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3.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drawings/drawing4.xml" ContentType="application/vnd.openxmlformats-officedocument.drawing+xml"/>
  <Override PartName="/xl/comments21.xml" ContentType="application/vnd.openxmlformats-officedocument.spreadsheetml.comments+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drawings/drawing5.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bookViews>
    <workbookView xWindow="-15" yWindow="3885" windowWidth="15255" windowHeight="4410" tabRatio="632" firstSheet="20" activeTab="25"/>
  </bookViews>
  <sheets>
    <sheet name="Checks" sheetId="3" r:id="rId1"/>
    <sheet name="Assumptions" sheetId="1" r:id="rId2"/>
    <sheet name="LTFP" sheetId="15" r:id="rId3"/>
    <sheet name="BS&amp;Ratios" sheetId="34" r:id="rId4"/>
    <sheet name="SP" sheetId="4" r:id="rId5"/>
    <sheet name="DEH" sheetId="5" r:id="rId6"/>
    <sheet name="CIV" sheetId="6" r:id="rId7"/>
    <sheet name="GM" sheetId="7" r:id="rId8"/>
    <sheet name="W&amp;W" sheetId="8" r:id="rId9"/>
    <sheet name="Cash-Gen" sheetId="13" r:id="rId10"/>
    <sheet name="Cap-Gen" sheetId="9" r:id="rId11"/>
    <sheet name="Cap Inc" sheetId="40" r:id="rId12"/>
    <sheet name="Res-Gen" sheetId="10" r:id="rId13"/>
    <sheet name="Res-Bal" sheetId="11" r:id="rId14"/>
    <sheet name="Debt-Gen" sheetId="14" r:id="rId15"/>
    <sheet name="Sec 94" sheetId="12" r:id="rId16"/>
    <sheet name="Cap-Water" sheetId="21" r:id="rId17"/>
    <sheet name="Cap-WW" sheetId="22" r:id="rId18"/>
    <sheet name="Cash-W" sheetId="16" r:id="rId19"/>
    <sheet name="Cash-WW" sheetId="17" r:id="rId20"/>
    <sheet name="Debt-Water" sheetId="19" r:id="rId21"/>
    <sheet name="Debt-WW" sheetId="20" r:id="rId22"/>
    <sheet name="Salaries" sheetId="26" r:id="rId23"/>
    <sheet name="NEWLOG" sheetId="27" r:id="rId24"/>
    <sheet name="Recs" sheetId="37" r:id="rId25"/>
    <sheet name="Summaries" sheetId="42" r:id="rId26"/>
    <sheet name="Overheads" sheetId="48" r:id="rId27"/>
    <sheet name="LTFP to AMPs" sheetId="45" r:id="rId28"/>
    <sheet name="Sec 94 Roads" sheetId="55" r:id="rId29"/>
    <sheet name="Internals" sheetId="54" r:id="rId30"/>
    <sheet name="Res Jnls 1617 Budget" sheetId="56" r:id="rId31"/>
    <sheet name="DWM" sheetId="58" r:id="rId32"/>
    <sheet name="Sheet1" sheetId="59" r:id="rId33"/>
  </sheets>
  <externalReferences>
    <externalReference r:id="rId34"/>
    <externalReference r:id="rId35"/>
  </externalReferences>
  <definedNames>
    <definedName name="ACQUISITION_OF_ASSETS___GENERAL_FUND" localSheetId="29">'Cap-Gen'!#REF!</definedName>
    <definedName name="ACQUISITION_OF_ASSETS___GENERAL_FUND" localSheetId="30">'Cap-Gen'!#REF!</definedName>
    <definedName name="ACQUISITION_OF_ASSETS___GENERAL_FUND" localSheetId="13">'Res-Bal'!#REF!</definedName>
    <definedName name="ACQUISITION_OF_ASSETS___GENERAL_FUND" localSheetId="12">'Res-Gen'!#REF!</definedName>
    <definedName name="ACQUISITION_OF_ASSETS___GENERAL_FUND" localSheetId="28">'Cap-Gen'!#REF!</definedName>
    <definedName name="ACQUISITION_OF_ASSETS___GENERAL_FUND">'Cap-Gen'!#REF!</definedName>
    <definedName name="ADMINISTRATIVE_SERVICES" localSheetId="29">GM!#REF!</definedName>
    <definedName name="ADMINISTRATIVE_SERVICES" localSheetId="30">GM!#REF!</definedName>
    <definedName name="ADMINISTRATIVE_SERVICES" localSheetId="28">GM!#REF!</definedName>
    <definedName name="ADMINISTRATIVE_SERVICES">GM!#REF!</definedName>
    <definedName name="ADMINISTRATIVE_SERVICES____COUNCILLORS" localSheetId="29">GM!#REF!</definedName>
    <definedName name="ADMINISTRATIVE_SERVICES____COUNCILLORS" localSheetId="30">GM!#REF!</definedName>
    <definedName name="ADMINISTRATIVE_SERVICES____COUNCILLORS" localSheetId="28">GM!#REF!</definedName>
    <definedName name="ADMINISTRATIVE_SERVICES____COUNCILLORS">GM!#REF!</definedName>
    <definedName name="AERODROME_OPERATIONS" localSheetId="29">'W&amp;W'!#REF!</definedName>
    <definedName name="AERODROME_OPERATIONS" localSheetId="30">'W&amp;W'!#REF!</definedName>
    <definedName name="AERODROME_OPERATIONS" localSheetId="28">'W&amp;W'!#REF!</definedName>
    <definedName name="AERODROME_OPERATIONS">'W&amp;W'!#REF!</definedName>
    <definedName name="Aquis_of_assets" localSheetId="29">'[1]Capital Grants &amp; Exp'!#REF!</definedName>
    <definedName name="Aquis_of_assets" localSheetId="30">'[1]Capital Grants &amp; Exp'!#REF!</definedName>
    <definedName name="Aquis_of_assets" localSheetId="28">'[1]Capital Grants &amp; Exp'!#REF!</definedName>
    <definedName name="Aquis_of_assets">'[1]Capital Grants &amp; Exp'!#REF!</definedName>
    <definedName name="ART_GALLERIES" localSheetId="29">GM!#REF!</definedName>
    <definedName name="ART_GALLERIES" localSheetId="30">GM!#REF!</definedName>
    <definedName name="ART_GALLERIES" localSheetId="28">GM!#REF!</definedName>
    <definedName name="ART_GALLERIES">GM!#REF!</definedName>
    <definedName name="BRIDGES" localSheetId="29">CIV!#REF!</definedName>
    <definedName name="BRIDGES" localSheetId="23">NEWLOG!#REF!</definedName>
    <definedName name="BRIDGES" localSheetId="30">CIV!#REF!</definedName>
    <definedName name="BRIDGES" localSheetId="28">CIV!#REF!</definedName>
    <definedName name="BRIDGES">CIV!#REF!</definedName>
    <definedName name="BUILDING_AND_REGULATION" localSheetId="29">DEH!#REF!</definedName>
    <definedName name="BUILDING_AND_REGULATION" localSheetId="30">DEH!#REF!</definedName>
    <definedName name="BUILDING_AND_REGULATION" localSheetId="28">DEH!#REF!</definedName>
    <definedName name="BUILDING_AND_REGULATION">DEH!#REF!</definedName>
    <definedName name="BUSHFIRE_SERVICES" localSheetId="29">CIV!#REF!</definedName>
    <definedName name="BUSHFIRE_SERVICES" localSheetId="23">NEWLOG!#REF!</definedName>
    <definedName name="BUSHFIRE_SERVICES" localSheetId="30">CIV!#REF!</definedName>
    <definedName name="BUSHFIRE_SERVICES" localSheetId="28">CIV!#REF!</definedName>
    <definedName name="BUSHFIRE_SERVICES">CIV!#REF!</definedName>
    <definedName name="CHILD_CARE___AFTER_SCHOOL_CARE" localSheetId="29">GM!#REF!</definedName>
    <definedName name="CHILD_CARE___AFTER_SCHOOL_CARE" localSheetId="30">GM!#REF!</definedName>
    <definedName name="CHILD_CARE___AFTER_SCHOOL_CARE" localSheetId="28">GM!#REF!</definedName>
    <definedName name="CHILD_CARE___AFTER_SCHOOL_CARE">GM!#REF!</definedName>
    <definedName name="CHILD_CARE___GINGERBREAD_OCCASIONAL_CHILD_CARE_CENTRE" localSheetId="29">GM!#REF!</definedName>
    <definedName name="CHILD_CARE___GINGERBREAD_OCCASIONAL_CHILD_CARE_CENTRE" localSheetId="30">GM!#REF!</definedName>
    <definedName name="CHILD_CARE___GINGERBREAD_OCCASIONAL_CHILD_CARE_CENTRE" localSheetId="28">GM!#REF!</definedName>
    <definedName name="CHILD_CARE___GINGERBREAD_OCCASIONAL_CHILD_CARE_CENTRE">GM!#REF!</definedName>
    <definedName name="CHILD_CARE___KOALA_DAY_CARE_CENTRE" localSheetId="29">GM!#REF!</definedName>
    <definedName name="CHILD_CARE___KOALA_DAY_CARE_CENTRE" localSheetId="30">GM!#REF!</definedName>
    <definedName name="CHILD_CARE___KOALA_DAY_CARE_CENTRE" localSheetId="28">GM!#REF!</definedName>
    <definedName name="CHILD_CARE___KOALA_DAY_CARE_CENTRE">GM!#REF!</definedName>
    <definedName name="COMMUNITY_SERVICES" localSheetId="29">GM!#REF!</definedName>
    <definedName name="COMMUNITY_SERVICES" localSheetId="30">GM!#REF!</definedName>
    <definedName name="COMMUNITY_SERVICES" localSheetId="28">GM!#REF!</definedName>
    <definedName name="COMMUNITY_SERVICES">GM!#REF!</definedName>
    <definedName name="CORPORATE_MANAGEMENT" localSheetId="29">#REF!</definedName>
    <definedName name="CORPORATE_MANAGEMENT" localSheetId="30">#REF!</definedName>
    <definedName name="CORPORATE_MANAGEMENT" localSheetId="28">#REF!</definedName>
    <definedName name="CORPORATE_MANAGEMENT">#REF!</definedName>
    <definedName name="DEVELOPMENT_ASSESSMENT" localSheetId="29">DEH!#REF!</definedName>
    <definedName name="DEVELOPMENT_ASSESSMENT" localSheetId="30">DEH!#REF!</definedName>
    <definedName name="DEVELOPMENT_ASSESSMENT" localSheetId="28">DEH!#REF!</definedName>
    <definedName name="DEVELOPMENT_ASSESSMENT">DEH!#REF!</definedName>
    <definedName name="ECONOMIC_DEVELOPMENT" localSheetId="29">'W&amp;W'!#REF!</definedName>
    <definedName name="ECONOMIC_DEVELOPMENT" localSheetId="30">'W&amp;W'!#REF!</definedName>
    <definedName name="ECONOMIC_DEVELOPMENT" localSheetId="28">'W&amp;W'!#REF!</definedName>
    <definedName name="ECONOMIC_DEVELOPMENT">'W&amp;W'!#REF!</definedName>
    <definedName name="EMERGENCY_SERVICES" localSheetId="29">CIV!#REF!</definedName>
    <definedName name="EMERGENCY_SERVICES" localSheetId="23">NEWLOG!#REF!</definedName>
    <definedName name="EMERGENCY_SERVICES" localSheetId="30">CIV!#REF!</definedName>
    <definedName name="EMERGENCY_SERVICES" localSheetId="28">CIV!#REF!</definedName>
    <definedName name="EMERGENCY_SERVICES">CIV!#REF!</definedName>
    <definedName name="ENVIRONMENTAL_HEALTH" localSheetId="29">DEH!#REF!</definedName>
    <definedName name="ENVIRONMENTAL_HEALTH" localSheetId="30">DEH!#REF!</definedName>
    <definedName name="ENVIRONMENTAL_HEALTH" localSheetId="28">DEH!#REF!</definedName>
    <definedName name="ENVIRONMENTAL_HEALTH">DEH!#REF!</definedName>
    <definedName name="FINANCIAL_SERVICES" localSheetId="29">GM!#REF!</definedName>
    <definedName name="FINANCIAL_SERVICES" localSheetId="30">GM!#REF!</definedName>
    <definedName name="FINANCIAL_SERVICES" localSheetId="28">GM!#REF!</definedName>
    <definedName name="FINANCIAL_SERVICES">GM!#REF!</definedName>
    <definedName name="FINANCIAL_SERVICES____GENERAL_PURPOSE_REVENUES" localSheetId="29">GM!#REF!</definedName>
    <definedName name="FINANCIAL_SERVICES____GENERAL_PURPOSE_REVENUES" localSheetId="30">GM!#REF!</definedName>
    <definedName name="FINANCIAL_SERVICES____GENERAL_PURPOSE_REVENUES" localSheetId="28">GM!#REF!</definedName>
    <definedName name="FINANCIAL_SERVICES____GENERAL_PURPOSE_REVENUES">GM!#REF!</definedName>
    <definedName name="GENERAL_MANAGER_AND_SUPPORT_SERVICES" localSheetId="29">#REF!</definedName>
    <definedName name="GENERAL_MANAGER_AND_SUPPORT_SERVICES" localSheetId="30">#REF!</definedName>
    <definedName name="GENERAL_MANAGER_AND_SUPPORT_SERVICES" localSheetId="28">#REF!</definedName>
    <definedName name="GENERAL_MANAGER_AND_SUPPORT_SERVICES">#REF!</definedName>
    <definedName name="HUMAN_RESOURCE_MANAGEMENT" localSheetId="29">#REF!</definedName>
    <definedName name="HUMAN_RESOURCE_MANAGEMENT" localSheetId="30">#REF!</definedName>
    <definedName name="HUMAN_RESOURCE_MANAGEMENT" localSheetId="28">#REF!</definedName>
    <definedName name="HUMAN_RESOURCE_MANAGEMENT">#REF!</definedName>
    <definedName name="INFORMATION_SERVICES___COMPUTER_SERVICES" localSheetId="29">GM!#REF!</definedName>
    <definedName name="INFORMATION_SERVICES___COMPUTER_SERVICES" localSheetId="30">GM!#REF!</definedName>
    <definedName name="INFORMATION_SERVICES___COMPUTER_SERVICES" localSheetId="28">GM!#REF!</definedName>
    <definedName name="INFORMATION_SERVICES___COMPUTER_SERVICES">GM!#REF!</definedName>
    <definedName name="INFORMATION_SERVICES___GEOGRAPHICAL_INFORMATION_SERVICES__GIS" localSheetId="29">GM!#REF!</definedName>
    <definedName name="INFORMATION_SERVICES___GEOGRAPHICAL_INFORMATION_SERVICES__GIS" localSheetId="30">GM!#REF!</definedName>
    <definedName name="INFORMATION_SERVICES___GEOGRAPHICAL_INFORMATION_SERVICES__GIS" localSheetId="28">GM!#REF!</definedName>
    <definedName name="INFORMATION_SERVICES___GEOGRAPHICAL_INFORMATION_SERVICES__GIS">GM!#REF!</definedName>
    <definedName name="LAWN_CEMETERY_AND_CREMATORIUM" localSheetId="29">'W&amp;W'!#REF!</definedName>
    <definedName name="LAWN_CEMETERY_AND_CREMATORIUM" localSheetId="30">'W&amp;W'!#REF!</definedName>
    <definedName name="LAWN_CEMETERY_AND_CREMATORIUM" localSheetId="28">'W&amp;W'!#REF!</definedName>
    <definedName name="LAWN_CEMETERY_AND_CREMATORIUM">'W&amp;W'!#REF!</definedName>
    <definedName name="OLE_LINK1" localSheetId="10">'Cap-Gen'!$AG$222</definedName>
    <definedName name="OLE_LINK2" localSheetId="10">'Cap-Gen'!$AD$224</definedName>
    <definedName name="PARKS_AND_RESERVES___CITY_BEAUTIFICATION" localSheetId="29">CIV!#REF!</definedName>
    <definedName name="PARKS_AND_RESERVES___CITY_BEAUTIFICATION" localSheetId="23">NEWLOG!#REF!</definedName>
    <definedName name="PARKS_AND_RESERVES___CITY_BEAUTIFICATION" localSheetId="30">CIV!#REF!</definedName>
    <definedName name="PARKS_AND_RESERVES___CITY_BEAUTIFICATION" localSheetId="28">CIV!#REF!</definedName>
    <definedName name="PARKS_AND_RESERVES___CITY_BEAUTIFICATION">CIV!#REF!</definedName>
    <definedName name="PARKS_AND_RESERVES___RURAL" localSheetId="29">CIV!#REF!</definedName>
    <definedName name="PARKS_AND_RESERVES___RURAL" localSheetId="23">NEWLOG!#REF!</definedName>
    <definedName name="PARKS_AND_RESERVES___RURAL" localSheetId="30">CIV!#REF!</definedName>
    <definedName name="PARKS_AND_RESERVES___RURAL" localSheetId="28">CIV!#REF!</definedName>
    <definedName name="PARKS_AND_RESERVES___RURAL">CIV!#REF!</definedName>
    <definedName name="PARKS_AND_RESERVES___URBAN" localSheetId="29">CIV!#REF!</definedName>
    <definedName name="PARKS_AND_RESERVES___URBAN" localSheetId="23">NEWLOG!#REF!</definedName>
    <definedName name="PARKS_AND_RESERVES___URBAN" localSheetId="30">CIV!#REF!</definedName>
    <definedName name="PARKS_AND_RESERVES___URBAN" localSheetId="28">CIV!#REF!</definedName>
    <definedName name="PARKS_AND_RESERVES___URBAN">CIV!#REF!</definedName>
    <definedName name="_xlnm.Print_Area" localSheetId="1">Assumptions!$A$1:$Q$129</definedName>
    <definedName name="_xlnm.Print_Area" localSheetId="3">'BS&amp;Ratios'!$A$1:$P$830</definedName>
    <definedName name="_xlnm.Print_Area" localSheetId="11">'Cap Inc'!$A$1:$O$153</definedName>
    <definedName name="_xlnm.Print_Area" localSheetId="10">'Cap-Gen'!$A$1:$AO$212</definedName>
    <definedName name="_xlnm.Print_Area" localSheetId="16">'Cap-Water'!$A$1:$AJ$69</definedName>
    <definedName name="_xlnm.Print_Area" localSheetId="17">'Cap-WW'!$A$1:$AK$122</definedName>
    <definedName name="_xlnm.Print_Area" localSheetId="18">'Cash-W'!$D$2:$G$52</definedName>
    <definedName name="_xlnm.Print_Area" localSheetId="19">'Cash-WW'!$D$2:$G$52</definedName>
    <definedName name="_xlnm.Print_Area" localSheetId="0">Checks!$C$36:$E$56</definedName>
    <definedName name="_xlnm.Print_Area" localSheetId="6">CIV!$A$1:$R$2078</definedName>
    <definedName name="_xlnm.Print_Area" localSheetId="14">'Debt-Gen'!$A$1:$AF$75</definedName>
    <definedName name="_xlnm.Print_Area" localSheetId="21">'Debt-WW'!$A$1:$AG$24</definedName>
    <definedName name="_xlnm.Print_Area" localSheetId="5">DEH!$A$1:$R$525</definedName>
    <definedName name="_xlnm.Print_Area" localSheetId="7">GM!$A$1:$R$1228</definedName>
    <definedName name="_xlnm.Print_Area" localSheetId="29">Internals!$A$1:$O$159</definedName>
    <definedName name="_xlnm.Print_Area" localSheetId="2">LTFP!$A$1:$P$331</definedName>
    <definedName name="_xlnm.Print_Area" localSheetId="23">NEWLOG!$A$1:$R$72</definedName>
    <definedName name="_xlnm.Print_Area" localSheetId="26">Overheads!#REF!</definedName>
    <definedName name="_xlnm.Print_Area" localSheetId="24">Recs!$A$1:$T$45</definedName>
    <definedName name="_xlnm.Print_Area" localSheetId="30">'Res Jnls 1617 Budget'!$A$232:$S$280</definedName>
    <definedName name="_xlnm.Print_Area" localSheetId="13">'Res-Bal'!$A$1:$P$164</definedName>
    <definedName name="_xlnm.Print_Area" localSheetId="12">'Res-Gen'!$A$1:$S$243</definedName>
    <definedName name="_xlnm.Print_Area" localSheetId="22">Salaries!#REF!</definedName>
    <definedName name="_xlnm.Print_Area" localSheetId="15">'Sec 94'!$A$1:$P$96</definedName>
    <definedName name="_xlnm.Print_Area" localSheetId="28">'Sec 94 Roads'!$A$1:$O$43</definedName>
    <definedName name="_xlnm.Print_Area" localSheetId="4">SP!$A$1:$R$1012</definedName>
    <definedName name="_xlnm.Print_Area" localSheetId="25">Summaries!$A$196:$H$229</definedName>
    <definedName name="_xlnm.Print_Area" localSheetId="8">'W&amp;W'!$A$1:$R$609</definedName>
    <definedName name="PRIVATE_WORKS" localSheetId="29">CIV!#REF!</definedName>
    <definedName name="PRIVATE_WORKS" localSheetId="23">NEWLOG!#REF!</definedName>
    <definedName name="PRIVATE_WORKS" localSheetId="30">CIV!#REF!</definedName>
    <definedName name="PRIVATE_WORKS" localSheetId="28">CIV!#REF!</definedName>
    <definedName name="PRIVATE_WORKS">CIV!#REF!</definedName>
    <definedName name="PROPERTY_SERVICES___ADMINISTRATIVE_CENTRE" localSheetId="29">'W&amp;W'!#REF!</definedName>
    <definedName name="PROPERTY_SERVICES___ADMINISTRATIVE_CENTRE" localSheetId="30">'W&amp;W'!#REF!</definedName>
    <definedName name="PROPERTY_SERVICES___ADMINISTRATIVE_CENTRE" localSheetId="28">'W&amp;W'!#REF!</definedName>
    <definedName name="PROPERTY_SERVICES___ADMINISTRATIVE_CENTRE">'W&amp;W'!#REF!</definedName>
    <definedName name="PROPERTY_SERVICES___CARAVAN_PARKS_AND_SALEYARDS" localSheetId="29">'W&amp;W'!#REF!</definedName>
    <definedName name="PROPERTY_SERVICES___CARAVAN_PARKS_AND_SALEYARDS" localSheetId="30">'W&amp;W'!#REF!</definedName>
    <definedName name="PROPERTY_SERVICES___CARAVAN_PARKS_AND_SALEYARDS" localSheetId="28">'W&amp;W'!#REF!</definedName>
    <definedName name="PROPERTY_SERVICES___CARAVAN_PARKS_AND_SALEYARDS">'W&amp;W'!#REF!</definedName>
    <definedName name="PROPERTY_SERVICES___COMMERCIAL" localSheetId="29">'W&amp;W'!#REF!</definedName>
    <definedName name="PROPERTY_SERVICES___COMMERCIAL" localSheetId="30">'W&amp;W'!#REF!</definedName>
    <definedName name="PROPERTY_SERVICES___COMMERCIAL" localSheetId="28">'W&amp;W'!#REF!</definedName>
    <definedName name="PROPERTY_SERVICES___COMMERCIAL">'W&amp;W'!#REF!</definedName>
    <definedName name="PROPERTY_SERVICES___COMMUNITY_CENTRES" localSheetId="29">'W&amp;W'!#REF!</definedName>
    <definedName name="PROPERTY_SERVICES___COMMUNITY_CENTRES" localSheetId="30">'W&amp;W'!#REF!</definedName>
    <definedName name="PROPERTY_SERVICES___COMMUNITY_CENTRES" localSheetId="28">'W&amp;W'!#REF!</definedName>
    <definedName name="PROPERTY_SERVICES___COMMUNITY_CENTRES">'W&amp;W'!#REF!</definedName>
    <definedName name="PROPERTY_SERVICES___MISCELLANEOUS_PROPERTIES" localSheetId="29">'W&amp;W'!#REF!</definedName>
    <definedName name="PROPERTY_SERVICES___MISCELLANEOUS_PROPERTIES" localSheetId="30">'W&amp;W'!#REF!</definedName>
    <definedName name="PROPERTY_SERVICES___MISCELLANEOUS_PROPERTIES" localSheetId="28">'W&amp;W'!#REF!</definedName>
    <definedName name="PROPERTY_SERVICES___MISCELLANEOUS_PROPERTIES">'W&amp;W'!#REF!</definedName>
    <definedName name="PROPERTY_SERVICES___PUBLIC_HALLS" localSheetId="29">'W&amp;W'!#REF!</definedName>
    <definedName name="PROPERTY_SERVICES___PUBLIC_HALLS" localSheetId="30">'W&amp;W'!#REF!</definedName>
    <definedName name="PROPERTY_SERVICES___PUBLIC_HALLS" localSheetId="28">'W&amp;W'!#REF!</definedName>
    <definedName name="PROPERTY_SERVICES___PUBLIC_HALLS">'W&amp;W'!#REF!</definedName>
    <definedName name="PUBLIC_LIBRARIES" localSheetId="29">GM!#REF!</definedName>
    <definedName name="PUBLIC_LIBRARIES" localSheetId="30">GM!#REF!</definedName>
    <definedName name="PUBLIC_LIBRARIES" localSheetId="28">GM!#REF!</definedName>
    <definedName name="PUBLIC_LIBRARIES">GM!#REF!</definedName>
    <definedName name="QUARRY_OPERATIONS" localSheetId="29">'W&amp;W'!#REF!</definedName>
    <definedName name="QUARRY_OPERATIONS" localSheetId="30">'W&amp;W'!#REF!</definedName>
    <definedName name="QUARRY_OPERATIONS" localSheetId="28">'W&amp;W'!#REF!</definedName>
    <definedName name="QUARRY_OPERATIONS">'W&amp;W'!#REF!</definedName>
    <definedName name="_xlnm.Recorder" localSheetId="29">#REF!</definedName>
    <definedName name="_xlnm.Recorder" localSheetId="30">#REF!</definedName>
    <definedName name="_xlnm.Recorder" localSheetId="28">#REF!</definedName>
    <definedName name="_xlnm.Recorder">#REF!</definedName>
    <definedName name="RECREATION_SERVICES_AND_LEISURE" localSheetId="29">CIV!#REF!</definedName>
    <definedName name="RECREATION_SERVICES_AND_LEISURE" localSheetId="23">NEWLOG!#REF!</definedName>
    <definedName name="RECREATION_SERVICES_AND_LEISURE" localSheetId="30">CIV!#REF!</definedName>
    <definedName name="RECREATION_SERVICES_AND_LEISURE" localSheetId="28">CIV!#REF!</definedName>
    <definedName name="RECREATION_SERVICES_AND_LEISURE">CIV!#REF!</definedName>
    <definedName name="RESERVE_FUND_MOVEMENTS___GENERAL_FUND" localSheetId="29">'Cap-Gen'!#REF!</definedName>
    <definedName name="RESERVE_FUND_MOVEMENTS___GENERAL_FUND" localSheetId="30">'Cap-Gen'!#REF!</definedName>
    <definedName name="RESERVE_FUND_MOVEMENTS___GENERAL_FUND" localSheetId="13">'Res-Bal'!#REF!</definedName>
    <definedName name="RESERVE_FUND_MOVEMENTS___GENERAL_FUND" localSheetId="12">'Res-Gen'!$A$1</definedName>
    <definedName name="RESERVE_FUND_MOVEMENTS___GENERAL_FUND" localSheetId="28">'Cap-Gen'!#REF!</definedName>
    <definedName name="RESERVE_FUND_MOVEMENTS___GENERAL_FUND">'Cap-Gen'!#REF!</definedName>
    <definedName name="Reserve_Movements" localSheetId="29">'[1]Capital Grants &amp; Exp'!#REF!</definedName>
    <definedName name="Reserve_Movements" localSheetId="30">'[1]Capital Grants &amp; Exp'!#REF!</definedName>
    <definedName name="Reserve_Movements" localSheetId="28">'[1]Capital Grants &amp; Exp'!#REF!</definedName>
    <definedName name="Reserve_Movements">'[1]Capital Grants &amp; Exp'!#REF!</definedName>
    <definedName name="ROADS___RURAL" localSheetId="29">CIV!#REF!</definedName>
    <definedName name="ROADS___RURAL" localSheetId="23">NEWLOG!#REF!</definedName>
    <definedName name="ROADS___RURAL" localSheetId="30">CIV!#REF!</definedName>
    <definedName name="ROADS___RURAL" localSheetId="28">CIV!#REF!</definedName>
    <definedName name="ROADS___RURAL">CIV!#REF!</definedName>
    <definedName name="ROADS___URBAN" localSheetId="29">CIV!#REF!</definedName>
    <definedName name="ROADS___URBAN" localSheetId="23">NEWLOG!#REF!</definedName>
    <definedName name="ROADS___URBAN" localSheetId="30">CIV!#REF!</definedName>
    <definedName name="ROADS___URBAN" localSheetId="28">CIV!#REF!</definedName>
    <definedName name="ROADS___URBAN">CIV!#REF!</definedName>
    <definedName name="RTA_WORKS" localSheetId="29">CIV!#REF!</definedName>
    <definedName name="RTA_WORKS" localSheetId="23">NEWLOG!#REF!</definedName>
    <definedName name="RTA_WORKS" localSheetId="30">CIV!#REF!</definedName>
    <definedName name="RTA_WORKS" localSheetId="28">CIV!#REF!</definedName>
    <definedName name="RTA_WORKS">CIV!#REF!</definedName>
    <definedName name="SEWERAGE_SERVICES___MANAGEMENT" localSheetId="29">'W&amp;W'!#REF!</definedName>
    <definedName name="SEWERAGE_SERVICES___MANAGEMENT" localSheetId="30">'W&amp;W'!#REF!</definedName>
    <definedName name="SEWERAGE_SERVICES___MANAGEMENT" localSheetId="28">'W&amp;W'!#REF!</definedName>
    <definedName name="SEWERAGE_SERVICES___MANAGEMENT">'W&amp;W'!#REF!</definedName>
    <definedName name="SEWERAGE_SERVICES___OPERATIONS" localSheetId="29">'W&amp;W'!#REF!</definedName>
    <definedName name="SEWERAGE_SERVICES___OPERATIONS" localSheetId="30">'W&amp;W'!#REF!</definedName>
    <definedName name="SEWERAGE_SERVICES___OPERATIONS" localSheetId="28">'W&amp;W'!#REF!</definedName>
    <definedName name="SEWERAGE_SERVICES___OPERATIONS">'W&amp;W'!#REF!</definedName>
    <definedName name="STRATEGIC_PLANNING" localSheetId="29">DEH!#REF!</definedName>
    <definedName name="STRATEGIC_PLANNING" localSheetId="30">DEH!#REF!</definedName>
    <definedName name="STRATEGIC_PLANNING" localSheetId="28">DEH!#REF!</definedName>
    <definedName name="STRATEGIC_PLANNING">DEH!#REF!</definedName>
    <definedName name="SURVEY___DESIGN_AND_SUBDIVISION_CONTROL" localSheetId="29">CIV!#REF!</definedName>
    <definedName name="SURVEY___DESIGN_AND_SUBDIVISION_CONTROL" localSheetId="23">NEWLOG!#REF!</definedName>
    <definedName name="SURVEY___DESIGN_AND_SUBDIVISION_CONTROL" localSheetId="30">CIV!#REF!</definedName>
    <definedName name="SURVEY___DESIGN_AND_SUBDIVISION_CONTROL" localSheetId="28">CIV!#REF!</definedName>
    <definedName name="SURVEY___DESIGN_AND_SUBDIVISION_CONTROL">CIV!#REF!</definedName>
    <definedName name="SWIMMING_POOLS" localSheetId="29">'W&amp;W'!#REF!</definedName>
    <definedName name="SWIMMING_POOLS" localSheetId="30">'W&amp;W'!#REF!</definedName>
    <definedName name="SWIMMING_POOLS" localSheetId="28">'W&amp;W'!#REF!</definedName>
    <definedName name="SWIMMING_POOLS">'W&amp;W'!#REF!</definedName>
    <definedName name="TOURISM" localSheetId="29">'W&amp;W'!#REF!</definedName>
    <definedName name="TOURISM" localSheetId="30">'W&amp;W'!#REF!</definedName>
    <definedName name="TOURISM" localSheetId="28">'W&amp;W'!#REF!</definedName>
    <definedName name="TOURISM">'W&amp;W'!#REF!</definedName>
    <definedName name="TRAFFIC__ENFORCEMENT_AND_LIGHTING" localSheetId="29">CIV!#REF!</definedName>
    <definedName name="TRAFFIC__ENFORCEMENT_AND_LIGHTING" localSheetId="23">NEWLOG!#REF!</definedName>
    <definedName name="TRAFFIC__ENFORCEMENT_AND_LIGHTING" localSheetId="30">CIV!#REF!</definedName>
    <definedName name="TRAFFIC__ENFORCEMENT_AND_LIGHTING" localSheetId="28">CIV!#REF!</definedName>
    <definedName name="TRAFFIC__ENFORCEMENT_AND_LIGHTING">CIV!#REF!</definedName>
    <definedName name="WASTE_MANAGEMENT_SERVICES___COLLECTION" localSheetId="29">'W&amp;W'!#REF!</definedName>
    <definedName name="WASTE_MANAGEMENT_SERVICES___COLLECTION" localSheetId="30">'W&amp;W'!#REF!</definedName>
    <definedName name="WASTE_MANAGEMENT_SERVICES___COLLECTION" localSheetId="28">'W&amp;W'!#REF!</definedName>
    <definedName name="WASTE_MANAGEMENT_SERVICES___COLLECTION">'W&amp;W'!#REF!</definedName>
    <definedName name="WASTE_MANAGEMENT_SERVICES___DISPOSAL" localSheetId="29">'W&amp;W'!#REF!</definedName>
    <definedName name="WASTE_MANAGEMENT_SERVICES___DISPOSAL" localSheetId="30">'W&amp;W'!#REF!</definedName>
    <definedName name="WASTE_MANAGEMENT_SERVICES___DISPOSAL" localSheetId="28">'W&amp;W'!#REF!</definedName>
    <definedName name="WASTE_MANAGEMENT_SERVICES___DISPOSAL">'W&amp;W'!#REF!</definedName>
    <definedName name="WASTE_STRATEGIES" localSheetId="29">DEH!#REF!</definedName>
    <definedName name="WASTE_STRATEGIES" localSheetId="30">DEH!#REF!</definedName>
    <definedName name="WASTE_STRATEGIES" localSheetId="28">DEH!#REF!</definedName>
    <definedName name="WASTE_STRATEGIES">DEH!#REF!</definedName>
    <definedName name="WATER_SUPPLIES___MANAGEMENT" localSheetId="29">'W&amp;W'!#REF!</definedName>
    <definedName name="WATER_SUPPLIES___MANAGEMENT" localSheetId="30">'W&amp;W'!#REF!</definedName>
    <definedName name="WATER_SUPPLIES___MANAGEMENT" localSheetId="28">'W&amp;W'!#REF!</definedName>
    <definedName name="WATER_SUPPLIES___MANAGEMENT">'W&amp;W'!#REF!</definedName>
    <definedName name="WATER_SUPPLIES___OPERATIONS" localSheetId="29">'W&amp;W'!#REF!</definedName>
    <definedName name="WATER_SUPPLIES___OPERATIONS" localSheetId="30">'W&amp;W'!#REF!</definedName>
    <definedName name="WATER_SUPPLIES___OPERATIONS" localSheetId="28">'W&amp;W'!#REF!</definedName>
    <definedName name="WATER_SUPPLIES___OPERATIONS">'W&amp;W'!#REF!</definedName>
    <definedName name="WORKS_DEPOT___WYRALLAH_ROAD" localSheetId="29">CIV!#REF!</definedName>
    <definedName name="WORKS_DEPOT___WYRALLAH_ROAD" localSheetId="23">NEWLOG!#REF!</definedName>
    <definedName name="WORKS_DEPOT___WYRALLAH_ROAD" localSheetId="30">CIV!#REF!</definedName>
    <definedName name="WORKS_DEPOT___WYRALLAH_ROAD" localSheetId="28">CIV!#REF!</definedName>
    <definedName name="WORKS_DEPOT___WYRALLAH_ROAD">CIV!#REF!</definedName>
    <definedName name="WORKSHOP_AND_FLEET_OPERATIONS" localSheetId="29">CIV!#REF!</definedName>
    <definedName name="WORKSHOP_AND_FLEET_OPERATIONS" localSheetId="23">NEWLOG!#REF!</definedName>
    <definedName name="WORKSHOP_AND_FLEET_OPERATIONS" localSheetId="30">CIV!#REF!</definedName>
    <definedName name="WORKSHOP_AND_FLEET_OPERATIONS" localSheetId="28">CIV!#REF!</definedName>
    <definedName name="WORKSHOP_AND_FLEET_OPERATIONS">CIV!#REF!</definedName>
  </definedNames>
  <calcPr calcId="145621"/>
</workbook>
</file>

<file path=xl/calcChain.xml><?xml version="1.0" encoding="utf-8"?>
<calcChain xmlns="http://schemas.openxmlformats.org/spreadsheetml/2006/main">
  <c r="I272" i="3" l="1"/>
  <c r="H272" i="3"/>
  <c r="G272" i="3"/>
  <c r="P119" i="9"/>
  <c r="O119" i="9"/>
  <c r="N119" i="9"/>
  <c r="M119" i="9"/>
  <c r="K119" i="9"/>
  <c r="J119" i="9"/>
  <c r="I119" i="9"/>
  <c r="H119" i="9"/>
  <c r="J175" i="9"/>
  <c r="G119" i="9"/>
  <c r="F166" i="40" l="1"/>
  <c r="F165" i="40"/>
  <c r="F164" i="40"/>
  <c r="F162" i="40"/>
  <c r="H129" i="14"/>
  <c r="H134" i="14"/>
  <c r="H130" i="14"/>
  <c r="H135" i="14"/>
  <c r="F158" i="40"/>
  <c r="F160" i="40"/>
  <c r="F159" i="40"/>
  <c r="F156" i="40"/>
  <c r="E156" i="40"/>
  <c r="F17" i="9" l="1"/>
  <c r="G1437" i="6" l="1"/>
  <c r="G1436" i="6"/>
  <c r="G1444" i="6"/>
  <c r="G1434" i="6"/>
  <c r="G1604" i="6" l="1"/>
  <c r="G1600" i="6"/>
  <c r="G1603" i="6"/>
  <c r="G1606" i="6"/>
  <c r="G1224" i="6" l="1"/>
  <c r="G1248" i="6"/>
  <c r="F164" i="9"/>
  <c r="I309" i="5" l="1"/>
  <c r="S220" i="5"/>
  <c r="S221" i="5"/>
  <c r="S222" i="5"/>
  <c r="S223" i="5"/>
  <c r="S224" i="5"/>
  <c r="S225" i="5"/>
  <c r="S226" i="5"/>
  <c r="S227" i="5"/>
  <c r="S228" i="5"/>
  <c r="S229" i="5"/>
  <c r="S230" i="5"/>
  <c r="H86" i="14"/>
  <c r="L19" i="14"/>
  <c r="J19" i="14"/>
  <c r="K19" i="14"/>
  <c r="L18" i="14"/>
  <c r="J18" i="14"/>
  <c r="I18" i="14"/>
  <c r="K18" i="14"/>
  <c r="I19" i="14"/>
  <c r="L17" i="14"/>
  <c r="K17" i="14"/>
  <c r="I17" i="14"/>
  <c r="J17" i="14"/>
  <c r="L16" i="14"/>
  <c r="J16" i="14"/>
  <c r="I16" i="14"/>
  <c r="K16" i="14"/>
  <c r="M146" i="14" l="1"/>
  <c r="L146" i="14"/>
  <c r="M145" i="14" s="1"/>
  <c r="M144" i="14" s="1"/>
  <c r="L145" i="14"/>
  <c r="L144" i="14"/>
  <c r="L90" i="14"/>
  <c r="G199" i="14"/>
  <c r="H199" i="14" s="1"/>
  <c r="I199" i="14" s="1"/>
  <c r="J199" i="14" s="1"/>
  <c r="K199" i="14" s="1"/>
  <c r="F199" i="14"/>
  <c r="G198" i="14"/>
  <c r="H198" i="14" s="1"/>
  <c r="I198" i="14" s="1"/>
  <c r="F198" i="14"/>
  <c r="D163" i="14"/>
  <c r="D162" i="14"/>
  <c r="Q193" i="14"/>
  <c r="Q192" i="14"/>
  <c r="Q191" i="14"/>
  <c r="Q190" i="14"/>
  <c r="F82" i="14"/>
  <c r="G82" i="14"/>
  <c r="H82" i="14"/>
  <c r="I82" i="14"/>
  <c r="J82" i="14"/>
  <c r="K82" i="14"/>
  <c r="L82" i="14"/>
  <c r="M82" i="14"/>
  <c r="N82" i="14"/>
  <c r="O82" i="14"/>
  <c r="P82" i="14"/>
  <c r="Q82" i="14"/>
  <c r="F83" i="14"/>
  <c r="F84" i="14"/>
  <c r="F85" i="14"/>
  <c r="G85" i="14"/>
  <c r="H85" i="14"/>
  <c r="F86" i="14"/>
  <c r="G86" i="14"/>
  <c r="G89" i="14"/>
  <c r="F90" i="14"/>
  <c r="D86" i="14"/>
  <c r="G81" i="14"/>
  <c r="H190" i="14"/>
  <c r="G121" i="14"/>
  <c r="Q81" i="14"/>
  <c r="P81" i="14"/>
  <c r="O81" i="14"/>
  <c r="N81" i="14"/>
  <c r="M81" i="14"/>
  <c r="L81" i="14"/>
  <c r="K81" i="14"/>
  <c r="J81" i="14"/>
  <c r="I81" i="14"/>
  <c r="H81" i="14"/>
  <c r="F81" i="14"/>
  <c r="G197" i="14"/>
  <c r="G179" i="14" s="1"/>
  <c r="H88" i="14" s="1"/>
  <c r="F197" i="14"/>
  <c r="G196" i="14"/>
  <c r="G178" i="14" s="1"/>
  <c r="H87" i="14" s="1"/>
  <c r="F196" i="14"/>
  <c r="G195" i="14"/>
  <c r="G177" i="14" s="1"/>
  <c r="F195" i="14"/>
  <c r="G194" i="14"/>
  <c r="G176" i="14" s="1"/>
  <c r="F194" i="14"/>
  <c r="F193" i="14"/>
  <c r="G193" i="14" s="1"/>
  <c r="G192" i="14"/>
  <c r="H192" i="14" s="1"/>
  <c r="I192" i="14" s="1"/>
  <c r="J192" i="14" s="1"/>
  <c r="K192" i="14" s="1"/>
  <c r="L192" i="14" s="1"/>
  <c r="M192" i="14" s="1"/>
  <c r="N192" i="14" s="1"/>
  <c r="O192" i="14" s="1"/>
  <c r="P192" i="14" s="1"/>
  <c r="F192" i="14"/>
  <c r="G191" i="14"/>
  <c r="H191" i="14" s="1"/>
  <c r="F191" i="14"/>
  <c r="G190" i="14"/>
  <c r="F190" i="14"/>
  <c r="F181" i="14"/>
  <c r="G90" i="14" s="1"/>
  <c r="F180" i="14"/>
  <c r="F179" i="14"/>
  <c r="G88" i="14" s="1"/>
  <c r="F178" i="14"/>
  <c r="G87" i="14" s="1"/>
  <c r="F177" i="14"/>
  <c r="F176" i="14"/>
  <c r="F175" i="14"/>
  <c r="G84" i="14" s="1"/>
  <c r="F174" i="14"/>
  <c r="G83" i="14" s="1"/>
  <c r="G173" i="14"/>
  <c r="F173" i="14"/>
  <c r="G172" i="14"/>
  <c r="F172" i="14"/>
  <c r="E173" i="14"/>
  <c r="E174" i="14"/>
  <c r="E175" i="14"/>
  <c r="E176" i="14"/>
  <c r="E177" i="14"/>
  <c r="E178" i="14"/>
  <c r="F87" i="14" s="1"/>
  <c r="E179" i="14"/>
  <c r="F88" i="14" s="1"/>
  <c r="E180" i="14"/>
  <c r="F89" i="14" s="1"/>
  <c r="E181" i="14"/>
  <c r="E172" i="14"/>
  <c r="E190" i="14"/>
  <c r="G175" i="14" l="1"/>
  <c r="H84" i="14" s="1"/>
  <c r="H193" i="14"/>
  <c r="H175" i="14" s="1"/>
  <c r="I84" i="14" s="1"/>
  <c r="I191" i="14"/>
  <c r="H173" i="14"/>
  <c r="I190" i="14"/>
  <c r="H172" i="14"/>
  <c r="G180" i="14"/>
  <c r="H89" i="14" s="1"/>
  <c r="G181" i="14"/>
  <c r="H90" i="14" s="1"/>
  <c r="Q101" i="14"/>
  <c r="E92" i="14"/>
  <c r="I141" i="14"/>
  <c r="E199" i="14"/>
  <c r="E198" i="14"/>
  <c r="A198" i="14"/>
  <c r="A199" i="14"/>
  <c r="E197" i="14"/>
  <c r="E196" i="14"/>
  <c r="E195" i="14"/>
  <c r="E194" i="14"/>
  <c r="E193" i="14"/>
  <c r="E192" i="14"/>
  <c r="E191" i="14"/>
  <c r="A196" i="14"/>
  <c r="C133" i="14"/>
  <c r="C128" i="14"/>
  <c r="A133" i="14"/>
  <c r="A128" i="14"/>
  <c r="E136" i="14"/>
  <c r="C19" i="14"/>
  <c r="C17" i="14"/>
  <c r="D159" i="14"/>
  <c r="D158" i="14"/>
  <c r="D176" i="14"/>
  <c r="A179" i="14"/>
  <c r="A197" i="14" s="1"/>
  <c r="A178" i="14"/>
  <c r="G159" i="14"/>
  <c r="G158" i="14"/>
  <c r="A181" i="14"/>
  <c r="A180" i="14"/>
  <c r="D85" i="14"/>
  <c r="D87" i="14"/>
  <c r="D128" i="14" s="1"/>
  <c r="F150" i="40"/>
  <c r="D161" i="14" s="1"/>
  <c r="D179" i="14" s="1"/>
  <c r="F149" i="40"/>
  <c r="H160" i="14" s="1"/>
  <c r="H196" i="14" s="1"/>
  <c r="R104" i="14"/>
  <c r="Q105" i="14"/>
  <c r="R105" i="14" s="1"/>
  <c r="Q188" i="14"/>
  <c r="Q165" i="14"/>
  <c r="Q152" i="14"/>
  <c r="Q170" i="14" s="1"/>
  <c r="CL151" i="9"/>
  <c r="BZ151" i="9"/>
  <c r="CA151" i="9" s="1"/>
  <c r="BZ133" i="9"/>
  <c r="CA133" i="9" s="1"/>
  <c r="CB133" i="9" s="1"/>
  <c r="CC133" i="9" s="1"/>
  <c r="CD133" i="9" s="1"/>
  <c r="CE133" i="9" s="1"/>
  <c r="CF133" i="9" s="1"/>
  <c r="CG133" i="9" s="1"/>
  <c r="CH133" i="9" s="1"/>
  <c r="CI133" i="9" s="1"/>
  <c r="CJ133" i="9" s="1"/>
  <c r="BZ132" i="9"/>
  <c r="CA132" i="9" s="1"/>
  <c r="CB132" i="9" s="1"/>
  <c r="CC132" i="9" s="1"/>
  <c r="CD132" i="9" s="1"/>
  <c r="CE132" i="9" s="1"/>
  <c r="CF132" i="9" s="1"/>
  <c r="CG132" i="9" s="1"/>
  <c r="CH132" i="9" s="1"/>
  <c r="CI132" i="9" s="1"/>
  <c r="CJ132" i="9" s="1"/>
  <c r="BZ131" i="9"/>
  <c r="CA131" i="9" s="1"/>
  <c r="CB131" i="9" s="1"/>
  <c r="CC131" i="9" s="1"/>
  <c r="CD131" i="9" s="1"/>
  <c r="CE131" i="9" s="1"/>
  <c r="CF131" i="9" s="1"/>
  <c r="CG131" i="9" s="1"/>
  <c r="CH131" i="9" s="1"/>
  <c r="CI131" i="9" s="1"/>
  <c r="CJ131" i="9" s="1"/>
  <c r="BZ130" i="9"/>
  <c r="CA130" i="9" s="1"/>
  <c r="CB130" i="9" s="1"/>
  <c r="CC130" i="9" s="1"/>
  <c r="CD130" i="9" s="1"/>
  <c r="CE130" i="9" s="1"/>
  <c r="CF130" i="9" s="1"/>
  <c r="CG130" i="9" s="1"/>
  <c r="CH130" i="9" s="1"/>
  <c r="CI130" i="9" s="1"/>
  <c r="CJ130" i="9" s="1"/>
  <c r="BZ129" i="9"/>
  <c r="CA129" i="9" s="1"/>
  <c r="CB129" i="9" s="1"/>
  <c r="CC129" i="9" s="1"/>
  <c r="CD129" i="9" s="1"/>
  <c r="CE129" i="9" s="1"/>
  <c r="CF129" i="9" s="1"/>
  <c r="CG129" i="9" s="1"/>
  <c r="CH129" i="9" s="1"/>
  <c r="CI129" i="9" s="1"/>
  <c r="CJ129" i="9" s="1"/>
  <c r="BZ128" i="9"/>
  <c r="CA128" i="9" s="1"/>
  <c r="CB128" i="9" s="1"/>
  <c r="CC128" i="9" s="1"/>
  <c r="CD128" i="9" s="1"/>
  <c r="CE128" i="9" s="1"/>
  <c r="CF128" i="9" s="1"/>
  <c r="CG128" i="9" s="1"/>
  <c r="CH128" i="9" s="1"/>
  <c r="CI128" i="9" s="1"/>
  <c r="CJ128" i="9" s="1"/>
  <c r="CF96" i="9"/>
  <c r="CG96" i="9" s="1"/>
  <c r="CH96" i="9" s="1"/>
  <c r="CI96" i="9" s="1"/>
  <c r="CJ96" i="9" s="1"/>
  <c r="CF95" i="9"/>
  <c r="CG95" i="9" s="1"/>
  <c r="CH95" i="9" s="1"/>
  <c r="CI95" i="9" s="1"/>
  <c r="CJ95" i="9" s="1"/>
  <c r="CL36" i="9"/>
  <c r="BZ36" i="9"/>
  <c r="CA36" i="9" s="1"/>
  <c r="CL35" i="9"/>
  <c r="BZ35" i="9"/>
  <c r="CA35" i="9" s="1"/>
  <c r="CL62" i="9"/>
  <c r="BZ62" i="9"/>
  <c r="CM62" i="9" s="1"/>
  <c r="CL32" i="9"/>
  <c r="CL31" i="9"/>
  <c r="CL30" i="9"/>
  <c r="P115" i="9"/>
  <c r="O115" i="9"/>
  <c r="N115" i="9"/>
  <c r="M115" i="9"/>
  <c r="L115" i="9"/>
  <c r="K115" i="9"/>
  <c r="J115" i="9"/>
  <c r="K6" i="1"/>
  <c r="J600" i="7"/>
  <c r="J599" i="7"/>
  <c r="I601" i="7"/>
  <c r="I599" i="7"/>
  <c r="I600" i="7"/>
  <c r="G379" i="5"/>
  <c r="H161" i="14" l="1"/>
  <c r="H197" i="14" s="1"/>
  <c r="H179" i="14" s="1"/>
  <c r="D88" i="14"/>
  <c r="D133" i="14" s="1"/>
  <c r="N19" i="14" s="1"/>
  <c r="D160" i="14"/>
  <c r="D178" i="14" s="1"/>
  <c r="H178" i="14" s="1"/>
  <c r="I87" i="14" s="1"/>
  <c r="N18" i="14"/>
  <c r="I193" i="14"/>
  <c r="J190" i="14"/>
  <c r="I172" i="14"/>
  <c r="H180" i="14"/>
  <c r="J193" i="14"/>
  <c r="I175" i="14"/>
  <c r="J84" i="14" s="1"/>
  <c r="J191" i="14"/>
  <c r="I173" i="14"/>
  <c r="H181" i="14"/>
  <c r="I90" i="14" s="1"/>
  <c r="G174" i="14"/>
  <c r="H83" i="14" s="1"/>
  <c r="CA62" i="9"/>
  <c r="CB62" i="9" s="1"/>
  <c r="CO62" i="9" s="1"/>
  <c r="CB151" i="9"/>
  <c r="CN151" i="9"/>
  <c r="CM151" i="9"/>
  <c r="CB36" i="9"/>
  <c r="CN36" i="9"/>
  <c r="CB35" i="9"/>
  <c r="CN35" i="9"/>
  <c r="CM36" i="9"/>
  <c r="CM35" i="9"/>
  <c r="CC62" i="9"/>
  <c r="X18" i="9"/>
  <c r="X17" i="9"/>
  <c r="E152" i="40"/>
  <c r="F18" i="9"/>
  <c r="H136" i="14" l="1"/>
  <c r="I88" i="14"/>
  <c r="M19" i="14"/>
  <c r="M18" i="14"/>
  <c r="H131" i="14"/>
  <c r="I130" i="14" s="1"/>
  <c r="I89" i="14"/>
  <c r="K191" i="14"/>
  <c r="J173" i="14"/>
  <c r="J175" i="14"/>
  <c r="K84" i="14" s="1"/>
  <c r="K114" i="14" s="1"/>
  <c r="J172" i="14"/>
  <c r="K190" i="14"/>
  <c r="I181" i="14"/>
  <c r="J90" i="14" s="1"/>
  <c r="H174" i="14"/>
  <c r="I83" i="14" s="1"/>
  <c r="CN62" i="9"/>
  <c r="CC151" i="9"/>
  <c r="CO151" i="9"/>
  <c r="CO35" i="9"/>
  <c r="CC35" i="9"/>
  <c r="CC36" i="9"/>
  <c r="CO36" i="9"/>
  <c r="CD62" i="9"/>
  <c r="CP62" i="9"/>
  <c r="H495" i="4"/>
  <c r="J506" i="4"/>
  <c r="K506" i="4" s="1"/>
  <c r="L506" i="4" s="1"/>
  <c r="I135" i="14" l="1"/>
  <c r="P19" i="14" s="1"/>
  <c r="P18" i="14"/>
  <c r="I129" i="14"/>
  <c r="O18" i="14" s="1"/>
  <c r="K173" i="14"/>
  <c r="L191" i="14"/>
  <c r="J181" i="14"/>
  <c r="K90" i="14" s="1"/>
  <c r="L190" i="14"/>
  <c r="K172" i="14"/>
  <c r="I174" i="14"/>
  <c r="J83" i="14" s="1"/>
  <c r="CP151" i="9"/>
  <c r="CD151" i="9"/>
  <c r="CP36" i="9"/>
  <c r="CD36" i="9"/>
  <c r="CD35" i="9"/>
  <c r="CP35" i="9"/>
  <c r="CQ62" i="9"/>
  <c r="CE62" i="9"/>
  <c r="G867" i="7"/>
  <c r="I115" i="9"/>
  <c r="H115" i="9"/>
  <c r="G115" i="9"/>
  <c r="I134" i="14" l="1"/>
  <c r="O19" i="14" s="1"/>
  <c r="I196" i="14"/>
  <c r="I178" i="14" s="1"/>
  <c r="J87" i="14" s="1"/>
  <c r="M191" i="14"/>
  <c r="L173" i="14"/>
  <c r="M190" i="14"/>
  <c r="L172" i="14"/>
  <c r="J174" i="14"/>
  <c r="K83" i="14" s="1"/>
  <c r="CE151" i="9"/>
  <c r="CQ151" i="9"/>
  <c r="CE35" i="9"/>
  <c r="CQ35" i="9"/>
  <c r="CE36" i="9"/>
  <c r="CQ36" i="9"/>
  <c r="CF62" i="9"/>
  <c r="CR62" i="9"/>
  <c r="E117" i="10"/>
  <c r="G879" i="7"/>
  <c r="G882" i="7"/>
  <c r="G1243" i="6"/>
  <c r="G1241" i="6"/>
  <c r="I131" i="14" l="1"/>
  <c r="J130" i="14" s="1"/>
  <c r="N191" i="14"/>
  <c r="M173" i="14"/>
  <c r="N190" i="14"/>
  <c r="M172" i="14"/>
  <c r="K174" i="14"/>
  <c r="L83" i="14" s="1"/>
  <c r="CF151" i="9"/>
  <c r="CR151" i="9"/>
  <c r="CF36" i="9"/>
  <c r="CR36" i="9"/>
  <c r="CF35" i="9"/>
  <c r="CR35" i="9"/>
  <c r="CS62" i="9"/>
  <c r="CG62" i="9"/>
  <c r="R18" i="14" l="1"/>
  <c r="J129" i="14"/>
  <c r="Q18" i="14" s="1"/>
  <c r="J196" i="14"/>
  <c r="J131" i="14" s="1"/>
  <c r="N173" i="14"/>
  <c r="O191" i="14"/>
  <c r="O190" i="14"/>
  <c r="N172" i="14"/>
  <c r="L174" i="14"/>
  <c r="M83" i="14" s="1"/>
  <c r="CG151" i="9"/>
  <c r="CS151" i="9"/>
  <c r="CS35" i="9"/>
  <c r="CG35" i="9"/>
  <c r="CG36" i="9"/>
  <c r="CS36" i="9"/>
  <c r="CH62" i="9"/>
  <c r="CT62" i="9"/>
  <c r="AJ102" i="10"/>
  <c r="AG102" i="10"/>
  <c r="AD102" i="10"/>
  <c r="AA102" i="10"/>
  <c r="X102" i="10"/>
  <c r="U102" i="10"/>
  <c r="R102" i="10"/>
  <c r="O102" i="10"/>
  <c r="L102" i="10"/>
  <c r="G42" i="22"/>
  <c r="G29" i="22"/>
  <c r="G116" i="22"/>
  <c r="G16" i="22"/>
  <c r="G6" i="22"/>
  <c r="G8" i="22"/>
  <c r="G505" i="8"/>
  <c r="G504" i="8"/>
  <c r="G479" i="8"/>
  <c r="G482" i="8"/>
  <c r="G480" i="8"/>
  <c r="G488" i="8"/>
  <c r="G487" i="8"/>
  <c r="G473" i="8"/>
  <c r="G464" i="8"/>
  <c r="G463" i="8"/>
  <c r="G457" i="8"/>
  <c r="H442" i="8"/>
  <c r="G407" i="8"/>
  <c r="G367" i="8"/>
  <c r="F9" i="21"/>
  <c r="J178" i="14" l="1"/>
  <c r="K87" i="14" s="1"/>
  <c r="K130" i="14" s="1"/>
  <c r="T18" i="14" s="1"/>
  <c r="P190" i="14"/>
  <c r="O172" i="14"/>
  <c r="P191" i="14"/>
  <c r="O173" i="14"/>
  <c r="M174" i="14"/>
  <c r="N83" i="14" s="1"/>
  <c r="CT151" i="9"/>
  <c r="CH151" i="9"/>
  <c r="CT36" i="9"/>
  <c r="CH36" i="9"/>
  <c r="CH35" i="9"/>
  <c r="CT35" i="9"/>
  <c r="CU62" i="9"/>
  <c r="CI62" i="9"/>
  <c r="G177" i="8"/>
  <c r="G242" i="8"/>
  <c r="H242" i="8"/>
  <c r="G338" i="8"/>
  <c r="G331" i="8"/>
  <c r="G319" i="8"/>
  <c r="G307" i="8"/>
  <c r="H253" i="8"/>
  <c r="G295" i="8"/>
  <c r="G300" i="8"/>
  <c r="G271" i="8"/>
  <c r="G244" i="8"/>
  <c r="G251" i="8"/>
  <c r="G250" i="8"/>
  <c r="G248" i="8"/>
  <c r="G210" i="8"/>
  <c r="G209" i="8"/>
  <c r="G208" i="8"/>
  <c r="G206" i="8"/>
  <c r="G186" i="8"/>
  <c r="G185" i="8"/>
  <c r="G178" i="8"/>
  <c r="G179" i="8"/>
  <c r="G171" i="8"/>
  <c r="K129" i="14" l="1"/>
  <c r="S18" i="14" s="1"/>
  <c r="Q173" i="14"/>
  <c r="P173" i="14"/>
  <c r="Q172" i="14"/>
  <c r="P172" i="14"/>
  <c r="N174" i="14"/>
  <c r="O83" i="14" s="1"/>
  <c r="CI151" i="9"/>
  <c r="CU151" i="9"/>
  <c r="CI35" i="9"/>
  <c r="CU35" i="9"/>
  <c r="CI36" i="9"/>
  <c r="CU36" i="9"/>
  <c r="CJ62" i="9"/>
  <c r="CW62" i="9" s="1"/>
  <c r="CV62" i="9"/>
  <c r="Z62" i="9"/>
  <c r="Q63" i="9"/>
  <c r="R63" i="9"/>
  <c r="S63" i="9"/>
  <c r="W63" i="9"/>
  <c r="AB63" i="9"/>
  <c r="AC63" i="9"/>
  <c r="AF63" i="9"/>
  <c r="AG63" i="9"/>
  <c r="AH63" i="9"/>
  <c r="AK63" i="9"/>
  <c r="AL63" i="9"/>
  <c r="AM63" i="9"/>
  <c r="AP63" i="9"/>
  <c r="AQ63" i="9"/>
  <c r="AR63" i="9"/>
  <c r="AU63" i="9"/>
  <c r="AV63" i="9"/>
  <c r="AW63" i="9"/>
  <c r="AZ63" i="9"/>
  <c r="BA63" i="9"/>
  <c r="BB63" i="9"/>
  <c r="BE63" i="9"/>
  <c r="BF63" i="9"/>
  <c r="BG63" i="9"/>
  <c r="BJ63" i="9"/>
  <c r="BK63" i="9"/>
  <c r="BL63" i="9"/>
  <c r="BO63" i="9"/>
  <c r="BP63" i="9"/>
  <c r="BQ63" i="9"/>
  <c r="BT63" i="9"/>
  <c r="BU63" i="9"/>
  <c r="BV63" i="9"/>
  <c r="I102" i="10"/>
  <c r="J421" i="7"/>
  <c r="K421" i="7"/>
  <c r="L421" i="7"/>
  <c r="M421" i="7"/>
  <c r="N421" i="7"/>
  <c r="O421" i="7"/>
  <c r="P421" i="7"/>
  <c r="Q421" i="7"/>
  <c r="R421" i="7"/>
  <c r="I421" i="7"/>
  <c r="G421" i="7"/>
  <c r="G419" i="7"/>
  <c r="J419" i="7"/>
  <c r="K419" i="7"/>
  <c r="L419" i="7"/>
  <c r="M419" i="7"/>
  <c r="N419" i="7"/>
  <c r="O419" i="7"/>
  <c r="P419" i="7"/>
  <c r="Q419" i="7"/>
  <c r="R419" i="7"/>
  <c r="I419" i="7"/>
  <c r="F60" i="9"/>
  <c r="F63" i="9" s="1"/>
  <c r="E14" i="40"/>
  <c r="G1156" i="7"/>
  <c r="G1155" i="7"/>
  <c r="G1153" i="7"/>
  <c r="G1151" i="7"/>
  <c r="I1149" i="7"/>
  <c r="G1149" i="7"/>
  <c r="G1147" i="7"/>
  <c r="G1146" i="7"/>
  <c r="G1141" i="7"/>
  <c r="G1140" i="7"/>
  <c r="G1136" i="7"/>
  <c r="G1134" i="7"/>
  <c r="G1129" i="7"/>
  <c r="G1109" i="7"/>
  <c r="G1108" i="7"/>
  <c r="H1080" i="7"/>
  <c r="H1101" i="7"/>
  <c r="I1101" i="7"/>
  <c r="J1101" i="7" s="1"/>
  <c r="K1101" i="7" s="1"/>
  <c r="L1101" i="7" s="1"/>
  <c r="M1101" i="7" s="1"/>
  <c r="N1101" i="7" s="1"/>
  <c r="O1101" i="7" s="1"/>
  <c r="P1101" i="7" s="1"/>
  <c r="Q1101" i="7" s="1"/>
  <c r="R1101" i="7" s="1"/>
  <c r="G1103" i="7"/>
  <c r="G1085" i="7"/>
  <c r="G1084" i="7"/>
  <c r="G1083" i="7"/>
  <c r="G1099" i="7"/>
  <c r="G1097" i="7"/>
  <c r="G1096" i="7"/>
  <c r="G1095" i="7"/>
  <c r="G1093" i="7"/>
  <c r="G1091" i="7"/>
  <c r="G1090" i="7"/>
  <c r="G1079" i="7"/>
  <c r="G1078" i="7"/>
  <c r="K196" i="14" l="1"/>
  <c r="K178" i="14" s="1"/>
  <c r="L87" i="14" s="1"/>
  <c r="K131" i="14"/>
  <c r="O174" i="14"/>
  <c r="P83" i="14" s="1"/>
  <c r="CJ151" i="9"/>
  <c r="CW151" i="9" s="1"/>
  <c r="CV151" i="9"/>
  <c r="CJ36" i="9"/>
  <c r="CW36" i="9" s="1"/>
  <c r="CV36" i="9"/>
  <c r="CJ35" i="9"/>
  <c r="CW35" i="9" s="1"/>
  <c r="CV35" i="9"/>
  <c r="F54" i="9"/>
  <c r="F120" i="40"/>
  <c r="F41" i="9"/>
  <c r="L130" i="14" l="1"/>
  <c r="V18" i="14"/>
  <c r="L129" i="14"/>
  <c r="L196" i="14" s="1"/>
  <c r="L131" i="14" s="1"/>
  <c r="P174" i="14"/>
  <c r="Q83" i="14" s="1"/>
  <c r="P111" i="14"/>
  <c r="Y45" i="9"/>
  <c r="F45" i="9"/>
  <c r="Y44" i="9"/>
  <c r="F44" i="9"/>
  <c r="E122" i="40"/>
  <c r="U18" i="14" l="1"/>
  <c r="L178" i="14"/>
  <c r="M87" i="14" s="1"/>
  <c r="M130" i="14" s="1"/>
  <c r="X18" i="14" s="1"/>
  <c r="Q111" i="14"/>
  <c r="Q174" i="14"/>
  <c r="G892" i="7"/>
  <c r="G891" i="7"/>
  <c r="E53" i="10"/>
  <c r="J753" i="7"/>
  <c r="K753" i="7" s="1"/>
  <c r="L753" i="7" s="1"/>
  <c r="M753" i="7" s="1"/>
  <c r="N753" i="7" s="1"/>
  <c r="O753" i="7" s="1"/>
  <c r="P753" i="7" s="1"/>
  <c r="Q753" i="7" s="1"/>
  <c r="R753" i="7" s="1"/>
  <c r="H753" i="7"/>
  <c r="G749" i="7"/>
  <c r="G734" i="7"/>
  <c r="G725" i="7"/>
  <c r="G726" i="7"/>
  <c r="G47" i="10"/>
  <c r="Z35" i="9"/>
  <c r="Z36" i="9"/>
  <c r="G313" i="7"/>
  <c r="J847" i="7"/>
  <c r="K847" i="7" s="1"/>
  <c r="L847" i="7" s="1"/>
  <c r="M847" i="7" s="1"/>
  <c r="N847" i="7" s="1"/>
  <c r="O847" i="7" s="1"/>
  <c r="P847" i="7" s="1"/>
  <c r="Q847" i="7" s="1"/>
  <c r="R847" i="7" s="1"/>
  <c r="H847" i="7"/>
  <c r="G845" i="7"/>
  <c r="G821" i="7"/>
  <c r="G818" i="7"/>
  <c r="G815" i="7"/>
  <c r="G806" i="7"/>
  <c r="M129" i="14" l="1"/>
  <c r="M196" i="14" s="1"/>
  <c r="M178" i="14" s="1"/>
  <c r="N87" i="14" s="1"/>
  <c r="G785" i="7"/>
  <c r="G786" i="7"/>
  <c r="G784" i="7"/>
  <c r="G688" i="7"/>
  <c r="G681" i="7"/>
  <c r="G675" i="7"/>
  <c r="G654" i="7"/>
  <c r="G659" i="7"/>
  <c r="G626" i="7"/>
  <c r="G616" i="7"/>
  <c r="G601" i="7"/>
  <c r="G600" i="7"/>
  <c r="G599" i="7"/>
  <c r="G569" i="7"/>
  <c r="G567" i="7"/>
  <c r="G564" i="7"/>
  <c r="G562" i="7"/>
  <c r="G561" i="7"/>
  <c r="G550" i="7"/>
  <c r="G492" i="7"/>
  <c r="G9" i="27"/>
  <c r="G12" i="27"/>
  <c r="G1822" i="6"/>
  <c r="J1823" i="6"/>
  <c r="K1823" i="6" s="1"/>
  <c r="L1823" i="6" s="1"/>
  <c r="M1823" i="6" s="1"/>
  <c r="N1823" i="6" s="1"/>
  <c r="O1823" i="6" s="1"/>
  <c r="P1823" i="6" s="1"/>
  <c r="Q1823" i="6" s="1"/>
  <c r="R1823" i="6" s="1"/>
  <c r="H1823" i="6"/>
  <c r="G1907" i="6"/>
  <c r="G1909" i="6"/>
  <c r="G1858" i="6"/>
  <c r="G1852" i="6"/>
  <c r="G1851" i="6"/>
  <c r="G1846" i="6"/>
  <c r="G1819" i="6"/>
  <c r="G1815" i="6"/>
  <c r="G1809" i="6"/>
  <c r="G1781" i="6"/>
  <c r="G1776" i="6"/>
  <c r="G1834" i="6"/>
  <c r="G1974" i="6"/>
  <c r="G1972" i="6"/>
  <c r="G1971" i="6"/>
  <c r="G1969" i="6"/>
  <c r="W18" i="14" l="1"/>
  <c r="M131" i="14"/>
  <c r="N130" i="14" s="1"/>
  <c r="Z18" i="14" s="1"/>
  <c r="I1608" i="6"/>
  <c r="N129" i="14" l="1"/>
  <c r="N196" i="14" s="1"/>
  <c r="N178" i="14" s="1"/>
  <c r="O87" i="14" s="1"/>
  <c r="F227" i="10"/>
  <c r="G1654" i="6"/>
  <c r="G1653" i="6"/>
  <c r="I1711" i="6"/>
  <c r="J1711" i="6" s="1"/>
  <c r="K1711" i="6" s="1"/>
  <c r="L1711" i="6" s="1"/>
  <c r="M1711" i="6" s="1"/>
  <c r="N1711" i="6" s="1"/>
  <c r="O1711" i="6" s="1"/>
  <c r="P1711" i="6" s="1"/>
  <c r="Q1711" i="6" s="1"/>
  <c r="R1711" i="6" s="1"/>
  <c r="G1710" i="6"/>
  <c r="J1729" i="6"/>
  <c r="K1729" i="6" s="1"/>
  <c r="L1729" i="6" s="1"/>
  <c r="M1729" i="6" s="1"/>
  <c r="N1729" i="6" s="1"/>
  <c r="O1729" i="6" s="1"/>
  <c r="P1729" i="6" s="1"/>
  <c r="Q1729" i="6" s="1"/>
  <c r="R1729" i="6" s="1"/>
  <c r="H1729" i="6"/>
  <c r="G1728" i="6"/>
  <c r="V191" i="9"/>
  <c r="G1570" i="6" s="1"/>
  <c r="N131" i="14" l="1"/>
  <c r="O130" i="14" s="1"/>
  <c r="AB18" i="14" s="1"/>
  <c r="Y18" i="14"/>
  <c r="O129" i="14"/>
  <c r="G290" i="5"/>
  <c r="G1446" i="6"/>
  <c r="G1389" i="6"/>
  <c r="G1333" i="6"/>
  <c r="G1308" i="6"/>
  <c r="G1303" i="6"/>
  <c r="G1289" i="6"/>
  <c r="G1279" i="6"/>
  <c r="G1287" i="6"/>
  <c r="G1286" i="6"/>
  <c r="O196" i="14" l="1"/>
  <c r="AA18" i="14"/>
  <c r="O178" i="14"/>
  <c r="P87" i="14" s="1"/>
  <c r="F403" i="9"/>
  <c r="F407" i="9"/>
  <c r="F404" i="9"/>
  <c r="F397" i="9"/>
  <c r="Y141" i="9"/>
  <c r="F141" i="9"/>
  <c r="F172" i="10"/>
  <c r="Y408" i="9"/>
  <c r="F408" i="9"/>
  <c r="F405" i="9"/>
  <c r="Y394" i="9"/>
  <c r="F394" i="9"/>
  <c r="Y412" i="9"/>
  <c r="F412" i="9"/>
  <c r="W147" i="9"/>
  <c r="F147" i="9"/>
  <c r="F52" i="12"/>
  <c r="F148" i="9"/>
  <c r="F76" i="10"/>
  <c r="O131" i="14" l="1"/>
  <c r="P130" i="14" s="1"/>
  <c r="F311" i="9"/>
  <c r="F304" i="9"/>
  <c r="F296" i="9"/>
  <c r="F276" i="9"/>
  <c r="F273" i="9"/>
  <c r="F134" i="9"/>
  <c r="Z318" i="9"/>
  <c r="F136" i="9"/>
  <c r="Z360" i="9"/>
  <c r="Z361" i="9"/>
  <c r="F354" i="9"/>
  <c r="P129" i="14" l="1"/>
  <c r="AC18" i="14" s="1"/>
  <c r="AD18" i="14"/>
  <c r="F317" i="9"/>
  <c r="W317" i="9"/>
  <c r="F63" i="12"/>
  <c r="P196" i="14" l="1"/>
  <c r="P178" i="14" s="1"/>
  <c r="Q87" i="14" s="1"/>
  <c r="W284" i="9"/>
  <c r="Z284" i="9" s="1"/>
  <c r="F283" i="9"/>
  <c r="W283" i="9" s="1"/>
  <c r="W128" i="9"/>
  <c r="F128" i="9"/>
  <c r="H345" i="9"/>
  <c r="I345" i="9"/>
  <c r="J345" i="9"/>
  <c r="K345" i="9"/>
  <c r="L345" i="9"/>
  <c r="M345" i="9"/>
  <c r="N345" i="9"/>
  <c r="O345" i="9"/>
  <c r="P345" i="9"/>
  <c r="S345" i="9"/>
  <c r="W345" i="9"/>
  <c r="X345" i="9"/>
  <c r="Y345" i="9"/>
  <c r="F277" i="9"/>
  <c r="F278" i="9"/>
  <c r="R87" i="14" l="1"/>
  <c r="P131" i="14"/>
  <c r="Q130" i="14" s="1"/>
  <c r="G1048" i="6"/>
  <c r="I250" i="6"/>
  <c r="G250" i="6"/>
  <c r="J1027" i="6"/>
  <c r="K1027" i="6" s="1"/>
  <c r="L1027" i="6" s="1"/>
  <c r="M1027" i="6" s="1"/>
  <c r="N1027" i="6" s="1"/>
  <c r="O1027" i="6" s="1"/>
  <c r="P1027" i="6" s="1"/>
  <c r="Q1027" i="6" s="1"/>
  <c r="R1027" i="6" s="1"/>
  <c r="R250" i="6" s="1"/>
  <c r="H1027" i="6"/>
  <c r="F112" i="9"/>
  <c r="F252" i="9"/>
  <c r="F234" i="9"/>
  <c r="E161" i="10"/>
  <c r="F157" i="10"/>
  <c r="Y112" i="9"/>
  <c r="Q129" i="14" l="1"/>
  <c r="R129" i="14" s="1"/>
  <c r="AF18" i="14"/>
  <c r="R130" i="14"/>
  <c r="J250" i="6"/>
  <c r="P250" i="6"/>
  <c r="O250" i="6"/>
  <c r="N250" i="6"/>
  <c r="M250" i="6"/>
  <c r="L250" i="6"/>
  <c r="K250" i="6"/>
  <c r="Q250" i="6"/>
  <c r="G987" i="6"/>
  <c r="G985" i="6"/>
  <c r="G976" i="6"/>
  <c r="G974" i="6"/>
  <c r="G973" i="6"/>
  <c r="H963" i="6"/>
  <c r="H961" i="6"/>
  <c r="G956" i="6"/>
  <c r="AE18" i="14" l="1"/>
  <c r="Q196" i="14"/>
  <c r="G945" i="6"/>
  <c r="V101" i="9"/>
  <c r="F101" i="9"/>
  <c r="F102" i="9"/>
  <c r="F100" i="9"/>
  <c r="Q131" i="14" l="1"/>
  <c r="Q178" i="14"/>
  <c r="G900" i="6"/>
  <c r="G899" i="6"/>
  <c r="G897" i="6"/>
  <c r="G896" i="6"/>
  <c r="G894" i="6"/>
  <c r="G888" i="6"/>
  <c r="G904" i="6"/>
  <c r="G838" i="6"/>
  <c r="G849" i="6"/>
  <c r="G853" i="6"/>
  <c r="G782" i="6"/>
  <c r="G783" i="6"/>
  <c r="G763" i="6"/>
  <c r="G755" i="6"/>
  <c r="G411" i="5"/>
  <c r="G404" i="5"/>
  <c r="G410" i="5"/>
  <c r="G351" i="5"/>
  <c r="V69" i="9"/>
  <c r="F69" i="9"/>
  <c r="G289" i="5"/>
  <c r="G284" i="5"/>
  <c r="G283" i="5"/>
  <c r="G281" i="5"/>
  <c r="E127" i="10"/>
  <c r="J251" i="5"/>
  <c r="K251" i="5" s="1"/>
  <c r="L251" i="5" s="1"/>
  <c r="M251" i="5" s="1"/>
  <c r="N251" i="5" s="1"/>
  <c r="O251" i="5" s="1"/>
  <c r="P251" i="5" s="1"/>
  <c r="Q251" i="5" s="1"/>
  <c r="R251" i="5" s="1"/>
  <c r="G249" i="5"/>
  <c r="G236" i="5"/>
  <c r="G230" i="5"/>
  <c r="G228" i="5"/>
  <c r="G227" i="5"/>
  <c r="G225" i="5"/>
  <c r="G223" i="5"/>
  <c r="G220" i="5"/>
  <c r="G928" i="4"/>
  <c r="G930" i="4"/>
  <c r="G906" i="4"/>
  <c r="G896" i="4"/>
  <c r="G885" i="4"/>
  <c r="G872" i="4"/>
  <c r="G704" i="4"/>
  <c r="J687" i="4"/>
  <c r="K687" i="4" s="1"/>
  <c r="L687" i="4" s="1"/>
  <c r="M687" i="4" s="1"/>
  <c r="N687" i="4" s="1"/>
  <c r="O687" i="4" s="1"/>
  <c r="P687" i="4" s="1"/>
  <c r="Q687" i="4" s="1"/>
  <c r="R687" i="4" s="1"/>
  <c r="H717" i="4"/>
  <c r="H680" i="4"/>
  <c r="J680" i="4"/>
  <c r="K680" i="4" s="1"/>
  <c r="L680" i="4" s="1"/>
  <c r="M680" i="4" s="1"/>
  <c r="N680" i="4" s="1"/>
  <c r="O680" i="4" s="1"/>
  <c r="P680" i="4" s="1"/>
  <c r="Q680" i="4" s="1"/>
  <c r="R680" i="4" s="1"/>
  <c r="J717" i="4"/>
  <c r="K717" i="4" s="1"/>
  <c r="L717" i="4" s="1"/>
  <c r="M717" i="4" s="1"/>
  <c r="N717" i="4" s="1"/>
  <c r="O717" i="4" s="1"/>
  <c r="P717" i="4" s="1"/>
  <c r="Q717" i="4" s="1"/>
  <c r="R717" i="4" s="1"/>
  <c r="G742" i="4"/>
  <c r="G767" i="4"/>
  <c r="G492" i="4"/>
  <c r="G491" i="4"/>
  <c r="G538" i="4"/>
  <c r="G651" i="4"/>
  <c r="F21" i="12"/>
  <c r="F25" i="12"/>
  <c r="H437" i="4"/>
  <c r="J437" i="4"/>
  <c r="K437" i="4" s="1"/>
  <c r="L437" i="4" s="1"/>
  <c r="M437" i="4" s="1"/>
  <c r="N437" i="4" s="1"/>
  <c r="O437" i="4" s="1"/>
  <c r="P437" i="4" s="1"/>
  <c r="Q437" i="4" s="1"/>
  <c r="R437" i="4" s="1"/>
  <c r="F22" i="10"/>
  <c r="G417" i="4"/>
  <c r="G418" i="4"/>
  <c r="H389" i="4"/>
  <c r="H457" i="4"/>
  <c r="J389" i="4"/>
  <c r="K389" i="4" s="1"/>
  <c r="L389" i="4" s="1"/>
  <c r="M389" i="4" s="1"/>
  <c r="N389" i="4" s="1"/>
  <c r="O389" i="4" s="1"/>
  <c r="P389" i="4" s="1"/>
  <c r="Q389" i="4" s="1"/>
  <c r="R389" i="4" s="1"/>
  <c r="J429" i="4"/>
  <c r="K429" i="4" s="1"/>
  <c r="L429" i="4" s="1"/>
  <c r="M429" i="4" s="1"/>
  <c r="N429" i="4" s="1"/>
  <c r="O429" i="4" s="1"/>
  <c r="P429" i="4" s="1"/>
  <c r="Q429" i="4" s="1"/>
  <c r="R429" i="4" s="1"/>
  <c r="G61" i="4"/>
  <c r="J394" i="4"/>
  <c r="K394" i="4" s="1"/>
  <c r="L394" i="4" s="1"/>
  <c r="M394" i="4" s="1"/>
  <c r="N394" i="4" s="1"/>
  <c r="O394" i="4" s="1"/>
  <c r="P394" i="4" s="1"/>
  <c r="Q394" i="4" s="1"/>
  <c r="R394" i="4" s="1"/>
  <c r="G238" i="5" l="1"/>
  <c r="I540" i="8"/>
  <c r="I341" i="8"/>
  <c r="C541" i="6" l="1"/>
  <c r="D540" i="6"/>
  <c r="C540" i="6"/>
  <c r="B541" i="6"/>
  <c r="B540" i="6"/>
  <c r="A541" i="6"/>
  <c r="A540" i="6"/>
  <c r="I262" i="7" l="1"/>
  <c r="G262" i="7"/>
  <c r="D262" i="7"/>
  <c r="C262" i="7"/>
  <c r="B262" i="7"/>
  <c r="A262" i="7"/>
  <c r="H262" i="7" l="1"/>
  <c r="D1890" i="6"/>
  <c r="D1891" i="6"/>
  <c r="D201" i="10" l="1"/>
  <c r="C201" i="10"/>
  <c r="B201" i="10"/>
  <c r="B200" i="10"/>
  <c r="U168" i="9"/>
  <c r="S168" i="9"/>
  <c r="R168" i="9"/>
  <c r="P168" i="9"/>
  <c r="O168" i="9"/>
  <c r="N168" i="9"/>
  <c r="M168" i="9"/>
  <c r="L168" i="9"/>
  <c r="K168" i="9"/>
  <c r="J168" i="9"/>
  <c r="I168" i="9"/>
  <c r="H168" i="9"/>
  <c r="G168" i="9"/>
  <c r="F168" i="9"/>
  <c r="L6" i="1" l="1"/>
  <c r="I122" i="11"/>
  <c r="F122" i="11"/>
  <c r="C122" i="11"/>
  <c r="D122" i="11" s="1"/>
  <c r="E122" i="11" s="1"/>
  <c r="R1206" i="6"/>
  <c r="Q1206" i="6"/>
  <c r="P1206" i="6"/>
  <c r="O1206" i="6"/>
  <c r="N1206" i="6"/>
  <c r="M1206" i="6"/>
  <c r="L1206" i="6"/>
  <c r="K1206" i="6"/>
  <c r="J1206" i="6"/>
  <c r="J1205" i="6"/>
  <c r="I1205" i="6"/>
  <c r="I1206" i="6"/>
  <c r="N192" i="10"/>
  <c r="P192" i="10" s="1"/>
  <c r="O122" i="11" s="1"/>
  <c r="M192" i="10"/>
  <c r="L122" i="11" s="1"/>
  <c r="N2" i="37"/>
  <c r="G97" i="9"/>
  <c r="R154" i="10"/>
  <c r="U154" i="10"/>
  <c r="Q192" i="10" l="1"/>
  <c r="L1205" i="6" s="1"/>
  <c r="K1205" i="6"/>
  <c r="S192" i="10"/>
  <c r="R122" i="11" s="1"/>
  <c r="G122" i="11"/>
  <c r="H122" i="11" s="1"/>
  <c r="J122" i="11" s="1"/>
  <c r="K122" i="11" s="1"/>
  <c r="M122" i="11" s="1"/>
  <c r="N122" i="11" s="1"/>
  <c r="P122" i="11" s="1"/>
  <c r="Q122" i="11" s="1"/>
  <c r="G604" i="34"/>
  <c r="P592" i="34"/>
  <c r="I580" i="34"/>
  <c r="H580" i="34"/>
  <c r="H312" i="34"/>
  <c r="I312" i="34" s="1"/>
  <c r="J312" i="34" s="1"/>
  <c r="K312" i="34" s="1"/>
  <c r="L312" i="34" s="1"/>
  <c r="M312" i="34" s="1"/>
  <c r="N312" i="34" s="1"/>
  <c r="O312" i="34" s="1"/>
  <c r="P312" i="34" s="1"/>
  <c r="H310" i="34"/>
  <c r="I310" i="34" s="1"/>
  <c r="J310" i="34" s="1"/>
  <c r="K310" i="34" s="1"/>
  <c r="L310" i="34" s="1"/>
  <c r="M310" i="34" s="1"/>
  <c r="N310" i="34" s="1"/>
  <c r="O310" i="34" s="1"/>
  <c r="P310" i="34" s="1"/>
  <c r="G312" i="34"/>
  <c r="G311" i="34"/>
  <c r="H311" i="34" s="1"/>
  <c r="I311" i="34" s="1"/>
  <c r="J311" i="34" s="1"/>
  <c r="K311" i="34" s="1"/>
  <c r="L311" i="34" s="1"/>
  <c r="M311" i="34" s="1"/>
  <c r="N311" i="34" s="1"/>
  <c r="O311" i="34" s="1"/>
  <c r="P311" i="34" s="1"/>
  <c r="G310" i="34"/>
  <c r="P106" i="34"/>
  <c r="AH16" i="20"/>
  <c r="AH12" i="20"/>
  <c r="AH10" i="20"/>
  <c r="P13" i="34"/>
  <c r="O13" i="34"/>
  <c r="N13" i="34"/>
  <c r="M13" i="34"/>
  <c r="L13" i="34"/>
  <c r="K13" i="34"/>
  <c r="J13" i="34"/>
  <c r="I13" i="34"/>
  <c r="H13" i="34"/>
  <c r="P24" i="34"/>
  <c r="S122" i="11" l="1"/>
  <c r="T122" i="11" s="1"/>
  <c r="T192" i="10"/>
  <c r="V192" i="10" s="1"/>
  <c r="U122" i="11" s="1"/>
  <c r="V122" i="11" s="1"/>
  <c r="W122" i="11" s="1"/>
  <c r="W192" i="10"/>
  <c r="M173" i="10"/>
  <c r="J173" i="10"/>
  <c r="M1205" i="6" l="1"/>
  <c r="Z192" i="10"/>
  <c r="Y192" i="10"/>
  <c r="X122" i="11" s="1"/>
  <c r="Y122" i="11" s="1"/>
  <c r="Z122" i="11" s="1"/>
  <c r="N1205" i="6"/>
  <c r="AE98" i="9"/>
  <c r="AE99" i="9"/>
  <c r="AE100" i="9"/>
  <c r="AE101" i="9"/>
  <c r="AE102" i="9"/>
  <c r="AE103" i="9"/>
  <c r="AE104" i="9"/>
  <c r="W9" i="37"/>
  <c r="V9" i="37"/>
  <c r="U9" i="37"/>
  <c r="R2029" i="6"/>
  <c r="R2025" i="6"/>
  <c r="R1999" i="6"/>
  <c r="R1954" i="6"/>
  <c r="R1640" i="6"/>
  <c r="R1458" i="6"/>
  <c r="Q1458" i="6"/>
  <c r="R1459" i="6"/>
  <c r="Q1459" i="6"/>
  <c r="R1372" i="6"/>
  <c r="R1371" i="6"/>
  <c r="R1370" i="6"/>
  <c r="R1143" i="6"/>
  <c r="R1062" i="6"/>
  <c r="R1010" i="6"/>
  <c r="Q1010" i="6"/>
  <c r="P1010" i="6"/>
  <c r="R1011" i="6"/>
  <c r="Q1011" i="6"/>
  <c r="AJ154" i="10"/>
  <c r="R811" i="6"/>
  <c r="R809" i="6"/>
  <c r="P201" i="3"/>
  <c r="O201" i="3"/>
  <c r="N201" i="3"/>
  <c r="R557" i="8"/>
  <c r="Q557" i="8"/>
  <c r="R554" i="8"/>
  <c r="AD20" i="20"/>
  <c r="AG12" i="20"/>
  <c r="AF12" i="20"/>
  <c r="AG10" i="20"/>
  <c r="AF10" i="20"/>
  <c r="R54" i="20"/>
  <c r="R53" i="20"/>
  <c r="I99" i="20"/>
  <c r="H99" i="20"/>
  <c r="G99" i="20"/>
  <c r="R356" i="8"/>
  <c r="P67" i="17"/>
  <c r="O67" i="17"/>
  <c r="P36" i="17"/>
  <c r="F83" i="17"/>
  <c r="F74" i="17"/>
  <c r="F64" i="17"/>
  <c r="F55" i="17"/>
  <c r="P72" i="16"/>
  <c r="O72" i="16"/>
  <c r="O81" i="21"/>
  <c r="P75" i="21"/>
  <c r="P74" i="21"/>
  <c r="P73" i="21"/>
  <c r="BL61" i="21"/>
  <c r="BL60" i="21"/>
  <c r="BL56" i="21"/>
  <c r="BL55" i="21"/>
  <c r="BL54" i="21"/>
  <c r="BL53" i="21"/>
  <c r="BL50" i="21"/>
  <c r="BL49" i="21"/>
  <c r="BL48" i="21"/>
  <c r="BL47" i="21"/>
  <c r="BL46" i="21"/>
  <c r="BL45" i="21"/>
  <c r="BL44" i="21"/>
  <c r="BL43" i="21"/>
  <c r="BL42" i="21"/>
  <c r="BL41" i="21"/>
  <c r="BL40" i="21"/>
  <c r="BL39" i="21"/>
  <c r="BL38" i="21"/>
  <c r="BL37" i="21"/>
  <c r="BL34" i="21"/>
  <c r="BL33" i="21"/>
  <c r="BL32" i="21"/>
  <c r="BL31" i="21"/>
  <c r="BL30" i="21"/>
  <c r="BL27" i="21"/>
  <c r="BL26" i="21"/>
  <c r="BL25" i="21"/>
  <c r="BL22" i="21"/>
  <c r="BL18" i="21"/>
  <c r="BL17" i="21"/>
  <c r="BL16" i="21"/>
  <c r="BL15" i="21"/>
  <c r="BL14" i="21"/>
  <c r="BL11" i="21"/>
  <c r="BH11" i="21"/>
  <c r="BD11" i="21"/>
  <c r="AZ11" i="21"/>
  <c r="AV11" i="21"/>
  <c r="AR11" i="21"/>
  <c r="AN11" i="21"/>
  <c r="AJ11" i="21"/>
  <c r="AF11" i="21"/>
  <c r="AB11" i="21"/>
  <c r="BL10" i="21"/>
  <c r="BH10" i="21"/>
  <c r="BD10" i="21"/>
  <c r="AZ10" i="21"/>
  <c r="AV10" i="21"/>
  <c r="AR10" i="21"/>
  <c r="AN10" i="21"/>
  <c r="AJ10" i="21"/>
  <c r="AF10" i="21"/>
  <c r="AB10" i="21"/>
  <c r="BD9" i="21"/>
  <c r="AZ9" i="21"/>
  <c r="AV9" i="21"/>
  <c r="AR9" i="21"/>
  <c r="AN9" i="21"/>
  <c r="AJ9" i="21"/>
  <c r="AF9" i="21"/>
  <c r="AB9" i="21"/>
  <c r="BL7" i="21"/>
  <c r="BH7" i="21"/>
  <c r="BD7" i="21"/>
  <c r="AZ7" i="21"/>
  <c r="AV7" i="21"/>
  <c r="AR7" i="21"/>
  <c r="AN7" i="21"/>
  <c r="AJ7" i="21"/>
  <c r="AF7" i="21"/>
  <c r="AB7" i="21"/>
  <c r="BL8" i="21"/>
  <c r="CL60" i="21"/>
  <c r="CL55" i="21"/>
  <c r="CL54" i="21"/>
  <c r="CL53" i="21"/>
  <c r="CL48" i="21"/>
  <c r="CL47" i="21"/>
  <c r="CL46" i="21"/>
  <c r="CL45" i="21"/>
  <c r="CL44" i="21"/>
  <c r="CL43" i="21"/>
  <c r="CL42" i="21"/>
  <c r="CL41" i="21"/>
  <c r="CL40" i="21"/>
  <c r="CL39" i="21"/>
  <c r="CL38" i="21"/>
  <c r="CL37" i="21"/>
  <c r="CL34" i="21"/>
  <c r="CL33" i="21"/>
  <c r="CL32" i="21"/>
  <c r="CL31" i="21"/>
  <c r="CL30" i="21"/>
  <c r="CL26" i="21"/>
  <c r="CL25" i="21"/>
  <c r="CL18" i="21"/>
  <c r="CL17" i="21"/>
  <c r="CL16" i="21"/>
  <c r="CL15" i="21"/>
  <c r="CL14" i="21"/>
  <c r="CL11" i="21"/>
  <c r="CL8" i="21"/>
  <c r="CL7" i="21"/>
  <c r="CM119" i="22"/>
  <c r="CM118" i="22"/>
  <c r="CM117" i="22"/>
  <c r="CM116" i="22"/>
  <c r="CM115" i="22"/>
  <c r="CM114" i="22"/>
  <c r="CM113" i="22"/>
  <c r="CM112" i="22"/>
  <c r="CM111" i="22"/>
  <c r="CM110" i="22"/>
  <c r="CM109" i="22"/>
  <c r="CM108" i="22"/>
  <c r="CM107" i="22"/>
  <c r="CM106" i="22"/>
  <c r="CM105" i="22"/>
  <c r="CM104" i="22"/>
  <c r="CM103" i="22"/>
  <c r="CM102" i="22"/>
  <c r="CM101" i="22"/>
  <c r="CM98" i="22"/>
  <c r="CM97" i="22"/>
  <c r="CM96" i="22"/>
  <c r="CM95" i="22"/>
  <c r="CM92" i="22"/>
  <c r="CM91" i="22"/>
  <c r="CM90" i="22"/>
  <c r="CM87" i="22"/>
  <c r="CM86" i="22"/>
  <c r="CM83" i="22"/>
  <c r="CM82" i="22"/>
  <c r="CM81" i="22"/>
  <c r="CM72" i="22"/>
  <c r="CM71" i="22"/>
  <c r="CM70" i="22"/>
  <c r="CM69" i="22"/>
  <c r="CM68" i="22"/>
  <c r="CM67" i="22"/>
  <c r="CM66" i="22"/>
  <c r="CM65" i="22"/>
  <c r="CM64" i="22"/>
  <c r="CM63" i="22"/>
  <c r="CM62" i="22"/>
  <c r="CM61" i="22"/>
  <c r="CM60" i="22"/>
  <c r="CM59" i="22"/>
  <c r="CM58" i="22"/>
  <c r="CM57" i="22"/>
  <c r="CM56" i="22"/>
  <c r="CM53" i="22"/>
  <c r="CM50" i="22"/>
  <c r="CM49" i="22"/>
  <c r="CM48" i="22"/>
  <c r="CM47" i="22"/>
  <c r="CM44" i="22"/>
  <c r="CM43" i="22"/>
  <c r="CM42" i="22"/>
  <c r="CM39" i="22"/>
  <c r="CM38" i="22"/>
  <c r="CM37" i="22"/>
  <c r="CM36" i="22"/>
  <c r="CM35" i="22"/>
  <c r="CM34" i="22"/>
  <c r="CM33" i="22"/>
  <c r="CM32" i="22"/>
  <c r="CM31" i="22"/>
  <c r="CM30" i="22"/>
  <c r="CM29" i="22"/>
  <c r="CM26" i="22"/>
  <c r="CM25" i="22"/>
  <c r="CM24" i="22"/>
  <c r="CM23" i="22"/>
  <c r="CM22" i="22"/>
  <c r="CM21" i="22"/>
  <c r="CM18" i="22"/>
  <c r="CM17" i="22"/>
  <c r="CM16" i="22"/>
  <c r="CM15" i="22"/>
  <c r="CM14" i="22"/>
  <c r="CM13" i="22"/>
  <c r="CM12" i="22"/>
  <c r="CM11" i="22"/>
  <c r="CM10" i="22"/>
  <c r="CM9" i="22"/>
  <c r="CM8" i="22"/>
  <c r="CM7" i="22"/>
  <c r="CM6" i="22"/>
  <c r="CM121" i="22" s="1"/>
  <c r="Q128" i="22"/>
  <c r="Q127" i="22"/>
  <c r="Q126" i="22"/>
  <c r="P126" i="22"/>
  <c r="Q125" i="22"/>
  <c r="BM83" i="22"/>
  <c r="BI83" i="22"/>
  <c r="BE83" i="22"/>
  <c r="BA83" i="22"/>
  <c r="AW83" i="22"/>
  <c r="AS83" i="22"/>
  <c r="AO83" i="22"/>
  <c r="AK83" i="22"/>
  <c r="AG83" i="22"/>
  <c r="AC83" i="22"/>
  <c r="BM82" i="22"/>
  <c r="BI82" i="22"/>
  <c r="BE82" i="22"/>
  <c r="BA82" i="22"/>
  <c r="AW82" i="22"/>
  <c r="AS82" i="22"/>
  <c r="AO82" i="22"/>
  <c r="AK82" i="22"/>
  <c r="AG82" i="22"/>
  <c r="AC82" i="22"/>
  <c r="BM44" i="22"/>
  <c r="BI44" i="22"/>
  <c r="BE44" i="22"/>
  <c r="BA44" i="22"/>
  <c r="AW44" i="22"/>
  <c r="AS44" i="22"/>
  <c r="AO44" i="22"/>
  <c r="AK44" i="22"/>
  <c r="AG44" i="22"/>
  <c r="AC44" i="22"/>
  <c r="BM43" i="22"/>
  <c r="BI43" i="22"/>
  <c r="BE43" i="22"/>
  <c r="BA43" i="22"/>
  <c r="AW43" i="22"/>
  <c r="AS43" i="22"/>
  <c r="AO43" i="22"/>
  <c r="AK43" i="22"/>
  <c r="AG43" i="22"/>
  <c r="AC43" i="22"/>
  <c r="BM86" i="22"/>
  <c r="BM87" i="22"/>
  <c r="BM90" i="22"/>
  <c r="BM91" i="22"/>
  <c r="BM92" i="22"/>
  <c r="BM95" i="22"/>
  <c r="BM96" i="22"/>
  <c r="BM97" i="22"/>
  <c r="BM98" i="22"/>
  <c r="BM101" i="22"/>
  <c r="BM102" i="22"/>
  <c r="BM103" i="22"/>
  <c r="BM104" i="22"/>
  <c r="BM105" i="22"/>
  <c r="BM106" i="22"/>
  <c r="BM107" i="22"/>
  <c r="BM108" i="22"/>
  <c r="BM109" i="22"/>
  <c r="BM110" i="22"/>
  <c r="BM111" i="22"/>
  <c r="BM112" i="22"/>
  <c r="BM113" i="22"/>
  <c r="BM114" i="22"/>
  <c r="BM115" i="22"/>
  <c r="BM116" i="22"/>
  <c r="BM117" i="22"/>
  <c r="BM118" i="22"/>
  <c r="BM119" i="22"/>
  <c r="BM81" i="22"/>
  <c r="BM39" i="22"/>
  <c r="BM42" i="22"/>
  <c r="BM47" i="22"/>
  <c r="BM48" i="22"/>
  <c r="BM49" i="22"/>
  <c r="BM50" i="22"/>
  <c r="BM53" i="22"/>
  <c r="BM56" i="22"/>
  <c r="BM57" i="22"/>
  <c r="BM58" i="22"/>
  <c r="BM59" i="22"/>
  <c r="BM60" i="22"/>
  <c r="BM61" i="22"/>
  <c r="BM62" i="22"/>
  <c r="BM63" i="22"/>
  <c r="BM64" i="22"/>
  <c r="BM65" i="22"/>
  <c r="BM66" i="22"/>
  <c r="BM67" i="22"/>
  <c r="BM68" i="22"/>
  <c r="BM69" i="22"/>
  <c r="BM70" i="22"/>
  <c r="BM71" i="22"/>
  <c r="BM72" i="22"/>
  <c r="BM22" i="22"/>
  <c r="BM23" i="22"/>
  <c r="BM24" i="22"/>
  <c r="BM25" i="22"/>
  <c r="BM26" i="22"/>
  <c r="BM29" i="22"/>
  <c r="BM30" i="22"/>
  <c r="BM31" i="22"/>
  <c r="BM32" i="22"/>
  <c r="BM33" i="22"/>
  <c r="BM34" i="22"/>
  <c r="BM35" i="22"/>
  <c r="BM36" i="22"/>
  <c r="BM37" i="22"/>
  <c r="BM38" i="22"/>
  <c r="BM21" i="22"/>
  <c r="BM7" i="22"/>
  <c r="BM8" i="22"/>
  <c r="BM9" i="22"/>
  <c r="BM10" i="22"/>
  <c r="BM11" i="22"/>
  <c r="BM12" i="22"/>
  <c r="BM13" i="22"/>
  <c r="BM14" i="22"/>
  <c r="BM15" i="22"/>
  <c r="BM16" i="22"/>
  <c r="BM17" i="22"/>
  <c r="BM18" i="22"/>
  <c r="BM6" i="22"/>
  <c r="F77" i="22"/>
  <c r="Q165" i="22"/>
  <c r="Q154" i="22"/>
  <c r="Q141" i="22"/>
  <c r="BW207" i="9"/>
  <c r="BW193" i="9"/>
  <c r="BW125" i="9"/>
  <c r="BW124" i="9"/>
  <c r="BW96" i="9"/>
  <c r="BX78" i="9"/>
  <c r="BW58" i="9"/>
  <c r="BW59" i="9"/>
  <c r="BW60" i="9"/>
  <c r="BW57" i="9"/>
  <c r="R1066" i="7"/>
  <c r="R1010" i="7"/>
  <c r="C568" i="7"/>
  <c r="B568" i="7"/>
  <c r="A568" i="7"/>
  <c r="R444" i="5"/>
  <c r="Q444" i="5"/>
  <c r="P444" i="5"/>
  <c r="R454" i="5"/>
  <c r="Q454" i="5"/>
  <c r="R395" i="5"/>
  <c r="R393" i="5"/>
  <c r="Q393" i="5"/>
  <c r="O225" i="3" s="1"/>
  <c r="R785" i="4"/>
  <c r="Q785" i="4"/>
  <c r="P785" i="4"/>
  <c r="R786" i="4"/>
  <c r="Q786" i="4"/>
  <c r="P786" i="4"/>
  <c r="R788" i="4"/>
  <c r="R728" i="4"/>
  <c r="R591" i="4"/>
  <c r="R590" i="4"/>
  <c r="CW183" i="9"/>
  <c r="CW182" i="9"/>
  <c r="CW181" i="9"/>
  <c r="CW180" i="9"/>
  <c r="CW179" i="9"/>
  <c r="CW133" i="9"/>
  <c r="CW132" i="9"/>
  <c r="CW131" i="9"/>
  <c r="CW130" i="9"/>
  <c r="CW129" i="9"/>
  <c r="CW96" i="9"/>
  <c r="CW60" i="9"/>
  <c r="CW18" i="9"/>
  <c r="CW17" i="9"/>
  <c r="BI142" i="9"/>
  <c r="BN142" i="9"/>
  <c r="BS142" i="9"/>
  <c r="BX142" i="9"/>
  <c r="BI145" i="9"/>
  <c r="BN145" i="9"/>
  <c r="BS145" i="9"/>
  <c r="BX145" i="9"/>
  <c r="BI143" i="9"/>
  <c r="BN143" i="9"/>
  <c r="BS143" i="9"/>
  <c r="BX143" i="9"/>
  <c r="BI144" i="9"/>
  <c r="BN144" i="9"/>
  <c r="BS144" i="9"/>
  <c r="BX144" i="9"/>
  <c r="BI147" i="9"/>
  <c r="BN147" i="9"/>
  <c r="BS147" i="9"/>
  <c r="BX147" i="9"/>
  <c r="BI148" i="9"/>
  <c r="BN148" i="9"/>
  <c r="BS148" i="9"/>
  <c r="BX148" i="9"/>
  <c r="BI149" i="9"/>
  <c r="BN149" i="9"/>
  <c r="BS149" i="9"/>
  <c r="BX149" i="9"/>
  <c r="BI150" i="9"/>
  <c r="BN150" i="9"/>
  <c r="BS150" i="9"/>
  <c r="BX150" i="9"/>
  <c r="BI151" i="9"/>
  <c r="BN151" i="9"/>
  <c r="BS151" i="9"/>
  <c r="BX151" i="9"/>
  <c r="BD142" i="9"/>
  <c r="BD145" i="9"/>
  <c r="BD143" i="9"/>
  <c r="BD144" i="9"/>
  <c r="BD147" i="9"/>
  <c r="BD148" i="9"/>
  <c r="BD149" i="9"/>
  <c r="BD150" i="9"/>
  <c r="BD151" i="9"/>
  <c r="AY142" i="9"/>
  <c r="AY145" i="9"/>
  <c r="AY143" i="9"/>
  <c r="AY144" i="9"/>
  <c r="AY147" i="9"/>
  <c r="AY148" i="9"/>
  <c r="AY149" i="9"/>
  <c r="AY150" i="9"/>
  <c r="AY151" i="9"/>
  <c r="AT142" i="9"/>
  <c r="AT145" i="9"/>
  <c r="AT143" i="9"/>
  <c r="AT144" i="9"/>
  <c r="AT147" i="9"/>
  <c r="AT148" i="9"/>
  <c r="AT149" i="9"/>
  <c r="AT150" i="9"/>
  <c r="AT151" i="9"/>
  <c r="AO151" i="9"/>
  <c r="AJ151" i="9"/>
  <c r="AE151" i="9"/>
  <c r="U151" i="9"/>
  <c r="AO187" i="9"/>
  <c r="AO188" i="9"/>
  <c r="AO189" i="9"/>
  <c r="AO190" i="9"/>
  <c r="AO191" i="9"/>
  <c r="AO201" i="9"/>
  <c r="AO202" i="9"/>
  <c r="AO203" i="9"/>
  <c r="AO204" i="9"/>
  <c r="AO205" i="9"/>
  <c r="AO206" i="9"/>
  <c r="AT201" i="9"/>
  <c r="AT202" i="9"/>
  <c r="AT203" i="9"/>
  <c r="AT204" i="9"/>
  <c r="AT205" i="9"/>
  <c r="AT206" i="9"/>
  <c r="AT187" i="9"/>
  <c r="AT188" i="9"/>
  <c r="AT189" i="9"/>
  <c r="AT190" i="9"/>
  <c r="AT191" i="9"/>
  <c r="AY187" i="9"/>
  <c r="AY188" i="9"/>
  <c r="AY189" i="9"/>
  <c r="AY190" i="9"/>
  <c r="AY191" i="9"/>
  <c r="AY201" i="9"/>
  <c r="AY202" i="9"/>
  <c r="AY203" i="9"/>
  <c r="AY204" i="9"/>
  <c r="AY205" i="9"/>
  <c r="AY206" i="9"/>
  <c r="BD201" i="9"/>
  <c r="BD202" i="9"/>
  <c r="BD203" i="9"/>
  <c r="BD204" i="9"/>
  <c r="BD205" i="9"/>
  <c r="BD206" i="9"/>
  <c r="BD187" i="9"/>
  <c r="BD188" i="9"/>
  <c r="BD189" i="9"/>
  <c r="BD190" i="9"/>
  <c r="BD191" i="9"/>
  <c r="BI201" i="9"/>
  <c r="BI202" i="9"/>
  <c r="BI203" i="9"/>
  <c r="BI204" i="9"/>
  <c r="BI205" i="9"/>
  <c r="BI206" i="9"/>
  <c r="BI187" i="9"/>
  <c r="BI188" i="9"/>
  <c r="BI189" i="9"/>
  <c r="BI190" i="9"/>
  <c r="BI191" i="9"/>
  <c r="BN201" i="9"/>
  <c r="BN202" i="9"/>
  <c r="BN203" i="9"/>
  <c r="BN204" i="9"/>
  <c r="BN205" i="9"/>
  <c r="BN206" i="9"/>
  <c r="BN187" i="9"/>
  <c r="BN188" i="9"/>
  <c r="BN189" i="9"/>
  <c r="BN190" i="9"/>
  <c r="BN191" i="9"/>
  <c r="BN192" i="9"/>
  <c r="BS187" i="9"/>
  <c r="BS188" i="9"/>
  <c r="BS189" i="9"/>
  <c r="BS190" i="9"/>
  <c r="BS191" i="9"/>
  <c r="BS192" i="9"/>
  <c r="BS201" i="9"/>
  <c r="BS202" i="9"/>
  <c r="BS203" i="9"/>
  <c r="BS204" i="9"/>
  <c r="BS205" i="9"/>
  <c r="BS206" i="9"/>
  <c r="BX206" i="9"/>
  <c r="BX205" i="9"/>
  <c r="BX204" i="9"/>
  <c r="BX203" i="9"/>
  <c r="BX202" i="9"/>
  <c r="BX201" i="9"/>
  <c r="BX192" i="9"/>
  <c r="BX191" i="9"/>
  <c r="BX190" i="9"/>
  <c r="BX189" i="9"/>
  <c r="BX188" i="9"/>
  <c r="BX187" i="9"/>
  <c r="BX183" i="9"/>
  <c r="BX182" i="9"/>
  <c r="BX181" i="9"/>
  <c r="BX180" i="9"/>
  <c r="BX179" i="9"/>
  <c r="BX176" i="9"/>
  <c r="BX164" i="9"/>
  <c r="BX162" i="9"/>
  <c r="BX161" i="9"/>
  <c r="BX160" i="9"/>
  <c r="BX159" i="9"/>
  <c r="BX158" i="9"/>
  <c r="BX157" i="9"/>
  <c r="BX156" i="9"/>
  <c r="BX155" i="9"/>
  <c r="BX154" i="9"/>
  <c r="BX133" i="9"/>
  <c r="BX132" i="9"/>
  <c r="BX131" i="9"/>
  <c r="BX130" i="9"/>
  <c r="BX129" i="9"/>
  <c r="BX128" i="9"/>
  <c r="BX127" i="9"/>
  <c r="BX126" i="9"/>
  <c r="BX116" i="9"/>
  <c r="BX115" i="9"/>
  <c r="BX69" i="9"/>
  <c r="BX37" i="9"/>
  <c r="BX32" i="9"/>
  <c r="BX31" i="9"/>
  <c r="BX30" i="9"/>
  <c r="BX18" i="9"/>
  <c r="BX17" i="9"/>
  <c r="BX14" i="9"/>
  <c r="BX8" i="9"/>
  <c r="BX9" i="9"/>
  <c r="BX10" i="9"/>
  <c r="BX11" i="9"/>
  <c r="BW2" i="9"/>
  <c r="P95" i="9"/>
  <c r="BW95" i="9" s="1"/>
  <c r="E86" i="9"/>
  <c r="E168" i="9" s="1"/>
  <c r="P439" i="9"/>
  <c r="P178" i="9"/>
  <c r="BW178" i="9" s="1"/>
  <c r="P118" i="9"/>
  <c r="BW118" i="9" s="1"/>
  <c r="P105" i="9"/>
  <c r="BW105" i="9" s="1"/>
  <c r="P74" i="9"/>
  <c r="T2" i="9"/>
  <c r="BE42" i="42"/>
  <c r="BE40" i="42"/>
  <c r="BE33" i="42"/>
  <c r="BE17" i="42"/>
  <c r="AQ40" i="42"/>
  <c r="AQ19" i="42"/>
  <c r="P492" i="34" s="1"/>
  <c r="AQ17" i="42"/>
  <c r="AC42" i="42"/>
  <c r="AC17" i="42"/>
  <c r="R99" i="14"/>
  <c r="Q79" i="14"/>
  <c r="R165" i="14"/>
  <c r="AI2" i="11"/>
  <c r="AJ234" i="10"/>
  <c r="AJ167" i="10"/>
  <c r="AJ166" i="10"/>
  <c r="AJ82" i="10"/>
  <c r="R1144" i="6" s="1"/>
  <c r="AI90" i="10"/>
  <c r="AJ81" i="10"/>
  <c r="AF80" i="10"/>
  <c r="AI80" i="10"/>
  <c r="AI79" i="10"/>
  <c r="AI2" i="10"/>
  <c r="R474" i="4"/>
  <c r="O1205" i="6" l="1"/>
  <c r="AC192" i="10"/>
  <c r="AB192" i="10"/>
  <c r="AA122" i="11" s="1"/>
  <c r="AB122" i="11" s="1"/>
  <c r="AC122" i="11" s="1"/>
  <c r="AJ153" i="10"/>
  <c r="R944" i="6" s="1"/>
  <c r="CW95" i="9"/>
  <c r="O17" i="42"/>
  <c r="O152" i="40"/>
  <c r="P203" i="3" s="1"/>
  <c r="O127" i="40"/>
  <c r="O132" i="13"/>
  <c r="O76" i="13"/>
  <c r="O125" i="13" s="1"/>
  <c r="O67" i="13"/>
  <c r="R584" i="8"/>
  <c r="R549" i="8"/>
  <c r="R196" i="8"/>
  <c r="R150" i="8"/>
  <c r="R143" i="8"/>
  <c r="R124" i="8"/>
  <c r="R91" i="8"/>
  <c r="R75" i="8"/>
  <c r="R22" i="8"/>
  <c r="R1006" i="7"/>
  <c r="R402" i="7" s="1"/>
  <c r="R1001" i="7"/>
  <c r="R865" i="7"/>
  <c r="R331" i="7" s="1"/>
  <c r="R864" i="7"/>
  <c r="R330" i="7" s="1"/>
  <c r="R765" i="7"/>
  <c r="R274" i="7" s="1"/>
  <c r="R424" i="7"/>
  <c r="R383" i="7"/>
  <c r="R358" i="7"/>
  <c r="R356" i="7"/>
  <c r="R333" i="7"/>
  <c r="R329" i="7"/>
  <c r="R276" i="7"/>
  <c r="R275" i="7"/>
  <c r="R273" i="7"/>
  <c r="R238" i="7"/>
  <c r="R237" i="7"/>
  <c r="R236" i="7"/>
  <c r="R235" i="7"/>
  <c r="R234" i="7"/>
  <c r="R192" i="7"/>
  <c r="R191" i="7"/>
  <c r="R190" i="7"/>
  <c r="R189" i="7"/>
  <c r="R188" i="7"/>
  <c r="R146" i="7"/>
  <c r="R145" i="7"/>
  <c r="R144" i="7"/>
  <c r="R143" i="7"/>
  <c r="R107" i="7"/>
  <c r="R106" i="7"/>
  <c r="R103" i="7"/>
  <c r="R81" i="7"/>
  <c r="R3" i="7"/>
  <c r="R1206" i="7" s="1"/>
  <c r="R745" i="6"/>
  <c r="R717" i="6"/>
  <c r="R685" i="6"/>
  <c r="R1830" i="6"/>
  <c r="R641" i="6" s="1"/>
  <c r="R1755" i="6"/>
  <c r="R522" i="6"/>
  <c r="R1071" i="6"/>
  <c r="R945" i="6"/>
  <c r="R943" i="6"/>
  <c r="R175" i="6" s="1"/>
  <c r="R744" i="6"/>
  <c r="R741" i="6"/>
  <c r="R720" i="6"/>
  <c r="R688" i="6"/>
  <c r="R675" i="6"/>
  <c r="R671" i="6"/>
  <c r="R633" i="6"/>
  <c r="R628" i="6"/>
  <c r="R616" i="6"/>
  <c r="R615" i="6"/>
  <c r="R612" i="6"/>
  <c r="R598" i="6"/>
  <c r="R605" i="6" s="1"/>
  <c r="R561" i="6"/>
  <c r="R560" i="6"/>
  <c r="R559" i="6"/>
  <c r="R558" i="6"/>
  <c r="R557" i="6"/>
  <c r="R521" i="6"/>
  <c r="R518" i="6"/>
  <c r="R501" i="6"/>
  <c r="R461" i="6"/>
  <c r="R417" i="6"/>
  <c r="R393" i="6"/>
  <c r="R392" i="6"/>
  <c r="R391" i="6"/>
  <c r="R390" i="6"/>
  <c r="R389" i="6"/>
  <c r="R353" i="6"/>
  <c r="R310" i="6"/>
  <c r="R272" i="6"/>
  <c r="R2075" i="6" s="1"/>
  <c r="R54" i="6" s="1"/>
  <c r="R247" i="6"/>
  <c r="R231" i="6"/>
  <c r="R230" i="6"/>
  <c r="R229" i="6"/>
  <c r="R228" i="6"/>
  <c r="R194" i="6"/>
  <c r="R174" i="6"/>
  <c r="R132" i="6"/>
  <c r="R7" i="6" s="1"/>
  <c r="R118" i="6"/>
  <c r="R117" i="6"/>
  <c r="R116" i="6"/>
  <c r="R114" i="6"/>
  <c r="R79" i="6"/>
  <c r="R3" i="6"/>
  <c r="R1840" i="6" s="1"/>
  <c r="R190" i="5"/>
  <c r="R159" i="5"/>
  <c r="R208" i="5"/>
  <c r="R207" i="5"/>
  <c r="R206" i="5"/>
  <c r="R205" i="5"/>
  <c r="R204" i="5"/>
  <c r="R160" i="5"/>
  <c r="R158" i="5"/>
  <c r="R157" i="5"/>
  <c r="R127" i="5"/>
  <c r="R112" i="5"/>
  <c r="R111" i="5"/>
  <c r="R110" i="5"/>
  <c r="R109" i="5"/>
  <c r="R108" i="5"/>
  <c r="R77" i="5"/>
  <c r="R76" i="5"/>
  <c r="R75" i="5"/>
  <c r="R74" i="5"/>
  <c r="R73" i="5"/>
  <c r="R48" i="5"/>
  <c r="O100" i="13" s="1"/>
  <c r="R3" i="5"/>
  <c r="R474" i="5" s="1"/>
  <c r="R1004" i="4"/>
  <c r="R984" i="4"/>
  <c r="R965" i="4"/>
  <c r="R952" i="4"/>
  <c r="R920" i="4"/>
  <c r="R851" i="4"/>
  <c r="R307" i="4" s="1"/>
  <c r="R256" i="4"/>
  <c r="R604" i="4"/>
  <c r="R141" i="4" s="1"/>
  <c r="R126" i="4"/>
  <c r="R125" i="4"/>
  <c r="R483" i="4"/>
  <c r="R545" i="4" s="1"/>
  <c r="R91" i="4"/>
  <c r="R443" i="4"/>
  <c r="R379" i="4"/>
  <c r="R372" i="4"/>
  <c r="R371" i="4"/>
  <c r="R370" i="4"/>
  <c r="R369" i="4"/>
  <c r="R368" i="4"/>
  <c r="R306" i="4"/>
  <c r="R305" i="4"/>
  <c r="R304" i="4"/>
  <c r="R255" i="4"/>
  <c r="R254" i="4"/>
  <c r="R253" i="4"/>
  <c r="R252" i="4"/>
  <c r="R238" i="4"/>
  <c r="R235" i="4"/>
  <c r="R209" i="4"/>
  <c r="R208" i="4"/>
  <c r="R207" i="4"/>
  <c r="R205" i="4"/>
  <c r="R144" i="4"/>
  <c r="R143" i="4"/>
  <c r="R142" i="4"/>
  <c r="R93" i="4"/>
  <c r="R89" i="4"/>
  <c r="R54" i="4"/>
  <c r="R100" i="4" s="1"/>
  <c r="I956" i="6"/>
  <c r="J956" i="6" s="1"/>
  <c r="K956" i="6" s="1"/>
  <c r="L956" i="6" s="1"/>
  <c r="M956" i="6" s="1"/>
  <c r="N956" i="6" s="1"/>
  <c r="O956" i="6" s="1"/>
  <c r="P956" i="6" s="1"/>
  <c r="Q956" i="6" s="1"/>
  <c r="R956" i="6" s="1"/>
  <c r="R190" i="6" s="1"/>
  <c r="P769" i="34"/>
  <c r="P761" i="34"/>
  <c r="P659" i="34"/>
  <c r="P665" i="34" s="1"/>
  <c r="P656" i="34"/>
  <c r="P655" i="34"/>
  <c r="P618" i="34"/>
  <c r="P617" i="34"/>
  <c r="P619" i="34" s="1"/>
  <c r="P616" i="34"/>
  <c r="P606" i="34"/>
  <c r="P604" i="34"/>
  <c r="P594" i="34"/>
  <c r="P593" i="34"/>
  <c r="P580" i="34"/>
  <c r="P582" i="34"/>
  <c r="P571" i="34"/>
  <c r="P568" i="34"/>
  <c r="P567" i="34"/>
  <c r="P554" i="34"/>
  <c r="P542" i="34"/>
  <c r="P541" i="34"/>
  <c r="P538" i="34"/>
  <c r="P537" i="34"/>
  <c r="P550" i="34"/>
  <c r="P484" i="34"/>
  <c r="P451" i="34"/>
  <c r="P436" i="34"/>
  <c r="P396" i="34"/>
  <c r="P391" i="34"/>
  <c r="P508" i="34" s="1"/>
  <c r="P390" i="34"/>
  <c r="P507" i="34" s="1"/>
  <c r="P378" i="34"/>
  <c r="P496" i="34" s="1"/>
  <c r="P370" i="34"/>
  <c r="P365" i="34"/>
  <c r="P364" i="34"/>
  <c r="P483" i="34" s="1"/>
  <c r="P307" i="34"/>
  <c r="P294" i="34"/>
  <c r="P526" i="34" s="1"/>
  <c r="P289" i="34"/>
  <c r="P352" i="34" s="1"/>
  <c r="P65" i="34"/>
  <c r="P54" i="34"/>
  <c r="P31" i="34"/>
  <c r="P2" i="34"/>
  <c r="P313" i="15"/>
  <c r="P304" i="15"/>
  <c r="P300" i="15"/>
  <c r="P255" i="15"/>
  <c r="P251" i="15"/>
  <c r="P246" i="15"/>
  <c r="P268" i="15" s="1"/>
  <c r="P210" i="15"/>
  <c r="P112" i="15"/>
  <c r="P81" i="15"/>
  <c r="P50" i="15"/>
  <c r="Q101" i="1"/>
  <c r="Q92" i="1"/>
  <c r="Q89" i="1"/>
  <c r="Q88" i="1"/>
  <c r="Q87" i="1"/>
  <c r="Q94" i="1" s="1"/>
  <c r="Q78" i="1"/>
  <c r="Q76" i="1" s="1"/>
  <c r="Q77" i="1"/>
  <c r="Q75" i="1"/>
  <c r="Q74" i="1"/>
  <c r="Q73" i="1" s="1"/>
  <c r="Q71" i="1"/>
  <c r="Q70" i="1"/>
  <c r="Q69" i="1" s="1"/>
  <c r="Q72" i="1" s="1"/>
  <c r="Q67" i="1"/>
  <c r="Q66" i="1"/>
  <c r="P289" i="3" s="1"/>
  <c r="Q65" i="1"/>
  <c r="Q64" i="1"/>
  <c r="Q63" i="1"/>
  <c r="Q62" i="1"/>
  <c r="Q68" i="1" s="1"/>
  <c r="Q61" i="1"/>
  <c r="Q104" i="1" s="1"/>
  <c r="Q60" i="1"/>
  <c r="Q54" i="1"/>
  <c r="Q53" i="1"/>
  <c r="Q50" i="1" s="1"/>
  <c r="Q52" i="1"/>
  <c r="Q51" i="1"/>
  <c r="Q49" i="1"/>
  <c r="Q57" i="1" s="1"/>
  <c r="Q48" i="1"/>
  <c r="Q103" i="1" s="1"/>
  <c r="Q44" i="1"/>
  <c r="Q43" i="1"/>
  <c r="Q42" i="1"/>
  <c r="Q45" i="1" s="1"/>
  <c r="Q32" i="1"/>
  <c r="Q29" i="1"/>
  <c r="Q23" i="1"/>
  <c r="Q24" i="1" s="1"/>
  <c r="Q22" i="1"/>
  <c r="Q21" i="1"/>
  <c r="Q18" i="1"/>
  <c r="Q17" i="1"/>
  <c r="Q16" i="1"/>
  <c r="Q15" i="1"/>
  <c r="Q14" i="1"/>
  <c r="Q13" i="1"/>
  <c r="Q12" i="1"/>
  <c r="Q9" i="1"/>
  <c r="Q38" i="1" s="1"/>
  <c r="Q8" i="1"/>
  <c r="Q28" i="1" s="1"/>
  <c r="Q30" i="1" s="1"/>
  <c r="Q31" i="1" s="1"/>
  <c r="Q7" i="1"/>
  <c r="Q98" i="1" s="1"/>
  <c r="Q2" i="1"/>
  <c r="Q81" i="1" s="1"/>
  <c r="P297" i="3"/>
  <c r="P290" i="3"/>
  <c r="P267" i="3"/>
  <c r="P206" i="3"/>
  <c r="P169" i="3"/>
  <c r="P170" i="3" s="1"/>
  <c r="P165" i="3"/>
  <c r="P166" i="3" s="1"/>
  <c r="P136" i="3"/>
  <c r="P123" i="3"/>
  <c r="P121" i="3"/>
  <c r="P93" i="3"/>
  <c r="P81" i="3"/>
  <c r="P80" i="3"/>
  <c r="P82" i="3" s="1"/>
  <c r="P77" i="3"/>
  <c r="P76" i="3"/>
  <c r="P29" i="3"/>
  <c r="P28" i="3"/>
  <c r="P30" i="3" s="1"/>
  <c r="P2" i="3"/>
  <c r="P278" i="3" s="1"/>
  <c r="O45" i="58"/>
  <c r="O42" i="58"/>
  <c r="Q42" i="55"/>
  <c r="Q31" i="55"/>
  <c r="Q34" i="55" s="1"/>
  <c r="P82" i="15"/>
  <c r="W105" i="37"/>
  <c r="W10" i="37"/>
  <c r="R61" i="27"/>
  <c r="R3" i="27"/>
  <c r="W63" i="26"/>
  <c r="W69" i="26" s="1"/>
  <c r="W56" i="26"/>
  <c r="W59" i="26" s="1"/>
  <c r="W52" i="26"/>
  <c r="W49" i="26"/>
  <c r="W45" i="26"/>
  <c r="W39" i="26"/>
  <c r="W31" i="26"/>
  <c r="W30" i="26"/>
  <c r="W29" i="26"/>
  <c r="W24" i="26"/>
  <c r="W5" i="26"/>
  <c r="R95" i="20"/>
  <c r="R48" i="20"/>
  <c r="R36" i="20"/>
  <c r="AG23" i="20"/>
  <c r="AF22" i="20"/>
  <c r="R105" i="19"/>
  <c r="R104" i="19"/>
  <c r="R103" i="19"/>
  <c r="R35" i="19"/>
  <c r="P79" i="17"/>
  <c r="P60" i="17"/>
  <c r="P26" i="17"/>
  <c r="P11" i="17" s="1"/>
  <c r="P295" i="15" s="1"/>
  <c r="P317" i="15" s="1"/>
  <c r="P17" i="17"/>
  <c r="P16" i="17"/>
  <c r="P31" i="17" s="1"/>
  <c r="P64" i="16"/>
  <c r="P41" i="16"/>
  <c r="P114" i="16" s="1"/>
  <c r="P37" i="16"/>
  <c r="P122" i="16" s="1"/>
  <c r="AQ42" i="42"/>
  <c r="O42" i="42" s="1"/>
  <c r="P17" i="16"/>
  <c r="P16" i="16"/>
  <c r="P31" i="16" s="1"/>
  <c r="P11" i="16"/>
  <c r="BJ77" i="22"/>
  <c r="BM3" i="22"/>
  <c r="BM78" i="22" s="1"/>
  <c r="BL3" i="22"/>
  <c r="BL78" i="22" s="1"/>
  <c r="BL121" i="22" s="1"/>
  <c r="BK3" i="22"/>
  <c r="BK78" i="22" s="1"/>
  <c r="BK121" i="22" s="1"/>
  <c r="BJ3" i="22"/>
  <c r="BJ78" i="22" s="1"/>
  <c r="BY61" i="21"/>
  <c r="BY56" i="21"/>
  <c r="BY50" i="21"/>
  <c r="BY49" i="21"/>
  <c r="BY27" i="21"/>
  <c r="BY22" i="21"/>
  <c r="BK68" i="21"/>
  <c r="BJ68" i="21"/>
  <c r="BI68" i="21"/>
  <c r="P94" i="12"/>
  <c r="P91" i="12"/>
  <c r="P81" i="12"/>
  <c r="P80" i="12"/>
  <c r="P84" i="12" s="1"/>
  <c r="P77" i="12"/>
  <c r="W26" i="37"/>
  <c r="P56" i="12"/>
  <c r="W25" i="37" s="1"/>
  <c r="P53" i="12"/>
  <c r="P48" i="12"/>
  <c r="P42" i="12"/>
  <c r="AE72" i="14"/>
  <c r="AF58" i="14"/>
  <c r="AF61" i="14" s="1"/>
  <c r="R1165" i="7" s="1"/>
  <c r="AE58" i="14"/>
  <c r="AE61" i="14" s="1"/>
  <c r="AF47" i="14"/>
  <c r="AE47" i="14"/>
  <c r="AF37" i="14"/>
  <c r="R1129" i="6" s="1"/>
  <c r="AE37" i="14"/>
  <c r="AF26" i="14"/>
  <c r="AE26" i="14"/>
  <c r="AJ129" i="11"/>
  <c r="AJ125" i="11"/>
  <c r="AJ114" i="11"/>
  <c r="AJ113" i="11"/>
  <c r="AJ110" i="11"/>
  <c r="AJ109" i="11"/>
  <c r="AJ102" i="11"/>
  <c r="AJ101" i="11"/>
  <c r="AK83" i="11"/>
  <c r="AJ83" i="11"/>
  <c r="AJ76" i="11"/>
  <c r="AJ40" i="11"/>
  <c r="AJ39" i="11"/>
  <c r="AJ38" i="11"/>
  <c r="AJ35" i="11"/>
  <c r="AJ19" i="11"/>
  <c r="AJ18" i="11"/>
  <c r="AJ17" i="11"/>
  <c r="AJ16" i="11"/>
  <c r="AJ11" i="11"/>
  <c r="AJ10" i="11"/>
  <c r="AJ9" i="11"/>
  <c r="AJ8" i="11"/>
  <c r="AJ7" i="11"/>
  <c r="AI83" i="11"/>
  <c r="AK167" i="10"/>
  <c r="AJ106" i="11" s="1"/>
  <c r="AK166" i="10"/>
  <c r="AJ105" i="11" s="1"/>
  <c r="AK154" i="10"/>
  <c r="AK133" i="10"/>
  <c r="AJ133" i="10"/>
  <c r="AI133" i="10"/>
  <c r="AK108" i="10"/>
  <c r="AJ108" i="10"/>
  <c r="AJ114" i="10"/>
  <c r="AK102" i="10"/>
  <c r="AK101" i="10"/>
  <c r="AK82" i="10"/>
  <c r="AK81" i="10"/>
  <c r="AK80" i="10"/>
  <c r="AK79" i="10"/>
  <c r="AK53" i="10"/>
  <c r="AJ29" i="11" s="1"/>
  <c r="AJ41" i="10"/>
  <c r="R535" i="7" s="1"/>
  <c r="R105" i="7" s="1"/>
  <c r="AK22" i="10"/>
  <c r="AJ15" i="11" s="1"/>
  <c r="AJ12" i="11"/>
  <c r="AI108" i="10"/>
  <c r="AI200" i="10" s="1"/>
  <c r="BV138" i="9"/>
  <c r="BW74" i="9"/>
  <c r="BV74" i="9"/>
  <c r="BU74" i="9"/>
  <c r="BT74" i="9"/>
  <c r="BV65" i="9"/>
  <c r="BX60" i="9"/>
  <c r="BX59" i="9"/>
  <c r="BX58" i="9"/>
  <c r="BW24" i="9"/>
  <c r="BV24" i="9"/>
  <c r="BU24" i="9"/>
  <c r="BT24" i="9"/>
  <c r="BW86" i="9"/>
  <c r="BW168" i="9" s="1"/>
  <c r="P57" i="12" l="1"/>
  <c r="R448" i="7"/>
  <c r="R1181" i="7"/>
  <c r="R334" i="6"/>
  <c r="R1142" i="6"/>
  <c r="R520" i="5"/>
  <c r="P78" i="3"/>
  <c r="P193" i="3"/>
  <c r="P43" i="34"/>
  <c r="Q4" i="55"/>
  <c r="R40" i="5"/>
  <c r="P60" i="3" s="1"/>
  <c r="R38" i="5"/>
  <c r="P38" i="3" s="1"/>
  <c r="R39" i="5"/>
  <c r="P46" i="3" s="1"/>
  <c r="AK153" i="10"/>
  <c r="R45" i="4"/>
  <c r="P48" i="3" s="1"/>
  <c r="P1205" i="6"/>
  <c r="AF192" i="10"/>
  <c r="AE192" i="10"/>
  <c r="AD122" i="11" s="1"/>
  <c r="AE122" i="11" s="1"/>
  <c r="AF122" i="11" s="1"/>
  <c r="BT65" i="9"/>
  <c r="R1184" i="7"/>
  <c r="R521" i="5"/>
  <c r="O31" i="13"/>
  <c r="O50" i="13" s="1"/>
  <c r="AC33" i="42" s="1"/>
  <c r="O33" i="42" s="1"/>
  <c r="AF16" i="20"/>
  <c r="AF21" i="20" s="1"/>
  <c r="P264" i="15"/>
  <c r="P155" i="15" s="1"/>
  <c r="R396" i="7"/>
  <c r="O123" i="13"/>
  <c r="AC32" i="42"/>
  <c r="O32" i="42" s="1"/>
  <c r="O46" i="58"/>
  <c r="O44" i="58" s="1"/>
  <c r="BU65" i="9"/>
  <c r="W98" i="37"/>
  <c r="O19" i="58"/>
  <c r="R519" i="5"/>
  <c r="P22" i="3" s="1"/>
  <c r="O111" i="13"/>
  <c r="O93" i="13"/>
  <c r="R530" i="6"/>
  <c r="R414" i="7"/>
  <c r="R1648" i="6"/>
  <c r="R155" i="7"/>
  <c r="R340" i="7"/>
  <c r="R1074" i="7"/>
  <c r="R62" i="7"/>
  <c r="R115" i="7"/>
  <c r="P3" i="9" s="1"/>
  <c r="P3" i="21" s="1"/>
  <c r="BY3" i="21" s="1"/>
  <c r="CL3" i="21" s="1"/>
  <c r="R200" i="7"/>
  <c r="R285" i="7"/>
  <c r="R3" i="8"/>
  <c r="R228" i="8" s="1"/>
  <c r="O3" i="13"/>
  <c r="P182" i="15" s="1"/>
  <c r="R866" i="7"/>
  <c r="R332" i="7" s="1"/>
  <c r="P261" i="15"/>
  <c r="P260" i="15"/>
  <c r="R1224" i="7"/>
  <c r="R44" i="7"/>
  <c r="R245" i="7"/>
  <c r="R477" i="7"/>
  <c r="R718" i="7"/>
  <c r="R775" i="7"/>
  <c r="R594" i="7"/>
  <c r="R647" i="7"/>
  <c r="R1190" i="7"/>
  <c r="P215" i="15"/>
  <c r="P160" i="15" s="1"/>
  <c r="R1015" i="7"/>
  <c r="R1121" i="7"/>
  <c r="R543" i="7"/>
  <c r="R833" i="7"/>
  <c r="R873" i="7"/>
  <c r="R942" i="7" s="1"/>
  <c r="R185" i="6"/>
  <c r="R241" i="6"/>
  <c r="R279" i="6"/>
  <c r="R1086" i="6"/>
  <c r="R1272" i="6"/>
  <c r="R1338" i="6"/>
  <c r="R1578" i="6"/>
  <c r="R1965" i="6"/>
  <c r="O2" i="58" s="1"/>
  <c r="R72" i="6"/>
  <c r="R125" i="6" s="1"/>
  <c r="R297" i="6"/>
  <c r="R361" i="6"/>
  <c r="R1215" i="6"/>
  <c r="R1379" i="6"/>
  <c r="R1431" i="6" s="1"/>
  <c r="R400" i="6"/>
  <c r="R471" i="6"/>
  <c r="R623" i="6"/>
  <c r="R694" i="6"/>
  <c r="R952" i="6"/>
  <c r="R1153" i="6"/>
  <c r="R1903" i="6"/>
  <c r="R2034" i="6"/>
  <c r="R2054" i="6" s="1"/>
  <c r="R568" i="6"/>
  <c r="R752" i="6"/>
  <c r="R817" i="6"/>
  <c r="R883" i="6" s="1"/>
  <c r="R1019" i="6"/>
  <c r="W1" i="37" s="1"/>
  <c r="R1467" i="6"/>
  <c r="R1514" i="6"/>
  <c r="R1705" i="6"/>
  <c r="R1772" i="6"/>
  <c r="R37" i="5"/>
  <c r="R119" i="5"/>
  <c r="R168" i="5"/>
  <c r="R401" i="5"/>
  <c r="R491" i="5"/>
  <c r="R85" i="5"/>
  <c r="R215" i="5"/>
  <c r="R337" i="5"/>
  <c r="R463" i="5"/>
  <c r="R517" i="5"/>
  <c r="R522" i="5"/>
  <c r="R276" i="5"/>
  <c r="R165" i="4"/>
  <c r="R216" i="4" s="1"/>
  <c r="R263" i="4" s="1"/>
  <c r="R151" i="4"/>
  <c r="R672" i="4"/>
  <c r="R614" i="4"/>
  <c r="R795" i="4"/>
  <c r="R737" i="4"/>
  <c r="R857" i="4"/>
  <c r="P84" i="34"/>
  <c r="AC4" i="42"/>
  <c r="P18" i="12"/>
  <c r="O3" i="40" s="1"/>
  <c r="P709" i="34"/>
  <c r="P125" i="34"/>
  <c r="P789" i="34"/>
  <c r="P812" i="34" s="1"/>
  <c r="P822" i="34" s="1"/>
  <c r="P284" i="34"/>
  <c r="P166" i="34"/>
  <c r="P223" i="34" s="1"/>
  <c r="P401" i="34" s="1"/>
  <c r="P522" i="34"/>
  <c r="P472" i="34"/>
  <c r="P369" i="34"/>
  <c r="P395" i="34"/>
  <c r="P595" i="34"/>
  <c r="P383" i="34"/>
  <c r="P19" i="15"/>
  <c r="Q11" i="1"/>
  <c r="Q25" i="1"/>
  <c r="P291" i="3" s="1"/>
  <c r="Q35" i="1"/>
  <c r="Q55" i="1"/>
  <c r="P288" i="3" s="1"/>
  <c r="Q26" i="1"/>
  <c r="Q36" i="1"/>
  <c r="Q56" i="1"/>
  <c r="Q100" i="1"/>
  <c r="Q105" i="1" s="1"/>
  <c r="Q27" i="1"/>
  <c r="Q37" i="1"/>
  <c r="Q108" i="1"/>
  <c r="Q123" i="1"/>
  <c r="Q10" i="1"/>
  <c r="P285" i="3"/>
  <c r="P295" i="3" s="1"/>
  <c r="AC77" i="42"/>
  <c r="W6" i="26"/>
  <c r="W66" i="26"/>
  <c r="AG16" i="20"/>
  <c r="BM121" i="22"/>
  <c r="BJ121" i="22"/>
  <c r="O290" i="3"/>
  <c r="P300" i="3" s="1"/>
  <c r="N290" i="3"/>
  <c r="M290" i="3"/>
  <c r="L290" i="3"/>
  <c r="K290" i="3"/>
  <c r="J290" i="3"/>
  <c r="I290" i="3"/>
  <c r="H290" i="3"/>
  <c r="G290" i="3"/>
  <c r="F290" i="3"/>
  <c r="P193" i="15" l="1"/>
  <c r="P138" i="15" s="1"/>
  <c r="P162" i="15" s="1"/>
  <c r="R363" i="8"/>
  <c r="R1008" i="4"/>
  <c r="R166" i="8"/>
  <c r="AQ4" i="42"/>
  <c r="BE4" i="42" s="1"/>
  <c r="O4" i="42"/>
  <c r="R39" i="8"/>
  <c r="R496" i="8"/>
  <c r="AH192" i="10"/>
  <c r="AG122" i="11" s="1"/>
  <c r="AH122" i="11" s="1"/>
  <c r="AI122" i="11" s="1"/>
  <c r="AI192" i="10"/>
  <c r="Q1205" i="6"/>
  <c r="Q3" i="22"/>
  <c r="P72" i="21"/>
  <c r="O68" i="13"/>
  <c r="O124" i="13" s="1"/>
  <c r="R537" i="8"/>
  <c r="R138" i="8" s="1"/>
  <c r="P177" i="3"/>
  <c r="P87" i="9"/>
  <c r="P169" i="9" s="1"/>
  <c r="CJ3" i="9"/>
  <c r="CW3" i="9" s="1"/>
  <c r="R291" i="8"/>
  <c r="O105" i="40"/>
  <c r="O134" i="40" s="1"/>
  <c r="O47" i="40"/>
  <c r="R102" i="8"/>
  <c r="R424" i="8"/>
  <c r="R324" i="4"/>
  <c r="R313" i="4"/>
  <c r="W6" i="37"/>
  <c r="W47" i="37"/>
  <c r="W65" i="37" s="1"/>
  <c r="P237" i="15"/>
  <c r="P127" i="15"/>
  <c r="P3" i="15"/>
  <c r="P34" i="15" s="1"/>
  <c r="P65" i="15" s="1"/>
  <c r="P96" i="15" s="1"/>
  <c r="P3" i="17"/>
  <c r="P3" i="16"/>
  <c r="P34" i="12"/>
  <c r="P3" i="12"/>
  <c r="P464" i="34"/>
  <c r="P347" i="34"/>
  <c r="Q39" i="1"/>
  <c r="W12" i="26"/>
  <c r="W11" i="26"/>
  <c r="W10" i="26" s="1"/>
  <c r="Y145" i="9"/>
  <c r="F145" i="9"/>
  <c r="P217" i="15" l="1"/>
  <c r="AK192" i="10"/>
  <c r="AJ122" i="11" s="1"/>
  <c r="AK122" i="11" s="1"/>
  <c r="R1205" i="6"/>
  <c r="R351" i="6" s="1"/>
  <c r="Q78" i="22"/>
  <c r="Q121" i="22" s="1"/>
  <c r="BZ3" i="22"/>
  <c r="Q124" i="22"/>
  <c r="P147" i="34"/>
  <c r="BE19" i="42"/>
  <c r="P178" i="3"/>
  <c r="P179" i="3" s="1"/>
  <c r="P95" i="16"/>
  <c r="P81" i="16"/>
  <c r="P58" i="16"/>
  <c r="P70" i="16" s="1"/>
  <c r="R20" i="19"/>
  <c r="R39" i="19" s="1"/>
  <c r="P286" i="15"/>
  <c r="P93" i="17"/>
  <c r="R28" i="20"/>
  <c r="R45" i="20" s="1"/>
  <c r="P84" i="17"/>
  <c r="P75" i="17"/>
  <c r="P56" i="17"/>
  <c r="P65" i="17"/>
  <c r="P577" i="34"/>
  <c r="P514" i="34"/>
  <c r="Y373" i="9"/>
  <c r="F373" i="9"/>
  <c r="AF145" i="9"/>
  <c r="AA145" i="9"/>
  <c r="F173" i="10"/>
  <c r="Y143" i="9" s="1"/>
  <c r="P39" i="17" l="1"/>
  <c r="R558" i="8"/>
  <c r="P113" i="15"/>
  <c r="P504" i="34"/>
  <c r="P564" i="34" s="1"/>
  <c r="P671" i="34"/>
  <c r="P755" i="34" s="1"/>
  <c r="P787" i="34" s="1"/>
  <c r="P627" i="34"/>
  <c r="F374" i="9"/>
  <c r="P572" i="34" l="1"/>
  <c r="F164" i="10"/>
  <c r="Z151" i="9"/>
  <c r="Z413" i="9"/>
  <c r="Y136" i="9" l="1"/>
  <c r="Y363" i="9"/>
  <c r="Z359" i="9"/>
  <c r="F363" i="9"/>
  <c r="F364" i="9" s="1"/>
  <c r="F94" i="9" l="1"/>
  <c r="F223" i="9"/>
  <c r="F242" i="9"/>
  <c r="F246" i="9"/>
  <c r="G75" i="10" l="1"/>
  <c r="C173" i="10" l="1"/>
  <c r="C172" i="10"/>
  <c r="I38" i="1" l="1"/>
  <c r="J38" i="1"/>
  <c r="H38" i="1"/>
  <c r="K143" i="5" l="1"/>
  <c r="J143" i="5"/>
  <c r="I143" i="5"/>
  <c r="I142" i="5"/>
  <c r="G143" i="5"/>
  <c r="D143" i="5"/>
  <c r="C143" i="5"/>
  <c r="B143" i="5"/>
  <c r="D142" i="5"/>
  <c r="C142" i="5"/>
  <c r="B142" i="5"/>
  <c r="A143" i="5"/>
  <c r="A142" i="5"/>
  <c r="H380" i="5" l="1"/>
  <c r="H143" i="5" l="1"/>
  <c r="H49" i="1"/>
  <c r="O289" i="3"/>
  <c r="P299" i="3" s="1"/>
  <c r="N289" i="3"/>
  <c r="M289" i="3"/>
  <c r="L289" i="3"/>
  <c r="K289" i="3"/>
  <c r="J289" i="3"/>
  <c r="I289" i="3"/>
  <c r="H289" i="3"/>
  <c r="G289" i="3"/>
  <c r="AG41" i="10"/>
  <c r="L143" i="5" l="1"/>
  <c r="H35" i="1"/>
  <c r="H11" i="1"/>
  <c r="H10" i="1"/>
  <c r="P10" i="1"/>
  <c r="O10" i="1"/>
  <c r="N10" i="1"/>
  <c r="M10" i="1"/>
  <c r="L10" i="1"/>
  <c r="K10" i="1"/>
  <c r="J10" i="1"/>
  <c r="I10" i="1"/>
  <c r="M38" i="1"/>
  <c r="L38" i="1"/>
  <c r="K38" i="1"/>
  <c r="M37" i="1"/>
  <c r="L37" i="1"/>
  <c r="K37" i="1"/>
  <c r="I37" i="1"/>
  <c r="M36" i="1"/>
  <c r="L36" i="1"/>
  <c r="K36" i="1"/>
  <c r="I36" i="1"/>
  <c r="M35" i="1"/>
  <c r="L35" i="1"/>
  <c r="K35" i="1"/>
  <c r="G38" i="1"/>
  <c r="G35" i="1"/>
  <c r="G36" i="1"/>
  <c r="H36" i="1"/>
  <c r="G37" i="1"/>
  <c r="H37" i="1"/>
  <c r="F38" i="1"/>
  <c r="F35" i="1"/>
  <c r="F37" i="1"/>
  <c r="F36" i="1"/>
  <c r="CL175" i="9"/>
  <c r="BZ175" i="9"/>
  <c r="CA175" i="9" s="1"/>
  <c r="T175" i="9"/>
  <c r="U175" i="9" s="1"/>
  <c r="AE175" i="9"/>
  <c r="Y175" i="9"/>
  <c r="Z175" i="9" s="1"/>
  <c r="Y98" i="9"/>
  <c r="T98" i="9"/>
  <c r="U98" i="9" s="1"/>
  <c r="BZ98" i="9"/>
  <c r="CA98" i="9" s="1"/>
  <c r="CL98" i="9"/>
  <c r="J982" i="6"/>
  <c r="F39" i="1" l="1"/>
  <c r="G39" i="1"/>
  <c r="M143" i="5"/>
  <c r="K39" i="1"/>
  <c r="M39" i="1"/>
  <c r="H39" i="1"/>
  <c r="G273" i="3" s="1"/>
  <c r="L39" i="1"/>
  <c r="CM175" i="9"/>
  <c r="CB175" i="9"/>
  <c r="CN175" i="9"/>
  <c r="CM98" i="9"/>
  <c r="Z98" i="9"/>
  <c r="CN98" i="9"/>
  <c r="CB98" i="9"/>
  <c r="AO98" i="9"/>
  <c r="AJ98" i="9"/>
  <c r="G10" i="1"/>
  <c r="F10" i="1"/>
  <c r="E10" i="1"/>
  <c r="D10" i="1"/>
  <c r="AU102" i="22"/>
  <c r="O49" i="1"/>
  <c r="O48" i="1"/>
  <c r="M49" i="1"/>
  <c r="M48" i="1"/>
  <c r="AI66" i="22"/>
  <c r="AI67" i="22"/>
  <c r="AE61" i="22"/>
  <c r="M62" i="1"/>
  <c r="M61" i="1"/>
  <c r="I13" i="1"/>
  <c r="I60" i="1"/>
  <c r="I21" i="1"/>
  <c r="I7" i="1"/>
  <c r="AJ175" i="9" l="1"/>
  <c r="CO175" i="9"/>
  <c r="CC175" i="9"/>
  <c r="CO98" i="9"/>
  <c r="CC98" i="9"/>
  <c r="N62" i="1"/>
  <c r="O62" i="1" s="1"/>
  <c r="P62" i="1" s="1"/>
  <c r="N61" i="1"/>
  <c r="O61" i="1" s="1"/>
  <c r="P61" i="1" s="1"/>
  <c r="J60" i="1"/>
  <c r="AO175" i="9" l="1"/>
  <c r="CD175" i="9"/>
  <c r="CP175" i="9"/>
  <c r="CD98" i="9"/>
  <c r="CP98" i="9"/>
  <c r="J984" i="6"/>
  <c r="J985" i="6"/>
  <c r="H22" i="1"/>
  <c r="I1984" i="6"/>
  <c r="I1811" i="6"/>
  <c r="CE175" i="9" l="1"/>
  <c r="CE98" i="9"/>
  <c r="K60" i="1"/>
  <c r="CF175" i="9" l="1"/>
  <c r="CF98" i="9"/>
  <c r="H18" i="17"/>
  <c r="AX42" i="21"/>
  <c r="N60" i="1"/>
  <c r="B235" i="8"/>
  <c r="C76" i="13"/>
  <c r="CG175" i="9" l="1"/>
  <c r="CG98" i="9"/>
  <c r="O60" i="1"/>
  <c r="P60" i="1" s="1"/>
  <c r="O246" i="15"/>
  <c r="N246" i="15"/>
  <c r="M246" i="15"/>
  <c r="L246" i="15"/>
  <c r="K246" i="15"/>
  <c r="J246" i="15"/>
  <c r="I246" i="15"/>
  <c r="H246" i="15"/>
  <c r="G246" i="15"/>
  <c r="E246" i="15"/>
  <c r="CH175" i="9" l="1"/>
  <c r="CH98" i="9"/>
  <c r="G48" i="48"/>
  <c r="H47" i="48"/>
  <c r="G47" i="48"/>
  <c r="H46" i="48"/>
  <c r="G46" i="48"/>
  <c r="H44" i="48"/>
  <c r="G44" i="48"/>
  <c r="G42" i="48"/>
  <c r="CI175" i="9" l="1"/>
  <c r="CJ175" i="9" s="1"/>
  <c r="CI98" i="9"/>
  <c r="CJ98" i="9" s="1"/>
  <c r="H1094" i="7"/>
  <c r="C487" i="7"/>
  <c r="B487" i="7"/>
  <c r="A487" i="7"/>
  <c r="A1289" i="6"/>
  <c r="I306" i="6"/>
  <c r="I305" i="6"/>
  <c r="I304" i="6"/>
  <c r="G306" i="6"/>
  <c r="G305" i="6"/>
  <c r="G304" i="6"/>
  <c r="D306" i="6"/>
  <c r="C306" i="6"/>
  <c r="D305" i="6"/>
  <c r="H305" i="6" s="1"/>
  <c r="C305" i="6"/>
  <c r="D304" i="6"/>
  <c r="C304" i="6"/>
  <c r="B306" i="6"/>
  <c r="B305" i="6"/>
  <c r="B304" i="6"/>
  <c r="A306" i="6"/>
  <c r="A305" i="6"/>
  <c r="A304" i="6"/>
  <c r="F726" i="34"/>
  <c r="B726" i="34"/>
  <c r="D1112" i="6"/>
  <c r="E726" i="34" s="1"/>
  <c r="D1105" i="6"/>
  <c r="G265" i="6"/>
  <c r="C265" i="6"/>
  <c r="B265" i="6"/>
  <c r="A265" i="6"/>
  <c r="A322" i="6"/>
  <c r="B322" i="6"/>
  <c r="C322" i="6"/>
  <c r="D322" i="6"/>
  <c r="B76" i="13"/>
  <c r="D759" i="6"/>
  <c r="G573" i="6"/>
  <c r="C573" i="6"/>
  <c r="B573" i="6"/>
  <c r="A573" i="6"/>
  <c r="D573" i="6"/>
  <c r="G441" i="6"/>
  <c r="G440" i="6"/>
  <c r="D441" i="6"/>
  <c r="D440" i="6"/>
  <c r="C441" i="6"/>
  <c r="C440" i="6"/>
  <c r="B441" i="6"/>
  <c r="B440" i="6"/>
  <c r="A441" i="6"/>
  <c r="A440" i="6"/>
  <c r="AI182" i="9"/>
  <c r="H182" i="9"/>
  <c r="CV182" i="9"/>
  <c r="CU182" i="9"/>
  <c r="CT182" i="9"/>
  <c r="CS182" i="9"/>
  <c r="CR182" i="9"/>
  <c r="CQ182" i="9"/>
  <c r="CP182" i="9"/>
  <c r="CN182" i="9"/>
  <c r="CM182" i="9"/>
  <c r="CL182" i="9"/>
  <c r="BS182" i="9"/>
  <c r="AT182" i="9"/>
  <c r="AO182" i="9"/>
  <c r="AE182" i="9"/>
  <c r="Y182" i="9"/>
  <c r="Z182" i="9" s="1"/>
  <c r="U182" i="9"/>
  <c r="J1347" i="6"/>
  <c r="H1347" i="6"/>
  <c r="H306" i="6" l="1"/>
  <c r="H441" i="6"/>
  <c r="AJ182" i="9"/>
  <c r="CO182" i="9"/>
  <c r="D404" i="6"/>
  <c r="C404" i="6"/>
  <c r="B404" i="6"/>
  <c r="A404" i="6"/>
  <c r="G311" i="6"/>
  <c r="D311" i="6"/>
  <c r="C311" i="6"/>
  <c r="B311" i="6"/>
  <c r="A311" i="6"/>
  <c r="D313" i="6"/>
  <c r="C313" i="6"/>
  <c r="B313" i="6"/>
  <c r="A313" i="6"/>
  <c r="A133" i="13"/>
  <c r="B1080" i="6"/>
  <c r="F725" i="34"/>
  <c r="D725" i="34"/>
  <c r="A76" i="13"/>
  <c r="A80" i="13"/>
  <c r="J316" i="5" l="1"/>
  <c r="K316" i="5" s="1"/>
  <c r="L316" i="5" s="1"/>
  <c r="M316" i="5" s="1"/>
  <c r="N316" i="5" s="1"/>
  <c r="O316" i="5" s="1"/>
  <c r="P316" i="5" s="1"/>
  <c r="Q316" i="5" s="1"/>
  <c r="R316" i="5" s="1"/>
  <c r="R97" i="5" s="1"/>
  <c r="D314" i="5"/>
  <c r="J254" i="5"/>
  <c r="K254" i="5" s="1"/>
  <c r="L254" i="5" s="1"/>
  <c r="M254" i="5" s="1"/>
  <c r="N254" i="5" s="1"/>
  <c r="O254" i="5" s="1"/>
  <c r="P254" i="5" s="1"/>
  <c r="Q254" i="5" s="1"/>
  <c r="R254" i="5" s="1"/>
  <c r="R62" i="5" s="1"/>
  <c r="G75" i="4"/>
  <c r="C75" i="4"/>
  <c r="B75" i="4"/>
  <c r="A75" i="4"/>
  <c r="G74" i="4"/>
  <c r="I74" i="4"/>
  <c r="C74" i="4"/>
  <c r="A74" i="4"/>
  <c r="G354" i="4"/>
  <c r="D354" i="4"/>
  <c r="C354" i="4"/>
  <c r="B354" i="4"/>
  <c r="A354" i="4"/>
  <c r="J923" i="4"/>
  <c r="K923" i="4" s="1"/>
  <c r="L923" i="4" s="1"/>
  <c r="M923" i="4" s="1"/>
  <c r="N923" i="4" s="1"/>
  <c r="O923" i="4" s="1"/>
  <c r="P923" i="4" s="1"/>
  <c r="Q923" i="4" s="1"/>
  <c r="R923" i="4" s="1"/>
  <c r="R347" i="4" s="1"/>
  <c r="I715" i="4"/>
  <c r="H679" i="4"/>
  <c r="J679" i="4"/>
  <c r="C187" i="4"/>
  <c r="B187" i="4"/>
  <c r="A187" i="4"/>
  <c r="A618" i="4"/>
  <c r="G449" i="4"/>
  <c r="A449" i="4"/>
  <c r="B449" i="4"/>
  <c r="A435" i="4"/>
  <c r="B435" i="4"/>
  <c r="F297" i="3"/>
  <c r="F296" i="3"/>
  <c r="O297" i="3"/>
  <c r="N297" i="3"/>
  <c r="M297" i="3"/>
  <c r="L297" i="3"/>
  <c r="K297" i="3"/>
  <c r="J297" i="3"/>
  <c r="I297" i="3"/>
  <c r="H297" i="3"/>
  <c r="G297" i="3"/>
  <c r="C297" i="3"/>
  <c r="B297" i="3"/>
  <c r="C296" i="3"/>
  <c r="B296" i="3"/>
  <c r="A302" i="3"/>
  <c r="Q127" i="5" l="1"/>
  <c r="P127" i="5"/>
  <c r="O127" i="5"/>
  <c r="N127" i="5"/>
  <c r="M127" i="5"/>
  <c r="L127" i="5"/>
  <c r="K127" i="5"/>
  <c r="J127" i="5"/>
  <c r="I127" i="5"/>
  <c r="G128" i="5"/>
  <c r="G127" i="5"/>
  <c r="G126" i="5"/>
  <c r="D128" i="5"/>
  <c r="C128" i="5"/>
  <c r="C127" i="5"/>
  <c r="D126" i="5"/>
  <c r="C126" i="5"/>
  <c r="C125" i="5"/>
  <c r="D124" i="5"/>
  <c r="C124" i="5"/>
  <c r="B128" i="5"/>
  <c r="B127" i="5"/>
  <c r="B125" i="5"/>
  <c r="B124" i="5"/>
  <c r="A126" i="5"/>
  <c r="A128" i="5"/>
  <c r="H128" i="5"/>
  <c r="A125" i="5"/>
  <c r="A124" i="5"/>
  <c r="G176" i="5"/>
  <c r="G175" i="5"/>
  <c r="G174" i="5"/>
  <c r="D176" i="5"/>
  <c r="C176" i="5"/>
  <c r="D175" i="5"/>
  <c r="C175" i="5"/>
  <c r="D174" i="5"/>
  <c r="C174" i="5"/>
  <c r="B175" i="5"/>
  <c r="B174" i="5"/>
  <c r="A176" i="5"/>
  <c r="A175" i="5"/>
  <c r="A174" i="5"/>
  <c r="H176" i="5" l="1"/>
  <c r="H175" i="5"/>
  <c r="A1770" i="6"/>
  <c r="A1646" i="6"/>
  <c r="A773" i="7" l="1"/>
  <c r="A716" i="7"/>
  <c r="A645" i="7"/>
  <c r="A592" i="7"/>
  <c r="A541" i="7"/>
  <c r="A475" i="7"/>
  <c r="A399" i="5" l="1"/>
  <c r="A335" i="5"/>
  <c r="A274" i="5"/>
  <c r="A213" i="5"/>
  <c r="G53" i="4"/>
  <c r="A855" i="4"/>
  <c r="D54" i="4"/>
  <c r="D100" i="4" s="1"/>
  <c r="D165" i="4" s="1"/>
  <c r="D216" i="4" s="1"/>
  <c r="D263" i="4" s="1"/>
  <c r="D89" i="4"/>
  <c r="D93" i="4"/>
  <c r="D108" i="4"/>
  <c r="D118" i="4"/>
  <c r="D129" i="4"/>
  <c r="D130" i="4"/>
  <c r="D131" i="4"/>
  <c r="D170" i="4"/>
  <c r="D194" i="4"/>
  <c r="D199" i="4" s="1"/>
  <c r="D205" i="4"/>
  <c r="D208" i="4"/>
  <c r="D222" i="4"/>
  <c r="D228" i="4"/>
  <c r="D229" i="4"/>
  <c r="D230" i="4"/>
  <c r="D231" i="4"/>
  <c r="D232" i="4"/>
  <c r="D235" i="4"/>
  <c r="D238" i="4"/>
  <c r="D241" i="4"/>
  <c r="D246" i="4" s="1"/>
  <c r="D252" i="4"/>
  <c r="D271" i="4"/>
  <c r="D278" i="4"/>
  <c r="D279" i="4"/>
  <c r="D286" i="4"/>
  <c r="D292" i="4"/>
  <c r="D297" i="4" s="1"/>
  <c r="D329" i="4"/>
  <c r="D330" i="4"/>
  <c r="D331" i="4"/>
  <c r="D333" i="4"/>
  <c r="D340" i="4"/>
  <c r="D342" i="4"/>
  <c r="D343" i="4"/>
  <c r="D347" i="4"/>
  <c r="D348" i="4"/>
  <c r="D349" i="4"/>
  <c r="D350" i="4"/>
  <c r="D351" i="4"/>
  <c r="D352" i="4"/>
  <c r="D353" i="4"/>
  <c r="D357" i="4"/>
  <c r="D362" i="4" s="1"/>
  <c r="D368" i="4"/>
  <c r="D371" i="4"/>
  <c r="D372" i="4"/>
  <c r="D379" i="4"/>
  <c r="D383" i="4"/>
  <c r="D384" i="4"/>
  <c r="D385" i="4"/>
  <c r="D386" i="4"/>
  <c r="D387" i="4"/>
  <c r="D388" i="4"/>
  <c r="D392" i="4"/>
  <c r="D59" i="4" s="1"/>
  <c r="D393" i="4"/>
  <c r="D60" i="4" s="1"/>
  <c r="D61" i="4"/>
  <c r="D399" i="4"/>
  <c r="D400" i="4"/>
  <c r="D403" i="4"/>
  <c r="D404" i="4"/>
  <c r="D405" i="4"/>
  <c r="D411" i="4"/>
  <c r="D412" i="4"/>
  <c r="D413" i="4"/>
  <c r="D416" i="4"/>
  <c r="D417" i="4"/>
  <c r="D418" i="4"/>
  <c r="D421" i="4"/>
  <c r="D422" i="4"/>
  <c r="D424" i="4"/>
  <c r="D425" i="4"/>
  <c r="D427" i="4"/>
  <c r="D433" i="4"/>
  <c r="D70" i="4" s="1"/>
  <c r="D434" i="4"/>
  <c r="D71" i="4" s="1"/>
  <c r="D435" i="4"/>
  <c r="D72" i="4" s="1"/>
  <c r="D436" i="4"/>
  <c r="D73" i="4" s="1"/>
  <c r="D438" i="4"/>
  <c r="D74" i="4" s="1"/>
  <c r="H74" i="4" s="1"/>
  <c r="D443" i="4"/>
  <c r="D447" i="4"/>
  <c r="D451" i="4"/>
  <c r="D452" i="4"/>
  <c r="D453" i="4"/>
  <c r="D454" i="4"/>
  <c r="D455" i="4"/>
  <c r="D456" i="4"/>
  <c r="D460" i="4"/>
  <c r="D462" i="4"/>
  <c r="D483" i="4"/>
  <c r="D545" i="4" s="1"/>
  <c r="D487" i="4"/>
  <c r="D488" i="4"/>
  <c r="D489" i="4"/>
  <c r="D104" i="4" s="1"/>
  <c r="D490" i="4"/>
  <c r="D491" i="4"/>
  <c r="D492" i="4"/>
  <c r="D493" i="4"/>
  <c r="D497" i="4"/>
  <c r="D109" i="4" s="1"/>
  <c r="D498" i="4"/>
  <c r="D499" i="4"/>
  <c r="D500" i="4"/>
  <c r="D506" i="4"/>
  <c r="D114" i="4" s="1"/>
  <c r="D509" i="4"/>
  <c r="D510" i="4"/>
  <c r="D511" i="4"/>
  <c r="D512" i="4"/>
  <c r="D513" i="4"/>
  <c r="D514" i="4"/>
  <c r="D515" i="4"/>
  <c r="D516" i="4"/>
  <c r="D519" i="4"/>
  <c r="D520" i="4"/>
  <c r="D521" i="4"/>
  <c r="D522" i="4"/>
  <c r="D523" i="4"/>
  <c r="D526" i="4"/>
  <c r="D527" i="4"/>
  <c r="D528" i="4"/>
  <c r="D529" i="4"/>
  <c r="D530" i="4"/>
  <c r="D531" i="4"/>
  <c r="D532" i="4"/>
  <c r="D533" i="4"/>
  <c r="D534" i="4"/>
  <c r="D535" i="4"/>
  <c r="D536" i="4"/>
  <c r="D537" i="4"/>
  <c r="D539" i="4"/>
  <c r="D541" i="4"/>
  <c r="D561" i="4"/>
  <c r="D562" i="4"/>
  <c r="D563" i="4"/>
  <c r="D564" i="4"/>
  <c r="D565" i="4"/>
  <c r="D569" i="4"/>
  <c r="D570" i="4"/>
  <c r="D571" i="4"/>
  <c r="D572" i="4"/>
  <c r="D573" i="4"/>
  <c r="D574" i="4"/>
  <c r="D575" i="4"/>
  <c r="D578" i="4"/>
  <c r="D579" i="4"/>
  <c r="D580" i="4"/>
  <c r="D583" i="4"/>
  <c r="D584" i="4"/>
  <c r="D585" i="4"/>
  <c r="D588" i="4"/>
  <c r="D122" i="4" s="1"/>
  <c r="D590" i="4"/>
  <c r="D125" i="4" s="1"/>
  <c r="D591" i="4"/>
  <c r="D126" i="4" s="1"/>
  <c r="D600" i="4"/>
  <c r="D604" i="4"/>
  <c r="D141" i="4" s="1"/>
  <c r="D605" i="4"/>
  <c r="D142" i="4" s="1"/>
  <c r="D607" i="4"/>
  <c r="D144" i="4" s="1"/>
  <c r="D608" i="4"/>
  <c r="D145" i="4" s="1"/>
  <c r="D619" i="4"/>
  <c r="D171" i="4" s="1"/>
  <c r="D622" i="4"/>
  <c r="D623" i="4"/>
  <c r="D624" i="4"/>
  <c r="D626" i="4"/>
  <c r="D627" i="4"/>
  <c r="D633" i="4"/>
  <c r="D182" i="4" s="1"/>
  <c r="D637" i="4"/>
  <c r="D183" i="4" s="1"/>
  <c r="D640" i="4"/>
  <c r="D644" i="4"/>
  <c r="D645" i="4"/>
  <c r="D647" i="4"/>
  <c r="D650" i="4"/>
  <c r="D651" i="4"/>
  <c r="D663" i="4"/>
  <c r="D206" i="4" s="1"/>
  <c r="D685" i="4"/>
  <c r="D720" i="4"/>
  <c r="D723" i="4"/>
  <c r="D731" i="4"/>
  <c r="D209" i="4" s="1"/>
  <c r="D742" i="4"/>
  <c r="D745" i="4" s="1"/>
  <c r="D775" i="4"/>
  <c r="D778" i="4"/>
  <c r="D785" i="4"/>
  <c r="D253" i="4" s="1"/>
  <c r="D786" i="4"/>
  <c r="D254" i="4" s="1"/>
  <c r="D787" i="4"/>
  <c r="D255" i="4" s="1"/>
  <c r="D788" i="4"/>
  <c r="D256" i="4" s="1"/>
  <c r="D800" i="4"/>
  <c r="D268" i="4" s="1"/>
  <c r="D820" i="4"/>
  <c r="D282" i="4" s="1"/>
  <c r="D829" i="4"/>
  <c r="D285" i="4" s="1"/>
  <c r="D842" i="4"/>
  <c r="D848" i="4"/>
  <c r="D304" i="4" s="1"/>
  <c r="D850" i="4"/>
  <c r="D306" i="4" s="1"/>
  <c r="D851" i="4"/>
  <c r="D307" i="4" s="1"/>
  <c r="D874" i="4"/>
  <c r="D332" i="4" s="1"/>
  <c r="D906" i="4"/>
  <c r="D341" i="4" s="1"/>
  <c r="D914" i="4"/>
  <c r="D920" i="4"/>
  <c r="D938" i="4"/>
  <c r="D944" i="4"/>
  <c r="D369" i="4" s="1"/>
  <c r="D945" i="4"/>
  <c r="D370" i="4" s="1"/>
  <c r="D952" i="4"/>
  <c r="D965" i="4"/>
  <c r="D984" i="4"/>
  <c r="D1004" i="4"/>
  <c r="D191" i="4" l="1"/>
  <c r="D614" i="4"/>
  <c r="D75" i="4"/>
  <c r="H75" i="4" s="1"/>
  <c r="D335" i="4"/>
  <c r="D344" i="4"/>
  <c r="D359" i="4" s="1"/>
  <c r="D978" i="4"/>
  <c r="D37" i="4" s="1"/>
  <c r="D804" i="4"/>
  <c r="D689" i="4"/>
  <c r="D174" i="4" s="1"/>
  <c r="D187" i="4"/>
  <c r="D105" i="4"/>
  <c r="D106" i="4"/>
  <c r="D136" i="4"/>
  <c r="D151" i="4"/>
  <c r="D777" i="4"/>
  <c r="D779" i="4" s="1"/>
  <c r="D790" i="4" s="1"/>
  <c r="D313" i="4"/>
  <c r="D324" i="4"/>
  <c r="D597" i="4"/>
  <c r="D156" i="4"/>
  <c r="D62" i="4"/>
  <c r="D464" i="4"/>
  <c r="D243" i="4"/>
  <c r="D21" i="4" s="1"/>
  <c r="D221" i="4"/>
  <c r="D224" i="4" s="1"/>
  <c r="D10" i="4" s="1"/>
  <c r="D654" i="4"/>
  <c r="D186" i="4"/>
  <c r="D502" i="4"/>
  <c r="D68" i="4"/>
  <c r="D407" i="4"/>
  <c r="D58" i="4"/>
  <c r="D69" i="4"/>
  <c r="D881" i="4"/>
  <c r="D315" i="4"/>
  <c r="D273" i="4"/>
  <c r="D175" i="4"/>
  <c r="D119" i="4"/>
  <c r="D157" i="4" s="1"/>
  <c r="D115" i="4"/>
  <c r="D935" i="4"/>
  <c r="D629" i="4"/>
  <c r="D121" i="4"/>
  <c r="D159" i="4" s="1"/>
  <c r="D120" i="4"/>
  <c r="D117" i="4"/>
  <c r="D152" i="4"/>
  <c r="D107" i="4"/>
  <c r="D47" i="4"/>
  <c r="D1010" i="4" s="1"/>
  <c r="D12" i="4"/>
  <c r="D188" i="4"/>
  <c r="D116" i="4"/>
  <c r="D77" i="4"/>
  <c r="D78" i="4"/>
  <c r="I23" i="1"/>
  <c r="H23" i="1"/>
  <c r="D76" i="4" l="1"/>
  <c r="D80" i="4" s="1"/>
  <c r="D18" i="4" s="1"/>
  <c r="I1970" i="6"/>
  <c r="J1970" i="6" s="1"/>
  <c r="I24" i="1"/>
  <c r="I1969" i="6"/>
  <c r="D111" i="4"/>
  <c r="D177" i="4"/>
  <c r="D9" i="4" s="1"/>
  <c r="D155" i="4"/>
  <c r="D32" i="4"/>
  <c r="D722" i="4"/>
  <c r="D724" i="4" s="1"/>
  <c r="D599" i="4"/>
  <c r="D601" i="4" s="1"/>
  <c r="D153" i="4"/>
  <c r="D64" i="4"/>
  <c r="D7" i="4" s="1"/>
  <c r="D133" i="4"/>
  <c r="D19" i="4" s="1"/>
  <c r="D158" i="4"/>
  <c r="D196" i="4"/>
  <c r="D20" i="4" s="1"/>
  <c r="D656" i="4"/>
  <c r="D658" i="4" s="1"/>
  <c r="D245" i="4"/>
  <c r="D466" i="4"/>
  <c r="D468" i="4" s="1"/>
  <c r="D23" i="4"/>
  <c r="D34" i="4" s="1"/>
  <c r="D361" i="4"/>
  <c r="D363" i="4" s="1"/>
  <c r="D154" i="4"/>
  <c r="D11" i="4"/>
  <c r="D937" i="4"/>
  <c r="D939" i="4" s="1"/>
  <c r="D948" i="4" s="1"/>
  <c r="H6" i="1"/>
  <c r="G25" i="12"/>
  <c r="O31" i="37"/>
  <c r="P31" i="37" s="1"/>
  <c r="Q31" i="37" s="1"/>
  <c r="R31" i="37" s="1"/>
  <c r="S31" i="37" s="1"/>
  <c r="T31" i="37" s="1"/>
  <c r="U31" i="37" s="1"/>
  <c r="V31" i="37" s="1"/>
  <c r="W31" i="37" s="1"/>
  <c r="AD41" i="21"/>
  <c r="AD47" i="21"/>
  <c r="I368" i="8"/>
  <c r="J368" i="8" s="1"/>
  <c r="K368" i="8" s="1"/>
  <c r="L368" i="8" s="1"/>
  <c r="I367" i="8"/>
  <c r="J367" i="8" s="1"/>
  <c r="K367" i="8" s="1"/>
  <c r="L367" i="8" s="1"/>
  <c r="F6" i="58" l="1"/>
  <c r="T31" i="58" s="1"/>
  <c r="J1969" i="6"/>
  <c r="D135" i="4"/>
  <c r="D137" i="4" s="1"/>
  <c r="D8" i="4"/>
  <c r="D30" i="4" s="1"/>
  <c r="D198" i="4"/>
  <c r="D200" i="4" s="1"/>
  <c r="D82" i="4"/>
  <c r="D967" i="4" s="1"/>
  <c r="D160" i="4"/>
  <c r="D972" i="4"/>
  <c r="D31" i="4"/>
  <c r="D970" i="4"/>
  <c r="D247" i="4"/>
  <c r="D374" i="4"/>
  <c r="D959" i="4"/>
  <c r="D29" i="4"/>
  <c r="G286" i="3"/>
  <c r="A290" i="3"/>
  <c r="C290" i="3"/>
  <c r="F300" i="3" s="1"/>
  <c r="A289" i="3"/>
  <c r="C289" i="3"/>
  <c r="A288" i="3"/>
  <c r="F288" i="3"/>
  <c r="A291" i="3"/>
  <c r="D968" i="4" l="1"/>
  <c r="D84" i="4"/>
  <c r="D954" i="4" s="1"/>
  <c r="A292" i="3"/>
  <c r="D14" i="4"/>
  <c r="D988" i="4" s="1"/>
  <c r="D990" i="4" s="1"/>
  <c r="D969" i="4"/>
  <c r="G296" i="3"/>
  <c r="D957" i="4"/>
  <c r="D258" i="4"/>
  <c r="D956" i="4"/>
  <c r="D955" i="4"/>
  <c r="D282" i="5"/>
  <c r="R260" i="48"/>
  <c r="O260" i="48"/>
  <c r="B253" i="48"/>
  <c r="B252" i="48"/>
  <c r="B251" i="48"/>
  <c r="B250" i="48"/>
  <c r="B249" i="48"/>
  <c r="B248" i="48"/>
  <c r="B247" i="48"/>
  <c r="B246" i="48"/>
  <c r="B245" i="48"/>
  <c r="B244" i="48"/>
  <c r="B243" i="48"/>
  <c r="B242" i="48"/>
  <c r="B241" i="48"/>
  <c r="B240" i="48"/>
  <c r="B239" i="48"/>
  <c r="B238" i="48"/>
  <c r="B237" i="48"/>
  <c r="B236" i="48"/>
  <c r="B235" i="48"/>
  <c r="B234" i="48"/>
  <c r="B233" i="48"/>
  <c r="B232" i="48"/>
  <c r="B231" i="48"/>
  <c r="B230" i="48"/>
  <c r="B229" i="48"/>
  <c r="B228" i="48"/>
  <c r="B227" i="48"/>
  <c r="B226" i="48"/>
  <c r="B225" i="48"/>
  <c r="U104" i="48"/>
  <c r="S111" i="48"/>
  <c r="R115" i="48"/>
  <c r="R114" i="48"/>
  <c r="R111" i="48"/>
  <c r="P122" i="48"/>
  <c r="P121" i="48"/>
  <c r="T115" i="48"/>
  <c r="S115" i="48"/>
  <c r="T114" i="48"/>
  <c r="S114" i="48"/>
  <c r="S107" i="48"/>
  <c r="T102" i="48"/>
  <c r="S101" i="48"/>
  <c r="T100" i="48"/>
  <c r="S100" i="48"/>
  <c r="S86" i="48"/>
  <c r="S85" i="48"/>
  <c r="T83" i="48"/>
  <c r="S112" i="48" l="1"/>
  <c r="U116" i="48"/>
  <c r="T116" i="48"/>
  <c r="S116" i="48"/>
  <c r="B6" i="58"/>
  <c r="D6" i="58"/>
  <c r="F5" i="58" s="1"/>
  <c r="B9" i="58"/>
  <c r="D9" i="58"/>
  <c r="B10" i="58"/>
  <c r="B11" i="58" l="1"/>
  <c r="B13" i="58" s="1"/>
  <c r="M49" i="48"/>
  <c r="M48" i="48"/>
  <c r="M47" i="48"/>
  <c r="M46" i="48"/>
  <c r="M43" i="48"/>
  <c r="M40" i="48"/>
  <c r="M34" i="48"/>
  <c r="M33" i="48"/>
  <c r="M35" i="48" s="1"/>
  <c r="M30" i="48"/>
  <c r="H54" i="48"/>
  <c r="G54" i="48"/>
  <c r="R85" i="48"/>
  <c r="H49" i="48"/>
  <c r="M24" i="48"/>
  <c r="C56" i="58"/>
  <c r="G6" i="58"/>
  <c r="D23" i="58"/>
  <c r="D22" i="58"/>
  <c r="D19" i="58"/>
  <c r="D18" i="58"/>
  <c r="D17" i="58"/>
  <c r="D16" i="58"/>
  <c r="D15" i="58"/>
  <c r="B23" i="58"/>
  <c r="B37" i="58" s="1"/>
  <c r="B21" i="58"/>
  <c r="B20" i="58"/>
  <c r="B17" i="58"/>
  <c r="B16" i="58"/>
  <c r="B15" i="58"/>
  <c r="E46" i="58"/>
  <c r="N45" i="58"/>
  <c r="M45" i="58"/>
  <c r="L45" i="58"/>
  <c r="K45" i="58"/>
  <c r="J45" i="58"/>
  <c r="I45" i="58"/>
  <c r="H45" i="58"/>
  <c r="G45" i="58"/>
  <c r="F45" i="58"/>
  <c r="E45" i="58"/>
  <c r="D45" i="58"/>
  <c r="B45" i="58"/>
  <c r="E44" i="58"/>
  <c r="E43" i="58"/>
  <c r="E42" i="58"/>
  <c r="I53" i="10"/>
  <c r="AD31" i="9" s="1"/>
  <c r="D1308" i="6"/>
  <c r="AM68" i="22"/>
  <c r="AI12" i="22"/>
  <c r="AI9" i="22"/>
  <c r="I534" i="8"/>
  <c r="J534" i="8" s="1"/>
  <c r="I533" i="8"/>
  <c r="J533" i="8" s="1"/>
  <c r="I532" i="8"/>
  <c r="J532" i="8" s="1"/>
  <c r="I528" i="8"/>
  <c r="J528" i="8" s="1"/>
  <c r="I527" i="8"/>
  <c r="J527" i="8" s="1"/>
  <c r="I526" i="8"/>
  <c r="J526" i="8" s="1"/>
  <c r="I525" i="8"/>
  <c r="J525" i="8" s="1"/>
  <c r="I524" i="8"/>
  <c r="J524" i="8" s="1"/>
  <c r="I523" i="8"/>
  <c r="J523" i="8" s="1"/>
  <c r="I522" i="8"/>
  <c r="J522" i="8" s="1"/>
  <c r="I521" i="8"/>
  <c r="J521" i="8" s="1"/>
  <c r="I520" i="8"/>
  <c r="J520" i="8" s="1"/>
  <c r="I519" i="8"/>
  <c r="J519" i="8" s="1"/>
  <c r="I518" i="8"/>
  <c r="J518" i="8" s="1"/>
  <c r="I517" i="8"/>
  <c r="J517" i="8" s="1"/>
  <c r="I516" i="8"/>
  <c r="J516" i="8" s="1"/>
  <c r="I515" i="8"/>
  <c r="J515" i="8" s="1"/>
  <c r="I514" i="8"/>
  <c r="J514" i="8" s="1"/>
  <c r="I511" i="8"/>
  <c r="J511" i="8" s="1"/>
  <c r="I507" i="8"/>
  <c r="J507" i="8" s="1"/>
  <c r="I506" i="8"/>
  <c r="J506" i="8" s="1"/>
  <c r="I505" i="8"/>
  <c r="J505" i="8" s="1"/>
  <c r="I504" i="8"/>
  <c r="J504" i="8" s="1"/>
  <c r="I501" i="8"/>
  <c r="J501" i="8" s="1"/>
  <c r="I490" i="8"/>
  <c r="J490" i="8" s="1"/>
  <c r="I489" i="8"/>
  <c r="J489" i="8" s="1"/>
  <c r="I486" i="8"/>
  <c r="J486" i="8" s="1"/>
  <c r="I485" i="8"/>
  <c r="J485" i="8" s="1"/>
  <c r="I484" i="8"/>
  <c r="J484" i="8" s="1"/>
  <c r="I483" i="8"/>
  <c r="J483" i="8" s="1"/>
  <c r="I482" i="8"/>
  <c r="J482" i="8" s="1"/>
  <c r="I481" i="8"/>
  <c r="J481" i="8" s="1"/>
  <c r="I480" i="8"/>
  <c r="J480" i="8" s="1"/>
  <c r="I479" i="8"/>
  <c r="J479" i="8" s="1"/>
  <c r="I476" i="8"/>
  <c r="J476" i="8" s="1"/>
  <c r="I473" i="8"/>
  <c r="J473" i="8" s="1"/>
  <c r="I470" i="8"/>
  <c r="J470" i="8" s="1"/>
  <c r="I469" i="8"/>
  <c r="J469" i="8" s="1"/>
  <c r="I468" i="8"/>
  <c r="J468" i="8" s="1"/>
  <c r="I467" i="8"/>
  <c r="J467" i="8" s="1"/>
  <c r="I466" i="8"/>
  <c r="J466" i="8" s="1"/>
  <c r="I465" i="8"/>
  <c r="J465" i="8" s="1"/>
  <c r="I464" i="8"/>
  <c r="J464" i="8" s="1"/>
  <c r="I463" i="8"/>
  <c r="J463" i="8" s="1"/>
  <c r="I400" i="8"/>
  <c r="J400" i="8" s="1"/>
  <c r="I397" i="8"/>
  <c r="J397" i="8" s="1"/>
  <c r="I395" i="8"/>
  <c r="J395" i="8" s="1"/>
  <c r="I387" i="8"/>
  <c r="J387" i="8" s="1"/>
  <c r="I386" i="8"/>
  <c r="J386" i="8" s="1"/>
  <c r="I385" i="8"/>
  <c r="J385" i="8" s="1"/>
  <c r="J384" i="8"/>
  <c r="I377" i="8"/>
  <c r="J377" i="8" s="1"/>
  <c r="I376" i="8"/>
  <c r="J376" i="8" s="1"/>
  <c r="B431" i="8"/>
  <c r="A431" i="8"/>
  <c r="B385" i="8"/>
  <c r="A385" i="8"/>
  <c r="D921" i="7"/>
  <c r="C921" i="7"/>
  <c r="H1161" i="7"/>
  <c r="M368" i="8" l="1"/>
  <c r="N368" i="8" s="1"/>
  <c r="M367" i="8"/>
  <c r="N367" i="8" s="1"/>
  <c r="M50" i="48"/>
  <c r="F34" i="48" s="1"/>
  <c r="E15" i="58"/>
  <c r="E23" i="58"/>
  <c r="E37" i="58" s="1"/>
  <c r="E16" i="58"/>
  <c r="E17" i="58"/>
  <c r="D37" i="58"/>
  <c r="D920" i="7"/>
  <c r="A1930" i="6"/>
  <c r="B1803" i="6"/>
  <c r="H1822" i="6"/>
  <c r="C590" i="6"/>
  <c r="B590" i="6"/>
  <c r="A590" i="6"/>
  <c r="I590" i="6"/>
  <c r="B1796" i="6"/>
  <c r="A1796" i="6"/>
  <c r="G49" i="48" l="1"/>
  <c r="R112" i="48"/>
  <c r="G5" i="58"/>
  <c r="D1538" i="6"/>
  <c r="A1438" i="6"/>
  <c r="D1438" i="6"/>
  <c r="B1411" i="6"/>
  <c r="B1383" i="6"/>
  <c r="A1383" i="6"/>
  <c r="H1390" i="6"/>
  <c r="R116" i="48" l="1"/>
  <c r="B962" i="6"/>
  <c r="H962" i="6"/>
  <c r="C383" i="4"/>
  <c r="B383" i="4"/>
  <c r="J462" i="4"/>
  <c r="C461" i="4"/>
  <c r="A426" i="4" l="1"/>
  <c r="J427" i="4"/>
  <c r="J430" i="4"/>
  <c r="J431" i="4"/>
  <c r="J432" i="4"/>
  <c r="J395" i="4"/>
  <c r="I1127" i="6"/>
  <c r="I1126" i="6"/>
  <c r="I1556" i="6" l="1"/>
  <c r="J1556" i="6" s="1"/>
  <c r="J1555" i="6"/>
  <c r="I1554" i="6"/>
  <c r="J1554" i="6" s="1"/>
  <c r="J1553" i="6"/>
  <c r="I1552" i="6"/>
  <c r="J1552" i="6" s="1"/>
  <c r="I1551" i="6"/>
  <c r="J1551" i="6" s="1"/>
  <c r="I1550" i="6"/>
  <c r="J1550" i="6" s="1"/>
  <c r="I1549" i="6"/>
  <c r="J1549" i="6" s="1"/>
  <c r="I1548" i="6"/>
  <c r="J1548" i="6" s="1"/>
  <c r="I1547" i="6"/>
  <c r="J1547" i="6" s="1"/>
  <c r="I1546" i="6"/>
  <c r="J1546" i="6" s="1"/>
  <c r="I1545" i="6"/>
  <c r="J1545" i="6" s="1"/>
  <c r="I1544" i="6"/>
  <c r="J1544" i="6" s="1"/>
  <c r="I1543" i="6"/>
  <c r="I1542" i="6"/>
  <c r="J1542" i="6" s="1"/>
  <c r="I1541" i="6"/>
  <c r="J1541" i="6" s="1"/>
  <c r="I1540" i="6"/>
  <c r="J1540" i="6" s="1"/>
  <c r="I1539" i="6"/>
  <c r="J1539" i="6" s="1"/>
  <c r="I1538" i="6"/>
  <c r="J1538" i="6" s="1"/>
  <c r="I1537" i="6"/>
  <c r="J1537" i="6" s="1"/>
  <c r="I1536" i="6"/>
  <c r="J1536" i="6" s="1"/>
  <c r="I1535" i="6"/>
  <c r="J1535" i="6" s="1"/>
  <c r="I1534" i="6"/>
  <c r="J1534" i="6" s="1"/>
  <c r="I1533" i="6"/>
  <c r="J1533" i="6" s="1"/>
  <c r="I1532" i="6"/>
  <c r="J1532" i="6" s="1"/>
  <c r="I1424" i="6"/>
  <c r="J1424" i="6" s="1"/>
  <c r="I1405" i="6"/>
  <c r="J1405" i="6" s="1"/>
  <c r="I1404" i="6"/>
  <c r="J1404" i="6" s="1"/>
  <c r="I1403" i="6"/>
  <c r="J1403" i="6" s="1"/>
  <c r="I1402" i="6"/>
  <c r="J1402" i="6" s="1"/>
  <c r="I1400" i="6"/>
  <c r="J1400" i="6" s="1"/>
  <c r="I1399" i="6"/>
  <c r="J1399" i="6" s="1"/>
  <c r="I1398" i="6"/>
  <c r="J1398" i="6" s="1"/>
  <c r="I1397" i="6"/>
  <c r="J1397" i="6" s="1"/>
  <c r="I1396" i="6"/>
  <c r="J1396" i="6" s="1"/>
  <c r="J1325" i="6"/>
  <c r="J1323" i="6"/>
  <c r="J1322" i="6"/>
  <c r="I1319" i="6"/>
  <c r="J1319" i="6" s="1"/>
  <c r="I1316" i="6"/>
  <c r="J1316" i="6" s="1"/>
  <c r="J1315" i="6"/>
  <c r="J1314" i="6"/>
  <c r="I1313" i="6"/>
  <c r="J1313" i="6" s="1"/>
  <c r="I1312" i="6"/>
  <c r="J1312" i="6" s="1"/>
  <c r="J1311" i="6"/>
  <c r="I1310" i="6"/>
  <c r="J1310" i="6" s="1"/>
  <c r="J1309" i="6"/>
  <c r="I1307" i="6"/>
  <c r="J1307" i="6" s="1"/>
  <c r="I1306" i="6"/>
  <c r="J1306" i="6" s="1"/>
  <c r="J1305" i="6"/>
  <c r="I1304" i="6"/>
  <c r="J1304" i="6" s="1"/>
  <c r="J1303" i="6"/>
  <c r="J1302" i="6"/>
  <c r="I1124" i="6"/>
  <c r="J1124" i="6" s="1"/>
  <c r="I1123" i="6"/>
  <c r="J1123" i="6" s="1"/>
  <c r="I1118" i="6"/>
  <c r="J1118" i="6" s="1"/>
  <c r="J1117" i="6"/>
  <c r="I1116" i="6"/>
  <c r="J1116" i="6" s="1"/>
  <c r="I1115" i="6"/>
  <c r="J1115" i="6" s="1"/>
  <c r="I1114" i="6"/>
  <c r="J1114" i="6" s="1"/>
  <c r="I1113" i="6"/>
  <c r="J1113" i="6" s="1"/>
  <c r="I1112" i="6"/>
  <c r="J1112" i="6" s="1"/>
  <c r="J1111" i="6"/>
  <c r="I1109" i="6"/>
  <c r="J1109" i="6" s="1"/>
  <c r="I1108" i="6"/>
  <c r="J1108" i="6" s="1"/>
  <c r="I1107" i="6"/>
  <c r="J1107" i="6" s="1"/>
  <c r="I1106" i="6"/>
  <c r="I1105" i="6"/>
  <c r="J1105" i="6" s="1"/>
  <c r="J1059" i="6"/>
  <c r="J1058" i="6"/>
  <c r="J1055" i="6"/>
  <c r="J1053" i="6"/>
  <c r="J1052" i="6"/>
  <c r="J1048" i="6"/>
  <c r="J1047" i="6"/>
  <c r="J1046" i="6"/>
  <c r="J1045" i="6"/>
  <c r="J1043" i="6"/>
  <c r="J1042" i="6"/>
  <c r="J1041" i="6"/>
  <c r="J1040" i="6"/>
  <c r="J1039" i="6"/>
  <c r="J1037" i="6"/>
  <c r="J1106" i="6" l="1"/>
  <c r="J1057" i="6"/>
  <c r="J1038" i="6"/>
  <c r="H725" i="34" s="1"/>
  <c r="G725" i="34"/>
  <c r="AI207" i="9"/>
  <c r="AI206" i="9"/>
  <c r="AJ206" i="9" s="1"/>
  <c r="AI205" i="9"/>
  <c r="AJ205" i="9" s="1"/>
  <c r="AI204" i="9"/>
  <c r="AJ204" i="9" s="1"/>
  <c r="AI203" i="9"/>
  <c r="AJ203" i="9" s="1"/>
  <c r="AI202" i="9"/>
  <c r="AJ202" i="9" s="1"/>
  <c r="AI201" i="9"/>
  <c r="AJ201" i="9" s="1"/>
  <c r="AI200" i="9"/>
  <c r="AJ200" i="9" s="1"/>
  <c r="AD207" i="9"/>
  <c r="AE207" i="9" s="1"/>
  <c r="AD206" i="9"/>
  <c r="AE206" i="9" s="1"/>
  <c r="AD205" i="9"/>
  <c r="AE205" i="9" s="1"/>
  <c r="AD204" i="9"/>
  <c r="AE204" i="9" s="1"/>
  <c r="AD203" i="9"/>
  <c r="AE203" i="9" s="1"/>
  <c r="AD202" i="9"/>
  <c r="AE202" i="9" s="1"/>
  <c r="AD201" i="9"/>
  <c r="AE201" i="9" s="1"/>
  <c r="AD200" i="9"/>
  <c r="AE200" i="9" s="1"/>
  <c r="AJ196" i="9"/>
  <c r="AE196" i="9"/>
  <c r="Z187" i="9"/>
  <c r="AJ187" i="9"/>
  <c r="AJ188" i="9"/>
  <c r="AJ189" i="9"/>
  <c r="AJ190" i="9"/>
  <c r="AJ191" i="9"/>
  <c r="AD180" i="9"/>
  <c r="AO142" i="9"/>
  <c r="AO145" i="9"/>
  <c r="AO143" i="9"/>
  <c r="AO144" i="9"/>
  <c r="AO147" i="9"/>
  <c r="AO148" i="9"/>
  <c r="AO149" i="9"/>
  <c r="AO150" i="9"/>
  <c r="AJ142" i="9"/>
  <c r="AJ145" i="9"/>
  <c r="AJ143" i="9"/>
  <c r="AJ144" i="9"/>
  <c r="AJ147" i="9"/>
  <c r="AJ148" i="9"/>
  <c r="AJ149" i="9"/>
  <c r="AJ150" i="9"/>
  <c r="AE149" i="9"/>
  <c r="AE150" i="9"/>
  <c r="AN96" i="9"/>
  <c r="AT99" i="9"/>
  <c r="AT100" i="9"/>
  <c r="AT101" i="9"/>
  <c r="AT102" i="9"/>
  <c r="AT103" i="9"/>
  <c r="AT104" i="9"/>
  <c r="AO99" i="9"/>
  <c r="AO100" i="9"/>
  <c r="AO101" i="9"/>
  <c r="AO102" i="9"/>
  <c r="AO103" i="9"/>
  <c r="AO104" i="9"/>
  <c r="AJ99" i="9"/>
  <c r="AJ100" i="9"/>
  <c r="AJ101" i="9"/>
  <c r="AJ102" i="9"/>
  <c r="AJ103" i="9"/>
  <c r="AJ104" i="9"/>
  <c r="AI40" i="9"/>
  <c r="AI41" i="9"/>
  <c r="AJ41" i="9" s="1"/>
  <c r="AI42" i="9"/>
  <c r="AJ42" i="9" s="1"/>
  <c r="AI43" i="9"/>
  <c r="AJ43" i="9" s="1"/>
  <c r="AI44" i="9"/>
  <c r="AJ44" i="9" s="1"/>
  <c r="AI45" i="9"/>
  <c r="AJ45" i="9" s="1"/>
  <c r="AO51" i="9"/>
  <c r="AO50" i="9"/>
  <c r="AO49" i="9"/>
  <c r="AO48" i="9"/>
  <c r="AO42" i="9"/>
  <c r="AO43" i="9"/>
  <c r="AO44" i="9"/>
  <c r="AO45" i="9"/>
  <c r="AJ40" i="9"/>
  <c r="AI49" i="9"/>
  <c r="AJ49" i="9" s="1"/>
  <c r="AI50" i="9"/>
  <c r="AJ50" i="9" s="1"/>
  <c r="AI51" i="9"/>
  <c r="AJ51" i="9" s="1"/>
  <c r="AD51" i="9"/>
  <c r="AE51" i="9" s="1"/>
  <c r="AD50" i="9"/>
  <c r="AE50" i="9" s="1"/>
  <c r="AD49" i="9"/>
  <c r="AE49" i="9" s="1"/>
  <c r="AD48" i="9"/>
  <c r="AE48" i="9" s="1"/>
  <c r="AD40" i="9"/>
  <c r="AE40" i="9" s="1"/>
  <c r="AD41" i="9"/>
  <c r="AE41" i="9" s="1"/>
  <c r="AD42" i="9"/>
  <c r="AE42" i="9" s="1"/>
  <c r="AD43" i="9"/>
  <c r="AE43" i="9" s="1"/>
  <c r="AD44" i="9"/>
  <c r="AE44" i="9" s="1"/>
  <c r="AD45" i="9"/>
  <c r="AE45" i="9" s="1"/>
  <c r="AJ18" i="9"/>
  <c r="AJ17" i="9"/>
  <c r="J320" i="6" l="1"/>
  <c r="BZ11" i="9"/>
  <c r="CA11" i="9" s="1"/>
  <c r="CB11" i="9" s="1"/>
  <c r="CC11" i="9" s="1"/>
  <c r="CD11" i="9" s="1"/>
  <c r="CE11" i="9" s="1"/>
  <c r="CF11" i="9" s="1"/>
  <c r="CG11" i="9" s="1"/>
  <c r="BZ10" i="9"/>
  <c r="CA10" i="9" s="1"/>
  <c r="CB10" i="9" s="1"/>
  <c r="CC10" i="9" s="1"/>
  <c r="CD10" i="9" s="1"/>
  <c r="CE10" i="9" s="1"/>
  <c r="CF10" i="9" s="1"/>
  <c r="CG10" i="9" s="1"/>
  <c r="BZ9" i="9"/>
  <c r="CA9" i="9" s="1"/>
  <c r="CB9" i="9" s="1"/>
  <c r="CC9" i="9" s="1"/>
  <c r="CD9" i="9" s="1"/>
  <c r="CE9" i="9" s="1"/>
  <c r="CF9" i="9" s="1"/>
  <c r="CG9" i="9" s="1"/>
  <c r="BZ8" i="9"/>
  <c r="CA8" i="9" s="1"/>
  <c r="CB8" i="9" s="1"/>
  <c r="CC8" i="9" s="1"/>
  <c r="CD8" i="9" s="1"/>
  <c r="CE8" i="9" s="1"/>
  <c r="CF8" i="9" s="1"/>
  <c r="CG8" i="9" s="1"/>
  <c r="BZ7" i="9"/>
  <c r="CA7" i="9" s="1"/>
  <c r="CB7" i="9" s="1"/>
  <c r="CC7" i="9" s="1"/>
  <c r="CD7" i="9" s="1"/>
  <c r="CE7" i="9" s="1"/>
  <c r="CF7" i="9" s="1"/>
  <c r="CG7" i="9" s="1"/>
  <c r="CL7" i="9"/>
  <c r="BZ22" i="9"/>
  <c r="CL21" i="9"/>
  <c r="BZ32" i="9"/>
  <c r="CM32" i="9" s="1"/>
  <c r="BZ45" i="9"/>
  <c r="BZ44" i="9"/>
  <c r="CM44" i="9" s="1"/>
  <c r="BZ43" i="9"/>
  <c r="BZ51" i="9"/>
  <c r="BZ104" i="9"/>
  <c r="BZ103" i="9"/>
  <c r="BZ102" i="9"/>
  <c r="CL101" i="9"/>
  <c r="BZ100" i="9"/>
  <c r="CL99" i="9"/>
  <c r="BZ116" i="9"/>
  <c r="BZ187" i="9"/>
  <c r="CL188" i="9"/>
  <c r="I1569" i="6"/>
  <c r="H984" i="6"/>
  <c r="I750" i="4"/>
  <c r="AD190" i="9"/>
  <c r="AE190" i="9" s="1"/>
  <c r="R77" i="10"/>
  <c r="L1371" i="6" s="1"/>
  <c r="O77" i="10"/>
  <c r="K1371" i="6" s="1"/>
  <c r="AT176" i="9"/>
  <c r="AT179" i="9"/>
  <c r="AT181" i="9"/>
  <c r="AT183" i="9"/>
  <c r="AS180" i="9"/>
  <c r="AT180" i="9" s="1"/>
  <c r="J68" i="10"/>
  <c r="AE187" i="9"/>
  <c r="AE188" i="9"/>
  <c r="AE189" i="9"/>
  <c r="AE191" i="9"/>
  <c r="BZ190" i="9"/>
  <c r="U190" i="9"/>
  <c r="Z190" i="9"/>
  <c r="H108" i="40"/>
  <c r="AD116" i="9"/>
  <c r="J99" i="10"/>
  <c r="AA116" i="9"/>
  <c r="BI116" i="9"/>
  <c r="AK116" i="9"/>
  <c r="AO116" i="9" s="1"/>
  <c r="AF116" i="9"/>
  <c r="AJ116" i="9" s="1"/>
  <c r="BS116" i="9"/>
  <c r="BN116" i="9"/>
  <c r="BD116" i="9"/>
  <c r="AY116" i="9"/>
  <c r="AT116" i="9"/>
  <c r="U116" i="9"/>
  <c r="S77" i="10" l="1"/>
  <c r="CH9" i="9"/>
  <c r="CI9" i="9" s="1"/>
  <c r="CJ9" i="9" s="1"/>
  <c r="CW9" i="9" s="1"/>
  <c r="CH10" i="9"/>
  <c r="CI10" i="9" s="1"/>
  <c r="CJ10" i="9" s="1"/>
  <c r="CW10" i="9" s="1"/>
  <c r="CH7" i="9"/>
  <c r="CI7" i="9" s="1"/>
  <c r="CJ7" i="9" s="1"/>
  <c r="CH11" i="9"/>
  <c r="CI11" i="9" s="1"/>
  <c r="CJ11" i="9" s="1"/>
  <c r="CW11" i="9" s="1"/>
  <c r="CH8" i="9"/>
  <c r="CI8" i="9" s="1"/>
  <c r="CJ8" i="9" s="1"/>
  <c r="CW8" i="9" s="1"/>
  <c r="CL44" i="9"/>
  <c r="CL116" i="9"/>
  <c r="CL100" i="9"/>
  <c r="CL103" i="9"/>
  <c r="CA116" i="9"/>
  <c r="CN116" i="9" s="1"/>
  <c r="CM116" i="9"/>
  <c r="BZ99" i="9"/>
  <c r="CM99" i="9" s="1"/>
  <c r="CL22" i="9"/>
  <c r="BZ101" i="9"/>
  <c r="CM101" i="9" s="1"/>
  <c r="CL104" i="9"/>
  <c r="CL45" i="9"/>
  <c r="BZ21" i="9"/>
  <c r="CA21" i="9" s="1"/>
  <c r="CB21" i="9" s="1"/>
  <c r="BZ188" i="9"/>
  <c r="CL190" i="9"/>
  <c r="CL102" i="9"/>
  <c r="CL43" i="9"/>
  <c r="CM22" i="9"/>
  <c r="CA22" i="9"/>
  <c r="CA32" i="9"/>
  <c r="CA43" i="9"/>
  <c r="CM43" i="9"/>
  <c r="CA45" i="9"/>
  <c r="CM45" i="9"/>
  <c r="CA44" i="9"/>
  <c r="CL51" i="9"/>
  <c r="CA51" i="9"/>
  <c r="CM51" i="9"/>
  <c r="CA100" i="9"/>
  <c r="CM100" i="9"/>
  <c r="CA104" i="9"/>
  <c r="CM104" i="9"/>
  <c r="CM103" i="9"/>
  <c r="CA103" i="9"/>
  <c r="CA102" i="9"/>
  <c r="CM102" i="9"/>
  <c r="CA187" i="9"/>
  <c r="CM187" i="9"/>
  <c r="CL187" i="9"/>
  <c r="CA190" i="9"/>
  <c r="CM190" i="9"/>
  <c r="AE116" i="9"/>
  <c r="Z116" i="9"/>
  <c r="CM21" i="9" l="1"/>
  <c r="CN21" i="9"/>
  <c r="CA101" i="9"/>
  <c r="CB101" i="9" s="1"/>
  <c r="CB116" i="9"/>
  <c r="CO116" i="9" s="1"/>
  <c r="CM188" i="9"/>
  <c r="CA188" i="9"/>
  <c r="CA99" i="9"/>
  <c r="CB99" i="9" s="1"/>
  <c r="CO21" i="9"/>
  <c r="CC21" i="9"/>
  <c r="CB22" i="9"/>
  <c r="CN22" i="9"/>
  <c r="CN32" i="9"/>
  <c r="CB32" i="9"/>
  <c r="CN45" i="9"/>
  <c r="CB45" i="9"/>
  <c r="CB44" i="9"/>
  <c r="CN44" i="9"/>
  <c r="CN43" i="9"/>
  <c r="CB43" i="9"/>
  <c r="CN51" i="9"/>
  <c r="CB51" i="9"/>
  <c r="CN100" i="9"/>
  <c r="CB100" i="9"/>
  <c r="CN102" i="9"/>
  <c r="CB102" i="9"/>
  <c r="CB103" i="9"/>
  <c r="CN103" i="9"/>
  <c r="CN104" i="9"/>
  <c r="CB104" i="9"/>
  <c r="CB187" i="9"/>
  <c r="CN187" i="9"/>
  <c r="CN190" i="9"/>
  <c r="CB190" i="9"/>
  <c r="CC116" i="9"/>
  <c r="CN101" i="9" l="1"/>
  <c r="CN99" i="9"/>
  <c r="CB188" i="9"/>
  <c r="CN188" i="9"/>
  <c r="CC22" i="9"/>
  <c r="CO22" i="9"/>
  <c r="CP21" i="9"/>
  <c r="CD21" i="9"/>
  <c r="CO32" i="9"/>
  <c r="CC32" i="9"/>
  <c r="CC44" i="9"/>
  <c r="CO44" i="9"/>
  <c r="CO43" i="9"/>
  <c r="CC43" i="9"/>
  <c r="CO45" i="9"/>
  <c r="CC45" i="9"/>
  <c r="CO51" i="9"/>
  <c r="CC51" i="9"/>
  <c r="CO102" i="9"/>
  <c r="CC102" i="9"/>
  <c r="CC103" i="9"/>
  <c r="CO103" i="9"/>
  <c r="CC99" i="9"/>
  <c r="CO99" i="9"/>
  <c r="CO104" i="9"/>
  <c r="CC104" i="9"/>
  <c r="CO100" i="9"/>
  <c r="CC100" i="9"/>
  <c r="CC101" i="9"/>
  <c r="CO101" i="9"/>
  <c r="CC187" i="9"/>
  <c r="CO187" i="9"/>
  <c r="CO190" i="9"/>
  <c r="CC190" i="9"/>
  <c r="CD116" i="9"/>
  <c r="CP116" i="9"/>
  <c r="CC188" i="9" l="1"/>
  <c r="CO188" i="9"/>
  <c r="CP22" i="9"/>
  <c r="CD22" i="9"/>
  <c r="CQ21" i="9"/>
  <c r="CE21" i="9"/>
  <c r="CD32" i="9"/>
  <c r="CP32" i="9"/>
  <c r="CD45" i="9"/>
  <c r="CP45" i="9"/>
  <c r="CP44" i="9"/>
  <c r="CD44" i="9"/>
  <c r="CD43" i="9"/>
  <c r="CP43" i="9"/>
  <c r="CD51" i="9"/>
  <c r="CP51" i="9"/>
  <c r="CP101" i="9"/>
  <c r="CD101" i="9"/>
  <c r="CP103" i="9"/>
  <c r="CD103" i="9"/>
  <c r="CD100" i="9"/>
  <c r="CP100" i="9"/>
  <c r="CD102" i="9"/>
  <c r="CP102" i="9"/>
  <c r="CP99" i="9"/>
  <c r="CD99" i="9"/>
  <c r="CD104" i="9"/>
  <c r="CP104" i="9"/>
  <c r="CD187" i="9"/>
  <c r="CP187" i="9"/>
  <c r="CD190" i="9"/>
  <c r="CP190" i="9"/>
  <c r="CQ116" i="9"/>
  <c r="CE116" i="9"/>
  <c r="CD188" i="9" l="1"/>
  <c r="CP188" i="9"/>
  <c r="CQ22" i="9"/>
  <c r="CE22" i="9"/>
  <c r="CF21" i="9"/>
  <c r="CR21" i="9"/>
  <c r="CE32" i="9"/>
  <c r="CQ32" i="9"/>
  <c r="CE43" i="9"/>
  <c r="CQ43" i="9"/>
  <c r="CE45" i="9"/>
  <c r="CQ45" i="9"/>
  <c r="CQ44" i="9"/>
  <c r="CE44" i="9"/>
  <c r="CE51" i="9"/>
  <c r="CQ51" i="9"/>
  <c r="CE104" i="9"/>
  <c r="CQ104" i="9"/>
  <c r="CE102" i="9"/>
  <c r="CQ102" i="9"/>
  <c r="CQ99" i="9"/>
  <c r="CE99" i="9"/>
  <c r="CQ101" i="9"/>
  <c r="CE101" i="9"/>
  <c r="CE100" i="9"/>
  <c r="CQ100" i="9"/>
  <c r="CQ103" i="9"/>
  <c r="CE103" i="9"/>
  <c r="CE187" i="9"/>
  <c r="CQ187" i="9"/>
  <c r="CE190" i="9"/>
  <c r="CQ190" i="9"/>
  <c r="CR116" i="9"/>
  <c r="CF116" i="9"/>
  <c r="CE188" i="9" l="1"/>
  <c r="CQ188" i="9"/>
  <c r="CG21" i="9"/>
  <c r="CS21" i="9"/>
  <c r="CR22" i="9"/>
  <c r="CF22" i="9"/>
  <c r="CR32" i="9"/>
  <c r="CF32" i="9"/>
  <c r="CR45" i="9"/>
  <c r="CF45" i="9"/>
  <c r="CF44" i="9"/>
  <c r="CR44" i="9"/>
  <c r="CR43" i="9"/>
  <c r="CF43" i="9"/>
  <c r="CR51" i="9"/>
  <c r="CF51" i="9"/>
  <c r="CR102" i="9"/>
  <c r="CF102" i="9"/>
  <c r="CF99" i="9"/>
  <c r="CR99" i="9"/>
  <c r="CR100" i="9"/>
  <c r="CF100" i="9"/>
  <c r="CR104" i="9"/>
  <c r="CF104" i="9"/>
  <c r="CF103" i="9"/>
  <c r="CR103" i="9"/>
  <c r="CF101" i="9"/>
  <c r="CR101" i="9"/>
  <c r="CF187" i="9"/>
  <c r="CR187" i="9"/>
  <c r="CF190" i="9"/>
  <c r="CR190" i="9"/>
  <c r="CS116" i="9"/>
  <c r="CG116" i="9"/>
  <c r="CF188" i="9" l="1"/>
  <c r="CR188" i="9"/>
  <c r="CH21" i="9"/>
  <c r="CT21" i="9"/>
  <c r="CG22" i="9"/>
  <c r="CS22" i="9"/>
  <c r="CS32" i="9"/>
  <c r="CG32" i="9"/>
  <c r="CG44" i="9"/>
  <c r="CS44" i="9"/>
  <c r="CS43" i="9"/>
  <c r="CG43" i="9"/>
  <c r="CS45" i="9"/>
  <c r="CG45" i="9"/>
  <c r="CS51" i="9"/>
  <c r="CG51" i="9"/>
  <c r="CG101" i="9"/>
  <c r="CS101" i="9"/>
  <c r="CG99" i="9"/>
  <c r="CS99" i="9"/>
  <c r="CS100" i="9"/>
  <c r="CG100" i="9"/>
  <c r="CS102" i="9"/>
  <c r="CG102" i="9"/>
  <c r="CG103" i="9"/>
  <c r="CS103" i="9"/>
  <c r="CS104" i="9"/>
  <c r="CG104" i="9"/>
  <c r="CG187" i="9"/>
  <c r="CS187" i="9"/>
  <c r="CS190" i="9"/>
  <c r="CG190" i="9"/>
  <c r="CH116" i="9"/>
  <c r="CT116" i="9"/>
  <c r="CG188" i="9" l="1"/>
  <c r="CS188" i="9"/>
  <c r="CH22" i="9"/>
  <c r="CT22" i="9"/>
  <c r="CU21" i="9"/>
  <c r="CI21" i="9"/>
  <c r="CH32" i="9"/>
  <c r="CT32" i="9"/>
  <c r="CH45" i="9"/>
  <c r="CT45" i="9"/>
  <c r="CT44" i="9"/>
  <c r="CH44" i="9"/>
  <c r="CH43" i="9"/>
  <c r="CT43" i="9"/>
  <c r="CH51" i="9"/>
  <c r="CT51" i="9"/>
  <c r="CT99" i="9"/>
  <c r="CH99" i="9"/>
  <c r="CH100" i="9"/>
  <c r="CT100" i="9"/>
  <c r="CT103" i="9"/>
  <c r="CH103" i="9"/>
  <c r="CT101" i="9"/>
  <c r="CH101" i="9"/>
  <c r="CH104" i="9"/>
  <c r="CT104" i="9"/>
  <c r="CH102" i="9"/>
  <c r="CT102" i="9"/>
  <c r="CH187" i="9"/>
  <c r="CT187" i="9"/>
  <c r="CH190" i="9"/>
  <c r="CT190" i="9"/>
  <c r="CI116" i="9"/>
  <c r="CU116" i="9"/>
  <c r="CV21" i="9" l="1"/>
  <c r="CJ21" i="9"/>
  <c r="CW21" i="9" s="1"/>
  <c r="CV116" i="9"/>
  <c r="CJ116" i="9"/>
  <c r="CW116" i="9" s="1"/>
  <c r="CH188" i="9"/>
  <c r="CT188" i="9"/>
  <c r="CU22" i="9"/>
  <c r="CI22" i="9"/>
  <c r="CI32" i="9"/>
  <c r="CU32" i="9"/>
  <c r="CI43" i="9"/>
  <c r="CU43" i="9"/>
  <c r="CI45" i="9"/>
  <c r="CU45" i="9"/>
  <c r="CU44" i="9"/>
  <c r="CI44" i="9"/>
  <c r="CI51" i="9"/>
  <c r="CU51" i="9"/>
  <c r="CI102" i="9"/>
  <c r="CU102" i="9"/>
  <c r="CI100" i="9"/>
  <c r="CU100" i="9"/>
  <c r="CU103" i="9"/>
  <c r="CI103" i="9"/>
  <c r="CU99" i="9"/>
  <c r="CI99" i="9"/>
  <c r="CI104" i="9"/>
  <c r="CU104" i="9"/>
  <c r="CU101" i="9"/>
  <c r="CI101" i="9"/>
  <c r="CI187" i="9"/>
  <c r="CU187" i="9"/>
  <c r="CI190" i="9"/>
  <c r="CU190" i="9"/>
  <c r="CV103" i="9" l="1"/>
  <c r="CJ103" i="9"/>
  <c r="CW103" i="9" s="1"/>
  <c r="CV44" i="9"/>
  <c r="CJ44" i="9"/>
  <c r="CW44" i="9" s="1"/>
  <c r="CV104" i="9"/>
  <c r="CJ104" i="9"/>
  <c r="CW104" i="9" s="1"/>
  <c r="CV102" i="9"/>
  <c r="CJ102" i="9"/>
  <c r="CW102" i="9" s="1"/>
  <c r="CV101" i="9"/>
  <c r="CJ101" i="9"/>
  <c r="CW101" i="9" s="1"/>
  <c r="CV99" i="9"/>
  <c r="CJ99" i="9"/>
  <c r="CW99" i="9" s="1"/>
  <c r="CV22" i="9"/>
  <c r="CJ22" i="9"/>
  <c r="CW22" i="9" s="1"/>
  <c r="CV187" i="9"/>
  <c r="CJ187" i="9"/>
  <c r="CW187" i="9" s="1"/>
  <c r="CV43" i="9"/>
  <c r="CJ43" i="9"/>
  <c r="CW43" i="9" s="1"/>
  <c r="CV190" i="9"/>
  <c r="CJ190" i="9"/>
  <c r="CW190" i="9" s="1"/>
  <c r="CV100" i="9"/>
  <c r="CJ100" i="9"/>
  <c r="CW100" i="9" s="1"/>
  <c r="CV51" i="9"/>
  <c r="CJ51" i="9"/>
  <c r="CW51" i="9" s="1"/>
  <c r="CV45" i="9"/>
  <c r="CJ45" i="9"/>
  <c r="CW45" i="9" s="1"/>
  <c r="CV32" i="9"/>
  <c r="CJ32" i="9"/>
  <c r="CW32" i="9" s="1"/>
  <c r="CI188" i="9"/>
  <c r="CU188" i="9"/>
  <c r="L607" i="4"/>
  <c r="AP11" i="9"/>
  <c r="G286" i="48"/>
  <c r="G287" i="48"/>
  <c r="G285" i="48"/>
  <c r="G284" i="48"/>
  <c r="G283" i="48"/>
  <c r="G281" i="48"/>
  <c r="G280" i="48"/>
  <c r="R42" i="42"/>
  <c r="I22" i="1"/>
  <c r="N42" i="1"/>
  <c r="O42" i="1" s="1"/>
  <c r="P42" i="1" s="1"/>
  <c r="M44" i="1"/>
  <c r="N44" i="1" s="1"/>
  <c r="O44" i="1" s="1"/>
  <c r="P44" i="1" s="1"/>
  <c r="M43" i="1"/>
  <c r="N43" i="1" s="1"/>
  <c r="O43" i="1" s="1"/>
  <c r="P43" i="1" s="1"/>
  <c r="CV188" i="9" l="1"/>
  <c r="CJ188" i="9"/>
  <c r="CW188" i="9" s="1"/>
  <c r="H307" i="34"/>
  <c r="I307" i="34"/>
  <c r="J307" i="34"/>
  <c r="K307" i="34"/>
  <c r="L307" i="34"/>
  <c r="M307" i="34"/>
  <c r="N307" i="34"/>
  <c r="O307" i="34"/>
  <c r="G307" i="34"/>
  <c r="F307" i="34"/>
  <c r="E307" i="34"/>
  <c r="AE40" i="42" l="1"/>
  <c r="AF40" i="42"/>
  <c r="AG40" i="42"/>
  <c r="AH40" i="42"/>
  <c r="AI40" i="42"/>
  <c r="AJ40" i="42"/>
  <c r="AK40" i="42"/>
  <c r="AL40" i="42"/>
  <c r="AM40" i="42"/>
  <c r="AN40" i="42"/>
  <c r="AO40" i="42"/>
  <c r="AP40" i="42"/>
  <c r="AR40" i="42"/>
  <c r="AS40" i="42"/>
  <c r="AT40" i="42"/>
  <c r="AU40" i="42"/>
  <c r="AV40" i="42"/>
  <c r="AW40" i="42"/>
  <c r="AX40" i="42"/>
  <c r="AY40" i="42"/>
  <c r="AZ40" i="42"/>
  <c r="BA40" i="42"/>
  <c r="BB40" i="42"/>
  <c r="BC40" i="42"/>
  <c r="BD40" i="42"/>
  <c r="AC18" i="9" l="1"/>
  <c r="AE18" i="9" s="1"/>
  <c r="AC17" i="9"/>
  <c r="AE17" i="9" s="1"/>
  <c r="F30" i="10" l="1"/>
  <c r="G849" i="4" s="1"/>
  <c r="I850" i="4"/>
  <c r="G1814" i="6"/>
  <c r="F232" i="10"/>
  <c r="F62" i="10"/>
  <c r="G415" i="8"/>
  <c r="G217" i="8"/>
  <c r="F82" i="9"/>
  <c r="G82" i="9"/>
  <c r="G113" i="10" l="1"/>
  <c r="F112" i="10"/>
  <c r="G923" i="7"/>
  <c r="G671" i="7"/>
  <c r="G487" i="7"/>
  <c r="H487" i="7" s="1"/>
  <c r="H1732" i="6"/>
  <c r="G590" i="6"/>
  <c r="H590" i="6" s="1"/>
  <c r="G586" i="6"/>
  <c r="H1447" i="6"/>
  <c r="H1316" i="6" l="1"/>
  <c r="I1308" i="6"/>
  <c r="J1308" i="6" s="1"/>
  <c r="Y115" i="9"/>
  <c r="Z292" i="9"/>
  <c r="G142" i="5" l="1"/>
  <c r="H716" i="4"/>
  <c r="G172" i="11" l="1"/>
  <c r="AG154" i="10" l="1"/>
  <c r="AH154" i="10" s="1"/>
  <c r="AD154" i="10"/>
  <c r="AE154" i="10" s="1"/>
  <c r="AA154" i="10"/>
  <c r="AB154" i="10" s="1"/>
  <c r="X154" i="10"/>
  <c r="Y154" i="10" s="1"/>
  <c r="V154" i="10"/>
  <c r="S154" i="10"/>
  <c r="O154" i="10"/>
  <c r="P154" i="10" s="1"/>
  <c r="L154" i="10"/>
  <c r="M154" i="10" s="1"/>
  <c r="I154" i="10"/>
  <c r="J154" i="10" s="1"/>
  <c r="CT96" i="9"/>
  <c r="CP96" i="9"/>
  <c r="CN96" i="9"/>
  <c r="CM96" i="9"/>
  <c r="CL96" i="9"/>
  <c r="BH96" i="9"/>
  <c r="BI96" i="9" s="1"/>
  <c r="BC96" i="9"/>
  <c r="BD96" i="9" s="1"/>
  <c r="AO96" i="9"/>
  <c r="AI96" i="9"/>
  <c r="AJ96" i="9" s="1"/>
  <c r="AE96" i="9"/>
  <c r="U96" i="9"/>
  <c r="BX96" i="9" s="1"/>
  <c r="CU96" i="9"/>
  <c r="CS96" i="9"/>
  <c r="CQ96" i="9"/>
  <c r="CO96" i="9"/>
  <c r="J101" i="10"/>
  <c r="M101" i="10"/>
  <c r="P101" i="10"/>
  <c r="S101" i="10"/>
  <c r="V101" i="10"/>
  <c r="Y101" i="10"/>
  <c r="AB101" i="10"/>
  <c r="AE101" i="10"/>
  <c r="AH101" i="10"/>
  <c r="O95" i="9"/>
  <c r="N95" i="9"/>
  <c r="M95" i="9"/>
  <c r="L95" i="9"/>
  <c r="K95" i="9"/>
  <c r="J95" i="9"/>
  <c r="I95" i="9"/>
  <c r="AN95" i="9" s="1"/>
  <c r="H95" i="9"/>
  <c r="AI95" i="9" s="1"/>
  <c r="G189" i="10"/>
  <c r="AS96" i="9" l="1"/>
  <c r="AT96" i="9" s="1"/>
  <c r="BM96" i="9"/>
  <c r="BN96" i="9" s="1"/>
  <c r="AX96" i="9"/>
  <c r="AY96" i="9" s="1"/>
  <c r="BR96" i="9"/>
  <c r="BS96" i="9" s="1"/>
  <c r="CR96" i="9"/>
  <c r="CV96" i="9"/>
  <c r="AG153" i="10" l="1"/>
  <c r="Q944" i="6" s="1"/>
  <c r="AD153" i="10"/>
  <c r="P944" i="6" s="1"/>
  <c r="AA153" i="10"/>
  <c r="O944" i="6" s="1"/>
  <c r="X153" i="10"/>
  <c r="N944" i="6" s="1"/>
  <c r="U153" i="10"/>
  <c r="M944" i="6" s="1"/>
  <c r="R153" i="10"/>
  <c r="L944" i="6" s="1"/>
  <c r="O153" i="10"/>
  <c r="K944" i="6" s="1"/>
  <c r="L153" i="10"/>
  <c r="J944" i="6" s="1"/>
  <c r="I153" i="10"/>
  <c r="AJ162" i="9"/>
  <c r="AO162" i="9"/>
  <c r="AJ163" i="9"/>
  <c r="AO163" i="9"/>
  <c r="AJ164" i="9"/>
  <c r="AO164" i="9"/>
  <c r="BZ162" i="9"/>
  <c r="BS162" i="9"/>
  <c r="BN162" i="9"/>
  <c r="BI162" i="9"/>
  <c r="BD162" i="9"/>
  <c r="AY162" i="9"/>
  <c r="AT162" i="9"/>
  <c r="BZ161" i="9"/>
  <c r="BS161" i="9"/>
  <c r="BN161" i="9"/>
  <c r="BI161" i="9"/>
  <c r="BD161" i="9"/>
  <c r="AY161" i="9"/>
  <c r="AT161" i="9"/>
  <c r="AO161" i="9"/>
  <c r="BZ160" i="9"/>
  <c r="CM160" i="9" s="1"/>
  <c r="BS160" i="9"/>
  <c r="BN160" i="9"/>
  <c r="BI160" i="9"/>
  <c r="BD160" i="9"/>
  <c r="AY160" i="9"/>
  <c r="AT160" i="9"/>
  <c r="AO160" i="9"/>
  <c r="AJ160" i="9"/>
  <c r="AJ161" i="9"/>
  <c r="B121" i="11"/>
  <c r="B8" i="11"/>
  <c r="Y108" i="9"/>
  <c r="G149" i="10"/>
  <c r="C607" i="4"/>
  <c r="P40" i="42"/>
  <c r="E133" i="40"/>
  <c r="E104" i="40"/>
  <c r="E46" i="40"/>
  <c r="D420" i="34"/>
  <c r="B36" i="17"/>
  <c r="B308" i="15"/>
  <c r="A308" i="15"/>
  <c r="C558" i="8"/>
  <c r="B558" i="8"/>
  <c r="C557" i="8"/>
  <c r="B557" i="8"/>
  <c r="B85" i="3"/>
  <c r="C65" i="10"/>
  <c r="B2" i="10"/>
  <c r="B108" i="10" s="1"/>
  <c r="E2" i="10"/>
  <c r="E108" i="10" s="1"/>
  <c r="E200" i="10" s="1"/>
  <c r="H2" i="10"/>
  <c r="H108" i="10" s="1"/>
  <c r="H200" i="10" s="1"/>
  <c r="K2" i="10"/>
  <c r="K108" i="10" s="1"/>
  <c r="K200" i="10" s="1"/>
  <c r="N2" i="10"/>
  <c r="N108" i="10" s="1"/>
  <c r="N200" i="10" s="1"/>
  <c r="Q2" i="10"/>
  <c r="Q108" i="10" s="1"/>
  <c r="Q200" i="10" s="1"/>
  <c r="F3" i="10"/>
  <c r="F109" i="10" s="1"/>
  <c r="F201" i="10" s="1"/>
  <c r="G3" i="10"/>
  <c r="G109" i="10" s="1"/>
  <c r="G201" i="10" s="1"/>
  <c r="E3" i="10"/>
  <c r="H3" i="10"/>
  <c r="K3" i="10" s="1"/>
  <c r="I3" i="10"/>
  <c r="L3" i="10" s="1"/>
  <c r="O3" i="10" s="1"/>
  <c r="C8" i="10"/>
  <c r="F8" i="10"/>
  <c r="C9" i="10"/>
  <c r="D9" i="10" s="1"/>
  <c r="F9" i="10"/>
  <c r="G9" i="10" s="1"/>
  <c r="D13" i="10"/>
  <c r="G13" i="10"/>
  <c r="C14" i="10"/>
  <c r="D15" i="10"/>
  <c r="E15" i="10"/>
  <c r="G15" i="10" s="1"/>
  <c r="H15" i="10"/>
  <c r="I605" i="4" s="1"/>
  <c r="K15" i="10"/>
  <c r="Q15" i="10"/>
  <c r="L605" i="4" s="1"/>
  <c r="D16" i="10"/>
  <c r="G16" i="10"/>
  <c r="C17" i="10"/>
  <c r="G17" i="10"/>
  <c r="C18" i="10"/>
  <c r="D21" i="10"/>
  <c r="G21" i="10"/>
  <c r="C22" i="10"/>
  <c r="G22" i="10"/>
  <c r="J22" i="10"/>
  <c r="M22" i="10"/>
  <c r="P22" i="10"/>
  <c r="S22" i="10"/>
  <c r="D25" i="10"/>
  <c r="G25" i="10"/>
  <c r="C26" i="10"/>
  <c r="D26" i="10" s="1"/>
  <c r="D29" i="10"/>
  <c r="C30" i="10"/>
  <c r="E30" i="10"/>
  <c r="G30" i="10" s="1"/>
  <c r="G33" i="10"/>
  <c r="D34" i="10"/>
  <c r="G34" i="10"/>
  <c r="D40" i="10"/>
  <c r="G40" i="10"/>
  <c r="C41" i="10"/>
  <c r="D41" i="10" s="1"/>
  <c r="F41" i="10"/>
  <c r="G41" i="10" s="1"/>
  <c r="I41" i="10"/>
  <c r="J41" i="10" s="1"/>
  <c r="L41" i="10"/>
  <c r="M41" i="10" s="1"/>
  <c r="O41" i="10"/>
  <c r="P41" i="10" s="1"/>
  <c r="R41" i="10"/>
  <c r="S41" i="10" s="1"/>
  <c r="B44" i="10"/>
  <c r="D44" i="10" s="1"/>
  <c r="G44" i="10"/>
  <c r="D47" i="10"/>
  <c r="D50" i="10"/>
  <c r="F50" i="10"/>
  <c r="G50" i="10" s="1"/>
  <c r="D51" i="10"/>
  <c r="G51" i="10"/>
  <c r="D52" i="10"/>
  <c r="G53" i="10"/>
  <c r="B57" i="10"/>
  <c r="D57" i="10" s="1"/>
  <c r="E57" i="10"/>
  <c r="D58" i="10"/>
  <c r="E58" i="10"/>
  <c r="F58" i="10"/>
  <c r="H58" i="10"/>
  <c r="K58" i="10"/>
  <c r="N58" i="10"/>
  <c r="Q58" i="10"/>
  <c r="D59" i="10"/>
  <c r="E59" i="10"/>
  <c r="E92" i="10" s="1"/>
  <c r="F59" i="10"/>
  <c r="F92" i="10" s="1"/>
  <c r="H59" i="10"/>
  <c r="K59" i="10"/>
  <c r="K92" i="10" s="1"/>
  <c r="N59" i="10"/>
  <c r="N92" i="10" s="1"/>
  <c r="B60" i="10"/>
  <c r="C60" i="10"/>
  <c r="E60" i="10"/>
  <c r="F60" i="10"/>
  <c r="D61" i="10"/>
  <c r="G62" i="10"/>
  <c r="J62" i="10"/>
  <c r="D63" i="10"/>
  <c r="G64" i="10"/>
  <c r="C66" i="10"/>
  <c r="D66" i="10" s="1"/>
  <c r="D67" i="10"/>
  <c r="G69" i="10"/>
  <c r="D70" i="10"/>
  <c r="G70" i="10"/>
  <c r="C71" i="10"/>
  <c r="D71" i="10" s="1"/>
  <c r="G71" i="10"/>
  <c r="G72" i="10"/>
  <c r="G73" i="10"/>
  <c r="J73" i="10"/>
  <c r="F74" i="10"/>
  <c r="G74" i="10" s="1"/>
  <c r="G76" i="10"/>
  <c r="F77" i="10"/>
  <c r="G77" i="10" s="1"/>
  <c r="M77" i="10"/>
  <c r="P77" i="10"/>
  <c r="J78" i="10"/>
  <c r="M78" i="10"/>
  <c r="D79" i="10"/>
  <c r="E80" i="10"/>
  <c r="H80" i="10"/>
  <c r="J80" i="10" s="1"/>
  <c r="K80" i="10"/>
  <c r="M80" i="10" s="1"/>
  <c r="N80" i="10"/>
  <c r="P80" i="10" s="1"/>
  <c r="Q80" i="10"/>
  <c r="S80" i="10" s="1"/>
  <c r="C81" i="10"/>
  <c r="D81" i="10" s="1"/>
  <c r="F81" i="10"/>
  <c r="I81" i="10"/>
  <c r="L81" i="10"/>
  <c r="M81" i="10" s="1"/>
  <c r="O81" i="10"/>
  <c r="P81" i="10" s="1"/>
  <c r="R81" i="10"/>
  <c r="S81" i="10" s="1"/>
  <c r="D82" i="10"/>
  <c r="F82" i="10"/>
  <c r="I82" i="10"/>
  <c r="J82" i="10" s="1"/>
  <c r="L82" i="10"/>
  <c r="M82" i="10" s="1"/>
  <c r="D87" i="10"/>
  <c r="B88" i="10"/>
  <c r="D88" i="10" s="1"/>
  <c r="E88" i="10"/>
  <c r="H88" i="10"/>
  <c r="F89" i="10"/>
  <c r="B90" i="10"/>
  <c r="C90" i="10"/>
  <c r="E90" i="10"/>
  <c r="H90" i="10"/>
  <c r="K90" i="10"/>
  <c r="N90" i="10"/>
  <c r="Q90" i="10"/>
  <c r="D91" i="10"/>
  <c r="E91" i="10"/>
  <c r="G91" i="10" s="1"/>
  <c r="H91" i="10"/>
  <c r="J91" i="10" s="1"/>
  <c r="K91" i="10"/>
  <c r="M91" i="10" s="1"/>
  <c r="N91" i="10"/>
  <c r="P91" i="10" s="1"/>
  <c r="B92" i="10"/>
  <c r="C92" i="10"/>
  <c r="D93" i="10"/>
  <c r="E93" i="10"/>
  <c r="F94" i="10"/>
  <c r="B95" i="10"/>
  <c r="E95" i="10"/>
  <c r="F95" i="10"/>
  <c r="G96" i="10"/>
  <c r="D97" i="10"/>
  <c r="D98" i="10"/>
  <c r="D99" i="10"/>
  <c r="D100" i="10"/>
  <c r="G100" i="10"/>
  <c r="D102" i="10"/>
  <c r="F102" i="10"/>
  <c r="G102" i="10" s="1"/>
  <c r="J102" i="10"/>
  <c r="M102" i="10"/>
  <c r="P102" i="10"/>
  <c r="S102" i="10"/>
  <c r="B112" i="10"/>
  <c r="D112" i="10" s="1"/>
  <c r="G112" i="10"/>
  <c r="B113" i="10"/>
  <c r="D113" i="10" s="1"/>
  <c r="D114" i="10"/>
  <c r="E114" i="10"/>
  <c r="F114" i="10"/>
  <c r="D117" i="10"/>
  <c r="G117" i="10"/>
  <c r="J117" i="10"/>
  <c r="K117" i="10"/>
  <c r="N117" i="10" s="1"/>
  <c r="D118" i="10"/>
  <c r="D120" i="10"/>
  <c r="I108" i="10"/>
  <c r="J108" i="10"/>
  <c r="L108" i="10"/>
  <c r="M108" i="10"/>
  <c r="O108" i="10"/>
  <c r="P108" i="10"/>
  <c r="R108" i="10"/>
  <c r="S108" i="10"/>
  <c r="B109" i="10"/>
  <c r="C109" i="10"/>
  <c r="D109" i="10"/>
  <c r="E109" i="10"/>
  <c r="E201" i="10" s="1"/>
  <c r="D127" i="10"/>
  <c r="G127" i="10"/>
  <c r="B130" i="10"/>
  <c r="D130" i="10" s="1"/>
  <c r="F130" i="10"/>
  <c r="F133" i="10" s="1"/>
  <c r="D131" i="10"/>
  <c r="C133" i="10"/>
  <c r="E133" i="10"/>
  <c r="H133" i="10"/>
  <c r="I133" i="10"/>
  <c r="J133" i="10"/>
  <c r="K133" i="10"/>
  <c r="L133" i="10"/>
  <c r="M133" i="10"/>
  <c r="N133" i="10"/>
  <c r="O133" i="10"/>
  <c r="P133" i="10"/>
  <c r="Q133" i="10"/>
  <c r="R133" i="10"/>
  <c r="S133" i="10"/>
  <c r="D138" i="10"/>
  <c r="D139" i="10"/>
  <c r="G140" i="10"/>
  <c r="H140" i="10"/>
  <c r="J140" i="10" s="1"/>
  <c r="D143" i="10"/>
  <c r="G143" i="10"/>
  <c r="C144" i="10"/>
  <c r="C145" i="10" s="1"/>
  <c r="D145" i="10" s="1"/>
  <c r="F145" i="10"/>
  <c r="G145" i="10" s="1"/>
  <c r="D148" i="10"/>
  <c r="D149" i="10"/>
  <c r="D150" i="10"/>
  <c r="F150" i="10"/>
  <c r="C151" i="10"/>
  <c r="D152" i="10"/>
  <c r="C157" i="10"/>
  <c r="D157" i="10" s="1"/>
  <c r="G157" i="10"/>
  <c r="C158" i="10"/>
  <c r="D158" i="10" s="1"/>
  <c r="D161" i="10"/>
  <c r="F161" i="10"/>
  <c r="D164" i="10"/>
  <c r="G164" i="10"/>
  <c r="D165" i="10"/>
  <c r="G165" i="10"/>
  <c r="D166" i="10"/>
  <c r="F166" i="10"/>
  <c r="G166" i="10" s="1"/>
  <c r="I166" i="10"/>
  <c r="L166" i="10"/>
  <c r="M166" i="10" s="1"/>
  <c r="O166" i="10"/>
  <c r="P166" i="10" s="1"/>
  <c r="R166" i="10"/>
  <c r="S166" i="10" s="1"/>
  <c r="D167" i="10"/>
  <c r="I167" i="10"/>
  <c r="J167" i="10" s="1"/>
  <c r="L167" i="10"/>
  <c r="M167" i="10" s="1"/>
  <c r="O167" i="10"/>
  <c r="P167" i="10" s="1"/>
  <c r="R167" i="10"/>
  <c r="S167" i="10" s="1"/>
  <c r="C168" i="10"/>
  <c r="D168" i="10" s="1"/>
  <c r="F169" i="10"/>
  <c r="G169" i="10" s="1"/>
  <c r="D172" i="10"/>
  <c r="G172" i="10"/>
  <c r="D173" i="10"/>
  <c r="G173" i="10"/>
  <c r="C174" i="10"/>
  <c r="D174" i="10" s="1"/>
  <c r="D175" i="10"/>
  <c r="D176" i="10"/>
  <c r="D177" i="10"/>
  <c r="F177" i="10"/>
  <c r="G177" i="10" s="1"/>
  <c r="F118" i="11" s="1"/>
  <c r="G180" i="10"/>
  <c r="D181" i="10"/>
  <c r="F182" i="10"/>
  <c r="G182" i="10" s="1"/>
  <c r="D183" i="10"/>
  <c r="D184" i="10"/>
  <c r="B185" i="10"/>
  <c r="D185" i="10" s="1"/>
  <c r="G185" i="10"/>
  <c r="D186" i="10"/>
  <c r="G187" i="10"/>
  <c r="G188" i="10"/>
  <c r="G190" i="10"/>
  <c r="G191" i="10"/>
  <c r="D195" i="10"/>
  <c r="G195" i="10"/>
  <c r="D205" i="10"/>
  <c r="F205" i="10"/>
  <c r="G205" i="10" s="1"/>
  <c r="D209" i="10"/>
  <c r="F209" i="10"/>
  <c r="G209" i="10" s="1"/>
  <c r="G212" i="10"/>
  <c r="F206" i="10"/>
  <c r="G206" i="10" s="1"/>
  <c r="F128" i="11" s="1"/>
  <c r="G213" i="10"/>
  <c r="D214" i="10"/>
  <c r="G214" i="10"/>
  <c r="D215" i="10"/>
  <c r="G215" i="10"/>
  <c r="B216" i="10"/>
  <c r="D216" i="10" s="1"/>
  <c r="G216" i="10"/>
  <c r="D217" i="10"/>
  <c r="E217" i="10"/>
  <c r="G217" i="10" s="1"/>
  <c r="I217" i="10"/>
  <c r="L217" i="10" s="1"/>
  <c r="D220" i="10"/>
  <c r="F220" i="10"/>
  <c r="I220" i="10" s="1"/>
  <c r="L220" i="10" s="1"/>
  <c r="O220" i="10" s="1"/>
  <c r="D222" i="10"/>
  <c r="D224" i="10"/>
  <c r="D227" i="10"/>
  <c r="G228" i="10"/>
  <c r="J228" i="10"/>
  <c r="D232" i="10"/>
  <c r="G232" i="10"/>
  <c r="D233" i="10"/>
  <c r="G233" i="10"/>
  <c r="J233" i="10"/>
  <c r="M233" i="10"/>
  <c r="N15" i="10"/>
  <c r="K605" i="4" s="1"/>
  <c r="B234" i="10"/>
  <c r="D234" i="10" s="1"/>
  <c r="F234" i="10"/>
  <c r="H234" i="10"/>
  <c r="I234" i="10"/>
  <c r="L234" i="10"/>
  <c r="O234" i="10"/>
  <c r="R234" i="10"/>
  <c r="G235" i="10"/>
  <c r="D238" i="10"/>
  <c r="L402" i="10"/>
  <c r="L403" i="10"/>
  <c r="G8" i="10" l="1"/>
  <c r="G474" i="4"/>
  <c r="G94" i="10"/>
  <c r="G150" i="10"/>
  <c r="Y94" i="9"/>
  <c r="G82" i="10"/>
  <c r="G1144" i="6"/>
  <c r="G57" i="10"/>
  <c r="F84" i="10"/>
  <c r="D18" i="10"/>
  <c r="D664" i="4"/>
  <c r="D8" i="10"/>
  <c r="D474" i="4"/>
  <c r="D91" i="4" s="1"/>
  <c r="D14" i="10"/>
  <c r="D606" i="4"/>
  <c r="D22" i="10"/>
  <c r="D729" i="4"/>
  <c r="D732" i="4" s="1"/>
  <c r="D30" i="10"/>
  <c r="D849" i="4"/>
  <c r="J166" i="10"/>
  <c r="I109" i="10"/>
  <c r="I201" i="10" s="1"/>
  <c r="L109" i="10"/>
  <c r="L201" i="10" s="1"/>
  <c r="D151" i="10"/>
  <c r="D944" i="6"/>
  <c r="J153" i="10"/>
  <c r="I944" i="6"/>
  <c r="CL162" i="9"/>
  <c r="CL160" i="9"/>
  <c r="V153" i="10"/>
  <c r="AH153" i="10"/>
  <c r="M153" i="10"/>
  <c r="Y153" i="10"/>
  <c r="P153" i="10"/>
  <c r="AB153" i="10"/>
  <c r="S153" i="10"/>
  <c r="AE153" i="10"/>
  <c r="C121" i="11"/>
  <c r="F98" i="11"/>
  <c r="C8" i="11"/>
  <c r="CA161" i="9"/>
  <c r="CM162" i="9"/>
  <c r="CA162" i="9"/>
  <c r="CA160" i="9"/>
  <c r="CL161" i="9"/>
  <c r="J234" i="10"/>
  <c r="G60" i="10"/>
  <c r="G58" i="10"/>
  <c r="G92" i="10"/>
  <c r="K140" i="10"/>
  <c r="M140" i="10" s="1"/>
  <c r="B133" i="10"/>
  <c r="L404" i="10"/>
  <c r="G161" i="10"/>
  <c r="D60" i="10"/>
  <c r="G59" i="10"/>
  <c r="C84" i="10"/>
  <c r="P233" i="10"/>
  <c r="D144" i="10"/>
  <c r="D90" i="10"/>
  <c r="C103" i="10"/>
  <c r="G130" i="10"/>
  <c r="G133" i="10" s="1"/>
  <c r="M117" i="10"/>
  <c r="G114" i="10"/>
  <c r="D95" i="10"/>
  <c r="B84" i="10"/>
  <c r="G81" i="10"/>
  <c r="D65" i="10"/>
  <c r="D17" i="10"/>
  <c r="D92" i="10"/>
  <c r="G95" i="10"/>
  <c r="H109" i="10"/>
  <c r="H201" i="10" s="1"/>
  <c r="O217" i="10"/>
  <c r="R217" i="10" s="1"/>
  <c r="R220" i="10"/>
  <c r="B240" i="10"/>
  <c r="D133" i="10"/>
  <c r="N3" i="10"/>
  <c r="K109" i="10"/>
  <c r="K201" i="10" s="1"/>
  <c r="Q117" i="10"/>
  <c r="S117" i="10" s="1"/>
  <c r="P117" i="10"/>
  <c r="R3" i="10"/>
  <c r="R109" i="10" s="1"/>
  <c r="R201" i="10" s="1"/>
  <c r="O109" i="10"/>
  <c r="O201" i="10" s="1"/>
  <c r="H92" i="10"/>
  <c r="J81" i="10"/>
  <c r="G80" i="10"/>
  <c r="J3" i="10"/>
  <c r="R176" i="6" l="1"/>
  <c r="D1008" i="7"/>
  <c r="D143" i="4"/>
  <c r="D147" i="4" s="1"/>
  <c r="D609" i="4"/>
  <c r="D207" i="4"/>
  <c r="D211" i="4" s="1"/>
  <c r="D667" i="4"/>
  <c r="D305" i="4"/>
  <c r="CB161" i="9"/>
  <c r="CN161" i="9"/>
  <c r="CB160" i="9"/>
  <c r="CN160" i="9"/>
  <c r="CN162" i="9"/>
  <c r="CB162" i="9"/>
  <c r="C122" i="10"/>
  <c r="D84" i="10"/>
  <c r="C44" i="11" s="1"/>
  <c r="N140" i="10"/>
  <c r="P140" i="10" s="1"/>
  <c r="Q3" i="10"/>
  <c r="Q109" i="10" s="1"/>
  <c r="Q201" i="10" s="1"/>
  <c r="N109" i="10"/>
  <c r="N201" i="10" s="1"/>
  <c r="M3" i="10"/>
  <c r="J109" i="10"/>
  <c r="J201" i="10" s="1"/>
  <c r="D45" i="4" l="1"/>
  <c r="D1008" i="4" s="1"/>
  <c r="CC160" i="9"/>
  <c r="CO160" i="9"/>
  <c r="CO162" i="9"/>
  <c r="CC162" i="9"/>
  <c r="CC161" i="9"/>
  <c r="CO161" i="9"/>
  <c r="Q140" i="10"/>
  <c r="S140" i="10" s="1"/>
  <c r="P3" i="10"/>
  <c r="M109" i="10"/>
  <c r="M201" i="10" s="1"/>
  <c r="CP161" i="9" l="1"/>
  <c r="CD161" i="9"/>
  <c r="CD160" i="9"/>
  <c r="CP160" i="9"/>
  <c r="CD162" i="9"/>
  <c r="CP162" i="9"/>
  <c r="S3" i="10"/>
  <c r="S109" i="10" s="1"/>
  <c r="S201" i="10" s="1"/>
  <c r="P109" i="10"/>
  <c r="P201" i="10" s="1"/>
  <c r="CQ160" i="9" l="1"/>
  <c r="CE160" i="9"/>
  <c r="CQ161" i="9"/>
  <c r="CE161" i="9"/>
  <c r="CE162" i="9"/>
  <c r="CQ162" i="9"/>
  <c r="G731" i="4"/>
  <c r="G608" i="4"/>
  <c r="CF160" i="9" l="1"/>
  <c r="CR160" i="9"/>
  <c r="CR162" i="9"/>
  <c r="CF162" i="9"/>
  <c r="CR161" i="9"/>
  <c r="CF161" i="9"/>
  <c r="CG161" i="9" l="1"/>
  <c r="CS161" i="9"/>
  <c r="CG160" i="9"/>
  <c r="CS160" i="9"/>
  <c r="CG162" i="9"/>
  <c r="CS162" i="9"/>
  <c r="CH160" i="9" l="1"/>
  <c r="CT160" i="9"/>
  <c r="CH162" i="9"/>
  <c r="CT162" i="9"/>
  <c r="CH161" i="9"/>
  <c r="CT161" i="9"/>
  <c r="CU162" i="9" l="1"/>
  <c r="CI162" i="9"/>
  <c r="CU161" i="9"/>
  <c r="CI161" i="9"/>
  <c r="CU160" i="9"/>
  <c r="CI160" i="9"/>
  <c r="CV160" i="9" l="1"/>
  <c r="CJ160" i="9"/>
  <c r="CW160" i="9" s="1"/>
  <c r="CV162" i="9"/>
  <c r="CJ162" i="9"/>
  <c r="CW162" i="9" s="1"/>
  <c r="CV161" i="9"/>
  <c r="CJ161" i="9"/>
  <c r="CW161" i="9" s="1"/>
  <c r="D1264" i="6"/>
  <c r="C1608" i="6"/>
  <c r="D1615" i="6"/>
  <c r="D1763" i="6"/>
  <c r="G186" i="9" l="1"/>
  <c r="G141" i="9" l="1"/>
  <c r="G416" i="9" s="1"/>
  <c r="H1898" i="6"/>
  <c r="H1897" i="6"/>
  <c r="H1713" i="6"/>
  <c r="B1604" i="6"/>
  <c r="H1590" i="6"/>
  <c r="H1446" i="6"/>
  <c r="H1389" i="6"/>
  <c r="H1159" i="6"/>
  <c r="H1160" i="6"/>
  <c r="H1118" i="6"/>
  <c r="H1117" i="6"/>
  <c r="H1097" i="6"/>
  <c r="D1040" i="6"/>
  <c r="H989" i="6"/>
  <c r="D971" i="6"/>
  <c r="G958" i="6"/>
  <c r="H757" i="6"/>
  <c r="H758" i="6"/>
  <c r="Q115" i="9" l="1"/>
  <c r="L38" i="37"/>
  <c r="Q308" i="9"/>
  <c r="Q117" i="9"/>
  <c r="T128" i="9"/>
  <c r="D943" i="6"/>
  <c r="D808" i="6"/>
  <c r="C2025" i="6" l="1"/>
  <c r="C2013" i="6"/>
  <c r="D1160" i="7"/>
  <c r="E161" i="34" l="1"/>
  <c r="F421" i="34"/>
  <c r="F13" i="34"/>
  <c r="E6" i="34"/>
  <c r="D132" i="8" l="1"/>
  <c r="C141" i="3"/>
  <c r="C132" i="3"/>
  <c r="D1830" i="6"/>
  <c r="U206" i="9"/>
  <c r="T8" i="9"/>
  <c r="E24" i="9"/>
  <c r="U191" i="9"/>
  <c r="Q141" i="9"/>
  <c r="T427" i="9" l="1"/>
  <c r="T429" i="9"/>
  <c r="T430" i="9"/>
  <c r="S439" i="9"/>
  <c r="R439" i="9"/>
  <c r="Q439" i="9"/>
  <c r="E439" i="9"/>
  <c r="U436" i="9"/>
  <c r="U437" i="9"/>
  <c r="U383" i="9"/>
  <c r="U374" i="9"/>
  <c r="U375" i="9"/>
  <c r="U376" i="9"/>
  <c r="Q378" i="9"/>
  <c r="U269" i="9" l="1"/>
  <c r="U272" i="9"/>
  <c r="U273" i="9"/>
  <c r="U274" i="9"/>
  <c r="U296" i="9"/>
  <c r="U297" i="9"/>
  <c r="U298" i="9"/>
  <c r="T136" i="9"/>
  <c r="T352" i="9"/>
  <c r="Z221" i="9"/>
  <c r="U232" i="9"/>
  <c r="U233" i="9"/>
  <c r="U234" i="9"/>
  <c r="U235" i="9"/>
  <c r="U236" i="9"/>
  <c r="U237" i="9"/>
  <c r="U238" i="9"/>
  <c r="U239" i="9"/>
  <c r="U241" i="9"/>
  <c r="U242" i="9"/>
  <c r="U243" i="9"/>
  <c r="U230" i="9"/>
  <c r="D1568" i="6"/>
  <c r="D1371" i="6"/>
  <c r="D1370" i="6"/>
  <c r="D1143" i="6"/>
  <c r="D351" i="6" s="1"/>
  <c r="D1077" i="6"/>
  <c r="E115" i="9"/>
  <c r="D1010" i="6"/>
  <c r="D875" i="6"/>
  <c r="D393" i="5"/>
  <c r="E21" i="12"/>
  <c r="E23" i="12"/>
  <c r="D259" i="7"/>
  <c r="U51" i="9"/>
  <c r="E48" i="9"/>
  <c r="B181" i="42" s="1"/>
  <c r="D765" i="7"/>
  <c r="D709" i="7"/>
  <c r="D584" i="7"/>
  <c r="E138" i="9" l="1"/>
  <c r="D2013" i="6"/>
  <c r="B22" i="58" s="1"/>
  <c r="E22" i="58" s="1"/>
  <c r="D2025" i="6"/>
  <c r="B42" i="58" s="1"/>
  <c r="D1954" i="6"/>
  <c r="E193" i="9"/>
  <c r="B182" i="42" s="1"/>
  <c r="D1569" i="6"/>
  <c r="D1261" i="6"/>
  <c r="B56" i="40"/>
  <c r="D1640" i="6" l="1"/>
  <c r="AG17" i="11"/>
  <c r="AD17" i="11"/>
  <c r="AA17" i="11"/>
  <c r="X17" i="11"/>
  <c r="U17" i="11"/>
  <c r="R17" i="11"/>
  <c r="O17" i="11"/>
  <c r="L17" i="11"/>
  <c r="I17" i="11"/>
  <c r="F17" i="11"/>
  <c r="C17" i="11"/>
  <c r="D17" i="11" l="1"/>
  <c r="E17" i="11" s="1"/>
  <c r="G17" i="11" s="1"/>
  <c r="H17" i="11" s="1"/>
  <c r="J17" i="11" s="1"/>
  <c r="K17" i="11" s="1"/>
  <c r="M17" i="11" s="1"/>
  <c r="N17" i="11" s="1"/>
  <c r="P17" i="11" s="1"/>
  <c r="Q17" i="11" s="1"/>
  <c r="S17" i="11" s="1"/>
  <c r="T17" i="11" s="1"/>
  <c r="V17" i="11" s="1"/>
  <c r="W17" i="11" s="1"/>
  <c r="Y17" i="11" s="1"/>
  <c r="Z17" i="11" s="1"/>
  <c r="AB17" i="11" s="1"/>
  <c r="AC17" i="11" s="1"/>
  <c r="AE17" i="11" s="1"/>
  <c r="AF17" i="11" s="1"/>
  <c r="AH17" i="11" s="1"/>
  <c r="AI17" i="11" s="1"/>
  <c r="AK17" i="11" s="1"/>
  <c r="G1205" i="6" l="1"/>
  <c r="F117" i="11" l="1"/>
  <c r="C117" i="11"/>
  <c r="D117" i="11" l="1"/>
  <c r="E117" i="11" s="1"/>
  <c r="G117" i="11" s="1"/>
  <c r="H117" i="11" s="1"/>
  <c r="J117" i="11" s="1"/>
  <c r="K117" i="11" s="1"/>
  <c r="M117" i="11" s="1"/>
  <c r="N117" i="11" s="1"/>
  <c r="P117" i="11" s="1"/>
  <c r="Q117" i="11" s="1"/>
  <c r="S117" i="11" s="1"/>
  <c r="T117" i="11" s="1"/>
  <c r="V117" i="11" s="1"/>
  <c r="W117" i="11" s="1"/>
  <c r="Y117" i="11" s="1"/>
  <c r="Z117" i="11" s="1"/>
  <c r="AB117" i="11" s="1"/>
  <c r="AC117" i="11" s="1"/>
  <c r="AE117" i="11" s="1"/>
  <c r="AF117" i="11" s="1"/>
  <c r="AH117" i="11" s="1"/>
  <c r="AI117" i="11" s="1"/>
  <c r="AK117" i="11" s="1"/>
  <c r="U22" i="9" l="1"/>
  <c r="D25" i="27"/>
  <c r="D27" i="27"/>
  <c r="H1131" i="7"/>
  <c r="D1079" i="7"/>
  <c r="D1078" i="7"/>
  <c r="D918" i="7"/>
  <c r="D937" i="7"/>
  <c r="D1002" i="7" s="1"/>
  <c r="D853" i="7"/>
  <c r="D840" i="7"/>
  <c r="D824" i="7"/>
  <c r="D599" i="7"/>
  <c r="H1938" i="6"/>
  <c r="H1939" i="6"/>
  <c r="J671" i="6"/>
  <c r="K671" i="6"/>
  <c r="L671" i="6"/>
  <c r="M671" i="6"/>
  <c r="N671" i="6"/>
  <c r="O671" i="6"/>
  <c r="P671" i="6"/>
  <c r="Q671" i="6"/>
  <c r="I671" i="6"/>
  <c r="G671" i="6"/>
  <c r="D671" i="6"/>
  <c r="H1923" i="6"/>
  <c r="H1796" i="6"/>
  <c r="H1797" i="6"/>
  <c r="G1830" i="6"/>
  <c r="H1304" i="6"/>
  <c r="D1251" i="6"/>
  <c r="D1100" i="6"/>
  <c r="H671" i="6" l="1"/>
  <c r="G584" i="7"/>
  <c r="I766" i="7"/>
  <c r="G765" i="7"/>
  <c r="D266" i="5" l="1"/>
  <c r="C66" i="11"/>
  <c r="D66" i="11" s="1"/>
  <c r="E66" i="11" s="1"/>
  <c r="C32" i="11" l="1"/>
  <c r="D766" i="7"/>
  <c r="C39" i="11"/>
  <c r="D39" i="11" l="1"/>
  <c r="R147" i="9" l="1"/>
  <c r="E25" i="12"/>
  <c r="E77" i="12"/>
  <c r="A63" i="12"/>
  <c r="E45" i="12"/>
  <c r="O88" i="11" l="1"/>
  <c r="L88" i="11"/>
  <c r="I88" i="11"/>
  <c r="F88" i="11"/>
  <c r="C88" i="11"/>
  <c r="C89" i="11"/>
  <c r="G808" i="6"/>
  <c r="E94" i="9" l="1"/>
  <c r="E141" i="9"/>
  <c r="E144" i="9"/>
  <c r="E177" i="9"/>
  <c r="E440" i="9" l="1"/>
  <c r="Y161" i="9"/>
  <c r="Y160" i="9"/>
  <c r="Y159" i="9"/>
  <c r="AE160" i="9"/>
  <c r="AI65" i="22" l="1"/>
  <c r="AI62" i="22"/>
  <c r="AI63" i="22"/>
  <c r="AE38" i="22"/>
  <c r="AE37" i="22"/>
  <c r="S64" i="22"/>
  <c r="S8" i="22"/>
  <c r="BP72" i="22"/>
  <c r="F98" i="22"/>
  <c r="BP112" i="22"/>
  <c r="BP113" i="22"/>
  <c r="BP114" i="22"/>
  <c r="CB115" i="22"/>
  <c r="BP97" i="22"/>
  <c r="BP92" i="22"/>
  <c r="BP91" i="22"/>
  <c r="BP83" i="22"/>
  <c r="CB82" i="22"/>
  <c r="BP81" i="22"/>
  <c r="BP44" i="22"/>
  <c r="BP43" i="22"/>
  <c r="BP26" i="22"/>
  <c r="BP18" i="22"/>
  <c r="BQ18" i="22" s="1"/>
  <c r="BR18" i="22" s="1"/>
  <c r="BS18" i="22" s="1"/>
  <c r="BT18" i="22" s="1"/>
  <c r="BU18" i="22" s="1"/>
  <c r="BV18" i="22" s="1"/>
  <c r="BW18" i="22" s="1"/>
  <c r="BX18" i="22" s="1"/>
  <c r="BY18" i="22" s="1"/>
  <c r="BP15" i="22"/>
  <c r="D745" i="34"/>
  <c r="C745" i="34"/>
  <c r="F42" i="22"/>
  <c r="F117" i="22"/>
  <c r="F6" i="22"/>
  <c r="H534" i="8"/>
  <c r="H533" i="8"/>
  <c r="H532" i="8"/>
  <c r="C132" i="8"/>
  <c r="B132" i="8"/>
  <c r="A132" i="8"/>
  <c r="C130" i="8"/>
  <c r="B130" i="8"/>
  <c r="A130" i="8"/>
  <c r="G130" i="8"/>
  <c r="D130" i="8"/>
  <c r="C126" i="8"/>
  <c r="B126" i="8"/>
  <c r="A126" i="8"/>
  <c r="G126" i="8"/>
  <c r="D126" i="8"/>
  <c r="D527" i="8"/>
  <c r="D506" i="8"/>
  <c r="D505" i="8"/>
  <c r="E745" i="34" s="1"/>
  <c r="E744" i="34" s="1"/>
  <c r="H408" i="8"/>
  <c r="H438" i="8"/>
  <c r="D342" i="8"/>
  <c r="C27" i="16" s="1"/>
  <c r="C330" i="8"/>
  <c r="F741" i="34"/>
  <c r="F738" i="34"/>
  <c r="CL18" i="22" l="1"/>
  <c r="BZ18" i="22"/>
  <c r="CB72" i="22"/>
  <c r="CC72" i="22"/>
  <c r="BQ72" i="22"/>
  <c r="BP50" i="22"/>
  <c r="CC50" i="22" s="1"/>
  <c r="BP36" i="22"/>
  <c r="CC36" i="22" s="1"/>
  <c r="BP115" i="22"/>
  <c r="BQ115" i="22" s="1"/>
  <c r="BR115" i="22" s="1"/>
  <c r="CB112" i="22"/>
  <c r="CG18" i="22"/>
  <c r="CF18" i="22"/>
  <c r="CC18" i="22"/>
  <c r="BP82" i="22"/>
  <c r="BQ82" i="22" s="1"/>
  <c r="BR82" i="22" s="1"/>
  <c r="CK18" i="22"/>
  <c r="CJ18" i="22"/>
  <c r="CB18" i="22"/>
  <c r="CB113" i="22"/>
  <c r="CC112" i="22"/>
  <c r="BQ112" i="22"/>
  <c r="CI18" i="22"/>
  <c r="CE18" i="22"/>
  <c r="CH18" i="22"/>
  <c r="CD18" i="22"/>
  <c r="CC115" i="22"/>
  <c r="CB114" i="22"/>
  <c r="CC113" i="22"/>
  <c r="BQ113" i="22"/>
  <c r="BQ114" i="22"/>
  <c r="CC114" i="22"/>
  <c r="BQ97" i="22"/>
  <c r="CC97" i="22"/>
  <c r="CB97" i="22"/>
  <c r="BQ92" i="22"/>
  <c r="CC92" i="22"/>
  <c r="BQ91" i="22"/>
  <c r="CB92" i="22"/>
  <c r="CB91" i="22"/>
  <c r="BQ81" i="22"/>
  <c r="CC83" i="22"/>
  <c r="BQ83" i="22"/>
  <c r="CB81" i="22"/>
  <c r="CB83" i="22"/>
  <c r="CB50" i="22"/>
  <c r="BQ44" i="22"/>
  <c r="CC44" i="22"/>
  <c r="BQ43" i="22"/>
  <c r="CC43" i="22"/>
  <c r="CB44" i="22"/>
  <c r="CB43" i="22"/>
  <c r="BQ26" i="22"/>
  <c r="CC26" i="22"/>
  <c r="CB26" i="22"/>
  <c r="BQ15" i="22"/>
  <c r="CC15" i="22"/>
  <c r="CB15" i="22"/>
  <c r="BQ50" i="22" l="1"/>
  <c r="BR72" i="22"/>
  <c r="CD72" i="22"/>
  <c r="BQ36" i="22"/>
  <c r="CD36" i="22" s="1"/>
  <c r="CB36" i="22"/>
  <c r="CD115" i="22"/>
  <c r="CC82" i="22"/>
  <c r="CD82" i="22"/>
  <c r="BR112" i="22"/>
  <c r="CD112" i="22"/>
  <c r="CD114" i="22"/>
  <c r="BR114" i="22"/>
  <c r="CD113" i="22"/>
  <c r="BR113" i="22"/>
  <c r="CE115" i="22"/>
  <c r="BS115" i="22"/>
  <c r="BR97" i="22"/>
  <c r="CD97" i="22"/>
  <c r="CD91" i="22"/>
  <c r="BR91" i="22"/>
  <c r="BR92" i="22"/>
  <c r="CD92" i="22"/>
  <c r="CD83" i="22"/>
  <c r="BR83" i="22"/>
  <c r="CE82" i="22"/>
  <c r="BS82" i="22"/>
  <c r="CD81" i="22"/>
  <c r="BR81" i="22"/>
  <c r="BR50" i="22"/>
  <c r="CD50" i="22"/>
  <c r="CD43" i="22"/>
  <c r="BR43" i="22"/>
  <c r="BR44" i="22"/>
  <c r="CD44" i="22"/>
  <c r="BR26" i="22"/>
  <c r="CD26" i="22"/>
  <c r="BR15" i="22"/>
  <c r="CD15" i="22"/>
  <c r="BR36" i="22" l="1"/>
  <c r="BS36" i="22" s="1"/>
  <c r="BS72" i="22"/>
  <c r="CE72" i="22"/>
  <c r="BP37" i="22"/>
  <c r="CB37" i="22"/>
  <c r="BS112" i="22"/>
  <c r="CE112" i="22"/>
  <c r="BS113" i="22"/>
  <c r="CE113" i="22"/>
  <c r="BT115" i="22"/>
  <c r="CF115" i="22"/>
  <c r="BS114" i="22"/>
  <c r="CE114" i="22"/>
  <c r="CE97" i="22"/>
  <c r="BS97" i="22"/>
  <c r="CE92" i="22"/>
  <c r="BS92" i="22"/>
  <c r="BS91" i="22"/>
  <c r="CE91" i="22"/>
  <c r="BT82" i="22"/>
  <c r="CF82" i="22"/>
  <c r="BS83" i="22"/>
  <c r="CE83" i="22"/>
  <c r="BS81" i="22"/>
  <c r="CE81" i="22"/>
  <c r="CE50" i="22"/>
  <c r="BS50" i="22"/>
  <c r="CE44" i="22"/>
  <c r="BS44" i="22"/>
  <c r="BS43" i="22"/>
  <c r="CE43" i="22"/>
  <c r="CE36" i="22"/>
  <c r="CE26" i="22"/>
  <c r="BS26" i="22"/>
  <c r="BS15" i="22"/>
  <c r="CE15" i="22"/>
  <c r="CF72" i="22" l="1"/>
  <c r="BT72" i="22"/>
  <c r="BP38" i="22"/>
  <c r="CB38" i="22"/>
  <c r="BQ37" i="22"/>
  <c r="CC37" i="22"/>
  <c r="BT112" i="22"/>
  <c r="CF112" i="22"/>
  <c r="CF114" i="22"/>
  <c r="BT114" i="22"/>
  <c r="CG115" i="22"/>
  <c r="BU115" i="22"/>
  <c r="BT113" i="22"/>
  <c r="CF113" i="22"/>
  <c r="BT97" i="22"/>
  <c r="CF97" i="22"/>
  <c r="BT91" i="22"/>
  <c r="CF91" i="22"/>
  <c r="BT92" i="22"/>
  <c r="CF92" i="22"/>
  <c r="BT83" i="22"/>
  <c r="CF83" i="22"/>
  <c r="BT81" i="22"/>
  <c r="CF81" i="22"/>
  <c r="BU82" i="22"/>
  <c r="CG82" i="22"/>
  <c r="BT50" i="22"/>
  <c r="CF50" i="22"/>
  <c r="BT43" i="22"/>
  <c r="CF43" i="22"/>
  <c r="BT44" i="22"/>
  <c r="CF44" i="22"/>
  <c r="BT36" i="22"/>
  <c r="CF36" i="22"/>
  <c r="BT26" i="22"/>
  <c r="CF26" i="22"/>
  <c r="CF15" i="22"/>
  <c r="BT15" i="22"/>
  <c r="CG72" i="22" l="1"/>
  <c r="BU72" i="22"/>
  <c r="CD37" i="22"/>
  <c r="BR37" i="22"/>
  <c r="BQ38" i="22"/>
  <c r="CC38" i="22"/>
  <c r="CG112" i="22"/>
  <c r="BU112" i="22"/>
  <c r="CG113" i="22"/>
  <c r="BU113" i="22"/>
  <c r="BV115" i="22"/>
  <c r="CH115" i="22"/>
  <c r="BU114" i="22"/>
  <c r="CG114" i="22"/>
  <c r="BU97" i="22"/>
  <c r="CG97" i="22"/>
  <c r="BU92" i="22"/>
  <c r="CG92" i="22"/>
  <c r="BU91" i="22"/>
  <c r="CG91" i="22"/>
  <c r="BU81" i="22"/>
  <c r="CG81" i="22"/>
  <c r="BV82" i="22"/>
  <c r="CH82" i="22"/>
  <c r="CG83" i="22"/>
  <c r="BU83" i="22"/>
  <c r="BU50" i="22"/>
  <c r="CG50" i="22"/>
  <c r="BU44" i="22"/>
  <c r="CG44" i="22"/>
  <c r="BU43" i="22"/>
  <c r="CG43" i="22"/>
  <c r="CG36" i="22"/>
  <c r="BU36" i="22"/>
  <c r="BU26" i="22"/>
  <c r="CG26" i="22"/>
  <c r="BU15" i="22"/>
  <c r="CG15" i="22"/>
  <c r="BV72" i="22" l="1"/>
  <c r="CH72" i="22"/>
  <c r="BR38" i="22"/>
  <c r="CD38" i="22"/>
  <c r="BS37" i="22"/>
  <c r="CE37" i="22"/>
  <c r="BV112" i="22"/>
  <c r="CH112" i="22"/>
  <c r="CH114" i="22"/>
  <c r="BV114" i="22"/>
  <c r="CH113" i="22"/>
  <c r="BV113" i="22"/>
  <c r="CI115" i="22"/>
  <c r="BW115" i="22"/>
  <c r="BV97" i="22"/>
  <c r="CH97" i="22"/>
  <c r="CH91" i="22"/>
  <c r="BV91" i="22"/>
  <c r="BV92" i="22"/>
  <c r="CH92" i="22"/>
  <c r="CI82" i="22"/>
  <c r="BW82" i="22"/>
  <c r="CH81" i="22"/>
  <c r="BV81" i="22"/>
  <c r="BV83" i="22"/>
  <c r="CH83" i="22"/>
  <c r="BV50" i="22"/>
  <c r="CH50" i="22"/>
  <c r="CH43" i="22"/>
  <c r="BV43" i="22"/>
  <c r="BV44" i="22"/>
  <c r="CH44" i="22"/>
  <c r="BV36" i="22"/>
  <c r="CH36" i="22"/>
  <c r="BV26" i="22"/>
  <c r="CH26" i="22"/>
  <c r="CH15" i="22"/>
  <c r="BV15" i="22"/>
  <c r="BW72" i="22" l="1"/>
  <c r="CI72" i="22"/>
  <c r="BT37" i="22"/>
  <c r="CF37" i="22"/>
  <c r="CE38" i="22"/>
  <c r="BS38" i="22"/>
  <c r="BW112" i="22"/>
  <c r="CI112" i="22"/>
  <c r="CJ115" i="22"/>
  <c r="BX115" i="22"/>
  <c r="BW113" i="22"/>
  <c r="CI113" i="22"/>
  <c r="CI114" i="22"/>
  <c r="BW114" i="22"/>
  <c r="CI97" i="22"/>
  <c r="BW97" i="22"/>
  <c r="CI92" i="22"/>
  <c r="BW92" i="22"/>
  <c r="BW91" i="22"/>
  <c r="CI91" i="22"/>
  <c r="BW81" i="22"/>
  <c r="CI81" i="22"/>
  <c r="BX82" i="22"/>
  <c r="CJ82" i="22"/>
  <c r="BW83" i="22"/>
  <c r="CI83" i="22"/>
  <c r="CI50" i="22"/>
  <c r="BW50" i="22"/>
  <c r="BW43" i="22"/>
  <c r="CI43" i="22"/>
  <c r="CI44" i="22"/>
  <c r="BW44" i="22"/>
  <c r="BW36" i="22"/>
  <c r="CI36" i="22"/>
  <c r="CI26" i="22"/>
  <c r="BW26" i="22"/>
  <c r="CI15" i="22"/>
  <c r="BW15" i="22"/>
  <c r="CJ72" i="22" l="1"/>
  <c r="BX72" i="22"/>
  <c r="BT38" i="22"/>
  <c r="CF38" i="22"/>
  <c r="BU37" i="22"/>
  <c r="CG37" i="22"/>
  <c r="CJ112" i="22"/>
  <c r="BX112" i="22"/>
  <c r="BX114" i="22"/>
  <c r="CJ114" i="22"/>
  <c r="BX113" i="22"/>
  <c r="CJ113" i="22"/>
  <c r="CK115" i="22"/>
  <c r="BY115" i="22"/>
  <c r="BX97" i="22"/>
  <c r="CJ97" i="22"/>
  <c r="BX91" i="22"/>
  <c r="CJ91" i="22"/>
  <c r="BX92" i="22"/>
  <c r="CJ92" i="22"/>
  <c r="BY82" i="22"/>
  <c r="CK82" i="22"/>
  <c r="BX83" i="22"/>
  <c r="CJ83" i="22"/>
  <c r="CJ81" i="22"/>
  <c r="BX81" i="22"/>
  <c r="BX50" i="22"/>
  <c r="CJ50" i="22"/>
  <c r="BX44" i="22"/>
  <c r="CJ44" i="22"/>
  <c r="BX43" i="22"/>
  <c r="CJ43" i="22"/>
  <c r="BX36" i="22"/>
  <c r="CJ36" i="22"/>
  <c r="BX26" i="22"/>
  <c r="CJ26" i="22"/>
  <c r="BX15" i="22"/>
  <c r="CJ15" i="22"/>
  <c r="CL115" i="22" l="1"/>
  <c r="BZ115" i="22"/>
  <c r="CL82" i="22"/>
  <c r="BZ82" i="22"/>
  <c r="CK72" i="22"/>
  <c r="BY72" i="22"/>
  <c r="CH37" i="22"/>
  <c r="BV37" i="22"/>
  <c r="BU38" i="22"/>
  <c r="CG38" i="22"/>
  <c r="CK112" i="22"/>
  <c r="BY112" i="22"/>
  <c r="CK113" i="22"/>
  <c r="BY113" i="22"/>
  <c r="BY114" i="22"/>
  <c r="CK114" i="22"/>
  <c r="BY97" i="22"/>
  <c r="CK97" i="22"/>
  <c r="BY92" i="22"/>
  <c r="CK92" i="22"/>
  <c r="BY91" i="22"/>
  <c r="CK91" i="22"/>
  <c r="BY81" i="22"/>
  <c r="CK81" i="22"/>
  <c r="CK83" i="22"/>
  <c r="BY83" i="22"/>
  <c r="BY50" i="22"/>
  <c r="CK50" i="22"/>
  <c r="BY43" i="22"/>
  <c r="CK43" i="22"/>
  <c r="BY44" i="22"/>
  <c r="CK44" i="22"/>
  <c r="CK36" i="22"/>
  <c r="BY36" i="22"/>
  <c r="BY26" i="22"/>
  <c r="CK26" i="22"/>
  <c r="BY15" i="22"/>
  <c r="CK15" i="22"/>
  <c r="CL83" i="22" l="1"/>
  <c r="BZ83" i="22"/>
  <c r="CL113" i="22"/>
  <c r="BZ113" i="22"/>
  <c r="CL72" i="22"/>
  <c r="BZ72" i="22"/>
  <c r="CL112" i="22"/>
  <c r="BZ112" i="22"/>
  <c r="CL26" i="22"/>
  <c r="BZ26" i="22"/>
  <c r="CL44" i="22"/>
  <c r="BZ44" i="22"/>
  <c r="CL50" i="22"/>
  <c r="BZ50" i="22"/>
  <c r="CL81" i="22"/>
  <c r="BZ81" i="22"/>
  <c r="CL92" i="22"/>
  <c r="BZ92" i="22"/>
  <c r="CL114" i="22"/>
  <c r="BZ114" i="22"/>
  <c r="CL36" i="22"/>
  <c r="BZ36" i="22"/>
  <c r="CL15" i="22"/>
  <c r="BZ15" i="22"/>
  <c r="CL43" i="22"/>
  <c r="BZ43" i="22"/>
  <c r="CL91" i="22"/>
  <c r="BZ91" i="22"/>
  <c r="CL97" i="22"/>
  <c r="BZ97" i="22"/>
  <c r="BV38" i="22"/>
  <c r="CH38" i="22"/>
  <c r="BW37" i="22"/>
  <c r="CI37" i="22"/>
  <c r="BX37" i="22" l="1"/>
  <c r="CJ37" i="22"/>
  <c r="CI38" i="22"/>
  <c r="BW38" i="22"/>
  <c r="BX38" i="22" l="1"/>
  <c r="CJ38" i="22"/>
  <c r="CK37" i="22"/>
  <c r="BY37" i="22"/>
  <c r="CL37" i="22" l="1"/>
  <c r="BZ37" i="22"/>
  <c r="BY38" i="22"/>
  <c r="CK38" i="22"/>
  <c r="CL38" i="22" l="1"/>
  <c r="BZ38" i="22"/>
  <c r="F735" i="34"/>
  <c r="C264" i="15"/>
  <c r="R57" i="21"/>
  <c r="R21" i="21"/>
  <c r="R18" i="21"/>
  <c r="R17" i="21"/>
  <c r="R11" i="21"/>
  <c r="C741" i="34" l="1"/>
  <c r="B741" i="34"/>
  <c r="C216" i="8"/>
  <c r="B216" i="8"/>
  <c r="AD21" i="42" s="1"/>
  <c r="A216" i="8"/>
  <c r="A332" i="8"/>
  <c r="L67" i="26" l="1"/>
  <c r="K67" i="26"/>
  <c r="J67" i="26"/>
  <c r="I67" i="26"/>
  <c r="H67" i="26"/>
  <c r="G67" i="26"/>
  <c r="F67" i="26"/>
  <c r="E67" i="26"/>
  <c r="D67" i="26"/>
  <c r="C67" i="26"/>
  <c r="L60" i="26"/>
  <c r="K60" i="26"/>
  <c r="J60" i="26"/>
  <c r="I60" i="26"/>
  <c r="H60" i="26"/>
  <c r="G60" i="26"/>
  <c r="F60" i="26"/>
  <c r="E60" i="26"/>
  <c r="D60" i="26"/>
  <c r="C60" i="26"/>
  <c r="D53" i="26"/>
  <c r="E53" i="26"/>
  <c r="F53" i="26"/>
  <c r="G53" i="26"/>
  <c r="H53" i="26"/>
  <c r="I53" i="26"/>
  <c r="J53" i="26"/>
  <c r="K53" i="26"/>
  <c r="L53" i="26"/>
  <c r="C53" i="26"/>
  <c r="L71" i="26"/>
  <c r="J61" i="1"/>
  <c r="J62" i="1" s="1"/>
  <c r="I61" i="1"/>
  <c r="I62" i="1" s="1"/>
  <c r="H61" i="1"/>
  <c r="C16" i="16"/>
  <c r="A457" i="8"/>
  <c r="B745" i="34" s="1"/>
  <c r="H437" i="8"/>
  <c r="BO61" i="21"/>
  <c r="BP61" i="21" s="1"/>
  <c r="BQ61" i="21" s="1"/>
  <c r="BR61" i="21" s="1"/>
  <c r="BS61" i="21" s="1"/>
  <c r="BT61" i="21" s="1"/>
  <c r="BU61" i="21" s="1"/>
  <c r="BV61" i="21" s="1"/>
  <c r="BW61" i="21" s="1"/>
  <c r="BX61" i="21" s="1"/>
  <c r="BO56" i="21"/>
  <c r="BP56" i="21" s="1"/>
  <c r="BQ56" i="21" s="1"/>
  <c r="BR56" i="21" s="1"/>
  <c r="BS56" i="21" s="1"/>
  <c r="BT56" i="21" s="1"/>
  <c r="BU56" i="21" s="1"/>
  <c r="BV56" i="21" s="1"/>
  <c r="BW56" i="21" s="1"/>
  <c r="BX56" i="21" s="1"/>
  <c r="BO50" i="21"/>
  <c r="BP50" i="21" s="1"/>
  <c r="BQ50" i="21" s="1"/>
  <c r="BR50" i="21" s="1"/>
  <c r="BS50" i="21" s="1"/>
  <c r="BT50" i="21" s="1"/>
  <c r="BU50" i="21" s="1"/>
  <c r="BV50" i="21" s="1"/>
  <c r="BW50" i="21" s="1"/>
  <c r="BX50" i="21" s="1"/>
  <c r="BO49" i="21"/>
  <c r="BP49" i="21" s="1"/>
  <c r="BQ49" i="21" s="1"/>
  <c r="BR49" i="21" s="1"/>
  <c r="BS49" i="21" s="1"/>
  <c r="BT49" i="21" s="1"/>
  <c r="BU49" i="21" s="1"/>
  <c r="BV49" i="21" s="1"/>
  <c r="BW49" i="21" s="1"/>
  <c r="BX49" i="21" s="1"/>
  <c r="BO22" i="21"/>
  <c r="BP22" i="21" s="1"/>
  <c r="BQ22" i="21" s="1"/>
  <c r="BR22" i="21" s="1"/>
  <c r="BS22" i="21" s="1"/>
  <c r="BT22" i="21" s="1"/>
  <c r="BU22" i="21" s="1"/>
  <c r="BV22" i="21" s="1"/>
  <c r="BW22" i="21" s="1"/>
  <c r="BX22" i="21" s="1"/>
  <c r="BO27" i="21"/>
  <c r="BP27" i="21" s="1"/>
  <c r="BQ27" i="21" s="1"/>
  <c r="BR27" i="21" s="1"/>
  <c r="BS27" i="21" s="1"/>
  <c r="BT27" i="21" s="1"/>
  <c r="BU27" i="21" s="1"/>
  <c r="BV27" i="21" s="1"/>
  <c r="BW27" i="21" s="1"/>
  <c r="BX27" i="21" s="1"/>
  <c r="D68" i="8"/>
  <c r="H308" i="8"/>
  <c r="H309" i="8"/>
  <c r="H301" i="8"/>
  <c r="H302" i="8"/>
  <c r="H303" i="8"/>
  <c r="D295" i="8"/>
  <c r="E741" i="34" s="1"/>
  <c r="C257" i="8"/>
  <c r="AE21" i="42" s="1"/>
  <c r="D249" i="8"/>
  <c r="H207" i="8"/>
  <c r="D206" i="8"/>
  <c r="H241" i="8"/>
  <c r="H252" i="8"/>
  <c r="H62" i="1" l="1"/>
  <c r="I172" i="8"/>
  <c r="J172" i="8" s="1"/>
  <c r="K172" i="8" s="1"/>
  <c r="L172" i="8" s="1"/>
  <c r="M172" i="8" s="1"/>
  <c r="N172" i="8" s="1"/>
  <c r="O172" i="8" s="1"/>
  <c r="P172" i="8" s="1"/>
  <c r="Q172" i="8" s="1"/>
  <c r="R172" i="8" s="1"/>
  <c r="I171" i="8"/>
  <c r="J171" i="8" s="1"/>
  <c r="K171" i="8" s="1"/>
  <c r="L171" i="8" s="1"/>
  <c r="M171" i="8" s="1"/>
  <c r="N171" i="8" s="1"/>
  <c r="O171" i="8" s="1"/>
  <c r="P171" i="8" s="1"/>
  <c r="Q171" i="8" s="1"/>
  <c r="R171" i="8" s="1"/>
  <c r="D1050" i="6"/>
  <c r="D265" i="6" s="1"/>
  <c r="H265" i="6" s="1"/>
  <c r="D1055" i="6"/>
  <c r="E725" i="34" s="1"/>
  <c r="D1057" i="6"/>
  <c r="D1041" i="6"/>
  <c r="G96" i="5"/>
  <c r="D96" i="5"/>
  <c r="E20" i="12"/>
  <c r="E28" i="12" s="1"/>
  <c r="D475" i="4" s="1"/>
  <c r="D92" i="4" s="1"/>
  <c r="D46" i="4" s="1"/>
  <c r="D1009" i="4" s="1"/>
  <c r="H387" i="4"/>
  <c r="I178" i="8" l="1"/>
  <c r="J178" i="8" s="1"/>
  <c r="K178" i="8" s="1"/>
  <c r="L178" i="8" s="1"/>
  <c r="M178" i="8" s="1"/>
  <c r="N178" i="8" s="1"/>
  <c r="O178" i="8" s="1"/>
  <c r="P178" i="8" s="1"/>
  <c r="Q178" i="8" s="1"/>
  <c r="R178" i="8" s="1"/>
  <c r="I177" i="8"/>
  <c r="J177" i="8" s="1"/>
  <c r="K177" i="8" s="1"/>
  <c r="L177" i="8" s="1"/>
  <c r="M177" i="8" s="1"/>
  <c r="N177" i="8" s="1"/>
  <c r="O177" i="8" s="1"/>
  <c r="P177" i="8" s="1"/>
  <c r="Q177" i="8" s="1"/>
  <c r="R177" i="8" s="1"/>
  <c r="G1245" i="6"/>
  <c r="G1251" i="6"/>
  <c r="Y379" i="9" l="1"/>
  <c r="F379" i="9"/>
  <c r="Z342" i="9"/>
  <c r="G195" i="8" l="1"/>
  <c r="G194" i="8"/>
  <c r="G908" i="7"/>
  <c r="E87" i="10" s="1"/>
  <c r="G87" i="10" s="1"/>
  <c r="G1976" i="6"/>
  <c r="G1788" i="6"/>
  <c r="D10" i="58" l="1"/>
  <c r="D11" i="58" s="1"/>
  <c r="Y144" i="9"/>
  <c r="F144" i="9"/>
  <c r="G322" i="6"/>
  <c r="D13" i="58" l="1"/>
  <c r="Z45" i="9"/>
  <c r="C595" i="6" l="1"/>
  <c r="B595" i="6"/>
  <c r="A595" i="6"/>
  <c r="C594" i="6"/>
  <c r="B594" i="6"/>
  <c r="A594" i="6"/>
  <c r="I595" i="6"/>
  <c r="I594" i="6"/>
  <c r="D595" i="6"/>
  <c r="D594" i="6"/>
  <c r="G594" i="6"/>
  <c r="G595" i="6"/>
  <c r="D593" i="6"/>
  <c r="H1744" i="6"/>
  <c r="H595" i="6" l="1"/>
  <c r="H965" i="7"/>
  <c r="A367" i="7"/>
  <c r="B367" i="7"/>
  <c r="C920" i="7"/>
  <c r="A801" i="7"/>
  <c r="B748" i="7"/>
  <c r="C748" i="7"/>
  <c r="C746" i="7"/>
  <c r="H752" i="7"/>
  <c r="H687" i="7"/>
  <c r="H661" i="7"/>
  <c r="L91" i="7"/>
  <c r="K91" i="7"/>
  <c r="J91" i="7"/>
  <c r="I91" i="7"/>
  <c r="L90" i="7"/>
  <c r="K90" i="7"/>
  <c r="J90" i="7"/>
  <c r="I90" i="7"/>
  <c r="I87" i="7"/>
  <c r="G91" i="7"/>
  <c r="G90" i="7"/>
  <c r="G88" i="7"/>
  <c r="G86" i="7"/>
  <c r="G85" i="7"/>
  <c r="C89" i="7"/>
  <c r="C90" i="7"/>
  <c r="C91" i="7"/>
  <c r="C88" i="7"/>
  <c r="B89" i="7"/>
  <c r="B90" i="7"/>
  <c r="B91" i="7"/>
  <c r="B88" i="7"/>
  <c r="A92" i="7"/>
  <c r="A91" i="7"/>
  <c r="A90" i="7"/>
  <c r="A88" i="7"/>
  <c r="A89" i="7"/>
  <c r="D92" i="7"/>
  <c r="D90" i="7"/>
  <c r="D89" i="7"/>
  <c r="D88" i="7"/>
  <c r="H500" i="7"/>
  <c r="H312" i="5"/>
  <c r="B773" i="4"/>
  <c r="H385" i="4"/>
  <c r="H386" i="4"/>
  <c r="H388" i="4"/>
  <c r="H709" i="4"/>
  <c r="H710" i="4"/>
  <c r="H537" i="4"/>
  <c r="H538" i="4"/>
  <c r="H539" i="4"/>
  <c r="H461" i="4"/>
  <c r="H430" i="4"/>
  <c r="H431" i="4"/>
  <c r="H432" i="4"/>
  <c r="H90" i="7" l="1"/>
  <c r="H787" i="6"/>
  <c r="H879" i="4"/>
  <c r="H872" i="4"/>
  <c r="H695" i="4"/>
  <c r="H641" i="4"/>
  <c r="H625" i="4"/>
  <c r="H491" i="4"/>
  <c r="Z44" i="9" l="1"/>
  <c r="V159" i="9" l="1"/>
  <c r="V160" i="9"/>
  <c r="F159" i="9"/>
  <c r="F161" i="9"/>
  <c r="CM161" i="9" s="1"/>
  <c r="F157" i="9"/>
  <c r="F158" i="9"/>
  <c r="F154" i="9"/>
  <c r="F155" i="9"/>
  <c r="E88" i="40"/>
  <c r="E86" i="40"/>
  <c r="E85" i="40"/>
  <c r="E84" i="40"/>
  <c r="E83" i="40"/>
  <c r="G1168" i="6"/>
  <c r="F446" i="9"/>
  <c r="F425" i="9"/>
  <c r="F191" i="9"/>
  <c r="F186" i="9"/>
  <c r="M56" i="37" l="1"/>
  <c r="G1095" i="6"/>
  <c r="H1095" i="6" s="1"/>
  <c r="V141" i="9"/>
  <c r="F377" i="9"/>
  <c r="Z274" i="9"/>
  <c r="Z275" i="9"/>
  <c r="Y271" i="9"/>
  <c r="F271" i="9"/>
  <c r="F125" i="9"/>
  <c r="F167" i="10" l="1"/>
  <c r="G167" i="10" s="1"/>
  <c r="F367" i="9"/>
  <c r="G1103" i="6"/>
  <c r="I1103" i="6" s="1"/>
  <c r="G1094" i="6"/>
  <c r="G1089" i="6"/>
  <c r="I1089" i="6" s="1"/>
  <c r="G1090" i="6"/>
  <c r="I1090" i="6" s="1"/>
  <c r="Y438" i="9" l="1"/>
  <c r="F438" i="9"/>
  <c r="F70" i="12"/>
  <c r="Y128" i="9" l="1"/>
  <c r="Y283" i="9" s="1"/>
  <c r="F305" i="9" l="1"/>
  <c r="Z325" i="9" l="1"/>
  <c r="F324" i="9"/>
  <c r="G1028" i="6"/>
  <c r="V268" i="9" l="1"/>
  <c r="E36" i="40" l="1"/>
  <c r="F115" i="9" s="1"/>
  <c r="F267" i="9"/>
  <c r="V267" i="9" l="1"/>
  <c r="V115" i="9"/>
  <c r="Z241" i="9"/>
  <c r="G53" i="22"/>
  <c r="G23" i="22"/>
  <c r="G33" i="22"/>
  <c r="G266" i="5" l="1"/>
  <c r="F66" i="11"/>
  <c r="G66" i="11" s="1"/>
  <c r="H66" i="11" s="1"/>
  <c r="J66" i="11" s="1"/>
  <c r="K66" i="11" s="1"/>
  <c r="M66" i="11" s="1"/>
  <c r="N66" i="11" s="1"/>
  <c r="P66" i="11" s="1"/>
  <c r="Q66" i="11" s="1"/>
  <c r="S66" i="11" s="1"/>
  <c r="T66" i="11" s="1"/>
  <c r="V66" i="11" s="1"/>
  <c r="W66" i="11" s="1"/>
  <c r="Y66" i="11" s="1"/>
  <c r="Z66" i="11" s="1"/>
  <c r="AB66" i="11" s="1"/>
  <c r="AC66" i="11" s="1"/>
  <c r="AE66" i="11" s="1"/>
  <c r="AF66" i="11" s="1"/>
  <c r="AH66" i="11" s="1"/>
  <c r="AI66" i="11" s="1"/>
  <c r="G1735" i="6"/>
  <c r="G1751" i="6" s="1"/>
  <c r="F180" i="9"/>
  <c r="Y180" i="9"/>
  <c r="AK66" i="11" l="1"/>
  <c r="G698" i="7"/>
  <c r="G277" i="48" s="1"/>
  <c r="G282" i="48"/>
  <c r="G981" i="6"/>
  <c r="G988" i="6"/>
  <c r="Y298" i="9"/>
  <c r="F298" i="9"/>
  <c r="G1158" i="7"/>
  <c r="G1157" i="7"/>
  <c r="G1150" i="7"/>
  <c r="G1145" i="7"/>
  <c r="G1138" i="7"/>
  <c r="G1135" i="7"/>
  <c r="G1132" i="7"/>
  <c r="G1127" i="7"/>
  <c r="G1107" i="7"/>
  <c r="F30" i="9"/>
  <c r="G912" i="4"/>
  <c r="G916" i="4"/>
  <c r="H916" i="4" s="1"/>
  <c r="G850" i="7"/>
  <c r="G849" i="7"/>
  <c r="G823" i="7"/>
  <c r="G810" i="7"/>
  <c r="G809" i="7"/>
  <c r="G793" i="7"/>
  <c r="I793" i="7" s="1"/>
  <c r="G782" i="7"/>
  <c r="G781" i="7"/>
  <c r="G622" i="7"/>
  <c r="G621" i="7"/>
  <c r="G511" i="7"/>
  <c r="G62" i="27"/>
  <c r="G59" i="27"/>
  <c r="G531" i="8"/>
  <c r="I531" i="8" s="1"/>
  <c r="J531" i="8" s="1"/>
  <c r="G508" i="8"/>
  <c r="I508" i="8" s="1"/>
  <c r="J508" i="8" s="1"/>
  <c r="I488" i="8"/>
  <c r="J488" i="8" s="1"/>
  <c r="I487" i="8"/>
  <c r="J487" i="8" s="1"/>
  <c r="G768" i="7" l="1"/>
  <c r="F745" i="34"/>
  <c r="I457" i="8"/>
  <c r="J457" i="8" s="1"/>
  <c r="G132" i="8"/>
  <c r="H132" i="8" s="1"/>
  <c r="H531" i="8"/>
  <c r="H377" i="8"/>
  <c r="H378" i="8"/>
  <c r="G263" i="8"/>
  <c r="AG21" i="42" s="1"/>
  <c r="G1932" i="6"/>
  <c r="G1931" i="6"/>
  <c r="G1872" i="6"/>
  <c r="G1869" i="6"/>
  <c r="G1864" i="6"/>
  <c r="G1857" i="6"/>
  <c r="G1820" i="6"/>
  <c r="G1806" i="6"/>
  <c r="G1784" i="6"/>
  <c r="E234" i="10" s="1"/>
  <c r="G234" i="10" s="1"/>
  <c r="G1663" i="6"/>
  <c r="G541" i="6" s="1"/>
  <c r="G1662" i="6"/>
  <c r="G540" i="6" s="1"/>
  <c r="H540" i="6" s="1"/>
  <c r="G585" i="6"/>
  <c r="G1763" i="6"/>
  <c r="G1417" i="6"/>
  <c r="G1415" i="6"/>
  <c r="G1283" i="6"/>
  <c r="G1280" i="6"/>
  <c r="G1278" i="6"/>
  <c r="G404" i="6" s="1"/>
  <c r="G1288" i="6"/>
  <c r="I208" i="6"/>
  <c r="G208" i="6"/>
  <c r="G970" i="6"/>
  <c r="G794" i="6"/>
  <c r="G780" i="6"/>
  <c r="G765" i="6"/>
  <c r="G420" i="5" l="1"/>
  <c r="G423" i="5"/>
  <c r="G341" i="5"/>
  <c r="G124" i="5" s="1"/>
  <c r="G347" i="5"/>
  <c r="G346" i="5"/>
  <c r="G309" i="5"/>
  <c r="G95" i="5" s="1"/>
  <c r="G292" i="5"/>
  <c r="G291" i="5"/>
  <c r="G288" i="5"/>
  <c r="G285" i="5"/>
  <c r="I333" i="4"/>
  <c r="G333" i="4"/>
  <c r="G881" i="4"/>
  <c r="G125" i="5" l="1"/>
  <c r="G902" i="4"/>
  <c r="G331" i="4"/>
  <c r="G720" i="4"/>
  <c r="G754" i="4"/>
  <c r="G753" i="4"/>
  <c r="G663" i="4"/>
  <c r="Y43" i="22" l="1"/>
  <c r="X10" i="21"/>
  <c r="G1569" i="6" l="1"/>
  <c r="Z43" i="9" l="1"/>
  <c r="Z51" i="9"/>
  <c r="H968" i="7"/>
  <c r="G739" i="7"/>
  <c r="G741" i="7"/>
  <c r="G11" i="22"/>
  <c r="Y82" i="22"/>
  <c r="G81" i="22"/>
  <c r="CC81" i="22" s="1"/>
  <c r="Z172" i="9" l="1"/>
  <c r="Z377" i="9"/>
  <c r="F376" i="9"/>
  <c r="F415" i="9" s="1"/>
  <c r="F416" i="9" s="1"/>
  <c r="D377" i="9"/>
  <c r="G1264" i="6" l="1"/>
  <c r="Z164" i="9"/>
  <c r="I313" i="6"/>
  <c r="G313" i="6"/>
  <c r="H313" i="6" s="1"/>
  <c r="Z357" i="9"/>
  <c r="Z358" i="9"/>
  <c r="F97" i="9"/>
  <c r="Z97" i="9" s="1"/>
  <c r="Z99" i="9"/>
  <c r="Z100" i="9"/>
  <c r="Z101" i="9"/>
  <c r="Z102" i="9"/>
  <c r="Z103" i="9"/>
  <c r="G729" i="4"/>
  <c r="Z19" i="9"/>
  <c r="Z20" i="9"/>
  <c r="Z21" i="9"/>
  <c r="Z23" i="9"/>
  <c r="G497" i="7"/>
  <c r="G87" i="7" s="1"/>
  <c r="H395" i="4"/>
  <c r="M71" i="37" l="1"/>
  <c r="G932" i="7" l="1"/>
  <c r="F88" i="10" s="1"/>
  <c r="G88" i="10" s="1"/>
  <c r="G1958" i="6" l="1"/>
  <c r="Z201" i="9"/>
  <c r="Z202" i="9"/>
  <c r="Z203" i="9"/>
  <c r="Z204" i="9"/>
  <c r="Z205" i="9"/>
  <c r="Z206" i="9"/>
  <c r="I39" i="11" l="1"/>
  <c r="L39" i="11"/>
  <c r="O39" i="11"/>
  <c r="R39" i="11"/>
  <c r="U39" i="11"/>
  <c r="X39" i="11"/>
  <c r="AA39" i="11"/>
  <c r="AD39" i="11"/>
  <c r="AG39" i="11"/>
  <c r="E39" i="11"/>
  <c r="F39" i="11"/>
  <c r="G766" i="7"/>
  <c r="G39" i="11" l="1"/>
  <c r="H39" i="11" s="1"/>
  <c r="J39" i="11" s="1"/>
  <c r="K39" i="11" s="1"/>
  <c r="M39" i="11" s="1"/>
  <c r="N39" i="11" s="1"/>
  <c r="P39" i="11" s="1"/>
  <c r="Q39" i="11" s="1"/>
  <c r="S39" i="11" s="1"/>
  <c r="T39" i="11" s="1"/>
  <c r="V39" i="11" s="1"/>
  <c r="W39" i="11" s="1"/>
  <c r="Y39" i="11" s="1"/>
  <c r="Z39" i="11" s="1"/>
  <c r="AB39" i="11" s="1"/>
  <c r="AC39" i="11" s="1"/>
  <c r="AE39" i="11" s="1"/>
  <c r="AF39" i="11" s="1"/>
  <c r="AH39" i="11" s="1"/>
  <c r="AI39" i="11" s="1"/>
  <c r="AK39" i="11" s="1"/>
  <c r="G95" i="22"/>
  <c r="G31" i="22" l="1"/>
  <c r="G91" i="22"/>
  <c r="G25" i="22"/>
  <c r="F31" i="21"/>
  <c r="F25" i="11"/>
  <c r="CC91" i="22" l="1"/>
  <c r="D182" i="42"/>
  <c r="F193" i="9"/>
  <c r="Y193" i="9" s="1"/>
  <c r="F177" i="9" l="1"/>
  <c r="Y445" i="9"/>
  <c r="F445" i="9"/>
  <c r="F432" i="9"/>
  <c r="Y432" i="9"/>
  <c r="Y189" i="9"/>
  <c r="F189" i="9"/>
  <c r="Y188" i="9"/>
  <c r="Z188" i="9" s="1"/>
  <c r="F183" i="9"/>
  <c r="Z189" i="9" l="1"/>
  <c r="G1371" i="6"/>
  <c r="F439" i="9"/>
  <c r="G1324" i="6"/>
  <c r="J1324" i="6" s="1"/>
  <c r="G1262" i="6"/>
  <c r="Z149" i="9"/>
  <c r="Y415" i="9"/>
  <c r="Y416" i="9" s="1"/>
  <c r="Z379" i="9"/>
  <c r="F146" i="9"/>
  <c r="G1146" i="6" s="1"/>
  <c r="F232" i="9"/>
  <c r="G980" i="6" l="1"/>
  <c r="V92" i="9"/>
  <c r="F93" i="9"/>
  <c r="G875" i="6"/>
  <c r="F81" i="9"/>
  <c r="F215" i="9" s="1"/>
  <c r="G945" i="4"/>
  <c r="F14" i="11"/>
  <c r="G606" i="4"/>
  <c r="G506" i="4"/>
  <c r="Y9" i="9"/>
  <c r="G664" i="4"/>
  <c r="G94" i="6"/>
  <c r="F152" i="10" l="1"/>
  <c r="G944" i="6" s="1"/>
  <c r="F11" i="11"/>
  <c r="G152" i="10" l="1"/>
  <c r="F341" i="9"/>
  <c r="V341" i="9" s="1"/>
  <c r="AG167" i="10" l="1"/>
  <c r="AH167" i="10" s="1"/>
  <c r="AG166" i="10"/>
  <c r="AD167" i="10"/>
  <c r="AE167" i="10" s="1"/>
  <c r="AD166" i="10"/>
  <c r="AE166" i="10" s="1"/>
  <c r="Q2029" i="6"/>
  <c r="N46" i="58" s="1"/>
  <c r="N44" i="58" s="1"/>
  <c r="Q395" i="5"/>
  <c r="R1077" i="6" l="1"/>
  <c r="R287" i="6" s="1"/>
  <c r="AH166" i="10"/>
  <c r="T81" i="9"/>
  <c r="T14" i="9"/>
  <c r="Z191" i="9"/>
  <c r="BZ191" i="9"/>
  <c r="CA191" i="9" l="1"/>
  <c r="CM191" i="9"/>
  <c r="CL191" i="9"/>
  <c r="CB191" i="9" l="1"/>
  <c r="CN191" i="9"/>
  <c r="CC191" i="9" l="1"/>
  <c r="CO191" i="9"/>
  <c r="CD191" i="9" l="1"/>
  <c r="CP191" i="9"/>
  <c r="CQ191" i="9" l="1"/>
  <c r="CE191" i="9"/>
  <c r="CR191" i="9" l="1"/>
  <c r="CF191" i="9"/>
  <c r="CG191" i="9" l="1"/>
  <c r="CS191" i="9"/>
  <c r="CH191" i="9" l="1"/>
  <c r="CT191" i="9"/>
  <c r="CI191" i="9" l="1"/>
  <c r="CU191" i="9"/>
  <c r="CV191" i="9" l="1"/>
  <c r="CJ191" i="9"/>
  <c r="CW191" i="9" s="1"/>
  <c r="N38" i="37"/>
  <c r="V343" i="9" l="1"/>
  <c r="V299" i="9"/>
  <c r="F343" i="9"/>
  <c r="F299" i="9"/>
  <c r="Z299" i="9" l="1"/>
  <c r="C131" i="7" l="1"/>
  <c r="B131" i="7"/>
  <c r="A131" i="7"/>
  <c r="G131" i="7"/>
  <c r="H562" i="7"/>
  <c r="H561" i="7"/>
  <c r="E248" i="56" l="1"/>
  <c r="H1315" i="6"/>
  <c r="G407" i="6"/>
  <c r="G1292" i="6"/>
  <c r="H1283" i="6"/>
  <c r="E30" i="56"/>
  <c r="F90" i="10" l="1"/>
  <c r="G90" i="10" l="1"/>
  <c r="Z104" i="9"/>
  <c r="N237" i="56" l="1"/>
  <c r="L237" i="56"/>
  <c r="L246" i="56"/>
  <c r="L236" i="56"/>
  <c r="L245" i="56"/>
  <c r="L235" i="56"/>
  <c r="L234" i="56"/>
  <c r="L243" i="56"/>
  <c r="L244" i="56"/>
  <c r="D13" i="3" l="1"/>
  <c r="D14" i="3"/>
  <c r="D15" i="3"/>
  <c r="D16" i="3"/>
  <c r="D21" i="3"/>
  <c r="D22" i="3"/>
  <c r="D23" i="3"/>
  <c r="D24" i="3"/>
  <c r="O29" i="3"/>
  <c r="D37" i="3"/>
  <c r="D45" i="3" s="1"/>
  <c r="D59" i="3" s="1"/>
  <c r="D120" i="3" s="1"/>
  <c r="D38" i="3"/>
  <c r="D46" i="3" s="1"/>
  <c r="D60" i="3" s="1"/>
  <c r="D121" i="3" s="1"/>
  <c r="D39" i="3"/>
  <c r="D47" i="3" s="1"/>
  <c r="D61" i="3" s="1"/>
  <c r="D122" i="3" s="1"/>
  <c r="D40" i="3"/>
  <c r="D48" i="3" s="1"/>
  <c r="D62" i="3" s="1"/>
  <c r="D123" i="3" s="1"/>
  <c r="D67" i="3"/>
  <c r="D68" i="3"/>
  <c r="D69" i="3"/>
  <c r="D70" i="3"/>
  <c r="A85" i="3"/>
  <c r="B111" i="3"/>
  <c r="C111" i="3"/>
  <c r="F111" i="3"/>
  <c r="A112" i="3"/>
  <c r="B112" i="3"/>
  <c r="C112" i="3"/>
  <c r="A113" i="3"/>
  <c r="B113" i="3"/>
  <c r="C113" i="3"/>
  <c r="F113" i="3"/>
  <c r="A114" i="3"/>
  <c r="B114" i="3"/>
  <c r="C114" i="3"/>
  <c r="F114" i="3"/>
  <c r="A115" i="3"/>
  <c r="B115" i="3"/>
  <c r="C115" i="3"/>
  <c r="F115" i="3"/>
  <c r="A116" i="3"/>
  <c r="B116" i="3"/>
  <c r="A132" i="3"/>
  <c r="B132" i="3"/>
  <c r="D132" i="3"/>
  <c r="D133" i="3"/>
  <c r="A134" i="3"/>
  <c r="B134" i="3"/>
  <c r="D134" i="3"/>
  <c r="D135" i="3"/>
  <c r="B136" i="3"/>
  <c r="D136" i="3"/>
  <c r="A137" i="3"/>
  <c r="B137" i="3"/>
  <c r="C137" i="3"/>
  <c r="A141" i="3"/>
  <c r="G145" i="3"/>
  <c r="H145" i="3"/>
  <c r="I145" i="3"/>
  <c r="A164" i="3"/>
  <c r="B164" i="3"/>
  <c r="D164" i="3"/>
  <c r="D173" i="3" s="1"/>
  <c r="O165" i="3"/>
  <c r="O166" i="3" s="1"/>
  <c r="A168" i="3"/>
  <c r="B168" i="3"/>
  <c r="D168" i="3"/>
  <c r="D177" i="3" s="1"/>
  <c r="D169" i="3"/>
  <c r="D178" i="3" s="1"/>
  <c r="B117" i="3" l="1"/>
  <c r="K1145" i="6"/>
  <c r="J1145" i="6"/>
  <c r="I1145" i="6"/>
  <c r="H751" i="7" l="1"/>
  <c r="H740" i="7"/>
  <c r="H734" i="7"/>
  <c r="AA115" i="9"/>
  <c r="AA340" i="9"/>
  <c r="V340" i="9"/>
  <c r="V345" i="9" s="1"/>
  <c r="G340" i="9"/>
  <c r="G345" i="9" s="1"/>
  <c r="F340" i="9"/>
  <c r="F345" i="9" s="1"/>
  <c r="U340" i="9"/>
  <c r="A249" i="6"/>
  <c r="A247" i="6"/>
  <c r="A246" i="6"/>
  <c r="B249" i="6"/>
  <c r="B248" i="6"/>
  <c r="B247" i="6"/>
  <c r="B246" i="6"/>
  <c r="C248" i="6"/>
  <c r="C247" i="6"/>
  <c r="C246" i="6"/>
  <c r="K249" i="6"/>
  <c r="J249" i="6"/>
  <c r="I249" i="6"/>
  <c r="Q247" i="6"/>
  <c r="P247" i="6"/>
  <c r="O247" i="6"/>
  <c r="G248" i="6"/>
  <c r="D246" i="6"/>
  <c r="D248" i="6"/>
  <c r="Q161" i="9"/>
  <c r="Q154" i="9"/>
  <c r="F301" i="9" l="1"/>
  <c r="F145" i="3"/>
  <c r="Z340" i="9"/>
  <c r="C238" i="56"/>
  <c r="N246" i="56"/>
  <c r="C246" i="56"/>
  <c r="D275" i="56"/>
  <c r="D263" i="56"/>
  <c r="G249" i="6" l="1"/>
  <c r="D280" i="56"/>
  <c r="C245" i="56" s="1"/>
  <c r="D276" i="56"/>
  <c r="D241" i="56" s="1"/>
  <c r="D269" i="56"/>
  <c r="C237" i="56" s="1"/>
  <c r="D264" i="56"/>
  <c r="D233" i="56" s="1"/>
  <c r="D226" i="56"/>
  <c r="C226" i="56"/>
  <c r="E226" i="56" l="1"/>
  <c r="C248" i="56"/>
  <c r="C250" i="56" s="1"/>
  <c r="D248" i="56"/>
  <c r="D250" i="56" s="1"/>
  <c r="E61" i="14"/>
  <c r="A191" i="14"/>
  <c r="G155" i="14"/>
  <c r="D155" i="14" l="1"/>
  <c r="D173" i="14" s="1"/>
  <c r="G259" i="7"/>
  <c r="BS30" i="9" l="1"/>
  <c r="BS31" i="9"/>
  <c r="BS32" i="9"/>
  <c r="BS37" i="9"/>
  <c r="BN30" i="9"/>
  <c r="BN31" i="9"/>
  <c r="BN32" i="9"/>
  <c r="BN37" i="9"/>
  <c r="BI30" i="9"/>
  <c r="BI31" i="9"/>
  <c r="BI32" i="9"/>
  <c r="BI37" i="9"/>
  <c r="BD30" i="9"/>
  <c r="BD31" i="9"/>
  <c r="BD32" i="9"/>
  <c r="BD37" i="9"/>
  <c r="AY30" i="9"/>
  <c r="AY31" i="9"/>
  <c r="AY32" i="9"/>
  <c r="AY37" i="9"/>
  <c r="AT30" i="9"/>
  <c r="AT31" i="9"/>
  <c r="AT32" i="9"/>
  <c r="AO30" i="9"/>
  <c r="AO31" i="9"/>
  <c r="AO32" i="9"/>
  <c r="AJ30" i="9"/>
  <c r="AJ31" i="9"/>
  <c r="AJ32" i="9"/>
  <c r="AE32" i="9"/>
  <c r="Z32" i="9"/>
  <c r="V458" i="9" l="1"/>
  <c r="V459" i="9" s="1"/>
  <c r="W458" i="9"/>
  <c r="W459" i="9" s="1"/>
  <c r="X458" i="9"/>
  <c r="X459" i="9" s="1"/>
  <c r="Y458" i="9"/>
  <c r="Z454" i="9"/>
  <c r="Z455" i="9"/>
  <c r="Z456" i="9"/>
  <c r="Z457" i="9"/>
  <c r="Z453" i="9"/>
  <c r="V449" i="9"/>
  <c r="V450" i="9" s="1"/>
  <c r="W449" i="9"/>
  <c r="W450" i="9" s="1"/>
  <c r="X449" i="9"/>
  <c r="X450" i="9" s="1"/>
  <c r="Y449" i="9"/>
  <c r="Z445" i="9"/>
  <c r="Z446" i="9"/>
  <c r="Z447" i="9"/>
  <c r="Z448" i="9"/>
  <c r="Z444" i="9"/>
  <c r="F449" i="9"/>
  <c r="W439" i="9"/>
  <c r="W440" i="9" s="1"/>
  <c r="X439" i="9"/>
  <c r="X440" i="9" s="1"/>
  <c r="Y439" i="9"/>
  <c r="V439" i="9"/>
  <c r="Z420" i="9"/>
  <c r="Z421" i="9"/>
  <c r="Z422" i="9"/>
  <c r="Z423" i="9"/>
  <c r="Z424" i="9"/>
  <c r="Z425" i="9"/>
  <c r="Z426" i="9"/>
  <c r="Z427" i="9"/>
  <c r="Z428" i="9"/>
  <c r="Z429" i="9"/>
  <c r="Z430" i="9"/>
  <c r="Z431" i="9"/>
  <c r="Z432" i="9"/>
  <c r="Z433" i="9"/>
  <c r="Z434" i="9"/>
  <c r="Z435" i="9"/>
  <c r="Z436" i="9"/>
  <c r="Z438" i="9"/>
  <c r="Z419" i="9"/>
  <c r="V415" i="9"/>
  <c r="W415" i="9"/>
  <c r="W416" i="9" s="1"/>
  <c r="X415" i="9"/>
  <c r="X416" i="9" s="1"/>
  <c r="Z368" i="9"/>
  <c r="Z369" i="9"/>
  <c r="Z370" i="9"/>
  <c r="Z371" i="9"/>
  <c r="Z372" i="9"/>
  <c r="Z373" i="9"/>
  <c r="Z374" i="9"/>
  <c r="Z376" i="9"/>
  <c r="Z378" i="9"/>
  <c r="Z380" i="9"/>
  <c r="Z381" i="9"/>
  <c r="Z382" i="9"/>
  <c r="Z384" i="9"/>
  <c r="Z385" i="9"/>
  <c r="Z386" i="9"/>
  <c r="Z387" i="9"/>
  <c r="Z388" i="9"/>
  <c r="Z389" i="9"/>
  <c r="Z390" i="9"/>
  <c r="Z391" i="9"/>
  <c r="Z392" i="9"/>
  <c r="Z393" i="9"/>
  <c r="Z394" i="9"/>
  <c r="Z395" i="9"/>
  <c r="Z396" i="9"/>
  <c r="Z397" i="9"/>
  <c r="Z398" i="9"/>
  <c r="Z399" i="9"/>
  <c r="Z400" i="9"/>
  <c r="Z401" i="9"/>
  <c r="Z402" i="9"/>
  <c r="Z403" i="9"/>
  <c r="Z404" i="9"/>
  <c r="Z405" i="9"/>
  <c r="Z406" i="9"/>
  <c r="Z407" i="9"/>
  <c r="Z408" i="9"/>
  <c r="Z409" i="9"/>
  <c r="Z410" i="9"/>
  <c r="Z411" i="9"/>
  <c r="Z412" i="9"/>
  <c r="Z414" i="9"/>
  <c r="Z367" i="9"/>
  <c r="V363" i="9"/>
  <c r="V364" i="9" s="1"/>
  <c r="W363" i="9"/>
  <c r="W364" i="9" s="1"/>
  <c r="X363" i="9"/>
  <c r="X364" i="9" s="1"/>
  <c r="Y364" i="9"/>
  <c r="Z350" i="9"/>
  <c r="Z351" i="9"/>
  <c r="Z352" i="9"/>
  <c r="Z353" i="9"/>
  <c r="Z354" i="9"/>
  <c r="Z355" i="9"/>
  <c r="Z356" i="9"/>
  <c r="Z362" i="9"/>
  <c r="Z349" i="9"/>
  <c r="Z304" i="9"/>
  <c r="Z305" i="9"/>
  <c r="Z306" i="9"/>
  <c r="Z307" i="9"/>
  <c r="Z308" i="9"/>
  <c r="Z309" i="9"/>
  <c r="Z310" i="9"/>
  <c r="Z311" i="9"/>
  <c r="Z312" i="9"/>
  <c r="Z313" i="9"/>
  <c r="Z314" i="9"/>
  <c r="Z315" i="9"/>
  <c r="Z316" i="9"/>
  <c r="Z317" i="9"/>
  <c r="Z319" i="9"/>
  <c r="Z320" i="9"/>
  <c r="Z321" i="9"/>
  <c r="Z322" i="9"/>
  <c r="Z323" i="9"/>
  <c r="Z324" i="9"/>
  <c r="Z326" i="9"/>
  <c r="Z327" i="9"/>
  <c r="Z328" i="9"/>
  <c r="Z329" i="9"/>
  <c r="Z330" i="9"/>
  <c r="Z331" i="9"/>
  <c r="Z332" i="9"/>
  <c r="Z333" i="9"/>
  <c r="Z334" i="9"/>
  <c r="Z335" i="9"/>
  <c r="Z336" i="9"/>
  <c r="Z337" i="9"/>
  <c r="Z338" i="9"/>
  <c r="Z339" i="9"/>
  <c r="Z267" i="9"/>
  <c r="Z268" i="9"/>
  <c r="Z270" i="9"/>
  <c r="Z271" i="9"/>
  <c r="Z272" i="9"/>
  <c r="Z273" i="9"/>
  <c r="Z276" i="9"/>
  <c r="Z277" i="9"/>
  <c r="Z278" i="9"/>
  <c r="Z279" i="9"/>
  <c r="Z280" i="9"/>
  <c r="Z281" i="9"/>
  <c r="Z282" i="9"/>
  <c r="Z283" i="9"/>
  <c r="Z285" i="9"/>
  <c r="Z286" i="9"/>
  <c r="Z287" i="9"/>
  <c r="Z288" i="9"/>
  <c r="Z289" i="9"/>
  <c r="Z290" i="9"/>
  <c r="Z291" i="9"/>
  <c r="Z293" i="9"/>
  <c r="Z294" i="9"/>
  <c r="Z295" i="9"/>
  <c r="Z296" i="9"/>
  <c r="Z297" i="9"/>
  <c r="Z298" i="9"/>
  <c r="Z300" i="9"/>
  <c r="V301" i="9"/>
  <c r="W301" i="9"/>
  <c r="X301" i="9"/>
  <c r="Y301" i="9"/>
  <c r="Z245" i="9"/>
  <c r="V262" i="9"/>
  <c r="V263" i="9" s="1"/>
  <c r="W262" i="9"/>
  <c r="W263" i="9" s="1"/>
  <c r="X262" i="9"/>
  <c r="X263" i="9" s="1"/>
  <c r="Y262" i="9"/>
  <c r="Y263" i="9" s="1"/>
  <c r="Z222" i="9"/>
  <c r="Z223" i="9"/>
  <c r="Z224" i="9"/>
  <c r="Z225" i="9"/>
  <c r="Z226" i="9"/>
  <c r="Z227" i="9"/>
  <c r="Z228" i="9"/>
  <c r="Z229" i="9"/>
  <c r="Z230" i="9"/>
  <c r="Z231" i="9"/>
  <c r="Z232" i="9"/>
  <c r="Z233" i="9"/>
  <c r="Z234" i="9"/>
  <c r="Z236" i="9"/>
  <c r="Z237" i="9"/>
  <c r="Z238" i="9"/>
  <c r="Z239" i="9"/>
  <c r="Z240" i="9"/>
  <c r="Z242" i="9"/>
  <c r="Z243" i="9"/>
  <c r="Z244" i="9"/>
  <c r="Z246" i="9"/>
  <c r="Z247" i="9"/>
  <c r="Z248" i="9"/>
  <c r="Z249" i="9"/>
  <c r="Z250" i="9"/>
  <c r="Z251" i="9"/>
  <c r="Z252" i="9"/>
  <c r="Z253" i="9"/>
  <c r="Z254" i="9"/>
  <c r="Z255" i="9"/>
  <c r="Z256" i="9"/>
  <c r="Z257" i="9"/>
  <c r="Z258" i="9"/>
  <c r="Z259" i="9"/>
  <c r="Z260" i="9"/>
  <c r="Z261" i="9"/>
  <c r="Z345" i="9" l="1"/>
  <c r="Z363" i="9"/>
  <c r="Z439" i="9"/>
  <c r="Z449" i="9"/>
  <c r="Z262" i="9"/>
  <c r="Z458" i="9"/>
  <c r="Z415" i="9"/>
  <c r="Z301" i="9"/>
  <c r="H508" i="8" l="1"/>
  <c r="H487" i="8" l="1"/>
  <c r="H488" i="8"/>
  <c r="H489" i="8"/>
  <c r="H490" i="8"/>
  <c r="H272" i="8" l="1"/>
  <c r="H273" i="8"/>
  <c r="H274" i="8"/>
  <c r="H275" i="8"/>
  <c r="F262" i="9" l="1"/>
  <c r="F263" i="9" s="1"/>
  <c r="V154" i="9" l="1"/>
  <c r="V158" i="9" l="1"/>
  <c r="V157" i="9"/>
  <c r="V155" i="9"/>
  <c r="R82" i="14" l="1"/>
  <c r="G499" i="7"/>
  <c r="G89" i="7" l="1"/>
  <c r="H89" i="7" s="1"/>
  <c r="BZ30" i="9"/>
  <c r="BZ31" i="9"/>
  <c r="CM31" i="9" s="1"/>
  <c r="CL40" i="9"/>
  <c r="BZ41" i="9"/>
  <c r="CA41" i="9" s="1"/>
  <c r="CB41" i="9" s="1"/>
  <c r="CC41" i="9" s="1"/>
  <c r="CD41" i="9" s="1"/>
  <c r="CE41" i="9" s="1"/>
  <c r="CF41" i="9" s="1"/>
  <c r="CG41" i="9" s="1"/>
  <c r="CH41" i="9" s="1"/>
  <c r="CI41" i="9" s="1"/>
  <c r="BZ42" i="9"/>
  <c r="CA42" i="9" s="1"/>
  <c r="CB42" i="9" s="1"/>
  <c r="CC42" i="9" s="1"/>
  <c r="CD42" i="9" s="1"/>
  <c r="CE42" i="9" s="1"/>
  <c r="CF42" i="9" s="1"/>
  <c r="CG42" i="9" s="1"/>
  <c r="CH42" i="9" s="1"/>
  <c r="CI42" i="9" s="1"/>
  <c r="BZ49" i="9"/>
  <c r="CL149" i="9"/>
  <c r="CV181" i="9"/>
  <c r="CU181" i="9"/>
  <c r="CT181" i="9"/>
  <c r="CS181" i="9"/>
  <c r="CR181" i="9"/>
  <c r="CQ181" i="9"/>
  <c r="CP181" i="9"/>
  <c r="CO181" i="9"/>
  <c r="CN181" i="9"/>
  <c r="CM181" i="9"/>
  <c r="CL181" i="9"/>
  <c r="CV180" i="9"/>
  <c r="CU180" i="9"/>
  <c r="CT180" i="9"/>
  <c r="CS180" i="9"/>
  <c r="CR180" i="9"/>
  <c r="CQ180" i="9"/>
  <c r="CP180" i="9"/>
  <c r="CO180" i="9"/>
  <c r="CN180" i="9"/>
  <c r="CL180" i="9"/>
  <c r="CV179" i="9"/>
  <c r="CU179" i="9"/>
  <c r="CT179" i="9"/>
  <c r="CS179" i="9"/>
  <c r="CR179" i="9"/>
  <c r="CQ179" i="9"/>
  <c r="CP179" i="9"/>
  <c r="CO179" i="9"/>
  <c r="CN179" i="9"/>
  <c r="CM179" i="9"/>
  <c r="CL179" i="9"/>
  <c r="BZ201" i="9"/>
  <c r="CM201" i="9" s="1"/>
  <c r="CL202" i="9"/>
  <c r="BZ203" i="9"/>
  <c r="CA203" i="9" s="1"/>
  <c r="CB203" i="9" s="1"/>
  <c r="CC203" i="9" s="1"/>
  <c r="CD203" i="9" s="1"/>
  <c r="CE203" i="9" s="1"/>
  <c r="CF203" i="9" s="1"/>
  <c r="CG203" i="9" s="1"/>
  <c r="CH203" i="9" s="1"/>
  <c r="CI203" i="9" s="1"/>
  <c r="CL204" i="9"/>
  <c r="BZ205" i="9"/>
  <c r="CM205" i="9" s="1"/>
  <c r="CL206" i="9"/>
  <c r="BZ196" i="9"/>
  <c r="CA196" i="9" s="1"/>
  <c r="CB196" i="9" s="1"/>
  <c r="CC196" i="9" s="1"/>
  <c r="CD196" i="9" s="1"/>
  <c r="CE196" i="9" s="1"/>
  <c r="CF196" i="9" s="1"/>
  <c r="CG196" i="9" s="1"/>
  <c r="CH196" i="9" s="1"/>
  <c r="CI196" i="9" s="1"/>
  <c r="CA30" i="9" l="1"/>
  <c r="CB30" i="9" s="1"/>
  <c r="CM30" i="9"/>
  <c r="CV203" i="9"/>
  <c r="CJ203" i="9"/>
  <c r="CW203" i="9" s="1"/>
  <c r="CV42" i="9"/>
  <c r="CJ42" i="9"/>
  <c r="CW42" i="9" s="1"/>
  <c r="CV196" i="9"/>
  <c r="CJ196" i="9"/>
  <c r="CW196" i="9" s="1"/>
  <c r="CV41" i="9"/>
  <c r="CJ41" i="9"/>
  <c r="CW41" i="9" s="1"/>
  <c r="CS196" i="9"/>
  <c r="CT196" i="9"/>
  <c r="CL196" i="9"/>
  <c r="CP196" i="9"/>
  <c r="CO196" i="9"/>
  <c r="CM196" i="9"/>
  <c r="CQ196" i="9"/>
  <c r="CU196" i="9"/>
  <c r="CN196" i="9"/>
  <c r="CR196" i="9"/>
  <c r="CL201" i="9"/>
  <c r="CQ41" i="9"/>
  <c r="CM41" i="9"/>
  <c r="BZ204" i="9"/>
  <c r="BZ40" i="9"/>
  <c r="CA40" i="9" s="1"/>
  <c r="CN40" i="9" s="1"/>
  <c r="CU41" i="9"/>
  <c r="CA31" i="9"/>
  <c r="CB31" i="9" s="1"/>
  <c r="CC31" i="9" s="1"/>
  <c r="CT42" i="9"/>
  <c r="CP42" i="9"/>
  <c r="BZ206" i="9"/>
  <c r="CA201" i="9"/>
  <c r="CU203" i="9"/>
  <c r="CQ203" i="9"/>
  <c r="CM203" i="9"/>
  <c r="CS42" i="9"/>
  <c r="CO42" i="9"/>
  <c r="CT41" i="9"/>
  <c r="CP41" i="9"/>
  <c r="CL41" i="9"/>
  <c r="CN203" i="9"/>
  <c r="CT203" i="9"/>
  <c r="CP203" i="9"/>
  <c r="CL203" i="9"/>
  <c r="CR42" i="9"/>
  <c r="CN42" i="9"/>
  <c r="CS41" i="9"/>
  <c r="CO41" i="9"/>
  <c r="CR203" i="9"/>
  <c r="CA205" i="9"/>
  <c r="BZ202" i="9"/>
  <c r="CS203" i="9"/>
  <c r="CO203" i="9"/>
  <c r="CU42" i="9"/>
  <c r="CQ42" i="9"/>
  <c r="CR41" i="9"/>
  <c r="CN41" i="9"/>
  <c r="CC30" i="9"/>
  <c r="CO30" i="9"/>
  <c r="CN30" i="9"/>
  <c r="CA49" i="9"/>
  <c r="CB49" i="9" s="1"/>
  <c r="CC49" i="9" s="1"/>
  <c r="CD49" i="9" s="1"/>
  <c r="CE49" i="9" s="1"/>
  <c r="CF49" i="9" s="1"/>
  <c r="CG49" i="9" s="1"/>
  <c r="CH49" i="9" s="1"/>
  <c r="CI49" i="9" s="1"/>
  <c r="CJ49" i="9" s="1"/>
  <c r="CW49" i="9" s="1"/>
  <c r="CM49" i="9"/>
  <c r="BZ149" i="9"/>
  <c r="CA149" i="9" s="1"/>
  <c r="CN149" i="9" s="1"/>
  <c r="O60" i="12"/>
  <c r="CB149" i="9" l="1"/>
  <c r="CO149" i="9" s="1"/>
  <c r="CM40" i="9"/>
  <c r="CO31" i="9"/>
  <c r="CB40" i="9"/>
  <c r="CC40" i="9" s="1"/>
  <c r="CN31" i="9"/>
  <c r="CA204" i="9"/>
  <c r="CM204" i="9"/>
  <c r="CB205" i="9"/>
  <c r="CN205" i="9"/>
  <c r="CB201" i="9"/>
  <c r="CN201" i="9"/>
  <c r="CM206" i="9"/>
  <c r="CA206" i="9"/>
  <c r="CM202" i="9"/>
  <c r="CA202" i="9"/>
  <c r="CP31" i="9"/>
  <c r="CD31" i="9"/>
  <c r="CD30" i="9"/>
  <c r="CP30" i="9"/>
  <c r="CN49" i="9"/>
  <c r="CM149" i="9"/>
  <c r="CC149" i="9" l="1"/>
  <c r="CD149" i="9" s="1"/>
  <c r="CO40" i="9"/>
  <c r="CB204" i="9"/>
  <c r="CN204" i="9"/>
  <c r="CN202" i="9"/>
  <c r="CB202" i="9"/>
  <c r="CC201" i="9"/>
  <c r="CO201" i="9"/>
  <c r="CC205" i="9"/>
  <c r="CO205" i="9"/>
  <c r="CB206" i="9"/>
  <c r="CN206" i="9"/>
  <c r="CD40" i="9"/>
  <c r="CP40" i="9"/>
  <c r="CQ31" i="9"/>
  <c r="CE31" i="9"/>
  <c r="CE30" i="9"/>
  <c r="CQ30" i="9"/>
  <c r="CO49" i="9"/>
  <c r="G1765" i="6"/>
  <c r="Z196" i="9"/>
  <c r="CP149" i="9" l="1"/>
  <c r="CC204" i="9"/>
  <c r="CO204" i="9"/>
  <c r="CE40" i="9"/>
  <c r="CQ40" i="9"/>
  <c r="CD201" i="9"/>
  <c r="CP201" i="9"/>
  <c r="CC202" i="9"/>
  <c r="CO202" i="9"/>
  <c r="CC206" i="9"/>
  <c r="CO206" i="9"/>
  <c r="CD205" i="9"/>
  <c r="CP205" i="9"/>
  <c r="CF30" i="9"/>
  <c r="CR30" i="9"/>
  <c r="CF31" i="9"/>
  <c r="CR31" i="9"/>
  <c r="CP49" i="9"/>
  <c r="CQ149" i="9"/>
  <c r="CE149" i="9"/>
  <c r="F135" i="11"/>
  <c r="F134" i="11"/>
  <c r="F133" i="11" l="1"/>
  <c r="F104" i="3"/>
  <c r="F132" i="11"/>
  <c r="Y450" i="9"/>
  <c r="CD204" i="9"/>
  <c r="CP204" i="9"/>
  <c r="CE201" i="9"/>
  <c r="CQ201" i="9"/>
  <c r="CF40" i="9"/>
  <c r="CR40" i="9"/>
  <c r="CE205" i="9"/>
  <c r="CQ205" i="9"/>
  <c r="CD202" i="9"/>
  <c r="CP202" i="9"/>
  <c r="CD206" i="9"/>
  <c r="CP206" i="9"/>
  <c r="CG31" i="9"/>
  <c r="CS31" i="9"/>
  <c r="CG30" i="9"/>
  <c r="CS30" i="9"/>
  <c r="CQ49" i="9"/>
  <c r="CR149" i="9"/>
  <c r="CF149" i="9"/>
  <c r="Z40" i="9"/>
  <c r="Z48" i="9"/>
  <c r="Z49" i="9"/>
  <c r="Z50" i="9"/>
  <c r="Z57" i="9"/>
  <c r="Z58" i="9"/>
  <c r="Z59" i="9"/>
  <c r="X60" i="9"/>
  <c r="X63" i="9" s="1"/>
  <c r="V60" i="9"/>
  <c r="V63" i="9" s="1"/>
  <c r="Z60" i="9" l="1"/>
  <c r="CE204" i="9"/>
  <c r="CQ204" i="9"/>
  <c r="CE206" i="9"/>
  <c r="CQ206" i="9"/>
  <c r="CE202" i="9"/>
  <c r="CQ202" i="9"/>
  <c r="CG40" i="9"/>
  <c r="CS40" i="9"/>
  <c r="CF205" i="9"/>
  <c r="CR205" i="9"/>
  <c r="CF201" i="9"/>
  <c r="CR201" i="9"/>
  <c r="CH31" i="9"/>
  <c r="CT31" i="9"/>
  <c r="CH30" i="9"/>
  <c r="CT30" i="9"/>
  <c r="CR49" i="9"/>
  <c r="CS149" i="9"/>
  <c r="CG149" i="9"/>
  <c r="G61" i="14"/>
  <c r="D1184" i="7" l="1"/>
  <c r="CF204" i="9"/>
  <c r="CR204" i="9"/>
  <c r="CG201" i="9"/>
  <c r="CS201" i="9"/>
  <c r="CF202" i="9"/>
  <c r="CR202" i="9"/>
  <c r="CG205" i="9"/>
  <c r="CS205" i="9"/>
  <c r="CH40" i="9"/>
  <c r="CT40" i="9"/>
  <c r="CF206" i="9"/>
  <c r="CR206" i="9"/>
  <c r="CI31" i="9"/>
  <c r="CU31" i="9"/>
  <c r="CI30" i="9"/>
  <c r="CU30" i="9"/>
  <c r="CS49" i="9"/>
  <c r="CH149" i="9"/>
  <c r="CT149" i="9"/>
  <c r="C134" i="11"/>
  <c r="D134" i="11" s="1"/>
  <c r="E134" i="11" s="1"/>
  <c r="G134" i="11" s="1"/>
  <c r="H134" i="11" s="1"/>
  <c r="J134" i="11" s="1"/>
  <c r="K134" i="11" s="1"/>
  <c r="M134" i="11" s="1"/>
  <c r="N134" i="11" s="1"/>
  <c r="P134" i="11" s="1"/>
  <c r="Q134" i="11" s="1"/>
  <c r="S134" i="11" s="1"/>
  <c r="T134" i="11" s="1"/>
  <c r="V134" i="11" s="1"/>
  <c r="W134" i="11" s="1"/>
  <c r="Y134" i="11" s="1"/>
  <c r="Z134" i="11" s="1"/>
  <c r="AB134" i="11" s="1"/>
  <c r="AC134" i="11" s="1"/>
  <c r="AE134" i="11" s="1"/>
  <c r="AF134" i="11" s="1"/>
  <c r="AH134" i="11" s="1"/>
  <c r="AI134" i="11" s="1"/>
  <c r="AK134" i="11" s="1"/>
  <c r="CV30" i="9" l="1"/>
  <c r="CJ30" i="9"/>
  <c r="CW30" i="9" s="1"/>
  <c r="CV31" i="9"/>
  <c r="CJ31" i="9"/>
  <c r="CW31" i="9" s="1"/>
  <c r="CG204" i="9"/>
  <c r="CS204" i="9"/>
  <c r="CI40" i="9"/>
  <c r="CU40" i="9"/>
  <c r="CG202" i="9"/>
  <c r="CS202" i="9"/>
  <c r="CH201" i="9"/>
  <c r="CT201" i="9"/>
  <c r="CG206" i="9"/>
  <c r="CS206" i="9"/>
  <c r="CH205" i="9"/>
  <c r="CT205" i="9"/>
  <c r="CT49" i="9"/>
  <c r="CU149" i="9"/>
  <c r="CI149" i="9"/>
  <c r="G905" i="7"/>
  <c r="F105" i="3"/>
  <c r="CV40" i="9" l="1"/>
  <c r="CJ40" i="9"/>
  <c r="CW40" i="9" s="1"/>
  <c r="CV149" i="9"/>
  <c r="CJ149" i="9"/>
  <c r="CW149" i="9" s="1"/>
  <c r="CH204" i="9"/>
  <c r="CT204" i="9"/>
  <c r="CI205" i="9"/>
  <c r="CU205" i="9"/>
  <c r="CI201" i="9"/>
  <c r="CU201" i="9"/>
  <c r="CH206" i="9"/>
  <c r="CT206" i="9"/>
  <c r="CH202" i="9"/>
  <c r="CT202" i="9"/>
  <c r="CV49" i="9"/>
  <c r="CU49" i="9"/>
  <c r="F458" i="9"/>
  <c r="Y459" i="9"/>
  <c r="F108" i="9"/>
  <c r="F121" i="11"/>
  <c r="F125" i="11"/>
  <c r="F95" i="11"/>
  <c r="Y82" i="9"/>
  <c r="CV205" i="9" l="1"/>
  <c r="CJ205" i="9"/>
  <c r="CW205" i="9" s="1"/>
  <c r="CV201" i="9"/>
  <c r="CJ201" i="9"/>
  <c r="CW201" i="9" s="1"/>
  <c r="F459" i="9"/>
  <c r="F96" i="11"/>
  <c r="CI204" i="9"/>
  <c r="CU204" i="9"/>
  <c r="CI202" i="9"/>
  <c r="CU202" i="9"/>
  <c r="CI206" i="9"/>
  <c r="CU206" i="9"/>
  <c r="F92" i="11"/>
  <c r="Y93" i="9"/>
  <c r="CV204" i="9" l="1"/>
  <c r="CJ204" i="9"/>
  <c r="CW204" i="9" s="1"/>
  <c r="CV206" i="9"/>
  <c r="CJ206" i="9"/>
  <c r="CW206" i="9" s="1"/>
  <c r="CV202" i="9"/>
  <c r="CJ202" i="9"/>
  <c r="CW202" i="9" s="1"/>
  <c r="K118" i="4"/>
  <c r="G118" i="4"/>
  <c r="C118" i="4"/>
  <c r="B118" i="4"/>
  <c r="A118" i="4"/>
  <c r="I108" i="4"/>
  <c r="G108" i="4"/>
  <c r="C108" i="4"/>
  <c r="B108" i="4"/>
  <c r="A108" i="4"/>
  <c r="H496" i="4"/>
  <c r="H494" i="4"/>
  <c r="H558" i="4"/>
  <c r="H557" i="4"/>
  <c r="H556" i="4"/>
  <c r="H554" i="4"/>
  <c r="H553" i="4"/>
  <c r="H552" i="4"/>
  <c r="H550" i="4"/>
  <c r="H549" i="4"/>
  <c r="H548" i="4"/>
  <c r="C156" i="4" l="1"/>
  <c r="B156" i="4"/>
  <c r="A156" i="4"/>
  <c r="G156" i="4"/>
  <c r="J118" i="4"/>
  <c r="H118" i="4"/>
  <c r="H108" i="4"/>
  <c r="H551" i="4"/>
  <c r="H555" i="4"/>
  <c r="F11" i="21"/>
  <c r="H156" i="4" l="1"/>
  <c r="F42" i="9"/>
  <c r="F65" i="9" s="1"/>
  <c r="CM42" i="9" l="1"/>
  <c r="F93" i="10"/>
  <c r="G93" i="10" l="1"/>
  <c r="F103" i="10"/>
  <c r="G1008" i="7" s="1"/>
  <c r="H465" i="8"/>
  <c r="H585" i="4" l="1"/>
  <c r="E436" i="34" l="1"/>
  <c r="D413" i="8" l="1"/>
  <c r="T56" i="21"/>
  <c r="D219" i="8"/>
  <c r="H432" i="8" l="1"/>
  <c r="D392" i="5" l="1"/>
  <c r="D1188" i="6" l="1"/>
  <c r="U149" i="9"/>
  <c r="Q401" i="9"/>
  <c r="Q412" i="9"/>
  <c r="Q406" i="9"/>
  <c r="Q394" i="9"/>
  <c r="R115" i="9" l="1"/>
  <c r="U319" i="9"/>
  <c r="F77" i="12"/>
  <c r="G77" i="12"/>
  <c r="I77" i="12"/>
  <c r="L77" i="12"/>
  <c r="M77" i="12"/>
  <c r="N77" i="12"/>
  <c r="O77" i="12"/>
  <c r="R317" i="9"/>
  <c r="R345" i="9" s="1"/>
  <c r="Q268" i="9" l="1"/>
  <c r="E267" i="9"/>
  <c r="U308" i="9" l="1"/>
  <c r="A11" i="12"/>
  <c r="E86" i="12" l="1"/>
  <c r="D905" i="7" l="1"/>
  <c r="T42" i="9" l="1"/>
  <c r="CL42" i="9"/>
  <c r="T48" i="9"/>
  <c r="D131" i="7"/>
  <c r="T205" i="9"/>
  <c r="C236" i="10" s="1"/>
  <c r="CL205" i="9"/>
  <c r="C231" i="10" l="1"/>
  <c r="D236" i="10"/>
  <c r="D231" i="10" l="1"/>
  <c r="D240" i="10" s="1"/>
  <c r="C240" i="10"/>
  <c r="D1997" i="6"/>
  <c r="B18" i="58" s="1"/>
  <c r="E18" i="58" l="1"/>
  <c r="G485" i="6"/>
  <c r="D485" i="6"/>
  <c r="D1309" i="6" l="1"/>
  <c r="T93" i="9" l="1"/>
  <c r="D906" i="6"/>
  <c r="D378" i="5" l="1"/>
  <c r="D127" i="5" l="1"/>
  <c r="H371" i="5" l="1"/>
  <c r="D346" i="5"/>
  <c r="D125" i="5" s="1"/>
  <c r="H126" i="5" l="1"/>
  <c r="H125" i="5"/>
  <c r="T10" i="9"/>
  <c r="H492" i="4" l="1"/>
  <c r="Q136" i="9" l="1"/>
  <c r="U136" i="9" l="1"/>
  <c r="BH61" i="21" l="1"/>
  <c r="BD61" i="21"/>
  <c r="AZ61" i="21"/>
  <c r="AV61" i="21"/>
  <c r="AR61" i="21"/>
  <c r="AN61" i="21"/>
  <c r="AJ61" i="21"/>
  <c r="AF61" i="21"/>
  <c r="AB61" i="21"/>
  <c r="X61" i="21"/>
  <c r="BH56" i="21"/>
  <c r="BD56" i="21"/>
  <c r="AZ56" i="21"/>
  <c r="AV56" i="21"/>
  <c r="AR56" i="21"/>
  <c r="AN56" i="21"/>
  <c r="AJ56" i="21"/>
  <c r="AF56" i="21"/>
  <c r="AB56" i="21"/>
  <c r="X56" i="21"/>
  <c r="BH49" i="21"/>
  <c r="BH50" i="21"/>
  <c r="BD49" i="21"/>
  <c r="BD50" i="21"/>
  <c r="AZ49" i="21"/>
  <c r="AZ50" i="21"/>
  <c r="AV49" i="21"/>
  <c r="AV50" i="21"/>
  <c r="AR49" i="21"/>
  <c r="AR50" i="21"/>
  <c r="AN49" i="21"/>
  <c r="AN50" i="21"/>
  <c r="AJ49" i="21"/>
  <c r="AJ50" i="21"/>
  <c r="AF49" i="21"/>
  <c r="AF50" i="21"/>
  <c r="AB50" i="21"/>
  <c r="AB49" i="21"/>
  <c r="X49" i="21"/>
  <c r="X50" i="21"/>
  <c r="BH27" i="21"/>
  <c r="BD27" i="21"/>
  <c r="AZ27" i="21"/>
  <c r="AV27" i="21"/>
  <c r="AR27" i="21"/>
  <c r="AN27" i="21"/>
  <c r="AJ27" i="21"/>
  <c r="AF27" i="21"/>
  <c r="AB27" i="21"/>
  <c r="X27" i="21"/>
  <c r="BH22" i="21"/>
  <c r="BD22" i="21"/>
  <c r="AZ22" i="21"/>
  <c r="AV22" i="21"/>
  <c r="AR22" i="21"/>
  <c r="AN22" i="21"/>
  <c r="AJ22" i="21"/>
  <c r="AF22" i="21"/>
  <c r="AB22" i="21"/>
  <c r="G129" i="8"/>
  <c r="D129" i="8"/>
  <c r="BI112" i="22"/>
  <c r="BI113" i="22"/>
  <c r="BI114" i="22"/>
  <c r="BE112" i="22"/>
  <c r="BE113" i="22"/>
  <c r="BE114" i="22"/>
  <c r="BA112" i="22"/>
  <c r="BA113" i="22"/>
  <c r="BA114" i="22"/>
  <c r="AW112" i="22"/>
  <c r="AW113" i="22"/>
  <c r="AW114" i="22"/>
  <c r="AS112" i="22"/>
  <c r="AS113" i="22"/>
  <c r="AS114" i="22"/>
  <c r="AO112" i="22"/>
  <c r="AO113" i="22"/>
  <c r="AO114" i="22"/>
  <c r="AK112" i="22"/>
  <c r="AK113" i="22"/>
  <c r="AK114" i="22"/>
  <c r="AG112" i="22"/>
  <c r="AG113" i="22"/>
  <c r="AG114" i="22"/>
  <c r="AC112" i="22"/>
  <c r="AC113" i="22"/>
  <c r="AC114" i="22"/>
  <c r="Y112" i="22"/>
  <c r="Y113" i="22"/>
  <c r="Y114" i="22"/>
  <c r="BI97" i="22"/>
  <c r="BE97" i="22"/>
  <c r="BA97" i="22"/>
  <c r="AW97" i="22"/>
  <c r="AS97" i="22"/>
  <c r="AO97" i="22"/>
  <c r="AK97" i="22"/>
  <c r="AG97" i="22"/>
  <c r="AC97" i="22"/>
  <c r="Y97" i="22"/>
  <c r="BI91" i="22"/>
  <c r="BI92" i="22"/>
  <c r="BE91" i="22"/>
  <c r="BE92" i="22"/>
  <c r="BA91" i="22"/>
  <c r="BA92" i="22"/>
  <c r="AW91" i="22"/>
  <c r="AW92" i="22"/>
  <c r="AS91" i="22"/>
  <c r="AS92" i="22"/>
  <c r="AO91" i="22"/>
  <c r="AO92" i="22"/>
  <c r="AK91" i="22"/>
  <c r="AK92" i="22"/>
  <c r="AG91" i="22"/>
  <c r="AG92" i="22"/>
  <c r="AC91" i="22"/>
  <c r="AC92" i="22"/>
  <c r="Y91" i="22"/>
  <c r="Y92" i="22"/>
  <c r="BI50" i="22"/>
  <c r="BE50" i="22"/>
  <c r="BA50" i="22"/>
  <c r="AW50" i="22"/>
  <c r="AS50" i="22"/>
  <c r="AO50" i="22"/>
  <c r="AK50" i="22"/>
  <c r="AG50" i="22"/>
  <c r="AC50" i="22"/>
  <c r="Y50" i="22"/>
  <c r="Y44" i="22"/>
  <c r="BI36" i="22"/>
  <c r="BI37" i="22"/>
  <c r="BI38" i="22"/>
  <c r="BE36" i="22"/>
  <c r="BE37" i="22"/>
  <c r="BE38" i="22"/>
  <c r="BA36" i="22"/>
  <c r="BA37" i="22"/>
  <c r="BA38" i="22"/>
  <c r="AW36" i="22"/>
  <c r="AW37" i="22"/>
  <c r="AW38" i="22"/>
  <c r="AS36" i="22"/>
  <c r="AS37" i="22"/>
  <c r="AS38" i="22"/>
  <c r="AO36" i="22"/>
  <c r="AO37" i="22"/>
  <c r="AO38" i="22"/>
  <c r="AK36" i="22"/>
  <c r="AK37" i="22"/>
  <c r="AK38" i="22"/>
  <c r="AG36" i="22"/>
  <c r="AG37" i="22"/>
  <c r="AG38" i="22"/>
  <c r="AC36" i="22"/>
  <c r="AC37" i="22"/>
  <c r="AC38" i="22"/>
  <c r="Y38" i="22"/>
  <c r="Y36" i="22"/>
  <c r="Y37" i="22"/>
  <c r="BI26" i="22"/>
  <c r="BE26" i="22"/>
  <c r="BA26" i="22"/>
  <c r="AW26" i="22"/>
  <c r="AS26" i="22"/>
  <c r="AO26" i="22"/>
  <c r="AK26" i="22"/>
  <c r="AG26" i="22"/>
  <c r="AC26" i="22"/>
  <c r="Y26" i="22"/>
  <c r="BI18" i="22"/>
  <c r="BE18" i="22"/>
  <c r="BA18" i="22"/>
  <c r="AW18" i="22"/>
  <c r="AS18" i="22"/>
  <c r="AO18" i="22"/>
  <c r="AK18" i="22"/>
  <c r="AG18" i="22"/>
  <c r="AC18" i="22"/>
  <c r="Y18" i="22"/>
  <c r="BI15" i="22"/>
  <c r="BE15" i="22"/>
  <c r="BA15" i="22"/>
  <c r="AW15" i="22"/>
  <c r="AS15" i="22"/>
  <c r="AO15" i="22"/>
  <c r="AK15" i="22"/>
  <c r="AG15" i="22"/>
  <c r="AC15" i="22"/>
  <c r="Y15" i="22"/>
  <c r="I132" i="8" l="1"/>
  <c r="I209" i="3" l="1"/>
  <c r="H209" i="3"/>
  <c r="G209" i="3"/>
  <c r="F209" i="3"/>
  <c r="H84" i="37"/>
  <c r="G84" i="37"/>
  <c r="F84" i="37"/>
  <c r="E84" i="37"/>
  <c r="E363" i="9"/>
  <c r="E364" i="9" s="1"/>
  <c r="BQ138" i="9"/>
  <c r="BL138" i="9"/>
  <c r="BG138" i="9"/>
  <c r="BB138" i="9"/>
  <c r="AW138" i="9"/>
  <c r="AM138" i="9"/>
  <c r="AC138" i="9"/>
  <c r="X138" i="9"/>
  <c r="X346" i="9" s="1"/>
  <c r="S138" i="9"/>
  <c r="H286" i="3" l="1"/>
  <c r="H296" i="3" s="1"/>
  <c r="AK115" i="9"/>
  <c r="AF115" i="9"/>
  <c r="Q864" i="7" l="1"/>
  <c r="P864" i="7"/>
  <c r="O864" i="7"/>
  <c r="N864" i="7"/>
  <c r="M864" i="7"/>
  <c r="L864" i="7"/>
  <c r="K864" i="7"/>
  <c r="J864" i="7"/>
  <c r="I864" i="7"/>
  <c r="G864" i="7"/>
  <c r="E95" i="13"/>
  <c r="E97" i="13" s="1"/>
  <c r="E55" i="13" l="1"/>
  <c r="E72" i="13"/>
  <c r="H1303" i="6"/>
  <c r="F40" i="11" l="1"/>
  <c r="F29" i="11"/>
  <c r="G29" i="11" s="1"/>
  <c r="H29" i="11" s="1"/>
  <c r="AE30" i="9"/>
  <c r="AE31" i="9"/>
  <c r="Z30" i="9"/>
  <c r="Z31" i="9"/>
  <c r="H725" i="7"/>
  <c r="I393" i="5" l="1"/>
  <c r="U26" i="22" l="1"/>
  <c r="U205" i="9" l="1"/>
  <c r="Q382" i="9" l="1"/>
  <c r="U382" i="9" s="1"/>
  <c r="T372" i="9"/>
  <c r="X65" i="21" l="1"/>
  <c r="X66" i="21"/>
  <c r="AZ66" i="21" l="1"/>
  <c r="AR66" i="21"/>
  <c r="AJ66" i="21"/>
  <c r="AB66" i="21"/>
  <c r="AB65" i="21"/>
  <c r="BD66" i="21"/>
  <c r="AV66" i="21"/>
  <c r="AN66" i="21"/>
  <c r="AF66" i="21"/>
  <c r="AF65" i="21"/>
  <c r="G120" i="8" l="1"/>
  <c r="X22" i="21"/>
  <c r="BZ134" i="9" l="1"/>
  <c r="CA134" i="9" s="1"/>
  <c r="CB134" i="9" s="1"/>
  <c r="CC134" i="9" s="1"/>
  <c r="CD134" i="9" s="1"/>
  <c r="CE134" i="9" s="1"/>
  <c r="CF134" i="9" s="1"/>
  <c r="CG134" i="9" s="1"/>
  <c r="Z127" i="9"/>
  <c r="Z128" i="9"/>
  <c r="Z129" i="9"/>
  <c r="Z130" i="9"/>
  <c r="Z131" i="9"/>
  <c r="Z132" i="9"/>
  <c r="Z133" i="9"/>
  <c r="CH134" i="9" l="1"/>
  <c r="CI134" i="9" s="1"/>
  <c r="CJ134" i="9" s="1"/>
  <c r="F43" i="48"/>
  <c r="F47" i="48"/>
  <c r="F46" i="48"/>
  <c r="F45" i="48"/>
  <c r="E45" i="48" s="1"/>
  <c r="F44" i="48"/>
  <c r="J71" i="26" l="1"/>
  <c r="I71" i="26"/>
  <c r="H71" i="26"/>
  <c r="G71" i="26"/>
  <c r="F71" i="26"/>
  <c r="E71" i="26"/>
  <c r="D71" i="26"/>
  <c r="C71" i="26"/>
  <c r="K71" i="26"/>
  <c r="M81" i="26"/>
  <c r="M103" i="26"/>
  <c r="M102" i="26"/>
  <c r="M96" i="26"/>
  <c r="M94" i="26"/>
  <c r="M93" i="26"/>
  <c r="M92" i="26"/>
  <c r="M91" i="26"/>
  <c r="M88" i="26"/>
  <c r="M87" i="26"/>
  <c r="M86" i="26"/>
  <c r="M84" i="26"/>
  <c r="M104" i="26" l="1"/>
  <c r="M111" i="48"/>
  <c r="M107" i="48"/>
  <c r="N100" i="48"/>
  <c r="N114" i="48"/>
  <c r="N115" i="48"/>
  <c r="N102" i="48"/>
  <c r="N83" i="48"/>
  <c r="M101" i="48" l="1"/>
  <c r="M100" i="48"/>
  <c r="M86" i="48"/>
  <c r="M115" i="48"/>
  <c r="M114" i="48"/>
  <c r="M85" i="48"/>
  <c r="H1126" i="7" l="1"/>
  <c r="AO94" i="9"/>
  <c r="AO93" i="9"/>
  <c r="AO92" i="9"/>
  <c r="AJ97" i="9"/>
  <c r="H1519" i="6"/>
  <c r="B1308" i="6"/>
  <c r="C1308" i="6"/>
  <c r="C1224" i="6"/>
  <c r="B862" i="6"/>
  <c r="C759" i="6" l="1"/>
  <c r="B759" i="6"/>
  <c r="A759" i="6"/>
  <c r="H49" i="27" l="1"/>
  <c r="H48" i="27"/>
  <c r="O104" i="48"/>
  <c r="O82" i="48"/>
  <c r="U82" i="48" s="1"/>
  <c r="E116" i="48" l="1"/>
  <c r="I116" i="48"/>
  <c r="G116" i="48"/>
  <c r="F116" i="48"/>
  <c r="C116" i="48"/>
  <c r="D116" i="48"/>
  <c r="D124" i="48" s="1"/>
  <c r="F53" i="48"/>
  <c r="K33" i="48"/>
  <c r="L26" i="48"/>
  <c r="L50" i="48"/>
  <c r="E34" i="48" s="1"/>
  <c r="O214" i="48" s="1"/>
  <c r="L40" i="48"/>
  <c r="L35" i="48"/>
  <c r="E29" i="48"/>
  <c r="J214" i="48" s="1"/>
  <c r="P890" i="4" l="1"/>
  <c r="O890" i="4"/>
  <c r="K890" i="4"/>
  <c r="J890" i="4"/>
  <c r="B438" i="4"/>
  <c r="H456" i="4"/>
  <c r="H627" i="4"/>
  <c r="A73" i="4"/>
  <c r="B73" i="4"/>
  <c r="C73" i="4"/>
  <c r="I73" i="4"/>
  <c r="G73" i="4"/>
  <c r="B74" i="4" l="1"/>
  <c r="H73" i="4"/>
  <c r="I875" i="6"/>
  <c r="H2015" i="6" l="1"/>
  <c r="H1989" i="6"/>
  <c r="H1944" i="6"/>
  <c r="H1943" i="6"/>
  <c r="H1942" i="6"/>
  <c r="H1936" i="6"/>
  <c r="H1935" i="6"/>
  <c r="H1932" i="6"/>
  <c r="H1931" i="6"/>
  <c r="H1930" i="6"/>
  <c r="H1927" i="6"/>
  <c r="H1926" i="6"/>
  <c r="H1922" i="6"/>
  <c r="H1921" i="6"/>
  <c r="H1920" i="6"/>
  <c r="H1919" i="6"/>
  <c r="H1918" i="6"/>
  <c r="H1915" i="6"/>
  <c r="H1908" i="6"/>
  <c r="H1906" i="6"/>
  <c r="H1896" i="6"/>
  <c r="H1895" i="6"/>
  <c r="H1894" i="6"/>
  <c r="H1893" i="6"/>
  <c r="H1892" i="6"/>
  <c r="H1891" i="6"/>
  <c r="H1889" i="6"/>
  <c r="H1888" i="6"/>
  <c r="H1887" i="6"/>
  <c r="H1886" i="6"/>
  <c r="H1884" i="6"/>
  <c r="H1883" i="6"/>
  <c r="H1882" i="6"/>
  <c r="H1881" i="6"/>
  <c r="H1880" i="6"/>
  <c r="H1879" i="6"/>
  <c r="H1878" i="6"/>
  <c r="H1875" i="6"/>
  <c r="H1874" i="6"/>
  <c r="H1873" i="6"/>
  <c r="H1872" i="6"/>
  <c r="H1871" i="6"/>
  <c r="H1870" i="6"/>
  <c r="H1869" i="6"/>
  <c r="H1866" i="6"/>
  <c r="H1865" i="6"/>
  <c r="H1864" i="6"/>
  <c r="H1863" i="6"/>
  <c r="H1862" i="6"/>
  <c r="H1859" i="6"/>
  <c r="H1858" i="6"/>
  <c r="H1857" i="6"/>
  <c r="H1852" i="6"/>
  <c r="H1848" i="6"/>
  <c r="H1847" i="6"/>
  <c r="H1844" i="6"/>
  <c r="H1824" i="6"/>
  <c r="H1821" i="6"/>
  <c r="H1819" i="6"/>
  <c r="H1818" i="6"/>
  <c r="H1817" i="6"/>
  <c r="H1816" i="6"/>
  <c r="H1815" i="6"/>
  <c r="H1814" i="6"/>
  <c r="H1813" i="6"/>
  <c r="H1812" i="6"/>
  <c r="H1810" i="6"/>
  <c r="H1809" i="6"/>
  <c r="H1808" i="6"/>
  <c r="H1807" i="6"/>
  <c r="H1806" i="6"/>
  <c r="H1805" i="6"/>
  <c r="H1804" i="6"/>
  <c r="H1803" i="6"/>
  <c r="H1786" i="6"/>
  <c r="H1785" i="6"/>
  <c r="H1749" i="6"/>
  <c r="H1748" i="6"/>
  <c r="H1747" i="6"/>
  <c r="H1743" i="6"/>
  <c r="H1728" i="6"/>
  <c r="H1683" i="6"/>
  <c r="H1625" i="6"/>
  <c r="H1621" i="6"/>
  <c r="H1617" i="6"/>
  <c r="H1561" i="6"/>
  <c r="H1556" i="6"/>
  <c r="H1555" i="6"/>
  <c r="H1492" i="6"/>
  <c r="H1452" i="6"/>
  <c r="H1445" i="6"/>
  <c r="H1441" i="6"/>
  <c r="H1438" i="6"/>
  <c r="H1437" i="6"/>
  <c r="H1436" i="6"/>
  <c r="H1435" i="6"/>
  <c r="H1434" i="6"/>
  <c r="H1426" i="6"/>
  <c r="H1425" i="6"/>
  <c r="H1424" i="6"/>
  <c r="H1409" i="6"/>
  <c r="H1408" i="6"/>
  <c r="H1405" i="6"/>
  <c r="H1404" i="6"/>
  <c r="H1403" i="6"/>
  <c r="H1402" i="6"/>
  <c r="H1400" i="6"/>
  <c r="H1399" i="6"/>
  <c r="H1398" i="6"/>
  <c r="H1397" i="6"/>
  <c r="H1396" i="6"/>
  <c r="H1388" i="6"/>
  <c r="H1387" i="6"/>
  <c r="H1386" i="6"/>
  <c r="H1343" i="6"/>
  <c r="H1330" i="6"/>
  <c r="H1326" i="6"/>
  <c r="H1325" i="6"/>
  <c r="H1324" i="6"/>
  <c r="H1323" i="6"/>
  <c r="H1309" i="6"/>
  <c r="H1302" i="6"/>
  <c r="H1298" i="6"/>
  <c r="H1297" i="6"/>
  <c r="H1193" i="6"/>
  <c r="H1190" i="6"/>
  <c r="H1189" i="6"/>
  <c r="H1188" i="6"/>
  <c r="H1187" i="6"/>
  <c r="H1186" i="6"/>
  <c r="H1185" i="6"/>
  <c r="H1184" i="6"/>
  <c r="H1183" i="6"/>
  <c r="H1182" i="6"/>
  <c r="H1178" i="6"/>
  <c r="H1177" i="6"/>
  <c r="H1175" i="6"/>
  <c r="H1174" i="6"/>
  <c r="H1173" i="6"/>
  <c r="H1166" i="6"/>
  <c r="H1165" i="6"/>
  <c r="H1164" i="6"/>
  <c r="H1163" i="6"/>
  <c r="H1158" i="6"/>
  <c r="H1132" i="6"/>
  <c r="H1131" i="6"/>
  <c r="H1126" i="6"/>
  <c r="H1124" i="6"/>
  <c r="H1123" i="6"/>
  <c r="H1093" i="6"/>
  <c r="H1092" i="6"/>
  <c r="H1090" i="6"/>
  <c r="H1065" i="6"/>
  <c r="H1053" i="6"/>
  <c r="H1030" i="6"/>
  <c r="I265" i="6"/>
  <c r="H1028" i="6"/>
  <c r="H997" i="6"/>
  <c r="H996" i="6"/>
  <c r="H985" i="6"/>
  <c r="H983" i="6"/>
  <c r="H982" i="6"/>
  <c r="H980" i="6"/>
  <c r="H933" i="6"/>
  <c r="H932" i="6"/>
  <c r="H931" i="6"/>
  <c r="H929" i="6"/>
  <c r="H928" i="6"/>
  <c r="H927" i="6"/>
  <c r="H926" i="6"/>
  <c r="H923" i="6"/>
  <c r="H922" i="6"/>
  <c r="H921" i="6"/>
  <c r="H920" i="6"/>
  <c r="H919" i="6"/>
  <c r="H918" i="6"/>
  <c r="H917" i="6"/>
  <c r="H915" i="6"/>
  <c r="H914" i="6"/>
  <c r="H913" i="6"/>
  <c r="H912" i="6"/>
  <c r="H909" i="6"/>
  <c r="H908" i="6"/>
  <c r="H907" i="6"/>
  <c r="H906" i="6"/>
  <c r="H903" i="6"/>
  <c r="H902" i="6"/>
  <c r="H901" i="6"/>
  <c r="H900" i="6"/>
  <c r="H899" i="6"/>
  <c r="H898" i="6"/>
  <c r="H896" i="6"/>
  <c r="H895" i="6"/>
  <c r="H894" i="6"/>
  <c r="H893" i="6"/>
  <c r="H892" i="6"/>
  <c r="H891" i="6"/>
  <c r="H890" i="6"/>
  <c r="H889" i="6"/>
  <c r="H888" i="6"/>
  <c r="H862" i="6"/>
  <c r="H860" i="6"/>
  <c r="H859" i="6"/>
  <c r="H858" i="6"/>
  <c r="H855" i="6"/>
  <c r="H854" i="6"/>
  <c r="H853" i="6"/>
  <c r="H852" i="6"/>
  <c r="H851" i="6"/>
  <c r="H850" i="6"/>
  <c r="H849" i="6"/>
  <c r="H848" i="6"/>
  <c r="H846" i="6"/>
  <c r="H845" i="6"/>
  <c r="H844" i="6"/>
  <c r="H843" i="6"/>
  <c r="H842" i="6"/>
  <c r="H839" i="6"/>
  <c r="H837" i="6"/>
  <c r="H834" i="6"/>
  <c r="H831" i="6"/>
  <c r="H830" i="6"/>
  <c r="H829" i="6"/>
  <c r="H796" i="6"/>
  <c r="H793" i="6"/>
  <c r="H792" i="6"/>
  <c r="H791" i="6"/>
  <c r="H786" i="6"/>
  <c r="H780" i="6"/>
  <c r="H778" i="6"/>
  <c r="H777" i="6"/>
  <c r="H774" i="6"/>
  <c r="H772" i="6"/>
  <c r="H771" i="6"/>
  <c r="H765" i="6"/>
  <c r="H764" i="6"/>
  <c r="H756" i="6"/>
  <c r="H383" i="6"/>
  <c r="E2" i="58"/>
  <c r="H185" i="6"/>
  <c r="H471" i="6" s="1"/>
  <c r="H297" i="6" s="1"/>
  <c r="H125" i="6"/>
  <c r="H241" i="6" l="1"/>
  <c r="H400" i="6" s="1"/>
  <c r="H568" i="6" s="1"/>
  <c r="H623" i="6" s="1"/>
  <c r="H2034" i="6" s="1"/>
  <c r="H2054" i="6" s="1"/>
  <c r="H1050" i="6"/>
  <c r="H361" i="6" l="1"/>
  <c r="G427" i="7" l="1"/>
  <c r="H1085" i="7"/>
  <c r="I1078" i="7"/>
  <c r="K1084" i="7"/>
  <c r="L1084" i="7" s="1"/>
  <c r="M1084" i="7" s="1"/>
  <c r="N1084" i="7" s="1"/>
  <c r="O1084" i="7" s="1"/>
  <c r="P1084" i="7" s="1"/>
  <c r="H1084" i="7"/>
  <c r="U57" i="9"/>
  <c r="U63" i="9" s="1"/>
  <c r="D427" i="7"/>
  <c r="AN180" i="9" l="1"/>
  <c r="H1168" i="7"/>
  <c r="H1136" i="7"/>
  <c r="H1086" i="7"/>
  <c r="H1081" i="7"/>
  <c r="H1079" i="7"/>
  <c r="H1078" i="7"/>
  <c r="H1053" i="7"/>
  <c r="H1050" i="7"/>
  <c r="H995" i="7"/>
  <c r="H951" i="7"/>
  <c r="H931" i="7"/>
  <c r="H923" i="7"/>
  <c r="H922" i="7"/>
  <c r="H911" i="7"/>
  <c r="H909" i="7"/>
  <c r="H905" i="7"/>
  <c r="H904" i="7"/>
  <c r="H896" i="7"/>
  <c r="H881" i="7"/>
  <c r="H880" i="7"/>
  <c r="H878" i="7"/>
  <c r="H845" i="7"/>
  <c r="H844" i="7"/>
  <c r="H842" i="7"/>
  <c r="H841" i="7"/>
  <c r="H840" i="7"/>
  <c r="H839" i="7"/>
  <c r="H827" i="7"/>
  <c r="H825" i="7"/>
  <c r="H821" i="7"/>
  <c r="H820" i="7"/>
  <c r="H819" i="7"/>
  <c r="H818" i="7"/>
  <c r="H815" i="7"/>
  <c r="H814" i="7"/>
  <c r="H813" i="7"/>
  <c r="H811" i="7"/>
  <c r="H810" i="7"/>
  <c r="H806" i="7"/>
  <c r="H805" i="7"/>
  <c r="H804" i="7"/>
  <c r="H803" i="7"/>
  <c r="H802" i="7"/>
  <c r="H801" i="7"/>
  <c r="H800" i="7"/>
  <c r="H798" i="7"/>
  <c r="H795" i="7"/>
  <c r="H794" i="7"/>
  <c r="H758" i="7"/>
  <c r="H625" i="7"/>
  <c r="H578" i="7"/>
  <c r="H573" i="7"/>
  <c r="H571" i="7"/>
  <c r="H567" i="7"/>
  <c r="H528" i="7"/>
  <c r="H515" i="7"/>
  <c r="H508" i="7"/>
  <c r="H502" i="7"/>
  <c r="H499" i="7"/>
  <c r="H496" i="7"/>
  <c r="H481" i="7"/>
  <c r="H323" i="7"/>
  <c r="H267" i="7"/>
  <c r="H137" i="7"/>
  <c r="H97" i="7"/>
  <c r="BX57" i="9" l="1"/>
  <c r="F286" i="15"/>
  <c r="H542" i="8"/>
  <c r="H519" i="8"/>
  <c r="H440" i="8"/>
  <c r="H439" i="8"/>
  <c r="H433" i="8"/>
  <c r="H430" i="8"/>
  <c r="H415" i="8"/>
  <c r="H414" i="8"/>
  <c r="H413" i="8"/>
  <c r="H412" i="8"/>
  <c r="H409" i="8"/>
  <c r="H407" i="8"/>
  <c r="H392" i="8"/>
  <c r="H334" i="8"/>
  <c r="H331" i="8"/>
  <c r="H330" i="8"/>
  <c r="H325" i="8"/>
  <c r="H319" i="8"/>
  <c r="H314" i="8"/>
  <c r="H313" i="8"/>
  <c r="H312" i="8"/>
  <c r="H297" i="8"/>
  <c r="H296" i="8"/>
  <c r="H260" i="8"/>
  <c r="H236" i="8"/>
  <c r="H219" i="8"/>
  <c r="H218" i="8"/>
  <c r="H217" i="8"/>
  <c r="H216" i="8"/>
  <c r="H213" i="8"/>
  <c r="H206" i="8"/>
  <c r="H228" i="8"/>
  <c r="C283" i="5"/>
  <c r="H446" i="5"/>
  <c r="H442" i="5"/>
  <c r="H441" i="5"/>
  <c r="H440" i="5"/>
  <c r="H439" i="5"/>
  <c r="H438" i="5"/>
  <c r="H436" i="5"/>
  <c r="H432" i="5"/>
  <c r="H431" i="5"/>
  <c r="H430" i="5"/>
  <c r="H429" i="5"/>
  <c r="H428" i="5"/>
  <c r="H427" i="5"/>
  <c r="H425" i="5"/>
  <c r="H424" i="5"/>
  <c r="H414" i="5"/>
  <c r="H413" i="5"/>
  <c r="H408" i="5"/>
  <c r="H407" i="5"/>
  <c r="H406" i="5"/>
  <c r="H405" i="5"/>
  <c r="H404" i="5"/>
  <c r="H376" i="5"/>
  <c r="H375" i="5"/>
  <c r="H374" i="5"/>
  <c r="H372" i="5"/>
  <c r="H370" i="5"/>
  <c r="H368" i="5"/>
  <c r="H366" i="5"/>
  <c r="H363" i="5"/>
  <c r="H357" i="5"/>
  <c r="H355" i="5"/>
  <c r="H353" i="5"/>
  <c r="H352" i="5"/>
  <c r="H351" i="5"/>
  <c r="H350" i="5"/>
  <c r="H343" i="5"/>
  <c r="H342" i="5"/>
  <c r="H341" i="5"/>
  <c r="H340" i="5"/>
  <c r="H349" i="5"/>
  <c r="H348" i="5"/>
  <c r="H347" i="5"/>
  <c r="H314" i="5"/>
  <c r="H310" i="5"/>
  <c r="H303" i="5"/>
  <c r="H301" i="5"/>
  <c r="H300" i="5"/>
  <c r="H299" i="5"/>
  <c r="H298" i="5"/>
  <c r="H297" i="5"/>
  <c r="H295" i="5"/>
  <c r="H290" i="5"/>
  <c r="H286" i="5"/>
  <c r="H283" i="5"/>
  <c r="H282" i="5"/>
  <c r="H280" i="5"/>
  <c r="H259" i="5"/>
  <c r="H254" i="5"/>
  <c r="H250" i="5"/>
  <c r="H249" i="5"/>
  <c r="H248" i="5"/>
  <c r="H244" i="5"/>
  <c r="H236" i="5"/>
  <c r="H230" i="5"/>
  <c r="H229" i="5"/>
  <c r="H228" i="5"/>
  <c r="H226" i="5"/>
  <c r="H224" i="5"/>
  <c r="H222" i="5"/>
  <c r="H151" i="5"/>
  <c r="H933" i="4"/>
  <c r="H929" i="4"/>
  <c r="H927" i="4"/>
  <c r="H926" i="4"/>
  <c r="H913" i="4"/>
  <c r="H909" i="4"/>
  <c r="H893" i="4"/>
  <c r="H890" i="4"/>
  <c r="H887" i="4"/>
  <c r="H878" i="4"/>
  <c r="H871" i="4"/>
  <c r="H815" i="4"/>
  <c r="H811" i="4"/>
  <c r="H773" i="4"/>
  <c r="H770" i="4"/>
  <c r="H750" i="4"/>
  <c r="H743" i="4"/>
  <c r="H719" i="4"/>
  <c r="H715" i="4"/>
  <c r="H657" i="4"/>
  <c r="H650" i="4"/>
  <c r="H647" i="4"/>
  <c r="H645" i="4"/>
  <c r="H644" i="4"/>
  <c r="H637" i="4"/>
  <c r="H633" i="4"/>
  <c r="H619" i="4"/>
  <c r="H595" i="4"/>
  <c r="H594" i="4"/>
  <c r="H593" i="4"/>
  <c r="H573" i="4"/>
  <c r="H561" i="4"/>
  <c r="H541" i="4"/>
  <c r="H540" i="4"/>
  <c r="H534" i="4"/>
  <c r="H531" i="4"/>
  <c r="H530" i="4"/>
  <c r="H528" i="4"/>
  <c r="H527" i="4"/>
  <c r="H523" i="4"/>
  <c r="H522" i="4"/>
  <c r="H521" i="4"/>
  <c r="H520" i="4"/>
  <c r="H519" i="4"/>
  <c r="H516" i="4"/>
  <c r="H515" i="4"/>
  <c r="H514" i="4"/>
  <c r="H513" i="4"/>
  <c r="H512" i="4"/>
  <c r="H511" i="4"/>
  <c r="H510" i="4"/>
  <c r="H506" i="4"/>
  <c r="H500" i="4"/>
  <c r="H499" i="4"/>
  <c r="H497" i="4"/>
  <c r="H493" i="4"/>
  <c r="H490" i="4"/>
  <c r="H489" i="4"/>
  <c r="H488" i="4"/>
  <c r="H467" i="4"/>
  <c r="H460" i="4"/>
  <c r="H454" i="4"/>
  <c r="H452" i="4"/>
  <c r="H450" i="4"/>
  <c r="H449" i="4"/>
  <c r="H448" i="4"/>
  <c r="H436" i="4"/>
  <c r="H435" i="4"/>
  <c r="H434" i="4"/>
  <c r="H425" i="4"/>
  <c r="H426" i="4"/>
  <c r="H422" i="4"/>
  <c r="H423" i="4"/>
  <c r="H418" i="4"/>
  <c r="H417" i="4"/>
  <c r="H416" i="4"/>
  <c r="H412" i="4"/>
  <c r="H405" i="4"/>
  <c r="H392" i="4"/>
  <c r="H384" i="4"/>
  <c r="H383" i="4"/>
  <c r="H173" i="4"/>
  <c r="H83" i="4"/>
  <c r="H81" i="4"/>
  <c r="H545" i="4"/>
  <c r="H54" i="4"/>
  <c r="H100" i="4" s="1"/>
  <c r="E18" i="4"/>
  <c r="E29" i="4" s="1"/>
  <c r="E19" i="4"/>
  <c r="E30" i="4" s="1"/>
  <c r="E20" i="4"/>
  <c r="E31" i="4" s="1"/>
  <c r="E21" i="4"/>
  <c r="E32" i="4" s="1"/>
  <c r="E22" i="4"/>
  <c r="E33" i="4" s="1"/>
  <c r="E23" i="4"/>
  <c r="E34" i="4" s="1"/>
  <c r="F127" i="15" l="1"/>
  <c r="F3" i="15"/>
  <c r="F34" i="15" s="1"/>
  <c r="F65" i="15" s="1"/>
  <c r="F96" i="15" s="1"/>
  <c r="H291" i="8"/>
  <c r="H496" i="8"/>
  <c r="H424" i="8"/>
  <c r="H165" i="4"/>
  <c r="H216" i="4" s="1"/>
  <c r="H263" i="4" s="1"/>
  <c r="H151" i="4"/>
  <c r="H443" i="4"/>
  <c r="H614" i="4"/>
  <c r="Q474" i="4"/>
  <c r="Q591" i="4"/>
  <c r="Q590" i="4"/>
  <c r="Q604" i="4"/>
  <c r="Q728" i="4"/>
  <c r="Q788" i="4"/>
  <c r="Q851" i="4"/>
  <c r="AD10" i="20"/>
  <c r="AC10" i="20"/>
  <c r="AB10" i="20"/>
  <c r="Z10" i="20"/>
  <c r="Q54" i="20"/>
  <c r="O54" i="20"/>
  <c r="W53" i="20"/>
  <c r="U53" i="20"/>
  <c r="V53" i="20" l="1"/>
  <c r="V54" i="20" s="1"/>
  <c r="AE10" i="20"/>
  <c r="W54" i="20"/>
  <c r="X53" i="20"/>
  <c r="X54" i="20" s="1"/>
  <c r="AA10" i="20"/>
  <c r="H324" i="4"/>
  <c r="H313" i="4"/>
  <c r="AF2" i="11"/>
  <c r="AF83" i="11" s="1"/>
  <c r="AG129" i="11"/>
  <c r="AG125" i="11"/>
  <c r="AG114" i="11"/>
  <c r="AG113" i="11"/>
  <c r="AG110" i="11"/>
  <c r="AG109" i="11"/>
  <c r="AG102" i="11"/>
  <c r="AG101" i="11"/>
  <c r="AH83" i="11"/>
  <c r="AG83" i="11"/>
  <c r="AG76" i="11"/>
  <c r="AG40" i="11"/>
  <c r="AG35" i="11"/>
  <c r="AG38" i="11"/>
  <c r="AG19" i="11"/>
  <c r="AG18" i="11"/>
  <c r="AG16" i="11"/>
  <c r="AG11" i="11"/>
  <c r="AG10" i="11"/>
  <c r="AG9" i="11"/>
  <c r="AG8" i="11"/>
  <c r="AG7" i="11"/>
  <c r="Q811" i="6"/>
  <c r="Q809" i="6"/>
  <c r="Q943" i="6"/>
  <c r="Q1077" i="6"/>
  <c r="Q1062" i="6"/>
  <c r="Q1143" i="6"/>
  <c r="Q1208" i="6"/>
  <c r="Q1372" i="6"/>
  <c r="Q1371" i="6"/>
  <c r="Q1370" i="6"/>
  <c r="Q1640" i="6"/>
  <c r="Q1954" i="6"/>
  <c r="P1954" i="6"/>
  <c r="Q1830" i="6"/>
  <c r="P1830" i="6"/>
  <c r="Q2025" i="6"/>
  <c r="N42" i="58" s="1"/>
  <c r="Q1999" i="6"/>
  <c r="N19" i="58" s="1"/>
  <c r="P1999" i="6"/>
  <c r="M19" i="58" s="1"/>
  <c r="BD42" i="42" l="1"/>
  <c r="O313" i="15"/>
  <c r="O304" i="15"/>
  <c r="Q1010" i="7"/>
  <c r="Q1006" i="7"/>
  <c r="Q865" i="7"/>
  <c r="Q1066" i="7"/>
  <c r="AG106" i="11"/>
  <c r="AF90" i="10"/>
  <c r="AG81" i="10"/>
  <c r="AH81" i="10" s="1"/>
  <c r="AD81" i="10"/>
  <c r="AF2" i="10"/>
  <c r="AF108" i="10" s="1"/>
  <c r="AF200" i="10" s="1"/>
  <c r="AH133" i="10"/>
  <c r="AG133" i="10"/>
  <c r="AF133" i="10"/>
  <c r="AH108" i="10"/>
  <c r="AG108" i="10"/>
  <c r="AH102" i="10"/>
  <c r="Q535" i="7"/>
  <c r="AH22" i="10"/>
  <c r="AG15" i="11" s="1"/>
  <c r="AG12" i="11"/>
  <c r="H191" i="8"/>
  <c r="S25" i="19"/>
  <c r="S26" i="19"/>
  <c r="S27" i="19"/>
  <c r="S28" i="19"/>
  <c r="S29" i="19"/>
  <c r="S30" i="19"/>
  <c r="S31" i="19"/>
  <c r="S32" i="19"/>
  <c r="S33" i="19"/>
  <c r="S22" i="19"/>
  <c r="Q105" i="19"/>
  <c r="Q104" i="19"/>
  <c r="Q103" i="19"/>
  <c r="Q35" i="19"/>
  <c r="AH80" i="10" l="1"/>
  <c r="AG105" i="11"/>
  <c r="CB119" i="22" l="1"/>
  <c r="BI119" i="22"/>
  <c r="BE119" i="22"/>
  <c r="BA119" i="22"/>
  <c r="AW119" i="22"/>
  <c r="AS119" i="22"/>
  <c r="AO119" i="22"/>
  <c r="AK119" i="22"/>
  <c r="AG119" i="22"/>
  <c r="AC119" i="22"/>
  <c r="Y119" i="22"/>
  <c r="BP118" i="22"/>
  <c r="BI118" i="22"/>
  <c r="BE118" i="22"/>
  <c r="BA118" i="22"/>
  <c r="AW118" i="22"/>
  <c r="AS118" i="22"/>
  <c r="AO118" i="22"/>
  <c r="AK118" i="22"/>
  <c r="AG118" i="22"/>
  <c r="AC118" i="22"/>
  <c r="Y118" i="22"/>
  <c r="BI117" i="22"/>
  <c r="BE117" i="22"/>
  <c r="BA117" i="22"/>
  <c r="AW117" i="22"/>
  <c r="AS117" i="22"/>
  <c r="AO117" i="22"/>
  <c r="AK117" i="22"/>
  <c r="AG117" i="22"/>
  <c r="AC117" i="22"/>
  <c r="Y117" i="22"/>
  <c r="BP116" i="22"/>
  <c r="BI116" i="22"/>
  <c r="BE116" i="22"/>
  <c r="BA116" i="22"/>
  <c r="AW116" i="22"/>
  <c r="AS116" i="22"/>
  <c r="AO116" i="22"/>
  <c r="AK116" i="22"/>
  <c r="AG116" i="22"/>
  <c r="AC116" i="22"/>
  <c r="Y116" i="22"/>
  <c r="BI115" i="22"/>
  <c r="BE115" i="22"/>
  <c r="BA115" i="22"/>
  <c r="AW115" i="22"/>
  <c r="AS115" i="22"/>
  <c r="AO115" i="22"/>
  <c r="AK115" i="22"/>
  <c r="AG115" i="22"/>
  <c r="AC115" i="22"/>
  <c r="Y115" i="22"/>
  <c r="CB111" i="22"/>
  <c r="BI111" i="22"/>
  <c r="BE111" i="22"/>
  <c r="BA111" i="22"/>
  <c r="AW111" i="22"/>
  <c r="AS111" i="22"/>
  <c r="AO111" i="22"/>
  <c r="AK111" i="22"/>
  <c r="AG111" i="22"/>
  <c r="AC111" i="22"/>
  <c r="Y111" i="22"/>
  <c r="BP110" i="22"/>
  <c r="CC110" i="22" s="1"/>
  <c r="BI110" i="22"/>
  <c r="BE110" i="22"/>
  <c r="BA110" i="22"/>
  <c r="AW110" i="22"/>
  <c r="AS110" i="22"/>
  <c r="AO110" i="22"/>
  <c r="AK110" i="22"/>
  <c r="AG110" i="22"/>
  <c r="AC110" i="22"/>
  <c r="Y110" i="22"/>
  <c r="CB109" i="22"/>
  <c r="BI109" i="22"/>
  <c r="BE109" i="22"/>
  <c r="BA109" i="22"/>
  <c r="AW109" i="22"/>
  <c r="AS109" i="22"/>
  <c r="AO109" i="22"/>
  <c r="AK109" i="22"/>
  <c r="AG109" i="22"/>
  <c r="AC109" i="22"/>
  <c r="Y109" i="22"/>
  <c r="BP108" i="22"/>
  <c r="BI108" i="22"/>
  <c r="BE108" i="22"/>
  <c r="BA108" i="22"/>
  <c r="AW108" i="22"/>
  <c r="AS108" i="22"/>
  <c r="AO108" i="22"/>
  <c r="AK108" i="22"/>
  <c r="AG108" i="22"/>
  <c r="AC108" i="22"/>
  <c r="Y108" i="22"/>
  <c r="CB107" i="22"/>
  <c r="BI107" i="22"/>
  <c r="BE107" i="22"/>
  <c r="BA107" i="22"/>
  <c r="AW107" i="22"/>
  <c r="AS107" i="22"/>
  <c r="AO107" i="22"/>
  <c r="AK107" i="22"/>
  <c r="AG107" i="22"/>
  <c r="AC107" i="22"/>
  <c r="Y107" i="22"/>
  <c r="BP106" i="22"/>
  <c r="CC106" i="22" s="1"/>
  <c r="BI106" i="22"/>
  <c r="BE106" i="22"/>
  <c r="BA106" i="22"/>
  <c r="AW106" i="22"/>
  <c r="AS106" i="22"/>
  <c r="AO106" i="22"/>
  <c r="AK106" i="22"/>
  <c r="AG106" i="22"/>
  <c r="AC106" i="22"/>
  <c r="Y106" i="22"/>
  <c r="BP105" i="22"/>
  <c r="BI105" i="22"/>
  <c r="BE105" i="22"/>
  <c r="BA105" i="22"/>
  <c r="AW105" i="22"/>
  <c r="AS105" i="22"/>
  <c r="AO105" i="22"/>
  <c r="AK105" i="22"/>
  <c r="AG105" i="22"/>
  <c r="AC105" i="22"/>
  <c r="Y105" i="22"/>
  <c r="CB104" i="22"/>
  <c r="BI104" i="22"/>
  <c r="BE104" i="22"/>
  <c r="BA104" i="22"/>
  <c r="AW104" i="22"/>
  <c r="AS104" i="22"/>
  <c r="AO104" i="22"/>
  <c r="AK104" i="22"/>
  <c r="AG104" i="22"/>
  <c r="AC104" i="22"/>
  <c r="Y104" i="22"/>
  <c r="CB103" i="22"/>
  <c r="BI103" i="22"/>
  <c r="BE103" i="22"/>
  <c r="BA103" i="22"/>
  <c r="AW103" i="22"/>
  <c r="AS103" i="22"/>
  <c r="AO103" i="22"/>
  <c r="AK103" i="22"/>
  <c r="AG103" i="22"/>
  <c r="AC103" i="22"/>
  <c r="Y103" i="22"/>
  <c r="BP102" i="22"/>
  <c r="BI102" i="22"/>
  <c r="BE102" i="22"/>
  <c r="BA102" i="22"/>
  <c r="AW102" i="22"/>
  <c r="AS102" i="22"/>
  <c r="AO102" i="22"/>
  <c r="AK102" i="22"/>
  <c r="AG102" i="22"/>
  <c r="AC102" i="22"/>
  <c r="Y102" i="22"/>
  <c r="BP98" i="22"/>
  <c r="BI98" i="22"/>
  <c r="BE98" i="22"/>
  <c r="BA98" i="22"/>
  <c r="AW98" i="22"/>
  <c r="AS98" i="22"/>
  <c r="AO98" i="22"/>
  <c r="AK98" i="22"/>
  <c r="AG98" i="22"/>
  <c r="AC98" i="22"/>
  <c r="Y98" i="22"/>
  <c r="U98" i="22"/>
  <c r="CB96" i="22"/>
  <c r="BI96" i="22"/>
  <c r="BE96" i="22"/>
  <c r="BA96" i="22"/>
  <c r="AW96" i="22"/>
  <c r="AS96" i="22"/>
  <c r="AO96" i="22"/>
  <c r="AK96" i="22"/>
  <c r="AG96" i="22"/>
  <c r="AC96" i="22"/>
  <c r="Y96" i="22"/>
  <c r="U96" i="22"/>
  <c r="Y83" i="22"/>
  <c r="U83" i="22"/>
  <c r="BI81" i="22"/>
  <c r="BE81" i="22"/>
  <c r="BA81" i="22"/>
  <c r="AW81" i="22"/>
  <c r="AS81" i="22"/>
  <c r="AO81" i="22"/>
  <c r="AK81" i="22"/>
  <c r="AG81" i="22"/>
  <c r="AC81" i="22"/>
  <c r="Y81" i="22"/>
  <c r="U81" i="22"/>
  <c r="BP39" i="22"/>
  <c r="BI39" i="22"/>
  <c r="BE39" i="22"/>
  <c r="BA39" i="22"/>
  <c r="AW39" i="22"/>
  <c r="AS39" i="22"/>
  <c r="AO39" i="22"/>
  <c r="AK39" i="22"/>
  <c r="AG39" i="22"/>
  <c r="AC39" i="22"/>
  <c r="Y39" i="22"/>
  <c r="U39" i="22"/>
  <c r="U30" i="22"/>
  <c r="Y30" i="22"/>
  <c r="AC30" i="22"/>
  <c r="AG30" i="22"/>
  <c r="AK30" i="22"/>
  <c r="AO30" i="22"/>
  <c r="AS30" i="22"/>
  <c r="AW30" i="22"/>
  <c r="BA30" i="22"/>
  <c r="BE30" i="22"/>
  <c r="BI30" i="22"/>
  <c r="BP30" i="22"/>
  <c r="U31" i="22"/>
  <c r="Y31" i="22"/>
  <c r="AC31" i="22"/>
  <c r="AG31" i="22"/>
  <c r="AK31" i="22"/>
  <c r="AO31" i="22"/>
  <c r="AS31" i="22"/>
  <c r="AW31" i="22"/>
  <c r="BA31" i="22"/>
  <c r="BE31" i="22"/>
  <c r="BI31" i="22"/>
  <c r="BP31" i="22"/>
  <c r="Y32" i="22"/>
  <c r="AC32" i="22"/>
  <c r="AG32" i="22"/>
  <c r="AK32" i="22"/>
  <c r="AO32" i="22"/>
  <c r="AS32" i="22"/>
  <c r="AW32" i="22"/>
  <c r="BA32" i="22"/>
  <c r="BE32" i="22"/>
  <c r="BI32" i="22"/>
  <c r="BP32" i="22"/>
  <c r="U33" i="22"/>
  <c r="Y33" i="22"/>
  <c r="AC33" i="22"/>
  <c r="AG33" i="22"/>
  <c r="AK33" i="22"/>
  <c r="AO33" i="22"/>
  <c r="AS33" i="22"/>
  <c r="AW33" i="22"/>
  <c r="BA33" i="22"/>
  <c r="BE33" i="22"/>
  <c r="BI33" i="22"/>
  <c r="BP33" i="22"/>
  <c r="U34" i="22"/>
  <c r="Y34" i="22"/>
  <c r="AC34" i="22"/>
  <c r="AG34" i="22"/>
  <c r="AK34" i="22"/>
  <c r="AO34" i="22"/>
  <c r="AS34" i="22"/>
  <c r="AW34" i="22"/>
  <c r="BA34" i="22"/>
  <c r="BE34" i="22"/>
  <c r="BI34" i="22"/>
  <c r="BP34" i="22"/>
  <c r="U35" i="22"/>
  <c r="Y35" i="22"/>
  <c r="AC35" i="22"/>
  <c r="AG35" i="22"/>
  <c r="AK35" i="22"/>
  <c r="AO35" i="22"/>
  <c r="AS35" i="22"/>
  <c r="AW35" i="22"/>
  <c r="BA35" i="22"/>
  <c r="BE35" i="22"/>
  <c r="BI35" i="22"/>
  <c r="BP35" i="22"/>
  <c r="BP25" i="22"/>
  <c r="BI25" i="22"/>
  <c r="BE25" i="22"/>
  <c r="BA25" i="22"/>
  <c r="AW25" i="22"/>
  <c r="AS25" i="22"/>
  <c r="AO25" i="22"/>
  <c r="AK25" i="22"/>
  <c r="AG25" i="22"/>
  <c r="AC25" i="22"/>
  <c r="Y25" i="22"/>
  <c r="U25" i="22"/>
  <c r="BI101" i="22"/>
  <c r="BI95" i="22"/>
  <c r="BI90" i="22"/>
  <c r="BI87" i="22"/>
  <c r="BI86" i="22"/>
  <c r="BI71" i="22"/>
  <c r="BI70" i="22"/>
  <c r="BI69" i="22"/>
  <c r="BI68" i="22"/>
  <c r="BI67" i="22"/>
  <c r="BI66" i="22"/>
  <c r="BI65" i="22"/>
  <c r="BI64" i="22"/>
  <c r="BI63" i="22"/>
  <c r="BI62" i="22"/>
  <c r="BI61" i="22"/>
  <c r="BI60" i="22"/>
  <c r="BI59" i="22"/>
  <c r="BI58" i="22"/>
  <c r="BI57" i="22"/>
  <c r="BI56" i="22"/>
  <c r="BI53" i="22"/>
  <c r="BI49" i="22"/>
  <c r="BI48" i="22"/>
  <c r="BI47" i="22"/>
  <c r="BI42" i="22"/>
  <c r="BI29" i="22"/>
  <c r="BI24" i="22"/>
  <c r="BI23" i="22"/>
  <c r="BI22" i="22"/>
  <c r="BI21" i="22"/>
  <c r="BI7" i="22"/>
  <c r="BI8" i="22"/>
  <c r="BI9" i="22"/>
  <c r="BI10" i="22"/>
  <c r="BI11" i="22"/>
  <c r="BI12" i="22"/>
  <c r="BI13" i="22"/>
  <c r="BI14" i="22"/>
  <c r="BI16" i="22"/>
  <c r="BI17" i="22"/>
  <c r="BI6" i="22"/>
  <c r="BH60" i="21"/>
  <c r="BH55" i="21"/>
  <c r="BH54" i="21"/>
  <c r="BH53" i="21"/>
  <c r="BH8" i="21"/>
  <c r="BG68" i="21"/>
  <c r="BE68" i="21"/>
  <c r="O73" i="21" s="1"/>
  <c r="BH48" i="21"/>
  <c r="BH47" i="21"/>
  <c r="BH46" i="21"/>
  <c r="BH45" i="21"/>
  <c r="BH44" i="21"/>
  <c r="BH43" i="21"/>
  <c r="BH42" i="21"/>
  <c r="BH41" i="21"/>
  <c r="BH40" i="21"/>
  <c r="BH39" i="21"/>
  <c r="BH38" i="21"/>
  <c r="BH37" i="21"/>
  <c r="BH34" i="21"/>
  <c r="BH33" i="21"/>
  <c r="BH32" i="21"/>
  <c r="BH31" i="21"/>
  <c r="BH30" i="21"/>
  <c r="BH26" i="21"/>
  <c r="BH25" i="21"/>
  <c r="BH18" i="21"/>
  <c r="BH17" i="21"/>
  <c r="BH16" i="21"/>
  <c r="BH15" i="21"/>
  <c r="BH14" i="21"/>
  <c r="BF77" i="22"/>
  <c r="P165" i="22"/>
  <c r="P154" i="22"/>
  <c r="P141" i="22"/>
  <c r="O64" i="16"/>
  <c r="O41" i="16"/>
  <c r="O37" i="16"/>
  <c r="O255" i="15" s="1"/>
  <c r="O264" i="15"/>
  <c r="O17" i="16"/>
  <c r="O251" i="15" s="1"/>
  <c r="O11" i="16"/>
  <c r="O79" i="17"/>
  <c r="O60" i="17"/>
  <c r="O26" i="17"/>
  <c r="O11" i="17" s="1"/>
  <c r="O295" i="15" s="1"/>
  <c r="O317" i="15" s="1"/>
  <c r="P37" i="20"/>
  <c r="P36" i="20"/>
  <c r="P35" i="20"/>
  <c r="P34" i="20"/>
  <c r="Q95" i="20"/>
  <c r="Q48" i="20"/>
  <c r="P48" i="20"/>
  <c r="AE23" i="20"/>
  <c r="AD22" i="20"/>
  <c r="V63" i="26"/>
  <c r="V56" i="26"/>
  <c r="V59" i="26" s="1"/>
  <c r="V49" i="26"/>
  <c r="V52" i="26" s="1"/>
  <c r="V45" i="26"/>
  <c r="V39" i="26"/>
  <c r="Q61" i="27"/>
  <c r="Q3" i="27"/>
  <c r="V10" i="37"/>
  <c r="BD33" i="42"/>
  <c r="P42" i="55"/>
  <c r="P31" i="55"/>
  <c r="P34" i="55" s="1"/>
  <c r="P155" i="54"/>
  <c r="P83" i="54"/>
  <c r="P158" i="54" s="1"/>
  <c r="P59" i="54"/>
  <c r="P24" i="54"/>
  <c r="P62" i="54" s="1"/>
  <c r="P14" i="54"/>
  <c r="BR207" i="9"/>
  <c r="BR193" i="9"/>
  <c r="BR124" i="9"/>
  <c r="BS124" i="9" s="1"/>
  <c r="BR125" i="9"/>
  <c r="BS125" i="9" s="1"/>
  <c r="BR95" i="9"/>
  <c r="BS95" i="9" s="1"/>
  <c r="BR58" i="9"/>
  <c r="BS58" i="9" s="1"/>
  <c r="BR59" i="9"/>
  <c r="BS59" i="9" s="1"/>
  <c r="BR60" i="9"/>
  <c r="BS60" i="9" s="1"/>
  <c r="BR57" i="9"/>
  <c r="BS183" i="9"/>
  <c r="BS181" i="9"/>
  <c r="BS180" i="9"/>
  <c r="BS179" i="9"/>
  <c r="BS176" i="9"/>
  <c r="BS164" i="9"/>
  <c r="BS156" i="9"/>
  <c r="BS157" i="9"/>
  <c r="BS158" i="9"/>
  <c r="BS154" i="9"/>
  <c r="BS155" i="9"/>
  <c r="BS159" i="9"/>
  <c r="BS133" i="9"/>
  <c r="BS132" i="9"/>
  <c r="BS131" i="9"/>
  <c r="BS130" i="9"/>
  <c r="BS129" i="9"/>
  <c r="BS128" i="9"/>
  <c r="BS127" i="9"/>
  <c r="BS126" i="9"/>
  <c r="BS115" i="9"/>
  <c r="BS78" i="9"/>
  <c r="BS69" i="9"/>
  <c r="BS74" i="9" s="1"/>
  <c r="BR40" i="9"/>
  <c r="BS40" i="9" s="1"/>
  <c r="BR41" i="9"/>
  <c r="BS41" i="9" s="1"/>
  <c r="BR39" i="9"/>
  <c r="BS39" i="9" s="1"/>
  <c r="BS18" i="9"/>
  <c r="BS17" i="9"/>
  <c r="BS14" i="9"/>
  <c r="BN18" i="9"/>
  <c r="BI18" i="9"/>
  <c r="BD18" i="9"/>
  <c r="AY18" i="9"/>
  <c r="AT18" i="9"/>
  <c r="AO18" i="9"/>
  <c r="BN17" i="9"/>
  <c r="BI17" i="9"/>
  <c r="BD17" i="9"/>
  <c r="AY17" i="9"/>
  <c r="AT17" i="9"/>
  <c r="AO17" i="9"/>
  <c r="BN14" i="9"/>
  <c r="BI14" i="9"/>
  <c r="BD14" i="9"/>
  <c r="AY14" i="9"/>
  <c r="AT14" i="9"/>
  <c r="AO14" i="9"/>
  <c r="AJ14" i="9"/>
  <c r="AE14" i="9"/>
  <c r="Z14" i="9"/>
  <c r="BS9" i="9"/>
  <c r="BS10" i="9"/>
  <c r="BS8" i="9"/>
  <c r="BS11" i="9"/>
  <c r="BN9" i="9"/>
  <c r="BN10" i="9"/>
  <c r="BN8" i="9"/>
  <c r="BN11" i="9"/>
  <c r="BI9" i="9"/>
  <c r="BI10" i="9"/>
  <c r="BI8" i="9"/>
  <c r="BI11" i="9"/>
  <c r="BD9" i="9"/>
  <c r="BD10" i="9"/>
  <c r="BD8" i="9"/>
  <c r="BD11" i="9"/>
  <c r="AY9" i="9"/>
  <c r="AY10" i="9"/>
  <c r="AY8" i="9"/>
  <c r="AY11" i="9"/>
  <c r="AT9" i="9"/>
  <c r="AT10" i="9"/>
  <c r="AT8" i="9"/>
  <c r="AO9" i="9"/>
  <c r="AO10" i="9"/>
  <c r="AO8" i="9"/>
  <c r="Z9" i="9"/>
  <c r="Z10" i="9"/>
  <c r="Z8" i="9"/>
  <c r="Z11" i="9"/>
  <c r="AE9" i="9"/>
  <c r="AE10" i="9"/>
  <c r="AE8" i="9"/>
  <c r="AJ9" i="9"/>
  <c r="AJ10" i="9"/>
  <c r="AJ8" i="9"/>
  <c r="BR2" i="9"/>
  <c r="BR86" i="9" s="1"/>
  <c r="BR168" i="9" s="1"/>
  <c r="CV183" i="9"/>
  <c r="CV133" i="9"/>
  <c r="CV132" i="9"/>
  <c r="CV131" i="9"/>
  <c r="CV130" i="9"/>
  <c r="CV129" i="9"/>
  <c r="CV95" i="9"/>
  <c r="CV18" i="9"/>
  <c r="CV17" i="9"/>
  <c r="CV9" i="9"/>
  <c r="BR74" i="9"/>
  <c r="BQ74" i="9"/>
  <c r="BP74" i="9"/>
  <c r="BO74" i="9"/>
  <c r="BQ65" i="9"/>
  <c r="BP65" i="9"/>
  <c r="BR24" i="9"/>
  <c r="BQ24" i="9"/>
  <c r="BP24" i="9"/>
  <c r="BO24" i="9"/>
  <c r="O439" i="9"/>
  <c r="O178" i="9"/>
  <c r="O118" i="9"/>
  <c r="BR118" i="9" s="1"/>
  <c r="O105" i="9"/>
  <c r="O74" i="9"/>
  <c r="N60" i="12"/>
  <c r="O94" i="12"/>
  <c r="O91" i="12"/>
  <c r="V26" i="37"/>
  <c r="O56" i="12"/>
  <c r="V25" i="37" s="1"/>
  <c r="O53" i="12"/>
  <c r="O48" i="12"/>
  <c r="O42" i="12"/>
  <c r="O75" i="21" l="1"/>
  <c r="AG222" i="10"/>
  <c r="Q1638" i="6" s="1"/>
  <c r="BS193" i="9"/>
  <c r="AG238" i="10"/>
  <c r="Q2027" i="6" s="1"/>
  <c r="BS207" i="9"/>
  <c r="O17" i="17"/>
  <c r="O300" i="15" s="1"/>
  <c r="O122" i="16"/>
  <c r="AP42" i="42"/>
  <c r="O83" i="21"/>
  <c r="BP107" i="22"/>
  <c r="CC107" i="22" s="1"/>
  <c r="BS57" i="9"/>
  <c r="BQ105" i="22"/>
  <c r="CC105" i="22"/>
  <c r="BP111" i="22"/>
  <c r="BQ111" i="22" s="1"/>
  <c r="CD111" i="22" s="1"/>
  <c r="BP104" i="22"/>
  <c r="CB105" i="22"/>
  <c r="BP117" i="22"/>
  <c r="BQ117" i="22" s="1"/>
  <c r="BR117" i="22" s="1"/>
  <c r="BS118" i="9"/>
  <c r="BR105" i="9"/>
  <c r="BS105" i="9" s="1"/>
  <c r="BR178" i="9"/>
  <c r="V98" i="37"/>
  <c r="O57" i="12"/>
  <c r="CM8" i="9"/>
  <c r="BO65" i="9"/>
  <c r="Q1184" i="7"/>
  <c r="O114" i="16"/>
  <c r="O261" i="15"/>
  <c r="O260" i="15"/>
  <c r="CC108" i="22"/>
  <c r="BQ108" i="22"/>
  <c r="CC102" i="22"/>
  <c r="BQ102" i="22"/>
  <c r="BP103" i="22"/>
  <c r="BQ106" i="22"/>
  <c r="CB106" i="22"/>
  <c r="CB108" i="22"/>
  <c r="BP109" i="22"/>
  <c r="CC116" i="22"/>
  <c r="BQ116" i="22"/>
  <c r="CB116" i="22"/>
  <c r="CC118" i="22"/>
  <c r="BQ118" i="22"/>
  <c r="CB102" i="22"/>
  <c r="BQ110" i="22"/>
  <c r="CB110" i="22"/>
  <c r="BP119" i="22"/>
  <c r="CB118" i="22"/>
  <c r="BQ98" i="22"/>
  <c r="CC98" i="22"/>
  <c r="BP96" i="22"/>
  <c r="CB98" i="22"/>
  <c r="CB35" i="22"/>
  <c r="CB34" i="22"/>
  <c r="CB33" i="22"/>
  <c r="CB31" i="22"/>
  <c r="CB30" i="22"/>
  <c r="BQ39" i="22"/>
  <c r="CC39" i="22"/>
  <c r="CB39" i="22"/>
  <c r="CC35" i="22"/>
  <c r="BQ35" i="22"/>
  <c r="CC34" i="22"/>
  <c r="BQ34" i="22"/>
  <c r="CC33" i="22"/>
  <c r="BQ33" i="22"/>
  <c r="CC32" i="22"/>
  <c r="BQ32" i="22"/>
  <c r="CC31" i="22"/>
  <c r="BQ31" i="22"/>
  <c r="CC30" i="22"/>
  <c r="BQ30" i="22"/>
  <c r="BQ25" i="22"/>
  <c r="CC25" i="22"/>
  <c r="CB25" i="22"/>
  <c r="BF68" i="21"/>
  <c r="V66" i="26"/>
  <c r="P81" i="21" l="1"/>
  <c r="R464" i="6"/>
  <c r="BS178" i="9"/>
  <c r="BR111" i="22"/>
  <c r="BS111" i="22" s="1"/>
  <c r="CC111" i="22"/>
  <c r="CD117" i="22"/>
  <c r="BQ107" i="22"/>
  <c r="BR107" i="22" s="1"/>
  <c r="CC117" i="22"/>
  <c r="CC104" i="22"/>
  <c r="BQ104" i="22"/>
  <c r="CD105" i="22"/>
  <c r="BR105" i="22"/>
  <c r="Q356" i="8"/>
  <c r="Q94" i="8" s="1"/>
  <c r="O74" i="21"/>
  <c r="CN8" i="9"/>
  <c r="BR118" i="22"/>
  <c r="CD118" i="22"/>
  <c r="BQ109" i="22"/>
  <c r="CC109" i="22"/>
  <c r="CD106" i="22"/>
  <c r="BR106" i="22"/>
  <c r="BR102" i="22"/>
  <c r="CD102" i="22"/>
  <c r="BR116" i="22"/>
  <c r="CD116" i="22"/>
  <c r="BQ103" i="22"/>
  <c r="CC103" i="22"/>
  <c r="BQ119" i="22"/>
  <c r="CC119" i="22"/>
  <c r="BS117" i="22"/>
  <c r="CE117" i="22"/>
  <c r="BR108" i="22"/>
  <c r="CD108" i="22"/>
  <c r="CD110" i="22"/>
  <c r="BR110" i="22"/>
  <c r="CE111" i="22"/>
  <c r="BQ96" i="22"/>
  <c r="CC96" i="22"/>
  <c r="CD98" i="22"/>
  <c r="BR98" i="22"/>
  <c r="CD39" i="22"/>
  <c r="BR39" i="22"/>
  <c r="BR30" i="22"/>
  <c r="CD30" i="22"/>
  <c r="BR32" i="22"/>
  <c r="CD32" i="22"/>
  <c r="BR34" i="22"/>
  <c r="CD34" i="22"/>
  <c r="BR31" i="22"/>
  <c r="CD31" i="22"/>
  <c r="BR33" i="22"/>
  <c r="CD33" i="22"/>
  <c r="BR35" i="22"/>
  <c r="CD35" i="22"/>
  <c r="CD25" i="22"/>
  <c r="BR25" i="22"/>
  <c r="CO8" i="9"/>
  <c r="P79" i="14"/>
  <c r="P165" i="14"/>
  <c r="P152" i="14"/>
  <c r="P188" i="14" s="1"/>
  <c r="AD58" i="14"/>
  <c r="AD61" i="14" s="1"/>
  <c r="R464" i="7" s="1"/>
  <c r="R51" i="7" s="1"/>
  <c r="P21" i="3" s="1"/>
  <c r="AC58" i="14"/>
  <c r="AC61" i="14" s="1"/>
  <c r="AD47" i="14"/>
  <c r="AC47" i="14"/>
  <c r="AD26" i="14"/>
  <c r="AC26" i="14"/>
  <c r="N127" i="40"/>
  <c r="O656" i="34"/>
  <c r="O655" i="34"/>
  <c r="O571" i="34"/>
  <c r="O568" i="34"/>
  <c r="O567" i="34"/>
  <c r="O554" i="34"/>
  <c r="O542" i="34"/>
  <c r="O541" i="34"/>
  <c r="O538" i="34"/>
  <c r="O537" i="34"/>
  <c r="O391" i="34"/>
  <c r="O396" i="34" s="1"/>
  <c r="O390" i="34"/>
  <c r="O395" i="34" s="1"/>
  <c r="O378" i="34"/>
  <c r="O496" i="34" s="1"/>
  <c r="O370" i="34"/>
  <c r="O365" i="34"/>
  <c r="O484" i="34" s="1"/>
  <c r="O364" i="34"/>
  <c r="O483" i="34" s="1"/>
  <c r="O294" i="34"/>
  <c r="O526" i="34" s="1"/>
  <c r="O289" i="34"/>
  <c r="O352" i="34" s="1"/>
  <c r="O522" i="34" s="1"/>
  <c r="O65" i="34"/>
  <c r="O2" i="34"/>
  <c r="O125" i="34" s="1"/>
  <c r="O267" i="3"/>
  <c r="O2" i="3"/>
  <c r="P2" i="1"/>
  <c r="Q745" i="6"/>
  <c r="Q741" i="6"/>
  <c r="Q717" i="6"/>
  <c r="Q641" i="6"/>
  <c r="Q1755" i="6"/>
  <c r="Q522" i="6"/>
  <c r="Q1071" i="6"/>
  <c r="Q230" i="6"/>
  <c r="Q229" i="6"/>
  <c r="Q945" i="6"/>
  <c r="Q118" i="6"/>
  <c r="Q116" i="6"/>
  <c r="Q744" i="6"/>
  <c r="Q688" i="6"/>
  <c r="Q675" i="6"/>
  <c r="Q616" i="6"/>
  <c r="Q615" i="6"/>
  <c r="Q612" i="6"/>
  <c r="Q598" i="6"/>
  <c r="Q605" i="6" s="1"/>
  <c r="Q561" i="6"/>
  <c r="Q560" i="6"/>
  <c r="Q559" i="6"/>
  <c r="Q558" i="6"/>
  <c r="Q557" i="6"/>
  <c r="Q521" i="6"/>
  <c r="Q518" i="6"/>
  <c r="Q501" i="6"/>
  <c r="Q461" i="6"/>
  <c r="Q393" i="6"/>
  <c r="Q392" i="6"/>
  <c r="Q391" i="6"/>
  <c r="Q390" i="6"/>
  <c r="Q389" i="6"/>
  <c r="Q353" i="6"/>
  <c r="Q351" i="6"/>
  <c r="Q310" i="6"/>
  <c r="Q272" i="6"/>
  <c r="Q231" i="6"/>
  <c r="Q228" i="6"/>
  <c r="Q174" i="6"/>
  <c r="Q132" i="6"/>
  <c r="Q7" i="6" s="1"/>
  <c r="Q117" i="6"/>
  <c r="Q114" i="6"/>
  <c r="Q79" i="6"/>
  <c r="Q3" i="6"/>
  <c r="Q795" i="4" s="1"/>
  <c r="Q206" i="5"/>
  <c r="Q204" i="5"/>
  <c r="Q190" i="5"/>
  <c r="Q161" i="5"/>
  <c r="Q208" i="5"/>
  <c r="Q207" i="5"/>
  <c r="Q205" i="5"/>
  <c r="Q160" i="5"/>
  <c r="Q158" i="5"/>
  <c r="Q157" i="5"/>
  <c r="Q112" i="5"/>
  <c r="Q111" i="5"/>
  <c r="Q110" i="5"/>
  <c r="Q109" i="5"/>
  <c r="Q108" i="5"/>
  <c r="Q77" i="5"/>
  <c r="Q76" i="5"/>
  <c r="Q75" i="5"/>
  <c r="Q74" i="5"/>
  <c r="Q73" i="5"/>
  <c r="Q48" i="5"/>
  <c r="N100" i="13" s="1"/>
  <c r="N93" i="13" s="1"/>
  <c r="Q3" i="5"/>
  <c r="Q3" i="8" s="1"/>
  <c r="Q496" i="8" s="1"/>
  <c r="Q1004" i="4"/>
  <c r="Q984" i="4"/>
  <c r="Q965" i="4"/>
  <c r="Q952" i="4"/>
  <c r="Q920" i="4"/>
  <c r="Q254" i="4"/>
  <c r="Q253" i="4"/>
  <c r="Q141" i="4"/>
  <c r="Q126" i="4"/>
  <c r="Q125" i="4"/>
  <c r="Q483" i="4"/>
  <c r="Q614" i="4" s="1"/>
  <c r="Q443" i="4"/>
  <c r="Q379" i="4"/>
  <c r="Q372" i="4"/>
  <c r="Q371" i="4"/>
  <c r="Q370" i="4"/>
  <c r="Q369" i="4"/>
  <c r="Q368" i="4"/>
  <c r="Q306" i="4"/>
  <c r="Q305" i="4"/>
  <c r="Q304" i="4"/>
  <c r="Q255" i="4"/>
  <c r="Q252" i="4"/>
  <c r="Q238" i="4"/>
  <c r="Q235" i="4"/>
  <c r="Q209" i="4"/>
  <c r="Q208" i="4"/>
  <c r="Q207" i="4"/>
  <c r="Q205" i="4"/>
  <c r="Q144" i="4"/>
  <c r="Q143" i="4"/>
  <c r="Q142" i="4"/>
  <c r="Q93" i="4"/>
  <c r="Q91" i="4"/>
  <c r="Q89" i="4"/>
  <c r="Q54" i="4"/>
  <c r="Q100" i="4" s="1"/>
  <c r="O84" i="34" s="1"/>
  <c r="Q584" i="8"/>
  <c r="Q549" i="8"/>
  <c r="Q143" i="8"/>
  <c r="Q150" i="8" s="1"/>
  <c r="Q124" i="8"/>
  <c r="Q91" i="8"/>
  <c r="O28" i="3" s="1"/>
  <c r="O30" i="3" s="1"/>
  <c r="Q75" i="8"/>
  <c r="Q22" i="8"/>
  <c r="Q402" i="7"/>
  <c r="Q1001" i="7"/>
  <c r="Q189" i="7"/>
  <c r="Q383" i="7"/>
  <c r="Q358" i="7"/>
  <c r="Q396" i="7" s="1"/>
  <c r="Q356" i="7"/>
  <c r="Q333" i="7"/>
  <c r="Q331" i="7"/>
  <c r="Q330" i="7"/>
  <c r="Q329" i="7"/>
  <c r="Q276" i="7"/>
  <c r="Q275" i="7"/>
  <c r="Q273" i="7"/>
  <c r="Q238" i="7"/>
  <c r="Q237" i="7"/>
  <c r="Q236" i="7"/>
  <c r="Q235" i="7"/>
  <c r="Q234" i="7"/>
  <c r="Q192" i="7"/>
  <c r="Q191" i="7"/>
  <c r="Q190" i="7"/>
  <c r="Q188" i="7"/>
  <c r="Q146" i="7"/>
  <c r="Q145" i="7"/>
  <c r="Q144" i="7"/>
  <c r="Q143" i="7"/>
  <c r="Q107" i="7"/>
  <c r="Q106" i="7"/>
  <c r="Q103" i="7"/>
  <c r="Q81" i="7"/>
  <c r="Q3" i="7"/>
  <c r="Q1206" i="7" s="1"/>
  <c r="N67" i="13"/>
  <c r="P170" i="14" l="1"/>
  <c r="O278" i="3"/>
  <c r="O285" i="3"/>
  <c r="O295" i="3" s="1"/>
  <c r="Q38" i="5"/>
  <c r="O38" i="3" s="1"/>
  <c r="O383" i="34"/>
  <c r="CD107" i="22"/>
  <c r="AP19" i="42"/>
  <c r="O169" i="3"/>
  <c r="O170" i="3" s="1"/>
  <c r="CE105" i="22"/>
  <c r="BS105" i="22"/>
  <c r="BR104" i="22"/>
  <c r="CD104" i="22"/>
  <c r="Q37" i="5"/>
  <c r="Q2075" i="6"/>
  <c r="Q54" i="6" s="1"/>
  <c r="Q414" i="7"/>
  <c r="Q1074" i="7"/>
  <c r="N123" i="13"/>
  <c r="O215" i="15"/>
  <c r="O160" i="15" s="1"/>
  <c r="AB32" i="42"/>
  <c r="N32" i="42" s="1"/>
  <c r="Q522" i="5"/>
  <c r="Q41" i="5"/>
  <c r="O68" i="3" s="1"/>
  <c r="Q520" i="5"/>
  <c r="Q159" i="5"/>
  <c r="Q39" i="5" s="1"/>
  <c r="O46" i="3" s="1"/>
  <c r="Q45" i="4"/>
  <c r="O43" i="34"/>
  <c r="Q1965" i="6"/>
  <c r="N2" i="58" s="1"/>
  <c r="AB4" i="42"/>
  <c r="Q474" i="5"/>
  <c r="O18" i="12"/>
  <c r="P81" i="1"/>
  <c r="P4" i="55"/>
  <c r="BT117" i="22"/>
  <c r="CF117" i="22"/>
  <c r="BR119" i="22"/>
  <c r="CD119" i="22"/>
  <c r="BR103" i="22"/>
  <c r="CD103" i="22"/>
  <c r="BS102" i="22"/>
  <c r="CE102" i="22"/>
  <c r="CD109" i="22"/>
  <c r="BR109" i="22"/>
  <c r="CF111" i="22"/>
  <c r="BT111" i="22"/>
  <c r="CE110" i="22"/>
  <c r="BS110" i="22"/>
  <c r="BS107" i="22"/>
  <c r="CE107" i="22"/>
  <c r="CE106" i="22"/>
  <c r="BS106" i="22"/>
  <c r="CE108" i="22"/>
  <c r="BS108" i="22"/>
  <c r="CE116" i="22"/>
  <c r="BS116" i="22"/>
  <c r="BS118" i="22"/>
  <c r="CE118" i="22"/>
  <c r="BS98" i="22"/>
  <c r="CE98" i="22"/>
  <c r="BR96" i="22"/>
  <c r="CD96" i="22"/>
  <c r="BS39" i="22"/>
  <c r="CE39" i="22"/>
  <c r="CE33" i="22"/>
  <c r="BS33" i="22"/>
  <c r="CE34" i="22"/>
  <c r="BS34" i="22"/>
  <c r="CE35" i="22"/>
  <c r="BS35" i="22"/>
  <c r="CE31" i="22"/>
  <c r="BS31" i="22"/>
  <c r="CE32" i="22"/>
  <c r="BS32" i="22"/>
  <c r="CE30" i="22"/>
  <c r="BS30" i="22"/>
  <c r="BS25" i="22"/>
  <c r="CE25" i="22"/>
  <c r="CP8" i="9"/>
  <c r="Q523" i="5"/>
  <c r="Q519" i="5"/>
  <c r="O22" i="3" s="1"/>
  <c r="Q685" i="6"/>
  <c r="Q1165" i="7"/>
  <c r="Q448" i="7" s="1"/>
  <c r="Q1181" i="7"/>
  <c r="O709" i="34"/>
  <c r="O284" i="34"/>
  <c r="O166" i="34"/>
  <c r="O223" i="34" s="1"/>
  <c r="O401" i="34" s="1"/>
  <c r="O789" i="34"/>
  <c r="O812" i="34" s="1"/>
  <c r="O822" i="34" s="1"/>
  <c r="O507" i="34"/>
  <c r="O369" i="34"/>
  <c r="O508" i="34"/>
  <c r="O472" i="34"/>
  <c r="Q530" i="6"/>
  <c r="Q1648" i="6"/>
  <c r="Q185" i="6"/>
  <c r="Q241" i="6"/>
  <c r="Q279" i="6"/>
  <c r="Q1019" i="6"/>
  <c r="V1" i="37" s="1"/>
  <c r="Q1086" i="6"/>
  <c r="Q1705" i="6"/>
  <c r="Q72" i="6"/>
  <c r="Q125" i="6" s="1"/>
  <c r="Q297" i="6"/>
  <c r="Q400" i="6"/>
  <c r="Q471" i="6"/>
  <c r="Q1215" i="6"/>
  <c r="Q1272" i="6"/>
  <c r="Q1338" i="6"/>
  <c r="Q1379" i="6"/>
  <c r="Q1431" i="6" s="1"/>
  <c r="Q1467" i="6"/>
  <c r="Q1578" i="6"/>
  <c r="Q1903" i="6"/>
  <c r="Q568" i="6"/>
  <c r="Q694" i="6"/>
  <c r="Q817" i="6"/>
  <c r="Q883" i="6" s="1"/>
  <c r="Q1153" i="6"/>
  <c r="Q1514" i="6"/>
  <c r="Q1772" i="6"/>
  <c r="Q1840" i="6"/>
  <c r="Q2034" i="6"/>
  <c r="Q2054" i="6" s="1"/>
  <c r="Q361" i="6"/>
  <c r="Q623" i="6"/>
  <c r="Q752" i="6"/>
  <c r="Q952" i="6"/>
  <c r="Q40" i="5"/>
  <c r="O60" i="3" s="1"/>
  <c r="Q276" i="5"/>
  <c r="Q337" i="5"/>
  <c r="Q491" i="5"/>
  <c r="Q119" i="5"/>
  <c r="Q463" i="5"/>
  <c r="Q517" i="5"/>
  <c r="Q85" i="5"/>
  <c r="Q215" i="5"/>
  <c r="Q39" i="8"/>
  <c r="Q168" i="5"/>
  <c r="Q401" i="5"/>
  <c r="Q165" i="4"/>
  <c r="Q216" i="4" s="1"/>
  <c r="Q263" i="4" s="1"/>
  <c r="Q151" i="4"/>
  <c r="N3" i="13"/>
  <c r="O182" i="15" s="1"/>
  <c r="Q545" i="4"/>
  <c r="Q672" i="4"/>
  <c r="Q737" i="4"/>
  <c r="Q857" i="4"/>
  <c r="Q102" i="8"/>
  <c r="Q166" i="8"/>
  <c r="Q363" i="8"/>
  <c r="Q228" i="8"/>
  <c r="Q291" i="8"/>
  <c r="Q424" i="8"/>
  <c r="Q44" i="7"/>
  <c r="Q1224" i="7"/>
  <c r="Q285" i="7"/>
  <c r="Q594" i="7"/>
  <c r="Q1121" i="7"/>
  <c r="Q340" i="7"/>
  <c r="Q647" i="7"/>
  <c r="Q775" i="7"/>
  <c r="Q1190" i="7"/>
  <c r="Q155" i="7"/>
  <c r="Q200" i="7"/>
  <c r="Q718" i="7"/>
  <c r="Q833" i="7"/>
  <c r="Q873" i="7"/>
  <c r="Q942" i="7" s="1"/>
  <c r="Q1015" i="7"/>
  <c r="Q62" i="7"/>
  <c r="Q115" i="7"/>
  <c r="O3" i="9" s="1"/>
  <c r="Q245" i="7"/>
  <c r="Q477" i="7"/>
  <c r="Q543" i="7"/>
  <c r="N111" i="13"/>
  <c r="AO176" i="9"/>
  <c r="AO179" i="9"/>
  <c r="AO180" i="9"/>
  <c r="AO181" i="9"/>
  <c r="AO183" i="9"/>
  <c r="J1371" i="6"/>
  <c r="AI180" i="9"/>
  <c r="AJ180" i="9" s="1"/>
  <c r="AJ176" i="9"/>
  <c r="AJ179" i="9"/>
  <c r="AJ181" i="9"/>
  <c r="AJ183" i="9"/>
  <c r="AE176" i="9"/>
  <c r="AE179" i="9"/>
  <c r="AE180" i="9"/>
  <c r="AE181" i="9"/>
  <c r="AE183" i="9"/>
  <c r="Z176" i="9"/>
  <c r="Z177" i="9"/>
  <c r="Z179" i="9"/>
  <c r="I1371" i="6"/>
  <c r="V180" i="9"/>
  <c r="V440" i="9" s="1"/>
  <c r="CM180" i="9"/>
  <c r="AE147" i="9"/>
  <c r="AE148" i="9"/>
  <c r="Z147" i="9"/>
  <c r="Z150" i="9"/>
  <c r="Y148" i="9"/>
  <c r="Z148" i="9" s="1"/>
  <c r="U180" i="9"/>
  <c r="O82" i="15" l="1"/>
  <c r="O492" i="34"/>
  <c r="Q1008" i="4"/>
  <c r="O48" i="3"/>
  <c r="N31" i="13"/>
  <c r="N50" i="13" s="1"/>
  <c r="AB33" i="42" s="1"/>
  <c r="N33" i="42" s="1"/>
  <c r="CF105" i="22"/>
  <c r="BT105" i="22"/>
  <c r="CE104" i="22"/>
  <c r="BS104" i="22"/>
  <c r="Q521" i="5"/>
  <c r="Q524" i="5" s="1"/>
  <c r="V47" i="37"/>
  <c r="V65" i="37" s="1"/>
  <c r="V6" i="37"/>
  <c r="O87" i="9"/>
  <c r="O169" i="9" s="1"/>
  <c r="O3" i="21"/>
  <c r="CI3" i="9"/>
  <c r="CV3" i="9" s="1"/>
  <c r="O3" i="16"/>
  <c r="O3" i="17"/>
  <c r="O237" i="15"/>
  <c r="O34" i="12"/>
  <c r="O3" i="12"/>
  <c r="N3" i="40"/>
  <c r="AP4" i="42"/>
  <c r="BD4" i="42" s="1"/>
  <c r="N4" i="42"/>
  <c r="N68" i="42" s="1"/>
  <c r="AB68" i="42" s="1"/>
  <c r="O127" i="15"/>
  <c r="O3" i="15"/>
  <c r="O34" i="15" s="1"/>
  <c r="O65" i="15" s="1"/>
  <c r="O96" i="15" s="1"/>
  <c r="CF108" i="22"/>
  <c r="BT108" i="22"/>
  <c r="CG111" i="22"/>
  <c r="BU111" i="22"/>
  <c r="BT118" i="22"/>
  <c r="CF118" i="22"/>
  <c r="CF107" i="22"/>
  <c r="BT107" i="22"/>
  <c r="BT102" i="22"/>
  <c r="CF102" i="22"/>
  <c r="BS119" i="22"/>
  <c r="CE119" i="22"/>
  <c r="BT116" i="22"/>
  <c r="CF116" i="22"/>
  <c r="BT106" i="22"/>
  <c r="CF106" i="22"/>
  <c r="BT110" i="22"/>
  <c r="CF110" i="22"/>
  <c r="CE109" i="22"/>
  <c r="BS109" i="22"/>
  <c r="BS103" i="22"/>
  <c r="CE103" i="22"/>
  <c r="BU117" i="22"/>
  <c r="CG117" i="22"/>
  <c r="BS96" i="22"/>
  <c r="CE96" i="22"/>
  <c r="BT98" i="22"/>
  <c r="CF98" i="22"/>
  <c r="BT39" i="22"/>
  <c r="CF39" i="22"/>
  <c r="CF35" i="22"/>
  <c r="BT35" i="22"/>
  <c r="CF30" i="22"/>
  <c r="BT30" i="22"/>
  <c r="CF32" i="22"/>
  <c r="BT32" i="22"/>
  <c r="CF31" i="22"/>
  <c r="BT31" i="22"/>
  <c r="CF34" i="22"/>
  <c r="BT34" i="22"/>
  <c r="CF33" i="22"/>
  <c r="BT33" i="22"/>
  <c r="BT25" i="22"/>
  <c r="CF25" i="22"/>
  <c r="CQ8" i="9"/>
  <c r="Z180" i="9"/>
  <c r="O347" i="34"/>
  <c r="O464" i="34"/>
  <c r="Q324" i="4"/>
  <c r="Q313" i="4"/>
  <c r="AJ94" i="9"/>
  <c r="AJ93" i="9"/>
  <c r="AJ92" i="9"/>
  <c r="AE94" i="9"/>
  <c r="Z94" i="9"/>
  <c r="E22" i="40"/>
  <c r="V82" i="9" s="1"/>
  <c r="G81" i="9"/>
  <c r="N68" i="13" l="1"/>
  <c r="N124" i="13" s="1"/>
  <c r="O193" i="15"/>
  <c r="O217" i="15" s="1"/>
  <c r="BT104" i="22"/>
  <c r="CF104" i="22"/>
  <c r="BU105" i="22"/>
  <c r="CG105" i="22"/>
  <c r="P3" i="54"/>
  <c r="AE3" i="54" s="1"/>
  <c r="O286" i="15"/>
  <c r="Q20" i="19"/>
  <c r="Q39" i="19" s="1"/>
  <c r="O72" i="21"/>
  <c r="P3" i="22"/>
  <c r="BX3" i="21"/>
  <c r="CK3" i="21" s="1"/>
  <c r="N105" i="40"/>
  <c r="N134" i="40" s="1"/>
  <c r="N47" i="40"/>
  <c r="Q28" i="20"/>
  <c r="Q45" i="20" s="1"/>
  <c r="O75" i="17"/>
  <c r="O65" i="17"/>
  <c r="O56" i="17"/>
  <c r="O84" i="17"/>
  <c r="O93" i="17"/>
  <c r="O58" i="16"/>
  <c r="O70" i="16" s="1"/>
  <c r="O95" i="16"/>
  <c r="O81" i="16"/>
  <c r="CF103" i="22"/>
  <c r="BT103" i="22"/>
  <c r="CG110" i="22"/>
  <c r="BU110" i="22"/>
  <c r="CG116" i="22"/>
  <c r="BU116" i="22"/>
  <c r="CG102" i="22"/>
  <c r="BU102" i="22"/>
  <c r="CG118" i="22"/>
  <c r="BU118" i="22"/>
  <c r="CF109" i="22"/>
  <c r="BT109" i="22"/>
  <c r="CG107" i="22"/>
  <c r="BU107" i="22"/>
  <c r="BV111" i="22"/>
  <c r="CH111" i="22"/>
  <c r="CH117" i="22"/>
  <c r="BV117" i="22"/>
  <c r="CG106" i="22"/>
  <c r="BU106" i="22"/>
  <c r="CF119" i="22"/>
  <c r="BT119" i="22"/>
  <c r="BU108" i="22"/>
  <c r="CG108" i="22"/>
  <c r="CF96" i="22"/>
  <c r="BT96" i="22"/>
  <c r="BU98" i="22"/>
  <c r="CG98" i="22"/>
  <c r="BU39" i="22"/>
  <c r="CG39" i="22"/>
  <c r="CG33" i="22"/>
  <c r="BU33" i="22"/>
  <c r="CG32" i="22"/>
  <c r="BU32" i="22"/>
  <c r="CG35" i="22"/>
  <c r="BU35" i="22"/>
  <c r="CG34" i="22"/>
  <c r="BU34" i="22"/>
  <c r="CG31" i="22"/>
  <c r="BU31" i="22"/>
  <c r="CG30" i="22"/>
  <c r="BU30" i="22"/>
  <c r="BU25" i="22"/>
  <c r="CG25" i="22"/>
  <c r="CR8" i="9"/>
  <c r="O577" i="34"/>
  <c r="O514" i="34"/>
  <c r="U446" i="9"/>
  <c r="U447" i="9"/>
  <c r="U448" i="9"/>
  <c r="H1308" i="6"/>
  <c r="CH105" i="22" l="1"/>
  <c r="BV105" i="22"/>
  <c r="CG104" i="22"/>
  <c r="BU104" i="22"/>
  <c r="P124" i="22"/>
  <c r="P78" i="22"/>
  <c r="P121" i="22" s="1"/>
  <c r="BY3" i="22"/>
  <c r="CL3" i="22" s="1"/>
  <c r="CI111" i="22"/>
  <c r="BW111" i="22"/>
  <c r="BU119" i="22"/>
  <c r="CG119" i="22"/>
  <c r="CH106" i="22"/>
  <c r="BV106" i="22"/>
  <c r="BW117" i="22"/>
  <c r="CI117" i="22"/>
  <c r="CH107" i="22"/>
  <c r="BV107" i="22"/>
  <c r="BV102" i="22"/>
  <c r="CH102" i="22"/>
  <c r="BV116" i="22"/>
  <c r="CH116" i="22"/>
  <c r="BV108" i="22"/>
  <c r="CH108" i="22"/>
  <c r="BU109" i="22"/>
  <c r="CG109" i="22"/>
  <c r="BV118" i="22"/>
  <c r="CH118" i="22"/>
  <c r="CH110" i="22"/>
  <c r="BV110" i="22"/>
  <c r="BU103" i="22"/>
  <c r="CG103" i="22"/>
  <c r="CH98" i="22"/>
  <c r="BV98" i="22"/>
  <c r="BU96" i="22"/>
  <c r="CG96" i="22"/>
  <c r="CH39" i="22"/>
  <c r="BV39" i="22"/>
  <c r="BV30" i="22"/>
  <c r="CH30" i="22"/>
  <c r="BV34" i="22"/>
  <c r="CH34" i="22"/>
  <c r="BV35" i="22"/>
  <c r="CH35" i="22"/>
  <c r="BV32" i="22"/>
  <c r="CH32" i="22"/>
  <c r="BV33" i="22"/>
  <c r="CH33" i="22"/>
  <c r="BV31" i="22"/>
  <c r="CH31" i="22"/>
  <c r="CH25" i="22"/>
  <c r="BV25" i="22"/>
  <c r="CS8" i="9"/>
  <c r="O671" i="34"/>
  <c r="O755" i="34" s="1"/>
  <c r="O787" i="34" s="1"/>
  <c r="O627" i="34"/>
  <c r="H1120" i="6"/>
  <c r="O39" i="17" l="1"/>
  <c r="O308" i="15" s="1"/>
  <c r="Q558" i="8"/>
  <c r="CI105" i="22"/>
  <c r="BW105" i="22"/>
  <c r="BV104" i="22"/>
  <c r="CH104" i="22"/>
  <c r="BW118" i="22"/>
  <c r="CI118" i="22"/>
  <c r="CI116" i="22"/>
  <c r="BW116" i="22"/>
  <c r="BW107" i="22"/>
  <c r="CI107" i="22"/>
  <c r="CI106" i="22"/>
  <c r="BW106" i="22"/>
  <c r="CJ111" i="22"/>
  <c r="BX111" i="22"/>
  <c r="BV103" i="22"/>
  <c r="CH103" i="22"/>
  <c r="CH109" i="22"/>
  <c r="BV109" i="22"/>
  <c r="CI108" i="22"/>
  <c r="BW108" i="22"/>
  <c r="BW102" i="22"/>
  <c r="CI102" i="22"/>
  <c r="CI110" i="22"/>
  <c r="BW110" i="22"/>
  <c r="BX117" i="22"/>
  <c r="CJ117" i="22"/>
  <c r="BV119" i="22"/>
  <c r="CH119" i="22"/>
  <c r="BW98" i="22"/>
  <c r="CI98" i="22"/>
  <c r="BV96" i="22"/>
  <c r="CH96" i="22"/>
  <c r="BW39" i="22"/>
  <c r="CI39" i="22"/>
  <c r="CI31" i="22"/>
  <c r="BW31" i="22"/>
  <c r="CI33" i="22"/>
  <c r="BW33" i="22"/>
  <c r="CI35" i="22"/>
  <c r="BW35" i="22"/>
  <c r="CI30" i="22"/>
  <c r="BW30" i="22"/>
  <c r="CI32" i="22"/>
  <c r="BW32" i="22"/>
  <c r="CI34" i="22"/>
  <c r="BW34" i="22"/>
  <c r="BW25" i="22"/>
  <c r="CI25" i="22"/>
  <c r="CT8" i="9"/>
  <c r="C115" i="11"/>
  <c r="C116" i="11"/>
  <c r="CI104" i="22" l="1"/>
  <c r="BW104" i="22"/>
  <c r="BX105" i="22"/>
  <c r="CJ105" i="22"/>
  <c r="BY117" i="22"/>
  <c r="CK117" i="22"/>
  <c r="CJ108" i="22"/>
  <c r="BX108" i="22"/>
  <c r="BY111" i="22"/>
  <c r="CK111" i="22"/>
  <c r="BX116" i="22"/>
  <c r="CJ116" i="22"/>
  <c r="BW119" i="22"/>
  <c r="CI119" i="22"/>
  <c r="BW103" i="22"/>
  <c r="CI103" i="22"/>
  <c r="CJ107" i="22"/>
  <c r="BX107" i="22"/>
  <c r="BX118" i="22"/>
  <c r="CJ118" i="22"/>
  <c r="BX110" i="22"/>
  <c r="CJ110" i="22"/>
  <c r="CI109" i="22"/>
  <c r="BW109" i="22"/>
  <c r="BX106" i="22"/>
  <c r="CJ106" i="22"/>
  <c r="BX102" i="22"/>
  <c r="CJ102" i="22"/>
  <c r="BX98" i="22"/>
  <c r="CJ98" i="22"/>
  <c r="BW96" i="22"/>
  <c r="CI96" i="22"/>
  <c r="BX39" i="22"/>
  <c r="CJ39" i="22"/>
  <c r="CJ32" i="22"/>
  <c r="BX32" i="22"/>
  <c r="CJ30" i="22"/>
  <c r="BX30" i="22"/>
  <c r="CJ33" i="22"/>
  <c r="BX33" i="22"/>
  <c r="CJ34" i="22"/>
  <c r="BX34" i="22"/>
  <c r="CJ35" i="22"/>
  <c r="BX35" i="22"/>
  <c r="CJ31" i="22"/>
  <c r="BX31" i="22"/>
  <c r="BX25" i="22"/>
  <c r="CJ25" i="22"/>
  <c r="CV8" i="9"/>
  <c r="CU8" i="9"/>
  <c r="T115" i="9"/>
  <c r="CL111" i="22" l="1"/>
  <c r="BZ111" i="22"/>
  <c r="CL117" i="22"/>
  <c r="BZ117" i="22"/>
  <c r="BY105" i="22"/>
  <c r="CK105" i="22"/>
  <c r="CJ104" i="22"/>
  <c r="BX104" i="22"/>
  <c r="CJ109" i="22"/>
  <c r="BX109" i="22"/>
  <c r="CK108" i="22"/>
  <c r="BY108" i="22"/>
  <c r="CK106" i="22"/>
  <c r="BY106" i="22"/>
  <c r="CK118" i="22"/>
  <c r="BY118" i="22"/>
  <c r="CJ103" i="22"/>
  <c r="BX103" i="22"/>
  <c r="CK116" i="22"/>
  <c r="BY116" i="22"/>
  <c r="CK107" i="22"/>
  <c r="BY107" i="22"/>
  <c r="CK102" i="22"/>
  <c r="BY102" i="22"/>
  <c r="CK110" i="22"/>
  <c r="BY110" i="22"/>
  <c r="CJ119" i="22"/>
  <c r="BX119" i="22"/>
  <c r="BY98" i="22"/>
  <c r="CK98" i="22"/>
  <c r="CJ96" i="22"/>
  <c r="BX96" i="22"/>
  <c r="BY39" i="22"/>
  <c r="CK39" i="22"/>
  <c r="CK31" i="22"/>
  <c r="BY31" i="22"/>
  <c r="CK35" i="22"/>
  <c r="BY35" i="22"/>
  <c r="CK30" i="22"/>
  <c r="BY30" i="22"/>
  <c r="CK32" i="22"/>
  <c r="BY32" i="22"/>
  <c r="CK34" i="22"/>
  <c r="BY34" i="22"/>
  <c r="CK33" i="22"/>
  <c r="BY33" i="22"/>
  <c r="BY25" i="22"/>
  <c r="CK25" i="22"/>
  <c r="G148" i="6"/>
  <c r="CL34" i="22" l="1"/>
  <c r="BZ34" i="22"/>
  <c r="CL30" i="22"/>
  <c r="BZ30" i="22"/>
  <c r="CL31" i="22"/>
  <c r="BZ31" i="22"/>
  <c r="CL102" i="22"/>
  <c r="BZ102" i="22"/>
  <c r="CL116" i="22"/>
  <c r="BZ116" i="22"/>
  <c r="CL118" i="22"/>
  <c r="BZ118" i="22"/>
  <c r="CL108" i="22"/>
  <c r="BZ108" i="22"/>
  <c r="CL33" i="22"/>
  <c r="BZ33" i="22"/>
  <c r="CL35" i="22"/>
  <c r="BZ35" i="22"/>
  <c r="CL110" i="22"/>
  <c r="BZ110" i="22"/>
  <c r="CL25" i="22"/>
  <c r="BZ25" i="22"/>
  <c r="CL32" i="22"/>
  <c r="BZ32" i="22"/>
  <c r="CL107" i="22"/>
  <c r="BZ107" i="22"/>
  <c r="CL106" i="22"/>
  <c r="BZ106" i="22"/>
  <c r="CL39" i="22"/>
  <c r="BZ39" i="22"/>
  <c r="CL98" i="22"/>
  <c r="BZ98" i="22"/>
  <c r="CL105" i="22"/>
  <c r="BZ105" i="22"/>
  <c r="BY104" i="22"/>
  <c r="CK104" i="22"/>
  <c r="BY103" i="22"/>
  <c r="CK103" i="22"/>
  <c r="BY119" i="22"/>
  <c r="CK119" i="22"/>
  <c r="BY109" i="22"/>
  <c r="CK109" i="22"/>
  <c r="BY96" i="22"/>
  <c r="CK96" i="22"/>
  <c r="E256" i="9"/>
  <c r="E255" i="9"/>
  <c r="E254" i="9"/>
  <c r="T221" i="9"/>
  <c r="E221" i="9"/>
  <c r="CL96" i="22" l="1"/>
  <c r="BZ96" i="22"/>
  <c r="CL119" i="22"/>
  <c r="BZ119" i="22"/>
  <c r="CL104" i="22"/>
  <c r="BZ104" i="22"/>
  <c r="CL109" i="22"/>
  <c r="BZ109" i="22"/>
  <c r="CL103" i="22"/>
  <c r="BZ103" i="22"/>
  <c r="U221" i="9"/>
  <c r="U231" i="9"/>
  <c r="U229" i="9"/>
  <c r="AA12" i="11" l="1"/>
  <c r="X12" i="11"/>
  <c r="U12" i="11"/>
  <c r="J605" i="4"/>
  <c r="G605" i="4"/>
  <c r="C12" i="11"/>
  <c r="AD12" i="11"/>
  <c r="K607" i="4"/>
  <c r="I81" i="12"/>
  <c r="J81" i="12" s="1"/>
  <c r="K81" i="12" s="1"/>
  <c r="L81" i="12" s="1"/>
  <c r="M81" i="12" s="1"/>
  <c r="N81" i="12" s="1"/>
  <c r="O81" i="12" s="1"/>
  <c r="G80" i="12"/>
  <c r="H80" i="12" s="1"/>
  <c r="I80" i="12" s="1"/>
  <c r="J80" i="12" s="1"/>
  <c r="K80" i="12" s="1"/>
  <c r="L80" i="12" s="1"/>
  <c r="M80" i="12" s="1"/>
  <c r="N80" i="12" s="1"/>
  <c r="O80" i="12" s="1"/>
  <c r="O84" i="12" s="1"/>
  <c r="AF79" i="10" s="1"/>
  <c r="AH79" i="10" s="1"/>
  <c r="F12" i="11" l="1"/>
  <c r="D12" i="11"/>
  <c r="E12" i="11" s="1"/>
  <c r="G12" i="11" l="1"/>
  <c r="H12" i="11" l="1"/>
  <c r="G11" i="9"/>
  <c r="O11" i="37"/>
  <c r="N11" i="37"/>
  <c r="M11" i="37"/>
  <c r="L11" i="37"/>
  <c r="S48" i="14"/>
  <c r="P49" i="14"/>
  <c r="O49" i="14"/>
  <c r="N49" i="14"/>
  <c r="M49" i="14"/>
  <c r="L49" i="14"/>
  <c r="K49" i="14"/>
  <c r="J49" i="14"/>
  <c r="I49" i="14"/>
  <c r="D1076" i="6" s="1"/>
  <c r="H49" i="14"/>
  <c r="G49" i="14"/>
  <c r="E49" i="14"/>
  <c r="C143" i="14"/>
  <c r="C48" i="14"/>
  <c r="E146" i="14"/>
  <c r="Y181" i="9"/>
  <c r="Z181" i="9" s="1"/>
  <c r="U181" i="9"/>
  <c r="AD11" i="9" l="1"/>
  <c r="AE11" i="9" s="1"/>
  <c r="I15" i="10"/>
  <c r="C138" i="14"/>
  <c r="A138" i="14"/>
  <c r="A174" i="14"/>
  <c r="A192" i="14" s="1"/>
  <c r="A175" i="14"/>
  <c r="A193" i="14" s="1"/>
  <c r="A176" i="14"/>
  <c r="A194" i="14" s="1"/>
  <c r="A177" i="14"/>
  <c r="A195" i="14" s="1"/>
  <c r="A172" i="14"/>
  <c r="A190" i="14" s="1"/>
  <c r="I162" i="14"/>
  <c r="E141" i="14"/>
  <c r="G143" i="40"/>
  <c r="Z126" i="9"/>
  <c r="U126" i="9"/>
  <c r="CL126" i="9"/>
  <c r="BN126" i="9"/>
  <c r="BI126" i="9"/>
  <c r="BD126" i="9"/>
  <c r="AY126" i="9"/>
  <c r="AT126" i="9"/>
  <c r="AO126" i="9"/>
  <c r="AE126" i="9"/>
  <c r="D180" i="14" l="1"/>
  <c r="I180" i="14" s="1"/>
  <c r="J89" i="14" s="1"/>
  <c r="I606" i="4"/>
  <c r="J15" i="10"/>
  <c r="I12" i="11" s="1"/>
  <c r="J12" i="11" s="1"/>
  <c r="Z17" i="9"/>
  <c r="AH126" i="9"/>
  <c r="D89" i="14"/>
  <c r="Z18" i="9"/>
  <c r="BZ126" i="9"/>
  <c r="CA126" i="9" s="1"/>
  <c r="CN126" i="9" s="1"/>
  <c r="AV133" i="9"/>
  <c r="K76" i="12" s="1"/>
  <c r="AV132" i="9"/>
  <c r="AQ131" i="9"/>
  <c r="J74" i="12" s="1"/>
  <c r="AQ130" i="9"/>
  <c r="J73" i="12" s="1"/>
  <c r="AQ129" i="9"/>
  <c r="J129" i="9"/>
  <c r="J130" i="9"/>
  <c r="J131" i="9"/>
  <c r="K132" i="9"/>
  <c r="K133" i="9"/>
  <c r="L35" i="55"/>
  <c r="K35" i="55"/>
  <c r="K34" i="55" s="1"/>
  <c r="L11" i="55"/>
  <c r="L10" i="55"/>
  <c r="K7" i="55"/>
  <c r="K8" i="55"/>
  <c r="K9" i="55"/>
  <c r="K6" i="55"/>
  <c r="J140" i="14" l="1"/>
  <c r="J139" i="14"/>
  <c r="K12" i="11"/>
  <c r="H11" i="9"/>
  <c r="D138" i="14"/>
  <c r="J72" i="12"/>
  <c r="J77" i="12" s="1"/>
  <c r="K75" i="12"/>
  <c r="K77" i="12" s="1"/>
  <c r="AJ126" i="9"/>
  <c r="AH138" i="9"/>
  <c r="CB126" i="9"/>
  <c r="CC126" i="9" s="1"/>
  <c r="AR131" i="9"/>
  <c r="I146" i="40" s="1"/>
  <c r="AR130" i="9"/>
  <c r="I145" i="40" s="1"/>
  <c r="AR129" i="9"/>
  <c r="CM126" i="9"/>
  <c r="I12" i="55"/>
  <c r="H128" i="9" s="1"/>
  <c r="AG128" i="9" s="1"/>
  <c r="CU131" i="9"/>
  <c r="CT131" i="9"/>
  <c r="CS131" i="9"/>
  <c r="CR131" i="9"/>
  <c r="CQ131" i="9"/>
  <c r="CP131" i="9"/>
  <c r="CO131" i="9"/>
  <c r="CN131" i="9"/>
  <c r="CM131" i="9"/>
  <c r="CL131" i="9"/>
  <c r="BN131" i="9"/>
  <c r="BI131" i="9"/>
  <c r="BD131" i="9"/>
  <c r="AY131" i="9"/>
  <c r="AO131" i="9"/>
  <c r="AJ131" i="9"/>
  <c r="AE131" i="9"/>
  <c r="K31" i="55"/>
  <c r="L42" i="55"/>
  <c r="M42" i="55"/>
  <c r="N42" i="55"/>
  <c r="O42" i="55"/>
  <c r="G42" i="55"/>
  <c r="C34" i="55"/>
  <c r="C31" i="55"/>
  <c r="E31" i="55"/>
  <c r="G34" i="55"/>
  <c r="F34" i="55"/>
  <c r="O31" i="55"/>
  <c r="O34" i="55" s="1"/>
  <c r="L31" i="55"/>
  <c r="L34" i="55" s="1"/>
  <c r="M31" i="55"/>
  <c r="M34" i="55" s="1"/>
  <c r="N31" i="55"/>
  <c r="N34" i="55" s="1"/>
  <c r="G31" i="55"/>
  <c r="F31" i="55"/>
  <c r="D10" i="55"/>
  <c r="D8" i="55"/>
  <c r="D11" i="55"/>
  <c r="D7" i="55"/>
  <c r="D9" i="55"/>
  <c r="I35" i="55" s="1"/>
  <c r="D12" i="55"/>
  <c r="H35" i="55" s="1"/>
  <c r="D13" i="55"/>
  <c r="D14" i="55"/>
  <c r="D15" i="55"/>
  <c r="D16" i="55"/>
  <c r="D17" i="55"/>
  <c r="D18" i="55"/>
  <c r="D19" i="55"/>
  <c r="D20" i="55"/>
  <c r="D21" i="55"/>
  <c r="D22" i="55"/>
  <c r="D23" i="55"/>
  <c r="D24" i="55"/>
  <c r="D6" i="55"/>
  <c r="H31" i="55"/>
  <c r="J198" i="14" l="1"/>
  <c r="J141" i="14" s="1"/>
  <c r="AI11" i="9"/>
  <c r="AJ11" i="9" s="1"/>
  <c r="L15" i="10"/>
  <c r="H70" i="12"/>
  <c r="H77" i="12" s="1"/>
  <c r="AR138" i="9"/>
  <c r="AT131" i="9"/>
  <c r="CO126" i="9"/>
  <c r="K163" i="14"/>
  <c r="I144" i="40"/>
  <c r="D90" i="14" s="1"/>
  <c r="D143" i="14" s="1"/>
  <c r="K146" i="14" s="1"/>
  <c r="CP126" i="9"/>
  <c r="CD126" i="9"/>
  <c r="J35" i="55"/>
  <c r="J42" i="55" s="1"/>
  <c r="C35" i="55"/>
  <c r="K42" i="55"/>
  <c r="I31" i="55"/>
  <c r="J31" i="55"/>
  <c r="J34" i="55" s="1"/>
  <c r="I42" i="55"/>
  <c r="R35" i="14" l="1"/>
  <c r="T48" i="14"/>
  <c r="J606" i="4"/>
  <c r="M15" i="10"/>
  <c r="L12" i="11" s="1"/>
  <c r="M12" i="11" s="1"/>
  <c r="CE126" i="9"/>
  <c r="CQ126" i="9"/>
  <c r="H34" i="55"/>
  <c r="H42" i="55"/>
  <c r="I34" i="55"/>
  <c r="J180" i="14" l="1"/>
  <c r="K89" i="14" s="1"/>
  <c r="K140" i="14" s="1"/>
  <c r="K139" i="14" s="1"/>
  <c r="D181" i="14"/>
  <c r="K181" i="14" s="1"/>
  <c r="L199" i="14" s="1"/>
  <c r="N12" i="11"/>
  <c r="I11" i="9"/>
  <c r="CR126" i="9"/>
  <c r="CF126" i="9"/>
  <c r="Q35" i="14" l="1"/>
  <c r="O82" i="10" s="1"/>
  <c r="P82" i="10" s="1"/>
  <c r="AN11" i="9"/>
  <c r="AO11" i="9" s="1"/>
  <c r="O15" i="10"/>
  <c r="CG126" i="9"/>
  <c r="CS126" i="9"/>
  <c r="D172" i="11"/>
  <c r="K606" i="4" l="1"/>
  <c r="P15" i="10"/>
  <c r="O12" i="11" s="1"/>
  <c r="P12" i="11" s="1"/>
  <c r="V48" i="14"/>
  <c r="CT126" i="9"/>
  <c r="CH126" i="9"/>
  <c r="U48" i="14" l="1"/>
  <c r="Q12" i="11"/>
  <c r="J11" i="9"/>
  <c r="CU126" i="9"/>
  <c r="CI126" i="9"/>
  <c r="L181" i="14" l="1"/>
  <c r="M90" i="14" s="1"/>
  <c r="CV126" i="9"/>
  <c r="CJ126" i="9"/>
  <c r="CW126" i="9" s="1"/>
  <c r="R15" i="10"/>
  <c r="AS11" i="9"/>
  <c r="AT11" i="9" s="1"/>
  <c r="G1143" i="6"/>
  <c r="M199" i="14" l="1"/>
  <c r="S15" i="10"/>
  <c r="R12" i="11" s="1"/>
  <c r="S12" i="11" s="1"/>
  <c r="T12" i="11" s="1"/>
  <c r="V12" i="11" s="1"/>
  <c r="W12" i="11" s="1"/>
  <c r="Y12" i="11" s="1"/>
  <c r="Z12" i="11" s="1"/>
  <c r="AB12" i="11" s="1"/>
  <c r="AC12" i="11" s="1"/>
  <c r="AE12" i="11" s="1"/>
  <c r="AF12" i="11" s="1"/>
  <c r="AH12" i="11" s="1"/>
  <c r="AI12" i="11" s="1"/>
  <c r="L606" i="4"/>
  <c r="AI39" i="9"/>
  <c r="AD39" i="9"/>
  <c r="AE39" i="9" s="1"/>
  <c r="Y39" i="9"/>
  <c r="Z39" i="9" s="1"/>
  <c r="H932" i="7"/>
  <c r="Y42" i="9"/>
  <c r="Z42" i="9" s="1"/>
  <c r="CL49" i="9"/>
  <c r="X48" i="14" l="1"/>
  <c r="W48" i="14"/>
  <c r="AK12" i="11"/>
  <c r="B67" i="13"/>
  <c r="AC90" i="10"/>
  <c r="Z90" i="10"/>
  <c r="W90" i="10"/>
  <c r="T90" i="10"/>
  <c r="M181" i="14" l="1"/>
  <c r="N90" i="14" s="1"/>
  <c r="N145" i="14" l="1"/>
  <c r="N144" i="14" s="1"/>
  <c r="Z48" i="14" l="1"/>
  <c r="N199" i="14"/>
  <c r="N146" i="14" s="1"/>
  <c r="I1010" i="7"/>
  <c r="G1010" i="7"/>
  <c r="Y48" i="14" l="1"/>
  <c r="N181" i="14"/>
  <c r="O90" i="14" s="1"/>
  <c r="A348" i="7"/>
  <c r="C348" i="7"/>
  <c r="H902" i="7"/>
  <c r="Q7" i="9" l="1"/>
  <c r="T7" i="9"/>
  <c r="CL8" i="9"/>
  <c r="O145" i="14" l="1"/>
  <c r="O144" i="14" s="1"/>
  <c r="O199" i="14" s="1"/>
  <c r="O146" i="14" s="1"/>
  <c r="AB48" i="14" l="1"/>
  <c r="O181" i="14"/>
  <c r="P90" i="14" s="1"/>
  <c r="AA48" i="14"/>
  <c r="T331" i="9"/>
  <c r="T345" i="9" s="1"/>
  <c r="P145" i="14" l="1"/>
  <c r="AD48" i="14" s="1"/>
  <c r="AD49" i="14" s="1"/>
  <c r="Q1061" i="6" s="1"/>
  <c r="Q268" i="6" s="1"/>
  <c r="P144" i="14"/>
  <c r="P199" i="14" s="1"/>
  <c r="P146" i="14" s="1"/>
  <c r="T49" i="9"/>
  <c r="AC48" i="14" l="1"/>
  <c r="H1846" i="6"/>
  <c r="AC49" i="14" l="1"/>
  <c r="Q1076" i="6" s="1"/>
  <c r="V11" i="37"/>
  <c r="P181" i="14"/>
  <c r="Q90" i="14" s="1"/>
  <c r="H1845" i="6"/>
  <c r="U203" i="9"/>
  <c r="R90" i="14" l="1"/>
  <c r="U314" i="9"/>
  <c r="E312" i="9"/>
  <c r="T282" i="9"/>
  <c r="D1527" i="6" l="1"/>
  <c r="D1558" i="6"/>
  <c r="D348" i="7" l="1"/>
  <c r="H1851" i="6" l="1"/>
  <c r="H1885" i="6"/>
  <c r="H248" i="6" l="1"/>
  <c r="U330" i="9"/>
  <c r="U331" i="9"/>
  <c r="U332" i="9"/>
  <c r="U333" i="9"/>
  <c r="U334" i="9"/>
  <c r="U335" i="9"/>
  <c r="U336" i="9"/>
  <c r="U337" i="9"/>
  <c r="U338" i="9"/>
  <c r="U339" i="9"/>
  <c r="H826" i="7" l="1"/>
  <c r="H823" i="7"/>
  <c r="H816" i="7"/>
  <c r="H695" i="7" l="1"/>
  <c r="H572" i="7"/>
  <c r="D1663" i="6" l="1"/>
  <c r="D445" i="6"/>
  <c r="D1443" i="6"/>
  <c r="H1443" i="6" s="1"/>
  <c r="H1444" i="6"/>
  <c r="D1442" i="6"/>
  <c r="Y183" i="9"/>
  <c r="Z183" i="9" s="1"/>
  <c r="H1663" i="6" l="1"/>
  <c r="D541" i="6"/>
  <c r="H541" i="6" s="1"/>
  <c r="H1442" i="6"/>
  <c r="H1353" i="6"/>
  <c r="H1342" i="6"/>
  <c r="D1292" i="6"/>
  <c r="T141" i="9" l="1"/>
  <c r="T393" i="9"/>
  <c r="T294" i="9" l="1"/>
  <c r="U112" i="9" l="1"/>
  <c r="H1820" i="6" l="1"/>
  <c r="H1795" i="6"/>
  <c r="J121" i="48" l="1"/>
  <c r="J122" i="48"/>
  <c r="H1712" i="6" l="1"/>
  <c r="H1240" i="6" l="1"/>
  <c r="D1262" i="6"/>
  <c r="H925" i="6"/>
  <c r="H910" i="6"/>
  <c r="H897" i="6"/>
  <c r="D148" i="6" l="1"/>
  <c r="H148" i="6" s="1"/>
  <c r="H904" i="6"/>
  <c r="H856" i="6" l="1"/>
  <c r="H840" i="6"/>
  <c r="H832" i="6"/>
  <c r="H835" i="6"/>
  <c r="H833" i="6"/>
  <c r="H828" i="6"/>
  <c r="H841" i="6"/>
  <c r="H794" i="6"/>
  <c r="H759" i="6"/>
  <c r="H762" i="6"/>
  <c r="H755" i="6"/>
  <c r="H435" i="5"/>
  <c r="H437" i="5"/>
  <c r="H434" i="5"/>
  <c r="H433" i="5"/>
  <c r="H411" i="5"/>
  <c r="H410" i="5"/>
  <c r="H345" i="5"/>
  <c r="H344" i="5"/>
  <c r="H827" i="6" l="1"/>
  <c r="H291" i="5"/>
  <c r="H284" i="5"/>
  <c r="H281" i="5"/>
  <c r="H227" i="5"/>
  <c r="H225" i="5"/>
  <c r="H223" i="5"/>
  <c r="H221" i="5"/>
  <c r="H220" i="5"/>
  <c r="H928" i="4"/>
  <c r="H904" i="4"/>
  <c r="H885" i="4"/>
  <c r="D847" i="4" l="1"/>
  <c r="D303" i="4" s="1"/>
  <c r="D43" i="4" s="1"/>
  <c r="D1006" i="4" s="1"/>
  <c r="H760" i="4" l="1"/>
  <c r="H509" i="4" l="1"/>
  <c r="H570" i="4"/>
  <c r="H569" i="4"/>
  <c r="H536" i="4" l="1"/>
  <c r="H535" i="4"/>
  <c r="H533" i="4"/>
  <c r="H532" i="4"/>
  <c r="H529" i="4"/>
  <c r="H526" i="4"/>
  <c r="H623" i="4" l="1"/>
  <c r="H487" i="4"/>
  <c r="H498" i="4"/>
  <c r="H411" i="4"/>
  <c r="H433" i="4"/>
  <c r="H455" i="4"/>
  <c r="H451" i="4"/>
  <c r="H453" i="4"/>
  <c r="H626" i="4" l="1"/>
  <c r="H421" i="4"/>
  <c r="G41" i="55"/>
  <c r="F41" i="55"/>
  <c r="Y56" i="22"/>
  <c r="H460" i="8"/>
  <c r="H457" i="8"/>
  <c r="H431" i="8"/>
  <c r="H367" i="8"/>
  <c r="V37" i="21"/>
  <c r="H322" i="8"/>
  <c r="H318" i="8"/>
  <c r="H300" i="8"/>
  <c r="D245" i="8"/>
  <c r="H245" i="8" l="1"/>
  <c r="AF21" i="42"/>
  <c r="U32" i="22"/>
  <c r="CB32" i="22"/>
  <c r="H511" i="8"/>
  <c r="U412" i="9"/>
  <c r="T145" i="9"/>
  <c r="I130" i="8" l="1"/>
  <c r="T8" i="54"/>
  <c r="V8" i="54" s="1"/>
  <c r="U11" i="54"/>
  <c r="U3" i="54"/>
  <c r="S20" i="54"/>
  <c r="H18" i="1" l="1"/>
  <c r="E98" i="1"/>
  <c r="F98" i="1" s="1"/>
  <c r="E100" i="1"/>
  <c r="F100" i="1" s="1"/>
  <c r="E101" i="1"/>
  <c r="E103" i="1"/>
  <c r="F103" i="1" s="1"/>
  <c r="G103" i="1" s="1"/>
  <c r="H103" i="1" s="1"/>
  <c r="I103" i="1" s="1"/>
  <c r="J103" i="1" s="1"/>
  <c r="K103" i="1" s="1"/>
  <c r="L103" i="1" s="1"/>
  <c r="E104" i="1"/>
  <c r="F104" i="1" s="1"/>
  <c r="G104" i="1" s="1"/>
  <c r="H104" i="1" s="1"/>
  <c r="I104" i="1" s="1"/>
  <c r="J104" i="1" s="1"/>
  <c r="K104" i="1" s="1"/>
  <c r="L104" i="1" s="1"/>
  <c r="M104" i="1" s="1"/>
  <c r="N104" i="1" s="1"/>
  <c r="O104" i="1" s="1"/>
  <c r="P104" i="1" s="1"/>
  <c r="D105" i="1"/>
  <c r="E108" i="1"/>
  <c r="E111" i="1"/>
  <c r="D114" i="1" l="1"/>
  <c r="D116" i="1" s="1"/>
  <c r="E105" i="1"/>
  <c r="E114" i="1"/>
  <c r="G98" i="1"/>
  <c r="F101" i="1"/>
  <c r="E116" i="1" l="1"/>
  <c r="F105" i="1"/>
  <c r="H98" i="1"/>
  <c r="S5" i="54"/>
  <c r="B14" i="54"/>
  <c r="S11" i="54" l="1"/>
  <c r="T5" i="54"/>
  <c r="I98" i="1"/>
  <c r="A155" i="54"/>
  <c r="O155" i="54"/>
  <c r="N155" i="54"/>
  <c r="M155" i="54"/>
  <c r="L155" i="54"/>
  <c r="K155" i="54"/>
  <c r="J155" i="54"/>
  <c r="I155" i="54"/>
  <c r="H155" i="54"/>
  <c r="G155" i="54"/>
  <c r="E155" i="54"/>
  <c r="B155" i="54"/>
  <c r="O83" i="54"/>
  <c r="N83" i="54"/>
  <c r="M83" i="54"/>
  <c r="L83" i="54"/>
  <c r="K83" i="54"/>
  <c r="J83" i="54"/>
  <c r="I83" i="54"/>
  <c r="H83" i="54"/>
  <c r="G83" i="54"/>
  <c r="E83" i="54"/>
  <c r="B83" i="54"/>
  <c r="A83" i="54"/>
  <c r="O59" i="54"/>
  <c r="N59" i="54"/>
  <c r="M59" i="54"/>
  <c r="L59" i="54"/>
  <c r="K59" i="54"/>
  <c r="J59" i="54"/>
  <c r="I59" i="54"/>
  <c r="H59" i="54"/>
  <c r="G59" i="54"/>
  <c r="E59" i="54"/>
  <c r="B59" i="54"/>
  <c r="A59" i="54"/>
  <c r="O24" i="54"/>
  <c r="N24" i="54"/>
  <c r="M24" i="54"/>
  <c r="L24" i="54"/>
  <c r="K24" i="54"/>
  <c r="J24" i="54"/>
  <c r="I24" i="54"/>
  <c r="H24" i="54"/>
  <c r="G24" i="54"/>
  <c r="E24" i="54"/>
  <c r="B24" i="54"/>
  <c r="A24" i="54"/>
  <c r="O14" i="54"/>
  <c r="N14" i="54"/>
  <c r="M14" i="54"/>
  <c r="L14" i="54"/>
  <c r="K14" i="54"/>
  <c r="J14" i="54"/>
  <c r="I14" i="54"/>
  <c r="H14" i="54"/>
  <c r="G14" i="54"/>
  <c r="F14" i="54"/>
  <c r="E14" i="54"/>
  <c r="A14" i="54"/>
  <c r="A62" i="54" s="1"/>
  <c r="T11" i="54" l="1"/>
  <c r="T18" i="54" s="1"/>
  <c r="T20" i="54" s="1"/>
  <c r="V5" i="54"/>
  <c r="G158" i="54"/>
  <c r="K158" i="54"/>
  <c r="O158" i="54"/>
  <c r="H158" i="54"/>
  <c r="B158" i="54"/>
  <c r="I158" i="54"/>
  <c r="M158" i="54"/>
  <c r="A158" i="54"/>
  <c r="L158" i="54"/>
  <c r="E158" i="54"/>
  <c r="J158" i="54"/>
  <c r="N158" i="54"/>
  <c r="M62" i="54"/>
  <c r="H62" i="54"/>
  <c r="L62" i="54"/>
  <c r="J62" i="54"/>
  <c r="N62" i="54"/>
  <c r="I62" i="54"/>
  <c r="B62" i="54"/>
  <c r="G62" i="54"/>
  <c r="K62" i="54"/>
  <c r="O62" i="54"/>
  <c r="E62" i="54"/>
  <c r="V11" i="54" l="1"/>
  <c r="V18" i="54" s="1"/>
  <c r="V20" i="54" s="1"/>
  <c r="BO65" i="21" l="1"/>
  <c r="BP65" i="21" s="1"/>
  <c r="BQ65" i="21" s="1"/>
  <c r="BR65" i="21" s="1"/>
  <c r="BS65" i="21" s="1"/>
  <c r="BT65" i="21" s="1"/>
  <c r="BU65" i="21" s="1"/>
  <c r="BV65" i="21" s="1"/>
  <c r="BW65" i="21" s="1"/>
  <c r="BX65" i="21" s="1"/>
  <c r="BY65" i="21" s="1"/>
  <c r="CV60" i="9"/>
  <c r="BZ57" i="9"/>
  <c r="CA57" i="9" s="1"/>
  <c r="CB57" i="9" s="1"/>
  <c r="CC57" i="9" s="1"/>
  <c r="CD57" i="9" s="1"/>
  <c r="CE57" i="9" s="1"/>
  <c r="CF57" i="9" s="1"/>
  <c r="CG57" i="9" s="1"/>
  <c r="CH57" i="9" s="1"/>
  <c r="CI57" i="9" s="1"/>
  <c r="CV57" i="9" l="1"/>
  <c r="CJ57" i="9"/>
  <c r="CW57" i="9" s="1"/>
  <c r="U426" i="9"/>
  <c r="U427" i="9"/>
  <c r="U428" i="9"/>
  <c r="U429" i="9"/>
  <c r="U430" i="9"/>
  <c r="U422" i="9"/>
  <c r="U423" i="9"/>
  <c r="U424" i="9"/>
  <c r="U425" i="9" l="1"/>
  <c r="H885" i="7" l="1"/>
  <c r="C134" i="3"/>
  <c r="G439" i="9" l="1"/>
  <c r="H439" i="9"/>
  <c r="I439" i="9"/>
  <c r="J439" i="9"/>
  <c r="K439" i="9"/>
  <c r="L439" i="9"/>
  <c r="M439" i="9"/>
  <c r="N439" i="9"/>
  <c r="U435" i="9"/>
  <c r="D1372" i="6"/>
  <c r="F42" i="12"/>
  <c r="G42" i="12"/>
  <c r="H42" i="12"/>
  <c r="I42" i="12"/>
  <c r="J42" i="12"/>
  <c r="K42" i="12"/>
  <c r="L42" i="12"/>
  <c r="M42" i="12"/>
  <c r="N42" i="12"/>
  <c r="E42" i="12"/>
  <c r="U179" i="9"/>
  <c r="U434" i="9" l="1"/>
  <c r="U433" i="9"/>
  <c r="T373" i="9" l="1"/>
  <c r="U373" i="9" s="1"/>
  <c r="E370" i="9"/>
  <c r="U261" i="9"/>
  <c r="E244" i="9"/>
  <c r="G107" i="4" l="1"/>
  <c r="D11" i="1"/>
  <c r="H107" i="4" l="1"/>
  <c r="U411" i="9"/>
  <c r="U414" i="9"/>
  <c r="T381" i="9"/>
  <c r="T142" i="9"/>
  <c r="T150" i="9"/>
  <c r="I810" i="7" l="1"/>
  <c r="BZ54" i="9" l="1"/>
  <c r="CA54" i="9" s="1"/>
  <c r="CB54" i="9" s="1"/>
  <c r="CC54" i="9" s="1"/>
  <c r="CD54" i="9" s="1"/>
  <c r="CE54" i="9" s="1"/>
  <c r="CF54" i="9" s="1"/>
  <c r="CG54" i="9" s="1"/>
  <c r="CH54" i="9" s="1"/>
  <c r="CI54" i="9" s="1"/>
  <c r="CJ54" i="9" s="1"/>
  <c r="T157" i="9" l="1"/>
  <c r="A1533" i="6"/>
  <c r="B1533" i="6"/>
  <c r="H1440" i="6"/>
  <c r="H1439" i="6"/>
  <c r="H1422" i="6"/>
  <c r="H1421" i="6"/>
  <c r="H1420" i="6"/>
  <c r="H1419" i="6"/>
  <c r="H1418" i="6"/>
  <c r="H1417" i="6"/>
  <c r="H1416" i="6"/>
  <c r="H1415" i="6"/>
  <c r="H1414" i="6"/>
  <c r="H1413" i="6"/>
  <c r="H1412" i="6"/>
  <c r="C396" i="4"/>
  <c r="H396" i="4"/>
  <c r="AE142" i="9" l="1"/>
  <c r="AE145" i="9"/>
  <c r="AE144" i="9"/>
  <c r="AE143" i="9"/>
  <c r="Z142" i="9"/>
  <c r="Z144" i="9"/>
  <c r="BZ143" i="9"/>
  <c r="U143" i="9"/>
  <c r="Z143" i="9" l="1"/>
  <c r="CM143" i="9"/>
  <c r="CA143" i="9"/>
  <c r="CL143" i="9"/>
  <c r="CB143" i="9" l="1"/>
  <c r="CN143" i="9"/>
  <c r="CC143" i="9" l="1"/>
  <c r="CO143" i="9"/>
  <c r="CD143" i="9" l="1"/>
  <c r="CP143" i="9"/>
  <c r="CQ143" i="9" l="1"/>
  <c r="CE143" i="9"/>
  <c r="CF143" i="9" l="1"/>
  <c r="CR143" i="9"/>
  <c r="CG143" i="9" l="1"/>
  <c r="CS143" i="9"/>
  <c r="CH143" i="9" l="1"/>
  <c r="CT143" i="9"/>
  <c r="CU143" i="9" l="1"/>
  <c r="CI143" i="9"/>
  <c r="CV143" i="9" l="1"/>
  <c r="CJ143" i="9"/>
  <c r="CW143" i="9" s="1"/>
  <c r="Q380" i="9"/>
  <c r="H1064" i="6" l="1"/>
  <c r="U295" i="9" l="1"/>
  <c r="T94" i="9" l="1"/>
  <c r="B26" i="40"/>
  <c r="Q92" i="9" s="1"/>
  <c r="U72" i="22"/>
  <c r="H463" i="8"/>
  <c r="T7" i="21"/>
  <c r="R25" i="21"/>
  <c r="H328" i="8"/>
  <c r="H327" i="8"/>
  <c r="H326" i="8"/>
  <c r="H179" i="8"/>
  <c r="H464" i="8" l="1"/>
  <c r="T50" i="9"/>
  <c r="H807" i="7"/>
  <c r="H550" i="7"/>
  <c r="D91" i="7"/>
  <c r="H91" i="7" l="1"/>
  <c r="H501" i="7"/>
  <c r="H130" i="8"/>
  <c r="G1910" i="6"/>
  <c r="G1912" i="6"/>
  <c r="G1911" i="6"/>
  <c r="H1907" i="6"/>
  <c r="G1890" i="6"/>
  <c r="G1853" i="6"/>
  <c r="H1784" i="6"/>
  <c r="H1972" i="6"/>
  <c r="H1971" i="6"/>
  <c r="D1176" i="6"/>
  <c r="H1176" i="6" s="1"/>
  <c r="T144" i="9"/>
  <c r="T378" i="9" s="1"/>
  <c r="H1127" i="6"/>
  <c r="H1089" i="6"/>
  <c r="Q327" i="9"/>
  <c r="Q345" i="9" s="1"/>
  <c r="H1911" i="6" l="1"/>
  <c r="H1910" i="6"/>
  <c r="H1912" i="6"/>
  <c r="H1909" i="6"/>
  <c r="H1853" i="6"/>
  <c r="H1890" i="6"/>
  <c r="U260" i="9"/>
  <c r="U259" i="9"/>
  <c r="H770" i="6"/>
  <c r="D458" i="5"/>
  <c r="H412" i="5"/>
  <c r="H367" i="5"/>
  <c r="H346" i="5"/>
  <c r="H316" i="5"/>
  <c r="H292" i="5"/>
  <c r="H285" i="5"/>
  <c r="D835" i="4"/>
  <c r="D289" i="4" l="1"/>
  <c r="D839" i="4"/>
  <c r="U14" i="9"/>
  <c r="C133" i="11"/>
  <c r="C104" i="3"/>
  <c r="D1571" i="6"/>
  <c r="D840" i="4" l="1"/>
  <c r="D841" i="4"/>
  <c r="D843" i="4" s="1"/>
  <c r="D852" i="4" s="1"/>
  <c r="D316" i="4"/>
  <c r="D318" i="4" s="1"/>
  <c r="D294" i="4"/>
  <c r="C135" i="11"/>
  <c r="D22" i="4" l="1"/>
  <c r="D296" i="4"/>
  <c r="D1144" i="6"/>
  <c r="D298" i="4" l="1"/>
  <c r="D971" i="4"/>
  <c r="D974" i="4" s="1"/>
  <c r="D33" i="4"/>
  <c r="D25" i="4"/>
  <c r="U329" i="9"/>
  <c r="U327" i="9"/>
  <c r="U328" i="9"/>
  <c r="D994" i="4" l="1"/>
  <c r="D996" i="4" s="1"/>
  <c r="D998" i="4" s="1"/>
  <c r="D1000" i="4" s="1"/>
  <c r="D36" i="4"/>
  <c r="D38" i="4" s="1"/>
  <c r="D958" i="4"/>
  <c r="D961" i="4" s="1"/>
  <c r="D976" i="4" s="1"/>
  <c r="D980" i="4" s="1"/>
  <c r="D309" i="4"/>
  <c r="U49" i="9"/>
  <c r="U42" i="9"/>
  <c r="D1696" i="6"/>
  <c r="C145" i="11"/>
  <c r="U176" i="9" l="1"/>
  <c r="B1813" i="6" l="1"/>
  <c r="H438" i="4" l="1"/>
  <c r="C1168" i="6" l="1"/>
  <c r="B920" i="6"/>
  <c r="A710" i="4"/>
  <c r="B710" i="4"/>
  <c r="T82" i="9"/>
  <c r="D432" i="6" l="1"/>
  <c r="C128" i="11"/>
  <c r="D1168" i="6"/>
  <c r="C125" i="11" l="1"/>
  <c r="U222" i="9"/>
  <c r="E262" i="9"/>
  <c r="E263" i="9" s="1"/>
  <c r="R262" i="9"/>
  <c r="S262" i="9"/>
  <c r="T262" i="9"/>
  <c r="T263" i="9" s="1"/>
  <c r="Q262" i="9"/>
  <c r="Q263" i="9" s="1"/>
  <c r="H988" i="6"/>
  <c r="H991" i="6"/>
  <c r="U245" i="9" l="1"/>
  <c r="H981" i="6" l="1"/>
  <c r="H378" i="5"/>
  <c r="H838" i="6" l="1"/>
  <c r="C92" i="11"/>
  <c r="U258" i="9"/>
  <c r="C98" i="11" l="1"/>
  <c r="C14" i="11" l="1"/>
  <c r="H920" i="7"/>
  <c r="H921" i="7"/>
  <c r="H924" i="7"/>
  <c r="G367" i="7" l="1"/>
  <c r="U142" i="9" l="1"/>
  <c r="U50" i="9" l="1"/>
  <c r="BZ50" i="9"/>
  <c r="CL50" i="9" l="1"/>
  <c r="CM50" i="9"/>
  <c r="CA50" i="9"/>
  <c r="U326" i="9"/>
  <c r="C96" i="11"/>
  <c r="CN50" i="9" l="1"/>
  <c r="CB50" i="9"/>
  <c r="G366" i="7"/>
  <c r="D366" i="7"/>
  <c r="H366" i="7" l="1"/>
  <c r="CC50" i="9"/>
  <c r="CO50" i="9"/>
  <c r="G728" i="4"/>
  <c r="CD50" i="9" l="1"/>
  <c r="CP50" i="9"/>
  <c r="E200" i="9"/>
  <c r="E215" i="9" s="1"/>
  <c r="CQ50" i="9" l="1"/>
  <c r="CE50" i="9"/>
  <c r="D632" i="6"/>
  <c r="U164" i="9"/>
  <c r="U147" i="9"/>
  <c r="U148" i="9"/>
  <c r="U150" i="9"/>
  <c r="D1958" i="6" l="1"/>
  <c r="T199" i="9"/>
  <c r="CF50" i="9"/>
  <c r="CR50" i="9"/>
  <c r="CG50" i="9" l="1"/>
  <c r="CS50" i="9"/>
  <c r="CH50" i="9" l="1"/>
  <c r="CT50" i="9"/>
  <c r="U202" i="9"/>
  <c r="U201" i="9"/>
  <c r="U116" i="22"/>
  <c r="CB117" i="22"/>
  <c r="F141" i="22"/>
  <c r="E68" i="21"/>
  <c r="U48" i="9"/>
  <c r="U30" i="9"/>
  <c r="C25" i="11"/>
  <c r="U117" i="22" l="1"/>
  <c r="CU50" i="9"/>
  <c r="CI50" i="9"/>
  <c r="C650" i="34"/>
  <c r="B650" i="34"/>
  <c r="C644" i="34"/>
  <c r="B644" i="34"/>
  <c r="F436" i="34"/>
  <c r="G436" i="34" s="1"/>
  <c r="H436" i="34" s="1"/>
  <c r="I436" i="34" s="1"/>
  <c r="J436" i="34" s="1"/>
  <c r="K436" i="34" s="1"/>
  <c r="L436" i="34" s="1"/>
  <c r="M436" i="34" s="1"/>
  <c r="N436" i="34" s="1"/>
  <c r="O436" i="34" s="1"/>
  <c r="E451" i="34"/>
  <c r="F451" i="34" s="1"/>
  <c r="G451" i="34" s="1"/>
  <c r="H451" i="34" s="1"/>
  <c r="I451" i="34" s="1"/>
  <c r="J451" i="34" s="1"/>
  <c r="K451" i="34" s="1"/>
  <c r="L451" i="34" s="1"/>
  <c r="M451" i="34" s="1"/>
  <c r="N451" i="34" s="1"/>
  <c r="O451" i="34" s="1"/>
  <c r="CV50" i="9" l="1"/>
  <c r="CJ50" i="9"/>
  <c r="CW50" i="9" s="1"/>
  <c r="D325" i="34"/>
  <c r="C325" i="34"/>
  <c r="B325" i="34"/>
  <c r="C295" i="8"/>
  <c r="D741" i="34" s="1"/>
  <c r="C191" i="8"/>
  <c r="C460" i="8" l="1"/>
  <c r="C325" i="8"/>
  <c r="C190" i="8"/>
  <c r="D20" i="20" l="1"/>
  <c r="D22" i="20"/>
  <c r="F22" i="20"/>
  <c r="E16" i="20"/>
  <c r="F16" i="20"/>
  <c r="A173" i="3" s="1"/>
  <c r="G16" i="20"/>
  <c r="A177" i="3" s="1"/>
  <c r="H16" i="20"/>
  <c r="B173" i="3" s="1"/>
  <c r="D16" i="20"/>
  <c r="F746" i="34" l="1"/>
  <c r="F742" i="34"/>
  <c r="D738" i="34"/>
  <c r="BO7" i="21"/>
  <c r="N294" i="34"/>
  <c r="M294" i="34"/>
  <c r="L294" i="34"/>
  <c r="K294" i="34"/>
  <c r="J294" i="34"/>
  <c r="I294" i="34"/>
  <c r="H294" i="34"/>
  <c r="G294" i="34"/>
  <c r="F294" i="34"/>
  <c r="E294" i="34"/>
  <c r="D294" i="34"/>
  <c r="B294" i="34"/>
  <c r="B293" i="34"/>
  <c r="B295" i="34" s="1"/>
  <c r="C294" i="34"/>
  <c r="E289" i="34"/>
  <c r="F289" i="34"/>
  <c r="G289" i="34"/>
  <c r="H289" i="34"/>
  <c r="I289" i="34"/>
  <c r="J289" i="34"/>
  <c r="K289" i="34"/>
  <c r="L289" i="34"/>
  <c r="M289" i="34"/>
  <c r="N289" i="34"/>
  <c r="B288" i="34"/>
  <c r="C289" i="34"/>
  <c r="D289" i="34"/>
  <c r="B585" i="34"/>
  <c r="C585" i="34"/>
  <c r="B580" i="34"/>
  <c r="C580" i="34"/>
  <c r="B581" i="34"/>
  <c r="C581" i="34"/>
  <c r="B582" i="34"/>
  <c r="C582" i="34"/>
  <c r="E616" i="34"/>
  <c r="BP7" i="21" l="1"/>
  <c r="BQ7" i="21" s="1"/>
  <c r="BR7" i="21" s="1"/>
  <c r="BS7" i="21" s="1"/>
  <c r="BT7" i="21" s="1"/>
  <c r="BU7" i="21" s="1"/>
  <c r="BV7" i="21" s="1"/>
  <c r="BW7" i="21" s="1"/>
  <c r="BX7" i="21" s="1"/>
  <c r="CB7" i="21"/>
  <c r="CA7" i="21"/>
  <c r="CK7" i="21" l="1"/>
  <c r="BY7" i="21"/>
  <c r="CC7" i="21"/>
  <c r="CD7" i="21" l="1"/>
  <c r="CE7" i="21" l="1"/>
  <c r="CF7" i="21" l="1"/>
  <c r="CG7" i="21" l="1"/>
  <c r="CH7" i="21" l="1"/>
  <c r="CJ7" i="21" l="1"/>
  <c r="CI7" i="21"/>
  <c r="E415" i="9" l="1"/>
  <c r="E416" i="9" s="1"/>
  <c r="D320" i="6"/>
  <c r="U144" i="9"/>
  <c r="U127" i="9" l="1"/>
  <c r="U10" i="9" l="1"/>
  <c r="U9" i="9"/>
  <c r="H767" i="4"/>
  <c r="H427" i="4"/>
  <c r="H393" i="4"/>
  <c r="C11" i="11" l="1"/>
  <c r="C16" i="11"/>
  <c r="H424" i="4" l="1"/>
  <c r="H817" i="7"/>
  <c r="H799" i="7"/>
  <c r="D526" i="8"/>
  <c r="D62" i="8"/>
  <c r="E747" i="34" l="1"/>
  <c r="T204" i="9"/>
  <c r="U204" i="9" s="1"/>
  <c r="D1459" i="6"/>
  <c r="H1411" i="6" l="1"/>
  <c r="U254" i="9"/>
  <c r="U255" i="9"/>
  <c r="U256" i="9"/>
  <c r="J26" i="14" l="1"/>
  <c r="B322" i="42" l="1"/>
  <c r="B321" i="42"/>
  <c r="AR41" i="42"/>
  <c r="AD41" i="42"/>
  <c r="AS41" i="42"/>
  <c r="AE41" i="42"/>
  <c r="B359" i="42"/>
  <c r="C302" i="42" l="1"/>
  <c r="B272" i="42"/>
  <c r="B315" i="42"/>
  <c r="M67" i="13" l="1"/>
  <c r="M123" i="13" s="1"/>
  <c r="L67" i="13"/>
  <c r="L123" i="13" s="1"/>
  <c r="K67" i="13"/>
  <c r="L215" i="15" s="1"/>
  <c r="L160" i="15" s="1"/>
  <c r="J67" i="13"/>
  <c r="K215" i="15" s="1"/>
  <c r="K160" i="15" s="1"/>
  <c r="I67" i="13"/>
  <c r="I123" i="13" s="1"/>
  <c r="H67" i="13"/>
  <c r="I215" i="15" s="1"/>
  <c r="I160" i="15" s="1"/>
  <c r="G67" i="13"/>
  <c r="H215" i="15" s="1"/>
  <c r="H160" i="15" s="1"/>
  <c r="F67" i="13"/>
  <c r="G215" i="15" s="1"/>
  <c r="G160" i="15" s="1"/>
  <c r="E67" i="13"/>
  <c r="E123" i="13" s="1"/>
  <c r="C67" i="13"/>
  <c r="C123" i="13" s="1"/>
  <c r="Q32" i="42"/>
  <c r="A67" i="13"/>
  <c r="P32" i="42" s="1"/>
  <c r="S32" i="42" l="1"/>
  <c r="G123" i="13"/>
  <c r="K123" i="13"/>
  <c r="U32" i="42"/>
  <c r="Y32" i="42"/>
  <c r="A215" i="15"/>
  <c r="A160" i="15" s="1"/>
  <c r="B123" i="13"/>
  <c r="A123" i="13"/>
  <c r="M215" i="15"/>
  <c r="M160" i="15" s="1"/>
  <c r="B215" i="15"/>
  <c r="B160" i="15" s="1"/>
  <c r="R32" i="42"/>
  <c r="Z32" i="42"/>
  <c r="V32" i="42"/>
  <c r="N215" i="15"/>
  <c r="N160" i="15" s="1"/>
  <c r="J215" i="15"/>
  <c r="J160" i="15" s="1"/>
  <c r="F123" i="13"/>
  <c r="J123" i="13"/>
  <c r="T32" i="42"/>
  <c r="X32" i="42"/>
  <c r="C215" i="15"/>
  <c r="H123" i="13"/>
  <c r="AA32" i="42"/>
  <c r="W32" i="42"/>
  <c r="E215" i="15"/>
  <c r="C160" i="15" l="1"/>
  <c r="F215" i="15"/>
  <c r="E160" i="15"/>
  <c r="G1756" i="6"/>
  <c r="P1755" i="6"/>
  <c r="O1755" i="6"/>
  <c r="N1755" i="6"/>
  <c r="M1755" i="6"/>
  <c r="L1755" i="6"/>
  <c r="K1755" i="6"/>
  <c r="J1755" i="6"/>
  <c r="I1755" i="6"/>
  <c r="G1755" i="6"/>
  <c r="D1756" i="6"/>
  <c r="D1755" i="6"/>
  <c r="D1754" i="6"/>
  <c r="A1756" i="6"/>
  <c r="A1755" i="6"/>
  <c r="B1754" i="6"/>
  <c r="A1754" i="6"/>
  <c r="C1755" i="6"/>
  <c r="C1754" i="6"/>
  <c r="D577" i="6"/>
  <c r="B577" i="6"/>
  <c r="B604" i="6" s="1"/>
  <c r="B2074" i="6" s="1"/>
  <c r="B53" i="6" s="1"/>
  <c r="A577" i="6"/>
  <c r="A604" i="6" s="1"/>
  <c r="A2074" i="6" s="1"/>
  <c r="A53" i="6" s="1"/>
  <c r="C577" i="6"/>
  <c r="C604" i="6" s="1"/>
  <c r="C2074" i="6" s="1"/>
  <c r="C53" i="6" s="1"/>
  <c r="H1719" i="6"/>
  <c r="H1756" i="6" l="1"/>
  <c r="H1755" i="6"/>
  <c r="D604" i="6"/>
  <c r="F160" i="15"/>
  <c r="G1754" i="6"/>
  <c r="H1754" i="6" s="1"/>
  <c r="G577" i="6"/>
  <c r="H577" i="6" s="1"/>
  <c r="D2074" i="6" l="1"/>
  <c r="D53" i="6" s="1"/>
  <c r="G604" i="6"/>
  <c r="H604" i="6" s="1"/>
  <c r="B821" i="6"/>
  <c r="B820" i="6"/>
  <c r="B313" i="42"/>
  <c r="C876" i="6"/>
  <c r="G2074" i="6" l="1"/>
  <c r="G53" i="6" s="1"/>
  <c r="H53" i="6" s="1"/>
  <c r="B94" i="12"/>
  <c r="C94" i="12"/>
  <c r="C25" i="12" l="1"/>
  <c r="C1001" i="7" l="1"/>
  <c r="B290" i="42"/>
  <c r="D290" i="42" s="1"/>
  <c r="B291" i="42"/>
  <c r="D291" i="42" s="1"/>
  <c r="B316" i="42"/>
  <c r="D316" i="42" s="1"/>
  <c r="B312" i="42"/>
  <c r="D312" i="42" s="1"/>
  <c r="B310" i="42"/>
  <c r="D310" i="42" s="1"/>
  <c r="B309" i="42"/>
  <c r="D309" i="42" s="1"/>
  <c r="B308" i="42"/>
  <c r="D308" i="42" s="1"/>
  <c r="B306" i="42"/>
  <c r="D306" i="42" s="1"/>
  <c r="B305" i="42"/>
  <c r="D305" i="42" s="1"/>
  <c r="B289" i="42"/>
  <c r="D289" i="42" s="1"/>
  <c r="B288" i="42"/>
  <c r="D288" i="42" s="1"/>
  <c r="B284" i="42"/>
  <c r="D284" i="42" s="1"/>
  <c r="B280" i="42"/>
  <c r="C273" i="42"/>
  <c r="C318" i="42"/>
  <c r="D317" i="42"/>
  <c r="D315" i="42"/>
  <c r="D314" i="42"/>
  <c r="D313" i="42"/>
  <c r="B301" i="42"/>
  <c r="D301" i="42" s="1"/>
  <c r="B299" i="42"/>
  <c r="C294" i="42"/>
  <c r="C285" i="42"/>
  <c r="C281" i="42"/>
  <c r="D299" i="42" l="1"/>
  <c r="D280" i="42"/>
  <c r="C296" i="42"/>
  <c r="B357" i="42" l="1"/>
  <c r="B341" i="42"/>
  <c r="B330" i="42" l="1"/>
  <c r="B331" i="42" l="1"/>
  <c r="B329" i="42"/>
  <c r="B327" i="42"/>
  <c r="B326" i="42"/>
  <c r="B325" i="42"/>
  <c r="B324" i="42"/>
  <c r="D322" i="42"/>
  <c r="D321" i="42"/>
  <c r="B356" i="42"/>
  <c r="D356" i="42" s="1"/>
  <c r="B339" i="42"/>
  <c r="B338" i="42"/>
  <c r="B337" i="42"/>
  <c r="B354" i="42"/>
  <c r="D354" i="42" s="1"/>
  <c r="B353" i="42"/>
  <c r="D353" i="42" s="1"/>
  <c r="C333" i="42"/>
  <c r="H32" i="42" l="1"/>
  <c r="E32" i="42"/>
  <c r="M32" i="42"/>
  <c r="G32" i="42"/>
  <c r="K32" i="42"/>
  <c r="D32" i="42"/>
  <c r="L32" i="42"/>
  <c r="I32" i="42"/>
  <c r="F32" i="42"/>
  <c r="J32" i="42"/>
  <c r="C32" i="42" l="1"/>
  <c r="B32" i="42"/>
  <c r="C349" i="42" l="1"/>
  <c r="C364" i="42" s="1"/>
  <c r="C361" i="42"/>
  <c r="D359" i="42"/>
  <c r="D357" i="42"/>
  <c r="C342" i="42"/>
  <c r="D341" i="42"/>
  <c r="D339" i="42"/>
  <c r="D338" i="42"/>
  <c r="D337" i="42"/>
  <c r="D335" i="42"/>
  <c r="D331" i="42"/>
  <c r="D330" i="42"/>
  <c r="D329" i="42"/>
  <c r="D327" i="42"/>
  <c r="D326" i="42"/>
  <c r="D325" i="42"/>
  <c r="D324" i="42"/>
  <c r="A937" i="7"/>
  <c r="B937" i="7"/>
  <c r="C365" i="42" l="1"/>
  <c r="A451" i="7"/>
  <c r="A389" i="7"/>
  <c r="A390" i="7"/>
  <c r="P1001" i="7"/>
  <c r="O1001" i="7"/>
  <c r="N1001" i="7"/>
  <c r="M1001" i="7"/>
  <c r="L1001" i="7"/>
  <c r="K1001" i="7"/>
  <c r="J1001" i="7"/>
  <c r="I1001" i="7"/>
  <c r="G1001" i="7"/>
  <c r="G1000" i="7"/>
  <c r="D1225" i="7"/>
  <c r="D1001" i="7"/>
  <c r="D1000" i="7"/>
  <c r="B1002" i="7"/>
  <c r="B1225" i="7" s="1"/>
  <c r="A1002" i="7"/>
  <c r="A1225" i="7" s="1"/>
  <c r="B1001" i="7"/>
  <c r="A1001" i="7"/>
  <c r="B1000" i="7"/>
  <c r="A1000" i="7"/>
  <c r="B271" i="42"/>
  <c r="D271" i="42" s="1"/>
  <c r="B270" i="42"/>
  <c r="D270" i="42" s="1"/>
  <c r="B269" i="42"/>
  <c r="D269" i="42" s="1"/>
  <c r="B268" i="42"/>
  <c r="B263" i="42"/>
  <c r="D263" i="42" s="1"/>
  <c r="B264" i="42"/>
  <c r="D264" i="42" s="1"/>
  <c r="B262" i="42"/>
  <c r="D262" i="42" s="1"/>
  <c r="C265" i="42"/>
  <c r="C275" i="42" s="1"/>
  <c r="H1001" i="7" l="1"/>
  <c r="H1000" i="7"/>
  <c r="C367" i="42"/>
  <c r="A395" i="7"/>
  <c r="D268" i="42"/>
  <c r="B273" i="42"/>
  <c r="D272" i="42"/>
  <c r="B265" i="42"/>
  <c r="D265" i="42"/>
  <c r="D273" i="42" l="1"/>
  <c r="D275" i="42" s="1"/>
  <c r="B275" i="42"/>
  <c r="Q7" i="42" l="1"/>
  <c r="B39" i="15" s="1"/>
  <c r="D630" i="7" l="1"/>
  <c r="D1222" i="7" s="1"/>
  <c r="B630" i="7"/>
  <c r="B1222" i="7" s="1"/>
  <c r="A630" i="7"/>
  <c r="A1222" i="7" s="1"/>
  <c r="C630" i="7"/>
  <c r="C1222" i="7" s="1"/>
  <c r="C179" i="7"/>
  <c r="C182" i="7" s="1"/>
  <c r="F1213" i="7"/>
  <c r="F1211" i="7"/>
  <c r="D179" i="7"/>
  <c r="D182" i="7" s="1"/>
  <c r="A179" i="7"/>
  <c r="A182" i="7" s="1"/>
  <c r="B179" i="7"/>
  <c r="B182" i="7" s="1"/>
  <c r="H627" i="7"/>
  <c r="D42" i="7" l="1"/>
  <c r="C66" i="13" s="1"/>
  <c r="G630" i="7"/>
  <c r="H630" i="7" s="1"/>
  <c r="A42" i="7"/>
  <c r="C42" i="7"/>
  <c r="B66" i="13" s="1"/>
  <c r="B42" i="7"/>
  <c r="A66" i="13" s="1"/>
  <c r="G179" i="7"/>
  <c r="H179" i="7" s="1"/>
  <c r="C122" i="13" l="1"/>
  <c r="R31" i="42"/>
  <c r="D31" i="42" s="1"/>
  <c r="C214" i="15"/>
  <c r="C159" i="15" s="1"/>
  <c r="G1222" i="7"/>
  <c r="A214" i="15"/>
  <c r="A122" i="13"/>
  <c r="P31" i="42"/>
  <c r="B31" i="42" s="1"/>
  <c r="B214" i="15"/>
  <c r="B122" i="13"/>
  <c r="Q31" i="42"/>
  <c r="C31" i="42" s="1"/>
  <c r="G182" i="7"/>
  <c r="H182" i="7" s="1"/>
  <c r="B159" i="15" l="1"/>
  <c r="A159" i="15"/>
  <c r="G42" i="7"/>
  <c r="H42" i="7" l="1"/>
  <c r="E66" i="13"/>
  <c r="F66" i="13"/>
  <c r="G214" i="15" s="1"/>
  <c r="G159" i="15" s="1"/>
  <c r="D48" i="8"/>
  <c r="B48" i="8"/>
  <c r="A48" i="8"/>
  <c r="C48" i="8"/>
  <c r="F122" i="13" l="1"/>
  <c r="T31" i="42"/>
  <c r="F31" i="42" s="1"/>
  <c r="N11" i="16" l="1"/>
  <c r="M11" i="16"/>
  <c r="N268" i="15" s="1"/>
  <c r="L11" i="16"/>
  <c r="M268" i="15" s="1"/>
  <c r="K11" i="16"/>
  <c r="L268" i="15" s="1"/>
  <c r="J11" i="16"/>
  <c r="K268" i="15" s="1"/>
  <c r="I11" i="16"/>
  <c r="J268" i="15" s="1"/>
  <c r="H11" i="16"/>
  <c r="I268" i="15" s="1"/>
  <c r="G11" i="16"/>
  <c r="H268" i="15" s="1"/>
  <c r="F11" i="16"/>
  <c r="G268" i="15" s="1"/>
  <c r="C11" i="16"/>
  <c r="C246" i="15" s="1"/>
  <c r="B11" i="16"/>
  <c r="B246" i="15" s="1"/>
  <c r="A11" i="16"/>
  <c r="A246" i="15" s="1"/>
  <c r="A268" i="15" s="1"/>
  <c r="C12" i="16"/>
  <c r="C247" i="15" s="1"/>
  <c r="C269" i="15" s="1"/>
  <c r="B27" i="16"/>
  <c r="B12" i="16" s="1"/>
  <c r="B247" i="15" s="1"/>
  <c r="B269" i="15" s="1"/>
  <c r="A27" i="16"/>
  <c r="A12" i="16" s="1"/>
  <c r="O268" i="15" l="1"/>
  <c r="O138" i="15"/>
  <c r="O162" i="15" s="1"/>
  <c r="C268" i="15"/>
  <c r="A247" i="15"/>
  <c r="B268" i="15"/>
  <c r="F246" i="15"/>
  <c r="E268" i="15" l="1"/>
  <c r="F268" i="15" s="1"/>
  <c r="A269" i="15"/>
  <c r="C1747" i="6"/>
  <c r="C1756" i="6" s="1"/>
  <c r="C1028" i="6"/>
  <c r="B346" i="42" l="1"/>
  <c r="D346" i="42" s="1"/>
  <c r="C249" i="6"/>
  <c r="AT21" i="42"/>
  <c r="AS21" i="42"/>
  <c r="AS22" i="42" l="1"/>
  <c r="AS12" i="42"/>
  <c r="D96" i="34"/>
  <c r="F72" i="34"/>
  <c r="D55" i="34"/>
  <c r="D15" i="34"/>
  <c r="D6" i="34"/>
  <c r="B108" i="15" l="1"/>
  <c r="B117" i="15"/>
  <c r="D339" i="34" s="1"/>
  <c r="D865" i="7"/>
  <c r="D864" i="7"/>
  <c r="C81" i="12" l="1"/>
  <c r="C351" i="6"/>
  <c r="D32" i="11"/>
  <c r="AD40" i="11"/>
  <c r="AA40" i="11"/>
  <c r="X40" i="11"/>
  <c r="U40" i="11"/>
  <c r="R40" i="11"/>
  <c r="O40" i="11"/>
  <c r="L40" i="11"/>
  <c r="I40" i="11"/>
  <c r="C40" i="11"/>
  <c r="AD19" i="11"/>
  <c r="AD18" i="11"/>
  <c r="AA19" i="11"/>
  <c r="AA18" i="11"/>
  <c r="X19" i="11"/>
  <c r="X18" i="11"/>
  <c r="U19" i="11"/>
  <c r="U18" i="11"/>
  <c r="R19" i="11"/>
  <c r="R18" i="11"/>
  <c r="O19" i="11"/>
  <c r="O18" i="11"/>
  <c r="L19" i="11"/>
  <c r="L18" i="11"/>
  <c r="I19" i="11"/>
  <c r="I18" i="11"/>
  <c r="F19" i="11"/>
  <c r="C18" i="11"/>
  <c r="C67" i="12"/>
  <c r="D40" i="11" l="1"/>
  <c r="E40" i="11" s="1"/>
  <c r="G40" i="11" s="1"/>
  <c r="H40" i="11" s="1"/>
  <c r="J40" i="11" s="1"/>
  <c r="K40" i="11" s="1"/>
  <c r="M40" i="11" s="1"/>
  <c r="N40" i="11" s="1"/>
  <c r="P40" i="11" s="1"/>
  <c r="Q40" i="11" s="1"/>
  <c r="S40" i="11" s="1"/>
  <c r="T40" i="11" s="1"/>
  <c r="V40" i="11" s="1"/>
  <c r="W40" i="11" s="1"/>
  <c r="Y40" i="11" s="1"/>
  <c r="Z40" i="11" s="1"/>
  <c r="AB40" i="11" s="1"/>
  <c r="AC40" i="11" s="1"/>
  <c r="AE40" i="11" s="1"/>
  <c r="AF40" i="11" s="1"/>
  <c r="AH40" i="11" s="1"/>
  <c r="AI40" i="11" s="1"/>
  <c r="AK40" i="11" s="1"/>
  <c r="D18" i="11"/>
  <c r="E18" i="11" s="1"/>
  <c r="G196" i="3"/>
  <c r="E449" i="9"/>
  <c r="E450" i="9" s="1"/>
  <c r="H59" i="14"/>
  <c r="I10" i="20"/>
  <c r="I16" i="20" s="1"/>
  <c r="B177" i="3" s="1"/>
  <c r="C2011" i="6" l="1"/>
  <c r="C2010" i="6"/>
  <c r="C2005" i="6"/>
  <c r="C2006" i="6"/>
  <c r="B141" i="3" l="1"/>
  <c r="B142" i="3" s="1"/>
  <c r="B313" i="15"/>
  <c r="C27" i="17"/>
  <c r="C12" i="17" s="1"/>
  <c r="C296" i="15" s="1"/>
  <c r="B27" i="17"/>
  <c r="A27" i="17"/>
  <c r="A12" i="17" s="1"/>
  <c r="A296" i="15" s="1"/>
  <c r="D410" i="6"/>
  <c r="C410" i="6"/>
  <c r="A410" i="6"/>
  <c r="B410" i="6"/>
  <c r="C318" i="15" l="1"/>
  <c r="A318" i="15"/>
  <c r="B12" i="17"/>
  <c r="B296" i="15" l="1"/>
  <c r="B723" i="34"/>
  <c r="E723" i="34"/>
  <c r="B318" i="15" l="1"/>
  <c r="D731" i="34"/>
  <c r="B731" i="34"/>
  <c r="C731" i="34"/>
  <c r="E731" i="34"/>
  <c r="N313" i="15" l="1"/>
  <c r="M313" i="15"/>
  <c r="L313" i="15"/>
  <c r="K313" i="15"/>
  <c r="J313" i="15"/>
  <c r="I313" i="15"/>
  <c r="H313" i="15"/>
  <c r="G313" i="15"/>
  <c r="E313" i="15"/>
  <c r="C313" i="15"/>
  <c r="F313" i="15" s="1"/>
  <c r="C152" i="6"/>
  <c r="B152" i="6"/>
  <c r="A152" i="6"/>
  <c r="D152" i="6"/>
  <c r="A149" i="6" l="1"/>
  <c r="A148" i="6"/>
  <c r="A147" i="6"/>
  <c r="A146" i="6"/>
  <c r="A145" i="6"/>
  <c r="A144" i="6"/>
  <c r="A143" i="6"/>
  <c r="C149" i="6"/>
  <c r="B149" i="6"/>
  <c r="C148" i="6"/>
  <c r="B148" i="6"/>
  <c r="C147" i="6"/>
  <c r="B147" i="6"/>
  <c r="C146" i="6"/>
  <c r="B146" i="6"/>
  <c r="C145" i="6"/>
  <c r="B145" i="6"/>
  <c r="C144" i="6"/>
  <c r="B144" i="6"/>
  <c r="C143" i="6"/>
  <c r="B143" i="6"/>
  <c r="G149" i="6"/>
  <c r="G147" i="6"/>
  <c r="G146" i="6"/>
  <c r="G145" i="6"/>
  <c r="G144" i="6"/>
  <c r="G143" i="6"/>
  <c r="D144" i="6"/>
  <c r="D147" i="6"/>
  <c r="D146" i="6"/>
  <c r="D145" i="6"/>
  <c r="D143" i="6"/>
  <c r="H144" i="6" l="1"/>
  <c r="H147" i="6"/>
  <c r="H143" i="6"/>
  <c r="H146" i="6"/>
  <c r="H145" i="6"/>
  <c r="C1846" i="6"/>
  <c r="C1922" i="6"/>
  <c r="C1858" i="6"/>
  <c r="H1673" i="6" l="1"/>
  <c r="C1606" i="6"/>
  <c r="C1613" i="6"/>
  <c r="C1589" i="6"/>
  <c r="C1532" i="6"/>
  <c r="C1538" i="6"/>
  <c r="D417" i="6"/>
  <c r="A417" i="6"/>
  <c r="B417" i="6"/>
  <c r="C417" i="6"/>
  <c r="H1525" i="6"/>
  <c r="D1458" i="6"/>
  <c r="C1330" i="6"/>
  <c r="C1288" i="6"/>
  <c r="C1289" i="6"/>
  <c r="C1247" i="6"/>
  <c r="C1181" i="6"/>
  <c r="C1173" i="6"/>
  <c r="Q145" i="9"/>
  <c r="C1109" i="6"/>
  <c r="D726" i="34" s="1"/>
  <c r="C1094" i="6"/>
  <c r="C1099" i="6"/>
  <c r="C1040" i="6"/>
  <c r="A971" i="6"/>
  <c r="C914" i="6"/>
  <c r="C920" i="6"/>
  <c r="D1145" i="6" l="1"/>
  <c r="U145" i="9"/>
  <c r="D723" i="34"/>
  <c r="G417" i="6"/>
  <c r="H417" i="6" s="1"/>
  <c r="C840" i="7"/>
  <c r="C824" i="7"/>
  <c r="C563" i="7"/>
  <c r="C508" i="7"/>
  <c r="C937" i="7"/>
  <c r="C1002" i="7" s="1"/>
  <c r="D373" i="7"/>
  <c r="D397" i="7" s="1"/>
  <c r="D43" i="7" s="1"/>
  <c r="C13" i="13" s="1"/>
  <c r="A373" i="7"/>
  <c r="A397" i="7" s="1"/>
  <c r="A43" i="7" s="1"/>
  <c r="B373" i="7"/>
  <c r="B397" i="7" s="1"/>
  <c r="H937" i="7"/>
  <c r="C358" i="7"/>
  <c r="C396" i="7" s="1"/>
  <c r="B358" i="7"/>
  <c r="B396" i="7" s="1"/>
  <c r="A358" i="7"/>
  <c r="A396" i="7" s="1"/>
  <c r="P358" i="7"/>
  <c r="P396" i="7" s="1"/>
  <c r="O358" i="7"/>
  <c r="O396" i="7" s="1"/>
  <c r="N358" i="7"/>
  <c r="N396" i="7" s="1"/>
  <c r="M358" i="7"/>
  <c r="M396" i="7" s="1"/>
  <c r="L358" i="7"/>
  <c r="L396" i="7" s="1"/>
  <c r="K358" i="7"/>
  <c r="K396" i="7" s="1"/>
  <c r="J358" i="7"/>
  <c r="J396" i="7" s="1"/>
  <c r="I358" i="7"/>
  <c r="I396" i="7" s="1"/>
  <c r="G358" i="7"/>
  <c r="D358" i="7"/>
  <c r="C1078" i="7"/>
  <c r="B287" i="42" s="1"/>
  <c r="D287" i="42" s="1"/>
  <c r="C1225" i="7" l="1"/>
  <c r="D396" i="7"/>
  <c r="D44" i="7" s="1"/>
  <c r="H358" i="7"/>
  <c r="G396" i="7"/>
  <c r="G1224" i="7" s="1"/>
  <c r="N44" i="7"/>
  <c r="N1224" i="7"/>
  <c r="L1224" i="7"/>
  <c r="L44" i="7"/>
  <c r="P1224" i="7"/>
  <c r="P44" i="7"/>
  <c r="C44" i="7"/>
  <c r="C1224" i="7"/>
  <c r="I1224" i="7"/>
  <c r="I44" i="7"/>
  <c r="M1224" i="7"/>
  <c r="M44" i="7"/>
  <c r="J44" i="7"/>
  <c r="J1224" i="7"/>
  <c r="A1224" i="7"/>
  <c r="A44" i="7"/>
  <c r="K44" i="7"/>
  <c r="K1224" i="7"/>
  <c r="O44" i="7"/>
  <c r="O1224" i="7"/>
  <c r="B1224" i="7"/>
  <c r="B44" i="7"/>
  <c r="C49" i="13"/>
  <c r="B43" i="7"/>
  <c r="G1002" i="7"/>
  <c r="C373" i="7"/>
  <c r="C397" i="7" s="1"/>
  <c r="G373" i="7"/>
  <c r="H373" i="7" s="1"/>
  <c r="A45" i="8"/>
  <c r="H521" i="8"/>
  <c r="AF12" i="42"/>
  <c r="AE12" i="42"/>
  <c r="AD12" i="42"/>
  <c r="C44" i="8"/>
  <c r="A44" i="8"/>
  <c r="H190" i="8"/>
  <c r="B190" i="8"/>
  <c r="B45" i="8" s="1"/>
  <c r="G44" i="7" l="1"/>
  <c r="H44" i="7" s="1"/>
  <c r="D1224" i="7"/>
  <c r="H396" i="7"/>
  <c r="C43" i="7"/>
  <c r="B13" i="13" s="1"/>
  <c r="B49" i="13" s="1"/>
  <c r="B192" i="15" s="1"/>
  <c r="G1225" i="7"/>
  <c r="H1002" i="7"/>
  <c r="G397" i="7"/>
  <c r="R30" i="42"/>
  <c r="D30" i="42" s="1"/>
  <c r="C192" i="15"/>
  <c r="C65" i="13"/>
  <c r="B278" i="42"/>
  <c r="AE8" i="42"/>
  <c r="A13" i="13"/>
  <c r="B65" i="13" l="1"/>
  <c r="Q30" i="42"/>
  <c r="C30" i="42" s="1"/>
  <c r="G43" i="7"/>
  <c r="H43" i="7" s="1"/>
  <c r="H397" i="7"/>
  <c r="B216" i="15"/>
  <c r="B137" i="15"/>
  <c r="B161" i="15" s="1"/>
  <c r="C137" i="15"/>
  <c r="C216" i="15"/>
  <c r="D278" i="42"/>
  <c r="A49" i="13"/>
  <c r="H307" i="8"/>
  <c r="C300" i="8"/>
  <c r="C249" i="8"/>
  <c r="C186" i="8"/>
  <c r="E13" i="13" l="1"/>
  <c r="E49" i="13" s="1"/>
  <c r="E192" i="15" s="1"/>
  <c r="C161" i="15"/>
  <c r="P30" i="42"/>
  <c r="B30" i="42" s="1"/>
  <c r="A192" i="15"/>
  <c r="A65" i="13"/>
  <c r="E65" i="13" l="1"/>
  <c r="S30" i="42"/>
  <c r="E30" i="42" s="1"/>
  <c r="F192" i="15"/>
  <c r="E216" i="15"/>
  <c r="F216" i="15" s="1"/>
  <c r="E137" i="15"/>
  <c r="A137" i="15"/>
  <c r="A216" i="15"/>
  <c r="C60" i="27"/>
  <c r="C38" i="27"/>
  <c r="C25" i="27"/>
  <c r="E161" i="15" l="1"/>
  <c r="F161" i="15" s="1"/>
  <c r="F137" i="15"/>
  <c r="A161" i="15"/>
  <c r="C584" i="4"/>
  <c r="C904" i="4"/>
  <c r="C743" i="4"/>
  <c r="C829" i="4"/>
  <c r="C814" i="4"/>
  <c r="B328" i="42" l="1"/>
  <c r="D328" i="42" s="1"/>
  <c r="C697" i="4"/>
  <c r="C20" i="12"/>
  <c r="C21" i="12"/>
  <c r="C400" i="4"/>
  <c r="E33" i="12"/>
  <c r="E17" i="12"/>
  <c r="D362" i="8"/>
  <c r="D95" i="15"/>
  <c r="A95" i="15"/>
  <c r="D64" i="15"/>
  <c r="A64" i="15"/>
  <c r="D33" i="15"/>
  <c r="A33" i="15"/>
  <c r="D2" i="15"/>
  <c r="A2" i="15"/>
  <c r="D285" i="15"/>
  <c r="A285" i="15"/>
  <c r="D236" i="15"/>
  <c r="A236" i="15"/>
  <c r="D181" i="15"/>
  <c r="A181" i="15"/>
  <c r="AF117" i="9" l="1"/>
  <c r="AA117" i="9"/>
  <c r="G235" i="3" s="1"/>
  <c r="D249" i="6"/>
  <c r="H117" i="9"/>
  <c r="G117" i="9"/>
  <c r="F117" i="9"/>
  <c r="BZ117" i="9"/>
  <c r="V117" i="9" l="1"/>
  <c r="V138" i="9" s="1"/>
  <c r="AA138" i="9"/>
  <c r="I1079" i="6" s="1"/>
  <c r="H235" i="3"/>
  <c r="AF138" i="9"/>
  <c r="J1079" i="6" s="1"/>
  <c r="AJ117" i="9"/>
  <c r="AE117" i="9"/>
  <c r="H249" i="6"/>
  <c r="CM117" i="9"/>
  <c r="CA117" i="9"/>
  <c r="Z117" i="9" l="1"/>
  <c r="G1079" i="6"/>
  <c r="V346" i="9"/>
  <c r="F235" i="3"/>
  <c r="CB117" i="9"/>
  <c r="CN117" i="9"/>
  <c r="CC117" i="9" l="1"/>
  <c r="CO117" i="9"/>
  <c r="CD117" i="9" l="1"/>
  <c r="N94" i="12"/>
  <c r="M94" i="12"/>
  <c r="L94" i="12"/>
  <c r="K94" i="12"/>
  <c r="J94" i="12"/>
  <c r="I94" i="12"/>
  <c r="H94" i="12"/>
  <c r="G94" i="12"/>
  <c r="F94" i="12"/>
  <c r="E94" i="12"/>
  <c r="A94" i="12"/>
  <c r="CE117" i="9" l="1"/>
  <c r="A26" i="12"/>
  <c r="CF117" i="9" l="1"/>
  <c r="CG117" i="9" l="1"/>
  <c r="D847" i="6"/>
  <c r="H847" i="6" s="1"/>
  <c r="D29" i="48" l="1"/>
  <c r="CH117" i="9"/>
  <c r="CI117" i="9" s="1"/>
  <c r="CJ117" i="9" s="1"/>
  <c r="S301" i="9" l="1"/>
  <c r="Q287" i="9"/>
  <c r="U287" i="9" s="1"/>
  <c r="T410" i="9"/>
  <c r="T409" i="9"/>
  <c r="R372" i="9"/>
  <c r="S372" i="9"/>
  <c r="T432" i="9"/>
  <c r="T439" i="9" s="1"/>
  <c r="U291" i="9"/>
  <c r="U290" i="9"/>
  <c r="U289" i="9"/>
  <c r="U286" i="9"/>
  <c r="U285" i="9"/>
  <c r="U282" i="9"/>
  <c r="U281" i="9"/>
  <c r="U268" i="9"/>
  <c r="U362" i="9"/>
  <c r="U356" i="9"/>
  <c r="U355" i="9"/>
  <c r="U354" i="9"/>
  <c r="U353" i="9"/>
  <c r="U352" i="9"/>
  <c r="U351" i="9"/>
  <c r="U350" i="9"/>
  <c r="U324" i="9"/>
  <c r="U323" i="9"/>
  <c r="U320" i="9"/>
  <c r="U317" i="9"/>
  <c r="U316" i="9"/>
  <c r="U313" i="9"/>
  <c r="U312" i="9"/>
  <c r="U310" i="9"/>
  <c r="U307" i="9"/>
  <c r="U306" i="9"/>
  <c r="U408" i="9"/>
  <c r="U406" i="9"/>
  <c r="U403" i="9"/>
  <c r="U402" i="9"/>
  <c r="U401" i="9"/>
  <c r="U399" i="9"/>
  <c r="U398" i="9"/>
  <c r="U396" i="9"/>
  <c r="U395" i="9"/>
  <c r="U394" i="9"/>
  <c r="U393" i="9"/>
  <c r="U392" i="9"/>
  <c r="U391" i="9"/>
  <c r="U390" i="9"/>
  <c r="U389" i="9"/>
  <c r="U387" i="9"/>
  <c r="U386" i="9"/>
  <c r="U385" i="9"/>
  <c r="U384" i="9"/>
  <c r="U381" i="9"/>
  <c r="U380" i="9"/>
  <c r="U371" i="9"/>
  <c r="U370" i="9"/>
  <c r="U369" i="9"/>
  <c r="U368" i="9"/>
  <c r="U431" i="9"/>
  <c r="U421" i="9"/>
  <c r="U420" i="9"/>
  <c r="U419" i="9"/>
  <c r="U445" i="9"/>
  <c r="U444" i="9"/>
  <c r="U455" i="9"/>
  <c r="U456" i="9"/>
  <c r="U457" i="9"/>
  <c r="U453" i="9"/>
  <c r="T458" i="9"/>
  <c r="T459" i="9" s="1"/>
  <c r="S458" i="9"/>
  <c r="S459" i="9" s="1"/>
  <c r="R458" i="9"/>
  <c r="R459" i="9" s="1"/>
  <c r="Q458" i="9"/>
  <c r="Q459" i="9" s="1"/>
  <c r="T449" i="9"/>
  <c r="T450" i="9" s="1"/>
  <c r="S449" i="9"/>
  <c r="S450" i="9" s="1"/>
  <c r="R449" i="9"/>
  <c r="R450" i="9" s="1"/>
  <c r="Q449" i="9"/>
  <c r="Q450" i="9" s="1"/>
  <c r="S440" i="9"/>
  <c r="R440" i="9"/>
  <c r="Q440" i="9"/>
  <c r="T363" i="9"/>
  <c r="T364" i="9" s="1"/>
  <c r="S363" i="9"/>
  <c r="S364" i="9" s="1"/>
  <c r="R363" i="9"/>
  <c r="R364" i="9" s="1"/>
  <c r="Q363" i="9"/>
  <c r="U349" i="9"/>
  <c r="S263" i="9"/>
  <c r="R263" i="9"/>
  <c r="U223" i="9"/>
  <c r="U224" i="9"/>
  <c r="U225" i="9"/>
  <c r="U226" i="9"/>
  <c r="U227" i="9"/>
  <c r="U228" i="9"/>
  <c r="U244" i="9"/>
  <c r="U246" i="9"/>
  <c r="U247" i="9"/>
  <c r="U248" i="9"/>
  <c r="U249" i="9"/>
  <c r="U251" i="9"/>
  <c r="U252" i="9"/>
  <c r="U253" i="9"/>
  <c r="S346" i="9" l="1"/>
  <c r="R415" i="9"/>
  <c r="R416" i="9" s="1"/>
  <c r="U432" i="9"/>
  <c r="U439" i="9" s="1"/>
  <c r="U262" i="9"/>
  <c r="U409" i="9"/>
  <c r="U410" i="9"/>
  <c r="S415" i="9"/>
  <c r="S416" i="9" s="1"/>
  <c r="U458" i="9"/>
  <c r="U449" i="9"/>
  <c r="U363" i="9"/>
  <c r="B21" i="40"/>
  <c r="Q82" i="9" s="1"/>
  <c r="F111" i="1" l="1"/>
  <c r="F114" i="1" s="1"/>
  <c r="D876" i="6"/>
  <c r="Q138" i="9" l="1"/>
  <c r="U117" i="9"/>
  <c r="CL117" i="9"/>
  <c r="Q267" i="9"/>
  <c r="Q301" i="9" s="1"/>
  <c r="B125" i="8"/>
  <c r="A125" i="8"/>
  <c r="D125" i="8"/>
  <c r="D1079" i="6" l="1"/>
  <c r="Q346" i="9"/>
  <c r="U267" i="9"/>
  <c r="I118" i="9"/>
  <c r="BZ146" i="9"/>
  <c r="CA146" i="9" s="1"/>
  <c r="CB146" i="9" s="1"/>
  <c r="CC146" i="9" s="1"/>
  <c r="CD146" i="9" s="1"/>
  <c r="CE146" i="9" s="1"/>
  <c r="CF146" i="9" s="1"/>
  <c r="CG146" i="9" s="1"/>
  <c r="H809" i="7"/>
  <c r="R128" i="9"/>
  <c r="R138" i="9" s="1"/>
  <c r="CH146" i="9" l="1"/>
  <c r="CI146" i="9" s="1"/>
  <c r="CJ146" i="9" s="1"/>
  <c r="R283" i="9"/>
  <c r="H923" i="4"/>
  <c r="U128" i="9"/>
  <c r="C118" i="11"/>
  <c r="U294" i="9" l="1"/>
  <c r="R301" i="9"/>
  <c r="R346" i="9" s="1"/>
  <c r="U283" i="9"/>
  <c r="Y10" i="20"/>
  <c r="X10" i="20"/>
  <c r="W10" i="20"/>
  <c r="V10" i="20"/>
  <c r="U10" i="20"/>
  <c r="T10" i="20"/>
  <c r="S10" i="20"/>
  <c r="R10" i="20"/>
  <c r="P10" i="20"/>
  <c r="Q10" i="20"/>
  <c r="N10" i="20"/>
  <c r="N16" i="20" s="1"/>
  <c r="O10" i="20"/>
  <c r="O16" i="20" s="1"/>
  <c r="G177" i="3" s="1"/>
  <c r="M10" i="20"/>
  <c r="M16" i="20" s="1"/>
  <c r="F177" i="3" s="1"/>
  <c r="L10" i="20"/>
  <c r="L16" i="20" s="1"/>
  <c r="K10" i="20" l="1"/>
  <c r="K16" i="20" s="1"/>
  <c r="J10" i="20"/>
  <c r="J16" i="20" s="1"/>
  <c r="F54" i="20"/>
  <c r="F53" i="20"/>
  <c r="S53" i="20" s="1"/>
  <c r="F31" i="20"/>
  <c r="H21" i="20"/>
  <c r="F21" i="20"/>
  <c r="T65" i="21"/>
  <c r="D537" i="8" l="1"/>
  <c r="C177" i="3"/>
  <c r="E270" i="9"/>
  <c r="E315" i="9"/>
  <c r="U315" i="9" s="1"/>
  <c r="E293" i="9"/>
  <c r="U293" i="9" s="1"/>
  <c r="E309" i="9"/>
  <c r="E280" i="9"/>
  <c r="U280" i="9" s="1"/>
  <c r="E345" i="9" l="1"/>
  <c r="E301" i="9"/>
  <c r="U309" i="9"/>
  <c r="U345" i="9" s="1"/>
  <c r="E346" i="9" l="1"/>
  <c r="CO129" i="9"/>
  <c r="CP129" i="9"/>
  <c r="CQ129" i="9"/>
  <c r="CR129" i="9"/>
  <c r="CS129" i="9"/>
  <c r="CT129" i="9"/>
  <c r="CU129" i="9"/>
  <c r="CO132" i="9"/>
  <c r="CP132" i="9"/>
  <c r="CQ132" i="9"/>
  <c r="CR132" i="9"/>
  <c r="CS132" i="9"/>
  <c r="CT132" i="9"/>
  <c r="CU132" i="9"/>
  <c r="CO130" i="9"/>
  <c r="CP130" i="9"/>
  <c r="CQ130" i="9"/>
  <c r="CR130" i="9"/>
  <c r="CS130" i="9"/>
  <c r="CT130" i="9"/>
  <c r="CU130" i="9"/>
  <c r="CO133" i="9"/>
  <c r="CP133" i="9"/>
  <c r="CQ133" i="9"/>
  <c r="CR133" i="9"/>
  <c r="CS133" i="9"/>
  <c r="CT133" i="9"/>
  <c r="CU133" i="9"/>
  <c r="E734" i="34" l="1"/>
  <c r="E728" i="34" l="1"/>
  <c r="E727" i="34"/>
  <c r="C118" i="14" l="1"/>
  <c r="CL183" i="9" l="1"/>
  <c r="CM183" i="9"/>
  <c r="CN183" i="9"/>
  <c r="CO183" i="9"/>
  <c r="CP183" i="9"/>
  <c r="CQ183" i="9"/>
  <c r="CR183" i="9"/>
  <c r="CS183" i="9"/>
  <c r="CT183" i="9"/>
  <c r="CU183" i="9"/>
  <c r="B746" i="34" l="1"/>
  <c r="B742" i="34"/>
  <c r="H966" i="7" l="1"/>
  <c r="T92" i="9" l="1"/>
  <c r="U92" i="9" s="1"/>
  <c r="C97" i="11"/>
  <c r="J9" i="1" l="1"/>
  <c r="H912" i="4"/>
  <c r="J37" i="1" l="1"/>
  <c r="J36" i="1"/>
  <c r="C675" i="6"/>
  <c r="D675" i="6"/>
  <c r="G675" i="6"/>
  <c r="H675" i="6" l="1"/>
  <c r="BZ119" i="9"/>
  <c r="CA119" i="9" l="1"/>
  <c r="F136" i="11" l="1"/>
  <c r="CB119" i="9"/>
  <c r="C136" i="11" l="1"/>
  <c r="D136" i="11" s="1"/>
  <c r="E136" i="11" s="1"/>
  <c r="G136" i="11" s="1"/>
  <c r="H136" i="11" s="1"/>
  <c r="CC119" i="9"/>
  <c r="CD119" i="9" l="1"/>
  <c r="U217" i="10"/>
  <c r="CE119" i="9" l="1"/>
  <c r="X217" i="10"/>
  <c r="CF119" i="9" l="1"/>
  <c r="AA217" i="10"/>
  <c r="E458" i="9"/>
  <c r="E459" i="9" s="1"/>
  <c r="CG119" i="9" l="1"/>
  <c r="AD217" i="10"/>
  <c r="AG217" i="10" s="1"/>
  <c r="AJ217" i="10" s="1"/>
  <c r="CH119" i="9" l="1"/>
  <c r="CI119" i="9" s="1"/>
  <c r="CJ119" i="9" s="1"/>
  <c r="A25" i="40" l="1"/>
  <c r="C1144" i="7"/>
  <c r="B336" i="42" l="1"/>
  <c r="C526" i="8"/>
  <c r="C125" i="8"/>
  <c r="C1028" i="7"/>
  <c r="C968" i="7"/>
  <c r="C780" i="7"/>
  <c r="B345" i="42" s="1"/>
  <c r="D345" i="42" s="1"/>
  <c r="C68" i="27"/>
  <c r="D336" i="42" l="1"/>
  <c r="C64" i="8"/>
  <c r="C980" i="6" l="1"/>
  <c r="C794" i="6"/>
  <c r="C791" i="6"/>
  <c r="C780" i="6"/>
  <c r="C772" i="6"/>
  <c r="C771" i="6"/>
  <c r="C779" i="6"/>
  <c r="C774" i="6"/>
  <c r="D724" i="34" l="1"/>
  <c r="C758" i="6"/>
  <c r="C762" i="6"/>
  <c r="C755" i="6"/>
  <c r="C928" i="4"/>
  <c r="B348" i="42" l="1"/>
  <c r="D348" i="42" s="1"/>
  <c r="C500" i="4"/>
  <c r="B307" i="42" l="1"/>
  <c r="D307" i="42" s="1"/>
  <c r="C71" i="11"/>
  <c r="D71" i="11" s="1"/>
  <c r="U183" i="9" l="1"/>
  <c r="D135" i="11" l="1"/>
  <c r="E135" i="11" s="1"/>
  <c r="G135" i="11" s="1"/>
  <c r="H135" i="11" s="1"/>
  <c r="J135" i="11" s="1"/>
  <c r="K135" i="11" s="1"/>
  <c r="M135" i="11" s="1"/>
  <c r="N135" i="11" s="1"/>
  <c r="P135" i="11" s="1"/>
  <c r="Q135" i="11" s="1"/>
  <c r="S135" i="11" s="1"/>
  <c r="T135" i="11" s="1"/>
  <c r="V135" i="11" s="1"/>
  <c r="W135" i="11" s="1"/>
  <c r="Y135" i="11" s="1"/>
  <c r="Z135" i="11" s="1"/>
  <c r="AB135" i="11" s="1"/>
  <c r="AC135" i="11" s="1"/>
  <c r="AE135" i="11" s="1"/>
  <c r="AF135" i="11" s="1"/>
  <c r="AH135" i="11" s="1"/>
  <c r="AI135" i="11" s="1"/>
  <c r="AK135" i="11" s="1"/>
  <c r="B675" i="6" l="1"/>
  <c r="A675" i="6"/>
  <c r="B676" i="6"/>
  <c r="A676" i="6"/>
  <c r="A674" i="6"/>
  <c r="C676" i="6"/>
  <c r="C674" i="6"/>
  <c r="G676" i="6"/>
  <c r="G674" i="6"/>
  <c r="D674" i="6"/>
  <c r="D676" i="6"/>
  <c r="H676" i="6" l="1"/>
  <c r="H674" i="6"/>
  <c r="G681" i="6"/>
  <c r="A681" i="6"/>
  <c r="C681" i="6"/>
  <c r="D125" i="1" l="1"/>
  <c r="D126" i="1"/>
  <c r="D127" i="1"/>
  <c r="D128" i="1"/>
  <c r="D124" i="1"/>
  <c r="F127" i="1"/>
  <c r="G127" i="1" s="1"/>
  <c r="H127" i="1" s="1"/>
  <c r="I127" i="1" s="1"/>
  <c r="F125" i="1"/>
  <c r="G125" i="1" s="1"/>
  <c r="F126" i="1"/>
  <c r="G126" i="1" s="1"/>
  <c r="F128" i="1"/>
  <c r="G128" i="1" s="1"/>
  <c r="F124" i="1"/>
  <c r="G124" i="1" s="1"/>
  <c r="F123" i="1"/>
  <c r="G123" i="1" s="1"/>
  <c r="H123" i="1" s="1"/>
  <c r="I123" i="1" s="1"/>
  <c r="J49" i="1" l="1"/>
  <c r="BB46" i="21"/>
  <c r="AP40" i="21"/>
  <c r="AL15" i="21"/>
  <c r="AL14" i="21"/>
  <c r="AL16" i="21"/>
  <c r="D141" i="8" l="1"/>
  <c r="C25" i="17" s="1"/>
  <c r="C10" i="17" s="1"/>
  <c r="D143" i="8"/>
  <c r="B64" i="8" l="1"/>
  <c r="A64" i="8"/>
  <c r="B63" i="8"/>
  <c r="A63" i="8"/>
  <c r="D64" i="8"/>
  <c r="D63" i="8"/>
  <c r="C63" i="8"/>
  <c r="H526" i="8"/>
  <c r="H523" i="8"/>
  <c r="H514" i="8"/>
  <c r="H527" i="8"/>
  <c r="H525" i="8"/>
  <c r="H524" i="8"/>
  <c r="H518" i="8"/>
  <c r="A518" i="8"/>
  <c r="A131" i="8" s="1"/>
  <c r="H516" i="8"/>
  <c r="H476" i="8"/>
  <c r="B61" i="8"/>
  <c r="A61" i="8"/>
  <c r="D61" i="8"/>
  <c r="C61" i="8"/>
  <c r="B123" i="8"/>
  <c r="A123" i="8"/>
  <c r="B129" i="8"/>
  <c r="A129" i="8"/>
  <c r="B128" i="8"/>
  <c r="A128" i="8"/>
  <c r="B124" i="8"/>
  <c r="A124" i="8"/>
  <c r="B122" i="8"/>
  <c r="A122" i="8"/>
  <c r="B121" i="8"/>
  <c r="A121" i="8"/>
  <c r="A119" i="8"/>
  <c r="B120" i="8"/>
  <c r="A120" i="8"/>
  <c r="A118" i="8"/>
  <c r="P124" i="8"/>
  <c r="O124" i="8"/>
  <c r="N124" i="8"/>
  <c r="M124" i="8"/>
  <c r="L124" i="8"/>
  <c r="K124" i="8"/>
  <c r="J124" i="8"/>
  <c r="I124" i="8"/>
  <c r="G124" i="8"/>
  <c r="D123" i="8"/>
  <c r="D128" i="8"/>
  <c r="D124" i="8"/>
  <c r="D122" i="8"/>
  <c r="D120" i="8"/>
  <c r="H120" i="8" s="1"/>
  <c r="D118" i="8"/>
  <c r="C128" i="8"/>
  <c r="H124" i="8" l="1"/>
  <c r="G64" i="8"/>
  <c r="H64" i="8" s="1"/>
  <c r="I126" i="8" l="1"/>
  <c r="C123" i="8"/>
  <c r="C124" i="8"/>
  <c r="C118" i="8"/>
  <c r="C120" i="8"/>
  <c r="H485" i="8"/>
  <c r="B485" i="8"/>
  <c r="H484" i="8"/>
  <c r="H482" i="8"/>
  <c r="H480" i="8"/>
  <c r="H337" i="8" l="1"/>
  <c r="B65" i="8" l="1"/>
  <c r="A65" i="8"/>
  <c r="D65" i="8"/>
  <c r="C65" i="8"/>
  <c r="B66" i="8"/>
  <c r="A66" i="8"/>
  <c r="C66" i="8"/>
  <c r="D67" i="8" l="1"/>
  <c r="C67" i="8"/>
  <c r="B67" i="8"/>
  <c r="A67" i="8"/>
  <c r="B59" i="8"/>
  <c r="A59" i="8"/>
  <c r="C59" i="8"/>
  <c r="D59" i="8"/>
  <c r="H441" i="8"/>
  <c r="G67" i="8" l="1"/>
  <c r="H67" i="8" s="1"/>
  <c r="H540" i="8"/>
  <c r="H515" i="8"/>
  <c r="H341" i="8" l="1"/>
  <c r="H507" i="8" l="1"/>
  <c r="H506" i="8"/>
  <c r="H505" i="8"/>
  <c r="AA65" i="22" l="1"/>
  <c r="AA67" i="22"/>
  <c r="AA61" i="22"/>
  <c r="AA59" i="22"/>
  <c r="U115" i="22" l="1"/>
  <c r="U111" i="22"/>
  <c r="U110" i="22"/>
  <c r="U109" i="22"/>
  <c r="U108" i="22"/>
  <c r="U107" i="22"/>
  <c r="U106" i="22"/>
  <c r="U105" i="22"/>
  <c r="U104" i="22"/>
  <c r="U103" i="22"/>
  <c r="U87" i="22"/>
  <c r="BP87" i="22"/>
  <c r="BP68" i="22"/>
  <c r="BE68" i="22"/>
  <c r="BA68" i="22"/>
  <c r="AW68" i="22"/>
  <c r="AS68" i="22"/>
  <c r="AO68" i="22"/>
  <c r="AK68" i="22"/>
  <c r="AG68" i="22"/>
  <c r="AC68" i="22"/>
  <c r="Y68" i="22"/>
  <c r="U68" i="22"/>
  <c r="BP67" i="22"/>
  <c r="BE67" i="22"/>
  <c r="BA67" i="22"/>
  <c r="AW67" i="22"/>
  <c r="AS67" i="22"/>
  <c r="AO67" i="22"/>
  <c r="AK67" i="22"/>
  <c r="AG67" i="22"/>
  <c r="AC67" i="22"/>
  <c r="Y67" i="22"/>
  <c r="U67" i="22"/>
  <c r="BP66" i="22"/>
  <c r="CC66" i="22" s="1"/>
  <c r="BE66" i="22"/>
  <c r="BA66" i="22"/>
  <c r="AW66" i="22"/>
  <c r="AS66" i="22"/>
  <c r="AO66" i="22"/>
  <c r="AK66" i="22"/>
  <c r="AG66" i="22"/>
  <c r="AC66" i="22"/>
  <c r="Y66" i="22"/>
  <c r="U66" i="22"/>
  <c r="W64" i="22"/>
  <c r="BP63" i="22"/>
  <c r="BE63" i="22"/>
  <c r="BA63" i="22"/>
  <c r="AW63" i="22"/>
  <c r="AS63" i="22"/>
  <c r="AO63" i="22"/>
  <c r="AK63" i="22"/>
  <c r="AG63" i="22"/>
  <c r="AC63" i="22"/>
  <c r="W63" i="22"/>
  <c r="Y63" i="22" s="1"/>
  <c r="U63" i="22"/>
  <c r="BP62" i="22"/>
  <c r="BE62" i="22"/>
  <c r="BA62" i="22"/>
  <c r="AW62" i="22"/>
  <c r="AS62" i="22"/>
  <c r="AO62" i="22"/>
  <c r="AK62" i="22"/>
  <c r="AG62" i="22"/>
  <c r="AC62" i="22"/>
  <c r="W62" i="22"/>
  <c r="Y62" i="22" s="1"/>
  <c r="U62" i="22"/>
  <c r="BP60" i="22"/>
  <c r="CC60" i="22" s="1"/>
  <c r="BE60" i="22"/>
  <c r="BA60" i="22"/>
  <c r="AW60" i="22"/>
  <c r="AS60" i="22"/>
  <c r="AO60" i="22"/>
  <c r="AK60" i="22"/>
  <c r="AG60" i="22"/>
  <c r="AC60" i="22"/>
  <c r="Y60" i="22"/>
  <c r="U60" i="22"/>
  <c r="BP49" i="22"/>
  <c r="BE49" i="22"/>
  <c r="BA49" i="22"/>
  <c r="AW49" i="22"/>
  <c r="AS49" i="22"/>
  <c r="AO49" i="22"/>
  <c r="AK49" i="22"/>
  <c r="AG49" i="22"/>
  <c r="AC49" i="22"/>
  <c r="Y49" i="22"/>
  <c r="U49" i="22"/>
  <c r="BP53" i="22"/>
  <c r="BE53" i="22"/>
  <c r="BA53" i="22"/>
  <c r="AW53" i="22"/>
  <c r="AS53" i="22"/>
  <c r="AO53" i="22"/>
  <c r="AK53" i="22"/>
  <c r="AG53" i="22"/>
  <c r="AC53" i="22"/>
  <c r="Y53" i="22"/>
  <c r="U53" i="22"/>
  <c r="BP17" i="22"/>
  <c r="CC17" i="22" s="1"/>
  <c r="AK17" i="22"/>
  <c r="AG17" i="22"/>
  <c r="AC17" i="22"/>
  <c r="Y17" i="22"/>
  <c r="U17" i="22"/>
  <c r="BP13" i="22"/>
  <c r="BE13" i="22"/>
  <c r="BA13" i="22"/>
  <c r="AW13" i="22"/>
  <c r="AS13" i="22"/>
  <c r="AO13" i="22"/>
  <c r="AK13" i="22"/>
  <c r="AG13" i="22"/>
  <c r="AC13" i="22"/>
  <c r="Y13" i="22"/>
  <c r="U13" i="22"/>
  <c r="BP10" i="22"/>
  <c r="BE10" i="22"/>
  <c r="BA10" i="22"/>
  <c r="AW10" i="22"/>
  <c r="AS10" i="22"/>
  <c r="AO10" i="22"/>
  <c r="AK10" i="22"/>
  <c r="AG10" i="22"/>
  <c r="AC10" i="22"/>
  <c r="Y10" i="22"/>
  <c r="U10" i="22"/>
  <c r="CB86" i="22" l="1"/>
  <c r="Y86" i="22"/>
  <c r="U86" i="22"/>
  <c r="CB87" i="22"/>
  <c r="BP86" i="22"/>
  <c r="BQ87" i="22"/>
  <c r="CB67" i="22"/>
  <c r="CB66" i="22"/>
  <c r="CB68" i="22"/>
  <c r="CC68" i="22"/>
  <c r="BQ68" i="22"/>
  <c r="CC67" i="22"/>
  <c r="BQ67" i="22"/>
  <c r="BQ66" i="22"/>
  <c r="CB62" i="22"/>
  <c r="CB60" i="22"/>
  <c r="CB63" i="22"/>
  <c r="CC63" i="22"/>
  <c r="BQ63" i="22"/>
  <c r="CC62" i="22"/>
  <c r="BQ62" i="22"/>
  <c r="BQ60" i="22"/>
  <c r="CB49" i="22"/>
  <c r="CC49" i="22"/>
  <c r="BQ49" i="22"/>
  <c r="AO17" i="22"/>
  <c r="CB53" i="22"/>
  <c r="CC53" i="22"/>
  <c r="BQ53" i="22"/>
  <c r="CB17" i="22"/>
  <c r="BQ17" i="22"/>
  <c r="CB13" i="22"/>
  <c r="CC13" i="22"/>
  <c r="BQ13" i="22"/>
  <c r="CB10" i="22"/>
  <c r="CC10" i="22"/>
  <c r="BQ10" i="22"/>
  <c r="B79" i="8"/>
  <c r="B85" i="8" s="1"/>
  <c r="A79" i="8"/>
  <c r="A85" i="8" s="1"/>
  <c r="B78" i="8"/>
  <c r="A78" i="8"/>
  <c r="A84" i="8" s="1"/>
  <c r="B75" i="8"/>
  <c r="A169" i="3" s="1"/>
  <c r="A170" i="3" s="1"/>
  <c r="A75" i="8"/>
  <c r="B72" i="8"/>
  <c r="A72" i="8"/>
  <c r="B62" i="8"/>
  <c r="A62" i="8"/>
  <c r="B60" i="8"/>
  <c r="A60" i="8"/>
  <c r="A68" i="8"/>
  <c r="A69" i="8"/>
  <c r="B58" i="8"/>
  <c r="A58" i="8"/>
  <c r="B55" i="8"/>
  <c r="A55" i="8"/>
  <c r="A56" i="8"/>
  <c r="B84" i="8" l="1"/>
  <c r="A25" i="16"/>
  <c r="A10" i="16" s="1"/>
  <c r="CC87" i="22"/>
  <c r="Y87" i="22"/>
  <c r="AC87" i="22"/>
  <c r="AC86" i="22"/>
  <c r="AG87" i="22"/>
  <c r="BR87" i="22"/>
  <c r="CD87" i="22"/>
  <c r="BQ86" i="22"/>
  <c r="CC86" i="22"/>
  <c r="CD68" i="22"/>
  <c r="BR68" i="22"/>
  <c r="CD67" i="22"/>
  <c r="BR67" i="22"/>
  <c r="BR66" i="22"/>
  <c r="CD66" i="22"/>
  <c r="CD63" i="22"/>
  <c r="BR63" i="22"/>
  <c r="CD62" i="22"/>
  <c r="BR62" i="22"/>
  <c r="BR60" i="22"/>
  <c r="CD60" i="22"/>
  <c r="CD49" i="22"/>
  <c r="BR49" i="22"/>
  <c r="CD53" i="22"/>
  <c r="BR53" i="22"/>
  <c r="AS17" i="22"/>
  <c r="BR17" i="22"/>
  <c r="CD17" i="22"/>
  <c r="BR13" i="22"/>
  <c r="CD13" i="22"/>
  <c r="BR10" i="22"/>
  <c r="CD10" i="22"/>
  <c r="AK87" i="22" l="1"/>
  <c r="AG86" i="22"/>
  <c r="AO87" i="22"/>
  <c r="BR86" i="22"/>
  <c r="CD86" i="22"/>
  <c r="BS87" i="22"/>
  <c r="CE87" i="22"/>
  <c r="CE68" i="22"/>
  <c r="BS68" i="22"/>
  <c r="BS67" i="22"/>
  <c r="CE67" i="22"/>
  <c r="BS66" i="22"/>
  <c r="CE66" i="22"/>
  <c r="BS63" i="22"/>
  <c r="CE63" i="22"/>
  <c r="BS62" i="22"/>
  <c r="CE62" i="22"/>
  <c r="BS60" i="22"/>
  <c r="CE60" i="22"/>
  <c r="BS49" i="22"/>
  <c r="CE49" i="22"/>
  <c r="BS53" i="22"/>
  <c r="CE53" i="22"/>
  <c r="AW17" i="22"/>
  <c r="BS17" i="22"/>
  <c r="CE17" i="22"/>
  <c r="BS13" i="22"/>
  <c r="CE13" i="22"/>
  <c r="BS10" i="22"/>
  <c r="CE10" i="22"/>
  <c r="V41" i="21"/>
  <c r="D66" i="8" l="1"/>
  <c r="AK86" i="22"/>
  <c r="CE86" i="22"/>
  <c r="BS86" i="22"/>
  <c r="CF87" i="22"/>
  <c r="BT87" i="22"/>
  <c r="AS87" i="22"/>
  <c r="BT68" i="22"/>
  <c r="CF68" i="22"/>
  <c r="CF67" i="22"/>
  <c r="BT67" i="22"/>
  <c r="CF66" i="22"/>
  <c r="BT66" i="22"/>
  <c r="CF63" i="22"/>
  <c r="BT63" i="22"/>
  <c r="BT62" i="22"/>
  <c r="CF62" i="22"/>
  <c r="CF60" i="22"/>
  <c r="BT60" i="22"/>
  <c r="BT49" i="22"/>
  <c r="CF49" i="22"/>
  <c r="CF53" i="22"/>
  <c r="BT53" i="22"/>
  <c r="BA17" i="22"/>
  <c r="CF17" i="22"/>
  <c r="BT17" i="22"/>
  <c r="BT13" i="22"/>
  <c r="CF13" i="22"/>
  <c r="BT10" i="22"/>
  <c r="CF10" i="22"/>
  <c r="AO86" i="22" l="1"/>
  <c r="AW87" i="22"/>
  <c r="CF86" i="22"/>
  <c r="BT86" i="22"/>
  <c r="CG87" i="22"/>
  <c r="BU87" i="22"/>
  <c r="CG68" i="22"/>
  <c r="BU68" i="22"/>
  <c r="CG67" i="22"/>
  <c r="BU67" i="22"/>
  <c r="CG66" i="22"/>
  <c r="BU66" i="22"/>
  <c r="CG63" i="22"/>
  <c r="BU63" i="22"/>
  <c r="CG62" i="22"/>
  <c r="BU62" i="22"/>
  <c r="CG60" i="22"/>
  <c r="BU60" i="22"/>
  <c r="CG49" i="22"/>
  <c r="BU49" i="22"/>
  <c r="CG53" i="22"/>
  <c r="BU53" i="22"/>
  <c r="BE17" i="22"/>
  <c r="CG17" i="22"/>
  <c r="BU17" i="22"/>
  <c r="CG13" i="22"/>
  <c r="BU13" i="22"/>
  <c r="CG10" i="22"/>
  <c r="BU10" i="22"/>
  <c r="BO57" i="21"/>
  <c r="BO55" i="21"/>
  <c r="CA54" i="21"/>
  <c r="BO53" i="21"/>
  <c r="CB53" i="21" s="1"/>
  <c r="BD55" i="21"/>
  <c r="AZ55" i="21"/>
  <c r="AV55" i="21"/>
  <c r="AR55" i="21"/>
  <c r="AN55" i="21"/>
  <c r="AJ55" i="21"/>
  <c r="AF55" i="21"/>
  <c r="AB55" i="21"/>
  <c r="X55" i="21"/>
  <c r="BD54" i="21"/>
  <c r="AZ54" i="21"/>
  <c r="AV54" i="21"/>
  <c r="AR54" i="21"/>
  <c r="AN54" i="21"/>
  <c r="AJ54" i="21"/>
  <c r="AF54" i="21"/>
  <c r="AB54" i="21"/>
  <c r="X54" i="21"/>
  <c r="BD53" i="21"/>
  <c r="AZ53" i="21"/>
  <c r="AV53" i="21"/>
  <c r="AR53" i="21"/>
  <c r="AN53" i="21"/>
  <c r="AJ53" i="21"/>
  <c r="AF53" i="21"/>
  <c r="AB53" i="21"/>
  <c r="X53" i="21"/>
  <c r="BC68" i="21"/>
  <c r="O75" i="16" s="1"/>
  <c r="BA68" i="21"/>
  <c r="AY68" i="21"/>
  <c r="AW68" i="21"/>
  <c r="AU68" i="21"/>
  <c r="AS68" i="21"/>
  <c r="AQ68" i="21"/>
  <c r="AO68" i="21"/>
  <c r="AM68" i="21"/>
  <c r="AK68" i="21"/>
  <c r="AI68" i="21"/>
  <c r="AG68" i="21"/>
  <c r="AE68" i="21"/>
  <c r="AC68" i="21"/>
  <c r="AA68" i="21"/>
  <c r="Y68" i="21"/>
  <c r="W68" i="21"/>
  <c r="U68" i="21"/>
  <c r="S68" i="21"/>
  <c r="Q68" i="21"/>
  <c r="T55" i="21"/>
  <c r="BD57" i="21"/>
  <c r="T54" i="21"/>
  <c r="BO44" i="21"/>
  <c r="BB44" i="21"/>
  <c r="BD44" i="21" s="1"/>
  <c r="AX44" i="21"/>
  <c r="AZ44" i="21" s="1"/>
  <c r="AT44" i="21"/>
  <c r="AV44" i="21" s="1"/>
  <c r="AP44" i="21"/>
  <c r="AR44" i="21" s="1"/>
  <c r="AN44" i="21"/>
  <c r="AH44" i="21"/>
  <c r="AJ44" i="21" s="1"/>
  <c r="AD44" i="21"/>
  <c r="AF44" i="21" s="1"/>
  <c r="Z44" i="21"/>
  <c r="AB44" i="21" s="1"/>
  <c r="V44" i="21"/>
  <c r="X44" i="21" s="1"/>
  <c r="R44" i="21"/>
  <c r="T44" i="21" s="1"/>
  <c r="BO41" i="21"/>
  <c r="BB41" i="21"/>
  <c r="BD41" i="21" s="1"/>
  <c r="AX41" i="21"/>
  <c r="AZ41" i="21" s="1"/>
  <c r="AT41" i="21"/>
  <c r="AV41" i="21" s="1"/>
  <c r="AP41" i="21"/>
  <c r="AR41" i="21" s="1"/>
  <c r="AN41" i="21"/>
  <c r="AH41" i="21"/>
  <c r="AJ41" i="21" s="1"/>
  <c r="AF41" i="21"/>
  <c r="Z41" i="21"/>
  <c r="AB41" i="21" s="1"/>
  <c r="X41" i="21"/>
  <c r="R41" i="21"/>
  <c r="T41" i="21" s="1"/>
  <c r="BO40" i="21"/>
  <c r="CB40" i="21" s="1"/>
  <c r="BB40" i="21"/>
  <c r="BD40" i="21" s="1"/>
  <c r="AX40" i="21"/>
  <c r="AZ40" i="21" s="1"/>
  <c r="AT40" i="21"/>
  <c r="AV40" i="21" s="1"/>
  <c r="AR40" i="21"/>
  <c r="AN40" i="21"/>
  <c r="AH40" i="21"/>
  <c r="AJ40" i="21" s="1"/>
  <c r="AD40" i="21"/>
  <c r="AF40" i="21" s="1"/>
  <c r="Z40" i="21"/>
  <c r="AB40" i="21" s="1"/>
  <c r="V40" i="21"/>
  <c r="X40" i="21" s="1"/>
  <c r="R40" i="21"/>
  <c r="T40" i="21" s="1"/>
  <c r="BO18" i="21"/>
  <c r="BB18" i="21"/>
  <c r="BD18" i="21" s="1"/>
  <c r="AX18" i="21"/>
  <c r="AZ18" i="21" s="1"/>
  <c r="AT18" i="21"/>
  <c r="AV18" i="21" s="1"/>
  <c r="AP18" i="21"/>
  <c r="AR18" i="21" s="1"/>
  <c r="AL18" i="21"/>
  <c r="AN18" i="21" s="1"/>
  <c r="AH18" i="21"/>
  <c r="AJ18" i="21" s="1"/>
  <c r="AD18" i="21"/>
  <c r="AF18" i="21" s="1"/>
  <c r="AB18" i="21"/>
  <c r="X18" i="21"/>
  <c r="T18" i="21"/>
  <c r="BO17" i="21"/>
  <c r="BB17" i="21"/>
  <c r="BD17" i="21" s="1"/>
  <c r="AX17" i="21"/>
  <c r="AZ17" i="21" s="1"/>
  <c r="AT17" i="21"/>
  <c r="AV17" i="21" s="1"/>
  <c r="AP17" i="21"/>
  <c r="AR17" i="21" s="1"/>
  <c r="AN17" i="21"/>
  <c r="AH17" i="21"/>
  <c r="AJ17" i="21" s="1"/>
  <c r="AF17" i="21"/>
  <c r="AB17" i="21"/>
  <c r="X17" i="21"/>
  <c r="T17" i="21"/>
  <c r="BO11" i="21"/>
  <c r="X11" i="21"/>
  <c r="T11" i="21"/>
  <c r="O82" i="21" l="1"/>
  <c r="O85" i="21" s="1"/>
  <c r="O88" i="3" s="1"/>
  <c r="CA53" i="21"/>
  <c r="BO54" i="21"/>
  <c r="CB54" i="21" s="1"/>
  <c r="AJ57" i="21"/>
  <c r="AZ57" i="21"/>
  <c r="X57" i="21"/>
  <c r="AN57" i="21"/>
  <c r="CA57" i="21"/>
  <c r="AB57" i="21"/>
  <c r="AR57" i="21"/>
  <c r="AF57" i="21"/>
  <c r="AV57" i="21"/>
  <c r="AS86" i="22"/>
  <c r="BV87" i="22"/>
  <c r="CH87" i="22"/>
  <c r="BE87" i="22"/>
  <c r="BA87" i="22"/>
  <c r="BU86" i="22"/>
  <c r="CG86" i="22"/>
  <c r="BV68" i="22"/>
  <c r="CH68" i="22"/>
  <c r="CH67" i="22"/>
  <c r="BV67" i="22"/>
  <c r="BV66" i="22"/>
  <c r="CH66" i="22"/>
  <c r="CH63" i="22"/>
  <c r="BV63" i="22"/>
  <c r="BV62" i="22"/>
  <c r="CH62" i="22"/>
  <c r="BV60" i="22"/>
  <c r="CH60" i="22"/>
  <c r="CH49" i="22"/>
  <c r="BV49" i="22"/>
  <c r="BV53" i="22"/>
  <c r="CH53" i="22"/>
  <c r="CH17" i="22"/>
  <c r="BV17" i="22"/>
  <c r="BV13" i="22"/>
  <c r="CH13" i="22"/>
  <c r="BV10" i="22"/>
  <c r="CH10" i="22"/>
  <c r="CB55" i="21"/>
  <c r="BP55" i="21"/>
  <c r="CB57" i="21"/>
  <c r="BP57" i="21"/>
  <c r="BP53" i="21"/>
  <c r="CA55" i="21"/>
  <c r="T57" i="21"/>
  <c r="CA44" i="21"/>
  <c r="CB44" i="21"/>
  <c r="BP44" i="21"/>
  <c r="CA40" i="21"/>
  <c r="CA41" i="21"/>
  <c r="CB41" i="21"/>
  <c r="BP41" i="21"/>
  <c r="BP40" i="21"/>
  <c r="CA18" i="21"/>
  <c r="CA17" i="21"/>
  <c r="CB18" i="21"/>
  <c r="BP18" i="21"/>
  <c r="CB17" i="21"/>
  <c r="BP17" i="21"/>
  <c r="CA11" i="21"/>
  <c r="CB11" i="21"/>
  <c r="BP11" i="21"/>
  <c r="BP54" i="21" l="1"/>
  <c r="BQ54" i="21" s="1"/>
  <c r="AW86" i="22"/>
  <c r="BV86" i="22"/>
  <c r="CH86" i="22"/>
  <c r="BW87" i="22"/>
  <c r="CI87" i="22"/>
  <c r="BW68" i="22"/>
  <c r="CI68" i="22"/>
  <c r="BW67" i="22"/>
  <c r="CI67" i="22"/>
  <c r="BW66" i="22"/>
  <c r="CI66" i="22"/>
  <c r="BW63" i="22"/>
  <c r="CI63" i="22"/>
  <c r="BW62" i="22"/>
  <c r="CI62" i="22"/>
  <c r="BW60" i="22"/>
  <c r="CI60" i="22"/>
  <c r="CI49" i="22"/>
  <c r="BW49" i="22"/>
  <c r="CI53" i="22"/>
  <c r="BW53" i="22"/>
  <c r="BW17" i="22"/>
  <c r="CI17" i="22"/>
  <c r="BW13" i="22"/>
  <c r="CI13" i="22"/>
  <c r="BW10" i="22"/>
  <c r="CI10" i="22"/>
  <c r="CC54" i="21"/>
  <c r="CC55" i="21"/>
  <c r="BQ55" i="21"/>
  <c r="CC53" i="21"/>
  <c r="BQ53" i="21"/>
  <c r="BQ57" i="21"/>
  <c r="CC57" i="21"/>
  <c r="BQ44" i="21"/>
  <c r="CC44" i="21"/>
  <c r="CC41" i="21"/>
  <c r="BQ41" i="21"/>
  <c r="BQ40" i="21"/>
  <c r="CC40" i="21"/>
  <c r="CC18" i="21"/>
  <c r="BQ18" i="21"/>
  <c r="CC17" i="21"/>
  <c r="BQ17" i="21"/>
  <c r="BQ11" i="21"/>
  <c r="CC11" i="21"/>
  <c r="BE86" i="22" l="1"/>
  <c r="BA86" i="22"/>
  <c r="CI86" i="22"/>
  <c r="BW86" i="22"/>
  <c r="CJ87" i="22"/>
  <c r="BX87" i="22"/>
  <c r="CJ68" i="22"/>
  <c r="BX68" i="22"/>
  <c r="BX67" i="22"/>
  <c r="CJ67" i="22"/>
  <c r="CJ66" i="22"/>
  <c r="BX66" i="22"/>
  <c r="BX63" i="22"/>
  <c r="CJ63" i="22"/>
  <c r="BX62" i="22"/>
  <c r="CJ62" i="22"/>
  <c r="CJ60" i="22"/>
  <c r="BX60" i="22"/>
  <c r="BX49" i="22"/>
  <c r="CJ49" i="22"/>
  <c r="CJ53" i="22"/>
  <c r="BX53" i="22"/>
  <c r="CJ17" i="22"/>
  <c r="BX17" i="22"/>
  <c r="BX13" i="22"/>
  <c r="CJ13" i="22"/>
  <c r="BX10" i="22"/>
  <c r="CJ10" i="22"/>
  <c r="CD53" i="21"/>
  <c r="BR53" i="21"/>
  <c r="CD54" i="21"/>
  <c r="BR54" i="21"/>
  <c r="BR55" i="21"/>
  <c r="CD55" i="21"/>
  <c r="BR57" i="21"/>
  <c r="CD57" i="21"/>
  <c r="BR44" i="21"/>
  <c r="CD44" i="21"/>
  <c r="BR41" i="21"/>
  <c r="CD41" i="21"/>
  <c r="BR40" i="21"/>
  <c r="CD40" i="21"/>
  <c r="BR18" i="21"/>
  <c r="CD18" i="21"/>
  <c r="CD17" i="21"/>
  <c r="BR17" i="21"/>
  <c r="BR11" i="21"/>
  <c r="CD11" i="21"/>
  <c r="CK62" i="22" l="1"/>
  <c r="BY62" i="22"/>
  <c r="CK17" i="22"/>
  <c r="BY17" i="22"/>
  <c r="CK66" i="22"/>
  <c r="BY66" i="22"/>
  <c r="CK68" i="22"/>
  <c r="BY68" i="22"/>
  <c r="CK49" i="22"/>
  <c r="BY49" i="22"/>
  <c r="CK53" i="22"/>
  <c r="BY53" i="22"/>
  <c r="CK60" i="22"/>
  <c r="BY60" i="22"/>
  <c r="CK87" i="22"/>
  <c r="BY87" i="22"/>
  <c r="CK13" i="22"/>
  <c r="BY13" i="22"/>
  <c r="CK10" i="22"/>
  <c r="BY10" i="22"/>
  <c r="CK63" i="22"/>
  <c r="BY63" i="22"/>
  <c r="CK67" i="22"/>
  <c r="BY67" i="22"/>
  <c r="CJ86" i="22"/>
  <c r="BX86" i="22"/>
  <c r="BS54" i="21"/>
  <c r="CE54" i="21"/>
  <c r="CE57" i="21"/>
  <c r="BS57" i="21"/>
  <c r="BS53" i="21"/>
  <c r="CE53" i="21"/>
  <c r="BS55" i="21"/>
  <c r="CE55" i="21"/>
  <c r="CE44" i="21"/>
  <c r="BS44" i="21"/>
  <c r="BS41" i="21"/>
  <c r="CE41" i="21"/>
  <c r="CE40" i="21"/>
  <c r="BS40" i="21"/>
  <c r="CE17" i="21"/>
  <c r="BS17" i="21"/>
  <c r="CE18" i="21"/>
  <c r="BS18" i="21"/>
  <c r="BS11" i="21"/>
  <c r="CE11" i="21"/>
  <c r="CL67" i="22" l="1"/>
  <c r="BZ67" i="22"/>
  <c r="CL10" i="22"/>
  <c r="BZ10" i="22"/>
  <c r="CL87" i="22"/>
  <c r="BZ87" i="22"/>
  <c r="CL53" i="22"/>
  <c r="BZ53" i="22"/>
  <c r="CL68" i="22"/>
  <c r="BZ68" i="22"/>
  <c r="CL17" i="22"/>
  <c r="BZ17" i="22"/>
  <c r="CL63" i="22"/>
  <c r="BZ63" i="22"/>
  <c r="CL13" i="22"/>
  <c r="BZ13" i="22"/>
  <c r="CL60" i="22"/>
  <c r="BZ60" i="22"/>
  <c r="CL49" i="22"/>
  <c r="BZ49" i="22"/>
  <c r="CL66" i="22"/>
  <c r="BZ66" i="22"/>
  <c r="CL62" i="22"/>
  <c r="BZ62" i="22"/>
  <c r="CK86" i="22"/>
  <c r="BY86" i="22"/>
  <c r="CF55" i="21"/>
  <c r="BT55" i="21"/>
  <c r="CF53" i="21"/>
  <c r="BT53" i="21"/>
  <c r="CF54" i="21"/>
  <c r="BT54" i="21"/>
  <c r="CF57" i="21"/>
  <c r="BT57" i="21"/>
  <c r="CF44" i="21"/>
  <c r="BT44" i="21"/>
  <c r="CF41" i="21"/>
  <c r="BT41" i="21"/>
  <c r="CF40" i="21"/>
  <c r="BT40" i="21"/>
  <c r="CF17" i="21"/>
  <c r="BT17" i="21"/>
  <c r="CF18" i="21"/>
  <c r="BT18" i="21"/>
  <c r="CF11" i="21"/>
  <c r="BT11" i="21"/>
  <c r="CL86" i="22" l="1"/>
  <c r="BZ86" i="22"/>
  <c r="CG54" i="21"/>
  <c r="BU54" i="21"/>
  <c r="CG55" i="21"/>
  <c r="BU55" i="21"/>
  <c r="BU57" i="21"/>
  <c r="CG57" i="21"/>
  <c r="CG53" i="21"/>
  <c r="BU53" i="21"/>
  <c r="BU44" i="21"/>
  <c r="CG44" i="21"/>
  <c r="CG41" i="21"/>
  <c r="BU41" i="21"/>
  <c r="BU40" i="21"/>
  <c r="CG40" i="21"/>
  <c r="CG17" i="21"/>
  <c r="BU17" i="21"/>
  <c r="CG18" i="21"/>
  <c r="BU18" i="21"/>
  <c r="BU11" i="21"/>
  <c r="CG11" i="21"/>
  <c r="CH54" i="21" l="1"/>
  <c r="BV54" i="21"/>
  <c r="BV57" i="21"/>
  <c r="CH57" i="21"/>
  <c r="CH53" i="21"/>
  <c r="BV53" i="21"/>
  <c r="BV55" i="21"/>
  <c r="CH55" i="21"/>
  <c r="BV44" i="21"/>
  <c r="CH44" i="21"/>
  <c r="BV41" i="21"/>
  <c r="CH41" i="21"/>
  <c r="BV40" i="21"/>
  <c r="CH40" i="21"/>
  <c r="CH17" i="21"/>
  <c r="BV17" i="21"/>
  <c r="BV18" i="21"/>
  <c r="CH18" i="21"/>
  <c r="BV11" i="21"/>
  <c r="CH11" i="21"/>
  <c r="BW55" i="21" l="1"/>
  <c r="CI55" i="21"/>
  <c r="CI57" i="21"/>
  <c r="BW57" i="21"/>
  <c r="BW53" i="21"/>
  <c r="CI53" i="21"/>
  <c r="BW54" i="21"/>
  <c r="CI54" i="21"/>
  <c r="CI44" i="21"/>
  <c r="BW44" i="21"/>
  <c r="BW41" i="21"/>
  <c r="CI41" i="21"/>
  <c r="CI40" i="21"/>
  <c r="BW40" i="21"/>
  <c r="BW18" i="21"/>
  <c r="CI18" i="21"/>
  <c r="CI17" i="21"/>
  <c r="BW17" i="21"/>
  <c r="CI11" i="21"/>
  <c r="BW11" i="21"/>
  <c r="CJ11" i="21" l="1"/>
  <c r="BX11" i="21"/>
  <c r="CJ18" i="21"/>
  <c r="BX18" i="21"/>
  <c r="CJ41" i="21"/>
  <c r="BX41" i="21"/>
  <c r="CJ40" i="21"/>
  <c r="BX40" i="21"/>
  <c r="CJ44" i="21"/>
  <c r="BX44" i="21"/>
  <c r="CJ54" i="21"/>
  <c r="BX54" i="21"/>
  <c r="CJ57" i="21"/>
  <c r="BX57" i="21"/>
  <c r="BY57" i="21" s="1"/>
  <c r="CJ53" i="21"/>
  <c r="BX53" i="21"/>
  <c r="CJ55" i="21"/>
  <c r="BX55" i="21"/>
  <c r="CJ17" i="21"/>
  <c r="BX17" i="21"/>
  <c r="P809" i="6"/>
  <c r="O809" i="6"/>
  <c r="N809" i="6"/>
  <c r="L809" i="6"/>
  <c r="K809" i="6"/>
  <c r="J809" i="6"/>
  <c r="I809" i="6"/>
  <c r="G809" i="6"/>
  <c r="P811" i="6"/>
  <c r="O811" i="6"/>
  <c r="N811" i="6"/>
  <c r="M811" i="6"/>
  <c r="L811" i="6"/>
  <c r="K811" i="6"/>
  <c r="J811" i="6"/>
  <c r="I811" i="6"/>
  <c r="G811" i="6"/>
  <c r="U140" i="10"/>
  <c r="M809" i="6" s="1"/>
  <c r="BN78" i="9"/>
  <c r="BI78" i="9"/>
  <c r="BD78" i="9"/>
  <c r="AY78" i="9"/>
  <c r="AT78" i="9"/>
  <c r="AO78" i="9"/>
  <c r="AJ78" i="9"/>
  <c r="AE78" i="9"/>
  <c r="Z78" i="9"/>
  <c r="F89" i="11"/>
  <c r="CK17" i="21" l="1"/>
  <c r="BY17" i="21"/>
  <c r="CK53" i="21"/>
  <c r="BY53" i="21"/>
  <c r="CK54" i="21"/>
  <c r="BY54" i="21"/>
  <c r="CK40" i="21"/>
  <c r="BY40" i="21"/>
  <c r="CK18" i="21"/>
  <c r="BY18" i="21"/>
  <c r="CK55" i="21"/>
  <c r="BY55" i="21"/>
  <c r="CK44" i="21"/>
  <c r="BY44" i="21"/>
  <c r="CK41" i="21"/>
  <c r="BY41" i="21"/>
  <c r="CK11" i="21"/>
  <c r="BY11" i="21"/>
  <c r="J808" i="6"/>
  <c r="I808" i="6"/>
  <c r="D89" i="11"/>
  <c r="E89" i="11" s="1"/>
  <c r="G89" i="11" s="1"/>
  <c r="H89" i="11" s="1"/>
  <c r="I89" i="11"/>
  <c r="K808" i="6"/>
  <c r="L89" i="11"/>
  <c r="D811" i="6"/>
  <c r="U78" i="9"/>
  <c r="J89" i="11" l="1"/>
  <c r="K89" i="11" s="1"/>
  <c r="M89" i="11" s="1"/>
  <c r="N89" i="11" s="1"/>
  <c r="BZ78" i="9"/>
  <c r="CA78" i="9" s="1"/>
  <c r="L808" i="6"/>
  <c r="O89" i="11"/>
  <c r="CM78" i="9" l="1"/>
  <c r="CL78" i="9"/>
  <c r="P89" i="11"/>
  <c r="Q89" i="11" s="1"/>
  <c r="T140" i="10"/>
  <c r="M808" i="6" s="1"/>
  <c r="R89" i="11"/>
  <c r="CB78" i="9"/>
  <c r="CN78" i="9"/>
  <c r="C192" i="42"/>
  <c r="C182" i="42"/>
  <c r="S89" i="11" l="1"/>
  <c r="T89" i="11" s="1"/>
  <c r="V140" i="10"/>
  <c r="U89" i="11" s="1"/>
  <c r="W140" i="10"/>
  <c r="N808" i="6" s="1"/>
  <c r="CC78" i="9"/>
  <c r="CO78" i="9"/>
  <c r="V156" i="9"/>
  <c r="V89" i="11" l="1"/>
  <c r="W89" i="11" s="1"/>
  <c r="Z140" i="10"/>
  <c r="O808" i="6" s="1"/>
  <c r="Y140" i="10"/>
  <c r="X89" i="11" s="1"/>
  <c r="CD78" i="9"/>
  <c r="CP78" i="9"/>
  <c r="Y89" i="11" l="1"/>
  <c r="Z89" i="11" s="1"/>
  <c r="AB140" i="10"/>
  <c r="AA89" i="11" s="1"/>
  <c r="AC140" i="10"/>
  <c r="AF140" i="10" s="1"/>
  <c r="AI140" i="10" s="1"/>
  <c r="CQ78" i="9"/>
  <c r="CE78" i="9"/>
  <c r="H930" i="4"/>
  <c r="C332" i="4"/>
  <c r="H876" i="4"/>
  <c r="R808" i="6" l="1"/>
  <c r="R115" i="6" s="1"/>
  <c r="AK140" i="10"/>
  <c r="AJ89" i="11" s="1"/>
  <c r="Q808" i="6"/>
  <c r="Q115" i="6" s="1"/>
  <c r="AH140" i="10"/>
  <c r="AG89" i="11" s="1"/>
  <c r="AB89" i="11"/>
  <c r="AC89" i="11" s="1"/>
  <c r="AE140" i="10"/>
  <c r="AD89" i="11" s="1"/>
  <c r="P808" i="6"/>
  <c r="CF78" i="9"/>
  <c r="CR78" i="9"/>
  <c r="H514" i="7"/>
  <c r="AE89" i="11" l="1"/>
  <c r="AF89" i="11" s="1"/>
  <c r="AH89" i="11" s="1"/>
  <c r="AI89" i="11" s="1"/>
  <c r="AK89" i="11" s="1"/>
  <c r="CG78" i="9"/>
  <c r="CS78" i="9"/>
  <c r="CH78" i="9" l="1"/>
  <c r="CT78" i="9"/>
  <c r="F18" i="1"/>
  <c r="CU78" i="9" l="1"/>
  <c r="CI78" i="9"/>
  <c r="D877" i="6"/>
  <c r="CV78" i="9" l="1"/>
  <c r="CJ78" i="9"/>
  <c r="CW78" i="9" s="1"/>
  <c r="U154" i="9"/>
  <c r="Q158" i="9"/>
  <c r="U158" i="9" s="1"/>
  <c r="Q157" i="9"/>
  <c r="Q155" i="9"/>
  <c r="AA162" i="9"/>
  <c r="AE162" i="9" s="1"/>
  <c r="V161" i="9"/>
  <c r="Z161" i="9" s="1"/>
  <c r="Z162" i="9"/>
  <c r="U162" i="9"/>
  <c r="AE161" i="9"/>
  <c r="U161" i="9"/>
  <c r="BZ156" i="9"/>
  <c r="BN156" i="9"/>
  <c r="BI156" i="9"/>
  <c r="BD156" i="9"/>
  <c r="AY156" i="9"/>
  <c r="AT156" i="9"/>
  <c r="AO156" i="9"/>
  <c r="AJ156" i="9"/>
  <c r="AE156" i="9"/>
  <c r="Z156" i="9"/>
  <c r="U156" i="9"/>
  <c r="BZ157" i="9"/>
  <c r="BN157" i="9"/>
  <c r="BI157" i="9"/>
  <c r="BD157" i="9"/>
  <c r="AY157" i="9"/>
  <c r="AT157" i="9"/>
  <c r="AO157" i="9"/>
  <c r="AJ157" i="9"/>
  <c r="AE157" i="9"/>
  <c r="Z157" i="9"/>
  <c r="BZ158" i="9"/>
  <c r="BN158" i="9"/>
  <c r="BI158" i="9"/>
  <c r="BD158" i="9"/>
  <c r="AY158" i="9"/>
  <c r="AT158" i="9"/>
  <c r="AO158" i="9"/>
  <c r="AJ158" i="9"/>
  <c r="AE158" i="9"/>
  <c r="Z158" i="9"/>
  <c r="BZ154" i="9"/>
  <c r="BN154" i="9"/>
  <c r="BI154" i="9"/>
  <c r="BD154" i="9"/>
  <c r="AY154" i="9"/>
  <c r="AT154" i="9"/>
  <c r="AO154" i="9"/>
  <c r="AJ154" i="9"/>
  <c r="AE154" i="9"/>
  <c r="Z154" i="9"/>
  <c r="BZ155" i="9"/>
  <c r="BN155" i="9"/>
  <c r="BI155" i="9"/>
  <c r="BD155" i="9"/>
  <c r="AY155" i="9"/>
  <c r="AT155" i="9"/>
  <c r="AO155" i="9"/>
  <c r="AJ155" i="9"/>
  <c r="AE155" i="9"/>
  <c r="Z155" i="9"/>
  <c r="BZ159" i="9"/>
  <c r="BN159" i="9"/>
  <c r="BI159" i="9"/>
  <c r="BD159" i="9"/>
  <c r="AY159" i="9"/>
  <c r="AT159" i="9"/>
  <c r="AO159" i="9"/>
  <c r="AJ159" i="9"/>
  <c r="AE159" i="9"/>
  <c r="U159" i="9"/>
  <c r="R1208" i="6" l="1"/>
  <c r="G1207" i="6"/>
  <c r="D1207" i="6"/>
  <c r="I1207" i="6"/>
  <c r="U157" i="9"/>
  <c r="CM157" i="9"/>
  <c r="CA157" i="9"/>
  <c r="CM155" i="9"/>
  <c r="CA155" i="9"/>
  <c r="CM156" i="9"/>
  <c r="CA156" i="9"/>
  <c r="CM154" i="9"/>
  <c r="CA154" i="9"/>
  <c r="CM159" i="9"/>
  <c r="CA159" i="9"/>
  <c r="CM158" i="9"/>
  <c r="CA158" i="9"/>
  <c r="CL159" i="9"/>
  <c r="CL155" i="9"/>
  <c r="CL154" i="9"/>
  <c r="CL158" i="9"/>
  <c r="CL157" i="9"/>
  <c r="CL156" i="9"/>
  <c r="I18" i="1"/>
  <c r="J18" i="1" s="1"/>
  <c r="K18" i="1" s="1"/>
  <c r="L18" i="1" s="1"/>
  <c r="M18" i="1" s="1"/>
  <c r="N18" i="1" s="1"/>
  <c r="O18" i="1" s="1"/>
  <c r="P18" i="1" s="1"/>
  <c r="I719" i="4" l="1"/>
  <c r="J719" i="4" s="1"/>
  <c r="K719" i="4" s="1"/>
  <c r="L719" i="4" s="1"/>
  <c r="M719" i="4" s="1"/>
  <c r="N719" i="4" s="1"/>
  <c r="O719" i="4" s="1"/>
  <c r="P719" i="4" s="1"/>
  <c r="Q719" i="4" s="1"/>
  <c r="R719" i="4" s="1"/>
  <c r="I593" i="4"/>
  <c r="J593" i="4" s="1"/>
  <c r="K593" i="4" s="1"/>
  <c r="L593" i="4" s="1"/>
  <c r="M593" i="4" s="1"/>
  <c r="N593" i="4" s="1"/>
  <c r="O593" i="4" s="1"/>
  <c r="P593" i="4" s="1"/>
  <c r="Q593" i="4" s="1"/>
  <c r="R593" i="4" s="1"/>
  <c r="I1053" i="7"/>
  <c r="J1053" i="7" s="1"/>
  <c r="K1053" i="7" s="1"/>
  <c r="L1053" i="7" s="1"/>
  <c r="M1053" i="7" s="1"/>
  <c r="N1053" i="7" s="1"/>
  <c r="O1053" i="7" s="1"/>
  <c r="P1053" i="7" s="1"/>
  <c r="Q1053" i="7" s="1"/>
  <c r="R1053" i="7" s="1"/>
  <c r="I862" i="6"/>
  <c r="J862" i="6" s="1"/>
  <c r="K862" i="6" s="1"/>
  <c r="L862" i="6" s="1"/>
  <c r="M862" i="6" s="1"/>
  <c r="N862" i="6" s="1"/>
  <c r="O862" i="6" s="1"/>
  <c r="P862" i="6" s="1"/>
  <c r="Q862" i="6" s="1"/>
  <c r="R862" i="6" s="1"/>
  <c r="I1132" i="6"/>
  <c r="J1132" i="6" s="1"/>
  <c r="K1132" i="6" s="1"/>
  <c r="L1132" i="6" s="1"/>
  <c r="M1132" i="6" s="1"/>
  <c r="N1132" i="6" s="1"/>
  <c r="O1132" i="6" s="1"/>
  <c r="P1132" i="6" s="1"/>
  <c r="Q1132" i="6" s="1"/>
  <c r="I1683" i="6"/>
  <c r="J1683" i="6" s="1"/>
  <c r="K1683" i="6" s="1"/>
  <c r="L1683" i="6" s="1"/>
  <c r="M1683" i="6" s="1"/>
  <c r="N1683" i="6" s="1"/>
  <c r="O1683" i="6" s="1"/>
  <c r="P1683" i="6" s="1"/>
  <c r="Q1683" i="6" s="1"/>
  <c r="R1683" i="6" s="1"/>
  <c r="I933" i="4"/>
  <c r="J933" i="4" s="1"/>
  <c r="K933" i="4" s="1"/>
  <c r="L933" i="4" s="1"/>
  <c r="M933" i="4" s="1"/>
  <c r="N933" i="4" s="1"/>
  <c r="O933" i="4" s="1"/>
  <c r="P933" i="4" s="1"/>
  <c r="Q933" i="4" s="1"/>
  <c r="R933" i="4" s="1"/>
  <c r="I997" i="6"/>
  <c r="J997" i="6" s="1"/>
  <c r="K997" i="6" s="1"/>
  <c r="L997" i="6" s="1"/>
  <c r="M997" i="6" s="1"/>
  <c r="N997" i="6" s="1"/>
  <c r="O997" i="6" s="1"/>
  <c r="P997" i="6" s="1"/>
  <c r="Q997" i="6" s="1"/>
  <c r="I1942" i="6"/>
  <c r="I674" i="6" s="1"/>
  <c r="I932" i="6"/>
  <c r="J932" i="6" s="1"/>
  <c r="K932" i="6" s="1"/>
  <c r="L932" i="6" s="1"/>
  <c r="M932" i="6" s="1"/>
  <c r="N932" i="6" s="1"/>
  <c r="O932" i="6" s="1"/>
  <c r="P932" i="6" s="1"/>
  <c r="Q932" i="6" s="1"/>
  <c r="J341" i="8"/>
  <c r="K341" i="8" s="1"/>
  <c r="L341" i="8" s="1"/>
  <c r="M341" i="8" s="1"/>
  <c r="N341" i="8" s="1"/>
  <c r="O341" i="8" s="1"/>
  <c r="P341" i="8" s="1"/>
  <c r="Q341" i="8" s="1"/>
  <c r="R341" i="8" s="1"/>
  <c r="I1064" i="6"/>
  <c r="J1064" i="6" s="1"/>
  <c r="K1064" i="6" s="1"/>
  <c r="L1064" i="6" s="1"/>
  <c r="M1064" i="6" s="1"/>
  <c r="N1064" i="6" s="1"/>
  <c r="O1064" i="6" s="1"/>
  <c r="P1064" i="6" s="1"/>
  <c r="Q1064" i="6" s="1"/>
  <c r="R1064" i="6" s="1"/>
  <c r="I1625" i="6"/>
  <c r="J1625" i="6" s="1"/>
  <c r="K1625" i="6" s="1"/>
  <c r="L1625" i="6" s="1"/>
  <c r="M1625" i="6" s="1"/>
  <c r="N1625" i="6" s="1"/>
  <c r="O1625" i="6" s="1"/>
  <c r="P1625" i="6" s="1"/>
  <c r="Q1625" i="6" s="1"/>
  <c r="R1625" i="6" s="1"/>
  <c r="I2015" i="6"/>
  <c r="I995" i="7"/>
  <c r="J540" i="8"/>
  <c r="K540" i="8" s="1"/>
  <c r="L540" i="8" s="1"/>
  <c r="M540" i="8" s="1"/>
  <c r="N540" i="8" s="1"/>
  <c r="O540" i="8" s="1"/>
  <c r="P540" i="8" s="1"/>
  <c r="Q540" i="8" s="1"/>
  <c r="R540" i="8" s="1"/>
  <c r="I773" i="4"/>
  <c r="J773" i="4" s="1"/>
  <c r="K773" i="4" s="1"/>
  <c r="L773" i="4" s="1"/>
  <c r="M773" i="4" s="1"/>
  <c r="N773" i="4" s="1"/>
  <c r="O773" i="4" s="1"/>
  <c r="P773" i="4" s="1"/>
  <c r="Q773" i="4" s="1"/>
  <c r="R773" i="4" s="1"/>
  <c r="I1193" i="6"/>
  <c r="J1193" i="6" s="1"/>
  <c r="K1193" i="6" s="1"/>
  <c r="L1193" i="6" s="1"/>
  <c r="M1193" i="6" s="1"/>
  <c r="N1193" i="6" s="1"/>
  <c r="O1193" i="6" s="1"/>
  <c r="P1193" i="6" s="1"/>
  <c r="Q1193" i="6" s="1"/>
  <c r="R1193" i="6" s="1"/>
  <c r="I1748" i="6"/>
  <c r="I933" i="6"/>
  <c r="J933" i="6" s="1"/>
  <c r="K933" i="6" s="1"/>
  <c r="L933" i="6" s="1"/>
  <c r="M933" i="6" s="1"/>
  <c r="N933" i="6" s="1"/>
  <c r="O933" i="6" s="1"/>
  <c r="P933" i="6" s="1"/>
  <c r="Q933" i="6" s="1"/>
  <c r="I446" i="5"/>
  <c r="J446" i="5" s="1"/>
  <c r="K446" i="5" s="1"/>
  <c r="L446" i="5" s="1"/>
  <c r="M446" i="5" s="1"/>
  <c r="N446" i="5" s="1"/>
  <c r="O446" i="5" s="1"/>
  <c r="P446" i="5" s="1"/>
  <c r="Q446" i="5" s="1"/>
  <c r="R446" i="5" s="1"/>
  <c r="I996" i="6"/>
  <c r="J996" i="6" s="1"/>
  <c r="K996" i="6" s="1"/>
  <c r="L996" i="6" s="1"/>
  <c r="M996" i="6" s="1"/>
  <c r="N996" i="6" s="1"/>
  <c r="O996" i="6" s="1"/>
  <c r="P996" i="6" s="1"/>
  <c r="Q996" i="6" s="1"/>
  <c r="R996" i="6" s="1"/>
  <c r="I1131" i="6"/>
  <c r="J1131" i="6" s="1"/>
  <c r="K1131" i="6" s="1"/>
  <c r="L1131" i="6" s="1"/>
  <c r="M1131" i="6" s="1"/>
  <c r="N1131" i="6" s="1"/>
  <c r="O1131" i="6" s="1"/>
  <c r="P1131" i="6" s="1"/>
  <c r="Q1131" i="6" s="1"/>
  <c r="R1131" i="6" s="1"/>
  <c r="I1747" i="6"/>
  <c r="I1943" i="6"/>
  <c r="I931" i="6"/>
  <c r="J931" i="6" s="1"/>
  <c r="K931" i="6" s="1"/>
  <c r="L931" i="6" s="1"/>
  <c r="M931" i="6" s="1"/>
  <c r="N931" i="6" s="1"/>
  <c r="O931" i="6" s="1"/>
  <c r="P931" i="6" s="1"/>
  <c r="Q931" i="6" s="1"/>
  <c r="R931" i="6" s="1"/>
  <c r="CB158" i="9"/>
  <c r="CN158" i="9"/>
  <c r="CB155" i="9"/>
  <c r="CN155" i="9"/>
  <c r="CB157" i="9"/>
  <c r="CN157" i="9"/>
  <c r="CB159" i="9"/>
  <c r="CN159" i="9"/>
  <c r="CB154" i="9"/>
  <c r="CN154" i="9"/>
  <c r="CB156" i="9"/>
  <c r="CN156" i="9"/>
  <c r="I594" i="4"/>
  <c r="I595" i="4"/>
  <c r="J595" i="4" s="1"/>
  <c r="K595" i="4" s="1"/>
  <c r="L595" i="4" s="1"/>
  <c r="M595" i="4" s="1"/>
  <c r="N595" i="4" s="1"/>
  <c r="O595" i="4" s="1"/>
  <c r="P595" i="4" s="1"/>
  <c r="Q595" i="4" s="1"/>
  <c r="C1996" i="6"/>
  <c r="Q131" i="4" l="1"/>
  <c r="R595" i="4"/>
  <c r="R131" i="4" s="1"/>
  <c r="R938" i="4"/>
  <c r="R357" i="4"/>
  <c r="R362" i="4" s="1"/>
  <c r="R129" i="4"/>
  <c r="R778" i="4"/>
  <c r="R241" i="4"/>
  <c r="R246" i="4" s="1"/>
  <c r="R194" i="4"/>
  <c r="R199" i="4" s="1"/>
  <c r="R723" i="4"/>
  <c r="R547" i="8"/>
  <c r="R141" i="8"/>
  <c r="R347" i="8"/>
  <c r="R78" i="8"/>
  <c r="R583" i="8"/>
  <c r="R1070" i="6"/>
  <c r="R271" i="6"/>
  <c r="R278" i="6" s="1"/>
  <c r="Q215" i="6"/>
  <c r="R997" i="6"/>
  <c r="R215" i="6" s="1"/>
  <c r="R868" i="6"/>
  <c r="R158" i="6"/>
  <c r="Q161" i="6"/>
  <c r="R933" i="6"/>
  <c r="R161" i="6" s="1"/>
  <c r="R337" i="6"/>
  <c r="R1003" i="6"/>
  <c r="R214" i="6"/>
  <c r="R1198" i="6"/>
  <c r="R339" i="6"/>
  <c r="Q160" i="6"/>
  <c r="R932" i="6"/>
  <c r="R160" i="6" s="1"/>
  <c r="R1688" i="6"/>
  <c r="R546" i="6"/>
  <c r="R551" i="6" s="1"/>
  <c r="R159" i="6"/>
  <c r="R1630" i="6"/>
  <c r="R507" i="6"/>
  <c r="R512" i="6" s="1"/>
  <c r="Q338" i="6"/>
  <c r="R1132" i="6"/>
  <c r="R338" i="6" s="1"/>
  <c r="R485" i="5"/>
  <c r="R193" i="5"/>
  <c r="R198" i="5" s="1"/>
  <c r="R450" i="5"/>
  <c r="R389" i="7"/>
  <c r="R1058" i="7"/>
  <c r="J2015" i="6"/>
  <c r="F23" i="58"/>
  <c r="T19" i="58" s="1"/>
  <c r="J594" i="4"/>
  <c r="K594" i="4" s="1"/>
  <c r="K130" i="4" s="1"/>
  <c r="Q1137" i="6"/>
  <c r="Q337" i="6"/>
  <c r="Q547" i="8"/>
  <c r="Q141" i="8"/>
  <c r="Q583" i="8"/>
  <c r="Q1070" i="6"/>
  <c r="Q271" i="6"/>
  <c r="Q278" i="6" s="1"/>
  <c r="Q938" i="6"/>
  <c r="Q159" i="6"/>
  <c r="Q214" i="6"/>
  <c r="Q1003" i="6"/>
  <c r="Q347" i="8"/>
  <c r="Q78" i="8"/>
  <c r="O25" i="16" s="1"/>
  <c r="O10" i="16" s="1"/>
  <c r="O245" i="15" s="1"/>
  <c r="Q938" i="4"/>
  <c r="Q357" i="4"/>
  <c r="Q362" i="4" s="1"/>
  <c r="Q1058" i="7"/>
  <c r="Q389" i="7"/>
  <c r="Q485" i="5"/>
  <c r="O6" i="3" s="1"/>
  <c r="Q193" i="5"/>
  <c r="Q198" i="5" s="1"/>
  <c r="Q450" i="5"/>
  <c r="Q1688" i="6"/>
  <c r="Q546" i="6"/>
  <c r="Q551" i="6" s="1"/>
  <c r="Q129" i="4"/>
  <c r="Q1198" i="6"/>
  <c r="Q339" i="6"/>
  <c r="Q778" i="4"/>
  <c r="Q241" i="4"/>
  <c r="Q246" i="4" s="1"/>
  <c r="Q1630" i="6"/>
  <c r="Q507" i="6"/>
  <c r="Q512" i="6" s="1"/>
  <c r="Q723" i="4"/>
  <c r="Q194" i="4"/>
  <c r="Q199" i="4" s="1"/>
  <c r="J1748" i="6"/>
  <c r="I1756" i="6"/>
  <c r="J1747" i="6"/>
  <c r="J995" i="7"/>
  <c r="I1000" i="7"/>
  <c r="J1943" i="6"/>
  <c r="I676" i="6"/>
  <c r="J1942" i="6"/>
  <c r="J674" i="6" s="1"/>
  <c r="CC154" i="9"/>
  <c r="CO154" i="9"/>
  <c r="CC156" i="9"/>
  <c r="CO156" i="9"/>
  <c r="CC159" i="9"/>
  <c r="CO159" i="9"/>
  <c r="CC157" i="9"/>
  <c r="CO157" i="9"/>
  <c r="CC158" i="9"/>
  <c r="CO158" i="9"/>
  <c r="CC155" i="9"/>
  <c r="CO155" i="9"/>
  <c r="P61" i="27"/>
  <c r="O61" i="27"/>
  <c r="N61" i="27"/>
  <c r="M61" i="27"/>
  <c r="L61" i="27"/>
  <c r="K61" i="27"/>
  <c r="J61" i="27"/>
  <c r="I61" i="27"/>
  <c r="G61" i="27"/>
  <c r="D61" i="27"/>
  <c r="R221" i="6" l="1"/>
  <c r="R344" i="6"/>
  <c r="R938" i="6"/>
  <c r="R167" i="6"/>
  <c r="R148" i="8"/>
  <c r="P25" i="17"/>
  <c r="P10" i="17" s="1"/>
  <c r="R84" i="8"/>
  <c r="R20" i="8"/>
  <c r="P25" i="16"/>
  <c r="P10" i="16" s="1"/>
  <c r="Q221" i="6"/>
  <c r="R1137" i="6"/>
  <c r="R31" i="5"/>
  <c r="P6" i="3"/>
  <c r="F37" i="58"/>
  <c r="K2015" i="6"/>
  <c r="G23" i="58"/>
  <c r="G37" i="58" s="1"/>
  <c r="L594" i="4"/>
  <c r="M594" i="4" s="1"/>
  <c r="N594" i="4" s="1"/>
  <c r="O594" i="4" s="1"/>
  <c r="P594" i="4" s="1"/>
  <c r="Q594" i="4" s="1"/>
  <c r="R594" i="4" s="1"/>
  <c r="Q344" i="6"/>
  <c r="O267" i="15"/>
  <c r="Q31" i="5"/>
  <c r="N22" i="13" s="1"/>
  <c r="O105" i="16"/>
  <c r="AP20" i="42"/>
  <c r="O558" i="34" s="1"/>
  <c r="Q148" i="8"/>
  <c r="O25" i="17"/>
  <c r="O10" i="17" s="1"/>
  <c r="O294" i="15" s="1"/>
  <c r="Q84" i="8"/>
  <c r="Q20" i="8"/>
  <c r="K1748" i="6"/>
  <c r="J1756" i="6"/>
  <c r="K1747" i="6"/>
  <c r="K995" i="7"/>
  <c r="J1000" i="7"/>
  <c r="K1943" i="6"/>
  <c r="J676" i="6"/>
  <c r="K1942" i="6"/>
  <c r="K674" i="6" s="1"/>
  <c r="CD158" i="9"/>
  <c r="CP158" i="9"/>
  <c r="CD157" i="9"/>
  <c r="CP157" i="9"/>
  <c r="CD156" i="9"/>
  <c r="CP156" i="9"/>
  <c r="CD154" i="9"/>
  <c r="CP154" i="9"/>
  <c r="CD155" i="9"/>
  <c r="CP155" i="9"/>
  <c r="CD159" i="9"/>
  <c r="CP159" i="9"/>
  <c r="R130" i="4" l="1"/>
  <c r="R136" i="4" s="1"/>
  <c r="R600" i="4"/>
  <c r="P294" i="15"/>
  <c r="P316" i="15" s="1"/>
  <c r="BE20" i="42"/>
  <c r="P103" i="17"/>
  <c r="P245" i="15"/>
  <c r="P267" i="15" s="1"/>
  <c r="AQ20" i="42"/>
  <c r="P105" i="16"/>
  <c r="O22" i="13"/>
  <c r="O103" i="13"/>
  <c r="L2015" i="6"/>
  <c r="H23" i="58"/>
  <c r="H37" i="58" s="1"/>
  <c r="Q130" i="4"/>
  <c r="Q136" i="4" s="1"/>
  <c r="Q600" i="4"/>
  <c r="N103" i="13"/>
  <c r="O316" i="15"/>
  <c r="AP29" i="42"/>
  <c r="O84" i="15"/>
  <c r="O103" i="17"/>
  <c r="BD20" i="42"/>
  <c r="O115" i="15" s="1"/>
  <c r="L1748" i="6"/>
  <c r="K1756" i="6"/>
  <c r="L1747" i="6"/>
  <c r="L995" i="7"/>
  <c r="K1000" i="7"/>
  <c r="L1168" i="7"/>
  <c r="L1943" i="6"/>
  <c r="K676" i="6"/>
  <c r="L1942" i="6"/>
  <c r="L674" i="6" s="1"/>
  <c r="CQ159" i="9"/>
  <c r="CE159" i="9"/>
  <c r="CQ157" i="9"/>
  <c r="CE157" i="9"/>
  <c r="CQ155" i="9"/>
  <c r="CE155" i="9"/>
  <c r="CQ154" i="9"/>
  <c r="CE154" i="9"/>
  <c r="CQ156" i="9"/>
  <c r="CE156" i="9"/>
  <c r="CQ158" i="9"/>
  <c r="CE158" i="9"/>
  <c r="B61" i="4"/>
  <c r="A61" i="4"/>
  <c r="C61" i="4"/>
  <c r="B60" i="4"/>
  <c r="A60" i="4"/>
  <c r="B59" i="4"/>
  <c r="A59" i="4"/>
  <c r="G60" i="4"/>
  <c r="G59" i="4"/>
  <c r="C60" i="4"/>
  <c r="C59" i="4"/>
  <c r="BE29" i="42" l="1"/>
  <c r="P115" i="15"/>
  <c r="P573" i="34"/>
  <c r="P699" i="34" s="1"/>
  <c r="AQ29" i="42"/>
  <c r="P558" i="34"/>
  <c r="P693" i="34" s="1"/>
  <c r="P84" i="15"/>
  <c r="M2015" i="6"/>
  <c r="I23" i="58"/>
  <c r="I37" i="58" s="1"/>
  <c r="H60" i="4"/>
  <c r="H59" i="4"/>
  <c r="BD29" i="42"/>
  <c r="O573" i="34"/>
  <c r="O699" i="34" s="1"/>
  <c r="M1748" i="6"/>
  <c r="L1756" i="6"/>
  <c r="M1747" i="6"/>
  <c r="M995" i="7"/>
  <c r="L1000" i="7"/>
  <c r="M1168" i="7"/>
  <c r="M1943" i="6"/>
  <c r="L676" i="6"/>
  <c r="M1942" i="6"/>
  <c r="M674" i="6" s="1"/>
  <c r="CF158" i="9"/>
  <c r="CR158" i="9"/>
  <c r="CF154" i="9"/>
  <c r="CR154" i="9"/>
  <c r="CF157" i="9"/>
  <c r="CR157" i="9"/>
  <c r="CF156" i="9"/>
  <c r="CR156" i="9"/>
  <c r="CF155" i="9"/>
  <c r="CR155" i="9"/>
  <c r="CF159" i="9"/>
  <c r="CR159" i="9"/>
  <c r="A786" i="6"/>
  <c r="D428" i="6"/>
  <c r="C428" i="6"/>
  <c r="B428" i="6"/>
  <c r="A428" i="6"/>
  <c r="B429" i="6"/>
  <c r="A429" i="6"/>
  <c r="G429" i="6"/>
  <c r="D429" i="6"/>
  <c r="C429" i="6"/>
  <c r="B430" i="6"/>
  <c r="A430" i="6"/>
  <c r="G430" i="6"/>
  <c r="D430" i="6"/>
  <c r="C430" i="6"/>
  <c r="N2015" i="6" l="1"/>
  <c r="J23" i="58"/>
  <c r="J37" i="58" s="1"/>
  <c r="H429" i="6"/>
  <c r="H430" i="6"/>
  <c r="N1748" i="6"/>
  <c r="M1756" i="6"/>
  <c r="N1747" i="6"/>
  <c r="N995" i="7"/>
  <c r="M1000" i="7"/>
  <c r="N1168" i="7"/>
  <c r="N1943" i="6"/>
  <c r="M676" i="6"/>
  <c r="N1942" i="6"/>
  <c r="N674" i="6" s="1"/>
  <c r="CG155" i="9"/>
  <c r="CS155" i="9"/>
  <c r="CG157" i="9"/>
  <c r="CS157" i="9"/>
  <c r="CG154" i="9"/>
  <c r="CS154" i="9"/>
  <c r="CS159" i="9"/>
  <c r="CG159" i="9"/>
  <c r="CG156" i="9"/>
  <c r="CS156" i="9"/>
  <c r="CG158" i="9"/>
  <c r="CS158" i="9"/>
  <c r="O2015" i="6" l="1"/>
  <c r="K23" i="58"/>
  <c r="K37" i="58" s="1"/>
  <c r="O1748" i="6"/>
  <c r="N1756" i="6"/>
  <c r="O1747" i="6"/>
  <c r="O995" i="7"/>
  <c r="N1000" i="7"/>
  <c r="O1168" i="7"/>
  <c r="O1943" i="6"/>
  <c r="N676" i="6"/>
  <c r="O1942" i="6"/>
  <c r="O674" i="6" s="1"/>
  <c r="CH156" i="9"/>
  <c r="CT156" i="9"/>
  <c r="CH157" i="9"/>
  <c r="CT157" i="9"/>
  <c r="CH155" i="9"/>
  <c r="CT155" i="9"/>
  <c r="CH158" i="9"/>
  <c r="CT158" i="9"/>
  <c r="CH154" i="9"/>
  <c r="CT154" i="9"/>
  <c r="CH159" i="9"/>
  <c r="CT159" i="9"/>
  <c r="P2015" i="6" l="1"/>
  <c r="L23" i="58"/>
  <c r="L37" i="58" s="1"/>
  <c r="CU154" i="9"/>
  <c r="CI154" i="9"/>
  <c r="CU156" i="9"/>
  <c r="CI156" i="9"/>
  <c r="CU159" i="9"/>
  <c r="CI159" i="9"/>
  <c r="CU158" i="9"/>
  <c r="CI158" i="9"/>
  <c r="CU157" i="9"/>
  <c r="CI157" i="9"/>
  <c r="CU155" i="9"/>
  <c r="CI155" i="9"/>
  <c r="P1748" i="6"/>
  <c r="Q1748" i="6" s="1"/>
  <c r="R1748" i="6" s="1"/>
  <c r="O1756" i="6"/>
  <c r="P1747" i="6"/>
  <c r="Q1747" i="6" s="1"/>
  <c r="R1747" i="6" s="1"/>
  <c r="P995" i="7"/>
  <c r="O1000" i="7"/>
  <c r="P1168" i="7"/>
  <c r="Q1168" i="7" s="1"/>
  <c r="R1168" i="7" s="1"/>
  <c r="P1943" i="6"/>
  <c r="O676" i="6"/>
  <c r="P1942" i="6"/>
  <c r="R1756" i="6" l="1"/>
  <c r="R599" i="6"/>
  <c r="R606" i="6" s="1"/>
  <c r="R1174" i="7"/>
  <c r="R451" i="7"/>
  <c r="R457" i="7" s="1"/>
  <c r="CV154" i="9"/>
  <c r="CJ154" i="9"/>
  <c r="CW154" i="9" s="1"/>
  <c r="CV157" i="9"/>
  <c r="CJ157" i="9"/>
  <c r="CW157" i="9" s="1"/>
  <c r="CV155" i="9"/>
  <c r="CJ155" i="9"/>
  <c r="CW155" i="9" s="1"/>
  <c r="CV158" i="9"/>
  <c r="CJ158" i="9"/>
  <c r="CW158" i="9" s="1"/>
  <c r="CV156" i="9"/>
  <c r="CJ156" i="9"/>
  <c r="CW156" i="9" s="1"/>
  <c r="CV159" i="9"/>
  <c r="CJ159" i="9"/>
  <c r="CW159" i="9" s="1"/>
  <c r="Q2015" i="6"/>
  <c r="R2015" i="6" s="1"/>
  <c r="M23" i="58"/>
  <c r="M37" i="58" s="1"/>
  <c r="P1000" i="7"/>
  <c r="Q995" i="7"/>
  <c r="R995" i="7" s="1"/>
  <c r="P676" i="6"/>
  <c r="Q1943" i="6"/>
  <c r="Q1756" i="6"/>
  <c r="Q599" i="6"/>
  <c r="Q606" i="6" s="1"/>
  <c r="Q1174" i="7"/>
  <c r="Q451" i="7"/>
  <c r="Q457" i="7" s="1"/>
  <c r="P674" i="6"/>
  <c r="Q1942" i="6"/>
  <c r="R1942" i="6" s="1"/>
  <c r="P1756" i="6"/>
  <c r="H814" i="4"/>
  <c r="R2020" i="6" l="1"/>
  <c r="O23" i="58"/>
  <c r="O37" i="58" s="1"/>
  <c r="R730" i="6"/>
  <c r="R735" i="6" s="1"/>
  <c r="R674" i="6"/>
  <c r="Q676" i="6"/>
  <c r="R1943" i="6"/>
  <c r="R676" i="6" s="1"/>
  <c r="R1000" i="7"/>
  <c r="R1221" i="7" s="1"/>
  <c r="P5" i="3" s="1"/>
  <c r="R390" i="7"/>
  <c r="R395" i="7" s="1"/>
  <c r="R41" i="7" s="1"/>
  <c r="N23" i="58"/>
  <c r="N37" i="58" s="1"/>
  <c r="Q730" i="6"/>
  <c r="Q735" i="6" s="1"/>
  <c r="Q2020" i="6"/>
  <c r="Q1949" i="6"/>
  <c r="Q674" i="6"/>
  <c r="Q681" i="6" s="1"/>
  <c r="Q1000" i="7"/>
  <c r="Q1221" i="7" s="1"/>
  <c r="O5" i="3" s="1"/>
  <c r="Q390" i="7"/>
  <c r="Q395" i="7" s="1"/>
  <c r="Q41" i="7" s="1"/>
  <c r="H1616" i="6"/>
  <c r="D149" i="6"/>
  <c r="H149" i="6" s="1"/>
  <c r="R1949" i="6" l="1"/>
  <c r="R681" i="6"/>
  <c r="O12" i="13"/>
  <c r="O102" i="13"/>
  <c r="N102" i="13"/>
  <c r="N12" i="13"/>
  <c r="Z136" i="9"/>
  <c r="M8" i="37" l="1"/>
  <c r="Z364" i="9"/>
  <c r="P728" i="4"/>
  <c r="O728" i="4"/>
  <c r="N728" i="4"/>
  <c r="M728" i="4"/>
  <c r="L728" i="4"/>
  <c r="K728" i="4"/>
  <c r="J728" i="4"/>
  <c r="I728" i="4"/>
  <c r="AE22" i="10"/>
  <c r="AD15" i="11" s="1"/>
  <c r="AB22" i="10"/>
  <c r="AA15" i="11" s="1"/>
  <c r="Y22" i="10"/>
  <c r="X15" i="11" s="1"/>
  <c r="V22" i="10"/>
  <c r="U15" i="11" s="1"/>
  <c r="R15" i="11"/>
  <c r="O15" i="11"/>
  <c r="L15" i="11"/>
  <c r="I15" i="11"/>
  <c r="F15" i="11"/>
  <c r="C15" i="11" l="1"/>
  <c r="AA58" i="14" l="1"/>
  <c r="AA61" i="14" s="1"/>
  <c r="Y58" i="14"/>
  <c r="Y61" i="14" s="1"/>
  <c r="AA60" i="9" l="1"/>
  <c r="AA63" i="9" s="1"/>
  <c r="D421" i="7"/>
  <c r="C427" i="7"/>
  <c r="B427" i="7"/>
  <c r="A427" i="7"/>
  <c r="AD60" i="9" l="1"/>
  <c r="AA65" i="9"/>
  <c r="AE60" i="9" l="1"/>
  <c r="G447" i="4"/>
  <c r="H447" i="4" s="1"/>
  <c r="K39" i="48"/>
  <c r="H680" i="7" l="1"/>
  <c r="G352" i="7" l="1"/>
  <c r="D352" i="7"/>
  <c r="C352" i="7"/>
  <c r="B352" i="7"/>
  <c r="A352" i="7"/>
  <c r="H352" i="7" l="1"/>
  <c r="AA234" i="10" l="1"/>
  <c r="X234" i="10"/>
  <c r="U234" i="10"/>
  <c r="BZ199" i="9"/>
  <c r="Y199" i="9"/>
  <c r="Z199" i="9" s="1"/>
  <c r="U199" i="9"/>
  <c r="CM199" i="9" l="1"/>
  <c r="CA199" i="9"/>
  <c r="CL199" i="9"/>
  <c r="P7" i="42"/>
  <c r="P69" i="42" s="1"/>
  <c r="CB199" i="9" l="1"/>
  <c r="CC199" i="9" l="1"/>
  <c r="CD199" i="9" l="1"/>
  <c r="E716" i="34"/>
  <c r="B716" i="34"/>
  <c r="CE199" i="9" l="1"/>
  <c r="CF199" i="9" l="1"/>
  <c r="E68" i="1"/>
  <c r="E67" i="1"/>
  <c r="B290" i="3" s="1"/>
  <c r="E66" i="1"/>
  <c r="B289" i="3" s="1"/>
  <c r="C299" i="3" l="1"/>
  <c r="B299" i="3"/>
  <c r="C300" i="3"/>
  <c r="B300" i="3"/>
  <c r="CG199" i="9"/>
  <c r="CH199" i="9" l="1"/>
  <c r="CI199" i="9" s="1"/>
  <c r="CJ199" i="9" s="1"/>
  <c r="D1146" i="6" l="1"/>
  <c r="H302" i="5" l="1"/>
  <c r="H294" i="5"/>
  <c r="H293" i="5"/>
  <c r="H289" i="5"/>
  <c r="H288" i="5"/>
  <c r="H287" i="5"/>
  <c r="F56" i="12"/>
  <c r="G56" i="12" s="1"/>
  <c r="H56" i="12" s="1"/>
  <c r="L25" i="37"/>
  <c r="C115" i="6" l="1"/>
  <c r="D734" i="34"/>
  <c r="C68" i="8"/>
  <c r="C45" i="8"/>
  <c r="B71" i="15" s="1"/>
  <c r="C698" i="6"/>
  <c r="H1667" i="6"/>
  <c r="D728" i="34" l="1"/>
  <c r="C421" i="7"/>
  <c r="C367" i="7"/>
  <c r="H1791" i="6"/>
  <c r="A11" i="40"/>
  <c r="B358" i="42" s="1"/>
  <c r="D358" i="42" s="1"/>
  <c r="C116" i="4"/>
  <c r="C407" i="4" l="1"/>
  <c r="D439" i="6"/>
  <c r="C439" i="6"/>
  <c r="B439" i="6"/>
  <c r="A439" i="6"/>
  <c r="H1554" i="6" l="1"/>
  <c r="D406" i="6"/>
  <c r="D405" i="6"/>
  <c r="C407" i="6"/>
  <c r="C406" i="6"/>
  <c r="C405" i="6"/>
  <c r="B407" i="6"/>
  <c r="A407" i="6"/>
  <c r="B406" i="6"/>
  <c r="A406" i="6"/>
  <c r="B405" i="6"/>
  <c r="A405" i="6"/>
  <c r="D261" i="6"/>
  <c r="B261" i="6"/>
  <c r="A261" i="6"/>
  <c r="D260" i="6"/>
  <c r="A260" i="6"/>
  <c r="H1043" i="6"/>
  <c r="D94" i="6"/>
  <c r="C94" i="6"/>
  <c r="B94" i="6"/>
  <c r="A94" i="6"/>
  <c r="A330" i="4"/>
  <c r="H864" i="4"/>
  <c r="H866" i="4"/>
  <c r="C104" i="26" l="1"/>
  <c r="C241" i="4" l="1"/>
  <c r="C78" i="8"/>
  <c r="B25" i="16" s="1"/>
  <c r="B10" i="16" s="1"/>
  <c r="B245" i="15" s="1"/>
  <c r="C141" i="8"/>
  <c r="B25" i="17" s="1"/>
  <c r="B10" i="17" s="1"/>
  <c r="I837" i="4" l="1"/>
  <c r="J837" i="4" s="1"/>
  <c r="K837" i="4" s="1"/>
  <c r="L837" i="4" s="1"/>
  <c r="M837" i="4" s="1"/>
  <c r="N837" i="4" s="1"/>
  <c r="O837" i="4" s="1"/>
  <c r="P837" i="4" s="1"/>
  <c r="Q837" i="4" s="1"/>
  <c r="H837" i="4"/>
  <c r="Q292" i="4" l="1"/>
  <c r="Q297" i="4" s="1"/>
  <c r="R837" i="4"/>
  <c r="Q842" i="4"/>
  <c r="Q978" i="4" s="1"/>
  <c r="O8" i="3" s="1"/>
  <c r="U378" i="9"/>
  <c r="R842" i="4" l="1"/>
  <c r="R978" i="4" s="1"/>
  <c r="R292" i="4"/>
  <c r="R297" i="4" s="1"/>
  <c r="N40" i="13"/>
  <c r="Q37" i="4"/>
  <c r="N105" i="13" s="1"/>
  <c r="R37" i="4" l="1"/>
  <c r="O105" i="13" s="1"/>
  <c r="O40" i="13"/>
  <c r="P8" i="3"/>
  <c r="L96" i="26"/>
  <c r="H800" i="4" l="1"/>
  <c r="H798" i="4"/>
  <c r="H1048" i="6" l="1"/>
  <c r="H1047" i="6"/>
  <c r="H1046" i="6"/>
  <c r="H1045" i="6"/>
  <c r="H1042" i="6"/>
  <c r="H1041" i="6"/>
  <c r="H1040" i="6"/>
  <c r="H1039" i="6"/>
  <c r="H1038" i="6"/>
  <c r="H1037" i="6"/>
  <c r="H1307" i="6"/>
  <c r="H1310" i="6"/>
  <c r="H1311" i="6"/>
  <c r="H1312" i="6"/>
  <c r="G261" i="6" l="1"/>
  <c r="H261" i="6" s="1"/>
  <c r="G260" i="6"/>
  <c r="H260" i="6" s="1"/>
  <c r="D426" i="6"/>
  <c r="G71" i="4"/>
  <c r="B72" i="4"/>
  <c r="A72" i="4"/>
  <c r="B71" i="4"/>
  <c r="A71" i="4"/>
  <c r="H71" i="4" l="1"/>
  <c r="N54" i="37" l="1"/>
  <c r="G199" i="9"/>
  <c r="I6" i="1"/>
  <c r="J6" i="1" s="1"/>
  <c r="I65" i="21" s="1"/>
  <c r="AJ65" i="21" l="1"/>
  <c r="AE136" i="9"/>
  <c r="N8" i="37" s="1"/>
  <c r="H199" i="9"/>
  <c r="AD199" i="9"/>
  <c r="AE199" i="9" s="1"/>
  <c r="I1958" i="6"/>
  <c r="CN199" i="9"/>
  <c r="H136" i="9"/>
  <c r="M6" i="1" l="1"/>
  <c r="N6" i="1" s="1"/>
  <c r="O6" i="1" s="1"/>
  <c r="P6" i="1" s="1"/>
  <c r="Q6" i="1" s="1"/>
  <c r="J98" i="9"/>
  <c r="AI199" i="9"/>
  <c r="AJ199" i="9" s="1"/>
  <c r="O9" i="21"/>
  <c r="BH9" i="21" s="1"/>
  <c r="O64" i="21"/>
  <c r="O21" i="21"/>
  <c r="O57" i="21"/>
  <c r="O66" i="21"/>
  <c r="J65" i="21"/>
  <c r="I199" i="9"/>
  <c r="J1958" i="6"/>
  <c r="CO199" i="9"/>
  <c r="I136" i="9"/>
  <c r="AJ136" i="9"/>
  <c r="O8" i="37" s="1"/>
  <c r="B705" i="34"/>
  <c r="B704" i="34"/>
  <c r="P57" i="21" l="1"/>
  <c r="P9" i="21"/>
  <c r="BH66" i="21"/>
  <c r="P66" i="21"/>
  <c r="BH21" i="21"/>
  <c r="P21" i="21"/>
  <c r="BH64" i="21"/>
  <c r="P64" i="21"/>
  <c r="K175" i="9"/>
  <c r="CQ175" i="9"/>
  <c r="AT175" i="9"/>
  <c r="K98" i="9"/>
  <c r="AT98" i="9"/>
  <c r="CQ98" i="9"/>
  <c r="BH57" i="21"/>
  <c r="CK57" i="21"/>
  <c r="K65" i="21"/>
  <c r="AN65" i="21"/>
  <c r="AN199" i="9"/>
  <c r="AO199" i="9" s="1"/>
  <c r="K1958" i="6"/>
  <c r="J199" i="9"/>
  <c r="CP199" i="9"/>
  <c r="J136" i="9"/>
  <c r="AO136" i="9"/>
  <c r="P8" i="37" s="1"/>
  <c r="C665" i="34"/>
  <c r="B665" i="34"/>
  <c r="B736" i="34"/>
  <c r="E735" i="34"/>
  <c r="D735" i="34"/>
  <c r="C735" i="34"/>
  <c r="B735" i="34"/>
  <c r="C734" i="34"/>
  <c r="B734" i="34"/>
  <c r="B728" i="34"/>
  <c r="B727" i="34"/>
  <c r="B725" i="34"/>
  <c r="C724" i="34"/>
  <c r="B724" i="34"/>
  <c r="F750" i="34"/>
  <c r="E750" i="34"/>
  <c r="D750" i="34"/>
  <c r="C750" i="34"/>
  <c r="B750" i="34"/>
  <c r="B309" i="34"/>
  <c r="BL66" i="21" l="1"/>
  <c r="CL66" i="21"/>
  <c r="CL64" i="21"/>
  <c r="BL64" i="21"/>
  <c r="BL21" i="21"/>
  <c r="CL21" i="21"/>
  <c r="CL9" i="21"/>
  <c r="BL9" i="21"/>
  <c r="BL57" i="21"/>
  <c r="CL57" i="21"/>
  <c r="L98" i="9"/>
  <c r="AY98" i="9"/>
  <c r="CR98" i="9"/>
  <c r="L175" i="9"/>
  <c r="CR175" i="9"/>
  <c r="AY175" i="9"/>
  <c r="L65" i="21"/>
  <c r="AR65" i="21"/>
  <c r="CQ199" i="9"/>
  <c r="AS199" i="9"/>
  <c r="AT199" i="9" s="1"/>
  <c r="L1958" i="6"/>
  <c r="K199" i="9"/>
  <c r="K136" i="9"/>
  <c r="AT136" i="9"/>
  <c r="Q8" i="37" s="1"/>
  <c r="B737" i="34"/>
  <c r="CL68" i="21" l="1"/>
  <c r="P692" i="34" s="1"/>
  <c r="P694" i="34" s="1"/>
  <c r="P203" i="34" s="1"/>
  <c r="M175" i="9"/>
  <c r="BD175" i="9"/>
  <c r="CS175" i="9"/>
  <c r="M98" i="9"/>
  <c r="BD98" i="9"/>
  <c r="CS98" i="9"/>
  <c r="M65" i="21"/>
  <c r="AV65" i="21"/>
  <c r="AX199" i="9"/>
  <c r="AY199" i="9" s="1"/>
  <c r="L199" i="9"/>
  <c r="CR199" i="9"/>
  <c r="M1958" i="6"/>
  <c r="AY136" i="9"/>
  <c r="R8" i="37" s="1"/>
  <c r="L136" i="9"/>
  <c r="B739" i="34"/>
  <c r="B215" i="34" s="1"/>
  <c r="N98" i="9" l="1"/>
  <c r="BI98" i="9"/>
  <c r="CT98" i="9"/>
  <c r="N175" i="9"/>
  <c r="CT175" i="9"/>
  <c r="BI175" i="9"/>
  <c r="N65" i="21"/>
  <c r="AZ65" i="21"/>
  <c r="N1958" i="6"/>
  <c r="CS199" i="9"/>
  <c r="BC199" i="9"/>
  <c r="BD199" i="9" s="1"/>
  <c r="M199" i="9"/>
  <c r="M136" i="9"/>
  <c r="BD136" i="9"/>
  <c r="S8" i="37" s="1"/>
  <c r="O175" i="9" l="1"/>
  <c r="P175" i="9" s="1"/>
  <c r="CU175" i="9"/>
  <c r="BN175" i="9"/>
  <c r="O98" i="9"/>
  <c r="P98" i="9" s="1"/>
  <c r="BN98" i="9"/>
  <c r="CU98" i="9"/>
  <c r="O65" i="21"/>
  <c r="BD65" i="21"/>
  <c r="CT199" i="9"/>
  <c r="N199" i="9"/>
  <c r="BH199" i="9"/>
  <c r="BI199" i="9" s="1"/>
  <c r="O1958" i="6"/>
  <c r="N136" i="9"/>
  <c r="BI136" i="9"/>
  <c r="T8" i="37" s="1"/>
  <c r="BX98" i="9" l="1"/>
  <c r="CW98" i="9"/>
  <c r="BX175" i="9"/>
  <c r="CW175" i="9"/>
  <c r="P65" i="21"/>
  <c r="BS98" i="9"/>
  <c r="CV98" i="9"/>
  <c r="BS175" i="9"/>
  <c r="CV175" i="9"/>
  <c r="BH65" i="21"/>
  <c r="BH68" i="21" s="1"/>
  <c r="R94" i="8" s="1"/>
  <c r="O68" i="21"/>
  <c r="BM199" i="9"/>
  <c r="BN199" i="9" s="1"/>
  <c r="O199" i="9"/>
  <c r="O136" i="9"/>
  <c r="P136" i="9" s="1"/>
  <c r="BX136" i="9" s="1"/>
  <c r="W8" i="37" s="1"/>
  <c r="CU199" i="9"/>
  <c r="BN136" i="9"/>
  <c r="U8" i="37" s="1"/>
  <c r="C98" i="26"/>
  <c r="K88" i="26"/>
  <c r="L88" i="26"/>
  <c r="P68" i="21" l="1"/>
  <c r="CL69" i="21" s="1"/>
  <c r="BL65" i="21"/>
  <c r="BL68" i="21" s="1"/>
  <c r="P76" i="21" s="1"/>
  <c r="BR199" i="9"/>
  <c r="BS199" i="9" s="1"/>
  <c r="P199" i="9"/>
  <c r="P40" i="16"/>
  <c r="O76" i="21"/>
  <c r="O78" i="21" s="1"/>
  <c r="P97" i="3" s="1"/>
  <c r="O40" i="16"/>
  <c r="Q357" i="8"/>
  <c r="CV199" i="9"/>
  <c r="BS136" i="9"/>
  <c r="V8" i="37" s="1"/>
  <c r="L94" i="26"/>
  <c r="J104" i="26"/>
  <c r="J106" i="26" s="1"/>
  <c r="I104" i="26"/>
  <c r="H104" i="26"/>
  <c r="H106" i="26" s="1"/>
  <c r="J98" i="26"/>
  <c r="I98" i="26"/>
  <c r="H98" i="26"/>
  <c r="H100" i="26" s="1"/>
  <c r="R357" i="8" l="1"/>
  <c r="R95" i="8" s="1"/>
  <c r="AJ231" i="10"/>
  <c r="R1956" i="6" s="1"/>
  <c r="BW199" i="9"/>
  <c r="BX199" i="9" s="1"/>
  <c r="CW199" i="9"/>
  <c r="AQ49" i="42"/>
  <c r="P259" i="15"/>
  <c r="P113" i="16"/>
  <c r="P115" i="16" s="1"/>
  <c r="P83" i="21"/>
  <c r="P78" i="21"/>
  <c r="O259" i="15"/>
  <c r="AP49" i="42"/>
  <c r="I106" i="26"/>
  <c r="J100" i="26"/>
  <c r="I100" i="26"/>
  <c r="L81" i="26"/>
  <c r="K81" i="26"/>
  <c r="L103" i="26"/>
  <c r="L102" i="26"/>
  <c r="L93" i="26"/>
  <c r="L92" i="26"/>
  <c r="L91" i="26"/>
  <c r="L87" i="26"/>
  <c r="L86" i="26"/>
  <c r="L84" i="26"/>
  <c r="K103" i="26"/>
  <c r="K93" i="26"/>
  <c r="K92" i="26"/>
  <c r="K87" i="26"/>
  <c r="K86" i="26"/>
  <c r="K85" i="26"/>
  <c r="K84" i="26"/>
  <c r="L104" i="26" l="1"/>
  <c r="L106" i="26" s="1"/>
  <c r="AD114" i="11"/>
  <c r="AA114" i="11"/>
  <c r="X114" i="11"/>
  <c r="U114" i="11"/>
  <c r="R114" i="11"/>
  <c r="O114" i="11"/>
  <c r="L114" i="11"/>
  <c r="I114" i="11"/>
  <c r="F114" i="11"/>
  <c r="D1011" i="6" l="1"/>
  <c r="Q372" i="9"/>
  <c r="C114" i="11"/>
  <c r="Q415" i="9" l="1"/>
  <c r="Q416" i="9" s="1"/>
  <c r="T415" i="9"/>
  <c r="T416" i="9" s="1"/>
  <c r="D114" i="11"/>
  <c r="E114" i="11" s="1"/>
  <c r="G114" i="11" s="1"/>
  <c r="H114" i="11" s="1"/>
  <c r="J114" i="11" s="1"/>
  <c r="K114" i="11" s="1"/>
  <c r="M114" i="11" s="1"/>
  <c r="N114" i="11" s="1"/>
  <c r="P114" i="11" s="1"/>
  <c r="Q114" i="11" s="1"/>
  <c r="S114" i="11" s="1"/>
  <c r="T114" i="11" s="1"/>
  <c r="V114" i="11" s="1"/>
  <c r="W114" i="11" s="1"/>
  <c r="Y114" i="11" s="1"/>
  <c r="Z114" i="11" s="1"/>
  <c r="AB114" i="11" s="1"/>
  <c r="AC114" i="11" s="1"/>
  <c r="AE114" i="11" s="1"/>
  <c r="AF114" i="11" s="1"/>
  <c r="AH114" i="11" s="1"/>
  <c r="AI114" i="11" s="1"/>
  <c r="AK114" i="11" s="1"/>
  <c r="K49" i="48"/>
  <c r="K48" i="48"/>
  <c r="K47" i="48"/>
  <c r="K46" i="48"/>
  <c r="K43" i="48"/>
  <c r="K34" i="48"/>
  <c r="U372" i="9" l="1"/>
  <c r="U415" i="9" l="1"/>
  <c r="Q364" i="9"/>
  <c r="L8" i="37" l="1"/>
  <c r="U364" i="9"/>
  <c r="T11" i="9" l="1"/>
  <c r="T24" i="9" l="1"/>
  <c r="U11" i="9"/>
  <c r="B340" i="42" l="1"/>
  <c r="C95" i="11"/>
  <c r="U16" i="22"/>
  <c r="U6" i="22"/>
  <c r="U8" i="22"/>
  <c r="U11" i="22"/>
  <c r="U12" i="22"/>
  <c r="U9" i="22"/>
  <c r="U14" i="22"/>
  <c r="B342" i="42" l="1"/>
  <c r="D340" i="42"/>
  <c r="D342" i="42" s="1"/>
  <c r="T16" i="21"/>
  <c r="T53" i="21"/>
  <c r="T9" i="21"/>
  <c r="T8" i="21"/>
  <c r="T60" i="21"/>
  <c r="T66" i="21"/>
  <c r="T64" i="21"/>
  <c r="T21" i="21"/>
  <c r="L49" i="26" l="1"/>
  <c r="L52" i="26" s="1"/>
  <c r="M24" i="26"/>
  <c r="C78" i="26"/>
  <c r="D78" i="26"/>
  <c r="E78" i="26"/>
  <c r="F78" i="26"/>
  <c r="G78" i="26"/>
  <c r="H78" i="26"/>
  <c r="I78" i="26"/>
  <c r="J78" i="26"/>
  <c r="B78" i="26"/>
  <c r="K20" i="26"/>
  <c r="E23" i="26"/>
  <c r="E25" i="26" s="1"/>
  <c r="E27" i="26" s="1"/>
  <c r="U63" i="26"/>
  <c r="U66" i="26" s="1"/>
  <c r="T63" i="26"/>
  <c r="T66" i="26" s="1"/>
  <c r="S63" i="26"/>
  <c r="S66" i="26" s="1"/>
  <c r="R63" i="26"/>
  <c r="R66" i="26" s="1"/>
  <c r="Q63" i="26"/>
  <c r="Q66" i="26" s="1"/>
  <c r="P63" i="26"/>
  <c r="P66" i="26" s="1"/>
  <c r="O63" i="26"/>
  <c r="O66" i="26" s="1"/>
  <c r="N63" i="26"/>
  <c r="N66" i="26" s="1"/>
  <c r="M63" i="26"/>
  <c r="M66" i="26" s="1"/>
  <c r="L63" i="26"/>
  <c r="K63" i="26"/>
  <c r="K66" i="26" s="1"/>
  <c r="I63" i="26"/>
  <c r="I66" i="26" s="1"/>
  <c r="H63" i="26"/>
  <c r="H66" i="26" s="1"/>
  <c r="G63" i="26"/>
  <c r="G66" i="26" s="1"/>
  <c r="F63" i="26"/>
  <c r="F66" i="26" s="1"/>
  <c r="E63" i="26"/>
  <c r="E66" i="26" s="1"/>
  <c r="D63" i="26"/>
  <c r="D66" i="26" s="1"/>
  <c r="C63" i="26"/>
  <c r="C66" i="26" s="1"/>
  <c r="B66" i="26"/>
  <c r="U56" i="26"/>
  <c r="U59" i="26" s="1"/>
  <c r="T56" i="26"/>
  <c r="T59" i="26" s="1"/>
  <c r="S56" i="26"/>
  <c r="S59" i="26" s="1"/>
  <c r="R56" i="26"/>
  <c r="R59" i="26" s="1"/>
  <c r="Q56" i="26"/>
  <c r="Q59" i="26" s="1"/>
  <c r="P56" i="26"/>
  <c r="P59" i="26" s="1"/>
  <c r="O56" i="26"/>
  <c r="O59" i="26" s="1"/>
  <c r="N56" i="26"/>
  <c r="N59" i="26" s="1"/>
  <c r="M56" i="26"/>
  <c r="M59" i="26" s="1"/>
  <c r="L56" i="26"/>
  <c r="L59" i="26" s="1"/>
  <c r="K56" i="26"/>
  <c r="K59" i="26" s="1"/>
  <c r="I56" i="26"/>
  <c r="I59" i="26" s="1"/>
  <c r="H56" i="26"/>
  <c r="H59" i="26" s="1"/>
  <c r="G56" i="26"/>
  <c r="G59" i="26" s="1"/>
  <c r="F56" i="26"/>
  <c r="F59" i="26" s="1"/>
  <c r="E56" i="26"/>
  <c r="E59" i="26" s="1"/>
  <c r="D56" i="26"/>
  <c r="D59" i="26" s="1"/>
  <c r="C56" i="26"/>
  <c r="C59" i="26" s="1"/>
  <c r="B59" i="26"/>
  <c r="U49" i="26"/>
  <c r="U52" i="26" s="1"/>
  <c r="T49" i="26"/>
  <c r="T52" i="26" s="1"/>
  <c r="S49" i="26"/>
  <c r="S52" i="26" s="1"/>
  <c r="R49" i="26"/>
  <c r="R52" i="26" s="1"/>
  <c r="Q49" i="26"/>
  <c r="Q52" i="26" s="1"/>
  <c r="P49" i="26"/>
  <c r="P52" i="26" s="1"/>
  <c r="O49" i="26"/>
  <c r="O52" i="26" s="1"/>
  <c r="N49" i="26"/>
  <c r="N52" i="26" s="1"/>
  <c r="M49" i="26"/>
  <c r="K49" i="26"/>
  <c r="K52" i="26" s="1"/>
  <c r="I49" i="26"/>
  <c r="I52" i="26" s="1"/>
  <c r="H49" i="26"/>
  <c r="H52" i="26" s="1"/>
  <c r="G49" i="26"/>
  <c r="G52" i="26" s="1"/>
  <c r="F49" i="26"/>
  <c r="F52" i="26" s="1"/>
  <c r="E49" i="26"/>
  <c r="E52" i="26" s="1"/>
  <c r="D49" i="26"/>
  <c r="D52" i="26" s="1"/>
  <c r="C49" i="26"/>
  <c r="C52" i="26" s="1"/>
  <c r="B52" i="26"/>
  <c r="J63" i="26"/>
  <c r="J56" i="26"/>
  <c r="J59" i="26" s="1"/>
  <c r="J49" i="26"/>
  <c r="J52" i="26" s="1"/>
  <c r="J25" i="26"/>
  <c r="J27" i="26" s="1"/>
  <c r="I25" i="26"/>
  <c r="I27" i="26" s="1"/>
  <c r="H25" i="26"/>
  <c r="H27" i="26" s="1"/>
  <c r="G25" i="26"/>
  <c r="G27" i="26" s="1"/>
  <c r="F25" i="26"/>
  <c r="F27" i="26" s="1"/>
  <c r="D25" i="26"/>
  <c r="D27" i="26" s="1"/>
  <c r="C25" i="26"/>
  <c r="C27" i="26" s="1"/>
  <c r="U45" i="26"/>
  <c r="T45" i="26"/>
  <c r="S45" i="26"/>
  <c r="R45" i="26"/>
  <c r="Q45" i="26"/>
  <c r="P45" i="26"/>
  <c r="O45" i="26"/>
  <c r="N45" i="26"/>
  <c r="M45" i="26"/>
  <c r="L45" i="26"/>
  <c r="K45" i="26"/>
  <c r="I45" i="26"/>
  <c r="H45" i="26"/>
  <c r="G45" i="26"/>
  <c r="F45" i="26"/>
  <c r="E45" i="26"/>
  <c r="D45" i="26"/>
  <c r="C45" i="26"/>
  <c r="B45" i="26"/>
  <c r="U39" i="26"/>
  <c r="T39" i="26"/>
  <c r="S39" i="26"/>
  <c r="R39" i="26"/>
  <c r="Q39" i="26"/>
  <c r="P39" i="26"/>
  <c r="O39" i="26"/>
  <c r="N39" i="26"/>
  <c r="M39" i="26"/>
  <c r="L39" i="26"/>
  <c r="K39" i="26"/>
  <c r="I39" i="26"/>
  <c r="H39" i="26"/>
  <c r="G39" i="26"/>
  <c r="F39" i="26"/>
  <c r="E39" i="26"/>
  <c r="D39" i="26"/>
  <c r="C39" i="26"/>
  <c r="B39" i="26"/>
  <c r="J45" i="26"/>
  <c r="J39" i="26"/>
  <c r="J29" i="26" s="1"/>
  <c r="B25" i="26"/>
  <c r="B27" i="26" s="1"/>
  <c r="L66" i="26" l="1"/>
  <c r="L69" i="26"/>
  <c r="V69" i="26"/>
  <c r="J30" i="26"/>
  <c r="J31" i="26" s="1"/>
  <c r="K29" i="26"/>
  <c r="K31" i="26" s="1"/>
  <c r="M52" i="26"/>
  <c r="M69" i="26"/>
  <c r="C29" i="26"/>
  <c r="G29" i="26"/>
  <c r="F30" i="26"/>
  <c r="N24" i="26"/>
  <c r="O24" i="26" s="1"/>
  <c r="I30" i="26"/>
  <c r="L30" i="26" s="1"/>
  <c r="M30" i="26" s="1"/>
  <c r="E30" i="26"/>
  <c r="H30" i="26"/>
  <c r="D30" i="26"/>
  <c r="C30" i="26"/>
  <c r="C31" i="26" s="1"/>
  <c r="F29" i="26"/>
  <c r="G30" i="26"/>
  <c r="H29" i="26"/>
  <c r="H31" i="26" s="1"/>
  <c r="D29" i="26"/>
  <c r="E29" i="26"/>
  <c r="I29" i="26"/>
  <c r="P69" i="26"/>
  <c r="T69" i="26"/>
  <c r="N69" i="26"/>
  <c r="R69" i="26"/>
  <c r="J69" i="26"/>
  <c r="C69" i="26"/>
  <c r="E69" i="26"/>
  <c r="G69" i="26"/>
  <c r="I69" i="26"/>
  <c r="J66" i="26"/>
  <c r="K69" i="26" s="1"/>
  <c r="F69" i="26"/>
  <c r="O69" i="26"/>
  <c r="S69" i="26"/>
  <c r="D69" i="26"/>
  <c r="H69" i="26"/>
  <c r="Q69" i="26"/>
  <c r="U69" i="26"/>
  <c r="D31" i="26" l="1"/>
  <c r="L29" i="26"/>
  <c r="F31" i="26"/>
  <c r="G31" i="26"/>
  <c r="N30" i="26"/>
  <c r="P24" i="26"/>
  <c r="Q24" i="26" s="1"/>
  <c r="E31" i="26"/>
  <c r="I31" i="26"/>
  <c r="I141" i="5"/>
  <c r="G141" i="5"/>
  <c r="D141" i="5"/>
  <c r="C141" i="5"/>
  <c r="A141" i="5"/>
  <c r="B141" i="5"/>
  <c r="A289" i="4"/>
  <c r="B286" i="4"/>
  <c r="A286" i="4"/>
  <c r="C286" i="4"/>
  <c r="B765" i="34"/>
  <c r="C765" i="34"/>
  <c r="D765" i="34"/>
  <c r="B767" i="34"/>
  <c r="C767" i="34"/>
  <c r="D767" i="34"/>
  <c r="E767" i="34"/>
  <c r="B768" i="34"/>
  <c r="D768" i="34"/>
  <c r="B769" i="34"/>
  <c r="C769" i="34"/>
  <c r="D769" i="34"/>
  <c r="E769" i="34"/>
  <c r="B771" i="34"/>
  <c r="D771" i="34"/>
  <c r="B772" i="34"/>
  <c r="C772" i="34"/>
  <c r="D772" i="34"/>
  <c r="E772" i="34"/>
  <c r="B773" i="34"/>
  <c r="C773" i="34"/>
  <c r="D773" i="34"/>
  <c r="E773" i="34"/>
  <c r="B774" i="34"/>
  <c r="C774" i="34"/>
  <c r="D774" i="34"/>
  <c r="E774" i="34"/>
  <c r="F774" i="34"/>
  <c r="G774" i="34"/>
  <c r="B775" i="34"/>
  <c r="C775" i="34"/>
  <c r="D775" i="34"/>
  <c r="E775" i="34"/>
  <c r="B776" i="34"/>
  <c r="C776" i="34"/>
  <c r="D776" i="34"/>
  <c r="E776" i="34"/>
  <c r="B777" i="34"/>
  <c r="C777" i="34"/>
  <c r="D777" i="34"/>
  <c r="E777" i="34"/>
  <c r="A780" i="34"/>
  <c r="B781" i="34"/>
  <c r="C781" i="34"/>
  <c r="M781" i="34"/>
  <c r="N781" i="34"/>
  <c r="E704" i="34"/>
  <c r="E705" i="34"/>
  <c r="H141" i="5" l="1"/>
  <c r="O30" i="26"/>
  <c r="P30" i="26"/>
  <c r="L31" i="26"/>
  <c r="M29" i="26"/>
  <c r="R24" i="26"/>
  <c r="S24" i="26" s="1"/>
  <c r="C47" i="14"/>
  <c r="C18" i="14"/>
  <c r="C16" i="14"/>
  <c r="M31" i="26" l="1"/>
  <c r="N29" i="26"/>
  <c r="Q30" i="26"/>
  <c r="R30" i="26" s="1"/>
  <c r="T24" i="26"/>
  <c r="U24" i="26" s="1"/>
  <c r="V24" i="26" s="1"/>
  <c r="A158" i="8"/>
  <c r="A157" i="8"/>
  <c r="A156" i="8"/>
  <c r="A155" i="8"/>
  <c r="P549" i="8"/>
  <c r="O549" i="8"/>
  <c r="N549" i="8"/>
  <c r="M549" i="8"/>
  <c r="L549" i="8"/>
  <c r="K549" i="8"/>
  <c r="J549" i="8"/>
  <c r="I549" i="8"/>
  <c r="G549" i="8"/>
  <c r="I547" i="8"/>
  <c r="G547" i="8"/>
  <c r="D549" i="8"/>
  <c r="D547" i="8"/>
  <c r="C549" i="8"/>
  <c r="C548" i="8"/>
  <c r="C547" i="8"/>
  <c r="B549" i="8"/>
  <c r="A549" i="8"/>
  <c r="B548" i="8"/>
  <c r="A548" i="8"/>
  <c r="B547" i="8"/>
  <c r="A547" i="8"/>
  <c r="C111" i="8"/>
  <c r="C109" i="8"/>
  <c r="B111" i="8"/>
  <c r="A111" i="8"/>
  <c r="B110" i="8"/>
  <c r="A110" i="8"/>
  <c r="B108" i="8"/>
  <c r="A108" i="8"/>
  <c r="B106" i="8"/>
  <c r="A106" i="8"/>
  <c r="B46" i="8"/>
  <c r="A46" i="8"/>
  <c r="B43" i="8"/>
  <c r="A43" i="8"/>
  <c r="B47" i="8"/>
  <c r="A47" i="8"/>
  <c r="H549" i="8" l="1"/>
  <c r="H547" i="8"/>
  <c r="N31" i="26"/>
  <c r="O29" i="26"/>
  <c r="S30" i="26"/>
  <c r="T30" i="26" l="1"/>
  <c r="U30" i="26" s="1"/>
  <c r="O31" i="26"/>
  <c r="P29" i="26"/>
  <c r="P91" i="8"/>
  <c r="N28" i="3" s="1"/>
  <c r="O91" i="8"/>
  <c r="M28" i="3" s="1"/>
  <c r="N91" i="8"/>
  <c r="L28" i="3" s="1"/>
  <c r="M91" i="8"/>
  <c r="K28" i="3" s="1"/>
  <c r="L91" i="8"/>
  <c r="J28" i="3" s="1"/>
  <c r="K91" i="8"/>
  <c r="I28" i="3" s="1"/>
  <c r="J91" i="8"/>
  <c r="H28" i="3" s="1"/>
  <c r="I91" i="8"/>
  <c r="G28" i="3" s="1"/>
  <c r="G91" i="8"/>
  <c r="F28" i="3" s="1"/>
  <c r="D91" i="8"/>
  <c r="C28" i="3" s="1"/>
  <c r="C91" i="8"/>
  <c r="B28" i="3" s="1"/>
  <c r="A95" i="8"/>
  <c r="A94" i="8"/>
  <c r="A92" i="8"/>
  <c r="B91" i="8"/>
  <c r="A28" i="3" s="1"/>
  <c r="A91" i="8"/>
  <c r="N41" i="16"/>
  <c r="M41" i="16"/>
  <c r="L41" i="16"/>
  <c r="K41" i="16"/>
  <c r="J41" i="16"/>
  <c r="I41" i="16"/>
  <c r="H41" i="16"/>
  <c r="G41" i="16"/>
  <c r="F41" i="16"/>
  <c r="C41" i="16"/>
  <c r="B41" i="16"/>
  <c r="AQ50" i="42" s="1"/>
  <c r="A41" i="16"/>
  <c r="P491" i="34" l="1"/>
  <c r="AQ52" i="42"/>
  <c r="AP50" i="42"/>
  <c r="A165" i="3"/>
  <c r="A166" i="3" s="1"/>
  <c r="A29" i="3"/>
  <c r="A30" i="3" s="1"/>
  <c r="AL50" i="42"/>
  <c r="K165" i="3"/>
  <c r="K166" i="3" s="1"/>
  <c r="K29" i="3"/>
  <c r="K30" i="3" s="1"/>
  <c r="C29" i="3"/>
  <c r="C30" i="3" s="1"/>
  <c r="C165" i="3"/>
  <c r="C166" i="3" s="1"/>
  <c r="AJ50" i="42"/>
  <c r="I29" i="3"/>
  <c r="I30" i="3" s="1"/>
  <c r="I165" i="3"/>
  <c r="I166" i="3" s="1"/>
  <c r="F29" i="3"/>
  <c r="F30" i="3" s="1"/>
  <c r="F165" i="3"/>
  <c r="F166" i="3" s="1"/>
  <c r="AK50" i="42"/>
  <c r="J29" i="3"/>
  <c r="J30" i="3" s="1"/>
  <c r="J165" i="3"/>
  <c r="J166" i="3" s="1"/>
  <c r="N29" i="3"/>
  <c r="N30" i="3" s="1"/>
  <c r="N165" i="3"/>
  <c r="N166" i="3" s="1"/>
  <c r="B165" i="3"/>
  <c r="B166" i="3" s="1"/>
  <c r="B29" i="3"/>
  <c r="B30" i="3" s="1"/>
  <c r="AI50" i="42"/>
  <c r="H165" i="3"/>
  <c r="H166" i="3" s="1"/>
  <c r="H29" i="3"/>
  <c r="H30" i="3" s="1"/>
  <c r="AM50" i="42"/>
  <c r="L165" i="3"/>
  <c r="L166" i="3" s="1"/>
  <c r="L29" i="3"/>
  <c r="L30" i="3" s="1"/>
  <c r="AH50" i="42"/>
  <c r="G165" i="3"/>
  <c r="G166" i="3" s="1"/>
  <c r="G29" i="3"/>
  <c r="G30" i="3" s="1"/>
  <c r="AN50" i="42"/>
  <c r="M29" i="3"/>
  <c r="M30" i="3" s="1"/>
  <c r="M165" i="3"/>
  <c r="M166" i="3" s="1"/>
  <c r="V30" i="26"/>
  <c r="Q29" i="26"/>
  <c r="P31" i="26"/>
  <c r="B407" i="8"/>
  <c r="B118" i="8" s="1"/>
  <c r="I49" i="1"/>
  <c r="I373" i="8"/>
  <c r="J373" i="8" s="1"/>
  <c r="K373" i="8" s="1"/>
  <c r="L373" i="8" s="1"/>
  <c r="G49" i="1"/>
  <c r="F49" i="1"/>
  <c r="AP52" i="42" l="1"/>
  <c r="O491" i="34"/>
  <c r="Q31" i="26"/>
  <c r="R29" i="26"/>
  <c r="F62" i="1"/>
  <c r="F108" i="1" s="1"/>
  <c r="D69" i="8"/>
  <c r="C69" i="8"/>
  <c r="F116" i="1" l="1"/>
  <c r="R31" i="26"/>
  <c r="S29" i="26"/>
  <c r="BO64" i="21"/>
  <c r="CA64" i="21"/>
  <c r="BO66" i="21"/>
  <c r="CA66" i="21"/>
  <c r="S31" i="26" l="1"/>
  <c r="T29" i="26"/>
  <c r="U29" i="26" s="1"/>
  <c r="U31" i="26" s="1"/>
  <c r="BP64" i="21"/>
  <c r="BP66" i="21"/>
  <c r="V29" i="26" l="1"/>
  <c r="V31" i="26" s="1"/>
  <c r="T31" i="26"/>
  <c r="BQ64" i="21"/>
  <c r="BQ66" i="21"/>
  <c r="BR64" i="21" l="1"/>
  <c r="BR66" i="21"/>
  <c r="BS64" i="21" l="1"/>
  <c r="BS66" i="21"/>
  <c r="BT64" i="21" l="1"/>
  <c r="BT66" i="21"/>
  <c r="BU64" i="21" l="1"/>
  <c r="BU66" i="21"/>
  <c r="BV64" i="21" l="1"/>
  <c r="BV66" i="21"/>
  <c r="BW64" i="21" l="1"/>
  <c r="BX64" i="21" s="1"/>
  <c r="BW66" i="21"/>
  <c r="BX66" i="21" s="1"/>
  <c r="CK66" i="21" l="1"/>
  <c r="BY66" i="21"/>
  <c r="CK64" i="21"/>
  <c r="BY64" i="21"/>
  <c r="F76" i="13"/>
  <c r="G76" i="13" s="1"/>
  <c r="H76" i="13" s="1"/>
  <c r="I76" i="13" s="1"/>
  <c r="J76" i="13" s="1"/>
  <c r="K76" i="13" s="1"/>
  <c r="L76" i="13" s="1"/>
  <c r="M76" i="13" s="1"/>
  <c r="N76" i="13" s="1"/>
  <c r="N125" i="13" l="1"/>
  <c r="O210" i="15"/>
  <c r="O155" i="15" s="1"/>
  <c r="AB42" i="42"/>
  <c r="N42" i="42" s="1"/>
  <c r="Q866" i="7"/>
  <c r="Q332" i="7" s="1"/>
  <c r="AE82" i="9"/>
  <c r="AE92" i="9"/>
  <c r="AE93" i="9"/>
  <c r="Z82" i="9"/>
  <c r="Z92" i="9"/>
  <c r="Z93" i="9"/>
  <c r="B353" i="4" l="1"/>
  <c r="A353" i="4"/>
  <c r="B352" i="4"/>
  <c r="A352" i="4"/>
  <c r="B351" i="4"/>
  <c r="A351" i="4"/>
  <c r="B350" i="4"/>
  <c r="A350" i="4"/>
  <c r="B349" i="4"/>
  <c r="A349" i="4"/>
  <c r="B348" i="4"/>
  <c r="A348" i="4"/>
  <c r="B347" i="4"/>
  <c r="A347" i="4"/>
  <c r="G353" i="4"/>
  <c r="G352" i="4"/>
  <c r="C348" i="4"/>
  <c r="C351" i="4"/>
  <c r="C350" i="4"/>
  <c r="C349" i="4"/>
  <c r="H353" i="4" l="1"/>
  <c r="H352" i="4"/>
  <c r="N2" i="3" l="1"/>
  <c r="N285" i="3" s="1"/>
  <c r="N295" i="3" s="1"/>
  <c r="A86" i="17" l="1"/>
  <c r="B86" i="17"/>
  <c r="C86" i="17"/>
  <c r="F86" i="17"/>
  <c r="G86" i="17"/>
  <c r="A87" i="17"/>
  <c r="B87" i="17"/>
  <c r="C87" i="17"/>
  <c r="F87" i="17"/>
  <c r="G87" i="17"/>
  <c r="A60" i="17"/>
  <c r="G60" i="17"/>
  <c r="H60" i="17"/>
  <c r="I60" i="17"/>
  <c r="J60" i="17"/>
  <c r="K60" i="17"/>
  <c r="L60" i="17"/>
  <c r="M60" i="17"/>
  <c r="N60" i="17"/>
  <c r="N200" i="9"/>
  <c r="P1066" i="7"/>
  <c r="P1010" i="7"/>
  <c r="P1006" i="7"/>
  <c r="P865" i="7"/>
  <c r="AD41" i="10"/>
  <c r="AA41" i="10"/>
  <c r="X41" i="10"/>
  <c r="U41" i="10"/>
  <c r="G535" i="7"/>
  <c r="P2029" i="6"/>
  <c r="M46" i="58" s="1"/>
  <c r="M44" i="58" s="1"/>
  <c r="P2025" i="6"/>
  <c r="M42" i="58" s="1"/>
  <c r="P1459" i="6"/>
  <c r="O1459" i="6"/>
  <c r="N1459" i="6"/>
  <c r="M1459" i="6"/>
  <c r="L1459" i="6"/>
  <c r="K1459" i="6"/>
  <c r="J1459" i="6"/>
  <c r="I1459" i="6"/>
  <c r="P1458" i="6"/>
  <c r="O1458" i="6"/>
  <c r="N1458" i="6"/>
  <c r="M1458" i="6"/>
  <c r="L1458" i="6"/>
  <c r="K1458" i="6"/>
  <c r="J1458" i="6"/>
  <c r="I1458" i="6"/>
  <c r="P1372" i="6"/>
  <c r="P1371" i="6"/>
  <c r="P1370" i="6"/>
  <c r="P1208" i="6"/>
  <c r="P1143" i="6"/>
  <c r="P1077" i="6"/>
  <c r="P1011" i="6"/>
  <c r="Q175" i="6"/>
  <c r="P943" i="6"/>
  <c r="P454" i="5"/>
  <c r="P393" i="5"/>
  <c r="N225" i="3" s="1"/>
  <c r="P395" i="5"/>
  <c r="P851" i="4"/>
  <c r="P788" i="4"/>
  <c r="P604" i="4"/>
  <c r="P591" i="4"/>
  <c r="P590" i="4"/>
  <c r="P474" i="4"/>
  <c r="BE24" i="22"/>
  <c r="BA24" i="22"/>
  <c r="AW24" i="22"/>
  <c r="AS24" i="22"/>
  <c r="AO24" i="22"/>
  <c r="AK24" i="22"/>
  <c r="AG24" i="22"/>
  <c r="AC24" i="22"/>
  <c r="Y24" i="22"/>
  <c r="U24" i="22"/>
  <c r="BE23" i="22"/>
  <c r="BA23" i="22"/>
  <c r="AW23" i="22"/>
  <c r="AS23" i="22"/>
  <c r="AO23" i="22"/>
  <c r="AK23" i="22"/>
  <c r="AG23" i="22"/>
  <c r="AC23" i="22"/>
  <c r="Y23" i="22"/>
  <c r="U23" i="22"/>
  <c r="BE22" i="22"/>
  <c r="BA22" i="22"/>
  <c r="AW22" i="22"/>
  <c r="AS22" i="22"/>
  <c r="AO22" i="22"/>
  <c r="AK22" i="22"/>
  <c r="AG22" i="22"/>
  <c r="AC22" i="22"/>
  <c r="Y22" i="22"/>
  <c r="U22" i="22"/>
  <c r="BE21" i="22"/>
  <c r="BA21" i="22"/>
  <c r="AW21" i="22"/>
  <c r="AS21" i="22"/>
  <c r="AO21" i="22"/>
  <c r="AK21" i="22"/>
  <c r="AG21" i="22"/>
  <c r="AC21" i="22"/>
  <c r="Y21" i="22"/>
  <c r="U21" i="22"/>
  <c r="BE95" i="22"/>
  <c r="BE64" i="22"/>
  <c r="BE57" i="22"/>
  <c r="BE69" i="22"/>
  <c r="BE59" i="22"/>
  <c r="BE65" i="22"/>
  <c r="BE61" i="22"/>
  <c r="BE58" i="22"/>
  <c r="BE71" i="22"/>
  <c r="BE70" i="22"/>
  <c r="BE56" i="22"/>
  <c r="BE14" i="22"/>
  <c r="BE9" i="22"/>
  <c r="BE12" i="22"/>
  <c r="BE7" i="22"/>
  <c r="BE11" i="22"/>
  <c r="BE8" i="22"/>
  <c r="BE6" i="22"/>
  <c r="BE16" i="22"/>
  <c r="BE101" i="22"/>
  <c r="BE48" i="22"/>
  <c r="BE47" i="22"/>
  <c r="BE42" i="22"/>
  <c r="BE29" i="22"/>
  <c r="BB77" i="22"/>
  <c r="O165" i="22"/>
  <c r="O154" i="22"/>
  <c r="O141" i="22"/>
  <c r="X21" i="21"/>
  <c r="X8" i="21"/>
  <c r="AB21" i="21"/>
  <c r="AB8" i="21"/>
  <c r="AF21" i="21"/>
  <c r="AF8" i="21"/>
  <c r="AJ21" i="21"/>
  <c r="AJ8" i="21"/>
  <c r="AN21" i="21"/>
  <c r="AN8" i="21"/>
  <c r="AR21" i="21"/>
  <c r="AR8" i="21"/>
  <c r="AV21" i="21"/>
  <c r="AV8" i="21"/>
  <c r="AZ21" i="21"/>
  <c r="AZ8" i="21"/>
  <c r="BD8" i="21"/>
  <c r="BD21" i="21"/>
  <c r="BB45" i="21"/>
  <c r="BD45" i="21" s="1"/>
  <c r="BB37" i="21"/>
  <c r="BD37" i="21" s="1"/>
  <c r="BB38" i="21"/>
  <c r="BD38" i="21" s="1"/>
  <c r="BB48" i="21"/>
  <c r="BD48" i="21" s="1"/>
  <c r="BB47" i="21"/>
  <c r="BD47" i="21" s="1"/>
  <c r="BB43" i="21"/>
  <c r="BD43" i="21" s="1"/>
  <c r="BD46" i="21"/>
  <c r="BB39" i="21"/>
  <c r="BD39" i="21" s="1"/>
  <c r="BB42" i="21"/>
  <c r="BD42" i="21" s="1"/>
  <c r="BB26" i="21"/>
  <c r="BD26" i="21" s="1"/>
  <c r="BB25" i="21"/>
  <c r="BD25" i="21" s="1"/>
  <c r="BB34" i="21"/>
  <c r="BD34" i="21" s="1"/>
  <c r="BB33" i="21"/>
  <c r="BD33" i="21" s="1"/>
  <c r="BB32" i="21"/>
  <c r="BD32" i="21" s="1"/>
  <c r="BB31" i="21"/>
  <c r="BD31" i="21" s="1"/>
  <c r="BB30" i="21"/>
  <c r="BD30" i="21" s="1"/>
  <c r="BB16" i="21"/>
  <c r="BD16" i="21" s="1"/>
  <c r="BB15" i="21"/>
  <c r="BD15" i="21" s="1"/>
  <c r="BB14" i="21"/>
  <c r="N75" i="21"/>
  <c r="N73" i="21"/>
  <c r="BM207" i="9"/>
  <c r="BN207" i="9" s="1"/>
  <c r="BN164" i="9"/>
  <c r="BM125" i="9"/>
  <c r="BN125" i="9" s="1"/>
  <c r="BM124" i="9"/>
  <c r="BN124" i="9" s="1"/>
  <c r="BN127" i="9"/>
  <c r="BN128" i="9"/>
  <c r="BN129" i="9"/>
  <c r="BN132" i="9"/>
  <c r="BN130" i="9"/>
  <c r="BN133" i="9"/>
  <c r="BM95" i="9"/>
  <c r="BN95" i="9" s="1"/>
  <c r="BM2" i="9"/>
  <c r="BM86" i="9" s="1"/>
  <c r="BM168" i="9" s="1"/>
  <c r="BN69" i="9"/>
  <c r="BN74" i="9" s="1"/>
  <c r="BM58" i="9"/>
  <c r="BN58" i="9" s="1"/>
  <c r="BM59" i="9"/>
  <c r="BN59" i="9" s="1"/>
  <c r="BM60" i="9"/>
  <c r="BN60" i="9" s="1"/>
  <c r="BM57" i="9"/>
  <c r="BM39" i="9"/>
  <c r="BN39" i="9" s="1"/>
  <c r="BM41" i="9"/>
  <c r="BN41" i="9" s="1"/>
  <c r="BM40" i="9"/>
  <c r="BN40" i="9" s="1"/>
  <c r="CU60" i="9"/>
  <c r="BM74" i="9"/>
  <c r="BL74" i="9"/>
  <c r="BK74" i="9"/>
  <c r="BJ74" i="9"/>
  <c r="BL65" i="9"/>
  <c r="BK65" i="9"/>
  <c r="BJ65" i="9"/>
  <c r="BL24" i="9"/>
  <c r="BK24" i="9"/>
  <c r="BJ24" i="9"/>
  <c r="N74" i="9"/>
  <c r="AC2" i="11"/>
  <c r="Z2" i="11"/>
  <c r="AC2" i="10"/>
  <c r="E1206" i="7"/>
  <c r="A670" i="6"/>
  <c r="B654" i="6"/>
  <c r="A654" i="6"/>
  <c r="C654" i="6"/>
  <c r="O200" i="9" l="1"/>
  <c r="BM200" i="9"/>
  <c r="BN200" i="9" s="1"/>
  <c r="D535" i="7"/>
  <c r="BN57" i="9"/>
  <c r="P535" i="7"/>
  <c r="BD14" i="21"/>
  <c r="BB68" i="21"/>
  <c r="AD238" i="10"/>
  <c r="AD234" i="10"/>
  <c r="P1958" i="6"/>
  <c r="P1184" i="7"/>
  <c r="B89" i="17"/>
  <c r="C89" i="17"/>
  <c r="G89" i="17"/>
  <c r="A89" i="17"/>
  <c r="F89" i="17"/>
  <c r="BM24" i="9"/>
  <c r="A1026" i="6"/>
  <c r="A248" i="6" s="1"/>
  <c r="Q1958" i="6" l="1"/>
  <c r="P200" i="9"/>
  <c r="AG234" i="10"/>
  <c r="BR200" i="9"/>
  <c r="BS200" i="9" s="1"/>
  <c r="P2027" i="6"/>
  <c r="H141" i="9"/>
  <c r="H416" i="9" s="1"/>
  <c r="I97" i="9"/>
  <c r="AE97" i="9"/>
  <c r="E920" i="4"/>
  <c r="P920" i="4"/>
  <c r="O920" i="4"/>
  <c r="N920" i="4"/>
  <c r="M920" i="4"/>
  <c r="L920" i="4"/>
  <c r="K920" i="4"/>
  <c r="J920" i="4"/>
  <c r="I920" i="4"/>
  <c r="G920" i="4"/>
  <c r="G344" i="4" s="1"/>
  <c r="C920" i="4"/>
  <c r="C344" i="4" s="1"/>
  <c r="B920" i="4"/>
  <c r="B344" i="4" s="1"/>
  <c r="A920" i="4"/>
  <c r="A344" i="4" s="1"/>
  <c r="E443" i="4"/>
  <c r="P443" i="4"/>
  <c r="O443" i="4"/>
  <c r="N443" i="4"/>
  <c r="M443" i="4"/>
  <c r="L443" i="4"/>
  <c r="K443" i="4"/>
  <c r="J443" i="4"/>
  <c r="I443" i="4"/>
  <c r="G443" i="4"/>
  <c r="C443" i="4"/>
  <c r="B443" i="4"/>
  <c r="A443" i="4"/>
  <c r="F2" i="45"/>
  <c r="E2" i="45"/>
  <c r="P429" i="45"/>
  <c r="P428" i="45"/>
  <c r="P427" i="45"/>
  <c r="P417" i="45"/>
  <c r="P416" i="45"/>
  <c r="P409" i="45"/>
  <c r="P403" i="45"/>
  <c r="P302" i="45"/>
  <c r="P301" i="45"/>
  <c r="P300" i="45"/>
  <c r="P299" i="45"/>
  <c r="P285" i="45"/>
  <c r="P284" i="45"/>
  <c r="P275" i="45"/>
  <c r="P267" i="45"/>
  <c r="P168" i="45"/>
  <c r="P157" i="45"/>
  <c r="P153" i="45"/>
  <c r="P146" i="45"/>
  <c r="P42" i="45"/>
  <c r="P41" i="45"/>
  <c r="P25" i="45"/>
  <c r="P24" i="45"/>
  <c r="P13" i="45"/>
  <c r="P3" i="45"/>
  <c r="BC42" i="42"/>
  <c r="BC33" i="42"/>
  <c r="U10" i="37"/>
  <c r="P3" i="27"/>
  <c r="O48" i="20"/>
  <c r="O37" i="20"/>
  <c r="R37" i="20" s="1"/>
  <c r="O36" i="20"/>
  <c r="O35" i="20"/>
  <c r="R35" i="20" s="1"/>
  <c r="O34" i="20"/>
  <c r="R34" i="20" s="1"/>
  <c r="B47" i="19"/>
  <c r="C47" i="19"/>
  <c r="D48" i="19"/>
  <c r="D49" i="19"/>
  <c r="D54" i="19" s="1"/>
  <c r="D59" i="19" s="1"/>
  <c r="D64" i="19" s="1"/>
  <c r="D69" i="19" s="1"/>
  <c r="D74" i="19" s="1"/>
  <c r="D79" i="19" s="1"/>
  <c r="D84" i="19" s="1"/>
  <c r="D89" i="19" s="1"/>
  <c r="D94" i="19" s="1"/>
  <c r="D99" i="19" s="1"/>
  <c r="D50" i="19"/>
  <c r="C52" i="19"/>
  <c r="D53" i="19"/>
  <c r="D55" i="19"/>
  <c r="D58" i="19"/>
  <c r="D60" i="19"/>
  <c r="D63" i="19"/>
  <c r="D68" i="19" s="1"/>
  <c r="D73" i="19" s="1"/>
  <c r="D65" i="19"/>
  <c r="D70" i="19" s="1"/>
  <c r="D75" i="19" s="1"/>
  <c r="D80" i="19" s="1"/>
  <c r="D85" i="19" s="1"/>
  <c r="D90" i="19" s="1"/>
  <c r="D95" i="19" s="1"/>
  <c r="D100" i="19" s="1"/>
  <c r="D78" i="19"/>
  <c r="D83" i="19" s="1"/>
  <c r="D88" i="19" s="1"/>
  <c r="D93" i="19" s="1"/>
  <c r="D98" i="19" s="1"/>
  <c r="S98" i="19"/>
  <c r="S100" i="19" s="1"/>
  <c r="S99" i="19"/>
  <c r="N79" i="17"/>
  <c r="N26" i="17"/>
  <c r="N11" i="17" s="1"/>
  <c r="N295" i="15" s="1"/>
  <c r="N64" i="16"/>
  <c r="N37" i="16"/>
  <c r="N122" i="16" s="1"/>
  <c r="M152" i="40"/>
  <c r="M127" i="40"/>
  <c r="N91" i="12"/>
  <c r="U26" i="37"/>
  <c r="N56" i="12"/>
  <c r="N57" i="12" s="1"/>
  <c r="N53" i="12"/>
  <c r="N48" i="12"/>
  <c r="AD129" i="11"/>
  <c r="AD125" i="11"/>
  <c r="AD113" i="11"/>
  <c r="AD110" i="11"/>
  <c r="AD109" i="11"/>
  <c r="AD102" i="11"/>
  <c r="AD101" i="11"/>
  <c r="AE83" i="11"/>
  <c r="AD83" i="11"/>
  <c r="AD76" i="11"/>
  <c r="AD38" i="11"/>
  <c r="AD16" i="11"/>
  <c r="AD11" i="11"/>
  <c r="AD10" i="11"/>
  <c r="AD9" i="11"/>
  <c r="AD8" i="11"/>
  <c r="AD7" i="11"/>
  <c r="AC83" i="11"/>
  <c r="AD106" i="11"/>
  <c r="AE133" i="10"/>
  <c r="AD133" i="10"/>
  <c r="AC133" i="10"/>
  <c r="AE108" i="10"/>
  <c r="AD108" i="10"/>
  <c r="AE102" i="10"/>
  <c r="AE81" i="10"/>
  <c r="AC80" i="10"/>
  <c r="AD35" i="11"/>
  <c r="AC108" i="10"/>
  <c r="AC200" i="10" s="1"/>
  <c r="P745" i="6"/>
  <c r="P741" i="6"/>
  <c r="P717" i="6"/>
  <c r="P685" i="6"/>
  <c r="P641" i="6"/>
  <c r="P351" i="6"/>
  <c r="P1071" i="6"/>
  <c r="P230" i="6"/>
  <c r="P229" i="6"/>
  <c r="P945" i="6"/>
  <c r="P744" i="6"/>
  <c r="P689" i="6"/>
  <c r="P688" i="6"/>
  <c r="P616" i="6"/>
  <c r="P615" i="6"/>
  <c r="P612" i="6"/>
  <c r="P561" i="6"/>
  <c r="P560" i="6"/>
  <c r="P559" i="6"/>
  <c r="P558" i="6"/>
  <c r="P557" i="6"/>
  <c r="P521" i="6"/>
  <c r="P518" i="6"/>
  <c r="P501" i="6"/>
  <c r="P461" i="6"/>
  <c r="P393" i="6"/>
  <c r="P392" i="6"/>
  <c r="P391" i="6"/>
  <c r="P390" i="6"/>
  <c r="P389" i="6"/>
  <c r="P353" i="6"/>
  <c r="P310" i="6"/>
  <c r="P272" i="6"/>
  <c r="P231" i="6"/>
  <c r="P228" i="6"/>
  <c r="P174" i="6"/>
  <c r="P132" i="6"/>
  <c r="P7" i="6" s="1"/>
  <c r="P118" i="6"/>
  <c r="P117" i="6"/>
  <c r="P116" i="6"/>
  <c r="P115" i="6"/>
  <c r="P114" i="6"/>
  <c r="P79" i="6"/>
  <c r="P3" i="6"/>
  <c r="P1840" i="6" s="1"/>
  <c r="P402" i="7"/>
  <c r="P330" i="7"/>
  <c r="P189" i="7"/>
  <c r="P105" i="7"/>
  <c r="P428" i="7"/>
  <c r="P383" i="7"/>
  <c r="P356" i="7"/>
  <c r="P333" i="7"/>
  <c r="P329" i="7"/>
  <c r="P276" i="7"/>
  <c r="P275" i="7"/>
  <c r="P273" i="7"/>
  <c r="P238" i="7"/>
  <c r="P237" i="7"/>
  <c r="P236" i="7"/>
  <c r="P235" i="7"/>
  <c r="P234" i="7"/>
  <c r="P192" i="7"/>
  <c r="P191" i="7"/>
  <c r="P190" i="7"/>
  <c r="P188" i="7"/>
  <c r="P146" i="7"/>
  <c r="P145" i="7"/>
  <c r="P144" i="7"/>
  <c r="P143" i="7"/>
  <c r="P107" i="7"/>
  <c r="P106" i="7"/>
  <c r="P103" i="7"/>
  <c r="P81" i="7"/>
  <c r="P3" i="7"/>
  <c r="P833" i="7" s="1"/>
  <c r="P584" i="8"/>
  <c r="P143" i="8"/>
  <c r="P150" i="8" s="1"/>
  <c r="P75" i="8"/>
  <c r="P206" i="5"/>
  <c r="P204" i="5"/>
  <c r="P190" i="5"/>
  <c r="P161" i="5"/>
  <c r="P159" i="5"/>
  <c r="P208" i="5"/>
  <c r="P207" i="5"/>
  <c r="P205" i="5"/>
  <c r="P160" i="5"/>
  <c r="P158" i="5"/>
  <c r="P157" i="5"/>
  <c r="P112" i="5"/>
  <c r="P111" i="5"/>
  <c r="P110" i="5"/>
  <c r="P109" i="5"/>
  <c r="P108" i="5"/>
  <c r="P77" i="5"/>
  <c r="P76" i="5"/>
  <c r="P75" i="5"/>
  <c r="P74" i="5"/>
  <c r="P73" i="5"/>
  <c r="P48" i="5"/>
  <c r="M100" i="13" s="1"/>
  <c r="M111" i="13" s="1"/>
  <c r="P3" i="5"/>
  <c r="N656" i="34"/>
  <c r="N655" i="34"/>
  <c r="N571" i="34"/>
  <c r="N568" i="34"/>
  <c r="N567" i="34"/>
  <c r="N554" i="34"/>
  <c r="N542" i="34"/>
  <c r="N541" i="34"/>
  <c r="N538" i="34"/>
  <c r="N537" i="34"/>
  <c r="N526" i="34"/>
  <c r="N391" i="34"/>
  <c r="N508" i="34" s="1"/>
  <c r="N390" i="34"/>
  <c r="N395" i="34" s="1"/>
  <c r="N378" i="34"/>
  <c r="N496" i="34" s="1"/>
  <c r="N370" i="34"/>
  <c r="N365" i="34"/>
  <c r="N484" i="34" s="1"/>
  <c r="N364" i="34"/>
  <c r="N369" i="34" s="1"/>
  <c r="N352" i="34"/>
  <c r="N522" i="34" s="1"/>
  <c r="N65" i="34"/>
  <c r="N2" i="34"/>
  <c r="N789" i="34" s="1"/>
  <c r="N812" i="34" s="1"/>
  <c r="N822" i="34" s="1"/>
  <c r="N304" i="15"/>
  <c r="N255" i="15"/>
  <c r="O2" i="1"/>
  <c r="O4" i="55" s="1"/>
  <c r="P1004" i="4"/>
  <c r="P984" i="4"/>
  <c r="P965" i="4"/>
  <c r="P952" i="4"/>
  <c r="P254" i="4"/>
  <c r="P253" i="4"/>
  <c r="P205" i="4"/>
  <c r="P126" i="4"/>
  <c r="P125" i="4"/>
  <c r="P483" i="4"/>
  <c r="P614" i="4" s="1"/>
  <c r="P379" i="4"/>
  <c r="P372" i="4"/>
  <c r="P371" i="4"/>
  <c r="P370" i="4"/>
  <c r="P369" i="4"/>
  <c r="P368" i="4"/>
  <c r="P306" i="4"/>
  <c r="P305" i="4"/>
  <c r="P304" i="4"/>
  <c r="P255" i="4"/>
  <c r="P252" i="4"/>
  <c r="P238" i="4"/>
  <c r="P235" i="4"/>
  <c r="P208" i="4"/>
  <c r="P207" i="4"/>
  <c r="P144" i="4"/>
  <c r="P143" i="4"/>
  <c r="P142" i="4"/>
  <c r="P141" i="4"/>
  <c r="P93" i="4"/>
  <c r="P91" i="4"/>
  <c r="P89" i="4"/>
  <c r="P54" i="4"/>
  <c r="P100" i="4" s="1"/>
  <c r="N84" i="34" s="1"/>
  <c r="N267" i="3"/>
  <c r="N278" i="3"/>
  <c r="BW200" i="9" l="1"/>
  <c r="R1958" i="6"/>
  <c r="R689" i="6" s="1"/>
  <c r="AO19" i="42"/>
  <c r="N492" i="34" s="1"/>
  <c r="N169" i="3"/>
  <c r="N170" i="3" s="1"/>
  <c r="AO97" i="9"/>
  <c r="J97" i="9"/>
  <c r="K97" i="9" s="1"/>
  <c r="L97" i="9" s="1"/>
  <c r="Q287" i="6"/>
  <c r="I141" i="9"/>
  <c r="I416" i="9" s="1"/>
  <c r="N317" i="15"/>
  <c r="AO42" i="42"/>
  <c r="N264" i="15"/>
  <c r="P430" i="45"/>
  <c r="O81" i="1"/>
  <c r="AE80" i="10"/>
  <c r="N284" i="34"/>
  <c r="N347" i="34" s="1"/>
  <c r="N709" i="34"/>
  <c r="P857" i="4"/>
  <c r="U25" i="37"/>
  <c r="U98" i="37" s="1"/>
  <c r="P474" i="5"/>
  <c r="N18" i="12"/>
  <c r="P304" i="45"/>
  <c r="N17" i="17"/>
  <c r="N300" i="15" s="1"/>
  <c r="N17" i="16"/>
  <c r="N251" i="15" s="1"/>
  <c r="N114" i="16"/>
  <c r="N261" i="15"/>
  <c r="N260" i="15"/>
  <c r="AO50" i="42"/>
  <c r="N491" i="34" s="1"/>
  <c r="P22" i="8"/>
  <c r="P543" i="7"/>
  <c r="P1121" i="7"/>
  <c r="P2034" i="6"/>
  <c r="P2054" i="6" s="1"/>
  <c r="P1338" i="6"/>
  <c r="P1074" i="7"/>
  <c r="P795" i="4"/>
  <c r="P414" i="7"/>
  <c r="P520" i="5"/>
  <c r="P672" i="4"/>
  <c r="P737" i="4"/>
  <c r="M3" i="13"/>
  <c r="N182" i="15" s="1"/>
  <c r="P530" i="6"/>
  <c r="P1648" i="6"/>
  <c r="P3" i="8"/>
  <c r="AA4" i="42"/>
  <c r="N203" i="3"/>
  <c r="P72" i="6"/>
  <c r="P125" i="6" s="1"/>
  <c r="P817" i="6"/>
  <c r="P883" i="6" s="1"/>
  <c r="P952" i="6"/>
  <c r="P1705" i="6"/>
  <c r="P1965" i="6"/>
  <c r="M2" i="58" s="1"/>
  <c r="P279" i="6"/>
  <c r="P400" i="6"/>
  <c r="P694" i="6"/>
  <c r="P1019" i="6"/>
  <c r="U1" i="37" s="1"/>
  <c r="P1467" i="6"/>
  <c r="P1772" i="6"/>
  <c r="P297" i="6"/>
  <c r="P471" i="6"/>
  <c r="P623" i="6"/>
  <c r="P752" i="6"/>
  <c r="P1086" i="6"/>
  <c r="P1215" i="6"/>
  <c r="P1272" i="6"/>
  <c r="P1514" i="6"/>
  <c r="P1578" i="6"/>
  <c r="P1903" i="6"/>
  <c r="P185" i="6"/>
  <c r="P241" i="6"/>
  <c r="P361" i="6"/>
  <c r="P568" i="6"/>
  <c r="P1153" i="6"/>
  <c r="P1379" i="6"/>
  <c r="P1431" i="6" s="1"/>
  <c r="P200" i="7"/>
  <c r="P285" i="7"/>
  <c r="P718" i="7"/>
  <c r="P1190" i="7"/>
  <c r="P155" i="7"/>
  <c r="P245" i="7"/>
  <c r="P340" i="7"/>
  <c r="P775" i="7"/>
  <c r="P873" i="7"/>
  <c r="P942" i="7" s="1"/>
  <c r="P62" i="7"/>
  <c r="P115" i="7"/>
  <c r="N3" i="9" s="1"/>
  <c r="P594" i="7"/>
  <c r="P647" i="7"/>
  <c r="P1015" i="7"/>
  <c r="P1206" i="7"/>
  <c r="P477" i="7"/>
  <c r="M93" i="13"/>
  <c r="P41" i="5"/>
  <c r="N68" i="3" s="1"/>
  <c r="P519" i="5"/>
  <c r="N22" i="3" s="1"/>
  <c r="P523" i="5"/>
  <c r="P40" i="5"/>
  <c r="N60" i="3" s="1"/>
  <c r="P39" i="5"/>
  <c r="N46" i="3" s="1"/>
  <c r="P37" i="5"/>
  <c r="P522" i="5"/>
  <c r="P45" i="4"/>
  <c r="N48" i="3" s="1"/>
  <c r="N43" i="34"/>
  <c r="P119" i="5"/>
  <c r="P168" i="5"/>
  <c r="P491" i="5"/>
  <c r="P521" i="5"/>
  <c r="P276" i="5"/>
  <c r="P463" i="5"/>
  <c r="P517" i="5"/>
  <c r="P38" i="5"/>
  <c r="N38" i="3" s="1"/>
  <c r="P85" i="5"/>
  <c r="P337" i="5"/>
  <c r="P401" i="5"/>
  <c r="P215" i="5"/>
  <c r="N166" i="34"/>
  <c r="N223" i="34" s="1"/>
  <c r="N401" i="34" s="1"/>
  <c r="N396" i="34"/>
  <c r="N472" i="34"/>
  <c r="N483" i="34"/>
  <c r="N125" i="34"/>
  <c r="N383" i="34"/>
  <c r="N507" i="34"/>
  <c r="P165" i="4"/>
  <c r="P216" i="4" s="1"/>
  <c r="P263" i="4" s="1"/>
  <c r="P151" i="4"/>
  <c r="P545" i="4"/>
  <c r="N82" i="15" l="1"/>
  <c r="M97" i="9"/>
  <c r="N97" i="9" s="1"/>
  <c r="O97" i="9" s="1"/>
  <c r="AD105" i="11"/>
  <c r="J141" i="9"/>
  <c r="J416" i="9" s="1"/>
  <c r="N3" i="15"/>
  <c r="N34" i="15" s="1"/>
  <c r="N3" i="17"/>
  <c r="N464" i="34"/>
  <c r="N514" i="34" s="1"/>
  <c r="P324" i="4"/>
  <c r="P313" i="4"/>
  <c r="P496" i="8"/>
  <c r="P424" i="8"/>
  <c r="P291" i="8"/>
  <c r="P228" i="8"/>
  <c r="P1008" i="4"/>
  <c r="N87" i="9"/>
  <c r="N169" i="9" s="1"/>
  <c r="N3" i="21"/>
  <c r="CH3" i="9"/>
  <c r="CU3" i="9" s="1"/>
  <c r="AO4" i="42"/>
  <c r="M4" i="42"/>
  <c r="P39" i="8"/>
  <c r="N237" i="15"/>
  <c r="P363" i="8"/>
  <c r="P102" i="8"/>
  <c r="P166" i="8"/>
  <c r="N127" i="15"/>
  <c r="N3" i="16"/>
  <c r="U47" i="37"/>
  <c r="U65" i="37" s="1"/>
  <c r="U6" i="37"/>
  <c r="N34" i="12"/>
  <c r="N3" i="12"/>
  <c r="M3" i="40"/>
  <c r="P524" i="5"/>
  <c r="O116" i="48"/>
  <c r="K35" i="48"/>
  <c r="D6" i="48"/>
  <c r="E6" i="48" s="1"/>
  <c r="F6" i="48" s="1"/>
  <c r="J6" i="48"/>
  <c r="K6" i="48" s="1"/>
  <c r="L6" i="48" s="1"/>
  <c r="M6" i="48" s="1"/>
  <c r="P97" i="9" l="1"/>
  <c r="V71" i="37"/>
  <c r="E46" i="48"/>
  <c r="L114" i="48" s="1"/>
  <c r="E48" i="48"/>
  <c r="E44" i="48"/>
  <c r="L112" i="48" s="1"/>
  <c r="E47" i="48"/>
  <c r="L115" i="48" s="1"/>
  <c r="E43" i="48"/>
  <c r="L111" i="48" s="1"/>
  <c r="BN97" i="9"/>
  <c r="BS97" i="9"/>
  <c r="N56" i="17"/>
  <c r="P28" i="20"/>
  <c r="P45" i="20" s="1"/>
  <c r="U71" i="37"/>
  <c r="P20" i="19"/>
  <c r="P39" i="19" s="1"/>
  <c r="N65" i="15"/>
  <c r="N96" i="15" s="1"/>
  <c r="O3" i="54"/>
  <c r="AD3" i="54" s="1"/>
  <c r="K141" i="9"/>
  <c r="K416" i="9" s="1"/>
  <c r="BC4" i="42"/>
  <c r="N58" i="16"/>
  <c r="N70" i="16" s="1"/>
  <c r="N95" i="16"/>
  <c r="N81" i="16"/>
  <c r="N577" i="34"/>
  <c r="N627" i="34" s="1"/>
  <c r="Q176" i="6"/>
  <c r="M105" i="40"/>
  <c r="M134" i="40" s="1"/>
  <c r="M47" i="40"/>
  <c r="N72" i="21"/>
  <c r="O3" i="22"/>
  <c r="BW3" i="21"/>
  <c r="CJ3" i="21" s="1"/>
  <c r="N286" i="15"/>
  <c r="N84" i="17"/>
  <c r="M116" i="48"/>
  <c r="N116" i="48"/>
  <c r="K50" i="48"/>
  <c r="C49" i="48"/>
  <c r="D49" i="48"/>
  <c r="BX97" i="9" l="1"/>
  <c r="W71" i="37"/>
  <c r="D34" i="48"/>
  <c r="O169" i="48" s="1"/>
  <c r="F49" i="48"/>
  <c r="E42" i="48"/>
  <c r="L141" i="9"/>
  <c r="L416" i="9" s="1"/>
  <c r="N671" i="34"/>
  <c r="N755" i="34" s="1"/>
  <c r="N787" i="34" s="1"/>
  <c r="N65" i="17"/>
  <c r="O124" i="22"/>
  <c r="BX3" i="22"/>
  <c r="CK3" i="22" s="1"/>
  <c r="O78" i="22"/>
  <c r="O121" i="22" s="1"/>
  <c r="N75" i="17"/>
  <c r="N93" i="17"/>
  <c r="E49" i="48" l="1"/>
  <c r="L85" i="48"/>
  <c r="M141" i="9"/>
  <c r="M416" i="9" s="1"/>
  <c r="L116" i="48" l="1"/>
  <c r="N141" i="9"/>
  <c r="O141" i="9" l="1"/>
  <c r="BS141" i="9" s="1"/>
  <c r="V52" i="37" s="1"/>
  <c r="N416" i="9"/>
  <c r="BN141" i="9"/>
  <c r="Q4" i="42"/>
  <c r="B259" i="42" s="1"/>
  <c r="Q42" i="42"/>
  <c r="C162" i="6"/>
  <c r="C168" i="6" s="1"/>
  <c r="B162" i="6"/>
  <c r="B168" i="6" s="1"/>
  <c r="A162" i="6"/>
  <c r="A168" i="6" s="1"/>
  <c r="C869" i="6"/>
  <c r="C868" i="6"/>
  <c r="B869" i="6"/>
  <c r="A869" i="6"/>
  <c r="A868" i="6"/>
  <c r="C451" i="6"/>
  <c r="C456" i="6" s="1"/>
  <c r="C450" i="6"/>
  <c r="B451" i="6"/>
  <c r="B456" i="6" s="1"/>
  <c r="A451" i="6"/>
  <c r="A456" i="6" s="1"/>
  <c r="B450" i="6"/>
  <c r="A450" i="6"/>
  <c r="C1365" i="6"/>
  <c r="C1364" i="6"/>
  <c r="B1365" i="6"/>
  <c r="A1365" i="6"/>
  <c r="B1364" i="6"/>
  <c r="A1364" i="6"/>
  <c r="CV141" i="9" l="1"/>
  <c r="P141" i="9"/>
  <c r="O416" i="9"/>
  <c r="U52" i="37"/>
  <c r="D869" i="6"/>
  <c r="D451" i="6"/>
  <c r="D450" i="6"/>
  <c r="D1365" i="6"/>
  <c r="D1364" i="6"/>
  <c r="A465" i="7"/>
  <c r="D452" i="7"/>
  <c r="D451" i="7"/>
  <c r="C452" i="7"/>
  <c r="C451" i="7"/>
  <c r="B452" i="7"/>
  <c r="B458" i="7" s="1"/>
  <c r="B45" i="7" s="1"/>
  <c r="B451" i="7"/>
  <c r="B457" i="7" s="1"/>
  <c r="A452" i="7"/>
  <c r="A458" i="7" s="1"/>
  <c r="A45" i="7" s="1"/>
  <c r="A457" i="7"/>
  <c r="D1175" i="7"/>
  <c r="D1223" i="7" s="1"/>
  <c r="D1174" i="7"/>
  <c r="C1175" i="7"/>
  <c r="C1223" i="7" s="1"/>
  <c r="C1174" i="7"/>
  <c r="B1175" i="7"/>
  <c r="B1223" i="7" s="1"/>
  <c r="A1175" i="7"/>
  <c r="A1223" i="7" s="1"/>
  <c r="B1174" i="7"/>
  <c r="A1174" i="7"/>
  <c r="C504" i="6"/>
  <c r="B504" i="6"/>
  <c r="A504" i="6"/>
  <c r="B1606" i="6"/>
  <c r="D216" i="6"/>
  <c r="C216" i="6"/>
  <c r="C222" i="6" s="1"/>
  <c r="B216" i="6"/>
  <c r="B222" i="6" s="1"/>
  <c r="A216" i="6"/>
  <c r="A222" i="6" s="1"/>
  <c r="D1004" i="6"/>
  <c r="C1004" i="6"/>
  <c r="B1004" i="6"/>
  <c r="A1004" i="6"/>
  <c r="A273" i="6"/>
  <c r="P416" i="9" l="1"/>
  <c r="CW141" i="9"/>
  <c r="BX141" i="9"/>
  <c r="W52" i="37" s="1"/>
  <c r="D457" i="7"/>
  <c r="D458" i="7"/>
  <c r="A14" i="13"/>
  <c r="A2076" i="6"/>
  <c r="A55" i="6" s="1"/>
  <c r="C458" i="7"/>
  <c r="C45" i="7" s="1"/>
  <c r="C457" i="7"/>
  <c r="D222" i="6"/>
  <c r="D456" i="6"/>
  <c r="D504" i="6"/>
  <c r="A280" i="6"/>
  <c r="D273" i="6"/>
  <c r="C273" i="6"/>
  <c r="C2076" i="6" s="1"/>
  <c r="B273" i="6"/>
  <c r="B2076" i="6" s="1"/>
  <c r="A32" i="13" s="1"/>
  <c r="O1071" i="6"/>
  <c r="N1071" i="6"/>
  <c r="M1071" i="6"/>
  <c r="L1071" i="6"/>
  <c r="K1071" i="6"/>
  <c r="J1071" i="6"/>
  <c r="I1071" i="6"/>
  <c r="G1071" i="6"/>
  <c r="D1071" i="6"/>
  <c r="C1071" i="6"/>
  <c r="B1071" i="6"/>
  <c r="A1071" i="6"/>
  <c r="B1070" i="6"/>
  <c r="D1072" i="6"/>
  <c r="C1072" i="6"/>
  <c r="A1072" i="6"/>
  <c r="B1072" i="6"/>
  <c r="H1071" i="6" l="1"/>
  <c r="D45" i="7"/>
  <c r="B14" i="13"/>
  <c r="B32" i="13"/>
  <c r="B55" i="6"/>
  <c r="B280" i="6"/>
  <c r="C280" i="6"/>
  <c r="D280" i="6"/>
  <c r="A727" i="6"/>
  <c r="A743" i="6"/>
  <c r="A744" i="6"/>
  <c r="A745" i="6"/>
  <c r="A742" i="6"/>
  <c r="A741" i="6"/>
  <c r="A730" i="6"/>
  <c r="A726" i="6"/>
  <c r="A725" i="6"/>
  <c r="A724" i="6"/>
  <c r="A723" i="6"/>
  <c r="A722" i="6"/>
  <c r="A721" i="6"/>
  <c r="A720" i="6"/>
  <c r="A717" i="6"/>
  <c r="A714" i="6"/>
  <c r="A713" i="6"/>
  <c r="A712" i="6"/>
  <c r="A711" i="6"/>
  <c r="A710" i="6"/>
  <c r="A703" i="6"/>
  <c r="A702" i="6"/>
  <c r="A701" i="6"/>
  <c r="A700" i="6"/>
  <c r="A699" i="6"/>
  <c r="A698" i="6"/>
  <c r="D703" i="6"/>
  <c r="C703" i="6"/>
  <c r="B703" i="6"/>
  <c r="B1994" i="6"/>
  <c r="A518" i="6"/>
  <c r="A519" i="6"/>
  <c r="A520" i="6"/>
  <c r="A495" i="6"/>
  <c r="A496" i="6"/>
  <c r="A497" i="6"/>
  <c r="A498" i="6"/>
  <c r="A501" i="6"/>
  <c r="A507" i="6"/>
  <c r="C476" i="6"/>
  <c r="B476" i="6"/>
  <c r="A476" i="6"/>
  <c r="C488" i="6"/>
  <c r="C479" i="6"/>
  <c r="A488" i="6"/>
  <c r="A485" i="6"/>
  <c r="A482" i="6"/>
  <c r="A479" i="6"/>
  <c r="B479" i="6"/>
  <c r="D194" i="6"/>
  <c r="D193" i="6"/>
  <c r="C194" i="6"/>
  <c r="C193" i="6"/>
  <c r="A194" i="6"/>
  <c r="A193" i="6"/>
  <c r="B193" i="6"/>
  <c r="C190" i="6"/>
  <c r="A190" i="6"/>
  <c r="B190" i="6"/>
  <c r="C14" i="13" l="1"/>
  <c r="Q12" i="42"/>
  <c r="C713" i="6"/>
  <c r="B713" i="6"/>
  <c r="P22" i="42"/>
  <c r="C55" i="6"/>
  <c r="Q22" i="42" s="1"/>
  <c r="A51" i="13"/>
  <c r="B55" i="15" l="1"/>
  <c r="A194" i="15"/>
  <c r="A139" i="15" s="1"/>
  <c r="B46" i="15"/>
  <c r="B51" i="13"/>
  <c r="P34" i="42"/>
  <c r="A69" i="13"/>
  <c r="D253" i="6"/>
  <c r="C253" i="6"/>
  <c r="A253" i="6"/>
  <c r="C431" i="7"/>
  <c r="B431" i="7"/>
  <c r="A431" i="7"/>
  <c r="B421" i="7"/>
  <c r="A421" i="7"/>
  <c r="O428" i="7"/>
  <c r="N428" i="7"/>
  <c r="M428" i="7"/>
  <c r="L428" i="7"/>
  <c r="K428" i="7"/>
  <c r="J428" i="7"/>
  <c r="I428" i="7"/>
  <c r="G428" i="7"/>
  <c r="D428" i="7"/>
  <c r="C428" i="7"/>
  <c r="B428" i="7"/>
  <c r="A428" i="7"/>
  <c r="C303" i="6"/>
  <c r="O310" i="6"/>
  <c r="N310" i="6"/>
  <c r="M310" i="6"/>
  <c r="L310" i="6"/>
  <c r="K310" i="6"/>
  <c r="J310" i="6"/>
  <c r="I310" i="6"/>
  <c r="G310" i="6"/>
  <c r="D310" i="6"/>
  <c r="C310" i="6"/>
  <c r="B310" i="6"/>
  <c r="A310" i="6"/>
  <c r="A303" i="6"/>
  <c r="B25" i="27"/>
  <c r="A39" i="15"/>
  <c r="H428" i="7" l="1"/>
  <c r="H310" i="6"/>
  <c r="Q34" i="42"/>
  <c r="B69" i="13"/>
  <c r="B194" i="15"/>
  <c r="B139" i="15" s="1"/>
  <c r="A163" i="15"/>
  <c r="A218" i="15"/>
  <c r="B163" i="15" l="1"/>
  <c r="B218" i="15"/>
  <c r="D1070" i="6" l="1"/>
  <c r="C1070" i="6" l="1"/>
  <c r="L30" i="37"/>
  <c r="L29" i="37"/>
  <c r="CL123" i="9"/>
  <c r="U123" i="9"/>
  <c r="CL122" i="9"/>
  <c r="U122" i="9"/>
  <c r="M29" i="37" l="1"/>
  <c r="BZ122" i="9"/>
  <c r="M30" i="37"/>
  <c r="BZ123" i="9"/>
  <c r="AR22" i="42"/>
  <c r="AR12" i="42"/>
  <c r="P86" i="15" l="1"/>
  <c r="P325" i="34" s="1"/>
  <c r="P293" i="34" s="1"/>
  <c r="P525" i="34" s="1"/>
  <c r="P557" i="34"/>
  <c r="A108" i="15"/>
  <c r="A117" i="15"/>
  <c r="H397" i="8"/>
  <c r="G123" i="9"/>
  <c r="N30" i="37" s="1"/>
  <c r="Z123" i="9"/>
  <c r="CM122" i="9"/>
  <c r="CA122" i="9"/>
  <c r="G122" i="9"/>
  <c r="N29" i="37" s="1"/>
  <c r="Z122" i="9"/>
  <c r="CA123" i="9"/>
  <c r="CM123" i="9"/>
  <c r="B374" i="8"/>
  <c r="B109" i="8" s="1"/>
  <c r="A374" i="8"/>
  <c r="AR7" i="42" l="1"/>
  <c r="B107" i="8"/>
  <c r="AR8" i="42" s="1"/>
  <c r="CB123" i="9"/>
  <c r="CN123" i="9"/>
  <c r="H123" i="9"/>
  <c r="O30" i="37" s="1"/>
  <c r="AE123" i="9"/>
  <c r="CB122" i="9"/>
  <c r="CN122" i="9"/>
  <c r="H122" i="9"/>
  <c r="O29" i="37" s="1"/>
  <c r="AE122" i="9"/>
  <c r="A101" i="15" l="1"/>
  <c r="AJ122" i="9"/>
  <c r="I122" i="9"/>
  <c r="P29" i="37" s="1"/>
  <c r="CO122" i="9"/>
  <c r="CC122" i="9"/>
  <c r="CO123" i="9"/>
  <c r="CC123" i="9"/>
  <c r="AJ123" i="9"/>
  <c r="I123" i="9"/>
  <c r="P30" i="37" s="1"/>
  <c r="A35" i="17"/>
  <c r="AD42" i="42"/>
  <c r="C348" i="8"/>
  <c r="B348" i="8"/>
  <c r="A348" i="8"/>
  <c r="F85" i="8"/>
  <c r="AR42" i="42" l="1"/>
  <c r="A313" i="15"/>
  <c r="AO123" i="9"/>
  <c r="J123" i="9"/>
  <c r="Q30" i="37" s="1"/>
  <c r="CP122" i="9"/>
  <c r="CD122" i="9"/>
  <c r="CP123" i="9"/>
  <c r="CD123" i="9"/>
  <c r="AO122" i="9"/>
  <c r="J122" i="9"/>
  <c r="Q29" i="37" s="1"/>
  <c r="I141" i="8"/>
  <c r="G25" i="17" s="1"/>
  <c r="G10" i="17" s="1"/>
  <c r="G141" i="8"/>
  <c r="H141" i="8" s="1"/>
  <c r="A141" i="8"/>
  <c r="B141" i="8"/>
  <c r="A25" i="17" s="1"/>
  <c r="A10" i="17" s="1"/>
  <c r="A264" i="15"/>
  <c r="C142" i="8"/>
  <c r="B142" i="8"/>
  <c r="A142" i="8"/>
  <c r="F25" i="17" l="1"/>
  <c r="F10" i="17" s="1"/>
  <c r="D548" i="8"/>
  <c r="D142" i="8"/>
  <c r="AT22" i="42"/>
  <c r="K122" i="9"/>
  <c r="R29" i="37" s="1"/>
  <c r="AT122" i="9"/>
  <c r="CE122" i="9"/>
  <c r="CQ122" i="9"/>
  <c r="CE123" i="9"/>
  <c r="CQ123" i="9"/>
  <c r="K123" i="9"/>
  <c r="R30" i="37" s="1"/>
  <c r="AT123" i="9"/>
  <c r="B149" i="8"/>
  <c r="AR34" i="42" s="1"/>
  <c r="C149" i="8"/>
  <c r="AS34" i="42" s="1"/>
  <c r="C34" i="42" s="1"/>
  <c r="A149" i="8"/>
  <c r="C79" i="8"/>
  <c r="B21" i="8"/>
  <c r="E264" i="15"/>
  <c r="F37" i="16"/>
  <c r="G37" i="16"/>
  <c r="H37" i="16"/>
  <c r="I37" i="16"/>
  <c r="J37" i="16"/>
  <c r="K37" i="16"/>
  <c r="L37" i="16"/>
  <c r="M37" i="16"/>
  <c r="A122" i="16"/>
  <c r="D118" i="16"/>
  <c r="F264" i="15" l="1"/>
  <c r="B34" i="42"/>
  <c r="AI42" i="42"/>
  <c r="H264" i="15"/>
  <c r="AM42" i="42"/>
  <c r="L264" i="15"/>
  <c r="AJ42" i="42"/>
  <c r="I264" i="15"/>
  <c r="AN42" i="42"/>
  <c r="M264" i="15"/>
  <c r="AK42" i="42"/>
  <c r="J264" i="15"/>
  <c r="AH42" i="42"/>
  <c r="G264" i="15"/>
  <c r="AL42" i="42"/>
  <c r="K264" i="15"/>
  <c r="AE42" i="42"/>
  <c r="AF42" i="42"/>
  <c r="AG42" i="42"/>
  <c r="CF123" i="9"/>
  <c r="CR123" i="9"/>
  <c r="L122" i="9"/>
  <c r="AY122" i="9"/>
  <c r="L123" i="9"/>
  <c r="AY123" i="9"/>
  <c r="CF122" i="9"/>
  <c r="CR122" i="9"/>
  <c r="A21" i="8"/>
  <c r="C85" i="8"/>
  <c r="C21" i="8"/>
  <c r="D348" i="8"/>
  <c r="AD22" i="42"/>
  <c r="D149" i="8"/>
  <c r="AE22" i="42"/>
  <c r="D79" i="8"/>
  <c r="S29" i="37" l="1"/>
  <c r="S30" i="37"/>
  <c r="A86" i="15"/>
  <c r="C293" i="34" s="1"/>
  <c r="A77" i="15"/>
  <c r="C320" i="34" s="1"/>
  <c r="C288" i="34" s="1"/>
  <c r="B86" i="15"/>
  <c r="D293" i="34" s="1"/>
  <c r="B77" i="15"/>
  <c r="D320" i="34" s="1"/>
  <c r="D288" i="34" s="1"/>
  <c r="AT34" i="42"/>
  <c r="D21" i="8"/>
  <c r="BD123" i="9"/>
  <c r="M123" i="9"/>
  <c r="N123" i="9" s="1"/>
  <c r="O123" i="9" s="1"/>
  <c r="P123" i="9" s="1"/>
  <c r="CS123" i="9"/>
  <c r="CG123" i="9"/>
  <c r="CS122" i="9"/>
  <c r="CG122" i="9"/>
  <c r="BD122" i="9"/>
  <c r="M122" i="9"/>
  <c r="N122" i="9" s="1"/>
  <c r="O122" i="9" s="1"/>
  <c r="P122" i="9" s="1"/>
  <c r="AF22" i="42"/>
  <c r="D85" i="8"/>
  <c r="BX122" i="9" l="1"/>
  <c r="W29" i="37"/>
  <c r="BX123" i="9"/>
  <c r="W30" i="37"/>
  <c r="CH123" i="9"/>
  <c r="CI123" i="9" s="1"/>
  <c r="CJ123" i="9" s="1"/>
  <c r="CW123" i="9" s="1"/>
  <c r="CH122" i="9"/>
  <c r="CI122" i="9" s="1"/>
  <c r="C86" i="15"/>
  <c r="C77" i="15"/>
  <c r="E320" i="34" s="1"/>
  <c r="E288" i="34" s="1"/>
  <c r="BS123" i="9"/>
  <c r="V30" i="37"/>
  <c r="V29" i="37"/>
  <c r="BS122" i="9"/>
  <c r="U29" i="37"/>
  <c r="BN122" i="9"/>
  <c r="BN123" i="9"/>
  <c r="U30" i="37"/>
  <c r="BI122" i="9"/>
  <c r="T29" i="37"/>
  <c r="BI123" i="9"/>
  <c r="T30" i="37"/>
  <c r="CT123" i="9"/>
  <c r="CT122" i="9"/>
  <c r="A252" i="15"/>
  <c r="B252" i="15"/>
  <c r="A301" i="15"/>
  <c r="B301" i="15"/>
  <c r="C301" i="15"/>
  <c r="E301" i="15"/>
  <c r="B304" i="15"/>
  <c r="C304" i="15"/>
  <c r="E304" i="15"/>
  <c r="G304" i="15"/>
  <c r="H304" i="15"/>
  <c r="I304" i="15"/>
  <c r="J304" i="15"/>
  <c r="K304" i="15"/>
  <c r="L304" i="15"/>
  <c r="M304" i="15"/>
  <c r="J10" i="26"/>
  <c r="J11" i="26"/>
  <c r="CV123" i="9" l="1"/>
  <c r="CU123" i="9"/>
  <c r="CV122" i="9"/>
  <c r="CJ122" i="9"/>
  <c r="CW122" i="9" s="1"/>
  <c r="CU122" i="9"/>
  <c r="F304" i="15"/>
  <c r="P17" i="42"/>
  <c r="J72" i="26"/>
  <c r="F301" i="15"/>
  <c r="P77" i="42" l="1"/>
  <c r="A50" i="15"/>
  <c r="A210" i="15"/>
  <c r="A155" i="15" s="1"/>
  <c r="BZ176" i="9"/>
  <c r="CA176" i="9" s="1"/>
  <c r="CB176" i="9" s="1"/>
  <c r="CC176" i="9" s="1"/>
  <c r="CD176" i="9" s="1"/>
  <c r="CE176" i="9" s="1"/>
  <c r="CF176" i="9" s="1"/>
  <c r="CG176" i="9" s="1"/>
  <c r="O1372" i="6"/>
  <c r="N1372" i="6"/>
  <c r="M1372" i="6"/>
  <c r="L1372" i="6"/>
  <c r="K1372" i="6"/>
  <c r="J1372" i="6"/>
  <c r="O1371" i="6"/>
  <c r="O1370" i="6"/>
  <c r="N1371" i="6"/>
  <c r="N1370" i="6"/>
  <c r="M1371" i="6"/>
  <c r="M1370" i="6"/>
  <c r="L1370" i="6"/>
  <c r="K1370" i="6"/>
  <c r="J1370" i="6"/>
  <c r="I1372" i="6"/>
  <c r="CT176" i="9" l="1"/>
  <c r="CH176" i="9"/>
  <c r="CN176" i="9"/>
  <c r="CR176" i="9"/>
  <c r="CO176" i="9"/>
  <c r="CS176" i="9"/>
  <c r="CL176" i="9"/>
  <c r="CP176" i="9"/>
  <c r="CM176" i="9"/>
  <c r="CQ176" i="9"/>
  <c r="BZ118" i="9"/>
  <c r="CA118" i="9" s="1"/>
  <c r="G43" i="1"/>
  <c r="G44" i="1"/>
  <c r="G42" i="1"/>
  <c r="F45" i="1"/>
  <c r="D1956" i="6" s="1"/>
  <c r="E45" i="1"/>
  <c r="CL178" i="9" l="1"/>
  <c r="T118" i="9"/>
  <c r="U118" i="9" s="1"/>
  <c r="CU176" i="9"/>
  <c r="CI176" i="9"/>
  <c r="F118" i="9"/>
  <c r="T178" i="9"/>
  <c r="T440" i="9" s="1"/>
  <c r="H44" i="1"/>
  <c r="F105" i="9"/>
  <c r="G45" i="1"/>
  <c r="F231" i="10" s="1"/>
  <c r="G1956" i="6" s="1"/>
  <c r="H42" i="1"/>
  <c r="F178" i="9"/>
  <c r="F440" i="9" s="1"/>
  <c r="CL105" i="9"/>
  <c r="BZ105" i="9"/>
  <c r="CA105" i="9" s="1"/>
  <c r="CB105" i="9" s="1"/>
  <c r="U105" i="9"/>
  <c r="BX105" i="9" s="1"/>
  <c r="BZ178" i="9"/>
  <c r="CL118" i="9"/>
  <c r="CB118" i="9"/>
  <c r="H43" i="1"/>
  <c r="T117" i="10"/>
  <c r="A95" i="13"/>
  <c r="G877" i="6" l="1"/>
  <c r="CV176" i="9"/>
  <c r="CJ176" i="9"/>
  <c r="CW176" i="9" s="1"/>
  <c r="BX118" i="9"/>
  <c r="CM178" i="9"/>
  <c r="Y118" i="9"/>
  <c r="Y178" i="9"/>
  <c r="I43" i="1"/>
  <c r="H178" i="9" s="1"/>
  <c r="I42" i="1"/>
  <c r="CM118" i="9"/>
  <c r="U178" i="9"/>
  <c r="G105" i="9"/>
  <c r="AE105" i="9" s="1"/>
  <c r="I44" i="1"/>
  <c r="H105" i="9" s="1"/>
  <c r="AJ105" i="9" s="1"/>
  <c r="Z105" i="9"/>
  <c r="G118" i="9"/>
  <c r="H45" i="1"/>
  <c r="I231" i="10" s="1"/>
  <c r="I1956" i="6" s="1"/>
  <c r="G178" i="9"/>
  <c r="I105" i="9"/>
  <c r="CM105" i="9"/>
  <c r="CC105" i="9"/>
  <c r="CA178" i="9"/>
  <c r="CC118" i="9"/>
  <c r="W117" i="10"/>
  <c r="Z117" i="10" s="1"/>
  <c r="AC117" i="10" s="1"/>
  <c r="AF117" i="10" s="1"/>
  <c r="V117" i="10"/>
  <c r="AH117" i="10" l="1"/>
  <c r="AG49" i="11" s="1"/>
  <c r="AI117" i="10"/>
  <c r="AK117" i="10" s="1"/>
  <c r="AJ49" i="11" s="1"/>
  <c r="BX178" i="9"/>
  <c r="AN105" i="9"/>
  <c r="AO105" i="9" s="1"/>
  <c r="Z178" i="9"/>
  <c r="Z440" i="9" s="1"/>
  <c r="Y440" i="9"/>
  <c r="F187" i="3" s="1"/>
  <c r="CN178" i="9"/>
  <c r="AD118" i="9"/>
  <c r="Z118" i="9"/>
  <c r="AI178" i="9"/>
  <c r="AJ178" i="9" s="1"/>
  <c r="CN105" i="9"/>
  <c r="CO105" i="9"/>
  <c r="CN118" i="9"/>
  <c r="D476" i="6"/>
  <c r="I45" i="1"/>
  <c r="J105" i="9"/>
  <c r="H118" i="9"/>
  <c r="AD178" i="9"/>
  <c r="AE178" i="9" s="1"/>
  <c r="CP105" i="9"/>
  <c r="CD105" i="9"/>
  <c r="CB178" i="9"/>
  <c r="CO178" i="9" s="1"/>
  <c r="CD118" i="9"/>
  <c r="Y117" i="10"/>
  <c r="AS105" i="9" l="1"/>
  <c r="AT105" i="9" s="1"/>
  <c r="L231" i="10"/>
  <c r="J1956" i="6" s="1"/>
  <c r="AE118" i="9"/>
  <c r="AB117" i="10"/>
  <c r="AE117" i="10"/>
  <c r="AD49" i="11" s="1"/>
  <c r="J45" i="1"/>
  <c r="I178" i="9"/>
  <c r="K105" i="9"/>
  <c r="AI118" i="9"/>
  <c r="CO118" i="9"/>
  <c r="J178" i="9"/>
  <c r="CE105" i="9"/>
  <c r="CQ105" i="9"/>
  <c r="CC178" i="9"/>
  <c r="CE118" i="9"/>
  <c r="C78" i="6"/>
  <c r="A78" i="6"/>
  <c r="C58" i="4"/>
  <c r="O231" i="10" l="1"/>
  <c r="K1956" i="6" s="1"/>
  <c r="CP178" i="9"/>
  <c r="AS178" i="9"/>
  <c r="AT178" i="9" s="1"/>
  <c r="AJ118" i="9"/>
  <c r="AN178" i="9"/>
  <c r="AO178" i="9" s="1"/>
  <c r="K45" i="1"/>
  <c r="R231" i="10" s="1"/>
  <c r="J118" i="9"/>
  <c r="AX105" i="9"/>
  <c r="AY105" i="9" s="1"/>
  <c r="L105" i="9"/>
  <c r="BC105" i="9" s="1"/>
  <c r="BD105" i="9" s="1"/>
  <c r="AN118" i="9"/>
  <c r="CP118" i="9"/>
  <c r="K178" i="9"/>
  <c r="CF105" i="9"/>
  <c r="CR105" i="9"/>
  <c r="CD178" i="9"/>
  <c r="CQ178" i="9" s="1"/>
  <c r="CF118" i="9"/>
  <c r="AX178" i="9" l="1"/>
  <c r="AY178" i="9" s="1"/>
  <c r="AO118" i="9"/>
  <c r="M105" i="9"/>
  <c r="BH105" i="9" s="1"/>
  <c r="BI105" i="9" s="1"/>
  <c r="K118" i="9"/>
  <c r="L45" i="1"/>
  <c r="U231" i="10" s="1"/>
  <c r="AS118" i="9"/>
  <c r="CQ118" i="9"/>
  <c r="L178" i="9"/>
  <c r="CS105" i="9"/>
  <c r="CG105" i="9"/>
  <c r="CE178" i="9"/>
  <c r="CR178" i="9" s="1"/>
  <c r="CG118" i="9"/>
  <c r="CH118" i="9" l="1"/>
  <c r="CI118" i="9" s="1"/>
  <c r="BC178" i="9"/>
  <c r="BD178" i="9" s="1"/>
  <c r="AT118" i="9"/>
  <c r="M45" i="1"/>
  <c r="X231" i="10" s="1"/>
  <c r="N105" i="9"/>
  <c r="BM105" i="9" s="1"/>
  <c r="BN105" i="9" s="1"/>
  <c r="M178" i="9"/>
  <c r="CT105" i="9"/>
  <c r="CH105" i="9"/>
  <c r="CI105" i="9" s="1"/>
  <c r="AX118" i="9"/>
  <c r="CR118" i="9"/>
  <c r="L118" i="9"/>
  <c r="CF178" i="9"/>
  <c r="CS178" i="9" s="1"/>
  <c r="AU33" i="42"/>
  <c r="AV33" i="42"/>
  <c r="AW33" i="42"/>
  <c r="AX33" i="42"/>
  <c r="AY33" i="42"/>
  <c r="AZ33" i="42"/>
  <c r="BA33" i="42"/>
  <c r="BB33" i="42"/>
  <c r="AT33" i="42"/>
  <c r="AS33" i="42"/>
  <c r="AR33" i="42"/>
  <c r="M26" i="17"/>
  <c r="L26" i="17"/>
  <c r="K26" i="17"/>
  <c r="J26" i="17"/>
  <c r="I26" i="17"/>
  <c r="H26" i="17"/>
  <c r="G26" i="17"/>
  <c r="F26" i="17"/>
  <c r="C26" i="17"/>
  <c r="B26" i="17"/>
  <c r="A26" i="17"/>
  <c r="CV105" i="9" l="1"/>
  <c r="CJ105" i="9"/>
  <c r="CW105" i="9" s="1"/>
  <c r="CV118" i="9"/>
  <c r="CJ118" i="9"/>
  <c r="CW118" i="9" s="1"/>
  <c r="BH178" i="9"/>
  <c r="BI178" i="9" s="1"/>
  <c r="AY118" i="9"/>
  <c r="P45" i="1"/>
  <c r="N178" i="9"/>
  <c r="CU105" i="9"/>
  <c r="P464" i="6"/>
  <c r="BC118" i="9"/>
  <c r="CS118" i="9"/>
  <c r="M118" i="9"/>
  <c r="N45" i="1"/>
  <c r="AA231" i="10" s="1"/>
  <c r="CG178" i="9"/>
  <c r="CT178" i="9" l="1"/>
  <c r="AG231" i="10"/>
  <c r="BM178" i="9"/>
  <c r="BN178" i="9" s="1"/>
  <c r="BD118" i="9"/>
  <c r="Q464" i="6"/>
  <c r="N118" i="9"/>
  <c r="CU118" i="9" s="1"/>
  <c r="O45" i="1"/>
  <c r="AD231" i="10" s="1"/>
  <c r="CH178" i="9"/>
  <c r="CU178" i="9" s="1"/>
  <c r="BH118" i="9"/>
  <c r="CT118" i="9"/>
  <c r="C366" i="7"/>
  <c r="C372" i="7"/>
  <c r="Q1956" i="6" l="1"/>
  <c r="BI118" i="9"/>
  <c r="CI178" i="9"/>
  <c r="BM118" i="9"/>
  <c r="CV178" i="9" l="1"/>
  <c r="CJ178" i="9"/>
  <c r="CW178" i="9" s="1"/>
  <c r="BN118" i="9"/>
  <c r="E11" i="1"/>
  <c r="A506" i="4"/>
  <c r="C136" i="3" l="1"/>
  <c r="N9" i="1" l="1"/>
  <c r="AT94" i="37"/>
  <c r="AS74" i="37"/>
  <c r="AS75" i="37"/>
  <c r="AS77" i="37"/>
  <c r="AU77" i="37"/>
  <c r="AV77" i="37"/>
  <c r="AS82" i="37"/>
  <c r="AT82" i="37"/>
  <c r="AU82" i="37"/>
  <c r="AV82" i="37"/>
  <c r="AS83" i="37"/>
  <c r="AT83" i="37"/>
  <c r="AU83" i="37"/>
  <c r="AV83" i="37"/>
  <c r="AS84" i="37"/>
  <c r="AT84" i="37"/>
  <c r="AU84" i="37"/>
  <c r="AV84" i="37"/>
  <c r="AR75" i="37"/>
  <c r="AR77" i="37"/>
  <c r="AR82" i="37"/>
  <c r="AR83" i="37"/>
  <c r="AR84" i="37"/>
  <c r="AR74" i="37"/>
  <c r="AS50" i="37"/>
  <c r="AS16" i="37" s="1"/>
  <c r="AS51" i="37"/>
  <c r="AS17" i="37" s="1"/>
  <c r="AS52" i="37"/>
  <c r="AS18" i="37" s="1"/>
  <c r="AV52" i="37"/>
  <c r="AV18" i="37" s="1"/>
  <c r="AS55" i="37"/>
  <c r="AS19" i="37" s="1"/>
  <c r="AS57" i="37"/>
  <c r="AS20" i="37" s="1"/>
  <c r="AT57" i="37"/>
  <c r="AT89" i="37" s="1"/>
  <c r="AS58" i="37"/>
  <c r="AS21" i="37" s="1"/>
  <c r="AS60" i="37"/>
  <c r="AS22" i="37" s="1"/>
  <c r="AS61" i="37"/>
  <c r="AS23" i="37" s="1"/>
  <c r="AS62" i="37"/>
  <c r="AS24" i="37" s="1"/>
  <c r="AS63" i="37"/>
  <c r="AS25" i="37" s="1"/>
  <c r="AS64" i="37"/>
  <c r="AS26" i="37" s="1"/>
  <c r="AS65" i="37"/>
  <c r="AS27" i="37" s="1"/>
  <c r="AS66" i="37"/>
  <c r="AS28" i="37" s="1"/>
  <c r="AS67" i="37"/>
  <c r="AS68" i="37"/>
  <c r="AS69" i="37"/>
  <c r="AS34" i="37" s="1"/>
  <c r="AS70" i="37"/>
  <c r="AS35" i="37" s="1"/>
  <c r="AS71" i="37"/>
  <c r="AS36" i="37" s="1"/>
  <c r="AS72" i="37"/>
  <c r="AS37" i="37" s="1"/>
  <c r="AR51" i="37"/>
  <c r="AR17" i="37" s="1"/>
  <c r="AR52" i="37"/>
  <c r="AR18" i="37" s="1"/>
  <c r="AR55" i="37"/>
  <c r="AR19" i="37" s="1"/>
  <c r="AR58" i="37"/>
  <c r="AR21" i="37" s="1"/>
  <c r="AR60" i="37"/>
  <c r="AR22" i="37" s="1"/>
  <c r="AR61" i="37"/>
  <c r="AR23" i="37" s="1"/>
  <c r="AR62" i="37"/>
  <c r="AR24" i="37" s="1"/>
  <c r="AR63" i="37"/>
  <c r="AR25" i="37" s="1"/>
  <c r="AR64" i="37"/>
  <c r="AR26" i="37" s="1"/>
  <c r="AR65" i="37"/>
  <c r="AR27" i="37" s="1"/>
  <c r="AR66" i="37"/>
  <c r="AR28" i="37" s="1"/>
  <c r="AR67" i="37"/>
  <c r="AR68" i="37"/>
  <c r="AR69" i="37"/>
  <c r="AR34" i="37" s="1"/>
  <c r="AR70" i="37"/>
  <c r="AR35" i="37" s="1"/>
  <c r="AR71" i="37"/>
  <c r="AR36" i="37" s="1"/>
  <c r="AR72" i="37"/>
  <c r="AR37" i="37" s="1"/>
  <c r="AR50" i="37"/>
  <c r="AR16" i="37" s="1"/>
  <c r="O9" i="1" l="1"/>
  <c r="N37" i="1"/>
  <c r="N36" i="1"/>
  <c r="N35" i="1"/>
  <c r="N38" i="1"/>
  <c r="AR33" i="37"/>
  <c r="AR30" i="37"/>
  <c r="AS32" i="37"/>
  <c r="AS29" i="37"/>
  <c r="AR32" i="37"/>
  <c r="AR29" i="37"/>
  <c r="AS33" i="37"/>
  <c r="AS30" i="37"/>
  <c r="AT20" i="37"/>
  <c r="AS85" i="37"/>
  <c r="N39" i="1" l="1"/>
  <c r="P9" i="1"/>
  <c r="O38" i="1"/>
  <c r="O37" i="1"/>
  <c r="O36" i="1"/>
  <c r="O35" i="1"/>
  <c r="H1111" i="6"/>
  <c r="AT77" i="37"/>
  <c r="O39" i="1" l="1"/>
  <c r="P38" i="1"/>
  <c r="P37" i="1"/>
  <c r="P36" i="1"/>
  <c r="P35" i="1"/>
  <c r="Z14" i="37"/>
  <c r="AA13" i="37"/>
  <c r="AB13" i="37" s="1"/>
  <c r="AC13" i="37" s="1"/>
  <c r="AD13" i="37" s="1"/>
  <c r="AE13" i="37" s="1"/>
  <c r="AF13" i="37" s="1"/>
  <c r="AG13" i="37" s="1"/>
  <c r="AH13" i="37" s="1"/>
  <c r="I12" i="37"/>
  <c r="AR57" i="37" s="1"/>
  <c r="P39" i="1" l="1"/>
  <c r="AR85" i="37"/>
  <c r="AR20" i="37"/>
  <c r="AT75" i="37"/>
  <c r="AT74" i="37"/>
  <c r="BI127" i="9" l="1"/>
  <c r="BD127" i="9"/>
  <c r="BD128" i="9"/>
  <c r="BD129" i="9"/>
  <c r="BD132" i="9"/>
  <c r="BD130" i="9"/>
  <c r="BD133" i="9"/>
  <c r="AY127" i="9"/>
  <c r="AY133" i="9"/>
  <c r="AT127" i="9"/>
  <c r="AT128" i="9"/>
  <c r="AT129" i="9"/>
  <c r="AT132" i="9"/>
  <c r="AT130" i="9"/>
  <c r="AT133" i="9"/>
  <c r="AO127" i="9"/>
  <c r="AO128" i="9"/>
  <c r="AO129" i="9"/>
  <c r="AO132" i="9"/>
  <c r="AO130" i="9"/>
  <c r="AO133" i="9"/>
  <c r="AE127" i="9"/>
  <c r="AE128" i="9"/>
  <c r="AE129" i="9"/>
  <c r="AE132" i="9"/>
  <c r="AE130" i="9"/>
  <c r="AE133" i="9"/>
  <c r="AJ127" i="9"/>
  <c r="AJ128" i="9"/>
  <c r="AJ129" i="9"/>
  <c r="AJ132" i="9"/>
  <c r="AJ130" i="9"/>
  <c r="AJ133" i="9"/>
  <c r="G120" i="9" l="1"/>
  <c r="M27" i="37"/>
  <c r="AV74" i="37" s="1"/>
  <c r="Z120" i="9"/>
  <c r="L27" i="37"/>
  <c r="AU74" i="37" s="1"/>
  <c r="U120" i="9"/>
  <c r="L28" i="37"/>
  <c r="AU75" i="37" s="1"/>
  <c r="U121" i="9"/>
  <c r="BZ121" i="9"/>
  <c r="CL120" i="9"/>
  <c r="G121" i="9" l="1"/>
  <c r="M28" i="37"/>
  <c r="AV75" i="37" s="1"/>
  <c r="Z121" i="9"/>
  <c r="CL121" i="9"/>
  <c r="H120" i="9"/>
  <c r="N27" i="37"/>
  <c r="AE120" i="9"/>
  <c r="CA121" i="9"/>
  <c r="CM121" i="9"/>
  <c r="BZ120" i="9"/>
  <c r="K60" i="37"/>
  <c r="O27" i="37" l="1"/>
  <c r="AJ120" i="9"/>
  <c r="H121" i="9"/>
  <c r="N28" i="37"/>
  <c r="AE121" i="9"/>
  <c r="CB121" i="9"/>
  <c r="CN121" i="9"/>
  <c r="CM120" i="9"/>
  <c r="CA120" i="9"/>
  <c r="O28" i="37" l="1"/>
  <c r="AJ121" i="9"/>
  <c r="CO121" i="9"/>
  <c r="CC121" i="9"/>
  <c r="CB120" i="9"/>
  <c r="CN120" i="9"/>
  <c r="CD121" i="9" l="1"/>
  <c r="CC120" i="9"/>
  <c r="CO120" i="9"/>
  <c r="CE121" i="9" l="1"/>
  <c r="CD120" i="9"/>
  <c r="W59" i="22"/>
  <c r="BP24" i="22"/>
  <c r="BP23" i="22"/>
  <c r="CB22" i="22"/>
  <c r="CB21" i="22"/>
  <c r="BP7" i="22"/>
  <c r="BO8" i="21"/>
  <c r="CL142" i="9"/>
  <c r="U94" i="9"/>
  <c r="U93" i="9"/>
  <c r="H1032" i="6"/>
  <c r="H1031" i="6"/>
  <c r="H1023" i="6" l="1"/>
  <c r="BP22" i="22"/>
  <c r="CC22" i="22" s="1"/>
  <c r="I1023" i="6"/>
  <c r="BZ145" i="9"/>
  <c r="CL145" i="9"/>
  <c r="BZ144" i="9"/>
  <c r="CL144" i="9"/>
  <c r="BZ142" i="9"/>
  <c r="CA21" i="21"/>
  <c r="CA8" i="21"/>
  <c r="CF121" i="9"/>
  <c r="CE120" i="9"/>
  <c r="CB7" i="22"/>
  <c r="BP21" i="22"/>
  <c r="BQ21" i="22" s="1"/>
  <c r="CD21" i="22" s="1"/>
  <c r="CB23" i="22"/>
  <c r="CC24" i="22"/>
  <c r="BQ24" i="22"/>
  <c r="CC23" i="22"/>
  <c r="BQ23" i="22"/>
  <c r="CB24" i="22"/>
  <c r="CC7" i="22"/>
  <c r="BQ7" i="22"/>
  <c r="CB8" i="21"/>
  <c r="BP8" i="21"/>
  <c r="A634" i="6"/>
  <c r="A627" i="6"/>
  <c r="B496" i="6"/>
  <c r="BQ22" i="22" l="1"/>
  <c r="BR22" i="22" s="1"/>
  <c r="BO21" i="21"/>
  <c r="CB21" i="21" s="1"/>
  <c r="BR21" i="22"/>
  <c r="CE21" i="22" s="1"/>
  <c r="C496" i="6"/>
  <c r="CA144" i="9"/>
  <c r="CM144" i="9"/>
  <c r="CA145" i="9"/>
  <c r="CM145" i="9"/>
  <c r="CA142" i="9"/>
  <c r="CM142" i="9"/>
  <c r="CG121" i="9"/>
  <c r="CF120" i="9"/>
  <c r="CC21" i="22"/>
  <c r="CD24" i="22"/>
  <c r="BR24" i="22"/>
  <c r="CD23" i="22"/>
  <c r="BR23" i="22"/>
  <c r="CD7" i="22"/>
  <c r="BR7" i="22"/>
  <c r="CC8" i="21"/>
  <c r="BQ8" i="21"/>
  <c r="CH121" i="9" l="1"/>
  <c r="CI121" i="9" s="1"/>
  <c r="CJ121" i="9" s="1"/>
  <c r="BP21" i="21"/>
  <c r="CC21" i="21" s="1"/>
  <c r="BS21" i="22"/>
  <c r="CF21" i="22" s="1"/>
  <c r="CD22" i="22"/>
  <c r="CB145" i="9"/>
  <c r="CN145" i="9"/>
  <c r="CB144" i="9"/>
  <c r="CN144" i="9"/>
  <c r="CB142" i="9"/>
  <c r="CN142" i="9"/>
  <c r="CG120" i="9"/>
  <c r="CE24" i="22"/>
  <c r="BS24" i="22"/>
  <c r="CE22" i="22"/>
  <c r="BS22" i="22"/>
  <c r="BS23" i="22"/>
  <c r="CE23" i="22"/>
  <c r="CE7" i="22"/>
  <c r="BS7" i="22"/>
  <c r="BR8" i="21"/>
  <c r="CD8" i="21"/>
  <c r="CH120" i="9" l="1"/>
  <c r="CI120" i="9" s="1"/>
  <c r="CJ120" i="9" s="1"/>
  <c r="BQ21" i="21"/>
  <c r="BR21" i="21" s="1"/>
  <c r="BT21" i="22"/>
  <c r="BU21" i="22" s="1"/>
  <c r="CC144" i="9"/>
  <c r="CO144" i="9"/>
  <c r="CC145" i="9"/>
  <c r="CO145" i="9"/>
  <c r="CC142" i="9"/>
  <c r="CO142" i="9"/>
  <c r="CF23" i="22"/>
  <c r="BT23" i="22"/>
  <c r="CF22" i="22"/>
  <c r="BT22" i="22"/>
  <c r="BT24" i="22"/>
  <c r="CF24" i="22"/>
  <c r="BT7" i="22"/>
  <c r="CF7" i="22"/>
  <c r="CD21" i="21"/>
  <c r="CE8" i="21"/>
  <c r="BS8" i="21"/>
  <c r="B358" i="34"/>
  <c r="B354" i="34"/>
  <c r="CG21" i="22" l="1"/>
  <c r="CD145" i="9"/>
  <c r="CP145" i="9"/>
  <c r="CD144" i="9"/>
  <c r="CP144" i="9"/>
  <c r="CD142" i="9"/>
  <c r="CP142" i="9"/>
  <c r="CG22" i="22"/>
  <c r="BU22" i="22"/>
  <c r="CG23" i="22"/>
  <c r="BU23" i="22"/>
  <c r="CG24" i="22"/>
  <c r="BU24" i="22"/>
  <c r="CH21" i="22"/>
  <c r="BV21" i="22"/>
  <c r="CG7" i="22"/>
  <c r="BU7" i="22"/>
  <c r="CE21" i="21"/>
  <c r="BS21" i="21"/>
  <c r="BT8" i="21"/>
  <c r="CF8" i="21"/>
  <c r="B287" i="34"/>
  <c r="CE144" i="9" l="1"/>
  <c r="CQ144" i="9"/>
  <c r="CE145" i="9"/>
  <c r="CQ145" i="9"/>
  <c r="CE142" i="9"/>
  <c r="CQ142" i="9"/>
  <c r="CI21" i="22"/>
  <c r="BW21" i="22"/>
  <c r="CH24" i="22"/>
  <c r="BV24" i="22"/>
  <c r="BV22" i="22"/>
  <c r="CH22" i="22"/>
  <c r="CH23" i="22"/>
  <c r="BV23" i="22"/>
  <c r="CH7" i="22"/>
  <c r="BV7" i="22"/>
  <c r="CF21" i="21"/>
  <c r="BT21" i="21"/>
  <c r="CG8" i="21"/>
  <c r="BU8" i="21"/>
  <c r="B323" i="34"/>
  <c r="CJ21" i="22" l="1"/>
  <c r="BX21" i="22"/>
  <c r="CF145" i="9"/>
  <c r="CR145" i="9"/>
  <c r="CF144" i="9"/>
  <c r="CR144" i="9"/>
  <c r="CF142" i="9"/>
  <c r="CR142" i="9"/>
  <c r="BW23" i="22"/>
  <c r="CI23" i="22"/>
  <c r="CI22" i="22"/>
  <c r="BW22" i="22"/>
  <c r="CI24" i="22"/>
  <c r="BW24" i="22"/>
  <c r="CI7" i="22"/>
  <c r="BW7" i="22"/>
  <c r="CG21" i="21"/>
  <c r="BU21" i="21"/>
  <c r="CH8" i="21"/>
  <c r="BV8" i="21"/>
  <c r="CK21" i="22" l="1"/>
  <c r="BY21" i="22"/>
  <c r="CJ7" i="22"/>
  <c r="BX7" i="22"/>
  <c r="CJ22" i="22"/>
  <c r="BX22" i="22"/>
  <c r="CJ23" i="22"/>
  <c r="BX23" i="22"/>
  <c r="CJ24" i="22"/>
  <c r="BX24" i="22"/>
  <c r="CI8" i="21"/>
  <c r="BW8" i="21"/>
  <c r="CG144" i="9"/>
  <c r="CS144" i="9"/>
  <c r="CG145" i="9"/>
  <c r="CS145" i="9"/>
  <c r="CG142" i="9"/>
  <c r="CS142" i="9"/>
  <c r="CH21" i="21"/>
  <c r="BV21" i="21"/>
  <c r="C567" i="34"/>
  <c r="CL21" i="22" l="1"/>
  <c r="BZ21" i="22"/>
  <c r="CJ8" i="21"/>
  <c r="BX8" i="21"/>
  <c r="CK24" i="22"/>
  <c r="BY24" i="22"/>
  <c r="CK22" i="22"/>
  <c r="BY22" i="22"/>
  <c r="CK23" i="22"/>
  <c r="BY23" i="22"/>
  <c r="CK7" i="22"/>
  <c r="BY7" i="22"/>
  <c r="CI21" i="21"/>
  <c r="BW21" i="21"/>
  <c r="CT145" i="9"/>
  <c r="CH145" i="9"/>
  <c r="CT142" i="9"/>
  <c r="CH142" i="9"/>
  <c r="CT144" i="9"/>
  <c r="CH144" i="9"/>
  <c r="A253" i="3"/>
  <c r="CL22" i="22" l="1"/>
  <c r="BZ22" i="22"/>
  <c r="CL7" i="22"/>
  <c r="BZ7" i="22"/>
  <c r="CL23" i="22"/>
  <c r="BZ23" i="22"/>
  <c r="CL24" i="22"/>
  <c r="BZ24" i="22"/>
  <c r="CK8" i="21"/>
  <c r="BY8" i="21"/>
  <c r="CJ21" i="21"/>
  <c r="BX21" i="21"/>
  <c r="CU142" i="9"/>
  <c r="CI142" i="9"/>
  <c r="CU144" i="9"/>
  <c r="CI144" i="9"/>
  <c r="CU145" i="9"/>
  <c r="CI145" i="9"/>
  <c r="E706" i="34"/>
  <c r="E211" i="34" s="1"/>
  <c r="E823" i="34" s="1"/>
  <c r="D706" i="34"/>
  <c r="D211" i="34" s="1"/>
  <c r="D823" i="34" s="1"/>
  <c r="C706" i="34"/>
  <c r="C211" i="34" s="1"/>
  <c r="C793" i="34" s="1"/>
  <c r="C799" i="34" s="1"/>
  <c r="B706" i="34"/>
  <c r="B211" i="34" s="1"/>
  <c r="CV144" i="9" l="1"/>
  <c r="CJ144" i="9"/>
  <c r="CW144" i="9" s="1"/>
  <c r="CV145" i="9"/>
  <c r="CJ145" i="9"/>
  <c r="CW145" i="9" s="1"/>
  <c r="CV142" i="9"/>
  <c r="CJ142" i="9"/>
  <c r="CW142" i="9" s="1"/>
  <c r="CK21" i="21"/>
  <c r="BY21" i="21"/>
  <c r="D793" i="34"/>
  <c r="D799" i="34" s="1"/>
  <c r="D813" i="34"/>
  <c r="B258" i="3" s="1"/>
  <c r="E793" i="34"/>
  <c r="E799" i="34" s="1"/>
  <c r="E813" i="34"/>
  <c r="C258" i="3" s="1"/>
  <c r="C699" i="34"/>
  <c r="C693" i="34"/>
  <c r="C662" i="34"/>
  <c r="M571" i="34"/>
  <c r="L571" i="34"/>
  <c r="K571" i="34"/>
  <c r="J571" i="34"/>
  <c r="I571" i="34"/>
  <c r="H571" i="34"/>
  <c r="G571" i="34"/>
  <c r="F571" i="34"/>
  <c r="E571" i="34"/>
  <c r="D571" i="34"/>
  <c r="C571" i="34"/>
  <c r="B571" i="34"/>
  <c r="B570" i="34"/>
  <c r="B569" i="34"/>
  <c r="M568" i="34"/>
  <c r="L568" i="34"/>
  <c r="K568" i="34"/>
  <c r="J568" i="34"/>
  <c r="I568" i="34"/>
  <c r="H568" i="34"/>
  <c r="G568" i="34"/>
  <c r="F568" i="34"/>
  <c r="E568" i="34"/>
  <c r="D568" i="34"/>
  <c r="C568" i="34"/>
  <c r="B568" i="34"/>
  <c r="M567" i="34"/>
  <c r="L567" i="34"/>
  <c r="K567" i="34"/>
  <c r="J567" i="34"/>
  <c r="I567" i="34"/>
  <c r="H567" i="34"/>
  <c r="G567" i="34"/>
  <c r="F567" i="34"/>
  <c r="E567" i="34"/>
  <c r="D567" i="34"/>
  <c r="B567" i="34"/>
  <c r="B566" i="34"/>
  <c r="B573" i="34"/>
  <c r="B699" i="34" s="1"/>
  <c r="D557" i="34"/>
  <c r="C557" i="34"/>
  <c r="B557" i="34"/>
  <c r="B556" i="34"/>
  <c r="B555" i="34"/>
  <c r="M554" i="34"/>
  <c r="L554" i="34"/>
  <c r="K554" i="34"/>
  <c r="J554" i="34"/>
  <c r="I554" i="34"/>
  <c r="H554" i="34"/>
  <c r="G554" i="34"/>
  <c r="F554" i="34"/>
  <c r="E554" i="34"/>
  <c r="D554" i="34"/>
  <c r="C554" i="34"/>
  <c r="B554" i="34"/>
  <c r="E553" i="34"/>
  <c r="D553" i="34"/>
  <c r="C553" i="34"/>
  <c r="B553" i="34"/>
  <c r="B552" i="34"/>
  <c r="B558" i="34"/>
  <c r="B693" i="34" s="1"/>
  <c r="B541" i="34"/>
  <c r="M542" i="34"/>
  <c r="L542" i="34"/>
  <c r="K542" i="34"/>
  <c r="J542" i="34"/>
  <c r="I542" i="34"/>
  <c r="H542" i="34"/>
  <c r="G542" i="34"/>
  <c r="F542" i="34"/>
  <c r="E542" i="34"/>
  <c r="D542" i="34"/>
  <c r="M541" i="34"/>
  <c r="L541" i="34"/>
  <c r="K541" i="34"/>
  <c r="J541" i="34"/>
  <c r="I541" i="34"/>
  <c r="H541" i="34"/>
  <c r="G541" i="34"/>
  <c r="F541" i="34"/>
  <c r="E541" i="34"/>
  <c r="D541" i="34"/>
  <c r="M538" i="34"/>
  <c r="L538" i="34"/>
  <c r="K538" i="34"/>
  <c r="J538" i="34"/>
  <c r="I538" i="34"/>
  <c r="H538" i="34"/>
  <c r="G538" i="34"/>
  <c r="F538" i="34"/>
  <c r="E538" i="34"/>
  <c r="D538" i="34"/>
  <c r="M537" i="34"/>
  <c r="L537" i="34"/>
  <c r="K537" i="34"/>
  <c r="J537" i="34"/>
  <c r="I537" i="34"/>
  <c r="H537" i="34"/>
  <c r="G537" i="34"/>
  <c r="F537" i="34"/>
  <c r="E537" i="34"/>
  <c r="D537" i="34"/>
  <c r="C542" i="34"/>
  <c r="C541" i="34"/>
  <c r="C538" i="34"/>
  <c r="C537" i="34"/>
  <c r="B542" i="34"/>
  <c r="B540" i="34"/>
  <c r="B539" i="34"/>
  <c r="B537" i="34"/>
  <c r="B536" i="34"/>
  <c r="C550" i="34"/>
  <c r="B550" i="34"/>
  <c r="C549" i="34"/>
  <c r="B549" i="34"/>
  <c r="C564" i="34"/>
  <c r="C572" i="34" s="1"/>
  <c r="B564" i="34"/>
  <c r="B572" i="34" s="1"/>
  <c r="C563" i="34"/>
  <c r="B563" i="34"/>
  <c r="C534" i="34"/>
  <c r="B534" i="34"/>
  <c r="B533" i="34"/>
  <c r="M526" i="34"/>
  <c r="L526" i="34"/>
  <c r="K526" i="34"/>
  <c r="J526" i="34"/>
  <c r="I526" i="34"/>
  <c r="H526" i="34"/>
  <c r="G526" i="34"/>
  <c r="F526" i="34"/>
  <c r="E526" i="34"/>
  <c r="D526" i="34"/>
  <c r="B526" i="34"/>
  <c r="D525" i="34"/>
  <c r="B525" i="34"/>
  <c r="B524" i="34"/>
  <c r="B520" i="34"/>
  <c r="C526" i="34"/>
  <c r="C525" i="34"/>
  <c r="C543" i="34" l="1"/>
  <c r="C518" i="34"/>
  <c r="B543" i="34"/>
  <c r="B518" i="34"/>
  <c r="B517" i="34"/>
  <c r="B574" i="34"/>
  <c r="B559" i="34"/>
  <c r="C527" i="34" l="1"/>
  <c r="B527" i="34"/>
  <c r="C565" i="34"/>
  <c r="B565" i="34"/>
  <c r="B575" i="34" s="1"/>
  <c r="B255" i="34" s="1"/>
  <c r="C551" i="34"/>
  <c r="C560" i="34" s="1"/>
  <c r="C253" i="34" s="1"/>
  <c r="B551" i="34"/>
  <c r="B560" i="34" s="1"/>
  <c r="B253" i="34" s="1"/>
  <c r="B535" i="34"/>
  <c r="B519" i="34" l="1"/>
  <c r="B353" i="34"/>
  <c r="M352" i="34"/>
  <c r="L352" i="34"/>
  <c r="K352" i="34"/>
  <c r="J352" i="34"/>
  <c r="I352" i="34"/>
  <c r="H352" i="34"/>
  <c r="G352" i="34"/>
  <c r="F352" i="34"/>
  <c r="E352" i="34"/>
  <c r="D352" i="34"/>
  <c r="E351" i="34"/>
  <c r="D351" i="34"/>
  <c r="B351" i="34"/>
  <c r="B392" i="34"/>
  <c r="B509" i="34" s="1"/>
  <c r="M391" i="34"/>
  <c r="M508" i="34" s="1"/>
  <c r="L391" i="34"/>
  <c r="L508" i="34" s="1"/>
  <c r="K391" i="34"/>
  <c r="K508" i="34" s="1"/>
  <c r="J391" i="34"/>
  <c r="J508" i="34" s="1"/>
  <c r="I391" i="34"/>
  <c r="I508" i="34" s="1"/>
  <c r="H391" i="34"/>
  <c r="H508" i="34" s="1"/>
  <c r="G391" i="34"/>
  <c r="G508" i="34" s="1"/>
  <c r="F391" i="34"/>
  <c r="F508" i="34" s="1"/>
  <c r="E391" i="34"/>
  <c r="E508" i="34" s="1"/>
  <c r="D391" i="34"/>
  <c r="D508" i="34" s="1"/>
  <c r="C391" i="34"/>
  <c r="B391" i="34"/>
  <c r="M390" i="34"/>
  <c r="L390" i="34"/>
  <c r="K390" i="34"/>
  <c r="J390" i="34"/>
  <c r="I390" i="34"/>
  <c r="H390" i="34"/>
  <c r="G390" i="34"/>
  <c r="F390" i="34"/>
  <c r="E390" i="34"/>
  <c r="D390" i="34"/>
  <c r="C390" i="34"/>
  <c r="B390" i="34"/>
  <c r="B389" i="34"/>
  <c r="B506" i="34" s="1"/>
  <c r="M378" i="34"/>
  <c r="L378" i="34"/>
  <c r="K378" i="34"/>
  <c r="J378" i="34"/>
  <c r="I378" i="34"/>
  <c r="H378" i="34"/>
  <c r="G378" i="34"/>
  <c r="F378" i="34"/>
  <c r="E378" i="34"/>
  <c r="D378" i="34"/>
  <c r="C378" i="34"/>
  <c r="B378" i="34"/>
  <c r="E377" i="34"/>
  <c r="D377" i="34"/>
  <c r="C377" i="34"/>
  <c r="B377" i="34"/>
  <c r="B379" i="34"/>
  <c r="B497" i="34" s="1"/>
  <c r="B376" i="34"/>
  <c r="B494" i="34" s="1"/>
  <c r="D471" i="34" l="1"/>
  <c r="D521" i="34"/>
  <c r="D472" i="34"/>
  <c r="D522" i="34"/>
  <c r="H472" i="34"/>
  <c r="H522" i="34"/>
  <c r="L472" i="34"/>
  <c r="L522" i="34"/>
  <c r="E471" i="34"/>
  <c r="E521" i="34"/>
  <c r="E472" i="34"/>
  <c r="E522" i="34"/>
  <c r="I472" i="34"/>
  <c r="I522" i="34"/>
  <c r="M472" i="34"/>
  <c r="M522" i="34"/>
  <c r="B471" i="34"/>
  <c r="B521" i="34"/>
  <c r="F472" i="34"/>
  <c r="F522" i="34"/>
  <c r="J472" i="34"/>
  <c r="J522" i="34"/>
  <c r="B473" i="34"/>
  <c r="B523" i="34"/>
  <c r="G472" i="34"/>
  <c r="G522" i="34"/>
  <c r="K472" i="34"/>
  <c r="K522" i="34"/>
  <c r="J383" i="34"/>
  <c r="J496" i="34"/>
  <c r="F395" i="34"/>
  <c r="F507" i="34"/>
  <c r="C383" i="34"/>
  <c r="C496" i="34"/>
  <c r="C395" i="34"/>
  <c r="C507" i="34"/>
  <c r="C396" i="34"/>
  <c r="C508" i="34"/>
  <c r="D382" i="34"/>
  <c r="D495" i="34"/>
  <c r="D383" i="34"/>
  <c r="D496" i="34"/>
  <c r="H383" i="34"/>
  <c r="H496" i="34"/>
  <c r="L383" i="34"/>
  <c r="L496" i="34"/>
  <c r="D395" i="34"/>
  <c r="D507" i="34"/>
  <c r="H395" i="34"/>
  <c r="H507" i="34"/>
  <c r="L395" i="34"/>
  <c r="L507" i="34"/>
  <c r="B383" i="34"/>
  <c r="B496" i="34"/>
  <c r="F383" i="34"/>
  <c r="F496" i="34"/>
  <c r="B395" i="34"/>
  <c r="B507" i="34"/>
  <c r="J395" i="34"/>
  <c r="J507" i="34"/>
  <c r="B396" i="34"/>
  <c r="B508" i="34"/>
  <c r="C382" i="34"/>
  <c r="C495" i="34"/>
  <c r="G383" i="34"/>
  <c r="G496" i="34"/>
  <c r="K383" i="34"/>
  <c r="K496" i="34"/>
  <c r="G395" i="34"/>
  <c r="G507" i="34"/>
  <c r="K395" i="34"/>
  <c r="K507" i="34"/>
  <c r="E382" i="34"/>
  <c r="E495" i="34"/>
  <c r="E383" i="34"/>
  <c r="E496" i="34"/>
  <c r="I383" i="34"/>
  <c r="I496" i="34"/>
  <c r="M383" i="34"/>
  <c r="M496" i="34"/>
  <c r="E395" i="34"/>
  <c r="E507" i="34"/>
  <c r="I395" i="34"/>
  <c r="I507" i="34"/>
  <c r="M395" i="34"/>
  <c r="M507" i="34"/>
  <c r="B382" i="34"/>
  <c r="B495" i="34"/>
  <c r="B394" i="34"/>
  <c r="B397" i="34" l="1"/>
  <c r="B398" i="34" s="1"/>
  <c r="B384" i="34"/>
  <c r="B381" i="34" l="1"/>
  <c r="B385" i="34" s="1"/>
  <c r="E661" i="34" l="1"/>
  <c r="D661" i="34"/>
  <c r="D662" i="34" s="1"/>
  <c r="M365" i="34"/>
  <c r="M484" i="34" s="1"/>
  <c r="L365" i="34"/>
  <c r="L484" i="34" s="1"/>
  <c r="K365" i="34"/>
  <c r="K484" i="34" s="1"/>
  <c r="J365" i="34"/>
  <c r="J484" i="34" s="1"/>
  <c r="I365" i="34"/>
  <c r="I484" i="34" s="1"/>
  <c r="H365" i="34"/>
  <c r="H484" i="34" s="1"/>
  <c r="G365" i="34"/>
  <c r="G484" i="34" s="1"/>
  <c r="F365" i="34"/>
  <c r="F484" i="34" s="1"/>
  <c r="E365" i="34"/>
  <c r="E484" i="34" s="1"/>
  <c r="D365" i="34"/>
  <c r="D484" i="34" s="1"/>
  <c r="C365" i="34"/>
  <c r="M364" i="34"/>
  <c r="L364" i="34"/>
  <c r="K364" i="34"/>
  <c r="J364" i="34"/>
  <c r="I364" i="34"/>
  <c r="H364" i="34"/>
  <c r="G364" i="34"/>
  <c r="F364" i="34"/>
  <c r="E364" i="34"/>
  <c r="D364" i="34"/>
  <c r="C364" i="34"/>
  <c r="C351" i="34" s="1"/>
  <c r="B364" i="34"/>
  <c r="M656" i="34"/>
  <c r="L656" i="34"/>
  <c r="K656" i="34"/>
  <c r="J656" i="34"/>
  <c r="I656" i="34"/>
  <c r="H656" i="34"/>
  <c r="G656" i="34"/>
  <c r="F656" i="34"/>
  <c r="E656" i="34"/>
  <c r="D656" i="34"/>
  <c r="C656" i="34"/>
  <c r="B656" i="34"/>
  <c r="M655" i="34"/>
  <c r="L655" i="34"/>
  <c r="K655" i="34"/>
  <c r="J655" i="34"/>
  <c r="I655" i="34"/>
  <c r="H655" i="34"/>
  <c r="G655" i="34"/>
  <c r="F655" i="34"/>
  <c r="E655" i="34"/>
  <c r="D655" i="34"/>
  <c r="C655" i="34"/>
  <c r="B655" i="34"/>
  <c r="B654" i="34"/>
  <c r="B350" i="34"/>
  <c r="B470" i="34" s="1"/>
  <c r="B366" i="34"/>
  <c r="B485" i="34" s="1"/>
  <c r="B363" i="34"/>
  <c r="B482" i="34" s="1"/>
  <c r="M370" i="34"/>
  <c r="L370" i="34"/>
  <c r="K370" i="34"/>
  <c r="J370" i="34"/>
  <c r="I370" i="34"/>
  <c r="H370" i="34"/>
  <c r="G370" i="34"/>
  <c r="F370" i="34"/>
  <c r="E370" i="34"/>
  <c r="D370" i="34"/>
  <c r="C370" i="34"/>
  <c r="C357" i="34" s="1"/>
  <c r="C484" i="34" l="1"/>
  <c r="C352" i="34"/>
  <c r="C521" i="34"/>
  <c r="C471" i="34"/>
  <c r="E662" i="34"/>
  <c r="H369" i="34"/>
  <c r="H483" i="34"/>
  <c r="L369" i="34"/>
  <c r="L483" i="34"/>
  <c r="E369" i="34"/>
  <c r="E483" i="34"/>
  <c r="I369" i="34"/>
  <c r="I483" i="34"/>
  <c r="M369" i="34"/>
  <c r="M483" i="34"/>
  <c r="B369" i="34"/>
  <c r="B483" i="34"/>
  <c r="F369" i="34"/>
  <c r="F483" i="34"/>
  <c r="J369" i="34"/>
  <c r="J483" i="34"/>
  <c r="D369" i="34"/>
  <c r="D483" i="34"/>
  <c r="C369" i="34"/>
  <c r="C356" i="34" s="1"/>
  <c r="C483" i="34"/>
  <c r="G369" i="34"/>
  <c r="G483" i="34"/>
  <c r="K369" i="34"/>
  <c r="K483" i="34"/>
  <c r="B657" i="34"/>
  <c r="B664" i="34" s="1"/>
  <c r="B667" i="34" s="1"/>
  <c r="B220" i="34" s="1"/>
  <c r="C522" i="34" l="1"/>
  <c r="C472" i="34"/>
  <c r="B305" i="34" l="1"/>
  <c r="B538" i="34" l="1"/>
  <c r="B545" i="34" s="1"/>
  <c r="B546" i="34" s="1"/>
  <c r="B251" i="34" s="1"/>
  <c r="B289" i="34"/>
  <c r="B370" i="34"/>
  <c r="B365" i="34"/>
  <c r="B291" i="34"/>
  <c r="B337" i="34"/>
  <c r="B341" i="34"/>
  <c r="B313" i="34"/>
  <c r="B308" i="34"/>
  <c r="B315" i="34" s="1"/>
  <c r="B327" i="34"/>
  <c r="D631" i="34"/>
  <c r="E631" i="34" s="1"/>
  <c r="D637" i="34"/>
  <c r="D643" i="34"/>
  <c r="D649" i="34"/>
  <c r="C638" i="34"/>
  <c r="D618" i="34"/>
  <c r="E618" i="34" s="1"/>
  <c r="D617" i="34"/>
  <c r="E617" i="34" s="1"/>
  <c r="D594" i="34"/>
  <c r="D593" i="34"/>
  <c r="E593" i="34" s="1"/>
  <c r="D592" i="34"/>
  <c r="A347" i="34"/>
  <c r="D426" i="34"/>
  <c r="D421" i="34"/>
  <c r="D412" i="34"/>
  <c r="C700" i="34"/>
  <c r="C206" i="34" s="1"/>
  <c r="B700" i="34"/>
  <c r="B206" i="34" s="1"/>
  <c r="C694" i="34"/>
  <c r="C203" i="34" s="1"/>
  <c r="C207" i="34" l="1"/>
  <c r="E592" i="34"/>
  <c r="D580" i="34"/>
  <c r="B352" i="34"/>
  <c r="B357" i="34"/>
  <c r="E649" i="34"/>
  <c r="E643" i="34"/>
  <c r="E637" i="34"/>
  <c r="B297" i="34"/>
  <c r="B371" i="34"/>
  <c r="B368" i="34"/>
  <c r="B484" i="34"/>
  <c r="I396" i="34"/>
  <c r="M396" i="34"/>
  <c r="D396" i="34"/>
  <c r="F396" i="34"/>
  <c r="J396" i="34"/>
  <c r="G396" i="34"/>
  <c r="K396" i="34"/>
  <c r="E396" i="34"/>
  <c r="H396" i="34"/>
  <c r="L396" i="34"/>
  <c r="B314" i="34"/>
  <c r="B316" i="34" s="1"/>
  <c r="B328" i="34"/>
  <c r="B329" i="34"/>
  <c r="B343" i="34"/>
  <c r="B342" i="34"/>
  <c r="B296" i="34"/>
  <c r="F617" i="34"/>
  <c r="F618" i="34"/>
  <c r="G618" i="34" s="1"/>
  <c r="E604" i="34"/>
  <c r="F604" i="34" s="1"/>
  <c r="F593" i="34"/>
  <c r="G593" i="34" s="1"/>
  <c r="E594" i="34"/>
  <c r="F592" i="34"/>
  <c r="B694" i="34"/>
  <c r="B203" i="34" s="1"/>
  <c r="C204" i="34" s="1"/>
  <c r="B472" i="34" l="1"/>
  <c r="B522" i="34"/>
  <c r="B529" i="34" s="1"/>
  <c r="B530" i="34" s="1"/>
  <c r="B249" i="34" s="1"/>
  <c r="B355" i="34"/>
  <c r="B359" i="34" s="1"/>
  <c r="E580" i="34"/>
  <c r="B344" i="34"/>
  <c r="B330" i="34"/>
  <c r="B372" i="34"/>
  <c r="B186" i="34" s="1"/>
  <c r="H618" i="34"/>
  <c r="G617" i="34"/>
  <c r="F616" i="34"/>
  <c r="F580" i="34" s="1"/>
  <c r="F594" i="34"/>
  <c r="H593" i="34"/>
  <c r="G592" i="34"/>
  <c r="G594" i="34" l="1"/>
  <c r="H594" i="34" s="1"/>
  <c r="H617" i="34"/>
  <c r="I617" i="34" s="1"/>
  <c r="I618" i="34"/>
  <c r="J618" i="34" s="1"/>
  <c r="G616" i="34"/>
  <c r="G580" i="34" s="1"/>
  <c r="H604" i="34"/>
  <c r="I604" i="34" s="1"/>
  <c r="I593" i="34"/>
  <c r="H592" i="34"/>
  <c r="I594" i="34" l="1"/>
  <c r="J617" i="34"/>
  <c r="K617" i="34" s="1"/>
  <c r="K618" i="34"/>
  <c r="H616" i="34"/>
  <c r="I616" i="34" s="1"/>
  <c r="J604" i="34"/>
  <c r="J593" i="34"/>
  <c r="I592" i="34"/>
  <c r="J594" i="34" l="1"/>
  <c r="J592" i="34"/>
  <c r="K592" i="34" s="1"/>
  <c r="L617" i="34"/>
  <c r="L618" i="34"/>
  <c r="J616" i="34"/>
  <c r="K604" i="34"/>
  <c r="K593" i="34"/>
  <c r="J580" i="34" l="1"/>
  <c r="M618" i="34"/>
  <c r="N618" i="34" s="1"/>
  <c r="O618" i="34" s="1"/>
  <c r="K594" i="34"/>
  <c r="L594" i="34" s="1"/>
  <c r="M617" i="34"/>
  <c r="N617" i="34" s="1"/>
  <c r="L592" i="34"/>
  <c r="L593" i="34"/>
  <c r="L604" i="34"/>
  <c r="K616" i="34"/>
  <c r="K580" i="34" s="1"/>
  <c r="O617" i="34" l="1"/>
  <c r="M592" i="34"/>
  <c r="N592" i="34" s="1"/>
  <c r="M594" i="34"/>
  <c r="N594" i="34" s="1"/>
  <c r="O594" i="34" s="1"/>
  <c r="M604" i="34"/>
  <c r="N604" i="34" s="1"/>
  <c r="M593" i="34"/>
  <c r="L616" i="34"/>
  <c r="L580" i="34" s="1"/>
  <c r="O604" i="34" l="1"/>
  <c r="M616" i="34"/>
  <c r="N616" i="34" s="1"/>
  <c r="N619" i="34" s="1"/>
  <c r="N593" i="34"/>
  <c r="O593" i="34" s="1"/>
  <c r="O592" i="34"/>
  <c r="C6" i="26"/>
  <c r="M580" i="34" l="1"/>
  <c r="O595" i="34"/>
  <c r="O616" i="34"/>
  <c r="O619" i="34" s="1"/>
  <c r="N580" i="34"/>
  <c r="N595" i="34"/>
  <c r="B281" i="34"/>
  <c r="B280" i="34"/>
  <c r="B279" i="34"/>
  <c r="A223" i="34"/>
  <c r="A401" i="34" s="1"/>
  <c r="O580" i="34" l="1"/>
  <c r="H263" i="8"/>
  <c r="H264" i="8"/>
  <c r="I264" i="8" l="1"/>
  <c r="J264" i="8" s="1"/>
  <c r="K264" i="8" s="1"/>
  <c r="L264" i="8" s="1"/>
  <c r="M264" i="8" s="1"/>
  <c r="N264" i="8" s="1"/>
  <c r="O264" i="8" s="1"/>
  <c r="P264" i="8" s="1"/>
  <c r="Q264" i="8" s="1"/>
  <c r="R264" i="8" s="1"/>
  <c r="I263" i="8"/>
  <c r="G59" i="8"/>
  <c r="H59" i="8" s="1"/>
  <c r="J263" i="8" l="1"/>
  <c r="I59" i="8"/>
  <c r="C265" i="34"/>
  <c r="B265" i="34"/>
  <c r="C263" i="34"/>
  <c r="B263" i="34"/>
  <c r="C261" i="34"/>
  <c r="B638" i="34"/>
  <c r="B261" i="34" s="1"/>
  <c r="B632" i="34"/>
  <c r="B259" i="34" s="1"/>
  <c r="C632" i="34"/>
  <c r="C259" i="34" s="1"/>
  <c r="C161" i="34"/>
  <c r="B161" i="34"/>
  <c r="B493" i="34"/>
  <c r="B498" i="34"/>
  <c r="B505" i="34"/>
  <c r="B510" i="34"/>
  <c r="B192" i="34"/>
  <c r="B189" i="34"/>
  <c r="B183" i="34"/>
  <c r="C598" i="34"/>
  <c r="B598" i="34"/>
  <c r="C595" i="34"/>
  <c r="B595" i="34"/>
  <c r="C610" i="34"/>
  <c r="B610" i="34"/>
  <c r="C607" i="34"/>
  <c r="B607" i="34"/>
  <c r="D606" i="34"/>
  <c r="D605" i="34"/>
  <c r="C622" i="34"/>
  <c r="B622" i="34"/>
  <c r="C619" i="34"/>
  <c r="B619" i="34"/>
  <c r="D454" i="34"/>
  <c r="D439" i="34"/>
  <c r="D427" i="34"/>
  <c r="C420" i="34"/>
  <c r="E606" i="34" l="1"/>
  <c r="D582" i="34"/>
  <c r="E605" i="34"/>
  <c r="E581" i="34" s="1"/>
  <c r="D581" i="34"/>
  <c r="K263" i="8"/>
  <c r="J59" i="8"/>
  <c r="B499" i="34"/>
  <c r="B232" i="34" s="1"/>
  <c r="B511" i="34"/>
  <c r="B235" i="34" s="1"/>
  <c r="C600" i="34"/>
  <c r="C241" i="34" s="1"/>
  <c r="D595" i="34"/>
  <c r="B600" i="34"/>
  <c r="B241" i="34" s="1"/>
  <c r="E595" i="34"/>
  <c r="B624" i="34"/>
  <c r="B245" i="34" s="1"/>
  <c r="D619" i="34"/>
  <c r="C624" i="34"/>
  <c r="C245" i="34" s="1"/>
  <c r="B612" i="34"/>
  <c r="B243" i="34" s="1"/>
  <c r="D607" i="34"/>
  <c r="C612" i="34"/>
  <c r="C243" i="34" s="1"/>
  <c r="F606" i="34" l="1"/>
  <c r="E582" i="34"/>
  <c r="L263" i="8"/>
  <c r="K59" i="8"/>
  <c r="E607" i="34"/>
  <c r="E619" i="34"/>
  <c r="F619" i="34"/>
  <c r="G619" i="34"/>
  <c r="G606" i="34" l="1"/>
  <c r="F582" i="34"/>
  <c r="M263" i="8"/>
  <c r="L59" i="8"/>
  <c r="F595" i="34"/>
  <c r="H595" i="34"/>
  <c r="G595" i="34"/>
  <c r="I595" i="34"/>
  <c r="H619" i="34"/>
  <c r="H606" i="34" l="1"/>
  <c r="G582" i="34"/>
  <c r="N263" i="8"/>
  <c r="M59" i="8"/>
  <c r="J595" i="34"/>
  <c r="I619" i="34"/>
  <c r="I606" i="34" l="1"/>
  <c r="H582" i="34"/>
  <c r="O263" i="8"/>
  <c r="N59" i="8"/>
  <c r="K595" i="34"/>
  <c r="J619" i="34"/>
  <c r="J606" i="34" l="1"/>
  <c r="I582" i="34"/>
  <c r="P263" i="8"/>
  <c r="Q263" i="8" s="1"/>
  <c r="R263" i="8" s="1"/>
  <c r="R59" i="8" s="1"/>
  <c r="O59" i="8"/>
  <c r="M595" i="34"/>
  <c r="L595" i="34"/>
  <c r="K619" i="34"/>
  <c r="K606" i="34" l="1"/>
  <c r="J582" i="34"/>
  <c r="P59" i="8"/>
  <c r="Q59" i="8"/>
  <c r="M619" i="34"/>
  <c r="L619" i="34"/>
  <c r="L606" i="34" l="1"/>
  <c r="K582" i="34"/>
  <c r="C407" i="34"/>
  <c r="M606" i="34" l="1"/>
  <c r="L582" i="34"/>
  <c r="B88" i="34"/>
  <c r="B47" i="34"/>
  <c r="B6" i="34"/>
  <c r="N606" i="34" l="1"/>
  <c r="M582" i="34"/>
  <c r="D406" i="34"/>
  <c r="B763" i="34"/>
  <c r="B762" i="34"/>
  <c r="B761" i="34"/>
  <c r="B760" i="34"/>
  <c r="B759" i="34"/>
  <c r="B758" i="34"/>
  <c r="B780" i="34" s="1"/>
  <c r="B757" i="34"/>
  <c r="B486" i="34"/>
  <c r="B469" i="34"/>
  <c r="B474" i="34"/>
  <c r="B298" i="34"/>
  <c r="B169" i="34" s="1"/>
  <c r="B586" i="34"/>
  <c r="B583" i="34"/>
  <c r="B154" i="34"/>
  <c r="B152" i="34"/>
  <c r="B148" i="34"/>
  <c r="B147" i="34"/>
  <c r="B146" i="34"/>
  <c r="B138" i="34"/>
  <c r="B137" i="34"/>
  <c r="B136" i="34"/>
  <c r="B132" i="34"/>
  <c r="B131" i="34"/>
  <c r="B130" i="34"/>
  <c r="B114" i="34"/>
  <c r="B108" i="34"/>
  <c r="B458" i="34" s="1"/>
  <c r="B459" i="34" s="1"/>
  <c r="B100" i="34"/>
  <c r="B92" i="34"/>
  <c r="B450" i="34" s="1"/>
  <c r="B456" i="34" s="1"/>
  <c r="B73" i="34"/>
  <c r="B67" i="34"/>
  <c r="B443" i="34" s="1"/>
  <c r="B59" i="34"/>
  <c r="B51" i="34"/>
  <c r="B435" i="34" s="1"/>
  <c r="B441" i="34" s="1"/>
  <c r="B153" i="34"/>
  <c r="B26" i="34"/>
  <c r="B425" i="34" s="1"/>
  <c r="B140" i="34"/>
  <c r="B139" i="34"/>
  <c r="B129" i="34"/>
  <c r="B2" i="34"/>
  <c r="O606" i="34" l="1"/>
  <c r="O582" i="34" s="1"/>
  <c r="N582" i="34"/>
  <c r="B709" i="34"/>
  <c r="B175" i="34"/>
  <c r="B444" i="34"/>
  <c r="B475" i="34"/>
  <c r="B226" i="34" s="1"/>
  <c r="B461" i="34"/>
  <c r="B275" i="34" s="1"/>
  <c r="B284" i="34"/>
  <c r="B166" i="34"/>
  <c r="B223" i="34" s="1"/>
  <c r="B401" i="34" s="1"/>
  <c r="B588" i="34"/>
  <c r="B239" i="34" s="1"/>
  <c r="B178" i="34"/>
  <c r="B74" i="34"/>
  <c r="B172" i="34"/>
  <c r="B688" i="34"/>
  <c r="B200" i="34" s="1"/>
  <c r="B115" i="34"/>
  <c r="B101" i="34"/>
  <c r="B149" i="34"/>
  <c r="B410" i="34" s="1"/>
  <c r="B413" i="34" s="1"/>
  <c r="B60" i="34"/>
  <c r="B155" i="34"/>
  <c r="B133" i="34"/>
  <c r="B404" i="34" s="1"/>
  <c r="B481" i="34"/>
  <c r="B18" i="34"/>
  <c r="B141" i="34" s="1"/>
  <c r="B32" i="34"/>
  <c r="B33" i="34" s="1"/>
  <c r="B429" i="34"/>
  <c r="B125" i="34"/>
  <c r="B10" i="34"/>
  <c r="B419" i="34" s="1"/>
  <c r="C154" i="34"/>
  <c r="C152" i="34"/>
  <c r="C148" i="34"/>
  <c r="C147" i="34"/>
  <c r="C146" i="34"/>
  <c r="C138" i="34"/>
  <c r="C137" i="34"/>
  <c r="C136" i="34"/>
  <c r="C132" i="34"/>
  <c r="C131" i="34"/>
  <c r="C130" i="34"/>
  <c r="AB46" i="14"/>
  <c r="AB45" i="14"/>
  <c r="P1062" i="6"/>
  <c r="B1954" i="6"/>
  <c r="O1954" i="6"/>
  <c r="N1954" i="6"/>
  <c r="M1954" i="6"/>
  <c r="L1954" i="6"/>
  <c r="K1954" i="6"/>
  <c r="J1954" i="6"/>
  <c r="I1954" i="6"/>
  <c r="G1954" i="6"/>
  <c r="C1954" i="6"/>
  <c r="D157" i="14"/>
  <c r="D175" i="14" s="1"/>
  <c r="O152" i="14"/>
  <c r="E152" i="14"/>
  <c r="E170" i="14" s="1"/>
  <c r="O79" i="14"/>
  <c r="AB26" i="14"/>
  <c r="AA26" i="14"/>
  <c r="M65" i="34"/>
  <c r="C6" i="34"/>
  <c r="C129" i="34" s="1"/>
  <c r="O170" i="14" l="1"/>
  <c r="O188" i="14"/>
  <c r="F106" i="14"/>
  <c r="E106" i="14"/>
  <c r="O165" i="14"/>
  <c r="N193" i="3" s="1"/>
  <c r="B446" i="34"/>
  <c r="B273" i="34" s="1"/>
  <c r="B487" i="34"/>
  <c r="B229" i="34" s="1"/>
  <c r="B464" i="34"/>
  <c r="B347" i="34"/>
  <c r="B75" i="34"/>
  <c r="B78" i="34" s="1"/>
  <c r="B80" i="34" s="1"/>
  <c r="B156" i="34"/>
  <c r="B116" i="34"/>
  <c r="B119" i="34" s="1"/>
  <c r="B121" i="34" s="1"/>
  <c r="B142" i="34"/>
  <c r="B423" i="34"/>
  <c r="B431" i="34" s="1"/>
  <c r="B271" i="34" s="1"/>
  <c r="B19" i="34"/>
  <c r="B34" i="34" s="1"/>
  <c r="B37" i="34" s="1"/>
  <c r="B39" i="34" s="1"/>
  <c r="B408" i="34"/>
  <c r="E188" i="14"/>
  <c r="B577" i="34" l="1"/>
  <c r="B671" i="34" s="1"/>
  <c r="B755" i="34" s="1"/>
  <c r="B787" i="34" s="1"/>
  <c r="B514" i="34"/>
  <c r="B415" i="34"/>
  <c r="B157" i="34"/>
  <c r="B160" i="34" s="1"/>
  <c r="B162" i="34" s="1"/>
  <c r="B627" i="34" l="1"/>
  <c r="B269" i="34"/>
  <c r="C114" i="34" l="1"/>
  <c r="D111" i="34"/>
  <c r="E111" i="34" s="1"/>
  <c r="C108" i="34"/>
  <c r="C100" i="34"/>
  <c r="D99" i="34"/>
  <c r="D97" i="34"/>
  <c r="G95" i="34"/>
  <c r="C92" i="34"/>
  <c r="C450" i="34" s="1"/>
  <c r="C456" i="34" s="1"/>
  <c r="D90" i="34"/>
  <c r="C73" i="34"/>
  <c r="D70" i="34"/>
  <c r="C67" i="34"/>
  <c r="C443" i="34" s="1"/>
  <c r="D64" i="34"/>
  <c r="D58" i="34"/>
  <c r="D56" i="34"/>
  <c r="D49" i="34"/>
  <c r="C444" i="34" l="1"/>
  <c r="E406" i="34"/>
  <c r="C115" i="34"/>
  <c r="C458" i="34"/>
  <c r="C459" i="34" s="1"/>
  <c r="C461" i="34" s="1"/>
  <c r="C275" i="34" s="1"/>
  <c r="D136" i="34"/>
  <c r="D138" i="34"/>
  <c r="D146" i="34"/>
  <c r="D137" i="34"/>
  <c r="C101" i="34"/>
  <c r="H95" i="34"/>
  <c r="C74" i="34"/>
  <c r="C59" i="34"/>
  <c r="C116" i="34" l="1"/>
  <c r="C119" i="34" s="1"/>
  <c r="C121" i="34" s="1"/>
  <c r="E146" i="34"/>
  <c r="E137" i="34"/>
  <c r="E138" i="34"/>
  <c r="F54" i="34"/>
  <c r="E136" i="34"/>
  <c r="I95" i="34"/>
  <c r="C51" i="34"/>
  <c r="C60" i="34" l="1"/>
  <c r="C75" i="34" s="1"/>
  <c r="C78" i="34" s="1"/>
  <c r="C80" i="34" s="1"/>
  <c r="C435" i="34"/>
  <c r="C441" i="34" s="1"/>
  <c r="G54" i="34"/>
  <c r="F136" i="34"/>
  <c r="J95" i="34"/>
  <c r="C446" i="34" l="1"/>
  <c r="C273" i="34" s="1"/>
  <c r="H54" i="34"/>
  <c r="G136" i="34"/>
  <c r="K95" i="34"/>
  <c r="I54" i="34" l="1"/>
  <c r="H136" i="34"/>
  <c r="L95" i="34"/>
  <c r="J54" i="34" l="1"/>
  <c r="I136" i="34"/>
  <c r="M95" i="34"/>
  <c r="N95" i="34" s="1"/>
  <c r="O95" i="34" s="1"/>
  <c r="P95" i="34" s="1"/>
  <c r="P136" i="34" s="1"/>
  <c r="K54" i="34" l="1"/>
  <c r="J136" i="34"/>
  <c r="L54" i="34" l="1"/>
  <c r="K136" i="34"/>
  <c r="M54" i="34" l="1"/>
  <c r="N54" i="34" s="1"/>
  <c r="L136" i="34"/>
  <c r="N136" i="34" l="1"/>
  <c r="O54" i="34"/>
  <c r="O136" i="34" s="1"/>
  <c r="M136" i="34"/>
  <c r="C482" i="6" l="1"/>
  <c r="Y69" i="9" l="1"/>
  <c r="BH74" i="9"/>
  <c r="BG74" i="9"/>
  <c r="BF74" i="9"/>
  <c r="BE74" i="9"/>
  <c r="BC74" i="9"/>
  <c r="BB74" i="9"/>
  <c r="BA74" i="9"/>
  <c r="AZ74" i="9"/>
  <c r="AX74" i="9"/>
  <c r="AW74" i="9"/>
  <c r="AV74" i="9"/>
  <c r="AU74" i="9"/>
  <c r="AS74" i="9"/>
  <c r="AR74" i="9"/>
  <c r="AQ74" i="9"/>
  <c r="AN74" i="9"/>
  <c r="AM74" i="9"/>
  <c r="AI74" i="9"/>
  <c r="AH74" i="9"/>
  <c r="AC74" i="9"/>
  <c r="X74" i="9"/>
  <c r="T74" i="9"/>
  <c r="S74" i="9"/>
  <c r="R74" i="9"/>
  <c r="M74" i="9"/>
  <c r="L74" i="9"/>
  <c r="K74" i="9"/>
  <c r="J74" i="9"/>
  <c r="I74" i="9"/>
  <c r="G74" i="9"/>
  <c r="Y74" i="9" l="1"/>
  <c r="C17" i="34" l="1"/>
  <c r="D130" i="34"/>
  <c r="D131" i="34" l="1"/>
  <c r="D132" i="34"/>
  <c r="C140" i="34"/>
  <c r="K94" i="26"/>
  <c r="E130" i="34" l="1"/>
  <c r="E132" i="34"/>
  <c r="D140" i="34"/>
  <c r="E131" i="34"/>
  <c r="E140" i="34" l="1"/>
  <c r="C963" i="7" l="1"/>
  <c r="K102" i="26"/>
  <c r="K104" i="26" s="1"/>
  <c r="K91" i="26"/>
  <c r="K98" i="26" s="1"/>
  <c r="K100" i="26" s="1"/>
  <c r="C206" i="7"/>
  <c r="C108" i="8"/>
  <c r="C196" i="8"/>
  <c r="C201" i="8" s="1"/>
  <c r="C46" i="8"/>
  <c r="C485" i="6"/>
  <c r="C326" i="6"/>
  <c r="K106" i="26" l="1"/>
  <c r="M106" i="26"/>
  <c r="D727" i="34"/>
  <c r="C107" i="8"/>
  <c r="D109" i="8"/>
  <c r="C261" i="6"/>
  <c r="C260" i="6"/>
  <c r="C110" i="8"/>
  <c r="C47" i="8"/>
  <c r="C1100" i="6"/>
  <c r="C302" i="6"/>
  <c r="C666" i="7"/>
  <c r="AS8" i="42" l="1"/>
  <c r="B279" i="42"/>
  <c r="D279" i="42" l="1"/>
  <c r="D281" i="42" s="1"/>
  <c r="B281" i="42"/>
  <c r="C767" i="6"/>
  <c r="C784" i="6"/>
  <c r="C629" i="4" l="1"/>
  <c r="C28" i="12"/>
  <c r="B352" i="42" s="1"/>
  <c r="D352" i="42" l="1"/>
  <c r="C789" i="6"/>
  <c r="C770" i="6"/>
  <c r="C777" i="6"/>
  <c r="C330" i="4"/>
  <c r="D716" i="34"/>
  <c r="D737" i="34" l="1"/>
  <c r="C502" i="4"/>
  <c r="C105" i="4"/>
  <c r="D739" i="34" l="1"/>
  <c r="D215" i="34" s="1"/>
  <c r="D794" i="34" l="1"/>
  <c r="D800" i="34" s="1"/>
  <c r="D824" i="34"/>
  <c r="D206" i="6"/>
  <c r="O584" i="8" l="1"/>
  <c r="N584" i="8"/>
  <c r="M584" i="8"/>
  <c r="L584" i="8"/>
  <c r="K584" i="8"/>
  <c r="J584" i="8"/>
  <c r="I584" i="8"/>
  <c r="G584" i="8"/>
  <c r="D584" i="8"/>
  <c r="D583" i="8"/>
  <c r="C584" i="8"/>
  <c r="C583" i="8"/>
  <c r="B584" i="8"/>
  <c r="A584" i="8"/>
  <c r="B583" i="8"/>
  <c r="A583" i="8"/>
  <c r="D485" i="5"/>
  <c r="C6" i="3" s="1"/>
  <c r="B485" i="5"/>
  <c r="A6" i="3" s="1"/>
  <c r="A485" i="5"/>
  <c r="C485" i="5"/>
  <c r="B6" i="3" l="1"/>
  <c r="H584" i="8"/>
  <c r="G194" i="4"/>
  <c r="G131" i="4"/>
  <c r="G129" i="4"/>
  <c r="C131" i="4"/>
  <c r="C130" i="4"/>
  <c r="C129" i="4"/>
  <c r="C194" i="4"/>
  <c r="B131" i="4"/>
  <c r="A131" i="4"/>
  <c r="B130" i="4"/>
  <c r="A130" i="4"/>
  <c r="B129" i="4"/>
  <c r="A129" i="4"/>
  <c r="B194" i="4"/>
  <c r="A194" i="4"/>
  <c r="A199" i="4" s="1"/>
  <c r="B241" i="4"/>
  <c r="A241" i="4"/>
  <c r="A246" i="4" s="1"/>
  <c r="G357" i="4"/>
  <c r="C357" i="4"/>
  <c r="B357" i="4"/>
  <c r="A357" i="4"/>
  <c r="A362" i="4" s="1"/>
  <c r="C600" i="4"/>
  <c r="B600" i="4"/>
  <c r="A600" i="4"/>
  <c r="G723" i="4"/>
  <c r="C723" i="4"/>
  <c r="B723" i="4"/>
  <c r="A723" i="4"/>
  <c r="C778" i="4"/>
  <c r="B778" i="4"/>
  <c r="A778" i="4"/>
  <c r="G938" i="4"/>
  <c r="C938" i="4"/>
  <c r="B938" i="4"/>
  <c r="A938" i="4"/>
  <c r="B246" i="4" l="1"/>
  <c r="B199" i="4"/>
  <c r="B362" i="4"/>
  <c r="H357" i="4"/>
  <c r="H723" i="4"/>
  <c r="H131" i="4"/>
  <c r="H129" i="4"/>
  <c r="H194" i="4"/>
  <c r="G199" i="4"/>
  <c r="G362" i="4"/>
  <c r="C362" i="4"/>
  <c r="C199" i="4"/>
  <c r="C246" i="4"/>
  <c r="C136" i="4"/>
  <c r="B136" i="4"/>
  <c r="A136" i="4"/>
  <c r="G130" i="4"/>
  <c r="H130" i="4" s="1"/>
  <c r="G600" i="4"/>
  <c r="H600" i="4" s="1"/>
  <c r="I130" i="4"/>
  <c r="J6" i="26"/>
  <c r="D681" i="6"/>
  <c r="H681" i="6" s="1"/>
  <c r="G1949" i="6"/>
  <c r="D1949" i="6"/>
  <c r="C1949" i="6"/>
  <c r="A1949" i="6"/>
  <c r="D599" i="6"/>
  <c r="D598" i="6"/>
  <c r="C599" i="6"/>
  <c r="C606" i="6" s="1"/>
  <c r="C598" i="6"/>
  <c r="C605" i="6" s="1"/>
  <c r="A599" i="6"/>
  <c r="A606" i="6" s="1"/>
  <c r="A598" i="6"/>
  <c r="A605" i="6" s="1"/>
  <c r="H11" i="17"/>
  <c r="H295" i="15" s="1"/>
  <c r="B11" i="17"/>
  <c r="I675" i="6"/>
  <c r="B1942" i="6"/>
  <c r="B674" i="6" s="1"/>
  <c r="B681" i="6" s="1"/>
  <c r="B1747" i="6"/>
  <c r="C158" i="6"/>
  <c r="A158" i="6"/>
  <c r="B868" i="6"/>
  <c r="H1949" i="6" l="1"/>
  <c r="D606" i="6"/>
  <c r="D605" i="6"/>
  <c r="H199" i="4"/>
  <c r="H362" i="4"/>
  <c r="G136" i="4"/>
  <c r="H136" i="4" s="1"/>
  <c r="B599" i="6"/>
  <c r="B606" i="6" s="1"/>
  <c r="B1756" i="6"/>
  <c r="H317" i="15"/>
  <c r="J675" i="6"/>
  <c r="I681" i="6"/>
  <c r="B295" i="15"/>
  <c r="D162" i="6"/>
  <c r="D868" i="6"/>
  <c r="B1949" i="6"/>
  <c r="C11" i="17"/>
  <c r="C295" i="15" s="1"/>
  <c r="I11" i="17"/>
  <c r="I295" i="15" s="1"/>
  <c r="M11" i="17"/>
  <c r="M295" i="15" s="1"/>
  <c r="A11" i="17"/>
  <c r="A295" i="15" s="1"/>
  <c r="G11" i="17"/>
  <c r="G295" i="15" s="1"/>
  <c r="K11" i="17"/>
  <c r="K295" i="15" s="1"/>
  <c r="L11" i="17"/>
  <c r="L295" i="15" s="1"/>
  <c r="F11" i="17"/>
  <c r="E295" i="15" s="1"/>
  <c r="J11" i="17"/>
  <c r="J295" i="15" s="1"/>
  <c r="B158" i="6"/>
  <c r="D158" i="6"/>
  <c r="F295" i="15" l="1"/>
  <c r="J317" i="15"/>
  <c r="G317" i="15"/>
  <c r="C317" i="15"/>
  <c r="L317" i="15"/>
  <c r="M317" i="15"/>
  <c r="E317" i="15"/>
  <c r="K317" i="15"/>
  <c r="I317" i="15"/>
  <c r="B317" i="15"/>
  <c r="D2076" i="6"/>
  <c r="K675" i="6"/>
  <c r="J681" i="6"/>
  <c r="D168" i="6"/>
  <c r="A317" i="15"/>
  <c r="C583" i="34"/>
  <c r="F317" i="15" l="1"/>
  <c r="C32" i="13"/>
  <c r="C51" i="13" s="1"/>
  <c r="D55" i="6"/>
  <c r="L675" i="6"/>
  <c r="K681" i="6"/>
  <c r="R22" i="42" l="1"/>
  <c r="R34" i="42"/>
  <c r="D34" i="42" s="1"/>
  <c r="C69" i="13"/>
  <c r="C194" i="15"/>
  <c r="M675" i="6"/>
  <c r="L681" i="6"/>
  <c r="C71" i="4"/>
  <c r="C139" i="15" l="1"/>
  <c r="C218" i="15"/>
  <c r="N675" i="6"/>
  <c r="M681" i="6"/>
  <c r="C72" i="4"/>
  <c r="C163" i="15" l="1"/>
  <c r="O675" i="6"/>
  <c r="N681" i="6"/>
  <c r="A138" i="8"/>
  <c r="A143" i="8"/>
  <c r="A135" i="8"/>
  <c r="O681" i="6" l="1"/>
  <c r="A22" i="8"/>
  <c r="A150" i="8"/>
  <c r="A93" i="8"/>
  <c r="P675" i="6" l="1"/>
  <c r="P681" i="6" s="1"/>
  <c r="D367" i="7" l="1"/>
  <c r="H367" i="7" s="1"/>
  <c r="G393" i="5" l="1"/>
  <c r="F70" i="11" l="1"/>
  <c r="Q69" i="9"/>
  <c r="P225" i="3" s="1"/>
  <c r="C70" i="11"/>
  <c r="E74" i="9"/>
  <c r="K393" i="5"/>
  <c r="J393" i="5"/>
  <c r="H142" i="5" l="1"/>
  <c r="H379" i="5"/>
  <c r="D394" i="5"/>
  <c r="C226" i="3" s="1"/>
  <c r="Q74" i="9"/>
  <c r="AL69" i="9"/>
  <c r="AG69" i="9"/>
  <c r="AB69" i="9"/>
  <c r="W69" i="9"/>
  <c r="AK69" i="9"/>
  <c r="AF69" i="9"/>
  <c r="AA69" i="9"/>
  <c r="AP69" i="9"/>
  <c r="BZ82" i="9"/>
  <c r="CM82" i="9" s="1"/>
  <c r="BI69" i="9"/>
  <c r="BI74" i="9" s="1"/>
  <c r="BD69" i="9"/>
  <c r="BD74" i="9" s="1"/>
  <c r="AY69" i="9"/>
  <c r="AY74" i="9" s="1"/>
  <c r="U69" i="9"/>
  <c r="BX74" i="9" s="1"/>
  <c r="O395" i="5"/>
  <c r="N395" i="5"/>
  <c r="M395" i="5"/>
  <c r="L395" i="5"/>
  <c r="K395" i="5"/>
  <c r="I395" i="5"/>
  <c r="D395" i="5"/>
  <c r="C394" i="5"/>
  <c r="A39" i="12"/>
  <c r="A127" i="5"/>
  <c r="R161" i="5" l="1"/>
  <c r="W74" i="9"/>
  <c r="U74" i="9"/>
  <c r="AG74" i="9"/>
  <c r="AL74" i="9"/>
  <c r="AF74" i="9"/>
  <c r="G395" i="5"/>
  <c r="F74" i="9"/>
  <c r="J395" i="5"/>
  <c r="H74" i="9"/>
  <c r="L394" i="5"/>
  <c r="AP74" i="9"/>
  <c r="K394" i="5"/>
  <c r="I225" i="3" s="1"/>
  <c r="AK74" i="9"/>
  <c r="G394" i="5"/>
  <c r="F225" i="3" s="1"/>
  <c r="Z69" i="9"/>
  <c r="V74" i="9"/>
  <c r="I394" i="5"/>
  <c r="AA74" i="9"/>
  <c r="AD69" i="9"/>
  <c r="AB74" i="9"/>
  <c r="CL82" i="9"/>
  <c r="AT69" i="9"/>
  <c r="AT74" i="9" s="1"/>
  <c r="AJ69" i="9"/>
  <c r="J394" i="5"/>
  <c r="H225" i="3" s="1"/>
  <c r="AO69" i="9"/>
  <c r="CA82" i="9"/>
  <c r="BZ69" i="9"/>
  <c r="CA69" i="9" s="1"/>
  <c r="CL69" i="9"/>
  <c r="H127" i="5"/>
  <c r="G225" i="3" l="1"/>
  <c r="G226" i="3" s="1"/>
  <c r="R523" i="5"/>
  <c r="R524" i="5" s="1"/>
  <c r="R41" i="5"/>
  <c r="Z74" i="9"/>
  <c r="F226" i="3"/>
  <c r="AO74" i="9"/>
  <c r="AD74" i="9"/>
  <c r="AJ74" i="9"/>
  <c r="AE69" i="9"/>
  <c r="CM69" i="9"/>
  <c r="CN82" i="9"/>
  <c r="CB82" i="9"/>
  <c r="CB69" i="9"/>
  <c r="CN69" i="9"/>
  <c r="P68" i="3" l="1"/>
  <c r="AE74" i="9"/>
  <c r="CC82" i="9"/>
  <c r="CO82" i="9"/>
  <c r="CC69" i="9"/>
  <c r="CO69" i="9"/>
  <c r="CD82" i="9" l="1"/>
  <c r="CP82" i="9"/>
  <c r="CD69" i="9"/>
  <c r="CP69" i="9"/>
  <c r="CQ82" i="9" l="1"/>
  <c r="CE82" i="9"/>
  <c r="CE69" i="9"/>
  <c r="CQ69" i="9"/>
  <c r="CR82" i="9" l="1"/>
  <c r="CF82" i="9"/>
  <c r="CF69" i="9"/>
  <c r="CR69" i="9"/>
  <c r="O1208" i="6"/>
  <c r="N1208" i="6"/>
  <c r="M1208" i="6"/>
  <c r="L1208" i="6"/>
  <c r="K1208" i="6"/>
  <c r="J1208" i="6"/>
  <c r="I1208" i="6"/>
  <c r="G1208" i="6"/>
  <c r="D1208" i="6"/>
  <c r="A107" i="8" l="1"/>
  <c r="A109" i="8"/>
  <c r="CG82" i="9"/>
  <c r="CS82" i="9"/>
  <c r="CS69" i="9"/>
  <c r="CG69" i="9"/>
  <c r="F22" i="14"/>
  <c r="F57" i="14"/>
  <c r="F61" i="14" s="1"/>
  <c r="F46" i="14"/>
  <c r="F49" i="14" s="1"/>
  <c r="CT82" i="9" l="1"/>
  <c r="CH82" i="9"/>
  <c r="CT69" i="9"/>
  <c r="CH69" i="9"/>
  <c r="B1749" i="6"/>
  <c r="B1755" i="6" s="1"/>
  <c r="CU82" i="9" l="1"/>
  <c r="CI82" i="9"/>
  <c r="CU69" i="9"/>
  <c r="CI69" i="9"/>
  <c r="B598" i="6"/>
  <c r="B605" i="6" s="1"/>
  <c r="B784" i="6"/>
  <c r="B777" i="6"/>
  <c r="B513" i="7"/>
  <c r="B512" i="7"/>
  <c r="A111" i="3" s="1"/>
  <c r="A117" i="3" s="1"/>
  <c r="CV69" i="9" l="1"/>
  <c r="CJ69" i="9"/>
  <c r="CW69" i="9" s="1"/>
  <c r="CV82" i="9"/>
  <c r="CJ82" i="9"/>
  <c r="CW82" i="9" s="1"/>
  <c r="BZ164" i="9"/>
  <c r="BI164" i="9"/>
  <c r="BD164" i="9"/>
  <c r="AY164" i="9"/>
  <c r="AT164" i="9"/>
  <c r="B155" i="6"/>
  <c r="B159" i="6"/>
  <c r="B160" i="6"/>
  <c r="B161" i="6"/>
  <c r="B167" i="6" l="1"/>
  <c r="CL164" i="9"/>
  <c r="CA164" i="9"/>
  <c r="CM164" i="9"/>
  <c r="O945" i="6"/>
  <c r="N945" i="6"/>
  <c r="M945" i="6"/>
  <c r="L945" i="6"/>
  <c r="K945" i="6"/>
  <c r="J945" i="6"/>
  <c r="I945" i="6"/>
  <c r="B765" i="6"/>
  <c r="B78" i="6" l="1"/>
  <c r="CN164" i="9"/>
  <c r="CB164" i="9"/>
  <c r="B158" i="8"/>
  <c r="B178" i="8"/>
  <c r="B44" i="8" s="1"/>
  <c r="AD8" i="42" s="1"/>
  <c r="CO164" i="9" l="1"/>
  <c r="CC164" i="9"/>
  <c r="B785" i="7"/>
  <c r="CP164" i="9" l="1"/>
  <c r="CD164" i="9"/>
  <c r="A1064" i="6"/>
  <c r="A1070" i="6" s="1"/>
  <c r="CE164" i="9" l="1"/>
  <c r="CQ164" i="9"/>
  <c r="CR164" i="9" l="1"/>
  <c r="CF164" i="9"/>
  <c r="CG164" i="9" l="1"/>
  <c r="CS164" i="9"/>
  <c r="CT164" i="9" l="1"/>
  <c r="CH164" i="9"/>
  <c r="B1781" i="6"/>
  <c r="O474" i="4"/>
  <c r="N474" i="4"/>
  <c r="M474" i="4"/>
  <c r="L474" i="4"/>
  <c r="K474" i="4"/>
  <c r="J474" i="4"/>
  <c r="I474" i="4"/>
  <c r="G874" i="6"/>
  <c r="D874" i="6"/>
  <c r="CU164" i="9" l="1"/>
  <c r="CI164" i="9"/>
  <c r="Q689" i="6"/>
  <c r="CV164" i="9" l="1"/>
  <c r="CJ164" i="9"/>
  <c r="CW164" i="9" s="1"/>
  <c r="P307" i="4"/>
  <c r="Q307" i="4"/>
  <c r="A81" i="12"/>
  <c r="A37" i="12"/>
  <c r="A80" i="12"/>
  <c r="AA110" i="11"/>
  <c r="X110" i="11"/>
  <c r="U110" i="11"/>
  <c r="R110" i="11"/>
  <c r="O110" i="11"/>
  <c r="L110" i="11"/>
  <c r="I110" i="11"/>
  <c r="F110" i="11"/>
  <c r="C110" i="11"/>
  <c r="D110" i="11" l="1"/>
  <c r="E110" i="11" s="1"/>
  <c r="G110" i="11" s="1"/>
  <c r="H110" i="11" s="1"/>
  <c r="J110" i="11" s="1"/>
  <c r="K110" i="11" s="1"/>
  <c r="M110" i="11" s="1"/>
  <c r="N110" i="11" s="1"/>
  <c r="P110" i="11" s="1"/>
  <c r="Q110" i="11" s="1"/>
  <c r="S110" i="11" s="1"/>
  <c r="T110" i="11" s="1"/>
  <c r="V110" i="11" s="1"/>
  <c r="W110" i="11" s="1"/>
  <c r="Y110" i="11" s="1"/>
  <c r="Z110" i="11" s="1"/>
  <c r="AB110" i="11" s="1"/>
  <c r="AC110" i="11" s="1"/>
  <c r="AE110" i="11" s="1"/>
  <c r="AF110" i="11" s="1"/>
  <c r="AH110" i="11" s="1"/>
  <c r="AI110" i="11" s="1"/>
  <c r="AK110" i="11" s="1"/>
  <c r="B1912" i="6" l="1"/>
  <c r="B1869" i="6"/>
  <c r="B1784" i="6" l="1"/>
  <c r="C771" i="34" s="1"/>
  <c r="B1040" i="6"/>
  <c r="B1055" i="6"/>
  <c r="B1030" i="6"/>
  <c r="B253" i="6" l="1"/>
  <c r="B260" i="6"/>
  <c r="C725" i="34"/>
  <c r="B1126" i="6"/>
  <c r="B1094" i="6"/>
  <c r="B1099" i="6"/>
  <c r="P40" i="45" l="1"/>
  <c r="B303" i="6"/>
  <c r="B1173" i="6"/>
  <c r="C726" i="34" s="1"/>
  <c r="B1181" i="6"/>
  <c r="B1238" i="6" l="1"/>
  <c r="C727" i="34" s="1"/>
  <c r="B1330" i="6"/>
  <c r="C728" i="34" s="1"/>
  <c r="B1288" i="6"/>
  <c r="C768" i="34" s="1"/>
  <c r="H1553" i="6" l="1"/>
  <c r="B2013" i="6" l="1"/>
  <c r="A1640" i="6" l="1"/>
  <c r="A522" i="6" s="1"/>
  <c r="B1589" i="6"/>
  <c r="B485" i="6" s="1"/>
  <c r="A1762" i="6"/>
  <c r="B960" i="6" l="1"/>
  <c r="B194" i="6" l="1"/>
  <c r="B849" i="6"/>
  <c r="P256" i="4" l="1"/>
  <c r="Q256" i="4"/>
  <c r="C723" i="34"/>
  <c r="B907" i="7" l="1"/>
  <c r="A907" i="7"/>
  <c r="B921" i="7" l="1"/>
  <c r="B885" i="7"/>
  <c r="B969" i="7"/>
  <c r="B881" i="7"/>
  <c r="B879" i="7"/>
  <c r="B901" i="7"/>
  <c r="B348" i="7" s="1"/>
  <c r="B681" i="7"/>
  <c r="B654" i="7"/>
  <c r="B840" i="7"/>
  <c r="B793" i="7"/>
  <c r="AA38" i="11" l="1"/>
  <c r="X38" i="11"/>
  <c r="U38" i="11"/>
  <c r="R38" i="11"/>
  <c r="O38" i="11"/>
  <c r="L38" i="11"/>
  <c r="I38" i="11"/>
  <c r="F38" i="11"/>
  <c r="C38" i="11"/>
  <c r="D127" i="7"/>
  <c r="C132" i="7"/>
  <c r="C130" i="7"/>
  <c r="C127" i="7"/>
  <c r="C128" i="7"/>
  <c r="C129" i="7"/>
  <c r="A132" i="7"/>
  <c r="A130" i="7"/>
  <c r="A127" i="7"/>
  <c r="A128" i="7"/>
  <c r="A129" i="7"/>
  <c r="B129" i="7"/>
  <c r="B128" i="7"/>
  <c r="B130" i="7"/>
  <c r="B132" i="7"/>
  <c r="B563" i="7"/>
  <c r="B127" i="7" s="1"/>
  <c r="B1114" i="7" l="1"/>
  <c r="B1157" i="7"/>
  <c r="B1078" i="7"/>
  <c r="A331" i="4"/>
  <c r="B331" i="4"/>
  <c r="C331" i="4"/>
  <c r="B332" i="4"/>
  <c r="A332" i="4"/>
  <c r="A558" i="8" l="1"/>
  <c r="A159" i="8" s="1"/>
  <c r="B483" i="8"/>
  <c r="B520" i="8"/>
  <c r="O113" i="16" l="1"/>
  <c r="O115" i="16" s="1"/>
  <c r="Q95" i="8"/>
  <c r="B131" i="8"/>
  <c r="B119" i="8"/>
  <c r="AR21" i="42"/>
  <c r="B249" i="8"/>
  <c r="B56" i="8" s="1"/>
  <c r="B332" i="8"/>
  <c r="B68" i="8" s="1"/>
  <c r="B69" i="8"/>
  <c r="B38" i="27"/>
  <c r="H376" i="8" l="1"/>
  <c r="AA8" i="11" l="1"/>
  <c r="X8" i="11"/>
  <c r="U8" i="11"/>
  <c r="R8" i="11"/>
  <c r="O8" i="11"/>
  <c r="L8" i="11"/>
  <c r="I8" i="11"/>
  <c r="F8" i="11"/>
  <c r="O785" i="4" l="1"/>
  <c r="N785" i="4"/>
  <c r="M785" i="4"/>
  <c r="L785" i="4"/>
  <c r="K785" i="4"/>
  <c r="J785" i="4"/>
  <c r="I785" i="4"/>
  <c r="G785" i="4"/>
  <c r="C13" i="11"/>
  <c r="B412" i="5"/>
  <c r="B176" i="5" s="1"/>
  <c r="B352" i="5"/>
  <c r="B126" i="5" s="1"/>
  <c r="B254" i="5"/>
  <c r="D70" i="11" l="1"/>
  <c r="D13" i="11"/>
  <c r="B488" i="4"/>
  <c r="B499" i="4"/>
  <c r="B697" i="4"/>
  <c r="B685" i="4"/>
  <c r="B829" i="4"/>
  <c r="B867" i="4"/>
  <c r="C716" i="34" l="1"/>
  <c r="C737" i="34" s="1"/>
  <c r="B330" i="4"/>
  <c r="E70" i="11"/>
  <c r="G70" i="11" s="1"/>
  <c r="H70" i="11" s="1"/>
  <c r="J70" i="11" s="1"/>
  <c r="K70" i="11" s="1"/>
  <c r="M70" i="11" s="1"/>
  <c r="N70" i="11" s="1"/>
  <c r="P70" i="11" s="1"/>
  <c r="Q70" i="11" s="1"/>
  <c r="S70" i="11" s="1"/>
  <c r="T70" i="11" s="1"/>
  <c r="V70" i="11" s="1"/>
  <c r="W70" i="11" s="1"/>
  <c r="Y70" i="11" s="1"/>
  <c r="Z70" i="11" s="1"/>
  <c r="AB70" i="11" s="1"/>
  <c r="AC70" i="11" s="1"/>
  <c r="AE70" i="11" s="1"/>
  <c r="AF70" i="11" s="1"/>
  <c r="AH70" i="11" s="1"/>
  <c r="AI70" i="11" s="1"/>
  <c r="A87" i="12"/>
  <c r="AK70" i="11" l="1"/>
  <c r="C739" i="34"/>
  <c r="C215" i="34" s="1"/>
  <c r="C129" i="8" l="1"/>
  <c r="C794" i="34"/>
  <c r="C800" i="34" s="1"/>
  <c r="D216" i="34"/>
  <c r="D814" i="34" s="1"/>
  <c r="B259" i="3" s="1"/>
  <c r="C216" i="34"/>
  <c r="E30" i="1" l="1"/>
  <c r="D15" i="11" l="1"/>
  <c r="E15" i="11" s="1"/>
  <c r="G15" i="11" s="1"/>
  <c r="H15" i="11" s="1"/>
  <c r="J15" i="11" s="1"/>
  <c r="K15" i="11" s="1"/>
  <c r="M15" i="11" s="1"/>
  <c r="N15" i="11" s="1"/>
  <c r="P15" i="11" s="1"/>
  <c r="Q15" i="11" s="1"/>
  <c r="S15" i="11" s="1"/>
  <c r="T15" i="11" s="1"/>
  <c r="V15" i="11" s="1"/>
  <c r="W15" i="11" s="1"/>
  <c r="Y15" i="11" s="1"/>
  <c r="Z15" i="11" s="1"/>
  <c r="AB15" i="11" s="1"/>
  <c r="AC15" i="11" s="1"/>
  <c r="AE15" i="11" s="1"/>
  <c r="AF15" i="11" s="1"/>
  <c r="AH15" i="11" s="1"/>
  <c r="AI15" i="11" s="1"/>
  <c r="AK15" i="11" s="1"/>
  <c r="F165" i="22" l="1"/>
  <c r="G165" i="22"/>
  <c r="H165" i="22"/>
  <c r="I165" i="22"/>
  <c r="J165" i="22"/>
  <c r="K165" i="22"/>
  <c r="L165" i="22"/>
  <c r="M165" i="22"/>
  <c r="N165" i="22"/>
  <c r="R165" i="22"/>
  <c r="S165" i="22"/>
  <c r="T165" i="22"/>
  <c r="U165" i="22"/>
  <c r="F154" i="22"/>
  <c r="G154" i="22"/>
  <c r="H154" i="22"/>
  <c r="I154" i="22"/>
  <c r="J154" i="22"/>
  <c r="K154" i="22"/>
  <c r="L154" i="22"/>
  <c r="M154" i="22"/>
  <c r="N154" i="22"/>
  <c r="G141" i="22"/>
  <c r="H141" i="22"/>
  <c r="I141" i="22"/>
  <c r="J141" i="22"/>
  <c r="K141" i="22"/>
  <c r="L141" i="22"/>
  <c r="M141" i="22"/>
  <c r="N141" i="22"/>
  <c r="R141" i="22"/>
  <c r="S141" i="22"/>
  <c r="T141" i="22"/>
  <c r="U145" i="22"/>
  <c r="U144" i="22"/>
  <c r="U143" i="22"/>
  <c r="U141" i="22" l="1"/>
  <c r="D97" i="11"/>
  <c r="E97" i="11" s="1"/>
  <c r="G97" i="11" s="1"/>
  <c r="H97" i="11" s="1"/>
  <c r="J97" i="11" s="1"/>
  <c r="K97" i="11" s="1"/>
  <c r="M97" i="11" s="1"/>
  <c r="N97" i="11" s="1"/>
  <c r="P97" i="11" s="1"/>
  <c r="Q97" i="11" s="1"/>
  <c r="S97" i="11" s="1"/>
  <c r="T97" i="11" s="1"/>
  <c r="V97" i="11" s="1"/>
  <c r="W97" i="11" s="1"/>
  <c r="Y97" i="11" s="1"/>
  <c r="Z97" i="11" s="1"/>
  <c r="AB97" i="11" s="1"/>
  <c r="AC97" i="11" s="1"/>
  <c r="AE97" i="11" s="1"/>
  <c r="AF97" i="11" s="1"/>
  <c r="AH97" i="11" s="1"/>
  <c r="AI97" i="11" s="1"/>
  <c r="AK97" i="11" s="1"/>
  <c r="D96" i="11" l="1"/>
  <c r="E96" i="11" s="1"/>
  <c r="G96" i="11" s="1"/>
  <c r="H96" i="11" s="1"/>
  <c r="J96" i="11" s="1"/>
  <c r="K96" i="11" s="1"/>
  <c r="M96" i="11" s="1"/>
  <c r="N96" i="11" s="1"/>
  <c r="P96" i="11" s="1"/>
  <c r="Q96" i="11" s="1"/>
  <c r="S96" i="11" s="1"/>
  <c r="T96" i="11" s="1"/>
  <c r="V96" i="11" s="1"/>
  <c r="W96" i="11" s="1"/>
  <c r="Y96" i="11" s="1"/>
  <c r="Z96" i="11" s="1"/>
  <c r="AB96" i="11" s="1"/>
  <c r="AC96" i="11" s="1"/>
  <c r="AE96" i="11" s="1"/>
  <c r="AF96" i="11" s="1"/>
  <c r="AH96" i="11" s="1"/>
  <c r="AI96" i="11" s="1"/>
  <c r="AK96" i="11" s="1"/>
  <c r="C206" i="6"/>
  <c r="AT55" i="37" l="1"/>
  <c r="N1025" i="6"/>
  <c r="N247" i="6" s="1"/>
  <c r="M1025" i="6"/>
  <c r="M247" i="6" s="1"/>
  <c r="L1025" i="6"/>
  <c r="L247" i="6" s="1"/>
  <c r="K1025" i="6"/>
  <c r="K247" i="6" s="1"/>
  <c r="J1025" i="6"/>
  <c r="J247" i="6" s="1"/>
  <c r="I1025" i="6"/>
  <c r="I247" i="6" s="1"/>
  <c r="G1025" i="6"/>
  <c r="G247" i="6" s="1"/>
  <c r="D781" i="34"/>
  <c r="H1025" i="6" l="1"/>
  <c r="H781" i="34"/>
  <c r="L781" i="34"/>
  <c r="I781" i="34"/>
  <c r="F781" i="34"/>
  <c r="D247" i="6"/>
  <c r="E781" i="34"/>
  <c r="J781" i="34"/>
  <c r="G781" i="34"/>
  <c r="K781" i="34"/>
  <c r="C1033" i="6"/>
  <c r="AT91" i="37"/>
  <c r="AT19" i="37"/>
  <c r="D175" i="6"/>
  <c r="C186" i="4"/>
  <c r="B186" i="4"/>
  <c r="A186" i="4"/>
  <c r="H247" i="6" l="1"/>
  <c r="I12" i="1" l="1"/>
  <c r="J1023" i="6" l="1"/>
  <c r="C347" i="4"/>
  <c r="H1116" i="6" l="1"/>
  <c r="H1055" i="6"/>
  <c r="H1105" i="6"/>
  <c r="H1109" i="6"/>
  <c r="H1115" i="6"/>
  <c r="H1313" i="6"/>
  <c r="H1319" i="6"/>
  <c r="H1537" i="6"/>
  <c r="H1541" i="6"/>
  <c r="H1545" i="6"/>
  <c r="H1549" i="6"/>
  <c r="H1057" i="6"/>
  <c r="H1305" i="6"/>
  <c r="H1534" i="6"/>
  <c r="H1538" i="6"/>
  <c r="H1542" i="6"/>
  <c r="H1546" i="6"/>
  <c r="H1550" i="6"/>
  <c r="H1322" i="6"/>
  <c r="H1052" i="6"/>
  <c r="H1058" i="6"/>
  <c r="H1107" i="6"/>
  <c r="H1113" i="6"/>
  <c r="H1532" i="6"/>
  <c r="H1535" i="6"/>
  <c r="H1539" i="6"/>
  <c r="H1543" i="6"/>
  <c r="H1547" i="6"/>
  <c r="H1551" i="6"/>
  <c r="H1314" i="6"/>
  <c r="H1059" i="6"/>
  <c r="H1108" i="6"/>
  <c r="H1114" i="6"/>
  <c r="H1533" i="6"/>
  <c r="H1536" i="6"/>
  <c r="H1540" i="6"/>
  <c r="H1544" i="6"/>
  <c r="H1548" i="6"/>
  <c r="H1552" i="6"/>
  <c r="H1974" i="6"/>
  <c r="H1106" i="6" l="1"/>
  <c r="H1112" i="6"/>
  <c r="G445" i="6"/>
  <c r="H445" i="6" s="1"/>
  <c r="G320" i="6"/>
  <c r="H320" i="6" s="1"/>
  <c r="G428" i="6"/>
  <c r="H428" i="6" s="1"/>
  <c r="I439" i="6"/>
  <c r="G439" i="6"/>
  <c r="H439" i="6" s="1"/>
  <c r="I261" i="6"/>
  <c r="D108" i="8"/>
  <c r="F76" i="1"/>
  <c r="G76" i="1" s="1"/>
  <c r="E56" i="1"/>
  <c r="F56" i="1" s="1"/>
  <c r="G56" i="1" s="1"/>
  <c r="H56" i="1" s="1"/>
  <c r="I56" i="1" s="1"/>
  <c r="J56" i="1" s="1"/>
  <c r="K56" i="1" s="1"/>
  <c r="E55" i="1"/>
  <c r="B288" i="3" s="1"/>
  <c r="F27" i="1"/>
  <c r="H32" i="1"/>
  <c r="I32" i="1" s="1"/>
  <c r="J32" i="1" s="1"/>
  <c r="K32" i="1" s="1"/>
  <c r="L32" i="1" s="1"/>
  <c r="M32" i="1" s="1"/>
  <c r="N32" i="1" s="1"/>
  <c r="O32" i="1" s="1"/>
  <c r="P32" i="1" s="1"/>
  <c r="H51" i="1"/>
  <c r="I51" i="1" s="1"/>
  <c r="J51" i="1" s="1"/>
  <c r="K51" i="1" s="1"/>
  <c r="L51" i="1" s="1"/>
  <c r="M51" i="1" s="1"/>
  <c r="N51" i="1" s="1"/>
  <c r="O51" i="1" s="1"/>
  <c r="P51" i="1" s="1"/>
  <c r="B298" i="3" l="1"/>
  <c r="I322" i="6"/>
  <c r="I445" i="6"/>
  <c r="J445" i="6"/>
  <c r="I320" i="6"/>
  <c r="I428" i="6"/>
  <c r="C106" i="8"/>
  <c r="J439" i="6"/>
  <c r="J261" i="6"/>
  <c r="F55" i="1"/>
  <c r="C288" i="3" s="1"/>
  <c r="C298" i="3" l="1"/>
  <c r="F298" i="3"/>
  <c r="J322" i="6"/>
  <c r="J428" i="6"/>
  <c r="H55" i="1"/>
  <c r="G288" i="3" s="1"/>
  <c r="Q69" i="42"/>
  <c r="D758" i="34"/>
  <c r="D780" i="34" s="1"/>
  <c r="H664" i="7"/>
  <c r="E761" i="34"/>
  <c r="D761" i="34"/>
  <c r="C761" i="34"/>
  <c r="D762" i="34"/>
  <c r="C762" i="34"/>
  <c r="D763" i="34"/>
  <c r="C763" i="34"/>
  <c r="G298" i="3" l="1"/>
  <c r="I55" i="1"/>
  <c r="I664" i="7"/>
  <c r="F775" i="34"/>
  <c r="AS7" i="42"/>
  <c r="J55" i="1" l="1"/>
  <c r="H288" i="3"/>
  <c r="B101" i="15"/>
  <c r="J664" i="7"/>
  <c r="G775" i="34"/>
  <c r="C760" i="34"/>
  <c r="C759" i="34"/>
  <c r="D154" i="34"/>
  <c r="D29" i="34"/>
  <c r="D152" i="34" s="1"/>
  <c r="H298" i="3" l="1"/>
  <c r="K55" i="1"/>
  <c r="J288" i="3" s="1"/>
  <c r="I288" i="3"/>
  <c r="K664" i="7"/>
  <c r="H775" i="34"/>
  <c r="E148" i="34"/>
  <c r="D148" i="34"/>
  <c r="I298" i="3" l="1"/>
  <c r="J298" i="3"/>
  <c r="L664" i="7"/>
  <c r="I775" i="34"/>
  <c r="F8" i="1"/>
  <c r="F11" i="1" s="1"/>
  <c r="N50" i="48"/>
  <c r="N35" i="48"/>
  <c r="N40" i="48"/>
  <c r="M664" i="7" l="1"/>
  <c r="J775" i="34"/>
  <c r="N664" i="7" l="1"/>
  <c r="K775" i="34"/>
  <c r="O664" i="7" l="1"/>
  <c r="L775" i="34"/>
  <c r="P664" i="7" l="1"/>
  <c r="Q664" i="7" s="1"/>
  <c r="R664" i="7" s="1"/>
  <c r="M775" i="34"/>
  <c r="P775" i="34" l="1"/>
  <c r="R210" i="7"/>
  <c r="Q210" i="7"/>
  <c r="O775" i="34"/>
  <c r="N775" i="34"/>
  <c r="P210" i="7"/>
  <c r="C58" i="8"/>
  <c r="C426" i="6" l="1"/>
  <c r="A426" i="6"/>
  <c r="B426" i="6"/>
  <c r="C292" i="7"/>
  <c r="A292" i="7"/>
  <c r="B292" i="7"/>
  <c r="C121" i="8" l="1"/>
  <c r="C56" i="8"/>
  <c r="C129" i="11" l="1"/>
  <c r="F129" i="11"/>
  <c r="I129" i="11"/>
  <c r="E26" i="1" l="1"/>
  <c r="F26" i="1" s="1"/>
  <c r="E25" i="1"/>
  <c r="B291" i="3" s="1"/>
  <c r="B628" i="6"/>
  <c r="A628" i="6"/>
  <c r="C628" i="6"/>
  <c r="B698" i="6"/>
  <c r="F24" i="1"/>
  <c r="B301" i="3" l="1"/>
  <c r="B292" i="3"/>
  <c r="F30" i="1"/>
  <c r="F31" i="1" s="1"/>
  <c r="F25" i="1"/>
  <c r="C291" i="3" s="1"/>
  <c r="C627" i="6"/>
  <c r="B627" i="6"/>
  <c r="B646" i="6"/>
  <c r="A646" i="6"/>
  <c r="C646" i="6"/>
  <c r="C301" i="3" l="1"/>
  <c r="C292" i="3"/>
  <c r="B302" i="3"/>
  <c r="B293" i="3"/>
  <c r="D628" i="6"/>
  <c r="D698" i="6"/>
  <c r="H29" i="1"/>
  <c r="C302" i="3" l="1"/>
  <c r="C293" i="3"/>
  <c r="I29" i="1"/>
  <c r="J29" i="1" l="1"/>
  <c r="C153" i="6"/>
  <c r="K29" i="1" l="1"/>
  <c r="B193" i="48"/>
  <c r="L29" i="1" l="1"/>
  <c r="K40" i="48"/>
  <c r="M29" i="1" l="1"/>
  <c r="B175" i="48"/>
  <c r="B221" i="48" s="1"/>
  <c r="B176" i="48"/>
  <c r="B222" i="48" s="1"/>
  <c r="B177" i="48"/>
  <c r="B223" i="48" s="1"/>
  <c r="B178" i="48"/>
  <c r="B224" i="48" s="1"/>
  <c r="B179" i="48"/>
  <c r="B180" i="48"/>
  <c r="B181" i="48"/>
  <c r="B182" i="48"/>
  <c r="B183" i="48"/>
  <c r="B184" i="48"/>
  <c r="B185" i="48"/>
  <c r="B186" i="48"/>
  <c r="B187" i="48"/>
  <c r="B188" i="48"/>
  <c r="B189" i="48"/>
  <c r="B190" i="48"/>
  <c r="B191" i="48"/>
  <c r="B192" i="48"/>
  <c r="B204" i="48"/>
  <c r="B194" i="48"/>
  <c r="B195" i="48"/>
  <c r="B196" i="48"/>
  <c r="B197" i="48"/>
  <c r="B198" i="48"/>
  <c r="B199" i="48"/>
  <c r="B200" i="48"/>
  <c r="B201" i="48"/>
  <c r="B202" i="48"/>
  <c r="B203" i="48"/>
  <c r="B205" i="48"/>
  <c r="B206" i="48"/>
  <c r="B207" i="48"/>
  <c r="B173" i="48"/>
  <c r="B174" i="48"/>
  <c r="B219" i="48" l="1"/>
  <c r="B220" i="48"/>
  <c r="N29" i="1"/>
  <c r="O29" i="1" s="1"/>
  <c r="P29" i="1" s="1"/>
  <c r="CL10" i="9" l="1"/>
  <c r="CM10" i="9" l="1"/>
  <c r="CN10" i="9" l="1"/>
  <c r="CO10" i="9"/>
  <c r="CP10" i="9" l="1"/>
  <c r="CQ10" i="9" l="1"/>
  <c r="C662" i="6"/>
  <c r="B662" i="6"/>
  <c r="A662" i="6"/>
  <c r="C665" i="6"/>
  <c r="B665" i="6"/>
  <c r="A665" i="6"/>
  <c r="C664" i="6"/>
  <c r="B664" i="6"/>
  <c r="A664" i="6"/>
  <c r="CR10" i="9" l="1"/>
  <c r="D665" i="6"/>
  <c r="D664" i="6"/>
  <c r="F17" i="1" l="1"/>
  <c r="G17" i="1" s="1"/>
  <c r="H17" i="1" s="1"/>
  <c r="I17" i="1" s="1"/>
  <c r="J17" i="1" s="1"/>
  <c r="K17" i="1" s="1"/>
  <c r="L17" i="1" s="1"/>
  <c r="M17" i="1" s="1"/>
  <c r="N17" i="1" s="1"/>
  <c r="O17" i="1" s="1"/>
  <c r="P17" i="1" s="1"/>
  <c r="D659" i="34"/>
  <c r="D665" i="34" s="1"/>
  <c r="CS10" i="9"/>
  <c r="G390" i="7"/>
  <c r="D390" i="7"/>
  <c r="C390" i="7"/>
  <c r="B390" i="7"/>
  <c r="C1000" i="7"/>
  <c r="H390" i="7" l="1"/>
  <c r="E659" i="34"/>
  <c r="CT10" i="9"/>
  <c r="A1008" i="7"/>
  <c r="A944" i="6"/>
  <c r="CU10" i="9" l="1"/>
  <c r="CV10" i="9"/>
  <c r="F659" i="34"/>
  <c r="E665" i="34"/>
  <c r="G389" i="7"/>
  <c r="D389" i="7"/>
  <c r="C389" i="7"/>
  <c r="C395" i="7" s="1"/>
  <c r="B389" i="7"/>
  <c r="A41" i="7"/>
  <c r="G1058" i="7"/>
  <c r="D1058" i="7"/>
  <c r="C1058" i="7"/>
  <c r="C1221" i="7" s="1"/>
  <c r="B5" i="3" s="1"/>
  <c r="B1058" i="7"/>
  <c r="B1221" i="7" s="1"/>
  <c r="A5" i="3" s="1"/>
  <c r="A1058" i="7"/>
  <c r="A1221" i="7" s="1"/>
  <c r="D395" i="7" l="1"/>
  <c r="H389" i="7"/>
  <c r="D1221" i="7"/>
  <c r="C5" i="3" s="1"/>
  <c r="H1058" i="7"/>
  <c r="G395" i="7"/>
  <c r="B395" i="7"/>
  <c r="B41" i="7" s="1"/>
  <c r="C41" i="7"/>
  <c r="B12" i="13" s="1"/>
  <c r="G659" i="34"/>
  <c r="F665" i="34"/>
  <c r="A1183" i="7"/>
  <c r="H395" i="7" l="1"/>
  <c r="D41" i="7"/>
  <c r="H659" i="34"/>
  <c r="G665" i="34"/>
  <c r="E79" i="14"/>
  <c r="F79" i="14"/>
  <c r="G79" i="14"/>
  <c r="H79" i="14"/>
  <c r="I79" i="14"/>
  <c r="J79" i="14"/>
  <c r="K79" i="14"/>
  <c r="L79" i="14"/>
  <c r="M79" i="14"/>
  <c r="N79" i="14"/>
  <c r="D84" i="14"/>
  <c r="I659" i="34" l="1"/>
  <c r="H665" i="34"/>
  <c r="G61" i="9" l="1"/>
  <c r="G63" i="9" s="1"/>
  <c r="J659" i="34"/>
  <c r="I665" i="34"/>
  <c r="C670" i="6"/>
  <c r="B670" i="6"/>
  <c r="B640" i="6"/>
  <c r="B639" i="6"/>
  <c r="B655" i="6"/>
  <c r="B653" i="6"/>
  <c r="B650" i="6"/>
  <c r="B649" i="6"/>
  <c r="A669" i="6"/>
  <c r="A668" i="6"/>
  <c r="A667" i="6"/>
  <c r="A666" i="6"/>
  <c r="A661" i="6"/>
  <c r="A663" i="6"/>
  <c r="A660" i="6"/>
  <c r="A659" i="6"/>
  <c r="B669" i="6"/>
  <c r="B668" i="6"/>
  <c r="B667" i="6"/>
  <c r="B666" i="6"/>
  <c r="B661" i="6"/>
  <c r="B663" i="6"/>
  <c r="B660" i="6"/>
  <c r="B659" i="6"/>
  <c r="C661" i="6"/>
  <c r="AD61" i="9" l="1"/>
  <c r="AE61" i="9" s="1"/>
  <c r="K659" i="34"/>
  <c r="J665" i="34"/>
  <c r="C663" i="6"/>
  <c r="C660" i="6"/>
  <c r="L659" i="34" l="1"/>
  <c r="K665" i="34"/>
  <c r="C1799" i="6"/>
  <c r="AK9" i="22"/>
  <c r="AO9" i="22"/>
  <c r="AS9" i="22"/>
  <c r="AW9" i="22"/>
  <c r="BA9" i="22"/>
  <c r="CB48" i="22"/>
  <c r="BA48" i="22"/>
  <c r="AW48" i="22"/>
  <c r="AS48" i="22"/>
  <c r="AO48" i="22"/>
  <c r="AK48" i="22"/>
  <c r="AG48" i="22"/>
  <c r="AC48" i="22"/>
  <c r="Y48" i="22"/>
  <c r="U48" i="22"/>
  <c r="CB47" i="22"/>
  <c r="BA47" i="22"/>
  <c r="AW47" i="22"/>
  <c r="AS47" i="22"/>
  <c r="AO47" i="22"/>
  <c r="AK47" i="22"/>
  <c r="AG47" i="22"/>
  <c r="AC47" i="22"/>
  <c r="Y47" i="22"/>
  <c r="U47" i="22"/>
  <c r="CL193" i="9"/>
  <c r="CL207" i="9"/>
  <c r="CL127" i="9"/>
  <c r="C586" i="6"/>
  <c r="C585" i="6"/>
  <c r="B585" i="6"/>
  <c r="A585" i="6"/>
  <c r="A586" i="6"/>
  <c r="B586" i="6"/>
  <c r="A593" i="6"/>
  <c r="B593" i="6"/>
  <c r="C593" i="6"/>
  <c r="AH16" i="21"/>
  <c r="AJ16" i="21" s="1"/>
  <c r="AH39" i="21"/>
  <c r="AH46" i="21"/>
  <c r="AJ46" i="21" s="1"/>
  <c r="AH43" i="21"/>
  <c r="AH47" i="21"/>
  <c r="AJ47" i="21" s="1"/>
  <c r="AH48" i="21"/>
  <c r="AJ48" i="21" s="1"/>
  <c r="AH38" i="21"/>
  <c r="AJ38" i="21" s="1"/>
  <c r="AH37" i="21"/>
  <c r="AH45" i="21"/>
  <c r="AJ45" i="21" s="1"/>
  <c r="AH42" i="21"/>
  <c r="AD39" i="21"/>
  <c r="AF39" i="21" s="1"/>
  <c r="AD46" i="21"/>
  <c r="AF46" i="21" s="1"/>
  <c r="AD43" i="21"/>
  <c r="AF43" i="21" s="1"/>
  <c r="AD48" i="21"/>
  <c r="AF48" i="21" s="1"/>
  <c r="AD38" i="21"/>
  <c r="AF38" i="21" s="1"/>
  <c r="AD37" i="21"/>
  <c r="AF37" i="21" s="1"/>
  <c r="AD45" i="21"/>
  <c r="AD42" i="21"/>
  <c r="AF42" i="21" s="1"/>
  <c r="Z39" i="21"/>
  <c r="AB39" i="21" s="1"/>
  <c r="Z46" i="21"/>
  <c r="AB46" i="21" s="1"/>
  <c r="Z43" i="21"/>
  <c r="AB43" i="21" s="1"/>
  <c r="Z47" i="21"/>
  <c r="AB47" i="21" s="1"/>
  <c r="Z48" i="21"/>
  <c r="AB48" i="21" s="1"/>
  <c r="Z38" i="21"/>
  <c r="AB38" i="21" s="1"/>
  <c r="Z37" i="21"/>
  <c r="AB37" i="21" s="1"/>
  <c r="Z45" i="21"/>
  <c r="AB45" i="21" s="1"/>
  <c r="Z42" i="21"/>
  <c r="AB42" i="21" s="1"/>
  <c r="V39" i="21"/>
  <c r="X39" i="21" s="1"/>
  <c r="V46" i="21"/>
  <c r="V43" i="21"/>
  <c r="X43" i="21" s="1"/>
  <c r="V47" i="21"/>
  <c r="X47" i="21" s="1"/>
  <c r="V48" i="21"/>
  <c r="X48" i="21" s="1"/>
  <c r="V38" i="21"/>
  <c r="X38" i="21" s="1"/>
  <c r="X37" i="21"/>
  <c r="V45" i="21"/>
  <c r="X45" i="21" s="1"/>
  <c r="V42" i="21"/>
  <c r="X42" i="21" s="1"/>
  <c r="X46" i="21"/>
  <c r="R45" i="21"/>
  <c r="T45" i="21" s="1"/>
  <c r="R37" i="21"/>
  <c r="T37" i="21" s="1"/>
  <c r="R38" i="21"/>
  <c r="T38" i="21" s="1"/>
  <c r="R48" i="21"/>
  <c r="T48" i="21" s="1"/>
  <c r="R47" i="21"/>
  <c r="T47" i="21" s="1"/>
  <c r="R43" i="21"/>
  <c r="T43" i="21" s="1"/>
  <c r="R46" i="21"/>
  <c r="T46" i="21" s="1"/>
  <c r="R39" i="21"/>
  <c r="T39" i="21" s="1"/>
  <c r="R42" i="21"/>
  <c r="T42" i="21" s="1"/>
  <c r="Z26" i="21"/>
  <c r="AB26" i="21" s="1"/>
  <c r="V26" i="21"/>
  <c r="X26" i="21" s="1"/>
  <c r="R26" i="21"/>
  <c r="T26" i="21" s="1"/>
  <c r="Z25" i="21"/>
  <c r="AB25" i="21" s="1"/>
  <c r="V25" i="21"/>
  <c r="X25" i="21" s="1"/>
  <c r="T25" i="21"/>
  <c r="Z34" i="21"/>
  <c r="AB34" i="21" s="1"/>
  <c r="V34" i="21"/>
  <c r="X34" i="21" s="1"/>
  <c r="R34" i="21"/>
  <c r="T34" i="21" s="1"/>
  <c r="Z33" i="21"/>
  <c r="AB33" i="21" s="1"/>
  <c r="V33" i="21"/>
  <c r="X33" i="21" s="1"/>
  <c r="R33" i="21"/>
  <c r="T33" i="21" s="1"/>
  <c r="Z32" i="21"/>
  <c r="AB32" i="21" s="1"/>
  <c r="V32" i="21"/>
  <c r="X32" i="21" s="1"/>
  <c r="R32" i="21"/>
  <c r="T32" i="21" s="1"/>
  <c r="Z31" i="21"/>
  <c r="AB31" i="21" s="1"/>
  <c r="V31" i="21"/>
  <c r="X31" i="21" s="1"/>
  <c r="R31" i="21"/>
  <c r="Z30" i="21"/>
  <c r="AB30" i="21" s="1"/>
  <c r="V30" i="21"/>
  <c r="X30" i="21" s="1"/>
  <c r="T30" i="21"/>
  <c r="Z14" i="21"/>
  <c r="V14" i="21"/>
  <c r="R14" i="21"/>
  <c r="T14" i="21" s="1"/>
  <c r="AX45" i="21"/>
  <c r="AZ45" i="21" s="1"/>
  <c r="AT45" i="21"/>
  <c r="AV45" i="21" s="1"/>
  <c r="AP45" i="21"/>
  <c r="AR45" i="21" s="1"/>
  <c r="AN45" i="21"/>
  <c r="AF45" i="21"/>
  <c r="AX37" i="21"/>
  <c r="AZ37" i="21" s="1"/>
  <c r="AT37" i="21"/>
  <c r="AV37" i="21" s="1"/>
  <c r="AP37" i="21"/>
  <c r="AR37" i="21" s="1"/>
  <c r="AN37" i="21"/>
  <c r="AJ37" i="21"/>
  <c r="AX38" i="21"/>
  <c r="AZ38" i="21" s="1"/>
  <c r="AT38" i="21"/>
  <c r="AV38" i="21" s="1"/>
  <c r="AP38" i="21"/>
  <c r="AR38" i="21" s="1"/>
  <c r="AN38" i="21"/>
  <c r="AX48" i="21"/>
  <c r="AZ48" i="21" s="1"/>
  <c r="AT48" i="21"/>
  <c r="AV48" i="21" s="1"/>
  <c r="AP48" i="21"/>
  <c r="AR48" i="21" s="1"/>
  <c r="AL48" i="21"/>
  <c r="AN48" i="21" s="1"/>
  <c r="AX47" i="21"/>
  <c r="AZ47" i="21" s="1"/>
  <c r="AT47" i="21"/>
  <c r="AV47" i="21" s="1"/>
  <c r="AR47" i="21"/>
  <c r="AL47" i="21"/>
  <c r="AN47" i="21" s="1"/>
  <c r="AF47" i="21"/>
  <c r="AZ43" i="21"/>
  <c r="AT43" i="21"/>
  <c r="AV43" i="21" s="1"/>
  <c r="AP43" i="21"/>
  <c r="AR43" i="21" s="1"/>
  <c r="AN43" i="21"/>
  <c r="AJ43" i="21"/>
  <c r="AX46" i="21"/>
  <c r="AZ46" i="21" s="1"/>
  <c r="AT46" i="21"/>
  <c r="AV46" i="21" s="1"/>
  <c r="AP46" i="21"/>
  <c r="AR46" i="21" s="1"/>
  <c r="AN46" i="21"/>
  <c r="AX39" i="21"/>
  <c r="AZ39" i="21" s="1"/>
  <c r="AT39" i="21"/>
  <c r="AV39" i="21" s="1"/>
  <c r="AR39" i="21"/>
  <c r="AN39" i="21"/>
  <c r="AJ39" i="21"/>
  <c r="AZ42" i="21"/>
  <c r="AV42" i="21"/>
  <c r="AP42" i="21"/>
  <c r="AR42" i="21" s="1"/>
  <c r="AN42" i="21"/>
  <c r="AJ42" i="21"/>
  <c r="AX26" i="21"/>
  <c r="AZ26" i="21" s="1"/>
  <c r="AT26" i="21"/>
  <c r="AV26" i="21" s="1"/>
  <c r="AP26" i="21"/>
  <c r="AR26" i="21" s="1"/>
  <c r="AL26" i="21"/>
  <c r="AN26" i="21" s="1"/>
  <c r="AH26" i="21"/>
  <c r="AJ26" i="21" s="1"/>
  <c r="AD26" i="21"/>
  <c r="AF26" i="21" s="1"/>
  <c r="AX25" i="21"/>
  <c r="AZ25" i="21" s="1"/>
  <c r="AT25" i="21"/>
  <c r="AV25" i="21" s="1"/>
  <c r="AP25" i="21"/>
  <c r="AR25" i="21" s="1"/>
  <c r="AL25" i="21"/>
  <c r="AN25" i="21" s="1"/>
  <c r="AH25" i="21"/>
  <c r="AJ25" i="21" s="1"/>
  <c r="AD25" i="21"/>
  <c r="AF25" i="21" s="1"/>
  <c r="AL30" i="21"/>
  <c r="AN30" i="21" s="1"/>
  <c r="AL31" i="21"/>
  <c r="AN31" i="21" s="1"/>
  <c r="AL32" i="21"/>
  <c r="AN32" i="21" s="1"/>
  <c r="AL33" i="21"/>
  <c r="AN33" i="21" s="1"/>
  <c r="AL34" i="21"/>
  <c r="AN34" i="21" s="1"/>
  <c r="AX34" i="21"/>
  <c r="AZ34" i="21" s="1"/>
  <c r="AT34" i="21"/>
  <c r="AV34" i="21" s="1"/>
  <c r="AP34" i="21"/>
  <c r="AR34" i="21" s="1"/>
  <c r="AH34" i="21"/>
  <c r="AJ34" i="21" s="1"/>
  <c r="AD34" i="21"/>
  <c r="AF34" i="21" s="1"/>
  <c r="AX33" i="21"/>
  <c r="AZ33" i="21" s="1"/>
  <c r="AT33" i="21"/>
  <c r="AV33" i="21" s="1"/>
  <c r="AP33" i="21"/>
  <c r="AR33" i="21" s="1"/>
  <c r="AH33" i="21"/>
  <c r="AJ33" i="21" s="1"/>
  <c r="AD33" i="21"/>
  <c r="AF33" i="21" s="1"/>
  <c r="AX32" i="21"/>
  <c r="AZ32" i="21" s="1"/>
  <c r="AT32" i="21"/>
  <c r="AV32" i="21" s="1"/>
  <c r="AP32" i="21"/>
  <c r="AR32" i="21" s="1"/>
  <c r="AH32" i="21"/>
  <c r="AJ32" i="21" s="1"/>
  <c r="AD32" i="21"/>
  <c r="AF32" i="21" s="1"/>
  <c r="AX31" i="21"/>
  <c r="AZ31" i="21" s="1"/>
  <c r="AT31" i="21"/>
  <c r="AV31" i="21" s="1"/>
  <c r="AP31" i="21"/>
  <c r="AR31" i="21" s="1"/>
  <c r="AH31" i="21"/>
  <c r="AJ31" i="21" s="1"/>
  <c r="AD31" i="21"/>
  <c r="AF31" i="21" s="1"/>
  <c r="AX30" i="21"/>
  <c r="AZ30" i="21" s="1"/>
  <c r="AT30" i="21"/>
  <c r="AV30" i="21" s="1"/>
  <c r="AP30" i="21"/>
  <c r="AR30" i="21" s="1"/>
  <c r="AH30" i="21"/>
  <c r="AJ30" i="21" s="1"/>
  <c r="AD30" i="21"/>
  <c r="AF30" i="21" s="1"/>
  <c r="AX16" i="21"/>
  <c r="AZ16" i="21" s="1"/>
  <c r="AT16" i="21"/>
  <c r="AV16" i="21" s="1"/>
  <c r="AP16" i="21"/>
  <c r="AR16" i="21" s="1"/>
  <c r="AN16" i="21"/>
  <c r="AD16" i="21"/>
  <c r="AF16" i="21" s="1"/>
  <c r="AX14" i="21"/>
  <c r="AT14" i="21"/>
  <c r="AP14" i="21"/>
  <c r="AH14" i="21"/>
  <c r="AD14" i="21"/>
  <c r="AD15" i="21"/>
  <c r="Z15" i="21"/>
  <c r="V15" i="21"/>
  <c r="R15" i="21"/>
  <c r="T15" i="21" s="1"/>
  <c r="H594" i="6" l="1"/>
  <c r="AR14" i="21"/>
  <c r="AN14" i="21"/>
  <c r="AB14" i="21"/>
  <c r="Z68" i="21"/>
  <c r="AJ14" i="21"/>
  <c r="AV14" i="21"/>
  <c r="X14" i="21"/>
  <c r="V68" i="21"/>
  <c r="AF14" i="21"/>
  <c r="AZ14" i="21"/>
  <c r="T31" i="21"/>
  <c r="T68" i="21" s="1"/>
  <c r="R68" i="21"/>
  <c r="M659" i="34"/>
  <c r="L665" i="34"/>
  <c r="BP48" i="22"/>
  <c r="BQ48" i="22" s="1"/>
  <c r="BR48" i="22" s="1"/>
  <c r="BP47" i="22"/>
  <c r="BQ47" i="22" s="1"/>
  <c r="CD47" i="22" s="1"/>
  <c r="BZ193" i="9"/>
  <c r="CA193" i="9" s="1"/>
  <c r="CN193" i="9" s="1"/>
  <c r="BZ127" i="9"/>
  <c r="CM127" i="9" s="1"/>
  <c r="BZ207" i="9"/>
  <c r="BO9" i="21"/>
  <c r="CA207" i="9" l="1"/>
  <c r="CM207" i="9"/>
  <c r="CD48" i="22"/>
  <c r="N659" i="34"/>
  <c r="M665" i="34"/>
  <c r="CM193" i="9"/>
  <c r="CB193" i="9"/>
  <c r="CC193" i="9" s="1"/>
  <c r="BR47" i="22"/>
  <c r="CE47" i="22" s="1"/>
  <c r="CC47" i="22"/>
  <c r="CC48" i="22"/>
  <c r="CA127" i="9"/>
  <c r="CB127" i="9" s="1"/>
  <c r="CO127" i="9" s="1"/>
  <c r="CE48" i="22"/>
  <c r="BS48" i="22"/>
  <c r="BP9" i="21"/>
  <c r="R77" i="22"/>
  <c r="V77" i="22"/>
  <c r="Z77" i="22"/>
  <c r="AD77" i="22"/>
  <c r="AH77" i="22"/>
  <c r="AL77" i="22"/>
  <c r="AP77" i="22"/>
  <c r="AT77" i="22"/>
  <c r="AX77" i="22"/>
  <c r="CB207" i="9" l="1"/>
  <c r="CN207" i="9"/>
  <c r="N665" i="34"/>
  <c r="O659" i="34"/>
  <c r="O665" i="34" s="1"/>
  <c r="CN127" i="9"/>
  <c r="BS47" i="22"/>
  <c r="CF47" i="22" s="1"/>
  <c r="CF48" i="22"/>
  <c r="BT48" i="22"/>
  <c r="CD193" i="9"/>
  <c r="CC127" i="9"/>
  <c r="CP127" i="9" s="1"/>
  <c r="BQ9" i="21"/>
  <c r="C644" i="6"/>
  <c r="C630" i="6"/>
  <c r="C645" i="6"/>
  <c r="C631" i="6"/>
  <c r="A644" i="6"/>
  <c r="B644" i="6"/>
  <c r="A630" i="6"/>
  <c r="B630" i="6"/>
  <c r="A645" i="6"/>
  <c r="B645" i="6"/>
  <c r="A631" i="6"/>
  <c r="B631" i="6"/>
  <c r="CO207" i="9" l="1"/>
  <c r="CC207" i="9"/>
  <c r="BT47" i="22"/>
  <c r="BU47" i="22" s="1"/>
  <c r="BU48" i="22"/>
  <c r="CG48" i="22"/>
  <c r="CE193" i="9"/>
  <c r="CD127" i="9"/>
  <c r="CQ127" i="9" s="1"/>
  <c r="BR9" i="21"/>
  <c r="CP207" i="9" l="1"/>
  <c r="CD207" i="9"/>
  <c r="CG47" i="22"/>
  <c r="CH48" i="22"/>
  <c r="BV48" i="22"/>
  <c r="CH47" i="22"/>
  <c r="BV47" i="22"/>
  <c r="CF193" i="9"/>
  <c r="CE127" i="9"/>
  <c r="CR127" i="9" s="1"/>
  <c r="BS9" i="21"/>
  <c r="C835" i="4"/>
  <c r="B835" i="4"/>
  <c r="G850" i="4"/>
  <c r="B289" i="4" l="1"/>
  <c r="C289" i="4"/>
  <c r="G106" i="14"/>
  <c r="G165" i="14"/>
  <c r="CQ207" i="9"/>
  <c r="CE207" i="9"/>
  <c r="U17" i="9"/>
  <c r="D177" i="14"/>
  <c r="CI48" i="22"/>
  <c r="BW48" i="22"/>
  <c r="CI47" i="22"/>
  <c r="BW47" i="22"/>
  <c r="CG193" i="9"/>
  <c r="CF127" i="9"/>
  <c r="CS127" i="9" s="1"/>
  <c r="BT9" i="21"/>
  <c r="C177" i="6"/>
  <c r="O943" i="6"/>
  <c r="N943" i="6"/>
  <c r="M943" i="6"/>
  <c r="L943" i="6"/>
  <c r="K943" i="6"/>
  <c r="J943" i="6"/>
  <c r="I943" i="6"/>
  <c r="G943" i="6"/>
  <c r="CH193" i="9" l="1"/>
  <c r="CI193" i="9" s="1"/>
  <c r="CR207" i="9"/>
  <c r="CF207" i="9"/>
  <c r="CJ47" i="22"/>
  <c r="BX47" i="22"/>
  <c r="CJ48" i="22"/>
  <c r="BX48" i="22"/>
  <c r="CG127" i="9"/>
  <c r="BU9" i="21"/>
  <c r="C130" i="6"/>
  <c r="B130" i="6"/>
  <c r="A130" i="6"/>
  <c r="D938" i="6"/>
  <c r="C938" i="6"/>
  <c r="B938" i="6"/>
  <c r="A938" i="6"/>
  <c r="C935" i="6"/>
  <c r="C937" i="6" s="1"/>
  <c r="B935" i="6"/>
  <c r="B937" i="6" s="1"/>
  <c r="A935" i="6"/>
  <c r="A937" i="6" s="1"/>
  <c r="CV193" i="9" l="1"/>
  <c r="CJ193" i="9"/>
  <c r="CW193" i="9" s="1"/>
  <c r="CT127" i="9"/>
  <c r="CS207" i="9"/>
  <c r="CG207" i="9"/>
  <c r="CK48" i="22"/>
  <c r="BY48" i="22"/>
  <c r="CK47" i="22"/>
  <c r="BY47" i="22"/>
  <c r="CH127" i="9"/>
  <c r="BV9" i="21"/>
  <c r="BW9" i="21" s="1"/>
  <c r="BX9" i="21" s="1"/>
  <c r="CL47" i="22" l="1"/>
  <c r="BZ47" i="22"/>
  <c r="CL48" i="22"/>
  <c r="BZ48" i="22"/>
  <c r="CK9" i="21"/>
  <c r="BY9" i="21"/>
  <c r="CH207" i="9"/>
  <c r="CT207" i="9"/>
  <c r="CU127" i="9"/>
  <c r="CI127" i="9"/>
  <c r="CV127" i="9" l="1"/>
  <c r="CJ127" i="9"/>
  <c r="CW127" i="9" s="1"/>
  <c r="CU207" i="9"/>
  <c r="CI207" i="9"/>
  <c r="C155" i="6"/>
  <c r="A155" i="6"/>
  <c r="CV207" i="9" l="1"/>
  <c r="CJ207" i="9"/>
  <c r="CW207" i="9" s="1"/>
  <c r="A216" i="42"/>
  <c r="O115" i="6" l="1"/>
  <c r="N115" i="6"/>
  <c r="M115" i="6"/>
  <c r="L115" i="6"/>
  <c r="K115" i="6"/>
  <c r="J115" i="6"/>
  <c r="O114" i="6"/>
  <c r="N114" i="6"/>
  <c r="M114" i="6"/>
  <c r="L114" i="6"/>
  <c r="K114" i="6"/>
  <c r="J114" i="6"/>
  <c r="I114" i="6"/>
  <c r="G114" i="6"/>
  <c r="D114" i="6"/>
  <c r="C114" i="6"/>
  <c r="B114" i="6"/>
  <c r="A118" i="6"/>
  <c r="A117" i="6"/>
  <c r="A116" i="6"/>
  <c r="A115" i="6"/>
  <c r="A114" i="6"/>
  <c r="B132" i="6"/>
  <c r="B7" i="6" s="1"/>
  <c r="A132" i="6"/>
  <c r="A7" i="6" s="1"/>
  <c r="C79" i="6"/>
  <c r="A79" i="6"/>
  <c r="B79" i="6"/>
  <c r="C865" i="6"/>
  <c r="B865" i="6"/>
  <c r="A865" i="6"/>
  <c r="O175" i="6"/>
  <c r="N175" i="6"/>
  <c r="M175" i="6"/>
  <c r="L175" i="6"/>
  <c r="K175" i="6"/>
  <c r="J175" i="6"/>
  <c r="I175" i="6"/>
  <c r="O174" i="6"/>
  <c r="N174" i="6"/>
  <c r="M174" i="6"/>
  <c r="L174" i="6"/>
  <c r="K174" i="6"/>
  <c r="J174" i="6"/>
  <c r="I174" i="6"/>
  <c r="G174" i="6"/>
  <c r="D174" i="6"/>
  <c r="C174" i="6"/>
  <c r="B174" i="6"/>
  <c r="A178" i="6"/>
  <c r="A177" i="6"/>
  <c r="A176" i="6"/>
  <c r="A175" i="6"/>
  <c r="A174" i="6"/>
  <c r="E125" i="6"/>
  <c r="C154" i="6"/>
  <c r="B154" i="6"/>
  <c r="B153" i="6"/>
  <c r="A154" i="6"/>
  <c r="A153" i="6"/>
  <c r="E7" i="6"/>
  <c r="E23" i="6" s="1"/>
  <c r="E39" i="6" s="1"/>
  <c r="F2057" i="6"/>
  <c r="D130" i="6" l="1"/>
  <c r="D935" i="6"/>
  <c r="D937" i="6" s="1"/>
  <c r="C939" i="6"/>
  <c r="D155" i="6"/>
  <c r="A939" i="6"/>
  <c r="A947" i="6" s="1"/>
  <c r="D154" i="6"/>
  <c r="D153" i="6"/>
  <c r="B939" i="6"/>
  <c r="C205" i="6"/>
  <c r="C204" i="6"/>
  <c r="B205" i="6"/>
  <c r="B204" i="6"/>
  <c r="A205" i="6"/>
  <c r="A204" i="6"/>
  <c r="D939" i="6" l="1"/>
  <c r="F53" i="1" l="1"/>
  <c r="BH60" i="9" l="1"/>
  <c r="BI60" i="9" s="1"/>
  <c r="BC60" i="9"/>
  <c r="BD60" i="9" s="1"/>
  <c r="AI60" i="9"/>
  <c r="AJ60" i="9" s="1"/>
  <c r="AI59" i="9"/>
  <c r="AJ59" i="9" s="1"/>
  <c r="AI57" i="9"/>
  <c r="G16" i="1"/>
  <c r="AJ57" i="9" l="1"/>
  <c r="H16" i="1"/>
  <c r="I16" i="1" s="1"/>
  <c r="J16" i="1" s="1"/>
  <c r="K1094" i="7" s="1"/>
  <c r="H1083" i="7"/>
  <c r="H427" i="7" s="1"/>
  <c r="S7" i="22"/>
  <c r="U7" i="22" s="1"/>
  <c r="U119" i="22"/>
  <c r="K16" i="1" l="1"/>
  <c r="L16" i="1" s="1"/>
  <c r="M16" i="1" s="1"/>
  <c r="N16" i="1" s="1"/>
  <c r="O16" i="1" s="1"/>
  <c r="P16" i="1" s="1"/>
  <c r="L1094" i="7"/>
  <c r="M1094" i="7" s="1"/>
  <c r="N1094" i="7" s="1"/>
  <c r="O1094" i="7" s="1"/>
  <c r="P1094" i="7" s="1"/>
  <c r="Q1094" i="7" s="1"/>
  <c r="R1094" i="7" s="1"/>
  <c r="I1083" i="7"/>
  <c r="I427" i="7" s="1"/>
  <c r="H1099" i="7"/>
  <c r="H1096" i="7"/>
  <c r="H1097" i="7"/>
  <c r="H1091" i="7"/>
  <c r="H1093" i="7"/>
  <c r="H1092" i="7"/>
  <c r="H1098" i="7"/>
  <c r="H1095" i="7"/>
  <c r="H1090" i="7"/>
  <c r="H1100" i="7"/>
  <c r="D431" i="7"/>
  <c r="Q1085" i="7" l="1"/>
  <c r="R1085" i="7" s="1"/>
  <c r="Q1086" i="7"/>
  <c r="R1086" i="7" s="1"/>
  <c r="Q1084" i="7"/>
  <c r="R1084" i="7" s="1"/>
  <c r="I1091" i="7"/>
  <c r="J1091" i="7" s="1"/>
  <c r="K1091" i="7" s="1"/>
  <c r="L1091" i="7" s="1"/>
  <c r="M1091" i="7" s="1"/>
  <c r="N1091" i="7" s="1"/>
  <c r="O1091" i="7" s="1"/>
  <c r="P1091" i="7" s="1"/>
  <c r="Q1091" i="7" s="1"/>
  <c r="R1091" i="7" s="1"/>
  <c r="I1096" i="7"/>
  <c r="J1096" i="7" s="1"/>
  <c r="K1096" i="7" s="1"/>
  <c r="L1096" i="7" s="1"/>
  <c r="M1096" i="7" s="1"/>
  <c r="N1096" i="7" s="1"/>
  <c r="O1096" i="7" s="1"/>
  <c r="P1096" i="7" s="1"/>
  <c r="Q1096" i="7" s="1"/>
  <c r="R1096" i="7" s="1"/>
  <c r="I1092" i="7"/>
  <c r="J1092" i="7" s="1"/>
  <c r="K1092" i="7" s="1"/>
  <c r="L1092" i="7" s="1"/>
  <c r="M1092" i="7" s="1"/>
  <c r="N1092" i="7" s="1"/>
  <c r="O1092" i="7" s="1"/>
  <c r="P1092" i="7" s="1"/>
  <c r="Q1092" i="7" s="1"/>
  <c r="R1092" i="7" s="1"/>
  <c r="I1098" i="7"/>
  <c r="K1098" i="7" s="1"/>
  <c r="L1098" i="7" s="1"/>
  <c r="M1098" i="7" s="1"/>
  <c r="N1098" i="7" s="1"/>
  <c r="O1098" i="7" s="1"/>
  <c r="P1098" i="7" s="1"/>
  <c r="Q1098" i="7" s="1"/>
  <c r="I1095" i="7"/>
  <c r="J1095" i="7" s="1"/>
  <c r="I1093" i="7"/>
  <c r="J1093" i="7" s="1"/>
  <c r="K1093" i="7" s="1"/>
  <c r="L1093" i="7" s="1"/>
  <c r="M1093" i="7" s="1"/>
  <c r="N1093" i="7" s="1"/>
  <c r="O1093" i="7" s="1"/>
  <c r="P1093" i="7" s="1"/>
  <c r="Q1093" i="7" s="1"/>
  <c r="R1093" i="7" s="1"/>
  <c r="I1097" i="7"/>
  <c r="J1097" i="7" s="1"/>
  <c r="H1134" i="7"/>
  <c r="I1081" i="7"/>
  <c r="J1083" i="7"/>
  <c r="J427" i="7" s="1"/>
  <c r="H421" i="7"/>
  <c r="I1099" i="7"/>
  <c r="I1100" i="7"/>
  <c r="G431" i="7"/>
  <c r="H431" i="7" s="1"/>
  <c r="I1090" i="7"/>
  <c r="Q423" i="7" l="1"/>
  <c r="R1098" i="7"/>
  <c r="R423" i="7" s="1"/>
  <c r="P781" i="34"/>
  <c r="R428" i="7"/>
  <c r="K1095" i="7"/>
  <c r="L1095" i="7" s="1"/>
  <c r="M1095" i="7" s="1"/>
  <c r="N1095" i="7" s="1"/>
  <c r="O1095" i="7" s="1"/>
  <c r="P1095" i="7" s="1"/>
  <c r="Q1095" i="7" s="1"/>
  <c r="R1095" i="7" s="1"/>
  <c r="Q428" i="7"/>
  <c r="O781" i="34"/>
  <c r="P423" i="7"/>
  <c r="I422" i="7"/>
  <c r="G777" i="34"/>
  <c r="K1083" i="7"/>
  <c r="K427" i="7" s="1"/>
  <c r="J1081" i="7"/>
  <c r="I1134" i="7"/>
  <c r="J1099" i="7"/>
  <c r="K1097" i="7"/>
  <c r="J422" i="7"/>
  <c r="J1090" i="7"/>
  <c r="J1100" i="7"/>
  <c r="I431" i="7"/>
  <c r="H777" i="34" l="1"/>
  <c r="K1081" i="7"/>
  <c r="J1134" i="7"/>
  <c r="L1083" i="7"/>
  <c r="L427" i="7" s="1"/>
  <c r="L1097" i="7"/>
  <c r="K422" i="7"/>
  <c r="K1099" i="7"/>
  <c r="K1100" i="7"/>
  <c r="J431" i="7"/>
  <c r="K1090" i="7"/>
  <c r="M1083" i="7" l="1"/>
  <c r="M427" i="7" s="1"/>
  <c r="L1081" i="7"/>
  <c r="K1134" i="7"/>
  <c r="L1099" i="7"/>
  <c r="M1097" i="7"/>
  <c r="L422" i="7"/>
  <c r="L1090" i="7"/>
  <c r="L1100" i="7"/>
  <c r="K431" i="7"/>
  <c r="E154" i="14"/>
  <c r="M1081" i="7" l="1"/>
  <c r="L1134" i="7"/>
  <c r="N1083" i="7"/>
  <c r="N427" i="7" s="1"/>
  <c r="N1097" i="7"/>
  <c r="M422" i="7"/>
  <c r="M1099" i="7"/>
  <c r="M1100" i="7"/>
  <c r="L431" i="7"/>
  <c r="M1090" i="7"/>
  <c r="O1083" i="7" l="1"/>
  <c r="O427" i="7" s="1"/>
  <c r="N1081" i="7"/>
  <c r="M1134" i="7"/>
  <c r="N1099" i="7"/>
  <c r="O1097" i="7"/>
  <c r="N422" i="7"/>
  <c r="N1090" i="7"/>
  <c r="N1100" i="7"/>
  <c r="M431" i="7"/>
  <c r="O1081" i="7" l="1"/>
  <c r="N1134" i="7"/>
  <c r="P1083" i="7"/>
  <c r="P427" i="7" s="1"/>
  <c r="P1097" i="7"/>
  <c r="O422" i="7"/>
  <c r="O1099" i="7"/>
  <c r="O1100" i="7"/>
  <c r="N431" i="7"/>
  <c r="O1090" i="7"/>
  <c r="Q1083" i="7" l="1"/>
  <c r="P422" i="7"/>
  <c r="Q1097" i="7"/>
  <c r="P1081" i="7"/>
  <c r="Q1081" i="7" s="1"/>
  <c r="R1081" i="7" s="1"/>
  <c r="O1134" i="7"/>
  <c r="P1099" i="7"/>
  <c r="Q1099" i="7" s="1"/>
  <c r="R1099" i="7" s="1"/>
  <c r="P1090" i="7"/>
  <c r="Q1090" i="7" s="1"/>
  <c r="R1090" i="7" s="1"/>
  <c r="O431" i="7"/>
  <c r="P1100" i="7"/>
  <c r="Q422" i="7" l="1"/>
  <c r="R1097" i="7"/>
  <c r="R422" i="7" s="1"/>
  <c r="R1134" i="7"/>
  <c r="R441" i="7" s="1"/>
  <c r="R420" i="7"/>
  <c r="Q427" i="7"/>
  <c r="R1083" i="7"/>
  <c r="O777" i="34"/>
  <c r="P431" i="7"/>
  <c r="Q1100" i="7"/>
  <c r="Q1134" i="7"/>
  <c r="Q441" i="7" s="1"/>
  <c r="Q420" i="7"/>
  <c r="P420" i="7"/>
  <c r="P1134" i="7"/>
  <c r="A281" i="9"/>
  <c r="A282" i="9"/>
  <c r="A283" i="9"/>
  <c r="A445" i="9"/>
  <c r="P777" i="34" l="1"/>
  <c r="R427" i="7"/>
  <c r="Q431" i="7"/>
  <c r="R1100" i="7"/>
  <c r="Y16" i="22"/>
  <c r="AC16" i="22"/>
  <c r="Y6" i="22"/>
  <c r="AC6" i="22"/>
  <c r="Y8" i="22"/>
  <c r="AC8" i="22"/>
  <c r="U118" i="22"/>
  <c r="R431" i="7" l="1"/>
  <c r="R434" i="7" s="1"/>
  <c r="R14" i="7" s="1"/>
  <c r="R1103" i="7"/>
  <c r="C91" i="6"/>
  <c r="C90" i="6"/>
  <c r="C89" i="6"/>
  <c r="C88" i="6"/>
  <c r="C87" i="6"/>
  <c r="C86" i="6"/>
  <c r="B87" i="6"/>
  <c r="B88" i="6"/>
  <c r="B89" i="6"/>
  <c r="B90" i="6"/>
  <c r="B91" i="6"/>
  <c r="B86" i="6"/>
  <c r="A91" i="6"/>
  <c r="A90" i="6"/>
  <c r="A89" i="6"/>
  <c r="A88" i="6"/>
  <c r="A87" i="6"/>
  <c r="A86" i="6"/>
  <c r="I1370" i="6" l="1"/>
  <c r="P39" i="45" l="1"/>
  <c r="P45" i="45" s="1"/>
  <c r="G431" i="6"/>
  <c r="D431" i="6"/>
  <c r="C431" i="6"/>
  <c r="B431" i="6"/>
  <c r="A431" i="6"/>
  <c r="C352" i="4"/>
  <c r="A637" i="4"/>
  <c r="BH95" i="9"/>
  <c r="BI95" i="9" s="1"/>
  <c r="AO95" i="9"/>
  <c r="AX95" i="9"/>
  <c r="AS95" i="9"/>
  <c r="AT95" i="9" s="1"/>
  <c r="AE95" i="9"/>
  <c r="I625" i="7"/>
  <c r="C324" i="6"/>
  <c r="B324" i="6"/>
  <c r="A324" i="6"/>
  <c r="H431" i="6" l="1"/>
  <c r="CM95" i="9"/>
  <c r="CN95" i="9"/>
  <c r="AY95" i="9"/>
  <c r="AJ95" i="9"/>
  <c r="BC95" i="9"/>
  <c r="BD95" i="9" s="1"/>
  <c r="CO95" i="9" l="1"/>
  <c r="C464" i="4"/>
  <c r="C114" i="4"/>
  <c r="B114" i="4"/>
  <c r="A114" i="4"/>
  <c r="A152" i="4" s="1"/>
  <c r="B152" i="4" l="1"/>
  <c r="CP95" i="9"/>
  <c r="C152" i="4"/>
  <c r="CQ95" i="9" l="1"/>
  <c r="CR95" i="9"/>
  <c r="CS95" i="9" l="1"/>
  <c r="C182" i="4"/>
  <c r="B182" i="4"/>
  <c r="A182" i="4"/>
  <c r="CT95" i="9" l="1"/>
  <c r="CU95" i="9"/>
  <c r="B712" i="6"/>
  <c r="V145" i="9" l="1"/>
  <c r="V416" i="9" s="1"/>
  <c r="Z80" i="10"/>
  <c r="W80" i="10"/>
  <c r="T80" i="10"/>
  <c r="G1145" i="6" l="1"/>
  <c r="Z145" i="9"/>
  <c r="Y80" i="10"/>
  <c r="AB80" i="10"/>
  <c r="V80" i="10"/>
  <c r="A127" i="40" l="1"/>
  <c r="P175" i="6" l="1"/>
  <c r="P176" i="6"/>
  <c r="C16" i="48" l="1"/>
  <c r="C15" i="48"/>
  <c r="C14" i="48"/>
  <c r="C13" i="48"/>
  <c r="C12" i="48"/>
  <c r="C11" i="48"/>
  <c r="C10" i="48"/>
  <c r="C9" i="48"/>
  <c r="O208" i="4" l="1"/>
  <c r="N208" i="4"/>
  <c r="M208" i="4"/>
  <c r="L208" i="4"/>
  <c r="K208" i="4"/>
  <c r="J208" i="4"/>
  <c r="I208" i="4"/>
  <c r="G208" i="4"/>
  <c r="O207" i="4"/>
  <c r="N207" i="4"/>
  <c r="M207" i="4"/>
  <c r="L207" i="4"/>
  <c r="K207" i="4"/>
  <c r="J207" i="4"/>
  <c r="I207" i="4"/>
  <c r="G207" i="4"/>
  <c r="G206" i="4"/>
  <c r="N205" i="4"/>
  <c r="M205" i="4"/>
  <c r="L205" i="4"/>
  <c r="K205" i="4"/>
  <c r="J205" i="4"/>
  <c r="I205" i="4"/>
  <c r="G205" i="4"/>
  <c r="C205" i="4"/>
  <c r="A206" i="4"/>
  <c r="A207" i="4"/>
  <c r="A208" i="4"/>
  <c r="B208" i="4"/>
  <c r="A209" i="4"/>
  <c r="A205" i="4"/>
  <c r="B205" i="4"/>
  <c r="F971" i="4"/>
  <c r="F958" i="4"/>
  <c r="O306" i="4"/>
  <c r="N306" i="4"/>
  <c r="M306" i="4"/>
  <c r="L306" i="4"/>
  <c r="K306" i="4"/>
  <c r="J306" i="4"/>
  <c r="I306" i="4"/>
  <c r="G306" i="4"/>
  <c r="O305" i="4"/>
  <c r="N305" i="4"/>
  <c r="M305" i="4"/>
  <c r="L305" i="4"/>
  <c r="K305" i="4"/>
  <c r="J305" i="4"/>
  <c r="I305" i="4"/>
  <c r="G305" i="4"/>
  <c r="O304" i="4"/>
  <c r="N304" i="4"/>
  <c r="M304" i="4"/>
  <c r="L304" i="4"/>
  <c r="K304" i="4"/>
  <c r="J304" i="4"/>
  <c r="I304" i="4"/>
  <c r="C304" i="4"/>
  <c r="B304" i="4"/>
  <c r="B305" i="4"/>
  <c r="A307" i="4"/>
  <c r="A306" i="4"/>
  <c r="A305" i="4"/>
  <c r="A304" i="4"/>
  <c r="A303" i="4"/>
  <c r="C292" i="4"/>
  <c r="C279" i="4"/>
  <c r="C278" i="4"/>
  <c r="B292" i="4"/>
  <c r="B285" i="4"/>
  <c r="A292" i="4"/>
  <c r="A297" i="4" s="1"/>
  <c r="A285" i="4"/>
  <c r="A282" i="4"/>
  <c r="B279" i="4"/>
  <c r="A279" i="4"/>
  <c r="B278" i="4"/>
  <c r="A278" i="4"/>
  <c r="C271" i="4"/>
  <c r="C268" i="4"/>
  <c r="B271" i="4"/>
  <c r="A271" i="4"/>
  <c r="B268" i="4"/>
  <c r="A268" i="4"/>
  <c r="E263" i="4"/>
  <c r="B316" i="4" l="1"/>
  <c r="A316" i="4"/>
  <c r="A315" i="4"/>
  <c r="B297" i="4"/>
  <c r="C273" i="4"/>
  <c r="B273" i="4"/>
  <c r="A273" i="4"/>
  <c r="A11" i="4" s="1"/>
  <c r="A294" i="4"/>
  <c r="A22" i="4" s="1"/>
  <c r="C297" i="4"/>
  <c r="F970" i="4"/>
  <c r="F957" i="4"/>
  <c r="O255" i="4"/>
  <c r="N255" i="4"/>
  <c r="M255" i="4"/>
  <c r="L255" i="4"/>
  <c r="K255" i="4"/>
  <c r="J255" i="4"/>
  <c r="I255" i="4"/>
  <c r="O252" i="4"/>
  <c r="N252" i="4"/>
  <c r="M252" i="4"/>
  <c r="L252" i="4"/>
  <c r="K252" i="4"/>
  <c r="J252" i="4"/>
  <c r="I252" i="4"/>
  <c r="G252" i="4"/>
  <c r="C252" i="4"/>
  <c r="A253" i="4"/>
  <c r="A254" i="4"/>
  <c r="A255" i="4"/>
  <c r="A256" i="4"/>
  <c r="B252" i="4"/>
  <c r="A252" i="4"/>
  <c r="O238" i="4"/>
  <c r="N238" i="4"/>
  <c r="M238" i="4"/>
  <c r="L238" i="4"/>
  <c r="K238" i="4"/>
  <c r="J238" i="4"/>
  <c r="I238" i="4"/>
  <c r="G238" i="4"/>
  <c r="C238" i="4"/>
  <c r="B238" i="4"/>
  <c r="A238" i="4"/>
  <c r="C231" i="4"/>
  <c r="C230" i="4"/>
  <c r="C229" i="4"/>
  <c r="C228" i="4"/>
  <c r="B232" i="4"/>
  <c r="A232" i="4"/>
  <c r="B231" i="4"/>
  <c r="A231" i="4"/>
  <c r="B230" i="4"/>
  <c r="A230" i="4"/>
  <c r="B229" i="4"/>
  <c r="A229" i="4"/>
  <c r="B228" i="4"/>
  <c r="A228" i="4"/>
  <c r="C222" i="4"/>
  <c r="C221" i="4"/>
  <c r="B222" i="4"/>
  <c r="B221" i="4"/>
  <c r="A222" i="4"/>
  <c r="A221" i="4"/>
  <c r="O235" i="4"/>
  <c r="N235" i="4"/>
  <c r="M235" i="4"/>
  <c r="L235" i="4"/>
  <c r="K235" i="4"/>
  <c r="J235" i="4"/>
  <c r="I235" i="4"/>
  <c r="G235" i="4"/>
  <c r="H235" i="4" s="1"/>
  <c r="C235" i="4"/>
  <c r="B235" i="4"/>
  <c r="A235" i="4"/>
  <c r="B11" i="4" l="1"/>
  <c r="H238" i="4"/>
  <c r="A318" i="4"/>
  <c r="A33" i="4"/>
  <c r="C11" i="4"/>
  <c r="A243" i="4"/>
  <c r="B243" i="4"/>
  <c r="B100" i="42"/>
  <c r="A296" i="4"/>
  <c r="A224" i="4"/>
  <c r="A10" i="4" s="1"/>
  <c r="A245" i="4" l="1"/>
  <c r="A247" i="4" s="1"/>
  <c r="A298" i="4"/>
  <c r="A971" i="4"/>
  <c r="A21" i="4"/>
  <c r="A32" i="4" s="1"/>
  <c r="B21" i="4"/>
  <c r="A309" i="4" l="1"/>
  <c r="A958" i="4"/>
  <c r="A970" i="4"/>
  <c r="A258" i="4" l="1"/>
  <c r="A957" i="4"/>
  <c r="D645" i="6" l="1"/>
  <c r="R7" i="42" l="1"/>
  <c r="C39" i="15" s="1"/>
  <c r="D627" i="6"/>
  <c r="B151" i="42" l="1"/>
  <c r="C285" i="4" l="1"/>
  <c r="C316" i="4" l="1"/>
  <c r="G255" i="15" l="1"/>
  <c r="G122" i="16"/>
  <c r="K255" i="15"/>
  <c r="K122" i="16"/>
  <c r="B255" i="15"/>
  <c r="B122" i="16"/>
  <c r="H255" i="15"/>
  <c r="H122" i="16"/>
  <c r="L255" i="15"/>
  <c r="L122" i="16"/>
  <c r="C255" i="15"/>
  <c r="F255" i="15" s="1"/>
  <c r="C122" i="16"/>
  <c r="I255" i="15"/>
  <c r="I122" i="16"/>
  <c r="M255" i="15"/>
  <c r="M122" i="16"/>
  <c r="E255" i="15"/>
  <c r="F122" i="16"/>
  <c r="J255" i="15"/>
  <c r="J122" i="16"/>
  <c r="B117" i="6" l="1"/>
  <c r="O604" i="4"/>
  <c r="N604" i="4"/>
  <c r="M604" i="4"/>
  <c r="L604" i="4"/>
  <c r="K604" i="4"/>
  <c r="J604" i="4"/>
  <c r="I604" i="4"/>
  <c r="G604" i="4"/>
  <c r="C604" i="4"/>
  <c r="B604" i="4"/>
  <c r="A440" i="7" l="1"/>
  <c r="C305" i="4"/>
  <c r="O1010" i="7"/>
  <c r="N1010" i="7"/>
  <c r="M1010" i="7"/>
  <c r="L1010" i="7"/>
  <c r="K1010" i="7"/>
  <c r="J1010" i="7"/>
  <c r="D1010" i="7"/>
  <c r="C175" i="4"/>
  <c r="B175" i="4"/>
  <c r="A175" i="4"/>
  <c r="AX60" i="9"/>
  <c r="AY60" i="9" s="1"/>
  <c r="AS60" i="9"/>
  <c r="AT60" i="9" s="1"/>
  <c r="AN60" i="9"/>
  <c r="AO60" i="9" s="1"/>
  <c r="T60" i="9"/>
  <c r="I496" i="7" l="1"/>
  <c r="I86" i="7" s="1"/>
  <c r="C346" i="7" l="1"/>
  <c r="B346" i="7"/>
  <c r="A346" i="7"/>
  <c r="O851" i="4" l="1"/>
  <c r="O307" i="4" s="1"/>
  <c r="N851" i="4"/>
  <c r="N307" i="4" s="1"/>
  <c r="M851" i="4"/>
  <c r="M307" i="4" s="1"/>
  <c r="L851" i="4"/>
  <c r="L307" i="4" s="1"/>
  <c r="K851" i="4"/>
  <c r="K307" i="4" s="1"/>
  <c r="J851" i="4"/>
  <c r="J307" i="4" s="1"/>
  <c r="I851" i="4"/>
  <c r="I307" i="4" s="1"/>
  <c r="G851" i="4"/>
  <c r="G307" i="4" s="1"/>
  <c r="C307" i="4"/>
  <c r="F851" i="4"/>
  <c r="B307" i="4"/>
  <c r="C306" i="4"/>
  <c r="F850" i="4"/>
  <c r="F849" i="4"/>
  <c r="F848" i="4"/>
  <c r="C847" i="4"/>
  <c r="F847" i="4"/>
  <c r="B847" i="4"/>
  <c r="C842" i="4"/>
  <c r="B842" i="4"/>
  <c r="A842" i="4"/>
  <c r="A839" i="4"/>
  <c r="C820" i="4"/>
  <c r="B820" i="4"/>
  <c r="C804" i="4"/>
  <c r="B804" i="4"/>
  <c r="A804" i="4"/>
  <c r="E795" i="4"/>
  <c r="A126" i="4"/>
  <c r="C122" i="4"/>
  <c r="B122" i="4"/>
  <c r="A122" i="4"/>
  <c r="O144" i="4"/>
  <c r="N144" i="4"/>
  <c r="M144" i="4"/>
  <c r="L144" i="4"/>
  <c r="K144" i="4"/>
  <c r="J144" i="4"/>
  <c r="I144" i="4"/>
  <c r="G144" i="4"/>
  <c r="O143" i="4"/>
  <c r="N143" i="4"/>
  <c r="M143" i="4"/>
  <c r="L143" i="4"/>
  <c r="K143" i="4"/>
  <c r="J143" i="4"/>
  <c r="I143" i="4"/>
  <c r="G143" i="4"/>
  <c r="O142" i="4"/>
  <c r="N142" i="4"/>
  <c r="M142" i="4"/>
  <c r="L142" i="4"/>
  <c r="K142" i="4"/>
  <c r="J142" i="4"/>
  <c r="I142" i="4"/>
  <c r="G142" i="4"/>
  <c r="C142" i="4"/>
  <c r="A145" i="4"/>
  <c r="A144" i="4"/>
  <c r="A143" i="4"/>
  <c r="A142" i="4"/>
  <c r="A141" i="4"/>
  <c r="O788" i="4"/>
  <c r="O256" i="4" s="1"/>
  <c r="N788" i="4"/>
  <c r="N256" i="4" s="1"/>
  <c r="M788" i="4"/>
  <c r="M256" i="4" s="1"/>
  <c r="L788" i="4"/>
  <c r="L256" i="4" s="1"/>
  <c r="K788" i="4"/>
  <c r="K256" i="4" s="1"/>
  <c r="J788" i="4"/>
  <c r="J256" i="4" s="1"/>
  <c r="I788" i="4"/>
  <c r="I256" i="4" s="1"/>
  <c r="G788" i="4"/>
  <c r="G256" i="4" s="1"/>
  <c r="C256" i="4"/>
  <c r="B256" i="4"/>
  <c r="G787" i="4"/>
  <c r="C255" i="4"/>
  <c r="B255" i="4"/>
  <c r="O786" i="4"/>
  <c r="N786" i="4"/>
  <c r="M786" i="4"/>
  <c r="L786" i="4"/>
  <c r="K786" i="4"/>
  <c r="J786" i="4"/>
  <c r="I786" i="4"/>
  <c r="G786" i="4"/>
  <c r="C254" i="4"/>
  <c r="B254" i="4"/>
  <c r="C253" i="4"/>
  <c r="B253" i="4"/>
  <c r="B775" i="4"/>
  <c r="A775" i="4"/>
  <c r="C745" i="4"/>
  <c r="B745" i="4"/>
  <c r="A745" i="4"/>
  <c r="B292" i="42" l="1"/>
  <c r="D292" i="42" s="1"/>
  <c r="C839" i="4"/>
  <c r="C282" i="4"/>
  <c r="C303" i="4"/>
  <c r="B306" i="4"/>
  <c r="B839" i="4"/>
  <c r="B282" i="4"/>
  <c r="B303" i="4"/>
  <c r="C775" i="4"/>
  <c r="C232" i="4"/>
  <c r="J253" i="4"/>
  <c r="N253" i="4"/>
  <c r="K254" i="4"/>
  <c r="O254" i="4"/>
  <c r="G255" i="4"/>
  <c r="K253" i="4"/>
  <c r="O253" i="4"/>
  <c r="G254" i="4"/>
  <c r="L254" i="4"/>
  <c r="G253" i="4"/>
  <c r="L253" i="4"/>
  <c r="I254" i="4"/>
  <c r="M254" i="4"/>
  <c r="I253" i="4"/>
  <c r="M253" i="4"/>
  <c r="J254" i="4"/>
  <c r="N254" i="4"/>
  <c r="A841" i="4"/>
  <c r="A843" i="4" s="1"/>
  <c r="A852" i="4" s="1"/>
  <c r="B777" i="4"/>
  <c r="A777" i="4"/>
  <c r="A779" i="4" s="1"/>
  <c r="A790" i="4" s="1"/>
  <c r="B315" i="4" l="1"/>
  <c r="B318" i="4" s="1"/>
  <c r="B779" i="4"/>
  <c r="B790" i="4" s="1"/>
  <c r="C315" i="4"/>
  <c r="C243" i="4"/>
  <c r="C294" i="4"/>
  <c r="C841" i="4"/>
  <c r="C777" i="4"/>
  <c r="B841" i="4"/>
  <c r="B294" i="4"/>
  <c r="C224" i="4"/>
  <c r="C318" i="4" l="1"/>
  <c r="C296" i="4"/>
  <c r="C298" i="4" s="1"/>
  <c r="C99" i="42"/>
  <c r="G100" i="42"/>
  <c r="C22" i="4"/>
  <c r="C779" i="4"/>
  <c r="B99" i="42"/>
  <c r="C843" i="4"/>
  <c r="C100" i="42"/>
  <c r="D100" i="42" s="1"/>
  <c r="K95" i="48"/>
  <c r="C245" i="4"/>
  <c r="B843" i="4"/>
  <c r="B22" i="4"/>
  <c r="B296" i="4"/>
  <c r="C21" i="4"/>
  <c r="C10" i="4"/>
  <c r="D99" i="42" l="1"/>
  <c r="C971" i="4"/>
  <c r="B971" i="4"/>
  <c r="B33" i="4"/>
  <c r="C33" i="4"/>
  <c r="C247" i="4"/>
  <c r="C32" i="4"/>
  <c r="C790" i="4"/>
  <c r="C309" i="4"/>
  <c r="C852" i="4"/>
  <c r="B852" i="4"/>
  <c r="C958" i="4"/>
  <c r="B298" i="4"/>
  <c r="C970" i="4"/>
  <c r="B224" i="4"/>
  <c r="B958" i="4" l="1"/>
  <c r="B10" i="4"/>
  <c r="B245" i="4"/>
  <c r="B309" i="4"/>
  <c r="C258" i="4"/>
  <c r="C957" i="4"/>
  <c r="B32" i="4" l="1"/>
  <c r="B970" i="4"/>
  <c r="B247" i="4"/>
  <c r="C183" i="4"/>
  <c r="B183" i="4"/>
  <c r="A183" i="4"/>
  <c r="B957" i="4" l="1"/>
  <c r="B258" i="4"/>
  <c r="D586" i="6" l="1"/>
  <c r="H6" i="26" l="1"/>
  <c r="G6" i="26"/>
  <c r="E6" i="26"/>
  <c r="F6" i="26"/>
  <c r="D6" i="26"/>
  <c r="E153" i="45"/>
  <c r="F153" i="45"/>
  <c r="G153" i="45"/>
  <c r="H153" i="45"/>
  <c r="I153" i="45"/>
  <c r="J153" i="45"/>
  <c r="K153" i="45"/>
  <c r="L153" i="45"/>
  <c r="M153" i="45"/>
  <c r="N153" i="45"/>
  <c r="O153" i="45"/>
  <c r="D153" i="45"/>
  <c r="G40" i="45"/>
  <c r="F40" i="45"/>
  <c r="E40" i="45"/>
  <c r="E39" i="45"/>
  <c r="E24" i="45"/>
  <c r="F24" i="45"/>
  <c r="G24" i="45"/>
  <c r="H24" i="45"/>
  <c r="I24" i="45"/>
  <c r="J24" i="45"/>
  <c r="K24" i="45"/>
  <c r="L24" i="45"/>
  <c r="M24" i="45"/>
  <c r="N24" i="45"/>
  <c r="O24" i="45"/>
  <c r="D24" i="45"/>
  <c r="E13" i="45"/>
  <c r="F13" i="45"/>
  <c r="G13" i="45"/>
  <c r="H13" i="45"/>
  <c r="I13" i="45"/>
  <c r="J13" i="45"/>
  <c r="K13" i="45"/>
  <c r="L13" i="45"/>
  <c r="M13" i="45"/>
  <c r="N13" i="45"/>
  <c r="O13" i="45"/>
  <c r="D13" i="45"/>
  <c r="H3" i="45"/>
  <c r="I3" i="45"/>
  <c r="J3" i="45"/>
  <c r="K3" i="45"/>
  <c r="L3" i="45"/>
  <c r="M3" i="45"/>
  <c r="N3" i="45"/>
  <c r="O3" i="45"/>
  <c r="G3" i="45"/>
  <c r="F3" i="45"/>
  <c r="E3" i="45"/>
  <c r="D3" i="45"/>
  <c r="D7" i="26" l="1"/>
  <c r="E7" i="26"/>
  <c r="F7" i="26"/>
  <c r="G7" i="26"/>
  <c r="H7" i="26"/>
  <c r="D46" i="8"/>
  <c r="O205" i="4" l="1"/>
  <c r="O591" i="4"/>
  <c r="O126" i="4" s="1"/>
  <c r="N591" i="4"/>
  <c r="N126" i="4" s="1"/>
  <c r="M591" i="4"/>
  <c r="M126" i="4" s="1"/>
  <c r="L591" i="4"/>
  <c r="L126" i="4" s="1"/>
  <c r="K591" i="4"/>
  <c r="K126" i="4" s="1"/>
  <c r="J591" i="4"/>
  <c r="J126" i="4" s="1"/>
  <c r="I591" i="4"/>
  <c r="I126" i="4" s="1"/>
  <c r="G591" i="4"/>
  <c r="C591" i="4"/>
  <c r="B126" i="4"/>
  <c r="C121" i="4"/>
  <c r="B121" i="4"/>
  <c r="A121" i="4"/>
  <c r="A159" i="4" s="1"/>
  <c r="C188" i="4"/>
  <c r="B188" i="4"/>
  <c r="A188" i="4"/>
  <c r="H591" i="4" l="1"/>
  <c r="G126" i="4"/>
  <c r="C126" i="4"/>
  <c r="B159" i="4"/>
  <c r="AT70" i="37"/>
  <c r="AT35" i="37" s="1"/>
  <c r="AT69" i="37"/>
  <c r="AT34" i="37" s="1"/>
  <c r="AT67" i="37"/>
  <c r="AT66" i="37"/>
  <c r="AT28" i="37" s="1"/>
  <c r="AT65" i="37"/>
  <c r="AT27" i="37" s="1"/>
  <c r="AT64" i="37"/>
  <c r="AT26" i="37" s="1"/>
  <c r="AT63" i="37"/>
  <c r="AT25" i="37" s="1"/>
  <c r="AT62" i="37"/>
  <c r="AT24" i="37" s="1"/>
  <c r="AT61" i="37"/>
  <c r="AT23" i="37" s="1"/>
  <c r="AT60" i="37"/>
  <c r="AT22" i="37" s="1"/>
  <c r="H126" i="4" l="1"/>
  <c r="C159" i="4"/>
  <c r="AT32" i="37"/>
  <c r="AT29" i="37"/>
  <c r="L13" i="37"/>
  <c r="AU58" i="37" s="1"/>
  <c r="AU21" i="37" s="1"/>
  <c r="AT58" i="37"/>
  <c r="AT21" i="37" s="1"/>
  <c r="J96" i="37"/>
  <c r="J97" i="37"/>
  <c r="J98" i="37"/>
  <c r="J99" i="37"/>
  <c r="J100" i="37"/>
  <c r="J93" i="37"/>
  <c r="K58" i="37"/>
  <c r="K55" i="37"/>
  <c r="J61" i="37"/>
  <c r="J50" i="37"/>
  <c r="J47" i="37"/>
  <c r="J65" i="37" s="1"/>
  <c r="J36" i="37"/>
  <c r="J6" i="37"/>
  <c r="AA14" i="37" s="1"/>
  <c r="A632" i="6"/>
  <c r="B632" i="6"/>
  <c r="B440" i="7"/>
  <c r="B1999" i="6"/>
  <c r="B717" i="6" s="1"/>
  <c r="B2025" i="6"/>
  <c r="B741" i="6" s="1"/>
  <c r="G116" i="6"/>
  <c r="C117" i="6"/>
  <c r="C783" i="6"/>
  <c r="C93" i="6" s="1"/>
  <c r="B177" i="6"/>
  <c r="B454" i="5"/>
  <c r="B209" i="4"/>
  <c r="B207" i="4"/>
  <c r="B145" i="4"/>
  <c r="B144" i="4"/>
  <c r="D98" i="11"/>
  <c r="E98" i="11" s="1"/>
  <c r="G98" i="11" s="1"/>
  <c r="H98" i="11" s="1"/>
  <c r="J98" i="11" s="1"/>
  <c r="K98" i="11" s="1"/>
  <c r="M98" i="11" s="1"/>
  <c r="N98" i="11" s="1"/>
  <c r="P98" i="11" s="1"/>
  <c r="Q98" i="11" s="1"/>
  <c r="S98" i="11" s="1"/>
  <c r="T98" i="11" s="1"/>
  <c r="V98" i="11" s="1"/>
  <c r="W98" i="11" s="1"/>
  <c r="Y98" i="11" s="1"/>
  <c r="Z98" i="11" s="1"/>
  <c r="AB98" i="11" s="1"/>
  <c r="AC98" i="11" s="1"/>
  <c r="AE98" i="11" s="1"/>
  <c r="AF98" i="11" s="1"/>
  <c r="AH98" i="11" s="1"/>
  <c r="AI98" i="11" s="1"/>
  <c r="AK98" i="11" s="1"/>
  <c r="D8" i="11"/>
  <c r="E8" i="11" s="1"/>
  <c r="G8" i="11" s="1"/>
  <c r="H8" i="11" s="1"/>
  <c r="J8" i="11" s="1"/>
  <c r="K8" i="11" s="1"/>
  <c r="M8" i="11" s="1"/>
  <c r="N8" i="11" s="1"/>
  <c r="P8" i="11" s="1"/>
  <c r="Q8" i="11" s="1"/>
  <c r="S8" i="11" s="1"/>
  <c r="T8" i="11" s="1"/>
  <c r="V8" i="11" s="1"/>
  <c r="W8" i="11" s="1"/>
  <c r="Y8" i="11" s="1"/>
  <c r="Z8" i="11" s="1"/>
  <c r="AB8" i="11" s="1"/>
  <c r="AC8" i="11" s="1"/>
  <c r="AE8" i="11" s="1"/>
  <c r="AF8" i="11" s="1"/>
  <c r="AH8" i="11" s="1"/>
  <c r="AI8" i="11" s="1"/>
  <c r="AK8" i="11" s="1"/>
  <c r="A42" i="12"/>
  <c r="F60" i="12"/>
  <c r="AD58" i="9"/>
  <c r="AE58" i="9" s="1"/>
  <c r="AD59" i="9"/>
  <c r="AE59" i="9" s="1"/>
  <c r="Y61" i="9"/>
  <c r="T58" i="9"/>
  <c r="T59" i="9"/>
  <c r="T61" i="9"/>
  <c r="T40" i="9"/>
  <c r="T39" i="9"/>
  <c r="F120" i="10" l="1"/>
  <c r="Y63" i="9"/>
  <c r="T63" i="9"/>
  <c r="Z61" i="9"/>
  <c r="Z63" i="9" s="1"/>
  <c r="D660" i="6"/>
  <c r="D666" i="6"/>
  <c r="J101" i="37"/>
  <c r="B116" i="6"/>
  <c r="J63" i="37"/>
  <c r="D440" i="7"/>
  <c r="C758" i="34"/>
  <c r="C780" i="34" s="1"/>
  <c r="A1251" i="6"/>
  <c r="B1251" i="6"/>
  <c r="A823" i="6"/>
  <c r="B823" i="6"/>
  <c r="A464" i="7"/>
  <c r="A423" i="7"/>
  <c r="A366" i="7"/>
  <c r="A356" i="7"/>
  <c r="A291" i="7"/>
  <c r="A161" i="7"/>
  <c r="A165" i="7"/>
  <c r="A367" i="6"/>
  <c r="A629" i="6"/>
  <c r="A584" i="6"/>
  <c r="A52" i="5"/>
  <c r="A53" i="5"/>
  <c r="A107" i="4"/>
  <c r="B176" i="6" l="1"/>
  <c r="D117" i="6"/>
  <c r="D416" i="45" l="1"/>
  <c r="E416" i="45"/>
  <c r="F416" i="45"/>
  <c r="G416" i="45"/>
  <c r="H416" i="45"/>
  <c r="I416" i="45"/>
  <c r="J416" i="45"/>
  <c r="K416" i="45"/>
  <c r="L416" i="45"/>
  <c r="M416" i="45"/>
  <c r="N416" i="45"/>
  <c r="O416" i="45"/>
  <c r="L157" i="45"/>
  <c r="K157" i="45"/>
  <c r="J157" i="45"/>
  <c r="I157" i="45"/>
  <c r="H157" i="45"/>
  <c r="G157" i="45"/>
  <c r="F157" i="45"/>
  <c r="E157" i="45"/>
  <c r="D157" i="45"/>
  <c r="M157" i="45"/>
  <c r="N157" i="45"/>
  <c r="O157" i="45"/>
  <c r="E284" i="45"/>
  <c r="F284" i="45"/>
  <c r="G284" i="45"/>
  <c r="H284" i="45"/>
  <c r="I284" i="45"/>
  <c r="J284" i="45"/>
  <c r="K284" i="45"/>
  <c r="L284" i="45"/>
  <c r="M284" i="45"/>
  <c r="N284" i="45"/>
  <c r="O284" i="45"/>
  <c r="D284" i="45"/>
  <c r="C1251" i="6" l="1"/>
  <c r="C378" i="6"/>
  <c r="G105" i="37"/>
  <c r="H105" i="37" s="1"/>
  <c r="I105" i="37" s="1"/>
  <c r="I96" i="37"/>
  <c r="C99" i="37"/>
  <c r="D99" i="37"/>
  <c r="E99" i="37"/>
  <c r="F99" i="37"/>
  <c r="G99" i="37"/>
  <c r="H99" i="37"/>
  <c r="I99" i="37"/>
  <c r="B99" i="37"/>
  <c r="C96" i="37"/>
  <c r="D96" i="37"/>
  <c r="E96" i="37"/>
  <c r="F96" i="37"/>
  <c r="G96" i="37"/>
  <c r="H96" i="37"/>
  <c r="C97" i="37"/>
  <c r="D97" i="37"/>
  <c r="E97" i="37"/>
  <c r="F97" i="37"/>
  <c r="G97" i="37"/>
  <c r="H97" i="37"/>
  <c r="C98" i="37"/>
  <c r="D98" i="37"/>
  <c r="E98" i="37"/>
  <c r="F98" i="37"/>
  <c r="G98" i="37"/>
  <c r="H98" i="37"/>
  <c r="I98" i="37"/>
  <c r="C100" i="37"/>
  <c r="D100" i="37"/>
  <c r="E100" i="37"/>
  <c r="F100" i="37"/>
  <c r="G100" i="37"/>
  <c r="H100" i="37"/>
  <c r="I100" i="37"/>
  <c r="B100" i="37"/>
  <c r="B98" i="37"/>
  <c r="B97" i="37"/>
  <c r="B96" i="37"/>
  <c r="A96" i="37"/>
  <c r="B93" i="37"/>
  <c r="C93" i="37"/>
  <c r="D93" i="37"/>
  <c r="E93" i="37"/>
  <c r="F93" i="37"/>
  <c r="G93" i="37"/>
  <c r="H93" i="37"/>
  <c r="I93" i="37"/>
  <c r="K93" i="37"/>
  <c r="L93" i="37"/>
  <c r="M93" i="37"/>
  <c r="N93" i="37"/>
  <c r="O93" i="37"/>
  <c r="I92" i="37"/>
  <c r="B92" i="37"/>
  <c r="A93" i="37"/>
  <c r="A92" i="37"/>
  <c r="J625" i="7"/>
  <c r="F52" i="11"/>
  <c r="F51" i="11"/>
  <c r="C52" i="11"/>
  <c r="D823" i="6"/>
  <c r="K625" i="7" l="1"/>
  <c r="L625" i="7" s="1"/>
  <c r="M625" i="7" s="1"/>
  <c r="N625" i="7" s="1"/>
  <c r="O625" i="7" s="1"/>
  <c r="P625" i="7" s="1"/>
  <c r="Q625" i="7" s="1"/>
  <c r="R625" i="7" s="1"/>
  <c r="C105" i="3"/>
  <c r="C51" i="11"/>
  <c r="B94" i="37"/>
  <c r="G101" i="37"/>
  <c r="E101" i="37"/>
  <c r="C101" i="37"/>
  <c r="I94" i="37"/>
  <c r="B101" i="37"/>
  <c r="H101" i="37"/>
  <c r="F101" i="37"/>
  <c r="D101" i="37"/>
  <c r="J105" i="37"/>
  <c r="K105" i="37" s="1"/>
  <c r="L105" i="37" s="1"/>
  <c r="M105" i="37" s="1"/>
  <c r="N105" i="37" s="1"/>
  <c r="O105" i="37" s="1"/>
  <c r="P105" i="37" s="1"/>
  <c r="Q105" i="37" s="1"/>
  <c r="R105" i="37" s="1"/>
  <c r="S105" i="37" s="1"/>
  <c r="T105" i="37" s="1"/>
  <c r="U105" i="37" s="1"/>
  <c r="V105" i="37" s="1"/>
  <c r="D116" i="6"/>
  <c r="L23" i="37"/>
  <c r="AU69" i="37" s="1"/>
  <c r="AU34" i="37" s="1"/>
  <c r="L21" i="37"/>
  <c r="AU67" i="37" s="1"/>
  <c r="L20" i="37"/>
  <c r="AU66" i="37" s="1"/>
  <c r="AU28" i="37" s="1"/>
  <c r="L19" i="37"/>
  <c r="AU65" i="37" s="1"/>
  <c r="AU27" i="37" s="1"/>
  <c r="L18" i="37"/>
  <c r="AU64" i="37" s="1"/>
  <c r="AU26" i="37" s="1"/>
  <c r="L17" i="37"/>
  <c r="AU63" i="37" s="1"/>
  <c r="AU25" i="37" s="1"/>
  <c r="L16" i="37"/>
  <c r="AU62" i="37" s="1"/>
  <c r="AU24" i="37" s="1"/>
  <c r="L15" i="37"/>
  <c r="AU61" i="37" s="1"/>
  <c r="AU23" i="37" s="1"/>
  <c r="L14" i="37"/>
  <c r="AU60" i="37" s="1"/>
  <c r="AU22" i="37" s="1"/>
  <c r="C206" i="4"/>
  <c r="C440" i="7"/>
  <c r="C823" i="6"/>
  <c r="G300" i="45"/>
  <c r="H300" i="45"/>
  <c r="I300" i="45"/>
  <c r="J300" i="45"/>
  <c r="K300" i="45"/>
  <c r="L300" i="45"/>
  <c r="M300" i="45"/>
  <c r="F300" i="45"/>
  <c r="E300" i="45"/>
  <c r="G301" i="45"/>
  <c r="H301" i="45"/>
  <c r="I301" i="45"/>
  <c r="J301" i="45"/>
  <c r="K301" i="45"/>
  <c r="L301" i="45"/>
  <c r="M301" i="45"/>
  <c r="N301" i="45"/>
  <c r="O301" i="45"/>
  <c r="E301" i="45"/>
  <c r="F301" i="45"/>
  <c r="F302" i="45"/>
  <c r="G302" i="45"/>
  <c r="H302" i="45"/>
  <c r="I302" i="45"/>
  <c r="J302" i="45"/>
  <c r="K302" i="45"/>
  <c r="L302" i="45"/>
  <c r="M302" i="45"/>
  <c r="N302" i="45"/>
  <c r="O302" i="45"/>
  <c r="E302" i="45"/>
  <c r="F293" i="45"/>
  <c r="E293" i="45"/>
  <c r="D293" i="45"/>
  <c r="D164" i="45"/>
  <c r="E164" i="45"/>
  <c r="F164" i="45"/>
  <c r="F34" i="45"/>
  <c r="E34" i="45"/>
  <c r="D29" i="45"/>
  <c r="F33" i="45"/>
  <c r="E33" i="45"/>
  <c r="D33" i="45"/>
  <c r="A464" i="34"/>
  <c r="C207" i="4"/>
  <c r="U39" i="9"/>
  <c r="U40" i="9"/>
  <c r="BW40" i="9" s="1"/>
  <c r="BX40" i="9" s="1"/>
  <c r="U97" i="9"/>
  <c r="BW39" i="9" l="1"/>
  <c r="BX39" i="9" s="1"/>
  <c r="AU32" i="37"/>
  <c r="AU29" i="37"/>
  <c r="L22" i="37"/>
  <c r="AU68" i="37" s="1"/>
  <c r="AT68" i="37"/>
  <c r="A577" i="34"/>
  <c r="A671" i="34" s="1"/>
  <c r="A514" i="34"/>
  <c r="G111" i="9"/>
  <c r="L12" i="37"/>
  <c r="AU57" i="37" s="1"/>
  <c r="K100" i="37"/>
  <c r="CB90" i="22"/>
  <c r="BP42" i="22"/>
  <c r="BQ42" i="22" s="1"/>
  <c r="BR42" i="22" s="1"/>
  <c r="BS42" i="22" s="1"/>
  <c r="BT42" i="22" s="1"/>
  <c r="BU42" i="22" s="1"/>
  <c r="BV42" i="22" s="1"/>
  <c r="BW42" i="22" s="1"/>
  <c r="BX42" i="22" s="1"/>
  <c r="CB95" i="22"/>
  <c r="CB64" i="22"/>
  <c r="CB57" i="22"/>
  <c r="CB69" i="22"/>
  <c r="CB59" i="22"/>
  <c r="BP65" i="22"/>
  <c r="BP61" i="22"/>
  <c r="CB58" i="22"/>
  <c r="BP71" i="22"/>
  <c r="CB70" i="22"/>
  <c r="CB56" i="22"/>
  <c r="CB14" i="22"/>
  <c r="CB9" i="22"/>
  <c r="CB12" i="22"/>
  <c r="CB11" i="22"/>
  <c r="CB8" i="22"/>
  <c r="CB6" i="22"/>
  <c r="CB16" i="22"/>
  <c r="CB29" i="22"/>
  <c r="CB101" i="22"/>
  <c r="CA60" i="21"/>
  <c r="CA37" i="21"/>
  <c r="CA48" i="21"/>
  <c r="CA43" i="21"/>
  <c r="CA39" i="21"/>
  <c r="CA26" i="21"/>
  <c r="CA25" i="21"/>
  <c r="CA34" i="21"/>
  <c r="CA32" i="21"/>
  <c r="CA31" i="21"/>
  <c r="CA15" i="21"/>
  <c r="CA14" i="21"/>
  <c r="CA16" i="21"/>
  <c r="CL177" i="9"/>
  <c r="BZ200" i="9"/>
  <c r="CA200" i="9" s="1"/>
  <c r="CB200" i="9" s="1"/>
  <c r="CC200" i="9" s="1"/>
  <c r="CD200" i="9" s="1"/>
  <c r="CE200" i="9" s="1"/>
  <c r="CF200" i="9" s="1"/>
  <c r="CG200" i="9" s="1"/>
  <c r="BZ108" i="9"/>
  <c r="CA108" i="9" s="1"/>
  <c r="CB108" i="9" s="1"/>
  <c r="CC108" i="9" s="1"/>
  <c r="CD108" i="9" s="1"/>
  <c r="CE108" i="9" s="1"/>
  <c r="CF108" i="9" s="1"/>
  <c r="CG108" i="9" s="1"/>
  <c r="BZ174" i="9"/>
  <c r="CA174" i="9" s="1"/>
  <c r="CB174" i="9" s="1"/>
  <c r="CC174" i="9" s="1"/>
  <c r="CD174" i="9" s="1"/>
  <c r="CE174" i="9" s="1"/>
  <c r="CF174" i="9" s="1"/>
  <c r="CG174" i="9" s="1"/>
  <c r="BZ150" i="9"/>
  <c r="CA150" i="9" s="1"/>
  <c r="CB150" i="9" s="1"/>
  <c r="CC150" i="9" s="1"/>
  <c r="CD150" i="9" s="1"/>
  <c r="CE150" i="9" s="1"/>
  <c r="CF150" i="9" s="1"/>
  <c r="CG150" i="9" s="1"/>
  <c r="BZ148" i="9"/>
  <c r="CA148" i="9" s="1"/>
  <c r="CB148" i="9" s="1"/>
  <c r="CC148" i="9" s="1"/>
  <c r="CD148" i="9" s="1"/>
  <c r="CE148" i="9" s="1"/>
  <c r="CF148" i="9" s="1"/>
  <c r="CG148" i="9" s="1"/>
  <c r="BZ147" i="9"/>
  <c r="CA147" i="9" s="1"/>
  <c r="CB147" i="9" s="1"/>
  <c r="CC147" i="9" s="1"/>
  <c r="CD147" i="9" s="1"/>
  <c r="CE147" i="9" s="1"/>
  <c r="CF147" i="9" s="1"/>
  <c r="CG147" i="9" s="1"/>
  <c r="CU141" i="9"/>
  <c r="BZ136" i="9"/>
  <c r="CA136" i="9" s="1"/>
  <c r="CB136" i="9" s="1"/>
  <c r="CC136" i="9" s="1"/>
  <c r="CD136" i="9" s="1"/>
  <c r="CE136" i="9" s="1"/>
  <c r="CF136" i="9" s="1"/>
  <c r="CG136" i="9" s="1"/>
  <c r="CL130" i="9"/>
  <c r="CL129" i="9"/>
  <c r="CO128" i="9"/>
  <c r="BZ125" i="9"/>
  <c r="CA125" i="9" s="1"/>
  <c r="CB125" i="9" s="1"/>
  <c r="CO125" i="9" s="1"/>
  <c r="CL124" i="9"/>
  <c r="CA115" i="9"/>
  <c r="CB115" i="9" s="1"/>
  <c r="CC115" i="9" s="1"/>
  <c r="CD115" i="9" s="1"/>
  <c r="CE115" i="9" s="1"/>
  <c r="CF115" i="9" s="1"/>
  <c r="CG115" i="9" s="1"/>
  <c r="CL112" i="9"/>
  <c r="BZ111" i="9"/>
  <c r="CA111" i="9" s="1"/>
  <c r="CB111" i="9" s="1"/>
  <c r="CC111" i="9" s="1"/>
  <c r="CD111" i="9" s="1"/>
  <c r="CE111" i="9" s="1"/>
  <c r="CF111" i="9" s="1"/>
  <c r="CG111" i="9" s="1"/>
  <c r="CL97" i="9"/>
  <c r="CL94" i="9"/>
  <c r="BZ92" i="9"/>
  <c r="BZ81" i="9"/>
  <c r="CA81" i="9" s="1"/>
  <c r="CB81" i="9" s="1"/>
  <c r="CC81" i="9" s="1"/>
  <c r="CD81" i="9" s="1"/>
  <c r="CE81" i="9" s="1"/>
  <c r="CF81" i="9" s="1"/>
  <c r="CG81" i="9" s="1"/>
  <c r="CL72" i="9"/>
  <c r="CL61" i="9"/>
  <c r="CA59" i="9"/>
  <c r="CB59" i="9" s="1"/>
  <c r="CC59" i="9" s="1"/>
  <c r="CD59" i="9" s="1"/>
  <c r="CE59" i="9" s="1"/>
  <c r="CF59" i="9" s="1"/>
  <c r="CG59" i="9" s="1"/>
  <c r="BZ58" i="9"/>
  <c r="CA58" i="9" s="1"/>
  <c r="CB58" i="9" s="1"/>
  <c r="CC58" i="9" s="1"/>
  <c r="CD58" i="9" s="1"/>
  <c r="CE58" i="9" s="1"/>
  <c r="CF58" i="9" s="1"/>
  <c r="CG58" i="9" s="1"/>
  <c r="CL60" i="9"/>
  <c r="CL14" i="9"/>
  <c r="CL11" i="9"/>
  <c r="CL93" i="9"/>
  <c r="CL9" i="9"/>
  <c r="BZ48" i="9"/>
  <c r="CA48" i="9" s="1"/>
  <c r="CB48" i="9" s="1"/>
  <c r="CC48" i="9" s="1"/>
  <c r="CD48" i="9" s="1"/>
  <c r="CE48" i="9" s="1"/>
  <c r="CF48" i="9" s="1"/>
  <c r="CG48" i="9" s="1"/>
  <c r="BZ39" i="9"/>
  <c r="CA39" i="9" s="1"/>
  <c r="CB39" i="9" s="1"/>
  <c r="CC39" i="9" s="1"/>
  <c r="CD39" i="9" s="1"/>
  <c r="CE39" i="9" s="1"/>
  <c r="CF39" i="9" s="1"/>
  <c r="CG39" i="9" s="1"/>
  <c r="BZ29" i="9"/>
  <c r="CA29" i="9" s="1"/>
  <c r="CB29" i="9" s="1"/>
  <c r="CC29" i="9" s="1"/>
  <c r="CD29" i="9" s="1"/>
  <c r="CE29" i="9" s="1"/>
  <c r="CF29" i="9" s="1"/>
  <c r="CG29" i="9" s="1"/>
  <c r="B343" i="4"/>
  <c r="B340" i="4"/>
  <c r="B333" i="4"/>
  <c r="B329" i="4"/>
  <c r="B171" i="4"/>
  <c r="B170" i="4"/>
  <c r="B141" i="4"/>
  <c r="B120" i="4"/>
  <c r="B119" i="4"/>
  <c r="B105" i="4"/>
  <c r="B109" i="4"/>
  <c r="B107" i="4"/>
  <c r="B104" i="4"/>
  <c r="B106" i="4"/>
  <c r="B78" i="4"/>
  <c r="B77" i="4"/>
  <c r="B70" i="4"/>
  <c r="B76" i="4" s="1"/>
  <c r="B69" i="4"/>
  <c r="B68" i="4"/>
  <c r="B62" i="4"/>
  <c r="B58" i="4"/>
  <c r="B629" i="4"/>
  <c r="A629" i="4"/>
  <c r="E545" i="4"/>
  <c r="F969" i="4"/>
  <c r="F956" i="4"/>
  <c r="E614" i="4"/>
  <c r="C665" i="4"/>
  <c r="C208" i="4" s="1"/>
  <c r="T207" i="9"/>
  <c r="U207" i="9" s="1"/>
  <c r="BX207" i="9" s="1"/>
  <c r="Y207" i="9"/>
  <c r="I238" i="10"/>
  <c r="G100" i="1"/>
  <c r="A45" i="17"/>
  <c r="A43" i="17"/>
  <c r="A36" i="17"/>
  <c r="A45" i="16"/>
  <c r="AJ238" i="10" l="1"/>
  <c r="R2027" i="6" s="1"/>
  <c r="CH115" i="9"/>
  <c r="CH108" i="9"/>
  <c r="CI108" i="9" s="1"/>
  <c r="CJ108" i="9" s="1"/>
  <c r="CH29" i="9"/>
  <c r="CI29" i="9" s="1"/>
  <c r="CJ29" i="9" s="1"/>
  <c r="CH81" i="9"/>
  <c r="CI81" i="9" s="1"/>
  <c r="CJ81" i="9" s="1"/>
  <c r="CH111" i="9"/>
  <c r="CI111" i="9" s="1"/>
  <c r="CJ111" i="9" s="1"/>
  <c r="CH174" i="9"/>
  <c r="CI174" i="9" s="1"/>
  <c r="CJ174" i="9" s="1"/>
  <c r="Z207" i="9"/>
  <c r="F238" i="10"/>
  <c r="G174" i="9"/>
  <c r="G215" i="9" s="1"/>
  <c r="BZ189" i="9"/>
  <c r="CL189" i="9"/>
  <c r="AE177" i="9"/>
  <c r="G54" i="9"/>
  <c r="G29" i="9"/>
  <c r="I768" i="7" s="1"/>
  <c r="CK42" i="22"/>
  <c r="BY42" i="22"/>
  <c r="CU115" i="9"/>
  <c r="CI115" i="9"/>
  <c r="I1146" i="6"/>
  <c r="AE146" i="9"/>
  <c r="P9" i="42"/>
  <c r="CT136" i="9"/>
  <c r="CH136" i="9"/>
  <c r="CT148" i="9"/>
  <c r="CH148" i="9"/>
  <c r="CT48" i="9"/>
  <c r="CH48" i="9"/>
  <c r="CT150" i="9"/>
  <c r="CH150" i="9"/>
  <c r="CT39" i="9"/>
  <c r="CH39" i="9"/>
  <c r="CT58" i="9"/>
  <c r="CH58" i="9"/>
  <c r="CT18" i="9"/>
  <c r="CU18" i="9"/>
  <c r="CT57" i="9"/>
  <c r="CU57" i="9"/>
  <c r="CT59" i="9"/>
  <c r="CH59" i="9"/>
  <c r="CT147" i="9"/>
  <c r="CH147" i="9"/>
  <c r="CT200" i="9"/>
  <c r="CH200" i="9"/>
  <c r="CT17" i="9"/>
  <c r="CU17" i="9"/>
  <c r="AT33" i="37"/>
  <c r="AT30" i="37"/>
  <c r="AU33" i="37"/>
  <c r="AU30" i="37"/>
  <c r="A304" i="15"/>
  <c r="A120" i="17"/>
  <c r="AU89" i="37"/>
  <c r="AU20" i="37"/>
  <c r="A627" i="34"/>
  <c r="G27" i="1"/>
  <c r="H1970" i="6" s="1"/>
  <c r="G26" i="1"/>
  <c r="G25" i="1"/>
  <c r="F291" i="3" s="1"/>
  <c r="F301" i="3" s="1"/>
  <c r="G24" i="1"/>
  <c r="CL186" i="9"/>
  <c r="B158" i="4"/>
  <c r="U186" i="9"/>
  <c r="BO14" i="21"/>
  <c r="BP14" i="21" s="1"/>
  <c r="BQ14" i="21" s="1"/>
  <c r="BR14" i="21" s="1"/>
  <c r="BS14" i="21" s="1"/>
  <c r="BT14" i="21" s="1"/>
  <c r="BU14" i="21" s="1"/>
  <c r="BV14" i="21" s="1"/>
  <c r="CC125" i="9"/>
  <c r="CL95" i="9"/>
  <c r="U95" i="9"/>
  <c r="BO34" i="21"/>
  <c r="CB34" i="21" s="1"/>
  <c r="BO26" i="21"/>
  <c r="CB26" i="21" s="1"/>
  <c r="BO25" i="21"/>
  <c r="CB25" i="21" s="1"/>
  <c r="BO37" i="21"/>
  <c r="BP37" i="21" s="1"/>
  <c r="CC37" i="21" s="1"/>
  <c r="BZ112" i="9"/>
  <c r="CA112" i="9" s="1"/>
  <c r="CB112" i="9" s="1"/>
  <c r="CC112" i="9" s="1"/>
  <c r="CD112" i="9" s="1"/>
  <c r="CE112" i="9" s="1"/>
  <c r="CF112" i="9" s="1"/>
  <c r="CG112" i="9" s="1"/>
  <c r="BP70" i="22"/>
  <c r="BQ70" i="22" s="1"/>
  <c r="CD70" i="22" s="1"/>
  <c r="BO31" i="21"/>
  <c r="CB31" i="21" s="1"/>
  <c r="BO43" i="21"/>
  <c r="BP43" i="21" s="1"/>
  <c r="CC43" i="21" s="1"/>
  <c r="BO30" i="21"/>
  <c r="CB30" i="21" s="1"/>
  <c r="CA30" i="21"/>
  <c r="BO32" i="21"/>
  <c r="BO42" i="21"/>
  <c r="CA42" i="21"/>
  <c r="BO39" i="21"/>
  <c r="BO47" i="21"/>
  <c r="CA47" i="21"/>
  <c r="BO48" i="21"/>
  <c r="BO45" i="21"/>
  <c r="CA45" i="21"/>
  <c r="BO33" i="21"/>
  <c r="CA33" i="21"/>
  <c r="BO46" i="21"/>
  <c r="CB46" i="21" s="1"/>
  <c r="CA46" i="21"/>
  <c r="BO38" i="21"/>
  <c r="CB38" i="21" s="1"/>
  <c r="CA38" i="21"/>
  <c r="BP101" i="22"/>
  <c r="BQ101" i="22" s="1"/>
  <c r="BR101" i="22" s="1"/>
  <c r="BP6" i="22"/>
  <c r="CC6" i="22" s="1"/>
  <c r="BP8" i="22"/>
  <c r="BP11" i="22"/>
  <c r="CC11" i="22" s="1"/>
  <c r="BP12" i="22"/>
  <c r="BP9" i="22"/>
  <c r="BP14" i="22"/>
  <c r="BP56" i="22"/>
  <c r="BQ56" i="22" s="1"/>
  <c r="BR56" i="22" s="1"/>
  <c r="BP69" i="22"/>
  <c r="CC69" i="22" s="1"/>
  <c r="CB71" i="22"/>
  <c r="BP58" i="22"/>
  <c r="BQ58" i="22" s="1"/>
  <c r="CD58" i="22" s="1"/>
  <c r="BP59" i="22"/>
  <c r="BQ59" i="22" s="1"/>
  <c r="BR59" i="22" s="1"/>
  <c r="BP64" i="22"/>
  <c r="CC64" i="22" s="1"/>
  <c r="L100" i="37"/>
  <c r="BZ93" i="9"/>
  <c r="CM93" i="9" s="1"/>
  <c r="CM9" i="9"/>
  <c r="BZ94" i="9"/>
  <c r="CA94" i="9" s="1"/>
  <c r="CB94" i="9" s="1"/>
  <c r="CC94" i="9" s="1"/>
  <c r="CD94" i="9" s="1"/>
  <c r="CE94" i="9" s="1"/>
  <c r="CF94" i="9" s="1"/>
  <c r="CG94" i="9" s="1"/>
  <c r="BZ177" i="9"/>
  <c r="CA92" i="9"/>
  <c r="CM92" i="9"/>
  <c r="BZ14" i="9"/>
  <c r="BZ61" i="9"/>
  <c r="BZ97" i="9"/>
  <c r="CA97" i="9" s="1"/>
  <c r="CB97" i="9" s="1"/>
  <c r="CC97" i="9" s="1"/>
  <c r="CD97" i="9" s="1"/>
  <c r="CE97" i="9" s="1"/>
  <c r="CF97" i="9" s="1"/>
  <c r="CG97" i="9" s="1"/>
  <c r="BZ124" i="9"/>
  <c r="CN39" i="9"/>
  <c r="CR39" i="9"/>
  <c r="CL48" i="9"/>
  <c r="CP48" i="9"/>
  <c r="CM57" i="9"/>
  <c r="CQ57" i="9"/>
  <c r="CL58" i="9"/>
  <c r="CP58" i="9"/>
  <c r="CN59" i="9"/>
  <c r="CR59" i="9"/>
  <c r="CL92" i="9"/>
  <c r="CL125" i="9"/>
  <c r="CL128" i="9"/>
  <c r="CL132" i="9"/>
  <c r="CL133" i="9"/>
  <c r="CL134" i="9"/>
  <c r="CN136" i="9"/>
  <c r="CR136" i="9"/>
  <c r="CL141" i="9"/>
  <c r="CL147" i="9"/>
  <c r="CP147" i="9"/>
  <c r="CN148" i="9"/>
  <c r="CR148" i="9"/>
  <c r="CN150" i="9"/>
  <c r="CR150" i="9"/>
  <c r="CM108" i="9"/>
  <c r="CN17" i="9"/>
  <c r="CR17" i="9"/>
  <c r="CL18" i="9"/>
  <c r="CP18" i="9"/>
  <c r="CN200" i="9"/>
  <c r="CR200" i="9"/>
  <c r="CM39" i="9"/>
  <c r="CQ39" i="9"/>
  <c r="CO48" i="9"/>
  <c r="CS48" i="9"/>
  <c r="CL57" i="9"/>
  <c r="CP57" i="9"/>
  <c r="CO58" i="9"/>
  <c r="CS58" i="9"/>
  <c r="CM59" i="9"/>
  <c r="CQ59" i="9"/>
  <c r="CM136" i="9"/>
  <c r="CQ136" i="9"/>
  <c r="CM146" i="9"/>
  <c r="CO147" i="9"/>
  <c r="CS147" i="9"/>
  <c r="CM148" i="9"/>
  <c r="CQ148" i="9"/>
  <c r="CM150" i="9"/>
  <c r="CQ150" i="9"/>
  <c r="CL108" i="9"/>
  <c r="CM17" i="9"/>
  <c r="CQ17" i="9"/>
  <c r="CO18" i="9"/>
  <c r="CS18" i="9"/>
  <c r="CM200" i="9"/>
  <c r="CQ200" i="9"/>
  <c r="BZ72" i="9"/>
  <c r="BZ186" i="9"/>
  <c r="CL39" i="9"/>
  <c r="CP39" i="9"/>
  <c r="CN48" i="9"/>
  <c r="CR48" i="9"/>
  <c r="CO57" i="9"/>
  <c r="CS57" i="9"/>
  <c r="CN58" i="9"/>
  <c r="CR58" i="9"/>
  <c r="CL59" i="9"/>
  <c r="CP59" i="9"/>
  <c r="CL81" i="9"/>
  <c r="CL111" i="9"/>
  <c r="CN125" i="9"/>
  <c r="CN128" i="9"/>
  <c r="CN132" i="9"/>
  <c r="CN133" i="9"/>
  <c r="CL136" i="9"/>
  <c r="CP136" i="9"/>
  <c r="CL146" i="9"/>
  <c r="CN147" i="9"/>
  <c r="CR147" i="9"/>
  <c r="CL148" i="9"/>
  <c r="CP148" i="9"/>
  <c r="CL150" i="9"/>
  <c r="CP150" i="9"/>
  <c r="CL17" i="9"/>
  <c r="CP17" i="9"/>
  <c r="CN18" i="9"/>
  <c r="CR18" i="9"/>
  <c r="CL200" i="9"/>
  <c r="CP200" i="9"/>
  <c r="CO39" i="9"/>
  <c r="CS39" i="9"/>
  <c r="CM48" i="9"/>
  <c r="CQ48" i="9"/>
  <c r="CN57" i="9"/>
  <c r="CR57" i="9"/>
  <c r="CM58" i="9"/>
  <c r="CQ58" i="9"/>
  <c r="CO59" i="9"/>
  <c r="CS59" i="9"/>
  <c r="CM125" i="9"/>
  <c r="CM128" i="9"/>
  <c r="CM132" i="9"/>
  <c r="CM133" i="9"/>
  <c r="CO136" i="9"/>
  <c r="CS136" i="9"/>
  <c r="CM147" i="9"/>
  <c r="CQ147" i="9"/>
  <c r="CO148" i="9"/>
  <c r="CS148" i="9"/>
  <c r="CO150" i="9"/>
  <c r="CS150" i="9"/>
  <c r="CN108" i="9"/>
  <c r="CO17" i="9"/>
  <c r="CS17" i="9"/>
  <c r="CM18" i="9"/>
  <c r="CQ18" i="9"/>
  <c r="CO200" i="9"/>
  <c r="CS200" i="9"/>
  <c r="BP90" i="22"/>
  <c r="BP95" i="22"/>
  <c r="CC95" i="22" s="1"/>
  <c r="CB42" i="22"/>
  <c r="BQ65" i="22"/>
  <c r="CC65" i="22"/>
  <c r="BQ71" i="22"/>
  <c r="CC71" i="22"/>
  <c r="BQ61" i="22"/>
  <c r="CC61" i="22"/>
  <c r="BP57" i="22"/>
  <c r="CB61" i="22"/>
  <c r="CB65" i="22"/>
  <c r="BP16" i="22"/>
  <c r="CC42" i="22"/>
  <c r="BP29" i="22"/>
  <c r="BO60" i="21"/>
  <c r="BO15" i="21"/>
  <c r="BQ37" i="21"/>
  <c r="CD37" i="21" s="1"/>
  <c r="BO16" i="21"/>
  <c r="CB16" i="21" s="1"/>
  <c r="C654" i="4"/>
  <c r="CV115" i="9" l="1"/>
  <c r="CJ115" i="9"/>
  <c r="CW115" i="9" s="1"/>
  <c r="CL42" i="22"/>
  <c r="BZ42" i="22"/>
  <c r="BX95" i="9"/>
  <c r="CH97" i="9"/>
  <c r="CU97" i="9" s="1"/>
  <c r="CH112" i="9"/>
  <c r="CI112" i="9" s="1"/>
  <c r="CJ112" i="9" s="1"/>
  <c r="CA177" i="9"/>
  <c r="CM177" i="9"/>
  <c r="CA189" i="9"/>
  <c r="CM189" i="9"/>
  <c r="BP30" i="21"/>
  <c r="CC30" i="21" s="1"/>
  <c r="A41" i="15"/>
  <c r="P71" i="42"/>
  <c r="CU200" i="9"/>
  <c r="CI200" i="9"/>
  <c r="CU147" i="9"/>
  <c r="CI147" i="9"/>
  <c r="CU59" i="9"/>
  <c r="CI59" i="9"/>
  <c r="CU58" i="9"/>
  <c r="CI58" i="9"/>
  <c r="CU39" i="9"/>
  <c r="CI39" i="9"/>
  <c r="CU48" i="9"/>
  <c r="CI48" i="9"/>
  <c r="CU148" i="9"/>
  <c r="CI148" i="9"/>
  <c r="CU150" i="9"/>
  <c r="CI150" i="9"/>
  <c r="CU136" i="9"/>
  <c r="CI136" i="9"/>
  <c r="H100" i="1"/>
  <c r="CS11" i="9"/>
  <c r="CB121" i="22"/>
  <c r="E698" i="34" s="1"/>
  <c r="CD125" i="9"/>
  <c r="CP125" i="9"/>
  <c r="CP128" i="9"/>
  <c r="BQ11" i="22"/>
  <c r="BR11" i="22" s="1"/>
  <c r="CD101" i="22"/>
  <c r="CD56" i="22"/>
  <c r="CC56" i="22"/>
  <c r="CE14" i="21"/>
  <c r="CG14" i="21"/>
  <c r="BP46" i="21"/>
  <c r="CC46" i="21" s="1"/>
  <c r="BP26" i="21"/>
  <c r="CI14" i="21"/>
  <c r="BW14" i="21"/>
  <c r="CT11" i="9"/>
  <c r="CT94" i="9"/>
  <c r="CH94" i="9"/>
  <c r="CT60" i="9"/>
  <c r="CN9" i="9"/>
  <c r="CQ94" i="9"/>
  <c r="I877" i="6"/>
  <c r="BQ69" i="22"/>
  <c r="BR69" i="22" s="1"/>
  <c r="CC101" i="22"/>
  <c r="CB14" i="21"/>
  <c r="CH14" i="21"/>
  <c r="BQ43" i="21"/>
  <c r="CD43" i="21" s="1"/>
  <c r="CD14" i="21"/>
  <c r="CF14" i="21"/>
  <c r="CC14" i="21"/>
  <c r="BR70" i="22"/>
  <c r="CE70" i="22" s="1"/>
  <c r="CC70" i="22"/>
  <c r="BQ6" i="22"/>
  <c r="CD6" i="22" s="1"/>
  <c r="H25" i="1"/>
  <c r="H26" i="1"/>
  <c r="I26" i="1" s="1"/>
  <c r="H27" i="1"/>
  <c r="CC59" i="22"/>
  <c r="CD59" i="22"/>
  <c r="BQ95" i="22"/>
  <c r="BR95" i="22" s="1"/>
  <c r="BR58" i="22"/>
  <c r="BS58" i="22" s="1"/>
  <c r="CC58" i="22"/>
  <c r="BQ64" i="22"/>
  <c r="CD64" i="22" s="1"/>
  <c r="BP31" i="21"/>
  <c r="BQ31" i="21" s="1"/>
  <c r="BP25" i="21"/>
  <c r="CC25" i="21" s="1"/>
  <c r="BP34" i="21"/>
  <c r="BP38" i="21"/>
  <c r="CC38" i="21" s="1"/>
  <c r="CM130" i="9"/>
  <c r="G7" i="9"/>
  <c r="I608" i="4" s="1"/>
  <c r="CB37" i="21"/>
  <c r="BQ90" i="22"/>
  <c r="CB43" i="21"/>
  <c r="CP11" i="9"/>
  <c r="CQ60" i="9"/>
  <c r="CR60" i="9"/>
  <c r="CM11" i="9"/>
  <c r="CR11" i="9"/>
  <c r="CN60" i="9"/>
  <c r="CS60" i="9"/>
  <c r="CN130" i="9"/>
  <c r="CN11" i="9"/>
  <c r="CO11" i="9"/>
  <c r="CQ11" i="9"/>
  <c r="CM60" i="9"/>
  <c r="CM94" i="9"/>
  <c r="CO94" i="9"/>
  <c r="CP94" i="9"/>
  <c r="CR94" i="9"/>
  <c r="CC9" i="22"/>
  <c r="BQ9" i="22"/>
  <c r="CC12" i="22"/>
  <c r="BQ12" i="22"/>
  <c r="CC8" i="22"/>
  <c r="BQ8" i="22"/>
  <c r="BP33" i="21"/>
  <c r="CB33" i="21"/>
  <c r="BP48" i="21"/>
  <c r="CB48" i="21"/>
  <c r="BP47" i="21"/>
  <c r="CB47" i="21"/>
  <c r="BP32" i="21"/>
  <c r="CB32" i="21"/>
  <c r="BP60" i="21"/>
  <c r="BQ60" i="21" s="1"/>
  <c r="CC14" i="22"/>
  <c r="BQ14" i="22"/>
  <c r="BP45" i="21"/>
  <c r="CB45" i="21"/>
  <c r="BP39" i="21"/>
  <c r="CB39" i="21"/>
  <c r="BP42" i="21"/>
  <c r="CB42" i="21"/>
  <c r="CN94" i="9"/>
  <c r="CO60" i="9"/>
  <c r="CA93" i="9"/>
  <c r="CB93" i="9" s="1"/>
  <c r="CN146" i="9"/>
  <c r="CM7" i="9"/>
  <c r="CS94" i="9"/>
  <c r="CP60" i="9"/>
  <c r="CA124" i="9"/>
  <c r="CM124" i="9"/>
  <c r="CB92" i="9"/>
  <c r="CN92" i="9"/>
  <c r="CA186" i="9"/>
  <c r="CB186" i="9" s="1"/>
  <c r="CC186" i="9" s="1"/>
  <c r="CD186" i="9" s="1"/>
  <c r="CE186" i="9" s="1"/>
  <c r="CF186" i="9" s="1"/>
  <c r="CG186" i="9" s="1"/>
  <c r="CM186" i="9"/>
  <c r="CM72" i="9"/>
  <c r="CA72" i="9"/>
  <c r="CA61" i="9"/>
  <c r="CM61" i="9"/>
  <c r="CM129" i="9"/>
  <c r="CA14" i="9"/>
  <c r="CM14" i="9"/>
  <c r="CE59" i="22"/>
  <c r="BS59" i="22"/>
  <c r="CE56" i="22"/>
  <c r="BS56" i="22"/>
  <c r="CD61" i="22"/>
  <c r="BR61" i="22"/>
  <c r="BR71" i="22"/>
  <c r="CD71" i="22"/>
  <c r="CD65" i="22"/>
  <c r="BR65" i="22"/>
  <c r="BQ57" i="22"/>
  <c r="CC57" i="22"/>
  <c r="BQ16" i="22"/>
  <c r="CC16" i="22"/>
  <c r="CD42" i="22"/>
  <c r="BQ29" i="22"/>
  <c r="CC29" i="22"/>
  <c r="BS101" i="22"/>
  <c r="CE101" i="22"/>
  <c r="BP15" i="21"/>
  <c r="CB15" i="21"/>
  <c r="BR37" i="21"/>
  <c r="BQ30" i="21"/>
  <c r="BP16" i="21"/>
  <c r="CC16" i="21" s="1"/>
  <c r="C656" i="4"/>
  <c r="CI97" i="9" l="1"/>
  <c r="CV97" i="9" s="1"/>
  <c r="CV150" i="9"/>
  <c r="CJ150" i="9"/>
  <c r="CW150" i="9" s="1"/>
  <c r="CV48" i="9"/>
  <c r="CJ48" i="9"/>
  <c r="CW48" i="9" s="1"/>
  <c r="CV58" i="9"/>
  <c r="CJ58" i="9"/>
  <c r="CW58" i="9" s="1"/>
  <c r="CV147" i="9"/>
  <c r="CJ147" i="9"/>
  <c r="CW147" i="9" s="1"/>
  <c r="CJ97" i="9"/>
  <c r="CW97" i="9" s="1"/>
  <c r="CV136" i="9"/>
  <c r="CJ136" i="9"/>
  <c r="CW136" i="9" s="1"/>
  <c r="CV148" i="9"/>
  <c r="CJ148" i="9"/>
  <c r="CW148" i="9" s="1"/>
  <c r="CV39" i="9"/>
  <c r="CJ39" i="9"/>
  <c r="CW39" i="9" s="1"/>
  <c r="CV59" i="9"/>
  <c r="CJ59" i="9"/>
  <c r="CW59" i="9" s="1"/>
  <c r="CV200" i="9"/>
  <c r="CJ200" i="9"/>
  <c r="CW200" i="9" s="1"/>
  <c r="CH186" i="9"/>
  <c r="CI186" i="9" s="1"/>
  <c r="CJ186" i="9" s="1"/>
  <c r="G291" i="3"/>
  <c r="G301" i="3" s="1"/>
  <c r="CB189" i="9"/>
  <c r="CN189" i="9"/>
  <c r="CB177" i="9"/>
  <c r="CC177" i="9" s="1"/>
  <c r="CD177" i="9" s="1"/>
  <c r="CE177" i="9" s="1"/>
  <c r="CF177" i="9" s="1"/>
  <c r="CG177" i="9" s="1"/>
  <c r="CN177" i="9"/>
  <c r="BR43" i="21"/>
  <c r="BS43" i="21" s="1"/>
  <c r="BQ38" i="21"/>
  <c r="BR38" i="21" s="1"/>
  <c r="CJ14" i="21"/>
  <c r="BX14" i="21"/>
  <c r="CU11" i="9"/>
  <c r="CV11" i="9"/>
  <c r="CU94" i="9"/>
  <c r="CI94" i="9"/>
  <c r="I100" i="1"/>
  <c r="CQ128" i="9"/>
  <c r="CE125" i="9"/>
  <c r="CQ125" i="9"/>
  <c r="CD11" i="22"/>
  <c r="BS70" i="22"/>
  <c r="BT70" i="22" s="1"/>
  <c r="CD69" i="22"/>
  <c r="BQ25" i="21"/>
  <c r="CD25" i="21" s="1"/>
  <c r="BQ46" i="21"/>
  <c r="CD46" i="21" s="1"/>
  <c r="CC26" i="21"/>
  <c r="BQ26" i="21"/>
  <c r="C658" i="4"/>
  <c r="I27" i="1"/>
  <c r="BR6" i="22"/>
  <c r="BS6" i="22" s="1"/>
  <c r="CC31" i="21"/>
  <c r="I25" i="1"/>
  <c r="BR64" i="22"/>
  <c r="BS64" i="22" s="1"/>
  <c r="CD95" i="22"/>
  <c r="BR90" i="22"/>
  <c r="BS90" i="22" s="1"/>
  <c r="CE58" i="22"/>
  <c r="CC34" i="21"/>
  <c r="BQ34" i="21"/>
  <c r="CN93" i="9"/>
  <c r="CD14" i="22"/>
  <c r="BR14" i="22"/>
  <c r="CD8" i="22"/>
  <c r="BR8" i="22"/>
  <c r="CD12" i="22"/>
  <c r="BR12" i="22"/>
  <c r="CD9" i="22"/>
  <c r="BR9" i="22"/>
  <c r="BR30" i="21"/>
  <c r="CD30" i="21"/>
  <c r="BS37" i="21"/>
  <c r="CE37" i="21"/>
  <c r="BQ42" i="21"/>
  <c r="CC42" i="21"/>
  <c r="BQ39" i="21"/>
  <c r="CC39" i="21"/>
  <c r="BQ45" i="21"/>
  <c r="CC45" i="21"/>
  <c r="BQ32" i="21"/>
  <c r="CC32" i="21"/>
  <c r="BQ47" i="21"/>
  <c r="CC47" i="21"/>
  <c r="BQ48" i="21"/>
  <c r="CC48" i="21"/>
  <c r="BR31" i="21"/>
  <c r="CD31" i="21"/>
  <c r="BQ33" i="21"/>
  <c r="CC33" i="21"/>
  <c r="CN7" i="9"/>
  <c r="CC93" i="9"/>
  <c r="CO93" i="9"/>
  <c r="CB14" i="9"/>
  <c r="CN14" i="9"/>
  <c r="CN129" i="9"/>
  <c r="CC92" i="9"/>
  <c r="CO92" i="9"/>
  <c r="CB124" i="9"/>
  <c r="CO124" i="9" s="1"/>
  <c r="CN124" i="9"/>
  <c r="CB72" i="9"/>
  <c r="CN72" i="9"/>
  <c r="CB61" i="9"/>
  <c r="CN61" i="9"/>
  <c r="CO9" i="9"/>
  <c r="BS95" i="22"/>
  <c r="CE95" i="22"/>
  <c r="BT56" i="22"/>
  <c r="CF56" i="22"/>
  <c r="BS69" i="22"/>
  <c r="CE69" i="22"/>
  <c r="BS65" i="22"/>
  <c r="CE65" i="22"/>
  <c r="BS61" i="22"/>
  <c r="CE61" i="22"/>
  <c r="BT58" i="22"/>
  <c r="CF58" i="22"/>
  <c r="BR57" i="22"/>
  <c r="CD57" i="22"/>
  <c r="BS71" i="22"/>
  <c r="CE71" i="22"/>
  <c r="BT59" i="22"/>
  <c r="CF59" i="22"/>
  <c r="BS11" i="22"/>
  <c r="CE11" i="22"/>
  <c r="BR16" i="22"/>
  <c r="CD16" i="22"/>
  <c r="CE42" i="22"/>
  <c r="BR29" i="22"/>
  <c r="CD29" i="22"/>
  <c r="BT101" i="22"/>
  <c r="CF101" i="22"/>
  <c r="BR60" i="21"/>
  <c r="BQ15" i="21"/>
  <c r="CC15" i="21"/>
  <c r="BQ16" i="21"/>
  <c r="CD16" i="21" s="1"/>
  <c r="CV94" i="9" l="1"/>
  <c r="CJ94" i="9"/>
  <c r="CW94" i="9" s="1"/>
  <c r="CK14" i="21"/>
  <c r="BY14" i="21"/>
  <c r="CH177" i="9"/>
  <c r="CI177" i="9" s="1"/>
  <c r="CJ177" i="9" s="1"/>
  <c r="H291" i="3"/>
  <c r="H301" i="3" s="1"/>
  <c r="CE43" i="21"/>
  <c r="BR46" i="21"/>
  <c r="CC189" i="9"/>
  <c r="CO189" i="9"/>
  <c r="CD38" i="21"/>
  <c r="BR25" i="21"/>
  <c r="CE25" i="21" s="1"/>
  <c r="CE6" i="22"/>
  <c r="CR128" i="9"/>
  <c r="CF125" i="9"/>
  <c r="CR125" i="9"/>
  <c r="CF70" i="22"/>
  <c r="CD26" i="21"/>
  <c r="BR26" i="21"/>
  <c r="C667" i="4"/>
  <c r="CE64" i="22"/>
  <c r="CD34" i="21"/>
  <c r="BR34" i="21"/>
  <c r="BS9" i="22"/>
  <c r="CE9" i="22"/>
  <c r="CE12" i="22"/>
  <c r="BS12" i="22"/>
  <c r="BS8" i="22"/>
  <c r="CE8" i="22"/>
  <c r="BS14" i="22"/>
  <c r="CE14" i="22"/>
  <c r="BR33" i="21"/>
  <c r="CD33" i="21"/>
  <c r="BS31" i="21"/>
  <c r="CE31" i="21"/>
  <c r="BR48" i="21"/>
  <c r="CD48" i="21"/>
  <c r="BR47" i="21"/>
  <c r="CD47" i="21"/>
  <c r="BR32" i="21"/>
  <c r="CD32" i="21"/>
  <c r="BR45" i="21"/>
  <c r="CD45" i="21"/>
  <c r="BR39" i="21"/>
  <c r="CD39" i="21"/>
  <c r="BR42" i="21"/>
  <c r="CD42" i="21"/>
  <c r="BT37" i="21"/>
  <c r="CF37" i="21"/>
  <c r="BS38" i="21"/>
  <c r="CE38" i="21"/>
  <c r="BT43" i="21"/>
  <c r="CF43" i="21"/>
  <c r="BS46" i="21"/>
  <c r="CE46" i="21"/>
  <c r="BS30" i="21"/>
  <c r="CE30" i="21"/>
  <c r="CP9" i="9"/>
  <c r="CC14" i="9"/>
  <c r="CO14" i="9"/>
  <c r="CC61" i="9"/>
  <c r="CC124" i="9"/>
  <c r="CP124" i="9" s="1"/>
  <c r="CC72" i="9"/>
  <c r="CO72" i="9"/>
  <c r="CD92" i="9"/>
  <c r="CP92" i="9"/>
  <c r="CD93" i="9"/>
  <c r="CP93" i="9"/>
  <c r="BT90" i="22"/>
  <c r="BT95" i="22"/>
  <c r="CF95" i="22"/>
  <c r="BT64" i="22"/>
  <c r="CF64" i="22"/>
  <c r="CG70" i="22"/>
  <c r="BU70" i="22"/>
  <c r="BS57" i="22"/>
  <c r="CE57" i="22"/>
  <c r="BT61" i="22"/>
  <c r="CF61" i="22"/>
  <c r="BT65" i="22"/>
  <c r="CF65" i="22"/>
  <c r="BU56" i="22"/>
  <c r="CG56" i="22"/>
  <c r="BU59" i="22"/>
  <c r="CG59" i="22"/>
  <c r="CF71" i="22"/>
  <c r="BT71" i="22"/>
  <c r="BU58" i="22"/>
  <c r="CG58" i="22"/>
  <c r="BT69" i="22"/>
  <c r="CF69" i="22"/>
  <c r="BS16" i="22"/>
  <c r="CE16" i="22"/>
  <c r="BT6" i="22"/>
  <c r="CF6" i="22"/>
  <c r="BT11" i="22"/>
  <c r="CF11" i="22"/>
  <c r="CF42" i="22"/>
  <c r="BS29" i="22"/>
  <c r="CE29" i="22"/>
  <c r="BU101" i="22"/>
  <c r="CG101" i="22"/>
  <c r="BS60" i="21"/>
  <c r="BR15" i="21"/>
  <c r="CD15" i="21"/>
  <c r="BR16" i="21"/>
  <c r="CE16" i="21" s="1"/>
  <c r="CD189" i="9" l="1"/>
  <c r="CP189" i="9"/>
  <c r="BS25" i="21"/>
  <c r="BT25" i="21" s="1"/>
  <c r="CS128" i="9"/>
  <c r="CG125" i="9"/>
  <c r="CS125" i="9"/>
  <c r="BS26" i="21"/>
  <c r="CE26" i="21"/>
  <c r="BS34" i="21"/>
  <c r="CE34" i="21"/>
  <c r="BT12" i="22"/>
  <c r="CF12" i="22"/>
  <c r="BT30" i="21"/>
  <c r="CF30" i="21"/>
  <c r="BT46" i="21"/>
  <c r="CF46" i="21"/>
  <c r="BU43" i="21"/>
  <c r="CG43" i="21"/>
  <c r="BT38" i="21"/>
  <c r="CF38" i="21"/>
  <c r="BU37" i="21"/>
  <c r="CG37" i="21"/>
  <c r="BS42" i="21"/>
  <c r="CE42" i="21"/>
  <c r="BS39" i="21"/>
  <c r="CE39" i="21"/>
  <c r="BS45" i="21"/>
  <c r="CE45" i="21"/>
  <c r="BS32" i="21"/>
  <c r="CE32" i="21"/>
  <c r="BS47" i="21"/>
  <c r="CE47" i="21"/>
  <c r="BS48" i="21"/>
  <c r="CE48" i="21"/>
  <c r="BT31" i="21"/>
  <c r="CF31" i="21"/>
  <c r="BS33" i="21"/>
  <c r="CE33" i="21"/>
  <c r="BT14" i="22"/>
  <c r="CF14" i="22"/>
  <c r="BT8" i="22"/>
  <c r="CF8" i="22"/>
  <c r="BT9" i="22"/>
  <c r="CF9" i="22"/>
  <c r="CE92" i="9"/>
  <c r="CQ92" i="9"/>
  <c r="CD72" i="9"/>
  <c r="CP72" i="9"/>
  <c r="CD124" i="9"/>
  <c r="CQ124" i="9" s="1"/>
  <c r="CD14" i="9"/>
  <c r="CP14" i="9"/>
  <c r="CE93" i="9"/>
  <c r="CQ93" i="9"/>
  <c r="CD61" i="9"/>
  <c r="CQ9" i="9"/>
  <c r="BU90" i="22"/>
  <c r="CG95" i="22"/>
  <c r="BU95" i="22"/>
  <c r="BV70" i="22"/>
  <c r="CH70" i="22"/>
  <c r="BV59" i="22"/>
  <c r="CH59" i="22"/>
  <c r="BV56" i="22"/>
  <c r="CH56" i="22"/>
  <c r="BU65" i="22"/>
  <c r="CG65" i="22"/>
  <c r="CG64" i="22"/>
  <c r="BU64" i="22"/>
  <c r="BU71" i="22"/>
  <c r="CG71" i="22"/>
  <c r="CG69" i="22"/>
  <c r="BU69" i="22"/>
  <c r="BV58" i="22"/>
  <c r="CH58" i="22"/>
  <c r="BU61" i="22"/>
  <c r="CG61" i="22"/>
  <c r="CF57" i="22"/>
  <c r="BT57" i="22"/>
  <c r="CF16" i="22"/>
  <c r="BT16" i="22"/>
  <c r="CG11" i="22"/>
  <c r="BU11" i="22"/>
  <c r="CG6" i="22"/>
  <c r="BU6" i="22"/>
  <c r="CG42" i="22"/>
  <c r="CF29" i="22"/>
  <c r="BT29" i="22"/>
  <c r="CH101" i="22"/>
  <c r="BV101" i="22"/>
  <c r="BT60" i="21"/>
  <c r="BS15" i="21"/>
  <c r="CE15" i="21"/>
  <c r="BS16" i="21"/>
  <c r="CF16" i="21" s="1"/>
  <c r="CF25" i="21" l="1"/>
  <c r="CE189" i="9"/>
  <c r="CQ189" i="9"/>
  <c r="CT125" i="9"/>
  <c r="CH125" i="9"/>
  <c r="CT128" i="9"/>
  <c r="BT26" i="21"/>
  <c r="CF26" i="21"/>
  <c r="BT34" i="21"/>
  <c r="CF34" i="21"/>
  <c r="CG9" i="22"/>
  <c r="BU9" i="22"/>
  <c r="CG8" i="22"/>
  <c r="BU8" i="22"/>
  <c r="CG14" i="22"/>
  <c r="BU14" i="22"/>
  <c r="BT33" i="21"/>
  <c r="CF33" i="21"/>
  <c r="BU31" i="21"/>
  <c r="CG31" i="21"/>
  <c r="BT48" i="21"/>
  <c r="CF48" i="21"/>
  <c r="BT47" i="21"/>
  <c r="CF47" i="21"/>
  <c r="BT32" i="21"/>
  <c r="CF32" i="21"/>
  <c r="BT45" i="21"/>
  <c r="CF45" i="21"/>
  <c r="BT39" i="21"/>
  <c r="CF39" i="21"/>
  <c r="BT42" i="21"/>
  <c r="CF42" i="21"/>
  <c r="BU25" i="21"/>
  <c r="CG25" i="21"/>
  <c r="BV37" i="21"/>
  <c r="CH37" i="21"/>
  <c r="BU38" i="21"/>
  <c r="CG38" i="21"/>
  <c r="BV43" i="21"/>
  <c r="CH43" i="21"/>
  <c r="BU46" i="21"/>
  <c r="CG46" i="21"/>
  <c r="BU30" i="21"/>
  <c r="CG30" i="21"/>
  <c r="BU12" i="22"/>
  <c r="CG12" i="22"/>
  <c r="CE61" i="9"/>
  <c r="CF93" i="9"/>
  <c r="CR93" i="9"/>
  <c r="CF92" i="9"/>
  <c r="CR92" i="9"/>
  <c r="CR9" i="9"/>
  <c r="CE14" i="9"/>
  <c r="CQ14" i="9"/>
  <c r="CE124" i="9"/>
  <c r="CR124" i="9" s="1"/>
  <c r="CE72" i="9"/>
  <c r="CQ72" i="9"/>
  <c r="BV90" i="22"/>
  <c r="BV95" i="22"/>
  <c r="CH95" i="22"/>
  <c r="BU57" i="22"/>
  <c r="CG57" i="22"/>
  <c r="BV69" i="22"/>
  <c r="CH69" i="22"/>
  <c r="CH61" i="22"/>
  <c r="BV61" i="22"/>
  <c r="CH65" i="22"/>
  <c r="BV65" i="22"/>
  <c r="CI59" i="22"/>
  <c r="BW59" i="22"/>
  <c r="BV64" i="22"/>
  <c r="CH64" i="22"/>
  <c r="CI58" i="22"/>
  <c r="BW58" i="22"/>
  <c r="BV71" i="22"/>
  <c r="CH71" i="22"/>
  <c r="CI56" i="22"/>
  <c r="BW56" i="22"/>
  <c r="BW70" i="22"/>
  <c r="CI70" i="22"/>
  <c r="BV6" i="22"/>
  <c r="CH6" i="22"/>
  <c r="BV11" i="22"/>
  <c r="CH11" i="22"/>
  <c r="BU16" i="22"/>
  <c r="CG16" i="22"/>
  <c r="CH42" i="22"/>
  <c r="BU29" i="22"/>
  <c r="CG29" i="22"/>
  <c r="BW101" i="22"/>
  <c r="CI101" i="22"/>
  <c r="BU60" i="21"/>
  <c r="BT15" i="21"/>
  <c r="CF15" i="21"/>
  <c r="BT16" i="21"/>
  <c r="CG16" i="21" s="1"/>
  <c r="CF189" i="9" l="1"/>
  <c r="CR189" i="9"/>
  <c r="CU125" i="9"/>
  <c r="CI125" i="9"/>
  <c r="CU128" i="9"/>
  <c r="BU26" i="21"/>
  <c r="CG26" i="21"/>
  <c r="CJ56" i="22"/>
  <c r="BX56" i="22"/>
  <c r="CJ101" i="22"/>
  <c r="BX101" i="22"/>
  <c r="CJ58" i="22"/>
  <c r="BX58" i="22"/>
  <c r="CJ59" i="22"/>
  <c r="BX59" i="22"/>
  <c r="CJ70" i="22"/>
  <c r="BX70" i="22"/>
  <c r="CI43" i="21"/>
  <c r="BW43" i="21"/>
  <c r="CI37" i="21"/>
  <c r="BW37" i="21"/>
  <c r="BU34" i="21"/>
  <c r="CG34" i="21"/>
  <c r="CH14" i="22"/>
  <c r="BV14" i="22"/>
  <c r="CH8" i="22"/>
  <c r="BV8" i="22"/>
  <c r="CH9" i="22"/>
  <c r="BV9" i="22"/>
  <c r="CH12" i="22"/>
  <c r="BV12" i="22"/>
  <c r="BV30" i="21"/>
  <c r="CH30" i="21"/>
  <c r="BV46" i="21"/>
  <c r="CH46" i="21"/>
  <c r="BV38" i="21"/>
  <c r="CH38" i="21"/>
  <c r="BV25" i="21"/>
  <c r="CH25" i="21"/>
  <c r="BU42" i="21"/>
  <c r="CG42" i="21"/>
  <c r="BU39" i="21"/>
  <c r="CG39" i="21"/>
  <c r="BU45" i="21"/>
  <c r="CG45" i="21"/>
  <c r="BU32" i="21"/>
  <c r="CG32" i="21"/>
  <c r="BU47" i="21"/>
  <c r="CG47" i="21"/>
  <c r="BU48" i="21"/>
  <c r="CG48" i="21"/>
  <c r="BV31" i="21"/>
  <c r="CH31" i="21"/>
  <c r="BU33" i="21"/>
  <c r="CG33" i="21"/>
  <c r="CF72" i="9"/>
  <c r="CR72" i="9"/>
  <c r="CF124" i="9"/>
  <c r="CS124" i="9" s="1"/>
  <c r="CS9" i="9"/>
  <c r="CF14" i="9"/>
  <c r="CR14" i="9"/>
  <c r="CG92" i="9"/>
  <c r="CS92" i="9"/>
  <c r="CG93" i="9"/>
  <c r="CS93" i="9"/>
  <c r="CF61" i="9"/>
  <c r="BW90" i="22"/>
  <c r="BX90" i="22" s="1"/>
  <c r="BY90" i="22" s="1"/>
  <c r="BW95" i="22"/>
  <c r="CI95" i="22"/>
  <c r="BW69" i="22"/>
  <c r="CI69" i="22"/>
  <c r="BW65" i="22"/>
  <c r="CI65" i="22"/>
  <c r="BW61" i="22"/>
  <c r="CI61" i="22"/>
  <c r="BW71" i="22"/>
  <c r="CI71" i="22"/>
  <c r="BW64" i="22"/>
  <c r="CI64" i="22"/>
  <c r="BV57" i="22"/>
  <c r="CH57" i="22"/>
  <c r="BW11" i="22"/>
  <c r="CI11" i="22"/>
  <c r="BW6" i="22"/>
  <c r="CI6" i="22"/>
  <c r="BV16" i="22"/>
  <c r="CH16" i="22"/>
  <c r="CJ42" i="22"/>
  <c r="CI42" i="22"/>
  <c r="BV29" i="22"/>
  <c r="CH29" i="22"/>
  <c r="BV60" i="21"/>
  <c r="BW60" i="21" s="1"/>
  <c r="BX60" i="21" s="1"/>
  <c r="BU15" i="21"/>
  <c r="CG15" i="21"/>
  <c r="BU16" i="21"/>
  <c r="CH16" i="21" s="1"/>
  <c r="CV125" i="9" l="1"/>
  <c r="CJ125" i="9"/>
  <c r="CW125" i="9" s="1"/>
  <c r="CV128" i="9"/>
  <c r="CW128" i="9"/>
  <c r="CL90" i="22"/>
  <c r="BZ90" i="22"/>
  <c r="CK60" i="21"/>
  <c r="BY60" i="21"/>
  <c r="CG189" i="9"/>
  <c r="CS189" i="9"/>
  <c r="CJ43" i="21"/>
  <c r="BX43" i="21"/>
  <c r="CJ37" i="21"/>
  <c r="BX37" i="21"/>
  <c r="CK58" i="22"/>
  <c r="BY58" i="22"/>
  <c r="CK101" i="22"/>
  <c r="BY101" i="22"/>
  <c r="CK59" i="22"/>
  <c r="BY59" i="22"/>
  <c r="CK56" i="22"/>
  <c r="BY56" i="22"/>
  <c r="CK70" i="22"/>
  <c r="BY70" i="22"/>
  <c r="CH26" i="21"/>
  <c r="BV26" i="21"/>
  <c r="CJ6" i="22"/>
  <c r="BX6" i="22"/>
  <c r="CJ71" i="22"/>
  <c r="BX71" i="22"/>
  <c r="CJ64" i="22"/>
  <c r="BX64" i="22"/>
  <c r="CJ61" i="22"/>
  <c r="BX61" i="22"/>
  <c r="CJ65" i="22"/>
  <c r="BX65" i="22"/>
  <c r="CJ69" i="22"/>
  <c r="BX69" i="22"/>
  <c r="CJ95" i="22"/>
  <c r="BX95" i="22"/>
  <c r="CJ11" i="22"/>
  <c r="BX11" i="22"/>
  <c r="CI30" i="21"/>
  <c r="BW30" i="21"/>
  <c r="CI25" i="21"/>
  <c r="BW25" i="21"/>
  <c r="CI38" i="21"/>
  <c r="BW38" i="21"/>
  <c r="CI46" i="21"/>
  <c r="BW46" i="21"/>
  <c r="CI31" i="21"/>
  <c r="BW31" i="21"/>
  <c r="CT9" i="9"/>
  <c r="CU9" i="9"/>
  <c r="CT93" i="9"/>
  <c r="CH93" i="9"/>
  <c r="CT92" i="9"/>
  <c r="CH92" i="9"/>
  <c r="BV34" i="21"/>
  <c r="CH34" i="21"/>
  <c r="CI12" i="22"/>
  <c r="BW12" i="22"/>
  <c r="CI9" i="22"/>
  <c r="BW9" i="22"/>
  <c r="CI8" i="22"/>
  <c r="BW8" i="22"/>
  <c r="CI14" i="22"/>
  <c r="BW14" i="22"/>
  <c r="BV33" i="21"/>
  <c r="CH33" i="21"/>
  <c r="BV48" i="21"/>
  <c r="CH48" i="21"/>
  <c r="BV47" i="21"/>
  <c r="CH47" i="21"/>
  <c r="BV32" i="21"/>
  <c r="CH32" i="21"/>
  <c r="BV45" i="21"/>
  <c r="CH45" i="21"/>
  <c r="BV39" i="21"/>
  <c r="CH39" i="21"/>
  <c r="BV42" i="21"/>
  <c r="CH42" i="21"/>
  <c r="CG124" i="9"/>
  <c r="CG61" i="9"/>
  <c r="CG72" i="9"/>
  <c r="CS72" i="9"/>
  <c r="CG14" i="9"/>
  <c r="CS14" i="9"/>
  <c r="BW57" i="22"/>
  <c r="CI57" i="22"/>
  <c r="BW16" i="22"/>
  <c r="CI16" i="22"/>
  <c r="BW29" i="22"/>
  <c r="CI29" i="22"/>
  <c r="BV15" i="21"/>
  <c r="CH15" i="21"/>
  <c r="BV16" i="21"/>
  <c r="CL70" i="22" l="1"/>
  <c r="BZ70" i="22"/>
  <c r="CL59" i="22"/>
  <c r="BZ59" i="22"/>
  <c r="CL58" i="22"/>
  <c r="BZ58" i="22"/>
  <c r="CL56" i="22"/>
  <c r="BZ56" i="22"/>
  <c r="CL101" i="22"/>
  <c r="BZ101" i="22"/>
  <c r="CK37" i="21"/>
  <c r="BY37" i="21"/>
  <c r="CK43" i="21"/>
  <c r="BY43" i="21"/>
  <c r="CH61" i="9"/>
  <c r="CI61" i="9" s="1"/>
  <c r="CJ61" i="9" s="1"/>
  <c r="CT124" i="9"/>
  <c r="CT189" i="9"/>
  <c r="CH189" i="9"/>
  <c r="CJ46" i="21"/>
  <c r="BX46" i="21"/>
  <c r="CJ25" i="21"/>
  <c r="BX25" i="21"/>
  <c r="CJ31" i="21"/>
  <c r="BX31" i="21"/>
  <c r="CJ38" i="21"/>
  <c r="BX38" i="21"/>
  <c r="CJ30" i="21"/>
  <c r="BX30" i="21"/>
  <c r="CK11" i="22"/>
  <c r="BY11" i="22"/>
  <c r="CK95" i="22"/>
  <c r="BY95" i="22"/>
  <c r="CK65" i="22"/>
  <c r="BY65" i="22"/>
  <c r="CK64" i="22"/>
  <c r="BY64" i="22"/>
  <c r="CK6" i="22"/>
  <c r="BY6" i="22"/>
  <c r="CK69" i="22"/>
  <c r="BY69" i="22"/>
  <c r="CK61" i="22"/>
  <c r="BY61" i="22"/>
  <c r="CK71" i="22"/>
  <c r="BY71" i="22"/>
  <c r="CU92" i="9"/>
  <c r="CI92" i="9"/>
  <c r="CU93" i="9"/>
  <c r="CI93" i="9"/>
  <c r="BW26" i="21"/>
  <c r="CI26" i="21"/>
  <c r="CJ8" i="22"/>
  <c r="BX8" i="22"/>
  <c r="CJ29" i="22"/>
  <c r="BX29" i="22"/>
  <c r="CJ16" i="22"/>
  <c r="BX16" i="22"/>
  <c r="CJ57" i="22"/>
  <c r="BX57" i="22"/>
  <c r="CJ9" i="22"/>
  <c r="BX9" i="22"/>
  <c r="CJ14" i="22"/>
  <c r="BX14" i="22"/>
  <c r="CJ12" i="22"/>
  <c r="BX12" i="22"/>
  <c r="CI15" i="21"/>
  <c r="BW15" i="21"/>
  <c r="CI42" i="21"/>
  <c r="BW42" i="21"/>
  <c r="CI45" i="21"/>
  <c r="BW45" i="21"/>
  <c r="CI48" i="21"/>
  <c r="BW48" i="21"/>
  <c r="CI16" i="21"/>
  <c r="BW16" i="21"/>
  <c r="CI39" i="21"/>
  <c r="BW39" i="21"/>
  <c r="CI32" i="21"/>
  <c r="BW32" i="21"/>
  <c r="CI47" i="21"/>
  <c r="BW47" i="21"/>
  <c r="CI33" i="21"/>
  <c r="BW33" i="21"/>
  <c r="CI34" i="21"/>
  <c r="BW34" i="21"/>
  <c r="CT72" i="9"/>
  <c r="CH72" i="9"/>
  <c r="CT14" i="9"/>
  <c r="CH14" i="9"/>
  <c r="CH124" i="9"/>
  <c r="CV93" i="9" l="1"/>
  <c r="CJ93" i="9"/>
  <c r="CW93" i="9" s="1"/>
  <c r="CV92" i="9"/>
  <c r="CJ92" i="9"/>
  <c r="CW92" i="9" s="1"/>
  <c r="CL61" i="22"/>
  <c r="BZ61" i="22"/>
  <c r="CL65" i="22"/>
  <c r="BZ65" i="22"/>
  <c r="CL71" i="22"/>
  <c r="BZ71" i="22"/>
  <c r="CL69" i="22"/>
  <c r="BZ69" i="22"/>
  <c r="CL64" i="22"/>
  <c r="BZ64" i="22"/>
  <c r="CL95" i="22"/>
  <c r="BZ95" i="22"/>
  <c r="CL6" i="22"/>
  <c r="BZ6" i="22"/>
  <c r="CL11" i="22"/>
  <c r="BZ11" i="22"/>
  <c r="CK38" i="21"/>
  <c r="BY38" i="21"/>
  <c r="CK25" i="21"/>
  <c r="BY25" i="21"/>
  <c r="CK30" i="21"/>
  <c r="BY30" i="21"/>
  <c r="CK31" i="21"/>
  <c r="BY31" i="21"/>
  <c r="CK46" i="21"/>
  <c r="BY46" i="21"/>
  <c r="CU189" i="9"/>
  <c r="CI189" i="9"/>
  <c r="CJ47" i="21"/>
  <c r="BX47" i="21"/>
  <c r="CJ32" i="21"/>
  <c r="BX32" i="21"/>
  <c r="CJ42" i="21"/>
  <c r="BX42" i="21"/>
  <c r="CJ15" i="21"/>
  <c r="BX15" i="21"/>
  <c r="CJ26" i="21"/>
  <c r="BX26" i="21"/>
  <c r="CJ34" i="21"/>
  <c r="BX34" i="21"/>
  <c r="CJ33" i="21"/>
  <c r="BX33" i="21"/>
  <c r="CJ39" i="21"/>
  <c r="BX39" i="21"/>
  <c r="CJ16" i="21"/>
  <c r="BX16" i="21"/>
  <c r="CJ48" i="21"/>
  <c r="BX48" i="21"/>
  <c r="CJ45" i="21"/>
  <c r="BX45" i="21"/>
  <c r="CK12" i="22"/>
  <c r="BY12" i="22"/>
  <c r="CK9" i="22"/>
  <c r="BY9" i="22"/>
  <c r="CK16" i="22"/>
  <c r="BY16" i="22"/>
  <c r="CK8" i="22"/>
  <c r="BY8" i="22"/>
  <c r="CK14" i="22"/>
  <c r="BY14" i="22"/>
  <c r="CK57" i="22"/>
  <c r="BY57" i="22"/>
  <c r="CK29" i="22"/>
  <c r="BY29" i="22"/>
  <c r="CU72" i="9"/>
  <c r="CI72" i="9"/>
  <c r="CU14" i="9"/>
  <c r="CI14" i="9"/>
  <c r="CU124" i="9"/>
  <c r="CI124" i="9"/>
  <c r="C42" i="12"/>
  <c r="C4" i="12" s="1"/>
  <c r="E4" i="12" s="1"/>
  <c r="U189" i="9"/>
  <c r="C143" i="8"/>
  <c r="CV14" i="9" l="1"/>
  <c r="CJ14" i="9"/>
  <c r="CW14" i="9" s="1"/>
  <c r="CV189" i="9"/>
  <c r="CJ189" i="9"/>
  <c r="CW189" i="9" s="1"/>
  <c r="CV124" i="9"/>
  <c r="CJ124" i="9"/>
  <c r="CW124" i="9" s="1"/>
  <c r="CV72" i="9"/>
  <c r="CJ72" i="9"/>
  <c r="CW72" i="9" s="1"/>
  <c r="CL14" i="22"/>
  <c r="BZ14" i="22"/>
  <c r="CL12" i="22"/>
  <c r="BZ12" i="22"/>
  <c r="CL57" i="22"/>
  <c r="BZ57" i="22"/>
  <c r="CL8" i="22"/>
  <c r="BZ8" i="22"/>
  <c r="P698" i="34" s="1"/>
  <c r="P700" i="34" s="1"/>
  <c r="P206" i="34" s="1"/>
  <c r="CL9" i="22"/>
  <c r="BZ9" i="22"/>
  <c r="CL29" i="22"/>
  <c r="BZ29" i="22"/>
  <c r="CL16" i="22"/>
  <c r="BZ16" i="22"/>
  <c r="CK48" i="21"/>
  <c r="BY48" i="21"/>
  <c r="CK39" i="21"/>
  <c r="BY39" i="21"/>
  <c r="CK34" i="21"/>
  <c r="BY34" i="21"/>
  <c r="CK15" i="21"/>
  <c r="BY15" i="21"/>
  <c r="CK32" i="21"/>
  <c r="BY32" i="21"/>
  <c r="CK45" i="21"/>
  <c r="BY45" i="21"/>
  <c r="CK16" i="21"/>
  <c r="BY16" i="21"/>
  <c r="CK33" i="21"/>
  <c r="BY33" i="21"/>
  <c r="CK26" i="21"/>
  <c r="BY26" i="21"/>
  <c r="CK42" i="21"/>
  <c r="BY42" i="21"/>
  <c r="CK47" i="21"/>
  <c r="BY47" i="21"/>
  <c r="U450" i="9"/>
  <c r="CK68" i="21"/>
  <c r="O692" i="34" s="1"/>
  <c r="C22" i="8"/>
  <c r="C150" i="8"/>
  <c r="CL121" i="22" l="1"/>
  <c r="O698" i="34" s="1"/>
  <c r="O700" i="34" s="1"/>
  <c r="O206" i="34" s="1"/>
  <c r="CK69" i="21"/>
  <c r="H520" i="8"/>
  <c r="CA9" i="21" l="1"/>
  <c r="CA68" i="21" s="1"/>
  <c r="CA69" i="21" s="1"/>
  <c r="C632" i="6"/>
  <c r="E692" i="34" l="1"/>
  <c r="D663" i="6"/>
  <c r="C144" i="4"/>
  <c r="C445" i="6" l="1"/>
  <c r="C1697" i="6"/>
  <c r="B143" i="8"/>
  <c r="B22" i="8" l="1"/>
  <c r="B150" i="8"/>
  <c r="B143" i="4"/>
  <c r="D51" i="11" l="1"/>
  <c r="E51" i="11" s="1"/>
  <c r="A245" i="15"/>
  <c r="A105" i="16"/>
  <c r="D52" i="11"/>
  <c r="E52" i="11" s="1"/>
  <c r="G52" i="11" s="1"/>
  <c r="H52" i="11" s="1"/>
  <c r="J52" i="11" s="1"/>
  <c r="K52" i="11" s="1"/>
  <c r="M52" i="11" s="1"/>
  <c r="N52" i="11" s="1"/>
  <c r="P52" i="11" s="1"/>
  <c r="Q52" i="11" s="1"/>
  <c r="S52" i="11" s="1"/>
  <c r="T52" i="11" s="1"/>
  <c r="V52" i="11" s="1"/>
  <c r="W52" i="11" s="1"/>
  <c r="Y52" i="11" s="1"/>
  <c r="Z52" i="11" s="1"/>
  <c r="AB52" i="11" s="1"/>
  <c r="AC52" i="11" s="1"/>
  <c r="AE52" i="11" s="1"/>
  <c r="AF52" i="11" s="1"/>
  <c r="AH52" i="11" s="1"/>
  <c r="AI52" i="11" s="1"/>
  <c r="AK52" i="11" s="1"/>
  <c r="B377" i="7"/>
  <c r="C377" i="7"/>
  <c r="A377" i="7"/>
  <c r="O356" i="7"/>
  <c r="N356" i="7"/>
  <c r="M356" i="7"/>
  <c r="L356" i="7"/>
  <c r="K356" i="7"/>
  <c r="J356" i="7"/>
  <c r="I356" i="7"/>
  <c r="G356" i="7"/>
  <c r="D356" i="7"/>
  <c r="C356" i="7"/>
  <c r="B356" i="7"/>
  <c r="B86" i="7"/>
  <c r="B723" i="6"/>
  <c r="B140" i="6"/>
  <c r="C52" i="5"/>
  <c r="B52" i="5"/>
  <c r="B342" i="4"/>
  <c r="B341" i="4"/>
  <c r="B206" i="4"/>
  <c r="I11" i="11"/>
  <c r="L11" i="11"/>
  <c r="O11" i="11"/>
  <c r="R11" i="11"/>
  <c r="U11" i="11"/>
  <c r="X11" i="11"/>
  <c r="AA11" i="11"/>
  <c r="B125" i="4"/>
  <c r="B115" i="4"/>
  <c r="B116" i="4"/>
  <c r="B117" i="4"/>
  <c r="AA16" i="11"/>
  <c r="X16" i="11"/>
  <c r="U16" i="11"/>
  <c r="R16" i="11"/>
  <c r="O16" i="11"/>
  <c r="L16" i="11"/>
  <c r="I16" i="11"/>
  <c r="F16" i="11"/>
  <c r="H356" i="7" l="1"/>
  <c r="A267" i="15"/>
  <c r="B153" i="4"/>
  <c r="E29" i="45"/>
  <c r="C10" i="11"/>
  <c r="F10" i="11"/>
  <c r="I10" i="11"/>
  <c r="L10" i="11"/>
  <c r="O10" i="11"/>
  <c r="R10" i="11"/>
  <c r="U10" i="11"/>
  <c r="X10" i="11"/>
  <c r="AA10" i="11"/>
  <c r="D11" i="11" l="1"/>
  <c r="E11" i="11" s="1"/>
  <c r="G11" i="11" s="1"/>
  <c r="H11" i="11" s="1"/>
  <c r="J11" i="11" s="1"/>
  <c r="K11" i="11" s="1"/>
  <c r="M11" i="11" s="1"/>
  <c r="N11" i="11" s="1"/>
  <c r="P11" i="11" s="1"/>
  <c r="Q11" i="11" s="1"/>
  <c r="S11" i="11" s="1"/>
  <c r="T11" i="11" s="1"/>
  <c r="V11" i="11" s="1"/>
  <c r="W11" i="11" s="1"/>
  <c r="Y11" i="11" s="1"/>
  <c r="Z11" i="11" s="1"/>
  <c r="AB11" i="11" s="1"/>
  <c r="AC11" i="11" s="1"/>
  <c r="AE11" i="11" s="1"/>
  <c r="AF11" i="11" s="1"/>
  <c r="AH11" i="11" s="1"/>
  <c r="AI11" i="11" s="1"/>
  <c r="AK11" i="11" s="1"/>
  <c r="C116" i="6"/>
  <c r="D10" i="11"/>
  <c r="E10" i="11" s="1"/>
  <c r="G10" i="11" s="1"/>
  <c r="C140" i="6"/>
  <c r="A140" i="6"/>
  <c r="D160" i="6"/>
  <c r="D161" i="6"/>
  <c r="C160" i="6"/>
  <c r="C161" i="6"/>
  <c r="A160" i="6"/>
  <c r="A161" i="6"/>
  <c r="D159" i="6"/>
  <c r="C159" i="6"/>
  <c r="A159" i="6"/>
  <c r="B461" i="6"/>
  <c r="A462" i="6"/>
  <c r="A463" i="6"/>
  <c r="A464" i="6"/>
  <c r="A465" i="6"/>
  <c r="A461" i="6"/>
  <c r="O464" i="6"/>
  <c r="N464" i="6"/>
  <c r="M464" i="6"/>
  <c r="L464" i="6"/>
  <c r="K464" i="6"/>
  <c r="J464" i="6"/>
  <c r="I464" i="6"/>
  <c r="O461" i="6"/>
  <c r="N461" i="6"/>
  <c r="M461" i="6"/>
  <c r="L461" i="6"/>
  <c r="K461" i="6"/>
  <c r="J461" i="6"/>
  <c r="I461" i="6"/>
  <c r="G461" i="6"/>
  <c r="D461" i="6"/>
  <c r="C461" i="6"/>
  <c r="H10" i="11" l="1"/>
  <c r="J10" i="11" s="1"/>
  <c r="K10" i="11" s="1"/>
  <c r="M10" i="11" s="1"/>
  <c r="N10" i="11" s="1"/>
  <c r="P10" i="11" s="1"/>
  <c r="Q10" i="11" s="1"/>
  <c r="S10" i="11" s="1"/>
  <c r="T10" i="11" s="1"/>
  <c r="V10" i="11" s="1"/>
  <c r="W10" i="11" s="1"/>
  <c r="Y10" i="11" s="1"/>
  <c r="Z10" i="11" s="1"/>
  <c r="AB10" i="11" s="1"/>
  <c r="AC10" i="11" s="1"/>
  <c r="AE10" i="11" s="1"/>
  <c r="AF10" i="11" s="1"/>
  <c r="AH10" i="11" s="1"/>
  <c r="AI10" i="11" s="1"/>
  <c r="AK10" i="11" s="1"/>
  <c r="A167" i="6"/>
  <c r="C167" i="6"/>
  <c r="D167" i="6"/>
  <c r="B446" i="6" l="1"/>
  <c r="C446" i="6"/>
  <c r="D90" i="6" l="1"/>
  <c r="A203" i="42"/>
  <c r="A208" i="42"/>
  <c r="AC95" i="22"/>
  <c r="Y95" i="22"/>
  <c r="U95" i="22"/>
  <c r="AB15" i="21"/>
  <c r="AB16" i="21"/>
  <c r="E154" i="34"/>
  <c r="E152" i="34"/>
  <c r="AG56" i="22"/>
  <c r="AK56" i="22"/>
  <c r="AO56" i="22"/>
  <c r="AS56" i="22"/>
  <c r="AW56" i="22"/>
  <c r="BA56" i="22"/>
  <c r="AG70" i="22"/>
  <c r="AK70" i="22"/>
  <c r="AO70" i="22"/>
  <c r="AS70" i="22"/>
  <c r="AW70" i="22"/>
  <c r="BA70" i="22"/>
  <c r="AG71" i="22"/>
  <c r="AK71" i="22"/>
  <c r="AO71" i="22"/>
  <c r="AS71" i="22"/>
  <c r="AW71" i="22"/>
  <c r="BA71" i="22"/>
  <c r="AG58" i="22"/>
  <c r="AK58" i="22"/>
  <c r="AO58" i="22"/>
  <c r="AS58" i="22"/>
  <c r="AW58" i="22"/>
  <c r="BA58" i="22"/>
  <c r="AG61" i="22"/>
  <c r="AK61" i="22"/>
  <c r="AO61" i="22"/>
  <c r="AS61" i="22"/>
  <c r="AW61" i="22"/>
  <c r="BA61" i="22"/>
  <c r="U70" i="22"/>
  <c r="U56" i="22"/>
  <c r="AC101" i="22"/>
  <c r="AC42" i="22"/>
  <c r="AC29" i="22"/>
  <c r="Y42" i="22"/>
  <c r="U42" i="22"/>
  <c r="Y29" i="22"/>
  <c r="U29" i="22"/>
  <c r="AK14" i="22"/>
  <c r="AO12" i="22"/>
  <c r="AO14" i="22"/>
  <c r="AK12" i="22"/>
  <c r="AG12" i="22"/>
  <c r="AG9" i="22"/>
  <c r="AC11" i="22"/>
  <c r="AC7" i="22"/>
  <c r="AC12" i="22"/>
  <c r="AC9" i="22"/>
  <c r="AC14" i="22"/>
  <c r="AM69" i="22"/>
  <c r="Y11" i="22"/>
  <c r="Y7" i="22"/>
  <c r="Y12" i="22"/>
  <c r="W61" i="22"/>
  <c r="AA167" i="10"/>
  <c r="AB167" i="10" s="1"/>
  <c r="AA166" i="10"/>
  <c r="X167" i="10"/>
  <c r="Y167" i="10" s="1"/>
  <c r="X166" i="10"/>
  <c r="Y166" i="10" s="1"/>
  <c r="U167" i="10"/>
  <c r="V167" i="10" s="1"/>
  <c r="U166" i="10"/>
  <c r="V166" i="10" s="1"/>
  <c r="BH125" i="9"/>
  <c r="BI125" i="9" s="1"/>
  <c r="BH124" i="9"/>
  <c r="BI124" i="9" s="1"/>
  <c r="BC125" i="9"/>
  <c r="BD125" i="9" s="1"/>
  <c r="BC124" i="9"/>
  <c r="BD124" i="9" s="1"/>
  <c r="AX125" i="9"/>
  <c r="AY125" i="9" s="1"/>
  <c r="AX124" i="9"/>
  <c r="AY124" i="9" s="1"/>
  <c r="AS125" i="9"/>
  <c r="AT125" i="9" s="1"/>
  <c r="AS124" i="9"/>
  <c r="AT124" i="9" s="1"/>
  <c r="AN125" i="9"/>
  <c r="AO125" i="9" s="1"/>
  <c r="AN124" i="9"/>
  <c r="AO124" i="9" s="1"/>
  <c r="AI125" i="9"/>
  <c r="AJ125" i="9" s="1"/>
  <c r="AI124" i="9"/>
  <c r="AJ124" i="9" s="1"/>
  <c r="AD125" i="9"/>
  <c r="AE125" i="9" s="1"/>
  <c r="AD124" i="9"/>
  <c r="AE124" i="9" s="1"/>
  <c r="Y125" i="9"/>
  <c r="Z125" i="9" s="1"/>
  <c r="Y124" i="9"/>
  <c r="Z124" i="9" s="1"/>
  <c r="T124" i="9"/>
  <c r="T125" i="9"/>
  <c r="U125" i="9" l="1"/>
  <c r="U124" i="9"/>
  <c r="BX124" i="9" s="1"/>
  <c r="T270" i="9"/>
  <c r="U270" i="9" s="1"/>
  <c r="AB166" i="10"/>
  <c r="P287" i="6"/>
  <c r="E182" i="42"/>
  <c r="D118" i="6"/>
  <c r="C118" i="6"/>
  <c r="Y41" i="9"/>
  <c r="Z41" i="9" s="1"/>
  <c r="T41" i="9"/>
  <c r="U41" i="9" s="1"/>
  <c r="A641" i="6"/>
  <c r="B366" i="7"/>
  <c r="B161" i="7"/>
  <c r="C161" i="7"/>
  <c r="C86" i="7"/>
  <c r="A86" i="7"/>
  <c r="BW41" i="9" l="1"/>
  <c r="BX41" i="9" s="1"/>
  <c r="BW138" i="9"/>
  <c r="BX125" i="9"/>
  <c r="T301" i="9"/>
  <c r="U301" i="9"/>
  <c r="B118" i="6"/>
  <c r="CL54" i="9" l="1"/>
  <c r="T54" i="9"/>
  <c r="U54" i="9" s="1"/>
  <c r="C209" i="4" l="1"/>
  <c r="E181" i="42"/>
  <c r="O117" i="6" l="1"/>
  <c r="N117" i="6"/>
  <c r="M117" i="6"/>
  <c r="L117" i="6"/>
  <c r="K117" i="6"/>
  <c r="J117" i="6"/>
  <c r="I117" i="6"/>
  <c r="G117" i="6"/>
  <c r="A5" i="11" l="1"/>
  <c r="F968" i="4"/>
  <c r="F972" i="4"/>
  <c r="F967" i="4"/>
  <c r="F955" i="4"/>
  <c r="F959" i="4"/>
  <c r="F954" i="4"/>
  <c r="A198" i="42" s="1"/>
  <c r="A63" i="11"/>
  <c r="C19" i="11"/>
  <c r="D19" i="11" l="1"/>
  <c r="E19" i="11" l="1"/>
  <c r="G19" i="11" s="1"/>
  <c r="H19" i="11" s="1"/>
  <c r="J19" i="11" s="1"/>
  <c r="K19" i="11" s="1"/>
  <c r="M19" i="11" s="1"/>
  <c r="N19" i="11" s="1"/>
  <c r="P19" i="11" s="1"/>
  <c r="Q19" i="11" s="1"/>
  <c r="S19" i="11" s="1"/>
  <c r="T19" i="11" s="1"/>
  <c r="V19" i="11" s="1"/>
  <c r="W19" i="11" s="1"/>
  <c r="Y19" i="11" s="1"/>
  <c r="Z19" i="11" s="1"/>
  <c r="AB19" i="11" s="1"/>
  <c r="AC19" i="11" s="1"/>
  <c r="AE19" i="11" s="1"/>
  <c r="AF19" i="11" s="1"/>
  <c r="AH19" i="11" s="1"/>
  <c r="AI19" i="11" s="1"/>
  <c r="AK19" i="11" s="1"/>
  <c r="C978" i="4"/>
  <c r="B978" i="4"/>
  <c r="A8" i="3" s="1"/>
  <c r="C935" i="4"/>
  <c r="B935" i="4"/>
  <c r="A935" i="4"/>
  <c r="C881" i="4"/>
  <c r="B881" i="4"/>
  <c r="A881" i="4"/>
  <c r="O372" i="4"/>
  <c r="N372" i="4"/>
  <c r="M372" i="4"/>
  <c r="L372" i="4"/>
  <c r="K372" i="4"/>
  <c r="J372" i="4"/>
  <c r="I372" i="4"/>
  <c r="G372" i="4"/>
  <c r="C372" i="4"/>
  <c r="B372" i="4"/>
  <c r="A372" i="4"/>
  <c r="O371" i="4"/>
  <c r="N371" i="4"/>
  <c r="M371" i="4"/>
  <c r="L371" i="4"/>
  <c r="K371" i="4"/>
  <c r="J371" i="4"/>
  <c r="I371" i="4"/>
  <c r="G371" i="4"/>
  <c r="C371" i="4"/>
  <c r="B371" i="4"/>
  <c r="A371" i="4"/>
  <c r="O370" i="4"/>
  <c r="N370" i="4"/>
  <c r="M370" i="4"/>
  <c r="L370" i="4"/>
  <c r="K370" i="4"/>
  <c r="J370" i="4"/>
  <c r="I370" i="4"/>
  <c r="G370" i="4"/>
  <c r="A370" i="4"/>
  <c r="O369" i="4"/>
  <c r="N369" i="4"/>
  <c r="M369" i="4"/>
  <c r="L369" i="4"/>
  <c r="K369" i="4"/>
  <c r="J369" i="4"/>
  <c r="I369" i="4"/>
  <c r="G369" i="4"/>
  <c r="C369" i="4"/>
  <c r="A369" i="4"/>
  <c r="O368" i="4"/>
  <c r="N368" i="4"/>
  <c r="M368" i="4"/>
  <c r="L368" i="4"/>
  <c r="K368" i="4"/>
  <c r="J368" i="4"/>
  <c r="I368" i="4"/>
  <c r="G368" i="4"/>
  <c r="C368" i="4"/>
  <c r="B368" i="4"/>
  <c r="A368" i="4"/>
  <c r="C353" i="4"/>
  <c r="C343" i="4"/>
  <c r="A343" i="4"/>
  <c r="C342" i="4"/>
  <c r="A342" i="4"/>
  <c r="C341" i="4"/>
  <c r="A341" i="4"/>
  <c r="C340" i="4"/>
  <c r="A340" i="4"/>
  <c r="C333" i="4"/>
  <c r="A333" i="4"/>
  <c r="C329" i="4"/>
  <c r="A329" i="4"/>
  <c r="E37" i="4"/>
  <c r="B369" i="4"/>
  <c r="B370" i="4"/>
  <c r="C370" i="4"/>
  <c r="D53" i="5"/>
  <c r="C53" i="5"/>
  <c r="B53" i="5"/>
  <c r="C37" i="4" l="1"/>
  <c r="B8" i="3"/>
  <c r="H333" i="4"/>
  <c r="F657" i="4"/>
  <c r="C102" i="42"/>
  <c r="B102" i="42"/>
  <c r="A978" i="4"/>
  <c r="A37" i="4" s="1"/>
  <c r="B37" i="4"/>
  <c r="A40" i="13"/>
  <c r="C937" i="4"/>
  <c r="A937" i="4"/>
  <c r="A939" i="4" s="1"/>
  <c r="A948" i="4" s="1"/>
  <c r="B937" i="4"/>
  <c r="A335" i="4"/>
  <c r="A12" i="4" s="1"/>
  <c r="C335" i="4"/>
  <c r="B335" i="4"/>
  <c r="B359" i="4"/>
  <c r="B12" i="4" l="1"/>
  <c r="B23" i="4"/>
  <c r="B105" i="13"/>
  <c r="C8" i="3"/>
  <c r="G102" i="42"/>
  <c r="H102" i="42"/>
  <c r="D102" i="42"/>
  <c r="C939" i="4"/>
  <c r="C12" i="4"/>
  <c r="A105" i="13"/>
  <c r="B939" i="4"/>
  <c r="B361" i="4"/>
  <c r="B482" i="6"/>
  <c r="D423" i="7"/>
  <c r="C423" i="7"/>
  <c r="B423" i="7"/>
  <c r="D422" i="7"/>
  <c r="C422" i="7"/>
  <c r="B422" i="7"/>
  <c r="A422" i="7"/>
  <c r="D210" i="7"/>
  <c r="C210" i="7"/>
  <c r="A210" i="7"/>
  <c r="B210" i="7"/>
  <c r="C207" i="7"/>
  <c r="B207" i="7"/>
  <c r="C633" i="6"/>
  <c r="A633" i="6"/>
  <c r="B633" i="6"/>
  <c r="C312" i="6"/>
  <c r="B312" i="6"/>
  <c r="A312" i="6"/>
  <c r="C77" i="6"/>
  <c r="B77" i="6"/>
  <c r="A77" i="6"/>
  <c r="C173" i="5"/>
  <c r="B173" i="5"/>
  <c r="C89" i="5"/>
  <c r="B283" i="42" s="1"/>
  <c r="B89" i="5"/>
  <c r="A89" i="5"/>
  <c r="B948" i="4" l="1"/>
  <c r="B972" i="4"/>
  <c r="B34" i="4"/>
  <c r="C105" i="13"/>
  <c r="B285" i="42"/>
  <c r="D283" i="42"/>
  <c r="D285" i="42" s="1"/>
  <c r="I102" i="42"/>
  <c r="C359" i="4"/>
  <c r="C948" i="4"/>
  <c r="K96" i="48"/>
  <c r="B363" i="4"/>
  <c r="P42" i="42"/>
  <c r="B42" i="42" s="1"/>
  <c r="B22" i="42"/>
  <c r="P4" i="42"/>
  <c r="B959" i="4" l="1"/>
  <c r="AD4" i="42"/>
  <c r="O68" i="42" s="1"/>
  <c r="AC68" i="42" s="1"/>
  <c r="C361" i="4"/>
  <c r="C23" i="4"/>
  <c r="A359" i="4"/>
  <c r="M68" i="42"/>
  <c r="AA68" i="42" s="1"/>
  <c r="B374" i="4"/>
  <c r="B4" i="42"/>
  <c r="C363" i="4" l="1"/>
  <c r="C959" i="4" s="1"/>
  <c r="AR4" i="42"/>
  <c r="B68" i="42"/>
  <c r="P68" i="42" s="1"/>
  <c r="C34" i="4"/>
  <c r="A23" i="4"/>
  <c r="A34" i="4" s="1"/>
  <c r="A361" i="4"/>
  <c r="C972" i="4"/>
  <c r="J96" i="48"/>
  <c r="O25" i="45"/>
  <c r="C374" i="4" l="1"/>
  <c r="A363" i="4"/>
  <c r="A972" i="4"/>
  <c r="A959" i="4" l="1"/>
  <c r="A374" i="4"/>
  <c r="A91" i="12"/>
  <c r="L106" i="11"/>
  <c r="O106" i="11"/>
  <c r="R106" i="11"/>
  <c r="U106" i="11"/>
  <c r="X106" i="11"/>
  <c r="AA106" i="11"/>
  <c r="I106" i="11"/>
  <c r="F106" i="11"/>
  <c r="C106" i="11"/>
  <c r="D79" i="6"/>
  <c r="G88" i="16"/>
  <c r="F88" i="16"/>
  <c r="C88" i="16"/>
  <c r="G87" i="16"/>
  <c r="F87" i="16"/>
  <c r="C87" i="16"/>
  <c r="A88" i="16"/>
  <c r="A87" i="16"/>
  <c r="B88" i="16"/>
  <c r="B87" i="16"/>
  <c r="M91" i="12"/>
  <c r="L91" i="12"/>
  <c r="K91" i="12"/>
  <c r="J91" i="12"/>
  <c r="I91" i="12"/>
  <c r="H91" i="12"/>
  <c r="G91" i="12"/>
  <c r="F91" i="12"/>
  <c r="E91" i="12"/>
  <c r="G51" i="11"/>
  <c r="H51" i="11" s="1"/>
  <c r="J51" i="11" s="1"/>
  <c r="K51" i="11" s="1"/>
  <c r="M51" i="11" s="1"/>
  <c r="N51" i="11" s="1"/>
  <c r="P51" i="11" s="1"/>
  <c r="Q51" i="11" s="1"/>
  <c r="S51" i="11" s="1"/>
  <c r="T51" i="11" s="1"/>
  <c r="V51" i="11" s="1"/>
  <c r="W51" i="11" s="1"/>
  <c r="Y51" i="11" s="1"/>
  <c r="Z51" i="11" s="1"/>
  <c r="AB51" i="11" s="1"/>
  <c r="AC51" i="11" s="1"/>
  <c r="AE51" i="11" s="1"/>
  <c r="AF51" i="11" s="1"/>
  <c r="AH51" i="11" s="1"/>
  <c r="AI51" i="11" s="1"/>
  <c r="AK51" i="11" s="1"/>
  <c r="C119" i="8"/>
  <c r="C90" i="16" l="1"/>
  <c r="C34" i="16" s="1"/>
  <c r="A90" i="16"/>
  <c r="B34" i="17"/>
  <c r="C34" i="17"/>
  <c r="CR115" i="9"/>
  <c r="CS115" i="9"/>
  <c r="G90" i="16"/>
  <c r="G34" i="16" s="1"/>
  <c r="F34" i="17"/>
  <c r="AU45" i="42" s="1"/>
  <c r="B90" i="16"/>
  <c r="B34" i="16" s="1"/>
  <c r="F90" i="16"/>
  <c r="F34" i="16" s="1"/>
  <c r="A34" i="17"/>
  <c r="G34" i="17"/>
  <c r="X15" i="21"/>
  <c r="X16" i="21"/>
  <c r="AN44" i="42" l="1"/>
  <c r="AH45" i="42"/>
  <c r="A305" i="15"/>
  <c r="AT45" i="42"/>
  <c r="B256" i="15"/>
  <c r="E256" i="15"/>
  <c r="G256" i="15"/>
  <c r="C256" i="15"/>
  <c r="C260" i="15" s="1"/>
  <c r="B305" i="15"/>
  <c r="A34" i="16"/>
  <c r="AF45" i="42"/>
  <c r="AS45" i="42"/>
  <c r="AE45" i="42"/>
  <c r="AV45" i="42"/>
  <c r="AG45" i="42"/>
  <c r="AR45" i="42"/>
  <c r="AC64" i="22"/>
  <c r="AC57" i="22"/>
  <c r="AC69" i="22"/>
  <c r="AC59" i="22"/>
  <c r="AC65" i="22"/>
  <c r="AC61" i="22"/>
  <c r="AC58" i="22"/>
  <c r="AC71" i="22"/>
  <c r="AC70" i="22"/>
  <c r="AC56" i="22"/>
  <c r="U64" i="22"/>
  <c r="U57" i="22"/>
  <c r="U69" i="22"/>
  <c r="U59" i="22"/>
  <c r="U65" i="22"/>
  <c r="U61" i="22"/>
  <c r="U58" i="22"/>
  <c r="U71" i="22"/>
  <c r="Y64" i="22"/>
  <c r="Y57" i="22"/>
  <c r="Y69" i="22"/>
  <c r="Y59" i="22"/>
  <c r="Y65" i="22"/>
  <c r="Y61" i="22"/>
  <c r="Y58" i="22"/>
  <c r="Y71" i="22"/>
  <c r="Y70" i="22"/>
  <c r="AG14" i="22"/>
  <c r="Y9" i="22"/>
  <c r="Y14" i="22"/>
  <c r="Y101" i="22"/>
  <c r="U101" i="22"/>
  <c r="F256" i="15" l="1"/>
  <c r="E260" i="15"/>
  <c r="F260" i="15" s="1"/>
  <c r="A309" i="15"/>
  <c r="B260" i="15"/>
  <c r="A256" i="15"/>
  <c r="B309" i="15"/>
  <c r="AD45" i="42"/>
  <c r="D45" i="42"/>
  <c r="C45" i="42"/>
  <c r="F45" i="42"/>
  <c r="E45" i="42"/>
  <c r="A260" i="15" l="1"/>
  <c r="B45" i="42"/>
  <c r="E32" i="6"/>
  <c r="E48" i="6" s="1"/>
  <c r="AD68" i="21"/>
  <c r="B210" i="15"/>
  <c r="B155" i="15" l="1"/>
  <c r="CL115" i="9"/>
  <c r="G101" i="1"/>
  <c r="A260" i="7"/>
  <c r="A261" i="7" s="1"/>
  <c r="A259" i="7"/>
  <c r="A258" i="7"/>
  <c r="B260" i="7"/>
  <c r="B261" i="7" s="1"/>
  <c r="D260" i="7"/>
  <c r="D261" i="7" s="1"/>
  <c r="C260" i="7"/>
  <c r="C261" i="7" s="1"/>
  <c r="B259" i="7"/>
  <c r="B258" i="7"/>
  <c r="C259" i="7"/>
  <c r="C258" i="7"/>
  <c r="A323" i="6"/>
  <c r="B323" i="6"/>
  <c r="C323" i="6"/>
  <c r="A139" i="6"/>
  <c r="A138" i="6"/>
  <c r="C139" i="6"/>
  <c r="C138" i="6"/>
  <c r="B139" i="6"/>
  <c r="B138" i="6"/>
  <c r="C99" i="6"/>
  <c r="B99" i="6"/>
  <c r="A99" i="6"/>
  <c r="A424" i="7"/>
  <c r="A420" i="7"/>
  <c r="A419" i="7"/>
  <c r="A448" i="7"/>
  <c r="A445" i="7"/>
  <c r="A441" i="7"/>
  <c r="A442" i="7" s="1"/>
  <c r="A439" i="7"/>
  <c r="A468" i="7"/>
  <c r="A467" i="7"/>
  <c r="A466" i="7"/>
  <c r="A355" i="7"/>
  <c r="A354" i="7"/>
  <c r="A350" i="7"/>
  <c r="A345" i="7"/>
  <c r="A386" i="7"/>
  <c r="A383" i="7"/>
  <c r="A382" i="7"/>
  <c r="A379" i="7"/>
  <c r="A378" i="7"/>
  <c r="A372" i="7"/>
  <c r="A371" i="7"/>
  <c r="A370" i="7"/>
  <c r="A365" i="7"/>
  <c r="A406" i="7"/>
  <c r="A405" i="7"/>
  <c r="A404" i="7"/>
  <c r="A402" i="7"/>
  <c r="A293" i="7"/>
  <c r="A290" i="7"/>
  <c r="A289" i="7"/>
  <c r="A318" i="7"/>
  <c r="A317" i="7"/>
  <c r="A314" i="7"/>
  <c r="A313" i="7"/>
  <c r="A312" i="7"/>
  <c r="A309" i="7"/>
  <c r="A308" i="7"/>
  <c r="A307" i="7"/>
  <c r="A306" i="7"/>
  <c r="A305" i="7"/>
  <c r="A302" i="7"/>
  <c r="A301" i="7"/>
  <c r="A300" i="7"/>
  <c r="A333" i="7"/>
  <c r="A332" i="7"/>
  <c r="A331" i="7"/>
  <c r="A330" i="7"/>
  <c r="A329" i="7"/>
  <c r="A277" i="7"/>
  <c r="A276" i="7"/>
  <c r="A275" i="7"/>
  <c r="A274" i="7"/>
  <c r="A273" i="7"/>
  <c r="A257" i="7"/>
  <c r="A250" i="7"/>
  <c r="A207" i="7"/>
  <c r="A206" i="7"/>
  <c r="A205" i="7"/>
  <c r="A223" i="7"/>
  <c r="A220" i="7"/>
  <c r="A219" i="7"/>
  <c r="A218" i="7"/>
  <c r="A217" i="7"/>
  <c r="A216" i="7"/>
  <c r="A238" i="7"/>
  <c r="A237" i="7"/>
  <c r="A236" i="7"/>
  <c r="A235" i="7"/>
  <c r="A234" i="7"/>
  <c r="A178" i="7"/>
  <c r="A175" i="7"/>
  <c r="A174" i="7"/>
  <c r="A171" i="7"/>
  <c r="A168" i="7"/>
  <c r="A162" i="7"/>
  <c r="A160" i="7"/>
  <c r="A192" i="7"/>
  <c r="A191" i="7"/>
  <c r="A190" i="7"/>
  <c r="A189" i="7"/>
  <c r="A188" i="7"/>
  <c r="A120" i="7"/>
  <c r="A147" i="7"/>
  <c r="A146" i="7"/>
  <c r="A145" i="7"/>
  <c r="A144" i="7"/>
  <c r="A143" i="7"/>
  <c r="A67" i="7"/>
  <c r="A87" i="7"/>
  <c r="A85" i="7"/>
  <c r="A82" i="7"/>
  <c r="A81" i="7"/>
  <c r="A80" i="7"/>
  <c r="A77" i="7"/>
  <c r="A76" i="7"/>
  <c r="A75" i="7"/>
  <c r="A74" i="7"/>
  <c r="A107" i="7"/>
  <c r="A106" i="7"/>
  <c r="A105" i="7"/>
  <c r="A104" i="7"/>
  <c r="A103" i="7"/>
  <c r="A802" i="6"/>
  <c r="A655" i="6"/>
  <c r="A650" i="6"/>
  <c r="A649" i="6"/>
  <c r="A640" i="6"/>
  <c r="A639" i="6"/>
  <c r="A689" i="6"/>
  <c r="A688" i="6"/>
  <c r="A687" i="6"/>
  <c r="A686" i="6"/>
  <c r="A685" i="6"/>
  <c r="A574" i="6"/>
  <c r="A587" i="6"/>
  <c r="A616" i="6"/>
  <c r="A615" i="6"/>
  <c r="A614" i="6"/>
  <c r="A613" i="6"/>
  <c r="A612" i="6"/>
  <c r="A534" i="6"/>
  <c r="A546" i="6"/>
  <c r="A543" i="6"/>
  <c r="A542" i="6"/>
  <c r="A561" i="6"/>
  <c r="A560" i="6"/>
  <c r="A559" i="6"/>
  <c r="A558" i="6"/>
  <c r="A557" i="6"/>
  <c r="A512" i="6"/>
  <c r="A521" i="6"/>
  <c r="A449" i="6"/>
  <c r="A455" i="6" s="1"/>
  <c r="A445" i="6"/>
  <c r="A435" i="6"/>
  <c r="A434" i="6"/>
  <c r="A433" i="6"/>
  <c r="A432" i="6"/>
  <c r="A427" i="6"/>
  <c r="A423" i="6"/>
  <c r="A415" i="6"/>
  <c r="A413" i="6"/>
  <c r="A411" i="6"/>
  <c r="A409" i="6"/>
  <c r="C145" i="4"/>
  <c r="Z7" i="9"/>
  <c r="U7" i="9"/>
  <c r="A105" i="4"/>
  <c r="A120" i="4"/>
  <c r="AA101" i="11"/>
  <c r="X101" i="11"/>
  <c r="U101" i="11"/>
  <c r="R101" i="11"/>
  <c r="O101" i="11"/>
  <c r="L101" i="11"/>
  <c r="C727" i="6"/>
  <c r="C726" i="6"/>
  <c r="C724" i="6"/>
  <c r="B726" i="6"/>
  <c r="B724" i="6"/>
  <c r="C722" i="6"/>
  <c r="B722" i="6"/>
  <c r="C721" i="6"/>
  <c r="B721" i="6"/>
  <c r="A735" i="6"/>
  <c r="A393" i="6"/>
  <c r="A392" i="6"/>
  <c r="A391" i="6"/>
  <c r="A390" i="6"/>
  <c r="A389" i="6"/>
  <c r="A377" i="6"/>
  <c r="A376" i="6"/>
  <c r="A370" i="6"/>
  <c r="A366" i="6"/>
  <c r="A302" i="6"/>
  <c r="A309" i="6"/>
  <c r="A339" i="6"/>
  <c r="A338" i="6"/>
  <c r="A337" i="6"/>
  <c r="A334" i="6"/>
  <c r="A331" i="6"/>
  <c r="A330" i="6" s="1"/>
  <c r="A327" i="6"/>
  <c r="A326" i="6"/>
  <c r="A325" i="6"/>
  <c r="A321" i="6"/>
  <c r="A320" i="6"/>
  <c r="A354" i="6"/>
  <c r="A353" i="6"/>
  <c r="A352" i="6"/>
  <c r="A351" i="6"/>
  <c r="A350" i="6"/>
  <c r="A290" i="6"/>
  <c r="A289" i="6"/>
  <c r="A288" i="6"/>
  <c r="A287" i="6"/>
  <c r="A286" i="6"/>
  <c r="A271" i="6"/>
  <c r="A278" i="6" s="1"/>
  <c r="A272" i="6"/>
  <c r="A2075" i="6" s="1"/>
  <c r="A268" i="6"/>
  <c r="A264" i="6"/>
  <c r="A263" i="6"/>
  <c r="A262" i="6"/>
  <c r="A215" i="6"/>
  <c r="A214" i="6"/>
  <c r="A211" i="6"/>
  <c r="A210" i="6"/>
  <c r="A208" i="6"/>
  <c r="A207" i="6"/>
  <c r="A201" i="6"/>
  <c r="A232" i="6"/>
  <c r="A231" i="6"/>
  <c r="A230" i="6"/>
  <c r="A229" i="6"/>
  <c r="A228" i="6"/>
  <c r="A103" i="6"/>
  <c r="A102" i="6"/>
  <c r="A137" i="6"/>
  <c r="A98" i="6"/>
  <c r="A95" i="6"/>
  <c r="A93" i="6"/>
  <c r="A92" i="6"/>
  <c r="A208" i="5"/>
  <c r="A207" i="5"/>
  <c r="A206" i="5"/>
  <c r="A205" i="5"/>
  <c r="A204" i="5"/>
  <c r="A161" i="5"/>
  <c r="A160" i="5"/>
  <c r="A159" i="5"/>
  <c r="A158" i="5"/>
  <c r="A157" i="5"/>
  <c r="A112" i="5"/>
  <c r="A111" i="5"/>
  <c r="A110" i="5"/>
  <c r="A109" i="5"/>
  <c r="A108" i="5"/>
  <c r="A77" i="5"/>
  <c r="A76" i="5"/>
  <c r="A75" i="5"/>
  <c r="A74" i="5"/>
  <c r="A73" i="5"/>
  <c r="A31" i="5"/>
  <c r="A93" i="4"/>
  <c r="A47" i="4" s="1"/>
  <c r="A92" i="4"/>
  <c r="A46" i="4" s="1"/>
  <c r="A91" i="4"/>
  <c r="A45" i="4" s="1"/>
  <c r="A90" i="4"/>
  <c r="A44" i="4" s="1"/>
  <c r="A89" i="4"/>
  <c r="A43" i="4" s="1"/>
  <c r="A125" i="4"/>
  <c r="A119" i="4"/>
  <c r="A116" i="4"/>
  <c r="A115" i="4"/>
  <c r="A171" i="4"/>
  <c r="A170" i="4"/>
  <c r="A109" i="4"/>
  <c r="A104" i="4"/>
  <c r="A106" i="4"/>
  <c r="A78" i="4"/>
  <c r="A77" i="4"/>
  <c r="A70" i="4"/>
  <c r="A76" i="4" s="1"/>
  <c r="A68" i="4"/>
  <c r="A62" i="4"/>
  <c r="A58" i="4"/>
  <c r="A173" i="5"/>
  <c r="A193" i="5"/>
  <c r="A190" i="5"/>
  <c r="A187" i="5"/>
  <c r="A183" i="5"/>
  <c r="A146" i="5"/>
  <c r="A140" i="5"/>
  <c r="A137" i="5"/>
  <c r="A136" i="5"/>
  <c r="A97" i="5"/>
  <c r="A96" i="5"/>
  <c r="A95" i="5"/>
  <c r="A62" i="5"/>
  <c r="A61" i="5"/>
  <c r="A60" i="5"/>
  <c r="A54" i="5"/>
  <c r="D86" i="7"/>
  <c r="BI128" i="9"/>
  <c r="N152" i="40" s="1"/>
  <c r="O203" i="3" s="1"/>
  <c r="BI129" i="9"/>
  <c r="BI132" i="9"/>
  <c r="BI130" i="9"/>
  <c r="BI133" i="9"/>
  <c r="AY128" i="9"/>
  <c r="AY129" i="9"/>
  <c r="AY132" i="9"/>
  <c r="AY130" i="9"/>
  <c r="D1570" i="6"/>
  <c r="L71" i="37"/>
  <c r="A446" i="6"/>
  <c r="C435" i="6"/>
  <c r="C434" i="6"/>
  <c r="B435" i="6"/>
  <c r="B434" i="6"/>
  <c r="C427" i="6"/>
  <c r="B427" i="6"/>
  <c r="K99" i="37"/>
  <c r="C104" i="4"/>
  <c r="I1143" i="6"/>
  <c r="J1143" i="6"/>
  <c r="K1143" i="6"/>
  <c r="L1143" i="6"/>
  <c r="M1143" i="6"/>
  <c r="N1143" i="6"/>
  <c r="O1143" i="6"/>
  <c r="O193" i="3" l="1"/>
  <c r="E183" i="14"/>
  <c r="E165" i="14"/>
  <c r="G105" i="1"/>
  <c r="A2073" i="6"/>
  <c r="E771" i="34"/>
  <c r="C152" i="11"/>
  <c r="K26" i="48"/>
  <c r="K25" i="48"/>
  <c r="A454" i="7"/>
  <c r="A54" i="6"/>
  <c r="A279" i="6"/>
  <c r="D646" i="6"/>
  <c r="A551" i="6"/>
  <c r="A153" i="4"/>
  <c r="D644" i="6"/>
  <c r="J21" i="1"/>
  <c r="H1777" i="6"/>
  <c r="H1776" i="6"/>
  <c r="A158" i="4"/>
  <c r="H1834" i="6"/>
  <c r="A41" i="5"/>
  <c r="A108" i="6"/>
  <c r="A62" i="6"/>
  <c r="A63" i="6"/>
  <c r="A64" i="6"/>
  <c r="A61" i="6"/>
  <c r="A65" i="6"/>
  <c r="A164" i="6"/>
  <c r="A23" i="6" s="1"/>
  <c r="A39" i="6" s="1"/>
  <c r="A38" i="5"/>
  <c r="A39" i="5"/>
  <c r="A51" i="7"/>
  <c r="A53" i="7"/>
  <c r="A55" i="7"/>
  <c r="A54" i="7"/>
  <c r="H1781" i="6"/>
  <c r="F29" i="45"/>
  <c r="CN115" i="9"/>
  <c r="CT115" i="9"/>
  <c r="CM115" i="9"/>
  <c r="CQ115" i="9"/>
  <c r="CP115" i="9"/>
  <c r="CO115" i="9"/>
  <c r="U24" i="9"/>
  <c r="A221" i="6"/>
  <c r="A436" i="6"/>
  <c r="A40" i="5"/>
  <c r="C120" i="4"/>
  <c r="A344" i="6"/>
  <c r="C436" i="6"/>
  <c r="B436" i="6"/>
  <c r="D435" i="6"/>
  <c r="D434" i="6"/>
  <c r="D427" i="6"/>
  <c r="BA64" i="22"/>
  <c r="AW64" i="22"/>
  <c r="AS64" i="22"/>
  <c r="AO64" i="22"/>
  <c r="AK64" i="22"/>
  <c r="AG64" i="22"/>
  <c r="BA57" i="22"/>
  <c r="AW57" i="22"/>
  <c r="AS57" i="22"/>
  <c r="AO57" i="22"/>
  <c r="AK57" i="22"/>
  <c r="AG57" i="22"/>
  <c r="BA69" i="22"/>
  <c r="AW69" i="22"/>
  <c r="AS69" i="22"/>
  <c r="AO69" i="22"/>
  <c r="AK69" i="22"/>
  <c r="AG69" i="22"/>
  <c r="BA59" i="22"/>
  <c r="AW59" i="22"/>
  <c r="AS59" i="22"/>
  <c r="AO59" i="22"/>
  <c r="AK59" i="22"/>
  <c r="AG59" i="22"/>
  <c r="BA65" i="22"/>
  <c r="AW65" i="22"/>
  <c r="AS65" i="22"/>
  <c r="AO65" i="22"/>
  <c r="AK65" i="22"/>
  <c r="AG65" i="22"/>
  <c r="U102" i="22"/>
  <c r="J23" i="1" l="1"/>
  <c r="J24" i="1" s="1"/>
  <c r="K21" i="1"/>
  <c r="K23" i="1"/>
  <c r="L23" i="1" s="1"/>
  <c r="M23" i="1" s="1"/>
  <c r="N23" i="1" s="1"/>
  <c r="O23" i="1" s="1"/>
  <c r="P23" i="1" s="1"/>
  <c r="K1970" i="6"/>
  <c r="L1970" i="6" s="1"/>
  <c r="M1970" i="6" s="1"/>
  <c r="N1970" i="6" s="1"/>
  <c r="O1970" i="6" s="1"/>
  <c r="P1970" i="6" s="1"/>
  <c r="Q1970" i="6" s="1"/>
  <c r="R1970" i="6" s="1"/>
  <c r="R700" i="6" s="1"/>
  <c r="K1969" i="6"/>
  <c r="J26" i="1"/>
  <c r="K26" i="1" s="1"/>
  <c r="L26" i="1" s="1"/>
  <c r="M26" i="1" s="1"/>
  <c r="N26" i="1" s="1"/>
  <c r="O26" i="1" s="1"/>
  <c r="P26" i="1" s="1"/>
  <c r="J27" i="1"/>
  <c r="K27" i="1" s="1"/>
  <c r="L27" i="1" s="1"/>
  <c r="M27" i="1" s="1"/>
  <c r="N27" i="1" s="1"/>
  <c r="O27" i="1" s="1"/>
  <c r="P27" i="1" s="1"/>
  <c r="J25" i="1"/>
  <c r="J100" i="1"/>
  <c r="K100" i="1" s="1"/>
  <c r="L100" i="1" s="1"/>
  <c r="M100" i="1" s="1"/>
  <c r="N100" i="1" s="1"/>
  <c r="O100" i="1" s="1"/>
  <c r="P100" i="1" s="1"/>
  <c r="L21" i="1"/>
  <c r="M21" i="1" s="1"/>
  <c r="N21" i="1" s="1"/>
  <c r="O21" i="1" s="1"/>
  <c r="P21" i="1" s="1"/>
  <c r="H1833" i="6"/>
  <c r="G2006" i="6"/>
  <c r="H101" i="1"/>
  <c r="A52" i="6"/>
  <c r="K27" i="48"/>
  <c r="D630" i="6"/>
  <c r="C158" i="4"/>
  <c r="I1781" i="6"/>
  <c r="G2010" i="6"/>
  <c r="I1777" i="6"/>
  <c r="J1777" i="6" s="1"/>
  <c r="K1777" i="6" s="1"/>
  <c r="L1777" i="6" s="1"/>
  <c r="G644" i="6"/>
  <c r="H644" i="6" s="1"/>
  <c r="G627" i="6"/>
  <c r="H627" i="6" s="1"/>
  <c r="I1776" i="6"/>
  <c r="I1834" i="6"/>
  <c r="I2006" i="6" s="1"/>
  <c r="H1835" i="6"/>
  <c r="H1782" i="6"/>
  <c r="G630" i="6"/>
  <c r="I1833" i="6"/>
  <c r="AE7" i="9"/>
  <c r="AN41" i="9"/>
  <c r="AO41" i="9" s="1"/>
  <c r="C543" i="6"/>
  <c r="B543" i="6"/>
  <c r="D1488" i="6"/>
  <c r="K24" i="1" l="1"/>
  <c r="M1777" i="6"/>
  <c r="N1777" i="6" s="1"/>
  <c r="O1777" i="6" s="1"/>
  <c r="P1777" i="6" s="1"/>
  <c r="Q1777" i="6" s="1"/>
  <c r="R1777" i="6" s="1"/>
  <c r="L1969" i="6"/>
  <c r="M1969" i="6" s="1"/>
  <c r="N1969" i="6" s="1"/>
  <c r="O1969" i="6" s="1"/>
  <c r="P1969" i="6" s="1"/>
  <c r="Q1969" i="6" s="1"/>
  <c r="R1969" i="6" s="1"/>
  <c r="L24" i="1"/>
  <c r="M24" i="1" s="1"/>
  <c r="N24" i="1" s="1"/>
  <c r="O24" i="1" s="1"/>
  <c r="P24" i="1" s="1"/>
  <c r="I291" i="3"/>
  <c r="K25" i="1"/>
  <c r="H6" i="58"/>
  <c r="H5" i="58" s="1"/>
  <c r="H2010" i="6"/>
  <c r="D21" i="58"/>
  <c r="E21" i="58" s="1"/>
  <c r="H2006" i="6"/>
  <c r="D20" i="58"/>
  <c r="Q700" i="6"/>
  <c r="P700" i="6"/>
  <c r="F141" i="3"/>
  <c r="H630" i="6"/>
  <c r="I1835" i="6"/>
  <c r="J1835" i="6" s="1"/>
  <c r="I101" i="1"/>
  <c r="H105" i="1"/>
  <c r="H99" i="42"/>
  <c r="H385" i="8"/>
  <c r="AT12" i="42"/>
  <c r="D1489" i="6"/>
  <c r="J94" i="48"/>
  <c r="H400" i="8"/>
  <c r="G241" i="4"/>
  <c r="H241" i="4" s="1"/>
  <c r="G778" i="4"/>
  <c r="H778" i="4" s="1"/>
  <c r="I2010" i="6"/>
  <c r="G228" i="4"/>
  <c r="H228" i="4" s="1"/>
  <c r="I627" i="6"/>
  <c r="I644" i="6"/>
  <c r="J1776" i="6"/>
  <c r="J1834" i="6"/>
  <c r="J2006" i="6" s="1"/>
  <c r="I1782" i="6"/>
  <c r="J22" i="1"/>
  <c r="K22" i="1" s="1"/>
  <c r="L22" i="1" s="1"/>
  <c r="M22" i="1" s="1"/>
  <c r="N22" i="1" s="1"/>
  <c r="O22" i="1" s="1"/>
  <c r="P22" i="1" s="1"/>
  <c r="I630" i="6"/>
  <c r="G164" i="45"/>
  <c r="J1833" i="6"/>
  <c r="AS41" i="9"/>
  <c r="AT41" i="9" s="1"/>
  <c r="D111" i="8"/>
  <c r="T193" i="9"/>
  <c r="U193" i="9" s="1"/>
  <c r="BX193" i="9" s="1"/>
  <c r="AD193" i="9"/>
  <c r="C370" i="7"/>
  <c r="B370" i="7"/>
  <c r="C53" i="12"/>
  <c r="D174" i="7"/>
  <c r="C174" i="7"/>
  <c r="B174" i="7"/>
  <c r="D75" i="7"/>
  <c r="C75" i="7"/>
  <c r="B75" i="7"/>
  <c r="D88" i="11"/>
  <c r="E88" i="11" s="1"/>
  <c r="G88" i="11" s="1"/>
  <c r="H88" i="11" s="1"/>
  <c r="J88" i="11" s="1"/>
  <c r="K88" i="11" s="1"/>
  <c r="M88" i="11" s="1"/>
  <c r="N88" i="11" s="1"/>
  <c r="P88" i="11" s="1"/>
  <c r="Q88" i="11" s="1"/>
  <c r="S88" i="11" s="1"/>
  <c r="T88" i="11" s="1"/>
  <c r="V88" i="11" s="1"/>
  <c r="W88" i="11" s="1"/>
  <c r="Y88" i="11" s="1"/>
  <c r="Z88" i="11" s="1"/>
  <c r="AB88" i="11" s="1"/>
  <c r="AC88" i="11" s="1"/>
  <c r="AE88" i="11" s="1"/>
  <c r="AF88" i="11" s="1"/>
  <c r="AH88" i="11" s="1"/>
  <c r="AI88" i="11" s="1"/>
  <c r="AK88" i="11" s="1"/>
  <c r="C428" i="34"/>
  <c r="D407" i="34"/>
  <c r="A732" i="6"/>
  <c r="A209" i="6"/>
  <c r="A218" i="6" s="1"/>
  <c r="C70" i="4"/>
  <c r="C76" i="4" s="1"/>
  <c r="A186" i="5"/>
  <c r="A135" i="5"/>
  <c r="A148" i="5" s="1"/>
  <c r="C107" i="4"/>
  <c r="C77" i="4"/>
  <c r="F422" i="45"/>
  <c r="E422" i="45"/>
  <c r="D422" i="45"/>
  <c r="F428" i="45"/>
  <c r="G428" i="45"/>
  <c r="E428" i="45"/>
  <c r="F429" i="45"/>
  <c r="G429" i="45"/>
  <c r="H429" i="45"/>
  <c r="I429" i="45"/>
  <c r="J429" i="45"/>
  <c r="K429" i="45"/>
  <c r="L429" i="45"/>
  <c r="M429" i="45"/>
  <c r="N429" i="45"/>
  <c r="O429" i="45"/>
  <c r="E429" i="45"/>
  <c r="F427" i="45"/>
  <c r="G427" i="45"/>
  <c r="H427" i="45"/>
  <c r="I427" i="45"/>
  <c r="J427" i="45"/>
  <c r="K427" i="45"/>
  <c r="L427" i="45"/>
  <c r="M427" i="45"/>
  <c r="N427" i="45"/>
  <c r="O427" i="45"/>
  <c r="E427" i="45"/>
  <c r="H403" i="45"/>
  <c r="I403" i="45"/>
  <c r="J403" i="45"/>
  <c r="K403" i="45"/>
  <c r="L403" i="45"/>
  <c r="M403" i="45"/>
  <c r="N403" i="45"/>
  <c r="O403" i="45"/>
  <c r="G403" i="45"/>
  <c r="F403" i="45"/>
  <c r="E403" i="45"/>
  <c r="E402" i="45"/>
  <c r="D403" i="45"/>
  <c r="D402" i="45"/>
  <c r="F299" i="45"/>
  <c r="E299" i="45"/>
  <c r="D304" i="45"/>
  <c r="F294" i="45"/>
  <c r="E294" i="45"/>
  <c r="D294" i="45"/>
  <c r="F291" i="45"/>
  <c r="E291" i="45"/>
  <c r="D291" i="45"/>
  <c r="F290" i="45"/>
  <c r="E290" i="45"/>
  <c r="D290" i="45"/>
  <c r="E289" i="45"/>
  <c r="D289" i="45"/>
  <c r="F289" i="45"/>
  <c r="H267" i="45"/>
  <c r="I267" i="45"/>
  <c r="J267" i="45"/>
  <c r="K267" i="45"/>
  <c r="L267" i="45"/>
  <c r="M267" i="45"/>
  <c r="N267" i="45"/>
  <c r="O267" i="45"/>
  <c r="G267" i="45"/>
  <c r="F267" i="45"/>
  <c r="E267" i="45"/>
  <c r="D267" i="45"/>
  <c r="E266" i="45"/>
  <c r="D266" i="45"/>
  <c r="H146" i="45"/>
  <c r="I146" i="45"/>
  <c r="J146" i="45"/>
  <c r="K146" i="45"/>
  <c r="L146" i="45"/>
  <c r="M146" i="45"/>
  <c r="N146" i="45"/>
  <c r="O146" i="45"/>
  <c r="G146" i="45"/>
  <c r="F146" i="45"/>
  <c r="E145" i="45"/>
  <c r="E146" i="45"/>
  <c r="D146" i="45"/>
  <c r="D145" i="45"/>
  <c r="F161" i="45"/>
  <c r="E161" i="45"/>
  <c r="D161" i="45"/>
  <c r="F168" i="45"/>
  <c r="G168" i="45"/>
  <c r="E168" i="45"/>
  <c r="F42" i="45"/>
  <c r="G42" i="45"/>
  <c r="H42" i="45"/>
  <c r="I42" i="45"/>
  <c r="J42" i="45"/>
  <c r="K42" i="45"/>
  <c r="L42" i="45"/>
  <c r="M42" i="45"/>
  <c r="N42" i="45"/>
  <c r="O42" i="45"/>
  <c r="E42" i="45"/>
  <c r="F41" i="45"/>
  <c r="G41" i="45"/>
  <c r="H41" i="45"/>
  <c r="I41" i="45"/>
  <c r="J41" i="45"/>
  <c r="K41" i="45"/>
  <c r="L41" i="45"/>
  <c r="M41" i="45"/>
  <c r="N41" i="45"/>
  <c r="O41" i="45"/>
  <c r="E41" i="45"/>
  <c r="F35" i="45"/>
  <c r="E35" i="45"/>
  <c r="D35" i="45"/>
  <c r="F32" i="45"/>
  <c r="E32" i="45"/>
  <c r="D32" i="45"/>
  <c r="F31" i="45"/>
  <c r="E31" i="45"/>
  <c r="D31" i="45"/>
  <c r="F30" i="45"/>
  <c r="E30" i="45"/>
  <c r="D30" i="45"/>
  <c r="D2" i="45"/>
  <c r="D430" i="45"/>
  <c r="O409" i="45"/>
  <c r="O417" i="45" s="1"/>
  <c r="N409" i="45"/>
  <c r="N417" i="45" s="1"/>
  <c r="M409" i="45"/>
  <c r="M417" i="45" s="1"/>
  <c r="L409" i="45"/>
  <c r="L417" i="45" s="1"/>
  <c r="K409" i="45"/>
  <c r="K417" i="45" s="1"/>
  <c r="J409" i="45"/>
  <c r="J417" i="45" s="1"/>
  <c r="I409" i="45"/>
  <c r="I417" i="45" s="1"/>
  <c r="H409" i="45"/>
  <c r="H417" i="45" s="1"/>
  <c r="G409" i="45"/>
  <c r="G417" i="45" s="1"/>
  <c r="F409" i="45"/>
  <c r="F417" i="45" s="1"/>
  <c r="E409" i="45"/>
  <c r="E417" i="45" s="1"/>
  <c r="D409" i="45"/>
  <c r="D417" i="45" s="1"/>
  <c r="O275" i="45"/>
  <c r="O285" i="45" s="1"/>
  <c r="N275" i="45"/>
  <c r="N285" i="45" s="1"/>
  <c r="M275" i="45"/>
  <c r="M285" i="45" s="1"/>
  <c r="L275" i="45"/>
  <c r="L285" i="45" s="1"/>
  <c r="K275" i="45"/>
  <c r="K285" i="45" s="1"/>
  <c r="J275" i="45"/>
  <c r="J285" i="45" s="1"/>
  <c r="I275" i="45"/>
  <c r="I285" i="45" s="1"/>
  <c r="H275" i="45"/>
  <c r="H285" i="45" s="1"/>
  <c r="G275" i="45"/>
  <c r="G285" i="45" s="1"/>
  <c r="F275" i="45"/>
  <c r="F285" i="45" s="1"/>
  <c r="E275" i="45"/>
  <c r="E285" i="45" s="1"/>
  <c r="D275" i="45"/>
  <c r="D285" i="45" s="1"/>
  <c r="D45" i="45"/>
  <c r="N25" i="45"/>
  <c r="M25" i="45"/>
  <c r="L25" i="45"/>
  <c r="K25" i="45"/>
  <c r="J25" i="45"/>
  <c r="I25" i="45"/>
  <c r="H25" i="45"/>
  <c r="G25" i="45"/>
  <c r="F25" i="45"/>
  <c r="E25" i="45"/>
  <c r="D25" i="45"/>
  <c r="J1144" i="6"/>
  <c r="J352" i="6" s="1"/>
  <c r="B614" i="6"/>
  <c r="I61" i="37"/>
  <c r="I50" i="37"/>
  <c r="I47" i="37"/>
  <c r="I65" i="37" s="1"/>
  <c r="G60" i="12"/>
  <c r="N26" i="37" s="1"/>
  <c r="N10" i="37"/>
  <c r="I4" i="37"/>
  <c r="F60" i="20"/>
  <c r="F55" i="20"/>
  <c r="Q34" i="20"/>
  <c r="Q35" i="20"/>
  <c r="Q36" i="20"/>
  <c r="Q37" i="20"/>
  <c r="H40" i="45"/>
  <c r="B424" i="7"/>
  <c r="B331" i="7"/>
  <c r="B685" i="6"/>
  <c r="B518" i="6"/>
  <c r="B501" i="6"/>
  <c r="B391" i="6"/>
  <c r="A965" i="6"/>
  <c r="B965" i="6"/>
  <c r="B204" i="5"/>
  <c r="B190" i="5"/>
  <c r="A1008" i="4"/>
  <c r="C77" i="12"/>
  <c r="B45" i="17"/>
  <c r="B97" i="13"/>
  <c r="B72" i="13" s="1"/>
  <c r="C534" i="6"/>
  <c r="C419" i="7"/>
  <c r="C420" i="7"/>
  <c r="C171" i="7"/>
  <c r="C546" i="6"/>
  <c r="C3" i="6"/>
  <c r="C201" i="6"/>
  <c r="C383" i="7"/>
  <c r="C439" i="7"/>
  <c r="C186" i="5"/>
  <c r="C62" i="5"/>
  <c r="C557" i="6"/>
  <c r="C518" i="6"/>
  <c r="C741" i="6"/>
  <c r="D370" i="7"/>
  <c r="D1383" i="6"/>
  <c r="E765" i="34"/>
  <c r="D1716" i="6"/>
  <c r="D700" i="6"/>
  <c r="G420" i="7"/>
  <c r="D419" i="7"/>
  <c r="D420" i="7"/>
  <c r="D312" i="6"/>
  <c r="D699" i="6"/>
  <c r="E757" i="34"/>
  <c r="C345" i="7"/>
  <c r="C2" i="34"/>
  <c r="C789" i="34" s="1"/>
  <c r="D2" i="34"/>
  <c r="E2" i="34"/>
  <c r="E789" i="34" s="1"/>
  <c r="E812" i="34" s="1"/>
  <c r="E822" i="34" s="1"/>
  <c r="F2" i="34"/>
  <c r="G2" i="34"/>
  <c r="H2" i="34"/>
  <c r="I2" i="34"/>
  <c r="I789" i="34" s="1"/>
  <c r="I812" i="34" s="1"/>
  <c r="I822" i="34" s="1"/>
  <c r="J2" i="34"/>
  <c r="J789" i="34" s="1"/>
  <c r="J812" i="34" s="1"/>
  <c r="J822" i="34" s="1"/>
  <c r="K2" i="34"/>
  <c r="L2" i="34"/>
  <c r="M2" i="34"/>
  <c r="M789" i="34" s="1"/>
  <c r="M812" i="34" s="1"/>
  <c r="M822" i="34" s="1"/>
  <c r="C666" i="6"/>
  <c r="C723" i="6"/>
  <c r="C187" i="5"/>
  <c r="C105" i="11"/>
  <c r="F105" i="11"/>
  <c r="I105" i="11"/>
  <c r="L105" i="11"/>
  <c r="O105" i="11"/>
  <c r="R105" i="11"/>
  <c r="U105" i="11"/>
  <c r="X105" i="11"/>
  <c r="AA105" i="11"/>
  <c r="C424" i="7"/>
  <c r="B557" i="6"/>
  <c r="B143" i="7"/>
  <c r="B234" i="7"/>
  <c r="B103" i="7"/>
  <c r="B329" i="7"/>
  <c r="B273" i="7"/>
  <c r="B188" i="7"/>
  <c r="D119" i="8"/>
  <c r="H473" i="8"/>
  <c r="O1830" i="6"/>
  <c r="O3" i="6"/>
  <c r="O1062" i="6"/>
  <c r="D208" i="6"/>
  <c r="E724" i="34"/>
  <c r="O501" i="6"/>
  <c r="O1999" i="6"/>
  <c r="O590" i="4"/>
  <c r="O81" i="7"/>
  <c r="D219" i="7"/>
  <c r="M18" i="26"/>
  <c r="L85" i="26"/>
  <c r="O383" i="7"/>
  <c r="D62" i="5"/>
  <c r="N1830" i="6"/>
  <c r="N3" i="6"/>
  <c r="N1062" i="6"/>
  <c r="N501" i="6"/>
  <c r="N1999" i="6"/>
  <c r="N590" i="4"/>
  <c r="N125" i="4" s="1"/>
  <c r="N81" i="7"/>
  <c r="N383" i="7"/>
  <c r="M1830" i="6"/>
  <c r="M3" i="6"/>
  <c r="M1062" i="6"/>
  <c r="M501" i="6"/>
  <c r="M1999" i="6"/>
  <c r="M590" i="4"/>
  <c r="M81" i="7"/>
  <c r="M535" i="7" s="1"/>
  <c r="M105" i="7" s="1"/>
  <c r="M383" i="7"/>
  <c r="L1830" i="6"/>
  <c r="L3" i="6"/>
  <c r="L1062" i="6"/>
  <c r="L501" i="6"/>
  <c r="L1999" i="6"/>
  <c r="L590" i="4"/>
  <c r="L125" i="4" s="1"/>
  <c r="L81" i="7"/>
  <c r="L383" i="7"/>
  <c r="K1830" i="6"/>
  <c r="K3" i="6"/>
  <c r="K1062" i="6"/>
  <c r="K501" i="6"/>
  <c r="K1999" i="6"/>
  <c r="K590" i="4"/>
  <c r="K81" i="7"/>
  <c r="K383" i="7"/>
  <c r="J1830" i="6"/>
  <c r="J3" i="6"/>
  <c r="J1062" i="6"/>
  <c r="J501" i="6"/>
  <c r="J1999" i="6"/>
  <c r="J590" i="4"/>
  <c r="J81" i="7"/>
  <c r="J383" i="7"/>
  <c r="I1830" i="6"/>
  <c r="I3" i="6"/>
  <c r="I1062" i="6"/>
  <c r="I501" i="6"/>
  <c r="I1999" i="6"/>
  <c r="I590" i="4"/>
  <c r="I81" i="7"/>
  <c r="I535" i="7" s="1"/>
  <c r="I105" i="7" s="1"/>
  <c r="I383" i="7"/>
  <c r="H1830" i="6"/>
  <c r="G3" i="6"/>
  <c r="G1062" i="6"/>
  <c r="G501" i="6"/>
  <c r="G590" i="4"/>
  <c r="G81" i="7"/>
  <c r="G383" i="7"/>
  <c r="D3" i="6"/>
  <c r="D1062" i="6"/>
  <c r="D501" i="6"/>
  <c r="D546" i="6"/>
  <c r="D1999" i="6"/>
  <c r="B19" i="58" s="1"/>
  <c r="D77" i="7"/>
  <c r="D81" i="7"/>
  <c r="D87" i="7"/>
  <c r="D218" i="7"/>
  <c r="D220" i="7"/>
  <c r="D383" i="7"/>
  <c r="C639" i="6"/>
  <c r="C321" i="6"/>
  <c r="C320" i="6"/>
  <c r="C710" i="6"/>
  <c r="C98" i="6"/>
  <c r="C207" i="6"/>
  <c r="C365" i="7"/>
  <c r="C371" i="7"/>
  <c r="C378" i="7"/>
  <c r="C379" i="7"/>
  <c r="C441" i="7"/>
  <c r="C442" i="7" s="1"/>
  <c r="C74" i="7"/>
  <c r="C76" i="7"/>
  <c r="C77" i="7"/>
  <c r="C80" i="7"/>
  <c r="C81" i="7"/>
  <c r="C82" i="7"/>
  <c r="C85" i="7"/>
  <c r="C87" i="7"/>
  <c r="C92" i="7"/>
  <c r="C216" i="7"/>
  <c r="C217" i="7"/>
  <c r="C218" i="7"/>
  <c r="C219" i="7"/>
  <c r="C220" i="7"/>
  <c r="C257" i="7"/>
  <c r="C300" i="7"/>
  <c r="C301" i="7"/>
  <c r="C302" i="7"/>
  <c r="C305" i="7"/>
  <c r="C306" i="7"/>
  <c r="C307" i="7"/>
  <c r="C308" i="7"/>
  <c r="C309" i="7"/>
  <c r="C312" i="7"/>
  <c r="C313" i="7"/>
  <c r="C314" i="7"/>
  <c r="C317" i="7"/>
  <c r="C318" i="7"/>
  <c r="C136" i="5"/>
  <c r="E3" i="9"/>
  <c r="F3" i="9"/>
  <c r="G3" i="9"/>
  <c r="H3" i="9"/>
  <c r="I3" i="9"/>
  <c r="J3" i="9"/>
  <c r="K3" i="9"/>
  <c r="D45" i="8"/>
  <c r="B45" i="16"/>
  <c r="U81" i="10"/>
  <c r="V81" i="10" s="1"/>
  <c r="X81" i="10"/>
  <c r="Y81" i="10" s="1"/>
  <c r="V102" i="10"/>
  <c r="Y102" i="10"/>
  <c r="D165" i="7"/>
  <c r="D290" i="7"/>
  <c r="C160" i="7"/>
  <c r="C162" i="7"/>
  <c r="C165" i="7"/>
  <c r="C168" i="7"/>
  <c r="C700" i="6"/>
  <c r="C120" i="7"/>
  <c r="C122" i="7" s="1"/>
  <c r="B129" i="42" s="1"/>
  <c r="C205" i="7"/>
  <c r="C250" i="7"/>
  <c r="C252" i="7" s="1"/>
  <c r="B132" i="42" s="1"/>
  <c r="C350" i="7"/>
  <c r="C54" i="5"/>
  <c r="C178" i="5"/>
  <c r="B109" i="42" s="1"/>
  <c r="C178" i="7"/>
  <c r="C289" i="7"/>
  <c r="C411" i="6"/>
  <c r="C354" i="7"/>
  <c r="C355" i="7"/>
  <c r="C67" i="7"/>
  <c r="C290" i="7"/>
  <c r="C293" i="7"/>
  <c r="C291" i="7"/>
  <c r="S65" i="9"/>
  <c r="E63" i="9"/>
  <c r="L3" i="9"/>
  <c r="O3" i="7"/>
  <c r="C143" i="7"/>
  <c r="C234" i="7"/>
  <c r="C103" i="7"/>
  <c r="C329" i="7"/>
  <c r="C273" i="7"/>
  <c r="C188" i="7"/>
  <c r="C141" i="4"/>
  <c r="D518" i="6"/>
  <c r="D557" i="6"/>
  <c r="D143" i="7"/>
  <c r="D234" i="7"/>
  <c r="D103" i="7"/>
  <c r="D329" i="7"/>
  <c r="D273" i="7"/>
  <c r="D188" i="7"/>
  <c r="G518" i="6"/>
  <c r="G557" i="6"/>
  <c r="G2025" i="6"/>
  <c r="D42" i="58" s="1"/>
  <c r="G143" i="7"/>
  <c r="G234" i="7"/>
  <c r="G103" i="7"/>
  <c r="G329" i="7"/>
  <c r="G273" i="7"/>
  <c r="G188" i="7"/>
  <c r="G141" i="4"/>
  <c r="I518" i="6"/>
  <c r="I557" i="6"/>
  <c r="I2025" i="6"/>
  <c r="F42" i="58" s="1"/>
  <c r="I143" i="7"/>
  <c r="I234" i="7"/>
  <c r="I103" i="7"/>
  <c r="I329" i="7"/>
  <c r="I273" i="7"/>
  <c r="I188" i="7"/>
  <c r="I141" i="4"/>
  <c r="J518" i="6"/>
  <c r="J557" i="6"/>
  <c r="J2025" i="6"/>
  <c r="G42" i="58" s="1"/>
  <c r="J143" i="7"/>
  <c r="J234" i="7"/>
  <c r="J103" i="7"/>
  <c r="J329" i="7"/>
  <c r="J273" i="7"/>
  <c r="J188" i="7"/>
  <c r="J141" i="4"/>
  <c r="K518" i="6"/>
  <c r="K557" i="6"/>
  <c r="K2025" i="6"/>
  <c r="H42" i="58" s="1"/>
  <c r="K143" i="7"/>
  <c r="K234" i="7"/>
  <c r="K103" i="7"/>
  <c r="K329" i="7"/>
  <c r="K273" i="7"/>
  <c r="K188" i="7"/>
  <c r="K141" i="4"/>
  <c r="L518" i="6"/>
  <c r="L557" i="6"/>
  <c r="L2025" i="6"/>
  <c r="I42" i="58" s="1"/>
  <c r="L143" i="7"/>
  <c r="L234" i="7"/>
  <c r="L103" i="7"/>
  <c r="L329" i="7"/>
  <c r="L273" i="7"/>
  <c r="L188" i="7"/>
  <c r="L141" i="4"/>
  <c r="M518" i="6"/>
  <c r="M557" i="6"/>
  <c r="M2025" i="6"/>
  <c r="J42" i="58" s="1"/>
  <c r="M143" i="7"/>
  <c r="M234" i="7"/>
  <c r="M103" i="7"/>
  <c r="M329" i="7"/>
  <c r="M273" i="7"/>
  <c r="M188" i="7"/>
  <c r="M141" i="4"/>
  <c r="N518" i="6"/>
  <c r="N557" i="6"/>
  <c r="N2025" i="6"/>
  <c r="K42" i="58" s="1"/>
  <c r="N402" i="7"/>
  <c r="N143" i="7"/>
  <c r="N234" i="7"/>
  <c r="N103" i="7"/>
  <c r="N329" i="7"/>
  <c r="N273" i="7"/>
  <c r="N188" i="7"/>
  <c r="N141" i="4"/>
  <c r="O518" i="6"/>
  <c r="O557" i="6"/>
  <c r="O2025" i="6"/>
  <c r="L42" i="58" s="1"/>
  <c r="O1006" i="7"/>
  <c r="O402" i="7" s="1"/>
  <c r="O143" i="7"/>
  <c r="O234" i="7"/>
  <c r="O103" i="7"/>
  <c r="O329" i="7"/>
  <c r="O273" i="7"/>
  <c r="O188" i="7"/>
  <c r="O141" i="4"/>
  <c r="C1023" i="7"/>
  <c r="D1067" i="7"/>
  <c r="I1505" i="6"/>
  <c r="AS58" i="9"/>
  <c r="AT58" i="9" s="1"/>
  <c r="BC58" i="9"/>
  <c r="BD58" i="9" s="1"/>
  <c r="BC59" i="9"/>
  <c r="BD59" i="9" s="1"/>
  <c r="BH59" i="9"/>
  <c r="BI59" i="9" s="1"/>
  <c r="AA81" i="10"/>
  <c r="AB81" i="10" s="1"/>
  <c r="AB102" i="10"/>
  <c r="C143" i="4"/>
  <c r="C75" i="5"/>
  <c r="C208" i="5"/>
  <c r="C207" i="5"/>
  <c r="C205" i="5"/>
  <c r="C206" i="5"/>
  <c r="C104" i="7"/>
  <c r="C105" i="7"/>
  <c r="C106" i="7"/>
  <c r="C107" i="7"/>
  <c r="C144" i="7"/>
  <c r="C145" i="7"/>
  <c r="C146" i="7"/>
  <c r="C147" i="7"/>
  <c r="C277" i="7"/>
  <c r="C274" i="7"/>
  <c r="C275" i="7"/>
  <c r="C276" i="7"/>
  <c r="C189" i="7"/>
  <c r="C190" i="7"/>
  <c r="C191" i="7"/>
  <c r="C192" i="7"/>
  <c r="C236" i="7"/>
  <c r="C235" i="7"/>
  <c r="C237" i="7"/>
  <c r="C238" i="7"/>
  <c r="C330" i="7"/>
  <c r="C331" i="7"/>
  <c r="C866" i="7"/>
  <c r="C332" i="7" s="1"/>
  <c r="C333" i="7"/>
  <c r="C175" i="6"/>
  <c r="C232" i="6"/>
  <c r="C287" i="6"/>
  <c r="C391" i="6"/>
  <c r="C390" i="6"/>
  <c r="C464" i="6"/>
  <c r="C521" i="6"/>
  <c r="C522" i="6"/>
  <c r="C561" i="6"/>
  <c r="C558" i="6"/>
  <c r="C559" i="6"/>
  <c r="C560" i="6"/>
  <c r="C616" i="6"/>
  <c r="C689" i="6"/>
  <c r="C745" i="6"/>
  <c r="B223" i="7"/>
  <c r="A138" i="3" s="1"/>
  <c r="B439" i="7"/>
  <c r="B445" i="7"/>
  <c r="B1055" i="7"/>
  <c r="I14" i="48" s="1"/>
  <c r="A84" i="12"/>
  <c r="B866" i="7"/>
  <c r="B332" i="7" s="1"/>
  <c r="B330" i="7"/>
  <c r="A31" i="16"/>
  <c r="AD19" i="42"/>
  <c r="AD20" i="42"/>
  <c r="B641" i="6"/>
  <c r="F26" i="14"/>
  <c r="C409" i="6"/>
  <c r="B409" i="6"/>
  <c r="F37" i="14"/>
  <c r="B1129" i="6" s="1"/>
  <c r="B187" i="5"/>
  <c r="B3" i="6"/>
  <c r="B1840" i="6" s="1"/>
  <c r="B710" i="6"/>
  <c r="B711" i="6"/>
  <c r="B714" i="6"/>
  <c r="B720" i="6"/>
  <c r="B725" i="6"/>
  <c r="B727" i="6"/>
  <c r="B730" i="6"/>
  <c r="B735" i="6" s="1"/>
  <c r="B699" i="6"/>
  <c r="B700" i="6"/>
  <c r="C757" i="34"/>
  <c r="B702" i="6"/>
  <c r="B744" i="6"/>
  <c r="A64" i="12"/>
  <c r="A77" i="12"/>
  <c r="C9" i="12" s="1"/>
  <c r="A48" i="12"/>
  <c r="A53" i="12"/>
  <c r="A57" i="12"/>
  <c r="A28" i="12"/>
  <c r="B488" i="6"/>
  <c r="P12" i="42" s="1"/>
  <c r="B495" i="6"/>
  <c r="B497" i="6"/>
  <c r="B498" i="6"/>
  <c r="B507" i="6"/>
  <c r="B512" i="6" s="1"/>
  <c r="B1474" i="6"/>
  <c r="B1494" i="6"/>
  <c r="B1497" i="6"/>
  <c r="B1721" i="6"/>
  <c r="B1751" i="6"/>
  <c r="B629" i="6"/>
  <c r="B634" i="6"/>
  <c r="B441" i="7"/>
  <c r="B442" i="7" s="1"/>
  <c r="B419" i="7"/>
  <c r="B420" i="7"/>
  <c r="B1023" i="7"/>
  <c r="B350" i="7"/>
  <c r="B382" i="7"/>
  <c r="D25" i="11"/>
  <c r="E25" i="11" s="1"/>
  <c r="G25" i="11" s="1"/>
  <c r="H25" i="11" s="1"/>
  <c r="J25" i="11" s="1"/>
  <c r="K25" i="11" s="1"/>
  <c r="M25" i="11" s="1"/>
  <c r="N25" i="11" s="1"/>
  <c r="P25" i="11" s="1"/>
  <c r="Q25" i="11" s="1"/>
  <c r="S25" i="11" s="1"/>
  <c r="T25" i="11" s="1"/>
  <c r="V25" i="11" s="1"/>
  <c r="W25" i="11" s="1"/>
  <c r="Y25" i="11" s="1"/>
  <c r="Z25" i="11" s="1"/>
  <c r="AB25" i="11" s="1"/>
  <c r="AC25" i="11" s="1"/>
  <c r="AE25" i="11" s="1"/>
  <c r="AF25" i="11" s="1"/>
  <c r="AH25" i="11" s="1"/>
  <c r="AI25" i="11" s="1"/>
  <c r="AK25" i="11" s="1"/>
  <c r="Z3" i="9"/>
  <c r="AE3" i="9" s="1"/>
  <c r="BH57" i="9"/>
  <c r="BH58" i="9"/>
  <c r="BI58" i="9" s="1"/>
  <c r="BH2" i="9"/>
  <c r="BH200" i="9"/>
  <c r="BI200" i="9" s="1"/>
  <c r="BH24" i="9"/>
  <c r="BG24" i="9"/>
  <c r="BG65" i="9"/>
  <c r="BF24" i="9"/>
  <c r="BF65" i="9"/>
  <c r="R87" i="9"/>
  <c r="R169" i="9" s="1"/>
  <c r="BE24" i="9"/>
  <c r="BE65" i="9"/>
  <c r="BC57" i="9"/>
  <c r="BC2" i="9"/>
  <c r="BC86" i="9" s="1"/>
  <c r="BC168" i="9" s="1"/>
  <c r="BC200" i="9"/>
  <c r="BD200" i="9" s="1"/>
  <c r="BC24" i="9"/>
  <c r="BB24" i="9"/>
  <c r="BB65" i="9"/>
  <c r="BA24" i="9"/>
  <c r="BA65" i="9"/>
  <c r="AZ24" i="9"/>
  <c r="AZ65" i="9"/>
  <c r="AX57" i="9"/>
  <c r="AX58" i="9"/>
  <c r="AY58" i="9" s="1"/>
  <c r="AX59" i="9"/>
  <c r="AY59" i="9" s="1"/>
  <c r="AY64" i="9"/>
  <c r="AX2" i="9"/>
  <c r="AX200" i="9"/>
  <c r="AY200" i="9" s="1"/>
  <c r="AX24" i="9"/>
  <c r="AW24" i="9"/>
  <c r="AW65" i="9"/>
  <c r="AV24" i="9"/>
  <c r="AV65" i="9"/>
  <c r="AU24" i="9"/>
  <c r="AU65" i="9"/>
  <c r="AS200" i="9"/>
  <c r="AT200" i="9" s="1"/>
  <c r="AS57" i="9"/>
  <c r="AS59" i="9"/>
  <c r="AT59" i="9" s="1"/>
  <c r="AS2" i="9"/>
  <c r="AS86" i="9" s="1"/>
  <c r="AS168" i="9" s="1"/>
  <c r="AS24" i="9"/>
  <c r="AR24" i="9"/>
  <c r="AR65" i="9"/>
  <c r="AQ24" i="9"/>
  <c r="AQ65" i="9"/>
  <c r="AP24" i="9"/>
  <c r="AP65" i="9"/>
  <c r="AN200" i="9"/>
  <c r="AO200" i="9" s="1"/>
  <c r="AN57" i="9"/>
  <c r="AN58" i="9"/>
  <c r="AO58" i="9" s="1"/>
  <c r="AN59" i="9"/>
  <c r="AO59" i="9" s="1"/>
  <c r="AN2" i="9"/>
  <c r="AN24" i="9"/>
  <c r="AM24" i="9"/>
  <c r="AL24" i="9"/>
  <c r="AL65" i="9"/>
  <c r="AK24" i="9"/>
  <c r="AK65" i="9"/>
  <c r="AI58" i="9"/>
  <c r="AI48" i="9"/>
  <c r="AJ48" i="9" s="1"/>
  <c r="AI2" i="9"/>
  <c r="AI86" i="9" s="1"/>
  <c r="AI168" i="9" s="1"/>
  <c r="AI24" i="9"/>
  <c r="AH24" i="9"/>
  <c r="AH65" i="9"/>
  <c r="AG24" i="9"/>
  <c r="AG65" i="9"/>
  <c r="AF24" i="9"/>
  <c r="AF65" i="9"/>
  <c r="AD57" i="9"/>
  <c r="AD63" i="9" s="1"/>
  <c r="AD2" i="9"/>
  <c r="AD24" i="9"/>
  <c r="AC24" i="9"/>
  <c r="AC65" i="9"/>
  <c r="AB24" i="9"/>
  <c r="AB65" i="9"/>
  <c r="AA24" i="9"/>
  <c r="Y200" i="9"/>
  <c r="Z200" i="9" s="1"/>
  <c r="G1183" i="7"/>
  <c r="Y2" i="9"/>
  <c r="Y86" i="9" s="1"/>
  <c r="Y168" i="9" s="1"/>
  <c r="Y24" i="9"/>
  <c r="X24" i="9"/>
  <c r="X65" i="9"/>
  <c r="W24" i="9"/>
  <c r="W65" i="9"/>
  <c r="V24" i="9"/>
  <c r="V65" i="9"/>
  <c r="U111" i="9"/>
  <c r="U115" i="9"/>
  <c r="U141" i="9"/>
  <c r="U416" i="9" s="1"/>
  <c r="U146" i="9"/>
  <c r="U177" i="9"/>
  <c r="T200" i="9"/>
  <c r="U200" i="9" s="1"/>
  <c r="D2027" i="6"/>
  <c r="T86" i="9"/>
  <c r="T168" i="9" s="1"/>
  <c r="S24" i="9"/>
  <c r="R24" i="9"/>
  <c r="R65" i="9"/>
  <c r="Q24" i="9"/>
  <c r="Q65" i="9"/>
  <c r="O93" i="4"/>
  <c r="N93" i="4"/>
  <c r="M93" i="4"/>
  <c r="L93" i="4"/>
  <c r="K93" i="4"/>
  <c r="J93" i="4"/>
  <c r="I93" i="4"/>
  <c r="G93" i="4"/>
  <c r="C93" i="4"/>
  <c r="A5" i="9"/>
  <c r="C84" i="12"/>
  <c r="M60" i="12"/>
  <c r="T26" i="37" s="1"/>
  <c r="L60" i="12"/>
  <c r="K60" i="12"/>
  <c r="R26" i="37" s="1"/>
  <c r="J60" i="12"/>
  <c r="Q26" i="37" s="1"/>
  <c r="I60" i="12"/>
  <c r="P26" i="37" s="1"/>
  <c r="H60" i="12"/>
  <c r="E60" i="12"/>
  <c r="C64" i="12"/>
  <c r="C366" i="6"/>
  <c r="C367" i="6"/>
  <c r="C415" i="6"/>
  <c r="C634" i="6"/>
  <c r="C262" i="6"/>
  <c r="C263" i="6"/>
  <c r="C264" i="6"/>
  <c r="C272" i="6"/>
  <c r="C2075" i="6" s="1"/>
  <c r="C271" i="6"/>
  <c r="C325" i="6"/>
  <c r="C327" i="6"/>
  <c r="C331" i="6"/>
  <c r="C337" i="6"/>
  <c r="C338" i="6"/>
  <c r="C339" i="6"/>
  <c r="C495" i="6"/>
  <c r="C497" i="6"/>
  <c r="C507" i="6"/>
  <c r="C649" i="6"/>
  <c r="C650" i="6"/>
  <c r="C655" i="6"/>
  <c r="C659" i="6"/>
  <c r="C667" i="6"/>
  <c r="C668" i="6"/>
  <c r="C669" i="6"/>
  <c r="C711" i="6"/>
  <c r="C714" i="6"/>
  <c r="C720" i="6"/>
  <c r="C725" i="6"/>
  <c r="C730" i="6"/>
  <c r="C735" i="6" s="1"/>
  <c r="C423" i="6"/>
  <c r="C432" i="6"/>
  <c r="C433" i="6"/>
  <c r="C449" i="6"/>
  <c r="C455" i="6" s="1"/>
  <c r="C92" i="6"/>
  <c r="C95" i="6"/>
  <c r="C137" i="6"/>
  <c r="C102" i="6"/>
  <c r="C103" i="6"/>
  <c r="C208" i="6"/>
  <c r="C209" i="6"/>
  <c r="C210" i="6"/>
  <c r="C211" i="6"/>
  <c r="C214" i="6"/>
  <c r="C215" i="6"/>
  <c r="C376" i="6"/>
  <c r="C377" i="6"/>
  <c r="C584" i="6"/>
  <c r="C720" i="4"/>
  <c r="B40" i="13"/>
  <c r="C137" i="5"/>
  <c r="C689" i="4"/>
  <c r="C370" i="6"/>
  <c r="C309" i="6"/>
  <c r="C413" i="6"/>
  <c r="C574" i="6"/>
  <c r="C629" i="6"/>
  <c r="C699" i="6"/>
  <c r="C702" i="6"/>
  <c r="C454" i="5"/>
  <c r="C204" i="5" s="1"/>
  <c r="C228" i="6"/>
  <c r="C389" i="6"/>
  <c r="C612" i="6"/>
  <c r="C48" i="12"/>
  <c r="C57" i="12"/>
  <c r="C1474" i="6"/>
  <c r="C1494" i="6"/>
  <c r="C1497" i="6"/>
  <c r="C1721" i="6"/>
  <c r="C744" i="6"/>
  <c r="E48" i="12"/>
  <c r="F48" i="12"/>
  <c r="G48" i="12"/>
  <c r="H48" i="12"/>
  <c r="I48" i="12"/>
  <c r="J48" i="12"/>
  <c r="K48" i="12"/>
  <c r="L48" i="12"/>
  <c r="L57" i="12"/>
  <c r="D629" i="6"/>
  <c r="B345" i="7"/>
  <c r="B354" i="7"/>
  <c r="B355" i="7"/>
  <c r="B120" i="7"/>
  <c r="B122" i="7" s="1"/>
  <c r="B160" i="7"/>
  <c r="B162" i="7"/>
  <c r="B165" i="7"/>
  <c r="B168" i="7"/>
  <c r="B171" i="7"/>
  <c r="B175" i="7"/>
  <c r="B178" i="7"/>
  <c r="B205" i="7"/>
  <c r="B206" i="7"/>
  <c r="B289" i="7"/>
  <c r="B290" i="7"/>
  <c r="B293" i="7"/>
  <c r="B291" i="7"/>
  <c r="B250" i="7"/>
  <c r="B252" i="7" s="1"/>
  <c r="B67" i="7"/>
  <c r="B69" i="7" s="1"/>
  <c r="B255" i="6"/>
  <c r="B309" i="6"/>
  <c r="B302" i="6"/>
  <c r="B366" i="6"/>
  <c r="B367" i="6"/>
  <c r="B370" i="6"/>
  <c r="B411" i="6"/>
  <c r="B413" i="6"/>
  <c r="B415" i="6"/>
  <c r="B534" i="6"/>
  <c r="B536" i="6" s="1"/>
  <c r="B14" i="6" s="1"/>
  <c r="B574" i="6"/>
  <c r="B689" i="4"/>
  <c r="B54" i="5"/>
  <c r="B91" i="5"/>
  <c r="O228" i="6"/>
  <c r="O389" i="6"/>
  <c r="O612" i="6"/>
  <c r="O454" i="5"/>
  <c r="O204" i="5" s="1"/>
  <c r="O444" i="5"/>
  <c r="O190" i="5" s="1"/>
  <c r="B402" i="8"/>
  <c r="AR9" i="42"/>
  <c r="B148" i="8"/>
  <c r="A31" i="17"/>
  <c r="AR44" i="42"/>
  <c r="D148" i="8"/>
  <c r="G148" i="8"/>
  <c r="I148" i="8"/>
  <c r="C95" i="8"/>
  <c r="AD7" i="42"/>
  <c r="AD9" i="42"/>
  <c r="E104" i="19"/>
  <c r="B95" i="8"/>
  <c r="D78" i="8"/>
  <c r="C25" i="16" s="1"/>
  <c r="C10" i="16" s="1"/>
  <c r="C245" i="15" s="1"/>
  <c r="G299" i="45"/>
  <c r="G304" i="45" s="1"/>
  <c r="N228" i="6"/>
  <c r="N389" i="6"/>
  <c r="N612" i="6"/>
  <c r="N454" i="5"/>
  <c r="N204" i="5" s="1"/>
  <c r="N444" i="5"/>
  <c r="N190" i="5" s="1"/>
  <c r="M228" i="6"/>
  <c r="M389" i="6"/>
  <c r="M612" i="6"/>
  <c r="M454" i="5"/>
  <c r="M204" i="5" s="1"/>
  <c r="M444" i="5"/>
  <c r="M190" i="5" s="1"/>
  <c r="L228" i="6"/>
  <c r="L389" i="6"/>
  <c r="L612" i="6"/>
  <c r="L454" i="5"/>
  <c r="L204" i="5" s="1"/>
  <c r="L444" i="5"/>
  <c r="L190" i="5" s="1"/>
  <c r="K228" i="6"/>
  <c r="K389" i="6"/>
  <c r="K612" i="6"/>
  <c r="K454" i="5"/>
  <c r="K204" i="5" s="1"/>
  <c r="K444" i="5"/>
  <c r="K190" i="5" s="1"/>
  <c r="J228" i="6"/>
  <c r="J389" i="6"/>
  <c r="J612" i="6"/>
  <c r="J454" i="5"/>
  <c r="J204" i="5" s="1"/>
  <c r="J444" i="5"/>
  <c r="J190" i="5" s="1"/>
  <c r="I228" i="6"/>
  <c r="I389" i="6"/>
  <c r="I612" i="6"/>
  <c r="I454" i="5"/>
  <c r="I204" i="5" s="1"/>
  <c r="I444" i="5"/>
  <c r="I190" i="5" s="1"/>
  <c r="G228" i="6"/>
  <c r="G389" i="6"/>
  <c r="G612" i="6"/>
  <c r="G454" i="5"/>
  <c r="G204" i="5" s="1"/>
  <c r="G444" i="5"/>
  <c r="D228" i="6"/>
  <c r="D389" i="6"/>
  <c r="D612" i="6"/>
  <c r="D454" i="5"/>
  <c r="D204" i="5" s="1"/>
  <c r="D444" i="5"/>
  <c r="C132" i="11"/>
  <c r="C135" i="5"/>
  <c r="A110" i="40"/>
  <c r="A116" i="40"/>
  <c r="O616" i="6"/>
  <c r="O615" i="6"/>
  <c r="O1010" i="6"/>
  <c r="O1011" i="6"/>
  <c r="O231" i="6"/>
  <c r="O272" i="6"/>
  <c r="M56" i="12"/>
  <c r="M57" i="12" s="1"/>
  <c r="O1077" i="6"/>
  <c r="O287" i="6" s="1"/>
  <c r="O351" i="6"/>
  <c r="O353" i="6"/>
  <c r="O521" i="6"/>
  <c r="O688" i="6"/>
  <c r="O689" i="6"/>
  <c r="O744" i="6"/>
  <c r="O561" i="6"/>
  <c r="O558" i="6"/>
  <c r="O559" i="6"/>
  <c r="O560" i="6"/>
  <c r="O390" i="6"/>
  <c r="O391" i="6"/>
  <c r="O392" i="6"/>
  <c r="O393" i="6"/>
  <c r="N616" i="6"/>
  <c r="N615" i="6"/>
  <c r="N1010" i="6"/>
  <c r="N1011" i="6"/>
  <c r="N231" i="6"/>
  <c r="N272" i="6"/>
  <c r="N1077" i="6"/>
  <c r="N287" i="6" s="1"/>
  <c r="N351" i="6"/>
  <c r="N353" i="6"/>
  <c r="N521" i="6"/>
  <c r="N688" i="6"/>
  <c r="N689" i="6"/>
  <c r="N744" i="6"/>
  <c r="N561" i="6"/>
  <c r="N558" i="6"/>
  <c r="N559" i="6"/>
  <c r="N560" i="6"/>
  <c r="N390" i="6"/>
  <c r="N391" i="6"/>
  <c r="N392" i="6"/>
  <c r="N393" i="6"/>
  <c r="M616" i="6"/>
  <c r="M615" i="6"/>
  <c r="M1010" i="6"/>
  <c r="M1011" i="6"/>
  <c r="M231" i="6"/>
  <c r="M272" i="6"/>
  <c r="M1077" i="6"/>
  <c r="M287" i="6" s="1"/>
  <c r="M351" i="6"/>
  <c r="M353" i="6"/>
  <c r="M521" i="6"/>
  <c r="M688" i="6"/>
  <c r="M689" i="6"/>
  <c r="M744" i="6"/>
  <c r="M561" i="6"/>
  <c r="M558" i="6"/>
  <c r="M559" i="6"/>
  <c r="M560" i="6"/>
  <c r="M390" i="6"/>
  <c r="M391" i="6"/>
  <c r="M392" i="6"/>
  <c r="M393" i="6"/>
  <c r="L616" i="6"/>
  <c r="L615" i="6"/>
  <c r="L1010" i="6"/>
  <c r="L1011" i="6"/>
  <c r="L231" i="6"/>
  <c r="L272" i="6"/>
  <c r="L1077" i="6"/>
  <c r="L287" i="6" s="1"/>
  <c r="L351" i="6"/>
  <c r="L353" i="6"/>
  <c r="L521" i="6"/>
  <c r="L688" i="6"/>
  <c r="L689" i="6"/>
  <c r="L744" i="6"/>
  <c r="L561" i="6"/>
  <c r="L558" i="6"/>
  <c r="L559" i="6"/>
  <c r="L560" i="6"/>
  <c r="L390" i="6"/>
  <c r="L391" i="6"/>
  <c r="L392" i="6"/>
  <c r="L393" i="6"/>
  <c r="K616" i="6"/>
  <c r="K615" i="6"/>
  <c r="K1010" i="6"/>
  <c r="K1011" i="6"/>
  <c r="K231" i="6"/>
  <c r="K272" i="6"/>
  <c r="K1077" i="6"/>
  <c r="K287" i="6" s="1"/>
  <c r="K353" i="6"/>
  <c r="K351" i="6"/>
  <c r="K521" i="6"/>
  <c r="K688" i="6"/>
  <c r="K689" i="6"/>
  <c r="K744" i="6"/>
  <c r="K561" i="6"/>
  <c r="K558" i="6"/>
  <c r="K559" i="6"/>
  <c r="K560" i="6"/>
  <c r="K390" i="6"/>
  <c r="K391" i="6"/>
  <c r="K392" i="6"/>
  <c r="K393" i="6"/>
  <c r="J616" i="6"/>
  <c r="J615" i="6"/>
  <c r="J1010" i="6"/>
  <c r="J1011" i="6"/>
  <c r="J231" i="6"/>
  <c r="J272" i="6"/>
  <c r="J1077" i="6"/>
  <c r="J287" i="6" s="1"/>
  <c r="J353" i="6"/>
  <c r="J351" i="6"/>
  <c r="J521" i="6"/>
  <c r="J688" i="6"/>
  <c r="J689" i="6"/>
  <c r="J744" i="6"/>
  <c r="J561" i="6"/>
  <c r="J558" i="6"/>
  <c r="J559" i="6"/>
  <c r="J560" i="6"/>
  <c r="J390" i="6"/>
  <c r="J391" i="6"/>
  <c r="J392" i="6"/>
  <c r="J393" i="6"/>
  <c r="I616" i="6"/>
  <c r="I615" i="6"/>
  <c r="I115" i="6"/>
  <c r="I1010" i="6"/>
  <c r="I1011" i="6"/>
  <c r="I231" i="6"/>
  <c r="I272" i="6"/>
  <c r="I1077" i="6"/>
  <c r="I287" i="6" s="1"/>
  <c r="I353" i="6"/>
  <c r="I351" i="6"/>
  <c r="I521" i="6"/>
  <c r="I688" i="6"/>
  <c r="I689" i="6"/>
  <c r="I744" i="6"/>
  <c r="I561" i="6"/>
  <c r="I558" i="6"/>
  <c r="I559" i="6"/>
  <c r="I560" i="6"/>
  <c r="I390" i="6"/>
  <c r="I391" i="6"/>
  <c r="I392" i="6"/>
  <c r="I393" i="6"/>
  <c r="G616" i="6"/>
  <c r="G615" i="6"/>
  <c r="G115" i="6"/>
  <c r="G175" i="6"/>
  <c r="G1012" i="6"/>
  <c r="G1010" i="6"/>
  <c r="G1011" i="6"/>
  <c r="G272" i="6"/>
  <c r="G1077" i="6"/>
  <c r="G287" i="6" s="1"/>
  <c r="G353" i="6"/>
  <c r="G339" i="6"/>
  <c r="G351" i="6"/>
  <c r="G1372" i="6"/>
  <c r="G1370" i="6"/>
  <c r="G1458" i="6"/>
  <c r="G1459" i="6"/>
  <c r="G1639" i="6"/>
  <c r="G521" i="6" s="1"/>
  <c r="G688" i="6"/>
  <c r="G689" i="6"/>
  <c r="G744" i="6"/>
  <c r="G1198" i="6"/>
  <c r="G561" i="6"/>
  <c r="G558" i="6"/>
  <c r="G559" i="6"/>
  <c r="G560" i="6"/>
  <c r="G390" i="6"/>
  <c r="G391" i="6"/>
  <c r="G392" i="6"/>
  <c r="G393" i="6"/>
  <c r="D616" i="6"/>
  <c r="D615" i="6"/>
  <c r="D102" i="6"/>
  <c r="D103" i="6"/>
  <c r="D115" i="6"/>
  <c r="D176" i="6"/>
  <c r="D1012" i="6"/>
  <c r="D1013" i="6"/>
  <c r="D232" i="6" s="1"/>
  <c r="D207" i="6"/>
  <c r="D214" i="6"/>
  <c r="D215" i="6"/>
  <c r="D272" i="6"/>
  <c r="D271" i="6"/>
  <c r="D287" i="6"/>
  <c r="D353" i="6"/>
  <c r="D337" i="6"/>
  <c r="D338" i="6"/>
  <c r="D339" i="6"/>
  <c r="D464" i="6"/>
  <c r="D449" i="6"/>
  <c r="D1497" i="6"/>
  <c r="D1505" i="6"/>
  <c r="D1639" i="6"/>
  <c r="D521" i="6" s="1"/>
  <c r="D522" i="6"/>
  <c r="D688" i="6"/>
  <c r="D689" i="6"/>
  <c r="D723" i="6"/>
  <c r="D725" i="6"/>
  <c r="D730" i="6"/>
  <c r="D2029" i="6"/>
  <c r="B46" i="58" s="1"/>
  <c r="D744" i="6"/>
  <c r="D1003" i="6"/>
  <c r="D1137" i="6"/>
  <c r="D2020" i="6"/>
  <c r="D1198" i="6"/>
  <c r="D561" i="6"/>
  <c r="D558" i="6"/>
  <c r="D559" i="6"/>
  <c r="D560" i="6"/>
  <c r="D1688" i="6"/>
  <c r="D802" i="6"/>
  <c r="D390" i="6"/>
  <c r="D391" i="6"/>
  <c r="D392" i="6"/>
  <c r="D393" i="6"/>
  <c r="C615" i="6"/>
  <c r="C799" i="6"/>
  <c r="C802" i="6"/>
  <c r="C965" i="6"/>
  <c r="C1000" i="6"/>
  <c r="C1003" i="6"/>
  <c r="C1137" i="6"/>
  <c r="C1292" i="6"/>
  <c r="C1594" i="6"/>
  <c r="C1630" i="6"/>
  <c r="C1103" i="7"/>
  <c r="C2020" i="6"/>
  <c r="C1527" i="6"/>
  <c r="C1558" i="6"/>
  <c r="C1195" i="6"/>
  <c r="C1198" i="6"/>
  <c r="C1688" i="6"/>
  <c r="C1657" i="6"/>
  <c r="C1685" i="6"/>
  <c r="C392" i="6"/>
  <c r="C393" i="6"/>
  <c r="C1227" i="6"/>
  <c r="B347" i="42" s="1"/>
  <c r="C1392" i="6"/>
  <c r="B584" i="6"/>
  <c r="B587" i="6"/>
  <c r="B616" i="6"/>
  <c r="B612" i="6"/>
  <c r="B615" i="6"/>
  <c r="B92" i="6"/>
  <c r="B93" i="6"/>
  <c r="B95" i="6"/>
  <c r="B98" i="6"/>
  <c r="B137" i="6"/>
  <c r="B164" i="6" s="1"/>
  <c r="B102" i="6"/>
  <c r="B103" i="6"/>
  <c r="B115" i="6"/>
  <c r="B175" i="6"/>
  <c r="B232" i="6"/>
  <c r="B201" i="6"/>
  <c r="B207" i="6"/>
  <c r="B208" i="6"/>
  <c r="B209" i="6"/>
  <c r="B210" i="6"/>
  <c r="B211" i="6"/>
  <c r="B214" i="6"/>
  <c r="B215" i="6"/>
  <c r="B228" i="6"/>
  <c r="B262" i="6"/>
  <c r="B263" i="6"/>
  <c r="B264" i="6"/>
  <c r="B272" i="6"/>
  <c r="B2075" i="6" s="1"/>
  <c r="A31" i="13" s="1"/>
  <c r="B271" i="6"/>
  <c r="B287" i="6"/>
  <c r="B320" i="6"/>
  <c r="B321" i="6"/>
  <c r="B325" i="6"/>
  <c r="B326" i="6"/>
  <c r="B327" i="6"/>
  <c r="B331" i="6"/>
  <c r="B330" i="6" s="1"/>
  <c r="B337" i="6"/>
  <c r="B338" i="6"/>
  <c r="B339" i="6"/>
  <c r="B351" i="6"/>
  <c r="B423" i="6"/>
  <c r="B432" i="6"/>
  <c r="B433" i="6"/>
  <c r="B445" i="6"/>
  <c r="B449" i="6"/>
  <c r="B455" i="6" s="1"/>
  <c r="B521" i="6"/>
  <c r="B522" i="6"/>
  <c r="B745" i="6"/>
  <c r="B767" i="6"/>
  <c r="B799" i="6"/>
  <c r="B802" i="6"/>
  <c r="B1000" i="6"/>
  <c r="B1003" i="6"/>
  <c r="B1033" i="6"/>
  <c r="B1100" i="6"/>
  <c r="B1137" i="6"/>
  <c r="B1292" i="6"/>
  <c r="B1594" i="6"/>
  <c r="B1630" i="6"/>
  <c r="B1799" i="6"/>
  <c r="B2020" i="6"/>
  <c r="B1527" i="6"/>
  <c r="B1558" i="6"/>
  <c r="B1168" i="6"/>
  <c r="B1195" i="6"/>
  <c r="B1198" i="6"/>
  <c r="B561" i="6"/>
  <c r="B546" i="6"/>
  <c r="B542" i="6"/>
  <c r="B558" i="6"/>
  <c r="B559" i="6"/>
  <c r="B560" i="6"/>
  <c r="B1688" i="6"/>
  <c r="B1657" i="6"/>
  <c r="B1685" i="6"/>
  <c r="B376" i="6"/>
  <c r="B377" i="6"/>
  <c r="B378" i="6"/>
  <c r="B389" i="6"/>
  <c r="B390" i="6"/>
  <c r="B392" i="6"/>
  <c r="B393" i="6"/>
  <c r="B1227" i="6"/>
  <c r="C766" i="34" s="1"/>
  <c r="B1392" i="6"/>
  <c r="B135" i="8"/>
  <c r="B308" i="7"/>
  <c r="B300" i="7"/>
  <c r="B301" i="7"/>
  <c r="B302" i="7"/>
  <c r="B306" i="7"/>
  <c r="B305" i="7"/>
  <c r="B307" i="7"/>
  <c r="B309" i="7"/>
  <c r="B312" i="7"/>
  <c r="B314" i="7"/>
  <c r="B313" i="7"/>
  <c r="B317" i="7"/>
  <c r="B318" i="7"/>
  <c r="B365" i="7"/>
  <c r="B371" i="7"/>
  <c r="B372" i="7"/>
  <c r="B378" i="7"/>
  <c r="B379" i="7"/>
  <c r="B386" i="7"/>
  <c r="B74" i="7"/>
  <c r="B76" i="7"/>
  <c r="B77" i="7"/>
  <c r="B85" i="7"/>
  <c r="B87" i="7"/>
  <c r="B92" i="7"/>
  <c r="B80" i="7"/>
  <c r="B82" i="7"/>
  <c r="B81" i="7"/>
  <c r="B216" i="7"/>
  <c r="B217" i="7"/>
  <c r="B218" i="7"/>
  <c r="B219" i="7"/>
  <c r="B220" i="7"/>
  <c r="B257" i="7"/>
  <c r="B193" i="5"/>
  <c r="B183" i="5"/>
  <c r="B186" i="5"/>
  <c r="B60" i="5"/>
  <c r="B61" i="5"/>
  <c r="B62" i="5"/>
  <c r="B95" i="5"/>
  <c r="B96" i="5"/>
  <c r="B97" i="5"/>
  <c r="B135" i="5"/>
  <c r="B136" i="5"/>
  <c r="B137" i="5"/>
  <c r="B140" i="5"/>
  <c r="B146" i="5"/>
  <c r="B720" i="4"/>
  <c r="A97" i="13"/>
  <c r="A55" i="13" s="1"/>
  <c r="D108" i="11"/>
  <c r="E108" i="11" s="1"/>
  <c r="G108" i="11" s="1"/>
  <c r="H108" i="11" s="1"/>
  <c r="J108" i="11" s="1"/>
  <c r="K108" i="11" s="1"/>
  <c r="M108" i="11" s="1"/>
  <c r="N108" i="11" s="1"/>
  <c r="P108" i="11" s="1"/>
  <c r="Q108" i="11" s="1"/>
  <c r="S108" i="11" s="1"/>
  <c r="T108" i="11" s="1"/>
  <c r="V108" i="11" s="1"/>
  <c r="W108" i="11" s="1"/>
  <c r="Y108" i="11" s="1"/>
  <c r="Z108" i="11" s="1"/>
  <c r="AB108" i="11" s="1"/>
  <c r="AC108" i="11" s="1"/>
  <c r="AE108" i="11" s="1"/>
  <c r="AF108" i="11" s="1"/>
  <c r="AH108" i="11" s="1"/>
  <c r="AI108" i="11" s="1"/>
  <c r="AK108" i="11" s="1"/>
  <c r="D118" i="11"/>
  <c r="E118" i="11" s="1"/>
  <c r="D74" i="11"/>
  <c r="E74" i="11" s="1"/>
  <c r="G74" i="11" s="1"/>
  <c r="H74" i="11" s="1"/>
  <c r="J74" i="11" s="1"/>
  <c r="K74" i="11" s="1"/>
  <c r="M74" i="11" s="1"/>
  <c r="N74" i="11" s="1"/>
  <c r="P74" i="11" s="1"/>
  <c r="Q74" i="11" s="1"/>
  <c r="S74" i="11" s="1"/>
  <c r="T74" i="11" s="1"/>
  <c r="V74" i="11" s="1"/>
  <c r="W74" i="11" s="1"/>
  <c r="Y74" i="11" s="1"/>
  <c r="Z74" i="11" s="1"/>
  <c r="AB74" i="11" s="1"/>
  <c r="AC74" i="11" s="1"/>
  <c r="C183" i="5"/>
  <c r="C60" i="5"/>
  <c r="C95" i="5"/>
  <c r="D193" i="5"/>
  <c r="C40" i="13"/>
  <c r="D759" i="34"/>
  <c r="D760" i="34"/>
  <c r="Z26" i="14"/>
  <c r="Y26" i="14"/>
  <c r="X26" i="14"/>
  <c r="W26" i="14"/>
  <c r="V26" i="14"/>
  <c r="U26" i="14"/>
  <c r="T26" i="14"/>
  <c r="S26" i="14"/>
  <c r="R26" i="14"/>
  <c r="Q26" i="14"/>
  <c r="P26" i="14"/>
  <c r="O26" i="14"/>
  <c r="N26" i="14"/>
  <c r="M26" i="14"/>
  <c r="L26" i="14"/>
  <c r="K26" i="14"/>
  <c r="I26" i="14"/>
  <c r="H26" i="14"/>
  <c r="G26" i="14"/>
  <c r="E26" i="14"/>
  <c r="T10" i="37"/>
  <c r="S10" i="37"/>
  <c r="R10" i="37"/>
  <c r="Q10" i="37"/>
  <c r="P10" i="37"/>
  <c r="O10" i="37"/>
  <c r="A225" i="42"/>
  <c r="A224" i="42"/>
  <c r="A223" i="42"/>
  <c r="A221" i="42"/>
  <c r="A220" i="42"/>
  <c r="A219" i="42"/>
  <c r="A217" i="42"/>
  <c r="A215" i="42"/>
  <c r="A214" i="42"/>
  <c r="A213" i="42"/>
  <c r="A212" i="42"/>
  <c r="A210" i="42"/>
  <c r="A209" i="42"/>
  <c r="F116" i="40"/>
  <c r="H89" i="10" s="1"/>
  <c r="F110" i="40"/>
  <c r="AA7" i="11"/>
  <c r="X7" i="11"/>
  <c r="U7" i="11"/>
  <c r="R7" i="11"/>
  <c r="O7" i="11"/>
  <c r="L26" i="11"/>
  <c r="L7" i="11"/>
  <c r="F127" i="40"/>
  <c r="I101" i="11"/>
  <c r="I7" i="11"/>
  <c r="E116" i="40"/>
  <c r="E83" i="10" s="1"/>
  <c r="G83" i="10" s="1"/>
  <c r="E110" i="40"/>
  <c r="E127" i="40"/>
  <c r="F26" i="11"/>
  <c r="F101" i="11"/>
  <c r="F7" i="11"/>
  <c r="B116" i="40"/>
  <c r="B89" i="10" s="1"/>
  <c r="C26" i="11"/>
  <c r="C101" i="11"/>
  <c r="C7" i="11"/>
  <c r="B127" i="40"/>
  <c r="G14" i="1"/>
  <c r="F31" i="34" s="1"/>
  <c r="AX15" i="21"/>
  <c r="AX68" i="21" s="1"/>
  <c r="AT15" i="21"/>
  <c r="AP15" i="21"/>
  <c r="AL68" i="21"/>
  <c r="AH15" i="21"/>
  <c r="G72" i="16"/>
  <c r="AE9" i="42"/>
  <c r="B72" i="15" s="1"/>
  <c r="C55" i="8"/>
  <c r="C60" i="8"/>
  <c r="C62" i="8"/>
  <c r="D23" i="19"/>
  <c r="D47" i="19" s="1"/>
  <c r="D24" i="19"/>
  <c r="D52" i="19" s="1"/>
  <c r="D25" i="19"/>
  <c r="D57" i="19" s="1"/>
  <c r="D26" i="19"/>
  <c r="D62" i="19" s="1"/>
  <c r="D27" i="19"/>
  <c r="D67" i="19" s="1"/>
  <c r="H72" i="16"/>
  <c r="D28" i="19"/>
  <c r="D72" i="19" s="1"/>
  <c r="D29" i="19"/>
  <c r="D77" i="19" s="1"/>
  <c r="D30" i="19"/>
  <c r="D82" i="19" s="1"/>
  <c r="F65" i="1"/>
  <c r="C59" i="14"/>
  <c r="C108" i="14"/>
  <c r="C1076" i="6"/>
  <c r="C286" i="6" s="1"/>
  <c r="F92" i="14"/>
  <c r="E37" i="14"/>
  <c r="B1181" i="7"/>
  <c r="F203" i="3"/>
  <c r="J165" i="14"/>
  <c r="B276" i="7"/>
  <c r="L24" i="37"/>
  <c r="AU70" i="37" s="1"/>
  <c r="AU35" i="37" s="1"/>
  <c r="G127" i="40"/>
  <c r="H127" i="40"/>
  <c r="I127" i="40"/>
  <c r="J127" i="40"/>
  <c r="K127" i="40"/>
  <c r="L127" i="40"/>
  <c r="C97" i="5"/>
  <c r="M373" i="8"/>
  <c r="C193" i="5"/>
  <c r="C198" i="5" s="1"/>
  <c r="C61" i="5"/>
  <c r="C96" i="5"/>
  <c r="C140" i="5"/>
  <c r="C146" i="5"/>
  <c r="C73" i="5"/>
  <c r="C108" i="5"/>
  <c r="C157" i="5"/>
  <c r="T9" i="37"/>
  <c r="S9" i="37"/>
  <c r="R9" i="37"/>
  <c r="Q9" i="37"/>
  <c r="P9" i="37"/>
  <c r="O9" i="37"/>
  <c r="E69" i="37"/>
  <c r="H48" i="37"/>
  <c r="H50" i="37" s="1"/>
  <c r="S25" i="37"/>
  <c r="B4" i="37"/>
  <c r="C2" i="37" s="1"/>
  <c r="AT71" i="37"/>
  <c r="N9" i="37"/>
  <c r="M9" i="37"/>
  <c r="AV51" i="37" s="1"/>
  <c r="AV17" i="37" s="1"/>
  <c r="L9" i="37"/>
  <c r="AU51" i="37" s="1"/>
  <c r="AU17" i="37" s="1"/>
  <c r="AT51" i="37"/>
  <c r="AT17" i="37" s="1"/>
  <c r="AT72" i="37"/>
  <c r="AT37" i="37" s="1"/>
  <c r="G50" i="37"/>
  <c r="F50" i="37"/>
  <c r="E50" i="37"/>
  <c r="D50" i="37"/>
  <c r="C50" i="37"/>
  <c r="B50" i="37"/>
  <c r="F47" i="37"/>
  <c r="G47" i="37"/>
  <c r="H47" i="37"/>
  <c r="H65" i="37" s="1"/>
  <c r="E47" i="37"/>
  <c r="G3" i="7"/>
  <c r="I3" i="7"/>
  <c r="J3" i="7"/>
  <c r="K3" i="7"/>
  <c r="L3" i="7"/>
  <c r="M3" i="7"/>
  <c r="N3" i="7"/>
  <c r="D3" i="7"/>
  <c r="C3" i="7"/>
  <c r="B98" i="42"/>
  <c r="B73" i="5"/>
  <c r="B108" i="5"/>
  <c r="B157" i="5"/>
  <c r="B207" i="5"/>
  <c r="M26" i="37"/>
  <c r="AV72" i="37" s="1"/>
  <c r="AV37" i="37" s="1"/>
  <c r="S58" i="20"/>
  <c r="F49" i="20"/>
  <c r="F99" i="20" s="1"/>
  <c r="E49" i="20"/>
  <c r="E99" i="20" s="1"/>
  <c r="N48" i="20"/>
  <c r="E48" i="20"/>
  <c r="E98" i="20" s="1"/>
  <c r="D21" i="20"/>
  <c r="D23" i="20" s="1"/>
  <c r="F20" i="20" s="1"/>
  <c r="B554" i="8"/>
  <c r="F22" i="19"/>
  <c r="D12" i="19"/>
  <c r="D14" i="19" s="1"/>
  <c r="F11" i="19" s="1"/>
  <c r="A536" i="6"/>
  <c r="A14" i="6" s="1"/>
  <c r="A3" i="6"/>
  <c r="A1840" i="6" s="1"/>
  <c r="A1799" i="6"/>
  <c r="A196" i="6"/>
  <c r="A255" i="6"/>
  <c r="A9" i="6" s="1"/>
  <c r="A579" i="6"/>
  <c r="A1751" i="6"/>
  <c r="A1721" i="6"/>
  <c r="O73" i="5"/>
  <c r="O108" i="5"/>
  <c r="O157" i="5"/>
  <c r="O74" i="5"/>
  <c r="O109" i="5"/>
  <c r="O158" i="5"/>
  <c r="O205" i="5"/>
  <c r="O393" i="5"/>
  <c r="M225" i="3" s="1"/>
  <c r="O206" i="5"/>
  <c r="O75" i="5"/>
  <c r="O110" i="5"/>
  <c r="O76" i="5"/>
  <c r="O111" i="5"/>
  <c r="O160" i="5"/>
  <c r="O207" i="5"/>
  <c r="O77" i="5"/>
  <c r="O161" i="5"/>
  <c r="O112" i="5"/>
  <c r="O208" i="5"/>
  <c r="N73" i="5"/>
  <c r="N108" i="5"/>
  <c r="N157" i="5"/>
  <c r="N74" i="5"/>
  <c r="N109" i="5"/>
  <c r="N158" i="5"/>
  <c r="N205" i="5"/>
  <c r="N393" i="5"/>
  <c r="L225" i="3" s="1"/>
  <c r="N206" i="5"/>
  <c r="N75" i="5"/>
  <c r="N110" i="5"/>
  <c r="N76" i="5"/>
  <c r="N111" i="5"/>
  <c r="N160" i="5"/>
  <c r="N207" i="5"/>
  <c r="N161" i="5"/>
  <c r="N112" i="5"/>
  <c r="N208" i="5"/>
  <c r="M73" i="5"/>
  <c r="M108" i="5"/>
  <c r="M157" i="5"/>
  <c r="M74" i="5"/>
  <c r="M109" i="5"/>
  <c r="M158" i="5"/>
  <c r="M205" i="5"/>
  <c r="M393" i="5"/>
  <c r="K225" i="3" s="1"/>
  <c r="M206" i="5"/>
  <c r="M75" i="5"/>
  <c r="M110" i="5"/>
  <c r="M76" i="5"/>
  <c r="M111" i="5"/>
  <c r="M160" i="5"/>
  <c r="M207" i="5"/>
  <c r="M77" i="5"/>
  <c r="M161" i="5"/>
  <c r="M112" i="5"/>
  <c r="M208" i="5"/>
  <c r="L73" i="5"/>
  <c r="L108" i="5"/>
  <c r="L157" i="5"/>
  <c r="L74" i="5"/>
  <c r="L109" i="5"/>
  <c r="L158" i="5"/>
  <c r="L205" i="5"/>
  <c r="L393" i="5"/>
  <c r="J225" i="3" s="1"/>
  <c r="L206" i="5"/>
  <c r="L75" i="5"/>
  <c r="L110" i="5"/>
  <c r="L76" i="5"/>
  <c r="L111" i="5"/>
  <c r="L160" i="5"/>
  <c r="L207" i="5"/>
  <c r="L77" i="5"/>
  <c r="L161" i="5"/>
  <c r="L112" i="5"/>
  <c r="L208" i="5"/>
  <c r="K73" i="5"/>
  <c r="K108" i="5"/>
  <c r="K157" i="5"/>
  <c r="K74" i="5"/>
  <c r="K109" i="5"/>
  <c r="K158" i="5"/>
  <c r="K205" i="5"/>
  <c r="K159" i="5"/>
  <c r="K161" i="5"/>
  <c r="K160" i="5"/>
  <c r="K206" i="5"/>
  <c r="K75" i="5"/>
  <c r="K110" i="5"/>
  <c r="K76" i="5"/>
  <c r="K111" i="5"/>
  <c r="K207" i="5"/>
  <c r="K112" i="5"/>
  <c r="K208" i="5"/>
  <c r="J73" i="5"/>
  <c r="J108" i="5"/>
  <c r="J157" i="5"/>
  <c r="J74" i="5"/>
  <c r="J109" i="5"/>
  <c r="J158" i="5"/>
  <c r="J205" i="5"/>
  <c r="J159" i="5"/>
  <c r="J206" i="5"/>
  <c r="J207" i="5"/>
  <c r="J208" i="5"/>
  <c r="J75" i="5"/>
  <c r="J110" i="5"/>
  <c r="J76" i="5"/>
  <c r="J111" i="5"/>
  <c r="J160" i="5"/>
  <c r="J77" i="5"/>
  <c r="J161" i="5"/>
  <c r="J112" i="5"/>
  <c r="I73" i="5"/>
  <c r="I108" i="5"/>
  <c r="I157" i="5"/>
  <c r="I74" i="5"/>
  <c r="I109" i="5"/>
  <c r="I158" i="5"/>
  <c r="I205" i="5"/>
  <c r="I159" i="5"/>
  <c r="I161" i="5"/>
  <c r="I160" i="5"/>
  <c r="I76" i="5"/>
  <c r="I111" i="5"/>
  <c r="I207" i="5"/>
  <c r="I206" i="5"/>
  <c r="I75" i="5"/>
  <c r="I110" i="5"/>
  <c r="I77" i="5"/>
  <c r="I112" i="5"/>
  <c r="I208" i="5"/>
  <c r="G73" i="5"/>
  <c r="G108" i="5"/>
  <c r="G157" i="5"/>
  <c r="G74" i="5"/>
  <c r="G109" i="5"/>
  <c r="G158" i="5"/>
  <c r="G205" i="5"/>
  <c r="G159" i="5"/>
  <c r="G161" i="5"/>
  <c r="G77" i="5"/>
  <c r="G112" i="5"/>
  <c r="G208" i="5"/>
  <c r="G160" i="5"/>
  <c r="G206" i="5"/>
  <c r="G75" i="5"/>
  <c r="G110" i="5"/>
  <c r="G76" i="5"/>
  <c r="G111" i="5"/>
  <c r="G207" i="5"/>
  <c r="D73" i="5"/>
  <c r="D108" i="5"/>
  <c r="D157" i="5"/>
  <c r="D74" i="5"/>
  <c r="D109" i="5"/>
  <c r="D158" i="5"/>
  <c r="D205" i="5"/>
  <c r="D161" i="5"/>
  <c r="D160" i="5"/>
  <c r="D206" i="5"/>
  <c r="D75" i="5"/>
  <c r="D110" i="5"/>
  <c r="D76" i="5"/>
  <c r="D111" i="5"/>
  <c r="D207" i="5"/>
  <c r="D77" i="5"/>
  <c r="D112" i="5"/>
  <c r="D208" i="5"/>
  <c r="C74" i="5"/>
  <c r="C109" i="5"/>
  <c r="C158" i="5"/>
  <c r="C160" i="5"/>
  <c r="C161" i="5"/>
  <c r="C110" i="5"/>
  <c r="B75" i="5"/>
  <c r="B77" i="5"/>
  <c r="B74" i="5"/>
  <c r="B76" i="5"/>
  <c r="B159" i="5"/>
  <c r="B158" i="5"/>
  <c r="B110" i="5"/>
  <c r="B205" i="5"/>
  <c r="B109" i="5"/>
  <c r="I143" i="8"/>
  <c r="AS9" i="42"/>
  <c r="B103" i="15" s="1"/>
  <c r="C131" i="8"/>
  <c r="I537" i="8"/>
  <c r="I138" i="8" s="1"/>
  <c r="G537" i="8"/>
  <c r="H537" i="8" s="1"/>
  <c r="G143" i="8"/>
  <c r="H143" i="8" s="1"/>
  <c r="D97" i="5"/>
  <c r="C256" i="5"/>
  <c r="C318" i="5"/>
  <c r="C383" i="5"/>
  <c r="C450" i="5"/>
  <c r="C84" i="8"/>
  <c r="C238" i="5"/>
  <c r="C359" i="5"/>
  <c r="C416" i="5"/>
  <c r="C305" i="5"/>
  <c r="I102" i="11"/>
  <c r="I49" i="11"/>
  <c r="C102" i="11"/>
  <c r="C49" i="11"/>
  <c r="F49" i="11"/>
  <c r="M48" i="12"/>
  <c r="AB108" i="10"/>
  <c r="AA49" i="11"/>
  <c r="AB133" i="10"/>
  <c r="Y108" i="10"/>
  <c r="Y133" i="10"/>
  <c r="V108" i="10"/>
  <c r="U49" i="11"/>
  <c r="V133" i="10"/>
  <c r="O49" i="11"/>
  <c r="L49" i="11"/>
  <c r="B1103" i="7"/>
  <c r="B277" i="7"/>
  <c r="B147" i="7"/>
  <c r="B238" i="7"/>
  <c r="B107" i="7"/>
  <c r="B333" i="7"/>
  <c r="B192" i="7"/>
  <c r="O3" i="5"/>
  <c r="N3" i="5"/>
  <c r="M3" i="5"/>
  <c r="L3" i="5"/>
  <c r="K3" i="5"/>
  <c r="J3" i="5"/>
  <c r="I3" i="5"/>
  <c r="G3" i="5"/>
  <c r="D3" i="5"/>
  <c r="C3" i="5"/>
  <c r="N96" i="14"/>
  <c r="M96" i="14"/>
  <c r="L96" i="14"/>
  <c r="K96" i="14"/>
  <c r="J96" i="14"/>
  <c r="I96" i="14"/>
  <c r="H96" i="14"/>
  <c r="H152" i="14" s="1"/>
  <c r="G96" i="14"/>
  <c r="G152" i="14" s="1"/>
  <c r="F96" i="14"/>
  <c r="F152" i="14" s="1"/>
  <c r="F15" i="1"/>
  <c r="G15" i="1" s="1"/>
  <c r="C26" i="19" s="1"/>
  <c r="A123" i="14"/>
  <c r="A118" i="14"/>
  <c r="A108" i="14"/>
  <c r="R96" i="14"/>
  <c r="R152" i="14" s="1"/>
  <c r="C96" i="14"/>
  <c r="B96" i="14"/>
  <c r="E41" i="20"/>
  <c r="D57" i="20"/>
  <c r="C52" i="20"/>
  <c r="C23" i="19"/>
  <c r="I41" i="20"/>
  <c r="H41" i="20"/>
  <c r="G41" i="20"/>
  <c r="F41" i="20"/>
  <c r="G8" i="1"/>
  <c r="H621" i="7"/>
  <c r="J7" i="1"/>
  <c r="D52" i="20"/>
  <c r="G55" i="20"/>
  <c r="H55" i="20" s="1"/>
  <c r="I55" i="20" s="1"/>
  <c r="J55" i="20" s="1"/>
  <c r="K55" i="20" s="1"/>
  <c r="L55" i="20" s="1"/>
  <c r="M55" i="20" s="1"/>
  <c r="N55" i="20" s="1"/>
  <c r="O55" i="20" s="1"/>
  <c r="P55" i="20" s="1"/>
  <c r="Q55" i="20" s="1"/>
  <c r="R55" i="20" s="1"/>
  <c r="F13" i="19"/>
  <c r="H13" i="19"/>
  <c r="F12" i="19"/>
  <c r="H12" i="19"/>
  <c r="J12" i="19"/>
  <c r="C728" i="7"/>
  <c r="C755" i="7"/>
  <c r="C57" i="20"/>
  <c r="A3" i="27"/>
  <c r="B3" i="27"/>
  <c r="C3" i="27"/>
  <c r="D3" i="27"/>
  <c r="G3" i="27"/>
  <c r="I3" i="27"/>
  <c r="J3" i="27"/>
  <c r="K3" i="27"/>
  <c r="L3" i="27"/>
  <c r="M3" i="27"/>
  <c r="N3" i="27"/>
  <c r="O3" i="27"/>
  <c r="D13" i="27"/>
  <c r="D16" i="27"/>
  <c r="D18" i="27"/>
  <c r="A20" i="27"/>
  <c r="B20" i="27"/>
  <c r="C20" i="27"/>
  <c r="A51" i="27"/>
  <c r="B51" i="27"/>
  <c r="I13" i="48" s="1"/>
  <c r="B54" i="27"/>
  <c r="A54" i="27"/>
  <c r="C54" i="27"/>
  <c r="D54" i="27"/>
  <c r="A68" i="27"/>
  <c r="B10" i="26"/>
  <c r="B11" i="26"/>
  <c r="C10" i="26"/>
  <c r="D10" i="26"/>
  <c r="D11" i="26"/>
  <c r="C11" i="26"/>
  <c r="A407" i="4"/>
  <c r="A502" i="4"/>
  <c r="A689" i="4"/>
  <c r="A69" i="7"/>
  <c r="A122" i="7"/>
  <c r="A252" i="7"/>
  <c r="A464" i="4"/>
  <c r="A720" i="4"/>
  <c r="AG29" i="22"/>
  <c r="AK29" i="22"/>
  <c r="AO29" i="22"/>
  <c r="AS29" i="22"/>
  <c r="AW29" i="22"/>
  <c r="BA29" i="22"/>
  <c r="AG42" i="22"/>
  <c r="AK42" i="22"/>
  <c r="AO42" i="22"/>
  <c r="AS42" i="22"/>
  <c r="AW42" i="22"/>
  <c r="BA42" i="22"/>
  <c r="AG101" i="22"/>
  <c r="AK101" i="22"/>
  <c r="AO101" i="22"/>
  <c r="AS101" i="22"/>
  <c r="AW101" i="22"/>
  <c r="BA101" i="22"/>
  <c r="AG8" i="22"/>
  <c r="AK8" i="22"/>
  <c r="AO8" i="22"/>
  <c r="AS8" i="22"/>
  <c r="AW8" i="22"/>
  <c r="BA8" i="22"/>
  <c r="AG11" i="22"/>
  <c r="AK11" i="22"/>
  <c r="AO11" i="22"/>
  <c r="AS11" i="22"/>
  <c r="AW11" i="22"/>
  <c r="BA11" i="22"/>
  <c r="AG7" i="22"/>
  <c r="AK7" i="22"/>
  <c r="AO7" i="22"/>
  <c r="AS7" i="22"/>
  <c r="AW7" i="22"/>
  <c r="BA7" i="22"/>
  <c r="AS12" i="22"/>
  <c r="AW12" i="22"/>
  <c r="BA12" i="22"/>
  <c r="AG6" i="22"/>
  <c r="AK6" i="22"/>
  <c r="AO6" i="22"/>
  <c r="AS6" i="22"/>
  <c r="AW6" i="22"/>
  <c r="BA6" i="22"/>
  <c r="AG16" i="22"/>
  <c r="AK16" i="22"/>
  <c r="AO16" i="22"/>
  <c r="AS16" i="22"/>
  <c r="AW16" i="22"/>
  <c r="BA16" i="22"/>
  <c r="U90" i="22"/>
  <c r="A132" i="22"/>
  <c r="A134" i="22"/>
  <c r="A135" i="22"/>
  <c r="AF15" i="21"/>
  <c r="AN15" i="21"/>
  <c r="E73" i="21"/>
  <c r="F73" i="21"/>
  <c r="G73" i="21"/>
  <c r="H73" i="21"/>
  <c r="I73" i="21"/>
  <c r="J73" i="21"/>
  <c r="K73" i="21"/>
  <c r="D31" i="19"/>
  <c r="D87" i="19" s="1"/>
  <c r="L73" i="21"/>
  <c r="L81" i="21" s="1"/>
  <c r="D32" i="19"/>
  <c r="D92" i="19" s="1"/>
  <c r="M73" i="21"/>
  <c r="A81" i="21"/>
  <c r="A82" i="21"/>
  <c r="A83" i="21"/>
  <c r="AC23" i="20"/>
  <c r="B3" i="7"/>
  <c r="S28" i="20"/>
  <c r="S45" i="20" s="1"/>
  <c r="A30" i="20"/>
  <c r="A47" i="20" s="1"/>
  <c r="C24" i="19"/>
  <c r="B45" i="20"/>
  <c r="C45" i="20"/>
  <c r="S49" i="20"/>
  <c r="S54" i="20"/>
  <c r="S93" i="20"/>
  <c r="S94" i="20"/>
  <c r="F4" i="19"/>
  <c r="H4" i="19" s="1"/>
  <c r="J4" i="19" s="1"/>
  <c r="G4" i="19"/>
  <c r="I4" i="19" s="1"/>
  <c r="K4" i="19" s="1"/>
  <c r="B24" i="19"/>
  <c r="B52" i="19" s="1"/>
  <c r="E35" i="19"/>
  <c r="B39" i="19"/>
  <c r="C39" i="19"/>
  <c r="S39" i="19"/>
  <c r="A41" i="19"/>
  <c r="S42" i="19"/>
  <c r="S43" i="19"/>
  <c r="E44" i="19"/>
  <c r="F44" i="19" s="1"/>
  <c r="G44" i="19" s="1"/>
  <c r="E103" i="19"/>
  <c r="C16" i="17"/>
  <c r="D18" i="17"/>
  <c r="B31" i="17"/>
  <c r="D51" i="17"/>
  <c r="H17" i="17"/>
  <c r="G79" i="17"/>
  <c r="H79" i="17"/>
  <c r="I79" i="17"/>
  <c r="J79" i="17"/>
  <c r="K79" i="17"/>
  <c r="L79" i="17"/>
  <c r="M79" i="17"/>
  <c r="AF41" i="42"/>
  <c r="B31" i="16"/>
  <c r="C64" i="16"/>
  <c r="C17" i="16" s="1"/>
  <c r="C251" i="15" s="1"/>
  <c r="F64" i="16"/>
  <c r="F17" i="16" s="1"/>
  <c r="E251" i="15" s="1"/>
  <c r="G64" i="16"/>
  <c r="H64" i="16"/>
  <c r="I64" i="16"/>
  <c r="J64" i="16"/>
  <c r="K64" i="16"/>
  <c r="L64" i="16"/>
  <c r="M64" i="16"/>
  <c r="D203" i="15"/>
  <c r="D225" i="15"/>
  <c r="D2" i="40"/>
  <c r="B3" i="5"/>
  <c r="D2" i="12"/>
  <c r="C48" i="5"/>
  <c r="B100" i="13" s="1"/>
  <c r="D48" i="5"/>
  <c r="C100" i="13" s="1"/>
  <c r="C93" i="13" s="1"/>
  <c r="G48" i="5"/>
  <c r="E100" i="13" s="1"/>
  <c r="I48" i="5"/>
  <c r="F100" i="13" s="1"/>
  <c r="J48" i="5"/>
  <c r="G100" i="13" s="1"/>
  <c r="K48" i="5"/>
  <c r="H100" i="13" s="1"/>
  <c r="L48" i="5"/>
  <c r="I100" i="13" s="1"/>
  <c r="M48" i="5"/>
  <c r="J100" i="13" s="1"/>
  <c r="N48" i="5"/>
  <c r="K100" i="13" s="1"/>
  <c r="O48" i="5"/>
  <c r="L100" i="13" s="1"/>
  <c r="D102" i="13"/>
  <c r="D104" i="13"/>
  <c r="A125" i="13"/>
  <c r="B125" i="13"/>
  <c r="D138" i="13"/>
  <c r="B2" i="11"/>
  <c r="B83" i="11" s="1"/>
  <c r="E2" i="11"/>
  <c r="E83" i="11" s="1"/>
  <c r="H2" i="11"/>
  <c r="H83" i="11" s="1"/>
  <c r="K2" i="11"/>
  <c r="K83" i="11" s="1"/>
  <c r="N2" i="11"/>
  <c r="N83" i="11" s="1"/>
  <c r="Q2" i="11"/>
  <c r="Q83" i="11" s="1"/>
  <c r="T2" i="11"/>
  <c r="T83" i="11" s="1"/>
  <c r="W2" i="11"/>
  <c r="W83" i="11" s="1"/>
  <c r="Z83" i="11"/>
  <c r="D84" i="11"/>
  <c r="A7" i="11"/>
  <c r="R49" i="11"/>
  <c r="X49" i="11"/>
  <c r="C76" i="11"/>
  <c r="F76" i="11"/>
  <c r="I76" i="11"/>
  <c r="L76" i="11"/>
  <c r="O76" i="11"/>
  <c r="R76" i="11"/>
  <c r="U76" i="11"/>
  <c r="X76" i="11"/>
  <c r="AA76" i="11"/>
  <c r="C83" i="11"/>
  <c r="D83" i="11"/>
  <c r="F83" i="11"/>
  <c r="G83" i="11"/>
  <c r="I83" i="11"/>
  <c r="J83" i="11"/>
  <c r="L83" i="11"/>
  <c r="M83" i="11"/>
  <c r="O83" i="11"/>
  <c r="P83" i="11"/>
  <c r="R83" i="11"/>
  <c r="S83" i="11"/>
  <c r="U83" i="11"/>
  <c r="V83" i="11"/>
  <c r="X83" i="11"/>
  <c r="Y83" i="11"/>
  <c r="AA83" i="11"/>
  <c r="AB83" i="11"/>
  <c r="F102" i="11"/>
  <c r="L102" i="11"/>
  <c r="O102" i="11"/>
  <c r="R102" i="11"/>
  <c r="U102" i="11"/>
  <c r="X102" i="11"/>
  <c r="AA102" i="11"/>
  <c r="C109" i="11"/>
  <c r="F109" i="11"/>
  <c r="I109" i="11"/>
  <c r="L109" i="11"/>
  <c r="O109" i="11"/>
  <c r="R109" i="11"/>
  <c r="U109" i="11"/>
  <c r="X109" i="11"/>
  <c r="AA109" i="11"/>
  <c r="C113" i="11"/>
  <c r="I113" i="11"/>
  <c r="L113" i="11"/>
  <c r="O113" i="11"/>
  <c r="R113" i="11"/>
  <c r="U113" i="11"/>
  <c r="X113" i="11"/>
  <c r="AA113" i="11"/>
  <c r="I125" i="11"/>
  <c r="L125" i="11"/>
  <c r="O125" i="11"/>
  <c r="R125" i="11"/>
  <c r="U125" i="11"/>
  <c r="X125" i="11"/>
  <c r="AA125" i="11"/>
  <c r="L129" i="11"/>
  <c r="O129" i="11"/>
  <c r="R129" i="11"/>
  <c r="U129" i="11"/>
  <c r="X129" i="11"/>
  <c r="AA129" i="11"/>
  <c r="T2" i="10"/>
  <c r="T108" i="10" s="1"/>
  <c r="T200" i="10" s="1"/>
  <c r="W2" i="10"/>
  <c r="W108" i="10" s="1"/>
  <c r="W200" i="10" s="1"/>
  <c r="Z2" i="10"/>
  <c r="Z108" i="10" s="1"/>
  <c r="Z200" i="10" s="1"/>
  <c r="U108" i="10"/>
  <c r="X108" i="10"/>
  <c r="AA108" i="10"/>
  <c r="T133" i="10"/>
  <c r="U133" i="10"/>
  <c r="W133" i="10"/>
  <c r="X133" i="10"/>
  <c r="Z133" i="10"/>
  <c r="AA133" i="10"/>
  <c r="A3" i="8"/>
  <c r="A50" i="8"/>
  <c r="A28" i="8"/>
  <c r="A29" i="8"/>
  <c r="A30" i="8"/>
  <c r="A31" i="8"/>
  <c r="A32" i="8"/>
  <c r="J143" i="8"/>
  <c r="K143" i="8"/>
  <c r="L143" i="8"/>
  <c r="M143" i="8"/>
  <c r="N143" i="8"/>
  <c r="O143" i="8"/>
  <c r="A201" i="8"/>
  <c r="B201" i="8"/>
  <c r="A347" i="8"/>
  <c r="D347" i="8"/>
  <c r="C347" i="8"/>
  <c r="B347" i="8"/>
  <c r="A402" i="8"/>
  <c r="F566" i="8"/>
  <c r="F576" i="8" s="1"/>
  <c r="F594" i="8" s="1"/>
  <c r="F567" i="8"/>
  <c r="F577" i="8" s="1"/>
  <c r="F595" i="8" s="1"/>
  <c r="A3" i="7"/>
  <c r="F1199" i="7"/>
  <c r="B104" i="7"/>
  <c r="B189" i="7"/>
  <c r="B235" i="7"/>
  <c r="B274" i="7"/>
  <c r="B275" i="7"/>
  <c r="B144" i="7"/>
  <c r="D534" i="7"/>
  <c r="D104" i="7" s="1"/>
  <c r="D274" i="7"/>
  <c r="D189" i="7"/>
  <c r="D190" i="7"/>
  <c r="D191" i="7"/>
  <c r="D192" i="7"/>
  <c r="D144" i="7"/>
  <c r="D235" i="7"/>
  <c r="G534" i="7"/>
  <c r="G104" i="7" s="1"/>
  <c r="G274" i="7"/>
  <c r="G189" i="7"/>
  <c r="G144" i="7"/>
  <c r="G235" i="7"/>
  <c r="I534" i="7"/>
  <c r="I104" i="7" s="1"/>
  <c r="I189" i="7"/>
  <c r="I144" i="7"/>
  <c r="I235" i="7"/>
  <c r="J534" i="7"/>
  <c r="J104" i="7" s="1"/>
  <c r="J189" i="7"/>
  <c r="J144" i="7"/>
  <c r="J235" i="7"/>
  <c r="K189" i="7"/>
  <c r="K144" i="7"/>
  <c r="K235" i="7"/>
  <c r="L189" i="7"/>
  <c r="L144" i="7"/>
  <c r="L235" i="7"/>
  <c r="M189" i="7"/>
  <c r="M144" i="7"/>
  <c r="M235" i="7"/>
  <c r="N189" i="7"/>
  <c r="N144" i="7"/>
  <c r="N235" i="7"/>
  <c r="O189" i="7"/>
  <c r="O144" i="7"/>
  <c r="O235" i="7"/>
  <c r="B105" i="7"/>
  <c r="B190" i="7"/>
  <c r="B236" i="7"/>
  <c r="B237" i="7"/>
  <c r="B145" i="7"/>
  <c r="D105" i="7"/>
  <c r="D331" i="7"/>
  <c r="D275" i="7"/>
  <c r="D145" i="7"/>
  <c r="D236" i="7"/>
  <c r="G105" i="7"/>
  <c r="G106" i="7"/>
  <c r="G107" i="7"/>
  <c r="G865" i="7"/>
  <c r="G331" i="7" s="1"/>
  <c r="G275" i="7"/>
  <c r="G145" i="7"/>
  <c r="G236" i="7"/>
  <c r="G190" i="7"/>
  <c r="I106" i="7"/>
  <c r="I107" i="7"/>
  <c r="I865" i="7"/>
  <c r="I331" i="7" s="1"/>
  <c r="I275" i="7"/>
  <c r="I145" i="7"/>
  <c r="I236" i="7"/>
  <c r="I190" i="7"/>
  <c r="J865" i="7"/>
  <c r="J331" i="7" s="1"/>
  <c r="J275" i="7"/>
  <c r="J145" i="7"/>
  <c r="J236" i="7"/>
  <c r="J190" i="7"/>
  <c r="K535" i="7"/>
  <c r="K105" i="7" s="1"/>
  <c r="K865" i="7"/>
  <c r="K331" i="7" s="1"/>
  <c r="K275" i="7"/>
  <c r="K145" i="7"/>
  <c r="K236" i="7"/>
  <c r="K190" i="7"/>
  <c r="L535" i="7"/>
  <c r="L105" i="7" s="1"/>
  <c r="L865" i="7"/>
  <c r="L331" i="7" s="1"/>
  <c r="L275" i="7"/>
  <c r="L145" i="7"/>
  <c r="L236" i="7"/>
  <c r="L190" i="7"/>
  <c r="M865" i="7"/>
  <c r="M331" i="7" s="1"/>
  <c r="M275" i="7"/>
  <c r="M145" i="7"/>
  <c r="M236" i="7"/>
  <c r="M190" i="7"/>
  <c r="N535" i="7"/>
  <c r="N105" i="7" s="1"/>
  <c r="N865" i="7"/>
  <c r="N331" i="7" s="1"/>
  <c r="N275" i="7"/>
  <c r="N145" i="7"/>
  <c r="N236" i="7"/>
  <c r="N190" i="7"/>
  <c r="O535" i="7"/>
  <c r="O105" i="7" s="1"/>
  <c r="O865" i="7"/>
  <c r="O331" i="7" s="1"/>
  <c r="O275" i="7"/>
  <c r="O145" i="7"/>
  <c r="O236" i="7"/>
  <c r="O190" i="7"/>
  <c r="B146" i="7"/>
  <c r="B106" i="7"/>
  <c r="B191" i="7"/>
  <c r="D1066" i="7"/>
  <c r="D276" i="7"/>
  <c r="D146" i="7"/>
  <c r="D237" i="7"/>
  <c r="D106" i="7"/>
  <c r="G1066" i="7"/>
  <c r="G146" i="7"/>
  <c r="G237" i="7"/>
  <c r="G276" i="7"/>
  <c r="G191" i="7"/>
  <c r="I1066" i="7"/>
  <c r="I146" i="7"/>
  <c r="I237" i="7"/>
  <c r="I276" i="7"/>
  <c r="I191" i="7"/>
  <c r="J1066" i="7"/>
  <c r="J146" i="7"/>
  <c r="J237" i="7"/>
  <c r="J106" i="7"/>
  <c r="J276" i="7"/>
  <c r="J191" i="7"/>
  <c r="K1066" i="7"/>
  <c r="K146" i="7"/>
  <c r="K237" i="7"/>
  <c r="K106" i="7"/>
  <c r="K276" i="7"/>
  <c r="K191" i="7"/>
  <c r="L1066" i="7"/>
  <c r="L146" i="7"/>
  <c r="L237" i="7"/>
  <c r="L106" i="7"/>
  <c r="L276" i="7"/>
  <c r="L191" i="7"/>
  <c r="M1066" i="7"/>
  <c r="M146" i="7"/>
  <c r="M237" i="7"/>
  <c r="M106" i="7"/>
  <c r="M276" i="7"/>
  <c r="M191" i="7"/>
  <c r="N1066" i="7"/>
  <c r="N146" i="7"/>
  <c r="N237" i="7"/>
  <c r="N106" i="7"/>
  <c r="N276" i="7"/>
  <c r="N191" i="7"/>
  <c r="O1066" i="7"/>
  <c r="O146" i="7"/>
  <c r="O237" i="7"/>
  <c r="O106" i="7"/>
  <c r="O276" i="7"/>
  <c r="O191" i="7"/>
  <c r="D147" i="7"/>
  <c r="D238" i="7"/>
  <c r="D107" i="7"/>
  <c r="D333" i="7"/>
  <c r="G147" i="7"/>
  <c r="G238" i="7"/>
  <c r="G333" i="7"/>
  <c r="G192" i="7"/>
  <c r="I147" i="7"/>
  <c r="I238" i="7"/>
  <c r="I333" i="7"/>
  <c r="I192" i="7"/>
  <c r="J238" i="7"/>
  <c r="J107" i="7"/>
  <c r="J333" i="7"/>
  <c r="J192" i="7"/>
  <c r="K238" i="7"/>
  <c r="K107" i="7"/>
  <c r="K333" i="7"/>
  <c r="K192" i="7"/>
  <c r="L238" i="7"/>
  <c r="L107" i="7"/>
  <c r="L333" i="7"/>
  <c r="L192" i="7"/>
  <c r="M238" i="7"/>
  <c r="M107" i="7"/>
  <c r="M333" i="7"/>
  <c r="M192" i="7"/>
  <c r="N238" i="7"/>
  <c r="N107" i="7"/>
  <c r="N333" i="7"/>
  <c r="N192" i="7"/>
  <c r="O238" i="7"/>
  <c r="O107" i="7"/>
  <c r="O333" i="7"/>
  <c r="O192" i="7"/>
  <c r="E245" i="7"/>
  <c r="F308" i="7"/>
  <c r="F312" i="7"/>
  <c r="F313" i="7"/>
  <c r="F314" i="7"/>
  <c r="F450" i="7"/>
  <c r="E477" i="7"/>
  <c r="A483" i="7"/>
  <c r="B483" i="7"/>
  <c r="C483" i="7"/>
  <c r="A525" i="7"/>
  <c r="B525" i="7"/>
  <c r="C525" i="7"/>
  <c r="E543" i="7"/>
  <c r="E718" i="7" s="1"/>
  <c r="A556" i="7"/>
  <c r="B556" i="7"/>
  <c r="C556" i="7"/>
  <c r="A575" i="7"/>
  <c r="B575" i="7"/>
  <c r="C575" i="7"/>
  <c r="A629" i="7"/>
  <c r="A666" i="7"/>
  <c r="B666" i="7"/>
  <c r="A700" i="7"/>
  <c r="B700" i="7"/>
  <c r="A728" i="7"/>
  <c r="B728" i="7"/>
  <c r="A755" i="7"/>
  <c r="B755" i="7"/>
  <c r="A788" i="7"/>
  <c r="B788" i="7"/>
  <c r="C788" i="7"/>
  <c r="A913" i="7"/>
  <c r="A1023" i="7"/>
  <c r="A1055" i="7"/>
  <c r="A1103" i="7"/>
  <c r="F1167" i="7"/>
  <c r="F1208" i="7"/>
  <c r="F1209" i="7"/>
  <c r="F1210" i="7"/>
  <c r="F1212" i="7"/>
  <c r="F1214" i="7"/>
  <c r="E6" i="6"/>
  <c r="E22" i="6" s="1"/>
  <c r="E38" i="6" s="1"/>
  <c r="E8" i="6"/>
  <c r="E24" i="6" s="1"/>
  <c r="E40" i="6" s="1"/>
  <c r="E9" i="6"/>
  <c r="E25" i="6" s="1"/>
  <c r="E41" i="6" s="1"/>
  <c r="E10" i="6"/>
  <c r="E26" i="6" s="1"/>
  <c r="E42" i="6" s="1"/>
  <c r="E11" i="6"/>
  <c r="E27" i="6" s="1"/>
  <c r="E43" i="6" s="1"/>
  <c r="E12" i="6"/>
  <c r="E28" i="6" s="1"/>
  <c r="E44" i="6" s="1"/>
  <c r="E13" i="6"/>
  <c r="E29" i="6" s="1"/>
  <c r="E45" i="6" s="1"/>
  <c r="E14" i="6"/>
  <c r="E15" i="6"/>
  <c r="E31" i="6" s="1"/>
  <c r="E47" i="6" s="1"/>
  <c r="E33" i="6"/>
  <c r="E49" i="6" s="1"/>
  <c r="F213" i="6"/>
  <c r="F270" i="6"/>
  <c r="F336" i="6"/>
  <c r="F383" i="6"/>
  <c r="F448" i="6"/>
  <c r="F506" i="6"/>
  <c r="F512" i="6"/>
  <c r="A3" i="5"/>
  <c r="F1682" i="6"/>
  <c r="F597" i="6"/>
  <c r="F673" i="6"/>
  <c r="F685" i="6"/>
  <c r="F741" i="6" s="1"/>
  <c r="F686" i="6"/>
  <c r="F742" i="6" s="1"/>
  <c r="F687" i="6"/>
  <c r="F743" i="6" s="1"/>
  <c r="F688" i="6"/>
  <c r="F744" i="6" s="1"/>
  <c r="F689" i="6"/>
  <c r="F745" i="6" s="1"/>
  <c r="F729" i="6"/>
  <c r="E752" i="6"/>
  <c r="E817" i="6" s="1"/>
  <c r="E883" i="6" s="1"/>
  <c r="A767" i="6"/>
  <c r="F795" i="6"/>
  <c r="A799" i="6"/>
  <c r="F995" i="6"/>
  <c r="A1000" i="6"/>
  <c r="A1003" i="6"/>
  <c r="A1033" i="6"/>
  <c r="F1063" i="6"/>
  <c r="A1068" i="6"/>
  <c r="A1100" i="6"/>
  <c r="F1130" i="6"/>
  <c r="F1192" i="6" s="1"/>
  <c r="F1491" i="6" s="1"/>
  <c r="A1134" i="6"/>
  <c r="A1137" i="6"/>
  <c r="E1153" i="6"/>
  <c r="A1168" i="6"/>
  <c r="A1195" i="6"/>
  <c r="A1198" i="6"/>
  <c r="A1227" i="6"/>
  <c r="B766" i="34" s="1"/>
  <c r="A1292" i="6"/>
  <c r="F1357" i="6"/>
  <c r="E1379" i="6"/>
  <c r="A1392" i="6"/>
  <c r="B770" i="34" s="1"/>
  <c r="E1467" i="6"/>
  <c r="A1474" i="6"/>
  <c r="A1494" i="6"/>
  <c r="A1497" i="6"/>
  <c r="E1514" i="6"/>
  <c r="A1527" i="6"/>
  <c r="A1558" i="6"/>
  <c r="A1594" i="6"/>
  <c r="F1624" i="6"/>
  <c r="A1627" i="6"/>
  <c r="A1630" i="6"/>
  <c r="F1630" i="6"/>
  <c r="A1657" i="6"/>
  <c r="A1685" i="6"/>
  <c r="A1688" i="6"/>
  <c r="F1746" i="6"/>
  <c r="E1903" i="6"/>
  <c r="F1941" i="6"/>
  <c r="F1954" i="6"/>
  <c r="F2025" i="6" s="1"/>
  <c r="A42" i="58" s="1"/>
  <c r="F1955" i="6"/>
  <c r="F2026" i="6" s="1"/>
  <c r="A43" i="58" s="1"/>
  <c r="F1956" i="6"/>
  <c r="F2027" i="6" s="1"/>
  <c r="A44" i="58" s="1"/>
  <c r="F1957" i="6"/>
  <c r="F2028" i="6" s="1"/>
  <c r="A45" i="58" s="1"/>
  <c r="F1958" i="6"/>
  <c r="F2029" i="6" s="1"/>
  <c r="A46" i="58" s="1"/>
  <c r="A1980" i="6"/>
  <c r="F2014" i="6"/>
  <c r="A2020" i="6"/>
  <c r="E2054" i="6"/>
  <c r="F2056" i="6"/>
  <c r="F2058" i="6"/>
  <c r="F2059" i="6"/>
  <c r="F2060" i="6"/>
  <c r="F2061" i="6"/>
  <c r="F2062" i="6"/>
  <c r="F2063" i="6"/>
  <c r="F2064" i="6"/>
  <c r="F2065" i="6"/>
  <c r="F2066" i="6"/>
  <c r="F2067" i="6"/>
  <c r="E7" i="5"/>
  <c r="E8" i="5"/>
  <c r="E9" i="5"/>
  <c r="E10" i="5"/>
  <c r="E19" i="5" s="1"/>
  <c r="E28" i="5" s="1"/>
  <c r="C77" i="5"/>
  <c r="C112" i="5"/>
  <c r="A48" i="5"/>
  <c r="A521" i="5"/>
  <c r="B111" i="5"/>
  <c r="B160" i="5"/>
  <c r="C76" i="5"/>
  <c r="C111" i="5"/>
  <c r="B112" i="5"/>
  <c r="B161" i="5"/>
  <c r="A178" i="5"/>
  <c r="A10" i="5" s="1"/>
  <c r="A198" i="5"/>
  <c r="E215" i="5"/>
  <c r="A238" i="5"/>
  <c r="B238" i="5"/>
  <c r="B256" i="5"/>
  <c r="A256" i="5"/>
  <c r="A91" i="5"/>
  <c r="A496" i="5" s="1"/>
  <c r="A305" i="5"/>
  <c r="B305" i="5"/>
  <c r="A318" i="5"/>
  <c r="B318" i="5"/>
  <c r="A359" i="5"/>
  <c r="B359" i="5"/>
  <c r="A383" i="5"/>
  <c r="B383" i="5"/>
  <c r="A416" i="5"/>
  <c r="B416" i="5"/>
  <c r="A447" i="5"/>
  <c r="A450" i="5"/>
  <c r="B447" i="5"/>
  <c r="B450" i="5"/>
  <c r="D450" i="5"/>
  <c r="F476" i="5"/>
  <c r="F495" i="5" s="1"/>
  <c r="F504" i="5" s="1"/>
  <c r="F477" i="5"/>
  <c r="F496" i="5" s="1"/>
  <c r="F505" i="5" s="1"/>
  <c r="F478" i="5"/>
  <c r="F497" i="5" s="1"/>
  <c r="F506" i="5" s="1"/>
  <c r="F479" i="5"/>
  <c r="F498" i="5" s="1"/>
  <c r="F507" i="5" s="1"/>
  <c r="A523" i="5"/>
  <c r="F467" i="4"/>
  <c r="A1006" i="4"/>
  <c r="B142" i="4"/>
  <c r="A54" i="4"/>
  <c r="B54" i="4"/>
  <c r="E100" i="4"/>
  <c r="E165" i="4" s="1"/>
  <c r="C54" i="4"/>
  <c r="G54" i="4"/>
  <c r="I54" i="4"/>
  <c r="J54" i="4"/>
  <c r="K54" i="4"/>
  <c r="L54" i="4"/>
  <c r="M54" i="4"/>
  <c r="N54" i="4"/>
  <c r="O54" i="4"/>
  <c r="C62" i="4"/>
  <c r="C68" i="4"/>
  <c r="C69" i="4"/>
  <c r="C89" i="4"/>
  <c r="C43" i="4" s="1"/>
  <c r="B89" i="4"/>
  <c r="G89" i="4"/>
  <c r="I89" i="4"/>
  <c r="J89" i="4"/>
  <c r="K89" i="4"/>
  <c r="L89" i="4"/>
  <c r="M89" i="4"/>
  <c r="N89" i="4"/>
  <c r="O89" i="4"/>
  <c r="B93" i="4"/>
  <c r="C106" i="4"/>
  <c r="C109" i="4"/>
  <c r="C170" i="4"/>
  <c r="F170" i="4"/>
  <c r="C171" i="4"/>
  <c r="F171" i="4"/>
  <c r="C115" i="4"/>
  <c r="B155" i="4"/>
  <c r="C117" i="4"/>
  <c r="C119" i="4"/>
  <c r="A154" i="4"/>
  <c r="B154" i="4"/>
  <c r="A379" i="4"/>
  <c r="B379" i="4"/>
  <c r="C379" i="4"/>
  <c r="G379" i="4"/>
  <c r="I379" i="4"/>
  <c r="J379" i="4"/>
  <c r="K379" i="4"/>
  <c r="L379" i="4"/>
  <c r="M379" i="4"/>
  <c r="N379" i="4"/>
  <c r="O379" i="4"/>
  <c r="B407" i="4"/>
  <c r="B464" i="4"/>
  <c r="A483" i="4"/>
  <c r="A545" i="4" s="1"/>
  <c r="B483" i="4"/>
  <c r="B545" i="4" s="1"/>
  <c r="C483" i="4"/>
  <c r="C545" i="4" s="1"/>
  <c r="G483" i="4"/>
  <c r="G545" i="4" s="1"/>
  <c r="I483" i="4"/>
  <c r="I545" i="4" s="1"/>
  <c r="J483" i="4"/>
  <c r="J545" i="4" s="1"/>
  <c r="K483" i="4"/>
  <c r="K545" i="4" s="1"/>
  <c r="L483" i="4"/>
  <c r="L545" i="4" s="1"/>
  <c r="M483" i="4"/>
  <c r="M545" i="4" s="1"/>
  <c r="N483" i="4"/>
  <c r="N545" i="4" s="1"/>
  <c r="O483" i="4"/>
  <c r="O545" i="4" s="1"/>
  <c r="B502" i="4"/>
  <c r="A952" i="4"/>
  <c r="B952" i="4"/>
  <c r="C952" i="4"/>
  <c r="G952" i="4"/>
  <c r="I952" i="4"/>
  <c r="J952" i="4"/>
  <c r="K952" i="4"/>
  <c r="L952" i="4"/>
  <c r="M952" i="4"/>
  <c r="N952" i="4"/>
  <c r="O952" i="4"/>
  <c r="A965" i="4"/>
  <c r="B965" i="4"/>
  <c r="C965" i="4"/>
  <c r="G965" i="4"/>
  <c r="I965" i="4"/>
  <c r="J965" i="4"/>
  <c r="K965" i="4"/>
  <c r="L965" i="4"/>
  <c r="M965" i="4"/>
  <c r="N965" i="4"/>
  <c r="O965" i="4"/>
  <c r="A984" i="4"/>
  <c r="B984" i="4"/>
  <c r="C984" i="4"/>
  <c r="G984" i="4"/>
  <c r="I984" i="4"/>
  <c r="J984" i="4"/>
  <c r="K984" i="4"/>
  <c r="L984" i="4"/>
  <c r="M984" i="4"/>
  <c r="N984" i="4"/>
  <c r="O984" i="4"/>
  <c r="F994" i="4"/>
  <c r="A1004" i="4"/>
  <c r="B1004" i="4"/>
  <c r="C1004" i="4"/>
  <c r="G1004" i="4"/>
  <c r="I1004" i="4"/>
  <c r="J1004" i="4"/>
  <c r="K1004" i="4"/>
  <c r="L1004" i="4"/>
  <c r="M1004" i="4"/>
  <c r="N1004" i="4"/>
  <c r="O1004" i="4"/>
  <c r="A1009" i="4"/>
  <c r="A2" i="3"/>
  <c r="B2" i="3"/>
  <c r="B285" i="3" s="1"/>
  <c r="C2" i="3"/>
  <c r="C285" i="3" s="1"/>
  <c r="F2" i="3"/>
  <c r="G2" i="3"/>
  <c r="H2" i="3"/>
  <c r="H285" i="3" s="1"/>
  <c r="H295" i="3" s="1"/>
  <c r="I2" i="3"/>
  <c r="I285" i="3" s="1"/>
  <c r="I295" i="3" s="1"/>
  <c r="J2" i="3"/>
  <c r="J285" i="3" s="1"/>
  <c r="J295" i="3" s="1"/>
  <c r="K2" i="3"/>
  <c r="K285" i="3" s="1"/>
  <c r="K295" i="3" s="1"/>
  <c r="L2" i="3"/>
  <c r="L285" i="3" s="1"/>
  <c r="L295" i="3" s="1"/>
  <c r="M2" i="3"/>
  <c r="M285" i="3" s="1"/>
  <c r="M295" i="3" s="1"/>
  <c r="G267" i="3"/>
  <c r="H267" i="3"/>
  <c r="I267" i="3"/>
  <c r="J267" i="3"/>
  <c r="K267" i="3"/>
  <c r="L267" i="3"/>
  <c r="M267" i="3"/>
  <c r="C4" i="42"/>
  <c r="E2" i="1"/>
  <c r="E81" i="1" s="1"/>
  <c r="F2" i="1"/>
  <c r="F4" i="55" s="1"/>
  <c r="G2" i="1"/>
  <c r="G4" i="55" s="1"/>
  <c r="H2" i="1"/>
  <c r="H4" i="55" s="1"/>
  <c r="I2" i="1"/>
  <c r="I4" i="55" s="1"/>
  <c r="J2" i="1"/>
  <c r="J4" i="55" s="1"/>
  <c r="K2" i="1"/>
  <c r="K4" i="55" s="1"/>
  <c r="L2" i="1"/>
  <c r="L4" i="55" s="1"/>
  <c r="M2" i="1"/>
  <c r="M4" i="55" s="1"/>
  <c r="N2" i="1"/>
  <c r="N4" i="55" s="1"/>
  <c r="D106" i="8"/>
  <c r="G53" i="1"/>
  <c r="H53" i="1" s="1"/>
  <c r="E52" i="1"/>
  <c r="F54" i="1"/>
  <c r="E57" i="1"/>
  <c r="G64" i="1"/>
  <c r="H64" i="1" s="1"/>
  <c r="I64" i="1" s="1"/>
  <c r="J64" i="1" s="1"/>
  <c r="K64" i="1" s="1"/>
  <c r="L64" i="1" s="1"/>
  <c r="M64" i="1" s="1"/>
  <c r="N64" i="1" s="1"/>
  <c r="O64" i="1" s="1"/>
  <c r="P64" i="1" s="1"/>
  <c r="E70" i="1"/>
  <c r="F69" i="1"/>
  <c r="H70" i="1"/>
  <c r="I70" i="1" s="1"/>
  <c r="F71" i="1"/>
  <c r="G71" i="1" s="1"/>
  <c r="H71" i="1" s="1"/>
  <c r="I71" i="1" s="1"/>
  <c r="J71" i="1" s="1"/>
  <c r="K71" i="1" s="1"/>
  <c r="L71" i="1" s="1"/>
  <c r="M71" i="1" s="1"/>
  <c r="N71" i="1" s="1"/>
  <c r="O71" i="1" s="1"/>
  <c r="P71" i="1" s="1"/>
  <c r="E72" i="1"/>
  <c r="E74" i="1"/>
  <c r="F74" i="1" s="1"/>
  <c r="F73" i="1" s="1"/>
  <c r="E75" i="1"/>
  <c r="F75" i="1" s="1"/>
  <c r="G75" i="1" s="1"/>
  <c r="H75" i="1" s="1"/>
  <c r="I75" i="1" s="1"/>
  <c r="J75" i="1" s="1"/>
  <c r="K75" i="1" s="1"/>
  <c r="L75" i="1" s="1"/>
  <c r="M75" i="1" s="1"/>
  <c r="N75" i="1" s="1"/>
  <c r="O75" i="1" s="1"/>
  <c r="P75" i="1" s="1"/>
  <c r="E77" i="1"/>
  <c r="F77" i="1" s="1"/>
  <c r="G77" i="1" s="1"/>
  <c r="H77" i="1" s="1"/>
  <c r="I77" i="1" s="1"/>
  <c r="J77" i="1" s="1"/>
  <c r="K77" i="1" s="1"/>
  <c r="L77" i="1" s="1"/>
  <c r="M77" i="1" s="1"/>
  <c r="N77" i="1" s="1"/>
  <c r="O77" i="1" s="1"/>
  <c r="P77" i="1" s="1"/>
  <c r="E78" i="1"/>
  <c r="H78" i="1"/>
  <c r="M78" i="1"/>
  <c r="N78" i="1" s="1"/>
  <c r="O78" i="1" s="1"/>
  <c r="P78" i="1" s="1"/>
  <c r="F87" i="1"/>
  <c r="G87" i="1" s="1"/>
  <c r="F88" i="1"/>
  <c r="G88" i="1" s="1"/>
  <c r="H88" i="1" s="1"/>
  <c r="I88" i="1" s="1"/>
  <c r="J88" i="1" s="1"/>
  <c r="K88" i="1" s="1"/>
  <c r="L88" i="1" s="1"/>
  <c r="M88" i="1" s="1"/>
  <c r="N88" i="1" s="1"/>
  <c r="O88" i="1" s="1"/>
  <c r="P88" i="1" s="1"/>
  <c r="F89" i="1"/>
  <c r="G89" i="1" s="1"/>
  <c r="H89" i="1" s="1"/>
  <c r="I89" i="1" s="1"/>
  <c r="J89" i="1" s="1"/>
  <c r="K89" i="1" s="1"/>
  <c r="L89" i="1" s="1"/>
  <c r="M89" i="1" s="1"/>
  <c r="N89" i="1" s="1"/>
  <c r="O89" i="1" s="1"/>
  <c r="P89" i="1" s="1"/>
  <c r="F92" i="1"/>
  <c r="G92" i="1" s="1"/>
  <c r="H92" i="1" s="1"/>
  <c r="I92" i="1" s="1"/>
  <c r="J92" i="1" s="1"/>
  <c r="K92" i="1" s="1"/>
  <c r="L92" i="1" s="1"/>
  <c r="M92" i="1" s="1"/>
  <c r="N92" i="1" s="1"/>
  <c r="O92" i="1" s="1"/>
  <c r="P92" i="1" s="1"/>
  <c r="E94" i="1"/>
  <c r="H8" i="27"/>
  <c r="H38" i="27"/>
  <c r="H44" i="27"/>
  <c r="H40" i="27"/>
  <c r="A130" i="5"/>
  <c r="A497" i="5" s="1"/>
  <c r="H17" i="16"/>
  <c r="H251" i="15" s="1"/>
  <c r="A23" i="19"/>
  <c r="E28" i="20"/>
  <c r="E45" i="20" s="1"/>
  <c r="E39" i="19"/>
  <c r="E11" i="26"/>
  <c r="E10" i="26"/>
  <c r="H27" i="27"/>
  <c r="H25" i="27"/>
  <c r="H17" i="27"/>
  <c r="H9" i="27"/>
  <c r="G54" i="27"/>
  <c r="H28" i="27"/>
  <c r="H26" i="27"/>
  <c r="H12" i="27"/>
  <c r="D20" i="27"/>
  <c r="F10" i="26"/>
  <c r="F11" i="26"/>
  <c r="F12" i="26" s="1"/>
  <c r="G74" i="21"/>
  <c r="AG95" i="22"/>
  <c r="AK95" i="22"/>
  <c r="S59" i="20"/>
  <c r="S31" i="20"/>
  <c r="AO95" i="22"/>
  <c r="S32" i="20"/>
  <c r="AS95" i="22"/>
  <c r="S30" i="20"/>
  <c r="AW95" i="22"/>
  <c r="J535" i="7"/>
  <c r="J105" i="7" s="1"/>
  <c r="C586" i="34"/>
  <c r="A252" i="3" s="1"/>
  <c r="G17" i="17"/>
  <c r="W3" i="21"/>
  <c r="C554" i="8"/>
  <c r="K77" i="5"/>
  <c r="N77" i="5"/>
  <c r="B25" i="19"/>
  <c r="I75" i="21"/>
  <c r="I83" i="21" s="1"/>
  <c r="H8" i="1"/>
  <c r="F48" i="20"/>
  <c r="F98" i="20" s="1"/>
  <c r="A152" i="40"/>
  <c r="E116" i="14"/>
  <c r="H74" i="21"/>
  <c r="B152" i="40"/>
  <c r="C203" i="3" s="1"/>
  <c r="A79" i="17"/>
  <c r="M17" i="17"/>
  <c r="K17" i="17"/>
  <c r="I17" i="17"/>
  <c r="C31" i="17"/>
  <c r="L17" i="17"/>
  <c r="B110" i="40"/>
  <c r="B206" i="5"/>
  <c r="S3" i="22"/>
  <c r="S78" i="22" s="1"/>
  <c r="S121" i="22" s="1"/>
  <c r="H1026" i="6"/>
  <c r="J12" i="1"/>
  <c r="H929" i="7"/>
  <c r="H1522" i="6"/>
  <c r="H1020" i="7"/>
  <c r="H781" i="7"/>
  <c r="H1384" i="6"/>
  <c r="H958" i="6"/>
  <c r="H1239" i="6"/>
  <c r="H960" i="6"/>
  <c r="H1238" i="6"/>
  <c r="H1978" i="6"/>
  <c r="H454" i="8"/>
  <c r="I1874" i="6"/>
  <c r="G347" i="8"/>
  <c r="H347" i="8" s="1"/>
  <c r="G1070" i="6"/>
  <c r="H1070" i="6" s="1"/>
  <c r="H797" i="6"/>
  <c r="I796" i="6"/>
  <c r="J796" i="6" s="1"/>
  <c r="K796" i="6" s="1"/>
  <c r="L796" i="6" s="1"/>
  <c r="M796" i="6" s="1"/>
  <c r="N796" i="6" s="1"/>
  <c r="O796" i="6" s="1"/>
  <c r="P796" i="6" s="1"/>
  <c r="Q796" i="6" s="1"/>
  <c r="I1492" i="6"/>
  <c r="J1492" i="6" s="1"/>
  <c r="K1492" i="6" s="1"/>
  <c r="L1492" i="6" s="1"/>
  <c r="M1492" i="6" s="1"/>
  <c r="N1492" i="6" s="1"/>
  <c r="O1492" i="6" s="1"/>
  <c r="P1492" i="6" s="1"/>
  <c r="Q1492" i="6" s="1"/>
  <c r="R1492" i="6" s="1"/>
  <c r="G1688" i="6"/>
  <c r="G2020" i="6"/>
  <c r="H563" i="7"/>
  <c r="H564" i="7"/>
  <c r="H686" i="7"/>
  <c r="H688" i="7"/>
  <c r="H748" i="7"/>
  <c r="H497" i="7"/>
  <c r="G92" i="7"/>
  <c r="H568" i="7"/>
  <c r="H569" i="7"/>
  <c r="H29" i="27"/>
  <c r="CM81" i="9"/>
  <c r="CN186" i="9"/>
  <c r="H245" i="5"/>
  <c r="C91" i="5"/>
  <c r="B107" i="42" s="1"/>
  <c r="H678" i="7"/>
  <c r="H677" i="7"/>
  <c r="H682" i="7"/>
  <c r="I175" i="5"/>
  <c r="C130" i="5"/>
  <c r="B108" i="42" s="1"/>
  <c r="F29" i="34"/>
  <c r="C542" i="6"/>
  <c r="G220" i="7"/>
  <c r="H220" i="7" s="1"/>
  <c r="H692" i="7"/>
  <c r="H237" i="8"/>
  <c r="H333" i="8"/>
  <c r="H486" i="8"/>
  <c r="H436" i="8"/>
  <c r="G70" i="4"/>
  <c r="C56" i="5"/>
  <c r="B106" i="42" s="1"/>
  <c r="C913" i="7"/>
  <c r="G2029" i="6"/>
  <c r="D46" i="58" s="1"/>
  <c r="G699" i="6"/>
  <c r="F757" i="34"/>
  <c r="F35" i="11"/>
  <c r="G62" i="1"/>
  <c r="G108" i="1" s="1"/>
  <c r="H681" i="7"/>
  <c r="G1640" i="6"/>
  <c r="G522" i="6" s="1"/>
  <c r="E758" i="34"/>
  <c r="E780" i="34" s="1"/>
  <c r="I1640" i="6"/>
  <c r="I522" i="6" s="1"/>
  <c r="I2029" i="6"/>
  <c r="F46" i="58" s="1"/>
  <c r="I35" i="11"/>
  <c r="D1061" i="6"/>
  <c r="D286" i="6"/>
  <c r="AU55" i="37"/>
  <c r="B79" i="17"/>
  <c r="BA95" i="22"/>
  <c r="A419" i="6"/>
  <c r="A522" i="5"/>
  <c r="A195" i="5"/>
  <c r="A507" i="5" s="1"/>
  <c r="A56" i="5"/>
  <c r="A99" i="5"/>
  <c r="A17" i="5" s="1"/>
  <c r="J37" i="14"/>
  <c r="D1129" i="6" s="1"/>
  <c r="H37" i="14"/>
  <c r="G37" i="14"/>
  <c r="C1142" i="6" s="1"/>
  <c r="C350" i="6" s="1"/>
  <c r="I37" i="14"/>
  <c r="D1142" i="6" s="1"/>
  <c r="G1061" i="6"/>
  <c r="L37" i="14"/>
  <c r="G1129" i="6" s="1"/>
  <c r="G1076" i="6"/>
  <c r="G286" i="6" s="1"/>
  <c r="AV55" i="37"/>
  <c r="K37" i="14"/>
  <c r="G1142" i="6" s="1"/>
  <c r="G350" i="6" s="1"/>
  <c r="I1061" i="6"/>
  <c r="I1076" i="6"/>
  <c r="I286" i="6" s="1"/>
  <c r="N37" i="14"/>
  <c r="I1129" i="6" s="1"/>
  <c r="I334" i="6" s="1"/>
  <c r="M37" i="14"/>
  <c r="I1142" i="6" s="1"/>
  <c r="I350" i="6" s="1"/>
  <c r="P37" i="14"/>
  <c r="J1129" i="6" s="1"/>
  <c r="J334" i="6" s="1"/>
  <c r="O37" i="14"/>
  <c r="J1142" i="6" s="1"/>
  <c r="J350" i="6" s="1"/>
  <c r="R37" i="14"/>
  <c r="K1129" i="6" s="1"/>
  <c r="K334" i="6" s="1"/>
  <c r="Q37" i="14"/>
  <c r="K1142" i="6" s="1"/>
  <c r="K350" i="6" s="1"/>
  <c r="G48" i="20"/>
  <c r="G98" i="20" s="1"/>
  <c r="H48" i="20"/>
  <c r="H98" i="20" s="1"/>
  <c r="I48" i="20"/>
  <c r="I98" i="20" s="1"/>
  <c r="J48" i="20"/>
  <c r="K48" i="20"/>
  <c r="L48" i="20"/>
  <c r="M48" i="20"/>
  <c r="C72" i="16"/>
  <c r="C35" i="11"/>
  <c r="K50" i="37"/>
  <c r="R25" i="37"/>
  <c r="K57" i="12"/>
  <c r="A509" i="6"/>
  <c r="A29" i="6" s="1"/>
  <c r="A372" i="6"/>
  <c r="A11" i="6" s="1"/>
  <c r="A705" i="6"/>
  <c r="A17" i="6" s="1"/>
  <c r="A635" i="6"/>
  <c r="G161" i="45"/>
  <c r="A315" i="6"/>
  <c r="A10" i="6" s="1"/>
  <c r="A275" i="6"/>
  <c r="C78" i="4"/>
  <c r="A320" i="7"/>
  <c r="A225" i="7"/>
  <c r="A22" i="7" s="1"/>
  <c r="A264" i="7"/>
  <c r="A134" i="7"/>
  <c r="A360" i="7"/>
  <c r="A212" i="7"/>
  <c r="A9" i="7" s="1"/>
  <c r="U108" i="9"/>
  <c r="B208" i="5"/>
  <c r="A520" i="5"/>
  <c r="A157" i="4"/>
  <c r="H413" i="4"/>
  <c r="A1010" i="4"/>
  <c r="A64" i="4"/>
  <c r="A7" i="4" s="1"/>
  <c r="H467" i="8"/>
  <c r="Z108" i="9"/>
  <c r="Z459" i="9" s="1"/>
  <c r="F189" i="3" s="1"/>
  <c r="I152" i="14" l="1"/>
  <c r="M152" i="14"/>
  <c r="J152" i="14"/>
  <c r="N152" i="14"/>
  <c r="K152" i="14"/>
  <c r="L152" i="14"/>
  <c r="AJ58" i="9"/>
  <c r="G41" i="5"/>
  <c r="R1497" i="6"/>
  <c r="R449" i="6"/>
  <c r="Q102" i="6"/>
  <c r="R796" i="6"/>
  <c r="R102" i="6" s="1"/>
  <c r="R698" i="6"/>
  <c r="O6" i="58"/>
  <c r="R159" i="8"/>
  <c r="R32" i="8" s="1"/>
  <c r="CM3" i="22"/>
  <c r="AJ222" i="10"/>
  <c r="F110" i="14"/>
  <c r="F114" i="14"/>
  <c r="U459" i="9"/>
  <c r="BX200" i="9"/>
  <c r="U440" i="9"/>
  <c r="C25" i="19"/>
  <c r="I8" i="1"/>
  <c r="I11" i="1" s="1"/>
  <c r="G16" i="27"/>
  <c r="H16" i="27" s="1"/>
  <c r="I120" i="10"/>
  <c r="I1183" i="7" s="1"/>
  <c r="AE57" i="9"/>
  <c r="AE63" i="9" s="1"/>
  <c r="I222" i="10"/>
  <c r="I1638" i="6" s="1"/>
  <c r="I520" i="6" s="1"/>
  <c r="AE193" i="9"/>
  <c r="I301" i="3"/>
  <c r="B191" i="4"/>
  <c r="B174" i="4"/>
  <c r="D857" i="4"/>
  <c r="D672" i="4"/>
  <c r="D737" i="4"/>
  <c r="D1840" i="6"/>
  <c r="D795" i="4"/>
  <c r="J291" i="3"/>
  <c r="L25" i="1"/>
  <c r="I6" i="58"/>
  <c r="I5" i="58" s="1"/>
  <c r="H4" i="48"/>
  <c r="M4" i="48" s="1"/>
  <c r="G285" i="3"/>
  <c r="G295" i="3" s="1"/>
  <c r="A278" i="3"/>
  <c r="A285" i="3"/>
  <c r="F4" i="48"/>
  <c r="L4" i="48" s="1"/>
  <c r="F285" i="3"/>
  <c r="F295" i="3" s="1"/>
  <c r="E19" i="58"/>
  <c r="B34" i="58"/>
  <c r="D34" i="58"/>
  <c r="E20" i="58"/>
  <c r="D743" i="6"/>
  <c r="B44" i="58"/>
  <c r="F44" i="58"/>
  <c r="I717" i="6"/>
  <c r="F19" i="58"/>
  <c r="T17" i="58" s="1"/>
  <c r="J717" i="6"/>
  <c r="G19" i="58"/>
  <c r="K717" i="6"/>
  <c r="H19" i="58"/>
  <c r="L717" i="6"/>
  <c r="I19" i="58"/>
  <c r="M717" i="6"/>
  <c r="J19" i="58"/>
  <c r="N717" i="6"/>
  <c r="K19" i="58"/>
  <c r="O717" i="6"/>
  <c r="L19" i="58"/>
  <c r="G141" i="3"/>
  <c r="H501" i="6"/>
  <c r="I1885" i="6"/>
  <c r="I1882" i="6"/>
  <c r="I1886" i="6"/>
  <c r="I1883" i="6"/>
  <c r="I1880" i="6"/>
  <c r="I1884" i="6"/>
  <c r="J1884" i="6" s="1"/>
  <c r="I1796" i="6"/>
  <c r="I1923" i="6"/>
  <c r="I1797" i="6"/>
  <c r="I1249" i="6"/>
  <c r="I826" i="6"/>
  <c r="I387" i="4"/>
  <c r="I396" i="4"/>
  <c r="I1241" i="6"/>
  <c r="I709" i="4"/>
  <c r="I538" i="4"/>
  <c r="I550" i="7"/>
  <c r="I1819" i="6"/>
  <c r="I872" i="4"/>
  <c r="I625" i="4"/>
  <c r="I695" i="4"/>
  <c r="I641" i="4"/>
  <c r="I561" i="7"/>
  <c r="I562" i="7"/>
  <c r="I740" i="7"/>
  <c r="I555" i="4"/>
  <c r="I556" i="4"/>
  <c r="I554" i="4"/>
  <c r="I552" i="4"/>
  <c r="I549" i="4"/>
  <c r="I558" i="4"/>
  <c r="I557" i="4"/>
  <c r="I548" i="4"/>
  <c r="I553" i="4"/>
  <c r="I551" i="4"/>
  <c r="I550" i="4"/>
  <c r="I1590" i="6"/>
  <c r="I385" i="4"/>
  <c r="I432" i="8"/>
  <c r="I1388" i="6"/>
  <c r="I1387" i="6"/>
  <c r="I1519" i="6"/>
  <c r="I410" i="6" s="1"/>
  <c r="I388" i="4"/>
  <c r="I386" i="4"/>
  <c r="I384" i="4"/>
  <c r="I627" i="4"/>
  <c r="I1786" i="6"/>
  <c r="I1785" i="6"/>
  <c r="I1824" i="6"/>
  <c r="I191" i="8"/>
  <c r="I53" i="1"/>
  <c r="J53" i="1" s="1"/>
  <c r="K53" i="1" s="1"/>
  <c r="L53" i="1" s="1"/>
  <c r="M53" i="1" s="1"/>
  <c r="N53" i="1" s="1"/>
  <c r="O53" i="1" s="1"/>
  <c r="P53" i="1" s="1"/>
  <c r="H50" i="1"/>
  <c r="B47" i="4"/>
  <c r="A70" i="3" s="1"/>
  <c r="B43" i="4"/>
  <c r="A24" i="3" s="1"/>
  <c r="C47" i="4"/>
  <c r="B70" i="3" s="1"/>
  <c r="F40" i="55"/>
  <c r="E9" i="12"/>
  <c r="Z193" i="9"/>
  <c r="F222" i="10"/>
  <c r="F240" i="10" s="1"/>
  <c r="D89" i="10"/>
  <c r="B103" i="10"/>
  <c r="G89" i="10"/>
  <c r="E103" i="10"/>
  <c r="P11" i="42"/>
  <c r="B129" i="40"/>
  <c r="H148" i="8"/>
  <c r="F251" i="15"/>
  <c r="H81" i="7"/>
  <c r="H1198" i="6"/>
  <c r="H1024" i="6"/>
  <c r="G246" i="6"/>
  <c r="AV19" i="42"/>
  <c r="G504" i="34" s="1"/>
  <c r="G564" i="34" s="1"/>
  <c r="G572" i="34" s="1"/>
  <c r="G178" i="3"/>
  <c r="G179" i="3" s="1"/>
  <c r="C8" i="48"/>
  <c r="A135" i="3"/>
  <c r="C75" i="16"/>
  <c r="C76" i="3"/>
  <c r="H75" i="16"/>
  <c r="H76" i="3"/>
  <c r="G75" i="16"/>
  <c r="G76" i="3"/>
  <c r="E64" i="14"/>
  <c r="A155" i="3" s="1"/>
  <c r="S26" i="37"/>
  <c r="S98" i="37" s="1"/>
  <c r="BI57" i="9"/>
  <c r="AO57" i="9"/>
  <c r="AT57" i="9"/>
  <c r="AY57" i="9"/>
  <c r="BD57" i="9"/>
  <c r="H420" i="7"/>
  <c r="H383" i="7"/>
  <c r="C69" i="7"/>
  <c r="B128" i="42" s="1"/>
  <c r="H92" i="7"/>
  <c r="B332" i="42"/>
  <c r="Q11" i="42"/>
  <c r="H1062" i="6"/>
  <c r="H691" i="7"/>
  <c r="L25" i="48"/>
  <c r="L27" i="48" s="1"/>
  <c r="H1129" i="6"/>
  <c r="L98" i="26"/>
  <c r="L100" i="26" s="1"/>
  <c r="P21" i="42"/>
  <c r="P81" i="42" s="1"/>
  <c r="Q21" i="42"/>
  <c r="B54" i="15" s="1"/>
  <c r="H1061" i="6"/>
  <c r="H2020" i="6"/>
  <c r="H339" i="6"/>
  <c r="D717" i="6"/>
  <c r="H1999" i="6"/>
  <c r="H699" i="6"/>
  <c r="H1688" i="6"/>
  <c r="D2075" i="6"/>
  <c r="D54" i="6" s="1"/>
  <c r="H272" i="6"/>
  <c r="D551" i="6"/>
  <c r="K113" i="48"/>
  <c r="H54" i="27"/>
  <c r="H18" i="27"/>
  <c r="H13" i="27"/>
  <c r="H428" i="4"/>
  <c r="H590" i="4"/>
  <c r="H70" i="4"/>
  <c r="G194" i="6"/>
  <c r="H194" i="6" s="1"/>
  <c r="G410" i="6"/>
  <c r="H410" i="6" s="1"/>
  <c r="I797" i="6"/>
  <c r="J797" i="6" s="1"/>
  <c r="K797" i="6" s="1"/>
  <c r="L797" i="6" s="1"/>
  <c r="M797" i="6" s="1"/>
  <c r="N797" i="6" s="1"/>
  <c r="O797" i="6" s="1"/>
  <c r="P797" i="6" s="1"/>
  <c r="Q797" i="6" s="1"/>
  <c r="G334" i="6"/>
  <c r="G717" i="6"/>
  <c r="G193" i="6"/>
  <c r="H193" i="6" s="1"/>
  <c r="G253" i="6"/>
  <c r="H253" i="6" s="1"/>
  <c r="H419" i="7"/>
  <c r="I678" i="7"/>
  <c r="I681" i="7"/>
  <c r="I677" i="7"/>
  <c r="I686" i="7"/>
  <c r="M26" i="48" s="1"/>
  <c r="I929" i="7"/>
  <c r="G138" i="8"/>
  <c r="F178" i="3" s="1"/>
  <c r="F179" i="3" s="1"/>
  <c r="AU12" i="42"/>
  <c r="G125" i="8"/>
  <c r="H125" i="8" s="1"/>
  <c r="B311" i="42"/>
  <c r="D311" i="42" s="1"/>
  <c r="D318" i="42" s="1"/>
  <c r="D190" i="5"/>
  <c r="H444" i="5"/>
  <c r="H96" i="5"/>
  <c r="H67" i="5"/>
  <c r="G190" i="5"/>
  <c r="G246" i="4"/>
  <c r="H246" i="4" s="1"/>
  <c r="G72" i="4"/>
  <c r="H72" i="4" s="1"/>
  <c r="O111" i="17"/>
  <c r="Q159" i="8"/>
  <c r="Q32" i="8" s="1"/>
  <c r="AT41" i="42"/>
  <c r="A200" i="3"/>
  <c r="E50" i="20"/>
  <c r="G60" i="20"/>
  <c r="A70" i="15"/>
  <c r="A8" i="15" s="1"/>
  <c r="H41" i="55"/>
  <c r="I902" i="7"/>
  <c r="I1795" i="6"/>
  <c r="W8" i="54"/>
  <c r="W5" i="54"/>
  <c r="Q1497" i="6"/>
  <c r="Q449" i="6"/>
  <c r="G92" i="14"/>
  <c r="F165" i="14"/>
  <c r="C193" i="3" s="1"/>
  <c r="F42" i="55"/>
  <c r="A129" i="40"/>
  <c r="C1009" i="7" s="1"/>
  <c r="J123" i="1"/>
  <c r="J98" i="1"/>
  <c r="H108" i="1"/>
  <c r="I108" i="1" s="1"/>
  <c r="J108" i="1" s="1"/>
  <c r="K108" i="1" s="1"/>
  <c r="L108" i="1" s="1"/>
  <c r="M108" i="1" s="1"/>
  <c r="J101" i="1"/>
  <c r="K101" i="1" s="1"/>
  <c r="L101" i="1" s="1"/>
  <c r="M101" i="1" s="1"/>
  <c r="N101" i="1" s="1"/>
  <c r="O101" i="1" s="1"/>
  <c r="P101" i="1" s="1"/>
  <c r="I105" i="1"/>
  <c r="I531" i="4"/>
  <c r="I1443" i="6"/>
  <c r="I1442" i="6"/>
  <c r="I1439" i="6"/>
  <c r="I1440" i="6"/>
  <c r="I1853" i="6"/>
  <c r="I1909" i="6"/>
  <c r="I1353" i="6"/>
  <c r="I917" i="6"/>
  <c r="I1386" i="6"/>
  <c r="G746" i="34"/>
  <c r="G742" i="34"/>
  <c r="I1422" i="6"/>
  <c r="I1418" i="6"/>
  <c r="I1414" i="6"/>
  <c r="I1413" i="6"/>
  <c r="I1420" i="6"/>
  <c r="I1416" i="6"/>
  <c r="I1421" i="6"/>
  <c r="I1417" i="6"/>
  <c r="I1419" i="6"/>
  <c r="I1415" i="6"/>
  <c r="I1412" i="6"/>
  <c r="I1719" i="6"/>
  <c r="I627" i="7"/>
  <c r="G72" i="34"/>
  <c r="I926" i="6"/>
  <c r="I1673" i="6"/>
  <c r="I937" i="7"/>
  <c r="I844" i="6"/>
  <c r="I849" i="6"/>
  <c r="I422" i="4"/>
  <c r="I845" i="6"/>
  <c r="I850" i="6"/>
  <c r="I846" i="6"/>
  <c r="I848" i="6"/>
  <c r="I147" i="6"/>
  <c r="I143" i="6"/>
  <c r="I847" i="6"/>
  <c r="G738" i="34"/>
  <c r="I966" i="7"/>
  <c r="H128" i="1"/>
  <c r="H126" i="1"/>
  <c r="H125" i="1"/>
  <c r="H124" i="1"/>
  <c r="G11" i="1"/>
  <c r="H608" i="7"/>
  <c r="I117" i="9"/>
  <c r="AK117" i="9"/>
  <c r="C108" i="15"/>
  <c r="C117" i="15"/>
  <c r="A46" i="15"/>
  <c r="A15" i="15" s="1"/>
  <c r="A55" i="15"/>
  <c r="A24" i="15" s="1"/>
  <c r="Q9" i="42"/>
  <c r="B300" i="42"/>
  <c r="B278" i="6"/>
  <c r="C278" i="6"/>
  <c r="C579" i="6"/>
  <c r="A1753" i="6"/>
  <c r="A1757" i="6" s="1"/>
  <c r="A1767" i="6" s="1"/>
  <c r="B1753" i="6"/>
  <c r="B1757" i="6" s="1"/>
  <c r="Q8" i="42"/>
  <c r="B40" i="15" s="1"/>
  <c r="D766" i="34"/>
  <c r="B743" i="6"/>
  <c r="D133" i="40"/>
  <c r="D46" i="40"/>
  <c r="D104" i="40"/>
  <c r="C68" i="42"/>
  <c r="Q68" i="42" s="1"/>
  <c r="A631" i="7"/>
  <c r="A642" i="7" s="1"/>
  <c r="C91" i="12"/>
  <c r="U263" i="9"/>
  <c r="D289" i="6"/>
  <c r="C2073" i="6"/>
  <c r="J641" i="6"/>
  <c r="K641" i="6"/>
  <c r="L641" i="6"/>
  <c r="M641" i="6"/>
  <c r="N641" i="6"/>
  <c r="F769" i="34"/>
  <c r="O641" i="6"/>
  <c r="D138" i="8"/>
  <c r="C419" i="6"/>
  <c r="G279" i="6"/>
  <c r="I279" i="6"/>
  <c r="K279" i="6"/>
  <c r="M279" i="6"/>
  <c r="O279" i="6"/>
  <c r="B2073" i="6"/>
  <c r="A7" i="3" s="1"/>
  <c r="J279" i="6"/>
  <c r="L279" i="6"/>
  <c r="N279" i="6"/>
  <c r="I441" i="8"/>
  <c r="I439" i="8"/>
  <c r="I930" i="4"/>
  <c r="I354" i="4" s="1"/>
  <c r="I876" i="4"/>
  <c r="G20" i="12"/>
  <c r="G26" i="12"/>
  <c r="G23" i="12"/>
  <c r="G21" i="12"/>
  <c r="G24" i="12"/>
  <c r="AR15" i="21"/>
  <c r="AP68" i="21"/>
  <c r="K72" i="16" s="1"/>
  <c r="AZ15" i="21"/>
  <c r="AJ15" i="21"/>
  <c r="AH68" i="21"/>
  <c r="AV15" i="21"/>
  <c r="AT68" i="21"/>
  <c r="D131" i="8"/>
  <c r="H528" i="8"/>
  <c r="I125" i="8"/>
  <c r="D121" i="8"/>
  <c r="J72" i="16"/>
  <c r="J74" i="21"/>
  <c r="J356" i="8"/>
  <c r="J94" i="8" s="1"/>
  <c r="R3" i="22"/>
  <c r="R78" i="22" s="1"/>
  <c r="R121" i="22" s="1"/>
  <c r="B64" i="16"/>
  <c r="D770" i="34"/>
  <c r="L26" i="37"/>
  <c r="AU72" i="37" s="1"/>
  <c r="AU37" i="37" s="1"/>
  <c r="I1616" i="6"/>
  <c r="I680" i="7"/>
  <c r="K81" i="1"/>
  <c r="G81" i="1"/>
  <c r="N81" i="1"/>
  <c r="J81" i="1"/>
  <c r="F81" i="1"/>
  <c r="H1114" i="7"/>
  <c r="H1113" i="7"/>
  <c r="H1160" i="7"/>
  <c r="M81" i="1"/>
  <c r="I81" i="1"/>
  <c r="L81" i="1"/>
  <c r="H81" i="1"/>
  <c r="O741" i="6"/>
  <c r="M741" i="6"/>
  <c r="K741" i="6"/>
  <c r="I741" i="6"/>
  <c r="D741" i="6"/>
  <c r="I745" i="6"/>
  <c r="N741" i="6"/>
  <c r="L741" i="6"/>
  <c r="J741" i="6"/>
  <c r="G741" i="6"/>
  <c r="G745" i="6"/>
  <c r="D745" i="6"/>
  <c r="C770" i="34"/>
  <c r="C778" i="34" s="1"/>
  <c r="K709" i="34"/>
  <c r="K789" i="34"/>
  <c r="K812" i="34" s="1"/>
  <c r="K822" i="34" s="1"/>
  <c r="G709" i="34"/>
  <c r="G789" i="34"/>
  <c r="G812" i="34" s="1"/>
  <c r="G822" i="34" s="1"/>
  <c r="F709" i="34"/>
  <c r="F789" i="34"/>
  <c r="F812" i="34" s="1"/>
  <c r="F822" i="34" s="1"/>
  <c r="L709" i="34"/>
  <c r="L789" i="34"/>
  <c r="L812" i="34" s="1"/>
  <c r="L822" i="34" s="1"/>
  <c r="H709" i="34"/>
  <c r="H789" i="34"/>
  <c r="H812" i="34" s="1"/>
  <c r="H822" i="34" s="1"/>
  <c r="D709" i="34"/>
  <c r="D789" i="34"/>
  <c r="D812" i="34" s="1"/>
  <c r="D822" i="34" s="1"/>
  <c r="I904" i="7"/>
  <c r="I1667" i="6"/>
  <c r="I523" i="4"/>
  <c r="I1791" i="6"/>
  <c r="I1810" i="6"/>
  <c r="I864" i="4"/>
  <c r="I866" i="4"/>
  <c r="D152" i="11"/>
  <c r="E152" i="11" s="1"/>
  <c r="D132" i="11"/>
  <c r="E132" i="11" s="1"/>
  <c r="G132" i="11" s="1"/>
  <c r="H132" i="11" s="1"/>
  <c r="J132" i="11" s="1"/>
  <c r="K132" i="11" s="1"/>
  <c r="M132" i="11" s="1"/>
  <c r="N132" i="11" s="1"/>
  <c r="P132" i="11" s="1"/>
  <c r="Q132" i="11" s="1"/>
  <c r="S132" i="11" s="1"/>
  <c r="T132" i="11" s="1"/>
  <c r="V132" i="11" s="1"/>
  <c r="W132" i="11" s="1"/>
  <c r="Y132" i="11" s="1"/>
  <c r="Z132" i="11" s="1"/>
  <c r="AB132" i="11" s="1"/>
  <c r="AC132" i="11" s="1"/>
  <c r="AE132" i="11" s="1"/>
  <c r="AF132" i="11" s="1"/>
  <c r="AH132" i="11" s="1"/>
  <c r="AI132" i="11" s="1"/>
  <c r="AK132" i="11" s="1"/>
  <c r="D407" i="6"/>
  <c r="D629" i="7"/>
  <c r="C57" i="19"/>
  <c r="C62" i="19"/>
  <c r="I540" i="4"/>
  <c r="I532" i="4"/>
  <c r="I526" i="4"/>
  <c r="I530" i="4"/>
  <c r="I515" i="4"/>
  <c r="I527" i="4"/>
  <c r="I529" i="4"/>
  <c r="I541" i="4"/>
  <c r="I533" i="4"/>
  <c r="H883" i="7"/>
  <c r="H884" i="7"/>
  <c r="H1280" i="6"/>
  <c r="F68" i="21"/>
  <c r="F705" i="34"/>
  <c r="G705" i="34" s="1"/>
  <c r="F704" i="34"/>
  <c r="H212" i="8"/>
  <c r="I951" i="7"/>
  <c r="H675" i="4"/>
  <c r="H724" i="7"/>
  <c r="H1359" i="6"/>
  <c r="H863" i="6"/>
  <c r="H998" i="6"/>
  <c r="H1358" i="6"/>
  <c r="H1623" i="6"/>
  <c r="H1066" i="6"/>
  <c r="I1896" i="6"/>
  <c r="H1169" i="7"/>
  <c r="M166" i="34"/>
  <c r="M223" i="34" s="1"/>
  <c r="M401" i="34" s="1"/>
  <c r="M709" i="34"/>
  <c r="I166" i="34"/>
  <c r="I223" i="34" s="1"/>
  <c r="I401" i="34" s="1"/>
  <c r="I709" i="34"/>
  <c r="E166" i="34"/>
  <c r="E223" i="34" s="1"/>
  <c r="E401" i="34" s="1"/>
  <c r="E709" i="34"/>
  <c r="C166" i="34"/>
  <c r="C223" i="34" s="1"/>
  <c r="C401" i="34" s="1"/>
  <c r="C709" i="34"/>
  <c r="J166" i="34"/>
  <c r="J223" i="34" s="1"/>
  <c r="J401" i="34" s="1"/>
  <c r="J709" i="34"/>
  <c r="E12" i="26"/>
  <c r="D25" i="48"/>
  <c r="E169" i="48" s="1"/>
  <c r="B778" i="34"/>
  <c r="B782" i="34" s="1"/>
  <c r="B784" i="34" s="1"/>
  <c r="E768" i="34"/>
  <c r="F777" i="34"/>
  <c r="A8" i="5"/>
  <c r="A26" i="5" s="1"/>
  <c r="A85" i="5"/>
  <c r="F18" i="12"/>
  <c r="F34" i="12" s="1"/>
  <c r="J18" i="12"/>
  <c r="J34" i="12" s="1"/>
  <c r="A18" i="12"/>
  <c r="G18" i="12"/>
  <c r="F3" i="40" s="1"/>
  <c r="K18" i="12"/>
  <c r="K34" i="12" s="1"/>
  <c r="C18" i="12"/>
  <c r="C3" i="12" s="1"/>
  <c r="H18" i="12"/>
  <c r="H3" i="12" s="1"/>
  <c r="L18" i="12"/>
  <c r="L34" i="12" s="1"/>
  <c r="E18" i="12"/>
  <c r="E3" i="12" s="1"/>
  <c r="I18" i="12"/>
  <c r="I34" i="12" s="1"/>
  <c r="M18" i="12"/>
  <c r="M34" i="12" s="1"/>
  <c r="J278" i="3"/>
  <c r="F278" i="3"/>
  <c r="M278" i="3"/>
  <c r="I278" i="3"/>
  <c r="L278" i="3"/>
  <c r="H278" i="3"/>
  <c r="K278" i="3"/>
  <c r="G278" i="3"/>
  <c r="S55" i="20"/>
  <c r="L21" i="20"/>
  <c r="G554" i="8"/>
  <c r="B40" i="17"/>
  <c r="C155" i="8"/>
  <c r="B32" i="3" s="1"/>
  <c r="B155" i="8"/>
  <c r="A32" i="3" s="1"/>
  <c r="A40" i="17"/>
  <c r="N21" i="20"/>
  <c r="I554" i="8"/>
  <c r="J21" i="20"/>
  <c r="D554" i="8"/>
  <c r="C105" i="40"/>
  <c r="C134" i="40" s="1"/>
  <c r="C47" i="40"/>
  <c r="A496" i="8"/>
  <c r="A424" i="8"/>
  <c r="A57" i="8"/>
  <c r="A39" i="8"/>
  <c r="A291" i="8"/>
  <c r="A228" i="8"/>
  <c r="F74" i="21"/>
  <c r="F72" i="16"/>
  <c r="N81" i="21"/>
  <c r="C94" i="8"/>
  <c r="M75" i="21"/>
  <c r="M83" i="21" s="1"/>
  <c r="H188" i="8"/>
  <c r="D654" i="6"/>
  <c r="C1181" i="7"/>
  <c r="C464" i="7" s="1"/>
  <c r="N1121" i="7"/>
  <c r="N833" i="7"/>
  <c r="J1121" i="7"/>
  <c r="J833" i="7"/>
  <c r="M1121" i="7"/>
  <c r="M833" i="7"/>
  <c r="I1121" i="7"/>
  <c r="I833" i="7"/>
  <c r="C1121" i="7"/>
  <c r="C833" i="7"/>
  <c r="C855" i="7" s="1"/>
  <c r="L1121" i="7"/>
  <c r="L833" i="7"/>
  <c r="G1121" i="7"/>
  <c r="G833" i="7"/>
  <c r="G855" i="7" s="1"/>
  <c r="A1121" i="7"/>
  <c r="A833" i="7"/>
  <c r="A855" i="7" s="1"/>
  <c r="A857" i="7" s="1"/>
  <c r="A859" i="7" s="1"/>
  <c r="A868" i="7" s="1"/>
  <c r="B1121" i="7"/>
  <c r="B1171" i="7" s="1"/>
  <c r="B833" i="7"/>
  <c r="B855" i="7" s="1"/>
  <c r="B857" i="7" s="1"/>
  <c r="D1121" i="7"/>
  <c r="D833" i="7"/>
  <c r="D855" i="7" s="1"/>
  <c r="D28" i="48" s="1"/>
  <c r="K1121" i="7"/>
  <c r="K833" i="7"/>
  <c r="O1121" i="7"/>
  <c r="O833" i="7"/>
  <c r="AE74" i="11"/>
  <c r="AF74" i="11" s="1"/>
  <c r="AH74" i="11" s="1"/>
  <c r="AI74" i="11" s="1"/>
  <c r="AK74" i="11" s="1"/>
  <c r="A64" i="16"/>
  <c r="B55" i="13"/>
  <c r="B355" i="42" s="1"/>
  <c r="G1338" i="6"/>
  <c r="G1840" i="6"/>
  <c r="I1338" i="6"/>
  <c r="I1840" i="6"/>
  <c r="J1338" i="6"/>
  <c r="J1840" i="6"/>
  <c r="K1338" i="6"/>
  <c r="K1840" i="6"/>
  <c r="L1338" i="6"/>
  <c r="L1840" i="6"/>
  <c r="M1338" i="6"/>
  <c r="M1840" i="6"/>
  <c r="N1338" i="6"/>
  <c r="N1840" i="6"/>
  <c r="O1338" i="6"/>
  <c r="O1840" i="6"/>
  <c r="C1338" i="6"/>
  <c r="C1840" i="6"/>
  <c r="R4" i="42"/>
  <c r="D1338" i="6"/>
  <c r="D1361" i="6" s="1"/>
  <c r="A1019" i="6"/>
  <c r="A1338" i="6"/>
  <c r="B1019" i="6"/>
  <c r="B1338" i="6"/>
  <c r="F145" i="45"/>
  <c r="P145" i="45"/>
  <c r="N266" i="45"/>
  <c r="P266" i="45"/>
  <c r="N402" i="45"/>
  <c r="P402" i="45"/>
  <c r="A72" i="15"/>
  <c r="A103" i="15"/>
  <c r="A82" i="15"/>
  <c r="E50" i="19"/>
  <c r="F49" i="19"/>
  <c r="G54" i="19"/>
  <c r="G53" i="19" s="1"/>
  <c r="F55" i="19"/>
  <c r="S94" i="19"/>
  <c r="B26" i="19"/>
  <c r="B62" i="19" s="1"/>
  <c r="B57" i="19"/>
  <c r="A47" i="19"/>
  <c r="G60" i="19"/>
  <c r="F14" i="19"/>
  <c r="H11" i="19" s="1"/>
  <c r="H14" i="19" s="1"/>
  <c r="J11" i="19" s="1"/>
  <c r="B178" i="5"/>
  <c r="H33" i="27"/>
  <c r="H31" i="27"/>
  <c r="I59" i="27"/>
  <c r="H45" i="27"/>
  <c r="H42" i="27"/>
  <c r="H39" i="27"/>
  <c r="H34" i="27"/>
  <c r="H32" i="27"/>
  <c r="H30" i="27"/>
  <c r="A280" i="15"/>
  <c r="H522" i="8"/>
  <c r="H483" i="8"/>
  <c r="H470" i="8"/>
  <c r="H466" i="8"/>
  <c r="H386" i="8"/>
  <c r="H504" i="8"/>
  <c r="H481" i="8"/>
  <c r="H469" i="8"/>
  <c r="H384" i="8"/>
  <c r="D58" i="8"/>
  <c r="H501" i="8"/>
  <c r="H479" i="8"/>
  <c r="H468" i="8"/>
  <c r="H395" i="8"/>
  <c r="H387" i="8"/>
  <c r="H396" i="8"/>
  <c r="H793" i="7"/>
  <c r="H918" i="7"/>
  <c r="D161" i="7"/>
  <c r="D305" i="7"/>
  <c r="D128" i="7"/>
  <c r="D292" i="7"/>
  <c r="H660" i="7"/>
  <c r="H652" i="7"/>
  <c r="D314" i="7"/>
  <c r="D129" i="7"/>
  <c r="D76" i="7"/>
  <c r="D313" i="7"/>
  <c r="D306" i="7"/>
  <c r="D258" i="7"/>
  <c r="D130" i="7"/>
  <c r="D291" i="7"/>
  <c r="H653" i="7"/>
  <c r="D312" i="7"/>
  <c r="D85" i="7"/>
  <c r="D293" i="7"/>
  <c r="D350" i="7"/>
  <c r="D455" i="6"/>
  <c r="D507" i="6"/>
  <c r="D2073" i="6" s="1"/>
  <c r="D324" i="6"/>
  <c r="D99" i="6"/>
  <c r="D91" i="6"/>
  <c r="D303" i="6"/>
  <c r="C1134" i="6"/>
  <c r="C1136" i="6" s="1"/>
  <c r="D711" i="6"/>
  <c r="D585" i="6"/>
  <c r="D436" i="6"/>
  <c r="D331" i="6"/>
  <c r="D323" i="6"/>
  <c r="D662" i="6"/>
  <c r="D1220" i="6"/>
  <c r="D309" i="6"/>
  <c r="D727" i="6"/>
  <c r="D584" i="6"/>
  <c r="D661" i="6"/>
  <c r="D659" i="6"/>
  <c r="D574" i="6"/>
  <c r="D479" i="6"/>
  <c r="D1221" i="6"/>
  <c r="D366" i="6" s="1"/>
  <c r="H1672" i="6"/>
  <c r="D735" i="6"/>
  <c r="D278" i="6"/>
  <c r="D726" i="6"/>
  <c r="D326" i="6"/>
  <c r="D670" i="6"/>
  <c r="D713" i="6"/>
  <c r="D302" i="6"/>
  <c r="D1474" i="6"/>
  <c r="C536" i="6"/>
  <c r="C14" i="6" s="1"/>
  <c r="D519" i="5"/>
  <c r="C22" i="3" s="1"/>
  <c r="A150" i="5"/>
  <c r="A152" i="5" s="1"/>
  <c r="D198" i="5"/>
  <c r="C190" i="5"/>
  <c r="D54" i="5"/>
  <c r="D146" i="5"/>
  <c r="C154" i="4"/>
  <c r="I1514" i="6"/>
  <c r="H692" i="4"/>
  <c r="B278" i="3"/>
  <c r="D4" i="48"/>
  <c r="C278" i="3"/>
  <c r="E4" i="48"/>
  <c r="K4" i="48" s="1"/>
  <c r="P8" i="42"/>
  <c r="P70" i="42" s="1"/>
  <c r="C8" i="12"/>
  <c r="B279" i="6"/>
  <c r="B54" i="6"/>
  <c r="C279" i="6"/>
  <c r="D279" i="6"/>
  <c r="D190" i="6"/>
  <c r="J627" i="6"/>
  <c r="I1978" i="6"/>
  <c r="I703" i="6" s="1"/>
  <c r="G703" i="6"/>
  <c r="H703" i="6" s="1"/>
  <c r="D488" i="6"/>
  <c r="D1033" i="6"/>
  <c r="D160" i="7"/>
  <c r="H315" i="8"/>
  <c r="H282" i="8"/>
  <c r="H209" i="8"/>
  <c r="H435" i="8"/>
  <c r="H445" i="8"/>
  <c r="H270" i="8"/>
  <c r="H281" i="8"/>
  <c r="H329" i="8"/>
  <c r="H452" i="8"/>
  <c r="H429" i="8"/>
  <c r="H448" i="8"/>
  <c r="I1936" i="6"/>
  <c r="H541" i="8"/>
  <c r="H342" i="8"/>
  <c r="G54" i="1"/>
  <c r="H54" i="1" s="1"/>
  <c r="D107" i="8"/>
  <c r="AT8" i="42" s="1"/>
  <c r="I193" i="6"/>
  <c r="D22" i="42"/>
  <c r="A102" i="15"/>
  <c r="H257" i="8"/>
  <c r="AV12" i="42"/>
  <c r="J17" i="17"/>
  <c r="J300" i="15" s="1"/>
  <c r="A71" i="15"/>
  <c r="C75" i="15"/>
  <c r="M17" i="16"/>
  <c r="M251" i="15" s="1"/>
  <c r="G17" i="16"/>
  <c r="G251" i="15" s="1"/>
  <c r="K17" i="16"/>
  <c r="K251" i="15" s="1"/>
  <c r="C31" i="16"/>
  <c r="B105" i="16"/>
  <c r="A255" i="15"/>
  <c r="M300" i="15"/>
  <c r="L300" i="15"/>
  <c r="I300" i="15"/>
  <c r="K300" i="15"/>
  <c r="H300" i="15"/>
  <c r="F16" i="17"/>
  <c r="AU41" i="42" s="1"/>
  <c r="G300" i="15"/>
  <c r="I17" i="16"/>
  <c r="I251" i="15" s="1"/>
  <c r="L17" i="16"/>
  <c r="L251" i="15" s="1"/>
  <c r="J17" i="16"/>
  <c r="J251" i="15" s="1"/>
  <c r="N22" i="8"/>
  <c r="N150" i="8"/>
  <c r="J22" i="8"/>
  <c r="J150" i="8"/>
  <c r="D22" i="8"/>
  <c r="D150" i="8"/>
  <c r="C20" i="8"/>
  <c r="C148" i="8"/>
  <c r="I22" i="8"/>
  <c r="I150" i="8"/>
  <c r="A20" i="8"/>
  <c r="B681" i="34" s="1"/>
  <c r="B682" i="34" s="1"/>
  <c r="B197" i="34" s="1"/>
  <c r="A148" i="8"/>
  <c r="M22" i="8"/>
  <c r="M150" i="8"/>
  <c r="AD11" i="42"/>
  <c r="C380" i="34"/>
  <c r="L22" i="8"/>
  <c r="L150" i="8"/>
  <c r="AS11" i="42"/>
  <c r="B105" i="15" s="1"/>
  <c r="D393" i="34"/>
  <c r="C7" i="48"/>
  <c r="O22" i="8"/>
  <c r="O150" i="8"/>
  <c r="K22" i="8"/>
  <c r="K150" i="8"/>
  <c r="G22" i="8"/>
  <c r="G150" i="8"/>
  <c r="D621" i="34"/>
  <c r="D622" i="34" s="1"/>
  <c r="D624" i="34" s="1"/>
  <c r="D245" i="34" s="1"/>
  <c r="AD29" i="42"/>
  <c r="A84" i="15"/>
  <c r="C22" i="42"/>
  <c r="H233" i="8"/>
  <c r="H249" i="8"/>
  <c r="H517" i="8"/>
  <c r="H1385" i="6"/>
  <c r="H1585" i="6"/>
  <c r="I447" i="4"/>
  <c r="I426" i="4"/>
  <c r="D77" i="6"/>
  <c r="E762" i="34"/>
  <c r="D78" i="6"/>
  <c r="H243" i="5"/>
  <c r="F94" i="1"/>
  <c r="I1857" i="6"/>
  <c r="I412" i="4"/>
  <c r="I571" i="7"/>
  <c r="I1183" i="6"/>
  <c r="I1070" i="6"/>
  <c r="I423" i="4"/>
  <c r="I75" i="4" s="1"/>
  <c r="I1238" i="6"/>
  <c r="I1384" i="6"/>
  <c r="I9" i="27"/>
  <c r="I692" i="7"/>
  <c r="I128" i="5"/>
  <c r="I245" i="5"/>
  <c r="I29" i="27"/>
  <c r="I710" i="4"/>
  <c r="I1186" i="6"/>
  <c r="I781" i="7"/>
  <c r="I290" i="7" s="1"/>
  <c r="I431" i="6"/>
  <c r="I1859" i="6"/>
  <c r="I174" i="5"/>
  <c r="I691" i="7"/>
  <c r="M25" i="48" s="1"/>
  <c r="M27" i="48" s="1"/>
  <c r="I688" i="7"/>
  <c r="I828" i="6"/>
  <c r="I1858" i="6"/>
  <c r="I428" i="4"/>
  <c r="J428" i="4" s="1"/>
  <c r="I1239" i="6"/>
  <c r="I1020" i="7"/>
  <c r="H919" i="7"/>
  <c r="H13" i="1"/>
  <c r="G65" i="1"/>
  <c r="G74" i="1"/>
  <c r="H74" i="1" s="1"/>
  <c r="I74" i="1" s="1"/>
  <c r="J74" i="1" s="1"/>
  <c r="K74" i="1" s="1"/>
  <c r="L74" i="1" s="1"/>
  <c r="M74" i="1" s="1"/>
  <c r="N74" i="1" s="1"/>
  <c r="O74" i="1" s="1"/>
  <c r="P74" i="1" s="1"/>
  <c r="H671" i="7"/>
  <c r="G69" i="1"/>
  <c r="H69" i="1" s="1"/>
  <c r="F72" i="1"/>
  <c r="K7" i="1"/>
  <c r="H672" i="7"/>
  <c r="L56" i="1"/>
  <c r="K12" i="1"/>
  <c r="L12" i="1" s="1"/>
  <c r="M12" i="1" s="1"/>
  <c r="N12" i="1" s="1"/>
  <c r="O12" i="1" s="1"/>
  <c r="P12" i="1" s="1"/>
  <c r="K1023" i="6"/>
  <c r="I16" i="27"/>
  <c r="H311" i="5"/>
  <c r="G661" i="34"/>
  <c r="E210" i="15"/>
  <c r="I579" i="4"/>
  <c r="H577" i="4"/>
  <c r="H576" i="4"/>
  <c r="I578" i="4"/>
  <c r="H972" i="6"/>
  <c r="H976" i="6"/>
  <c r="H683" i="4"/>
  <c r="H973" i="6"/>
  <c r="H675" i="7"/>
  <c r="H676" i="7"/>
  <c r="H679" i="7"/>
  <c r="H971" i="6"/>
  <c r="H970" i="6"/>
  <c r="H975" i="6"/>
  <c r="H974" i="6"/>
  <c r="H969" i="6"/>
  <c r="H869" i="4"/>
  <c r="F661" i="34"/>
  <c r="F662" i="34" s="1"/>
  <c r="E412" i="34"/>
  <c r="F412" i="34" s="1"/>
  <c r="F637" i="34"/>
  <c r="E421" i="34"/>
  <c r="F643" i="34"/>
  <c r="G643" i="34" s="1"/>
  <c r="E426" i="34"/>
  <c r="F649" i="34"/>
  <c r="G649" i="34" s="1"/>
  <c r="F631" i="34"/>
  <c r="G631" i="34" s="1"/>
  <c r="H624" i="4"/>
  <c r="I623" i="4"/>
  <c r="H622" i="4"/>
  <c r="E454" i="34"/>
  <c r="F454" i="34" s="1"/>
  <c r="E439" i="34"/>
  <c r="F439" i="34" s="1"/>
  <c r="E427" i="34"/>
  <c r="F427" i="34" s="1"/>
  <c r="F605" i="34"/>
  <c r="F581" i="34" s="1"/>
  <c r="F14" i="34"/>
  <c r="F15" i="34"/>
  <c r="F23" i="34"/>
  <c r="F49" i="34"/>
  <c r="G49" i="34" s="1"/>
  <c r="F107" i="34"/>
  <c r="G107" i="34" s="1"/>
  <c r="F120" i="34"/>
  <c r="G120" i="34" s="1"/>
  <c r="F99" i="34"/>
  <c r="G99" i="34" s="1"/>
  <c r="F111" i="34"/>
  <c r="G111" i="34" s="1"/>
  <c r="F70" i="34"/>
  <c r="G70" i="34" s="1"/>
  <c r="F79" i="34"/>
  <c r="G79" i="34" s="1"/>
  <c r="F50" i="34"/>
  <c r="G50" i="34" s="1"/>
  <c r="F105" i="34"/>
  <c r="G105" i="34" s="1"/>
  <c r="F113" i="34"/>
  <c r="G113" i="34" s="1"/>
  <c r="F90" i="34"/>
  <c r="G90" i="34" s="1"/>
  <c r="F66" i="34"/>
  <c r="G66" i="34" s="1"/>
  <c r="F48" i="34"/>
  <c r="G48" i="34" s="1"/>
  <c r="F97" i="34"/>
  <c r="G97" i="34" s="1"/>
  <c r="F91" i="34"/>
  <c r="G91" i="34" s="1"/>
  <c r="F89" i="34"/>
  <c r="F96" i="34"/>
  <c r="G96" i="34" s="1"/>
  <c r="F58" i="34"/>
  <c r="G58" i="34" s="1"/>
  <c r="F55" i="34"/>
  <c r="G55" i="34" s="1"/>
  <c r="F56" i="34"/>
  <c r="G56" i="34" s="1"/>
  <c r="F64" i="34"/>
  <c r="G64" i="34" s="1"/>
  <c r="F7" i="34"/>
  <c r="F9" i="34"/>
  <c r="F8" i="34"/>
  <c r="H882" i="7"/>
  <c r="F17" i="34"/>
  <c r="I1879" i="6"/>
  <c r="I1878" i="6"/>
  <c r="H1099" i="6"/>
  <c r="H1666" i="6"/>
  <c r="H1033" i="7"/>
  <c r="H1032" i="7"/>
  <c r="H1036" i="7"/>
  <c r="H1039" i="7"/>
  <c r="H41" i="27"/>
  <c r="H43" i="27"/>
  <c r="H565" i="4"/>
  <c r="I513" i="4"/>
  <c r="H714" i="4"/>
  <c r="H1606" i="6"/>
  <c r="H1306" i="6"/>
  <c r="L100" i="4"/>
  <c r="J84" i="34" s="1"/>
  <c r="J43" i="34"/>
  <c r="G100" i="4"/>
  <c r="F84" i="34" s="1"/>
  <c r="F43" i="34"/>
  <c r="D2" i="1"/>
  <c r="D81" i="1" s="1"/>
  <c r="C43" i="34"/>
  <c r="O100" i="4"/>
  <c r="M84" i="34" s="1"/>
  <c r="M43" i="34"/>
  <c r="K100" i="4"/>
  <c r="I84" i="34" s="1"/>
  <c r="I43" i="34"/>
  <c r="E84" i="34"/>
  <c r="E43" i="34"/>
  <c r="A100" i="4"/>
  <c r="B84" i="34" s="1"/>
  <c r="B43" i="34"/>
  <c r="N100" i="4"/>
  <c r="L84" i="34" s="1"/>
  <c r="L43" i="34"/>
  <c r="J100" i="4"/>
  <c r="H84" i="34" s="1"/>
  <c r="H43" i="34"/>
  <c r="C100" i="4"/>
  <c r="D84" i="34" s="1"/>
  <c r="D43" i="34"/>
  <c r="M100" i="4"/>
  <c r="K84" i="34" s="1"/>
  <c r="K43" i="34"/>
  <c r="I100" i="4"/>
  <c r="G84" i="34" s="1"/>
  <c r="G43" i="34"/>
  <c r="D159" i="5"/>
  <c r="D521" i="5" s="1"/>
  <c r="M159" i="5"/>
  <c r="M521" i="5" s="1"/>
  <c r="L159" i="5"/>
  <c r="L39" i="5" s="1"/>
  <c r="J46" i="3" s="1"/>
  <c r="O159" i="5"/>
  <c r="O39" i="5" s="1"/>
  <c r="M46" i="3" s="1"/>
  <c r="N159" i="5"/>
  <c r="N39" i="5" s="1"/>
  <c r="L46" i="3" s="1"/>
  <c r="C159" i="5"/>
  <c r="C521" i="5" s="1"/>
  <c r="B226" i="3"/>
  <c r="AU91" i="37"/>
  <c r="AU19" i="37"/>
  <c r="AV91" i="37"/>
  <c r="AV19" i="37"/>
  <c r="AT90" i="37"/>
  <c r="AT92" i="37" s="1"/>
  <c r="AT36" i="37"/>
  <c r="J2" i="37"/>
  <c r="AR3" i="37"/>
  <c r="AR13" i="37"/>
  <c r="AR47" i="37"/>
  <c r="J2010" i="6"/>
  <c r="D428" i="34"/>
  <c r="F284" i="34"/>
  <c r="F166" i="34"/>
  <c r="F223" i="34" s="1"/>
  <c r="F401" i="34" s="1"/>
  <c r="L125" i="34"/>
  <c r="L166" i="34"/>
  <c r="L223" i="34" s="1"/>
  <c r="L401" i="34" s="1"/>
  <c r="H284" i="34"/>
  <c r="H166" i="34"/>
  <c r="H223" i="34" s="1"/>
  <c r="H401" i="34" s="1"/>
  <c r="D125" i="34"/>
  <c r="D166" i="34"/>
  <c r="D223" i="34" s="1"/>
  <c r="D401" i="34" s="1"/>
  <c r="K125" i="34"/>
  <c r="K166" i="34"/>
  <c r="K223" i="34" s="1"/>
  <c r="K401" i="34" s="1"/>
  <c r="G284" i="34"/>
  <c r="G166" i="34"/>
  <c r="G223" i="34" s="1"/>
  <c r="G401" i="34" s="1"/>
  <c r="G193" i="5"/>
  <c r="H193" i="5" s="1"/>
  <c r="G485" i="5"/>
  <c r="D161" i="34"/>
  <c r="G29" i="34"/>
  <c r="F170" i="14"/>
  <c r="F188" i="14"/>
  <c r="J170" i="14"/>
  <c r="J188" i="14"/>
  <c r="N170" i="14"/>
  <c r="N188" i="14"/>
  <c r="G170" i="14"/>
  <c r="G188" i="14"/>
  <c r="K170" i="14"/>
  <c r="K188" i="14"/>
  <c r="H170" i="14"/>
  <c r="H188" i="14"/>
  <c r="L170" i="14"/>
  <c r="L188" i="14"/>
  <c r="I170" i="14"/>
  <c r="I188" i="14"/>
  <c r="M170" i="14"/>
  <c r="M188" i="14"/>
  <c r="D154" i="14"/>
  <c r="G64" i="14"/>
  <c r="B155" i="3" s="1"/>
  <c r="E583" i="34"/>
  <c r="D583" i="34"/>
  <c r="C125" i="13"/>
  <c r="D866" i="7"/>
  <c r="D332" i="7" s="1"/>
  <c r="D132" i="7"/>
  <c r="C191" i="4"/>
  <c r="A191" i="4"/>
  <c r="A196" i="4" s="1"/>
  <c r="I228" i="4"/>
  <c r="D12" i="26"/>
  <c r="C12" i="26"/>
  <c r="C105" i="16"/>
  <c r="D20" i="8"/>
  <c r="AR20" i="42"/>
  <c r="B20" i="8"/>
  <c r="I583" i="8"/>
  <c r="G583" i="8"/>
  <c r="H583" i="8" s="1"/>
  <c r="G599" i="6"/>
  <c r="H599" i="6" s="1"/>
  <c r="I598" i="6"/>
  <c r="I605" i="6" s="1"/>
  <c r="G598" i="6"/>
  <c r="H598" i="6" s="1"/>
  <c r="B288" i="6"/>
  <c r="C96" i="12"/>
  <c r="B23" i="6"/>
  <c r="D128" i="11"/>
  <c r="D92" i="11"/>
  <c r="E92" i="11" s="1"/>
  <c r="G92" i="11" s="1"/>
  <c r="H92" i="11" s="1"/>
  <c r="J92" i="11" s="1"/>
  <c r="K92" i="11" s="1"/>
  <c r="M92" i="11" s="1"/>
  <c r="N92" i="11" s="1"/>
  <c r="P92" i="11" s="1"/>
  <c r="Q92" i="11" s="1"/>
  <c r="S92" i="11" s="1"/>
  <c r="T92" i="11" s="1"/>
  <c r="V92" i="11" s="1"/>
  <c r="W92" i="11" s="1"/>
  <c r="Y92" i="11" s="1"/>
  <c r="Z92" i="11" s="1"/>
  <c r="AB92" i="11" s="1"/>
  <c r="AC92" i="11" s="1"/>
  <c r="AE92" i="11" s="1"/>
  <c r="AF92" i="11" s="1"/>
  <c r="AH92" i="11" s="1"/>
  <c r="AI92" i="11" s="1"/>
  <c r="AK92" i="11" s="1"/>
  <c r="I568" i="7"/>
  <c r="I563" i="7"/>
  <c r="G127" i="7"/>
  <c r="H127" i="7" s="1"/>
  <c r="L75" i="21"/>
  <c r="L83" i="21" s="1"/>
  <c r="U3" i="22"/>
  <c r="U78" i="22" s="1"/>
  <c r="U121" i="22" s="1"/>
  <c r="I356" i="8"/>
  <c r="I94" i="8" s="1"/>
  <c r="G75" i="21"/>
  <c r="G83" i="21" s="1"/>
  <c r="I18" i="27"/>
  <c r="A53" i="27"/>
  <c r="A55" i="27" s="1"/>
  <c r="A65" i="27" s="1"/>
  <c r="A57" i="13"/>
  <c r="P41" i="42" s="1"/>
  <c r="D16" i="11"/>
  <c r="E16" i="11" s="1"/>
  <c r="G16" i="11" s="1"/>
  <c r="A9" i="5"/>
  <c r="B320" i="5"/>
  <c r="B322" i="5" s="1"/>
  <c r="B332" i="5" s="1"/>
  <c r="B196" i="4"/>
  <c r="C467" i="7"/>
  <c r="D1185" i="7"/>
  <c r="D468" i="7" s="1"/>
  <c r="E65" i="9"/>
  <c r="B467" i="7"/>
  <c r="G1185" i="7"/>
  <c r="G468" i="7" s="1"/>
  <c r="I1185" i="7"/>
  <c r="I468" i="7" s="1"/>
  <c r="G65" i="9"/>
  <c r="G66" i="1"/>
  <c r="C9" i="5"/>
  <c r="I621" i="7"/>
  <c r="J621" i="7" s="1"/>
  <c r="K621" i="7" s="1"/>
  <c r="L621" i="7" s="1"/>
  <c r="M621" i="7" s="1"/>
  <c r="N621" i="7" s="1"/>
  <c r="O621" i="7" s="1"/>
  <c r="P621" i="7" s="1"/>
  <c r="Q621" i="7" s="1"/>
  <c r="R621" i="7" s="1"/>
  <c r="I78" i="1"/>
  <c r="H76" i="1"/>
  <c r="F25" i="34"/>
  <c r="H785" i="7"/>
  <c r="I393" i="4"/>
  <c r="H686" i="4"/>
  <c r="H235" i="8"/>
  <c r="K1835" i="6"/>
  <c r="L1835" i="6" s="1"/>
  <c r="M1835" i="6" s="1"/>
  <c r="N1835" i="6" s="1"/>
  <c r="O1835" i="6" s="1"/>
  <c r="P1835" i="6" s="1"/>
  <c r="P49" i="1"/>
  <c r="L55" i="1"/>
  <c r="K288" i="3" s="1"/>
  <c r="J644" i="6"/>
  <c r="E763" i="34"/>
  <c r="D289" i="7"/>
  <c r="B53" i="27"/>
  <c r="B55" i="27" s="1"/>
  <c r="B65" i="27" s="1"/>
  <c r="B449" i="5"/>
  <c r="B451" i="5" s="1"/>
  <c r="B459" i="5" s="1"/>
  <c r="D56" i="8"/>
  <c r="G68" i="1"/>
  <c r="H68" i="1" s="1"/>
  <c r="I68" i="1" s="1"/>
  <c r="J68" i="1" s="1"/>
  <c r="K68" i="1" s="1"/>
  <c r="L68" i="1" s="1"/>
  <c r="H15" i="1"/>
  <c r="C67" i="19" s="1"/>
  <c r="H600" i="7"/>
  <c r="G646" i="6"/>
  <c r="H646" i="6" s="1"/>
  <c r="K1776" i="6"/>
  <c r="K1834" i="6"/>
  <c r="K2006" i="6" s="1"/>
  <c r="B7" i="42"/>
  <c r="B69" i="42" s="1"/>
  <c r="J1782" i="6"/>
  <c r="J8" i="1"/>
  <c r="J11" i="1" s="1"/>
  <c r="I38" i="27"/>
  <c r="I49" i="27"/>
  <c r="I54" i="27" s="1"/>
  <c r="I803" i="7"/>
  <c r="I339" i="6"/>
  <c r="I39" i="27"/>
  <c r="I1438" i="6"/>
  <c r="H1407" i="6"/>
  <c r="I1409" i="6"/>
  <c r="I521" i="4"/>
  <c r="H955" i="7"/>
  <c r="H957" i="7"/>
  <c r="H976" i="7"/>
  <c r="H985" i="7"/>
  <c r="H984" i="7"/>
  <c r="H987" i="7"/>
  <c r="H967" i="7"/>
  <c r="H949" i="7"/>
  <c r="H986" i="7"/>
  <c r="H959" i="7"/>
  <c r="H1041" i="7"/>
  <c r="D1183" i="7"/>
  <c r="H14" i="1"/>
  <c r="I14" i="1" s="1"/>
  <c r="J14" i="1" s="1"/>
  <c r="K14" i="1" s="1"/>
  <c r="L14" i="1" s="1"/>
  <c r="M14" i="1" s="1"/>
  <c r="N14" i="1" s="1"/>
  <c r="O14" i="1" s="1"/>
  <c r="P14" i="1" s="1"/>
  <c r="C466" i="7"/>
  <c r="I1411" i="6"/>
  <c r="I834" i="6"/>
  <c r="H187" i="8"/>
  <c r="H185" i="8"/>
  <c r="H338" i="8"/>
  <c r="H283" i="8"/>
  <c r="H243" i="8"/>
  <c r="G451" i="7"/>
  <c r="H451" i="7" s="1"/>
  <c r="H1157" i="7"/>
  <c r="H1156" i="7"/>
  <c r="H1159" i="7"/>
  <c r="H1152" i="7"/>
  <c r="H1154" i="7"/>
  <c r="H1158" i="7"/>
  <c r="H1155" i="7"/>
  <c r="H1153" i="7"/>
  <c r="H887" i="6"/>
  <c r="I832" i="6"/>
  <c r="I923" i="6"/>
  <c r="H820" i="6"/>
  <c r="I925" i="6"/>
  <c r="I922" i="6"/>
  <c r="I921" i="6"/>
  <c r="H821" i="6"/>
  <c r="I919" i="6"/>
  <c r="H764" i="4"/>
  <c r="H933" i="7"/>
  <c r="H311" i="6"/>
  <c r="H1655" i="6"/>
  <c r="H1094" i="6"/>
  <c r="I1869" i="6"/>
  <c r="I1864" i="6"/>
  <c r="D668" i="6"/>
  <c r="D667" i="6"/>
  <c r="I1935" i="6"/>
  <c r="D669" i="6"/>
  <c r="D631" i="6"/>
  <c r="I81" i="21"/>
  <c r="J75" i="21"/>
  <c r="J83" i="21" s="1"/>
  <c r="E75" i="21"/>
  <c r="E83" i="21" s="1"/>
  <c r="D356" i="8"/>
  <c r="D94" i="8" s="1"/>
  <c r="L356" i="8"/>
  <c r="L94" i="8" s="1"/>
  <c r="H75" i="21"/>
  <c r="H83" i="21" s="1"/>
  <c r="K75" i="21"/>
  <c r="K83" i="21" s="1"/>
  <c r="F75" i="21"/>
  <c r="F83" i="21" s="1"/>
  <c r="J13" i="19"/>
  <c r="J1781" i="6"/>
  <c r="J630" i="6" s="1"/>
  <c r="C108" i="6"/>
  <c r="I40" i="5"/>
  <c r="G60" i="3" s="1"/>
  <c r="D108" i="6"/>
  <c r="B108" i="6"/>
  <c r="C164" i="6"/>
  <c r="C114" i="42" s="1"/>
  <c r="I194" i="6"/>
  <c r="B229" i="6"/>
  <c r="D231" i="6"/>
  <c r="G231" i="6"/>
  <c r="K230" i="6"/>
  <c r="L229" i="6"/>
  <c r="O230" i="6"/>
  <c r="C231" i="6"/>
  <c r="D209" i="6"/>
  <c r="D95" i="6"/>
  <c r="I230" i="6"/>
  <c r="J230" i="6"/>
  <c r="K229" i="6"/>
  <c r="N230" i="6"/>
  <c r="O229" i="6"/>
  <c r="C230" i="6"/>
  <c r="G214" i="6"/>
  <c r="H214" i="6" s="1"/>
  <c r="D230" i="6"/>
  <c r="G230" i="6"/>
  <c r="I229" i="6"/>
  <c r="J229" i="6"/>
  <c r="M230" i="6"/>
  <c r="N229" i="6"/>
  <c r="C229" i="6"/>
  <c r="D205" i="6"/>
  <c r="B230" i="6"/>
  <c r="B231" i="6"/>
  <c r="D229" i="6"/>
  <c r="G229" i="6"/>
  <c r="L230" i="6"/>
  <c r="M229" i="6"/>
  <c r="D210" i="6"/>
  <c r="D204" i="6"/>
  <c r="C9" i="11"/>
  <c r="D9" i="11" s="1"/>
  <c r="E9" i="11" s="1"/>
  <c r="G356" i="8"/>
  <c r="G94" i="8" s="1"/>
  <c r="B290" i="6"/>
  <c r="CL174" i="9"/>
  <c r="D1373" i="6"/>
  <c r="D465" i="6" s="1"/>
  <c r="E125" i="13"/>
  <c r="B475" i="4"/>
  <c r="B92" i="4" s="1"/>
  <c r="C501" i="6"/>
  <c r="C717" i="6"/>
  <c r="A505" i="5"/>
  <c r="I54" i="5"/>
  <c r="A101" i="5"/>
  <c r="A477" i="5" s="1"/>
  <c r="B688" i="6"/>
  <c r="C688" i="6"/>
  <c r="C4" i="48"/>
  <c r="I4" i="48" s="1"/>
  <c r="B24" i="3"/>
  <c r="B689" i="6"/>
  <c r="O685" i="6"/>
  <c r="N685" i="6"/>
  <c r="C685" i="6"/>
  <c r="M685" i="6"/>
  <c r="L685" i="6"/>
  <c r="K685" i="6"/>
  <c r="J685" i="6"/>
  <c r="I685" i="6"/>
  <c r="G685" i="6"/>
  <c r="D685" i="6"/>
  <c r="D33" i="19"/>
  <c r="D97" i="19" s="1"/>
  <c r="U174" i="9"/>
  <c r="D35" i="11"/>
  <c r="E35" i="11" s="1"/>
  <c r="G35" i="11" s="1"/>
  <c r="H35" i="11" s="1"/>
  <c r="J35" i="11" s="1"/>
  <c r="K35" i="11" s="1"/>
  <c r="C641" i="6"/>
  <c r="I641" i="6"/>
  <c r="D641" i="6"/>
  <c r="G641" i="6"/>
  <c r="B385" i="5"/>
  <c r="B387" i="5" s="1"/>
  <c r="B396" i="5" s="1"/>
  <c r="A449" i="5"/>
  <c r="C497" i="5"/>
  <c r="B110" i="42"/>
  <c r="D346" i="7"/>
  <c r="C175" i="7"/>
  <c r="D483" i="7"/>
  <c r="I1144" i="6"/>
  <c r="I352" i="6" s="1"/>
  <c r="I69" i="1"/>
  <c r="J70" i="1"/>
  <c r="K70" i="1" s="1"/>
  <c r="L70" i="1" s="1"/>
  <c r="M70" i="1" s="1"/>
  <c r="N70" i="1" s="1"/>
  <c r="O70" i="1" s="1"/>
  <c r="P70" i="1" s="1"/>
  <c r="H684" i="4"/>
  <c r="H699" i="4"/>
  <c r="S48" i="20"/>
  <c r="I27" i="27"/>
  <c r="G450" i="5"/>
  <c r="H450" i="5" s="1"/>
  <c r="I40" i="27"/>
  <c r="S95" i="20"/>
  <c r="B12" i="26"/>
  <c r="G292" i="4"/>
  <c r="H292" i="4" s="1"/>
  <c r="H758" i="4"/>
  <c r="H802" i="4"/>
  <c r="H808" i="4"/>
  <c r="H810" i="4"/>
  <c r="H812" i="4"/>
  <c r="H818" i="4"/>
  <c r="H754" i="4"/>
  <c r="H823" i="4"/>
  <c r="H825" i="4"/>
  <c r="H827" i="4"/>
  <c r="H829" i="4"/>
  <c r="H832" i="4"/>
  <c r="H753" i="4"/>
  <c r="H742" i="4"/>
  <c r="H759" i="4"/>
  <c r="H803" i="4"/>
  <c r="H809" i="4"/>
  <c r="H813" i="4"/>
  <c r="H817" i="4"/>
  <c r="G232" i="4"/>
  <c r="H232" i="4" s="1"/>
  <c r="H755" i="4"/>
  <c r="H824" i="4"/>
  <c r="H826" i="4"/>
  <c r="H828" i="4"/>
  <c r="H830" i="4"/>
  <c r="H833" i="4"/>
  <c r="H799" i="4"/>
  <c r="G222" i="4"/>
  <c r="H222" i="4" s="1"/>
  <c r="H763" i="4"/>
  <c r="H875" i="4"/>
  <c r="H982" i="7"/>
  <c r="H981" i="7"/>
  <c r="H915" i="4"/>
  <c r="H1332" i="6"/>
  <c r="H994" i="6"/>
  <c r="I856" i="6"/>
  <c r="I842" i="6"/>
  <c r="I830" i="6"/>
  <c r="H789" i="6"/>
  <c r="G99" i="6"/>
  <c r="C463" i="6"/>
  <c r="B795" i="4"/>
  <c r="G795" i="4"/>
  <c r="D701" i="6"/>
  <c r="A795" i="4"/>
  <c r="I241" i="6"/>
  <c r="I795" i="4"/>
  <c r="J795" i="4"/>
  <c r="K795" i="4"/>
  <c r="L1514" i="6"/>
  <c r="L795" i="4"/>
  <c r="M795" i="4"/>
  <c r="N795" i="4"/>
  <c r="O795" i="4"/>
  <c r="C72" i="6"/>
  <c r="C125" i="6" s="1"/>
  <c r="C795" i="4"/>
  <c r="D107" i="11"/>
  <c r="E107" i="11" s="1"/>
  <c r="G107" i="11" s="1"/>
  <c r="H107" i="11" s="1"/>
  <c r="J107" i="11" s="1"/>
  <c r="K107" i="11" s="1"/>
  <c r="M107" i="11" s="1"/>
  <c r="N107" i="11" s="1"/>
  <c r="P107" i="11" s="1"/>
  <c r="Q107" i="11" s="1"/>
  <c r="S107" i="11" s="1"/>
  <c r="T107" i="11" s="1"/>
  <c r="V107" i="11" s="1"/>
  <c r="W107" i="11" s="1"/>
  <c r="Y107" i="11" s="1"/>
  <c r="Z107" i="11" s="1"/>
  <c r="AB107" i="11" s="1"/>
  <c r="AC107" i="11" s="1"/>
  <c r="AE107" i="11" s="1"/>
  <c r="AF107" i="11" s="1"/>
  <c r="AH107" i="11" s="1"/>
  <c r="AI107" i="11" s="1"/>
  <c r="AK107" i="11" s="1"/>
  <c r="A857" i="4"/>
  <c r="A737" i="4"/>
  <c r="N857" i="4"/>
  <c r="N737" i="4"/>
  <c r="J857" i="4"/>
  <c r="J737" i="4"/>
  <c r="K857" i="4"/>
  <c r="K737" i="4"/>
  <c r="O857" i="4"/>
  <c r="O737" i="4"/>
  <c r="C857" i="4"/>
  <c r="C737" i="4"/>
  <c r="L857" i="4"/>
  <c r="L737" i="4"/>
  <c r="G857" i="4"/>
  <c r="G737" i="4"/>
  <c r="B857" i="4"/>
  <c r="B737" i="4"/>
  <c r="M857" i="4"/>
  <c r="M737" i="4"/>
  <c r="I857" i="4"/>
  <c r="I737" i="4"/>
  <c r="O402" i="45"/>
  <c r="N185" i="6"/>
  <c r="L361" i="6"/>
  <c r="D284" i="34"/>
  <c r="N241" i="6"/>
  <c r="H125" i="34"/>
  <c r="L284" i="34"/>
  <c r="R98" i="37"/>
  <c r="T25" i="37"/>
  <c r="T98" i="37" s="1"/>
  <c r="H87" i="1"/>
  <c r="G94" i="1"/>
  <c r="I1026" i="6"/>
  <c r="I248" i="6" s="1"/>
  <c r="I97" i="5"/>
  <c r="H1108" i="7"/>
  <c r="H1141" i="7"/>
  <c r="H1132" i="7"/>
  <c r="H1151" i="7"/>
  <c r="H1107" i="7"/>
  <c r="H1142" i="7"/>
  <c r="H1138" i="7"/>
  <c r="H1128" i="7"/>
  <c r="H1129" i="7"/>
  <c r="H1109" i="7"/>
  <c r="H1140" i="7"/>
  <c r="H1130" i="7"/>
  <c r="H1112" i="7"/>
  <c r="H634" i="4"/>
  <c r="I12" i="27"/>
  <c r="I28" i="27"/>
  <c r="I17" i="27"/>
  <c r="G52" i="1"/>
  <c r="H52" i="1" s="1"/>
  <c r="B464" i="7"/>
  <c r="H1740" i="6"/>
  <c r="H1987" i="6"/>
  <c r="H1988" i="6"/>
  <c r="H584" i="4"/>
  <c r="H588" i="4"/>
  <c r="H583" i="4"/>
  <c r="I429" i="6"/>
  <c r="H927" i="7"/>
  <c r="M57" i="37"/>
  <c r="N57" i="37" s="1"/>
  <c r="M14" i="37"/>
  <c r="M18" i="37"/>
  <c r="M22" i="37"/>
  <c r="M60" i="37"/>
  <c r="N60" i="37" s="1"/>
  <c r="M17" i="37"/>
  <c r="M21" i="37"/>
  <c r="M58" i="37"/>
  <c r="N58" i="37" s="1"/>
  <c r="M16" i="37"/>
  <c r="M20" i="37"/>
  <c r="M55" i="37"/>
  <c r="N55" i="37" s="1"/>
  <c r="M15" i="37"/>
  <c r="M19" i="37"/>
  <c r="M23" i="37"/>
  <c r="G666" i="6"/>
  <c r="H666" i="6" s="1"/>
  <c r="G660" i="6"/>
  <c r="H660" i="6" s="1"/>
  <c r="H564" i="4"/>
  <c r="I561" i="4"/>
  <c r="H563" i="4"/>
  <c r="H238" i="8"/>
  <c r="M12" i="37"/>
  <c r="AV57" i="37" s="1"/>
  <c r="M13" i="37"/>
  <c r="H562" i="4"/>
  <c r="H566" i="4"/>
  <c r="H651" i="4"/>
  <c r="H652" i="4"/>
  <c r="H646" i="4"/>
  <c r="I537" i="4"/>
  <c r="H960" i="7"/>
  <c r="I1895" i="6"/>
  <c r="G663" i="6"/>
  <c r="H663" i="6" s="1"/>
  <c r="I801" i="7"/>
  <c r="H271" i="8"/>
  <c r="H1608" i="6"/>
  <c r="H914" i="4"/>
  <c r="H233" i="5"/>
  <c r="H886" i="7"/>
  <c r="H887" i="7"/>
  <c r="G347" i="4"/>
  <c r="H347" i="4" s="1"/>
  <c r="H874" i="4"/>
  <c r="H870" i="4"/>
  <c r="H862" i="4"/>
  <c r="H865" i="4"/>
  <c r="I871" i="4"/>
  <c r="I890" i="4" s="1"/>
  <c r="H892" i="4"/>
  <c r="H896" i="4"/>
  <c r="H898" i="4"/>
  <c r="H900" i="4"/>
  <c r="H902" i="4"/>
  <c r="H905" i="4"/>
  <c r="H907" i="4"/>
  <c r="I909" i="4"/>
  <c r="H886" i="4"/>
  <c r="H891" i="4"/>
  <c r="H867" i="4"/>
  <c r="H873" i="4"/>
  <c r="I893" i="4"/>
  <c r="H897" i="4"/>
  <c r="H899" i="4"/>
  <c r="H901" i="4"/>
  <c r="H903" i="4"/>
  <c r="H906" i="4"/>
  <c r="H908" i="4"/>
  <c r="H924" i="4"/>
  <c r="H925" i="4"/>
  <c r="I887" i="4"/>
  <c r="H863" i="4"/>
  <c r="I858" i="6"/>
  <c r="I71" i="4"/>
  <c r="H1602" i="6"/>
  <c r="H1331" i="6"/>
  <c r="H1351" i="6"/>
  <c r="H1354" i="6"/>
  <c r="H1605" i="6"/>
  <c r="H604" i="7"/>
  <c r="H612" i="7"/>
  <c r="H618" i="7"/>
  <c r="I528" i="4"/>
  <c r="H1288" i="6"/>
  <c r="H1598" i="6"/>
  <c r="H492" i="7"/>
  <c r="H611" i="7"/>
  <c r="H617" i="7"/>
  <c r="H574" i="4"/>
  <c r="H571" i="4"/>
  <c r="H575" i="4"/>
  <c r="G632" i="6"/>
  <c r="H632" i="6" s="1"/>
  <c r="H498" i="7"/>
  <c r="I1330" i="6"/>
  <c r="I1343" i="6"/>
  <c r="H1352" i="6"/>
  <c r="H1603" i="6"/>
  <c r="H1604" i="6"/>
  <c r="H1614" i="6"/>
  <c r="H489" i="7"/>
  <c r="H511" i="7"/>
  <c r="H610" i="7"/>
  <c r="H616" i="7"/>
  <c r="H1780" i="6"/>
  <c r="G645" i="6"/>
  <c r="H645" i="6" s="1"/>
  <c r="H1278" i="6"/>
  <c r="H1346" i="6"/>
  <c r="H490" i="7"/>
  <c r="H605" i="7"/>
  <c r="H613" i="7"/>
  <c r="I570" i="4"/>
  <c r="H572" i="4"/>
  <c r="H1601" i="6"/>
  <c r="H958" i="7"/>
  <c r="H1247" i="6"/>
  <c r="G1488" i="6"/>
  <c r="H972" i="7"/>
  <c r="H683" i="7"/>
  <c r="I1807" i="6"/>
  <c r="G90" i="6"/>
  <c r="H90" i="6" s="1"/>
  <c r="I829" i="6"/>
  <c r="H1246" i="6"/>
  <c r="H928" i="7"/>
  <c r="H971" i="7"/>
  <c r="H889" i="7"/>
  <c r="H677" i="4"/>
  <c r="H682" i="4"/>
  <c r="H199" i="8"/>
  <c r="H1030" i="7"/>
  <c r="H1044" i="7"/>
  <c r="H1029" i="7"/>
  <c r="H1031" i="7"/>
  <c r="H1028" i="7"/>
  <c r="H1038" i="7"/>
  <c r="H853" i="7"/>
  <c r="H850" i="7"/>
  <c r="I841" i="7"/>
  <c r="I839" i="7"/>
  <c r="I827" i="7"/>
  <c r="I825" i="7"/>
  <c r="I820" i="7"/>
  <c r="I818" i="7"/>
  <c r="I816" i="7"/>
  <c r="I814" i="7"/>
  <c r="I806" i="7"/>
  <c r="I804" i="7"/>
  <c r="I802" i="7"/>
  <c r="I799" i="7"/>
  <c r="I795" i="7"/>
  <c r="H749" i="7"/>
  <c r="H746" i="7"/>
  <c r="H742" i="7"/>
  <c r="I573" i="7"/>
  <c r="H523" i="7"/>
  <c r="H521" i="7"/>
  <c r="H519" i="7"/>
  <c r="H510" i="7"/>
  <c r="H507" i="7"/>
  <c r="H505" i="7"/>
  <c r="H706" i="4"/>
  <c r="H704" i="4"/>
  <c r="H698" i="4"/>
  <c r="H702" i="4"/>
  <c r="H707" i="4"/>
  <c r="H703" i="4"/>
  <c r="H694" i="4"/>
  <c r="I534" i="4"/>
  <c r="I535" i="4"/>
  <c r="I520" i="4"/>
  <c r="I510" i="4"/>
  <c r="I511" i="4"/>
  <c r="I514" i="4"/>
  <c r="H2009" i="6"/>
  <c r="H2005" i="6"/>
  <c r="H2003" i="6"/>
  <c r="H1996" i="6"/>
  <c r="H1986" i="6"/>
  <c r="H1984" i="6"/>
  <c r="H1739" i="6"/>
  <c r="H1727" i="6"/>
  <c r="H1679" i="6"/>
  <c r="H1677" i="6"/>
  <c r="H1670" i="6"/>
  <c r="H1668" i="6"/>
  <c r="H1662" i="6"/>
  <c r="H1615" i="6"/>
  <c r="H1612" i="6"/>
  <c r="H1600" i="6"/>
  <c r="H1479" i="6"/>
  <c r="H1485" i="6"/>
  <c r="H1483" i="6"/>
  <c r="H1481" i="6"/>
  <c r="I1408" i="6"/>
  <c r="H1348" i="6"/>
  <c r="H1344" i="6"/>
  <c r="H1334" i="6"/>
  <c r="I1188" i="6"/>
  <c r="I1185" i="6"/>
  <c r="I1182" i="6"/>
  <c r="I1024" i="6"/>
  <c r="I246" i="6" s="1"/>
  <c r="I8" i="27"/>
  <c r="J750" i="4"/>
  <c r="J367" i="5"/>
  <c r="I1972" i="6"/>
  <c r="I1971" i="6"/>
  <c r="I15" i="1"/>
  <c r="C72" i="19" s="1"/>
  <c r="I26" i="27"/>
  <c r="J26" i="27" s="1"/>
  <c r="I25" i="27"/>
  <c r="I44" i="27"/>
  <c r="M81" i="21"/>
  <c r="I33" i="27"/>
  <c r="I32" i="27"/>
  <c r="H369" i="8"/>
  <c r="I608" i="7"/>
  <c r="J608" i="7" s="1"/>
  <c r="K608" i="7" s="1"/>
  <c r="H609" i="7"/>
  <c r="H173" i="8"/>
  <c r="K522" i="5"/>
  <c r="C4" i="37"/>
  <c r="D2" i="37" s="1"/>
  <c r="C92" i="37"/>
  <c r="C94" i="37" s="1"/>
  <c r="F66" i="37"/>
  <c r="F69" i="37" s="1"/>
  <c r="E82" i="37"/>
  <c r="B1142" i="6"/>
  <c r="B350" i="6" s="1"/>
  <c r="J431" i="5"/>
  <c r="J372" i="5"/>
  <c r="I363" i="5"/>
  <c r="B1076" i="6"/>
  <c r="B286" i="6" s="1"/>
  <c r="H364" i="5"/>
  <c r="C5" i="12"/>
  <c r="A96" i="12"/>
  <c r="B334" i="6"/>
  <c r="H189" i="8"/>
  <c r="H1035" i="7"/>
  <c r="H1034" i="7"/>
  <c r="H1043" i="7"/>
  <c r="H1042" i="7"/>
  <c r="H1040" i="7"/>
  <c r="H1037" i="7"/>
  <c r="H852" i="7"/>
  <c r="H849" i="7"/>
  <c r="I842" i="7"/>
  <c r="I840" i="7"/>
  <c r="H838" i="7"/>
  <c r="I826" i="7"/>
  <c r="I821" i="7"/>
  <c r="I819" i="7"/>
  <c r="J819" i="7" s="1"/>
  <c r="I815" i="7"/>
  <c r="I813" i="7"/>
  <c r="I805" i="7"/>
  <c r="J805" i="7" s="1"/>
  <c r="I800" i="7"/>
  <c r="I794" i="7"/>
  <c r="H750" i="7"/>
  <c r="H747" i="7"/>
  <c r="H743" i="7"/>
  <c r="H741" i="7"/>
  <c r="H565" i="7"/>
  <c r="H566" i="7"/>
  <c r="H522" i="7"/>
  <c r="H520" i="7"/>
  <c r="H518" i="7"/>
  <c r="H509" i="7"/>
  <c r="H513" i="7"/>
  <c r="H506" i="7"/>
  <c r="H705" i="4"/>
  <c r="H700" i="4"/>
  <c r="H697" i="4"/>
  <c r="H713" i="4"/>
  <c r="H712" i="4"/>
  <c r="H708" i="4"/>
  <c r="H701" i="4"/>
  <c r="H693" i="4"/>
  <c r="I536" i="4"/>
  <c r="J536" i="4" s="1"/>
  <c r="I512" i="4"/>
  <c r="J512" i="4" s="1"/>
  <c r="I516" i="4"/>
  <c r="I509" i="4"/>
  <c r="H2008" i="6"/>
  <c r="H2004" i="6"/>
  <c r="H2002" i="6"/>
  <c r="H1997" i="6"/>
  <c r="H1985" i="6"/>
  <c r="H1983" i="6"/>
  <c r="H1738" i="6"/>
  <c r="H1678" i="6"/>
  <c r="H1674" i="6"/>
  <c r="H1671" i="6"/>
  <c r="H1669" i="6"/>
  <c r="I1663" i="6"/>
  <c r="I541" i="6" s="1"/>
  <c r="I1617" i="6"/>
  <c r="J1617" i="6" s="1"/>
  <c r="H1613" i="6"/>
  <c r="H1611" i="6"/>
  <c r="H1484" i="6"/>
  <c r="H1482" i="6"/>
  <c r="H1345" i="6"/>
  <c r="I1342" i="6"/>
  <c r="H1333" i="6"/>
  <c r="H1329" i="6"/>
  <c r="I1189" i="6"/>
  <c r="I1187" i="6"/>
  <c r="I1184" i="6"/>
  <c r="J1184" i="6" s="1"/>
  <c r="H993" i="6"/>
  <c r="H979" i="6"/>
  <c r="I855" i="6"/>
  <c r="I853" i="6"/>
  <c r="J853" i="6" s="1"/>
  <c r="I840" i="6"/>
  <c r="I792" i="6"/>
  <c r="J792" i="6" s="1"/>
  <c r="H779" i="6"/>
  <c r="H1937" i="6"/>
  <c r="I1931" i="6"/>
  <c r="J1931" i="6" s="1"/>
  <c r="I1927" i="6"/>
  <c r="I1922" i="6"/>
  <c r="I1920" i="6"/>
  <c r="I1894" i="6"/>
  <c r="I1892" i="6"/>
  <c r="I1890" i="6"/>
  <c r="I1888" i="6"/>
  <c r="J1888" i="6" s="1"/>
  <c r="I1872" i="6"/>
  <c r="J1872" i="6" s="1"/>
  <c r="I1870" i="6"/>
  <c r="I1866" i="6"/>
  <c r="I1863" i="6"/>
  <c r="J1863" i="6" s="1"/>
  <c r="I1851" i="6"/>
  <c r="I1847" i="6"/>
  <c r="I1845" i="6"/>
  <c r="J1845" i="6" s="1"/>
  <c r="I1821" i="6"/>
  <c r="I1817" i="6"/>
  <c r="I1806" i="6"/>
  <c r="J1806" i="6" s="1"/>
  <c r="I1809" i="6"/>
  <c r="I1815" i="6"/>
  <c r="I1804" i="6"/>
  <c r="I1803" i="6"/>
  <c r="J1803" i="6" s="1"/>
  <c r="H304" i="8"/>
  <c r="H269" i="8"/>
  <c r="H284" i="8"/>
  <c r="H280" i="8"/>
  <c r="H211" i="8"/>
  <c r="H234" i="8"/>
  <c r="H239" i="8"/>
  <c r="H251" i="8"/>
  <c r="H434" i="8"/>
  <c r="H446" i="8"/>
  <c r="I1865" i="6"/>
  <c r="H1653" i="6"/>
  <c r="H1592" i="6"/>
  <c r="H736" i="7"/>
  <c r="H512" i="7"/>
  <c r="H775" i="6"/>
  <c r="H1245" i="6"/>
  <c r="H1243" i="6"/>
  <c r="H1241" i="6"/>
  <c r="H1098" i="6"/>
  <c r="J758" i="6"/>
  <c r="H1383" i="6"/>
  <c r="H1277" i="6"/>
  <c r="H1282" i="6"/>
  <c r="H1290" i="6"/>
  <c r="H1286" i="6"/>
  <c r="H723" i="7"/>
  <c r="H552" i="7"/>
  <c r="H549" i="7"/>
  <c r="H978" i="7"/>
  <c r="H975" i="7"/>
  <c r="H970" i="7"/>
  <c r="H953" i="7"/>
  <c r="H950" i="7"/>
  <c r="H948" i="7"/>
  <c r="H946" i="7"/>
  <c r="H900" i="7"/>
  <c r="H898" i="7"/>
  <c r="H894" i="7"/>
  <c r="H892" i="7"/>
  <c r="I852" i="6"/>
  <c r="H1794" i="6"/>
  <c r="E407" i="34"/>
  <c r="F407" i="34" s="1"/>
  <c r="I1178" i="6"/>
  <c r="H978" i="6"/>
  <c r="I854" i="6"/>
  <c r="J854" i="6" s="1"/>
  <c r="I851" i="6"/>
  <c r="I843" i="6"/>
  <c r="I841" i="6"/>
  <c r="I835" i="6"/>
  <c r="J835" i="6" s="1"/>
  <c r="I1932" i="6"/>
  <c r="I1921" i="6"/>
  <c r="I1919" i="6"/>
  <c r="I1893" i="6"/>
  <c r="J1893" i="6" s="1"/>
  <c r="I1891" i="6"/>
  <c r="I1889" i="6"/>
  <c r="I1887" i="6"/>
  <c r="I1875" i="6"/>
  <c r="I1873" i="6"/>
  <c r="I1871" i="6"/>
  <c r="I1852" i="6"/>
  <c r="I1846" i="6"/>
  <c r="I1844" i="6"/>
  <c r="J1844" i="6" s="1"/>
  <c r="I1820" i="6"/>
  <c r="I1818" i="6"/>
  <c r="I1808" i="6"/>
  <c r="I1816" i="6"/>
  <c r="J1816" i="6" s="1"/>
  <c r="I1812" i="6"/>
  <c r="H1811" i="6"/>
  <c r="H332" i="8"/>
  <c r="H268" i="8"/>
  <c r="H285" i="8"/>
  <c r="H279" i="8"/>
  <c r="H210" i="8"/>
  <c r="H208" i="8"/>
  <c r="H244" i="8"/>
  <c r="H240" i="8"/>
  <c r="H254" i="8"/>
  <c r="H250" i="8"/>
  <c r="H248" i="8"/>
  <c r="H447" i="8"/>
  <c r="H1793" i="6"/>
  <c r="H1792" i="6"/>
  <c r="H1790" i="6"/>
  <c r="H1710" i="6"/>
  <c r="H1654" i="6"/>
  <c r="H796" i="7"/>
  <c r="H488" i="7"/>
  <c r="H1299" i="6"/>
  <c r="H1589" i="6"/>
  <c r="H1244" i="6"/>
  <c r="H1242" i="6"/>
  <c r="J1166" i="6"/>
  <c r="J306" i="6" s="1"/>
  <c r="H1289" i="6"/>
  <c r="H1287" i="6"/>
  <c r="H726" i="7"/>
  <c r="H626" i="7"/>
  <c r="H553" i="7"/>
  <c r="H551" i="7"/>
  <c r="H977" i="7"/>
  <c r="H969" i="7"/>
  <c r="H964" i="7"/>
  <c r="H954" i="7"/>
  <c r="H947" i="7"/>
  <c r="H930" i="7"/>
  <c r="H983" i="7"/>
  <c r="H901" i="7"/>
  <c r="H899" i="7"/>
  <c r="H895" i="7"/>
  <c r="H893" i="7"/>
  <c r="H891" i="7"/>
  <c r="H890" i="7"/>
  <c r="I539" i="4"/>
  <c r="H449" i="8"/>
  <c r="H952" i="7"/>
  <c r="D63" i="20"/>
  <c r="D68" i="20" s="1"/>
  <c r="D73" i="20" s="1"/>
  <c r="D78" i="20" s="1"/>
  <c r="D83" i="20" s="1"/>
  <c r="D88" i="20" s="1"/>
  <c r="D93" i="20" s="1"/>
  <c r="D58" i="20"/>
  <c r="D59" i="20"/>
  <c r="D64" i="20"/>
  <c r="D69" i="20" s="1"/>
  <c r="D74" i="20" s="1"/>
  <c r="D79" i="20" s="1"/>
  <c r="D84" i="20" s="1"/>
  <c r="D89" i="20" s="1"/>
  <c r="D94" i="20" s="1"/>
  <c r="D60" i="20"/>
  <c r="D65" i="20"/>
  <c r="D70" i="20" s="1"/>
  <c r="D75" i="20" s="1"/>
  <c r="D80" i="20" s="1"/>
  <c r="D85" i="20" s="1"/>
  <c r="D90" i="20" s="1"/>
  <c r="D95" i="20" s="1"/>
  <c r="S60" i="20"/>
  <c r="F23" i="20"/>
  <c r="C520" i="6"/>
  <c r="L48" i="37"/>
  <c r="L50" i="37" s="1"/>
  <c r="M48" i="37" s="1"/>
  <c r="M50" i="37" s="1"/>
  <c r="M24" i="37"/>
  <c r="L99" i="37"/>
  <c r="A71" i="27"/>
  <c r="B69" i="27" s="1"/>
  <c r="A17" i="17"/>
  <c r="I1813" i="6"/>
  <c r="A113" i="16"/>
  <c r="D34" i="45"/>
  <c r="D36" i="45" s="1"/>
  <c r="D46" i="45" s="1"/>
  <c r="D47" i="45" s="1"/>
  <c r="D48" i="45" s="1"/>
  <c r="G31" i="45"/>
  <c r="A722" i="4"/>
  <c r="A724" i="4" s="1"/>
  <c r="A732" i="4" s="1"/>
  <c r="L10" i="37"/>
  <c r="N97" i="37"/>
  <c r="M97" i="37"/>
  <c r="I97" i="37"/>
  <c r="I101" i="37" s="1"/>
  <c r="I36" i="37"/>
  <c r="I45" i="37" s="1"/>
  <c r="I84" i="37" s="1"/>
  <c r="K98" i="37"/>
  <c r="G35" i="45"/>
  <c r="BY3" i="9"/>
  <c r="CL3" i="9" s="1"/>
  <c r="CF3" i="9"/>
  <c r="CS3" i="9" s="1"/>
  <c r="CC3" i="9"/>
  <c r="CP3" i="9" s="1"/>
  <c r="CD3" i="9"/>
  <c r="CQ3" i="9" s="1"/>
  <c r="CA3" i="9"/>
  <c r="CN3" i="9" s="1"/>
  <c r="I63" i="37"/>
  <c r="G293" i="45"/>
  <c r="G290" i="45"/>
  <c r="N1074" i="7"/>
  <c r="N1467" i="6"/>
  <c r="G268" i="6"/>
  <c r="H1248" i="6"/>
  <c r="G34" i="45"/>
  <c r="G33" i="45"/>
  <c r="C7" i="12"/>
  <c r="CN112" i="9"/>
  <c r="CM112" i="9"/>
  <c r="G118" i="6"/>
  <c r="CM97" i="9"/>
  <c r="CM111" i="9"/>
  <c r="C132" i="13"/>
  <c r="CL29" i="9"/>
  <c r="I40" i="45"/>
  <c r="CM141" i="9"/>
  <c r="K3" i="21"/>
  <c r="BT3" i="21" s="1"/>
  <c r="CG3" i="21" s="1"/>
  <c r="CE3" i="9"/>
  <c r="CR3" i="9" s="1"/>
  <c r="H3" i="21"/>
  <c r="BQ3" i="21" s="1"/>
  <c r="CD3" i="21" s="1"/>
  <c r="CB3" i="9"/>
  <c r="CO3" i="9" s="1"/>
  <c r="F3" i="21"/>
  <c r="BO3" i="21" s="1"/>
  <c r="BZ3" i="9"/>
  <c r="CM3" i="9" s="1"/>
  <c r="B629" i="7"/>
  <c r="A17" i="16"/>
  <c r="C125" i="34"/>
  <c r="L1379" i="6"/>
  <c r="L1431" i="6" s="1"/>
  <c r="L1705" i="6"/>
  <c r="G1648" i="6"/>
  <c r="M1215" i="6"/>
  <c r="J151" i="4"/>
  <c r="J165" i="4"/>
  <c r="J216" i="4" s="1"/>
  <c r="J263" i="4" s="1"/>
  <c r="A174" i="4"/>
  <c r="A1007" i="4"/>
  <c r="A1011" i="4" s="1"/>
  <c r="G125" i="4"/>
  <c r="O125" i="4"/>
  <c r="K125" i="4"/>
  <c r="J125" i="4"/>
  <c r="N1578" i="6"/>
  <c r="N1019" i="6"/>
  <c r="S1" i="37" s="1"/>
  <c r="S47" i="37" s="1"/>
  <c r="S65" i="37" s="1"/>
  <c r="N752" i="6"/>
  <c r="N414" i="7"/>
  <c r="N1772" i="6"/>
  <c r="N1153" i="6"/>
  <c r="N952" i="6"/>
  <c r="N297" i="6"/>
  <c r="N361" i="6"/>
  <c r="I185" i="6"/>
  <c r="N2034" i="6"/>
  <c r="N2054" i="6" s="1"/>
  <c r="O614" i="4"/>
  <c r="K614" i="4"/>
  <c r="A614" i="4"/>
  <c r="L614" i="4"/>
  <c r="G614" i="4"/>
  <c r="B614" i="4"/>
  <c r="A654" i="4"/>
  <c r="M614" i="4"/>
  <c r="I614" i="4"/>
  <c r="C614" i="4"/>
  <c r="B654" i="4"/>
  <c r="N614" i="4"/>
  <c r="J614" i="4"/>
  <c r="L1019" i="6"/>
  <c r="Q1" i="37" s="1"/>
  <c r="Q47" i="37" s="1"/>
  <c r="Q65" i="37" s="1"/>
  <c r="L414" i="7"/>
  <c r="L1215" i="6"/>
  <c r="F125" i="34"/>
  <c r="L694" i="6"/>
  <c r="W4" i="42"/>
  <c r="L1272" i="6"/>
  <c r="L623" i="6"/>
  <c r="L1965" i="6"/>
  <c r="I2" i="58" s="1"/>
  <c r="L817" i="6"/>
  <c r="L883" i="6" s="1"/>
  <c r="O474" i="5"/>
  <c r="C402" i="8"/>
  <c r="D84" i="8"/>
  <c r="C113" i="8"/>
  <c r="D380" i="34"/>
  <c r="G289" i="45"/>
  <c r="A114" i="16"/>
  <c r="H1110" i="7"/>
  <c r="H309" i="5"/>
  <c r="F64" i="14"/>
  <c r="B138" i="8"/>
  <c r="H945" i="7"/>
  <c r="H963" i="7"/>
  <c r="D377" i="7"/>
  <c r="AM65" i="9"/>
  <c r="A204" i="42"/>
  <c r="A205" i="42"/>
  <c r="D40" i="5"/>
  <c r="C60" i="3" s="1"/>
  <c r="J522" i="5"/>
  <c r="J520" i="5"/>
  <c r="L519" i="5"/>
  <c r="J22" i="3" s="1"/>
  <c r="B130" i="5"/>
  <c r="B9" i="5" s="1"/>
  <c r="A207" i="42"/>
  <c r="E17" i="5"/>
  <c r="E26" i="5" s="1"/>
  <c r="A206" i="42"/>
  <c r="A197" i="5"/>
  <c r="A479" i="5" s="1"/>
  <c r="I523" i="5"/>
  <c r="D52" i="5"/>
  <c r="C40" i="5"/>
  <c r="B60" i="3" s="1"/>
  <c r="CN81" i="9"/>
  <c r="I413" i="4"/>
  <c r="D140" i="6"/>
  <c r="B465" i="6"/>
  <c r="B463" i="6"/>
  <c r="D463" i="6"/>
  <c r="B464" i="6"/>
  <c r="G464" i="6"/>
  <c r="C551" i="6"/>
  <c r="B551" i="6"/>
  <c r="H1480" i="6"/>
  <c r="D446" i="6"/>
  <c r="A105" i="6"/>
  <c r="V3" i="21"/>
  <c r="T3" i="22"/>
  <c r="C67" i="17"/>
  <c r="C70" i="17" s="1"/>
  <c r="X3" i="22"/>
  <c r="X78" i="22" s="1"/>
  <c r="X121" i="22" s="1"/>
  <c r="AA3" i="21"/>
  <c r="B57" i="13"/>
  <c r="Q41" i="42" s="1"/>
  <c r="L87" i="9"/>
  <c r="L169" i="9" s="1"/>
  <c r="L3" i="21"/>
  <c r="I3" i="21"/>
  <c r="J3" i="21"/>
  <c r="G3" i="21"/>
  <c r="E3" i="21"/>
  <c r="D1630" i="6"/>
  <c r="A1074" i="7"/>
  <c r="G294" i="45"/>
  <c r="F129" i="40"/>
  <c r="F193" i="3"/>
  <c r="C475" i="4"/>
  <c r="C92" i="4" s="1"/>
  <c r="G3" i="11"/>
  <c r="B264" i="7"/>
  <c r="B23" i="7" s="1"/>
  <c r="C722" i="4"/>
  <c r="C125" i="4"/>
  <c r="B85" i="5"/>
  <c r="C157" i="4"/>
  <c r="D7" i="11"/>
  <c r="I268" i="6"/>
  <c r="A400" i="6"/>
  <c r="G422" i="45"/>
  <c r="D60" i="8"/>
  <c r="E125" i="34"/>
  <c r="I125" i="34"/>
  <c r="H1472" i="6"/>
  <c r="D140" i="5"/>
  <c r="I284" i="34"/>
  <c r="M284" i="34"/>
  <c r="M266" i="45"/>
  <c r="L266" i="45"/>
  <c r="C138" i="8"/>
  <c r="B178" i="3" s="1"/>
  <c r="B179" i="3" s="1"/>
  <c r="G866" i="7"/>
  <c r="G332" i="7" s="1"/>
  <c r="G78" i="8"/>
  <c r="H78" i="8" s="1"/>
  <c r="M125" i="34"/>
  <c r="H145" i="45"/>
  <c r="S42" i="42"/>
  <c r="T42" i="42"/>
  <c r="H1279" i="6"/>
  <c r="O519" i="5"/>
  <c r="M22" i="3" s="1"/>
  <c r="L647" i="7"/>
  <c r="I499" i="7"/>
  <c r="I89" i="7" s="1"/>
  <c r="H86" i="7"/>
  <c r="D162" i="7"/>
  <c r="D55" i="8"/>
  <c r="A337" i="5"/>
  <c r="K530" i="6"/>
  <c r="J266" i="45"/>
  <c r="J402" i="45"/>
  <c r="K266" i="45"/>
  <c r="K402" i="45"/>
  <c r="M145" i="45"/>
  <c r="O145" i="45"/>
  <c r="O463" i="5"/>
  <c r="O491" i="5"/>
  <c r="K245" i="7"/>
  <c r="H186" i="8"/>
  <c r="C588" i="34"/>
  <c r="C239" i="34" s="1"/>
  <c r="G20" i="27"/>
  <c r="K284" i="34"/>
  <c r="A517" i="5"/>
  <c r="E76" i="21"/>
  <c r="C38" i="5"/>
  <c r="B38" i="3" s="1"/>
  <c r="E304" i="45"/>
  <c r="N145" i="45"/>
  <c r="G291" i="45"/>
  <c r="K491" i="5"/>
  <c r="K337" i="5"/>
  <c r="O401" i="5"/>
  <c r="I402" i="45"/>
  <c r="J145" i="45"/>
  <c r="G402" i="45"/>
  <c r="I145" i="45"/>
  <c r="O266" i="45"/>
  <c r="L402" i="45"/>
  <c r="G145" i="45"/>
  <c r="B474" i="5"/>
  <c r="K285" i="7"/>
  <c r="C97" i="13"/>
  <c r="D383" i="5"/>
  <c r="H295" i="8"/>
  <c r="H278" i="8"/>
  <c r="E32" i="11"/>
  <c r="G32" i="11" s="1"/>
  <c r="H32" i="11" s="1"/>
  <c r="J32" i="11" s="1"/>
  <c r="K32" i="11" s="1"/>
  <c r="M32" i="11" s="1"/>
  <c r="N32" i="11" s="1"/>
  <c r="P32" i="11" s="1"/>
  <c r="Q32" i="11" s="1"/>
  <c r="S32" i="11" s="1"/>
  <c r="T32" i="11" s="1"/>
  <c r="V32" i="11" s="1"/>
  <c r="W32" i="11" s="1"/>
  <c r="Y32" i="11" s="1"/>
  <c r="Z32" i="11" s="1"/>
  <c r="AB32" i="11" s="1"/>
  <c r="AC32" i="11" s="1"/>
  <c r="AE32" i="11" s="1"/>
  <c r="AF32" i="11" s="1"/>
  <c r="AH32" i="11" s="1"/>
  <c r="AI32" i="11" s="1"/>
  <c r="AK32" i="11" s="1"/>
  <c r="A401" i="5"/>
  <c r="O26" i="37"/>
  <c r="D416" i="5"/>
  <c r="D305" i="5"/>
  <c r="D276" i="5"/>
  <c r="D119" i="5"/>
  <c r="D85" i="5"/>
  <c r="K145" i="45"/>
  <c r="H402" i="45"/>
  <c r="H266" i="45"/>
  <c r="G266" i="45"/>
  <c r="L145" i="45"/>
  <c r="M402" i="45"/>
  <c r="I266" i="45"/>
  <c r="B401" i="5"/>
  <c r="X9" i="21"/>
  <c r="H453" i="8"/>
  <c r="D768" i="7"/>
  <c r="D277" i="7" s="1"/>
  <c r="A1965" i="6"/>
  <c r="A1153" i="6"/>
  <c r="A241" i="6"/>
  <c r="A1903" i="6"/>
  <c r="A1379" i="6"/>
  <c r="A1431" i="6" s="1"/>
  <c r="A1215" i="6"/>
  <c r="A952" i="6"/>
  <c r="B1560" i="6"/>
  <c r="B1562" i="6" s="1"/>
  <c r="B1573" i="6" s="1"/>
  <c r="B221" i="6"/>
  <c r="L1074" i="7"/>
  <c r="L752" i="6"/>
  <c r="L400" i="6"/>
  <c r="L297" i="6"/>
  <c r="N471" i="6"/>
  <c r="N1514" i="6"/>
  <c r="N568" i="6"/>
  <c r="N1272" i="6"/>
  <c r="Y4" i="42"/>
  <c r="I694" i="6"/>
  <c r="M1514" i="6"/>
  <c r="H1232" i="6"/>
  <c r="N1965" i="6"/>
  <c r="K2" i="58" s="1"/>
  <c r="N1086" i="6"/>
  <c r="N623" i="6"/>
  <c r="N400" i="6"/>
  <c r="C1687" i="6"/>
  <c r="C1689" i="6" s="1"/>
  <c r="C1496" i="6"/>
  <c r="C1498" i="6" s="1"/>
  <c r="L72" i="6"/>
  <c r="L125" i="6" s="1"/>
  <c r="L952" i="6"/>
  <c r="L1772" i="6"/>
  <c r="L568" i="6"/>
  <c r="L1153" i="6"/>
  <c r="N694" i="6"/>
  <c r="N1705" i="6"/>
  <c r="N1215" i="6"/>
  <c r="N72" i="6"/>
  <c r="N125" i="6" s="1"/>
  <c r="N817" i="6"/>
  <c r="N883" i="6" s="1"/>
  <c r="N1379" i="6"/>
  <c r="N1431" i="6" s="1"/>
  <c r="M1379" i="6"/>
  <c r="M1431" i="6" s="1"/>
  <c r="M694" i="6"/>
  <c r="M1074" i="7"/>
  <c r="H763" i="6"/>
  <c r="D344" i="6"/>
  <c r="O694" i="6"/>
  <c r="A1560" i="6"/>
  <c r="A1562" i="6" s="1"/>
  <c r="A1573" i="6" s="1"/>
  <c r="A1197" i="6"/>
  <c r="A1199" i="6" s="1"/>
  <c r="A1210" i="6" s="1"/>
  <c r="B801" i="6"/>
  <c r="B803" i="6" s="1"/>
  <c r="B353" i="6"/>
  <c r="G1527" i="6"/>
  <c r="H1527" i="6" s="1"/>
  <c r="A1496" i="6"/>
  <c r="A1498" i="6" s="1"/>
  <c r="A1509" i="6" s="1"/>
  <c r="O817" i="6"/>
  <c r="O883" i="6" s="1"/>
  <c r="O185" i="6"/>
  <c r="D1379" i="6"/>
  <c r="D1431" i="6" s="1"/>
  <c r="D1449" i="6" s="1"/>
  <c r="O1086" i="6"/>
  <c r="B548" i="6"/>
  <c r="B550" i="6" s="1"/>
  <c r="B2064" i="6" s="1"/>
  <c r="S4" i="42"/>
  <c r="G414" i="7"/>
  <c r="G1772" i="6"/>
  <c r="B1253" i="6"/>
  <c r="B1255" i="6" s="1"/>
  <c r="B1266" i="6" s="1"/>
  <c r="C255" i="6"/>
  <c r="B116" i="42" s="1"/>
  <c r="H1355" i="6"/>
  <c r="D1705" i="6"/>
  <c r="C1379" i="6"/>
  <c r="C1431" i="6" s="1"/>
  <c r="D361" i="6"/>
  <c r="B1496" i="6"/>
  <c r="B1498" i="6" s="1"/>
  <c r="G400" i="6"/>
  <c r="C1002" i="6"/>
  <c r="H1716" i="6"/>
  <c r="H956" i="6"/>
  <c r="H1994" i="6"/>
  <c r="H1121" i="6"/>
  <c r="H1103" i="6"/>
  <c r="D1772" i="6"/>
  <c r="O1514" i="6"/>
  <c r="D1272" i="6"/>
  <c r="O400" i="6"/>
  <c r="D297" i="6"/>
  <c r="D414" i="7"/>
  <c r="B1197" i="6"/>
  <c r="B1199" i="6" s="1"/>
  <c r="B1210" i="6" s="1"/>
  <c r="G1705" i="6"/>
  <c r="G817" i="6"/>
  <c r="G883" i="6" s="1"/>
  <c r="G297" i="6"/>
  <c r="B568" i="6"/>
  <c r="O1578" i="6"/>
  <c r="D1467" i="6"/>
  <c r="D1153" i="6"/>
  <c r="C1019" i="6"/>
  <c r="K1" i="37" s="1"/>
  <c r="K47" i="37" s="1"/>
  <c r="K65" i="37" s="1"/>
  <c r="J37" i="5"/>
  <c r="N37" i="5"/>
  <c r="D965" i="6"/>
  <c r="A568" i="6"/>
  <c r="A2054" i="6"/>
  <c r="A361" i="6"/>
  <c r="A471" i="6"/>
  <c r="A1467" i="6"/>
  <c r="G323" i="6"/>
  <c r="H2013" i="6"/>
  <c r="C1772" i="6"/>
  <c r="C623" i="6"/>
  <c r="C568" i="6"/>
  <c r="A414" i="7"/>
  <c r="C1197" i="6"/>
  <c r="C1199" i="6" s="1"/>
  <c r="C801" i="6"/>
  <c r="C803" i="6" s="1"/>
  <c r="B419" i="6"/>
  <c r="B12" i="6" s="1"/>
  <c r="B372" i="6"/>
  <c r="C635" i="6"/>
  <c r="A297" i="6"/>
  <c r="A752" i="6"/>
  <c r="A2034" i="6"/>
  <c r="A72" i="6"/>
  <c r="A125" i="6" s="1"/>
  <c r="A1272" i="6"/>
  <c r="B268" i="6"/>
  <c r="H1281" i="6"/>
  <c r="A1514" i="6"/>
  <c r="C1215" i="6"/>
  <c r="C1153" i="6"/>
  <c r="A1086" i="6"/>
  <c r="C361" i="6"/>
  <c r="A185" i="6"/>
  <c r="B380" i="6"/>
  <c r="B27" i="6" s="1"/>
  <c r="B1687" i="6"/>
  <c r="B1689" i="6" s="1"/>
  <c r="B1700" i="6" s="1"/>
  <c r="A623" i="6"/>
  <c r="A817" i="6"/>
  <c r="A883" i="6" s="1"/>
  <c r="A1578" i="6"/>
  <c r="A694" i="6"/>
  <c r="B105" i="6"/>
  <c r="B22" i="6" s="1"/>
  <c r="K1144" i="6"/>
  <c r="K352" i="6" s="1"/>
  <c r="C1965" i="6"/>
  <c r="A1772" i="6"/>
  <c r="A1705" i="6"/>
  <c r="C185" i="6"/>
  <c r="B1980" i="6"/>
  <c r="B344" i="6"/>
  <c r="G614" i="6"/>
  <c r="J1505" i="6"/>
  <c r="J463" i="6" s="1"/>
  <c r="G32" i="45"/>
  <c r="D268" i="6"/>
  <c r="J1578" i="6"/>
  <c r="J72" i="6"/>
  <c r="J125" i="6" s="1"/>
  <c r="J694" i="6"/>
  <c r="J1772" i="6"/>
  <c r="G30" i="45"/>
  <c r="C380" i="6"/>
  <c r="G102" i="6"/>
  <c r="H102" i="6" s="1"/>
  <c r="H1181" i="6"/>
  <c r="C1068" i="6"/>
  <c r="J1379" i="6"/>
  <c r="J1431" i="6" s="1"/>
  <c r="B218" i="6"/>
  <c r="B24" i="6" s="1"/>
  <c r="D1134" i="6"/>
  <c r="H987" i="6"/>
  <c r="H2011" i="6"/>
  <c r="G1630" i="6"/>
  <c r="I860" i="6"/>
  <c r="H1235" i="6"/>
  <c r="A2017" i="6"/>
  <c r="A2019" i="6" s="1"/>
  <c r="A2021" i="6" s="1"/>
  <c r="A2030" i="6" s="1"/>
  <c r="B1002" i="6"/>
  <c r="B1005" i="6" s="1"/>
  <c r="C105" i="6"/>
  <c r="G659" i="6"/>
  <c r="H1990" i="6"/>
  <c r="G661" i="6"/>
  <c r="B1627" i="6"/>
  <c r="C258" i="5"/>
  <c r="C260" i="5" s="1"/>
  <c r="C271" i="5" s="1"/>
  <c r="A258" i="5"/>
  <c r="A260" i="5" s="1"/>
  <c r="A271" i="5" s="1"/>
  <c r="D359" i="5"/>
  <c r="A506" i="5"/>
  <c r="A498" i="5"/>
  <c r="B64" i="5"/>
  <c r="D522" i="5"/>
  <c r="G522" i="5"/>
  <c r="K519" i="5"/>
  <c r="I22" i="3" s="1"/>
  <c r="N519" i="5"/>
  <c r="L22" i="3" s="1"/>
  <c r="I96" i="5"/>
  <c r="D135" i="5"/>
  <c r="B198" i="5"/>
  <c r="E16" i="5"/>
  <c r="E25" i="5" s="1"/>
  <c r="A18" i="5"/>
  <c r="A27" i="5" s="1"/>
  <c r="D61" i="5"/>
  <c r="J346" i="5"/>
  <c r="C148" i="5"/>
  <c r="C108" i="42" s="1"/>
  <c r="D108" i="42" s="1"/>
  <c r="H382" i="5"/>
  <c r="C447" i="5"/>
  <c r="C520" i="5"/>
  <c r="D38" i="5"/>
  <c r="C38" i="3" s="1"/>
  <c r="G520" i="5"/>
  <c r="I520" i="5"/>
  <c r="I519" i="5"/>
  <c r="G22" i="3" s="1"/>
  <c r="J523" i="5"/>
  <c r="J519" i="5"/>
  <c r="H22" i="3" s="1"/>
  <c r="K38" i="5"/>
  <c r="I38" i="3" s="1"/>
  <c r="M40" i="5"/>
  <c r="K60" i="3" s="1"/>
  <c r="M37" i="5"/>
  <c r="O40" i="5"/>
  <c r="M60" i="3" s="1"/>
  <c r="O38" i="5"/>
  <c r="M38" i="3" s="1"/>
  <c r="B522" i="5"/>
  <c r="B148" i="5"/>
  <c r="B506" i="5" s="1"/>
  <c r="D187" i="5"/>
  <c r="B195" i="5"/>
  <c r="B507" i="5" s="1"/>
  <c r="G519" i="5"/>
  <c r="F22" i="3" s="1"/>
  <c r="B497" i="5"/>
  <c r="D1648" i="6"/>
  <c r="O215" i="5"/>
  <c r="K463" i="5"/>
  <c r="D3" i="8"/>
  <c r="D215" i="5"/>
  <c r="K474" i="5"/>
  <c r="K3" i="8"/>
  <c r="O337" i="5"/>
  <c r="O517" i="5"/>
  <c r="B168" i="5"/>
  <c r="B463" i="5"/>
  <c r="D337" i="5"/>
  <c r="M519" i="5"/>
  <c r="K22" i="3" s="1"/>
  <c r="D183" i="5"/>
  <c r="E18" i="5"/>
  <c r="E27" i="5" s="1"/>
  <c r="K40" i="5"/>
  <c r="I60" i="3" s="1"/>
  <c r="O3" i="8"/>
  <c r="O530" i="6"/>
  <c r="K168" i="5"/>
  <c r="O276" i="5"/>
  <c r="D530" i="6"/>
  <c r="O1648" i="6"/>
  <c r="O119" i="5"/>
  <c r="D474" i="5"/>
  <c r="K215" i="5"/>
  <c r="D491" i="5"/>
  <c r="O85" i="5"/>
  <c r="B3" i="8"/>
  <c r="D401" i="5"/>
  <c r="D137" i="5"/>
  <c r="B48" i="5"/>
  <c r="A100" i="13" s="1"/>
  <c r="A111" i="13" s="1"/>
  <c r="A64" i="5"/>
  <c r="B258" i="5"/>
  <c r="D60" i="5"/>
  <c r="D520" i="5"/>
  <c r="G38" i="5"/>
  <c r="F38" i="3" s="1"/>
  <c r="I522" i="5"/>
  <c r="J40" i="5"/>
  <c r="H60" i="3" s="1"/>
  <c r="K520" i="5"/>
  <c r="D136" i="5"/>
  <c r="C41" i="5"/>
  <c r="B68" i="3" s="1"/>
  <c r="K85" i="5"/>
  <c r="K276" i="5"/>
  <c r="K119" i="5"/>
  <c r="K401" i="5"/>
  <c r="K517" i="5"/>
  <c r="D168" i="5"/>
  <c r="D463" i="5"/>
  <c r="K1648" i="6"/>
  <c r="O168" i="5"/>
  <c r="D517" i="5"/>
  <c r="D256" i="5"/>
  <c r="D33" i="48" s="1"/>
  <c r="L276" i="5"/>
  <c r="B752" i="6"/>
  <c r="B2034" i="6"/>
  <c r="G276" i="5"/>
  <c r="C2034" i="6"/>
  <c r="C2054" i="6" s="1"/>
  <c r="C1086" i="6"/>
  <c r="C952" i="6"/>
  <c r="C132" i="6" s="1"/>
  <c r="C1903" i="6"/>
  <c r="C658" i="6" s="1"/>
  <c r="B297" i="6"/>
  <c r="G491" i="5"/>
  <c r="A102" i="8"/>
  <c r="C174" i="4"/>
  <c r="G517" i="5"/>
  <c r="C1467" i="6"/>
  <c r="C1272" i="6"/>
  <c r="C752" i="6"/>
  <c r="C817" i="6"/>
  <c r="C883" i="6" s="1"/>
  <c r="C400" i="6"/>
  <c r="C241" i="6"/>
  <c r="C414" i="7"/>
  <c r="B414" i="7"/>
  <c r="B1379" i="6"/>
  <c r="B1431" i="6" s="1"/>
  <c r="L85" i="5"/>
  <c r="L491" i="5"/>
  <c r="G463" i="5"/>
  <c r="C1705" i="6"/>
  <c r="C1578" i="6"/>
  <c r="C1514" i="6"/>
  <c r="C694" i="6"/>
  <c r="C471" i="6"/>
  <c r="C297" i="6"/>
  <c r="C1074" i="7"/>
  <c r="G1903" i="6"/>
  <c r="G72" i="6"/>
  <c r="G125" i="6" s="1"/>
  <c r="G694" i="6"/>
  <c r="G952" i="6"/>
  <c r="G1153" i="6"/>
  <c r="G1379" i="6"/>
  <c r="G1431" i="6" s="1"/>
  <c r="C284" i="34"/>
  <c r="O2034" i="6"/>
  <c r="O2054" i="6" s="1"/>
  <c r="O1965" i="6"/>
  <c r="L2" i="58" s="1"/>
  <c r="O1772" i="6"/>
  <c r="O1705" i="6"/>
  <c r="O1467" i="6"/>
  <c r="O1379" i="6"/>
  <c r="O1431" i="6" s="1"/>
  <c r="O1272" i="6"/>
  <c r="D1215" i="6"/>
  <c r="O1153" i="6"/>
  <c r="D1019" i="6"/>
  <c r="L1" i="37" s="1"/>
  <c r="D952" i="6"/>
  <c r="D132" i="6" s="1"/>
  <c r="D752" i="6"/>
  <c r="O623" i="6"/>
  <c r="D568" i="6"/>
  <c r="D471" i="6"/>
  <c r="O361" i="6"/>
  <c r="O297" i="6"/>
  <c r="D241" i="6"/>
  <c r="D72" i="6"/>
  <c r="D125" i="6" s="1"/>
  <c r="D1074" i="7"/>
  <c r="O414" i="7"/>
  <c r="G1965" i="6"/>
  <c r="D2" i="58" s="1"/>
  <c r="G361" i="6"/>
  <c r="G568" i="6"/>
  <c r="G1272" i="6"/>
  <c r="O1903" i="6"/>
  <c r="Z4" i="42"/>
  <c r="G125" i="34"/>
  <c r="C597" i="4"/>
  <c r="D1514" i="6"/>
  <c r="O1215" i="6"/>
  <c r="D1086" i="6"/>
  <c r="O1019" i="6"/>
  <c r="T1" i="37" s="1"/>
  <c r="T47" i="37" s="1"/>
  <c r="T65" i="37" s="1"/>
  <c r="O952" i="6"/>
  <c r="O568" i="6"/>
  <c r="O471" i="6"/>
  <c r="D400" i="6"/>
  <c r="O241" i="6"/>
  <c r="O72" i="6"/>
  <c r="O125" i="6" s="1"/>
  <c r="O1074" i="7"/>
  <c r="G1074" i="7"/>
  <c r="G623" i="6"/>
  <c r="G752" i="6"/>
  <c r="G1019" i="6"/>
  <c r="M1" i="37" s="1"/>
  <c r="M47" i="37" s="1"/>
  <c r="M65" i="37" s="1"/>
  <c r="G1215" i="6"/>
  <c r="D2034" i="6"/>
  <c r="D2054" i="6" s="1"/>
  <c r="D1965" i="6"/>
  <c r="B2" i="58" s="1"/>
  <c r="D1578" i="6"/>
  <c r="O752" i="6"/>
  <c r="D817" i="6"/>
  <c r="D883" i="6" s="1"/>
  <c r="D694" i="6"/>
  <c r="D623" i="6"/>
  <c r="D185" i="6"/>
  <c r="I502" i="7"/>
  <c r="M647" i="7"/>
  <c r="I285" i="7"/>
  <c r="H786" i="7"/>
  <c r="N672" i="4"/>
  <c r="J594" i="7"/>
  <c r="M402" i="7"/>
  <c r="L402" i="7"/>
  <c r="K402" i="7"/>
  <c r="G306" i="7"/>
  <c r="H306" i="7" s="1"/>
  <c r="C672" i="4"/>
  <c r="L873" i="7"/>
  <c r="L942" i="7" s="1"/>
  <c r="G672" i="4"/>
  <c r="C647" i="7"/>
  <c r="L672" i="4"/>
  <c r="H495" i="7"/>
  <c r="B757" i="7"/>
  <c r="B759" i="7" s="1"/>
  <c r="B770" i="7" s="1"/>
  <c r="L543" i="7"/>
  <c r="D62" i="7"/>
  <c r="D788" i="7"/>
  <c r="C245" i="7"/>
  <c r="C62" i="7"/>
  <c r="L155" i="7"/>
  <c r="L245" i="7"/>
  <c r="D74" i="7"/>
  <c r="F84" i="8"/>
  <c r="B702" i="7"/>
  <c r="B704" i="7" s="1"/>
  <c r="B713" i="7" s="1"/>
  <c r="D371" i="7"/>
  <c r="H780" i="7"/>
  <c r="G477" i="7"/>
  <c r="G200" i="7"/>
  <c r="M1190" i="7"/>
  <c r="M62" i="7"/>
  <c r="A227" i="7"/>
  <c r="A229" i="7" s="1"/>
  <c r="A240" i="7" s="1"/>
  <c r="A702" i="7"/>
  <c r="A704" i="7" s="1"/>
  <c r="A713" i="7" s="1"/>
  <c r="B913" i="7"/>
  <c r="K775" i="7"/>
  <c r="D594" i="7"/>
  <c r="B448" i="7"/>
  <c r="B454" i="7" s="1"/>
  <c r="H784" i="7"/>
  <c r="I26" i="11"/>
  <c r="D728" i="7"/>
  <c r="D775" i="7"/>
  <c r="C3" i="13"/>
  <c r="C182" i="15" s="1"/>
  <c r="H654" i="7"/>
  <c r="D300" i="7"/>
  <c r="D257" i="7"/>
  <c r="D155" i="7"/>
  <c r="B225" i="7"/>
  <c r="B22" i="7" s="1"/>
  <c r="C264" i="7"/>
  <c r="C132" i="42" s="1"/>
  <c r="D132" i="42" s="1"/>
  <c r="H934" i="7"/>
  <c r="J1206" i="7"/>
  <c r="B181" i="7"/>
  <c r="D372" i="7"/>
  <c r="D345" i="7"/>
  <c r="H1021" i="7"/>
  <c r="H846" i="7"/>
  <c r="H491" i="7"/>
  <c r="J402" i="7"/>
  <c r="C295" i="7"/>
  <c r="B133" i="42" s="1"/>
  <c r="B577" i="7"/>
  <c r="B579" i="7" s="1"/>
  <c r="B589" i="7" s="1"/>
  <c r="C320" i="7"/>
  <c r="C134" i="7"/>
  <c r="C21" i="7" s="1"/>
  <c r="D309" i="7"/>
  <c r="C402" i="7"/>
  <c r="C434" i="7"/>
  <c r="B134" i="7"/>
  <c r="B136" i="7" s="1"/>
  <c r="D525" i="7"/>
  <c r="H601" i="7"/>
  <c r="E759" i="34"/>
  <c r="B212" i="7"/>
  <c r="B9" i="7" s="1"/>
  <c r="H956" i="7"/>
  <c r="D402" i="7"/>
  <c r="D178" i="7"/>
  <c r="D379" i="7"/>
  <c r="F3" i="13"/>
  <c r="G182" i="15" s="1"/>
  <c r="M477" i="7"/>
  <c r="I155" i="7"/>
  <c r="M873" i="7"/>
  <c r="M942" i="7" s="1"/>
  <c r="H782" i="7"/>
  <c r="H570" i="7"/>
  <c r="H739" i="7"/>
  <c r="O1206" i="7"/>
  <c r="O285" i="7"/>
  <c r="B193" i="3"/>
  <c r="B40" i="5"/>
  <c r="A60" i="3" s="1"/>
  <c r="D1009" i="7"/>
  <c r="F115" i="14"/>
  <c r="R115" i="14" s="1"/>
  <c r="Z115" i="9"/>
  <c r="Z111" i="9"/>
  <c r="AX86" i="9"/>
  <c r="AX168" i="9" s="1"/>
  <c r="L61" i="37"/>
  <c r="C523" i="5"/>
  <c r="C353" i="6"/>
  <c r="H152" i="40"/>
  <c r="I203" i="3" s="1"/>
  <c r="J87" i="9"/>
  <c r="J169" i="9" s="1"/>
  <c r="C406" i="7"/>
  <c r="C468" i="7"/>
  <c r="C289" i="6"/>
  <c r="AE111" i="9"/>
  <c r="AD86" i="9"/>
  <c r="AD168" i="9" s="1"/>
  <c r="AE141" i="9"/>
  <c r="I87" i="9"/>
  <c r="I169" i="9" s="1"/>
  <c r="J1184" i="7"/>
  <c r="J467" i="7" s="1"/>
  <c r="D354" i="6"/>
  <c r="D467" i="7"/>
  <c r="K523" i="5"/>
  <c r="U29" i="9"/>
  <c r="F109" i="14"/>
  <c r="CM29" i="9"/>
  <c r="L1184" i="7"/>
  <c r="L467" i="7" s="1"/>
  <c r="D318" i="5"/>
  <c r="C94" i="7"/>
  <c r="D263" i="6"/>
  <c r="A62" i="7"/>
  <c r="C1015" i="7"/>
  <c r="N1015" i="7"/>
  <c r="L1015" i="7"/>
  <c r="J1015" i="7"/>
  <c r="G1015" i="7"/>
  <c r="O115" i="7"/>
  <c r="M3" i="9" s="1"/>
  <c r="A3" i="13"/>
  <c r="A182" i="15" s="1"/>
  <c r="D1015" i="7"/>
  <c r="M1015" i="7"/>
  <c r="K1015" i="7"/>
  <c r="I1015" i="7"/>
  <c r="D67" i="7"/>
  <c r="AJ39" i="9"/>
  <c r="D757" i="34"/>
  <c r="D173" i="5"/>
  <c r="D50" i="11"/>
  <c r="E50" i="11" s="1"/>
  <c r="G50" i="11" s="1"/>
  <c r="H50" i="11" s="1"/>
  <c r="J50" i="11" s="1"/>
  <c r="K50" i="11" s="1"/>
  <c r="M50" i="11" s="1"/>
  <c r="N50" i="11" s="1"/>
  <c r="P50" i="11" s="1"/>
  <c r="Q50" i="11" s="1"/>
  <c r="S50" i="11" s="1"/>
  <c r="T50" i="11" s="1"/>
  <c r="V50" i="11" s="1"/>
  <c r="W50" i="11" s="1"/>
  <c r="Y50" i="11" s="1"/>
  <c r="Z50" i="11" s="1"/>
  <c r="AB50" i="11" s="1"/>
  <c r="AC50" i="11" s="1"/>
  <c r="AE50" i="11" s="1"/>
  <c r="AF50" i="11" s="1"/>
  <c r="AH50" i="11" s="1"/>
  <c r="AI50" i="11" s="1"/>
  <c r="AK50" i="11" s="1"/>
  <c r="I1030" i="6"/>
  <c r="I253" i="6" s="1"/>
  <c r="K1833" i="6"/>
  <c r="G219" i="7"/>
  <c r="H219" i="7" s="1"/>
  <c r="A757" i="7"/>
  <c r="A759" i="7" s="1"/>
  <c r="A770" i="7" s="1"/>
  <c r="B527" i="7"/>
  <c r="B529" i="7" s="1"/>
  <c r="I210" i="7"/>
  <c r="G210" i="7"/>
  <c r="H210" i="7" s="1"/>
  <c r="H658" i="7"/>
  <c r="D207" i="7"/>
  <c r="H1583" i="6"/>
  <c r="A1136" i="6"/>
  <c r="A1138" i="6" s="1"/>
  <c r="A1147" i="6" s="1"/>
  <c r="B12" i="42"/>
  <c r="C12" i="42"/>
  <c r="A7" i="5"/>
  <c r="A495" i="5"/>
  <c r="D89" i="5"/>
  <c r="B496" i="5"/>
  <c r="B8" i="5"/>
  <c r="B31" i="5"/>
  <c r="B56" i="5"/>
  <c r="B7" i="5" s="1"/>
  <c r="G523" i="5"/>
  <c r="I41" i="5"/>
  <c r="G68" i="3" s="1"/>
  <c r="I38" i="5"/>
  <c r="G38" i="3" s="1"/>
  <c r="I37" i="5"/>
  <c r="J38" i="5"/>
  <c r="H38" i="3" s="1"/>
  <c r="L41" i="5"/>
  <c r="J68" i="3" s="1"/>
  <c r="B519" i="5"/>
  <c r="A22" i="3" s="1"/>
  <c r="B295" i="7"/>
  <c r="B12" i="7" s="1"/>
  <c r="C218" i="6"/>
  <c r="C115" i="42" s="1"/>
  <c r="D724" i="6"/>
  <c r="B99" i="5"/>
  <c r="B101" i="5" s="1"/>
  <c r="G16" i="17"/>
  <c r="F31" i="17"/>
  <c r="G81" i="21"/>
  <c r="E81" i="21"/>
  <c r="K81" i="21"/>
  <c r="J81" i="21"/>
  <c r="H81" i="21"/>
  <c r="F81" i="21"/>
  <c r="A577" i="7"/>
  <c r="A579" i="7" s="1"/>
  <c r="A589" i="7" s="1"/>
  <c r="A113" i="8"/>
  <c r="A595" i="8" s="1"/>
  <c r="A8" i="8" s="1"/>
  <c r="C385" i="5"/>
  <c r="C387" i="5" s="1"/>
  <c r="C396" i="5" s="1"/>
  <c r="AE20" i="42"/>
  <c r="B50" i="8"/>
  <c r="E430" i="45"/>
  <c r="D350" i="6"/>
  <c r="E74" i="21"/>
  <c r="D95" i="5"/>
  <c r="D186" i="5"/>
  <c r="H1147" i="7"/>
  <c r="H1143" i="7"/>
  <c r="H1139" i="7"/>
  <c r="H1148" i="7"/>
  <c r="H1144" i="7"/>
  <c r="H1135" i="7"/>
  <c r="H1145" i="7"/>
  <c r="H1150" i="7"/>
  <c r="H1146" i="7"/>
  <c r="H1133" i="7"/>
  <c r="H1149" i="7"/>
  <c r="H1137" i="7"/>
  <c r="H423" i="5"/>
  <c r="H362" i="5"/>
  <c r="C8" i="7"/>
  <c r="C210" i="15"/>
  <c r="A72" i="13"/>
  <c r="G260" i="7"/>
  <c r="G261" i="7" s="1"/>
  <c r="A23" i="7"/>
  <c r="A115" i="7"/>
  <c r="A672" i="4"/>
  <c r="D575" i="7"/>
  <c r="A285" i="7"/>
  <c r="H87" i="7"/>
  <c r="I2020" i="6"/>
  <c r="M2034" i="6"/>
  <c r="M2054" i="6" s="1"/>
  <c r="M1705" i="6"/>
  <c r="I400" i="6"/>
  <c r="I1074" i="7"/>
  <c r="C196" i="6"/>
  <c r="B115" i="42" s="1"/>
  <c r="G37" i="5"/>
  <c r="G725" i="6"/>
  <c r="H725" i="6" s="1"/>
  <c r="G337" i="6"/>
  <c r="H337" i="6" s="1"/>
  <c r="H1726" i="6"/>
  <c r="E30" i="6"/>
  <c r="E46" i="6" s="1"/>
  <c r="I1272" i="6"/>
  <c r="I1019" i="6"/>
  <c r="N1" i="37" s="1"/>
  <c r="N47" i="37" s="1"/>
  <c r="N65" i="37" s="1"/>
  <c r="B196" i="6"/>
  <c r="D37" i="5"/>
  <c r="N1903" i="6"/>
  <c r="B354" i="6"/>
  <c r="D139" i="6"/>
  <c r="G137" i="5"/>
  <c r="A451" i="5"/>
  <c r="A459" i="5" s="1"/>
  <c r="C522" i="5"/>
  <c r="L40" i="5"/>
  <c r="J60" i="3" s="1"/>
  <c r="L520" i="5"/>
  <c r="L37" i="5"/>
  <c r="M522" i="5"/>
  <c r="M520" i="5"/>
  <c r="N522" i="5"/>
  <c r="N38" i="5"/>
  <c r="L38" i="3" s="1"/>
  <c r="O522" i="5"/>
  <c r="O37" i="5"/>
  <c r="B37" i="5"/>
  <c r="B498" i="5"/>
  <c r="B10" i="5"/>
  <c r="F68" i="3"/>
  <c r="A119" i="5"/>
  <c r="A530" i="6"/>
  <c r="K41" i="5"/>
  <c r="I68" i="3" s="1"/>
  <c r="I276" i="5"/>
  <c r="I530" i="6"/>
  <c r="M463" i="5"/>
  <c r="L522" i="5"/>
  <c r="D31" i="5"/>
  <c r="I311" i="5"/>
  <c r="C64" i="5"/>
  <c r="G97" i="5"/>
  <c r="H97" i="5" s="1"/>
  <c r="H420" i="5"/>
  <c r="I485" i="5"/>
  <c r="G6" i="3" s="1"/>
  <c r="L38" i="5"/>
  <c r="J38" i="3" s="1"/>
  <c r="C99" i="5"/>
  <c r="C107" i="42" s="1"/>
  <c r="D107" i="42" s="1"/>
  <c r="D238" i="5"/>
  <c r="A276" i="5"/>
  <c r="A168" i="5"/>
  <c r="I85" i="5"/>
  <c r="I474" i="5"/>
  <c r="K37" i="5"/>
  <c r="N520" i="5"/>
  <c r="D447" i="5"/>
  <c r="A463" i="5"/>
  <c r="A320" i="5"/>
  <c r="A322" i="5" s="1"/>
  <c r="A332" i="5" s="1"/>
  <c r="N40" i="5"/>
  <c r="L60" i="3" s="1"/>
  <c r="G40" i="5"/>
  <c r="F60" i="3" s="1"/>
  <c r="M38" i="5"/>
  <c r="K38" i="3" s="1"/>
  <c r="A1648" i="6"/>
  <c r="C320" i="5"/>
  <c r="C322" i="5" s="1"/>
  <c r="J41" i="5"/>
  <c r="H68" i="3" s="1"/>
  <c r="O520" i="5"/>
  <c r="A474" i="5"/>
  <c r="A215" i="5"/>
  <c r="M474" i="5"/>
  <c r="I1648" i="6"/>
  <c r="B41" i="5"/>
  <c r="A68" i="3" s="1"/>
  <c r="G136" i="5"/>
  <c r="A385" i="5"/>
  <c r="A387" i="5" s="1"/>
  <c r="A396" i="5" s="1"/>
  <c r="C37" i="5"/>
  <c r="C519" i="5"/>
  <c r="B22" i="3" s="1"/>
  <c r="D523" i="5"/>
  <c r="G39" i="5"/>
  <c r="F46" i="3" s="1"/>
  <c r="D415" i="6"/>
  <c r="C64" i="4"/>
  <c r="C285" i="7"/>
  <c r="C718" i="7"/>
  <c r="C115" i="7"/>
  <c r="L340" i="7"/>
  <c r="G647" i="7"/>
  <c r="B72" i="6"/>
  <c r="B125" i="6" s="1"/>
  <c r="B1272" i="6"/>
  <c r="B2054" i="6"/>
  <c r="L115" i="7"/>
  <c r="G245" i="7"/>
  <c r="C775" i="7"/>
  <c r="B241" i="6"/>
  <c r="B1086" i="6"/>
  <c r="C594" i="7"/>
  <c r="G873" i="7"/>
  <c r="G942" i="7" s="1"/>
  <c r="B817" i="6"/>
  <c r="B883" i="6" s="1"/>
  <c r="B1514" i="6"/>
  <c r="B1772" i="6"/>
  <c r="E3" i="13"/>
  <c r="E182" i="15" s="1"/>
  <c r="C200" i="7"/>
  <c r="C1190" i="7"/>
  <c r="A466" i="4"/>
  <c r="A468" i="4" s="1"/>
  <c r="A478" i="4" s="1"/>
  <c r="C155" i="7"/>
  <c r="G62" i="7"/>
  <c r="G285" i="7"/>
  <c r="G594" i="7"/>
  <c r="L775" i="7"/>
  <c r="L1206" i="7"/>
  <c r="B400" i="6"/>
  <c r="B1215" i="6"/>
  <c r="L477" i="7"/>
  <c r="L1190" i="7"/>
  <c r="C543" i="7"/>
  <c r="B185" i="6"/>
  <c r="B694" i="6"/>
  <c r="L718" i="7"/>
  <c r="L285" i="7"/>
  <c r="G115" i="7"/>
  <c r="B3" i="13"/>
  <c r="B182" i="15" s="1"/>
  <c r="C477" i="7"/>
  <c r="B1903" i="6"/>
  <c r="B658" i="6" s="1"/>
  <c r="G543" i="7"/>
  <c r="G718" i="7"/>
  <c r="G1206" i="7"/>
  <c r="B361" i="6"/>
  <c r="B1153" i="6"/>
  <c r="B1467" i="6"/>
  <c r="I3" i="13"/>
  <c r="J182" i="15" s="1"/>
  <c r="L200" i="7"/>
  <c r="C340" i="7"/>
  <c r="C873" i="7"/>
  <c r="C942" i="7" s="1"/>
  <c r="G340" i="7"/>
  <c r="G775" i="7"/>
  <c r="C1206" i="7"/>
  <c r="B623" i="6"/>
  <c r="B952" i="6"/>
  <c r="B1578" i="6" s="1"/>
  <c r="B722" i="4"/>
  <c r="B1965" i="6"/>
  <c r="B1705" i="6"/>
  <c r="G1190" i="7"/>
  <c r="L594" i="7"/>
  <c r="G155" i="7"/>
  <c r="L62" i="7"/>
  <c r="A594" i="8"/>
  <c r="A21" i="7"/>
  <c r="I463" i="6"/>
  <c r="D102" i="11"/>
  <c r="E102" i="11" s="1"/>
  <c r="G102" i="11" s="1"/>
  <c r="H102" i="11" s="1"/>
  <c r="J102" i="11" s="1"/>
  <c r="K102" i="11" s="1"/>
  <c r="M102" i="11" s="1"/>
  <c r="N102" i="11" s="1"/>
  <c r="P102" i="11" s="1"/>
  <c r="Q102" i="11" s="1"/>
  <c r="S102" i="11" s="1"/>
  <c r="T102" i="11" s="1"/>
  <c r="V102" i="11" s="1"/>
  <c r="W102" i="11" s="1"/>
  <c r="Y102" i="11" s="1"/>
  <c r="Z102" i="11" s="1"/>
  <c r="AB102" i="11" s="1"/>
  <c r="AC102" i="11" s="1"/>
  <c r="AE102" i="11" s="1"/>
  <c r="AF102" i="11" s="1"/>
  <c r="AH102" i="11" s="1"/>
  <c r="AI102" i="11" s="1"/>
  <c r="AK102" i="11" s="1"/>
  <c r="G521" i="5"/>
  <c r="L152" i="40"/>
  <c r="M203" i="3" s="1"/>
  <c r="N165" i="14"/>
  <c r="J152" i="40"/>
  <c r="L165" i="14"/>
  <c r="I152" i="40"/>
  <c r="K165" i="14"/>
  <c r="K152" i="40"/>
  <c r="L203" i="3" s="1"/>
  <c r="M165" i="14"/>
  <c r="F152" i="40"/>
  <c r="A200" i="7"/>
  <c r="A775" i="7"/>
  <c r="A873" i="7"/>
  <c r="A942" i="7" s="1"/>
  <c r="G215" i="5"/>
  <c r="G474" i="5"/>
  <c r="A245" i="7"/>
  <c r="A477" i="7"/>
  <c r="L168" i="5"/>
  <c r="B1648" i="6"/>
  <c r="B119" i="5"/>
  <c r="K200" i="7"/>
  <c r="K340" i="7"/>
  <c r="D340" i="7"/>
  <c r="B517" i="5"/>
  <c r="K62" i="7"/>
  <c r="D647" i="7"/>
  <c r="D873" i="7"/>
  <c r="D942" i="7" s="1"/>
  <c r="I125" i="4"/>
  <c r="G337" i="5"/>
  <c r="G85" i="5"/>
  <c r="K1772" i="6"/>
  <c r="G1578" i="6"/>
  <c r="A166" i="6"/>
  <c r="A169" i="6" s="1"/>
  <c r="K817" i="6"/>
  <c r="K883" i="6" s="1"/>
  <c r="G471" i="6"/>
  <c r="K1206" i="7"/>
  <c r="D1190" i="7"/>
  <c r="O873" i="7"/>
  <c r="O942" i="7" s="1"/>
  <c r="K594" i="7"/>
  <c r="O245" i="7"/>
  <c r="A155" i="7"/>
  <c r="F87" i="9"/>
  <c r="F169" i="9" s="1"/>
  <c r="H618" i="4"/>
  <c r="A340" i="7"/>
  <c r="A718" i="7"/>
  <c r="A1015" i="7"/>
  <c r="L1648" i="6"/>
  <c r="L401" i="5"/>
  <c r="A543" i="7"/>
  <c r="L215" i="5"/>
  <c r="L3" i="8"/>
  <c r="L463" i="5"/>
  <c r="K115" i="7"/>
  <c r="D543" i="7"/>
  <c r="H685" i="4"/>
  <c r="H676" i="4"/>
  <c r="J284" i="34"/>
  <c r="G168" i="5"/>
  <c r="G1086" i="6"/>
  <c r="K694" i="6"/>
  <c r="O1190" i="7"/>
  <c r="D718" i="7"/>
  <c r="O594" i="7"/>
  <c r="A594" i="7"/>
  <c r="K155" i="7"/>
  <c r="D115" i="7"/>
  <c r="G530" i="6"/>
  <c r="L530" i="6"/>
  <c r="L119" i="5"/>
  <c r="G401" i="5"/>
  <c r="L337" i="5"/>
  <c r="L517" i="5"/>
  <c r="B491" i="5"/>
  <c r="B337" i="5"/>
  <c r="B276" i="5"/>
  <c r="H3" i="13"/>
  <c r="I182" i="15" s="1"/>
  <c r="D285" i="7"/>
  <c r="K477" i="7"/>
  <c r="D1206" i="7"/>
  <c r="B215" i="5"/>
  <c r="K1190" i="7"/>
  <c r="K672" i="4"/>
  <c r="D200" i="7"/>
  <c r="D477" i="7"/>
  <c r="K718" i="7"/>
  <c r="A363" i="8"/>
  <c r="J125" i="34"/>
  <c r="L474" i="5"/>
  <c r="G119" i="5"/>
  <c r="G185" i="6"/>
  <c r="K873" i="7"/>
  <c r="K942" i="7" s="1"/>
  <c r="K647" i="7"/>
  <c r="K543" i="7"/>
  <c r="D245" i="7"/>
  <c r="O62" i="7"/>
  <c r="G3" i="8"/>
  <c r="B597" i="4"/>
  <c r="B64" i="4"/>
  <c r="I477" i="7"/>
  <c r="M718" i="7"/>
  <c r="I1190" i="7"/>
  <c r="J297" i="6"/>
  <c r="J1215" i="6"/>
  <c r="J491" i="5"/>
  <c r="J471" i="6"/>
  <c r="J1514" i="6"/>
  <c r="I62" i="7"/>
  <c r="M245" i="7"/>
  <c r="J1074" i="7"/>
  <c r="J623" i="6"/>
  <c r="J1019" i="6"/>
  <c r="O1" i="37" s="1"/>
  <c r="O6" i="37" s="1"/>
  <c r="AF14" i="37" s="1"/>
  <c r="M672" i="4"/>
  <c r="M1903" i="6"/>
  <c r="I1903" i="6"/>
  <c r="M340" i="7"/>
  <c r="I647" i="7"/>
  <c r="I873" i="7"/>
  <c r="I942" i="7" s="1"/>
  <c r="A590" i="8"/>
  <c r="M414" i="7"/>
  <c r="I623" i="6"/>
  <c r="M471" i="6"/>
  <c r="M623" i="6"/>
  <c r="M952" i="6"/>
  <c r="M1272" i="6"/>
  <c r="A564" i="8"/>
  <c r="M817" i="6"/>
  <c r="M883" i="6" s="1"/>
  <c r="M1086" i="6"/>
  <c r="M1206" i="7"/>
  <c r="M125" i="4"/>
  <c r="T4" i="42"/>
  <c r="I1965" i="6"/>
  <c r="F2" i="58" s="1"/>
  <c r="M1772" i="6"/>
  <c r="J1272" i="6"/>
  <c r="I1215" i="6"/>
  <c r="J568" i="6"/>
  <c r="J400" i="6"/>
  <c r="I361" i="6"/>
  <c r="I718" i="7"/>
  <c r="J1153" i="6"/>
  <c r="J401" i="5"/>
  <c r="M200" i="7"/>
  <c r="J241" i="6"/>
  <c r="J1467" i="6"/>
  <c r="J215" i="5"/>
  <c r="M115" i="7"/>
  <c r="I245" i="7"/>
  <c r="J952" i="6"/>
  <c r="J1705" i="6"/>
  <c r="J337" i="5"/>
  <c r="I672" i="4"/>
  <c r="K87" i="9"/>
  <c r="K169" i="9" s="1"/>
  <c r="M594" i="7"/>
  <c r="I340" i="7"/>
  <c r="M543" i="7"/>
  <c r="M775" i="7"/>
  <c r="H87" i="9"/>
  <c r="H169" i="9" s="1"/>
  <c r="I568" i="6"/>
  <c r="I952" i="6"/>
  <c r="M1467" i="6"/>
  <c r="M400" i="6"/>
  <c r="M752" i="6"/>
  <c r="M1153" i="6"/>
  <c r="I1705" i="6"/>
  <c r="M72" i="6"/>
  <c r="M125" i="6" s="1"/>
  <c r="M297" i="6"/>
  <c r="M1019" i="6"/>
  <c r="R1" i="37" s="1"/>
  <c r="R6" i="37" s="1"/>
  <c r="I1467" i="6"/>
  <c r="BH86" i="9"/>
  <c r="BH168" i="9" s="1"/>
  <c r="X4" i="42"/>
  <c r="M1965" i="6"/>
  <c r="J2" i="58" s="1"/>
  <c r="M568" i="6"/>
  <c r="J361" i="6"/>
  <c r="I72" i="6"/>
  <c r="I125" i="6" s="1"/>
  <c r="J1903" i="6"/>
  <c r="J3" i="13"/>
  <c r="K182" i="15" s="1"/>
  <c r="M285" i="7"/>
  <c r="J1648" i="6"/>
  <c r="I200" i="7"/>
  <c r="J185" i="6"/>
  <c r="J1086" i="6"/>
  <c r="J2034" i="6"/>
  <c r="J2054" i="6" s="1"/>
  <c r="I115" i="7"/>
  <c r="M155" i="7"/>
  <c r="J752" i="6"/>
  <c r="J1965" i="6"/>
  <c r="G2" i="58" s="1"/>
  <c r="U4" i="42"/>
  <c r="I594" i="7"/>
  <c r="I543" i="7"/>
  <c r="I775" i="7"/>
  <c r="C111" i="13"/>
  <c r="G87" i="9"/>
  <c r="M185" i="6"/>
  <c r="I752" i="6"/>
  <c r="I1153" i="6"/>
  <c r="A574" i="8"/>
  <c r="M361" i="6"/>
  <c r="I817" i="6"/>
  <c r="I883" i="6" s="1"/>
  <c r="I1086" i="6"/>
  <c r="I1379" i="6"/>
  <c r="I1431" i="6" s="1"/>
  <c r="I1578" i="6"/>
  <c r="I414" i="7"/>
  <c r="M241" i="6"/>
  <c r="M1578" i="6"/>
  <c r="A166" i="8"/>
  <c r="AN86" i="9"/>
  <c r="AN168" i="9" s="1"/>
  <c r="N474" i="5"/>
  <c r="I2034" i="6"/>
  <c r="I2054" i="6" s="1"/>
  <c r="I1772" i="6"/>
  <c r="J817" i="6"/>
  <c r="J883" i="6" s="1"/>
  <c r="I471" i="6"/>
  <c r="I297" i="6"/>
  <c r="J414" i="7"/>
  <c r="B157" i="4"/>
  <c r="I215" i="5"/>
  <c r="M401" i="5"/>
  <c r="M276" i="5"/>
  <c r="I3" i="8"/>
  <c r="I463" i="5"/>
  <c r="B200" i="7"/>
  <c r="M3" i="8"/>
  <c r="M1648" i="6"/>
  <c r="I168" i="5"/>
  <c r="I517" i="5"/>
  <c r="M337" i="5"/>
  <c r="M168" i="5"/>
  <c r="M119" i="5"/>
  <c r="I337" i="5"/>
  <c r="I119" i="5"/>
  <c r="M215" i="5"/>
  <c r="M491" i="5"/>
  <c r="D175" i="7"/>
  <c r="A1253" i="6"/>
  <c r="A1255" i="6" s="1"/>
  <c r="A1266" i="6" s="1"/>
  <c r="B530" i="6"/>
  <c r="L1903" i="6"/>
  <c r="I1206" i="7"/>
  <c r="A491" i="5"/>
  <c r="L185" i="6"/>
  <c r="N530" i="6"/>
  <c r="J85" i="5"/>
  <c r="J463" i="5"/>
  <c r="J517" i="5"/>
  <c r="N3" i="8"/>
  <c r="J168" i="5"/>
  <c r="C517" i="5"/>
  <c r="J474" i="5"/>
  <c r="C3" i="8"/>
  <c r="C291" i="8" s="1"/>
  <c r="J530" i="6"/>
  <c r="N1648" i="6"/>
  <c r="N401" i="5"/>
  <c r="N491" i="5"/>
  <c r="J3" i="8"/>
  <c r="N215" i="5"/>
  <c r="N337" i="5"/>
  <c r="C491" i="5"/>
  <c r="C337" i="5"/>
  <c r="C168" i="5"/>
  <c r="C474" i="5"/>
  <c r="C401" i="5"/>
  <c r="J276" i="5"/>
  <c r="J119" i="5"/>
  <c r="N85" i="5"/>
  <c r="N463" i="5"/>
  <c r="N517" i="5"/>
  <c r="N168" i="5"/>
  <c r="C463" i="5"/>
  <c r="N276" i="5"/>
  <c r="C276" i="5"/>
  <c r="C215" i="5"/>
  <c r="N119" i="5"/>
  <c r="C119" i="5"/>
  <c r="C85" i="5"/>
  <c r="C1648" i="6"/>
  <c r="C530" i="6"/>
  <c r="C496" i="5"/>
  <c r="C8" i="5"/>
  <c r="C495" i="5"/>
  <c r="C7" i="5"/>
  <c r="D722" i="6"/>
  <c r="A548" i="6"/>
  <c r="A550" i="6" s="1"/>
  <c r="A552" i="6" s="1"/>
  <c r="A2044" i="6" s="1"/>
  <c r="D721" i="6"/>
  <c r="A378" i="6"/>
  <c r="A380" i="6" s="1"/>
  <c r="K1903" i="6"/>
  <c r="D165" i="45"/>
  <c r="D169" i="45" s="1"/>
  <c r="D170" i="45" s="1"/>
  <c r="D171" i="45" s="1"/>
  <c r="A519" i="5"/>
  <c r="A524" i="5" s="1"/>
  <c r="A37" i="5"/>
  <c r="A69" i="4"/>
  <c r="A80" i="4" s="1"/>
  <c r="A18" i="4" s="1"/>
  <c r="A29" i="4" s="1"/>
  <c r="A111" i="4"/>
  <c r="A117" i="4"/>
  <c r="A155" i="4" s="1"/>
  <c r="A160" i="4" s="1"/>
  <c r="A19" i="5"/>
  <c r="A28" i="5" s="1"/>
  <c r="A478" i="5"/>
  <c r="E129" i="40"/>
  <c r="E45" i="45"/>
  <c r="AX41" i="9"/>
  <c r="AY41" i="9" s="1"/>
  <c r="D105" i="11"/>
  <c r="E105" i="11" s="1"/>
  <c r="G105" i="11" s="1"/>
  <c r="H105" i="11" s="1"/>
  <c r="J105" i="11" s="1"/>
  <c r="K105" i="11" s="1"/>
  <c r="M105" i="11" s="1"/>
  <c r="N105" i="11" s="1"/>
  <c r="P105" i="11" s="1"/>
  <c r="Q105" i="11" s="1"/>
  <c r="S105" i="11" s="1"/>
  <c r="T105" i="11" s="1"/>
  <c r="V105" i="11" s="1"/>
  <c r="W105" i="11" s="1"/>
  <c r="Y105" i="11" s="1"/>
  <c r="Z105" i="11" s="1"/>
  <c r="AB105" i="11" s="1"/>
  <c r="AC105" i="11" s="1"/>
  <c r="AE105" i="11" s="1"/>
  <c r="AF105" i="11" s="1"/>
  <c r="AH105" i="11" s="1"/>
  <c r="AI105" i="11" s="1"/>
  <c r="AK105" i="11" s="1"/>
  <c r="I330" i="7"/>
  <c r="CN97" i="9"/>
  <c r="AN39" i="9"/>
  <c r="AO39" i="9" s="1"/>
  <c r="D113" i="14"/>
  <c r="G116" i="14" s="1"/>
  <c r="W3" i="9"/>
  <c r="H168" i="45"/>
  <c r="G354" i="6"/>
  <c r="D41" i="5"/>
  <c r="C68" i="3" s="1"/>
  <c r="U87" i="9"/>
  <c r="U169" i="9" s="1"/>
  <c r="M1184" i="7"/>
  <c r="M467" i="7" s="1"/>
  <c r="N1184" i="7"/>
  <c r="N467" i="7" s="1"/>
  <c r="T65" i="9"/>
  <c r="Z112" i="9"/>
  <c r="Z141" i="9"/>
  <c r="Z416" i="9" s="1"/>
  <c r="F186" i="3" s="1"/>
  <c r="O1184" i="7"/>
  <c r="O467" i="7" s="1"/>
  <c r="AE112" i="9"/>
  <c r="I168" i="45"/>
  <c r="I1571" i="6"/>
  <c r="AE186" i="9"/>
  <c r="G203" i="3"/>
  <c r="O41" i="5"/>
  <c r="M68" i="3" s="1"/>
  <c r="O523" i="5"/>
  <c r="AJ3" i="9"/>
  <c r="AO3" i="9" s="1"/>
  <c r="AT3" i="9" s="1"/>
  <c r="AT87" i="9" s="1"/>
  <c r="AT169" i="9" s="1"/>
  <c r="AE87" i="9"/>
  <c r="AE169" i="9" s="1"/>
  <c r="B523" i="5"/>
  <c r="G1013" i="6"/>
  <c r="G232" i="6" s="1"/>
  <c r="Z186" i="9"/>
  <c r="Z450" i="9" s="1"/>
  <c r="F188" i="3" s="1"/>
  <c r="I1184" i="7"/>
  <c r="I467" i="7" s="1"/>
  <c r="E87" i="9"/>
  <c r="Z87" i="9"/>
  <c r="Z169" i="9" s="1"/>
  <c r="I2027" i="6"/>
  <c r="I743" i="6" s="1"/>
  <c r="G1571" i="6"/>
  <c r="B468" i="7"/>
  <c r="G1184" i="7"/>
  <c r="G467" i="7" s="1"/>
  <c r="D1638" i="6"/>
  <c r="D520" i="6" s="1"/>
  <c r="E3" i="11"/>
  <c r="B84" i="11"/>
  <c r="C84" i="11"/>
  <c r="F3" i="11"/>
  <c r="G330" i="7"/>
  <c r="I39" i="5"/>
  <c r="G46" i="3" s="1"/>
  <c r="I521" i="5"/>
  <c r="D26" i="11"/>
  <c r="E26" i="11" s="1"/>
  <c r="G26" i="11" s="1"/>
  <c r="H26" i="11" s="1"/>
  <c r="D14" i="11"/>
  <c r="E14" i="11" s="1"/>
  <c r="G14" i="11" s="1"/>
  <c r="H14" i="11" s="1"/>
  <c r="J14" i="11" s="1"/>
  <c r="K14" i="11" s="1"/>
  <c r="M14" i="11" s="1"/>
  <c r="N14" i="11" s="1"/>
  <c r="P14" i="11" s="1"/>
  <c r="Q14" i="11" s="1"/>
  <c r="S14" i="11" s="1"/>
  <c r="T14" i="11" s="1"/>
  <c r="V14" i="11" s="1"/>
  <c r="W14" i="11" s="1"/>
  <c r="Y14" i="11" s="1"/>
  <c r="Z14" i="11" s="1"/>
  <c r="AB14" i="11" s="1"/>
  <c r="AC14" i="11" s="1"/>
  <c r="AE14" i="11" s="1"/>
  <c r="AF14" i="11" s="1"/>
  <c r="AH14" i="11" s="1"/>
  <c r="AI14" i="11" s="1"/>
  <c r="AK14" i="11" s="1"/>
  <c r="D125" i="11"/>
  <c r="E125" i="11" s="1"/>
  <c r="G125" i="11" s="1"/>
  <c r="H125" i="11" s="1"/>
  <c r="J125" i="11" s="1"/>
  <c r="K125" i="11" s="1"/>
  <c r="M125" i="11" s="1"/>
  <c r="N125" i="11" s="1"/>
  <c r="P125" i="11" s="1"/>
  <c r="Q125" i="11" s="1"/>
  <c r="S125" i="11" s="1"/>
  <c r="T125" i="11" s="1"/>
  <c r="V125" i="11" s="1"/>
  <c r="W125" i="11" s="1"/>
  <c r="Y125" i="11" s="1"/>
  <c r="Z125" i="11" s="1"/>
  <c r="AB125" i="11" s="1"/>
  <c r="AC125" i="11" s="1"/>
  <c r="AE125" i="11" s="1"/>
  <c r="AF125" i="11" s="1"/>
  <c r="AH125" i="11" s="1"/>
  <c r="AI125" i="11" s="1"/>
  <c r="AK125" i="11" s="1"/>
  <c r="O26" i="11"/>
  <c r="K534" i="7"/>
  <c r="K104" i="7" s="1"/>
  <c r="B520" i="5"/>
  <c r="B38" i="5"/>
  <c r="A38" i="3" s="1"/>
  <c r="D115" i="11"/>
  <c r="K115" i="11" s="1"/>
  <c r="D49" i="11"/>
  <c r="E49" i="11" s="1"/>
  <c r="G49" i="11" s="1"/>
  <c r="H49" i="11" s="1"/>
  <c r="J49" i="11" s="1"/>
  <c r="K49" i="11" s="1"/>
  <c r="M49" i="11" s="1"/>
  <c r="N49" i="11" s="1"/>
  <c r="P49" i="11" s="1"/>
  <c r="Q49" i="11" s="1"/>
  <c r="S49" i="11" s="1"/>
  <c r="T49" i="11" s="1"/>
  <c r="V49" i="11" s="1"/>
  <c r="W49" i="11" s="1"/>
  <c r="Y49" i="11" s="1"/>
  <c r="Z49" i="11" s="1"/>
  <c r="AB49" i="11" s="1"/>
  <c r="AC49" i="11" s="1"/>
  <c r="AE49" i="11" s="1"/>
  <c r="AF49" i="11" s="1"/>
  <c r="AH49" i="11" s="1"/>
  <c r="AI49" i="11" s="1"/>
  <c r="AK49" i="11" s="1"/>
  <c r="D133" i="11"/>
  <c r="D406" i="7"/>
  <c r="A434" i="7"/>
  <c r="A472" i="7" s="1"/>
  <c r="C577" i="7"/>
  <c r="C579" i="7" s="1"/>
  <c r="C589" i="7" s="1"/>
  <c r="D317" i="7"/>
  <c r="G218" i="7"/>
  <c r="H218" i="7" s="1"/>
  <c r="C527" i="7"/>
  <c r="A1206" i="7"/>
  <c r="J775" i="7"/>
  <c r="B647" i="7"/>
  <c r="N285" i="7"/>
  <c r="B245" i="7"/>
  <c r="J115" i="7"/>
  <c r="D216" i="7"/>
  <c r="D365" i="7"/>
  <c r="D217" i="7"/>
  <c r="H733" i="7"/>
  <c r="A1190" i="7"/>
  <c r="B718" i="7"/>
  <c r="N647" i="7"/>
  <c r="A647" i="7"/>
  <c r="A527" i="7"/>
  <c r="A529" i="7" s="1"/>
  <c r="A538" i="7" s="1"/>
  <c r="B340" i="7"/>
  <c r="N245" i="7"/>
  <c r="C757" i="7"/>
  <c r="C759" i="7" s="1"/>
  <c r="C770" i="7" s="1"/>
  <c r="C11" i="7"/>
  <c r="A181" i="7"/>
  <c r="A183" i="7" s="1"/>
  <c r="B1057" i="7"/>
  <c r="B1059" i="7" s="1"/>
  <c r="D308" i="7"/>
  <c r="B94" i="7"/>
  <c r="B20" i="7" s="1"/>
  <c r="B402" i="7"/>
  <c r="D301" i="7"/>
  <c r="D82" i="7"/>
  <c r="D80" i="7"/>
  <c r="D378" i="7"/>
  <c r="A94" i="7"/>
  <c r="D307" i="7"/>
  <c r="D302" i="7"/>
  <c r="D120" i="7"/>
  <c r="G290" i="7"/>
  <c r="H290" i="7" s="1"/>
  <c r="I695" i="7"/>
  <c r="D205" i="7"/>
  <c r="D171" i="7"/>
  <c r="D168" i="7"/>
  <c r="B672" i="4"/>
  <c r="F600" i="4"/>
  <c r="N1206" i="7"/>
  <c r="B1206" i="7"/>
  <c r="N1190" i="7"/>
  <c r="B1190" i="7"/>
  <c r="B1015" i="7"/>
  <c r="B873" i="7"/>
  <c r="B942" i="7" s="1"/>
  <c r="D556" i="7"/>
  <c r="N543" i="7"/>
  <c r="J477" i="7"/>
  <c r="N340" i="7"/>
  <c r="J285" i="7"/>
  <c r="J200" i="7"/>
  <c r="G3" i="13"/>
  <c r="H182" i="15" s="1"/>
  <c r="C629" i="7"/>
  <c r="B383" i="7"/>
  <c r="D666" i="7"/>
  <c r="J672" i="4"/>
  <c r="J873" i="7"/>
  <c r="J942" i="7" s="1"/>
  <c r="B775" i="7"/>
  <c r="J718" i="7"/>
  <c r="N594" i="7"/>
  <c r="B594" i="7"/>
  <c r="J543" i="7"/>
  <c r="N477" i="7"/>
  <c r="B477" i="7"/>
  <c r="J245" i="7"/>
  <c r="N200" i="7"/>
  <c r="J155" i="7"/>
  <c r="N62" i="7"/>
  <c r="B62" i="7"/>
  <c r="K3" i="13"/>
  <c r="L182" i="15" s="1"/>
  <c r="L3" i="17" s="1"/>
  <c r="L56" i="17" s="1"/>
  <c r="A13" i="7"/>
  <c r="J1190" i="7"/>
  <c r="N873" i="7"/>
  <c r="N942" i="7" s="1"/>
  <c r="N775" i="7"/>
  <c r="N718" i="7"/>
  <c r="J647" i="7"/>
  <c r="B543" i="7"/>
  <c r="J340" i="7"/>
  <c r="B285" i="7"/>
  <c r="N155" i="7"/>
  <c r="B155" i="7"/>
  <c r="N115" i="7"/>
  <c r="B115" i="7"/>
  <c r="J62" i="7"/>
  <c r="A295" i="7"/>
  <c r="A12" i="7" s="1"/>
  <c r="D1023" i="7"/>
  <c r="C212" i="7"/>
  <c r="H1599" i="6"/>
  <c r="C315" i="6"/>
  <c r="G1003" i="6"/>
  <c r="H1003" i="6" s="1"/>
  <c r="C221" i="6"/>
  <c r="C268" i="6"/>
  <c r="V4" i="42"/>
  <c r="G2034" i="6"/>
  <c r="G2054" i="6" s="1"/>
  <c r="K1514" i="6"/>
  <c r="K1467" i="6"/>
  <c r="K1379" i="6"/>
  <c r="K1431" i="6" s="1"/>
  <c r="K1272" i="6"/>
  <c r="A1002" i="6"/>
  <c r="K752" i="6"/>
  <c r="K568" i="6"/>
  <c r="K297" i="6"/>
  <c r="K72" i="6"/>
  <c r="K125" i="6" s="1"/>
  <c r="C1980" i="6"/>
  <c r="C701" i="6"/>
  <c r="C705" i="6" s="1"/>
  <c r="A25" i="6"/>
  <c r="A41" i="6" s="1"/>
  <c r="G730" i="6"/>
  <c r="H730" i="6" s="1"/>
  <c r="I1297" i="6"/>
  <c r="K2034" i="6"/>
  <c r="K2054" i="6" s="1"/>
  <c r="K1578" i="6"/>
  <c r="K1215" i="6"/>
  <c r="K1153" i="6"/>
  <c r="K1086" i="6"/>
  <c r="K623" i="6"/>
  <c r="K361" i="6"/>
  <c r="G241" i="6"/>
  <c r="K185" i="6"/>
  <c r="C512" i="6"/>
  <c r="D423" i="6"/>
  <c r="K1965" i="6"/>
  <c r="H2" i="58" s="1"/>
  <c r="K1705" i="6"/>
  <c r="G1514" i="6"/>
  <c r="G1467" i="6"/>
  <c r="K1019" i="6"/>
  <c r="P1" i="37" s="1"/>
  <c r="K952" i="6"/>
  <c r="K471" i="6"/>
  <c r="K400" i="6"/>
  <c r="K241" i="6"/>
  <c r="K1074" i="7"/>
  <c r="K414" i="7"/>
  <c r="A81" i="6"/>
  <c r="D262" i="6"/>
  <c r="D376" i="6"/>
  <c r="I700" i="6"/>
  <c r="G1137" i="6"/>
  <c r="H1137" i="6" s="1"/>
  <c r="G701" i="6"/>
  <c r="H208" i="6"/>
  <c r="G338" i="6"/>
  <c r="H338" i="6" s="1"/>
  <c r="B2017" i="6"/>
  <c r="D264" i="6"/>
  <c r="D325" i="6"/>
  <c r="I337" i="6"/>
  <c r="A601" i="6"/>
  <c r="A31" i="6" s="1"/>
  <c r="E165" i="45"/>
  <c r="E169" i="45" s="1"/>
  <c r="E170" i="45" s="1"/>
  <c r="C334" i="6"/>
  <c r="A16" i="6"/>
  <c r="G271" i="6"/>
  <c r="H271" i="6" s="1"/>
  <c r="A222" i="42"/>
  <c r="D327" i="6"/>
  <c r="D211" i="6"/>
  <c r="A490" i="6"/>
  <c r="A511" i="6" s="1"/>
  <c r="I338" i="6"/>
  <c r="I1137" i="6"/>
  <c r="I1497" i="6"/>
  <c r="I449" i="6"/>
  <c r="B1068" i="6"/>
  <c r="A33" i="6"/>
  <c r="A49" i="6" s="1"/>
  <c r="A12" i="6"/>
  <c r="A1687" i="6"/>
  <c r="A1689" i="6" s="1"/>
  <c r="A1700" i="6" s="1"/>
  <c r="D92" i="6"/>
  <c r="D650" i="6"/>
  <c r="D649" i="6"/>
  <c r="D1195" i="6"/>
  <c r="G1505" i="6"/>
  <c r="G463" i="6" s="1"/>
  <c r="D1721" i="6"/>
  <c r="A24" i="6"/>
  <c r="B81" i="6"/>
  <c r="D495" i="6"/>
  <c r="D378" i="6"/>
  <c r="D411" i="6"/>
  <c r="D714" i="6"/>
  <c r="D710" i="6"/>
  <c r="D413" i="6"/>
  <c r="D433" i="6"/>
  <c r="C1560" i="6"/>
  <c r="A801" i="6"/>
  <c r="A803" i="6" s="1"/>
  <c r="A812" i="6" s="1"/>
  <c r="C344" i="6"/>
  <c r="D98" i="6"/>
  <c r="D497" i="6"/>
  <c r="D1494" i="6"/>
  <c r="D137" i="6"/>
  <c r="D655" i="6"/>
  <c r="D639" i="6"/>
  <c r="G700" i="6"/>
  <c r="H700" i="6" s="1"/>
  <c r="B352" i="6"/>
  <c r="D1903" i="6"/>
  <c r="D658" i="6" s="1"/>
  <c r="D377" i="6"/>
  <c r="D321" i="6"/>
  <c r="C372" i="6"/>
  <c r="B118" i="42" s="1"/>
  <c r="C548" i="6"/>
  <c r="D1392" i="6"/>
  <c r="D409" i="6"/>
  <c r="B434" i="7"/>
  <c r="A277" i="6"/>
  <c r="A281" i="6" s="1"/>
  <c r="D334" i="6"/>
  <c r="A1069" i="6"/>
  <c r="C490" i="6"/>
  <c r="C10" i="5"/>
  <c r="C498" i="5"/>
  <c r="E84" i="12"/>
  <c r="L93" i="13"/>
  <c r="L111" i="13"/>
  <c r="J111" i="13"/>
  <c r="J93" i="13"/>
  <c r="I522" i="4"/>
  <c r="E284" i="34"/>
  <c r="M517" i="5"/>
  <c r="I401" i="5"/>
  <c r="L2034" i="6"/>
  <c r="L2054" i="6" s="1"/>
  <c r="L1578" i="6"/>
  <c r="L1086" i="6"/>
  <c r="M530" i="6"/>
  <c r="O775" i="7"/>
  <c r="O543" i="7"/>
  <c r="O477" i="7"/>
  <c r="O155" i="7"/>
  <c r="L3" i="13"/>
  <c r="M182" i="15" s="1"/>
  <c r="M3" i="17" s="1"/>
  <c r="M56" i="17" s="1"/>
  <c r="O1015" i="7"/>
  <c r="O672" i="4"/>
  <c r="B100" i="4"/>
  <c r="C84" i="34" s="1"/>
  <c r="M85" i="5"/>
  <c r="L1467" i="6"/>
  <c r="L471" i="6"/>
  <c r="O340" i="7"/>
  <c r="F402" i="45"/>
  <c r="AE4" i="42"/>
  <c r="I491" i="5"/>
  <c r="B471" i="6"/>
  <c r="L241" i="6"/>
  <c r="B1074" i="7"/>
  <c r="O718" i="7"/>
  <c r="O647" i="7"/>
  <c r="O200" i="7"/>
  <c r="F93" i="13"/>
  <c r="F111" i="13"/>
  <c r="H111" i="13"/>
  <c r="H93" i="13"/>
  <c r="E93" i="13"/>
  <c r="E111" i="13"/>
  <c r="K93" i="13"/>
  <c r="K111" i="13"/>
  <c r="I111" i="13"/>
  <c r="I93" i="13"/>
  <c r="G93" i="13"/>
  <c r="G111" i="13"/>
  <c r="A15" i="6"/>
  <c r="C330" i="6"/>
  <c r="B93" i="13"/>
  <c r="B111" i="13"/>
  <c r="F57" i="1"/>
  <c r="H368" i="8"/>
  <c r="G430" i="45"/>
  <c r="F430" i="45"/>
  <c r="G24" i="19"/>
  <c r="S24" i="19" s="1"/>
  <c r="F23" i="19"/>
  <c r="D35" i="19"/>
  <c r="F304" i="45"/>
  <c r="G67" i="1"/>
  <c r="AE108" i="9"/>
  <c r="D129" i="11"/>
  <c r="E129" i="11" s="1"/>
  <c r="G129" i="11" s="1"/>
  <c r="H129" i="11" s="1"/>
  <c r="J129" i="11" s="1"/>
  <c r="K129" i="11" s="1"/>
  <c r="M129" i="11" s="1"/>
  <c r="N129" i="11" s="1"/>
  <c r="P129" i="11" s="1"/>
  <c r="Q129" i="11" s="1"/>
  <c r="S129" i="11" s="1"/>
  <c r="T129" i="11" s="1"/>
  <c r="V129" i="11" s="1"/>
  <c r="W129" i="11" s="1"/>
  <c r="Y129" i="11" s="1"/>
  <c r="Z129" i="11" s="1"/>
  <c r="AB129" i="11" s="1"/>
  <c r="AC129" i="11" s="1"/>
  <c r="AE129" i="11" s="1"/>
  <c r="AF129" i="11" s="1"/>
  <c r="AH129" i="11" s="1"/>
  <c r="AI129" i="11" s="1"/>
  <c r="AK129" i="11" s="1"/>
  <c r="D145" i="11"/>
  <c r="E145" i="11" s="1"/>
  <c r="G145" i="11" s="1"/>
  <c r="H145" i="11" s="1"/>
  <c r="J145" i="11" s="1"/>
  <c r="K145" i="11" s="1"/>
  <c r="M145" i="11" s="1"/>
  <c r="N145" i="11" s="1"/>
  <c r="P145" i="11" s="1"/>
  <c r="Q145" i="11" s="1"/>
  <c r="S145" i="11" s="1"/>
  <c r="T145" i="11" s="1"/>
  <c r="V145" i="11" s="1"/>
  <c r="W145" i="11" s="1"/>
  <c r="Y145" i="11" s="1"/>
  <c r="Z145" i="11" s="1"/>
  <c r="AB145" i="11" s="1"/>
  <c r="AC145" i="11" s="1"/>
  <c r="AE145" i="11" s="1"/>
  <c r="AF145" i="11" s="1"/>
  <c r="AH145" i="11" s="1"/>
  <c r="AI145" i="11" s="1"/>
  <c r="AK145" i="11" s="1"/>
  <c r="A341" i="6"/>
  <c r="A1629" i="6"/>
  <c r="A1631" i="6" s="1"/>
  <c r="A1642" i="6" s="1"/>
  <c r="C1253" i="6"/>
  <c r="C1255" i="6" s="1"/>
  <c r="C1266" i="6" s="1"/>
  <c r="D221" i="6"/>
  <c r="B701" i="6"/>
  <c r="A734" i="6"/>
  <c r="B315" i="6"/>
  <c r="B10" i="6" s="1"/>
  <c r="C155" i="4"/>
  <c r="B466" i="4"/>
  <c r="F266" i="45"/>
  <c r="C354" i="6"/>
  <c r="C466" i="4"/>
  <c r="A7" i="7"/>
  <c r="A24" i="7"/>
  <c r="I402" i="7"/>
  <c r="D318" i="7"/>
  <c r="I1177" i="6"/>
  <c r="G1497" i="6"/>
  <c r="H1497" i="6" s="1"/>
  <c r="G449" i="6"/>
  <c r="H449" i="6" s="1"/>
  <c r="G802" i="6"/>
  <c r="H802" i="6" s="1"/>
  <c r="G103" i="6"/>
  <c r="H103" i="6" s="1"/>
  <c r="G215" i="6"/>
  <c r="H215" i="6" s="1"/>
  <c r="D542" i="6"/>
  <c r="G546" i="6"/>
  <c r="H546" i="6" s="1"/>
  <c r="B579" i="6"/>
  <c r="D634" i="6"/>
  <c r="B732" i="6"/>
  <c r="D201" i="6"/>
  <c r="D1000" i="6"/>
  <c r="A8" i="6"/>
  <c r="G262" i="6"/>
  <c r="B9" i="6"/>
  <c r="B490" i="6"/>
  <c r="B601" i="6"/>
  <c r="E36" i="45"/>
  <c r="B509" i="6"/>
  <c r="B29" i="6" s="1"/>
  <c r="G653" i="6"/>
  <c r="A220" i="6"/>
  <c r="A223" i="6" s="1"/>
  <c r="F36" i="45"/>
  <c r="F165" i="45"/>
  <c r="F169" i="45" s="1"/>
  <c r="F170" i="45" s="1"/>
  <c r="G165" i="45"/>
  <c r="G169" i="45" s="1"/>
  <c r="G170" i="45" s="1"/>
  <c r="G402" i="7"/>
  <c r="G2027" i="6"/>
  <c r="D44" i="58" s="1"/>
  <c r="Y3" i="9"/>
  <c r="T87" i="9"/>
  <c r="T169" i="9" s="1"/>
  <c r="R209" i="9"/>
  <c r="V2" i="9"/>
  <c r="Q86" i="9"/>
  <c r="Q168" i="9" s="1"/>
  <c r="X3" i="9"/>
  <c r="S87" i="9"/>
  <c r="N41" i="5"/>
  <c r="L68" i="3" s="1"/>
  <c r="N523" i="5"/>
  <c r="V3" i="9"/>
  <c r="Q87" i="9"/>
  <c r="Q169" i="9" s="1"/>
  <c r="M41" i="5"/>
  <c r="K68" i="3" s="1"/>
  <c r="M523" i="5"/>
  <c r="C183" i="42"/>
  <c r="E53" i="12"/>
  <c r="F53" i="12"/>
  <c r="B320" i="7"/>
  <c r="B24" i="7" s="1"/>
  <c r="B7" i="7"/>
  <c r="I682" i="7"/>
  <c r="A1057" i="7"/>
  <c r="A1059" i="7" s="1"/>
  <c r="A11" i="7"/>
  <c r="A266" i="7"/>
  <c r="B11" i="7"/>
  <c r="C7" i="7"/>
  <c r="N18" i="26"/>
  <c r="A8" i="7"/>
  <c r="A136" i="7"/>
  <c r="B8" i="7"/>
  <c r="D755" i="7"/>
  <c r="D250" i="7"/>
  <c r="K521" i="5"/>
  <c r="K39" i="5"/>
  <c r="I46" i="3" s="1"/>
  <c r="B39" i="5"/>
  <c r="A46" i="3" s="1"/>
  <c r="B521" i="5"/>
  <c r="J39" i="5"/>
  <c r="H46" i="3" s="1"/>
  <c r="J521" i="5"/>
  <c r="D69" i="11"/>
  <c r="E69" i="11" s="1"/>
  <c r="G69" i="11" s="1"/>
  <c r="H69" i="11" s="1"/>
  <c r="J69" i="11" s="1"/>
  <c r="K69" i="11" s="1"/>
  <c r="M69" i="11" s="1"/>
  <c r="N69" i="11" s="1"/>
  <c r="C360" i="7"/>
  <c r="B134" i="42" s="1"/>
  <c r="B635" i="6"/>
  <c r="D330" i="7"/>
  <c r="L523" i="5"/>
  <c r="I441" i="6" l="1"/>
  <c r="I197" i="14"/>
  <c r="I136" i="14" s="1"/>
  <c r="L165" i="4"/>
  <c r="L216" i="4" s="1"/>
  <c r="L263" i="4" s="1"/>
  <c r="L151" i="4"/>
  <c r="K165" i="4"/>
  <c r="K216" i="4" s="1"/>
  <c r="K263" i="4" s="1"/>
  <c r="K151" i="4"/>
  <c r="G335" i="7"/>
  <c r="A35" i="7"/>
  <c r="A33" i="7"/>
  <c r="Z263" i="9"/>
  <c r="F184" i="3" s="1"/>
  <c r="I151" i="4"/>
  <c r="I165" i="4"/>
  <c r="I216" i="4" s="1"/>
  <c r="I263" i="4" s="1"/>
  <c r="A151" i="4"/>
  <c r="O151" i="4"/>
  <c r="J396" i="4"/>
  <c r="J61" i="4" s="1"/>
  <c r="I61" i="4"/>
  <c r="Q802" i="6"/>
  <c r="R797" i="6"/>
  <c r="R564" i="8"/>
  <c r="R590" i="8"/>
  <c r="R574" i="8"/>
  <c r="S169" i="9"/>
  <c r="S209" i="9" s="1"/>
  <c r="S211" i="9" s="1"/>
  <c r="D946" i="6"/>
  <c r="E169" i="9"/>
  <c r="I946" i="6"/>
  <c r="G169" i="9"/>
  <c r="G946" i="6"/>
  <c r="G178" i="6" s="1"/>
  <c r="R1638" i="6"/>
  <c r="E102" i="20"/>
  <c r="E100" i="20"/>
  <c r="P111" i="17"/>
  <c r="R174" i="7"/>
  <c r="F67" i="14"/>
  <c r="A159" i="3"/>
  <c r="B43" i="15"/>
  <c r="B84" i="15"/>
  <c r="K123" i="1"/>
  <c r="H67" i="1"/>
  <c r="H20" i="27"/>
  <c r="Q113" i="48"/>
  <c r="F289" i="3"/>
  <c r="I733" i="7"/>
  <c r="J733" i="7" s="1"/>
  <c r="I734" i="7"/>
  <c r="J734" i="7" s="1"/>
  <c r="N373" i="8"/>
  <c r="O373" i="8" s="1"/>
  <c r="P373" i="8" s="1"/>
  <c r="Q373" i="8" s="1"/>
  <c r="R373" i="8" s="1"/>
  <c r="K298" i="3"/>
  <c r="I67" i="1"/>
  <c r="G292" i="3"/>
  <c r="J301" i="3"/>
  <c r="D442" i="6"/>
  <c r="I125" i="5"/>
  <c r="I124" i="5"/>
  <c r="G76" i="4"/>
  <c r="H76" i="4" s="1"/>
  <c r="J412" i="5"/>
  <c r="I176" i="5"/>
  <c r="B150" i="5"/>
  <c r="B152" i="5" s="1"/>
  <c r="A199" i="5"/>
  <c r="A468" i="5" s="1"/>
  <c r="B468" i="4"/>
  <c r="B160" i="4"/>
  <c r="B7" i="4"/>
  <c r="L23" i="48"/>
  <c r="K291" i="3"/>
  <c r="M25" i="1"/>
  <c r="J6" i="58"/>
  <c r="J5" i="58" s="1"/>
  <c r="A500" i="5"/>
  <c r="G198" i="5"/>
  <c r="D36" i="58"/>
  <c r="D38" i="58" s="1"/>
  <c r="B36" i="58"/>
  <c r="B38" i="58" s="1"/>
  <c r="H485" i="5"/>
  <c r="F6" i="3"/>
  <c r="I65" i="1"/>
  <c r="J65" i="1" s="1"/>
  <c r="K65" i="1" s="1"/>
  <c r="L65" i="1" s="1"/>
  <c r="M65" i="1" s="1"/>
  <c r="N65" i="1" s="1"/>
  <c r="O65" i="1" s="1"/>
  <c r="P65" i="1" s="1"/>
  <c r="G63" i="1"/>
  <c r="H141" i="3"/>
  <c r="G113" i="15"/>
  <c r="L7" i="1"/>
  <c r="D512" i="6"/>
  <c r="I60" i="4"/>
  <c r="J393" i="4"/>
  <c r="J60" i="4" s="1"/>
  <c r="I54" i="1"/>
  <c r="J54" i="1" s="1"/>
  <c r="K54" i="1" s="1"/>
  <c r="L54" i="1" s="1"/>
  <c r="M54" i="1" s="1"/>
  <c r="N54" i="1" s="1"/>
  <c r="O54" i="1" s="1"/>
  <c r="P54" i="1" s="1"/>
  <c r="J388" i="4"/>
  <c r="J725" i="7"/>
  <c r="J1590" i="6"/>
  <c r="J275" i="8"/>
  <c r="J303" i="8"/>
  <c r="J307" i="8"/>
  <c r="J561" i="7"/>
  <c r="H217" i="10"/>
  <c r="J217" i="10" s="1"/>
  <c r="J625" i="4"/>
  <c r="J1241" i="6"/>
  <c r="J1797" i="6"/>
  <c r="J1796" i="6"/>
  <c r="J1824" i="6"/>
  <c r="J627" i="4"/>
  <c r="J1519" i="6"/>
  <c r="J432" i="8"/>
  <c r="I118" i="4"/>
  <c r="I156" i="4" s="1"/>
  <c r="J304" i="8"/>
  <c r="J308" i="8"/>
  <c r="J913" i="4"/>
  <c r="J491" i="4"/>
  <c r="J757" i="6"/>
  <c r="J1249" i="6"/>
  <c r="J710" i="4"/>
  <c r="J1785" i="6"/>
  <c r="J384" i="4"/>
  <c r="J1387" i="6"/>
  <c r="J385" i="4"/>
  <c r="J274" i="8"/>
  <c r="J309" i="8"/>
  <c r="J272" i="8"/>
  <c r="J740" i="7"/>
  <c r="I259" i="7"/>
  <c r="J641" i="4"/>
  <c r="J872" i="4"/>
  <c r="J538" i="4"/>
  <c r="J387" i="4"/>
  <c r="J1923" i="6"/>
  <c r="X8" i="54"/>
  <c r="J1822" i="6"/>
  <c r="J1732" i="6"/>
  <c r="J590" i="6" s="1"/>
  <c r="J716" i="4"/>
  <c r="J1881" i="6"/>
  <c r="J1713" i="6"/>
  <c r="J829" i="4"/>
  <c r="J823" i="4"/>
  <c r="J828" i="4"/>
  <c r="J825" i="4"/>
  <c r="J826" i="4"/>
  <c r="J1097" i="6"/>
  <c r="J408" i="8"/>
  <c r="J241" i="8"/>
  <c r="J437" i="8"/>
  <c r="J207" i="8"/>
  <c r="J826" i="6"/>
  <c r="J1744" i="6"/>
  <c r="J814" i="4"/>
  <c r="J1159" i="6"/>
  <c r="J965" i="7"/>
  <c r="J438" i="8"/>
  <c r="J461" i="4"/>
  <c r="J1095" i="6"/>
  <c r="J752" i="7"/>
  <c r="J262" i="7" s="1"/>
  <c r="J1283" i="6"/>
  <c r="J751" i="7"/>
  <c r="J585" i="4"/>
  <c r="J379" i="5"/>
  <c r="J142" i="5" s="1"/>
  <c r="J378" i="5"/>
  <c r="J456" i="4"/>
  <c r="J1050" i="6"/>
  <c r="J265" i="6" s="1"/>
  <c r="I1131" i="7"/>
  <c r="J1131" i="7" s="1"/>
  <c r="I1113" i="7"/>
  <c r="J1113" i="7" s="1"/>
  <c r="I671" i="7"/>
  <c r="I1108" i="7"/>
  <c r="J1108" i="7" s="1"/>
  <c r="J1136" i="7"/>
  <c r="I586" i="6"/>
  <c r="J191" i="8"/>
  <c r="J1786" i="6"/>
  <c r="J386" i="4"/>
  <c r="J1388" i="6"/>
  <c r="J371" i="5"/>
  <c r="J301" i="8"/>
  <c r="J273" i="8"/>
  <c r="J302" i="8"/>
  <c r="J562" i="7"/>
  <c r="J695" i="4"/>
  <c r="J709" i="4"/>
  <c r="J53" i="10"/>
  <c r="I29" i="11" s="1"/>
  <c r="J29" i="11" s="1"/>
  <c r="K29" i="11" s="1"/>
  <c r="I765" i="7"/>
  <c r="I274" i="7" s="1"/>
  <c r="H586" i="6"/>
  <c r="G1638" i="6"/>
  <c r="G520" i="6" s="1"/>
  <c r="F43" i="55"/>
  <c r="G40" i="55" s="1"/>
  <c r="G43" i="55" s="1"/>
  <c r="H40" i="55" s="1"/>
  <c r="H43" i="55" s="1"/>
  <c r="I40" i="55" s="1"/>
  <c r="B46" i="4"/>
  <c r="B1009" i="4" s="1"/>
  <c r="B1006" i="4"/>
  <c r="C46" i="4"/>
  <c r="B62" i="3" s="1"/>
  <c r="A442" i="6"/>
  <c r="A1449" i="6"/>
  <c r="A1451" i="6" s="1"/>
  <c r="A1453" i="6" s="1"/>
  <c r="A1462" i="6" s="1"/>
  <c r="B442" i="6"/>
  <c r="B1449" i="6"/>
  <c r="C1449" i="6"/>
  <c r="C1451" i="6" s="1"/>
  <c r="C1453" i="6" s="1"/>
  <c r="C1462" i="6" s="1"/>
  <c r="C442" i="6"/>
  <c r="B122" i="10"/>
  <c r="D1007" i="7"/>
  <c r="G103" i="10"/>
  <c r="F45" i="11" s="1"/>
  <c r="D103" i="10"/>
  <c r="B213" i="3"/>
  <c r="P72" i="42"/>
  <c r="C57" i="13"/>
  <c r="E133" i="11"/>
  <c r="G133" i="11" s="1"/>
  <c r="H133" i="11" s="1"/>
  <c r="J133" i="11" s="1"/>
  <c r="K133" i="11" s="1"/>
  <c r="M133" i="11" s="1"/>
  <c r="N133" i="11" s="1"/>
  <c r="P133" i="11" s="1"/>
  <c r="Q133" i="11" s="1"/>
  <c r="S133" i="11" s="1"/>
  <c r="T133" i="11" s="1"/>
  <c r="V133" i="11" s="1"/>
  <c r="W133" i="11" s="1"/>
  <c r="Y133" i="11" s="1"/>
  <c r="Z133" i="11" s="1"/>
  <c r="AB133" i="11" s="1"/>
  <c r="AC133" i="11" s="1"/>
  <c r="AE133" i="11" s="1"/>
  <c r="AF133" i="11" s="1"/>
  <c r="AH133" i="11" s="1"/>
  <c r="AI133" i="11" s="1"/>
  <c r="AK133" i="11" s="1"/>
  <c r="E140" i="11"/>
  <c r="C80" i="3"/>
  <c r="C44" i="17"/>
  <c r="AG41" i="42"/>
  <c r="E75" i="15" s="1"/>
  <c r="F31" i="16"/>
  <c r="AH41" i="42"/>
  <c r="G75" i="15" s="1"/>
  <c r="G322" i="34" s="1"/>
  <c r="AU19" i="42"/>
  <c r="I103" i="6"/>
  <c r="R21" i="42"/>
  <c r="C54" i="15" s="1"/>
  <c r="I95" i="5"/>
  <c r="I92" i="7"/>
  <c r="H279" i="6"/>
  <c r="H370" i="8"/>
  <c r="H174" i="8"/>
  <c r="G182" i="8"/>
  <c r="H421" i="5"/>
  <c r="F112" i="3"/>
  <c r="C34" i="12"/>
  <c r="I3" i="12"/>
  <c r="H640" i="4"/>
  <c r="G187" i="4"/>
  <c r="H187" i="4" s="1"/>
  <c r="H735" i="7"/>
  <c r="G755" i="7"/>
  <c r="E27" i="48" s="1"/>
  <c r="F59" i="48" s="1"/>
  <c r="G1134" i="6"/>
  <c r="H1134" i="6" s="1"/>
  <c r="E128" i="11"/>
  <c r="G128" i="11" s="1"/>
  <c r="H128" i="11" s="1"/>
  <c r="J128" i="11" s="1"/>
  <c r="K128" i="11" s="1"/>
  <c r="M128" i="11" s="1"/>
  <c r="N128" i="11" s="1"/>
  <c r="P128" i="11" s="1"/>
  <c r="Q128" i="11" s="1"/>
  <c r="S128" i="11" s="1"/>
  <c r="T128" i="11" s="1"/>
  <c r="V128" i="11" s="1"/>
  <c r="W128" i="11" s="1"/>
  <c r="Y128" i="11" s="1"/>
  <c r="Z128" i="11" s="1"/>
  <c r="AB128" i="11" s="1"/>
  <c r="AC128" i="11" s="1"/>
  <c r="AE128" i="11" s="1"/>
  <c r="AF128" i="11" s="1"/>
  <c r="AH128" i="11" s="1"/>
  <c r="AI128" i="11" s="1"/>
  <c r="AK128" i="11" s="1"/>
  <c r="H16" i="11"/>
  <c r="J16" i="11" s="1"/>
  <c r="K16" i="11" s="1"/>
  <c r="M16" i="11" s="1"/>
  <c r="N16" i="11" s="1"/>
  <c r="P16" i="11" s="1"/>
  <c r="Q16" i="11" s="1"/>
  <c r="S16" i="11" s="1"/>
  <c r="T16" i="11" s="1"/>
  <c r="V16" i="11" s="1"/>
  <c r="W16" i="11" s="1"/>
  <c r="Y16" i="11" s="1"/>
  <c r="Z16" i="11" s="1"/>
  <c r="AB16" i="11" s="1"/>
  <c r="AC16" i="11" s="1"/>
  <c r="AE16" i="11" s="1"/>
  <c r="AF16" i="11" s="1"/>
  <c r="AH16" i="11" s="1"/>
  <c r="AI16" i="11" s="1"/>
  <c r="AK16" i="11" s="1"/>
  <c r="G3" i="40"/>
  <c r="G47" i="40" s="1"/>
  <c r="G3" i="12"/>
  <c r="E3" i="40"/>
  <c r="E105" i="40" s="1"/>
  <c r="E134" i="40" s="1"/>
  <c r="H580" i="4"/>
  <c r="F136" i="3"/>
  <c r="G34" i="12"/>
  <c r="F3" i="12"/>
  <c r="F142" i="3"/>
  <c r="D295" i="7"/>
  <c r="G133" i="42" s="1"/>
  <c r="I218" i="7"/>
  <c r="C142" i="3"/>
  <c r="A160" i="3"/>
  <c r="A161" i="3" s="1"/>
  <c r="C52" i="6"/>
  <c r="B104" i="13" s="1"/>
  <c r="B7" i="3"/>
  <c r="B33" i="3"/>
  <c r="B34" i="3" s="1"/>
  <c r="B174" i="3"/>
  <c r="B175" i="3" s="1"/>
  <c r="A139" i="3"/>
  <c r="A142" i="3" s="1"/>
  <c r="A112" i="17"/>
  <c r="A33" i="3"/>
  <c r="A34" i="3" s="1"/>
  <c r="A174" i="3"/>
  <c r="A175" i="3" s="1"/>
  <c r="AT19" i="42"/>
  <c r="D161" i="42" s="1"/>
  <c r="C178" i="3"/>
  <c r="C179" i="3" s="1"/>
  <c r="AR19" i="42"/>
  <c r="A178" i="3"/>
  <c r="A179" i="3" s="1"/>
  <c r="B75" i="16"/>
  <c r="B76" i="3"/>
  <c r="K75" i="16"/>
  <c r="K76" i="3"/>
  <c r="A75" i="16"/>
  <c r="A76" i="3"/>
  <c r="F75" i="16"/>
  <c r="F44" i="16" s="1"/>
  <c r="F77" i="3" s="1"/>
  <c r="F76" i="3"/>
  <c r="J75" i="16"/>
  <c r="J76" i="3"/>
  <c r="G1009" i="7"/>
  <c r="G405" i="7" s="1"/>
  <c r="E77" i="13"/>
  <c r="S43" i="42" s="1"/>
  <c r="E201" i="14"/>
  <c r="F183" i="14"/>
  <c r="H116" i="14"/>
  <c r="F116" i="14"/>
  <c r="D172" i="14"/>
  <c r="H267" i="8"/>
  <c r="G60" i="8"/>
  <c r="H60" i="8" s="1"/>
  <c r="K89" i="48"/>
  <c r="H260" i="7"/>
  <c r="D69" i="7"/>
  <c r="D7" i="7" s="1"/>
  <c r="W134" i="9"/>
  <c r="W138" i="9" s="1"/>
  <c r="W346" i="9" s="1"/>
  <c r="N39" i="37"/>
  <c r="H334" i="6"/>
  <c r="H268" i="6"/>
  <c r="D101" i="11"/>
  <c r="H22" i="8"/>
  <c r="I196" i="8"/>
  <c r="J196" i="8" s="1"/>
  <c r="K196" i="8" s="1"/>
  <c r="L196" i="8" s="1"/>
  <c r="M196" i="8" s="1"/>
  <c r="N196" i="8" s="1"/>
  <c r="O196" i="8" s="1"/>
  <c r="P196" i="8" s="1"/>
  <c r="Q196" i="8" s="1"/>
  <c r="H196" i="8"/>
  <c r="H138" i="8"/>
  <c r="H150" i="8"/>
  <c r="I235" i="3"/>
  <c r="AK138" i="9"/>
  <c r="K1079" i="6" s="1"/>
  <c r="G289" i="6"/>
  <c r="E322" i="34"/>
  <c r="I149" i="6"/>
  <c r="M39" i="5"/>
  <c r="K46" i="3" s="1"/>
  <c r="H824" i="7"/>
  <c r="M85" i="26"/>
  <c r="M98" i="26" s="1"/>
  <c r="M100" i="26" s="1"/>
  <c r="E25" i="48"/>
  <c r="F58" i="48" s="1"/>
  <c r="H599" i="7"/>
  <c r="A54" i="15"/>
  <c r="Q81" i="42"/>
  <c r="Q103" i="6"/>
  <c r="Q108" i="6" s="1"/>
  <c r="H262" i="6"/>
  <c r="R12" i="42"/>
  <c r="C55" i="15" s="1"/>
  <c r="H99" i="6"/>
  <c r="H717" i="6"/>
  <c r="G114" i="42"/>
  <c r="H1630" i="6"/>
  <c r="H661" i="6"/>
  <c r="H701" i="6"/>
  <c r="H659" i="6"/>
  <c r="H323" i="6"/>
  <c r="I41" i="27"/>
  <c r="I30" i="27"/>
  <c r="I34" i="27"/>
  <c r="J34" i="27" s="1"/>
  <c r="I42" i="27"/>
  <c r="I43" i="27"/>
  <c r="I45" i="27"/>
  <c r="I31" i="27"/>
  <c r="I72" i="4"/>
  <c r="G584" i="6"/>
  <c r="G377" i="6"/>
  <c r="H377" i="6" s="1"/>
  <c r="G726" i="6"/>
  <c r="H726" i="6" s="1"/>
  <c r="G331" i="6"/>
  <c r="H331" i="6" s="1"/>
  <c r="G727" i="6"/>
  <c r="H727" i="6" s="1"/>
  <c r="I1287" i="6"/>
  <c r="J1287" i="6" s="1"/>
  <c r="I1244" i="6"/>
  <c r="J1244" i="6" s="1"/>
  <c r="I1792" i="6"/>
  <c r="J1792" i="6" s="1"/>
  <c r="I1794" i="6"/>
  <c r="J1794" i="6" s="1"/>
  <c r="H404" i="6"/>
  <c r="I1937" i="6"/>
  <c r="I670" i="6" s="1"/>
  <c r="I1669" i="6"/>
  <c r="J1669" i="6" s="1"/>
  <c r="I2002" i="6"/>
  <c r="I1483" i="6"/>
  <c r="J1483" i="6" s="1"/>
  <c r="I1612" i="6"/>
  <c r="J1612" i="6" s="1"/>
  <c r="I1670" i="6"/>
  <c r="J1670" i="6" s="1"/>
  <c r="I1739" i="6"/>
  <c r="J1739" i="6" s="1"/>
  <c r="I2003" i="6"/>
  <c r="J2003" i="6" s="1"/>
  <c r="I1247" i="6"/>
  <c r="J1247" i="6" s="1"/>
  <c r="I1346" i="6"/>
  <c r="J1346" i="6" s="1"/>
  <c r="I1331" i="6"/>
  <c r="J1331" i="6" s="1"/>
  <c r="I1988" i="6"/>
  <c r="J1988" i="6" s="1"/>
  <c r="I1407" i="6"/>
  <c r="I440" i="6" s="1"/>
  <c r="G606" i="6"/>
  <c r="H606" i="6" s="1"/>
  <c r="I1666" i="6"/>
  <c r="J1666" i="6" s="1"/>
  <c r="I976" i="6"/>
  <c r="J976" i="6" s="1"/>
  <c r="G476" i="6"/>
  <c r="H476" i="6" s="1"/>
  <c r="I1672" i="6"/>
  <c r="J1672" i="6" s="1"/>
  <c r="K1672" i="6" s="1"/>
  <c r="I863" i="6"/>
  <c r="J863" i="6" s="1"/>
  <c r="K863" i="6" s="1"/>
  <c r="L863" i="6" s="1"/>
  <c r="M863" i="6" s="1"/>
  <c r="N863" i="6" s="1"/>
  <c r="O863" i="6" s="1"/>
  <c r="P863" i="6" s="1"/>
  <c r="Q863" i="6" s="1"/>
  <c r="G278" i="6"/>
  <c r="H278" i="6" s="1"/>
  <c r="G479" i="6"/>
  <c r="H479" i="6" s="1"/>
  <c r="G190" i="6"/>
  <c r="H190" i="6" s="1"/>
  <c r="I1480" i="6"/>
  <c r="J1480" i="6" s="1"/>
  <c r="I1289" i="6"/>
  <c r="J1289" i="6" s="1"/>
  <c r="I1242" i="6"/>
  <c r="J1242" i="6" s="1"/>
  <c r="J1654" i="6"/>
  <c r="I1345" i="6"/>
  <c r="J1345" i="6" s="1"/>
  <c r="I1613" i="6"/>
  <c r="J1613" i="6" s="1"/>
  <c r="I1671" i="6"/>
  <c r="J1671" i="6" s="1"/>
  <c r="I1983" i="6"/>
  <c r="I2004" i="6"/>
  <c r="J2004" i="6" s="1"/>
  <c r="J1348" i="6"/>
  <c r="I1485" i="6"/>
  <c r="J1485" i="6" s="1"/>
  <c r="I1615" i="6"/>
  <c r="J1615" i="6" s="1"/>
  <c r="I1677" i="6"/>
  <c r="J1677" i="6" s="1"/>
  <c r="J1984" i="6"/>
  <c r="I2005" i="6"/>
  <c r="J2005" i="6" s="1"/>
  <c r="I1246" i="6"/>
  <c r="J1246" i="6" s="1"/>
  <c r="I1614" i="6"/>
  <c r="J1614" i="6" s="1"/>
  <c r="I1605" i="6"/>
  <c r="J1605" i="6" s="1"/>
  <c r="I1987" i="6"/>
  <c r="J1987" i="6" s="1"/>
  <c r="J1655" i="6"/>
  <c r="I821" i="6"/>
  <c r="J821" i="6" s="1"/>
  <c r="I969" i="6"/>
  <c r="J969" i="6" s="1"/>
  <c r="J971" i="6"/>
  <c r="I973" i="6"/>
  <c r="J973" i="6" s="1"/>
  <c r="I972" i="6"/>
  <c r="J972" i="6" s="1"/>
  <c r="I1385" i="6"/>
  <c r="J1385" i="6" s="1"/>
  <c r="I1599" i="6"/>
  <c r="J1599" i="6" s="1"/>
  <c r="I1990" i="6"/>
  <c r="J1990" i="6" s="1"/>
  <c r="J711" i="6" s="1"/>
  <c r="G574" i="6"/>
  <c r="H574" i="6" s="1"/>
  <c r="G415" i="6"/>
  <c r="H415" i="6" s="1"/>
  <c r="I1299" i="6"/>
  <c r="I423" i="6" s="1"/>
  <c r="I1710" i="6"/>
  <c r="I1793" i="6"/>
  <c r="J1793" i="6" s="1"/>
  <c r="I1245" i="6"/>
  <c r="J779" i="6"/>
  <c r="I1482" i="6"/>
  <c r="J1482" i="6" s="1"/>
  <c r="I1674" i="6"/>
  <c r="J1674" i="6" s="1"/>
  <c r="I1985" i="6"/>
  <c r="J1985" i="6" s="1"/>
  <c r="I2008" i="6"/>
  <c r="J2008" i="6" s="1"/>
  <c r="I1662" i="6"/>
  <c r="I540" i="6" s="1"/>
  <c r="I1679" i="6"/>
  <c r="J1679" i="6" s="1"/>
  <c r="I1986" i="6"/>
  <c r="J1986" i="6" s="1"/>
  <c r="I2009" i="6"/>
  <c r="I1601" i="6"/>
  <c r="J1601" i="6" s="1"/>
  <c r="I1604" i="6"/>
  <c r="J1604" i="6" s="1"/>
  <c r="I1740" i="6"/>
  <c r="J1740" i="6" s="1"/>
  <c r="I994" i="6"/>
  <c r="J994" i="6" s="1"/>
  <c r="G605" i="6"/>
  <c r="H605" i="6" s="1"/>
  <c r="I974" i="6"/>
  <c r="J974" i="6" s="1"/>
  <c r="I1358" i="6"/>
  <c r="J1358" i="6" s="1"/>
  <c r="K1358" i="6" s="1"/>
  <c r="L1358" i="6" s="1"/>
  <c r="M1358" i="6" s="1"/>
  <c r="N1358" i="6" s="1"/>
  <c r="O1358" i="6" s="1"/>
  <c r="P1358" i="6" s="1"/>
  <c r="Q1358" i="6" s="1"/>
  <c r="G551" i="6"/>
  <c r="H551" i="6" s="1"/>
  <c r="G735" i="6"/>
  <c r="H735" i="6" s="1"/>
  <c r="I1790" i="6"/>
  <c r="J1790" i="6" s="1"/>
  <c r="H2001" i="6"/>
  <c r="J1811" i="6"/>
  <c r="I1243" i="6"/>
  <c r="J1243" i="6" s="1"/>
  <c r="G91" i="6"/>
  <c r="H91" i="6" s="1"/>
  <c r="I1653" i="6"/>
  <c r="J1653" i="6" s="1"/>
  <c r="I1333" i="6"/>
  <c r="J1333" i="6" s="1"/>
  <c r="I1484" i="6"/>
  <c r="J1484" i="6" s="1"/>
  <c r="I1678" i="6"/>
  <c r="J1678" i="6" s="1"/>
  <c r="I1997" i="6"/>
  <c r="J1997" i="6" s="1"/>
  <c r="I1334" i="6"/>
  <c r="J1334" i="6" s="1"/>
  <c r="I1481" i="6"/>
  <c r="J1481" i="6" s="1"/>
  <c r="K1481" i="6" s="1"/>
  <c r="I1600" i="6"/>
  <c r="J1600" i="6" s="1"/>
  <c r="I1668" i="6"/>
  <c r="J1668" i="6" s="1"/>
  <c r="I1996" i="6"/>
  <c r="G1489" i="6"/>
  <c r="G1494" i="6" s="1"/>
  <c r="H1494" i="6" s="1"/>
  <c r="H1488" i="6"/>
  <c r="I1780" i="6"/>
  <c r="I629" i="6" s="1"/>
  <c r="I1603" i="6"/>
  <c r="J1603" i="6" s="1"/>
  <c r="I1598" i="6"/>
  <c r="J1598" i="6" s="1"/>
  <c r="I1351" i="6"/>
  <c r="J1351" i="6" s="1"/>
  <c r="I1332" i="6"/>
  <c r="J1332" i="6" s="1"/>
  <c r="I820" i="6"/>
  <c r="J820" i="6" s="1"/>
  <c r="J1099" i="6"/>
  <c r="I975" i="6"/>
  <c r="J975" i="6" s="1"/>
  <c r="I653" i="7"/>
  <c r="J653" i="7" s="1"/>
  <c r="I919" i="7"/>
  <c r="J919" i="7" s="1"/>
  <c r="B318" i="42"/>
  <c r="B472" i="7"/>
  <c r="G205" i="7"/>
  <c r="H205" i="7" s="1"/>
  <c r="I652" i="7"/>
  <c r="J652" i="7" s="1"/>
  <c r="D631" i="7"/>
  <c r="J793" i="7"/>
  <c r="H125" i="4"/>
  <c r="J1146" i="7"/>
  <c r="I1144" i="7"/>
  <c r="J1144" i="7" s="1"/>
  <c r="J1147" i="7"/>
  <c r="G258" i="7"/>
  <c r="H258" i="7" s="1"/>
  <c r="I891" i="7"/>
  <c r="J891" i="7" s="1"/>
  <c r="I901" i="7"/>
  <c r="J901" i="7" s="1"/>
  <c r="I954" i="7"/>
  <c r="J954" i="7" s="1"/>
  <c r="I726" i="7"/>
  <c r="J726" i="7" s="1"/>
  <c r="I488" i="7"/>
  <c r="J488" i="7" s="1"/>
  <c r="I894" i="7"/>
  <c r="J894" i="7" s="1"/>
  <c r="I948" i="7"/>
  <c r="J948" i="7" s="1"/>
  <c r="I975" i="7"/>
  <c r="J975" i="7" s="1"/>
  <c r="I552" i="7"/>
  <c r="J552" i="7" s="1"/>
  <c r="I518" i="7"/>
  <c r="J747" i="7"/>
  <c r="I1037" i="7"/>
  <c r="J1037" i="7" s="1"/>
  <c r="I1034" i="7"/>
  <c r="J1034" i="7" s="1"/>
  <c r="I507" i="7"/>
  <c r="J507" i="7" s="1"/>
  <c r="I521" i="7"/>
  <c r="J521" i="7" s="1"/>
  <c r="J746" i="7"/>
  <c r="I853" i="7"/>
  <c r="J853" i="7" s="1"/>
  <c r="I1029" i="7"/>
  <c r="J1029" i="7" s="1"/>
  <c r="I971" i="7"/>
  <c r="J971" i="7" s="1"/>
  <c r="I490" i="7"/>
  <c r="J490" i="7" s="1"/>
  <c r="I511" i="7"/>
  <c r="J511" i="7" s="1"/>
  <c r="I612" i="7"/>
  <c r="J612" i="7" s="1"/>
  <c r="I886" i="7"/>
  <c r="J886" i="7" s="1"/>
  <c r="I1109" i="7"/>
  <c r="J1109" i="7" s="1"/>
  <c r="I1142" i="7"/>
  <c r="J1142" i="7" s="1"/>
  <c r="I1141" i="7"/>
  <c r="J1141" i="7" s="1"/>
  <c r="I982" i="7"/>
  <c r="J982" i="7" s="1"/>
  <c r="I933" i="7"/>
  <c r="J933" i="7" s="1"/>
  <c r="I1154" i="7"/>
  <c r="J1154" i="7" s="1"/>
  <c r="I1157" i="7"/>
  <c r="J1157" i="7" s="1"/>
  <c r="I986" i="7"/>
  <c r="J986" i="7" s="1"/>
  <c r="I984" i="7"/>
  <c r="J984" i="7" s="1"/>
  <c r="I955" i="7"/>
  <c r="J955" i="7" s="1"/>
  <c r="I785" i="7"/>
  <c r="J785" i="7" s="1"/>
  <c r="I1039" i="7"/>
  <c r="J1039" i="7" s="1"/>
  <c r="I675" i="7"/>
  <c r="J675" i="7" s="1"/>
  <c r="I724" i="7"/>
  <c r="J724" i="7" s="1"/>
  <c r="I884" i="7"/>
  <c r="J884" i="7" s="1"/>
  <c r="K884" i="7" s="1"/>
  <c r="I1137" i="7"/>
  <c r="J1137" i="7" s="1"/>
  <c r="I1150" i="7"/>
  <c r="J1150" i="7" s="1"/>
  <c r="I1148" i="7"/>
  <c r="J1148" i="7" s="1"/>
  <c r="I570" i="7"/>
  <c r="J570" i="7" s="1"/>
  <c r="H85" i="7"/>
  <c r="I968" i="7"/>
  <c r="J968" i="7" s="1"/>
  <c r="I893" i="7"/>
  <c r="J893" i="7" s="1"/>
  <c r="I983" i="7"/>
  <c r="J983" i="7" s="1"/>
  <c r="I964" i="7"/>
  <c r="J964" i="7" s="1"/>
  <c r="I551" i="7"/>
  <c r="J551" i="7" s="1"/>
  <c r="I796" i="7"/>
  <c r="J796" i="7" s="1"/>
  <c r="I950" i="7"/>
  <c r="J950" i="7" s="1"/>
  <c r="I978" i="7"/>
  <c r="J978" i="7" s="1"/>
  <c r="I512" i="7"/>
  <c r="I506" i="7"/>
  <c r="J506" i="7" s="1"/>
  <c r="I520" i="7"/>
  <c r="J520" i="7" s="1"/>
  <c r="J735" i="7"/>
  <c r="J750" i="7"/>
  <c r="I1040" i="7"/>
  <c r="J1040" i="7" s="1"/>
  <c r="I1035" i="7"/>
  <c r="J1035" i="7" s="1"/>
  <c r="I510" i="7"/>
  <c r="J510" i="7" s="1"/>
  <c r="I523" i="7"/>
  <c r="J523" i="7" s="1"/>
  <c r="J749" i="7"/>
  <c r="I1038" i="7"/>
  <c r="J1038" i="7" s="1"/>
  <c r="I1044" i="7"/>
  <c r="J1044" i="7" s="1"/>
  <c r="I928" i="7"/>
  <c r="J928" i="7" s="1"/>
  <c r="I489" i="7"/>
  <c r="J489" i="7" s="1"/>
  <c r="I617" i="7"/>
  <c r="J617" i="7" s="1"/>
  <c r="I604" i="7"/>
  <c r="J604" i="7" s="1"/>
  <c r="I927" i="7"/>
  <c r="J927" i="7" s="1"/>
  <c r="J1129" i="7"/>
  <c r="I1152" i="7"/>
  <c r="J1152" i="7" s="1"/>
  <c r="G457" i="7"/>
  <c r="H457" i="7" s="1"/>
  <c r="I985" i="7"/>
  <c r="J985" i="7" s="1"/>
  <c r="I1036" i="7"/>
  <c r="J1036" i="7" s="1"/>
  <c r="I883" i="7"/>
  <c r="H60" i="10" s="1"/>
  <c r="J1149" i="7"/>
  <c r="I1145" i="7"/>
  <c r="J1145" i="7" s="1"/>
  <c r="I1139" i="7"/>
  <c r="J1139" i="7" s="1"/>
  <c r="I782" i="7"/>
  <c r="I291" i="7" s="1"/>
  <c r="I131" i="7"/>
  <c r="I293" i="7"/>
  <c r="I895" i="7"/>
  <c r="J895" i="7" s="1"/>
  <c r="I930" i="7"/>
  <c r="J930" i="7" s="1"/>
  <c r="I969" i="7"/>
  <c r="J969" i="7" s="1"/>
  <c r="I553" i="7"/>
  <c r="J553" i="7" s="1"/>
  <c r="I900" i="7"/>
  <c r="J900" i="7" s="1"/>
  <c r="I953" i="7"/>
  <c r="J953" i="7" s="1"/>
  <c r="J736" i="7"/>
  <c r="I513" i="7"/>
  <c r="J513" i="7" s="1"/>
  <c r="I522" i="7"/>
  <c r="J522" i="7" s="1"/>
  <c r="J741" i="7"/>
  <c r="I849" i="7"/>
  <c r="I1042" i="7"/>
  <c r="J1042" i="7" s="1"/>
  <c r="I1028" i="7"/>
  <c r="J1028" i="7" s="1"/>
  <c r="I1030" i="7"/>
  <c r="J1030" i="7" s="1"/>
  <c r="I683" i="7"/>
  <c r="J683" i="7" s="1"/>
  <c r="I613" i="7"/>
  <c r="J613" i="7" s="1"/>
  <c r="I616" i="7"/>
  <c r="J616" i="7" s="1"/>
  <c r="I611" i="7"/>
  <c r="J611" i="7" s="1"/>
  <c r="I887" i="7"/>
  <c r="J887" i="7" s="1"/>
  <c r="I1130" i="7"/>
  <c r="J1130" i="7" s="1"/>
  <c r="I1128" i="7"/>
  <c r="J1128" i="7" s="1"/>
  <c r="J1151" i="7"/>
  <c r="I1155" i="7"/>
  <c r="J1155" i="7" s="1"/>
  <c r="I1159" i="7"/>
  <c r="J1159" i="7" s="1"/>
  <c r="I1041" i="7"/>
  <c r="J1041" i="7" s="1"/>
  <c r="I967" i="7"/>
  <c r="J967" i="7" s="1"/>
  <c r="I976" i="7"/>
  <c r="J976" i="7" s="1"/>
  <c r="I1032" i="7"/>
  <c r="J1032" i="7" s="1"/>
  <c r="I679" i="7"/>
  <c r="I660" i="7"/>
  <c r="J660" i="7" s="1"/>
  <c r="I1133" i="7"/>
  <c r="J1133" i="7" s="1"/>
  <c r="I1135" i="7"/>
  <c r="J1135" i="7" s="1"/>
  <c r="I1143" i="7"/>
  <c r="J1143" i="7" s="1"/>
  <c r="I1110" i="7"/>
  <c r="J1110" i="7" s="1"/>
  <c r="I890" i="7"/>
  <c r="J890" i="7" s="1"/>
  <c r="I899" i="7"/>
  <c r="J899" i="7" s="1"/>
  <c r="I947" i="7"/>
  <c r="J947" i="7" s="1"/>
  <c r="I977" i="7"/>
  <c r="J977" i="7" s="1"/>
  <c r="I892" i="7"/>
  <c r="J892" i="7" s="1"/>
  <c r="I970" i="7"/>
  <c r="J970" i="7" s="1"/>
  <c r="I549" i="7"/>
  <c r="J549" i="7" s="1"/>
  <c r="I509" i="7"/>
  <c r="J509" i="7" s="1"/>
  <c r="G129" i="7"/>
  <c r="H129" i="7" s="1"/>
  <c r="J743" i="7"/>
  <c r="I838" i="7"/>
  <c r="J838" i="7" s="1"/>
  <c r="I852" i="7"/>
  <c r="J852" i="7" s="1"/>
  <c r="I1043" i="7"/>
  <c r="J1043" i="7" s="1"/>
  <c r="I505" i="7"/>
  <c r="J505" i="7" s="1"/>
  <c r="I519" i="7"/>
  <c r="J519" i="7" s="1"/>
  <c r="J742" i="7"/>
  <c r="I850" i="7"/>
  <c r="J850" i="7" s="1"/>
  <c r="I1031" i="7"/>
  <c r="J1031" i="7" s="1"/>
  <c r="I972" i="7"/>
  <c r="J972" i="7" s="1"/>
  <c r="I605" i="7"/>
  <c r="J605" i="7" s="1"/>
  <c r="I610" i="7"/>
  <c r="J610" i="7" s="1"/>
  <c r="I618" i="7"/>
  <c r="J618" i="7" s="1"/>
  <c r="I960" i="7"/>
  <c r="J960" i="7" s="1"/>
  <c r="I1140" i="7"/>
  <c r="J1140" i="7" s="1"/>
  <c r="I1138" i="7"/>
  <c r="J1138" i="7" s="1"/>
  <c r="I1132" i="7"/>
  <c r="J1132" i="7" s="1"/>
  <c r="I1158" i="7"/>
  <c r="J1158" i="7" s="1"/>
  <c r="I1156" i="7"/>
  <c r="J1156" i="7" s="1"/>
  <c r="I959" i="7"/>
  <c r="J959" i="7" s="1"/>
  <c r="I987" i="7"/>
  <c r="J987" i="7" s="1"/>
  <c r="G161" i="7"/>
  <c r="H161" i="7" s="1"/>
  <c r="Q174" i="7"/>
  <c r="I1033" i="7"/>
  <c r="J1033" i="7" s="1"/>
  <c r="H879" i="7"/>
  <c r="I676" i="7"/>
  <c r="J676" i="7" s="1"/>
  <c r="I148" i="6"/>
  <c r="F210" i="15"/>
  <c r="I453" i="8"/>
  <c r="J453" i="8" s="1"/>
  <c r="G118" i="8"/>
  <c r="H118" i="8" s="1"/>
  <c r="I254" i="8"/>
  <c r="J254" i="8" s="1"/>
  <c r="I208" i="8"/>
  <c r="J208" i="8" s="1"/>
  <c r="J285" i="8"/>
  <c r="J314" i="8"/>
  <c r="I251" i="8"/>
  <c r="J251" i="8" s="1"/>
  <c r="I211" i="8"/>
  <c r="J211" i="8" s="1"/>
  <c r="J269" i="8"/>
  <c r="J283" i="8"/>
  <c r="I445" i="8"/>
  <c r="J445" i="8" s="1"/>
  <c r="K445" i="8" s="1"/>
  <c r="J282" i="8"/>
  <c r="G128" i="8"/>
  <c r="H128" i="8" s="1"/>
  <c r="G62" i="8"/>
  <c r="H62" i="8" s="1"/>
  <c r="J447" i="8"/>
  <c r="J240" i="8"/>
  <c r="I210" i="8"/>
  <c r="J210" i="8" s="1"/>
  <c r="J268" i="8"/>
  <c r="J446" i="8"/>
  <c r="J280" i="8"/>
  <c r="J189" i="8"/>
  <c r="I173" i="8"/>
  <c r="J173" i="8" s="1"/>
  <c r="K173" i="8" s="1"/>
  <c r="I369" i="8"/>
  <c r="J369" i="8" s="1"/>
  <c r="K369" i="8" s="1"/>
  <c r="J331" i="8"/>
  <c r="I431" i="8"/>
  <c r="J431" i="8" s="1"/>
  <c r="J329" i="8"/>
  <c r="J315" i="8"/>
  <c r="F25" i="16"/>
  <c r="F10" i="16" s="1"/>
  <c r="E245" i="15" s="1"/>
  <c r="F245" i="15" s="1"/>
  <c r="I248" i="8"/>
  <c r="J248" i="8" s="1"/>
  <c r="I213" i="8"/>
  <c r="G114" i="3" s="1"/>
  <c r="J332" i="8"/>
  <c r="I434" i="8"/>
  <c r="J434" i="8" s="1"/>
  <c r="J234" i="8"/>
  <c r="J284" i="8"/>
  <c r="H182" i="8"/>
  <c r="H381" i="8"/>
  <c r="I249" i="8"/>
  <c r="I448" i="8"/>
  <c r="J448" i="8" s="1"/>
  <c r="J281" i="8"/>
  <c r="H129" i="8"/>
  <c r="I449" i="8"/>
  <c r="J449" i="8" s="1"/>
  <c r="I250" i="8"/>
  <c r="J250" i="8" s="1"/>
  <c r="J244" i="8"/>
  <c r="J279" i="8"/>
  <c r="I433" i="8"/>
  <c r="J433" i="8" s="1"/>
  <c r="I206" i="8"/>
  <c r="J206" i="8" s="1"/>
  <c r="J238" i="8"/>
  <c r="J187" i="8"/>
  <c r="J235" i="8"/>
  <c r="F27" i="16"/>
  <c r="F12" i="16" s="1"/>
  <c r="E247" i="15" s="1"/>
  <c r="I209" i="8"/>
  <c r="J209" i="8" s="1"/>
  <c r="J396" i="8"/>
  <c r="J188" i="8"/>
  <c r="H137" i="5"/>
  <c r="H136" i="5"/>
  <c r="H190" i="5"/>
  <c r="H198" i="5"/>
  <c r="I318" i="5"/>
  <c r="I423" i="5"/>
  <c r="J423" i="5" s="1"/>
  <c r="I364" i="5"/>
  <c r="J364" i="5" s="1"/>
  <c r="G60" i="5"/>
  <c r="H60" i="5" s="1"/>
  <c r="I421" i="5"/>
  <c r="J421" i="5" s="1"/>
  <c r="I701" i="4"/>
  <c r="J701" i="4" s="1"/>
  <c r="J697" i="4"/>
  <c r="I703" i="4"/>
  <c r="J703" i="4" s="1"/>
  <c r="I704" i="4"/>
  <c r="J704" i="4" s="1"/>
  <c r="J677" i="4"/>
  <c r="I863" i="4"/>
  <c r="J863" i="4" s="1"/>
  <c r="I908" i="4"/>
  <c r="J908" i="4" s="1"/>
  <c r="I899" i="4"/>
  <c r="J899" i="4" s="1"/>
  <c r="G330" i="4"/>
  <c r="H330" i="4" s="1"/>
  <c r="I907" i="4"/>
  <c r="J907" i="4" s="1"/>
  <c r="I898" i="4"/>
  <c r="J898" i="4" s="1"/>
  <c r="I865" i="4"/>
  <c r="J865" i="4" s="1"/>
  <c r="I646" i="4"/>
  <c r="J646" i="4" s="1"/>
  <c r="I562" i="4"/>
  <c r="J562" i="4" s="1"/>
  <c r="I573" i="4"/>
  <c r="J573" i="4" s="1"/>
  <c r="I565" i="4"/>
  <c r="J565" i="4" s="1"/>
  <c r="J683" i="4"/>
  <c r="I577" i="4"/>
  <c r="J577" i="4" s="1"/>
  <c r="I708" i="4"/>
  <c r="J708" i="4" s="1"/>
  <c r="I700" i="4"/>
  <c r="J700" i="4" s="1"/>
  <c r="I707" i="4"/>
  <c r="J707" i="4" s="1"/>
  <c r="I706" i="4"/>
  <c r="J706" i="4" s="1"/>
  <c r="J682" i="4"/>
  <c r="I575" i="4"/>
  <c r="J575" i="4" s="1"/>
  <c r="I906" i="4"/>
  <c r="J906" i="4" s="1"/>
  <c r="I897" i="4"/>
  <c r="J897" i="4" s="1"/>
  <c r="I905" i="4"/>
  <c r="J905" i="4" s="1"/>
  <c r="I914" i="4"/>
  <c r="I652" i="4"/>
  <c r="J652" i="4" s="1"/>
  <c r="I564" i="4"/>
  <c r="J564" i="4" s="1"/>
  <c r="I584" i="4"/>
  <c r="J584" i="4" s="1"/>
  <c r="I915" i="4"/>
  <c r="J915" i="4" s="1"/>
  <c r="I875" i="4"/>
  <c r="J875" i="4" s="1"/>
  <c r="J810" i="4"/>
  <c r="G183" i="4"/>
  <c r="H183" i="4" s="1"/>
  <c r="I764" i="4"/>
  <c r="J764" i="4" s="1"/>
  <c r="I622" i="4"/>
  <c r="J622" i="4" s="1"/>
  <c r="I869" i="4"/>
  <c r="I580" i="4"/>
  <c r="G136" i="3" s="1"/>
  <c r="G114" i="4"/>
  <c r="H114" i="4" s="1"/>
  <c r="J675" i="4"/>
  <c r="I712" i="4"/>
  <c r="J712" i="4" s="1"/>
  <c r="I705" i="4"/>
  <c r="J705" i="4" s="1"/>
  <c r="I702" i="4"/>
  <c r="J702" i="4" s="1"/>
  <c r="I571" i="4"/>
  <c r="J571" i="4" s="1"/>
  <c r="J651" i="4"/>
  <c r="I755" i="4"/>
  <c r="J755" i="4" s="1"/>
  <c r="J759" i="4"/>
  <c r="I754" i="4"/>
  <c r="J754" i="4" s="1"/>
  <c r="I699" i="4"/>
  <c r="J699" i="4" s="1"/>
  <c r="J686" i="4"/>
  <c r="I714" i="4"/>
  <c r="J714" i="4" s="1"/>
  <c r="I576" i="4"/>
  <c r="J576" i="4" s="1"/>
  <c r="I411" i="4"/>
  <c r="J411" i="4" s="1"/>
  <c r="J676" i="4"/>
  <c r="I693" i="4"/>
  <c r="J693" i="4" s="1"/>
  <c r="I713" i="4"/>
  <c r="J713" i="4" s="1"/>
  <c r="I694" i="4"/>
  <c r="J694" i="4" s="1"/>
  <c r="I698" i="4"/>
  <c r="J698" i="4" s="1"/>
  <c r="I572" i="4"/>
  <c r="J572" i="4" s="1"/>
  <c r="I574" i="4"/>
  <c r="J574" i="4" s="1"/>
  <c r="G348" i="4"/>
  <c r="H348" i="4" s="1"/>
  <c r="I900" i="4"/>
  <c r="J900" i="4" s="1"/>
  <c r="H354" i="4"/>
  <c r="I566" i="4"/>
  <c r="J566" i="4" s="1"/>
  <c r="I563" i="4"/>
  <c r="J563" i="4" s="1"/>
  <c r="I634" i="4"/>
  <c r="G115" i="3" s="1"/>
  <c r="G221" i="4"/>
  <c r="H221" i="4" s="1"/>
  <c r="J684" i="4"/>
  <c r="I624" i="4"/>
  <c r="J624" i="4" s="1"/>
  <c r="Q564" i="8"/>
  <c r="Q590" i="8"/>
  <c r="Q574" i="8"/>
  <c r="CB3" i="21"/>
  <c r="H60" i="20"/>
  <c r="A201" i="3"/>
  <c r="A106" i="15"/>
  <c r="C336" i="34" s="1"/>
  <c r="C569" i="34" s="1"/>
  <c r="A74" i="15"/>
  <c r="P645" i="6"/>
  <c r="Q1835" i="6"/>
  <c r="J902" i="7"/>
  <c r="I898" i="7"/>
  <c r="G348" i="7"/>
  <c r="H348" i="7" s="1"/>
  <c r="J229" i="5"/>
  <c r="M103" i="1"/>
  <c r="J1795" i="6"/>
  <c r="H25" i="12"/>
  <c r="Q158" i="6"/>
  <c r="Q868" i="6"/>
  <c r="W11" i="54"/>
  <c r="W18" i="54" s="1"/>
  <c r="W20" i="54" s="1"/>
  <c r="X5" i="54"/>
  <c r="J1880" i="6"/>
  <c r="J903" i="6"/>
  <c r="K1184" i="7"/>
  <c r="K467" i="7" s="1"/>
  <c r="H165" i="14"/>
  <c r="G193" i="3" s="1"/>
  <c r="I1009" i="7"/>
  <c r="I405" i="7" s="1"/>
  <c r="I145" i="6"/>
  <c r="I146" i="6"/>
  <c r="Q71" i="42"/>
  <c r="B41" i="15"/>
  <c r="L123" i="1"/>
  <c r="J105" i="1"/>
  <c r="K98" i="1"/>
  <c r="I124" i="1"/>
  <c r="J715" i="4"/>
  <c r="I144" i="6"/>
  <c r="J455" i="4"/>
  <c r="J849" i="6"/>
  <c r="I417" i="6"/>
  <c r="H72" i="34"/>
  <c r="J1415" i="6"/>
  <c r="J1416" i="6"/>
  <c r="J1418" i="6"/>
  <c r="J297" i="8"/>
  <c r="J1160" i="6"/>
  <c r="J1439" i="6"/>
  <c r="J1442" i="6"/>
  <c r="J327" i="8"/>
  <c r="AO117" i="9"/>
  <c r="CP117" i="9"/>
  <c r="I125" i="1"/>
  <c r="J847" i="6"/>
  <c r="J848" i="6"/>
  <c r="J850" i="6"/>
  <c r="J844" i="6"/>
  <c r="J190" i="8"/>
  <c r="J914" i="6"/>
  <c r="J627" i="7"/>
  <c r="I630" i="7"/>
  <c r="I1222" i="7" s="1"/>
  <c r="I179" i="7"/>
  <c r="I182" i="7" s="1"/>
  <c r="I42" i="7" s="1"/>
  <c r="G66" i="13" s="1"/>
  <c r="J1419" i="6"/>
  <c r="J1420" i="6"/>
  <c r="J1422" i="6"/>
  <c r="J296" i="8"/>
  <c r="J1240" i="6"/>
  <c r="J438" i="4"/>
  <c r="J74" i="4" s="1"/>
  <c r="J236" i="8"/>
  <c r="J1444" i="6"/>
  <c r="J1443" i="6"/>
  <c r="J334" i="8"/>
  <c r="G119" i="17"/>
  <c r="AV41" i="42"/>
  <c r="G106" i="15" s="1"/>
  <c r="G336" i="34" s="1"/>
  <c r="L1028" i="6"/>
  <c r="I126" i="1"/>
  <c r="J966" i="7"/>
  <c r="J846" i="6"/>
  <c r="J845" i="6"/>
  <c r="I373" i="7"/>
  <c r="I397" i="7" s="1"/>
  <c r="I43" i="7" s="1"/>
  <c r="F13" i="13" s="1"/>
  <c r="F49" i="13" s="1"/>
  <c r="J937" i="7"/>
  <c r="I1002" i="7"/>
  <c r="I1225" i="7" s="1"/>
  <c r="J926" i="6"/>
  <c r="J1719" i="6"/>
  <c r="I1754" i="6"/>
  <c r="I577" i="6"/>
  <c r="I604" i="6" s="1"/>
  <c r="I2074" i="6" s="1"/>
  <c r="I53" i="6" s="1"/>
  <c r="J1417" i="6"/>
  <c r="J1413" i="6"/>
  <c r="H742" i="34"/>
  <c r="J1353" i="6"/>
  <c r="J1441" i="6"/>
  <c r="I107" i="4"/>
  <c r="J490" i="4"/>
  <c r="J1445" i="6"/>
  <c r="J923" i="7"/>
  <c r="I921" i="7"/>
  <c r="J921" i="7" s="1"/>
  <c r="I924" i="7"/>
  <c r="J924" i="7" s="1"/>
  <c r="I128" i="1"/>
  <c r="H738" i="34"/>
  <c r="J460" i="4"/>
  <c r="J422" i="4"/>
  <c r="J1673" i="6"/>
  <c r="J908" i="6"/>
  <c r="J1412" i="6"/>
  <c r="J1421" i="6"/>
  <c r="J1414" i="6"/>
  <c r="H746" i="34"/>
  <c r="G750" i="34"/>
  <c r="J1386" i="6"/>
  <c r="J917" i="6"/>
  <c r="J328" i="8"/>
  <c r="J1440" i="6"/>
  <c r="J531" i="4"/>
  <c r="I498" i="7"/>
  <c r="I88" i="7" s="1"/>
  <c r="H88" i="7"/>
  <c r="I1329" i="6"/>
  <c r="G432" i="6"/>
  <c r="H432" i="6" s="1"/>
  <c r="D315" i="6"/>
  <c r="G117" i="42" s="1"/>
  <c r="D778" i="34"/>
  <c r="H3" i="40"/>
  <c r="H105" i="40" s="1"/>
  <c r="H134" i="40" s="1"/>
  <c r="H34" i="12"/>
  <c r="A3" i="12"/>
  <c r="E34" i="12"/>
  <c r="D300" i="42"/>
  <c r="D302" i="42" s="1"/>
  <c r="B302" i="42"/>
  <c r="B333" i="42"/>
  <c r="D332" i="42"/>
  <c r="D333" i="42" s="1"/>
  <c r="B603" i="6"/>
  <c r="B607" i="6" s="1"/>
  <c r="A603" i="6"/>
  <c r="A607" i="6" s="1"/>
  <c r="J762" i="6"/>
  <c r="A30" i="13"/>
  <c r="G2075" i="6"/>
  <c r="E31" i="13" s="1"/>
  <c r="E50" i="13" s="1"/>
  <c r="E68" i="13" s="1"/>
  <c r="I2075" i="6"/>
  <c r="F31" i="13" s="1"/>
  <c r="F50" i="13" s="1"/>
  <c r="I1848" i="6"/>
  <c r="G731" i="34" s="1"/>
  <c r="F731" i="34"/>
  <c r="I152" i="6"/>
  <c r="G152" i="6"/>
  <c r="H152" i="6" s="1"/>
  <c r="B349" i="42"/>
  <c r="D347" i="42"/>
  <c r="D349" i="42" s="1"/>
  <c r="I927" i="6"/>
  <c r="J927" i="6" s="1"/>
  <c r="F723" i="34"/>
  <c r="D355" i="42"/>
  <c r="A43" i="15"/>
  <c r="C181" i="7"/>
  <c r="C1211" i="7" s="1"/>
  <c r="D4" i="42"/>
  <c r="AS4" i="42"/>
  <c r="AH4" i="42"/>
  <c r="AV4" i="42" s="1"/>
  <c r="E4" i="42"/>
  <c r="AJ4" i="42"/>
  <c r="AX4" i="42" s="1"/>
  <c r="A40" i="15"/>
  <c r="A9" i="15" s="1"/>
  <c r="B1211" i="7"/>
  <c r="B183" i="7"/>
  <c r="B631" i="7"/>
  <c r="B642" i="7" s="1"/>
  <c r="I626" i="7"/>
  <c r="I178" i="7" s="1"/>
  <c r="C631" i="7"/>
  <c r="C642" i="7" s="1"/>
  <c r="AG12" i="42"/>
  <c r="G48" i="8"/>
  <c r="H48" i="8" s="1"/>
  <c r="I440" i="8"/>
  <c r="J440" i="8" s="1"/>
  <c r="AU21" i="42"/>
  <c r="G548" i="8"/>
  <c r="H548" i="8" s="1"/>
  <c r="F27" i="17"/>
  <c r="F12" i="17" s="1"/>
  <c r="E296" i="15" s="1"/>
  <c r="F296" i="15" s="1"/>
  <c r="AS10" i="42"/>
  <c r="B104" i="15" s="1"/>
  <c r="D95" i="11"/>
  <c r="E95" i="11" s="1"/>
  <c r="G95" i="11" s="1"/>
  <c r="H95" i="11" s="1"/>
  <c r="J95" i="11" s="1"/>
  <c r="K95" i="11" s="1"/>
  <c r="M95" i="11" s="1"/>
  <c r="N95" i="11" s="1"/>
  <c r="P95" i="11" s="1"/>
  <c r="Q95" i="11" s="1"/>
  <c r="S95" i="11" s="1"/>
  <c r="T95" i="11" s="1"/>
  <c r="V95" i="11" s="1"/>
  <c r="W95" i="11" s="1"/>
  <c r="Y95" i="11" s="1"/>
  <c r="Z95" i="11" s="1"/>
  <c r="AB95" i="11" s="1"/>
  <c r="AC95" i="11" s="1"/>
  <c r="AE95" i="11" s="1"/>
  <c r="AF95" i="11" s="1"/>
  <c r="AH95" i="11" s="1"/>
  <c r="AI95" i="11" s="1"/>
  <c r="AK95" i="11" s="1"/>
  <c r="D113" i="11"/>
  <c r="E113" i="11" s="1"/>
  <c r="C61" i="6"/>
  <c r="B23" i="3" s="1"/>
  <c r="J435" i="8"/>
  <c r="G406" i="6"/>
  <c r="H406" i="6" s="1"/>
  <c r="G61" i="6"/>
  <c r="F23" i="3" s="1"/>
  <c r="B52" i="6"/>
  <c r="A104" i="13" s="1"/>
  <c r="I61" i="6"/>
  <c r="G23" i="3" s="1"/>
  <c r="H177" i="8"/>
  <c r="D44" i="8"/>
  <c r="B237" i="15"/>
  <c r="B286" i="15" s="1"/>
  <c r="B3" i="17"/>
  <c r="B56" i="17" s="1"/>
  <c r="A3" i="15"/>
  <c r="A34" i="15" s="1"/>
  <c r="A3" i="17"/>
  <c r="A56" i="17" s="1"/>
  <c r="G237" i="15"/>
  <c r="G286" i="15" s="1"/>
  <c r="G3" i="17"/>
  <c r="G56" i="17" s="1"/>
  <c r="E237" i="15"/>
  <c r="E286" i="15" s="1"/>
  <c r="F3" i="17"/>
  <c r="F56" i="17" s="1"/>
  <c r="H237" i="15"/>
  <c r="H286" i="15" s="1"/>
  <c r="H3" i="17"/>
  <c r="H56" i="17" s="1"/>
  <c r="K237" i="15"/>
  <c r="M20" i="19" s="1"/>
  <c r="K3" i="17"/>
  <c r="K56" i="17" s="1"/>
  <c r="C237" i="15"/>
  <c r="C286" i="15" s="1"/>
  <c r="C3" i="17"/>
  <c r="C56" i="17" s="1"/>
  <c r="I237" i="15"/>
  <c r="I3" i="17"/>
  <c r="I56" i="17" s="1"/>
  <c r="J237" i="15"/>
  <c r="J286" i="15" s="1"/>
  <c r="J3" i="17"/>
  <c r="J56" i="17" s="1"/>
  <c r="A121" i="16"/>
  <c r="A251" i="15"/>
  <c r="E687" i="34"/>
  <c r="B3" i="40"/>
  <c r="B105" i="40" s="1"/>
  <c r="B134" i="40" s="1"/>
  <c r="G332" i="4"/>
  <c r="H332" i="4" s="1"/>
  <c r="A3" i="40"/>
  <c r="A105" i="40" s="1"/>
  <c r="A134" i="40" s="1"/>
  <c r="A34" i="12"/>
  <c r="F716" i="34"/>
  <c r="J1026" i="6"/>
  <c r="J248" i="6" s="1"/>
  <c r="Q70" i="42"/>
  <c r="E78" i="21"/>
  <c r="F97" i="3" s="1"/>
  <c r="N52" i="37"/>
  <c r="N61" i="37" s="1"/>
  <c r="M52" i="37"/>
  <c r="M61" i="37" s="1"/>
  <c r="M63" i="37" s="1"/>
  <c r="G63" i="8"/>
  <c r="H63" i="8" s="1"/>
  <c r="G61" i="8"/>
  <c r="H61" i="8" s="1"/>
  <c r="A127" i="8"/>
  <c r="D421" i="45"/>
  <c r="F734" i="34"/>
  <c r="F724" i="34"/>
  <c r="F728" i="34"/>
  <c r="G769" i="34"/>
  <c r="F727" i="34"/>
  <c r="I833" i="6"/>
  <c r="J833" i="6" s="1"/>
  <c r="C165" i="4"/>
  <c r="C216" i="4" s="1"/>
  <c r="C263" i="4" s="1"/>
  <c r="C313" i="4" s="1"/>
  <c r="N165" i="4"/>
  <c r="N216" i="4" s="1"/>
  <c r="N263" i="4" s="1"/>
  <c r="N324" i="4" s="1"/>
  <c r="M165" i="4"/>
  <c r="M216" i="4" s="1"/>
  <c r="M263" i="4" s="1"/>
  <c r="M324" i="4" s="1"/>
  <c r="O165" i="4"/>
  <c r="O216" i="4" s="1"/>
  <c r="O263" i="4" s="1"/>
  <c r="O313" i="4" s="1"/>
  <c r="C151" i="4"/>
  <c r="N151" i="4"/>
  <c r="M151" i="4"/>
  <c r="G20" i="8"/>
  <c r="H20" i="8" s="1"/>
  <c r="L521" i="5"/>
  <c r="L524" i="5" s="1"/>
  <c r="J299" i="5"/>
  <c r="J343" i="5"/>
  <c r="J430" i="8"/>
  <c r="I41" i="55"/>
  <c r="H22" i="12"/>
  <c r="H20" i="12"/>
  <c r="J930" i="4"/>
  <c r="J354" i="4" s="1"/>
  <c r="J441" i="8"/>
  <c r="H21" i="12"/>
  <c r="J330" i="8"/>
  <c r="J337" i="8"/>
  <c r="I64" i="8"/>
  <c r="J424" i="4"/>
  <c r="I430" i="6"/>
  <c r="J454" i="4"/>
  <c r="J439" i="8"/>
  <c r="H24" i="12"/>
  <c r="H23" i="12"/>
  <c r="H26" i="12"/>
  <c r="J876" i="4"/>
  <c r="J322" i="8"/>
  <c r="I67" i="8"/>
  <c r="G123" i="8"/>
  <c r="H123" i="8" s="1"/>
  <c r="G121" i="8"/>
  <c r="H121" i="8" s="1"/>
  <c r="G131" i="8"/>
  <c r="H131" i="8" s="1"/>
  <c r="I429" i="8"/>
  <c r="G119" i="8"/>
  <c r="H119" i="8" s="1"/>
  <c r="G122" i="8"/>
  <c r="H122" i="8" s="1"/>
  <c r="G65" i="8"/>
  <c r="H65" i="8" s="1"/>
  <c r="B747" i="34"/>
  <c r="A81" i="8"/>
  <c r="G66" i="8"/>
  <c r="H66" i="8" s="1"/>
  <c r="I128" i="8"/>
  <c r="I129" i="8"/>
  <c r="I63" i="8"/>
  <c r="G68" i="8"/>
  <c r="H68" i="8" s="1"/>
  <c r="U3" i="21"/>
  <c r="C58" i="17"/>
  <c r="C60" i="17" s="1"/>
  <c r="X3" i="21"/>
  <c r="Y3" i="22" s="1"/>
  <c r="Y78" i="22" s="1"/>
  <c r="J14" i="19"/>
  <c r="K3" i="40"/>
  <c r="K47" i="40" s="1"/>
  <c r="M3" i="12"/>
  <c r="I3" i="40"/>
  <c r="I105" i="40" s="1"/>
  <c r="I134" i="40" s="1"/>
  <c r="K3" i="12"/>
  <c r="L3" i="12"/>
  <c r="L3" i="40"/>
  <c r="L105" i="40" s="1"/>
  <c r="L134" i="40" s="1"/>
  <c r="J3" i="12"/>
  <c r="J3" i="40"/>
  <c r="J105" i="40" s="1"/>
  <c r="J134" i="40" s="1"/>
  <c r="B75" i="15"/>
  <c r="D322" i="34" s="1"/>
  <c r="B17" i="16"/>
  <c r="H61" i="4"/>
  <c r="A165" i="4"/>
  <c r="A216" i="4" s="1"/>
  <c r="A263" i="4" s="1"/>
  <c r="A313" i="4" s="1"/>
  <c r="F773" i="34"/>
  <c r="D39" i="5"/>
  <c r="C46" i="3" s="1"/>
  <c r="N521" i="5"/>
  <c r="N524" i="5" s="1"/>
  <c r="AN4" i="42"/>
  <c r="K4" i="42"/>
  <c r="AM4" i="42"/>
  <c r="AL4" i="42"/>
  <c r="AI4" i="42"/>
  <c r="AK4" i="42"/>
  <c r="I1114" i="7"/>
  <c r="I770" i="6"/>
  <c r="J1616" i="6"/>
  <c r="J904" i="6"/>
  <c r="J888" i="6"/>
  <c r="I1160" i="7"/>
  <c r="J1160" i="7" s="1"/>
  <c r="I771" i="6"/>
  <c r="J890" i="6"/>
  <c r="I772" i="6"/>
  <c r="J772" i="6" s="1"/>
  <c r="J680" i="7"/>
  <c r="J891" i="6"/>
  <c r="J1972" i="6"/>
  <c r="I1126" i="7"/>
  <c r="I352" i="7"/>
  <c r="I1989" i="6"/>
  <c r="E21" i="40"/>
  <c r="I882" i="7"/>
  <c r="I879" i="7" s="1"/>
  <c r="I946" i="7"/>
  <c r="J946" i="7" s="1"/>
  <c r="C782" i="34"/>
  <c r="I1021" i="7"/>
  <c r="I1023" i="7" s="1"/>
  <c r="J864" i="4"/>
  <c r="J523" i="4"/>
  <c r="J904" i="7"/>
  <c r="G716" i="34"/>
  <c r="J1810" i="6"/>
  <c r="J1667" i="6"/>
  <c r="F771" i="34"/>
  <c r="F152" i="11"/>
  <c r="G152" i="11" s="1"/>
  <c r="H152" i="11" s="1"/>
  <c r="I692" i="4"/>
  <c r="J692" i="4" s="1"/>
  <c r="J866" i="4"/>
  <c r="J1791" i="6"/>
  <c r="J905" i="7"/>
  <c r="I519" i="4"/>
  <c r="I116" i="4" s="1"/>
  <c r="G116" i="4"/>
  <c r="H116" i="4" s="1"/>
  <c r="G45" i="8"/>
  <c r="H45" i="8" s="1"/>
  <c r="C64" i="6"/>
  <c r="B61" i="3" s="1"/>
  <c r="O521" i="5"/>
  <c r="O524" i="5" s="1"/>
  <c r="C39" i="5"/>
  <c r="B46" i="3" s="1"/>
  <c r="B947" i="6"/>
  <c r="A658" i="6"/>
  <c r="A47" i="6"/>
  <c r="I1282" i="6"/>
  <c r="I407" i="6" s="1"/>
  <c r="H407" i="6"/>
  <c r="I405" i="6"/>
  <c r="G405" i="6"/>
  <c r="H405" i="6" s="1"/>
  <c r="I1278" i="6"/>
  <c r="I404" i="6" s="1"/>
  <c r="A40" i="6"/>
  <c r="H94" i="6"/>
  <c r="C857" i="7"/>
  <c r="C859" i="7" s="1"/>
  <c r="C868" i="7" s="1"/>
  <c r="C1361" i="6"/>
  <c r="C1363" i="6" s="1"/>
  <c r="C1366" i="6" s="1"/>
  <c r="C1374" i="6" s="1"/>
  <c r="K324" i="4"/>
  <c r="K313" i="4"/>
  <c r="J324" i="4"/>
  <c r="J313" i="4"/>
  <c r="I324" i="4"/>
  <c r="I313" i="4"/>
  <c r="L324" i="4"/>
  <c r="L313" i="4"/>
  <c r="B341" i="6"/>
  <c r="B26" i="6" s="1"/>
  <c r="I16" i="48"/>
  <c r="Q72" i="42"/>
  <c r="A1171" i="7"/>
  <c r="A1173" i="7" s="1"/>
  <c r="A1176" i="7" s="1"/>
  <c r="G365" i="7"/>
  <c r="H365" i="7" s="1"/>
  <c r="J526" i="4"/>
  <c r="I219" i="7"/>
  <c r="J410" i="5"/>
  <c r="J174" i="5" s="1"/>
  <c r="J1177" i="6"/>
  <c r="J568" i="7"/>
  <c r="J244" i="5"/>
  <c r="J245" i="8"/>
  <c r="J1808" i="6"/>
  <c r="J1846" i="6"/>
  <c r="J1871" i="6"/>
  <c r="J1887" i="6"/>
  <c r="J1919" i="6"/>
  <c r="J1932" i="6"/>
  <c r="J841" i="6"/>
  <c r="J852" i="6"/>
  <c r="J550" i="7"/>
  <c r="J1804" i="6"/>
  <c r="J1817" i="6"/>
  <c r="J1847" i="6"/>
  <c r="J1866" i="6"/>
  <c r="J1890" i="6"/>
  <c r="J1920" i="6"/>
  <c r="J855" i="6"/>
  <c r="J1187" i="6"/>
  <c r="J417" i="4"/>
  <c r="J540" i="4"/>
  <c r="J508" i="7"/>
  <c r="J794" i="7"/>
  <c r="J821" i="7"/>
  <c r="J840" i="7"/>
  <c r="J286" i="5"/>
  <c r="J407" i="5"/>
  <c r="J301" i="5"/>
  <c r="J352" i="5"/>
  <c r="I20" i="27"/>
  <c r="F767" i="34"/>
  <c r="J929" i="7"/>
  <c r="J488" i="4"/>
  <c r="J376" i="5"/>
  <c r="I359" i="5"/>
  <c r="J1818" i="6"/>
  <c r="J1873" i="6"/>
  <c r="J1889" i="6"/>
  <c r="J1921" i="6"/>
  <c r="J778" i="6"/>
  <c r="J793" i="6"/>
  <c r="J843" i="6"/>
  <c r="J1178" i="6"/>
  <c r="J1163" i="6"/>
  <c r="J1865" i="6"/>
  <c r="J1815" i="6"/>
  <c r="J1819" i="6"/>
  <c r="J1851" i="6"/>
  <c r="J1892" i="6"/>
  <c r="J1922" i="6"/>
  <c r="J1189" i="6"/>
  <c r="J1342" i="6"/>
  <c r="J509" i="4"/>
  <c r="J813" i="7"/>
  <c r="J842" i="7"/>
  <c r="J224" i="5"/>
  <c r="J345" i="5"/>
  <c r="J250" i="5"/>
  <c r="J425" i="5"/>
  <c r="J435" i="5"/>
  <c r="J781" i="7"/>
  <c r="J522" i="4"/>
  <c r="J567" i="7"/>
  <c r="J295" i="5"/>
  <c r="K295" i="5" s="1"/>
  <c r="J539" i="4"/>
  <c r="J1164" i="6"/>
  <c r="J1812" i="6"/>
  <c r="J1820" i="6"/>
  <c r="J1852" i="6"/>
  <c r="J1875" i="6"/>
  <c r="J1891" i="6"/>
  <c r="J780" i="6"/>
  <c r="J851" i="6"/>
  <c r="G407" i="34"/>
  <c r="J1165" i="6"/>
  <c r="J305" i="6" s="1"/>
  <c r="J1809" i="6"/>
  <c r="J1821" i="6"/>
  <c r="J1853" i="6"/>
  <c r="J1870" i="6"/>
  <c r="J1886" i="6"/>
  <c r="J1894" i="6"/>
  <c r="J1927" i="6"/>
  <c r="J1298" i="6"/>
  <c r="J516" i="4"/>
  <c r="J530" i="4"/>
  <c r="J800" i="7"/>
  <c r="J815" i="7"/>
  <c r="J826" i="7"/>
  <c r="J291" i="5"/>
  <c r="J349" i="5"/>
  <c r="J363" i="5"/>
  <c r="J428" i="5"/>
  <c r="J437" i="5"/>
  <c r="G73" i="1"/>
  <c r="H73" i="1" s="1"/>
  <c r="I73" i="1" s="1"/>
  <c r="J73" i="1" s="1"/>
  <c r="K73" i="1" s="1"/>
  <c r="L73" i="1" s="1"/>
  <c r="M73" i="1" s="1"/>
  <c r="N73" i="1" s="1"/>
  <c r="O73" i="1" s="1"/>
  <c r="P73" i="1" s="1"/>
  <c r="I918" i="7"/>
  <c r="R69" i="42"/>
  <c r="J351" i="5"/>
  <c r="G216" i="6"/>
  <c r="H216" i="6" s="1"/>
  <c r="I998" i="6"/>
  <c r="G1004" i="6"/>
  <c r="H1004" i="6" s="1"/>
  <c r="G704" i="34"/>
  <c r="F706" i="34"/>
  <c r="F211" i="34" s="1"/>
  <c r="F823" i="34" s="1"/>
  <c r="H428" i="45"/>
  <c r="H430" i="45" s="1"/>
  <c r="CB66" i="21"/>
  <c r="J102" i="6"/>
  <c r="I1066" i="6"/>
  <c r="G273" i="6"/>
  <c r="H273" i="6" s="1"/>
  <c r="G1072" i="6"/>
  <c r="H1072" i="6" s="1"/>
  <c r="G869" i="6"/>
  <c r="H869" i="6" s="1"/>
  <c r="J951" i="7"/>
  <c r="H705" i="34"/>
  <c r="G68" i="21"/>
  <c r="X64" i="21"/>
  <c r="CB64" i="21"/>
  <c r="CC90" i="22"/>
  <c r="CC121" i="22" s="1"/>
  <c r="Y90" i="22"/>
  <c r="J221" i="5"/>
  <c r="J1896" i="6"/>
  <c r="I1623" i="6"/>
  <c r="G504" i="6"/>
  <c r="H504" i="6" s="1"/>
  <c r="I1359" i="6"/>
  <c r="G1365" i="6"/>
  <c r="H1365" i="6" s="1"/>
  <c r="G451" i="6"/>
  <c r="H451" i="6" s="1"/>
  <c r="I809" i="7"/>
  <c r="I305" i="7" s="1"/>
  <c r="M17" i="26"/>
  <c r="J432" i="5"/>
  <c r="J350" i="5"/>
  <c r="G1364" i="6"/>
  <c r="H1364" i="6" s="1"/>
  <c r="G450" i="6"/>
  <c r="H450" i="6" s="1"/>
  <c r="G301" i="15"/>
  <c r="CB60" i="21"/>
  <c r="X60" i="21"/>
  <c r="J1280" i="6"/>
  <c r="I1344" i="6"/>
  <c r="I831" i="6"/>
  <c r="J831" i="6" s="1"/>
  <c r="I970" i="6"/>
  <c r="G376" i="6"/>
  <c r="H376" i="6" s="1"/>
  <c r="I949" i="7"/>
  <c r="I260" i="6"/>
  <c r="I1169" i="7"/>
  <c r="G452" i="7"/>
  <c r="H452" i="7" s="1"/>
  <c r="G1175" i="7"/>
  <c r="H1175" i="7" s="1"/>
  <c r="G637" i="34"/>
  <c r="H637" i="34" s="1"/>
  <c r="A12" i="5"/>
  <c r="G216" i="7"/>
  <c r="H216" i="7" s="1"/>
  <c r="I807" i="7"/>
  <c r="I302" i="7" s="1"/>
  <c r="M23" i="26"/>
  <c r="I823" i="7"/>
  <c r="M16" i="26"/>
  <c r="I798" i="7"/>
  <c r="I301" i="7" s="1"/>
  <c r="M22" i="26"/>
  <c r="I817" i="7"/>
  <c r="N19" i="26" s="1"/>
  <c r="M19" i="26"/>
  <c r="I1602" i="6"/>
  <c r="N20" i="26" s="1"/>
  <c r="M20" i="26"/>
  <c r="I1479" i="6"/>
  <c r="J1479" i="6" s="1"/>
  <c r="M21" i="26"/>
  <c r="E64" i="12"/>
  <c r="E8" i="12" s="1"/>
  <c r="B35" i="7"/>
  <c r="A36" i="7"/>
  <c r="B36" i="7"/>
  <c r="B32" i="7"/>
  <c r="C33" i="7"/>
  <c r="G286" i="4"/>
  <c r="H286" i="4" s="1"/>
  <c r="B39" i="6"/>
  <c r="E770" i="34"/>
  <c r="I1092" i="6"/>
  <c r="J1092" i="6" s="1"/>
  <c r="F765" i="34"/>
  <c r="F768" i="34"/>
  <c r="D55" i="7"/>
  <c r="C67" i="3" s="1"/>
  <c r="F776" i="34"/>
  <c r="F772" i="34"/>
  <c r="I155" i="8"/>
  <c r="G32" i="3" s="1"/>
  <c r="G40" i="17"/>
  <c r="G68" i="17" s="1"/>
  <c r="H133" i="22" s="1"/>
  <c r="C40" i="17"/>
  <c r="D155" i="8"/>
  <c r="C32" i="3" s="1"/>
  <c r="G155" i="8"/>
  <c r="F32" i="3" s="1"/>
  <c r="F40" i="17"/>
  <c r="F105" i="40"/>
  <c r="F134" i="40" s="1"/>
  <c r="F47" i="40"/>
  <c r="C496" i="8"/>
  <c r="C424" i="8"/>
  <c r="L496" i="8"/>
  <c r="L424" i="8"/>
  <c r="D496" i="8"/>
  <c r="D424" i="8"/>
  <c r="M496" i="8"/>
  <c r="M424" i="8"/>
  <c r="O496" i="8"/>
  <c r="O424" i="8"/>
  <c r="K496" i="8"/>
  <c r="K424" i="8"/>
  <c r="A544" i="8"/>
  <c r="A546" i="8" s="1"/>
  <c r="A550" i="8" s="1"/>
  <c r="A559" i="8" s="1"/>
  <c r="J496" i="8"/>
  <c r="J424" i="8"/>
  <c r="N496" i="8"/>
  <c r="N424" i="8"/>
  <c r="I496" i="8"/>
  <c r="I424" i="8"/>
  <c r="G496" i="8"/>
  <c r="G424" i="8"/>
  <c r="B496" i="8"/>
  <c r="B424" i="8"/>
  <c r="D423" i="45"/>
  <c r="I199" i="8"/>
  <c r="I48" i="8" s="1"/>
  <c r="I407" i="8"/>
  <c r="I118" i="8" s="1"/>
  <c r="I111" i="8"/>
  <c r="G111" i="8"/>
  <c r="H111" i="8" s="1"/>
  <c r="C228" i="8"/>
  <c r="C57" i="8" s="1"/>
  <c r="I574" i="8"/>
  <c r="I291" i="8"/>
  <c r="I228" i="8"/>
  <c r="L291" i="8"/>
  <c r="L228" i="8"/>
  <c r="D291" i="8"/>
  <c r="D228" i="8"/>
  <c r="D292" i="45"/>
  <c r="D295" i="45" s="1"/>
  <c r="D305" i="45" s="1"/>
  <c r="D306" i="45" s="1"/>
  <c r="D307" i="45" s="1"/>
  <c r="O291" i="8"/>
  <c r="O228" i="8"/>
  <c r="K166" i="8"/>
  <c r="K291" i="8"/>
  <c r="K228" i="8"/>
  <c r="G574" i="8"/>
  <c r="G291" i="8"/>
  <c r="G228" i="8"/>
  <c r="A237" i="15"/>
  <c r="B291" i="8"/>
  <c r="B228" i="8"/>
  <c r="B57" i="8" s="1"/>
  <c r="J590" i="8"/>
  <c r="J291" i="8"/>
  <c r="J228" i="8"/>
  <c r="N291" i="8"/>
  <c r="N228" i="8"/>
  <c r="M291" i="8"/>
  <c r="M228" i="8"/>
  <c r="J185" i="8"/>
  <c r="C43" i="8"/>
  <c r="AE7" i="42" s="1"/>
  <c r="B280" i="15"/>
  <c r="A10" i="15"/>
  <c r="I414" i="8"/>
  <c r="I120" i="8" s="1"/>
  <c r="G69" i="8"/>
  <c r="H69" i="8" s="1"/>
  <c r="N108" i="1"/>
  <c r="I74" i="21"/>
  <c r="I72" i="16"/>
  <c r="B60" i="17"/>
  <c r="B17" i="17" s="1"/>
  <c r="A329" i="15"/>
  <c r="I216" i="8"/>
  <c r="G57" i="8"/>
  <c r="H655" i="7"/>
  <c r="H657" i="7"/>
  <c r="H656" i="7"/>
  <c r="I350" i="4"/>
  <c r="G350" i="4"/>
  <c r="H350" i="4" s="1"/>
  <c r="I925" i="4"/>
  <c r="I349" i="4" s="1"/>
  <c r="G349" i="4"/>
  <c r="H349" i="4" s="1"/>
  <c r="I351" i="4"/>
  <c r="G351" i="4"/>
  <c r="H351" i="4" s="1"/>
  <c r="I924" i="4"/>
  <c r="I348" i="4" s="1"/>
  <c r="J436" i="4"/>
  <c r="J73" i="4" s="1"/>
  <c r="C51" i="7"/>
  <c r="B21" i="3" s="1"/>
  <c r="I1862" i="6"/>
  <c r="G654" i="6"/>
  <c r="H654" i="6" s="1"/>
  <c r="I566" i="7"/>
  <c r="I129" i="7" s="1"/>
  <c r="D58" i="48"/>
  <c r="P174" i="7"/>
  <c r="D255" i="6"/>
  <c r="D9" i="6" s="1"/>
  <c r="K104" i="48" s="1"/>
  <c r="C166" i="6"/>
  <c r="C169" i="6" s="1"/>
  <c r="D330" i="6"/>
  <c r="I137" i="5"/>
  <c r="I136" i="5"/>
  <c r="I243" i="5"/>
  <c r="J243" i="5" s="1"/>
  <c r="D367" i="34"/>
  <c r="H95" i="5"/>
  <c r="C195" i="5"/>
  <c r="C507" i="5" s="1"/>
  <c r="P564" i="8"/>
  <c r="P590" i="8"/>
  <c r="P574" i="8"/>
  <c r="N550" i="34"/>
  <c r="H20" i="20"/>
  <c r="G55" i="19"/>
  <c r="F48" i="19"/>
  <c r="F50" i="19" s="1"/>
  <c r="B27" i="19"/>
  <c r="B67" i="19" s="1"/>
  <c r="F152" i="34"/>
  <c r="G152" i="34"/>
  <c r="G662" i="34"/>
  <c r="B112" i="17"/>
  <c r="C72" i="13"/>
  <c r="B199" i="15"/>
  <c r="B144" i="15" s="1"/>
  <c r="C199" i="15"/>
  <c r="AT7" i="42"/>
  <c r="AS19" i="42"/>
  <c r="H172" i="8"/>
  <c r="D27" i="48"/>
  <c r="D59" i="48" s="1"/>
  <c r="C529" i="7"/>
  <c r="H1127" i="7"/>
  <c r="I139" i="48"/>
  <c r="B135" i="42"/>
  <c r="D122" i="7"/>
  <c r="G129" i="42" s="1"/>
  <c r="D23" i="48"/>
  <c r="D57" i="48" s="1"/>
  <c r="R8" i="42"/>
  <c r="I12" i="48"/>
  <c r="D1560" i="6"/>
  <c r="D86" i="6"/>
  <c r="J169" i="48"/>
  <c r="D367" i="6"/>
  <c r="C121" i="42"/>
  <c r="D579" i="6"/>
  <c r="D87" i="6"/>
  <c r="B121" i="42"/>
  <c r="D370" i="6"/>
  <c r="D1496" i="6"/>
  <c r="D720" i="6"/>
  <c r="D88" i="6"/>
  <c r="D91" i="5"/>
  <c r="G107" i="42" s="1"/>
  <c r="N142" i="48"/>
  <c r="D178" i="5"/>
  <c r="D99" i="5"/>
  <c r="D17" i="5" s="1"/>
  <c r="J98" i="48" s="1"/>
  <c r="C449" i="5"/>
  <c r="C80" i="4"/>
  <c r="C724" i="4"/>
  <c r="C468" i="4"/>
  <c r="C7" i="4"/>
  <c r="C111" i="4"/>
  <c r="C196" i="4"/>
  <c r="C153" i="4"/>
  <c r="B267" i="15"/>
  <c r="D22" i="48"/>
  <c r="D53" i="48" s="1"/>
  <c r="K23" i="48"/>
  <c r="J4" i="48"/>
  <c r="C17" i="48"/>
  <c r="C19" i="48" s="1"/>
  <c r="H246" i="6"/>
  <c r="D7" i="6"/>
  <c r="E126" i="14"/>
  <c r="A50" i="13"/>
  <c r="G162" i="6"/>
  <c r="H162" i="6" s="1"/>
  <c r="G868" i="6"/>
  <c r="H868" i="6" s="1"/>
  <c r="G1174" i="7"/>
  <c r="H1174" i="7" s="1"/>
  <c r="C1005" i="6"/>
  <c r="C1014" i="6" s="1"/>
  <c r="A1005" i="6"/>
  <c r="A1014" i="6" s="1"/>
  <c r="J215" i="6"/>
  <c r="A1073" i="6"/>
  <c r="A1081" i="6" s="1"/>
  <c r="I215" i="6"/>
  <c r="I271" i="6"/>
  <c r="G87" i="6"/>
  <c r="I102" i="6"/>
  <c r="K627" i="6"/>
  <c r="G303" i="6"/>
  <c r="H303" i="6" s="1"/>
  <c r="I1994" i="6"/>
  <c r="G713" i="6"/>
  <c r="H713" i="6" s="1"/>
  <c r="I1805" i="6"/>
  <c r="J1805" i="6" s="1"/>
  <c r="I1592" i="6"/>
  <c r="I488" i="6" s="1"/>
  <c r="T12" i="42" s="1"/>
  <c r="G488" i="6"/>
  <c r="H488" i="6" s="1"/>
  <c r="I1589" i="6"/>
  <c r="I485" i="6" s="1"/>
  <c r="H485" i="6"/>
  <c r="I1583" i="6"/>
  <c r="I479" i="6" s="1"/>
  <c r="I1585" i="6"/>
  <c r="I476" i="6" s="1"/>
  <c r="D1609" i="6"/>
  <c r="C116" i="3" s="1"/>
  <c r="C117" i="3" s="1"/>
  <c r="I127" i="7"/>
  <c r="B24" i="15"/>
  <c r="H375" i="8"/>
  <c r="M68" i="1"/>
  <c r="N68" i="1" s="1"/>
  <c r="O68" i="1" s="1"/>
  <c r="P68" i="1" s="1"/>
  <c r="J452" i="8"/>
  <c r="H373" i="8"/>
  <c r="G79" i="8"/>
  <c r="H79" i="8" s="1"/>
  <c r="I342" i="8"/>
  <c r="G27" i="16" s="1"/>
  <c r="G12" i="16" s="1"/>
  <c r="G348" i="8"/>
  <c r="H348" i="8" s="1"/>
  <c r="J1936" i="6"/>
  <c r="J257" i="8"/>
  <c r="J58" i="8" s="1"/>
  <c r="H374" i="8"/>
  <c r="G142" i="8"/>
  <c r="H142" i="8" s="1"/>
  <c r="AU22" i="42"/>
  <c r="I541" i="8"/>
  <c r="J375" i="5"/>
  <c r="J433" i="5"/>
  <c r="F121" i="16"/>
  <c r="H119" i="17"/>
  <c r="C121" i="16"/>
  <c r="I1949" i="6"/>
  <c r="B102" i="15"/>
  <c r="G58" i="8"/>
  <c r="H58" i="8" s="1"/>
  <c r="C44" i="16"/>
  <c r="C77" i="3" s="1"/>
  <c r="C78" i="3" s="1"/>
  <c r="A115" i="16"/>
  <c r="B259" i="15"/>
  <c r="B113" i="16"/>
  <c r="A294" i="15"/>
  <c r="A103" i="17"/>
  <c r="C294" i="15"/>
  <c r="C103" i="17"/>
  <c r="B294" i="15"/>
  <c r="B103" i="17"/>
  <c r="E294" i="15"/>
  <c r="F103" i="17"/>
  <c r="G294" i="15"/>
  <c r="G103" i="17"/>
  <c r="A300" i="15"/>
  <c r="A119" i="17"/>
  <c r="H301" i="15"/>
  <c r="AD49" i="42"/>
  <c r="A259" i="15"/>
  <c r="E252" i="15"/>
  <c r="B94" i="8"/>
  <c r="C252" i="15"/>
  <c r="AR11" i="42"/>
  <c r="C393" i="34"/>
  <c r="C354" i="34" s="1"/>
  <c r="H178" i="8"/>
  <c r="AD50" i="42"/>
  <c r="A261" i="15"/>
  <c r="E113" i="15"/>
  <c r="D246" i="42" s="1"/>
  <c r="F504" i="34"/>
  <c r="F564" i="34" s="1"/>
  <c r="F572" i="34" s="1"/>
  <c r="A310" i="15"/>
  <c r="B310" i="15"/>
  <c r="AF20" i="42"/>
  <c r="AR29" i="42"/>
  <c r="A115" i="15"/>
  <c r="D597" i="34"/>
  <c r="M3" i="15"/>
  <c r="M34" i="15" s="1"/>
  <c r="M237" i="15"/>
  <c r="L3" i="15"/>
  <c r="L34" i="15" s="1"/>
  <c r="L237" i="15"/>
  <c r="J32" i="27"/>
  <c r="J759" i="6"/>
  <c r="J912" i="4"/>
  <c r="J802" i="6"/>
  <c r="J337" i="6"/>
  <c r="J1857" i="6"/>
  <c r="J383" i="4"/>
  <c r="J447" i="4" s="1"/>
  <c r="I802" i="6"/>
  <c r="G88" i="6"/>
  <c r="G326" i="6"/>
  <c r="H326" i="6" s="1"/>
  <c r="G77" i="6"/>
  <c r="H77" i="6" s="1"/>
  <c r="I653" i="6"/>
  <c r="J1070" i="6"/>
  <c r="AE29" i="42"/>
  <c r="L1023" i="6"/>
  <c r="D558" i="34"/>
  <c r="J499" i="4"/>
  <c r="J41" i="27"/>
  <c r="J451" i="4"/>
  <c r="G158" i="6"/>
  <c r="H158" i="6" s="1"/>
  <c r="G7" i="34"/>
  <c r="F130" i="34"/>
  <c r="H55" i="34"/>
  <c r="H91" i="34"/>
  <c r="H90" i="34"/>
  <c r="H79" i="34"/>
  <c r="H99" i="34"/>
  <c r="G23" i="34"/>
  <c r="F146" i="34"/>
  <c r="G427" i="34"/>
  <c r="J623" i="4"/>
  <c r="G426" i="34"/>
  <c r="G412" i="34"/>
  <c r="J498" i="4"/>
  <c r="J492" i="4"/>
  <c r="I357" i="4"/>
  <c r="I938" i="4"/>
  <c r="J287" i="5"/>
  <c r="J497" i="4"/>
  <c r="J1606" i="6"/>
  <c r="J414" i="5"/>
  <c r="J452" i="4"/>
  <c r="J756" i="6"/>
  <c r="J1436" i="6"/>
  <c r="H58" i="34"/>
  <c r="H97" i="34"/>
  <c r="H113" i="34"/>
  <c r="H120" i="34"/>
  <c r="G15" i="34"/>
  <c r="F138" i="34"/>
  <c r="G439" i="34"/>
  <c r="H643" i="34"/>
  <c r="J1127" i="6"/>
  <c r="J578" i="4"/>
  <c r="J579" i="4"/>
  <c r="J487" i="4"/>
  <c r="I129" i="4"/>
  <c r="I600" i="4"/>
  <c r="J1434" i="6"/>
  <c r="J1176" i="6"/>
  <c r="H661" i="34"/>
  <c r="J1175" i="6"/>
  <c r="C62" i="20"/>
  <c r="I241" i="4"/>
  <c r="I246" i="4" s="1"/>
  <c r="I778" i="4"/>
  <c r="J413" i="5"/>
  <c r="J1878" i="6"/>
  <c r="G206" i="6"/>
  <c r="H206" i="6" s="1"/>
  <c r="G8" i="34"/>
  <c r="F131" i="34"/>
  <c r="H64" i="34"/>
  <c r="H96" i="34"/>
  <c r="H48" i="34"/>
  <c r="H105" i="34"/>
  <c r="H70" i="34"/>
  <c r="H107" i="34"/>
  <c r="G14" i="34"/>
  <c r="F137" i="34"/>
  <c r="G454" i="34"/>
  <c r="H631" i="34"/>
  <c r="G421" i="34"/>
  <c r="J500" i="4"/>
  <c r="I131" i="4"/>
  <c r="F154" i="34"/>
  <c r="J285" i="5"/>
  <c r="C27" i="19"/>
  <c r="H1969" i="6"/>
  <c r="G30" i="1"/>
  <c r="G31" i="1" s="1"/>
  <c r="J513" i="4"/>
  <c r="J43" i="27"/>
  <c r="J453" i="4"/>
  <c r="J425" i="4"/>
  <c r="J1435" i="6"/>
  <c r="J1712" i="6"/>
  <c r="J1879" i="6"/>
  <c r="G17" i="34"/>
  <c r="F140" i="34"/>
  <c r="G9" i="34"/>
  <c r="F132" i="34"/>
  <c r="H56" i="34"/>
  <c r="G89" i="34"/>
  <c r="F406" i="34"/>
  <c r="H66" i="34"/>
  <c r="H50" i="34"/>
  <c r="H111" i="34"/>
  <c r="H49" i="34"/>
  <c r="G605" i="34"/>
  <c r="G581" i="34" s="1"/>
  <c r="F607" i="34"/>
  <c r="H649" i="34"/>
  <c r="J1090" i="6"/>
  <c r="J489" i="4"/>
  <c r="I194" i="4"/>
  <c r="I199" i="4" s="1"/>
  <c r="I723" i="4"/>
  <c r="J493" i="4"/>
  <c r="G302" i="6"/>
  <c r="H302" i="6" s="1"/>
  <c r="G165" i="4"/>
  <c r="G216" i="4" s="1"/>
  <c r="G263" i="4" s="1"/>
  <c r="G151" i="4"/>
  <c r="G105" i="4"/>
  <c r="H105" i="4" s="1"/>
  <c r="C6" i="12"/>
  <c r="C11" i="12" s="1"/>
  <c r="B84" i="3" s="1"/>
  <c r="D206" i="7"/>
  <c r="A22" i="13"/>
  <c r="A103" i="13"/>
  <c r="A103" i="5"/>
  <c r="A114" i="5" s="1"/>
  <c r="AV89" i="37"/>
  <c r="AV20" i="37"/>
  <c r="K97" i="37"/>
  <c r="AT52" i="37"/>
  <c r="AT18" i="37" s="1"/>
  <c r="N21" i="37"/>
  <c r="O21" i="37" s="1"/>
  <c r="AV67" i="37"/>
  <c r="N18" i="37"/>
  <c r="O18" i="37" s="1"/>
  <c r="AV64" i="37"/>
  <c r="AV26" i="37" s="1"/>
  <c r="N13" i="37"/>
  <c r="O13" i="37" s="1"/>
  <c r="AV58" i="37"/>
  <c r="AV21" i="37" s="1"/>
  <c r="N23" i="37"/>
  <c r="O23" i="37" s="1"/>
  <c r="AV69" i="37"/>
  <c r="AV34" i="37" s="1"/>
  <c r="N20" i="37"/>
  <c r="O20" i="37" s="1"/>
  <c r="AV66" i="37"/>
  <c r="AV28" i="37" s="1"/>
  <c r="N17" i="37"/>
  <c r="O17" i="37" s="1"/>
  <c r="AV63" i="37"/>
  <c r="AV25" i="37" s="1"/>
  <c r="N14" i="37"/>
  <c r="O14" i="37" s="1"/>
  <c r="AV60" i="37"/>
  <c r="AV22" i="37" s="1"/>
  <c r="L97" i="37"/>
  <c r="AU52" i="37"/>
  <c r="AU18" i="37" s="1"/>
  <c r="N24" i="37"/>
  <c r="O24" i="37" s="1"/>
  <c r="P24" i="37" s="1"/>
  <c r="Q24" i="37" s="1"/>
  <c r="R24" i="37" s="1"/>
  <c r="S24" i="37" s="1"/>
  <c r="T24" i="37" s="1"/>
  <c r="U24" i="37" s="1"/>
  <c r="V24" i="37" s="1"/>
  <c r="W24" i="37" s="1"/>
  <c r="AV70" i="37"/>
  <c r="AV35" i="37" s="1"/>
  <c r="N19" i="37"/>
  <c r="O19" i="37" s="1"/>
  <c r="AV65" i="37"/>
  <c r="AV27" i="37" s="1"/>
  <c r="N16" i="37"/>
  <c r="O16" i="37" s="1"/>
  <c r="AV62" i="37"/>
  <c r="AV24" i="37" s="1"/>
  <c r="N15" i="37"/>
  <c r="AV61" i="37"/>
  <c r="AV23" i="37" s="1"/>
  <c r="N22" i="37"/>
  <c r="O22" i="37" s="1"/>
  <c r="AV68" i="37"/>
  <c r="K2010" i="6"/>
  <c r="I1527" i="6"/>
  <c r="C31" i="13"/>
  <c r="C50" i="13" s="1"/>
  <c r="C68" i="13" s="1"/>
  <c r="I1611" i="6"/>
  <c r="D59" i="34"/>
  <c r="E428" i="34"/>
  <c r="C464" i="34"/>
  <c r="C347" i="34"/>
  <c r="I464" i="34"/>
  <c r="I347" i="34"/>
  <c r="J464" i="34"/>
  <c r="J347" i="34"/>
  <c r="D464" i="34"/>
  <c r="D347" i="34"/>
  <c r="G464" i="34"/>
  <c r="G347" i="34"/>
  <c r="K464" i="34"/>
  <c r="K347" i="34"/>
  <c r="L464" i="34"/>
  <c r="L347" i="34"/>
  <c r="E464" i="34"/>
  <c r="E347" i="34"/>
  <c r="M464" i="34"/>
  <c r="M347" i="34"/>
  <c r="H464" i="34"/>
  <c r="H347" i="34"/>
  <c r="F464" i="34"/>
  <c r="F347" i="34"/>
  <c r="F38" i="34"/>
  <c r="G38" i="34" s="1"/>
  <c r="C22" i="13"/>
  <c r="C103" i="13"/>
  <c r="G25" i="34"/>
  <c r="G148" i="34" s="1"/>
  <c r="F148" i="34"/>
  <c r="G67" i="14"/>
  <c r="G71" i="14" s="1"/>
  <c r="E67" i="14"/>
  <c r="E71" i="14" s="1"/>
  <c r="D123" i="14"/>
  <c r="D81" i="14"/>
  <c r="E111" i="14"/>
  <c r="C479" i="34"/>
  <c r="C533" i="34" s="1"/>
  <c r="D479" i="34"/>
  <c r="D533" i="34" s="1"/>
  <c r="AE49" i="42"/>
  <c r="G1033" i="6"/>
  <c r="H1033" i="6" s="1"/>
  <c r="B31" i="13"/>
  <c r="C54" i="6"/>
  <c r="J228" i="4"/>
  <c r="I3" i="15"/>
  <c r="I34" i="15" s="1"/>
  <c r="E127" i="15"/>
  <c r="E3" i="15"/>
  <c r="E34" i="15" s="1"/>
  <c r="K3" i="15"/>
  <c r="K34" i="15" s="1"/>
  <c r="C127" i="15"/>
  <c r="C3" i="15"/>
  <c r="C34" i="15" s="1"/>
  <c r="H3" i="16"/>
  <c r="H3" i="15"/>
  <c r="H34" i="15" s="1"/>
  <c r="J3" i="15"/>
  <c r="J34" i="15" s="1"/>
  <c r="B127" i="15"/>
  <c r="B3" i="15"/>
  <c r="B34" i="15" s="1"/>
  <c r="G127" i="15"/>
  <c r="G3" i="15"/>
  <c r="G34" i="15" s="1"/>
  <c r="J78" i="8"/>
  <c r="H25" i="16" s="1"/>
  <c r="H10" i="16" s="1"/>
  <c r="H245" i="15" s="1"/>
  <c r="AR50" i="42"/>
  <c r="I78" i="8"/>
  <c r="G25" i="16" s="1"/>
  <c r="G10" i="16" s="1"/>
  <c r="H422" i="45"/>
  <c r="I347" i="8"/>
  <c r="I799" i="4"/>
  <c r="J799" i="4" s="1"/>
  <c r="I599" i="6"/>
  <c r="I606" i="6" s="1"/>
  <c r="C688" i="34"/>
  <c r="AS50" i="42"/>
  <c r="G140" i="5"/>
  <c r="H140" i="5" s="1"/>
  <c r="G318" i="5"/>
  <c r="H318" i="5" s="1"/>
  <c r="D449" i="5"/>
  <c r="G54" i="5"/>
  <c r="H54" i="5" s="1"/>
  <c r="B102" i="8"/>
  <c r="B166" i="8" s="1"/>
  <c r="G173" i="5"/>
  <c r="H173" i="5" s="1"/>
  <c r="I140" i="5"/>
  <c r="I934" i="7"/>
  <c r="J934" i="7" s="1"/>
  <c r="G109" i="14"/>
  <c r="G110" i="14"/>
  <c r="F111" i="14"/>
  <c r="A199" i="15"/>
  <c r="A144" i="15" s="1"/>
  <c r="I1098" i="6"/>
  <c r="B1069" i="6"/>
  <c r="B1073" i="6" s="1"/>
  <c r="B1081" i="6" s="1"/>
  <c r="H331" i="4"/>
  <c r="I565" i="7"/>
  <c r="G128" i="7"/>
  <c r="H128" i="7" s="1"/>
  <c r="I572" i="7"/>
  <c r="G132" i="7"/>
  <c r="H132" i="7" s="1"/>
  <c r="H131" i="7"/>
  <c r="G130" i="7"/>
  <c r="H130" i="7" s="1"/>
  <c r="B197" i="5"/>
  <c r="B479" i="5" s="1"/>
  <c r="B19" i="5"/>
  <c r="F128" i="22"/>
  <c r="U65" i="9"/>
  <c r="H171" i="8"/>
  <c r="H66" i="1"/>
  <c r="G186" i="4"/>
  <c r="H186" i="4" s="1"/>
  <c r="I640" i="4"/>
  <c r="I187" i="4" s="1"/>
  <c r="C128" i="42"/>
  <c r="D128" i="42" s="1"/>
  <c r="J1971" i="6"/>
  <c r="I1974" i="6"/>
  <c r="F9" i="58" s="1"/>
  <c r="T18" i="58" s="1"/>
  <c r="I76" i="1"/>
  <c r="J78" i="1"/>
  <c r="M55" i="1"/>
  <c r="L288" i="3" s="1"/>
  <c r="M56" i="1"/>
  <c r="N56" i="1" s="1"/>
  <c r="J280" i="5"/>
  <c r="I1286" i="6"/>
  <c r="K644" i="6"/>
  <c r="J1024" i="6"/>
  <c r="J246" i="6" s="1"/>
  <c r="G761" i="34"/>
  <c r="F761" i="34"/>
  <c r="F763" i="34"/>
  <c r="G292" i="7"/>
  <c r="H292" i="7" s="1"/>
  <c r="G289" i="7"/>
  <c r="H289" i="7" s="1"/>
  <c r="H659" i="7"/>
  <c r="I58" i="8"/>
  <c r="I426" i="6"/>
  <c r="G426" i="6"/>
  <c r="H426" i="6" s="1"/>
  <c r="B8" i="42"/>
  <c r="B70" i="42" s="1"/>
  <c r="D320" i="5"/>
  <c r="G56" i="8"/>
  <c r="H56" i="8" s="1"/>
  <c r="H289" i="45"/>
  <c r="B28" i="8"/>
  <c r="G55" i="8"/>
  <c r="H55" i="8" s="1"/>
  <c r="J31" i="27"/>
  <c r="I1198" i="6"/>
  <c r="H28" i="1"/>
  <c r="H30" i="1" s="1"/>
  <c r="H31" i="1" s="1"/>
  <c r="H1778" i="6"/>
  <c r="I646" i="6"/>
  <c r="L1776" i="6"/>
  <c r="L1834" i="6"/>
  <c r="L2006" i="6" s="1"/>
  <c r="C1069" i="6"/>
  <c r="K1782" i="6"/>
  <c r="I390" i="7"/>
  <c r="I1911" i="6"/>
  <c r="G664" i="6"/>
  <c r="H664" i="6" s="1"/>
  <c r="J913" i="6"/>
  <c r="J912" i="6"/>
  <c r="J1438" i="6"/>
  <c r="J69" i="1"/>
  <c r="K69" i="1" s="1"/>
  <c r="L69" i="1" s="1"/>
  <c r="M69" i="1" s="1"/>
  <c r="N69" i="1" s="1"/>
  <c r="O69" i="1" s="1"/>
  <c r="P69" i="1" s="1"/>
  <c r="I1912" i="6"/>
  <c r="G665" i="6"/>
  <c r="H665" i="6" s="1"/>
  <c r="J909" i="6"/>
  <c r="J521" i="4"/>
  <c r="J1426" i="6"/>
  <c r="I957" i="7"/>
  <c r="I59" i="10" s="1"/>
  <c r="J907" i="6"/>
  <c r="J1409" i="6"/>
  <c r="J1425" i="6"/>
  <c r="I389" i="7"/>
  <c r="I1058" i="7"/>
  <c r="J915" i="6"/>
  <c r="J1437" i="6"/>
  <c r="K8" i="1"/>
  <c r="K11" i="1" s="1"/>
  <c r="D196" i="6"/>
  <c r="G662" i="6"/>
  <c r="H662" i="6" s="1"/>
  <c r="G31" i="34"/>
  <c r="G593" i="6"/>
  <c r="H593" i="6" s="1"/>
  <c r="G176" i="6"/>
  <c r="J30" i="27"/>
  <c r="J59" i="27"/>
  <c r="J44" i="27"/>
  <c r="J430" i="5"/>
  <c r="J929" i="6"/>
  <c r="G153" i="6"/>
  <c r="H153" i="6" s="1"/>
  <c r="J920" i="6"/>
  <c r="I918" i="6"/>
  <c r="G154" i="6"/>
  <c r="H154" i="6" s="1"/>
  <c r="J923" i="6"/>
  <c r="J896" i="6"/>
  <c r="I451" i="7"/>
  <c r="I457" i="7" s="1"/>
  <c r="J573" i="7"/>
  <c r="J795" i="7"/>
  <c r="I1158" i="6"/>
  <c r="I311" i="6" s="1"/>
  <c r="J442" i="5"/>
  <c r="G130" i="6"/>
  <c r="H130" i="6" s="1"/>
  <c r="G155" i="6"/>
  <c r="H155" i="6" s="1"/>
  <c r="J910" i="6"/>
  <c r="J892" i="6"/>
  <c r="J412" i="8"/>
  <c r="J413" i="8"/>
  <c r="H87" i="17" s="1"/>
  <c r="J799" i="7"/>
  <c r="J194" i="6"/>
  <c r="J1174" i="6"/>
  <c r="G62" i="5"/>
  <c r="H62" i="5" s="1"/>
  <c r="J921" i="6"/>
  <c r="J893" i="6"/>
  <c r="J143" i="6" s="1"/>
  <c r="J902" i="6"/>
  <c r="CC9" i="21"/>
  <c r="CB9" i="21"/>
  <c r="J825" i="7"/>
  <c r="I1094" i="6"/>
  <c r="G312" i="6"/>
  <c r="H312" i="6" s="1"/>
  <c r="J919" i="6"/>
  <c r="J922" i="6"/>
  <c r="J928" i="6"/>
  <c r="J925" i="6"/>
  <c r="J895" i="6"/>
  <c r="J889" i="6"/>
  <c r="J894" i="6"/>
  <c r="J832" i="6"/>
  <c r="J901" i="6"/>
  <c r="I887" i="6"/>
  <c r="N48" i="37"/>
  <c r="N50" i="37" s="1"/>
  <c r="O48" i="37" s="1"/>
  <c r="D118" i="14"/>
  <c r="I1930" i="6"/>
  <c r="G669" i="6"/>
  <c r="H669" i="6" s="1"/>
  <c r="I1918" i="6"/>
  <c r="G667" i="6"/>
  <c r="H667" i="6" s="1"/>
  <c r="G670" i="6"/>
  <c r="H670" i="6" s="1"/>
  <c r="G658" i="6"/>
  <c r="H658" i="6" s="1"/>
  <c r="I1926" i="6"/>
  <c r="G668" i="6"/>
  <c r="H668" i="6" s="1"/>
  <c r="I658" i="6"/>
  <c r="G631" i="6"/>
  <c r="H631" i="6" s="1"/>
  <c r="G221" i="6"/>
  <c r="H221" i="6" s="1"/>
  <c r="I1910" i="6"/>
  <c r="I663" i="6" s="1"/>
  <c r="I1727" i="6"/>
  <c r="I585" i="6" s="1"/>
  <c r="H585" i="6"/>
  <c r="I1738" i="6"/>
  <c r="M356" i="8"/>
  <c r="M94" i="8" s="1"/>
  <c r="K74" i="21"/>
  <c r="T78" i="22"/>
  <c r="T121" i="22" s="1"/>
  <c r="K356" i="8"/>
  <c r="K94" i="8" s="1"/>
  <c r="E82" i="21"/>
  <c r="E85" i="21" s="1"/>
  <c r="F82" i="21"/>
  <c r="F85" i="21" s="1"/>
  <c r="F88" i="3" s="1"/>
  <c r="D61" i="6"/>
  <c r="C23" i="3" s="1"/>
  <c r="K1781" i="6"/>
  <c r="K630" i="6" s="1"/>
  <c r="G297" i="4"/>
  <c r="H297" i="4" s="1"/>
  <c r="G938" i="6"/>
  <c r="H938" i="6" s="1"/>
  <c r="A2057" i="6"/>
  <c r="G935" i="6"/>
  <c r="I466" i="7"/>
  <c r="A403" i="7"/>
  <c r="A52" i="7" s="1"/>
  <c r="I981" i="7"/>
  <c r="D138" i="6"/>
  <c r="B114" i="42"/>
  <c r="D114" i="42" s="1"/>
  <c r="C7" i="6"/>
  <c r="G279" i="4"/>
  <c r="H279" i="4" s="1"/>
  <c r="C23" i="6"/>
  <c r="D865" i="6"/>
  <c r="D177" i="6"/>
  <c r="I79" i="6"/>
  <c r="G79" i="6"/>
  <c r="H79" i="6" s="1"/>
  <c r="G108" i="6"/>
  <c r="H108" i="6" s="1"/>
  <c r="I827" i="6"/>
  <c r="B61" i="6"/>
  <c r="A23" i="3" s="1"/>
  <c r="A22" i="6"/>
  <c r="I993" i="6"/>
  <c r="J993" i="6" s="1"/>
  <c r="G95" i="6"/>
  <c r="H95" i="6" s="1"/>
  <c r="I214" i="6"/>
  <c r="G209" i="6"/>
  <c r="H209" i="6" s="1"/>
  <c r="G205" i="6"/>
  <c r="H205" i="6" s="1"/>
  <c r="I978" i="6"/>
  <c r="G204" i="6"/>
  <c r="H204" i="6" s="1"/>
  <c r="I979" i="6"/>
  <c r="I637" i="4"/>
  <c r="I183" i="4" s="1"/>
  <c r="D89" i="6"/>
  <c r="H773" i="6"/>
  <c r="I59" i="4"/>
  <c r="H462" i="4"/>
  <c r="I775" i="6"/>
  <c r="I774" i="6"/>
  <c r="I90" i="6" s="1"/>
  <c r="G86" i="6"/>
  <c r="Z174" i="9"/>
  <c r="G1373" i="6"/>
  <c r="G465" i="6" s="1"/>
  <c r="I1121" i="6"/>
  <c r="G324" i="6"/>
  <c r="H324" i="6" s="1"/>
  <c r="D527" i="7"/>
  <c r="G165" i="7"/>
  <c r="H165" i="7" s="1"/>
  <c r="D385" i="5"/>
  <c r="H114" i="40"/>
  <c r="G116" i="40"/>
  <c r="K89" i="10" s="1"/>
  <c r="I114" i="4"/>
  <c r="I152" i="4" s="1"/>
  <c r="G182" i="4"/>
  <c r="H182" i="4" s="1"/>
  <c r="L3" i="22"/>
  <c r="G271" i="4"/>
  <c r="H271" i="4" s="1"/>
  <c r="D116" i="11"/>
  <c r="F125" i="13"/>
  <c r="B1629" i="6"/>
  <c r="B1631" i="6" s="1"/>
  <c r="I1013" i="6"/>
  <c r="I232" i="6" s="1"/>
  <c r="G268" i="4"/>
  <c r="H268" i="4" s="1"/>
  <c r="G278" i="4"/>
  <c r="H278" i="4" s="1"/>
  <c r="G285" i="4"/>
  <c r="H285" i="4" s="1"/>
  <c r="A177" i="4"/>
  <c r="G229" i="4"/>
  <c r="H229" i="4" s="1"/>
  <c r="F759" i="34"/>
  <c r="I763" i="4"/>
  <c r="G231" i="4"/>
  <c r="H231" i="4" s="1"/>
  <c r="I230" i="4"/>
  <c r="G230" i="4"/>
  <c r="H230" i="4" s="1"/>
  <c r="I904" i="4"/>
  <c r="J904" i="4" s="1"/>
  <c r="I903" i="4"/>
  <c r="J903" i="4" s="1"/>
  <c r="J902" i="4"/>
  <c r="I901" i="4"/>
  <c r="J901" i="4" s="1"/>
  <c r="I873" i="4"/>
  <c r="I886" i="4"/>
  <c r="J886" i="4" s="1"/>
  <c r="B142" i="42"/>
  <c r="G722" i="6"/>
  <c r="H722" i="6" s="1"/>
  <c r="B16" i="6"/>
  <c r="B120" i="42"/>
  <c r="B122" i="42"/>
  <c r="B124" i="42"/>
  <c r="B405" i="7"/>
  <c r="B54" i="7" s="1"/>
  <c r="A59" i="3" s="1"/>
  <c r="A119" i="13"/>
  <c r="C405" i="7"/>
  <c r="F77" i="13"/>
  <c r="T43" i="42" s="1"/>
  <c r="B406" i="7"/>
  <c r="G175" i="4"/>
  <c r="H175" i="4" s="1"/>
  <c r="R211" i="9"/>
  <c r="G300" i="7"/>
  <c r="H300" i="7" s="1"/>
  <c r="G250" i="7"/>
  <c r="H250" i="7" s="1"/>
  <c r="J723" i="7"/>
  <c r="G317" i="7"/>
  <c r="H317" i="7" s="1"/>
  <c r="G75" i="7"/>
  <c r="H75" i="7" s="1"/>
  <c r="G378" i="7"/>
  <c r="H378" i="7" s="1"/>
  <c r="G307" i="7"/>
  <c r="H307" i="7" s="1"/>
  <c r="G318" i="7"/>
  <c r="H318" i="7" s="1"/>
  <c r="G301" i="7"/>
  <c r="H301" i="7" s="1"/>
  <c r="G371" i="7"/>
  <c r="H371" i="7" s="1"/>
  <c r="G257" i="7"/>
  <c r="G178" i="7"/>
  <c r="H178" i="7" s="1"/>
  <c r="G302" i="7"/>
  <c r="H302" i="7" s="1"/>
  <c r="G309" i="7"/>
  <c r="H309" i="7" s="1"/>
  <c r="H261" i="7"/>
  <c r="G728" i="7"/>
  <c r="H728" i="7" s="1"/>
  <c r="C101" i="5"/>
  <c r="C103" i="5" s="1"/>
  <c r="G52" i="5"/>
  <c r="H52" i="5" s="1"/>
  <c r="D64" i="5"/>
  <c r="C17" i="5"/>
  <c r="B18" i="5"/>
  <c r="C743" i="6"/>
  <c r="I325" i="6"/>
  <c r="G325" i="6"/>
  <c r="H325" i="6" s="1"/>
  <c r="G138" i="6"/>
  <c r="G721" i="6"/>
  <c r="H721" i="6" s="1"/>
  <c r="A107" i="6"/>
  <c r="A2056" i="6" s="1"/>
  <c r="G1449" i="6"/>
  <c r="H1449" i="6" s="1"/>
  <c r="G724" i="6"/>
  <c r="H724" i="6" s="1"/>
  <c r="G264" i="6"/>
  <c r="H264" i="6" s="1"/>
  <c r="H161" i="45"/>
  <c r="G92" i="6"/>
  <c r="H92" i="6" s="1"/>
  <c r="I98" i="6"/>
  <c r="G187" i="5"/>
  <c r="H187" i="5" s="1"/>
  <c r="G89" i="5"/>
  <c r="H89" i="5" s="1"/>
  <c r="H124" i="5"/>
  <c r="I305" i="5"/>
  <c r="H174" i="5"/>
  <c r="G305" i="5"/>
  <c r="H305" i="5" s="1"/>
  <c r="G256" i="5"/>
  <c r="E33" i="48" s="1"/>
  <c r="G61" i="5"/>
  <c r="H61" i="5" s="1"/>
  <c r="I889" i="7"/>
  <c r="G346" i="7"/>
  <c r="H346" i="7" s="1"/>
  <c r="G308" i="7"/>
  <c r="H308" i="7" s="1"/>
  <c r="G379" i="7"/>
  <c r="H379" i="7" s="1"/>
  <c r="G82" i="7"/>
  <c r="H82" i="7" s="1"/>
  <c r="B51" i="7"/>
  <c r="A21" i="3" s="1"/>
  <c r="G120" i="7"/>
  <c r="H120" i="7" s="1"/>
  <c r="G217" i="7"/>
  <c r="H217" i="7" s="1"/>
  <c r="G370" i="7"/>
  <c r="H370" i="7" s="1"/>
  <c r="G80" i="7"/>
  <c r="H80" i="7" s="1"/>
  <c r="G556" i="7"/>
  <c r="H556" i="7" s="1"/>
  <c r="G171" i="7"/>
  <c r="H171" i="7" s="1"/>
  <c r="H259" i="7"/>
  <c r="G74" i="7"/>
  <c r="H74" i="7" s="1"/>
  <c r="G168" i="7"/>
  <c r="H168" i="7" s="1"/>
  <c r="G483" i="7"/>
  <c r="H483" i="7" s="1"/>
  <c r="B26" i="7"/>
  <c r="G413" i="6"/>
  <c r="H413" i="6" s="1"/>
  <c r="I1383" i="6"/>
  <c r="J1383" i="6" s="1"/>
  <c r="I794" i="6"/>
  <c r="J794" i="6" s="1"/>
  <c r="G211" i="6"/>
  <c r="H211" i="6" s="1"/>
  <c r="G139" i="6"/>
  <c r="H139" i="6" s="1"/>
  <c r="G629" i="6"/>
  <c r="H629" i="6" s="1"/>
  <c r="A1946" i="6"/>
  <c r="A1948" i="6" s="1"/>
  <c r="A1950" i="6" s="1"/>
  <c r="A1960" i="6" s="1"/>
  <c r="I655" i="6"/>
  <c r="I699" i="6"/>
  <c r="H573" i="6"/>
  <c r="I1488" i="6"/>
  <c r="J1488" i="6" s="1"/>
  <c r="B1134" i="6"/>
  <c r="B1136" i="6" s="1"/>
  <c r="B1138" i="6" s="1"/>
  <c r="B1147" i="6" s="1"/>
  <c r="CM174" i="9"/>
  <c r="G137" i="6"/>
  <c r="H137" i="6" s="1"/>
  <c r="G442" i="6"/>
  <c r="G411" i="6"/>
  <c r="H411" i="6" s="1"/>
  <c r="H440" i="6"/>
  <c r="I789" i="6"/>
  <c r="I720" i="6"/>
  <c r="G1558" i="6"/>
  <c r="H1558" i="6" s="1"/>
  <c r="G714" i="6"/>
  <c r="H714" i="6" s="1"/>
  <c r="G634" i="6"/>
  <c r="H634" i="6" s="1"/>
  <c r="H30" i="45"/>
  <c r="I1472" i="6"/>
  <c r="I1474" i="6" s="1"/>
  <c r="I1290" i="6"/>
  <c r="J1290" i="6" s="1"/>
  <c r="G823" i="6"/>
  <c r="H823" i="6" s="1"/>
  <c r="C55" i="7"/>
  <c r="B67" i="3" s="1"/>
  <c r="D505" i="5"/>
  <c r="J418" i="4"/>
  <c r="J520" i="4"/>
  <c r="A102" i="13"/>
  <c r="I222" i="4"/>
  <c r="I279" i="4"/>
  <c r="J811" i="4"/>
  <c r="I753" i="4"/>
  <c r="G775" i="4"/>
  <c r="H775" i="4" s="1"/>
  <c r="G804" i="4"/>
  <c r="H804" i="4" s="1"/>
  <c r="B102" i="13"/>
  <c r="M7" i="1"/>
  <c r="C150" i="5"/>
  <c r="C478" i="5" s="1"/>
  <c r="A210" i="5"/>
  <c r="B17" i="5"/>
  <c r="I232" i="4"/>
  <c r="J813" i="4"/>
  <c r="I742" i="4"/>
  <c r="I221" i="4" s="1"/>
  <c r="G745" i="4"/>
  <c r="H745" i="4" s="1"/>
  <c r="I286" i="4"/>
  <c r="I271" i="4"/>
  <c r="J760" i="4"/>
  <c r="G842" i="4"/>
  <c r="H842" i="4" s="1"/>
  <c r="G649" i="6"/>
  <c r="H649" i="6" s="1"/>
  <c r="G497" i="6"/>
  <c r="H497" i="6" s="1"/>
  <c r="H322" i="6"/>
  <c r="G327" i="6"/>
  <c r="H327" i="6" s="1"/>
  <c r="G1392" i="6"/>
  <c r="G710" i="6"/>
  <c r="H710" i="6" s="1"/>
  <c r="G207" i="6"/>
  <c r="H207" i="6" s="1"/>
  <c r="G409" i="6"/>
  <c r="H409" i="6" s="1"/>
  <c r="H1224" i="6"/>
  <c r="G542" i="6"/>
  <c r="H542" i="6" s="1"/>
  <c r="G639" i="6"/>
  <c r="H304" i="6"/>
  <c r="H1168" i="6"/>
  <c r="G650" i="6"/>
  <c r="H650" i="6" s="1"/>
  <c r="G446" i="6"/>
  <c r="H446" i="6" s="1"/>
  <c r="G98" i="6"/>
  <c r="H98" i="6" s="1"/>
  <c r="G201" i="6"/>
  <c r="H201" i="6" s="1"/>
  <c r="G378" i="6"/>
  <c r="H378" i="6" s="1"/>
  <c r="G433" i="6"/>
  <c r="H433" i="6" s="1"/>
  <c r="G655" i="6"/>
  <c r="H655" i="6" s="1"/>
  <c r="H164" i="45"/>
  <c r="A653" i="6"/>
  <c r="G122" i="4"/>
  <c r="H122" i="4" s="1"/>
  <c r="I870" i="4"/>
  <c r="G119" i="4"/>
  <c r="H119" i="4" s="1"/>
  <c r="G69" i="4"/>
  <c r="H69" i="4" s="1"/>
  <c r="K72" i="21"/>
  <c r="G115" i="4"/>
  <c r="H115" i="4" s="1"/>
  <c r="G63" i="12"/>
  <c r="F84" i="12"/>
  <c r="G440" i="7"/>
  <c r="H440" i="7" s="1"/>
  <c r="J92" i="37"/>
  <c r="J94" i="37" s="1"/>
  <c r="J4" i="37"/>
  <c r="J45" i="37" s="1"/>
  <c r="J84" i="37" s="1"/>
  <c r="G66" i="37"/>
  <c r="G69" i="37" s="1"/>
  <c r="F82" i="37"/>
  <c r="D4" i="37"/>
  <c r="E2" i="37" s="1"/>
  <c r="D92" i="37"/>
  <c r="D94" i="37" s="1"/>
  <c r="J13" i="1"/>
  <c r="F64" i="12"/>
  <c r="G1078" i="6" s="1"/>
  <c r="C62" i="3"/>
  <c r="I609" i="7"/>
  <c r="I622" i="7" s="1"/>
  <c r="J878" i="4"/>
  <c r="J218" i="8"/>
  <c r="J49" i="27"/>
  <c r="J409" i="8"/>
  <c r="J392" i="8"/>
  <c r="J18" i="27"/>
  <c r="J16" i="27"/>
  <c r="J5" i="1"/>
  <c r="J547" i="8"/>
  <c r="AW12" i="42"/>
  <c r="J125" i="8"/>
  <c r="J411" i="5"/>
  <c r="J175" i="5" s="1"/>
  <c r="J219" i="8"/>
  <c r="J236" i="5"/>
  <c r="J249" i="5"/>
  <c r="J42" i="27"/>
  <c r="J223" i="5"/>
  <c r="J1384" i="6"/>
  <c r="J421" i="4"/>
  <c r="J435" i="4"/>
  <c r="J1935" i="6"/>
  <c r="J1858" i="6"/>
  <c r="J1185" i="6"/>
  <c r="J416" i="4"/>
  <c r="J514" i="4"/>
  <c r="J511" i="4"/>
  <c r="J533" i="4"/>
  <c r="J532" i="4"/>
  <c r="J529" i="4"/>
  <c r="J802" i="7"/>
  <c r="J806" i="7"/>
  <c r="J816" i="7"/>
  <c r="J820" i="7"/>
  <c r="J839" i="7"/>
  <c r="J179" i="8"/>
  <c r="J438" i="5"/>
  <c r="J406" i="5"/>
  <c r="J290" i="5"/>
  <c r="J340" i="5"/>
  <c r="J293" i="5"/>
  <c r="J310" i="5"/>
  <c r="J439" i="5"/>
  <c r="G104" i="4"/>
  <c r="H104" i="4" s="1"/>
  <c r="J570" i="4"/>
  <c r="K570" i="4" s="1"/>
  <c r="J1343" i="6"/>
  <c r="K1343" i="6" s="1"/>
  <c r="G120" i="4"/>
  <c r="H120" i="4" s="1"/>
  <c r="G423" i="7"/>
  <c r="H423" i="7" s="1"/>
  <c r="I632" i="6"/>
  <c r="I1354" i="6"/>
  <c r="G435" i="6"/>
  <c r="H435" i="6" s="1"/>
  <c r="J434" i="4"/>
  <c r="J71" i="4" s="1"/>
  <c r="I352" i="4"/>
  <c r="H344" i="4"/>
  <c r="J909" i="4"/>
  <c r="I892" i="4"/>
  <c r="G343" i="4"/>
  <c r="H343" i="4" s="1"/>
  <c r="I347" i="4"/>
  <c r="I238" i="5"/>
  <c r="G53" i="5"/>
  <c r="H53" i="5" s="1"/>
  <c r="J449" i="4"/>
  <c r="G160" i="6"/>
  <c r="H160" i="6" s="1"/>
  <c r="J801" i="7"/>
  <c r="J1895" i="6"/>
  <c r="N12" i="37"/>
  <c r="M100" i="37"/>
  <c r="J647" i="4"/>
  <c r="J645" i="4"/>
  <c r="K645" i="4" s="1"/>
  <c r="I1915" i="6"/>
  <c r="I666" i="6" s="1"/>
  <c r="O58" i="37"/>
  <c r="P58" i="37" s="1"/>
  <c r="I626" i="4"/>
  <c r="J283" i="5"/>
  <c r="I588" i="4"/>
  <c r="I122" i="4" s="1"/>
  <c r="J17" i="27"/>
  <c r="J12" i="27"/>
  <c r="K12" i="27" s="1"/>
  <c r="J436" i="5"/>
  <c r="K436" i="5" s="1"/>
  <c r="J1743" i="6"/>
  <c r="J594" i="6" s="1"/>
  <c r="J370" i="5"/>
  <c r="K370" i="5" s="1"/>
  <c r="J284" i="5"/>
  <c r="K284" i="5" s="1"/>
  <c r="J40" i="27"/>
  <c r="J13" i="27"/>
  <c r="K13" i="27" s="1"/>
  <c r="J45" i="27"/>
  <c r="K45" i="27" s="1"/>
  <c r="J1020" i="7"/>
  <c r="K1020" i="7" s="1"/>
  <c r="J1239" i="6"/>
  <c r="K1239" i="6" s="1"/>
  <c r="J1238" i="6"/>
  <c r="K1238" i="6" s="1"/>
  <c r="J1874" i="6"/>
  <c r="K1874" i="6" s="1"/>
  <c r="J423" i="4"/>
  <c r="J1864" i="6"/>
  <c r="J1186" i="6"/>
  <c r="K1186" i="6" s="1"/>
  <c r="J988" i="6"/>
  <c r="J208" i="6" s="1"/>
  <c r="J297" i="5"/>
  <c r="K297" i="5" s="1"/>
  <c r="J678" i="7"/>
  <c r="K678" i="7" s="1"/>
  <c r="J347" i="5"/>
  <c r="K347" i="5" s="1"/>
  <c r="J288" i="5"/>
  <c r="K288" i="5" s="1"/>
  <c r="J692" i="7"/>
  <c r="K692" i="7" s="1"/>
  <c r="J1411" i="6"/>
  <c r="K1411" i="6" s="1"/>
  <c r="J243" i="8"/>
  <c r="K243" i="8" s="1"/>
  <c r="J237" i="8"/>
  <c r="K237" i="8" s="1"/>
  <c r="J828" i="6"/>
  <c r="K828" i="6" s="1"/>
  <c r="J981" i="6"/>
  <c r="K981" i="6" s="1"/>
  <c r="J1183" i="6"/>
  <c r="K1183" i="6" s="1"/>
  <c r="J571" i="7"/>
  <c r="K571" i="7" s="1"/>
  <c r="J368" i="5"/>
  <c r="K368" i="5" s="1"/>
  <c r="J342" i="5"/>
  <c r="K342" i="5" s="1"/>
  <c r="J408" i="5"/>
  <c r="K408" i="5" s="1"/>
  <c r="J298" i="5"/>
  <c r="K298" i="5" s="1"/>
  <c r="J341" i="5"/>
  <c r="J292" i="5"/>
  <c r="K292" i="5" s="1"/>
  <c r="J842" i="6"/>
  <c r="K842" i="6" s="1"/>
  <c r="J830" i="6"/>
  <c r="K830" i="6" s="1"/>
  <c r="J1869" i="6"/>
  <c r="K1869" i="6" s="1"/>
  <c r="I174" i="8"/>
  <c r="I370" i="8"/>
  <c r="I381" i="8" s="1"/>
  <c r="I108" i="8" s="1"/>
  <c r="J33" i="27"/>
  <c r="K33" i="27" s="1"/>
  <c r="J25" i="27"/>
  <c r="C67" i="20"/>
  <c r="J15" i="1"/>
  <c r="C77" i="19" s="1"/>
  <c r="C28" i="19"/>
  <c r="J424" i="5"/>
  <c r="K424" i="5" s="1"/>
  <c r="J441" i="5"/>
  <c r="K441" i="5" s="1"/>
  <c r="J440" i="5"/>
  <c r="K440" i="5" s="1"/>
  <c r="J8" i="27"/>
  <c r="J27" i="27"/>
  <c r="K27" i="27" s="1"/>
  <c r="J958" i="6"/>
  <c r="J193" i="6" s="1"/>
  <c r="J426" i="4"/>
  <c r="K426" i="4" s="1"/>
  <c r="J1182" i="6"/>
  <c r="K1182" i="6" s="1"/>
  <c r="J1188" i="6"/>
  <c r="K1188" i="6" s="1"/>
  <c r="J1408" i="6"/>
  <c r="J515" i="4"/>
  <c r="K515" i="4" s="1"/>
  <c r="J510" i="4"/>
  <c r="K510" i="4" s="1"/>
  <c r="J527" i="4"/>
  <c r="K527" i="4" s="1"/>
  <c r="J535" i="4"/>
  <c r="K535" i="4" s="1"/>
  <c r="J534" i="4"/>
  <c r="K534" i="4" s="1"/>
  <c r="J514" i="7"/>
  <c r="K514" i="7" s="1"/>
  <c r="J804" i="7"/>
  <c r="K804" i="7" s="1"/>
  <c r="J814" i="7"/>
  <c r="J818" i="7"/>
  <c r="K818" i="7" s="1"/>
  <c r="J827" i="7"/>
  <c r="K827" i="7" s="1"/>
  <c r="J841" i="7"/>
  <c r="K841" i="7" s="1"/>
  <c r="J366" i="5"/>
  <c r="K366" i="5" s="1"/>
  <c r="J230" i="5"/>
  <c r="K230" i="5" s="1"/>
  <c r="J405" i="5"/>
  <c r="K405" i="5" s="1"/>
  <c r="J225" i="5"/>
  <c r="K225" i="5" s="1"/>
  <c r="J302" i="5"/>
  <c r="K302" i="5" s="1"/>
  <c r="J434" i="5"/>
  <c r="K434" i="5" s="1"/>
  <c r="J829" i="6"/>
  <c r="K829" i="6" s="1"/>
  <c r="J1807" i="6"/>
  <c r="K1807" i="6" s="1"/>
  <c r="I958" i="7"/>
  <c r="H783" i="6"/>
  <c r="I764" i="6"/>
  <c r="I569" i="4"/>
  <c r="I94" i="6"/>
  <c r="I645" i="6"/>
  <c r="J227" i="5"/>
  <c r="K227" i="5" s="1"/>
  <c r="I1352" i="6"/>
  <c r="G434" i="6"/>
  <c r="H434" i="6" s="1"/>
  <c r="J1330" i="6"/>
  <c r="G422" i="7"/>
  <c r="H422" i="7" s="1"/>
  <c r="G723" i="6"/>
  <c r="H723" i="6" s="1"/>
  <c r="G77" i="7"/>
  <c r="H77" i="7" s="1"/>
  <c r="G427" i="6"/>
  <c r="H427" i="6" s="1"/>
  <c r="J1288" i="6"/>
  <c r="K1288" i="6" s="1"/>
  <c r="J528" i="4"/>
  <c r="K528" i="4" s="1"/>
  <c r="G174" i="7"/>
  <c r="H174" i="7" s="1"/>
  <c r="J858" i="6"/>
  <c r="K858" i="6" s="1"/>
  <c r="J1882" i="6"/>
  <c r="K1882" i="6" s="1"/>
  <c r="J887" i="4"/>
  <c r="K887" i="4" s="1"/>
  <c r="J893" i="4"/>
  <c r="K893" i="4" s="1"/>
  <c r="I867" i="4"/>
  <c r="I330" i="4" s="1"/>
  <c r="I891" i="4"/>
  <c r="G342" i="4"/>
  <c r="H342" i="4" s="1"/>
  <c r="I353" i="4"/>
  <c r="I896" i="4"/>
  <c r="G341" i="4"/>
  <c r="H341" i="4" s="1"/>
  <c r="I862" i="4"/>
  <c r="G329" i="4"/>
  <c r="H329" i="4" s="1"/>
  <c r="H881" i="4"/>
  <c r="I874" i="4"/>
  <c r="Y54" i="9"/>
  <c r="CM54" i="9"/>
  <c r="G1067" i="7"/>
  <c r="J448" i="4"/>
  <c r="K448" i="4" s="1"/>
  <c r="J450" i="4"/>
  <c r="K450" i="4" s="1"/>
  <c r="J271" i="8"/>
  <c r="K271" i="8" s="1"/>
  <c r="G159" i="6"/>
  <c r="H159" i="6" s="1"/>
  <c r="G161" i="6"/>
  <c r="H161" i="6" s="1"/>
  <c r="J537" i="4"/>
  <c r="K537" i="4" s="1"/>
  <c r="J561" i="4"/>
  <c r="K561" i="4" s="1"/>
  <c r="J1885" i="6"/>
  <c r="K1885" i="6" s="1"/>
  <c r="I1907" i="6"/>
  <c r="I660" i="6" s="1"/>
  <c r="G188" i="4"/>
  <c r="H188" i="4" s="1"/>
  <c r="O55" i="37"/>
  <c r="P55" i="37" s="1"/>
  <c r="O60" i="37"/>
  <c r="P60" i="37" s="1"/>
  <c r="O57" i="37"/>
  <c r="P57" i="37" s="1"/>
  <c r="G209" i="4"/>
  <c r="I583" i="4"/>
  <c r="G121" i="4"/>
  <c r="H121" i="4" s="1"/>
  <c r="J28" i="27"/>
  <c r="K28" i="27" s="1"/>
  <c r="I633" i="4"/>
  <c r="G654" i="4"/>
  <c r="H654" i="4" s="1"/>
  <c r="J374" i="5"/>
  <c r="K374" i="5" s="1"/>
  <c r="J429" i="5"/>
  <c r="K429" i="5" s="1"/>
  <c r="I420" i="7"/>
  <c r="J282" i="5"/>
  <c r="K282" i="5" s="1"/>
  <c r="J281" i="5"/>
  <c r="K281" i="5" s="1"/>
  <c r="J9" i="27"/>
  <c r="K9" i="27" s="1"/>
  <c r="J39" i="27"/>
  <c r="K39" i="27" s="1"/>
  <c r="J38" i="27"/>
  <c r="K38" i="27" s="1"/>
  <c r="J1978" i="6"/>
  <c r="B28" i="19"/>
  <c r="B72" i="19" s="1"/>
  <c r="J834" i="6"/>
  <c r="K834" i="6" s="1"/>
  <c r="J563" i="7"/>
  <c r="J686" i="7"/>
  <c r="J691" i="7"/>
  <c r="J228" i="5"/>
  <c r="K228" i="5" s="1"/>
  <c r="J348" i="5"/>
  <c r="K348" i="5" s="1"/>
  <c r="J245" i="5"/>
  <c r="J677" i="7"/>
  <c r="K677" i="7" s="1"/>
  <c r="J357" i="5"/>
  <c r="J128" i="5" s="1"/>
  <c r="J300" i="5"/>
  <c r="K300" i="5" s="1"/>
  <c r="J856" i="6"/>
  <c r="K856" i="6" s="1"/>
  <c r="J249" i="8"/>
  <c r="K249" i="8" s="1"/>
  <c r="J333" i="8"/>
  <c r="K333" i="8" s="1"/>
  <c r="J436" i="8"/>
  <c r="I87" i="1"/>
  <c r="H94" i="1"/>
  <c r="J564" i="7"/>
  <c r="K564" i="7" s="1"/>
  <c r="J688" i="7"/>
  <c r="K688" i="7" s="1"/>
  <c r="J569" i="7"/>
  <c r="K569" i="7" s="1"/>
  <c r="J289" i="5"/>
  <c r="K289" i="5" s="1"/>
  <c r="J29" i="27"/>
  <c r="K29" i="27" s="1"/>
  <c r="J294" i="5"/>
  <c r="K294" i="5" s="1"/>
  <c r="J412" i="4"/>
  <c r="K412" i="4" s="1"/>
  <c r="H29" i="34"/>
  <c r="J303" i="5"/>
  <c r="K303" i="5" s="1"/>
  <c r="J226" i="5"/>
  <c r="K226" i="5" s="1"/>
  <c r="J404" i="5"/>
  <c r="K404" i="5" s="1"/>
  <c r="J803" i="7"/>
  <c r="K803" i="7" s="1"/>
  <c r="J270" i="8"/>
  <c r="K270" i="8" s="1"/>
  <c r="J1859" i="6"/>
  <c r="K1859" i="6" s="1"/>
  <c r="J344" i="5"/>
  <c r="J681" i="7"/>
  <c r="K681" i="7" s="1"/>
  <c r="I952" i="7"/>
  <c r="B275" i="6"/>
  <c r="B25" i="6" s="1"/>
  <c r="P44" i="42"/>
  <c r="B466" i="7"/>
  <c r="L63" i="37"/>
  <c r="M99" i="37"/>
  <c r="F50" i="20"/>
  <c r="F100" i="20" s="1"/>
  <c r="H293" i="45"/>
  <c r="H35" i="45"/>
  <c r="H29" i="45"/>
  <c r="I1173" i="6"/>
  <c r="CN111" i="9"/>
  <c r="H290" i="45"/>
  <c r="H33" i="45"/>
  <c r="H34" i="45"/>
  <c r="I354" i="6"/>
  <c r="CN141" i="9"/>
  <c r="G170" i="4"/>
  <c r="H170" i="4" s="1"/>
  <c r="G629" i="4"/>
  <c r="H629" i="4" s="1"/>
  <c r="H3" i="22"/>
  <c r="BP3" i="21"/>
  <c r="CC3" i="21" s="1"/>
  <c r="I72" i="21"/>
  <c r="BR3" i="21"/>
  <c r="CE3" i="21" s="1"/>
  <c r="F3" i="22"/>
  <c r="BN3" i="21"/>
  <c r="K3" i="22"/>
  <c r="BS3" i="21"/>
  <c r="CF3" i="21" s="1"/>
  <c r="L72" i="21"/>
  <c r="BU3" i="21"/>
  <c r="CH3" i="21" s="1"/>
  <c r="I171" i="4"/>
  <c r="G171" i="4"/>
  <c r="H171" i="4" s="1"/>
  <c r="M3" i="21"/>
  <c r="BV3" i="21" s="1"/>
  <c r="CI3" i="21" s="1"/>
  <c r="CG3" i="9"/>
  <c r="CT3" i="9" s="1"/>
  <c r="A8" i="4"/>
  <c r="E72" i="21"/>
  <c r="Q6" i="37"/>
  <c r="AH14" i="37" s="1"/>
  <c r="J72" i="21"/>
  <c r="S6" i="37"/>
  <c r="B151" i="4"/>
  <c r="B165" i="4"/>
  <c r="B216" i="4" s="1"/>
  <c r="B263" i="4" s="1"/>
  <c r="B313" i="4" s="1"/>
  <c r="J3" i="22"/>
  <c r="A656" i="4"/>
  <c r="A658" i="4" s="1"/>
  <c r="A667" i="4" s="1"/>
  <c r="B599" i="4"/>
  <c r="C98" i="42"/>
  <c r="C177" i="4"/>
  <c r="A597" i="4"/>
  <c r="B656" i="4"/>
  <c r="G72" i="21"/>
  <c r="I4" i="42"/>
  <c r="D564" i="8"/>
  <c r="C595" i="8"/>
  <c r="J326" i="8"/>
  <c r="AE11" i="42"/>
  <c r="G340" i="4"/>
  <c r="H340" i="4" s="1"/>
  <c r="I885" i="4"/>
  <c r="G935" i="4"/>
  <c r="H935" i="4" s="1"/>
  <c r="G3" i="16"/>
  <c r="B10" i="7"/>
  <c r="C376" i="7"/>
  <c r="I963" i="7"/>
  <c r="G377" i="7"/>
  <c r="H377" i="7" s="1"/>
  <c r="I945" i="7"/>
  <c r="G376" i="7"/>
  <c r="A376" i="7"/>
  <c r="B376" i="7"/>
  <c r="D376" i="7"/>
  <c r="C9" i="7"/>
  <c r="B131" i="42"/>
  <c r="C24" i="7"/>
  <c r="C133" i="42"/>
  <c r="D133" i="42" s="1"/>
  <c r="C136" i="7"/>
  <c r="C138" i="7" s="1"/>
  <c r="C149" i="7" s="1"/>
  <c r="C129" i="42"/>
  <c r="J413" i="4"/>
  <c r="I859" i="6"/>
  <c r="G140" i="6"/>
  <c r="H140" i="6" s="1"/>
  <c r="D115" i="42"/>
  <c r="C16" i="6"/>
  <c r="B123" i="42"/>
  <c r="C10" i="6"/>
  <c r="B117" i="42"/>
  <c r="C27" i="6"/>
  <c r="C118" i="42"/>
  <c r="D118" i="42" s="1"/>
  <c r="C12" i="6"/>
  <c r="B119" i="42"/>
  <c r="H782" i="6"/>
  <c r="C22" i="6"/>
  <c r="C113" i="42"/>
  <c r="W3" i="22"/>
  <c r="W78" i="22" s="1"/>
  <c r="W121" i="22" s="1"/>
  <c r="Z3" i="21"/>
  <c r="AB3" i="21"/>
  <c r="C66" i="5"/>
  <c r="C106" i="42"/>
  <c r="D106" i="42" s="1"/>
  <c r="I193" i="3"/>
  <c r="J311" i="5"/>
  <c r="K311" i="5" s="1"/>
  <c r="B97" i="42"/>
  <c r="AB3" i="22"/>
  <c r="AB78" i="22" s="1"/>
  <c r="AB121" i="22" s="1"/>
  <c r="AE3" i="21"/>
  <c r="AJ87" i="9"/>
  <c r="AJ169" i="9" s="1"/>
  <c r="G1100" i="6"/>
  <c r="H1100" i="6" s="1"/>
  <c r="C15" i="6"/>
  <c r="G1474" i="6"/>
  <c r="H1474" i="6" s="1"/>
  <c r="N71" i="37"/>
  <c r="J524" i="5"/>
  <c r="C90" i="4"/>
  <c r="F28" i="12"/>
  <c r="G84" i="12"/>
  <c r="H79" i="10" s="1"/>
  <c r="J79" i="10" s="1"/>
  <c r="J3" i="11"/>
  <c r="J84" i="11" s="1"/>
  <c r="G84" i="11"/>
  <c r="M3" i="11"/>
  <c r="B266" i="7"/>
  <c r="B268" i="7" s="1"/>
  <c r="B21" i="7"/>
  <c r="B33" i="7" s="1"/>
  <c r="J497" i="7"/>
  <c r="J87" i="7" s="1"/>
  <c r="D577" i="7"/>
  <c r="A322" i="7"/>
  <c r="A324" i="7" s="1"/>
  <c r="K363" i="8"/>
  <c r="K39" i="8"/>
  <c r="J541" i="4"/>
  <c r="K541" i="4" s="1"/>
  <c r="D102" i="8"/>
  <c r="D39" i="8"/>
  <c r="I102" i="8"/>
  <c r="D590" i="8"/>
  <c r="F9" i="11"/>
  <c r="G9" i="11" s="1"/>
  <c r="H9" i="11" s="1"/>
  <c r="G58" i="4"/>
  <c r="H58" i="4" s="1"/>
  <c r="D363" i="8"/>
  <c r="D574" i="8"/>
  <c r="D166" i="8"/>
  <c r="B1361" i="6"/>
  <c r="B1363" i="6" s="1"/>
  <c r="B1366" i="6" s="1"/>
  <c r="I69" i="4"/>
  <c r="G117" i="4"/>
  <c r="H117" i="4" s="1"/>
  <c r="B363" i="8"/>
  <c r="O166" i="8"/>
  <c r="O102" i="8"/>
  <c r="O363" i="8"/>
  <c r="O39" i="8"/>
  <c r="I1120" i="6"/>
  <c r="I323" i="6" s="1"/>
  <c r="A30" i="6"/>
  <c r="A46" i="6" s="1"/>
  <c r="A1361" i="6"/>
  <c r="A1363" i="6" s="1"/>
  <c r="G309" i="6"/>
  <c r="H309" i="6" s="1"/>
  <c r="H22" i="20"/>
  <c r="H23" i="20" s="1"/>
  <c r="G210" i="15"/>
  <c r="I866" i="7"/>
  <c r="I332" i="7" s="1"/>
  <c r="C599" i="4"/>
  <c r="I481" i="7"/>
  <c r="G84" i="8"/>
  <c r="H84" i="8" s="1"/>
  <c r="I564" i="8"/>
  <c r="G77" i="4"/>
  <c r="H77" i="4" s="1"/>
  <c r="G31" i="5"/>
  <c r="H31" i="5" s="1"/>
  <c r="G67" i="7"/>
  <c r="G69" i="7" s="1"/>
  <c r="C55" i="13"/>
  <c r="D148" i="5"/>
  <c r="G359" i="5"/>
  <c r="H359" i="5" s="1"/>
  <c r="A1195" i="7"/>
  <c r="J496" i="7"/>
  <c r="J86" i="7" s="1"/>
  <c r="G162" i="7"/>
  <c r="H162" i="7" s="1"/>
  <c r="J499" i="7"/>
  <c r="J89" i="7" s="1"/>
  <c r="H291" i="45"/>
  <c r="H294" i="45"/>
  <c r="D857" i="7"/>
  <c r="G466" i="7"/>
  <c r="I62" i="8"/>
  <c r="F95" i="13"/>
  <c r="D466" i="7"/>
  <c r="H299" i="45"/>
  <c r="H304" i="45" s="1"/>
  <c r="J2020" i="6"/>
  <c r="C220" i="6"/>
  <c r="A6" i="6"/>
  <c r="C24" i="6"/>
  <c r="D1136" i="6"/>
  <c r="G1221" i="6"/>
  <c r="H1221" i="6" s="1"/>
  <c r="B30" i="6"/>
  <c r="I1232" i="6"/>
  <c r="H32" i="45"/>
  <c r="C812" i="6"/>
  <c r="D1002" i="6"/>
  <c r="J860" i="6"/>
  <c r="K860" i="6" s="1"/>
  <c r="I2013" i="6"/>
  <c r="F22" i="58" s="1"/>
  <c r="I763" i="6"/>
  <c r="C653" i="6"/>
  <c r="J840" i="6"/>
  <c r="G1195" i="6"/>
  <c r="H1195" i="6" s="1"/>
  <c r="K6" i="37"/>
  <c r="AB14" i="37" s="1"/>
  <c r="D653" i="6"/>
  <c r="H653" i="6" s="1"/>
  <c r="I1726" i="6"/>
  <c r="I326" i="6"/>
  <c r="M6" i="37"/>
  <c r="AD14" i="37" s="1"/>
  <c r="B812" i="6"/>
  <c r="B552" i="6"/>
  <c r="B563" i="6" s="1"/>
  <c r="O47" i="37"/>
  <c r="O65" i="37" s="1"/>
  <c r="G965" i="6"/>
  <c r="H965" i="6" s="1"/>
  <c r="I1906" i="6"/>
  <c r="I659" i="6" s="1"/>
  <c r="B220" i="6"/>
  <c r="B223" i="6" s="1"/>
  <c r="AG4" i="42"/>
  <c r="C1562" i="6"/>
  <c r="C1573" i="6" s="1"/>
  <c r="B382" i="6"/>
  <c r="B384" i="6" s="1"/>
  <c r="B2041" i="6" s="1"/>
  <c r="G1721" i="6"/>
  <c r="H1721" i="6" s="1"/>
  <c r="I1716" i="6"/>
  <c r="I574" i="6" s="1"/>
  <c r="G321" i="6"/>
  <c r="I1355" i="6"/>
  <c r="I1181" i="6"/>
  <c r="C1210" i="6"/>
  <c r="C9" i="6"/>
  <c r="B11" i="6"/>
  <c r="G711" i="6"/>
  <c r="H711" i="6" s="1"/>
  <c r="T6" i="37"/>
  <c r="I730" i="6"/>
  <c r="I735" i="6" s="1"/>
  <c r="E171" i="45"/>
  <c r="F171" i="45" s="1"/>
  <c r="G171" i="45" s="1"/>
  <c r="B2019" i="6"/>
  <c r="B2021" i="6" s="1"/>
  <c r="G1068" i="6"/>
  <c r="B8" i="6"/>
  <c r="G344" i="6"/>
  <c r="H344" i="6" s="1"/>
  <c r="L4" i="42"/>
  <c r="H31" i="45"/>
  <c r="H1251" i="6"/>
  <c r="I2011" i="6"/>
  <c r="I726" i="6" s="1"/>
  <c r="H1292" i="6"/>
  <c r="G263" i="6"/>
  <c r="H263" i="6" s="1"/>
  <c r="J1813" i="6"/>
  <c r="N6" i="37"/>
  <c r="AE14" i="37" s="1"/>
  <c r="I1281" i="6"/>
  <c r="G1000" i="6"/>
  <c r="H1000" i="6" s="1"/>
  <c r="A13" i="6"/>
  <c r="A45" i="6" s="1"/>
  <c r="C8" i="6"/>
  <c r="G1220" i="6"/>
  <c r="H1220" i="6" s="1"/>
  <c r="I1235" i="6"/>
  <c r="G1361" i="6"/>
  <c r="I1908" i="6"/>
  <c r="I661" i="6" s="1"/>
  <c r="G507" i="6"/>
  <c r="H507" i="6" s="1"/>
  <c r="C382" i="6"/>
  <c r="C384" i="6" s="1"/>
  <c r="E46" i="45"/>
  <c r="E47" i="45" s="1"/>
  <c r="E48" i="45" s="1"/>
  <c r="D258" i="5"/>
  <c r="I382" i="5"/>
  <c r="G146" i="5"/>
  <c r="H146" i="5" s="1"/>
  <c r="J248" i="5"/>
  <c r="I61" i="5"/>
  <c r="B505" i="5"/>
  <c r="J314" i="5"/>
  <c r="J96" i="5" s="1"/>
  <c r="B16" i="5"/>
  <c r="B25" i="5" s="1"/>
  <c r="B504" i="5"/>
  <c r="B12" i="5"/>
  <c r="C18" i="5"/>
  <c r="C27" i="5" s="1"/>
  <c r="C506" i="5"/>
  <c r="D195" i="5"/>
  <c r="B467" i="5"/>
  <c r="B163" i="5"/>
  <c r="A504" i="5"/>
  <c r="A509" i="5" s="1"/>
  <c r="A511" i="5" s="1"/>
  <c r="A66" i="5"/>
  <c r="A16" i="5"/>
  <c r="A21" i="5" s="1"/>
  <c r="A30" i="5" s="1"/>
  <c r="A32" i="5" s="1"/>
  <c r="A43" i="5" s="1"/>
  <c r="B564" i="8"/>
  <c r="B39" i="8"/>
  <c r="I524" i="5"/>
  <c r="K102" i="8"/>
  <c r="B495" i="5"/>
  <c r="I416" i="5"/>
  <c r="B260" i="5"/>
  <c r="K574" i="8"/>
  <c r="G416" i="5"/>
  <c r="H416" i="5" s="1"/>
  <c r="B66" i="5"/>
  <c r="C524" i="5"/>
  <c r="M524" i="5"/>
  <c r="K564" i="8"/>
  <c r="K590" i="8"/>
  <c r="A93" i="13"/>
  <c r="R47" i="37"/>
  <c r="R65" i="37" s="1"/>
  <c r="G590" i="8"/>
  <c r="AF4" i="42"/>
  <c r="L6" i="37"/>
  <c r="AC14" i="37" s="1"/>
  <c r="L47" i="37"/>
  <c r="L65" i="37" s="1"/>
  <c r="K127" i="15"/>
  <c r="G689" i="4"/>
  <c r="H689" i="4" s="1"/>
  <c r="I495" i="7"/>
  <c r="I85" i="7" s="1"/>
  <c r="J26" i="11"/>
  <c r="K26" i="11" s="1"/>
  <c r="M26" i="11" s="1"/>
  <c r="N26" i="11" s="1"/>
  <c r="P26" i="11" s="1"/>
  <c r="Q26" i="11" s="1"/>
  <c r="C3" i="16"/>
  <c r="J502" i="7"/>
  <c r="C266" i="7"/>
  <c r="C1212" i="7" s="1"/>
  <c r="B227" i="7"/>
  <c r="B1212" i="7" s="1"/>
  <c r="D757" i="7"/>
  <c r="D94" i="7"/>
  <c r="G293" i="7"/>
  <c r="H293" i="7" s="1"/>
  <c r="I258" i="7"/>
  <c r="G312" i="7"/>
  <c r="H312" i="7" s="1"/>
  <c r="I844" i="7"/>
  <c r="I811" i="7"/>
  <c r="I306" i="7" s="1"/>
  <c r="I780" i="7"/>
  <c r="I3" i="16"/>
  <c r="K3" i="16"/>
  <c r="F3" i="16"/>
  <c r="D181" i="7"/>
  <c r="I127" i="15"/>
  <c r="I658" i="7"/>
  <c r="A1212" i="7"/>
  <c r="A1211" i="7"/>
  <c r="G305" i="7"/>
  <c r="H305" i="7" s="1"/>
  <c r="G1023" i="7"/>
  <c r="G372" i="7"/>
  <c r="H372" i="7" s="1"/>
  <c r="I654" i="7"/>
  <c r="H127" i="15"/>
  <c r="C103" i="3"/>
  <c r="G525" i="7"/>
  <c r="H525" i="7" s="1"/>
  <c r="G350" i="7"/>
  <c r="H350" i="7" s="1"/>
  <c r="D320" i="7"/>
  <c r="H133" i="42" s="1"/>
  <c r="J127" i="15"/>
  <c r="A997" i="7"/>
  <c r="A999" i="7" s="1"/>
  <c r="A1003" i="7" s="1"/>
  <c r="J3" i="16"/>
  <c r="B997" i="7"/>
  <c r="I15" i="48" s="1"/>
  <c r="G575" i="7"/>
  <c r="E23" i="48" s="1"/>
  <c r="I491" i="7"/>
  <c r="G76" i="7"/>
  <c r="H76" i="7" s="1"/>
  <c r="G314" i="7"/>
  <c r="H314" i="7" s="1"/>
  <c r="I846" i="7"/>
  <c r="B3" i="16"/>
  <c r="C12" i="7"/>
  <c r="C23" i="7"/>
  <c r="G788" i="7"/>
  <c r="H788" i="7" s="1"/>
  <c r="A96" i="7"/>
  <c r="A1208" i="7" s="1"/>
  <c r="D134" i="7"/>
  <c r="H129" i="42" s="1"/>
  <c r="G291" i="7"/>
  <c r="H291" i="7" s="1"/>
  <c r="C322" i="7"/>
  <c r="C14" i="7"/>
  <c r="B96" i="7"/>
  <c r="B98" i="7" s="1"/>
  <c r="H313" i="7"/>
  <c r="I845" i="7"/>
  <c r="I313" i="7" s="1"/>
  <c r="I161" i="7"/>
  <c r="I956" i="7"/>
  <c r="D405" i="7"/>
  <c r="C77" i="13"/>
  <c r="R43" i="42" s="1"/>
  <c r="K524" i="5"/>
  <c r="D524" i="5"/>
  <c r="L193" i="3"/>
  <c r="B524" i="5"/>
  <c r="M3" i="22"/>
  <c r="G524" i="5"/>
  <c r="M193" i="3"/>
  <c r="AE115" i="9"/>
  <c r="E132" i="13"/>
  <c r="G277" i="7"/>
  <c r="Z29" i="9"/>
  <c r="CN29" i="9"/>
  <c r="I166" i="8"/>
  <c r="C96" i="7"/>
  <c r="C20" i="7"/>
  <c r="C1006" i="4"/>
  <c r="A1196" i="7"/>
  <c r="A82" i="4"/>
  <c r="A127" i="15"/>
  <c r="A3" i="16"/>
  <c r="M87" i="9"/>
  <c r="M169" i="9" s="1"/>
  <c r="A10" i="7"/>
  <c r="A34" i="7" s="1"/>
  <c r="B360" i="7"/>
  <c r="B13" i="7" s="1"/>
  <c r="I30" i="45"/>
  <c r="G99" i="5"/>
  <c r="D1451" i="6"/>
  <c r="J1030" i="6"/>
  <c r="J253" i="6" s="1"/>
  <c r="L1833" i="6"/>
  <c r="G4" i="42"/>
  <c r="D130" i="5"/>
  <c r="I89" i="5"/>
  <c r="I91" i="5" s="1"/>
  <c r="D56" i="5"/>
  <c r="G106" i="42" s="1"/>
  <c r="I618" i="4"/>
  <c r="B9" i="42"/>
  <c r="B71" i="42" s="1"/>
  <c r="C9" i="42"/>
  <c r="B15" i="6"/>
  <c r="E5" i="12"/>
  <c r="E7" i="12"/>
  <c r="H16" i="17"/>
  <c r="G31" i="17"/>
  <c r="H16" i="16"/>
  <c r="G31" i="16"/>
  <c r="A456" i="7"/>
  <c r="A14" i="7"/>
  <c r="F126" i="22"/>
  <c r="B14" i="7"/>
  <c r="B113" i="8"/>
  <c r="B594" i="8"/>
  <c r="A6" i="16" s="1"/>
  <c r="I362" i="5"/>
  <c r="G135" i="5"/>
  <c r="H135" i="5" s="1"/>
  <c r="D439" i="7"/>
  <c r="G383" i="5"/>
  <c r="H383" i="5" s="1"/>
  <c r="I487" i="7"/>
  <c r="D441" i="7"/>
  <c r="D442" i="7" s="1"/>
  <c r="G186" i="5"/>
  <c r="H186" i="5" s="1"/>
  <c r="J309" i="5"/>
  <c r="AO87" i="9"/>
  <c r="AO169" i="9" s="1"/>
  <c r="B859" i="7"/>
  <c r="J748" i="7"/>
  <c r="I260" i="7"/>
  <c r="I261" i="7" s="1"/>
  <c r="G210" i="6"/>
  <c r="H210" i="6" s="1"/>
  <c r="I991" i="6"/>
  <c r="B1946" i="6"/>
  <c r="J791" i="6"/>
  <c r="C505" i="5"/>
  <c r="I450" i="5"/>
  <c r="I193" i="5"/>
  <c r="J485" i="5"/>
  <c r="H6" i="3" s="1"/>
  <c r="B477" i="5"/>
  <c r="B103" i="5"/>
  <c r="G363" i="8"/>
  <c r="J427" i="5"/>
  <c r="I187" i="5"/>
  <c r="C504" i="5"/>
  <c r="C16" i="5"/>
  <c r="C25" i="5" s="1"/>
  <c r="J97" i="5"/>
  <c r="B199" i="5"/>
  <c r="G183" i="5"/>
  <c r="H183" i="5" s="1"/>
  <c r="G447" i="5"/>
  <c r="H447" i="5" s="1"/>
  <c r="I420" i="5"/>
  <c r="B478" i="5"/>
  <c r="I106" i="4"/>
  <c r="G564" i="8"/>
  <c r="G68" i="4"/>
  <c r="H68" i="4" s="1"/>
  <c r="G166" i="8"/>
  <c r="B111" i="4"/>
  <c r="B724" i="4"/>
  <c r="A597" i="8"/>
  <c r="A7" i="8"/>
  <c r="A10" i="8" s="1"/>
  <c r="J203" i="3"/>
  <c r="J193" i="3"/>
  <c r="K193" i="3"/>
  <c r="K203" i="3"/>
  <c r="N363" i="8"/>
  <c r="G102" i="8"/>
  <c r="G39" i="8"/>
  <c r="H711" i="4"/>
  <c r="J39" i="8"/>
  <c r="L590" i="8"/>
  <c r="L39" i="8"/>
  <c r="L166" i="8"/>
  <c r="L102" i="8"/>
  <c r="L574" i="8"/>
  <c r="L564" i="8"/>
  <c r="L363" i="8"/>
  <c r="J4" i="42"/>
  <c r="C1010" i="4"/>
  <c r="G106" i="4"/>
  <c r="H106" i="4" s="1"/>
  <c r="G109" i="4"/>
  <c r="H109" i="4" s="1"/>
  <c r="F4" i="42"/>
  <c r="M39" i="8"/>
  <c r="N574" i="8"/>
  <c r="N590" i="8"/>
  <c r="M590" i="8"/>
  <c r="M363" i="8"/>
  <c r="O574" i="8"/>
  <c r="N564" i="8"/>
  <c r="M574" i="8"/>
  <c r="O564" i="8"/>
  <c r="M564" i="8"/>
  <c r="O590" i="8"/>
  <c r="M166" i="8"/>
  <c r="M102" i="8"/>
  <c r="I39" i="8"/>
  <c r="I590" i="8"/>
  <c r="I363" i="8"/>
  <c r="I117" i="4"/>
  <c r="J574" i="8"/>
  <c r="J166" i="8"/>
  <c r="J363" i="8"/>
  <c r="J102" i="8"/>
  <c r="J564" i="8"/>
  <c r="N102" i="8"/>
  <c r="N39" i="8"/>
  <c r="N166" i="8"/>
  <c r="B574" i="8"/>
  <c r="C363" i="8"/>
  <c r="B590" i="8"/>
  <c r="C564" i="8"/>
  <c r="C166" i="8"/>
  <c r="C102" i="8"/>
  <c r="C39" i="8"/>
  <c r="C590" i="8"/>
  <c r="C574" i="8"/>
  <c r="C332" i="5"/>
  <c r="H238" i="5"/>
  <c r="I52" i="5"/>
  <c r="I725" i="6"/>
  <c r="A467" i="5"/>
  <c r="A163" i="5"/>
  <c r="B80" i="4"/>
  <c r="G110" i="40"/>
  <c r="K88" i="10" s="1"/>
  <c r="H109" i="40"/>
  <c r="BC41" i="9"/>
  <c r="BD41" i="9" s="1"/>
  <c r="C465" i="6"/>
  <c r="AY3" i="9"/>
  <c r="BD3" i="9"/>
  <c r="A143" i="13"/>
  <c r="A202" i="15"/>
  <c r="A147" i="15" s="1"/>
  <c r="AS39" i="9"/>
  <c r="AT39" i="9" s="1"/>
  <c r="W87" i="9"/>
  <c r="W169" i="9" s="1"/>
  <c r="AB3" i="9"/>
  <c r="AN40" i="9"/>
  <c r="AO40" i="9" s="1"/>
  <c r="E84" i="11"/>
  <c r="H3" i="11"/>
  <c r="H84" i="11" s="1"/>
  <c r="K3" i="11"/>
  <c r="F84" i="11"/>
  <c r="I3" i="11"/>
  <c r="I84" i="11" s="1"/>
  <c r="L3" i="11"/>
  <c r="L534" i="7"/>
  <c r="L104" i="7" s="1"/>
  <c r="W41" i="10"/>
  <c r="R26" i="11"/>
  <c r="A20" i="7"/>
  <c r="A32" i="7" s="1"/>
  <c r="L3" i="16"/>
  <c r="L127" i="15"/>
  <c r="J695" i="7"/>
  <c r="I220" i="7"/>
  <c r="C275" i="6"/>
  <c r="G423" i="6"/>
  <c r="H423" i="6" s="1"/>
  <c r="G495" i="6"/>
  <c r="H495" i="6" s="1"/>
  <c r="B13" i="6"/>
  <c r="A563" i="6"/>
  <c r="C11" i="6"/>
  <c r="A27" i="6"/>
  <c r="A43" i="6" s="1"/>
  <c r="C17" i="6"/>
  <c r="I650" i="6"/>
  <c r="I1003" i="6"/>
  <c r="C13" i="6"/>
  <c r="A382" i="6"/>
  <c r="A2061" i="6" s="1"/>
  <c r="A2064" i="6"/>
  <c r="D218" i="6"/>
  <c r="J1297" i="6"/>
  <c r="H4" i="42"/>
  <c r="P47" i="37"/>
  <c r="P65" i="37" s="1"/>
  <c r="P6" i="37"/>
  <c r="AG14" i="37" s="1"/>
  <c r="D380" i="6"/>
  <c r="D1197" i="6"/>
  <c r="I344" i="6"/>
  <c r="D1227" i="6"/>
  <c r="C550" i="6"/>
  <c r="B705" i="6"/>
  <c r="J449" i="6"/>
  <c r="J1497" i="6"/>
  <c r="B107" i="6"/>
  <c r="B6" i="6"/>
  <c r="B511" i="6"/>
  <c r="B513" i="6" s="1"/>
  <c r="K1070" i="6"/>
  <c r="C30" i="6"/>
  <c r="C46" i="6" s="1"/>
  <c r="A2059" i="6"/>
  <c r="C500" i="5"/>
  <c r="K410" i="5"/>
  <c r="K174" i="5" s="1"/>
  <c r="C12" i="5"/>
  <c r="M3" i="16"/>
  <c r="M127" i="15"/>
  <c r="C341" i="6"/>
  <c r="A2063" i="6"/>
  <c r="A513" i="6"/>
  <c r="G57" i="1"/>
  <c r="H57" i="1" s="1"/>
  <c r="I57" i="1" s="1"/>
  <c r="J57" i="1" s="1"/>
  <c r="K57" i="1" s="1"/>
  <c r="L57" i="1" s="1"/>
  <c r="M57" i="1" s="1"/>
  <c r="N57" i="1" s="1"/>
  <c r="O57" i="1" s="1"/>
  <c r="P57" i="1" s="1"/>
  <c r="F35" i="19"/>
  <c r="G23" i="19"/>
  <c r="S23" i="19" s="1"/>
  <c r="G82" i="21"/>
  <c r="G85" i="21" s="1"/>
  <c r="G88" i="3" s="1"/>
  <c r="H82" i="21"/>
  <c r="H85" i="21" s="1"/>
  <c r="H88" i="3" s="1"/>
  <c r="J82" i="21"/>
  <c r="J85" i="21" s="1"/>
  <c r="J88" i="3" s="1"/>
  <c r="C1700" i="6"/>
  <c r="A2058" i="6"/>
  <c r="A736" i="6"/>
  <c r="A2067" i="6"/>
  <c r="A26" i="6"/>
  <c r="A42" i="6" s="1"/>
  <c r="A343" i="6"/>
  <c r="C133" i="4"/>
  <c r="A133" i="4"/>
  <c r="B133" i="4"/>
  <c r="B1010" i="4"/>
  <c r="B90" i="4"/>
  <c r="A26" i="7"/>
  <c r="I115" i="4"/>
  <c r="G3" i="22"/>
  <c r="F72" i="21"/>
  <c r="I837" i="6"/>
  <c r="J1883" i="6"/>
  <c r="J1663" i="6"/>
  <c r="J541" i="6" s="1"/>
  <c r="I1688" i="6"/>
  <c r="I546" i="6"/>
  <c r="I551" i="6" s="1"/>
  <c r="J777" i="6"/>
  <c r="I92" i="6"/>
  <c r="C1138" i="6"/>
  <c r="B31" i="6"/>
  <c r="I262" i="6"/>
  <c r="B33" i="6"/>
  <c r="A2038" i="6"/>
  <c r="A234" i="6"/>
  <c r="AS20" i="42"/>
  <c r="J725" i="6"/>
  <c r="AV20" i="42"/>
  <c r="G115" i="15" s="1"/>
  <c r="AU20" i="42"/>
  <c r="E115" i="15" s="1"/>
  <c r="D248" i="42" s="1"/>
  <c r="AT20" i="42"/>
  <c r="G743" i="6"/>
  <c r="AD3" i="9"/>
  <c r="Y87" i="9"/>
  <c r="Y169" i="9" s="1"/>
  <c r="H72" i="21"/>
  <c r="I3" i="22"/>
  <c r="X87" i="9"/>
  <c r="X169" i="9" s="1"/>
  <c r="AC3" i="9"/>
  <c r="V86" i="9"/>
  <c r="V168" i="9" s="1"/>
  <c r="AA2" i="9"/>
  <c r="V87" i="9"/>
  <c r="V169" i="9" s="1"/>
  <c r="AA3" i="9"/>
  <c r="B1014" i="6"/>
  <c r="B68" i="27"/>
  <c r="B71" i="27" s="1"/>
  <c r="C69" i="27" s="1"/>
  <c r="C40" i="16"/>
  <c r="D357" i="8"/>
  <c r="I299" i="45"/>
  <c r="I304" i="45" s="1"/>
  <c r="L53" i="12"/>
  <c r="H53" i="12"/>
  <c r="I53" i="12"/>
  <c r="J53" i="12"/>
  <c r="K53" i="12"/>
  <c r="G53" i="12"/>
  <c r="B322" i="7"/>
  <c r="B1213" i="7" s="1"/>
  <c r="J682" i="7"/>
  <c r="D252" i="7"/>
  <c r="D264" i="7"/>
  <c r="H132" i="42" s="1"/>
  <c r="B1209" i="7"/>
  <c r="B138" i="7"/>
  <c r="J810" i="7"/>
  <c r="O18" i="26" s="1"/>
  <c r="A1209" i="7"/>
  <c r="A138" i="7"/>
  <c r="A1210" i="7"/>
  <c r="A268" i="7"/>
  <c r="C13" i="7"/>
  <c r="B538" i="7"/>
  <c r="B520" i="6"/>
  <c r="E7" i="11"/>
  <c r="P69" i="11"/>
  <c r="I70" i="4"/>
  <c r="J433" i="4"/>
  <c r="I179" i="14" l="1"/>
  <c r="J88" i="14" s="1"/>
  <c r="G183" i="14"/>
  <c r="G1609" i="6"/>
  <c r="P123" i="48" s="1"/>
  <c r="P124" i="48" s="1"/>
  <c r="I724" i="6"/>
  <c r="AH47" i="42"/>
  <c r="I60" i="5"/>
  <c r="J95" i="5"/>
  <c r="I76" i="4"/>
  <c r="H442" i="6"/>
  <c r="I663" i="4"/>
  <c r="I206" i="4" s="1"/>
  <c r="Q1364" i="6"/>
  <c r="R1358" i="6"/>
  <c r="Q869" i="6"/>
  <c r="R863" i="6"/>
  <c r="Q645" i="6"/>
  <c r="R1835" i="6"/>
  <c r="R645" i="6" s="1"/>
  <c r="J1662" i="6"/>
  <c r="J540" i="6" s="1"/>
  <c r="R802" i="6"/>
  <c r="R103" i="6"/>
  <c r="C75" i="13"/>
  <c r="C204" i="3"/>
  <c r="P549" i="34"/>
  <c r="P551" i="34" s="1"/>
  <c r="P493" i="34"/>
  <c r="P308" i="15"/>
  <c r="BE49" i="42"/>
  <c r="D504" i="34"/>
  <c r="D564" i="34" s="1"/>
  <c r="D572" i="34" s="1"/>
  <c r="O550" i="34"/>
  <c r="D503" i="34"/>
  <c r="E79" i="10"/>
  <c r="E84" i="10" s="1"/>
  <c r="I35" i="1"/>
  <c r="I39" i="1" s="1"/>
  <c r="H273" i="3" s="1"/>
  <c r="K982" i="6"/>
  <c r="G299" i="3"/>
  <c r="I25" i="12"/>
  <c r="K994" i="6"/>
  <c r="K985" i="6"/>
  <c r="K984" i="6"/>
  <c r="K1347" i="6"/>
  <c r="K679" i="4"/>
  <c r="I286" i="3"/>
  <c r="O367" i="8"/>
  <c r="O368" i="8"/>
  <c r="F292" i="3"/>
  <c r="F299" i="3"/>
  <c r="M123" i="1"/>
  <c r="L298" i="3"/>
  <c r="H299" i="3"/>
  <c r="G300" i="3"/>
  <c r="J67" i="1"/>
  <c r="H300" i="3"/>
  <c r="I182" i="8"/>
  <c r="I46" i="8" s="1"/>
  <c r="AH11" i="42" s="1"/>
  <c r="R41" i="42"/>
  <c r="K301" i="3"/>
  <c r="J304" i="6"/>
  <c r="I327" i="6"/>
  <c r="G726" i="34"/>
  <c r="J441" i="6"/>
  <c r="J1710" i="6"/>
  <c r="J573" i="6" s="1"/>
  <c r="I573" i="6"/>
  <c r="I579" i="6" s="1"/>
  <c r="H935" i="6"/>
  <c r="G937" i="6"/>
  <c r="J125" i="5"/>
  <c r="J124" i="5"/>
  <c r="I126" i="5"/>
  <c r="K423" i="4"/>
  <c r="J75" i="4"/>
  <c r="J108" i="4"/>
  <c r="J156" i="4" s="1"/>
  <c r="J914" i="4"/>
  <c r="J344" i="4" s="1"/>
  <c r="I344" i="4"/>
  <c r="K357" i="5"/>
  <c r="K128" i="5" s="1"/>
  <c r="K341" i="5"/>
  <c r="J176" i="5"/>
  <c r="C392" i="34"/>
  <c r="C509" i="34" s="1"/>
  <c r="H662" i="34"/>
  <c r="H114" i="10"/>
  <c r="B509" i="5"/>
  <c r="B658" i="4"/>
  <c r="B601" i="4"/>
  <c r="B8" i="4"/>
  <c r="B18" i="4"/>
  <c r="B29" i="4" s="1"/>
  <c r="C160" i="4"/>
  <c r="C18" i="4"/>
  <c r="C29" i="4" s="1"/>
  <c r="L291" i="3"/>
  <c r="N25" i="1"/>
  <c r="K6" i="58"/>
  <c r="K5" i="58" s="1"/>
  <c r="I60" i="10"/>
  <c r="J60" i="10" s="1"/>
  <c r="I114" i="10"/>
  <c r="H1023" i="7"/>
  <c r="Q89" i="48"/>
  <c r="F57" i="48"/>
  <c r="C214" i="48"/>
  <c r="F20" i="58"/>
  <c r="J1983" i="6"/>
  <c r="K1983" i="6" s="1"/>
  <c r="F15" i="58"/>
  <c r="J771" i="6"/>
  <c r="K771" i="6" s="1"/>
  <c r="J1996" i="6"/>
  <c r="G18" i="58" s="1"/>
  <c r="F18" i="58"/>
  <c r="K396" i="4"/>
  <c r="K489" i="8"/>
  <c r="K501" i="8"/>
  <c r="K397" i="8"/>
  <c r="K482" i="8"/>
  <c r="K517" i="8"/>
  <c r="K386" i="8"/>
  <c r="K469" i="8"/>
  <c r="K525" i="8"/>
  <c r="K470" i="8"/>
  <c r="K506" i="8"/>
  <c r="K526" i="8"/>
  <c r="K479" i="8"/>
  <c r="K485" i="8"/>
  <c r="K527" i="8"/>
  <c r="K395" i="8"/>
  <c r="K516" i="8"/>
  <c r="K465" i="8"/>
  <c r="K486" i="8"/>
  <c r="K524" i="8"/>
  <c r="K483" i="8"/>
  <c r="K505" i="8"/>
  <c r="K377" i="8"/>
  <c r="K480" i="8"/>
  <c r="K515" i="8"/>
  <c r="K533" i="8"/>
  <c r="K384" i="8"/>
  <c r="K507" i="8"/>
  <c r="K534" i="8"/>
  <c r="K490" i="8"/>
  <c r="K473" i="8"/>
  <c r="K467" i="8"/>
  <c r="K376" i="8"/>
  <c r="K468" i="8"/>
  <c r="K504" i="8"/>
  <c r="K528" i="8"/>
  <c r="K518" i="8"/>
  <c r="K514" i="8"/>
  <c r="K387" i="8"/>
  <c r="K484" i="8"/>
  <c r="K519" i="8"/>
  <c r="K464" i="8"/>
  <c r="K520" i="8"/>
  <c r="K466" i="8"/>
  <c r="K481" i="8"/>
  <c r="K385" i="8"/>
  <c r="K476" i="8"/>
  <c r="K511" i="8"/>
  <c r="K532" i="8"/>
  <c r="K521" i="8"/>
  <c r="K463" i="8"/>
  <c r="K522" i="8"/>
  <c r="K400" i="8"/>
  <c r="AX12" i="42" s="1"/>
  <c r="K523" i="8"/>
  <c r="K488" i="8"/>
  <c r="K508" i="8"/>
  <c r="K531" i="8"/>
  <c r="K487" i="8"/>
  <c r="K457" i="8"/>
  <c r="J770" i="6"/>
  <c r="K770" i="6" s="1"/>
  <c r="F25" i="48"/>
  <c r="H58" i="48" s="1"/>
  <c r="I713" i="6"/>
  <c r="F17" i="58"/>
  <c r="F21" i="58"/>
  <c r="I141" i="3"/>
  <c r="K393" i="4"/>
  <c r="K60" i="4" s="1"/>
  <c r="K428" i="4"/>
  <c r="K462" i="4"/>
  <c r="K427" i="4"/>
  <c r="K430" i="4"/>
  <c r="K432" i="4"/>
  <c r="K431" i="4"/>
  <c r="K395" i="4"/>
  <c r="K61" i="4" s="1"/>
  <c r="K1105" i="6"/>
  <c r="K1058" i="6"/>
  <c r="K1314" i="6"/>
  <c r="K1046" i="6"/>
  <c r="K1108" i="6"/>
  <c r="K1302" i="6"/>
  <c r="K1323" i="6"/>
  <c r="K1535" i="6"/>
  <c r="K1551" i="6"/>
  <c r="K1307" i="6"/>
  <c r="K1540" i="6"/>
  <c r="K1115" i="6"/>
  <c r="K1403" i="6"/>
  <c r="K1037" i="6"/>
  <c r="K1309" i="6"/>
  <c r="K1404" i="6"/>
  <c r="K1545" i="6"/>
  <c r="K1310" i="6"/>
  <c r="K1534" i="6"/>
  <c r="K1550" i="6"/>
  <c r="K1123" i="6"/>
  <c r="K1113" i="6"/>
  <c r="K1396" i="6"/>
  <c r="K1111" i="6"/>
  <c r="K1306" i="6"/>
  <c r="K1397" i="6"/>
  <c r="K1539" i="6"/>
  <c r="K1555" i="6"/>
  <c r="K1316" i="6"/>
  <c r="K1552" i="6"/>
  <c r="K1303" i="6"/>
  <c r="K1536" i="6"/>
  <c r="K1041" i="6"/>
  <c r="K1057" i="6"/>
  <c r="K1116" i="6"/>
  <c r="K1313" i="6"/>
  <c r="K1533" i="6"/>
  <c r="K1549" i="6"/>
  <c r="K1112" i="6"/>
  <c r="K1107" i="6"/>
  <c r="K1322" i="6"/>
  <c r="K1538" i="6"/>
  <c r="K1554" i="6"/>
  <c r="K1042" i="6"/>
  <c r="K1117" i="6"/>
  <c r="K1039" i="6"/>
  <c r="K1053" i="6"/>
  <c r="K1114" i="6"/>
  <c r="K1311" i="6"/>
  <c r="K1402" i="6"/>
  <c r="K1543" i="6"/>
  <c r="K1398" i="6"/>
  <c r="K1556" i="6"/>
  <c r="K1312" i="6"/>
  <c r="K1544" i="6"/>
  <c r="K1106" i="6"/>
  <c r="K1124" i="6"/>
  <c r="K1319" i="6"/>
  <c r="K1537" i="6"/>
  <c r="K1553" i="6"/>
  <c r="K1038" i="6"/>
  <c r="K1400" i="6"/>
  <c r="K1542" i="6"/>
  <c r="K1047" i="6"/>
  <c r="K1052" i="6"/>
  <c r="K1305" i="6"/>
  <c r="K1043" i="6"/>
  <c r="K1059" i="6"/>
  <c r="K1118" i="6"/>
  <c r="K1315" i="6"/>
  <c r="K1424" i="6"/>
  <c r="K1547" i="6"/>
  <c r="K1109" i="6"/>
  <c r="K1532" i="6"/>
  <c r="K1055" i="6"/>
  <c r="K1325" i="6"/>
  <c r="K1548" i="6"/>
  <c r="K1048" i="6"/>
  <c r="K1304" i="6"/>
  <c r="K1399" i="6"/>
  <c r="K1541" i="6"/>
  <c r="K1040" i="6"/>
  <c r="K1045" i="6"/>
  <c r="K1405" i="6"/>
  <c r="K1546" i="6"/>
  <c r="K1308" i="6"/>
  <c r="K1324" i="6"/>
  <c r="K429" i="6" s="1"/>
  <c r="F247" i="15"/>
  <c r="E269" i="15"/>
  <c r="F269" i="15" s="1"/>
  <c r="K750" i="4"/>
  <c r="K228" i="4" s="1"/>
  <c r="K781" i="7"/>
  <c r="K290" i="7" s="1"/>
  <c r="K584" i="4"/>
  <c r="K677" i="4"/>
  <c r="K187" i="8"/>
  <c r="K448" i="8"/>
  <c r="K315" i="8"/>
  <c r="K283" i="8"/>
  <c r="K505" i="7"/>
  <c r="K743" i="7"/>
  <c r="K1135" i="7"/>
  <c r="K1130" i="7"/>
  <c r="K613" i="7"/>
  <c r="K1145" i="7"/>
  <c r="K749" i="7"/>
  <c r="K1148" i="7"/>
  <c r="K1142" i="7"/>
  <c r="K511" i="7"/>
  <c r="K1144" i="7"/>
  <c r="K793" i="7"/>
  <c r="K1603" i="6"/>
  <c r="K1740" i="6"/>
  <c r="K1615" i="6"/>
  <c r="K1346" i="6"/>
  <c r="K34" i="27"/>
  <c r="M53" i="10"/>
  <c r="L29" i="11" s="1"/>
  <c r="M29" i="11" s="1"/>
  <c r="N29" i="11" s="1"/>
  <c r="J765" i="7"/>
  <c r="J274" i="7" s="1"/>
  <c r="K562" i="7"/>
  <c r="K1388" i="6"/>
  <c r="K456" i="4"/>
  <c r="J132" i="8"/>
  <c r="K752" i="7"/>
  <c r="K262" i="7" s="1"/>
  <c r="K438" i="8"/>
  <c r="K1744" i="6"/>
  <c r="J595" i="6"/>
  <c r="K437" i="8"/>
  <c r="K1713" i="6"/>
  <c r="K387" i="4"/>
  <c r="K274" i="8"/>
  <c r="K385" i="4"/>
  <c r="K491" i="4"/>
  <c r="L495" i="4" s="1"/>
  <c r="M495" i="4" s="1"/>
  <c r="N495" i="4" s="1"/>
  <c r="O495" i="4" s="1"/>
  <c r="P495" i="4" s="1"/>
  <c r="Q495" i="4" s="1"/>
  <c r="R495" i="4" s="1"/>
  <c r="K304" i="8"/>
  <c r="K627" i="4"/>
  <c r="K1796" i="6"/>
  <c r="K561" i="7"/>
  <c r="K725" i="7"/>
  <c r="G247" i="15"/>
  <c r="G269" i="15" s="1"/>
  <c r="K568" i="7"/>
  <c r="K564" i="4"/>
  <c r="K899" i="4"/>
  <c r="K704" i="4"/>
  <c r="K329" i="8"/>
  <c r="K282" i="8"/>
  <c r="K1138" i="7"/>
  <c r="K610" i="7"/>
  <c r="K890" i="7"/>
  <c r="L890" i="7" s="1"/>
  <c r="K1133" i="7"/>
  <c r="K683" i="7"/>
  <c r="K1149" i="7"/>
  <c r="K927" i="7"/>
  <c r="K1150" i="7"/>
  <c r="K1109" i="7"/>
  <c r="K490" i="7"/>
  <c r="K1332" i="6"/>
  <c r="K1605" i="6"/>
  <c r="K1485" i="6"/>
  <c r="K1247" i="6"/>
  <c r="H584" i="6"/>
  <c r="K302" i="8"/>
  <c r="K386" i="4"/>
  <c r="K733" i="7"/>
  <c r="J130" i="8"/>
  <c r="K378" i="5"/>
  <c r="J141" i="5"/>
  <c r="H226" i="3"/>
  <c r="K585" i="4"/>
  <c r="K1095" i="6"/>
  <c r="J313" i="6"/>
  <c r="K241" i="8"/>
  <c r="K408" i="8"/>
  <c r="K1881" i="6"/>
  <c r="K1732" i="6"/>
  <c r="K590" i="6" s="1"/>
  <c r="K1923" i="6"/>
  <c r="K538" i="4"/>
  <c r="K740" i="7"/>
  <c r="K1387" i="6"/>
  <c r="K710" i="4"/>
  <c r="K1249" i="6"/>
  <c r="K1824" i="6"/>
  <c r="K1797" i="6"/>
  <c r="K307" i="8"/>
  <c r="K388" i="4"/>
  <c r="H1392" i="6"/>
  <c r="I92" i="10"/>
  <c r="J92" i="10" s="1"/>
  <c r="J59" i="10"/>
  <c r="K1178" i="6"/>
  <c r="J126" i="8"/>
  <c r="K900" i="4"/>
  <c r="K702" i="4"/>
  <c r="K652" i="4"/>
  <c r="K906" i="4"/>
  <c r="K898" i="4"/>
  <c r="K238" i="8"/>
  <c r="K1140" i="7"/>
  <c r="K742" i="7"/>
  <c r="K1110" i="7"/>
  <c r="K660" i="7"/>
  <c r="K1151" i="7"/>
  <c r="K1044" i="7"/>
  <c r="K521" i="7"/>
  <c r="K1351" i="6"/>
  <c r="K1600" i="6"/>
  <c r="K1601" i="6"/>
  <c r="K1614" i="6"/>
  <c r="K1988" i="6"/>
  <c r="K2003" i="6"/>
  <c r="K709" i="4"/>
  <c r="K273" i="8"/>
  <c r="K1786" i="6"/>
  <c r="K1136" i="7"/>
  <c r="K1050" i="6"/>
  <c r="K265" i="6" s="1"/>
  <c r="K379" i="5"/>
  <c r="K142" i="5" s="1"/>
  <c r="K751" i="7"/>
  <c r="K965" i="7"/>
  <c r="K1159" i="6"/>
  <c r="K1097" i="6"/>
  <c r="K716" i="4"/>
  <c r="K1822" i="6"/>
  <c r="K872" i="4"/>
  <c r="K272" i="8"/>
  <c r="K384" i="4"/>
  <c r="K757" i="6"/>
  <c r="K913" i="4"/>
  <c r="K432" i="8"/>
  <c r="K734" i="7"/>
  <c r="K625" i="4"/>
  <c r="K217" i="10"/>
  <c r="M217" i="10" s="1"/>
  <c r="K303" i="8"/>
  <c r="I52" i="1"/>
  <c r="J52" i="1" s="1"/>
  <c r="K52" i="1" s="1"/>
  <c r="L52" i="1" s="1"/>
  <c r="M52" i="1" s="1"/>
  <c r="N52" i="1" s="1"/>
  <c r="O52" i="1" s="1"/>
  <c r="P52" i="1" s="1"/>
  <c r="I58" i="10"/>
  <c r="K13" i="1"/>
  <c r="L13" i="1" s="1"/>
  <c r="M13" i="1" s="1"/>
  <c r="N13" i="1" s="1"/>
  <c r="O13" i="1" s="1"/>
  <c r="P13" i="1" s="1"/>
  <c r="K1107" i="7"/>
  <c r="K31" i="27"/>
  <c r="I123" i="8"/>
  <c r="G745" i="34"/>
  <c r="K694" i="4"/>
  <c r="K699" i="4"/>
  <c r="K575" i="4"/>
  <c r="K562" i="4"/>
  <c r="K907" i="4"/>
  <c r="K863" i="4"/>
  <c r="K209" i="8"/>
  <c r="K281" i="8"/>
  <c r="K268" i="8"/>
  <c r="K960" i="7"/>
  <c r="K972" i="7"/>
  <c r="K1143" i="7"/>
  <c r="K1128" i="7"/>
  <c r="K616" i="7"/>
  <c r="K1028" i="7"/>
  <c r="K1139" i="7"/>
  <c r="K1108" i="7"/>
  <c r="L1108" i="7" s="1"/>
  <c r="K617" i="7"/>
  <c r="K983" i="7"/>
  <c r="L983" i="7" s="1"/>
  <c r="K1141" i="7"/>
  <c r="K612" i="7"/>
  <c r="K1029" i="7"/>
  <c r="K1147" i="7"/>
  <c r="K919" i="7"/>
  <c r="L919" i="7" s="1"/>
  <c r="M919" i="7" s="1"/>
  <c r="N919" i="7" s="1"/>
  <c r="K1598" i="6"/>
  <c r="K695" i="4"/>
  <c r="K301" i="8"/>
  <c r="K371" i="5"/>
  <c r="K191" i="8"/>
  <c r="K1131" i="7"/>
  <c r="K1283" i="6"/>
  <c r="K461" i="4"/>
  <c r="K207" i="8"/>
  <c r="K826" i="6"/>
  <c r="K641" i="4"/>
  <c r="K309" i="8"/>
  <c r="K1785" i="6"/>
  <c r="K308" i="8"/>
  <c r="K1519" i="6"/>
  <c r="K275" i="8"/>
  <c r="K1590" i="6"/>
  <c r="B44" i="4"/>
  <c r="A40" i="3" s="1"/>
  <c r="C44" i="4"/>
  <c r="B40" i="3" s="1"/>
  <c r="B1451" i="6"/>
  <c r="A62" i="3"/>
  <c r="D122" i="10"/>
  <c r="C45" i="11"/>
  <c r="X68" i="21"/>
  <c r="F76" i="21" s="1"/>
  <c r="J906" i="6"/>
  <c r="J152" i="6" s="1"/>
  <c r="E101" i="11"/>
  <c r="G101" i="11" s="1"/>
  <c r="H101" i="11" s="1"/>
  <c r="J101" i="11" s="1"/>
  <c r="K101" i="11" s="1"/>
  <c r="M101" i="11" s="1"/>
  <c r="N101" i="11" s="1"/>
  <c r="P101" i="11" s="1"/>
  <c r="Q101" i="11" s="1"/>
  <c r="S101" i="11" s="1"/>
  <c r="T101" i="11" s="1"/>
  <c r="V101" i="11" s="1"/>
  <c r="W101" i="11" s="1"/>
  <c r="Y101" i="11" s="1"/>
  <c r="Z101" i="11" s="1"/>
  <c r="AB101" i="11" s="1"/>
  <c r="AC101" i="11" s="1"/>
  <c r="AE101" i="11" s="1"/>
  <c r="AF101" i="11" s="1"/>
  <c r="AH101" i="11" s="1"/>
  <c r="AI101" i="11" s="1"/>
  <c r="AK101" i="11" s="1"/>
  <c r="D64" i="6"/>
  <c r="C61" i="3" s="1"/>
  <c r="J1114" i="7"/>
  <c r="H735" i="34" s="1"/>
  <c r="G735" i="34"/>
  <c r="H423" i="45"/>
  <c r="H126" i="8"/>
  <c r="E423" i="45"/>
  <c r="AH21" i="42"/>
  <c r="G741" i="34"/>
  <c r="G743" i="34" s="1"/>
  <c r="O693" i="34"/>
  <c r="O694" i="34" s="1"/>
  <c r="O203" i="34" s="1"/>
  <c r="C238" i="42"/>
  <c r="F75" i="15"/>
  <c r="F322" i="34"/>
  <c r="AI41" i="42"/>
  <c r="H75" i="15" s="1"/>
  <c r="H322" i="34" s="1"/>
  <c r="I55" i="8"/>
  <c r="A113" i="15"/>
  <c r="I122" i="8"/>
  <c r="C113" i="15"/>
  <c r="F113" i="15" s="1"/>
  <c r="E504" i="34"/>
  <c r="E564" i="34" s="1"/>
  <c r="E572" i="34" s="1"/>
  <c r="I131" i="8"/>
  <c r="I121" i="8"/>
  <c r="G330" i="6"/>
  <c r="G341" i="6" s="1"/>
  <c r="I303" i="6"/>
  <c r="J1937" i="6"/>
  <c r="J670" i="6" s="1"/>
  <c r="I61" i="8"/>
  <c r="J213" i="8"/>
  <c r="K213" i="8" s="1"/>
  <c r="I711" i="6"/>
  <c r="G112" i="3"/>
  <c r="J1245" i="6"/>
  <c r="K1245" i="6" s="1"/>
  <c r="I1224" i="6"/>
  <c r="I370" i="6" s="1"/>
  <c r="I133" i="42"/>
  <c r="D12" i="7"/>
  <c r="K87" i="48" s="1"/>
  <c r="J92" i="7"/>
  <c r="A2065" i="6"/>
  <c r="I442" i="6"/>
  <c r="I593" i="6"/>
  <c r="I714" i="6"/>
  <c r="J1299" i="6"/>
  <c r="K1299" i="6" s="1"/>
  <c r="J1153" i="7"/>
  <c r="K1153" i="7" s="1"/>
  <c r="K988" i="6"/>
  <c r="K208" i="6" s="1"/>
  <c r="I186" i="5"/>
  <c r="K245" i="5"/>
  <c r="H112" i="3"/>
  <c r="H774" i="34"/>
  <c r="J333" i="4"/>
  <c r="J869" i="4"/>
  <c r="K869" i="4" s="1"/>
  <c r="I331" i="4"/>
  <c r="J634" i="4"/>
  <c r="K634" i="4" s="1"/>
  <c r="G105" i="40"/>
  <c r="G134" i="40" s="1"/>
  <c r="E47" i="40"/>
  <c r="H257" i="7"/>
  <c r="G264" i="7"/>
  <c r="H264" i="7" s="1"/>
  <c r="I722" i="6"/>
  <c r="I186" i="4"/>
  <c r="I182" i="4"/>
  <c r="I278" i="4"/>
  <c r="I229" i="4"/>
  <c r="I231" i="4"/>
  <c r="J2009" i="6"/>
  <c r="J724" i="6" s="1"/>
  <c r="I497" i="6"/>
  <c r="I542" i="6"/>
  <c r="G728" i="34"/>
  <c r="E681" i="34"/>
  <c r="I406" i="6"/>
  <c r="C46" i="15"/>
  <c r="N63" i="37"/>
  <c r="J882" i="7"/>
  <c r="J879" i="7" s="1"/>
  <c r="K879" i="7" s="1"/>
  <c r="J131" i="7"/>
  <c r="J259" i="7"/>
  <c r="J512" i="7"/>
  <c r="K512" i="7" s="1"/>
  <c r="G111" i="3"/>
  <c r="G142" i="3"/>
  <c r="J145" i="3"/>
  <c r="L249" i="6"/>
  <c r="AP117" i="9" s="1"/>
  <c r="I91" i="6"/>
  <c r="G113" i="3"/>
  <c r="C7" i="3"/>
  <c r="F33" i="3"/>
  <c r="F34" i="3" s="1"/>
  <c r="F174" i="3"/>
  <c r="G112" i="17"/>
  <c r="G33" i="3"/>
  <c r="G34" i="3" s="1"/>
  <c r="G174" i="3"/>
  <c r="I60" i="8"/>
  <c r="I68" i="8"/>
  <c r="C33" i="3"/>
  <c r="C34" i="3" s="1"/>
  <c r="C174" i="3"/>
  <c r="I75" i="16"/>
  <c r="I76" i="3"/>
  <c r="F78" i="3"/>
  <c r="A70" i="17"/>
  <c r="A80" i="3"/>
  <c r="B70" i="17"/>
  <c r="B80" i="3"/>
  <c r="J123" i="48"/>
  <c r="E74" i="14"/>
  <c r="G70" i="14" s="1"/>
  <c r="W209" i="9"/>
  <c r="W211" i="9" s="1"/>
  <c r="Y65" i="9"/>
  <c r="Z54" i="9"/>
  <c r="Z65" i="9" s="1"/>
  <c r="J114" i="4"/>
  <c r="J152" i="4" s="1"/>
  <c r="J580" i="4"/>
  <c r="H136" i="3" s="1"/>
  <c r="K105" i="40"/>
  <c r="K134" i="40" s="1"/>
  <c r="I119" i="4"/>
  <c r="H97" i="42"/>
  <c r="K83" i="48"/>
  <c r="H67" i="7"/>
  <c r="G128" i="42"/>
  <c r="H69" i="7"/>
  <c r="F252" i="15"/>
  <c r="AB134" i="9"/>
  <c r="AB138" i="9" s="1"/>
  <c r="G134" i="9"/>
  <c r="Z134" i="9"/>
  <c r="CM134" i="9"/>
  <c r="G475" i="4"/>
  <c r="G92" i="4" s="1"/>
  <c r="G46" i="4" s="1"/>
  <c r="F62" i="3" s="1"/>
  <c r="E57" i="13"/>
  <c r="S41" i="42" s="1"/>
  <c r="H376" i="7"/>
  <c r="J883" i="7"/>
  <c r="K60" i="10" s="1"/>
  <c r="I721" i="6"/>
  <c r="J209" i="3"/>
  <c r="I1449" i="6"/>
  <c r="I43" i="55"/>
  <c r="J40" i="55" s="1"/>
  <c r="F294" i="15"/>
  <c r="D1080" i="6"/>
  <c r="I289" i="6"/>
  <c r="J2002" i="6"/>
  <c r="C462" i="6"/>
  <c r="J1344" i="6"/>
  <c r="K1344" i="6" s="1"/>
  <c r="I433" i="6"/>
  <c r="I54" i="6"/>
  <c r="J1407" i="6"/>
  <c r="J440" i="6" s="1"/>
  <c r="J410" i="6"/>
  <c r="Q450" i="6"/>
  <c r="Q455" i="6" s="1"/>
  <c r="J1780" i="6"/>
  <c r="J629" i="6" s="1"/>
  <c r="I710" i="6"/>
  <c r="C10" i="7"/>
  <c r="C16" i="7" s="1"/>
  <c r="B8" i="13" s="1"/>
  <c r="I365" i="7"/>
  <c r="J498" i="7"/>
  <c r="J88" i="7" s="1"/>
  <c r="I165" i="7"/>
  <c r="G345" i="7"/>
  <c r="H345" i="7" s="1"/>
  <c r="J782" i="7"/>
  <c r="J291" i="7" s="1"/>
  <c r="F116" i="3"/>
  <c r="F117" i="3" s="1"/>
  <c r="H256" i="5"/>
  <c r="H755" i="7"/>
  <c r="H855" i="7"/>
  <c r="E28" i="48"/>
  <c r="I179" i="48" s="1"/>
  <c r="H622" i="7"/>
  <c r="H575" i="7"/>
  <c r="Q162" i="6"/>
  <c r="Q168" i="6" s="1"/>
  <c r="H321" i="6"/>
  <c r="S21" i="42"/>
  <c r="E54" i="15" s="1"/>
  <c r="D1253" i="6"/>
  <c r="K102" i="48"/>
  <c r="H88" i="6"/>
  <c r="H87" i="6"/>
  <c r="H138" i="6"/>
  <c r="G115" i="42"/>
  <c r="H86" i="6"/>
  <c r="D1138" i="6"/>
  <c r="H118" i="42"/>
  <c r="D60" i="48"/>
  <c r="D61" i="48" s="1"/>
  <c r="D51" i="48" s="1"/>
  <c r="D1363" i="6"/>
  <c r="D1366" i="6" s="1"/>
  <c r="H1361" i="6"/>
  <c r="G367" i="6"/>
  <c r="H367" i="6" s="1"/>
  <c r="G628" i="6"/>
  <c r="H628" i="6" s="1"/>
  <c r="G222" i="6"/>
  <c r="H222" i="6" s="1"/>
  <c r="G370" i="6"/>
  <c r="H370" i="6" s="1"/>
  <c r="G455" i="6"/>
  <c r="H455" i="6" s="1"/>
  <c r="G366" i="6"/>
  <c r="H366" i="6" s="1"/>
  <c r="G1560" i="6"/>
  <c r="H1560" i="6" s="1"/>
  <c r="S12" i="42"/>
  <c r="E12" i="42" s="1"/>
  <c r="G255" i="6"/>
  <c r="H255" i="6" s="1"/>
  <c r="G456" i="6"/>
  <c r="H456" i="6" s="1"/>
  <c r="G579" i="6"/>
  <c r="H579" i="6" s="1"/>
  <c r="I773" i="6"/>
  <c r="J773" i="6" s="1"/>
  <c r="K773" i="6" s="1"/>
  <c r="G720" i="6"/>
  <c r="H720" i="6" s="1"/>
  <c r="I68" i="4"/>
  <c r="I137" i="6"/>
  <c r="I205" i="7"/>
  <c r="I120" i="7"/>
  <c r="I122" i="7" s="1"/>
  <c r="I8" i="7" s="1"/>
  <c r="I286" i="15"/>
  <c r="I317" i="7"/>
  <c r="J849" i="7"/>
  <c r="K849" i="7" s="1"/>
  <c r="J786" i="7"/>
  <c r="J293" i="7" s="1"/>
  <c r="C36" i="7"/>
  <c r="I217" i="7"/>
  <c r="I75" i="7"/>
  <c r="I378" i="7"/>
  <c r="I130" i="7"/>
  <c r="I82" i="7"/>
  <c r="G776" i="34"/>
  <c r="G41" i="7"/>
  <c r="I556" i="7"/>
  <c r="I171" i="7"/>
  <c r="J918" i="7"/>
  <c r="K918" i="7" s="1"/>
  <c r="I318" i="7"/>
  <c r="K853" i="7"/>
  <c r="J318" i="7"/>
  <c r="I80" i="7"/>
  <c r="I307" i="7"/>
  <c r="I346" i="7"/>
  <c r="I300" i="7"/>
  <c r="J679" i="7"/>
  <c r="K679" i="7" s="1"/>
  <c r="J626" i="7"/>
  <c r="J178" i="7" s="1"/>
  <c r="J518" i="7"/>
  <c r="J82" i="7" s="1"/>
  <c r="N16" i="26"/>
  <c r="J566" i="7"/>
  <c r="J129" i="7" s="1"/>
  <c r="I371" i="7"/>
  <c r="D529" i="7"/>
  <c r="I370" i="7"/>
  <c r="K20" i="19"/>
  <c r="K39" i="19" s="1"/>
  <c r="I309" i="7"/>
  <c r="G207" i="7"/>
  <c r="H207" i="7" s="1"/>
  <c r="I1127" i="7"/>
  <c r="J1127" i="7" s="1"/>
  <c r="K1127" i="7" s="1"/>
  <c r="I656" i="7"/>
  <c r="J656" i="7" s="1"/>
  <c r="K656" i="7" s="1"/>
  <c r="I655" i="7"/>
  <c r="J655" i="7" s="1"/>
  <c r="K655" i="7" s="1"/>
  <c r="G1223" i="7"/>
  <c r="G458" i="7"/>
  <c r="H458" i="7" s="1"/>
  <c r="G122" i="7"/>
  <c r="H122" i="7" s="1"/>
  <c r="G252" i="7"/>
  <c r="H252" i="7" s="1"/>
  <c r="G1221" i="7"/>
  <c r="F5" i="3" s="1"/>
  <c r="I657" i="7"/>
  <c r="J657" i="7" s="1"/>
  <c r="K657" i="7" s="1"/>
  <c r="A44" i="15"/>
  <c r="I375" i="8"/>
  <c r="J375" i="8" s="1"/>
  <c r="K375" i="8" s="1"/>
  <c r="G43" i="8"/>
  <c r="AG7" i="42" s="1"/>
  <c r="G108" i="8"/>
  <c r="H108" i="8" s="1"/>
  <c r="G106" i="8"/>
  <c r="H106" i="8" s="1"/>
  <c r="G149" i="8"/>
  <c r="H149" i="8" s="1"/>
  <c r="I374" i="8"/>
  <c r="J374" i="8" s="1"/>
  <c r="K374" i="8" s="1"/>
  <c r="I119" i="8"/>
  <c r="G46" i="8"/>
  <c r="H46" i="8" s="1"/>
  <c r="H106" i="42"/>
  <c r="H99" i="5"/>
  <c r="H108" i="42"/>
  <c r="D451" i="5"/>
  <c r="G130" i="5"/>
  <c r="H130" i="5" s="1"/>
  <c r="L107" i="42"/>
  <c r="G91" i="5"/>
  <c r="H91" i="5" s="1"/>
  <c r="C324" i="4"/>
  <c r="D424" i="45"/>
  <c r="D431" i="45" s="1"/>
  <c r="D432" i="45" s="1"/>
  <c r="D433" i="45" s="1"/>
  <c r="H47" i="40"/>
  <c r="O324" i="4"/>
  <c r="D782" i="34"/>
  <c r="K102" i="42"/>
  <c r="G78" i="4"/>
  <c r="H78" i="4" s="1"/>
  <c r="L102" i="42"/>
  <c r="G978" i="4"/>
  <c r="H720" i="4"/>
  <c r="G152" i="4"/>
  <c r="H152" i="4" s="1"/>
  <c r="CB68" i="21"/>
  <c r="CA3" i="21"/>
  <c r="G50" i="20"/>
  <c r="G100" i="20" s="1"/>
  <c r="F102" i="20"/>
  <c r="B201" i="3" s="1"/>
  <c r="I60" i="20"/>
  <c r="O549" i="34"/>
  <c r="O493" i="34"/>
  <c r="J127" i="1"/>
  <c r="K1814" i="6"/>
  <c r="K415" i="8"/>
  <c r="K217" i="8"/>
  <c r="Q167" i="6"/>
  <c r="K902" i="7"/>
  <c r="K928" i="7"/>
  <c r="O108" i="1"/>
  <c r="P108" i="1" s="1"/>
  <c r="K903" i="6"/>
  <c r="K1795" i="6"/>
  <c r="K229" i="5"/>
  <c r="Y8" i="54"/>
  <c r="K1880" i="6"/>
  <c r="Y5" i="54"/>
  <c r="X11" i="54"/>
  <c r="X18" i="54" s="1"/>
  <c r="X20" i="54" s="1"/>
  <c r="J898" i="7"/>
  <c r="I348" i="7"/>
  <c r="K286" i="15"/>
  <c r="V81" i="9"/>
  <c r="Z81" i="9" s="1"/>
  <c r="G876" i="6"/>
  <c r="G177" i="6" s="1"/>
  <c r="J148" i="6"/>
  <c r="G126" i="14"/>
  <c r="H125" i="14" s="1"/>
  <c r="B343" i="6"/>
  <c r="B2060" i="6" s="1"/>
  <c r="D156" i="14"/>
  <c r="I165" i="14"/>
  <c r="C535" i="34"/>
  <c r="C517" i="34"/>
  <c r="G111" i="1"/>
  <c r="G114" i="1" s="1"/>
  <c r="G116" i="1" s="1"/>
  <c r="H65" i="15"/>
  <c r="H96" i="15" s="1"/>
  <c r="I3" i="54"/>
  <c r="X3" i="54" s="1"/>
  <c r="K65" i="15"/>
  <c r="K96" i="15" s="1"/>
  <c r="L3" i="54"/>
  <c r="AA3" i="54" s="1"/>
  <c r="M65" i="15"/>
  <c r="M96" i="15" s="1"/>
  <c r="N3" i="54"/>
  <c r="AC3" i="54" s="1"/>
  <c r="B65" i="15"/>
  <c r="B96" i="15" s="1"/>
  <c r="B3" i="54"/>
  <c r="S3" i="54" s="1"/>
  <c r="E65" i="15"/>
  <c r="E96" i="15" s="1"/>
  <c r="G3" i="54"/>
  <c r="V3" i="54" s="1"/>
  <c r="A65" i="15"/>
  <c r="A96" i="15" s="1"/>
  <c r="A3" i="54"/>
  <c r="C65" i="15"/>
  <c r="C96" i="15" s="1"/>
  <c r="E3" i="54"/>
  <c r="T3" i="54" s="1"/>
  <c r="L65" i="15"/>
  <c r="L96" i="15" s="1"/>
  <c r="M3" i="54"/>
  <c r="AB3" i="54" s="1"/>
  <c r="G65" i="15"/>
  <c r="G96" i="15" s="1"/>
  <c r="H3" i="54"/>
  <c r="W3" i="54" s="1"/>
  <c r="J65" i="15"/>
  <c r="J96" i="15" s="1"/>
  <c r="K3" i="54"/>
  <c r="Z3" i="54" s="1"/>
  <c r="I65" i="15"/>
  <c r="I96" i="15" s="1"/>
  <c r="J3" i="54"/>
  <c r="Y3" i="54" s="1"/>
  <c r="N103" i="1"/>
  <c r="K105" i="1"/>
  <c r="L98" i="1"/>
  <c r="H84" i="12"/>
  <c r="K79" i="10" s="1"/>
  <c r="M79" i="10" s="1"/>
  <c r="K1440" i="6"/>
  <c r="K1412" i="6"/>
  <c r="K422" i="4"/>
  <c r="K1445" i="6"/>
  <c r="K845" i="6"/>
  <c r="M1028" i="6"/>
  <c r="J117" i="9"/>
  <c r="K334" i="8"/>
  <c r="K236" i="8"/>
  <c r="K296" i="8"/>
  <c r="G122" i="13"/>
  <c r="U31" i="42"/>
  <c r="G31" i="42" s="1"/>
  <c r="H214" i="15"/>
  <c r="H159" i="15" s="1"/>
  <c r="K190" i="8"/>
  <c r="K847" i="6"/>
  <c r="K1442" i="6"/>
  <c r="K1160" i="6"/>
  <c r="K1415" i="6"/>
  <c r="K531" i="4"/>
  <c r="K328" i="8"/>
  <c r="I746" i="34"/>
  <c r="H750" i="34"/>
  <c r="K908" i="6"/>
  <c r="K460" i="4"/>
  <c r="J920" i="7"/>
  <c r="I367" i="7"/>
  <c r="J922" i="7"/>
  <c r="K922" i="7" s="1"/>
  <c r="K490" i="4"/>
  <c r="J107" i="4"/>
  <c r="I742" i="34"/>
  <c r="J1002" i="7"/>
  <c r="J1225" i="7" s="1"/>
  <c r="J373" i="7"/>
  <c r="J397" i="7" s="1"/>
  <c r="J43" i="7" s="1"/>
  <c r="G13" i="13" s="1"/>
  <c r="G49" i="13" s="1"/>
  <c r="K937" i="7"/>
  <c r="K846" i="6"/>
  <c r="K1443" i="6"/>
  <c r="K327" i="8"/>
  <c r="K1422" i="6"/>
  <c r="K844" i="6"/>
  <c r="I136" i="11"/>
  <c r="J136" i="11" s="1"/>
  <c r="K136" i="11" s="1"/>
  <c r="K297" i="8"/>
  <c r="I72" i="34"/>
  <c r="K849" i="6"/>
  <c r="K715" i="4"/>
  <c r="I18" i="17"/>
  <c r="J18" i="17" s="1"/>
  <c r="AW41" i="42"/>
  <c r="H106" i="15" s="1"/>
  <c r="H336" i="34" s="1"/>
  <c r="H569" i="34" s="1"/>
  <c r="K1345" i="6"/>
  <c r="K1812" i="6"/>
  <c r="K917" i="6"/>
  <c r="K1414" i="6"/>
  <c r="K1673" i="6"/>
  <c r="I738" i="34"/>
  <c r="K924" i="7"/>
  <c r="K923" i="7"/>
  <c r="L923" i="7" s="1"/>
  <c r="M923" i="7" s="1"/>
  <c r="N923" i="7" s="1"/>
  <c r="O923" i="7" s="1"/>
  <c r="P923" i="7" s="1"/>
  <c r="Q923" i="7" s="1"/>
  <c r="R923" i="7" s="1"/>
  <c r="K1353" i="6"/>
  <c r="K1413" i="6"/>
  <c r="K1719" i="6"/>
  <c r="J1754" i="6"/>
  <c r="J577" i="6"/>
  <c r="J604" i="6" s="1"/>
  <c r="J2074" i="6" s="1"/>
  <c r="J53" i="6" s="1"/>
  <c r="G192" i="15"/>
  <c r="T30" i="42"/>
  <c r="F30" i="42" s="1"/>
  <c r="F65" i="13"/>
  <c r="K966" i="7"/>
  <c r="K1444" i="6"/>
  <c r="K438" i="4"/>
  <c r="K74" i="4" s="1"/>
  <c r="K1420" i="6"/>
  <c r="K627" i="7"/>
  <c r="J630" i="7"/>
  <c r="J1222" i="7" s="1"/>
  <c r="J179" i="7"/>
  <c r="J182" i="7" s="1"/>
  <c r="J42" i="7" s="1"/>
  <c r="H66" i="13" s="1"/>
  <c r="K850" i="6"/>
  <c r="K1439" i="6"/>
  <c r="K1418" i="6"/>
  <c r="K455" i="4"/>
  <c r="J124" i="1"/>
  <c r="J64" i="20"/>
  <c r="K1847" i="6"/>
  <c r="K280" i="8"/>
  <c r="K977" i="7"/>
  <c r="K1386" i="6"/>
  <c r="K1421" i="6"/>
  <c r="J128" i="1"/>
  <c r="K921" i="7"/>
  <c r="K1441" i="6"/>
  <c r="K1417" i="6"/>
  <c r="K926" i="6"/>
  <c r="J126" i="1"/>
  <c r="K1240" i="6"/>
  <c r="K1419" i="6"/>
  <c r="K914" i="6"/>
  <c r="K848" i="6"/>
  <c r="J125" i="1"/>
  <c r="K1416" i="6"/>
  <c r="J417" i="6"/>
  <c r="B289" i="6"/>
  <c r="B64" i="6" s="1"/>
  <c r="A61" i="3" s="1"/>
  <c r="B47" i="40"/>
  <c r="B100" i="40" s="1"/>
  <c r="R40" i="42" s="1"/>
  <c r="D544" i="8"/>
  <c r="I421" i="45"/>
  <c r="J429" i="8"/>
  <c r="AW21" i="42" s="1"/>
  <c r="I69" i="8"/>
  <c r="C183" i="7"/>
  <c r="B130" i="42"/>
  <c r="D130" i="42" s="1"/>
  <c r="B364" i="42"/>
  <c r="I446" i="6"/>
  <c r="I649" i="6"/>
  <c r="D693" i="34"/>
  <c r="D694" i="34" s="1"/>
  <c r="D203" i="34" s="1"/>
  <c r="D204" i="34" s="1"/>
  <c r="E117" i="15"/>
  <c r="E108" i="15"/>
  <c r="J1329" i="6"/>
  <c r="J432" i="6" s="1"/>
  <c r="I432" i="6"/>
  <c r="J366" i="7"/>
  <c r="I366" i="7"/>
  <c r="D95" i="8"/>
  <c r="I395" i="7"/>
  <c r="I41" i="7" s="1"/>
  <c r="F12" i="13" s="1"/>
  <c r="D598" i="34"/>
  <c r="D600" i="34" s="1"/>
  <c r="D241" i="34" s="1"/>
  <c r="AF8" i="42"/>
  <c r="C71" i="15" s="1"/>
  <c r="D57" i="8"/>
  <c r="H57" i="8" s="1"/>
  <c r="D344" i="8"/>
  <c r="K1990" i="6"/>
  <c r="K711" i="6" s="1"/>
  <c r="A38" i="6"/>
  <c r="J1602" i="6"/>
  <c r="K1602" i="6" s="1"/>
  <c r="P20" i="26" s="1"/>
  <c r="J1848" i="6"/>
  <c r="H731" i="34" s="1"/>
  <c r="D364" i="42"/>
  <c r="C112" i="4"/>
  <c r="J519" i="4"/>
  <c r="K519" i="4" s="1"/>
  <c r="M313" i="4"/>
  <c r="J106" i="4"/>
  <c r="L47" i="40"/>
  <c r="N313" i="4"/>
  <c r="A324" i="4"/>
  <c r="J699" i="6"/>
  <c r="D52" i="6"/>
  <c r="G20" i="19"/>
  <c r="G39" i="19" s="1"/>
  <c r="E203" i="15"/>
  <c r="L20" i="19"/>
  <c r="A30" i="19" s="1"/>
  <c r="A82" i="19" s="1"/>
  <c r="B50" i="13"/>
  <c r="Q33" i="42" s="1"/>
  <c r="C33" i="42" s="1"/>
  <c r="I278" i="6"/>
  <c r="H421" i="45"/>
  <c r="G723" i="34"/>
  <c r="G767" i="34"/>
  <c r="J149" i="6"/>
  <c r="A1186" i="7"/>
  <c r="F68" i="13"/>
  <c r="F124" i="13" s="1"/>
  <c r="A68" i="13"/>
  <c r="A124" i="13" s="1"/>
  <c r="G130" i="42"/>
  <c r="I130" i="42" s="1"/>
  <c r="D183" i="7"/>
  <c r="J68" i="42"/>
  <c r="X68" i="42" s="1"/>
  <c r="AZ4" i="42"/>
  <c r="H68" i="42"/>
  <c r="V68" i="42" s="1"/>
  <c r="I68" i="42"/>
  <c r="W68" i="42" s="1"/>
  <c r="BA4" i="42"/>
  <c r="E68" i="42"/>
  <c r="S68" i="42" s="1"/>
  <c r="AT4" i="42"/>
  <c r="AU4" i="42"/>
  <c r="AY4" i="42"/>
  <c r="K68" i="42"/>
  <c r="Y68" i="42" s="1"/>
  <c r="F68" i="42"/>
  <c r="T68" i="42" s="1"/>
  <c r="G68" i="42"/>
  <c r="U68" i="42" s="1"/>
  <c r="L68" i="42"/>
  <c r="Z68" i="42" s="1"/>
  <c r="AW4" i="42"/>
  <c r="BB4" i="42"/>
  <c r="D68" i="42"/>
  <c r="R68" i="42" s="1"/>
  <c r="B70" i="15"/>
  <c r="B8" i="15" s="1"/>
  <c r="E318" i="15"/>
  <c r="F318" i="15" s="1"/>
  <c r="K440" i="8"/>
  <c r="G245" i="15"/>
  <c r="I548" i="8"/>
  <c r="G27" i="17"/>
  <c r="G12" i="17" s="1"/>
  <c r="G296" i="15" s="1"/>
  <c r="AV21" i="42"/>
  <c r="G116" i="15" s="1"/>
  <c r="B10" i="15"/>
  <c r="D109" i="11"/>
  <c r="E109" i="11" s="1"/>
  <c r="G109" i="11" s="1"/>
  <c r="H109" i="11" s="1"/>
  <c r="J109" i="11" s="1"/>
  <c r="K109" i="11" s="1"/>
  <c r="M109" i="11" s="1"/>
  <c r="N109" i="11" s="1"/>
  <c r="P109" i="11" s="1"/>
  <c r="Q109" i="11" s="1"/>
  <c r="S109" i="11" s="1"/>
  <c r="T109" i="11" s="1"/>
  <c r="V109" i="11" s="1"/>
  <c r="W109" i="11" s="1"/>
  <c r="Y109" i="11" s="1"/>
  <c r="Z109" i="11" s="1"/>
  <c r="AB109" i="11" s="1"/>
  <c r="AC109" i="11" s="1"/>
  <c r="AE109" i="11" s="1"/>
  <c r="AF109" i="11" s="1"/>
  <c r="AH109" i="11" s="1"/>
  <c r="AI109" i="11" s="1"/>
  <c r="AK109" i="11" s="1"/>
  <c r="K435" i="8"/>
  <c r="I20" i="19"/>
  <c r="A27" i="19" s="1"/>
  <c r="A67" i="19" s="1"/>
  <c r="J672" i="7"/>
  <c r="K672" i="7" s="1"/>
  <c r="J823" i="7"/>
  <c r="O16" i="26" s="1"/>
  <c r="I308" i="7"/>
  <c r="I109" i="8"/>
  <c r="G109" i="8"/>
  <c r="H109" i="8" s="1"/>
  <c r="A241" i="15"/>
  <c r="AD10" i="42"/>
  <c r="J199" i="8"/>
  <c r="K199" i="8" s="1"/>
  <c r="AH12" i="42"/>
  <c r="G44" i="8"/>
  <c r="H44" i="8" s="1"/>
  <c r="J233" i="8"/>
  <c r="C451" i="5"/>
  <c r="C477" i="5"/>
  <c r="I95" i="16"/>
  <c r="I81" i="16"/>
  <c r="H58" i="16"/>
  <c r="H70" i="16" s="1"/>
  <c r="H81" i="16"/>
  <c r="H95" i="16"/>
  <c r="M58" i="16"/>
  <c r="M70" i="16" s="1"/>
  <c r="M95" i="16"/>
  <c r="M81" i="16"/>
  <c r="L58" i="16"/>
  <c r="L70" i="16" s="1"/>
  <c r="L81" i="16"/>
  <c r="L95" i="16"/>
  <c r="J58" i="16"/>
  <c r="J70" i="16" s="1"/>
  <c r="J95" i="16"/>
  <c r="J81" i="16"/>
  <c r="F58" i="16"/>
  <c r="F70" i="16" s="1"/>
  <c r="F95" i="16"/>
  <c r="F81" i="16"/>
  <c r="G58" i="16"/>
  <c r="G70" i="16" s="1"/>
  <c r="G81" i="16"/>
  <c r="G95" i="16"/>
  <c r="A95" i="16"/>
  <c r="A81" i="16"/>
  <c r="K81" i="16"/>
  <c r="K95" i="16"/>
  <c r="B95" i="16"/>
  <c r="B81" i="16"/>
  <c r="C58" i="16"/>
  <c r="C70" i="16" s="1"/>
  <c r="C81" i="16"/>
  <c r="C95" i="16"/>
  <c r="AE47" i="42"/>
  <c r="G2073" i="6"/>
  <c r="F7" i="3" s="1"/>
  <c r="A47" i="40"/>
  <c r="A100" i="40" s="1"/>
  <c r="Q40" i="42" s="1"/>
  <c r="I47" i="40"/>
  <c r="K1026" i="6"/>
  <c r="K248" i="6" s="1"/>
  <c r="E421" i="45"/>
  <c r="G127" i="8"/>
  <c r="B127" i="8"/>
  <c r="D127" i="8"/>
  <c r="G421" i="45"/>
  <c r="C127" i="8"/>
  <c r="F421" i="45"/>
  <c r="J949" i="7"/>
  <c r="K949" i="7" s="1"/>
  <c r="G734" i="34"/>
  <c r="J970" i="6"/>
  <c r="J201" i="6" s="1"/>
  <c r="G724" i="34"/>
  <c r="H769" i="34"/>
  <c r="K1241" i="6"/>
  <c r="G727" i="34"/>
  <c r="F793" i="34"/>
  <c r="F799" i="34" s="1"/>
  <c r="F813" i="34"/>
  <c r="F258" i="3" s="1"/>
  <c r="T119" i="9"/>
  <c r="CL119" i="9"/>
  <c r="G39" i="45"/>
  <c r="G45" i="45" s="1"/>
  <c r="I20" i="8"/>
  <c r="J111" i="8"/>
  <c r="I65" i="8"/>
  <c r="B9" i="15"/>
  <c r="G280" i="6"/>
  <c r="H280" i="6" s="1"/>
  <c r="K1851" i="6"/>
  <c r="K929" i="7"/>
  <c r="P16" i="37"/>
  <c r="P14" i="37"/>
  <c r="P13" i="37"/>
  <c r="P21" i="37"/>
  <c r="J556" i="7"/>
  <c r="J650" i="6"/>
  <c r="I440" i="7"/>
  <c r="J371" i="7"/>
  <c r="J123" i="8"/>
  <c r="I216" i="7"/>
  <c r="I18" i="16"/>
  <c r="J1279" i="6"/>
  <c r="J405" i="6" s="1"/>
  <c r="I422" i="45"/>
  <c r="J131" i="8"/>
  <c r="K1710" i="6"/>
  <c r="K876" i="4"/>
  <c r="K454" i="4"/>
  <c r="K330" i="8"/>
  <c r="I20" i="12"/>
  <c r="K430" i="8"/>
  <c r="K1165" i="6"/>
  <c r="K305" i="6" s="1"/>
  <c r="K208" i="8"/>
  <c r="I26" i="12"/>
  <c r="J64" i="8"/>
  <c r="I22" i="12"/>
  <c r="K188" i="8"/>
  <c r="K692" i="4"/>
  <c r="I23" i="12"/>
  <c r="J430" i="6"/>
  <c r="K441" i="8"/>
  <c r="J41" i="55"/>
  <c r="K322" i="8"/>
  <c r="J67" i="8"/>
  <c r="I24" i="12"/>
  <c r="K439" i="8"/>
  <c r="K424" i="4"/>
  <c r="K337" i="8"/>
  <c r="I21" i="12"/>
  <c r="K930" i="4"/>
  <c r="K354" i="4" s="1"/>
  <c r="Y121" i="22"/>
  <c r="AV50" i="42"/>
  <c r="G503" i="34" s="1"/>
  <c r="G563" i="34" s="1"/>
  <c r="J129" i="8"/>
  <c r="J128" i="8"/>
  <c r="J122" i="8"/>
  <c r="J127" i="8"/>
  <c r="I127" i="8"/>
  <c r="J414" i="8"/>
  <c r="J120" i="8" s="1"/>
  <c r="G310" i="15"/>
  <c r="F106" i="34" s="1"/>
  <c r="F108" i="34" s="1"/>
  <c r="F458" i="34" s="1"/>
  <c r="F459" i="34" s="1"/>
  <c r="I289" i="45"/>
  <c r="J407" i="8"/>
  <c r="J118" i="8" s="1"/>
  <c r="C747" i="34"/>
  <c r="F747" i="34"/>
  <c r="D747" i="34"/>
  <c r="I57" i="8"/>
  <c r="A14" i="8"/>
  <c r="A601" i="8"/>
  <c r="A83" i="8"/>
  <c r="E743" i="34"/>
  <c r="I66" i="8"/>
  <c r="F743" i="34"/>
  <c r="B743" i="34"/>
  <c r="B749" i="34"/>
  <c r="B751" i="34" s="1"/>
  <c r="J300" i="8"/>
  <c r="J63" i="8" s="1"/>
  <c r="F125" i="22"/>
  <c r="F132" i="22" s="1"/>
  <c r="E116" i="15"/>
  <c r="D249" i="42" s="1"/>
  <c r="C233" i="3"/>
  <c r="U82" i="9"/>
  <c r="V3" i="22"/>
  <c r="Y3" i="21"/>
  <c r="B121" i="16"/>
  <c r="B251" i="15"/>
  <c r="C84" i="15"/>
  <c r="C162" i="42"/>
  <c r="C168" i="42" s="1"/>
  <c r="C115" i="15"/>
  <c r="F115" i="15" s="1"/>
  <c r="D162" i="42"/>
  <c r="D168" i="42" s="1"/>
  <c r="C101" i="15"/>
  <c r="D151" i="42"/>
  <c r="C191" i="42"/>
  <c r="R81" i="42"/>
  <c r="B163" i="42"/>
  <c r="R70" i="42"/>
  <c r="B152" i="42"/>
  <c r="I332" i="4"/>
  <c r="J927" i="4"/>
  <c r="J351" i="4" s="1"/>
  <c r="J926" i="4"/>
  <c r="K926" i="4" s="1"/>
  <c r="K350" i="4" s="1"/>
  <c r="J47" i="40"/>
  <c r="F770" i="34"/>
  <c r="J338" i="6"/>
  <c r="G380" i="6"/>
  <c r="H380" i="6" s="1"/>
  <c r="J429" i="6"/>
  <c r="D341" i="6"/>
  <c r="J1278" i="6"/>
  <c r="I324" i="6"/>
  <c r="K651" i="4"/>
  <c r="K946" i="7"/>
  <c r="K680" i="7"/>
  <c r="K1160" i="7"/>
  <c r="K772" i="6"/>
  <c r="K888" i="6"/>
  <c r="K1132" i="7"/>
  <c r="K890" i="6"/>
  <c r="K904" i="6"/>
  <c r="G98" i="42"/>
  <c r="K891" i="6"/>
  <c r="K1129" i="7"/>
  <c r="K1616" i="6"/>
  <c r="K1114" i="7"/>
  <c r="I320" i="5"/>
  <c r="I322" i="5" s="1"/>
  <c r="I332" i="5" s="1"/>
  <c r="G116" i="42"/>
  <c r="B42" i="6"/>
  <c r="K1972" i="6"/>
  <c r="L1972" i="6" s="1"/>
  <c r="G122" i="42"/>
  <c r="G108" i="42"/>
  <c r="D10" i="5"/>
  <c r="K100" i="48" s="1"/>
  <c r="G109" i="42"/>
  <c r="I106" i="42"/>
  <c r="D19" i="5"/>
  <c r="J100" i="48" s="1"/>
  <c r="H109" i="42"/>
  <c r="I496" i="5"/>
  <c r="P107" i="42"/>
  <c r="H107" i="42"/>
  <c r="G132" i="42"/>
  <c r="I132" i="42" s="1"/>
  <c r="H128" i="42"/>
  <c r="G7" i="7"/>
  <c r="K128" i="42"/>
  <c r="I129" i="42"/>
  <c r="H115" i="42"/>
  <c r="J1989" i="6"/>
  <c r="F21" i="40"/>
  <c r="I876" i="6" s="1"/>
  <c r="J120" i="7"/>
  <c r="J122" i="7" s="1"/>
  <c r="J8" i="7" s="1"/>
  <c r="I350" i="7"/>
  <c r="J1021" i="7"/>
  <c r="J350" i="7" s="1"/>
  <c r="J250" i="7"/>
  <c r="J252" i="7" s="1"/>
  <c r="J11" i="7" s="1"/>
  <c r="G206" i="7"/>
  <c r="H206" i="7" s="1"/>
  <c r="J352" i="7"/>
  <c r="U81" i="9"/>
  <c r="K801" i="7"/>
  <c r="K449" i="4"/>
  <c r="K909" i="4"/>
  <c r="K908" i="4"/>
  <c r="K1331" i="6"/>
  <c r="K574" i="4"/>
  <c r="K310" i="5"/>
  <c r="K290" i="5"/>
  <c r="K682" i="4"/>
  <c r="K904" i="7"/>
  <c r="K864" i="4"/>
  <c r="K17" i="27"/>
  <c r="K283" i="5"/>
  <c r="P22" i="37"/>
  <c r="K563" i="4"/>
  <c r="K646" i="4"/>
  <c r="K618" i="7"/>
  <c r="K571" i="4"/>
  <c r="K605" i="7"/>
  <c r="K1246" i="6"/>
  <c r="K573" i="7"/>
  <c r="K254" i="8"/>
  <c r="K1791" i="6"/>
  <c r="K1810" i="6"/>
  <c r="K814" i="4"/>
  <c r="H716" i="34"/>
  <c r="K523" i="4"/>
  <c r="K40" i="27"/>
  <c r="K1987" i="6"/>
  <c r="P20" i="37"/>
  <c r="K647" i="4"/>
  <c r="K566" i="4"/>
  <c r="K1895" i="6"/>
  <c r="K865" i="4"/>
  <c r="K905" i="4"/>
  <c r="K897" i="4"/>
  <c r="K762" i="6"/>
  <c r="K611" i="7"/>
  <c r="G771" i="34"/>
  <c r="I152" i="11"/>
  <c r="J152" i="11" s="1"/>
  <c r="K152" i="11" s="1"/>
  <c r="K1604" i="6"/>
  <c r="K572" i="4"/>
  <c r="K439" i="5"/>
  <c r="K340" i="5"/>
  <c r="K438" i="5"/>
  <c r="K1031" i="7"/>
  <c r="S7" i="42"/>
  <c r="E39" i="15" s="1"/>
  <c r="K793" i="6"/>
  <c r="K905" i="7"/>
  <c r="K866" i="4"/>
  <c r="K1667" i="6"/>
  <c r="K815" i="4"/>
  <c r="G316" i="15"/>
  <c r="E316" i="15"/>
  <c r="C316" i="15"/>
  <c r="C267" i="15"/>
  <c r="L286" i="15"/>
  <c r="A286" i="15"/>
  <c r="M286" i="15"/>
  <c r="J817" i="7"/>
  <c r="K817" i="7" s="1"/>
  <c r="P19" i="26" s="1"/>
  <c r="I45" i="8"/>
  <c r="C178" i="6"/>
  <c r="D947" i="6"/>
  <c r="D178" i="6"/>
  <c r="B178" i="6"/>
  <c r="B65" i="6" s="1"/>
  <c r="A69" i="3" s="1"/>
  <c r="A193" i="15"/>
  <c r="A217" i="15" s="1"/>
  <c r="J1282" i="6"/>
  <c r="J407" i="6" s="1"/>
  <c r="D15" i="6"/>
  <c r="I162" i="6"/>
  <c r="I168" i="6" s="1"/>
  <c r="K102" i="6"/>
  <c r="G153" i="4"/>
  <c r="H153" i="4" s="1"/>
  <c r="B544" i="8"/>
  <c r="B546" i="8" s="1"/>
  <c r="B550" i="8" s="1"/>
  <c r="C97" i="42"/>
  <c r="D97" i="42" s="1"/>
  <c r="B1173" i="7"/>
  <c r="B1176" i="7" s="1"/>
  <c r="I285" i="4"/>
  <c r="J925" i="4"/>
  <c r="J349" i="4" s="1"/>
  <c r="J72" i="4"/>
  <c r="I423" i="45"/>
  <c r="G773" i="34"/>
  <c r="J924" i="4"/>
  <c r="J348" i="4" s="1"/>
  <c r="H292" i="45"/>
  <c r="H295" i="45" s="1"/>
  <c r="H305" i="45" s="1"/>
  <c r="H306" i="45" s="1"/>
  <c r="G324" i="4"/>
  <c r="G313" i="4"/>
  <c r="F119" i="13"/>
  <c r="C200" i="34"/>
  <c r="C201" i="34" s="1"/>
  <c r="C792" i="34"/>
  <c r="C803" i="34" s="1"/>
  <c r="P19" i="42"/>
  <c r="I130" i="5"/>
  <c r="J353" i="5"/>
  <c r="J126" i="5" s="1"/>
  <c r="G72" i="1"/>
  <c r="H63" i="1"/>
  <c r="G392" i="34"/>
  <c r="G509" i="34" s="1"/>
  <c r="G569" i="34"/>
  <c r="CC60" i="21"/>
  <c r="AB60" i="21"/>
  <c r="J1359" i="6"/>
  <c r="I1365" i="6"/>
  <c r="I451" i="6"/>
  <c r="I456" i="6" s="1"/>
  <c r="K951" i="7"/>
  <c r="CC66" i="21"/>
  <c r="I428" i="45"/>
  <c r="I430" i="45" s="1"/>
  <c r="K675" i="4"/>
  <c r="K351" i="5"/>
  <c r="K452" i="8"/>
  <c r="K1280" i="6"/>
  <c r="I1364" i="6"/>
  <c r="I450" i="6"/>
  <c r="I455" i="6" s="1"/>
  <c r="J809" i="7"/>
  <c r="J305" i="7" s="1"/>
  <c r="N17" i="26"/>
  <c r="H68" i="21"/>
  <c r="AB64" i="21"/>
  <c r="CC64" i="21"/>
  <c r="J1066" i="6"/>
  <c r="I273" i="6"/>
  <c r="I1072" i="6"/>
  <c r="K746" i="7"/>
  <c r="K1857" i="6"/>
  <c r="K724" i="7"/>
  <c r="K350" i="5"/>
  <c r="J1623" i="6"/>
  <c r="I504" i="6"/>
  <c r="CD90" i="22"/>
  <c r="AC90" i="22"/>
  <c r="I705" i="34"/>
  <c r="I869" i="6"/>
  <c r="H704" i="34"/>
  <c r="G706" i="34"/>
  <c r="G211" i="34" s="1"/>
  <c r="G823" i="34" s="1"/>
  <c r="J998" i="6"/>
  <c r="I216" i="6"/>
  <c r="I222" i="6" s="1"/>
  <c r="I1004" i="6"/>
  <c r="K1896" i="6"/>
  <c r="F698" i="34"/>
  <c r="K831" i="6"/>
  <c r="E737" i="34"/>
  <c r="F737" i="34"/>
  <c r="F739" i="34" s="1"/>
  <c r="F215" i="34" s="1"/>
  <c r="J1169" i="7"/>
  <c r="I1175" i="7"/>
  <c r="I1223" i="7" s="1"/>
  <c r="I452" i="7"/>
  <c r="I458" i="7" s="1"/>
  <c r="I45" i="7" s="1"/>
  <c r="J260" i="6"/>
  <c r="I1221" i="6"/>
  <c r="I366" i="6" s="1"/>
  <c r="K1330" i="6"/>
  <c r="N21" i="26"/>
  <c r="J267" i="8"/>
  <c r="A25" i="5"/>
  <c r="C26" i="5"/>
  <c r="B26" i="5"/>
  <c r="C352" i="6"/>
  <c r="J798" i="7"/>
  <c r="O22" i="26" s="1"/>
  <c r="N22" i="26"/>
  <c r="J807" i="7"/>
  <c r="J302" i="7" s="1"/>
  <c r="N23" i="26"/>
  <c r="B28" i="5"/>
  <c r="C32" i="7"/>
  <c r="B34" i="7"/>
  <c r="C35" i="7"/>
  <c r="B38" i="7"/>
  <c r="A38" i="7"/>
  <c r="C39" i="6"/>
  <c r="B27" i="5"/>
  <c r="B324" i="4"/>
  <c r="C40" i="6"/>
  <c r="B46" i="6"/>
  <c r="C43" i="6"/>
  <c r="B40" i="6"/>
  <c r="B43" i="6"/>
  <c r="B38" i="6"/>
  <c r="B41" i="6"/>
  <c r="B45" i="6"/>
  <c r="B47" i="6"/>
  <c r="J309" i="6"/>
  <c r="H765" i="34"/>
  <c r="I309" i="6"/>
  <c r="G765" i="34"/>
  <c r="I409" i="6"/>
  <c r="G768" i="34"/>
  <c r="E766" i="34"/>
  <c r="B55" i="7"/>
  <c r="A67" i="3" s="1"/>
  <c r="H772" i="34"/>
  <c r="G772" i="34"/>
  <c r="B200" i="3"/>
  <c r="AU50" i="42"/>
  <c r="F503" i="34" s="1"/>
  <c r="F563" i="34" s="1"/>
  <c r="F112" i="17"/>
  <c r="E310" i="15"/>
  <c r="C112" i="17"/>
  <c r="C310" i="15"/>
  <c r="AT50" i="42"/>
  <c r="G28" i="12"/>
  <c r="F57" i="13" s="1"/>
  <c r="A145" i="8"/>
  <c r="G423" i="45"/>
  <c r="F423" i="45"/>
  <c r="C122" i="8"/>
  <c r="G107" i="8"/>
  <c r="H107" i="8" s="1"/>
  <c r="E292" i="45"/>
  <c r="E295" i="45" s="1"/>
  <c r="E305" i="45" s="1"/>
  <c r="E306" i="45" s="1"/>
  <c r="E307" i="45" s="1"/>
  <c r="G292" i="45"/>
  <c r="G295" i="45" s="1"/>
  <c r="G305" i="45" s="1"/>
  <c r="G306" i="45" s="1"/>
  <c r="A85" i="15"/>
  <c r="F292" i="45"/>
  <c r="F295" i="45" s="1"/>
  <c r="F305" i="45" s="1"/>
  <c r="F306" i="45" s="1"/>
  <c r="A344" i="8"/>
  <c r="A346" i="8" s="1"/>
  <c r="A349" i="8" s="1"/>
  <c r="A358" i="8" s="1"/>
  <c r="K185" i="8"/>
  <c r="D43" i="8"/>
  <c r="AF7" i="42" s="1"/>
  <c r="C151" i="42" s="1"/>
  <c r="B113" i="15"/>
  <c r="K257" i="8"/>
  <c r="K58" i="8" s="1"/>
  <c r="J338" i="8"/>
  <c r="H86" i="17"/>
  <c r="H89" i="17" s="1"/>
  <c r="I56" i="8"/>
  <c r="C50" i="8"/>
  <c r="J325" i="8"/>
  <c r="J68" i="8" s="1"/>
  <c r="J313" i="8"/>
  <c r="K313" i="8" s="1"/>
  <c r="D609" i="34"/>
  <c r="D610" i="34" s="1"/>
  <c r="D612" i="34" s="1"/>
  <c r="D243" i="34" s="1"/>
  <c r="C7" i="42"/>
  <c r="J216" i="8"/>
  <c r="G134" i="48"/>
  <c r="I362" i="4"/>
  <c r="K434" i="4"/>
  <c r="K71" i="4" s="1"/>
  <c r="C82" i="4"/>
  <c r="I268" i="4"/>
  <c r="J640" i="4"/>
  <c r="J187" i="4" s="1"/>
  <c r="A392" i="7"/>
  <c r="G151" i="48"/>
  <c r="G161" i="48"/>
  <c r="G147" i="48"/>
  <c r="G152" i="48"/>
  <c r="G158" i="48"/>
  <c r="G141" i="48"/>
  <c r="J1862" i="6"/>
  <c r="J654" i="6" s="1"/>
  <c r="I654" i="6"/>
  <c r="G142" i="48"/>
  <c r="G145" i="48"/>
  <c r="G156" i="48"/>
  <c r="G136" i="48"/>
  <c r="G143" i="48"/>
  <c r="G150" i="48"/>
  <c r="G157" i="48"/>
  <c r="G137" i="48"/>
  <c r="G144" i="48"/>
  <c r="G159" i="48"/>
  <c r="G135" i="48"/>
  <c r="G146" i="48"/>
  <c r="G153" i="48"/>
  <c r="G160" i="48"/>
  <c r="G140" i="48"/>
  <c r="B329" i="15"/>
  <c r="BD87" i="9"/>
  <c r="BD169" i="9" s="1"/>
  <c r="BN3" i="9"/>
  <c r="I148" i="48"/>
  <c r="I169" i="48"/>
  <c r="I154" i="48"/>
  <c r="I141" i="48"/>
  <c r="I135" i="48"/>
  <c r="I142" i="48"/>
  <c r="I160" i="48"/>
  <c r="I153" i="48"/>
  <c r="I136" i="48"/>
  <c r="I150" i="48"/>
  <c r="I157" i="48"/>
  <c r="I137" i="48"/>
  <c r="I144" i="48"/>
  <c r="D212" i="7"/>
  <c r="I158" i="48"/>
  <c r="I138" i="48"/>
  <c r="I149" i="48"/>
  <c r="I152" i="48"/>
  <c r="I159" i="48"/>
  <c r="I151" i="48"/>
  <c r="I134" i="48"/>
  <c r="I146" i="48"/>
  <c r="I161" i="48"/>
  <c r="I145" i="48"/>
  <c r="I156" i="48"/>
  <c r="I140" i="48"/>
  <c r="I147" i="48"/>
  <c r="I143" i="48"/>
  <c r="J671" i="7"/>
  <c r="K671" i="7" s="1"/>
  <c r="G666" i="7"/>
  <c r="H666" i="7" s="1"/>
  <c r="H84" i="17"/>
  <c r="I155" i="48"/>
  <c r="G155" i="48"/>
  <c r="G139" i="48"/>
  <c r="G154" i="48"/>
  <c r="G138" i="48"/>
  <c r="G149" i="48"/>
  <c r="G169" i="48"/>
  <c r="G148" i="48"/>
  <c r="D419" i="6"/>
  <c r="J1994" i="6"/>
  <c r="I495" i="6"/>
  <c r="J271" i="6"/>
  <c r="D12" i="42"/>
  <c r="D372" i="6"/>
  <c r="G763" i="34"/>
  <c r="J1137" i="6"/>
  <c r="B500" i="5"/>
  <c r="D101" i="5"/>
  <c r="D103" i="5" s="1"/>
  <c r="C152" i="5"/>
  <c r="C197" i="5"/>
  <c r="C199" i="5" s="1"/>
  <c r="D496" i="5"/>
  <c r="I99" i="5"/>
  <c r="Q107" i="42" s="1"/>
  <c r="C109" i="42"/>
  <c r="D109" i="42" s="1"/>
  <c r="G258" i="5"/>
  <c r="H258" i="5" s="1"/>
  <c r="C19" i="5"/>
  <c r="G64" i="5"/>
  <c r="H64" i="5" s="1"/>
  <c r="A466" i="5"/>
  <c r="I58" i="4"/>
  <c r="A105" i="15"/>
  <c r="J20" i="20"/>
  <c r="J23" i="20" s="1"/>
  <c r="N493" i="34"/>
  <c r="N549" i="34"/>
  <c r="N551" i="34" s="1"/>
  <c r="G49" i="19"/>
  <c r="N148" i="48"/>
  <c r="N136" i="48"/>
  <c r="N149" i="48"/>
  <c r="N139" i="48"/>
  <c r="N141" i="48"/>
  <c r="N134" i="48"/>
  <c r="N161" i="48"/>
  <c r="N160" i="48"/>
  <c r="N159" i="48"/>
  <c r="N154" i="48"/>
  <c r="N153" i="48"/>
  <c r="N152" i="48"/>
  <c r="N155" i="48"/>
  <c r="N138" i="48"/>
  <c r="Q44" i="42"/>
  <c r="C8" i="8"/>
  <c r="B6" i="17" s="1"/>
  <c r="B98" i="17" s="1"/>
  <c r="D24" i="7"/>
  <c r="D759" i="7"/>
  <c r="D8" i="7"/>
  <c r="K84" i="48" s="1"/>
  <c r="C538" i="7"/>
  <c r="D23" i="7"/>
  <c r="D10" i="7"/>
  <c r="C102" i="13"/>
  <c r="D136" i="7"/>
  <c r="D859" i="7"/>
  <c r="D579" i="7"/>
  <c r="D642" i="7"/>
  <c r="D20" i="7"/>
  <c r="D30" i="48"/>
  <c r="K169" i="48" s="1"/>
  <c r="P33" i="42"/>
  <c r="B33" i="42" s="1"/>
  <c r="I11" i="48"/>
  <c r="C116" i="42"/>
  <c r="D116" i="42" s="1"/>
  <c r="D164" i="6"/>
  <c r="D121" i="42"/>
  <c r="C2064" i="6"/>
  <c r="D1199" i="6"/>
  <c r="D1453" i="6"/>
  <c r="D8" i="6"/>
  <c r="D27" i="6"/>
  <c r="D1562" i="6"/>
  <c r="D10" i="6"/>
  <c r="C1073" i="6"/>
  <c r="D1498" i="6"/>
  <c r="I10" i="48"/>
  <c r="N157" i="48"/>
  <c r="N137" i="48"/>
  <c r="N144" i="48"/>
  <c r="N147" i="48"/>
  <c r="N146" i="48"/>
  <c r="C459" i="5"/>
  <c r="N145" i="48"/>
  <c r="N156" i="48"/>
  <c r="N140" i="48"/>
  <c r="N151" i="48"/>
  <c r="N135" i="48"/>
  <c r="N150" i="48"/>
  <c r="N169" i="48"/>
  <c r="D504" i="5"/>
  <c r="D7" i="5"/>
  <c r="K97" i="48" s="1"/>
  <c r="D260" i="5"/>
  <c r="D18" i="5"/>
  <c r="J99" i="48" s="1"/>
  <c r="N143" i="48"/>
  <c r="N158" i="48"/>
  <c r="D387" i="5"/>
  <c r="D322" i="5"/>
  <c r="D498" i="5"/>
  <c r="D8" i="5"/>
  <c r="C198" i="4"/>
  <c r="C732" i="4"/>
  <c r="C8" i="4"/>
  <c r="C601" i="4"/>
  <c r="H403" i="4"/>
  <c r="B316" i="15"/>
  <c r="G167" i="6"/>
  <c r="H167" i="6" s="1"/>
  <c r="C124" i="13"/>
  <c r="R33" i="42"/>
  <c r="D33" i="42" s="1"/>
  <c r="G168" i="6"/>
  <c r="H168" i="6" s="1"/>
  <c r="E379" i="34"/>
  <c r="E497" i="34" s="1"/>
  <c r="A1366" i="6"/>
  <c r="A1374" i="6" s="1"/>
  <c r="I868" i="6"/>
  <c r="I158" i="6"/>
  <c r="I108" i="6"/>
  <c r="A1215" i="7"/>
  <c r="A459" i="7"/>
  <c r="A470" i="7" s="1"/>
  <c r="I1174" i="7"/>
  <c r="I1221" i="7" s="1"/>
  <c r="G5" i="3" s="1"/>
  <c r="A1011" i="7"/>
  <c r="J451" i="7"/>
  <c r="J457" i="7" s="1"/>
  <c r="S8" i="42"/>
  <c r="C2058" i="6"/>
  <c r="C223" i="6"/>
  <c r="C234" i="6" s="1"/>
  <c r="D1005" i="6"/>
  <c r="L627" i="6"/>
  <c r="J755" i="6"/>
  <c r="K755" i="6" s="1"/>
  <c r="J1592" i="6"/>
  <c r="J488" i="6" s="1"/>
  <c r="G698" i="6"/>
  <c r="H698" i="6" s="1"/>
  <c r="K1978" i="6"/>
  <c r="K703" i="6" s="1"/>
  <c r="J703" i="6"/>
  <c r="J1585" i="6"/>
  <c r="J476" i="6" s="1"/>
  <c r="J1589" i="6"/>
  <c r="J485" i="6" s="1"/>
  <c r="J1583" i="6"/>
  <c r="J479" i="6" s="1"/>
  <c r="I132" i="6"/>
  <c r="P114" i="42" s="1"/>
  <c r="I190" i="6"/>
  <c r="M1023" i="6"/>
  <c r="G160" i="7"/>
  <c r="H160" i="7" s="1"/>
  <c r="B15" i="15"/>
  <c r="N99" i="37"/>
  <c r="K1348" i="6"/>
  <c r="K1384" i="6"/>
  <c r="K42" i="27"/>
  <c r="AV22" i="42"/>
  <c r="J541" i="8"/>
  <c r="I142" i="8"/>
  <c r="I149" i="8" s="1"/>
  <c r="AV34" i="42" s="1"/>
  <c r="J342" i="8"/>
  <c r="H27" i="16" s="1"/>
  <c r="H12" i="16" s="1"/>
  <c r="I79" i="8"/>
  <c r="AH22" i="42" s="1"/>
  <c r="I348" i="8"/>
  <c r="K820" i="7"/>
  <c r="K523" i="7"/>
  <c r="K698" i="4"/>
  <c r="K532" i="4"/>
  <c r="K416" i="4"/>
  <c r="K1679" i="6"/>
  <c r="K1612" i="6"/>
  <c r="G21" i="8"/>
  <c r="H21" i="8" s="1"/>
  <c r="AG22" i="42"/>
  <c r="G85" i="8"/>
  <c r="H85" i="8" s="1"/>
  <c r="P19" i="37"/>
  <c r="P17" i="37"/>
  <c r="P23" i="37"/>
  <c r="P18" i="37"/>
  <c r="K1936" i="6"/>
  <c r="G497" i="5"/>
  <c r="J103" i="6"/>
  <c r="J108" i="6" s="1"/>
  <c r="O15" i="37"/>
  <c r="J372" i="7"/>
  <c r="I88" i="6"/>
  <c r="G178" i="5"/>
  <c r="H178" i="5" s="1"/>
  <c r="I659" i="7"/>
  <c r="J659" i="7" s="1"/>
  <c r="K659" i="7" s="1"/>
  <c r="G320" i="5"/>
  <c r="H320" i="5" s="1"/>
  <c r="I372" i="7"/>
  <c r="G121" i="16"/>
  <c r="I119" i="17"/>
  <c r="K958" i="6"/>
  <c r="K193" i="6" s="1"/>
  <c r="AR10" i="42"/>
  <c r="AV33" i="37"/>
  <c r="AV30" i="37"/>
  <c r="AV32" i="37"/>
  <c r="AV29" i="37"/>
  <c r="J347" i="8"/>
  <c r="I84" i="8"/>
  <c r="B11" i="42"/>
  <c r="B72" i="42" s="1"/>
  <c r="J583" i="8"/>
  <c r="J141" i="8"/>
  <c r="H25" i="17" s="1"/>
  <c r="H10" i="17" s="1"/>
  <c r="B120" i="17"/>
  <c r="K436" i="8"/>
  <c r="A316" i="15"/>
  <c r="G44" i="16"/>
  <c r="G77" i="3" s="1"/>
  <c r="G78" i="3" s="1"/>
  <c r="AD52" i="42"/>
  <c r="B70" i="16"/>
  <c r="A70" i="16"/>
  <c r="K84" i="17"/>
  <c r="K58" i="16"/>
  <c r="I84" i="17"/>
  <c r="I58" i="16"/>
  <c r="C259" i="15"/>
  <c r="C113" i="16"/>
  <c r="A100" i="16"/>
  <c r="F105" i="16"/>
  <c r="B300" i="15"/>
  <c r="B119" i="17"/>
  <c r="I301" i="15"/>
  <c r="G252" i="15"/>
  <c r="AF29" i="42"/>
  <c r="E558" i="34"/>
  <c r="E693" i="34" s="1"/>
  <c r="B115" i="15"/>
  <c r="E597" i="34"/>
  <c r="C11" i="42"/>
  <c r="B74" i="15"/>
  <c r="I77" i="6"/>
  <c r="K912" i="4"/>
  <c r="K1385" i="6"/>
  <c r="K759" i="6"/>
  <c r="K383" i="4"/>
  <c r="K447" i="4" s="1"/>
  <c r="G203" i="15"/>
  <c r="G148" i="15" s="1"/>
  <c r="J1608" i="6"/>
  <c r="I1100" i="6"/>
  <c r="J426" i="6"/>
  <c r="J392" i="4"/>
  <c r="J59" i="4" s="1"/>
  <c r="T33" i="42"/>
  <c r="F33" i="42" s="1"/>
  <c r="E573" i="34"/>
  <c r="AT29" i="42"/>
  <c r="G573" i="34"/>
  <c r="G699" i="34" s="1"/>
  <c r="AV29" i="42"/>
  <c r="F573" i="34"/>
  <c r="F699" i="34" s="1"/>
  <c r="AU29" i="42"/>
  <c r="D573" i="34"/>
  <c r="AS29" i="42"/>
  <c r="D563" i="34"/>
  <c r="D505" i="34"/>
  <c r="J194" i="4"/>
  <c r="J199" i="4" s="1"/>
  <c r="J723" i="4"/>
  <c r="K973" i="6"/>
  <c r="I50" i="34"/>
  <c r="I56" i="34"/>
  <c r="K1435" i="6"/>
  <c r="K1039" i="7"/>
  <c r="K675" i="7"/>
  <c r="K500" i="4"/>
  <c r="I105" i="34"/>
  <c r="J980" i="6"/>
  <c r="I206" i="6"/>
  <c r="K431" i="8"/>
  <c r="J600" i="4"/>
  <c r="J129" i="4"/>
  <c r="K1127" i="6"/>
  <c r="H439" i="34"/>
  <c r="K1436" i="6"/>
  <c r="K452" i="4"/>
  <c r="K1606" i="6"/>
  <c r="H412" i="34"/>
  <c r="I90" i="34"/>
  <c r="K451" i="4"/>
  <c r="K565" i="4"/>
  <c r="K522" i="7"/>
  <c r="I661" i="34"/>
  <c r="K934" i="7"/>
  <c r="K493" i="4"/>
  <c r="K489" i="4"/>
  <c r="I637" i="34"/>
  <c r="H605" i="34"/>
  <c r="H581" i="34" s="1"/>
  <c r="G607" i="34"/>
  <c r="I66" i="34"/>
  <c r="H17" i="34"/>
  <c r="G140" i="34"/>
  <c r="K425" i="4"/>
  <c r="K43" i="27"/>
  <c r="K971" i="6"/>
  <c r="H421" i="34"/>
  <c r="H14" i="34"/>
  <c r="G137" i="34"/>
  <c r="I48" i="34"/>
  <c r="K1878" i="6"/>
  <c r="K413" i="5"/>
  <c r="K1176" i="6"/>
  <c r="K487" i="4"/>
  <c r="K676" i="7"/>
  <c r="I113" i="34"/>
  <c r="K756" i="6"/>
  <c r="K1032" i="7"/>
  <c r="K497" i="4"/>
  <c r="K492" i="4"/>
  <c r="K975" i="6"/>
  <c r="H426" i="34"/>
  <c r="H23" i="34"/>
  <c r="G146" i="34"/>
  <c r="I91" i="34"/>
  <c r="H7" i="34"/>
  <c r="G130" i="34"/>
  <c r="K1090" i="6"/>
  <c r="I649" i="34"/>
  <c r="I49" i="34"/>
  <c r="K1879" i="6"/>
  <c r="K513" i="4"/>
  <c r="K576" i="4"/>
  <c r="K974" i="6"/>
  <c r="I631" i="34"/>
  <c r="I107" i="34"/>
  <c r="I96" i="34"/>
  <c r="H8" i="34"/>
  <c r="G131" i="34"/>
  <c r="K714" i="4"/>
  <c r="J241" i="4"/>
  <c r="J246" i="4" s="1"/>
  <c r="J778" i="4"/>
  <c r="K1175" i="6"/>
  <c r="K579" i="4"/>
  <c r="I643" i="34"/>
  <c r="H15" i="34"/>
  <c r="G138" i="34"/>
  <c r="I97" i="34"/>
  <c r="K1666" i="6"/>
  <c r="K577" i="4"/>
  <c r="K623" i="4"/>
  <c r="I99" i="34"/>
  <c r="I55" i="34"/>
  <c r="K1099" i="6"/>
  <c r="K1036" i="7"/>
  <c r="K499" i="4"/>
  <c r="I50" i="1"/>
  <c r="I106" i="8"/>
  <c r="K972" i="6"/>
  <c r="K622" i="4"/>
  <c r="I111" i="34"/>
  <c r="H89" i="34"/>
  <c r="G406" i="34"/>
  <c r="H9" i="34"/>
  <c r="G132" i="34"/>
  <c r="K1712" i="6"/>
  <c r="K453" i="4"/>
  <c r="J131" i="4"/>
  <c r="K976" i="6"/>
  <c r="H454" i="34"/>
  <c r="I70" i="34"/>
  <c r="I64" i="34"/>
  <c r="K1033" i="7"/>
  <c r="J130" i="4"/>
  <c r="K488" i="4"/>
  <c r="I136" i="4"/>
  <c r="K578" i="4"/>
  <c r="K969" i="6"/>
  <c r="K624" i="4"/>
  <c r="I120" i="34"/>
  <c r="I58" i="34"/>
  <c r="K414" i="5"/>
  <c r="J938" i="4"/>
  <c r="J357" i="4"/>
  <c r="K498" i="4"/>
  <c r="H427" i="34"/>
  <c r="I79" i="34"/>
  <c r="K436" i="4"/>
  <c r="K73" i="4" s="1"/>
  <c r="K41" i="27"/>
  <c r="J1089" i="6"/>
  <c r="I302" i="6"/>
  <c r="I105" i="4"/>
  <c r="J654" i="7"/>
  <c r="AS3" i="37"/>
  <c r="AS13" i="37"/>
  <c r="AS47" i="37"/>
  <c r="K2" i="37"/>
  <c r="L2010" i="6"/>
  <c r="C193" i="15"/>
  <c r="I639" i="6"/>
  <c r="J1611" i="6"/>
  <c r="K1611" i="6" s="1"/>
  <c r="E59" i="34"/>
  <c r="D438" i="34"/>
  <c r="H577" i="34"/>
  <c r="H627" i="34" s="1"/>
  <c r="H514" i="34"/>
  <c r="E577" i="34"/>
  <c r="E671" i="34" s="1"/>
  <c r="E755" i="34" s="1"/>
  <c r="E787" i="34" s="1"/>
  <c r="E514" i="34"/>
  <c r="K577" i="34"/>
  <c r="K627" i="34" s="1"/>
  <c r="K514" i="34"/>
  <c r="D577" i="34"/>
  <c r="D671" i="34" s="1"/>
  <c r="D755" i="34" s="1"/>
  <c r="D787" i="34" s="1"/>
  <c r="D514" i="34"/>
  <c r="I577" i="34"/>
  <c r="I627" i="34" s="1"/>
  <c r="I514" i="34"/>
  <c r="F577" i="34"/>
  <c r="F627" i="34" s="1"/>
  <c r="F514" i="34"/>
  <c r="M577" i="34"/>
  <c r="M627" i="34" s="1"/>
  <c r="M514" i="34"/>
  <c r="L577" i="34"/>
  <c r="L627" i="34" s="1"/>
  <c r="L514" i="34"/>
  <c r="G577" i="34"/>
  <c r="G627" i="34" s="1"/>
  <c r="G514" i="34"/>
  <c r="J577" i="34"/>
  <c r="J671" i="34" s="1"/>
  <c r="J755" i="34" s="1"/>
  <c r="J787" i="34" s="1"/>
  <c r="J514" i="34"/>
  <c r="C577" i="34"/>
  <c r="C627" i="34" s="1"/>
  <c r="C514" i="34"/>
  <c r="F161" i="34"/>
  <c r="G161" i="34"/>
  <c r="H38" i="34"/>
  <c r="H161" i="34" s="1"/>
  <c r="E22" i="13"/>
  <c r="E103" i="13"/>
  <c r="N55" i="1"/>
  <c r="M288" i="3" s="1"/>
  <c r="F583" i="34"/>
  <c r="H25" i="34"/>
  <c r="H148" i="34" s="1"/>
  <c r="H31" i="34"/>
  <c r="G154" i="34"/>
  <c r="I29" i="34"/>
  <c r="H152" i="34"/>
  <c r="D98" i="14"/>
  <c r="C30" i="34"/>
  <c r="D197" i="5"/>
  <c r="C481" i="34"/>
  <c r="G583" i="34"/>
  <c r="E119" i="13"/>
  <c r="J239" i="8"/>
  <c r="D220" i="6"/>
  <c r="I1033" i="6"/>
  <c r="G193" i="15"/>
  <c r="G54" i="6"/>
  <c r="H54" i="6" s="1"/>
  <c r="A12" i="13"/>
  <c r="C71" i="42"/>
  <c r="C19" i="4"/>
  <c r="A19" i="4"/>
  <c r="A30" i="4" s="1"/>
  <c r="B19" i="4"/>
  <c r="J92" i="48"/>
  <c r="A9" i="4"/>
  <c r="A198" i="4"/>
  <c r="G243" i="4"/>
  <c r="H243" i="4" s="1"/>
  <c r="J1949" i="6"/>
  <c r="J599" i="6"/>
  <c r="J606" i="6" s="1"/>
  <c r="K598" i="6"/>
  <c r="K605" i="6" s="1"/>
  <c r="J598" i="6"/>
  <c r="J605" i="6" s="1"/>
  <c r="D16" i="5"/>
  <c r="J97" i="48" s="1"/>
  <c r="I221" i="6"/>
  <c r="J1098" i="6"/>
  <c r="J303" i="6" s="1"/>
  <c r="A203" i="15"/>
  <c r="J873" i="4"/>
  <c r="J127" i="7"/>
  <c r="J572" i="7"/>
  <c r="J132" i="7" s="1"/>
  <c r="I132" i="7"/>
  <c r="J565" i="7"/>
  <c r="J128" i="7" s="1"/>
  <c r="I128" i="7"/>
  <c r="J130" i="7"/>
  <c r="P43" i="42"/>
  <c r="B43" i="42" s="1"/>
  <c r="B31" i="8"/>
  <c r="D129" i="42"/>
  <c r="I66" i="1"/>
  <c r="I168" i="7"/>
  <c r="K1971" i="6"/>
  <c r="J1974" i="6"/>
  <c r="G9" i="58" s="1"/>
  <c r="K280" i="5"/>
  <c r="J76" i="1"/>
  <c r="K76" i="1" s="1"/>
  <c r="L76" i="1" s="1"/>
  <c r="M76" i="1" s="1"/>
  <c r="N76" i="1" s="1"/>
  <c r="O76" i="1" s="1"/>
  <c r="P76" i="1" s="1"/>
  <c r="I77" i="4"/>
  <c r="K785" i="7"/>
  <c r="K235" i="8"/>
  <c r="K686" i="4"/>
  <c r="K331" i="8"/>
  <c r="L644" i="6"/>
  <c r="G175" i="7"/>
  <c r="H175" i="7" s="1"/>
  <c r="F758" i="34"/>
  <c r="J1286" i="6"/>
  <c r="H768" i="34" s="1"/>
  <c r="I1168" i="6"/>
  <c r="H761" i="34"/>
  <c r="K1024" i="6"/>
  <c r="K246" i="6" s="1"/>
  <c r="J784" i="7"/>
  <c r="J292" i="7" s="1"/>
  <c r="I292" i="7"/>
  <c r="J780" i="7"/>
  <c r="J637" i="4"/>
  <c r="J183" i="4" s="1"/>
  <c r="I62" i="5"/>
  <c r="I64" i="5" s="1"/>
  <c r="Q106" i="42" s="1"/>
  <c r="I256" i="5"/>
  <c r="F33" i="48" s="1"/>
  <c r="J312" i="8"/>
  <c r="J136" i="5"/>
  <c r="J55" i="8"/>
  <c r="C681" i="34"/>
  <c r="K82" i="21"/>
  <c r="K85" i="21" s="1"/>
  <c r="K88" i="3" s="1"/>
  <c r="I28" i="1"/>
  <c r="I628" i="6"/>
  <c r="J646" i="6"/>
  <c r="G159" i="4"/>
  <c r="H159" i="4" s="1"/>
  <c r="G385" i="5"/>
  <c r="H385" i="5" s="1"/>
  <c r="M1776" i="6"/>
  <c r="M1834" i="6"/>
  <c r="M2006" i="6" s="1"/>
  <c r="L1782" i="6"/>
  <c r="K799" i="7"/>
  <c r="K984" i="7"/>
  <c r="J389" i="7"/>
  <c r="J1058" i="7"/>
  <c r="K1409" i="6"/>
  <c r="J957" i="7"/>
  <c r="L59" i="10" s="1"/>
  <c r="L173" i="8"/>
  <c r="K1426" i="6"/>
  <c r="K1041" i="7"/>
  <c r="J1911" i="6"/>
  <c r="I664" i="6"/>
  <c r="CO193" i="9"/>
  <c r="J1640" i="6"/>
  <c r="J522" i="6" s="1"/>
  <c r="AI193" i="9"/>
  <c r="L222" i="10" s="1"/>
  <c r="K825" i="7"/>
  <c r="K986" i="7"/>
  <c r="K907" i="6"/>
  <c r="K987" i="7"/>
  <c r="J1912" i="6"/>
  <c r="I665" i="6"/>
  <c r="K912" i="6"/>
  <c r="K985" i="7"/>
  <c r="J390" i="7"/>
  <c r="L8" i="1"/>
  <c r="L11" i="1" s="1"/>
  <c r="K915" i="6"/>
  <c r="K959" i="7"/>
  <c r="K521" i="4"/>
  <c r="K976" i="7"/>
  <c r="L608" i="7"/>
  <c r="K913" i="6"/>
  <c r="K1434" i="6"/>
  <c r="K510" i="7"/>
  <c r="K1437" i="6"/>
  <c r="K955" i="7"/>
  <c r="K1425" i="6"/>
  <c r="L369" i="8"/>
  <c r="K909" i="6"/>
  <c r="K967" i="7"/>
  <c r="K1438" i="6"/>
  <c r="J1727" i="6"/>
  <c r="J585" i="6" s="1"/>
  <c r="J1910" i="6"/>
  <c r="J663" i="6" s="1"/>
  <c r="D507" i="5"/>
  <c r="I153" i="4"/>
  <c r="G158" i="4"/>
  <c r="H158" i="4" s="1"/>
  <c r="J1909" i="6"/>
  <c r="I662" i="6"/>
  <c r="J898" i="6"/>
  <c r="J900" i="6"/>
  <c r="K900" i="6" s="1"/>
  <c r="J899" i="6"/>
  <c r="J147" i="6" s="1"/>
  <c r="J897" i="6"/>
  <c r="J145" i="6" s="1"/>
  <c r="I161" i="45"/>
  <c r="I211" i="6"/>
  <c r="G527" i="7"/>
  <c r="H527" i="7" s="1"/>
  <c r="CD9" i="21"/>
  <c r="K421" i="5"/>
  <c r="K179" i="8"/>
  <c r="K1038" i="7"/>
  <c r="K816" i="7"/>
  <c r="K519" i="7"/>
  <c r="K707" i="4"/>
  <c r="K533" i="4"/>
  <c r="K2005" i="6"/>
  <c r="K1479" i="6"/>
  <c r="K1334" i="6"/>
  <c r="K435" i="4"/>
  <c r="K223" i="5"/>
  <c r="K249" i="5"/>
  <c r="K1677" i="6"/>
  <c r="J887" i="6"/>
  <c r="K889" i="6"/>
  <c r="K925" i="6"/>
  <c r="K764" i="4"/>
  <c r="K886" i="7"/>
  <c r="K1158" i="7"/>
  <c r="K902" i="6"/>
  <c r="K921" i="6"/>
  <c r="K413" i="8"/>
  <c r="I87" i="17" s="1"/>
  <c r="K910" i="6"/>
  <c r="K442" i="5"/>
  <c r="K923" i="6"/>
  <c r="I153" i="6"/>
  <c r="K293" i="5"/>
  <c r="K406" i="5"/>
  <c r="K1030" i="7"/>
  <c r="K806" i="7"/>
  <c r="K507" i="7"/>
  <c r="K703" i="4"/>
  <c r="K511" i="4"/>
  <c r="K1986" i="6"/>
  <c r="K1670" i="6"/>
  <c r="K1483" i="6"/>
  <c r="K1185" i="6"/>
  <c r="K652" i="7"/>
  <c r="K125" i="8"/>
  <c r="K1157" i="7"/>
  <c r="K901" i="6"/>
  <c r="K895" i="6"/>
  <c r="K928" i="6"/>
  <c r="J1094" i="6"/>
  <c r="I312" i="6"/>
  <c r="K820" i="6"/>
  <c r="K412" i="8"/>
  <c r="J823" i="6"/>
  <c r="I130" i="6"/>
  <c r="K1152" i="7"/>
  <c r="K896" i="6"/>
  <c r="K802" i="7"/>
  <c r="K706" i="4"/>
  <c r="K529" i="4"/>
  <c r="K514" i="4"/>
  <c r="K1739" i="6"/>
  <c r="K1858" i="6"/>
  <c r="K421" i="4"/>
  <c r="K411" i="5"/>
  <c r="K175" i="5" s="1"/>
  <c r="H61" i="9"/>
  <c r="H63" i="9" s="1"/>
  <c r="H108" i="9"/>
  <c r="H174" i="9"/>
  <c r="CO174" i="9" s="1"/>
  <c r="H146" i="9"/>
  <c r="H177" i="9"/>
  <c r="H112" i="9"/>
  <c r="H29" i="9"/>
  <c r="J768" i="7" s="1"/>
  <c r="J877" i="6"/>
  <c r="H54" i="9"/>
  <c r="H111" i="9"/>
  <c r="H7" i="9"/>
  <c r="K1154" i="7"/>
  <c r="K832" i="6"/>
  <c r="K922" i="6"/>
  <c r="K933" i="7"/>
  <c r="K1174" i="6"/>
  <c r="K1159" i="7"/>
  <c r="K892" i="6"/>
  <c r="I155" i="6"/>
  <c r="K821" i="6"/>
  <c r="J1158" i="6"/>
  <c r="J311" i="6" s="1"/>
  <c r="J918" i="6"/>
  <c r="I154" i="6"/>
  <c r="K929" i="6"/>
  <c r="K894" i="6"/>
  <c r="K919" i="6"/>
  <c r="K1156" i="7"/>
  <c r="K893" i="6"/>
  <c r="K143" i="6" s="1"/>
  <c r="K927" i="6"/>
  <c r="K1655" i="6"/>
  <c r="I176" i="6"/>
  <c r="K1155" i="7"/>
  <c r="K887" i="7"/>
  <c r="K920" i="6"/>
  <c r="O50" i="37"/>
  <c r="P48" i="37" s="1"/>
  <c r="J1926" i="6"/>
  <c r="I668" i="6"/>
  <c r="J1918" i="6"/>
  <c r="J667" i="6" s="1"/>
  <c r="I667" i="6"/>
  <c r="J658" i="6"/>
  <c r="K1935" i="6"/>
  <c r="J1930" i="6"/>
  <c r="J669" i="6" s="1"/>
  <c r="I669" i="6"/>
  <c r="I631" i="6"/>
  <c r="J1728" i="6"/>
  <c r="J586" i="6" s="1"/>
  <c r="K1743" i="6"/>
  <c r="K594" i="6" s="1"/>
  <c r="J1738" i="6"/>
  <c r="J593" i="6" s="1"/>
  <c r="BR3" i="22"/>
  <c r="CE3" i="22" s="1"/>
  <c r="I78" i="22"/>
  <c r="I121" i="22" s="1"/>
  <c r="BO3" i="22"/>
  <c r="CB3" i="22" s="1"/>
  <c r="F78" i="22"/>
  <c r="F121" i="22" s="1"/>
  <c r="BQ3" i="22"/>
  <c r="CD3" i="22" s="1"/>
  <c r="H78" i="22"/>
  <c r="H121" i="22" s="1"/>
  <c r="BP3" i="22"/>
  <c r="CC3" i="22" s="1"/>
  <c r="G78" i="22"/>
  <c r="G121" i="22" s="1"/>
  <c r="BU3" i="22"/>
  <c r="CH3" i="22" s="1"/>
  <c r="L78" i="22"/>
  <c r="L121" i="22" s="1"/>
  <c r="BS3" i="22"/>
  <c r="CF3" i="22" s="1"/>
  <c r="J78" i="22"/>
  <c r="J121" i="22" s="1"/>
  <c r="BT3" i="22"/>
  <c r="CG3" i="22" s="1"/>
  <c r="K78" i="22"/>
  <c r="K121" i="22" s="1"/>
  <c r="BV3" i="22"/>
  <c r="CI3" i="22" s="1"/>
  <c r="M78" i="22"/>
  <c r="M121" i="22" s="1"/>
  <c r="B44" i="17"/>
  <c r="B81" i="3" s="1"/>
  <c r="B106" i="15"/>
  <c r="D336" i="34" s="1"/>
  <c r="I82" i="21"/>
  <c r="I85" i="21" s="1"/>
  <c r="I88" i="3" s="1"/>
  <c r="L1781" i="6"/>
  <c r="L630" i="6" s="1"/>
  <c r="C123" i="14"/>
  <c r="J775" i="6"/>
  <c r="J1121" i="6"/>
  <c r="J324" i="6" s="1"/>
  <c r="I413" i="6"/>
  <c r="I1392" i="6"/>
  <c r="I1558" i="6"/>
  <c r="I1560" i="6" s="1"/>
  <c r="I1562" i="6" s="1"/>
  <c r="K79" i="6"/>
  <c r="I207" i="6"/>
  <c r="I938" i="6"/>
  <c r="A1069" i="7"/>
  <c r="A180" i="6"/>
  <c r="A2037" i="6"/>
  <c r="C2057" i="6"/>
  <c r="I935" i="6"/>
  <c r="I937" i="6" s="1"/>
  <c r="I965" i="6"/>
  <c r="J981" i="7"/>
  <c r="I379" i="7"/>
  <c r="B81" i="13"/>
  <c r="A1213" i="7"/>
  <c r="G577" i="7"/>
  <c r="H577" i="7" s="1"/>
  <c r="J728" i="7"/>
  <c r="B456" i="7"/>
  <c r="C1209" i="7"/>
  <c r="J370" i="7"/>
  <c r="G629" i="7"/>
  <c r="H629" i="7" s="1"/>
  <c r="J305" i="5"/>
  <c r="J137" i="5"/>
  <c r="G148" i="5"/>
  <c r="H148" i="5" s="1"/>
  <c r="B21" i="5"/>
  <c r="C68" i="5"/>
  <c r="C465" i="5" s="1"/>
  <c r="C476" i="5"/>
  <c r="J758" i="4"/>
  <c r="J230" i="4" s="1"/>
  <c r="G865" i="6"/>
  <c r="H865" i="6" s="1"/>
  <c r="J827" i="6"/>
  <c r="K827" i="6" s="1"/>
  <c r="G132" i="6"/>
  <c r="H132" i="6" s="1"/>
  <c r="I164" i="45"/>
  <c r="I201" i="6"/>
  <c r="I86" i="6"/>
  <c r="J987" i="6"/>
  <c r="K987" i="6" s="1"/>
  <c r="J789" i="6"/>
  <c r="K789" i="6" s="1"/>
  <c r="J132" i="6"/>
  <c r="H937" i="6"/>
  <c r="J1003" i="6"/>
  <c r="I205" i="6"/>
  <c r="G164" i="6"/>
  <c r="B166" i="6"/>
  <c r="J774" i="6"/>
  <c r="J90" i="6" s="1"/>
  <c r="I1373" i="6"/>
  <c r="I465" i="6" s="1"/>
  <c r="G1197" i="6"/>
  <c r="H1197" i="6" s="1"/>
  <c r="I839" i="6"/>
  <c r="I138" i="6" s="1"/>
  <c r="I411" i="6"/>
  <c r="K1290" i="6"/>
  <c r="J978" i="6"/>
  <c r="J204" i="6" s="1"/>
  <c r="I204" i="6"/>
  <c r="J979" i="6"/>
  <c r="K979" i="6" s="1"/>
  <c r="G757" i="7"/>
  <c r="H757" i="7" s="1"/>
  <c r="I250" i="7"/>
  <c r="I252" i="7" s="1"/>
  <c r="G134" i="7"/>
  <c r="H134" i="7" s="1"/>
  <c r="I728" i="7"/>
  <c r="J889" i="7"/>
  <c r="K889" i="7" s="1"/>
  <c r="C144" i="15"/>
  <c r="I9" i="11"/>
  <c r="J9" i="11" s="1"/>
  <c r="K9" i="11" s="1"/>
  <c r="I78" i="4"/>
  <c r="J838" i="6"/>
  <c r="G89" i="6"/>
  <c r="H89" i="6" s="1"/>
  <c r="J423" i="45"/>
  <c r="J84" i="8"/>
  <c r="F134" i="22"/>
  <c r="C81" i="3"/>
  <c r="C82" i="3" s="1"/>
  <c r="J325" i="6"/>
  <c r="K431" i="6"/>
  <c r="J431" i="6"/>
  <c r="B1210" i="7"/>
  <c r="G94" i="7"/>
  <c r="C1208" i="7"/>
  <c r="J378" i="7"/>
  <c r="J171" i="7"/>
  <c r="H116" i="40"/>
  <c r="N89" i="10" s="1"/>
  <c r="L124" i="22"/>
  <c r="G937" i="4"/>
  <c r="G1451" i="6"/>
  <c r="H1451" i="6" s="1"/>
  <c r="G273" i="4"/>
  <c r="H273" i="4" s="1"/>
  <c r="U42" i="42"/>
  <c r="H210" i="15"/>
  <c r="G125" i="13"/>
  <c r="J866" i="7"/>
  <c r="J332" i="7" s="1"/>
  <c r="I292" i="4"/>
  <c r="E40" i="13"/>
  <c r="J763" i="4"/>
  <c r="J231" i="4" s="1"/>
  <c r="G157" i="4"/>
  <c r="H157" i="4" s="1"/>
  <c r="K904" i="4"/>
  <c r="K903" i="4"/>
  <c r="K902" i="4"/>
  <c r="K886" i="4"/>
  <c r="K901" i="4"/>
  <c r="B1948" i="6"/>
  <c r="B1950" i="6" s="1"/>
  <c r="B734" i="6"/>
  <c r="B736" i="6" s="1"/>
  <c r="I701" i="6"/>
  <c r="I263" i="6"/>
  <c r="G406" i="7"/>
  <c r="G55" i="7" s="1"/>
  <c r="I175" i="4"/>
  <c r="I415" i="6"/>
  <c r="H165" i="45"/>
  <c r="H169" i="45" s="1"/>
  <c r="H170" i="45" s="1"/>
  <c r="H171" i="45" s="1"/>
  <c r="G757" i="34"/>
  <c r="I1489" i="6"/>
  <c r="I1494" i="6" s="1"/>
  <c r="I1496" i="6" s="1"/>
  <c r="I1498" i="6" s="1"/>
  <c r="H220" i="10" s="1"/>
  <c r="J220" i="10" s="1"/>
  <c r="J1472" i="6"/>
  <c r="K1472" i="6" s="1"/>
  <c r="I95" i="6"/>
  <c r="I99" i="6"/>
  <c r="J1392" i="6"/>
  <c r="J1277" i="6"/>
  <c r="G419" i="6"/>
  <c r="G504" i="5"/>
  <c r="A81" i="13"/>
  <c r="B999" i="7"/>
  <c r="B1003" i="7" s="1"/>
  <c r="J481" i="7"/>
  <c r="J69" i="4"/>
  <c r="K418" i="4"/>
  <c r="G777" i="4"/>
  <c r="H777" i="4" s="1"/>
  <c r="J411" i="6"/>
  <c r="A678" i="6"/>
  <c r="A680" i="6" s="1"/>
  <c r="I634" i="6"/>
  <c r="G315" i="6"/>
  <c r="H315" i="6" s="1"/>
  <c r="G1496" i="6"/>
  <c r="H1496" i="6" s="1"/>
  <c r="I1292" i="6"/>
  <c r="G196" i="6"/>
  <c r="H196" i="6" s="1"/>
  <c r="J720" i="6"/>
  <c r="G512" i="6"/>
  <c r="H512" i="6" s="1"/>
  <c r="I54" i="7"/>
  <c r="G59" i="3" s="1"/>
  <c r="K760" i="4"/>
  <c r="J271" i="4"/>
  <c r="K827" i="4"/>
  <c r="J832" i="4"/>
  <c r="J286" i="4" s="1"/>
  <c r="J742" i="4"/>
  <c r="J221" i="4" s="1"/>
  <c r="I745" i="4"/>
  <c r="G759" i="34"/>
  <c r="K800" i="4"/>
  <c r="K813" i="4"/>
  <c r="J767" i="4"/>
  <c r="J232" i="4" s="1"/>
  <c r="K826" i="4"/>
  <c r="K799" i="4"/>
  <c r="K573" i="4"/>
  <c r="K1805" i="6"/>
  <c r="J808" i="4"/>
  <c r="J278" i="4" s="1"/>
  <c r="K818" i="4"/>
  <c r="K825" i="4"/>
  <c r="J753" i="4"/>
  <c r="J229" i="4" s="1"/>
  <c r="I775" i="4"/>
  <c r="K803" i="4"/>
  <c r="K755" i="4"/>
  <c r="K828" i="4"/>
  <c r="K875" i="4"/>
  <c r="I842" i="4"/>
  <c r="I978" i="4" s="1"/>
  <c r="G8" i="3" s="1"/>
  <c r="K810" i="4"/>
  <c r="K754" i="4"/>
  <c r="J285" i="4"/>
  <c r="K809" i="4"/>
  <c r="K830" i="4"/>
  <c r="K915" i="4"/>
  <c r="N7" i="1"/>
  <c r="I804" i="4"/>
  <c r="J268" i="4"/>
  <c r="K812" i="4"/>
  <c r="K829" i="4"/>
  <c r="K759" i="4"/>
  <c r="K811" i="4"/>
  <c r="J817" i="4"/>
  <c r="J279" i="4" s="1"/>
  <c r="K824" i="4"/>
  <c r="K833" i="4"/>
  <c r="J743" i="4"/>
  <c r="J222" i="4" s="1"/>
  <c r="K982" i="7"/>
  <c r="B678" i="6"/>
  <c r="B32" i="6" s="1"/>
  <c r="B48" i="6" s="1"/>
  <c r="G218" i="6"/>
  <c r="H218" i="6" s="1"/>
  <c r="G1136" i="6"/>
  <c r="H1136" i="6" s="1"/>
  <c r="J1120" i="6"/>
  <c r="J323" i="6" s="1"/>
  <c r="B277" i="6"/>
  <c r="I255" i="6"/>
  <c r="J655" i="6"/>
  <c r="J413" i="6"/>
  <c r="G1069" i="6"/>
  <c r="G1073" i="6" s="1"/>
  <c r="J207" i="6"/>
  <c r="J30" i="45"/>
  <c r="J653" i="6"/>
  <c r="I1195" i="6"/>
  <c r="J442" i="6"/>
  <c r="J446" i="6"/>
  <c r="J211" i="6"/>
  <c r="I823" i="6"/>
  <c r="A599" i="4"/>
  <c r="A601" i="4" s="1"/>
  <c r="A609" i="4" s="1"/>
  <c r="J870" i="4"/>
  <c r="C54" i="7"/>
  <c r="B59" i="3" s="1"/>
  <c r="G54" i="7"/>
  <c r="F59" i="3" s="1"/>
  <c r="D54" i="7"/>
  <c r="C59" i="3" s="1"/>
  <c r="H124" i="22"/>
  <c r="G656" i="4"/>
  <c r="H656" i="4" s="1"/>
  <c r="J290" i="7"/>
  <c r="K497" i="7"/>
  <c r="K87" i="7" s="1"/>
  <c r="I575" i="7"/>
  <c r="F23" i="48" s="1"/>
  <c r="C260" i="48" s="1"/>
  <c r="G195" i="5"/>
  <c r="H195" i="5" s="1"/>
  <c r="G335" i="4"/>
  <c r="H335" i="4" s="1"/>
  <c r="G154" i="4"/>
  <c r="H154" i="4" s="1"/>
  <c r="G64" i="12"/>
  <c r="H28" i="12"/>
  <c r="J475" i="4" s="1"/>
  <c r="C1009" i="4"/>
  <c r="G436" i="6"/>
  <c r="H436" i="6" s="1"/>
  <c r="B44" i="42"/>
  <c r="I94" i="1"/>
  <c r="J87" i="1"/>
  <c r="J219" i="7"/>
  <c r="K691" i="7"/>
  <c r="K563" i="7"/>
  <c r="K127" i="7" s="1"/>
  <c r="J420" i="7"/>
  <c r="J633" i="4"/>
  <c r="I654" i="4"/>
  <c r="J583" i="4"/>
  <c r="I121" i="4"/>
  <c r="I159" i="4" s="1"/>
  <c r="J650" i="4"/>
  <c r="I188" i="4"/>
  <c r="J1907" i="6"/>
  <c r="J660" i="6" s="1"/>
  <c r="J644" i="4"/>
  <c r="J186" i="4" s="1"/>
  <c r="I159" i="6"/>
  <c r="AD54" i="9"/>
  <c r="AE54" i="9" s="1"/>
  <c r="CN54" i="9"/>
  <c r="I1067" i="7"/>
  <c r="J862" i="4"/>
  <c r="I329" i="4"/>
  <c r="I881" i="4"/>
  <c r="P102" i="42" s="1"/>
  <c r="I174" i="7"/>
  <c r="I427" i="6"/>
  <c r="J492" i="7"/>
  <c r="I77" i="7"/>
  <c r="J645" i="6"/>
  <c r="J786" i="6"/>
  <c r="J94" i="6" s="1"/>
  <c r="I783" i="6"/>
  <c r="J764" i="6"/>
  <c r="K1984" i="6"/>
  <c r="K1408" i="6"/>
  <c r="K8" i="27"/>
  <c r="J20" i="27"/>
  <c r="C30" i="19"/>
  <c r="C29" i="19"/>
  <c r="C72" i="20"/>
  <c r="K15" i="1"/>
  <c r="C82" i="19" s="1"/>
  <c r="K25" i="27"/>
  <c r="J370" i="8"/>
  <c r="J381" i="8" s="1"/>
  <c r="J108" i="8" s="1"/>
  <c r="J174" i="8"/>
  <c r="J182" i="8" s="1"/>
  <c r="J46" i="8" s="1"/>
  <c r="AI11" i="42" s="1"/>
  <c r="J700" i="6"/>
  <c r="J626" i="4"/>
  <c r="J175" i="4" s="1"/>
  <c r="J347" i="4"/>
  <c r="J1784" i="6"/>
  <c r="I104" i="4"/>
  <c r="K850" i="7"/>
  <c r="K236" i="5"/>
  <c r="J54" i="5"/>
  <c r="H88" i="16"/>
  <c r="K219" i="8"/>
  <c r="K16" i="27"/>
  <c r="K396" i="8"/>
  <c r="K392" i="8"/>
  <c r="K49" i="27"/>
  <c r="J54" i="27"/>
  <c r="K218" i="8"/>
  <c r="H87" i="16"/>
  <c r="K430" i="5"/>
  <c r="K44" i="27"/>
  <c r="K32" i="27"/>
  <c r="K437" i="5"/>
  <c r="K428" i="5"/>
  <c r="K363" i="5"/>
  <c r="K345" i="5"/>
  <c r="K364" i="5"/>
  <c r="K1035" i="7"/>
  <c r="K852" i="7"/>
  <c r="K838" i="7"/>
  <c r="K819" i="7"/>
  <c r="K747" i="7"/>
  <c r="K509" i="7"/>
  <c r="K713" i="4"/>
  <c r="K693" i="4"/>
  <c r="K530" i="4"/>
  <c r="K512" i="4"/>
  <c r="K1985" i="6"/>
  <c r="K1669" i="6"/>
  <c r="K1484" i="6"/>
  <c r="K1189" i="6"/>
  <c r="K792" i="6"/>
  <c r="K1920" i="6"/>
  <c r="K1890" i="6"/>
  <c r="K1870" i="6"/>
  <c r="K1819" i="6"/>
  <c r="K1815" i="6"/>
  <c r="K211" i="8"/>
  <c r="K251" i="8"/>
  <c r="K433" i="8"/>
  <c r="K1865" i="6"/>
  <c r="K1653" i="6"/>
  <c r="K1243" i="6"/>
  <c r="K550" i="7"/>
  <c r="K948" i="7"/>
  <c r="K900" i="7"/>
  <c r="K835" i="6"/>
  <c r="K1932" i="6"/>
  <c r="K1891" i="6"/>
  <c r="K1875" i="6"/>
  <c r="K1846" i="6"/>
  <c r="K1808" i="6"/>
  <c r="K314" i="8"/>
  <c r="K245" i="8"/>
  <c r="K447" i="8"/>
  <c r="K1164" i="6"/>
  <c r="K551" i="7"/>
  <c r="K954" i="7"/>
  <c r="K893" i="7"/>
  <c r="K221" i="5"/>
  <c r="K244" i="5"/>
  <c r="K1146" i="7"/>
  <c r="K367" i="5"/>
  <c r="K1599" i="6"/>
  <c r="K194" i="6"/>
  <c r="K1931" i="6"/>
  <c r="K520" i="4"/>
  <c r="K431" i="5"/>
  <c r="K372" i="5"/>
  <c r="K352" i="5"/>
  <c r="K301" i="5"/>
  <c r="K224" i="5"/>
  <c r="K1034" i="7"/>
  <c r="K1040" i="7"/>
  <c r="K840" i="7"/>
  <c r="K821" i="7"/>
  <c r="K800" i="7"/>
  <c r="K735" i="7"/>
  <c r="K508" i="7"/>
  <c r="K705" i="4"/>
  <c r="K712" i="4"/>
  <c r="K540" i="4"/>
  <c r="K526" i="4"/>
  <c r="K1613" i="6"/>
  <c r="K1482" i="6"/>
  <c r="K1298" i="6"/>
  <c r="K779" i="6"/>
  <c r="K1922" i="6"/>
  <c r="K1892" i="6"/>
  <c r="K1872" i="6"/>
  <c r="K1863" i="6"/>
  <c r="K1821" i="6"/>
  <c r="K1809" i="6"/>
  <c r="K758" i="6"/>
  <c r="K549" i="7"/>
  <c r="K970" i="7"/>
  <c r="K1794" i="6"/>
  <c r="K851" i="6"/>
  <c r="K841" i="6"/>
  <c r="K1893" i="6"/>
  <c r="K1884" i="6"/>
  <c r="K1818" i="6"/>
  <c r="K1811" i="6"/>
  <c r="K279" i="8"/>
  <c r="K244" i="8"/>
  <c r="K1792" i="6"/>
  <c r="K726" i="7"/>
  <c r="K895" i="7"/>
  <c r="K286" i="5"/>
  <c r="K250" i="8"/>
  <c r="K453" i="8"/>
  <c r="K346" i="5"/>
  <c r="K570" i="7"/>
  <c r="K1137" i="7"/>
  <c r="K567" i="7"/>
  <c r="K802" i="6"/>
  <c r="K1177" i="6"/>
  <c r="K1927" i="6"/>
  <c r="K344" i="5"/>
  <c r="K686" i="7"/>
  <c r="J218" i="7"/>
  <c r="B29" i="19"/>
  <c r="B77" i="19" s="1"/>
  <c r="J1198" i="6"/>
  <c r="J339" i="6"/>
  <c r="I209" i="4"/>
  <c r="I161" i="6"/>
  <c r="J874" i="4"/>
  <c r="J896" i="4"/>
  <c r="I341" i="4"/>
  <c r="J928" i="4"/>
  <c r="J353" i="4" s="1"/>
  <c r="J891" i="4"/>
  <c r="I342" i="4"/>
  <c r="J867" i="4"/>
  <c r="J330" i="4" s="1"/>
  <c r="J1352" i="6"/>
  <c r="I434" i="6"/>
  <c r="J569" i="4"/>
  <c r="J958" i="7"/>
  <c r="L60" i="10" s="1"/>
  <c r="K814" i="7"/>
  <c r="K1668" i="6"/>
  <c r="J542" i="6"/>
  <c r="K1864" i="6"/>
  <c r="J1527" i="6"/>
  <c r="J588" i="4"/>
  <c r="J122" i="4" s="1"/>
  <c r="J1915" i="6"/>
  <c r="J666" i="6" s="1"/>
  <c r="O12" i="37"/>
  <c r="N100" i="37"/>
  <c r="I160" i="6"/>
  <c r="J233" i="5"/>
  <c r="I53" i="5"/>
  <c r="J892" i="4"/>
  <c r="I343" i="4"/>
  <c r="J929" i="4"/>
  <c r="J352" i="4" s="1"/>
  <c r="J1354" i="6"/>
  <c r="I435" i="6"/>
  <c r="K604" i="7"/>
  <c r="J165" i="7"/>
  <c r="I423" i="7"/>
  <c r="K489" i="7"/>
  <c r="J75" i="7"/>
  <c r="K839" i="7"/>
  <c r="J309" i="7"/>
  <c r="K547" i="8"/>
  <c r="K896" i="7"/>
  <c r="K5" i="1"/>
  <c r="K376" i="5"/>
  <c r="K353" i="5"/>
  <c r="K509" i="4"/>
  <c r="K520" i="7"/>
  <c r="K1844" i="6"/>
  <c r="K813" i="7"/>
  <c r="K852" i="6"/>
  <c r="K18" i="27"/>
  <c r="K409" i="8"/>
  <c r="I114" i="3" s="1"/>
  <c r="K878" i="4"/>
  <c r="AF60" i="21"/>
  <c r="K432" i="5"/>
  <c r="K59" i="27"/>
  <c r="K30" i="27"/>
  <c r="J609" i="7"/>
  <c r="K433" i="5"/>
  <c r="K375" i="5"/>
  <c r="K343" i="5"/>
  <c r="K299" i="5"/>
  <c r="K407" i="5"/>
  <c r="K189" i="8"/>
  <c r="K1043" i="7"/>
  <c r="K842" i="7"/>
  <c r="K805" i="7"/>
  <c r="L805" i="7" s="1"/>
  <c r="K513" i="7"/>
  <c r="K700" i="4"/>
  <c r="K708" i="4"/>
  <c r="K536" i="4"/>
  <c r="K1674" i="6"/>
  <c r="K1617" i="6"/>
  <c r="K1333" i="6"/>
  <c r="K1184" i="6"/>
  <c r="K853" i="6"/>
  <c r="K1894" i="6"/>
  <c r="K1886" i="6"/>
  <c r="K1866" i="6"/>
  <c r="K1845" i="6"/>
  <c r="K1806" i="6"/>
  <c r="K1803" i="6"/>
  <c r="K269" i="8"/>
  <c r="K234" i="8"/>
  <c r="K446" i="8"/>
  <c r="K736" i="7"/>
  <c r="K552" i="7"/>
  <c r="K975" i="7"/>
  <c r="K953" i="7"/>
  <c r="K894" i="7"/>
  <c r="H407" i="34"/>
  <c r="K854" i="6"/>
  <c r="K843" i="6"/>
  <c r="K778" i="6"/>
  <c r="K1919" i="6"/>
  <c r="K1887" i="6"/>
  <c r="K1871" i="6"/>
  <c r="K1852" i="6"/>
  <c r="L1852" i="6" s="1"/>
  <c r="K1820" i="6"/>
  <c r="K332" i="8"/>
  <c r="K285" i="8"/>
  <c r="K1790" i="6"/>
  <c r="K796" i="7"/>
  <c r="K1242" i="6"/>
  <c r="K969" i="7"/>
  <c r="K947" i="7"/>
  <c r="K899" i="7"/>
  <c r="L899" i="7" s="1"/>
  <c r="K287" i="5"/>
  <c r="K26" i="27"/>
  <c r="K412" i="5"/>
  <c r="J140" i="5"/>
  <c r="K723" i="7"/>
  <c r="K284" i="8"/>
  <c r="K683" i="4"/>
  <c r="L683" i="4" s="1"/>
  <c r="K522" i="4"/>
  <c r="L522" i="4" s="1"/>
  <c r="K795" i="7"/>
  <c r="E4" i="37"/>
  <c r="F2" i="37" s="1"/>
  <c r="E92" i="37"/>
  <c r="E94" i="37" s="1"/>
  <c r="G82" i="37"/>
  <c r="H66" i="37"/>
  <c r="H69" i="37" s="1"/>
  <c r="I66" i="37" s="1"/>
  <c r="I69" i="37" s="1"/>
  <c r="K435" i="5"/>
  <c r="K425" i="5"/>
  <c r="L425" i="5" s="1"/>
  <c r="K250" i="5"/>
  <c r="K349" i="5"/>
  <c r="K291" i="5"/>
  <c r="L291" i="5" s="1"/>
  <c r="K1042" i="7"/>
  <c r="L1042" i="7" s="1"/>
  <c r="K1037" i="7"/>
  <c r="K826" i="7"/>
  <c r="K815" i="7"/>
  <c r="K794" i="7"/>
  <c r="L794" i="7" s="1"/>
  <c r="K750" i="7"/>
  <c r="K506" i="7"/>
  <c r="K697" i="4"/>
  <c r="L697" i="4" s="1"/>
  <c r="K701" i="4"/>
  <c r="L701" i="4" s="1"/>
  <c r="K516" i="4"/>
  <c r="K1671" i="6"/>
  <c r="K1342" i="6"/>
  <c r="K1187" i="6"/>
  <c r="L1187" i="6" s="1"/>
  <c r="K855" i="6"/>
  <c r="K1888" i="6"/>
  <c r="L1888" i="6" s="1"/>
  <c r="K1853" i="6"/>
  <c r="L1853" i="6" s="1"/>
  <c r="K1817" i="6"/>
  <c r="K1804" i="6"/>
  <c r="K206" i="8"/>
  <c r="L206" i="8" s="1"/>
  <c r="K434" i="8"/>
  <c r="L434" i="8" s="1"/>
  <c r="K1163" i="6"/>
  <c r="K978" i="7"/>
  <c r="L978" i="7" s="1"/>
  <c r="K950" i="7"/>
  <c r="K892" i="7"/>
  <c r="L892" i="7" s="1"/>
  <c r="K833" i="6"/>
  <c r="L833" i="6" s="1"/>
  <c r="K780" i="6"/>
  <c r="L780" i="6" s="1"/>
  <c r="K1921" i="6"/>
  <c r="K1889" i="6"/>
  <c r="L1889" i="6" s="1"/>
  <c r="K1873" i="6"/>
  <c r="L1873" i="6" s="1"/>
  <c r="K1816" i="6"/>
  <c r="L1816" i="6" s="1"/>
  <c r="K210" i="8"/>
  <c r="K240" i="8"/>
  <c r="L240" i="8" s="1"/>
  <c r="K248" i="8"/>
  <c r="L248" i="8" s="1"/>
  <c r="K488" i="7"/>
  <c r="L488" i="7" s="1"/>
  <c r="K1244" i="6"/>
  <c r="L1244" i="6" s="1"/>
  <c r="K1166" i="6"/>
  <c r="K1289" i="6"/>
  <c r="K553" i="7"/>
  <c r="L553" i="7" s="1"/>
  <c r="K964" i="7"/>
  <c r="L964" i="7" s="1"/>
  <c r="K930" i="7"/>
  <c r="L930" i="7" s="1"/>
  <c r="K901" i="7"/>
  <c r="K891" i="7"/>
  <c r="L891" i="7" s="1"/>
  <c r="K539" i="4"/>
  <c r="L539" i="4" s="1"/>
  <c r="K676" i="4"/>
  <c r="L676" i="4" s="1"/>
  <c r="K411" i="4"/>
  <c r="K1137" i="6"/>
  <c r="K993" i="6"/>
  <c r="K417" i="4"/>
  <c r="L417" i="4" s="1"/>
  <c r="K684" i="4"/>
  <c r="K1383" i="6"/>
  <c r="L1383" i="6" s="1"/>
  <c r="K1793" i="6"/>
  <c r="L1793" i="6" s="1"/>
  <c r="K971" i="7"/>
  <c r="L971" i="7" s="1"/>
  <c r="K285" i="5"/>
  <c r="J952" i="7"/>
  <c r="B462" i="6"/>
  <c r="B1509" i="6"/>
  <c r="B478" i="4"/>
  <c r="J639" i="6"/>
  <c r="A71" i="3"/>
  <c r="I293" i="45"/>
  <c r="A18" i="13"/>
  <c r="I31" i="45"/>
  <c r="J1173" i="6"/>
  <c r="H726" i="34" s="1"/>
  <c r="J263" i="6"/>
  <c r="I629" i="4"/>
  <c r="K124" i="22"/>
  <c r="J619" i="4"/>
  <c r="J171" i="4" s="1"/>
  <c r="C9" i="4"/>
  <c r="B101" i="42"/>
  <c r="B103" i="42" s="1"/>
  <c r="J318" i="8"/>
  <c r="I290" i="45"/>
  <c r="G29" i="45"/>
  <c r="G36" i="45" s="1"/>
  <c r="J1248" i="6"/>
  <c r="I34" i="45"/>
  <c r="I378" i="6"/>
  <c r="I33" i="45"/>
  <c r="I264" i="6"/>
  <c r="F124" i="22"/>
  <c r="J68" i="4"/>
  <c r="J117" i="4"/>
  <c r="D98" i="42"/>
  <c r="G84" i="17"/>
  <c r="J124" i="22"/>
  <c r="B177" i="4"/>
  <c r="G174" i="4"/>
  <c r="H174" i="4" s="1"/>
  <c r="C101" i="42"/>
  <c r="B667" i="4"/>
  <c r="K326" i="8"/>
  <c r="I340" i="4"/>
  <c r="J885" i="4"/>
  <c r="D322" i="7"/>
  <c r="J945" i="7"/>
  <c r="I376" i="7"/>
  <c r="J963" i="7"/>
  <c r="I377" i="7"/>
  <c r="K413" i="4"/>
  <c r="G127" i="22"/>
  <c r="J859" i="6"/>
  <c r="I140" i="6"/>
  <c r="J1716" i="6"/>
  <c r="K1716" i="6" s="1"/>
  <c r="K574" i="6" s="1"/>
  <c r="D1068" i="6"/>
  <c r="H1068" i="6" s="1"/>
  <c r="I1134" i="6"/>
  <c r="A452" i="6"/>
  <c r="J763" i="6"/>
  <c r="I782" i="6"/>
  <c r="AC3" i="22"/>
  <c r="AC78" i="22" s="1"/>
  <c r="AF3" i="21"/>
  <c r="AA3" i="22"/>
  <c r="AA78" i="22" s="1"/>
  <c r="AA121" i="22" s="1"/>
  <c r="AD3" i="21"/>
  <c r="C117" i="42"/>
  <c r="D117" i="42" s="1"/>
  <c r="AI3" i="21"/>
  <c r="AF3" i="22"/>
  <c r="AF78" i="22" s="1"/>
  <c r="AF121" i="22" s="1"/>
  <c r="G275" i="6"/>
  <c r="C478" i="4"/>
  <c r="H63" i="12"/>
  <c r="P3" i="11"/>
  <c r="M84" i="11"/>
  <c r="A194" i="7"/>
  <c r="I483" i="7"/>
  <c r="I67" i="7"/>
  <c r="I69" i="7" s="1"/>
  <c r="B229" i="7"/>
  <c r="B1196" i="7" s="1"/>
  <c r="J495" i="7"/>
  <c r="K1092" i="6"/>
  <c r="I765" i="34" s="1"/>
  <c r="G464" i="4"/>
  <c r="H464" i="4" s="1"/>
  <c r="J20" i="19"/>
  <c r="B82" i="4"/>
  <c r="AS44" i="42"/>
  <c r="J115" i="4"/>
  <c r="J416" i="5"/>
  <c r="AG20" i="42"/>
  <c r="E84" i="15" s="1"/>
  <c r="C248" i="42" s="1"/>
  <c r="C71" i="27"/>
  <c r="D69" i="27" s="1"/>
  <c r="D506" i="5"/>
  <c r="D96" i="7"/>
  <c r="D150" i="5"/>
  <c r="J256" i="5"/>
  <c r="I173" i="5"/>
  <c r="I178" i="5" s="1"/>
  <c r="P109" i="42" s="1"/>
  <c r="J730" i="6"/>
  <c r="J735" i="6" s="1"/>
  <c r="I32" i="45"/>
  <c r="A19" i="6"/>
  <c r="K2020" i="6"/>
  <c r="I1251" i="6"/>
  <c r="K496" i="7"/>
  <c r="K86" i="7" s="1"/>
  <c r="K499" i="7"/>
  <c r="K89" i="7" s="1"/>
  <c r="J319" i="8"/>
  <c r="J62" i="5"/>
  <c r="G357" i="8"/>
  <c r="F40" i="16"/>
  <c r="F78" i="21"/>
  <c r="G97" i="3" s="1"/>
  <c r="J186" i="8"/>
  <c r="J45" i="8" s="1"/>
  <c r="I294" i="45"/>
  <c r="G95" i="13"/>
  <c r="F97" i="13"/>
  <c r="J295" i="8"/>
  <c r="J62" i="8" s="1"/>
  <c r="I292" i="45"/>
  <c r="J278" i="8"/>
  <c r="J61" i="8" s="1"/>
  <c r="I291" i="45"/>
  <c r="I321" i="6"/>
  <c r="J1906" i="6"/>
  <c r="H36" i="45"/>
  <c r="K840" i="6"/>
  <c r="L840" i="6" s="1"/>
  <c r="B2044" i="6"/>
  <c r="G1002" i="6"/>
  <c r="H1002" i="6" s="1"/>
  <c r="I584" i="6"/>
  <c r="J1232" i="6"/>
  <c r="A384" i="6"/>
  <c r="A395" i="6" s="1"/>
  <c r="I376" i="6"/>
  <c r="I1721" i="6"/>
  <c r="I727" i="6"/>
  <c r="J2013" i="6"/>
  <c r="G22" i="58" s="1"/>
  <c r="K1813" i="6"/>
  <c r="L1813" i="6" s="1"/>
  <c r="J31" i="45"/>
  <c r="J1726" i="6"/>
  <c r="B2065" i="6"/>
  <c r="I331" i="6"/>
  <c r="I330" i="6" s="1"/>
  <c r="J1126" i="6"/>
  <c r="I209" i="6"/>
  <c r="J2011" i="6"/>
  <c r="K2011" i="6" s="1"/>
  <c r="I1000" i="6"/>
  <c r="B2058" i="6"/>
  <c r="B2061" i="6"/>
  <c r="I1361" i="6"/>
  <c r="B395" i="6"/>
  <c r="J1103" i="6"/>
  <c r="C2061" i="6"/>
  <c r="I35" i="45"/>
  <c r="C552" i="6"/>
  <c r="J1355" i="6"/>
  <c r="J1181" i="6"/>
  <c r="K1505" i="6"/>
  <c r="K463" i="6" s="1"/>
  <c r="G1363" i="6"/>
  <c r="J1281" i="6"/>
  <c r="J406" i="6" s="1"/>
  <c r="G1227" i="6"/>
  <c r="H1227" i="6" s="1"/>
  <c r="I377" i="6"/>
  <c r="I1220" i="6"/>
  <c r="J1235" i="6"/>
  <c r="I507" i="6"/>
  <c r="I1630" i="6"/>
  <c r="J1908" i="6"/>
  <c r="J661" i="6" s="1"/>
  <c r="C509" i="5"/>
  <c r="B68" i="5"/>
  <c r="D495" i="5"/>
  <c r="B476" i="5"/>
  <c r="K314" i="5"/>
  <c r="K96" i="5" s="1"/>
  <c r="I146" i="5"/>
  <c r="J382" i="5"/>
  <c r="I8" i="5"/>
  <c r="K248" i="5"/>
  <c r="J61" i="5"/>
  <c r="G505" i="5"/>
  <c r="H505" i="5" s="1"/>
  <c r="G17" i="5"/>
  <c r="B271" i="5"/>
  <c r="A476" i="5"/>
  <c r="A481" i="5" s="1"/>
  <c r="A513" i="5" s="1"/>
  <c r="A68" i="5"/>
  <c r="G449" i="5"/>
  <c r="H449" i="5" s="1"/>
  <c r="B511" i="5"/>
  <c r="L9" i="11"/>
  <c r="C84" i="17"/>
  <c r="H20" i="19"/>
  <c r="M124" i="22"/>
  <c r="G857" i="7"/>
  <c r="H857" i="7" s="1"/>
  <c r="B868" i="7"/>
  <c r="J658" i="7"/>
  <c r="C268" i="7"/>
  <c r="C279" i="7" s="1"/>
  <c r="G295" i="7"/>
  <c r="H295" i="7" s="1"/>
  <c r="K502" i="7"/>
  <c r="D1211" i="7"/>
  <c r="J84" i="17"/>
  <c r="I788" i="7"/>
  <c r="I345" i="7"/>
  <c r="I289" i="7"/>
  <c r="B1195" i="7"/>
  <c r="B194" i="7"/>
  <c r="J210" i="7"/>
  <c r="C1193" i="7"/>
  <c r="A98" i="7"/>
  <c r="A109" i="7" s="1"/>
  <c r="B392" i="7"/>
  <c r="B394" i="7" s="1"/>
  <c r="B398" i="7" s="1"/>
  <c r="J739" i="7"/>
  <c r="J258" i="7" s="1"/>
  <c r="C53" i="11"/>
  <c r="D53" i="11" s="1"/>
  <c r="E53" i="11" s="1"/>
  <c r="J811" i="7"/>
  <c r="K811" i="7" s="1"/>
  <c r="I312" i="7"/>
  <c r="J844" i="7"/>
  <c r="F20" i="19"/>
  <c r="I855" i="7"/>
  <c r="F28" i="48" s="1"/>
  <c r="F84" i="17"/>
  <c r="G320" i="7"/>
  <c r="H320" i="7" s="1"/>
  <c r="J601" i="7"/>
  <c r="I162" i="7"/>
  <c r="B1208" i="7"/>
  <c r="C98" i="7"/>
  <c r="C109" i="7" s="1"/>
  <c r="I257" i="7"/>
  <c r="B58" i="16"/>
  <c r="B84" i="17"/>
  <c r="D21" i="7"/>
  <c r="J846" i="7"/>
  <c r="I314" i="7"/>
  <c r="A16" i="7"/>
  <c r="C324" i="7"/>
  <c r="C1213" i="7"/>
  <c r="J491" i="7"/>
  <c r="I76" i="7"/>
  <c r="J956" i="7"/>
  <c r="J161" i="7"/>
  <c r="J845" i="7"/>
  <c r="J313" i="7" s="1"/>
  <c r="C119" i="13"/>
  <c r="C203" i="15"/>
  <c r="B203" i="15"/>
  <c r="AJ115" i="9"/>
  <c r="F132" i="13"/>
  <c r="AE29" i="9"/>
  <c r="I277" i="7"/>
  <c r="K243" i="5"/>
  <c r="A84" i="4"/>
  <c r="A967" i="4"/>
  <c r="A135" i="4"/>
  <c r="C135" i="4"/>
  <c r="M72" i="21"/>
  <c r="N3" i="22"/>
  <c r="A58" i="16"/>
  <c r="A84" i="17"/>
  <c r="F43" i="42"/>
  <c r="E43" i="42"/>
  <c r="J173" i="5"/>
  <c r="K1030" i="6"/>
  <c r="K253" i="6" s="1"/>
  <c r="M1833" i="6"/>
  <c r="C21" i="5"/>
  <c r="D9" i="5"/>
  <c r="D497" i="5"/>
  <c r="J359" i="5"/>
  <c r="J89" i="5"/>
  <c r="J91" i="5" s="1"/>
  <c r="J8" i="5" s="1"/>
  <c r="D66" i="5"/>
  <c r="J60" i="5"/>
  <c r="G56" i="5"/>
  <c r="H56" i="5" s="1"/>
  <c r="J618" i="4"/>
  <c r="I170" i="4"/>
  <c r="H404" i="4"/>
  <c r="H400" i="4"/>
  <c r="I16" i="17"/>
  <c r="H31" i="17"/>
  <c r="H31" i="16"/>
  <c r="I16" i="16"/>
  <c r="B595" i="8"/>
  <c r="B597" i="8" s="1"/>
  <c r="B7" i="8"/>
  <c r="J421" i="45"/>
  <c r="L454" i="8"/>
  <c r="I135" i="5"/>
  <c r="J362" i="5"/>
  <c r="I383" i="5"/>
  <c r="I385" i="5" s="1"/>
  <c r="G133" i="4"/>
  <c r="H133" i="4" s="1"/>
  <c r="J318" i="5"/>
  <c r="K309" i="5"/>
  <c r="K95" i="5" s="1"/>
  <c r="J487" i="7"/>
  <c r="I74" i="7"/>
  <c r="I525" i="7"/>
  <c r="G439" i="7"/>
  <c r="H439" i="7" s="1"/>
  <c r="J186" i="5"/>
  <c r="K423" i="5"/>
  <c r="G441" i="7"/>
  <c r="J300" i="7"/>
  <c r="K748" i="7"/>
  <c r="J260" i="7"/>
  <c r="J261" i="7" s="1"/>
  <c r="K741" i="7"/>
  <c r="I210" i="6"/>
  <c r="J991" i="6"/>
  <c r="D24" i="6"/>
  <c r="K794" i="6"/>
  <c r="J99" i="6"/>
  <c r="K791" i="6"/>
  <c r="J98" i="6"/>
  <c r="J214" i="6"/>
  <c r="I198" i="5"/>
  <c r="K427" i="5"/>
  <c r="J187" i="5"/>
  <c r="B466" i="5"/>
  <c r="B114" i="5"/>
  <c r="K485" i="5"/>
  <c r="I6" i="3" s="1"/>
  <c r="J450" i="5"/>
  <c r="J193" i="5"/>
  <c r="J420" i="5"/>
  <c r="I183" i="5"/>
  <c r="I447" i="5"/>
  <c r="I449" i="5" s="1"/>
  <c r="I451" i="5" s="1"/>
  <c r="I459" i="5" s="1"/>
  <c r="B468" i="5"/>
  <c r="B210" i="5"/>
  <c r="K97" i="5"/>
  <c r="L311" i="5"/>
  <c r="G722" i="4"/>
  <c r="H722" i="4" s="1"/>
  <c r="B732" i="4"/>
  <c r="J685" i="4"/>
  <c r="I689" i="4"/>
  <c r="I711" i="4"/>
  <c r="I720" i="4" s="1"/>
  <c r="I191" i="4" s="1"/>
  <c r="I109" i="4"/>
  <c r="L295" i="5"/>
  <c r="C466" i="5"/>
  <c r="C114" i="5"/>
  <c r="J220" i="5"/>
  <c r="J52" i="5" s="1"/>
  <c r="K2004" i="6"/>
  <c r="J722" i="6"/>
  <c r="K2008" i="6"/>
  <c r="G502" i="4"/>
  <c r="H502" i="4" s="1"/>
  <c r="G129" i="40"/>
  <c r="J1009" i="7" s="1"/>
  <c r="H110" i="40"/>
  <c r="N88" i="10" s="1"/>
  <c r="BH41" i="9"/>
  <c r="BI41" i="9" s="1"/>
  <c r="S26" i="11"/>
  <c r="T26" i="11" s="1"/>
  <c r="BI3" i="9"/>
  <c r="AY87" i="9"/>
  <c r="AY169" i="9" s="1"/>
  <c r="AB87" i="9"/>
  <c r="AB169" i="9" s="1"/>
  <c r="AG3" i="9"/>
  <c r="AX39" i="9"/>
  <c r="AY39" i="9" s="1"/>
  <c r="AS40" i="9"/>
  <c r="Q209" i="9"/>
  <c r="Q211" i="9" s="1"/>
  <c r="O3" i="11"/>
  <c r="L84" i="11"/>
  <c r="N3" i="11"/>
  <c r="K84" i="11"/>
  <c r="M534" i="7"/>
  <c r="M104" i="7" s="1"/>
  <c r="V41" i="10"/>
  <c r="U26" i="11" s="1"/>
  <c r="B324" i="7"/>
  <c r="B335" i="7" s="1"/>
  <c r="C91" i="4"/>
  <c r="C45" i="4" s="1"/>
  <c r="J220" i="7"/>
  <c r="K695" i="7"/>
  <c r="N20" i="19"/>
  <c r="J257" i="7"/>
  <c r="L84" i="17"/>
  <c r="C277" i="6"/>
  <c r="C25" i="6"/>
  <c r="C41" i="6" s="1"/>
  <c r="K1297" i="6"/>
  <c r="B2063" i="6"/>
  <c r="B17" i="6"/>
  <c r="K449" i="6"/>
  <c r="K1497" i="6"/>
  <c r="K338" i="6"/>
  <c r="B2056" i="6"/>
  <c r="L1070" i="6"/>
  <c r="K271" i="6"/>
  <c r="A2039" i="6"/>
  <c r="A292" i="6"/>
  <c r="B18" i="13"/>
  <c r="L410" i="5"/>
  <c r="L174" i="5" s="1"/>
  <c r="O20" i="19"/>
  <c r="M84" i="17"/>
  <c r="A2043" i="6"/>
  <c r="A524" i="6"/>
  <c r="K1488" i="6"/>
  <c r="J1489" i="6"/>
  <c r="J1494" i="6" s="1"/>
  <c r="B1374" i="6"/>
  <c r="C26" i="6"/>
  <c r="C42" i="6" s="1"/>
  <c r="C343" i="6"/>
  <c r="K1480" i="6"/>
  <c r="F103" i="19"/>
  <c r="F104" i="19"/>
  <c r="E105" i="19"/>
  <c r="H35" i="19"/>
  <c r="G35" i="19"/>
  <c r="A747" i="6"/>
  <c r="A2047" i="6"/>
  <c r="A345" i="6"/>
  <c r="A2060" i="6"/>
  <c r="B135" i="4"/>
  <c r="J119" i="4"/>
  <c r="G124" i="22"/>
  <c r="L541" i="4"/>
  <c r="K777" i="6"/>
  <c r="J92" i="6"/>
  <c r="K1287" i="6"/>
  <c r="K1654" i="6"/>
  <c r="K1663" i="6"/>
  <c r="K541" i="6" s="1"/>
  <c r="K1883" i="6"/>
  <c r="L860" i="6"/>
  <c r="K1678" i="6"/>
  <c r="K1997" i="6"/>
  <c r="J1688" i="6"/>
  <c r="J546" i="6"/>
  <c r="J551" i="6" s="1"/>
  <c r="J837" i="6"/>
  <c r="B2038" i="6"/>
  <c r="B234" i="6"/>
  <c r="B2045" i="6"/>
  <c r="J262" i="6"/>
  <c r="C2041" i="6"/>
  <c r="C395" i="6"/>
  <c r="K725" i="6"/>
  <c r="K449" i="8"/>
  <c r="E621" i="34"/>
  <c r="E622" i="34" s="1"/>
  <c r="E624" i="34" s="1"/>
  <c r="E245" i="34" s="1"/>
  <c r="AI3" i="9"/>
  <c r="AD87" i="9"/>
  <c r="AD169" i="9" s="1"/>
  <c r="AF2" i="9"/>
  <c r="AA86" i="9"/>
  <c r="AA168" i="9" s="1"/>
  <c r="AH3" i="9"/>
  <c r="AC87" i="9"/>
  <c r="AC169" i="9" s="1"/>
  <c r="I124" i="22"/>
  <c r="B202" i="15"/>
  <c r="G72" i="14"/>
  <c r="B143" i="13"/>
  <c r="AF3" i="9"/>
  <c r="AA87" i="9"/>
  <c r="AA169" i="9" s="1"/>
  <c r="G152" i="40"/>
  <c r="C149" i="34"/>
  <c r="C410" i="34" s="1"/>
  <c r="C26" i="34"/>
  <c r="A44" i="17"/>
  <c r="A81" i="3" s="1"/>
  <c r="C106" i="15"/>
  <c r="C17" i="17"/>
  <c r="I357" i="8"/>
  <c r="I95" i="8" s="1"/>
  <c r="G40" i="16"/>
  <c r="AH49" i="42" s="1"/>
  <c r="AH52" i="42" s="1"/>
  <c r="AH54" i="42" s="1"/>
  <c r="J299" i="45"/>
  <c r="J304" i="45" s="1"/>
  <c r="AF49" i="42"/>
  <c r="H402" i="4"/>
  <c r="K968" i="7"/>
  <c r="B16" i="7"/>
  <c r="A8" i="13" s="1"/>
  <c r="B1192" i="7"/>
  <c r="B109" i="7"/>
  <c r="K682" i="7"/>
  <c r="A1194" i="7"/>
  <c r="A279" i="7"/>
  <c r="B1194" i="7"/>
  <c r="B279" i="7"/>
  <c r="D11" i="7"/>
  <c r="K86" i="48" s="1"/>
  <c r="D266" i="7"/>
  <c r="K653" i="7"/>
  <c r="J205" i="7"/>
  <c r="A335" i="7"/>
  <c r="A1197" i="7"/>
  <c r="A1193" i="7"/>
  <c r="A149" i="7"/>
  <c r="K810" i="7"/>
  <c r="P18" i="26" s="1"/>
  <c r="B1193" i="7"/>
  <c r="B149" i="7"/>
  <c r="I755" i="7"/>
  <c r="F27" i="48" s="1"/>
  <c r="M39" i="19"/>
  <c r="A31" i="19"/>
  <c r="A87" i="19" s="1"/>
  <c r="B2043" i="6"/>
  <c r="J70" i="4"/>
  <c r="K433" i="4"/>
  <c r="B67" i="20"/>
  <c r="S34" i="20"/>
  <c r="B76" i="11"/>
  <c r="Q69" i="11"/>
  <c r="G7" i="11"/>
  <c r="H7" i="11" s="1"/>
  <c r="J7" i="11" s="1"/>
  <c r="K7" i="11" s="1"/>
  <c r="M7" i="11" s="1"/>
  <c r="N7" i="11" s="1"/>
  <c r="P7" i="11" s="1"/>
  <c r="Q7" i="11" s="1"/>
  <c r="S7" i="11" s="1"/>
  <c r="T7" i="11" s="1"/>
  <c r="V7" i="11" s="1"/>
  <c r="W7" i="11" s="1"/>
  <c r="Y7" i="11" s="1"/>
  <c r="Z7" i="11" s="1"/>
  <c r="AB7" i="11" s="1"/>
  <c r="AC7" i="11" s="1"/>
  <c r="AE7" i="11" s="1"/>
  <c r="AF7" i="11" s="1"/>
  <c r="AH7" i="11" s="1"/>
  <c r="AI7" i="11" s="1"/>
  <c r="AK7" i="11" s="1"/>
  <c r="H124" i="14" l="1"/>
  <c r="N17" i="14"/>
  <c r="J135" i="14"/>
  <c r="R19" i="14" s="1"/>
  <c r="E100" i="40"/>
  <c r="S40" i="42" s="1"/>
  <c r="O551" i="34"/>
  <c r="J404" i="6"/>
  <c r="K441" i="6"/>
  <c r="K1662" i="6"/>
  <c r="K540" i="6" s="1"/>
  <c r="K304" i="6"/>
  <c r="G101" i="5"/>
  <c r="H101" i="5" s="1"/>
  <c r="G496" i="5"/>
  <c r="H496" i="5" s="1"/>
  <c r="G8" i="5"/>
  <c r="Q98" i="48" s="1"/>
  <c r="I108" i="42"/>
  <c r="K137" i="5"/>
  <c r="B1007" i="4"/>
  <c r="C1007" i="4"/>
  <c r="K914" i="4"/>
  <c r="K344" i="4" s="1"/>
  <c r="R869" i="6"/>
  <c r="R162" i="6"/>
  <c r="R168" i="6" s="1"/>
  <c r="R108" i="6"/>
  <c r="R1364" i="6"/>
  <c r="R450" i="6"/>
  <c r="R455" i="6" s="1"/>
  <c r="P687" i="34" s="1"/>
  <c r="P681" i="34" s="1"/>
  <c r="K176" i="5"/>
  <c r="R44" i="42"/>
  <c r="B192" i="42" s="1"/>
  <c r="C202" i="15"/>
  <c r="C147" i="15" s="1"/>
  <c r="C143" i="13"/>
  <c r="I72" i="14"/>
  <c r="AE65" i="9"/>
  <c r="J63" i="20"/>
  <c r="J98" i="20" s="1"/>
  <c r="J99" i="20"/>
  <c r="BN87" i="9"/>
  <c r="BN169" i="9" s="1"/>
  <c r="BX3" i="9"/>
  <c r="BX87" i="9" s="1"/>
  <c r="BX169" i="9" s="1"/>
  <c r="G79" i="10"/>
  <c r="G1007" i="7"/>
  <c r="H392" i="34"/>
  <c r="H509" i="34" s="1"/>
  <c r="I662" i="34"/>
  <c r="J662" i="34" s="1"/>
  <c r="O7" i="1"/>
  <c r="L983" i="6"/>
  <c r="L982" i="6"/>
  <c r="J35" i="1"/>
  <c r="L778" i="6"/>
  <c r="L1803" i="6"/>
  <c r="L1886" i="6"/>
  <c r="J286" i="3"/>
  <c r="I296" i="3"/>
  <c r="L985" i="6"/>
  <c r="L743" i="7"/>
  <c r="M743" i="7" s="1"/>
  <c r="F302" i="3"/>
  <c r="F293" i="3"/>
  <c r="L679" i="4"/>
  <c r="L1178" i="6"/>
  <c r="M1178" i="6" s="1"/>
  <c r="L568" i="7"/>
  <c r="P368" i="8"/>
  <c r="L1347" i="6"/>
  <c r="P367" i="8"/>
  <c r="L984" i="6"/>
  <c r="J25" i="12"/>
  <c r="K41" i="55" s="1"/>
  <c r="J114" i="10"/>
  <c r="M298" i="3"/>
  <c r="H292" i="3"/>
  <c r="G293" i="3"/>
  <c r="G302" i="3"/>
  <c r="I299" i="3"/>
  <c r="K67" i="1"/>
  <c r="I300" i="3"/>
  <c r="C682" i="34"/>
  <c r="C197" i="34" s="1"/>
  <c r="A254" i="3"/>
  <c r="L781" i="7"/>
  <c r="L301" i="3"/>
  <c r="L1166" i="6"/>
  <c r="L306" i="6" s="1"/>
  <c r="K306" i="6"/>
  <c r="L1163" i="6"/>
  <c r="K573" i="6"/>
  <c r="K320" i="6"/>
  <c r="J714" i="6"/>
  <c r="I725" i="34"/>
  <c r="K126" i="5"/>
  <c r="K125" i="5"/>
  <c r="K124" i="5"/>
  <c r="K108" i="4"/>
  <c r="K156" i="4" s="1"/>
  <c r="J76" i="4"/>
  <c r="K75" i="4"/>
  <c r="K1996" i="6"/>
  <c r="H18" i="58" s="1"/>
  <c r="K259" i="7"/>
  <c r="K130" i="7"/>
  <c r="B967" i="4"/>
  <c r="B609" i="4"/>
  <c r="T15" i="58"/>
  <c r="O25" i="1"/>
  <c r="M291" i="3"/>
  <c r="L6" i="58"/>
  <c r="H7" i="7"/>
  <c r="Q83" i="48"/>
  <c r="I260" i="48"/>
  <c r="I241" i="48"/>
  <c r="I235" i="48"/>
  <c r="I226" i="48"/>
  <c r="I247" i="48"/>
  <c r="I243" i="48"/>
  <c r="I238" i="48"/>
  <c r="I237" i="48"/>
  <c r="I244" i="48"/>
  <c r="I245" i="48"/>
  <c r="I230" i="48"/>
  <c r="I231" i="48"/>
  <c r="I252" i="48"/>
  <c r="I228" i="48"/>
  <c r="I248" i="48"/>
  <c r="I229" i="48"/>
  <c r="I225" i="48"/>
  <c r="I240" i="48"/>
  <c r="I236" i="48"/>
  <c r="I227" i="48"/>
  <c r="I234" i="48"/>
  <c r="I249" i="48"/>
  <c r="I233" i="48"/>
  <c r="I239" i="48"/>
  <c r="I246" i="48"/>
  <c r="I242" i="48"/>
  <c r="I232" i="48"/>
  <c r="I250" i="48"/>
  <c r="I251" i="48"/>
  <c r="H59" i="48"/>
  <c r="G260" i="48"/>
  <c r="G247" i="48"/>
  <c r="G228" i="48"/>
  <c r="G244" i="48"/>
  <c r="G227" i="48"/>
  <c r="G249" i="48"/>
  <c r="G245" i="48"/>
  <c r="G241" i="48"/>
  <c r="G225" i="48"/>
  <c r="G232" i="48"/>
  <c r="G248" i="48"/>
  <c r="G233" i="48"/>
  <c r="G229" i="48"/>
  <c r="G250" i="48"/>
  <c r="G246" i="48"/>
  <c r="G236" i="48"/>
  <c r="G231" i="48"/>
  <c r="G238" i="48"/>
  <c r="G234" i="48"/>
  <c r="G230" i="48"/>
  <c r="G226" i="48"/>
  <c r="G251" i="48"/>
  <c r="G240" i="48"/>
  <c r="G243" i="48"/>
  <c r="G239" i="48"/>
  <c r="G235" i="48"/>
  <c r="G242" i="48"/>
  <c r="G237" i="48"/>
  <c r="G252" i="48"/>
  <c r="H17" i="5"/>
  <c r="P98" i="48"/>
  <c r="N260" i="48"/>
  <c r="N241" i="48"/>
  <c r="N233" i="48"/>
  <c r="N237" i="48"/>
  <c r="N238" i="48"/>
  <c r="N245" i="48"/>
  <c r="N230" i="48"/>
  <c r="N251" i="48"/>
  <c r="N242" i="48"/>
  <c r="N243" i="48"/>
  <c r="N244" i="48"/>
  <c r="N229" i="48"/>
  <c r="N249" i="48"/>
  <c r="N228" i="48"/>
  <c r="N235" i="48"/>
  <c r="N226" i="48"/>
  <c r="N247" i="48"/>
  <c r="N227" i="48"/>
  <c r="N248" i="48"/>
  <c r="N225" i="48"/>
  <c r="N239" i="48"/>
  <c r="N240" i="48"/>
  <c r="N231" i="48"/>
  <c r="N252" i="48"/>
  <c r="N232" i="48"/>
  <c r="N250" i="48"/>
  <c r="N246" i="48"/>
  <c r="N236" i="48"/>
  <c r="N234" i="48"/>
  <c r="K2002" i="6"/>
  <c r="H20" i="58" s="1"/>
  <c r="G20" i="58"/>
  <c r="L531" i="8"/>
  <c r="L400" i="8"/>
  <c r="AY12" i="42" s="1"/>
  <c r="L532" i="8"/>
  <c r="L481" i="8"/>
  <c r="L519" i="8"/>
  <c r="L518" i="8"/>
  <c r="L376" i="8"/>
  <c r="L534" i="8"/>
  <c r="L515" i="8"/>
  <c r="L483" i="8"/>
  <c r="L516" i="8"/>
  <c r="L479" i="8"/>
  <c r="L525" i="8"/>
  <c r="L482" i="8"/>
  <c r="G15" i="58"/>
  <c r="H57" i="48"/>
  <c r="K1974" i="6"/>
  <c r="H9" i="58" s="1"/>
  <c r="L508" i="8"/>
  <c r="L522" i="8"/>
  <c r="L511" i="8"/>
  <c r="L466" i="8"/>
  <c r="L484" i="8"/>
  <c r="L528" i="8"/>
  <c r="L467" i="8"/>
  <c r="L507" i="8"/>
  <c r="L480" i="8"/>
  <c r="L524" i="8"/>
  <c r="L395" i="8"/>
  <c r="L526" i="8"/>
  <c r="L469" i="8"/>
  <c r="L397" i="8"/>
  <c r="F29" i="48"/>
  <c r="J260" i="48" s="1"/>
  <c r="K1994" i="6"/>
  <c r="L1994" i="6" s="1"/>
  <c r="G17" i="58"/>
  <c r="L457" i="8"/>
  <c r="L488" i="8"/>
  <c r="L463" i="8"/>
  <c r="L476" i="8"/>
  <c r="L520" i="8"/>
  <c r="L387" i="8"/>
  <c r="L504" i="8"/>
  <c r="L473" i="8"/>
  <c r="L125" i="8" s="1"/>
  <c r="L384" i="8"/>
  <c r="L377" i="8"/>
  <c r="L486" i="8"/>
  <c r="L527" i="8"/>
  <c r="L506" i="8"/>
  <c r="L386" i="8"/>
  <c r="L501" i="8"/>
  <c r="L5" i="58"/>
  <c r="L1326" i="6"/>
  <c r="L431" i="6" s="1"/>
  <c r="L487" i="8"/>
  <c r="L523" i="8"/>
  <c r="L521" i="8"/>
  <c r="L385" i="8"/>
  <c r="L464" i="8"/>
  <c r="L514" i="8"/>
  <c r="L468" i="8"/>
  <c r="L490" i="8"/>
  <c r="L533" i="8"/>
  <c r="L505" i="8"/>
  <c r="L465" i="8"/>
  <c r="L485" i="8"/>
  <c r="L470" i="8"/>
  <c r="L517" i="8"/>
  <c r="L489" i="8"/>
  <c r="G21" i="58"/>
  <c r="J141" i="3"/>
  <c r="E424" i="45"/>
  <c r="E431" i="45" s="1"/>
  <c r="E432" i="45" s="1"/>
  <c r="E433" i="45" s="1"/>
  <c r="K558" i="8"/>
  <c r="L1324" i="6"/>
  <c r="L1399" i="6"/>
  <c r="L1548" i="6"/>
  <c r="L1109" i="6"/>
  <c r="L1118" i="6"/>
  <c r="L1052" i="6"/>
  <c r="L1319" i="6"/>
  <c r="L1544" i="6"/>
  <c r="L1114" i="6"/>
  <c r="L1042" i="6"/>
  <c r="L1107" i="6"/>
  <c r="L1313" i="6"/>
  <c r="L1536" i="6"/>
  <c r="L1555" i="6"/>
  <c r="L1111" i="6"/>
  <c r="K322" i="6"/>
  <c r="L1123" i="6"/>
  <c r="L1309" i="6"/>
  <c r="L1403" i="6"/>
  <c r="L1551" i="6"/>
  <c r="L1108" i="6"/>
  <c r="L1105" i="6"/>
  <c r="L430" i="4"/>
  <c r="L428" i="4"/>
  <c r="L1308" i="6"/>
  <c r="L1045" i="6"/>
  <c r="K261" i="6"/>
  <c r="L1304" i="6"/>
  <c r="L1325" i="6"/>
  <c r="L1547" i="6"/>
  <c r="L1059" i="6"/>
  <c r="L1047" i="6"/>
  <c r="L1038" i="6"/>
  <c r="L1124" i="6"/>
  <c r="L1312" i="6"/>
  <c r="L1543" i="6"/>
  <c r="L1053" i="6"/>
  <c r="L1554" i="6"/>
  <c r="L1112" i="6"/>
  <c r="L1116" i="6"/>
  <c r="L1303" i="6"/>
  <c r="L1539" i="6"/>
  <c r="L1550" i="6"/>
  <c r="L1115" i="6"/>
  <c r="L1535" i="6"/>
  <c r="L1046" i="6"/>
  <c r="L395" i="4"/>
  <c r="L427" i="4"/>
  <c r="L393" i="4"/>
  <c r="L60" i="4" s="1"/>
  <c r="L268" i="8"/>
  <c r="L1546" i="6"/>
  <c r="L1040" i="6"/>
  <c r="L1055" i="6"/>
  <c r="L263" i="6" s="1"/>
  <c r="L1424" i="6"/>
  <c r="L1043" i="6"/>
  <c r="L1542" i="6"/>
  <c r="L1553" i="6"/>
  <c r="L1106" i="6"/>
  <c r="L1556" i="6"/>
  <c r="L1402" i="6"/>
  <c r="L1039" i="6"/>
  <c r="L1538" i="6"/>
  <c r="L1549" i="6"/>
  <c r="L1057" i="6"/>
  <c r="L1552" i="6"/>
  <c r="L1397" i="6"/>
  <c r="L1396" i="6"/>
  <c r="K439" i="6"/>
  <c r="L1534" i="6"/>
  <c r="L1545" i="6"/>
  <c r="L1540" i="6"/>
  <c r="L1323" i="6"/>
  <c r="L1314" i="6"/>
  <c r="L431" i="4"/>
  <c r="L1405" i="6"/>
  <c r="L1541" i="6"/>
  <c r="L1048" i="6"/>
  <c r="L1532" i="6"/>
  <c r="K445" i="6"/>
  <c r="L1315" i="6"/>
  <c r="L1305" i="6"/>
  <c r="L1400" i="6"/>
  <c r="L1537" i="6"/>
  <c r="L1398" i="6"/>
  <c r="L1311" i="6"/>
  <c r="L1117" i="6"/>
  <c r="L1322" i="6"/>
  <c r="K428" i="6"/>
  <c r="L1533" i="6"/>
  <c r="L1041" i="6"/>
  <c r="L1316" i="6"/>
  <c r="L1306" i="6"/>
  <c r="L1113" i="6"/>
  <c r="L1310" i="6"/>
  <c r="L1404" i="6"/>
  <c r="L1037" i="6"/>
  <c r="L1307" i="6"/>
  <c r="L1302" i="6"/>
  <c r="L1058" i="6"/>
  <c r="L432" i="4"/>
  <c r="L462" i="4"/>
  <c r="L396" i="4"/>
  <c r="H424" i="45"/>
  <c r="H431" i="45" s="1"/>
  <c r="H432" i="45" s="1"/>
  <c r="J65" i="8"/>
  <c r="H330" i="6"/>
  <c r="J1146" i="6"/>
  <c r="J354" i="6" s="1"/>
  <c r="AJ146" i="9"/>
  <c r="L1590" i="6"/>
  <c r="L1519" i="6"/>
  <c r="L309" i="8"/>
  <c r="L1283" i="6"/>
  <c r="L1131" i="7"/>
  <c r="L695" i="4"/>
  <c r="L740" i="7"/>
  <c r="L1881" i="6"/>
  <c r="L386" i="4"/>
  <c r="L58" i="10"/>
  <c r="M58" i="10" s="1"/>
  <c r="L1159" i="6"/>
  <c r="L751" i="7"/>
  <c r="L1136" i="7"/>
  <c r="L1345" i="6"/>
  <c r="M1345" i="6" s="1"/>
  <c r="L853" i="7"/>
  <c r="L432" i="8"/>
  <c r="L272" i="8"/>
  <c r="L716" i="4"/>
  <c r="L562" i="7"/>
  <c r="L188" i="8"/>
  <c r="M188" i="8" s="1"/>
  <c r="L280" i="8"/>
  <c r="M280" i="8" s="1"/>
  <c r="H745" i="34"/>
  <c r="H747" i="34" s="1"/>
  <c r="L1796" i="6"/>
  <c r="L437" i="8"/>
  <c r="L438" i="8"/>
  <c r="L750" i="4"/>
  <c r="L228" i="4" s="1"/>
  <c r="M60" i="10"/>
  <c r="K981" i="7"/>
  <c r="O114" i="10" s="1"/>
  <c r="L114" i="10"/>
  <c r="P15" i="37"/>
  <c r="Q15" i="37" s="1"/>
  <c r="O99" i="37"/>
  <c r="J58" i="10"/>
  <c r="I84" i="10"/>
  <c r="L378" i="5"/>
  <c r="K141" i="5"/>
  <c r="I226" i="3"/>
  <c r="K132" i="8"/>
  <c r="L285" i="5"/>
  <c r="L684" i="4"/>
  <c r="L411" i="4"/>
  <c r="M411" i="4" s="1"/>
  <c r="N411" i="4" s="1"/>
  <c r="O411" i="4" s="1"/>
  <c r="P411" i="4" s="1"/>
  <c r="Q411" i="4" s="1"/>
  <c r="R411" i="4" s="1"/>
  <c r="L901" i="7"/>
  <c r="L1289" i="6"/>
  <c r="L210" i="8"/>
  <c r="L1921" i="6"/>
  <c r="L950" i="7"/>
  <c r="L750" i="7"/>
  <c r="M506" i="4"/>
  <c r="N506" i="4" s="1"/>
  <c r="O506" i="4" s="1"/>
  <c r="P506" i="4" s="1"/>
  <c r="Q506" i="4" s="1"/>
  <c r="R506" i="4" s="1"/>
  <c r="R114" i="4" s="1"/>
  <c r="R152" i="4" s="1"/>
  <c r="K171" i="7"/>
  <c r="P129" i="42"/>
  <c r="L771" i="6"/>
  <c r="M771" i="6" s="1"/>
  <c r="N771" i="6" s="1"/>
  <c r="O771" i="6" s="1"/>
  <c r="P771" i="6" s="1"/>
  <c r="Q771" i="6" s="1"/>
  <c r="K126" i="8"/>
  <c r="I745" i="34"/>
  <c r="L1847" i="6"/>
  <c r="M1847" i="6" s="1"/>
  <c r="L924" i="7"/>
  <c r="M924" i="7" s="1"/>
  <c r="N924" i="7" s="1"/>
  <c r="O924" i="7" s="1"/>
  <c r="P924" i="7" s="1"/>
  <c r="Q924" i="7" s="1"/>
  <c r="R924" i="7" s="1"/>
  <c r="L922" i="7"/>
  <c r="M922" i="7" s="1"/>
  <c r="N922" i="7" s="1"/>
  <c r="O922" i="7" s="1"/>
  <c r="P922" i="7" s="1"/>
  <c r="Q922" i="7" s="1"/>
  <c r="R922" i="7" s="1"/>
  <c r="L634" i="4"/>
  <c r="M634" i="4" s="1"/>
  <c r="N634" i="4" s="1"/>
  <c r="O634" i="4" s="1"/>
  <c r="P634" i="4" s="1"/>
  <c r="Q634" i="4" s="1"/>
  <c r="R634" i="4" s="1"/>
  <c r="L275" i="8"/>
  <c r="L308" i="8"/>
  <c r="L641" i="4"/>
  <c r="L207" i="8"/>
  <c r="L191" i="8"/>
  <c r="L625" i="4"/>
  <c r="N217" i="10"/>
  <c r="P217" i="10" s="1"/>
  <c r="L913" i="4"/>
  <c r="L872" i="4"/>
  <c r="L1097" i="6"/>
  <c r="L965" i="7"/>
  <c r="L1786" i="6"/>
  <c r="L1797" i="6"/>
  <c r="L1249" i="6"/>
  <c r="L538" i="4"/>
  <c r="L408" i="8"/>
  <c r="L585" i="4"/>
  <c r="K130" i="8"/>
  <c r="L302" i="8"/>
  <c r="L627" i="4"/>
  <c r="L385" i="4"/>
  <c r="L752" i="7"/>
  <c r="L262" i="7" s="1"/>
  <c r="L456" i="4"/>
  <c r="K838" i="6"/>
  <c r="L838" i="6" s="1"/>
  <c r="M838" i="6" s="1"/>
  <c r="N838" i="6" s="1"/>
  <c r="O838" i="6" s="1"/>
  <c r="P838" i="6" s="1"/>
  <c r="Q838" i="6" s="1"/>
  <c r="R838" i="6" s="1"/>
  <c r="O55" i="1"/>
  <c r="N288" i="3" s="1"/>
  <c r="H247" i="15"/>
  <c r="H269" i="15" s="1"/>
  <c r="L772" i="6"/>
  <c r="M772" i="6" s="1"/>
  <c r="N772" i="6" s="1"/>
  <c r="O772" i="6" s="1"/>
  <c r="P772" i="6" s="1"/>
  <c r="Q772" i="6" s="1"/>
  <c r="L692" i="4"/>
  <c r="M692" i="4" s="1"/>
  <c r="N692" i="4" s="1"/>
  <c r="L208" i="8"/>
  <c r="M208" i="8" s="1"/>
  <c r="L929" i="7"/>
  <c r="L371" i="7" s="1"/>
  <c r="L921" i="7"/>
  <c r="M921" i="7" s="1"/>
  <c r="N921" i="7" s="1"/>
  <c r="O921" i="7" s="1"/>
  <c r="P921" i="7" s="1"/>
  <c r="Q921" i="7" s="1"/>
  <c r="L371" i="5"/>
  <c r="L757" i="6"/>
  <c r="L379" i="5"/>
  <c r="L142" i="5" s="1"/>
  <c r="L273" i="8"/>
  <c r="L388" i="4"/>
  <c r="L1824" i="6"/>
  <c r="L710" i="4"/>
  <c r="L1923" i="6"/>
  <c r="L241" i="8"/>
  <c r="L725" i="7"/>
  <c r="L304" i="8"/>
  <c r="L274" i="8"/>
  <c r="L1713" i="6"/>
  <c r="L1744" i="6"/>
  <c r="K595" i="6"/>
  <c r="I195" i="5"/>
  <c r="Q109" i="42" s="1"/>
  <c r="R109" i="42" s="1"/>
  <c r="L927" i="7"/>
  <c r="L496" i="4"/>
  <c r="L494" i="4"/>
  <c r="L1112" i="7"/>
  <c r="L550" i="4"/>
  <c r="L553" i="4"/>
  <c r="L549" i="4"/>
  <c r="L557" i="4"/>
  <c r="L551" i="4"/>
  <c r="L555" i="4"/>
  <c r="L552" i="4"/>
  <c r="L558" i="4"/>
  <c r="L556" i="4"/>
  <c r="L548" i="4"/>
  <c r="L554" i="4"/>
  <c r="L92" i="10"/>
  <c r="M59" i="10"/>
  <c r="G9" i="5"/>
  <c r="Q99" i="48" s="1"/>
  <c r="L452" i="8"/>
  <c r="L770" i="6"/>
  <c r="M770" i="6" s="1"/>
  <c r="N770" i="6" s="1"/>
  <c r="O770" i="6" s="1"/>
  <c r="P770" i="6" s="1"/>
  <c r="Q770" i="6" s="1"/>
  <c r="L1710" i="6"/>
  <c r="L1851" i="6"/>
  <c r="L650" i="6" s="1"/>
  <c r="L977" i="7"/>
  <c r="J663" i="4"/>
  <c r="J206" i="4" s="1"/>
  <c r="L1812" i="6"/>
  <c r="J348" i="7"/>
  <c r="K114" i="10"/>
  <c r="L773" i="6"/>
  <c r="M773" i="6" s="1"/>
  <c r="N773" i="6" s="1"/>
  <c r="O773" i="6" s="1"/>
  <c r="P773" i="6" s="1"/>
  <c r="Q773" i="6" s="1"/>
  <c r="L1785" i="6"/>
  <c r="L461" i="4"/>
  <c r="L301" i="8"/>
  <c r="L1107" i="7"/>
  <c r="L303" i="8"/>
  <c r="L734" i="7"/>
  <c r="M734" i="7" s="1"/>
  <c r="N734" i="7" s="1"/>
  <c r="O734" i="7" s="1"/>
  <c r="P734" i="7" s="1"/>
  <c r="Q734" i="7" s="1"/>
  <c r="R734" i="7" s="1"/>
  <c r="L384" i="4"/>
  <c r="L1822" i="6"/>
  <c r="L826" i="6"/>
  <c r="L1050" i="6"/>
  <c r="L265" i="6" s="1"/>
  <c r="L709" i="4"/>
  <c r="L307" i="8"/>
  <c r="L1387" i="6"/>
  <c r="L1732" i="6"/>
  <c r="L590" i="6" s="1"/>
  <c r="L1095" i="6"/>
  <c r="K313" i="6"/>
  <c r="L733" i="7"/>
  <c r="M733" i="7" s="1"/>
  <c r="N733" i="7" s="1"/>
  <c r="O733" i="7" s="1"/>
  <c r="P733" i="7" s="1"/>
  <c r="Q733" i="7" s="1"/>
  <c r="R733" i="7" s="1"/>
  <c r="L561" i="7"/>
  <c r="L491" i="4"/>
  <c r="L387" i="4"/>
  <c r="L1388" i="6"/>
  <c r="P53" i="10"/>
  <c r="O29" i="11" s="1"/>
  <c r="P29" i="11" s="1"/>
  <c r="Q29" i="11" s="1"/>
  <c r="K765" i="7"/>
  <c r="K274" i="7" s="1"/>
  <c r="L793" i="7"/>
  <c r="M793" i="7" s="1"/>
  <c r="N793" i="7" s="1"/>
  <c r="O793" i="7" s="1"/>
  <c r="P793" i="7" s="1"/>
  <c r="Q793" i="7" s="1"/>
  <c r="R793" i="7" s="1"/>
  <c r="J632" i="6"/>
  <c r="K234" i="10"/>
  <c r="M234" i="10" s="1"/>
  <c r="L152" i="11" s="1"/>
  <c r="M152" i="11" s="1"/>
  <c r="N152" i="11" s="1"/>
  <c r="B556" i="8"/>
  <c r="B555" i="8"/>
  <c r="B1453" i="6"/>
  <c r="AD65" i="9"/>
  <c r="J1013" i="6"/>
  <c r="J232" i="6" s="1"/>
  <c r="H215" i="9"/>
  <c r="Q43" i="42"/>
  <c r="G15" i="6"/>
  <c r="Q110" i="48" s="1"/>
  <c r="K906" i="6"/>
  <c r="L906" i="6" s="1"/>
  <c r="K122" i="42"/>
  <c r="C208" i="3"/>
  <c r="C210" i="3" s="1"/>
  <c r="C56" i="13"/>
  <c r="C146" i="3" s="1"/>
  <c r="E699" i="34"/>
  <c r="E700" i="34" s="1"/>
  <c r="E206" i="34" s="1"/>
  <c r="J307" i="7"/>
  <c r="J80" i="7"/>
  <c r="K883" i="7"/>
  <c r="N60" i="10" s="1"/>
  <c r="AI21" i="42"/>
  <c r="K128" i="8"/>
  <c r="J422" i="45"/>
  <c r="J424" i="45" s="1"/>
  <c r="J431" i="45" s="1"/>
  <c r="J432" i="45" s="1"/>
  <c r="H741" i="34"/>
  <c r="H743" i="34" s="1"/>
  <c r="E694" i="34"/>
  <c r="E203" i="34" s="1"/>
  <c r="E204" i="34" s="1"/>
  <c r="O21" i="26"/>
  <c r="K414" i="8"/>
  <c r="J119" i="8"/>
  <c r="K233" i="8"/>
  <c r="K123" i="8"/>
  <c r="K129" i="8"/>
  <c r="AJ41" i="42"/>
  <c r="I75" i="15" s="1"/>
  <c r="I322" i="34" s="1"/>
  <c r="H114" i="3"/>
  <c r="K429" i="8"/>
  <c r="K119" i="8" s="1"/>
  <c r="J121" i="8"/>
  <c r="G505" i="34"/>
  <c r="K407" i="8"/>
  <c r="K118" i="8" s="1"/>
  <c r="AU7" i="42"/>
  <c r="E101" i="15" s="1"/>
  <c r="D233" i="42" s="1"/>
  <c r="K1937" i="6"/>
  <c r="L1937" i="6" s="1"/>
  <c r="J91" i="48"/>
  <c r="AU11" i="42"/>
  <c r="E105" i="15" s="1"/>
  <c r="D237" i="42" s="1"/>
  <c r="F393" i="34"/>
  <c r="I43" i="8"/>
  <c r="AH7" i="42" s="1"/>
  <c r="G609" i="34" s="1"/>
  <c r="G610" i="34" s="1"/>
  <c r="G612" i="34" s="1"/>
  <c r="G243" i="34" s="1"/>
  <c r="I128" i="42"/>
  <c r="K626" i="7"/>
  <c r="K178" i="7" s="1"/>
  <c r="G8" i="7"/>
  <c r="K882" i="7"/>
  <c r="L882" i="7" s="1"/>
  <c r="K495" i="7"/>
  <c r="K85" i="7" s="1"/>
  <c r="J85" i="7"/>
  <c r="K92" i="7"/>
  <c r="K498" i="7"/>
  <c r="K88" i="7" s="1"/>
  <c r="H441" i="7"/>
  <c r="G442" i="7"/>
  <c r="F794" i="34"/>
  <c r="F800" i="34" s="1"/>
  <c r="F824" i="34"/>
  <c r="G372" i="6"/>
  <c r="H372" i="6" s="1"/>
  <c r="J423" i="6"/>
  <c r="K1780" i="6"/>
  <c r="L1780" i="6" s="1"/>
  <c r="J1449" i="6"/>
  <c r="J1451" i="6" s="1"/>
  <c r="J1453" i="6" s="1"/>
  <c r="J1462" i="6" s="1"/>
  <c r="C1509" i="6"/>
  <c r="K2009" i="6"/>
  <c r="K724" i="6" s="1"/>
  <c r="J721" i="6"/>
  <c r="Q2073" i="6"/>
  <c r="O7" i="3" s="1"/>
  <c r="I115" i="42"/>
  <c r="K1848" i="6"/>
  <c r="L1848" i="6" s="1"/>
  <c r="J731" i="34" s="1"/>
  <c r="G2076" i="6"/>
  <c r="E32" i="13" s="1"/>
  <c r="O687" i="34"/>
  <c r="O681" i="34" s="1"/>
  <c r="I112" i="3"/>
  <c r="K107" i="42"/>
  <c r="M107" i="42" s="1"/>
  <c r="I774" i="34"/>
  <c r="K333" i="4"/>
  <c r="H115" i="3"/>
  <c r="I115" i="3"/>
  <c r="J182" i="4"/>
  <c r="J331" i="4"/>
  <c r="I157" i="4"/>
  <c r="I243" i="4"/>
  <c r="Q99" i="42" s="1"/>
  <c r="H1609" i="6"/>
  <c r="G37" i="4"/>
  <c r="F687" i="34" s="1"/>
  <c r="F681" i="34" s="1"/>
  <c r="F8" i="3"/>
  <c r="I1573" i="6"/>
  <c r="K580" i="4"/>
  <c r="I136" i="3" s="1"/>
  <c r="J153" i="4"/>
  <c r="J350" i="4"/>
  <c r="H728" i="34"/>
  <c r="J43" i="55"/>
  <c r="K40" i="55" s="1"/>
  <c r="A111" i="17"/>
  <c r="A113" i="17" s="1"/>
  <c r="K1021" i="7"/>
  <c r="K1023" i="7" s="1"/>
  <c r="K898" i="7"/>
  <c r="N114" i="10" s="1"/>
  <c r="C1195" i="7"/>
  <c r="I577" i="7"/>
  <c r="I579" i="7" s="1"/>
  <c r="I589" i="7" s="1"/>
  <c r="L512" i="7"/>
  <c r="I111" i="3"/>
  <c r="H142" i="3"/>
  <c r="H111" i="3"/>
  <c r="J91" i="6"/>
  <c r="H113" i="3"/>
  <c r="K145" i="3"/>
  <c r="M249" i="6"/>
  <c r="AU117" i="9" s="1"/>
  <c r="I424" i="45"/>
  <c r="I431" i="45" s="1"/>
  <c r="I432" i="45" s="1"/>
  <c r="B77" i="3"/>
  <c r="B78" i="3" s="1"/>
  <c r="B120" i="16"/>
  <c r="A120" i="16"/>
  <c r="A77" i="3"/>
  <c r="A78" i="3" s="1"/>
  <c r="A82" i="3"/>
  <c r="B82" i="3"/>
  <c r="F53" i="11"/>
  <c r="G53" i="11" s="1"/>
  <c r="H53" i="11" s="1"/>
  <c r="F103" i="3"/>
  <c r="B25" i="3"/>
  <c r="B26" i="3" s="1"/>
  <c r="B156" i="3"/>
  <c r="B157" i="3" s="1"/>
  <c r="P50" i="42"/>
  <c r="A156" i="3"/>
  <c r="A157" i="3" s="1"/>
  <c r="A25" i="3"/>
  <c r="A26" i="3" s="1"/>
  <c r="A63" i="3"/>
  <c r="A64" i="3" s="1"/>
  <c r="P49" i="42"/>
  <c r="A72" i="3"/>
  <c r="D83" i="14"/>
  <c r="D92" i="14" s="1"/>
  <c r="D165" i="14"/>
  <c r="H109" i="14"/>
  <c r="G74" i="14"/>
  <c r="I70" i="14" s="1"/>
  <c r="AJ177" i="9"/>
  <c r="CO177" i="9"/>
  <c r="K267" i="8"/>
  <c r="K60" i="8" s="1"/>
  <c r="J60" i="8"/>
  <c r="AE134" i="9"/>
  <c r="CN134" i="9"/>
  <c r="G138" i="9"/>
  <c r="I1080" i="6" s="1"/>
  <c r="H134" i="9"/>
  <c r="AG134" i="9"/>
  <c r="AG138" i="9" s="1"/>
  <c r="K782" i="7"/>
  <c r="H41" i="7"/>
  <c r="E102" i="13"/>
  <c r="J86" i="48"/>
  <c r="J87" i="48"/>
  <c r="J84" i="48"/>
  <c r="T138" i="9"/>
  <c r="T346" i="9" s="1"/>
  <c r="K209" i="3"/>
  <c r="K99" i="48"/>
  <c r="K98" i="48"/>
  <c r="F310" i="15"/>
  <c r="H43" i="8"/>
  <c r="F316" i="15"/>
  <c r="J235" i="3"/>
  <c r="AP138" i="9"/>
  <c r="L1079" i="6" s="1"/>
  <c r="CO29" i="9"/>
  <c r="J289" i="6"/>
  <c r="F84" i="15"/>
  <c r="D241" i="42"/>
  <c r="F108" i="15"/>
  <c r="D250" i="42"/>
  <c r="F117" i="15"/>
  <c r="E325" i="34"/>
  <c r="E293" i="34" s="1"/>
  <c r="E525" i="34" s="1"/>
  <c r="F39" i="15"/>
  <c r="B233" i="42"/>
  <c r="F54" i="15"/>
  <c r="B249" i="42"/>
  <c r="B68" i="13"/>
  <c r="J433" i="6"/>
  <c r="J649" i="6"/>
  <c r="T21" i="42"/>
  <c r="G54" i="15" s="1"/>
  <c r="K1407" i="6"/>
  <c r="K440" i="6" s="1"/>
  <c r="B193" i="15"/>
  <c r="B138" i="15" s="1"/>
  <c r="O39" i="37"/>
  <c r="G80" i="4"/>
  <c r="H80" i="4" s="1"/>
  <c r="K1329" i="6"/>
  <c r="L1329" i="6" s="1"/>
  <c r="J495" i="6"/>
  <c r="K1282" i="6"/>
  <c r="K407" i="6" s="1"/>
  <c r="K1862" i="6"/>
  <c r="K654" i="6" s="1"/>
  <c r="CC68" i="21"/>
  <c r="E336" i="34"/>
  <c r="G95" i="8"/>
  <c r="N214" i="48"/>
  <c r="N206" i="48"/>
  <c r="N186" i="48"/>
  <c r="N188" i="48"/>
  <c r="N190" i="48"/>
  <c r="N205" i="48"/>
  <c r="N180" i="48"/>
  <c r="N198" i="48"/>
  <c r="N191" i="48"/>
  <c r="N193" i="48"/>
  <c r="N187" i="48"/>
  <c r="N202" i="48"/>
  <c r="N204" i="48"/>
  <c r="N195" i="48"/>
  <c r="N194" i="48"/>
  <c r="N196" i="48"/>
  <c r="N203" i="48"/>
  <c r="N181" i="48"/>
  <c r="N192" i="48"/>
  <c r="N197" i="48"/>
  <c r="N179" i="48"/>
  <c r="N201" i="48"/>
  <c r="N189" i="48"/>
  <c r="N199" i="48"/>
  <c r="N182" i="48"/>
  <c r="N200" i="48"/>
  <c r="N185" i="48"/>
  <c r="N183" i="48"/>
  <c r="N184" i="48"/>
  <c r="G214" i="48"/>
  <c r="G188" i="48"/>
  <c r="G190" i="48"/>
  <c r="G200" i="48"/>
  <c r="G203" i="48"/>
  <c r="G197" i="48"/>
  <c r="G205" i="48"/>
  <c r="G202" i="48"/>
  <c r="G179" i="48"/>
  <c r="G191" i="48"/>
  <c r="G186" i="48"/>
  <c r="G204" i="48"/>
  <c r="G180" i="48"/>
  <c r="G189" i="48"/>
  <c r="G194" i="48"/>
  <c r="G195" i="48"/>
  <c r="G192" i="48"/>
  <c r="G182" i="48"/>
  <c r="G196" i="48"/>
  <c r="G187" i="48"/>
  <c r="G181" i="48"/>
  <c r="G201" i="48"/>
  <c r="G193" i="48"/>
  <c r="G183" i="48"/>
  <c r="G198" i="48"/>
  <c r="G199" i="48"/>
  <c r="G185" i="48"/>
  <c r="G184" i="48"/>
  <c r="G206" i="48"/>
  <c r="I214" i="48"/>
  <c r="I198" i="48"/>
  <c r="I195" i="48"/>
  <c r="I204" i="48"/>
  <c r="I200" i="48"/>
  <c r="I189" i="48"/>
  <c r="I183" i="48"/>
  <c r="I188" i="48"/>
  <c r="I202" i="48"/>
  <c r="I180" i="48"/>
  <c r="I181" i="48"/>
  <c r="I201" i="48"/>
  <c r="I203" i="48"/>
  <c r="I182" i="48"/>
  <c r="I206" i="48"/>
  <c r="I199" i="48"/>
  <c r="I193" i="48"/>
  <c r="I197" i="48"/>
  <c r="I196" i="48"/>
  <c r="I191" i="48"/>
  <c r="I192" i="48"/>
  <c r="I205" i="48"/>
  <c r="I185" i="48"/>
  <c r="I187" i="48"/>
  <c r="I186" i="48"/>
  <c r="I194" i="48"/>
  <c r="I190" i="48"/>
  <c r="I184" i="48"/>
  <c r="C169" i="48"/>
  <c r="J83" i="48"/>
  <c r="H94" i="7"/>
  <c r="E30" i="48"/>
  <c r="K105" i="48"/>
  <c r="K103" i="48"/>
  <c r="G9" i="6"/>
  <c r="D26" i="6"/>
  <c r="D42" i="6" s="1"/>
  <c r="H341" i="6"/>
  <c r="D1147" i="6"/>
  <c r="J103" i="48"/>
  <c r="K110" i="48"/>
  <c r="J106" i="48"/>
  <c r="C104" i="13"/>
  <c r="H164" i="6"/>
  <c r="H419" i="6"/>
  <c r="K116" i="42"/>
  <c r="D31" i="48"/>
  <c r="L169" i="48" s="1"/>
  <c r="D24" i="48"/>
  <c r="D169" i="48" s="1"/>
  <c r="D32" i="48"/>
  <c r="D26" i="48"/>
  <c r="D37" i="48"/>
  <c r="R169" i="48" s="1"/>
  <c r="D35" i="48"/>
  <c r="P169" i="48" s="1"/>
  <c r="K927" i="4"/>
  <c r="K351" i="4" s="1"/>
  <c r="M102" i="42"/>
  <c r="H1363" i="6"/>
  <c r="H127" i="8"/>
  <c r="G1498" i="6"/>
  <c r="G939" i="6"/>
  <c r="H939" i="6" s="1"/>
  <c r="G1562" i="6"/>
  <c r="H1562" i="6" s="1"/>
  <c r="G1138" i="6"/>
  <c r="H1138" i="6" s="1"/>
  <c r="G1453" i="6"/>
  <c r="H1453" i="6" s="1"/>
  <c r="F766" i="34"/>
  <c r="G1199" i="6"/>
  <c r="H1199" i="6" s="1"/>
  <c r="K114" i="42"/>
  <c r="G27" i="6"/>
  <c r="I39" i="19"/>
  <c r="J365" i="7"/>
  <c r="K566" i="7"/>
  <c r="K129" i="7" s="1"/>
  <c r="K786" i="7"/>
  <c r="K293" i="7" s="1"/>
  <c r="J317" i="7"/>
  <c r="B136" i="42"/>
  <c r="K318" i="7"/>
  <c r="K823" i="7"/>
  <c r="P16" i="26" s="1"/>
  <c r="K132" i="42"/>
  <c r="J308" i="7"/>
  <c r="K518" i="7"/>
  <c r="L518" i="7" s="1"/>
  <c r="A25" i="19"/>
  <c r="A57" i="19" s="1"/>
  <c r="A29" i="19"/>
  <c r="A77" i="19" s="1"/>
  <c r="G11" i="7"/>
  <c r="E12" i="13"/>
  <c r="J217" i="7"/>
  <c r="C194" i="7"/>
  <c r="I206" i="7"/>
  <c r="D538" i="7"/>
  <c r="D174" i="14"/>
  <c r="D183" i="14" s="1"/>
  <c r="G859" i="7"/>
  <c r="H859" i="7" s="1"/>
  <c r="G759" i="7"/>
  <c r="H759" i="7" s="1"/>
  <c r="G579" i="7"/>
  <c r="H579" i="7" s="1"/>
  <c r="K129" i="42"/>
  <c r="G45" i="7"/>
  <c r="H45" i="7" s="1"/>
  <c r="G529" i="7"/>
  <c r="H529" i="7" s="1"/>
  <c r="F119" i="9"/>
  <c r="L132" i="42"/>
  <c r="H442" i="7"/>
  <c r="G212" i="7"/>
  <c r="H212" i="7" s="1"/>
  <c r="C306" i="34"/>
  <c r="E199" i="15"/>
  <c r="F199" i="15" s="1"/>
  <c r="G199" i="15"/>
  <c r="G144" i="15" s="1"/>
  <c r="F203" i="15"/>
  <c r="B119" i="13"/>
  <c r="E148" i="15"/>
  <c r="AU8" i="42"/>
  <c r="E102" i="15" s="1"/>
  <c r="D234" i="42" s="1"/>
  <c r="AU34" i="42"/>
  <c r="H497" i="5"/>
  <c r="H504" i="5"/>
  <c r="D479" i="5"/>
  <c r="D25" i="5"/>
  <c r="D459" i="5"/>
  <c r="H8" i="5"/>
  <c r="G103" i="5"/>
  <c r="H103" i="5" s="1"/>
  <c r="G260" i="5"/>
  <c r="H260" i="5" s="1"/>
  <c r="G451" i="5"/>
  <c r="H451" i="5" s="1"/>
  <c r="G322" i="5"/>
  <c r="H322" i="5" s="1"/>
  <c r="G387" i="5"/>
  <c r="H387" i="5" s="1"/>
  <c r="L106" i="42"/>
  <c r="K108" i="42"/>
  <c r="G724" i="4"/>
  <c r="H724" i="4" s="1"/>
  <c r="G779" i="4"/>
  <c r="H779" i="4" s="1"/>
  <c r="F8" i="12"/>
  <c r="I403" i="4" s="1"/>
  <c r="G8" i="12" s="1"/>
  <c r="F7" i="12"/>
  <c r="I402" i="4" s="1"/>
  <c r="G7" i="12" s="1"/>
  <c r="K98" i="42"/>
  <c r="F5" i="12"/>
  <c r="I400" i="4" s="1"/>
  <c r="G5" i="12" s="1"/>
  <c r="J400" i="4" s="1"/>
  <c r="F9" i="12"/>
  <c r="I404" i="4" s="1"/>
  <c r="G9" i="12" s="1"/>
  <c r="G12" i="4"/>
  <c r="G939" i="4"/>
  <c r="G191" i="4"/>
  <c r="H191" i="4" s="1"/>
  <c r="CD121" i="22"/>
  <c r="AX41" i="42"/>
  <c r="I106" i="15" s="1"/>
  <c r="I336" i="34" s="1"/>
  <c r="I569" i="34" s="1"/>
  <c r="P79" i="42"/>
  <c r="K60" i="20"/>
  <c r="L60" i="20" s="1"/>
  <c r="M60" i="20" s="1"/>
  <c r="H50" i="20"/>
  <c r="H100" i="20" s="1"/>
  <c r="G102" i="20"/>
  <c r="C201" i="3" s="1"/>
  <c r="BI87" i="9"/>
  <c r="BI169" i="9" s="1"/>
  <c r="BS3" i="9"/>
  <c r="BS87" i="9" s="1"/>
  <c r="BS169" i="9" s="1"/>
  <c r="B345" i="6"/>
  <c r="B2040" i="6" s="1"/>
  <c r="P48" i="1"/>
  <c r="L1795" i="6"/>
  <c r="L902" i="7"/>
  <c r="L1814" i="6"/>
  <c r="L793" i="6"/>
  <c r="L1880" i="6"/>
  <c r="L903" i="6"/>
  <c r="L1165" i="6"/>
  <c r="L305" i="6" s="1"/>
  <c r="L217" i="8"/>
  <c r="J661" i="34"/>
  <c r="L885" i="7"/>
  <c r="Q59" i="10" s="1"/>
  <c r="L878" i="7"/>
  <c r="Q91" i="10" s="1"/>
  <c r="S91" i="10" s="1"/>
  <c r="L880" i="7"/>
  <c r="Z8" i="54"/>
  <c r="Z5" i="54"/>
  <c r="Y11" i="54"/>
  <c r="Y18" i="54" s="1"/>
  <c r="Y20" i="54" s="1"/>
  <c r="L229" i="5"/>
  <c r="L928" i="7"/>
  <c r="L415" i="8"/>
  <c r="K148" i="6"/>
  <c r="K1279" i="6"/>
  <c r="K405" i="6" s="1"/>
  <c r="K410" i="6"/>
  <c r="K970" i="6"/>
  <c r="L970" i="6" s="1"/>
  <c r="O20" i="26"/>
  <c r="J161" i="45"/>
  <c r="M98" i="1"/>
  <c r="L105" i="1"/>
  <c r="I177" i="6"/>
  <c r="I64" i="6" s="1"/>
  <c r="G61" i="3" s="1"/>
  <c r="H111" i="1"/>
  <c r="H114" i="1" s="1"/>
  <c r="H116" i="1" s="1"/>
  <c r="O103" i="1"/>
  <c r="L969" i="7"/>
  <c r="L1617" i="6"/>
  <c r="L848" i="6"/>
  <c r="L1417" i="6"/>
  <c r="L1386" i="6"/>
  <c r="K124" i="1"/>
  <c r="L327" i="8"/>
  <c r="L850" i="6"/>
  <c r="L1420" i="6"/>
  <c r="L1414" i="6"/>
  <c r="L715" i="4"/>
  <c r="L1443" i="6"/>
  <c r="L490" i="4"/>
  <c r="K107" i="4"/>
  <c r="K920" i="7"/>
  <c r="J367" i="7"/>
  <c r="J746" i="34"/>
  <c r="I750" i="34"/>
  <c r="L1442" i="6"/>
  <c r="L236" i="8"/>
  <c r="L1445" i="6"/>
  <c r="L1412" i="6"/>
  <c r="L914" i="6"/>
  <c r="K126" i="1"/>
  <c r="K128" i="1"/>
  <c r="L455" i="4"/>
  <c r="V31" i="42"/>
  <c r="H31" i="42" s="1"/>
  <c r="I214" i="15"/>
  <c r="I159" i="15" s="1"/>
  <c r="H122" i="13"/>
  <c r="L438" i="4"/>
  <c r="L74" i="4" s="1"/>
  <c r="L1719" i="6"/>
  <c r="K577" i="6"/>
  <c r="K604" i="6" s="1"/>
  <c r="K2074" i="6" s="1"/>
  <c r="K53" i="6" s="1"/>
  <c r="K1754" i="6"/>
  <c r="L917" i="6"/>
  <c r="L849" i="6"/>
  <c r="L844" i="6"/>
  <c r="L846" i="6"/>
  <c r="J742" i="34"/>
  <c r="L460" i="4"/>
  <c r="L328" i="8"/>
  <c r="L334" i="8"/>
  <c r="L845" i="6"/>
  <c r="L1440" i="6"/>
  <c r="L1857" i="6"/>
  <c r="L946" i="7"/>
  <c r="K417" i="6"/>
  <c r="L1419" i="6"/>
  <c r="L1441" i="6"/>
  <c r="L1418" i="6"/>
  <c r="L1444" i="6"/>
  <c r="G216" i="15"/>
  <c r="G137" i="15"/>
  <c r="G161" i="15" s="1"/>
  <c r="L1413" i="6"/>
  <c r="J738" i="34"/>
  <c r="J72" i="34"/>
  <c r="L1422" i="6"/>
  <c r="L937" i="7"/>
  <c r="K373" i="7"/>
  <c r="K397" i="7" s="1"/>
  <c r="K43" i="7" s="1"/>
  <c r="H13" i="13" s="1"/>
  <c r="H49" i="13" s="1"/>
  <c r="K1002" i="7"/>
  <c r="K1225" i="7" s="1"/>
  <c r="L908" i="6"/>
  <c r="L531" i="4"/>
  <c r="L1415" i="6"/>
  <c r="L847" i="6"/>
  <c r="AT117" i="9"/>
  <c r="CQ117" i="9"/>
  <c r="L1804" i="6"/>
  <c r="L855" i="6"/>
  <c r="L516" i="4"/>
  <c r="L826" i="7"/>
  <c r="L349" i="5"/>
  <c r="L284" i="8"/>
  <c r="L412" i="5"/>
  <c r="L796" i="7"/>
  <c r="L332" i="8"/>
  <c r="L1887" i="6"/>
  <c r="L854" i="6"/>
  <c r="L975" i="7"/>
  <c r="L708" i="4"/>
  <c r="L573" i="7"/>
  <c r="L1416" i="6"/>
  <c r="K125" i="1"/>
  <c r="L1240" i="6"/>
  <c r="L926" i="6"/>
  <c r="L1421" i="6"/>
  <c r="L1439" i="6"/>
  <c r="L136" i="11"/>
  <c r="M136" i="11" s="1"/>
  <c r="N136" i="11" s="1"/>
  <c r="L627" i="7"/>
  <c r="K179" i="7"/>
  <c r="K182" i="7" s="1"/>
  <c r="K42" i="7" s="1"/>
  <c r="I66" i="13" s="1"/>
  <c r="K630" i="7"/>
  <c r="K1222" i="7" s="1"/>
  <c r="L966" i="7"/>
  <c r="L1353" i="6"/>
  <c r="L1673" i="6"/>
  <c r="L297" i="8"/>
  <c r="G65" i="13"/>
  <c r="H192" i="15"/>
  <c r="U30" i="42"/>
  <c r="G30" i="42" s="1"/>
  <c r="K127" i="1"/>
  <c r="L1160" i="6"/>
  <c r="L190" i="8"/>
  <c r="L296" i="8"/>
  <c r="N1028" i="6"/>
  <c r="K117" i="9"/>
  <c r="L422" i="4"/>
  <c r="N123" i="1"/>
  <c r="O123" i="1" s="1"/>
  <c r="K338" i="8"/>
  <c r="K69" i="8" s="1"/>
  <c r="D343" i="6"/>
  <c r="K653" i="6"/>
  <c r="J344" i="6"/>
  <c r="D699" i="34"/>
  <c r="D700" i="34" s="1"/>
  <c r="D206" i="34" s="1"/>
  <c r="G117" i="15"/>
  <c r="G108" i="15"/>
  <c r="D585" i="34"/>
  <c r="D586" i="34" s="1"/>
  <c r="D588" i="34" s="1"/>
  <c r="D239" i="34" s="1"/>
  <c r="U12" i="42"/>
  <c r="K366" i="7"/>
  <c r="A33" i="20"/>
  <c r="A62" i="20" s="1"/>
  <c r="J1023" i="7"/>
  <c r="F692" i="34"/>
  <c r="CB69" i="21"/>
  <c r="D565" i="34"/>
  <c r="G565" i="34"/>
  <c r="F565" i="34"/>
  <c r="E598" i="34"/>
  <c r="E600" i="34" s="1"/>
  <c r="E241" i="34" s="1"/>
  <c r="AG8" i="42"/>
  <c r="E71" i="15" s="1"/>
  <c r="L39" i="19"/>
  <c r="J116" i="4"/>
  <c r="G424" i="45"/>
  <c r="G431" i="45" s="1"/>
  <c r="G432" i="45" s="1"/>
  <c r="B360" i="42"/>
  <c r="E86" i="15"/>
  <c r="E151" i="42"/>
  <c r="C72" i="42"/>
  <c r="C24" i="15"/>
  <c r="G77" i="15"/>
  <c r="E77" i="15"/>
  <c r="F77" i="15" s="1"/>
  <c r="K278" i="6"/>
  <c r="K144" i="6"/>
  <c r="J278" i="6"/>
  <c r="H723" i="34"/>
  <c r="G52" i="6"/>
  <c r="H52" i="6" s="1"/>
  <c r="K1278" i="6"/>
  <c r="J2075" i="6"/>
  <c r="K2075" i="6"/>
  <c r="D28" i="5"/>
  <c r="K149" i="6"/>
  <c r="H767" i="34"/>
  <c r="K898" i="6"/>
  <c r="K146" i="6" s="1"/>
  <c r="J146" i="6"/>
  <c r="J144" i="6"/>
  <c r="C138" i="15"/>
  <c r="A138" i="15"/>
  <c r="A162" i="15" s="1"/>
  <c r="H116" i="15"/>
  <c r="A51" i="15"/>
  <c r="A20" i="15" s="1"/>
  <c r="A25" i="7"/>
  <c r="A37" i="7" s="1"/>
  <c r="A394" i="7"/>
  <c r="A398" i="7" s="1"/>
  <c r="J395" i="7"/>
  <c r="J41" i="7" s="1"/>
  <c r="G12" i="13" s="1"/>
  <c r="F14" i="13"/>
  <c r="G217" i="15"/>
  <c r="G138" i="15"/>
  <c r="G162" i="15" s="1"/>
  <c r="G631" i="7"/>
  <c r="H631" i="7" s="1"/>
  <c r="AI12" i="42"/>
  <c r="J48" i="8"/>
  <c r="AJ12" i="42"/>
  <c r="K48" i="8"/>
  <c r="J548" i="8"/>
  <c r="H27" i="17"/>
  <c r="H12" i="17" s="1"/>
  <c r="H296" i="15" s="1"/>
  <c r="G318" i="15"/>
  <c r="I44" i="8"/>
  <c r="J44" i="8"/>
  <c r="F424" i="45"/>
  <c r="F431" i="45" s="1"/>
  <c r="F432" i="45" s="1"/>
  <c r="J18" i="16"/>
  <c r="K18" i="16" s="1"/>
  <c r="C967" i="4"/>
  <c r="C84" i="4"/>
  <c r="G16" i="5"/>
  <c r="I505" i="5"/>
  <c r="I101" i="5"/>
  <c r="I477" i="5" s="1"/>
  <c r="I17" i="5"/>
  <c r="I26" i="5" s="1"/>
  <c r="L1026" i="6"/>
  <c r="L248" i="6" s="1"/>
  <c r="I475" i="4"/>
  <c r="I92" i="4" s="1"/>
  <c r="I46" i="4" s="1"/>
  <c r="G62" i="3" s="1"/>
  <c r="G46" i="45"/>
  <c r="G47" i="45" s="1"/>
  <c r="I2073" i="6"/>
  <c r="O19" i="26"/>
  <c r="H734" i="34"/>
  <c r="H727" i="34"/>
  <c r="H724" i="34"/>
  <c r="L1342" i="6"/>
  <c r="I728" i="34"/>
  <c r="I769" i="34"/>
  <c r="G793" i="34"/>
  <c r="G799" i="34" s="1"/>
  <c r="G813" i="34"/>
  <c r="G258" i="3" s="1"/>
  <c r="D290" i="6"/>
  <c r="D65" i="6" s="1"/>
  <c r="C69" i="3" s="1"/>
  <c r="E209" i="9"/>
  <c r="U119" i="9"/>
  <c r="I280" i="6"/>
  <c r="I2076" i="6"/>
  <c r="F32" i="13" s="1"/>
  <c r="C594" i="8"/>
  <c r="C597" i="8" s="1"/>
  <c r="L118" i="42"/>
  <c r="O56" i="1"/>
  <c r="P56" i="1" s="1"/>
  <c r="J21" i="12"/>
  <c r="J24" i="12"/>
  <c r="L441" i="8"/>
  <c r="K430" i="6"/>
  <c r="J20" i="12"/>
  <c r="L337" i="8"/>
  <c r="J22" i="12"/>
  <c r="K64" i="8"/>
  <c r="L876" i="4"/>
  <c r="L254" i="8"/>
  <c r="L424" i="4"/>
  <c r="L322" i="8"/>
  <c r="K67" i="8"/>
  <c r="J23" i="12"/>
  <c r="L430" i="8"/>
  <c r="L330" i="8"/>
  <c r="L930" i="4"/>
  <c r="L354" i="4" s="1"/>
  <c r="L439" i="8"/>
  <c r="J26" i="12"/>
  <c r="L454" i="4"/>
  <c r="AB68" i="21"/>
  <c r="G76" i="21" s="1"/>
  <c r="G78" i="21" s="1"/>
  <c r="H97" i="3" s="1"/>
  <c r="AC121" i="22"/>
  <c r="K300" i="8"/>
  <c r="K63" i="8" s="1"/>
  <c r="K120" i="8"/>
  <c r="K122" i="8"/>
  <c r="K121" i="8"/>
  <c r="K131" i="8"/>
  <c r="K127" i="8"/>
  <c r="D749" i="34"/>
  <c r="D751" i="34" s="1"/>
  <c r="D743" i="34"/>
  <c r="J57" i="8"/>
  <c r="A86" i="8"/>
  <c r="A576" i="8"/>
  <c r="B81" i="8"/>
  <c r="J66" i="8"/>
  <c r="C743" i="34"/>
  <c r="C749" i="34"/>
  <c r="C751" i="34" s="1"/>
  <c r="F700" i="34"/>
  <c r="F206" i="34" s="1"/>
  <c r="J109" i="8"/>
  <c r="AC3" i="21"/>
  <c r="Z3" i="22"/>
  <c r="V78" i="22"/>
  <c r="V121" i="22" s="1"/>
  <c r="CD60" i="21"/>
  <c r="C152" i="42"/>
  <c r="C85" i="15"/>
  <c r="C163" i="42"/>
  <c r="E503" i="34"/>
  <c r="E563" i="34" s="1"/>
  <c r="D184" i="42"/>
  <c r="D191" i="42"/>
  <c r="C15" i="15"/>
  <c r="K873" i="4"/>
  <c r="L873" i="4" s="1"/>
  <c r="J332" i="4"/>
  <c r="AI20" i="42"/>
  <c r="AI29" i="42" s="1"/>
  <c r="AH20" i="42"/>
  <c r="AH29" i="42" s="1"/>
  <c r="F233" i="3"/>
  <c r="G770" i="34"/>
  <c r="H770" i="34"/>
  <c r="J78" i="4"/>
  <c r="H117" i="42"/>
  <c r="I117" i="42" s="1"/>
  <c r="H110" i="42"/>
  <c r="L1043" i="7"/>
  <c r="L343" i="5"/>
  <c r="L30" i="27"/>
  <c r="L1129" i="7"/>
  <c r="K1113" i="7"/>
  <c r="I735" i="34" s="1"/>
  <c r="G11" i="4"/>
  <c r="K100" i="42"/>
  <c r="L1114" i="7"/>
  <c r="L891" i="6"/>
  <c r="L904" i="6"/>
  <c r="L680" i="7"/>
  <c r="H98" i="42"/>
  <c r="I98" i="42" s="1"/>
  <c r="G21" i="40"/>
  <c r="L1616" i="6"/>
  <c r="L890" i="6"/>
  <c r="L1132" i="7"/>
  <c r="L888" i="6"/>
  <c r="L1160" i="7"/>
  <c r="D477" i="5"/>
  <c r="K1989" i="6"/>
  <c r="L1989" i="6" s="1"/>
  <c r="J710" i="6"/>
  <c r="L1817" i="6"/>
  <c r="G118" i="42"/>
  <c r="I118" i="42" s="1"/>
  <c r="H757" i="34"/>
  <c r="G21" i="4"/>
  <c r="L99" i="42"/>
  <c r="G25" i="6"/>
  <c r="P104" i="48" s="1"/>
  <c r="L116" i="42"/>
  <c r="I9" i="6"/>
  <c r="P116" i="42"/>
  <c r="G10" i="6"/>
  <c r="K117" i="42"/>
  <c r="G12" i="6"/>
  <c r="Q107" i="48" s="1"/>
  <c r="K119" i="42"/>
  <c r="G119" i="42"/>
  <c r="G26" i="6"/>
  <c r="P105" i="48" s="1"/>
  <c r="L117" i="42"/>
  <c r="G8" i="6"/>
  <c r="K115" i="42"/>
  <c r="G23" i="6"/>
  <c r="P102" i="48" s="1"/>
  <c r="L114" i="42"/>
  <c r="D23" i="6"/>
  <c r="H114" i="42"/>
  <c r="I114" i="42" s="1"/>
  <c r="I15" i="6"/>
  <c r="P122" i="42"/>
  <c r="E101" i="14"/>
  <c r="F101" i="14" s="1"/>
  <c r="J134" i="7"/>
  <c r="J21" i="7" s="1"/>
  <c r="J33" i="7" s="1"/>
  <c r="D1209" i="7"/>
  <c r="I109" i="42"/>
  <c r="G110" i="42"/>
  <c r="G19" i="5"/>
  <c r="L109" i="42"/>
  <c r="I9" i="5"/>
  <c r="P108" i="42"/>
  <c r="R107" i="42"/>
  <c r="G495" i="5"/>
  <c r="H495" i="5" s="1"/>
  <c r="K106" i="42"/>
  <c r="I107" i="42"/>
  <c r="G506" i="5"/>
  <c r="H506" i="5" s="1"/>
  <c r="L108" i="42"/>
  <c r="G498" i="5"/>
  <c r="H498" i="5" s="1"/>
  <c r="K109" i="42"/>
  <c r="I11" i="7"/>
  <c r="P132" i="42"/>
  <c r="G12" i="7"/>
  <c r="K133" i="42"/>
  <c r="G20" i="7"/>
  <c r="L128" i="42"/>
  <c r="M128" i="42" s="1"/>
  <c r="G24" i="7"/>
  <c r="L133" i="42"/>
  <c r="I7" i="7"/>
  <c r="P128" i="42"/>
  <c r="G21" i="7"/>
  <c r="L129" i="42"/>
  <c r="G131" i="42"/>
  <c r="G24" i="6"/>
  <c r="L115" i="42"/>
  <c r="J868" i="6"/>
  <c r="AA81" i="9"/>
  <c r="AA209" i="9" s="1"/>
  <c r="AA211" i="9" s="1"/>
  <c r="F100" i="40"/>
  <c r="T40" i="42" s="1"/>
  <c r="K352" i="7"/>
  <c r="K451" i="7"/>
  <c r="K457" i="7" s="1"/>
  <c r="T7" i="42"/>
  <c r="G39" i="15" s="1"/>
  <c r="L831" i="6"/>
  <c r="L866" i="4"/>
  <c r="L1810" i="6"/>
  <c r="L905" i="7"/>
  <c r="L523" i="4"/>
  <c r="L864" i="4"/>
  <c r="K116" i="4"/>
  <c r="L1667" i="6"/>
  <c r="L1791" i="6"/>
  <c r="L904" i="7"/>
  <c r="H771" i="34"/>
  <c r="L746" i="7"/>
  <c r="L815" i="4"/>
  <c r="L814" i="4"/>
  <c r="I716" i="34"/>
  <c r="F749" i="34"/>
  <c r="F751" i="34" s="1"/>
  <c r="C12" i="13"/>
  <c r="D106" i="34"/>
  <c r="E106" i="34"/>
  <c r="E108" i="34" s="1"/>
  <c r="E458" i="34" s="1"/>
  <c r="E459" i="34" s="1"/>
  <c r="B141" i="42"/>
  <c r="E267" i="15"/>
  <c r="F267" i="15" s="1"/>
  <c r="J216" i="7"/>
  <c r="J788" i="7"/>
  <c r="J713" i="6"/>
  <c r="K924" i="4"/>
  <c r="K348" i="4" s="1"/>
  <c r="K925" i="4"/>
  <c r="K349" i="4" s="1"/>
  <c r="H75" i="17"/>
  <c r="C103" i="42"/>
  <c r="D103" i="42" s="1"/>
  <c r="K640" i="4"/>
  <c r="K187" i="4" s="1"/>
  <c r="H773" i="34"/>
  <c r="I772" i="34"/>
  <c r="K72" i="4"/>
  <c r="P47" i="42"/>
  <c r="E124" i="13"/>
  <c r="J162" i="6"/>
  <c r="J168" i="6" s="1"/>
  <c r="K798" i="7"/>
  <c r="P22" i="26" s="1"/>
  <c r="J301" i="7"/>
  <c r="I63" i="1"/>
  <c r="H72" i="1"/>
  <c r="G698" i="34"/>
  <c r="G700" i="34" s="1"/>
  <c r="G206" i="34" s="1"/>
  <c r="F597" i="34"/>
  <c r="L1896" i="6"/>
  <c r="K809" i="7"/>
  <c r="K305" i="7" s="1"/>
  <c r="O17" i="26"/>
  <c r="J450" i="6"/>
  <c r="J455" i="6" s="1"/>
  <c r="J1364" i="6"/>
  <c r="L951" i="7"/>
  <c r="L883" i="7"/>
  <c r="K998" i="6"/>
  <c r="J216" i="6"/>
  <c r="J222" i="6" s="1"/>
  <c r="J1004" i="6"/>
  <c r="J869" i="6"/>
  <c r="CE90" i="22"/>
  <c r="CE121" i="22" s="1"/>
  <c r="AG90" i="22"/>
  <c r="L350" i="5"/>
  <c r="L212" i="8"/>
  <c r="K18" i="17"/>
  <c r="J705" i="34"/>
  <c r="L724" i="7"/>
  <c r="AF64" i="21"/>
  <c r="CD64" i="21"/>
  <c r="L351" i="5"/>
  <c r="I68" i="21"/>
  <c r="AF68" i="21"/>
  <c r="CD66" i="21"/>
  <c r="L884" i="7"/>
  <c r="M884" i="7" s="1"/>
  <c r="I704" i="34"/>
  <c r="H706" i="34"/>
  <c r="H211" i="34" s="1"/>
  <c r="H823" i="34" s="1"/>
  <c r="K1623" i="6"/>
  <c r="J504" i="6"/>
  <c r="K1066" i="6"/>
  <c r="J273" i="6"/>
  <c r="J1072" i="6"/>
  <c r="L1280" i="6"/>
  <c r="L675" i="4"/>
  <c r="J428" i="45"/>
  <c r="J430" i="45" s="1"/>
  <c r="K1359" i="6"/>
  <c r="J451" i="6"/>
  <c r="J456" i="6" s="1"/>
  <c r="J1365" i="6"/>
  <c r="G737" i="34"/>
  <c r="G739" i="34" s="1"/>
  <c r="G215" i="34" s="1"/>
  <c r="J376" i="6"/>
  <c r="E739" i="34"/>
  <c r="E215" i="34" s="1"/>
  <c r="E749" i="34"/>
  <c r="E751" i="34" s="1"/>
  <c r="G747" i="34"/>
  <c r="K1169" i="7"/>
  <c r="J1175" i="7"/>
  <c r="J1223" i="7" s="1"/>
  <c r="J452" i="7"/>
  <c r="J458" i="7" s="1"/>
  <c r="J45" i="7" s="1"/>
  <c r="K260" i="6"/>
  <c r="E555" i="34"/>
  <c r="F505" i="34"/>
  <c r="D26" i="5"/>
  <c r="K784" i="7"/>
  <c r="K292" i="7" s="1"/>
  <c r="G181" i="7"/>
  <c r="H181" i="7" s="1"/>
  <c r="O23" i="26"/>
  <c r="K807" i="7"/>
  <c r="K302" i="7" s="1"/>
  <c r="D12" i="6"/>
  <c r="F307" i="45"/>
  <c r="G307" i="45" s="1"/>
  <c r="H307" i="45" s="1"/>
  <c r="D36" i="7"/>
  <c r="D35" i="7"/>
  <c r="D33" i="7"/>
  <c r="D32" i="7"/>
  <c r="C28" i="5"/>
  <c r="D27" i="5"/>
  <c r="I273" i="4"/>
  <c r="D40" i="6"/>
  <c r="B49" i="6"/>
  <c r="F67" i="3"/>
  <c r="J289" i="7"/>
  <c r="J295" i="7" s="1"/>
  <c r="J12" i="7" s="1"/>
  <c r="H776" i="34"/>
  <c r="A14" i="4"/>
  <c r="A988" i="4" s="1"/>
  <c r="A990" i="4" s="1"/>
  <c r="C30" i="4"/>
  <c r="B30" i="4"/>
  <c r="B48" i="3"/>
  <c r="F780" i="34"/>
  <c r="C479" i="5"/>
  <c r="C481" i="5" s="1"/>
  <c r="B116" i="15"/>
  <c r="D163" i="42"/>
  <c r="A147" i="8"/>
  <c r="A15" i="8"/>
  <c r="A17" i="8" s="1"/>
  <c r="A19" i="8" s="1"/>
  <c r="A23" i="8" s="1"/>
  <c r="A34" i="8" s="1"/>
  <c r="A602" i="8"/>
  <c r="A604" i="8" s="1"/>
  <c r="A606" i="8" s="1"/>
  <c r="B145" i="8"/>
  <c r="C158" i="8"/>
  <c r="C31" i="8" s="1"/>
  <c r="K111" i="8"/>
  <c r="I107" i="8"/>
  <c r="AV8" i="42" s="1"/>
  <c r="C69" i="42"/>
  <c r="B85" i="15"/>
  <c r="C21" i="42"/>
  <c r="C81" i="42" s="1"/>
  <c r="E609" i="34"/>
  <c r="E610" i="34" s="1"/>
  <c r="E612" i="34" s="1"/>
  <c r="E243" i="34" s="1"/>
  <c r="C70" i="15"/>
  <c r="B344" i="8"/>
  <c r="B346" i="8" s="1"/>
  <c r="B349" i="8" s="1"/>
  <c r="J56" i="8"/>
  <c r="J69" i="8"/>
  <c r="AV7" i="42"/>
  <c r="G101" i="15" s="1"/>
  <c r="I86" i="17"/>
  <c r="I89" i="17" s="1"/>
  <c r="K325" i="8"/>
  <c r="K68" i="8" s="1"/>
  <c r="K216" i="8"/>
  <c r="J362" i="4"/>
  <c r="L65" i="17"/>
  <c r="A65" i="17"/>
  <c r="I65" i="17"/>
  <c r="M65" i="17"/>
  <c r="J65" i="17"/>
  <c r="F65" i="17"/>
  <c r="G65" i="17"/>
  <c r="K65" i="17"/>
  <c r="H65" i="17"/>
  <c r="B65" i="17"/>
  <c r="C65" i="17"/>
  <c r="D9" i="7"/>
  <c r="O28" i="20"/>
  <c r="O45" i="20" s="1"/>
  <c r="H93" i="17"/>
  <c r="F93" i="17"/>
  <c r="K93" i="17"/>
  <c r="B93" i="17"/>
  <c r="C93" i="17"/>
  <c r="A93" i="17"/>
  <c r="K28" i="20"/>
  <c r="K45" i="20" s="1"/>
  <c r="A198" i="15"/>
  <c r="A142" i="13"/>
  <c r="J28" i="20"/>
  <c r="J45" i="20" s="1"/>
  <c r="A12" i="15"/>
  <c r="D268" i="48"/>
  <c r="D138" i="7"/>
  <c r="D11" i="6"/>
  <c r="C110" i="42"/>
  <c r="D110" i="42" s="1"/>
  <c r="D382" i="6"/>
  <c r="K868" i="6"/>
  <c r="J497" i="6"/>
  <c r="J158" i="6"/>
  <c r="C163" i="5"/>
  <c r="C467" i="5"/>
  <c r="C79" i="5"/>
  <c r="D466" i="5"/>
  <c r="D114" i="5"/>
  <c r="G10" i="5"/>
  <c r="C468" i="5"/>
  <c r="I258" i="5"/>
  <c r="I260" i="5" s="1"/>
  <c r="I271" i="5" s="1"/>
  <c r="G197" i="5"/>
  <c r="H197" i="5" s="1"/>
  <c r="C210" i="5"/>
  <c r="D199" i="5"/>
  <c r="K392" i="4"/>
  <c r="K59" i="4" s="1"/>
  <c r="K58" i="4"/>
  <c r="A73" i="15"/>
  <c r="I82" i="37"/>
  <c r="J66" i="37"/>
  <c r="J69" i="37" s="1"/>
  <c r="L20" i="20"/>
  <c r="L23" i="20" s="1"/>
  <c r="G48" i="19"/>
  <c r="D272" i="48"/>
  <c r="B118" i="17"/>
  <c r="B290" i="15"/>
  <c r="C275" i="15"/>
  <c r="C280" i="15" s="1"/>
  <c r="D868" i="7"/>
  <c r="D98" i="7"/>
  <c r="D109" i="7" s="1"/>
  <c r="D770" i="7"/>
  <c r="D1195" i="7"/>
  <c r="D589" i="7"/>
  <c r="D324" i="7"/>
  <c r="J575" i="7"/>
  <c r="J577" i="7" s="1"/>
  <c r="J579" i="7" s="1"/>
  <c r="J207" i="7"/>
  <c r="K565" i="7"/>
  <c r="K128" i="7" s="1"/>
  <c r="I207" i="7"/>
  <c r="D36" i="48"/>
  <c r="Q169" i="48" s="1"/>
  <c r="I666" i="7"/>
  <c r="G496" i="6"/>
  <c r="B19" i="42"/>
  <c r="B79" i="42" s="1"/>
  <c r="C281" i="6"/>
  <c r="D1462" i="6"/>
  <c r="D275" i="6"/>
  <c r="H275" i="6" s="1"/>
  <c r="D1255" i="6"/>
  <c r="D1573" i="6"/>
  <c r="D1069" i="6"/>
  <c r="D1014" i="6"/>
  <c r="D166" i="6"/>
  <c r="D1374" i="6"/>
  <c r="B465" i="5"/>
  <c r="B79" i="5"/>
  <c r="A121" i="3" s="1"/>
  <c r="D12" i="5"/>
  <c r="D509" i="5"/>
  <c r="D21" i="5"/>
  <c r="C511" i="5"/>
  <c r="D396" i="5"/>
  <c r="D476" i="5"/>
  <c r="D271" i="5"/>
  <c r="D478" i="5"/>
  <c r="D332" i="5"/>
  <c r="C968" i="4"/>
  <c r="C609" i="4"/>
  <c r="C14" i="4"/>
  <c r="K92" i="48"/>
  <c r="I9" i="48"/>
  <c r="B7" i="10"/>
  <c r="D473" i="4" s="1"/>
  <c r="T8" i="42"/>
  <c r="G40" i="15" s="1"/>
  <c r="B147" i="15"/>
  <c r="B2057" i="6"/>
  <c r="B169" i="6"/>
  <c r="B2037" i="6" s="1"/>
  <c r="J7" i="6"/>
  <c r="G7" i="6"/>
  <c r="G166" i="6"/>
  <c r="I7" i="6"/>
  <c r="I167" i="6"/>
  <c r="Q50" i="42"/>
  <c r="I1136" i="6"/>
  <c r="I1138" i="6" s="1"/>
  <c r="I1147" i="6" s="1"/>
  <c r="I87" i="6"/>
  <c r="K1592" i="6"/>
  <c r="K488" i="6" s="1"/>
  <c r="V12" i="42" s="1"/>
  <c r="J88" i="6"/>
  <c r="G1366" i="6"/>
  <c r="H1366" i="6" s="1"/>
  <c r="K1589" i="6"/>
  <c r="K485" i="6" s="1"/>
  <c r="B1215" i="7"/>
  <c r="B459" i="7"/>
  <c r="K1174" i="7"/>
  <c r="J1174" i="7"/>
  <c r="J1221" i="7" s="1"/>
  <c r="H5" i="3" s="1"/>
  <c r="B1011" i="7"/>
  <c r="B2059" i="6"/>
  <c r="B281" i="6"/>
  <c r="B2039" i="6" s="1"/>
  <c r="D2058" i="6"/>
  <c r="D223" i="6"/>
  <c r="G1005" i="6"/>
  <c r="H1005" i="6" s="1"/>
  <c r="J77" i="6"/>
  <c r="K1727" i="6"/>
  <c r="K585" i="6" s="1"/>
  <c r="M627" i="6"/>
  <c r="K1583" i="6"/>
  <c r="K479" i="6" s="1"/>
  <c r="I698" i="6"/>
  <c r="K1585" i="6"/>
  <c r="K476" i="6" s="1"/>
  <c r="J965" i="6"/>
  <c r="J190" i="6"/>
  <c r="I1609" i="6"/>
  <c r="G116" i="3" s="1"/>
  <c r="G117" i="3" s="1"/>
  <c r="N1023" i="6"/>
  <c r="K599" i="7"/>
  <c r="I160" i="7"/>
  <c r="B12" i="15"/>
  <c r="L375" i="8"/>
  <c r="I21" i="8"/>
  <c r="I85" i="8"/>
  <c r="J79" i="8"/>
  <c r="AI22" i="42" s="1"/>
  <c r="J348" i="8"/>
  <c r="K342" i="8"/>
  <c r="I27" i="16" s="1"/>
  <c r="I12" i="16" s="1"/>
  <c r="AW22" i="42"/>
  <c r="K541" i="8"/>
  <c r="J142" i="8"/>
  <c r="J149" i="8" s="1"/>
  <c r="AW34" i="42" s="1"/>
  <c r="L374" i="8"/>
  <c r="L1936" i="6"/>
  <c r="H121" i="16"/>
  <c r="J119" i="17"/>
  <c r="I761" i="34"/>
  <c r="K312" i="8"/>
  <c r="K65" i="8" s="1"/>
  <c r="G105" i="16"/>
  <c r="AS42" i="42"/>
  <c r="C42" i="42" s="1"/>
  <c r="D569" i="34"/>
  <c r="I75" i="17"/>
  <c r="K239" i="8"/>
  <c r="K141" i="8"/>
  <c r="I93" i="17"/>
  <c r="K75" i="17"/>
  <c r="F57" i="34"/>
  <c r="M28" i="20"/>
  <c r="M45" i="20" s="1"/>
  <c r="K70" i="16"/>
  <c r="I70" i="16"/>
  <c r="H105" i="16"/>
  <c r="G259" i="15"/>
  <c r="G113" i="16"/>
  <c r="E259" i="15"/>
  <c r="F259" i="15" s="1"/>
  <c r="F113" i="16"/>
  <c r="N28" i="20"/>
  <c r="N45" i="20" s="1"/>
  <c r="L93" i="17"/>
  <c r="J93" i="17"/>
  <c r="C300" i="15"/>
  <c r="C119" i="17"/>
  <c r="A118" i="17"/>
  <c r="I28" i="20"/>
  <c r="I45" i="20" s="1"/>
  <c r="G93" i="17"/>
  <c r="M93" i="17"/>
  <c r="J301" i="15"/>
  <c r="AR49" i="42"/>
  <c r="H252" i="15"/>
  <c r="D354" i="34"/>
  <c r="F609" i="34"/>
  <c r="F610" i="34" s="1"/>
  <c r="F612" i="34" s="1"/>
  <c r="F243" i="34" s="1"/>
  <c r="E70" i="15"/>
  <c r="C217" i="15"/>
  <c r="M1972" i="6"/>
  <c r="M369" i="8"/>
  <c r="L1385" i="6"/>
  <c r="L18" i="27"/>
  <c r="L383" i="4"/>
  <c r="L447" i="4" s="1"/>
  <c r="K77" i="6"/>
  <c r="L912" i="4"/>
  <c r="L759" i="6"/>
  <c r="J178" i="5"/>
  <c r="J10" i="5" s="1"/>
  <c r="I152" i="34"/>
  <c r="K1286" i="6"/>
  <c r="I768" i="34" s="1"/>
  <c r="J409" i="6"/>
  <c r="K1608" i="6"/>
  <c r="S33" i="42"/>
  <c r="E33" i="42" s="1"/>
  <c r="F558" i="34"/>
  <c r="F693" i="34" s="1"/>
  <c r="AG29" i="42"/>
  <c r="I295" i="7"/>
  <c r="I134" i="7"/>
  <c r="C45" i="16"/>
  <c r="I30" i="1"/>
  <c r="I31" i="1" s="1"/>
  <c r="L436" i="4"/>
  <c r="L73" i="4" s="1"/>
  <c r="K357" i="4"/>
  <c r="K938" i="4"/>
  <c r="J58" i="34"/>
  <c r="L578" i="4"/>
  <c r="I454" i="34"/>
  <c r="K131" i="4"/>
  <c r="L453" i="4"/>
  <c r="L1099" i="6"/>
  <c r="L623" i="4"/>
  <c r="L414" i="8"/>
  <c r="L579" i="4"/>
  <c r="K778" i="4"/>
  <c r="K241" i="4"/>
  <c r="K246" i="4" s="1"/>
  <c r="I8" i="34"/>
  <c r="H131" i="34"/>
  <c r="L974" i="6"/>
  <c r="L1879" i="6"/>
  <c r="L1090" i="6"/>
  <c r="L492" i="4"/>
  <c r="L1176" i="6"/>
  <c r="L1878" i="6"/>
  <c r="I421" i="34"/>
  <c r="L425" i="4"/>
  <c r="J66" i="34"/>
  <c r="L934" i="7"/>
  <c r="L451" i="4"/>
  <c r="L1127" i="6"/>
  <c r="L431" i="8"/>
  <c r="J56" i="34"/>
  <c r="L799" i="7"/>
  <c r="L498" i="4"/>
  <c r="L414" i="5"/>
  <c r="J120" i="34"/>
  <c r="L657" i="7"/>
  <c r="L1712" i="6"/>
  <c r="I89" i="34"/>
  <c r="H406" i="34"/>
  <c r="L972" i="6"/>
  <c r="J50" i="1"/>
  <c r="J106" i="8"/>
  <c r="L1666" i="6"/>
  <c r="I15" i="34"/>
  <c r="H138" i="34"/>
  <c r="L1175" i="6"/>
  <c r="L714" i="4"/>
  <c r="J96" i="34"/>
  <c r="L576" i="4"/>
  <c r="J49" i="34"/>
  <c r="I23" i="34"/>
  <c r="H146" i="34"/>
  <c r="L497" i="4"/>
  <c r="J113" i="34"/>
  <c r="J48" i="34"/>
  <c r="L971" i="6"/>
  <c r="L489" i="4"/>
  <c r="J90" i="34"/>
  <c r="L1606" i="6"/>
  <c r="J136" i="4"/>
  <c r="J105" i="34"/>
  <c r="L656" i="7"/>
  <c r="J50" i="34"/>
  <c r="L510" i="7"/>
  <c r="J79" i="34"/>
  <c r="L624" i="4"/>
  <c r="L488" i="4"/>
  <c r="J64" i="34"/>
  <c r="L976" i="6"/>
  <c r="J111" i="34"/>
  <c r="L499" i="4"/>
  <c r="J55" i="34"/>
  <c r="L577" i="4"/>
  <c r="L879" i="7"/>
  <c r="J643" i="34"/>
  <c r="J107" i="34"/>
  <c r="L513" i="4"/>
  <c r="J649" i="34"/>
  <c r="I7" i="34"/>
  <c r="H130" i="34"/>
  <c r="I426" i="34"/>
  <c r="L1032" i="7"/>
  <c r="L676" i="7"/>
  <c r="L413" i="5"/>
  <c r="I17" i="34"/>
  <c r="H140" i="34"/>
  <c r="I605" i="34"/>
  <c r="I581" i="34" s="1"/>
  <c r="H607" i="34"/>
  <c r="L493" i="4"/>
  <c r="I412" i="34"/>
  <c r="L452" i="4"/>
  <c r="I439" i="34"/>
  <c r="L500" i="4"/>
  <c r="L1039" i="7"/>
  <c r="L869" i="4"/>
  <c r="K723" i="4"/>
  <c r="K194" i="4"/>
  <c r="K199" i="4" s="1"/>
  <c r="L825" i="7"/>
  <c r="L41" i="27"/>
  <c r="I427" i="34"/>
  <c r="L969" i="6"/>
  <c r="L1033" i="7"/>
  <c r="J70" i="34"/>
  <c r="I9" i="34"/>
  <c r="H132" i="34"/>
  <c r="L622" i="4"/>
  <c r="L1036" i="7"/>
  <c r="J99" i="34"/>
  <c r="L655" i="7"/>
  <c r="J97" i="34"/>
  <c r="J631" i="34"/>
  <c r="J91" i="34"/>
  <c r="L975" i="6"/>
  <c r="L756" i="6"/>
  <c r="L487" i="4"/>
  <c r="I14" i="34"/>
  <c r="H137" i="34"/>
  <c r="L43" i="27"/>
  <c r="J637" i="34"/>
  <c r="L565" i="4"/>
  <c r="L679" i="7"/>
  <c r="L1436" i="6"/>
  <c r="K600" i="4"/>
  <c r="K129" i="4"/>
  <c r="K980" i="6"/>
  <c r="J206" i="6"/>
  <c r="L675" i="7"/>
  <c r="L1435" i="6"/>
  <c r="L973" i="6"/>
  <c r="J302" i="6"/>
  <c r="K1089" i="6"/>
  <c r="J64" i="5"/>
  <c r="J504" i="5" s="1"/>
  <c r="K1126" i="6"/>
  <c r="K326" i="6" s="1"/>
  <c r="J326" i="6"/>
  <c r="J105" i="4"/>
  <c r="S69" i="42"/>
  <c r="AN193" i="9"/>
  <c r="O222" i="10" s="1"/>
  <c r="I120" i="9"/>
  <c r="I121" i="9"/>
  <c r="K654" i="7"/>
  <c r="J206" i="7"/>
  <c r="G18" i="5"/>
  <c r="H82" i="37"/>
  <c r="M2010" i="6"/>
  <c r="J701" i="6"/>
  <c r="F555" i="34"/>
  <c r="F379" i="34"/>
  <c r="F497" i="34" s="1"/>
  <c r="I392" i="34"/>
  <c r="I509" i="34" s="1"/>
  <c r="H671" i="34"/>
  <c r="H755" i="34" s="1"/>
  <c r="H787" i="34" s="1"/>
  <c r="C198" i="34"/>
  <c r="I671" i="34"/>
  <c r="I755" i="34" s="1"/>
  <c r="I787" i="34" s="1"/>
  <c r="K671" i="34"/>
  <c r="K755" i="34" s="1"/>
  <c r="K787" i="34" s="1"/>
  <c r="G671" i="34"/>
  <c r="G755" i="34" s="1"/>
  <c r="G787" i="34" s="1"/>
  <c r="M671" i="34"/>
  <c r="M755" i="34" s="1"/>
  <c r="M787" i="34" s="1"/>
  <c r="C671" i="34"/>
  <c r="C755" i="34" s="1"/>
  <c r="C787" i="34" s="1"/>
  <c r="J627" i="34"/>
  <c r="L671" i="34"/>
  <c r="L755" i="34" s="1"/>
  <c r="L787" i="34" s="1"/>
  <c r="E627" i="34"/>
  <c r="F671" i="34"/>
  <c r="F755" i="34" s="1"/>
  <c r="F787" i="34" s="1"/>
  <c r="D627" i="34"/>
  <c r="G428" i="34"/>
  <c r="I38" i="34"/>
  <c r="I161" i="34" s="1"/>
  <c r="I25" i="34"/>
  <c r="I148" i="34" s="1"/>
  <c r="C32" i="34"/>
  <c r="C33" i="34" s="1"/>
  <c r="C153" i="34"/>
  <c r="C155" i="34" s="1"/>
  <c r="C156" i="34" s="1"/>
  <c r="I31" i="34"/>
  <c r="H154" i="34"/>
  <c r="G111" i="14"/>
  <c r="H58" i="14"/>
  <c r="H61" i="14" s="1"/>
  <c r="H110" i="14"/>
  <c r="H583" i="34"/>
  <c r="J160" i="7"/>
  <c r="K572" i="7"/>
  <c r="K132" i="7" s="1"/>
  <c r="G85" i="15"/>
  <c r="J20" i="8"/>
  <c r="J148" i="8"/>
  <c r="J1033" i="6"/>
  <c r="J255" i="6"/>
  <c r="J9" i="6" s="1"/>
  <c r="J496" i="5"/>
  <c r="E193" i="15"/>
  <c r="F193" i="15" s="1"/>
  <c r="K61" i="37"/>
  <c r="K63" i="37" s="1"/>
  <c r="A148" i="15"/>
  <c r="C148" i="15"/>
  <c r="K583" i="8"/>
  <c r="I196" i="4"/>
  <c r="Q101" i="42" s="1"/>
  <c r="B9" i="4"/>
  <c r="B198" i="4"/>
  <c r="J243" i="4"/>
  <c r="K1949" i="6"/>
  <c r="K599" i="6"/>
  <c r="K606" i="6" s="1"/>
  <c r="G57" i="13"/>
  <c r="G150" i="5"/>
  <c r="H150" i="5" s="1"/>
  <c r="K699" i="6"/>
  <c r="K1738" i="6"/>
  <c r="K593" i="6" s="1"/>
  <c r="K1098" i="6"/>
  <c r="K303" i="6" s="1"/>
  <c r="J1100" i="6"/>
  <c r="K190" i="6"/>
  <c r="I1197" i="6"/>
  <c r="I1199" i="6" s="1"/>
  <c r="I1210" i="6" s="1"/>
  <c r="K637" i="4"/>
  <c r="K183" i="4" s="1"/>
  <c r="J320" i="5"/>
  <c r="J322" i="5" s="1"/>
  <c r="J332" i="5" s="1"/>
  <c r="K758" i="4"/>
  <c r="K230" i="4" s="1"/>
  <c r="J66" i="1"/>
  <c r="K1910" i="6"/>
  <c r="K663" i="6" s="1"/>
  <c r="L1971" i="6"/>
  <c r="J168" i="7"/>
  <c r="J622" i="7"/>
  <c r="L686" i="4"/>
  <c r="L235" i="8"/>
  <c r="L785" i="7"/>
  <c r="L331" i="8"/>
  <c r="L280" i="5"/>
  <c r="J77" i="4"/>
  <c r="J58" i="4"/>
  <c r="K416" i="5"/>
  <c r="I1451" i="6"/>
  <c r="I1453" i="6" s="1"/>
  <c r="I1462" i="6" s="1"/>
  <c r="H763" i="34"/>
  <c r="G1253" i="6"/>
  <c r="H1253" i="6" s="1"/>
  <c r="L1024" i="6"/>
  <c r="L246" i="6" s="1"/>
  <c r="J99" i="5"/>
  <c r="J505" i="5" s="1"/>
  <c r="I148" i="5"/>
  <c r="I175" i="7"/>
  <c r="G758" i="34"/>
  <c r="G780" i="34" s="1"/>
  <c r="M644" i="6"/>
  <c r="K780" i="7"/>
  <c r="J67" i="7"/>
  <c r="J69" i="7" s="1"/>
  <c r="J7" i="7" s="1"/>
  <c r="K426" i="6"/>
  <c r="K305" i="5"/>
  <c r="I497" i="5"/>
  <c r="I387" i="5"/>
  <c r="I396" i="5" s="1"/>
  <c r="K256" i="5"/>
  <c r="M608" i="7"/>
  <c r="M173" i="8"/>
  <c r="L435" i="5"/>
  <c r="F127" i="22"/>
  <c r="C36" i="17"/>
  <c r="G162" i="48"/>
  <c r="G167" i="48" s="1"/>
  <c r="J628" i="6"/>
  <c r="J28" i="1"/>
  <c r="L795" i="7"/>
  <c r="K646" i="6"/>
  <c r="L1671" i="6"/>
  <c r="L506" i="7"/>
  <c r="L815" i="7"/>
  <c r="L250" i="5"/>
  <c r="I165" i="45"/>
  <c r="I169" i="45" s="1"/>
  <c r="I170" i="45" s="1"/>
  <c r="I171" i="45" s="1"/>
  <c r="K897" i="6"/>
  <c r="K145" i="6" s="1"/>
  <c r="H34" i="17"/>
  <c r="N1776" i="6"/>
  <c r="N1834" i="6"/>
  <c r="N2006" i="6" s="1"/>
  <c r="K442" i="6"/>
  <c r="I723" i="6"/>
  <c r="M1782" i="6"/>
  <c r="L287" i="5"/>
  <c r="L947" i="7"/>
  <c r="L1242" i="6"/>
  <c r="L1820" i="6"/>
  <c r="L1919" i="6"/>
  <c r="I407" i="34"/>
  <c r="L953" i="7"/>
  <c r="L446" i="8"/>
  <c r="L269" i="8"/>
  <c r="L1866" i="6"/>
  <c r="L853" i="6"/>
  <c r="L536" i="4"/>
  <c r="L299" i="5"/>
  <c r="L433" i="5"/>
  <c r="L1844" i="6"/>
  <c r="L913" i="6"/>
  <c r="L959" i="7"/>
  <c r="M8" i="1"/>
  <c r="M11" i="1" s="1"/>
  <c r="K390" i="7"/>
  <c r="K1912" i="6"/>
  <c r="J665" i="6"/>
  <c r="L907" i="6"/>
  <c r="L1677" i="6"/>
  <c r="L1438" i="6"/>
  <c r="L1425" i="6"/>
  <c r="L985" i="7"/>
  <c r="L986" i="7"/>
  <c r="L659" i="7"/>
  <c r="L1041" i="7"/>
  <c r="K957" i="7"/>
  <c r="L26" i="27"/>
  <c r="L1790" i="6"/>
  <c r="L285" i="8"/>
  <c r="L1871" i="6"/>
  <c r="L843" i="6"/>
  <c r="L552" i="7"/>
  <c r="L736" i="7"/>
  <c r="L1806" i="6"/>
  <c r="L1894" i="6"/>
  <c r="L1184" i="6"/>
  <c r="L1674" i="6"/>
  <c r="L700" i="4"/>
  <c r="L824" i="7"/>
  <c r="L189" i="8"/>
  <c r="L59" i="27"/>
  <c r="L852" i="6"/>
  <c r="L967" i="7"/>
  <c r="L955" i="7"/>
  <c r="L1434" i="6"/>
  <c r="L976" i="7"/>
  <c r="L915" i="6"/>
  <c r="L912" i="6"/>
  <c r="AJ193" i="9"/>
  <c r="J1638" i="6"/>
  <c r="J520" i="6" s="1"/>
  <c r="L1426" i="6"/>
  <c r="L1409" i="6"/>
  <c r="L984" i="7"/>
  <c r="L894" i="7"/>
  <c r="L234" i="8"/>
  <c r="L1845" i="6"/>
  <c r="L1333" i="6"/>
  <c r="L519" i="4"/>
  <c r="L513" i="7"/>
  <c r="L842" i="7"/>
  <c r="L407" i="5"/>
  <c r="L432" i="5"/>
  <c r="L909" i="6"/>
  <c r="L1437" i="6"/>
  <c r="L949" i="7"/>
  <c r="L521" i="4"/>
  <c r="L987" i="7"/>
  <c r="K1911" i="6"/>
  <c r="J664" i="6"/>
  <c r="K389" i="7"/>
  <c r="K1058" i="7"/>
  <c r="D500" i="5"/>
  <c r="J1373" i="6"/>
  <c r="J137" i="6"/>
  <c r="K1121" i="6"/>
  <c r="K324" i="6" s="1"/>
  <c r="AJ174" i="9"/>
  <c r="K978" i="6"/>
  <c r="K204" i="6" s="1"/>
  <c r="J839" i="6"/>
  <c r="J138" i="6" s="1"/>
  <c r="I139" i="6"/>
  <c r="I196" i="6"/>
  <c r="G507" i="5"/>
  <c r="H507" i="5" s="1"/>
  <c r="S81" i="42"/>
  <c r="I154" i="4"/>
  <c r="J662" i="6"/>
  <c r="K1909" i="6"/>
  <c r="K899" i="6"/>
  <c r="K147" i="6" s="1"/>
  <c r="K887" i="6"/>
  <c r="K775" i="6"/>
  <c r="K1930" i="6"/>
  <c r="K669" i="6" s="1"/>
  <c r="K495" i="6"/>
  <c r="J1474" i="6"/>
  <c r="I315" i="6"/>
  <c r="I1002" i="6"/>
  <c r="K1918" i="6"/>
  <c r="K667" i="6" s="1"/>
  <c r="G96" i="7"/>
  <c r="H96" i="7" s="1"/>
  <c r="J176" i="6"/>
  <c r="L522" i="7"/>
  <c r="P50" i="37"/>
  <c r="Q48" i="37" s="1"/>
  <c r="L893" i="6"/>
  <c r="L143" i="6" s="1"/>
  <c r="L1156" i="7"/>
  <c r="J155" i="6"/>
  <c r="J147" i="7"/>
  <c r="I54" i="9"/>
  <c r="L1152" i="7"/>
  <c r="L412" i="8"/>
  <c r="L820" i="6"/>
  <c r="K1094" i="6"/>
  <c r="J312" i="6"/>
  <c r="L901" i="6"/>
  <c r="J153" i="6"/>
  <c r="L910" i="6"/>
  <c r="L902" i="6"/>
  <c r="L925" i="6"/>
  <c r="CE9" i="21"/>
  <c r="L520" i="7"/>
  <c r="L920" i="6"/>
  <c r="L887" i="7"/>
  <c r="L894" i="6"/>
  <c r="L929" i="6"/>
  <c r="K1158" i="6"/>
  <c r="K311" i="6" s="1"/>
  <c r="J1168" i="6"/>
  <c r="L892" i="6"/>
  <c r="L1159" i="7"/>
  <c r="L1174" i="6"/>
  <c r="L922" i="6"/>
  <c r="L1154" i="7"/>
  <c r="I7" i="9"/>
  <c r="CO7" i="9"/>
  <c r="AJ7" i="9"/>
  <c r="I81" i="9"/>
  <c r="CO81" i="9"/>
  <c r="I177" i="9"/>
  <c r="I108" i="9"/>
  <c r="CO108" i="9"/>
  <c r="AJ108" i="9"/>
  <c r="L900" i="6"/>
  <c r="L1157" i="7"/>
  <c r="L921" i="6"/>
  <c r="L1158" i="7"/>
  <c r="L889" i="6"/>
  <c r="L497" i="7"/>
  <c r="L87" i="7" s="1"/>
  <c r="L1655" i="6"/>
  <c r="L919" i="6"/>
  <c r="L1153" i="7"/>
  <c r="L821" i="6"/>
  <c r="L933" i="7"/>
  <c r="L832" i="6"/>
  <c r="I186" i="9"/>
  <c r="I29" i="9"/>
  <c r="K768" i="7" s="1"/>
  <c r="I146" i="9"/>
  <c r="J2029" i="6"/>
  <c r="G46" i="58" s="1"/>
  <c r="G44" i="58" s="1"/>
  <c r="L896" i="6"/>
  <c r="K823" i="6"/>
  <c r="J130" i="6"/>
  <c r="L928" i="6"/>
  <c r="L923" i="6"/>
  <c r="L451" i="7"/>
  <c r="L457" i="7" s="1"/>
  <c r="L413" i="8"/>
  <c r="J87" i="17" s="1"/>
  <c r="L886" i="7"/>
  <c r="L1155" i="7"/>
  <c r="L927" i="6"/>
  <c r="K918" i="6"/>
  <c r="J154" i="6"/>
  <c r="I111" i="9"/>
  <c r="CO111" i="9"/>
  <c r="AJ111" i="9"/>
  <c r="J168" i="45"/>
  <c r="I112" i="9"/>
  <c r="CO112" i="9"/>
  <c r="AJ112" i="9"/>
  <c r="I174" i="9"/>
  <c r="CP174" i="9" s="1"/>
  <c r="I61" i="9"/>
  <c r="AI61" i="9"/>
  <c r="CO61" i="9"/>
  <c r="J1185" i="7"/>
  <c r="J468" i="7" s="1"/>
  <c r="L895" i="6"/>
  <c r="L442" i="5"/>
  <c r="L764" i="4"/>
  <c r="C30" i="5"/>
  <c r="B14" i="3" s="1"/>
  <c r="K1906" i="6"/>
  <c r="J659" i="6"/>
  <c r="K658" i="6"/>
  <c r="J668" i="6"/>
  <c r="K1926" i="6"/>
  <c r="J631" i="6"/>
  <c r="K1728" i="6"/>
  <c r="K586" i="6" s="1"/>
  <c r="BW3" i="22"/>
  <c r="CJ3" i="22" s="1"/>
  <c r="N78" i="22"/>
  <c r="N121" i="22" s="1"/>
  <c r="M1781" i="6"/>
  <c r="M630" i="6" s="1"/>
  <c r="I297" i="4"/>
  <c r="M9" i="11"/>
  <c r="N9" i="11" s="1"/>
  <c r="J1558" i="6"/>
  <c r="J1560" i="6" s="1"/>
  <c r="J1562" i="6" s="1"/>
  <c r="J79" i="6"/>
  <c r="J209" i="6"/>
  <c r="C1147" i="6"/>
  <c r="K1120" i="6"/>
  <c r="K323" i="6" s="1"/>
  <c r="J164" i="45"/>
  <c r="J938" i="6"/>
  <c r="B207" i="15"/>
  <c r="B134" i="13"/>
  <c r="C2037" i="6"/>
  <c r="J379" i="7"/>
  <c r="J935" i="6"/>
  <c r="J937" i="6" s="1"/>
  <c r="I37" i="4"/>
  <c r="D1213" i="7"/>
  <c r="I757" i="7"/>
  <c r="I759" i="7" s="1"/>
  <c r="I770" i="7" s="1"/>
  <c r="K80" i="7"/>
  <c r="G136" i="7"/>
  <c r="H136" i="7" s="1"/>
  <c r="J346" i="7"/>
  <c r="A19" i="13"/>
  <c r="B30" i="5"/>
  <c r="A14" i="3" s="1"/>
  <c r="J86" i="6"/>
  <c r="G64" i="6"/>
  <c r="F61" i="3" s="1"/>
  <c r="L827" i="6"/>
  <c r="I865" i="6"/>
  <c r="K774" i="6"/>
  <c r="K90" i="6" s="1"/>
  <c r="G220" i="6"/>
  <c r="H220" i="6" s="1"/>
  <c r="K132" i="6"/>
  <c r="CN174" i="9"/>
  <c r="AE174" i="9"/>
  <c r="J1000" i="6"/>
  <c r="K205" i="6"/>
  <c r="J205" i="6"/>
  <c r="J95" i="6"/>
  <c r="B2067" i="6"/>
  <c r="L1290" i="6"/>
  <c r="J415" i="6"/>
  <c r="K556" i="7"/>
  <c r="I80" i="4"/>
  <c r="I464" i="4"/>
  <c r="I89" i="6"/>
  <c r="J87" i="6"/>
  <c r="H399" i="4"/>
  <c r="D152" i="5"/>
  <c r="K763" i="4"/>
  <c r="K231" i="4" s="1"/>
  <c r="I116" i="40"/>
  <c r="Q89" i="10" s="1"/>
  <c r="J114" i="40"/>
  <c r="F40" i="13"/>
  <c r="G658" i="4"/>
  <c r="H658" i="4" s="1"/>
  <c r="K114" i="4"/>
  <c r="K152" i="4" s="1"/>
  <c r="J330" i="7"/>
  <c r="L35" i="11"/>
  <c r="M35" i="11" s="1"/>
  <c r="N35" i="11" s="1"/>
  <c r="J273" i="4"/>
  <c r="J292" i="4"/>
  <c r="A207" i="15"/>
  <c r="A152" i="15" s="1"/>
  <c r="J405" i="7"/>
  <c r="J54" i="7" s="1"/>
  <c r="H59" i="3" s="1"/>
  <c r="O71" i="37"/>
  <c r="J634" i="6"/>
  <c r="L720" i="6"/>
  <c r="I406" i="7"/>
  <c r="K423" i="45"/>
  <c r="K55" i="8"/>
  <c r="K372" i="7"/>
  <c r="K120" i="7"/>
  <c r="K122" i="7" s="1"/>
  <c r="K8" i="7" s="1"/>
  <c r="J1292" i="6"/>
  <c r="K1277" i="6"/>
  <c r="I419" i="6"/>
  <c r="I1363" i="6"/>
  <c r="A134" i="13"/>
  <c r="K300" i="7"/>
  <c r="K378" i="7"/>
  <c r="K371" i="7"/>
  <c r="K346" i="7"/>
  <c r="J483" i="7"/>
  <c r="K481" i="7"/>
  <c r="A32" i="6"/>
  <c r="A48" i="6" s="1"/>
  <c r="K870" i="4"/>
  <c r="K331" i="4" s="1"/>
  <c r="L982" i="7"/>
  <c r="K743" i="4"/>
  <c r="K222" i="4" s="1"/>
  <c r="L824" i="4"/>
  <c r="K817" i="4"/>
  <c r="K279" i="4" s="1"/>
  <c r="L759" i="4"/>
  <c r="J804" i="4"/>
  <c r="K798" i="4"/>
  <c r="K268" i="4" s="1"/>
  <c r="L830" i="4"/>
  <c r="L809" i="4"/>
  <c r="K823" i="4"/>
  <c r="K285" i="4" s="1"/>
  <c r="L810" i="4"/>
  <c r="L875" i="4"/>
  <c r="L755" i="4"/>
  <c r="L818" i="4"/>
  <c r="K808" i="4"/>
  <c r="K278" i="4" s="1"/>
  <c r="L573" i="4"/>
  <c r="L826" i="4"/>
  <c r="K767" i="4"/>
  <c r="K232" i="4" s="1"/>
  <c r="L800" i="4"/>
  <c r="I777" i="4"/>
  <c r="I779" i="4" s="1"/>
  <c r="I790" i="4" s="1"/>
  <c r="K832" i="4"/>
  <c r="K286" i="4" s="1"/>
  <c r="K802" i="4"/>
  <c r="K271" i="4" s="1"/>
  <c r="J221" i="6"/>
  <c r="I512" i="6"/>
  <c r="L833" i="4"/>
  <c r="L811" i="4"/>
  <c r="L829" i="4"/>
  <c r="L812" i="4"/>
  <c r="L915" i="4"/>
  <c r="L754" i="4"/>
  <c r="J842" i="4"/>
  <c r="J978" i="4" s="1"/>
  <c r="L828" i="4"/>
  <c r="L803" i="4"/>
  <c r="K753" i="4"/>
  <c r="K229" i="4" s="1"/>
  <c r="J775" i="4"/>
  <c r="L825" i="4"/>
  <c r="L1805" i="6"/>
  <c r="L799" i="4"/>
  <c r="L813" i="4"/>
  <c r="J745" i="4"/>
  <c r="K742" i="4"/>
  <c r="K221" i="4" s="1"/>
  <c r="H759" i="34"/>
  <c r="L827" i="4"/>
  <c r="L760" i="4"/>
  <c r="B680" i="6"/>
  <c r="B682" i="6" s="1"/>
  <c r="K433" i="6"/>
  <c r="K30" i="45"/>
  <c r="K650" i="6"/>
  <c r="K1003" i="6"/>
  <c r="J1195" i="6"/>
  <c r="K1392" i="6"/>
  <c r="K98" i="6"/>
  <c r="K411" i="6"/>
  <c r="K413" i="6"/>
  <c r="K655" i="6"/>
  <c r="C39" i="17"/>
  <c r="K137" i="6"/>
  <c r="I436" i="6"/>
  <c r="K207" i="6"/>
  <c r="K446" i="6"/>
  <c r="J1361" i="6"/>
  <c r="K115" i="4"/>
  <c r="J629" i="4"/>
  <c r="K117" i="4"/>
  <c r="K106" i="4"/>
  <c r="K69" i="4"/>
  <c r="I935" i="4"/>
  <c r="G75" i="17"/>
  <c r="I656" i="4"/>
  <c r="I120" i="4"/>
  <c r="I158" i="4" s="1"/>
  <c r="I275" i="6"/>
  <c r="I1068" i="6"/>
  <c r="I1069" i="6" s="1"/>
  <c r="I1073" i="6" s="1"/>
  <c r="I29" i="45"/>
  <c r="I36" i="45" s="1"/>
  <c r="I629" i="7"/>
  <c r="I631" i="7" s="1"/>
  <c r="L993" i="6"/>
  <c r="K211" i="6"/>
  <c r="L1037" i="7"/>
  <c r="K95" i="6"/>
  <c r="L789" i="6"/>
  <c r="K609" i="7"/>
  <c r="L409" i="8"/>
  <c r="L813" i="7"/>
  <c r="K307" i="7"/>
  <c r="L509" i="4"/>
  <c r="L376" i="5"/>
  <c r="L547" i="8"/>
  <c r="L411" i="5"/>
  <c r="L175" i="5" s="1"/>
  <c r="L652" i="7"/>
  <c r="L421" i="4"/>
  <c r="L1858" i="6"/>
  <c r="L1348" i="6"/>
  <c r="L1479" i="6"/>
  <c r="L2005" i="6"/>
  <c r="L533" i="4"/>
  <c r="L703" i="4"/>
  <c r="L507" i="7"/>
  <c r="L802" i="7"/>
  <c r="L406" i="5"/>
  <c r="L293" i="5"/>
  <c r="L439" i="5"/>
  <c r="L1246" i="6"/>
  <c r="L489" i="7"/>
  <c r="K75" i="7"/>
  <c r="L1343" i="6"/>
  <c r="L574" i="4"/>
  <c r="L604" i="7"/>
  <c r="K165" i="7"/>
  <c r="L1331" i="6"/>
  <c r="L434" i="4"/>
  <c r="L71" i="4" s="1"/>
  <c r="K929" i="4"/>
  <c r="K352" i="4" s="1"/>
  <c r="L886" i="4"/>
  <c r="L902" i="4"/>
  <c r="K892" i="4"/>
  <c r="J343" i="4"/>
  <c r="K233" i="5"/>
  <c r="J53" i="5"/>
  <c r="L1895" i="6"/>
  <c r="L566" i="4"/>
  <c r="O100" i="37"/>
  <c r="P12" i="37"/>
  <c r="L563" i="4"/>
  <c r="Q58" i="37"/>
  <c r="L1740" i="6"/>
  <c r="L370" i="5"/>
  <c r="L45" i="27"/>
  <c r="L1239" i="6"/>
  <c r="L988" i="6"/>
  <c r="L208" i="6" s="1"/>
  <c r="L347" i="5"/>
  <c r="L1411" i="6"/>
  <c r="L368" i="5"/>
  <c r="L342" i="5"/>
  <c r="L292" i="5"/>
  <c r="L1869" i="6"/>
  <c r="L440" i="8"/>
  <c r="L33" i="27"/>
  <c r="L440" i="5"/>
  <c r="L958" i="6"/>
  <c r="L193" i="6" s="1"/>
  <c r="L1481" i="6"/>
  <c r="L515" i="4"/>
  <c r="L534" i="4"/>
  <c r="L704" i="4"/>
  <c r="L521" i="7"/>
  <c r="L814" i="7"/>
  <c r="L841" i="7"/>
  <c r="L302" i="5"/>
  <c r="K569" i="4"/>
  <c r="L1346" i="6"/>
  <c r="L1614" i="6"/>
  <c r="K1352" i="6"/>
  <c r="J434" i="6"/>
  <c r="L528" i="4"/>
  <c r="L1602" i="6"/>
  <c r="Q20" i="26" s="1"/>
  <c r="L927" i="4"/>
  <c r="L351" i="4" s="1"/>
  <c r="L899" i="4"/>
  <c r="K867" i="4"/>
  <c r="K330" i="4" s="1"/>
  <c r="K891" i="4"/>
  <c r="J342" i="4"/>
  <c r="K928" i="4"/>
  <c r="K353" i="4" s="1"/>
  <c r="L904" i="4"/>
  <c r="K896" i="4"/>
  <c r="J341" i="4"/>
  <c r="L450" i="4"/>
  <c r="L561" i="4"/>
  <c r="Q19" i="37"/>
  <c r="Q60" i="37"/>
  <c r="L1988" i="6"/>
  <c r="L28" i="27"/>
  <c r="L282" i="5"/>
  <c r="L39" i="27"/>
  <c r="L660" i="7"/>
  <c r="L1978" i="6"/>
  <c r="L703" i="6" s="1"/>
  <c r="L686" i="7"/>
  <c r="K218" i="7"/>
  <c r="L245" i="5"/>
  <c r="L300" i="5"/>
  <c r="L856" i="6"/>
  <c r="L333" i="8"/>
  <c r="L564" i="7"/>
  <c r="L187" i="8"/>
  <c r="L294" i="5"/>
  <c r="L226" i="5"/>
  <c r="L803" i="7"/>
  <c r="L344" i="5"/>
  <c r="L1148" i="7"/>
  <c r="L1147" i="7"/>
  <c r="L1990" i="6"/>
  <c r="L1109" i="7"/>
  <c r="L1144" i="7"/>
  <c r="L1140" i="7"/>
  <c r="L1133" i="7"/>
  <c r="L1927" i="6"/>
  <c r="L802" i="6"/>
  <c r="K103" i="6"/>
  <c r="K108" i="6" s="1"/>
  <c r="L567" i="7"/>
  <c r="L1137" i="7"/>
  <c r="L346" i="5"/>
  <c r="L250" i="8"/>
  <c r="L286" i="5"/>
  <c r="L1792" i="6"/>
  <c r="L279" i="8"/>
  <c r="L1818" i="6"/>
  <c r="L1884" i="6"/>
  <c r="L841" i="6"/>
  <c r="L1794" i="6"/>
  <c r="L549" i="7"/>
  <c r="L758" i="6"/>
  <c r="L1245" i="6"/>
  <c r="L128" i="8"/>
  <c r="L1821" i="6"/>
  <c r="L1872" i="6"/>
  <c r="L1922" i="6"/>
  <c r="L1298" i="6"/>
  <c r="L1613" i="6"/>
  <c r="L1983" i="6"/>
  <c r="L540" i="4"/>
  <c r="L705" i="4"/>
  <c r="L735" i="7"/>
  <c r="L800" i="7"/>
  <c r="L840" i="7"/>
  <c r="L1034" i="7"/>
  <c r="L224" i="5"/>
  <c r="L352" i="5"/>
  <c r="L431" i="5"/>
  <c r="L520" i="4"/>
  <c r="L1931" i="6"/>
  <c r="L1146" i="7"/>
  <c r="L244" i="5"/>
  <c r="L221" i="5"/>
  <c r="L551" i="7"/>
  <c r="L1164" i="6"/>
  <c r="L1299" i="6"/>
  <c r="L314" i="8"/>
  <c r="L1846" i="6"/>
  <c r="L1875" i="6"/>
  <c r="L1932" i="6"/>
  <c r="L900" i="7"/>
  <c r="L1243" i="6"/>
  <c r="L1653" i="6"/>
  <c r="L1865" i="6"/>
  <c r="L211" i="8"/>
  <c r="L1815" i="6"/>
  <c r="L1890" i="6"/>
  <c r="L792" i="6"/>
  <c r="L1484" i="6"/>
  <c r="L512" i="4"/>
  <c r="L693" i="4"/>
  <c r="L747" i="7"/>
  <c r="L819" i="7"/>
  <c r="L852" i="7"/>
  <c r="L318" i="7" s="1"/>
  <c r="L1035" i="7"/>
  <c r="L364" i="5"/>
  <c r="L428" i="5"/>
  <c r="L32" i="27"/>
  <c r="L430" i="5"/>
  <c r="CO146" i="9"/>
  <c r="CO97" i="9"/>
  <c r="J40" i="45"/>
  <c r="AJ141" i="9"/>
  <c r="CO141" i="9"/>
  <c r="L218" i="8"/>
  <c r="I87" i="16"/>
  <c r="L49" i="27"/>
  <c r="K54" i="27"/>
  <c r="L392" i="8"/>
  <c r="L16" i="27"/>
  <c r="H90" i="16"/>
  <c r="H34" i="16" s="1"/>
  <c r="AO44" i="42" s="1"/>
  <c r="L42" i="27"/>
  <c r="L223" i="5"/>
  <c r="L1612" i="6"/>
  <c r="L1679" i="6"/>
  <c r="L416" i="4"/>
  <c r="L532" i="4"/>
  <c r="L707" i="4"/>
  <c r="L519" i="7"/>
  <c r="L820" i="7"/>
  <c r="L850" i="7"/>
  <c r="L1030" i="7"/>
  <c r="L438" i="5"/>
  <c r="L340" i="5"/>
  <c r="L610" i="7"/>
  <c r="L908" i="4"/>
  <c r="L905" i="4"/>
  <c r="L651" i="4"/>
  <c r="L645" i="4"/>
  <c r="Q23" i="37"/>
  <c r="Q17" i="37"/>
  <c r="H44" i="16"/>
  <c r="H77" i="3" s="1"/>
  <c r="H78" i="3" s="1"/>
  <c r="L12" i="27"/>
  <c r="L1743" i="6"/>
  <c r="L594" i="6" s="1"/>
  <c r="L284" i="5"/>
  <c r="L1874" i="6"/>
  <c r="L1186" i="6"/>
  <c r="L288" i="5"/>
  <c r="L243" i="8"/>
  <c r="L329" i="8"/>
  <c r="L1332" i="6"/>
  <c r="L408" i="5"/>
  <c r="L341" i="5"/>
  <c r="L830" i="6"/>
  <c r="L282" i="8"/>
  <c r="L31" i="27"/>
  <c r="L25" i="27"/>
  <c r="L15" i="1"/>
  <c r="C87" i="19" s="1"/>
  <c r="C77" i="20"/>
  <c r="L441" i="5"/>
  <c r="L8" i="27"/>
  <c r="K20" i="27"/>
  <c r="L1188" i="6"/>
  <c r="L1485" i="6"/>
  <c r="L2003" i="6"/>
  <c r="L535" i="4"/>
  <c r="L702" i="4"/>
  <c r="L749" i="7"/>
  <c r="L818" i="7"/>
  <c r="L1028" i="7"/>
  <c r="L677" i="4"/>
  <c r="L434" i="5"/>
  <c r="L829" i="6"/>
  <c r="L972" i="7"/>
  <c r="L1601" i="6"/>
  <c r="K645" i="6"/>
  <c r="L511" i="7"/>
  <c r="L1288" i="6"/>
  <c r="L1605" i="6"/>
  <c r="L79" i="6"/>
  <c r="L893" i="4"/>
  <c r="L900" i="4"/>
  <c r="AI54" i="9"/>
  <c r="CO54" i="9"/>
  <c r="J1067" i="7"/>
  <c r="L537" i="4"/>
  <c r="Q13" i="37"/>
  <c r="K644" i="4"/>
  <c r="K186" i="4" s="1"/>
  <c r="L564" i="4"/>
  <c r="K1907" i="6"/>
  <c r="K660" i="6" s="1"/>
  <c r="K650" i="4"/>
  <c r="J188" i="4"/>
  <c r="Q55" i="37"/>
  <c r="Q18" i="37"/>
  <c r="K583" i="4"/>
  <c r="J121" i="4"/>
  <c r="J159" i="4" s="1"/>
  <c r="L34" i="27"/>
  <c r="K420" i="7"/>
  <c r="L9" i="27"/>
  <c r="L834" i="6"/>
  <c r="L691" i="7"/>
  <c r="K219" i="7"/>
  <c r="L348" i="5"/>
  <c r="L357" i="5"/>
  <c r="L128" i="5" s="1"/>
  <c r="L994" i="6"/>
  <c r="J94" i="1"/>
  <c r="K87" i="1"/>
  <c r="L569" i="7"/>
  <c r="L303" i="5"/>
  <c r="L1859" i="6"/>
  <c r="L445" i="8"/>
  <c r="L1142" i="7"/>
  <c r="L1127" i="7"/>
  <c r="L1138" i="7"/>
  <c r="L1150" i="7"/>
  <c r="K215" i="6"/>
  <c r="K337" i="6"/>
  <c r="L1137" i="6"/>
  <c r="K370" i="7"/>
  <c r="I84" i="12"/>
  <c r="N79" i="10" s="1"/>
  <c r="P79" i="10" s="1"/>
  <c r="K347" i="8"/>
  <c r="K78" i="8"/>
  <c r="I25" i="16" s="1"/>
  <c r="I10" i="16" s="1"/>
  <c r="I245" i="15" s="1"/>
  <c r="K92" i="37"/>
  <c r="K94" i="37" s="1"/>
  <c r="K4" i="37"/>
  <c r="F4" i="37"/>
  <c r="G2" i="37" s="1"/>
  <c r="F92" i="37"/>
  <c r="K325" i="6"/>
  <c r="L723" i="7"/>
  <c r="K250" i="7"/>
  <c r="K252" i="7" s="1"/>
  <c r="K11" i="7" s="1"/>
  <c r="K728" i="7"/>
  <c r="L375" i="5"/>
  <c r="K140" i="5"/>
  <c r="AJ60" i="21"/>
  <c r="CE60" i="21"/>
  <c r="L878" i="4"/>
  <c r="K317" i="7"/>
  <c r="L849" i="7"/>
  <c r="L353" i="5"/>
  <c r="I210" i="15"/>
  <c r="V42" i="42"/>
  <c r="H125" i="13"/>
  <c r="K866" i="7"/>
  <c r="K332" i="7" s="1"/>
  <c r="L571" i="4"/>
  <c r="L572" i="4"/>
  <c r="L213" i="8"/>
  <c r="L366" i="5"/>
  <c r="L575" i="4"/>
  <c r="L230" i="5"/>
  <c r="L404" i="5"/>
  <c r="L1020" i="7"/>
  <c r="L1185" i="6"/>
  <c r="L257" i="8"/>
  <c r="L1038" i="7"/>
  <c r="L1935" i="6"/>
  <c r="L896" i="7"/>
  <c r="L249" i="5"/>
  <c r="L1384" i="6"/>
  <c r="L435" i="4"/>
  <c r="L1739" i="6"/>
  <c r="L1986" i="6"/>
  <c r="L514" i="4"/>
  <c r="L529" i="4"/>
  <c r="L698" i="4"/>
  <c r="L523" i="7"/>
  <c r="L816" i="7"/>
  <c r="L839" i="7"/>
  <c r="L682" i="4"/>
  <c r="L290" i="5"/>
  <c r="L310" i="5"/>
  <c r="L570" i="4"/>
  <c r="L1604" i="6"/>
  <c r="J423" i="7"/>
  <c r="L1598" i="6"/>
  <c r="K1354" i="6"/>
  <c r="J435" i="6"/>
  <c r="L762" i="6"/>
  <c r="L897" i="4"/>
  <c r="L909" i="4"/>
  <c r="L865" i="4"/>
  <c r="L449" i="4"/>
  <c r="J160" i="6"/>
  <c r="L801" i="7"/>
  <c r="L646" i="4"/>
  <c r="L647" i="4"/>
  <c r="K1915" i="6"/>
  <c r="K666" i="6" s="1"/>
  <c r="Q22" i="37"/>
  <c r="K588" i="4"/>
  <c r="K122" i="4" s="1"/>
  <c r="L17" i="27"/>
  <c r="L40" i="27"/>
  <c r="K1527" i="6"/>
  <c r="L1864" i="6"/>
  <c r="L678" i="7"/>
  <c r="M678" i="7" s="1"/>
  <c r="L209" i="8"/>
  <c r="L435" i="8"/>
  <c r="L828" i="6"/>
  <c r="L1183" i="6"/>
  <c r="M1183" i="6" s="1"/>
  <c r="L298" i="5"/>
  <c r="L842" i="6"/>
  <c r="M842" i="6" s="1"/>
  <c r="L315" i="8"/>
  <c r="M315" i="8" s="1"/>
  <c r="L424" i="5"/>
  <c r="L27" i="27"/>
  <c r="M27" i="27" s="1"/>
  <c r="L426" i="4"/>
  <c r="M426" i="4" s="1"/>
  <c r="L1182" i="6"/>
  <c r="L1600" i="6"/>
  <c r="L1668" i="6"/>
  <c r="K542" i="6"/>
  <c r="L1996" i="6"/>
  <c r="L527" i="4"/>
  <c r="L514" i="7"/>
  <c r="M514" i="7" s="1"/>
  <c r="L742" i="7"/>
  <c r="L1029" i="7"/>
  <c r="M1029" i="7" s="1"/>
  <c r="L199" i="8"/>
  <c r="L405" i="5"/>
  <c r="L889" i="7"/>
  <c r="L1807" i="6"/>
  <c r="M1807" i="6" s="1"/>
  <c r="K958" i="7"/>
  <c r="O60" i="10" s="1"/>
  <c r="L613" i="7"/>
  <c r="M613" i="7" s="1"/>
  <c r="L616" i="7"/>
  <c r="M616" i="7" s="1"/>
  <c r="L1330" i="6"/>
  <c r="L617" i="7"/>
  <c r="M617" i="7" s="1"/>
  <c r="L858" i="6"/>
  <c r="M858" i="6" s="1"/>
  <c r="L906" i="4"/>
  <c r="M906" i="4" s="1"/>
  <c r="I335" i="4"/>
  <c r="I12" i="4" s="1"/>
  <c r="L871" i="4"/>
  <c r="K874" i="4"/>
  <c r="L448" i="4"/>
  <c r="M448" i="4" s="1"/>
  <c r="L271" i="8"/>
  <c r="M271" i="8" s="1"/>
  <c r="J161" i="6"/>
  <c r="L652" i="4"/>
  <c r="M652" i="4" s="1"/>
  <c r="L1885" i="6"/>
  <c r="M1885" i="6" s="1"/>
  <c r="Q16" i="37"/>
  <c r="R16" i="37" s="1"/>
  <c r="J209" i="4"/>
  <c r="L374" i="5"/>
  <c r="K1198" i="6"/>
  <c r="K339" i="6"/>
  <c r="B30" i="19"/>
  <c r="B82" i="19" s="1"/>
  <c r="L228" i="5"/>
  <c r="M228" i="5" s="1"/>
  <c r="L677" i="7"/>
  <c r="M677" i="7" s="1"/>
  <c r="L233" i="8"/>
  <c r="L436" i="8"/>
  <c r="L29" i="27"/>
  <c r="M29" i="27" s="1"/>
  <c r="J29" i="34"/>
  <c r="L817" i="7"/>
  <c r="L270" i="8"/>
  <c r="M270" i="8" s="1"/>
  <c r="L1130" i="7"/>
  <c r="M1130" i="7" s="1"/>
  <c r="L1126" i="7"/>
  <c r="M1126" i="7" s="1"/>
  <c r="L1110" i="7"/>
  <c r="M1110" i="7" s="1"/>
  <c r="L418" i="4"/>
  <c r="M418" i="4" s="1"/>
  <c r="L1139" i="7"/>
  <c r="M1139" i="7" s="1"/>
  <c r="L1145" i="7"/>
  <c r="M1145" i="7" s="1"/>
  <c r="L1151" i="7"/>
  <c r="M1151" i="7" s="1"/>
  <c r="L1177" i="6"/>
  <c r="M1177" i="6" s="1"/>
  <c r="L570" i="7"/>
  <c r="M570" i="7" s="1"/>
  <c r="L453" i="8"/>
  <c r="M453" i="8" s="1"/>
  <c r="L895" i="7"/>
  <c r="M895" i="7" s="1"/>
  <c r="L726" i="7"/>
  <c r="M726" i="7" s="1"/>
  <c r="L244" i="8"/>
  <c r="M244" i="8" s="1"/>
  <c r="L1811" i="6"/>
  <c r="M1811" i="6" s="1"/>
  <c r="L1893" i="6"/>
  <c r="M1893" i="6" s="1"/>
  <c r="L851" i="6"/>
  <c r="M851" i="6" s="1"/>
  <c r="L970" i="7"/>
  <c r="M970" i="7" s="1"/>
  <c r="L1241" i="6"/>
  <c r="L1809" i="6"/>
  <c r="M1809" i="6" s="1"/>
  <c r="L1863" i="6"/>
  <c r="M1863" i="6" s="1"/>
  <c r="L1892" i="6"/>
  <c r="M1892" i="6" s="1"/>
  <c r="L779" i="6"/>
  <c r="M779" i="6" s="1"/>
  <c r="L1482" i="6"/>
  <c r="M1482" i="6" s="1"/>
  <c r="L526" i="4"/>
  <c r="L712" i="4"/>
  <c r="M712" i="4" s="1"/>
  <c r="L508" i="7"/>
  <c r="M508" i="7" s="1"/>
  <c r="L821" i="7"/>
  <c r="M821" i="7" s="1"/>
  <c r="L1040" i="7"/>
  <c r="M1040" i="7" s="1"/>
  <c r="L301" i="5"/>
  <c r="M301" i="5" s="1"/>
  <c r="L372" i="5"/>
  <c r="M372" i="5" s="1"/>
  <c r="L194" i="6"/>
  <c r="L1599" i="6"/>
  <c r="M1599" i="6" s="1"/>
  <c r="L367" i="5"/>
  <c r="M367" i="5" s="1"/>
  <c r="K136" i="5"/>
  <c r="L893" i="7"/>
  <c r="M893" i="7" s="1"/>
  <c r="L954" i="7"/>
  <c r="M954" i="7" s="1"/>
  <c r="L447" i="8"/>
  <c r="M447" i="8" s="1"/>
  <c r="L245" i="8"/>
  <c r="M245" i="8" s="1"/>
  <c r="L1808" i="6"/>
  <c r="M1808" i="6" s="1"/>
  <c r="L1891" i="6"/>
  <c r="M1891" i="6" s="1"/>
  <c r="L835" i="6"/>
  <c r="M835" i="6" s="1"/>
  <c r="L948" i="7"/>
  <c r="M948" i="7" s="1"/>
  <c r="L550" i="7"/>
  <c r="M550" i="7" s="1"/>
  <c r="L433" i="8"/>
  <c r="M433" i="8" s="1"/>
  <c r="L251" i="8"/>
  <c r="M251" i="8" s="1"/>
  <c r="L313" i="8"/>
  <c r="L1819" i="6"/>
  <c r="M1819" i="6" s="1"/>
  <c r="L1870" i="6"/>
  <c r="M1870" i="6" s="1"/>
  <c r="L1920" i="6"/>
  <c r="M1920" i="6" s="1"/>
  <c r="L979" i="6"/>
  <c r="L1189" i="6"/>
  <c r="M1189" i="6" s="1"/>
  <c r="L1669" i="6"/>
  <c r="M1669" i="6" s="1"/>
  <c r="L1985" i="6"/>
  <c r="M1985" i="6" s="1"/>
  <c r="L530" i="4"/>
  <c r="M530" i="4" s="1"/>
  <c r="L713" i="4"/>
  <c r="M713" i="4" s="1"/>
  <c r="L509" i="7"/>
  <c r="M509" i="7" s="1"/>
  <c r="L838" i="7"/>
  <c r="K309" i="7"/>
  <c r="L345" i="5"/>
  <c r="M345" i="5" s="1"/>
  <c r="L363" i="5"/>
  <c r="M363" i="5" s="1"/>
  <c r="L437" i="5"/>
  <c r="M437" i="5" s="1"/>
  <c r="L44" i="27"/>
  <c r="M44" i="27" s="1"/>
  <c r="CO186" i="9"/>
  <c r="J1571" i="6"/>
  <c r="AJ186" i="9"/>
  <c r="L396" i="8"/>
  <c r="M396" i="8" s="1"/>
  <c r="L219" i="8"/>
  <c r="I88" i="16"/>
  <c r="L236" i="5"/>
  <c r="K54" i="5"/>
  <c r="L1334" i="6"/>
  <c r="M1334" i="6" s="1"/>
  <c r="L1483" i="6"/>
  <c r="M1483" i="6" s="1"/>
  <c r="L1670" i="6"/>
  <c r="M1670" i="6" s="1"/>
  <c r="L511" i="4"/>
  <c r="M511" i="4" s="1"/>
  <c r="L706" i="4"/>
  <c r="M706" i="4" s="1"/>
  <c r="L806" i="7"/>
  <c r="M806" i="7" s="1"/>
  <c r="L1031" i="7"/>
  <c r="M1031" i="7" s="1"/>
  <c r="L179" i="8"/>
  <c r="M179" i="8" s="1"/>
  <c r="L421" i="5"/>
  <c r="M421" i="5" s="1"/>
  <c r="J104" i="4"/>
  <c r="L605" i="7"/>
  <c r="M605" i="7" s="1"/>
  <c r="J120" i="4"/>
  <c r="K105" i="4"/>
  <c r="K1784" i="6"/>
  <c r="L611" i="7"/>
  <c r="M611" i="7" s="1"/>
  <c r="L618" i="7"/>
  <c r="M618" i="7" s="1"/>
  <c r="L863" i="4"/>
  <c r="M863" i="4" s="1"/>
  <c r="L901" i="4"/>
  <c r="L926" i="4"/>
  <c r="L898" i="4"/>
  <c r="M898" i="4" s="1"/>
  <c r="K347" i="4"/>
  <c r="L960" i="7"/>
  <c r="M960" i="7" s="1"/>
  <c r="L562" i="4"/>
  <c r="M562" i="4" s="1"/>
  <c r="Q20" i="37"/>
  <c r="R20" i="37" s="1"/>
  <c r="Q14" i="37"/>
  <c r="R14" i="37" s="1"/>
  <c r="K626" i="4"/>
  <c r="K175" i="4" s="1"/>
  <c r="L283" i="5"/>
  <c r="M283" i="5" s="1"/>
  <c r="L1987" i="6"/>
  <c r="M1987" i="6" s="1"/>
  <c r="L436" i="5"/>
  <c r="M436" i="5" s="1"/>
  <c r="L13" i="27"/>
  <c r="M13" i="27" s="1"/>
  <c r="L1238" i="6"/>
  <c r="M1238" i="6" s="1"/>
  <c r="L423" i="4"/>
  <c r="L297" i="5"/>
  <c r="M297" i="5" s="1"/>
  <c r="L692" i="7"/>
  <c r="M692" i="7" s="1"/>
  <c r="L237" i="8"/>
  <c r="M237" i="8" s="1"/>
  <c r="L448" i="8"/>
  <c r="M448" i="8" s="1"/>
  <c r="L981" i="6"/>
  <c r="M981" i="6" s="1"/>
  <c r="L571" i="7"/>
  <c r="M571" i="7" s="1"/>
  <c r="L1672" i="6"/>
  <c r="M1672" i="6" s="1"/>
  <c r="K700" i="6"/>
  <c r="K174" i="8"/>
  <c r="K182" i="8" s="1"/>
  <c r="K46" i="8" s="1"/>
  <c r="AJ11" i="42" s="1"/>
  <c r="K370" i="8"/>
  <c r="K381" i="8" s="1"/>
  <c r="K108" i="8" s="1"/>
  <c r="L281" i="8"/>
  <c r="M281" i="8" s="1"/>
  <c r="L1344" i="6"/>
  <c r="M1344" i="6" s="1"/>
  <c r="L1408" i="6"/>
  <c r="L1615" i="6"/>
  <c r="M1615" i="6" s="1"/>
  <c r="L1984" i="6"/>
  <c r="M1984" i="6" s="1"/>
  <c r="L510" i="4"/>
  <c r="M510" i="4" s="1"/>
  <c r="L694" i="4"/>
  <c r="M694" i="4" s="1"/>
  <c r="L505" i="7"/>
  <c r="M505" i="7" s="1"/>
  <c r="L804" i="7"/>
  <c r="M804" i="7" s="1"/>
  <c r="L827" i="7"/>
  <c r="M827" i="7" s="1"/>
  <c r="L1044" i="7"/>
  <c r="M1044" i="7" s="1"/>
  <c r="L225" i="5"/>
  <c r="M225" i="5" s="1"/>
  <c r="L683" i="7"/>
  <c r="M683" i="7" s="1"/>
  <c r="L1247" i="6"/>
  <c r="M1247" i="6" s="1"/>
  <c r="K764" i="6"/>
  <c r="J783" i="6"/>
  <c r="L490" i="7"/>
  <c r="M490" i="7" s="1"/>
  <c r="K786" i="6"/>
  <c r="K94" i="6" s="1"/>
  <c r="L227" i="5"/>
  <c r="M227" i="5" s="1"/>
  <c r="L1603" i="6"/>
  <c r="M1603" i="6" s="1"/>
  <c r="K492" i="7"/>
  <c r="J77" i="7"/>
  <c r="J427" i="6"/>
  <c r="L612" i="7"/>
  <c r="M612" i="7" s="1"/>
  <c r="L1351" i="6"/>
  <c r="M1351" i="6" s="1"/>
  <c r="J174" i="7"/>
  <c r="L1882" i="6"/>
  <c r="M1882" i="6" s="1"/>
  <c r="L887" i="4"/>
  <c r="M887" i="4" s="1"/>
  <c r="L903" i="4"/>
  <c r="L907" i="4"/>
  <c r="M907" i="4" s="1"/>
  <c r="K862" i="4"/>
  <c r="J881" i="4"/>
  <c r="J329" i="4"/>
  <c r="J159" i="6"/>
  <c r="L238" i="8"/>
  <c r="M238" i="8" s="1"/>
  <c r="Q21" i="37"/>
  <c r="R21" i="37" s="1"/>
  <c r="Q57" i="37"/>
  <c r="R57" i="37" s="1"/>
  <c r="L584" i="4"/>
  <c r="M584" i="4" s="1"/>
  <c r="K633" i="4"/>
  <c r="K182" i="4" s="1"/>
  <c r="J654" i="4"/>
  <c r="L429" i="5"/>
  <c r="M429" i="5" s="1"/>
  <c r="L281" i="5"/>
  <c r="M281" i="5" s="1"/>
  <c r="L38" i="27"/>
  <c r="M38" i="27" s="1"/>
  <c r="L563" i="7"/>
  <c r="L185" i="8"/>
  <c r="L249" i="8"/>
  <c r="M249" i="8" s="1"/>
  <c r="L688" i="7"/>
  <c r="M688" i="7" s="1"/>
  <c r="L289" i="5"/>
  <c r="M289" i="5" s="1"/>
  <c r="L412" i="4"/>
  <c r="M412" i="4" s="1"/>
  <c r="L699" i="4"/>
  <c r="M699" i="4" s="1"/>
  <c r="L283" i="8"/>
  <c r="M283" i="8" s="1"/>
  <c r="L681" i="7"/>
  <c r="M681" i="7" s="1"/>
  <c r="L1128" i="7"/>
  <c r="M1128" i="7" s="1"/>
  <c r="L1141" i="7"/>
  <c r="M1141" i="7" s="1"/>
  <c r="L1143" i="7"/>
  <c r="M1143" i="7" s="1"/>
  <c r="L1149" i="7"/>
  <c r="M1149" i="7" s="1"/>
  <c r="L1135" i="7"/>
  <c r="M1135" i="7" s="1"/>
  <c r="K952" i="7"/>
  <c r="F28" i="20"/>
  <c r="F45" i="20" s="1"/>
  <c r="L28" i="20"/>
  <c r="L45" i="20" s="1"/>
  <c r="G28" i="20"/>
  <c r="G45" i="20" s="1"/>
  <c r="H28" i="20"/>
  <c r="H45" i="20" s="1"/>
  <c r="K639" i="6"/>
  <c r="J293" i="45"/>
  <c r="A26" i="19"/>
  <c r="J321" i="6"/>
  <c r="K1173" i="6"/>
  <c r="I726" i="34" s="1"/>
  <c r="J327" i="6"/>
  <c r="K619" i="4"/>
  <c r="L619" i="4" s="1"/>
  <c r="D101" i="42"/>
  <c r="K318" i="8"/>
  <c r="J290" i="45"/>
  <c r="J33" i="45"/>
  <c r="J264" i="6"/>
  <c r="K1248" i="6"/>
  <c r="I727" i="34" s="1"/>
  <c r="J34" i="45"/>
  <c r="J1224" i="6"/>
  <c r="J370" i="6" s="1"/>
  <c r="J378" i="6"/>
  <c r="F36" i="17"/>
  <c r="A20" i="4"/>
  <c r="A25" i="4" s="1"/>
  <c r="A994" i="4" s="1"/>
  <c r="A996" i="4" s="1"/>
  <c r="C20" i="4"/>
  <c r="G19" i="4"/>
  <c r="B91" i="4"/>
  <c r="B45" i="4" s="1"/>
  <c r="K309" i="6"/>
  <c r="J1721" i="6"/>
  <c r="G277" i="6"/>
  <c r="G281" i="6" s="1"/>
  <c r="L1716" i="6"/>
  <c r="L574" i="6" s="1"/>
  <c r="J574" i="6"/>
  <c r="J579" i="6" s="1"/>
  <c r="K1721" i="6"/>
  <c r="L326" i="8"/>
  <c r="J340" i="4"/>
  <c r="K885" i="4"/>
  <c r="J935" i="4"/>
  <c r="K963" i="7"/>
  <c r="J377" i="7"/>
  <c r="K945" i="7"/>
  <c r="J376" i="7"/>
  <c r="L413" i="4"/>
  <c r="K68" i="4"/>
  <c r="I341" i="6"/>
  <c r="K859" i="6"/>
  <c r="J140" i="6"/>
  <c r="B452" i="6"/>
  <c r="A28" i="6"/>
  <c r="A44" i="6" s="1"/>
  <c r="A454" i="6"/>
  <c r="A457" i="6" s="1"/>
  <c r="C452" i="6"/>
  <c r="K763" i="6"/>
  <c r="J782" i="6"/>
  <c r="AE3" i="22"/>
  <c r="AE78" i="22" s="1"/>
  <c r="AE121" i="22" s="1"/>
  <c r="AH3" i="21"/>
  <c r="AG3" i="22"/>
  <c r="AG78" i="22" s="1"/>
  <c r="AJ3" i="21"/>
  <c r="AM3" i="21"/>
  <c r="AJ3" i="22"/>
  <c r="AJ78" i="22" s="1"/>
  <c r="AJ121" i="22" s="1"/>
  <c r="I295" i="45"/>
  <c r="I305" i="45" s="1"/>
  <c r="I306" i="45" s="1"/>
  <c r="K730" i="6"/>
  <c r="K735" i="6" s="1"/>
  <c r="H64" i="12"/>
  <c r="I63" i="12"/>
  <c r="I28" i="12"/>
  <c r="H57" i="13" s="1"/>
  <c r="P84" i="11"/>
  <c r="S3" i="11"/>
  <c r="B1197" i="7"/>
  <c r="D1208" i="7"/>
  <c r="A1192" i="7"/>
  <c r="I527" i="7"/>
  <c r="I529" i="7" s="1"/>
  <c r="I538" i="7" s="1"/>
  <c r="B240" i="7"/>
  <c r="C1194" i="7"/>
  <c r="L1092" i="6"/>
  <c r="C2038" i="6"/>
  <c r="L2020" i="6"/>
  <c r="K1726" i="6"/>
  <c r="L1726" i="6" s="1"/>
  <c r="J584" i="6"/>
  <c r="A28" i="19"/>
  <c r="J39" i="19"/>
  <c r="A24" i="19"/>
  <c r="F39" i="19"/>
  <c r="C75" i="17"/>
  <c r="B84" i="4"/>
  <c r="I504" i="5"/>
  <c r="I16" i="5"/>
  <c r="I10" i="5"/>
  <c r="I498" i="5"/>
  <c r="L407" i="8"/>
  <c r="D194" i="7"/>
  <c r="B25" i="7"/>
  <c r="B37" i="7" s="1"/>
  <c r="L496" i="7"/>
  <c r="L86" i="7" s="1"/>
  <c r="L499" i="7"/>
  <c r="L89" i="7" s="1"/>
  <c r="AG49" i="42"/>
  <c r="F72" i="13"/>
  <c r="F55" i="13"/>
  <c r="T41" i="42" s="1"/>
  <c r="K186" i="8"/>
  <c r="K45" i="8" s="1"/>
  <c r="K278" i="8"/>
  <c r="K61" i="8" s="1"/>
  <c r="J291" i="45"/>
  <c r="K295" i="8"/>
  <c r="K62" i="8" s="1"/>
  <c r="J292" i="45"/>
  <c r="K62" i="5"/>
  <c r="G97" i="13"/>
  <c r="H95" i="13"/>
  <c r="J294" i="45"/>
  <c r="K319" i="8"/>
  <c r="K1355" i="6"/>
  <c r="A2041" i="6"/>
  <c r="K263" i="6"/>
  <c r="K1232" i="6"/>
  <c r="J1221" i="6"/>
  <c r="J366" i="6" s="1"/>
  <c r="I380" i="6"/>
  <c r="J726" i="6"/>
  <c r="J727" i="6"/>
  <c r="K2013" i="6"/>
  <c r="H22" i="58" s="1"/>
  <c r="C563" i="6"/>
  <c r="K31" i="45"/>
  <c r="C2044" i="6"/>
  <c r="J1134" i="6"/>
  <c r="K1181" i="6"/>
  <c r="J35" i="45"/>
  <c r="K1103" i="6"/>
  <c r="I218" i="6"/>
  <c r="Q115" i="42" s="1"/>
  <c r="J32" i="45"/>
  <c r="J331" i="6"/>
  <c r="J330" i="6" s="1"/>
  <c r="G343" i="6"/>
  <c r="A2045" i="6"/>
  <c r="A618" i="6"/>
  <c r="L1505" i="6"/>
  <c r="L463" i="6" s="1"/>
  <c r="U220" i="10"/>
  <c r="K1281" i="6"/>
  <c r="K406" i="6" s="1"/>
  <c r="K214" i="6"/>
  <c r="I367" i="6"/>
  <c r="I372" i="6" s="1"/>
  <c r="P118" i="42" s="1"/>
  <c r="I1227" i="6"/>
  <c r="G766" i="34" s="1"/>
  <c r="K1908" i="6"/>
  <c r="K661" i="6" s="1"/>
  <c r="J1630" i="6"/>
  <c r="J507" i="6"/>
  <c r="J512" i="6" s="1"/>
  <c r="K1235" i="6"/>
  <c r="J1220" i="6"/>
  <c r="J1251" i="6"/>
  <c r="J377" i="6"/>
  <c r="D68" i="5"/>
  <c r="G7" i="5"/>
  <c r="B481" i="5"/>
  <c r="K382" i="5"/>
  <c r="J146" i="5"/>
  <c r="K61" i="5"/>
  <c r="L248" i="5"/>
  <c r="L314" i="5"/>
  <c r="L96" i="5" s="1"/>
  <c r="L243" i="5"/>
  <c r="A465" i="5"/>
  <c r="A470" i="5" s="1"/>
  <c r="A483" i="5" s="1"/>
  <c r="A487" i="5" s="1"/>
  <c r="A79" i="5"/>
  <c r="O9" i="11"/>
  <c r="F75" i="17"/>
  <c r="C137" i="4"/>
  <c r="A137" i="4"/>
  <c r="A968" i="4"/>
  <c r="J75" i="17"/>
  <c r="H39" i="19"/>
  <c r="J666" i="7"/>
  <c r="K658" i="7"/>
  <c r="K207" i="7" s="1"/>
  <c r="K210" i="7"/>
  <c r="G322" i="7"/>
  <c r="H322" i="7" s="1"/>
  <c r="I857" i="7"/>
  <c r="I859" i="7" s="1"/>
  <c r="I868" i="7" s="1"/>
  <c r="L502" i="7"/>
  <c r="J345" i="7"/>
  <c r="A1199" i="7"/>
  <c r="K739" i="7"/>
  <c r="K258" i="7" s="1"/>
  <c r="C1192" i="7"/>
  <c r="J306" i="7"/>
  <c r="K844" i="7"/>
  <c r="J312" i="7"/>
  <c r="I320" i="7"/>
  <c r="K601" i="7"/>
  <c r="J162" i="7"/>
  <c r="B75" i="17"/>
  <c r="C335" i="7"/>
  <c r="C1197" i="7"/>
  <c r="J314" i="7"/>
  <c r="K846" i="7"/>
  <c r="J855" i="7"/>
  <c r="I94" i="7"/>
  <c r="F30" i="48" s="1"/>
  <c r="K260" i="48" s="1"/>
  <c r="K491" i="7"/>
  <c r="J76" i="7"/>
  <c r="K845" i="7"/>
  <c r="K313" i="7" s="1"/>
  <c r="K600" i="7"/>
  <c r="K161" i="7" s="1"/>
  <c r="K956" i="7"/>
  <c r="C43" i="42"/>
  <c r="B148" i="15"/>
  <c r="D43" i="42"/>
  <c r="B172" i="42" s="1"/>
  <c r="G132" i="13"/>
  <c r="AJ29" i="9"/>
  <c r="J277" i="7"/>
  <c r="AO115" i="9"/>
  <c r="K60" i="5"/>
  <c r="A95" i="4"/>
  <c r="A954" i="4"/>
  <c r="B137" i="4"/>
  <c r="B968" i="4"/>
  <c r="A75" i="17"/>
  <c r="N124" i="22"/>
  <c r="AD14" i="42"/>
  <c r="AS14" i="42"/>
  <c r="C44" i="42"/>
  <c r="K173" i="5"/>
  <c r="L1030" i="6"/>
  <c r="L253" i="6" s="1"/>
  <c r="N1833" i="6"/>
  <c r="M890" i="7"/>
  <c r="L755" i="6"/>
  <c r="F12" i="42"/>
  <c r="K359" i="5"/>
  <c r="K89" i="5"/>
  <c r="K91" i="5" s="1"/>
  <c r="K8" i="5" s="1"/>
  <c r="G66" i="5"/>
  <c r="H66" i="5" s="1"/>
  <c r="I56" i="5"/>
  <c r="K618" i="4"/>
  <c r="J170" i="4"/>
  <c r="C41" i="42"/>
  <c r="M1813" i="6"/>
  <c r="J16" i="17"/>
  <c r="AY41" i="42" s="1"/>
  <c r="J106" i="15" s="1"/>
  <c r="J336" i="34" s="1"/>
  <c r="I31" i="17"/>
  <c r="I31" i="16"/>
  <c r="J16" i="16"/>
  <c r="B8" i="8"/>
  <c r="K109" i="8"/>
  <c r="M454" i="8"/>
  <c r="M268" i="8"/>
  <c r="K421" i="45"/>
  <c r="K422" i="45"/>
  <c r="J17" i="5"/>
  <c r="J26" i="5" s="1"/>
  <c r="L672" i="7"/>
  <c r="L918" i="7"/>
  <c r="K365" i="7"/>
  <c r="I441" i="7"/>
  <c r="I442" i="7" s="1"/>
  <c r="L309" i="5"/>
  <c r="K318" i="5"/>
  <c r="J440" i="7"/>
  <c r="I439" i="7"/>
  <c r="K487" i="7"/>
  <c r="J74" i="7"/>
  <c r="J525" i="7"/>
  <c r="J135" i="5"/>
  <c r="K362" i="5"/>
  <c r="J383" i="5"/>
  <c r="J385" i="5" s="1"/>
  <c r="J387" i="5" s="1"/>
  <c r="J396" i="5" s="1"/>
  <c r="L423" i="5"/>
  <c r="K186" i="5"/>
  <c r="L671" i="7"/>
  <c r="K216" i="7"/>
  <c r="L741" i="7"/>
  <c r="L748" i="7"/>
  <c r="K260" i="7"/>
  <c r="K261" i="7" s="1"/>
  <c r="O919" i="7"/>
  <c r="P919" i="7" s="1"/>
  <c r="Q919" i="7" s="1"/>
  <c r="R919" i="7" s="1"/>
  <c r="J210" i="6"/>
  <c r="K991" i="6"/>
  <c r="M840" i="6"/>
  <c r="L794" i="6"/>
  <c r="K99" i="6"/>
  <c r="L791" i="6"/>
  <c r="I31" i="5"/>
  <c r="J183" i="5"/>
  <c r="J195" i="5" s="1"/>
  <c r="K420" i="5"/>
  <c r="J447" i="5"/>
  <c r="J449" i="5" s="1"/>
  <c r="J451" i="5" s="1"/>
  <c r="J459" i="5" s="1"/>
  <c r="L485" i="5"/>
  <c r="J6" i="3" s="1"/>
  <c r="K450" i="5"/>
  <c r="K193" i="5"/>
  <c r="L427" i="5"/>
  <c r="K187" i="5"/>
  <c r="I197" i="5"/>
  <c r="I507" i="5"/>
  <c r="I19" i="5"/>
  <c r="L97" i="5"/>
  <c r="J198" i="5"/>
  <c r="B470" i="5"/>
  <c r="B483" i="5" s="1"/>
  <c r="M311" i="5"/>
  <c r="A682" i="6"/>
  <c r="A2066" i="6"/>
  <c r="J711" i="4"/>
  <c r="J720" i="4" s="1"/>
  <c r="J191" i="4" s="1"/>
  <c r="J689" i="4"/>
  <c r="K685" i="4"/>
  <c r="I174" i="4"/>
  <c r="I722" i="4"/>
  <c r="I724" i="4" s="1"/>
  <c r="I732" i="4" s="1"/>
  <c r="J109" i="4"/>
  <c r="J157" i="4" s="1"/>
  <c r="V26" i="11"/>
  <c r="W26" i="11" s="1"/>
  <c r="M295" i="5"/>
  <c r="K220" i="5"/>
  <c r="K52" i="5" s="1"/>
  <c r="J238" i="5"/>
  <c r="J258" i="5" s="1"/>
  <c r="J260" i="5" s="1"/>
  <c r="J271" i="5" s="1"/>
  <c r="L2011" i="6"/>
  <c r="K726" i="6"/>
  <c r="L2004" i="6"/>
  <c r="K722" i="6"/>
  <c r="L2008" i="6"/>
  <c r="I502" i="4"/>
  <c r="P98" i="42" s="1"/>
  <c r="G155" i="4"/>
  <c r="H155" i="4" s="1"/>
  <c r="G111" i="4"/>
  <c r="H111" i="4" s="1"/>
  <c r="G77" i="13"/>
  <c r="G119" i="13" s="1"/>
  <c r="H129" i="40"/>
  <c r="K1009" i="7" s="1"/>
  <c r="I110" i="40"/>
  <c r="Q88" i="10" s="1"/>
  <c r="J109" i="40"/>
  <c r="AB209" i="9"/>
  <c r="AB211" i="9" s="1"/>
  <c r="AL3" i="9"/>
  <c r="AG87" i="9"/>
  <c r="AG169" i="9" s="1"/>
  <c r="BH39" i="9"/>
  <c r="BI39" i="9" s="1"/>
  <c r="BC39" i="9"/>
  <c r="BD39" i="9" s="1"/>
  <c r="AX40" i="9"/>
  <c r="AT40" i="9"/>
  <c r="O84" i="11"/>
  <c r="R3" i="11"/>
  <c r="N84" i="11"/>
  <c r="Q3" i="11"/>
  <c r="V3" i="10"/>
  <c r="Y41" i="10"/>
  <c r="X26" i="11" s="1"/>
  <c r="AF41" i="10"/>
  <c r="AI41" i="10" s="1"/>
  <c r="N534" i="7"/>
  <c r="N104" i="7" s="1"/>
  <c r="T3" i="10"/>
  <c r="M983" i="7"/>
  <c r="L495" i="7"/>
  <c r="L85" i="7" s="1"/>
  <c r="M568" i="7"/>
  <c r="K306" i="7"/>
  <c r="L811" i="7"/>
  <c r="K220" i="7"/>
  <c r="L695" i="7"/>
  <c r="L75" i="17"/>
  <c r="N39" i="19"/>
  <c r="A32" i="19"/>
  <c r="A92" i="19" s="1"/>
  <c r="B403" i="7"/>
  <c r="K257" i="7"/>
  <c r="C2059" i="6"/>
  <c r="L1297" i="6"/>
  <c r="K423" i="6"/>
  <c r="B19" i="6"/>
  <c r="A26" i="13" s="1"/>
  <c r="K415" i="6"/>
  <c r="L1472" i="6"/>
  <c r="K1474" i="6"/>
  <c r="L987" i="6"/>
  <c r="K209" i="6"/>
  <c r="L449" i="6"/>
  <c r="L1497" i="6"/>
  <c r="L102" i="6"/>
  <c r="L338" i="6"/>
  <c r="L271" i="6"/>
  <c r="M1070" i="6"/>
  <c r="M410" i="5"/>
  <c r="M174" i="5" s="1"/>
  <c r="G1009" i="4"/>
  <c r="M75" i="17"/>
  <c r="A33" i="19"/>
  <c r="A97" i="19" s="1"/>
  <c r="O39" i="19"/>
  <c r="C2060" i="6"/>
  <c r="C345" i="6"/>
  <c r="L1488" i="6"/>
  <c r="K1489" i="6"/>
  <c r="K1494" i="6" s="1"/>
  <c r="I1504" i="6"/>
  <c r="I462" i="6" s="1"/>
  <c r="I139" i="11"/>
  <c r="L1480" i="6"/>
  <c r="I35" i="19"/>
  <c r="F105" i="19"/>
  <c r="D100" i="34"/>
  <c r="A2040" i="6"/>
  <c r="A356" i="6"/>
  <c r="G558" i="8"/>
  <c r="K119" i="4"/>
  <c r="M541" i="4"/>
  <c r="L1883" i="6"/>
  <c r="L1663" i="6"/>
  <c r="L541" i="6" s="1"/>
  <c r="L1287" i="6"/>
  <c r="K837" i="6"/>
  <c r="K546" i="6"/>
  <c r="K551" i="6" s="1"/>
  <c r="K1688" i="6"/>
  <c r="M860" i="6"/>
  <c r="L777" i="6"/>
  <c r="K92" i="6"/>
  <c r="L1997" i="6"/>
  <c r="K714" i="6"/>
  <c r="L1678" i="6"/>
  <c r="L1654" i="6"/>
  <c r="L1611" i="6"/>
  <c r="K497" i="6"/>
  <c r="B2047" i="6"/>
  <c r="K262" i="6"/>
  <c r="L725" i="6"/>
  <c r="L449" i="8"/>
  <c r="D7" i="42"/>
  <c r="AN3" i="9"/>
  <c r="AI87" i="9"/>
  <c r="AI169" i="9" s="1"/>
  <c r="AM3" i="9"/>
  <c r="AH87" i="9"/>
  <c r="AH169" i="9" s="1"/>
  <c r="AF86" i="9"/>
  <c r="AF168" i="9" s="1"/>
  <c r="AK2" i="9"/>
  <c r="X209" i="9"/>
  <c r="AC209" i="9"/>
  <c r="AC211" i="9" s="1"/>
  <c r="H193" i="3"/>
  <c r="V209" i="9"/>
  <c r="A206" i="15"/>
  <c r="H203" i="3"/>
  <c r="AK3" i="9"/>
  <c r="AF87" i="9"/>
  <c r="AF169" i="9" s="1"/>
  <c r="C425" i="34"/>
  <c r="I757" i="34"/>
  <c r="M452" i="8"/>
  <c r="H40" i="16"/>
  <c r="AI49" i="42" s="1"/>
  <c r="AI52" i="42" s="1"/>
  <c r="J357" i="8"/>
  <c r="J95" i="8" s="1"/>
  <c r="K299" i="45"/>
  <c r="K304" i="45" s="1"/>
  <c r="J92" i="4"/>
  <c r="J46" i="4" s="1"/>
  <c r="H62" i="3" s="1"/>
  <c r="L968" i="7"/>
  <c r="M977" i="7"/>
  <c r="L682" i="7"/>
  <c r="K217" i="7"/>
  <c r="J755" i="7"/>
  <c r="J757" i="7" s="1"/>
  <c r="G23" i="7"/>
  <c r="G266" i="7"/>
  <c r="H266" i="7" s="1"/>
  <c r="L810" i="7"/>
  <c r="Q18" i="26" s="1"/>
  <c r="K205" i="7"/>
  <c r="L653" i="7"/>
  <c r="D1210" i="7"/>
  <c r="D268" i="7"/>
  <c r="F102" i="13"/>
  <c r="I264" i="7"/>
  <c r="Q132" i="42" s="1"/>
  <c r="A37" i="20"/>
  <c r="A82" i="20" s="1"/>
  <c r="M1108" i="7"/>
  <c r="M853" i="7"/>
  <c r="M781" i="7"/>
  <c r="S69" i="11"/>
  <c r="A36" i="20"/>
  <c r="A77" i="20" s="1"/>
  <c r="K70" i="4"/>
  <c r="L433" i="4"/>
  <c r="D76" i="11"/>
  <c r="S35" i="20"/>
  <c r="H195" i="14" l="1"/>
  <c r="M17" i="14"/>
  <c r="J134" i="14"/>
  <c r="Q19" i="14" s="1"/>
  <c r="H177" i="14"/>
  <c r="I86" i="14" s="1"/>
  <c r="G835" i="4"/>
  <c r="H835" i="4" s="1"/>
  <c r="L120" i="10"/>
  <c r="AI63" i="9"/>
  <c r="AI65" i="9" s="1"/>
  <c r="I63" i="9"/>
  <c r="K1185" i="7" s="1"/>
  <c r="K468" i="7" s="1"/>
  <c r="L61" i="4"/>
  <c r="L914" i="4"/>
  <c r="L344" i="4" s="1"/>
  <c r="J115" i="3"/>
  <c r="F621" i="34"/>
  <c r="F622" i="34" s="1"/>
  <c r="F624" i="34" s="1"/>
  <c r="F245" i="34" s="1"/>
  <c r="L338" i="8"/>
  <c r="L267" i="8"/>
  <c r="AX21" i="42"/>
  <c r="I116" i="15" s="1"/>
  <c r="L429" i="8"/>
  <c r="Q21" i="26" s="1"/>
  <c r="P21" i="26"/>
  <c r="G477" i="5"/>
  <c r="H477" i="5" s="1"/>
  <c r="G26" i="5"/>
  <c r="R47" i="42"/>
  <c r="K404" i="6"/>
  <c r="L1662" i="6"/>
  <c r="L540" i="6" s="1"/>
  <c r="K152" i="6"/>
  <c r="K701" i="6"/>
  <c r="L2002" i="6"/>
  <c r="I20" i="58" s="1"/>
  <c r="P99" i="37"/>
  <c r="L95" i="5"/>
  <c r="Q114" i="4"/>
  <c r="K663" i="4"/>
  <c r="K206" i="4" s="1"/>
  <c r="L114" i="4"/>
  <c r="L152" i="4" s="1"/>
  <c r="P114" i="4"/>
  <c r="P152" i="4" s="1"/>
  <c r="R2073" i="6"/>
  <c r="Q89" i="6"/>
  <c r="R773" i="6"/>
  <c r="R89" i="6" s="1"/>
  <c r="Q86" i="6"/>
  <c r="R770" i="6"/>
  <c r="R86" i="6" s="1"/>
  <c r="Q88" i="6"/>
  <c r="R772" i="6"/>
  <c r="R88" i="6" s="1"/>
  <c r="Q87" i="6"/>
  <c r="R771" i="6"/>
  <c r="R87" i="6" s="1"/>
  <c r="J33" i="20"/>
  <c r="J65" i="20"/>
  <c r="AK41" i="10"/>
  <c r="AJ26" i="11" s="1"/>
  <c r="R534" i="7"/>
  <c r="R104" i="7" s="1"/>
  <c r="Q366" i="7"/>
  <c r="R921" i="7"/>
  <c r="R366" i="7" s="1"/>
  <c r="G84" i="10"/>
  <c r="F44" i="11" s="1"/>
  <c r="J39" i="1"/>
  <c r="I273" i="3" s="1"/>
  <c r="M983" i="6"/>
  <c r="M982" i="6"/>
  <c r="P123" i="1"/>
  <c r="P7" i="1"/>
  <c r="K160" i="7"/>
  <c r="M1347" i="6"/>
  <c r="Q368" i="8"/>
  <c r="R368" i="8" s="1"/>
  <c r="M679" i="4"/>
  <c r="M985" i="6"/>
  <c r="M1710" i="6"/>
  <c r="N1710" i="6" s="1"/>
  <c r="M984" i="6"/>
  <c r="Q367" i="8"/>
  <c r="R367" i="8" s="1"/>
  <c r="K286" i="3"/>
  <c r="J296" i="3"/>
  <c r="N298" i="3"/>
  <c r="I292" i="3"/>
  <c r="I293" i="3" s="1"/>
  <c r="H293" i="3"/>
  <c r="H302" i="3"/>
  <c r="L67" i="1"/>
  <c r="J300" i="3"/>
  <c r="J299" i="3"/>
  <c r="H84" i="15"/>
  <c r="M301" i="3"/>
  <c r="L304" i="6"/>
  <c r="L441" i="6"/>
  <c r="L573" i="6"/>
  <c r="L1407" i="6"/>
  <c r="L440" i="6" s="1"/>
  <c r="L320" i="6"/>
  <c r="J725" i="34"/>
  <c r="L124" i="5"/>
  <c r="L126" i="5"/>
  <c r="L125" i="5"/>
  <c r="M423" i="4"/>
  <c r="L75" i="4"/>
  <c r="K76" i="4"/>
  <c r="J130" i="5"/>
  <c r="J497" i="5" s="1"/>
  <c r="L176" i="5"/>
  <c r="H9" i="5"/>
  <c r="H15" i="6"/>
  <c r="M1851" i="6"/>
  <c r="N1851" i="6" s="1"/>
  <c r="H7" i="6"/>
  <c r="Q102" i="48"/>
  <c r="H27" i="6"/>
  <c r="P106" i="48"/>
  <c r="H8" i="6"/>
  <c r="Q103" i="48"/>
  <c r="H10" i="6"/>
  <c r="Q105" i="48"/>
  <c r="K721" i="6"/>
  <c r="H24" i="6"/>
  <c r="P103" i="48"/>
  <c r="H9" i="6"/>
  <c r="Q104" i="48"/>
  <c r="M929" i="7"/>
  <c r="N929" i="7" s="1"/>
  <c r="L981" i="7"/>
  <c r="R114" i="10" s="1"/>
  <c r="K308" i="7"/>
  <c r="L823" i="7"/>
  <c r="M823" i="7" s="1"/>
  <c r="K379" i="7"/>
  <c r="P114" i="10"/>
  <c r="I103" i="3" s="1"/>
  <c r="H60" i="48"/>
  <c r="H61" i="48" s="1"/>
  <c r="H51" i="48" s="1"/>
  <c r="F36" i="48" s="1"/>
  <c r="Q260" i="48" s="1"/>
  <c r="I21" i="4"/>
  <c r="B954" i="4"/>
  <c r="C31" i="4"/>
  <c r="D90" i="4"/>
  <c r="D478" i="4"/>
  <c r="C954" i="4"/>
  <c r="H21" i="4"/>
  <c r="P94" i="48"/>
  <c r="H11" i="4"/>
  <c r="Q95" i="48"/>
  <c r="H12" i="4"/>
  <c r="Q96" i="48"/>
  <c r="H19" i="4"/>
  <c r="P92" i="48"/>
  <c r="P25" i="1"/>
  <c r="O291" i="3" s="1"/>
  <c r="P301" i="3" s="1"/>
  <c r="N291" i="3"/>
  <c r="N6" i="58"/>
  <c r="O5" i="58" s="1"/>
  <c r="M6" i="58"/>
  <c r="M5" i="58" s="1"/>
  <c r="G253" i="48"/>
  <c r="G258" i="48" s="1"/>
  <c r="H20" i="7"/>
  <c r="P83" i="48"/>
  <c r="H8" i="7"/>
  <c r="Q84" i="48"/>
  <c r="H23" i="7"/>
  <c r="P86" i="48"/>
  <c r="H21" i="7"/>
  <c r="P84" i="48"/>
  <c r="H24" i="7"/>
  <c r="P87" i="48"/>
  <c r="H12" i="7"/>
  <c r="Q87" i="48"/>
  <c r="H11" i="7"/>
  <c r="Q86" i="48"/>
  <c r="M114" i="10"/>
  <c r="H103" i="3" s="1"/>
  <c r="M108" i="42"/>
  <c r="H18" i="5"/>
  <c r="P99" i="48"/>
  <c r="H16" i="5"/>
  <c r="P97" i="48"/>
  <c r="H7" i="5"/>
  <c r="Q97" i="48"/>
  <c r="H10" i="5"/>
  <c r="Q100" i="48"/>
  <c r="H19" i="5"/>
  <c r="P100" i="48"/>
  <c r="M517" i="8"/>
  <c r="M505" i="8"/>
  <c r="M514" i="8"/>
  <c r="M523" i="8"/>
  <c r="M386" i="8"/>
  <c r="M377" i="8"/>
  <c r="M387" i="8"/>
  <c r="M488" i="8"/>
  <c r="M526" i="8"/>
  <c r="M507" i="8"/>
  <c r="M466" i="8"/>
  <c r="M525" i="8"/>
  <c r="M515" i="8"/>
  <c r="M519" i="8"/>
  <c r="M531" i="8"/>
  <c r="I18" i="58"/>
  <c r="M470" i="8"/>
  <c r="M533" i="8"/>
  <c r="M464" i="8"/>
  <c r="M487" i="8"/>
  <c r="M506" i="8"/>
  <c r="M384" i="8"/>
  <c r="M520" i="8"/>
  <c r="M457" i="8"/>
  <c r="M395" i="8"/>
  <c r="M467" i="8"/>
  <c r="M511" i="8"/>
  <c r="H15" i="58"/>
  <c r="M479" i="8"/>
  <c r="M534" i="8"/>
  <c r="M481" i="8"/>
  <c r="I15" i="58"/>
  <c r="M485" i="8"/>
  <c r="M490" i="8"/>
  <c r="M385" i="8"/>
  <c r="M527" i="8"/>
  <c r="M473" i="8"/>
  <c r="M476" i="8"/>
  <c r="M397" i="8"/>
  <c r="M524" i="8"/>
  <c r="M528" i="8"/>
  <c r="M522" i="8"/>
  <c r="M516" i="8"/>
  <c r="M376" i="8"/>
  <c r="M532" i="8"/>
  <c r="L713" i="6"/>
  <c r="I17" i="58"/>
  <c r="L1974" i="6"/>
  <c r="I9" i="58" s="1"/>
  <c r="M1812" i="6"/>
  <c r="N1812" i="6" s="1"/>
  <c r="M489" i="8"/>
  <c r="M465" i="8"/>
  <c r="M468" i="8"/>
  <c r="M521" i="8"/>
  <c r="M378" i="8"/>
  <c r="M501" i="8"/>
  <c r="M486" i="8"/>
  <c r="M504" i="8"/>
  <c r="M463" i="8"/>
  <c r="K713" i="6"/>
  <c r="H17" i="58"/>
  <c r="M469" i="8"/>
  <c r="M480" i="8"/>
  <c r="M484" i="8"/>
  <c r="M508" i="8"/>
  <c r="M482" i="8"/>
  <c r="M483" i="8"/>
  <c r="M518" i="8"/>
  <c r="M400" i="8"/>
  <c r="AZ12" i="42" s="1"/>
  <c r="H21" i="58"/>
  <c r="K141" i="3"/>
  <c r="K670" i="6"/>
  <c r="M1182" i="6"/>
  <c r="M209" i="8"/>
  <c r="M1864" i="6"/>
  <c r="R15" i="37"/>
  <c r="M839" i="7"/>
  <c r="M396" i="4"/>
  <c r="M1302" i="6"/>
  <c r="M1310" i="6"/>
  <c r="M1041" i="6"/>
  <c r="M1117" i="6"/>
  <c r="M1537" i="6"/>
  <c r="M1405" i="6"/>
  <c r="M1314" i="6"/>
  <c r="M1545" i="6"/>
  <c r="M1397" i="6"/>
  <c r="M1538" i="6"/>
  <c r="M1106" i="6"/>
  <c r="M1424" i="6"/>
  <c r="M1546" i="6"/>
  <c r="M427" i="4"/>
  <c r="M1115" i="6"/>
  <c r="M1112" i="6"/>
  <c r="M1312" i="6"/>
  <c r="M1059" i="6"/>
  <c r="M430" i="4"/>
  <c r="M1551" i="6"/>
  <c r="M1123" i="6"/>
  <c r="M1536" i="6"/>
  <c r="M1114" i="6"/>
  <c r="M1548" i="6"/>
  <c r="M462" i="4"/>
  <c r="M1307" i="6"/>
  <c r="M1113" i="6"/>
  <c r="M1533" i="6"/>
  <c r="M1311" i="6"/>
  <c r="M1400" i="6"/>
  <c r="M1532" i="6"/>
  <c r="L445" i="6"/>
  <c r="M1323" i="6"/>
  <c r="M1534" i="6"/>
  <c r="M1552" i="6"/>
  <c r="M1039" i="6"/>
  <c r="M1553" i="6"/>
  <c r="M1055" i="6"/>
  <c r="M263" i="6" s="1"/>
  <c r="M395" i="4"/>
  <c r="M1539" i="6"/>
  <c r="M1554" i="6"/>
  <c r="M1124" i="6"/>
  <c r="M1547" i="6"/>
  <c r="M1045" i="6"/>
  <c r="L261" i="6"/>
  <c r="M1403" i="6"/>
  <c r="M1313" i="6"/>
  <c r="M1052" i="6"/>
  <c r="M1399" i="6"/>
  <c r="M432" i="4"/>
  <c r="M1037" i="6"/>
  <c r="M1306" i="6"/>
  <c r="M1398" i="6"/>
  <c r="M1305" i="6"/>
  <c r="M1048" i="6"/>
  <c r="M1540" i="6"/>
  <c r="M1057" i="6"/>
  <c r="M1402" i="6"/>
  <c r="M1542" i="6"/>
  <c r="M1326" i="6"/>
  <c r="M1046" i="6"/>
  <c r="M1303" i="6"/>
  <c r="M1053" i="6"/>
  <c r="M1038" i="6"/>
  <c r="M1325" i="6"/>
  <c r="M1308" i="6"/>
  <c r="M1105" i="6"/>
  <c r="M1309" i="6"/>
  <c r="M1111" i="6"/>
  <c r="L322" i="6"/>
  <c r="M1107" i="6"/>
  <c r="M1544" i="6"/>
  <c r="M1118" i="6"/>
  <c r="M527" i="4"/>
  <c r="R22" i="37"/>
  <c r="M646" i="4"/>
  <c r="M1058" i="6"/>
  <c r="M1404" i="6"/>
  <c r="M1316" i="6"/>
  <c r="M1322" i="6"/>
  <c r="L428" i="6"/>
  <c r="M1315" i="6"/>
  <c r="M1541" i="6"/>
  <c r="M431" i="4"/>
  <c r="M1396" i="6"/>
  <c r="L439" i="6"/>
  <c r="M1549" i="6"/>
  <c r="M1556" i="6"/>
  <c r="M1043" i="6"/>
  <c r="M1040" i="6"/>
  <c r="M393" i="4"/>
  <c r="M60" i="4" s="1"/>
  <c r="M1535" i="6"/>
  <c r="M1550" i="6"/>
  <c r="M1116" i="6"/>
  <c r="M1543" i="6"/>
  <c r="M1047" i="6"/>
  <c r="M1304" i="6"/>
  <c r="M428" i="4"/>
  <c r="M1108" i="6"/>
  <c r="M1555" i="6"/>
  <c r="M1042" i="6"/>
  <c r="M1319" i="6"/>
  <c r="M1109" i="6"/>
  <c r="M1324" i="6"/>
  <c r="M429" i="6" s="1"/>
  <c r="H1069" i="6"/>
  <c r="D1073" i="6"/>
  <c r="H1073" i="6" s="1"/>
  <c r="B14" i="4"/>
  <c r="B988" i="4" s="1"/>
  <c r="B36" i="10"/>
  <c r="B242" i="10" s="1"/>
  <c r="K1146" i="6"/>
  <c r="K354" i="6" s="1"/>
  <c r="AO146" i="9"/>
  <c r="L84" i="10"/>
  <c r="AJ61" i="9"/>
  <c r="AJ63" i="9" s="1"/>
  <c r="M750" i="4"/>
  <c r="M228" i="4" s="1"/>
  <c r="M1857" i="6"/>
  <c r="N1857" i="6" s="1"/>
  <c r="M1165" i="6"/>
  <c r="M305" i="6" s="1"/>
  <c r="M1388" i="6"/>
  <c r="M491" i="4"/>
  <c r="M1387" i="6"/>
  <c r="M709" i="4"/>
  <c r="M1822" i="6"/>
  <c r="M548" i="4"/>
  <c r="L118" i="4"/>
  <c r="M555" i="4"/>
  <c r="M549" i="4"/>
  <c r="M494" i="4"/>
  <c r="L108" i="4"/>
  <c r="M1713" i="6"/>
  <c r="M1824" i="6"/>
  <c r="M379" i="5"/>
  <c r="M142" i="5" s="1"/>
  <c r="M757" i="6"/>
  <c r="M385" i="4"/>
  <c r="M538" i="4"/>
  <c r="M965" i="7"/>
  <c r="M275" i="8"/>
  <c r="L132" i="8"/>
  <c r="M1881" i="6"/>
  <c r="M716" i="4"/>
  <c r="O58" i="10"/>
  <c r="AA8" i="54"/>
  <c r="M500" i="7"/>
  <c r="M501" i="7"/>
  <c r="I247" i="15"/>
  <c r="I269" i="15" s="1"/>
  <c r="M831" i="6"/>
  <c r="N831" i="6" s="1"/>
  <c r="L126" i="8"/>
  <c r="J745" i="34"/>
  <c r="Q92" i="10"/>
  <c r="M1780" i="6"/>
  <c r="M561" i="7"/>
  <c r="M1095" i="6"/>
  <c r="L313" i="6"/>
  <c r="M1050" i="6"/>
  <c r="M265" i="6" s="1"/>
  <c r="M384" i="4"/>
  <c r="M301" i="8"/>
  <c r="M1785" i="6"/>
  <c r="M92" i="10"/>
  <c r="M556" i="4"/>
  <c r="M553" i="4"/>
  <c r="M496" i="4"/>
  <c r="M274" i="8"/>
  <c r="M241" i="8"/>
  <c r="M388" i="4"/>
  <c r="M456" i="4"/>
  <c r="M627" i="4"/>
  <c r="M585" i="4"/>
  <c r="M1249" i="6"/>
  <c r="M1097" i="6"/>
  <c r="M625" i="4"/>
  <c r="Q217" i="10"/>
  <c r="S217" i="10" s="1"/>
  <c r="M207" i="8"/>
  <c r="M438" i="8"/>
  <c r="M1796" i="6"/>
  <c r="M378" i="5"/>
  <c r="L141" i="5"/>
  <c r="J226" i="3"/>
  <c r="M740" i="7"/>
  <c r="M1136" i="7"/>
  <c r="M272" i="8"/>
  <c r="M695" i="4"/>
  <c r="M309" i="8"/>
  <c r="M746" i="7"/>
  <c r="M573" i="7"/>
  <c r="M307" i="8"/>
  <c r="M558" i="4"/>
  <c r="M551" i="4"/>
  <c r="M550" i="4"/>
  <c r="M304" i="8"/>
  <c r="M1923" i="6"/>
  <c r="M273" i="8"/>
  <c r="M826" i="6"/>
  <c r="M752" i="7"/>
  <c r="M262" i="7" s="1"/>
  <c r="M302" i="8"/>
  <c r="M1797" i="6"/>
  <c r="M872" i="4"/>
  <c r="M641" i="4"/>
  <c r="M562" i="7"/>
  <c r="M437" i="8"/>
  <c r="M386" i="4"/>
  <c r="M751" i="7"/>
  <c r="M432" i="8"/>
  <c r="M1131" i="7"/>
  <c r="M1519" i="6"/>
  <c r="I734" i="34"/>
  <c r="O59" i="10"/>
  <c r="M946" i="7"/>
  <c r="N946" i="7" s="1"/>
  <c r="Q60" i="10"/>
  <c r="M793" i="6"/>
  <c r="P55" i="1"/>
  <c r="O288" i="3" s="1"/>
  <c r="P298" i="3" s="1"/>
  <c r="P60" i="10"/>
  <c r="S53" i="10"/>
  <c r="R29" i="11" s="1"/>
  <c r="S29" i="11" s="1"/>
  <c r="T29" i="11" s="1"/>
  <c r="L765" i="7"/>
  <c r="L274" i="7" s="1"/>
  <c r="M387" i="4"/>
  <c r="M1732" i="6"/>
  <c r="M590" i="6" s="1"/>
  <c r="M303" i="8"/>
  <c r="M461" i="4"/>
  <c r="M554" i="4"/>
  <c r="M552" i="4"/>
  <c r="M557" i="4"/>
  <c r="M1744" i="6"/>
  <c r="L595" i="6"/>
  <c r="M725" i="7"/>
  <c r="M710" i="4"/>
  <c r="M371" i="5"/>
  <c r="L130" i="8"/>
  <c r="M408" i="8"/>
  <c r="M1786" i="6"/>
  <c r="M913" i="4"/>
  <c r="M191" i="8"/>
  <c r="M308" i="8"/>
  <c r="M1159" i="6"/>
  <c r="M1283" i="6"/>
  <c r="M1590" i="6"/>
  <c r="K632" i="6"/>
  <c r="N234" i="10"/>
  <c r="P234" i="10" s="1"/>
  <c r="O152" i="11" s="1"/>
  <c r="P152" i="11" s="1"/>
  <c r="Q152" i="11" s="1"/>
  <c r="H1498" i="6"/>
  <c r="E220" i="10"/>
  <c r="G220" i="10" s="1"/>
  <c r="B1462" i="6"/>
  <c r="L238" i="10"/>
  <c r="I215" i="9"/>
  <c r="L498" i="7"/>
  <c r="L88" i="7" s="1"/>
  <c r="E207" i="34"/>
  <c r="L626" i="7"/>
  <c r="L178" i="7" s="1"/>
  <c r="K348" i="7"/>
  <c r="Q52" i="6"/>
  <c r="N104" i="13" s="1"/>
  <c r="N107" i="13" s="1"/>
  <c r="N64" i="13" s="1"/>
  <c r="O9" i="3" s="1"/>
  <c r="O10" i="3" s="1"/>
  <c r="G11" i="6"/>
  <c r="Q106" i="48" s="1"/>
  <c r="K118" i="42"/>
  <c r="M118" i="42" s="1"/>
  <c r="G382" i="6"/>
  <c r="H382" i="6" s="1"/>
  <c r="K1449" i="6"/>
  <c r="K1451" i="6" s="1"/>
  <c r="K1453" i="6" s="1"/>
  <c r="K1462" i="6" s="1"/>
  <c r="L2009" i="6"/>
  <c r="M2009" i="6" s="1"/>
  <c r="AJ21" i="42"/>
  <c r="I741" i="34"/>
  <c r="I743" i="34" s="1"/>
  <c r="J114" i="3"/>
  <c r="E557" i="34"/>
  <c r="AK41" i="42"/>
  <c r="J75" i="15" s="1"/>
  <c r="J322" i="34" s="1"/>
  <c r="F101" i="15"/>
  <c r="N30" i="13"/>
  <c r="N48" i="13" s="1"/>
  <c r="O191" i="15" s="1"/>
  <c r="K579" i="6"/>
  <c r="K15" i="6" s="1"/>
  <c r="J112" i="3"/>
  <c r="L1282" i="6"/>
  <c r="L407" i="6" s="1"/>
  <c r="A28" i="7"/>
  <c r="A40" i="7" s="1"/>
  <c r="A46" i="7" s="1"/>
  <c r="L566" i="7"/>
  <c r="L129" i="7" s="1"/>
  <c r="L898" i="7"/>
  <c r="L259" i="7"/>
  <c r="F60" i="48"/>
  <c r="F61" i="48" s="1"/>
  <c r="M502" i="7"/>
  <c r="H101" i="42"/>
  <c r="G794" i="34"/>
  <c r="G800" i="34" s="1"/>
  <c r="G824" i="34"/>
  <c r="E794" i="34"/>
  <c r="E800" i="34" s="1"/>
  <c r="E824" i="34"/>
  <c r="K629" i="6"/>
  <c r="L1592" i="6"/>
  <c r="L488" i="6" s="1"/>
  <c r="W12" i="42" s="1"/>
  <c r="B124" i="13"/>
  <c r="G55" i="6"/>
  <c r="H55" i="6" s="1"/>
  <c r="L1278" i="6"/>
  <c r="K649" i="6"/>
  <c r="I731" i="34"/>
  <c r="K432" i="6"/>
  <c r="J774" i="34"/>
  <c r="L333" i="4"/>
  <c r="L580" i="4"/>
  <c r="J136" i="3" s="1"/>
  <c r="G18" i="4"/>
  <c r="H37" i="4"/>
  <c r="E105" i="13"/>
  <c r="F433" i="45"/>
  <c r="G433" i="45" s="1"/>
  <c r="H433" i="45" s="1"/>
  <c r="I433" i="45" s="1"/>
  <c r="J433" i="45" s="1"/>
  <c r="J37" i="4"/>
  <c r="G105" i="13" s="1"/>
  <c r="H8" i="3"/>
  <c r="K43" i="55"/>
  <c r="L40" i="55" s="1"/>
  <c r="L97" i="42"/>
  <c r="K877" i="6"/>
  <c r="K350" i="7"/>
  <c r="L131" i="7"/>
  <c r="L1021" i="7"/>
  <c r="M1021" i="7" s="1"/>
  <c r="K131" i="7"/>
  <c r="K134" i="7" s="1"/>
  <c r="R147" i="48"/>
  <c r="R160" i="48" s="1"/>
  <c r="R161" i="48" s="1"/>
  <c r="L798" i="7"/>
  <c r="Q22" i="26" s="1"/>
  <c r="A147" i="3"/>
  <c r="F148" i="15"/>
  <c r="B50" i="42"/>
  <c r="C467" i="34" s="1"/>
  <c r="C519" i="34" s="1"/>
  <c r="I142" i="3"/>
  <c r="J111" i="3"/>
  <c r="I52" i="6"/>
  <c r="F104" i="13" s="1"/>
  <c r="G7" i="3"/>
  <c r="L145" i="3"/>
  <c r="N249" i="6"/>
  <c r="AZ117" i="9" s="1"/>
  <c r="K91" i="6"/>
  <c r="I113" i="3"/>
  <c r="K1609" i="6" s="1"/>
  <c r="I116" i="3" s="1"/>
  <c r="I117" i="3" s="1"/>
  <c r="I53" i="11"/>
  <c r="J53" i="11" s="1"/>
  <c r="K53" i="11" s="1"/>
  <c r="G103" i="3"/>
  <c r="B63" i="3"/>
  <c r="B64" i="3" s="1"/>
  <c r="C63" i="3"/>
  <c r="C64" i="3" s="1"/>
  <c r="C144" i="3"/>
  <c r="C147" i="3" s="1"/>
  <c r="F56" i="13"/>
  <c r="G146" i="3" s="1"/>
  <c r="B121" i="3"/>
  <c r="AG209" i="9"/>
  <c r="AG211" i="9" s="1"/>
  <c r="AO177" i="9"/>
  <c r="CP177" i="9"/>
  <c r="L60" i="8"/>
  <c r="J1183" i="7"/>
  <c r="J466" i="7" s="1"/>
  <c r="M526" i="4"/>
  <c r="CO134" i="9"/>
  <c r="AJ134" i="9"/>
  <c r="AL134" i="9"/>
  <c r="AL138" i="9" s="1"/>
  <c r="I134" i="9"/>
  <c r="K291" i="7"/>
  <c r="L782" i="7"/>
  <c r="G207" i="48"/>
  <c r="G209" i="48" s="1"/>
  <c r="K85" i="48"/>
  <c r="U138" i="9"/>
  <c r="U346" i="9" s="1"/>
  <c r="M39" i="37"/>
  <c r="F138" i="9"/>
  <c r="L209" i="3"/>
  <c r="M871" i="4"/>
  <c r="M890" i="4" s="1"/>
  <c r="L890" i="4"/>
  <c r="F694" i="34"/>
  <c r="F203" i="34" s="1"/>
  <c r="F204" i="34" s="1"/>
  <c r="L129" i="8"/>
  <c r="H138" i="9"/>
  <c r="J1080" i="6" s="1"/>
  <c r="K235" i="3"/>
  <c r="AU138" i="9"/>
  <c r="M1079" i="6" s="1"/>
  <c r="CM119" i="9"/>
  <c r="CP29" i="9"/>
  <c r="K277" i="7"/>
  <c r="K289" i="6"/>
  <c r="M132" i="42"/>
  <c r="F70" i="15"/>
  <c r="C233" i="42"/>
  <c r="C250" i="42"/>
  <c r="C241" i="42"/>
  <c r="F86" i="15"/>
  <c r="F71" i="15"/>
  <c r="C234" i="42"/>
  <c r="B217" i="15"/>
  <c r="I724" i="34"/>
  <c r="L1279" i="6"/>
  <c r="L405" i="6" s="1"/>
  <c r="K161" i="45"/>
  <c r="U21" i="42"/>
  <c r="H54" i="15" s="1"/>
  <c r="L1862" i="6"/>
  <c r="M1862" i="6" s="1"/>
  <c r="L410" i="6"/>
  <c r="K201" i="6"/>
  <c r="M114" i="42"/>
  <c r="M116" i="42"/>
  <c r="G1211" i="7"/>
  <c r="CD68" i="21"/>
  <c r="F272" i="48"/>
  <c r="F268" i="48"/>
  <c r="G9" i="7"/>
  <c r="K214" i="48"/>
  <c r="J165" i="45"/>
  <c r="J169" i="45" s="1"/>
  <c r="J170" i="45" s="1"/>
  <c r="J171" i="45" s="1"/>
  <c r="D345" i="6"/>
  <c r="H343" i="6"/>
  <c r="K107" i="48"/>
  <c r="H12" i="6"/>
  <c r="D2057" i="6"/>
  <c r="H166" i="6"/>
  <c r="K106" i="48"/>
  <c r="J102" i="48"/>
  <c r="H23" i="6"/>
  <c r="J105" i="48"/>
  <c r="H26" i="6"/>
  <c r="I1009" i="4"/>
  <c r="G1374" i="6"/>
  <c r="H1374" i="6" s="1"/>
  <c r="E104" i="13"/>
  <c r="G41" i="6"/>
  <c r="G1462" i="6"/>
  <c r="H1462" i="6" s="1"/>
  <c r="G947" i="6"/>
  <c r="H947" i="6" s="1"/>
  <c r="G1255" i="6"/>
  <c r="H1255" i="6" s="1"/>
  <c r="G345" i="6"/>
  <c r="G2040" i="6" s="1"/>
  <c r="G223" i="6"/>
  <c r="H223" i="6" s="1"/>
  <c r="G1014" i="6"/>
  <c r="H1014" i="6" s="1"/>
  <c r="G169" i="6"/>
  <c r="G1573" i="6"/>
  <c r="H1573" i="6" s="1"/>
  <c r="J101" i="5"/>
  <c r="J477" i="5" s="1"/>
  <c r="G114" i="5"/>
  <c r="I103" i="5"/>
  <c r="I466" i="5" s="1"/>
  <c r="G466" i="5"/>
  <c r="H466" i="5" s="1"/>
  <c r="G500" i="5"/>
  <c r="H500" i="5" s="1"/>
  <c r="K395" i="7"/>
  <c r="K41" i="7" s="1"/>
  <c r="H12" i="13" s="1"/>
  <c r="K82" i="7"/>
  <c r="L786" i="7"/>
  <c r="M786" i="7" s="1"/>
  <c r="L565" i="7"/>
  <c r="L128" i="7" s="1"/>
  <c r="H39" i="45"/>
  <c r="H45" i="45" s="1"/>
  <c r="H46" i="45" s="1"/>
  <c r="H47" i="45" s="1"/>
  <c r="G10" i="7"/>
  <c r="H10" i="7" s="1"/>
  <c r="A35" i="20"/>
  <c r="A72" i="20" s="1"/>
  <c r="J857" i="7"/>
  <c r="J859" i="7" s="1"/>
  <c r="J868" i="7" s="1"/>
  <c r="L300" i="7"/>
  <c r="Y119" i="9"/>
  <c r="L378" i="7"/>
  <c r="K131" i="42"/>
  <c r="K301" i="7"/>
  <c r="M129" i="42"/>
  <c r="I212" i="7"/>
  <c r="I9" i="7" s="1"/>
  <c r="P110" i="14"/>
  <c r="P109" i="14"/>
  <c r="D2060" i="6"/>
  <c r="B356" i="6"/>
  <c r="G642" i="7"/>
  <c r="H642" i="7" s="1"/>
  <c r="G35" i="7"/>
  <c r="H35" i="7" s="1"/>
  <c r="G538" i="7"/>
  <c r="H538" i="7" s="1"/>
  <c r="G770" i="7"/>
  <c r="H770" i="7" s="1"/>
  <c r="G1209" i="7"/>
  <c r="G98" i="7"/>
  <c r="H98" i="7" s="1"/>
  <c r="G32" i="7"/>
  <c r="H32" i="7" s="1"/>
  <c r="G183" i="7"/>
  <c r="H183" i="7" s="1"/>
  <c r="G33" i="7"/>
  <c r="H33" i="7" s="1"/>
  <c r="E14" i="13"/>
  <c r="E51" i="13" s="1"/>
  <c r="E69" i="13" s="1"/>
  <c r="G589" i="7"/>
  <c r="H589" i="7" s="1"/>
  <c r="G868" i="7"/>
  <c r="H868" i="7" s="1"/>
  <c r="E44" i="15"/>
  <c r="H199" i="15"/>
  <c r="H144" i="15" s="1"/>
  <c r="E144" i="15"/>
  <c r="F144" i="15" s="1"/>
  <c r="C539" i="34"/>
  <c r="C366" i="34"/>
  <c r="AH41" i="10"/>
  <c r="AG26" i="11" s="1"/>
  <c r="Q534" i="7"/>
  <c r="Q104" i="7" s="1"/>
  <c r="C162" i="15"/>
  <c r="F325" i="34"/>
  <c r="F293" i="34" s="1"/>
  <c r="F525" i="34" s="1"/>
  <c r="C19" i="13"/>
  <c r="D210" i="5"/>
  <c r="H26" i="5"/>
  <c r="G152" i="5"/>
  <c r="H152" i="5" s="1"/>
  <c r="G479" i="5"/>
  <c r="H479" i="5" s="1"/>
  <c r="G396" i="5"/>
  <c r="H396" i="5" s="1"/>
  <c r="G332" i="5"/>
  <c r="H332" i="5" s="1"/>
  <c r="G271" i="5"/>
  <c r="H271" i="5" s="1"/>
  <c r="G509" i="5"/>
  <c r="H509" i="5" s="1"/>
  <c r="G476" i="5"/>
  <c r="H476" i="5" s="1"/>
  <c r="G25" i="5"/>
  <c r="H25" i="5" s="1"/>
  <c r="G459" i="5"/>
  <c r="H459" i="5" s="1"/>
  <c r="G8" i="4"/>
  <c r="G667" i="4"/>
  <c r="H667" i="4" s="1"/>
  <c r="G160" i="4"/>
  <c r="H160" i="4" s="1"/>
  <c r="G196" i="4"/>
  <c r="H196" i="4" s="1"/>
  <c r="G790" i="4"/>
  <c r="H790" i="4" s="1"/>
  <c r="F4" i="12"/>
  <c r="I399" i="4" s="1"/>
  <c r="G948" i="4"/>
  <c r="H948" i="4" s="1"/>
  <c r="G732" i="4"/>
  <c r="H732" i="4" s="1"/>
  <c r="I50" i="20"/>
  <c r="I100" i="20" s="1"/>
  <c r="H102" i="20"/>
  <c r="F201" i="3" s="1"/>
  <c r="O60" i="20"/>
  <c r="Q60" i="20" s="1"/>
  <c r="N60" i="20"/>
  <c r="P60" i="20" s="1"/>
  <c r="R60" i="20" s="1"/>
  <c r="M882" i="7"/>
  <c r="M928" i="7"/>
  <c r="M903" i="6"/>
  <c r="Q152" i="4"/>
  <c r="M902" i="7"/>
  <c r="M229" i="5"/>
  <c r="M880" i="7"/>
  <c r="M1880" i="6"/>
  <c r="M1795" i="6"/>
  <c r="P103" i="1"/>
  <c r="M878" i="7"/>
  <c r="M217" i="8"/>
  <c r="M327" i="8"/>
  <c r="M881" i="7"/>
  <c r="M415" i="8"/>
  <c r="Z11" i="54"/>
  <c r="Z18" i="54" s="1"/>
  <c r="Z20" i="54" s="1"/>
  <c r="AA5" i="54"/>
  <c r="M885" i="7"/>
  <c r="T59" i="10" s="1"/>
  <c r="M1814" i="6"/>
  <c r="M927" i="7"/>
  <c r="I111" i="1"/>
  <c r="I114" i="1" s="1"/>
  <c r="I116" i="1" s="1"/>
  <c r="J876" i="6"/>
  <c r="J177" i="6" s="1"/>
  <c r="F18" i="11"/>
  <c r="G18" i="11" s="1"/>
  <c r="H18" i="11" s="1"/>
  <c r="J18" i="11" s="1"/>
  <c r="K18" i="11" s="1"/>
  <c r="M18" i="11" s="1"/>
  <c r="N18" i="11" s="1"/>
  <c r="P18" i="11" s="1"/>
  <c r="Q18" i="11" s="1"/>
  <c r="S18" i="11" s="1"/>
  <c r="T18" i="11" s="1"/>
  <c r="V18" i="11" s="1"/>
  <c r="W18" i="11" s="1"/>
  <c r="Y18" i="11" s="1"/>
  <c r="Z18" i="11" s="1"/>
  <c r="AB18" i="11" s="1"/>
  <c r="AC18" i="11" s="1"/>
  <c r="AE18" i="11" s="1"/>
  <c r="AF18" i="11" s="1"/>
  <c r="AH18" i="11" s="1"/>
  <c r="AI18" i="11" s="1"/>
  <c r="AK18" i="11" s="1"/>
  <c r="G848" i="4"/>
  <c r="G304" i="4" s="1"/>
  <c r="L148" i="6"/>
  <c r="K405" i="7"/>
  <c r="K54" i="7" s="1"/>
  <c r="I59" i="3" s="1"/>
  <c r="B191" i="42"/>
  <c r="E191" i="42" s="1"/>
  <c r="C44" i="15"/>
  <c r="D40" i="42"/>
  <c r="D467" i="5"/>
  <c r="Q47" i="42"/>
  <c r="B44" i="15"/>
  <c r="G28" i="5"/>
  <c r="H28" i="5" s="1"/>
  <c r="M105" i="1"/>
  <c r="N98" i="1"/>
  <c r="M1160" i="6"/>
  <c r="M1673" i="6"/>
  <c r="J214" i="15"/>
  <c r="J159" i="15" s="1"/>
  <c r="I122" i="13"/>
  <c r="W31" i="42"/>
  <c r="I31" i="42" s="1"/>
  <c r="M1439" i="6"/>
  <c r="L125" i="1"/>
  <c r="M847" i="6"/>
  <c r="L1002" i="7"/>
  <c r="L1225" i="7" s="1"/>
  <c r="M937" i="7"/>
  <c r="L373" i="7"/>
  <c r="L397" i="7" s="1"/>
  <c r="L43" i="7" s="1"/>
  <c r="I13" i="13" s="1"/>
  <c r="I49" i="13" s="1"/>
  <c r="K72" i="34"/>
  <c r="O136" i="11"/>
  <c r="P136" i="11" s="1"/>
  <c r="Q136" i="11" s="1"/>
  <c r="L417" i="6"/>
  <c r="M845" i="6"/>
  <c r="M328" i="8"/>
  <c r="M844" i="6"/>
  <c r="M914" i="6"/>
  <c r="M236" i="8"/>
  <c r="K746" i="34"/>
  <c r="J750" i="34"/>
  <c r="M490" i="4"/>
  <c r="L107" i="4"/>
  <c r="M1414" i="6"/>
  <c r="L124" i="1"/>
  <c r="M848" i="6"/>
  <c r="M422" i="4"/>
  <c r="O1028" i="6"/>
  <c r="L117" i="9"/>
  <c r="L127" i="1"/>
  <c r="M1353" i="6"/>
  <c r="M627" i="7"/>
  <c r="L630" i="7"/>
  <c r="L1222" i="7" s="1"/>
  <c r="L179" i="7"/>
  <c r="L182" i="7" s="1"/>
  <c r="L42" i="7" s="1"/>
  <c r="J66" i="13" s="1"/>
  <c r="M1421" i="6"/>
  <c r="M1416" i="6"/>
  <c r="M1415" i="6"/>
  <c r="M1422" i="6"/>
  <c r="M1418" i="6"/>
  <c r="M1419" i="6"/>
  <c r="M334" i="8"/>
  <c r="M460" i="4"/>
  <c r="M849" i="6"/>
  <c r="M1719" i="6"/>
  <c r="L1754" i="6"/>
  <c r="L577" i="6"/>
  <c r="L604" i="6" s="1"/>
  <c r="L2074" i="6" s="1"/>
  <c r="L53" i="6" s="1"/>
  <c r="L128" i="1"/>
  <c r="M1442" i="6"/>
  <c r="M1443" i="6"/>
  <c r="M1420" i="6"/>
  <c r="M1386" i="6"/>
  <c r="M296" i="8"/>
  <c r="M966" i="7"/>
  <c r="M926" i="6"/>
  <c r="M531" i="4"/>
  <c r="K738" i="34"/>
  <c r="M1444" i="6"/>
  <c r="K742" i="34"/>
  <c r="M917" i="6"/>
  <c r="M438" i="4"/>
  <c r="M74" i="4" s="1"/>
  <c r="M1412" i="6"/>
  <c r="L920" i="7"/>
  <c r="K367" i="7"/>
  <c r="M850" i="6"/>
  <c r="M1417" i="6"/>
  <c r="M254" i="8"/>
  <c r="AY117" i="9"/>
  <c r="CR117" i="9"/>
  <c r="M190" i="8"/>
  <c r="H137" i="15"/>
  <c r="H161" i="15" s="1"/>
  <c r="H216" i="15"/>
  <c r="M297" i="8"/>
  <c r="M1240" i="6"/>
  <c r="M908" i="6"/>
  <c r="H65" i="13"/>
  <c r="V30" i="42"/>
  <c r="H30" i="42" s="1"/>
  <c r="I192" i="15"/>
  <c r="M1413" i="6"/>
  <c r="M1441" i="6"/>
  <c r="M1440" i="6"/>
  <c r="M846" i="6"/>
  <c r="M455" i="4"/>
  <c r="L126" i="1"/>
  <c r="M1445" i="6"/>
  <c r="M715" i="4"/>
  <c r="I55" i="6"/>
  <c r="T22" i="42" s="1"/>
  <c r="G55" i="15" s="1"/>
  <c r="G86" i="15"/>
  <c r="G325" i="34" s="1"/>
  <c r="G293" i="34" s="1"/>
  <c r="G525" i="34" s="1"/>
  <c r="C95" i="4"/>
  <c r="I747" i="34"/>
  <c r="C40" i="42"/>
  <c r="B142" i="13"/>
  <c r="B198" i="15"/>
  <c r="B143" i="15" s="1"/>
  <c r="K710" i="6"/>
  <c r="L898" i="6"/>
  <c r="L146" i="6" s="1"/>
  <c r="D207" i="34"/>
  <c r="H117" i="15"/>
  <c r="H108" i="15"/>
  <c r="F207" i="34"/>
  <c r="E585" i="34"/>
  <c r="E586" i="34" s="1"/>
  <c r="L432" i="6"/>
  <c r="L366" i="7"/>
  <c r="G692" i="34"/>
  <c r="CC69" i="21"/>
  <c r="E565" i="34"/>
  <c r="F320" i="34"/>
  <c r="G320" i="34"/>
  <c r="F598" i="34"/>
  <c r="F600" i="34" s="1"/>
  <c r="F241" i="34" s="1"/>
  <c r="F585" i="34"/>
  <c r="B252" i="3"/>
  <c r="AI8" i="42"/>
  <c r="H71" i="15" s="1"/>
  <c r="AH8" i="42"/>
  <c r="G71" i="15" s="1"/>
  <c r="D360" i="42"/>
  <c r="D361" i="42" s="1"/>
  <c r="D365" i="42" s="1"/>
  <c r="B361" i="42"/>
  <c r="B365" i="42" s="1"/>
  <c r="H77" i="15"/>
  <c r="L278" i="6"/>
  <c r="J15" i="6"/>
  <c r="I723" i="34"/>
  <c r="L144" i="6"/>
  <c r="L152" i="6"/>
  <c r="L149" i="6"/>
  <c r="I767" i="34"/>
  <c r="G100" i="40"/>
  <c r="U40" i="42" s="1"/>
  <c r="K1221" i="7"/>
  <c r="I5" i="3" s="1"/>
  <c r="F51" i="13"/>
  <c r="G194" i="15" s="1"/>
  <c r="G139" i="15" s="1"/>
  <c r="G14" i="13"/>
  <c r="G23" i="15"/>
  <c r="E138" i="15"/>
  <c r="F138" i="15" s="1"/>
  <c r="I642" i="7"/>
  <c r="AK12" i="42"/>
  <c r="L48" i="8"/>
  <c r="K548" i="8"/>
  <c r="I27" i="17"/>
  <c r="I12" i="17" s="1"/>
  <c r="I296" i="15" s="1"/>
  <c r="K148" i="8"/>
  <c r="I25" i="17"/>
  <c r="I10" i="17" s="1"/>
  <c r="AY21" i="42"/>
  <c r="H318" i="15"/>
  <c r="L22" i="20"/>
  <c r="J1496" i="6"/>
  <c r="J1498" i="6" s="1"/>
  <c r="K44" i="8"/>
  <c r="G57" i="34"/>
  <c r="H57" i="34" s="1"/>
  <c r="L925" i="4"/>
  <c r="L349" i="4" s="1"/>
  <c r="M1026" i="6"/>
  <c r="M248" i="6" s="1"/>
  <c r="J404" i="4"/>
  <c r="H9" i="12" s="1"/>
  <c r="J2073" i="6"/>
  <c r="H7" i="3" s="1"/>
  <c r="O52" i="37"/>
  <c r="O61" i="37" s="1"/>
  <c r="O63" i="37" s="1"/>
  <c r="C7" i="8"/>
  <c r="B6" i="16"/>
  <c r="AE10" i="42" s="1"/>
  <c r="B73" i="15" s="1"/>
  <c r="L118" i="8"/>
  <c r="M1241" i="6"/>
  <c r="J724" i="34"/>
  <c r="J769" i="34"/>
  <c r="J728" i="34"/>
  <c r="L924" i="4"/>
  <c r="L348" i="4" s="1"/>
  <c r="F105" i="13"/>
  <c r="G687" i="34"/>
  <c r="G681" i="34" s="1"/>
  <c r="H793" i="34"/>
  <c r="H799" i="34" s="1"/>
  <c r="H813" i="34"/>
  <c r="H258" i="3" s="1"/>
  <c r="G40" i="6"/>
  <c r="H40" i="6" s="1"/>
  <c r="G84" i="15"/>
  <c r="D379" i="34"/>
  <c r="D497" i="34" s="1"/>
  <c r="D555" i="34"/>
  <c r="J280" i="6"/>
  <c r="J2076" i="6"/>
  <c r="G32" i="13" s="1"/>
  <c r="M115" i="42"/>
  <c r="M449" i="4"/>
  <c r="M897" i="4"/>
  <c r="M1604" i="6"/>
  <c r="L123" i="8"/>
  <c r="M424" i="4"/>
  <c r="K22" i="12"/>
  <c r="M337" i="8"/>
  <c r="M441" i="8"/>
  <c r="K21" i="12"/>
  <c r="K25" i="12"/>
  <c r="K26" i="12"/>
  <c r="M439" i="8"/>
  <c r="M330" i="8"/>
  <c r="K332" i="4"/>
  <c r="M454" i="4"/>
  <c r="M930" i="4"/>
  <c r="M354" i="4" s="1"/>
  <c r="M430" i="8"/>
  <c r="K23" i="12"/>
  <c r="M322" i="8"/>
  <c r="L67" i="8"/>
  <c r="M876" i="4"/>
  <c r="L64" i="8"/>
  <c r="K20" i="12"/>
  <c r="L430" i="6"/>
  <c r="K24" i="12"/>
  <c r="L300" i="8"/>
  <c r="L63" i="8" s="1"/>
  <c r="M125" i="8"/>
  <c r="L120" i="8"/>
  <c r="L122" i="8"/>
  <c r="L131" i="8"/>
  <c r="L121" i="8"/>
  <c r="L127" i="8"/>
  <c r="K57" i="8"/>
  <c r="A566" i="8"/>
  <c r="A97" i="8"/>
  <c r="B83" i="8"/>
  <c r="B601" i="8"/>
  <c r="B14" i="8"/>
  <c r="K66" i="8"/>
  <c r="G207" i="34"/>
  <c r="E505" i="34"/>
  <c r="F58" i="17"/>
  <c r="F60" i="17" s="1"/>
  <c r="Z78" i="22"/>
  <c r="Z121" i="22" s="1"/>
  <c r="AD3" i="22"/>
  <c r="AG3" i="21"/>
  <c r="E172" i="42"/>
  <c r="G36" i="7"/>
  <c r="H36" i="7" s="1"/>
  <c r="G267" i="15"/>
  <c r="AI45" i="42"/>
  <c r="AI47" i="42" s="1"/>
  <c r="AI54" i="42" s="1"/>
  <c r="I770" i="34"/>
  <c r="K78" i="4"/>
  <c r="G39" i="6"/>
  <c r="L429" i="6"/>
  <c r="G21" i="5"/>
  <c r="H21" i="5" s="1"/>
  <c r="G208" i="3"/>
  <c r="G210" i="3" s="1"/>
  <c r="AF81" i="9"/>
  <c r="AJ81" i="9" s="1"/>
  <c r="K158" i="6"/>
  <c r="I110" i="42"/>
  <c r="G101" i="42"/>
  <c r="H21" i="40"/>
  <c r="K876" i="6" s="1"/>
  <c r="M888" i="6"/>
  <c r="M891" i="6"/>
  <c r="M1129" i="7"/>
  <c r="I11" i="4"/>
  <c r="P100" i="42"/>
  <c r="M1616" i="6"/>
  <c r="M1114" i="7"/>
  <c r="M1132" i="7"/>
  <c r="M680" i="7"/>
  <c r="L1113" i="7"/>
  <c r="J735" i="34" s="1"/>
  <c r="M1160" i="7"/>
  <c r="M890" i="6"/>
  <c r="M904" i="6"/>
  <c r="G42" i="6"/>
  <c r="H42" i="6" s="1"/>
  <c r="J745" i="6"/>
  <c r="D39" i="6"/>
  <c r="I12" i="6"/>
  <c r="P119" i="42"/>
  <c r="I277" i="6"/>
  <c r="I281" i="6" s="1"/>
  <c r="Q116" i="42"/>
  <c r="R116" i="42" s="1"/>
  <c r="I27" i="6"/>
  <c r="Q118" i="42"/>
  <c r="R118" i="42" s="1"/>
  <c r="I26" i="6"/>
  <c r="Q117" i="42"/>
  <c r="I10" i="6"/>
  <c r="P117" i="42"/>
  <c r="M117" i="42"/>
  <c r="I8" i="6"/>
  <c r="P115" i="42"/>
  <c r="R115" i="42" s="1"/>
  <c r="K58" i="14"/>
  <c r="L58" i="14"/>
  <c r="I58" i="14"/>
  <c r="M109" i="42"/>
  <c r="I506" i="5"/>
  <c r="I509" i="5" s="1"/>
  <c r="Q108" i="42"/>
  <c r="Q110" i="42" s="1"/>
  <c r="I495" i="5"/>
  <c r="I500" i="5" s="1"/>
  <c r="P106" i="42"/>
  <c r="L110" i="42"/>
  <c r="K110" i="42"/>
  <c r="M106" i="42"/>
  <c r="I18" i="4"/>
  <c r="Q97" i="42"/>
  <c r="I937" i="4"/>
  <c r="I939" i="4" s="1"/>
  <c r="I948" i="4" s="1"/>
  <c r="Q102" i="42"/>
  <c r="I20" i="7"/>
  <c r="I32" i="7" s="1"/>
  <c r="Q128" i="42"/>
  <c r="R128" i="42" s="1"/>
  <c r="I24" i="7"/>
  <c r="Q133" i="42"/>
  <c r="I21" i="7"/>
  <c r="I33" i="7" s="1"/>
  <c r="Q129" i="42"/>
  <c r="R129" i="42" s="1"/>
  <c r="R132" i="42"/>
  <c r="I12" i="7"/>
  <c r="P133" i="42"/>
  <c r="M133" i="42"/>
  <c r="D277" i="6"/>
  <c r="H116" i="42"/>
  <c r="I116" i="42" s="1"/>
  <c r="L599" i="7"/>
  <c r="K130" i="42"/>
  <c r="M130" i="42" s="1"/>
  <c r="AE81" i="9"/>
  <c r="G233" i="3"/>
  <c r="L352" i="7"/>
  <c r="M815" i="4"/>
  <c r="M904" i="7"/>
  <c r="M905" i="7"/>
  <c r="M866" i="4"/>
  <c r="U7" i="42"/>
  <c r="H39" i="15" s="1"/>
  <c r="M1791" i="6"/>
  <c r="M864" i="4"/>
  <c r="I771" i="34"/>
  <c r="M814" i="4"/>
  <c r="J716" i="34"/>
  <c r="M1810" i="6"/>
  <c r="M1667" i="6"/>
  <c r="M523" i="4"/>
  <c r="D108" i="34"/>
  <c r="D458" i="34" s="1"/>
  <c r="D459" i="34" s="1"/>
  <c r="L116" i="4"/>
  <c r="H267" i="15"/>
  <c r="K320" i="5"/>
  <c r="K322" i="5" s="1"/>
  <c r="K332" i="5" s="1"/>
  <c r="L216" i="8"/>
  <c r="L784" i="7"/>
  <c r="L292" i="7" s="1"/>
  <c r="T69" i="42"/>
  <c r="L127" i="7"/>
  <c r="A1214" i="7"/>
  <c r="A1217" i="7" s="1"/>
  <c r="L58" i="4"/>
  <c r="L392" i="4"/>
  <c r="L59" i="4" s="1"/>
  <c r="L640" i="4"/>
  <c r="L187" i="4" s="1"/>
  <c r="L72" i="4"/>
  <c r="A998" i="4"/>
  <c r="I773" i="34"/>
  <c r="C783" i="34"/>
  <c r="C784" i="34" s="1"/>
  <c r="A143" i="15"/>
  <c r="I72" i="1"/>
  <c r="J63" i="1"/>
  <c r="H76" i="21"/>
  <c r="H78" i="21" s="1"/>
  <c r="I97" i="3" s="1"/>
  <c r="H698" i="34"/>
  <c r="M825" i="7"/>
  <c r="K428" i="45"/>
  <c r="K430" i="45" s="1"/>
  <c r="K705" i="34"/>
  <c r="L18" i="17"/>
  <c r="K869" i="6"/>
  <c r="M883" i="7"/>
  <c r="K450" i="6"/>
  <c r="K455" i="6" s="1"/>
  <c r="K1364" i="6"/>
  <c r="L18" i="16"/>
  <c r="L162" i="6"/>
  <c r="L168" i="6" s="1"/>
  <c r="M675" i="4"/>
  <c r="L1066" i="6"/>
  <c r="K1072" i="6"/>
  <c r="K273" i="6"/>
  <c r="J704" i="34"/>
  <c r="I706" i="34"/>
  <c r="I211" i="34" s="1"/>
  <c r="I823" i="34" s="1"/>
  <c r="CE66" i="21"/>
  <c r="M212" i="8"/>
  <c r="M951" i="7"/>
  <c r="M1896" i="6"/>
  <c r="M1280" i="6"/>
  <c r="M351" i="5"/>
  <c r="J68" i="21"/>
  <c r="AJ64" i="21"/>
  <c r="CE64" i="21"/>
  <c r="CE68" i="21" s="1"/>
  <c r="CF90" i="22"/>
  <c r="AK90" i="22"/>
  <c r="L809" i="7"/>
  <c r="L305" i="7" s="1"/>
  <c r="P17" i="26"/>
  <c r="L1359" i="6"/>
  <c r="K1365" i="6"/>
  <c r="K451" i="6"/>
  <c r="K456" i="6" s="1"/>
  <c r="L1623" i="6"/>
  <c r="K504" i="6"/>
  <c r="M724" i="7"/>
  <c r="K162" i="6"/>
  <c r="K168" i="6" s="1"/>
  <c r="M350" i="5"/>
  <c r="L998" i="6"/>
  <c r="K216" i="6"/>
  <c r="K222" i="6" s="1"/>
  <c r="K1004" i="6"/>
  <c r="G749" i="34"/>
  <c r="G751" i="34" s="1"/>
  <c r="H737" i="34"/>
  <c r="H739" i="34" s="1"/>
  <c r="H215" i="34" s="1"/>
  <c r="K376" i="6"/>
  <c r="L260" i="6"/>
  <c r="M1330" i="6"/>
  <c r="L1169" i="7"/>
  <c r="K1175" i="7"/>
  <c r="K1223" i="7" s="1"/>
  <c r="K452" i="7"/>
  <c r="K458" i="7" s="1"/>
  <c r="K45" i="7" s="1"/>
  <c r="G216" i="34"/>
  <c r="G814" i="34" s="1"/>
  <c r="G259" i="3" s="1"/>
  <c r="E216" i="34"/>
  <c r="E814" i="34" s="1"/>
  <c r="C259" i="3" s="1"/>
  <c r="F216" i="34"/>
  <c r="F814" i="34" s="1"/>
  <c r="F259" i="3" s="1"/>
  <c r="C18" i="13"/>
  <c r="Q16" i="26"/>
  <c r="M817" i="7"/>
  <c r="R19" i="26" s="1"/>
  <c r="Q19" i="26"/>
  <c r="P23" i="26"/>
  <c r="L807" i="7"/>
  <c r="L302" i="7" s="1"/>
  <c r="J22" i="20"/>
  <c r="I28" i="5"/>
  <c r="G27" i="5"/>
  <c r="H27" i="5" s="1"/>
  <c r="B23" i="15"/>
  <c r="D43" i="6"/>
  <c r="L309" i="6"/>
  <c r="J765" i="34"/>
  <c r="K788" i="7"/>
  <c r="I776" i="34"/>
  <c r="I55" i="7"/>
  <c r="G67" i="3" s="1"/>
  <c r="A31" i="4"/>
  <c r="J212" i="7"/>
  <c r="J9" i="7" s="1"/>
  <c r="G199" i="5"/>
  <c r="H199" i="5" s="1"/>
  <c r="D30" i="5"/>
  <c r="C14" i="3" s="1"/>
  <c r="D114" i="34"/>
  <c r="E163" i="42"/>
  <c r="A116" i="15"/>
  <c r="B21" i="42"/>
  <c r="B81" i="42" s="1"/>
  <c r="C116" i="15"/>
  <c r="F116" i="15" s="1"/>
  <c r="D21" i="42"/>
  <c r="D81" i="42" s="1"/>
  <c r="B602" i="8"/>
  <c r="B15" i="8"/>
  <c r="A7" i="17" s="1"/>
  <c r="B147" i="8"/>
  <c r="A577" i="8"/>
  <c r="A579" i="8" s="1"/>
  <c r="A151" i="8"/>
  <c r="G159" i="8"/>
  <c r="M199" i="8"/>
  <c r="B159" i="8"/>
  <c r="B32" i="8" s="1"/>
  <c r="B156" i="8"/>
  <c r="B157" i="8"/>
  <c r="L111" i="8"/>
  <c r="J107" i="8"/>
  <c r="AW8" i="42" s="1"/>
  <c r="C8" i="15"/>
  <c r="K56" i="8"/>
  <c r="J289" i="45"/>
  <c r="J295" i="45" s="1"/>
  <c r="J305" i="45" s="1"/>
  <c r="J306" i="45" s="1"/>
  <c r="M185" i="8"/>
  <c r="J43" i="8"/>
  <c r="AI7" i="42" s="1"/>
  <c r="AW7" i="42"/>
  <c r="H101" i="15" s="1"/>
  <c r="J86" i="17"/>
  <c r="J89" i="17" s="1"/>
  <c r="L325" i="8"/>
  <c r="L68" i="8" s="1"/>
  <c r="L69" i="8"/>
  <c r="M313" i="8"/>
  <c r="D1193" i="7"/>
  <c r="L372" i="7"/>
  <c r="D149" i="7"/>
  <c r="D1197" i="7"/>
  <c r="M926" i="4"/>
  <c r="M350" i="4" s="1"/>
  <c r="L350" i="4"/>
  <c r="K362" i="4"/>
  <c r="G359" i="4"/>
  <c r="H359" i="4" s="1"/>
  <c r="P534" i="7"/>
  <c r="P104" i="7" s="1"/>
  <c r="AE41" i="10"/>
  <c r="Q105" i="7" s="1"/>
  <c r="D335" i="7"/>
  <c r="I181" i="7"/>
  <c r="I183" i="7" s="1"/>
  <c r="L780" i="7"/>
  <c r="D1192" i="7"/>
  <c r="D384" i="6"/>
  <c r="D2061" i="6"/>
  <c r="L868" i="6"/>
  <c r="J167" i="6"/>
  <c r="L190" i="6"/>
  <c r="L1583" i="6"/>
  <c r="L479" i="6" s="1"/>
  <c r="L1589" i="6"/>
  <c r="L485" i="6" s="1"/>
  <c r="L1910" i="6"/>
  <c r="L663" i="6" s="1"/>
  <c r="K1100" i="6"/>
  <c r="D468" i="5"/>
  <c r="G478" i="5"/>
  <c r="H478" i="5" s="1"/>
  <c r="G12" i="5"/>
  <c r="H12" i="5" s="1"/>
  <c r="C470" i="5"/>
  <c r="C483" i="5" s="1"/>
  <c r="J82" i="37"/>
  <c r="A181" i="3" s="1"/>
  <c r="K66" i="37"/>
  <c r="N20" i="20"/>
  <c r="N23" i="20" s="1"/>
  <c r="A52" i="19"/>
  <c r="A34" i="20"/>
  <c r="A67" i="20" s="1"/>
  <c r="A72" i="19"/>
  <c r="A31" i="20"/>
  <c r="A52" i="20" s="1"/>
  <c r="A57" i="20" s="1"/>
  <c r="A62" i="19"/>
  <c r="G50" i="19"/>
  <c r="D481" i="5"/>
  <c r="J498" i="5"/>
  <c r="A195" i="3"/>
  <c r="A196" i="3" s="1"/>
  <c r="J38" i="34"/>
  <c r="J161" i="34" s="1"/>
  <c r="D135" i="48"/>
  <c r="D139" i="48"/>
  <c r="D143" i="48"/>
  <c r="D147" i="48"/>
  <c r="D151" i="48"/>
  <c r="D155" i="48"/>
  <c r="D159" i="48"/>
  <c r="D136" i="48"/>
  <c r="D140" i="48"/>
  <c r="D144" i="48"/>
  <c r="D148" i="48"/>
  <c r="D152" i="48"/>
  <c r="D156" i="48"/>
  <c r="D160" i="48"/>
  <c r="D131" i="48"/>
  <c r="D137" i="48"/>
  <c r="D141" i="48"/>
  <c r="D145" i="48"/>
  <c r="D149" i="48"/>
  <c r="D153" i="48"/>
  <c r="D157" i="48"/>
  <c r="D161" i="48"/>
  <c r="D138" i="48"/>
  <c r="D142" i="48"/>
  <c r="D146" i="48"/>
  <c r="D150" i="48"/>
  <c r="D154" i="48"/>
  <c r="D158" i="48"/>
  <c r="D134" i="48"/>
  <c r="D38" i="48"/>
  <c r="M139" i="48"/>
  <c r="M155" i="48"/>
  <c r="M144" i="48"/>
  <c r="M160" i="48"/>
  <c r="M149" i="48"/>
  <c r="M169" i="48"/>
  <c r="M150" i="48"/>
  <c r="M143" i="48"/>
  <c r="M159" i="48"/>
  <c r="M148" i="48"/>
  <c r="M137" i="48"/>
  <c r="M153" i="48"/>
  <c r="M138" i="48"/>
  <c r="M154" i="48"/>
  <c r="M147" i="48"/>
  <c r="M136" i="48"/>
  <c r="M152" i="48"/>
  <c r="M141" i="48"/>
  <c r="M157" i="48"/>
  <c r="M142" i="48"/>
  <c r="M158" i="48"/>
  <c r="M135" i="48"/>
  <c r="M151" i="48"/>
  <c r="M140" i="48"/>
  <c r="M156" i="48"/>
  <c r="M145" i="48"/>
  <c r="M161" i="48"/>
  <c r="M146" i="48"/>
  <c r="M134" i="48"/>
  <c r="F169" i="48"/>
  <c r="S169" i="48" s="1"/>
  <c r="F137" i="48"/>
  <c r="F142" i="48"/>
  <c r="F147" i="48"/>
  <c r="F153" i="48"/>
  <c r="F158" i="48"/>
  <c r="F138" i="48"/>
  <c r="F143" i="48"/>
  <c r="F149" i="48"/>
  <c r="F154" i="48"/>
  <c r="F159" i="48"/>
  <c r="F139" i="48"/>
  <c r="F145" i="48"/>
  <c r="F150" i="48"/>
  <c r="F155" i="48"/>
  <c r="F161" i="48"/>
  <c r="F141" i="48"/>
  <c r="F146" i="48"/>
  <c r="F151" i="48"/>
  <c r="F157" i="48"/>
  <c r="F134" i="48"/>
  <c r="F148" i="48"/>
  <c r="F135" i="48"/>
  <c r="F160" i="48"/>
  <c r="F144" i="48"/>
  <c r="F156" i="48"/>
  <c r="F140" i="48"/>
  <c r="F152" i="48"/>
  <c r="F136" i="48"/>
  <c r="C139" i="11"/>
  <c r="D1504" i="6"/>
  <c r="D25" i="6"/>
  <c r="D169" i="6"/>
  <c r="D1266" i="6"/>
  <c r="C513" i="5"/>
  <c r="D511" i="5"/>
  <c r="C988" i="4"/>
  <c r="B109" i="15"/>
  <c r="D333" i="34" s="1"/>
  <c r="D337" i="34" s="1"/>
  <c r="C155" i="15"/>
  <c r="G164" i="48"/>
  <c r="K7" i="6"/>
  <c r="H555" i="34"/>
  <c r="D392" i="34"/>
  <c r="D509" i="34" s="1"/>
  <c r="K88" i="6"/>
  <c r="J1002" i="6"/>
  <c r="J1005" i="6" s="1"/>
  <c r="J1014" i="6" s="1"/>
  <c r="I1366" i="6"/>
  <c r="I1374" i="6" s="1"/>
  <c r="L1174" i="7"/>
  <c r="I1005" i="6"/>
  <c r="I1014" i="6" s="1"/>
  <c r="G2059" i="6"/>
  <c r="L1727" i="6"/>
  <c r="L585" i="6" s="1"/>
  <c r="N627" i="6"/>
  <c r="J698" i="6"/>
  <c r="U8" i="42"/>
  <c r="H40" i="15" s="1"/>
  <c r="AS47" i="42"/>
  <c r="L1286" i="6"/>
  <c r="K409" i="6"/>
  <c r="L1126" i="6"/>
  <c r="M1126" i="6" s="1"/>
  <c r="L1585" i="6"/>
  <c r="L476" i="6" s="1"/>
  <c r="J16" i="5"/>
  <c r="I18" i="5"/>
  <c r="I27" i="5" s="1"/>
  <c r="J1609" i="6"/>
  <c r="H116" i="3" s="1"/>
  <c r="H117" i="3" s="1"/>
  <c r="I496" i="6"/>
  <c r="O1023" i="6"/>
  <c r="L699" i="6"/>
  <c r="D234" i="6"/>
  <c r="D2038" i="6"/>
  <c r="G597" i="34"/>
  <c r="E8" i="15"/>
  <c r="E233" i="42" s="1"/>
  <c r="K348" i="8"/>
  <c r="K79" i="8"/>
  <c r="AJ22" i="42" s="1"/>
  <c r="H86" i="15" s="1"/>
  <c r="H325" i="34" s="1"/>
  <c r="L342" i="8"/>
  <c r="J27" i="16" s="1"/>
  <c r="J12" i="16" s="1"/>
  <c r="M1936" i="6"/>
  <c r="M374" i="8"/>
  <c r="AX22" i="42"/>
  <c r="L541" i="8"/>
  <c r="K142" i="8"/>
  <c r="K149" i="8" s="1"/>
  <c r="AX34" i="42" s="1"/>
  <c r="J21" i="8"/>
  <c r="J85" i="8"/>
  <c r="M375" i="8"/>
  <c r="J148" i="5"/>
  <c r="L106" i="4"/>
  <c r="I121" i="16"/>
  <c r="K119" i="17"/>
  <c r="K130" i="5"/>
  <c r="K497" i="5" s="1"/>
  <c r="L239" i="8"/>
  <c r="L312" i="8"/>
  <c r="L65" i="8" s="1"/>
  <c r="G558" i="34"/>
  <c r="G693" i="34" s="1"/>
  <c r="H558" i="34"/>
  <c r="H693" i="34" s="1"/>
  <c r="F59" i="34"/>
  <c r="E155" i="15"/>
  <c r="AT42" i="42"/>
  <c r="D42" i="42" s="1"/>
  <c r="B174" i="42" s="1"/>
  <c r="E174" i="42" s="1"/>
  <c r="L141" i="8"/>
  <c r="F120" i="17"/>
  <c r="M436" i="8"/>
  <c r="B162" i="15"/>
  <c r="H256" i="15"/>
  <c r="H259" i="15"/>
  <c r="H113" i="16"/>
  <c r="C120" i="16"/>
  <c r="H294" i="15"/>
  <c r="H103" i="17"/>
  <c r="C305" i="15"/>
  <c r="C120" i="17"/>
  <c r="G131" i="22"/>
  <c r="E305" i="15"/>
  <c r="K301" i="15"/>
  <c r="I252" i="15"/>
  <c r="K20" i="8"/>
  <c r="L55" i="8"/>
  <c r="G70" i="15"/>
  <c r="E438" i="34"/>
  <c r="M298" i="5"/>
  <c r="M435" i="8"/>
  <c r="M647" i="4"/>
  <c r="M909" i="4"/>
  <c r="M1598" i="6"/>
  <c r="M682" i="4"/>
  <c r="M405" i="5"/>
  <c r="M742" i="7"/>
  <c r="M1996" i="6"/>
  <c r="M1600" i="6"/>
  <c r="M424" i="5"/>
  <c r="L77" i="6"/>
  <c r="M1385" i="6"/>
  <c r="M828" i="6"/>
  <c r="M40" i="27"/>
  <c r="M17" i="27"/>
  <c r="M570" i="4"/>
  <c r="M1020" i="7"/>
  <c r="M759" i="6"/>
  <c r="M383" i="4"/>
  <c r="M447" i="4" s="1"/>
  <c r="M912" i="4"/>
  <c r="CP193" i="9"/>
  <c r="K1640" i="6"/>
  <c r="K522" i="6" s="1"/>
  <c r="L1608" i="6"/>
  <c r="K136" i="4"/>
  <c r="M510" i="7"/>
  <c r="M799" i="7"/>
  <c r="I136" i="7"/>
  <c r="I138" i="7" s="1"/>
  <c r="I1193" i="7" s="1"/>
  <c r="M529" i="4"/>
  <c r="M1435" i="6"/>
  <c r="M1436" i="6"/>
  <c r="K91" i="34"/>
  <c r="K631" i="34"/>
  <c r="K99" i="34"/>
  <c r="J9" i="34"/>
  <c r="I132" i="34"/>
  <c r="M969" i="6"/>
  <c r="M869" i="4"/>
  <c r="M452" i="4"/>
  <c r="J605" i="34"/>
  <c r="J581" i="34" s="1"/>
  <c r="I607" i="34"/>
  <c r="M413" i="5"/>
  <c r="M513" i="4"/>
  <c r="M879" i="7"/>
  <c r="K111" i="34"/>
  <c r="M488" i="4"/>
  <c r="M656" i="7"/>
  <c r="M489" i="4"/>
  <c r="K113" i="34"/>
  <c r="K49" i="34"/>
  <c r="M1175" i="6"/>
  <c r="M972" i="6"/>
  <c r="M498" i="4"/>
  <c r="M1878" i="6"/>
  <c r="L778" i="4"/>
  <c r="L241" i="4"/>
  <c r="L246" i="4" s="1"/>
  <c r="M1099" i="6"/>
  <c r="L131" i="4"/>
  <c r="M436" i="4"/>
  <c r="M73" i="4" s="1"/>
  <c r="M1793" i="6"/>
  <c r="K661" i="34"/>
  <c r="K662" i="34" s="1"/>
  <c r="M675" i="7"/>
  <c r="M679" i="7"/>
  <c r="M43" i="27"/>
  <c r="M487" i="4"/>
  <c r="M970" i="6"/>
  <c r="M1036" i="7"/>
  <c r="M1039" i="7"/>
  <c r="J412" i="34"/>
  <c r="M676" i="7"/>
  <c r="I130" i="34"/>
  <c r="J7" i="34"/>
  <c r="K107" i="34"/>
  <c r="M577" i="4"/>
  <c r="M976" i="6"/>
  <c r="M624" i="4"/>
  <c r="M971" i="6"/>
  <c r="M497" i="4"/>
  <c r="M576" i="4"/>
  <c r="M657" i="7"/>
  <c r="K66" i="34"/>
  <c r="M1176" i="6"/>
  <c r="M1090" i="6"/>
  <c r="J8" i="34"/>
  <c r="I131" i="34"/>
  <c r="M579" i="4"/>
  <c r="J454" i="34"/>
  <c r="L130" i="4"/>
  <c r="M1677" i="6"/>
  <c r="J30" i="1"/>
  <c r="J31" i="1" s="1"/>
  <c r="L129" i="4"/>
  <c r="L600" i="4"/>
  <c r="M565" i="4"/>
  <c r="M756" i="6"/>
  <c r="K97" i="34"/>
  <c r="M622" i="4"/>
  <c r="K70" i="34"/>
  <c r="J427" i="34"/>
  <c r="M500" i="4"/>
  <c r="M493" i="4"/>
  <c r="I140" i="34"/>
  <c r="J17" i="34"/>
  <c r="M1032" i="7"/>
  <c r="K55" i="34"/>
  <c r="K64" i="34"/>
  <c r="K105" i="34"/>
  <c r="M1606" i="6"/>
  <c r="K48" i="34"/>
  <c r="K96" i="34"/>
  <c r="J15" i="34"/>
  <c r="I138" i="34"/>
  <c r="J89" i="34"/>
  <c r="I406" i="34"/>
  <c r="K120" i="34"/>
  <c r="M431" i="8"/>
  <c r="M451" i="4"/>
  <c r="M425" i="4"/>
  <c r="M1879" i="6"/>
  <c r="M414" i="8"/>
  <c r="M453" i="4"/>
  <c r="M578" i="4"/>
  <c r="L357" i="4"/>
  <c r="L938" i="4"/>
  <c r="M973" i="6"/>
  <c r="K206" i="6"/>
  <c r="L980" i="6"/>
  <c r="K637" i="34"/>
  <c r="J14" i="34"/>
  <c r="I137" i="34"/>
  <c r="M975" i="6"/>
  <c r="M655" i="7"/>
  <c r="M1033" i="7"/>
  <c r="M41" i="27"/>
  <c r="L194" i="4"/>
  <c r="L199" i="4" s="1"/>
  <c r="L723" i="4"/>
  <c r="J439" i="34"/>
  <c r="J426" i="34"/>
  <c r="K649" i="34"/>
  <c r="K643" i="34"/>
  <c r="M499" i="4"/>
  <c r="K79" i="34"/>
  <c r="K50" i="34"/>
  <c r="K90" i="34"/>
  <c r="J23" i="34"/>
  <c r="I146" i="34"/>
  <c r="M714" i="4"/>
  <c r="M1666" i="6"/>
  <c r="K50" i="1"/>
  <c r="K106" i="8"/>
  <c r="M1712" i="6"/>
  <c r="M414" i="5"/>
  <c r="K56" i="34"/>
  <c r="M1127" i="6"/>
  <c r="M934" i="7"/>
  <c r="J421" i="34"/>
  <c r="M492" i="4"/>
  <c r="M974" i="6"/>
  <c r="M623" i="4"/>
  <c r="K58" i="34"/>
  <c r="D79" i="5"/>
  <c r="K302" i="6"/>
  <c r="L1089" i="6"/>
  <c r="D163" i="5"/>
  <c r="L572" i="7"/>
  <c r="L132" i="7" s="1"/>
  <c r="J121" i="9"/>
  <c r="CP121" i="9"/>
  <c r="P28" i="37"/>
  <c r="AO121" i="9"/>
  <c r="J120" i="9"/>
  <c r="P27" i="37"/>
  <c r="AO120" i="9"/>
  <c r="CP120" i="9"/>
  <c r="K206" i="7"/>
  <c r="K212" i="7" s="1"/>
  <c r="K9" i="7" s="1"/>
  <c r="L654" i="7"/>
  <c r="L2" i="37"/>
  <c r="AT3" i="37"/>
  <c r="AT13" i="37"/>
  <c r="AT47" i="37"/>
  <c r="N2010" i="6"/>
  <c r="D453" i="34"/>
  <c r="G555" i="34"/>
  <c r="G379" i="34"/>
  <c r="G497" i="34" s="1"/>
  <c r="E569" i="34"/>
  <c r="E392" i="34"/>
  <c r="E509" i="34" s="1"/>
  <c r="J392" i="34"/>
  <c r="J509" i="34" s="1"/>
  <c r="J569" i="34"/>
  <c r="H428" i="34"/>
  <c r="F22" i="13"/>
  <c r="F103" i="13"/>
  <c r="K38" i="34"/>
  <c r="J25" i="34"/>
  <c r="J148" i="34" s="1"/>
  <c r="K29" i="34"/>
  <c r="J152" i="34"/>
  <c r="J31" i="34"/>
  <c r="I154" i="34"/>
  <c r="J58" i="14"/>
  <c r="J61" i="14" s="1"/>
  <c r="D1165" i="7" s="1"/>
  <c r="I583" i="34"/>
  <c r="K575" i="7"/>
  <c r="K577" i="7" s="1"/>
  <c r="K579" i="7" s="1"/>
  <c r="H85" i="15"/>
  <c r="I763" i="34"/>
  <c r="K1033" i="6"/>
  <c r="K255" i="6"/>
  <c r="K9" i="6" s="1"/>
  <c r="L1098" i="6"/>
  <c r="L303" i="6" s="1"/>
  <c r="E217" i="15"/>
  <c r="F217" i="15" s="1"/>
  <c r="G31" i="13"/>
  <c r="G50" i="13" s="1"/>
  <c r="J54" i="6"/>
  <c r="H31" i="13"/>
  <c r="H50" i="13" s="1"/>
  <c r="K54" i="6"/>
  <c r="J21" i="4"/>
  <c r="J80" i="4"/>
  <c r="J18" i="4" s="1"/>
  <c r="D69" i="42"/>
  <c r="L583" i="8"/>
  <c r="J196" i="4"/>
  <c r="K243" i="4"/>
  <c r="K93" i="48"/>
  <c r="L637" i="4"/>
  <c r="L183" i="4" s="1"/>
  <c r="L758" i="4"/>
  <c r="L230" i="4" s="1"/>
  <c r="L1949" i="6"/>
  <c r="L599" i="6"/>
  <c r="L606" i="6" s="1"/>
  <c r="M598" i="6"/>
  <c r="M605" i="6" s="1"/>
  <c r="L598" i="6"/>
  <c r="L605" i="6" s="1"/>
  <c r="L158" i="6"/>
  <c r="K634" i="6"/>
  <c r="L1738" i="6"/>
  <c r="L593" i="6" s="1"/>
  <c r="I164" i="6"/>
  <c r="L1918" i="6"/>
  <c r="L667" i="6" s="1"/>
  <c r="J1136" i="6"/>
  <c r="J1138" i="6" s="1"/>
  <c r="J1147" i="6" s="1"/>
  <c r="L897" i="6"/>
  <c r="L145" i="6" s="1"/>
  <c r="K965" i="6"/>
  <c r="M1971" i="6"/>
  <c r="L130" i="7"/>
  <c r="L870" i="4"/>
  <c r="L331" i="4" s="1"/>
  <c r="K99" i="5"/>
  <c r="K101" i="5" s="1"/>
  <c r="L416" i="5"/>
  <c r="L137" i="5"/>
  <c r="I150" i="5"/>
  <c r="I478" i="5" s="1"/>
  <c r="K178" i="5"/>
  <c r="K498" i="5" s="1"/>
  <c r="F129" i="22"/>
  <c r="F98" i="3" s="1"/>
  <c r="P9" i="11"/>
  <c r="Q9" i="11" s="1"/>
  <c r="G1208" i="7"/>
  <c r="I65" i="9"/>
  <c r="H65" i="9"/>
  <c r="K66" i="1"/>
  <c r="K43" i="8"/>
  <c r="AJ7" i="42" s="1"/>
  <c r="J464" i="4"/>
  <c r="K168" i="7"/>
  <c r="K622" i="7"/>
  <c r="M331" i="8"/>
  <c r="K77" i="4"/>
  <c r="M785" i="7"/>
  <c r="M121" i="8"/>
  <c r="M280" i="5"/>
  <c r="M235" i="8"/>
  <c r="M686" i="4"/>
  <c r="I1253" i="6"/>
  <c r="I1255" i="6" s="1"/>
  <c r="I1266" i="6" s="1"/>
  <c r="M1024" i="6"/>
  <c r="M246" i="6" s="1"/>
  <c r="K1168" i="6"/>
  <c r="N644" i="6"/>
  <c r="J761" i="34"/>
  <c r="L426" i="6"/>
  <c r="J175" i="7"/>
  <c r="J181" i="7" s="1"/>
  <c r="J183" i="7" s="1"/>
  <c r="H758" i="34"/>
  <c r="K289" i="7"/>
  <c r="L58" i="8"/>
  <c r="D465" i="5"/>
  <c r="M233" i="8"/>
  <c r="AW45" i="42"/>
  <c r="L423" i="45"/>
  <c r="N173" i="8"/>
  <c r="F77" i="17"/>
  <c r="F79" i="17" s="1"/>
  <c r="AT44" i="42"/>
  <c r="D192" i="42" s="1"/>
  <c r="E192" i="42" s="1"/>
  <c r="F131" i="22"/>
  <c r="D557" i="8" s="1"/>
  <c r="C77" i="17"/>
  <c r="C79" i="17" s="1"/>
  <c r="K628" i="6"/>
  <c r="K28" i="1"/>
  <c r="L646" i="6"/>
  <c r="N608" i="7"/>
  <c r="N369" i="8"/>
  <c r="M801" i="7"/>
  <c r="M865" i="4"/>
  <c r="M762" i="6"/>
  <c r="M290" i="5"/>
  <c r="M523" i="7"/>
  <c r="M1986" i="6"/>
  <c r="M1384" i="6"/>
  <c r="L649" i="6"/>
  <c r="M659" i="7"/>
  <c r="O1776" i="6"/>
  <c r="P1776" i="6" s="1"/>
  <c r="Q1776" i="6" s="1"/>
  <c r="R1776" i="6" s="1"/>
  <c r="R627" i="6" s="1"/>
  <c r="J865" i="6"/>
  <c r="O1834" i="6"/>
  <c r="J723" i="6"/>
  <c r="N1782" i="6"/>
  <c r="M987" i="7"/>
  <c r="M909" i="6"/>
  <c r="M1409" i="6"/>
  <c r="M906" i="6"/>
  <c r="M1434" i="6"/>
  <c r="L957" i="7"/>
  <c r="M1425" i="6"/>
  <c r="N8" i="1"/>
  <c r="N11" i="1" s="1"/>
  <c r="N1972" i="6"/>
  <c r="M521" i="4"/>
  <c r="M1426" i="6"/>
  <c r="M912" i="6"/>
  <c r="M955" i="7"/>
  <c r="M1041" i="7"/>
  <c r="M985" i="7"/>
  <c r="M1438" i="6"/>
  <c r="M907" i="6"/>
  <c r="M959" i="7"/>
  <c r="M698" i="4"/>
  <c r="M1739" i="6"/>
  <c r="M249" i="5"/>
  <c r="M896" i="7"/>
  <c r="M1185" i="6"/>
  <c r="M949" i="7"/>
  <c r="M915" i="6"/>
  <c r="M967" i="7"/>
  <c r="L390" i="7"/>
  <c r="M913" i="6"/>
  <c r="L389" i="7"/>
  <c r="L1058" i="7"/>
  <c r="L1911" i="6"/>
  <c r="K664" i="6"/>
  <c r="M1437" i="6"/>
  <c r="M984" i="7"/>
  <c r="M976" i="7"/>
  <c r="M986" i="7"/>
  <c r="L1912" i="6"/>
  <c r="K665" i="6"/>
  <c r="L1121" i="6"/>
  <c r="M1121" i="6" s="1"/>
  <c r="L978" i="6"/>
  <c r="L204" i="6" s="1"/>
  <c r="I220" i="6"/>
  <c r="I223" i="6" s="1"/>
  <c r="L1930" i="6"/>
  <c r="M1930" i="6" s="1"/>
  <c r="L899" i="6"/>
  <c r="L147" i="6" s="1"/>
  <c r="L775" i="6"/>
  <c r="L1728" i="6"/>
  <c r="L586" i="6" s="1"/>
  <c r="K839" i="6"/>
  <c r="K138" i="6" s="1"/>
  <c r="J139" i="6"/>
  <c r="J196" i="6"/>
  <c r="J8" i="6" s="1"/>
  <c r="B513" i="5"/>
  <c r="B955" i="4"/>
  <c r="A206" i="3"/>
  <c r="C955" i="4"/>
  <c r="B206" i="3"/>
  <c r="K153" i="4"/>
  <c r="J158" i="4"/>
  <c r="J154" i="4"/>
  <c r="T81" i="42"/>
  <c r="K662" i="6"/>
  <c r="L1909" i="6"/>
  <c r="K164" i="45"/>
  <c r="K1373" i="6"/>
  <c r="J1197" i="6"/>
  <c r="J1199" i="6" s="1"/>
  <c r="J1210" i="6" s="1"/>
  <c r="L887" i="6"/>
  <c r="M887" i="6" s="1"/>
  <c r="AO193" i="9"/>
  <c r="K1638" i="6"/>
  <c r="K520" i="6" s="1"/>
  <c r="AJ207" i="9"/>
  <c r="M497" i="7"/>
  <c r="M87" i="7" s="1"/>
  <c r="J315" i="6"/>
  <c r="J10" i="6" s="1"/>
  <c r="J589" i="7"/>
  <c r="M310" i="5"/>
  <c r="M816" i="7"/>
  <c r="M514" i="4"/>
  <c r="M435" i="4"/>
  <c r="M1038" i="7"/>
  <c r="M404" i="5"/>
  <c r="M575" i="4"/>
  <c r="M572" i="4"/>
  <c r="L918" i="6"/>
  <c r="K154" i="6"/>
  <c r="M1155" i="7"/>
  <c r="M923" i="6"/>
  <c r="J29" i="9"/>
  <c r="L768" i="7" s="1"/>
  <c r="M821" i="6"/>
  <c r="M1655" i="6"/>
  <c r="J108" i="9"/>
  <c r="M1154" i="7"/>
  <c r="M892" i="6"/>
  <c r="K153" i="6"/>
  <c r="M820" i="6"/>
  <c r="J54" i="9"/>
  <c r="K54" i="9" s="1"/>
  <c r="L54" i="9" s="1"/>
  <c r="M1156" i="7"/>
  <c r="M230" i="5"/>
  <c r="M571" i="4"/>
  <c r="M764" i="4"/>
  <c r="M895" i="6"/>
  <c r="M928" i="6"/>
  <c r="M896" i="6"/>
  <c r="J186" i="9"/>
  <c r="K186" i="9" s="1"/>
  <c r="L186" i="9" s="1"/>
  <c r="M1153" i="7"/>
  <c r="M889" i="6"/>
  <c r="M1157" i="7"/>
  <c r="J177" i="9"/>
  <c r="AT177" i="9" s="1"/>
  <c r="M922" i="6"/>
  <c r="M929" i="6"/>
  <c r="M925" i="6"/>
  <c r="M910" i="6"/>
  <c r="M901" i="6"/>
  <c r="I34" i="17"/>
  <c r="M1152" i="7"/>
  <c r="M893" i="6"/>
  <c r="M143" i="6" s="1"/>
  <c r="P71" i="37"/>
  <c r="M442" i="5"/>
  <c r="J61" i="9"/>
  <c r="CP61" i="9"/>
  <c r="AN61" i="9"/>
  <c r="J112" i="9"/>
  <c r="K112" i="9" s="1"/>
  <c r="L112" i="9" s="1"/>
  <c r="J111" i="9"/>
  <c r="K111" i="9" s="1"/>
  <c r="L111" i="9" s="1"/>
  <c r="M413" i="8"/>
  <c r="K87" i="17" s="1"/>
  <c r="K130" i="6"/>
  <c r="AN207" i="9"/>
  <c r="AO207" i="9" s="1"/>
  <c r="K2029" i="6"/>
  <c r="H46" i="58" s="1"/>
  <c r="H44" i="58" s="1"/>
  <c r="M832" i="6"/>
  <c r="M933" i="7"/>
  <c r="M1158" i="7"/>
  <c r="M1174" i="6"/>
  <c r="M894" i="6"/>
  <c r="M887" i="7"/>
  <c r="M902" i="6"/>
  <c r="M412" i="8"/>
  <c r="Q50" i="37"/>
  <c r="CF9" i="21"/>
  <c r="J174" i="9"/>
  <c r="K174" i="9" s="1"/>
  <c r="L174" i="9" s="1"/>
  <c r="AO174" i="9"/>
  <c r="M927" i="6"/>
  <c r="M886" i="7"/>
  <c r="M451" i="7"/>
  <c r="M457" i="7" s="1"/>
  <c r="J146" i="9"/>
  <c r="AT146" i="9" s="1"/>
  <c r="M919" i="6"/>
  <c r="M921" i="6"/>
  <c r="M900" i="6"/>
  <c r="J81" i="9"/>
  <c r="J7" i="9"/>
  <c r="K7" i="9" s="1"/>
  <c r="L7" i="9" s="1"/>
  <c r="M1159" i="7"/>
  <c r="L1158" i="6"/>
  <c r="L311" i="6" s="1"/>
  <c r="M920" i="6"/>
  <c r="L1094" i="6"/>
  <c r="M1094" i="6" s="1"/>
  <c r="K312" i="6"/>
  <c r="K155" i="6"/>
  <c r="K176" i="6"/>
  <c r="L305" i="5"/>
  <c r="L658" i="6"/>
  <c r="K668" i="6"/>
  <c r="L1926" i="6"/>
  <c r="L1906" i="6"/>
  <c r="K659" i="6"/>
  <c r="M1935" i="6"/>
  <c r="L670" i="6"/>
  <c r="K631" i="6"/>
  <c r="K938" i="6"/>
  <c r="L1120" i="6"/>
  <c r="L323" i="6" s="1"/>
  <c r="F21" i="42"/>
  <c r="K720" i="6"/>
  <c r="N1781" i="6"/>
  <c r="N630" i="6" s="1"/>
  <c r="J297" i="4"/>
  <c r="B487" i="5"/>
  <c r="K1558" i="6"/>
  <c r="K1560" i="6" s="1"/>
  <c r="K1562" i="6" s="1"/>
  <c r="G2057" i="6"/>
  <c r="B1199" i="7"/>
  <c r="K935" i="6"/>
  <c r="K937" i="6" s="1"/>
  <c r="L774" i="6"/>
  <c r="L90" i="6" s="1"/>
  <c r="L763" i="4"/>
  <c r="L231" i="4" s="1"/>
  <c r="G138" i="7"/>
  <c r="H138" i="7" s="1"/>
  <c r="I7" i="5"/>
  <c r="I25" i="5" s="1"/>
  <c r="I66" i="5"/>
  <c r="I476" i="5" s="1"/>
  <c r="B32" i="5"/>
  <c r="B43" i="5" s="1"/>
  <c r="A20" i="13"/>
  <c r="A23" i="13" s="1"/>
  <c r="B28" i="7"/>
  <c r="A9" i="13" s="1"/>
  <c r="J218" i="6"/>
  <c r="J24" i="6" s="1"/>
  <c r="G2058" i="6"/>
  <c r="L411" i="6"/>
  <c r="M1290" i="6"/>
  <c r="L132" i="6"/>
  <c r="I939" i="6"/>
  <c r="B180" i="6"/>
  <c r="L205" i="6"/>
  <c r="A35" i="6"/>
  <c r="A51" i="6" s="1"/>
  <c r="A56" i="6" s="1"/>
  <c r="M979" i="6"/>
  <c r="AF47" i="42"/>
  <c r="G40" i="13"/>
  <c r="L120" i="7"/>
  <c r="L122" i="7" s="1"/>
  <c r="L8" i="7" s="1"/>
  <c r="J629" i="7"/>
  <c r="J631" i="7" s="1"/>
  <c r="C25" i="4"/>
  <c r="J89" i="6"/>
  <c r="CP112" i="9"/>
  <c r="AO112" i="9"/>
  <c r="CP111" i="9"/>
  <c r="K168" i="45"/>
  <c r="AO111" i="9"/>
  <c r="K1013" i="6"/>
  <c r="K232" i="6" s="1"/>
  <c r="CP81" i="9"/>
  <c r="K147" i="7"/>
  <c r="CP108" i="9"/>
  <c r="AO108" i="9"/>
  <c r="CP7" i="9"/>
  <c r="AO7" i="9"/>
  <c r="I90" i="16"/>
  <c r="I34" i="16" s="1"/>
  <c r="K87" i="6"/>
  <c r="G39" i="17"/>
  <c r="L556" i="7"/>
  <c r="J116" i="40"/>
  <c r="T89" i="10" s="1"/>
  <c r="K114" i="40"/>
  <c r="I658" i="4"/>
  <c r="I667" i="4" s="1"/>
  <c r="M114" i="4"/>
  <c r="M152" i="4" s="1"/>
  <c r="I558" i="8"/>
  <c r="K292" i="4"/>
  <c r="K273" i="4"/>
  <c r="J11" i="4"/>
  <c r="J777" i="4"/>
  <c r="J779" i="4" s="1"/>
  <c r="J790" i="4" s="1"/>
  <c r="M901" i="4"/>
  <c r="M903" i="4"/>
  <c r="B2046" i="6"/>
  <c r="AU44" i="42"/>
  <c r="J406" i="7"/>
  <c r="C111" i="17"/>
  <c r="C113" i="17" s="1"/>
  <c r="B2066" i="6"/>
  <c r="J527" i="7"/>
  <c r="J529" i="7" s="1"/>
  <c r="J538" i="7" s="1"/>
  <c r="L481" i="7"/>
  <c r="J419" i="6"/>
  <c r="J12" i="6" s="1"/>
  <c r="J937" i="4"/>
  <c r="J939" i="4" s="1"/>
  <c r="J948" i="4" s="1"/>
  <c r="J1363" i="6"/>
  <c r="K1292" i="6"/>
  <c r="B292" i="6"/>
  <c r="J1573" i="6"/>
  <c r="A135" i="13"/>
  <c r="L31" i="45"/>
  <c r="M1716" i="6"/>
  <c r="M574" i="6" s="1"/>
  <c r="L1277" i="6"/>
  <c r="M889" i="7"/>
  <c r="L346" i="7"/>
  <c r="K666" i="7"/>
  <c r="L658" i="7"/>
  <c r="L207" i="7" s="1"/>
  <c r="L290" i="7"/>
  <c r="L80" i="7"/>
  <c r="L171" i="7"/>
  <c r="K67" i="7"/>
  <c r="K69" i="7" s="1"/>
  <c r="K7" i="7" s="1"/>
  <c r="K483" i="7"/>
  <c r="L653" i="6"/>
  <c r="I25" i="6"/>
  <c r="I41" i="6" s="1"/>
  <c r="M827" i="4"/>
  <c r="K745" i="4"/>
  <c r="L742" i="4"/>
  <c r="L221" i="4" s="1"/>
  <c r="I759" i="34"/>
  <c r="M799" i="4"/>
  <c r="M825" i="4"/>
  <c r="M803" i="4"/>
  <c r="M915" i="4"/>
  <c r="M812" i="4"/>
  <c r="M811" i="4"/>
  <c r="L832" i="4"/>
  <c r="L286" i="4" s="1"/>
  <c r="M800" i="4"/>
  <c r="L767" i="4"/>
  <c r="L232" i="4" s="1"/>
  <c r="M573" i="4"/>
  <c r="L808" i="4"/>
  <c r="L278" i="4" s="1"/>
  <c r="M755" i="4"/>
  <c r="M810" i="4"/>
  <c r="L823" i="4"/>
  <c r="L285" i="4" s="1"/>
  <c r="M830" i="4"/>
  <c r="L798" i="4"/>
  <c r="L268" i="4" s="1"/>
  <c r="K804" i="4"/>
  <c r="V8" i="42" s="1"/>
  <c r="I40" i="15" s="1"/>
  <c r="M759" i="4"/>
  <c r="L817" i="4"/>
  <c r="L279" i="4" s="1"/>
  <c r="L743" i="4"/>
  <c r="L222" i="4" s="1"/>
  <c r="M982" i="7"/>
  <c r="M760" i="4"/>
  <c r="M813" i="4"/>
  <c r="M1805" i="6"/>
  <c r="L753" i="4"/>
  <c r="L229" i="4" s="1"/>
  <c r="K775" i="4"/>
  <c r="M828" i="4"/>
  <c r="K842" i="4"/>
  <c r="K978" i="4" s="1"/>
  <c r="M754" i="4"/>
  <c r="M829" i="4"/>
  <c r="M833" i="4"/>
  <c r="L802" i="4"/>
  <c r="L271" i="4" s="1"/>
  <c r="M826" i="4"/>
  <c r="M818" i="4"/>
  <c r="M875" i="4"/>
  <c r="M809" i="4"/>
  <c r="M824" i="4"/>
  <c r="L1003" i="6"/>
  <c r="J436" i="6"/>
  <c r="L137" i="6"/>
  <c r="I343" i="6"/>
  <c r="I2060" i="6" s="1"/>
  <c r="L98" i="6"/>
  <c r="L1392" i="6"/>
  <c r="L1721" i="6"/>
  <c r="L413" i="6"/>
  <c r="K221" i="6"/>
  <c r="D558" i="8"/>
  <c r="L433" i="6"/>
  <c r="L30" i="45"/>
  <c r="L442" i="6"/>
  <c r="L495" i="6"/>
  <c r="L161" i="45"/>
  <c r="L634" i="6"/>
  <c r="L639" i="6"/>
  <c r="K196" i="6"/>
  <c r="K8" i="6" s="1"/>
  <c r="L207" i="6"/>
  <c r="L446" i="6"/>
  <c r="L655" i="6"/>
  <c r="K1361" i="6"/>
  <c r="K171" i="4"/>
  <c r="K629" i="4"/>
  <c r="J656" i="4"/>
  <c r="L117" i="4"/>
  <c r="B147" i="4"/>
  <c r="A36" i="4"/>
  <c r="A38" i="4" s="1"/>
  <c r="A49" i="4" s="1"/>
  <c r="J28" i="12"/>
  <c r="I57" i="13" s="1"/>
  <c r="I39" i="17"/>
  <c r="K1195" i="6"/>
  <c r="K344" i="6"/>
  <c r="K881" i="4"/>
  <c r="K329" i="4"/>
  <c r="L862" i="4"/>
  <c r="K174" i="7"/>
  <c r="L764" i="6"/>
  <c r="K783" i="6"/>
  <c r="M1408" i="6"/>
  <c r="L700" i="6"/>
  <c r="I44" i="16"/>
  <c r="I77" i="3" s="1"/>
  <c r="I78" i="3" s="1"/>
  <c r="L626" i="4"/>
  <c r="L175" i="4" s="1"/>
  <c r="L347" i="4"/>
  <c r="L1784" i="6"/>
  <c r="K104" i="4"/>
  <c r="M219" i="8"/>
  <c r="J88" i="16"/>
  <c r="M194" i="6"/>
  <c r="L1198" i="6"/>
  <c r="L339" i="6"/>
  <c r="M374" i="5"/>
  <c r="L140" i="5"/>
  <c r="K209" i="4"/>
  <c r="K161" i="6"/>
  <c r="L874" i="4"/>
  <c r="L332" i="4" s="1"/>
  <c r="L1527" i="6"/>
  <c r="L588" i="4"/>
  <c r="L122" i="4" s="1"/>
  <c r="L1915" i="6"/>
  <c r="L666" i="6" s="1"/>
  <c r="K160" i="6"/>
  <c r="L1354" i="6"/>
  <c r="K435" i="6"/>
  <c r="L136" i="5"/>
  <c r="M366" i="5"/>
  <c r="J210" i="15"/>
  <c r="I125" i="13"/>
  <c r="L866" i="7"/>
  <c r="L332" i="7" s="1"/>
  <c r="W42" i="42"/>
  <c r="M18" i="27"/>
  <c r="M878" i="4"/>
  <c r="M432" i="5"/>
  <c r="M375" i="5"/>
  <c r="M407" i="5"/>
  <c r="M842" i="7"/>
  <c r="M536" i="4"/>
  <c r="M1674" i="6"/>
  <c r="M1333" i="6"/>
  <c r="M1937" i="6"/>
  <c r="M1845" i="6"/>
  <c r="M234" i="8"/>
  <c r="M953" i="7"/>
  <c r="M854" i="6"/>
  <c r="M1887" i="6"/>
  <c r="M332" i="8"/>
  <c r="M1242" i="6"/>
  <c r="M947" i="7"/>
  <c r="M287" i="5"/>
  <c r="G4" i="37"/>
  <c r="H2" i="37" s="1"/>
  <c r="G92" i="37"/>
  <c r="G94" i="37" s="1"/>
  <c r="M349" i="5"/>
  <c r="M1042" i="7"/>
  <c r="M794" i="7"/>
  <c r="M518" i="7"/>
  <c r="M1187" i="6"/>
  <c r="M206" i="8"/>
  <c r="M892" i="7"/>
  <c r="M833" i="6"/>
  <c r="M1873" i="6"/>
  <c r="M210" i="8"/>
  <c r="M1244" i="6"/>
  <c r="M964" i="7"/>
  <c r="M539" i="4"/>
  <c r="L347" i="8"/>
  <c r="L78" i="8"/>
  <c r="J25" i="16" s="1"/>
  <c r="J10" i="16" s="1"/>
  <c r="J84" i="12"/>
  <c r="Q79" i="10" s="1"/>
  <c r="S79" i="10" s="1"/>
  <c r="M1137" i="6"/>
  <c r="L337" i="6"/>
  <c r="M417" i="4"/>
  <c r="M1150" i="7"/>
  <c r="M1138" i="7"/>
  <c r="M1142" i="7"/>
  <c r="M445" i="8"/>
  <c r="L87" i="1"/>
  <c r="K94" i="1"/>
  <c r="M994" i="6"/>
  <c r="M348" i="5"/>
  <c r="M834" i="6"/>
  <c r="M9" i="27"/>
  <c r="L420" i="7"/>
  <c r="L583" i="4"/>
  <c r="K121" i="4"/>
  <c r="K159" i="4" s="1"/>
  <c r="R55" i="37"/>
  <c r="L650" i="4"/>
  <c r="K188" i="4"/>
  <c r="L1907" i="6"/>
  <c r="L660" i="6" s="1"/>
  <c r="R13" i="37"/>
  <c r="AJ54" i="9"/>
  <c r="M893" i="4"/>
  <c r="M79" i="6"/>
  <c r="M1605" i="6"/>
  <c r="L645" i="6"/>
  <c r="M972" i="7"/>
  <c r="M434" i="5"/>
  <c r="M1028" i="7"/>
  <c r="M749" i="7"/>
  <c r="M702" i="4"/>
  <c r="M2003" i="6"/>
  <c r="M1485" i="6"/>
  <c r="M441" i="5"/>
  <c r="C82" i="20"/>
  <c r="C31" i="19"/>
  <c r="M15" i="1"/>
  <c r="C92" i="19" s="1"/>
  <c r="M31" i="27"/>
  <c r="M830" i="6"/>
  <c r="M408" i="5"/>
  <c r="M1332" i="6"/>
  <c r="M329" i="8"/>
  <c r="M288" i="5"/>
  <c r="M1186" i="6"/>
  <c r="M1874" i="6"/>
  <c r="M284" i="5"/>
  <c r="M12" i="27"/>
  <c r="R23" i="37"/>
  <c r="M651" i="4"/>
  <c r="M873" i="4"/>
  <c r="M610" i="7"/>
  <c r="M438" i="5"/>
  <c r="M850" i="7"/>
  <c r="M707" i="4"/>
  <c r="M416" i="4"/>
  <c r="L69" i="4"/>
  <c r="M1679" i="6"/>
  <c r="M223" i="5"/>
  <c r="M392" i="8"/>
  <c r="M49" i="27"/>
  <c r="L54" i="27"/>
  <c r="M218" i="8"/>
  <c r="J87" i="16"/>
  <c r="K40" i="45"/>
  <c r="AO141" i="9"/>
  <c r="CP141" i="9"/>
  <c r="CP97" i="9"/>
  <c r="M430" i="5"/>
  <c r="M1035" i="7"/>
  <c r="M819" i="7"/>
  <c r="M512" i="4"/>
  <c r="M1484" i="6"/>
  <c r="M1890" i="6"/>
  <c r="M1815" i="6"/>
  <c r="M1653" i="6"/>
  <c r="M900" i="7"/>
  <c r="M1932" i="6"/>
  <c r="M1846" i="6"/>
  <c r="M1299" i="6"/>
  <c r="M551" i="7"/>
  <c r="M244" i="5"/>
  <c r="M520" i="4"/>
  <c r="M352" i="5"/>
  <c r="M1034" i="7"/>
  <c r="M800" i="7"/>
  <c r="M705" i="4"/>
  <c r="M1613" i="6"/>
  <c r="M1298" i="6"/>
  <c r="M1922" i="6"/>
  <c r="M1821" i="6"/>
  <c r="M128" i="8"/>
  <c r="M1245" i="6"/>
  <c r="M549" i="7"/>
  <c r="M1794" i="6"/>
  <c r="M1884" i="6"/>
  <c r="M279" i="8"/>
  <c r="M286" i="5"/>
  <c r="M346" i="5"/>
  <c r="M1137" i="7"/>
  <c r="M567" i="7"/>
  <c r="L103" i="6"/>
  <c r="L108" i="6" s="1"/>
  <c r="M802" i="6"/>
  <c r="M1927" i="6"/>
  <c r="M1133" i="7"/>
  <c r="M1109" i="7"/>
  <c r="M1147" i="7"/>
  <c r="M226" i="5"/>
  <c r="M187" i="8"/>
  <c r="M333" i="8"/>
  <c r="M300" i="5"/>
  <c r="M686" i="7"/>
  <c r="L218" i="7"/>
  <c r="M1978" i="6"/>
  <c r="M703" i="6" s="1"/>
  <c r="M39" i="27"/>
  <c r="M28" i="27"/>
  <c r="R19" i="37"/>
  <c r="M450" i="4"/>
  <c r="L896" i="4"/>
  <c r="K341" i="4"/>
  <c r="J335" i="4"/>
  <c r="J12" i="4" s="1"/>
  <c r="M899" i="4"/>
  <c r="M1602" i="6"/>
  <c r="R20" i="26" s="1"/>
  <c r="L1352" i="6"/>
  <c r="K434" i="6"/>
  <c r="M1346" i="6"/>
  <c r="L569" i="4"/>
  <c r="M302" i="5"/>
  <c r="M814" i="7"/>
  <c r="M521" i="7"/>
  <c r="M534" i="4"/>
  <c r="M958" i="6"/>
  <c r="M193" i="6" s="1"/>
  <c r="M33" i="27"/>
  <c r="M292" i="5"/>
  <c r="M342" i="5"/>
  <c r="M338" i="8"/>
  <c r="M347" i="5"/>
  <c r="M1239" i="6"/>
  <c r="M370" i="5"/>
  <c r="M137" i="5" s="1"/>
  <c r="M1740" i="6"/>
  <c r="R58" i="37"/>
  <c r="M563" i="4"/>
  <c r="M1895" i="6"/>
  <c r="L233" i="5"/>
  <c r="K53" i="5"/>
  <c r="M902" i="4"/>
  <c r="L929" i="4"/>
  <c r="L352" i="4" s="1"/>
  <c r="M434" i="4"/>
  <c r="M71" i="4" s="1"/>
  <c r="M1343" i="6"/>
  <c r="M489" i="7"/>
  <c r="L75" i="7"/>
  <c r="M439" i="5"/>
  <c r="M406" i="5"/>
  <c r="M802" i="7"/>
  <c r="M703" i="4"/>
  <c r="M2005" i="6"/>
  <c r="M1348" i="6"/>
  <c r="M421" i="4"/>
  <c r="M547" i="8"/>
  <c r="M509" i="4"/>
  <c r="L115" i="4"/>
  <c r="M813" i="7"/>
  <c r="L307" i="7"/>
  <c r="M409" i="8"/>
  <c r="M189" i="8"/>
  <c r="M824" i="7"/>
  <c r="M708" i="4"/>
  <c r="M853" i="6"/>
  <c r="M1866" i="6"/>
  <c r="M269" i="8"/>
  <c r="M446" i="8"/>
  <c r="M975" i="7"/>
  <c r="J407" i="34"/>
  <c r="M1919" i="6"/>
  <c r="M1820" i="6"/>
  <c r="M969" i="7"/>
  <c r="M683" i="4"/>
  <c r="M250" i="5"/>
  <c r="M1037" i="7"/>
  <c r="M750" i="7"/>
  <c r="M701" i="4"/>
  <c r="M1671" i="6"/>
  <c r="M1342" i="6"/>
  <c r="M1853" i="6"/>
  <c r="M512" i="7"/>
  <c r="M780" i="6"/>
  <c r="M1848" i="6"/>
  <c r="M240" i="8"/>
  <c r="M1989" i="6"/>
  <c r="M1166" i="6"/>
  <c r="M306" i="6" s="1"/>
  <c r="M930" i="7"/>
  <c r="M371" i="7" s="1"/>
  <c r="M267" i="8"/>
  <c r="M993" i="6"/>
  <c r="L211" i="6"/>
  <c r="M1383" i="6"/>
  <c r="M563" i="7"/>
  <c r="L633" i="4"/>
  <c r="L182" i="4" s="1"/>
  <c r="K654" i="4"/>
  <c r="K159" i="6"/>
  <c r="K427" i="6"/>
  <c r="L492" i="7"/>
  <c r="K77" i="7"/>
  <c r="L786" i="6"/>
  <c r="L94" i="6" s="1"/>
  <c r="L370" i="8"/>
  <c r="L381" i="8" s="1"/>
  <c r="L108" i="8" s="1"/>
  <c r="L174" i="8"/>
  <c r="L182" i="8" s="1"/>
  <c r="L46" i="8" s="1"/>
  <c r="AK11" i="42" s="1"/>
  <c r="K120" i="4"/>
  <c r="M236" i="5"/>
  <c r="L54" i="5"/>
  <c r="CP186" i="9"/>
  <c r="AO186" i="9"/>
  <c r="K1571" i="6"/>
  <c r="J465" i="6"/>
  <c r="M838" i="7"/>
  <c r="L309" i="7"/>
  <c r="B31" i="19"/>
  <c r="B87" i="19" s="1"/>
  <c r="L958" i="7"/>
  <c r="R60" i="10" s="1"/>
  <c r="M1668" i="6"/>
  <c r="L542" i="6"/>
  <c r="K423" i="7"/>
  <c r="AW20" i="42"/>
  <c r="H115" i="15" s="1"/>
  <c r="M257" i="8"/>
  <c r="M213" i="8"/>
  <c r="M5" i="1"/>
  <c r="M1844" i="6"/>
  <c r="M284" i="8"/>
  <c r="M795" i="7"/>
  <c r="M520" i="7"/>
  <c r="M684" i="4"/>
  <c r="M852" i="6"/>
  <c r="M522" i="4"/>
  <c r="K330" i="7"/>
  <c r="O35" i="11"/>
  <c r="P35" i="11" s="1"/>
  <c r="Q35" i="11" s="1"/>
  <c r="M353" i="5"/>
  <c r="L317" i="7"/>
  <c r="M849" i="7"/>
  <c r="CF60" i="21"/>
  <c r="AN60" i="21"/>
  <c r="M30" i="27"/>
  <c r="M343" i="5"/>
  <c r="M1043" i="7"/>
  <c r="M805" i="7"/>
  <c r="M700" i="4"/>
  <c r="M1886" i="6"/>
  <c r="M1803" i="6"/>
  <c r="M736" i="7"/>
  <c r="M552" i="7"/>
  <c r="M894" i="7"/>
  <c r="M778" i="6"/>
  <c r="M1852" i="6"/>
  <c r="M796" i="7"/>
  <c r="M26" i="27"/>
  <c r="M723" i="7"/>
  <c r="L728" i="7"/>
  <c r="L250" i="7"/>
  <c r="L252" i="7" s="1"/>
  <c r="L11" i="7" s="1"/>
  <c r="L325" i="6"/>
  <c r="F94" i="37"/>
  <c r="F104" i="37"/>
  <c r="G104" i="37" s="1"/>
  <c r="H104" i="37" s="1"/>
  <c r="I104" i="37" s="1"/>
  <c r="J104" i="37" s="1"/>
  <c r="K104" i="37" s="1"/>
  <c r="L104" i="37" s="1"/>
  <c r="M104" i="37" s="1"/>
  <c r="N104" i="37" s="1"/>
  <c r="O104" i="37" s="1"/>
  <c r="P104" i="37" s="1"/>
  <c r="Q104" i="37" s="1"/>
  <c r="R104" i="37" s="1"/>
  <c r="S104" i="37" s="1"/>
  <c r="T104" i="37" s="1"/>
  <c r="U104" i="37" s="1"/>
  <c r="V104" i="37" s="1"/>
  <c r="W104" i="37" s="1"/>
  <c r="M425" i="5"/>
  <c r="M826" i="7"/>
  <c r="M697" i="4"/>
  <c r="M827" i="6"/>
  <c r="M1817" i="6"/>
  <c r="M978" i="7"/>
  <c r="L92" i="37"/>
  <c r="L94" i="37" s="1"/>
  <c r="L4" i="37"/>
  <c r="M1921" i="6"/>
  <c r="M1816" i="6"/>
  <c r="M248" i="8"/>
  <c r="M1289" i="6"/>
  <c r="M901" i="7"/>
  <c r="AJ20" i="42"/>
  <c r="AJ29" i="42" s="1"/>
  <c r="K84" i="8"/>
  <c r="L370" i="7"/>
  <c r="L215" i="6"/>
  <c r="M971" i="7"/>
  <c r="M1127" i="7"/>
  <c r="M1994" i="6"/>
  <c r="M1859" i="6"/>
  <c r="M303" i="5"/>
  <c r="M569" i="7"/>
  <c r="M357" i="5"/>
  <c r="M128" i="5" s="1"/>
  <c r="M691" i="7"/>
  <c r="L219" i="7"/>
  <c r="M34" i="27"/>
  <c r="R18" i="37"/>
  <c r="M564" i="4"/>
  <c r="L644" i="4"/>
  <c r="L186" i="4" s="1"/>
  <c r="M537" i="4"/>
  <c r="AN54" i="9"/>
  <c r="CP54" i="9"/>
  <c r="K1067" i="7"/>
  <c r="M900" i="4"/>
  <c r="M1288" i="6"/>
  <c r="M511" i="7"/>
  <c r="M1601" i="6"/>
  <c r="N1601" i="6" s="1"/>
  <c r="M829" i="6"/>
  <c r="M677" i="4"/>
  <c r="M818" i="7"/>
  <c r="L82" i="7"/>
  <c r="M535" i="4"/>
  <c r="M1188" i="6"/>
  <c r="M8" i="27"/>
  <c r="L20" i="27"/>
  <c r="M25" i="27"/>
  <c r="M282" i="8"/>
  <c r="M341" i="5"/>
  <c r="M243" i="8"/>
  <c r="N243" i="8" s="1"/>
  <c r="M1743" i="6"/>
  <c r="M594" i="6" s="1"/>
  <c r="R17" i="37"/>
  <c r="M645" i="4"/>
  <c r="M905" i="4"/>
  <c r="N905" i="4" s="1"/>
  <c r="M908" i="4"/>
  <c r="M340" i="5"/>
  <c r="M1030" i="7"/>
  <c r="M820" i="7"/>
  <c r="M519" i="7"/>
  <c r="N519" i="7" s="1"/>
  <c r="M532" i="4"/>
  <c r="M1612" i="6"/>
  <c r="M42" i="27"/>
  <c r="N42" i="27" s="1"/>
  <c r="M16" i="27"/>
  <c r="CP146" i="9"/>
  <c r="M32" i="27"/>
  <c r="M428" i="5"/>
  <c r="M364" i="5"/>
  <c r="M852" i="7"/>
  <c r="M747" i="7"/>
  <c r="M693" i="4"/>
  <c r="M792" i="6"/>
  <c r="M211" i="8"/>
  <c r="M1865" i="6"/>
  <c r="M1243" i="6"/>
  <c r="N1243" i="6" s="1"/>
  <c r="M1875" i="6"/>
  <c r="M314" i="8"/>
  <c r="M1164" i="6"/>
  <c r="M221" i="5"/>
  <c r="M1146" i="7"/>
  <c r="M1931" i="6"/>
  <c r="M431" i="5"/>
  <c r="M224" i="5"/>
  <c r="M840" i="7"/>
  <c r="M735" i="7"/>
  <c r="M540" i="4"/>
  <c r="M1983" i="6"/>
  <c r="L710" i="6"/>
  <c r="M1872" i="6"/>
  <c r="M758" i="6"/>
  <c r="N758" i="6" s="1"/>
  <c r="M841" i="6"/>
  <c r="M1818" i="6"/>
  <c r="M1792" i="6"/>
  <c r="M250" i="8"/>
  <c r="M1140" i="7"/>
  <c r="M1144" i="7"/>
  <c r="M1990" i="6"/>
  <c r="L711" i="6"/>
  <c r="M1148" i="7"/>
  <c r="M344" i="5"/>
  <c r="M803" i="7"/>
  <c r="M294" i="5"/>
  <c r="M564" i="7"/>
  <c r="M856" i="6"/>
  <c r="M245" i="5"/>
  <c r="M660" i="7"/>
  <c r="M282" i="5"/>
  <c r="N282" i="5" s="1"/>
  <c r="M1988" i="6"/>
  <c r="R60" i="37"/>
  <c r="M561" i="4"/>
  <c r="M904" i="4"/>
  <c r="L928" i="4"/>
  <c r="L353" i="4" s="1"/>
  <c r="L891" i="4"/>
  <c r="K342" i="4"/>
  <c r="L867" i="4"/>
  <c r="L330" i="4" s="1"/>
  <c r="M927" i="4"/>
  <c r="M528" i="4"/>
  <c r="M1614" i="6"/>
  <c r="N1614" i="6" s="1"/>
  <c r="M841" i="7"/>
  <c r="N841" i="7" s="1"/>
  <c r="M704" i="4"/>
  <c r="N704" i="4" s="1"/>
  <c r="M515" i="4"/>
  <c r="M1481" i="6"/>
  <c r="N1481" i="6" s="1"/>
  <c r="M440" i="5"/>
  <c r="N440" i="5" s="1"/>
  <c r="M440" i="8"/>
  <c r="M1869" i="6"/>
  <c r="M368" i="5"/>
  <c r="N368" i="5" s="1"/>
  <c r="M1411" i="6"/>
  <c r="N1411" i="6" s="1"/>
  <c r="M988" i="6"/>
  <c r="M208" i="6" s="1"/>
  <c r="M45" i="27"/>
  <c r="N45" i="27" s="1"/>
  <c r="Q12" i="37"/>
  <c r="P100" i="37"/>
  <c r="M566" i="4"/>
  <c r="M914" i="4"/>
  <c r="N914" i="4" s="1"/>
  <c r="L892" i="4"/>
  <c r="K343" i="4"/>
  <c r="M886" i="4"/>
  <c r="M1331" i="6"/>
  <c r="N1331" i="6" s="1"/>
  <c r="M604" i="7"/>
  <c r="L165" i="7"/>
  <c r="M574" i="4"/>
  <c r="M1246" i="6"/>
  <c r="N1246" i="6" s="1"/>
  <c r="M293" i="5"/>
  <c r="N293" i="5" s="1"/>
  <c r="M507" i="7"/>
  <c r="N507" i="7" s="1"/>
  <c r="M533" i="4"/>
  <c r="N533" i="4" s="1"/>
  <c r="M1479" i="6"/>
  <c r="M1858" i="6"/>
  <c r="N1858" i="6" s="1"/>
  <c r="M652" i="7"/>
  <c r="N652" i="7" s="1"/>
  <c r="M411" i="5"/>
  <c r="M376" i="5"/>
  <c r="N376" i="5" s="1"/>
  <c r="M59" i="27"/>
  <c r="N59" i="27" s="1"/>
  <c r="L609" i="7"/>
  <c r="M433" i="5"/>
  <c r="N433" i="5" s="1"/>
  <c r="M299" i="5"/>
  <c r="N299" i="5" s="1"/>
  <c r="M513" i="7"/>
  <c r="N513" i="7" s="1"/>
  <c r="M519" i="4"/>
  <c r="M1617" i="6"/>
  <c r="N1617" i="6" s="1"/>
  <c r="M1184" i="6"/>
  <c r="N1184" i="6" s="1"/>
  <c r="M1894" i="6"/>
  <c r="N1894" i="6" s="1"/>
  <c r="M1806" i="6"/>
  <c r="N1806" i="6" s="1"/>
  <c r="M843" i="6"/>
  <c r="N843" i="6" s="1"/>
  <c r="M1871" i="6"/>
  <c r="N1871" i="6" s="1"/>
  <c r="M285" i="8"/>
  <c r="N285" i="8" s="1"/>
  <c r="M1790" i="6"/>
  <c r="N1790" i="6" s="1"/>
  <c r="M899" i="7"/>
  <c r="N899" i="7" s="1"/>
  <c r="M412" i="5"/>
  <c r="L95" i="6"/>
  <c r="M789" i="6"/>
  <c r="M435" i="5"/>
  <c r="N435" i="5" s="1"/>
  <c r="M291" i="5"/>
  <c r="N291" i="5" s="1"/>
  <c r="M815" i="7"/>
  <c r="N815" i="7" s="1"/>
  <c r="M506" i="7"/>
  <c r="N506" i="7" s="1"/>
  <c r="M516" i="4"/>
  <c r="N516" i="4" s="1"/>
  <c r="M855" i="6"/>
  <c r="N855" i="6" s="1"/>
  <c r="M1888" i="6"/>
  <c r="N1888" i="6" s="1"/>
  <c r="M1804" i="6"/>
  <c r="N1804" i="6" s="1"/>
  <c r="M434" i="8"/>
  <c r="N434" i="8" s="1"/>
  <c r="M1163" i="6"/>
  <c r="M950" i="7"/>
  <c r="N950" i="7" s="1"/>
  <c r="M1889" i="6"/>
  <c r="N1889" i="6" s="1"/>
  <c r="M488" i="7"/>
  <c r="N488" i="7" s="1"/>
  <c r="M553" i="7"/>
  <c r="N553" i="7" s="1"/>
  <c r="M891" i="7"/>
  <c r="N891" i="7" s="1"/>
  <c r="M676" i="4"/>
  <c r="N676" i="4" s="1"/>
  <c r="M1329" i="6"/>
  <c r="M285" i="5"/>
  <c r="N285" i="5" s="1"/>
  <c r="M522" i="7"/>
  <c r="N522" i="7" s="1"/>
  <c r="L952" i="7"/>
  <c r="Q99" i="37"/>
  <c r="K293" i="45"/>
  <c r="P52" i="42"/>
  <c r="P54" i="42" s="1"/>
  <c r="J29" i="45"/>
  <c r="J36" i="45" s="1"/>
  <c r="L201" i="6"/>
  <c r="L1173" i="6"/>
  <c r="J726" i="34" s="1"/>
  <c r="K327" i="6"/>
  <c r="K1134" i="6"/>
  <c r="J380" i="6"/>
  <c r="J27" i="6" s="1"/>
  <c r="L318" i="8"/>
  <c r="K290" i="45"/>
  <c r="L164" i="45"/>
  <c r="L1248" i="6"/>
  <c r="J727" i="34" s="1"/>
  <c r="K34" i="45"/>
  <c r="K1224" i="6"/>
  <c r="K370" i="6" s="1"/>
  <c r="K378" i="6"/>
  <c r="K33" i="45"/>
  <c r="K264" i="6"/>
  <c r="L171" i="4"/>
  <c r="M619" i="4"/>
  <c r="K159" i="8"/>
  <c r="A969" i="4"/>
  <c r="A974" i="4" s="1"/>
  <c r="C969" i="4"/>
  <c r="B20" i="4"/>
  <c r="I307" i="45"/>
  <c r="M326" i="8"/>
  <c r="B10" i="8"/>
  <c r="A6" i="17"/>
  <c r="A290" i="15" s="1"/>
  <c r="K340" i="4"/>
  <c r="L885" i="4"/>
  <c r="G68" i="5"/>
  <c r="H68" i="5" s="1"/>
  <c r="H36" i="17"/>
  <c r="L945" i="7"/>
  <c r="K376" i="7"/>
  <c r="L963" i="7"/>
  <c r="K377" i="7"/>
  <c r="M413" i="4"/>
  <c r="K115" i="3" s="1"/>
  <c r="L68" i="4"/>
  <c r="L859" i="6"/>
  <c r="K140" i="6"/>
  <c r="C119" i="42"/>
  <c r="C28" i="6"/>
  <c r="C454" i="6"/>
  <c r="C457" i="6" s="1"/>
  <c r="A2062" i="6"/>
  <c r="B28" i="6"/>
  <c r="B454" i="6"/>
  <c r="B457" i="6" s="1"/>
  <c r="L763" i="6"/>
  <c r="K782" i="6"/>
  <c r="AK3" i="22"/>
  <c r="AK78" i="22" s="1"/>
  <c r="AN3" i="21"/>
  <c r="AL3" i="21"/>
  <c r="AI3" i="22"/>
  <c r="AI78" i="22" s="1"/>
  <c r="AI121" i="22" s="1"/>
  <c r="AN3" i="22"/>
  <c r="AN78" i="22" s="1"/>
  <c r="AN121" i="22" s="1"/>
  <c r="AQ3" i="21"/>
  <c r="H127" i="22"/>
  <c r="G36" i="17"/>
  <c r="D33" i="20"/>
  <c r="L1103" i="6"/>
  <c r="L35" i="45" s="1"/>
  <c r="L1355" i="6"/>
  <c r="M1355" i="6" s="1"/>
  <c r="M1092" i="6"/>
  <c r="K765" i="34" s="1"/>
  <c r="K475" i="4"/>
  <c r="K92" i="4" s="1"/>
  <c r="K46" i="4" s="1"/>
  <c r="I62" i="3" s="1"/>
  <c r="I64" i="12"/>
  <c r="J63" i="12"/>
  <c r="V3" i="11"/>
  <c r="S84" i="11"/>
  <c r="L210" i="7"/>
  <c r="K35" i="45"/>
  <c r="K321" i="6"/>
  <c r="L214" i="6"/>
  <c r="M730" i="6"/>
  <c r="M735" i="6" s="1"/>
  <c r="L730" i="6"/>
  <c r="L735" i="6" s="1"/>
  <c r="K584" i="6"/>
  <c r="B95" i="4"/>
  <c r="I133" i="4"/>
  <c r="M407" i="8"/>
  <c r="M499" i="7"/>
  <c r="M89" i="7" s="1"/>
  <c r="M496" i="7"/>
  <c r="M86" i="7" s="1"/>
  <c r="G55" i="13"/>
  <c r="U41" i="42" s="1"/>
  <c r="G72" i="13"/>
  <c r="L739" i="7"/>
  <c r="L256" i="5"/>
  <c r="L319" i="8"/>
  <c r="I95" i="13"/>
  <c r="H97" i="13"/>
  <c r="L186" i="8"/>
  <c r="L45" i="8" s="1"/>
  <c r="K294" i="45"/>
  <c r="L62" i="5"/>
  <c r="L295" i="8"/>
  <c r="L62" i="8" s="1"/>
  <c r="K292" i="45"/>
  <c r="L278" i="8"/>
  <c r="L61" i="8" s="1"/>
  <c r="K291" i="45"/>
  <c r="K331" i="6"/>
  <c r="K330" i="6" s="1"/>
  <c r="L1181" i="6"/>
  <c r="K32" i="45"/>
  <c r="K1221" i="6"/>
  <c r="K366" i="6" s="1"/>
  <c r="L1232" i="6"/>
  <c r="I24" i="6"/>
  <c r="K727" i="6"/>
  <c r="L2013" i="6"/>
  <c r="I22" i="58" s="1"/>
  <c r="G2060" i="6"/>
  <c r="J341" i="6"/>
  <c r="J26" i="6" s="1"/>
  <c r="X220" i="10"/>
  <c r="M1505" i="6"/>
  <c r="M463" i="6" s="1"/>
  <c r="L1281" i="6"/>
  <c r="L406" i="6" s="1"/>
  <c r="J367" i="6"/>
  <c r="J372" i="6" s="1"/>
  <c r="J1227" i="6"/>
  <c r="H766" i="34" s="1"/>
  <c r="I382" i="6"/>
  <c r="I11" i="6"/>
  <c r="K1630" i="6"/>
  <c r="K507" i="6"/>
  <c r="K512" i="6" s="1"/>
  <c r="L1908" i="6"/>
  <c r="L661" i="6" s="1"/>
  <c r="K1220" i="6"/>
  <c r="K377" i="6"/>
  <c r="L1235" i="6"/>
  <c r="K1251" i="6"/>
  <c r="L61" i="5"/>
  <c r="M248" i="5"/>
  <c r="M243" i="5"/>
  <c r="M314" i="5"/>
  <c r="M96" i="5" s="1"/>
  <c r="L382" i="5"/>
  <c r="K146" i="5"/>
  <c r="L60" i="5"/>
  <c r="K64" i="5"/>
  <c r="K504" i="5" s="1"/>
  <c r="R9" i="11"/>
  <c r="C147" i="4"/>
  <c r="A147" i="4"/>
  <c r="A200" i="4" s="1"/>
  <c r="A955" i="4"/>
  <c r="G1213" i="7"/>
  <c r="G324" i="7"/>
  <c r="H324" i="7" s="1"/>
  <c r="L92" i="7"/>
  <c r="K345" i="7"/>
  <c r="B1214" i="7"/>
  <c r="A1198" i="7"/>
  <c r="A1201" i="7" s="1"/>
  <c r="A1219" i="7" s="1"/>
  <c r="A408" i="7"/>
  <c r="I322" i="7"/>
  <c r="K312" i="7"/>
  <c r="L844" i="7"/>
  <c r="C1008" i="4"/>
  <c r="C1011" i="4" s="1"/>
  <c r="I96" i="7"/>
  <c r="I98" i="7" s="1"/>
  <c r="K855" i="7"/>
  <c r="K162" i="7"/>
  <c r="L601" i="7"/>
  <c r="J320" i="7"/>
  <c r="J24" i="7" s="1"/>
  <c r="J36" i="7" s="1"/>
  <c r="J136" i="7"/>
  <c r="J94" i="7"/>
  <c r="J20" i="7" s="1"/>
  <c r="J32" i="7" s="1"/>
  <c r="L846" i="7"/>
  <c r="K314" i="7"/>
  <c r="K76" i="7"/>
  <c r="L491" i="7"/>
  <c r="L956" i="7"/>
  <c r="L845" i="7"/>
  <c r="L313" i="7" s="1"/>
  <c r="L600" i="7"/>
  <c r="L161" i="7" s="1"/>
  <c r="H132" i="13"/>
  <c r="AO29" i="9"/>
  <c r="AT115" i="9"/>
  <c r="J103" i="5"/>
  <c r="Y26" i="11"/>
  <c r="Z26" i="11" s="1"/>
  <c r="G135" i="4"/>
  <c r="H135" i="4" s="1"/>
  <c r="E7" i="42"/>
  <c r="L173" i="5"/>
  <c r="M1030" i="6"/>
  <c r="M253" i="6" s="1"/>
  <c r="O1833" i="6"/>
  <c r="N890" i="7"/>
  <c r="M755" i="6"/>
  <c r="G12" i="42"/>
  <c r="L359" i="5"/>
  <c r="L89" i="5"/>
  <c r="L91" i="5" s="1"/>
  <c r="L8" i="5" s="1"/>
  <c r="J56" i="5"/>
  <c r="J495" i="5" s="1"/>
  <c r="L618" i="4"/>
  <c r="K170" i="4"/>
  <c r="AR52" i="42"/>
  <c r="B49" i="42"/>
  <c r="AR47" i="42"/>
  <c r="B41" i="42"/>
  <c r="N1813" i="6"/>
  <c r="K16" i="17"/>
  <c r="AZ41" i="42" s="1"/>
  <c r="K106" i="15" s="1"/>
  <c r="K336" i="34" s="1"/>
  <c r="J31" i="17"/>
  <c r="J31" i="16"/>
  <c r="K16" i="16"/>
  <c r="AL41" i="42" s="1"/>
  <c r="K75" i="15" s="1"/>
  <c r="K322" i="34" s="1"/>
  <c r="U43" i="42"/>
  <c r="K424" i="45"/>
  <c r="N188" i="8"/>
  <c r="N280" i="8"/>
  <c r="L422" i="45"/>
  <c r="N208" i="8"/>
  <c r="L421" i="45"/>
  <c r="L109" i="8"/>
  <c r="N268" i="8"/>
  <c r="L186" i="5"/>
  <c r="M423" i="5"/>
  <c r="K383" i="5"/>
  <c r="K385" i="5" s="1"/>
  <c r="K387" i="5" s="1"/>
  <c r="K396" i="5" s="1"/>
  <c r="K135" i="5"/>
  <c r="L362" i="5"/>
  <c r="M309" i="5"/>
  <c r="M95" i="5" s="1"/>
  <c r="L318" i="5"/>
  <c r="J441" i="7"/>
  <c r="J442" i="7" s="1"/>
  <c r="M671" i="7"/>
  <c r="L216" i="7"/>
  <c r="L487" i="7"/>
  <c r="K74" i="7"/>
  <c r="K525" i="7"/>
  <c r="M672" i="7"/>
  <c r="J439" i="7"/>
  <c r="K440" i="7"/>
  <c r="M918" i="7"/>
  <c r="L365" i="7"/>
  <c r="H203" i="15"/>
  <c r="M741" i="7"/>
  <c r="M748" i="7"/>
  <c r="L260" i="7"/>
  <c r="L261" i="7" s="1"/>
  <c r="K210" i="6"/>
  <c r="L991" i="6"/>
  <c r="K1000" i="6"/>
  <c r="N840" i="6"/>
  <c r="L99" i="6"/>
  <c r="M794" i="6"/>
  <c r="M791" i="6"/>
  <c r="J197" i="5"/>
  <c r="J507" i="5"/>
  <c r="J19" i="5"/>
  <c r="J28" i="5" s="1"/>
  <c r="K198" i="5"/>
  <c r="J31" i="5"/>
  <c r="M427" i="5"/>
  <c r="L187" i="5"/>
  <c r="M97" i="5"/>
  <c r="I199" i="5"/>
  <c r="I479" i="5"/>
  <c r="M485" i="5"/>
  <c r="K6" i="3" s="1"/>
  <c r="L193" i="5"/>
  <c r="L450" i="5"/>
  <c r="L420" i="5"/>
  <c r="K183" i="5"/>
  <c r="K195" i="5" s="1"/>
  <c r="K447" i="5"/>
  <c r="K449" i="5" s="1"/>
  <c r="K451" i="5" s="1"/>
  <c r="K459" i="5" s="1"/>
  <c r="N311" i="5"/>
  <c r="K496" i="5"/>
  <c r="A690" i="6"/>
  <c r="A2046" i="6"/>
  <c r="J722" i="4"/>
  <c r="J724" i="4" s="1"/>
  <c r="J732" i="4" s="1"/>
  <c r="J174" i="4"/>
  <c r="K711" i="4"/>
  <c r="K720" i="4" s="1"/>
  <c r="K191" i="4" s="1"/>
  <c r="K689" i="4"/>
  <c r="L685" i="4"/>
  <c r="K109" i="4"/>
  <c r="K157" i="4" s="1"/>
  <c r="G597" i="4"/>
  <c r="H597" i="4" s="1"/>
  <c r="N295" i="5"/>
  <c r="L220" i="5"/>
  <c r="L52" i="5" s="1"/>
  <c r="K238" i="5"/>
  <c r="K258" i="5" s="1"/>
  <c r="K260" i="5" s="1"/>
  <c r="K271" i="5" s="1"/>
  <c r="M2011" i="6"/>
  <c r="L726" i="6"/>
  <c r="K1496" i="6"/>
  <c r="K1498" i="6" s="1"/>
  <c r="N220" i="10" s="1"/>
  <c r="P220" i="10" s="1"/>
  <c r="M2004" i="6"/>
  <c r="L722" i="6"/>
  <c r="M2008" i="6"/>
  <c r="J502" i="4"/>
  <c r="I111" i="4"/>
  <c r="I8" i="4" s="1"/>
  <c r="I155" i="4"/>
  <c r="I160" i="4" s="1"/>
  <c r="C142" i="13"/>
  <c r="C198" i="15"/>
  <c r="H77" i="13"/>
  <c r="J110" i="40"/>
  <c r="T88" i="10" s="1"/>
  <c r="K109" i="40"/>
  <c r="I129" i="40"/>
  <c r="L1009" i="7" s="1"/>
  <c r="AV3" i="9"/>
  <c r="AQ3" i="9"/>
  <c r="AL87" i="9"/>
  <c r="AL169" i="9" s="1"/>
  <c r="BC40" i="9"/>
  <c r="AY40" i="9"/>
  <c r="U3" i="11"/>
  <c r="R84" i="11"/>
  <c r="T3" i="11"/>
  <c r="Q84" i="11"/>
  <c r="U3" i="10"/>
  <c r="AB41" i="10"/>
  <c r="AA26" i="11" s="1"/>
  <c r="O534" i="7"/>
  <c r="O104" i="7" s="1"/>
  <c r="Y3" i="10"/>
  <c r="V109" i="10"/>
  <c r="V201" i="10" s="1"/>
  <c r="W3" i="10"/>
  <c r="T109" i="10"/>
  <c r="T201" i="10" s="1"/>
  <c r="M495" i="7"/>
  <c r="M85" i="7" s="1"/>
  <c r="N983" i="7"/>
  <c r="N568" i="7"/>
  <c r="L257" i="7"/>
  <c r="L220" i="7"/>
  <c r="M695" i="7"/>
  <c r="M811" i="7"/>
  <c r="L306" i="7"/>
  <c r="J759" i="7"/>
  <c r="J770" i="7" s="1"/>
  <c r="M171" i="7"/>
  <c r="A38" i="20"/>
  <c r="A87" i="20" s="1"/>
  <c r="C2039" i="6"/>
  <c r="L423" i="6"/>
  <c r="M1297" i="6"/>
  <c r="M987" i="6"/>
  <c r="L209" i="6"/>
  <c r="M338" i="6"/>
  <c r="M102" i="6"/>
  <c r="L415" i="6"/>
  <c r="M1472" i="6"/>
  <c r="L1474" i="6"/>
  <c r="M1497" i="6"/>
  <c r="M449" i="6"/>
  <c r="L584" i="6"/>
  <c r="M1726" i="6"/>
  <c r="N1070" i="6"/>
  <c r="M271" i="6"/>
  <c r="N410" i="5"/>
  <c r="N174" i="5" s="1"/>
  <c r="A39" i="20"/>
  <c r="A92" i="20" s="1"/>
  <c r="M1488" i="6"/>
  <c r="L1489" i="6"/>
  <c r="L1494" i="6" s="1"/>
  <c r="C2040" i="6"/>
  <c r="C356" i="6"/>
  <c r="M1480" i="6"/>
  <c r="I1509" i="6"/>
  <c r="G104" i="19"/>
  <c r="J35" i="19"/>
  <c r="F39" i="17"/>
  <c r="F111" i="17" s="1"/>
  <c r="F113" i="17" s="1"/>
  <c r="L119" i="4"/>
  <c r="N541" i="4"/>
  <c r="O692" i="4"/>
  <c r="P692" i="4" s="1"/>
  <c r="Q692" i="4" s="1"/>
  <c r="R692" i="4" s="1"/>
  <c r="L497" i="6"/>
  <c r="M1611" i="6"/>
  <c r="L1688" i="6"/>
  <c r="L546" i="6"/>
  <c r="L551" i="6" s="1"/>
  <c r="M1287" i="6"/>
  <c r="L92" i="6"/>
  <c r="M777" i="6"/>
  <c r="B613" i="6"/>
  <c r="B618" i="6" s="1"/>
  <c r="B1767" i="6"/>
  <c r="M1654" i="6"/>
  <c r="M1678" i="6"/>
  <c r="L837" i="6"/>
  <c r="M1663" i="6"/>
  <c r="M541" i="6" s="1"/>
  <c r="M1883" i="6"/>
  <c r="L629" i="6"/>
  <c r="M1997" i="6"/>
  <c r="L714" i="6"/>
  <c r="N860" i="6"/>
  <c r="N1178" i="6"/>
  <c r="L262" i="6"/>
  <c r="N1847" i="6"/>
  <c r="N1345" i="6"/>
  <c r="M725" i="6"/>
  <c r="M449" i="8"/>
  <c r="AX3" i="9"/>
  <c r="AN87" i="9"/>
  <c r="AN169" i="9" s="1"/>
  <c r="AS3" i="9"/>
  <c r="X211" i="9"/>
  <c r="F75" i="13"/>
  <c r="G204" i="3"/>
  <c r="J558" i="8"/>
  <c r="H39" i="17"/>
  <c r="H111" i="17" s="1"/>
  <c r="AH209" i="9"/>
  <c r="AH211" i="9" s="1"/>
  <c r="AP2" i="9"/>
  <c r="AK86" i="9"/>
  <c r="AK168" i="9" s="1"/>
  <c r="AM87" i="9"/>
  <c r="AM169" i="9" s="1"/>
  <c r="AR3" i="9"/>
  <c r="AW3" i="9"/>
  <c r="V211" i="9"/>
  <c r="AU3" i="9"/>
  <c r="AP3" i="9"/>
  <c r="AK87" i="9"/>
  <c r="AK169" i="9" s="1"/>
  <c r="C413" i="34"/>
  <c r="C429" i="34"/>
  <c r="N452" i="8"/>
  <c r="L299" i="45"/>
  <c r="L304" i="45" s="1"/>
  <c r="K357" i="8"/>
  <c r="K95" i="8" s="1"/>
  <c r="I40" i="16"/>
  <c r="AJ49" i="42" s="1"/>
  <c r="AJ52" i="42" s="1"/>
  <c r="J403" i="4"/>
  <c r="H8" i="12" s="1"/>
  <c r="I199" i="15"/>
  <c r="J1009" i="4"/>
  <c r="J402" i="4"/>
  <c r="H7" i="12" s="1"/>
  <c r="M968" i="7"/>
  <c r="N977" i="7"/>
  <c r="M682" i="7"/>
  <c r="L217" i="7"/>
  <c r="I23" i="7"/>
  <c r="I35" i="7" s="1"/>
  <c r="I266" i="7"/>
  <c r="G102" i="13"/>
  <c r="J264" i="7"/>
  <c r="K755" i="7"/>
  <c r="K757" i="7" s="1"/>
  <c r="D1194" i="7"/>
  <c r="D279" i="7"/>
  <c r="L205" i="7"/>
  <c r="M653" i="7"/>
  <c r="M810" i="7"/>
  <c r="R18" i="26" s="1"/>
  <c r="G268" i="7"/>
  <c r="H268" i="7" s="1"/>
  <c r="G1210" i="7"/>
  <c r="N853" i="7"/>
  <c r="N1108" i="7"/>
  <c r="N743" i="7"/>
  <c r="N573" i="7"/>
  <c r="M290" i="7"/>
  <c r="N781" i="7"/>
  <c r="B686" i="6"/>
  <c r="B519" i="6"/>
  <c r="B1642" i="6"/>
  <c r="E76" i="11"/>
  <c r="L70" i="4"/>
  <c r="M433" i="4"/>
  <c r="T69" i="11"/>
  <c r="B37" i="20"/>
  <c r="S36" i="20"/>
  <c r="H5" i="12"/>
  <c r="Q39" i="37" l="1"/>
  <c r="G289" i="4"/>
  <c r="H289" i="4" s="1"/>
  <c r="J197" i="14"/>
  <c r="J136" i="14" s="1"/>
  <c r="H106" i="14"/>
  <c r="Q110" i="14"/>
  <c r="Q109" i="14"/>
  <c r="AJ65" i="9"/>
  <c r="O120" i="10"/>
  <c r="AN63" i="9"/>
  <c r="J63" i="9"/>
  <c r="L1185" i="7" s="1"/>
  <c r="L468" i="7" s="1"/>
  <c r="M429" i="8"/>
  <c r="L119" i="8"/>
  <c r="L350" i="7"/>
  <c r="M981" i="7"/>
  <c r="L379" i="7"/>
  <c r="M2002" i="6"/>
  <c r="J20" i="58" s="1"/>
  <c r="J757" i="34"/>
  <c r="L721" i="6"/>
  <c r="L701" i="6"/>
  <c r="M1662" i="6"/>
  <c r="M540" i="6" s="1"/>
  <c r="N1165" i="6"/>
  <c r="N305" i="6" s="1"/>
  <c r="L1449" i="6"/>
  <c r="L1451" i="6" s="1"/>
  <c r="L1453" i="6" s="1"/>
  <c r="L1462" i="6" s="1"/>
  <c r="M1407" i="6"/>
  <c r="M440" i="6" s="1"/>
  <c r="K9" i="5"/>
  <c r="J150" i="5"/>
  <c r="J152" i="5" s="1"/>
  <c r="J467" i="5" s="1"/>
  <c r="M61" i="4"/>
  <c r="L76" i="4"/>
  <c r="L156" i="4"/>
  <c r="R52" i="6"/>
  <c r="O104" i="13" s="1"/>
  <c r="O107" i="13" s="1"/>
  <c r="O64" i="13" s="1"/>
  <c r="O30" i="13"/>
  <c r="O48" i="13" s="1"/>
  <c r="P7" i="3"/>
  <c r="N143" i="5"/>
  <c r="O84" i="10"/>
  <c r="M304" i="6"/>
  <c r="N735" i="7"/>
  <c r="N1931" i="6"/>
  <c r="N818" i="7"/>
  <c r="N982" i="6"/>
  <c r="N983" i="6"/>
  <c r="M441" i="6"/>
  <c r="L160" i="7"/>
  <c r="N679" i="4"/>
  <c r="N746" i="7"/>
  <c r="O746" i="7" s="1"/>
  <c r="N984" i="6"/>
  <c r="N793" i="6"/>
  <c r="O793" i="6" s="1"/>
  <c r="L286" i="3"/>
  <c r="K296" i="3"/>
  <c r="N985" i="6"/>
  <c r="N1347" i="6"/>
  <c r="L41" i="55"/>
  <c r="L25" i="12"/>
  <c r="I302" i="3"/>
  <c r="J292" i="3"/>
  <c r="K300" i="3"/>
  <c r="M67" i="1"/>
  <c r="K299" i="3"/>
  <c r="F8" i="15"/>
  <c r="L308" i="7"/>
  <c r="O298" i="3"/>
  <c r="N301" i="3"/>
  <c r="O301" i="3"/>
  <c r="N1164" i="6"/>
  <c r="O1164" i="6" s="1"/>
  <c r="N1163" i="6"/>
  <c r="L404" i="6"/>
  <c r="M573" i="6"/>
  <c r="M320" i="6"/>
  <c r="K725" i="34"/>
  <c r="M125" i="5"/>
  <c r="M124" i="5"/>
  <c r="M126" i="5"/>
  <c r="M344" i="4"/>
  <c r="M75" i="4"/>
  <c r="M580" i="4"/>
  <c r="K136" i="3" s="1"/>
  <c r="J9" i="5"/>
  <c r="J500" i="5"/>
  <c r="N341" i="5"/>
  <c r="N412" i="5"/>
  <c r="M176" i="5"/>
  <c r="N411" i="5"/>
  <c r="N175" i="5" s="1"/>
  <c r="M175" i="5"/>
  <c r="N5" i="58"/>
  <c r="G43" i="6"/>
  <c r="H11" i="6"/>
  <c r="M498" i="7"/>
  <c r="M88" i="7" s="1"/>
  <c r="F35" i="48"/>
  <c r="P260" i="48" s="1"/>
  <c r="F24" i="48"/>
  <c r="D228" i="48" s="1"/>
  <c r="F26" i="48"/>
  <c r="F235" i="48" s="1"/>
  <c r="G255" i="48"/>
  <c r="F32" i="48"/>
  <c r="M250" i="48" s="1"/>
  <c r="F37" i="48"/>
  <c r="R238" i="48" s="1"/>
  <c r="R251" i="48" s="1"/>
  <c r="F31" i="48"/>
  <c r="L260" i="48" s="1"/>
  <c r="B241" i="15"/>
  <c r="B990" i="4"/>
  <c r="D44" i="4"/>
  <c r="D95" i="4"/>
  <c r="C990" i="4"/>
  <c r="H8" i="4"/>
  <c r="Q92" i="48"/>
  <c r="H18" i="4"/>
  <c r="P91" i="48"/>
  <c r="M626" i="7"/>
  <c r="M178" i="7" s="1"/>
  <c r="M566" i="7"/>
  <c r="M129" i="7" s="1"/>
  <c r="L1023" i="7"/>
  <c r="H9" i="7"/>
  <c r="Q85" i="48"/>
  <c r="J142" i="3"/>
  <c r="F51" i="48"/>
  <c r="E35" i="48" s="1"/>
  <c r="P214" i="48" s="1"/>
  <c r="J21" i="58"/>
  <c r="I253" i="48"/>
  <c r="I255" i="48" s="1"/>
  <c r="J15" i="58"/>
  <c r="J18" i="58"/>
  <c r="N482" i="8"/>
  <c r="N469" i="8"/>
  <c r="N504" i="8"/>
  <c r="N521" i="8"/>
  <c r="N522" i="8"/>
  <c r="N476" i="8"/>
  <c r="N479" i="8"/>
  <c r="N395" i="8"/>
  <c r="N506" i="8"/>
  <c r="N470" i="8"/>
  <c r="N515" i="8"/>
  <c r="N488" i="8"/>
  <c r="N523" i="8"/>
  <c r="M1974" i="6"/>
  <c r="J9" i="58" s="1"/>
  <c r="N400" i="8"/>
  <c r="N508" i="8"/>
  <c r="N486" i="8"/>
  <c r="N468" i="8"/>
  <c r="N532" i="8"/>
  <c r="N528" i="8"/>
  <c r="N473" i="8"/>
  <c r="N385" i="8"/>
  <c r="N457" i="8"/>
  <c r="N487" i="8"/>
  <c r="N525" i="8"/>
  <c r="N466" i="8"/>
  <c r="N387" i="8"/>
  <c r="N514" i="8"/>
  <c r="N518" i="8"/>
  <c r="N484" i="8"/>
  <c r="N501" i="8"/>
  <c r="N465" i="8"/>
  <c r="N376" i="8"/>
  <c r="N524" i="8"/>
  <c r="N527" i="8"/>
  <c r="N490" i="8"/>
  <c r="N481" i="8"/>
  <c r="N511" i="8"/>
  <c r="N520" i="8"/>
  <c r="N464" i="8"/>
  <c r="N531" i="8"/>
  <c r="N507" i="8"/>
  <c r="N377" i="8"/>
  <c r="N505" i="8"/>
  <c r="M713" i="6"/>
  <c r="J17" i="58"/>
  <c r="N483" i="8"/>
  <c r="N480" i="8"/>
  <c r="N463" i="8"/>
  <c r="N378" i="8"/>
  <c r="N489" i="8"/>
  <c r="N516" i="8"/>
  <c r="N397" i="8"/>
  <c r="N485" i="8"/>
  <c r="N534" i="8"/>
  <c r="N467" i="8"/>
  <c r="N384" i="8"/>
  <c r="N533" i="8"/>
  <c r="N519" i="8"/>
  <c r="N526" i="8"/>
  <c r="N386" i="8"/>
  <c r="N517" i="8"/>
  <c r="I21" i="58"/>
  <c r="L141" i="3"/>
  <c r="N1109" i="6"/>
  <c r="N1047" i="6"/>
  <c r="N1535" i="6"/>
  <c r="N1556" i="6"/>
  <c r="N1404" i="6"/>
  <c r="N1544" i="6"/>
  <c r="N1309" i="6"/>
  <c r="N1325" i="6"/>
  <c r="N1542" i="6"/>
  <c r="N1306" i="6"/>
  <c r="N1052" i="6"/>
  <c r="N1554" i="6"/>
  <c r="N1055" i="6"/>
  <c r="N263" i="6" s="1"/>
  <c r="N1534" i="6"/>
  <c r="N1532" i="6"/>
  <c r="M445" i="6"/>
  <c r="N1113" i="6"/>
  <c r="N1551" i="6"/>
  <c r="N1112" i="6"/>
  <c r="N1546" i="6"/>
  <c r="N1397" i="6"/>
  <c r="N1537" i="6"/>
  <c r="N1302" i="6"/>
  <c r="N1319" i="6"/>
  <c r="N1108" i="6"/>
  <c r="N1543" i="6"/>
  <c r="N393" i="4"/>
  <c r="N1549" i="6"/>
  <c r="N431" i="4"/>
  <c r="N1058" i="6"/>
  <c r="N1107" i="6"/>
  <c r="N1038" i="6"/>
  <c r="N1046" i="6"/>
  <c r="N1402" i="6"/>
  <c r="N1048" i="6"/>
  <c r="N1037" i="6"/>
  <c r="N1045" i="6"/>
  <c r="M261" i="6"/>
  <c r="N1539" i="6"/>
  <c r="N1553" i="6"/>
  <c r="N1323" i="6"/>
  <c r="N1400" i="6"/>
  <c r="N1307" i="6"/>
  <c r="N1114" i="6"/>
  <c r="N430" i="4"/>
  <c r="N1424" i="6"/>
  <c r="N1545" i="6"/>
  <c r="N1117" i="6"/>
  <c r="N396" i="4"/>
  <c r="N511" i="7"/>
  <c r="N1042" i="6"/>
  <c r="N428" i="4"/>
  <c r="N1116" i="6"/>
  <c r="N1040" i="6"/>
  <c r="N1541" i="6"/>
  <c r="N1322" i="6"/>
  <c r="M428" i="6"/>
  <c r="N1105" i="6"/>
  <c r="N1053" i="6"/>
  <c r="N1326" i="6"/>
  <c r="N431" i="6" s="1"/>
  <c r="N1057" i="6"/>
  <c r="N1305" i="6"/>
  <c r="N432" i="4"/>
  <c r="N1313" i="6"/>
  <c r="N1547" i="6"/>
  <c r="N1039" i="6"/>
  <c r="N1311" i="6"/>
  <c r="N462" i="4"/>
  <c r="N1536" i="6"/>
  <c r="N1059" i="6"/>
  <c r="N1115" i="6"/>
  <c r="N1106" i="6"/>
  <c r="N1314" i="6"/>
  <c r="N1041" i="6"/>
  <c r="N1324" i="6"/>
  <c r="N429" i="6" s="1"/>
  <c r="N1555" i="6"/>
  <c r="N1304" i="6"/>
  <c r="N1550" i="6"/>
  <c r="N1043" i="6"/>
  <c r="N1396" i="6"/>
  <c r="M439" i="6"/>
  <c r="N1315" i="6"/>
  <c r="N1316" i="6"/>
  <c r="N1118" i="6"/>
  <c r="N1111" i="6"/>
  <c r="M322" i="6"/>
  <c r="N1308" i="6"/>
  <c r="N1303" i="6"/>
  <c r="N1540" i="6"/>
  <c r="N1398" i="6"/>
  <c r="N1399" i="6"/>
  <c r="N1403" i="6"/>
  <c r="N1124" i="6"/>
  <c r="N395" i="4"/>
  <c r="N1552" i="6"/>
  <c r="N1533" i="6"/>
  <c r="N1548" i="6"/>
  <c r="N1123" i="6"/>
  <c r="N1312" i="6"/>
  <c r="N427" i="4"/>
  <c r="N1538" i="6"/>
  <c r="N1405" i="6"/>
  <c r="N1310" i="6"/>
  <c r="C10" i="8"/>
  <c r="M129" i="8"/>
  <c r="L663" i="4"/>
  <c r="L206" i="4" s="1"/>
  <c r="I101" i="42"/>
  <c r="G30" i="4"/>
  <c r="H30" i="4" s="1"/>
  <c r="N574" i="4"/>
  <c r="N566" i="4"/>
  <c r="N1869" i="6"/>
  <c r="N515" i="4"/>
  <c r="N528" i="4"/>
  <c r="S60" i="37"/>
  <c r="N294" i="5"/>
  <c r="O294" i="5" s="1"/>
  <c r="N1144" i="7"/>
  <c r="N840" i="7"/>
  <c r="N852" i="7"/>
  <c r="N318" i="7" s="1"/>
  <c r="N282" i="8"/>
  <c r="N677" i="4"/>
  <c r="N978" i="7"/>
  <c r="N1988" i="6"/>
  <c r="N803" i="7"/>
  <c r="N1148" i="7"/>
  <c r="N1140" i="7"/>
  <c r="N221" i="5"/>
  <c r="N1875" i="6"/>
  <c r="N792" i="6"/>
  <c r="N364" i="5"/>
  <c r="N645" i="4"/>
  <c r="N535" i="4"/>
  <c r="N34" i="27"/>
  <c r="N750" i="4"/>
  <c r="N228" i="4" s="1"/>
  <c r="L348" i="7"/>
  <c r="Q114" i="10"/>
  <c r="S114" i="10" s="1"/>
  <c r="J103" i="3" s="1"/>
  <c r="N308" i="8"/>
  <c r="N408" i="8"/>
  <c r="N725" i="7"/>
  <c r="N552" i="4"/>
  <c r="N303" i="8"/>
  <c r="V53" i="10"/>
  <c r="U29" i="11" s="1"/>
  <c r="V29" i="11" s="1"/>
  <c r="W29" i="11" s="1"/>
  <c r="M765" i="7"/>
  <c r="M274" i="7" s="1"/>
  <c r="O92" i="10"/>
  <c r="P92" i="10" s="1"/>
  <c r="P59" i="10"/>
  <c r="N751" i="7"/>
  <c r="N437" i="8"/>
  <c r="N872" i="4"/>
  <c r="N752" i="7"/>
  <c r="N262" i="7" s="1"/>
  <c r="N273" i="8"/>
  <c r="N551" i="4"/>
  <c r="N307" i="8"/>
  <c r="N309" i="8"/>
  <c r="N740" i="7"/>
  <c r="N1796" i="6"/>
  <c r="N625" i="4"/>
  <c r="T217" i="10"/>
  <c r="M663" i="4" s="1"/>
  <c r="M206" i="4" s="1"/>
  <c r="N627" i="4"/>
  <c r="N556" i="4"/>
  <c r="N301" i="8"/>
  <c r="M90" i="7"/>
  <c r="N500" i="7"/>
  <c r="M132" i="8"/>
  <c r="N538" i="4"/>
  <c r="N1824" i="6"/>
  <c r="N494" i="4"/>
  <c r="M108" i="4"/>
  <c r="N548" i="4"/>
  <c r="M118" i="4"/>
  <c r="N1387" i="6"/>
  <c r="R58" i="10"/>
  <c r="S58" i="10" s="1"/>
  <c r="J215" i="9"/>
  <c r="J734" i="34"/>
  <c r="R59" i="10"/>
  <c r="J247" i="15"/>
  <c r="J269" i="15" s="1"/>
  <c r="M126" i="8"/>
  <c r="K745" i="34"/>
  <c r="N1159" i="6"/>
  <c r="N191" i="8"/>
  <c r="M130" i="8"/>
  <c r="N371" i="5"/>
  <c r="N554" i="4"/>
  <c r="N826" i="6"/>
  <c r="N1519" i="6"/>
  <c r="N562" i="7"/>
  <c r="N1797" i="6"/>
  <c r="N1923" i="6"/>
  <c r="N558" i="4"/>
  <c r="N695" i="4"/>
  <c r="N438" i="8"/>
  <c r="N1097" i="6"/>
  <c r="N456" i="4"/>
  <c r="N388" i="4"/>
  <c r="N496" i="4"/>
  <c r="N384" i="4"/>
  <c r="N1095" i="6"/>
  <c r="M313" i="6"/>
  <c r="N1881" i="6"/>
  <c r="N275" i="8"/>
  <c r="N385" i="4"/>
  <c r="N757" i="6"/>
  <c r="N549" i="4"/>
  <c r="N491" i="4"/>
  <c r="N825" i="7"/>
  <c r="O825" i="7" s="1"/>
  <c r="N254" i="8"/>
  <c r="N1590" i="6"/>
  <c r="N913" i="4"/>
  <c r="N1744" i="6"/>
  <c r="M595" i="6"/>
  <c r="N1732" i="6"/>
  <c r="N590" i="6" s="1"/>
  <c r="S60" i="10"/>
  <c r="N1131" i="7"/>
  <c r="N641" i="4"/>
  <c r="N304" i="8"/>
  <c r="N272" i="8"/>
  <c r="N207" i="8"/>
  <c r="N1249" i="6"/>
  <c r="N241" i="8"/>
  <c r="N553" i="4"/>
  <c r="N1050" i="6"/>
  <c r="N265" i="6" s="1"/>
  <c r="N561" i="7"/>
  <c r="P58" i="10"/>
  <c r="N1713" i="6"/>
  <c r="N555" i="4"/>
  <c r="N1822" i="6"/>
  <c r="N1388" i="6"/>
  <c r="N786" i="7"/>
  <c r="N293" i="7" s="1"/>
  <c r="N1283" i="6"/>
  <c r="N1786" i="6"/>
  <c r="N710" i="4"/>
  <c r="N557" i="4"/>
  <c r="N461" i="4"/>
  <c r="N387" i="4"/>
  <c r="N432" i="8"/>
  <c r="N386" i="4"/>
  <c r="N302" i="8"/>
  <c r="N550" i="4"/>
  <c r="N1136" i="7"/>
  <c r="N378" i="5"/>
  <c r="M141" i="5"/>
  <c r="K226" i="3"/>
  <c r="N585" i="4"/>
  <c r="N274" i="8"/>
  <c r="N1785" i="6"/>
  <c r="M91" i="7"/>
  <c r="N501" i="7"/>
  <c r="N716" i="4"/>
  <c r="N965" i="7"/>
  <c r="N379" i="5"/>
  <c r="N142" i="5" s="1"/>
  <c r="N709" i="4"/>
  <c r="C13" i="15"/>
  <c r="E290" i="34" s="1"/>
  <c r="E306" i="34"/>
  <c r="L724" i="6"/>
  <c r="L632" i="6"/>
  <c r="Q234" i="10"/>
  <c r="S234" i="10" s="1"/>
  <c r="R152" i="11" s="1"/>
  <c r="S152" i="11" s="1"/>
  <c r="T152" i="11" s="1"/>
  <c r="K220" i="10"/>
  <c r="M220" i="10" s="1"/>
  <c r="L139" i="11" s="1"/>
  <c r="J2027" i="6"/>
  <c r="O238" i="10"/>
  <c r="N121" i="13"/>
  <c r="M898" i="7"/>
  <c r="M348" i="7" s="1"/>
  <c r="M1592" i="6"/>
  <c r="M488" i="6" s="1"/>
  <c r="X12" i="42" s="1"/>
  <c r="G384" i="6"/>
  <c r="H384" i="6" s="1"/>
  <c r="G2061" i="6"/>
  <c r="M1278" i="6"/>
  <c r="AB20" i="42"/>
  <c r="I21" i="40"/>
  <c r="I100" i="40" s="1"/>
  <c r="W40" i="42" s="1"/>
  <c r="AK21" i="42"/>
  <c r="J741" i="34"/>
  <c r="J743" i="34" s="1"/>
  <c r="F155" i="15"/>
  <c r="K114" i="3"/>
  <c r="A7" i="16"/>
  <c r="I7" i="48"/>
  <c r="M1282" i="6"/>
  <c r="M407" i="6" s="1"/>
  <c r="S22" i="42"/>
  <c r="E46" i="15" s="1"/>
  <c r="F46" i="15" s="1"/>
  <c r="L43" i="55"/>
  <c r="M40" i="55" s="1"/>
  <c r="M293" i="7"/>
  <c r="L293" i="7"/>
  <c r="G212" i="48"/>
  <c r="N502" i="7"/>
  <c r="M92" i="7"/>
  <c r="H794" i="34"/>
  <c r="H800" i="34" s="1"/>
  <c r="H824" i="34"/>
  <c r="C121" i="3"/>
  <c r="K142" i="3"/>
  <c r="L301" i="7"/>
  <c r="M798" i="7"/>
  <c r="R22" i="26" s="1"/>
  <c r="N988" i="6"/>
  <c r="N208" i="6" s="1"/>
  <c r="N245" i="5"/>
  <c r="K112" i="3"/>
  <c r="J506" i="5"/>
  <c r="J509" i="5" s="1"/>
  <c r="I114" i="5"/>
  <c r="K774" i="34"/>
  <c r="M333" i="4"/>
  <c r="M925" i="4"/>
  <c r="M349" i="4" s="1"/>
  <c r="B147" i="3"/>
  <c r="G694" i="34"/>
  <c r="G203" i="34" s="1"/>
  <c r="G204" i="34" s="1"/>
  <c r="K37" i="4"/>
  <c r="H105" i="13" s="1"/>
  <c r="I8" i="3"/>
  <c r="L877" i="6"/>
  <c r="M131" i="7"/>
  <c r="L53" i="11"/>
  <c r="M53" i="11" s="1"/>
  <c r="N53" i="11" s="1"/>
  <c r="K295" i="7"/>
  <c r="K12" i="7" s="1"/>
  <c r="M565" i="7"/>
  <c r="M128" i="7" s="1"/>
  <c r="M259" i="7"/>
  <c r="J776" i="34"/>
  <c r="K111" i="3"/>
  <c r="P1023" i="6"/>
  <c r="L91" i="6"/>
  <c r="J113" i="3"/>
  <c r="M145" i="3"/>
  <c r="O249" i="6"/>
  <c r="BE117" i="9" s="1"/>
  <c r="P1833" i="6"/>
  <c r="P2010" i="6" s="1"/>
  <c r="H195" i="8"/>
  <c r="E275" i="15"/>
  <c r="E280" i="15" s="1"/>
  <c r="I195" i="8" s="1"/>
  <c r="B1008" i="4"/>
  <c r="B1011" i="4" s="1"/>
  <c r="A48" i="3"/>
  <c r="E56" i="13"/>
  <c r="F146" i="3" s="1"/>
  <c r="C48" i="3"/>
  <c r="G1080" i="6"/>
  <c r="G290" i="6" s="1"/>
  <c r="G65" i="6" s="1"/>
  <c r="F69" i="3" s="1"/>
  <c r="G63" i="3"/>
  <c r="G64" i="3" s="1"/>
  <c r="G144" i="3"/>
  <c r="G147" i="3" s="1"/>
  <c r="H114" i="5"/>
  <c r="C206" i="42"/>
  <c r="D206" i="42" s="1"/>
  <c r="AL209" i="9"/>
  <c r="AL211" i="9" s="1"/>
  <c r="K61" i="14"/>
  <c r="G1181" i="7" s="1"/>
  <c r="G464" i="7" s="1"/>
  <c r="G51" i="7" s="1"/>
  <c r="F21" i="3" s="1"/>
  <c r="I61" i="14"/>
  <c r="D1181" i="7" s="1"/>
  <c r="D464" i="7" s="1"/>
  <c r="D51" i="7" s="1"/>
  <c r="C21" i="3" s="1"/>
  <c r="L61" i="14"/>
  <c r="G1165" i="7" s="1"/>
  <c r="G448" i="7" s="1"/>
  <c r="F557" i="34"/>
  <c r="M60" i="8"/>
  <c r="K177" i="9"/>
  <c r="M1373" i="6" s="1"/>
  <c r="CQ177" i="9"/>
  <c r="L7" i="37"/>
  <c r="AU50" i="37" s="1"/>
  <c r="AU16" i="37" s="1"/>
  <c r="K1183" i="7"/>
  <c r="K466" i="7" s="1"/>
  <c r="AN65" i="9"/>
  <c r="CP134" i="9"/>
  <c r="AO134" i="9"/>
  <c r="AQ134" i="9"/>
  <c r="AQ138" i="9" s="1"/>
  <c r="J134" i="9"/>
  <c r="J138" i="9" s="1"/>
  <c r="L1080" i="6" s="1"/>
  <c r="L291" i="7"/>
  <c r="M782" i="7"/>
  <c r="M209" i="3"/>
  <c r="D470" i="5"/>
  <c r="D483" i="5" s="1"/>
  <c r="D487" i="5" s="1"/>
  <c r="C20" i="13"/>
  <c r="C23" i="13" s="1"/>
  <c r="I138" i="9"/>
  <c r="K1080" i="6" s="1"/>
  <c r="P39" i="37"/>
  <c r="Z119" i="9"/>
  <c r="Z138" i="9" s="1"/>
  <c r="Y138" i="9"/>
  <c r="Y346" i="9" s="1"/>
  <c r="L235" i="3"/>
  <c r="AZ138" i="9"/>
  <c r="N1079" i="6" s="1"/>
  <c r="K29" i="9"/>
  <c r="M768" i="7" s="1"/>
  <c r="F204" i="3"/>
  <c r="E75" i="13"/>
  <c r="L289" i="6"/>
  <c r="F208" i="3"/>
  <c r="F210" i="3" s="1"/>
  <c r="F306" i="34"/>
  <c r="B238" i="42"/>
  <c r="K165" i="45"/>
  <c r="K169" i="45" s="1"/>
  <c r="K170" i="45" s="1"/>
  <c r="K171" i="45" s="1"/>
  <c r="M1279" i="6"/>
  <c r="M405" i="6" s="1"/>
  <c r="L654" i="6"/>
  <c r="M410" i="6"/>
  <c r="M898" i="6"/>
  <c r="N898" i="6" s="1"/>
  <c r="V21" i="42"/>
  <c r="I54" i="15" s="1"/>
  <c r="G2038" i="6"/>
  <c r="G234" i="6"/>
  <c r="L579" i="6"/>
  <c r="L15" i="6" s="1"/>
  <c r="F305" i="15"/>
  <c r="M149" i="6"/>
  <c r="H39" i="6"/>
  <c r="D2040" i="6"/>
  <c r="H345" i="6"/>
  <c r="D2037" i="6"/>
  <c r="H169" i="6"/>
  <c r="J104" i="48"/>
  <c r="H25" i="6"/>
  <c r="H43" i="6"/>
  <c r="H277" i="6"/>
  <c r="F139" i="11"/>
  <c r="G1504" i="6"/>
  <c r="G1266" i="6"/>
  <c r="H1266" i="6" s="1"/>
  <c r="I21" i="5"/>
  <c r="I68" i="5"/>
  <c r="I465" i="5" s="1"/>
  <c r="M784" i="7"/>
  <c r="M292" i="7" s="1"/>
  <c r="G1192" i="7"/>
  <c r="G109" i="7"/>
  <c r="E194" i="15"/>
  <c r="F194" i="15" s="1"/>
  <c r="S34" i="42"/>
  <c r="E34" i="42" s="1"/>
  <c r="F22" i="42"/>
  <c r="P131" i="42"/>
  <c r="F209" i="9"/>
  <c r="G481" i="5"/>
  <c r="H481" i="5" s="1"/>
  <c r="G468" i="5"/>
  <c r="H468" i="5" s="1"/>
  <c r="G210" i="5"/>
  <c r="G511" i="5"/>
  <c r="H511" i="5" s="1"/>
  <c r="I64" i="14"/>
  <c r="C485" i="34"/>
  <c r="F44" i="15"/>
  <c r="E162" i="15"/>
  <c r="F162" i="15" s="1"/>
  <c r="E19" i="13"/>
  <c r="G163" i="5"/>
  <c r="G467" i="5"/>
  <c r="H467" i="5" s="1"/>
  <c r="G23" i="4"/>
  <c r="L101" i="42"/>
  <c r="L98" i="42"/>
  <c r="M98" i="42" s="1"/>
  <c r="G316" i="4"/>
  <c r="H316" i="4" s="1"/>
  <c r="O213" i="15"/>
  <c r="O136" i="15"/>
  <c r="CF121" i="22"/>
  <c r="I698" i="34" s="1"/>
  <c r="AJ45" i="42"/>
  <c r="AJ47" i="42" s="1"/>
  <c r="AJ54" i="42" s="1"/>
  <c r="AP44" i="42"/>
  <c r="J50" i="20"/>
  <c r="I102" i="20"/>
  <c r="G201" i="3" s="1"/>
  <c r="M7" i="9"/>
  <c r="N7" i="9" s="1"/>
  <c r="O7" i="9" s="1"/>
  <c r="P7" i="9" s="1"/>
  <c r="M174" i="9"/>
  <c r="N174" i="9" s="1"/>
  <c r="O174" i="9" s="1"/>
  <c r="P174" i="9" s="1"/>
  <c r="M111" i="9"/>
  <c r="N111" i="9" s="1"/>
  <c r="O111" i="9" s="1"/>
  <c r="P111" i="9" s="1"/>
  <c r="M112" i="9"/>
  <c r="N112" i="9" s="1"/>
  <c r="O112" i="9" s="1"/>
  <c r="P112" i="9" s="1"/>
  <c r="M186" i="9"/>
  <c r="N186" i="9" s="1"/>
  <c r="O186" i="9" s="1"/>
  <c r="P186" i="9" s="1"/>
  <c r="M54" i="9"/>
  <c r="N54" i="9" s="1"/>
  <c r="O54" i="9" s="1"/>
  <c r="P54" i="9" s="1"/>
  <c r="N415" i="8"/>
  <c r="N1795" i="6"/>
  <c r="N902" i="7"/>
  <c r="AB8" i="54"/>
  <c r="N885" i="7"/>
  <c r="W59" i="10" s="1"/>
  <c r="N881" i="7"/>
  <c r="N217" i="8"/>
  <c r="N1880" i="6"/>
  <c r="AA11" i="54"/>
  <c r="AA18" i="54" s="1"/>
  <c r="AA20" i="54" s="1"/>
  <c r="AB5" i="54"/>
  <c r="N878" i="7"/>
  <c r="N880" i="7"/>
  <c r="N882" i="7"/>
  <c r="Q627" i="6"/>
  <c r="N1814" i="6"/>
  <c r="N229" i="5"/>
  <c r="N903" i="6"/>
  <c r="M148" i="6"/>
  <c r="G59" i="34"/>
  <c r="B100" i="16"/>
  <c r="G557" i="34"/>
  <c r="C47" i="42"/>
  <c r="L405" i="7"/>
  <c r="L54" i="7" s="1"/>
  <c r="J59" i="3" s="1"/>
  <c r="T92" i="10"/>
  <c r="G46" i="15"/>
  <c r="G15" i="15" s="1"/>
  <c r="J111" i="1"/>
  <c r="J114" i="1" s="1"/>
  <c r="J116" i="1" s="1"/>
  <c r="G24" i="15"/>
  <c r="N105" i="1"/>
  <c r="O98" i="1"/>
  <c r="N715" i="4"/>
  <c r="N846" i="6"/>
  <c r="N908" i="6"/>
  <c r="L742" i="34"/>
  <c r="N1444" i="6"/>
  <c r="N966" i="7"/>
  <c r="N1442" i="6"/>
  <c r="N334" i="8"/>
  <c r="N1422" i="6"/>
  <c r="N1416" i="6"/>
  <c r="N627" i="7"/>
  <c r="M179" i="7"/>
  <c r="M182" i="7" s="1"/>
  <c r="M42" i="7" s="1"/>
  <c r="K66" i="13" s="1"/>
  <c r="M630" i="7"/>
  <c r="M1222" i="7" s="1"/>
  <c r="BD117" i="9"/>
  <c r="CS117" i="9"/>
  <c r="M124" i="1"/>
  <c r="N1439" i="6"/>
  <c r="N1673" i="6"/>
  <c r="N1445" i="6"/>
  <c r="R136" i="11"/>
  <c r="S136" i="11" s="1"/>
  <c r="T136" i="11" s="1"/>
  <c r="I137" i="15"/>
  <c r="I161" i="15" s="1"/>
  <c r="I216" i="15"/>
  <c r="N1240" i="6"/>
  <c r="N190" i="8"/>
  <c r="N1417" i="6"/>
  <c r="M920" i="7"/>
  <c r="L367" i="7"/>
  <c r="L738" i="34"/>
  <c r="N1386" i="6"/>
  <c r="N1719" i="6"/>
  <c r="M577" i="6"/>
  <c r="M604" i="6" s="1"/>
  <c r="M2074" i="6" s="1"/>
  <c r="M53" i="6" s="1"/>
  <c r="M1754" i="6"/>
  <c r="N1419" i="6"/>
  <c r="N1421" i="6"/>
  <c r="N1353" i="6"/>
  <c r="P1028" i="6"/>
  <c r="M117" i="9"/>
  <c r="N1414" i="6"/>
  <c r="L746" i="34"/>
  <c r="K750" i="34"/>
  <c r="N844" i="6"/>
  <c r="M417" i="6"/>
  <c r="L72" i="34"/>
  <c r="N847" i="6"/>
  <c r="N1160" i="6"/>
  <c r="M126" i="1"/>
  <c r="N1440" i="6"/>
  <c r="N1413" i="6"/>
  <c r="N297" i="8"/>
  <c r="N850" i="6"/>
  <c r="N438" i="4"/>
  <c r="N74" i="4" s="1"/>
  <c r="N531" i="4"/>
  <c r="N296" i="8"/>
  <c r="N1420" i="6"/>
  <c r="M128" i="1"/>
  <c r="N849" i="6"/>
  <c r="N1418" i="6"/>
  <c r="N1415" i="6"/>
  <c r="X31" i="42"/>
  <c r="J31" i="42" s="1"/>
  <c r="J122" i="13"/>
  <c r="K214" i="15"/>
  <c r="K159" i="15" s="1"/>
  <c r="M127" i="1"/>
  <c r="N422" i="4"/>
  <c r="N236" i="8"/>
  <c r="N328" i="8"/>
  <c r="I65" i="13"/>
  <c r="J192" i="15"/>
  <c r="W30" i="42"/>
  <c r="I30" i="42" s="1"/>
  <c r="N327" i="8"/>
  <c r="N455" i="4"/>
  <c r="N1441" i="6"/>
  <c r="N1412" i="6"/>
  <c r="N917" i="6"/>
  <c r="N926" i="6"/>
  <c r="N1443" i="6"/>
  <c r="N460" i="4"/>
  <c r="N848" i="6"/>
  <c r="N490" i="4"/>
  <c r="M107" i="4"/>
  <c r="N914" i="6"/>
  <c r="N845" i="6"/>
  <c r="N937" i="7"/>
  <c r="M1002" i="7"/>
  <c r="M1225" i="7" s="1"/>
  <c r="M373" i="7"/>
  <c r="M397" i="7" s="1"/>
  <c r="M43" i="7" s="1"/>
  <c r="J13" i="13" s="1"/>
  <c r="J49" i="13" s="1"/>
  <c r="M125" i="1"/>
  <c r="D783" i="34"/>
  <c r="D784" i="34" s="1"/>
  <c r="J747" i="34"/>
  <c r="I40" i="6"/>
  <c r="G30" i="5"/>
  <c r="C252" i="3"/>
  <c r="E588" i="34"/>
  <c r="E239" i="34" s="1"/>
  <c r="I117" i="15"/>
  <c r="I108" i="15"/>
  <c r="N1329" i="6"/>
  <c r="M432" i="6"/>
  <c r="T34" i="42"/>
  <c r="F34" i="42" s="1"/>
  <c r="I2059" i="6"/>
  <c r="F586" i="34"/>
  <c r="F252" i="3" s="1"/>
  <c r="K146" i="9"/>
  <c r="AY146" i="9" s="1"/>
  <c r="L1146" i="6"/>
  <c r="L354" i="6" s="1"/>
  <c r="M366" i="7"/>
  <c r="F69" i="13"/>
  <c r="A1227" i="7"/>
  <c r="H692" i="34"/>
  <c r="H694" i="34" s="1"/>
  <c r="H203" i="34" s="1"/>
  <c r="CD69" i="21"/>
  <c r="I692" i="34"/>
  <c r="CE69" i="21"/>
  <c r="H320" i="34"/>
  <c r="G288" i="34"/>
  <c r="G351" i="34" s="1"/>
  <c r="G553" i="34"/>
  <c r="G377" i="34"/>
  <c r="F288" i="34"/>
  <c r="F351" i="34" s="1"/>
  <c r="F553" i="34"/>
  <c r="F377" i="34"/>
  <c r="H293" i="34"/>
  <c r="H525" i="34" s="1"/>
  <c r="H557" i="34"/>
  <c r="D306" i="34"/>
  <c r="D366" i="34" s="1"/>
  <c r="D485" i="34" s="1"/>
  <c r="G598" i="34"/>
  <c r="G600" i="34" s="1"/>
  <c r="G241" i="34" s="1"/>
  <c r="B13" i="15"/>
  <c r="AJ8" i="42"/>
  <c r="I71" i="15" s="1"/>
  <c r="M924" i="4"/>
  <c r="M348" i="4" s="1"/>
  <c r="I77" i="15"/>
  <c r="M278" i="6"/>
  <c r="J52" i="6"/>
  <c r="G104" i="13" s="1"/>
  <c r="L2075" i="6"/>
  <c r="M2075" i="6"/>
  <c r="M144" i="6"/>
  <c r="K731" i="34"/>
  <c r="J723" i="34"/>
  <c r="M152" i="6"/>
  <c r="J767" i="34"/>
  <c r="L1221" i="7"/>
  <c r="J5" i="3" s="1"/>
  <c r="H68" i="13"/>
  <c r="H124" i="13" s="1"/>
  <c r="H14" i="13"/>
  <c r="G51" i="13"/>
  <c r="G69" i="13" s="1"/>
  <c r="L395" i="7"/>
  <c r="L41" i="7" s="1"/>
  <c r="I12" i="13" s="1"/>
  <c r="H23" i="15"/>
  <c r="A57" i="7"/>
  <c r="J642" i="7"/>
  <c r="AL12" i="42"/>
  <c r="M48" i="8"/>
  <c r="L148" i="8"/>
  <c r="J25" i="17"/>
  <c r="J10" i="17" s="1"/>
  <c r="L548" i="8"/>
  <c r="J27" i="17"/>
  <c r="J12" i="17" s="1"/>
  <c r="J296" i="15" s="1"/>
  <c r="N440" i="8"/>
  <c r="AZ21" i="42"/>
  <c r="K116" i="15" s="1"/>
  <c r="J245" i="15"/>
  <c r="I318" i="15"/>
  <c r="N22" i="20"/>
  <c r="P22" i="20"/>
  <c r="D281" i="6"/>
  <c r="L44" i="8"/>
  <c r="H379" i="34"/>
  <c r="H497" i="34" s="1"/>
  <c r="H687" i="34"/>
  <c r="H681" i="34" s="1"/>
  <c r="N1026" i="6"/>
  <c r="N248" i="6" s="1"/>
  <c r="I737" i="34"/>
  <c r="I739" i="34" s="1"/>
  <c r="I215" i="34" s="1"/>
  <c r="K404" i="4"/>
  <c r="I9" i="12" s="1"/>
  <c r="K2073" i="6"/>
  <c r="I7" i="3" s="1"/>
  <c r="K769" i="34"/>
  <c r="K724" i="34"/>
  <c r="K728" i="34"/>
  <c r="I793" i="34"/>
  <c r="I799" i="34" s="1"/>
  <c r="I813" i="34"/>
  <c r="I258" i="3" s="1"/>
  <c r="D2059" i="6"/>
  <c r="M123" i="8"/>
  <c r="K2076" i="6"/>
  <c r="D32" i="5"/>
  <c r="D43" i="5" s="1"/>
  <c r="G32" i="8"/>
  <c r="I43" i="6"/>
  <c r="K177" i="6"/>
  <c r="K64" i="6" s="1"/>
  <c r="I61" i="3" s="1"/>
  <c r="L24" i="12"/>
  <c r="L63" i="12" s="1"/>
  <c r="N930" i="4"/>
  <c r="N354" i="4" s="1"/>
  <c r="L21" i="12"/>
  <c r="L22" i="12"/>
  <c r="N322" i="8"/>
  <c r="M67" i="8"/>
  <c r="N330" i="8"/>
  <c r="N441" i="8"/>
  <c r="M430" i="6"/>
  <c r="M64" i="8"/>
  <c r="L23" i="12"/>
  <c r="N454" i="4"/>
  <c r="N439" i="8"/>
  <c r="M41" i="55"/>
  <c r="N424" i="4"/>
  <c r="L20" i="12"/>
  <c r="N876" i="4"/>
  <c r="N430" i="8"/>
  <c r="L26" i="12"/>
  <c r="N337" i="8"/>
  <c r="AJ68" i="21"/>
  <c r="I76" i="21" s="1"/>
  <c r="I78" i="21" s="1"/>
  <c r="J97" i="3" s="1"/>
  <c r="M300" i="8"/>
  <c r="M63" i="8" s="1"/>
  <c r="M118" i="8"/>
  <c r="M216" i="8"/>
  <c r="M131" i="8"/>
  <c r="M119" i="8"/>
  <c r="M127" i="8"/>
  <c r="M122" i="8"/>
  <c r="M120" i="8"/>
  <c r="B604" i="8"/>
  <c r="B606" i="8" s="1"/>
  <c r="M312" i="8"/>
  <c r="M65" i="8" s="1"/>
  <c r="M58" i="8"/>
  <c r="B86" i="8"/>
  <c r="B566" i="8" s="1"/>
  <c r="B576" i="8"/>
  <c r="L66" i="8"/>
  <c r="D566" i="34"/>
  <c r="K431" i="45"/>
  <c r="K432" i="45" s="1"/>
  <c r="K433" i="45" s="1"/>
  <c r="H125" i="22"/>
  <c r="AF209" i="9"/>
  <c r="AF211" i="9" s="1"/>
  <c r="D389" i="34"/>
  <c r="D506" i="34" s="1"/>
  <c r="G125" i="22"/>
  <c r="G132" i="22" s="1"/>
  <c r="AH3" i="22"/>
  <c r="AK3" i="21"/>
  <c r="AD78" i="22"/>
  <c r="AD121" i="22" s="1"/>
  <c r="F17" i="17"/>
  <c r="K772" i="34"/>
  <c r="J772" i="34"/>
  <c r="M640" i="4"/>
  <c r="M187" i="4" s="1"/>
  <c r="AK81" i="9"/>
  <c r="I233" i="3" s="1"/>
  <c r="H100" i="40"/>
  <c r="V40" i="42" s="1"/>
  <c r="J770" i="34"/>
  <c r="G4" i="12"/>
  <c r="J399" i="4" s="1"/>
  <c r="M392" i="4"/>
  <c r="M59" i="4" s="1"/>
  <c r="H233" i="3"/>
  <c r="M110" i="42"/>
  <c r="N532" i="4"/>
  <c r="N1160" i="7"/>
  <c r="N1132" i="7"/>
  <c r="N1114" i="7"/>
  <c r="N891" i="6"/>
  <c r="N904" i="6"/>
  <c r="M1113" i="7"/>
  <c r="K735" i="34" s="1"/>
  <c r="N1616" i="6"/>
  <c r="N888" i="6"/>
  <c r="N890" i="6"/>
  <c r="N680" i="7"/>
  <c r="N1129" i="7"/>
  <c r="K745" i="6"/>
  <c r="I42" i="6"/>
  <c r="G101" i="14"/>
  <c r="R117" i="42"/>
  <c r="J55" i="6"/>
  <c r="U22" i="42" s="1"/>
  <c r="D115" i="34"/>
  <c r="I166" i="6"/>
  <c r="I169" i="6" s="1"/>
  <c r="Q114" i="42"/>
  <c r="R114" i="42" s="1"/>
  <c r="F201" i="14"/>
  <c r="R108" i="42"/>
  <c r="R106" i="42"/>
  <c r="P110" i="42"/>
  <c r="R110" i="42" s="1"/>
  <c r="G97" i="42"/>
  <c r="R102" i="42"/>
  <c r="M1023" i="7"/>
  <c r="I36" i="7"/>
  <c r="R133" i="42"/>
  <c r="M599" i="7"/>
  <c r="G194" i="7"/>
  <c r="G1195" i="7"/>
  <c r="P130" i="42"/>
  <c r="R130" i="42" s="1"/>
  <c r="L289" i="7"/>
  <c r="M352" i="7"/>
  <c r="L57" i="8"/>
  <c r="K857" i="7"/>
  <c r="K859" i="7" s="1"/>
  <c r="K868" i="7" s="1"/>
  <c r="M780" i="7"/>
  <c r="L788" i="7"/>
  <c r="I1211" i="7"/>
  <c r="I10" i="7"/>
  <c r="J771" i="34"/>
  <c r="N864" i="4"/>
  <c r="N905" i="7"/>
  <c r="N523" i="4"/>
  <c r="N1791" i="6"/>
  <c r="V7" i="42"/>
  <c r="I39" i="15" s="1"/>
  <c r="N814" i="4"/>
  <c r="K716" i="34"/>
  <c r="N904" i="7"/>
  <c r="N1667" i="6"/>
  <c r="N1810" i="6"/>
  <c r="N866" i="4"/>
  <c r="N815" i="4"/>
  <c r="H316" i="15"/>
  <c r="N519" i="4"/>
  <c r="M116" i="4"/>
  <c r="S9" i="11"/>
  <c r="T9" i="11" s="1"/>
  <c r="L153" i="4"/>
  <c r="M72" i="4"/>
  <c r="H749" i="34"/>
  <c r="H751" i="34" s="1"/>
  <c r="A32" i="20"/>
  <c r="J773" i="34"/>
  <c r="M870" i="4"/>
  <c r="M331" i="4" s="1"/>
  <c r="N340" i="5"/>
  <c r="N564" i="4"/>
  <c r="N901" i="7"/>
  <c r="N1921" i="6"/>
  <c r="K63" i="1"/>
  <c r="J72" i="1"/>
  <c r="G44" i="15"/>
  <c r="O8" i="1"/>
  <c r="O11" i="1" s="1"/>
  <c r="N799" i="7"/>
  <c r="M998" i="6"/>
  <c r="L216" i="6"/>
  <c r="L222" i="6" s="1"/>
  <c r="L1004" i="6"/>
  <c r="N724" i="7"/>
  <c r="CG90" i="22"/>
  <c r="CG121" i="22" s="1"/>
  <c r="AO90" i="22"/>
  <c r="N1280" i="6"/>
  <c r="M1066" i="6"/>
  <c r="L273" i="6"/>
  <c r="L1072" i="6"/>
  <c r="M18" i="16"/>
  <c r="N883" i="7"/>
  <c r="M18" i="17"/>
  <c r="N900" i="4"/>
  <c r="N826" i="7"/>
  <c r="N343" i="5"/>
  <c r="N1677" i="6"/>
  <c r="N510" i="7"/>
  <c r="N350" i="5"/>
  <c r="M809" i="7"/>
  <c r="M305" i="7" s="1"/>
  <c r="Q17" i="26"/>
  <c r="AN64" i="21"/>
  <c r="AN68" i="21" s="1"/>
  <c r="CF64" i="21"/>
  <c r="N1896" i="6"/>
  <c r="K704" i="34"/>
  <c r="J706" i="34"/>
  <c r="J211" i="34" s="1"/>
  <c r="J823" i="34" s="1"/>
  <c r="N675" i="4"/>
  <c r="L705" i="34"/>
  <c r="L428" i="45"/>
  <c r="L430" i="45" s="1"/>
  <c r="N1126" i="6"/>
  <c r="M1359" i="6"/>
  <c r="L1365" i="6"/>
  <c r="L451" i="6"/>
  <c r="L456" i="6" s="1"/>
  <c r="N351" i="5"/>
  <c r="N951" i="7"/>
  <c r="K280" i="6"/>
  <c r="M1623" i="6"/>
  <c r="L504" i="6"/>
  <c r="N884" i="7"/>
  <c r="O884" i="7" s="1"/>
  <c r="P884" i="7" s="1"/>
  <c r="Q884" i="7" s="1"/>
  <c r="R884" i="7" s="1"/>
  <c r="K68" i="21"/>
  <c r="CF66" i="21"/>
  <c r="L1364" i="6"/>
  <c r="L450" i="6"/>
  <c r="L455" i="6" s="1"/>
  <c r="M162" i="6"/>
  <c r="M168" i="6" s="1"/>
  <c r="L869" i="6"/>
  <c r="M1232" i="6"/>
  <c r="M1221" i="6" s="1"/>
  <c r="M366" i="6" s="1"/>
  <c r="M260" i="6"/>
  <c r="M1169" i="7"/>
  <c r="L452" i="7"/>
  <c r="L458" i="7" s="1"/>
  <c r="L45" i="7" s="1"/>
  <c r="L1175" i="7"/>
  <c r="L1223" i="7" s="1"/>
  <c r="H216" i="34"/>
  <c r="H814" i="34" s="1"/>
  <c r="H259" i="3" s="1"/>
  <c r="Q23" i="26"/>
  <c r="M807" i="7"/>
  <c r="M302" i="7" s="1"/>
  <c r="R16" i="26"/>
  <c r="N1479" i="6"/>
  <c r="R21" i="26"/>
  <c r="P209" i="4"/>
  <c r="B44" i="6"/>
  <c r="C44" i="6"/>
  <c r="J42" i="6"/>
  <c r="D41" i="6"/>
  <c r="H41" i="6" s="1"/>
  <c r="J40" i="6"/>
  <c r="M1286" i="6"/>
  <c r="K768" i="34" s="1"/>
  <c r="J768" i="34"/>
  <c r="J55" i="7"/>
  <c r="H67" i="3" s="1"/>
  <c r="I12" i="5"/>
  <c r="F18" i="13" s="1"/>
  <c r="B31" i="4"/>
  <c r="H780" i="34"/>
  <c r="C173" i="3"/>
  <c r="C175" i="3" s="1"/>
  <c r="F112" i="34"/>
  <c r="E114" i="34"/>
  <c r="E115" i="34" s="1"/>
  <c r="I8" i="48"/>
  <c r="B17" i="8"/>
  <c r="B19" i="8" s="1"/>
  <c r="B23" i="8" s="1"/>
  <c r="A8" i="17"/>
  <c r="A13" i="17" s="1"/>
  <c r="A567" i="8"/>
  <c r="A569" i="8" s="1"/>
  <c r="A581" i="8" s="1"/>
  <c r="A586" i="8" s="1"/>
  <c r="A161" i="8"/>
  <c r="A23" i="15"/>
  <c r="A608" i="8"/>
  <c r="B151" i="8"/>
  <c r="B567" i="8" s="1"/>
  <c r="B577" i="8"/>
  <c r="C23" i="15"/>
  <c r="I159" i="8"/>
  <c r="D158" i="8"/>
  <c r="D31" i="8" s="1"/>
  <c r="C159" i="8"/>
  <c r="J159" i="8"/>
  <c r="D159" i="8"/>
  <c r="M111" i="8"/>
  <c r="K107" i="8"/>
  <c r="AX8" i="42" s="1"/>
  <c r="L56" i="8"/>
  <c r="K289" i="45"/>
  <c r="K295" i="45" s="1"/>
  <c r="K305" i="45" s="1"/>
  <c r="K306" i="45" s="1"/>
  <c r="M44" i="8"/>
  <c r="AL8" i="42" s="1"/>
  <c r="F45" i="16"/>
  <c r="F120" i="16" s="1"/>
  <c r="AX7" i="42"/>
  <c r="I101" i="15" s="1"/>
  <c r="M325" i="8"/>
  <c r="M68" i="8" s="1"/>
  <c r="M69" i="8"/>
  <c r="N927" i="4"/>
  <c r="N351" i="4" s="1"/>
  <c r="M351" i="4"/>
  <c r="M637" i="4"/>
  <c r="M183" i="4" s="1"/>
  <c r="G361" i="4"/>
  <c r="H361" i="4" s="1"/>
  <c r="L362" i="4"/>
  <c r="I359" i="4"/>
  <c r="I23" i="4" s="1"/>
  <c r="I34" i="4" s="1"/>
  <c r="M654" i="6"/>
  <c r="K86" i="17"/>
  <c r="K89" i="17" s="1"/>
  <c r="P1640" i="6"/>
  <c r="P522" i="6" s="1"/>
  <c r="BM193" i="9"/>
  <c r="BN193" i="9" s="1"/>
  <c r="CU193" i="9"/>
  <c r="AD26" i="11"/>
  <c r="M239" i="8"/>
  <c r="M56" i="8" s="1"/>
  <c r="L575" i="7"/>
  <c r="L577" i="7" s="1"/>
  <c r="L579" i="7" s="1"/>
  <c r="M350" i="7"/>
  <c r="M572" i="7"/>
  <c r="M132" i="7" s="1"/>
  <c r="M372" i="7"/>
  <c r="M1727" i="6"/>
  <c r="M585" i="6" s="1"/>
  <c r="D2041" i="6"/>
  <c r="D395" i="6"/>
  <c r="G68" i="13"/>
  <c r="G124" i="13" s="1"/>
  <c r="L965" i="6"/>
  <c r="M1589" i="6"/>
  <c r="M485" i="6" s="1"/>
  <c r="M190" i="6"/>
  <c r="M1910" i="6"/>
  <c r="M663" i="6" s="1"/>
  <c r="M1583" i="6"/>
  <c r="M479" i="6" s="1"/>
  <c r="K1136" i="6"/>
  <c r="K1138" i="6" s="1"/>
  <c r="K1147" i="6" s="1"/>
  <c r="D180" i="6"/>
  <c r="L88" i="6"/>
  <c r="D139" i="11"/>
  <c r="E139" i="11" s="1"/>
  <c r="P627" i="6"/>
  <c r="K91" i="48"/>
  <c r="O2006" i="6"/>
  <c r="P1834" i="6"/>
  <c r="Q1834" i="6" s="1"/>
  <c r="R1834" i="6" s="1"/>
  <c r="D513" i="5"/>
  <c r="K17" i="5"/>
  <c r="K26" i="5" s="1"/>
  <c r="E18" i="13"/>
  <c r="L130" i="5"/>
  <c r="L497" i="5" s="1"/>
  <c r="K10" i="5"/>
  <c r="J18" i="5"/>
  <c r="J27" i="5" s="1"/>
  <c r="J478" i="5"/>
  <c r="K69" i="37"/>
  <c r="K82" i="37" s="1"/>
  <c r="L66" i="37"/>
  <c r="L69" i="37" s="1"/>
  <c r="L82" i="37" s="1"/>
  <c r="P20" i="20"/>
  <c r="C324" i="15"/>
  <c r="C329" i="15" s="1"/>
  <c r="R162" i="48"/>
  <c r="D267" i="48"/>
  <c r="D462" i="6"/>
  <c r="D1509" i="6"/>
  <c r="M416" i="5"/>
  <c r="C974" i="4"/>
  <c r="C994" i="4"/>
  <c r="N162" i="48"/>
  <c r="N167" i="48" s="1"/>
  <c r="K167" i="6"/>
  <c r="L7" i="6"/>
  <c r="G163" i="15"/>
  <c r="G218" i="15"/>
  <c r="K108" i="9"/>
  <c r="E309" i="15"/>
  <c r="C309" i="15"/>
  <c r="I23" i="6"/>
  <c r="I39" i="6" s="1"/>
  <c r="M868" i="6"/>
  <c r="K1197" i="6"/>
  <c r="K1199" i="6" s="1"/>
  <c r="K1210" i="6" s="1"/>
  <c r="J1366" i="6"/>
  <c r="J1374" i="6" s="1"/>
  <c r="I1209" i="7"/>
  <c r="M130" i="7"/>
  <c r="I149" i="7"/>
  <c r="M1174" i="7"/>
  <c r="M699" i="6"/>
  <c r="L409" i="6"/>
  <c r="U81" i="42"/>
  <c r="K698" i="6"/>
  <c r="O627" i="6"/>
  <c r="L326" i="6"/>
  <c r="K218" i="6"/>
  <c r="K24" i="6" s="1"/>
  <c r="K40" i="6" s="1"/>
  <c r="M1585" i="6"/>
  <c r="M476" i="6" s="1"/>
  <c r="K1002" i="6"/>
  <c r="M1738" i="6"/>
  <c r="N1738" i="6" s="1"/>
  <c r="G79" i="5"/>
  <c r="K505" i="5"/>
  <c r="L178" i="5"/>
  <c r="L498" i="5" s="1"/>
  <c r="G465" i="5"/>
  <c r="H465" i="5" s="1"/>
  <c r="I511" i="5"/>
  <c r="L320" i="5"/>
  <c r="L322" i="5" s="1"/>
  <c r="L332" i="5" s="1"/>
  <c r="I152" i="5"/>
  <c r="J496" i="6"/>
  <c r="K496" i="6"/>
  <c r="G8" i="15"/>
  <c r="N374" i="8"/>
  <c r="N375" i="8"/>
  <c r="N1936" i="6"/>
  <c r="AY22" i="42"/>
  <c r="M541" i="8"/>
  <c r="L142" i="8"/>
  <c r="L149" i="8" s="1"/>
  <c r="AY34" i="42" s="1"/>
  <c r="M342" i="8"/>
  <c r="K27" i="16" s="1"/>
  <c r="K12" i="16" s="1"/>
  <c r="L348" i="8"/>
  <c r="L79" i="8"/>
  <c r="AK22" i="42" s="1"/>
  <c r="I86" i="15" s="1"/>
  <c r="I325" i="34" s="1"/>
  <c r="K21" i="8"/>
  <c r="K85" i="8"/>
  <c r="L119" i="17"/>
  <c r="J121" i="16"/>
  <c r="I155" i="15"/>
  <c r="AW42" i="42"/>
  <c r="G42" i="42" s="1"/>
  <c r="G155" i="15"/>
  <c r="AU42" i="42"/>
  <c r="E42" i="42" s="1"/>
  <c r="G135" i="22"/>
  <c r="M141" i="8"/>
  <c r="B78" i="15"/>
  <c r="D319" i="34" s="1"/>
  <c r="D323" i="34" s="1"/>
  <c r="G120" i="17"/>
  <c r="I105" i="16"/>
  <c r="I256" i="15"/>
  <c r="I259" i="15"/>
  <c r="I113" i="16"/>
  <c r="B111" i="17"/>
  <c r="B113" i="17" s="1"/>
  <c r="H305" i="15"/>
  <c r="H309" i="15" s="1"/>
  <c r="H120" i="17"/>
  <c r="I308" i="15"/>
  <c r="I111" i="17"/>
  <c r="G308" i="15"/>
  <c r="G111" i="17"/>
  <c r="G113" i="17" s="1"/>
  <c r="A98" i="17"/>
  <c r="I294" i="15"/>
  <c r="I103" i="17"/>
  <c r="AW49" i="42"/>
  <c r="H308" i="15"/>
  <c r="H131" i="22"/>
  <c r="H135" i="22" s="1"/>
  <c r="G305" i="15"/>
  <c r="L301" i="15"/>
  <c r="AT49" i="42"/>
  <c r="C308" i="15"/>
  <c r="AU49" i="42"/>
  <c r="AU52" i="42" s="1"/>
  <c r="E308" i="15"/>
  <c r="J252" i="15"/>
  <c r="G621" i="34"/>
  <c r="G622" i="34" s="1"/>
  <c r="G624" i="34" s="1"/>
  <c r="G245" i="34" s="1"/>
  <c r="I609" i="34"/>
  <c r="I610" i="34" s="1"/>
  <c r="I612" i="34" s="1"/>
  <c r="I243" i="34" s="1"/>
  <c r="H609" i="34"/>
  <c r="H610" i="34" s="1"/>
  <c r="H612" i="34" s="1"/>
  <c r="H243" i="34" s="1"/>
  <c r="H70" i="15"/>
  <c r="H597" i="34"/>
  <c r="C45" i="17"/>
  <c r="C118" i="17" s="1"/>
  <c r="N1385" i="6"/>
  <c r="N383" i="4"/>
  <c r="N447" i="4" s="1"/>
  <c r="N912" i="4"/>
  <c r="N759" i="6"/>
  <c r="M77" i="6"/>
  <c r="AV49" i="42"/>
  <c r="AV52" i="42" s="1"/>
  <c r="AS49" i="42"/>
  <c r="AX49" i="42"/>
  <c r="M583" i="8"/>
  <c r="L255" i="6"/>
  <c r="L9" i="6" s="1"/>
  <c r="M775" i="6"/>
  <c r="M1608" i="6"/>
  <c r="K21" i="4"/>
  <c r="L136" i="4"/>
  <c r="M326" i="6"/>
  <c r="K152" i="34"/>
  <c r="K161" i="34"/>
  <c r="U33" i="42"/>
  <c r="G33" i="42" s="1"/>
  <c r="V33" i="42"/>
  <c r="H33" i="42" s="1"/>
  <c r="H573" i="34"/>
  <c r="AW29" i="42"/>
  <c r="U69" i="42"/>
  <c r="N1859" i="6"/>
  <c r="N653" i="6" s="1"/>
  <c r="N1127" i="7"/>
  <c r="N971" i="7"/>
  <c r="K30" i="1"/>
  <c r="K31" i="1" s="1"/>
  <c r="L58" i="34"/>
  <c r="N974" i="6"/>
  <c r="N1127" i="6"/>
  <c r="N499" i="4"/>
  <c r="M194" i="4"/>
  <c r="M199" i="4" s="1"/>
  <c r="M723" i="4"/>
  <c r="L637" i="34"/>
  <c r="N973" i="6"/>
  <c r="N578" i="4"/>
  <c r="L120" i="34"/>
  <c r="K15" i="34"/>
  <c r="J138" i="34"/>
  <c r="L55" i="34"/>
  <c r="K17" i="34"/>
  <c r="J140" i="34"/>
  <c r="K427" i="34"/>
  <c r="N1090" i="6"/>
  <c r="N576" i="4"/>
  <c r="N624" i="4"/>
  <c r="J130" i="34"/>
  <c r="K7" i="34"/>
  <c r="N1039" i="7"/>
  <c r="N970" i="6"/>
  <c r="N679" i="7"/>
  <c r="N436" i="4"/>
  <c r="N73" i="4" s="1"/>
  <c r="N1878" i="6"/>
  <c r="N498" i="4"/>
  <c r="N1175" i="6"/>
  <c r="N656" i="7"/>
  <c r="N879" i="7"/>
  <c r="K605" i="34"/>
  <c r="K581" i="34" s="1"/>
  <c r="J607" i="34"/>
  <c r="L91" i="34"/>
  <c r="N1435" i="6"/>
  <c r="N1330" i="6"/>
  <c r="L661" i="34"/>
  <c r="L662" i="34" s="1"/>
  <c r="N492" i="4"/>
  <c r="L56" i="34"/>
  <c r="L50" i="1"/>
  <c r="L106" i="8"/>
  <c r="K23" i="34"/>
  <c r="J146" i="34"/>
  <c r="L50" i="34"/>
  <c r="L643" i="34"/>
  <c r="K439" i="34"/>
  <c r="N41" i="27"/>
  <c r="N975" i="6"/>
  <c r="N453" i="4"/>
  <c r="N425" i="4"/>
  <c r="L96" i="34"/>
  <c r="L105" i="34"/>
  <c r="L70" i="34"/>
  <c r="N756" i="6"/>
  <c r="M600" i="4"/>
  <c r="M129" i="4"/>
  <c r="N579" i="4"/>
  <c r="N1176" i="6"/>
  <c r="N497" i="4"/>
  <c r="N976" i="6"/>
  <c r="N675" i="7"/>
  <c r="L49" i="34"/>
  <c r="N513" i="4"/>
  <c r="N452" i="4"/>
  <c r="J132" i="34"/>
  <c r="K9" i="34"/>
  <c r="K421" i="34"/>
  <c r="N414" i="5"/>
  <c r="N1666" i="6"/>
  <c r="L79" i="34"/>
  <c r="L649" i="34"/>
  <c r="N1033" i="7"/>
  <c r="M980" i="6"/>
  <c r="L206" i="6"/>
  <c r="N414" i="8"/>
  <c r="N451" i="4"/>
  <c r="K89" i="34"/>
  <c r="J406" i="34"/>
  <c r="L48" i="34"/>
  <c r="N493" i="4"/>
  <c r="N622" i="4"/>
  <c r="N565" i="4"/>
  <c r="M130" i="4"/>
  <c r="L66" i="34"/>
  <c r="N657" i="7"/>
  <c r="N971" i="6"/>
  <c r="N577" i="4"/>
  <c r="N676" i="7"/>
  <c r="N487" i="4"/>
  <c r="M131" i="4"/>
  <c r="M778" i="4"/>
  <c r="M241" i="4"/>
  <c r="M246" i="4" s="1"/>
  <c r="N972" i="6"/>
  <c r="L113" i="34"/>
  <c r="N488" i="4"/>
  <c r="N413" i="5"/>
  <c r="N869" i="4"/>
  <c r="L99" i="34"/>
  <c r="N623" i="4"/>
  <c r="N934" i="7"/>
  <c r="N1712" i="6"/>
  <c r="N714" i="4"/>
  <c r="L90" i="34"/>
  <c r="K426" i="34"/>
  <c r="N655" i="7"/>
  <c r="K14" i="34"/>
  <c r="J137" i="34"/>
  <c r="M357" i="4"/>
  <c r="M938" i="4"/>
  <c r="N1879" i="6"/>
  <c r="N431" i="8"/>
  <c r="N1606" i="6"/>
  <c r="L64" i="34"/>
  <c r="N1032" i="7"/>
  <c r="N500" i="4"/>
  <c r="L97" i="34"/>
  <c r="K454" i="34"/>
  <c r="J131" i="34"/>
  <c r="K8" i="34"/>
  <c r="L107" i="34"/>
  <c r="K412" i="34"/>
  <c r="N1036" i="7"/>
  <c r="N43" i="27"/>
  <c r="N1099" i="6"/>
  <c r="N489" i="4"/>
  <c r="L111" i="34"/>
  <c r="N969" i="6"/>
  <c r="L631" i="34"/>
  <c r="N1436" i="6"/>
  <c r="J114" i="5"/>
  <c r="L302" i="6"/>
  <c r="M1089" i="6"/>
  <c r="I2039" i="6"/>
  <c r="G2039" i="6"/>
  <c r="G1193" i="7"/>
  <c r="I234" i="6"/>
  <c r="L105" i="4"/>
  <c r="C206" i="3"/>
  <c r="P52" i="37"/>
  <c r="P61" i="37" s="1"/>
  <c r="P63" i="37" s="1"/>
  <c r="R48" i="37"/>
  <c r="R50" i="37" s="1"/>
  <c r="S48" i="37" s="1"/>
  <c r="S50" i="37" s="1"/>
  <c r="T48" i="37" s="1"/>
  <c r="Q27" i="37"/>
  <c r="AT120" i="9"/>
  <c r="K120" i="9"/>
  <c r="CQ120" i="9"/>
  <c r="K121" i="9"/>
  <c r="Q28" i="37"/>
  <c r="AT121" i="9"/>
  <c r="CQ121" i="9"/>
  <c r="L206" i="7"/>
  <c r="L212" i="7" s="1"/>
  <c r="L9" i="7" s="1"/>
  <c r="M654" i="7"/>
  <c r="M2" i="37"/>
  <c r="M92" i="37" s="1"/>
  <c r="M94" i="37" s="1"/>
  <c r="AU47" i="37"/>
  <c r="AU3" i="37"/>
  <c r="AU13" i="37"/>
  <c r="E783" i="34"/>
  <c r="E100" i="34"/>
  <c r="F98" i="34"/>
  <c r="O2010" i="6"/>
  <c r="L324" i="6"/>
  <c r="M1918" i="6"/>
  <c r="M667" i="6" s="1"/>
  <c r="M1098" i="6"/>
  <c r="M303" i="6" s="1"/>
  <c r="L312" i="6"/>
  <c r="H193" i="15"/>
  <c r="K392" i="34"/>
  <c r="K509" i="34" s="1"/>
  <c r="K569" i="34"/>
  <c r="I555" i="34"/>
  <c r="I379" i="34"/>
  <c r="I497" i="34" s="1"/>
  <c r="D343" i="34"/>
  <c r="I428" i="34"/>
  <c r="G21" i="42"/>
  <c r="G22" i="13"/>
  <c r="G103" i="13"/>
  <c r="H59" i="34"/>
  <c r="K25" i="34"/>
  <c r="K31" i="34"/>
  <c r="J154" i="34"/>
  <c r="I116" i="14"/>
  <c r="H64" i="14"/>
  <c r="B159" i="3" s="1"/>
  <c r="C448" i="7"/>
  <c r="I193" i="15"/>
  <c r="J583" i="34"/>
  <c r="L134" i="7"/>
  <c r="L21" i="7" s="1"/>
  <c r="L33" i="7" s="1"/>
  <c r="J116" i="15"/>
  <c r="I85" i="15"/>
  <c r="L1033" i="6"/>
  <c r="CQ29" i="9"/>
  <c r="M758" i="4"/>
  <c r="M230" i="4" s="1"/>
  <c r="A67" i="6"/>
  <c r="F81" i="42"/>
  <c r="E69" i="42"/>
  <c r="H148" i="15"/>
  <c r="L20" i="8"/>
  <c r="K196" i="4"/>
  <c r="C200" i="4"/>
  <c r="L243" i="4"/>
  <c r="M1949" i="6"/>
  <c r="M897" i="6"/>
  <c r="M145" i="6" s="1"/>
  <c r="M599" i="6"/>
  <c r="M606" i="6" s="1"/>
  <c r="M158" i="6"/>
  <c r="N1971" i="6"/>
  <c r="K81" i="9"/>
  <c r="M127" i="7"/>
  <c r="U114" i="10"/>
  <c r="A104" i="15"/>
  <c r="K148" i="5"/>
  <c r="K506" i="5" s="1"/>
  <c r="K464" i="4"/>
  <c r="J65" i="9"/>
  <c r="L66" i="1"/>
  <c r="M763" i="4"/>
  <c r="M231" i="4" s="1"/>
  <c r="L168" i="7"/>
  <c r="L622" i="7"/>
  <c r="N250" i="8"/>
  <c r="N1818" i="6"/>
  <c r="N224" i="5"/>
  <c r="N1146" i="7"/>
  <c r="N1865" i="6"/>
  <c r="N693" i="4"/>
  <c r="N428" i="5"/>
  <c r="N429" i="8"/>
  <c r="N280" i="5"/>
  <c r="N785" i="7"/>
  <c r="M58" i="4"/>
  <c r="L77" i="4"/>
  <c r="N686" i="4"/>
  <c r="N235" i="8"/>
  <c r="N331" i="8"/>
  <c r="N60" i="4"/>
  <c r="J7" i="5"/>
  <c r="J25" i="5" s="1"/>
  <c r="O644" i="6"/>
  <c r="J1253" i="6"/>
  <c r="J1255" i="6" s="1"/>
  <c r="J1266" i="6" s="1"/>
  <c r="J763" i="34"/>
  <c r="M426" i="6"/>
  <c r="N1024" i="6"/>
  <c r="N246" i="6" s="1"/>
  <c r="K761" i="34"/>
  <c r="L1168" i="6"/>
  <c r="K175" i="7"/>
  <c r="K181" i="7" s="1"/>
  <c r="I758" i="34"/>
  <c r="L483" i="7"/>
  <c r="O369" i="8"/>
  <c r="P369" i="8" s="1"/>
  <c r="O173" i="8"/>
  <c r="P173" i="8" s="1"/>
  <c r="M978" i="6"/>
  <c r="M204" i="6" s="1"/>
  <c r="L669" i="6"/>
  <c r="M423" i="45"/>
  <c r="F135" i="22"/>
  <c r="F137" i="22" s="1"/>
  <c r="D44" i="42"/>
  <c r="L1778" i="6"/>
  <c r="L628" i="6" s="1"/>
  <c r="L28" i="1"/>
  <c r="N561" i="4"/>
  <c r="N660" i="7"/>
  <c r="N856" i="6"/>
  <c r="N564" i="7"/>
  <c r="N1792" i="6"/>
  <c r="N841" i="6"/>
  <c r="N1872" i="6"/>
  <c r="N540" i="4"/>
  <c r="N431" i="5"/>
  <c r="N314" i="8"/>
  <c r="N211" i="8"/>
  <c r="N747" i="7"/>
  <c r="N32" i="27"/>
  <c r="N16" i="27"/>
  <c r="N1612" i="6"/>
  <c r="N1030" i="7"/>
  <c r="N908" i="4"/>
  <c r="N1188" i="6"/>
  <c r="N829" i="6"/>
  <c r="N537" i="4"/>
  <c r="N357" i="5"/>
  <c r="N128" i="5" s="1"/>
  <c r="N303" i="5"/>
  <c r="N248" i="8"/>
  <c r="N425" i="5"/>
  <c r="N796" i="7"/>
  <c r="N894" i="7"/>
  <c r="N1803" i="6"/>
  <c r="N1816" i="6"/>
  <c r="M646" i="6"/>
  <c r="N820" i="7"/>
  <c r="S17" i="37"/>
  <c r="N1288" i="6"/>
  <c r="S18" i="37"/>
  <c r="N569" i="7"/>
  <c r="N1289" i="6"/>
  <c r="N778" i="6"/>
  <c r="N700" i="4"/>
  <c r="N30" i="27"/>
  <c r="N522" i="4"/>
  <c r="N795" i="7"/>
  <c r="L1373" i="6"/>
  <c r="J164" i="6"/>
  <c r="J166" i="6" s="1"/>
  <c r="J169" i="6" s="1"/>
  <c r="K723" i="6"/>
  <c r="O1782" i="6"/>
  <c r="P1782" i="6" s="1"/>
  <c r="O608" i="7"/>
  <c r="P608" i="7" s="1"/>
  <c r="N1437" i="6"/>
  <c r="M389" i="7"/>
  <c r="M1058" i="7"/>
  <c r="N915" i="6"/>
  <c r="N985" i="7"/>
  <c r="N1426" i="6"/>
  <c r="O1972" i="6"/>
  <c r="N1425" i="6"/>
  <c r="N1434" i="6"/>
  <c r="N987" i="7"/>
  <c r="N986" i="7"/>
  <c r="M390" i="7"/>
  <c r="N949" i="7"/>
  <c r="N959" i="7"/>
  <c r="N1041" i="7"/>
  <c r="N521" i="4"/>
  <c r="N659" i="7"/>
  <c r="O659" i="7" s="1"/>
  <c r="N906" i="6"/>
  <c r="N976" i="7"/>
  <c r="M1911" i="6"/>
  <c r="L664" i="6"/>
  <c r="N913" i="6"/>
  <c r="N907" i="6"/>
  <c r="N955" i="7"/>
  <c r="N1409" i="6"/>
  <c r="M1912" i="6"/>
  <c r="L665" i="6"/>
  <c r="N984" i="7"/>
  <c r="N967" i="7"/>
  <c r="N1438" i="6"/>
  <c r="N912" i="6"/>
  <c r="M957" i="7"/>
  <c r="K734" i="34" s="1"/>
  <c r="N909" i="6"/>
  <c r="I2038" i="6"/>
  <c r="M899" i="6"/>
  <c r="M147" i="6" s="1"/>
  <c r="M720" i="6"/>
  <c r="I2058" i="6"/>
  <c r="K865" i="6"/>
  <c r="K315" i="6"/>
  <c r="K10" i="6" s="1"/>
  <c r="M1728" i="6"/>
  <c r="M586" i="6" s="1"/>
  <c r="L1100" i="6"/>
  <c r="L839" i="6"/>
  <c r="L138" i="6" s="1"/>
  <c r="K139" i="6"/>
  <c r="K164" i="6" s="1"/>
  <c r="K166" i="6" s="1"/>
  <c r="K158" i="4"/>
  <c r="K154" i="4"/>
  <c r="L662" i="6"/>
  <c r="M1909" i="6"/>
  <c r="CQ193" i="9"/>
  <c r="AS193" i="9"/>
  <c r="R222" i="10" s="1"/>
  <c r="L1640" i="6"/>
  <c r="L522" i="6" s="1"/>
  <c r="AT174" i="9"/>
  <c r="N497" i="7"/>
  <c r="N87" i="7" s="1"/>
  <c r="G149" i="7"/>
  <c r="M481" i="7"/>
  <c r="N481" i="7" s="1"/>
  <c r="M324" i="6"/>
  <c r="L176" i="6"/>
  <c r="CQ174" i="9"/>
  <c r="N1817" i="6"/>
  <c r="N697" i="4"/>
  <c r="N26" i="27"/>
  <c r="N552" i="7"/>
  <c r="N1886" i="6"/>
  <c r="N805" i="7"/>
  <c r="N852" i="6"/>
  <c r="N1844" i="6"/>
  <c r="M1158" i="6"/>
  <c r="M311" i="6" s="1"/>
  <c r="N900" i="6"/>
  <c r="N886" i="7"/>
  <c r="N902" i="6"/>
  <c r="N933" i="7"/>
  <c r="N413" i="8"/>
  <c r="L87" i="17" s="1"/>
  <c r="AO61" i="9"/>
  <c r="AO63" i="9" s="1"/>
  <c r="N910" i="6"/>
  <c r="N1153" i="7"/>
  <c r="N896" i="6"/>
  <c r="N1154" i="7"/>
  <c r="N887" i="6"/>
  <c r="CG9" i="21"/>
  <c r="N1852" i="6"/>
  <c r="N736" i="7"/>
  <c r="N1043" i="7"/>
  <c r="N684" i="4"/>
  <c r="N920" i="6"/>
  <c r="N1159" i="7"/>
  <c r="N921" i="6"/>
  <c r="J34" i="17"/>
  <c r="N887" i="7"/>
  <c r="N1158" i="7"/>
  <c r="N832" i="6"/>
  <c r="L130" i="6"/>
  <c r="L823" i="6"/>
  <c r="N442" i="5"/>
  <c r="N893" i="6"/>
  <c r="N143" i="6" s="1"/>
  <c r="N1152" i="7"/>
  <c r="N925" i="6"/>
  <c r="N929" i="6"/>
  <c r="N1157" i="7"/>
  <c r="N928" i="6"/>
  <c r="N820" i="6"/>
  <c r="N1655" i="6"/>
  <c r="N1155" i="7"/>
  <c r="AT97" i="9"/>
  <c r="N927" i="6"/>
  <c r="N412" i="8"/>
  <c r="N894" i="6"/>
  <c r="K61" i="9"/>
  <c r="K63" i="9" s="1"/>
  <c r="CQ61" i="9"/>
  <c r="AS61" i="9"/>
  <c r="AS63" i="9" s="1"/>
  <c r="AX45" i="42"/>
  <c r="N922" i="6"/>
  <c r="N889" i="6"/>
  <c r="N764" i="4"/>
  <c r="N1156" i="7"/>
  <c r="L153" i="6"/>
  <c r="N821" i="6"/>
  <c r="L155" i="6"/>
  <c r="N1094" i="6"/>
  <c r="N919" i="6"/>
  <c r="N451" i="7"/>
  <c r="N457" i="7" s="1"/>
  <c r="N1174" i="6"/>
  <c r="L2029" i="6"/>
  <c r="I46" i="58" s="1"/>
  <c r="I44" i="58" s="1"/>
  <c r="AS207" i="9"/>
  <c r="AT207" i="9" s="1"/>
  <c r="N901" i="6"/>
  <c r="N895" i="6"/>
  <c r="N892" i="6"/>
  <c r="N923" i="6"/>
  <c r="M918" i="6"/>
  <c r="L154" i="6"/>
  <c r="M658" i="6"/>
  <c r="M670" i="6"/>
  <c r="L668" i="6"/>
  <c r="M1926" i="6"/>
  <c r="L659" i="6"/>
  <c r="M1906" i="6"/>
  <c r="M659" i="6" s="1"/>
  <c r="M669" i="6"/>
  <c r="L631" i="6"/>
  <c r="M774" i="6"/>
  <c r="M90" i="6" s="1"/>
  <c r="M1120" i="6"/>
  <c r="M323" i="6" s="1"/>
  <c r="N1743" i="6"/>
  <c r="N594" i="6" s="1"/>
  <c r="O1781" i="6"/>
  <c r="K297" i="4"/>
  <c r="L1558" i="6"/>
  <c r="L1560" i="6" s="1"/>
  <c r="L1562" i="6" s="1"/>
  <c r="L938" i="6"/>
  <c r="K86" i="6"/>
  <c r="G180" i="6"/>
  <c r="C216" i="42" s="1"/>
  <c r="G2037" i="6"/>
  <c r="L935" i="6"/>
  <c r="L937" i="6" s="1"/>
  <c r="M318" i="7"/>
  <c r="O53" i="11"/>
  <c r="B40" i="7"/>
  <c r="M31" i="45"/>
  <c r="J64" i="6"/>
  <c r="H61" i="3" s="1"/>
  <c r="N827" i="6"/>
  <c r="J220" i="6"/>
  <c r="J939" i="6"/>
  <c r="M205" i="6"/>
  <c r="K939" i="6"/>
  <c r="L1000" i="6"/>
  <c r="M132" i="6"/>
  <c r="B1960" i="6"/>
  <c r="L1292" i="6"/>
  <c r="K1573" i="6"/>
  <c r="B35" i="6"/>
  <c r="K80" i="4"/>
  <c r="K18" i="4" s="1"/>
  <c r="C36" i="4"/>
  <c r="L67" i="7"/>
  <c r="L69" i="7" s="1"/>
  <c r="L7" i="7" s="1"/>
  <c r="M80" i="7"/>
  <c r="M378" i="7"/>
  <c r="CQ108" i="9"/>
  <c r="AT108" i="9"/>
  <c r="K589" i="7"/>
  <c r="L147" i="7"/>
  <c r="CQ7" i="9"/>
  <c r="AT7" i="9"/>
  <c r="CQ81" i="9"/>
  <c r="CQ112" i="9"/>
  <c r="AT112" i="9"/>
  <c r="AT111" i="9"/>
  <c r="CQ111" i="9"/>
  <c r="L1013" i="6"/>
  <c r="L232" i="6" s="1"/>
  <c r="L168" i="45"/>
  <c r="K89" i="6"/>
  <c r="L78" i="4"/>
  <c r="J307" i="45"/>
  <c r="D34" i="20"/>
  <c r="I127" i="22"/>
  <c r="I135" i="22" s="1"/>
  <c r="L86" i="6"/>
  <c r="L87" i="6"/>
  <c r="A151" i="15"/>
  <c r="B687" i="6"/>
  <c r="M431" i="6"/>
  <c r="CR174" i="9"/>
  <c r="M305" i="5"/>
  <c r="K116" i="40"/>
  <c r="W89" i="10" s="1"/>
  <c r="L114" i="40"/>
  <c r="M114" i="40" s="1"/>
  <c r="N114" i="40" s="1"/>
  <c r="J658" i="4"/>
  <c r="J667" i="4" s="1"/>
  <c r="N114" i="4"/>
  <c r="N152" i="4" s="1"/>
  <c r="K16" i="5"/>
  <c r="M55" i="8"/>
  <c r="K419" i="6"/>
  <c r="K12" i="6" s="1"/>
  <c r="K11" i="4"/>
  <c r="L292" i="4"/>
  <c r="L273" i="4"/>
  <c r="L11" i="4" s="1"/>
  <c r="N886" i="4"/>
  <c r="N904" i="4"/>
  <c r="Q71" i="37"/>
  <c r="K406" i="7"/>
  <c r="M379" i="7"/>
  <c r="M556" i="7"/>
  <c r="M658" i="7"/>
  <c r="M207" i="7" s="1"/>
  <c r="L666" i="7"/>
  <c r="M308" i="7"/>
  <c r="H40" i="13"/>
  <c r="K380" i="6"/>
  <c r="K27" i="6" s="1"/>
  <c r="K1363" i="6"/>
  <c r="M1721" i="6"/>
  <c r="N1716" i="6"/>
  <c r="M309" i="6"/>
  <c r="I345" i="6"/>
  <c r="M1277" i="6"/>
  <c r="L165" i="45"/>
  <c r="M346" i="7"/>
  <c r="K527" i="7"/>
  <c r="K529" i="7" s="1"/>
  <c r="K538" i="7" s="1"/>
  <c r="M120" i="7"/>
  <c r="M122" i="7" s="1"/>
  <c r="M8" i="7" s="1"/>
  <c r="M650" i="6"/>
  <c r="M161" i="45"/>
  <c r="M98" i="6"/>
  <c r="M653" i="6"/>
  <c r="N520" i="7"/>
  <c r="N284" i="8"/>
  <c r="N839" i="7"/>
  <c r="N449" i="4"/>
  <c r="N646" i="4"/>
  <c r="N17" i="27"/>
  <c r="N426" i="4"/>
  <c r="N742" i="7"/>
  <c r="N1807" i="6"/>
  <c r="N824" i="4"/>
  <c r="N809" i="4"/>
  <c r="N818" i="4"/>
  <c r="N826" i="4"/>
  <c r="M802" i="4"/>
  <c r="M271" i="4" s="1"/>
  <c r="N829" i="4"/>
  <c r="N754" i="4"/>
  <c r="L842" i="4"/>
  <c r="L978" i="4" s="1"/>
  <c r="J8" i="3" s="1"/>
  <c r="N828" i="4"/>
  <c r="M753" i="4"/>
  <c r="M229" i="4" s="1"/>
  <c r="L775" i="4"/>
  <c r="N1805" i="6"/>
  <c r="N760" i="4"/>
  <c r="M743" i="4"/>
  <c r="M222" i="4" s="1"/>
  <c r="N759" i="4"/>
  <c r="M798" i="4"/>
  <c r="M268" i="4" s="1"/>
  <c r="L804" i="4"/>
  <c r="W8" i="42" s="1"/>
  <c r="J40" i="15" s="1"/>
  <c r="N810" i="4"/>
  <c r="N800" i="4"/>
  <c r="M832" i="4"/>
  <c r="M286" i="4" s="1"/>
  <c r="N812" i="4"/>
  <c r="N915" i="4"/>
  <c r="N803" i="4"/>
  <c r="N799" i="4"/>
  <c r="L745" i="4"/>
  <c r="M742" i="4"/>
  <c r="M221" i="4" s="1"/>
  <c r="J759" i="34"/>
  <c r="N1384" i="6"/>
  <c r="N529" i="4"/>
  <c r="N897" i="4"/>
  <c r="S22" i="37"/>
  <c r="N209" i="8"/>
  <c r="N315" i="8"/>
  <c r="N1996" i="6"/>
  <c r="N405" i="5"/>
  <c r="N981" i="7"/>
  <c r="N875" i="4"/>
  <c r="N833" i="4"/>
  <c r="N813" i="4"/>
  <c r="N982" i="7"/>
  <c r="M817" i="4"/>
  <c r="M279" i="4" s="1"/>
  <c r="N830" i="4"/>
  <c r="M823" i="4"/>
  <c r="M285" i="4" s="1"/>
  <c r="N755" i="4"/>
  <c r="M808" i="4"/>
  <c r="M278" i="4" s="1"/>
  <c r="N573" i="4"/>
  <c r="M767" i="4"/>
  <c r="M232" i="4" s="1"/>
  <c r="N811" i="4"/>
  <c r="N825" i="4"/>
  <c r="K777" i="4"/>
  <c r="K779" i="4" s="1"/>
  <c r="K790" i="4" s="1"/>
  <c r="N827" i="4"/>
  <c r="B524" i="6"/>
  <c r="M655" i="6"/>
  <c r="L196" i="6"/>
  <c r="L8" i="6" s="1"/>
  <c r="N1092" i="6"/>
  <c r="L765" i="34" s="1"/>
  <c r="M411" i="6"/>
  <c r="M649" i="6"/>
  <c r="M442" i="6"/>
  <c r="M1003" i="6"/>
  <c r="L32" i="45"/>
  <c r="M201" i="6"/>
  <c r="M413" i="6"/>
  <c r="K465" i="6"/>
  <c r="L344" i="6"/>
  <c r="M30" i="45"/>
  <c r="M433" i="6"/>
  <c r="M207" i="6"/>
  <c r="M495" i="6"/>
  <c r="M1392" i="6"/>
  <c r="M446" i="6"/>
  <c r="L221" i="6"/>
  <c r="M639" i="6"/>
  <c r="L1361" i="6"/>
  <c r="M634" i="6"/>
  <c r="M137" i="6"/>
  <c r="M117" i="4"/>
  <c r="K656" i="4"/>
  <c r="M106" i="4"/>
  <c r="K629" i="7"/>
  <c r="K631" i="7" s="1"/>
  <c r="L629" i="4"/>
  <c r="K935" i="4"/>
  <c r="K937" i="4" s="1"/>
  <c r="K939" i="4" s="1"/>
  <c r="K948" i="4" s="1"/>
  <c r="K335" i="4"/>
  <c r="K12" i="4" s="1"/>
  <c r="L475" i="4"/>
  <c r="L92" i="4" s="1"/>
  <c r="L46" i="4" s="1"/>
  <c r="J62" i="3" s="1"/>
  <c r="M711" i="6"/>
  <c r="N1990" i="6"/>
  <c r="CQ146" i="9"/>
  <c r="N25" i="27"/>
  <c r="M20" i="27"/>
  <c r="N8" i="27"/>
  <c r="M82" i="7"/>
  <c r="AO54" i="9"/>
  <c r="M644" i="4"/>
  <c r="M186" i="4" s="1"/>
  <c r="I84" i="15"/>
  <c r="N5" i="1"/>
  <c r="AC8" i="54" s="1"/>
  <c r="N575" i="4"/>
  <c r="N230" i="5"/>
  <c r="N1185" i="6"/>
  <c r="N1038" i="7"/>
  <c r="N572" i="4"/>
  <c r="N571" i="4"/>
  <c r="N404" i="5"/>
  <c r="N1020" i="7"/>
  <c r="N1935" i="6"/>
  <c r="N1986" i="6"/>
  <c r="N523" i="7"/>
  <c r="N290" i="5"/>
  <c r="N762" i="6"/>
  <c r="N865" i="4"/>
  <c r="N40" i="27"/>
  <c r="N1864" i="6"/>
  <c r="N678" i="7"/>
  <c r="N828" i="6"/>
  <c r="N424" i="5"/>
  <c r="N1668" i="6"/>
  <c r="M542" i="6"/>
  <c r="N1029" i="7"/>
  <c r="N613" i="7"/>
  <c r="N858" i="6"/>
  <c r="N871" i="4"/>
  <c r="N890" i="4" s="1"/>
  <c r="N1885" i="6"/>
  <c r="N598" i="6"/>
  <c r="N605" i="6" s="1"/>
  <c r="N233" i="8"/>
  <c r="N270" i="8"/>
  <c r="N1126" i="7"/>
  <c r="N1139" i="7"/>
  <c r="N1893" i="6"/>
  <c r="N970" i="7"/>
  <c r="N1892" i="6"/>
  <c r="N1482" i="6"/>
  <c r="N508" i="7"/>
  <c r="N301" i="5"/>
  <c r="N954" i="7"/>
  <c r="N447" i="8"/>
  <c r="N1891" i="6"/>
  <c r="N948" i="7"/>
  <c r="N1819" i="6"/>
  <c r="N1189" i="6"/>
  <c r="N530" i="4"/>
  <c r="N437" i="5"/>
  <c r="CQ186" i="9"/>
  <c r="AT186" i="9"/>
  <c r="L1571" i="6"/>
  <c r="N396" i="8"/>
  <c r="N1670" i="6"/>
  <c r="N179" i="8"/>
  <c r="L38" i="34"/>
  <c r="N1780" i="6"/>
  <c r="N618" i="7"/>
  <c r="N898" i="4"/>
  <c r="N13" i="27"/>
  <c r="N692" i="7"/>
  <c r="N571" i="7"/>
  <c r="M174" i="8"/>
  <c r="M182" i="8" s="1"/>
  <c r="M46" i="8" s="1"/>
  <c r="AL11" i="42" s="1"/>
  <c r="M370" i="8"/>
  <c r="M381" i="8" s="1"/>
  <c r="M108" i="8" s="1"/>
  <c r="N1344" i="6"/>
  <c r="N510" i="4"/>
  <c r="N804" i="7"/>
  <c r="N1247" i="6"/>
  <c r="M786" i="6"/>
  <c r="M94" i="6" s="1"/>
  <c r="N612" i="7"/>
  <c r="N907" i="4"/>
  <c r="S57" i="37"/>
  <c r="N281" i="5"/>
  <c r="N563" i="7"/>
  <c r="N699" i="4"/>
  <c r="N1149" i="7"/>
  <c r="O1149" i="7" s="1"/>
  <c r="N1290" i="6"/>
  <c r="N1383" i="6"/>
  <c r="M211" i="6"/>
  <c r="N993" i="6"/>
  <c r="N267" i="8"/>
  <c r="N930" i="7"/>
  <c r="N1989" i="6"/>
  <c r="N1848" i="6"/>
  <c r="N512" i="7"/>
  <c r="N1853" i="6"/>
  <c r="N1342" i="6"/>
  <c r="N701" i="4"/>
  <c r="O701" i="4" s="1"/>
  <c r="N969" i="7"/>
  <c r="N1919" i="6"/>
  <c r="N975" i="7"/>
  <c r="N446" i="8"/>
  <c r="N1866" i="6"/>
  <c r="N708" i="4"/>
  <c r="N189" i="8"/>
  <c r="N813" i="7"/>
  <c r="M307" i="7"/>
  <c r="N547" i="8"/>
  <c r="N421" i="4"/>
  <c r="N703" i="4"/>
  <c r="N406" i="5"/>
  <c r="N1343" i="6"/>
  <c r="N1895" i="6"/>
  <c r="S58" i="37"/>
  <c r="T58" i="37" s="1"/>
  <c r="N1740" i="6"/>
  <c r="N1239" i="6"/>
  <c r="N338" i="8"/>
  <c r="N342" i="5"/>
  <c r="O342" i="5" s="1"/>
  <c r="N33" i="27"/>
  <c r="N534" i="4"/>
  <c r="N814" i="7"/>
  <c r="N302" i="5"/>
  <c r="O302" i="5" s="1"/>
  <c r="M569" i="4"/>
  <c r="S19" i="37"/>
  <c r="T60" i="10"/>
  <c r="N28" i="27"/>
  <c r="O28" i="27" s="1"/>
  <c r="N1978" i="6"/>
  <c r="N333" i="8"/>
  <c r="N187" i="8"/>
  <c r="N1147" i="7"/>
  <c r="O1147" i="7" s="1"/>
  <c r="N1927" i="6"/>
  <c r="N567" i="7"/>
  <c r="N286" i="5"/>
  <c r="N1884" i="6"/>
  <c r="O1884" i="6" s="1"/>
  <c r="N549" i="7"/>
  <c r="N128" i="8"/>
  <c r="N1922" i="6"/>
  <c r="N1613" i="6"/>
  <c r="O1613" i="6" s="1"/>
  <c r="N800" i="7"/>
  <c r="N352" i="5"/>
  <c r="N520" i="4"/>
  <c r="N1299" i="6"/>
  <c r="O1299" i="6" s="1"/>
  <c r="N1846" i="6"/>
  <c r="N900" i="7"/>
  <c r="N1653" i="6"/>
  <c r="N1815" i="6"/>
  <c r="O1815" i="6" s="1"/>
  <c r="N512" i="4"/>
  <c r="N819" i="7"/>
  <c r="N430" i="5"/>
  <c r="CQ97" i="9"/>
  <c r="N392" i="8"/>
  <c r="N223" i="5"/>
  <c r="N1679" i="6"/>
  <c r="M69" i="4"/>
  <c r="N416" i="4"/>
  <c r="N438" i="5"/>
  <c r="N610" i="7"/>
  <c r="N873" i="4"/>
  <c r="N651" i="4"/>
  <c r="N12" i="27"/>
  <c r="N1874" i="6"/>
  <c r="N329" i="8"/>
  <c r="O329" i="8" s="1"/>
  <c r="N408" i="5"/>
  <c r="N31" i="27"/>
  <c r="C87" i="20"/>
  <c r="N15" i="1"/>
  <c r="C32" i="19"/>
  <c r="N441" i="5"/>
  <c r="N2003" i="6"/>
  <c r="N749" i="7"/>
  <c r="O749" i="7" s="1"/>
  <c r="N434" i="5"/>
  <c r="N972" i="7"/>
  <c r="N893" i="4"/>
  <c r="S13" i="37"/>
  <c r="T13" i="37" s="1"/>
  <c r="M1907" i="6"/>
  <c r="M660" i="6" s="1"/>
  <c r="M650" i="4"/>
  <c r="L188" i="4"/>
  <c r="M583" i="4"/>
  <c r="L121" i="4"/>
  <c r="L159" i="4" s="1"/>
  <c r="M420" i="7"/>
  <c r="N348" i="5"/>
  <c r="L94" i="1"/>
  <c r="M87" i="1"/>
  <c r="N445" i="8"/>
  <c r="N1142" i="7"/>
  <c r="N1150" i="7"/>
  <c r="O1150" i="7" s="1"/>
  <c r="AK20" i="42"/>
  <c r="AK29" i="42" s="1"/>
  <c r="L84" i="8"/>
  <c r="N964" i="7"/>
  <c r="N1873" i="6"/>
  <c r="O1873" i="6" s="1"/>
  <c r="N892" i="7"/>
  <c r="N518" i="7"/>
  <c r="N1042" i="7"/>
  <c r="H4" i="37"/>
  <c r="H92" i="37"/>
  <c r="H94" i="37" s="1"/>
  <c r="N947" i="7"/>
  <c r="N1887" i="6"/>
  <c r="N953" i="7"/>
  <c r="O953" i="7" s="1"/>
  <c r="N1845" i="6"/>
  <c r="N1333" i="6"/>
  <c r="N536" i="4"/>
  <c r="N842" i="7"/>
  <c r="O842" i="7" s="1"/>
  <c r="N375" i="5"/>
  <c r="N432" i="5"/>
  <c r="N878" i="4"/>
  <c r="L330" i="7"/>
  <c r="R35" i="11"/>
  <c r="S35" i="11" s="1"/>
  <c r="T35" i="11" s="1"/>
  <c r="N366" i="5"/>
  <c r="M136" i="5"/>
  <c r="N896" i="7"/>
  <c r="O896" i="7" s="1"/>
  <c r="N249" i="5"/>
  <c r="N514" i="4"/>
  <c r="N816" i="7"/>
  <c r="N310" i="5"/>
  <c r="O310" i="5" s="1"/>
  <c r="N1604" i="6"/>
  <c r="K436" i="6"/>
  <c r="N801" i="7"/>
  <c r="O801" i="7" s="1"/>
  <c r="S15" i="37"/>
  <c r="N1183" i="6"/>
  <c r="N842" i="6"/>
  <c r="N27" i="27"/>
  <c r="O27" i="27" s="1"/>
  <c r="N1600" i="6"/>
  <c r="N514" i="7"/>
  <c r="N199" i="8"/>
  <c r="N889" i="7"/>
  <c r="N616" i="7"/>
  <c r="S16" i="37"/>
  <c r="L209" i="4"/>
  <c r="N374" i="5"/>
  <c r="M140" i="5"/>
  <c r="M339" i="6"/>
  <c r="M1198" i="6"/>
  <c r="N228" i="5"/>
  <c r="O228" i="5" s="1"/>
  <c r="N436" i="8"/>
  <c r="N29" i="27"/>
  <c r="N1110" i="7"/>
  <c r="N1145" i="7"/>
  <c r="O1145" i="7" s="1"/>
  <c r="N453" i="8"/>
  <c r="N895" i="7"/>
  <c r="N1811" i="6"/>
  <c r="N1863" i="6"/>
  <c r="O1863" i="6" s="1"/>
  <c r="N712" i="4"/>
  <c r="N1040" i="7"/>
  <c r="N194" i="6"/>
  <c r="N893" i="7"/>
  <c r="O893" i="7" s="1"/>
  <c r="N1862" i="6"/>
  <c r="N313" i="8"/>
  <c r="N979" i="6"/>
  <c r="N1985" i="6"/>
  <c r="O1985" i="6" s="1"/>
  <c r="N798" i="7"/>
  <c r="N363" i="5"/>
  <c r="J90" i="16"/>
  <c r="J34" i="16" s="1"/>
  <c r="N1483" i="6"/>
  <c r="O1483" i="6" s="1"/>
  <c r="N511" i="4"/>
  <c r="N1031" i="7"/>
  <c r="N605" i="7"/>
  <c r="N611" i="7"/>
  <c r="O611" i="7" s="1"/>
  <c r="N926" i="4"/>
  <c r="M347" i="4"/>
  <c r="N562" i="4"/>
  <c r="N283" i="5"/>
  <c r="O283" i="5" s="1"/>
  <c r="N237" i="8"/>
  <c r="N1615" i="6"/>
  <c r="N694" i="4"/>
  <c r="N827" i="7"/>
  <c r="O827" i="7" s="1"/>
  <c r="N490" i="7"/>
  <c r="N1351" i="6"/>
  <c r="N1882" i="6"/>
  <c r="M862" i="4"/>
  <c r="L881" i="4"/>
  <c r="L329" i="4"/>
  <c r="S21" i="37"/>
  <c r="N38" i="27"/>
  <c r="O38" i="27" s="1"/>
  <c r="N249" i="8"/>
  <c r="N688" i="7"/>
  <c r="N283" i="8"/>
  <c r="N1141" i="7"/>
  <c r="O1141" i="7" s="1"/>
  <c r="N1021" i="7"/>
  <c r="O891" i="7"/>
  <c r="O855" i="6"/>
  <c r="M95" i="6"/>
  <c r="N789" i="6"/>
  <c r="O1871" i="6"/>
  <c r="M609" i="7"/>
  <c r="AX20" i="42"/>
  <c r="I115" i="15" s="1"/>
  <c r="O507" i="7"/>
  <c r="N604" i="7"/>
  <c r="M165" i="7"/>
  <c r="M892" i="4"/>
  <c r="L343" i="4"/>
  <c r="Q100" i="37"/>
  <c r="R12" i="37"/>
  <c r="L723" i="6"/>
  <c r="M867" i="4"/>
  <c r="M330" i="4" s="1"/>
  <c r="M891" i="4"/>
  <c r="L342" i="4"/>
  <c r="M928" i="4"/>
  <c r="M353" i="4" s="1"/>
  <c r="N344" i="5"/>
  <c r="N1930" i="6"/>
  <c r="N1983" i="6"/>
  <c r="M710" i="6"/>
  <c r="O519" i="7"/>
  <c r="AS54" i="9"/>
  <c r="CQ54" i="9"/>
  <c r="L1067" i="7"/>
  <c r="N691" i="7"/>
  <c r="M219" i="7"/>
  <c r="N1994" i="6"/>
  <c r="M215" i="6"/>
  <c r="M370" i="7"/>
  <c r="M325" i="6"/>
  <c r="N723" i="7"/>
  <c r="M250" i="7"/>
  <c r="M252" i="7" s="1"/>
  <c r="M11" i="7" s="1"/>
  <c r="M728" i="7"/>
  <c r="CG60" i="21"/>
  <c r="AR60" i="21"/>
  <c r="N849" i="7"/>
  <c r="M317" i="7"/>
  <c r="N353" i="5"/>
  <c r="N213" i="8"/>
  <c r="N257" i="8"/>
  <c r="L423" i="7"/>
  <c r="M958" i="7"/>
  <c r="U60" i="10" s="1"/>
  <c r="N906" i="4"/>
  <c r="N448" i="4"/>
  <c r="O448" i="4" s="1"/>
  <c r="N652" i="4"/>
  <c r="B32" i="19"/>
  <c r="B92" i="19" s="1"/>
  <c r="N677" i="7"/>
  <c r="L29" i="34"/>
  <c r="M312" i="6"/>
  <c r="N1151" i="7"/>
  <c r="N570" i="7"/>
  <c r="N244" i="8"/>
  <c r="O244" i="8" s="1"/>
  <c r="N851" i="6"/>
  <c r="N1241" i="6"/>
  <c r="N1809" i="6"/>
  <c r="N526" i="4"/>
  <c r="N821" i="7"/>
  <c r="N367" i="5"/>
  <c r="T91" i="10"/>
  <c r="V91" i="10" s="1"/>
  <c r="N1808" i="6"/>
  <c r="O1808" i="6" s="1"/>
  <c r="N251" i="8"/>
  <c r="N1920" i="6"/>
  <c r="N1669" i="6"/>
  <c r="N509" i="7"/>
  <c r="O509" i="7" s="1"/>
  <c r="N838" i="7"/>
  <c r="M309" i="7"/>
  <c r="N345" i="5"/>
  <c r="N44" i="27"/>
  <c r="O44" i="27" s="1"/>
  <c r="N125" i="8"/>
  <c r="N236" i="5"/>
  <c r="M54" i="5"/>
  <c r="N1334" i="6"/>
  <c r="O1334" i="6" s="1"/>
  <c r="N806" i="7"/>
  <c r="N901" i="4"/>
  <c r="N960" i="7"/>
  <c r="S14" i="37"/>
  <c r="T14" i="37" s="1"/>
  <c r="J44" i="16"/>
  <c r="J77" i="3" s="1"/>
  <c r="J78" i="3" s="1"/>
  <c r="N436" i="5"/>
  <c r="N423" i="4"/>
  <c r="N297" i="5"/>
  <c r="O297" i="5" s="1"/>
  <c r="N448" i="8"/>
  <c r="N505" i="7"/>
  <c r="N1044" i="7"/>
  <c r="N227" i="5"/>
  <c r="O227" i="5" s="1"/>
  <c r="M492" i="7"/>
  <c r="L77" i="7"/>
  <c r="L427" i="6"/>
  <c r="N887" i="4"/>
  <c r="O887" i="4" s="1"/>
  <c r="L159" i="6"/>
  <c r="N584" i="4"/>
  <c r="M633" i="4"/>
  <c r="M182" i="4" s="1"/>
  <c r="L654" i="4"/>
  <c r="N185" i="8"/>
  <c r="N289" i="5"/>
  <c r="N1128" i="7"/>
  <c r="N1143" i="7"/>
  <c r="O1143" i="7" s="1"/>
  <c r="N1166" i="6"/>
  <c r="N240" i="8"/>
  <c r="N780" i="6"/>
  <c r="N1671" i="6"/>
  <c r="O1671" i="6" s="1"/>
  <c r="N750" i="7"/>
  <c r="N1037" i="7"/>
  <c r="N250" i="5"/>
  <c r="N683" i="4"/>
  <c r="O683" i="4" s="1"/>
  <c r="N1820" i="6"/>
  <c r="K407" i="34"/>
  <c r="N269" i="8"/>
  <c r="N853" i="6"/>
  <c r="O853" i="6" s="1"/>
  <c r="N824" i="7"/>
  <c r="N409" i="8"/>
  <c r="N509" i="4"/>
  <c r="M115" i="4"/>
  <c r="N1348" i="6"/>
  <c r="N2005" i="6"/>
  <c r="N802" i="7"/>
  <c r="N439" i="5"/>
  <c r="O439" i="5" s="1"/>
  <c r="N489" i="7"/>
  <c r="M75" i="7"/>
  <c r="N434" i="4"/>
  <c r="N71" i="4" s="1"/>
  <c r="M929" i="4"/>
  <c r="M352" i="4" s="1"/>
  <c r="N902" i="4"/>
  <c r="M233" i="5"/>
  <c r="L53" i="5"/>
  <c r="N563" i="4"/>
  <c r="O563" i="4" s="1"/>
  <c r="N370" i="5"/>
  <c r="N347" i="5"/>
  <c r="N292" i="5"/>
  <c r="N958" i="6"/>
  <c r="N193" i="6" s="1"/>
  <c r="N521" i="7"/>
  <c r="N1346" i="6"/>
  <c r="M1352" i="6"/>
  <c r="L434" i="6"/>
  <c r="N1602" i="6"/>
  <c r="N899" i="4"/>
  <c r="M896" i="4"/>
  <c r="L341" i="4"/>
  <c r="N450" i="4"/>
  <c r="N39" i="27"/>
  <c r="M218" i="7"/>
  <c r="N686" i="7"/>
  <c r="N300" i="5"/>
  <c r="N226" i="5"/>
  <c r="N1109" i="7"/>
  <c r="N1133" i="7"/>
  <c r="O1133" i="7" s="1"/>
  <c r="N802" i="6"/>
  <c r="M103" i="6"/>
  <c r="M108" i="6" s="1"/>
  <c r="N1137" i="7"/>
  <c r="N346" i="5"/>
  <c r="O346" i="5" s="1"/>
  <c r="N279" i="8"/>
  <c r="N1794" i="6"/>
  <c r="N1245" i="6"/>
  <c r="N1821" i="6"/>
  <c r="O1821" i="6" s="1"/>
  <c r="N1298" i="6"/>
  <c r="N705" i="4"/>
  <c r="N1034" i="7"/>
  <c r="N244" i="5"/>
  <c r="O244" i="5" s="1"/>
  <c r="N551" i="7"/>
  <c r="N1932" i="6"/>
  <c r="N1890" i="6"/>
  <c r="N1484" i="6"/>
  <c r="O1484" i="6" s="1"/>
  <c r="N1035" i="7"/>
  <c r="CQ141" i="9"/>
  <c r="L40" i="45"/>
  <c r="AT141" i="9"/>
  <c r="N218" i="8"/>
  <c r="K87" i="16"/>
  <c r="N49" i="27"/>
  <c r="M54" i="27"/>
  <c r="G45" i="42"/>
  <c r="N707" i="4"/>
  <c r="N850" i="7"/>
  <c r="N216" i="8"/>
  <c r="S23" i="37"/>
  <c r="N284" i="5"/>
  <c r="N1186" i="6"/>
  <c r="N288" i="5"/>
  <c r="O288" i="5" s="1"/>
  <c r="N1332" i="6"/>
  <c r="N830" i="6"/>
  <c r="N1485" i="6"/>
  <c r="N702" i="4"/>
  <c r="O702" i="4" s="1"/>
  <c r="N1028" i="7"/>
  <c r="M645" i="6"/>
  <c r="N1605" i="6"/>
  <c r="S55" i="37"/>
  <c r="T55" i="37" s="1"/>
  <c r="N9" i="27"/>
  <c r="N834" i="6"/>
  <c r="N994" i="6"/>
  <c r="N1138" i="7"/>
  <c r="O1138" i="7" s="1"/>
  <c r="N417" i="4"/>
  <c r="N1137" i="6"/>
  <c r="M337" i="6"/>
  <c r="K84" i="12"/>
  <c r="T79" i="10" s="1"/>
  <c r="V79" i="10" s="1"/>
  <c r="M78" i="8"/>
  <c r="K25" i="16" s="1"/>
  <c r="K10" i="16" s="1"/>
  <c r="M347" i="8"/>
  <c r="N539" i="4"/>
  <c r="N1244" i="6"/>
  <c r="O1244" i="6" s="1"/>
  <c r="N210" i="8"/>
  <c r="N833" i="6"/>
  <c r="N206" i="8"/>
  <c r="N1187" i="6"/>
  <c r="O1187" i="6" s="1"/>
  <c r="N794" i="7"/>
  <c r="M300" i="7"/>
  <c r="N349" i="5"/>
  <c r="N287" i="5"/>
  <c r="O287" i="5" s="1"/>
  <c r="N1242" i="6"/>
  <c r="N332" i="8"/>
  <c r="N854" i="6"/>
  <c r="N234" i="8"/>
  <c r="O234" i="8" s="1"/>
  <c r="N1937" i="6"/>
  <c r="N1674" i="6"/>
  <c r="N407" i="5"/>
  <c r="N18" i="27"/>
  <c r="O18" i="27" s="1"/>
  <c r="M866" i="7"/>
  <c r="M332" i="7" s="1"/>
  <c r="K210" i="15"/>
  <c r="X42" i="42"/>
  <c r="J125" i="13"/>
  <c r="N435" i="4"/>
  <c r="N1739" i="6"/>
  <c r="N698" i="4"/>
  <c r="N682" i="4"/>
  <c r="O682" i="4" s="1"/>
  <c r="N570" i="4"/>
  <c r="N1598" i="6"/>
  <c r="M1354" i="6"/>
  <c r="L435" i="6"/>
  <c r="N909" i="4"/>
  <c r="L160" i="6"/>
  <c r="N647" i="4"/>
  <c r="M1915" i="6"/>
  <c r="M666" i="6" s="1"/>
  <c r="M588" i="4"/>
  <c r="M122" i="4" s="1"/>
  <c r="M1527" i="6"/>
  <c r="N435" i="8"/>
  <c r="N298" i="5"/>
  <c r="O298" i="5" s="1"/>
  <c r="N1182" i="6"/>
  <c r="N527" i="4"/>
  <c r="N823" i="7"/>
  <c r="N617" i="7"/>
  <c r="O617" i="7" s="1"/>
  <c r="M874" i="4"/>
  <c r="M332" i="4" s="1"/>
  <c r="N271" i="8"/>
  <c r="L161" i="6"/>
  <c r="N817" i="7"/>
  <c r="N1130" i="7"/>
  <c r="O1130" i="7" s="1"/>
  <c r="N418" i="4"/>
  <c r="N1177" i="6"/>
  <c r="N726" i="7"/>
  <c r="O726" i="7" s="1"/>
  <c r="N779" i="6"/>
  <c r="O779" i="6" s="1"/>
  <c r="N372" i="5"/>
  <c r="N1599" i="6"/>
  <c r="N245" i="8"/>
  <c r="O245" i="8" s="1"/>
  <c r="N835" i="6"/>
  <c r="O835" i="6" s="1"/>
  <c r="N550" i="7"/>
  <c r="N433" i="8"/>
  <c r="N1870" i="6"/>
  <c r="O1870" i="6" s="1"/>
  <c r="N713" i="4"/>
  <c r="O713" i="4" s="1"/>
  <c r="BA12" i="42"/>
  <c r="N219" i="8"/>
  <c r="K88" i="16"/>
  <c r="N706" i="4"/>
  <c r="O706" i="4" s="1"/>
  <c r="N421" i="5"/>
  <c r="O421" i="5" s="1"/>
  <c r="L104" i="4"/>
  <c r="M1784" i="6"/>
  <c r="M632" i="6" s="1"/>
  <c r="N863" i="4"/>
  <c r="O863" i="4" s="1"/>
  <c r="S20" i="37"/>
  <c r="T20" i="37" s="1"/>
  <c r="M626" i="4"/>
  <c r="M175" i="4" s="1"/>
  <c r="N1987" i="6"/>
  <c r="O1987" i="6" s="1"/>
  <c r="N1238" i="6"/>
  <c r="O1238" i="6" s="1"/>
  <c r="N981" i="6"/>
  <c r="O981" i="6" s="1"/>
  <c r="N1672" i="6"/>
  <c r="M700" i="6"/>
  <c r="N281" i="8"/>
  <c r="O281" i="8" s="1"/>
  <c r="N1408" i="6"/>
  <c r="N1984" i="6"/>
  <c r="N225" i="5"/>
  <c r="O225" i="5" s="1"/>
  <c r="N683" i="7"/>
  <c r="O683" i="7" s="1"/>
  <c r="M764" i="6"/>
  <c r="L783" i="6"/>
  <c r="N1603" i="6"/>
  <c r="O1603" i="6" s="1"/>
  <c r="L174" i="7"/>
  <c r="N903" i="4"/>
  <c r="N238" i="8"/>
  <c r="N429" i="5"/>
  <c r="O429" i="5" s="1"/>
  <c r="N412" i="4"/>
  <c r="O412" i="4" s="1"/>
  <c r="N681" i="7"/>
  <c r="O681" i="7" s="1"/>
  <c r="N1135" i="7"/>
  <c r="N1793" i="6"/>
  <c r="O1793" i="6" s="1"/>
  <c r="M952" i="7"/>
  <c r="R99" i="37"/>
  <c r="L293" i="45"/>
  <c r="M1173" i="6"/>
  <c r="K726" i="34" s="1"/>
  <c r="L327" i="6"/>
  <c r="K29" i="45"/>
  <c r="K36" i="45" s="1"/>
  <c r="M318" i="8"/>
  <c r="L290" i="45"/>
  <c r="M164" i="45"/>
  <c r="L33" i="45"/>
  <c r="L264" i="6"/>
  <c r="M1248" i="6"/>
  <c r="K727" i="34" s="1"/>
  <c r="L34" i="45"/>
  <c r="L1224" i="6"/>
  <c r="L370" i="6" s="1"/>
  <c r="L378" i="6"/>
  <c r="N619" i="4"/>
  <c r="M171" i="4"/>
  <c r="A211" i="4"/>
  <c r="A956" i="4"/>
  <c r="A961" i="4" s="1"/>
  <c r="A976" i="4" s="1"/>
  <c r="A980" i="4" s="1"/>
  <c r="I19" i="4"/>
  <c r="I30" i="4" s="1"/>
  <c r="B25" i="4"/>
  <c r="B969" i="4"/>
  <c r="G599" i="4"/>
  <c r="H599" i="4" s="1"/>
  <c r="G177" i="4"/>
  <c r="H177" i="4" s="1"/>
  <c r="N326" i="8"/>
  <c r="AE14" i="42"/>
  <c r="L340" i="4"/>
  <c r="M885" i="4"/>
  <c r="F19" i="13"/>
  <c r="M963" i="7"/>
  <c r="L377" i="7"/>
  <c r="M945" i="7"/>
  <c r="L376" i="7"/>
  <c r="N413" i="4"/>
  <c r="L115" i="3" s="1"/>
  <c r="M68" i="4"/>
  <c r="M859" i="6"/>
  <c r="L140" i="6"/>
  <c r="B2062" i="6"/>
  <c r="A466" i="6"/>
  <c r="A2042" i="6"/>
  <c r="C2062" i="6"/>
  <c r="D119" i="42"/>
  <c r="M763" i="6"/>
  <c r="L782" i="6"/>
  <c r="AM3" i="22"/>
  <c r="AM78" i="22" s="1"/>
  <c r="AM121" i="22" s="1"/>
  <c r="AP3" i="21"/>
  <c r="J127" i="22"/>
  <c r="J135" i="22" s="1"/>
  <c r="AO3" i="22"/>
  <c r="AO78" i="22" s="1"/>
  <c r="AR3" i="21"/>
  <c r="AU3" i="21"/>
  <c r="AR3" i="22"/>
  <c r="AR78" i="22" s="1"/>
  <c r="AR121" i="22" s="1"/>
  <c r="AW44" i="42"/>
  <c r="AV44" i="42"/>
  <c r="L321" i="6"/>
  <c r="K341" i="6"/>
  <c r="K26" i="6" s="1"/>
  <c r="M1103" i="6"/>
  <c r="M35" i="45" s="1"/>
  <c r="K63" i="12"/>
  <c r="J64" i="12"/>
  <c r="K28" i="12"/>
  <c r="J57" i="13" s="1"/>
  <c r="Y3" i="11"/>
  <c r="V84" i="11"/>
  <c r="J322" i="7"/>
  <c r="J1213" i="7" s="1"/>
  <c r="AB26" i="11"/>
  <c r="AC26" i="11" s="1"/>
  <c r="M210" i="7"/>
  <c r="J343" i="6"/>
  <c r="J345" i="6" s="1"/>
  <c r="AY174" i="9"/>
  <c r="M214" i="6"/>
  <c r="M2020" i="6"/>
  <c r="L331" i="6"/>
  <c r="L330" i="6" s="1"/>
  <c r="J133" i="4"/>
  <c r="M1181" i="6"/>
  <c r="L1195" i="6"/>
  <c r="N407" i="8"/>
  <c r="L376" i="6"/>
  <c r="L1221" i="6"/>
  <c r="L366" i="6" s="1"/>
  <c r="N499" i="7"/>
  <c r="N89" i="7" s="1"/>
  <c r="N496" i="7"/>
  <c r="N86" i="7" s="1"/>
  <c r="M295" i="8"/>
  <c r="M62" i="8" s="1"/>
  <c r="L292" i="45"/>
  <c r="J95" i="13"/>
  <c r="I97" i="13"/>
  <c r="M186" i="8"/>
  <c r="M45" i="8" s="1"/>
  <c r="H55" i="13"/>
  <c r="V41" i="42" s="1"/>
  <c r="H72" i="13"/>
  <c r="L258" i="7"/>
  <c r="M739" i="7"/>
  <c r="M278" i="8"/>
  <c r="M61" i="8" s="1"/>
  <c r="L291" i="45"/>
  <c r="M62" i="5"/>
  <c r="L294" i="45"/>
  <c r="M319" i="8"/>
  <c r="AG47" i="42"/>
  <c r="L727" i="6"/>
  <c r="M2013" i="6"/>
  <c r="J22" i="58" s="1"/>
  <c r="N1505" i="6"/>
  <c r="N463" i="6" s="1"/>
  <c r="AA220" i="10"/>
  <c r="M1281" i="6"/>
  <c r="M406" i="6" s="1"/>
  <c r="J382" i="6"/>
  <c r="J11" i="6"/>
  <c r="J43" i="6" s="1"/>
  <c r="L1220" i="6"/>
  <c r="M1235" i="6"/>
  <c r="L377" i="6"/>
  <c r="L1251" i="6"/>
  <c r="M1908" i="6"/>
  <c r="M661" i="6" s="1"/>
  <c r="L507" i="6"/>
  <c r="L512" i="6" s="1"/>
  <c r="L1630" i="6"/>
  <c r="I384" i="6"/>
  <c r="I2061" i="6"/>
  <c r="K367" i="6"/>
  <c r="K372" i="6" s="1"/>
  <c r="K1227" i="6"/>
  <c r="I766" i="34" s="1"/>
  <c r="L64" i="5"/>
  <c r="L16" i="5" s="1"/>
  <c r="N314" i="5"/>
  <c r="N96" i="5" s="1"/>
  <c r="M256" i="5"/>
  <c r="N243" i="5"/>
  <c r="N248" i="5"/>
  <c r="M61" i="5"/>
  <c r="M382" i="5"/>
  <c r="L146" i="5"/>
  <c r="M60" i="5"/>
  <c r="L99" i="5"/>
  <c r="L505" i="5" s="1"/>
  <c r="J66" i="5"/>
  <c r="J476" i="5" s="1"/>
  <c r="J466" i="5"/>
  <c r="U9" i="11"/>
  <c r="G1197" i="7"/>
  <c r="N92" i="7"/>
  <c r="B1217" i="7"/>
  <c r="L345" i="7"/>
  <c r="I1208" i="7"/>
  <c r="I324" i="7"/>
  <c r="I1213" i="7"/>
  <c r="L855" i="7"/>
  <c r="B1198" i="7"/>
  <c r="B1201" i="7" s="1"/>
  <c r="B1219" i="7" s="1"/>
  <c r="M844" i="7"/>
  <c r="L312" i="7"/>
  <c r="J1211" i="7"/>
  <c r="J10" i="7"/>
  <c r="L162" i="7"/>
  <c r="M601" i="7"/>
  <c r="J1209" i="7"/>
  <c r="J138" i="7"/>
  <c r="K320" i="7"/>
  <c r="K24" i="7" s="1"/>
  <c r="K94" i="7"/>
  <c r="K96" i="7" s="1"/>
  <c r="K1208" i="7" s="1"/>
  <c r="M846" i="7"/>
  <c r="L314" i="7"/>
  <c r="J96" i="7"/>
  <c r="L76" i="7"/>
  <c r="M491" i="7"/>
  <c r="M845" i="7"/>
  <c r="M313" i="7" s="1"/>
  <c r="M956" i="7"/>
  <c r="M600" i="7"/>
  <c r="M161" i="7" s="1"/>
  <c r="AY115" i="9"/>
  <c r="L277" i="7"/>
  <c r="I132" i="13"/>
  <c r="AT29" i="9"/>
  <c r="G137" i="4"/>
  <c r="H137" i="4" s="1"/>
  <c r="G968" i="4"/>
  <c r="H968" i="4" s="1"/>
  <c r="A1000" i="4"/>
  <c r="I135" i="4"/>
  <c r="F7" i="42"/>
  <c r="G43" i="42"/>
  <c r="M173" i="5"/>
  <c r="M255" i="6"/>
  <c r="M9" i="6" s="1"/>
  <c r="N1030" i="6"/>
  <c r="N253" i="6" s="1"/>
  <c r="O890" i="7"/>
  <c r="N755" i="6"/>
  <c r="H12" i="42"/>
  <c r="M359" i="5"/>
  <c r="M89" i="5"/>
  <c r="M91" i="5" s="1"/>
  <c r="M8" i="5" s="1"/>
  <c r="K103" i="5"/>
  <c r="K477" i="5"/>
  <c r="K56" i="5"/>
  <c r="K495" i="5" s="1"/>
  <c r="K500" i="5" s="1"/>
  <c r="M618" i="4"/>
  <c r="L170" i="4"/>
  <c r="AR54" i="42"/>
  <c r="B52" i="42"/>
  <c r="O1813" i="6"/>
  <c r="K31" i="17"/>
  <c r="L16" i="17"/>
  <c r="BA41" i="42" s="1"/>
  <c r="L106" i="15" s="1"/>
  <c r="L336" i="34" s="1"/>
  <c r="G91" i="4"/>
  <c r="K31" i="16"/>
  <c r="L16" i="16"/>
  <c r="AM41" i="42" s="1"/>
  <c r="L75" i="15" s="1"/>
  <c r="L322" i="34" s="1"/>
  <c r="D41" i="42"/>
  <c r="AT47" i="42"/>
  <c r="J129" i="40"/>
  <c r="L424" i="45"/>
  <c r="O188" i="8"/>
  <c r="O280" i="8"/>
  <c r="M421" i="45"/>
  <c r="M422" i="45"/>
  <c r="O268" i="8"/>
  <c r="M109" i="8"/>
  <c r="O208" i="8"/>
  <c r="N918" i="7"/>
  <c r="M365" i="7"/>
  <c r="L440" i="7"/>
  <c r="N672" i="7"/>
  <c r="M487" i="7"/>
  <c r="L74" i="7"/>
  <c r="L525" i="7"/>
  <c r="N671" i="7"/>
  <c r="M216" i="7"/>
  <c r="M362" i="5"/>
  <c r="L135" i="5"/>
  <c r="L383" i="5"/>
  <c r="L385" i="5" s="1"/>
  <c r="L387" i="5" s="1"/>
  <c r="L396" i="5" s="1"/>
  <c r="K439" i="7"/>
  <c r="N309" i="5"/>
  <c r="M318" i="5"/>
  <c r="N423" i="5"/>
  <c r="M186" i="5"/>
  <c r="I1192" i="7"/>
  <c r="I109" i="7"/>
  <c r="K21" i="7"/>
  <c r="K33" i="7" s="1"/>
  <c r="K136" i="7"/>
  <c r="K441" i="7"/>
  <c r="K442" i="7" s="1"/>
  <c r="N741" i="7"/>
  <c r="N748" i="7"/>
  <c r="M260" i="7"/>
  <c r="M261" i="7" s="1"/>
  <c r="N566" i="7"/>
  <c r="N129" i="7" s="1"/>
  <c r="L210" i="6"/>
  <c r="M991" i="6"/>
  <c r="N1121" i="6"/>
  <c r="O840" i="6"/>
  <c r="M99" i="6"/>
  <c r="N794" i="6"/>
  <c r="N791" i="6"/>
  <c r="L496" i="5"/>
  <c r="N485" i="5"/>
  <c r="L6" i="3" s="1"/>
  <c r="M193" i="5"/>
  <c r="M450" i="5"/>
  <c r="N97" i="5"/>
  <c r="I481" i="5"/>
  <c r="L198" i="5"/>
  <c r="N427" i="5"/>
  <c r="M187" i="5"/>
  <c r="K197" i="5"/>
  <c r="K19" i="5"/>
  <c r="K507" i="5"/>
  <c r="I210" i="5"/>
  <c r="I468" i="5"/>
  <c r="L183" i="5"/>
  <c r="L195" i="5" s="1"/>
  <c r="M420" i="5"/>
  <c r="L447" i="5"/>
  <c r="L449" i="5" s="1"/>
  <c r="L451" i="5" s="1"/>
  <c r="L459" i="5" s="1"/>
  <c r="K31" i="5"/>
  <c r="J199" i="5"/>
  <c r="J479" i="5"/>
  <c r="O311" i="5"/>
  <c r="K722" i="4"/>
  <c r="K724" i="4" s="1"/>
  <c r="K732" i="4" s="1"/>
  <c r="K174" i="4"/>
  <c r="M685" i="4"/>
  <c r="L711" i="4"/>
  <c r="L720" i="4" s="1"/>
  <c r="L191" i="4" s="1"/>
  <c r="L689" i="4"/>
  <c r="L109" i="4"/>
  <c r="L157" i="4" s="1"/>
  <c r="O295" i="5"/>
  <c r="M220" i="5"/>
  <c r="M52" i="5" s="1"/>
  <c r="L238" i="5"/>
  <c r="L258" i="5" s="1"/>
  <c r="L260" i="5" s="1"/>
  <c r="L271" i="5" s="1"/>
  <c r="N2011" i="6"/>
  <c r="M726" i="6"/>
  <c r="M724" i="6"/>
  <c r="N2009" i="6"/>
  <c r="N2004" i="6"/>
  <c r="M722" i="6"/>
  <c r="N2008" i="6"/>
  <c r="L1496" i="6"/>
  <c r="L1498" i="6" s="1"/>
  <c r="K502" i="4"/>
  <c r="J111" i="4"/>
  <c r="J8" i="4" s="1"/>
  <c r="J155" i="4"/>
  <c r="J160" i="4" s="1"/>
  <c r="C143" i="15"/>
  <c r="L109" i="40"/>
  <c r="M109" i="40" s="1"/>
  <c r="K110" i="40"/>
  <c r="W88" i="10" s="1"/>
  <c r="H119" i="13"/>
  <c r="V43" i="42"/>
  <c r="I203" i="15"/>
  <c r="I77" i="13"/>
  <c r="AV87" i="9"/>
  <c r="AV169" i="9" s="1"/>
  <c r="BF3" i="9"/>
  <c r="AQ87" i="9"/>
  <c r="AQ169" i="9" s="1"/>
  <c r="BA3" i="9"/>
  <c r="BD40" i="9"/>
  <c r="BH40" i="9"/>
  <c r="X3" i="11"/>
  <c r="U84" i="11"/>
  <c r="W3" i="11"/>
  <c r="T84" i="11"/>
  <c r="X3" i="10"/>
  <c r="U109" i="10"/>
  <c r="U201" i="10" s="1"/>
  <c r="W109" i="10"/>
  <c r="W201" i="10" s="1"/>
  <c r="Z3" i="10"/>
  <c r="Y109" i="10"/>
  <c r="Y201" i="10" s="1"/>
  <c r="AB3" i="10"/>
  <c r="O983" i="7"/>
  <c r="N495" i="7"/>
  <c r="N85" i="7" s="1"/>
  <c r="O568" i="7"/>
  <c r="A10" i="13"/>
  <c r="A15" i="13" s="1"/>
  <c r="B404" i="7"/>
  <c r="B53" i="7" s="1"/>
  <c r="A45" i="3" s="1"/>
  <c r="B1069" i="7"/>
  <c r="M306" i="7"/>
  <c r="N811" i="7"/>
  <c r="O929" i="7"/>
  <c r="M220" i="7"/>
  <c r="N695" i="7"/>
  <c r="M257" i="7"/>
  <c r="N1355" i="6"/>
  <c r="N1297" i="6"/>
  <c r="M423" i="6"/>
  <c r="N1472" i="6"/>
  <c r="M1474" i="6"/>
  <c r="M415" i="6"/>
  <c r="P102" i="6"/>
  <c r="N102" i="6"/>
  <c r="N338" i="6"/>
  <c r="P338" i="6"/>
  <c r="N987" i="6"/>
  <c r="M209" i="6"/>
  <c r="N449" i="6"/>
  <c r="N1497" i="6"/>
  <c r="O1710" i="6"/>
  <c r="O1857" i="6"/>
  <c r="N1726" i="6"/>
  <c r="M584" i="6"/>
  <c r="N271" i="6"/>
  <c r="O410" i="5"/>
  <c r="O174" i="5" s="1"/>
  <c r="N1488" i="6"/>
  <c r="M1489" i="6"/>
  <c r="M1494" i="6" s="1"/>
  <c r="N1480" i="6"/>
  <c r="O139" i="11"/>
  <c r="K1504" i="6"/>
  <c r="K462" i="6" s="1"/>
  <c r="G128" i="22"/>
  <c r="K35" i="19"/>
  <c r="G103" i="19"/>
  <c r="C75" i="8"/>
  <c r="B169" i="3" s="1"/>
  <c r="B170" i="3" s="1"/>
  <c r="M119" i="4"/>
  <c r="O541" i="4"/>
  <c r="O860" i="6"/>
  <c r="N1883" i="6"/>
  <c r="N1654" i="6"/>
  <c r="N777" i="6"/>
  <c r="M92" i="6"/>
  <c r="M497" i="6"/>
  <c r="N1611" i="6"/>
  <c r="O1851" i="6"/>
  <c r="N1997" i="6"/>
  <c r="M714" i="6"/>
  <c r="M629" i="6"/>
  <c r="N1663" i="6"/>
  <c r="N541" i="6" s="1"/>
  <c r="N1287" i="6"/>
  <c r="N1678" i="6"/>
  <c r="M837" i="6"/>
  <c r="M546" i="6"/>
  <c r="M551" i="6" s="1"/>
  <c r="M1688" i="6"/>
  <c r="O1847" i="6"/>
  <c r="M262" i="6"/>
  <c r="O831" i="6"/>
  <c r="B742" i="6"/>
  <c r="B62" i="6" s="1"/>
  <c r="A39" i="3" s="1"/>
  <c r="B2030" i="6"/>
  <c r="O1345" i="6"/>
  <c r="O1178" i="6"/>
  <c r="O1812" i="6"/>
  <c r="N725" i="6"/>
  <c r="N449" i="8"/>
  <c r="BC3" i="9"/>
  <c r="AS87" i="9"/>
  <c r="AS169" i="9" s="1"/>
  <c r="BH3" i="9"/>
  <c r="AX87" i="9"/>
  <c r="AX169" i="9" s="1"/>
  <c r="BG3" i="9"/>
  <c r="AW87" i="9"/>
  <c r="AW169" i="9" s="1"/>
  <c r="G75" i="13"/>
  <c r="H204" i="3"/>
  <c r="AR87" i="9"/>
  <c r="AR169" i="9" s="1"/>
  <c r="BB3" i="9"/>
  <c r="AU2" i="9"/>
  <c r="AP86" i="9"/>
  <c r="AP168" i="9" s="1"/>
  <c r="F143" i="13"/>
  <c r="T44" i="42"/>
  <c r="M72" i="14"/>
  <c r="G202" i="15"/>
  <c r="G147" i="15" s="1"/>
  <c r="D108" i="14"/>
  <c r="H111" i="14" s="1"/>
  <c r="AU87" i="9"/>
  <c r="AU169" i="9" s="1"/>
  <c r="BE3" i="9"/>
  <c r="G198" i="15"/>
  <c r="F142" i="13"/>
  <c r="F40" i="42"/>
  <c r="AZ3" i="9"/>
  <c r="AP87" i="9"/>
  <c r="AP169" i="9" s="1"/>
  <c r="O452" i="8"/>
  <c r="K32" i="8"/>
  <c r="L357" i="8"/>
  <c r="L95" i="8" s="1"/>
  <c r="J40" i="16"/>
  <c r="AK49" i="42" s="1"/>
  <c r="AK52" i="42" s="1"/>
  <c r="M299" i="45"/>
  <c r="M304" i="45" s="1"/>
  <c r="K402" i="4"/>
  <c r="I7" i="12" s="1"/>
  <c r="K403" i="4"/>
  <c r="I8" i="12" s="1"/>
  <c r="J199" i="15"/>
  <c r="K1009" i="4"/>
  <c r="I144" i="15"/>
  <c r="N968" i="7"/>
  <c r="O977" i="7"/>
  <c r="K759" i="7"/>
  <c r="K770" i="7" s="1"/>
  <c r="N682" i="7"/>
  <c r="M217" i="7"/>
  <c r="G1194" i="7"/>
  <c r="G279" i="7"/>
  <c r="N810" i="7"/>
  <c r="S18" i="26" s="1"/>
  <c r="H102" i="13"/>
  <c r="K264" i="7"/>
  <c r="J266" i="7"/>
  <c r="J23" i="7"/>
  <c r="J35" i="7" s="1"/>
  <c r="I1210" i="7"/>
  <c r="I268" i="7"/>
  <c r="N653" i="7"/>
  <c r="M205" i="7"/>
  <c r="L755" i="7"/>
  <c r="L757" i="7" s="1"/>
  <c r="O1108" i="7"/>
  <c r="J194" i="7"/>
  <c r="J1195" i="7"/>
  <c r="O573" i="7"/>
  <c r="O743" i="7"/>
  <c r="O853" i="7"/>
  <c r="O946" i="7"/>
  <c r="O781" i="7"/>
  <c r="K400" i="4"/>
  <c r="I5" i="12" s="1"/>
  <c r="B38" i="20"/>
  <c r="S37" i="20"/>
  <c r="G76" i="11"/>
  <c r="V69" i="11"/>
  <c r="M70" i="4"/>
  <c r="N433" i="4"/>
  <c r="R39" i="37" l="1"/>
  <c r="J163" i="5"/>
  <c r="M721" i="6"/>
  <c r="N2002" i="6"/>
  <c r="J179" i="14"/>
  <c r="K88" i="14" s="1"/>
  <c r="K135" i="14" s="1"/>
  <c r="G820" i="4"/>
  <c r="H820" i="4" s="1"/>
  <c r="I835" i="4"/>
  <c r="I289" i="4" s="1"/>
  <c r="I316" i="4" s="1"/>
  <c r="J511" i="5"/>
  <c r="N61" i="4"/>
  <c r="N925" i="4"/>
  <c r="N116" i="40"/>
  <c r="AF89" i="10" s="1"/>
  <c r="O114" i="40"/>
  <c r="O116" i="40" s="1"/>
  <c r="AI89" i="10" s="1"/>
  <c r="AK45" i="42"/>
  <c r="AK47" i="42" s="1"/>
  <c r="AQ44" i="42"/>
  <c r="N498" i="7"/>
  <c r="N88" i="7" s="1"/>
  <c r="N898" i="7"/>
  <c r="T114" i="10"/>
  <c r="K36" i="7"/>
  <c r="N626" i="7"/>
  <c r="O626" i="7" s="1"/>
  <c r="N1662" i="6"/>
  <c r="N540" i="6" s="1"/>
  <c r="M701" i="6"/>
  <c r="M1449" i="6"/>
  <c r="M1451" i="6" s="1"/>
  <c r="M1453" i="6" s="1"/>
  <c r="M1462" i="6" s="1"/>
  <c r="N1407" i="6"/>
  <c r="N440" i="6" s="1"/>
  <c r="O1165" i="6"/>
  <c r="O305" i="6" s="1"/>
  <c r="K215" i="9"/>
  <c r="N441" i="6"/>
  <c r="M404" i="6"/>
  <c r="K757" i="34"/>
  <c r="N580" i="4"/>
  <c r="L136" i="3" s="1"/>
  <c r="AC20" i="42"/>
  <c r="P191" i="15"/>
  <c r="R2006" i="6"/>
  <c r="R723" i="6" s="1"/>
  <c r="R646" i="6"/>
  <c r="O121" i="13"/>
  <c r="P9" i="3"/>
  <c r="P10" i="3" s="1"/>
  <c r="AB80" i="42"/>
  <c r="O544" i="34"/>
  <c r="M1185" i="7"/>
  <c r="M468" i="7" s="1"/>
  <c r="L61" i="9"/>
  <c r="L63" i="9" s="1"/>
  <c r="N95" i="5"/>
  <c r="O1182" i="6"/>
  <c r="O909" i="4"/>
  <c r="O570" i="4"/>
  <c r="O1937" i="6"/>
  <c r="O1242" i="6"/>
  <c r="O210" i="8"/>
  <c r="O417" i="4"/>
  <c r="O9" i="27"/>
  <c r="O1028" i="7"/>
  <c r="O1332" i="6"/>
  <c r="T23" i="37"/>
  <c r="O1035" i="7"/>
  <c r="O551" i="7"/>
  <c r="O1298" i="6"/>
  <c r="O279" i="8"/>
  <c r="O300" i="5"/>
  <c r="O450" i="4"/>
  <c r="O521" i="7"/>
  <c r="O370" i="5"/>
  <c r="O1348" i="6"/>
  <c r="O824" i="7"/>
  <c r="O1820" i="6"/>
  <c r="O750" i="7"/>
  <c r="O448" i="8"/>
  <c r="O806" i="7"/>
  <c r="O251" i="8"/>
  <c r="O821" i="7"/>
  <c r="O851" i="6"/>
  <c r="O652" i="4"/>
  <c r="O978" i="7"/>
  <c r="O341" i="5"/>
  <c r="O1243" i="6"/>
  <c r="T60" i="37"/>
  <c r="O293" i="5"/>
  <c r="O1806" i="6"/>
  <c r="O516" i="4"/>
  <c r="O488" i="7"/>
  <c r="O249" i="8"/>
  <c r="O490" i="7"/>
  <c r="O237" i="8"/>
  <c r="O511" i="4"/>
  <c r="O712" i="4"/>
  <c r="O453" i="8"/>
  <c r="O616" i="7"/>
  <c r="O1600" i="6"/>
  <c r="T15" i="37"/>
  <c r="O1604" i="6"/>
  <c r="O249" i="5"/>
  <c r="O375" i="5"/>
  <c r="O1845" i="6"/>
  <c r="O892" i="7"/>
  <c r="O434" i="5"/>
  <c r="O408" i="5"/>
  <c r="O512" i="4"/>
  <c r="O1846" i="6"/>
  <c r="O800" i="7"/>
  <c r="O549" i="7"/>
  <c r="O33" i="27"/>
  <c r="O1740" i="6"/>
  <c r="O406" i="5"/>
  <c r="O1866" i="6"/>
  <c r="N573" i="6"/>
  <c r="O1135" i="7"/>
  <c r="O238" i="8"/>
  <c r="O1984" i="6"/>
  <c r="O1672" i="6"/>
  <c r="O433" i="8"/>
  <c r="O1599" i="6"/>
  <c r="O1177" i="6"/>
  <c r="O647" i="4"/>
  <c r="O698" i="4"/>
  <c r="O407" i="5"/>
  <c r="O854" i="6"/>
  <c r="O206" i="8"/>
  <c r="O539" i="4"/>
  <c r="O994" i="6"/>
  <c r="O1605" i="6"/>
  <c r="O1485" i="6"/>
  <c r="O1186" i="6"/>
  <c r="O850" i="7"/>
  <c r="O1890" i="6"/>
  <c r="O1034" i="7"/>
  <c r="O1245" i="6"/>
  <c r="O1137" i="7"/>
  <c r="O1109" i="7"/>
  <c r="O292" i="5"/>
  <c r="O802" i="7"/>
  <c r="O269" i="8"/>
  <c r="O250" i="5"/>
  <c r="O780" i="6"/>
  <c r="O1128" i="7"/>
  <c r="O1044" i="7"/>
  <c r="O960" i="7"/>
  <c r="O345" i="5"/>
  <c r="O1669" i="6"/>
  <c r="O1809" i="6"/>
  <c r="O570" i="7"/>
  <c r="O677" i="7"/>
  <c r="O906" i="4"/>
  <c r="O928" i="7"/>
  <c r="O1601" i="6"/>
  <c r="O364" i="5"/>
  <c r="O221" i="5"/>
  <c r="O245" i="5"/>
  <c r="O1614" i="6"/>
  <c r="O566" i="4"/>
  <c r="O1858" i="6"/>
  <c r="O433" i="5"/>
  <c r="O1790" i="6"/>
  <c r="O435" i="5"/>
  <c r="O1804" i="6"/>
  <c r="O285" i="5"/>
  <c r="O283" i="8"/>
  <c r="T21" i="37"/>
  <c r="O1882" i="6"/>
  <c r="O694" i="4"/>
  <c r="O562" i="4"/>
  <c r="O605" i="7"/>
  <c r="O1811" i="6"/>
  <c r="O1110" i="7"/>
  <c r="O842" i="6"/>
  <c r="O816" i="7"/>
  <c r="O536" i="4"/>
  <c r="O1887" i="6"/>
  <c r="O1042" i="7"/>
  <c r="O964" i="7"/>
  <c r="O1142" i="7"/>
  <c r="O348" i="5"/>
  <c r="O893" i="4"/>
  <c r="O2003" i="6"/>
  <c r="O1874" i="6"/>
  <c r="O610" i="7"/>
  <c r="O1679" i="6"/>
  <c r="O430" i="5"/>
  <c r="O286" i="5"/>
  <c r="O187" i="8"/>
  <c r="O814" i="7"/>
  <c r="K148" i="34"/>
  <c r="L25" i="34"/>
  <c r="M25" i="34" s="1"/>
  <c r="O550" i="7"/>
  <c r="O372" i="5"/>
  <c r="O418" i="4"/>
  <c r="O271" i="8"/>
  <c r="O527" i="4"/>
  <c r="O1598" i="6"/>
  <c r="O1739" i="6"/>
  <c r="O1674" i="6"/>
  <c r="O332" i="8"/>
  <c r="O833" i="6"/>
  <c r="O834" i="6"/>
  <c r="O830" i="6"/>
  <c r="O284" i="5"/>
  <c r="O707" i="4"/>
  <c r="O1932" i="6"/>
  <c r="O705" i="4"/>
  <c r="O1794" i="6"/>
  <c r="O226" i="5"/>
  <c r="O39" i="27"/>
  <c r="O899" i="4"/>
  <c r="O1346" i="6"/>
  <c r="O347" i="5"/>
  <c r="O2005" i="6"/>
  <c r="O409" i="8"/>
  <c r="L407" i="34"/>
  <c r="O240" i="8"/>
  <c r="O289" i="5"/>
  <c r="O584" i="4"/>
  <c r="O505" i="7"/>
  <c r="O436" i="5"/>
  <c r="O1920" i="6"/>
  <c r="O367" i="5"/>
  <c r="O1151" i="7"/>
  <c r="O818" i="7"/>
  <c r="O792" i="6"/>
  <c r="O735" i="7"/>
  <c r="O1140" i="7"/>
  <c r="O282" i="5"/>
  <c r="O515" i="4"/>
  <c r="O914" i="4"/>
  <c r="O411" i="5"/>
  <c r="O175" i="5" s="1"/>
  <c r="O1184" i="6"/>
  <c r="O899" i="7"/>
  <c r="O815" i="7"/>
  <c r="O1163" i="6"/>
  <c r="O304" i="6" s="1"/>
  <c r="O522" i="7"/>
  <c r="O688" i="7"/>
  <c r="O1351" i="6"/>
  <c r="O1615" i="6"/>
  <c r="O1031" i="7"/>
  <c r="O363" i="5"/>
  <c r="O1040" i="7"/>
  <c r="O895" i="7"/>
  <c r="O29" i="27"/>
  <c r="T16" i="37"/>
  <c r="O514" i="7"/>
  <c r="O1183" i="6"/>
  <c r="O514" i="4"/>
  <c r="O432" i="5"/>
  <c r="O1333" i="6"/>
  <c r="O947" i="7"/>
  <c r="O518" i="7"/>
  <c r="O445" i="8"/>
  <c r="O972" i="7"/>
  <c r="O441" i="5"/>
  <c r="O31" i="27"/>
  <c r="O12" i="27"/>
  <c r="O438" i="5"/>
  <c r="BX7" i="9"/>
  <c r="BX24" i="9" s="1"/>
  <c r="R608" i="4"/>
  <c r="R145" i="4" s="1"/>
  <c r="R47" i="4" s="1"/>
  <c r="CW7" i="9"/>
  <c r="BX112" i="9"/>
  <c r="CW112" i="9"/>
  <c r="BX111" i="9"/>
  <c r="R1013" i="6"/>
  <c r="CW111" i="9"/>
  <c r="R1067" i="7"/>
  <c r="R406" i="7" s="1"/>
  <c r="BW54" i="9"/>
  <c r="BX54" i="9" s="1"/>
  <c r="CW54" i="9"/>
  <c r="BX174" i="9"/>
  <c r="CW174" i="9"/>
  <c r="BX186" i="9"/>
  <c r="R1571" i="6"/>
  <c r="CW186" i="9"/>
  <c r="K50" i="20"/>
  <c r="J100" i="20"/>
  <c r="P24" i="9"/>
  <c r="I67" i="14"/>
  <c r="I71" i="14" s="1"/>
  <c r="C155" i="3"/>
  <c r="O983" i="6"/>
  <c r="O982" i="6"/>
  <c r="O223" i="5"/>
  <c r="O819" i="7"/>
  <c r="O900" i="7"/>
  <c r="O352" i="5"/>
  <c r="T19" i="37"/>
  <c r="F244" i="48"/>
  <c r="N599" i="7"/>
  <c r="O599" i="7" s="1"/>
  <c r="K71" i="15"/>
  <c r="O1239" i="6"/>
  <c r="O1343" i="6"/>
  <c r="O708" i="4"/>
  <c r="O1919" i="6"/>
  <c r="O1853" i="6"/>
  <c r="O930" i="7"/>
  <c r="O371" i="7" s="1"/>
  <c r="O1670" i="6"/>
  <c r="P1670" i="6" s="1"/>
  <c r="O786" i="7"/>
  <c r="D260" i="48"/>
  <c r="O985" i="6"/>
  <c r="O281" i="5"/>
  <c r="O984" i="6"/>
  <c r="O574" i="4"/>
  <c r="M286" i="3"/>
  <c r="L296" i="3"/>
  <c r="O189" i="8"/>
  <c r="O975" i="7"/>
  <c r="O907" i="4"/>
  <c r="O804" i="7"/>
  <c r="O1347" i="6"/>
  <c r="O679" i="4"/>
  <c r="K292" i="3"/>
  <c r="K293" i="3" s="1"/>
  <c r="J293" i="3"/>
  <c r="J302" i="3"/>
  <c r="L300" i="3"/>
  <c r="N67" i="1"/>
  <c r="L299" i="3"/>
  <c r="F242" i="48"/>
  <c r="F245" i="48"/>
  <c r="F247" i="48"/>
  <c r="F260" i="48"/>
  <c r="F229" i="48"/>
  <c r="O1166" i="6"/>
  <c r="O306" i="6" s="1"/>
  <c r="N306" i="6"/>
  <c r="N304" i="6"/>
  <c r="N320" i="6"/>
  <c r="L725" i="34"/>
  <c r="O349" i="5"/>
  <c r="N126" i="5"/>
  <c r="N124" i="5"/>
  <c r="N125" i="5"/>
  <c r="N344" i="4"/>
  <c r="M76" i="4"/>
  <c r="O423" i="4"/>
  <c r="N75" i="4"/>
  <c r="F234" i="48"/>
  <c r="F251" i="48"/>
  <c r="F241" i="48"/>
  <c r="F250" i="48"/>
  <c r="F227" i="48"/>
  <c r="N176" i="5"/>
  <c r="M245" i="48"/>
  <c r="M236" i="48"/>
  <c r="M251" i="48"/>
  <c r="M244" i="48"/>
  <c r="M238" i="48"/>
  <c r="M227" i="48"/>
  <c r="M241" i="48"/>
  <c r="D251" i="48"/>
  <c r="M249" i="48"/>
  <c r="M243" i="48"/>
  <c r="M233" i="48"/>
  <c r="D237" i="48"/>
  <c r="D250" i="48"/>
  <c r="D242" i="48"/>
  <c r="D234" i="48"/>
  <c r="D239" i="48"/>
  <c r="M231" i="48"/>
  <c r="M225" i="48"/>
  <c r="M247" i="48"/>
  <c r="M240" i="48"/>
  <c r="D243" i="48"/>
  <c r="D238" i="48"/>
  <c r="F38" i="48"/>
  <c r="M242" i="48"/>
  <c r="M229" i="48"/>
  <c r="M252" i="48"/>
  <c r="M235" i="48"/>
  <c r="M232" i="48"/>
  <c r="M239" i="48"/>
  <c r="M234" i="48"/>
  <c r="M260" i="48"/>
  <c r="D252" i="48"/>
  <c r="D244" i="48"/>
  <c r="D249" i="48"/>
  <c r="D233" i="48"/>
  <c r="M246" i="48"/>
  <c r="M237" i="48"/>
  <c r="M226" i="48"/>
  <c r="M248" i="48"/>
  <c r="M230" i="48"/>
  <c r="M228" i="48"/>
  <c r="D225" i="48"/>
  <c r="D227" i="48"/>
  <c r="D230" i="48"/>
  <c r="D226" i="48"/>
  <c r="I258" i="48"/>
  <c r="D247" i="48"/>
  <c r="D229" i="48"/>
  <c r="D248" i="48"/>
  <c r="D245" i="48"/>
  <c r="D235" i="48"/>
  <c r="F239" i="48"/>
  <c r="F252" i="48"/>
  <c r="F248" i="48"/>
  <c r="F228" i="48"/>
  <c r="D223" i="48"/>
  <c r="E260" i="48" s="1"/>
  <c r="D231" i="48"/>
  <c r="D246" i="48"/>
  <c r="D241" i="48"/>
  <c r="D240" i="48"/>
  <c r="D236" i="48"/>
  <c r="D232" i="48"/>
  <c r="F240" i="48"/>
  <c r="F225" i="48"/>
  <c r="F226" i="48"/>
  <c r="F237" i="48"/>
  <c r="F246" i="48"/>
  <c r="F230" i="48"/>
  <c r="F249" i="48"/>
  <c r="F243" i="48"/>
  <c r="F238" i="48"/>
  <c r="F236" i="48"/>
  <c r="F233" i="48"/>
  <c r="F232" i="48"/>
  <c r="F231" i="48"/>
  <c r="R252" i="48"/>
  <c r="R253" i="48" s="1"/>
  <c r="A36" i="13"/>
  <c r="A44" i="13" s="1"/>
  <c r="P10" i="42" s="1"/>
  <c r="P73" i="42" s="1"/>
  <c r="P74" i="42" s="1"/>
  <c r="P87" i="42" s="1"/>
  <c r="B16" i="3"/>
  <c r="C211" i="4"/>
  <c r="D1007" i="4"/>
  <c r="D1011" i="4" s="1"/>
  <c r="D49" i="4"/>
  <c r="H23" i="4"/>
  <c r="P96" i="48"/>
  <c r="M301" i="7"/>
  <c r="E31" i="48"/>
  <c r="L214" i="48" s="1"/>
  <c r="I79" i="5"/>
  <c r="E37" i="48"/>
  <c r="R192" i="48" s="1"/>
  <c r="R205" i="48" s="1"/>
  <c r="R206" i="48" s="1"/>
  <c r="E32" i="48"/>
  <c r="M197" i="48" s="1"/>
  <c r="E24" i="48"/>
  <c r="D186" i="48" s="1"/>
  <c r="E26" i="48"/>
  <c r="F190" i="48" s="1"/>
  <c r="E36" i="48"/>
  <c r="Q214" i="48" s="1"/>
  <c r="K21" i="58"/>
  <c r="N713" i="6"/>
  <c r="K17" i="58"/>
  <c r="O517" i="8"/>
  <c r="O533" i="8"/>
  <c r="O485" i="8"/>
  <c r="O378" i="8"/>
  <c r="O507" i="8"/>
  <c r="O511" i="8"/>
  <c r="O524" i="8"/>
  <c r="O484" i="8"/>
  <c r="O466" i="8"/>
  <c r="O457" i="8"/>
  <c r="O532" i="8"/>
  <c r="O400" i="8"/>
  <c r="O488" i="8"/>
  <c r="O395" i="8"/>
  <c r="O521" i="8"/>
  <c r="K20" i="58"/>
  <c r="K15" i="58"/>
  <c r="K18" i="58"/>
  <c r="N1974" i="6"/>
  <c r="K9" i="58" s="1"/>
  <c r="O254" i="8"/>
  <c r="O386" i="8"/>
  <c r="O384" i="8"/>
  <c r="O397" i="8"/>
  <c r="O463" i="8"/>
  <c r="O531" i="8"/>
  <c r="O481" i="8"/>
  <c r="O376" i="8"/>
  <c r="O518" i="8"/>
  <c r="O385" i="8"/>
  <c r="O468" i="8"/>
  <c r="O515" i="8"/>
  <c r="O479" i="8"/>
  <c r="O504" i="8"/>
  <c r="O526" i="8"/>
  <c r="O467" i="8"/>
  <c r="O516" i="8"/>
  <c r="O480" i="8"/>
  <c r="O505" i="8"/>
  <c r="O464" i="8"/>
  <c r="O490" i="8"/>
  <c r="O465" i="8"/>
  <c r="O514" i="8"/>
  <c r="O525" i="8"/>
  <c r="O473" i="8"/>
  <c r="O125" i="8" s="1"/>
  <c r="O486" i="8"/>
  <c r="O470" i="8"/>
  <c r="O476" i="8"/>
  <c r="O469" i="8"/>
  <c r="O519" i="8"/>
  <c r="O534" i="8"/>
  <c r="O489" i="8"/>
  <c r="O483" i="8"/>
  <c r="O377" i="8"/>
  <c r="O520" i="8"/>
  <c r="O527" i="8"/>
  <c r="O501" i="8"/>
  <c r="O128" i="8" s="1"/>
  <c r="O387" i="8"/>
  <c r="O487" i="8"/>
  <c r="O528" i="8"/>
  <c r="O508" i="8"/>
  <c r="O523" i="8"/>
  <c r="O506" i="8"/>
  <c r="O522" i="8"/>
  <c r="O482" i="8"/>
  <c r="P725" i="6"/>
  <c r="J743" i="6"/>
  <c r="N312" i="8"/>
  <c r="N65" i="8" s="1"/>
  <c r="H132" i="22"/>
  <c r="O1310" i="6"/>
  <c r="O1312" i="6"/>
  <c r="O1552" i="6"/>
  <c r="O1399" i="6"/>
  <c r="O1303" i="6"/>
  <c r="O1118" i="6"/>
  <c r="O1396" i="6"/>
  <c r="N439" i="6"/>
  <c r="O1555" i="6"/>
  <c r="O1106" i="6"/>
  <c r="O462" i="4"/>
  <c r="O1305" i="6"/>
  <c r="O1322" i="6"/>
  <c r="N428" i="6"/>
  <c r="O428" i="4"/>
  <c r="O1117" i="6"/>
  <c r="O430" i="4"/>
  <c r="O1323" i="6"/>
  <c r="O1045" i="6"/>
  <c r="N261" i="6"/>
  <c r="O1402" i="6"/>
  <c r="O1058" i="6"/>
  <c r="O1543" i="6"/>
  <c r="O1537" i="6"/>
  <c r="O1551" i="6"/>
  <c r="O1532" i="6"/>
  <c r="N445" i="6"/>
  <c r="O1052" i="6"/>
  <c r="O1404" i="6"/>
  <c r="O1535" i="6"/>
  <c r="O1405" i="6"/>
  <c r="O1123" i="6"/>
  <c r="O395" i="4"/>
  <c r="O1398" i="6"/>
  <c r="O1308" i="6"/>
  <c r="O1316" i="6"/>
  <c r="O1043" i="6"/>
  <c r="O1324" i="6"/>
  <c r="O1115" i="6"/>
  <c r="O1311" i="6"/>
  <c r="O1547" i="6"/>
  <c r="O1057" i="6"/>
  <c r="O1105" i="6"/>
  <c r="O1541" i="6"/>
  <c r="O1042" i="6"/>
  <c r="O1545" i="6"/>
  <c r="O1114" i="6"/>
  <c r="O1553" i="6"/>
  <c r="O1046" i="6"/>
  <c r="O431" i="4"/>
  <c r="O1108" i="6"/>
  <c r="O1397" i="6"/>
  <c r="O1534" i="6"/>
  <c r="O1306" i="6"/>
  <c r="O1325" i="6"/>
  <c r="O1047" i="6"/>
  <c r="O1538" i="6"/>
  <c r="O1548" i="6"/>
  <c r="O1124" i="6"/>
  <c r="O1540" i="6"/>
  <c r="O1315" i="6"/>
  <c r="O1550" i="6"/>
  <c r="O1041" i="6"/>
  <c r="O1059" i="6"/>
  <c r="O1313" i="6"/>
  <c r="O1326" i="6"/>
  <c r="O1040" i="6"/>
  <c r="O1424" i="6"/>
  <c r="O1307" i="6"/>
  <c r="O1539" i="6"/>
  <c r="O1037" i="6"/>
  <c r="O1038" i="6"/>
  <c r="O1549" i="6"/>
  <c r="O1319" i="6"/>
  <c r="O1546" i="6"/>
  <c r="O1113" i="6"/>
  <c r="O1055" i="6"/>
  <c r="O263" i="6" s="1"/>
  <c r="O1309" i="6"/>
  <c r="O427" i="4"/>
  <c r="O1533" i="6"/>
  <c r="O1403" i="6"/>
  <c r="O1111" i="6"/>
  <c r="N322" i="6"/>
  <c r="O1304" i="6"/>
  <c r="O1314" i="6"/>
  <c r="O1536" i="6"/>
  <c r="O1039" i="6"/>
  <c r="O432" i="4"/>
  <c r="O1053" i="6"/>
  <c r="O1116" i="6"/>
  <c r="O396" i="4"/>
  <c r="O1400" i="6"/>
  <c r="O1048" i="6"/>
  <c r="O1107" i="6"/>
  <c r="O393" i="4"/>
  <c r="O1302" i="6"/>
  <c r="O1112" i="6"/>
  <c r="O1554" i="6"/>
  <c r="O1542" i="6"/>
  <c r="O1544" i="6"/>
  <c r="O1556" i="6"/>
  <c r="O1109" i="6"/>
  <c r="G395" i="6"/>
  <c r="C219" i="42" s="1"/>
  <c r="D219" i="42" s="1"/>
  <c r="M156" i="4"/>
  <c r="O750" i="4"/>
  <c r="O228" i="4" s="1"/>
  <c r="O440" i="8"/>
  <c r="O302" i="8"/>
  <c r="O387" i="4"/>
  <c r="O1388" i="6"/>
  <c r="O1050" i="6"/>
  <c r="O265" i="6" s="1"/>
  <c r="O1249" i="6"/>
  <c r="O641" i="4"/>
  <c r="O1732" i="6"/>
  <c r="O590" i="6" s="1"/>
  <c r="O1881" i="6"/>
  <c r="O496" i="4"/>
  <c r="O438" i="8"/>
  <c r="O1923" i="6"/>
  <c r="O371" i="5"/>
  <c r="O137" i="5" s="1"/>
  <c r="O1159" i="6"/>
  <c r="O1824" i="6"/>
  <c r="N132" i="8"/>
  <c r="O301" i="8"/>
  <c r="O627" i="4"/>
  <c r="O740" i="7"/>
  <c r="O273" i="8"/>
  <c r="O751" i="7"/>
  <c r="Y53" i="10"/>
  <c r="X29" i="11" s="1"/>
  <c r="Y29" i="11" s="1"/>
  <c r="Z29" i="11" s="1"/>
  <c r="N765" i="7"/>
  <c r="N274" i="7" s="1"/>
  <c r="O725" i="7"/>
  <c r="N126" i="8"/>
  <c r="L745" i="34"/>
  <c r="G2041" i="6"/>
  <c r="O709" i="4"/>
  <c r="O965" i="7"/>
  <c r="O274" i="8"/>
  <c r="O461" i="4"/>
  <c r="O1786" i="6"/>
  <c r="O1822" i="6"/>
  <c r="O553" i="4"/>
  <c r="O207" i="8"/>
  <c r="O304" i="8"/>
  <c r="O913" i="4"/>
  <c r="O491" i="4"/>
  <c r="O757" i="6"/>
  <c r="O388" i="4"/>
  <c r="O695" i="4"/>
  <c r="O826" i="6"/>
  <c r="O1519" i="6"/>
  <c r="N130" i="8"/>
  <c r="R92" i="10"/>
  <c r="S92" i="10" s="1"/>
  <c r="S59" i="10"/>
  <c r="O548" i="4"/>
  <c r="N118" i="4"/>
  <c r="O556" i="4"/>
  <c r="O309" i="8"/>
  <c r="O752" i="7"/>
  <c r="O262" i="7" s="1"/>
  <c r="O343" i="5"/>
  <c r="O716" i="4"/>
  <c r="O378" i="5"/>
  <c r="N141" i="5"/>
  <c r="L226" i="3"/>
  <c r="O550" i="4"/>
  <c r="O386" i="4"/>
  <c r="O557" i="4"/>
  <c r="O555" i="4"/>
  <c r="O241" i="8"/>
  <c r="O272" i="8"/>
  <c r="O1131" i="7"/>
  <c r="O385" i="4"/>
  <c r="O1095" i="6"/>
  <c r="N313" i="6"/>
  <c r="O456" i="4"/>
  <c r="O1797" i="6"/>
  <c r="O538" i="4"/>
  <c r="N90" i="7"/>
  <c r="O500" i="7"/>
  <c r="O625" i="4"/>
  <c r="W217" i="10"/>
  <c r="N663" i="4" s="1"/>
  <c r="N206" i="4" s="1"/>
  <c r="O307" i="8"/>
  <c r="O872" i="4"/>
  <c r="O303" i="8"/>
  <c r="O408" i="8"/>
  <c r="K247" i="15"/>
  <c r="K269" i="15" s="1"/>
  <c r="O379" i="5"/>
  <c r="O142" i="5" s="1"/>
  <c r="N91" i="7"/>
  <c r="O501" i="7"/>
  <c r="O1785" i="6"/>
  <c r="O585" i="4"/>
  <c r="O1136" i="7"/>
  <c r="O432" i="8"/>
  <c r="O710" i="4"/>
  <c r="O1283" i="6"/>
  <c r="O1713" i="6"/>
  <c r="O561" i="7"/>
  <c r="O1744" i="6"/>
  <c r="N595" i="6"/>
  <c r="O1590" i="6"/>
  <c r="O549" i="4"/>
  <c r="O275" i="8"/>
  <c r="O384" i="4"/>
  <c r="O1097" i="6"/>
  <c r="O558" i="4"/>
  <c r="O562" i="7"/>
  <c r="O554" i="4"/>
  <c r="O191" i="8"/>
  <c r="O1387" i="6"/>
  <c r="O494" i="4"/>
  <c r="N108" i="4"/>
  <c r="O1796" i="6"/>
  <c r="O551" i="4"/>
  <c r="O437" i="8"/>
  <c r="O552" i="4"/>
  <c r="O308" i="8"/>
  <c r="H699" i="34"/>
  <c r="H700" i="34" s="1"/>
  <c r="H206" i="34" s="1"/>
  <c r="H207" i="34" s="1"/>
  <c r="N1592" i="6"/>
  <c r="O1592" i="6" s="1"/>
  <c r="J1504" i="6"/>
  <c r="J462" i="6" s="1"/>
  <c r="Q220" i="10"/>
  <c r="S220" i="10" s="1"/>
  <c r="R139" i="11" s="1"/>
  <c r="M43" i="55"/>
  <c r="N40" i="55" s="1"/>
  <c r="K2027" i="6"/>
  <c r="R238" i="10"/>
  <c r="L2027" i="6" s="1"/>
  <c r="N1278" i="6"/>
  <c r="L142" i="3"/>
  <c r="O53" i="15"/>
  <c r="O22" i="15" s="1"/>
  <c r="AB29" i="42"/>
  <c r="N29" i="42" s="1"/>
  <c r="N20" i="42"/>
  <c r="L876" i="6"/>
  <c r="L177" i="6" s="1"/>
  <c r="L64" i="6" s="1"/>
  <c r="J61" i="3" s="1"/>
  <c r="AP81" i="9"/>
  <c r="J233" i="3" s="1"/>
  <c r="N1282" i="6"/>
  <c r="N407" i="6" s="1"/>
  <c r="K111" i="1"/>
  <c r="K114" i="1" s="1"/>
  <c r="K116" i="1" s="1"/>
  <c r="J21" i="40"/>
  <c r="M876" i="6" s="1"/>
  <c r="M177" i="6" s="1"/>
  <c r="AL21" i="42"/>
  <c r="K741" i="34"/>
  <c r="K743" i="34" s="1"/>
  <c r="E22" i="42"/>
  <c r="E55" i="15"/>
  <c r="F55" i="15" s="1"/>
  <c r="E15" i="15"/>
  <c r="F15" i="15" s="1"/>
  <c r="B241" i="42"/>
  <c r="H204" i="34"/>
  <c r="L295" i="7"/>
  <c r="L12" i="7" s="1"/>
  <c r="N784" i="7"/>
  <c r="N292" i="7" s="1"/>
  <c r="O502" i="7"/>
  <c r="O92" i="7" s="1"/>
  <c r="I794" i="34"/>
  <c r="I800" i="34" s="1"/>
  <c r="I824" i="34"/>
  <c r="N565" i="7"/>
  <c r="N128" i="7" s="1"/>
  <c r="M579" i="6"/>
  <c r="M15" i="6" s="1"/>
  <c r="P644" i="6"/>
  <c r="N1279" i="6"/>
  <c r="N405" i="6" s="1"/>
  <c r="L112" i="3"/>
  <c r="L774" i="34"/>
  <c r="N333" i="4"/>
  <c r="E20" i="13"/>
  <c r="E23" i="13" s="1"/>
  <c r="O927" i="4"/>
  <c r="N924" i="4"/>
  <c r="N348" i="4" s="1"/>
  <c r="M146" i="6"/>
  <c r="M141" i="3"/>
  <c r="M877" i="6"/>
  <c r="P53" i="11"/>
  <c r="Q53" i="11" s="1"/>
  <c r="N24" i="9"/>
  <c r="AU87" i="37"/>
  <c r="AU88" i="37" s="1"/>
  <c r="K776" i="34"/>
  <c r="L96" i="37"/>
  <c r="N131" i="7"/>
  <c r="Z346" i="9"/>
  <c r="M7" i="37"/>
  <c r="AV50" i="37" s="1"/>
  <c r="F121" i="3"/>
  <c r="N259" i="7"/>
  <c r="Q19" i="42"/>
  <c r="B160" i="3"/>
  <c r="B161" i="3" s="1"/>
  <c r="L111" i="3"/>
  <c r="B46" i="7"/>
  <c r="A13" i="3"/>
  <c r="A295" i="3" s="1"/>
  <c r="N145" i="3"/>
  <c r="P249" i="6"/>
  <c r="BJ117" i="9" s="1"/>
  <c r="M91" i="6"/>
  <c r="K113" i="3"/>
  <c r="M1609" i="6" s="1"/>
  <c r="K116" i="3" s="1"/>
  <c r="K117" i="3" s="1"/>
  <c r="Q1833" i="6"/>
  <c r="R1833" i="6" s="1"/>
  <c r="Q1023" i="6"/>
  <c r="R1023" i="6" s="1"/>
  <c r="G275" i="15"/>
  <c r="G280" i="15" s="1"/>
  <c r="J195" i="8" s="1"/>
  <c r="F438" i="34"/>
  <c r="L114" i="3"/>
  <c r="F63" i="3"/>
  <c r="F64" i="3" s="1"/>
  <c r="F144" i="3"/>
  <c r="F147" i="3" s="1"/>
  <c r="H30" i="5"/>
  <c r="F14" i="3"/>
  <c r="BN7" i="9"/>
  <c r="BN24" i="9" s="1"/>
  <c r="P608" i="4"/>
  <c r="P145" i="4" s="1"/>
  <c r="P47" i="4" s="1"/>
  <c r="N70" i="3" s="1"/>
  <c r="CR29" i="9"/>
  <c r="BN112" i="9"/>
  <c r="CU186" i="9"/>
  <c r="CU7" i="9"/>
  <c r="P1571" i="6"/>
  <c r="BN186" i="9"/>
  <c r="CU111" i="9"/>
  <c r="CU54" i="9"/>
  <c r="BN174" i="9"/>
  <c r="P1013" i="6"/>
  <c r="P232" i="6" s="1"/>
  <c r="BN111" i="9"/>
  <c r="L177" i="9"/>
  <c r="CR177" i="9"/>
  <c r="N60" i="8"/>
  <c r="AT61" i="9"/>
  <c r="AT63" i="9" s="1"/>
  <c r="O526" i="4"/>
  <c r="AV134" i="9"/>
  <c r="AV138" i="9" s="1"/>
  <c r="K134" i="9"/>
  <c r="K138" i="9" s="1"/>
  <c r="M1080" i="6" s="1"/>
  <c r="CQ134" i="9"/>
  <c r="AT134" i="9"/>
  <c r="M291" i="7"/>
  <c r="N782" i="7"/>
  <c r="N291" i="7" s="1"/>
  <c r="N209" i="3"/>
  <c r="H79" i="5"/>
  <c r="C205" i="42"/>
  <c r="D205" i="42" s="1"/>
  <c r="H210" i="5"/>
  <c r="C207" i="42"/>
  <c r="D207" i="42" s="1"/>
  <c r="H109" i="7"/>
  <c r="C208" i="42"/>
  <c r="D208" i="42" s="1"/>
  <c r="H194" i="7"/>
  <c r="C210" i="42"/>
  <c r="D210" i="42" s="1"/>
  <c r="G210" i="42" s="1"/>
  <c r="J93" i="48"/>
  <c r="N129" i="8"/>
  <c r="M235" i="3"/>
  <c r="BE138" i="9"/>
  <c r="O1079" i="6" s="1"/>
  <c r="H149" i="7"/>
  <c r="C209" i="42"/>
  <c r="D209" i="42" s="1"/>
  <c r="H163" i="5"/>
  <c r="C204" i="42"/>
  <c r="D204" i="42" s="1"/>
  <c r="H234" i="6"/>
  <c r="C217" i="42"/>
  <c r="D217" i="42" s="1"/>
  <c r="L29" i="9"/>
  <c r="N768" i="7" s="1"/>
  <c r="Q1028" i="6"/>
  <c r="R1028" i="6" s="1"/>
  <c r="H208" i="3"/>
  <c r="H210" i="3" s="1"/>
  <c r="G56" i="13"/>
  <c r="H146" i="3" s="1"/>
  <c r="H335" i="7"/>
  <c r="C213" i="42"/>
  <c r="H279" i="7"/>
  <c r="C212" i="42"/>
  <c r="N148" i="6"/>
  <c r="W21" i="42"/>
  <c r="J54" i="15" s="1"/>
  <c r="V9" i="11"/>
  <c r="W9" i="11" s="1"/>
  <c r="G139" i="11"/>
  <c r="H139" i="11" s="1"/>
  <c r="J139" i="11" s="1"/>
  <c r="K139" i="11" s="1"/>
  <c r="M139" i="11" s="1"/>
  <c r="N139" i="11" s="1"/>
  <c r="P139" i="11" s="1"/>
  <c r="Q139" i="11" s="1"/>
  <c r="CU112" i="9"/>
  <c r="BM54" i="9"/>
  <c r="BN54" i="9" s="1"/>
  <c r="CU174" i="9"/>
  <c r="P1067" i="7"/>
  <c r="P406" i="7" s="1"/>
  <c r="L119" i="9"/>
  <c r="CF68" i="21"/>
  <c r="F309" i="15"/>
  <c r="H281" i="6"/>
  <c r="R164" i="48"/>
  <c r="R167" i="48"/>
  <c r="O435" i="4"/>
  <c r="H180" i="6"/>
  <c r="G462" i="6"/>
  <c r="G1509" i="6"/>
  <c r="H1509" i="6" s="1"/>
  <c r="J21" i="5"/>
  <c r="G19" i="13" s="1"/>
  <c r="G513" i="5"/>
  <c r="G470" i="5"/>
  <c r="H470" i="5" s="1"/>
  <c r="E218" i="15"/>
  <c r="F218" i="15" s="1"/>
  <c r="E139" i="15"/>
  <c r="F139" i="15" s="1"/>
  <c r="M289" i="7"/>
  <c r="N780" i="7"/>
  <c r="O780" i="7" s="1"/>
  <c r="M788" i="7"/>
  <c r="E479" i="34"/>
  <c r="E533" i="34" s="1"/>
  <c r="D448" i="7"/>
  <c r="C160" i="3" s="1"/>
  <c r="H1165" i="7"/>
  <c r="E142" i="13"/>
  <c r="K72" i="14"/>
  <c r="I44" i="15"/>
  <c r="I306" i="34" s="1"/>
  <c r="F308" i="15"/>
  <c r="BS112" i="9"/>
  <c r="CV112" i="9"/>
  <c r="Q608" i="4"/>
  <c r="Q145" i="4" s="1"/>
  <c r="Q47" i="4" s="1"/>
  <c r="O70" i="3" s="1"/>
  <c r="CV7" i="9"/>
  <c r="BS7" i="9"/>
  <c r="BS24" i="9" s="1"/>
  <c r="Q1067" i="7"/>
  <c r="Q406" i="7" s="1"/>
  <c r="BR54" i="9"/>
  <c r="CV54" i="9"/>
  <c r="Q1013" i="6"/>
  <c r="Q232" i="6" s="1"/>
  <c r="BS111" i="9"/>
  <c r="CV111" i="9"/>
  <c r="Q1571" i="6"/>
  <c r="BS186" i="9"/>
  <c r="CV186" i="9"/>
  <c r="BS174" i="9"/>
  <c r="CV174" i="9"/>
  <c r="M110" i="40"/>
  <c r="AC88" i="10" s="1"/>
  <c r="N109" i="40"/>
  <c r="G32" i="5"/>
  <c r="H32" i="5" s="1"/>
  <c r="K101" i="42"/>
  <c r="M101" i="42" s="1"/>
  <c r="E353" i="34"/>
  <c r="E523" i="34" s="1"/>
  <c r="G601" i="4"/>
  <c r="H601" i="4" s="1"/>
  <c r="G34" i="4"/>
  <c r="H34" i="4" s="1"/>
  <c r="O158" i="15"/>
  <c r="N239" i="8"/>
  <c r="AM21" i="42" s="1"/>
  <c r="N123" i="8"/>
  <c r="M289" i="45"/>
  <c r="BE87" i="9"/>
  <c r="BE169" i="9" s="1"/>
  <c r="BO3" i="9"/>
  <c r="BO87" i="9" s="1"/>
  <c r="BO169" i="9" s="1"/>
  <c r="BH87" i="9"/>
  <c r="BH169" i="9" s="1"/>
  <c r="BR3" i="9"/>
  <c r="BR87" i="9" s="1"/>
  <c r="BR169" i="9" s="1"/>
  <c r="BF87" i="9"/>
  <c r="BF169" i="9" s="1"/>
  <c r="BP3" i="9"/>
  <c r="BP87" i="9" s="1"/>
  <c r="BP169" i="9" s="1"/>
  <c r="BG87" i="9"/>
  <c r="BQ3" i="9"/>
  <c r="BQ87" i="9" s="1"/>
  <c r="BQ169" i="9" s="1"/>
  <c r="O24" i="9"/>
  <c r="J64" i="14"/>
  <c r="C159" i="3" s="1"/>
  <c r="N348" i="7"/>
  <c r="O878" i="7"/>
  <c r="O1795" i="6"/>
  <c r="P631" i="6"/>
  <c r="Q1782" i="6"/>
  <c r="O105" i="1"/>
  <c r="P98" i="1"/>
  <c r="P105" i="1" s="1"/>
  <c r="O903" i="6"/>
  <c r="AC5" i="54"/>
  <c r="AB11" i="54"/>
  <c r="AB18" i="54" s="1"/>
  <c r="AB20" i="54" s="1"/>
  <c r="O217" i="8"/>
  <c r="O415" i="8"/>
  <c r="O1819" i="6"/>
  <c r="O447" i="8"/>
  <c r="Q2006" i="6"/>
  <c r="Q646" i="6"/>
  <c r="P659" i="7"/>
  <c r="P8" i="1"/>
  <c r="O229" i="5"/>
  <c r="O882" i="7"/>
  <c r="O881" i="7"/>
  <c r="O1814" i="6"/>
  <c r="O880" i="7"/>
  <c r="O1880" i="6"/>
  <c r="O885" i="7"/>
  <c r="O902" i="7"/>
  <c r="M1009" i="7"/>
  <c r="M405" i="7" s="1"/>
  <c r="M54" i="7" s="1"/>
  <c r="K59" i="3" s="1"/>
  <c r="W92" i="10"/>
  <c r="M965" i="6"/>
  <c r="N410" i="6"/>
  <c r="F588" i="34"/>
  <c r="F239" i="34" s="1"/>
  <c r="O1921" i="6"/>
  <c r="N125" i="1"/>
  <c r="O845" i="6"/>
  <c r="O848" i="6"/>
  <c r="O1443" i="6"/>
  <c r="O917" i="6"/>
  <c r="O455" i="4"/>
  <c r="J216" i="15"/>
  <c r="J137" i="15"/>
  <c r="J161" i="15" s="1"/>
  <c r="O236" i="8"/>
  <c r="O849" i="6"/>
  <c r="O531" i="4"/>
  <c r="O850" i="6"/>
  <c r="N126" i="1"/>
  <c r="M72" i="34"/>
  <c r="O1719" i="6"/>
  <c r="N1754" i="6"/>
  <c r="N577" i="6"/>
  <c r="N604" i="6" s="1"/>
  <c r="N2074" i="6" s="1"/>
  <c r="N53" i="6" s="1"/>
  <c r="M738" i="34"/>
  <c r="N920" i="7"/>
  <c r="M367" i="7"/>
  <c r="O1439" i="6"/>
  <c r="O1416" i="6"/>
  <c r="O5" i="1"/>
  <c r="AD8" i="54" s="1"/>
  <c r="O327" i="8"/>
  <c r="K192" i="15"/>
  <c r="X30" i="42"/>
  <c r="J30" i="42" s="1"/>
  <c r="J65" i="13"/>
  <c r="O914" i="6"/>
  <c r="O1412" i="6"/>
  <c r="O422" i="4"/>
  <c r="N128" i="1"/>
  <c r="O297" i="8"/>
  <c r="M746" i="34"/>
  <c r="L750" i="34"/>
  <c r="N117" i="9"/>
  <c r="O1419" i="6"/>
  <c r="O1417" i="6"/>
  <c r="O1445" i="6"/>
  <c r="O1422" i="6"/>
  <c r="O966" i="7"/>
  <c r="O908" i="6"/>
  <c r="V217" i="10"/>
  <c r="U136" i="11" s="1"/>
  <c r="V136" i="11" s="1"/>
  <c r="W136" i="11" s="1"/>
  <c r="O17" i="27"/>
  <c r="O519" i="4"/>
  <c r="O926" i="6"/>
  <c r="N127" i="1"/>
  <c r="O1415" i="6"/>
  <c r="O1420" i="6"/>
  <c r="O438" i="4"/>
  <c r="O74" i="4" s="1"/>
  <c r="O1413" i="6"/>
  <c r="O1160" i="6"/>
  <c r="N417" i="6"/>
  <c r="O1414" i="6"/>
  <c r="O1353" i="6"/>
  <c r="O1386" i="6"/>
  <c r="O190" i="8"/>
  <c r="N124" i="1"/>
  <c r="L214" i="15"/>
  <c r="L159" i="15" s="1"/>
  <c r="Y31" i="42"/>
  <c r="K31" i="42" s="1"/>
  <c r="K122" i="13"/>
  <c r="O334" i="8"/>
  <c r="O1444" i="6"/>
  <c r="O846" i="6"/>
  <c r="O1126" i="6"/>
  <c r="O1677" i="6"/>
  <c r="O900" i="4"/>
  <c r="O937" i="7"/>
  <c r="N1002" i="7"/>
  <c r="N1225" i="7" s="1"/>
  <c r="N373" i="7"/>
  <c r="N397" i="7" s="1"/>
  <c r="N43" i="7" s="1"/>
  <c r="K13" i="13" s="1"/>
  <c r="K49" i="13" s="1"/>
  <c r="O490" i="4"/>
  <c r="N107" i="4"/>
  <c r="O460" i="4"/>
  <c r="O1441" i="6"/>
  <c r="O328" i="8"/>
  <c r="O1418" i="6"/>
  <c r="O296" i="8"/>
  <c r="O1440" i="6"/>
  <c r="O847" i="6"/>
  <c r="O844" i="6"/>
  <c r="BI117" i="9"/>
  <c r="CT117" i="9"/>
  <c r="O1421" i="6"/>
  <c r="O1240" i="6"/>
  <c r="O1673" i="6"/>
  <c r="O627" i="7"/>
  <c r="N630" i="7"/>
  <c r="N1222" i="7" s="1"/>
  <c r="N179" i="7"/>
  <c r="N182" i="7" s="1"/>
  <c r="N42" i="7" s="1"/>
  <c r="L66" i="13" s="1"/>
  <c r="O1442" i="6"/>
  <c r="M742" i="34"/>
  <c r="O715" i="4"/>
  <c r="J737" i="34"/>
  <c r="J749" i="34" s="1"/>
  <c r="J751" i="34" s="1"/>
  <c r="D539" i="34"/>
  <c r="K747" i="34"/>
  <c r="K723" i="34"/>
  <c r="J117" i="15"/>
  <c r="J108" i="15"/>
  <c r="G585" i="34"/>
  <c r="G586" i="34" s="1"/>
  <c r="E106" i="15"/>
  <c r="N432" i="6"/>
  <c r="L146" i="9"/>
  <c r="BD146" i="9" s="1"/>
  <c r="M1146" i="6"/>
  <c r="M354" i="6" s="1"/>
  <c r="N366" i="7"/>
  <c r="B1227" i="7"/>
  <c r="H46" i="15"/>
  <c r="H15" i="15" s="1"/>
  <c r="H55" i="15"/>
  <c r="H24" i="15" s="1"/>
  <c r="I293" i="34"/>
  <c r="I525" i="34" s="1"/>
  <c r="I557" i="34"/>
  <c r="G13" i="15"/>
  <c r="G290" i="34" s="1"/>
  <c r="G306" i="34"/>
  <c r="D290" i="34"/>
  <c r="D353" i="34" s="1"/>
  <c r="D473" i="34" s="1"/>
  <c r="F471" i="34"/>
  <c r="F521" i="34"/>
  <c r="G382" i="34"/>
  <c r="G495" i="34"/>
  <c r="F495" i="34"/>
  <c r="F382" i="34"/>
  <c r="H288" i="34"/>
  <c r="H351" i="34" s="1"/>
  <c r="H553" i="34"/>
  <c r="H377" i="34"/>
  <c r="I320" i="34"/>
  <c r="G471" i="34"/>
  <c r="G521" i="34"/>
  <c r="H598" i="34"/>
  <c r="H600" i="34" s="1"/>
  <c r="H241" i="34" s="1"/>
  <c r="AK8" i="42"/>
  <c r="J71" i="15" s="1"/>
  <c r="D2039" i="6"/>
  <c r="AK209" i="9"/>
  <c r="AK211" i="9" s="1"/>
  <c r="N640" i="4"/>
  <c r="N392" i="4"/>
  <c r="N59" i="4" s="1"/>
  <c r="J77" i="15"/>
  <c r="H194" i="15"/>
  <c r="H139" i="15" s="1"/>
  <c r="H163" i="15" s="1"/>
  <c r="U34" i="42"/>
  <c r="G34" i="42" s="1"/>
  <c r="N278" i="6"/>
  <c r="K52" i="6"/>
  <c r="H104" i="13" s="1"/>
  <c r="N2075" i="6"/>
  <c r="O1848" i="6"/>
  <c r="L731" i="34"/>
  <c r="N146" i="6"/>
  <c r="N152" i="6"/>
  <c r="N149" i="6"/>
  <c r="N144" i="6"/>
  <c r="K767" i="34"/>
  <c r="D552" i="34"/>
  <c r="H138" i="15"/>
  <c r="H162" i="15" s="1"/>
  <c r="M1221" i="7"/>
  <c r="K5" i="3" s="1"/>
  <c r="I14" i="13"/>
  <c r="M395" i="7"/>
  <c r="M41" i="7" s="1"/>
  <c r="J12" i="13" s="1"/>
  <c r="K1211" i="7"/>
  <c r="K183" i="7"/>
  <c r="K194" i="7" s="1"/>
  <c r="I23" i="15"/>
  <c r="I217" i="15"/>
  <c r="I138" i="15"/>
  <c r="I162" i="15" s="1"/>
  <c r="K642" i="7"/>
  <c r="N178" i="7"/>
  <c r="M575" i="7"/>
  <c r="M577" i="7" s="1"/>
  <c r="M579" i="7" s="1"/>
  <c r="N572" i="7"/>
  <c r="O572" i="7" s="1"/>
  <c r="AM12" i="42"/>
  <c r="N48" i="8"/>
  <c r="M148" i="8"/>
  <c r="K25" i="17"/>
  <c r="K10" i="17" s="1"/>
  <c r="K245" i="15"/>
  <c r="M548" i="8"/>
  <c r="K27" i="17"/>
  <c r="K12" i="17" s="1"/>
  <c r="K296" i="15" s="1"/>
  <c r="BA21" i="42"/>
  <c r="L116" i="15" s="1"/>
  <c r="J318" i="15"/>
  <c r="O435" i="8"/>
  <c r="I749" i="34"/>
  <c r="I751" i="34" s="1"/>
  <c r="N352" i="7"/>
  <c r="D376" i="34"/>
  <c r="D494" i="34" s="1"/>
  <c r="I687" i="34"/>
  <c r="I681" i="34" s="1"/>
  <c r="M4" i="37"/>
  <c r="O1026" i="6"/>
  <c r="O248" i="6" s="1"/>
  <c r="L404" i="4"/>
  <c r="J9" i="12" s="1"/>
  <c r="L2073" i="6"/>
  <c r="J7" i="3" s="1"/>
  <c r="M160" i="7"/>
  <c r="L769" i="34"/>
  <c r="O1241" i="6"/>
  <c r="O1342" i="6"/>
  <c r="L728" i="34"/>
  <c r="L724" i="34"/>
  <c r="J793" i="34"/>
  <c r="J799" i="34" s="1"/>
  <c r="J813" i="34"/>
  <c r="J258" i="3" s="1"/>
  <c r="N120" i="8"/>
  <c r="L2076" i="6"/>
  <c r="K18" i="5"/>
  <c r="K27" i="5" s="1"/>
  <c r="C32" i="8"/>
  <c r="D32" i="8"/>
  <c r="I32" i="8"/>
  <c r="J32" i="8"/>
  <c r="M376" i="6"/>
  <c r="N118" i="8"/>
  <c r="O454" i="4"/>
  <c r="O441" i="8"/>
  <c r="P441" i="8" s="1"/>
  <c r="O330" i="8"/>
  <c r="M21" i="12"/>
  <c r="N21" i="12" s="1"/>
  <c r="O930" i="4"/>
  <c r="O354" i="4" s="1"/>
  <c r="O430" i="8"/>
  <c r="P430" i="8" s="1"/>
  <c r="O424" i="4"/>
  <c r="M23" i="12"/>
  <c r="N23" i="12" s="1"/>
  <c r="N430" i="6"/>
  <c r="O322" i="8"/>
  <c r="N67" i="8"/>
  <c r="O876" i="4"/>
  <c r="P876" i="4" s="1"/>
  <c r="O439" i="8"/>
  <c r="M24" i="12"/>
  <c r="N24" i="12" s="1"/>
  <c r="O337" i="8"/>
  <c r="M26" i="12"/>
  <c r="N26" i="12" s="1"/>
  <c r="M20" i="12"/>
  <c r="M25" i="12"/>
  <c r="N64" i="8"/>
  <c r="M22" i="12"/>
  <c r="N22" i="12" s="1"/>
  <c r="AO121" i="22"/>
  <c r="N300" i="8"/>
  <c r="N63" i="8" s="1"/>
  <c r="AO81" i="9"/>
  <c r="B569" i="8"/>
  <c r="B581" i="8" s="1"/>
  <c r="N122" i="8"/>
  <c r="N127" i="8"/>
  <c r="N131" i="8"/>
  <c r="N121" i="8"/>
  <c r="N119" i="8"/>
  <c r="B579" i="8"/>
  <c r="B608" i="8" s="1"/>
  <c r="M57" i="8"/>
  <c r="A101" i="16"/>
  <c r="A102" i="16" s="1"/>
  <c r="A104" i="16" s="1"/>
  <c r="A106" i="16" s="1"/>
  <c r="A8" i="16"/>
  <c r="A13" i="16" s="1"/>
  <c r="A242" i="15"/>
  <c r="M66" i="8"/>
  <c r="L431" i="45"/>
  <c r="L432" i="45" s="1"/>
  <c r="L433" i="45" s="1"/>
  <c r="D394" i="34"/>
  <c r="D397" i="34"/>
  <c r="I125" i="22"/>
  <c r="J76" i="21"/>
  <c r="J78" i="21" s="1"/>
  <c r="K97" i="3" s="1"/>
  <c r="F119" i="17"/>
  <c r="E300" i="15"/>
  <c r="F300" i="15" s="1"/>
  <c r="AO3" i="21"/>
  <c r="AL3" i="22"/>
  <c r="AH78" i="22"/>
  <c r="AH121" i="22" s="1"/>
  <c r="M357" i="8"/>
  <c r="M95" i="8" s="1"/>
  <c r="AT52" i="42"/>
  <c r="AT54" i="42" s="1"/>
  <c r="D183" i="42"/>
  <c r="D185" i="42" s="1"/>
  <c r="N58" i="14"/>
  <c r="K150" i="5"/>
  <c r="K152" i="5" s="1"/>
  <c r="AK54" i="42"/>
  <c r="K770" i="34"/>
  <c r="H4" i="12"/>
  <c r="K399" i="4" s="1"/>
  <c r="AE26" i="11"/>
  <c r="AF26" i="11" s="1"/>
  <c r="AH26" i="11" s="1"/>
  <c r="AI26" i="11" s="1"/>
  <c r="AK26" i="11" s="1"/>
  <c r="O1129" i="7"/>
  <c r="P1129" i="7" s="1"/>
  <c r="O904" i="6"/>
  <c r="P904" i="6" s="1"/>
  <c r="O826" i="7"/>
  <c r="P826" i="7" s="1"/>
  <c r="O799" i="7"/>
  <c r="P799" i="7" s="1"/>
  <c r="O680" i="7"/>
  <c r="P680" i="7" s="1"/>
  <c r="O1616" i="6"/>
  <c r="O891" i="6"/>
  <c r="P891" i="6" s="1"/>
  <c r="O1132" i="7"/>
  <c r="P1132" i="7" s="1"/>
  <c r="O510" i="7"/>
  <c r="P510" i="7" s="1"/>
  <c r="O890" i="6"/>
  <c r="O1114" i="7"/>
  <c r="P1114" i="7" s="1"/>
  <c r="O1160" i="7"/>
  <c r="P1160" i="7" s="1"/>
  <c r="O888" i="6"/>
  <c r="N1113" i="7"/>
  <c r="L735" i="34" s="1"/>
  <c r="H100" i="42"/>
  <c r="L745" i="6"/>
  <c r="G22" i="42"/>
  <c r="P1972" i="6"/>
  <c r="Q1972" i="6" s="1"/>
  <c r="R1972" i="6" s="1"/>
  <c r="H101" i="14"/>
  <c r="P58" i="14" s="1"/>
  <c r="M58" i="14"/>
  <c r="I97" i="42"/>
  <c r="I1195" i="7"/>
  <c r="I194" i="7"/>
  <c r="O1989" i="6"/>
  <c r="K21" i="40"/>
  <c r="N876" i="6" s="1"/>
  <c r="L857" i="7"/>
  <c r="L859" i="7" s="1"/>
  <c r="L868" i="7" s="1"/>
  <c r="O1021" i="7"/>
  <c r="O564" i="4"/>
  <c r="P564" i="4" s="1"/>
  <c r="O866" i="4"/>
  <c r="P866" i="4" s="1"/>
  <c r="O864" i="4"/>
  <c r="P864" i="4" s="1"/>
  <c r="O1810" i="6"/>
  <c r="P1810" i="6" s="1"/>
  <c r="O904" i="7"/>
  <c r="O1791" i="6"/>
  <c r="P1791" i="6" s="1"/>
  <c r="O523" i="4"/>
  <c r="P523" i="4" s="1"/>
  <c r="O1127" i="7"/>
  <c r="P1127" i="7" s="1"/>
  <c r="W7" i="42"/>
  <c r="J39" i="15" s="1"/>
  <c r="O1667" i="6"/>
  <c r="P1667" i="6" s="1"/>
  <c r="K771" i="34"/>
  <c r="T234" i="10"/>
  <c r="V234" i="10" s="1"/>
  <c r="U152" i="11" s="1"/>
  <c r="V152" i="11" s="1"/>
  <c r="W152" i="11" s="1"/>
  <c r="O815" i="4"/>
  <c r="P815" i="4" s="1"/>
  <c r="O814" i="4"/>
  <c r="L716" i="34"/>
  <c r="O905" i="7"/>
  <c r="P905" i="7" s="1"/>
  <c r="I316" i="15"/>
  <c r="I267" i="15"/>
  <c r="N116" i="4"/>
  <c r="L527" i="7"/>
  <c r="L529" i="7" s="1"/>
  <c r="L538" i="7" s="1"/>
  <c r="Z109" i="10"/>
  <c r="Z201" i="10" s="1"/>
  <c r="AC3" i="10"/>
  <c r="AB109" i="10"/>
  <c r="AB201" i="10" s="1"/>
  <c r="AE3" i="10"/>
  <c r="N326" i="6"/>
  <c r="N1727" i="6"/>
  <c r="N585" i="6" s="1"/>
  <c r="N1286" i="6"/>
  <c r="L768" i="34" s="1"/>
  <c r="N1910" i="6"/>
  <c r="N663" i="6" s="1"/>
  <c r="N1277" i="6"/>
  <c r="N106" i="4"/>
  <c r="K773" i="34"/>
  <c r="N637" i="4"/>
  <c r="N183" i="4" s="1"/>
  <c r="N870" i="4"/>
  <c r="O870" i="4" s="1"/>
  <c r="P870" i="4" s="1"/>
  <c r="N72" i="4"/>
  <c r="O1383" i="6"/>
  <c r="P1383" i="6" s="1"/>
  <c r="K72" i="1"/>
  <c r="L63" i="1"/>
  <c r="J698" i="34"/>
  <c r="H44" i="15"/>
  <c r="O429" i="8"/>
  <c r="M450" i="6"/>
  <c r="M455" i="6" s="1"/>
  <c r="M1364" i="6"/>
  <c r="P212" i="8"/>
  <c r="N1623" i="6"/>
  <c r="M504" i="6"/>
  <c r="O951" i="7"/>
  <c r="P951" i="7" s="1"/>
  <c r="O675" i="4"/>
  <c r="P675" i="4" s="1"/>
  <c r="N18" i="17"/>
  <c r="O18" i="17" s="1"/>
  <c r="L280" i="6"/>
  <c r="O405" i="5"/>
  <c r="P405" i="5" s="1"/>
  <c r="T22" i="37"/>
  <c r="U22" i="37" s="1"/>
  <c r="O894" i="7"/>
  <c r="P894" i="7" s="1"/>
  <c r="N162" i="6"/>
  <c r="N168" i="6" s="1"/>
  <c r="M869" i="6"/>
  <c r="O351" i="5"/>
  <c r="P351" i="5" s="1"/>
  <c r="N1359" i="6"/>
  <c r="M451" i="6"/>
  <c r="M456" i="6" s="1"/>
  <c r="M1365" i="6"/>
  <c r="J39" i="17"/>
  <c r="L558" i="8"/>
  <c r="L159" i="8" s="1"/>
  <c r="L32" i="8" s="1"/>
  <c r="M428" i="45"/>
  <c r="M430" i="45" s="1"/>
  <c r="R17" i="26"/>
  <c r="N809" i="7"/>
  <c r="N305" i="7" s="1"/>
  <c r="O883" i="7"/>
  <c r="P883" i="7" s="1"/>
  <c r="N1066" i="6"/>
  <c r="M1072" i="6"/>
  <c r="M273" i="6"/>
  <c r="O971" i="7"/>
  <c r="P971" i="7" s="1"/>
  <c r="N300" i="45"/>
  <c r="K55" i="6"/>
  <c r="V22" i="42" s="1"/>
  <c r="H32" i="13"/>
  <c r="H51" i="13" s="1"/>
  <c r="M705" i="34"/>
  <c r="N705" i="34" s="1"/>
  <c r="L704" i="34"/>
  <c r="K706" i="34"/>
  <c r="K211" i="34" s="1"/>
  <c r="K823" i="34" s="1"/>
  <c r="AR64" i="21"/>
  <c r="CG64" i="21"/>
  <c r="N18" i="16"/>
  <c r="CH90" i="22"/>
  <c r="AS90" i="22"/>
  <c r="M216" i="6"/>
  <c r="M222" i="6" s="1"/>
  <c r="M1004" i="6"/>
  <c r="N998" i="6"/>
  <c r="O425" i="5"/>
  <c r="P425" i="5" s="1"/>
  <c r="O357" i="5"/>
  <c r="O128" i="5" s="1"/>
  <c r="O224" i="5"/>
  <c r="P224" i="5" s="1"/>
  <c r="L68" i="21"/>
  <c r="CG66" i="21"/>
  <c r="O1896" i="6"/>
  <c r="P1896" i="6" s="1"/>
  <c r="O350" i="5"/>
  <c r="P350" i="5" s="1"/>
  <c r="O1280" i="6"/>
  <c r="P1280" i="6" s="1"/>
  <c r="O724" i="7"/>
  <c r="P724" i="7" s="1"/>
  <c r="S21" i="26"/>
  <c r="N1169" i="7"/>
  <c r="M452" i="7"/>
  <c r="M458" i="7" s="1"/>
  <c r="M45" i="7" s="1"/>
  <c r="M1175" i="7"/>
  <c r="M1223" i="7" s="1"/>
  <c r="C97" i="19"/>
  <c r="O15" i="1"/>
  <c r="P15" i="1" s="1"/>
  <c r="L772" i="34"/>
  <c r="P831" i="6"/>
  <c r="N260" i="6"/>
  <c r="N1232" i="6"/>
  <c r="I216" i="34"/>
  <c r="I814" i="34" s="1"/>
  <c r="I259" i="3" s="1"/>
  <c r="L161" i="34"/>
  <c r="O798" i="7"/>
  <c r="S22" i="26"/>
  <c r="O817" i="7"/>
  <c r="S19" i="26"/>
  <c r="N127" i="7"/>
  <c r="R23" i="26"/>
  <c r="N807" i="7"/>
  <c r="N302" i="7" s="1"/>
  <c r="O823" i="7"/>
  <c r="S16" i="26"/>
  <c r="O1602" i="6"/>
  <c r="S20" i="26"/>
  <c r="M289" i="6"/>
  <c r="K28" i="5"/>
  <c r="K42" i="6"/>
  <c r="M409" i="6"/>
  <c r="K55" i="7"/>
  <c r="I67" i="3" s="1"/>
  <c r="J12" i="5"/>
  <c r="G18" i="13" s="1"/>
  <c r="I30" i="5"/>
  <c r="G14" i="3" s="1"/>
  <c r="G45" i="4"/>
  <c r="I780" i="34"/>
  <c r="L64" i="14"/>
  <c r="F159" i="3" s="1"/>
  <c r="I513" i="5"/>
  <c r="C200" i="3"/>
  <c r="F114" i="34"/>
  <c r="F115" i="34" s="1"/>
  <c r="M116" i="40"/>
  <c r="A291" i="15"/>
  <c r="A99" i="17"/>
  <c r="A100" i="17" s="1"/>
  <c r="A102" i="17" s="1"/>
  <c r="A104" i="17" s="1"/>
  <c r="A116" i="17" s="1"/>
  <c r="O199" i="8"/>
  <c r="N325" i="8"/>
  <c r="N68" i="8" s="1"/>
  <c r="L107" i="8"/>
  <c r="AY8" i="42" s="1"/>
  <c r="N111" i="8"/>
  <c r="L289" i="45"/>
  <c r="L295" i="45" s="1"/>
  <c r="L305" i="45" s="1"/>
  <c r="L306" i="45" s="1"/>
  <c r="O185" i="8"/>
  <c r="L43" i="8"/>
  <c r="AK7" i="42" s="1"/>
  <c r="N44" i="8"/>
  <c r="AM8" i="42" s="1"/>
  <c r="AY7" i="42"/>
  <c r="J101" i="15" s="1"/>
  <c r="L86" i="17"/>
  <c r="L89" i="17" s="1"/>
  <c r="O338" i="8"/>
  <c r="N69" i="8"/>
  <c r="F67" i="17"/>
  <c r="F70" i="17" s="1"/>
  <c r="F80" i="3" s="1"/>
  <c r="O313" i="8"/>
  <c r="O216" i="8"/>
  <c r="N57" i="8"/>
  <c r="O925" i="4"/>
  <c r="N349" i="4"/>
  <c r="O926" i="4"/>
  <c r="N350" i="4"/>
  <c r="M362" i="4"/>
  <c r="G363" i="4"/>
  <c r="H363" i="4" s="1"/>
  <c r="G972" i="4"/>
  <c r="H972" i="4" s="1"/>
  <c r="I361" i="4"/>
  <c r="O434" i="4"/>
  <c r="O71" i="4" s="1"/>
  <c r="O421" i="4"/>
  <c r="O1862" i="6"/>
  <c r="N654" i="6"/>
  <c r="AD222" i="10"/>
  <c r="BB87" i="9"/>
  <c r="BL3" i="9"/>
  <c r="AZ87" i="9"/>
  <c r="AZ169" i="9" s="1"/>
  <c r="BJ3" i="9"/>
  <c r="BC87" i="9"/>
  <c r="BC169" i="9" s="1"/>
  <c r="BM3" i="9"/>
  <c r="BA87" i="9"/>
  <c r="BA169" i="9" s="1"/>
  <c r="BK3" i="9"/>
  <c r="N372" i="7"/>
  <c r="O293" i="7"/>
  <c r="P786" i="7"/>
  <c r="M53" i="12"/>
  <c r="K220" i="6"/>
  <c r="K223" i="6" s="1"/>
  <c r="N1583" i="6"/>
  <c r="N479" i="6" s="1"/>
  <c r="N1589" i="6"/>
  <c r="L1002" i="6"/>
  <c r="L1005" i="6" s="1"/>
  <c r="L1014" i="6" s="1"/>
  <c r="N190" i="6"/>
  <c r="M88" i="6"/>
  <c r="K169" i="6"/>
  <c r="O1070" i="6"/>
  <c r="P1497" i="6"/>
  <c r="P449" i="6"/>
  <c r="O1505" i="6"/>
  <c r="O463" i="6" s="1"/>
  <c r="AD220" i="10"/>
  <c r="P2006" i="6"/>
  <c r="P646" i="6"/>
  <c r="O630" i="6"/>
  <c r="P1781" i="6"/>
  <c r="O730" i="6"/>
  <c r="O735" i="6" s="1"/>
  <c r="L9" i="5"/>
  <c r="N60" i="5"/>
  <c r="I467" i="5"/>
  <c r="I470" i="5" s="1"/>
  <c r="I483" i="5" s="1"/>
  <c r="I487" i="5" s="1"/>
  <c r="C956" i="4"/>
  <c r="M66" i="37"/>
  <c r="M69" i="37" s="1"/>
  <c r="M82" i="37" s="1"/>
  <c r="O89" i="20"/>
  <c r="J70" i="20"/>
  <c r="K69" i="20" s="1"/>
  <c r="K68" i="20" s="1"/>
  <c r="K70" i="20" s="1"/>
  <c r="L69" i="20" s="1"/>
  <c r="L68" i="20" s="1"/>
  <c r="O97" i="5"/>
  <c r="I163" i="5"/>
  <c r="G121" i="3" s="1"/>
  <c r="L10" i="5"/>
  <c r="B36" i="13"/>
  <c r="C38" i="4"/>
  <c r="C996" i="4"/>
  <c r="N164" i="48"/>
  <c r="A107" i="3"/>
  <c r="L167" i="6"/>
  <c r="M7" i="6"/>
  <c r="L108" i="9"/>
  <c r="J379" i="34"/>
  <c r="J497" i="34" s="1"/>
  <c r="G309" i="15"/>
  <c r="N868" i="6"/>
  <c r="M593" i="6"/>
  <c r="K1366" i="6"/>
  <c r="K1374" i="6" s="1"/>
  <c r="O497" i="7"/>
  <c r="N1174" i="7"/>
  <c r="J2058" i="6"/>
  <c r="J223" i="6"/>
  <c r="K1005" i="6"/>
  <c r="K1014" i="6" s="1"/>
  <c r="B51" i="6"/>
  <c r="V81" i="42"/>
  <c r="N775" i="6"/>
  <c r="L698" i="6"/>
  <c r="N1098" i="6"/>
  <c r="N303" i="6" s="1"/>
  <c r="O1978" i="6"/>
  <c r="N703" i="6"/>
  <c r="N1585" i="6"/>
  <c r="N476" i="6" s="1"/>
  <c r="L1609" i="6"/>
  <c r="J116" i="3" s="1"/>
  <c r="J117" i="3" s="1"/>
  <c r="K763" i="34"/>
  <c r="M178" i="5"/>
  <c r="M498" i="5" s="1"/>
  <c r="H8" i="15"/>
  <c r="I597" i="34"/>
  <c r="O209" i="8"/>
  <c r="P209" i="8" s="1"/>
  <c r="L21" i="8"/>
  <c r="L85" i="8"/>
  <c r="AZ22" i="42"/>
  <c r="N541" i="8"/>
  <c r="M142" i="8"/>
  <c r="M149" i="8" s="1"/>
  <c r="AZ34" i="42" s="1"/>
  <c r="O303" i="5"/>
  <c r="P303" i="5" s="1"/>
  <c r="O32" i="27"/>
  <c r="P32" i="27" s="1"/>
  <c r="O250" i="8"/>
  <c r="P250" i="8" s="1"/>
  <c r="O1936" i="6"/>
  <c r="P1936" i="6" s="1"/>
  <c r="M348" i="8"/>
  <c r="M79" i="8"/>
  <c r="AL22" i="42" s="1"/>
  <c r="J86" i="15" s="1"/>
  <c r="J325" i="34" s="1"/>
  <c r="N342" i="8"/>
  <c r="L27" i="16" s="1"/>
  <c r="L12" i="16" s="1"/>
  <c r="O375" i="8"/>
  <c r="P375" i="8" s="1"/>
  <c r="O612" i="7"/>
  <c r="P612" i="7" s="1"/>
  <c r="O510" i="4"/>
  <c r="P510" i="4" s="1"/>
  <c r="O374" i="8"/>
  <c r="P374" i="8" s="1"/>
  <c r="N416" i="5"/>
  <c r="L218" i="6"/>
  <c r="L24" i="6" s="1"/>
  <c r="L40" i="6" s="1"/>
  <c r="N763" i="4"/>
  <c r="N231" i="4" s="1"/>
  <c r="N758" i="4"/>
  <c r="O758" i="4" s="1"/>
  <c r="P758" i="4" s="1"/>
  <c r="I2057" i="6"/>
  <c r="M119" i="17"/>
  <c r="K121" i="16"/>
  <c r="O958" i="6"/>
  <c r="M1100" i="6"/>
  <c r="N58" i="8"/>
  <c r="H155" i="15"/>
  <c r="AV42" i="42"/>
  <c r="F42" i="42" s="1"/>
  <c r="N141" i="8"/>
  <c r="A109" i="15"/>
  <c r="C333" i="34" s="1"/>
  <c r="O436" i="8"/>
  <c r="P436" i="8" s="1"/>
  <c r="H621" i="34"/>
  <c r="H622" i="34" s="1"/>
  <c r="H624" i="34" s="1"/>
  <c r="H245" i="34" s="1"/>
  <c r="I57" i="34"/>
  <c r="J256" i="15"/>
  <c r="J259" i="15"/>
  <c r="J113" i="16"/>
  <c r="J105" i="16"/>
  <c r="J294" i="15"/>
  <c r="J103" i="17"/>
  <c r="M301" i="15"/>
  <c r="K252" i="15"/>
  <c r="H21" i="42"/>
  <c r="M20" i="8"/>
  <c r="I70" i="15"/>
  <c r="AR14" i="42"/>
  <c r="O651" i="4"/>
  <c r="P651" i="4" s="1"/>
  <c r="O392" i="8"/>
  <c r="P392" i="8" s="1"/>
  <c r="O1653" i="6"/>
  <c r="P1653" i="6" s="1"/>
  <c r="O520" i="4"/>
  <c r="P520" i="4" s="1"/>
  <c r="O1922" i="6"/>
  <c r="P1922" i="6" s="1"/>
  <c r="O1927" i="6"/>
  <c r="P1927" i="6" s="1"/>
  <c r="O333" i="8"/>
  <c r="P333" i="8" s="1"/>
  <c r="O534" i="4"/>
  <c r="P534" i="4" s="1"/>
  <c r="O1895" i="6"/>
  <c r="P1895" i="6" s="1"/>
  <c r="O703" i="4"/>
  <c r="P703" i="4" s="1"/>
  <c r="O446" i="8"/>
  <c r="P446" i="8" s="1"/>
  <c r="N77" i="6"/>
  <c r="O498" i="7"/>
  <c r="O88" i="7" s="1"/>
  <c r="O1185" i="6"/>
  <c r="P1185" i="6" s="1"/>
  <c r="O1330" i="6"/>
  <c r="O759" i="6"/>
  <c r="P759" i="6" s="1"/>
  <c r="O1385" i="6"/>
  <c r="P1385" i="6" s="1"/>
  <c r="O912" i="4"/>
  <c r="O383" i="4"/>
  <c r="M483" i="7"/>
  <c r="N1608" i="6"/>
  <c r="O969" i="7"/>
  <c r="P969" i="7" s="1"/>
  <c r="O512" i="7"/>
  <c r="O267" i="8"/>
  <c r="O699" i="4"/>
  <c r="P699" i="4" s="1"/>
  <c r="O692" i="7"/>
  <c r="P692" i="7" s="1"/>
  <c r="O1892" i="6"/>
  <c r="P1892" i="6" s="1"/>
  <c r="O1885" i="6"/>
  <c r="P1885" i="6" s="1"/>
  <c r="O301" i="5"/>
  <c r="P301" i="5" s="1"/>
  <c r="O678" i="7"/>
  <c r="P678" i="7" s="1"/>
  <c r="G81" i="42"/>
  <c r="I573" i="34"/>
  <c r="AX29" i="42"/>
  <c r="I558" i="34"/>
  <c r="O314" i="8"/>
  <c r="P314" i="8" s="1"/>
  <c r="O1872" i="6"/>
  <c r="P1872" i="6" s="1"/>
  <c r="O1436" i="6"/>
  <c r="P1436" i="6" s="1"/>
  <c r="O489" i="4"/>
  <c r="P489" i="4" s="1"/>
  <c r="O1099" i="6"/>
  <c r="P1099" i="6" s="1"/>
  <c r="M107" i="34"/>
  <c r="N107" i="34" s="1"/>
  <c r="L8" i="34"/>
  <c r="K131" i="34"/>
  <c r="O500" i="4"/>
  <c r="P500" i="4" s="1"/>
  <c r="O431" i="8"/>
  <c r="P431" i="8" s="1"/>
  <c r="N938" i="4"/>
  <c r="N357" i="4"/>
  <c r="L426" i="34"/>
  <c r="O1712" i="6"/>
  <c r="O488" i="4"/>
  <c r="P488" i="4" s="1"/>
  <c r="N131" i="4"/>
  <c r="O676" i="7"/>
  <c r="P676" i="7" s="1"/>
  <c r="M66" i="34"/>
  <c r="N66" i="34" s="1"/>
  <c r="L148" i="34"/>
  <c r="O622" i="4"/>
  <c r="P622" i="4" s="1"/>
  <c r="M48" i="34"/>
  <c r="N48" i="34" s="1"/>
  <c r="O414" i="8"/>
  <c r="M649" i="34"/>
  <c r="N649" i="34" s="1"/>
  <c r="O414" i="5"/>
  <c r="P414" i="5" s="1"/>
  <c r="O513" i="4"/>
  <c r="P513" i="4" s="1"/>
  <c r="O976" i="6"/>
  <c r="P976" i="6" s="1"/>
  <c r="O579" i="4"/>
  <c r="P579" i="4" s="1"/>
  <c r="O756" i="6"/>
  <c r="P756" i="6" s="1"/>
  <c r="M105" i="34"/>
  <c r="N105" i="34" s="1"/>
  <c r="M643" i="34"/>
  <c r="N643" i="34" s="1"/>
  <c r="O1175" i="6"/>
  <c r="P1175" i="6" s="1"/>
  <c r="O679" i="7"/>
  <c r="P679" i="7" s="1"/>
  <c r="O1090" i="6"/>
  <c r="P1090" i="6" s="1"/>
  <c r="L15" i="34"/>
  <c r="K138" i="34"/>
  <c r="O973" i="6"/>
  <c r="P973" i="6" s="1"/>
  <c r="M661" i="34"/>
  <c r="M662" i="34" s="1"/>
  <c r="O1289" i="6"/>
  <c r="P1289" i="6" s="1"/>
  <c r="O1288" i="6"/>
  <c r="P1288" i="6" s="1"/>
  <c r="O1818" i="6"/>
  <c r="P1818" i="6" s="1"/>
  <c r="M631" i="34"/>
  <c r="N631" i="34" s="1"/>
  <c r="O43" i="27"/>
  <c r="P43" i="27" s="1"/>
  <c r="O1032" i="7"/>
  <c r="P1032" i="7" s="1"/>
  <c r="O1879" i="6"/>
  <c r="P1879" i="6" s="1"/>
  <c r="O934" i="7"/>
  <c r="P934" i="7" s="1"/>
  <c r="M99" i="34"/>
  <c r="N99" i="34" s="1"/>
  <c r="M113" i="34"/>
  <c r="N113" i="34" s="1"/>
  <c r="O577" i="4"/>
  <c r="P577" i="4" s="1"/>
  <c r="O493" i="4"/>
  <c r="P493" i="4" s="1"/>
  <c r="M79" i="34"/>
  <c r="N79" i="34" s="1"/>
  <c r="L421" i="34"/>
  <c r="L9" i="34"/>
  <c r="K132" i="34"/>
  <c r="O675" i="7"/>
  <c r="P675" i="7" s="1"/>
  <c r="O497" i="4"/>
  <c r="P497" i="4" s="1"/>
  <c r="M136" i="4"/>
  <c r="M70" i="34"/>
  <c r="N70" i="34" s="1"/>
  <c r="M96" i="34"/>
  <c r="N96" i="34" s="1"/>
  <c r="O975" i="6"/>
  <c r="P975" i="6" s="1"/>
  <c r="M50" i="34"/>
  <c r="N50" i="34" s="1"/>
  <c r="M50" i="1"/>
  <c r="M106" i="8"/>
  <c r="L605" i="34"/>
  <c r="L581" i="34" s="1"/>
  <c r="K607" i="34"/>
  <c r="O498" i="4"/>
  <c r="P498" i="4" s="1"/>
  <c r="O970" i="6"/>
  <c r="O624" i="4"/>
  <c r="P624" i="4" s="1"/>
  <c r="L17" i="34"/>
  <c r="K140" i="34"/>
  <c r="M120" i="34"/>
  <c r="N120" i="34" s="1"/>
  <c r="M637" i="34"/>
  <c r="N194" i="4"/>
  <c r="N199" i="4" s="1"/>
  <c r="N723" i="4"/>
  <c r="O1127" i="6"/>
  <c r="T17" i="37"/>
  <c r="U17" i="37" s="1"/>
  <c r="O1030" i="7"/>
  <c r="P1030" i="7" s="1"/>
  <c r="O747" i="7"/>
  <c r="P747" i="7" s="1"/>
  <c r="O1792" i="6"/>
  <c r="P1792" i="6" s="1"/>
  <c r="O1146" i="7"/>
  <c r="P1146" i="7" s="1"/>
  <c r="O969" i="6"/>
  <c r="P969" i="6" s="1"/>
  <c r="O1036" i="7"/>
  <c r="P1036" i="7" s="1"/>
  <c r="L454" i="34"/>
  <c r="M64" i="34"/>
  <c r="N64" i="34" s="1"/>
  <c r="L14" i="34"/>
  <c r="K137" i="34"/>
  <c r="M90" i="34"/>
  <c r="N90" i="34" s="1"/>
  <c r="O623" i="4"/>
  <c r="P623" i="4" s="1"/>
  <c r="O869" i="4"/>
  <c r="O972" i="6"/>
  <c r="P972" i="6" s="1"/>
  <c r="N778" i="4"/>
  <c r="N241" i="4"/>
  <c r="N246" i="4" s="1"/>
  <c r="O487" i="4"/>
  <c r="P487" i="4" s="1"/>
  <c r="O971" i="6"/>
  <c r="P971" i="6" s="1"/>
  <c r="N130" i="4"/>
  <c r="L89" i="34"/>
  <c r="K406" i="34"/>
  <c r="N980" i="6"/>
  <c r="M206" i="6"/>
  <c r="M49" i="34"/>
  <c r="N49" i="34" s="1"/>
  <c r="O425" i="4"/>
  <c r="P425" i="4" s="1"/>
  <c r="O41" i="27"/>
  <c r="P41" i="27" s="1"/>
  <c r="M56" i="34"/>
  <c r="N56" i="34" s="1"/>
  <c r="O1435" i="6"/>
  <c r="P1435" i="6" s="1"/>
  <c r="O879" i="7"/>
  <c r="P879" i="7" s="1"/>
  <c r="O1878" i="6"/>
  <c r="P1878" i="6" s="1"/>
  <c r="O1039" i="7"/>
  <c r="P1039" i="7" s="1"/>
  <c r="O576" i="4"/>
  <c r="P576" i="4" s="1"/>
  <c r="M55" i="34"/>
  <c r="N55" i="34" s="1"/>
  <c r="O974" i="6"/>
  <c r="P974" i="6" s="1"/>
  <c r="O736" i="7"/>
  <c r="P736" i="7" s="1"/>
  <c r="O1803" i="6"/>
  <c r="P1803" i="6" s="1"/>
  <c r="L30" i="1"/>
  <c r="L31" i="1" s="1"/>
  <c r="M111" i="34"/>
  <c r="N111" i="34" s="1"/>
  <c r="L412" i="34"/>
  <c r="M97" i="34"/>
  <c r="N97" i="34" s="1"/>
  <c r="O1606" i="6"/>
  <c r="P1606" i="6" s="1"/>
  <c r="O655" i="7"/>
  <c r="P655" i="7" s="1"/>
  <c r="O714" i="4"/>
  <c r="P714" i="4" s="1"/>
  <c r="O413" i="5"/>
  <c r="P413" i="5" s="1"/>
  <c r="O657" i="7"/>
  <c r="P657" i="7" s="1"/>
  <c r="O565" i="4"/>
  <c r="P565" i="4" s="1"/>
  <c r="O451" i="4"/>
  <c r="P451" i="4" s="1"/>
  <c r="O1033" i="7"/>
  <c r="P1033" i="7" s="1"/>
  <c r="O1666" i="6"/>
  <c r="P1666" i="6" s="1"/>
  <c r="O452" i="4"/>
  <c r="P452" i="4" s="1"/>
  <c r="O1176" i="6"/>
  <c r="P1176" i="6" s="1"/>
  <c r="N600" i="4"/>
  <c r="N129" i="4"/>
  <c r="O453" i="4"/>
  <c r="P453" i="4" s="1"/>
  <c r="L439" i="34"/>
  <c r="L23" i="34"/>
  <c r="K146" i="34"/>
  <c r="O492" i="4"/>
  <c r="M91" i="34"/>
  <c r="N91" i="34" s="1"/>
  <c r="O656" i="7"/>
  <c r="P656" i="7" s="1"/>
  <c r="O436" i="4"/>
  <c r="O73" i="4" s="1"/>
  <c r="L7" i="34"/>
  <c r="K130" i="34"/>
  <c r="L427" i="34"/>
  <c r="O578" i="4"/>
  <c r="P578" i="4" s="1"/>
  <c r="O499" i="4"/>
  <c r="P499" i="4" s="1"/>
  <c r="M58" i="34"/>
  <c r="N58" i="34" s="1"/>
  <c r="M302" i="6"/>
  <c r="N1089" i="6"/>
  <c r="I2040" i="6"/>
  <c r="M105" i="4"/>
  <c r="V69" i="42"/>
  <c r="Q52" i="37"/>
  <c r="Q61" i="37" s="1"/>
  <c r="Q63" i="37" s="1"/>
  <c r="L121" i="9"/>
  <c r="R28" i="37"/>
  <c r="AY121" i="9"/>
  <c r="CR121" i="9"/>
  <c r="R27" i="37"/>
  <c r="AY120" i="9"/>
  <c r="L120" i="9"/>
  <c r="CR120" i="9"/>
  <c r="N897" i="6"/>
  <c r="N145" i="6" s="1"/>
  <c r="M206" i="7"/>
  <c r="M212" i="7" s="1"/>
  <c r="M9" i="7" s="1"/>
  <c r="N654" i="7"/>
  <c r="N137" i="5"/>
  <c r="AV47" i="37"/>
  <c r="AV3" i="37"/>
  <c r="AO65" i="9"/>
  <c r="H67" i="14"/>
  <c r="E539" i="34"/>
  <c r="E366" i="34"/>
  <c r="E485" i="34" s="1"/>
  <c r="G98" i="34"/>
  <c r="F100" i="34"/>
  <c r="L315" i="6"/>
  <c r="L10" i="6" s="1"/>
  <c r="N1918" i="6"/>
  <c r="O1918" i="6" s="1"/>
  <c r="P1918" i="6" s="1"/>
  <c r="N978" i="6"/>
  <c r="N204" i="6" s="1"/>
  <c r="L1197" i="6"/>
  <c r="L1199" i="6" s="1"/>
  <c r="L1210" i="6" s="1"/>
  <c r="H217" i="15"/>
  <c r="G783" i="34"/>
  <c r="L569" i="34"/>
  <c r="L392" i="34"/>
  <c r="L509" i="34" s="1"/>
  <c r="D329" i="34"/>
  <c r="J428" i="34"/>
  <c r="H22" i="13"/>
  <c r="H103" i="13"/>
  <c r="N78" i="4"/>
  <c r="M29" i="34"/>
  <c r="N29" i="34" s="1"/>
  <c r="L152" i="34"/>
  <c r="L31" i="34"/>
  <c r="K154" i="34"/>
  <c r="K583" i="34"/>
  <c r="M134" i="7"/>
  <c r="M67" i="7"/>
  <c r="M69" i="7" s="1"/>
  <c r="M7" i="7" s="1"/>
  <c r="J85" i="15"/>
  <c r="M1033" i="6"/>
  <c r="M320" i="5"/>
  <c r="M322" i="5" s="1"/>
  <c r="M332" i="5" s="1"/>
  <c r="I31" i="13"/>
  <c r="I50" i="13" s="1"/>
  <c r="L54" i="6"/>
  <c r="J31" i="13"/>
  <c r="J50" i="13" s="1"/>
  <c r="M54" i="6"/>
  <c r="M130" i="5"/>
  <c r="M9" i="5" s="1"/>
  <c r="L21" i="4"/>
  <c r="F69" i="42"/>
  <c r="I148" i="15"/>
  <c r="N583" i="8"/>
  <c r="L196" i="4"/>
  <c r="G9" i="4"/>
  <c r="G198" i="4"/>
  <c r="H198" i="4" s="1"/>
  <c r="M243" i="4"/>
  <c r="O1971" i="6"/>
  <c r="N699" i="6"/>
  <c r="L464" i="4"/>
  <c r="N1949" i="6"/>
  <c r="N599" i="6"/>
  <c r="N606" i="6" s="1"/>
  <c r="N158" i="6"/>
  <c r="K66" i="5"/>
  <c r="K476" i="5" s="1"/>
  <c r="L81" i="9"/>
  <c r="N130" i="7"/>
  <c r="M666" i="7"/>
  <c r="M66" i="1"/>
  <c r="K90" i="16"/>
  <c r="K34" i="16" s="1"/>
  <c r="AL45" i="42" s="1"/>
  <c r="AL47" i="42" s="1"/>
  <c r="M168" i="7"/>
  <c r="M622" i="7"/>
  <c r="O571" i="7"/>
  <c r="P571" i="7" s="1"/>
  <c r="O1780" i="6"/>
  <c r="O396" i="8"/>
  <c r="P396" i="8" s="1"/>
  <c r="O437" i="5"/>
  <c r="P437" i="5" s="1"/>
  <c r="O235" i="8"/>
  <c r="P235" i="8" s="1"/>
  <c r="O280" i="5"/>
  <c r="P280" i="5" s="1"/>
  <c r="O908" i="4"/>
  <c r="P908" i="4" s="1"/>
  <c r="O331" i="8"/>
  <c r="P331" i="8" s="1"/>
  <c r="O676" i="4"/>
  <c r="P676" i="4" s="1"/>
  <c r="O222" i="5"/>
  <c r="P222" i="5" s="1"/>
  <c r="O315" i="8"/>
  <c r="P315" i="8" s="1"/>
  <c r="O686" i="4"/>
  <c r="P686" i="4" s="1"/>
  <c r="M77" i="4"/>
  <c r="O211" i="8"/>
  <c r="P211" i="8" s="1"/>
  <c r="O785" i="7"/>
  <c r="P785" i="7" s="1"/>
  <c r="O243" i="5"/>
  <c r="L629" i="7"/>
  <c r="L631" i="7" s="1"/>
  <c r="J758" i="34"/>
  <c r="K1253" i="6"/>
  <c r="K1255" i="6" s="1"/>
  <c r="K1266" i="6" s="1"/>
  <c r="L761" i="34"/>
  <c r="M1168" i="6"/>
  <c r="O1024" i="6"/>
  <c r="O246" i="6" s="1"/>
  <c r="N426" i="6"/>
  <c r="L101" i="5"/>
  <c r="L477" i="5" s="1"/>
  <c r="N55" i="8"/>
  <c r="K307" i="45"/>
  <c r="H45" i="42"/>
  <c r="O248" i="8"/>
  <c r="P248" i="8" s="1"/>
  <c r="N423" i="45"/>
  <c r="O954" i="7"/>
  <c r="P954" i="7" s="1"/>
  <c r="O1139" i="7"/>
  <c r="P1139" i="7" s="1"/>
  <c r="O233" i="8"/>
  <c r="O613" i="7"/>
  <c r="P613" i="7" s="1"/>
  <c r="T57" i="37"/>
  <c r="U57" i="37" s="1"/>
  <c r="O1247" i="6"/>
  <c r="P1247" i="6" s="1"/>
  <c r="O1344" i="6"/>
  <c r="M38" i="34"/>
  <c r="N38" i="34" s="1"/>
  <c r="O530" i="4"/>
  <c r="P530" i="4" s="1"/>
  <c r="O948" i="7"/>
  <c r="P948" i="7" s="1"/>
  <c r="O508" i="7"/>
  <c r="P508" i="7" s="1"/>
  <c r="O970" i="7"/>
  <c r="P970" i="7" s="1"/>
  <c r="O1126" i="7"/>
  <c r="P1126" i="7" s="1"/>
  <c r="O796" i="7"/>
  <c r="P796" i="7" s="1"/>
  <c r="N658" i="7"/>
  <c r="N207" i="7" s="1"/>
  <c r="M628" i="6"/>
  <c r="M28" i="1"/>
  <c r="N646" i="6"/>
  <c r="O646" i="6"/>
  <c r="N720" i="6"/>
  <c r="J23" i="6"/>
  <c r="J39" i="6" s="1"/>
  <c r="N899" i="6"/>
  <c r="N147" i="6" s="1"/>
  <c r="K7" i="5"/>
  <c r="K25" i="5" s="1"/>
  <c r="O13" i="27"/>
  <c r="P13" i="27" s="1"/>
  <c r="O898" i="4"/>
  <c r="P898" i="4" s="1"/>
  <c r="O618" i="7"/>
  <c r="O179" i="8"/>
  <c r="O1189" i="6"/>
  <c r="P1189" i="6" s="1"/>
  <c r="O1891" i="6"/>
  <c r="P1891" i="6" s="1"/>
  <c r="K34" i="17"/>
  <c r="AZ45" i="42" s="1"/>
  <c r="O967" i="7"/>
  <c r="P967" i="7" s="1"/>
  <c r="O1409" i="6"/>
  <c r="P1409" i="6" s="1"/>
  <c r="O913" i="6"/>
  <c r="P913" i="6" s="1"/>
  <c r="O959" i="7"/>
  <c r="P959" i="7" s="1"/>
  <c r="N390" i="7"/>
  <c r="O1434" i="6"/>
  <c r="P1434" i="6" s="1"/>
  <c r="O985" i="7"/>
  <c r="P985" i="7" s="1"/>
  <c r="O886" i="4"/>
  <c r="P886" i="4" s="1"/>
  <c r="O805" i="7"/>
  <c r="O909" i="6"/>
  <c r="P909" i="6" s="1"/>
  <c r="O984" i="7"/>
  <c r="P984" i="7" s="1"/>
  <c r="O955" i="7"/>
  <c r="P955" i="7" s="1"/>
  <c r="O949" i="7"/>
  <c r="O986" i="7"/>
  <c r="P986" i="7" s="1"/>
  <c r="O1425" i="6"/>
  <c r="P1425" i="6" s="1"/>
  <c r="O915" i="6"/>
  <c r="P915" i="6" s="1"/>
  <c r="O1437" i="6"/>
  <c r="P1437" i="6" s="1"/>
  <c r="O290" i="5"/>
  <c r="P290" i="5" s="1"/>
  <c r="O404" i="5"/>
  <c r="P404" i="5" s="1"/>
  <c r="O1852" i="6"/>
  <c r="O912" i="6"/>
  <c r="P912" i="6" s="1"/>
  <c r="O907" i="6"/>
  <c r="P907" i="6" s="1"/>
  <c r="N1911" i="6"/>
  <c r="M664" i="6"/>
  <c r="O906" i="6"/>
  <c r="O521" i="4"/>
  <c r="P521" i="4" s="1"/>
  <c r="N957" i="7"/>
  <c r="L734" i="34" s="1"/>
  <c r="U59" i="10"/>
  <c r="U92" i="10" s="1"/>
  <c r="V92" i="10" s="1"/>
  <c r="O1438" i="6"/>
  <c r="P1438" i="6" s="1"/>
  <c r="N1912" i="6"/>
  <c r="M665" i="6"/>
  <c r="O976" i="7"/>
  <c r="O1041" i="7"/>
  <c r="P1041" i="7" s="1"/>
  <c r="O987" i="7"/>
  <c r="P987" i="7" s="1"/>
  <c r="O1426" i="6"/>
  <c r="P1426" i="6" s="1"/>
  <c r="N389" i="7"/>
  <c r="N1058" i="7"/>
  <c r="N1728" i="6"/>
  <c r="N586" i="6" s="1"/>
  <c r="N1906" i="6"/>
  <c r="N659" i="6" s="1"/>
  <c r="L865" i="6"/>
  <c r="M839" i="6"/>
  <c r="M138" i="6" s="1"/>
  <c r="L139" i="6"/>
  <c r="O1743" i="6"/>
  <c r="O594" i="6" s="1"/>
  <c r="CL211" i="9"/>
  <c r="E211" i="9"/>
  <c r="F206" i="3"/>
  <c r="M153" i="4"/>
  <c r="L154" i="4"/>
  <c r="M662" i="6"/>
  <c r="N1909" i="6"/>
  <c r="N1120" i="6"/>
  <c r="N323" i="6" s="1"/>
  <c r="N324" i="6"/>
  <c r="AT193" i="9"/>
  <c r="L1638" i="6"/>
  <c r="L520" i="6" s="1"/>
  <c r="CR193" i="9"/>
  <c r="AX193" i="9"/>
  <c r="M1640" i="6"/>
  <c r="M522" i="6" s="1"/>
  <c r="L17" i="5"/>
  <c r="L26" i="5" s="1"/>
  <c r="L169" i="45"/>
  <c r="L170" i="45" s="1"/>
  <c r="L171" i="45" s="1"/>
  <c r="U58" i="10"/>
  <c r="X114" i="10"/>
  <c r="N378" i="7"/>
  <c r="M176" i="6"/>
  <c r="CH9" i="21"/>
  <c r="O1482" i="6"/>
  <c r="P1482" i="6" s="1"/>
  <c r="O1893" i="6"/>
  <c r="P1893" i="6" s="1"/>
  <c r="O270" i="8"/>
  <c r="P270" i="8" s="1"/>
  <c r="O858" i="6"/>
  <c r="P858" i="6" s="1"/>
  <c r="O1029" i="7"/>
  <c r="P1029" i="7" s="1"/>
  <c r="O1986" i="6"/>
  <c r="P1986" i="6" s="1"/>
  <c r="O1996" i="6"/>
  <c r="O897" i="4"/>
  <c r="P897" i="4" s="1"/>
  <c r="O426" i="4"/>
  <c r="P426" i="4" s="1"/>
  <c r="O646" i="4"/>
  <c r="P646" i="4" s="1"/>
  <c r="O1662" i="6"/>
  <c r="O540" i="6" s="1"/>
  <c r="O1716" i="6"/>
  <c r="O827" i="6"/>
  <c r="P827" i="6" s="1"/>
  <c r="O892" i="6"/>
  <c r="P892" i="6" s="1"/>
  <c r="O1174" i="6"/>
  <c r="P1174" i="6" s="1"/>
  <c r="O764" i="4"/>
  <c r="P764" i="4" s="1"/>
  <c r="O898" i="6"/>
  <c r="O1655" i="6"/>
  <c r="P1655" i="6" s="1"/>
  <c r="O929" i="6"/>
  <c r="P929" i="6" s="1"/>
  <c r="O442" i="5"/>
  <c r="P442" i="5" s="1"/>
  <c r="O1158" i="7"/>
  <c r="P1158" i="7" s="1"/>
  <c r="O921" i="6"/>
  <c r="P921" i="6" s="1"/>
  <c r="O1154" i="7"/>
  <c r="P1154" i="7" s="1"/>
  <c r="O449" i="4"/>
  <c r="P449" i="4" s="1"/>
  <c r="N918" i="6"/>
  <c r="M154" i="6"/>
  <c r="O901" i="6"/>
  <c r="M155" i="6"/>
  <c r="O894" i="6"/>
  <c r="O1155" i="7"/>
  <c r="P1155" i="7" s="1"/>
  <c r="O925" i="6"/>
  <c r="P925" i="6" s="1"/>
  <c r="N823" i="6"/>
  <c r="M130" i="6"/>
  <c r="M823" i="6"/>
  <c r="O887" i="7"/>
  <c r="P887" i="7" s="1"/>
  <c r="O1159" i="7"/>
  <c r="P1159" i="7" s="1"/>
  <c r="O902" i="6"/>
  <c r="P902" i="6" s="1"/>
  <c r="O900" i="6"/>
  <c r="P900" i="6" s="1"/>
  <c r="O529" i="4"/>
  <c r="P529" i="4" s="1"/>
  <c r="O1807" i="6"/>
  <c r="P1807" i="6" s="1"/>
  <c r="O923" i="6"/>
  <c r="P923" i="6" s="1"/>
  <c r="O895" i="6"/>
  <c r="P895" i="6" s="1"/>
  <c r="M2029" i="6"/>
  <c r="J46" i="58" s="1"/>
  <c r="J44" i="58" s="1"/>
  <c r="AX207" i="9"/>
  <c r="O919" i="6"/>
  <c r="P919" i="6" s="1"/>
  <c r="O821" i="6"/>
  <c r="P821" i="6" s="1"/>
  <c r="M153" i="6"/>
  <c r="O889" i="6"/>
  <c r="P889" i="6" s="1"/>
  <c r="CR61" i="9"/>
  <c r="AX61" i="9"/>
  <c r="AX63" i="9" s="1"/>
  <c r="O927" i="6"/>
  <c r="P927" i="6" s="1"/>
  <c r="O820" i="6"/>
  <c r="P820" i="6" s="1"/>
  <c r="O928" i="6"/>
  <c r="P928" i="6" s="1"/>
  <c r="O1152" i="7"/>
  <c r="P1152" i="7" s="1"/>
  <c r="O832" i="6"/>
  <c r="AY45" i="42"/>
  <c r="O920" i="6"/>
  <c r="P920" i="6" s="1"/>
  <c r="O896" i="6"/>
  <c r="P896" i="6" s="1"/>
  <c r="O910" i="6"/>
  <c r="O413" i="8"/>
  <c r="M87" i="17" s="1"/>
  <c r="O927" i="7"/>
  <c r="O40" i="27"/>
  <c r="P40" i="27" s="1"/>
  <c r="O762" i="6"/>
  <c r="O572" i="4"/>
  <c r="P572" i="4" s="1"/>
  <c r="O1092" i="6"/>
  <c r="M765" i="34" s="1"/>
  <c r="O1384" i="6"/>
  <c r="P1384" i="6" s="1"/>
  <c r="O742" i="7"/>
  <c r="P742" i="7" s="1"/>
  <c r="O839" i="7"/>
  <c r="P839" i="7" s="1"/>
  <c r="O1094" i="6"/>
  <c r="P1094" i="6" s="1"/>
  <c r="O1156" i="7"/>
  <c r="P1156" i="7" s="1"/>
  <c r="O922" i="6"/>
  <c r="P922" i="6" s="1"/>
  <c r="O412" i="8"/>
  <c r="O1157" i="7"/>
  <c r="P1157" i="7" s="1"/>
  <c r="O893" i="6"/>
  <c r="O887" i="6"/>
  <c r="P887" i="6" s="1"/>
  <c r="O1153" i="7"/>
  <c r="O933" i="7"/>
  <c r="P933" i="7" s="1"/>
  <c r="O886" i="7"/>
  <c r="P886" i="7" s="1"/>
  <c r="N1158" i="6"/>
  <c r="N311" i="6" s="1"/>
  <c r="N669" i="6"/>
  <c r="N670" i="6"/>
  <c r="M668" i="6"/>
  <c r="N1926" i="6"/>
  <c r="N658" i="6"/>
  <c r="M631" i="6"/>
  <c r="N774" i="6"/>
  <c r="N90" i="6" s="1"/>
  <c r="N593" i="6"/>
  <c r="J95" i="48"/>
  <c r="L297" i="4"/>
  <c r="M1558" i="6"/>
  <c r="M1560" i="6" s="1"/>
  <c r="M1562" i="6" s="1"/>
  <c r="M938" i="6"/>
  <c r="N371" i="7"/>
  <c r="B465" i="7"/>
  <c r="B1186" i="7"/>
  <c r="I2037" i="6"/>
  <c r="J2057" i="6"/>
  <c r="M935" i="6"/>
  <c r="M937" i="6" s="1"/>
  <c r="N171" i="7"/>
  <c r="N31" i="45"/>
  <c r="L1363" i="6"/>
  <c r="O79" i="6"/>
  <c r="N79" i="6"/>
  <c r="B63" i="6"/>
  <c r="A47" i="3" s="1"/>
  <c r="A49" i="3" s="1"/>
  <c r="K23" i="6"/>
  <c r="K39" i="6" s="1"/>
  <c r="N205" i="6"/>
  <c r="N132" i="6"/>
  <c r="B690" i="6"/>
  <c r="L419" i="6"/>
  <c r="L12" i="6" s="1"/>
  <c r="M165" i="45"/>
  <c r="O979" i="6"/>
  <c r="P979" i="6" s="1"/>
  <c r="M78" i="4"/>
  <c r="L80" i="4"/>
  <c r="L18" i="4" s="1"/>
  <c r="N120" i="7"/>
  <c r="N122" i="7" s="1"/>
  <c r="N8" i="7" s="1"/>
  <c r="L589" i="7"/>
  <c r="CR7" i="9"/>
  <c r="AY7" i="9"/>
  <c r="L89" i="6"/>
  <c r="CR81" i="9"/>
  <c r="M147" i="7"/>
  <c r="AY108" i="9"/>
  <c r="CR108" i="9"/>
  <c r="AY111" i="9"/>
  <c r="M1013" i="6"/>
  <c r="M232" i="6" s="1"/>
  <c r="M168" i="45"/>
  <c r="CR111" i="9"/>
  <c r="CR112" i="9"/>
  <c r="AY112" i="9"/>
  <c r="M87" i="6"/>
  <c r="M86" i="6"/>
  <c r="N305" i="5"/>
  <c r="L116" i="40"/>
  <c r="Z89" i="10" s="1"/>
  <c r="N309" i="6"/>
  <c r="K658" i="4"/>
  <c r="K667" i="4" s="1"/>
  <c r="O114" i="4"/>
  <c r="O152" i="4" s="1"/>
  <c r="N1003" i="6"/>
  <c r="N574" i="6"/>
  <c r="N721" i="6"/>
  <c r="I356" i="6"/>
  <c r="M273" i="4"/>
  <c r="M11" i="4" s="1"/>
  <c r="M292" i="4"/>
  <c r="O873" i="4"/>
  <c r="O903" i="4"/>
  <c r="P903" i="4" s="1"/>
  <c r="O901" i="4"/>
  <c r="P901" i="4" s="1"/>
  <c r="O902" i="4"/>
  <c r="P902" i="4" s="1"/>
  <c r="R53" i="11"/>
  <c r="V114" i="10"/>
  <c r="K103" i="3" s="1"/>
  <c r="L406" i="7"/>
  <c r="CR97" i="9"/>
  <c r="AY97" i="9"/>
  <c r="R71" i="37"/>
  <c r="N301" i="7"/>
  <c r="N556" i="7"/>
  <c r="N161" i="45"/>
  <c r="M1292" i="6"/>
  <c r="M196" i="6"/>
  <c r="M8" i="6" s="1"/>
  <c r="N379" i="7"/>
  <c r="N308" i="7"/>
  <c r="N80" i="7"/>
  <c r="O889" i="7"/>
  <c r="P889" i="7" s="1"/>
  <c r="N346" i="7"/>
  <c r="N290" i="7"/>
  <c r="L175" i="7"/>
  <c r="L181" i="7" s="1"/>
  <c r="L37" i="4"/>
  <c r="I40" i="13"/>
  <c r="L777" i="4"/>
  <c r="L779" i="4" s="1"/>
  <c r="L790" i="4" s="1"/>
  <c r="N650" i="6"/>
  <c r="O827" i="4"/>
  <c r="P827" i="4" s="1"/>
  <c r="O825" i="4"/>
  <c r="P825" i="4" s="1"/>
  <c r="O811" i="4"/>
  <c r="P811" i="4" s="1"/>
  <c r="O573" i="4"/>
  <c r="P573" i="4" s="1"/>
  <c r="O755" i="4"/>
  <c r="P755" i="4" s="1"/>
  <c r="N823" i="4"/>
  <c r="N285" i="4" s="1"/>
  <c r="N817" i="4"/>
  <c r="N279" i="4" s="1"/>
  <c r="O981" i="7"/>
  <c r="P981" i="7" s="1"/>
  <c r="M745" i="4"/>
  <c r="N742" i="4"/>
  <c r="N221" i="4" s="1"/>
  <c r="K759" i="34"/>
  <c r="O915" i="4"/>
  <c r="P915" i="4" s="1"/>
  <c r="O800" i="4"/>
  <c r="P800" i="4" s="1"/>
  <c r="N798" i="4"/>
  <c r="N268" i="4" s="1"/>
  <c r="M804" i="4"/>
  <c r="X8" i="42" s="1"/>
  <c r="K40" i="15" s="1"/>
  <c r="O759" i="4"/>
  <c r="P759" i="4" s="1"/>
  <c r="N743" i="4"/>
  <c r="N222" i="4" s="1"/>
  <c r="O1805" i="6"/>
  <c r="P1805" i="6" s="1"/>
  <c r="N753" i="4"/>
  <c r="N229" i="4" s="1"/>
  <c r="M775" i="4"/>
  <c r="O828" i="4"/>
  <c r="P828" i="4" s="1"/>
  <c r="O754" i="4"/>
  <c r="P754" i="4" s="1"/>
  <c r="O826" i="4"/>
  <c r="O809" i="4"/>
  <c r="P809" i="4" s="1"/>
  <c r="M221" i="6"/>
  <c r="O424" i="5"/>
  <c r="P424" i="5" s="1"/>
  <c r="O828" i="6"/>
  <c r="P828" i="6" s="1"/>
  <c r="O1864" i="6"/>
  <c r="P1864" i="6" s="1"/>
  <c r="O865" i="4"/>
  <c r="P865" i="4" s="1"/>
  <c r="O523" i="7"/>
  <c r="P523" i="7" s="1"/>
  <c r="O1935" i="6"/>
  <c r="P1935" i="6" s="1"/>
  <c r="O571" i="4"/>
  <c r="P571" i="4" s="1"/>
  <c r="O1038" i="7"/>
  <c r="P1038" i="7" s="1"/>
  <c r="O230" i="5"/>
  <c r="P230" i="5" s="1"/>
  <c r="O575" i="4"/>
  <c r="P575" i="4" s="1"/>
  <c r="N767" i="4"/>
  <c r="N232" i="4" s="1"/>
  <c r="N808" i="4"/>
  <c r="N278" i="4" s="1"/>
  <c r="O830" i="4"/>
  <c r="P830" i="4" s="1"/>
  <c r="O982" i="7"/>
  <c r="P982" i="7" s="1"/>
  <c r="O813" i="4"/>
  <c r="P813" i="4" s="1"/>
  <c r="O833" i="4"/>
  <c r="P833" i="4" s="1"/>
  <c r="O875" i="4"/>
  <c r="P875" i="4" s="1"/>
  <c r="O799" i="4"/>
  <c r="P799" i="4" s="1"/>
  <c r="O803" i="4"/>
  <c r="P803" i="4" s="1"/>
  <c r="O812" i="4"/>
  <c r="P812" i="4" s="1"/>
  <c r="N832" i="4"/>
  <c r="N286" i="4" s="1"/>
  <c r="O810" i="4"/>
  <c r="P810" i="4" s="1"/>
  <c r="O760" i="4"/>
  <c r="P760" i="4" s="1"/>
  <c r="M842" i="4"/>
  <c r="M978" i="4" s="1"/>
  <c r="O829" i="4"/>
  <c r="P829" i="4" s="1"/>
  <c r="N802" i="4"/>
  <c r="N271" i="4" s="1"/>
  <c r="O818" i="4"/>
  <c r="P818" i="4" s="1"/>
  <c r="O824" i="4"/>
  <c r="P824" i="4" s="1"/>
  <c r="N655" i="6"/>
  <c r="L465" i="6"/>
  <c r="N413" i="6"/>
  <c r="N201" i="6"/>
  <c r="L1573" i="6"/>
  <c r="K343" i="6"/>
  <c r="K345" i="6" s="1"/>
  <c r="M344" i="6"/>
  <c r="L436" i="6"/>
  <c r="N1721" i="6"/>
  <c r="M32" i="45"/>
  <c r="N30" i="45"/>
  <c r="M1361" i="6"/>
  <c r="N634" i="6"/>
  <c r="N98" i="6"/>
  <c r="N207" i="6"/>
  <c r="N649" i="6"/>
  <c r="N639" i="6"/>
  <c r="N137" i="6"/>
  <c r="N1392" i="6"/>
  <c r="N495" i="6"/>
  <c r="N442" i="6"/>
  <c r="N433" i="6"/>
  <c r="N446" i="6"/>
  <c r="AT54" i="9"/>
  <c r="L656" i="4"/>
  <c r="M629" i="4"/>
  <c r="L935" i="4"/>
  <c r="L937" i="4" s="1"/>
  <c r="L939" i="4" s="1"/>
  <c r="L948" i="4" s="1"/>
  <c r="N117" i="4"/>
  <c r="L28" i="12"/>
  <c r="K57" i="13" s="1"/>
  <c r="M174" i="7"/>
  <c r="M783" i="6"/>
  <c r="N764" i="6"/>
  <c r="O1408" i="6"/>
  <c r="O700" i="6"/>
  <c r="N700" i="6"/>
  <c r="N1784" i="6"/>
  <c r="N632" i="6" s="1"/>
  <c r="M104" i="4"/>
  <c r="N588" i="4"/>
  <c r="N122" i="4" s="1"/>
  <c r="M160" i="6"/>
  <c r="N1354" i="6"/>
  <c r="M435" i="6"/>
  <c r="L210" i="15"/>
  <c r="Y42" i="42"/>
  <c r="N866" i="7"/>
  <c r="N332" i="7" s="1"/>
  <c r="K125" i="13"/>
  <c r="O794" i="7"/>
  <c r="P794" i="7" s="1"/>
  <c r="N300" i="7"/>
  <c r="N347" i="8"/>
  <c r="N78" i="8"/>
  <c r="L25" i="16" s="1"/>
  <c r="L10" i="16" s="1"/>
  <c r="L245" i="15" s="1"/>
  <c r="N645" i="6"/>
  <c r="N54" i="27"/>
  <c r="O49" i="27"/>
  <c r="O218" i="8"/>
  <c r="L87" i="16"/>
  <c r="O686" i="7"/>
  <c r="N218" i="7"/>
  <c r="N233" i="5"/>
  <c r="M53" i="5"/>
  <c r="AY20" i="42"/>
  <c r="J115" i="15" s="1"/>
  <c r="O509" i="4"/>
  <c r="P509" i="4" s="1"/>
  <c r="N115" i="4"/>
  <c r="O1037" i="7"/>
  <c r="P1037" i="7" s="1"/>
  <c r="O236" i="5"/>
  <c r="N54" i="5"/>
  <c r="AY177" i="9"/>
  <c r="O838" i="7"/>
  <c r="P838" i="7" s="1"/>
  <c r="N309" i="7"/>
  <c r="B33" i="19"/>
  <c r="B97" i="19" s="1"/>
  <c r="M423" i="7"/>
  <c r="O849" i="7"/>
  <c r="N317" i="7"/>
  <c r="CH60" i="21"/>
  <c r="AV60" i="21"/>
  <c r="N215" i="6"/>
  <c r="O1994" i="6"/>
  <c r="L17" i="58" s="1"/>
  <c r="O691" i="7"/>
  <c r="N219" i="7"/>
  <c r="N67" i="7"/>
  <c r="N69" i="7" s="1"/>
  <c r="N7" i="7" s="1"/>
  <c r="O481" i="7"/>
  <c r="P481" i="7" s="1"/>
  <c r="N483" i="7"/>
  <c r="N928" i="4"/>
  <c r="N353" i="4" s="1"/>
  <c r="N891" i="4"/>
  <c r="M342" i="4"/>
  <c r="N867" i="4"/>
  <c r="N330" i="4" s="1"/>
  <c r="S12" i="37"/>
  <c r="R100" i="37"/>
  <c r="N892" i="4"/>
  <c r="M343" i="4"/>
  <c r="O604" i="7"/>
  <c r="N165" i="7"/>
  <c r="N609" i="7"/>
  <c r="O789" i="6"/>
  <c r="P789" i="6" s="1"/>
  <c r="N95" i="6"/>
  <c r="N347" i="4"/>
  <c r="M209" i="4"/>
  <c r="N87" i="1"/>
  <c r="M94" i="1"/>
  <c r="N420" i="7"/>
  <c r="O420" i="7"/>
  <c r="N650" i="4"/>
  <c r="M188" i="4"/>
  <c r="N1907" i="6"/>
  <c r="N660" i="6" s="1"/>
  <c r="C92" i="20"/>
  <c r="O95" i="20" s="1"/>
  <c r="C33" i="19"/>
  <c r="C39" i="20" s="1"/>
  <c r="O567" i="7"/>
  <c r="L120" i="4"/>
  <c r="L158" i="4" s="1"/>
  <c r="O813" i="7"/>
  <c r="P813" i="7" s="1"/>
  <c r="N307" i="7"/>
  <c r="O993" i="6"/>
  <c r="P993" i="6" s="1"/>
  <c r="N211" i="6"/>
  <c r="N411" i="6"/>
  <c r="O1290" i="6"/>
  <c r="P1290" i="6" s="1"/>
  <c r="O563" i="7"/>
  <c r="P563" i="7" s="1"/>
  <c r="N370" i="8"/>
  <c r="N381" i="8" s="1"/>
  <c r="N108" i="8" s="1"/>
  <c r="N174" i="8"/>
  <c r="N182" i="8" s="1"/>
  <c r="N46" i="8" s="1"/>
  <c r="AM11" i="42" s="1"/>
  <c r="O898" i="7"/>
  <c r="W114" i="10"/>
  <c r="O1020" i="7"/>
  <c r="P1020" i="7" s="1"/>
  <c r="N350" i="7"/>
  <c r="N1023" i="7"/>
  <c r="O30" i="27"/>
  <c r="P30" i="27" s="1"/>
  <c r="O700" i="4"/>
  <c r="P700" i="4" s="1"/>
  <c r="O1886" i="6"/>
  <c r="P1886" i="6" s="1"/>
  <c r="O552" i="7"/>
  <c r="P552" i="7" s="1"/>
  <c r="O26" i="27"/>
  <c r="P26" i="27" s="1"/>
  <c r="O1816" i="6"/>
  <c r="P1816" i="6" s="1"/>
  <c r="O901" i="7"/>
  <c r="P901" i="7" s="1"/>
  <c r="O1859" i="6"/>
  <c r="T18" i="37"/>
  <c r="N644" i="4"/>
  <c r="N186" i="4" s="1"/>
  <c r="O924" i="4"/>
  <c r="O348" i="4" s="1"/>
  <c r="O511" i="7"/>
  <c r="P511" i="7" s="1"/>
  <c r="O677" i="4"/>
  <c r="P677" i="4" s="1"/>
  <c r="N82" i="7"/>
  <c r="O1188" i="6"/>
  <c r="P1188" i="6" s="1"/>
  <c r="O25" i="27"/>
  <c r="P25" i="27" s="1"/>
  <c r="O905" i="4"/>
  <c r="P905" i="4" s="1"/>
  <c r="O340" i="5"/>
  <c r="O532" i="4"/>
  <c r="P532" i="4" s="1"/>
  <c r="O42" i="27"/>
  <c r="P42" i="27" s="1"/>
  <c r="CR146" i="9"/>
  <c r="O852" i="7"/>
  <c r="O1865" i="6"/>
  <c r="P1865" i="6" s="1"/>
  <c r="O1875" i="6"/>
  <c r="P1875" i="6" s="1"/>
  <c r="O431" i="5"/>
  <c r="P431" i="5" s="1"/>
  <c r="O540" i="4"/>
  <c r="P540" i="4" s="1"/>
  <c r="O841" i="6"/>
  <c r="P841" i="6" s="1"/>
  <c r="O1144" i="7"/>
  <c r="P1144" i="7" s="1"/>
  <c r="O803" i="7"/>
  <c r="P803" i="7" s="1"/>
  <c r="O856" i="6"/>
  <c r="P856" i="6" s="1"/>
  <c r="O660" i="7"/>
  <c r="P660" i="7" s="1"/>
  <c r="O561" i="4"/>
  <c r="P561" i="4" s="1"/>
  <c r="O841" i="7"/>
  <c r="P841" i="7" s="1"/>
  <c r="O1481" i="6"/>
  <c r="P1481" i="6" s="1"/>
  <c r="O1869" i="6"/>
  <c r="P1869" i="6" s="1"/>
  <c r="O1411" i="6"/>
  <c r="P1411" i="6" s="1"/>
  <c r="O45" i="27"/>
  <c r="P45" i="27" s="1"/>
  <c r="O1479" i="6"/>
  <c r="O59" i="27"/>
  <c r="P59" i="27" s="1"/>
  <c r="O513" i="7"/>
  <c r="P513" i="7" s="1"/>
  <c r="O1894" i="6"/>
  <c r="P1894" i="6" s="1"/>
  <c r="O285" i="8"/>
  <c r="P285" i="8" s="1"/>
  <c r="O412" i="5"/>
  <c r="O176" i="5" s="1"/>
  <c r="O291" i="5"/>
  <c r="P291" i="5" s="1"/>
  <c r="O434" i="8"/>
  <c r="P434" i="8" s="1"/>
  <c r="O1889" i="6"/>
  <c r="P1889" i="6" s="1"/>
  <c r="O553" i="7"/>
  <c r="P553" i="7" s="1"/>
  <c r="N626" i="4"/>
  <c r="N175" i="4" s="1"/>
  <c r="O219" i="8"/>
  <c r="L88" i="16"/>
  <c r="M161" i="6"/>
  <c r="N874" i="4"/>
  <c r="N332" i="4" s="1"/>
  <c r="N1527" i="6"/>
  <c r="N1915" i="6"/>
  <c r="N666" i="6" s="1"/>
  <c r="M330" i="7"/>
  <c r="U35" i="11"/>
  <c r="V35" i="11" s="1"/>
  <c r="W35" i="11" s="1"/>
  <c r="M84" i="8"/>
  <c r="AL20" i="42"/>
  <c r="AL29" i="42" s="1"/>
  <c r="L84" i="12"/>
  <c r="W79" i="10" s="1"/>
  <c r="Y79" i="10" s="1"/>
  <c r="N337" i="6"/>
  <c r="M40" i="45"/>
  <c r="AY141" i="9"/>
  <c r="CR141" i="9"/>
  <c r="N103" i="6"/>
  <c r="N108" i="6" s="1"/>
  <c r="N896" i="4"/>
  <c r="M341" i="4"/>
  <c r="N1352" i="6"/>
  <c r="M434" i="6"/>
  <c r="N929" i="4"/>
  <c r="N352" i="4" s="1"/>
  <c r="O489" i="7"/>
  <c r="N75" i="7"/>
  <c r="N633" i="4"/>
  <c r="N182" i="4" s="1"/>
  <c r="M654" i="4"/>
  <c r="M159" i="6"/>
  <c r="M427" i="6"/>
  <c r="N492" i="7"/>
  <c r="M77" i="7"/>
  <c r="W91" i="10"/>
  <c r="Y91" i="10" s="1"/>
  <c r="N312" i="6"/>
  <c r="N958" i="7"/>
  <c r="X60" i="10" s="1"/>
  <c r="O257" i="8"/>
  <c r="P257" i="8" s="1"/>
  <c r="O213" i="8"/>
  <c r="O353" i="5"/>
  <c r="O723" i="7"/>
  <c r="P723" i="7" s="1"/>
  <c r="N728" i="7"/>
  <c r="N250" i="7"/>
  <c r="N252" i="7" s="1"/>
  <c r="N11" i="7" s="1"/>
  <c r="N325" i="6"/>
  <c r="CR54" i="9"/>
  <c r="M1067" i="7"/>
  <c r="AX54" i="9"/>
  <c r="O1983" i="6"/>
  <c r="N710" i="6"/>
  <c r="O1930" i="6"/>
  <c r="P1930" i="6" s="1"/>
  <c r="O344" i="5"/>
  <c r="L335" i="4"/>
  <c r="L12" i="4" s="1"/>
  <c r="N862" i="4"/>
  <c r="M881" i="4"/>
  <c r="M329" i="4"/>
  <c r="N1198" i="6"/>
  <c r="N339" i="6"/>
  <c r="O374" i="5"/>
  <c r="P374" i="5" s="1"/>
  <c r="N140" i="5"/>
  <c r="N136" i="5"/>
  <c r="O366" i="5"/>
  <c r="P366" i="5" s="1"/>
  <c r="O878" i="4"/>
  <c r="J84" i="15"/>
  <c r="O1738" i="6"/>
  <c r="P1738" i="6" s="1"/>
  <c r="N583" i="4"/>
  <c r="M121" i="4"/>
  <c r="M159" i="4" s="1"/>
  <c r="O416" i="4"/>
  <c r="N69" i="4"/>
  <c r="W60" i="10"/>
  <c r="N569" i="4"/>
  <c r="N786" i="6"/>
  <c r="N94" i="6" s="1"/>
  <c r="K44" i="16"/>
  <c r="K77" i="3" s="1"/>
  <c r="K78" i="3" s="1"/>
  <c r="CR186" i="9"/>
  <c r="AY186" i="9"/>
  <c r="M1571" i="6"/>
  <c r="M465" i="6" s="1"/>
  <c r="O1668" i="6"/>
  <c r="P1668" i="6" s="1"/>
  <c r="N542" i="6"/>
  <c r="N370" i="7"/>
  <c r="O284" i="8"/>
  <c r="P284" i="8" s="1"/>
  <c r="O376" i="5"/>
  <c r="P376" i="5" s="1"/>
  <c r="O1931" i="6"/>
  <c r="P1931" i="6" s="1"/>
  <c r="O852" i="6"/>
  <c r="P852" i="6" s="1"/>
  <c r="O684" i="4"/>
  <c r="P684" i="4" s="1"/>
  <c r="O1844" i="6"/>
  <c r="O795" i="7"/>
  <c r="P795" i="7" s="1"/>
  <c r="O520" i="7"/>
  <c r="P520" i="7" s="1"/>
  <c r="O522" i="4"/>
  <c r="P522" i="4" s="1"/>
  <c r="O1043" i="7"/>
  <c r="P1043" i="7" s="1"/>
  <c r="O778" i="6"/>
  <c r="P778" i="6" s="1"/>
  <c r="O697" i="4"/>
  <c r="P697" i="4" s="1"/>
  <c r="O1817" i="6"/>
  <c r="O569" i="7"/>
  <c r="O34" i="27"/>
  <c r="P34" i="27" s="1"/>
  <c r="O537" i="4"/>
  <c r="P537" i="4" s="1"/>
  <c r="O829" i="6"/>
  <c r="P829" i="6" s="1"/>
  <c r="O535" i="4"/>
  <c r="P535" i="4" s="1"/>
  <c r="N20" i="27"/>
  <c r="O8" i="27"/>
  <c r="P8" i="27" s="1"/>
  <c r="O282" i="8"/>
  <c r="P282" i="8" s="1"/>
  <c r="O243" i="8"/>
  <c r="P243" i="8" s="1"/>
  <c r="O645" i="4"/>
  <c r="P645" i="4" s="1"/>
  <c r="O820" i="7"/>
  <c r="P820" i="7" s="1"/>
  <c r="O1612" i="6"/>
  <c r="P1612" i="6" s="1"/>
  <c r="O16" i="27"/>
  <c r="P16" i="27" s="1"/>
  <c r="O428" i="5"/>
  <c r="P428" i="5" s="1"/>
  <c r="O693" i="4"/>
  <c r="P693" i="4" s="1"/>
  <c r="O840" i="7"/>
  <c r="P840" i="7" s="1"/>
  <c r="O758" i="6"/>
  <c r="P758" i="6" s="1"/>
  <c r="N711" i="6"/>
  <c r="O1990" i="6"/>
  <c r="O1148" i="7"/>
  <c r="P1148" i="7" s="1"/>
  <c r="O564" i="7"/>
  <c r="P564" i="7" s="1"/>
  <c r="O1988" i="6"/>
  <c r="P1988" i="6" s="1"/>
  <c r="O904" i="4"/>
  <c r="P904" i="4" s="1"/>
  <c r="O528" i="4"/>
  <c r="P528" i="4" s="1"/>
  <c r="O704" i="4"/>
  <c r="P704" i="4" s="1"/>
  <c r="O440" i="5"/>
  <c r="P440" i="5" s="1"/>
  <c r="O368" i="5"/>
  <c r="P368" i="5" s="1"/>
  <c r="O988" i="6"/>
  <c r="O208" i="6" s="1"/>
  <c r="O1331" i="6"/>
  <c r="P1331" i="6" s="1"/>
  <c r="O1246" i="6"/>
  <c r="P1246" i="6" s="1"/>
  <c r="O533" i="4"/>
  <c r="P533" i="4" s="1"/>
  <c r="O652" i="7"/>
  <c r="P652" i="7" s="1"/>
  <c r="O299" i="5"/>
  <c r="P299" i="5" s="1"/>
  <c r="O1617" i="6"/>
  <c r="P1617" i="6" s="1"/>
  <c r="O843" i="6"/>
  <c r="P843" i="6" s="1"/>
  <c r="O506" i="7"/>
  <c r="P506" i="7" s="1"/>
  <c r="O1888" i="6"/>
  <c r="P1888" i="6" s="1"/>
  <c r="O950" i="7"/>
  <c r="P950" i="7" s="1"/>
  <c r="N58" i="4"/>
  <c r="O1329" i="6"/>
  <c r="N952" i="7"/>
  <c r="S99" i="37"/>
  <c r="M293" i="45"/>
  <c r="N1103" i="6"/>
  <c r="N1173" i="6"/>
  <c r="L726" i="34" s="1"/>
  <c r="M327" i="6"/>
  <c r="L29" i="45"/>
  <c r="L36" i="45" s="1"/>
  <c r="F20" i="13"/>
  <c r="F23" i="13" s="1"/>
  <c r="T50" i="37"/>
  <c r="U48" i="37" s="1"/>
  <c r="U50" i="37" s="1"/>
  <c r="V48" i="37" s="1"/>
  <c r="V50" i="37" s="1"/>
  <c r="W48" i="37" s="1"/>
  <c r="W50" i="37" s="1"/>
  <c r="N318" i="8"/>
  <c r="M290" i="45"/>
  <c r="N164" i="45"/>
  <c r="M33" i="45"/>
  <c r="M264" i="6"/>
  <c r="N1248" i="6"/>
  <c r="L727" i="34" s="1"/>
  <c r="M34" i="45"/>
  <c r="M1224" i="6"/>
  <c r="M370" i="6" s="1"/>
  <c r="M378" i="6"/>
  <c r="CS97" i="9"/>
  <c r="O619" i="4"/>
  <c r="N171" i="4"/>
  <c r="I36" i="17"/>
  <c r="D35" i="20"/>
  <c r="D72" i="20" s="1"/>
  <c r="B974" i="4"/>
  <c r="J19" i="4"/>
  <c r="J30" i="4" s="1"/>
  <c r="B994" i="4"/>
  <c r="B36" i="4"/>
  <c r="B200" i="4"/>
  <c r="O326" i="8"/>
  <c r="P326" i="8" s="1"/>
  <c r="M340" i="4"/>
  <c r="N885" i="4"/>
  <c r="J68" i="5"/>
  <c r="J465" i="5" s="1"/>
  <c r="M64" i="5"/>
  <c r="M16" i="5" s="1"/>
  <c r="N945" i="7"/>
  <c r="M376" i="7"/>
  <c r="M377" i="7"/>
  <c r="N963" i="7"/>
  <c r="E202" i="15"/>
  <c r="F202" i="15" s="1"/>
  <c r="O413" i="4"/>
  <c r="M115" i="3" s="1"/>
  <c r="N68" i="4"/>
  <c r="O2020" i="6"/>
  <c r="N859" i="6"/>
  <c r="M140" i="6"/>
  <c r="M321" i="6"/>
  <c r="J2060" i="6"/>
  <c r="N2020" i="6"/>
  <c r="N730" i="6"/>
  <c r="N735" i="6" s="1"/>
  <c r="B2042" i="6"/>
  <c r="B466" i="6"/>
  <c r="C2042" i="6"/>
  <c r="C466" i="6"/>
  <c r="N763" i="6"/>
  <c r="M782" i="6"/>
  <c r="D36" i="20"/>
  <c r="AV3" i="21"/>
  <c r="AS3" i="22"/>
  <c r="AS78" i="22" s="1"/>
  <c r="J67" i="17"/>
  <c r="AT3" i="21"/>
  <c r="AQ3" i="22"/>
  <c r="AQ78" i="22" s="1"/>
  <c r="AQ121" i="22" s="1"/>
  <c r="AV3" i="22"/>
  <c r="AV78" i="22" s="1"/>
  <c r="AV121" i="22" s="1"/>
  <c r="AY3" i="21"/>
  <c r="BD97" i="9"/>
  <c r="S71" i="37"/>
  <c r="N214" i="6"/>
  <c r="P214" i="6"/>
  <c r="AS52" i="42"/>
  <c r="AS54" i="42" s="1"/>
  <c r="M475" i="4"/>
  <c r="M92" i="4" s="1"/>
  <c r="M46" i="4" s="1"/>
  <c r="K62" i="3" s="1"/>
  <c r="K64" i="12"/>
  <c r="M1078" i="6" s="1"/>
  <c r="M288" i="6" s="1"/>
  <c r="Y84" i="11"/>
  <c r="AB3" i="11"/>
  <c r="O210" i="7"/>
  <c r="J324" i="7"/>
  <c r="N210" i="7"/>
  <c r="N1181" i="6"/>
  <c r="M1195" i="6"/>
  <c r="L380" i="6"/>
  <c r="L27" i="6" s="1"/>
  <c r="M331" i="6"/>
  <c r="M330" i="6" s="1"/>
  <c r="O407" i="8"/>
  <c r="N256" i="5"/>
  <c r="O496" i="7"/>
  <c r="O86" i="7" s="1"/>
  <c r="O499" i="7"/>
  <c r="O89" i="7" s="1"/>
  <c r="I72" i="13"/>
  <c r="I55" i="13"/>
  <c r="W41" i="42" s="1"/>
  <c r="N278" i="8"/>
  <c r="N61" i="8" s="1"/>
  <c r="M291" i="45"/>
  <c r="M258" i="7"/>
  <c r="N739" i="7"/>
  <c r="N186" i="8"/>
  <c r="N45" i="8" s="1"/>
  <c r="N62" i="5"/>
  <c r="N319" i="8"/>
  <c r="M294" i="45"/>
  <c r="K95" i="13"/>
  <c r="J97" i="13"/>
  <c r="N295" i="8"/>
  <c r="N62" i="8" s="1"/>
  <c r="M292" i="45"/>
  <c r="M727" i="6"/>
  <c r="N2013" i="6"/>
  <c r="K22" i="58" s="1"/>
  <c r="N1281" i="6"/>
  <c r="N1235" i="6"/>
  <c r="M1220" i="6"/>
  <c r="M377" i="6"/>
  <c r="M1251" i="6"/>
  <c r="K382" i="6"/>
  <c r="K11" i="6"/>
  <c r="K43" i="6" s="1"/>
  <c r="M507" i="6"/>
  <c r="M512" i="6" s="1"/>
  <c r="M1630" i="6"/>
  <c r="J384" i="6"/>
  <c r="J2061" i="6"/>
  <c r="I2041" i="6"/>
  <c r="I395" i="6"/>
  <c r="N1908" i="6"/>
  <c r="N661" i="6" s="1"/>
  <c r="L367" i="6"/>
  <c r="L372" i="6" s="1"/>
  <c r="L1227" i="6"/>
  <c r="J766" i="34" s="1"/>
  <c r="L504" i="5"/>
  <c r="M146" i="5"/>
  <c r="N382" i="5"/>
  <c r="O314" i="5"/>
  <c r="O96" i="5" s="1"/>
  <c r="N61" i="5"/>
  <c r="O248" i="5"/>
  <c r="M99" i="5"/>
  <c r="M505" i="5" s="1"/>
  <c r="L148" i="5"/>
  <c r="L18" i="5" s="1"/>
  <c r="K509" i="5"/>
  <c r="K511" i="5" s="1"/>
  <c r="X9" i="11"/>
  <c r="G955" i="4"/>
  <c r="H955" i="4" s="1"/>
  <c r="M525" i="7"/>
  <c r="T58" i="10"/>
  <c r="M345" i="7"/>
  <c r="I1197" i="7"/>
  <c r="I335" i="7"/>
  <c r="M855" i="7"/>
  <c r="K322" i="7"/>
  <c r="K1213" i="7" s="1"/>
  <c r="N844" i="7"/>
  <c r="M312" i="7"/>
  <c r="K10" i="7"/>
  <c r="K20" i="7"/>
  <c r="K32" i="7" s="1"/>
  <c r="L320" i="7"/>
  <c r="L94" i="7"/>
  <c r="L96" i="7" s="1"/>
  <c r="N601" i="7"/>
  <c r="M162" i="7"/>
  <c r="L136" i="7"/>
  <c r="J149" i="7"/>
  <c r="J1193" i="7"/>
  <c r="N846" i="7"/>
  <c r="M314" i="7"/>
  <c r="N491" i="7"/>
  <c r="M76" i="7"/>
  <c r="J1208" i="7"/>
  <c r="J98" i="7"/>
  <c r="N600" i="7"/>
  <c r="N161" i="7" s="1"/>
  <c r="N956" i="7"/>
  <c r="N845" i="7"/>
  <c r="N313" i="7" s="1"/>
  <c r="J77" i="13"/>
  <c r="K203" i="15" s="1"/>
  <c r="BD115" i="9"/>
  <c r="AY29" i="9"/>
  <c r="M277" i="7"/>
  <c r="J132" i="13"/>
  <c r="I137" i="4"/>
  <c r="I968" i="4"/>
  <c r="J135" i="4"/>
  <c r="H43" i="42"/>
  <c r="F44" i="42"/>
  <c r="G7" i="42"/>
  <c r="N173" i="5"/>
  <c r="N255" i="6"/>
  <c r="N9" i="6" s="1"/>
  <c r="O1030" i="6"/>
  <c r="K98" i="7"/>
  <c r="O755" i="6"/>
  <c r="P755" i="6" s="1"/>
  <c r="E40" i="42"/>
  <c r="I12" i="42"/>
  <c r="N359" i="5"/>
  <c r="N89" i="5"/>
  <c r="N91" i="5" s="1"/>
  <c r="K114" i="5"/>
  <c r="K466" i="5"/>
  <c r="L56" i="5"/>
  <c r="L7" i="5" s="1"/>
  <c r="L25" i="5" s="1"/>
  <c r="M170" i="4"/>
  <c r="N618" i="4"/>
  <c r="K133" i="4"/>
  <c r="L31" i="17"/>
  <c r="M16" i="17"/>
  <c r="BB41" i="42" s="1"/>
  <c r="M106" i="15" s="1"/>
  <c r="M336" i="34" s="1"/>
  <c r="L31" i="16"/>
  <c r="M16" i="16"/>
  <c r="AN41" i="42" s="1"/>
  <c r="M75" i="15" s="1"/>
  <c r="M322" i="34" s="1"/>
  <c r="D47" i="42"/>
  <c r="M424" i="45"/>
  <c r="N421" i="45"/>
  <c r="N109" i="8"/>
  <c r="N422" i="45"/>
  <c r="L441" i="7"/>
  <c r="L442" i="7" s="1"/>
  <c r="K138" i="7"/>
  <c r="K1209" i="7"/>
  <c r="L439" i="7"/>
  <c r="O672" i="7"/>
  <c r="P672" i="7" s="1"/>
  <c r="Q672" i="7" s="1"/>
  <c r="R672" i="7" s="1"/>
  <c r="O918" i="7"/>
  <c r="N365" i="7"/>
  <c r="O671" i="7"/>
  <c r="P671" i="7" s="1"/>
  <c r="Q671" i="7" s="1"/>
  <c r="R671" i="7" s="1"/>
  <c r="N216" i="7"/>
  <c r="O423" i="5"/>
  <c r="N186" i="5"/>
  <c r="N487" i="7"/>
  <c r="M74" i="7"/>
  <c r="M440" i="7"/>
  <c r="N318" i="5"/>
  <c r="O309" i="5"/>
  <c r="M383" i="5"/>
  <c r="M385" i="5" s="1"/>
  <c r="M387" i="5" s="1"/>
  <c r="M396" i="5" s="1"/>
  <c r="M135" i="5"/>
  <c r="N362" i="5"/>
  <c r="O741" i="7"/>
  <c r="O748" i="7"/>
  <c r="N260" i="7"/>
  <c r="N261" i="7" s="1"/>
  <c r="O566" i="7"/>
  <c r="N991" i="6"/>
  <c r="M210" i="6"/>
  <c r="M1000" i="6"/>
  <c r="O1121" i="6"/>
  <c r="P1121" i="6" s="1"/>
  <c r="N99" i="6"/>
  <c r="O794" i="6"/>
  <c r="O791" i="6"/>
  <c r="M496" i="5"/>
  <c r="K479" i="5"/>
  <c r="K199" i="5"/>
  <c r="L31" i="5"/>
  <c r="N450" i="5"/>
  <c r="N193" i="5"/>
  <c r="J481" i="5"/>
  <c r="N420" i="5"/>
  <c r="M183" i="5"/>
  <c r="M195" i="5" s="1"/>
  <c r="M447" i="5"/>
  <c r="M449" i="5" s="1"/>
  <c r="M451" i="5" s="1"/>
  <c r="M459" i="5" s="1"/>
  <c r="O427" i="5"/>
  <c r="P427" i="5" s="1"/>
  <c r="N187" i="5"/>
  <c r="M198" i="5"/>
  <c r="J210" i="5"/>
  <c r="J468" i="5"/>
  <c r="L197" i="5"/>
  <c r="L19" i="5"/>
  <c r="L507" i="5"/>
  <c r="L722" i="4"/>
  <c r="L724" i="4" s="1"/>
  <c r="L732" i="4" s="1"/>
  <c r="L174" i="4"/>
  <c r="M711" i="4"/>
  <c r="M720" i="4" s="1"/>
  <c r="M191" i="4" s="1"/>
  <c r="N685" i="4"/>
  <c r="M689" i="4"/>
  <c r="M109" i="4"/>
  <c r="M157" i="4" s="1"/>
  <c r="N220" i="5"/>
  <c r="N52" i="5" s="1"/>
  <c r="M238" i="5"/>
  <c r="M258" i="5" s="1"/>
  <c r="M260" i="5" s="1"/>
  <c r="M271" i="5" s="1"/>
  <c r="N724" i="6"/>
  <c r="M1496" i="6"/>
  <c r="M1498" i="6" s="1"/>
  <c r="T220" i="10" s="1"/>
  <c r="O2011" i="6"/>
  <c r="N726" i="6"/>
  <c r="O2009" i="6"/>
  <c r="P2009" i="6" s="1"/>
  <c r="O2004" i="6"/>
  <c r="N722" i="6"/>
  <c r="O2008" i="6"/>
  <c r="P2008" i="6" s="1"/>
  <c r="O2002" i="6"/>
  <c r="L502" i="4"/>
  <c r="K155" i="4"/>
  <c r="K160" i="4" s="1"/>
  <c r="K111" i="4"/>
  <c r="K8" i="4" s="1"/>
  <c r="L110" i="40"/>
  <c r="Z88" i="10" s="1"/>
  <c r="K129" i="40"/>
  <c r="I119" i="13"/>
  <c r="W43" i="42"/>
  <c r="J203" i="15"/>
  <c r="S44" i="42"/>
  <c r="E143" i="13"/>
  <c r="BI40" i="9"/>
  <c r="X84" i="11"/>
  <c r="AA3" i="11"/>
  <c r="W84" i="11"/>
  <c r="Z3" i="11"/>
  <c r="AA3" i="10"/>
  <c r="X109" i="10"/>
  <c r="X201" i="10" s="1"/>
  <c r="T47" i="42"/>
  <c r="O495" i="7"/>
  <c r="O85" i="7" s="1"/>
  <c r="N257" i="7"/>
  <c r="N306" i="7"/>
  <c r="O811" i="7"/>
  <c r="B408" i="7"/>
  <c r="N220" i="7"/>
  <c r="O695" i="7"/>
  <c r="O1355" i="6"/>
  <c r="P1355" i="6" s="1"/>
  <c r="O1297" i="6"/>
  <c r="N423" i="6"/>
  <c r="J2040" i="6"/>
  <c r="J356" i="6"/>
  <c r="O102" i="6"/>
  <c r="O449" i="6"/>
  <c r="O1497" i="6"/>
  <c r="O987" i="6"/>
  <c r="P987" i="6" s="1"/>
  <c r="N209" i="6"/>
  <c r="O338" i="6"/>
  <c r="N1474" i="6"/>
  <c r="N415" i="6"/>
  <c r="O1472" i="6"/>
  <c r="P1472" i="6" s="1"/>
  <c r="O271" i="6"/>
  <c r="N584" i="6"/>
  <c r="O1726" i="6"/>
  <c r="E198" i="15"/>
  <c r="F198" i="15" s="1"/>
  <c r="O1488" i="6"/>
  <c r="N1489" i="6"/>
  <c r="N1494" i="6" s="1"/>
  <c r="K1509" i="6"/>
  <c r="O1480" i="6"/>
  <c r="P1480" i="6" s="1"/>
  <c r="G126" i="22"/>
  <c r="G557" i="8"/>
  <c r="H128" i="22"/>
  <c r="G67" i="17"/>
  <c r="G70" i="17" s="1"/>
  <c r="G80" i="3" s="1"/>
  <c r="H67" i="17"/>
  <c r="I67" i="17"/>
  <c r="AE19" i="42"/>
  <c r="G105" i="19"/>
  <c r="L35" i="19"/>
  <c r="N119" i="4"/>
  <c r="N546" i="6"/>
  <c r="N551" i="6" s="1"/>
  <c r="N1688" i="6"/>
  <c r="N837" i="6"/>
  <c r="O1678" i="6"/>
  <c r="P1678" i="6" s="1"/>
  <c r="O1663" i="6"/>
  <c r="O1287" i="6"/>
  <c r="P1287" i="6" s="1"/>
  <c r="N497" i="6"/>
  <c r="O1611" i="6"/>
  <c r="P1611" i="6" s="1"/>
  <c r="O1883" i="6"/>
  <c r="P1883" i="6" s="1"/>
  <c r="N629" i="6"/>
  <c r="N92" i="6"/>
  <c r="O777" i="6"/>
  <c r="P777" i="6" s="1"/>
  <c r="O1654" i="6"/>
  <c r="P1654" i="6" s="1"/>
  <c r="O1997" i="6"/>
  <c r="P1997" i="6" s="1"/>
  <c r="N714" i="6"/>
  <c r="B747" i="6"/>
  <c r="N262" i="6"/>
  <c r="O725" i="6"/>
  <c r="O449" i="8"/>
  <c r="P449" i="8" s="1"/>
  <c r="AU86" i="9"/>
  <c r="AU168" i="9" s="1"/>
  <c r="AZ2" i="9"/>
  <c r="U44" i="42"/>
  <c r="G143" i="13"/>
  <c r="O72" i="14"/>
  <c r="H202" i="15"/>
  <c r="H147" i="15" s="1"/>
  <c r="AM209" i="9"/>
  <c r="AM211" i="9" s="1"/>
  <c r="G40" i="42"/>
  <c r="G143" i="15"/>
  <c r="I110" i="14"/>
  <c r="N299" i="45"/>
  <c r="L759" i="7"/>
  <c r="L770" i="7" s="1"/>
  <c r="L402" i="4"/>
  <c r="J7" i="12" s="1"/>
  <c r="K199" i="15"/>
  <c r="L403" i="4"/>
  <c r="J8" i="12" s="1"/>
  <c r="L1009" i="4"/>
  <c r="J144" i="15"/>
  <c r="O968" i="7"/>
  <c r="P968" i="7" s="1"/>
  <c r="O682" i="7"/>
  <c r="P682" i="7" s="1"/>
  <c r="N217" i="7"/>
  <c r="I102" i="13"/>
  <c r="L264" i="7"/>
  <c r="N205" i="7"/>
  <c r="O653" i="7"/>
  <c r="P653" i="7" s="1"/>
  <c r="K266" i="7"/>
  <c r="K23" i="7"/>
  <c r="K35" i="7" s="1"/>
  <c r="O810" i="7"/>
  <c r="M755" i="7"/>
  <c r="M757" i="7" s="1"/>
  <c r="I279" i="7"/>
  <c r="I1194" i="7"/>
  <c r="J1210" i="7"/>
  <c r="J268" i="7"/>
  <c r="O290" i="7"/>
  <c r="N70" i="4"/>
  <c r="O433" i="4"/>
  <c r="P433" i="4" s="1"/>
  <c r="W69" i="11"/>
  <c r="L400" i="4"/>
  <c r="J5" i="12" s="1"/>
  <c r="H76" i="11"/>
  <c r="B39" i="20"/>
  <c r="G282" i="4" l="1"/>
  <c r="G839" i="4"/>
  <c r="H839" i="4" s="1"/>
  <c r="S39" i="37"/>
  <c r="J513" i="5"/>
  <c r="N404" i="6"/>
  <c r="O1407" i="6"/>
  <c r="O440" i="6" s="1"/>
  <c r="N1449" i="6"/>
  <c r="T19" i="14"/>
  <c r="K134" i="14"/>
  <c r="K197" i="14" s="1"/>
  <c r="K64" i="14"/>
  <c r="F155" i="3" s="1"/>
  <c r="G847" i="4"/>
  <c r="G303" i="4" s="1"/>
  <c r="G43" i="4" s="1"/>
  <c r="F24" i="3" s="1"/>
  <c r="M112" i="3"/>
  <c r="O173" i="5"/>
  <c r="D213" i="42"/>
  <c r="O580" i="4"/>
  <c r="N110" i="40"/>
  <c r="O109" i="40"/>
  <c r="M114" i="3"/>
  <c r="O312" i="8"/>
  <c r="O118" i="8"/>
  <c r="N160" i="7"/>
  <c r="O325" i="6"/>
  <c r="N488" i="6"/>
  <c r="K65" i="9"/>
  <c r="O573" i="6"/>
  <c r="L757" i="34"/>
  <c r="P1663" i="6"/>
  <c r="P541" i="6" s="1"/>
  <c r="O541" i="6"/>
  <c r="O124" i="5"/>
  <c r="O61" i="4"/>
  <c r="Q631" i="6"/>
  <c r="R1782" i="6"/>
  <c r="R631" i="6" s="1"/>
  <c r="P1662" i="6"/>
  <c r="P540" i="6" s="1"/>
  <c r="P117" i="9"/>
  <c r="R249" i="6"/>
  <c r="BT117" i="9" s="1"/>
  <c r="BT138" i="9" s="1"/>
  <c r="R1079" i="6" s="1"/>
  <c r="P145" i="3"/>
  <c r="P209" i="3"/>
  <c r="R2010" i="6"/>
  <c r="R725" i="6" s="1"/>
  <c r="R644" i="6"/>
  <c r="P136" i="15"/>
  <c r="P158" i="15" s="1"/>
  <c r="P213" i="15"/>
  <c r="P544" i="34"/>
  <c r="P53" i="15"/>
  <c r="P22" i="15" s="1"/>
  <c r="AC80" i="42"/>
  <c r="O20" i="42"/>
  <c r="AC29" i="42"/>
  <c r="O29" i="42" s="1"/>
  <c r="R216" i="7"/>
  <c r="N80" i="42"/>
  <c r="O528" i="34"/>
  <c r="BG169" i="9"/>
  <c r="BG209" i="9" s="1"/>
  <c r="BG211" i="9" s="1"/>
  <c r="L75" i="13" s="1"/>
  <c r="BB169" i="9"/>
  <c r="BB209" i="9" s="1"/>
  <c r="BB211" i="9" s="1"/>
  <c r="O143" i="5"/>
  <c r="N25" i="34"/>
  <c r="R232" i="6"/>
  <c r="R1010" i="4"/>
  <c r="P70" i="3"/>
  <c r="L50" i="20"/>
  <c r="U238" i="10"/>
  <c r="M2027" i="6" s="1"/>
  <c r="M743" i="6" s="1"/>
  <c r="AY207" i="9"/>
  <c r="L215" i="9"/>
  <c r="AV13" i="37"/>
  <c r="N4" i="37"/>
  <c r="O2" i="37" s="1"/>
  <c r="N92" i="37"/>
  <c r="N94" i="37" s="1"/>
  <c r="C161" i="3"/>
  <c r="B51" i="15"/>
  <c r="BM87" i="9"/>
  <c r="BM169" i="9" s="1"/>
  <c r="BW3" i="9"/>
  <c r="BW87" i="9" s="1"/>
  <c r="BW169" i="9" s="1"/>
  <c r="BL87" i="9"/>
  <c r="BL169" i="9" s="1"/>
  <c r="BV3" i="9"/>
  <c r="BV87" i="9" s="1"/>
  <c r="BV169" i="9" s="1"/>
  <c r="BK87" i="9"/>
  <c r="BK169" i="9" s="1"/>
  <c r="BU3" i="9"/>
  <c r="BU87" i="9" s="1"/>
  <c r="BU169" i="9" s="1"/>
  <c r="BJ87" i="9"/>
  <c r="BJ169" i="9" s="1"/>
  <c r="BT3" i="9"/>
  <c r="BT87" i="9" s="1"/>
  <c r="BT169" i="9" s="1"/>
  <c r="Q369" i="8"/>
  <c r="R369" i="8" s="1"/>
  <c r="P11" i="1"/>
  <c r="P982" i="6"/>
  <c r="P983" i="6"/>
  <c r="P440" i="8"/>
  <c r="L292" i="3"/>
  <c r="L302" i="3" s="1"/>
  <c r="N286" i="3"/>
  <c r="M296" i="3"/>
  <c r="P679" i="4"/>
  <c r="P985" i="6"/>
  <c r="P1347" i="6"/>
  <c r="P984" i="6"/>
  <c r="K302" i="3"/>
  <c r="M300" i="3"/>
  <c r="O67" i="1"/>
  <c r="M299" i="3"/>
  <c r="P1408" i="6"/>
  <c r="P441" i="6" s="1"/>
  <c r="O441" i="6"/>
  <c r="O320" i="6"/>
  <c r="M725" i="34"/>
  <c r="L20" i="58"/>
  <c r="N701" i="6"/>
  <c r="P344" i="5"/>
  <c r="O125" i="5"/>
  <c r="O126" i="5"/>
  <c r="P912" i="4"/>
  <c r="O344" i="4"/>
  <c r="N76" i="4"/>
  <c r="O75" i="4"/>
  <c r="A187" i="15"/>
  <c r="A132" i="15" s="1"/>
  <c r="P357" i="5"/>
  <c r="P128" i="5" s="1"/>
  <c r="P340" i="5"/>
  <c r="A116" i="13"/>
  <c r="D198" i="48"/>
  <c r="D192" i="48"/>
  <c r="D182" i="48"/>
  <c r="M191" i="48"/>
  <c r="M194" i="48"/>
  <c r="M198" i="48"/>
  <c r="D179" i="48"/>
  <c r="D187" i="48"/>
  <c r="D197" i="48"/>
  <c r="D195" i="48"/>
  <c r="D191" i="48"/>
  <c r="D183" i="48"/>
  <c r="D203" i="48"/>
  <c r="M184" i="48"/>
  <c r="S260" i="48"/>
  <c r="M181" i="48"/>
  <c r="D181" i="48"/>
  <c r="D176" i="48"/>
  <c r="E214" i="48" s="1"/>
  <c r="D205" i="48"/>
  <c r="M202" i="48"/>
  <c r="D180" i="48"/>
  <c r="D189" i="48"/>
  <c r="D185" i="48"/>
  <c r="M142" i="3"/>
  <c r="M180" i="48"/>
  <c r="M205" i="48"/>
  <c r="M206" i="48"/>
  <c r="M179" i="48"/>
  <c r="M182" i="48"/>
  <c r="M185" i="48"/>
  <c r="R258" i="48"/>
  <c r="R255" i="48"/>
  <c r="A42" i="15"/>
  <c r="A11" i="15" s="1"/>
  <c r="A16" i="3"/>
  <c r="B956" i="4"/>
  <c r="C49" i="4"/>
  <c r="B123" i="3" s="1"/>
  <c r="C961" i="4"/>
  <c r="H9" i="4"/>
  <c r="Q93" i="48"/>
  <c r="D204" i="48"/>
  <c r="D194" i="48"/>
  <c r="D188" i="48"/>
  <c r="F199" i="48"/>
  <c r="R214" i="48"/>
  <c r="D190" i="48"/>
  <c r="D193" i="48"/>
  <c r="D201" i="48"/>
  <c r="F180" i="48"/>
  <c r="D196" i="48"/>
  <c r="D202" i="48"/>
  <c r="D214" i="48"/>
  <c r="D206" i="48"/>
  <c r="F194" i="48"/>
  <c r="D184" i="48"/>
  <c r="D200" i="48"/>
  <c r="D199" i="48"/>
  <c r="F182" i="48"/>
  <c r="F181" i="48"/>
  <c r="F185" i="48"/>
  <c r="F197" i="48"/>
  <c r="F214" i="48"/>
  <c r="F191" i="48"/>
  <c r="F192" i="48"/>
  <c r="F204" i="48"/>
  <c r="F206" i="48"/>
  <c r="F188" i="48"/>
  <c r="M186" i="48"/>
  <c r="M199" i="48"/>
  <c r="M183" i="48"/>
  <c r="M200" i="48"/>
  <c r="F196" i="48"/>
  <c r="F187" i="48"/>
  <c r="F205" i="48"/>
  <c r="M193" i="48"/>
  <c r="F179" i="48"/>
  <c r="F189" i="48"/>
  <c r="F202" i="48"/>
  <c r="E38" i="48"/>
  <c r="M195" i="48"/>
  <c r="F193" i="48"/>
  <c r="M196" i="48"/>
  <c r="M187" i="48"/>
  <c r="M190" i="48"/>
  <c r="M204" i="48"/>
  <c r="M201" i="48"/>
  <c r="F200" i="48"/>
  <c r="F201" i="48"/>
  <c r="M192" i="48"/>
  <c r="F203" i="48"/>
  <c r="F186" i="48"/>
  <c r="F198" i="48"/>
  <c r="M203" i="48"/>
  <c r="M188" i="48"/>
  <c r="F183" i="48"/>
  <c r="M189" i="48"/>
  <c r="F195" i="48"/>
  <c r="M214" i="48"/>
  <c r="F184" i="48"/>
  <c r="P1996" i="6"/>
  <c r="M18" i="58" s="1"/>
  <c r="L18" i="58"/>
  <c r="P1616" i="6"/>
  <c r="P1112" i="7"/>
  <c r="N20" i="12"/>
  <c r="P439" i="8"/>
  <c r="P930" i="4"/>
  <c r="P354" i="4" s="1"/>
  <c r="P454" i="4"/>
  <c r="P1151" i="7"/>
  <c r="P906" i="4"/>
  <c r="P523" i="8"/>
  <c r="P387" i="8"/>
  <c r="P377" i="8"/>
  <c r="P519" i="8"/>
  <c r="P476" i="8"/>
  <c r="P525" i="8"/>
  <c r="P464" i="8"/>
  <c r="P467" i="8"/>
  <c r="P515" i="8"/>
  <c r="P376" i="8"/>
  <c r="P397" i="8"/>
  <c r="P400" i="8"/>
  <c r="BC12" i="42" s="1"/>
  <c r="P484" i="8"/>
  <c r="P378" i="8"/>
  <c r="P482" i="8"/>
  <c r="P508" i="8"/>
  <c r="P501" i="8"/>
  <c r="P483" i="8"/>
  <c r="P470" i="8"/>
  <c r="P514" i="8"/>
  <c r="P505" i="8"/>
  <c r="P526" i="8"/>
  <c r="P468" i="8"/>
  <c r="P481" i="8"/>
  <c r="P384" i="8"/>
  <c r="P521" i="8"/>
  <c r="P532" i="8"/>
  <c r="P524" i="8"/>
  <c r="P485" i="8"/>
  <c r="P337" i="8"/>
  <c r="P424" i="4"/>
  <c r="P330" i="8"/>
  <c r="P2003" i="6"/>
  <c r="P522" i="8"/>
  <c r="P528" i="8"/>
  <c r="P527" i="8"/>
  <c r="P489" i="8"/>
  <c r="L21" i="58"/>
  <c r="P486" i="8"/>
  <c r="P465" i="8"/>
  <c r="P480" i="8"/>
  <c r="P504" i="8"/>
  <c r="P385" i="8"/>
  <c r="P531" i="8"/>
  <c r="P386" i="8"/>
  <c r="P395" i="8"/>
  <c r="P457" i="8"/>
  <c r="P511" i="8"/>
  <c r="P533" i="8"/>
  <c r="P1983" i="6"/>
  <c r="L15" i="58"/>
  <c r="P1031" i="7"/>
  <c r="P1845" i="6"/>
  <c r="P506" i="8"/>
  <c r="P487" i="8"/>
  <c r="P520" i="8"/>
  <c r="P534" i="8"/>
  <c r="P469" i="8"/>
  <c r="P473" i="8"/>
  <c r="P490" i="8"/>
  <c r="P516" i="8"/>
  <c r="P479" i="8"/>
  <c r="P518" i="8"/>
  <c r="P463" i="8"/>
  <c r="P488" i="8"/>
  <c r="P466" i="8"/>
  <c r="P507" i="8"/>
  <c r="P517" i="8"/>
  <c r="N141" i="3"/>
  <c r="Q723" i="6"/>
  <c r="K743" i="6"/>
  <c r="L743" i="6"/>
  <c r="I132" i="22"/>
  <c r="P715" i="4"/>
  <c r="P1421" i="6"/>
  <c r="P847" i="6"/>
  <c r="P328" i="8"/>
  <c r="P930" i="7"/>
  <c r="P1142" i="7"/>
  <c r="P488" i="7"/>
  <c r="P806" i="7"/>
  <c r="P1149" i="7"/>
  <c r="P842" i="6"/>
  <c r="P1128" i="7"/>
  <c r="P327" i="8"/>
  <c r="P1542" i="6"/>
  <c r="P393" i="4"/>
  <c r="P432" i="4"/>
  <c r="P1304" i="6"/>
  <c r="P1403" i="6"/>
  <c r="P1113" i="6"/>
  <c r="P1038" i="6"/>
  <c r="P1424" i="6"/>
  <c r="P1313" i="6"/>
  <c r="P1550" i="6"/>
  <c r="P1548" i="6"/>
  <c r="P1325" i="6"/>
  <c r="P1397" i="6"/>
  <c r="P1042" i="6"/>
  <c r="P1057" i="6"/>
  <c r="P1324" i="6"/>
  <c r="P1398" i="6"/>
  <c r="P1535" i="6"/>
  <c r="P1543" i="6"/>
  <c r="P1045" i="6"/>
  <c r="O261" i="6"/>
  <c r="P428" i="4"/>
  <c r="P1399" i="6"/>
  <c r="P1740" i="6"/>
  <c r="P514" i="4"/>
  <c r="P574" i="4"/>
  <c r="P240" i="8"/>
  <c r="P926" i="6"/>
  <c r="P1884" i="6"/>
  <c r="P562" i="4"/>
  <c r="P1109" i="6"/>
  <c r="P1554" i="6"/>
  <c r="P1107" i="6"/>
  <c r="P396" i="4"/>
  <c r="P1039" i="6"/>
  <c r="P1533" i="6"/>
  <c r="P1309" i="6"/>
  <c r="P1546" i="6"/>
  <c r="P1037" i="6"/>
  <c r="P1040" i="6"/>
  <c r="P1315" i="6"/>
  <c r="P1538" i="6"/>
  <c r="P1306" i="6"/>
  <c r="P1108" i="6"/>
  <c r="P1553" i="6"/>
  <c r="P1541" i="6"/>
  <c r="P1547" i="6"/>
  <c r="P1043" i="6"/>
  <c r="P395" i="4"/>
  <c r="P1404" i="6"/>
  <c r="P1532" i="6"/>
  <c r="O445" i="6"/>
  <c r="P1058" i="6"/>
  <c r="P1323" i="6"/>
  <c r="P462" i="4"/>
  <c r="P1396" i="6"/>
  <c r="O439" i="6"/>
  <c r="P1552" i="6"/>
  <c r="P286" i="5"/>
  <c r="P514" i="7"/>
  <c r="P846" i="6"/>
  <c r="P1386" i="6"/>
  <c r="P1160" i="6"/>
  <c r="P1415" i="6"/>
  <c r="P329" i="8"/>
  <c r="P522" i="7"/>
  <c r="P1556" i="6"/>
  <c r="P1112" i="6"/>
  <c r="P1048" i="6"/>
  <c r="P1116" i="6"/>
  <c r="P1536" i="6"/>
  <c r="P1111" i="6"/>
  <c r="O322" i="6"/>
  <c r="P427" i="4"/>
  <c r="P1319" i="6"/>
  <c r="P1539" i="6"/>
  <c r="P1059" i="6"/>
  <c r="P1540" i="6"/>
  <c r="P1047" i="6"/>
  <c r="P1534" i="6"/>
  <c r="P431" i="4"/>
  <c r="P1114" i="6"/>
  <c r="P1311" i="6"/>
  <c r="P1316" i="6"/>
  <c r="P1123" i="6"/>
  <c r="P1551" i="6"/>
  <c r="P1402" i="6"/>
  <c r="P430" i="4"/>
  <c r="P1322" i="6"/>
  <c r="O428" i="6"/>
  <c r="P1106" i="6"/>
  <c r="P1118" i="6"/>
  <c r="P1312" i="6"/>
  <c r="P1544" i="6"/>
  <c r="P1302" i="6"/>
  <c r="P1400" i="6"/>
  <c r="P1053" i="6"/>
  <c r="P1314" i="6"/>
  <c r="P1055" i="6"/>
  <c r="P1549" i="6"/>
  <c r="P1307" i="6"/>
  <c r="P1326" i="6"/>
  <c r="P1041" i="6"/>
  <c r="P1124" i="6"/>
  <c r="P1046" i="6"/>
  <c r="P1545" i="6"/>
  <c r="P1105" i="6"/>
  <c r="P1115" i="6"/>
  <c r="P1308" i="6"/>
  <c r="P1405" i="6"/>
  <c r="P1052" i="6"/>
  <c r="P1537" i="6"/>
  <c r="P1117" i="6"/>
  <c r="P1305" i="6"/>
  <c r="P1555" i="6"/>
  <c r="P1303" i="6"/>
  <c r="P1310" i="6"/>
  <c r="H395" i="6"/>
  <c r="P1853" i="6"/>
  <c r="P430" i="5"/>
  <c r="P964" i="7"/>
  <c r="P29" i="27"/>
  <c r="P855" i="6"/>
  <c r="P221" i="5"/>
  <c r="P448" i="8"/>
  <c r="P1444" i="6"/>
  <c r="P1353" i="6"/>
  <c r="P1413" i="6"/>
  <c r="O127" i="1"/>
  <c r="P189" i="8"/>
  <c r="P749" i="7"/>
  <c r="P516" i="4"/>
  <c r="P677" i="7"/>
  <c r="P908" i="6"/>
  <c r="P1445" i="6"/>
  <c r="P1419" i="6"/>
  <c r="P297" i="8"/>
  <c r="P1412" i="6"/>
  <c r="P1240" i="6"/>
  <c r="P844" i="6"/>
  <c r="P1418" i="6"/>
  <c r="P1126" i="6"/>
  <c r="P1343" i="6"/>
  <c r="P1874" i="6"/>
  <c r="P842" i="7"/>
  <c r="P309" i="7" s="1"/>
  <c r="P363" i="5"/>
  <c r="P411" i="5"/>
  <c r="P175" i="5" s="1"/>
  <c r="P978" i="7"/>
  <c r="P1147" i="7"/>
  <c r="P518" i="7"/>
  <c r="P605" i="7"/>
  <c r="P1920" i="6"/>
  <c r="N156" i="4"/>
  <c r="P800" i="7"/>
  <c r="P750" i="4"/>
  <c r="N742" i="34"/>
  <c r="P1440" i="6"/>
  <c r="P1441" i="6"/>
  <c r="P900" i="4"/>
  <c r="P804" i="7"/>
  <c r="P1919" i="6"/>
  <c r="P33" i="27"/>
  <c r="P1679" i="6"/>
  <c r="P893" i="4"/>
  <c r="U15" i="37"/>
  <c r="P453" i="8"/>
  <c r="P490" i="7"/>
  <c r="P1790" i="6"/>
  <c r="P1614" i="6"/>
  <c r="P364" i="5"/>
  <c r="P244" i="8"/>
  <c r="P227" i="5"/>
  <c r="P824" i="7"/>
  <c r="P334" i="8"/>
  <c r="O124" i="1"/>
  <c r="P1414" i="6"/>
  <c r="P438" i="4"/>
  <c r="P74" i="4" s="1"/>
  <c r="P519" i="4"/>
  <c r="P116" i="4" s="1"/>
  <c r="P1613" i="6"/>
  <c r="P1150" i="7"/>
  <c r="P375" i="5"/>
  <c r="P1351" i="6"/>
  <c r="P1871" i="6"/>
  <c r="P1164" i="6"/>
  <c r="P851" i="6"/>
  <c r="P780" i="6"/>
  <c r="O128" i="1"/>
  <c r="P283" i="8"/>
  <c r="P526" i="4"/>
  <c r="P437" i="8"/>
  <c r="P554" i="4"/>
  <c r="P384" i="4"/>
  <c r="O91" i="7"/>
  <c r="P501" i="7"/>
  <c r="P872" i="4"/>
  <c r="P826" i="6"/>
  <c r="P241" i="8"/>
  <c r="P557" i="4"/>
  <c r="P716" i="4"/>
  <c r="P752" i="7"/>
  <c r="P262" i="7" s="1"/>
  <c r="P1519" i="6"/>
  <c r="P757" i="6"/>
  <c r="P461" i="4"/>
  <c r="P627" i="4"/>
  <c r="P1824" i="6"/>
  <c r="P1881" i="6"/>
  <c r="P641" i="4"/>
  <c r="P302" i="8"/>
  <c r="P1442" i="6"/>
  <c r="P1673" i="6"/>
  <c r="P296" i="8"/>
  <c r="P460" i="4"/>
  <c r="P1677" i="6"/>
  <c r="P907" i="4"/>
  <c r="P708" i="4"/>
  <c r="P187" i="8"/>
  <c r="P610" i="7"/>
  <c r="P348" i="5"/>
  <c r="P1183" i="6"/>
  <c r="P1863" i="6"/>
  <c r="P249" i="8"/>
  <c r="P433" i="5"/>
  <c r="P282" i="5"/>
  <c r="P1601" i="6"/>
  <c r="P251" i="8"/>
  <c r="P887" i="4"/>
  <c r="P2005" i="6"/>
  <c r="P190" i="8"/>
  <c r="P1420" i="6"/>
  <c r="P17" i="27"/>
  <c r="P1239" i="6"/>
  <c r="P1815" i="6"/>
  <c r="P712" i="4"/>
  <c r="P688" i="7"/>
  <c r="P1858" i="6"/>
  <c r="P343" i="5"/>
  <c r="P821" i="7"/>
  <c r="P250" i="5"/>
  <c r="P1422" i="6"/>
  <c r="P914" i="6"/>
  <c r="P447" i="8"/>
  <c r="P551" i="4"/>
  <c r="P494" i="4"/>
  <c r="O108" i="4"/>
  <c r="P562" i="7"/>
  <c r="P275" i="8"/>
  <c r="P1744" i="6"/>
  <c r="O595" i="6"/>
  <c r="P561" i="7"/>
  <c r="P1283" i="6"/>
  <c r="P1136" i="7"/>
  <c r="P307" i="8"/>
  <c r="O90" i="7"/>
  <c r="P500" i="7"/>
  <c r="P1797" i="6"/>
  <c r="P1095" i="6"/>
  <c r="O313" i="6"/>
  <c r="P1131" i="7"/>
  <c r="P386" i="4"/>
  <c r="P378" i="5"/>
  <c r="O141" i="5"/>
  <c r="M226" i="3"/>
  <c r="P309" i="8"/>
  <c r="P491" i="4"/>
  <c r="P304" i="8"/>
  <c r="P965" i="7"/>
  <c r="P725" i="7"/>
  <c r="P751" i="7"/>
  <c r="P301" i="8"/>
  <c r="P1923" i="6"/>
  <c r="P1388" i="6"/>
  <c r="Q173" i="8"/>
  <c r="R173" i="8" s="1"/>
  <c r="O126" i="8"/>
  <c r="M745" i="34"/>
  <c r="P1819" i="6"/>
  <c r="P927" i="4"/>
  <c r="P351" i="4" s="1"/>
  <c r="P308" i="8"/>
  <c r="P1796" i="6"/>
  <c r="P1387" i="6"/>
  <c r="P558" i="4"/>
  <c r="P549" i="4"/>
  <c r="P710" i="4"/>
  <c r="P585" i="4"/>
  <c r="P408" i="8"/>
  <c r="P385" i="4"/>
  <c r="P555" i="4"/>
  <c r="P550" i="4"/>
  <c r="P556" i="4"/>
  <c r="P548" i="4"/>
  <c r="O118" i="4"/>
  <c r="O130" i="8"/>
  <c r="P695" i="4"/>
  <c r="P913" i="4"/>
  <c r="P207" i="8"/>
  <c r="P1822" i="6"/>
  <c r="P709" i="4"/>
  <c r="P273" i="8"/>
  <c r="P1159" i="6"/>
  <c r="P438" i="8"/>
  <c r="P1249" i="6"/>
  <c r="L247" i="15"/>
  <c r="L269" i="15" s="1"/>
  <c r="P552" i="4"/>
  <c r="P191" i="8"/>
  <c r="P1097" i="6"/>
  <c r="P1590" i="6"/>
  <c r="P1713" i="6"/>
  <c r="P432" i="8"/>
  <c r="P1785" i="6"/>
  <c r="P379" i="5"/>
  <c r="P142" i="5" s="1"/>
  <c r="P303" i="8"/>
  <c r="P625" i="4"/>
  <c r="Z217" i="10"/>
  <c r="O663" i="4" s="1"/>
  <c r="O206" i="4" s="1"/>
  <c r="P538" i="4"/>
  <c r="P456" i="4"/>
  <c r="P272" i="8"/>
  <c r="P388" i="4"/>
  <c r="P553" i="4"/>
  <c r="P1786" i="6"/>
  <c r="P274" i="8"/>
  <c r="O765" i="7"/>
  <c r="O274" i="7" s="1"/>
  <c r="AB53" i="10"/>
  <c r="AA29" i="11" s="1"/>
  <c r="AB29" i="11" s="1"/>
  <c r="AC29" i="11" s="1"/>
  <c r="P740" i="7"/>
  <c r="O132" i="8"/>
  <c r="P371" i="5"/>
  <c r="P496" i="4"/>
  <c r="P1732" i="6"/>
  <c r="P590" i="6" s="1"/>
  <c r="P1050" i="6"/>
  <c r="P265" i="6" s="1"/>
  <c r="P387" i="4"/>
  <c r="I699" i="34"/>
  <c r="I700" i="34" s="1"/>
  <c r="I206" i="34" s="1"/>
  <c r="I207" i="34" s="1"/>
  <c r="O1278" i="6"/>
  <c r="P1278" i="6" s="1"/>
  <c r="J1509" i="6"/>
  <c r="L1504" i="6"/>
  <c r="L1509" i="6" s="1"/>
  <c r="S139" i="11"/>
  <c r="T139" i="11" s="1"/>
  <c r="R120" i="10"/>
  <c r="O784" i="7"/>
  <c r="P784" i="7" s="1"/>
  <c r="P292" i="7" s="1"/>
  <c r="B250" i="42"/>
  <c r="L322" i="7"/>
  <c r="L1213" i="7" s="1"/>
  <c r="AU81" i="9"/>
  <c r="K233" i="3" s="1"/>
  <c r="E24" i="15"/>
  <c r="F24" i="15" s="1"/>
  <c r="J100" i="40"/>
  <c r="X40" i="42" s="1"/>
  <c r="L111" i="1"/>
  <c r="L114" i="1" s="1"/>
  <c r="L116" i="1" s="1"/>
  <c r="AT81" i="9"/>
  <c r="O1279" i="6"/>
  <c r="O405" i="6" s="1"/>
  <c r="O1282" i="6"/>
  <c r="O407" i="6" s="1"/>
  <c r="L741" i="34"/>
  <c r="L743" i="34" s="1"/>
  <c r="I693" i="34"/>
  <c r="I694" i="34" s="1"/>
  <c r="I203" i="34" s="1"/>
  <c r="I204" i="34" s="1"/>
  <c r="E241" i="42"/>
  <c r="L71" i="15"/>
  <c r="N56" i="8"/>
  <c r="O239" i="8"/>
  <c r="AN21" i="42" s="1"/>
  <c r="M10" i="5"/>
  <c r="O62" i="5"/>
  <c r="P309" i="5"/>
  <c r="O95" i="5"/>
  <c r="M1002" i="6"/>
  <c r="M1005" i="6" s="1"/>
  <c r="M1014" i="6" s="1"/>
  <c r="M857" i="7"/>
  <c r="M859" i="7" s="1"/>
  <c r="M868" i="7" s="1"/>
  <c r="O565" i="7"/>
  <c r="P565" i="7" s="1"/>
  <c r="S53" i="11"/>
  <c r="T53" i="11" s="1"/>
  <c r="P497" i="7"/>
  <c r="P87" i="7" s="1"/>
  <c r="O87" i="7"/>
  <c r="P502" i="7"/>
  <c r="P92" i="7" s="1"/>
  <c r="CS29" i="9"/>
  <c r="P1153" i="7"/>
  <c r="G20" i="13"/>
  <c r="G23" i="13" s="1"/>
  <c r="N178" i="5"/>
  <c r="N498" i="5" s="1"/>
  <c r="M774" i="34"/>
  <c r="O333" i="4"/>
  <c r="P869" i="4"/>
  <c r="O331" i="4"/>
  <c r="N331" i="4"/>
  <c r="O640" i="4"/>
  <c r="O187" i="4" s="1"/>
  <c r="N187" i="4"/>
  <c r="O351" i="4"/>
  <c r="D381" i="34"/>
  <c r="Q79" i="42"/>
  <c r="O392" i="4"/>
  <c r="O59" i="4" s="1"/>
  <c r="P580" i="4"/>
  <c r="M136" i="3"/>
  <c r="C81" i="13"/>
  <c r="C156" i="3" s="1"/>
  <c r="C157" i="3" s="1"/>
  <c r="C24" i="3"/>
  <c r="J40" i="13"/>
  <c r="K8" i="3"/>
  <c r="G45" i="16"/>
  <c r="G120" i="16" s="1"/>
  <c r="P567" i="7"/>
  <c r="O131" i="7"/>
  <c r="A50" i="3"/>
  <c r="P512" i="7"/>
  <c r="M111" i="3"/>
  <c r="P741" i="7"/>
  <c r="O259" i="7"/>
  <c r="O117" i="9"/>
  <c r="CV117" i="9" s="1"/>
  <c r="O145" i="3"/>
  <c r="Q249" i="6"/>
  <c r="BO117" i="9" s="1"/>
  <c r="BO138" i="9" s="1"/>
  <c r="Q1079" i="6" s="1"/>
  <c r="B56" i="6"/>
  <c r="A15" i="3"/>
  <c r="Q2010" i="6"/>
  <c r="Q644" i="6"/>
  <c r="N91" i="6"/>
  <c r="L113" i="3"/>
  <c r="N1609" i="6" s="1"/>
  <c r="L116" i="3" s="1"/>
  <c r="L117" i="3" s="1"/>
  <c r="H391" i="8"/>
  <c r="E324" i="15"/>
  <c r="E329" i="15" s="1"/>
  <c r="I391" i="8" s="1"/>
  <c r="G324" i="15" s="1"/>
  <c r="G1008" i="4"/>
  <c r="F48" i="3"/>
  <c r="A54" i="3"/>
  <c r="H282" i="4"/>
  <c r="F160" i="3"/>
  <c r="F161" i="3" s="1"/>
  <c r="H63" i="3"/>
  <c r="H64" i="3" s="1"/>
  <c r="H144" i="3"/>
  <c r="H147" i="3" s="1"/>
  <c r="N63" i="12"/>
  <c r="M61" i="14"/>
  <c r="I1181" i="7" s="1"/>
  <c r="I464" i="7" s="1"/>
  <c r="I51" i="7" s="1"/>
  <c r="G21" i="3" s="1"/>
  <c r="N61" i="14"/>
  <c r="I1165" i="7" s="1"/>
  <c r="I448" i="7" s="1"/>
  <c r="P61" i="14"/>
  <c r="J1165" i="7" s="1"/>
  <c r="J448" i="7" s="1"/>
  <c r="O782" i="7"/>
  <c r="P782" i="7" s="1"/>
  <c r="O129" i="8"/>
  <c r="CS177" i="9"/>
  <c r="M177" i="9"/>
  <c r="O60" i="8"/>
  <c r="Y9" i="11"/>
  <c r="Z9" i="11" s="1"/>
  <c r="AY61" i="9"/>
  <c r="AY63" i="9" s="1"/>
  <c r="AX65" i="9"/>
  <c r="M295" i="7"/>
  <c r="M12" i="7" s="1"/>
  <c r="P492" i="4"/>
  <c r="L776" i="34"/>
  <c r="O301" i="15"/>
  <c r="L134" i="9"/>
  <c r="L138" i="9" s="1"/>
  <c r="N1080" i="6" s="1"/>
  <c r="BA134" i="9"/>
  <c r="BA138" i="9" s="1"/>
  <c r="CR134" i="9"/>
  <c r="AY134" i="9"/>
  <c r="O1589" i="6"/>
  <c r="O485" i="6" s="1"/>
  <c r="N485" i="6"/>
  <c r="O209" i="3"/>
  <c r="N235" i="3"/>
  <c r="BJ138" i="9"/>
  <c r="P1079" i="6" s="1"/>
  <c r="M29" i="9"/>
  <c r="O768" i="7" s="1"/>
  <c r="I208" i="3"/>
  <c r="I210" i="3" s="1"/>
  <c r="H56" i="13"/>
  <c r="N289" i="6"/>
  <c r="F106" i="15"/>
  <c r="D238" i="42"/>
  <c r="O410" i="6"/>
  <c r="N409" i="6"/>
  <c r="N132" i="7"/>
  <c r="CG68" i="21"/>
  <c r="K692" i="34" s="1"/>
  <c r="L723" i="34"/>
  <c r="R207" i="48"/>
  <c r="R209" i="48" s="1"/>
  <c r="X21" i="42"/>
  <c r="K54" i="15" s="1"/>
  <c r="O148" i="6"/>
  <c r="O1583" i="6"/>
  <c r="P1583" i="6" s="1"/>
  <c r="O72" i="4"/>
  <c r="K478" i="5"/>
  <c r="K481" i="5" s="1"/>
  <c r="K513" i="5" s="1"/>
  <c r="G483" i="5"/>
  <c r="H483" i="5" s="1"/>
  <c r="P1010" i="4"/>
  <c r="N289" i="7"/>
  <c r="N295" i="7" s="1"/>
  <c r="N12" i="7" s="1"/>
  <c r="E163" i="15"/>
  <c r="F163" i="15" s="1"/>
  <c r="N788" i="7"/>
  <c r="N575" i="7"/>
  <c r="N577" i="7" s="1"/>
  <c r="N579" i="7" s="1"/>
  <c r="O658" i="7"/>
  <c r="P658" i="7" s="1"/>
  <c r="P207" i="7" s="1"/>
  <c r="E473" i="34"/>
  <c r="R19" i="42"/>
  <c r="E480" i="34" s="1"/>
  <c r="H448" i="7"/>
  <c r="AC109" i="10"/>
  <c r="AC201" i="10" s="1"/>
  <c r="AF3" i="10"/>
  <c r="P1505" i="6"/>
  <c r="AG220" i="10"/>
  <c r="AJ220" i="10" s="1"/>
  <c r="R1505" i="6" s="1"/>
  <c r="R463" i="6" s="1"/>
  <c r="AE109" i="10"/>
  <c r="AE201" i="10" s="1"/>
  <c r="AH3" i="10"/>
  <c r="Q1010" i="4"/>
  <c r="BS54" i="9"/>
  <c r="H198" i="15"/>
  <c r="H783" i="34" s="1"/>
  <c r="G142" i="13"/>
  <c r="N129" i="40"/>
  <c r="AF88" i="10"/>
  <c r="F336" i="34"/>
  <c r="F569" i="34" s="1"/>
  <c r="E147" i="15"/>
  <c r="F147" i="15" s="1"/>
  <c r="F45" i="17"/>
  <c r="G43" i="5"/>
  <c r="H43" i="5" s="1"/>
  <c r="J30" i="5"/>
  <c r="H14" i="3" s="1"/>
  <c r="G841" i="4"/>
  <c r="H841" i="4" s="1"/>
  <c r="CH121" i="22"/>
  <c r="K698" i="34" s="1"/>
  <c r="O18" i="16"/>
  <c r="O119" i="17"/>
  <c r="BQ209" i="9"/>
  <c r="BQ211" i="9" s="1"/>
  <c r="N1185" i="7"/>
  <c r="N468" i="7" s="1"/>
  <c r="P1638" i="6"/>
  <c r="N877" i="6"/>
  <c r="P70" i="4"/>
  <c r="Q216" i="7"/>
  <c r="P209" i="6"/>
  <c r="P95" i="6"/>
  <c r="P109" i="4"/>
  <c r="P630" i="6"/>
  <c r="Q1781" i="6"/>
  <c r="P1880" i="6"/>
  <c r="Q661" i="7"/>
  <c r="R661" i="7" s="1"/>
  <c r="P415" i="8"/>
  <c r="AC11" i="54"/>
  <c r="AC18" i="54" s="1"/>
  <c r="AC20" i="54" s="1"/>
  <c r="AD5" i="54"/>
  <c r="P62" i="5"/>
  <c r="P1680" i="6"/>
  <c r="P97" i="5"/>
  <c r="P410" i="5"/>
  <c r="P174" i="5" s="1"/>
  <c r="P5" i="1"/>
  <c r="P1873" i="6"/>
  <c r="P1243" i="6"/>
  <c r="P880" i="7"/>
  <c r="AC60" i="10" s="1"/>
  <c r="P881" i="7"/>
  <c r="P903" i="6"/>
  <c r="P898" i="7"/>
  <c r="O348" i="7"/>
  <c r="P205" i="6"/>
  <c r="P104" i="4"/>
  <c r="P281" i="5"/>
  <c r="P310" i="5"/>
  <c r="P902" i="7"/>
  <c r="P1814" i="6"/>
  <c r="P882" i="7"/>
  <c r="P217" i="8"/>
  <c r="P1795" i="6"/>
  <c r="Q608" i="7"/>
  <c r="R608" i="7" s="1"/>
  <c r="P293" i="7"/>
  <c r="P975" i="7"/>
  <c r="P28" i="27"/>
  <c r="P1299" i="6"/>
  <c r="U13" i="37"/>
  <c r="P947" i="7"/>
  <c r="P816" i="7"/>
  <c r="P895" i="7"/>
  <c r="P1615" i="6"/>
  <c r="P914" i="4"/>
  <c r="P519" i="7"/>
  <c r="P570" i="7"/>
  <c r="P436" i="5"/>
  <c r="P966" i="7"/>
  <c r="P1417" i="6"/>
  <c r="P422" i="4"/>
  <c r="P814" i="7"/>
  <c r="P1110" i="7"/>
  <c r="P885" i="7"/>
  <c r="P229" i="5"/>
  <c r="P878" i="7"/>
  <c r="D523" i="34"/>
  <c r="H126" i="14"/>
  <c r="I125" i="14" s="1"/>
  <c r="N25" i="12"/>
  <c r="N41" i="55"/>
  <c r="N43" i="55" s="1"/>
  <c r="O40" i="55" s="1"/>
  <c r="C40" i="3"/>
  <c r="N1009" i="7"/>
  <c r="N405" i="7" s="1"/>
  <c r="N54" i="7" s="1"/>
  <c r="L59" i="3" s="1"/>
  <c r="M84" i="12"/>
  <c r="Z79" i="10" s="1"/>
  <c r="AB79" i="10" s="1"/>
  <c r="O1286" i="6"/>
  <c r="P1286" i="6" s="1"/>
  <c r="O1727" i="6"/>
  <c r="G201" i="14"/>
  <c r="N72" i="34"/>
  <c r="P849" i="6"/>
  <c r="P455" i="4"/>
  <c r="P845" i="6"/>
  <c r="P438" i="5"/>
  <c r="P1141" i="7"/>
  <c r="U14" i="37"/>
  <c r="P435" i="4"/>
  <c r="P977" i="7"/>
  <c r="P1333" i="6"/>
  <c r="P893" i="7"/>
  <c r="Q893" i="7" s="1"/>
  <c r="P1163" i="6"/>
  <c r="P448" i="4"/>
  <c r="P683" i="4"/>
  <c r="P445" i="8"/>
  <c r="Q445" i="8" s="1"/>
  <c r="P293" i="5"/>
  <c r="P1166" i="6"/>
  <c r="P306" i="6" s="1"/>
  <c r="P617" i="7"/>
  <c r="P802" i="7"/>
  <c r="Q802" i="7" s="1"/>
  <c r="P1483" i="6"/>
  <c r="P1806" i="6"/>
  <c r="P1669" i="6"/>
  <c r="P1416" i="6"/>
  <c r="Q1416" i="6" s="1"/>
  <c r="P850" i="6"/>
  <c r="P1443" i="6"/>
  <c r="P1921" i="6"/>
  <c r="P801" i="7"/>
  <c r="Q801" i="7" s="1"/>
  <c r="P735" i="7"/>
  <c r="Q735" i="7" s="1"/>
  <c r="P1794" i="6"/>
  <c r="P863" i="4"/>
  <c r="P408" i="5"/>
  <c r="Q408" i="5" s="1"/>
  <c r="P27" i="27"/>
  <c r="Q27" i="27" s="1"/>
  <c r="P694" i="4"/>
  <c r="P566" i="4"/>
  <c r="P960" i="7"/>
  <c r="Q960" i="7" s="1"/>
  <c r="U19" i="37"/>
  <c r="V19" i="37" s="1"/>
  <c r="P1809" i="6"/>
  <c r="P9" i="27"/>
  <c r="Q9" i="27" s="1"/>
  <c r="P280" i="8"/>
  <c r="Q280" i="8" s="1"/>
  <c r="J739" i="34"/>
  <c r="J215" i="34" s="1"/>
  <c r="P549" i="7"/>
  <c r="P434" i="5"/>
  <c r="Q434" i="5" s="1"/>
  <c r="P432" i="5"/>
  <c r="Q432" i="5" s="1"/>
  <c r="P228" i="5"/>
  <c r="P1985" i="6"/>
  <c r="P1882" i="6"/>
  <c r="Q1882" i="6" s="1"/>
  <c r="P245" i="5"/>
  <c r="P505" i="7"/>
  <c r="Q505" i="7" s="1"/>
  <c r="P269" i="8"/>
  <c r="O126" i="1"/>
  <c r="P236" i="8"/>
  <c r="P917" i="6"/>
  <c r="Q917" i="6" s="1"/>
  <c r="O125" i="1"/>
  <c r="P342" i="5"/>
  <c r="P223" i="5"/>
  <c r="P972" i="7"/>
  <c r="Q972" i="7" s="1"/>
  <c r="P249" i="5"/>
  <c r="P1145" i="7"/>
  <c r="P38" i="27"/>
  <c r="P899" i="7"/>
  <c r="Q899" i="7" s="1"/>
  <c r="P1140" i="7"/>
  <c r="P44" i="27"/>
  <c r="P289" i="5"/>
  <c r="Q289" i="5" s="1"/>
  <c r="P1348" i="6"/>
  <c r="P850" i="7"/>
  <c r="P1937" i="6"/>
  <c r="P713" i="4"/>
  <c r="P681" i="7"/>
  <c r="P1345" i="6"/>
  <c r="P300" i="5"/>
  <c r="P1932" i="6"/>
  <c r="P834" i="6"/>
  <c r="Q834" i="6" s="1"/>
  <c r="P1599" i="6"/>
  <c r="P225" i="5"/>
  <c r="P746" i="7"/>
  <c r="Q746" i="7" s="1"/>
  <c r="P439" i="5"/>
  <c r="Q439" i="5" s="1"/>
  <c r="P1133" i="7"/>
  <c r="P647" i="4"/>
  <c r="Q647" i="4" s="1"/>
  <c r="P1851" i="6"/>
  <c r="Q1851" i="6" s="1"/>
  <c r="P279" i="8"/>
  <c r="U55" i="37"/>
  <c r="P298" i="5"/>
  <c r="Q298" i="5" s="1"/>
  <c r="P1813" i="6"/>
  <c r="Q1813" i="6" s="1"/>
  <c r="P1165" i="6"/>
  <c r="P305" i="6" s="1"/>
  <c r="AZ81" i="9"/>
  <c r="BD81" i="9" s="1"/>
  <c r="M111" i="1"/>
  <c r="M114" i="1" s="1"/>
  <c r="M116" i="1" s="1"/>
  <c r="P1109" i="7"/>
  <c r="Q1109" i="7" s="1"/>
  <c r="P332" i="8"/>
  <c r="Q332" i="8" s="1"/>
  <c r="P550" i="7"/>
  <c r="Q550" i="7" s="1"/>
  <c r="P429" i="5"/>
  <c r="P1857" i="6"/>
  <c r="Q1857" i="6" s="1"/>
  <c r="P563" i="4"/>
  <c r="P346" i="5"/>
  <c r="Q346" i="5" s="1"/>
  <c r="P994" i="6"/>
  <c r="P527" i="4"/>
  <c r="Q527" i="4" s="1"/>
  <c r="P1793" i="6"/>
  <c r="P1298" i="6"/>
  <c r="P1138" i="7"/>
  <c r="Q1138" i="7" s="1"/>
  <c r="P1177" i="6"/>
  <c r="Q1177" i="6" s="1"/>
  <c r="P208" i="8"/>
  <c r="P701" i="4"/>
  <c r="Q701" i="4" s="1"/>
  <c r="P1846" i="6"/>
  <c r="Q1846" i="6" s="1"/>
  <c r="P1887" i="6"/>
  <c r="Q1887" i="6" s="1"/>
  <c r="P1811" i="6"/>
  <c r="P283" i="5"/>
  <c r="Q283" i="5" s="1"/>
  <c r="P285" i="5"/>
  <c r="Q285" i="5" s="1"/>
  <c r="P928" i="7"/>
  <c r="Q928" i="7" s="1"/>
  <c r="P345" i="5"/>
  <c r="P1143" i="7"/>
  <c r="Q1143" i="7" s="1"/>
  <c r="P406" i="5"/>
  <c r="Q406" i="5" s="1"/>
  <c r="P352" i="5"/>
  <c r="Q352" i="5" s="1"/>
  <c r="P12" i="27"/>
  <c r="P953" i="7"/>
  <c r="Q953" i="7" s="1"/>
  <c r="P511" i="4"/>
  <c r="Q511" i="4" s="1"/>
  <c r="P1804" i="6"/>
  <c r="P515" i="4"/>
  <c r="Q515" i="4" s="1"/>
  <c r="P792" i="6"/>
  <c r="Q792" i="6" s="1"/>
  <c r="P1808" i="6"/>
  <c r="Q1808" i="6" s="1"/>
  <c r="P297" i="5"/>
  <c r="P750" i="7"/>
  <c r="Q750" i="7" s="1"/>
  <c r="P417" i="4"/>
  <c r="Q417" i="4" s="1"/>
  <c r="P570" i="4"/>
  <c r="Q570" i="4" s="1"/>
  <c r="P372" i="5"/>
  <c r="P1238" i="6"/>
  <c r="Q1238" i="6" s="1"/>
  <c r="P268" i="8"/>
  <c r="Q268" i="8" s="1"/>
  <c r="P860" i="6"/>
  <c r="Q860" i="6" s="1"/>
  <c r="P347" i="5"/>
  <c r="P1137" i="7"/>
  <c r="Q1137" i="7" s="1"/>
  <c r="P1485" i="6"/>
  <c r="Q1485" i="6" s="1"/>
  <c r="P1674" i="6"/>
  <c r="Q1674" i="6" s="1"/>
  <c r="P1182" i="6"/>
  <c r="U20" i="37"/>
  <c r="V20" i="37" s="1"/>
  <c r="P1135" i="7"/>
  <c r="Q1135" i="7" s="1"/>
  <c r="P1178" i="6"/>
  <c r="Q1178" i="6" s="1"/>
  <c r="P1346" i="6"/>
  <c r="P1890" i="6"/>
  <c r="Q1890" i="6" s="1"/>
  <c r="P349" i="5"/>
  <c r="P254" i="8"/>
  <c r="Q254" i="8" s="1"/>
  <c r="P825" i="7"/>
  <c r="P707" i="4"/>
  <c r="Q707" i="4" s="1"/>
  <c r="P287" i="5"/>
  <c r="Q287" i="5" s="1"/>
  <c r="P1870" i="6"/>
  <c r="Q1870" i="6" s="1"/>
  <c r="P929" i="7"/>
  <c r="U58" i="37"/>
  <c r="V58" i="37" s="1"/>
  <c r="P900" i="7"/>
  <c r="Q900" i="7" s="1"/>
  <c r="P441" i="5"/>
  <c r="Q441" i="5" s="1"/>
  <c r="P536" i="4"/>
  <c r="P1600" i="6"/>
  <c r="Q1600" i="6" s="1"/>
  <c r="P827" i="7"/>
  <c r="Q827" i="7" s="1"/>
  <c r="P435" i="5"/>
  <c r="Q435" i="5" s="1"/>
  <c r="U60" i="37"/>
  <c r="P652" i="4"/>
  <c r="Q652" i="4" s="1"/>
  <c r="P509" i="7"/>
  <c r="Q509" i="7" s="1"/>
  <c r="P1044" i="7"/>
  <c r="Q1044" i="7" s="1"/>
  <c r="P853" i="6"/>
  <c r="P1035" i="7"/>
  <c r="Q1035" i="7" s="1"/>
  <c r="P210" i="8"/>
  <c r="Q210" i="8" s="1"/>
  <c r="P835" i="6"/>
  <c r="Q835" i="6" s="1"/>
  <c r="P281" i="8"/>
  <c r="P793" i="6"/>
  <c r="Q793" i="6" s="1"/>
  <c r="P853" i="7"/>
  <c r="Q853" i="7" s="1"/>
  <c r="P521" i="7"/>
  <c r="Q521" i="7" s="1"/>
  <c r="P1034" i="7"/>
  <c r="P1605" i="6"/>
  <c r="Q1605" i="6" s="1"/>
  <c r="P1739" i="6"/>
  <c r="P981" i="6"/>
  <c r="Q981" i="6" s="1"/>
  <c r="P890" i="7"/>
  <c r="P409" i="8"/>
  <c r="Q409" i="8" s="1"/>
  <c r="P899" i="4"/>
  <c r="Q899" i="4" s="1"/>
  <c r="U23" i="37"/>
  <c r="V23" i="37" s="1"/>
  <c r="P854" i="6"/>
  <c r="P433" i="8"/>
  <c r="Q433" i="8" s="1"/>
  <c r="P311" i="5"/>
  <c r="Q311" i="5" s="1"/>
  <c r="P946" i="7"/>
  <c r="Q946" i="7" s="1"/>
  <c r="P284" i="5"/>
  <c r="P234" i="8"/>
  <c r="Q234" i="8" s="1"/>
  <c r="P1987" i="6"/>
  <c r="Q1987" i="6" s="1"/>
  <c r="L122" i="13"/>
  <c r="Z31" i="42"/>
  <c r="L31" i="42" s="1"/>
  <c r="M214" i="15"/>
  <c r="M159" i="15" s="1"/>
  <c r="P490" i="4"/>
  <c r="O107" i="4"/>
  <c r="N661" i="34"/>
  <c r="N662" i="34" s="1"/>
  <c r="P512" i="4"/>
  <c r="Q512" i="4" s="1"/>
  <c r="P1042" i="7"/>
  <c r="Q1042" i="7" s="1"/>
  <c r="P896" i="7"/>
  <c r="Q896" i="7" s="1"/>
  <c r="U16" i="37"/>
  <c r="V16" i="37" s="1"/>
  <c r="P1040" i="7"/>
  <c r="Q1040" i="7" s="1"/>
  <c r="P611" i="7"/>
  <c r="Q611" i="7" s="1"/>
  <c r="U21" i="37"/>
  <c r="V21" i="37" s="1"/>
  <c r="P815" i="7"/>
  <c r="Q815" i="7" s="1"/>
  <c r="P507" i="7"/>
  <c r="Q507" i="7" s="1"/>
  <c r="P341" i="5"/>
  <c r="P423" i="4"/>
  <c r="P1671" i="6"/>
  <c r="Q1671" i="6" s="1"/>
  <c r="Y217" i="10"/>
  <c r="X136" i="11" s="1"/>
  <c r="Y136" i="11" s="1"/>
  <c r="Z136" i="11" s="1"/>
  <c r="P1439" i="6"/>
  <c r="Q1439" i="6" s="1"/>
  <c r="N738" i="34"/>
  <c r="O738" i="34" s="1"/>
  <c r="P531" i="4"/>
  <c r="Q531" i="4" s="1"/>
  <c r="P848" i="6"/>
  <c r="Q848" i="6" s="1"/>
  <c r="P1866" i="6"/>
  <c r="Q1866" i="6" s="1"/>
  <c r="P302" i="5"/>
  <c r="Q302" i="5" s="1"/>
  <c r="P819" i="7"/>
  <c r="Q819" i="7" s="1"/>
  <c r="P31" i="27"/>
  <c r="Q31" i="27" s="1"/>
  <c r="P892" i="7"/>
  <c r="Q892" i="7" s="1"/>
  <c r="P1604" i="6"/>
  <c r="Q1604" i="6" s="1"/>
  <c r="P616" i="7"/>
  <c r="Q616" i="7" s="1"/>
  <c r="P237" i="8"/>
  <c r="Q237" i="8" s="1"/>
  <c r="P891" i="7"/>
  <c r="Q891" i="7" s="1"/>
  <c r="P1184" i="6"/>
  <c r="Q1184" i="6" s="1"/>
  <c r="P294" i="5"/>
  <c r="Q294" i="5" s="1"/>
  <c r="P818" i="7"/>
  <c r="Q818" i="7" s="1"/>
  <c r="P367" i="5"/>
  <c r="Q367" i="5" s="1"/>
  <c r="P1334" i="6"/>
  <c r="Q1334" i="6" s="1"/>
  <c r="P584" i="4"/>
  <c r="Q584" i="4" s="1"/>
  <c r="P1820" i="6"/>
  <c r="Q1820" i="6" s="1"/>
  <c r="P705" i="4"/>
  <c r="Q705" i="4" s="1"/>
  <c r="P1186" i="6"/>
  <c r="Q1186" i="6" s="1"/>
  <c r="P1242" i="6"/>
  <c r="Q1242" i="6" s="1"/>
  <c r="P909" i="4"/>
  <c r="Q909" i="4" s="1"/>
  <c r="P726" i="7"/>
  <c r="Q726" i="7" s="1"/>
  <c r="P706" i="4"/>
  <c r="Q706" i="4" s="1"/>
  <c r="P238" i="8"/>
  <c r="Q238" i="8" s="1"/>
  <c r="P1710" i="6"/>
  <c r="P781" i="7"/>
  <c r="P573" i="7"/>
  <c r="Q573" i="7" s="1"/>
  <c r="P450" i="4"/>
  <c r="Q450" i="4" s="1"/>
  <c r="P1245" i="6"/>
  <c r="Q1245" i="6" s="1"/>
  <c r="P288" i="5"/>
  <c r="Q288" i="5" s="1"/>
  <c r="P833" i="6"/>
  <c r="Q833" i="6" s="1"/>
  <c r="P1598" i="6"/>
  <c r="Q1598" i="6" s="1"/>
  <c r="P1130" i="7"/>
  <c r="Q1130" i="7" s="1"/>
  <c r="P421" i="5"/>
  <c r="P1603" i="6"/>
  <c r="Q1603" i="6" s="1"/>
  <c r="P983" i="7"/>
  <c r="Q983" i="7" s="1"/>
  <c r="P1108" i="7"/>
  <c r="Q1108" i="7" s="1"/>
  <c r="P226" i="5"/>
  <c r="Q226" i="5" s="1"/>
  <c r="P244" i="5"/>
  <c r="Q244" i="5" s="1"/>
  <c r="P702" i="4"/>
  <c r="Q702" i="4" s="1"/>
  <c r="P206" i="8"/>
  <c r="Q206" i="8" s="1"/>
  <c r="P698" i="4"/>
  <c r="Q698" i="4" s="1"/>
  <c r="P418" i="4"/>
  <c r="Q418" i="4" s="1"/>
  <c r="P683" i="7"/>
  <c r="Q683" i="7" s="1"/>
  <c r="P454" i="8"/>
  <c r="Q454" i="8" s="1"/>
  <c r="P568" i="7"/>
  <c r="Q568" i="7" s="1"/>
  <c r="P452" i="8"/>
  <c r="Q452" i="8" s="1"/>
  <c r="P292" i="5"/>
  <c r="Q292" i="5" s="1"/>
  <c r="P1484" i="6"/>
  <c r="Q1484" i="6" s="1"/>
  <c r="P1028" i="7"/>
  <c r="Q1028" i="7" s="1"/>
  <c r="P1187" i="6"/>
  <c r="Q1187" i="6" s="1"/>
  <c r="P682" i="4"/>
  <c r="Q682" i="4" s="1"/>
  <c r="P245" i="8"/>
  <c r="Q245" i="8" s="1"/>
  <c r="P412" i="4"/>
  <c r="Q412" i="4" s="1"/>
  <c r="P1847" i="6"/>
  <c r="Q1847" i="6" s="1"/>
  <c r="N119" i="17"/>
  <c r="K65" i="13"/>
  <c r="L192" i="15"/>
  <c r="Y30" i="42"/>
  <c r="K30" i="42" s="1"/>
  <c r="N746" i="34"/>
  <c r="O746" i="34" s="1"/>
  <c r="M750" i="34"/>
  <c r="P627" i="7"/>
  <c r="Q627" i="7" s="1"/>
  <c r="O630" i="7"/>
  <c r="O1222" i="7" s="1"/>
  <c r="O179" i="7"/>
  <c r="O182" i="7" s="1"/>
  <c r="O42" i="7" s="1"/>
  <c r="M66" i="13" s="1"/>
  <c r="K216" i="15"/>
  <c r="K137" i="15"/>
  <c r="K161" i="15" s="1"/>
  <c r="P937" i="7"/>
  <c r="Q937" i="7" s="1"/>
  <c r="O1002" i="7"/>
  <c r="O1225" i="7" s="1"/>
  <c r="O373" i="7"/>
  <c r="O397" i="7" s="1"/>
  <c r="O43" i="7" s="1"/>
  <c r="L13" i="13" s="1"/>
  <c r="L49" i="13" s="1"/>
  <c r="O417" i="6"/>
  <c r="BN117" i="9"/>
  <c r="CU117" i="9"/>
  <c r="O920" i="7"/>
  <c r="N367" i="7"/>
  <c r="P1719" i="6"/>
  <c r="Q1719" i="6" s="1"/>
  <c r="O577" i="6"/>
  <c r="O604" i="6" s="1"/>
  <c r="O2074" i="6" s="1"/>
  <c r="O53" i="6" s="1"/>
  <c r="O1754" i="6"/>
  <c r="P39" i="27"/>
  <c r="Q39" i="27" s="1"/>
  <c r="P1821" i="6"/>
  <c r="Q1821" i="6" s="1"/>
  <c r="P1332" i="6"/>
  <c r="Q1332" i="6" s="1"/>
  <c r="P539" i="4"/>
  <c r="Q539" i="4" s="1"/>
  <c r="P407" i="5"/>
  <c r="Q407" i="5" s="1"/>
  <c r="P271" i="8"/>
  <c r="Q271" i="8" s="1"/>
  <c r="P1672" i="6"/>
  <c r="Q1672" i="6" s="1"/>
  <c r="P188" i="8"/>
  <c r="Q188" i="8" s="1"/>
  <c r="P295" i="5"/>
  <c r="Q295" i="5" s="1"/>
  <c r="P1812" i="6"/>
  <c r="Q1812" i="6" s="1"/>
  <c r="P370" i="5"/>
  <c r="P551" i="7"/>
  <c r="Q551" i="7" s="1"/>
  <c r="P830" i="6"/>
  <c r="Q830" i="6" s="1"/>
  <c r="P1244" i="6"/>
  <c r="Q1244" i="6" s="1"/>
  <c r="P18" i="27"/>
  <c r="Q18" i="27" s="1"/>
  <c r="P779" i="6"/>
  <c r="Q779" i="6" s="1"/>
  <c r="P1984" i="6"/>
  <c r="Q1984" i="6" s="1"/>
  <c r="P840" i="6"/>
  <c r="Q840" i="6" s="1"/>
  <c r="P541" i="4"/>
  <c r="Q541" i="4" s="1"/>
  <c r="P743" i="7"/>
  <c r="Q743" i="7" s="1"/>
  <c r="G353" i="34"/>
  <c r="G473" i="34" s="1"/>
  <c r="N289" i="45"/>
  <c r="L747" i="34"/>
  <c r="P498" i="7"/>
  <c r="P88" i="7" s="1"/>
  <c r="P383" i="4"/>
  <c r="O447" i="4"/>
  <c r="O464" i="4" s="1"/>
  <c r="E13" i="15"/>
  <c r="G252" i="3"/>
  <c r="G588" i="34"/>
  <c r="G239" i="34" s="1"/>
  <c r="K117" i="15"/>
  <c r="K108" i="15"/>
  <c r="H585" i="34"/>
  <c r="H586" i="34" s="1"/>
  <c r="P1329" i="6"/>
  <c r="Q1329" i="6" s="1"/>
  <c r="O432" i="6"/>
  <c r="M146" i="9"/>
  <c r="BI146" i="9" s="1"/>
  <c r="N1146" i="6"/>
  <c r="N354" i="6" s="1"/>
  <c r="P366" i="7"/>
  <c r="O366" i="7"/>
  <c r="B183" i="42"/>
  <c r="K21" i="5"/>
  <c r="H19" i="13" s="1"/>
  <c r="J692" i="34"/>
  <c r="CF69" i="21"/>
  <c r="I46" i="15"/>
  <c r="I15" i="15" s="1"/>
  <c r="I55" i="15"/>
  <c r="I24" i="15" s="1"/>
  <c r="H13" i="15"/>
  <c r="H290" i="34" s="1"/>
  <c r="H306" i="34"/>
  <c r="J320" i="34"/>
  <c r="C566" i="34"/>
  <c r="C389" i="34"/>
  <c r="C337" i="34"/>
  <c r="J293" i="34"/>
  <c r="J525" i="34" s="1"/>
  <c r="J557" i="34"/>
  <c r="H495" i="34"/>
  <c r="H382" i="34"/>
  <c r="I288" i="34"/>
  <c r="I351" i="34" s="1"/>
  <c r="I553" i="34"/>
  <c r="I377" i="34"/>
  <c r="H471" i="34"/>
  <c r="H521" i="34"/>
  <c r="I598" i="34"/>
  <c r="I600" i="34" s="1"/>
  <c r="I241" i="34" s="1"/>
  <c r="P762" i="6"/>
  <c r="Q762" i="6" s="1"/>
  <c r="K77" i="15"/>
  <c r="H218" i="15"/>
  <c r="O278" i="6"/>
  <c r="L52" i="6"/>
  <c r="I104" i="13" s="1"/>
  <c r="K2058" i="6"/>
  <c r="O1910" i="6"/>
  <c r="O663" i="6" s="1"/>
  <c r="P901" i="6"/>
  <c r="Q901" i="6" s="1"/>
  <c r="L767" i="34"/>
  <c r="P893" i="6"/>
  <c r="O143" i="6"/>
  <c r="Y12" i="42"/>
  <c r="P894" i="6"/>
  <c r="O144" i="6"/>
  <c r="P898" i="6"/>
  <c r="O146" i="6"/>
  <c r="P910" i="6"/>
  <c r="Q910" i="6" s="1"/>
  <c r="P906" i="6"/>
  <c r="Q906" i="6" s="1"/>
  <c r="O152" i="6"/>
  <c r="K100" i="40"/>
  <c r="Y40" i="42" s="1"/>
  <c r="N177" i="6"/>
  <c r="P890" i="6"/>
  <c r="O149" i="6"/>
  <c r="P1848" i="6"/>
  <c r="Q1848" i="6" s="1"/>
  <c r="M731" i="34"/>
  <c r="N1221" i="7"/>
  <c r="L5" i="3" s="1"/>
  <c r="I68" i="13"/>
  <c r="I124" i="13" s="1"/>
  <c r="J68" i="13"/>
  <c r="J124" i="13" s="1"/>
  <c r="N395" i="7"/>
  <c r="N41" i="7" s="1"/>
  <c r="K12" i="13" s="1"/>
  <c r="J14" i="13"/>
  <c r="O308" i="7"/>
  <c r="L1211" i="7"/>
  <c r="L183" i="7"/>
  <c r="L1195" i="7" s="1"/>
  <c r="J23" i="15"/>
  <c r="L642" i="7"/>
  <c r="AN12" i="42"/>
  <c r="O48" i="8"/>
  <c r="BB21" i="42"/>
  <c r="M116" i="15" s="1"/>
  <c r="N148" i="8"/>
  <c r="L25" i="17"/>
  <c r="L10" i="17" s="1"/>
  <c r="K318" i="15"/>
  <c r="N548" i="8"/>
  <c r="L27" i="17"/>
  <c r="L12" i="17" s="1"/>
  <c r="L296" i="15" s="1"/>
  <c r="D384" i="34"/>
  <c r="R22" i="20"/>
  <c r="P435" i="8"/>
  <c r="Q435" i="8" s="1"/>
  <c r="O325" i="8"/>
  <c r="O68" i="8" s="1"/>
  <c r="K737" i="34"/>
  <c r="K749" i="34" s="1"/>
  <c r="K751" i="34" s="1"/>
  <c r="B586" i="8"/>
  <c r="N301" i="15"/>
  <c r="O190" i="6"/>
  <c r="O1277" i="6"/>
  <c r="N965" i="6"/>
  <c r="P1026" i="6"/>
  <c r="M96" i="37"/>
  <c r="M2073" i="6"/>
  <c r="K7" i="3" s="1"/>
  <c r="P1342" i="6"/>
  <c r="Q1342" i="6" s="1"/>
  <c r="M728" i="34"/>
  <c r="P1241" i="6"/>
  <c r="Q1241" i="6" s="1"/>
  <c r="M769" i="34"/>
  <c r="P832" i="6"/>
  <c r="Q832" i="6" s="1"/>
  <c r="M724" i="34"/>
  <c r="I105" i="13"/>
  <c r="J687" i="34"/>
  <c r="J681" i="34" s="1"/>
  <c r="K793" i="34"/>
  <c r="K799" i="34" s="1"/>
  <c r="K813" i="34"/>
  <c r="K258" i="3" s="1"/>
  <c r="AV87" i="37"/>
  <c r="AV88" i="37" s="1"/>
  <c r="AV16" i="37"/>
  <c r="AR68" i="21"/>
  <c r="K76" i="21" s="1"/>
  <c r="K78" i="21" s="1"/>
  <c r="L97" i="3" s="1"/>
  <c r="M2076" i="6"/>
  <c r="N153" i="4"/>
  <c r="O64" i="8"/>
  <c r="O430" i="6"/>
  <c r="P322" i="8"/>
  <c r="O67" i="8"/>
  <c r="AG121" i="22"/>
  <c r="I128" i="22" s="1"/>
  <c r="AK121" i="22"/>
  <c r="J128" i="22" s="1"/>
  <c r="AS121" i="22"/>
  <c r="O300" i="8"/>
  <c r="O63" i="8" s="1"/>
  <c r="D398" i="34"/>
  <c r="D192" i="34" s="1"/>
  <c r="O123" i="8"/>
  <c r="O121" i="8"/>
  <c r="P429" i="8"/>
  <c r="Q429" i="8" s="1"/>
  <c r="O119" i="8"/>
  <c r="O127" i="8"/>
  <c r="O122" i="8"/>
  <c r="O120" i="8"/>
  <c r="O131" i="8"/>
  <c r="O65" i="8"/>
  <c r="A243" i="15"/>
  <c r="A248" i="15" s="1"/>
  <c r="A118" i="16"/>
  <c r="A20" i="16"/>
  <c r="A47" i="16" s="1"/>
  <c r="A51" i="16" s="1"/>
  <c r="A119" i="16" s="1"/>
  <c r="N66" i="8"/>
  <c r="M431" i="45"/>
  <c r="M432" i="45" s="1"/>
  <c r="M433" i="45" s="1"/>
  <c r="K40" i="16"/>
  <c r="AL49" i="42" s="1"/>
  <c r="AL52" i="42" s="1"/>
  <c r="AL54" i="42" s="1"/>
  <c r="AL78" i="22"/>
  <c r="AL121" i="22" s="1"/>
  <c r="AP3" i="22"/>
  <c r="AS3" i="21"/>
  <c r="J125" i="22"/>
  <c r="N304" i="45"/>
  <c r="P873" i="4"/>
  <c r="Q873" i="4" s="1"/>
  <c r="O60" i="4"/>
  <c r="L770" i="34"/>
  <c r="I4" i="12"/>
  <c r="L399" i="4" s="1"/>
  <c r="O429" i="6"/>
  <c r="O1113" i="7"/>
  <c r="P888" i="6"/>
  <c r="I100" i="42"/>
  <c r="H103" i="42"/>
  <c r="M745" i="6"/>
  <c r="P1817" i="6"/>
  <c r="Q1817" i="6" s="1"/>
  <c r="O58" i="14"/>
  <c r="P1989" i="6"/>
  <c r="L21" i="40"/>
  <c r="O876" i="6" s="1"/>
  <c r="P904" i="7"/>
  <c r="O352" i="7"/>
  <c r="P414" i="8"/>
  <c r="Q414" i="8" s="1"/>
  <c r="P1021" i="7"/>
  <c r="L771" i="34"/>
  <c r="W234" i="10"/>
  <c r="Y234" i="10" s="1"/>
  <c r="X152" i="11" s="1"/>
  <c r="Y152" i="11" s="1"/>
  <c r="Z152" i="11" s="1"/>
  <c r="X7" i="42"/>
  <c r="K39" i="15" s="1"/>
  <c r="P814" i="4"/>
  <c r="M716" i="34"/>
  <c r="M129" i="40"/>
  <c r="P1009" i="7" s="1"/>
  <c r="AC89" i="10"/>
  <c r="N666" i="7"/>
  <c r="P599" i="7"/>
  <c r="AA84" i="11"/>
  <c r="AD3" i="11"/>
  <c r="AB84" i="11"/>
  <c r="AE3" i="11"/>
  <c r="Z84" i="11"/>
  <c r="AC3" i="11"/>
  <c r="H22" i="42"/>
  <c r="J316" i="15"/>
  <c r="J267" i="15"/>
  <c r="O116" i="4"/>
  <c r="AT65" i="9"/>
  <c r="AS65" i="9"/>
  <c r="AA109" i="10"/>
  <c r="AA201" i="10" s="1"/>
  <c r="AD3" i="10"/>
  <c r="BL209" i="9"/>
  <c r="BL211" i="9" s="1"/>
  <c r="L67" i="14"/>
  <c r="N1292" i="6"/>
  <c r="N406" i="6"/>
  <c r="N88" i="6"/>
  <c r="O637" i="4"/>
  <c r="O183" i="4" s="1"/>
  <c r="L773" i="34"/>
  <c r="P421" i="4"/>
  <c r="G315" i="4"/>
  <c r="H315" i="4" s="1"/>
  <c r="S19" i="42"/>
  <c r="F480" i="34" s="1"/>
  <c r="F534" i="34" s="1"/>
  <c r="M63" i="1"/>
  <c r="L72" i="1"/>
  <c r="I13" i="15"/>
  <c r="I290" i="34" s="1"/>
  <c r="M280" i="6"/>
  <c r="O809" i="7"/>
  <c r="O305" i="7" s="1"/>
  <c r="S17" i="26"/>
  <c r="J111" i="17"/>
  <c r="J308" i="15"/>
  <c r="AY49" i="42"/>
  <c r="N252" i="15"/>
  <c r="N121" i="16"/>
  <c r="AV64" i="21"/>
  <c r="CH64" i="21"/>
  <c r="O300" i="45"/>
  <c r="O1623" i="6"/>
  <c r="N504" i="6"/>
  <c r="N450" i="6"/>
  <c r="N455" i="6" s="1"/>
  <c r="N1364" i="6"/>
  <c r="N216" i="6"/>
  <c r="N222" i="6" s="1"/>
  <c r="O998" i="6"/>
  <c r="N1004" i="6"/>
  <c r="O1066" i="6"/>
  <c r="N1072" i="6"/>
  <c r="N273" i="6"/>
  <c r="M558" i="8"/>
  <c r="M159" i="8" s="1"/>
  <c r="M32" i="8" s="1"/>
  <c r="K39" i="17"/>
  <c r="N428" i="45"/>
  <c r="N430" i="45" s="1"/>
  <c r="O162" i="6"/>
  <c r="O168" i="6" s="1"/>
  <c r="N869" i="6"/>
  <c r="I32" i="13"/>
  <c r="I51" i="13" s="1"/>
  <c r="L55" i="6"/>
  <c r="W22" i="42" s="1"/>
  <c r="M68" i="21"/>
  <c r="CH66" i="21"/>
  <c r="CI90" i="22"/>
  <c r="CI121" i="22" s="1"/>
  <c r="AW90" i="22"/>
  <c r="M704" i="34"/>
  <c r="L706" i="34"/>
  <c r="L211" i="34" s="1"/>
  <c r="L823" i="34" s="1"/>
  <c r="V34" i="42"/>
  <c r="H34" i="42" s="1"/>
  <c r="H69" i="13"/>
  <c r="I194" i="15"/>
  <c r="I139" i="15" s="1"/>
  <c r="O1359" i="6"/>
  <c r="N451" i="6"/>
  <c r="N456" i="6" s="1"/>
  <c r="N1365" i="6"/>
  <c r="N94" i="1"/>
  <c r="O87" i="1"/>
  <c r="O54" i="27"/>
  <c r="P49" i="27"/>
  <c r="O260" i="6"/>
  <c r="O1169" i="7"/>
  <c r="N1175" i="7"/>
  <c r="N1223" i="7" s="1"/>
  <c r="N452" i="7"/>
  <c r="N458" i="7" s="1"/>
  <c r="N45" i="7" s="1"/>
  <c r="P267" i="8"/>
  <c r="P1330" i="6"/>
  <c r="Q1330" i="6" s="1"/>
  <c r="P949" i="7"/>
  <c r="Q949" i="7" s="1"/>
  <c r="N1221" i="6"/>
  <c r="N366" i="6" s="1"/>
  <c r="N376" i="6"/>
  <c r="O1232" i="6"/>
  <c r="T99" i="37"/>
  <c r="U18" i="37"/>
  <c r="V18" i="37" s="1"/>
  <c r="P970" i="6"/>
  <c r="N637" i="34"/>
  <c r="O637" i="34" s="1"/>
  <c r="N161" i="34"/>
  <c r="P810" i="7"/>
  <c r="T18" i="26"/>
  <c r="P817" i="7"/>
  <c r="T19" i="26"/>
  <c r="S23" i="26"/>
  <c r="O807" i="7"/>
  <c r="O302" i="7" s="1"/>
  <c r="P823" i="7"/>
  <c r="Q823" i="7" s="1"/>
  <c r="T16" i="26"/>
  <c r="P798" i="7"/>
  <c r="T22" i="26"/>
  <c r="P1602" i="6"/>
  <c r="T20" i="26"/>
  <c r="P1479" i="6"/>
  <c r="T21" i="26"/>
  <c r="L27" i="5"/>
  <c r="L28" i="5"/>
  <c r="P826" i="4"/>
  <c r="Q826" i="4" s="1"/>
  <c r="N230" i="4"/>
  <c r="N243" i="4" s="1"/>
  <c r="P780" i="7"/>
  <c r="L55" i="7"/>
  <c r="J67" i="3" s="1"/>
  <c r="I32" i="5"/>
  <c r="I43" i="5" s="1"/>
  <c r="L12" i="5"/>
  <c r="I18" i="13" s="1"/>
  <c r="K12" i="5"/>
  <c r="H18" i="13" s="1"/>
  <c r="M772" i="34"/>
  <c r="J780" i="34"/>
  <c r="J555" i="34"/>
  <c r="K68" i="5"/>
  <c r="K79" i="5" s="1"/>
  <c r="N84" i="12"/>
  <c r="AC79" i="10" s="1"/>
  <c r="AE79" i="10" s="1"/>
  <c r="A292" i="15"/>
  <c r="A297" i="15" s="1"/>
  <c r="G158" i="8"/>
  <c r="G31" i="8" s="1"/>
  <c r="P547" i="8"/>
  <c r="O547" i="8"/>
  <c r="P199" i="8"/>
  <c r="Q199" i="8" s="1"/>
  <c r="M107" i="8"/>
  <c r="AZ8" i="42" s="1"/>
  <c r="O111" i="8"/>
  <c r="M43" i="8"/>
  <c r="AL7" i="42" s="1"/>
  <c r="P185" i="8"/>
  <c r="Q185" i="8" s="1"/>
  <c r="O44" i="8"/>
  <c r="AN8" i="42" s="1"/>
  <c r="AZ7" i="42"/>
  <c r="K101" i="15" s="1"/>
  <c r="P338" i="8"/>
  <c r="Q338" i="8" s="1"/>
  <c r="O69" i="8"/>
  <c r="P313" i="8"/>
  <c r="Q313" i="8" s="1"/>
  <c r="P312" i="8"/>
  <c r="Q312" i="8" s="1"/>
  <c r="P216" i="8"/>
  <c r="O57" i="8"/>
  <c r="P926" i="4"/>
  <c r="O350" i="4"/>
  <c r="P925" i="4"/>
  <c r="O349" i="4"/>
  <c r="P233" i="8"/>
  <c r="Q233" i="8" s="1"/>
  <c r="P924" i="4"/>
  <c r="N362" i="4"/>
  <c r="J359" i="4"/>
  <c r="J23" i="4" s="1"/>
  <c r="J34" i="4" s="1"/>
  <c r="G959" i="4"/>
  <c r="H959" i="4" s="1"/>
  <c r="G374" i="4"/>
  <c r="K359" i="4"/>
  <c r="I972" i="4"/>
  <c r="I363" i="4"/>
  <c r="P436" i="4"/>
  <c r="P434" i="4"/>
  <c r="L154" i="34"/>
  <c r="M31" i="34"/>
  <c r="N31" i="34" s="1"/>
  <c r="P1862" i="6"/>
  <c r="O654" i="6"/>
  <c r="P412" i="8"/>
  <c r="Q412" i="8" s="1"/>
  <c r="M86" i="17"/>
  <c r="M89" i="17" s="1"/>
  <c r="P372" i="7"/>
  <c r="P105" i="4"/>
  <c r="AZ3" i="22"/>
  <c r="AZ78" i="22" s="1"/>
  <c r="AZ121" i="22" s="1"/>
  <c r="BC3" i="21"/>
  <c r="M31" i="17"/>
  <c r="N16" i="17"/>
  <c r="O16" i="17" s="1"/>
  <c r="M31" i="16"/>
  <c r="N16" i="16"/>
  <c r="O16" i="16" s="1"/>
  <c r="O31" i="16" s="1"/>
  <c r="M63" i="12"/>
  <c r="M125" i="13"/>
  <c r="AA42" i="42"/>
  <c r="M42" i="42" s="1"/>
  <c r="P866" i="7"/>
  <c r="P332" i="7" s="1"/>
  <c r="N210" i="15"/>
  <c r="N155" i="15" s="1"/>
  <c r="P407" i="8"/>
  <c r="Q407" i="8" s="1"/>
  <c r="P58" i="8"/>
  <c r="P179" i="8"/>
  <c r="Q179" i="8" s="1"/>
  <c r="M87" i="16"/>
  <c r="P218" i="8"/>
  <c r="Q218" i="8" s="1"/>
  <c r="M88" i="16"/>
  <c r="P219" i="8"/>
  <c r="Q219" i="8" s="1"/>
  <c r="P213" i="8"/>
  <c r="P347" i="8"/>
  <c r="P78" i="8"/>
  <c r="N25" i="16" s="1"/>
  <c r="N10" i="16" s="1"/>
  <c r="P413" i="8"/>
  <c r="Q413" i="8" s="1"/>
  <c r="P216" i="7"/>
  <c r="P495" i="7"/>
  <c r="P85" i="7" s="1"/>
  <c r="O130" i="7"/>
  <c r="P569" i="7"/>
  <c r="O75" i="7"/>
  <c r="P489" i="7"/>
  <c r="O318" i="7"/>
  <c r="P852" i="7"/>
  <c r="O165" i="7"/>
  <c r="P604" i="7"/>
  <c r="O219" i="7"/>
  <c r="P691" i="7"/>
  <c r="P300" i="7"/>
  <c r="O451" i="7"/>
  <c r="O457" i="7" s="1"/>
  <c r="P390" i="7"/>
  <c r="O132" i="7"/>
  <c r="P572" i="7"/>
  <c r="O220" i="7"/>
  <c r="P695" i="7"/>
  <c r="O306" i="7"/>
  <c r="P811" i="7"/>
  <c r="O129" i="7"/>
  <c r="P566" i="7"/>
  <c r="P205" i="7"/>
  <c r="O178" i="7"/>
  <c r="P626" i="7"/>
  <c r="Q626" i="7" s="1"/>
  <c r="P483" i="7"/>
  <c r="P67" i="7"/>
  <c r="P69" i="7" s="1"/>
  <c r="O370" i="7"/>
  <c r="P927" i="7"/>
  <c r="Q927" i="7" s="1"/>
  <c r="O378" i="7"/>
  <c r="P976" i="7"/>
  <c r="P805" i="7"/>
  <c r="Q805" i="7" s="1"/>
  <c r="O171" i="7"/>
  <c r="P618" i="7"/>
  <c r="O365" i="7"/>
  <c r="P918" i="7"/>
  <c r="P499" i="7"/>
  <c r="P89" i="7" s="1"/>
  <c r="P127" i="7"/>
  <c r="O317" i="7"/>
  <c r="P849" i="7"/>
  <c r="O218" i="7"/>
  <c r="P686" i="7"/>
  <c r="O260" i="7"/>
  <c r="O261" i="7" s="1"/>
  <c r="P748" i="7"/>
  <c r="P496" i="7"/>
  <c r="P86" i="7" s="1"/>
  <c r="Z91" i="10"/>
  <c r="AB91" i="10" s="1"/>
  <c r="Z59" i="10"/>
  <c r="P1058" i="7"/>
  <c r="P389" i="7"/>
  <c r="P1688" i="6"/>
  <c r="P546" i="6"/>
  <c r="P551" i="6" s="1"/>
  <c r="O98" i="6"/>
  <c r="P791" i="6"/>
  <c r="O653" i="6"/>
  <c r="P1859" i="6"/>
  <c r="O1974" i="6"/>
  <c r="M757" i="34" s="1"/>
  <c r="P1971" i="6"/>
  <c r="P1474" i="6"/>
  <c r="P415" i="6"/>
  <c r="P724" i="6"/>
  <c r="P988" i="6"/>
  <c r="P208" i="6" s="1"/>
  <c r="P1198" i="6"/>
  <c r="P339" i="6"/>
  <c r="P1003" i="6"/>
  <c r="P215" i="6"/>
  <c r="P221" i="6" s="1"/>
  <c r="P312" i="6"/>
  <c r="P714" i="6"/>
  <c r="O598" i="6"/>
  <c r="O605" i="6" s="1"/>
  <c r="P598" i="6"/>
  <c r="P605" i="6" s="1"/>
  <c r="P1024" i="6"/>
  <c r="O629" i="6"/>
  <c r="P1780" i="6"/>
  <c r="O326" i="6"/>
  <c r="P1127" i="6"/>
  <c r="P1712" i="6"/>
  <c r="Q1712" i="6" s="1"/>
  <c r="P1949" i="6"/>
  <c r="P2020" i="6"/>
  <c r="P730" i="6"/>
  <c r="P735" i="6" s="1"/>
  <c r="O726" i="6"/>
  <c r="P2011" i="6"/>
  <c r="M21" i="58" s="1"/>
  <c r="P1092" i="6"/>
  <c r="O488" i="6"/>
  <c r="P1592" i="6"/>
  <c r="O1489" i="6"/>
  <c r="O1494" i="6" s="1"/>
  <c r="P1488" i="6"/>
  <c r="O722" i="6"/>
  <c r="P2004" i="6"/>
  <c r="O99" i="6"/>
  <c r="P794" i="6"/>
  <c r="O649" i="6"/>
  <c r="P1844" i="6"/>
  <c r="Q1844" i="6" s="1"/>
  <c r="O337" i="6"/>
  <c r="O194" i="6"/>
  <c r="O713" i="6"/>
  <c r="P1994" i="6"/>
  <c r="M17" i="58" s="1"/>
  <c r="O433" i="6"/>
  <c r="P1344" i="6"/>
  <c r="Q1344" i="6" s="1"/>
  <c r="P723" i="6"/>
  <c r="P1070" i="6"/>
  <c r="P271" i="6"/>
  <c r="O584" i="6"/>
  <c r="P1726" i="6"/>
  <c r="O711" i="6"/>
  <c r="P1990" i="6"/>
  <c r="P1743" i="6"/>
  <c r="P594" i="6" s="1"/>
  <c r="O423" i="6"/>
  <c r="P1297" i="6"/>
  <c r="Q1297" i="6" s="1"/>
  <c r="R1297" i="6" s="1"/>
  <c r="O721" i="6"/>
  <c r="P2002" i="6"/>
  <c r="O253" i="6"/>
  <c r="P1030" i="6"/>
  <c r="O431" i="6"/>
  <c r="O103" i="6"/>
  <c r="O108" i="6" s="1"/>
  <c r="O574" i="6"/>
  <c r="P1716" i="6"/>
  <c r="O650" i="6"/>
  <c r="P1852" i="6"/>
  <c r="O720" i="6"/>
  <c r="P599" i="6"/>
  <c r="P606" i="6" s="1"/>
  <c r="P164" i="45"/>
  <c r="P411" i="6"/>
  <c r="O262" i="6"/>
  <c r="P1657" i="6"/>
  <c r="P534" i="6"/>
  <c r="P536" i="6" s="1"/>
  <c r="N760" i="34"/>
  <c r="O193" i="6"/>
  <c r="P958" i="6"/>
  <c r="O703" i="6"/>
  <c r="P1978" i="6"/>
  <c r="O763" i="4"/>
  <c r="P763" i="4" s="1"/>
  <c r="M21" i="4"/>
  <c r="N66" i="37"/>
  <c r="N69" i="37" s="1"/>
  <c r="N82" i="37" s="1"/>
  <c r="K75" i="20"/>
  <c r="L74" i="20" s="1"/>
  <c r="L73" i="20" s="1"/>
  <c r="L75" i="20" s="1"/>
  <c r="M74" i="20" s="1"/>
  <c r="M73" i="20" s="1"/>
  <c r="S93" i="19"/>
  <c r="S95" i="19" s="1"/>
  <c r="P230" i="4"/>
  <c r="O485" i="5"/>
  <c r="M6" i="3" s="1"/>
  <c r="O60" i="5"/>
  <c r="P243" i="5"/>
  <c r="Q243" i="5" s="1"/>
  <c r="R243" i="5" s="1"/>
  <c r="P412" i="5"/>
  <c r="P176" i="5" s="1"/>
  <c r="O186" i="5"/>
  <c r="P423" i="5"/>
  <c r="P314" i="5"/>
  <c r="P140" i="5"/>
  <c r="O54" i="5"/>
  <c r="P236" i="5"/>
  <c r="O61" i="5"/>
  <c r="P248" i="5"/>
  <c r="P353" i="5"/>
  <c r="N148" i="34"/>
  <c r="N67" i="34"/>
  <c r="N443" i="34" s="1"/>
  <c r="N152" i="34"/>
  <c r="P878" i="4"/>
  <c r="P333" i="4" s="1"/>
  <c r="P129" i="4"/>
  <c r="P778" i="4"/>
  <c r="P241" i="4"/>
  <c r="P246" i="4" s="1"/>
  <c r="P106" i="4"/>
  <c r="P723" i="4"/>
  <c r="P194" i="4"/>
  <c r="P199" i="4" s="1"/>
  <c r="P413" i="4"/>
  <c r="O171" i="4"/>
  <c r="P619" i="4"/>
  <c r="P938" i="4"/>
  <c r="P357" i="4"/>
  <c r="O69" i="4"/>
  <c r="P416" i="4"/>
  <c r="Q416" i="4" s="1"/>
  <c r="O130" i="4"/>
  <c r="P130" i="4"/>
  <c r="O131" i="4"/>
  <c r="P131" i="4"/>
  <c r="C998" i="4"/>
  <c r="B37" i="13"/>
  <c r="O106" i="4"/>
  <c r="O115" i="4"/>
  <c r="A140" i="13"/>
  <c r="P58" i="42"/>
  <c r="A224" i="15"/>
  <c r="D480" i="34"/>
  <c r="D481" i="34" s="1"/>
  <c r="M167" i="6"/>
  <c r="N7" i="6"/>
  <c r="M108" i="9"/>
  <c r="O868" i="6"/>
  <c r="L763" i="34"/>
  <c r="L1366" i="6"/>
  <c r="L1374" i="6" s="1"/>
  <c r="O1174" i="7"/>
  <c r="M527" i="7"/>
  <c r="M529" i="7" s="1"/>
  <c r="M538" i="7" s="1"/>
  <c r="M496" i="6"/>
  <c r="O215" i="6"/>
  <c r="O775" i="6"/>
  <c r="M113" i="3" s="1"/>
  <c r="O158" i="6"/>
  <c r="N1100" i="6"/>
  <c r="M698" i="6"/>
  <c r="M315" i="6"/>
  <c r="M10" i="6" s="1"/>
  <c r="O1098" i="6"/>
  <c r="O1585" i="6"/>
  <c r="O699" i="6"/>
  <c r="L220" i="6"/>
  <c r="N667" i="6"/>
  <c r="M218" i="6"/>
  <c r="M220" i="6" s="1"/>
  <c r="O593" i="6"/>
  <c r="L496" i="6"/>
  <c r="M1197" i="6"/>
  <c r="M1199" i="6" s="1"/>
  <c r="M1210" i="6" s="1"/>
  <c r="O542" i="6"/>
  <c r="O667" i="6"/>
  <c r="O670" i="6"/>
  <c r="O312" i="6"/>
  <c r="O495" i="6"/>
  <c r="O160" i="7"/>
  <c r="I8" i="15"/>
  <c r="BA22" i="42"/>
  <c r="O541" i="8"/>
  <c r="N142" i="8"/>
  <c r="N149" i="8" s="1"/>
  <c r="BA34" i="42" s="1"/>
  <c r="O342" i="8"/>
  <c r="N348" i="8"/>
  <c r="N79" i="8"/>
  <c r="AM22" i="42" s="1"/>
  <c r="K86" i="15" s="1"/>
  <c r="K325" i="34" s="1"/>
  <c r="M21" i="8"/>
  <c r="M85" i="8"/>
  <c r="M121" i="16"/>
  <c r="M152" i="34"/>
  <c r="L121" i="16"/>
  <c r="BB12" i="42"/>
  <c r="M761" i="34"/>
  <c r="J155" i="15"/>
  <c r="AX42" i="42"/>
  <c r="H42" i="42" s="1"/>
  <c r="O141" i="8"/>
  <c r="I621" i="34"/>
  <c r="I622" i="34" s="1"/>
  <c r="I624" i="34" s="1"/>
  <c r="I245" i="34" s="1"/>
  <c r="H81" i="42"/>
  <c r="J57" i="34"/>
  <c r="J59" i="34" s="1"/>
  <c r="I59" i="34"/>
  <c r="J45" i="42"/>
  <c r="K105" i="16"/>
  <c r="K256" i="15"/>
  <c r="I305" i="15"/>
  <c r="I120" i="17"/>
  <c r="K294" i="15"/>
  <c r="K103" i="17"/>
  <c r="M252" i="15"/>
  <c r="L252" i="15"/>
  <c r="D492" i="34"/>
  <c r="D550" i="34" s="1"/>
  <c r="B82" i="15"/>
  <c r="W81" i="42"/>
  <c r="J597" i="34"/>
  <c r="J609" i="34"/>
  <c r="J610" i="34" s="1"/>
  <c r="J612" i="34" s="1"/>
  <c r="J243" i="34" s="1"/>
  <c r="J70" i="15"/>
  <c r="E453" i="34"/>
  <c r="O1608" i="6"/>
  <c r="P1608" i="6" s="1"/>
  <c r="Q1608" i="6" s="1"/>
  <c r="O978" i="6"/>
  <c r="N136" i="4"/>
  <c r="X33" i="42"/>
  <c r="J33" i="42" s="1"/>
  <c r="W33" i="42"/>
  <c r="I33" i="42" s="1"/>
  <c r="J573" i="34"/>
  <c r="AY29" i="42"/>
  <c r="J558" i="34"/>
  <c r="J693" i="34" s="1"/>
  <c r="O217" i="7"/>
  <c r="O257" i="7"/>
  <c r="L307" i="45"/>
  <c r="M148" i="34"/>
  <c r="M161" i="34"/>
  <c r="O129" i="4"/>
  <c r="O600" i="4"/>
  <c r="M67" i="34"/>
  <c r="M605" i="34"/>
  <c r="M581" i="34" s="1"/>
  <c r="L607" i="34"/>
  <c r="M9" i="34"/>
  <c r="L132" i="34"/>
  <c r="O357" i="4"/>
  <c r="O938" i="4"/>
  <c r="M8" i="34"/>
  <c r="L131" i="34"/>
  <c r="M30" i="1"/>
  <c r="M31" i="1" s="1"/>
  <c r="M7" i="34"/>
  <c r="N7" i="34" s="1"/>
  <c r="O7" i="34" s="1"/>
  <c r="L130" i="34"/>
  <c r="M89" i="34"/>
  <c r="L406" i="34"/>
  <c r="O778" i="4"/>
  <c r="O241" i="4"/>
  <c r="O246" i="4" s="1"/>
  <c r="O723" i="4"/>
  <c r="O194" i="4"/>
  <c r="O199" i="4" s="1"/>
  <c r="M17" i="34"/>
  <c r="L140" i="34"/>
  <c r="N50" i="1"/>
  <c r="N106" i="8"/>
  <c r="M15" i="34"/>
  <c r="L138" i="34"/>
  <c r="M23" i="34"/>
  <c r="L146" i="34"/>
  <c r="O980" i="6"/>
  <c r="N206" i="6"/>
  <c r="M14" i="34"/>
  <c r="L137" i="34"/>
  <c r="J1197" i="7"/>
  <c r="J79" i="5"/>
  <c r="H121" i="3" s="1"/>
  <c r="N302" i="6"/>
  <c r="O1089" i="6"/>
  <c r="J2038" i="6"/>
  <c r="N105" i="4"/>
  <c r="W69" i="42"/>
  <c r="R52" i="37"/>
  <c r="R61" i="37" s="1"/>
  <c r="R63" i="37" s="1"/>
  <c r="M120" i="9"/>
  <c r="N120" i="9" s="1"/>
  <c r="O120" i="9" s="1"/>
  <c r="P120" i="9" s="1"/>
  <c r="S27" i="37"/>
  <c r="BD120" i="9"/>
  <c r="CS120" i="9"/>
  <c r="M121" i="9"/>
  <c r="N121" i="9" s="1"/>
  <c r="O121" i="9" s="1"/>
  <c r="P121" i="9" s="1"/>
  <c r="S28" i="37"/>
  <c r="BD121" i="9"/>
  <c r="CS121" i="9"/>
  <c r="O897" i="6"/>
  <c r="O145" i="6" s="1"/>
  <c r="L103" i="5"/>
  <c r="N206" i="7"/>
  <c r="N212" i="7" s="1"/>
  <c r="N9" i="7" s="1"/>
  <c r="O654" i="7"/>
  <c r="H98" i="34"/>
  <c r="G100" i="34"/>
  <c r="O1721" i="6"/>
  <c r="O1120" i="6"/>
  <c r="O634" i="6"/>
  <c r="K193" i="15"/>
  <c r="F783" i="34"/>
  <c r="G539" i="34"/>
  <c r="G366" i="34"/>
  <c r="G485" i="34" s="1"/>
  <c r="I21" i="42"/>
  <c r="M569" i="34"/>
  <c r="M392" i="34"/>
  <c r="M509" i="34" s="1"/>
  <c r="H275" i="15"/>
  <c r="G438" i="34"/>
  <c r="K428" i="34"/>
  <c r="I22" i="13"/>
  <c r="I103" i="13"/>
  <c r="F479" i="34"/>
  <c r="K67" i="14"/>
  <c r="J67" i="14"/>
  <c r="J116" i="14"/>
  <c r="L583" i="34"/>
  <c r="K85" i="15"/>
  <c r="O1033" i="6"/>
  <c r="N1033" i="6"/>
  <c r="J193" i="15"/>
  <c r="M865" i="6"/>
  <c r="O774" i="6"/>
  <c r="O1906" i="6"/>
  <c r="K31" i="13"/>
  <c r="K50" i="13" s="1"/>
  <c r="N54" i="6"/>
  <c r="M497" i="5"/>
  <c r="N130" i="5"/>
  <c r="N9" i="5" s="1"/>
  <c r="G69" i="42"/>
  <c r="K148" i="15"/>
  <c r="J148" i="15"/>
  <c r="O583" i="8"/>
  <c r="N20" i="8"/>
  <c r="M196" i="4"/>
  <c r="M464" i="4"/>
  <c r="O1949" i="6"/>
  <c r="O599" i="6"/>
  <c r="O606" i="6" s="1"/>
  <c r="M148" i="5"/>
  <c r="M150" i="5" s="1"/>
  <c r="M152" i="5" s="1"/>
  <c r="O899" i="6"/>
  <c r="O147" i="6" s="1"/>
  <c r="L90" i="16"/>
  <c r="L34" i="16" s="1"/>
  <c r="AM45" i="42" s="1"/>
  <c r="AM47" i="42" s="1"/>
  <c r="M81" i="9"/>
  <c r="O127" i="7"/>
  <c r="A55" i="3"/>
  <c r="O292" i="7"/>
  <c r="N66" i="1"/>
  <c r="N168" i="7"/>
  <c r="N622" i="7"/>
  <c r="N77" i="4"/>
  <c r="M175" i="7"/>
  <c r="M181" i="7" s="1"/>
  <c r="K758" i="34"/>
  <c r="N99" i="5"/>
  <c r="N505" i="5" s="1"/>
  <c r="L1253" i="6"/>
  <c r="L1255" i="6" s="1"/>
  <c r="L1266" i="6" s="1"/>
  <c r="N1168" i="6"/>
  <c r="O289" i="7"/>
  <c r="O58" i="8"/>
  <c r="O426" i="6"/>
  <c r="N320" i="5"/>
  <c r="N322" i="5" s="1"/>
  <c r="N332" i="5" s="1"/>
  <c r="J119" i="13"/>
  <c r="N28" i="1"/>
  <c r="O28" i="1" s="1"/>
  <c r="P28" i="1" s="1"/>
  <c r="N628" i="6"/>
  <c r="O1728" i="6"/>
  <c r="O586" i="6" s="1"/>
  <c r="M723" i="6"/>
  <c r="O1058" i="7"/>
  <c r="O389" i="7"/>
  <c r="O957" i="7"/>
  <c r="M734" i="34" s="1"/>
  <c r="X59" i="10"/>
  <c r="X92" i="10" s="1"/>
  <c r="Y92" i="10" s="1"/>
  <c r="O1911" i="6"/>
  <c r="N664" i="6"/>
  <c r="O390" i="7"/>
  <c r="O1912" i="6"/>
  <c r="N665" i="6"/>
  <c r="L34" i="17"/>
  <c r="BA45" i="42" s="1"/>
  <c r="L164" i="6"/>
  <c r="L166" i="6" s="1"/>
  <c r="L169" i="6" s="1"/>
  <c r="O31" i="45"/>
  <c r="N839" i="6"/>
  <c r="N865" i="6" s="1"/>
  <c r="M139" i="6"/>
  <c r="E680" i="34"/>
  <c r="E686" i="34"/>
  <c r="G206" i="3"/>
  <c r="M154" i="4"/>
  <c r="N662" i="6"/>
  <c r="O1909" i="6"/>
  <c r="O309" i="6"/>
  <c r="J234" i="6"/>
  <c r="AY193" i="9"/>
  <c r="U222" i="10"/>
  <c r="M1638" i="6" s="1"/>
  <c r="M520" i="6" s="1"/>
  <c r="CS193" i="9"/>
  <c r="N1640" i="6"/>
  <c r="N522" i="6" s="1"/>
  <c r="BC193" i="9"/>
  <c r="X222" i="10" s="1"/>
  <c r="N1638" i="6" s="1"/>
  <c r="N520" i="6" s="1"/>
  <c r="X58" i="10"/>
  <c r="AA114" i="10"/>
  <c r="O324" i="6"/>
  <c r="O161" i="45"/>
  <c r="V59" i="10"/>
  <c r="O714" i="6"/>
  <c r="O372" i="7"/>
  <c r="N176" i="6"/>
  <c r="BC207" i="9"/>
  <c r="BD207" i="9" s="1"/>
  <c r="N2029" i="6"/>
  <c r="K46" i="58" s="1"/>
  <c r="K44" i="58" s="1"/>
  <c r="N155" i="6"/>
  <c r="O918" i="6"/>
  <c r="N154" i="6"/>
  <c r="N130" i="6"/>
  <c r="CI9" i="21"/>
  <c r="O1158" i="6"/>
  <c r="O311" i="6" s="1"/>
  <c r="M61" i="9"/>
  <c r="M63" i="9" s="1"/>
  <c r="CS61" i="9"/>
  <c r="BC61" i="9"/>
  <c r="BC63" i="9" s="1"/>
  <c r="N153" i="6"/>
  <c r="O658" i="6"/>
  <c r="O669" i="6"/>
  <c r="N668" i="6"/>
  <c r="O1926" i="6"/>
  <c r="N631" i="6"/>
  <c r="M169" i="45"/>
  <c r="M170" i="45" s="1"/>
  <c r="M171" i="45" s="1"/>
  <c r="AX44" i="42"/>
  <c r="I74" i="14"/>
  <c r="G294" i="4"/>
  <c r="H294" i="4" s="1"/>
  <c r="M297" i="4"/>
  <c r="N1558" i="6"/>
  <c r="N1560" i="6" s="1"/>
  <c r="N1562" i="6" s="1"/>
  <c r="N938" i="6"/>
  <c r="J2037" i="6"/>
  <c r="K2057" i="6"/>
  <c r="B470" i="7"/>
  <c r="A120" i="3" s="1"/>
  <c r="B52" i="7"/>
  <c r="A37" i="3" s="1"/>
  <c r="A41" i="3" s="1"/>
  <c r="N935" i="6"/>
  <c r="N937" i="6" s="1"/>
  <c r="M64" i="6"/>
  <c r="K61" i="3" s="1"/>
  <c r="L939" i="6"/>
  <c r="O209" i="6"/>
  <c r="N1000" i="6"/>
  <c r="O214" i="6"/>
  <c r="O211" i="6"/>
  <c r="O132" i="6"/>
  <c r="O95" i="6"/>
  <c r="O205" i="6"/>
  <c r="O201" i="6"/>
  <c r="M80" i="4"/>
  <c r="M18" i="4" s="1"/>
  <c r="CS108" i="9"/>
  <c r="BD108" i="9"/>
  <c r="N147" i="7"/>
  <c r="M89" i="6"/>
  <c r="CS112" i="9"/>
  <c r="BD112" i="9"/>
  <c r="O187" i="5"/>
  <c r="O256" i="5"/>
  <c r="CS111" i="9"/>
  <c r="N168" i="45"/>
  <c r="N1013" i="6"/>
  <c r="N232" i="6" s="1"/>
  <c r="BD111" i="9"/>
  <c r="CS81" i="9"/>
  <c r="M589" i="7"/>
  <c r="CS7" i="9"/>
  <c r="BD7" i="9"/>
  <c r="K127" i="22"/>
  <c r="K135" i="22" s="1"/>
  <c r="K128" i="22"/>
  <c r="N86" i="6"/>
  <c r="N87" i="6"/>
  <c r="N1373" i="6"/>
  <c r="N579" i="6"/>
  <c r="M17" i="5"/>
  <c r="M26" i="5" s="1"/>
  <c r="L658" i="4"/>
  <c r="L667" i="4" s="1"/>
  <c r="N273" i="4"/>
  <c r="N11" i="4" s="1"/>
  <c r="N292" i="4"/>
  <c r="O230" i="4"/>
  <c r="K126" i="22"/>
  <c r="N165" i="45"/>
  <c r="M1363" i="6"/>
  <c r="X43" i="42"/>
  <c r="J43" i="42" s="1"/>
  <c r="U53" i="11"/>
  <c r="Y114" i="10"/>
  <c r="L103" i="3" s="1"/>
  <c r="M406" i="7"/>
  <c r="M629" i="7"/>
  <c r="M631" i="7" s="1"/>
  <c r="O307" i="7"/>
  <c r="M419" i="6"/>
  <c r="M12" i="6" s="1"/>
  <c r="O137" i="6"/>
  <c r="O207" i="6"/>
  <c r="M101" i="5"/>
  <c r="M477" i="5" s="1"/>
  <c r="O140" i="5"/>
  <c r="O318" i="5"/>
  <c r="O89" i="5"/>
  <c r="O91" i="5" s="1"/>
  <c r="O496" i="5" s="1"/>
  <c r="O346" i="7"/>
  <c r="O379" i="7"/>
  <c r="O80" i="7"/>
  <c r="M37" i="4"/>
  <c r="O802" i="4"/>
  <c r="P802" i="4" s="1"/>
  <c r="O753" i="4"/>
  <c r="N775" i="4"/>
  <c r="O743" i="4"/>
  <c r="P743" i="4" s="1"/>
  <c r="N804" i="4"/>
  <c r="Y8" i="42" s="1"/>
  <c r="L40" i="15" s="1"/>
  <c r="O798" i="4"/>
  <c r="M777" i="4"/>
  <c r="M779" i="4" s="1"/>
  <c r="M790" i="4" s="1"/>
  <c r="N842" i="4"/>
  <c r="N978" i="4" s="1"/>
  <c r="O832" i="4"/>
  <c r="O808" i="4"/>
  <c r="O767" i="4"/>
  <c r="P767" i="4" s="1"/>
  <c r="O742" i="4"/>
  <c r="N745" i="4"/>
  <c r="L759" i="34"/>
  <c r="O817" i="4"/>
  <c r="P817" i="4" s="1"/>
  <c r="O823" i="4"/>
  <c r="P823" i="4" s="1"/>
  <c r="Q823" i="4" s="1"/>
  <c r="N196" i="6"/>
  <c r="N8" i="6" s="1"/>
  <c r="N1195" i="6"/>
  <c r="O30" i="45"/>
  <c r="O413" i="6"/>
  <c r="N1361" i="6"/>
  <c r="O1392" i="6"/>
  <c r="K2060" i="6"/>
  <c r="O802" i="6"/>
  <c r="N321" i="6"/>
  <c r="O446" i="6"/>
  <c r="N221" i="6"/>
  <c r="O639" i="6"/>
  <c r="N1451" i="6"/>
  <c r="N1453" i="6" s="1"/>
  <c r="N1462" i="6" s="1"/>
  <c r="N35" i="45"/>
  <c r="O655" i="6"/>
  <c r="O497" i="6"/>
  <c r="O1137" i="6"/>
  <c r="O1103" i="6"/>
  <c r="M656" i="4"/>
  <c r="G20" i="4"/>
  <c r="G969" i="4"/>
  <c r="H969" i="4" s="1"/>
  <c r="O556" i="7"/>
  <c r="V60" i="10"/>
  <c r="J335" i="7"/>
  <c r="O300" i="7"/>
  <c r="O120" i="7"/>
  <c r="O122" i="7" s="1"/>
  <c r="O8" i="7" s="1"/>
  <c r="O301" i="7"/>
  <c r="N629" i="4"/>
  <c r="M935" i="4"/>
  <c r="M937" i="4" s="1"/>
  <c r="M939" i="4" s="1"/>
  <c r="M948" i="4" s="1"/>
  <c r="O117" i="4"/>
  <c r="M120" i="4"/>
  <c r="M158" i="4" s="1"/>
  <c r="N475" i="4"/>
  <c r="N92" i="4" s="1"/>
  <c r="N46" i="4" s="1"/>
  <c r="L62" i="3" s="1"/>
  <c r="O710" i="6"/>
  <c r="N344" i="6"/>
  <c r="J36" i="17"/>
  <c r="O20" i="27"/>
  <c r="CT7" i="9"/>
  <c r="BI7" i="9"/>
  <c r="CS186" i="9"/>
  <c r="BD186" i="9"/>
  <c r="N1571" i="6"/>
  <c r="O786" i="6"/>
  <c r="AZ20" i="42"/>
  <c r="K115" i="15" s="1"/>
  <c r="O569" i="4"/>
  <c r="P569" i="4" s="1"/>
  <c r="O136" i="5"/>
  <c r="O339" i="6"/>
  <c r="O1198" i="6"/>
  <c r="AY54" i="9"/>
  <c r="O728" i="7"/>
  <c r="O250" i="7"/>
  <c r="O252" i="7" s="1"/>
  <c r="O11" i="7" s="1"/>
  <c r="O958" i="7"/>
  <c r="O492" i="7"/>
  <c r="N77" i="7"/>
  <c r="O427" i="6"/>
  <c r="N427" i="6"/>
  <c r="O633" i="4"/>
  <c r="N654" i="4"/>
  <c r="O929" i="4"/>
  <c r="O352" i="4" s="1"/>
  <c r="N40" i="45"/>
  <c r="BD141" i="9"/>
  <c r="CS141" i="9"/>
  <c r="O1915" i="6"/>
  <c r="O1527" i="6"/>
  <c r="O626" i="4"/>
  <c r="CS146" i="9"/>
  <c r="O82" i="7"/>
  <c r="O644" i="4"/>
  <c r="O350" i="7"/>
  <c r="O1023" i="7"/>
  <c r="O411" i="6"/>
  <c r="M335" i="4"/>
  <c r="M12" i="4" s="1"/>
  <c r="O67" i="7"/>
  <c r="O69" i="7" s="1"/>
  <c r="O7" i="7" s="1"/>
  <c r="O483" i="7"/>
  <c r="N423" i="7"/>
  <c r="O423" i="7"/>
  <c r="BD177" i="9"/>
  <c r="O645" i="6"/>
  <c r="M210" i="15"/>
  <c r="O866" i="7"/>
  <c r="O332" i="7" s="1"/>
  <c r="Z42" i="42"/>
  <c r="L125" i="13"/>
  <c r="X35" i="11"/>
  <c r="Y35" i="11" s="1"/>
  <c r="Z35" i="11" s="1"/>
  <c r="N330" i="7"/>
  <c r="M436" i="6"/>
  <c r="N783" i="6"/>
  <c r="O764" i="6"/>
  <c r="O55" i="8"/>
  <c r="Z60" i="10"/>
  <c r="O583" i="4"/>
  <c r="N121" i="4"/>
  <c r="N159" i="4" s="1"/>
  <c r="N881" i="4"/>
  <c r="N329" i="4"/>
  <c r="O862" i="4"/>
  <c r="P862" i="4" s="1"/>
  <c r="Q862" i="4" s="1"/>
  <c r="CS54" i="9"/>
  <c r="BC54" i="9"/>
  <c r="N1067" i="7"/>
  <c r="N120" i="4"/>
  <c r="P159" i="6"/>
  <c r="N159" i="6"/>
  <c r="O1352" i="6"/>
  <c r="N434" i="6"/>
  <c r="O896" i="4"/>
  <c r="N341" i="4"/>
  <c r="K84" i="15"/>
  <c r="O874" i="4"/>
  <c r="O332" i="4" s="1"/>
  <c r="N161" i="6"/>
  <c r="M1573" i="6"/>
  <c r="O442" i="6"/>
  <c r="Z114" i="10"/>
  <c r="O174" i="8"/>
  <c r="P174" i="8" s="1"/>
  <c r="O370" i="8"/>
  <c r="P370" i="8" s="1"/>
  <c r="CS174" i="9"/>
  <c r="BD174" i="9"/>
  <c r="O1907" i="6"/>
  <c r="O650" i="4"/>
  <c r="N188" i="4"/>
  <c r="N209" i="4"/>
  <c r="I45" i="42"/>
  <c r="O347" i="4"/>
  <c r="O609" i="7"/>
  <c r="O892" i="4"/>
  <c r="N343" i="4"/>
  <c r="S100" i="37"/>
  <c r="T12" i="37"/>
  <c r="N723" i="6"/>
  <c r="O867" i="4"/>
  <c r="O891" i="4"/>
  <c r="N342" i="4"/>
  <c r="O928" i="4"/>
  <c r="O353" i="4" s="1"/>
  <c r="CI60" i="21"/>
  <c r="AZ60" i="21"/>
  <c r="O309" i="7"/>
  <c r="O233" i="5"/>
  <c r="N53" i="5"/>
  <c r="N84" i="8"/>
  <c r="AM20" i="42"/>
  <c r="AM29" i="42" s="1"/>
  <c r="O347" i="8"/>
  <c r="O78" i="8"/>
  <c r="M25" i="16" s="1"/>
  <c r="M10" i="16" s="1"/>
  <c r="M245" i="15" s="1"/>
  <c r="O1354" i="6"/>
  <c r="N435" i="6"/>
  <c r="N160" i="6"/>
  <c r="O588" i="4"/>
  <c r="O104" i="4"/>
  <c r="N104" i="4"/>
  <c r="O1784" i="6"/>
  <c r="O632" i="6" s="1"/>
  <c r="O174" i="7"/>
  <c r="N174" i="7"/>
  <c r="O952" i="7"/>
  <c r="P952" i="7" s="1"/>
  <c r="Q952" i="7" s="1"/>
  <c r="N293" i="45"/>
  <c r="M29" i="45"/>
  <c r="M36" i="45" s="1"/>
  <c r="O1173" i="6"/>
  <c r="P1173" i="6" s="1"/>
  <c r="Q1173" i="6" s="1"/>
  <c r="N327" i="6"/>
  <c r="O164" i="45"/>
  <c r="O318" i="8"/>
  <c r="N290" i="45"/>
  <c r="M380" i="6"/>
  <c r="M27" i="6" s="1"/>
  <c r="O1248" i="6"/>
  <c r="P1248" i="6" s="1"/>
  <c r="N34" i="45"/>
  <c r="N378" i="6"/>
  <c r="N1224" i="6"/>
  <c r="N370" i="6" s="1"/>
  <c r="N33" i="45"/>
  <c r="N264" i="6"/>
  <c r="K19" i="4"/>
  <c r="K30" i="4" s="1"/>
  <c r="B996" i="4"/>
  <c r="B38" i="4"/>
  <c r="B211" i="4"/>
  <c r="N340" i="4"/>
  <c r="O885" i="4"/>
  <c r="P885" i="4" s="1"/>
  <c r="Q885" i="4" s="1"/>
  <c r="R885" i="4" s="1"/>
  <c r="N64" i="5"/>
  <c r="N504" i="5" s="1"/>
  <c r="M504" i="5"/>
  <c r="O945" i="7"/>
  <c r="P945" i="7" s="1"/>
  <c r="Q945" i="7" s="1"/>
  <c r="N376" i="7"/>
  <c r="N377" i="7"/>
  <c r="O963" i="7"/>
  <c r="O68" i="4"/>
  <c r="O859" i="6"/>
  <c r="N140" i="6"/>
  <c r="O1003" i="6"/>
  <c r="N782" i="6"/>
  <c r="O763" i="6"/>
  <c r="P763" i="6" s="1"/>
  <c r="AZ3" i="21"/>
  <c r="AW3" i="22"/>
  <c r="AW78" i="22" s="1"/>
  <c r="AX3" i="21"/>
  <c r="AU3" i="22"/>
  <c r="AU78" i="22" s="1"/>
  <c r="AU121" i="22" s="1"/>
  <c r="L127" i="22"/>
  <c r="L135" i="22" s="1"/>
  <c r="D77" i="20"/>
  <c r="O423" i="45"/>
  <c r="L506" i="5"/>
  <c r="L509" i="5" s="1"/>
  <c r="M28" i="12"/>
  <c r="L57" i="13" s="1"/>
  <c r="L64" i="12"/>
  <c r="N1078" i="6" s="1"/>
  <c r="N288" i="6" s="1"/>
  <c r="K96" i="12"/>
  <c r="U7" i="10" s="1"/>
  <c r="U36" i="10" s="1"/>
  <c r="L20" i="7"/>
  <c r="L32" i="7" s="1"/>
  <c r="L10" i="7"/>
  <c r="O1181" i="6"/>
  <c r="P1181" i="6" s="1"/>
  <c r="N331" i="6"/>
  <c r="N330" i="6" s="1"/>
  <c r="N32" i="45"/>
  <c r="L133" i="4"/>
  <c r="N294" i="45"/>
  <c r="O295" i="8"/>
  <c r="N292" i="45"/>
  <c r="K97" i="13"/>
  <c r="L95" i="13"/>
  <c r="M95" i="13" s="1"/>
  <c r="O186" i="8"/>
  <c r="P186" i="8" s="1"/>
  <c r="Q186" i="8" s="1"/>
  <c r="O278" i="8"/>
  <c r="O61" i="8" s="1"/>
  <c r="N291" i="45"/>
  <c r="I955" i="4"/>
  <c r="J72" i="13"/>
  <c r="J55" i="13"/>
  <c r="X41" i="42" s="1"/>
  <c r="O319" i="8"/>
  <c r="P319" i="8" s="1"/>
  <c r="Q319" i="8" s="1"/>
  <c r="N258" i="7"/>
  <c r="O739" i="7"/>
  <c r="M295" i="45"/>
  <c r="M305" i="45" s="1"/>
  <c r="M306" i="45" s="1"/>
  <c r="N727" i="6"/>
  <c r="O2013" i="6"/>
  <c r="L22" i="58" s="1"/>
  <c r="O1281" i="6"/>
  <c r="O406" i="6" s="1"/>
  <c r="J2041" i="6"/>
  <c r="J395" i="6"/>
  <c r="O1908" i="6"/>
  <c r="N507" i="6"/>
  <c r="N512" i="6" s="1"/>
  <c r="N1630" i="6"/>
  <c r="N377" i="6"/>
  <c r="O1235" i="6"/>
  <c r="P1235" i="6" s="1"/>
  <c r="Q1235" i="6" s="1"/>
  <c r="N1220" i="6"/>
  <c r="N1251" i="6"/>
  <c r="L382" i="6"/>
  <c r="L11" i="6"/>
  <c r="L43" i="6" s="1"/>
  <c r="K384" i="6"/>
  <c r="K2061" i="6"/>
  <c r="M367" i="6"/>
  <c r="M372" i="6" s="1"/>
  <c r="M1227" i="6"/>
  <c r="K766" i="34" s="1"/>
  <c r="O382" i="5"/>
  <c r="N146" i="5"/>
  <c r="L66" i="5"/>
  <c r="L68" i="5" s="1"/>
  <c r="L150" i="5"/>
  <c r="L152" i="5" s="1"/>
  <c r="L495" i="5"/>
  <c r="L500" i="5" s="1"/>
  <c r="L21" i="5"/>
  <c r="O416" i="5"/>
  <c r="O305" i="5"/>
  <c r="AA9" i="11"/>
  <c r="K1195" i="7"/>
  <c r="N855" i="7"/>
  <c r="W58" i="10"/>
  <c r="N345" i="7"/>
  <c r="O844" i="7"/>
  <c r="N312" i="7"/>
  <c r="L24" i="7"/>
  <c r="L36" i="7" s="1"/>
  <c r="K324" i="7"/>
  <c r="M94" i="7"/>
  <c r="M20" i="7" s="1"/>
  <c r="M32" i="7" s="1"/>
  <c r="N162" i="7"/>
  <c r="O601" i="7"/>
  <c r="L138" i="7"/>
  <c r="L1209" i="7"/>
  <c r="M320" i="7"/>
  <c r="M24" i="7" s="1"/>
  <c r="N314" i="7"/>
  <c r="O846" i="7"/>
  <c r="J109" i="7"/>
  <c r="J1192" i="7"/>
  <c r="N76" i="7"/>
  <c r="O491" i="7"/>
  <c r="O956" i="7"/>
  <c r="P956" i="7" s="1"/>
  <c r="Q956" i="7" s="1"/>
  <c r="O600" i="7"/>
  <c r="P600" i="7" s="1"/>
  <c r="Q600" i="7" s="1"/>
  <c r="O845" i="7"/>
  <c r="O313" i="7" s="1"/>
  <c r="V58" i="10"/>
  <c r="O216" i="7"/>
  <c r="K132" i="13"/>
  <c r="BD29" i="9"/>
  <c r="N277" i="7"/>
  <c r="BI115" i="9"/>
  <c r="J137" i="4"/>
  <c r="J968" i="4"/>
  <c r="K135" i="4"/>
  <c r="G44" i="42"/>
  <c r="H7" i="42"/>
  <c r="E44" i="42"/>
  <c r="I43" i="42"/>
  <c r="C19" i="42"/>
  <c r="D468" i="34" s="1"/>
  <c r="J470" i="5"/>
  <c r="J483" i="5" s="1"/>
  <c r="J487" i="5" s="1"/>
  <c r="M21" i="7"/>
  <c r="M33" i="7" s="1"/>
  <c r="M136" i="7"/>
  <c r="K1192" i="7"/>
  <c r="K109" i="7"/>
  <c r="J12" i="42"/>
  <c r="O359" i="5"/>
  <c r="M56" i="5"/>
  <c r="M7" i="5" s="1"/>
  <c r="M25" i="5" s="1"/>
  <c r="O618" i="4"/>
  <c r="N170" i="4"/>
  <c r="B10" i="42"/>
  <c r="B73" i="42" s="1"/>
  <c r="B74" i="42" s="1"/>
  <c r="P14" i="42"/>
  <c r="A85" i="16"/>
  <c r="A20" i="17"/>
  <c r="N424" i="45"/>
  <c r="O421" i="45"/>
  <c r="O422" i="45"/>
  <c r="O109" i="8"/>
  <c r="O487" i="7"/>
  <c r="N74" i="7"/>
  <c r="N525" i="7"/>
  <c r="N527" i="7" s="1"/>
  <c r="N529" i="7" s="1"/>
  <c r="N538" i="7" s="1"/>
  <c r="M439" i="7"/>
  <c r="K1193" i="7"/>
  <c r="K149" i="7"/>
  <c r="O362" i="5"/>
  <c r="P362" i="5" s="1"/>
  <c r="Q362" i="5" s="1"/>
  <c r="R362" i="5" s="1"/>
  <c r="N383" i="5"/>
  <c r="N385" i="5" s="1"/>
  <c r="N135" i="5"/>
  <c r="L98" i="7"/>
  <c r="L1208" i="7"/>
  <c r="N440" i="7"/>
  <c r="K467" i="5"/>
  <c r="K163" i="5"/>
  <c r="M441" i="7"/>
  <c r="M442" i="7" s="1"/>
  <c r="K2038" i="6"/>
  <c r="K234" i="6"/>
  <c r="N210" i="6"/>
  <c r="O991" i="6"/>
  <c r="P991" i="6" s="1"/>
  <c r="N496" i="5"/>
  <c r="M197" i="5"/>
  <c r="M19" i="5"/>
  <c r="M507" i="5"/>
  <c r="O420" i="5"/>
  <c r="P420" i="5" s="1"/>
  <c r="Q420" i="5" s="1"/>
  <c r="R420" i="5" s="1"/>
  <c r="N183" i="5"/>
  <c r="N195" i="5" s="1"/>
  <c r="N447" i="5"/>
  <c r="N449" i="5" s="1"/>
  <c r="N451" i="5" s="1"/>
  <c r="N459" i="5" s="1"/>
  <c r="N8" i="5"/>
  <c r="L199" i="5"/>
  <c r="L479" i="5"/>
  <c r="K468" i="5"/>
  <c r="K210" i="5"/>
  <c r="M31" i="5"/>
  <c r="O450" i="5"/>
  <c r="O193" i="5"/>
  <c r="N198" i="5"/>
  <c r="M722" i="4"/>
  <c r="M724" i="4" s="1"/>
  <c r="M732" i="4" s="1"/>
  <c r="M174" i="4"/>
  <c r="N711" i="4"/>
  <c r="N720" i="4" s="1"/>
  <c r="N191" i="4" s="1"/>
  <c r="N689" i="4"/>
  <c r="O685" i="4"/>
  <c r="P685" i="4" s="1"/>
  <c r="N109" i="4"/>
  <c r="N157" i="4" s="1"/>
  <c r="I597" i="4"/>
  <c r="Q98" i="42" s="1"/>
  <c r="R98" i="42" s="1"/>
  <c r="I109" i="14"/>
  <c r="O220" i="5"/>
  <c r="N238" i="5"/>
  <c r="N258" i="5" s="1"/>
  <c r="N260" i="5" s="1"/>
  <c r="N271" i="5" s="1"/>
  <c r="O724" i="6"/>
  <c r="M502" i="4"/>
  <c r="L111" i="4"/>
  <c r="L8" i="4" s="1"/>
  <c r="L155" i="4"/>
  <c r="L160" i="4" s="1"/>
  <c r="L129" i="40"/>
  <c r="K77" i="13"/>
  <c r="AW209" i="9"/>
  <c r="AW211" i="9" s="1"/>
  <c r="K204" i="3" s="1"/>
  <c r="U47" i="42"/>
  <c r="AR209" i="9"/>
  <c r="AR211" i="9" s="1"/>
  <c r="J204" i="3" s="1"/>
  <c r="S47" i="42"/>
  <c r="AQ209" i="9"/>
  <c r="AQ211" i="9" s="1"/>
  <c r="AV209" i="9"/>
  <c r="AV211" i="9" s="1"/>
  <c r="M759" i="7"/>
  <c r="M770" i="7" s="1"/>
  <c r="E143" i="15"/>
  <c r="F143" i="15" s="1"/>
  <c r="N1496" i="6"/>
  <c r="N1498" i="6" s="1"/>
  <c r="W220" i="10" s="1"/>
  <c r="N1504" i="6" s="1"/>
  <c r="O1474" i="6"/>
  <c r="O415" i="6"/>
  <c r="M1504" i="6"/>
  <c r="M462" i="6" s="1"/>
  <c r="V220" i="10"/>
  <c r="U139" i="11" s="1"/>
  <c r="K557" i="8"/>
  <c r="J126" i="22"/>
  <c r="I126" i="22"/>
  <c r="I129" i="22" s="1"/>
  <c r="J557" i="8"/>
  <c r="G134" i="22"/>
  <c r="G137" i="22" s="1"/>
  <c r="F89" i="3" s="1"/>
  <c r="G129" i="22"/>
  <c r="G98" i="3" s="1"/>
  <c r="I557" i="8"/>
  <c r="H126" i="22"/>
  <c r="H129" i="22" s="1"/>
  <c r="F44" i="17"/>
  <c r="D28" i="8"/>
  <c r="M35" i="19"/>
  <c r="C28" i="8"/>
  <c r="H104" i="19"/>
  <c r="K2040" i="6"/>
  <c r="K356" i="6"/>
  <c r="O119" i="4"/>
  <c r="O1688" i="6"/>
  <c r="O546" i="6"/>
  <c r="O551" i="6" s="1"/>
  <c r="O1449" i="6"/>
  <c r="O837" i="6"/>
  <c r="P837" i="6" s="1"/>
  <c r="Q837" i="6" s="1"/>
  <c r="R837" i="6" s="1"/>
  <c r="J621" i="34"/>
  <c r="J622" i="34" s="1"/>
  <c r="J624" i="34" s="1"/>
  <c r="J245" i="34" s="1"/>
  <c r="H75" i="13"/>
  <c r="I204" i="3"/>
  <c r="AZ86" i="9"/>
  <c r="AZ168" i="9" s="1"/>
  <c r="BE2" i="9"/>
  <c r="BJ2" i="9" s="1"/>
  <c r="H40" i="42"/>
  <c r="AP209" i="9"/>
  <c r="O299" i="45"/>
  <c r="N357" i="8"/>
  <c r="N95" i="8" s="1"/>
  <c r="L40" i="16"/>
  <c r="AM49" i="42" s="1"/>
  <c r="AM52" i="42" s="1"/>
  <c r="M402" i="4"/>
  <c r="K7" i="12" s="1"/>
  <c r="M1009" i="4"/>
  <c r="K144" i="15"/>
  <c r="L199" i="15"/>
  <c r="M403" i="4"/>
  <c r="K8" i="12" s="1"/>
  <c r="N403" i="4" s="1"/>
  <c r="J102" i="13"/>
  <c r="M264" i="7"/>
  <c r="N755" i="7"/>
  <c r="N757" i="7" s="1"/>
  <c r="K1210" i="7"/>
  <c r="K268" i="7"/>
  <c r="O205" i="7"/>
  <c r="L23" i="7"/>
  <c r="L35" i="7" s="1"/>
  <c r="L266" i="7"/>
  <c r="J1194" i="7"/>
  <c r="J279" i="7"/>
  <c r="M400" i="4"/>
  <c r="J76" i="11"/>
  <c r="Y69" i="11"/>
  <c r="S39" i="20"/>
  <c r="L70" i="20"/>
  <c r="O70" i="4"/>
  <c r="T39" i="37" l="1"/>
  <c r="P1407" i="6"/>
  <c r="P440" i="6" s="1"/>
  <c r="S19" i="14"/>
  <c r="P17" i="14"/>
  <c r="I124" i="14"/>
  <c r="O17" i="14" s="1"/>
  <c r="K136" i="14"/>
  <c r="K179" i="14"/>
  <c r="L88" i="14" s="1"/>
  <c r="O110" i="40"/>
  <c r="AI88" i="10" s="1"/>
  <c r="O129" i="40"/>
  <c r="O289" i="45"/>
  <c r="Q1740" i="6"/>
  <c r="L143" i="13"/>
  <c r="M202" i="15"/>
  <c r="M147" i="15" s="1"/>
  <c r="Y72" i="14"/>
  <c r="Z44" i="42"/>
  <c r="P304" i="6"/>
  <c r="P235" i="3"/>
  <c r="P141" i="3"/>
  <c r="P142" i="3" s="1"/>
  <c r="V139" i="11"/>
  <c r="W139" i="11" s="1"/>
  <c r="O66" i="37"/>
  <c r="O69" i="37" s="1"/>
  <c r="O82" i="37" s="1"/>
  <c r="P640" i="4"/>
  <c r="P61" i="4"/>
  <c r="C807" i="34"/>
  <c r="P528" i="34"/>
  <c r="O80" i="42"/>
  <c r="BX117" i="9"/>
  <c r="CW117" i="9"/>
  <c r="Q630" i="6"/>
  <c r="R1781" i="6"/>
  <c r="R630" i="6" s="1"/>
  <c r="L204" i="3"/>
  <c r="K75" i="13"/>
  <c r="W72" i="14" s="1"/>
  <c r="M204" i="3"/>
  <c r="AH109" i="10"/>
  <c r="AH201" i="10" s="1"/>
  <c r="AK3" i="10"/>
  <c r="AK109" i="10" s="1"/>
  <c r="AK201" i="10" s="1"/>
  <c r="AF109" i="10"/>
  <c r="AF201" i="10" s="1"/>
  <c r="AI3" i="10"/>
  <c r="AI109" i="10" s="1"/>
  <c r="AI201" i="10" s="1"/>
  <c r="O87" i="17"/>
  <c r="O89" i="17" s="1"/>
  <c r="O34" i="17" s="1"/>
  <c r="BD45" i="42" s="1"/>
  <c r="Q436" i="5"/>
  <c r="Q1615" i="6"/>
  <c r="V13" i="37"/>
  <c r="O25" i="34"/>
  <c r="O86" i="17"/>
  <c r="R892" i="7"/>
  <c r="R1866" i="6"/>
  <c r="R1042" i="7"/>
  <c r="R1987" i="6"/>
  <c r="R899" i="4"/>
  <c r="R853" i="7"/>
  <c r="R210" i="8"/>
  <c r="R827" i="7"/>
  <c r="R900" i="7"/>
  <c r="R287" i="5"/>
  <c r="R1485" i="6"/>
  <c r="R268" i="8"/>
  <c r="R417" i="4"/>
  <c r="R953" i="7"/>
  <c r="R1143" i="7"/>
  <c r="R283" i="5"/>
  <c r="R346" i="5"/>
  <c r="R550" i="7"/>
  <c r="Q284" i="8"/>
  <c r="R284" i="8" s="1"/>
  <c r="Q5" i="1"/>
  <c r="R319" i="8" s="1"/>
  <c r="AE8" i="54"/>
  <c r="R327" i="8"/>
  <c r="P143" i="5"/>
  <c r="R186" i="8"/>
  <c r="R945" i="7"/>
  <c r="R1173" i="6"/>
  <c r="R927" i="7"/>
  <c r="R370" i="7" s="1"/>
  <c r="R218" i="8"/>
  <c r="P87" i="16" s="1"/>
  <c r="R407" i="8"/>
  <c r="R338" i="8"/>
  <c r="R949" i="7"/>
  <c r="R414" i="8"/>
  <c r="R873" i="4"/>
  <c r="R743" i="7"/>
  <c r="R779" i="6"/>
  <c r="R551" i="7"/>
  <c r="R188" i="8"/>
  <c r="R539" i="4"/>
  <c r="R245" i="8"/>
  <c r="R1484" i="6"/>
  <c r="R454" i="8"/>
  <c r="R206" i="8"/>
  <c r="R1108" i="7"/>
  <c r="R1130" i="7"/>
  <c r="R1245" i="6"/>
  <c r="R909" i="4"/>
  <c r="R1820" i="6"/>
  <c r="R818" i="7"/>
  <c r="R237" i="8"/>
  <c r="R31" i="27"/>
  <c r="R848" i="6"/>
  <c r="R507" i="7"/>
  <c r="R1040" i="7"/>
  <c r="R512" i="4"/>
  <c r="R234" i="8"/>
  <c r="R433" i="8"/>
  <c r="R409" i="8"/>
  <c r="R1605" i="6"/>
  <c r="R793" i="6"/>
  <c r="R1035" i="7"/>
  <c r="R652" i="4"/>
  <c r="R1600" i="6"/>
  <c r="W58" i="37"/>
  <c r="R707" i="4"/>
  <c r="R1890" i="6"/>
  <c r="W20" i="37"/>
  <c r="R1137" i="7"/>
  <c r="R1238" i="6"/>
  <c r="R750" i="7"/>
  <c r="R515" i="4"/>
  <c r="R332" i="8"/>
  <c r="R439" i="5"/>
  <c r="R834" i="6"/>
  <c r="R899" i="7"/>
  <c r="R972" i="7"/>
  <c r="R917" i="6"/>
  <c r="R505" i="7"/>
  <c r="W19" i="37"/>
  <c r="R27" i="27"/>
  <c r="R735" i="7"/>
  <c r="Q908" i="4"/>
  <c r="R908" i="4" s="1"/>
  <c r="AD11" i="54"/>
  <c r="AD18" i="54" s="1"/>
  <c r="AD20" i="54" s="1"/>
  <c r="AE5" i="54"/>
  <c r="AE11" i="54" s="1"/>
  <c r="AE18" i="54" s="1"/>
  <c r="AE20" i="54" s="1"/>
  <c r="R1235" i="6"/>
  <c r="P7" i="34"/>
  <c r="R1844" i="6"/>
  <c r="R1712" i="6"/>
  <c r="R805" i="7"/>
  <c r="R312" i="8"/>
  <c r="R823" i="7"/>
  <c r="P637" i="34"/>
  <c r="R1330" i="6"/>
  <c r="R832" i="6"/>
  <c r="R1342" i="6"/>
  <c r="R435" i="8"/>
  <c r="R906" i="6"/>
  <c r="R541" i="4"/>
  <c r="R18" i="27"/>
  <c r="R1672" i="6"/>
  <c r="R1332" i="6"/>
  <c r="P746" i="34"/>
  <c r="R682" i="4"/>
  <c r="R292" i="5"/>
  <c r="R683" i="7"/>
  <c r="R702" i="4"/>
  <c r="R983" i="7"/>
  <c r="R1598" i="6"/>
  <c r="R450" i="4"/>
  <c r="R238" i="8"/>
  <c r="R1242" i="6"/>
  <c r="R584" i="4"/>
  <c r="R294" i="5"/>
  <c r="R616" i="7"/>
  <c r="R819" i="7"/>
  <c r="R531" i="4"/>
  <c r="R1671" i="6"/>
  <c r="R815" i="7"/>
  <c r="W16" i="37"/>
  <c r="R352" i="5"/>
  <c r="R928" i="7"/>
  <c r="R1887" i="6"/>
  <c r="R1177" i="6"/>
  <c r="R527" i="4"/>
  <c r="R1857" i="6"/>
  <c r="R1109" i="7"/>
  <c r="R1813" i="6"/>
  <c r="R1851" i="6"/>
  <c r="R746" i="7"/>
  <c r="R289" i="5"/>
  <c r="R432" i="5"/>
  <c r="R280" i="8"/>
  <c r="R960" i="7"/>
  <c r="R408" i="5"/>
  <c r="R801" i="7"/>
  <c r="R1416" i="6"/>
  <c r="R802" i="7"/>
  <c r="R445" i="8"/>
  <c r="R893" i="7"/>
  <c r="Q856" i="6"/>
  <c r="R856" i="6" s="1"/>
  <c r="P18" i="16"/>
  <c r="R826" i="6"/>
  <c r="P18" i="17"/>
  <c r="BX121" i="9"/>
  <c r="W28" i="37"/>
  <c r="CW121" i="9"/>
  <c r="BX120" i="9"/>
  <c r="W27" i="37"/>
  <c r="CW120" i="9"/>
  <c r="P3" i="37"/>
  <c r="P93" i="37" s="1"/>
  <c r="M50" i="20"/>
  <c r="J129" i="22"/>
  <c r="J98" i="3" s="1"/>
  <c r="Q161" i="7"/>
  <c r="R600" i="7"/>
  <c r="R161" i="7" s="1"/>
  <c r="Q178" i="7"/>
  <c r="R626" i="7"/>
  <c r="R178" i="7" s="1"/>
  <c r="BV209" i="9"/>
  <c r="BV211" i="9" s="1"/>
  <c r="BW209" i="9"/>
  <c r="Q850" i="6"/>
  <c r="R850" i="6" s="1"/>
  <c r="Q1483" i="6"/>
  <c r="R1483" i="6" s="1"/>
  <c r="Q293" i="5"/>
  <c r="R293" i="5" s="1"/>
  <c r="Q845" i="6"/>
  <c r="R845" i="6" s="1"/>
  <c r="Q885" i="7"/>
  <c r="Q303" i="5"/>
  <c r="R303" i="5" s="1"/>
  <c r="Q1156" i="7"/>
  <c r="R1156" i="7" s="1"/>
  <c r="Q983" i="6"/>
  <c r="R983" i="6" s="1"/>
  <c r="V14" i="37"/>
  <c r="W14" i="37" s="1"/>
  <c r="Q455" i="4"/>
  <c r="R455" i="4" s="1"/>
  <c r="Q1436" i="6"/>
  <c r="R1436" i="6" s="1"/>
  <c r="Q803" i="4"/>
  <c r="R803" i="4" s="1"/>
  <c r="Q572" i="4"/>
  <c r="R572" i="4" s="1"/>
  <c r="Q982" i="6"/>
  <c r="R982" i="6" s="1"/>
  <c r="Q426" i="4"/>
  <c r="R426" i="4" s="1"/>
  <c r="Q374" i="5"/>
  <c r="R374" i="5" s="1"/>
  <c r="Q284" i="5"/>
  <c r="R284" i="5" s="1"/>
  <c r="Q854" i="6"/>
  <c r="R854" i="6" s="1"/>
  <c r="Q890" i="7"/>
  <c r="R890" i="7" s="1"/>
  <c r="Q1034" i="7"/>
  <c r="R1034" i="7" s="1"/>
  <c r="Q281" i="8"/>
  <c r="R281" i="8" s="1"/>
  <c r="Q853" i="6"/>
  <c r="R853" i="6" s="1"/>
  <c r="V60" i="37"/>
  <c r="W60" i="37" s="1"/>
  <c r="Q536" i="4"/>
  <c r="R536" i="4" s="1"/>
  <c r="Q825" i="7"/>
  <c r="R825" i="7" s="1"/>
  <c r="Q1346" i="6"/>
  <c r="R1346" i="6" s="1"/>
  <c r="Q1182" i="6"/>
  <c r="R1182" i="6" s="1"/>
  <c r="Q347" i="5"/>
  <c r="R347" i="5" s="1"/>
  <c r="Q372" i="5"/>
  <c r="R372" i="5" s="1"/>
  <c r="Q297" i="5"/>
  <c r="R297" i="5" s="1"/>
  <c r="Q1804" i="6"/>
  <c r="R1804" i="6" s="1"/>
  <c r="Q12" i="27"/>
  <c r="R12" i="27" s="1"/>
  <c r="Q345" i="5"/>
  <c r="R345" i="5" s="1"/>
  <c r="Q1811" i="6"/>
  <c r="R1811" i="6" s="1"/>
  <c r="Q208" i="8"/>
  <c r="R208" i="8" s="1"/>
  <c r="Q1793" i="6"/>
  <c r="R1793" i="6" s="1"/>
  <c r="Q563" i="4"/>
  <c r="R563" i="4" s="1"/>
  <c r="V55" i="37"/>
  <c r="W55" i="37" s="1"/>
  <c r="Q1133" i="7"/>
  <c r="R1133" i="7" s="1"/>
  <c r="Q1599" i="6"/>
  <c r="R1599" i="6" s="1"/>
  <c r="Q269" i="8"/>
  <c r="R269" i="8" s="1"/>
  <c r="Q229" i="5"/>
  <c r="R229" i="5" s="1"/>
  <c r="Q422" i="4"/>
  <c r="R422" i="4" s="1"/>
  <c r="Q905" i="7"/>
  <c r="R905" i="7" s="1"/>
  <c r="Q1176" i="6"/>
  <c r="R1176" i="6" s="1"/>
  <c r="Q889" i="7"/>
  <c r="R889" i="7" s="1"/>
  <c r="L293" i="3"/>
  <c r="Q1347" i="6"/>
  <c r="R1347" i="6" s="1"/>
  <c r="Q985" i="6"/>
  <c r="R985" i="6" s="1"/>
  <c r="O286" i="3"/>
  <c r="N296" i="3"/>
  <c r="Q679" i="4"/>
  <c r="R679" i="4" s="1"/>
  <c r="Q430" i="5"/>
  <c r="R430" i="5" s="1"/>
  <c r="Q984" i="6"/>
  <c r="R984" i="6" s="1"/>
  <c r="M292" i="3"/>
  <c r="M293" i="3" s="1"/>
  <c r="P67" i="1"/>
  <c r="N300" i="3"/>
  <c r="N299" i="3"/>
  <c r="Q1163" i="6"/>
  <c r="R1163" i="6" s="1"/>
  <c r="N726" i="34"/>
  <c r="M726" i="34"/>
  <c r="Q1710" i="6"/>
  <c r="R1710" i="6" s="1"/>
  <c r="P573" i="6"/>
  <c r="M75" i="13"/>
  <c r="N204" i="3"/>
  <c r="N75" i="13"/>
  <c r="O202" i="15" s="1"/>
  <c r="O147" i="15" s="1"/>
  <c r="O204" i="3"/>
  <c r="P1277" i="6"/>
  <c r="P404" i="6" s="1"/>
  <c r="O404" i="6"/>
  <c r="P320" i="6"/>
  <c r="N725" i="34"/>
  <c r="P124" i="5"/>
  <c r="Q349" i="5"/>
  <c r="R349" i="5" s="1"/>
  <c r="P126" i="5"/>
  <c r="P125" i="5"/>
  <c r="O76" i="4"/>
  <c r="Q423" i="4"/>
  <c r="R423" i="4" s="1"/>
  <c r="P75" i="4"/>
  <c r="P344" i="4"/>
  <c r="Q341" i="5"/>
  <c r="R341" i="5" s="1"/>
  <c r="O178" i="5"/>
  <c r="L9" i="58"/>
  <c r="M36" i="7"/>
  <c r="A47" i="15"/>
  <c r="C302" i="34" s="1"/>
  <c r="C536" i="34" s="1"/>
  <c r="S214" i="48"/>
  <c r="M28" i="5"/>
  <c r="N10" i="5"/>
  <c r="P96" i="5"/>
  <c r="B961" i="4"/>
  <c r="B49" i="4"/>
  <c r="A123" i="3" s="1"/>
  <c r="C976" i="4"/>
  <c r="H20" i="4"/>
  <c r="P93" i="48"/>
  <c r="F267" i="48"/>
  <c r="M20" i="58"/>
  <c r="Q1971" i="6"/>
  <c r="R1971" i="6" s="1"/>
  <c r="P78" i="4"/>
  <c r="Q517" i="8"/>
  <c r="R517" i="8" s="1"/>
  <c r="Q463" i="8"/>
  <c r="R463" i="8" s="1"/>
  <c r="Q490" i="8"/>
  <c r="R490" i="8" s="1"/>
  <c r="Q520" i="8"/>
  <c r="R520" i="8" s="1"/>
  <c r="Q511" i="8"/>
  <c r="R511" i="8" s="1"/>
  <c r="R130" i="8" s="1"/>
  <c r="Q531" i="8"/>
  <c r="R531" i="8" s="1"/>
  <c r="Q465" i="8"/>
  <c r="R465" i="8" s="1"/>
  <c r="Q527" i="8"/>
  <c r="R527" i="8" s="1"/>
  <c r="Q524" i="8"/>
  <c r="R524" i="8" s="1"/>
  <c r="Q481" i="8"/>
  <c r="R481" i="8" s="1"/>
  <c r="Q514" i="8"/>
  <c r="R514" i="8" s="1"/>
  <c r="Q508" i="8"/>
  <c r="R508" i="8" s="1"/>
  <c r="Q400" i="8"/>
  <c r="R400" i="8" s="1"/>
  <c r="BE12" i="42" s="1"/>
  <c r="Q467" i="8"/>
  <c r="R467" i="8" s="1"/>
  <c r="Q519" i="8"/>
  <c r="R519" i="8" s="1"/>
  <c r="Q507" i="8"/>
  <c r="R507" i="8" s="1"/>
  <c r="Q518" i="8"/>
  <c r="R518" i="8" s="1"/>
  <c r="Q473" i="8"/>
  <c r="R473" i="8" s="1"/>
  <c r="R125" i="8" s="1"/>
  <c r="Q487" i="8"/>
  <c r="R487" i="8" s="1"/>
  <c r="Q457" i="8"/>
  <c r="R457" i="8" s="1"/>
  <c r="R123" i="8" s="1"/>
  <c r="Q385" i="8"/>
  <c r="R385" i="8" s="1"/>
  <c r="Q486" i="8"/>
  <c r="R486" i="8" s="1"/>
  <c r="Q528" i="8"/>
  <c r="R528" i="8" s="1"/>
  <c r="Q532" i="8"/>
  <c r="R532" i="8" s="1"/>
  <c r="Q468" i="8"/>
  <c r="R468" i="8" s="1"/>
  <c r="Q470" i="8"/>
  <c r="R470" i="8" s="1"/>
  <c r="Q482" i="8"/>
  <c r="R482" i="8" s="1"/>
  <c r="Q397" i="8"/>
  <c r="R397" i="8" s="1"/>
  <c r="Q464" i="8"/>
  <c r="R464" i="8" s="1"/>
  <c r="Q377" i="8"/>
  <c r="R377" i="8" s="1"/>
  <c r="P20" i="27"/>
  <c r="Q846" i="6"/>
  <c r="R846" i="6" s="1"/>
  <c r="Q870" i="4"/>
  <c r="R870" i="4" s="1"/>
  <c r="Q577" i="4"/>
  <c r="R577" i="4" s="1"/>
  <c r="Q827" i="6"/>
  <c r="R827" i="6" s="1"/>
  <c r="Q813" i="4"/>
  <c r="R813" i="4" s="1"/>
  <c r="Q909" i="6"/>
  <c r="R909" i="6" s="1"/>
  <c r="Q466" i="8"/>
  <c r="R466" i="8" s="1"/>
  <c r="Q479" i="8"/>
  <c r="R479" i="8" s="1"/>
  <c r="Q469" i="8"/>
  <c r="R469" i="8" s="1"/>
  <c r="Q506" i="8"/>
  <c r="R506" i="8" s="1"/>
  <c r="M15" i="58"/>
  <c r="Q395" i="8"/>
  <c r="R395" i="8" s="1"/>
  <c r="Q504" i="8"/>
  <c r="R504" i="8" s="1"/>
  <c r="Q522" i="8"/>
  <c r="R522" i="8" s="1"/>
  <c r="Q521" i="8"/>
  <c r="R521" i="8" s="1"/>
  <c r="Q526" i="8"/>
  <c r="R526" i="8" s="1"/>
  <c r="Q483" i="8"/>
  <c r="R483" i="8" s="1"/>
  <c r="Q378" i="8"/>
  <c r="R378" i="8" s="1"/>
  <c r="Q376" i="8"/>
  <c r="R376" i="8" s="1"/>
  <c r="Q525" i="8"/>
  <c r="R525" i="8" s="1"/>
  <c r="Q387" i="8"/>
  <c r="R387" i="8" s="1"/>
  <c r="Q488" i="8"/>
  <c r="R488" i="8" s="1"/>
  <c r="Q516" i="8"/>
  <c r="R516" i="8" s="1"/>
  <c r="Q534" i="8"/>
  <c r="R534" i="8" s="1"/>
  <c r="Q533" i="8"/>
  <c r="R533" i="8" s="1"/>
  <c r="Q386" i="8"/>
  <c r="R386" i="8" s="1"/>
  <c r="Q480" i="8"/>
  <c r="R480" i="8" s="1"/>
  <c r="Q489" i="8"/>
  <c r="R489" i="8" s="1"/>
  <c r="Q485" i="8"/>
  <c r="R485" i="8" s="1"/>
  <c r="Q384" i="8"/>
  <c r="R384" i="8" s="1"/>
  <c r="Q505" i="8"/>
  <c r="R505" i="8" s="1"/>
  <c r="Q501" i="8"/>
  <c r="Q484" i="8"/>
  <c r="R484" i="8" s="1"/>
  <c r="Q515" i="8"/>
  <c r="R515" i="8" s="1"/>
  <c r="Q476" i="8"/>
  <c r="R476" i="8" s="1"/>
  <c r="Q523" i="8"/>
  <c r="R523" i="8" s="1"/>
  <c r="Q725" i="6"/>
  <c r="P239" i="8"/>
  <c r="Q239" i="8" s="1"/>
  <c r="R239" i="8" s="1"/>
  <c r="O56" i="8"/>
  <c r="H134" i="22"/>
  <c r="H137" i="22" s="1"/>
  <c r="J132" i="22"/>
  <c r="Q1345" i="6"/>
  <c r="R1345" i="6" s="1"/>
  <c r="Q1937" i="6"/>
  <c r="R1937" i="6" s="1"/>
  <c r="Q44" i="27"/>
  <c r="R44" i="27" s="1"/>
  <c r="Q38" i="27"/>
  <c r="R38" i="27" s="1"/>
  <c r="Q223" i="5"/>
  <c r="R223" i="5" s="1"/>
  <c r="Q236" i="8"/>
  <c r="R236" i="8" s="1"/>
  <c r="Q914" i="4"/>
  <c r="R914" i="4" s="1"/>
  <c r="Q947" i="7"/>
  <c r="R947" i="7" s="1"/>
  <c r="Q975" i="7"/>
  <c r="R975" i="7" s="1"/>
  <c r="Q1031" i="7"/>
  <c r="R1031" i="7" s="1"/>
  <c r="Q1112" i="7"/>
  <c r="R1112" i="7" s="1"/>
  <c r="Q350" i="5"/>
  <c r="R350" i="5" s="1"/>
  <c r="Q699" i="4"/>
  <c r="R699" i="4" s="1"/>
  <c r="Q955" i="7"/>
  <c r="R955" i="7" s="1"/>
  <c r="Q821" i="6"/>
  <c r="R821" i="6" s="1"/>
  <c r="Q759" i="4"/>
  <c r="R759" i="4" s="1"/>
  <c r="Q902" i="7"/>
  <c r="R902" i="7" s="1"/>
  <c r="Q974" i="6"/>
  <c r="R974" i="6" s="1"/>
  <c r="Q865" i="4"/>
  <c r="R865" i="4" s="1"/>
  <c r="Q460" i="4"/>
  <c r="R460" i="4" s="1"/>
  <c r="Q1413" i="6"/>
  <c r="R1413" i="6" s="1"/>
  <c r="Q1310" i="6"/>
  <c r="R1310" i="6" s="1"/>
  <c r="Q1117" i="6"/>
  <c r="R1117" i="6" s="1"/>
  <c r="Q1308" i="6"/>
  <c r="R1308" i="6" s="1"/>
  <c r="Q1545" i="6"/>
  <c r="R1545" i="6" s="1"/>
  <c r="Q1124" i="6"/>
  <c r="R1124" i="6" s="1"/>
  <c r="Q1549" i="6"/>
  <c r="R1549" i="6" s="1"/>
  <c r="Q1314" i="6"/>
  <c r="R1314" i="6" s="1"/>
  <c r="Q1544" i="6"/>
  <c r="R1544" i="6" s="1"/>
  <c r="Q1551" i="6"/>
  <c r="R1551" i="6" s="1"/>
  <c r="Q1311" i="6"/>
  <c r="R1311" i="6" s="1"/>
  <c r="Q1047" i="6"/>
  <c r="R1047" i="6" s="1"/>
  <c r="Q1539" i="6"/>
  <c r="R1539" i="6" s="1"/>
  <c r="Q1048" i="6"/>
  <c r="R1048" i="6" s="1"/>
  <c r="Q1552" i="6"/>
  <c r="R1552" i="6" s="1"/>
  <c r="Q1323" i="6"/>
  <c r="R1323" i="6" s="1"/>
  <c r="Q1404" i="6"/>
  <c r="R1404" i="6" s="1"/>
  <c r="Q1541" i="6"/>
  <c r="R1541" i="6" s="1"/>
  <c r="Q1538" i="6"/>
  <c r="R1538" i="6" s="1"/>
  <c r="Q1037" i="6"/>
  <c r="R1037" i="6" s="1"/>
  <c r="Q1039" i="6"/>
  <c r="R1039" i="6" s="1"/>
  <c r="Q1109" i="6"/>
  <c r="R1109" i="6" s="1"/>
  <c r="Q1399" i="6"/>
  <c r="R1399" i="6" s="1"/>
  <c r="Q1045" i="6"/>
  <c r="R1045" i="6" s="1"/>
  <c r="P261" i="6"/>
  <c r="Q1324" i="6"/>
  <c r="R1324" i="6" s="1"/>
  <c r="R429" i="6" s="1"/>
  <c r="Q1397" i="6"/>
  <c r="R1397" i="6" s="1"/>
  <c r="Q1313" i="6"/>
  <c r="R1313" i="6" s="1"/>
  <c r="Q1239" i="6"/>
  <c r="R1239" i="6" s="1"/>
  <c r="Q1343" i="6"/>
  <c r="R1343" i="6" s="1"/>
  <c r="Q855" i="6"/>
  <c r="R855" i="6" s="1"/>
  <c r="Q1303" i="6"/>
  <c r="R1303" i="6" s="1"/>
  <c r="Q1537" i="6"/>
  <c r="R1537" i="6" s="1"/>
  <c r="Q1115" i="6"/>
  <c r="R1115" i="6" s="1"/>
  <c r="Q1046" i="6"/>
  <c r="R1046" i="6" s="1"/>
  <c r="Q1041" i="6"/>
  <c r="R1041" i="6" s="1"/>
  <c r="Q1055" i="6"/>
  <c r="P263" i="6"/>
  <c r="P31" i="45"/>
  <c r="Q1053" i="6"/>
  <c r="R1053" i="6" s="1"/>
  <c r="Q1312" i="6"/>
  <c r="R1312" i="6" s="1"/>
  <c r="Q1322" i="6"/>
  <c r="R1322" i="6" s="1"/>
  <c r="P428" i="6"/>
  <c r="Q1114" i="6"/>
  <c r="R1114" i="6" s="1"/>
  <c r="Q1540" i="6"/>
  <c r="R1540" i="6" s="1"/>
  <c r="Q1319" i="6"/>
  <c r="P427" i="6"/>
  <c r="Q1111" i="6"/>
  <c r="R1111" i="6" s="1"/>
  <c r="P30" i="45"/>
  <c r="P322" i="6"/>
  <c r="Q1112" i="6"/>
  <c r="R1112" i="6" s="1"/>
  <c r="Q1058" i="6"/>
  <c r="R1058" i="6" s="1"/>
  <c r="Q395" i="4"/>
  <c r="Q1553" i="6"/>
  <c r="R1553" i="6" s="1"/>
  <c r="Q1315" i="6"/>
  <c r="R1315" i="6" s="1"/>
  <c r="Q1546" i="6"/>
  <c r="R1546" i="6" s="1"/>
  <c r="Q396" i="4"/>
  <c r="Q1543" i="6"/>
  <c r="R1543" i="6" s="1"/>
  <c r="Q1057" i="6"/>
  <c r="R1057" i="6" s="1"/>
  <c r="P264" i="6"/>
  <c r="P33" i="45"/>
  <c r="Q1325" i="6"/>
  <c r="R1325" i="6" s="1"/>
  <c r="R430" i="6" s="1"/>
  <c r="Q1424" i="6"/>
  <c r="R1424" i="6" s="1"/>
  <c r="Q1403" i="6"/>
  <c r="R1403" i="6" s="1"/>
  <c r="Q393" i="4"/>
  <c r="Q1555" i="6"/>
  <c r="R1555" i="6" s="1"/>
  <c r="Q1052" i="6"/>
  <c r="R1052" i="6" s="1"/>
  <c r="Q1326" i="6"/>
  <c r="Q1400" i="6"/>
  <c r="R1400" i="6" s="1"/>
  <c r="Q1118" i="6"/>
  <c r="R1118" i="6" s="1"/>
  <c r="Q430" i="4"/>
  <c r="R430" i="4" s="1"/>
  <c r="Q1123" i="6"/>
  <c r="R1123" i="6" s="1"/>
  <c r="P325" i="6"/>
  <c r="Q431" i="4"/>
  <c r="R431" i="4" s="1"/>
  <c r="Q1059" i="6"/>
  <c r="R1059" i="6" s="1"/>
  <c r="Q1536" i="6"/>
  <c r="R1536" i="6" s="1"/>
  <c r="Q1556" i="6"/>
  <c r="R1556" i="6" s="1"/>
  <c r="Q1396" i="6"/>
  <c r="R1396" i="6" s="1"/>
  <c r="P439" i="6"/>
  <c r="Q1043" i="6"/>
  <c r="R1043" i="6" s="1"/>
  <c r="Q1108" i="6"/>
  <c r="R1108" i="6" s="1"/>
  <c r="Q1309" i="6"/>
  <c r="R1309" i="6" s="1"/>
  <c r="Q1107" i="6"/>
  <c r="R1107" i="6" s="1"/>
  <c r="Q428" i="4"/>
  <c r="R428" i="4" s="1"/>
  <c r="Q1535" i="6"/>
  <c r="R1535" i="6" s="1"/>
  <c r="Q1042" i="6"/>
  <c r="R1042" i="6" s="1"/>
  <c r="Q1548" i="6"/>
  <c r="R1548" i="6" s="1"/>
  <c r="Q1038" i="6"/>
  <c r="R1038" i="6" s="1"/>
  <c r="Q1304" i="6"/>
  <c r="R1304" i="6" s="1"/>
  <c r="Q1542" i="6"/>
  <c r="R1542" i="6" s="1"/>
  <c r="Q806" i="7"/>
  <c r="R806" i="7" s="1"/>
  <c r="Q847" i="6"/>
  <c r="R847" i="6" s="1"/>
  <c r="Q425" i="5"/>
  <c r="R425" i="5" s="1"/>
  <c r="Q612" i="7"/>
  <c r="R612" i="7" s="1"/>
  <c r="Q1878" i="6"/>
  <c r="R1878" i="6" s="1"/>
  <c r="Q967" i="7"/>
  <c r="R967" i="7" s="1"/>
  <c r="Q1807" i="6"/>
  <c r="R1807" i="6" s="1"/>
  <c r="Q813" i="7"/>
  <c r="R813" i="7" s="1"/>
  <c r="Q250" i="5"/>
  <c r="R250" i="5" s="1"/>
  <c r="Q511" i="7"/>
  <c r="R511" i="7" s="1"/>
  <c r="Q1305" i="6"/>
  <c r="R1305" i="6" s="1"/>
  <c r="Q1405" i="6"/>
  <c r="R1405" i="6" s="1"/>
  <c r="Q1105" i="6"/>
  <c r="R1105" i="6" s="1"/>
  <c r="Q1307" i="6"/>
  <c r="R1307" i="6" s="1"/>
  <c r="Q1302" i="6"/>
  <c r="R1302" i="6" s="1"/>
  <c r="Q1106" i="6"/>
  <c r="R1106" i="6" s="1"/>
  <c r="Q1402" i="6"/>
  <c r="R1402" i="6" s="1"/>
  <c r="Q1316" i="6"/>
  <c r="R1316" i="6" s="1"/>
  <c r="Q1534" i="6"/>
  <c r="R1534" i="6" s="1"/>
  <c r="Q427" i="4"/>
  <c r="R427" i="4" s="1"/>
  <c r="Q1116" i="6"/>
  <c r="R1116" i="6" s="1"/>
  <c r="Q462" i="4"/>
  <c r="R462" i="4" s="1"/>
  <c r="Q1532" i="6"/>
  <c r="R1532" i="6" s="1"/>
  <c r="P1558" i="6"/>
  <c r="P445" i="6"/>
  <c r="Q1547" i="6"/>
  <c r="R1547" i="6" s="1"/>
  <c r="Q1306" i="6"/>
  <c r="R1306" i="6" s="1"/>
  <c r="Q1040" i="6"/>
  <c r="R1040" i="6" s="1"/>
  <c r="Q1533" i="6"/>
  <c r="R1533" i="6" s="1"/>
  <c r="Q1554" i="6"/>
  <c r="R1554" i="6" s="1"/>
  <c r="Q1398" i="6"/>
  <c r="R1398" i="6" s="1"/>
  <c r="Q1550" i="6"/>
  <c r="R1550" i="6" s="1"/>
  <c r="Q1113" i="6"/>
  <c r="R1113" i="6" s="1"/>
  <c r="Q432" i="4"/>
  <c r="R432" i="4" s="1"/>
  <c r="P543" i="6"/>
  <c r="P187" i="4"/>
  <c r="P331" i="4"/>
  <c r="Q497" i="7"/>
  <c r="Q750" i="4"/>
  <c r="P228" i="4"/>
  <c r="Q1932" i="6"/>
  <c r="R1932" i="6" s="1"/>
  <c r="Q681" i="7"/>
  <c r="R681" i="7" s="1"/>
  <c r="Q850" i="7"/>
  <c r="R850" i="7" s="1"/>
  <c r="Q1145" i="7"/>
  <c r="R1145" i="7" s="1"/>
  <c r="Q342" i="5"/>
  <c r="R342" i="5" s="1"/>
  <c r="P126" i="1"/>
  <c r="Q126" i="1" s="1"/>
  <c r="Q1985" i="6"/>
  <c r="R1985" i="6" s="1"/>
  <c r="Q549" i="7"/>
  <c r="R549" i="7" s="1"/>
  <c r="Q1809" i="6"/>
  <c r="R1809" i="6" s="1"/>
  <c r="Q566" i="4"/>
  <c r="R566" i="4" s="1"/>
  <c r="Q863" i="4"/>
  <c r="R863" i="4" s="1"/>
  <c r="Q1921" i="6"/>
  <c r="R1921" i="6" s="1"/>
  <c r="Q1669" i="6"/>
  <c r="R1669" i="6" s="1"/>
  <c r="Q617" i="7"/>
  <c r="R617" i="7" s="1"/>
  <c r="Q683" i="4"/>
  <c r="R683" i="4" s="1"/>
  <c r="Q1333" i="6"/>
  <c r="R1333" i="6" s="1"/>
  <c r="Q1141" i="7"/>
  <c r="R1141" i="7" s="1"/>
  <c r="Q849" i="6"/>
  <c r="R849" i="6" s="1"/>
  <c r="Q1110" i="7"/>
  <c r="R1110" i="7" s="1"/>
  <c r="Q1417" i="6"/>
  <c r="R1417" i="6" s="1"/>
  <c r="Q570" i="7"/>
  <c r="R570" i="7" s="1"/>
  <c r="Q895" i="7"/>
  <c r="R895" i="7" s="1"/>
  <c r="Q1299" i="6"/>
  <c r="R1299" i="6" s="1"/>
  <c r="Q1151" i="7"/>
  <c r="R1151" i="7" s="1"/>
  <c r="Q514" i="4"/>
  <c r="R514" i="4" s="1"/>
  <c r="Q1670" i="6"/>
  <c r="R1670" i="6" s="1"/>
  <c r="Q1421" i="6"/>
  <c r="R1421" i="6" s="1"/>
  <c r="Q1616" i="6"/>
  <c r="R1616" i="6" s="1"/>
  <c r="Q675" i="4"/>
  <c r="R675" i="4" s="1"/>
  <c r="Q786" i="7"/>
  <c r="Q1653" i="6"/>
  <c r="R1653" i="6" s="1"/>
  <c r="Q1146" i="7"/>
  <c r="R1146" i="7" s="1"/>
  <c r="M412" i="34"/>
  <c r="N412" i="34" s="1"/>
  <c r="O412" i="34" s="1"/>
  <c r="P412" i="34" s="1"/>
  <c r="M439" i="34"/>
  <c r="N439" i="34" s="1"/>
  <c r="O439" i="34" s="1"/>
  <c r="P439" i="34" s="1"/>
  <c r="Q613" i="7"/>
  <c r="R613" i="7" s="1"/>
  <c r="Q915" i="6"/>
  <c r="R915" i="6" s="1"/>
  <c r="Q442" i="5"/>
  <c r="R442" i="5" s="1"/>
  <c r="Q928" i="6"/>
  <c r="R928" i="6" s="1"/>
  <c r="Q573" i="4"/>
  <c r="R573" i="4" s="1"/>
  <c r="Q809" i="4"/>
  <c r="R809" i="4" s="1"/>
  <c r="Q818" i="4"/>
  <c r="R818" i="4" s="1"/>
  <c r="Q1988" i="6"/>
  <c r="R1988" i="6" s="1"/>
  <c r="Q217" i="8"/>
  <c r="R217" i="8" s="1"/>
  <c r="Q1858" i="6"/>
  <c r="R1858" i="6" s="1"/>
  <c r="Q887" i="4"/>
  <c r="R887" i="4" s="1"/>
  <c r="Q454" i="4"/>
  <c r="R454" i="4" s="1"/>
  <c r="Q579" i="4"/>
  <c r="R579" i="4" s="1"/>
  <c r="Q1033" i="7"/>
  <c r="R1033" i="7" s="1"/>
  <c r="Q1041" i="7"/>
  <c r="R1041" i="7" s="1"/>
  <c r="Q933" i="7"/>
  <c r="R933" i="7" s="1"/>
  <c r="Q824" i="4"/>
  <c r="R824" i="4" s="1"/>
  <c r="Q841" i="6"/>
  <c r="R841" i="6" s="1"/>
  <c r="Q387" i="4"/>
  <c r="R387" i="4" s="1"/>
  <c r="Q371" i="5"/>
  <c r="R371" i="5" s="1"/>
  <c r="Q1786" i="6"/>
  <c r="R1786" i="6" s="1"/>
  <c r="Q538" i="4"/>
  <c r="R538" i="4" s="1"/>
  <c r="Q1713" i="6"/>
  <c r="R1713" i="6" s="1"/>
  <c r="Q191" i="8"/>
  <c r="R191" i="8" s="1"/>
  <c r="Q189" i="8"/>
  <c r="R189" i="8" s="1"/>
  <c r="Q328" i="8"/>
  <c r="R328" i="8" s="1"/>
  <c r="O26" i="12"/>
  <c r="P26" i="12" s="1"/>
  <c r="V22" i="37"/>
  <c r="W22" i="37" s="1"/>
  <c r="Q374" i="8"/>
  <c r="R374" i="8" s="1"/>
  <c r="Q1159" i="6"/>
  <c r="R1159" i="6" s="1"/>
  <c r="Q1822" i="6"/>
  <c r="R1822" i="6" s="1"/>
  <c r="P130" i="8"/>
  <c r="Q556" i="4"/>
  <c r="R556" i="4" s="1"/>
  <c r="Q585" i="4"/>
  <c r="R585" i="4" s="1"/>
  <c r="Q558" i="4"/>
  <c r="R558" i="4" s="1"/>
  <c r="Q375" i="8"/>
  <c r="R375" i="8" s="1"/>
  <c r="O643" i="34"/>
  <c r="P643" i="34" s="1"/>
  <c r="Q1923" i="6"/>
  <c r="R1923" i="6" s="1"/>
  <c r="Q725" i="7"/>
  <c r="R725" i="7" s="1"/>
  <c r="Q304" i="8"/>
  <c r="R304" i="8" s="1"/>
  <c r="Q1797" i="6"/>
  <c r="R1797" i="6" s="1"/>
  <c r="Q1136" i="7"/>
  <c r="R1136" i="7" s="1"/>
  <c r="Q1744" i="6"/>
  <c r="P595" i="6"/>
  <c r="Q494" i="4"/>
  <c r="R494" i="4" s="1"/>
  <c r="P108" i="4"/>
  <c r="Q327" i="8"/>
  <c r="Q688" i="7"/>
  <c r="R688" i="7" s="1"/>
  <c r="Q251" i="8"/>
  <c r="R251" i="8" s="1"/>
  <c r="Q249" i="8"/>
  <c r="R249" i="8" s="1"/>
  <c r="O70" i="34"/>
  <c r="P70" i="34" s="1"/>
  <c r="O58" i="34"/>
  <c r="P58" i="34" s="1"/>
  <c r="Q641" i="4"/>
  <c r="R641" i="4" s="1"/>
  <c r="Q627" i="4"/>
  <c r="R627" i="4" s="1"/>
  <c r="Q752" i="7"/>
  <c r="P91" i="7"/>
  <c r="Q501" i="7"/>
  <c r="Q430" i="8"/>
  <c r="R430" i="8" s="1"/>
  <c r="Q314" i="8"/>
  <c r="R314" i="8" s="1"/>
  <c r="Q270" i="8"/>
  <c r="R270" i="8" s="1"/>
  <c r="Q34" i="27"/>
  <c r="R34" i="27" s="1"/>
  <c r="Q211" i="8"/>
  <c r="R211" i="8" s="1"/>
  <c r="Q40" i="27"/>
  <c r="R40" i="27" s="1"/>
  <c r="Q449" i="8"/>
  <c r="R449" i="8" s="1"/>
  <c r="O105" i="34"/>
  <c r="P105" i="34" s="1"/>
  <c r="Q41" i="27"/>
  <c r="R41" i="27" s="1"/>
  <c r="Q25" i="27"/>
  <c r="R25" i="27" s="1"/>
  <c r="Q282" i="8"/>
  <c r="R282" i="8" s="1"/>
  <c r="O90" i="34"/>
  <c r="P90" i="34" s="1"/>
  <c r="Q30" i="27"/>
  <c r="R30" i="27" s="1"/>
  <c r="Q660" i="7"/>
  <c r="R660" i="7" s="1"/>
  <c r="N745" i="34"/>
  <c r="Q1298" i="6"/>
  <c r="R1298" i="6" s="1"/>
  <c r="Q429" i="5"/>
  <c r="R429" i="5" s="1"/>
  <c r="Q1165" i="6"/>
  <c r="Q279" i="8"/>
  <c r="R279" i="8" s="1"/>
  <c r="Q225" i="5"/>
  <c r="R225" i="5" s="1"/>
  <c r="Q300" i="5"/>
  <c r="R300" i="5" s="1"/>
  <c r="Q713" i="4"/>
  <c r="R713" i="4" s="1"/>
  <c r="Q1348" i="6"/>
  <c r="R1348" i="6" s="1"/>
  <c r="Q1140" i="7"/>
  <c r="R1140" i="7" s="1"/>
  <c r="Q249" i="5"/>
  <c r="R249" i="5" s="1"/>
  <c r="P125" i="1"/>
  <c r="Q125" i="1" s="1"/>
  <c r="Q228" i="5"/>
  <c r="R228" i="5" s="1"/>
  <c r="Q694" i="4"/>
  <c r="R694" i="4" s="1"/>
  <c r="Q1794" i="6"/>
  <c r="R1794" i="6" s="1"/>
  <c r="Q1443" i="6"/>
  <c r="R1443" i="6" s="1"/>
  <c r="Q1806" i="6"/>
  <c r="R1806" i="6" s="1"/>
  <c r="Q1166" i="6"/>
  <c r="Q448" i="4"/>
  <c r="R448" i="4" s="1"/>
  <c r="Q977" i="7"/>
  <c r="R977" i="7" s="1"/>
  <c r="Q438" i="5"/>
  <c r="R438" i="5" s="1"/>
  <c r="O72" i="34"/>
  <c r="P72" i="34" s="1"/>
  <c r="Q878" i="7"/>
  <c r="Q814" i="7"/>
  <c r="R814" i="7" s="1"/>
  <c r="Q966" i="7"/>
  <c r="R966" i="7" s="1"/>
  <c r="Q519" i="7"/>
  <c r="R519" i="7" s="1"/>
  <c r="Q816" i="7"/>
  <c r="R816" i="7" s="1"/>
  <c r="Q28" i="27"/>
  <c r="R28" i="27" s="1"/>
  <c r="Q438" i="4"/>
  <c r="Q221" i="5"/>
  <c r="R221" i="5" s="1"/>
  <c r="Q2003" i="6"/>
  <c r="R2003" i="6" s="1"/>
  <c r="Q1677" i="6"/>
  <c r="R1677" i="6" s="1"/>
  <c r="Q351" i="5"/>
  <c r="R351" i="5" s="1"/>
  <c r="Q759" i="6"/>
  <c r="R759" i="6" s="1"/>
  <c r="Q976" i="6"/>
  <c r="R976" i="6" s="1"/>
  <c r="Q655" i="7"/>
  <c r="R655" i="7" s="1"/>
  <c r="Q499" i="4"/>
  <c r="R499" i="4" s="1"/>
  <c r="Q948" i="7"/>
  <c r="R948" i="7" s="1"/>
  <c r="Q1029" i="7"/>
  <c r="R1029" i="7" s="1"/>
  <c r="Q449" i="4"/>
  <c r="R449" i="4" s="1"/>
  <c r="Q742" i="7"/>
  <c r="R742" i="7" s="1"/>
  <c r="Q981" i="7"/>
  <c r="R981" i="7" s="1"/>
  <c r="Q571" i="4"/>
  <c r="R571" i="4" s="1"/>
  <c r="Q509" i="4"/>
  <c r="R509" i="4" s="1"/>
  <c r="Q843" i="6"/>
  <c r="R843" i="6" s="1"/>
  <c r="Q411" i="5"/>
  <c r="Q876" i="4"/>
  <c r="R876" i="4" s="1"/>
  <c r="Q1280" i="6"/>
  <c r="R1280" i="6" s="1"/>
  <c r="Q1185" i="6"/>
  <c r="R1185" i="6" s="1"/>
  <c r="Q493" i="4"/>
  <c r="R493" i="4" s="1"/>
  <c r="Q676" i="4"/>
  <c r="R676" i="4" s="1"/>
  <c r="Q892" i="6"/>
  <c r="R892" i="6" s="1"/>
  <c r="Q1889" i="6"/>
  <c r="R1889" i="6" s="1"/>
  <c r="O24" i="12"/>
  <c r="Q1153" i="7"/>
  <c r="R1153" i="7" s="1"/>
  <c r="Q1050" i="6"/>
  <c r="P765" i="7"/>
  <c r="P274" i="7" s="1"/>
  <c r="AE53" i="10"/>
  <c r="AD29" i="11" s="1"/>
  <c r="AE29" i="11" s="1"/>
  <c r="AF29" i="11" s="1"/>
  <c r="Q553" i="4"/>
  <c r="R553" i="4" s="1"/>
  <c r="Q272" i="8"/>
  <c r="R272" i="8" s="1"/>
  <c r="Q379" i="5"/>
  <c r="Q240" i="8"/>
  <c r="R240" i="8" s="1"/>
  <c r="O22" i="12"/>
  <c r="P22" i="12" s="1"/>
  <c r="Q250" i="8"/>
  <c r="R250" i="8" s="1"/>
  <c r="Q436" i="8"/>
  <c r="R436" i="8" s="1"/>
  <c r="Q1249" i="6"/>
  <c r="R1249" i="6" s="1"/>
  <c r="Q273" i="8"/>
  <c r="R273" i="8" s="1"/>
  <c r="Q207" i="8"/>
  <c r="R207" i="8" s="1"/>
  <c r="Q385" i="4"/>
  <c r="R385" i="4" s="1"/>
  <c r="Q710" i="4"/>
  <c r="R710" i="4" s="1"/>
  <c r="Q1387" i="6"/>
  <c r="R1387" i="6" s="1"/>
  <c r="Q333" i="8"/>
  <c r="R333" i="8" s="1"/>
  <c r="O631" i="34"/>
  <c r="P631" i="34" s="1"/>
  <c r="Q1388" i="6"/>
  <c r="R1388" i="6" s="1"/>
  <c r="Q965" i="7"/>
  <c r="R965" i="7" s="1"/>
  <c r="Q491" i="4"/>
  <c r="R491" i="4" s="1"/>
  <c r="Q1131" i="7"/>
  <c r="R1131" i="7" s="1"/>
  <c r="P90" i="7"/>
  <c r="Q500" i="7"/>
  <c r="Q1283" i="6"/>
  <c r="R1283" i="6" s="1"/>
  <c r="Q275" i="8"/>
  <c r="R275" i="8" s="1"/>
  <c r="Q551" i="4"/>
  <c r="R551" i="4" s="1"/>
  <c r="Q190" i="8"/>
  <c r="R190" i="8" s="1"/>
  <c r="O23" i="12"/>
  <c r="P23" i="12" s="1"/>
  <c r="O705" i="34"/>
  <c r="P705" i="34" s="1"/>
  <c r="O64" i="34"/>
  <c r="P64" i="34" s="1"/>
  <c r="Q248" i="8"/>
  <c r="R248" i="8" s="1"/>
  <c r="Q1881" i="6"/>
  <c r="R1881" i="6" s="1"/>
  <c r="Q757" i="6"/>
  <c r="R757" i="6" s="1"/>
  <c r="Q716" i="4"/>
  <c r="R716" i="4" s="1"/>
  <c r="Q384" i="4"/>
  <c r="R384" i="4" s="1"/>
  <c r="Q283" i="8"/>
  <c r="R283" i="8" s="1"/>
  <c r="Q244" i="8"/>
  <c r="R244" i="8" s="1"/>
  <c r="O742" i="34"/>
  <c r="Q209" i="8"/>
  <c r="R209" i="8" s="1"/>
  <c r="O99" i="34"/>
  <c r="P99" i="34" s="1"/>
  <c r="Q879" i="7"/>
  <c r="R879" i="7" s="1"/>
  <c r="Q16" i="27"/>
  <c r="R16" i="27" s="1"/>
  <c r="Q45" i="27"/>
  <c r="R45" i="27" s="1"/>
  <c r="O107" i="34"/>
  <c r="P107" i="34" s="1"/>
  <c r="O113" i="34"/>
  <c r="P113" i="34" s="1"/>
  <c r="O97" i="34"/>
  <c r="P97" i="34" s="1"/>
  <c r="Q285" i="8"/>
  <c r="R285" i="8" s="1"/>
  <c r="O56" i="34"/>
  <c r="P56" i="34" s="1"/>
  <c r="Q59" i="27"/>
  <c r="R59" i="27" s="1"/>
  <c r="Q842" i="7"/>
  <c r="R842" i="7" s="1"/>
  <c r="Q891" i="6"/>
  <c r="R891" i="6" s="1"/>
  <c r="Q678" i="7"/>
  <c r="R678" i="7" s="1"/>
  <c r="Q623" i="4"/>
  <c r="R623" i="4" s="1"/>
  <c r="Q796" i="7"/>
  <c r="R796" i="7" s="1"/>
  <c r="Q923" i="6"/>
  <c r="R923" i="6" s="1"/>
  <c r="Q827" i="4"/>
  <c r="R827" i="4" s="1"/>
  <c r="Q415" i="8"/>
  <c r="Q1732" i="6"/>
  <c r="P132" i="8"/>
  <c r="Q625" i="4"/>
  <c r="AC217" i="10"/>
  <c r="Q1785" i="6"/>
  <c r="R1785" i="6" s="1"/>
  <c r="Q1590" i="6"/>
  <c r="R1590" i="6" s="1"/>
  <c r="Q552" i="4"/>
  <c r="R552" i="4" s="1"/>
  <c r="Q448" i="8"/>
  <c r="R448" i="8" s="1"/>
  <c r="Q392" i="8"/>
  <c r="R392" i="8" s="1"/>
  <c r="Q709" i="4"/>
  <c r="R709" i="4" s="1"/>
  <c r="Q913" i="4"/>
  <c r="R913" i="4" s="1"/>
  <c r="Q550" i="4"/>
  <c r="R550" i="4" s="1"/>
  <c r="Q1796" i="6"/>
  <c r="R1796" i="6" s="1"/>
  <c r="Q659" i="7"/>
  <c r="R659" i="7" s="1"/>
  <c r="Q440" i="8"/>
  <c r="R440" i="8" s="1"/>
  <c r="Q446" i="8"/>
  <c r="R446" i="8" s="1"/>
  <c r="O50" i="34"/>
  <c r="P50" i="34" s="1"/>
  <c r="Q301" i="8"/>
  <c r="R301" i="8" s="1"/>
  <c r="Q826" i="6"/>
  <c r="Q378" i="5"/>
  <c r="R378" i="5" s="1"/>
  <c r="P141" i="5"/>
  <c r="N226" i="3"/>
  <c r="Q561" i="7"/>
  <c r="R561" i="7" s="1"/>
  <c r="Q562" i="7"/>
  <c r="R562" i="7" s="1"/>
  <c r="Q17" i="27"/>
  <c r="R17" i="27" s="1"/>
  <c r="Q187" i="8"/>
  <c r="R187" i="8" s="1"/>
  <c r="O649" i="34"/>
  <c r="P649" i="34" s="1"/>
  <c r="O111" i="34"/>
  <c r="P111" i="34" s="1"/>
  <c r="Q302" i="8"/>
  <c r="R302" i="8" s="1"/>
  <c r="Q461" i="4"/>
  <c r="R461" i="4" s="1"/>
  <c r="Q1519" i="6"/>
  <c r="R1519" i="6" s="1"/>
  <c r="Q557" i="4"/>
  <c r="R557" i="4" s="1"/>
  <c r="Q554" i="4"/>
  <c r="R554" i="4" s="1"/>
  <c r="Q334" i="8"/>
  <c r="R334" i="8" s="1"/>
  <c r="Q453" i="8"/>
  <c r="R453" i="8" s="1"/>
  <c r="Q32" i="27"/>
  <c r="R32" i="27" s="1"/>
  <c r="O79" i="34"/>
  <c r="P79" i="34" s="1"/>
  <c r="O55" i="34"/>
  <c r="P55" i="34" s="1"/>
  <c r="Q26" i="27"/>
  <c r="R26" i="27" s="1"/>
  <c r="Q331" i="8"/>
  <c r="R331" i="8" s="1"/>
  <c r="V57" i="37"/>
  <c r="Q434" i="8"/>
  <c r="R434" i="8" s="1"/>
  <c r="Q431" i="8"/>
  <c r="R431" i="8" s="1"/>
  <c r="O120" i="34"/>
  <c r="P120" i="34" s="1"/>
  <c r="O29" i="34"/>
  <c r="P29" i="34" s="1"/>
  <c r="P152" i="34" s="1"/>
  <c r="Q257" i="8"/>
  <c r="Q396" i="8"/>
  <c r="R396" i="8" s="1"/>
  <c r="Q687" i="7"/>
  <c r="R687" i="7" s="1"/>
  <c r="O661" i="34"/>
  <c r="O662" i="34" s="1"/>
  <c r="Q496" i="4"/>
  <c r="R496" i="4" s="1"/>
  <c r="Q740" i="7"/>
  <c r="R740" i="7" s="1"/>
  <c r="Q274" i="8"/>
  <c r="R274" i="8" s="1"/>
  <c r="Q388" i="4"/>
  <c r="R388" i="4" s="1"/>
  <c r="Q456" i="4"/>
  <c r="R456" i="4" s="1"/>
  <c r="Q303" i="8"/>
  <c r="R303" i="8" s="1"/>
  <c r="Q432" i="8"/>
  <c r="R432" i="8" s="1"/>
  <c r="Q1097" i="6"/>
  <c r="R1097" i="6" s="1"/>
  <c r="Q297" i="8"/>
  <c r="R297" i="8" s="1"/>
  <c r="Q29" i="27"/>
  <c r="R29" i="27" s="1"/>
  <c r="Q212" i="8"/>
  <c r="R212" i="8" s="1"/>
  <c r="Q438" i="8"/>
  <c r="R438" i="8" s="1"/>
  <c r="Q695" i="4"/>
  <c r="R695" i="4" s="1"/>
  <c r="Q548" i="4"/>
  <c r="R548" i="4" s="1"/>
  <c r="P118" i="4"/>
  <c r="Q555" i="4"/>
  <c r="R555" i="4" s="1"/>
  <c r="Q408" i="8"/>
  <c r="R408" i="8" s="1"/>
  <c r="Q549" i="4"/>
  <c r="R549" i="4" s="1"/>
  <c r="Q308" i="8"/>
  <c r="R308" i="8" s="1"/>
  <c r="Q329" i="8"/>
  <c r="R329" i="8" s="1"/>
  <c r="Q441" i="8"/>
  <c r="R441" i="8" s="1"/>
  <c r="O20" i="12"/>
  <c r="P20" i="12" s="1"/>
  <c r="O66" i="34"/>
  <c r="P66" i="34" s="1"/>
  <c r="Q751" i="7"/>
  <c r="R751" i="7" s="1"/>
  <c r="Q309" i="8"/>
  <c r="R309" i="8" s="1"/>
  <c r="Q386" i="4"/>
  <c r="R386" i="4" s="1"/>
  <c r="Q1095" i="6"/>
  <c r="P313" i="6"/>
  <c r="Q307" i="8"/>
  <c r="R307" i="8" s="1"/>
  <c r="O156" i="4"/>
  <c r="Q447" i="8"/>
  <c r="R447" i="8" s="1"/>
  <c r="Q296" i="8"/>
  <c r="R296" i="8" s="1"/>
  <c r="Q330" i="8"/>
  <c r="R330" i="8" s="1"/>
  <c r="Q439" i="8"/>
  <c r="R439" i="8" s="1"/>
  <c r="Q43" i="27"/>
  <c r="R43" i="27" s="1"/>
  <c r="O91" i="34"/>
  <c r="P91" i="34" s="1"/>
  <c r="Q1824" i="6"/>
  <c r="R1824" i="6" s="1"/>
  <c r="Q241" i="8"/>
  <c r="R241" i="8" s="1"/>
  <c r="Q872" i="4"/>
  <c r="R872" i="4" s="1"/>
  <c r="Q437" i="8"/>
  <c r="R437" i="8" s="1"/>
  <c r="V15" i="37"/>
  <c r="W15" i="37" s="1"/>
  <c r="Q33" i="27"/>
  <c r="R33" i="27" s="1"/>
  <c r="O21" i="12"/>
  <c r="P21" i="12" s="1"/>
  <c r="Q337" i="8"/>
  <c r="O96" i="34"/>
  <c r="P96" i="34" s="1"/>
  <c r="Q235" i="8"/>
  <c r="R235" i="8" s="1"/>
  <c r="Q326" i="8"/>
  <c r="R326" i="8" s="1"/>
  <c r="Q315" i="8"/>
  <c r="R315" i="8" s="1"/>
  <c r="O38" i="34"/>
  <c r="P38" i="34" s="1"/>
  <c r="Q8" i="27"/>
  <c r="R8" i="27" s="1"/>
  <c r="O48" i="34"/>
  <c r="P48" i="34" s="1"/>
  <c r="O49" i="34"/>
  <c r="P49" i="34" s="1"/>
  <c r="Q13" i="27"/>
  <c r="R13" i="27" s="1"/>
  <c r="V17" i="37"/>
  <c r="W17" i="37" s="1"/>
  <c r="Q42" i="27"/>
  <c r="R42" i="27" s="1"/>
  <c r="Q243" i="8"/>
  <c r="R243" i="8" s="1"/>
  <c r="J699" i="34"/>
  <c r="J700" i="34" s="1"/>
  <c r="J206" i="34" s="1"/>
  <c r="J207" i="34" s="1"/>
  <c r="L462" i="6"/>
  <c r="O877" i="6"/>
  <c r="M215" i="9"/>
  <c r="L1183" i="7"/>
  <c r="L466" i="7" s="1"/>
  <c r="E250" i="42"/>
  <c r="AY81" i="9"/>
  <c r="P1279" i="6"/>
  <c r="P405" i="6" s="1"/>
  <c r="N857" i="7"/>
  <c r="N859" i="7" s="1"/>
  <c r="N868" i="7" s="1"/>
  <c r="L324" i="7"/>
  <c r="L335" i="7" s="1"/>
  <c r="P1113" i="7"/>
  <c r="N735" i="34" s="1"/>
  <c r="M735" i="34"/>
  <c r="O291" i="7"/>
  <c r="O295" i="7" s="1"/>
  <c r="O12" i="7" s="1"/>
  <c r="M776" i="34"/>
  <c r="P669" i="6"/>
  <c r="P1282" i="6"/>
  <c r="P407" i="6" s="1"/>
  <c r="N1002" i="6"/>
  <c r="N1005" i="6" s="1"/>
  <c r="N1014" i="6" s="1"/>
  <c r="P1589" i="6"/>
  <c r="P485" i="6" s="1"/>
  <c r="P667" i="6"/>
  <c r="P497" i="6"/>
  <c r="M768" i="34"/>
  <c r="O409" i="6"/>
  <c r="V53" i="11"/>
  <c r="W53" i="11" s="1"/>
  <c r="P126" i="8"/>
  <c r="Q216" i="8"/>
  <c r="R216" i="8" s="1"/>
  <c r="M741" i="34"/>
  <c r="M743" i="34" s="1"/>
  <c r="Q322" i="8"/>
  <c r="P121" i="8"/>
  <c r="O31" i="17"/>
  <c r="BD49" i="42"/>
  <c r="BD41" i="42"/>
  <c r="O106" i="15" s="1"/>
  <c r="O336" i="34" s="1"/>
  <c r="O569" i="34" s="1"/>
  <c r="P325" i="8"/>
  <c r="Q325" i="8" s="1"/>
  <c r="R325" i="8" s="1"/>
  <c r="D385" i="34"/>
  <c r="D189" i="34" s="1"/>
  <c r="M443" i="34"/>
  <c r="M444" i="34" s="1"/>
  <c r="AO41" i="42"/>
  <c r="N75" i="15" s="1"/>
  <c r="N322" i="34" s="1"/>
  <c r="N379" i="34" s="1"/>
  <c r="N497" i="34" s="1"/>
  <c r="O64" i="5"/>
  <c r="O504" i="5" s="1"/>
  <c r="Q309" i="5"/>
  <c r="R309" i="5" s="1"/>
  <c r="P95" i="5"/>
  <c r="O77" i="4"/>
  <c r="P207" i="6"/>
  <c r="O128" i="7"/>
  <c r="O134" i="7" s="1"/>
  <c r="O21" i="7" s="1"/>
  <c r="O33" i="7" s="1"/>
  <c r="O575" i="7"/>
  <c r="O577" i="7" s="1"/>
  <c r="O579" i="7" s="1"/>
  <c r="Q502" i="7"/>
  <c r="Q498" i="7"/>
  <c r="J794" i="34"/>
  <c r="J800" i="34" s="1"/>
  <c r="J824" i="34"/>
  <c r="O479" i="6"/>
  <c r="P1727" i="6"/>
  <c r="P585" i="6" s="1"/>
  <c r="O585" i="6"/>
  <c r="Q245" i="5"/>
  <c r="N112" i="3"/>
  <c r="P89" i="5"/>
  <c r="P91" i="5" s="1"/>
  <c r="P496" i="5" s="1"/>
  <c r="P305" i="5"/>
  <c r="P502" i="4"/>
  <c r="N115" i="3"/>
  <c r="P392" i="4"/>
  <c r="P786" i="6"/>
  <c r="O94" i="6"/>
  <c r="O235" i="3"/>
  <c r="C134" i="13"/>
  <c r="C207" i="15"/>
  <c r="R50" i="42"/>
  <c r="B184" i="42" s="1"/>
  <c r="C25" i="3"/>
  <c r="C26" i="3" s="1"/>
  <c r="CT29" i="9"/>
  <c r="N772" i="34"/>
  <c r="P154" i="4"/>
  <c r="K40" i="13"/>
  <c r="L8" i="3"/>
  <c r="E688" i="34"/>
  <c r="E200" i="34" s="1"/>
  <c r="P131" i="7"/>
  <c r="BS117" i="9"/>
  <c r="O207" i="7"/>
  <c r="N134" i="7"/>
  <c r="N21" i="7" s="1"/>
  <c r="N33" i="7" s="1"/>
  <c r="AC59" i="10"/>
  <c r="AC92" i="10" s="1"/>
  <c r="O788" i="7"/>
  <c r="N142" i="3"/>
  <c r="P259" i="7"/>
  <c r="N111" i="3"/>
  <c r="Q1024" i="6"/>
  <c r="P246" i="6"/>
  <c r="Q1026" i="6"/>
  <c r="P248" i="6"/>
  <c r="O141" i="3"/>
  <c r="Q213" i="8"/>
  <c r="N114" i="3"/>
  <c r="F118" i="17"/>
  <c r="F81" i="3"/>
  <c r="F82" i="3" s="1"/>
  <c r="I121" i="3"/>
  <c r="A42" i="3"/>
  <c r="A53" i="3"/>
  <c r="A56" i="3" s="1"/>
  <c r="I63" i="3"/>
  <c r="I64" i="3" s="1"/>
  <c r="I144" i="3"/>
  <c r="I146" i="3"/>
  <c r="AY65" i="9"/>
  <c r="O61" i="14"/>
  <c r="J1181" i="7" s="1"/>
  <c r="J464" i="7" s="1"/>
  <c r="J51" i="7" s="1"/>
  <c r="H21" i="3" s="1"/>
  <c r="I198" i="15"/>
  <c r="I783" i="34" s="1"/>
  <c r="O147" i="7"/>
  <c r="H142" i="13"/>
  <c r="N177" i="9"/>
  <c r="CT177" i="9"/>
  <c r="Q499" i="7"/>
  <c r="Q267" i="8"/>
  <c r="R267" i="8" s="1"/>
  <c r="P60" i="8"/>
  <c r="AB9" i="11"/>
  <c r="AC9" i="11" s="1"/>
  <c r="AE9" i="11" s="1"/>
  <c r="AF9" i="11" s="1"/>
  <c r="AH9" i="11" s="1"/>
  <c r="AI9" i="11" s="1"/>
  <c r="AK9" i="11" s="1"/>
  <c r="BD61" i="9"/>
  <c r="BD63" i="9" s="1"/>
  <c r="X120" i="10"/>
  <c r="N1183" i="7" s="1"/>
  <c r="N466" i="7" s="1"/>
  <c r="AP41" i="42"/>
  <c r="O75" i="15" s="1"/>
  <c r="O322" i="34" s="1"/>
  <c r="O252" i="15"/>
  <c r="BA209" i="9"/>
  <c r="BA211" i="9" s="1"/>
  <c r="BK134" i="9"/>
  <c r="N134" i="9"/>
  <c r="BF134" i="9"/>
  <c r="BF138" i="9" s="1"/>
  <c r="M134" i="9"/>
  <c r="M138" i="9" s="1"/>
  <c r="O1080" i="6" s="1"/>
  <c r="CS134" i="9"/>
  <c r="BD134" i="9"/>
  <c r="Q658" i="7"/>
  <c r="R658" i="7" s="1"/>
  <c r="P670" i="6"/>
  <c r="P1685" i="6"/>
  <c r="P1687" i="6" s="1"/>
  <c r="P1689" i="6" s="1"/>
  <c r="P1700" i="6" s="1"/>
  <c r="P92" i="6"/>
  <c r="P173" i="5"/>
  <c r="CG69" i="21"/>
  <c r="J694" i="34"/>
  <c r="J203" i="34" s="1"/>
  <c r="J204" i="34" s="1"/>
  <c r="P129" i="8"/>
  <c r="H374" i="4"/>
  <c r="C203" i="42"/>
  <c r="D203" i="42" s="1"/>
  <c r="N29" i="9"/>
  <c r="P768" i="7" s="1"/>
  <c r="O289" i="6"/>
  <c r="U61" i="37"/>
  <c r="U63" i="37" s="1"/>
  <c r="F13" i="15"/>
  <c r="E238" i="42"/>
  <c r="P1392" i="6"/>
  <c r="N770" i="34" s="1"/>
  <c r="P655" i="6"/>
  <c r="P139" i="6"/>
  <c r="P442" i="6"/>
  <c r="P413" i="6"/>
  <c r="P1449" i="6"/>
  <c r="O965" i="6"/>
  <c r="P658" i="6"/>
  <c r="N462" i="6"/>
  <c r="P639" i="6"/>
  <c r="P542" i="6"/>
  <c r="G523" i="34"/>
  <c r="L65" i="9"/>
  <c r="P120" i="7"/>
  <c r="P122" i="7" s="1"/>
  <c r="P8" i="7" s="1"/>
  <c r="O666" i="7"/>
  <c r="AC84" i="11"/>
  <c r="AF3" i="11"/>
  <c r="AD84" i="11"/>
  <c r="AG3" i="11"/>
  <c r="AE84" i="11"/>
  <c r="AH3" i="11"/>
  <c r="H143" i="15"/>
  <c r="CH68" i="21"/>
  <c r="R212" i="48"/>
  <c r="Y21" i="42"/>
  <c r="L54" i="15" s="1"/>
  <c r="Q436" i="4"/>
  <c r="P73" i="4"/>
  <c r="Q421" i="4"/>
  <c r="R421" i="4" s="1"/>
  <c r="Q435" i="4"/>
  <c r="R435" i="4" s="1"/>
  <c r="R72" i="4" s="1"/>
  <c r="P115" i="4"/>
  <c r="P153" i="4" s="1"/>
  <c r="P119" i="4"/>
  <c r="P157" i="4" s="1"/>
  <c r="P117" i="4"/>
  <c r="Q194" i="6"/>
  <c r="O761" i="34"/>
  <c r="P136" i="5"/>
  <c r="K465" i="5"/>
  <c r="K470" i="5" s="1"/>
  <c r="K483" i="5" s="1"/>
  <c r="K487" i="5" s="1"/>
  <c r="G487" i="5"/>
  <c r="H487" i="5" s="1"/>
  <c r="Q370" i="7"/>
  <c r="P217" i="7"/>
  <c r="P556" i="7"/>
  <c r="P82" i="7"/>
  <c r="P257" i="7"/>
  <c r="C51" i="15"/>
  <c r="P80" i="7"/>
  <c r="P379" i="7"/>
  <c r="P346" i="7"/>
  <c r="P250" i="7"/>
  <c r="P252" i="7" s="1"/>
  <c r="P11" i="7" s="1"/>
  <c r="AC91" i="10"/>
  <c r="AE91" i="10" s="1"/>
  <c r="P728" i="7"/>
  <c r="J32" i="5"/>
  <c r="J43" i="5" s="1"/>
  <c r="B161" i="42"/>
  <c r="R79" i="42"/>
  <c r="AC114" i="10"/>
  <c r="AD114" i="10"/>
  <c r="O41" i="55"/>
  <c r="O43" i="55" s="1"/>
  <c r="P40" i="55" s="1"/>
  <c r="O25" i="12"/>
  <c r="P25" i="12" s="1"/>
  <c r="Q41" i="55" s="1"/>
  <c r="Q1505" i="6"/>
  <c r="AD109" i="10"/>
  <c r="AD201" i="10" s="1"/>
  <c r="AG3" i="10"/>
  <c r="A223" i="15"/>
  <c r="A168" i="15" s="1"/>
  <c r="A139" i="13"/>
  <c r="BJ86" i="9"/>
  <c r="BJ168" i="9" s="1"/>
  <c r="BO2" i="9"/>
  <c r="V28" i="37"/>
  <c r="BS121" i="9"/>
  <c r="CV121" i="9"/>
  <c r="V27" i="37"/>
  <c r="BS120" i="9"/>
  <c r="CV120" i="9"/>
  <c r="Q1009" i="7"/>
  <c r="Q405" i="7" s="1"/>
  <c r="N77" i="13"/>
  <c r="F290" i="34"/>
  <c r="F353" i="34" s="1"/>
  <c r="Q174" i="8"/>
  <c r="P187" i="5"/>
  <c r="G318" i="4"/>
  <c r="H318" i="4" s="1"/>
  <c r="G31" i="4"/>
  <c r="H31" i="4" s="1"/>
  <c r="L100" i="42"/>
  <c r="L103" i="42" s="1"/>
  <c r="G843" i="4"/>
  <c r="H843" i="4" s="1"/>
  <c r="Q69" i="4"/>
  <c r="Q370" i="8"/>
  <c r="Q48" i="8"/>
  <c r="AP12" i="42"/>
  <c r="BD3" i="22"/>
  <c r="BG3" i="21"/>
  <c r="BC41" i="42"/>
  <c r="N106" i="15" s="1"/>
  <c r="N336" i="34" s="1"/>
  <c r="N392" i="34" s="1"/>
  <c r="N509" i="34" s="1"/>
  <c r="O121" i="16"/>
  <c r="O44" i="16"/>
  <c r="P54" i="27"/>
  <c r="Q49" i="27"/>
  <c r="N154" i="34"/>
  <c r="O31" i="34"/>
  <c r="P711" i="4"/>
  <c r="P720" i="4" s="1"/>
  <c r="P191" i="4" s="1"/>
  <c r="Q685" i="4"/>
  <c r="P271" i="4"/>
  <c r="Q802" i="4"/>
  <c r="Q1220" i="6"/>
  <c r="Q377" i="6"/>
  <c r="P782" i="6"/>
  <c r="Q763" i="6"/>
  <c r="P222" i="4"/>
  <c r="Q743" i="4"/>
  <c r="P58" i="4"/>
  <c r="P650" i="6"/>
  <c r="Q1852" i="6"/>
  <c r="P210" i="6"/>
  <c r="Q991" i="6"/>
  <c r="P331" i="6"/>
  <c r="P330" i="6" s="1"/>
  <c r="Q1181" i="6"/>
  <c r="R1181" i="6" s="1"/>
  <c r="R331" i="6" s="1"/>
  <c r="P279" i="4"/>
  <c r="Q817" i="4"/>
  <c r="R817" i="4" s="1"/>
  <c r="R279" i="4" s="1"/>
  <c r="P232" i="4"/>
  <c r="Q767" i="4"/>
  <c r="P30" i="1"/>
  <c r="P34" i="45"/>
  <c r="Q1248" i="6"/>
  <c r="R1248" i="6" s="1"/>
  <c r="P120" i="4"/>
  <c r="P158" i="4" s="1"/>
  <c r="Q569" i="4"/>
  <c r="R569" i="4" s="1"/>
  <c r="Q640" i="4"/>
  <c r="R640" i="4" s="1"/>
  <c r="P54" i="5"/>
  <c r="Q236" i="5"/>
  <c r="P720" i="6"/>
  <c r="Q720" i="6"/>
  <c r="P574" i="6"/>
  <c r="Q1716" i="6"/>
  <c r="P253" i="6"/>
  <c r="Q1030" i="6"/>
  <c r="P726" i="6"/>
  <c r="Q2011" i="6"/>
  <c r="Q988" i="6"/>
  <c r="Q496" i="7"/>
  <c r="P431" i="6"/>
  <c r="P721" i="6"/>
  <c r="Q2002" i="6"/>
  <c r="R2002" i="6" s="1"/>
  <c r="P629" i="6"/>
  <c r="Q1780" i="6"/>
  <c r="P479" i="6"/>
  <c r="Q1583" i="6"/>
  <c r="R1583" i="6" s="1"/>
  <c r="R479" i="6" s="1"/>
  <c r="P260" i="7"/>
  <c r="P261" i="7" s="1"/>
  <c r="Q748" i="7"/>
  <c r="P218" i="7"/>
  <c r="Q686" i="7"/>
  <c r="R686" i="7" s="1"/>
  <c r="R218" i="7" s="1"/>
  <c r="P378" i="7"/>
  <c r="Q976" i="7"/>
  <c r="R976" i="7" s="1"/>
  <c r="P306" i="7"/>
  <c r="Q811" i="7"/>
  <c r="P132" i="7"/>
  <c r="Q572" i="7"/>
  <c r="P165" i="7"/>
  <c r="Q604" i="7"/>
  <c r="R604" i="7" s="1"/>
  <c r="N87" i="17"/>
  <c r="P118" i="8"/>
  <c r="P350" i="4"/>
  <c r="Q926" i="4"/>
  <c r="U22" i="26"/>
  <c r="Q798" i="7"/>
  <c r="R798" i="7" s="1"/>
  <c r="U18" i="26"/>
  <c r="Q810" i="7"/>
  <c r="P710" i="6"/>
  <c r="Q1989" i="6"/>
  <c r="R1989" i="6" s="1"/>
  <c r="P148" i="6"/>
  <c r="Q888" i="6"/>
  <c r="R888" i="6" s="1"/>
  <c r="P128" i="8"/>
  <c r="P122" i="8"/>
  <c r="P123" i="8"/>
  <c r="P67" i="8"/>
  <c r="P430" i="6"/>
  <c r="Q430" i="6"/>
  <c r="P149" i="6"/>
  <c r="Q890" i="6"/>
  <c r="R890" i="6" s="1"/>
  <c r="P143" i="6"/>
  <c r="Q893" i="6"/>
  <c r="Q1754" i="6"/>
  <c r="Q577" i="6"/>
  <c r="Q604" i="6" s="1"/>
  <c r="Q2074" i="6" s="1"/>
  <c r="Q53" i="6" s="1"/>
  <c r="P417" i="6"/>
  <c r="Q417" i="6"/>
  <c r="Q630" i="7"/>
  <c r="Q1222" i="7" s="1"/>
  <c r="Q179" i="7"/>
  <c r="Q182" i="7" s="1"/>
  <c r="P593" i="6"/>
  <c r="Q1739" i="6"/>
  <c r="R1739" i="6" s="1"/>
  <c r="P211" i="6"/>
  <c r="Q994" i="6"/>
  <c r="R994" i="6" s="1"/>
  <c r="Q795" i="7"/>
  <c r="R795" i="7" s="1"/>
  <c r="Q428" i="5"/>
  <c r="R428" i="5" s="1"/>
  <c r="Q1331" i="6"/>
  <c r="R1331" i="6" s="1"/>
  <c r="Q882" i="7"/>
  <c r="R882" i="7" s="1"/>
  <c r="Q310" i="5"/>
  <c r="R310" i="5" s="1"/>
  <c r="Q1445" i="6"/>
  <c r="R1445" i="6" s="1"/>
  <c r="Q677" i="7"/>
  <c r="R677" i="7" s="1"/>
  <c r="Q562" i="4"/>
  <c r="R562" i="4" s="1"/>
  <c r="Q749" i="7"/>
  <c r="R749" i="7" s="1"/>
  <c r="Q926" i="6"/>
  <c r="R926" i="6" s="1"/>
  <c r="Q978" i="7"/>
  <c r="R978" i="7" s="1"/>
  <c r="Q363" i="5"/>
  <c r="R363" i="5" s="1"/>
  <c r="Q1874" i="6"/>
  <c r="R1874" i="6" s="1"/>
  <c r="Q1819" i="6"/>
  <c r="R1819" i="6" s="1"/>
  <c r="Q844" i="6"/>
  <c r="R844" i="6" s="1"/>
  <c r="Q424" i="4"/>
  <c r="R424" i="4" s="1"/>
  <c r="Q1667" i="6"/>
  <c r="R1667" i="6" s="1"/>
  <c r="Q357" i="5"/>
  <c r="Q927" i="4"/>
  <c r="Q520" i="4"/>
  <c r="R520" i="4" s="1"/>
  <c r="Q969" i="7"/>
  <c r="R969" i="7" s="1"/>
  <c r="Q1289" i="6"/>
  <c r="R1289" i="6" s="1"/>
  <c r="Q1030" i="7"/>
  <c r="R1030" i="7" s="1"/>
  <c r="Q714" i="4"/>
  <c r="R714" i="4" s="1"/>
  <c r="Q1409" i="6"/>
  <c r="R1409" i="6" s="1"/>
  <c r="Q912" i="6"/>
  <c r="R912" i="6" s="1"/>
  <c r="Q1986" i="6"/>
  <c r="R1986" i="6" s="1"/>
  <c r="Q896" i="6"/>
  <c r="R896" i="6" s="1"/>
  <c r="Q922" i="6"/>
  <c r="R922" i="6" s="1"/>
  <c r="Q800" i="4"/>
  <c r="R800" i="4" s="1"/>
  <c r="Q833" i="4"/>
  <c r="R833" i="4" s="1"/>
  <c r="Q1290" i="6"/>
  <c r="R1290" i="6" s="1"/>
  <c r="Q1816" i="6"/>
  <c r="R1816" i="6" s="1"/>
  <c r="Q905" i="4"/>
  <c r="R905" i="4" s="1"/>
  <c r="Q1869" i="6"/>
  <c r="R1869" i="6" s="1"/>
  <c r="Q881" i="7"/>
  <c r="AC58" i="10"/>
  <c r="Q1243" i="6"/>
  <c r="R1243" i="6" s="1"/>
  <c r="Q1412" i="6"/>
  <c r="R1412" i="6" s="1"/>
  <c r="Q780" i="6"/>
  <c r="R780" i="6" s="1"/>
  <c r="Q1871" i="6"/>
  <c r="R1871" i="6" s="1"/>
  <c r="Q375" i="5"/>
  <c r="R375" i="5" s="1"/>
  <c r="Q1353" i="6"/>
  <c r="R1353" i="6" s="1"/>
  <c r="Q227" i="5"/>
  <c r="R227" i="5" s="1"/>
  <c r="Q433" i="5"/>
  <c r="R433" i="5" s="1"/>
  <c r="Q708" i="4"/>
  <c r="R708" i="4" s="1"/>
  <c r="Q1441" i="6"/>
  <c r="R1441" i="6" s="1"/>
  <c r="Q1160" i="7"/>
  <c r="R1160" i="7" s="1"/>
  <c r="Q224" i="5"/>
  <c r="R224" i="5" s="1"/>
  <c r="Q1922" i="6"/>
  <c r="R1922" i="6" s="1"/>
  <c r="Q1892" i="6"/>
  <c r="R1892" i="6" s="1"/>
  <c r="M426" i="34"/>
  <c r="N426" i="34" s="1"/>
  <c r="O426" i="34" s="1"/>
  <c r="P426" i="34" s="1"/>
  <c r="Q679" i="7"/>
  <c r="R679" i="7" s="1"/>
  <c r="Q675" i="7"/>
  <c r="R675" i="7" s="1"/>
  <c r="Q487" i="4"/>
  <c r="R487" i="4" s="1"/>
  <c r="Q576" i="4"/>
  <c r="R576" i="4" s="1"/>
  <c r="Q1666" i="6"/>
  <c r="R1666" i="6" s="1"/>
  <c r="Q1139" i="7"/>
  <c r="R1139" i="7" s="1"/>
  <c r="Q1891" i="6"/>
  <c r="R1891" i="6" s="1"/>
  <c r="Q986" i="7"/>
  <c r="R986" i="7" s="1"/>
  <c r="Q987" i="7"/>
  <c r="R987" i="7" s="1"/>
  <c r="Q1655" i="6"/>
  <c r="Q889" i="6"/>
  <c r="R889" i="6" s="1"/>
  <c r="Q886" i="7"/>
  <c r="R886" i="7" s="1"/>
  <c r="Q1805" i="6"/>
  <c r="R1805" i="6" s="1"/>
  <c r="Q230" i="5"/>
  <c r="R230" i="5" s="1"/>
  <c r="Q794" i="7"/>
  <c r="R794" i="7" s="1"/>
  <c r="Q563" i="7"/>
  <c r="R563" i="7" s="1"/>
  <c r="Q431" i="5"/>
  <c r="R431" i="5" s="1"/>
  <c r="Q513" i="7"/>
  <c r="R513" i="7" s="1"/>
  <c r="Q1931" i="6"/>
  <c r="R1931" i="6" s="1"/>
  <c r="Q1880" i="6"/>
  <c r="R1880" i="6" s="1"/>
  <c r="Q914" i="6"/>
  <c r="R914" i="6" s="1"/>
  <c r="Q1128" i="7"/>
  <c r="R1128" i="7" s="1"/>
  <c r="Q516" i="4"/>
  <c r="R516" i="4" s="1"/>
  <c r="Q1845" i="6"/>
  <c r="Q1614" i="6"/>
  <c r="R1614" i="6" s="1"/>
  <c r="Q804" i="7"/>
  <c r="R804" i="7" s="1"/>
  <c r="Q866" i="4"/>
  <c r="R866" i="4" s="1"/>
  <c r="Q1383" i="6"/>
  <c r="R1383" i="6" s="1"/>
  <c r="Q971" i="7"/>
  <c r="R971" i="7" s="1"/>
  <c r="Q497" i="4"/>
  <c r="Q1792" i="6"/>
  <c r="R1792" i="6" s="1"/>
  <c r="Q425" i="4"/>
  <c r="R425" i="4" s="1"/>
  <c r="Q578" i="4"/>
  <c r="R578" i="4" s="1"/>
  <c r="Q886" i="4"/>
  <c r="R886" i="4" s="1"/>
  <c r="Q1426" i="6"/>
  <c r="R1426" i="6" s="1"/>
  <c r="Q929" i="6"/>
  <c r="R929" i="6" s="1"/>
  <c r="Q887" i="7"/>
  <c r="R887" i="7" s="1"/>
  <c r="Q1384" i="6"/>
  <c r="R1384" i="6" s="1"/>
  <c r="Q811" i="4"/>
  <c r="R811" i="4" s="1"/>
  <c r="Q982" i="7"/>
  <c r="R982" i="7" s="1"/>
  <c r="Q838" i="7"/>
  <c r="R838" i="7" s="1"/>
  <c r="Q700" i="4"/>
  <c r="R700" i="4" s="1"/>
  <c r="Q540" i="4"/>
  <c r="R540" i="4" s="1"/>
  <c r="Q741" i="7"/>
  <c r="R741" i="7" s="1"/>
  <c r="Q1287" i="6"/>
  <c r="R1287" i="6" s="1"/>
  <c r="Q1678" i="6"/>
  <c r="R1678" i="6" s="1"/>
  <c r="Q682" i="7"/>
  <c r="R682" i="7" s="1"/>
  <c r="Q376" i="5"/>
  <c r="R376" i="5" s="1"/>
  <c r="Q829" i="6"/>
  <c r="R829" i="6" s="1"/>
  <c r="Q299" i="5"/>
  <c r="R299" i="5" s="1"/>
  <c r="Q1612" i="6"/>
  <c r="R1612" i="6" s="1"/>
  <c r="Q528" i="4"/>
  <c r="R528" i="4" s="1"/>
  <c r="Q1997" i="6"/>
  <c r="R1997" i="6" s="1"/>
  <c r="Q841" i="7"/>
  <c r="R841" i="7" s="1"/>
  <c r="Q784" i="7"/>
  <c r="R784" i="7" s="1"/>
  <c r="Q755" i="6"/>
  <c r="R755" i="6" s="1"/>
  <c r="Q2009" i="6"/>
  <c r="R2009" i="6" s="1"/>
  <c r="Q413" i="4"/>
  <c r="Q353" i="5"/>
  <c r="R353" i="5" s="1"/>
  <c r="Q314" i="5"/>
  <c r="R314" i="5" s="1"/>
  <c r="R96" i="5" s="1"/>
  <c r="Q412" i="5"/>
  <c r="R412" i="5" s="1"/>
  <c r="P231" i="4"/>
  <c r="Q763" i="4"/>
  <c r="R763" i="4" s="1"/>
  <c r="P193" i="6"/>
  <c r="Q958" i="6"/>
  <c r="Q1743" i="6"/>
  <c r="P584" i="6"/>
  <c r="Q1726" i="6"/>
  <c r="R1726" i="6" s="1"/>
  <c r="P722" i="6"/>
  <c r="Q2004" i="6"/>
  <c r="R2004" i="6" s="1"/>
  <c r="P488" i="6"/>
  <c r="Q1592" i="6"/>
  <c r="P326" i="6"/>
  <c r="Q1127" i="6"/>
  <c r="R1127" i="6" s="1"/>
  <c r="P653" i="6"/>
  <c r="Q1859" i="6"/>
  <c r="R1859" i="6" s="1"/>
  <c r="P171" i="7"/>
  <c r="Q618" i="7"/>
  <c r="R618" i="7" s="1"/>
  <c r="P129" i="7"/>
  <c r="Q566" i="7"/>
  <c r="P75" i="7"/>
  <c r="Q489" i="7"/>
  <c r="R489" i="7" s="1"/>
  <c r="P128" i="7"/>
  <c r="Q565" i="7"/>
  <c r="P130" i="7"/>
  <c r="Q569" i="7"/>
  <c r="N88" i="16"/>
  <c r="O88" i="16"/>
  <c r="P72" i="4"/>
  <c r="N768" i="34"/>
  <c r="Q1286" i="6"/>
  <c r="R1286" i="6" s="1"/>
  <c r="U20" i="26"/>
  <c r="Q1602" i="6"/>
  <c r="P160" i="7"/>
  <c r="Q599" i="7"/>
  <c r="R599" i="7" s="1"/>
  <c r="P429" i="6"/>
  <c r="P131" i="8"/>
  <c r="P125" i="8"/>
  <c r="P144" i="6"/>
  <c r="Q894" i="6"/>
  <c r="R894" i="6" s="1"/>
  <c r="Q1481" i="6"/>
  <c r="R1481" i="6" s="1"/>
  <c r="Q1668" i="6"/>
  <c r="R1668" i="6" s="1"/>
  <c r="Q840" i="7"/>
  <c r="R840" i="7" s="1"/>
  <c r="Q1795" i="6"/>
  <c r="R1795" i="6" s="1"/>
  <c r="Q1814" i="6"/>
  <c r="R1814" i="6" s="1"/>
  <c r="Q281" i="5"/>
  <c r="R281" i="5" s="1"/>
  <c r="Q908" i="6"/>
  <c r="R908" i="6" s="1"/>
  <c r="Q1164" i="6"/>
  <c r="R1164" i="6" s="1"/>
  <c r="Q1613" i="6"/>
  <c r="R1613" i="6" s="1"/>
  <c r="P127" i="1"/>
  <c r="Q127" i="1" s="1"/>
  <c r="Q2005" i="6"/>
  <c r="R2005" i="6" s="1"/>
  <c r="Q514" i="7"/>
  <c r="R514" i="7" s="1"/>
  <c r="Q286" i="5"/>
  <c r="R286" i="5" s="1"/>
  <c r="Q900" i="4"/>
  <c r="R900" i="4" s="1"/>
  <c r="Q1240" i="6"/>
  <c r="R1240" i="6" s="1"/>
  <c r="Q826" i="7"/>
  <c r="R826" i="7" s="1"/>
  <c r="Q815" i="4"/>
  <c r="R815" i="4" s="1"/>
  <c r="Q510" i="4"/>
  <c r="R510" i="4" s="1"/>
  <c r="Q534" i="4"/>
  <c r="R534" i="4" s="1"/>
  <c r="Q692" i="7"/>
  <c r="R692" i="7" s="1"/>
  <c r="Q488" i="4"/>
  <c r="R488" i="4" s="1"/>
  <c r="Q934" i="7"/>
  <c r="Q969" i="6"/>
  <c r="R969" i="6" s="1"/>
  <c r="Q1039" i="7"/>
  <c r="R1039" i="7" s="1"/>
  <c r="Q657" i="7"/>
  <c r="R657" i="7" s="1"/>
  <c r="Q437" i="5"/>
  <c r="R437" i="5" s="1"/>
  <c r="Q1434" i="6"/>
  <c r="R1434" i="6" s="1"/>
  <c r="Q1438" i="6"/>
  <c r="R1438" i="6" s="1"/>
  <c r="Q646" i="4"/>
  <c r="R646" i="4" s="1"/>
  <c r="Q902" i="6"/>
  <c r="R902" i="6" s="1"/>
  <c r="Q871" i="4"/>
  <c r="Q887" i="6"/>
  <c r="R887" i="6" s="1"/>
  <c r="Q901" i="4"/>
  <c r="R901" i="4" s="1"/>
  <c r="Q828" i="4"/>
  <c r="R828" i="4" s="1"/>
  <c r="Q812" i="4"/>
  <c r="R812" i="4" s="1"/>
  <c r="Q1875" i="6"/>
  <c r="R1875" i="6" s="1"/>
  <c r="Q880" i="7"/>
  <c r="R880" i="7" s="1"/>
  <c r="Q1873" i="6"/>
  <c r="R1873" i="6" s="1"/>
  <c r="Q821" i="7"/>
  <c r="R821" i="7" s="1"/>
  <c r="P124" i="1"/>
  <c r="Q124" i="1" s="1"/>
  <c r="Q526" i="4"/>
  <c r="R526" i="4" s="1"/>
  <c r="Q348" i="5"/>
  <c r="R348" i="5" s="1"/>
  <c r="Q907" i="4"/>
  <c r="R907" i="4" s="1"/>
  <c r="Q1673" i="6"/>
  <c r="R1673" i="6" s="1"/>
  <c r="Q1129" i="7"/>
  <c r="R1129" i="7" s="1"/>
  <c r="Q564" i="4"/>
  <c r="R564" i="4" s="1"/>
  <c r="Q1895" i="6"/>
  <c r="R1895" i="6" s="1"/>
  <c r="Q622" i="4"/>
  <c r="R622" i="4" s="1"/>
  <c r="Q973" i="6"/>
  <c r="R973" i="6" s="1"/>
  <c r="Q747" i="7"/>
  <c r="R747" i="7" s="1"/>
  <c r="Q736" i="7"/>
  <c r="M427" i="34"/>
  <c r="N427" i="34" s="1"/>
  <c r="O427" i="34" s="1"/>
  <c r="P427" i="34" s="1"/>
  <c r="Q222" i="5"/>
  <c r="R222" i="5" s="1"/>
  <c r="Q1247" i="6"/>
  <c r="R1247" i="6" s="1"/>
  <c r="Q913" i="6"/>
  <c r="R913" i="6" s="1"/>
  <c r="Q290" i="5"/>
  <c r="R290" i="5" s="1"/>
  <c r="Q1996" i="6"/>
  <c r="R1996" i="6" s="1"/>
  <c r="Q1155" i="7"/>
  <c r="R1155" i="7" s="1"/>
  <c r="Q927" i="6"/>
  <c r="R927" i="6" s="1"/>
  <c r="Q902" i="4"/>
  <c r="R902" i="4" s="1"/>
  <c r="Q754" i="4"/>
  <c r="R754" i="4" s="1"/>
  <c r="Q830" i="4"/>
  <c r="R830" i="4" s="1"/>
  <c r="Q1037" i="7"/>
  <c r="R1037" i="7" s="1"/>
  <c r="Q901" i="7"/>
  <c r="R901" i="7" s="1"/>
  <c r="Q1144" i="7"/>
  <c r="R1144" i="7" s="1"/>
  <c r="Q553" i="7"/>
  <c r="R553" i="7" s="1"/>
  <c r="Q522" i="4"/>
  <c r="R522" i="4" s="1"/>
  <c r="Q851" i="6"/>
  <c r="R851" i="6" s="1"/>
  <c r="Q1351" i="6"/>
  <c r="R1351" i="6" s="1"/>
  <c r="Q1150" i="7"/>
  <c r="R1150" i="7" s="1"/>
  <c r="Q1420" i="6"/>
  <c r="R1420" i="6" s="1"/>
  <c r="Q1790" i="6"/>
  <c r="R1790" i="6" s="1"/>
  <c r="Q893" i="4"/>
  <c r="R893" i="4" s="1"/>
  <c r="Q1126" i="6"/>
  <c r="R1126" i="6" s="1"/>
  <c r="Q904" i="6"/>
  <c r="R904" i="6" s="1"/>
  <c r="Q1810" i="6"/>
  <c r="R1810" i="6" s="1"/>
  <c r="Q951" i="7"/>
  <c r="R951" i="7" s="1"/>
  <c r="Q1896" i="6"/>
  <c r="R1896" i="6" s="1"/>
  <c r="Q1936" i="6"/>
  <c r="R1936" i="6" s="1"/>
  <c r="Q1927" i="6"/>
  <c r="R1927" i="6" s="1"/>
  <c r="Q912" i="4"/>
  <c r="R912" i="4" s="1"/>
  <c r="Q676" i="7"/>
  <c r="R676" i="7" s="1"/>
  <c r="Q1818" i="6"/>
  <c r="R1818" i="6" s="1"/>
  <c r="Q1036" i="7"/>
  <c r="R1036" i="7" s="1"/>
  <c r="Q452" i="4"/>
  <c r="R452" i="4" s="1"/>
  <c r="Q1918" i="6"/>
  <c r="R1918" i="6" s="1"/>
  <c r="Q530" i="4"/>
  <c r="R530" i="4" s="1"/>
  <c r="Q984" i="7"/>
  <c r="R984" i="7" s="1"/>
  <c r="Q1482" i="6"/>
  <c r="R1482" i="6" s="1"/>
  <c r="Q1154" i="7"/>
  <c r="R1154" i="7" s="1"/>
  <c r="Q529" i="4"/>
  <c r="R529" i="4" s="1"/>
  <c r="Q1094" i="6"/>
  <c r="Q828" i="6"/>
  <c r="R828" i="6" s="1"/>
  <c r="Q799" i="4"/>
  <c r="R799" i="4" s="1"/>
  <c r="Q789" i="6"/>
  <c r="Q427" i="5"/>
  <c r="R427" i="5" s="1"/>
  <c r="Q1883" i="6"/>
  <c r="R1883" i="6" s="1"/>
  <c r="Q1654" i="6"/>
  <c r="R1654" i="6" s="1"/>
  <c r="Q684" i="4"/>
  <c r="R684" i="4" s="1"/>
  <c r="Q904" i="4"/>
  <c r="R904" i="4" s="1"/>
  <c r="Q506" i="7"/>
  <c r="R506" i="7" s="1"/>
  <c r="Q533" i="4"/>
  <c r="R533" i="4" s="1"/>
  <c r="Q987" i="6"/>
  <c r="Q1894" i="6"/>
  <c r="R1894" i="6" s="1"/>
  <c r="Q1043" i="7"/>
  <c r="R1043" i="7" s="1"/>
  <c r="Q652" i="7"/>
  <c r="R652" i="7" s="1"/>
  <c r="P317" i="7"/>
  <c r="Q849" i="7"/>
  <c r="R849" i="7" s="1"/>
  <c r="R317" i="7" s="1"/>
  <c r="P365" i="7"/>
  <c r="Q918" i="7"/>
  <c r="P220" i="7"/>
  <c r="Q695" i="7"/>
  <c r="P219" i="7"/>
  <c r="Q691" i="7"/>
  <c r="R691" i="7" s="1"/>
  <c r="P654" i="6"/>
  <c r="Q1862" i="6"/>
  <c r="R1862" i="6" s="1"/>
  <c r="P71" i="4"/>
  <c r="Q434" i="4"/>
  <c r="P349" i="4"/>
  <c r="Q925" i="4"/>
  <c r="P111" i="8"/>
  <c r="U19" i="26"/>
  <c r="Q817" i="7"/>
  <c r="P352" i="7"/>
  <c r="Q904" i="7"/>
  <c r="P60" i="4"/>
  <c r="P64" i="8"/>
  <c r="Q421" i="5"/>
  <c r="P290" i="7"/>
  <c r="Q781" i="7"/>
  <c r="Q898" i="7"/>
  <c r="R898" i="7" s="1"/>
  <c r="P348" i="7"/>
  <c r="P128" i="1"/>
  <c r="M407" i="34"/>
  <c r="N407" i="34" s="1"/>
  <c r="O407" i="34" s="1"/>
  <c r="P407" i="34" s="1"/>
  <c r="Q906" i="4"/>
  <c r="R906" i="4" s="1"/>
  <c r="Q605" i="7"/>
  <c r="R605" i="7" s="1"/>
  <c r="Q1415" i="6"/>
  <c r="R1415" i="6" s="1"/>
  <c r="Q1601" i="6"/>
  <c r="R1601" i="6" s="1"/>
  <c r="Q1863" i="6"/>
  <c r="R1863" i="6" s="1"/>
  <c r="Q610" i="7"/>
  <c r="R610" i="7" s="1"/>
  <c r="Q1442" i="6"/>
  <c r="R1442" i="6" s="1"/>
  <c r="Q799" i="7"/>
  <c r="R799" i="7" s="1"/>
  <c r="Q864" i="4"/>
  <c r="R864" i="4" s="1"/>
  <c r="Q724" i="7"/>
  <c r="R724" i="7" s="1"/>
  <c r="Q97" i="5"/>
  <c r="Q758" i="4"/>
  <c r="R758" i="4" s="1"/>
  <c r="Q1099" i="6"/>
  <c r="R1099" i="6" s="1"/>
  <c r="Q414" i="5"/>
  <c r="R414" i="5" s="1"/>
  <c r="Q1288" i="6"/>
  <c r="R1288" i="6" s="1"/>
  <c r="Q580" i="4"/>
  <c r="Q413" i="5"/>
  <c r="R413" i="5" s="1"/>
  <c r="Q571" i="7"/>
  <c r="R571" i="7" s="1"/>
  <c r="Q686" i="4"/>
  <c r="R686" i="4" s="1"/>
  <c r="Q508" i="7"/>
  <c r="R508" i="7" s="1"/>
  <c r="Q985" i="7"/>
  <c r="R985" i="7" s="1"/>
  <c r="Q907" i="6"/>
  <c r="R907" i="6" s="1"/>
  <c r="Q1662" i="6"/>
  <c r="Q540" i="6" s="1"/>
  <c r="Q921" i="6"/>
  <c r="R921" i="6" s="1"/>
  <c r="Q900" i="6"/>
  <c r="R900" i="6" s="1"/>
  <c r="Q424" i="5"/>
  <c r="R424" i="5" s="1"/>
  <c r="Q875" i="4"/>
  <c r="R875" i="4" s="1"/>
  <c r="Q481" i="7"/>
  <c r="R481" i="7" s="1"/>
  <c r="Q677" i="4"/>
  <c r="R677" i="4" s="1"/>
  <c r="Q561" i="4"/>
  <c r="R561" i="4" s="1"/>
  <c r="Q723" i="7"/>
  <c r="R723" i="7" s="1"/>
  <c r="Q535" i="4"/>
  <c r="R535" i="4" s="1"/>
  <c r="Q800" i="7"/>
  <c r="R800" i="7" s="1"/>
  <c r="Q343" i="5"/>
  <c r="R343" i="5" s="1"/>
  <c r="Q712" i="4"/>
  <c r="R712" i="4" s="1"/>
  <c r="Q1815" i="6"/>
  <c r="R1815" i="6" s="1"/>
  <c r="Q1386" i="6"/>
  <c r="R1386" i="6" s="1"/>
  <c r="Q490" i="7"/>
  <c r="R490" i="7" s="1"/>
  <c r="Q1679" i="6"/>
  <c r="R1679" i="6" s="1"/>
  <c r="Q680" i="7"/>
  <c r="R680" i="7" s="1"/>
  <c r="Q523" i="4"/>
  <c r="R523" i="4" s="1"/>
  <c r="Q405" i="5"/>
  <c r="R405" i="5" s="1"/>
  <c r="Q703" i="4"/>
  <c r="R703" i="4" s="1"/>
  <c r="Q1885" i="6"/>
  <c r="R1885" i="6" s="1"/>
  <c r="Q513" i="4"/>
  <c r="R513" i="4" s="1"/>
  <c r="Q1879" i="6"/>
  <c r="R1879" i="6" s="1"/>
  <c r="Q975" i="6"/>
  <c r="R975" i="6" s="1"/>
  <c r="Q972" i="6"/>
  <c r="R972" i="6" s="1"/>
  <c r="Q1606" i="6"/>
  <c r="R1606" i="6" s="1"/>
  <c r="Q453" i="4"/>
  <c r="R453" i="4" s="1"/>
  <c r="Q785" i="7"/>
  <c r="R785" i="7" s="1"/>
  <c r="Q970" i="7"/>
  <c r="R970" i="7" s="1"/>
  <c r="Q1425" i="6"/>
  <c r="R1425" i="6" s="1"/>
  <c r="Q858" i="6"/>
  <c r="R858" i="6" s="1"/>
  <c r="Q919" i="6"/>
  <c r="R919" i="6" s="1"/>
  <c r="Q1157" i="7"/>
  <c r="R1157" i="7" s="1"/>
  <c r="Q1935" i="6"/>
  <c r="R1935" i="6" s="1"/>
  <c r="Q810" i="4"/>
  <c r="R810" i="4" s="1"/>
  <c r="Q1355" i="6"/>
  <c r="R1355" i="6" s="1"/>
  <c r="Q777" i="6"/>
  <c r="R777" i="6" s="1"/>
  <c r="Q968" i="7"/>
  <c r="R968" i="7" s="1"/>
  <c r="Q366" i="5"/>
  <c r="R366" i="5" s="1"/>
  <c r="Q520" i="7"/>
  <c r="R520" i="7" s="1"/>
  <c r="Q820" i="7"/>
  <c r="R820" i="7" s="1"/>
  <c r="Q368" i="5"/>
  <c r="R368" i="5" s="1"/>
  <c r="Q1121" i="6"/>
  <c r="Q758" i="6"/>
  <c r="R758" i="6" s="1"/>
  <c r="Q1617" i="6"/>
  <c r="R1617" i="6" s="1"/>
  <c r="Q2008" i="6"/>
  <c r="R2008" i="6" s="1"/>
  <c r="Q291" i="5"/>
  <c r="R291" i="5" s="1"/>
  <c r="Q697" i="4"/>
  <c r="R697" i="4" s="1"/>
  <c r="Q564" i="7"/>
  <c r="R564" i="7" s="1"/>
  <c r="Q433" i="4"/>
  <c r="P171" i="4"/>
  <c r="Q619" i="4"/>
  <c r="N774" i="34"/>
  <c r="Q878" i="4"/>
  <c r="P61" i="5"/>
  <c r="Q248" i="5"/>
  <c r="R248" i="5" s="1"/>
  <c r="P186" i="5"/>
  <c r="Q423" i="5"/>
  <c r="R423" i="5" s="1"/>
  <c r="P703" i="6"/>
  <c r="Q1978" i="6"/>
  <c r="P711" i="6"/>
  <c r="Q1990" i="6"/>
  <c r="P713" i="6"/>
  <c r="Q1994" i="6"/>
  <c r="R1994" i="6" s="1"/>
  <c r="P99" i="6"/>
  <c r="Q794" i="6"/>
  <c r="P1489" i="6"/>
  <c r="P1494" i="6" s="1"/>
  <c r="P1496" i="6" s="1"/>
  <c r="P1498" i="6" s="1"/>
  <c r="AC220" i="10" s="1"/>
  <c r="Q1488" i="6"/>
  <c r="N765" i="34"/>
  <c r="Q1092" i="6"/>
  <c r="R1092" i="6" s="1"/>
  <c r="P410" i="6"/>
  <c r="O769" i="34"/>
  <c r="P98" i="6"/>
  <c r="Q791" i="6"/>
  <c r="P318" i="7"/>
  <c r="Q852" i="7"/>
  <c r="P291" i="7"/>
  <c r="Q782" i="7"/>
  <c r="Q495" i="7"/>
  <c r="N87" i="16"/>
  <c r="O87" i="16"/>
  <c r="P348" i="4"/>
  <c r="Q924" i="4"/>
  <c r="P289" i="7"/>
  <c r="Q780" i="7"/>
  <c r="R780" i="7" s="1"/>
  <c r="P446" i="6"/>
  <c r="Q1479" i="6"/>
  <c r="N724" i="34"/>
  <c r="Q970" i="6"/>
  <c r="R970" i="6" s="1"/>
  <c r="O94" i="1"/>
  <c r="P87" i="1"/>
  <c r="P94" i="1" s="1"/>
  <c r="Q1278" i="6"/>
  <c r="R1278" i="6" s="1"/>
  <c r="N716" i="34"/>
  <c r="Q814" i="4"/>
  <c r="R814" i="4" s="1"/>
  <c r="P1023" i="7"/>
  <c r="Q1021" i="7"/>
  <c r="R1021" i="7" s="1"/>
  <c r="P146" i="6"/>
  <c r="Q898" i="6"/>
  <c r="R898" i="6" s="1"/>
  <c r="P447" i="4"/>
  <c r="P77" i="4" s="1"/>
  <c r="Q383" i="4"/>
  <c r="P137" i="5"/>
  <c r="Q370" i="5"/>
  <c r="Q1002" i="7"/>
  <c r="Q1225" i="7" s="1"/>
  <c r="Q373" i="7"/>
  <c r="Q397" i="7" s="1"/>
  <c r="Q43" i="7" s="1"/>
  <c r="N13" i="13" s="1"/>
  <c r="N49" i="13" s="1"/>
  <c r="N750" i="34"/>
  <c r="P107" i="4"/>
  <c r="Q490" i="4"/>
  <c r="R490" i="4" s="1"/>
  <c r="P371" i="7"/>
  <c r="Q929" i="7"/>
  <c r="R929" i="7" s="1"/>
  <c r="Q574" i="4"/>
  <c r="R574" i="4" s="1"/>
  <c r="Q964" i="7"/>
  <c r="R964" i="7" s="1"/>
  <c r="Q1853" i="6"/>
  <c r="R1853" i="6" s="1"/>
  <c r="Q1418" i="6"/>
  <c r="R1418" i="6" s="1"/>
  <c r="Q301" i="5"/>
  <c r="R301" i="5" s="1"/>
  <c r="M454" i="34"/>
  <c r="N454" i="34" s="1"/>
  <c r="O454" i="34" s="1"/>
  <c r="P454" i="34" s="1"/>
  <c r="Q1803" i="6"/>
  <c r="R1803" i="6" s="1"/>
  <c r="Q451" i="4"/>
  <c r="R451" i="4" s="1"/>
  <c r="Q954" i="7"/>
  <c r="Q1126" i="7"/>
  <c r="R1126" i="7" s="1"/>
  <c r="Q1893" i="6"/>
  <c r="R1893" i="6" s="1"/>
  <c r="Q764" i="4"/>
  <c r="R764" i="4" s="1"/>
  <c r="Q1159" i="7"/>
  <c r="R1159" i="7" s="1"/>
  <c r="Q920" i="6"/>
  <c r="R920" i="6" s="1"/>
  <c r="Q903" i="4"/>
  <c r="R903" i="4" s="1"/>
  <c r="Q915" i="4"/>
  <c r="R915" i="4" s="1"/>
  <c r="Q1864" i="6"/>
  <c r="R1864" i="6" s="1"/>
  <c r="Q760" i="4"/>
  <c r="R760" i="4" s="1"/>
  <c r="Q1886" i="6"/>
  <c r="R1886" i="6" s="1"/>
  <c r="Q1865" i="6"/>
  <c r="R1865" i="6" s="1"/>
  <c r="Q1983" i="6"/>
  <c r="R1983" i="6" s="1"/>
  <c r="Q852" i="6"/>
  <c r="R852" i="6" s="1"/>
  <c r="Q645" i="4"/>
  <c r="R645" i="4" s="1"/>
  <c r="Q440" i="5"/>
  <c r="R440" i="5" s="1"/>
  <c r="Q1419" i="6"/>
  <c r="R1419" i="6" s="1"/>
  <c r="Q1920" i="6"/>
  <c r="R1920" i="6" s="1"/>
  <c r="Q522" i="7"/>
  <c r="R522" i="7" s="1"/>
  <c r="Q518" i="7"/>
  <c r="R518" i="7" s="1"/>
  <c r="Q1149" i="7"/>
  <c r="R1149" i="7" s="1"/>
  <c r="Q1414" i="6"/>
  <c r="R1414" i="6" s="1"/>
  <c r="Q488" i="7"/>
  <c r="R488" i="7" s="1"/>
  <c r="Q1142" i="7"/>
  <c r="R1142" i="7" s="1"/>
  <c r="Q930" i="7"/>
  <c r="R930" i="7" s="1"/>
  <c r="Q930" i="4"/>
  <c r="Q1114" i="7"/>
  <c r="R1114" i="7" s="1"/>
  <c r="Q1127" i="7"/>
  <c r="R1127" i="7" s="1"/>
  <c r="Q894" i="7"/>
  <c r="R894" i="7" s="1"/>
  <c r="Q1385" i="6"/>
  <c r="R1385" i="6" s="1"/>
  <c r="Q489" i="4"/>
  <c r="Q1175" i="6"/>
  <c r="R1175" i="6" s="1"/>
  <c r="Q498" i="4"/>
  <c r="R498" i="4" s="1"/>
  <c r="Q656" i="7"/>
  <c r="R656" i="7" s="1"/>
  <c r="Q1189" i="6"/>
  <c r="R1189" i="6" s="1"/>
  <c r="Q1437" i="6"/>
  <c r="R1437" i="6" s="1"/>
  <c r="Q1158" i="7"/>
  <c r="R1158" i="7" s="1"/>
  <c r="Q1152" i="7"/>
  <c r="R1152" i="7" s="1"/>
  <c r="Q839" i="7"/>
  <c r="R839" i="7" s="1"/>
  <c r="Q979" i="6"/>
  <c r="Q755" i="4"/>
  <c r="R755" i="4" s="1"/>
  <c r="Q1038" i="7"/>
  <c r="R1038" i="7" s="1"/>
  <c r="Q567" i="7"/>
  <c r="R567" i="7" s="1"/>
  <c r="Q552" i="7"/>
  <c r="R552" i="7" s="1"/>
  <c r="Q1188" i="6"/>
  <c r="R1188" i="6" s="1"/>
  <c r="Q903" i="6"/>
  <c r="R903" i="6" s="1"/>
  <c r="Q410" i="5"/>
  <c r="Q1884" i="6"/>
  <c r="R1884" i="6" s="1"/>
  <c r="Q1160" i="6"/>
  <c r="R1160" i="6" s="1"/>
  <c r="Q824" i="7"/>
  <c r="R824" i="7" s="1"/>
  <c r="Q282" i="5"/>
  <c r="R282" i="5" s="1"/>
  <c r="Q1183" i="6"/>
  <c r="R1183" i="6" s="1"/>
  <c r="Q715" i="4"/>
  <c r="R715" i="4" s="1"/>
  <c r="Q1132" i="7"/>
  <c r="R1132" i="7" s="1"/>
  <c r="Q1791" i="6"/>
  <c r="R1791" i="6" s="1"/>
  <c r="Q831" i="6"/>
  <c r="R831" i="6" s="1"/>
  <c r="Q651" i="4"/>
  <c r="R651" i="4" s="1"/>
  <c r="Q512" i="7"/>
  <c r="R512" i="7" s="1"/>
  <c r="Q500" i="4"/>
  <c r="R500" i="4" s="1"/>
  <c r="Q756" i="6"/>
  <c r="R756" i="6" s="1"/>
  <c r="Q1032" i="7"/>
  <c r="R1032" i="7" s="1"/>
  <c r="Q869" i="4"/>
  <c r="R869" i="4" s="1"/>
  <c r="Q1435" i="6"/>
  <c r="R1435" i="6" s="1"/>
  <c r="Q565" i="4"/>
  <c r="R565" i="4" s="1"/>
  <c r="Q898" i="4"/>
  <c r="R898" i="4" s="1"/>
  <c r="Q1407" i="6"/>
  <c r="Q521" i="4"/>
  <c r="R521" i="4" s="1"/>
  <c r="Q1174" i="6"/>
  <c r="R1174" i="6" s="1"/>
  <c r="Q62" i="5"/>
  <c r="Q895" i="6"/>
  <c r="R895" i="6" s="1"/>
  <c r="Q825" i="4"/>
  <c r="R825" i="4" s="1"/>
  <c r="Q523" i="7"/>
  <c r="R523" i="7" s="1"/>
  <c r="Q829" i="4"/>
  <c r="R829" i="4" s="1"/>
  <c r="Q993" i="6"/>
  <c r="R993" i="6" s="1"/>
  <c r="R211" i="6" s="1"/>
  <c r="Q340" i="5"/>
  <c r="R340" i="5" s="1"/>
  <c r="Q1411" i="6"/>
  <c r="R1411" i="6" s="1"/>
  <c r="Q1930" i="6"/>
  <c r="R1930" i="6" s="1"/>
  <c r="Q1422" i="6"/>
  <c r="R1422" i="6" s="1"/>
  <c r="Q842" i="6"/>
  <c r="R842" i="6" s="1"/>
  <c r="Q1147" i="7"/>
  <c r="R1147" i="7" s="1"/>
  <c r="Q1444" i="6"/>
  <c r="R1444" i="6" s="1"/>
  <c r="Q364" i="5"/>
  <c r="R364" i="5" s="1"/>
  <c r="Q1919" i="6"/>
  <c r="R1919" i="6" s="1"/>
  <c r="Q1440" i="6"/>
  <c r="R1440" i="6" s="1"/>
  <c r="Q510" i="7"/>
  <c r="R510" i="7" s="1"/>
  <c r="Q519" i="4"/>
  <c r="R519" i="4" s="1"/>
  <c r="Q883" i="7"/>
  <c r="R883" i="7" s="1"/>
  <c r="Q1872" i="6"/>
  <c r="R1872" i="6" s="1"/>
  <c r="Q1090" i="6"/>
  <c r="R1090" i="6" s="1"/>
  <c r="M421" i="34"/>
  <c r="N421" i="34" s="1"/>
  <c r="O421" i="34" s="1"/>
  <c r="P421" i="34" s="1"/>
  <c r="Q624" i="4"/>
  <c r="R624" i="4" s="1"/>
  <c r="Q971" i="6"/>
  <c r="R971" i="6" s="1"/>
  <c r="Q492" i="4"/>
  <c r="R492" i="4" s="1"/>
  <c r="Q280" i="5"/>
  <c r="R280" i="5" s="1"/>
  <c r="Q959" i="7"/>
  <c r="R959" i="7" s="1"/>
  <c r="Q404" i="5"/>
  <c r="R404" i="5" s="1"/>
  <c r="Q897" i="4"/>
  <c r="R897" i="4" s="1"/>
  <c r="Q925" i="6"/>
  <c r="R925" i="6" s="1"/>
  <c r="Q820" i="6"/>
  <c r="R820" i="6" s="1"/>
  <c r="Q575" i="4"/>
  <c r="R575" i="4" s="1"/>
  <c r="Q1408" i="6"/>
  <c r="R1408" i="6" s="1"/>
  <c r="Q1020" i="7"/>
  <c r="R1020" i="7" s="1"/>
  <c r="Q532" i="4"/>
  <c r="R532" i="4" s="1"/>
  <c r="Q1472" i="6"/>
  <c r="R1472" i="6" s="1"/>
  <c r="Q653" i="7"/>
  <c r="R653" i="7" s="1"/>
  <c r="Q1611" i="6"/>
  <c r="R1611" i="6" s="1"/>
  <c r="Q1738" i="6"/>
  <c r="R1738" i="6" s="1"/>
  <c r="Q778" i="6"/>
  <c r="R778" i="6" s="1"/>
  <c r="Q693" i="4"/>
  <c r="R693" i="4" s="1"/>
  <c r="Q1246" i="6"/>
  <c r="R1246" i="6" s="1"/>
  <c r="Q1480" i="6"/>
  <c r="R1480" i="6" s="1"/>
  <c r="Q1148" i="7"/>
  <c r="R1148" i="7" s="1"/>
  <c r="Q1888" i="6"/>
  <c r="R1888" i="6" s="1"/>
  <c r="Q1663" i="6"/>
  <c r="Q803" i="7"/>
  <c r="R803" i="7" s="1"/>
  <c r="Q344" i="5"/>
  <c r="R344" i="5" s="1"/>
  <c r="Q537" i="4"/>
  <c r="R537" i="4" s="1"/>
  <c r="Q704" i="4"/>
  <c r="R704" i="4" s="1"/>
  <c r="Q950" i="7"/>
  <c r="R950" i="7" s="1"/>
  <c r="M97" i="13"/>
  <c r="M55" i="13" s="1"/>
  <c r="N95" i="13"/>
  <c r="J216" i="34"/>
  <c r="J814" i="34" s="1"/>
  <c r="J259" i="3" s="1"/>
  <c r="H353" i="34"/>
  <c r="H473" i="34" s="1"/>
  <c r="O1009" i="7"/>
  <c r="O405" i="7" s="1"/>
  <c r="O54" i="7" s="1"/>
  <c r="M59" i="3" s="1"/>
  <c r="Z92" i="10"/>
  <c r="L233" i="3"/>
  <c r="E214" i="9"/>
  <c r="E216" i="9" s="1"/>
  <c r="C80" i="13"/>
  <c r="C71" i="3" s="1"/>
  <c r="P137" i="6"/>
  <c r="O177" i="6"/>
  <c r="N111" i="1"/>
  <c r="N114" i="1" s="1"/>
  <c r="N116" i="1" s="1"/>
  <c r="P1754" i="6"/>
  <c r="P577" i="6"/>
  <c r="P604" i="6" s="1"/>
  <c r="P2074" i="6" s="1"/>
  <c r="P53" i="6" s="1"/>
  <c r="AB217" i="10"/>
  <c r="AA136" i="11" s="1"/>
  <c r="AB136" i="11" s="1"/>
  <c r="AC136" i="11" s="1"/>
  <c r="P630" i="7"/>
  <c r="P1222" i="7" s="1"/>
  <c r="P179" i="7"/>
  <c r="P182" i="7" s="1"/>
  <c r="P42" i="7" s="1"/>
  <c r="N66" i="13" s="1"/>
  <c r="Z30" i="42"/>
  <c r="L30" i="42" s="1"/>
  <c r="L65" i="13"/>
  <c r="M192" i="15"/>
  <c r="L216" i="15"/>
  <c r="L137" i="15"/>
  <c r="L161" i="15" s="1"/>
  <c r="P920" i="7"/>
  <c r="O367" i="7"/>
  <c r="AA31" i="42"/>
  <c r="M31" i="42" s="1"/>
  <c r="N214" i="15"/>
  <c r="N159" i="15" s="1"/>
  <c r="M122" i="13"/>
  <c r="P373" i="7"/>
  <c r="P397" i="7" s="1"/>
  <c r="P43" i="7" s="1"/>
  <c r="M13" i="13" s="1"/>
  <c r="M49" i="13" s="1"/>
  <c r="P1002" i="7"/>
  <c r="P1225" i="7" s="1"/>
  <c r="P295" i="8"/>
  <c r="Q295" i="8" s="1"/>
  <c r="R295" i="8" s="1"/>
  <c r="R62" i="8" s="1"/>
  <c r="O62" i="8"/>
  <c r="P69" i="8"/>
  <c r="P1910" i="6"/>
  <c r="H252" i="3"/>
  <c r="H588" i="34"/>
  <c r="H239" i="34" s="1"/>
  <c r="I585" i="34"/>
  <c r="I586" i="34" s="1"/>
  <c r="L117" i="15"/>
  <c r="L108" i="15"/>
  <c r="P432" i="6"/>
  <c r="P637" i="4"/>
  <c r="M77" i="13"/>
  <c r="AA43" i="42" s="1"/>
  <c r="M43" i="42" s="1"/>
  <c r="N146" i="9"/>
  <c r="O1146" i="6"/>
  <c r="O354" i="6" s="1"/>
  <c r="P395" i="7"/>
  <c r="J46" i="15"/>
  <c r="J15" i="15" s="1"/>
  <c r="J55" i="15"/>
  <c r="J24" i="15" s="1"/>
  <c r="I471" i="34"/>
  <c r="I521" i="34"/>
  <c r="J288" i="34"/>
  <c r="J351" i="34" s="1"/>
  <c r="J553" i="34"/>
  <c r="J377" i="34"/>
  <c r="C343" i="34"/>
  <c r="K293" i="34"/>
  <c r="K525" i="34" s="1"/>
  <c r="K557" i="34"/>
  <c r="I495" i="34"/>
  <c r="I382" i="34"/>
  <c r="C506" i="34"/>
  <c r="C510" i="34" s="1"/>
  <c r="C397" i="34"/>
  <c r="C394" i="34"/>
  <c r="K320" i="34"/>
  <c r="F543" i="34"/>
  <c r="J598" i="34"/>
  <c r="J600" i="34" s="1"/>
  <c r="J241" i="34" s="1"/>
  <c r="J585" i="34"/>
  <c r="G1006" i="4"/>
  <c r="E81" i="13"/>
  <c r="L77" i="15"/>
  <c r="P278" i="6"/>
  <c r="P649" i="6"/>
  <c r="N15" i="6"/>
  <c r="M52" i="6"/>
  <c r="J104" i="13" s="1"/>
  <c r="P2075" i="6"/>
  <c r="O2075" i="6"/>
  <c r="L31" i="13" s="1"/>
  <c r="P152" i="6"/>
  <c r="M723" i="34"/>
  <c r="P433" i="6"/>
  <c r="N731" i="34"/>
  <c r="M767" i="34"/>
  <c r="Z12" i="42"/>
  <c r="L12" i="42" s="1"/>
  <c r="O1221" i="7"/>
  <c r="M5" i="3" s="1"/>
  <c r="K68" i="13"/>
  <c r="K124" i="13" s="1"/>
  <c r="K14" i="13"/>
  <c r="O395" i="7"/>
  <c r="O41" i="7" s="1"/>
  <c r="L12" i="13" s="1"/>
  <c r="M1211" i="7"/>
  <c r="M183" i="7"/>
  <c r="M1195" i="7" s="1"/>
  <c r="K23" i="15"/>
  <c r="K217" i="15"/>
  <c r="K138" i="15"/>
  <c r="K162" i="15" s="1"/>
  <c r="J217" i="15"/>
  <c r="J138" i="15"/>
  <c r="J162" i="15" s="1"/>
  <c r="K739" i="34"/>
  <c r="K215" i="34" s="1"/>
  <c r="M642" i="7"/>
  <c r="P178" i="7"/>
  <c r="AO12" i="42"/>
  <c r="P48" i="8"/>
  <c r="P119" i="8"/>
  <c r="L318" i="15"/>
  <c r="O148" i="8"/>
  <c r="M25" i="17"/>
  <c r="M10" i="17" s="1"/>
  <c r="M103" i="17" s="1"/>
  <c r="P342" i="8"/>
  <c r="Q342" i="8" s="1"/>
  <c r="R342" i="8" s="1"/>
  <c r="M27" i="16"/>
  <c r="M12" i="16" s="1"/>
  <c r="N245" i="15"/>
  <c r="BC21" i="42"/>
  <c r="N116" i="15" s="1"/>
  <c r="O548" i="8"/>
  <c r="M27" i="17"/>
  <c r="M12" i="17" s="1"/>
  <c r="M296" i="15" s="1"/>
  <c r="T22" i="20"/>
  <c r="P426" i="6"/>
  <c r="F392" i="34"/>
  <c r="F509" i="34" s="1"/>
  <c r="M404" i="4"/>
  <c r="K9" i="12" s="1"/>
  <c r="P409" i="6"/>
  <c r="N2073" i="6"/>
  <c r="S52" i="37"/>
  <c r="S61" i="37" s="1"/>
  <c r="S63" i="37" s="1"/>
  <c r="N727" i="34"/>
  <c r="N769" i="34"/>
  <c r="P324" i="6"/>
  <c r="N728" i="34"/>
  <c r="M727" i="34"/>
  <c r="J105" i="13"/>
  <c r="K687" i="34"/>
  <c r="K681" i="34" s="1"/>
  <c r="L793" i="34"/>
  <c r="L799" i="34" s="1"/>
  <c r="L813" i="34"/>
  <c r="L258" i="3" s="1"/>
  <c r="L737" i="34"/>
  <c r="L749" i="34" s="1"/>
  <c r="L751" i="34" s="1"/>
  <c r="K259" i="15"/>
  <c r="K113" i="16"/>
  <c r="P201" i="6"/>
  <c r="N2076" i="6"/>
  <c r="L100" i="40"/>
  <c r="Z40" i="42" s="1"/>
  <c r="AM54" i="42"/>
  <c r="Q12" i="20"/>
  <c r="Q16" i="20" s="1"/>
  <c r="H177" i="3" s="1"/>
  <c r="AV68" i="21"/>
  <c r="L76" i="21" s="1"/>
  <c r="AW121" i="22"/>
  <c r="P300" i="8"/>
  <c r="Q300" i="8" s="1"/>
  <c r="R300" i="8" s="1"/>
  <c r="P422" i="45"/>
  <c r="P127" i="8"/>
  <c r="P120" i="8"/>
  <c r="BE81" i="9"/>
  <c r="M233" i="3" s="1"/>
  <c r="P65" i="8"/>
  <c r="P421" i="45"/>
  <c r="O66" i="8"/>
  <c r="P318" i="8"/>
  <c r="Q318" i="8" s="1"/>
  <c r="R318" i="8" s="1"/>
  <c r="N431" i="45"/>
  <c r="N432" i="45" s="1"/>
  <c r="N433" i="45" s="1"/>
  <c r="CJ90" i="22"/>
  <c r="CJ121" i="22" s="1"/>
  <c r="O428" i="45"/>
  <c r="O430" i="45" s="1"/>
  <c r="BA90" i="22"/>
  <c r="AT3" i="22"/>
  <c r="AW3" i="21"/>
  <c r="AP78" i="22"/>
  <c r="AP121" i="22" s="1"/>
  <c r="M72" i="16"/>
  <c r="M76" i="3" s="1"/>
  <c r="O304" i="45"/>
  <c r="M770" i="34"/>
  <c r="J4" i="12"/>
  <c r="M399" i="4" s="1"/>
  <c r="M21" i="40"/>
  <c r="P876" i="6" s="1"/>
  <c r="K30" i="5"/>
  <c r="P495" i="6"/>
  <c r="N745" i="6"/>
  <c r="U99" i="37"/>
  <c r="O701" i="6"/>
  <c r="I777" i="34"/>
  <c r="I101" i="14"/>
  <c r="R58" i="14" s="1"/>
  <c r="P350" i="7"/>
  <c r="M773" i="34"/>
  <c r="M771" i="34"/>
  <c r="Z234" i="10"/>
  <c r="AB234" i="10" s="1"/>
  <c r="AA152" i="11" s="1"/>
  <c r="AB152" i="11" s="1"/>
  <c r="AC152" i="11" s="1"/>
  <c r="Y7" i="42"/>
  <c r="L39" i="15" s="1"/>
  <c r="F453" i="34"/>
  <c r="K316" i="15"/>
  <c r="K267" i="15"/>
  <c r="M64" i="12"/>
  <c r="O29" i="45"/>
  <c r="H20" i="13"/>
  <c r="H23" i="13" s="1"/>
  <c r="S79" i="42"/>
  <c r="P45" i="8"/>
  <c r="O45" i="8"/>
  <c r="M71" i="15" s="1"/>
  <c r="P867" i="4"/>
  <c r="O330" i="4"/>
  <c r="N1363" i="6"/>
  <c r="N1366" i="6" s="1"/>
  <c r="N1374" i="6" s="1"/>
  <c r="O231" i="4"/>
  <c r="E51" i="15"/>
  <c r="B246" i="42" s="1"/>
  <c r="I22" i="42"/>
  <c r="P161" i="45"/>
  <c r="P165" i="45" s="1"/>
  <c r="P169" i="45" s="1"/>
  <c r="P170" i="45" s="1"/>
  <c r="P301" i="7"/>
  <c r="M72" i="1"/>
  <c r="N63" i="1"/>
  <c r="J44" i="15"/>
  <c r="CI66" i="21"/>
  <c r="O869" i="6"/>
  <c r="P869" i="6"/>
  <c r="L698" i="34"/>
  <c r="N280" i="6"/>
  <c r="P998" i="6"/>
  <c r="Q998" i="6" s="1"/>
  <c r="R998" i="6" s="1"/>
  <c r="O216" i="6"/>
  <c r="O222" i="6" s="1"/>
  <c r="O1004" i="6"/>
  <c r="J32" i="13"/>
  <c r="J51" i="13" s="1"/>
  <c r="M55" i="6"/>
  <c r="X22" i="42" s="1"/>
  <c r="P698" i="6"/>
  <c r="O30" i="1"/>
  <c r="P628" i="6"/>
  <c r="O106" i="8"/>
  <c r="O50" i="1"/>
  <c r="P141" i="8"/>
  <c r="O451" i="6"/>
  <c r="O456" i="6" s="1"/>
  <c r="O1365" i="6"/>
  <c r="P1359" i="6"/>
  <c r="Q1359" i="6" s="1"/>
  <c r="R1359" i="6" s="1"/>
  <c r="CK90" i="22"/>
  <c r="CK121" i="22" s="1"/>
  <c r="BE90" i="22"/>
  <c r="N558" i="8"/>
  <c r="N159" i="8" s="1"/>
  <c r="N32" i="8" s="1"/>
  <c r="L39" i="17"/>
  <c r="O450" i="6"/>
  <c r="O455" i="6" s="1"/>
  <c r="O1364" i="6"/>
  <c r="I218" i="15"/>
  <c r="I163" i="15"/>
  <c r="N704" i="34"/>
  <c r="M706" i="34"/>
  <c r="M211" i="34" s="1"/>
  <c r="M823" i="34" s="1"/>
  <c r="I69" i="13"/>
  <c r="W34" i="42"/>
  <c r="I34" i="42" s="1"/>
  <c r="J194" i="15"/>
  <c r="J139" i="15" s="1"/>
  <c r="K111" i="17"/>
  <c r="AZ49" i="42"/>
  <c r="K308" i="15"/>
  <c r="O273" i="6"/>
  <c r="O1072" i="6"/>
  <c r="P1066" i="6"/>
  <c r="Q1066" i="6" s="1"/>
  <c r="R1066" i="6" s="1"/>
  <c r="L72" i="16"/>
  <c r="L76" i="3" s="1"/>
  <c r="L74" i="21"/>
  <c r="N356" i="8"/>
  <c r="N94" i="8" s="1"/>
  <c r="P1623" i="6"/>
  <c r="O504" i="6"/>
  <c r="M74" i="21"/>
  <c r="N68" i="21"/>
  <c r="P357" i="8" s="1"/>
  <c r="AZ64" i="21"/>
  <c r="CI64" i="21"/>
  <c r="P809" i="7"/>
  <c r="Q809" i="7" s="1"/>
  <c r="R809" i="7" s="1"/>
  <c r="T17" i="26"/>
  <c r="U21" i="26"/>
  <c r="P260" i="6"/>
  <c r="T100" i="37"/>
  <c r="U12" i="37"/>
  <c r="V12" i="37" s="1"/>
  <c r="P1232" i="6"/>
  <c r="O376" i="6"/>
  <c r="O1221" i="6"/>
  <c r="O366" i="6" s="1"/>
  <c r="O1175" i="7"/>
  <c r="O1223" i="7" s="1"/>
  <c r="P1169" i="7"/>
  <c r="Q1169" i="7" s="1"/>
  <c r="R1169" i="7" s="1"/>
  <c r="O452" i="7"/>
  <c r="O458" i="7" s="1"/>
  <c r="O45" i="7" s="1"/>
  <c r="M154" i="34"/>
  <c r="P307" i="7"/>
  <c r="U16" i="26"/>
  <c r="P308" i="7"/>
  <c r="P601" i="7"/>
  <c r="P807" i="7"/>
  <c r="T23" i="26"/>
  <c r="BN115" i="9"/>
  <c r="P285" i="4"/>
  <c r="P832" i="4"/>
  <c r="O286" i="4"/>
  <c r="M55" i="7"/>
  <c r="K67" i="3" s="1"/>
  <c r="N776" i="34"/>
  <c r="M12" i="5"/>
  <c r="J18" i="13" s="1"/>
  <c r="K780" i="34"/>
  <c r="F173" i="3"/>
  <c r="F175" i="3" s="1"/>
  <c r="I158" i="8"/>
  <c r="I31" i="8" s="1"/>
  <c r="K158" i="8"/>
  <c r="K31" i="8" s="1"/>
  <c r="P583" i="8"/>
  <c r="J158" i="8"/>
  <c r="J31" i="8" s="1"/>
  <c r="N107" i="8"/>
  <c r="BA8" i="42" s="1"/>
  <c r="P278" i="8"/>
  <c r="Q278" i="8" s="1"/>
  <c r="R278" i="8" s="1"/>
  <c r="N43" i="8"/>
  <c r="AM7" i="42" s="1"/>
  <c r="BA7" i="42"/>
  <c r="L101" i="15" s="1"/>
  <c r="N86" i="17"/>
  <c r="O66" i="1"/>
  <c r="BD60" i="21"/>
  <c r="CJ60" i="21"/>
  <c r="CJ9" i="21"/>
  <c r="BD78" i="22"/>
  <c r="BD121" i="22" s="1"/>
  <c r="P57" i="8"/>
  <c r="M90" i="16"/>
  <c r="M34" i="16" s="1"/>
  <c r="L359" i="4"/>
  <c r="L23" i="4" s="1"/>
  <c r="L34" i="4" s="1"/>
  <c r="K23" i="4"/>
  <c r="K34" i="4" s="1"/>
  <c r="K361" i="4"/>
  <c r="J361" i="4"/>
  <c r="J363" i="4" s="1"/>
  <c r="O362" i="4"/>
  <c r="P362" i="4"/>
  <c r="I959" i="4"/>
  <c r="I374" i="4"/>
  <c r="BN121" i="9"/>
  <c r="CU121" i="9"/>
  <c r="U28" i="37"/>
  <c r="U27" i="37"/>
  <c r="CU120" i="9"/>
  <c r="BN120" i="9"/>
  <c r="P370" i="7"/>
  <c r="AD58" i="10"/>
  <c r="AY3" i="22"/>
  <c r="AY78" i="22" s="1"/>
  <c r="AY121" i="22" s="1"/>
  <c r="BB3" i="21"/>
  <c r="BA3" i="22"/>
  <c r="BA78" i="22" s="1"/>
  <c r="BD3" i="21"/>
  <c r="N83" i="21"/>
  <c r="O1185" i="7"/>
  <c r="O468" i="7" s="1"/>
  <c r="N61" i="9"/>
  <c r="N63" i="9" s="1"/>
  <c r="N81" i="9"/>
  <c r="N108" i="9"/>
  <c r="O108" i="9" s="1"/>
  <c r="P108" i="9" s="1"/>
  <c r="N31" i="17"/>
  <c r="N31" i="16"/>
  <c r="N64" i="12"/>
  <c r="N96" i="12" s="1"/>
  <c r="N28" i="12"/>
  <c r="M72" i="13"/>
  <c r="M34" i="17"/>
  <c r="BB45" i="42" s="1"/>
  <c r="P182" i="8"/>
  <c r="P46" i="8" s="1"/>
  <c r="P84" i="8"/>
  <c r="P423" i="45"/>
  <c r="P290" i="45"/>
  <c r="P381" i="8"/>
  <c r="P108" i="8" s="1"/>
  <c r="P541" i="8"/>
  <c r="Q541" i="8" s="1"/>
  <c r="R541" i="8" s="1"/>
  <c r="P55" i="8"/>
  <c r="P788" i="7"/>
  <c r="P845" i="7"/>
  <c r="P313" i="7" s="1"/>
  <c r="O76" i="7"/>
  <c r="P491" i="7"/>
  <c r="O312" i="7"/>
  <c r="P844" i="7"/>
  <c r="O622" i="7"/>
  <c r="P609" i="7"/>
  <c r="Q609" i="7" s="1"/>
  <c r="O77" i="7"/>
  <c r="P492" i="7"/>
  <c r="P1174" i="7"/>
  <c r="P1221" i="7" s="1"/>
  <c r="N5" i="3" s="1"/>
  <c r="P451" i="7"/>
  <c r="P457" i="7" s="1"/>
  <c r="O74" i="7"/>
  <c r="P487" i="7"/>
  <c r="Q487" i="7" s="1"/>
  <c r="R487" i="7" s="1"/>
  <c r="O161" i="7"/>
  <c r="O314" i="7"/>
  <c r="P846" i="7"/>
  <c r="O258" i="7"/>
  <c r="P739" i="7"/>
  <c r="Q739" i="7" s="1"/>
  <c r="O377" i="7"/>
  <c r="P963" i="7"/>
  <c r="AA60" i="10"/>
  <c r="P958" i="7"/>
  <c r="AA59" i="10"/>
  <c r="AA92" i="10" s="1"/>
  <c r="P957" i="7"/>
  <c r="O206" i="7"/>
  <c r="P654" i="7"/>
  <c r="Q654" i="7" s="1"/>
  <c r="R654" i="7" s="1"/>
  <c r="P7" i="7"/>
  <c r="N218" i="6"/>
  <c r="N24" i="6" s="1"/>
  <c r="N40" i="6" s="1"/>
  <c r="M24" i="6"/>
  <c r="M40" i="6" s="1"/>
  <c r="O579" i="6"/>
  <c r="P868" i="6"/>
  <c r="O140" i="6"/>
  <c r="P859" i="6"/>
  <c r="Q859" i="6" s="1"/>
  <c r="R859" i="6" s="1"/>
  <c r="P823" i="6"/>
  <c r="P130" i="6"/>
  <c r="P897" i="6"/>
  <c r="O476" i="6"/>
  <c r="P1585" i="6"/>
  <c r="P1220" i="6"/>
  <c r="P377" i="6"/>
  <c r="O661" i="6"/>
  <c r="P1908" i="6"/>
  <c r="P1784" i="6"/>
  <c r="O435" i="6"/>
  <c r="P1354" i="6"/>
  <c r="O660" i="6"/>
  <c r="P1907" i="6"/>
  <c r="O35" i="45"/>
  <c r="P1103" i="6"/>
  <c r="Q1103" i="6" s="1"/>
  <c r="R1103" i="6" s="1"/>
  <c r="O668" i="6"/>
  <c r="P1926" i="6"/>
  <c r="O153" i="6"/>
  <c r="P153" i="6"/>
  <c r="P899" i="6"/>
  <c r="O90" i="6"/>
  <c r="P774" i="6"/>
  <c r="O323" i="6"/>
  <c r="P1120" i="6"/>
  <c r="O302" i="6"/>
  <c r="P1089" i="6"/>
  <c r="Q1089" i="6" s="1"/>
  <c r="R1089" i="6" s="1"/>
  <c r="O91" i="6"/>
  <c r="P775" i="6"/>
  <c r="N113" i="3" s="1"/>
  <c r="P262" i="6"/>
  <c r="P802" i="6"/>
  <c r="P103" i="6"/>
  <c r="P423" i="6"/>
  <c r="P1137" i="6"/>
  <c r="P337" i="6"/>
  <c r="P1721" i="6"/>
  <c r="P158" i="6"/>
  <c r="O662" i="6"/>
  <c r="P1909" i="6"/>
  <c r="P309" i="6"/>
  <c r="P1527" i="6"/>
  <c r="P1630" i="6"/>
  <c r="P507" i="6"/>
  <c r="P512" i="6" s="1"/>
  <c r="O160" i="6"/>
  <c r="O434" i="6"/>
  <c r="P1352" i="6"/>
  <c r="O783" i="6"/>
  <c r="P764" i="6"/>
  <c r="O88" i="6"/>
  <c r="P88" i="6"/>
  <c r="O155" i="6"/>
  <c r="P155" i="6"/>
  <c r="P1728" i="6"/>
  <c r="P586" i="6" s="1"/>
  <c r="O303" i="6"/>
  <c r="P1098" i="6"/>
  <c r="P14" i="6"/>
  <c r="N761" i="34"/>
  <c r="P194" i="6"/>
  <c r="P1224" i="6"/>
  <c r="P370" i="6" s="1"/>
  <c r="P1974" i="6"/>
  <c r="M9" i="58" s="1"/>
  <c r="P699" i="6"/>
  <c r="P378" i="6"/>
  <c r="O727" i="6"/>
  <c r="P2013" i="6"/>
  <c r="M22" i="58" s="1"/>
  <c r="O666" i="6"/>
  <c r="P1915" i="6"/>
  <c r="O87" i="6"/>
  <c r="P87" i="6"/>
  <c r="P1158" i="6"/>
  <c r="O154" i="6"/>
  <c r="P918" i="6"/>
  <c r="P1033" i="6"/>
  <c r="P1281" i="6"/>
  <c r="P1195" i="6"/>
  <c r="P327" i="6"/>
  <c r="P32" i="45"/>
  <c r="O161" i="6"/>
  <c r="P161" i="6"/>
  <c r="O344" i="6"/>
  <c r="O86" i="6"/>
  <c r="O665" i="6"/>
  <c r="P1912" i="6"/>
  <c r="O664" i="6"/>
  <c r="P1911" i="6"/>
  <c r="O659" i="6"/>
  <c r="P1906" i="6"/>
  <c r="O206" i="6"/>
  <c r="P980" i="6"/>
  <c r="O204" i="6"/>
  <c r="P978" i="6"/>
  <c r="Q978" i="6" s="1"/>
  <c r="P634" i="6"/>
  <c r="N17" i="5"/>
  <c r="N26" i="5" s="1"/>
  <c r="O99" i="5"/>
  <c r="O17" i="5" s="1"/>
  <c r="N101" i="5"/>
  <c r="N103" i="5" s="1"/>
  <c r="I19" i="13"/>
  <c r="I20" i="13" s="1"/>
  <c r="I23" i="13" s="1"/>
  <c r="P318" i="5"/>
  <c r="P320" i="5" s="1"/>
  <c r="P322" i="5" s="1"/>
  <c r="P332" i="5" s="1"/>
  <c r="L466" i="5"/>
  <c r="O320" i="5"/>
  <c r="O322" i="5" s="1"/>
  <c r="O332" i="5" s="1"/>
  <c r="L114" i="5"/>
  <c r="O153" i="4"/>
  <c r="P69" i="4"/>
  <c r="S89" i="19"/>
  <c r="O136" i="4"/>
  <c r="N21" i="4"/>
  <c r="O53" i="5"/>
  <c r="P233" i="5"/>
  <c r="P359" i="5"/>
  <c r="P135" i="5"/>
  <c r="O146" i="5"/>
  <c r="P382" i="5"/>
  <c r="O52" i="5"/>
  <c r="P220" i="5"/>
  <c r="Q220" i="5" s="1"/>
  <c r="R220" i="5" s="1"/>
  <c r="P416" i="5"/>
  <c r="P485" i="5"/>
  <c r="N6" i="3" s="1"/>
  <c r="P450" i="5"/>
  <c r="P193" i="5"/>
  <c r="P198" i="5" s="1"/>
  <c r="P447" i="5"/>
  <c r="P183" i="5"/>
  <c r="P256" i="5"/>
  <c r="P60" i="5"/>
  <c r="M131" i="34"/>
  <c r="N8" i="34"/>
  <c r="M138" i="34"/>
  <c r="N15" i="34"/>
  <c r="M140" i="34"/>
  <c r="N17" i="34"/>
  <c r="M132" i="34"/>
  <c r="N9" i="34"/>
  <c r="N444" i="34"/>
  <c r="M406" i="34"/>
  <c r="N89" i="34"/>
  <c r="M137" i="34"/>
  <c r="N14" i="34"/>
  <c r="O14" i="34" s="1"/>
  <c r="P14" i="34" s="1"/>
  <c r="P137" i="34" s="1"/>
  <c r="M146" i="34"/>
  <c r="N23" i="34"/>
  <c r="O23" i="34" s="1"/>
  <c r="P23" i="34" s="1"/>
  <c r="M607" i="34"/>
  <c r="N605" i="34"/>
  <c r="O605" i="34" s="1"/>
  <c r="P605" i="34" s="1"/>
  <c r="O343" i="4"/>
  <c r="P892" i="4"/>
  <c r="O278" i="4"/>
  <c r="P808" i="4"/>
  <c r="Q808" i="4" s="1"/>
  <c r="R808" i="4" s="1"/>
  <c r="P136" i="4"/>
  <c r="O122" i="4"/>
  <c r="P588" i="4"/>
  <c r="O342" i="4"/>
  <c r="P891" i="4"/>
  <c r="O188" i="4"/>
  <c r="P650" i="4"/>
  <c r="P329" i="4"/>
  <c r="O186" i="4"/>
  <c r="P644" i="4"/>
  <c r="O182" i="4"/>
  <c r="P633" i="4"/>
  <c r="Q633" i="4" s="1"/>
  <c r="R633" i="4" s="1"/>
  <c r="R182" i="4" s="1"/>
  <c r="O268" i="4"/>
  <c r="P798" i="4"/>
  <c r="Q798" i="4" s="1"/>
  <c r="R798" i="4" s="1"/>
  <c r="O229" i="4"/>
  <c r="P753" i="4"/>
  <c r="Q753" i="4" s="1"/>
  <c r="R753" i="4" s="1"/>
  <c r="P600" i="4"/>
  <c r="P618" i="4"/>
  <c r="Q618" i="4" s="1"/>
  <c r="R618" i="4" s="1"/>
  <c r="P874" i="4"/>
  <c r="O341" i="4"/>
  <c r="P896" i="4"/>
  <c r="O175" i="4"/>
  <c r="P626" i="4"/>
  <c r="O221" i="4"/>
  <c r="P742" i="4"/>
  <c r="P68" i="4"/>
  <c r="P340" i="4"/>
  <c r="P928" i="4"/>
  <c r="O121" i="4"/>
  <c r="P583" i="4"/>
  <c r="P929" i="4"/>
  <c r="P842" i="4"/>
  <c r="P292" i="4"/>
  <c r="P297" i="4" s="1"/>
  <c r="P689" i="4"/>
  <c r="B38" i="13"/>
  <c r="D534" i="34"/>
  <c r="C1000" i="4"/>
  <c r="B21" i="11"/>
  <c r="O1609" i="6"/>
  <c r="M116" i="3" s="1"/>
  <c r="M117" i="3" s="1"/>
  <c r="X81" i="42"/>
  <c r="N167" i="6"/>
  <c r="O7" i="6"/>
  <c r="M379" i="34"/>
  <c r="M497" i="34" s="1"/>
  <c r="I309" i="15"/>
  <c r="O1100" i="6"/>
  <c r="M1366" i="6"/>
  <c r="M1374" i="6" s="1"/>
  <c r="L2058" i="6"/>
  <c r="L223" i="6"/>
  <c r="M2058" i="6"/>
  <c r="M223" i="6"/>
  <c r="N698" i="6"/>
  <c r="N496" i="6"/>
  <c r="L758" i="34"/>
  <c r="J8" i="15"/>
  <c r="B20" i="15"/>
  <c r="O79" i="8"/>
  <c r="AN22" i="42" s="1"/>
  <c r="L86" i="15" s="1"/>
  <c r="L325" i="34" s="1"/>
  <c r="O348" i="8"/>
  <c r="N21" i="8"/>
  <c r="N85" i="8"/>
  <c r="O142" i="8"/>
  <c r="O149" i="8" s="1"/>
  <c r="BB34" i="42" s="1"/>
  <c r="BB22" i="42"/>
  <c r="M117" i="15" s="1"/>
  <c r="N315" i="6"/>
  <c r="N10" i="6" s="1"/>
  <c r="K597" i="34"/>
  <c r="O77" i="6"/>
  <c r="K57" i="34"/>
  <c r="K59" i="34" s="1"/>
  <c r="K155" i="15"/>
  <c r="AY42" i="42"/>
  <c r="I42" i="42" s="1"/>
  <c r="M307" i="45"/>
  <c r="L259" i="15"/>
  <c r="L113" i="16"/>
  <c r="C261" i="15"/>
  <c r="C114" i="16"/>
  <c r="C115" i="16" s="1"/>
  <c r="L256" i="15"/>
  <c r="L105" i="16"/>
  <c r="B261" i="15"/>
  <c r="B114" i="16"/>
  <c r="B115" i="16" s="1"/>
  <c r="J305" i="15"/>
  <c r="J120" i="17"/>
  <c r="L294" i="15"/>
  <c r="L103" i="17"/>
  <c r="K45" i="42"/>
  <c r="O20" i="8"/>
  <c r="A320" i="15"/>
  <c r="K609" i="34"/>
  <c r="K610" i="34" s="1"/>
  <c r="K612" i="34" s="1"/>
  <c r="K243" i="34" s="1"/>
  <c r="K70" i="15"/>
  <c r="H280" i="15"/>
  <c r="K195" i="8" s="1"/>
  <c r="Y33" i="42"/>
  <c r="K33" i="42" s="1"/>
  <c r="K558" i="34"/>
  <c r="I81" i="42"/>
  <c r="K573" i="34"/>
  <c r="AZ29" i="42"/>
  <c r="O628" i="6"/>
  <c r="N30" i="1"/>
  <c r="N31" i="1" s="1"/>
  <c r="M130" i="34"/>
  <c r="K335" i="7"/>
  <c r="O105" i="4"/>
  <c r="H206" i="3"/>
  <c r="X69" i="42"/>
  <c r="CT121" i="9"/>
  <c r="BI121" i="9"/>
  <c r="T28" i="37"/>
  <c r="BI120" i="9"/>
  <c r="T27" i="37"/>
  <c r="CT120" i="9"/>
  <c r="M18" i="5"/>
  <c r="M478" i="5"/>
  <c r="M506" i="5"/>
  <c r="M509" i="5" s="1"/>
  <c r="CT81" i="9"/>
  <c r="I98" i="34"/>
  <c r="H100" i="34"/>
  <c r="H539" i="34"/>
  <c r="H366" i="34"/>
  <c r="H485" i="34" s="1"/>
  <c r="F539" i="34"/>
  <c r="F366" i="34"/>
  <c r="F485" i="34" s="1"/>
  <c r="K379" i="34"/>
  <c r="K497" i="34" s="1"/>
  <c r="K555" i="34"/>
  <c r="H45" i="16"/>
  <c r="H120" i="16" s="1"/>
  <c r="E682" i="34"/>
  <c r="E197" i="34" s="1"/>
  <c r="C254" i="3"/>
  <c r="E481" i="34"/>
  <c r="E534" i="34"/>
  <c r="F481" i="34"/>
  <c r="F533" i="34"/>
  <c r="L428" i="34"/>
  <c r="J22" i="13"/>
  <c r="J103" i="13"/>
  <c r="K193" i="14"/>
  <c r="L193" i="14" s="1"/>
  <c r="M193" i="14" s="1"/>
  <c r="N193" i="14" s="1"/>
  <c r="O193" i="14" s="1"/>
  <c r="P193" i="14" s="1"/>
  <c r="M583" i="34"/>
  <c r="L193" i="15"/>
  <c r="L85" i="15"/>
  <c r="O255" i="6"/>
  <c r="O9" i="6" s="1"/>
  <c r="M763" i="34"/>
  <c r="J21" i="42"/>
  <c r="N497" i="5"/>
  <c r="H69" i="42"/>
  <c r="B14" i="42"/>
  <c r="N196" i="4"/>
  <c r="O78" i="4"/>
  <c r="O58" i="4"/>
  <c r="P59" i="42"/>
  <c r="N1197" i="6"/>
  <c r="N1199" i="6" s="1"/>
  <c r="N1210" i="6" s="1"/>
  <c r="N80" i="4"/>
  <c r="N18" i="4" s="1"/>
  <c r="N464" i="4"/>
  <c r="O182" i="8"/>
  <c r="O46" i="8" s="1"/>
  <c r="AN11" i="42" s="1"/>
  <c r="O381" i="8"/>
  <c r="M1253" i="6"/>
  <c r="M1255" i="6" s="1"/>
  <c r="M1266" i="6" s="1"/>
  <c r="N175" i="7"/>
  <c r="N181" i="7" s="1"/>
  <c r="N183" i="7" s="1"/>
  <c r="O130" i="5"/>
  <c r="O9" i="5" s="1"/>
  <c r="M164" i="6"/>
  <c r="M166" i="6" s="1"/>
  <c r="M169" i="6" s="1"/>
  <c r="L23" i="6"/>
  <c r="L39" i="6" s="1"/>
  <c r="O839" i="6"/>
  <c r="N139" i="6"/>
  <c r="N138" i="6"/>
  <c r="O92" i="6"/>
  <c r="CM211" i="9"/>
  <c r="B57" i="7"/>
  <c r="F24" i="9"/>
  <c r="F211" i="9" s="1"/>
  <c r="E80" i="13" s="1"/>
  <c r="C70" i="3"/>
  <c r="N154" i="4"/>
  <c r="N158" i="4"/>
  <c r="N169" i="45"/>
  <c r="N170" i="45" s="1"/>
  <c r="N171" i="45" s="1"/>
  <c r="BD193" i="9"/>
  <c r="CT193" i="9"/>
  <c r="BH193" i="9"/>
  <c r="AA222" i="10" s="1"/>
  <c r="O1640" i="6"/>
  <c r="O522" i="6" s="1"/>
  <c r="U120" i="10"/>
  <c r="M1183" i="7" s="1"/>
  <c r="M466" i="7" s="1"/>
  <c r="O165" i="45"/>
  <c r="AA58" i="10"/>
  <c r="Y59" i="10"/>
  <c r="O176" i="6"/>
  <c r="O130" i="6"/>
  <c r="O823" i="6"/>
  <c r="CT61" i="9"/>
  <c r="BH61" i="9"/>
  <c r="BH63" i="9" s="1"/>
  <c r="O1168" i="6"/>
  <c r="BH207" i="9"/>
  <c r="BI207" i="9" s="1"/>
  <c r="O2029" i="6"/>
  <c r="L46" i="58" s="1"/>
  <c r="L44" i="58" s="1"/>
  <c r="T71" i="37"/>
  <c r="CT97" i="9"/>
  <c r="BI97" i="9"/>
  <c r="X238" i="10"/>
  <c r="N2027" i="6" s="1"/>
  <c r="O631" i="6"/>
  <c r="O196" i="6"/>
  <c r="O8" i="6" s="1"/>
  <c r="G296" i="4"/>
  <c r="H296" i="4" s="1"/>
  <c r="G22" i="4"/>
  <c r="D26" i="34"/>
  <c r="K70" i="14"/>
  <c r="K71" i="14"/>
  <c r="N297" i="4"/>
  <c r="O938" i="6"/>
  <c r="L2057" i="6"/>
  <c r="K2037" i="6"/>
  <c r="O935" i="6"/>
  <c r="O937" i="6" s="1"/>
  <c r="N589" i="7"/>
  <c r="N387" i="5"/>
  <c r="N396" i="5" s="1"/>
  <c r="O221" i="6"/>
  <c r="N64" i="6"/>
  <c r="L61" i="3" s="1"/>
  <c r="M939" i="6"/>
  <c r="O210" i="6"/>
  <c r="CT112" i="9"/>
  <c r="BI112" i="9"/>
  <c r="N89" i="6"/>
  <c r="CT108" i="9"/>
  <c r="BI108" i="9"/>
  <c r="CT111" i="9"/>
  <c r="O168" i="45"/>
  <c r="BI111" i="9"/>
  <c r="O1013" i="6"/>
  <c r="O232" i="6" s="1"/>
  <c r="AY44" i="42"/>
  <c r="O1373" i="6"/>
  <c r="O8" i="5"/>
  <c r="M103" i="5"/>
  <c r="M658" i="4"/>
  <c r="M667" i="4" s="1"/>
  <c r="O279" i="4"/>
  <c r="O285" i="4"/>
  <c r="O292" i="4"/>
  <c r="O271" i="4"/>
  <c r="O232" i="4"/>
  <c r="O222" i="4"/>
  <c r="K36" i="17"/>
  <c r="AB114" i="10"/>
  <c r="X53" i="11"/>
  <c r="N406" i="7"/>
  <c r="N37" i="4"/>
  <c r="N16" i="5"/>
  <c r="N148" i="5"/>
  <c r="N506" i="5" s="1"/>
  <c r="O321" i="6"/>
  <c r="L478" i="5"/>
  <c r="M495" i="5"/>
  <c r="M500" i="5" s="1"/>
  <c r="N777" i="4"/>
  <c r="N779" i="4" s="1"/>
  <c r="N790" i="4" s="1"/>
  <c r="N436" i="6"/>
  <c r="O842" i="4"/>
  <c r="O978" i="4" s="1"/>
  <c r="M8" i="3" s="1"/>
  <c r="O804" i="4"/>
  <c r="Z8" i="42" s="1"/>
  <c r="M40" i="15" s="1"/>
  <c r="L128" i="22"/>
  <c r="O745" i="4"/>
  <c r="M759" i="34"/>
  <c r="O775" i="4"/>
  <c r="Y60" i="10"/>
  <c r="N1573" i="6"/>
  <c r="O1451" i="6"/>
  <c r="O1453" i="6" s="1"/>
  <c r="O1462" i="6" s="1"/>
  <c r="O1361" i="6"/>
  <c r="N465" i="6"/>
  <c r="O1558" i="6"/>
  <c r="O1560" i="6" s="1"/>
  <c r="O1562" i="6" s="1"/>
  <c r="N380" i="6"/>
  <c r="N27" i="6" s="1"/>
  <c r="O32" i="45"/>
  <c r="N656" i="4"/>
  <c r="J955" i="4"/>
  <c r="N629" i="7"/>
  <c r="N631" i="7" s="1"/>
  <c r="O168" i="7"/>
  <c r="K1197" i="7"/>
  <c r="N935" i="4"/>
  <c r="N937" i="4" s="1"/>
  <c r="N939" i="4" s="1"/>
  <c r="N948" i="4" s="1"/>
  <c r="O154" i="4"/>
  <c r="O629" i="4"/>
  <c r="N335" i="4"/>
  <c r="N12" i="4" s="1"/>
  <c r="O84" i="8"/>
  <c r="AN20" i="42"/>
  <c r="AN29" i="42" s="1"/>
  <c r="L84" i="15"/>
  <c r="O209" i="4"/>
  <c r="BA20" i="42"/>
  <c r="L115" i="15" s="1"/>
  <c r="BD54" i="9"/>
  <c r="CT54" i="9"/>
  <c r="O1067" i="7"/>
  <c r="BH54" i="9"/>
  <c r="P405" i="7" s="1"/>
  <c r="O329" i="4"/>
  <c r="O881" i="4"/>
  <c r="O330" i="7"/>
  <c r="O654" i="4"/>
  <c r="M39" i="17"/>
  <c r="M111" i="17" s="1"/>
  <c r="O558" i="8"/>
  <c r="O159" i="8" s="1"/>
  <c r="O159" i="6"/>
  <c r="BI177" i="9"/>
  <c r="CT174" i="9"/>
  <c r="BI174" i="9"/>
  <c r="CT146" i="9"/>
  <c r="CT141" i="9"/>
  <c r="BI141" i="9"/>
  <c r="O40" i="45"/>
  <c r="CT186" i="9"/>
  <c r="O1571" i="6"/>
  <c r="BI186" i="9"/>
  <c r="O293" i="45"/>
  <c r="N29" i="45"/>
  <c r="N36" i="45" s="1"/>
  <c r="O327" i="6"/>
  <c r="D37" i="20"/>
  <c r="D82" i="20" s="1"/>
  <c r="O290" i="45"/>
  <c r="O33" i="45"/>
  <c r="O264" i="6"/>
  <c r="O34" i="45"/>
  <c r="O378" i="6"/>
  <c r="O1224" i="6"/>
  <c r="O370" i="6" s="1"/>
  <c r="B976" i="4"/>
  <c r="L19" i="4"/>
  <c r="L30" i="4" s="1"/>
  <c r="A37" i="13"/>
  <c r="B998" i="4"/>
  <c r="I599" i="4"/>
  <c r="I601" i="4" s="1"/>
  <c r="I177" i="4"/>
  <c r="P101" i="42" s="1"/>
  <c r="R101" i="42" s="1"/>
  <c r="O340" i="4"/>
  <c r="O376" i="7"/>
  <c r="K67" i="17"/>
  <c r="O782" i="6"/>
  <c r="M127" i="22"/>
  <c r="M135" i="22" s="1"/>
  <c r="N127" i="22"/>
  <c r="C79" i="42"/>
  <c r="L80" i="20"/>
  <c r="M199" i="15"/>
  <c r="M144" i="15" s="1"/>
  <c r="O475" i="4"/>
  <c r="O92" i="4" s="1"/>
  <c r="O46" i="4" s="1"/>
  <c r="M62" i="3" s="1"/>
  <c r="L8" i="12"/>
  <c r="O403" i="4" s="1"/>
  <c r="L96" i="12"/>
  <c r="X7" i="10" s="1"/>
  <c r="X36" i="10" s="1"/>
  <c r="M91" i="4"/>
  <c r="O331" i="6"/>
  <c r="O330" i="6" s="1"/>
  <c r="O1195" i="6"/>
  <c r="O162" i="7"/>
  <c r="N295" i="45"/>
  <c r="N305" i="45" s="1"/>
  <c r="N306" i="45" s="1"/>
  <c r="L97" i="13"/>
  <c r="O292" i="45"/>
  <c r="O294" i="45"/>
  <c r="O291" i="45"/>
  <c r="K72" i="13"/>
  <c r="K55" i="13"/>
  <c r="Y41" i="42" s="1"/>
  <c r="O1292" i="6"/>
  <c r="N419" i="6"/>
  <c r="N12" i="6" s="1"/>
  <c r="N1227" i="6"/>
  <c r="L766" i="34" s="1"/>
  <c r="N367" i="6"/>
  <c r="N372" i="6" s="1"/>
  <c r="K395" i="6"/>
  <c r="K2041" i="6"/>
  <c r="O377" i="6"/>
  <c r="O1220" i="6"/>
  <c r="O1251" i="6"/>
  <c r="O507" i="6"/>
  <c r="O1630" i="6"/>
  <c r="M11" i="6"/>
  <c r="M43" i="6" s="1"/>
  <c r="M382" i="6"/>
  <c r="L384" i="6"/>
  <c r="L2061" i="6"/>
  <c r="L511" i="5"/>
  <c r="L476" i="5"/>
  <c r="L30" i="5"/>
  <c r="J14" i="3" s="1"/>
  <c r="M66" i="5"/>
  <c r="M68" i="5" s="1"/>
  <c r="M133" i="4"/>
  <c r="M96" i="7"/>
  <c r="M98" i="7" s="1"/>
  <c r="M322" i="7"/>
  <c r="M1213" i="7" s="1"/>
  <c r="L194" i="7"/>
  <c r="Z58" i="10"/>
  <c r="O345" i="7"/>
  <c r="O855" i="7"/>
  <c r="N94" i="7"/>
  <c r="N20" i="7" s="1"/>
  <c r="N32" i="7" s="1"/>
  <c r="N320" i="7"/>
  <c r="N24" i="7" s="1"/>
  <c r="N36" i="7" s="1"/>
  <c r="L149" i="7"/>
  <c r="L1193" i="7"/>
  <c r="M10" i="7"/>
  <c r="O525" i="7"/>
  <c r="O527" i="7" s="1"/>
  <c r="O529" i="7" s="1"/>
  <c r="O538" i="7" s="1"/>
  <c r="Y58" i="10"/>
  <c r="I75" i="13"/>
  <c r="S72" i="14" s="1"/>
  <c r="L132" i="13"/>
  <c r="BI29" i="9"/>
  <c r="O277" i="7"/>
  <c r="K137" i="4"/>
  <c r="K968" i="4"/>
  <c r="L135" i="4"/>
  <c r="I7" i="42"/>
  <c r="AD59" i="42"/>
  <c r="M138" i="7"/>
  <c r="M1209" i="7"/>
  <c r="K12" i="42"/>
  <c r="N56" i="5"/>
  <c r="N66" i="5" s="1"/>
  <c r="O170" i="4"/>
  <c r="B93" i="8"/>
  <c r="B92" i="8"/>
  <c r="O424" i="45"/>
  <c r="A47" i="17"/>
  <c r="N441" i="7"/>
  <c r="N442" i="7" s="1"/>
  <c r="L109" i="7"/>
  <c r="L1192" i="7"/>
  <c r="L467" i="5"/>
  <c r="L163" i="5"/>
  <c r="O135" i="5"/>
  <c r="O383" i="5"/>
  <c r="O385" i="5" s="1"/>
  <c r="N439" i="7"/>
  <c r="O1000" i="6"/>
  <c r="O1496" i="6"/>
  <c r="O1498" i="6" s="1"/>
  <c r="Z220" i="10" s="1"/>
  <c r="O1504" i="6" s="1"/>
  <c r="M199" i="5"/>
  <c r="M479" i="5"/>
  <c r="N507" i="5"/>
  <c r="N19" i="5"/>
  <c r="N28" i="5" s="1"/>
  <c r="N197" i="5"/>
  <c r="O183" i="5"/>
  <c r="O195" i="5" s="1"/>
  <c r="O447" i="5"/>
  <c r="O449" i="5" s="1"/>
  <c r="O451" i="5" s="1"/>
  <c r="O459" i="5" s="1"/>
  <c r="L468" i="5"/>
  <c r="L210" i="5"/>
  <c r="O198" i="5"/>
  <c r="M467" i="5"/>
  <c r="M163" i="5"/>
  <c r="N174" i="4"/>
  <c r="N722" i="4"/>
  <c r="N724" i="4" s="1"/>
  <c r="N732" i="4" s="1"/>
  <c r="O711" i="4"/>
  <c r="O720" i="4" s="1"/>
  <c r="O689" i="4"/>
  <c r="O109" i="4"/>
  <c r="O157" i="4" s="1"/>
  <c r="J1061" i="6"/>
  <c r="L465" i="5"/>
  <c r="L79" i="5"/>
  <c r="O238" i="5"/>
  <c r="O258" i="5" s="1"/>
  <c r="O260" i="5" s="1"/>
  <c r="O271" i="5" s="1"/>
  <c r="N502" i="4"/>
  <c r="M155" i="4"/>
  <c r="M160" i="4" s="1"/>
  <c r="M111" i="4"/>
  <c r="M8" i="4" s="1"/>
  <c r="L77" i="13"/>
  <c r="K119" i="13"/>
  <c r="Y43" i="42"/>
  <c r="L203" i="15"/>
  <c r="J75" i="13"/>
  <c r="X44" i="42" s="1"/>
  <c r="AZ209" i="9"/>
  <c r="AZ211" i="9" s="1"/>
  <c r="N759" i="7"/>
  <c r="N770" i="7" s="1"/>
  <c r="Y220" i="10"/>
  <c r="X139" i="11" s="1"/>
  <c r="N1509" i="6"/>
  <c r="M1509" i="6"/>
  <c r="I98" i="3"/>
  <c r="H98" i="3"/>
  <c r="G44" i="17"/>
  <c r="G81" i="3" s="1"/>
  <c r="G82" i="3" s="1"/>
  <c r="H103" i="19"/>
  <c r="AF50" i="42"/>
  <c r="E491" i="34" s="1"/>
  <c r="E549" i="34" s="1"/>
  <c r="E517" i="34" s="1"/>
  <c r="AE50" i="42"/>
  <c r="D491" i="34" s="1"/>
  <c r="D549" i="34" s="1"/>
  <c r="P35" i="19"/>
  <c r="N35" i="19"/>
  <c r="H143" i="13"/>
  <c r="I202" i="15"/>
  <c r="I147" i="15" s="1"/>
  <c r="Q72" i="14"/>
  <c r="V44" i="42"/>
  <c r="BE86" i="9"/>
  <c r="BE168" i="9" s="1"/>
  <c r="AP211" i="9"/>
  <c r="M40" i="16"/>
  <c r="AN49" i="42" s="1"/>
  <c r="AN52" i="42" s="1"/>
  <c r="O357" i="8"/>
  <c r="O95" i="8" s="1"/>
  <c r="N402" i="4"/>
  <c r="L7" i="12" s="1"/>
  <c r="L144" i="15"/>
  <c r="N1009" i="4"/>
  <c r="L268" i="7"/>
  <c r="L1210" i="7"/>
  <c r="K1194" i="7"/>
  <c r="K279" i="7"/>
  <c r="M23" i="7"/>
  <c r="M35" i="7" s="1"/>
  <c r="M266" i="7"/>
  <c r="K102" i="13"/>
  <c r="N264" i="7"/>
  <c r="O755" i="7"/>
  <c r="O757" i="7" s="1"/>
  <c r="M75" i="20"/>
  <c r="M69" i="20"/>
  <c r="Z69" i="11"/>
  <c r="K76" i="11"/>
  <c r="K5" i="12"/>
  <c r="L135" i="14" l="1"/>
  <c r="V19" i="14" s="1"/>
  <c r="I195" i="14"/>
  <c r="I126" i="14" s="1"/>
  <c r="K175" i="14"/>
  <c r="L84" i="14" s="1"/>
  <c r="J835" i="4"/>
  <c r="J289" i="4" s="1"/>
  <c r="J316" i="4" s="1"/>
  <c r="R1009" i="7"/>
  <c r="R405" i="7" s="1"/>
  <c r="O77" i="13"/>
  <c r="R68" i="8"/>
  <c r="Q182" i="8"/>
  <c r="Q46" i="8" s="1"/>
  <c r="R174" i="8"/>
  <c r="Q125" i="8"/>
  <c r="R63" i="8"/>
  <c r="Q121" i="8"/>
  <c r="BD12" i="42"/>
  <c r="R64" i="8"/>
  <c r="P56" i="8"/>
  <c r="Q381" i="8"/>
  <c r="Q108" i="8" s="1"/>
  <c r="R370" i="8"/>
  <c r="P294" i="45"/>
  <c r="Q130" i="8"/>
  <c r="R61" i="8"/>
  <c r="AO21" i="42"/>
  <c r="N85" i="15" s="1"/>
  <c r="R308" i="7"/>
  <c r="R752" i="7"/>
  <c r="R262" i="7" s="1"/>
  <c r="Q262" i="7"/>
  <c r="R206" i="7"/>
  <c r="R219" i="7"/>
  <c r="R127" i="7"/>
  <c r="R207" i="7"/>
  <c r="R325" i="6"/>
  <c r="Q1974" i="6"/>
  <c r="Q699" i="6"/>
  <c r="Y139" i="11"/>
  <c r="Z139" i="11" s="1"/>
  <c r="P548" i="6"/>
  <c r="P30" i="6" s="1"/>
  <c r="P46" i="6" s="1"/>
  <c r="Q1277" i="6"/>
  <c r="R1277" i="6" s="1"/>
  <c r="R404" i="6" s="1"/>
  <c r="Q429" i="6"/>
  <c r="R670" i="6"/>
  <c r="R149" i="6"/>
  <c r="R441" i="6"/>
  <c r="R669" i="6"/>
  <c r="R146" i="6"/>
  <c r="R1663" i="6"/>
  <c r="R541" i="6" s="1"/>
  <c r="Q541" i="6"/>
  <c r="Q423" i="6"/>
  <c r="R155" i="6"/>
  <c r="P8" i="5"/>
  <c r="R176" i="5"/>
  <c r="R395" i="4"/>
  <c r="Q61" i="4"/>
  <c r="R229" i="4"/>
  <c r="R116" i="4"/>
  <c r="R262" i="6"/>
  <c r="R326" i="6"/>
  <c r="Q253" i="6"/>
  <c r="R1030" i="6"/>
  <c r="R253" i="6" s="1"/>
  <c r="R1662" i="6"/>
  <c r="R540" i="6" s="1"/>
  <c r="Q248" i="6"/>
  <c r="R1026" i="6"/>
  <c r="R248" i="6" s="1"/>
  <c r="R1974" i="6"/>
  <c r="O9" i="58" s="1"/>
  <c r="R699" i="6"/>
  <c r="Q246" i="6"/>
  <c r="R1024" i="6"/>
  <c r="R125" i="5"/>
  <c r="R61" i="5"/>
  <c r="R186" i="5"/>
  <c r="R439" i="7"/>
  <c r="L202" i="15"/>
  <c r="L147" i="15" s="1"/>
  <c r="Y44" i="42"/>
  <c r="K143" i="13"/>
  <c r="AG84" i="11"/>
  <c r="AJ3" i="11"/>
  <c r="AJ84" i="11" s="1"/>
  <c r="AH84" i="11"/>
  <c r="AK3" i="11"/>
  <c r="AK84" i="11" s="1"/>
  <c r="AF84" i="11"/>
  <c r="AI3" i="11"/>
  <c r="AI84" i="11" s="1"/>
  <c r="AG109" i="10"/>
  <c r="AG201" i="10" s="1"/>
  <c r="AJ3" i="10"/>
  <c r="AJ109" i="10" s="1"/>
  <c r="AJ201" i="10" s="1"/>
  <c r="O61" i="9"/>
  <c r="R302" i="6"/>
  <c r="R348" i="8"/>
  <c r="R79" i="8"/>
  <c r="P27" i="16"/>
  <c r="P12" i="16" s="1"/>
  <c r="P247" i="15" s="1"/>
  <c r="P269" i="15" s="1"/>
  <c r="R1474" i="6"/>
  <c r="R415" i="6"/>
  <c r="Q137" i="5"/>
  <c r="R370" i="5"/>
  <c r="R137" i="5" s="1"/>
  <c r="P716" i="34"/>
  <c r="Q98" i="6"/>
  <c r="R791" i="6"/>
  <c r="Q1489" i="6"/>
  <c r="Q1494" i="6" s="1"/>
  <c r="R1488" i="6"/>
  <c r="R1489" i="6" s="1"/>
  <c r="R713" i="6"/>
  <c r="O17" i="58"/>
  <c r="Q703" i="6"/>
  <c r="R1978" i="6"/>
  <c r="R703" i="6" s="1"/>
  <c r="Q171" i="4"/>
  <c r="R619" i="4"/>
  <c r="R171" i="4" s="1"/>
  <c r="R344" i="4"/>
  <c r="R714" i="6"/>
  <c r="O18" i="58"/>
  <c r="R117" i="4"/>
  <c r="R409" i="6"/>
  <c r="P768" i="34"/>
  <c r="R231" i="4"/>
  <c r="R106" i="4"/>
  <c r="Q351" i="4"/>
  <c r="R927" i="4"/>
  <c r="R351" i="4" s="1"/>
  <c r="R148" i="6"/>
  <c r="Q350" i="4"/>
  <c r="R926" i="4"/>
  <c r="R350" i="4" s="1"/>
  <c r="R721" i="6"/>
  <c r="O20" i="58"/>
  <c r="Q208" i="6"/>
  <c r="R988" i="6"/>
  <c r="R208" i="6" s="1"/>
  <c r="Q222" i="4"/>
  <c r="R743" i="4"/>
  <c r="R222" i="4" s="1"/>
  <c r="Q711" i="4"/>
  <c r="Q720" i="4" s="1"/>
  <c r="Q191" i="4" s="1"/>
  <c r="R685" i="4"/>
  <c r="R711" i="4" s="1"/>
  <c r="Q60" i="5"/>
  <c r="R245" i="5"/>
  <c r="Q69" i="8"/>
  <c r="R337" i="8"/>
  <c r="R69" i="8" s="1"/>
  <c r="Q58" i="8"/>
  <c r="R257" i="8"/>
  <c r="R58" i="8" s="1"/>
  <c r="Q60" i="4"/>
  <c r="R393" i="4"/>
  <c r="R60" i="4" s="1"/>
  <c r="O772" i="34"/>
  <c r="R396" i="4"/>
  <c r="P772" i="34" s="1"/>
  <c r="Q263" i="6"/>
  <c r="R1055" i="6"/>
  <c r="R263" i="6" s="1"/>
  <c r="R109" i="8"/>
  <c r="R573" i="6"/>
  <c r="O296" i="3"/>
  <c r="P286" i="3"/>
  <c r="R705" i="4"/>
  <c r="R698" i="4"/>
  <c r="R627" i="7"/>
  <c r="R830" i="6"/>
  <c r="R1848" i="6"/>
  <c r="R826" i="4"/>
  <c r="R952" i="7"/>
  <c r="R1615" i="6"/>
  <c r="R497" i="6" s="1"/>
  <c r="R1882" i="6"/>
  <c r="R658" i="6" s="1"/>
  <c r="R1846" i="6"/>
  <c r="R1808" i="6"/>
  <c r="R1178" i="6"/>
  <c r="R327" i="6" s="1"/>
  <c r="R435" i="5"/>
  <c r="R981" i="6"/>
  <c r="R207" i="6" s="1"/>
  <c r="W21" i="37"/>
  <c r="R1184" i="6"/>
  <c r="R573" i="7"/>
  <c r="R418" i="4"/>
  <c r="R937" i="7"/>
  <c r="R1812" i="6"/>
  <c r="R910" i="6"/>
  <c r="R152" i="6" s="1"/>
  <c r="R179" i="8"/>
  <c r="R44" i="8" s="1"/>
  <c r="AQ8" i="42" s="1"/>
  <c r="P71" i="15" s="1"/>
  <c r="R1608" i="6"/>
  <c r="R170" i="4"/>
  <c r="R268" i="4"/>
  <c r="P146" i="34"/>
  <c r="Q204" i="6"/>
  <c r="R978" i="6"/>
  <c r="R204" i="6" s="1"/>
  <c r="R823" i="6"/>
  <c r="R130" i="6"/>
  <c r="Q205" i="6"/>
  <c r="R979" i="6"/>
  <c r="R205" i="6" s="1"/>
  <c r="Q324" i="6"/>
  <c r="R1121" i="6"/>
  <c r="R324" i="6" s="1"/>
  <c r="R119" i="4"/>
  <c r="Q183" i="5"/>
  <c r="R421" i="5"/>
  <c r="Q349" i="4"/>
  <c r="R925" i="4"/>
  <c r="R349" i="4" s="1"/>
  <c r="R654" i="6"/>
  <c r="Q312" i="6"/>
  <c r="R1094" i="6"/>
  <c r="R634" i="6"/>
  <c r="R144" i="6"/>
  <c r="R722" i="6"/>
  <c r="Q594" i="6"/>
  <c r="R1743" i="6"/>
  <c r="R594" i="6" s="1"/>
  <c r="O115" i="3"/>
  <c r="R413" i="4"/>
  <c r="P115" i="3" s="1"/>
  <c r="R340" i="4"/>
  <c r="Q109" i="4"/>
  <c r="R497" i="4"/>
  <c r="R109" i="4" s="1"/>
  <c r="Q1680" i="6"/>
  <c r="Q543" i="6" s="1"/>
  <c r="R1655" i="6"/>
  <c r="R1680" i="6" s="1"/>
  <c r="R543" i="6" s="1"/>
  <c r="R153" i="6"/>
  <c r="R411" i="6"/>
  <c r="Q128" i="5"/>
  <c r="R357" i="5"/>
  <c r="R128" i="5" s="1"/>
  <c r="Q143" i="6"/>
  <c r="R893" i="6"/>
  <c r="R143" i="6" s="1"/>
  <c r="Q726" i="6"/>
  <c r="R2011" i="6"/>
  <c r="R726" i="6" s="1"/>
  <c r="Q574" i="6"/>
  <c r="R1716" i="6"/>
  <c r="R574" i="6" s="1"/>
  <c r="Q54" i="5"/>
  <c r="R236" i="5"/>
  <c r="R54" i="5" s="1"/>
  <c r="Q232" i="4"/>
  <c r="R767" i="4"/>
  <c r="R232" i="4" s="1"/>
  <c r="O731" i="34"/>
  <c r="R1852" i="6"/>
  <c r="R650" i="6" s="1"/>
  <c r="Q54" i="27"/>
  <c r="R49" i="27"/>
  <c r="R54" i="27" s="1"/>
  <c r="Q73" i="4"/>
  <c r="R436" i="4"/>
  <c r="R73" i="4" s="1"/>
  <c r="Q313" i="6"/>
  <c r="R1095" i="6"/>
  <c r="R313" i="6" s="1"/>
  <c r="P161" i="34"/>
  <c r="Q590" i="6"/>
  <c r="R1732" i="6"/>
  <c r="R590" i="6" s="1"/>
  <c r="O750" i="34"/>
  <c r="P742" i="34"/>
  <c r="P67" i="34"/>
  <c r="P443" i="34" s="1"/>
  <c r="P444" i="34" s="1"/>
  <c r="O63" i="12"/>
  <c r="BP134" i="9" s="1"/>
  <c r="BP138" i="9" s="1"/>
  <c r="P24" i="12"/>
  <c r="P63" i="12" s="1"/>
  <c r="Q175" i="5"/>
  <c r="R411" i="5"/>
  <c r="R175" i="5" s="1"/>
  <c r="P154" i="34"/>
  <c r="Q306" i="6"/>
  <c r="R1166" i="6"/>
  <c r="R306" i="6" s="1"/>
  <c r="R423" i="6"/>
  <c r="P108" i="34"/>
  <c r="R320" i="6"/>
  <c r="Q431" i="6"/>
  <c r="R1326" i="6"/>
  <c r="R431" i="6" s="1"/>
  <c r="R322" i="6"/>
  <c r="R261" i="6"/>
  <c r="R260" i="6"/>
  <c r="R78" i="4"/>
  <c r="R129" i="8"/>
  <c r="R75" i="4"/>
  <c r="R126" i="5"/>
  <c r="R118" i="8"/>
  <c r="R726" i="7"/>
  <c r="R250" i="7" s="1"/>
  <c r="R252" i="7" s="1"/>
  <c r="R568" i="7"/>
  <c r="R39" i="27"/>
  <c r="R1984" i="6"/>
  <c r="R710" i="6" s="1"/>
  <c r="R1241" i="6"/>
  <c r="P727" i="34" s="1"/>
  <c r="R199" i="8"/>
  <c r="R1344" i="6"/>
  <c r="R433" i="6" s="1"/>
  <c r="R956" i="7"/>
  <c r="R436" i="5"/>
  <c r="R647" i="4"/>
  <c r="R285" i="5"/>
  <c r="R570" i="4"/>
  <c r="R120" i="4" s="1"/>
  <c r="R254" i="8"/>
  <c r="R1044" i="7"/>
  <c r="W23" i="37"/>
  <c r="P738" i="34"/>
  <c r="R1334" i="6"/>
  <c r="R833" i="6"/>
  <c r="R452" i="8"/>
  <c r="R121" i="8" s="1"/>
  <c r="R1719" i="6"/>
  <c r="R1244" i="6"/>
  <c r="R1817" i="6"/>
  <c r="R219" i="8"/>
  <c r="P88" i="16" s="1"/>
  <c r="P90" i="16" s="1"/>
  <c r="P34" i="16" s="1"/>
  <c r="R862" i="4"/>
  <c r="R329" i="4" s="1"/>
  <c r="R1365" i="6"/>
  <c r="R451" i="6"/>
  <c r="R456" i="6" s="1"/>
  <c r="R66" i="8"/>
  <c r="N97" i="13"/>
  <c r="O95" i="13"/>
  <c r="O97" i="13" s="1"/>
  <c r="R124" i="5"/>
  <c r="Q174" i="5"/>
  <c r="R410" i="5"/>
  <c r="R174" i="5" s="1"/>
  <c r="Q104" i="4"/>
  <c r="R489" i="4"/>
  <c r="R104" i="4" s="1"/>
  <c r="Q447" i="4"/>
  <c r="Q77" i="4" s="1"/>
  <c r="R383" i="4"/>
  <c r="R309" i="6"/>
  <c r="P765" i="34"/>
  <c r="Q99" i="6"/>
  <c r="R794" i="6"/>
  <c r="R99" i="6" s="1"/>
  <c r="Q711" i="6"/>
  <c r="R1990" i="6"/>
  <c r="R711" i="6" s="1"/>
  <c r="Q333" i="4"/>
  <c r="R878" i="4"/>
  <c r="Q70" i="4"/>
  <c r="R433" i="4"/>
  <c r="R70" i="4" s="1"/>
  <c r="R724" i="6"/>
  <c r="Q209" i="6"/>
  <c r="R987" i="6"/>
  <c r="R209" i="6" s="1"/>
  <c r="Q95" i="6"/>
  <c r="R789" i="6"/>
  <c r="R95" i="6" s="1"/>
  <c r="Q890" i="4"/>
  <c r="R871" i="4"/>
  <c r="R890" i="4" s="1"/>
  <c r="R201" i="6"/>
  <c r="V20" i="26"/>
  <c r="R1602" i="6"/>
  <c r="W20" i="26" s="1"/>
  <c r="Q193" i="6"/>
  <c r="R958" i="6"/>
  <c r="Q629" i="6"/>
  <c r="R1780" i="6"/>
  <c r="Q782" i="6"/>
  <c r="R763" i="6"/>
  <c r="R782" i="6" s="1"/>
  <c r="Q271" i="4"/>
  <c r="R802" i="4"/>
  <c r="R271" i="4" s="1"/>
  <c r="O114" i="3"/>
  <c r="R213" i="8"/>
  <c r="P114" i="3" s="1"/>
  <c r="P59" i="4"/>
  <c r="O21" i="40"/>
  <c r="P28" i="12"/>
  <c r="R141" i="5"/>
  <c r="Q120" i="8"/>
  <c r="R415" i="8"/>
  <c r="R379" i="5"/>
  <c r="R142" i="5" s="1"/>
  <c r="Q142" i="5"/>
  <c r="R105" i="4"/>
  <c r="Q74" i="4"/>
  <c r="R438" i="4"/>
  <c r="R74" i="4" s="1"/>
  <c r="R107" i="8"/>
  <c r="BE8" i="42" s="1"/>
  <c r="P102" i="15" s="1"/>
  <c r="Q228" i="4"/>
  <c r="R750" i="4"/>
  <c r="P726" i="34"/>
  <c r="R439" i="6"/>
  <c r="R264" i="6"/>
  <c r="Q128" i="8"/>
  <c r="R501" i="8"/>
  <c r="R128" i="8" s="1"/>
  <c r="R111" i="8"/>
  <c r="R127" i="8"/>
  <c r="R131" i="8"/>
  <c r="R140" i="5"/>
  <c r="P121" i="16"/>
  <c r="AQ41" i="42"/>
  <c r="P252" i="15"/>
  <c r="R653" i="6"/>
  <c r="R1220" i="6"/>
  <c r="R377" i="6"/>
  <c r="R611" i="7"/>
  <c r="R891" i="7"/>
  <c r="R288" i="5"/>
  <c r="R1028" i="7"/>
  <c r="R407" i="5"/>
  <c r="R1329" i="6"/>
  <c r="R429" i="8"/>
  <c r="R119" i="8" s="1"/>
  <c r="R185" i="8"/>
  <c r="R45" i="8" s="1"/>
  <c r="R416" i="4"/>
  <c r="P25" i="34"/>
  <c r="P26" i="34" s="1"/>
  <c r="P425" i="34" s="1"/>
  <c r="P429" i="34" s="1"/>
  <c r="R9" i="27"/>
  <c r="R20" i="27" s="1"/>
  <c r="R298" i="5"/>
  <c r="R406" i="5"/>
  <c r="R860" i="6"/>
  <c r="R140" i="6" s="1"/>
  <c r="R1870" i="6"/>
  <c r="R655" i="6" s="1"/>
  <c r="R835" i="6"/>
  <c r="R946" i="7"/>
  <c r="R302" i="5"/>
  <c r="R1186" i="6"/>
  <c r="R1603" i="6"/>
  <c r="R1187" i="6"/>
  <c r="R1821" i="6"/>
  <c r="R840" i="6"/>
  <c r="R139" i="6" s="1"/>
  <c r="R313" i="8"/>
  <c r="R65" i="8" s="1"/>
  <c r="R413" i="8"/>
  <c r="P87" i="17" s="1"/>
  <c r="R278" i="4"/>
  <c r="P581" i="34"/>
  <c r="P583" i="34" s="1"/>
  <c r="P607" i="34"/>
  <c r="R321" i="6"/>
  <c r="R548" i="8"/>
  <c r="BE22" i="42"/>
  <c r="P117" i="15" s="1"/>
  <c r="R142" i="8"/>
  <c r="R149" i="8" s="1"/>
  <c r="BE34" i="42" s="1"/>
  <c r="P27" i="17"/>
  <c r="P12" i="17" s="1"/>
  <c r="P296" i="15" s="1"/>
  <c r="P318" i="15" s="1"/>
  <c r="R1072" i="6"/>
  <c r="R273" i="6"/>
  <c r="R1004" i="6"/>
  <c r="R216" i="6"/>
  <c r="R222" i="6" s="1"/>
  <c r="Q440" i="6"/>
  <c r="R1407" i="6"/>
  <c r="R440" i="6" s="1"/>
  <c r="Q354" i="4"/>
  <c r="R930" i="4"/>
  <c r="R354" i="4" s="1"/>
  <c r="R107" i="4"/>
  <c r="V21" i="26"/>
  <c r="R1479" i="6"/>
  <c r="Q348" i="4"/>
  <c r="R924" i="4"/>
  <c r="R348" i="4" s="1"/>
  <c r="R92" i="6"/>
  <c r="N136" i="3"/>
  <c r="R580" i="4"/>
  <c r="O136" i="3" s="1"/>
  <c r="R230" i="4"/>
  <c r="Q71" i="4"/>
  <c r="R434" i="4"/>
  <c r="R71" i="4" s="1"/>
  <c r="R667" i="6"/>
  <c r="Q488" i="6"/>
  <c r="R1592" i="6"/>
  <c r="R488" i="6" s="1"/>
  <c r="R584" i="6"/>
  <c r="R77" i="6"/>
  <c r="R1392" i="6"/>
  <c r="P770" i="34" s="1"/>
  <c r="R413" i="6"/>
  <c r="Q649" i="6"/>
  <c r="R1845" i="6"/>
  <c r="R135" i="5"/>
  <c r="R187" i="4"/>
  <c r="Q210" i="6"/>
  <c r="R991" i="6"/>
  <c r="R210" i="6" s="1"/>
  <c r="Q67" i="8"/>
  <c r="R322" i="8"/>
  <c r="R1527" i="6"/>
  <c r="R410" i="6"/>
  <c r="BE21" i="42"/>
  <c r="P116" i="15" s="1"/>
  <c r="AF217" i="10"/>
  <c r="Q663" i="4" s="1"/>
  <c r="Q206" i="4" s="1"/>
  <c r="R625" i="4"/>
  <c r="AI217" i="10" s="1"/>
  <c r="Q265" i="6"/>
  <c r="R1050" i="6"/>
  <c r="R265" i="6" s="1"/>
  <c r="Q305" i="6"/>
  <c r="R1165" i="6"/>
  <c r="R305" i="6" s="1"/>
  <c r="Q595" i="6"/>
  <c r="R1744" i="6"/>
  <c r="R595" i="6" s="1"/>
  <c r="R1558" i="6"/>
  <c r="R445" i="6"/>
  <c r="R426" i="6"/>
  <c r="Q427" i="6"/>
  <c r="R1319" i="6"/>
  <c r="R427" i="6" s="1"/>
  <c r="R428" i="6"/>
  <c r="R126" i="8"/>
  <c r="P745" i="34"/>
  <c r="P747" i="34" s="1"/>
  <c r="R132" i="8"/>
  <c r="R122" i="8"/>
  <c r="R304" i="6"/>
  <c r="BE41" i="42"/>
  <c r="P106" i="15" s="1"/>
  <c r="P336" i="34" s="1"/>
  <c r="P301" i="15"/>
  <c r="P119" i="17"/>
  <c r="R143" i="5"/>
  <c r="Q143" i="5"/>
  <c r="Q128" i="1"/>
  <c r="P661" i="34"/>
  <c r="P662" i="34" s="1"/>
  <c r="R701" i="4"/>
  <c r="R792" i="6"/>
  <c r="R1135" i="7"/>
  <c r="R509" i="7"/>
  <c r="R80" i="7" s="1"/>
  <c r="R311" i="5"/>
  <c r="R318" i="5" s="1"/>
  <c r="R1439" i="6"/>
  <c r="R442" i="6" s="1"/>
  <c r="R367" i="5"/>
  <c r="R226" i="5"/>
  <c r="R52" i="5" s="1"/>
  <c r="R412" i="4"/>
  <c r="R295" i="5"/>
  <c r="R901" i="6"/>
  <c r="W18" i="37"/>
  <c r="R412" i="8"/>
  <c r="R823" i="4"/>
  <c r="W13" i="37"/>
  <c r="R434" i="5"/>
  <c r="R1138" i="7"/>
  <c r="R511" i="4"/>
  <c r="R115" i="4" s="1"/>
  <c r="R1674" i="6"/>
  <c r="R441" i="5"/>
  <c r="R521" i="7"/>
  <c r="R82" i="7" s="1"/>
  <c r="R896" i="7"/>
  <c r="R346" i="7" s="1"/>
  <c r="R1604" i="6"/>
  <c r="R706" i="4"/>
  <c r="R244" i="5"/>
  <c r="R1847" i="6"/>
  <c r="R271" i="8"/>
  <c r="R60" i="8" s="1"/>
  <c r="R762" i="6"/>
  <c r="R233" i="8"/>
  <c r="R56" i="8" s="1"/>
  <c r="R1740" i="6"/>
  <c r="R593" i="6" s="1"/>
  <c r="BX108" i="9"/>
  <c r="R946" i="6"/>
  <c r="CW108" i="9"/>
  <c r="O75" i="13"/>
  <c r="P204" i="3"/>
  <c r="O92" i="37"/>
  <c r="O94" i="37" s="1"/>
  <c r="O4" i="37"/>
  <c r="P2" i="37" s="1"/>
  <c r="N50" i="20"/>
  <c r="O50" i="20"/>
  <c r="R171" i="7"/>
  <c r="R350" i="7"/>
  <c r="R1023" i="7"/>
  <c r="R131" i="7"/>
  <c r="Q318" i="7"/>
  <c r="R852" i="7"/>
  <c r="R318" i="7" s="1"/>
  <c r="AI114" i="10"/>
  <c r="AK114" i="10" s="1"/>
  <c r="R348" i="7"/>
  <c r="V19" i="26"/>
  <c r="R817" i="7"/>
  <c r="W19" i="26" s="1"/>
  <c r="Q257" i="7"/>
  <c r="R736" i="7"/>
  <c r="P111" i="3" s="1"/>
  <c r="R309" i="7"/>
  <c r="R301" i="7"/>
  <c r="W22" i="26"/>
  <c r="Q132" i="7"/>
  <c r="R572" i="7"/>
  <c r="Q260" i="7"/>
  <c r="Q261" i="7" s="1"/>
  <c r="R748" i="7"/>
  <c r="R260" i="7" s="1"/>
  <c r="R261" i="7" s="1"/>
  <c r="R379" i="7"/>
  <c r="Q91" i="7"/>
  <c r="R501" i="7"/>
  <c r="R91" i="7" s="1"/>
  <c r="R378" i="7"/>
  <c r="Q622" i="7"/>
  <c r="R609" i="7"/>
  <c r="R1175" i="7"/>
  <c r="R1223" i="7" s="1"/>
  <c r="R452" i="7"/>
  <c r="R458" i="7" s="1"/>
  <c r="R45" i="7" s="1"/>
  <c r="Q85" i="7"/>
  <c r="R495" i="7"/>
  <c r="R483" i="7"/>
  <c r="R67" i="7"/>
  <c r="R69" i="7" s="1"/>
  <c r="Q290" i="7"/>
  <c r="R781" i="7"/>
  <c r="R290" i="7" s="1"/>
  <c r="Q365" i="7"/>
  <c r="R918" i="7"/>
  <c r="R365" i="7" s="1"/>
  <c r="R666" i="7"/>
  <c r="R205" i="7"/>
  <c r="Q372" i="7"/>
  <c r="R934" i="7"/>
  <c r="R372" i="7" s="1"/>
  <c r="Q128" i="7"/>
  <c r="R565" i="7"/>
  <c r="R128" i="7" s="1"/>
  <c r="Q129" i="7"/>
  <c r="R566" i="7"/>
  <c r="R129" i="7" s="1"/>
  <c r="AF58" i="10"/>
  <c r="R881" i="7"/>
  <c r="AI58" i="10" s="1"/>
  <c r="Q86" i="7"/>
  <c r="R496" i="7"/>
  <c r="R86" i="7" s="1"/>
  <c r="Q89" i="7"/>
  <c r="R499" i="7"/>
  <c r="R89" i="7" s="1"/>
  <c r="Q88" i="7"/>
  <c r="R498" i="7"/>
  <c r="R88" i="7" s="1"/>
  <c r="R120" i="7"/>
  <c r="R122" i="7" s="1"/>
  <c r="AF59" i="10"/>
  <c r="AF92" i="10" s="1"/>
  <c r="R885" i="7"/>
  <c r="AI59" i="10" s="1"/>
  <c r="W16" i="26"/>
  <c r="Q258" i="7"/>
  <c r="R739" i="7"/>
  <c r="R258" i="7" s="1"/>
  <c r="AG58" i="10"/>
  <c r="R954" i="7"/>
  <c r="Q291" i="7"/>
  <c r="R782" i="7"/>
  <c r="R291" i="7" s="1"/>
  <c r="R728" i="7"/>
  <c r="Q352" i="7"/>
  <c r="R904" i="7"/>
  <c r="R352" i="7" s="1"/>
  <c r="AI60" i="10"/>
  <c r="R160" i="7"/>
  <c r="R292" i="7"/>
  <c r="R300" i="7"/>
  <c r="V18" i="26"/>
  <c r="R810" i="7"/>
  <c r="W18" i="26" s="1"/>
  <c r="R165" i="7"/>
  <c r="Q306" i="7"/>
  <c r="R811" i="7"/>
  <c r="R306" i="7" s="1"/>
  <c r="Q92" i="7"/>
  <c r="R502" i="7"/>
  <c r="R92" i="7" s="1"/>
  <c r="R259" i="7"/>
  <c r="R74" i="7"/>
  <c r="W17" i="26"/>
  <c r="R371" i="7"/>
  <c r="R289" i="7"/>
  <c r="Q220" i="7"/>
  <c r="R695" i="7"/>
  <c r="R220" i="7" s="1"/>
  <c r="Q130" i="7"/>
  <c r="R569" i="7"/>
  <c r="R130" i="7" s="1"/>
  <c r="R75" i="7"/>
  <c r="R217" i="7"/>
  <c r="Q90" i="7"/>
  <c r="R500" i="7"/>
  <c r="R90" i="7" s="1"/>
  <c r="AF91" i="10"/>
  <c r="AH91" i="10" s="1"/>
  <c r="R878" i="7"/>
  <c r="Q293" i="7"/>
  <c r="R786" i="7"/>
  <c r="R293" i="7" s="1"/>
  <c r="Q87" i="7"/>
  <c r="R497" i="7"/>
  <c r="R87" i="7" s="1"/>
  <c r="R556" i="7"/>
  <c r="O146" i="9"/>
  <c r="BS146" i="9" s="1"/>
  <c r="BN146" i="9"/>
  <c r="V61" i="37"/>
  <c r="V63" i="37" s="1"/>
  <c r="W57" i="37"/>
  <c r="W61" i="37" s="1"/>
  <c r="W63" i="37" s="1"/>
  <c r="V100" i="37"/>
  <c r="W12" i="37"/>
  <c r="W100" i="37" s="1"/>
  <c r="R114" i="14"/>
  <c r="R118" i="4"/>
  <c r="R108" i="4"/>
  <c r="BH3" i="22"/>
  <c r="BH78" i="22" s="1"/>
  <c r="BH121" i="22" s="1"/>
  <c r="BK3" i="21"/>
  <c r="BO86" i="9"/>
  <c r="BO168" i="9" s="1"/>
  <c r="BT2" i="9"/>
  <c r="BT86" i="9" s="1"/>
  <c r="BT168" i="9" s="1"/>
  <c r="Q45" i="8"/>
  <c r="V99" i="37"/>
  <c r="Q124" i="5"/>
  <c r="O31" i="1"/>
  <c r="P76" i="4"/>
  <c r="P80" i="4" s="1"/>
  <c r="P18" i="4" s="1"/>
  <c r="P31" i="1"/>
  <c r="O148" i="34"/>
  <c r="N292" i="3"/>
  <c r="N293" i="3" s="1"/>
  <c r="M302" i="3"/>
  <c r="O300" i="3"/>
  <c r="P66" i="1"/>
  <c r="O292" i="3"/>
  <c r="C363" i="34"/>
  <c r="C368" i="34" s="1"/>
  <c r="Q304" i="6"/>
  <c r="O315" i="6"/>
  <c r="O10" i="6" s="1"/>
  <c r="O726" i="34"/>
  <c r="Q653" i="6"/>
  <c r="Q441" i="6"/>
  <c r="Q573" i="6"/>
  <c r="P1560" i="6"/>
  <c r="P1562" i="6" s="1"/>
  <c r="P1573" i="6" s="1"/>
  <c r="Q146" i="6"/>
  <c r="C308" i="34"/>
  <c r="C315" i="34" s="1"/>
  <c r="Q320" i="6"/>
  <c r="Q428" i="6"/>
  <c r="Q1158" i="6"/>
  <c r="P311" i="6"/>
  <c r="O725" i="34"/>
  <c r="Q325" i="6"/>
  <c r="Q260" i="6"/>
  <c r="N21" i="58"/>
  <c r="Q125" i="5"/>
  <c r="Q126" i="5"/>
  <c r="Q344" i="4"/>
  <c r="Q75" i="4"/>
  <c r="Q340" i="4"/>
  <c r="Q279" i="4"/>
  <c r="O101" i="5"/>
  <c r="O103" i="5" s="1"/>
  <c r="Q176" i="5"/>
  <c r="O498" i="5"/>
  <c r="O10" i="5"/>
  <c r="P178" i="5"/>
  <c r="P10" i="5" s="1"/>
  <c r="O505" i="5"/>
  <c r="Q96" i="5"/>
  <c r="O728" i="34"/>
  <c r="N18" i="58"/>
  <c r="N15" i="58"/>
  <c r="N9" i="58"/>
  <c r="L1197" i="7"/>
  <c r="Q317" i="7"/>
  <c r="N21" i="40"/>
  <c r="BO81" i="9" s="1"/>
  <c r="Q173" i="5"/>
  <c r="Q61" i="5"/>
  <c r="Q64" i="5" s="1"/>
  <c r="O16" i="5"/>
  <c r="P111" i="4"/>
  <c r="P8" i="4" s="1"/>
  <c r="C980" i="4"/>
  <c r="H22" i="4"/>
  <c r="P95" i="48"/>
  <c r="Q721" i="6"/>
  <c r="N20" i="58"/>
  <c r="O392" i="34"/>
  <c r="O509" i="34" s="1"/>
  <c r="Q433" i="6"/>
  <c r="Q262" i="6"/>
  <c r="Q264" i="6"/>
  <c r="Q713" i="6"/>
  <c r="N17" i="58"/>
  <c r="Q261" i="6"/>
  <c r="N743" i="6"/>
  <c r="P348" i="8"/>
  <c r="G89" i="3"/>
  <c r="O152" i="34"/>
  <c r="Q445" i="6"/>
  <c r="Q1558" i="6"/>
  <c r="Q439" i="6"/>
  <c r="Q322" i="6"/>
  <c r="Q65" i="8"/>
  <c r="Q127" i="8"/>
  <c r="Q119" i="8"/>
  <c r="Q60" i="8"/>
  <c r="Q129" i="8"/>
  <c r="BD21" i="42"/>
  <c r="O116" i="15" s="1"/>
  <c r="O212" i="7"/>
  <c r="O9" i="7" s="1"/>
  <c r="Q171" i="7"/>
  <c r="Q259" i="7"/>
  <c r="Q149" i="6"/>
  <c r="Q187" i="4"/>
  <c r="O161" i="34"/>
  <c r="Q20" i="27"/>
  <c r="N215" i="9"/>
  <c r="Q141" i="5"/>
  <c r="O226" i="3"/>
  <c r="O67" i="34"/>
  <c r="O443" i="34" s="1"/>
  <c r="O444" i="34" s="1"/>
  <c r="Q765" i="7"/>
  <c r="Q274" i="7" s="1"/>
  <c r="AH53" i="10"/>
  <c r="AG29" i="11" s="1"/>
  <c r="AH29" i="11" s="1"/>
  <c r="AI29" i="11" s="1"/>
  <c r="AK29" i="11" s="1"/>
  <c r="P156" i="4"/>
  <c r="Q118" i="4"/>
  <c r="Q108" i="4"/>
  <c r="Q126" i="8"/>
  <c r="O745" i="34"/>
  <c r="M247" i="15"/>
  <c r="M269" i="15" s="1"/>
  <c r="Q132" i="8"/>
  <c r="K699" i="34"/>
  <c r="K700" i="34" s="1"/>
  <c r="K206" i="34" s="1"/>
  <c r="K207" i="34" s="1"/>
  <c r="Q211" i="6"/>
  <c r="Q1282" i="6"/>
  <c r="Q1279" i="6"/>
  <c r="Y53" i="11"/>
  <c r="Z53" i="11" s="1"/>
  <c r="Q1113" i="7"/>
  <c r="O419" i="6"/>
  <c r="O12" i="6" s="1"/>
  <c r="Q1589" i="6"/>
  <c r="AP21" i="42"/>
  <c r="Q55" i="8"/>
  <c r="K693" i="34"/>
  <c r="K694" i="34" s="1"/>
  <c r="K203" i="34" s="1"/>
  <c r="K204" i="34" s="1"/>
  <c r="N741" i="34"/>
  <c r="N743" i="34" s="1"/>
  <c r="O741" i="34"/>
  <c r="N90" i="16"/>
  <c r="N34" i="16" s="1"/>
  <c r="AO45" i="42" s="1"/>
  <c r="AO47" i="42" s="1"/>
  <c r="P68" i="8"/>
  <c r="P79" i="8"/>
  <c r="P85" i="8" s="1"/>
  <c r="N89" i="17"/>
  <c r="N34" i="17" s="1"/>
  <c r="BC45" i="42" s="1"/>
  <c r="O54" i="6"/>
  <c r="P130" i="5"/>
  <c r="P9" i="5" s="1"/>
  <c r="P99" i="5"/>
  <c r="P17" i="5" s="1"/>
  <c r="P26" i="5" s="1"/>
  <c r="Q95" i="5"/>
  <c r="Q331" i="4"/>
  <c r="Q1721" i="6"/>
  <c r="P1451" i="6"/>
  <c r="P1453" i="6" s="1"/>
  <c r="P1462" i="6" s="1"/>
  <c r="P255" i="6"/>
  <c r="P9" i="6" s="1"/>
  <c r="Q131" i="7"/>
  <c r="Q442" i="7"/>
  <c r="E828" i="34"/>
  <c r="K794" i="34"/>
  <c r="K800" i="34" s="1"/>
  <c r="K824" i="34"/>
  <c r="Q1727" i="6"/>
  <c r="O1002" i="6"/>
  <c r="O1005" i="6" s="1"/>
  <c r="O1014" i="6" s="1"/>
  <c r="Q155" i="6"/>
  <c r="O112" i="3"/>
  <c r="N477" i="5"/>
  <c r="Q392" i="4"/>
  <c r="AE217" i="10"/>
  <c r="AD136" i="11" s="1"/>
  <c r="AE136" i="11" s="1"/>
  <c r="AF136" i="11" s="1"/>
  <c r="P663" i="4"/>
  <c r="P206" i="4" s="1"/>
  <c r="Q786" i="6"/>
  <c r="P94" i="6"/>
  <c r="E792" i="34"/>
  <c r="E803" i="34" s="1"/>
  <c r="I143" i="15"/>
  <c r="I353" i="34" s="1"/>
  <c r="I473" i="34" s="1"/>
  <c r="P277" i="7"/>
  <c r="M132" i="13"/>
  <c r="F71" i="3"/>
  <c r="F214" i="9"/>
  <c r="F216" i="9" s="1"/>
  <c r="N136" i="7"/>
  <c r="N138" i="7" s="1"/>
  <c r="O857" i="7"/>
  <c r="O859" i="7" s="1"/>
  <c r="O868" i="7" s="1"/>
  <c r="Q207" i="7"/>
  <c r="O142" i="3"/>
  <c r="O111" i="3"/>
  <c r="N52" i="6"/>
  <c r="K104" i="13" s="1"/>
  <c r="L7" i="3"/>
  <c r="AA53" i="11"/>
  <c r="M103" i="3"/>
  <c r="E207" i="15"/>
  <c r="F207" i="15" s="1"/>
  <c r="F25" i="3"/>
  <c r="F26" i="3" s="1"/>
  <c r="F156" i="3"/>
  <c r="F157" i="3" s="1"/>
  <c r="J121" i="3"/>
  <c r="R49" i="42"/>
  <c r="R52" i="42" s="1"/>
  <c r="R54" i="42" s="1"/>
  <c r="C72" i="3"/>
  <c r="I147" i="3"/>
  <c r="K32" i="5"/>
  <c r="K43" i="5" s="1"/>
  <c r="I14" i="3"/>
  <c r="R61" i="14"/>
  <c r="K1165" i="7" s="1"/>
  <c r="K448" i="7" s="1"/>
  <c r="P147" i="7"/>
  <c r="O90" i="16"/>
  <c r="O34" i="16" s="1"/>
  <c r="AP45" i="42" s="1"/>
  <c r="O177" i="9"/>
  <c r="P177" i="9" s="1"/>
  <c r="CU177" i="9"/>
  <c r="BN177" i="9"/>
  <c r="P1373" i="6"/>
  <c r="P465" i="6" s="1"/>
  <c r="P292" i="45"/>
  <c r="BI61" i="9"/>
  <c r="BI63" i="9" s="1"/>
  <c r="O555" i="34"/>
  <c r="O379" i="34"/>
  <c r="O497" i="34" s="1"/>
  <c r="CT134" i="9"/>
  <c r="BI134" i="9"/>
  <c r="CU134" i="9"/>
  <c r="BN134" i="9"/>
  <c r="BK138" i="9"/>
  <c r="BK209" i="9" s="1"/>
  <c r="BK211" i="9" s="1"/>
  <c r="AA12" i="42"/>
  <c r="M12" i="42" s="1"/>
  <c r="D65" i="34"/>
  <c r="D71" i="34" s="1"/>
  <c r="D153" i="34" s="1"/>
  <c r="D155" i="34" s="1"/>
  <c r="N138" i="9"/>
  <c r="P1080" i="6" s="1"/>
  <c r="U39" i="37"/>
  <c r="O29" i="9"/>
  <c r="CU29" i="9"/>
  <c r="BN29" i="9"/>
  <c r="O64" i="6"/>
  <c r="M61" i="3" s="1"/>
  <c r="L208" i="3"/>
  <c r="L210" i="3" s="1"/>
  <c r="K56" i="13"/>
  <c r="J208" i="3"/>
  <c r="J210" i="3" s="1"/>
  <c r="I56" i="13"/>
  <c r="N569" i="34"/>
  <c r="M100" i="42"/>
  <c r="Q593" i="6"/>
  <c r="O462" i="6"/>
  <c r="Q670" i="6"/>
  <c r="CI68" i="21"/>
  <c r="P127" i="22"/>
  <c r="O127" i="22"/>
  <c r="O175" i="7"/>
  <c r="O181" i="7" s="1"/>
  <c r="Q432" i="6"/>
  <c r="P579" i="6"/>
  <c r="P15" i="6" s="1"/>
  <c r="Q1224" i="6"/>
  <c r="Q370" i="6" s="1"/>
  <c r="Q724" i="6"/>
  <c r="Q152" i="6"/>
  <c r="Q326" i="6"/>
  <c r="H523" i="34"/>
  <c r="Q669" i="6"/>
  <c r="Q137" i="6"/>
  <c r="Q714" i="6"/>
  <c r="Z21" i="42"/>
  <c r="M54" i="15" s="1"/>
  <c r="Q139" i="6"/>
  <c r="Q650" i="6"/>
  <c r="Q534" i="6"/>
  <c r="Q536" i="6" s="1"/>
  <c r="Q14" i="6" s="1"/>
  <c r="O727" i="34"/>
  <c r="Q68" i="4"/>
  <c r="Q72" i="4"/>
  <c r="P155" i="4"/>
  <c r="Q115" i="4"/>
  <c r="P464" i="4"/>
  <c r="Q285" i="4"/>
  <c r="Q495" i="6"/>
  <c r="Q207" i="6"/>
  <c r="O768" i="34"/>
  <c r="Q658" i="6"/>
  <c r="Q1657" i="6"/>
  <c r="O724" i="34"/>
  <c r="Q701" i="6"/>
  <c r="O757" i="34"/>
  <c r="Q309" i="6"/>
  <c r="O765" i="34"/>
  <c r="Q327" i="6"/>
  <c r="O760" i="34"/>
  <c r="Q497" i="6"/>
  <c r="P64" i="5"/>
  <c r="P504" i="5" s="1"/>
  <c r="F51" i="15"/>
  <c r="Q308" i="7"/>
  <c r="Q219" i="7"/>
  <c r="Q120" i="7"/>
  <c r="Q122" i="7" s="1"/>
  <c r="Q8" i="7" s="1"/>
  <c r="P295" i="7"/>
  <c r="P12" i="7" s="1"/>
  <c r="O776" i="34"/>
  <c r="Q378" i="7"/>
  <c r="Q206" i="7"/>
  <c r="AE114" i="10"/>
  <c r="N103" i="3" s="1"/>
  <c r="Q307" i="7"/>
  <c r="O629" i="7"/>
  <c r="O631" i="7" s="1"/>
  <c r="O642" i="7" s="1"/>
  <c r="Q345" i="7"/>
  <c r="Q346" i="7"/>
  <c r="AG114" i="10"/>
  <c r="Q80" i="7"/>
  <c r="Q379" i="7"/>
  <c r="M8" i="12"/>
  <c r="P403" i="4" s="1"/>
  <c r="N8" i="12" s="1"/>
  <c r="G852" i="4"/>
  <c r="H852" i="4" s="1"/>
  <c r="V22" i="26"/>
  <c r="Q175" i="7"/>
  <c r="O758" i="34"/>
  <c r="O780" i="34" s="1"/>
  <c r="Q305" i="7"/>
  <c r="V17" i="26"/>
  <c r="Q348" i="7"/>
  <c r="AF114" i="10"/>
  <c r="AF60" i="10"/>
  <c r="P41" i="55"/>
  <c r="P43" i="55" s="1"/>
  <c r="Q40" i="55" s="1"/>
  <c r="Q43" i="55" s="1"/>
  <c r="O28" i="12"/>
  <c r="L40" i="42"/>
  <c r="BS108" i="9"/>
  <c r="Q946" i="6"/>
  <c r="CV108" i="9"/>
  <c r="N122" i="13"/>
  <c r="O214" i="15"/>
  <c r="O159" i="15" s="1"/>
  <c r="AB31" i="42"/>
  <c r="N31" i="42" s="1"/>
  <c r="N65" i="13"/>
  <c r="O192" i="15"/>
  <c r="AB30" i="42"/>
  <c r="N30" i="42" s="1"/>
  <c r="O203" i="15"/>
  <c r="O148" i="15" s="1"/>
  <c r="AB43" i="42"/>
  <c r="N43" i="42" s="1"/>
  <c r="N119" i="13"/>
  <c r="F523" i="34"/>
  <c r="F473" i="34"/>
  <c r="AP11" i="42"/>
  <c r="O74" i="15" s="1"/>
  <c r="O380" i="34"/>
  <c r="Q140" i="5"/>
  <c r="Q135" i="5"/>
  <c r="O716" i="34"/>
  <c r="G224" i="4"/>
  <c r="H224" i="4" s="1"/>
  <c r="Q105" i="4"/>
  <c r="O774" i="34"/>
  <c r="Q689" i="4"/>
  <c r="Q174" i="4" s="1"/>
  <c r="V16" i="26"/>
  <c r="BD11" i="42"/>
  <c r="O105" i="15" s="1"/>
  <c r="O393" i="34"/>
  <c r="BD22" i="42"/>
  <c r="O27" i="17"/>
  <c r="O12" i="17" s="1"/>
  <c r="O296" i="15" s="1"/>
  <c r="O318" i="15" s="1"/>
  <c r="Q56" i="8"/>
  <c r="Q57" i="8"/>
  <c r="BC3" i="22"/>
  <c r="BC78" i="22" s="1"/>
  <c r="BC121" i="22" s="1"/>
  <c r="O126" i="22" s="1"/>
  <c r="BF3" i="21"/>
  <c r="BE3" i="22"/>
  <c r="BE78" i="22" s="1"/>
  <c r="BE121" i="22" s="1"/>
  <c r="BH3" i="21"/>
  <c r="P877" i="6"/>
  <c r="O81" i="9"/>
  <c r="P81" i="9" s="1"/>
  <c r="O146" i="34"/>
  <c r="N406" i="34"/>
  <c r="O89" i="34"/>
  <c r="P89" i="34" s="1"/>
  <c r="P406" i="34" s="1"/>
  <c r="N706" i="34"/>
  <c r="N211" i="34" s="1"/>
  <c r="N823" i="34" s="1"/>
  <c r="O704" i="34"/>
  <c r="N140" i="34"/>
  <c r="O17" i="34"/>
  <c r="N131" i="34"/>
  <c r="O8" i="34"/>
  <c r="O607" i="34"/>
  <c r="O581" i="34"/>
  <c r="O583" i="34" s="1"/>
  <c r="O137" i="34"/>
  <c r="O154" i="34"/>
  <c r="N132" i="34"/>
  <c r="O9" i="34"/>
  <c r="N138" i="34"/>
  <c r="O15" i="34"/>
  <c r="P439" i="7"/>
  <c r="P352" i="4"/>
  <c r="Q929" i="4"/>
  <c r="P353" i="4"/>
  <c r="Q928" i="4"/>
  <c r="P175" i="4"/>
  <c r="Q626" i="4"/>
  <c r="P332" i="4"/>
  <c r="Q874" i="4"/>
  <c r="P188" i="4"/>
  <c r="Q650" i="4"/>
  <c r="P122" i="4"/>
  <c r="Q588" i="4"/>
  <c r="P406" i="6"/>
  <c r="P419" i="6" s="1"/>
  <c r="Q1281" i="6"/>
  <c r="P666" i="6"/>
  <c r="Q1915" i="6"/>
  <c r="Q302" i="6"/>
  <c r="P90" i="6"/>
  <c r="Q774" i="6"/>
  <c r="R774" i="6" s="1"/>
  <c r="P145" i="6"/>
  <c r="Q897" i="6"/>
  <c r="P76" i="7"/>
  <c r="Q491" i="7"/>
  <c r="Q548" i="8"/>
  <c r="Q142" i="8"/>
  <c r="Q149" i="8" s="1"/>
  <c r="BD34" i="42" s="1"/>
  <c r="P109" i="8"/>
  <c r="P44" i="8"/>
  <c r="AO8" i="42" s="1"/>
  <c r="N71" i="15" s="1"/>
  <c r="Q44" i="8"/>
  <c r="AP8" i="42" s="1"/>
  <c r="O71" i="15" s="1"/>
  <c r="P286" i="4"/>
  <c r="Q832" i="4"/>
  <c r="P162" i="7"/>
  <c r="Q601" i="7"/>
  <c r="P190" i="6"/>
  <c r="P196" i="6" s="1"/>
  <c r="P8" i="6" s="1"/>
  <c r="P62" i="8"/>
  <c r="Q62" i="8"/>
  <c r="Q359" i="5"/>
  <c r="Q1474" i="6"/>
  <c r="Q415" i="6"/>
  <c r="Q305" i="5"/>
  <c r="Q89" i="5"/>
  <c r="Q91" i="5" s="1"/>
  <c r="Q442" i="6"/>
  <c r="Q426" i="6"/>
  <c r="Q378" i="6"/>
  <c r="Q107" i="4"/>
  <c r="Q289" i="7"/>
  <c r="Q788" i="7"/>
  <c r="Q119" i="4"/>
  <c r="Q78" i="4"/>
  <c r="Q111" i="8"/>
  <c r="Q654" i="6"/>
  <c r="Q82" i="7"/>
  <c r="Q634" i="6"/>
  <c r="Q144" i="6"/>
  <c r="Q131" i="8"/>
  <c r="Q409" i="6"/>
  <c r="Q722" i="6"/>
  <c r="Q231" i="4"/>
  <c r="Q413" i="6"/>
  <c r="Q1392" i="6"/>
  <c r="O770" i="34" s="1"/>
  <c r="Q106" i="4"/>
  <c r="Q502" i="4"/>
  <c r="Q411" i="6"/>
  <c r="Q1068" i="6"/>
  <c r="Q122" i="8"/>
  <c r="Q118" i="8"/>
  <c r="Q165" i="7"/>
  <c r="Q1033" i="6"/>
  <c r="Q331" i="6"/>
  <c r="Q330" i="6" s="1"/>
  <c r="Q58" i="4"/>
  <c r="Q1195" i="6"/>
  <c r="P121" i="4"/>
  <c r="Q583" i="4"/>
  <c r="Q170" i="4"/>
  <c r="Q804" i="4"/>
  <c r="Q268" i="4"/>
  <c r="P186" i="4"/>
  <c r="Q644" i="4"/>
  <c r="P343" i="4"/>
  <c r="Q892" i="4"/>
  <c r="P146" i="5"/>
  <c r="P148" i="5" s="1"/>
  <c r="Q382" i="5"/>
  <c r="R382" i="5" s="1"/>
  <c r="R146" i="5" s="1"/>
  <c r="P206" i="6"/>
  <c r="Q980" i="6"/>
  <c r="P664" i="6"/>
  <c r="Q1911" i="6"/>
  <c r="P783" i="6"/>
  <c r="Q764" i="6"/>
  <c r="R764" i="6" s="1"/>
  <c r="R783" i="6" s="1"/>
  <c r="P668" i="6"/>
  <c r="Q1926" i="6"/>
  <c r="P660" i="6"/>
  <c r="Q1907" i="6"/>
  <c r="P632" i="6"/>
  <c r="Q1784" i="6"/>
  <c r="R1784" i="6" s="1"/>
  <c r="AD59" i="10"/>
  <c r="AD92" i="10" s="1"/>
  <c r="AE92" i="10" s="1"/>
  <c r="Q957" i="7"/>
  <c r="R957" i="7" s="1"/>
  <c r="AJ59" i="10" s="1"/>
  <c r="AJ92" i="10" s="1"/>
  <c r="P377" i="7"/>
  <c r="Q963" i="7"/>
  <c r="P314" i="7"/>
  <c r="Q846" i="7"/>
  <c r="P63" i="8"/>
  <c r="Q63" i="8"/>
  <c r="Q92" i="6"/>
  <c r="Q140" i="6"/>
  <c r="Q64" i="8"/>
  <c r="Q117" i="4"/>
  <c r="Q556" i="7"/>
  <c r="Q292" i="7"/>
  <c r="Q755" i="7"/>
  <c r="Q217" i="7"/>
  <c r="Q153" i="6"/>
  <c r="Q318" i="5"/>
  <c r="Q42" i="7"/>
  <c r="O66" i="13" s="1"/>
  <c r="Q148" i="6"/>
  <c r="Q698" i="6"/>
  <c r="Q329" i="4"/>
  <c r="Q367" i="6"/>
  <c r="N759" i="34"/>
  <c r="Q742" i="4"/>
  <c r="P341" i="4"/>
  <c r="Q896" i="4"/>
  <c r="P342" i="4"/>
  <c r="Q891" i="4"/>
  <c r="Q52" i="5"/>
  <c r="P53" i="5"/>
  <c r="Q233" i="5"/>
  <c r="P727" i="6"/>
  <c r="Q2013" i="6"/>
  <c r="R2013" i="6" s="1"/>
  <c r="P662" i="6"/>
  <c r="Q1909" i="6"/>
  <c r="Q775" i="6"/>
  <c r="P323" i="6"/>
  <c r="Q1120" i="6"/>
  <c r="P147" i="6"/>
  <c r="Q899" i="6"/>
  <c r="P661" i="6"/>
  <c r="Q1908" i="6"/>
  <c r="P476" i="6"/>
  <c r="Q1585" i="6"/>
  <c r="P77" i="7"/>
  <c r="Q492" i="7"/>
  <c r="P312" i="7"/>
  <c r="Q844" i="7"/>
  <c r="Q845" i="7"/>
  <c r="Q313" i="7" s="1"/>
  <c r="P61" i="8"/>
  <c r="Q61" i="8"/>
  <c r="Q1175" i="7"/>
  <c r="Q1223" i="7" s="1"/>
  <c r="Q452" i="7"/>
  <c r="Q458" i="7" s="1"/>
  <c r="Q45" i="7" s="1"/>
  <c r="Q1365" i="6"/>
  <c r="Q451" i="6"/>
  <c r="Q456" i="6" s="1"/>
  <c r="P106" i="8"/>
  <c r="BC7" i="42" s="1"/>
  <c r="N101" i="15" s="1"/>
  <c r="P50" i="1"/>
  <c r="P66" i="8"/>
  <c r="N27" i="16"/>
  <c r="N12" i="16" s="1"/>
  <c r="O27" i="16"/>
  <c r="O12" i="16" s="1"/>
  <c r="O247" i="15" s="1"/>
  <c r="P663" i="6"/>
  <c r="Q1910" i="6"/>
  <c r="P367" i="7"/>
  <c r="Q920" i="7"/>
  <c r="Q1023" i="7"/>
  <c r="Q350" i="7"/>
  <c r="Q130" i="6"/>
  <c r="Q823" i="6"/>
  <c r="Q639" i="6"/>
  <c r="Q371" i="7"/>
  <c r="Q446" i="6"/>
  <c r="Q68" i="8"/>
  <c r="Q256" i="5"/>
  <c r="Q483" i="7"/>
  <c r="Q67" i="7"/>
  <c r="Q69" i="7" s="1"/>
  <c r="Q7" i="7" s="1"/>
  <c r="Q230" i="4"/>
  <c r="Q205" i="7"/>
  <c r="Q666" i="7"/>
  <c r="Q187" i="5"/>
  <c r="Q201" i="6"/>
  <c r="Q160" i="7"/>
  <c r="Q75" i="7"/>
  <c r="Q584" i="6"/>
  <c r="Q127" i="7"/>
  <c r="Q542" i="6"/>
  <c r="Q123" i="8"/>
  <c r="Q301" i="7"/>
  <c r="Q218" i="7"/>
  <c r="Q479" i="6"/>
  <c r="Q120" i="4"/>
  <c r="Q447" i="5"/>
  <c r="P347" i="4"/>
  <c r="Q347" i="4"/>
  <c r="Q229" i="4"/>
  <c r="Q775" i="4"/>
  <c r="Q182" i="4"/>
  <c r="Q278" i="4"/>
  <c r="P659" i="6"/>
  <c r="Q1906" i="6"/>
  <c r="P665" i="6"/>
  <c r="Q1912" i="6"/>
  <c r="P154" i="6"/>
  <c r="Q918" i="6"/>
  <c r="P303" i="6"/>
  <c r="Q1098" i="6"/>
  <c r="Q1728" i="6"/>
  <c r="P434" i="6"/>
  <c r="Q1352" i="6"/>
  <c r="R1352" i="6" s="1"/>
  <c r="R434" i="6" s="1"/>
  <c r="Q321" i="6"/>
  <c r="P435" i="6"/>
  <c r="Q1354" i="6"/>
  <c r="Q575" i="7"/>
  <c r="AD60" i="10"/>
  <c r="AE60" i="10" s="1"/>
  <c r="Q958" i="7"/>
  <c r="U23" i="26"/>
  <c r="Q807" i="7"/>
  <c r="R807" i="7" s="1"/>
  <c r="W23" i="26" s="1"/>
  <c r="P1251" i="6"/>
  <c r="Q1232" i="6"/>
  <c r="R1232" i="6" s="1"/>
  <c r="P504" i="6"/>
  <c r="Q1623" i="6"/>
  <c r="Q1072" i="6"/>
  <c r="Q273" i="6"/>
  <c r="Q1004" i="6"/>
  <c r="Q216" i="6"/>
  <c r="Q222" i="6" s="1"/>
  <c r="P330" i="4"/>
  <c r="Q867" i="4"/>
  <c r="P183" i="4"/>
  <c r="Q637" i="4"/>
  <c r="Q1449" i="6"/>
  <c r="Q116" i="4"/>
  <c r="Q109" i="8"/>
  <c r="Q710" i="6"/>
  <c r="Q1527" i="6"/>
  <c r="Q410" i="6"/>
  <c r="Q186" i="5"/>
  <c r="Q136" i="5"/>
  <c r="Q416" i="5"/>
  <c r="Q728" i="7"/>
  <c r="Q250" i="7"/>
  <c r="Q252" i="7" s="1"/>
  <c r="Q667" i="6"/>
  <c r="Q77" i="6"/>
  <c r="Q309" i="7"/>
  <c r="Q300" i="7"/>
  <c r="Q655" i="6"/>
  <c r="Q168" i="7"/>
  <c r="Q628" i="6"/>
  <c r="Q74" i="7"/>
  <c r="C133" i="13"/>
  <c r="C135" i="13" s="1"/>
  <c r="N55" i="13"/>
  <c r="N72" i="13"/>
  <c r="C206" i="15"/>
  <c r="AB92" i="10"/>
  <c r="N203" i="15"/>
  <c r="N148" i="15" s="1"/>
  <c r="M119" i="13"/>
  <c r="P289" i="45"/>
  <c r="O111" i="1"/>
  <c r="O114" i="1" s="1"/>
  <c r="O116" i="1" s="1"/>
  <c r="AA30" i="42"/>
  <c r="M30" i="42" s="1"/>
  <c r="N192" i="15"/>
  <c r="M65" i="13"/>
  <c r="N607" i="34"/>
  <c r="N581" i="34"/>
  <c r="N583" i="34" s="1"/>
  <c r="M137" i="15"/>
  <c r="M161" i="15" s="1"/>
  <c r="M216" i="15"/>
  <c r="N747" i="34"/>
  <c r="P965" i="6"/>
  <c r="J586" i="34"/>
  <c r="J252" i="3" s="1"/>
  <c r="I252" i="3"/>
  <c r="I588" i="34"/>
  <c r="I239" i="34" s="1"/>
  <c r="D551" i="34"/>
  <c r="D560" i="34" s="1"/>
  <c r="D253" i="34" s="1"/>
  <c r="D517" i="34"/>
  <c r="M108" i="15"/>
  <c r="P1146" i="6"/>
  <c r="P354" i="6" s="1"/>
  <c r="CU146" i="9"/>
  <c r="S50" i="42"/>
  <c r="F535" i="34"/>
  <c r="D543" i="34"/>
  <c r="D518" i="34"/>
  <c r="D527" i="34" s="1"/>
  <c r="L692" i="34"/>
  <c r="CH69" i="21"/>
  <c r="K46" i="15"/>
  <c r="K15" i="15" s="1"/>
  <c r="K55" i="15"/>
  <c r="K24" i="15" s="1"/>
  <c r="J537" i="8"/>
  <c r="J138" i="8" s="1"/>
  <c r="C398" i="34"/>
  <c r="C192" i="34" s="1"/>
  <c r="C193" i="34" s="1"/>
  <c r="J13" i="15"/>
  <c r="J290" i="34" s="1"/>
  <c r="J306" i="34"/>
  <c r="K288" i="34"/>
  <c r="K351" i="34" s="1"/>
  <c r="K553" i="34"/>
  <c r="K377" i="34"/>
  <c r="L293" i="34"/>
  <c r="L525" i="34" s="1"/>
  <c r="L557" i="34"/>
  <c r="J471" i="34"/>
  <c r="J521" i="34"/>
  <c r="L320" i="34"/>
  <c r="J382" i="34"/>
  <c r="J495" i="34"/>
  <c r="K598" i="34"/>
  <c r="K600" i="34" s="1"/>
  <c r="K241" i="34" s="1"/>
  <c r="E134" i="13"/>
  <c r="M77" i="15"/>
  <c r="O15" i="6"/>
  <c r="N723" i="34"/>
  <c r="N767" i="34"/>
  <c r="L14" i="13"/>
  <c r="K216" i="34"/>
  <c r="K814" i="34" s="1"/>
  <c r="K259" i="3" s="1"/>
  <c r="L23" i="15"/>
  <c r="L217" i="15"/>
  <c r="L138" i="15"/>
  <c r="L162" i="15" s="1"/>
  <c r="P41" i="7"/>
  <c r="M12" i="13" s="1"/>
  <c r="N642" i="7"/>
  <c r="P548" i="8"/>
  <c r="N27" i="17"/>
  <c r="N12" i="17" s="1"/>
  <c r="N296" i="15" s="1"/>
  <c r="M318" i="15"/>
  <c r="P20" i="8"/>
  <c r="N25" i="17"/>
  <c r="N10" i="17" s="1"/>
  <c r="N103" i="17" s="1"/>
  <c r="V22" i="20"/>
  <c r="N404" i="4"/>
  <c r="L9" i="12" s="1"/>
  <c r="O2073" i="6"/>
  <c r="M7" i="3" s="1"/>
  <c r="BE209" i="9"/>
  <c r="BE211" i="9" s="1"/>
  <c r="N734" i="34"/>
  <c r="M737" i="34"/>
  <c r="M739" i="34" s="1"/>
  <c r="M215" i="34" s="1"/>
  <c r="M824" i="34" s="1"/>
  <c r="K105" i="13"/>
  <c r="M793" i="34"/>
  <c r="M799" i="34" s="1"/>
  <c r="M813" i="34"/>
  <c r="M258" i="3" s="1"/>
  <c r="L739" i="34"/>
  <c r="L215" i="34" s="1"/>
  <c r="O2076" i="6"/>
  <c r="J22" i="42"/>
  <c r="BI81" i="9"/>
  <c r="M65" i="9"/>
  <c r="O431" i="45"/>
  <c r="O432" i="45" s="1"/>
  <c r="O433" i="45" s="1"/>
  <c r="P177" i="6"/>
  <c r="J41" i="20"/>
  <c r="P12" i="20"/>
  <c r="P16" i="20" s="1"/>
  <c r="AZ68" i="21"/>
  <c r="M76" i="21" s="1"/>
  <c r="M78" i="21" s="1"/>
  <c r="N97" i="3" s="1"/>
  <c r="N555" i="34"/>
  <c r="BA121" i="22"/>
  <c r="P293" i="45"/>
  <c r="P424" i="45"/>
  <c r="P431" i="45" s="1"/>
  <c r="P432" i="45" s="1"/>
  <c r="A271" i="15"/>
  <c r="A274" i="15" s="1"/>
  <c r="A279" i="15" s="1"/>
  <c r="N698" i="34"/>
  <c r="M698" i="34"/>
  <c r="L125" i="22"/>
  <c r="K125" i="22"/>
  <c r="K129" i="22" s="1"/>
  <c r="L557" i="8"/>
  <c r="L158" i="8" s="1"/>
  <c r="L31" i="8" s="1"/>
  <c r="O356" i="8"/>
  <c r="O94" i="8" s="1"/>
  <c r="AX3" i="22"/>
  <c r="BA3" i="21"/>
  <c r="AT78" i="22"/>
  <c r="AT121" i="22" s="1"/>
  <c r="G45" i="17"/>
  <c r="G118" i="17" s="1"/>
  <c r="P95" i="8"/>
  <c r="M100" i="40"/>
  <c r="AA40" i="42" s="1"/>
  <c r="P148" i="8"/>
  <c r="M256" i="15"/>
  <c r="AN45" i="42"/>
  <c r="AN47" i="42" s="1"/>
  <c r="AN54" i="42" s="1"/>
  <c r="G99" i="42"/>
  <c r="K4" i="12"/>
  <c r="N399" i="4" s="1"/>
  <c r="BJ81" i="9"/>
  <c r="N233" i="3" s="1"/>
  <c r="O745" i="6"/>
  <c r="U100" i="37"/>
  <c r="M758" i="34"/>
  <c r="M780" i="34" s="1"/>
  <c r="N771" i="34"/>
  <c r="AC234" i="10"/>
  <c r="AE234" i="10" s="1"/>
  <c r="AD152" i="11" s="1"/>
  <c r="AE152" i="11" s="1"/>
  <c r="AF152" i="11" s="1"/>
  <c r="Z7" i="42"/>
  <c r="M39" i="15" s="1"/>
  <c r="AA7" i="42"/>
  <c r="N39" i="15" s="1"/>
  <c r="L316" i="15"/>
  <c r="L267" i="15"/>
  <c r="AB59" i="10"/>
  <c r="N220" i="6"/>
  <c r="N223" i="6" s="1"/>
  <c r="O243" i="4"/>
  <c r="O21" i="4" s="1"/>
  <c r="O63" i="1"/>
  <c r="N72" i="1"/>
  <c r="N74" i="21"/>
  <c r="BD65" i="9"/>
  <c r="K44" i="15"/>
  <c r="L75" i="16"/>
  <c r="L44" i="16" s="1"/>
  <c r="L77" i="3" s="1"/>
  <c r="L78" i="3" s="1"/>
  <c r="O280" i="6"/>
  <c r="J163" i="15"/>
  <c r="J218" i="15"/>
  <c r="P1364" i="6"/>
  <c r="P450" i="6"/>
  <c r="P455" i="6" s="1"/>
  <c r="N55" i="6"/>
  <c r="Y22" i="42" s="1"/>
  <c r="K32" i="13"/>
  <c r="K51" i="13" s="1"/>
  <c r="M75" i="16"/>
  <c r="M44" i="16" s="1"/>
  <c r="M77" i="3" s="1"/>
  <c r="M78" i="3" s="1"/>
  <c r="K194" i="15"/>
  <c r="K139" i="15" s="1"/>
  <c r="J69" i="13"/>
  <c r="X34" i="42"/>
  <c r="J34" i="42" s="1"/>
  <c r="BD64" i="21"/>
  <c r="CJ64" i="21"/>
  <c r="P162" i="6"/>
  <c r="P168" i="6" s="1"/>
  <c r="P1072" i="6"/>
  <c r="P273" i="6"/>
  <c r="U17" i="26"/>
  <c r="P305" i="7"/>
  <c r="L78" i="21"/>
  <c r="M97" i="3" s="1"/>
  <c r="L308" i="15"/>
  <c r="L111" i="17"/>
  <c r="BA49" i="42"/>
  <c r="P451" i="6"/>
  <c r="P456" i="6" s="1"/>
  <c r="P1365" i="6"/>
  <c r="P1004" i="6"/>
  <c r="P216" i="6"/>
  <c r="P222" i="6" s="1"/>
  <c r="CJ66" i="21"/>
  <c r="P140" i="6"/>
  <c r="P376" i="6"/>
  <c r="P380" i="6" s="1"/>
  <c r="P27" i="6" s="1"/>
  <c r="P1221" i="6"/>
  <c r="P366" i="6" s="1"/>
  <c r="M747" i="34"/>
  <c r="P1175" i="7"/>
  <c r="P1223" i="7" s="1"/>
  <c r="P452" i="7"/>
  <c r="P458" i="7" s="1"/>
  <c r="P45" i="7" s="1"/>
  <c r="P855" i="7"/>
  <c r="P857" i="7" s="1"/>
  <c r="P859" i="7" s="1"/>
  <c r="P302" i="7"/>
  <c r="O94" i="7"/>
  <c r="O20" i="7" s="1"/>
  <c r="O32" i="7" s="1"/>
  <c r="O26" i="5"/>
  <c r="L50" i="13"/>
  <c r="CU108" i="9"/>
  <c r="BN108" i="9"/>
  <c r="CU81" i="9"/>
  <c r="P1185" i="7"/>
  <c r="BM61" i="9"/>
  <c r="BM63" i="9" s="1"/>
  <c r="CU61" i="9"/>
  <c r="M21" i="5"/>
  <c r="M30" i="5" s="1"/>
  <c r="K14" i="3" s="1"/>
  <c r="M27" i="5"/>
  <c r="P1504" i="6"/>
  <c r="AE220" i="10"/>
  <c r="N55" i="7"/>
  <c r="L67" i="3" s="1"/>
  <c r="P31" i="5"/>
  <c r="M103" i="13" s="1"/>
  <c r="G25" i="4"/>
  <c r="H25" i="4" s="1"/>
  <c r="G33" i="4"/>
  <c r="H33" i="4" s="1"/>
  <c r="M45" i="4"/>
  <c r="N773" i="34"/>
  <c r="L780" i="34"/>
  <c r="P29" i="45"/>
  <c r="F200" i="3"/>
  <c r="BB7" i="42"/>
  <c r="M101" i="15" s="1"/>
  <c r="O108" i="8"/>
  <c r="O107" i="8"/>
  <c r="BB8" i="42" s="1"/>
  <c r="P291" i="45"/>
  <c r="O43" i="8"/>
  <c r="AN7" i="42" s="1"/>
  <c r="N307" i="45"/>
  <c r="P978" i="4"/>
  <c r="N8" i="3" s="1"/>
  <c r="L361" i="4"/>
  <c r="J972" i="4"/>
  <c r="K363" i="4"/>
  <c r="K972" i="4"/>
  <c r="M359" i="4"/>
  <c r="M23" i="4" s="1"/>
  <c r="M34" i="4" s="1"/>
  <c r="J374" i="4"/>
  <c r="J959" i="4"/>
  <c r="N39" i="17"/>
  <c r="N111" i="17" s="1"/>
  <c r="P558" i="8"/>
  <c r="P159" i="8" s="1"/>
  <c r="P1078" i="6"/>
  <c r="P288" i="6" s="1"/>
  <c r="AD7" i="10"/>
  <c r="AD36" i="10" s="1"/>
  <c r="P345" i="7"/>
  <c r="AE58" i="10"/>
  <c r="M57" i="13"/>
  <c r="P475" i="4"/>
  <c r="P92" i="4" s="1"/>
  <c r="P46" i="4" s="1"/>
  <c r="N62" i="3" s="1"/>
  <c r="AA35" i="11"/>
  <c r="AB35" i="11" s="1"/>
  <c r="AC35" i="11" s="1"/>
  <c r="AE35" i="11" s="1"/>
  <c r="AF35" i="11" s="1"/>
  <c r="AH35" i="11" s="1"/>
  <c r="AI35" i="11" s="1"/>
  <c r="AK35" i="11" s="1"/>
  <c r="P331" i="7"/>
  <c r="N105" i="16"/>
  <c r="AO20" i="42"/>
  <c r="N558" i="34" s="1"/>
  <c r="N693" i="34" s="1"/>
  <c r="N267" i="15"/>
  <c r="BC22" i="42"/>
  <c r="P142" i="8"/>
  <c r="P149" i="8" s="1"/>
  <c r="BC34" i="42" s="1"/>
  <c r="AB60" i="10"/>
  <c r="O320" i="7"/>
  <c r="O24" i="7" s="1"/>
  <c r="O36" i="7" s="1"/>
  <c r="P376" i="7"/>
  <c r="O440" i="7"/>
  <c r="P440" i="7"/>
  <c r="P206" i="7"/>
  <c r="P212" i="7" s="1"/>
  <c r="P9" i="7" s="1"/>
  <c r="P666" i="7"/>
  <c r="P525" i="7"/>
  <c r="P527" i="7" s="1"/>
  <c r="P529" i="7" s="1"/>
  <c r="P538" i="7" s="1"/>
  <c r="P74" i="7"/>
  <c r="P134" i="7"/>
  <c r="P575" i="7"/>
  <c r="P577" i="7" s="1"/>
  <c r="P579" i="7" s="1"/>
  <c r="P622" i="7"/>
  <c r="P168" i="7"/>
  <c r="O441" i="7"/>
  <c r="O442" i="7" s="1"/>
  <c r="P441" i="7"/>
  <c r="P442" i="7" s="1"/>
  <c r="P258" i="7"/>
  <c r="P264" i="7" s="1"/>
  <c r="P755" i="7"/>
  <c r="P757" i="7" s="1"/>
  <c r="P759" i="7" s="1"/>
  <c r="P161" i="7"/>
  <c r="L2038" i="6"/>
  <c r="O436" i="6"/>
  <c r="N757" i="34"/>
  <c r="P701" i="6"/>
  <c r="P935" i="6"/>
  <c r="P937" i="6" s="1"/>
  <c r="O1638" i="6"/>
  <c r="O520" i="6" s="1"/>
  <c r="P108" i="6"/>
  <c r="P1100" i="6"/>
  <c r="P302" i="6"/>
  <c r="P35" i="45"/>
  <c r="P321" i="6"/>
  <c r="L234" i="6"/>
  <c r="P1292" i="6"/>
  <c r="N763" i="34"/>
  <c r="P77" i="6"/>
  <c r="P938" i="6"/>
  <c r="P160" i="6"/>
  <c r="P54" i="6"/>
  <c r="M31" i="13"/>
  <c r="P91" i="6"/>
  <c r="P1609" i="6"/>
  <c r="N116" i="3" s="1"/>
  <c r="N117" i="3" s="1"/>
  <c r="P344" i="6"/>
  <c r="P1361" i="6"/>
  <c r="P367" i="6"/>
  <c r="O218" i="6"/>
  <c r="O24" i="6" s="1"/>
  <c r="O40" i="6" s="1"/>
  <c r="P204" i="6"/>
  <c r="P1000" i="6"/>
  <c r="P86" i="6"/>
  <c r="P1168" i="6"/>
  <c r="O89" i="6"/>
  <c r="P89" i="6"/>
  <c r="O139" i="6"/>
  <c r="P839" i="6"/>
  <c r="Q839" i="6" s="1"/>
  <c r="R839" i="6" s="1"/>
  <c r="R138" i="6" s="1"/>
  <c r="P383" i="5"/>
  <c r="P385" i="5" s="1"/>
  <c r="P387" i="5" s="1"/>
  <c r="P396" i="5" s="1"/>
  <c r="O273" i="4"/>
  <c r="O11" i="4" s="1"/>
  <c r="O159" i="4"/>
  <c r="P66" i="37"/>
  <c r="P69" i="37" s="1"/>
  <c r="P82" i="37" s="1"/>
  <c r="M85" i="20"/>
  <c r="N84" i="20" s="1"/>
  <c r="N83" i="20" s="1"/>
  <c r="N85" i="20" s="1"/>
  <c r="P84" i="20" s="1"/>
  <c r="P83" i="20" s="1"/>
  <c r="P85" i="20" s="1"/>
  <c r="O74" i="20"/>
  <c r="O73" i="20" s="1"/>
  <c r="O75" i="20" s="1"/>
  <c r="Q74" i="20" s="1"/>
  <c r="S88" i="19"/>
  <c r="S90" i="19" s="1"/>
  <c r="P195" i="5"/>
  <c r="P449" i="5"/>
  <c r="P451" i="5" s="1"/>
  <c r="P459" i="5" s="1"/>
  <c r="P238" i="5"/>
  <c r="P258" i="5" s="1"/>
  <c r="P260" i="5" s="1"/>
  <c r="P271" i="5" s="1"/>
  <c r="P52" i="5"/>
  <c r="P505" i="5"/>
  <c r="N130" i="34"/>
  <c r="D535" i="34"/>
  <c r="N146" i="34"/>
  <c r="N137" i="34"/>
  <c r="P722" i="4"/>
  <c r="P724" i="4" s="1"/>
  <c r="P732" i="4" s="1"/>
  <c r="P174" i="4"/>
  <c r="P804" i="4"/>
  <c r="AA8" i="42" s="1"/>
  <c r="N40" i="15" s="1"/>
  <c r="P268" i="4"/>
  <c r="P278" i="4"/>
  <c r="P745" i="4"/>
  <c r="P221" i="4"/>
  <c r="P224" i="4" s="1"/>
  <c r="P629" i="4"/>
  <c r="P170" i="4"/>
  <c r="P229" i="4"/>
  <c r="P243" i="4" s="1"/>
  <c r="P21" i="4" s="1"/>
  <c r="P775" i="4"/>
  <c r="P654" i="4"/>
  <c r="P182" i="4"/>
  <c r="P935" i="4"/>
  <c r="P597" i="4"/>
  <c r="P599" i="4" s="1"/>
  <c r="P601" i="4" s="1"/>
  <c r="P609" i="4" s="1"/>
  <c r="P881" i="4"/>
  <c r="B41" i="13"/>
  <c r="K94" i="48"/>
  <c r="M555" i="34"/>
  <c r="O496" i="6"/>
  <c r="Y81" i="42"/>
  <c r="O167" i="6"/>
  <c r="J309" i="15"/>
  <c r="M23" i="6"/>
  <c r="M39" i="6" s="1"/>
  <c r="O698" i="6"/>
  <c r="K8" i="15"/>
  <c r="O21" i="8"/>
  <c r="O85" i="8"/>
  <c r="L597" i="34"/>
  <c r="L155" i="15"/>
  <c r="AZ42" i="42"/>
  <c r="J42" i="42" s="1"/>
  <c r="A51" i="17"/>
  <c r="A117" i="17" s="1"/>
  <c r="L57" i="34"/>
  <c r="L59" i="34" s="1"/>
  <c r="BB20" i="42"/>
  <c r="M115" i="15" s="1"/>
  <c r="M294" i="15"/>
  <c r="K621" i="34"/>
  <c r="K622" i="34" s="1"/>
  <c r="K624" i="34" s="1"/>
  <c r="K245" i="34" s="1"/>
  <c r="M105" i="16"/>
  <c r="A123" i="16"/>
  <c r="A125" i="16" s="1"/>
  <c r="A93" i="3" s="1"/>
  <c r="M259" i="15"/>
  <c r="M113" i="16"/>
  <c r="K305" i="15"/>
  <c r="K120" i="17"/>
  <c r="BB49" i="42"/>
  <c r="M308" i="15"/>
  <c r="A323" i="15"/>
  <c r="A328" i="15" s="1"/>
  <c r="L609" i="34"/>
  <c r="L610" i="34" s="1"/>
  <c r="L612" i="34" s="1"/>
  <c r="L243" i="34" s="1"/>
  <c r="L70" i="15"/>
  <c r="G329" i="15"/>
  <c r="J391" i="8" s="1"/>
  <c r="L573" i="34"/>
  <c r="BA29" i="42"/>
  <c r="L558" i="34"/>
  <c r="L693" i="34" s="1"/>
  <c r="BC65" i="9"/>
  <c r="M114" i="5"/>
  <c r="M2038" i="6"/>
  <c r="T52" i="37"/>
  <c r="T61" i="37" s="1"/>
  <c r="T63" i="37" s="1"/>
  <c r="Y69" i="42"/>
  <c r="J98" i="34"/>
  <c r="I100" i="34"/>
  <c r="I539" i="34"/>
  <c r="I366" i="34"/>
  <c r="I485" i="34" s="1"/>
  <c r="L379" i="34"/>
  <c r="L497" i="34" s="1"/>
  <c r="L555" i="34"/>
  <c r="I275" i="15"/>
  <c r="H438" i="34"/>
  <c r="E543" i="34"/>
  <c r="E535" i="34"/>
  <c r="M428" i="34"/>
  <c r="N428" i="34" s="1"/>
  <c r="O428" i="34" s="1"/>
  <c r="P428" i="34" s="1"/>
  <c r="C469" i="34"/>
  <c r="D32" i="34"/>
  <c r="D33" i="34" s="1"/>
  <c r="R83" i="14"/>
  <c r="N509" i="5"/>
  <c r="K21" i="42"/>
  <c r="M85" i="15"/>
  <c r="J81" i="42"/>
  <c r="O80" i="4"/>
  <c r="O18" i="4" s="1"/>
  <c r="O191" i="4"/>
  <c r="O196" i="4" s="1"/>
  <c r="I69" i="42"/>
  <c r="L148" i="15"/>
  <c r="I9" i="4"/>
  <c r="I198" i="4"/>
  <c r="D425" i="34"/>
  <c r="D429" i="34" s="1"/>
  <c r="O497" i="5"/>
  <c r="O865" i="6"/>
  <c r="M466" i="5"/>
  <c r="N31" i="5"/>
  <c r="L687" i="34" s="1"/>
  <c r="L681" i="34" s="1"/>
  <c r="O1197" i="6"/>
  <c r="O1199" i="6" s="1"/>
  <c r="O1210" i="6" s="1"/>
  <c r="N1253" i="6"/>
  <c r="N1255" i="6" s="1"/>
  <c r="N1266" i="6" s="1"/>
  <c r="O148" i="5"/>
  <c r="O18" i="5" s="1"/>
  <c r="O27" i="5" s="1"/>
  <c r="N18" i="5"/>
  <c r="O723" i="6"/>
  <c r="N164" i="6"/>
  <c r="N166" i="6" s="1"/>
  <c r="N169" i="6" s="1"/>
  <c r="O138" i="6"/>
  <c r="AE24" i="9"/>
  <c r="G145" i="4"/>
  <c r="G609" i="4"/>
  <c r="H609" i="4" s="1"/>
  <c r="I145" i="4"/>
  <c r="G24" i="9"/>
  <c r="Z24" i="9"/>
  <c r="F680" i="34"/>
  <c r="F686" i="34"/>
  <c r="F688" i="34" s="1"/>
  <c r="I206" i="3"/>
  <c r="BI193" i="9"/>
  <c r="O169" i="45"/>
  <c r="O170" i="45" s="1"/>
  <c r="O171" i="45" s="1"/>
  <c r="P171" i="45" s="1"/>
  <c r="AA238" i="10"/>
  <c r="AZ44" i="42"/>
  <c r="K74" i="14"/>
  <c r="G298" i="4"/>
  <c r="H298" i="4" s="1"/>
  <c r="G971" i="4"/>
  <c r="H971" i="4" s="1"/>
  <c r="O297" i="4"/>
  <c r="O589" i="7"/>
  <c r="L2037" i="6"/>
  <c r="N939" i="6"/>
  <c r="O939" i="6"/>
  <c r="D38" i="20"/>
  <c r="O38" i="20" s="1"/>
  <c r="C152" i="15"/>
  <c r="L36" i="17"/>
  <c r="N658" i="4"/>
  <c r="N667" i="4" s="1"/>
  <c r="M128" i="22"/>
  <c r="N7" i="5"/>
  <c r="N25" i="5" s="1"/>
  <c r="L481" i="5"/>
  <c r="L513" i="5" s="1"/>
  <c r="N150" i="5"/>
  <c r="N478" i="5" s="1"/>
  <c r="O31" i="5"/>
  <c r="O406" i="7"/>
  <c r="O136" i="7"/>
  <c r="O138" i="7" s="1"/>
  <c r="M511" i="5"/>
  <c r="L32" i="5"/>
  <c r="L43" i="5" s="1"/>
  <c r="O387" i="5"/>
  <c r="O396" i="5" s="1"/>
  <c r="L40" i="13"/>
  <c r="O37" i="4"/>
  <c r="O777" i="4"/>
  <c r="O779" i="4" s="1"/>
  <c r="O790" i="4" s="1"/>
  <c r="O1363" i="6"/>
  <c r="O1573" i="6"/>
  <c r="O380" i="6"/>
  <c r="O27" i="6" s="1"/>
  <c r="I20" i="4"/>
  <c r="O656" i="4"/>
  <c r="O335" i="4"/>
  <c r="O12" i="4" s="1"/>
  <c r="O935" i="4"/>
  <c r="O937" i="4" s="1"/>
  <c r="O939" i="4" s="1"/>
  <c r="O948" i="4" s="1"/>
  <c r="O120" i="4"/>
  <c r="O158" i="4" s="1"/>
  <c r="M84" i="15"/>
  <c r="O465" i="6"/>
  <c r="BI54" i="9"/>
  <c r="O36" i="45"/>
  <c r="B980" i="4"/>
  <c r="M19" i="4"/>
  <c r="M30" i="4" s="1"/>
  <c r="A38" i="13"/>
  <c r="B1000" i="4"/>
  <c r="N1211" i="7"/>
  <c r="L126" i="22"/>
  <c r="L129" i="22" s="1"/>
  <c r="N135" i="22"/>
  <c r="D39" i="20"/>
  <c r="D92" i="20" s="1"/>
  <c r="P95" i="20" s="1"/>
  <c r="M36" i="17"/>
  <c r="C184" i="42"/>
  <c r="M79" i="20"/>
  <c r="M78" i="20" s="1"/>
  <c r="M80" i="20" s="1"/>
  <c r="J202" i="15"/>
  <c r="J147" i="15" s="1"/>
  <c r="O1009" i="4"/>
  <c r="N91" i="4"/>
  <c r="M324" i="7"/>
  <c r="M234" i="6"/>
  <c r="N322" i="7"/>
  <c r="N324" i="7" s="1"/>
  <c r="M1208" i="7"/>
  <c r="L72" i="13"/>
  <c r="L55" i="13"/>
  <c r="Z41" i="42" s="1"/>
  <c r="O295" i="45"/>
  <c r="O305" i="45" s="1"/>
  <c r="O306" i="45" s="1"/>
  <c r="O367" i="6"/>
  <c r="O372" i="6" s="1"/>
  <c r="O1227" i="6"/>
  <c r="M766" i="34" s="1"/>
  <c r="M384" i="6"/>
  <c r="M2061" i="6"/>
  <c r="L2041" i="6"/>
  <c r="L395" i="6"/>
  <c r="O512" i="6"/>
  <c r="N11" i="6"/>
  <c r="N43" i="6" s="1"/>
  <c r="N382" i="6"/>
  <c r="N495" i="5"/>
  <c r="N500" i="5" s="1"/>
  <c r="M476" i="5"/>
  <c r="M481" i="5" s="1"/>
  <c r="N133" i="4"/>
  <c r="K955" i="4"/>
  <c r="N10" i="7"/>
  <c r="N96" i="7"/>
  <c r="M194" i="7"/>
  <c r="AB58" i="10"/>
  <c r="I143" i="13"/>
  <c r="W44" i="42"/>
  <c r="I44" i="42" s="1"/>
  <c r="U72" i="14"/>
  <c r="L137" i="4"/>
  <c r="L968" i="4"/>
  <c r="M135" i="4"/>
  <c r="J7" i="42"/>
  <c r="K43" i="42"/>
  <c r="B97" i="8"/>
  <c r="B358" i="8"/>
  <c r="M1193" i="7"/>
  <c r="M149" i="7"/>
  <c r="O56" i="5"/>
  <c r="O7" i="5" s="1"/>
  <c r="L470" i="5"/>
  <c r="L483" i="5" s="1"/>
  <c r="O439" i="7"/>
  <c r="N114" i="5"/>
  <c r="N466" i="5"/>
  <c r="M1192" i="7"/>
  <c r="M109" i="7"/>
  <c r="J143" i="13"/>
  <c r="M203" i="15"/>
  <c r="AB220" i="10"/>
  <c r="M468" i="5"/>
  <c r="M210" i="5"/>
  <c r="N479" i="5"/>
  <c r="N199" i="5"/>
  <c r="O19" i="5"/>
  <c r="O507" i="5"/>
  <c r="O197" i="5"/>
  <c r="K202" i="15"/>
  <c r="K147" i="15" s="1"/>
  <c r="O174" i="4"/>
  <c r="O722" i="4"/>
  <c r="O724" i="4" s="1"/>
  <c r="O732" i="4" s="1"/>
  <c r="J268" i="6"/>
  <c r="J1068" i="6"/>
  <c r="J1069" i="6" s="1"/>
  <c r="J1073" i="6" s="1"/>
  <c r="I91" i="4"/>
  <c r="I111" i="14"/>
  <c r="J110" i="14" s="1"/>
  <c r="O97" i="37"/>
  <c r="J1076" i="6"/>
  <c r="J286" i="6" s="1"/>
  <c r="J61" i="6" s="1"/>
  <c r="H23" i="3" s="1"/>
  <c r="M79" i="5"/>
  <c r="M465" i="5"/>
  <c r="N68" i="5"/>
  <c r="N476" i="5"/>
  <c r="O502" i="4"/>
  <c r="N111" i="4"/>
  <c r="N8" i="4" s="1"/>
  <c r="N155" i="4"/>
  <c r="N160" i="4" s="1"/>
  <c r="L119" i="13"/>
  <c r="Z43" i="42"/>
  <c r="L43" i="42" s="1"/>
  <c r="O759" i="7"/>
  <c r="O770" i="7" s="1"/>
  <c r="O1509" i="6"/>
  <c r="E41" i="42"/>
  <c r="AU47" i="42"/>
  <c r="S35" i="19"/>
  <c r="O35" i="19"/>
  <c r="B152" i="15"/>
  <c r="G75" i="8"/>
  <c r="F169" i="3" s="1"/>
  <c r="F170" i="3" s="1"/>
  <c r="D50" i="42"/>
  <c r="E467" i="34" s="1"/>
  <c r="AF52" i="42"/>
  <c r="G28" i="8"/>
  <c r="F114" i="16"/>
  <c r="F115" i="16" s="1"/>
  <c r="C50" i="42"/>
  <c r="AE52" i="42"/>
  <c r="D75" i="8"/>
  <c r="C169" i="3" s="1"/>
  <c r="C170" i="3" s="1"/>
  <c r="H105" i="19"/>
  <c r="H44" i="42"/>
  <c r="V47" i="42"/>
  <c r="AU209" i="9"/>
  <c r="AU211" i="9" s="1"/>
  <c r="O32" i="8"/>
  <c r="O402" i="4"/>
  <c r="M7" i="12" s="1"/>
  <c r="L279" i="7"/>
  <c r="L1194" i="7"/>
  <c r="L102" i="13"/>
  <c r="O264" i="7"/>
  <c r="N266" i="7"/>
  <c r="N23" i="7"/>
  <c r="N35" i="7" s="1"/>
  <c r="M1210" i="7"/>
  <c r="M268" i="7"/>
  <c r="N1195" i="7"/>
  <c r="N194" i="7"/>
  <c r="M76" i="11"/>
  <c r="N74" i="20"/>
  <c r="N400" i="4"/>
  <c r="L5" i="12" s="1"/>
  <c r="AB69" i="11"/>
  <c r="AC69" i="11" s="1"/>
  <c r="M68" i="20"/>
  <c r="L134" i="14" l="1"/>
  <c r="U19" i="14" s="1"/>
  <c r="I177" i="14"/>
  <c r="J86" i="14" s="1"/>
  <c r="J125" i="14" s="1"/>
  <c r="R17" i="14" s="1"/>
  <c r="L175" i="14"/>
  <c r="M84" i="14" s="1"/>
  <c r="R81" i="14"/>
  <c r="P101" i="14"/>
  <c r="O64" i="12"/>
  <c r="Q1078" i="6" s="1"/>
  <c r="Q288" i="6" s="1"/>
  <c r="O134" i="9"/>
  <c r="CV134" i="9" s="1"/>
  <c r="P29" i="9"/>
  <c r="R768" i="7" s="1"/>
  <c r="Q768" i="7"/>
  <c r="P61" i="9"/>
  <c r="P63" i="9" s="1"/>
  <c r="O63" i="9"/>
  <c r="O477" i="5"/>
  <c r="R305" i="5"/>
  <c r="R331" i="4"/>
  <c r="P773" i="34"/>
  <c r="AC43" i="42"/>
  <c r="O43" i="42" s="1"/>
  <c r="O119" i="13"/>
  <c r="P203" i="15"/>
  <c r="P148" i="15" s="1"/>
  <c r="R57" i="8"/>
  <c r="P609" i="34"/>
  <c r="P610" i="34" s="1"/>
  <c r="R381" i="8"/>
  <c r="R108" i="8" s="1"/>
  <c r="R106" i="8"/>
  <c r="BE7" i="42" s="1"/>
  <c r="R182" i="8"/>
  <c r="R46" i="8" s="1"/>
  <c r="R43" i="8"/>
  <c r="AQ7" i="42" s="1"/>
  <c r="P70" i="15" s="1"/>
  <c r="R212" i="7"/>
  <c r="R9" i="7" s="1"/>
  <c r="R442" i="7"/>
  <c r="AJ58" i="10"/>
  <c r="Q1685" i="6"/>
  <c r="P550" i="6"/>
  <c r="P2064" i="6" s="1"/>
  <c r="Q255" i="6"/>
  <c r="Q9" i="6" s="1"/>
  <c r="CV61" i="9"/>
  <c r="BR61" i="9"/>
  <c r="W99" i="37"/>
  <c r="BO209" i="9"/>
  <c r="BO211" i="9" s="1"/>
  <c r="N56" i="13" s="1"/>
  <c r="O146" i="3" s="1"/>
  <c r="CV146" i="9"/>
  <c r="BP209" i="9"/>
  <c r="BP211" i="9" s="1"/>
  <c r="P728" i="34"/>
  <c r="O21" i="58"/>
  <c r="Q404" i="6"/>
  <c r="R1721" i="6"/>
  <c r="AC12" i="42"/>
  <c r="Q1560" i="6"/>
  <c r="Q1562" i="6" s="1"/>
  <c r="Q1573" i="6" s="1"/>
  <c r="Q579" i="6"/>
  <c r="Q15" i="6" s="1"/>
  <c r="AB12" i="42"/>
  <c r="N12" i="42" s="1"/>
  <c r="R137" i="6"/>
  <c r="R495" i="6"/>
  <c r="R69" i="4"/>
  <c r="R154" i="4"/>
  <c r="R157" i="4"/>
  <c r="R502" i="4"/>
  <c r="AH217" i="10"/>
  <c r="AG136" i="11" s="1"/>
  <c r="AH136" i="11" s="1"/>
  <c r="AI136" i="11" s="1"/>
  <c r="Q157" i="4"/>
  <c r="R61" i="4"/>
  <c r="R285" i="4"/>
  <c r="R76" i="4"/>
  <c r="R155" i="4"/>
  <c r="R689" i="4"/>
  <c r="Q183" i="4"/>
  <c r="R637" i="4"/>
  <c r="R183" i="4" s="1"/>
  <c r="R720" i="4"/>
  <c r="R191" i="4" s="1"/>
  <c r="R330" i="6"/>
  <c r="R378" i="6"/>
  <c r="R534" i="6"/>
  <c r="R536" i="6" s="1"/>
  <c r="R14" i="6" s="1"/>
  <c r="R1033" i="6"/>
  <c r="R246" i="6"/>
  <c r="R255" i="6" s="1"/>
  <c r="R9" i="6" s="1"/>
  <c r="R701" i="6"/>
  <c r="P757" i="34"/>
  <c r="R649" i="6"/>
  <c r="R639" i="6"/>
  <c r="R432" i="6"/>
  <c r="R1657" i="6"/>
  <c r="R865" i="6"/>
  <c r="R1685" i="6"/>
  <c r="P760" i="34"/>
  <c r="P725" i="34"/>
  <c r="R187" i="5"/>
  <c r="R416" i="5"/>
  <c r="P226" i="3"/>
  <c r="R359" i="5"/>
  <c r="R383" i="5"/>
  <c r="R385" i="5" s="1"/>
  <c r="R387" i="5" s="1"/>
  <c r="R396" i="5" s="1"/>
  <c r="R89" i="5"/>
  <c r="R91" i="5" s="1"/>
  <c r="R496" i="5" s="1"/>
  <c r="R130" i="5"/>
  <c r="R9" i="5" s="1"/>
  <c r="R132" i="7"/>
  <c r="R1185" i="7"/>
  <c r="R468" i="7" s="1"/>
  <c r="BW61" i="9"/>
  <c r="CW61" i="9"/>
  <c r="Q1146" i="6"/>
  <c r="Q354" i="6" s="1"/>
  <c r="Q1185" i="7"/>
  <c r="Q468" i="7" s="1"/>
  <c r="R320" i="5"/>
  <c r="R322" i="5" s="1"/>
  <c r="R332" i="5" s="1"/>
  <c r="Q435" i="6"/>
  <c r="R1354" i="6"/>
  <c r="R435" i="6" s="1"/>
  <c r="R436" i="6" s="1"/>
  <c r="Q154" i="6"/>
  <c r="R918" i="6"/>
  <c r="R154" i="6" s="1"/>
  <c r="Q659" i="6"/>
  <c r="R1906" i="6"/>
  <c r="R659" i="6" s="1"/>
  <c r="R727" i="6"/>
  <c r="O22" i="58"/>
  <c r="R90" i="6"/>
  <c r="O138" i="34"/>
  <c r="P15" i="34"/>
  <c r="P138" i="34" s="1"/>
  <c r="O131" i="34"/>
  <c r="P8" i="34"/>
  <c r="P131" i="34" s="1"/>
  <c r="O706" i="34"/>
  <c r="O211" i="34" s="1"/>
  <c r="O823" i="34" s="1"/>
  <c r="P704" i="34"/>
  <c r="P706" i="34" s="1"/>
  <c r="P211" i="34" s="1"/>
  <c r="AH58" i="10"/>
  <c r="R1494" i="6"/>
  <c r="R446" i="6"/>
  <c r="W21" i="26"/>
  <c r="W15" i="26" s="1"/>
  <c r="W25" i="26" s="1"/>
  <c r="W27" i="26" s="1"/>
  <c r="AQ45" i="42"/>
  <c r="P256" i="15"/>
  <c r="R367" i="6"/>
  <c r="P75" i="15"/>
  <c r="P322" i="34" s="1"/>
  <c r="AQ47" i="42"/>
  <c r="AQ54" i="42" s="1"/>
  <c r="R775" i="4"/>
  <c r="R228" i="4"/>
  <c r="R243" i="4" s="1"/>
  <c r="R21" i="4" s="1"/>
  <c r="R158" i="4"/>
  <c r="O57" i="13"/>
  <c r="R475" i="4"/>
  <c r="R92" i="4" s="1"/>
  <c r="R46" i="4" s="1"/>
  <c r="R1009" i="4" s="1"/>
  <c r="R629" i="6"/>
  <c r="R1799" i="6"/>
  <c r="R542" i="6"/>
  <c r="R548" i="6" s="1"/>
  <c r="R30" i="6" s="1"/>
  <c r="R1361" i="6"/>
  <c r="R447" i="5"/>
  <c r="R449" i="5" s="1"/>
  <c r="R451" i="5" s="1"/>
  <c r="R459" i="5" s="1"/>
  <c r="R183" i="5"/>
  <c r="R136" i="5"/>
  <c r="R148" i="5" s="1"/>
  <c r="R804" i="4"/>
  <c r="R373" i="7"/>
  <c r="R397" i="7" s="1"/>
  <c r="R43" i="7" s="1"/>
  <c r="O13" i="13" s="1"/>
  <c r="O49" i="13" s="1"/>
  <c r="R1002" i="7"/>
  <c r="R1225" i="7" s="1"/>
  <c r="R630" i="7"/>
  <c r="R1222" i="7" s="1"/>
  <c r="R179" i="7"/>
  <c r="R182" i="7" s="1"/>
  <c r="R42" i="7" s="1"/>
  <c r="R1195" i="6"/>
  <c r="P296" i="3"/>
  <c r="P292" i="3"/>
  <c r="R153" i="4"/>
  <c r="O15" i="58"/>
  <c r="R85" i="8"/>
  <c r="AQ22" i="42"/>
  <c r="R21" i="8"/>
  <c r="Q330" i="4"/>
  <c r="R867" i="4"/>
  <c r="R330" i="4" s="1"/>
  <c r="R1221" i="6"/>
  <c r="R366" i="6" s="1"/>
  <c r="R376" i="6"/>
  <c r="R1251" i="6"/>
  <c r="Q586" i="6"/>
  <c r="R1728" i="6"/>
  <c r="R586" i="6" s="1"/>
  <c r="Q476" i="6"/>
  <c r="R1585" i="6"/>
  <c r="R476" i="6" s="1"/>
  <c r="Q147" i="6"/>
  <c r="R899" i="6"/>
  <c r="R147" i="6" s="1"/>
  <c r="O113" i="3"/>
  <c r="Q1609" i="6" s="1"/>
  <c r="O116" i="3" s="1"/>
  <c r="O117" i="3" s="1"/>
  <c r="R775" i="6"/>
  <c r="Q342" i="4"/>
  <c r="R891" i="4"/>
  <c r="R342" i="4" s="1"/>
  <c r="O759" i="34"/>
  <c r="R742" i="4"/>
  <c r="AI234" i="10"/>
  <c r="AK234" i="10" s="1"/>
  <c r="AJ152" i="11" s="1"/>
  <c r="R632" i="6"/>
  <c r="P771" i="34"/>
  <c r="Q668" i="6"/>
  <c r="R1926" i="6"/>
  <c r="R668" i="6" s="1"/>
  <c r="Q664" i="6"/>
  <c r="R1911" i="6"/>
  <c r="R664" i="6" s="1"/>
  <c r="Q186" i="4"/>
  <c r="R644" i="4"/>
  <c r="Q286" i="4"/>
  <c r="R832" i="4"/>
  <c r="R286" i="4" s="1"/>
  <c r="Q406" i="6"/>
  <c r="R1281" i="6"/>
  <c r="R406" i="6" s="1"/>
  <c r="Q188" i="4"/>
  <c r="R650" i="4"/>
  <c r="R188" i="4" s="1"/>
  <c r="Q175" i="4"/>
  <c r="Q177" i="4" s="1"/>
  <c r="R626" i="4"/>
  <c r="R175" i="4" s="1"/>
  <c r="Q352" i="4"/>
  <c r="R929" i="4"/>
  <c r="R352" i="4" s="1"/>
  <c r="P569" i="34"/>
  <c r="P392" i="34"/>
  <c r="P509" i="34" s="1"/>
  <c r="R1449" i="6"/>
  <c r="R1451" i="6" s="1"/>
  <c r="R1453" i="6" s="1"/>
  <c r="R1462" i="6" s="1"/>
  <c r="R965" i="6"/>
  <c r="R193" i="6"/>
  <c r="R196" i="6" s="1"/>
  <c r="R1754" i="6"/>
  <c r="R577" i="6"/>
  <c r="R867" i="6"/>
  <c r="R870" i="6" s="1"/>
  <c r="R55" i="8"/>
  <c r="R1224" i="6"/>
  <c r="R370" i="6" s="1"/>
  <c r="R1496" i="6"/>
  <c r="R1498" i="6" s="1"/>
  <c r="Q303" i="6"/>
  <c r="R1098" i="6"/>
  <c r="R303" i="6" s="1"/>
  <c r="Q665" i="6"/>
  <c r="R1912" i="6"/>
  <c r="R665" i="6" s="1"/>
  <c r="Q663" i="6"/>
  <c r="R1910" i="6"/>
  <c r="R663" i="6" s="1"/>
  <c r="Q662" i="6"/>
  <c r="R1909" i="6"/>
  <c r="R662" i="6" s="1"/>
  <c r="Q53" i="5"/>
  <c r="Q56" i="5" s="1"/>
  <c r="Q66" i="5" s="1"/>
  <c r="R233" i="5"/>
  <c r="R53" i="5" s="1"/>
  <c r="R56" i="5" s="1"/>
  <c r="Q121" i="4"/>
  <c r="R583" i="4"/>
  <c r="Q145" i="6"/>
  <c r="R897" i="6"/>
  <c r="O132" i="34"/>
  <c r="P9" i="34"/>
  <c r="P132" i="34" s="1"/>
  <c r="O140" i="34"/>
  <c r="P17" i="34"/>
  <c r="P140" i="34" s="1"/>
  <c r="Q59" i="4"/>
  <c r="R392" i="4"/>
  <c r="Q485" i="6"/>
  <c r="R1589" i="6"/>
  <c r="R485" i="6" s="1"/>
  <c r="Q405" i="6"/>
  <c r="R1279" i="6"/>
  <c r="Q311" i="6"/>
  <c r="R1158" i="6"/>
  <c r="R663" i="4"/>
  <c r="R206" i="4" s="1"/>
  <c r="AK217" i="10"/>
  <c r="AJ136" i="11" s="1"/>
  <c r="R1560" i="6"/>
  <c r="R1562" i="6" s="1"/>
  <c r="R1573" i="6" s="1"/>
  <c r="BT81" i="9"/>
  <c r="P233" i="3" s="1"/>
  <c r="R876" i="6"/>
  <c r="R177" i="6" s="1"/>
  <c r="Q111" i="1"/>
  <c r="Q114" i="1" s="1"/>
  <c r="Q116" i="1" s="1"/>
  <c r="O100" i="40"/>
  <c r="R95" i="5"/>
  <c r="R99" i="5" s="1"/>
  <c r="O72" i="13"/>
  <c r="O55" i="13"/>
  <c r="P148" i="34"/>
  <c r="P149" i="34" s="1"/>
  <c r="P410" i="34" s="1"/>
  <c r="R312" i="6"/>
  <c r="P731" i="34"/>
  <c r="R173" i="5"/>
  <c r="R178" i="5" s="1"/>
  <c r="Q504" i="6"/>
  <c r="R1623" i="6"/>
  <c r="R504" i="6" s="1"/>
  <c r="Q661" i="6"/>
  <c r="R1908" i="6"/>
  <c r="R661" i="6" s="1"/>
  <c r="Q323" i="6"/>
  <c r="R1120" i="6"/>
  <c r="Q341" i="4"/>
  <c r="R896" i="4"/>
  <c r="R341" i="4" s="1"/>
  <c r="Q660" i="6"/>
  <c r="R1907" i="6"/>
  <c r="R660" i="6" s="1"/>
  <c r="Q206" i="6"/>
  <c r="AB21" i="42" s="1"/>
  <c r="N21" i="42" s="1"/>
  <c r="N81" i="42" s="1"/>
  <c r="R980" i="6"/>
  <c r="Q343" i="4"/>
  <c r="R892" i="4"/>
  <c r="R343" i="4" s="1"/>
  <c r="Q666" i="6"/>
  <c r="R1915" i="6"/>
  <c r="R666" i="6" s="1"/>
  <c r="Q122" i="4"/>
  <c r="R588" i="4"/>
  <c r="R122" i="4" s="1"/>
  <c r="Q332" i="4"/>
  <c r="R874" i="4"/>
  <c r="R332" i="4" s="1"/>
  <c r="Q353" i="4"/>
  <c r="R928" i="4"/>
  <c r="R353" i="4" s="1"/>
  <c r="Q94" i="6"/>
  <c r="R786" i="6"/>
  <c r="R94" i="6" s="1"/>
  <c r="Q585" i="6"/>
  <c r="R1727" i="6"/>
  <c r="Q407" i="6"/>
  <c r="R1282" i="6"/>
  <c r="R407" i="6" s="1"/>
  <c r="R256" i="5"/>
  <c r="R60" i="5"/>
  <c r="R64" i="5" s="1"/>
  <c r="R120" i="8"/>
  <c r="P86" i="17"/>
  <c r="P89" i="17" s="1"/>
  <c r="P34" i="17" s="1"/>
  <c r="R68" i="4"/>
  <c r="R67" i="8"/>
  <c r="P741" i="34"/>
  <c r="P743" i="34" s="1"/>
  <c r="R280" i="6"/>
  <c r="R2076" i="6"/>
  <c r="P612" i="34"/>
  <c r="P243" i="34" s="1"/>
  <c r="AQ21" i="42"/>
  <c r="P85" i="15" s="1"/>
  <c r="P774" i="34"/>
  <c r="R333" i="4"/>
  <c r="R447" i="4"/>
  <c r="R77" i="4" s="1"/>
  <c r="R58" i="4"/>
  <c r="AQ12" i="42"/>
  <c r="P77" i="15" s="1"/>
  <c r="P320" i="34" s="1"/>
  <c r="R48" i="8"/>
  <c r="P130" i="34"/>
  <c r="P411" i="34"/>
  <c r="P458" i="34"/>
  <c r="P459" i="34" s="1"/>
  <c r="P64" i="12"/>
  <c r="R1078" i="6" s="1"/>
  <c r="R288" i="6" s="1"/>
  <c r="P134" i="9"/>
  <c r="BU134" i="9"/>
  <c r="P750" i="34"/>
  <c r="P724" i="34"/>
  <c r="R273" i="4"/>
  <c r="P108" i="15"/>
  <c r="P112" i="3"/>
  <c r="R98" i="6"/>
  <c r="BX29" i="9"/>
  <c r="R277" i="7"/>
  <c r="CW29" i="9"/>
  <c r="R147" i="7"/>
  <c r="BX177" i="9"/>
  <c r="CW177" i="9"/>
  <c r="R1373" i="6"/>
  <c r="R877" i="6"/>
  <c r="CW81" i="9"/>
  <c r="Q3" i="37"/>
  <c r="Q93" i="37" s="1"/>
  <c r="Q50" i="20"/>
  <c r="P50" i="20"/>
  <c r="O36" i="17"/>
  <c r="BD44" i="42" s="1"/>
  <c r="BD47" i="42" s="1"/>
  <c r="R305" i="7"/>
  <c r="AK58" i="10"/>
  <c r="R307" i="7"/>
  <c r="R575" i="7"/>
  <c r="R577" i="7" s="1"/>
  <c r="R579" i="7" s="1"/>
  <c r="R589" i="7" s="1"/>
  <c r="O735" i="34"/>
  <c r="R1113" i="7"/>
  <c r="P776" i="34"/>
  <c r="R8" i="7"/>
  <c r="R85" i="7"/>
  <c r="O14" i="13"/>
  <c r="AJ53" i="11"/>
  <c r="P103" i="3"/>
  <c r="R845" i="7"/>
  <c r="R313" i="7" s="1"/>
  <c r="Q77" i="7"/>
  <c r="R492" i="7"/>
  <c r="R77" i="7" s="1"/>
  <c r="Q314" i="7"/>
  <c r="R846" i="7"/>
  <c r="R314" i="7" s="1"/>
  <c r="Q162" i="7"/>
  <c r="R601" i="7"/>
  <c r="AI91" i="10"/>
  <c r="AK91" i="10" s="1"/>
  <c r="R345" i="7"/>
  <c r="R295" i="7"/>
  <c r="R11" i="7"/>
  <c r="R7" i="7"/>
  <c r="Q367" i="7"/>
  <c r="R920" i="7"/>
  <c r="R367" i="7" s="1"/>
  <c r="O122" i="13"/>
  <c r="AC31" i="42"/>
  <c r="O31" i="42" s="1"/>
  <c r="P214" i="15"/>
  <c r="P159" i="15" s="1"/>
  <c r="Q76" i="7"/>
  <c r="R491" i="7"/>
  <c r="R302" i="7"/>
  <c r="R788" i="7"/>
  <c r="AI92" i="10"/>
  <c r="AK92" i="10" s="1"/>
  <c r="AK59" i="10"/>
  <c r="R622" i="7"/>
  <c r="R168" i="7"/>
  <c r="AG60" i="10"/>
  <c r="AH60" i="10" s="1"/>
  <c r="R958" i="7"/>
  <c r="AJ60" i="10" s="1"/>
  <c r="AK60" i="10" s="1"/>
  <c r="Q312" i="7"/>
  <c r="R844" i="7"/>
  <c r="R312" i="7" s="1"/>
  <c r="Q377" i="7"/>
  <c r="R963" i="7"/>
  <c r="R377" i="7" s="1"/>
  <c r="R755" i="7"/>
  <c r="R757" i="7" s="1"/>
  <c r="R759" i="7" s="1"/>
  <c r="R257" i="7"/>
  <c r="R264" i="7" s="1"/>
  <c r="R23" i="7" s="1"/>
  <c r="R134" i="7"/>
  <c r="R21" i="7" s="1"/>
  <c r="P734" i="34"/>
  <c r="P146" i="9"/>
  <c r="P215" i="9"/>
  <c r="R156" i="4"/>
  <c r="R111" i="4"/>
  <c r="P38" i="20"/>
  <c r="R38" i="20"/>
  <c r="R84" i="20"/>
  <c r="R83" i="20" s="1"/>
  <c r="R85" i="20" s="1"/>
  <c r="BG3" i="22"/>
  <c r="BG78" i="22" s="1"/>
  <c r="BG121" i="22" s="1"/>
  <c r="BJ3" i="21"/>
  <c r="BI3" i="22"/>
  <c r="BI78" i="22" s="1"/>
  <c r="BI121" i="22" s="1"/>
  <c r="Q135" i="22" s="1"/>
  <c r="BL3" i="21"/>
  <c r="C482" i="34"/>
  <c r="Q146" i="5"/>
  <c r="Q148" i="5" s="1"/>
  <c r="Q18" i="5" s="1"/>
  <c r="N302" i="3"/>
  <c r="O299" i="3"/>
  <c r="AO22" i="42"/>
  <c r="M86" i="15" s="1"/>
  <c r="M325" i="34" s="1"/>
  <c r="M293" i="34" s="1"/>
  <c r="M525" i="34" s="1"/>
  <c r="C371" i="34"/>
  <c r="M45" i="42"/>
  <c r="O767" i="34"/>
  <c r="P1197" i="6"/>
  <c r="P1199" i="6" s="1"/>
  <c r="P1210" i="6" s="1"/>
  <c r="Q1168" i="6"/>
  <c r="P197" i="5"/>
  <c r="P199" i="5" s="1"/>
  <c r="P498" i="5"/>
  <c r="P150" i="5"/>
  <c r="P478" i="5" s="1"/>
  <c r="Q76" i="4"/>
  <c r="Q80" i="4" s="1"/>
  <c r="Q18" i="4" s="1"/>
  <c r="P101" i="5"/>
  <c r="P103" i="5" s="1"/>
  <c r="Q130" i="5"/>
  <c r="Q9" i="5" s="1"/>
  <c r="P497" i="5"/>
  <c r="O28" i="5"/>
  <c r="O25" i="5"/>
  <c r="Q178" i="5"/>
  <c r="Q498" i="5" s="1"/>
  <c r="Q99" i="5"/>
  <c r="Q17" i="5" s="1"/>
  <c r="Q264" i="7"/>
  <c r="Q23" i="7" s="1"/>
  <c r="O233" i="3"/>
  <c r="Q876" i="6"/>
  <c r="Q177" i="6" s="1"/>
  <c r="P111" i="1"/>
  <c r="P114" i="1" s="1"/>
  <c r="P116" i="1" s="1"/>
  <c r="Q727" i="6"/>
  <c r="N22" i="58"/>
  <c r="BS134" i="9"/>
  <c r="L132" i="22"/>
  <c r="N256" i="15"/>
  <c r="Q156" i="4"/>
  <c r="O269" i="15"/>
  <c r="N247" i="15"/>
  <c r="N269" i="15" s="1"/>
  <c r="N813" i="34"/>
  <c r="N258" i="3" s="1"/>
  <c r="N793" i="34"/>
  <c r="N799" i="34" s="1"/>
  <c r="L699" i="34"/>
  <c r="L700" i="34" s="1"/>
  <c r="L206" i="34" s="1"/>
  <c r="L207" i="34" s="1"/>
  <c r="P159" i="4"/>
  <c r="P160" i="4" s="1"/>
  <c r="BS81" i="9"/>
  <c r="O215" i="9"/>
  <c r="AB53" i="11"/>
  <c r="AC53" i="11" s="1"/>
  <c r="Q440" i="7"/>
  <c r="D67" i="34"/>
  <c r="D443" i="34" s="1"/>
  <c r="D444" i="34" s="1"/>
  <c r="N1209" i="7"/>
  <c r="Q158" i="4"/>
  <c r="L794" i="34"/>
  <c r="L800" i="34" s="1"/>
  <c r="L824" i="34"/>
  <c r="P56" i="5"/>
  <c r="P495" i="5" s="1"/>
  <c r="S49" i="42"/>
  <c r="I523" i="34"/>
  <c r="P335" i="4"/>
  <c r="P12" i="4" s="1"/>
  <c r="P1002" i="6"/>
  <c r="P1005" i="6" s="1"/>
  <c r="P1014" i="6" s="1"/>
  <c r="P770" i="7"/>
  <c r="P133" i="4"/>
  <c r="P19" i="4" s="1"/>
  <c r="P30" i="4" s="1"/>
  <c r="P462" i="6"/>
  <c r="Q277" i="7"/>
  <c r="N132" i="13"/>
  <c r="D49" i="42"/>
  <c r="P589" i="7"/>
  <c r="AW19" i="42"/>
  <c r="H113" i="15" s="1"/>
  <c r="H178" i="3"/>
  <c r="H179" i="3" s="1"/>
  <c r="A127" i="3"/>
  <c r="K121" i="3"/>
  <c r="M1008" i="4"/>
  <c r="K48" i="3"/>
  <c r="L63" i="3"/>
  <c r="L64" i="3" s="1"/>
  <c r="L144" i="3"/>
  <c r="L56" i="13"/>
  <c r="M146" i="3" s="1"/>
  <c r="J63" i="3"/>
  <c r="J64" i="3" s="1"/>
  <c r="J144" i="3"/>
  <c r="L146" i="3"/>
  <c r="J146" i="3"/>
  <c r="Q147" i="7"/>
  <c r="D147" i="34"/>
  <c r="D149" i="34" s="1"/>
  <c r="D410" i="34" s="1"/>
  <c r="O256" i="15"/>
  <c r="CV177" i="9"/>
  <c r="BS177" i="9"/>
  <c r="Q1373" i="6"/>
  <c r="Q465" i="6" s="1"/>
  <c r="BN61" i="9"/>
  <c r="BN63" i="9" s="1"/>
  <c r="Q153" i="4"/>
  <c r="Q195" i="5"/>
  <c r="Q507" i="5" s="1"/>
  <c r="Q212" i="7"/>
  <c r="Q9" i="7" s="1"/>
  <c r="P436" i="6"/>
  <c r="P452" i="6" s="1"/>
  <c r="P28" i="6" s="1"/>
  <c r="P16" i="5"/>
  <c r="H75" i="8"/>
  <c r="O138" i="9"/>
  <c r="Q1080" i="6" s="1"/>
  <c r="Q290" i="6" s="1"/>
  <c r="V39" i="37"/>
  <c r="BS29" i="9"/>
  <c r="CV29" i="9"/>
  <c r="K208" i="3"/>
  <c r="K210" i="3" s="1"/>
  <c r="J56" i="13"/>
  <c r="Q757" i="7"/>
  <c r="Q759" i="7" s="1"/>
  <c r="CV119" i="9"/>
  <c r="CJ68" i="21"/>
  <c r="O305" i="15"/>
  <c r="O309" i="15" s="1"/>
  <c r="O128" i="22"/>
  <c r="AD53" i="11"/>
  <c r="P629" i="7"/>
  <c r="P631" i="7" s="1"/>
  <c r="P642" i="7" s="1"/>
  <c r="Q1000" i="6"/>
  <c r="Q1687" i="6"/>
  <c r="Q1689" i="6" s="1"/>
  <c r="Q1700" i="6" s="1"/>
  <c r="Q1292" i="6"/>
  <c r="AA21" i="42"/>
  <c r="N54" i="15" s="1"/>
  <c r="K99" i="42"/>
  <c r="M99" i="42" s="1"/>
  <c r="Q91" i="6"/>
  <c r="O763" i="34"/>
  <c r="Q632" i="6"/>
  <c r="AF234" i="10"/>
  <c r="AH234" i="10" s="1"/>
  <c r="AG152" i="11" s="1"/>
  <c r="AH152" i="11" s="1"/>
  <c r="AI152" i="11" s="1"/>
  <c r="O771" i="34"/>
  <c r="L198" i="15"/>
  <c r="L783" i="34" s="1"/>
  <c r="Q218" i="6"/>
  <c r="Q24" i="6" s="1"/>
  <c r="P196" i="4"/>
  <c r="P20" i="4" s="1"/>
  <c r="Q629" i="7"/>
  <c r="Q631" i="7" s="1"/>
  <c r="Q642" i="7" s="1"/>
  <c r="AH114" i="10"/>
  <c r="P94" i="7"/>
  <c r="P96" i="7" s="1"/>
  <c r="AE59" i="10"/>
  <c r="O96" i="7"/>
  <c r="O1208" i="7" s="1"/>
  <c r="Q855" i="7"/>
  <c r="Q857" i="7" s="1"/>
  <c r="Q859" i="7" s="1"/>
  <c r="Q868" i="7" s="1"/>
  <c r="Q525" i="7"/>
  <c r="Q527" i="7" s="1"/>
  <c r="Q529" i="7" s="1"/>
  <c r="Q538" i="7" s="1"/>
  <c r="Q302" i="7"/>
  <c r="V23" i="26"/>
  <c r="Q134" i="7"/>
  <c r="Q21" i="7" s="1"/>
  <c r="Q33" i="7" s="1"/>
  <c r="N14" i="13"/>
  <c r="Q376" i="7"/>
  <c r="AG59" i="10"/>
  <c r="O734" i="34"/>
  <c r="AB7" i="42"/>
  <c r="O597" i="34" s="1"/>
  <c r="O598" i="34" s="1"/>
  <c r="O600" i="34" s="1"/>
  <c r="O241" i="34" s="1"/>
  <c r="Q181" i="7"/>
  <c r="Q183" i="7" s="1"/>
  <c r="O723" i="34"/>
  <c r="M40" i="42"/>
  <c r="Q475" i="4"/>
  <c r="Q92" i="4" s="1"/>
  <c r="Q46" i="4" s="1"/>
  <c r="O62" i="3" s="1"/>
  <c r="N57" i="13"/>
  <c r="N199" i="15"/>
  <c r="N144" i="15" s="1"/>
  <c r="AA41" i="42"/>
  <c r="M41" i="42" s="1"/>
  <c r="Q877" i="6"/>
  <c r="Q178" i="6" s="1"/>
  <c r="CV81" i="9"/>
  <c r="O216" i="15"/>
  <c r="O137" i="15"/>
  <c r="O161" i="15" s="1"/>
  <c r="C151" i="15"/>
  <c r="O117" i="15"/>
  <c r="O108" i="15"/>
  <c r="N45" i="42"/>
  <c r="AP47" i="42"/>
  <c r="AP54" i="42" s="1"/>
  <c r="AB8" i="42"/>
  <c r="AB70" i="42" s="1"/>
  <c r="Q383" i="5"/>
  <c r="Q385" i="5" s="1"/>
  <c r="Q387" i="5" s="1"/>
  <c r="Q396" i="5" s="1"/>
  <c r="G994" i="4"/>
  <c r="H994" i="4" s="1"/>
  <c r="Q243" i="4"/>
  <c r="Q21" i="4" s="1"/>
  <c r="G245" i="4"/>
  <c r="H245" i="4" s="1"/>
  <c r="G10" i="4"/>
  <c r="Q111" i="4"/>
  <c r="Q8" i="4" s="1"/>
  <c r="Q629" i="4"/>
  <c r="O773" i="34"/>
  <c r="Q935" i="4"/>
  <c r="O85" i="15"/>
  <c r="N100" i="40"/>
  <c r="AB40" i="42" s="1"/>
  <c r="O747" i="34"/>
  <c r="Q66" i="8"/>
  <c r="O743" i="34"/>
  <c r="BB3" i="22"/>
  <c r="BB78" i="22" s="1"/>
  <c r="BB121" i="22" s="1"/>
  <c r="O125" i="22" s="1"/>
  <c r="BE3" i="21"/>
  <c r="Q73" i="20"/>
  <c r="P135" i="22"/>
  <c r="Q403" i="4"/>
  <c r="O8" i="12" s="1"/>
  <c r="O406" i="34"/>
  <c r="O130" i="34"/>
  <c r="O813" i="34"/>
  <c r="O258" i="3" s="1"/>
  <c r="O793" i="34"/>
  <c r="O799" i="34" s="1"/>
  <c r="L694" i="34"/>
  <c r="L203" i="34" s="1"/>
  <c r="L204" i="34" s="1"/>
  <c r="O72" i="1"/>
  <c r="P63" i="1"/>
  <c r="Q783" i="6"/>
  <c r="Q1451" i="6"/>
  <c r="Q1453" i="6" s="1"/>
  <c r="Q1462" i="6" s="1"/>
  <c r="Q935" i="6"/>
  <c r="Q320" i="5"/>
  <c r="Q322" i="5" s="1"/>
  <c r="Q332" i="5" s="1"/>
  <c r="Q881" i="4"/>
  <c r="Q597" i="4"/>
  <c r="Q599" i="4" s="1"/>
  <c r="Q601" i="4" s="1"/>
  <c r="Q609" i="4" s="1"/>
  <c r="P107" i="8"/>
  <c r="BC8" i="42" s="1"/>
  <c r="Q107" i="8"/>
  <c r="BD8" i="42" s="1"/>
  <c r="O102" i="15" s="1"/>
  <c r="Q238" i="5"/>
  <c r="Q258" i="5" s="1"/>
  <c r="Q260" i="5" s="1"/>
  <c r="Q271" i="5" s="1"/>
  <c r="Q154" i="4"/>
  <c r="Q1100" i="6"/>
  <c r="Q722" i="4"/>
  <c r="Q724" i="4" s="1"/>
  <c r="Q732" i="4" s="1"/>
  <c r="Q464" i="4"/>
  <c r="AD139" i="11"/>
  <c r="Q463" i="6"/>
  <c r="Q654" i="4"/>
  <c r="Q348" i="8"/>
  <c r="Q79" i="8"/>
  <c r="AP22" i="42" s="1"/>
  <c r="N86" i="15" s="1"/>
  <c r="Q106" i="8"/>
  <c r="BD7" i="42" s="1"/>
  <c r="O101" i="15" s="1"/>
  <c r="Q745" i="4"/>
  <c r="Q221" i="4"/>
  <c r="Q224" i="4" s="1"/>
  <c r="Q577" i="7"/>
  <c r="Q579" i="7" s="1"/>
  <c r="Q504" i="5"/>
  <c r="Q16" i="5"/>
  <c r="Q273" i="4"/>
  <c r="Q1069" i="6"/>
  <c r="Q1073" i="6" s="1"/>
  <c r="Q295" i="7"/>
  <c r="Q1496" i="6"/>
  <c r="Q1498" i="6" s="1"/>
  <c r="Q11" i="7"/>
  <c r="Q280" i="6"/>
  <c r="Q2076" i="6"/>
  <c r="Q1251" i="6"/>
  <c r="Q376" i="6"/>
  <c r="Q380" i="6" s="1"/>
  <c r="Q27" i="6" s="1"/>
  <c r="Q1221" i="6"/>
  <c r="Q434" i="6"/>
  <c r="Q1361" i="6"/>
  <c r="Q449" i="5"/>
  <c r="Q451" i="5" s="1"/>
  <c r="Q459" i="5" s="1"/>
  <c r="Q275" i="6"/>
  <c r="Q25" i="6" s="1"/>
  <c r="Q548" i="6"/>
  <c r="Q155" i="4"/>
  <c r="Q8" i="5"/>
  <c r="Q496" i="5"/>
  <c r="Q965" i="6"/>
  <c r="Q190" i="6"/>
  <c r="Q196" i="6" s="1"/>
  <c r="Q90" i="6"/>
  <c r="Q439" i="7"/>
  <c r="Q138" i="6"/>
  <c r="Q865" i="6"/>
  <c r="Q867" i="6" s="1"/>
  <c r="Q870" i="6" s="1"/>
  <c r="R47" i="14"/>
  <c r="R49" i="14" s="1"/>
  <c r="M32" i="5"/>
  <c r="M43" i="5" s="1"/>
  <c r="N137" i="15"/>
  <c r="N161" i="15" s="1"/>
  <c r="N216" i="15"/>
  <c r="J588" i="34"/>
  <c r="J239" i="34" s="1"/>
  <c r="K585" i="34"/>
  <c r="K586" i="34" s="1"/>
  <c r="N117" i="15"/>
  <c r="N108" i="15"/>
  <c r="M692" i="34"/>
  <c r="CI69" i="21"/>
  <c r="L55" i="15"/>
  <c r="L24" i="15" s="1"/>
  <c r="L46" i="15"/>
  <c r="L15" i="15" s="1"/>
  <c r="K64" i="20"/>
  <c r="J102" i="20"/>
  <c r="L288" i="34"/>
  <c r="L351" i="34" s="1"/>
  <c r="L553" i="34"/>
  <c r="L377" i="34"/>
  <c r="K521" i="34"/>
  <c r="K471" i="34"/>
  <c r="K13" i="15"/>
  <c r="K290" i="34" s="1"/>
  <c r="K306" i="34"/>
  <c r="M320" i="34"/>
  <c r="K382" i="34"/>
  <c r="K495" i="34"/>
  <c r="N597" i="34"/>
  <c r="L598" i="34"/>
  <c r="L600" i="34" s="1"/>
  <c r="L241" i="34" s="1"/>
  <c r="O52" i="6"/>
  <c r="L104" i="13" s="1"/>
  <c r="L68" i="13"/>
  <c r="L124" i="13" s="1"/>
  <c r="M14" i="13"/>
  <c r="O1211" i="7"/>
  <c r="O183" i="7"/>
  <c r="O194" i="7" s="1"/>
  <c r="M23" i="15"/>
  <c r="N318" i="15"/>
  <c r="X22" i="20"/>
  <c r="P2073" i="6"/>
  <c r="N7" i="3" s="1"/>
  <c r="N2058" i="6"/>
  <c r="O404" i="4"/>
  <c r="L105" i="13"/>
  <c r="M687" i="34"/>
  <c r="M681" i="34" s="1"/>
  <c r="L216" i="34"/>
  <c r="L814" i="34" s="1"/>
  <c r="L259" i="3" s="1"/>
  <c r="BD68" i="21"/>
  <c r="P2076" i="6"/>
  <c r="P21" i="20"/>
  <c r="P23" i="20" s="1"/>
  <c r="J554" i="8"/>
  <c r="P295" i="45"/>
  <c r="P305" i="45" s="1"/>
  <c r="P306" i="45" s="1"/>
  <c r="P433" i="45"/>
  <c r="A276" i="15"/>
  <c r="M621" i="34"/>
  <c r="M622" i="34" s="1"/>
  <c r="M624" i="34" s="1"/>
  <c r="M245" i="34" s="1"/>
  <c r="BC20" i="42"/>
  <c r="N573" i="34" s="1"/>
  <c r="N294" i="15"/>
  <c r="M557" i="8"/>
  <c r="M158" i="8" s="1"/>
  <c r="M31" i="8" s="1"/>
  <c r="M125" i="22"/>
  <c r="L45" i="42"/>
  <c r="K132" i="22"/>
  <c r="K98" i="3"/>
  <c r="AX78" i="22"/>
  <c r="AX121" i="22" s="1"/>
  <c r="N40" i="16"/>
  <c r="AO49" i="42" s="1"/>
  <c r="AO52" i="42" s="1"/>
  <c r="AO54" i="42" s="1"/>
  <c r="BJ209" i="9"/>
  <c r="BJ211" i="9" s="1"/>
  <c r="I99" i="42"/>
  <c r="G103" i="42"/>
  <c r="I103" i="42" s="1"/>
  <c r="L4" i="12"/>
  <c r="O399" i="4" s="1"/>
  <c r="P372" i="6"/>
  <c r="P382" i="6" s="1"/>
  <c r="BN81" i="9"/>
  <c r="Q58" i="14"/>
  <c r="J101" i="14"/>
  <c r="T58" i="14" s="1"/>
  <c r="N72" i="16"/>
  <c r="N76" i="3" s="1"/>
  <c r="M316" i="15"/>
  <c r="M267" i="15"/>
  <c r="P356" i="8"/>
  <c r="P94" i="8" s="1"/>
  <c r="P1227" i="6"/>
  <c r="N766" i="34" s="1"/>
  <c r="P218" i="6"/>
  <c r="P24" i="6" s="1"/>
  <c r="P40" i="6" s="1"/>
  <c r="M102" i="13"/>
  <c r="M216" i="34"/>
  <c r="M814" i="34" s="1"/>
  <c r="M259" i="3" s="1"/>
  <c r="M794" i="34"/>
  <c r="M800" i="34" s="1"/>
  <c r="F200" i="34"/>
  <c r="F828" i="34" s="1"/>
  <c r="F792" i="34"/>
  <c r="F803" i="34" s="1"/>
  <c r="Z33" i="42"/>
  <c r="L33" i="42" s="1"/>
  <c r="P320" i="7"/>
  <c r="P24" i="7" s="1"/>
  <c r="P36" i="7" s="1"/>
  <c r="P43" i="8"/>
  <c r="AO7" i="42" s="1"/>
  <c r="M749" i="34"/>
  <c r="M751" i="34" s="1"/>
  <c r="L82" i="21"/>
  <c r="L85" i="21" s="1"/>
  <c r="L88" i="3" s="1"/>
  <c r="K22" i="42"/>
  <c r="M193" i="15"/>
  <c r="M82" i="21"/>
  <c r="M85" i="21" s="1"/>
  <c r="M88" i="3" s="1"/>
  <c r="L44" i="15"/>
  <c r="P280" i="6"/>
  <c r="L194" i="15"/>
  <c r="L139" i="15" s="1"/>
  <c r="K69" i="13"/>
  <c r="Y34" i="42"/>
  <c r="K34" i="42" s="1"/>
  <c r="K163" i="15"/>
  <c r="K218" i="15"/>
  <c r="O55" i="6"/>
  <c r="Z22" i="42" s="1"/>
  <c r="L32" i="13"/>
  <c r="N737" i="34"/>
  <c r="N739" i="34" s="1"/>
  <c r="N215" i="34" s="1"/>
  <c r="L8" i="15"/>
  <c r="AO29" i="42"/>
  <c r="N84" i="15"/>
  <c r="J19" i="13"/>
  <c r="J20" i="13" s="1"/>
  <c r="J23" i="13" s="1"/>
  <c r="M50" i="13"/>
  <c r="AE69" i="11"/>
  <c r="AC76" i="11"/>
  <c r="N65" i="9"/>
  <c r="P468" i="7"/>
  <c r="P55" i="7" s="1"/>
  <c r="N67" i="3" s="1"/>
  <c r="BB42" i="42"/>
  <c r="L42" i="42" s="1"/>
  <c r="Z22" i="20"/>
  <c r="O307" i="45"/>
  <c r="M22" i="13"/>
  <c r="N21" i="5"/>
  <c r="N27" i="5"/>
  <c r="P273" i="4"/>
  <c r="P11" i="4" s="1"/>
  <c r="I31" i="4"/>
  <c r="O55" i="7"/>
  <c r="M67" i="3" s="1"/>
  <c r="O12" i="5"/>
  <c r="L18" i="13" s="1"/>
  <c r="N12" i="5"/>
  <c r="K18" i="13" s="1"/>
  <c r="I45" i="4"/>
  <c r="N45" i="4"/>
  <c r="L48" i="3" s="1"/>
  <c r="P37" i="4"/>
  <c r="P36" i="45"/>
  <c r="P46" i="45" s="1"/>
  <c r="P47" i="45" s="1"/>
  <c r="N621" i="34"/>
  <c r="N622" i="34" s="1"/>
  <c r="N624" i="34" s="1"/>
  <c r="N245" i="34" s="1"/>
  <c r="N308" i="15"/>
  <c r="M67" i="17"/>
  <c r="P32" i="8"/>
  <c r="O135" i="22"/>
  <c r="N36" i="17"/>
  <c r="L67" i="17"/>
  <c r="O322" i="7"/>
  <c r="O1213" i="7" s="1"/>
  <c r="M40" i="13"/>
  <c r="L363" i="4"/>
  <c r="L972" i="4"/>
  <c r="M361" i="4"/>
  <c r="K374" i="4"/>
  <c r="K959" i="4"/>
  <c r="BC49" i="42"/>
  <c r="P1009" i="4"/>
  <c r="AA69" i="42"/>
  <c r="N128" i="22"/>
  <c r="BH65" i="9"/>
  <c r="P467" i="7"/>
  <c r="P54" i="7" s="1"/>
  <c r="N59" i="3" s="1"/>
  <c r="C37" i="13"/>
  <c r="P868" i="7"/>
  <c r="P21" i="8"/>
  <c r="P23" i="7"/>
  <c r="P35" i="7" s="1"/>
  <c r="P266" i="7"/>
  <c r="P175" i="7"/>
  <c r="P181" i="7" s="1"/>
  <c r="P183" i="7" s="1"/>
  <c r="N758" i="34"/>
  <c r="N780" i="34" s="1"/>
  <c r="P21" i="7"/>
  <c r="P33" i="7" s="1"/>
  <c r="P136" i="7"/>
  <c r="P315" i="6"/>
  <c r="P10" i="6" s="1"/>
  <c r="O220" i="6"/>
  <c r="O223" i="6" s="1"/>
  <c r="O2038" i="6" s="1"/>
  <c r="P1363" i="6"/>
  <c r="P1366" i="6" s="1"/>
  <c r="P1374" i="6" s="1"/>
  <c r="P167" i="6"/>
  <c r="P939" i="6"/>
  <c r="P865" i="6"/>
  <c r="P867" i="6" s="1"/>
  <c r="P870" i="6" s="1"/>
  <c r="P878" i="6" s="1"/>
  <c r="P138" i="6"/>
  <c r="P164" i="6" s="1"/>
  <c r="P496" i="6"/>
  <c r="AA139" i="11"/>
  <c r="AB139" i="11" s="1"/>
  <c r="AC139" i="11" s="1"/>
  <c r="O2027" i="6"/>
  <c r="P12" i="6"/>
  <c r="P402" i="4"/>
  <c r="N7" i="12" s="1"/>
  <c r="AA70" i="42"/>
  <c r="Q66" i="37"/>
  <c r="Q69" i="37" s="1"/>
  <c r="Q82" i="37" s="1"/>
  <c r="O79" i="20"/>
  <c r="O78" i="20" s="1"/>
  <c r="O80" i="20" s="1"/>
  <c r="Q79" i="20" s="1"/>
  <c r="Q78" i="20" s="1"/>
  <c r="Q80" i="20" s="1"/>
  <c r="O84" i="20"/>
  <c r="O83" i="20" s="1"/>
  <c r="O85" i="20" s="1"/>
  <c r="Q84" i="20" s="1"/>
  <c r="Q83" i="20" s="1"/>
  <c r="Q85" i="20" s="1"/>
  <c r="Q38" i="20"/>
  <c r="S84" i="19"/>
  <c r="P506" i="5"/>
  <c r="P18" i="5"/>
  <c r="P27" i="5" s="1"/>
  <c r="P507" i="5"/>
  <c r="P19" i="5"/>
  <c r="P28" i="5" s="1"/>
  <c r="P177" i="4"/>
  <c r="P656" i="4"/>
  <c r="P658" i="4" s="1"/>
  <c r="P667" i="4" s="1"/>
  <c r="P10" i="4"/>
  <c r="P32" i="4" s="1"/>
  <c r="P245" i="4"/>
  <c r="P937" i="4"/>
  <c r="P939" i="4" s="1"/>
  <c r="P948" i="4" s="1"/>
  <c r="P777" i="4"/>
  <c r="P779" i="4" s="1"/>
  <c r="P790" i="4" s="1"/>
  <c r="Z81" i="42"/>
  <c r="K309" i="15"/>
  <c r="N23" i="6"/>
  <c r="N39" i="6" s="1"/>
  <c r="O1366" i="6"/>
  <c r="O1374" i="6" s="1"/>
  <c r="Z69" i="42"/>
  <c r="M597" i="34"/>
  <c r="M155" i="15"/>
  <c r="BA42" i="42"/>
  <c r="K42" i="42" s="1"/>
  <c r="BB29" i="42"/>
  <c r="M573" i="34"/>
  <c r="L621" i="34"/>
  <c r="L622" i="34" s="1"/>
  <c r="L624" i="34" s="1"/>
  <c r="L245" i="34" s="1"/>
  <c r="M57" i="34"/>
  <c r="N57" i="34" s="1"/>
  <c r="M305" i="15"/>
  <c r="M120" i="17"/>
  <c r="L305" i="15"/>
  <c r="L120" i="17"/>
  <c r="A325" i="15"/>
  <c r="E261" i="15"/>
  <c r="F261" i="15" s="1"/>
  <c r="A281" i="15"/>
  <c r="C675" i="34"/>
  <c r="C280" i="34" s="1"/>
  <c r="M609" i="34"/>
  <c r="M610" i="34" s="1"/>
  <c r="M612" i="34" s="1"/>
  <c r="M243" i="34" s="1"/>
  <c r="M70" i="15"/>
  <c r="M8" i="15" s="1"/>
  <c r="G453" i="34"/>
  <c r="I45" i="16"/>
  <c r="I120" i="16" s="1"/>
  <c r="M558" i="34"/>
  <c r="M693" i="34" s="1"/>
  <c r="M1197" i="7"/>
  <c r="O149" i="7"/>
  <c r="BI65" i="9"/>
  <c r="K98" i="34"/>
  <c r="J100" i="34"/>
  <c r="D73" i="34"/>
  <c r="F682" i="34"/>
  <c r="F197" i="34" s="1"/>
  <c r="F254" i="3"/>
  <c r="L22" i="13"/>
  <c r="L103" i="13"/>
  <c r="K22" i="13"/>
  <c r="K103" i="13"/>
  <c r="J777" i="34"/>
  <c r="K116" i="14"/>
  <c r="N511" i="5"/>
  <c r="K81" i="42"/>
  <c r="L21" i="42"/>
  <c r="J69" i="42"/>
  <c r="M148" i="15"/>
  <c r="M2057" i="6"/>
  <c r="D467" i="34"/>
  <c r="D519" i="34" s="1"/>
  <c r="O1253" i="6"/>
  <c r="O1255" i="6" s="1"/>
  <c r="O1266" i="6" s="1"/>
  <c r="O506" i="5"/>
  <c r="O509" i="5" s="1"/>
  <c r="O150" i="5"/>
  <c r="O152" i="5" s="1"/>
  <c r="J44" i="42"/>
  <c r="BA44" i="42"/>
  <c r="N2057" i="6"/>
  <c r="AJ24" i="9"/>
  <c r="H24" i="9"/>
  <c r="J608" i="4"/>
  <c r="J145" i="4" s="1"/>
  <c r="I47" i="4"/>
  <c r="G70" i="3" s="1"/>
  <c r="I147" i="4"/>
  <c r="I200" i="4" s="1"/>
  <c r="I609" i="4"/>
  <c r="E206" i="15"/>
  <c r="F206" i="15" s="1"/>
  <c r="E133" i="13"/>
  <c r="E135" i="13" s="1"/>
  <c r="G47" i="4"/>
  <c r="F70" i="3" s="1"/>
  <c r="F72" i="3" s="1"/>
  <c r="G147" i="4"/>
  <c r="J206" i="3"/>
  <c r="AA120" i="10"/>
  <c r="D87" i="20"/>
  <c r="D41" i="20"/>
  <c r="M70" i="14"/>
  <c r="G958" i="4"/>
  <c r="H958" i="4" s="1"/>
  <c r="G309" i="4"/>
  <c r="M2037" i="6"/>
  <c r="O164" i="6"/>
  <c r="O166" i="6" s="1"/>
  <c r="O169" i="6" s="1"/>
  <c r="O1193" i="7"/>
  <c r="N152" i="5"/>
  <c r="M513" i="5"/>
  <c r="O658" i="4"/>
  <c r="O667" i="4" s="1"/>
  <c r="L487" i="5"/>
  <c r="O1209" i="7"/>
  <c r="O10" i="7"/>
  <c r="O66" i="5"/>
  <c r="O68" i="5" s="1"/>
  <c r="O133" i="4"/>
  <c r="M335" i="7"/>
  <c r="BB44" i="42"/>
  <c r="L44" i="42" s="1"/>
  <c r="N19" i="4"/>
  <c r="N30" i="4" s="1"/>
  <c r="A41" i="13"/>
  <c r="N1213" i="7"/>
  <c r="L98" i="3"/>
  <c r="N126" i="22"/>
  <c r="M126" i="22"/>
  <c r="N79" i="20"/>
  <c r="N78" i="20" s="1"/>
  <c r="N80" i="20" s="1"/>
  <c r="P79" i="20" s="1"/>
  <c r="P78" i="20" s="1"/>
  <c r="P80" i="20" s="1"/>
  <c r="M208" i="3"/>
  <c r="M210" i="3" s="1"/>
  <c r="L7" i="42"/>
  <c r="C185" i="42"/>
  <c r="E184" i="42"/>
  <c r="O495" i="5"/>
  <c r="O500" i="5" s="1"/>
  <c r="N384" i="6"/>
  <c r="N2061" i="6"/>
  <c r="M395" i="6"/>
  <c r="M2041" i="6"/>
  <c r="O11" i="6"/>
  <c r="O43" i="6" s="1"/>
  <c r="O382" i="6"/>
  <c r="L955" i="4"/>
  <c r="N98" i="7"/>
  <c r="N1208" i="7"/>
  <c r="N1193" i="7"/>
  <c r="N149" i="7"/>
  <c r="O21" i="5"/>
  <c r="M137" i="4"/>
  <c r="M968" i="4"/>
  <c r="N135" i="4"/>
  <c r="K7" i="42"/>
  <c r="K40" i="42"/>
  <c r="O466" i="5"/>
  <c r="O114" i="5"/>
  <c r="A169" i="15"/>
  <c r="N481" i="5"/>
  <c r="N1197" i="7"/>
  <c r="N335" i="7"/>
  <c r="N2038" i="6"/>
  <c r="N234" i="6"/>
  <c r="M470" i="5"/>
  <c r="M483" i="5" s="1"/>
  <c r="M487" i="5" s="1"/>
  <c r="N468" i="5"/>
  <c r="N210" i="5"/>
  <c r="O199" i="5"/>
  <c r="O479" i="5"/>
  <c r="Y47" i="42"/>
  <c r="J597" i="4"/>
  <c r="J109" i="14"/>
  <c r="J275" i="6"/>
  <c r="N465" i="5"/>
  <c r="N79" i="5"/>
  <c r="O155" i="4"/>
  <c r="O160" i="4" s="1"/>
  <c r="O111" i="4"/>
  <c r="O8" i="4" s="1"/>
  <c r="K142" i="13"/>
  <c r="AV47" i="42"/>
  <c r="F41" i="42"/>
  <c r="AW47" i="42"/>
  <c r="G41" i="42"/>
  <c r="AU54" i="42"/>
  <c r="E47" i="42"/>
  <c r="I104" i="19"/>
  <c r="AF19" i="42"/>
  <c r="AG50" i="42"/>
  <c r="F491" i="34" s="1"/>
  <c r="F549" i="34" s="1"/>
  <c r="F517" i="34" s="1"/>
  <c r="AE54" i="42"/>
  <c r="D52" i="42"/>
  <c r="AF54" i="42"/>
  <c r="D54" i="42" s="1"/>
  <c r="AG19" i="42"/>
  <c r="E82" i="15" s="1"/>
  <c r="C246" i="42" s="1"/>
  <c r="I40" i="42"/>
  <c r="W47" i="42"/>
  <c r="J198" i="15"/>
  <c r="I142" i="13"/>
  <c r="N268" i="7"/>
  <c r="N1210" i="7"/>
  <c r="M279" i="7"/>
  <c r="M1194" i="7"/>
  <c r="O266" i="7"/>
  <c r="O23" i="7"/>
  <c r="O35" i="7" s="1"/>
  <c r="M70" i="20"/>
  <c r="N73" i="20"/>
  <c r="O400" i="4"/>
  <c r="M5" i="12" s="1"/>
  <c r="N76" i="11"/>
  <c r="P552" i="6" l="1"/>
  <c r="M175" i="14"/>
  <c r="N84" i="14" s="1"/>
  <c r="I106" i="14"/>
  <c r="O96" i="12"/>
  <c r="AG7" i="10" s="1"/>
  <c r="AG36" i="10" s="1"/>
  <c r="BX61" i="9"/>
  <c r="BX63" i="9" s="1"/>
  <c r="BW63" i="9"/>
  <c r="R467" i="7"/>
  <c r="R54" i="7" s="1"/>
  <c r="P59" i="3" s="1"/>
  <c r="BR63" i="9"/>
  <c r="P477" i="5"/>
  <c r="R8" i="5"/>
  <c r="Q159" i="4"/>
  <c r="R380" i="6"/>
  <c r="R27" i="6" s="1"/>
  <c r="P380" i="34"/>
  <c r="AQ11" i="42"/>
  <c r="P74" i="15" s="1"/>
  <c r="P621" i="34"/>
  <c r="P622" i="34" s="1"/>
  <c r="P624" i="34" s="1"/>
  <c r="P245" i="34" s="1"/>
  <c r="P101" i="15"/>
  <c r="BE11" i="42"/>
  <c r="P105" i="15" s="1"/>
  <c r="P393" i="34"/>
  <c r="BE45" i="42"/>
  <c r="O45" i="42" s="1"/>
  <c r="AG120" i="10"/>
  <c r="BS61" i="9"/>
  <c r="BS63" i="9" s="1"/>
  <c r="R35" i="7"/>
  <c r="Q94" i="7"/>
  <c r="Q20" i="7" s="1"/>
  <c r="Q32" i="7" s="1"/>
  <c r="Q320" i="7"/>
  <c r="Q24" i="7" s="1"/>
  <c r="AK152" i="11"/>
  <c r="P65" i="9"/>
  <c r="R452" i="6"/>
  <c r="R28" i="6" s="1"/>
  <c r="Q419" i="6"/>
  <c r="Q12" i="6" s="1"/>
  <c r="R1100" i="6"/>
  <c r="P723" i="34"/>
  <c r="BX81" i="9"/>
  <c r="Q164" i="6"/>
  <c r="Q23" i="6" s="1"/>
  <c r="R1687" i="6"/>
  <c r="R1689" i="6" s="1"/>
  <c r="R1700" i="6" s="1"/>
  <c r="R935" i="6"/>
  <c r="R937" i="6" s="1"/>
  <c r="R939" i="6" s="1"/>
  <c r="R947" i="6" s="1"/>
  <c r="R195" i="5"/>
  <c r="R507" i="5" s="1"/>
  <c r="P479" i="5"/>
  <c r="Q196" i="4"/>
  <c r="Q20" i="4" s="1"/>
  <c r="Q335" i="4"/>
  <c r="Q12" i="4" s="1"/>
  <c r="R722" i="4"/>
  <c r="R724" i="4" s="1"/>
  <c r="R732" i="4" s="1"/>
  <c r="R935" i="4"/>
  <c r="R359" i="4"/>
  <c r="R23" i="4" s="1"/>
  <c r="R629" i="4"/>
  <c r="R174" i="4"/>
  <c r="R177" i="4" s="1"/>
  <c r="R335" i="4"/>
  <c r="R12" i="4" s="1"/>
  <c r="Q359" i="4"/>
  <c r="Q23" i="4" s="1"/>
  <c r="Q133" i="4"/>
  <c r="Q19" i="4" s="1"/>
  <c r="Q30" i="4" s="1"/>
  <c r="R46" i="6"/>
  <c r="R550" i="6"/>
  <c r="R2064" i="6" s="1"/>
  <c r="P763" i="34"/>
  <c r="P152" i="5"/>
  <c r="R497" i="5"/>
  <c r="R770" i="7"/>
  <c r="R55" i="7"/>
  <c r="P67" i="3" s="1"/>
  <c r="AK136" i="11"/>
  <c r="O65" i="9"/>
  <c r="BW65" i="9"/>
  <c r="R150" i="5"/>
  <c r="R18" i="5"/>
  <c r="R27" i="5" s="1"/>
  <c r="R506" i="5"/>
  <c r="R7" i="5"/>
  <c r="R495" i="5"/>
  <c r="R66" i="5"/>
  <c r="R11" i="4"/>
  <c r="BX134" i="9"/>
  <c r="CW134" i="9"/>
  <c r="R311" i="6"/>
  <c r="R315" i="6" s="1"/>
  <c r="P767" i="34"/>
  <c r="R1168" i="6"/>
  <c r="R1197" i="6" s="1"/>
  <c r="R1199" i="6" s="1"/>
  <c r="R1210" i="6" s="1"/>
  <c r="R8" i="6"/>
  <c r="P555" i="34"/>
  <c r="P379" i="34"/>
  <c r="P497" i="34" s="1"/>
  <c r="R136" i="7"/>
  <c r="R1209" i="7" s="1"/>
  <c r="R206" i="6"/>
  <c r="R218" i="6" s="1"/>
  <c r="R24" i="6" s="1"/>
  <c r="R1000" i="6"/>
  <c r="R1002" i="6" s="1"/>
  <c r="R1005" i="6" s="1"/>
  <c r="R1014" i="6" s="1"/>
  <c r="R505" i="5"/>
  <c r="R17" i="5"/>
  <c r="R579" i="6"/>
  <c r="R604" i="6"/>
  <c r="R2074" i="6" s="1"/>
  <c r="R53" i="6" s="1"/>
  <c r="R372" i="6"/>
  <c r="P192" i="15"/>
  <c r="O65" i="13"/>
  <c r="AC30" i="42"/>
  <c r="O30" i="42" s="1"/>
  <c r="AC41" i="42"/>
  <c r="O41" i="42" s="1"/>
  <c r="P199" i="15"/>
  <c r="P144" i="15" s="1"/>
  <c r="R1227" i="6"/>
  <c r="BT209" i="9"/>
  <c r="BT211" i="9" s="1"/>
  <c r="P96" i="12"/>
  <c r="AJ7" i="10" s="1"/>
  <c r="AJ36" i="10" s="1"/>
  <c r="R55" i="6"/>
  <c r="AC22" i="42" s="1"/>
  <c r="O22" i="42" s="1"/>
  <c r="O32" i="13"/>
  <c r="O51" i="13" s="1"/>
  <c r="R80" i="4"/>
  <c r="R18" i="4" s="1"/>
  <c r="R504" i="5"/>
  <c r="R16" i="5"/>
  <c r="R405" i="6"/>
  <c r="R419" i="6" s="1"/>
  <c r="R1292" i="6"/>
  <c r="R1363" i="6" s="1"/>
  <c r="R1366" i="6" s="1"/>
  <c r="R1374" i="6" s="1"/>
  <c r="R59" i="4"/>
  <c r="R186" i="4"/>
  <c r="R196" i="4" s="1"/>
  <c r="R20" i="4" s="1"/>
  <c r="R654" i="4"/>
  <c r="O86" i="15"/>
  <c r="O325" i="34" s="1"/>
  <c r="R238" i="5"/>
  <c r="R258" i="5" s="1"/>
  <c r="R260" i="5" s="1"/>
  <c r="R271" i="5" s="1"/>
  <c r="R635" i="6"/>
  <c r="R16" i="6" s="1"/>
  <c r="P62" i="3"/>
  <c r="O12" i="42"/>
  <c r="P823" i="34"/>
  <c r="P793" i="34"/>
  <c r="P799" i="34" s="1"/>
  <c r="P813" i="34"/>
  <c r="P258" i="3" s="1"/>
  <c r="R101" i="5"/>
  <c r="BU138" i="9"/>
  <c r="BU209" i="9" s="1"/>
  <c r="BU211" i="9" s="1"/>
  <c r="P413" i="34"/>
  <c r="P377" i="34"/>
  <c r="P553" i="34"/>
  <c r="P288" i="34"/>
  <c r="P351" i="34" s="1"/>
  <c r="AC8" i="42"/>
  <c r="O8" i="42" s="1"/>
  <c r="O70" i="42" s="1"/>
  <c r="R464" i="4"/>
  <c r="R585" i="6"/>
  <c r="R323" i="6"/>
  <c r="R341" i="6" s="1"/>
  <c r="R26" i="6" s="1"/>
  <c r="R1134" i="6"/>
  <c r="R10" i="5"/>
  <c r="R498" i="5"/>
  <c r="R881" i="4"/>
  <c r="AC40" i="42"/>
  <c r="AD40" i="42"/>
  <c r="R121" i="4"/>
  <c r="R597" i="4"/>
  <c r="R599" i="4" s="1"/>
  <c r="R601" i="4" s="1"/>
  <c r="R609" i="4" s="1"/>
  <c r="AI220" i="10"/>
  <c r="R145" i="6"/>
  <c r="R164" i="6" s="1"/>
  <c r="R221" i="4"/>
  <c r="R224" i="4" s="1"/>
  <c r="R745" i="4"/>
  <c r="R777" i="4" s="1"/>
  <c r="R779" i="4" s="1"/>
  <c r="R790" i="4" s="1"/>
  <c r="P759" i="34"/>
  <c r="R91" i="6"/>
  <c r="P113" i="3"/>
  <c r="R1609" i="6" s="1"/>
  <c r="P302" i="3"/>
  <c r="P293" i="3"/>
  <c r="BX65" i="9"/>
  <c r="BX146" i="9"/>
  <c r="CW146" i="9"/>
  <c r="R1146" i="6"/>
  <c r="R354" i="6" s="1"/>
  <c r="CW119" i="9"/>
  <c r="W39" i="37"/>
  <c r="R878" i="6"/>
  <c r="R178" i="6"/>
  <c r="R465" i="6"/>
  <c r="P4" i="37"/>
  <c r="Q2" i="37" s="1"/>
  <c r="P92" i="37"/>
  <c r="P94" i="37" s="1"/>
  <c r="K63" i="20"/>
  <c r="K98" i="20" s="1"/>
  <c r="K99" i="20"/>
  <c r="R50" i="20"/>
  <c r="O129" i="22"/>
  <c r="O98" i="3" s="1"/>
  <c r="O120" i="17"/>
  <c r="P128" i="22"/>
  <c r="P138" i="9"/>
  <c r="R320" i="7"/>
  <c r="R24" i="7" s="1"/>
  <c r="BX119" i="9"/>
  <c r="R33" i="7"/>
  <c r="N824" i="34"/>
  <c r="AJ84" i="10"/>
  <c r="R855" i="7"/>
  <c r="R857" i="7" s="1"/>
  <c r="R859" i="7" s="1"/>
  <c r="R868" i="7" s="1"/>
  <c r="R376" i="7"/>
  <c r="R76" i="7"/>
  <c r="R94" i="7" s="1"/>
  <c r="R525" i="7"/>
  <c r="R527" i="7" s="1"/>
  <c r="R529" i="7" s="1"/>
  <c r="R538" i="7" s="1"/>
  <c r="R266" i="7"/>
  <c r="R162" i="7"/>
  <c r="R629" i="7"/>
  <c r="R631" i="7" s="1"/>
  <c r="R642" i="7" s="1"/>
  <c r="AC7" i="42"/>
  <c r="P39" i="15" s="1"/>
  <c r="R138" i="7"/>
  <c r="P735" i="34"/>
  <c r="R440" i="7"/>
  <c r="R175" i="7"/>
  <c r="P758" i="34"/>
  <c r="R12" i="7"/>
  <c r="R403" i="4"/>
  <c r="P8" i="12" s="1"/>
  <c r="R8" i="4"/>
  <c r="N77" i="15"/>
  <c r="N320" i="34" s="1"/>
  <c r="R79" i="20"/>
  <c r="R78" i="20" s="1"/>
  <c r="R80" i="20" s="1"/>
  <c r="M129" i="22"/>
  <c r="M98" i="3" s="1"/>
  <c r="BF3" i="22"/>
  <c r="BF78" i="22" s="1"/>
  <c r="BF121" i="22" s="1"/>
  <c r="BI3" i="21"/>
  <c r="N76" i="21"/>
  <c r="N78" i="21" s="1"/>
  <c r="O97" i="3" s="1"/>
  <c r="Q1183" i="7"/>
  <c r="M557" i="34"/>
  <c r="C372" i="34"/>
  <c r="C186" i="34" s="1"/>
  <c r="C187" i="34" s="1"/>
  <c r="O57" i="34"/>
  <c r="P57" i="34" s="1"/>
  <c r="P59" i="34" s="1"/>
  <c r="O302" i="3"/>
  <c r="O293" i="3"/>
  <c r="Q1197" i="6"/>
  <c r="Q1199" i="6" s="1"/>
  <c r="Q1210" i="6" s="1"/>
  <c r="Q315" i="6"/>
  <c r="Q10" i="6" s="1"/>
  <c r="Q937" i="6"/>
  <c r="Q939" i="6" s="1"/>
  <c r="Q947" i="6" s="1"/>
  <c r="Q10" i="5"/>
  <c r="Q497" i="5"/>
  <c r="P500" i="5"/>
  <c r="Q101" i="5"/>
  <c r="Q103" i="5" s="1"/>
  <c r="Q505" i="5"/>
  <c r="Q35" i="7"/>
  <c r="Q266" i="7"/>
  <c r="Q268" i="7" s="1"/>
  <c r="H10" i="4"/>
  <c r="Q94" i="48"/>
  <c r="H504" i="34"/>
  <c r="H564" i="34" s="1"/>
  <c r="H572" i="34" s="1"/>
  <c r="P7" i="5"/>
  <c r="P25" i="5" s="1"/>
  <c r="P66" i="5"/>
  <c r="P476" i="5" s="1"/>
  <c r="O743" i="6"/>
  <c r="M132" i="22"/>
  <c r="O132" i="22"/>
  <c r="D411" i="34"/>
  <c r="D413" i="34" s="1"/>
  <c r="Q26" i="5"/>
  <c r="N699" i="34"/>
  <c r="N700" i="34" s="1"/>
  <c r="N206" i="34" s="1"/>
  <c r="P207" i="34" s="1"/>
  <c r="M699" i="34"/>
  <c r="M700" i="34" s="1"/>
  <c r="M206" i="34" s="1"/>
  <c r="AE53" i="11"/>
  <c r="AF53" i="11" s="1"/>
  <c r="Q1363" i="6"/>
  <c r="Q1366" i="6" s="1"/>
  <c r="Q1374" i="6" s="1"/>
  <c r="D74" i="34"/>
  <c r="P135" i="4"/>
  <c r="P968" i="4" s="1"/>
  <c r="Q1002" i="6"/>
  <c r="Q1005" i="6" s="1"/>
  <c r="Q1014" i="6" s="1"/>
  <c r="D156" i="34"/>
  <c r="E26" i="34"/>
  <c r="E425" i="34" s="1"/>
  <c r="E429" i="34" s="1"/>
  <c r="Q589" i="7"/>
  <c r="Q55" i="7"/>
  <c r="O67" i="3" s="1"/>
  <c r="I1008" i="4"/>
  <c r="G48" i="3"/>
  <c r="AG53" i="11"/>
  <c r="O103" i="3"/>
  <c r="K63" i="3"/>
  <c r="K64" i="3" s="1"/>
  <c r="K144" i="3"/>
  <c r="M63" i="3"/>
  <c r="M64" i="3" s="1"/>
  <c r="M144" i="3"/>
  <c r="M147" i="3" s="1"/>
  <c r="O63" i="3"/>
  <c r="O144" i="3"/>
  <c r="O147" i="3" s="1"/>
  <c r="K146" i="3"/>
  <c r="J147" i="3"/>
  <c r="L147" i="3"/>
  <c r="BN65" i="9"/>
  <c r="Q61" i="14"/>
  <c r="K1181" i="7" s="1"/>
  <c r="K464" i="7" s="1"/>
  <c r="K51" i="7" s="1"/>
  <c r="I21" i="3" s="1"/>
  <c r="T61" i="14"/>
  <c r="L1165" i="7" s="1"/>
  <c r="L448" i="7" s="1"/>
  <c r="CV211" i="9"/>
  <c r="O686" i="34" s="1"/>
  <c r="O688" i="34" s="1"/>
  <c r="O209" i="9"/>
  <c r="Q197" i="5"/>
  <c r="Q479" i="5" s="1"/>
  <c r="Q19" i="5"/>
  <c r="Q21" i="5" s="1"/>
  <c r="N19" i="13" s="1"/>
  <c r="Q770" i="7"/>
  <c r="H45" i="17"/>
  <c r="BS119" i="9"/>
  <c r="BS138" i="9" s="1"/>
  <c r="V7" i="37" s="1"/>
  <c r="V96" i="37" s="1"/>
  <c r="BR138" i="9"/>
  <c r="H309" i="4"/>
  <c r="C202" i="42"/>
  <c r="D202" i="42" s="1"/>
  <c r="N208" i="3"/>
  <c r="N210" i="3" s="1"/>
  <c r="M56" i="13"/>
  <c r="H147" i="4"/>
  <c r="C199" i="42"/>
  <c r="D199" i="42" s="1"/>
  <c r="L143" i="15"/>
  <c r="Q506" i="5"/>
  <c r="Q509" i="5" s="1"/>
  <c r="Q65" i="6"/>
  <c r="O69" i="3" s="1"/>
  <c r="Q878" i="6"/>
  <c r="Q158" i="8"/>
  <c r="Q31" i="8" s="1"/>
  <c r="Q150" i="5"/>
  <c r="Q478" i="5" s="1"/>
  <c r="Q495" i="5"/>
  <c r="Q7" i="5"/>
  <c r="Q25" i="5" s="1"/>
  <c r="BR65" i="9"/>
  <c r="Q1211" i="7"/>
  <c r="AE139" i="11"/>
  <c r="AF139" i="11" s="1"/>
  <c r="Q496" i="6"/>
  <c r="N44" i="15"/>
  <c r="AF220" i="10"/>
  <c r="P20" i="7"/>
  <c r="P32" i="7" s="1"/>
  <c r="Q10" i="7"/>
  <c r="O98" i="7"/>
  <c r="O1192" i="7" s="1"/>
  <c r="Q47" i="14"/>
  <c r="P11" i="37" s="1"/>
  <c r="Q136" i="7"/>
  <c r="Q138" i="7" s="1"/>
  <c r="O737" i="34"/>
  <c r="O739" i="34" s="1"/>
  <c r="O215" i="34" s="1"/>
  <c r="AG92" i="10"/>
  <c r="AH92" i="10" s="1"/>
  <c r="AH59" i="10"/>
  <c r="O39" i="15"/>
  <c r="AB69" i="42"/>
  <c r="O40" i="15"/>
  <c r="O9" i="15" s="1"/>
  <c r="O199" i="15"/>
  <c r="O144" i="15" s="1"/>
  <c r="AB41" i="42"/>
  <c r="N41" i="42" s="1"/>
  <c r="Q1009" i="4"/>
  <c r="AE76" i="11"/>
  <c r="AF69" i="11"/>
  <c r="BS65" i="9"/>
  <c r="E20" i="15"/>
  <c r="E246" i="42" s="1"/>
  <c r="E151" i="15"/>
  <c r="F151" i="15" s="1"/>
  <c r="N325" i="34"/>
  <c r="O77" i="15"/>
  <c r="O198" i="15"/>
  <c r="N142" i="13"/>
  <c r="Q160" i="4"/>
  <c r="Q656" i="4"/>
  <c r="Q658" i="4" s="1"/>
  <c r="Q667" i="4" s="1"/>
  <c r="Q937" i="4"/>
  <c r="Q939" i="4" s="1"/>
  <c r="Q948" i="4" s="1"/>
  <c r="G247" i="4"/>
  <c r="H247" i="4" s="1"/>
  <c r="G970" i="4"/>
  <c r="H970" i="4" s="1"/>
  <c r="G200" i="4"/>
  <c r="H200" i="4" s="1"/>
  <c r="G32" i="4"/>
  <c r="H32" i="4" s="1"/>
  <c r="G996" i="4"/>
  <c r="H996" i="4" s="1"/>
  <c r="O208" i="3"/>
  <c r="O210" i="3" s="1"/>
  <c r="O54" i="15"/>
  <c r="O23" i="15" s="1"/>
  <c r="AB81" i="42"/>
  <c r="Q777" i="4"/>
  <c r="Q779" i="4" s="1"/>
  <c r="Q790" i="4" s="1"/>
  <c r="O621" i="34"/>
  <c r="N8" i="42"/>
  <c r="N70" i="42" s="1"/>
  <c r="Q75" i="20"/>
  <c r="S12" i="20"/>
  <c r="S16" i="20" s="1"/>
  <c r="Q402" i="4"/>
  <c r="O7" i="12" s="1"/>
  <c r="Q30" i="6"/>
  <c r="Q46" i="6" s="1"/>
  <c r="Q550" i="6"/>
  <c r="Q366" i="6"/>
  <c r="Q372" i="6" s="1"/>
  <c r="Q1227" i="6"/>
  <c r="Q27" i="5"/>
  <c r="Q220" i="6"/>
  <c r="Q8" i="6"/>
  <c r="Q40" i="6" s="1"/>
  <c r="Q11" i="4"/>
  <c r="Q10" i="4"/>
  <c r="Q32" i="4" s="1"/>
  <c r="Q245" i="4"/>
  <c r="Q85" i="8"/>
  <c r="Q21" i="8"/>
  <c r="Q277" i="6"/>
  <c r="Q12" i="7"/>
  <c r="Q36" i="7" s="1"/>
  <c r="Q41" i="6"/>
  <c r="Q476" i="5"/>
  <c r="Q68" i="5"/>
  <c r="AD120" i="10"/>
  <c r="Q467" i="7"/>
  <c r="Q54" i="7" s="1"/>
  <c r="O59" i="3" s="1"/>
  <c r="Q436" i="6"/>
  <c r="Q452" i="6" s="1"/>
  <c r="N32" i="13"/>
  <c r="N51" i="13" s="1"/>
  <c r="Q55" i="6"/>
  <c r="AB22" i="42" s="1"/>
  <c r="O46" i="15" s="1"/>
  <c r="Q9" i="4"/>
  <c r="Q1195" i="7"/>
  <c r="Q194" i="7"/>
  <c r="P72" i="1"/>
  <c r="H201" i="3"/>
  <c r="M694" i="34"/>
  <c r="M203" i="34" s="1"/>
  <c r="K588" i="34"/>
  <c r="K239" i="34" s="1"/>
  <c r="K252" i="3"/>
  <c r="L585" i="34"/>
  <c r="L586" i="34" s="1"/>
  <c r="N70" i="15"/>
  <c r="N8" i="15" s="1"/>
  <c r="N609" i="34"/>
  <c r="N610" i="34" s="1"/>
  <c r="N612" i="34" s="1"/>
  <c r="N243" i="34" s="1"/>
  <c r="N692" i="34"/>
  <c r="N694" i="34" s="1"/>
  <c r="N203" i="34" s="1"/>
  <c r="P204" i="34" s="1"/>
  <c r="CJ69" i="21"/>
  <c r="R20" i="20"/>
  <c r="M46" i="15"/>
  <c r="M15" i="15" s="1"/>
  <c r="M55" i="15"/>
  <c r="M24" i="15" s="1"/>
  <c r="L13" i="15"/>
  <c r="L290" i="34" s="1"/>
  <c r="L353" i="34" s="1"/>
  <c r="L306" i="34"/>
  <c r="L366" i="34" s="1"/>
  <c r="L485" i="34" s="1"/>
  <c r="M288" i="34"/>
  <c r="M351" i="34" s="1"/>
  <c r="M553" i="34"/>
  <c r="M377" i="34"/>
  <c r="L471" i="34"/>
  <c r="L521" i="34"/>
  <c r="L382" i="34"/>
  <c r="L495" i="34"/>
  <c r="M598" i="34"/>
  <c r="M600" i="34" s="1"/>
  <c r="M241" i="34" s="1"/>
  <c r="M585" i="34"/>
  <c r="M586" i="34" s="1"/>
  <c r="N598" i="34"/>
  <c r="N600" i="34" s="1"/>
  <c r="N241" i="34" s="1"/>
  <c r="P52" i="6"/>
  <c r="M104" i="13" s="1"/>
  <c r="AA33" i="42"/>
  <c r="M33" i="42" s="1"/>
  <c r="N23" i="15"/>
  <c r="M138" i="15"/>
  <c r="M162" i="15" s="1"/>
  <c r="N316" i="15"/>
  <c r="AB22" i="20"/>
  <c r="M105" i="13"/>
  <c r="N687" i="34"/>
  <c r="N681" i="34" s="1"/>
  <c r="P11" i="6"/>
  <c r="P43" i="6" s="1"/>
  <c r="P307" i="45"/>
  <c r="K65" i="20"/>
  <c r="R12" i="20"/>
  <c r="R16" i="20" s="1"/>
  <c r="K33" i="20"/>
  <c r="K41" i="20" s="1"/>
  <c r="J155" i="8"/>
  <c r="H32" i="3" s="1"/>
  <c r="H40" i="17"/>
  <c r="H68" i="17" s="1"/>
  <c r="N115" i="15"/>
  <c r="BC29" i="42"/>
  <c r="N557" i="8"/>
  <c r="N158" i="8" s="1"/>
  <c r="N31" i="8" s="1"/>
  <c r="N125" i="22"/>
  <c r="N129" i="22" s="1"/>
  <c r="N98" i="3" s="1"/>
  <c r="P557" i="8"/>
  <c r="P158" i="8" s="1"/>
  <c r="P31" i="8" s="1"/>
  <c r="N259" i="15"/>
  <c r="N113" i="16"/>
  <c r="N115" i="16" s="1"/>
  <c r="N75" i="16"/>
  <c r="N44" i="16" s="1"/>
  <c r="N77" i="3" s="1"/>
  <c r="N78" i="3" s="1"/>
  <c r="C82" i="15"/>
  <c r="F82" i="15" s="1"/>
  <c r="C161" i="42"/>
  <c r="E161" i="42" s="1"/>
  <c r="N67" i="17"/>
  <c r="M4" i="12"/>
  <c r="P399" i="4" s="1"/>
  <c r="S58" i="14"/>
  <c r="M30" i="13"/>
  <c r="M48" i="13" s="1"/>
  <c r="AA20" i="42" s="1"/>
  <c r="P1253" i="6"/>
  <c r="P1255" i="6" s="1"/>
  <c r="P1266" i="6" s="1"/>
  <c r="L22" i="42"/>
  <c r="P220" i="6"/>
  <c r="P223" i="6" s="1"/>
  <c r="N1008" i="4"/>
  <c r="P322" i="7"/>
  <c r="P324" i="7" s="1"/>
  <c r="P1197" i="7" s="1"/>
  <c r="N216" i="34"/>
  <c r="N814" i="34" s="1"/>
  <c r="N259" i="3" s="1"/>
  <c r="N794" i="34"/>
  <c r="N800" i="34" s="1"/>
  <c r="M68" i="13"/>
  <c r="M124" i="13" s="1"/>
  <c r="M7" i="42"/>
  <c r="M69" i="42" s="1"/>
  <c r="M217" i="15"/>
  <c r="P44" i="6"/>
  <c r="P454" i="6"/>
  <c r="P457" i="6" s="1"/>
  <c r="M44" i="15"/>
  <c r="L51" i="13"/>
  <c r="N749" i="34"/>
  <c r="N751" i="34" s="1"/>
  <c r="L218" i="15"/>
  <c r="L163" i="15"/>
  <c r="P55" i="6"/>
  <c r="AA22" i="42" s="1"/>
  <c r="M32" i="13"/>
  <c r="N30" i="5"/>
  <c r="O324" i="7"/>
  <c r="N193" i="15"/>
  <c r="BM65" i="9"/>
  <c r="K19" i="13"/>
  <c r="K20" i="13" s="1"/>
  <c r="K23" i="13" s="1"/>
  <c r="P563" i="6"/>
  <c r="P467" i="5"/>
  <c r="S84" i="20"/>
  <c r="S83" i="20"/>
  <c r="G173" i="3"/>
  <c r="G175" i="3" s="1"/>
  <c r="P163" i="5"/>
  <c r="L959" i="4"/>
  <c r="L374" i="4"/>
  <c r="M972" i="4"/>
  <c r="M363" i="4"/>
  <c r="N359" i="4"/>
  <c r="S38" i="20"/>
  <c r="AA81" i="42"/>
  <c r="M21" i="42"/>
  <c r="M81" i="42" s="1"/>
  <c r="N120" i="17"/>
  <c r="N305" i="15"/>
  <c r="N309" i="15" s="1"/>
  <c r="BC44" i="42"/>
  <c r="BC47" i="42" s="1"/>
  <c r="O1183" i="7"/>
  <c r="O466" i="7" s="1"/>
  <c r="P1209" i="7"/>
  <c r="P138" i="7"/>
  <c r="P1210" i="7"/>
  <c r="P268" i="7"/>
  <c r="P10" i="7"/>
  <c r="P1211" i="7"/>
  <c r="P1208" i="7"/>
  <c r="P98" i="7"/>
  <c r="P2044" i="6"/>
  <c r="O2058" i="6"/>
  <c r="O234" i="6"/>
  <c r="P23" i="6"/>
  <c r="P39" i="6" s="1"/>
  <c r="P166" i="6"/>
  <c r="P384" i="6"/>
  <c r="P2061" i="6"/>
  <c r="P463" i="6"/>
  <c r="P1509" i="6"/>
  <c r="M143" i="13"/>
  <c r="N202" i="15"/>
  <c r="N147" i="15" s="1"/>
  <c r="AA44" i="42"/>
  <c r="AA72" i="14"/>
  <c r="P400" i="4"/>
  <c r="N5" i="12" s="1"/>
  <c r="P21" i="5"/>
  <c r="M19" i="13" s="1"/>
  <c r="P509" i="5"/>
  <c r="R66" i="37"/>
  <c r="R69" i="37" s="1"/>
  <c r="R82" i="37" s="1"/>
  <c r="O69" i="20"/>
  <c r="O68" i="20" s="1"/>
  <c r="O70" i="20" s="1"/>
  <c r="Q69" i="20" s="1"/>
  <c r="Q68" i="20" s="1"/>
  <c r="Q70" i="20" s="1"/>
  <c r="N90" i="20"/>
  <c r="O88" i="20"/>
  <c r="O90" i="20" s="1"/>
  <c r="Q89" i="20" s="1"/>
  <c r="Q88" i="20" s="1"/>
  <c r="Q90" i="20" s="1"/>
  <c r="S83" i="19"/>
  <c r="S85" i="19" s="1"/>
  <c r="S79" i="19"/>
  <c r="P210" i="5"/>
  <c r="P468" i="5"/>
  <c r="P466" i="5"/>
  <c r="P114" i="5"/>
  <c r="M59" i="34"/>
  <c r="N59" i="34"/>
  <c r="P970" i="4"/>
  <c r="P247" i="4"/>
  <c r="P198" i="4"/>
  <c r="P9" i="4"/>
  <c r="P31" i="4" s="1"/>
  <c r="L309" i="15"/>
  <c r="M309" i="15"/>
  <c r="A330" i="15"/>
  <c r="I280" i="15"/>
  <c r="L195" i="8" s="1"/>
  <c r="E492" i="34"/>
  <c r="E550" i="34" s="1"/>
  <c r="F492" i="34"/>
  <c r="F550" i="34" s="1"/>
  <c r="L19" i="13"/>
  <c r="L20" i="13" s="1"/>
  <c r="L23" i="13" s="1"/>
  <c r="N163" i="5"/>
  <c r="L121" i="3" s="1"/>
  <c r="I956" i="4"/>
  <c r="L98" i="34"/>
  <c r="K100" i="34"/>
  <c r="J783" i="34"/>
  <c r="E152" i="15"/>
  <c r="F152" i="15" s="1"/>
  <c r="A174" i="15"/>
  <c r="D469" i="34"/>
  <c r="C505" i="34"/>
  <c r="C493" i="34"/>
  <c r="E32" i="34"/>
  <c r="N513" i="5"/>
  <c r="L81" i="42"/>
  <c r="K69" i="42"/>
  <c r="L69" i="42"/>
  <c r="O19" i="4"/>
  <c r="O30" i="4" s="1"/>
  <c r="O478" i="5"/>
  <c r="N467" i="5"/>
  <c r="N470" i="5" s="1"/>
  <c r="N483" i="5" s="1"/>
  <c r="N487" i="5" s="1"/>
  <c r="K44" i="42"/>
  <c r="O476" i="5"/>
  <c r="AO24" i="9"/>
  <c r="I1010" i="4"/>
  <c r="G1010" i="4"/>
  <c r="E49" i="42"/>
  <c r="S52" i="42"/>
  <c r="S54" i="42" s="1"/>
  <c r="J47" i="4"/>
  <c r="H70" i="3" s="1"/>
  <c r="J147" i="4"/>
  <c r="K608" i="4"/>
  <c r="K145" i="4" s="1"/>
  <c r="I24" i="9"/>
  <c r="K206" i="3"/>
  <c r="O23" i="6"/>
  <c r="O39" i="6" s="1"/>
  <c r="I969" i="4"/>
  <c r="O1195" i="7"/>
  <c r="I211" i="4"/>
  <c r="J599" i="4"/>
  <c r="J601" i="4" s="1"/>
  <c r="J609" i="4" s="1"/>
  <c r="J177" i="4"/>
  <c r="M198" i="15"/>
  <c r="L142" i="13"/>
  <c r="O511" i="5"/>
  <c r="AX47" i="42"/>
  <c r="H41" i="42"/>
  <c r="O384" i="6"/>
  <c r="O2061" i="6"/>
  <c r="N395" i="6"/>
  <c r="N2041" i="6"/>
  <c r="M955" i="4"/>
  <c r="N109" i="7"/>
  <c r="N1192" i="7"/>
  <c r="O30" i="5"/>
  <c r="M14" i="3" s="1"/>
  <c r="N137" i="4"/>
  <c r="N968" i="4"/>
  <c r="O135" i="4"/>
  <c r="D19" i="42"/>
  <c r="E19" i="42"/>
  <c r="Z47" i="42"/>
  <c r="AR59" i="42"/>
  <c r="B30" i="8"/>
  <c r="AY47" i="42"/>
  <c r="C676" i="34"/>
  <c r="C281" i="34" s="1"/>
  <c r="O467" i="5"/>
  <c r="O163" i="5"/>
  <c r="O210" i="5"/>
  <c r="O468" i="5"/>
  <c r="K1061" i="6"/>
  <c r="J277" i="6"/>
  <c r="J281" i="6" s="1"/>
  <c r="J25" i="6"/>
  <c r="J41" i="6" s="1"/>
  <c r="O465" i="5"/>
  <c r="O79" i="5"/>
  <c r="G47" i="42"/>
  <c r="AV54" i="42"/>
  <c r="F47" i="42"/>
  <c r="I103" i="19"/>
  <c r="AG52" i="42"/>
  <c r="E50" i="42"/>
  <c r="F467" i="34" s="1"/>
  <c r="I75" i="8"/>
  <c r="J143" i="15"/>
  <c r="J353" i="34" s="1"/>
  <c r="J40" i="42"/>
  <c r="X47" i="42"/>
  <c r="K198" i="15"/>
  <c r="J142" i="13"/>
  <c r="O1210" i="7"/>
  <c r="O268" i="7"/>
  <c r="N279" i="7"/>
  <c r="N1194" i="7"/>
  <c r="P76" i="11"/>
  <c r="S79" i="20"/>
  <c r="N75" i="20"/>
  <c r="P74" i="20" s="1"/>
  <c r="P73" i="20" s="1"/>
  <c r="P75" i="20" s="1"/>
  <c r="N69" i="20"/>
  <c r="P737" i="34" l="1"/>
  <c r="J124" i="14"/>
  <c r="N175" i="14"/>
  <c r="O84" i="14" s="1"/>
  <c r="K198" i="14"/>
  <c r="K141" i="14" s="1"/>
  <c r="P481" i="5"/>
  <c r="R197" i="5"/>
  <c r="R479" i="5" s="1"/>
  <c r="R19" i="5"/>
  <c r="R21" i="5" s="1"/>
  <c r="O19" i="13" s="1"/>
  <c r="R26" i="5"/>
  <c r="Q198" i="4"/>
  <c r="Q31" i="4"/>
  <c r="P8" i="15"/>
  <c r="Q322" i="7"/>
  <c r="Q96" i="7"/>
  <c r="Q1208" i="7" s="1"/>
  <c r="Q1210" i="7"/>
  <c r="P55" i="15"/>
  <c r="P24" i="15" s="1"/>
  <c r="P46" i="15"/>
  <c r="P15" i="15" s="1"/>
  <c r="R1136" i="6"/>
  <c r="R1138" i="6" s="1"/>
  <c r="BX138" i="9"/>
  <c r="W7" i="37" s="1"/>
  <c r="W96" i="37" s="1"/>
  <c r="O211" i="9"/>
  <c r="N80" i="13" s="1"/>
  <c r="O71" i="3" s="1"/>
  <c r="O72" i="3" s="1"/>
  <c r="Q166" i="6"/>
  <c r="Q2057" i="6" s="1"/>
  <c r="R552" i="6"/>
  <c r="R2044" i="6" s="1"/>
  <c r="AC21" i="42"/>
  <c r="AC81" i="42" s="1"/>
  <c r="R509" i="5"/>
  <c r="R656" i="4"/>
  <c r="R658" i="4" s="1"/>
  <c r="R667" i="4" s="1"/>
  <c r="R361" i="4"/>
  <c r="R972" i="4" s="1"/>
  <c r="R937" i="4"/>
  <c r="R939" i="4" s="1"/>
  <c r="R948" i="4" s="1"/>
  <c r="R34" i="4"/>
  <c r="Q361" i="4"/>
  <c r="Q363" i="4" s="1"/>
  <c r="Q34" i="4"/>
  <c r="Q135" i="4"/>
  <c r="Q137" i="4" s="1"/>
  <c r="Q147" i="4" s="1"/>
  <c r="R322" i="7"/>
  <c r="R1213" i="7" s="1"/>
  <c r="Q500" i="5"/>
  <c r="Q511" i="5" s="1"/>
  <c r="AJ120" i="10"/>
  <c r="R1183" i="7" s="1"/>
  <c r="CW211" i="9"/>
  <c r="P686" i="34" s="1"/>
  <c r="P688" i="34" s="1"/>
  <c r="P200" i="34" s="1"/>
  <c r="P828" i="34" s="1"/>
  <c r="BW211" i="9"/>
  <c r="P40" i="15"/>
  <c r="P9" i="15" s="1"/>
  <c r="M252" i="3"/>
  <c r="AC70" i="42"/>
  <c r="R496" i="6"/>
  <c r="P116" i="3"/>
  <c r="P117" i="3" s="1"/>
  <c r="AC34" i="42"/>
  <c r="O34" i="42" s="1"/>
  <c r="P194" i="15"/>
  <c r="P218" i="15" s="1"/>
  <c r="O69" i="13"/>
  <c r="R245" i="4"/>
  <c r="R10" i="4"/>
  <c r="R32" i="4" s="1"/>
  <c r="O40" i="42"/>
  <c r="P44" i="15"/>
  <c r="R9" i="4"/>
  <c r="R31" i="4" s="1"/>
  <c r="R198" i="4"/>
  <c r="R40" i="6"/>
  <c r="R10" i="6"/>
  <c r="R42" i="6" s="1"/>
  <c r="R343" i="6"/>
  <c r="R500" i="5"/>
  <c r="O7" i="42"/>
  <c r="O69" i="42" s="1"/>
  <c r="P597" i="34"/>
  <c r="R23" i="6"/>
  <c r="R39" i="6" s="1"/>
  <c r="R166" i="6"/>
  <c r="P471" i="34"/>
  <c r="P521" i="34"/>
  <c r="R477" i="5"/>
  <c r="R103" i="5"/>
  <c r="O557" i="34"/>
  <c r="O293" i="34"/>
  <c r="O525" i="34" s="1"/>
  <c r="R220" i="6"/>
  <c r="R25" i="5"/>
  <c r="R12" i="5"/>
  <c r="R159" i="4"/>
  <c r="R160" i="4" s="1"/>
  <c r="R133" i="4"/>
  <c r="O56" i="13"/>
  <c r="P208" i="3"/>
  <c r="P210" i="3" s="1"/>
  <c r="P137" i="15"/>
  <c r="P161" i="15" s="1"/>
  <c r="P216" i="15"/>
  <c r="N306" i="34"/>
  <c r="N13" i="15"/>
  <c r="N290" i="34" s="1"/>
  <c r="R1504" i="6"/>
  <c r="AK220" i="10"/>
  <c r="AJ139" i="11" s="1"/>
  <c r="A75" i="15"/>
  <c r="AD47" i="42"/>
  <c r="B40" i="42"/>
  <c r="P382" i="34"/>
  <c r="P495" i="34"/>
  <c r="R12" i="6"/>
  <c r="R44" i="6" s="1"/>
  <c r="R454" i="6"/>
  <c r="P766" i="34"/>
  <c r="R1253" i="6"/>
  <c r="R1255" i="6" s="1"/>
  <c r="R1266" i="6" s="1"/>
  <c r="R382" i="6"/>
  <c r="R11" i="6"/>
  <c r="R43" i="6" s="1"/>
  <c r="R15" i="6"/>
  <c r="R476" i="5"/>
  <c r="R68" i="5"/>
  <c r="R152" i="5"/>
  <c r="R478" i="5"/>
  <c r="R3" i="37"/>
  <c r="R93" i="37" s="1"/>
  <c r="P209" i="9"/>
  <c r="P211" i="9" s="1"/>
  <c r="O80" i="13" s="1"/>
  <c r="AC49" i="42" s="1"/>
  <c r="O49" i="42" s="1"/>
  <c r="R1080" i="6"/>
  <c r="R290" i="6" s="1"/>
  <c r="R65" i="6" s="1"/>
  <c r="P69" i="3" s="1"/>
  <c r="K102" i="20"/>
  <c r="K100" i="20"/>
  <c r="P75" i="16"/>
  <c r="O76" i="3"/>
  <c r="Q132" i="22"/>
  <c r="Q129" i="22"/>
  <c r="P125" i="22"/>
  <c r="R158" i="8"/>
  <c r="R31" i="8" s="1"/>
  <c r="P120" i="17"/>
  <c r="BE44" i="42"/>
  <c r="BE47" i="42" s="1"/>
  <c r="P305" i="15"/>
  <c r="P309" i="15" s="1"/>
  <c r="AC69" i="42"/>
  <c r="R36" i="7"/>
  <c r="P139" i="15"/>
  <c r="P163" i="15" s="1"/>
  <c r="P780" i="34"/>
  <c r="R181" i="7"/>
  <c r="R402" i="4"/>
  <c r="P7" i="12" s="1"/>
  <c r="R149" i="7"/>
  <c r="R1193" i="7"/>
  <c r="R20" i="7"/>
  <c r="R32" i="7" s="1"/>
  <c r="R96" i="7"/>
  <c r="P739" i="34"/>
  <c r="P215" i="34" s="1"/>
  <c r="P749" i="34"/>
  <c r="P751" i="34" s="1"/>
  <c r="R1210" i="7"/>
  <c r="R268" i="7"/>
  <c r="R289" i="6"/>
  <c r="R74" i="20"/>
  <c r="R73" i="20" s="1"/>
  <c r="R75" i="20" s="1"/>
  <c r="P129" i="22"/>
  <c r="P98" i="3" s="1"/>
  <c r="P132" i="22"/>
  <c r="O59" i="34"/>
  <c r="BR209" i="9"/>
  <c r="BR211" i="9" s="1"/>
  <c r="C791" i="34"/>
  <c r="C802" i="34" s="1"/>
  <c r="P511" i="5"/>
  <c r="Q477" i="5"/>
  <c r="Q481" i="5" s="1"/>
  <c r="P68" i="5"/>
  <c r="P465" i="5" s="1"/>
  <c r="P470" i="5" s="1"/>
  <c r="P483" i="5" s="1"/>
  <c r="P12" i="5"/>
  <c r="M18" i="13" s="1"/>
  <c r="M20" i="13" s="1"/>
  <c r="M23" i="13" s="1"/>
  <c r="P137" i="4"/>
  <c r="P147" i="4" s="1"/>
  <c r="Q12" i="5"/>
  <c r="N18" i="13" s="1"/>
  <c r="N20" i="13" s="1"/>
  <c r="N23" i="13" s="1"/>
  <c r="I133" i="22"/>
  <c r="H70" i="17"/>
  <c r="H324" i="15"/>
  <c r="H329" i="15" s="1"/>
  <c r="N132" i="22"/>
  <c r="K537" i="8"/>
  <c r="K138" i="8" s="1"/>
  <c r="AX19" i="42" s="1"/>
  <c r="I177" i="3"/>
  <c r="M207" i="34"/>
  <c r="O207" i="34"/>
  <c r="N207" i="34"/>
  <c r="AH53" i="11"/>
  <c r="AI53" i="11" s="1"/>
  <c r="AK53" i="11" s="1"/>
  <c r="Q28" i="5"/>
  <c r="O794" i="34"/>
  <c r="O800" i="34" s="1"/>
  <c r="O824" i="34"/>
  <c r="E33" i="34"/>
  <c r="Q152" i="5"/>
  <c r="Q163" i="5" s="1"/>
  <c r="C16" i="3"/>
  <c r="AH19" i="42"/>
  <c r="G82" i="15" s="1"/>
  <c r="G169" i="3"/>
  <c r="G170" i="3" s="1"/>
  <c r="H33" i="3"/>
  <c r="H34" i="3" s="1"/>
  <c r="H174" i="3"/>
  <c r="M121" i="3"/>
  <c r="N63" i="3"/>
  <c r="N144" i="3"/>
  <c r="N146" i="3"/>
  <c r="K147" i="3"/>
  <c r="N32" i="5"/>
  <c r="N43" i="5" s="1"/>
  <c r="L14" i="3"/>
  <c r="S61" i="14"/>
  <c r="L1181" i="7" s="1"/>
  <c r="L464" i="7" s="1"/>
  <c r="L51" i="7" s="1"/>
  <c r="J21" i="3" s="1"/>
  <c r="Q49" i="14"/>
  <c r="K1076" i="6" s="1"/>
  <c r="K286" i="6" s="1"/>
  <c r="K61" i="6" s="1"/>
  <c r="I23" i="3" s="1"/>
  <c r="Q199" i="5"/>
  <c r="Q210" i="5" s="1"/>
  <c r="O680" i="34"/>
  <c r="O254" i="3" s="1"/>
  <c r="BS209" i="9"/>
  <c r="BS211" i="9" s="1"/>
  <c r="G956" i="4"/>
  <c r="H956" i="4" s="1"/>
  <c r="G211" i="4"/>
  <c r="O55" i="15"/>
  <c r="O24" i="15" s="1"/>
  <c r="Q1253" i="6"/>
  <c r="Q1255" i="6" s="1"/>
  <c r="Q1266" i="6" s="1"/>
  <c r="O766" i="34"/>
  <c r="Q1504" i="6"/>
  <c r="AH220" i="10"/>
  <c r="AG139" i="11" s="1"/>
  <c r="AH139" i="11" s="1"/>
  <c r="AI139" i="11" s="1"/>
  <c r="N22" i="42"/>
  <c r="O109" i="7"/>
  <c r="Q98" i="7"/>
  <c r="Q1192" i="7" s="1"/>
  <c r="Q1209" i="7"/>
  <c r="O216" i="34"/>
  <c r="O814" i="34" s="1"/>
  <c r="O259" i="3" s="1"/>
  <c r="O749" i="34"/>
  <c r="O751" i="34" s="1"/>
  <c r="O44" i="15"/>
  <c r="AH69" i="11"/>
  <c r="AF76" i="11"/>
  <c r="O792" i="34"/>
  <c r="O803" i="34" s="1"/>
  <c r="O200" i="34"/>
  <c r="O828" i="34" s="1"/>
  <c r="N69" i="13"/>
  <c r="O194" i="15"/>
  <c r="AB34" i="42"/>
  <c r="N34" i="42" s="1"/>
  <c r="O320" i="34"/>
  <c r="O15" i="15"/>
  <c r="N293" i="34"/>
  <c r="N525" i="34" s="1"/>
  <c r="N557" i="34"/>
  <c r="O143" i="15"/>
  <c r="O783" i="34"/>
  <c r="E37" i="13"/>
  <c r="G258" i="4"/>
  <c r="G957" i="4"/>
  <c r="H957" i="4" s="1"/>
  <c r="Q400" i="4"/>
  <c r="O5" i="12" s="1"/>
  <c r="N40" i="42"/>
  <c r="O622" i="34"/>
  <c r="O624" i="34" s="1"/>
  <c r="O245" i="34" s="1"/>
  <c r="P89" i="20"/>
  <c r="P88" i="20" s="1"/>
  <c r="P90" i="20" s="1"/>
  <c r="M204" i="34"/>
  <c r="O204" i="34"/>
  <c r="Q28" i="6"/>
  <c r="Q44" i="6" s="1"/>
  <c r="Q454" i="6"/>
  <c r="Q2059" i="6"/>
  <c r="Q281" i="6"/>
  <c r="Q223" i="6"/>
  <c r="Q2058" i="6"/>
  <c r="Q11" i="6"/>
  <c r="Q43" i="6" s="1"/>
  <c r="Q382" i="6"/>
  <c r="Q114" i="5"/>
  <c r="Q466" i="5"/>
  <c r="Q279" i="7"/>
  <c r="Q1194" i="7"/>
  <c r="Q2064" i="6"/>
  <c r="Q552" i="6"/>
  <c r="Q43" i="8"/>
  <c r="AP7" i="42" s="1"/>
  <c r="O609" i="34" s="1"/>
  <c r="O610" i="34" s="1"/>
  <c r="O612" i="34" s="1"/>
  <c r="O243" i="34" s="1"/>
  <c r="Q200" i="4"/>
  <c r="Q969" i="4"/>
  <c r="P1183" i="7"/>
  <c r="Q149" i="7"/>
  <c r="Q1193" i="7"/>
  <c r="Q79" i="5"/>
  <c r="Q465" i="5"/>
  <c r="Q324" i="7"/>
  <c r="Q1213" i="7"/>
  <c r="Q970" i="4"/>
  <c r="Q247" i="4"/>
  <c r="Q39" i="6"/>
  <c r="N204" i="34"/>
  <c r="L252" i="3"/>
  <c r="L588" i="34"/>
  <c r="L239" i="34" s="1"/>
  <c r="L539" i="34"/>
  <c r="F551" i="34"/>
  <c r="F518" i="34"/>
  <c r="E551" i="34"/>
  <c r="E518" i="34"/>
  <c r="N585" i="34"/>
  <c r="N586" i="34" s="1"/>
  <c r="N252" i="3" s="1"/>
  <c r="L473" i="34"/>
  <c r="L523" i="34"/>
  <c r="N53" i="15"/>
  <c r="N22" i="15" s="1"/>
  <c r="N544" i="34"/>
  <c r="N46" i="15"/>
  <c r="N15" i="15" s="1"/>
  <c r="N55" i="15"/>
  <c r="N24" i="15" s="1"/>
  <c r="M13" i="15"/>
  <c r="M290" i="34" s="1"/>
  <c r="M306" i="34"/>
  <c r="M471" i="34"/>
  <c r="M521" i="34"/>
  <c r="N288" i="34"/>
  <c r="N351" i="34" s="1"/>
  <c r="N553" i="34"/>
  <c r="N377" i="34"/>
  <c r="M382" i="34"/>
  <c r="M495" i="34"/>
  <c r="M588" i="34"/>
  <c r="M239" i="34" s="1"/>
  <c r="M107" i="13"/>
  <c r="M64" i="13" s="1"/>
  <c r="N217" i="15"/>
  <c r="N138" i="15"/>
  <c r="N162" i="15" s="1"/>
  <c r="K554" i="8"/>
  <c r="R21" i="20"/>
  <c r="R23" i="20" s="1"/>
  <c r="I201" i="3" s="1"/>
  <c r="H112" i="17"/>
  <c r="H113" i="17" s="1"/>
  <c r="AW50" i="42"/>
  <c r="H310" i="15"/>
  <c r="L64" i="20"/>
  <c r="L99" i="20" s="1"/>
  <c r="O557" i="8"/>
  <c r="O158" i="8" s="1"/>
  <c r="O31" i="8" s="1"/>
  <c r="C20" i="15"/>
  <c r="N82" i="21"/>
  <c r="N85" i="21" s="1"/>
  <c r="N88" i="3" s="1"/>
  <c r="N4" i="12"/>
  <c r="I245" i="4"/>
  <c r="I970" i="4" s="1"/>
  <c r="P99" i="42"/>
  <c r="R99" i="42" s="1"/>
  <c r="K101" i="14"/>
  <c r="V58" i="14" s="1"/>
  <c r="P2058" i="6"/>
  <c r="P1213" i="7"/>
  <c r="P335" i="7"/>
  <c r="P2062" i="6"/>
  <c r="M22" i="42"/>
  <c r="M194" i="15"/>
  <c r="M139" i="15" s="1"/>
  <c r="L69" i="13"/>
  <c r="Z34" i="42"/>
  <c r="L34" i="42" s="1"/>
  <c r="M51" i="13"/>
  <c r="S85" i="20"/>
  <c r="O335" i="7"/>
  <c r="O1197" i="7"/>
  <c r="N191" i="15"/>
  <c r="M20" i="42"/>
  <c r="G200" i="3"/>
  <c r="M959" i="4"/>
  <c r="M374" i="4"/>
  <c r="N23" i="4"/>
  <c r="N34" i="4" s="1"/>
  <c r="N361" i="4"/>
  <c r="O359" i="4"/>
  <c r="P359" i="4"/>
  <c r="AA47" i="42"/>
  <c r="M44" i="42"/>
  <c r="P1192" i="7"/>
  <c r="P109" i="7"/>
  <c r="P1195" i="7"/>
  <c r="P194" i="7"/>
  <c r="P149" i="7"/>
  <c r="P1193" i="7"/>
  <c r="P1194" i="7"/>
  <c r="P279" i="7"/>
  <c r="P2041" i="6"/>
  <c r="P395" i="6"/>
  <c r="P169" i="6"/>
  <c r="P2057" i="6"/>
  <c r="P2042" i="6"/>
  <c r="P466" i="6"/>
  <c r="P234" i="6"/>
  <c r="P2038" i="6"/>
  <c r="AA29" i="42"/>
  <c r="M29" i="42" s="1"/>
  <c r="AA80" i="42"/>
  <c r="B59" i="42"/>
  <c r="S66" i="37"/>
  <c r="S69" i="37" s="1"/>
  <c r="S82" i="37" s="1"/>
  <c r="S78" i="19"/>
  <c r="S80" i="19" s="1"/>
  <c r="P969" i="4"/>
  <c r="P200" i="4"/>
  <c r="P957" i="4"/>
  <c r="P258" i="4"/>
  <c r="A121" i="17"/>
  <c r="A123" i="17" s="1"/>
  <c r="A94" i="3" s="1"/>
  <c r="J275" i="15"/>
  <c r="I438" i="34"/>
  <c r="F468" i="34"/>
  <c r="E468" i="34"/>
  <c r="N2037" i="6"/>
  <c r="I10" i="4"/>
  <c r="M98" i="34"/>
  <c r="N98" i="34" s="1"/>
  <c r="L100" i="34"/>
  <c r="K783" i="34"/>
  <c r="M783" i="34"/>
  <c r="J539" i="34"/>
  <c r="J366" i="34"/>
  <c r="J485" i="34" s="1"/>
  <c r="J523" i="34"/>
  <c r="J473" i="34"/>
  <c r="E67" i="34"/>
  <c r="E443" i="34" s="1"/>
  <c r="E147" i="34"/>
  <c r="E149" i="34" s="1"/>
  <c r="E410" i="34" s="1"/>
  <c r="C511" i="34"/>
  <c r="C235" i="34" s="1"/>
  <c r="C236" i="34" s="1"/>
  <c r="J9" i="4"/>
  <c r="J198" i="4"/>
  <c r="O481" i="5"/>
  <c r="O513" i="5" s="1"/>
  <c r="AT24" i="9"/>
  <c r="J24" i="9"/>
  <c r="L608" i="4"/>
  <c r="L145" i="4" s="1"/>
  <c r="K47" i="4"/>
  <c r="I70" i="3" s="1"/>
  <c r="K147" i="4"/>
  <c r="J1010" i="4"/>
  <c r="L206" i="3"/>
  <c r="O2057" i="6"/>
  <c r="M143" i="15"/>
  <c r="I41" i="42"/>
  <c r="I47" i="42"/>
  <c r="J20" i="4"/>
  <c r="E79" i="42"/>
  <c r="D79" i="42"/>
  <c r="H47" i="42"/>
  <c r="O32" i="5"/>
  <c r="O43" i="5" s="1"/>
  <c r="O395" i="6"/>
  <c r="O2041" i="6"/>
  <c r="N955" i="4"/>
  <c r="B559" i="8"/>
  <c r="O137" i="4"/>
  <c r="O968" i="4"/>
  <c r="B161" i="8"/>
  <c r="B29" i="8"/>
  <c r="B34" i="8" s="1"/>
  <c r="A175" i="15"/>
  <c r="O470" i="5"/>
  <c r="O483" i="5" s="1"/>
  <c r="P97" i="37"/>
  <c r="K268" i="6"/>
  <c r="K1068" i="6"/>
  <c r="K1069" i="6" s="1"/>
  <c r="K1073" i="6" s="1"/>
  <c r="J111" i="14"/>
  <c r="J91" i="4"/>
  <c r="J2059" i="6"/>
  <c r="I28" i="8"/>
  <c r="G114" i="16"/>
  <c r="G115" i="16" s="1"/>
  <c r="E52" i="42"/>
  <c r="AG54" i="42"/>
  <c r="E54" i="42" s="1"/>
  <c r="I105" i="19"/>
  <c r="K143" i="15"/>
  <c r="K353" i="34" s="1"/>
  <c r="O1194" i="7"/>
  <c r="O279" i="7"/>
  <c r="N68" i="20"/>
  <c r="S78" i="20"/>
  <c r="S80" i="20" s="1"/>
  <c r="Q76" i="11"/>
  <c r="P513" i="5" l="1"/>
  <c r="P487" i="5"/>
  <c r="J195" i="14"/>
  <c r="J177" i="14" s="1"/>
  <c r="K86" i="14" s="1"/>
  <c r="Q17" i="14"/>
  <c r="K835" i="4"/>
  <c r="K289" i="4" s="1"/>
  <c r="K316" i="4" s="1"/>
  <c r="O175" i="14"/>
  <c r="P84" i="14" s="1"/>
  <c r="T35" i="14"/>
  <c r="T37" i="14" s="1"/>
  <c r="L1129" i="6" s="1"/>
  <c r="L334" i="6" s="1"/>
  <c r="L341" i="6" s="1"/>
  <c r="R28" i="5"/>
  <c r="R199" i="5"/>
  <c r="R468" i="5" s="1"/>
  <c r="O585" i="34"/>
  <c r="O586" i="34" s="1"/>
  <c r="O588" i="34" s="1"/>
  <c r="O239" i="34" s="1"/>
  <c r="R324" i="7"/>
  <c r="R1197" i="7" s="1"/>
  <c r="O214" i="9"/>
  <c r="O216" i="9" s="1"/>
  <c r="O21" i="42"/>
  <c r="O81" i="42" s="1"/>
  <c r="Q169" i="6"/>
  <c r="Q2037" i="6" s="1"/>
  <c r="P54" i="15"/>
  <c r="P23" i="15" s="1"/>
  <c r="R563" i="6"/>
  <c r="AK139" i="11"/>
  <c r="R511" i="5"/>
  <c r="R363" i="4"/>
  <c r="R959" i="4" s="1"/>
  <c r="Q972" i="4"/>
  <c r="N206" i="3"/>
  <c r="Q955" i="4"/>
  <c r="Q968" i="4"/>
  <c r="P792" i="34"/>
  <c r="P803" i="34" s="1"/>
  <c r="O206" i="15"/>
  <c r="O151" i="15" s="1"/>
  <c r="AB49" i="42"/>
  <c r="N49" i="42" s="1"/>
  <c r="N133" i="13"/>
  <c r="P680" i="34"/>
  <c r="AH76" i="11"/>
  <c r="AI69" i="11"/>
  <c r="O232" i="3"/>
  <c r="O142" i="13"/>
  <c r="P144" i="3"/>
  <c r="P198" i="15"/>
  <c r="O18" i="13"/>
  <c r="O20" i="13" s="1"/>
  <c r="O23" i="13" s="1"/>
  <c r="R30" i="5"/>
  <c r="P598" i="34"/>
  <c r="P600" i="34" s="1"/>
  <c r="P241" i="34" s="1"/>
  <c r="P585" i="34"/>
  <c r="P586" i="34" s="1"/>
  <c r="P13" i="15"/>
  <c r="P290" i="34" s="1"/>
  <c r="P353" i="34" s="1"/>
  <c r="P306" i="34"/>
  <c r="R400" i="4"/>
  <c r="P5" i="12" s="1"/>
  <c r="O306" i="34"/>
  <c r="O366" i="34" s="1"/>
  <c r="O485" i="34" s="1"/>
  <c r="O13" i="15"/>
  <c r="O290" i="34" s="1"/>
  <c r="O353" i="34" s="1"/>
  <c r="O473" i="34" s="1"/>
  <c r="R467" i="5"/>
  <c r="R163" i="5"/>
  <c r="R2062" i="6"/>
  <c r="R457" i="6"/>
  <c r="R462" i="6"/>
  <c r="R1509" i="6"/>
  <c r="R19" i="4"/>
  <c r="R135" i="4"/>
  <c r="R465" i="5"/>
  <c r="R79" i="5"/>
  <c r="R384" i="6"/>
  <c r="R2061" i="6"/>
  <c r="AD54" i="42"/>
  <c r="B54" i="42" s="1"/>
  <c r="B47" i="42"/>
  <c r="P146" i="3"/>
  <c r="R223" i="6"/>
  <c r="R2058" i="6"/>
  <c r="R466" i="5"/>
  <c r="R114" i="5"/>
  <c r="R169" i="6"/>
  <c r="R2057" i="6"/>
  <c r="R969" i="4"/>
  <c r="R200" i="4"/>
  <c r="R481" i="5"/>
  <c r="C322" i="34"/>
  <c r="A13" i="15"/>
  <c r="A78" i="15"/>
  <c r="C319" i="34" s="1"/>
  <c r="R210" i="5"/>
  <c r="R345" i="6"/>
  <c r="R2040" i="6" s="1"/>
  <c r="R2060" i="6"/>
  <c r="R970" i="4"/>
  <c r="R247" i="4"/>
  <c r="Q4" i="37"/>
  <c r="R2" i="37" s="1"/>
  <c r="Q92" i="37"/>
  <c r="Q94" i="37" s="1"/>
  <c r="O133" i="13"/>
  <c r="P71" i="3"/>
  <c r="P72" i="3" s="1"/>
  <c r="P214" i="9"/>
  <c r="P216" i="9" s="1"/>
  <c r="P206" i="15"/>
  <c r="P151" i="15" s="1"/>
  <c r="O682" i="34"/>
  <c r="O197" i="34" s="1"/>
  <c r="P44" i="16"/>
  <c r="O77" i="3" s="1"/>
  <c r="O78" i="3" s="1"/>
  <c r="P82" i="21"/>
  <c r="R1208" i="7"/>
  <c r="R98" i="7"/>
  <c r="R183" i="7"/>
  <c r="R1211" i="7"/>
  <c r="R10" i="7"/>
  <c r="P794" i="34"/>
  <c r="P800" i="34" s="1"/>
  <c r="P824" i="34"/>
  <c r="R1194" i="7"/>
  <c r="R279" i="7"/>
  <c r="R335" i="7"/>
  <c r="P216" i="34"/>
  <c r="P814" i="34" s="1"/>
  <c r="P259" i="3" s="1"/>
  <c r="R64" i="6"/>
  <c r="R89" i="20"/>
  <c r="R88" i="20" s="1"/>
  <c r="R90" i="20" s="1"/>
  <c r="O98" i="34"/>
  <c r="P955" i="4"/>
  <c r="P79" i="5"/>
  <c r="P30" i="5"/>
  <c r="N14" i="3" s="1"/>
  <c r="Q30" i="5"/>
  <c r="O14" i="3" s="1"/>
  <c r="K391" i="8"/>
  <c r="H453" i="34"/>
  <c r="H80" i="3"/>
  <c r="I134" i="22"/>
  <c r="I137" i="22" s="1"/>
  <c r="H89" i="3" s="1"/>
  <c r="H44" i="17"/>
  <c r="Q467" i="5"/>
  <c r="I178" i="3"/>
  <c r="I179" i="3" s="1"/>
  <c r="I504" i="34"/>
  <c r="I564" i="34" s="1"/>
  <c r="I572" i="34" s="1"/>
  <c r="I113" i="15"/>
  <c r="M121" i="13"/>
  <c r="N9" i="3"/>
  <c r="N10" i="3" s="1"/>
  <c r="A128" i="3"/>
  <c r="A129" i="3" s="1"/>
  <c r="N147" i="3"/>
  <c r="N121" i="3"/>
  <c r="Q468" i="5"/>
  <c r="V61" i="14"/>
  <c r="M1165" i="7" s="1"/>
  <c r="M448" i="7" s="1"/>
  <c r="Q109" i="7"/>
  <c r="S89" i="20"/>
  <c r="H258" i="4"/>
  <c r="C201" i="42"/>
  <c r="D201" i="42" s="1"/>
  <c r="H211" i="4"/>
  <c r="C200" i="42"/>
  <c r="D200" i="42" s="1"/>
  <c r="Q462" i="6"/>
  <c r="Q1509" i="6"/>
  <c r="F20" i="15"/>
  <c r="O218" i="15"/>
  <c r="O139" i="15"/>
  <c r="O163" i="15" s="1"/>
  <c r="N7" i="42"/>
  <c r="N69" i="42" s="1"/>
  <c r="O70" i="15"/>
  <c r="O8" i="15" s="1"/>
  <c r="O553" i="34"/>
  <c r="O377" i="34"/>
  <c r="O288" i="34"/>
  <c r="O351" i="34" s="1"/>
  <c r="Q399" i="4"/>
  <c r="O4" i="12" s="1"/>
  <c r="Q513" i="5"/>
  <c r="Q1197" i="7"/>
  <c r="Q335" i="7"/>
  <c r="Q258" i="4"/>
  <c r="Q957" i="4"/>
  <c r="Q2038" i="6"/>
  <c r="Q234" i="6"/>
  <c r="Q956" i="4"/>
  <c r="Q211" i="4"/>
  <c r="Q563" i="6"/>
  <c r="Q2044" i="6"/>
  <c r="Q959" i="4"/>
  <c r="Q374" i="4"/>
  <c r="Q384" i="6"/>
  <c r="Q2061" i="6"/>
  <c r="Q2039" i="6"/>
  <c r="Q2062" i="6"/>
  <c r="Q457" i="6"/>
  <c r="M353" i="34"/>
  <c r="M523" i="34" s="1"/>
  <c r="N588" i="34"/>
  <c r="N239" i="34" s="1"/>
  <c r="E527" i="34"/>
  <c r="F527" i="34"/>
  <c r="T20" i="20"/>
  <c r="M80" i="42"/>
  <c r="N528" i="34"/>
  <c r="N495" i="34"/>
  <c r="N382" i="34"/>
  <c r="N471" i="34"/>
  <c r="N521" i="34"/>
  <c r="N213" i="15"/>
  <c r="N136" i="15"/>
  <c r="L63" i="20"/>
  <c r="L98" i="20" s="1"/>
  <c r="U12" i="20"/>
  <c r="U16" i="20" s="1"/>
  <c r="J177" i="3" s="1"/>
  <c r="H503" i="34"/>
  <c r="AW52" i="42"/>
  <c r="AW54" i="42" s="1"/>
  <c r="I40" i="17"/>
  <c r="I68" i="17" s="1"/>
  <c r="K155" i="8"/>
  <c r="I32" i="3" s="1"/>
  <c r="G106" i="34"/>
  <c r="I247" i="4"/>
  <c r="M163" i="15"/>
  <c r="M218" i="15"/>
  <c r="N194" i="15"/>
  <c r="N139" i="15" s="1"/>
  <c r="M69" i="13"/>
  <c r="AA34" i="42"/>
  <c r="M34" i="42" s="1"/>
  <c r="J31" i="4"/>
  <c r="I32" i="4"/>
  <c r="J45" i="4"/>
  <c r="O23" i="4"/>
  <c r="O34" i="4" s="1"/>
  <c r="O361" i="4"/>
  <c r="O363" i="4" s="1"/>
  <c r="P361" i="4"/>
  <c r="P972" i="4" s="1"/>
  <c r="P23" i="4"/>
  <c r="P34" i="4" s="1"/>
  <c r="N363" i="4"/>
  <c r="N972" i="4"/>
  <c r="M47" i="42"/>
  <c r="P2037" i="6"/>
  <c r="T66" i="37"/>
  <c r="T69" i="37" s="1"/>
  <c r="T82" i="37" s="1"/>
  <c r="S74" i="19"/>
  <c r="M100" i="34"/>
  <c r="N100" i="34"/>
  <c r="P956" i="4"/>
  <c r="P211" i="4"/>
  <c r="C123" i="3"/>
  <c r="C36" i="13"/>
  <c r="G261" i="15"/>
  <c r="G260" i="15"/>
  <c r="J45" i="16"/>
  <c r="J120" i="16" s="1"/>
  <c r="G492" i="34"/>
  <c r="G550" i="34" s="1"/>
  <c r="M539" i="34"/>
  <c r="M366" i="34"/>
  <c r="M485" i="34" s="1"/>
  <c r="K539" i="34"/>
  <c r="K366" i="34"/>
  <c r="K485" i="34" s="1"/>
  <c r="E73" i="34"/>
  <c r="E74" i="34" s="1"/>
  <c r="E153" i="34"/>
  <c r="E155" i="34" s="1"/>
  <c r="E156" i="34" s="1"/>
  <c r="K523" i="34"/>
  <c r="K473" i="34"/>
  <c r="E444" i="34"/>
  <c r="E411" i="34"/>
  <c r="E413" i="34" s="1"/>
  <c r="E519" i="34"/>
  <c r="F519" i="34"/>
  <c r="E469" i="34"/>
  <c r="F469" i="34"/>
  <c r="L116" i="14"/>
  <c r="K777" i="34"/>
  <c r="O487" i="5"/>
  <c r="AY24" i="9"/>
  <c r="K1010" i="4"/>
  <c r="L47" i="4"/>
  <c r="J70" i="3" s="1"/>
  <c r="L147" i="4"/>
  <c r="K24" i="9"/>
  <c r="M608" i="4"/>
  <c r="M145" i="4" s="1"/>
  <c r="O955" i="4"/>
  <c r="M206" i="3"/>
  <c r="O2037" i="6"/>
  <c r="J200" i="4"/>
  <c r="S88" i="20"/>
  <c r="K597" i="4"/>
  <c r="K110" i="14"/>
  <c r="J2039" i="6"/>
  <c r="K275" i="6"/>
  <c r="G491" i="34"/>
  <c r="G549" i="34" s="1"/>
  <c r="J104" i="19"/>
  <c r="S76" i="11"/>
  <c r="S74" i="20"/>
  <c r="N70" i="20"/>
  <c r="Q180" i="6" l="1"/>
  <c r="L1134" i="6"/>
  <c r="L1136" i="6" s="1"/>
  <c r="L1138" i="6" s="1"/>
  <c r="P175" i="14"/>
  <c r="Q84" i="14" s="1"/>
  <c r="P116" i="14"/>
  <c r="J106" i="14"/>
  <c r="K180" i="14"/>
  <c r="L89" i="14" s="1"/>
  <c r="S35" i="14"/>
  <c r="L343" i="6"/>
  <c r="L26" i="6"/>
  <c r="L42" i="6" s="1"/>
  <c r="J126" i="14"/>
  <c r="O252" i="3"/>
  <c r="R374" i="4"/>
  <c r="O539" i="34"/>
  <c r="P254" i="3"/>
  <c r="P682" i="34"/>
  <c r="P197" i="34" s="1"/>
  <c r="AK69" i="11"/>
  <c r="AK76" i="11" s="1"/>
  <c r="AI76" i="11"/>
  <c r="R399" i="4"/>
  <c r="P4" i="12" s="1"/>
  <c r="C376" i="34"/>
  <c r="C323" i="34"/>
  <c r="C329" i="34" s="1"/>
  <c r="C552" i="34"/>
  <c r="R470" i="5"/>
  <c r="R483" i="5" s="1"/>
  <c r="R487" i="5" s="1"/>
  <c r="P147" i="3"/>
  <c r="C290" i="34"/>
  <c r="A16" i="15"/>
  <c r="C287" i="34" s="1"/>
  <c r="R211" i="4"/>
  <c r="R956" i="4"/>
  <c r="R2037" i="6"/>
  <c r="R180" i="6"/>
  <c r="R2038" i="6"/>
  <c r="R234" i="6"/>
  <c r="R968" i="4"/>
  <c r="R137" i="4"/>
  <c r="R2042" i="6"/>
  <c r="R466" i="6"/>
  <c r="P539" i="34"/>
  <c r="P366" i="34"/>
  <c r="P485" i="34" s="1"/>
  <c r="R32" i="5"/>
  <c r="R43" i="5" s="1"/>
  <c r="P14" i="3"/>
  <c r="R258" i="4"/>
  <c r="R957" i="4"/>
  <c r="C555" i="34"/>
  <c r="C379" i="34"/>
  <c r="R395" i="6"/>
  <c r="R2041" i="6"/>
  <c r="R30" i="4"/>
  <c r="P523" i="34"/>
  <c r="P473" i="34"/>
  <c r="R513" i="5"/>
  <c r="O121" i="3"/>
  <c r="P252" i="3"/>
  <c r="P588" i="34"/>
  <c r="P239" i="34" s="1"/>
  <c r="P143" i="15"/>
  <c r="P783" i="34"/>
  <c r="P98" i="34"/>
  <c r="P100" i="34" s="1"/>
  <c r="S3" i="37"/>
  <c r="S93" i="37" s="1"/>
  <c r="S90" i="20"/>
  <c r="P85" i="21"/>
  <c r="P88" i="3" s="1"/>
  <c r="R194" i="7"/>
  <c r="R1195" i="7"/>
  <c r="R109" i="7"/>
  <c r="R1192" i="7"/>
  <c r="AC44" i="42"/>
  <c r="O143" i="13"/>
  <c r="P202" i="15"/>
  <c r="P147" i="15" s="1"/>
  <c r="P63" i="3"/>
  <c r="O100" i="34"/>
  <c r="P61" i="3"/>
  <c r="AC72" i="14"/>
  <c r="P32" i="5"/>
  <c r="P43" i="5" s="1"/>
  <c r="Q32" i="5"/>
  <c r="Q43" i="5" s="1"/>
  <c r="H81" i="3"/>
  <c r="H82" i="3" s="1"/>
  <c r="H118" i="17"/>
  <c r="I324" i="15"/>
  <c r="I329" i="15" s="1"/>
  <c r="I45" i="17"/>
  <c r="J133" i="22"/>
  <c r="I70" i="17"/>
  <c r="Q470" i="5"/>
  <c r="Q483" i="5" s="1"/>
  <c r="Q487" i="5" s="1"/>
  <c r="I33" i="3"/>
  <c r="I34" i="3" s="1"/>
  <c r="I174" i="3"/>
  <c r="J1008" i="4"/>
  <c r="H48" i="3"/>
  <c r="O523" i="34"/>
  <c r="O382" i="34"/>
  <c r="O495" i="34"/>
  <c r="O521" i="34"/>
  <c r="O471" i="34"/>
  <c r="P69" i="20"/>
  <c r="P68" i="20" s="1"/>
  <c r="P70" i="20" s="1"/>
  <c r="Q466" i="6"/>
  <c r="Q2042" i="6"/>
  <c r="Q2041" i="6"/>
  <c r="Q395" i="6"/>
  <c r="T47" i="14"/>
  <c r="T49" i="14" s="1"/>
  <c r="M473" i="34"/>
  <c r="L537" i="8"/>
  <c r="L138" i="8" s="1"/>
  <c r="J178" i="3" s="1"/>
  <c r="J179" i="3" s="1"/>
  <c r="N158" i="15"/>
  <c r="I258" i="4"/>
  <c r="G108" i="34"/>
  <c r="G458" i="34" s="1"/>
  <c r="G459" i="34" s="1"/>
  <c r="G112" i="34"/>
  <c r="H563" i="34"/>
  <c r="H505" i="34"/>
  <c r="I112" i="17"/>
  <c r="I113" i="17" s="1"/>
  <c r="AX50" i="42"/>
  <c r="I310" i="15"/>
  <c r="T12" i="20"/>
  <c r="T16" i="20" s="1"/>
  <c r="L33" i="20"/>
  <c r="L41" i="20" s="1"/>
  <c r="L65" i="20"/>
  <c r="I957" i="4"/>
  <c r="U58" i="14"/>
  <c r="L101" i="14"/>
  <c r="N218" i="15"/>
  <c r="N163" i="15"/>
  <c r="U66" i="37"/>
  <c r="U69" i="37" s="1"/>
  <c r="V66" i="37" s="1"/>
  <c r="V69" i="37" s="1"/>
  <c r="H173" i="3"/>
  <c r="H175" i="3" s="1"/>
  <c r="O972" i="4"/>
  <c r="P363" i="4"/>
  <c r="N374" i="4"/>
  <c r="N959" i="4"/>
  <c r="O959" i="4"/>
  <c r="O374" i="4"/>
  <c r="S73" i="19"/>
  <c r="S75" i="19" s="1"/>
  <c r="C38" i="13"/>
  <c r="J280" i="15"/>
  <c r="M195" i="8" s="1"/>
  <c r="G551" i="34"/>
  <c r="J211" i="4"/>
  <c r="F65" i="34"/>
  <c r="BD24" i="9"/>
  <c r="L1010" i="4"/>
  <c r="M47" i="4"/>
  <c r="K70" i="3" s="1"/>
  <c r="M147" i="4"/>
  <c r="N608" i="4"/>
  <c r="N145" i="4" s="1"/>
  <c r="L24" i="9"/>
  <c r="J10" i="4"/>
  <c r="J969" i="4"/>
  <c r="J956" i="4"/>
  <c r="K599" i="4"/>
  <c r="K601" i="4" s="1"/>
  <c r="K609" i="4" s="1"/>
  <c r="K177" i="4"/>
  <c r="J41" i="42"/>
  <c r="AZ47" i="42"/>
  <c r="J47" i="42" s="1"/>
  <c r="K41" i="42"/>
  <c r="BA47" i="42"/>
  <c r="K277" i="6"/>
  <c r="K281" i="6" s="1"/>
  <c r="K25" i="6"/>
  <c r="K41" i="6" s="1"/>
  <c r="K109" i="14"/>
  <c r="J75" i="8"/>
  <c r="J103" i="19"/>
  <c r="S73" i="20"/>
  <c r="S75" i="20" s="1"/>
  <c r="T76" i="11"/>
  <c r="L140" i="14" l="1"/>
  <c r="L139" i="14"/>
  <c r="Q116" i="14"/>
  <c r="Q175" i="14"/>
  <c r="R82" i="10"/>
  <c r="S37" i="14"/>
  <c r="L1142" i="6" s="1"/>
  <c r="K125" i="14"/>
  <c r="T17" i="14" s="1"/>
  <c r="L345" i="6"/>
  <c r="L2060" i="6"/>
  <c r="C497" i="34"/>
  <c r="C353" i="34"/>
  <c r="C494" i="34"/>
  <c r="C384" i="34"/>
  <c r="C358" i="34" s="1"/>
  <c r="C381" i="34"/>
  <c r="C350" i="34"/>
  <c r="R147" i="4"/>
  <c r="R955" i="4"/>
  <c r="O206" i="3"/>
  <c r="C520" i="34"/>
  <c r="C291" i="34"/>
  <c r="C297" i="34" s="1"/>
  <c r="R4" i="37"/>
  <c r="S2" i="37" s="1"/>
  <c r="R92" i="37"/>
  <c r="R94" i="37" s="1"/>
  <c r="L102" i="20"/>
  <c r="L100" i="20"/>
  <c r="P64" i="3"/>
  <c r="AC47" i="42"/>
  <c r="O47" i="42" s="1"/>
  <c r="O44" i="42"/>
  <c r="V82" i="37"/>
  <c r="W66" i="37"/>
  <c r="W69" i="37" s="1"/>
  <c r="W82" i="37" s="1"/>
  <c r="S47" i="14"/>
  <c r="Q11" i="37" s="1"/>
  <c r="R69" i="20"/>
  <c r="R68" i="20" s="1"/>
  <c r="R70" i="20" s="1"/>
  <c r="L391" i="8"/>
  <c r="I453" i="34"/>
  <c r="I80" i="3"/>
  <c r="J134" i="22"/>
  <c r="J137" i="22" s="1"/>
  <c r="I89" i="3" s="1"/>
  <c r="I44" i="17"/>
  <c r="I81" i="3" s="1"/>
  <c r="AI19" i="42"/>
  <c r="H82" i="15" s="1"/>
  <c r="H169" i="3"/>
  <c r="H170" i="3" s="1"/>
  <c r="U61" i="14"/>
  <c r="M1181" i="7" s="1"/>
  <c r="M464" i="7" s="1"/>
  <c r="M51" i="7" s="1"/>
  <c r="K21" i="3" s="1"/>
  <c r="AY19" i="42"/>
  <c r="J113" i="15" s="1"/>
  <c r="H565" i="34"/>
  <c r="L554" i="8"/>
  <c r="T21" i="20"/>
  <c r="T23" i="20" s="1"/>
  <c r="J201" i="3" s="1"/>
  <c r="M64" i="20"/>
  <c r="M99" i="20" s="1"/>
  <c r="H106" i="34"/>
  <c r="H108" i="34" s="1"/>
  <c r="H458" i="34" s="1"/>
  <c r="H459" i="34" s="1"/>
  <c r="G114" i="34"/>
  <c r="G115" i="34" s="1"/>
  <c r="I503" i="34"/>
  <c r="AX52" i="42"/>
  <c r="AX54" i="42" s="1"/>
  <c r="W58" i="14"/>
  <c r="W61" i="14" s="1"/>
  <c r="X58" i="14"/>
  <c r="U82" i="37"/>
  <c r="J32" i="4"/>
  <c r="P959" i="4"/>
  <c r="H200" i="3"/>
  <c r="P374" i="4"/>
  <c r="S69" i="19"/>
  <c r="C41" i="13"/>
  <c r="K275" i="15"/>
  <c r="J438" i="34"/>
  <c r="F67" i="34"/>
  <c r="F443" i="34" s="1"/>
  <c r="F71" i="34"/>
  <c r="K9" i="4"/>
  <c r="K198" i="4"/>
  <c r="BI24" i="9"/>
  <c r="N47" i="4"/>
  <c r="L70" i="3" s="1"/>
  <c r="N147" i="4"/>
  <c r="M1010" i="4"/>
  <c r="O608" i="4"/>
  <c r="O145" i="4" s="1"/>
  <c r="M24" i="9"/>
  <c r="J970" i="4"/>
  <c r="J247" i="4"/>
  <c r="K20" i="4"/>
  <c r="K47" i="42"/>
  <c r="BB47" i="42"/>
  <c r="K91" i="4"/>
  <c r="L1061" i="6"/>
  <c r="K2059" i="6"/>
  <c r="Q98" i="37"/>
  <c r="J28" i="8"/>
  <c r="H114" i="16"/>
  <c r="H115" i="16" s="1"/>
  <c r="J105" i="19"/>
  <c r="V76" i="11"/>
  <c r="S69" i="20"/>
  <c r="R84" i="14" l="1"/>
  <c r="L198" i="14"/>
  <c r="L141" i="14" s="1"/>
  <c r="V35" i="14"/>
  <c r="V37" i="14" s="1"/>
  <c r="M1129" i="6" s="1"/>
  <c r="L350" i="6"/>
  <c r="S82" i="10"/>
  <c r="R84" i="10"/>
  <c r="L1144" i="6"/>
  <c r="L352" i="6" s="1"/>
  <c r="L2040" i="6"/>
  <c r="K124" i="14"/>
  <c r="L835" i="4"/>
  <c r="L289" i="4" s="1"/>
  <c r="L316" i="4" s="1"/>
  <c r="S49" i="14"/>
  <c r="L1076" i="6" s="1"/>
  <c r="L286" i="6" s="1"/>
  <c r="C498" i="34"/>
  <c r="C499" i="34" s="1"/>
  <c r="C232" i="34" s="1"/>
  <c r="C233" i="34" s="1"/>
  <c r="C470" i="34"/>
  <c r="C355" i="34"/>
  <c r="C523" i="34"/>
  <c r="C473" i="34"/>
  <c r="C385" i="34"/>
  <c r="C189" i="34" s="1"/>
  <c r="C190" i="34" s="1"/>
  <c r="T3" i="37"/>
  <c r="T93" i="37" s="1"/>
  <c r="I82" i="3"/>
  <c r="I118" i="17"/>
  <c r="J45" i="17"/>
  <c r="X61" i="14"/>
  <c r="N1165" i="7" s="1"/>
  <c r="N448" i="7" s="1"/>
  <c r="J504" i="34"/>
  <c r="J564" i="34" s="1"/>
  <c r="J572" i="34" s="1"/>
  <c r="V20" i="20"/>
  <c r="H112" i="34"/>
  <c r="H114" i="34" s="1"/>
  <c r="H115" i="34" s="1"/>
  <c r="I505" i="34"/>
  <c r="I563" i="34"/>
  <c r="W12" i="20"/>
  <c r="W16" i="20" s="1"/>
  <c r="K177" i="3" s="1"/>
  <c r="M63" i="20"/>
  <c r="M98" i="20" s="1"/>
  <c r="L155" i="8"/>
  <c r="J32" i="3" s="1"/>
  <c r="J40" i="17"/>
  <c r="J68" i="17" s="1"/>
  <c r="N1181" i="7"/>
  <c r="N464" i="7" s="1"/>
  <c r="N51" i="7" s="1"/>
  <c r="L21" i="3" s="1"/>
  <c r="M101" i="14"/>
  <c r="N100" i="14" s="1"/>
  <c r="R100" i="14" s="1"/>
  <c r="K31" i="4"/>
  <c r="K45" i="4"/>
  <c r="S59" i="19"/>
  <c r="S68" i="19"/>
  <c r="S70" i="19" s="1"/>
  <c r="S54" i="19"/>
  <c r="S64" i="19"/>
  <c r="H261" i="15"/>
  <c r="H260" i="15"/>
  <c r="K45" i="16"/>
  <c r="K120" i="16" s="1"/>
  <c r="H492" i="34"/>
  <c r="H550" i="34" s="1"/>
  <c r="F444" i="34"/>
  <c r="F411" i="34"/>
  <c r="F73" i="34"/>
  <c r="F74" i="34" s="1"/>
  <c r="M116" i="14"/>
  <c r="L777" i="34"/>
  <c r="O47" i="4"/>
  <c r="M70" i="3" s="1"/>
  <c r="O147" i="4"/>
  <c r="N1010" i="4"/>
  <c r="J957" i="4"/>
  <c r="J258" i="4"/>
  <c r="K200" i="4"/>
  <c r="L597" i="4"/>
  <c r="K2039" i="6"/>
  <c r="K111" i="14"/>
  <c r="L268" i="6"/>
  <c r="L1068" i="6"/>
  <c r="L1069" i="6" s="1"/>
  <c r="L1073" i="6" s="1"/>
  <c r="H491" i="34"/>
  <c r="H549" i="34" s="1"/>
  <c r="K104" i="19"/>
  <c r="S68" i="20"/>
  <c r="S70" i="20" s="1"/>
  <c r="W76" i="11"/>
  <c r="K195" i="14" l="1"/>
  <c r="K177" i="14" s="1"/>
  <c r="L86" i="14" s="1"/>
  <c r="S17" i="14"/>
  <c r="L61" i="6"/>
  <c r="J23" i="3" s="1"/>
  <c r="L356" i="6"/>
  <c r="L1147" i="6"/>
  <c r="M334" i="6"/>
  <c r="M341" i="6" s="1"/>
  <c r="M1134" i="6"/>
  <c r="M1136" i="6" s="1"/>
  <c r="M1138" i="6" s="1"/>
  <c r="U35" i="14"/>
  <c r="L180" i="14"/>
  <c r="M89" i="14" s="1"/>
  <c r="A248" i="3"/>
  <c r="C359" i="34"/>
  <c r="C183" i="34" s="1"/>
  <c r="C184" i="34" s="1"/>
  <c r="S92" i="37"/>
  <c r="S94" i="37" s="1"/>
  <c r="S4" i="37"/>
  <c r="T2" i="37" s="1"/>
  <c r="K133" i="22"/>
  <c r="J70" i="17"/>
  <c r="J324" i="15"/>
  <c r="J329" i="15" s="1"/>
  <c r="J33" i="3"/>
  <c r="J34" i="3" s="1"/>
  <c r="J174" i="3"/>
  <c r="K1008" i="4"/>
  <c r="I48" i="3"/>
  <c r="Z58" i="14"/>
  <c r="Z61" i="14" s="1"/>
  <c r="L110" i="14"/>
  <c r="I565" i="34"/>
  <c r="M537" i="8"/>
  <c r="M138" i="8" s="1"/>
  <c r="K178" i="3" s="1"/>
  <c r="K179" i="3" s="1"/>
  <c r="V12" i="20"/>
  <c r="V16" i="20" s="1"/>
  <c r="M33" i="20"/>
  <c r="M41" i="20" s="1"/>
  <c r="M65" i="20"/>
  <c r="M100" i="20" s="1"/>
  <c r="J310" i="15"/>
  <c r="J112" i="17"/>
  <c r="J113" i="17" s="1"/>
  <c r="AY50" i="42"/>
  <c r="I173" i="3"/>
  <c r="I175" i="3" s="1"/>
  <c r="S49" i="19"/>
  <c r="S53" i="19"/>
  <c r="S55" i="19" s="1"/>
  <c r="S58" i="19"/>
  <c r="S60" i="19" s="1"/>
  <c r="S63" i="19"/>
  <c r="S65" i="19" s="1"/>
  <c r="K280" i="15"/>
  <c r="N195" i="8" s="1"/>
  <c r="H551" i="34"/>
  <c r="K211" i="4"/>
  <c r="G65" i="34"/>
  <c r="O1010" i="4"/>
  <c r="K10" i="4"/>
  <c r="K969" i="4"/>
  <c r="Q97" i="37"/>
  <c r="K956" i="4"/>
  <c r="L599" i="4"/>
  <c r="L601" i="4" s="1"/>
  <c r="L609" i="4" s="1"/>
  <c r="L177" i="4"/>
  <c r="L41" i="42"/>
  <c r="L275" i="6"/>
  <c r="L109" i="14"/>
  <c r="K103" i="19"/>
  <c r="K75" i="8"/>
  <c r="Y76" i="11"/>
  <c r="K106" i="14" l="1"/>
  <c r="U37" i="14"/>
  <c r="M1142" i="6" s="1"/>
  <c r="M350" i="6" s="1"/>
  <c r="U82" i="10"/>
  <c r="M26" i="6"/>
  <c r="M42" i="6" s="1"/>
  <c r="M343" i="6"/>
  <c r="M140" i="14"/>
  <c r="M139" i="14" s="1"/>
  <c r="K126" i="14"/>
  <c r="L125" i="14" s="1"/>
  <c r="V17" i="14" s="1"/>
  <c r="U3" i="37"/>
  <c r="U93" i="37" s="1"/>
  <c r="U47" i="14"/>
  <c r="U49" i="14" s="1"/>
  <c r="J80" i="3"/>
  <c r="J44" i="17"/>
  <c r="K134" i="22"/>
  <c r="K137" i="22" s="1"/>
  <c r="J89" i="3" s="1"/>
  <c r="M391" i="8"/>
  <c r="J453" i="34"/>
  <c r="AJ19" i="42"/>
  <c r="I82" i="15" s="1"/>
  <c r="I169" i="3"/>
  <c r="I170" i="3" s="1"/>
  <c r="M102" i="20"/>
  <c r="N64" i="20"/>
  <c r="V47" i="14"/>
  <c r="AZ19" i="42"/>
  <c r="K113" i="15" s="1"/>
  <c r="I106" i="34"/>
  <c r="J503" i="34"/>
  <c r="AY52" i="42"/>
  <c r="AY54" i="42" s="1"/>
  <c r="M554" i="8"/>
  <c r="V21" i="20"/>
  <c r="V23" i="20" s="1"/>
  <c r="N101" i="14"/>
  <c r="K32" i="4"/>
  <c r="I200" i="3"/>
  <c r="S48" i="19"/>
  <c r="S50" i="19" s="1"/>
  <c r="L275" i="15"/>
  <c r="K438" i="34"/>
  <c r="G67" i="34"/>
  <c r="G443" i="34" s="1"/>
  <c r="G71" i="34"/>
  <c r="O1181" i="7"/>
  <c r="O464" i="7" s="1"/>
  <c r="O51" i="7" s="1"/>
  <c r="M21" i="3" s="1"/>
  <c r="L9" i="4"/>
  <c r="L198" i="4"/>
  <c r="K247" i="4"/>
  <c r="K970" i="4"/>
  <c r="L47" i="42"/>
  <c r="L91" i="4"/>
  <c r="L277" i="6"/>
  <c r="L281" i="6" s="1"/>
  <c r="L25" i="6"/>
  <c r="L41" i="6" s="1"/>
  <c r="I114" i="16"/>
  <c r="I115" i="16" s="1"/>
  <c r="K28" i="8"/>
  <c r="K105" i="19"/>
  <c r="AB76" i="11"/>
  <c r="Z76" i="11"/>
  <c r="M198" i="14" l="1"/>
  <c r="M141" i="14" s="1"/>
  <c r="X35" i="14"/>
  <c r="X37" i="14" s="1"/>
  <c r="N1129" i="6" s="1"/>
  <c r="U84" i="10"/>
  <c r="V82" i="10"/>
  <c r="M1144" i="6"/>
  <c r="M345" i="6"/>
  <c r="M2060" i="6"/>
  <c r="N116" i="14"/>
  <c r="T92" i="37"/>
  <c r="T94" i="37" s="1"/>
  <c r="T4" i="37"/>
  <c r="U2" i="37" s="1"/>
  <c r="N63" i="20"/>
  <c r="N98" i="20" s="1"/>
  <c r="N99" i="20"/>
  <c r="K201" i="3"/>
  <c r="J81" i="3"/>
  <c r="J82" i="3" s="1"/>
  <c r="J118" i="17"/>
  <c r="K45" i="17"/>
  <c r="R11" i="37"/>
  <c r="V49" i="14"/>
  <c r="M1061" i="6" s="1"/>
  <c r="K504" i="34"/>
  <c r="K564" i="34" s="1"/>
  <c r="K572" i="34" s="1"/>
  <c r="X20" i="20"/>
  <c r="M155" i="8"/>
  <c r="K32" i="3" s="1"/>
  <c r="K40" i="17"/>
  <c r="K68" i="17" s="1"/>
  <c r="J563" i="34"/>
  <c r="J505" i="34"/>
  <c r="I108" i="34"/>
  <c r="I458" i="34" s="1"/>
  <c r="I459" i="34" s="1"/>
  <c r="I112" i="34"/>
  <c r="Y12" i="20"/>
  <c r="Y16" i="20" s="1"/>
  <c r="L177" i="3" s="1"/>
  <c r="O101" i="14"/>
  <c r="AB58" i="14"/>
  <c r="AB61" i="14" s="1"/>
  <c r="L45" i="4"/>
  <c r="O1165" i="7"/>
  <c r="O448" i="7" s="1"/>
  <c r="I261" i="15"/>
  <c r="I260" i="15"/>
  <c r="L45" i="16"/>
  <c r="L120" i="16" s="1"/>
  <c r="I492" i="34"/>
  <c r="I550" i="34" s="1"/>
  <c r="G73" i="34"/>
  <c r="G74" i="34" s="1"/>
  <c r="G444" i="34"/>
  <c r="G411" i="34"/>
  <c r="M777" i="34"/>
  <c r="K957" i="4"/>
  <c r="K258" i="4"/>
  <c r="L20" i="4"/>
  <c r="L200" i="4"/>
  <c r="M597" i="4"/>
  <c r="L2059" i="6"/>
  <c r="M1076" i="6"/>
  <c r="M286" i="6" s="1"/>
  <c r="M61" i="6" s="1"/>
  <c r="K23" i="3" s="1"/>
  <c r="L111" i="14"/>
  <c r="I491" i="34"/>
  <c r="I549" i="34" s="1"/>
  <c r="L104" i="19"/>
  <c r="L197" i="14" l="1"/>
  <c r="L136" i="14" s="1"/>
  <c r="M2040" i="6"/>
  <c r="N334" i="6"/>
  <c r="N341" i="6" s="1"/>
  <c r="N1134" i="6"/>
  <c r="N1136" i="6" s="1"/>
  <c r="N1138" i="6" s="1"/>
  <c r="M352" i="6"/>
  <c r="M356" i="6" s="1"/>
  <c r="M1147" i="6"/>
  <c r="W35" i="14"/>
  <c r="M180" i="14"/>
  <c r="N89" i="14" s="1"/>
  <c r="M835" i="4"/>
  <c r="M289" i="4" s="1"/>
  <c r="M316" i="4" s="1"/>
  <c r="L124" i="14"/>
  <c r="V3" i="37"/>
  <c r="V93" i="37" s="1"/>
  <c r="L133" i="22"/>
  <c r="K70" i="17"/>
  <c r="K324" i="15"/>
  <c r="K329" i="15" s="1"/>
  <c r="K33" i="3"/>
  <c r="K34" i="3" s="1"/>
  <c r="K174" i="3"/>
  <c r="L1008" i="4"/>
  <c r="J48" i="3"/>
  <c r="M268" i="6"/>
  <c r="M1068" i="6"/>
  <c r="M1069" i="6" s="1"/>
  <c r="M1073" i="6" s="1"/>
  <c r="M110" i="14"/>
  <c r="N537" i="8"/>
  <c r="N138" i="8" s="1"/>
  <c r="J565" i="34"/>
  <c r="K112" i="17"/>
  <c r="K113" i="17" s="1"/>
  <c r="AZ50" i="42"/>
  <c r="K310" i="15"/>
  <c r="X12" i="20"/>
  <c r="X16" i="20" s="1"/>
  <c r="N33" i="20"/>
  <c r="N41" i="20" s="1"/>
  <c r="N65" i="20"/>
  <c r="I114" i="34"/>
  <c r="I115" i="34" s="1"/>
  <c r="L31" i="4"/>
  <c r="J173" i="3"/>
  <c r="J175" i="3" s="1"/>
  <c r="L10" i="4"/>
  <c r="L280" i="15"/>
  <c r="O195" i="8" s="1"/>
  <c r="M275" i="15" s="1"/>
  <c r="I551" i="34"/>
  <c r="L956" i="4"/>
  <c r="H65" i="34"/>
  <c r="L247" i="4"/>
  <c r="L970" i="4"/>
  <c r="L969" i="4"/>
  <c r="R97" i="37"/>
  <c r="L211" i="4"/>
  <c r="M599" i="4"/>
  <c r="M601" i="4" s="1"/>
  <c r="M609" i="4" s="1"/>
  <c r="M177" i="4"/>
  <c r="M452" i="6"/>
  <c r="M109" i="14"/>
  <c r="L2039" i="6"/>
  <c r="L103" i="19"/>
  <c r="L75" i="8"/>
  <c r="L195" i="14" l="1"/>
  <c r="L177" i="14" s="1"/>
  <c r="M86" i="14" s="1"/>
  <c r="U17" i="14"/>
  <c r="L179" i="14"/>
  <c r="M88" i="14" s="1"/>
  <c r="N140" i="14"/>
  <c r="N139" i="14" s="1"/>
  <c r="X82" i="10"/>
  <c r="W37" i="14"/>
  <c r="N1142" i="6" s="1"/>
  <c r="N350" i="6" s="1"/>
  <c r="N343" i="6"/>
  <c r="N26" i="6"/>
  <c r="N42" i="6" s="1"/>
  <c r="U92" i="37"/>
  <c r="U94" i="37" s="1"/>
  <c r="U4" i="37"/>
  <c r="V2" i="37" s="1"/>
  <c r="O64" i="20"/>
  <c r="N100" i="20"/>
  <c r="W47" i="14"/>
  <c r="W49" i="14" s="1"/>
  <c r="N391" i="8"/>
  <c r="K453" i="34"/>
  <c r="K80" i="3"/>
  <c r="K44" i="17"/>
  <c r="L134" i="22"/>
  <c r="L137" i="22" s="1"/>
  <c r="K89" i="3" s="1"/>
  <c r="AK19" i="42"/>
  <c r="J82" i="15" s="1"/>
  <c r="J169" i="3"/>
  <c r="J170" i="3" s="1"/>
  <c r="BA19" i="42"/>
  <c r="L113" i="15" s="1"/>
  <c r="L178" i="3"/>
  <c r="L179" i="3" s="1"/>
  <c r="M275" i="6"/>
  <c r="M277" i="6" s="1"/>
  <c r="M281" i="6" s="1"/>
  <c r="AA12" i="20"/>
  <c r="AA16" i="20" s="1"/>
  <c r="M177" i="3" s="1"/>
  <c r="O116" i="14"/>
  <c r="P1165" i="7"/>
  <c r="P448" i="7" s="1"/>
  <c r="Q464" i="7"/>
  <c r="Q51" i="7" s="1"/>
  <c r="O21" i="3" s="1"/>
  <c r="X47" i="14"/>
  <c r="N102" i="20"/>
  <c r="J106" i="34"/>
  <c r="N554" i="8"/>
  <c r="X21" i="20"/>
  <c r="X23" i="20" s="1"/>
  <c r="K503" i="34"/>
  <c r="AZ52" i="42"/>
  <c r="AZ54" i="42" s="1"/>
  <c r="L32" i="4"/>
  <c r="J200" i="3"/>
  <c r="P1181" i="7"/>
  <c r="P464" i="7" s="1"/>
  <c r="P51" i="7" s="1"/>
  <c r="N21" i="3" s="1"/>
  <c r="N777" i="34"/>
  <c r="L438" i="34"/>
  <c r="H67" i="34"/>
  <c r="H443" i="34" s="1"/>
  <c r="H71" i="34"/>
  <c r="M9" i="4"/>
  <c r="M198" i="4"/>
  <c r="L258" i="4"/>
  <c r="L957" i="4"/>
  <c r="M28" i="6"/>
  <c r="M44" i="6" s="1"/>
  <c r="M454" i="6"/>
  <c r="M457" i="6" s="1"/>
  <c r="N597" i="4"/>
  <c r="J114" i="16"/>
  <c r="J115" i="16" s="1"/>
  <c r="L28" i="8"/>
  <c r="L105" i="19"/>
  <c r="M135" i="14" l="1"/>
  <c r="X19" i="14" s="1"/>
  <c r="L106" i="14"/>
  <c r="X84" i="10"/>
  <c r="N1144" i="6"/>
  <c r="N352" i="6" s="1"/>
  <c r="Y82" i="10"/>
  <c r="N345" i="6"/>
  <c r="N2060" i="6"/>
  <c r="Z35" i="14"/>
  <c r="Z37" i="14" s="1"/>
  <c r="O1129" i="6" s="1"/>
  <c r="N198" i="14"/>
  <c r="N141" i="14" s="1"/>
  <c r="L126" i="14"/>
  <c r="W3" i="37"/>
  <c r="W93" i="37" s="1"/>
  <c r="O63" i="20"/>
  <c r="O99" i="20"/>
  <c r="R350" i="6"/>
  <c r="K81" i="3"/>
  <c r="K82" i="3" s="1"/>
  <c r="K118" i="17"/>
  <c r="L45" i="17"/>
  <c r="L504" i="34"/>
  <c r="L564" i="34" s="1"/>
  <c r="L572" i="34" s="1"/>
  <c r="M25" i="6"/>
  <c r="M41" i="6" s="1"/>
  <c r="O537" i="8"/>
  <c r="O138" i="8" s="1"/>
  <c r="M178" i="3" s="1"/>
  <c r="M179" i="3" s="1"/>
  <c r="L201" i="3"/>
  <c r="P33" i="20"/>
  <c r="P41" i="20" s="1"/>
  <c r="O33" i="20"/>
  <c r="O41" i="20" s="1"/>
  <c r="Z12" i="20"/>
  <c r="Z16" i="20" s="1"/>
  <c r="X49" i="14"/>
  <c r="N1061" i="6" s="1"/>
  <c r="S11" i="37"/>
  <c r="Z20" i="20"/>
  <c r="K563" i="34"/>
  <c r="K505" i="34"/>
  <c r="N155" i="8"/>
  <c r="L32" i="3" s="1"/>
  <c r="L40" i="17"/>
  <c r="L68" i="17" s="1"/>
  <c r="L324" i="15" s="1"/>
  <c r="L329" i="15" s="1"/>
  <c r="J108" i="34"/>
  <c r="J458" i="34" s="1"/>
  <c r="J459" i="34" s="1"/>
  <c r="J112" i="34"/>
  <c r="J260" i="15"/>
  <c r="J261" i="15"/>
  <c r="M45" i="16"/>
  <c r="M120" i="16" s="1"/>
  <c r="J492" i="34"/>
  <c r="J550" i="34" s="1"/>
  <c r="H73" i="34"/>
  <c r="H74" i="34" s="1"/>
  <c r="H444" i="34"/>
  <c r="H411" i="34"/>
  <c r="M20" i="4"/>
  <c r="M969" i="4"/>
  <c r="N599" i="4"/>
  <c r="N601" i="4" s="1"/>
  <c r="N609" i="4" s="1"/>
  <c r="N177" i="4"/>
  <c r="M2062" i="6"/>
  <c r="M111" i="14"/>
  <c r="N1076" i="6"/>
  <c r="N286" i="6" s="1"/>
  <c r="N61" i="6" s="1"/>
  <c r="L23" i="3" s="1"/>
  <c r="M2059" i="6"/>
  <c r="J491" i="34"/>
  <c r="J549" i="34" s="1"/>
  <c r="M104" i="19"/>
  <c r="M134" i="14" l="1"/>
  <c r="M197" i="14" s="1"/>
  <c r="Y35" i="14"/>
  <c r="N180" i="14"/>
  <c r="O89" i="14" s="1"/>
  <c r="N1147" i="6"/>
  <c r="O334" i="6"/>
  <c r="O341" i="6" s="1"/>
  <c r="O1134" i="6"/>
  <c r="O1136" i="6" s="1"/>
  <c r="O1138" i="6" s="1"/>
  <c r="N356" i="6"/>
  <c r="N2040" i="6"/>
  <c r="M125" i="14"/>
  <c r="X17" i="14" s="1"/>
  <c r="V92" i="37"/>
  <c r="V94" i="37" s="1"/>
  <c r="V4" i="37"/>
  <c r="W2" i="37" s="1"/>
  <c r="O98" i="20"/>
  <c r="O65" i="20"/>
  <c r="M133" i="22"/>
  <c r="L70" i="17"/>
  <c r="O391" i="8"/>
  <c r="L453" i="34"/>
  <c r="L33" i="3"/>
  <c r="L34" i="3" s="1"/>
  <c r="L174" i="3"/>
  <c r="O554" i="8"/>
  <c r="Z21" i="20"/>
  <c r="Z23" i="20" s="1"/>
  <c r="BB19" i="42"/>
  <c r="N1068" i="6"/>
  <c r="N1069" i="6" s="1"/>
  <c r="N1073" i="6" s="1"/>
  <c r="N268" i="6"/>
  <c r="N110" i="14"/>
  <c r="K565" i="34"/>
  <c r="J114" i="34"/>
  <c r="J115" i="34" s="1"/>
  <c r="L112" i="17"/>
  <c r="L113" i="17" s="1"/>
  <c r="L310" i="15"/>
  <c r="BA50" i="42"/>
  <c r="M31" i="4"/>
  <c r="K173" i="3"/>
  <c r="K175" i="3" s="1"/>
  <c r="M10" i="4"/>
  <c r="M280" i="15"/>
  <c r="P195" i="8" s="1"/>
  <c r="N275" i="15" s="1"/>
  <c r="J551" i="34"/>
  <c r="I65" i="34"/>
  <c r="N9" i="4"/>
  <c r="N198" i="4"/>
  <c r="M970" i="4"/>
  <c r="M247" i="4"/>
  <c r="M200" i="4"/>
  <c r="N20" i="4"/>
  <c r="S97" i="37"/>
  <c r="M2042" i="6"/>
  <c r="M466" i="6"/>
  <c r="O597" i="4"/>
  <c r="N109" i="14"/>
  <c r="Y47" i="14" s="1"/>
  <c r="M2039" i="6"/>
  <c r="M103" i="19"/>
  <c r="M75" i="8"/>
  <c r="M179" i="14" l="1"/>
  <c r="N88" i="14" s="1"/>
  <c r="M136" i="14"/>
  <c r="W19" i="14"/>
  <c r="O343" i="6"/>
  <c r="O26" i="6"/>
  <c r="O42" i="6" s="1"/>
  <c r="O140" i="14"/>
  <c r="O139" i="14" s="1"/>
  <c r="Y37" i="14"/>
  <c r="O1142" i="6" s="1"/>
  <c r="O350" i="6" s="1"/>
  <c r="AA82" i="10"/>
  <c r="M124" i="14"/>
  <c r="N835" i="4"/>
  <c r="N289" i="4" s="1"/>
  <c r="N316" i="4" s="1"/>
  <c r="W4" i="37"/>
  <c r="W92" i="37"/>
  <c r="W94" i="37" s="1"/>
  <c r="O100" i="20"/>
  <c r="O102" i="20"/>
  <c r="M201" i="3" s="1"/>
  <c r="P64" i="20"/>
  <c r="L80" i="3"/>
  <c r="L44" i="17"/>
  <c r="M134" i="22"/>
  <c r="M137" i="22" s="1"/>
  <c r="L89" i="3" s="1"/>
  <c r="M45" i="17"/>
  <c r="AL19" i="42"/>
  <c r="K82" i="15" s="1"/>
  <c r="K169" i="3"/>
  <c r="K170" i="3" s="1"/>
  <c r="N275" i="6"/>
  <c r="N277" i="6" s="1"/>
  <c r="N281" i="6" s="1"/>
  <c r="AB20" i="20"/>
  <c r="M40" i="17"/>
  <c r="M68" i="17" s="1"/>
  <c r="M324" i="15" s="1"/>
  <c r="M329" i="15" s="1"/>
  <c r="O155" i="8"/>
  <c r="M32" i="3" s="1"/>
  <c r="M504" i="34"/>
  <c r="M564" i="34" s="1"/>
  <c r="M572" i="34" s="1"/>
  <c r="M113" i="15"/>
  <c r="Y49" i="14"/>
  <c r="Z47" i="14"/>
  <c r="L503" i="34"/>
  <c r="BA52" i="42"/>
  <c r="BA54" i="42" s="1"/>
  <c r="K106" i="34"/>
  <c r="N31" i="4"/>
  <c r="M32" i="4"/>
  <c r="K200" i="3"/>
  <c r="N45" i="16"/>
  <c r="N280" i="15"/>
  <c r="Q195" i="8" s="1"/>
  <c r="M438" i="34"/>
  <c r="M956" i="4"/>
  <c r="I67" i="34"/>
  <c r="I443" i="34" s="1"/>
  <c r="I71" i="34"/>
  <c r="M957" i="4"/>
  <c r="M258" i="4"/>
  <c r="M211" i="4"/>
  <c r="N200" i="4"/>
  <c r="O599" i="4"/>
  <c r="O601" i="4" s="1"/>
  <c r="O609" i="4" s="1"/>
  <c r="O177" i="4"/>
  <c r="K114" i="16"/>
  <c r="K115" i="16" s="1"/>
  <c r="M28" i="8"/>
  <c r="M105" i="19"/>
  <c r="N135" i="14" l="1"/>
  <c r="Z19" i="14" s="1"/>
  <c r="M195" i="14"/>
  <c r="M177" i="14" s="1"/>
  <c r="N86" i="14" s="1"/>
  <c r="W17" i="14"/>
  <c r="N134" i="14"/>
  <c r="AB35" i="14"/>
  <c r="AB37" i="14" s="1"/>
  <c r="P1129" i="6" s="1"/>
  <c r="O198" i="14"/>
  <c r="O141" i="14" s="1"/>
  <c r="AA84" i="10"/>
  <c r="AB82" i="10"/>
  <c r="O1144" i="6"/>
  <c r="O352" i="6" s="1"/>
  <c r="O2060" i="6"/>
  <c r="O345" i="6"/>
  <c r="O275" i="15"/>
  <c r="O280" i="15" s="1"/>
  <c r="R195" i="8" s="1"/>
  <c r="P63" i="20"/>
  <c r="P99" i="20"/>
  <c r="S64" i="20"/>
  <c r="AC12" i="20"/>
  <c r="AC16" i="20" s="1"/>
  <c r="R352" i="6"/>
  <c r="R356" i="6" s="1"/>
  <c r="R1147" i="6"/>
  <c r="P391" i="8"/>
  <c r="M453" i="34"/>
  <c r="N133" i="22"/>
  <c r="M70" i="17"/>
  <c r="L81" i="3"/>
  <c r="L82" i="3" s="1"/>
  <c r="L118" i="17"/>
  <c r="N25" i="6"/>
  <c r="N41" i="6" s="1"/>
  <c r="M33" i="3"/>
  <c r="M34" i="3" s="1"/>
  <c r="M174" i="3"/>
  <c r="M310" i="15"/>
  <c r="L106" i="34" s="1"/>
  <c r="M112" i="17"/>
  <c r="M113" i="17" s="1"/>
  <c r="BB50" i="42"/>
  <c r="O45" i="16"/>
  <c r="O120" i="16" s="1"/>
  <c r="Z49" i="14"/>
  <c r="O1061" i="6" s="1"/>
  <c r="O268" i="6" s="1"/>
  <c r="T11" i="37"/>
  <c r="T97" i="37" s="1"/>
  <c r="N438" i="34"/>
  <c r="K108" i="34"/>
  <c r="K458" i="34" s="1"/>
  <c r="K459" i="34" s="1"/>
  <c r="K112" i="34"/>
  <c r="L505" i="34"/>
  <c r="L563" i="34"/>
  <c r="N120" i="16"/>
  <c r="K261" i="15"/>
  <c r="K260" i="15"/>
  <c r="K492" i="34"/>
  <c r="K550" i="34" s="1"/>
  <c r="N956" i="4"/>
  <c r="I73" i="34"/>
  <c r="I74" i="34" s="1"/>
  <c r="I444" i="34"/>
  <c r="I411" i="34"/>
  <c r="O9" i="4"/>
  <c r="O198" i="4"/>
  <c r="N969" i="4"/>
  <c r="N211" i="4"/>
  <c r="O1076" i="6"/>
  <c r="O286" i="6" s="1"/>
  <c r="O61" i="6" s="1"/>
  <c r="M23" i="3" s="1"/>
  <c r="N2059" i="6"/>
  <c r="N111" i="14"/>
  <c r="K491" i="34"/>
  <c r="K549" i="34" s="1"/>
  <c r="N104" i="19"/>
  <c r="N197" i="14" l="1"/>
  <c r="Y19" i="14"/>
  <c r="M106" i="14"/>
  <c r="O2040" i="6"/>
  <c r="O356" i="6"/>
  <c r="O1147" i="6"/>
  <c r="AA35" i="14"/>
  <c r="O180" i="14"/>
  <c r="P89" i="14" s="1"/>
  <c r="P334" i="6"/>
  <c r="P341" i="6" s="1"/>
  <c r="P1134" i="6"/>
  <c r="P1136" i="6" s="1"/>
  <c r="P1138" i="6" s="1"/>
  <c r="M126" i="14"/>
  <c r="P275" i="15"/>
  <c r="P280" i="15" s="1"/>
  <c r="P438" i="34" s="1"/>
  <c r="N177" i="3"/>
  <c r="P537" i="8"/>
  <c r="P138" i="8" s="1"/>
  <c r="P65" i="20"/>
  <c r="P98" i="20"/>
  <c r="Q33" i="20"/>
  <c r="S63" i="20"/>
  <c r="S65" i="20" s="1"/>
  <c r="AB12" i="20"/>
  <c r="AB16" i="20" s="1"/>
  <c r="P45" i="16"/>
  <c r="P120" i="16" s="1"/>
  <c r="N134" i="22"/>
  <c r="N137" i="22" s="1"/>
  <c r="M89" i="3" s="1"/>
  <c r="M80" i="3"/>
  <c r="M44" i="17"/>
  <c r="N45" i="17"/>
  <c r="O1068" i="6"/>
  <c r="O1069" i="6" s="1"/>
  <c r="O1073" i="6" s="1"/>
  <c r="BB52" i="42"/>
  <c r="BB54" i="42" s="1"/>
  <c r="M503" i="34"/>
  <c r="L108" i="34"/>
  <c r="L458" i="34" s="1"/>
  <c r="L459" i="34" s="1"/>
  <c r="O438" i="34"/>
  <c r="O110" i="14"/>
  <c r="R110" i="14" s="1"/>
  <c r="L565" i="34"/>
  <c r="K114" i="34"/>
  <c r="K115" i="34" s="1"/>
  <c r="M173" i="3"/>
  <c r="M175" i="3" s="1"/>
  <c r="L173" i="3"/>
  <c r="L175" i="3" s="1"/>
  <c r="N10" i="4"/>
  <c r="K551" i="34"/>
  <c r="J65" i="34"/>
  <c r="O109" i="14"/>
  <c r="R109" i="14" s="1"/>
  <c r="N247" i="4"/>
  <c r="N970" i="4"/>
  <c r="O20" i="4"/>
  <c r="O31" i="4" s="1"/>
  <c r="O200" i="4"/>
  <c r="N2039" i="6"/>
  <c r="O275" i="6"/>
  <c r="N103" i="19"/>
  <c r="N75" i="8"/>
  <c r="N136" i="14" l="1"/>
  <c r="N179" i="14"/>
  <c r="O88" i="14" s="1"/>
  <c r="AA37" i="14"/>
  <c r="P1142" i="6" s="1"/>
  <c r="P350" i="6" s="1"/>
  <c r="AD82" i="10"/>
  <c r="P26" i="6"/>
  <c r="P42" i="6" s="1"/>
  <c r="P343" i="6"/>
  <c r="N125" i="14"/>
  <c r="Z17" i="14" s="1"/>
  <c r="P554" i="8"/>
  <c r="AB21" i="20"/>
  <c r="AB23" i="20" s="1"/>
  <c r="P100" i="20"/>
  <c r="P102" i="20"/>
  <c r="Q64" i="20"/>
  <c r="N178" i="3"/>
  <c r="N179" i="3" s="1"/>
  <c r="BC19" i="42"/>
  <c r="S33" i="20"/>
  <c r="S41" i="20" s="1"/>
  <c r="Q41" i="20"/>
  <c r="M81" i="3"/>
  <c r="M82" i="3" s="1"/>
  <c r="M118" i="17"/>
  <c r="AM19" i="42"/>
  <c r="L82" i="15" s="1"/>
  <c r="L169" i="3"/>
  <c r="L170" i="3" s="1"/>
  <c r="AB47" i="14"/>
  <c r="L112" i="34"/>
  <c r="L114" i="34" s="1"/>
  <c r="L115" i="34" s="1"/>
  <c r="M563" i="34"/>
  <c r="M565" i="34" s="1"/>
  <c r="M505" i="34"/>
  <c r="N32" i="4"/>
  <c r="L200" i="3"/>
  <c r="M200" i="3"/>
  <c r="O211" i="4"/>
  <c r="J67" i="34"/>
  <c r="J443" i="34" s="1"/>
  <c r="J71" i="34"/>
  <c r="AA47" i="14"/>
  <c r="N258" i="4"/>
  <c r="N957" i="4"/>
  <c r="O969" i="4"/>
  <c r="O956" i="4"/>
  <c r="O25" i="6"/>
  <c r="O41" i="6" s="1"/>
  <c r="O277" i="6"/>
  <c r="O281" i="6" s="1"/>
  <c r="N105" i="19"/>
  <c r="L114" i="16"/>
  <c r="L115" i="16" s="1"/>
  <c r="N28" i="8"/>
  <c r="O135" i="14" l="1"/>
  <c r="O134" i="14" s="1"/>
  <c r="P140" i="14"/>
  <c r="P139" i="14" s="1"/>
  <c r="P198" i="14" s="1"/>
  <c r="P141" i="14" s="1"/>
  <c r="P345" i="6"/>
  <c r="P2060" i="6"/>
  <c r="AD84" i="10"/>
  <c r="P1144" i="6"/>
  <c r="P352" i="6" s="1"/>
  <c r="AE82" i="10"/>
  <c r="O835" i="4"/>
  <c r="O289" i="4" s="1"/>
  <c r="O316" i="4" s="1"/>
  <c r="N124" i="14"/>
  <c r="U11" i="37"/>
  <c r="N113" i="15"/>
  <c r="N504" i="34"/>
  <c r="N564" i="34" s="1"/>
  <c r="N572" i="34" s="1"/>
  <c r="Q99" i="20"/>
  <c r="AE12" i="20"/>
  <c r="AE16" i="20" s="1"/>
  <c r="Q63" i="20"/>
  <c r="P155" i="8"/>
  <c r="N40" i="17"/>
  <c r="AB49" i="14"/>
  <c r="Q286" i="6" s="1"/>
  <c r="V97" i="37"/>
  <c r="V101" i="37" s="1"/>
  <c r="O111" i="14"/>
  <c r="AA49" i="14"/>
  <c r="P1076" i="6" s="1"/>
  <c r="P286" i="6" s="1"/>
  <c r="P61" i="6" s="1"/>
  <c r="N23" i="3" s="1"/>
  <c r="L261" i="15"/>
  <c r="L260" i="15"/>
  <c r="L492" i="34"/>
  <c r="L550" i="34" s="1"/>
  <c r="J73" i="34"/>
  <c r="J74" i="34" s="1"/>
  <c r="J444" i="34"/>
  <c r="J411" i="34"/>
  <c r="O2059" i="6"/>
  <c r="L491" i="34"/>
  <c r="L549" i="34" s="1"/>
  <c r="O104" i="19"/>
  <c r="AB19" i="14" l="1"/>
  <c r="AD35" i="14"/>
  <c r="AD37" i="14" s="1"/>
  <c r="Q1129" i="6" s="1"/>
  <c r="Q1134" i="6" s="1"/>
  <c r="Q1136" i="6" s="1"/>
  <c r="Q1138" i="6" s="1"/>
  <c r="N195" i="14"/>
  <c r="Y17" i="14"/>
  <c r="O197" i="14"/>
  <c r="AA19" i="14"/>
  <c r="AC35" i="14"/>
  <c r="P180" i="14"/>
  <c r="Q89" i="14" s="1"/>
  <c r="P356" i="6"/>
  <c r="P2040" i="6"/>
  <c r="P1147" i="6"/>
  <c r="N177" i="14"/>
  <c r="O86" i="14" s="1"/>
  <c r="P1061" i="6"/>
  <c r="P268" i="6" s="1"/>
  <c r="N32" i="3"/>
  <c r="P28" i="8"/>
  <c r="R33" i="20"/>
  <c r="R41" i="20" s="1"/>
  <c r="Q98" i="20"/>
  <c r="AD12" i="20"/>
  <c r="AD16" i="20" s="1"/>
  <c r="Q65" i="20"/>
  <c r="O177" i="3"/>
  <c r="Q537" i="8"/>
  <c r="Q138" i="8" s="1"/>
  <c r="N68" i="17"/>
  <c r="BC50" i="42"/>
  <c r="N310" i="15"/>
  <c r="M106" i="34" s="1"/>
  <c r="N33" i="3"/>
  <c r="N112" i="17"/>
  <c r="N113" i="17" s="1"/>
  <c r="N174" i="3"/>
  <c r="O200" i="3"/>
  <c r="V36" i="37"/>
  <c r="V45" i="37" s="1"/>
  <c r="V84" i="37" s="1"/>
  <c r="O181" i="3" s="1"/>
  <c r="N200" i="3"/>
  <c r="N173" i="3"/>
  <c r="S99" i="20"/>
  <c r="O10" i="4"/>
  <c r="U97" i="37"/>
  <c r="L551" i="34"/>
  <c r="O2039" i="6"/>
  <c r="K65" i="34"/>
  <c r="O247" i="4"/>
  <c r="O970" i="4"/>
  <c r="O103" i="19"/>
  <c r="S104" i="19"/>
  <c r="Q334" i="6" l="1"/>
  <c r="Q341" i="6" s="1"/>
  <c r="Q26" i="6" s="1"/>
  <c r="Q42" i="6" s="1"/>
  <c r="O136" i="14"/>
  <c r="O179" i="14"/>
  <c r="P88" i="14" s="1"/>
  <c r="R89" i="14"/>
  <c r="N106" i="14"/>
  <c r="AC37" i="14"/>
  <c r="Q1142" i="6" s="1"/>
  <c r="Q350" i="6" s="1"/>
  <c r="Q61" i="6" s="1"/>
  <c r="O23" i="3" s="1"/>
  <c r="AG82" i="10"/>
  <c r="N126" i="14"/>
  <c r="N175" i="3"/>
  <c r="N34" i="3"/>
  <c r="P1068" i="6"/>
  <c r="P1069" i="6" s="1"/>
  <c r="P1073" i="6" s="1"/>
  <c r="M108" i="34"/>
  <c r="M112" i="34"/>
  <c r="M114" i="34" s="1"/>
  <c r="N503" i="34"/>
  <c r="BC52" i="42"/>
  <c r="BC54" i="42" s="1"/>
  <c r="R155" i="8"/>
  <c r="P40" i="17"/>
  <c r="N70" i="17"/>
  <c r="N324" i="15"/>
  <c r="N329" i="15" s="1"/>
  <c r="O133" i="22"/>
  <c r="Q100" i="20"/>
  <c r="R64" i="20"/>
  <c r="Q102" i="20"/>
  <c r="O178" i="3"/>
  <c r="O179" i="3" s="1"/>
  <c r="BD19" i="42"/>
  <c r="AD21" i="20"/>
  <c r="AD23" i="20" s="1"/>
  <c r="Q554" i="8"/>
  <c r="O173" i="3"/>
  <c r="O32" i="4"/>
  <c r="S98" i="20"/>
  <c r="P275" i="6"/>
  <c r="O105" i="19"/>
  <c r="K67" i="34"/>
  <c r="K443" i="34" s="1"/>
  <c r="K71" i="34"/>
  <c r="O258" i="4"/>
  <c r="O957" i="4"/>
  <c r="S103" i="19"/>
  <c r="O75" i="8"/>
  <c r="Q343" i="6" l="1"/>
  <c r="Q2060" i="6" s="1"/>
  <c r="P135" i="14"/>
  <c r="AD19" i="14" s="1"/>
  <c r="AG84" i="10"/>
  <c r="Q1144" i="6"/>
  <c r="Q352" i="6" s="1"/>
  <c r="AH82" i="10"/>
  <c r="O125" i="14"/>
  <c r="AB17" i="14" s="1"/>
  <c r="M115" i="34"/>
  <c r="AF20" i="20"/>
  <c r="AF23" i="20" s="1"/>
  <c r="R63" i="20"/>
  <c r="R99" i="20"/>
  <c r="N80" i="3"/>
  <c r="O134" i="22"/>
  <c r="O137" i="22" s="1"/>
  <c r="N89" i="3" s="1"/>
  <c r="N44" i="17"/>
  <c r="N505" i="34"/>
  <c r="N563" i="34"/>
  <c r="N565" i="34" s="1"/>
  <c r="O113" i="15"/>
  <c r="O504" i="34"/>
  <c r="O564" i="34" s="1"/>
  <c r="BE50" i="42"/>
  <c r="P33" i="3"/>
  <c r="P174" i="3"/>
  <c r="P112" i="17"/>
  <c r="P113" i="17" s="1"/>
  <c r="P310" i="15"/>
  <c r="O106" i="34" s="1"/>
  <c r="O108" i="34" s="1"/>
  <c r="P68" i="17"/>
  <c r="P32" i="3"/>
  <c r="R28" i="8"/>
  <c r="Q155" i="8"/>
  <c r="O40" i="17"/>
  <c r="N453" i="34"/>
  <c r="Q391" i="8"/>
  <c r="M458" i="34"/>
  <c r="M459" i="34" s="1"/>
  <c r="M411" i="34"/>
  <c r="AN19" i="42"/>
  <c r="M169" i="3"/>
  <c r="M170" i="3" s="1"/>
  <c r="P25" i="6"/>
  <c r="P41" i="6" s="1"/>
  <c r="P277" i="6"/>
  <c r="P104" i="19"/>
  <c r="K73" i="34"/>
  <c r="K74" i="34" s="1"/>
  <c r="K444" i="34"/>
  <c r="K411" i="34"/>
  <c r="O28" i="8"/>
  <c r="M114" i="16"/>
  <c r="M115" i="16" s="1"/>
  <c r="Q345" i="6" l="1"/>
  <c r="Q2040" i="6" s="1"/>
  <c r="P134" i="14"/>
  <c r="AC19" i="14" s="1"/>
  <c r="Q1147" i="6"/>
  <c r="P835" i="4"/>
  <c r="P289" i="4" s="1"/>
  <c r="O124" i="14"/>
  <c r="O458" i="34"/>
  <c r="O459" i="34" s="1"/>
  <c r="O411" i="34"/>
  <c r="P34" i="3"/>
  <c r="O572" i="34"/>
  <c r="N81" i="3"/>
  <c r="N82" i="3" s="1"/>
  <c r="N118" i="17"/>
  <c r="R65" i="20"/>
  <c r="R98" i="20"/>
  <c r="P200" i="3" s="1"/>
  <c r="P70" i="17"/>
  <c r="Q133" i="22"/>
  <c r="O45" i="17"/>
  <c r="O68" i="17"/>
  <c r="O324" i="15" s="1"/>
  <c r="O33" i="3"/>
  <c r="O112" i="17"/>
  <c r="O113" i="17" s="1"/>
  <c r="O174" i="3"/>
  <c r="O175" i="3" s="1"/>
  <c r="BD50" i="42"/>
  <c r="O310" i="15"/>
  <c r="N106" i="34" s="1"/>
  <c r="O32" i="3"/>
  <c r="Q28" i="8"/>
  <c r="BE52" i="42"/>
  <c r="BE54" i="42" s="1"/>
  <c r="P503" i="34"/>
  <c r="P281" i="6"/>
  <c r="P2059" i="6"/>
  <c r="P103" i="19"/>
  <c r="P105" i="19"/>
  <c r="M261" i="15"/>
  <c r="M260" i="15"/>
  <c r="M492" i="34"/>
  <c r="M550" i="34" s="1"/>
  <c r="M82" i="15"/>
  <c r="M491" i="34"/>
  <c r="M549" i="34" s="1"/>
  <c r="Q356" i="6" l="1"/>
  <c r="O195" i="14"/>
  <c r="O177" i="14" s="1"/>
  <c r="P86" i="14" s="1"/>
  <c r="AA17" i="14"/>
  <c r="P197" i="14"/>
  <c r="P136" i="14" s="1"/>
  <c r="P316" i="4"/>
  <c r="P173" i="3"/>
  <c r="P175" i="3" s="1"/>
  <c r="BD52" i="42"/>
  <c r="BD54" i="42" s="1"/>
  <c r="O503" i="34"/>
  <c r="P133" i="22"/>
  <c r="O70" i="17"/>
  <c r="O329" i="15"/>
  <c r="Q134" i="22"/>
  <c r="Q137" i="22" s="1"/>
  <c r="P89" i="3" s="1"/>
  <c r="O80" i="3"/>
  <c r="P44" i="17"/>
  <c r="O81" i="3" s="1"/>
  <c r="P505" i="34"/>
  <c r="P563" i="34"/>
  <c r="P565" i="34" s="1"/>
  <c r="N108" i="34"/>
  <c r="N112" i="34"/>
  <c r="O34" i="3"/>
  <c r="R102" i="20"/>
  <c r="R100" i="20"/>
  <c r="P2039" i="6"/>
  <c r="M551" i="34"/>
  <c r="L65" i="34"/>
  <c r="O126" i="14" l="1"/>
  <c r="P179" i="14"/>
  <c r="Q88" i="14" s="1"/>
  <c r="Q135" i="14" s="1"/>
  <c r="O106" i="14"/>
  <c r="O112" i="34"/>
  <c r="N114" i="34"/>
  <c r="N115" i="34" s="1"/>
  <c r="O44" i="17"/>
  <c r="O118" i="17" s="1"/>
  <c r="P134" i="22"/>
  <c r="P137" i="22" s="1"/>
  <c r="O89" i="3" s="1"/>
  <c r="N411" i="34"/>
  <c r="N458" i="34"/>
  <c r="N459" i="34" s="1"/>
  <c r="O82" i="3"/>
  <c r="O563" i="34"/>
  <c r="O505" i="34"/>
  <c r="R391" i="8"/>
  <c r="P324" i="15" s="1"/>
  <c r="O453" i="34"/>
  <c r="L67" i="34"/>
  <c r="L443" i="34" s="1"/>
  <c r="L71" i="34"/>
  <c r="R88" i="14" l="1"/>
  <c r="Q134" i="14"/>
  <c r="AF19" i="14"/>
  <c r="R835" i="4" s="1"/>
  <c r="R135" i="14"/>
  <c r="P125" i="14"/>
  <c r="O565" i="34"/>
  <c r="P329" i="15"/>
  <c r="P453" i="34" s="1"/>
  <c r="P45" i="17"/>
  <c r="P118" i="17" s="1"/>
  <c r="P112" i="34"/>
  <c r="P114" i="34" s="1"/>
  <c r="P115" i="34" s="1"/>
  <c r="O114" i="34"/>
  <c r="O115" i="34" s="1"/>
  <c r="M71" i="34"/>
  <c r="N71" i="34" s="1"/>
  <c r="O71" i="34" s="1"/>
  <c r="P71" i="34" s="1"/>
  <c r="L73" i="34"/>
  <c r="L74" i="34" s="1"/>
  <c r="L444" i="34"/>
  <c r="L411" i="34"/>
  <c r="M9" i="12"/>
  <c r="P124" i="14" l="1"/>
  <c r="AD17" i="14"/>
  <c r="R289" i="4"/>
  <c r="AE19" i="14"/>
  <c r="Q197" i="14"/>
  <c r="R134" i="14"/>
  <c r="Q835" i="4"/>
  <c r="Q289" i="4" s="1"/>
  <c r="P73" i="34"/>
  <c r="P74" i="34" s="1"/>
  <c r="O73" i="34"/>
  <c r="O74" i="34" s="1"/>
  <c r="N73" i="34"/>
  <c r="N74" i="34" s="1"/>
  <c r="P404" i="4"/>
  <c r="N9" i="12" s="1"/>
  <c r="M73" i="34"/>
  <c r="M74" i="34" s="1"/>
  <c r="M96" i="12"/>
  <c r="AA7" i="10" s="1"/>
  <c r="AA36" i="10" s="1"/>
  <c r="O1078" i="6"/>
  <c r="P195" i="14" l="1"/>
  <c r="P126" i="14" s="1"/>
  <c r="AC17" i="14"/>
  <c r="Q179" i="14"/>
  <c r="Q136" i="14"/>
  <c r="R316" i="4"/>
  <c r="Q316" i="4"/>
  <c r="Q404" i="4"/>
  <c r="O9" i="12" s="1"/>
  <c r="BF209" i="9"/>
  <c r="BF211" i="9" s="1"/>
  <c r="O91" i="4"/>
  <c r="O288" i="6"/>
  <c r="P177" i="14" l="1"/>
  <c r="Q86" i="14" s="1"/>
  <c r="R86" i="14"/>
  <c r="P106" i="14"/>
  <c r="R404" i="4"/>
  <c r="P9" i="12" s="1"/>
  <c r="O45" i="4"/>
  <c r="P289" i="6"/>
  <c r="M142" i="13"/>
  <c r="N198" i="15"/>
  <c r="O1008" i="4" l="1"/>
  <c r="M48" i="3"/>
  <c r="N143" i="15"/>
  <c r="N353" i="34" s="1"/>
  <c r="N783" i="34"/>
  <c r="P64" i="6"/>
  <c r="N61" i="3" s="1"/>
  <c r="N64" i="3" s="1"/>
  <c r="N539" i="34" l="1"/>
  <c r="N366" i="34"/>
  <c r="N485" i="34" s="1"/>
  <c r="N473" i="34"/>
  <c r="N523" i="34"/>
  <c r="D799" i="6" l="1"/>
  <c r="D93" i="6"/>
  <c r="D105" i="6" l="1"/>
  <c r="F762" i="34"/>
  <c r="G78" i="6"/>
  <c r="H78" i="6" s="1"/>
  <c r="G767" i="6"/>
  <c r="G784" i="6"/>
  <c r="H784" i="6" s="1"/>
  <c r="I765" i="6"/>
  <c r="D767" i="6"/>
  <c r="D81" i="6"/>
  <c r="H767" i="6" l="1"/>
  <c r="G113" i="42"/>
  <c r="G81" i="6"/>
  <c r="H81" i="6" s="1"/>
  <c r="H113" i="42"/>
  <c r="D22" i="6"/>
  <c r="D801" i="6"/>
  <c r="G762" i="34"/>
  <c r="I78" i="6"/>
  <c r="I81" i="6" s="1"/>
  <c r="P113" i="42" s="1"/>
  <c r="D107" i="6"/>
  <c r="D6" i="6"/>
  <c r="I767" i="6"/>
  <c r="I784" i="6"/>
  <c r="J765" i="6"/>
  <c r="G93" i="6"/>
  <c r="H93" i="6" s="1"/>
  <c r="G799" i="6"/>
  <c r="H799" i="6" s="1"/>
  <c r="G6" i="6" l="1"/>
  <c r="Q101" i="48" s="1"/>
  <c r="J101" i="48"/>
  <c r="K101" i="48"/>
  <c r="I113" i="42"/>
  <c r="G801" i="6"/>
  <c r="H801" i="6" s="1"/>
  <c r="K113" i="42"/>
  <c r="G105" i="6"/>
  <c r="H105" i="6" s="1"/>
  <c r="D38" i="6"/>
  <c r="D803" i="6"/>
  <c r="H762" i="34"/>
  <c r="J78" i="6"/>
  <c r="J81" i="6" s="1"/>
  <c r="I799" i="6"/>
  <c r="I801" i="6" s="1"/>
  <c r="I803" i="6" s="1"/>
  <c r="I93" i="6"/>
  <c r="I105" i="6" s="1"/>
  <c r="Q113" i="42" s="1"/>
  <c r="R113" i="42" s="1"/>
  <c r="D2056" i="6"/>
  <c r="J767" i="6"/>
  <c r="J784" i="6"/>
  <c r="K765" i="6"/>
  <c r="I6" i="6"/>
  <c r="H6" i="6" l="1"/>
  <c r="G107" i="6"/>
  <c r="H107" i="6" s="1"/>
  <c r="G22" i="6"/>
  <c r="L113" i="42"/>
  <c r="M113" i="42" s="1"/>
  <c r="G803" i="6"/>
  <c r="H803" i="6" s="1"/>
  <c r="D812" i="6"/>
  <c r="I762" i="34"/>
  <c r="K78" i="6"/>
  <c r="K81" i="6" s="1"/>
  <c r="I22" i="6"/>
  <c r="I38" i="6" s="1"/>
  <c r="I107" i="6"/>
  <c r="I2056" i="6" s="1"/>
  <c r="J6" i="6"/>
  <c r="K767" i="6"/>
  <c r="K784" i="6"/>
  <c r="L765" i="6"/>
  <c r="J799" i="6"/>
  <c r="J801" i="6" s="1"/>
  <c r="J803" i="6" s="1"/>
  <c r="J93" i="6"/>
  <c r="J105" i="6" s="1"/>
  <c r="H22" i="6" l="1"/>
  <c r="P101" i="48"/>
  <c r="G2056" i="6"/>
  <c r="G38" i="6"/>
  <c r="H38" i="6" s="1"/>
  <c r="G812" i="6"/>
  <c r="H812" i="6" s="1"/>
  <c r="J762" i="34"/>
  <c r="L78" i="6"/>
  <c r="L81" i="6" s="1"/>
  <c r="J22" i="6"/>
  <c r="J38" i="6" s="1"/>
  <c r="L767" i="6"/>
  <c r="L784" i="6"/>
  <c r="M765" i="6"/>
  <c r="K799" i="6"/>
  <c r="K801" i="6" s="1"/>
  <c r="K803" i="6" s="1"/>
  <c r="K93" i="6"/>
  <c r="K105" i="6" s="1"/>
  <c r="K6" i="6"/>
  <c r="J107" i="6"/>
  <c r="K762" i="34" l="1"/>
  <c r="M78" i="6"/>
  <c r="M81" i="6" s="1"/>
  <c r="K22" i="6"/>
  <c r="K38" i="6" s="1"/>
  <c r="L799" i="6"/>
  <c r="L801" i="6" s="1"/>
  <c r="L803" i="6" s="1"/>
  <c r="L93" i="6"/>
  <c r="L105" i="6" s="1"/>
  <c r="J2056" i="6"/>
  <c r="M767" i="6"/>
  <c r="M784" i="6"/>
  <c r="N765" i="6"/>
  <c r="L6" i="6"/>
  <c r="K107" i="6"/>
  <c r="L762" i="34" l="1"/>
  <c r="N78" i="6"/>
  <c r="N81" i="6" s="1"/>
  <c r="L22" i="6"/>
  <c r="L38" i="6" s="1"/>
  <c r="L107" i="6"/>
  <c r="L2056" i="6" s="1"/>
  <c r="M6" i="6"/>
  <c r="K2056" i="6"/>
  <c r="N767" i="6"/>
  <c r="N784" i="6"/>
  <c r="O765" i="6"/>
  <c r="M799" i="6"/>
  <c r="M801" i="6" s="1"/>
  <c r="M803" i="6" s="1"/>
  <c r="M93" i="6"/>
  <c r="M105" i="6" s="1"/>
  <c r="P765" i="6" l="1"/>
  <c r="AA11" i="42" s="1"/>
  <c r="M762" i="34"/>
  <c r="O78" i="6"/>
  <c r="O81" i="6" s="1"/>
  <c r="M22" i="6"/>
  <c r="M38" i="6" s="1"/>
  <c r="O767" i="6"/>
  <c r="O784" i="6"/>
  <c r="N6" i="6"/>
  <c r="N799" i="6"/>
  <c r="N801" i="6" s="1"/>
  <c r="N803" i="6" s="1"/>
  <c r="N93" i="6"/>
  <c r="N105" i="6" s="1"/>
  <c r="M107" i="6"/>
  <c r="Q765" i="6" l="1"/>
  <c r="P767" i="6"/>
  <c r="P78" i="6"/>
  <c r="P81" i="6" s="1"/>
  <c r="P6" i="6" s="1"/>
  <c r="N762" i="34"/>
  <c r="N778" i="34" s="1"/>
  <c r="N213" i="3" s="1"/>
  <c r="P784" i="6"/>
  <c r="P93" i="6" s="1"/>
  <c r="P105" i="6" s="1"/>
  <c r="P22" i="6" s="1"/>
  <c r="N22" i="6"/>
  <c r="N38" i="6" s="1"/>
  <c r="M2056" i="6"/>
  <c r="O799" i="6"/>
  <c r="O801" i="6" s="1"/>
  <c r="O803" i="6" s="1"/>
  <c r="O93" i="6"/>
  <c r="O105" i="6" s="1"/>
  <c r="O6" i="6"/>
  <c r="N107" i="6"/>
  <c r="R765" i="6" l="1"/>
  <c r="AB11" i="42"/>
  <c r="O367" i="34" s="1"/>
  <c r="O762" i="34"/>
  <c r="O778" i="34" s="1"/>
  <c r="O782" i="34" s="1"/>
  <c r="O784" i="34" s="1"/>
  <c r="N367" i="34"/>
  <c r="N782" i="34"/>
  <c r="N784" i="34" s="1"/>
  <c r="Q784" i="6"/>
  <c r="Q767" i="6"/>
  <c r="Q78" i="6"/>
  <c r="Q81" i="6" s="1"/>
  <c r="P799" i="6"/>
  <c r="P801" i="6" s="1"/>
  <c r="P803" i="6" s="1"/>
  <c r="P812" i="6" s="1"/>
  <c r="P38" i="6"/>
  <c r="P107" i="6"/>
  <c r="O22" i="6"/>
  <c r="O38" i="6" s="1"/>
  <c r="O107" i="6"/>
  <c r="O2056" i="6" s="1"/>
  <c r="N2056" i="6"/>
  <c r="R784" i="6" l="1"/>
  <c r="R78" i="6"/>
  <c r="R81" i="6" s="1"/>
  <c r="P762" i="34"/>
  <c r="P778" i="34" s="1"/>
  <c r="P782" i="34" s="1"/>
  <c r="P784" i="34" s="1"/>
  <c r="R767" i="6"/>
  <c r="AC11" i="42"/>
  <c r="O213" i="3"/>
  <c r="N11" i="42"/>
  <c r="O43" i="15"/>
  <c r="O12" i="15" s="1"/>
  <c r="AB72" i="42"/>
  <c r="Q6" i="6"/>
  <c r="Q799" i="6"/>
  <c r="Q801" i="6" s="1"/>
  <c r="Q803" i="6" s="1"/>
  <c r="Q812" i="6" s="1"/>
  <c r="Q93" i="6"/>
  <c r="Q105" i="6" s="1"/>
  <c r="Q22" i="6" s="1"/>
  <c r="P109" i="6"/>
  <c r="P2056" i="6"/>
  <c r="C81" i="6"/>
  <c r="N72" i="42" l="1"/>
  <c r="O354" i="34"/>
  <c r="R6" i="6"/>
  <c r="P367" i="34"/>
  <c r="AC72" i="42"/>
  <c r="O11" i="42"/>
  <c r="P43" i="15"/>
  <c r="P12" i="15" s="1"/>
  <c r="P213" i="3"/>
  <c r="R93" i="6"/>
  <c r="R105" i="6" s="1"/>
  <c r="R22" i="6" s="1"/>
  <c r="R799" i="6"/>
  <c r="R801" i="6" s="1"/>
  <c r="R803" i="6" s="1"/>
  <c r="R812" i="6" s="1"/>
  <c r="Q107" i="6"/>
  <c r="Q38" i="6"/>
  <c r="P2036" i="6"/>
  <c r="P120" i="6"/>
  <c r="B113" i="42"/>
  <c r="C107" i="6"/>
  <c r="C6" i="6"/>
  <c r="C38" i="6" s="1"/>
  <c r="O72" i="42" l="1"/>
  <c r="P354" i="34"/>
  <c r="R38" i="6"/>
  <c r="R107" i="6"/>
  <c r="Q2056" i="6"/>
  <c r="Q109" i="6"/>
  <c r="C2056" i="6"/>
  <c r="C19" i="6"/>
  <c r="B26" i="13" s="1"/>
  <c r="B125" i="42"/>
  <c r="D113" i="42"/>
  <c r="R109" i="6" l="1"/>
  <c r="R2056" i="6"/>
  <c r="Q2036" i="6"/>
  <c r="Q120" i="6"/>
  <c r="B44" i="13"/>
  <c r="Q10" i="42" s="1"/>
  <c r="B42" i="15" s="1"/>
  <c r="B138" i="42"/>
  <c r="R120" i="6" l="1"/>
  <c r="R2036" i="6"/>
  <c r="B144" i="42"/>
  <c r="B116" i="13" l="1"/>
  <c r="B187" i="15"/>
  <c r="B132" i="15" s="1"/>
  <c r="D807" i="34" l="1"/>
  <c r="Q14" i="42"/>
  <c r="Q73" i="42"/>
  <c r="Q74" i="42" s="1"/>
  <c r="Q87" i="42" s="1"/>
  <c r="B47" i="15" l="1"/>
  <c r="B11" i="15"/>
  <c r="B16" i="15" s="1"/>
  <c r="D287" i="34" s="1"/>
  <c r="D350" i="34" l="1"/>
  <c r="D358" i="34" s="1"/>
  <c r="D302" i="34"/>
  <c r="D520" i="34"/>
  <c r="D291" i="34"/>
  <c r="D470" i="34" l="1"/>
  <c r="D355" i="34"/>
  <c r="D359" i="34" s="1"/>
  <c r="D363" i="34"/>
  <c r="D308" i="34"/>
  <c r="D315" i="34" s="1"/>
  <c r="D536" i="34"/>
  <c r="D297" i="34"/>
  <c r="G11" i="26"/>
  <c r="G10" i="26"/>
  <c r="G12" i="26" s="1"/>
  <c r="D482" i="34" l="1"/>
  <c r="D371" i="34"/>
  <c r="D368" i="34"/>
  <c r="H11" i="26"/>
  <c r="H10" i="26"/>
  <c r="H12" i="26" l="1"/>
  <c r="H72" i="26"/>
  <c r="D372" i="34"/>
  <c r="D826" i="34" s="1"/>
  <c r="B248" i="3"/>
  <c r="I11" i="26"/>
  <c r="I6" i="26"/>
  <c r="I10" i="26"/>
  <c r="I72" i="26" s="1"/>
  <c r="D186" i="34" l="1"/>
  <c r="D791" i="34"/>
  <c r="D802" i="34" s="1"/>
  <c r="I12" i="26"/>
  <c r="I7" i="26"/>
  <c r="J7" i="26"/>
  <c r="AD17" i="42"/>
  <c r="AD18" i="42" l="1"/>
  <c r="A81" i="15"/>
  <c r="A83" i="15" l="1"/>
  <c r="A87" i="15" s="1"/>
  <c r="AF17" i="42"/>
  <c r="AE17" i="42"/>
  <c r="J12" i="26"/>
  <c r="AR17" i="42" s="1"/>
  <c r="AR18" i="42" l="1"/>
  <c r="A89" i="15"/>
  <c r="C324" i="34"/>
  <c r="C81" i="15"/>
  <c r="C159" i="42"/>
  <c r="AT17" i="42"/>
  <c r="B81" i="15"/>
  <c r="A112" i="15"/>
  <c r="A91" i="15"/>
  <c r="A240" i="3" s="1"/>
  <c r="B17" i="42"/>
  <c r="B77" i="42" s="1"/>
  <c r="AD24" i="42"/>
  <c r="AD26" i="42" s="1"/>
  <c r="B88" i="42" l="1"/>
  <c r="O90" i="42"/>
  <c r="O77" i="42"/>
  <c r="A114" i="15"/>
  <c r="A118" i="15" s="1"/>
  <c r="C338" i="34" s="1"/>
  <c r="C556" i="34"/>
  <c r="C559" i="34" s="1"/>
  <c r="C327" i="34"/>
  <c r="C328" i="34" s="1"/>
  <c r="C330" i="34" s="1"/>
  <c r="C175" i="34" s="1"/>
  <c r="C176" i="34" s="1"/>
  <c r="D159" i="42"/>
  <c r="C112" i="15"/>
  <c r="A19" i="15"/>
  <c r="AD36" i="42"/>
  <c r="AD56" i="42" s="1"/>
  <c r="C570" i="34" l="1"/>
  <c r="C574" i="34" s="1"/>
  <c r="C575" i="34" s="1"/>
  <c r="C255" i="34" s="1"/>
  <c r="C341" i="34"/>
  <c r="C342" i="34" s="1"/>
  <c r="C344" i="34" s="1"/>
  <c r="C178" i="34" s="1"/>
  <c r="C179" i="34" s="1"/>
  <c r="A122" i="15"/>
  <c r="A241" i="3" s="1"/>
  <c r="A120" i="15"/>
  <c r="AD58" i="42"/>
  <c r="AR24" i="42"/>
  <c r="AR26" i="42" s="1"/>
  <c r="B89" i="42" l="1"/>
  <c r="O88" i="42"/>
  <c r="AD62" i="42"/>
  <c r="AR36" i="42"/>
  <c r="AR56" i="42" s="1"/>
  <c r="AR58" i="42" l="1"/>
  <c r="B58" i="42" l="1"/>
  <c r="AR62" i="42"/>
  <c r="H760" i="34" l="1"/>
  <c r="H778" i="34" s="1"/>
  <c r="H782" i="34" s="1"/>
  <c r="E760" i="34"/>
  <c r="E778" i="34" s="1"/>
  <c r="G760" i="34"/>
  <c r="G778" i="34" s="1"/>
  <c r="G782" i="34" s="1"/>
  <c r="I760" i="34"/>
  <c r="I778" i="34" s="1"/>
  <c r="I782" i="34" s="1"/>
  <c r="F760" i="34"/>
  <c r="F778" i="34" s="1"/>
  <c r="L760" i="34"/>
  <c r="L778" i="34" s="1"/>
  <c r="L782" i="34" s="1"/>
  <c r="K760" i="34"/>
  <c r="K778" i="34" s="1"/>
  <c r="K782" i="34" s="1"/>
  <c r="J760" i="34"/>
  <c r="J778" i="34" s="1"/>
  <c r="J782" i="34" s="1"/>
  <c r="M760" i="34"/>
  <c r="M778" i="34" s="1"/>
  <c r="M782" i="34" s="1"/>
  <c r="I534" i="6"/>
  <c r="I536" i="6" s="1"/>
  <c r="P121" i="42" s="1"/>
  <c r="G534" i="6"/>
  <c r="L534" i="6"/>
  <c r="L536" i="6" s="1"/>
  <c r="J534" i="6"/>
  <c r="J536" i="6" s="1"/>
  <c r="K534" i="6"/>
  <c r="K536" i="6" s="1"/>
  <c r="I1657" i="6"/>
  <c r="T11" i="42" s="1"/>
  <c r="I1680" i="6"/>
  <c r="I1685" i="6" s="1"/>
  <c r="N534" i="6"/>
  <c r="N536" i="6" s="1"/>
  <c r="G1657" i="6"/>
  <c r="S11" i="42" s="1"/>
  <c r="D1657" i="6"/>
  <c r="R11" i="42" s="1"/>
  <c r="O1657" i="6"/>
  <c r="Z11" i="42" s="1"/>
  <c r="O534" i="6"/>
  <c r="O536" i="6" s="1"/>
  <c r="M534" i="6"/>
  <c r="M536" i="6" s="1"/>
  <c r="M14" i="6" s="1"/>
  <c r="H1680" i="6"/>
  <c r="J1680" i="6"/>
  <c r="J1657" i="6"/>
  <c r="U11" i="42" s="1"/>
  <c r="K1680" i="6"/>
  <c r="K1657" i="6"/>
  <c r="V11" i="42" s="1"/>
  <c r="L1680" i="6"/>
  <c r="L1657" i="6"/>
  <c r="W11" i="42" s="1"/>
  <c r="D534" i="6"/>
  <c r="M1657" i="6"/>
  <c r="X11" i="42" s="1"/>
  <c r="K213" i="3" s="1"/>
  <c r="N1680" i="6"/>
  <c r="N1685" i="6" s="1"/>
  <c r="N1657" i="6"/>
  <c r="Y11" i="42" s="1"/>
  <c r="M1680" i="6"/>
  <c r="M1685" i="6" s="1"/>
  <c r="O1680" i="6"/>
  <c r="F213" i="3" l="1"/>
  <c r="H213" i="3"/>
  <c r="G213" i="3"/>
  <c r="I213" i="3"/>
  <c r="J213" i="3"/>
  <c r="M213" i="3"/>
  <c r="C213" i="3"/>
  <c r="L213" i="3"/>
  <c r="F782" i="34"/>
  <c r="F784" i="34" s="1"/>
  <c r="L43" i="15"/>
  <c r="H1657" i="6"/>
  <c r="H534" i="6"/>
  <c r="G1685" i="6"/>
  <c r="G1687" i="6" s="1"/>
  <c r="G536" i="6"/>
  <c r="G14" i="6" s="1"/>
  <c r="Q109" i="48" s="1"/>
  <c r="N43" i="15"/>
  <c r="AA72" i="42"/>
  <c r="E782" i="34"/>
  <c r="E784" i="34" s="1"/>
  <c r="J43" i="15"/>
  <c r="I43" i="15"/>
  <c r="M43" i="15"/>
  <c r="D1685" i="6"/>
  <c r="D536" i="6"/>
  <c r="J784" i="34"/>
  <c r="I784" i="34"/>
  <c r="K784" i="34"/>
  <c r="L784" i="34"/>
  <c r="H784" i="34"/>
  <c r="G784" i="34"/>
  <c r="M784" i="34"/>
  <c r="I543" i="6"/>
  <c r="I548" i="6" s="1"/>
  <c r="M543" i="6"/>
  <c r="M548" i="6" s="1"/>
  <c r="M30" i="6" s="1"/>
  <c r="M46" i="6" s="1"/>
  <c r="M1687" i="6"/>
  <c r="M1689" i="6" s="1"/>
  <c r="M1700" i="6" s="1"/>
  <c r="N543" i="6"/>
  <c r="N548" i="6" s="1"/>
  <c r="N30" i="6" s="1"/>
  <c r="G543" i="6"/>
  <c r="O1685" i="6"/>
  <c r="O1687" i="6" s="1"/>
  <c r="O1689" i="6" s="1"/>
  <c r="O1700" i="6" s="1"/>
  <c r="O543" i="6"/>
  <c r="O548" i="6" s="1"/>
  <c r="O30" i="6" s="1"/>
  <c r="N14" i="6"/>
  <c r="J1685" i="6"/>
  <c r="J1687" i="6" s="1"/>
  <c r="J1689" i="6" s="1"/>
  <c r="J1700" i="6" s="1"/>
  <c r="J543" i="6"/>
  <c r="J548" i="6" s="1"/>
  <c r="J30" i="6" s="1"/>
  <c r="L1685" i="6"/>
  <c r="L1687" i="6" s="1"/>
  <c r="L1689" i="6" s="1"/>
  <c r="L1700" i="6" s="1"/>
  <c r="L543" i="6"/>
  <c r="L548" i="6" s="1"/>
  <c r="L30" i="6" s="1"/>
  <c r="K1685" i="6"/>
  <c r="K1687" i="6" s="1"/>
  <c r="K1689" i="6" s="1"/>
  <c r="K1700" i="6" s="1"/>
  <c r="K543" i="6"/>
  <c r="K548" i="6" s="1"/>
  <c r="K30" i="6" s="1"/>
  <c r="O14" i="6"/>
  <c r="K14" i="6"/>
  <c r="J14" i="6"/>
  <c r="I14" i="6"/>
  <c r="N1687" i="6"/>
  <c r="N1689" i="6" s="1"/>
  <c r="N1700" i="6" s="1"/>
  <c r="D543" i="6"/>
  <c r="I1687" i="6"/>
  <c r="I1689" i="6" s="1"/>
  <c r="I1700" i="6" s="1"/>
  <c r="L14" i="6"/>
  <c r="K43" i="15" l="1"/>
  <c r="H43" i="15"/>
  <c r="H536" i="6"/>
  <c r="H543" i="6"/>
  <c r="B155" i="42"/>
  <c r="H1685" i="6"/>
  <c r="K121" i="42"/>
  <c r="G1689" i="6"/>
  <c r="G548" i="6"/>
  <c r="G30" i="6" s="1"/>
  <c r="P109" i="48" s="1"/>
  <c r="E43" i="15"/>
  <c r="B237" i="42" s="1"/>
  <c r="I30" i="6"/>
  <c r="I46" i="6" s="1"/>
  <c r="Q121" i="42"/>
  <c r="R121" i="42" s="1"/>
  <c r="G121" i="42"/>
  <c r="R72" i="42"/>
  <c r="H367" i="34"/>
  <c r="L367" i="34"/>
  <c r="G367" i="34"/>
  <c r="G43" i="15"/>
  <c r="I367" i="34"/>
  <c r="O46" i="6"/>
  <c r="N46" i="6"/>
  <c r="K46" i="6"/>
  <c r="J46" i="6"/>
  <c r="L46" i="6"/>
  <c r="D14" i="6"/>
  <c r="D1687" i="6"/>
  <c r="D548" i="6"/>
  <c r="C43" i="15"/>
  <c r="X72" i="42"/>
  <c r="S72" i="42"/>
  <c r="F367" i="34"/>
  <c r="K367" i="34"/>
  <c r="E367" i="34"/>
  <c r="Z72" i="42"/>
  <c r="W72" i="42"/>
  <c r="J367" i="34"/>
  <c r="M367" i="34"/>
  <c r="V72" i="42"/>
  <c r="T72" i="42"/>
  <c r="U72" i="42"/>
  <c r="Y72" i="42"/>
  <c r="M550" i="6"/>
  <c r="M2064" i="6" s="1"/>
  <c r="N550" i="6"/>
  <c r="N552" i="6" s="1"/>
  <c r="I550" i="6"/>
  <c r="I2064" i="6" s="1"/>
  <c r="L550" i="6"/>
  <c r="L552" i="6" s="1"/>
  <c r="J550" i="6"/>
  <c r="J552" i="6" s="1"/>
  <c r="K550" i="6"/>
  <c r="K552" i="6" s="1"/>
  <c r="O550" i="6"/>
  <c r="O2064" i="6" s="1"/>
  <c r="L121" i="42" l="1"/>
  <c r="M121" i="42" s="1"/>
  <c r="H548" i="6"/>
  <c r="G550" i="6"/>
  <c r="G2064" i="6" s="1"/>
  <c r="D1689" i="6"/>
  <c r="H1689" i="6" s="1"/>
  <c r="H1687" i="6"/>
  <c r="K109" i="48"/>
  <c r="H14" i="6"/>
  <c r="G1700" i="6"/>
  <c r="G46" i="6"/>
  <c r="F43" i="15"/>
  <c r="D550" i="6"/>
  <c r="H121" i="42"/>
  <c r="I121" i="42" s="1"/>
  <c r="D30" i="6"/>
  <c r="M552" i="6"/>
  <c r="N2064" i="6"/>
  <c r="I552" i="6"/>
  <c r="K2064" i="6"/>
  <c r="L2064" i="6"/>
  <c r="O552" i="6"/>
  <c r="J2064" i="6"/>
  <c r="J2044" i="6"/>
  <c r="J563" i="6"/>
  <c r="N2044" i="6"/>
  <c r="N563" i="6"/>
  <c r="K563" i="6"/>
  <c r="K2044" i="6"/>
  <c r="L2044" i="6"/>
  <c r="L563" i="6"/>
  <c r="D1700" i="6" l="1"/>
  <c r="H550" i="6"/>
  <c r="G552" i="6"/>
  <c r="G2044" i="6" s="1"/>
  <c r="J109" i="48"/>
  <c r="H30" i="6"/>
  <c r="D2064" i="6"/>
  <c r="D552" i="6"/>
  <c r="D46" i="6"/>
  <c r="M563" i="6"/>
  <c r="O563" i="6"/>
  <c r="I563" i="6"/>
  <c r="I2044" i="6"/>
  <c r="M2044" i="6"/>
  <c r="O2044" i="6"/>
  <c r="H1700" i="6" l="1"/>
  <c r="G563" i="6"/>
  <c r="C222" i="42" s="1"/>
  <c r="H552" i="6"/>
  <c r="H46" i="6"/>
  <c r="D2044" i="6"/>
  <c r="D563" i="6"/>
  <c r="H563" i="6" l="1"/>
  <c r="D222" i="42"/>
  <c r="I116" i="6"/>
  <c r="I118" i="6"/>
  <c r="I812" i="6" l="1"/>
  <c r="J116" i="6" l="1"/>
  <c r="J118" i="6" l="1"/>
  <c r="J812" i="6" l="1"/>
  <c r="K116" i="6" l="1"/>
  <c r="K118" i="6"/>
  <c r="K812" i="6" l="1"/>
  <c r="L118" i="6" l="1"/>
  <c r="L116" i="6" l="1"/>
  <c r="L812" i="6"/>
  <c r="M116" i="6" l="1"/>
  <c r="M118" i="6"/>
  <c r="M812" i="6" l="1"/>
  <c r="N116" i="6" l="1"/>
  <c r="N118" i="6"/>
  <c r="N812" i="6" l="1"/>
  <c r="O116" i="6" l="1"/>
  <c r="O118" i="6"/>
  <c r="O812" i="6" l="1"/>
  <c r="M207" i="48" l="1"/>
  <c r="N207" i="48"/>
  <c r="F207" i="48"/>
  <c r="F212" i="48" l="1"/>
  <c r="F209" i="48"/>
  <c r="N212" i="48"/>
  <c r="N209" i="48"/>
  <c r="M212" i="48"/>
  <c r="M209" i="48"/>
  <c r="A2069" i="6" l="1"/>
  <c r="A109" i="6"/>
  <c r="A120" i="6" s="1"/>
  <c r="A2036" i="6" l="1"/>
  <c r="A2049" i="6" s="1"/>
  <c r="A2071" i="6" s="1"/>
  <c r="A2077" i="6" s="1"/>
  <c r="B109" i="6"/>
  <c r="B2069" i="6"/>
  <c r="B120" i="6" l="1"/>
  <c r="B2036" i="6"/>
  <c r="B2049" i="6" s="1"/>
  <c r="B2071" i="6" s="1"/>
  <c r="B2077" i="6" s="1"/>
  <c r="A27" i="13" l="1"/>
  <c r="A107" i="13" l="1"/>
  <c r="A48" i="13"/>
  <c r="C18" i="34" l="1"/>
  <c r="C141" i="34" s="1"/>
  <c r="A64" i="13"/>
  <c r="A9" i="3" s="1"/>
  <c r="A10" i="3" s="1"/>
  <c r="A191" i="15"/>
  <c r="P20" i="42"/>
  <c r="A28" i="13"/>
  <c r="A33" i="13" s="1"/>
  <c r="A45" i="13"/>
  <c r="A117" i="13" s="1"/>
  <c r="B67" i="6"/>
  <c r="P80" i="42" l="1"/>
  <c r="A213" i="15"/>
  <c r="A136" i="15"/>
  <c r="C139" i="34"/>
  <c r="A53" i="15"/>
  <c r="A22" i="15" s="1"/>
  <c r="P29" i="42"/>
  <c r="A121" i="13"/>
  <c r="B20" i="42"/>
  <c r="B80" i="42" s="1"/>
  <c r="A46" i="13"/>
  <c r="A52" i="13" s="1"/>
  <c r="A188" i="15"/>
  <c r="A118" i="13"/>
  <c r="A120" i="13" s="1"/>
  <c r="A59" i="13" l="1"/>
  <c r="A17" i="3"/>
  <c r="A18" i="3" s="1"/>
  <c r="A126" i="13"/>
  <c r="A138" i="13" s="1"/>
  <c r="A133" i="15"/>
  <c r="C124" i="48" s="1"/>
  <c r="C808" i="34"/>
  <c r="C809" i="34" s="1"/>
  <c r="P18" i="42"/>
  <c r="B29" i="42"/>
  <c r="A189" i="15"/>
  <c r="A195" i="15" s="1"/>
  <c r="A158" i="15"/>
  <c r="A52" i="15" l="1"/>
  <c r="A21" i="15" s="1"/>
  <c r="P78" i="42"/>
  <c r="P82" i="42" s="1"/>
  <c r="P24" i="42"/>
  <c r="P26" i="42" s="1"/>
  <c r="B90" i="42" s="1"/>
  <c r="B87" i="42" s="1"/>
  <c r="B18" i="42"/>
  <c r="B78" i="42" s="1"/>
  <c r="B82" i="42" s="1"/>
  <c r="B84" i="42" s="1"/>
  <c r="A134" i="15"/>
  <c r="A140" i="15" s="1"/>
  <c r="C486" i="34"/>
  <c r="P88" i="42" l="1"/>
  <c r="P84" i="42"/>
  <c r="P89" i="42" s="1"/>
  <c r="P36" i="42"/>
  <c r="P56" i="42" s="1"/>
  <c r="B56" i="42" s="1"/>
  <c r="A56" i="15"/>
  <c r="A25" i="15"/>
  <c r="C292" i="34" s="1"/>
  <c r="B24" i="42"/>
  <c r="B26" i="42"/>
  <c r="C487" i="34"/>
  <c r="C474" i="34"/>
  <c r="A250" i="3" s="1"/>
  <c r="A83" i="13"/>
  <c r="A88" i="13" s="1"/>
  <c r="A220" i="15"/>
  <c r="C295" i="34" l="1"/>
  <c r="C524" i="34"/>
  <c r="C529" i="34" s="1"/>
  <c r="A58" i="15"/>
  <c r="C309" i="34"/>
  <c r="B36" i="42"/>
  <c r="C229" i="34"/>
  <c r="C230" i="34" s="1"/>
  <c r="C796" i="34"/>
  <c r="C801" i="34" s="1"/>
  <c r="A60" i="15"/>
  <c r="A239" i="3" s="1"/>
  <c r="A29" i="15"/>
  <c r="A238" i="3" s="1"/>
  <c r="A27" i="15"/>
  <c r="C475" i="34"/>
  <c r="C226" i="34" s="1"/>
  <c r="A225" i="15"/>
  <c r="A231" i="15" s="1"/>
  <c r="A165" i="15"/>
  <c r="C540" i="34" l="1"/>
  <c r="C545" i="34" s="1"/>
  <c r="C546" i="34" s="1"/>
  <c r="C251" i="34" s="1"/>
  <c r="C654" i="34"/>
  <c r="C657" i="34" s="1"/>
  <c r="C664" i="34" s="1"/>
  <c r="C667" i="34" s="1"/>
  <c r="C313" i="34"/>
  <c r="C314" i="34" s="1"/>
  <c r="C316" i="34" s="1"/>
  <c r="C530" i="34"/>
  <c r="C249" i="34" s="1"/>
  <c r="C296" i="34"/>
  <c r="C298" i="34" s="1"/>
  <c r="C169" i="34" s="1"/>
  <c r="C170" i="34" s="1"/>
  <c r="C227" i="34"/>
  <c r="C133" i="34"/>
  <c r="C404" i="34" s="1"/>
  <c r="C10" i="34"/>
  <c r="A141" i="13"/>
  <c r="A144" i="13" s="1"/>
  <c r="A146" i="13" s="1"/>
  <c r="A92" i="3" s="1"/>
  <c r="A280" i="3"/>
  <c r="P60" i="42"/>
  <c r="A91" i="13"/>
  <c r="A267" i="3" s="1"/>
  <c r="A226" i="15"/>
  <c r="A170" i="15"/>
  <c r="A251" i="3" l="1"/>
  <c r="A247" i="3"/>
  <c r="C790" i="34"/>
  <c r="C805" i="34" s="1"/>
  <c r="C172" i="34"/>
  <c r="C173" i="34" s="1"/>
  <c r="C220" i="34"/>
  <c r="C795" i="34" s="1"/>
  <c r="C804" i="34" s="1"/>
  <c r="C668" i="34"/>
  <c r="A171" i="15"/>
  <c r="C419" i="34"/>
  <c r="C423" i="34" s="1"/>
  <c r="C431" i="34" s="1"/>
  <c r="C271" i="34" s="1"/>
  <c r="C797" i="34" s="1"/>
  <c r="C19" i="34"/>
  <c r="C34" i="34" s="1"/>
  <c r="C37" i="34" s="1"/>
  <c r="B60" i="42"/>
  <c r="B62" i="42" s="1"/>
  <c r="A212" i="3" s="1"/>
  <c r="P62" i="42"/>
  <c r="N212" i="3" s="1"/>
  <c r="C674" i="34"/>
  <c r="A232" i="15"/>
  <c r="A176" i="15"/>
  <c r="C109" i="6"/>
  <c r="C279" i="34" l="1"/>
  <c r="C39" i="34"/>
  <c r="A177" i="15"/>
  <c r="A243" i="3" s="1"/>
  <c r="C408" i="34"/>
  <c r="C2036" i="6"/>
  <c r="C120" i="6"/>
  <c r="C415" i="34" l="1"/>
  <c r="C269" i="34" l="1"/>
  <c r="B30" i="13" l="1"/>
  <c r="G206" i="42" l="1"/>
  <c r="E206" i="42"/>
  <c r="N109" i="6" l="1"/>
  <c r="G109" i="6"/>
  <c r="O109" i="6"/>
  <c r="I109" i="6"/>
  <c r="D109" i="6"/>
  <c r="J109" i="6"/>
  <c r="L109" i="6"/>
  <c r="K109" i="6"/>
  <c r="M109" i="6"/>
  <c r="H109" i="6" l="1"/>
  <c r="O2036" i="6"/>
  <c r="L2036" i="6"/>
  <c r="J120" i="6"/>
  <c r="G120" i="6"/>
  <c r="C215" i="42" s="1"/>
  <c r="K2036" i="6"/>
  <c r="D120" i="6"/>
  <c r="N120" i="6"/>
  <c r="D2036" i="6"/>
  <c r="L120" i="6"/>
  <c r="J2036" i="6"/>
  <c r="N2036" i="6"/>
  <c r="M2036" i="6"/>
  <c r="I120" i="6"/>
  <c r="I2036" i="6"/>
  <c r="M120" i="6"/>
  <c r="K120" i="6"/>
  <c r="G2036" i="6"/>
  <c r="O120" i="6"/>
  <c r="H120" i="6" l="1"/>
  <c r="D215" i="42"/>
  <c r="K107" i="13"/>
  <c r="K64" i="13" s="1"/>
  <c r="L9" i="3" s="1"/>
  <c r="L10" i="3" s="1"/>
  <c r="K30" i="13"/>
  <c r="G30" i="13"/>
  <c r="C30" i="13"/>
  <c r="E30" i="13"/>
  <c r="I30" i="13"/>
  <c r="C48" i="13" l="1"/>
  <c r="K121" i="13"/>
  <c r="G107" i="13"/>
  <c r="G64" i="13" s="1"/>
  <c r="H9" i="3" s="1"/>
  <c r="H10" i="3" s="1"/>
  <c r="I107" i="13"/>
  <c r="I64" i="13" s="1"/>
  <c r="J9" i="3" s="1"/>
  <c r="J10" i="3" s="1"/>
  <c r="E107" i="13"/>
  <c r="E64" i="13" s="1"/>
  <c r="F9" i="3" s="1"/>
  <c r="C107" i="13"/>
  <c r="K48" i="13"/>
  <c r="Y20" i="42" s="1"/>
  <c r="G48" i="13"/>
  <c r="E48" i="13"/>
  <c r="J30" i="13"/>
  <c r="I48" i="13"/>
  <c r="F10" i="3" l="1"/>
  <c r="L53" i="15"/>
  <c r="L22" i="15" s="1"/>
  <c r="C191" i="15"/>
  <c r="R20" i="42"/>
  <c r="R29" i="42" s="1"/>
  <c r="Y29" i="42"/>
  <c r="K29" i="42" s="1"/>
  <c r="Y80" i="42"/>
  <c r="H191" i="15"/>
  <c r="U20" i="42"/>
  <c r="J191" i="15"/>
  <c r="W20" i="42"/>
  <c r="E191" i="15"/>
  <c r="S20" i="42"/>
  <c r="C64" i="13"/>
  <c r="C9" i="3" s="1"/>
  <c r="C10" i="3" s="1"/>
  <c r="E121" i="13"/>
  <c r="I121" i="13"/>
  <c r="J107" i="13"/>
  <c r="J64" i="13" s="1"/>
  <c r="K9" i="3" s="1"/>
  <c r="K10" i="3" s="1"/>
  <c r="G121" i="13"/>
  <c r="L191" i="15"/>
  <c r="J48" i="13"/>
  <c r="H30" i="13"/>
  <c r="L30" i="13"/>
  <c r="F30" i="13"/>
  <c r="F191" i="15" l="1"/>
  <c r="L136" i="15"/>
  <c r="E53" i="15"/>
  <c r="B248" i="42" s="1"/>
  <c r="B162" i="42"/>
  <c r="B168" i="42" s="1"/>
  <c r="J213" i="15"/>
  <c r="J136" i="15"/>
  <c r="E213" i="15"/>
  <c r="E136" i="15"/>
  <c r="H213" i="15"/>
  <c r="H136" i="15"/>
  <c r="C213" i="15"/>
  <c r="C136" i="15"/>
  <c r="C53" i="15"/>
  <c r="H53" i="15"/>
  <c r="H22" i="15" s="1"/>
  <c r="J53" i="15"/>
  <c r="J22" i="15" s="1"/>
  <c r="D29" i="42"/>
  <c r="R80" i="42"/>
  <c r="S29" i="42"/>
  <c r="E29" i="42" s="1"/>
  <c r="S80" i="42"/>
  <c r="U29" i="42"/>
  <c r="G29" i="42" s="1"/>
  <c r="U80" i="42"/>
  <c r="W29" i="42"/>
  <c r="I29" i="42" s="1"/>
  <c r="W80" i="42"/>
  <c r="C121" i="13"/>
  <c r="K191" i="15"/>
  <c r="X20" i="42"/>
  <c r="H544" i="34"/>
  <c r="F544" i="34"/>
  <c r="E544" i="34"/>
  <c r="L544" i="34"/>
  <c r="J544" i="34"/>
  <c r="J121" i="13"/>
  <c r="F107" i="13"/>
  <c r="F64" i="13" s="1"/>
  <c r="G9" i="3" s="1"/>
  <c r="G10" i="3" s="1"/>
  <c r="H107" i="13"/>
  <c r="H64" i="13" s="1"/>
  <c r="I9" i="3" s="1"/>
  <c r="I10" i="3" s="1"/>
  <c r="L107" i="13"/>
  <c r="L64" i="13" s="1"/>
  <c r="M9" i="3" s="1"/>
  <c r="M10" i="3" s="1"/>
  <c r="K20" i="42"/>
  <c r="L213" i="15"/>
  <c r="D20" i="42"/>
  <c r="F48" i="13"/>
  <c r="I20" i="42"/>
  <c r="L48" i="13"/>
  <c r="G20" i="42"/>
  <c r="E20" i="42"/>
  <c r="H48" i="13"/>
  <c r="F213" i="15" l="1"/>
  <c r="F136" i="15"/>
  <c r="F53" i="15"/>
  <c r="E22" i="15"/>
  <c r="E248" i="42" s="1"/>
  <c r="I80" i="42"/>
  <c r="J528" i="34"/>
  <c r="G80" i="42"/>
  <c r="H528" i="34"/>
  <c r="D80" i="42"/>
  <c r="E528" i="34"/>
  <c r="E80" i="42"/>
  <c r="F528" i="34"/>
  <c r="K80" i="42"/>
  <c r="L528" i="34"/>
  <c r="K213" i="15"/>
  <c r="K136" i="15"/>
  <c r="C22" i="15"/>
  <c r="K53" i="15"/>
  <c r="K22" i="15" s="1"/>
  <c r="X29" i="42"/>
  <c r="J29" i="42" s="1"/>
  <c r="X80" i="42"/>
  <c r="G191" i="15"/>
  <c r="T20" i="42"/>
  <c r="M191" i="15"/>
  <c r="Z20" i="42"/>
  <c r="I191" i="15"/>
  <c r="V20" i="42"/>
  <c r="K544" i="34"/>
  <c r="H121" i="13"/>
  <c r="F121" i="13"/>
  <c r="L121" i="13"/>
  <c r="J158" i="15"/>
  <c r="H158" i="15"/>
  <c r="C158" i="15"/>
  <c r="E158" i="15"/>
  <c r="L158" i="15"/>
  <c r="J20" i="42"/>
  <c r="F22" i="15" l="1"/>
  <c r="F158" i="15"/>
  <c r="J80" i="42"/>
  <c r="K528" i="34"/>
  <c r="I136" i="15"/>
  <c r="M213" i="15"/>
  <c r="M136" i="15"/>
  <c r="G136" i="15"/>
  <c r="I53" i="15"/>
  <c r="I22" i="15" s="1"/>
  <c r="G53" i="15"/>
  <c r="G22" i="15" s="1"/>
  <c r="M53" i="15"/>
  <c r="M22" i="15" s="1"/>
  <c r="I213" i="15"/>
  <c r="Z29" i="42"/>
  <c r="Z80" i="42"/>
  <c r="V29" i="42"/>
  <c r="H29" i="42" s="1"/>
  <c r="V80" i="42"/>
  <c r="T29" i="42"/>
  <c r="F29" i="42" s="1"/>
  <c r="T80" i="42"/>
  <c r="G213" i="15"/>
  <c r="G544" i="34"/>
  <c r="M544" i="34"/>
  <c r="I544" i="34"/>
  <c r="K158" i="15"/>
  <c r="F20" i="42"/>
  <c r="L20" i="42"/>
  <c r="H20" i="42"/>
  <c r="L80" i="42" l="1"/>
  <c r="M528" i="34"/>
  <c r="F80" i="42"/>
  <c r="G528" i="34"/>
  <c r="H80" i="42"/>
  <c r="I528" i="34"/>
  <c r="L29" i="42"/>
  <c r="M158" i="15"/>
  <c r="G158" i="15"/>
  <c r="I158" i="15"/>
  <c r="B867" i="6" l="1"/>
  <c r="B870" i="6" s="1"/>
  <c r="A867" i="6"/>
  <c r="A870" i="6" l="1"/>
  <c r="A878" i="6" s="1"/>
  <c r="B878" i="6"/>
  <c r="A122" i="3" s="1"/>
  <c r="A124" i="3" s="1"/>
  <c r="C867" i="6" l="1"/>
  <c r="C870" i="6" l="1"/>
  <c r="C878" i="6" s="1"/>
  <c r="K867" i="6" l="1"/>
  <c r="G867" i="6"/>
  <c r="N867" i="6"/>
  <c r="J867" i="6"/>
  <c r="I867" i="6"/>
  <c r="O867" i="6"/>
  <c r="L867" i="6"/>
  <c r="D867" i="6"/>
  <c r="M867" i="6"/>
  <c r="H867" i="6" l="1"/>
  <c r="L870" i="6"/>
  <c r="L878" i="6" s="1"/>
  <c r="O870" i="6"/>
  <c r="O878" i="6" s="1"/>
  <c r="D870" i="6"/>
  <c r="J870" i="6"/>
  <c r="J878" i="6" s="1"/>
  <c r="N870" i="6"/>
  <c r="N878" i="6" s="1"/>
  <c r="G870" i="6"/>
  <c r="M870" i="6"/>
  <c r="M878" i="6" s="1"/>
  <c r="I870" i="6"/>
  <c r="I878" i="6" s="1"/>
  <c r="K870" i="6"/>
  <c r="K878" i="6" s="1"/>
  <c r="H870" i="6" l="1"/>
  <c r="G878" i="6"/>
  <c r="D878" i="6"/>
  <c r="H878" i="6" l="1"/>
  <c r="D207" i="48" l="1"/>
  <c r="D212" i="48" l="1"/>
  <c r="D209" i="48"/>
  <c r="I207" i="48"/>
  <c r="F162" i="48"/>
  <c r="F167" i="48" s="1"/>
  <c r="M162" i="48"/>
  <c r="M167" i="48" s="1"/>
  <c r="I162" i="48"/>
  <c r="I167" i="48" s="1"/>
  <c r="I212" i="48" l="1"/>
  <c r="I209" i="48"/>
  <c r="M164" i="48"/>
  <c r="I164" i="48"/>
  <c r="F164" i="48"/>
  <c r="D162" i="48" l="1"/>
  <c r="D167" i="48" s="1"/>
  <c r="C1946" i="6"/>
  <c r="C1948" i="6" l="1"/>
  <c r="C1950" i="6" s="1"/>
  <c r="C544" i="8"/>
  <c r="D164" i="48"/>
  <c r="C8" i="42"/>
  <c r="C135" i="8"/>
  <c r="D12" i="48"/>
  <c r="C1627" i="6"/>
  <c r="C498" i="6"/>
  <c r="D9" i="48"/>
  <c r="C640" i="6"/>
  <c r="D13" i="48"/>
  <c r="C51" i="27"/>
  <c r="D293" i="42" l="1"/>
  <c r="D294" i="42" s="1"/>
  <c r="D296" i="42" s="1"/>
  <c r="D367" i="42" s="1"/>
  <c r="B294" i="42"/>
  <c r="B296" i="42" s="1"/>
  <c r="C546" i="8"/>
  <c r="C550" i="8" s="1"/>
  <c r="C10" i="42"/>
  <c r="C70" i="42"/>
  <c r="J13" i="48"/>
  <c r="J9" i="48"/>
  <c r="J12" i="48"/>
  <c r="C1629" i="6"/>
  <c r="D14" i="48"/>
  <c r="C382" i="7"/>
  <c r="C1055" i="7"/>
  <c r="D11" i="48"/>
  <c r="C1751" i="6"/>
  <c r="C587" i="6"/>
  <c r="C678" i="6"/>
  <c r="C53" i="27"/>
  <c r="C386" i="7"/>
  <c r="D15" i="48"/>
  <c r="C997" i="7"/>
  <c r="D16" i="48"/>
  <c r="C1171" i="7"/>
  <c r="C445" i="7"/>
  <c r="D10" i="48"/>
  <c r="C2017" i="6"/>
  <c r="C712" i="6"/>
  <c r="C509" i="6"/>
  <c r="D8" i="48"/>
  <c r="C145" i="8"/>
  <c r="C556" i="8" l="1"/>
  <c r="C157" i="8" s="1"/>
  <c r="C555" i="8"/>
  <c r="C156" i="8" s="1"/>
  <c r="C14" i="42"/>
  <c r="B367" i="42"/>
  <c r="C392" i="7"/>
  <c r="C394" i="7" s="1"/>
  <c r="C398" i="7" s="1"/>
  <c r="C454" i="7"/>
  <c r="C472" i="7" s="1"/>
  <c r="C73" i="42"/>
  <c r="C74" i="42" s="1"/>
  <c r="J8" i="48"/>
  <c r="J11" i="48"/>
  <c r="J10" i="48"/>
  <c r="J15" i="48"/>
  <c r="J16" i="48"/>
  <c r="J14" i="48"/>
  <c r="C2019" i="6"/>
  <c r="C55" i="27"/>
  <c r="C65" i="27" s="1"/>
  <c r="C1173" i="7"/>
  <c r="C120" i="42"/>
  <c r="C29" i="6"/>
  <c r="C45" i="6" s="1"/>
  <c r="C511" i="6"/>
  <c r="C732" i="6"/>
  <c r="C999" i="7"/>
  <c r="C1003" i="7" s="1"/>
  <c r="C601" i="6"/>
  <c r="C142" i="42"/>
  <c r="C602" i="8"/>
  <c r="C147" i="8"/>
  <c r="C15" i="8"/>
  <c r="B7" i="17" s="1"/>
  <c r="C1753" i="6"/>
  <c r="C1757" i="6" s="1"/>
  <c r="C344" i="8"/>
  <c r="C1057" i="7"/>
  <c r="C123" i="42"/>
  <c r="C32" i="6"/>
  <c r="C48" i="6" s="1"/>
  <c r="C680" i="6"/>
  <c r="C1631" i="6"/>
  <c r="C346" i="8" l="1"/>
  <c r="C151" i="8"/>
  <c r="C1176" i="7"/>
  <c r="C734" i="6"/>
  <c r="D142" i="42"/>
  <c r="D123" i="42"/>
  <c r="C134" i="42"/>
  <c r="C25" i="7"/>
  <c r="C37" i="7" s="1"/>
  <c r="C2066" i="6"/>
  <c r="C682" i="6"/>
  <c r="C135" i="42"/>
  <c r="D135" i="42" s="1"/>
  <c r="C26" i="7"/>
  <c r="C38" i="7" s="1"/>
  <c r="C456" i="7"/>
  <c r="C403" i="7"/>
  <c r="C33" i="6"/>
  <c r="C49" i="6" s="1"/>
  <c r="C124" i="42"/>
  <c r="D124" i="42" s="1"/>
  <c r="D120" i="42"/>
  <c r="C72" i="8"/>
  <c r="B135" i="3" s="1"/>
  <c r="C1059" i="7"/>
  <c r="C577" i="8"/>
  <c r="C2021" i="6"/>
  <c r="C31" i="6"/>
  <c r="C47" i="6" s="1"/>
  <c r="C122" i="42"/>
  <c r="D122" i="42" s="1"/>
  <c r="C603" i="6"/>
  <c r="C607" i="6" s="1"/>
  <c r="C2063" i="6"/>
  <c r="C513" i="6"/>
  <c r="B99" i="17" l="1"/>
  <c r="B100" i="17" s="1"/>
  <c r="B102" i="17" s="1"/>
  <c r="B104" i="17" s="1"/>
  <c r="B116" i="17" s="1"/>
  <c r="C459" i="7"/>
  <c r="C223" i="7"/>
  <c r="B138" i="3" s="1"/>
  <c r="B139" i="3" s="1"/>
  <c r="C736" i="6"/>
  <c r="B291" i="15"/>
  <c r="D134" i="42"/>
  <c r="C614" i="6"/>
  <c r="C2067" i="6"/>
  <c r="C1214" i="7"/>
  <c r="C2043" i="6"/>
  <c r="C2065" i="6"/>
  <c r="C700" i="7"/>
  <c r="B8" i="17"/>
  <c r="B13" i="17" s="1"/>
  <c r="C35" i="6"/>
  <c r="C1215" i="7"/>
  <c r="C2046" i="6"/>
  <c r="C567" i="8"/>
  <c r="D7" i="48"/>
  <c r="C81" i="8"/>
  <c r="C125" i="42"/>
  <c r="D125" i="42" s="1"/>
  <c r="B27" i="13" l="1"/>
  <c r="B292" i="15"/>
  <c r="B297" i="15" s="1"/>
  <c r="J7" i="48"/>
  <c r="C2069" i="6"/>
  <c r="C51" i="6"/>
  <c r="B15" i="3" s="1"/>
  <c r="C2045" i="6"/>
  <c r="C1199" i="7"/>
  <c r="C225" i="7"/>
  <c r="C601" i="8"/>
  <c r="C141" i="42"/>
  <c r="C83" i="8"/>
  <c r="C14" i="8"/>
  <c r="B7" i="16" s="1"/>
  <c r="AE18" i="42" s="1"/>
  <c r="C1198" i="7"/>
  <c r="D17" i="48"/>
  <c r="C702" i="7"/>
  <c r="C2047" i="6"/>
  <c r="C86" i="8" l="1"/>
  <c r="C56" i="6"/>
  <c r="D141" i="42"/>
  <c r="C2049" i="6"/>
  <c r="C2071" i="6" s="1"/>
  <c r="C2077" i="6" s="1"/>
  <c r="D19" i="48"/>
  <c r="C1069" i="7"/>
  <c r="B20" i="17"/>
  <c r="C17" i="8"/>
  <c r="C576" i="8"/>
  <c r="C519" i="6"/>
  <c r="C1642" i="6"/>
  <c r="C704" i="7"/>
  <c r="D355" i="7"/>
  <c r="B28" i="13"/>
  <c r="B33" i="13" s="1"/>
  <c r="C613" i="6"/>
  <c r="C618" i="6" s="1"/>
  <c r="C1767" i="6"/>
  <c r="C604" i="8"/>
  <c r="C227" i="7"/>
  <c r="C1210" i="7" s="1"/>
  <c r="C131" i="42"/>
  <c r="C22" i="7"/>
  <c r="C34" i="7" s="1"/>
  <c r="B101" i="16" l="1"/>
  <c r="B102" i="16" s="1"/>
  <c r="B104" i="16" s="1"/>
  <c r="B106" i="16" s="1"/>
  <c r="B83" i="15"/>
  <c r="B242" i="15"/>
  <c r="B320" i="15"/>
  <c r="D38" i="11"/>
  <c r="E38" i="11" s="1"/>
  <c r="G38" i="11" s="1"/>
  <c r="H38" i="11" s="1"/>
  <c r="J38" i="11" s="1"/>
  <c r="K38" i="11" s="1"/>
  <c r="M38" i="11" s="1"/>
  <c r="N38" i="11" s="1"/>
  <c r="P38" i="11" s="1"/>
  <c r="Q38" i="11" s="1"/>
  <c r="S38" i="11" s="1"/>
  <c r="T38" i="11" s="1"/>
  <c r="V38" i="11" s="1"/>
  <c r="W38" i="11" s="1"/>
  <c r="Y38" i="11" s="1"/>
  <c r="Z38" i="11" s="1"/>
  <c r="AB38" i="11" s="1"/>
  <c r="AC38" i="11" s="1"/>
  <c r="AE38" i="11" s="1"/>
  <c r="AF38" i="11" s="1"/>
  <c r="AH38" i="11" s="1"/>
  <c r="AI38" i="11" s="1"/>
  <c r="AK38" i="11" s="1"/>
  <c r="C28" i="7"/>
  <c r="B9" i="13" s="1"/>
  <c r="C229" i="7"/>
  <c r="C742" i="6"/>
  <c r="C2030" i="6"/>
  <c r="C566" i="8"/>
  <c r="D131" i="42"/>
  <c r="C136" i="42"/>
  <c r="C606" i="8"/>
  <c r="C579" i="8"/>
  <c r="C465" i="7"/>
  <c r="C1186" i="7"/>
  <c r="C524" i="6"/>
  <c r="B8" i="16"/>
  <c r="B13" i="16" s="1"/>
  <c r="B47" i="17"/>
  <c r="C713" i="7"/>
  <c r="C19" i="8"/>
  <c r="D1799" i="6" l="1"/>
  <c r="D633" i="6"/>
  <c r="C349" i="8"/>
  <c r="B51" i="17"/>
  <c r="B118" i="16"/>
  <c r="C23" i="8"/>
  <c r="D482" i="6"/>
  <c r="D648" i="34"/>
  <c r="B87" i="15"/>
  <c r="D324" i="34" s="1"/>
  <c r="D556" i="34" s="1"/>
  <c r="D559" i="34" s="1"/>
  <c r="B323" i="15"/>
  <c r="B243" i="15"/>
  <c r="D1594" i="6"/>
  <c r="R9" i="42"/>
  <c r="B163" i="11"/>
  <c r="AE24" i="42"/>
  <c r="AE26" i="42" s="1"/>
  <c r="C52" i="7"/>
  <c r="B37" i="3" s="1"/>
  <c r="C470" i="7"/>
  <c r="C608" i="8"/>
  <c r="C1196" i="7"/>
  <c r="C1201" i="7" s="1"/>
  <c r="C1219" i="7" s="1"/>
  <c r="C240" i="7"/>
  <c r="C747" i="6"/>
  <c r="C1217" i="7"/>
  <c r="D136" i="42"/>
  <c r="C138" i="42"/>
  <c r="C569" i="8"/>
  <c r="C40" i="7"/>
  <c r="C46" i="7" l="1"/>
  <c r="B13" i="3"/>
  <c r="B295" i="3" s="1"/>
  <c r="C1227" i="7"/>
  <c r="D650" i="34"/>
  <c r="D265" i="34" s="1"/>
  <c r="AE36" i="42"/>
  <c r="AE56" i="42" s="1"/>
  <c r="B248" i="15"/>
  <c r="D635" i="6"/>
  <c r="D490" i="6"/>
  <c r="B117" i="17"/>
  <c r="B121" i="17" s="1"/>
  <c r="B123" i="17" s="1"/>
  <c r="B94" i="3" s="1"/>
  <c r="D327" i="34"/>
  <c r="D328" i="34" s="1"/>
  <c r="D330" i="34" s="1"/>
  <c r="C40" i="15"/>
  <c r="D424" i="7"/>
  <c r="D92" i="34"/>
  <c r="D450" i="34" s="1"/>
  <c r="B91" i="15"/>
  <c r="B89" i="15"/>
  <c r="B325" i="15"/>
  <c r="B328" i="15"/>
  <c r="D1103" i="7"/>
  <c r="C88" i="42"/>
  <c r="D1980" i="6"/>
  <c r="B51" i="58" s="1"/>
  <c r="D702" i="6"/>
  <c r="AS59" i="42"/>
  <c r="C581" i="8"/>
  <c r="B20" i="16"/>
  <c r="B10" i="13"/>
  <c r="B15" i="13" s="1"/>
  <c r="D138" i="42"/>
  <c r="C144" i="42"/>
  <c r="D496" i="6" l="1"/>
  <c r="G120" i="42"/>
  <c r="G123" i="42"/>
  <c r="D16" i="6"/>
  <c r="B330" i="15"/>
  <c r="B229" i="3" s="1"/>
  <c r="B240" i="3"/>
  <c r="D13" i="6"/>
  <c r="B47" i="16"/>
  <c r="D642" i="34" s="1"/>
  <c r="C586" i="8"/>
  <c r="D705" i="6"/>
  <c r="E12" i="48"/>
  <c r="D498" i="6"/>
  <c r="D1627" i="6"/>
  <c r="E16" i="48"/>
  <c r="D445" i="7"/>
  <c r="D1171" i="7"/>
  <c r="D434" i="7"/>
  <c r="D101" i="34"/>
  <c r="D116" i="34" s="1"/>
  <c r="D119" i="34" s="1"/>
  <c r="D121" i="34" s="1"/>
  <c r="D498" i="34"/>
  <c r="D144" i="42"/>
  <c r="D452" i="34"/>
  <c r="D456" i="34" s="1"/>
  <c r="D461" i="34" s="1"/>
  <c r="D275" i="34" s="1"/>
  <c r="C161" i="8"/>
  <c r="C559" i="8"/>
  <c r="B128" i="3" l="1"/>
  <c r="K111" i="48"/>
  <c r="K108" i="48"/>
  <c r="H496" i="6"/>
  <c r="D644" i="34"/>
  <c r="D263" i="34" s="1"/>
  <c r="G124" i="42"/>
  <c r="G125" i="42" s="1"/>
  <c r="G135" i="42"/>
  <c r="D17" i="6"/>
  <c r="E10" i="48"/>
  <c r="D2017" i="6"/>
  <c r="B52" i="58" s="1"/>
  <c r="D712" i="6"/>
  <c r="B51" i="16"/>
  <c r="D135" i="8"/>
  <c r="D454" i="7"/>
  <c r="H135" i="42" s="1"/>
  <c r="D509" i="6"/>
  <c r="D1629" i="6"/>
  <c r="K16" i="48"/>
  <c r="E13" i="48"/>
  <c r="D51" i="27"/>
  <c r="J113" i="48" s="1"/>
  <c r="E9" i="48"/>
  <c r="D1946" i="6"/>
  <c r="D640" i="6"/>
  <c r="D1173" i="7"/>
  <c r="D14" i="7"/>
  <c r="K90" i="48" s="1"/>
  <c r="D51" i="34"/>
  <c r="D60" i="34" s="1"/>
  <c r="D75" i="34" s="1"/>
  <c r="D78" i="34" s="1"/>
  <c r="D80" i="34" s="1"/>
  <c r="B271" i="15"/>
  <c r="B274" i="15" s="1"/>
  <c r="B279" i="15" s="1"/>
  <c r="D175" i="34"/>
  <c r="D176" i="34" s="1"/>
  <c r="B83" i="16"/>
  <c r="B85" i="16" s="1"/>
  <c r="D676" i="34"/>
  <c r="D281" i="34" s="1"/>
  <c r="D110" i="8"/>
  <c r="D19" i="6" l="1"/>
  <c r="K112" i="48"/>
  <c r="I135" i="42"/>
  <c r="H120" i="42"/>
  <c r="D456" i="7"/>
  <c r="D472" i="7"/>
  <c r="E393" i="34"/>
  <c r="AT11" i="42"/>
  <c r="E8" i="48"/>
  <c r="D145" i="8"/>
  <c r="D511" i="6"/>
  <c r="D29" i="6"/>
  <c r="J108" i="48" s="1"/>
  <c r="D2019" i="6"/>
  <c r="D2021" i="6" s="1"/>
  <c r="D732" i="6"/>
  <c r="D53" i="27"/>
  <c r="B119" i="16"/>
  <c r="D1176" i="7"/>
  <c r="D26" i="7"/>
  <c r="J90" i="48" s="1"/>
  <c r="D1631" i="6"/>
  <c r="D678" i="6"/>
  <c r="K13" i="48"/>
  <c r="D1948" i="6"/>
  <c r="D72" i="8"/>
  <c r="E15" i="48"/>
  <c r="D386" i="7"/>
  <c r="D997" i="7"/>
  <c r="J88" i="48" s="1"/>
  <c r="D435" i="34"/>
  <c r="D402" i="8"/>
  <c r="D546" i="8" s="1"/>
  <c r="D550" i="8" s="1"/>
  <c r="D556" i="8" s="1"/>
  <c r="C135" i="3" l="1"/>
  <c r="C26" i="13"/>
  <c r="H142" i="42"/>
  <c r="C105" i="15"/>
  <c r="F105" i="15" s="1"/>
  <c r="D155" i="42"/>
  <c r="D33" i="6"/>
  <c r="H124" i="42"/>
  <c r="I124" i="42" s="1"/>
  <c r="H123" i="42"/>
  <c r="I123" i="42" s="1"/>
  <c r="I120" i="42"/>
  <c r="D459" i="7"/>
  <c r="D1215" i="7"/>
  <c r="D45" i="6"/>
  <c r="D38" i="7"/>
  <c r="D157" i="8"/>
  <c r="D555" i="8"/>
  <c r="D156" i="8" s="1"/>
  <c r="D152" i="42"/>
  <c r="D602" i="8"/>
  <c r="D513" i="6"/>
  <c r="D2063" i="6"/>
  <c r="D15" i="8"/>
  <c r="J115" i="48" s="1"/>
  <c r="K12" i="48"/>
  <c r="D32" i="6"/>
  <c r="J111" i="48" s="1"/>
  <c r="D734" i="6"/>
  <c r="D680" i="6"/>
  <c r="D55" i="27"/>
  <c r="D1950" i="6"/>
  <c r="D223" i="7"/>
  <c r="D700" i="7"/>
  <c r="K15" i="48"/>
  <c r="E7" i="48"/>
  <c r="D81" i="8"/>
  <c r="B276" i="15"/>
  <c r="C92" i="8"/>
  <c r="AE59" i="42"/>
  <c r="D113" i="8"/>
  <c r="AT9" i="42"/>
  <c r="C138" i="3" l="1"/>
  <c r="C139" i="3" s="1"/>
  <c r="D49" i="6"/>
  <c r="J112" i="48"/>
  <c r="D60" i="27"/>
  <c r="D65" i="27" s="1"/>
  <c r="C7" i="17"/>
  <c r="AT18" i="42" s="1"/>
  <c r="C103" i="15"/>
  <c r="D153" i="42"/>
  <c r="E152" i="42"/>
  <c r="K10" i="48"/>
  <c r="G142" i="42"/>
  <c r="I142" i="42" s="1"/>
  <c r="H141" i="42"/>
  <c r="D1199" i="7"/>
  <c r="D48" i="6"/>
  <c r="C102" i="15"/>
  <c r="F102" i="15" s="1"/>
  <c r="D8" i="42"/>
  <c r="D70" i="42" s="1"/>
  <c r="C93" i="8"/>
  <c r="C30" i="8" s="1"/>
  <c r="C142" i="11"/>
  <c r="D142" i="11" s="1"/>
  <c r="D2043" i="6"/>
  <c r="B281" i="15"/>
  <c r="D47" i="8"/>
  <c r="K8" i="48"/>
  <c r="K9" i="48"/>
  <c r="D682" i="6"/>
  <c r="D736" i="6"/>
  <c r="D2067" i="6"/>
  <c r="D2066" i="6"/>
  <c r="D702" i="7"/>
  <c r="D601" i="8"/>
  <c r="D14" i="8"/>
  <c r="J114" i="48" s="1"/>
  <c r="D225" i="7"/>
  <c r="AT10" i="42"/>
  <c r="D154" i="42" s="1"/>
  <c r="B123" i="16"/>
  <c r="B125" i="16" s="1"/>
  <c r="B93" i="3" s="1"/>
  <c r="D437" i="34"/>
  <c r="D441" i="34" s="1"/>
  <c r="D446" i="34" s="1"/>
  <c r="D273" i="34" s="1"/>
  <c r="AE58" i="42"/>
  <c r="C358" i="8"/>
  <c r="D675" i="34"/>
  <c r="D280" i="34" s="1"/>
  <c r="C29" i="8"/>
  <c r="D147" i="8"/>
  <c r="D595" i="8"/>
  <c r="B230" i="3" l="1"/>
  <c r="D45" i="11"/>
  <c r="C7" i="16"/>
  <c r="AF18" i="42" s="1"/>
  <c r="D1182" i="7"/>
  <c r="D1186" i="7" s="1"/>
  <c r="D156" i="42"/>
  <c r="H131" i="42"/>
  <c r="C97" i="8"/>
  <c r="B127" i="3" s="1"/>
  <c r="B129" i="3" s="1"/>
  <c r="C291" i="15"/>
  <c r="D1637" i="6"/>
  <c r="D519" i="6" s="1"/>
  <c r="D524" i="6" s="1"/>
  <c r="C9" i="15"/>
  <c r="C34" i="8"/>
  <c r="C99" i="17"/>
  <c r="D2046" i="6"/>
  <c r="D2047" i="6"/>
  <c r="D68" i="27"/>
  <c r="D71" i="27" s="1"/>
  <c r="G69" i="27" s="1"/>
  <c r="D151" i="8"/>
  <c r="D604" i="8"/>
  <c r="D8" i="8"/>
  <c r="K115" i="48" s="1"/>
  <c r="D704" i="7"/>
  <c r="D2026" i="6"/>
  <c r="B43" i="58" s="1"/>
  <c r="C155" i="11"/>
  <c r="H1587" i="6"/>
  <c r="E142" i="11"/>
  <c r="K7" i="48"/>
  <c r="D17" i="8"/>
  <c r="D22" i="7"/>
  <c r="D227" i="7"/>
  <c r="C59" i="11"/>
  <c r="AE62" i="42"/>
  <c r="D201" i="8"/>
  <c r="D577" i="8"/>
  <c r="C104" i="15"/>
  <c r="B54" i="58" l="1"/>
  <c r="B47" i="58"/>
  <c r="D346" i="8"/>
  <c r="D34" i="7"/>
  <c r="J85" i="48"/>
  <c r="E45" i="11"/>
  <c r="H908" i="7"/>
  <c r="D161" i="8"/>
  <c r="D465" i="7"/>
  <c r="D470" i="7" s="1"/>
  <c r="C114" i="15"/>
  <c r="D160" i="42"/>
  <c r="D164" i="42" s="1"/>
  <c r="D166" i="42" s="1"/>
  <c r="D170" i="42" s="1"/>
  <c r="D176" i="42" s="1"/>
  <c r="D188" i="42" s="1"/>
  <c r="I131" i="42"/>
  <c r="D1642" i="6"/>
  <c r="AT24" i="42"/>
  <c r="AF11" i="42"/>
  <c r="C155" i="42" s="1"/>
  <c r="E155" i="42" s="1"/>
  <c r="E380" i="34"/>
  <c r="D155" i="11"/>
  <c r="B55" i="58" s="1"/>
  <c r="C6" i="17"/>
  <c r="D713" i="7"/>
  <c r="D2030" i="6"/>
  <c r="D742" i="6"/>
  <c r="C101" i="3" s="1"/>
  <c r="C109" i="15"/>
  <c r="D229" i="7"/>
  <c r="D1212" i="7"/>
  <c r="G482" i="6"/>
  <c r="H482" i="6" s="1"/>
  <c r="G1594" i="6"/>
  <c r="H1594" i="6" s="1"/>
  <c r="C160" i="42"/>
  <c r="C164" i="42" s="1"/>
  <c r="C242" i="15"/>
  <c r="C101" i="16"/>
  <c r="D59" i="11"/>
  <c r="D187" i="34"/>
  <c r="D816" i="34" s="1"/>
  <c r="B261" i="3" s="1"/>
  <c r="D567" i="8"/>
  <c r="AT14" i="42"/>
  <c r="AF9" i="42"/>
  <c r="D50" i="8"/>
  <c r="B56" i="58" l="1"/>
  <c r="C118" i="15"/>
  <c r="G490" i="6"/>
  <c r="H490" i="6" s="1"/>
  <c r="G355" i="7"/>
  <c r="H355" i="7" s="1"/>
  <c r="E333" i="34"/>
  <c r="C72" i="15"/>
  <c r="C153" i="42"/>
  <c r="G141" i="42"/>
  <c r="I141" i="42" s="1"/>
  <c r="C74" i="15"/>
  <c r="D11" i="42"/>
  <c r="H1976" i="6"/>
  <c r="E155" i="11"/>
  <c r="C290" i="15"/>
  <c r="E343" i="34"/>
  <c r="C98" i="17"/>
  <c r="C100" i="17" s="1"/>
  <c r="C102" i="17" s="1"/>
  <c r="C104" i="17" s="1"/>
  <c r="C116" i="17" s="1"/>
  <c r="C8" i="17"/>
  <c r="C13" i="17" s="1"/>
  <c r="D747" i="6"/>
  <c r="C83" i="15"/>
  <c r="AF24" i="42"/>
  <c r="D240" i="7"/>
  <c r="D212" i="42" s="1"/>
  <c r="D1196" i="7"/>
  <c r="H1088" i="7"/>
  <c r="E59" i="11"/>
  <c r="AT26" i="42"/>
  <c r="D83" i="8"/>
  <c r="D594" i="8"/>
  <c r="G13" i="6" l="1"/>
  <c r="C120" i="15"/>
  <c r="C122" i="15"/>
  <c r="E338" i="34"/>
  <c r="E341" i="34" s="1"/>
  <c r="G702" i="6"/>
  <c r="H702" i="6" s="1"/>
  <c r="K120" i="42"/>
  <c r="G1980" i="6"/>
  <c r="D51" i="58" s="1"/>
  <c r="D72" i="42"/>
  <c r="E354" i="34"/>
  <c r="C12" i="15"/>
  <c r="D86" i="8"/>
  <c r="C292" i="15"/>
  <c r="C297" i="15" s="1"/>
  <c r="C87" i="15"/>
  <c r="E40" i="15"/>
  <c r="S70" i="42"/>
  <c r="E8" i="42"/>
  <c r="E70" i="42" s="1"/>
  <c r="H1103" i="7"/>
  <c r="G424" i="7"/>
  <c r="H424" i="7" s="1"/>
  <c r="AT36" i="42"/>
  <c r="AT56" i="42" s="1"/>
  <c r="D89" i="42"/>
  <c r="C6" i="16"/>
  <c r="AF10" i="42" s="1"/>
  <c r="D597" i="8"/>
  <c r="D7" i="8"/>
  <c r="K114" i="48" s="1"/>
  <c r="D576" i="8"/>
  <c r="H13" i="6" l="1"/>
  <c r="Q108" i="48"/>
  <c r="F40" i="15"/>
  <c r="B234" i="42"/>
  <c r="H1980" i="6"/>
  <c r="E570" i="34"/>
  <c r="G705" i="6"/>
  <c r="H705" i="6" s="1"/>
  <c r="G434" i="7"/>
  <c r="H434" i="7" s="1"/>
  <c r="E9" i="15"/>
  <c r="C320" i="15"/>
  <c r="E324" i="34"/>
  <c r="C20" i="17"/>
  <c r="C47" i="17" s="1"/>
  <c r="E342" i="34"/>
  <c r="E344" i="34" s="1"/>
  <c r="E178" i="34" s="1"/>
  <c r="C241" i="15"/>
  <c r="D10" i="8"/>
  <c r="D579" i="8"/>
  <c r="D606" i="8"/>
  <c r="E337" i="34"/>
  <c r="E389" i="34"/>
  <c r="E566" i="34"/>
  <c r="C241" i="3"/>
  <c r="O992" i="7"/>
  <c r="X90" i="10"/>
  <c r="C100" i="16"/>
  <c r="C102" i="16" s="1"/>
  <c r="C104" i="16" s="1"/>
  <c r="C106" i="16" s="1"/>
  <c r="D193" i="34"/>
  <c r="C8" i="16"/>
  <c r="C13" i="16" s="1"/>
  <c r="D566" i="8"/>
  <c r="E574" i="34" l="1"/>
  <c r="E575" i="34" s="1"/>
  <c r="E255" i="34" s="1"/>
  <c r="F9" i="15"/>
  <c r="E234" i="42"/>
  <c r="K124" i="42"/>
  <c r="G17" i="6"/>
  <c r="K135" i="42"/>
  <c r="G14" i="7"/>
  <c r="C323" i="15"/>
  <c r="C328" i="15" s="1"/>
  <c r="E327" i="34"/>
  <c r="E556" i="34"/>
  <c r="C73" i="15"/>
  <c r="C78" i="15" s="1"/>
  <c r="E319" i="34" s="1"/>
  <c r="E323" i="34" s="1"/>
  <c r="C154" i="42"/>
  <c r="C156" i="42" s="1"/>
  <c r="C166" i="42" s="1"/>
  <c r="C170" i="42" s="1"/>
  <c r="C176" i="42" s="1"/>
  <c r="C188" i="42" s="1"/>
  <c r="AA90" i="10"/>
  <c r="AB90" i="10" s="1"/>
  <c r="P992" i="7"/>
  <c r="C51" i="17"/>
  <c r="D19" i="8"/>
  <c r="D23" i="8" s="1"/>
  <c r="C118" i="16"/>
  <c r="C243" i="15"/>
  <c r="C248" i="15" s="1"/>
  <c r="D608" i="8"/>
  <c r="E506" i="34"/>
  <c r="E397" i="34"/>
  <c r="E394" i="34"/>
  <c r="D569" i="8"/>
  <c r="Y90" i="10"/>
  <c r="AF14" i="42"/>
  <c r="H17" i="6" l="1"/>
  <c r="Q112" i="48"/>
  <c r="H14" i="7"/>
  <c r="Q90" i="48"/>
  <c r="AD90" i="10"/>
  <c r="AE90" i="10" s="1"/>
  <c r="Q992" i="7"/>
  <c r="D349" i="8"/>
  <c r="D355" i="8" s="1"/>
  <c r="C117" i="17"/>
  <c r="C121" i="17" s="1"/>
  <c r="C123" i="17" s="1"/>
  <c r="C94" i="3" s="1"/>
  <c r="AT59" i="42"/>
  <c r="E648" i="34"/>
  <c r="E92" i="34"/>
  <c r="E101" i="34" s="1"/>
  <c r="E116" i="34" s="1"/>
  <c r="E119" i="34" s="1"/>
  <c r="E121" i="34" s="1"/>
  <c r="D581" i="8"/>
  <c r="E398" i="34"/>
  <c r="E192" i="34" s="1"/>
  <c r="E193" i="34" s="1"/>
  <c r="C89" i="15"/>
  <c r="C91" i="15"/>
  <c r="E376" i="34"/>
  <c r="E384" i="34" s="1"/>
  <c r="E552" i="34"/>
  <c r="E559" i="34" s="1"/>
  <c r="E560" i="34" s="1"/>
  <c r="E253" i="34" s="1"/>
  <c r="E329" i="34"/>
  <c r="E328" i="34"/>
  <c r="AF26" i="42"/>
  <c r="C20" i="16"/>
  <c r="AG90" i="10" l="1"/>
  <c r="AH90" i="10" s="1"/>
  <c r="R992" i="7"/>
  <c r="AJ90" i="10" s="1"/>
  <c r="AK90" i="10" s="1"/>
  <c r="E650" i="34"/>
  <c r="E265" i="34" s="1"/>
  <c r="AT58" i="42"/>
  <c r="AT62" i="42" s="1"/>
  <c r="C271" i="15"/>
  <c r="C240" i="3"/>
  <c r="D354" i="8"/>
  <c r="D559" i="8"/>
  <c r="C128" i="3" s="1"/>
  <c r="E450" i="34"/>
  <c r="C47" i="16"/>
  <c r="E51" i="34" s="1"/>
  <c r="E60" i="34" s="1"/>
  <c r="E75" i="34" s="1"/>
  <c r="E78" i="34" s="1"/>
  <c r="E80" i="34" s="1"/>
  <c r="C325" i="15"/>
  <c r="H390" i="8"/>
  <c r="D586" i="8"/>
  <c r="E381" i="34"/>
  <c r="E385" i="34" s="1"/>
  <c r="E189" i="34" s="1"/>
  <c r="E494" i="34"/>
  <c r="E498" i="34" s="1"/>
  <c r="AF36" i="42"/>
  <c r="AF56" i="42" s="1"/>
  <c r="D88" i="42"/>
  <c r="E330" i="34"/>
  <c r="D189" i="42" l="1"/>
  <c r="D193" i="42" s="1"/>
  <c r="G110" i="8"/>
  <c r="H110" i="8" s="1"/>
  <c r="G402" i="8"/>
  <c r="C83" i="16"/>
  <c r="C85" i="16" s="1"/>
  <c r="C274" i="15"/>
  <c r="C51" i="16"/>
  <c r="AF59" i="42" s="1"/>
  <c r="E452" i="34"/>
  <c r="E456" i="34" s="1"/>
  <c r="E461" i="34" s="1"/>
  <c r="E275" i="34" s="1"/>
  <c r="E676" i="34"/>
  <c r="E281" i="34" s="1"/>
  <c r="C330" i="15"/>
  <c r="E642" i="34"/>
  <c r="E175" i="34"/>
  <c r="E176" i="34" s="1"/>
  <c r="D190" i="34"/>
  <c r="E435" i="34"/>
  <c r="H402" i="8" l="1"/>
  <c r="C276" i="15"/>
  <c r="C279" i="15"/>
  <c r="E644" i="34"/>
  <c r="E263" i="34" s="1"/>
  <c r="AU9" i="42"/>
  <c r="G113" i="8"/>
  <c r="H113" i="8" s="1"/>
  <c r="G102" i="15"/>
  <c r="C119" i="16"/>
  <c r="C123" i="16" s="1"/>
  <c r="C125" i="16" s="1"/>
  <c r="C93" i="3" s="1"/>
  <c r="AF58" i="42"/>
  <c r="AF62" i="42" s="1"/>
  <c r="E510" i="34"/>
  <c r="K142" i="42" l="1"/>
  <c r="C189" i="42"/>
  <c r="C193" i="42" s="1"/>
  <c r="E103" i="15"/>
  <c r="AU10" i="42"/>
  <c r="E104" i="15" s="1"/>
  <c r="G595" i="8"/>
  <c r="H595" i="8" s="1"/>
  <c r="AV11" i="42"/>
  <c r="G105" i="15" s="1"/>
  <c r="G393" i="34"/>
  <c r="H102" i="15"/>
  <c r="D358" i="8"/>
  <c r="D92" i="8"/>
  <c r="D29" i="8" s="1"/>
  <c r="D93" i="8"/>
  <c r="D30" i="8" s="1"/>
  <c r="E437" i="34"/>
  <c r="E441" i="34" s="1"/>
  <c r="E446" i="34" s="1"/>
  <c r="E273" i="34" s="1"/>
  <c r="H194" i="8"/>
  <c r="E675" i="34"/>
  <c r="E280" i="34" s="1"/>
  <c r="C281" i="15"/>
  <c r="E511" i="34"/>
  <c r="E235" i="34" s="1"/>
  <c r="F104" i="15" l="1"/>
  <c r="D236" i="42"/>
  <c r="F103" i="15"/>
  <c r="D235" i="42"/>
  <c r="G8" i="8"/>
  <c r="G47" i="8"/>
  <c r="H47" i="8" s="1"/>
  <c r="E109" i="15"/>
  <c r="F109" i="15" s="1"/>
  <c r="AU14" i="42"/>
  <c r="H393" i="34"/>
  <c r="AW11" i="42"/>
  <c r="H105" i="15" s="1"/>
  <c r="G201" i="8"/>
  <c r="H201" i="8" s="1"/>
  <c r="D34" i="8"/>
  <c r="D97" i="8"/>
  <c r="C127" i="3" s="1"/>
  <c r="C129" i="3" s="1"/>
  <c r="G9" i="15"/>
  <c r="T70" i="42"/>
  <c r="F8" i="42"/>
  <c r="F70" i="42" s="1"/>
  <c r="H8" i="8" l="1"/>
  <c r="Q115" i="48"/>
  <c r="D239" i="42"/>
  <c r="D242" i="42" s="1"/>
  <c r="F6" i="17"/>
  <c r="F333" i="34"/>
  <c r="G50" i="8"/>
  <c r="H50" i="8" s="1"/>
  <c r="F380" i="34"/>
  <c r="AG11" i="42"/>
  <c r="AG9" i="42"/>
  <c r="E72" i="15" s="1"/>
  <c r="F72" i="15" l="1"/>
  <c r="C235" i="42"/>
  <c r="F98" i="17"/>
  <c r="E290" i="15"/>
  <c r="F290" i="15" s="1"/>
  <c r="F343" i="34"/>
  <c r="K141" i="42"/>
  <c r="F566" i="34"/>
  <c r="F337" i="34"/>
  <c r="F389" i="34"/>
  <c r="G594" i="8"/>
  <c r="H594" i="8" s="1"/>
  <c r="E74" i="15"/>
  <c r="E11" i="42"/>
  <c r="C237" i="42" l="1"/>
  <c r="F74" i="15"/>
  <c r="E12" i="15"/>
  <c r="G7" i="8"/>
  <c r="F397" i="34"/>
  <c r="F394" i="34"/>
  <c r="F506" i="34"/>
  <c r="F6" i="16"/>
  <c r="G597" i="8"/>
  <c r="H597" i="8" s="1"/>
  <c r="E72" i="42"/>
  <c r="F354" i="34"/>
  <c r="F493" i="34"/>
  <c r="H7" i="8" l="1"/>
  <c r="Q114" i="48"/>
  <c r="F12" i="15"/>
  <c r="E237" i="42"/>
  <c r="G10" i="8"/>
  <c r="H10" i="8" s="1"/>
  <c r="E241" i="15"/>
  <c r="F241" i="15" s="1"/>
  <c r="AG10" i="42"/>
  <c r="E73" i="15" s="1"/>
  <c r="F398" i="34"/>
  <c r="F192" i="34" s="1"/>
  <c r="F193" i="34" s="1"/>
  <c r="F100" i="16"/>
  <c r="F73" i="15" l="1"/>
  <c r="C236" i="42"/>
  <c r="C239" i="42" s="1"/>
  <c r="C242" i="42" s="1"/>
  <c r="AG14" i="42"/>
  <c r="E78" i="15"/>
  <c r="F78" i="15" s="1"/>
  <c r="I102" i="15"/>
  <c r="F319" i="34" l="1"/>
  <c r="F323" i="34" s="1"/>
  <c r="F329" i="34" s="1"/>
  <c r="F560" i="34"/>
  <c r="F253" i="34" s="1"/>
  <c r="AX11" i="42"/>
  <c r="I105" i="15" s="1"/>
  <c r="I393" i="34"/>
  <c r="J102" i="15"/>
  <c r="F376" i="34" l="1"/>
  <c r="F381" i="34" s="1"/>
  <c r="F552" i="34"/>
  <c r="AY11" i="42"/>
  <c r="J105" i="15" s="1"/>
  <c r="J393" i="34"/>
  <c r="E190" i="34"/>
  <c r="F494" i="34" l="1"/>
  <c r="F498" i="34" s="1"/>
  <c r="F499" i="34" s="1"/>
  <c r="F232" i="34" s="1"/>
  <c r="F384" i="34"/>
  <c r="F385" i="34" s="1"/>
  <c r="F189" i="34" s="1"/>
  <c r="H9" i="15"/>
  <c r="G8" i="42"/>
  <c r="G70" i="42" s="1"/>
  <c r="U70" i="42"/>
  <c r="J424" i="7"/>
  <c r="J1103" i="7"/>
  <c r="F510" i="34"/>
  <c r="G380" i="34" l="1"/>
  <c r="J434" i="7"/>
  <c r="F511" i="34"/>
  <c r="F235" i="34" s="1"/>
  <c r="G74" i="15" l="1"/>
  <c r="G12" i="15" s="1"/>
  <c r="F11" i="42"/>
  <c r="J14" i="7"/>
  <c r="G354" i="34" l="1"/>
  <c r="F72" i="42"/>
  <c r="G493" i="34"/>
  <c r="K102" i="15" l="1"/>
  <c r="L102" i="15" l="1"/>
  <c r="AZ11" i="42"/>
  <c r="K105" i="15" s="1"/>
  <c r="K393" i="34"/>
  <c r="BA11" i="42" l="1"/>
  <c r="L105" i="15" s="1"/>
  <c r="L393" i="34"/>
  <c r="G560" i="34" l="1"/>
  <c r="G253" i="34" s="1"/>
  <c r="I9" i="15"/>
  <c r="H8" i="42"/>
  <c r="H70" i="42" s="1"/>
  <c r="V70" i="42"/>
  <c r="K424" i="7"/>
  <c r="K434" i="7" s="1"/>
  <c r="K1103" i="7"/>
  <c r="K14" i="7" l="1"/>
  <c r="F190" i="34"/>
  <c r="M8" i="42" l="1"/>
  <c r="M70" i="42" s="1"/>
  <c r="M102" i="15"/>
  <c r="H380" i="34"/>
  <c r="N102" i="15" l="1"/>
  <c r="N9" i="15" s="1"/>
  <c r="BB11" i="42"/>
  <c r="M105" i="15" s="1"/>
  <c r="M393" i="34"/>
  <c r="N393" i="34"/>
  <c r="BC11" i="42"/>
  <c r="N105" i="15" s="1"/>
  <c r="H74" i="15"/>
  <c r="H12" i="15" s="1"/>
  <c r="G11" i="42"/>
  <c r="G72" i="42" l="1"/>
  <c r="H354" i="34"/>
  <c r="J9" i="15" l="1"/>
  <c r="I8" i="42"/>
  <c r="I70" i="42" s="1"/>
  <c r="W70" i="42"/>
  <c r="L424" i="7"/>
  <c r="L1103" i="7"/>
  <c r="L434" i="7" l="1"/>
  <c r="H560" i="34" l="1"/>
  <c r="H253" i="34" s="1"/>
  <c r="L14" i="7"/>
  <c r="I380" i="34" l="1"/>
  <c r="I74" i="15" l="1"/>
  <c r="I12" i="15" s="1"/>
  <c r="H11" i="42"/>
  <c r="H72" i="42" l="1"/>
  <c r="I354" i="34"/>
  <c r="K9" i="15" l="1"/>
  <c r="X70" i="42"/>
  <c r="J8" i="42"/>
  <c r="J70" i="42" s="1"/>
  <c r="M424" i="7"/>
  <c r="M1103" i="7"/>
  <c r="M434" i="7" l="1"/>
  <c r="M14" i="7" l="1"/>
  <c r="J493" i="34" l="1"/>
  <c r="I560" i="34" l="1"/>
  <c r="I253" i="34" s="1"/>
  <c r="P520" i="6" l="1"/>
  <c r="J380" i="34" l="1"/>
  <c r="J74" i="15" l="1"/>
  <c r="J12" i="15" s="1"/>
  <c r="I11" i="42"/>
  <c r="L9" i="15"/>
  <c r="K8" i="42"/>
  <c r="K70" i="42" s="1"/>
  <c r="Y70" i="42"/>
  <c r="N424" i="7"/>
  <c r="N434" i="7" s="1"/>
  <c r="N1103" i="7"/>
  <c r="J354" i="34" l="1"/>
  <c r="I72" i="42"/>
  <c r="N14" i="7"/>
  <c r="M9" i="15" l="1"/>
  <c r="L8" i="42"/>
  <c r="L70" i="42" s="1"/>
  <c r="Z70" i="42"/>
  <c r="O424" i="7"/>
  <c r="O434" i="7" s="1"/>
  <c r="O1103" i="7"/>
  <c r="K380" i="34" l="1"/>
  <c r="P1956" i="6"/>
  <c r="P424" i="7"/>
  <c r="P434" i="7" s="1"/>
  <c r="P1103" i="7"/>
  <c r="O14" i="7"/>
  <c r="P687" i="6" l="1"/>
  <c r="K74" i="15"/>
  <c r="K12" i="15" s="1"/>
  <c r="J11" i="42"/>
  <c r="P14" i="7"/>
  <c r="K354" i="34" l="1"/>
  <c r="J72" i="42"/>
  <c r="P743" i="6" l="1"/>
  <c r="P466" i="7" l="1"/>
  <c r="Q424" i="7" l="1"/>
  <c r="Q434" i="7" s="1"/>
  <c r="Q1103" i="7"/>
  <c r="Q466" i="7"/>
  <c r="Q14" i="7" l="1"/>
  <c r="L380" i="34" l="1"/>
  <c r="L74" i="15" l="1"/>
  <c r="L12" i="15" s="1"/>
  <c r="K11" i="42"/>
  <c r="K72" i="42" l="1"/>
  <c r="L354" i="34"/>
  <c r="L560" i="34" l="1"/>
  <c r="L253" i="34" s="1"/>
  <c r="M380" i="34" l="1"/>
  <c r="M74" i="15" l="1"/>
  <c r="M12" i="15" s="1"/>
  <c r="L11" i="42"/>
  <c r="L72" i="42" l="1"/>
  <c r="M354" i="34"/>
  <c r="M560" i="34" l="1"/>
  <c r="M253" i="34" s="1"/>
  <c r="AO11" i="42" l="1"/>
  <c r="N380" i="34"/>
  <c r="M11" i="42" l="1"/>
  <c r="N74" i="15"/>
  <c r="N12" i="15" s="1"/>
  <c r="F39" i="45"/>
  <c r="F45" i="45" s="1"/>
  <c r="F46" i="45" s="1"/>
  <c r="F47" i="45" s="1"/>
  <c r="F48" i="45" s="1"/>
  <c r="G48" i="45" s="1"/>
  <c r="H48" i="45" s="1"/>
  <c r="M72" i="42" l="1"/>
  <c r="N354" i="34"/>
  <c r="B71" i="3"/>
  <c r="AT50" i="37"/>
  <c r="Q49" i="42" l="1"/>
  <c r="Q52" i="42" s="1"/>
  <c r="Q54" i="42" s="1"/>
  <c r="C290" i="6"/>
  <c r="C65" i="6" s="1"/>
  <c r="B69" i="3" s="1"/>
  <c r="B72" i="3" s="1"/>
  <c r="AT87" i="37"/>
  <c r="AT88" i="37" s="1"/>
  <c r="AT93" i="37" s="1"/>
  <c r="AT95" i="37" s="1"/>
  <c r="AT16" i="37"/>
  <c r="AT85" i="37"/>
  <c r="B206" i="15"/>
  <c r="B133" i="13"/>
  <c r="B135" i="13" s="1"/>
  <c r="E183" i="42"/>
  <c r="E185" i="42" s="1"/>
  <c r="K36" i="37"/>
  <c r="K45" i="37" s="1"/>
  <c r="K84" i="37" s="1"/>
  <c r="K96" i="37"/>
  <c r="K101" i="37" s="1"/>
  <c r="C1081" i="6"/>
  <c r="C288" i="6"/>
  <c r="C49" i="42" l="1"/>
  <c r="B181" i="3"/>
  <c r="B151" i="15"/>
  <c r="B185" i="42"/>
  <c r="C292" i="6"/>
  <c r="C52" i="42" l="1"/>
  <c r="C54" i="42"/>
  <c r="D183" i="34" s="1"/>
  <c r="D184" i="34" l="1"/>
  <c r="D106" i="11"/>
  <c r="E106" i="11" l="1"/>
  <c r="G106" i="11" l="1"/>
  <c r="H106" i="11" l="1"/>
  <c r="J106" i="11" l="1"/>
  <c r="K106" i="11" l="1"/>
  <c r="M106" i="11" l="1"/>
  <c r="N106" i="11" l="1"/>
  <c r="P106" i="11" l="1"/>
  <c r="Q106" i="11" l="1"/>
  <c r="S106" i="11" l="1"/>
  <c r="T106" i="11" l="1"/>
  <c r="V106" i="11" l="1"/>
  <c r="W106" i="11" l="1"/>
  <c r="Y106" i="11" l="1"/>
  <c r="Z106" i="11" l="1"/>
  <c r="AB106" i="11" l="1"/>
  <c r="AC106" i="11" s="1"/>
  <c r="AE106" i="11" l="1"/>
  <c r="AF106" i="11" s="1"/>
  <c r="AH106" i="11" s="1"/>
  <c r="AI106" i="11" s="1"/>
  <c r="AK106" i="11" s="1"/>
  <c r="C142" i="34" l="1"/>
  <c r="C157" i="34" s="1"/>
  <c r="C160" i="34" s="1"/>
  <c r="C162" i="34" s="1"/>
  <c r="A246" i="3" s="1"/>
  <c r="A255" i="3" s="1"/>
  <c r="C31" i="5"/>
  <c r="D687" i="34" l="1"/>
  <c r="B103" i="13"/>
  <c r="C487" i="5"/>
  <c r="B22" i="13"/>
  <c r="C32" i="5"/>
  <c r="B48" i="13" l="1"/>
  <c r="D681" i="34"/>
  <c r="D688" i="34"/>
  <c r="B107" i="13"/>
  <c r="C43" i="5"/>
  <c r="B19" i="13"/>
  <c r="B45" i="13" l="1"/>
  <c r="D792" i="34"/>
  <c r="D803" i="34" s="1"/>
  <c r="D200" i="34"/>
  <c r="D828" i="34" s="1"/>
  <c r="D682" i="34"/>
  <c r="D197" i="34" s="1"/>
  <c r="B254" i="3"/>
  <c r="Q20" i="42"/>
  <c r="B64" i="13"/>
  <c r="B20" i="13"/>
  <c r="B191" i="15"/>
  <c r="B53" i="15" l="1"/>
  <c r="B9" i="3"/>
  <c r="B10" i="3" s="1"/>
  <c r="B136" i="15"/>
  <c r="D201" i="34"/>
  <c r="D818" i="34" s="1"/>
  <c r="B263" i="3" s="1"/>
  <c r="E201" i="34"/>
  <c r="E818" i="34" s="1"/>
  <c r="C263" i="3" s="1"/>
  <c r="F201" i="34"/>
  <c r="F818" i="34" s="1"/>
  <c r="F263" i="3" s="1"/>
  <c r="E198" i="34"/>
  <c r="F198" i="34"/>
  <c r="D198" i="34"/>
  <c r="Q80" i="42"/>
  <c r="Q29" i="42"/>
  <c r="C29" i="42" s="1"/>
  <c r="D544" i="34"/>
  <c r="D18" i="34"/>
  <c r="D141" i="34" s="1"/>
  <c r="D139" i="34"/>
  <c r="B121" i="13"/>
  <c r="B117" i="13"/>
  <c r="B118" i="13" s="1"/>
  <c r="B120" i="13" s="1"/>
  <c r="B188" i="15"/>
  <c r="B46" i="13"/>
  <c r="B52" i="13" s="1"/>
  <c r="B17" i="3" s="1"/>
  <c r="B18" i="3" s="1"/>
  <c r="C20" i="42"/>
  <c r="B213" i="15"/>
  <c r="B23" i="13"/>
  <c r="B126" i="13" l="1"/>
  <c r="B138" i="13" s="1"/>
  <c r="C80" i="42"/>
  <c r="D528" i="34"/>
  <c r="D808" i="34"/>
  <c r="D809" i="34" s="1"/>
  <c r="B133" i="15"/>
  <c r="B134" i="15" s="1"/>
  <c r="B140" i="15" s="1"/>
  <c r="B151" i="3" s="1"/>
  <c r="B22" i="15"/>
  <c r="E139" i="34"/>
  <c r="F16" i="34"/>
  <c r="E18" i="34"/>
  <c r="E141" i="34" s="1"/>
  <c r="B158" i="15"/>
  <c r="E162" i="42"/>
  <c r="B189" i="15"/>
  <c r="B195" i="15" s="1"/>
  <c r="B220" i="15" s="1"/>
  <c r="J124" i="48" l="1"/>
  <c r="F139" i="34"/>
  <c r="F18" i="34"/>
  <c r="F141" i="34" s="1"/>
  <c r="E168" i="42"/>
  <c r="B59" i="13"/>
  <c r="B83" i="13" l="1"/>
  <c r="B88" i="13" s="1"/>
  <c r="D486" i="34"/>
  <c r="D487" i="34" s="1"/>
  <c r="D474" i="34" l="1"/>
  <c r="B165" i="15"/>
  <c r="D129" i="34" l="1"/>
  <c r="D630" i="34" s="1"/>
  <c r="D632" i="34" s="1"/>
  <c r="D259" i="34" s="1"/>
  <c r="D229" i="34"/>
  <c r="D796" i="34"/>
  <c r="D801" i="34" s="1"/>
  <c r="D636" i="34"/>
  <c r="D638" i="34" s="1"/>
  <c r="D261" i="34" s="1"/>
  <c r="D475" i="34"/>
  <c r="D226" i="34" s="1"/>
  <c r="D510" i="34"/>
  <c r="D10" i="34"/>
  <c r="D230" i="34" l="1"/>
  <c r="D815" i="34" s="1"/>
  <c r="B260" i="3" s="1"/>
  <c r="D825" i="34"/>
  <c r="D133" i="34"/>
  <c r="D404" i="34" s="1"/>
  <c r="D227" i="34"/>
  <c r="B253" i="3"/>
  <c r="D511" i="34"/>
  <c r="D235" i="34" s="1"/>
  <c r="D419" i="34"/>
  <c r="D19" i="34"/>
  <c r="D34" i="34" s="1"/>
  <c r="D142" i="34" l="1"/>
  <c r="D157" i="34" s="1"/>
  <c r="D160" i="34" s="1"/>
  <c r="D162" i="34" s="1"/>
  <c r="E236" i="34"/>
  <c r="F236" i="34"/>
  <c r="D236" i="34"/>
  <c r="D493" i="34"/>
  <c r="B250" i="3" s="1"/>
  <c r="D37" i="34"/>
  <c r="D39" i="34" s="1"/>
  <c r="B246" i="3" l="1"/>
  <c r="D499" i="34"/>
  <c r="D232" i="34" s="1"/>
  <c r="D233" i="34" l="1"/>
  <c r="L25" i="26" l="1"/>
  <c r="L5" i="26" l="1"/>
  <c r="L10" i="26" l="1"/>
  <c r="M5" i="26"/>
  <c r="L27" i="26"/>
  <c r="N5" i="26" l="1"/>
  <c r="M6" i="26"/>
  <c r="L72" i="26"/>
  <c r="R17" i="42"/>
  <c r="M12" i="26" l="1"/>
  <c r="M11" i="26"/>
  <c r="R77" i="42"/>
  <c r="B159" i="42"/>
  <c r="E159" i="42" s="1"/>
  <c r="C50" i="15"/>
  <c r="C19" i="15" s="1"/>
  <c r="D17" i="42"/>
  <c r="D77" i="42" s="1"/>
  <c r="O5" i="26"/>
  <c r="N6" i="26"/>
  <c r="P5" i="26" l="1"/>
  <c r="O6" i="26"/>
  <c r="N11" i="26"/>
  <c r="AG17" i="42"/>
  <c r="E81" i="15" s="1"/>
  <c r="M10" i="26"/>
  <c r="N12" i="26"/>
  <c r="AV17" i="42" s="1"/>
  <c r="G112" i="15" s="1"/>
  <c r="AH17" i="42" l="1"/>
  <c r="G81" i="15" s="1"/>
  <c r="O11" i="26"/>
  <c r="N10" i="26"/>
  <c r="T17" i="42" s="1"/>
  <c r="O12" i="26"/>
  <c r="AW17" i="42" s="1"/>
  <c r="H112" i="15" s="1"/>
  <c r="C245" i="42"/>
  <c r="F81" i="15"/>
  <c r="Q5" i="26"/>
  <c r="P6" i="26"/>
  <c r="P12" i="26" s="1"/>
  <c r="AX17" i="42" s="1"/>
  <c r="I112" i="15" s="1"/>
  <c r="G50" i="15" l="1"/>
  <c r="G19" i="15" s="1"/>
  <c r="F17" i="42"/>
  <c r="T77" i="42"/>
  <c r="P11" i="26"/>
  <c r="AI17" i="42"/>
  <c r="H81" i="15" s="1"/>
  <c r="O10" i="26"/>
  <c r="U17" i="42" s="1"/>
  <c r="R5" i="26"/>
  <c r="Q6" i="26"/>
  <c r="Q12" i="26" s="1"/>
  <c r="AY17" i="42" s="1"/>
  <c r="J112" i="15" s="1"/>
  <c r="Q11" i="26" l="1"/>
  <c r="AJ17" i="42"/>
  <c r="I81" i="15" s="1"/>
  <c r="P10" i="26"/>
  <c r="V17" i="42" s="1"/>
  <c r="H50" i="15"/>
  <c r="H19" i="15" s="1"/>
  <c r="G17" i="42"/>
  <c r="U77" i="42"/>
  <c r="N15" i="26"/>
  <c r="N25" i="26" s="1"/>
  <c r="N27" i="26" s="1"/>
  <c r="F77" i="42"/>
  <c r="S5" i="26"/>
  <c r="R6" i="26"/>
  <c r="R12" i="26" s="1"/>
  <c r="AZ17" i="42" s="1"/>
  <c r="K112" i="15" s="1"/>
  <c r="I50" i="15" l="1"/>
  <c r="I19" i="15" s="1"/>
  <c r="V77" i="42"/>
  <c r="H17" i="42"/>
  <c r="T5" i="26"/>
  <c r="S6" i="26"/>
  <c r="S12" i="26" s="1"/>
  <c r="BA17" i="42" s="1"/>
  <c r="L112" i="15" s="1"/>
  <c r="O15" i="26"/>
  <c r="O25" i="26" s="1"/>
  <c r="O27" i="26" s="1"/>
  <c r="G77" i="42"/>
  <c r="R11" i="26"/>
  <c r="AK17" i="42"/>
  <c r="J81" i="15" s="1"/>
  <c r="Q10" i="26"/>
  <c r="W17" i="42" s="1"/>
  <c r="T6" i="26" l="1"/>
  <c r="T12" i="26" s="1"/>
  <c r="BB17" i="42" s="1"/>
  <c r="M112" i="15" s="1"/>
  <c r="U5" i="26"/>
  <c r="J50" i="15"/>
  <c r="J19" i="15" s="1"/>
  <c r="W77" i="42"/>
  <c r="I17" i="42"/>
  <c r="P15" i="26"/>
  <c r="P25" i="26" s="1"/>
  <c r="P27" i="26" s="1"/>
  <c r="H77" i="42"/>
  <c r="S11" i="26"/>
  <c r="AL17" i="42"/>
  <c r="K81" i="15" s="1"/>
  <c r="R10" i="26"/>
  <c r="X17" i="42" s="1"/>
  <c r="K50" i="15" l="1"/>
  <c r="K19" i="15" s="1"/>
  <c r="J17" i="42"/>
  <c r="X77" i="42"/>
  <c r="Q15" i="26"/>
  <c r="Q25" i="26" s="1"/>
  <c r="Q27" i="26" s="1"/>
  <c r="I77" i="42"/>
  <c r="V5" i="26"/>
  <c r="U6" i="26"/>
  <c r="U12" i="26" s="1"/>
  <c r="BC17" i="42" s="1"/>
  <c r="N112" i="15" s="1"/>
  <c r="AM17" i="42"/>
  <c r="L81" i="15" s="1"/>
  <c r="T11" i="26"/>
  <c r="S10" i="26"/>
  <c r="Y17" i="42" s="1"/>
  <c r="M493" i="34"/>
  <c r="L493" i="34"/>
  <c r="K493" i="34"/>
  <c r="I493" i="34"/>
  <c r="H493" i="34"/>
  <c r="E493" i="34"/>
  <c r="J687" i="6"/>
  <c r="D687" i="6"/>
  <c r="G687" i="6"/>
  <c r="I687" i="6"/>
  <c r="M1956" i="6"/>
  <c r="M687" i="6" s="1"/>
  <c r="N1956" i="6"/>
  <c r="N687" i="6" s="1"/>
  <c r="K687" i="6"/>
  <c r="L1956" i="6"/>
  <c r="L687" i="6" s="1"/>
  <c r="O1956" i="6"/>
  <c r="O687" i="6" s="1"/>
  <c r="L50" i="15" l="1"/>
  <c r="L19" i="15" s="1"/>
  <c r="Y77" i="42"/>
  <c r="K17" i="42"/>
  <c r="U11" i="26"/>
  <c r="AN17" i="42"/>
  <c r="M81" i="15" s="1"/>
  <c r="T10" i="26"/>
  <c r="Z17" i="42" s="1"/>
  <c r="V6" i="26"/>
  <c r="V12" i="26" s="1"/>
  <c r="BD17" i="42" s="1"/>
  <c r="O112" i="15" s="1"/>
  <c r="J77" i="42"/>
  <c r="R15" i="26"/>
  <c r="R25" i="26" s="1"/>
  <c r="R27" i="26" s="1"/>
  <c r="E499" i="34"/>
  <c r="E232" i="34" s="1"/>
  <c r="V11" i="26" l="1"/>
  <c r="AO17" i="42"/>
  <c r="N81" i="15" s="1"/>
  <c r="U10" i="26"/>
  <c r="AA17" i="42" s="1"/>
  <c r="K77" i="42"/>
  <c r="S15" i="26"/>
  <c r="S25" i="26" s="1"/>
  <c r="S27" i="26" s="1"/>
  <c r="M50" i="15"/>
  <c r="M19" i="15" s="1"/>
  <c r="L17" i="42"/>
  <c r="Z77" i="42"/>
  <c r="E233" i="34"/>
  <c r="F233" i="34"/>
  <c r="N50" i="15" l="1"/>
  <c r="N19" i="15" s="1"/>
  <c r="M17" i="42"/>
  <c r="AA77" i="42"/>
  <c r="T15" i="26"/>
  <c r="T25" i="26" s="1"/>
  <c r="T27" i="26" s="1"/>
  <c r="L77" i="42"/>
  <c r="AP17" i="42"/>
  <c r="O81" i="15" s="1"/>
  <c r="V10" i="26"/>
  <c r="AB17" i="42" s="1"/>
  <c r="O50" i="15" l="1"/>
  <c r="O19" i="15" s="1"/>
  <c r="N17" i="42"/>
  <c r="AB77" i="42"/>
  <c r="U15" i="26"/>
  <c r="U25" i="26" s="1"/>
  <c r="U27" i="26" s="1"/>
  <c r="M77" i="42"/>
  <c r="C1011" i="7"/>
  <c r="C176" i="6"/>
  <c r="N77" i="42" l="1"/>
  <c r="V15" i="26"/>
  <c r="V25" i="26" s="1"/>
  <c r="V27" i="26" s="1"/>
  <c r="C404" i="7"/>
  <c r="C408" i="7" s="1"/>
  <c r="B120" i="3" s="1"/>
  <c r="C947" i="6"/>
  <c r="C180" i="6"/>
  <c r="D216" i="42" s="1"/>
  <c r="C53" i="7" l="1"/>
  <c r="B45" i="3" s="1"/>
  <c r="B195" i="3"/>
  <c r="B196" i="3" s="1"/>
  <c r="H196" i="3" s="1"/>
  <c r="I196" i="3" s="1"/>
  <c r="J196" i="3" s="1"/>
  <c r="K196" i="3" s="1"/>
  <c r="L196" i="3" s="1"/>
  <c r="M196" i="3" s="1"/>
  <c r="N196" i="3" s="1"/>
  <c r="O196" i="3" s="1"/>
  <c r="P196" i="3" s="1"/>
  <c r="A148" i="3" l="1"/>
  <c r="B148" i="3"/>
  <c r="A276" i="3"/>
  <c r="C57" i="7"/>
  <c r="D913" i="7"/>
  <c r="D354" i="7"/>
  <c r="B153" i="42"/>
  <c r="B46" i="11"/>
  <c r="B61" i="11" s="1"/>
  <c r="D999" i="7" l="1"/>
  <c r="D1003" i="7" s="1"/>
  <c r="K88" i="48"/>
  <c r="E153" i="42"/>
  <c r="D9" i="42"/>
  <c r="C41" i="15"/>
  <c r="R71" i="42"/>
  <c r="D360" i="7"/>
  <c r="P199" i="48" l="1"/>
  <c r="P158" i="48"/>
  <c r="P200" i="48"/>
  <c r="P205" i="48"/>
  <c r="P188" i="48"/>
  <c r="P192" i="48"/>
  <c r="P155" i="48"/>
  <c r="P143" i="48"/>
  <c r="P137" i="48"/>
  <c r="P180" i="48"/>
  <c r="P139" i="48"/>
  <c r="P145" i="48"/>
  <c r="P186" i="48"/>
  <c r="P187" i="48"/>
  <c r="P161" i="48"/>
  <c r="P153" i="48"/>
  <c r="P202" i="48"/>
  <c r="P184" i="48"/>
  <c r="P197" i="48"/>
  <c r="P149" i="48"/>
  <c r="P159" i="48"/>
  <c r="P179" i="48"/>
  <c r="P203" i="48"/>
  <c r="P195" i="48"/>
  <c r="P147" i="48"/>
  <c r="P135" i="48"/>
  <c r="P160" i="48"/>
  <c r="P142" i="48"/>
  <c r="P185" i="48"/>
  <c r="P206" i="48"/>
  <c r="P138" i="48"/>
  <c r="P146" i="48"/>
  <c r="P151" i="48"/>
  <c r="P190" i="48"/>
  <c r="P189" i="48"/>
  <c r="P148" i="48"/>
  <c r="P152" i="48"/>
  <c r="P144" i="48"/>
  <c r="P183" i="48"/>
  <c r="P182" i="48"/>
  <c r="P157" i="48"/>
  <c r="P204" i="48"/>
  <c r="P194" i="48"/>
  <c r="P191" i="48"/>
  <c r="P156" i="48"/>
  <c r="P201" i="48"/>
  <c r="K116" i="48"/>
  <c r="K124" i="48" s="1"/>
  <c r="P154" i="48"/>
  <c r="P134" i="48"/>
  <c r="P198" i="48"/>
  <c r="P136" i="48"/>
  <c r="P150" i="48"/>
  <c r="P196" i="48"/>
  <c r="P193" i="48"/>
  <c r="P141" i="48"/>
  <c r="P140" i="48"/>
  <c r="P181" i="48"/>
  <c r="G134" i="42"/>
  <c r="G136" i="42" s="1"/>
  <c r="C10" i="15"/>
  <c r="D71" i="42"/>
  <c r="D13" i="7"/>
  <c r="F275" i="48" l="1"/>
  <c r="P207" i="48"/>
  <c r="D275" i="48"/>
  <c r="P162" i="48"/>
  <c r="D1011" i="7"/>
  <c r="G138" i="42"/>
  <c r="C46" i="11"/>
  <c r="D44" i="11"/>
  <c r="D16" i="7"/>
  <c r="P164" i="48" l="1"/>
  <c r="P167" i="48"/>
  <c r="P209" i="48"/>
  <c r="P212" i="48"/>
  <c r="C8" i="13"/>
  <c r="C195" i="3"/>
  <c r="C196" i="3" s="1"/>
  <c r="E122" i="13"/>
  <c r="E214" i="15"/>
  <c r="F214" i="15" s="1"/>
  <c r="S31" i="42"/>
  <c r="E31" i="42" s="1"/>
  <c r="G144" i="42"/>
  <c r="D46" i="11"/>
  <c r="H907" i="7"/>
  <c r="E44" i="11"/>
  <c r="E159" i="15" l="1"/>
  <c r="F159" i="15" s="1"/>
  <c r="E46" i="11"/>
  <c r="C44" i="13"/>
  <c r="R10" i="42" s="1"/>
  <c r="C42" i="15" s="1"/>
  <c r="G913" i="7"/>
  <c r="G354" i="7"/>
  <c r="H354" i="7" s="1"/>
  <c r="H913" i="7" l="1"/>
  <c r="Q88" i="48"/>
  <c r="G360" i="7"/>
  <c r="H360" i="7" s="1"/>
  <c r="C116" i="13"/>
  <c r="B154" i="42"/>
  <c r="C187" i="15"/>
  <c r="C132" i="15" l="1"/>
  <c r="K134" i="42"/>
  <c r="G13" i="7"/>
  <c r="H13" i="7" s="1"/>
  <c r="E154" i="42"/>
  <c r="E156" i="42" s="1"/>
  <c r="B156" i="42"/>
  <c r="E807" i="34"/>
  <c r="D10" i="42"/>
  <c r="R73" i="42"/>
  <c r="R74" i="42" s="1"/>
  <c r="R87" i="42" s="1"/>
  <c r="R14" i="42"/>
  <c r="G16" i="7" l="1"/>
  <c r="H16" i="7" s="1"/>
  <c r="K136" i="42"/>
  <c r="D73" i="42"/>
  <c r="D74" i="42" s="1"/>
  <c r="D14" i="42"/>
  <c r="C11" i="15"/>
  <c r="C47" i="15"/>
  <c r="E8" i="13" l="1"/>
  <c r="E302" i="34"/>
  <c r="C16" i="15"/>
  <c r="E308" i="34" l="1"/>
  <c r="E315" i="34" s="1"/>
  <c r="E363" i="34"/>
  <c r="E368" i="34" s="1"/>
  <c r="E536" i="34"/>
  <c r="E287" i="34"/>
  <c r="E520" i="34" s="1"/>
  <c r="E482" i="34" l="1"/>
  <c r="E486" i="34" s="1"/>
  <c r="E487" i="34" s="1"/>
  <c r="E229" i="34" s="1"/>
  <c r="E350" i="34"/>
  <c r="E358" i="34" s="1"/>
  <c r="E371" i="34"/>
  <c r="E372" i="34" s="1"/>
  <c r="E291" i="34"/>
  <c r="E297" i="34" s="1"/>
  <c r="E186" i="34" l="1"/>
  <c r="E187" i="34" s="1"/>
  <c r="E816" i="34" s="1"/>
  <c r="C261" i="3" s="1"/>
  <c r="E826" i="34"/>
  <c r="E230" i="34"/>
  <c r="E815" i="34" s="1"/>
  <c r="C260" i="3" s="1"/>
  <c r="E825" i="34"/>
  <c r="E355" i="34"/>
  <c r="C248" i="3" s="1"/>
  <c r="E796" i="34"/>
  <c r="E801" i="34" s="1"/>
  <c r="E470" i="34"/>
  <c r="E474" i="34" s="1"/>
  <c r="E475" i="34" s="1"/>
  <c r="E226" i="34" s="1"/>
  <c r="E791" i="34"/>
  <c r="E802" i="34" s="1"/>
  <c r="E227" i="34" l="1"/>
  <c r="E359" i="34"/>
  <c r="E183" i="34" s="1"/>
  <c r="C250" i="3"/>
  <c r="E184" i="34" l="1"/>
  <c r="D452" i="6"/>
  <c r="L452" i="6"/>
  <c r="K452" i="6"/>
  <c r="J452" i="6"/>
  <c r="I452" i="6"/>
  <c r="Q119" i="42" s="1"/>
  <c r="G452" i="6"/>
  <c r="L98" i="37"/>
  <c r="L101" i="37" s="1"/>
  <c r="L36" i="37"/>
  <c r="L45" i="37" s="1"/>
  <c r="E57" i="12"/>
  <c r="D1078" i="6" s="1"/>
  <c r="L84" i="37" l="1"/>
  <c r="C181" i="3" s="1"/>
  <c r="H119" i="42"/>
  <c r="I119" i="42" s="1"/>
  <c r="H452" i="6"/>
  <c r="L119" i="42"/>
  <c r="M119" i="42" s="1"/>
  <c r="R119" i="42"/>
  <c r="G454" i="6"/>
  <c r="G28" i="6"/>
  <c r="P107" i="48" s="1"/>
  <c r="L28" i="6"/>
  <c r="L454" i="6"/>
  <c r="K454" i="6"/>
  <c r="K28" i="6"/>
  <c r="I28" i="6"/>
  <c r="I454" i="6"/>
  <c r="D28" i="6"/>
  <c r="D454" i="6"/>
  <c r="J28" i="6"/>
  <c r="J454" i="6"/>
  <c r="E6" i="12"/>
  <c r="E11" i="12" s="1"/>
  <c r="D1081" i="6"/>
  <c r="D288" i="6"/>
  <c r="E96" i="12"/>
  <c r="C7" i="10" s="1"/>
  <c r="AU71" i="37"/>
  <c r="C84" i="3" l="1"/>
  <c r="C36" i="10"/>
  <c r="C242" i="10" s="1"/>
  <c r="C49" i="3" s="1"/>
  <c r="D7" i="10"/>
  <c r="D36" i="10" s="1"/>
  <c r="D242" i="10" s="1"/>
  <c r="H454" i="6"/>
  <c r="J107" i="48"/>
  <c r="H28" i="6"/>
  <c r="J44" i="6"/>
  <c r="I457" i="6"/>
  <c r="I2062" i="6"/>
  <c r="L457" i="6"/>
  <c r="L2062" i="6"/>
  <c r="D44" i="6"/>
  <c r="K44" i="6"/>
  <c r="G44" i="6"/>
  <c r="D2062" i="6"/>
  <c r="D457" i="6"/>
  <c r="I44" i="6"/>
  <c r="L44" i="6"/>
  <c r="H401" i="4"/>
  <c r="J457" i="6"/>
  <c r="J2062" i="6"/>
  <c r="K457" i="6"/>
  <c r="K2062" i="6"/>
  <c r="G457" i="6"/>
  <c r="G2062" i="6"/>
  <c r="AU85" i="37"/>
  <c r="AU90" i="37"/>
  <c r="AU92" i="37" s="1"/>
  <c r="AU93" i="37" s="1"/>
  <c r="AU36" i="37"/>
  <c r="M25" i="37"/>
  <c r="F57" i="12"/>
  <c r="D292" i="6"/>
  <c r="B245" i="10" l="1"/>
  <c r="H457" i="6"/>
  <c r="H44" i="6"/>
  <c r="G407" i="4"/>
  <c r="H407" i="4" s="1"/>
  <c r="G62" i="4"/>
  <c r="E7" i="10" s="1"/>
  <c r="K466" i="6"/>
  <c r="K2042" i="6"/>
  <c r="I466" i="6"/>
  <c r="I2042" i="6"/>
  <c r="G2042" i="6"/>
  <c r="G466" i="6"/>
  <c r="C220" i="42" s="1"/>
  <c r="J2042" i="6"/>
  <c r="J466" i="6"/>
  <c r="D2042" i="6"/>
  <c r="D466" i="6"/>
  <c r="L466" i="6"/>
  <c r="L2042" i="6"/>
  <c r="F6" i="12"/>
  <c r="F96" i="12"/>
  <c r="F7" i="10" s="1"/>
  <c r="M98" i="37"/>
  <c r="M101" i="37" s="1"/>
  <c r="AV71" i="37"/>
  <c r="M36" i="37"/>
  <c r="M45" i="37" s="1"/>
  <c r="G473" i="4" l="1"/>
  <c r="E36" i="10"/>
  <c r="G7" i="10"/>
  <c r="G36" i="10" s="1"/>
  <c r="F36" i="10"/>
  <c r="C102" i="3"/>
  <c r="H62" i="4"/>
  <c r="H466" i="6"/>
  <c r="G466" i="4"/>
  <c r="H466" i="4" s="1"/>
  <c r="G64" i="4"/>
  <c r="H64" i="4" s="1"/>
  <c r="C6" i="11"/>
  <c r="AV85" i="37"/>
  <c r="AV36" i="37"/>
  <c r="AV90" i="37"/>
  <c r="AV92" i="37" s="1"/>
  <c r="AV93" i="37" s="1"/>
  <c r="G1081" i="6"/>
  <c r="H1081" i="6" s="1"/>
  <c r="G288" i="6"/>
  <c r="F11" i="12"/>
  <c r="I401" i="4"/>
  <c r="F84" i="3" l="1"/>
  <c r="C163" i="11"/>
  <c r="K97" i="42"/>
  <c r="M97" i="42" s="1"/>
  <c r="G468" i="4"/>
  <c r="H468" i="4" s="1"/>
  <c r="D220" i="42"/>
  <c r="G7" i="4"/>
  <c r="G82" i="4"/>
  <c r="H82" i="4" s="1"/>
  <c r="G90" i="4"/>
  <c r="G44" i="4" s="1"/>
  <c r="F40" i="3" s="1"/>
  <c r="C21" i="11"/>
  <c r="D6" i="11"/>
  <c r="I407" i="4"/>
  <c r="I466" i="4" s="1"/>
  <c r="I468" i="4" s="1"/>
  <c r="I62" i="4"/>
  <c r="H7" i="10" s="1"/>
  <c r="G292" i="6"/>
  <c r="N25" i="37"/>
  <c r="G57" i="12"/>
  <c r="I1078" i="6" s="1"/>
  <c r="H7" i="4" l="1"/>
  <c r="Q91" i="48"/>
  <c r="C87" i="13"/>
  <c r="C140" i="13" s="1"/>
  <c r="H36" i="10"/>
  <c r="C85" i="3"/>
  <c r="D163" i="11"/>
  <c r="F6" i="11"/>
  <c r="F21" i="11" s="1"/>
  <c r="F102" i="3"/>
  <c r="H292" i="6"/>
  <c r="K103" i="42"/>
  <c r="M103" i="42" s="1"/>
  <c r="G84" i="4"/>
  <c r="H84" i="4" s="1"/>
  <c r="G29" i="4"/>
  <c r="H29" i="4" s="1"/>
  <c r="G14" i="4"/>
  <c r="H14" i="4" s="1"/>
  <c r="G967" i="4"/>
  <c r="H967" i="4" s="1"/>
  <c r="G478" i="4"/>
  <c r="G6" i="12"/>
  <c r="N98" i="37"/>
  <c r="G96" i="12"/>
  <c r="I7" i="10" s="1"/>
  <c r="I36" i="10" s="1"/>
  <c r="G1007" i="4"/>
  <c r="G1011" i="4" s="1"/>
  <c r="D21" i="11"/>
  <c r="E6" i="11"/>
  <c r="E163" i="11" s="1"/>
  <c r="I64" i="4"/>
  <c r="P97" i="42" s="1"/>
  <c r="C224" i="15" l="1"/>
  <c r="C169" i="15" s="1"/>
  <c r="R58" i="42"/>
  <c r="D58" i="42" s="1"/>
  <c r="C86" i="13"/>
  <c r="C55" i="3" s="1"/>
  <c r="C106" i="3"/>
  <c r="C107" i="3" s="1"/>
  <c r="J7" i="10"/>
  <c r="J36" i="10" s="1"/>
  <c r="H478" i="4"/>
  <c r="G954" i="4"/>
  <c r="H954" i="4" s="1"/>
  <c r="G95" i="4"/>
  <c r="G36" i="4"/>
  <c r="G974" i="4"/>
  <c r="H974" i="4" s="1"/>
  <c r="G988" i="4"/>
  <c r="H988" i="4" s="1"/>
  <c r="P103" i="42"/>
  <c r="R97" i="42"/>
  <c r="G11" i="12"/>
  <c r="J401" i="4"/>
  <c r="I288" i="6"/>
  <c r="I473" i="4"/>
  <c r="I82" i="4"/>
  <c r="I7" i="4"/>
  <c r="E21" i="11"/>
  <c r="G6" i="11"/>
  <c r="F85" i="3" s="1"/>
  <c r="G21" i="11" l="1"/>
  <c r="G84" i="3"/>
  <c r="H36" i="4"/>
  <c r="F16" i="3"/>
  <c r="H95" i="4"/>
  <c r="C198" i="42"/>
  <c r="D198" i="42" s="1"/>
  <c r="G961" i="4"/>
  <c r="H961" i="4" s="1"/>
  <c r="G38" i="4"/>
  <c r="H38" i="4" s="1"/>
  <c r="G990" i="4"/>
  <c r="H990" i="4" s="1"/>
  <c r="I90" i="4"/>
  <c r="I44" i="4" s="1"/>
  <c r="G40" i="3" s="1"/>
  <c r="I478" i="4"/>
  <c r="O25" i="37"/>
  <c r="H57" i="12"/>
  <c r="H96" i="12" s="1"/>
  <c r="L7" i="10" s="1"/>
  <c r="J407" i="4"/>
  <c r="J466" i="4" s="1"/>
  <c r="J468" i="4" s="1"/>
  <c r="J62" i="4"/>
  <c r="K7" i="10" s="1"/>
  <c r="H6" i="11"/>
  <c r="I29" i="4"/>
  <c r="I14" i="4"/>
  <c r="I84" i="4"/>
  <c r="I967" i="4"/>
  <c r="K36" i="10" l="1"/>
  <c r="M7" i="10"/>
  <c r="M36" i="10" s="1"/>
  <c r="L36" i="10"/>
  <c r="G102" i="3"/>
  <c r="G976" i="4"/>
  <c r="H976" i="4" s="1"/>
  <c r="G49" i="4"/>
  <c r="E36" i="13"/>
  <c r="E38" i="13" s="1"/>
  <c r="E41" i="13" s="1"/>
  <c r="G998" i="4"/>
  <c r="H998" i="4" s="1"/>
  <c r="O98" i="37"/>
  <c r="I1007" i="4"/>
  <c r="I988" i="4"/>
  <c r="I990" i="4" s="1"/>
  <c r="J64" i="4"/>
  <c r="I95" i="4"/>
  <c r="I954" i="4"/>
  <c r="H21" i="11"/>
  <c r="J1078" i="6"/>
  <c r="H6" i="12"/>
  <c r="I6" i="11"/>
  <c r="J6" i="11" l="1"/>
  <c r="K6" i="11" s="1"/>
  <c r="H49" i="4"/>
  <c r="F123" i="3"/>
  <c r="G980" i="4"/>
  <c r="H980" i="4" s="1"/>
  <c r="G1000" i="4"/>
  <c r="J82" i="4"/>
  <c r="J7" i="4"/>
  <c r="I21" i="11"/>
  <c r="H11" i="12"/>
  <c r="K401" i="4"/>
  <c r="J473" i="4"/>
  <c r="J288" i="6"/>
  <c r="F36" i="13"/>
  <c r="J21" i="11" l="1"/>
  <c r="K21" i="11" s="1"/>
  <c r="G85" i="3"/>
  <c r="H102" i="3"/>
  <c r="H84" i="3"/>
  <c r="J29" i="4"/>
  <c r="J14" i="4"/>
  <c r="J84" i="4"/>
  <c r="J967" i="4"/>
  <c r="L6" i="11"/>
  <c r="K407" i="4"/>
  <c r="K466" i="4" s="1"/>
  <c r="K468" i="4" s="1"/>
  <c r="K62" i="4"/>
  <c r="N7" i="10" s="1"/>
  <c r="J90" i="4"/>
  <c r="J44" i="4" s="1"/>
  <c r="H40" i="3" s="1"/>
  <c r="J478" i="4"/>
  <c r="P25" i="37"/>
  <c r="I57" i="12"/>
  <c r="N36" i="10" l="1"/>
  <c r="J95" i="4"/>
  <c r="J954" i="4"/>
  <c r="J1007" i="4"/>
  <c r="K1078" i="6"/>
  <c r="I6" i="12"/>
  <c r="P98" i="37"/>
  <c r="L21" i="11"/>
  <c r="I96" i="12"/>
  <c r="O7" i="10" s="1"/>
  <c r="O36" i="10" s="1"/>
  <c r="K64" i="4"/>
  <c r="M6" i="11"/>
  <c r="J988" i="4"/>
  <c r="J990" i="4" s="1"/>
  <c r="P7" i="10" l="1"/>
  <c r="P36" i="10" s="1"/>
  <c r="H85" i="3"/>
  <c r="K288" i="6"/>
  <c r="K82" i="4"/>
  <c r="K7" i="4"/>
  <c r="M21" i="11"/>
  <c r="N6" i="11"/>
  <c r="K473" i="4"/>
  <c r="G36" i="13"/>
  <c r="I11" i="12"/>
  <c r="L401" i="4"/>
  <c r="O6" i="11" l="1"/>
  <c r="I84" i="3"/>
  <c r="N21" i="11"/>
  <c r="L407" i="4"/>
  <c r="L466" i="4" s="1"/>
  <c r="L468" i="4" s="1"/>
  <c r="L62" i="4"/>
  <c r="Q7" i="10" s="1"/>
  <c r="K29" i="4"/>
  <c r="K14" i="4"/>
  <c r="J57" i="12"/>
  <c r="K90" i="4"/>
  <c r="K44" i="4" s="1"/>
  <c r="I40" i="3" s="1"/>
  <c r="K478" i="4"/>
  <c r="K967" i="4"/>
  <c r="K84" i="4"/>
  <c r="Q36" i="10" l="1"/>
  <c r="P6" i="11"/>
  <c r="P21" i="11" s="1"/>
  <c r="I102" i="3"/>
  <c r="K988" i="4"/>
  <c r="K990" i="4" s="1"/>
  <c r="K95" i="4"/>
  <c r="K954" i="4"/>
  <c r="O21" i="11"/>
  <c r="L1078" i="6"/>
  <c r="J6" i="12"/>
  <c r="L64" i="4"/>
  <c r="K1007" i="4"/>
  <c r="J96" i="12"/>
  <c r="R7" i="10" s="1"/>
  <c r="R36" i="10" l="1"/>
  <c r="S7" i="10"/>
  <c r="S36" i="10" s="1"/>
  <c r="Q6" i="11"/>
  <c r="Q21" i="11" s="1"/>
  <c r="I85" i="3"/>
  <c r="L82" i="4"/>
  <c r="L7" i="4"/>
  <c r="J11" i="12"/>
  <c r="M401" i="4"/>
  <c r="K6" i="12" s="1"/>
  <c r="L473" i="4"/>
  <c r="H36" i="13"/>
  <c r="L288" i="6"/>
  <c r="J84" i="3" l="1"/>
  <c r="K11" i="12"/>
  <c r="N401" i="4"/>
  <c r="L6" i="12" s="1"/>
  <c r="L84" i="4"/>
  <c r="L967" i="4"/>
  <c r="M407" i="4"/>
  <c r="M466" i="4" s="1"/>
  <c r="M468" i="4" s="1"/>
  <c r="M62" i="4"/>
  <c r="L90" i="4"/>
  <c r="L44" i="4" s="1"/>
  <c r="J40" i="3" s="1"/>
  <c r="L478" i="4"/>
  <c r="L29" i="4"/>
  <c r="L14" i="4"/>
  <c r="K84" i="3" l="1"/>
  <c r="J102" i="3"/>
  <c r="L11" i="12"/>
  <c r="O401" i="4"/>
  <c r="M6" i="12" s="1"/>
  <c r="L1007" i="4"/>
  <c r="L988" i="4"/>
  <c r="L990" i="4" s="1"/>
  <c r="L95" i="4"/>
  <c r="L954" i="4"/>
  <c r="M64" i="4"/>
  <c r="T7" i="10"/>
  <c r="T36" i="10" s="1"/>
  <c r="R6" i="11"/>
  <c r="N62" i="4"/>
  <c r="N407" i="4"/>
  <c r="N466" i="4" s="1"/>
  <c r="N468" i="4" s="1"/>
  <c r="L84" i="3" l="1"/>
  <c r="M11" i="12"/>
  <c r="P401" i="4"/>
  <c r="R21" i="11"/>
  <c r="S6" i="11"/>
  <c r="M82" i="4"/>
  <c r="M7" i="4"/>
  <c r="I36" i="13"/>
  <c r="W7" i="10"/>
  <c r="W36" i="10" s="1"/>
  <c r="N64" i="4"/>
  <c r="O407" i="4"/>
  <c r="O466" i="4" s="1"/>
  <c r="O468" i="4" s="1"/>
  <c r="O62" i="4"/>
  <c r="M473" i="4"/>
  <c r="V7" i="10"/>
  <c r="J85" i="3" l="1"/>
  <c r="K102" i="3"/>
  <c r="V36" i="10"/>
  <c r="M84" i="3"/>
  <c r="M90" i="4"/>
  <c r="M44" i="4" s="1"/>
  <c r="K40" i="3" s="1"/>
  <c r="M478" i="4"/>
  <c r="U6" i="11"/>
  <c r="Z7" i="10"/>
  <c r="Z36" i="10" s="1"/>
  <c r="O64" i="4"/>
  <c r="Y7" i="10"/>
  <c r="N473" i="4"/>
  <c r="M29" i="4"/>
  <c r="M14" i="4"/>
  <c r="M967" i="4"/>
  <c r="M84" i="4"/>
  <c r="P407" i="4"/>
  <c r="P466" i="4" s="1"/>
  <c r="P468" i="4" s="1"/>
  <c r="P62" i="4"/>
  <c r="N82" i="4"/>
  <c r="N7" i="4"/>
  <c r="S21" i="11"/>
  <c r="T6" i="11"/>
  <c r="N6" i="12"/>
  <c r="L102" i="3" l="1"/>
  <c r="Y36" i="10"/>
  <c r="N11" i="12"/>
  <c r="Q401" i="4"/>
  <c r="O6" i="12" s="1"/>
  <c r="N29" i="4"/>
  <c r="N14" i="4"/>
  <c r="M95" i="4"/>
  <c r="M954" i="4"/>
  <c r="N967" i="4"/>
  <c r="N84" i="4"/>
  <c r="N90" i="4"/>
  <c r="N44" i="4" s="1"/>
  <c r="L40" i="3" s="1"/>
  <c r="N478" i="4"/>
  <c r="X6" i="11"/>
  <c r="O82" i="4"/>
  <c r="O7" i="4"/>
  <c r="M988" i="4"/>
  <c r="M990" i="4" s="1"/>
  <c r="AB7" i="10"/>
  <c r="O473" i="4"/>
  <c r="T21" i="11"/>
  <c r="V6" i="11"/>
  <c r="AC7" i="10"/>
  <c r="AC36" i="10" s="1"/>
  <c r="P64" i="4"/>
  <c r="U21" i="11"/>
  <c r="M1007" i="4"/>
  <c r="O11" i="12" l="1"/>
  <c r="R401" i="4"/>
  <c r="P6" i="12" s="1"/>
  <c r="P11" i="12" s="1"/>
  <c r="K85" i="3"/>
  <c r="M102" i="3"/>
  <c r="AB36" i="10"/>
  <c r="N84" i="3"/>
  <c r="Q62" i="4"/>
  <c r="Q407" i="4"/>
  <c r="Q466" i="4" s="1"/>
  <c r="Q468" i="4" s="1"/>
  <c r="V21" i="11"/>
  <c r="W6" i="11"/>
  <c r="P82" i="4"/>
  <c r="P7" i="4"/>
  <c r="AA6" i="11"/>
  <c r="J36" i="13"/>
  <c r="O84" i="4"/>
  <c r="O967" i="4"/>
  <c r="N95" i="4"/>
  <c r="N954" i="4"/>
  <c r="N988" i="4"/>
  <c r="N990" i="4" s="1"/>
  <c r="N1007" i="4"/>
  <c r="AE7" i="10"/>
  <c r="P473" i="4"/>
  <c r="X21" i="11"/>
  <c r="O90" i="4"/>
  <c r="O44" i="4" s="1"/>
  <c r="M40" i="3" s="1"/>
  <c r="O478" i="4"/>
  <c r="O29" i="4"/>
  <c r="O14" i="4"/>
  <c r="O84" i="3" l="1"/>
  <c r="R62" i="4"/>
  <c r="P84" i="3" s="1"/>
  <c r="R407" i="4"/>
  <c r="R466" i="4" s="1"/>
  <c r="R468" i="4" s="1"/>
  <c r="N102" i="3"/>
  <c r="AE36" i="10"/>
  <c r="Q64" i="4"/>
  <c r="Q7" i="4" s="1"/>
  <c r="AF7" i="10"/>
  <c r="AF36" i="10" s="1"/>
  <c r="O988" i="4"/>
  <c r="O990" i="4" s="1"/>
  <c r="AD6" i="11"/>
  <c r="K36" i="13"/>
  <c r="O95" i="4"/>
  <c r="O954" i="4"/>
  <c r="AA21" i="11"/>
  <c r="P967" i="4"/>
  <c r="P84" i="4"/>
  <c r="O1007" i="4"/>
  <c r="P90" i="4"/>
  <c r="P44" i="4" s="1"/>
  <c r="N40" i="3" s="1"/>
  <c r="P478" i="4"/>
  <c r="W21" i="11"/>
  <c r="Y6" i="11"/>
  <c r="P29" i="4"/>
  <c r="P14" i="4"/>
  <c r="AI7" i="10" l="1"/>
  <c r="R64" i="4"/>
  <c r="L85" i="3"/>
  <c r="Q82" i="4"/>
  <c r="Q967" i="4" s="1"/>
  <c r="AH7" i="10"/>
  <c r="Q473" i="4"/>
  <c r="Q29" i="4"/>
  <c r="Q14" i="4"/>
  <c r="P988" i="4"/>
  <c r="P990" i="4" s="1"/>
  <c r="Y21" i="11"/>
  <c r="Z6" i="11"/>
  <c r="AD21" i="11"/>
  <c r="P1007" i="4"/>
  <c r="L36" i="13"/>
  <c r="P95" i="4"/>
  <c r="P954" i="4"/>
  <c r="R82" i="4" l="1"/>
  <c r="R7" i="4"/>
  <c r="R473" i="4"/>
  <c r="AI36" i="10"/>
  <c r="AK7" i="10"/>
  <c r="P102" i="3" s="1"/>
  <c r="O102" i="3"/>
  <c r="AH36" i="10"/>
  <c r="Q84" i="4"/>
  <c r="Q954" i="4" s="1"/>
  <c r="Q90" i="4"/>
  <c r="Q44" i="4" s="1"/>
  <c r="O40" i="3" s="1"/>
  <c r="Q478" i="4"/>
  <c r="AG6" i="11"/>
  <c r="Q988" i="4"/>
  <c r="Q990" i="4" s="1"/>
  <c r="Z21" i="11"/>
  <c r="AB6" i="11"/>
  <c r="M36" i="13"/>
  <c r="R90" i="4" l="1"/>
  <c r="R44" i="4" s="1"/>
  <c r="R478" i="4"/>
  <c r="AJ6" i="11"/>
  <c r="AJ21" i="11" s="1"/>
  <c r="AK36" i="10"/>
  <c r="R29" i="4"/>
  <c r="R14" i="4"/>
  <c r="R84" i="4"/>
  <c r="R967" i="4"/>
  <c r="M85" i="3"/>
  <c r="Q95" i="4"/>
  <c r="AG21" i="11"/>
  <c r="Q1007" i="4"/>
  <c r="N36" i="13"/>
  <c r="AB21" i="11"/>
  <c r="AC6" i="11"/>
  <c r="R95" i="4" l="1"/>
  <c r="R954" i="4"/>
  <c r="R988" i="4"/>
  <c r="R990" i="4" s="1"/>
  <c r="R1007" i="4"/>
  <c r="P40" i="3"/>
  <c r="AC21" i="11"/>
  <c r="AE6" i="11"/>
  <c r="O36" i="13" l="1"/>
  <c r="AF6" i="11"/>
  <c r="N85" i="3"/>
  <c r="AE21" i="11"/>
  <c r="AH6" i="11" l="1"/>
  <c r="AF21" i="11"/>
  <c r="O452" i="6"/>
  <c r="N452" i="6"/>
  <c r="CN119" i="9"/>
  <c r="AD138" i="9"/>
  <c r="I39" i="45"/>
  <c r="I45" i="45" s="1"/>
  <c r="I46" i="45" s="1"/>
  <c r="I47" i="45" s="1"/>
  <c r="I48" i="45" s="1"/>
  <c r="AH21" i="11" l="1"/>
  <c r="AI6" i="11"/>
  <c r="O85" i="3"/>
  <c r="O454" i="6"/>
  <c r="O28" i="6"/>
  <c r="N28" i="6"/>
  <c r="N454" i="6"/>
  <c r="AE119" i="9"/>
  <c r="AE138" i="9" s="1"/>
  <c r="N7" i="37" s="1"/>
  <c r="CO119" i="9"/>
  <c r="J39" i="45"/>
  <c r="J45" i="45" s="1"/>
  <c r="J46" i="45" s="1"/>
  <c r="J47" i="45" s="1"/>
  <c r="J48" i="45" s="1"/>
  <c r="CN211" i="9"/>
  <c r="G209" i="9"/>
  <c r="G211" i="9" s="1"/>
  <c r="I290" i="6"/>
  <c r="I1081" i="6"/>
  <c r="AD209" i="9"/>
  <c r="AD211" i="9" s="1"/>
  <c r="AK6" i="11" l="1"/>
  <c r="AI21" i="11"/>
  <c r="AJ119" i="9"/>
  <c r="AJ138" i="9" s="1"/>
  <c r="AI138" i="9"/>
  <c r="N44" i="6"/>
  <c r="O44" i="6"/>
  <c r="N457" i="6"/>
  <c r="N2062" i="6"/>
  <c r="O457" i="6"/>
  <c r="O2062" i="6"/>
  <c r="N96" i="37"/>
  <c r="N101" i="37" s="1"/>
  <c r="CP119" i="9"/>
  <c r="K39" i="45"/>
  <c r="K45" i="45" s="1"/>
  <c r="K46" i="45" s="1"/>
  <c r="K47" i="45" s="1"/>
  <c r="K48" i="45" s="1"/>
  <c r="I947" i="6"/>
  <c r="I178" i="6"/>
  <c r="I180" i="6" s="1"/>
  <c r="AE209" i="9"/>
  <c r="AE211" i="9" s="1"/>
  <c r="G232" i="3" s="1"/>
  <c r="G214" i="9"/>
  <c r="G216" i="9" s="1"/>
  <c r="G16" i="34"/>
  <c r="F80" i="13"/>
  <c r="G71" i="3" s="1"/>
  <c r="H209" i="9"/>
  <c r="H211" i="9" s="1"/>
  <c r="J946" i="6"/>
  <c r="CO211" i="9"/>
  <c r="H686" i="34" s="1"/>
  <c r="I292" i="6"/>
  <c r="G686" i="34"/>
  <c r="G688" i="34" s="1"/>
  <c r="G680" i="34"/>
  <c r="J1081" i="6"/>
  <c r="J290" i="6"/>
  <c r="AK21" i="11" l="1"/>
  <c r="P85" i="3"/>
  <c r="O7" i="37"/>
  <c r="O36" i="37" s="1"/>
  <c r="O45" i="37" s="1"/>
  <c r="O84" i="37" s="1"/>
  <c r="H181" i="3" s="1"/>
  <c r="AI209" i="9"/>
  <c r="AI211" i="9" s="1"/>
  <c r="AO119" i="9"/>
  <c r="AO138" i="9" s="1"/>
  <c r="AN138" i="9"/>
  <c r="I65" i="6"/>
  <c r="G69" i="3" s="1"/>
  <c r="G72" i="3" s="1"/>
  <c r="O466" i="6"/>
  <c r="O2042" i="6"/>
  <c r="N2042" i="6"/>
  <c r="N466" i="6"/>
  <c r="N36" i="37"/>
  <c r="N45" i="37" s="1"/>
  <c r="J178" i="6"/>
  <c r="J180" i="6" s="1"/>
  <c r="J947" i="6"/>
  <c r="I209" i="9"/>
  <c r="I211" i="9" s="1"/>
  <c r="K946" i="6"/>
  <c r="CP211" i="9"/>
  <c r="G200" i="34"/>
  <c r="G828" i="34" s="1"/>
  <c r="G792" i="34"/>
  <c r="G803" i="34" s="1"/>
  <c r="J292" i="6"/>
  <c r="G682" i="34"/>
  <c r="G197" i="34" s="1"/>
  <c r="G254" i="3"/>
  <c r="H214" i="9"/>
  <c r="H216" i="9" s="1"/>
  <c r="G80" i="13"/>
  <c r="H71" i="3" s="1"/>
  <c r="H680" i="34"/>
  <c r="H688" i="34"/>
  <c r="F133" i="13"/>
  <c r="T49" i="42"/>
  <c r="G206" i="15"/>
  <c r="K1081" i="6"/>
  <c r="K290" i="6"/>
  <c r="AJ209" i="9"/>
  <c r="AJ211" i="9" s="1"/>
  <c r="H16" i="34"/>
  <c r="G18" i="34"/>
  <c r="G141" i="34" s="1"/>
  <c r="G139" i="34"/>
  <c r="CQ119" i="9"/>
  <c r="L39" i="45"/>
  <c r="L45" i="45" s="1"/>
  <c r="L46" i="45" s="1"/>
  <c r="L47" i="45" s="1"/>
  <c r="L48" i="45" s="1"/>
  <c r="O96" i="37" l="1"/>
  <c r="O101" i="37" s="1"/>
  <c r="P7" i="37"/>
  <c r="P36" i="37" s="1"/>
  <c r="P45" i="37" s="1"/>
  <c r="P84" i="37" s="1"/>
  <c r="I181" i="3" s="1"/>
  <c r="AN209" i="9"/>
  <c r="AN211" i="9" s="1"/>
  <c r="H232" i="3"/>
  <c r="AT119" i="9"/>
  <c r="AT138" i="9" s="1"/>
  <c r="AS138" i="9"/>
  <c r="AS209" i="9" s="1"/>
  <c r="J65" i="6"/>
  <c r="H69" i="3" s="1"/>
  <c r="H72" i="3" s="1"/>
  <c r="I214" i="9"/>
  <c r="I216" i="9" s="1"/>
  <c r="H80" i="13"/>
  <c r="I71" i="3" s="1"/>
  <c r="L1081" i="6"/>
  <c r="L290" i="6"/>
  <c r="H139" i="34"/>
  <c r="I16" i="34"/>
  <c r="H18" i="34"/>
  <c r="H141" i="34" s="1"/>
  <c r="F49" i="42"/>
  <c r="H254" i="3"/>
  <c r="H682" i="34"/>
  <c r="H197" i="34" s="1"/>
  <c r="I686" i="34"/>
  <c r="I688" i="34" s="1"/>
  <c r="I680" i="34"/>
  <c r="CQ211" i="9"/>
  <c r="J209" i="9"/>
  <c r="J211" i="9" s="1"/>
  <c r="L946" i="6"/>
  <c r="K178" i="6"/>
  <c r="K180" i="6" s="1"/>
  <c r="K947" i="6"/>
  <c r="G151" i="15"/>
  <c r="CR119" i="9"/>
  <c r="M39" i="45"/>
  <c r="M45" i="45" s="1"/>
  <c r="M46" i="45" s="1"/>
  <c r="M47" i="45" s="1"/>
  <c r="M48" i="45" s="1"/>
  <c r="AX138" i="9"/>
  <c r="K292" i="6"/>
  <c r="H200" i="34"/>
  <c r="H792" i="34"/>
  <c r="H803" i="34" s="1"/>
  <c r="G133" i="13"/>
  <c r="U49" i="42"/>
  <c r="H206" i="15"/>
  <c r="G198" i="34"/>
  <c r="G201" i="34"/>
  <c r="G818" i="34" s="1"/>
  <c r="G263" i="3" s="1"/>
  <c r="AO209" i="9"/>
  <c r="AO211" i="9" s="1"/>
  <c r="N84" i="37" l="1"/>
  <c r="G181" i="3" s="1"/>
  <c r="Q7" i="37"/>
  <c r="Q36" i="37" s="1"/>
  <c r="Q45" i="37" s="1"/>
  <c r="Q84" i="37" s="1"/>
  <c r="J181" i="3" s="1"/>
  <c r="H201" i="34"/>
  <c r="H818" i="34" s="1"/>
  <c r="H263" i="3" s="1"/>
  <c r="H828" i="34"/>
  <c r="H198" i="34"/>
  <c r="P96" i="37"/>
  <c r="P101" i="37" s="1"/>
  <c r="I232" i="3"/>
  <c r="K65" i="6"/>
  <c r="I69" i="3" s="1"/>
  <c r="I72" i="3" s="1"/>
  <c r="J214" i="9"/>
  <c r="J216" i="9" s="1"/>
  <c r="I80" i="13"/>
  <c r="J71" i="3" s="1"/>
  <c r="I200" i="34"/>
  <c r="I792" i="34"/>
  <c r="I803" i="34" s="1"/>
  <c r="I18" i="34"/>
  <c r="I141" i="34" s="1"/>
  <c r="I139" i="34"/>
  <c r="J16" i="34"/>
  <c r="AS211" i="9"/>
  <c r="J686" i="34"/>
  <c r="J688" i="34" s="1"/>
  <c r="J680" i="34"/>
  <c r="H133" i="13"/>
  <c r="V49" i="42"/>
  <c r="I206" i="15"/>
  <c r="BC138" i="9"/>
  <c r="N39" i="45"/>
  <c r="N45" i="45" s="1"/>
  <c r="N46" i="45" s="1"/>
  <c r="N47" i="45" s="1"/>
  <c r="N48" i="45" s="1"/>
  <c r="CS119" i="9"/>
  <c r="AX209" i="9"/>
  <c r="AX211" i="9" s="1"/>
  <c r="M1081" i="6"/>
  <c r="M290" i="6"/>
  <c r="AT209" i="9"/>
  <c r="AT211" i="9" s="1"/>
  <c r="L292" i="6"/>
  <c r="H151" i="15"/>
  <c r="G49" i="42"/>
  <c r="K209" i="9"/>
  <c r="K211" i="9" s="1"/>
  <c r="M946" i="6"/>
  <c r="CR211" i="9"/>
  <c r="AY119" i="9"/>
  <c r="AY138" i="9" s="1"/>
  <c r="L178" i="6"/>
  <c r="L180" i="6" s="1"/>
  <c r="L947" i="6"/>
  <c r="I254" i="3"/>
  <c r="I682" i="34"/>
  <c r="I197" i="34" s="1"/>
  <c r="Q96" i="37" l="1"/>
  <c r="Q101" i="37" s="1"/>
  <c r="I201" i="34"/>
  <c r="I818" i="34" s="1"/>
  <c r="I263" i="3" s="1"/>
  <c r="I828" i="34"/>
  <c r="R7" i="37"/>
  <c r="R96" i="37" s="1"/>
  <c r="R101" i="37" s="1"/>
  <c r="J232" i="3"/>
  <c r="K214" i="9"/>
  <c r="K216" i="9" s="1"/>
  <c r="J80" i="13"/>
  <c r="K71" i="3" s="1"/>
  <c r="CT119" i="9"/>
  <c r="O39" i="45"/>
  <c r="O45" i="45" s="1"/>
  <c r="O46" i="45" s="1"/>
  <c r="O47" i="45" s="1"/>
  <c r="O48" i="45" s="1"/>
  <c r="P48" i="45" s="1"/>
  <c r="BH138" i="9"/>
  <c r="K686" i="34"/>
  <c r="K688" i="34" s="1"/>
  <c r="K680" i="34"/>
  <c r="L65" i="6"/>
  <c r="J69" i="3" s="1"/>
  <c r="J72" i="3" s="1"/>
  <c r="L209" i="9"/>
  <c r="L211" i="9" s="1"/>
  <c r="N946" i="6"/>
  <c r="CS211" i="9"/>
  <c r="H49" i="42"/>
  <c r="J139" i="34"/>
  <c r="J18" i="34"/>
  <c r="J141" i="34" s="1"/>
  <c r="K16" i="34"/>
  <c r="I133" i="13"/>
  <c r="W49" i="42"/>
  <c r="J206" i="15"/>
  <c r="I198" i="34"/>
  <c r="M947" i="6"/>
  <c r="M178" i="6"/>
  <c r="M180" i="6" s="1"/>
  <c r="N1081" i="6"/>
  <c r="N290" i="6"/>
  <c r="BC209" i="9"/>
  <c r="BC211" i="9" s="1"/>
  <c r="J682" i="34"/>
  <c r="J197" i="34" s="1"/>
  <c r="J254" i="3"/>
  <c r="AY209" i="9"/>
  <c r="AY211" i="9" s="1"/>
  <c r="K232" i="3" s="1"/>
  <c r="M292" i="6"/>
  <c r="BD119" i="9"/>
  <c r="BD138" i="9" s="1"/>
  <c r="I151" i="15"/>
  <c r="J200" i="34"/>
  <c r="J828" i="34" s="1"/>
  <c r="J792" i="34"/>
  <c r="J803" i="34" s="1"/>
  <c r="J198" i="34" l="1"/>
  <c r="R36" i="37"/>
  <c r="S7" i="37"/>
  <c r="S96" i="37" s="1"/>
  <c r="S101" i="37" s="1"/>
  <c r="M65" i="6"/>
  <c r="K69" i="3" s="1"/>
  <c r="K72" i="3" s="1"/>
  <c r="J201" i="34"/>
  <c r="J818" i="34" s="1"/>
  <c r="J263" i="3" s="1"/>
  <c r="K139" i="34"/>
  <c r="L16" i="34"/>
  <c r="K18" i="34"/>
  <c r="K141" i="34" s="1"/>
  <c r="BD209" i="9"/>
  <c r="BD211" i="9" s="1"/>
  <c r="L232" i="3" s="1"/>
  <c r="O1081" i="6"/>
  <c r="O290" i="6"/>
  <c r="L214" i="9"/>
  <c r="L216" i="9" s="1"/>
  <c r="K80" i="13"/>
  <c r="L71" i="3" s="1"/>
  <c r="K254" i="3"/>
  <c r="K682" i="34"/>
  <c r="K197" i="34" s="1"/>
  <c r="J151" i="15"/>
  <c r="CU119" i="9"/>
  <c r="L686" i="34"/>
  <c r="L688" i="34" s="1"/>
  <c r="L680" i="34"/>
  <c r="K200" i="34"/>
  <c r="K792" i="34"/>
  <c r="K803" i="34" s="1"/>
  <c r="J133" i="13"/>
  <c r="X49" i="42"/>
  <c r="K206" i="15"/>
  <c r="N292" i="6"/>
  <c r="I49" i="42"/>
  <c r="N178" i="6"/>
  <c r="N180" i="6" s="1"/>
  <c r="N947" i="6"/>
  <c r="O946" i="6"/>
  <c r="M209" i="9"/>
  <c r="M211" i="9" s="1"/>
  <c r="CT211" i="9"/>
  <c r="BI119" i="9"/>
  <c r="BI138" i="9" s="1"/>
  <c r="K201" i="34" l="1"/>
  <c r="K818" i="34" s="1"/>
  <c r="K263" i="3" s="1"/>
  <c r="K828" i="34"/>
  <c r="R45" i="37"/>
  <c r="R84" i="37" s="1"/>
  <c r="K181" i="3" s="1"/>
  <c r="BN119" i="9"/>
  <c r="BN138" i="9" s="1"/>
  <c r="U7" i="37" s="1"/>
  <c r="U96" i="37" s="1"/>
  <c r="U101" i="37" s="1"/>
  <c r="BM138" i="9"/>
  <c r="S36" i="37"/>
  <c r="S45" i="37" s="1"/>
  <c r="T7" i="37"/>
  <c r="T96" i="37" s="1"/>
  <c r="T101" i="37" s="1"/>
  <c r="N65" i="6"/>
  <c r="L69" i="3" s="1"/>
  <c r="L72" i="3" s="1"/>
  <c r="BH209" i="9"/>
  <c r="BH211" i="9" s="1"/>
  <c r="M214" i="9"/>
  <c r="M216" i="9" s="1"/>
  <c r="L80" i="13"/>
  <c r="M71" i="3" s="1"/>
  <c r="M680" i="34"/>
  <c r="M686" i="34"/>
  <c r="M688" i="34" s="1"/>
  <c r="K151" i="15"/>
  <c r="L792" i="34"/>
  <c r="L803" i="34" s="1"/>
  <c r="L200" i="34"/>
  <c r="K198" i="34"/>
  <c r="L18" i="34"/>
  <c r="L141" i="34" s="1"/>
  <c r="L139" i="34"/>
  <c r="M16" i="34"/>
  <c r="P1081" i="6"/>
  <c r="P290" i="6"/>
  <c r="BI209" i="9"/>
  <c r="BI211" i="9" s="1"/>
  <c r="J49" i="42"/>
  <c r="N209" i="9"/>
  <c r="N211" i="9" s="1"/>
  <c r="CU211" i="9"/>
  <c r="P946" i="6"/>
  <c r="K133" i="13"/>
  <c r="L206" i="15"/>
  <c r="Y49" i="42"/>
  <c r="O947" i="6"/>
  <c r="O178" i="6"/>
  <c r="O180" i="6" s="1"/>
  <c r="L254" i="3"/>
  <c r="L682" i="34"/>
  <c r="L197" i="34" s="1"/>
  <c r="O292" i="6"/>
  <c r="M254" i="3" l="1"/>
  <c r="L201" i="34"/>
  <c r="L818" i="34" s="1"/>
  <c r="L263" i="3" s="1"/>
  <c r="L828" i="34"/>
  <c r="S84" i="37"/>
  <c r="L181" i="3" s="1"/>
  <c r="BM209" i="9"/>
  <c r="BM211" i="9" s="1"/>
  <c r="T36" i="37"/>
  <c r="T45" i="37" s="1"/>
  <c r="U36" i="37"/>
  <c r="U45" i="37" s="1"/>
  <c r="M232" i="3"/>
  <c r="O65" i="6"/>
  <c r="M69" i="3" s="1"/>
  <c r="M72" i="3" s="1"/>
  <c r="N214" i="9"/>
  <c r="N216" i="9" s="1"/>
  <c r="M80" i="13"/>
  <c r="M682" i="34"/>
  <c r="M197" i="34" s="1"/>
  <c r="P947" i="6"/>
  <c r="P178" i="6"/>
  <c r="P180" i="6" s="1"/>
  <c r="P292" i="6"/>
  <c r="L133" i="13"/>
  <c r="Z49" i="42"/>
  <c r="M206" i="15"/>
  <c r="L151" i="15"/>
  <c r="N680" i="34"/>
  <c r="N686" i="34"/>
  <c r="N688" i="34" s="1"/>
  <c r="M139" i="34"/>
  <c r="M18" i="34"/>
  <c r="M141" i="34" s="1"/>
  <c r="N16" i="34"/>
  <c r="O16" i="34" s="1"/>
  <c r="P16" i="34" s="1"/>
  <c r="L198" i="34"/>
  <c r="K49" i="42"/>
  <c r="BN209" i="9"/>
  <c r="BN211" i="9" s="1"/>
  <c r="M200" i="34"/>
  <c r="M828" i="34" s="1"/>
  <c r="M792" i="34"/>
  <c r="M803" i="34" s="1"/>
  <c r="N254" i="3" l="1"/>
  <c r="P139" i="34"/>
  <c r="P18" i="34"/>
  <c r="P141" i="34" s="1"/>
  <c r="N71" i="3"/>
  <c r="M133" i="13"/>
  <c r="U84" i="37"/>
  <c r="N181" i="3" s="1"/>
  <c r="T84" i="37"/>
  <c r="M181" i="3" s="1"/>
  <c r="AB44" i="42"/>
  <c r="M198" i="34"/>
  <c r="M201" i="34"/>
  <c r="M818" i="34" s="1"/>
  <c r="M263" i="3" s="1"/>
  <c r="O139" i="34"/>
  <c r="O18" i="34"/>
  <c r="O141" i="34" s="1"/>
  <c r="Q289" i="6"/>
  <c r="Q1081" i="6"/>
  <c r="N682" i="34"/>
  <c r="N197" i="34" s="1"/>
  <c r="P198" i="34" s="1"/>
  <c r="N232" i="3"/>
  <c r="P65" i="6"/>
  <c r="N69" i="3" s="1"/>
  <c r="N139" i="34"/>
  <c r="N18" i="34"/>
  <c r="N141" i="34" s="1"/>
  <c r="N792" i="34"/>
  <c r="N803" i="34" s="1"/>
  <c r="N200" i="34"/>
  <c r="M151" i="15"/>
  <c r="L49" i="42"/>
  <c r="N206" i="15"/>
  <c r="AA49" i="42"/>
  <c r="P201" i="34" l="1"/>
  <c r="P818" i="34" s="1"/>
  <c r="P263" i="3" s="1"/>
  <c r="N201" i="34"/>
  <c r="N818" i="34" s="1"/>
  <c r="N263" i="3" s="1"/>
  <c r="N828" i="34"/>
  <c r="N198" i="34"/>
  <c r="N72" i="3"/>
  <c r="N44" i="42"/>
  <c r="AB47" i="42"/>
  <c r="O198" i="34"/>
  <c r="N143" i="13"/>
  <c r="O201" i="34"/>
  <c r="O818" i="34" s="1"/>
  <c r="O263" i="3" s="1"/>
  <c r="Q64" i="6"/>
  <c r="O61" i="3" s="1"/>
  <c r="O64" i="3" s="1"/>
  <c r="Q292" i="6"/>
  <c r="M49" i="42"/>
  <c r="N151" i="15"/>
  <c r="N47" i="42" l="1"/>
  <c r="H942" i="7" l="1"/>
  <c r="H1074" i="7"/>
  <c r="H414" i="7"/>
  <c r="H477" i="7" s="1"/>
  <c r="H245" i="7"/>
  <c r="E85" i="15"/>
  <c r="E21" i="42"/>
  <c r="E81" i="42" s="1"/>
  <c r="F85" i="15" l="1"/>
  <c r="C249" i="42"/>
  <c r="E23" i="15"/>
  <c r="F23" i="15" l="1"/>
  <c r="E249" i="42"/>
  <c r="H1840" i="6"/>
  <c r="H1903" i="6" s="1"/>
  <c r="H1338" i="6"/>
  <c r="H752" i="6"/>
  <c r="H833" i="7"/>
  <c r="H1190" i="7"/>
  <c r="H543" i="7"/>
  <c r="H718" i="7" s="1"/>
  <c r="H1121" i="7"/>
  <c r="H817" i="6" l="1"/>
  <c r="H883" i="6" s="1"/>
  <c r="H952" i="6"/>
  <c r="H1578" i="6" s="1"/>
  <c r="H1086" i="6" l="1"/>
  <c r="H1153" i="6" s="1"/>
  <c r="H1019" i="6"/>
  <c r="H1272" i="6" l="1"/>
  <c r="H1215" i="6"/>
  <c r="H1705" i="6" l="1"/>
  <c r="H1772" i="6" s="1"/>
  <c r="H1467" i="6"/>
  <c r="H1379" i="6"/>
  <c r="H1431" i="6" s="1"/>
  <c r="H1514" i="6"/>
  <c r="B107" i="3"/>
  <c r="C687" i="6"/>
  <c r="C63" i="6" l="1"/>
  <c r="B47" i="3" s="1"/>
  <c r="B49" i="3" s="1"/>
  <c r="Q58" i="42"/>
  <c r="B140" i="13"/>
  <c r="B224" i="15"/>
  <c r="B54" i="3" l="1"/>
  <c r="B50" i="3"/>
  <c r="D408" i="34"/>
  <c r="D415" i="34" s="1"/>
  <c r="D269" i="34" s="1"/>
  <c r="D423" i="34"/>
  <c r="D431" i="34" s="1"/>
  <c r="D271" i="34" s="1"/>
  <c r="D797" i="34" s="1"/>
  <c r="B169" i="15"/>
  <c r="B230" i="15"/>
  <c r="B175" i="15" l="1"/>
  <c r="C230" i="15"/>
  <c r="E420" i="34" l="1"/>
  <c r="E405" i="34"/>
  <c r="C175" i="15"/>
  <c r="Q687" i="6" l="1"/>
  <c r="D1210" i="6" l="1"/>
  <c r="D352" i="6"/>
  <c r="T209" i="9"/>
  <c r="T211" i="9" s="1"/>
  <c r="U155" i="9"/>
  <c r="BX209" i="9" l="1"/>
  <c r="BX211" i="9" s="1"/>
  <c r="P232" i="3" s="1"/>
  <c r="D356" i="6"/>
  <c r="U209" i="9"/>
  <c r="U211" i="9" s="1"/>
  <c r="C232" i="3" s="1"/>
  <c r="D121" i="11"/>
  <c r="E121" i="11" l="1"/>
  <c r="G121" i="11" l="1"/>
  <c r="H121" i="11" l="1"/>
  <c r="J121" i="11" l="1"/>
  <c r="K121" i="11" l="1"/>
  <c r="M121" i="11" l="1"/>
  <c r="N121" i="11" l="1"/>
  <c r="P121" i="11" l="1"/>
  <c r="Q121" i="11" l="1"/>
  <c r="S121" i="11" l="1"/>
  <c r="T121" i="11" l="1"/>
  <c r="V121" i="11" l="1"/>
  <c r="W121" i="11" l="1"/>
  <c r="Y121" i="11" l="1"/>
  <c r="Z121" i="11" l="1"/>
  <c r="AB121" i="11" l="1"/>
  <c r="AC121" i="11" l="1"/>
  <c r="AE121" i="11" l="1"/>
  <c r="AF121" i="11" s="1"/>
  <c r="AH121" i="11" l="1"/>
  <c r="AI121" i="11" s="1"/>
  <c r="AK121" i="11" s="1"/>
  <c r="C1960" i="6" l="1"/>
  <c r="C686" i="6" l="1"/>
  <c r="B55" i="3" l="1"/>
  <c r="C62" i="6"/>
  <c r="B39" i="3" s="1"/>
  <c r="B41" i="3" s="1"/>
  <c r="C690" i="6"/>
  <c r="B122" i="3" s="1"/>
  <c r="B124" i="3" s="1"/>
  <c r="B141" i="13" l="1"/>
  <c r="B139" i="13"/>
  <c r="Q59" i="42"/>
  <c r="C59" i="42" s="1"/>
  <c r="B223" i="15"/>
  <c r="B168" i="15" s="1"/>
  <c r="B53" i="3"/>
  <c r="B42" i="3"/>
  <c r="B157" i="11"/>
  <c r="C67" i="6"/>
  <c r="B229" i="15" l="1"/>
  <c r="B174" i="15" s="1"/>
  <c r="B56" i="3"/>
  <c r="B144" i="13"/>
  <c r="B146" i="13" s="1"/>
  <c r="B92" i="3" s="1"/>
  <c r="B91" i="13"/>
  <c r="B267" i="3" s="1"/>
  <c r="B280" i="3"/>
  <c r="Q60" i="42"/>
  <c r="C60" i="42" s="1"/>
  <c r="B225" i="15"/>
  <c r="B226" i="15" s="1"/>
  <c r="B159" i="11"/>
  <c r="B162" i="11" s="1"/>
  <c r="D1955" i="6"/>
  <c r="D1960" i="6" s="1"/>
  <c r="C151" i="11"/>
  <c r="B170" i="15" l="1"/>
  <c r="B171" i="15" s="1"/>
  <c r="B231" i="15"/>
  <c r="D674" i="34" s="1"/>
  <c r="D279" i="34" s="1"/>
  <c r="D686" i="6"/>
  <c r="B232" i="15" l="1"/>
  <c r="B176" i="15"/>
  <c r="B177" i="15" s="1"/>
  <c r="D151" i="11"/>
  <c r="D690" i="6"/>
  <c r="B243" i="3" l="1"/>
  <c r="H1788" i="6"/>
  <c r="E151" i="11"/>
  <c r="S9" i="42" l="1"/>
  <c r="G1799" i="6"/>
  <c r="H1799" i="6" s="1"/>
  <c r="G633" i="6"/>
  <c r="H633" i="6" s="1"/>
  <c r="G635" i="6" l="1"/>
  <c r="H635" i="6" s="1"/>
  <c r="S71" i="42"/>
  <c r="E9" i="42"/>
  <c r="E41" i="15"/>
  <c r="B235" i="42" s="1"/>
  <c r="K123" i="42" l="1"/>
  <c r="G16" i="6"/>
  <c r="F41" i="15"/>
  <c r="E10" i="15"/>
  <c r="E235" i="42" s="1"/>
  <c r="E71" i="42"/>
  <c r="H16" i="6" l="1"/>
  <c r="Q111" i="48"/>
  <c r="G19" i="6"/>
  <c r="H19" i="6" s="1"/>
  <c r="K125" i="42"/>
  <c r="K138" i="42" s="1"/>
  <c r="F10" i="15"/>
  <c r="P236" i="48" l="1"/>
  <c r="P248" i="48"/>
  <c r="P237" i="48"/>
  <c r="P232" i="48"/>
  <c r="P247" i="48"/>
  <c r="P233" i="48"/>
  <c r="P244" i="48"/>
  <c r="P250" i="48"/>
  <c r="P226" i="48"/>
  <c r="P228" i="48"/>
  <c r="P251" i="48"/>
  <c r="P240" i="48"/>
  <c r="P243" i="48"/>
  <c r="P252" i="48"/>
  <c r="P235" i="48"/>
  <c r="Q116" i="48"/>
  <c r="Q124" i="48" s="1"/>
  <c r="P249" i="48"/>
  <c r="P231" i="48"/>
  <c r="P239" i="48"/>
  <c r="P230" i="48"/>
  <c r="P241" i="48"/>
  <c r="P246" i="48"/>
  <c r="P229" i="48"/>
  <c r="P238" i="48"/>
  <c r="P234" i="48"/>
  <c r="P225" i="48"/>
  <c r="P245" i="48"/>
  <c r="P227" i="48"/>
  <c r="P242" i="48"/>
  <c r="E26" i="13"/>
  <c r="E44" i="13" s="1"/>
  <c r="K144" i="42"/>
  <c r="E116" i="13" l="1"/>
  <c r="S10" i="42" l="1"/>
  <c r="E42" i="15" s="1"/>
  <c r="B236" i="42" s="1"/>
  <c r="B239" i="42" s="1"/>
  <c r="B242" i="42" s="1"/>
  <c r="E187" i="15"/>
  <c r="E132" i="15" l="1"/>
  <c r="F132" i="15" s="1"/>
  <c r="F807" i="34"/>
  <c r="F187" i="15"/>
  <c r="E10" i="42"/>
  <c r="E73" i="42" s="1"/>
  <c r="E74" i="42" s="1"/>
  <c r="S14" i="42"/>
  <c r="S73" i="42"/>
  <c r="S74" i="42" s="1"/>
  <c r="F42" i="15"/>
  <c r="E11" i="15"/>
  <c r="E236" i="42" s="1"/>
  <c r="E239" i="42" s="1"/>
  <c r="E242" i="42" s="1"/>
  <c r="E47" i="15"/>
  <c r="S87" i="42" l="1"/>
  <c r="E14" i="42"/>
  <c r="F11" i="15"/>
  <c r="E16" i="15"/>
  <c r="F47" i="15"/>
  <c r="F302" i="34"/>
  <c r="F308" i="34" s="1"/>
  <c r="F536" i="34" l="1"/>
  <c r="F363" i="34"/>
  <c r="F16" i="15"/>
  <c r="F287" i="34"/>
  <c r="F350" i="34" l="1"/>
  <c r="F520" i="34"/>
  <c r="F291" i="34"/>
  <c r="F371" i="34"/>
  <c r="F482" i="34"/>
  <c r="F486" i="34" s="1"/>
  <c r="F487" i="34" s="1"/>
  <c r="F368" i="34"/>
  <c r="F315" i="34"/>
  <c r="F372" i="34" l="1"/>
  <c r="F297" i="34"/>
  <c r="F796" i="34"/>
  <c r="F801" i="34" s="1"/>
  <c r="F229" i="34"/>
  <c r="F825" i="34" s="1"/>
  <c r="F358" i="34"/>
  <c r="F355" i="34"/>
  <c r="F470" i="34"/>
  <c r="F474" i="34" s="1"/>
  <c r="F186" i="34" l="1"/>
  <c r="F826" i="34"/>
  <c r="F791" i="34"/>
  <c r="F802" i="34" s="1"/>
  <c r="F475" i="34"/>
  <c r="F226" i="34" s="1"/>
  <c r="F250" i="3"/>
  <c r="F248" i="3"/>
  <c r="F359" i="34"/>
  <c r="F183" i="34" s="1"/>
  <c r="F230" i="34"/>
  <c r="F187" i="34"/>
  <c r="F816" i="34" s="1"/>
  <c r="F261" i="3" s="1"/>
  <c r="F815" i="34" l="1"/>
  <c r="F260" i="3" s="1"/>
  <c r="F227" i="34"/>
  <c r="F184" i="34"/>
  <c r="K560" i="34" l="1"/>
  <c r="K253" i="34" s="1"/>
  <c r="J560" i="34"/>
  <c r="J253" i="34" s="1"/>
  <c r="N560" i="34"/>
  <c r="N253" i="34" s="1"/>
  <c r="E14" i="48" l="1"/>
  <c r="D382" i="7"/>
  <c r="D392" i="7" s="1"/>
  <c r="D1055" i="7"/>
  <c r="J89" i="48" s="1"/>
  <c r="H134" i="42" l="1"/>
  <c r="D394" i="7"/>
  <c r="D25" i="7"/>
  <c r="K14" i="48"/>
  <c r="D1057" i="7"/>
  <c r="D1214" i="7" l="1"/>
  <c r="D398" i="7"/>
  <c r="I134" i="42"/>
  <c r="H136" i="42"/>
  <c r="D1064" i="7"/>
  <c r="D403" i="7" s="1"/>
  <c r="D52" i="7" s="1"/>
  <c r="C37" i="3" s="1"/>
  <c r="D1059" i="7"/>
  <c r="D37" i="7"/>
  <c r="D28" i="7"/>
  <c r="D40" i="7" l="1"/>
  <c r="C13" i="3" s="1"/>
  <c r="C295" i="3" s="1"/>
  <c r="C9" i="13"/>
  <c r="D1198" i="7"/>
  <c r="D1201" i="7" s="1"/>
  <c r="D1219" i="7" s="1"/>
  <c r="D1217" i="7"/>
  <c r="I136" i="42"/>
  <c r="D1227" i="7" l="1"/>
  <c r="D1065" i="7"/>
  <c r="C10" i="13"/>
  <c r="D46" i="7"/>
  <c r="D404" i="7" l="1"/>
  <c r="D1069" i="7"/>
  <c r="C15" i="13"/>
  <c r="C56" i="11"/>
  <c r="C61" i="11" l="1"/>
  <c r="D56" i="11"/>
  <c r="D53" i="7"/>
  <c r="C45" i="3" s="1"/>
  <c r="D408" i="7"/>
  <c r="C120" i="3" s="1"/>
  <c r="D57" i="7" l="1"/>
  <c r="D61" i="11"/>
  <c r="E56" i="11"/>
  <c r="E61" i="11" l="1"/>
  <c r="E11" i="48" l="1"/>
  <c r="E17" i="48" s="1"/>
  <c r="E19" i="48" s="1"/>
  <c r="D1751" i="6"/>
  <c r="D587" i="6"/>
  <c r="D601" i="6" l="1"/>
  <c r="D1753" i="6"/>
  <c r="H122" i="42" l="1"/>
  <c r="D603" i="6"/>
  <c r="D31" i="6"/>
  <c r="J110" i="48" s="1"/>
  <c r="D1757" i="6"/>
  <c r="D47" i="6" l="1"/>
  <c r="D35" i="6"/>
  <c r="K11" i="48"/>
  <c r="D2065" i="6"/>
  <c r="D2069" i="6" s="1"/>
  <c r="D607" i="6"/>
  <c r="I122" i="42"/>
  <c r="H125" i="42"/>
  <c r="D614" i="6" l="1"/>
  <c r="D63" i="6" s="1"/>
  <c r="C47" i="3" s="1"/>
  <c r="C54" i="3" s="1"/>
  <c r="I125" i="42"/>
  <c r="H138" i="42"/>
  <c r="C41" i="3"/>
  <c r="D1762" i="6"/>
  <c r="D2045" i="6"/>
  <c r="D2049" i="6" s="1"/>
  <c r="D2071" i="6" s="1"/>
  <c r="D2077" i="6" s="1"/>
  <c r="D51" i="6"/>
  <c r="C15" i="3" s="1"/>
  <c r="C27" i="13"/>
  <c r="C50" i="3" l="1"/>
  <c r="C148" i="11"/>
  <c r="D613" i="6"/>
  <c r="D1767" i="6"/>
  <c r="D56" i="6"/>
  <c r="H144" i="42"/>
  <c r="I144" i="42" s="1"/>
  <c r="I138" i="42"/>
  <c r="C28" i="13"/>
  <c r="C45" i="13"/>
  <c r="C33" i="13" l="1"/>
  <c r="C46" i="13"/>
  <c r="C117" i="13"/>
  <c r="C118" i="13" s="1"/>
  <c r="C120" i="13" s="1"/>
  <c r="C126" i="13" s="1"/>
  <c r="C138" i="13" s="1"/>
  <c r="R18" i="42"/>
  <c r="C188" i="15"/>
  <c r="D62" i="6"/>
  <c r="C39" i="3" s="1"/>
  <c r="C53" i="3" s="1"/>
  <c r="D618" i="6"/>
  <c r="C122" i="3" s="1"/>
  <c r="C124" i="3" s="1"/>
  <c r="C157" i="11"/>
  <c r="C159" i="11" s="1"/>
  <c r="C220" i="3" s="1"/>
  <c r="D148" i="11"/>
  <c r="C56" i="3" l="1"/>
  <c r="D157" i="11"/>
  <c r="D159" i="11" s="1"/>
  <c r="C42" i="3"/>
  <c r="C139" i="13"/>
  <c r="R59" i="42"/>
  <c r="C223" i="15"/>
  <c r="C52" i="13"/>
  <c r="C17" i="3" s="1"/>
  <c r="C18" i="3" s="1"/>
  <c r="E148" i="11"/>
  <c r="E808" i="34"/>
  <c r="E809" i="34" s="1"/>
  <c r="C133" i="15"/>
  <c r="C189" i="15"/>
  <c r="D67" i="6"/>
  <c r="R78" i="42"/>
  <c r="R82" i="42" s="1"/>
  <c r="D18" i="42"/>
  <c r="R24" i="42"/>
  <c r="R26" i="42" s="1"/>
  <c r="B160" i="42"/>
  <c r="C52" i="15"/>
  <c r="C222" i="3" l="1"/>
  <c r="D166" i="11"/>
  <c r="D24" i="42"/>
  <c r="D78" i="42"/>
  <c r="D82" i="42" s="1"/>
  <c r="D84" i="42" s="1"/>
  <c r="D162" i="11"/>
  <c r="C162" i="11" s="1"/>
  <c r="C168" i="15"/>
  <c r="C229" i="15"/>
  <c r="C56" i="15"/>
  <c r="C21" i="15"/>
  <c r="R88" i="42"/>
  <c r="R84" i="42"/>
  <c r="R89" i="42" s="1"/>
  <c r="C195" i="15"/>
  <c r="C134" i="15"/>
  <c r="C59" i="13"/>
  <c r="B164" i="42"/>
  <c r="B166" i="42" s="1"/>
  <c r="B170" i="42" s="1"/>
  <c r="B176" i="42" s="1"/>
  <c r="B188" i="42" s="1"/>
  <c r="E160" i="42"/>
  <c r="E164" i="42" s="1"/>
  <c r="E166" i="42" s="1"/>
  <c r="E170" i="42" s="1"/>
  <c r="E176" i="42" s="1"/>
  <c r="E188" i="42" s="1"/>
  <c r="D26" i="42"/>
  <c r="D36" i="42" s="1"/>
  <c r="D90" i="42"/>
  <c r="D87" i="42" s="1"/>
  <c r="R36" i="42"/>
  <c r="R56" i="42" s="1"/>
  <c r="E157" i="11"/>
  <c r="D59" i="42"/>
  <c r="B189" i="42"/>
  <c r="E189" i="42" s="1"/>
  <c r="E159" i="11" l="1"/>
  <c r="E162" i="11" s="1"/>
  <c r="C140" i="15"/>
  <c r="C60" i="15"/>
  <c r="C239" i="3" s="1"/>
  <c r="C58" i="15"/>
  <c r="E309" i="34"/>
  <c r="E313" i="34" s="1"/>
  <c r="C220" i="15"/>
  <c r="D56" i="42"/>
  <c r="C83" i="13"/>
  <c r="C88" i="13" s="1"/>
  <c r="C25" i="15"/>
  <c r="C174" i="15"/>
  <c r="C221" i="3"/>
  <c r="C91" i="13" l="1"/>
  <c r="C165" i="15"/>
  <c r="C29" i="15"/>
  <c r="C27" i="15"/>
  <c r="E292" i="34"/>
  <c r="C225" i="15"/>
  <c r="E540" i="34"/>
  <c r="E545" i="34" s="1"/>
  <c r="E546" i="34" s="1"/>
  <c r="E251" i="34" s="1"/>
  <c r="E314" i="34"/>
  <c r="E654" i="34"/>
  <c r="E657" i="34" s="1"/>
  <c r="E664" i="34" s="1"/>
  <c r="E667" i="34" s="1"/>
  <c r="E316" i="34" l="1"/>
  <c r="E829" i="34" s="1"/>
  <c r="C267" i="3"/>
  <c r="C280" i="3"/>
  <c r="R60" i="42"/>
  <c r="R62" i="42" s="1"/>
  <c r="P212" i="3" s="1"/>
  <c r="C141" i="13"/>
  <c r="C144" i="13" s="1"/>
  <c r="C146" i="13" s="1"/>
  <c r="C92" i="3" s="1"/>
  <c r="C170" i="15"/>
  <c r="C171" i="15" s="1"/>
  <c r="C231" i="15"/>
  <c r="C226" i="15"/>
  <c r="C238" i="3"/>
  <c r="E636" i="34"/>
  <c r="E638" i="34" s="1"/>
  <c r="E261" i="34" s="1"/>
  <c r="E129" i="34"/>
  <c r="E10" i="34"/>
  <c r="E220" i="34"/>
  <c r="E524" i="34"/>
  <c r="E529" i="34" s="1"/>
  <c r="E295" i="34"/>
  <c r="D60" i="42" l="1"/>
  <c r="D62" i="42" s="1"/>
  <c r="C212" i="3" s="1"/>
  <c r="E790" i="34"/>
  <c r="E805" i="34" s="1"/>
  <c r="E172" i="34"/>
  <c r="C247" i="3"/>
  <c r="E296" i="34"/>
  <c r="E298" i="34" s="1"/>
  <c r="E169" i="34" s="1"/>
  <c r="E817" i="34"/>
  <c r="E795" i="34"/>
  <c r="E804" i="34" s="1"/>
  <c r="B190" i="42"/>
  <c r="C251" i="3"/>
  <c r="E530" i="34"/>
  <c r="E249" i="34" s="1"/>
  <c r="E419" i="34"/>
  <c r="E423" i="34" s="1"/>
  <c r="E431" i="34" s="1"/>
  <c r="E271" i="34" s="1"/>
  <c r="E797" i="34" s="1"/>
  <c r="E19" i="34"/>
  <c r="E34" i="34" s="1"/>
  <c r="E37" i="34" s="1"/>
  <c r="E39" i="34" s="1"/>
  <c r="C176" i="15"/>
  <c r="C177" i="15" s="1"/>
  <c r="E674" i="34"/>
  <c r="E279" i="34" s="1"/>
  <c r="C232" i="15"/>
  <c r="E630" i="34"/>
  <c r="E133" i="34"/>
  <c r="E827" i="34" l="1"/>
  <c r="C253" i="3"/>
  <c r="E632" i="34"/>
  <c r="E259" i="34" s="1"/>
  <c r="E404" i="34"/>
  <c r="E408" i="34" s="1"/>
  <c r="E415" i="34" s="1"/>
  <c r="E269" i="34" s="1"/>
  <c r="E142" i="34"/>
  <c r="E157" i="34" s="1"/>
  <c r="C243" i="3"/>
  <c r="E190" i="42"/>
  <c r="E193" i="42" s="1"/>
  <c r="B193" i="42"/>
  <c r="E160" i="34" l="1"/>
  <c r="E162" i="34" s="1"/>
  <c r="C246" i="3" s="1"/>
  <c r="Q743" i="6"/>
  <c r="Q520" i="6"/>
  <c r="L156" i="48"/>
  <c r="L206" i="48"/>
  <c r="L205" i="48"/>
  <c r="L158" i="48"/>
  <c r="L149" i="48"/>
  <c r="L160" i="48"/>
  <c r="L159" i="48"/>
  <c r="L204" i="48"/>
  <c r="L193" i="48"/>
  <c r="L198" i="48"/>
  <c r="L151" i="48"/>
  <c r="L157" i="48"/>
  <c r="L201" i="48"/>
  <c r="L152" i="48"/>
  <c r="L195" i="48"/>
  <c r="L155" i="48"/>
  <c r="L202" i="48"/>
  <c r="L150" i="48"/>
  <c r="L194" i="48"/>
  <c r="L153" i="48"/>
  <c r="L161" i="48"/>
  <c r="L200" i="48"/>
  <c r="L203" i="48"/>
  <c r="L148" i="48"/>
  <c r="L196" i="48"/>
  <c r="L197" i="48"/>
  <c r="L154" i="48"/>
  <c r="L199" i="48"/>
  <c r="L147" i="48"/>
  <c r="D253" i="48" s="1"/>
  <c r="L192" i="48"/>
  <c r="J116" i="48"/>
  <c r="E187" i="48" l="1"/>
  <c r="C187" i="48"/>
  <c r="E185" i="48"/>
  <c r="C185" i="48"/>
  <c r="E189" i="48"/>
  <c r="C189" i="48"/>
  <c r="E190" i="48"/>
  <c r="E188" i="48"/>
  <c r="E191" i="48"/>
  <c r="C190" i="48"/>
  <c r="C188" i="48"/>
  <c r="C191" i="48"/>
  <c r="E183" i="48"/>
  <c r="C183" i="48"/>
  <c r="C197" i="48"/>
  <c r="E194" i="48"/>
  <c r="E182" i="48"/>
  <c r="C194" i="48"/>
  <c r="C182" i="48"/>
  <c r="E197" i="48"/>
  <c r="E196" i="48"/>
  <c r="C196" i="48"/>
  <c r="E193" i="48"/>
  <c r="C193" i="48"/>
  <c r="E195" i="48"/>
  <c r="C195" i="48"/>
  <c r="E184" i="48"/>
  <c r="C184" i="48"/>
  <c r="E186" i="48"/>
  <c r="C186" i="48"/>
  <c r="C192" i="48"/>
  <c r="E192" i="48"/>
  <c r="E200" i="48"/>
  <c r="C200" i="48"/>
  <c r="E204" i="48"/>
  <c r="C204" i="48"/>
  <c r="E179" i="48"/>
  <c r="C199" i="48"/>
  <c r="E134" i="48"/>
  <c r="E181" i="48"/>
  <c r="C179" i="48"/>
  <c r="C181" i="48"/>
  <c r="E199" i="48"/>
  <c r="E202" i="48"/>
  <c r="C202" i="48"/>
  <c r="E206" i="48"/>
  <c r="C206" i="48"/>
  <c r="E203" i="48"/>
  <c r="C203" i="48"/>
  <c r="E205" i="48"/>
  <c r="C205" i="48"/>
  <c r="E198" i="48"/>
  <c r="C198" i="48"/>
  <c r="C180" i="48"/>
  <c r="E180" i="48"/>
  <c r="E201" i="48"/>
  <c r="C201" i="48"/>
  <c r="D258" i="48"/>
  <c r="D255" i="48"/>
  <c r="L207" i="48"/>
  <c r="L212" i="48" s="1"/>
  <c r="D271" i="48"/>
  <c r="L162" i="48"/>
  <c r="L167" i="48" s="1"/>
  <c r="F271" i="48"/>
  <c r="Q199" i="48"/>
  <c r="J154" i="48"/>
  <c r="O199" i="48"/>
  <c r="O154" i="48"/>
  <c r="K149" i="48"/>
  <c r="O181" i="48"/>
  <c r="C144" i="48"/>
  <c r="O205" i="48"/>
  <c r="C146" i="48"/>
  <c r="O153" i="48"/>
  <c r="C141" i="48"/>
  <c r="Q161" i="48"/>
  <c r="O193" i="48"/>
  <c r="O156" i="48"/>
  <c r="O184" i="48"/>
  <c r="K195" i="48"/>
  <c r="Q138" i="48"/>
  <c r="K152" i="48"/>
  <c r="K199" i="48"/>
  <c r="J199" i="48"/>
  <c r="Q154" i="48"/>
  <c r="Q153" i="48"/>
  <c r="J146" i="48"/>
  <c r="K188" i="48"/>
  <c r="O142" i="48"/>
  <c r="Q205" i="48"/>
  <c r="J136" i="48"/>
  <c r="E156" i="48"/>
  <c r="J191" i="48"/>
  <c r="C139" i="48"/>
  <c r="E154" i="48"/>
  <c r="J206" i="48"/>
  <c r="O192" i="48"/>
  <c r="O147" i="48"/>
  <c r="Q146" i="48"/>
  <c r="K161" i="48"/>
  <c r="E142" i="48"/>
  <c r="J159" i="48"/>
  <c r="K202" i="48"/>
  <c r="O137" i="48"/>
  <c r="Q139" i="48"/>
  <c r="J151" i="48"/>
  <c r="O141" i="48"/>
  <c r="E145" i="48"/>
  <c r="Q194" i="48"/>
  <c r="E137" i="48"/>
  <c r="E160" i="48"/>
  <c r="K192" i="48"/>
  <c r="K137" i="48"/>
  <c r="K151" i="48"/>
  <c r="O160" i="48"/>
  <c r="K143" i="48"/>
  <c r="K200" i="48"/>
  <c r="O136" i="48"/>
  <c r="K185" i="48"/>
  <c r="Q149" i="48"/>
  <c r="K140" i="48"/>
  <c r="J141" i="48"/>
  <c r="Q203" i="48"/>
  <c r="J142" i="48"/>
  <c r="Q193" i="48"/>
  <c r="K147" i="48"/>
  <c r="J193" i="48"/>
  <c r="K158" i="48"/>
  <c r="E152" i="48"/>
  <c r="J161" i="48"/>
  <c r="Q141" i="48"/>
  <c r="Q143" i="48"/>
  <c r="K141" i="48"/>
  <c r="Q135" i="48"/>
  <c r="Q187" i="48"/>
  <c r="K187" i="48"/>
  <c r="K148" i="48"/>
  <c r="J143" i="48"/>
  <c r="Q181" i="48"/>
  <c r="K190" i="48"/>
  <c r="K189" i="48"/>
  <c r="E151" i="48"/>
  <c r="O143" i="48"/>
  <c r="J155" i="48"/>
  <c r="E150" i="48"/>
  <c r="O187" i="48"/>
  <c r="Q197" i="48"/>
  <c r="J204" i="48"/>
  <c r="Q184" i="48"/>
  <c r="K154" i="48"/>
  <c r="Q200" i="48"/>
  <c r="Q196" i="48"/>
  <c r="O150" i="48"/>
  <c r="E157" i="48"/>
  <c r="J185" i="48"/>
  <c r="Q137" i="48"/>
  <c r="J156" i="48"/>
  <c r="O197" i="48"/>
  <c r="O146" i="48"/>
  <c r="Q191" i="48"/>
  <c r="Q190" i="48"/>
  <c r="Q160" i="48"/>
  <c r="C155" i="48"/>
  <c r="Q201" i="48"/>
  <c r="C152" i="48"/>
  <c r="K193" i="48"/>
  <c r="J148" i="48"/>
  <c r="Q206" i="48"/>
  <c r="Q185" i="48"/>
  <c r="O138" i="48"/>
  <c r="O191" i="48"/>
  <c r="C149" i="48"/>
  <c r="O161" i="48"/>
  <c r="O190" i="48"/>
  <c r="K155" i="48"/>
  <c r="O180" i="48"/>
  <c r="J180" i="48"/>
  <c r="Q136" i="48"/>
  <c r="C150" i="48"/>
  <c r="E138" i="48"/>
  <c r="K180" i="48"/>
  <c r="J152" i="48"/>
  <c r="E149" i="48"/>
  <c r="J158" i="48"/>
  <c r="O189" i="48"/>
  <c r="K206" i="48"/>
  <c r="O194" i="48"/>
  <c r="Q183" i="48"/>
  <c r="O196" i="48"/>
  <c r="O139" i="48"/>
  <c r="O186" i="48"/>
  <c r="C148" i="48"/>
  <c r="O202" i="48"/>
  <c r="O159" i="48"/>
  <c r="C143" i="48"/>
  <c r="J188" i="48"/>
  <c r="K159" i="48"/>
  <c r="Q155" i="48"/>
  <c r="E139" i="48"/>
  <c r="E141" i="48"/>
  <c r="J135" i="48"/>
  <c r="J149" i="48"/>
  <c r="C151" i="48"/>
  <c r="Q145" i="48"/>
  <c r="O140" i="48"/>
  <c r="Q186" i="48"/>
  <c r="Q198" i="48"/>
  <c r="K139" i="48"/>
  <c r="K194" i="48"/>
  <c r="O149" i="48"/>
  <c r="K198" i="48"/>
  <c r="Q148" i="48"/>
  <c r="J189" i="48"/>
  <c r="J192" i="48"/>
  <c r="C137" i="48"/>
  <c r="K201" i="48"/>
  <c r="J196" i="48"/>
  <c r="O195" i="48"/>
  <c r="J150" i="48"/>
  <c r="O183" i="48"/>
  <c r="K135" i="48"/>
  <c r="J160" i="48"/>
  <c r="J203" i="48"/>
  <c r="C145" i="48"/>
  <c r="K146" i="48"/>
  <c r="O135" i="48"/>
  <c r="J140" i="48"/>
  <c r="J138" i="48"/>
  <c r="J182" i="48"/>
  <c r="E135" i="48"/>
  <c r="O200" i="48"/>
  <c r="Q195" i="48"/>
  <c r="E155" i="48"/>
  <c r="K138" i="48"/>
  <c r="Q192" i="48"/>
  <c r="K182" i="48"/>
  <c r="K145" i="48"/>
  <c r="J187" i="48"/>
  <c r="Q142" i="48"/>
  <c r="J202" i="48"/>
  <c r="O203" i="48"/>
  <c r="J147" i="48"/>
  <c r="E148" i="48"/>
  <c r="O185" i="48"/>
  <c r="E159" i="48"/>
  <c r="Q204" i="48"/>
  <c r="Q189" i="48"/>
  <c r="K183" i="48"/>
  <c r="J139" i="48"/>
  <c r="Q140" i="48"/>
  <c r="K181" i="48"/>
  <c r="K203" i="48"/>
  <c r="K150" i="48"/>
  <c r="Q150" i="48"/>
  <c r="O148" i="48"/>
  <c r="C147" i="48"/>
  <c r="J153" i="48"/>
  <c r="J181" i="48"/>
  <c r="K144" i="48"/>
  <c r="C138" i="48"/>
  <c r="K191" i="48"/>
  <c r="Q144" i="48"/>
  <c r="E140" i="48"/>
  <c r="O198" i="48"/>
  <c r="K142" i="48"/>
  <c r="J137" i="48"/>
  <c r="K157" i="48"/>
  <c r="Q180" i="48"/>
  <c r="J201" i="48"/>
  <c r="J197" i="48"/>
  <c r="J183" i="48"/>
  <c r="J186" i="48"/>
  <c r="J200" i="48"/>
  <c r="O201" i="48"/>
  <c r="K136" i="48"/>
  <c r="E144" i="48"/>
  <c r="J184" i="48"/>
  <c r="E143" i="48"/>
  <c r="K156" i="48"/>
  <c r="Q151" i="48"/>
  <c r="O188" i="48"/>
  <c r="C153" i="48"/>
  <c r="Q188" i="48"/>
  <c r="O182" i="48"/>
  <c r="O206" i="48"/>
  <c r="K205" i="48"/>
  <c r="K160" i="48"/>
  <c r="Q159" i="48"/>
  <c r="Q156" i="48"/>
  <c r="K153" i="48"/>
  <c r="K184" i="48"/>
  <c r="O157" i="48"/>
  <c r="K197" i="48"/>
  <c r="O145" i="48"/>
  <c r="Q202" i="48"/>
  <c r="Q158" i="48"/>
  <c r="J145" i="48"/>
  <c r="E136" i="48"/>
  <c r="O158" i="48"/>
  <c r="K196" i="48"/>
  <c r="J157" i="48"/>
  <c r="J195" i="48"/>
  <c r="C142" i="48"/>
  <c r="K204" i="48"/>
  <c r="O152" i="48"/>
  <c r="E146" i="48"/>
  <c r="E147" i="48"/>
  <c r="J190" i="48"/>
  <c r="J194" i="48"/>
  <c r="J144" i="48"/>
  <c r="O144" i="48"/>
  <c r="Q152" i="48"/>
  <c r="E158" i="48"/>
  <c r="J198" i="48"/>
  <c r="Q157" i="48"/>
  <c r="K186" i="48"/>
  <c r="E161" i="48"/>
  <c r="Q182" i="48"/>
  <c r="O155" i="48"/>
  <c r="E153" i="48"/>
  <c r="O204" i="48"/>
  <c r="Q147" i="48"/>
  <c r="C140" i="48"/>
  <c r="O151" i="48"/>
  <c r="J205" i="48"/>
  <c r="C136" i="48"/>
  <c r="C160" i="48"/>
  <c r="C135" i="48"/>
  <c r="C157" i="48"/>
  <c r="C158" i="48"/>
  <c r="K179" i="48"/>
  <c r="C159" i="48"/>
  <c r="C161" i="48"/>
  <c r="Q134" i="48"/>
  <c r="O179" i="48"/>
  <c r="C156" i="48"/>
  <c r="J179" i="48"/>
  <c r="Q179" i="48"/>
  <c r="J134" i="48"/>
  <c r="K134" i="48"/>
  <c r="O134" i="48"/>
  <c r="C154" i="48"/>
  <c r="C134" i="48"/>
  <c r="L164" i="48" l="1"/>
  <c r="P253" i="48"/>
  <c r="S159" i="48"/>
  <c r="T159" i="48" s="1"/>
  <c r="S206" i="48"/>
  <c r="S135" i="48"/>
  <c r="T135" i="48" s="1"/>
  <c r="S136" i="48"/>
  <c r="T136" i="48" s="1"/>
  <c r="S154" i="48"/>
  <c r="T154" i="48" s="1"/>
  <c r="S160" i="48"/>
  <c r="T160" i="48" s="1"/>
  <c r="L209" i="48"/>
  <c r="S180" i="48"/>
  <c r="T180" i="48" s="1"/>
  <c r="S202" i="48"/>
  <c r="T202" i="48" s="1"/>
  <c r="S181" i="48"/>
  <c r="S161" i="48"/>
  <c r="T161" i="48" s="1"/>
  <c r="S156" i="48"/>
  <c r="T156" i="48" s="1"/>
  <c r="S201" i="48"/>
  <c r="T201" i="48" s="1"/>
  <c r="S204" i="48"/>
  <c r="T204" i="48" s="1"/>
  <c r="S157" i="48"/>
  <c r="T157" i="48" s="1"/>
  <c r="S158" i="48"/>
  <c r="T158" i="48" s="1"/>
  <c r="S134" i="48"/>
  <c r="T134" i="48" s="1"/>
  <c r="S205" i="48"/>
  <c r="S179" i="48"/>
  <c r="S199" i="48"/>
  <c r="T199" i="48" s="1"/>
  <c r="S203" i="48"/>
  <c r="T203" i="48" s="1"/>
  <c r="C162" i="48"/>
  <c r="D265" i="48"/>
  <c r="K162" i="48"/>
  <c r="D270" i="48"/>
  <c r="E162" i="48"/>
  <c r="D266" i="48"/>
  <c r="D276" i="48"/>
  <c r="Q162" i="48"/>
  <c r="F270" i="48"/>
  <c r="K207" i="48"/>
  <c r="D269" i="48"/>
  <c r="J162" i="48"/>
  <c r="Q207" i="48"/>
  <c r="F276" i="48"/>
  <c r="O162" i="48"/>
  <c r="D273" i="48"/>
  <c r="D274" i="48" s="1"/>
  <c r="F269" i="48"/>
  <c r="J207" i="48"/>
  <c r="F273" i="48"/>
  <c r="O207" i="48"/>
  <c r="F266" i="48"/>
  <c r="E207" i="48"/>
  <c r="F265" i="48"/>
  <c r="C207" i="48"/>
  <c r="C212" i="48" s="1"/>
  <c r="M253" i="48" l="1"/>
  <c r="F253" i="48"/>
  <c r="N253" i="48"/>
  <c r="P258" i="48"/>
  <c r="P255" i="48"/>
  <c r="T205" i="48"/>
  <c r="E278" i="48"/>
  <c r="T181" i="48"/>
  <c r="E287" i="48"/>
  <c r="H287" i="48" s="1"/>
  <c r="F274" i="48"/>
  <c r="T206" i="48"/>
  <c r="C287" i="48"/>
  <c r="C283" i="48"/>
  <c r="C278" i="48"/>
  <c r="C285" i="48"/>
  <c r="E285" i="48"/>
  <c r="H285" i="48" s="1"/>
  <c r="C282" i="48"/>
  <c r="C281" i="48"/>
  <c r="E280" i="48"/>
  <c r="H280" i="48" s="1"/>
  <c r="C279" i="48"/>
  <c r="E282" i="48"/>
  <c r="H282" i="48" s="1"/>
  <c r="E284" i="48"/>
  <c r="H284" i="48" s="1"/>
  <c r="E283" i="48"/>
  <c r="H283" i="48" s="1"/>
  <c r="S162" i="48"/>
  <c r="S164" i="48" s="1"/>
  <c r="S207" i="48"/>
  <c r="T179" i="48"/>
  <c r="E279" i="48"/>
  <c r="C280" i="48"/>
  <c r="C284" i="48"/>
  <c r="E281" i="48"/>
  <c r="H281" i="48" s="1"/>
  <c r="O209" i="48"/>
  <c r="O212" i="48"/>
  <c r="E167" i="48"/>
  <c r="E164" i="48"/>
  <c r="D288" i="48"/>
  <c r="O164" i="48"/>
  <c r="O167" i="48"/>
  <c r="Q167" i="48"/>
  <c r="Q164" i="48"/>
  <c r="C164" i="48"/>
  <c r="C167" i="48"/>
  <c r="E286" i="48"/>
  <c r="H286" i="48" s="1"/>
  <c r="E212" i="48"/>
  <c r="E209" i="48"/>
  <c r="J209" i="48"/>
  <c r="J212" i="48"/>
  <c r="Q209" i="48"/>
  <c r="Q212" i="48"/>
  <c r="K164" i="48"/>
  <c r="K167" i="48"/>
  <c r="C209" i="48"/>
  <c r="J164" i="48"/>
  <c r="J167" i="48"/>
  <c r="K209" i="48"/>
  <c r="K212" i="48"/>
  <c r="C286" i="48"/>
  <c r="N258" i="48" l="1"/>
  <c r="N255" i="48"/>
  <c r="F258" i="48"/>
  <c r="F255" i="48"/>
  <c r="M258" i="48"/>
  <c r="M255" i="48"/>
  <c r="F288" i="48"/>
  <c r="F137" i="3"/>
  <c r="F11" i="48"/>
  <c r="G11" i="48" s="1"/>
  <c r="F10" i="48"/>
  <c r="G10" i="48" s="1"/>
  <c r="F12" i="48"/>
  <c r="G12" i="48" s="1"/>
  <c r="H35" i="27"/>
  <c r="G1946" i="6"/>
  <c r="H1047" i="7"/>
  <c r="F14" i="48"/>
  <c r="G14" i="48" s="1"/>
  <c r="G1055" i="7"/>
  <c r="G382" i="7"/>
  <c r="G1171" i="7"/>
  <c r="H1164" i="7"/>
  <c r="C288" i="48"/>
  <c r="D289" i="48" s="1"/>
  <c r="G445" i="7"/>
  <c r="G454" i="7" s="1"/>
  <c r="F16" i="48"/>
  <c r="G16" i="48" s="1"/>
  <c r="G587" i="6"/>
  <c r="G601" i="6" s="1"/>
  <c r="H1735" i="6"/>
  <c r="G1753" i="6"/>
  <c r="H1619" i="6"/>
  <c r="G544" i="8"/>
  <c r="G546" i="8" s="1"/>
  <c r="G51" i="27"/>
  <c r="F13" i="48"/>
  <c r="G13" i="48" s="1"/>
  <c r="G1627" i="6"/>
  <c r="G1629" i="6" s="1"/>
  <c r="H1992" i="6"/>
  <c r="G135" i="8"/>
  <c r="G498" i="6"/>
  <c r="H498" i="6" s="1"/>
  <c r="T162" i="48"/>
  <c r="S209" i="48"/>
  <c r="T207" i="48"/>
  <c r="H418" i="8"/>
  <c r="G2017" i="6"/>
  <c r="G712" i="6"/>
  <c r="H712" i="6" s="1"/>
  <c r="E288" i="48"/>
  <c r="H51" i="27" l="1"/>
  <c r="P113" i="48"/>
  <c r="H1055" i="7"/>
  <c r="P89" i="48"/>
  <c r="G2019" i="6"/>
  <c r="G2021" i="6" s="1"/>
  <c r="D52" i="58"/>
  <c r="H135" i="8"/>
  <c r="G279" i="48"/>
  <c r="H279" i="48" s="1"/>
  <c r="H277" i="48"/>
  <c r="H382" i="7"/>
  <c r="E118" i="10"/>
  <c r="G1064" i="7" s="1"/>
  <c r="G403" i="7" s="1"/>
  <c r="F132" i="3"/>
  <c r="F134" i="3"/>
  <c r="F9" i="48"/>
  <c r="G9" i="48" s="1"/>
  <c r="H1827" i="6"/>
  <c r="H445" i="7"/>
  <c r="G1057" i="7"/>
  <c r="H1057" i="7" s="1"/>
  <c r="H587" i="6"/>
  <c r="G640" i="6"/>
  <c r="G678" i="6" s="1"/>
  <c r="G32" i="6" s="1"/>
  <c r="P111" i="48" s="1"/>
  <c r="L14" i="48"/>
  <c r="H1946" i="6"/>
  <c r="G1948" i="6"/>
  <c r="G1950" i="6" s="1"/>
  <c r="G53" i="27"/>
  <c r="G55" i="27" s="1"/>
  <c r="G145" i="8"/>
  <c r="L142" i="42" s="1"/>
  <c r="M142" i="42" s="1"/>
  <c r="H544" i="8"/>
  <c r="L16" i="48"/>
  <c r="G509" i="6"/>
  <c r="G29" i="6" s="1"/>
  <c r="G1173" i="7"/>
  <c r="G1176" i="7" s="1"/>
  <c r="H1171" i="7"/>
  <c r="F8" i="48"/>
  <c r="G8" i="48" s="1"/>
  <c r="H1751" i="6"/>
  <c r="L13" i="48"/>
  <c r="H1627" i="6"/>
  <c r="H2017" i="6"/>
  <c r="G732" i="6"/>
  <c r="G734" i="6" s="1"/>
  <c r="H454" i="7"/>
  <c r="L135" i="42"/>
  <c r="M135" i="42" s="1"/>
  <c r="G26" i="7"/>
  <c r="P90" i="48" s="1"/>
  <c r="G456" i="7"/>
  <c r="G472" i="7"/>
  <c r="H472" i="7" s="1"/>
  <c r="H992" i="7"/>
  <c r="H991" i="7"/>
  <c r="F15" i="48"/>
  <c r="G15" i="48" s="1"/>
  <c r="H990" i="7"/>
  <c r="G386" i="7"/>
  <c r="G997" i="7"/>
  <c r="P88" i="48" s="1"/>
  <c r="H993" i="7"/>
  <c r="G31" i="6"/>
  <c r="H601" i="6"/>
  <c r="L122" i="42"/>
  <c r="M122" i="42" s="1"/>
  <c r="G603" i="6"/>
  <c r="H1753" i="6"/>
  <c r="G1757" i="6"/>
  <c r="E227" i="10" s="1"/>
  <c r="G227" i="10" s="1"/>
  <c r="H222" i="8"/>
  <c r="G344" i="8"/>
  <c r="G72" i="8"/>
  <c r="H546" i="8"/>
  <c r="G550" i="8"/>
  <c r="G1631" i="6"/>
  <c r="H1629" i="6"/>
  <c r="H2019" i="6" l="1"/>
  <c r="L11" i="48"/>
  <c r="P110" i="48"/>
  <c r="L12" i="48"/>
  <c r="P108" i="48"/>
  <c r="F135" i="3"/>
  <c r="G278" i="48"/>
  <c r="F216" i="3"/>
  <c r="F217" i="3" s="1"/>
  <c r="L9" i="48"/>
  <c r="G1059" i="7"/>
  <c r="G48" i="6"/>
  <c r="H48" i="6" s="1"/>
  <c r="G680" i="6"/>
  <c r="H680" i="6" s="1"/>
  <c r="H32" i="6"/>
  <c r="L123" i="42"/>
  <c r="M123" i="42" s="1"/>
  <c r="H678" i="6"/>
  <c r="G33" i="6"/>
  <c r="G511" i="6"/>
  <c r="H511" i="6" s="1"/>
  <c r="H53" i="27"/>
  <c r="H1948" i="6"/>
  <c r="H145" i="8"/>
  <c r="G15" i="8"/>
  <c r="G147" i="8"/>
  <c r="H147" i="8" s="1"/>
  <c r="G602" i="8"/>
  <c r="H602" i="8" s="1"/>
  <c r="H1173" i="7"/>
  <c r="L124" i="42"/>
  <c r="M124" i="42" s="1"/>
  <c r="L120" i="42"/>
  <c r="M120" i="42" s="1"/>
  <c r="H732" i="6"/>
  <c r="H509" i="6"/>
  <c r="L15" i="48"/>
  <c r="H1176" i="7"/>
  <c r="H456" i="7"/>
  <c r="G1215" i="7"/>
  <c r="G459" i="7"/>
  <c r="E120" i="10" s="1"/>
  <c r="G120" i="10" s="1"/>
  <c r="H386" i="7"/>
  <c r="G392" i="7"/>
  <c r="H26" i="7"/>
  <c r="G38" i="7"/>
  <c r="H38" i="7" s="1"/>
  <c r="H997" i="7"/>
  <c r="G999" i="7"/>
  <c r="H2021" i="6"/>
  <c r="H29" i="6"/>
  <c r="G45" i="6"/>
  <c r="H45" i="6" s="1"/>
  <c r="H1950" i="6"/>
  <c r="H55" i="27"/>
  <c r="G60" i="27"/>
  <c r="H344" i="8"/>
  <c r="G346" i="8"/>
  <c r="H734" i="6"/>
  <c r="G2067" i="6"/>
  <c r="G736" i="6"/>
  <c r="E238" i="10" s="1"/>
  <c r="G556" i="8"/>
  <c r="G157" i="8" s="1"/>
  <c r="G555" i="8"/>
  <c r="G156" i="8" s="1"/>
  <c r="H550" i="8"/>
  <c r="H698" i="7"/>
  <c r="G700" i="7"/>
  <c r="G223" i="7"/>
  <c r="F138" i="3" s="1"/>
  <c r="H1757" i="6"/>
  <c r="H31" i="6"/>
  <c r="G47" i="6"/>
  <c r="H47" i="6" s="1"/>
  <c r="H1631" i="6"/>
  <c r="H72" i="8"/>
  <c r="F7" i="48"/>
  <c r="G7" i="48" s="1"/>
  <c r="G81" i="8"/>
  <c r="G2065" i="6"/>
  <c r="H603" i="6"/>
  <c r="G607" i="6"/>
  <c r="L10" i="48" l="1"/>
  <c r="P112" i="48"/>
  <c r="F139" i="3"/>
  <c r="L8" i="48"/>
  <c r="P115" i="48"/>
  <c r="G288" i="48"/>
  <c r="F215" i="3" s="1"/>
  <c r="H278" i="48"/>
  <c r="F118" i="10"/>
  <c r="G118" i="10" s="1"/>
  <c r="G122" i="10" s="1"/>
  <c r="E122" i="10"/>
  <c r="G238" i="10"/>
  <c r="H1059" i="7"/>
  <c r="G68" i="27"/>
  <c r="G71" i="27" s="1"/>
  <c r="I69" i="27" s="1"/>
  <c r="G682" i="6"/>
  <c r="E231" i="10" s="1"/>
  <c r="G2066" i="6"/>
  <c r="H33" i="6"/>
  <c r="G513" i="6"/>
  <c r="E222" i="10" s="1"/>
  <c r="G49" i="6"/>
  <c r="H49" i="6" s="1"/>
  <c r="G35" i="6"/>
  <c r="G151" i="8"/>
  <c r="G567" i="8" s="1"/>
  <c r="H567" i="8" s="1"/>
  <c r="G2063" i="6"/>
  <c r="F7" i="17"/>
  <c r="F8" i="17" s="1"/>
  <c r="F13" i="17" s="1"/>
  <c r="H15" i="8"/>
  <c r="G577" i="8"/>
  <c r="H577" i="8" s="1"/>
  <c r="L125" i="42"/>
  <c r="M125" i="42" s="1"/>
  <c r="G65" i="27"/>
  <c r="H999" i="7"/>
  <c r="G1003" i="7"/>
  <c r="G1011" i="7" s="1"/>
  <c r="H459" i="7"/>
  <c r="G1199" i="7"/>
  <c r="H392" i="7"/>
  <c r="G394" i="7"/>
  <c r="L134" i="42"/>
  <c r="M134" i="42" s="1"/>
  <c r="G25" i="7"/>
  <c r="H223" i="7"/>
  <c r="G225" i="7"/>
  <c r="H700" i="7"/>
  <c r="G702" i="7"/>
  <c r="G559" i="8"/>
  <c r="H559" i="8" s="1"/>
  <c r="G2047" i="6"/>
  <c r="H736" i="6"/>
  <c r="G2026" i="6"/>
  <c r="D43" i="58" s="1"/>
  <c r="G2045" i="6"/>
  <c r="H607" i="6"/>
  <c r="F17" i="48"/>
  <c r="G1762" i="6"/>
  <c r="F148" i="11"/>
  <c r="G148" i="11" s="1"/>
  <c r="H148" i="11" s="1"/>
  <c r="G349" i="8"/>
  <c r="G354" i="8" s="1"/>
  <c r="H346" i="8"/>
  <c r="G601" i="8"/>
  <c r="H81" i="8"/>
  <c r="L141" i="42"/>
  <c r="M141" i="42" s="1"/>
  <c r="G83" i="8"/>
  <c r="G14" i="8"/>
  <c r="H35" i="6" l="1"/>
  <c r="E27" i="13"/>
  <c r="E28" i="13" s="1"/>
  <c r="E33" i="13" s="1"/>
  <c r="F122" i="10"/>
  <c r="F242" i="10" s="1"/>
  <c r="F56" i="11"/>
  <c r="G56" i="11" s="1"/>
  <c r="H56" i="11" s="1"/>
  <c r="L7" i="48"/>
  <c r="P114" i="48"/>
  <c r="L252" i="48" s="1"/>
  <c r="D54" i="58"/>
  <c r="D47" i="58"/>
  <c r="H288" i="48"/>
  <c r="G1065" i="7"/>
  <c r="G231" i="10"/>
  <c r="G222" i="10"/>
  <c r="H682" i="6"/>
  <c r="G2046" i="6"/>
  <c r="G2043" i="6"/>
  <c r="H513" i="6"/>
  <c r="H151" i="8"/>
  <c r="G2069" i="6"/>
  <c r="G161" i="8"/>
  <c r="F128" i="3" s="1"/>
  <c r="G51" i="6"/>
  <c r="F15" i="3" s="1"/>
  <c r="E291" i="15"/>
  <c r="F99" i="17"/>
  <c r="F100" i="17" s="1"/>
  <c r="F102" i="17" s="1"/>
  <c r="F104" i="17" s="1"/>
  <c r="F116" i="17" s="1"/>
  <c r="F19" i="48"/>
  <c r="G17" i="48"/>
  <c r="G37" i="7"/>
  <c r="H37" i="7" s="1"/>
  <c r="H25" i="7"/>
  <c r="G45" i="11"/>
  <c r="I908" i="7" s="1"/>
  <c r="H87" i="10" s="1"/>
  <c r="H1003" i="7"/>
  <c r="G398" i="7"/>
  <c r="G1214" i="7"/>
  <c r="H394" i="7"/>
  <c r="G1182" i="7"/>
  <c r="G613" i="6"/>
  <c r="G618" i="6" s="1"/>
  <c r="G1767" i="6"/>
  <c r="F342" i="34"/>
  <c r="F344" i="34" s="1"/>
  <c r="F178" i="34" s="1"/>
  <c r="F20" i="17"/>
  <c r="F47" i="17" s="1"/>
  <c r="F155" i="11"/>
  <c r="F163" i="11" s="1"/>
  <c r="H14" i="8"/>
  <c r="G17" i="8"/>
  <c r="F7" i="16"/>
  <c r="AG18" i="42" s="1"/>
  <c r="H601" i="8"/>
  <c r="G604" i="8"/>
  <c r="H83" i="8"/>
  <c r="G576" i="8"/>
  <c r="G86" i="8"/>
  <c r="H349" i="8"/>
  <c r="G92" i="8"/>
  <c r="G29" i="8" s="1"/>
  <c r="G355" i="8"/>
  <c r="G93" i="8" s="1"/>
  <c r="G30" i="8" s="1"/>
  <c r="H702" i="7"/>
  <c r="G704" i="7"/>
  <c r="G1637" i="6"/>
  <c r="H225" i="7"/>
  <c r="L131" i="42"/>
  <c r="G227" i="7"/>
  <c r="G22" i="7"/>
  <c r="P85" i="48" s="1"/>
  <c r="P116" i="48" l="1"/>
  <c r="K245" i="48" s="1"/>
  <c r="E240" i="10"/>
  <c r="E242" i="10" s="1"/>
  <c r="L242" i="48"/>
  <c r="L250" i="48"/>
  <c r="L249" i="48"/>
  <c r="L241" i="48"/>
  <c r="L244" i="48"/>
  <c r="L238" i="48"/>
  <c r="L245" i="48"/>
  <c r="L239" i="48"/>
  <c r="L247" i="48"/>
  <c r="L248" i="48"/>
  <c r="L246" i="48"/>
  <c r="L243" i="48"/>
  <c r="L251" i="48"/>
  <c r="L240" i="48"/>
  <c r="C245" i="48"/>
  <c r="G1069" i="7"/>
  <c r="H1069" i="7" s="1"/>
  <c r="G404" i="7"/>
  <c r="G53" i="7" s="1"/>
  <c r="F45" i="3" s="1"/>
  <c r="G1955" i="6"/>
  <c r="G1960" i="6" s="1"/>
  <c r="H1960" i="6" s="1"/>
  <c r="G240" i="10"/>
  <c r="G242" i="10" s="1"/>
  <c r="J87" i="10"/>
  <c r="H103" i="10"/>
  <c r="H1767" i="6"/>
  <c r="F198" i="3"/>
  <c r="H161" i="8"/>
  <c r="F151" i="11"/>
  <c r="E292" i="15"/>
  <c r="F292" i="15" s="1"/>
  <c r="F291" i="15"/>
  <c r="G2049" i="6"/>
  <c r="G2071" i="6" s="1"/>
  <c r="G2077" i="6" s="1"/>
  <c r="H51" i="6"/>
  <c r="G56" i="6"/>
  <c r="H56" i="6" s="1"/>
  <c r="H618" i="6"/>
  <c r="C223" i="42"/>
  <c r="D223" i="42" s="1"/>
  <c r="F59" i="11"/>
  <c r="G465" i="7"/>
  <c r="G1186" i="7"/>
  <c r="H1186" i="7" s="1"/>
  <c r="H398" i="7"/>
  <c r="G1198" i="7"/>
  <c r="H1011" i="7"/>
  <c r="F195" i="3"/>
  <c r="H45" i="11"/>
  <c r="H22" i="7"/>
  <c r="G34" i="7"/>
  <c r="H34" i="7" s="1"/>
  <c r="G28" i="7"/>
  <c r="M131" i="42"/>
  <c r="L136" i="42"/>
  <c r="G519" i="6"/>
  <c r="G1642" i="6"/>
  <c r="H1642" i="6" s="1"/>
  <c r="H704" i="7"/>
  <c r="G713" i="7"/>
  <c r="H576" i="8"/>
  <c r="G579" i="8"/>
  <c r="H604" i="8"/>
  <c r="G606" i="8"/>
  <c r="I633" i="6"/>
  <c r="I635" i="6" s="1"/>
  <c r="I1799" i="6"/>
  <c r="E87" i="13"/>
  <c r="F106" i="3" s="1"/>
  <c r="G155" i="11"/>
  <c r="G742" i="6"/>
  <c r="F101" i="3" s="1"/>
  <c r="G2030" i="6"/>
  <c r="H2030" i="6" s="1"/>
  <c r="F101" i="16"/>
  <c r="F102" i="16" s="1"/>
  <c r="F104" i="16" s="1"/>
  <c r="F106" i="16" s="1"/>
  <c r="E242" i="15"/>
  <c r="F8" i="16"/>
  <c r="F51" i="17"/>
  <c r="F88" i="34"/>
  <c r="H227" i="7"/>
  <c r="G229" i="7"/>
  <c r="G1212" i="7"/>
  <c r="F142" i="11"/>
  <c r="G358" i="8"/>
  <c r="H358" i="8" s="1"/>
  <c r="H86" i="8"/>
  <c r="G97" i="8"/>
  <c r="G566" i="8"/>
  <c r="H17" i="8"/>
  <c r="G19" i="8"/>
  <c r="K227" i="48" l="1"/>
  <c r="J228" i="48"/>
  <c r="J243" i="48"/>
  <c r="J250" i="48"/>
  <c r="Q252" i="48"/>
  <c r="O251" i="48"/>
  <c r="K228" i="48"/>
  <c r="O241" i="48"/>
  <c r="O234" i="48"/>
  <c r="K230" i="48"/>
  <c r="O227" i="48"/>
  <c r="J225" i="48"/>
  <c r="O244" i="48"/>
  <c r="C248" i="48"/>
  <c r="E240" i="48"/>
  <c r="Q240" i="48"/>
  <c r="K238" i="48"/>
  <c r="O229" i="48"/>
  <c r="O246" i="48"/>
  <c r="O248" i="48"/>
  <c r="E248" i="48"/>
  <c r="K243" i="48"/>
  <c r="C247" i="48"/>
  <c r="K225" i="48"/>
  <c r="Q250" i="48"/>
  <c r="K237" i="48"/>
  <c r="J226" i="48"/>
  <c r="C237" i="48"/>
  <c r="Q251" i="48"/>
  <c r="K241" i="48"/>
  <c r="K240" i="48"/>
  <c r="C239" i="48"/>
  <c r="K248" i="48"/>
  <c r="E229" i="48"/>
  <c r="J251" i="48"/>
  <c r="J252" i="48"/>
  <c r="O249" i="48"/>
  <c r="E231" i="48"/>
  <c r="O242" i="48"/>
  <c r="O228" i="48"/>
  <c r="E230" i="48"/>
  <c r="C242" i="48"/>
  <c r="E232" i="48"/>
  <c r="E252" i="48"/>
  <c r="Q236" i="48"/>
  <c r="E249" i="48"/>
  <c r="E225" i="48"/>
  <c r="C235" i="48"/>
  <c r="Q227" i="48"/>
  <c r="C230" i="48"/>
  <c r="E241" i="48"/>
  <c r="Q243" i="48"/>
  <c r="E246" i="48"/>
  <c r="K244" i="48"/>
  <c r="Q242" i="48"/>
  <c r="C251" i="48"/>
  <c r="J246" i="48"/>
  <c r="J233" i="48"/>
  <c r="J240" i="48"/>
  <c r="C228" i="48"/>
  <c r="E237" i="48"/>
  <c r="Q247" i="48"/>
  <c r="Q234" i="48"/>
  <c r="E228" i="48"/>
  <c r="Q235" i="48"/>
  <c r="O240" i="48"/>
  <c r="J245" i="48"/>
  <c r="K242" i="48"/>
  <c r="Q238" i="48"/>
  <c r="O233" i="48"/>
  <c r="O245" i="48"/>
  <c r="K231" i="48"/>
  <c r="J237" i="48"/>
  <c r="O225" i="48"/>
  <c r="C234" i="48"/>
  <c r="E238" i="48"/>
  <c r="K233" i="48"/>
  <c r="E243" i="48"/>
  <c r="C238" i="48"/>
  <c r="J235" i="48"/>
  <c r="J249" i="48"/>
  <c r="Q246" i="48"/>
  <c r="K229" i="48"/>
  <c r="Q245" i="48"/>
  <c r="E244" i="48"/>
  <c r="Q232" i="48"/>
  <c r="E236" i="48"/>
  <c r="Q241" i="48"/>
  <c r="C244" i="48"/>
  <c r="K236" i="48"/>
  <c r="C241" i="48"/>
  <c r="C227" i="48"/>
  <c r="J238" i="48"/>
  <c r="J242" i="48"/>
  <c r="Q237" i="48"/>
  <c r="J227" i="48"/>
  <c r="Q229" i="48"/>
  <c r="O250" i="48"/>
  <c r="E251" i="48"/>
  <c r="J231" i="48"/>
  <c r="E242" i="48"/>
  <c r="O230" i="48"/>
  <c r="E227" i="48"/>
  <c r="Q225" i="48"/>
  <c r="K252" i="48"/>
  <c r="C249" i="48"/>
  <c r="C232" i="48"/>
  <c r="O243" i="48"/>
  <c r="J229" i="48"/>
  <c r="O237" i="48"/>
  <c r="J232" i="48"/>
  <c r="C243" i="48"/>
  <c r="O236" i="48"/>
  <c r="C225" i="48"/>
  <c r="K247" i="48"/>
  <c r="C246" i="48"/>
  <c r="K226" i="48"/>
  <c r="Q226" i="48"/>
  <c r="Q248" i="48"/>
  <c r="K250" i="48"/>
  <c r="J230" i="48"/>
  <c r="K232" i="48"/>
  <c r="Q230" i="48"/>
  <c r="E235" i="48"/>
  <c r="E245" i="48"/>
  <c r="O231" i="48"/>
  <c r="C226" i="48"/>
  <c r="C231" i="48"/>
  <c r="Q233" i="48"/>
  <c r="O252" i="48"/>
  <c r="C233" i="48"/>
  <c r="O232" i="48"/>
  <c r="O239" i="48"/>
  <c r="K249" i="48"/>
  <c r="J236" i="48"/>
  <c r="E226" i="48"/>
  <c r="J244" i="48"/>
  <c r="C240" i="48"/>
  <c r="Q244" i="48"/>
  <c r="J234" i="48"/>
  <c r="O238" i="48"/>
  <c r="J239" i="48"/>
  <c r="E250" i="48"/>
  <c r="J241" i="48"/>
  <c r="C236" i="48"/>
  <c r="O226" i="48"/>
  <c r="O247" i="48"/>
  <c r="Q228" i="48"/>
  <c r="E247" i="48"/>
  <c r="O235" i="48"/>
  <c r="C252" i="48"/>
  <c r="C229" i="48"/>
  <c r="Q231" i="48"/>
  <c r="K239" i="48"/>
  <c r="C250" i="48"/>
  <c r="K234" i="48"/>
  <c r="E233" i="48"/>
  <c r="J248" i="48"/>
  <c r="E239" i="48"/>
  <c r="Q239" i="48"/>
  <c r="E234" i="48"/>
  <c r="K246" i="48"/>
  <c r="Q249" i="48"/>
  <c r="J247" i="48"/>
  <c r="K251" i="48"/>
  <c r="K235" i="48"/>
  <c r="G408" i="7"/>
  <c r="H408" i="7" s="1"/>
  <c r="E245" i="10"/>
  <c r="I282" i="48"/>
  <c r="L253" i="48"/>
  <c r="L258" i="48" s="1"/>
  <c r="G163" i="11"/>
  <c r="D55" i="58"/>
  <c r="D56" i="58" s="1"/>
  <c r="G686" i="6"/>
  <c r="G690" i="6" s="1"/>
  <c r="C224" i="42" s="1"/>
  <c r="D224" i="42" s="1"/>
  <c r="F41" i="3"/>
  <c r="F107" i="3"/>
  <c r="F127" i="3"/>
  <c r="F129" i="3" s="1"/>
  <c r="G151" i="11"/>
  <c r="H151" i="11" s="1"/>
  <c r="E297" i="15"/>
  <c r="E320" i="15" s="1"/>
  <c r="I355" i="7"/>
  <c r="G59" i="11"/>
  <c r="G52" i="7"/>
  <c r="F37" i="3" s="1"/>
  <c r="G470" i="7"/>
  <c r="H470" i="7" s="1"/>
  <c r="G23" i="8"/>
  <c r="H19" i="8"/>
  <c r="H566" i="8"/>
  <c r="G569" i="8"/>
  <c r="AG24" i="42"/>
  <c r="AG26" i="42" s="1"/>
  <c r="E83" i="15"/>
  <c r="C247" i="42" s="1"/>
  <c r="C251" i="42" s="1"/>
  <c r="C253" i="42" s="1"/>
  <c r="C255" i="42" s="1"/>
  <c r="G747" i="6"/>
  <c r="G524" i="6"/>
  <c r="H97" i="8"/>
  <c r="G142" i="11"/>
  <c r="F92" i="34"/>
  <c r="F648" i="34"/>
  <c r="F650" i="34" s="1"/>
  <c r="F265" i="34" s="1"/>
  <c r="F242" i="15"/>
  <c r="E243" i="15"/>
  <c r="I16" i="6"/>
  <c r="P123" i="42"/>
  <c r="G608" i="8"/>
  <c r="H606" i="8"/>
  <c r="H28" i="7"/>
  <c r="G40" i="7"/>
  <c r="F13" i="3" s="1"/>
  <c r="E9" i="13"/>
  <c r="G1217" i="7"/>
  <c r="H1217" i="7" s="1"/>
  <c r="F117" i="17"/>
  <c r="F121" i="17" s="1"/>
  <c r="F123" i="17" s="1"/>
  <c r="F94" i="3" s="1"/>
  <c r="AU59" i="42"/>
  <c r="I1976" i="6"/>
  <c r="H155" i="11"/>
  <c r="H163" i="11" s="1"/>
  <c r="H229" i="7"/>
  <c r="G240" i="7"/>
  <c r="G1196" i="7"/>
  <c r="G1201" i="7" s="1"/>
  <c r="G1219" i="7" s="1"/>
  <c r="F118" i="16"/>
  <c r="F13" i="16"/>
  <c r="F20" i="16" s="1"/>
  <c r="F47" i="16" s="1"/>
  <c r="E140" i="13"/>
  <c r="S58" i="42"/>
  <c r="E224" i="15"/>
  <c r="H579" i="8"/>
  <c r="H713" i="7"/>
  <c r="L138" i="42"/>
  <c r="M136" i="42"/>
  <c r="S248" i="48" l="1"/>
  <c r="I280" i="48" s="1"/>
  <c r="J280" i="48" s="1"/>
  <c r="S225" i="48"/>
  <c r="I286" i="48" s="1"/>
  <c r="I992" i="7" s="1"/>
  <c r="S251" i="48"/>
  <c r="I278" i="48" s="1"/>
  <c r="I222" i="8" s="1"/>
  <c r="S245" i="48"/>
  <c r="T245" i="48" s="1"/>
  <c r="S252" i="48"/>
  <c r="T252" i="48" s="1"/>
  <c r="S227" i="48"/>
  <c r="I287" i="48" s="1"/>
  <c r="J287" i="48" s="1"/>
  <c r="S249" i="48"/>
  <c r="I281" i="48" s="1"/>
  <c r="J281" i="48" s="1"/>
  <c r="S250" i="48"/>
  <c r="T250" i="48" s="1"/>
  <c r="O253" i="48"/>
  <c r="O255" i="48" s="1"/>
  <c r="J253" i="48"/>
  <c r="J258" i="48" s="1"/>
  <c r="E253" i="48"/>
  <c r="E258" i="48" s="1"/>
  <c r="C253" i="48"/>
  <c r="C258" i="48" s="1"/>
  <c r="Q253" i="48"/>
  <c r="Q255" i="48" s="1"/>
  <c r="K253" i="48"/>
  <c r="K255" i="48" s="1"/>
  <c r="S226" i="48"/>
  <c r="I285" i="48" s="1"/>
  <c r="C214" i="42"/>
  <c r="D214" i="42" s="1"/>
  <c r="F420" i="34"/>
  <c r="T247" i="48"/>
  <c r="J282" i="48"/>
  <c r="I1735" i="6"/>
  <c r="L255" i="48"/>
  <c r="F10" i="58"/>
  <c r="G62" i="6"/>
  <c r="F39" i="3" s="1"/>
  <c r="F42" i="3" s="1"/>
  <c r="H690" i="6"/>
  <c r="F120" i="3"/>
  <c r="C221" i="42"/>
  <c r="F297" i="15"/>
  <c r="H747" i="6"/>
  <c r="C225" i="42"/>
  <c r="D225" i="42" s="1"/>
  <c r="G225" i="42" s="1"/>
  <c r="H240" i="7"/>
  <c r="C211" i="42"/>
  <c r="H59" i="11"/>
  <c r="I1088" i="7"/>
  <c r="G1227" i="7"/>
  <c r="F83" i="16"/>
  <c r="F85" i="16" s="1"/>
  <c r="F51" i="16"/>
  <c r="E274" i="15"/>
  <c r="F47" i="34"/>
  <c r="E10" i="13"/>
  <c r="E15" i="13" s="1"/>
  <c r="E45" i="13"/>
  <c r="F243" i="15"/>
  <c r="E248" i="15"/>
  <c r="E230" i="15"/>
  <c r="I1980" i="6"/>
  <c r="I702" i="6"/>
  <c r="I705" i="6" s="1"/>
  <c r="H40" i="7"/>
  <c r="G46" i="7"/>
  <c r="F450" i="34"/>
  <c r="F101" i="34"/>
  <c r="F116" i="34" s="1"/>
  <c r="F119" i="34" s="1"/>
  <c r="F121" i="34" s="1"/>
  <c r="F83" i="15"/>
  <c r="E87" i="15"/>
  <c r="M138" i="42"/>
  <c r="L144" i="42"/>
  <c r="M144" i="42" s="1"/>
  <c r="I1587" i="6"/>
  <c r="H142" i="11"/>
  <c r="AG36" i="42"/>
  <c r="AG56" i="42" s="1"/>
  <c r="E88" i="42"/>
  <c r="H524" i="6"/>
  <c r="F320" i="15"/>
  <c r="E323" i="15"/>
  <c r="H569" i="8"/>
  <c r="G581" i="8"/>
  <c r="H23" i="8"/>
  <c r="G34" i="8"/>
  <c r="D221" i="42" l="1"/>
  <c r="I993" i="7"/>
  <c r="J993" i="7" s="1"/>
  <c r="K993" i="7" s="1"/>
  <c r="L993" i="7" s="1"/>
  <c r="M993" i="7" s="1"/>
  <c r="N993" i="7" s="1"/>
  <c r="O993" i="7" s="1"/>
  <c r="P993" i="7" s="1"/>
  <c r="Q993" i="7" s="1"/>
  <c r="R993" i="7" s="1"/>
  <c r="I991" i="7"/>
  <c r="I89" i="10" s="1"/>
  <c r="J89" i="10" s="1"/>
  <c r="I990" i="7"/>
  <c r="I88" i="10" s="1"/>
  <c r="J286" i="48"/>
  <c r="T225" i="48"/>
  <c r="J255" i="48"/>
  <c r="I1827" i="6"/>
  <c r="I640" i="6" s="1"/>
  <c r="I678" i="6" s="1"/>
  <c r="T248" i="48"/>
  <c r="J278" i="48"/>
  <c r="Q258" i="48"/>
  <c r="I283" i="48"/>
  <c r="J283" i="48" s="1"/>
  <c r="I1992" i="6"/>
  <c r="F16" i="58" s="1"/>
  <c r="T16" i="58" s="1"/>
  <c r="I279" i="48"/>
  <c r="J279" i="48" s="1"/>
  <c r="T251" i="48"/>
  <c r="I1164" i="7"/>
  <c r="H16" i="48" s="1"/>
  <c r="T249" i="48"/>
  <c r="T227" i="48"/>
  <c r="O258" i="48"/>
  <c r="E255" i="48"/>
  <c r="T226" i="48"/>
  <c r="I284" i="48"/>
  <c r="J284" i="48" s="1"/>
  <c r="C255" i="48"/>
  <c r="K258" i="48"/>
  <c r="S253" i="48"/>
  <c r="I277" i="48" s="1"/>
  <c r="J277" i="48" s="1"/>
  <c r="F53" i="3"/>
  <c r="J285" i="48"/>
  <c r="I1047" i="7"/>
  <c r="J222" i="8"/>
  <c r="I344" i="8"/>
  <c r="I72" i="8"/>
  <c r="I90" i="10"/>
  <c r="J90" i="10" s="1"/>
  <c r="J992" i="7"/>
  <c r="I587" i="6"/>
  <c r="I601" i="6" s="1"/>
  <c r="H11" i="48"/>
  <c r="J1735" i="6"/>
  <c r="I1751" i="6"/>
  <c r="I1753" i="6" s="1"/>
  <c r="I1757" i="6" s="1"/>
  <c r="T20" i="58"/>
  <c r="F11" i="58"/>
  <c r="F13" i="58" s="1"/>
  <c r="T32" i="58"/>
  <c r="T34" i="58" s="1"/>
  <c r="V34" i="58" s="1"/>
  <c r="D211" i="42"/>
  <c r="G221" i="42"/>
  <c r="E221" i="42"/>
  <c r="I1103" i="7"/>
  <c r="I424" i="7"/>
  <c r="I434" i="7" s="1"/>
  <c r="H34" i="8"/>
  <c r="H581" i="8"/>
  <c r="G586" i="8"/>
  <c r="H586" i="8" s="1"/>
  <c r="F248" i="15"/>
  <c r="E271" i="15"/>
  <c r="E325" i="15"/>
  <c r="E328" i="15"/>
  <c r="I390" i="8" s="1"/>
  <c r="I1594" i="6"/>
  <c r="I482" i="6"/>
  <c r="I490" i="6" s="1"/>
  <c r="F51" i="34"/>
  <c r="F642" i="34"/>
  <c r="F644" i="34" s="1"/>
  <c r="F263" i="34" s="1"/>
  <c r="H46" i="7"/>
  <c r="G57" i="7"/>
  <c r="P124" i="42"/>
  <c r="I17" i="6"/>
  <c r="E276" i="15"/>
  <c r="E279" i="15"/>
  <c r="I194" i="8" s="1"/>
  <c r="E89" i="15"/>
  <c r="F89" i="15" s="1"/>
  <c r="F87" i="15"/>
  <c r="F324" i="34"/>
  <c r="E91" i="15"/>
  <c r="F91" i="15" s="1"/>
  <c r="E46" i="13"/>
  <c r="E52" i="13" s="1"/>
  <c r="F17" i="3" s="1"/>
  <c r="F18" i="3" s="1"/>
  <c r="E117" i="13"/>
  <c r="E118" i="13" s="1"/>
  <c r="E120" i="13" s="1"/>
  <c r="E126" i="13" s="1"/>
  <c r="E138" i="13" s="1"/>
  <c r="E188" i="15"/>
  <c r="AG59" i="42"/>
  <c r="F119" i="16"/>
  <c r="F123" i="16" s="1"/>
  <c r="F125" i="16" s="1"/>
  <c r="F93" i="3" s="1"/>
  <c r="I1171" i="7" l="1"/>
  <c r="M16" i="48" s="1"/>
  <c r="J990" i="7"/>
  <c r="L88" i="10" s="1"/>
  <c r="J991" i="7"/>
  <c r="H15" i="48"/>
  <c r="I386" i="7"/>
  <c r="I997" i="7"/>
  <c r="H9" i="48"/>
  <c r="F34" i="58"/>
  <c r="F36" i="58" s="1"/>
  <c r="F38" i="58" s="1"/>
  <c r="F43" i="58" s="1"/>
  <c r="T22" i="58"/>
  <c r="V22" i="58" s="1"/>
  <c r="J1827" i="6"/>
  <c r="J640" i="6" s="1"/>
  <c r="J678" i="6" s="1"/>
  <c r="J32" i="6" s="1"/>
  <c r="I1619" i="6"/>
  <c r="H12" i="48" s="1"/>
  <c r="I1946" i="6"/>
  <c r="I1948" i="6" s="1"/>
  <c r="I1950" i="6" s="1"/>
  <c r="I445" i="7"/>
  <c r="I454" i="7" s="1"/>
  <c r="I456" i="7" s="1"/>
  <c r="J1164" i="7"/>
  <c r="J445" i="7" s="1"/>
  <c r="J454" i="7" s="1"/>
  <c r="I712" i="6"/>
  <c r="I732" i="6" s="1"/>
  <c r="Q124" i="42" s="1"/>
  <c r="R124" i="42" s="1"/>
  <c r="J1992" i="6"/>
  <c r="G16" i="58" s="1"/>
  <c r="G34" i="58" s="1"/>
  <c r="I418" i="8"/>
  <c r="I135" i="8" s="1"/>
  <c r="G135" i="3" s="1"/>
  <c r="I35" i="27"/>
  <c r="J35" i="27" s="1"/>
  <c r="I2017" i="6"/>
  <c r="I2019" i="6" s="1"/>
  <c r="I2021" i="6" s="1"/>
  <c r="H10" i="48"/>
  <c r="I288" i="48"/>
  <c r="S255" i="48"/>
  <c r="T253" i="48"/>
  <c r="J288" i="48"/>
  <c r="J587" i="6"/>
  <c r="J601" i="6" s="1"/>
  <c r="K1735" i="6"/>
  <c r="J1751" i="6"/>
  <c r="J1753" i="6" s="1"/>
  <c r="J1757" i="6" s="1"/>
  <c r="J88" i="10"/>
  <c r="J103" i="10" s="1"/>
  <c r="I45" i="11" s="1"/>
  <c r="J45" i="11" s="1"/>
  <c r="I103" i="10"/>
  <c r="I1008" i="7" s="1"/>
  <c r="L90" i="10"/>
  <c r="M90" i="10" s="1"/>
  <c r="K992" i="7"/>
  <c r="K222" i="8"/>
  <c r="J72" i="8"/>
  <c r="J344" i="8"/>
  <c r="Q123" i="42"/>
  <c r="R123" i="42" s="1"/>
  <c r="I32" i="6"/>
  <c r="I680" i="6"/>
  <c r="K990" i="7"/>
  <c r="I603" i="6"/>
  <c r="I31" i="6"/>
  <c r="I47" i="6" s="1"/>
  <c r="Q122" i="42"/>
  <c r="R122" i="42" s="1"/>
  <c r="I1055" i="7"/>
  <c r="I1057" i="7" s="1"/>
  <c r="I1059" i="7" s="1"/>
  <c r="J1047" i="7"/>
  <c r="I382" i="7"/>
  <c r="H118" i="10" s="1"/>
  <c r="H14" i="48"/>
  <c r="G132" i="3"/>
  <c r="H227" i="10"/>
  <c r="I227" i="10"/>
  <c r="L89" i="10"/>
  <c r="M89" i="10" s="1"/>
  <c r="H7" i="48"/>
  <c r="I81" i="8"/>
  <c r="F51" i="58"/>
  <c r="E211" i="42"/>
  <c r="F211" i="42" s="1"/>
  <c r="G211" i="42"/>
  <c r="H57" i="7"/>
  <c r="I14" i="7"/>
  <c r="P135" i="42"/>
  <c r="F437" i="34"/>
  <c r="E281" i="15"/>
  <c r="F675" i="34"/>
  <c r="F280" i="34" s="1"/>
  <c r="F60" i="34"/>
  <c r="F75" i="34" s="1"/>
  <c r="F78" i="34" s="1"/>
  <c r="F80" i="34" s="1"/>
  <c r="F435" i="34"/>
  <c r="F271" i="15"/>
  <c r="E169" i="15"/>
  <c r="P120" i="42"/>
  <c r="I13" i="6"/>
  <c r="E59" i="13"/>
  <c r="E83" i="13" s="1"/>
  <c r="F327" i="34"/>
  <c r="F328" i="34" s="1"/>
  <c r="F330" i="34" s="1"/>
  <c r="F175" i="34" s="1"/>
  <c r="F556" i="34"/>
  <c r="F559" i="34" s="1"/>
  <c r="AG58" i="42"/>
  <c r="F808" i="34"/>
  <c r="F809" i="34" s="1"/>
  <c r="F188" i="15"/>
  <c r="E133" i="15"/>
  <c r="E189" i="15"/>
  <c r="F676" i="34"/>
  <c r="F281" i="34" s="1"/>
  <c r="F452" i="34"/>
  <c r="F456" i="34" s="1"/>
  <c r="F461" i="34" s="1"/>
  <c r="F275" i="34" s="1"/>
  <c r="E330" i="15"/>
  <c r="F240" i="3"/>
  <c r="J997" i="7" l="1"/>
  <c r="I1173" i="7"/>
  <c r="I1176" i="7" s="1"/>
  <c r="K991" i="7"/>
  <c r="J386" i="7"/>
  <c r="M15" i="48"/>
  <c r="M9" i="48"/>
  <c r="J2017" i="6"/>
  <c r="G52" i="58" s="1"/>
  <c r="I1627" i="6"/>
  <c r="I1629" i="6" s="1"/>
  <c r="I1631" i="6" s="1"/>
  <c r="T38" i="58"/>
  <c r="T40" i="58" s="1"/>
  <c r="V40" i="58" s="1"/>
  <c r="G134" i="3"/>
  <c r="Q135" i="42"/>
  <c r="R135" i="42" s="1"/>
  <c r="I26" i="7"/>
  <c r="I38" i="7" s="1"/>
  <c r="K1827" i="6"/>
  <c r="L1827" i="6" s="1"/>
  <c r="J1946" i="6"/>
  <c r="I498" i="6"/>
  <c r="I509" i="6" s="1"/>
  <c r="I511" i="6" s="1"/>
  <c r="I2063" i="6" s="1"/>
  <c r="J1619" i="6"/>
  <c r="J1627" i="6" s="1"/>
  <c r="I472" i="7"/>
  <c r="F52" i="58"/>
  <c r="K1992" i="6"/>
  <c r="H16" i="58" s="1"/>
  <c r="H34" i="58" s="1"/>
  <c r="J1171" i="7"/>
  <c r="J1173" i="7" s="1"/>
  <c r="J1176" i="7" s="1"/>
  <c r="I698" i="7"/>
  <c r="I223" i="7" s="1"/>
  <c r="K1164" i="7"/>
  <c r="K445" i="7" s="1"/>
  <c r="K454" i="7" s="1"/>
  <c r="I734" i="6"/>
  <c r="I2067" i="6" s="1"/>
  <c r="I33" i="6"/>
  <c r="M10" i="48" s="1"/>
  <c r="J712" i="6"/>
  <c r="J732" i="6" s="1"/>
  <c r="J33" i="6" s="1"/>
  <c r="I544" i="8"/>
  <c r="J418" i="8"/>
  <c r="H13" i="48"/>
  <c r="I51" i="27"/>
  <c r="I53" i="27" s="1"/>
  <c r="I55" i="27" s="1"/>
  <c r="I60" i="27" s="1"/>
  <c r="I68" i="27" s="1"/>
  <c r="I71" i="27" s="1"/>
  <c r="J69" i="27" s="1"/>
  <c r="G137" i="3"/>
  <c r="F405" i="34"/>
  <c r="M14" i="48"/>
  <c r="I601" i="8"/>
  <c r="Q141" i="42"/>
  <c r="I14" i="8"/>
  <c r="O89" i="10"/>
  <c r="P89" i="10" s="1"/>
  <c r="L991" i="7"/>
  <c r="I392" i="7"/>
  <c r="I607" i="6"/>
  <c r="I2065" i="6"/>
  <c r="O88" i="10"/>
  <c r="K386" i="7"/>
  <c r="L990" i="7"/>
  <c r="K997" i="7"/>
  <c r="I2066" i="6"/>
  <c r="I682" i="6"/>
  <c r="J81" i="8"/>
  <c r="M11" i="48"/>
  <c r="I1064" i="7"/>
  <c r="J456" i="7"/>
  <c r="J472" i="7"/>
  <c r="J26" i="7"/>
  <c r="J38" i="7" s="1"/>
  <c r="I48" i="6"/>
  <c r="K72" i="8"/>
  <c r="L222" i="8"/>
  <c r="K344" i="8"/>
  <c r="K227" i="10"/>
  <c r="L227" i="10"/>
  <c r="I240" i="10"/>
  <c r="I1763" i="6"/>
  <c r="I614" i="6" s="1"/>
  <c r="I63" i="6" s="1"/>
  <c r="G47" i="3" s="1"/>
  <c r="J1055" i="7"/>
  <c r="J1057" i="7" s="1"/>
  <c r="J1059" i="7" s="1"/>
  <c r="K1047" i="7"/>
  <c r="J382" i="7"/>
  <c r="K118" i="10" s="1"/>
  <c r="H132" i="3"/>
  <c r="M88" i="10"/>
  <c r="L103" i="10"/>
  <c r="J1008" i="7" s="1"/>
  <c r="O90" i="10"/>
  <c r="P90" i="10" s="1"/>
  <c r="L992" i="7"/>
  <c r="I145" i="8"/>
  <c r="H8" i="48"/>
  <c r="H137" i="3"/>
  <c r="K35" i="27"/>
  <c r="J51" i="27"/>
  <c r="J53" i="27" s="1"/>
  <c r="J55" i="27" s="1"/>
  <c r="K1751" i="6"/>
  <c r="K1753" i="6" s="1"/>
  <c r="K1757" i="6" s="1"/>
  <c r="L1735" i="6"/>
  <c r="K587" i="6"/>
  <c r="K601" i="6" s="1"/>
  <c r="I1762" i="6"/>
  <c r="J227" i="10"/>
  <c r="I148" i="11" s="1"/>
  <c r="J148" i="11" s="1"/>
  <c r="K148" i="11" s="1"/>
  <c r="I118" i="10"/>
  <c r="I122" i="10" s="1"/>
  <c r="J31" i="6"/>
  <c r="J47" i="6" s="1"/>
  <c r="J603" i="6"/>
  <c r="F202" i="42"/>
  <c r="F212" i="42"/>
  <c r="F220" i="42"/>
  <c r="F201" i="42"/>
  <c r="F218" i="42"/>
  <c r="F208" i="42"/>
  <c r="F441" i="34"/>
  <c r="F446" i="34" s="1"/>
  <c r="F273" i="34" s="1"/>
  <c r="J908" i="7"/>
  <c r="K87" i="10" s="1"/>
  <c r="K45" i="11"/>
  <c r="I459" i="7"/>
  <c r="H120" i="10" s="1"/>
  <c r="J120" i="10" s="1"/>
  <c r="I1215" i="7"/>
  <c r="I201" i="8"/>
  <c r="I346" i="8" s="1"/>
  <c r="I349" i="8" s="1"/>
  <c r="I47" i="8"/>
  <c r="AH9" i="42" s="1"/>
  <c r="E175" i="15"/>
  <c r="F189" i="15"/>
  <c r="E195" i="15"/>
  <c r="AG62" i="42"/>
  <c r="I19" i="6"/>
  <c r="F133" i="15"/>
  <c r="E134" i="15"/>
  <c r="F176" i="34"/>
  <c r="I402" i="8"/>
  <c r="I110" i="8"/>
  <c r="P125" i="42"/>
  <c r="T42" i="58" l="1"/>
  <c r="K640" i="6"/>
  <c r="K678" i="6" s="1"/>
  <c r="K32" i="6" s="1"/>
  <c r="J498" i="6"/>
  <c r="J509" i="6" s="1"/>
  <c r="J29" i="6" s="1"/>
  <c r="I700" i="7"/>
  <c r="I702" i="7" s="1"/>
  <c r="I704" i="7" s="1"/>
  <c r="I713" i="7" s="1"/>
  <c r="K1619" i="6"/>
  <c r="I29" i="6"/>
  <c r="M12" i="48" s="1"/>
  <c r="K1946" i="6"/>
  <c r="H134" i="3"/>
  <c r="J698" i="7"/>
  <c r="J223" i="7" s="1"/>
  <c r="I513" i="6"/>
  <c r="H222" i="10" s="1"/>
  <c r="J222" i="10" s="1"/>
  <c r="G215" i="3"/>
  <c r="K712" i="6"/>
  <c r="K732" i="6" s="1"/>
  <c r="K33" i="6" s="1"/>
  <c r="I736" i="6"/>
  <c r="H238" i="10" s="1"/>
  <c r="J238" i="10" s="1"/>
  <c r="I155" i="11" s="1"/>
  <c r="I163" i="11" s="1"/>
  <c r="Q120" i="42"/>
  <c r="Q125" i="42" s="1"/>
  <c r="R125" i="42" s="1"/>
  <c r="K1171" i="7"/>
  <c r="K1173" i="7" s="1"/>
  <c r="K1176" i="7" s="1"/>
  <c r="J544" i="8"/>
  <c r="K2017" i="6"/>
  <c r="H52" i="58" s="1"/>
  <c r="I546" i="8"/>
  <c r="I550" i="8" s="1"/>
  <c r="I555" i="8" s="1"/>
  <c r="I156" i="8" s="1"/>
  <c r="L1164" i="7"/>
  <c r="M1164" i="7" s="1"/>
  <c r="L1992" i="6"/>
  <c r="L2017" i="6" s="1"/>
  <c r="H17" i="48"/>
  <c r="I49" i="6"/>
  <c r="K418" i="8"/>
  <c r="K135" i="8" s="1"/>
  <c r="K145" i="8" s="1"/>
  <c r="J135" i="8"/>
  <c r="J145" i="8" s="1"/>
  <c r="J15" i="8" s="1"/>
  <c r="H7" i="17" s="1"/>
  <c r="M13" i="48"/>
  <c r="I2069" i="6"/>
  <c r="J35" i="6"/>
  <c r="G27" i="13" s="1"/>
  <c r="I65" i="27"/>
  <c r="K26" i="7"/>
  <c r="K38" i="7" s="1"/>
  <c r="K456" i="7"/>
  <c r="K472" i="7"/>
  <c r="N227" i="10"/>
  <c r="O227" i="10"/>
  <c r="R90" i="10"/>
  <c r="S90" i="10" s="1"/>
  <c r="M992" i="7"/>
  <c r="U90" i="10" s="1"/>
  <c r="V90" i="10" s="1"/>
  <c r="K382" i="7"/>
  <c r="N118" i="10" s="1"/>
  <c r="K1064" i="7" s="1"/>
  <c r="L1047" i="7"/>
  <c r="K1055" i="7"/>
  <c r="K1057" i="7" s="1"/>
  <c r="K1059" i="7" s="1"/>
  <c r="I132" i="3"/>
  <c r="I25" i="7"/>
  <c r="Q134" i="42"/>
  <c r="I613" i="6"/>
  <c r="I618" i="6" s="1"/>
  <c r="I1767" i="6"/>
  <c r="G198" i="3" s="1"/>
  <c r="J1763" i="6"/>
  <c r="J614" i="6" s="1"/>
  <c r="J63" i="6" s="1"/>
  <c r="H47" i="3" s="1"/>
  <c r="L240" i="10"/>
  <c r="L344" i="8"/>
  <c r="M222" i="8"/>
  <c r="L72" i="8"/>
  <c r="H231" i="10"/>
  <c r="I2046" i="6"/>
  <c r="R88" i="10"/>
  <c r="L997" i="7"/>
  <c r="M990" i="7"/>
  <c r="L386" i="7"/>
  <c r="I2045" i="6"/>
  <c r="R89" i="10"/>
  <c r="S89" i="10" s="1"/>
  <c r="M991" i="7"/>
  <c r="M7" i="48"/>
  <c r="G7" i="16"/>
  <c r="J607" i="6"/>
  <c r="J2065" i="6"/>
  <c r="K31" i="6"/>
  <c r="K47" i="6" s="1"/>
  <c r="K603" i="6"/>
  <c r="J60" i="27"/>
  <c r="J68" i="27" s="1"/>
  <c r="J71" i="27" s="1"/>
  <c r="K69" i="27" s="1"/>
  <c r="J392" i="7"/>
  <c r="J25" i="7" s="1"/>
  <c r="J1762" i="6"/>
  <c r="M227" i="10"/>
  <c r="L148" i="11" s="1"/>
  <c r="M148" i="11" s="1"/>
  <c r="N148" i="11" s="1"/>
  <c r="K81" i="8"/>
  <c r="G138" i="3"/>
  <c r="G139" i="3" s="1"/>
  <c r="I225" i="7"/>
  <c r="J459" i="7"/>
  <c r="J1215" i="7"/>
  <c r="I1065" i="7"/>
  <c r="I242" i="10"/>
  <c r="G49" i="3" s="1"/>
  <c r="L587" i="6"/>
  <c r="L601" i="6" s="1"/>
  <c r="M1735" i="6"/>
  <c r="L1751" i="6"/>
  <c r="L1753" i="6" s="1"/>
  <c r="L1757" i="6" s="1"/>
  <c r="I137" i="3"/>
  <c r="K51" i="27"/>
  <c r="K53" i="27" s="1"/>
  <c r="K55" i="27" s="1"/>
  <c r="L35" i="27"/>
  <c r="I15" i="8"/>
  <c r="G7" i="17" s="1"/>
  <c r="Q142" i="42"/>
  <c r="I602" i="8"/>
  <c r="I604" i="8" s="1"/>
  <c r="L1946" i="6"/>
  <c r="M1827" i="6"/>
  <c r="L640" i="6"/>
  <c r="L678" i="6" s="1"/>
  <c r="L32" i="6" s="1"/>
  <c r="L118" i="10"/>
  <c r="M118" i="10" s="1"/>
  <c r="L56" i="11" s="1"/>
  <c r="J1064" i="7"/>
  <c r="J118" i="10"/>
  <c r="I56" i="11" s="1"/>
  <c r="J56" i="11" s="1"/>
  <c r="K56" i="11" s="1"/>
  <c r="J14" i="8"/>
  <c r="J601" i="8"/>
  <c r="O103" i="10"/>
  <c r="K1008" i="7" s="1"/>
  <c r="P88" i="10"/>
  <c r="K103" i="10"/>
  <c r="M87" i="10"/>
  <c r="M103" i="10" s="1"/>
  <c r="L45" i="11" s="1"/>
  <c r="I355" i="8"/>
  <c r="I93" i="8" s="1"/>
  <c r="I354" i="8"/>
  <c r="I92" i="8" s="1"/>
  <c r="I1199" i="7"/>
  <c r="I1182" i="7"/>
  <c r="I1186" i="7" s="1"/>
  <c r="J355" i="7"/>
  <c r="I50" i="8"/>
  <c r="F26" i="13"/>
  <c r="E140" i="15"/>
  <c r="F134" i="15"/>
  <c r="F195" i="15"/>
  <c r="E220" i="15"/>
  <c r="F6" i="34" s="1"/>
  <c r="I113" i="8"/>
  <c r="AV9" i="42"/>
  <c r="J1799" i="6"/>
  <c r="J1948" i="6" s="1"/>
  <c r="J1950" i="6" s="1"/>
  <c r="J633" i="6"/>
  <c r="J635" i="6" s="1"/>
  <c r="K698" i="7" l="1"/>
  <c r="K223" i="7" s="1"/>
  <c r="L445" i="7"/>
  <c r="L454" i="7" s="1"/>
  <c r="L26" i="7" s="1"/>
  <c r="L38" i="7" s="1"/>
  <c r="K498" i="6"/>
  <c r="K509" i="6" s="1"/>
  <c r="K29" i="6" s="1"/>
  <c r="K35" i="6" s="1"/>
  <c r="H27" i="13" s="1"/>
  <c r="L1619" i="6"/>
  <c r="L498" i="6" s="1"/>
  <c r="L509" i="6" s="1"/>
  <c r="L29" i="6" s="1"/>
  <c r="K1627" i="6"/>
  <c r="I134" i="3"/>
  <c r="I16" i="58"/>
  <c r="I34" i="58" s="1"/>
  <c r="I52" i="58" s="1"/>
  <c r="I556" i="8"/>
  <c r="I157" i="8" s="1"/>
  <c r="I30" i="8" s="1"/>
  <c r="J700" i="7"/>
  <c r="J702" i="7" s="1"/>
  <c r="J704" i="7" s="1"/>
  <c r="J713" i="7" s="1"/>
  <c r="I45" i="6"/>
  <c r="H240" i="10"/>
  <c r="I2043" i="6"/>
  <c r="I35" i="6"/>
  <c r="F27" i="13" s="1"/>
  <c r="F28" i="13" s="1"/>
  <c r="F33" i="13" s="1"/>
  <c r="I2026" i="6"/>
  <c r="I742" i="6" s="1"/>
  <c r="G101" i="3" s="1"/>
  <c r="L1171" i="7"/>
  <c r="L1173" i="7" s="1"/>
  <c r="L1176" i="7" s="1"/>
  <c r="R120" i="42"/>
  <c r="J602" i="8"/>
  <c r="J604" i="8" s="1"/>
  <c r="I2047" i="6"/>
  <c r="L712" i="6"/>
  <c r="L732" i="6" s="1"/>
  <c r="L33" i="6" s="1"/>
  <c r="K544" i="8"/>
  <c r="M1992" i="6"/>
  <c r="M712" i="6" s="1"/>
  <c r="M732" i="6" s="1"/>
  <c r="M33" i="6" s="1"/>
  <c r="L418" i="8"/>
  <c r="M418" i="8" s="1"/>
  <c r="H135" i="3"/>
  <c r="I135" i="3"/>
  <c r="K392" i="7"/>
  <c r="K25" i="7" s="1"/>
  <c r="M56" i="11"/>
  <c r="N56" i="11" s="1"/>
  <c r="K14" i="8"/>
  <c r="K601" i="8"/>
  <c r="M8" i="48"/>
  <c r="J2045" i="6"/>
  <c r="N991" i="7"/>
  <c r="U89" i="10"/>
  <c r="V89" i="10" s="1"/>
  <c r="R103" i="10"/>
  <c r="L1008" i="7" s="1"/>
  <c r="S88" i="10"/>
  <c r="N222" i="8"/>
  <c r="M72" i="8"/>
  <c r="M344" i="8"/>
  <c r="K15" i="8"/>
  <c r="I7" i="17" s="1"/>
  <c r="K602" i="8"/>
  <c r="M1171" i="7"/>
  <c r="M1173" i="7" s="1"/>
  <c r="M1176" i="7" s="1"/>
  <c r="M445" i="7"/>
  <c r="M454" i="7" s="1"/>
  <c r="N1164" i="7"/>
  <c r="L382" i="7"/>
  <c r="Q118" i="10" s="1"/>
  <c r="L1055" i="7"/>
  <c r="L1057" i="7" s="1"/>
  <c r="L1059" i="7" s="1"/>
  <c r="M1047" i="7"/>
  <c r="J132" i="3"/>
  <c r="M640" i="6"/>
  <c r="M678" i="6" s="1"/>
  <c r="M32" i="6" s="1"/>
  <c r="N1827" i="6"/>
  <c r="M1946" i="6"/>
  <c r="G99" i="17"/>
  <c r="G291" i="15"/>
  <c r="AV18" i="42"/>
  <c r="R227" i="10"/>
  <c r="Q227" i="10"/>
  <c r="I1069" i="7"/>
  <c r="I404" i="7"/>
  <c r="I53" i="7" s="1"/>
  <c r="G45" i="3" s="1"/>
  <c r="G54" i="3" s="1"/>
  <c r="K120" i="10"/>
  <c r="J1199" i="7"/>
  <c r="J613" i="6"/>
  <c r="J618" i="6" s="1"/>
  <c r="J1767" i="6"/>
  <c r="H198" i="3" s="1"/>
  <c r="J65" i="27"/>
  <c r="I17" i="8"/>
  <c r="U88" i="10"/>
  <c r="N990" i="7"/>
  <c r="M386" i="7"/>
  <c r="M997" i="7"/>
  <c r="J137" i="3"/>
  <c r="M35" i="27"/>
  <c r="L51" i="27"/>
  <c r="L53" i="27" s="1"/>
  <c r="L55" i="27" s="1"/>
  <c r="M1751" i="6"/>
  <c r="M1753" i="6" s="1"/>
  <c r="M1757" i="6" s="1"/>
  <c r="N1735" i="6"/>
  <c r="M587" i="6"/>
  <c r="M601" i="6" s="1"/>
  <c r="Q131" i="42"/>
  <c r="I22" i="7"/>
  <c r="I227" i="7"/>
  <c r="AW18" i="42"/>
  <c r="H291" i="15"/>
  <c r="H99" i="17"/>
  <c r="H138" i="3"/>
  <c r="J225" i="7"/>
  <c r="AH18" i="42"/>
  <c r="G101" i="16"/>
  <c r="G242" i="15"/>
  <c r="J231" i="10"/>
  <c r="I151" i="11" s="1"/>
  <c r="J151" i="11" s="1"/>
  <c r="K151" i="11" s="1"/>
  <c r="I1955" i="6"/>
  <c r="K1763" i="6"/>
  <c r="K614" i="6" s="1"/>
  <c r="K63" i="6" s="1"/>
  <c r="I47" i="3" s="1"/>
  <c r="O240" i="10"/>
  <c r="K1215" i="7"/>
  <c r="K459" i="7"/>
  <c r="J17" i="8"/>
  <c r="H7" i="16"/>
  <c r="J1065" i="7"/>
  <c r="J404" i="7" s="1"/>
  <c r="J53" i="7" s="1"/>
  <c r="H45" i="3" s="1"/>
  <c r="H54" i="3" s="1"/>
  <c r="L122" i="10"/>
  <c r="L242" i="10" s="1"/>
  <c r="H49" i="3" s="1"/>
  <c r="K60" i="27"/>
  <c r="K68" i="27" s="1"/>
  <c r="K71" i="27" s="1"/>
  <c r="L69" i="27" s="1"/>
  <c r="L31" i="6"/>
  <c r="L47" i="6" s="1"/>
  <c r="L603" i="6"/>
  <c r="K2065" i="6"/>
  <c r="K607" i="6"/>
  <c r="L81" i="8"/>
  <c r="O118" i="10"/>
  <c r="K1762" i="6"/>
  <c r="P227" i="10"/>
  <c r="O148" i="11" s="1"/>
  <c r="P148" i="11" s="1"/>
  <c r="Q148" i="11" s="1"/>
  <c r="F47" i="58"/>
  <c r="F54" i="58"/>
  <c r="I29" i="8"/>
  <c r="I358" i="8"/>
  <c r="F87" i="13"/>
  <c r="G106" i="3" s="1"/>
  <c r="J155" i="11"/>
  <c r="I1637" i="6"/>
  <c r="F220" i="15"/>
  <c r="G72" i="15"/>
  <c r="J680" i="6"/>
  <c r="J16" i="6"/>
  <c r="J48" i="6" s="1"/>
  <c r="G103" i="15"/>
  <c r="I83" i="8"/>
  <c r="P141" i="42"/>
  <c r="R141" i="42" s="1"/>
  <c r="I594" i="8"/>
  <c r="P142" i="42"/>
  <c r="R142" i="42" s="1"/>
  <c r="I147" i="8"/>
  <c r="AV10" i="42"/>
  <c r="G104" i="15" s="1"/>
  <c r="I595" i="8"/>
  <c r="I8" i="8" s="1"/>
  <c r="G6" i="17" s="1"/>
  <c r="F140" i="15"/>
  <c r="E165" i="15"/>
  <c r="K700" i="7" l="1"/>
  <c r="K702" i="7" s="1"/>
  <c r="K704" i="7" s="1"/>
  <c r="K713" i="7" s="1"/>
  <c r="L472" i="7"/>
  <c r="L456" i="7"/>
  <c r="L459" i="7" s="1"/>
  <c r="I2030" i="6"/>
  <c r="L135" i="8"/>
  <c r="L145" i="8" s="1"/>
  <c r="L15" i="8" s="1"/>
  <c r="J7" i="17" s="1"/>
  <c r="L1627" i="6"/>
  <c r="J134" i="3"/>
  <c r="M1619" i="6"/>
  <c r="N1619" i="6" s="1"/>
  <c r="I559" i="8"/>
  <c r="L698" i="7"/>
  <c r="L700" i="7" s="1"/>
  <c r="L702" i="7" s="1"/>
  <c r="L704" i="7" s="1"/>
  <c r="L713" i="7" s="1"/>
  <c r="I2049" i="6"/>
  <c r="I2071" i="6" s="1"/>
  <c r="I2077" i="6" s="1"/>
  <c r="I51" i="6"/>
  <c r="G15" i="3" s="1"/>
  <c r="M2017" i="6"/>
  <c r="L544" i="8"/>
  <c r="H139" i="3"/>
  <c r="N1992" i="6"/>
  <c r="N2017" i="6" s="1"/>
  <c r="J16" i="58"/>
  <c r="J34" i="58" s="1"/>
  <c r="R118" i="10"/>
  <c r="L1065" i="7" s="1"/>
  <c r="L404" i="7" s="1"/>
  <c r="L53" i="7" s="1"/>
  <c r="J45" i="3" s="1"/>
  <c r="H50" i="3"/>
  <c r="K65" i="27"/>
  <c r="P118" i="10"/>
  <c r="O56" i="11" s="1"/>
  <c r="P56" i="11" s="1"/>
  <c r="Q56" i="11" s="1"/>
  <c r="K1065" i="7"/>
  <c r="O122" i="10"/>
  <c r="O242" i="10" s="1"/>
  <c r="I49" i="3" s="1"/>
  <c r="AI18" i="42"/>
  <c r="H101" i="16"/>
  <c r="H242" i="15"/>
  <c r="I686" i="6"/>
  <c r="I690" i="6" s="1"/>
  <c r="I1960" i="6"/>
  <c r="I34" i="7"/>
  <c r="I28" i="7"/>
  <c r="F9" i="13" s="1"/>
  <c r="U227" i="10"/>
  <c r="T227" i="10"/>
  <c r="J240" i="10"/>
  <c r="N997" i="7"/>
  <c r="X88" i="10"/>
  <c r="O990" i="7"/>
  <c r="N386" i="7"/>
  <c r="L1763" i="6"/>
  <c r="L614" i="6" s="1"/>
  <c r="L63" i="6" s="1"/>
  <c r="J47" i="3" s="1"/>
  <c r="R240" i="10"/>
  <c r="N445" i="7"/>
  <c r="N454" i="7" s="1"/>
  <c r="N1171" i="7"/>
  <c r="N1173" i="7" s="1"/>
  <c r="N1176" i="7" s="1"/>
  <c r="O1164" i="7"/>
  <c r="I291" i="15"/>
  <c r="I99" i="17"/>
  <c r="AX18" i="42"/>
  <c r="L392" i="7"/>
  <c r="L25" i="7" s="1"/>
  <c r="G50" i="3"/>
  <c r="G83" i="15"/>
  <c r="G87" i="15" s="1"/>
  <c r="G324" i="34" s="1"/>
  <c r="AH24" i="42"/>
  <c r="R131" i="42"/>
  <c r="Q136" i="42"/>
  <c r="L60" i="27"/>
  <c r="L68" i="27" s="1"/>
  <c r="L71" i="27" s="1"/>
  <c r="M69" i="27" s="1"/>
  <c r="U103" i="10"/>
  <c r="M1008" i="7" s="1"/>
  <c r="V88" i="10"/>
  <c r="AV24" i="42"/>
  <c r="G114" i="15"/>
  <c r="G118" i="15" s="1"/>
  <c r="G338" i="34" s="1"/>
  <c r="N640" i="6"/>
  <c r="N678" i="6" s="1"/>
  <c r="N32" i="6" s="1"/>
  <c r="N1946" i="6"/>
  <c r="O1827" i="6"/>
  <c r="M382" i="7"/>
  <c r="T118" i="10" s="1"/>
  <c r="N1047" i="7"/>
  <c r="M1055" i="7"/>
  <c r="M1057" i="7" s="1"/>
  <c r="M1059" i="7" s="1"/>
  <c r="K132" i="3"/>
  <c r="M26" i="7"/>
  <c r="M38" i="7" s="1"/>
  <c r="M472" i="7"/>
  <c r="M456" i="7"/>
  <c r="K613" i="6"/>
  <c r="K618" i="6" s="1"/>
  <c r="K1767" i="6"/>
  <c r="I198" i="3" s="1"/>
  <c r="I138" i="3"/>
  <c r="I139" i="3" s="1"/>
  <c r="K225" i="7"/>
  <c r="L607" i="6"/>
  <c r="L2045" i="6" s="1"/>
  <c r="L2065" i="6"/>
  <c r="N120" i="10"/>
  <c r="K1199" i="7"/>
  <c r="J227" i="7"/>
  <c r="J22" i="7"/>
  <c r="AW24" i="42"/>
  <c r="H114" i="15"/>
  <c r="H118" i="15" s="1"/>
  <c r="H338" i="34" s="1"/>
  <c r="M603" i="6"/>
  <c r="M31" i="6"/>
  <c r="M47" i="6" s="1"/>
  <c r="K137" i="3"/>
  <c r="N35" i="27"/>
  <c r="M51" i="27"/>
  <c r="M53" i="27" s="1"/>
  <c r="M55" i="27" s="1"/>
  <c r="M81" i="8"/>
  <c r="X89" i="10"/>
  <c r="Y89" i="10" s="1"/>
  <c r="O991" i="7"/>
  <c r="K604" i="8"/>
  <c r="L601" i="8"/>
  <c r="L14" i="8"/>
  <c r="M544" i="8"/>
  <c r="N418" i="8"/>
  <c r="M135" i="8"/>
  <c r="M145" i="8" s="1"/>
  <c r="K2045" i="6"/>
  <c r="I1212" i="7"/>
  <c r="I229" i="7"/>
  <c r="O1735" i="6"/>
  <c r="N1751" i="6"/>
  <c r="N1753" i="6" s="1"/>
  <c r="N1757" i="6" s="1"/>
  <c r="N587" i="6"/>
  <c r="N601" i="6" s="1"/>
  <c r="L35" i="6"/>
  <c r="I27" i="13" s="1"/>
  <c r="M120" i="10"/>
  <c r="L59" i="11" s="1"/>
  <c r="J1182" i="7"/>
  <c r="S227" i="10"/>
  <c r="R148" i="11" s="1"/>
  <c r="S148" i="11" s="1"/>
  <c r="T148" i="11" s="1"/>
  <c r="L1762" i="6"/>
  <c r="L1064" i="7"/>
  <c r="N72" i="8"/>
  <c r="O222" i="8"/>
  <c r="N344" i="8"/>
  <c r="K17" i="8"/>
  <c r="I7" i="16"/>
  <c r="J1069" i="7"/>
  <c r="J163" i="11"/>
  <c r="F55" i="58"/>
  <c r="F56" i="58" s="1"/>
  <c r="G107" i="3"/>
  <c r="I59" i="11"/>
  <c r="AV14" i="42"/>
  <c r="I465" i="7"/>
  <c r="G343" i="34"/>
  <c r="G290" i="15"/>
  <c r="G98" i="17"/>
  <c r="G100" i="17" s="1"/>
  <c r="G102" i="17" s="1"/>
  <c r="G104" i="17" s="1"/>
  <c r="G116" i="17" s="1"/>
  <c r="G8" i="17"/>
  <c r="G13" i="17" s="1"/>
  <c r="F165" i="15"/>
  <c r="I86" i="8"/>
  <c r="I576" i="8"/>
  <c r="I151" i="8"/>
  <c r="I577" i="8"/>
  <c r="G109" i="15"/>
  <c r="I142" i="11"/>
  <c r="J1976" i="6"/>
  <c r="K155" i="11"/>
  <c r="K163" i="11" s="1"/>
  <c r="I597" i="8"/>
  <c r="I606" i="8" s="1"/>
  <c r="I7" i="8"/>
  <c r="I10" i="8" s="1"/>
  <c r="I19" i="8" s="1"/>
  <c r="I23" i="8" s="1"/>
  <c r="I34" i="8" s="1"/>
  <c r="G6" i="16"/>
  <c r="AH10" i="42" s="1"/>
  <c r="J2066" i="6"/>
  <c r="J682" i="6"/>
  <c r="K231" i="10" s="1"/>
  <c r="M231" i="10" s="1"/>
  <c r="I747" i="6"/>
  <c r="I519" i="6"/>
  <c r="I1642" i="6"/>
  <c r="F140" i="13"/>
  <c r="G224" i="15"/>
  <c r="T58" i="42"/>
  <c r="F636" i="34"/>
  <c r="F638" i="34" s="1"/>
  <c r="F261" i="34" s="1"/>
  <c r="F129" i="34"/>
  <c r="F10" i="34"/>
  <c r="J135" i="3" l="1"/>
  <c r="L602" i="8"/>
  <c r="L604" i="8" s="1"/>
  <c r="L1215" i="7"/>
  <c r="L223" i="7"/>
  <c r="L225" i="7" s="1"/>
  <c r="K134" i="3"/>
  <c r="M1627" i="6"/>
  <c r="M698" i="7"/>
  <c r="M223" i="7" s="1"/>
  <c r="M498" i="6"/>
  <c r="M509" i="6" s="1"/>
  <c r="M29" i="6" s="1"/>
  <c r="M35" i="6" s="1"/>
  <c r="J27" i="13" s="1"/>
  <c r="J52" i="58"/>
  <c r="I56" i="6"/>
  <c r="O1992" i="6"/>
  <c r="O712" i="6" s="1"/>
  <c r="O732" i="6" s="1"/>
  <c r="O33" i="6" s="1"/>
  <c r="K16" i="58"/>
  <c r="K34" i="58" s="1"/>
  <c r="K52" i="58" s="1"/>
  <c r="N712" i="6"/>
  <c r="N732" i="6" s="1"/>
  <c r="N33" i="6" s="1"/>
  <c r="M392" i="7"/>
  <c r="M25" i="7" s="1"/>
  <c r="R122" i="10"/>
  <c r="R242" i="10" s="1"/>
  <c r="J49" i="3" s="1"/>
  <c r="J50" i="3" s="1"/>
  <c r="L1069" i="7"/>
  <c r="G420" i="34"/>
  <c r="AV26" i="42"/>
  <c r="AV36" i="42" s="1"/>
  <c r="AV56" i="42" s="1"/>
  <c r="S118" i="10"/>
  <c r="R56" i="11" s="1"/>
  <c r="S56" i="11" s="1"/>
  <c r="T56" i="11" s="1"/>
  <c r="J54" i="3"/>
  <c r="J465" i="7"/>
  <c r="J470" i="7" s="1"/>
  <c r="J1186" i="7"/>
  <c r="N31" i="6"/>
  <c r="N47" i="6" s="1"/>
  <c r="N603" i="6"/>
  <c r="O418" i="8"/>
  <c r="N544" i="8"/>
  <c r="N135" i="8"/>
  <c r="N145" i="8" s="1"/>
  <c r="K135" i="3"/>
  <c r="L137" i="3"/>
  <c r="O35" i="27"/>
  <c r="N51" i="27"/>
  <c r="N53" i="27" s="1"/>
  <c r="N55" i="27" s="1"/>
  <c r="H341" i="34"/>
  <c r="H570" i="34"/>
  <c r="O1946" i="6"/>
  <c r="O640" i="6"/>
  <c r="O678" i="6" s="1"/>
  <c r="O32" i="6" s="1"/>
  <c r="P1827" i="6"/>
  <c r="L65" i="27"/>
  <c r="P1164" i="7"/>
  <c r="O445" i="7"/>
  <c r="O454" i="7" s="1"/>
  <c r="O1171" i="7"/>
  <c r="O1173" i="7" s="1"/>
  <c r="O1176" i="7" s="1"/>
  <c r="Y88" i="10"/>
  <c r="X103" i="10"/>
  <c r="N1008" i="7" s="1"/>
  <c r="M1762" i="6"/>
  <c r="V227" i="10"/>
  <c r="U148" i="11" s="1"/>
  <c r="V148" i="11" s="1"/>
  <c r="W148" i="11" s="1"/>
  <c r="H83" i="15"/>
  <c r="H87" i="15" s="1"/>
  <c r="H324" i="34" s="1"/>
  <c r="AI24" i="42"/>
  <c r="M459" i="7"/>
  <c r="M1215" i="7"/>
  <c r="U118" i="10"/>
  <c r="V118" i="10" s="1"/>
  <c r="U56" i="11" s="1"/>
  <c r="G556" i="34"/>
  <c r="G327" i="34"/>
  <c r="AX24" i="42"/>
  <c r="I114" i="15"/>
  <c r="I118" i="15" s="1"/>
  <c r="I338" i="34" s="1"/>
  <c r="M1763" i="6"/>
  <c r="M614" i="6" s="1"/>
  <c r="M63" i="6" s="1"/>
  <c r="K47" i="3" s="1"/>
  <c r="U240" i="10"/>
  <c r="X227" i="10"/>
  <c r="W227" i="10"/>
  <c r="P991" i="7"/>
  <c r="AA89" i="10"/>
  <c r="AB89" i="10" s="1"/>
  <c r="AJ18" i="42"/>
  <c r="I101" i="16"/>
  <c r="I242" i="15"/>
  <c r="O72" i="8"/>
  <c r="P222" i="8"/>
  <c r="O344" i="8"/>
  <c r="L613" i="6"/>
  <c r="L618" i="6" s="1"/>
  <c r="L1767" i="6"/>
  <c r="J198" i="3" s="1"/>
  <c r="O1751" i="6"/>
  <c r="O1753" i="6" s="1"/>
  <c r="O1757" i="6" s="1"/>
  <c r="P1735" i="6"/>
  <c r="O587" i="6"/>
  <c r="O601" i="6" s="1"/>
  <c r="J7" i="16"/>
  <c r="L17" i="8"/>
  <c r="J28" i="7"/>
  <c r="G9" i="13" s="1"/>
  <c r="J34" i="7"/>
  <c r="N1055" i="7"/>
  <c r="N1057" i="7" s="1"/>
  <c r="N1059" i="7" s="1"/>
  <c r="N382" i="7"/>
  <c r="W118" i="10" s="1"/>
  <c r="O1047" i="7"/>
  <c r="L132" i="3"/>
  <c r="N456" i="7"/>
  <c r="N26" i="7"/>
  <c r="N38" i="7" s="1"/>
  <c r="N472" i="7"/>
  <c r="N698" i="7"/>
  <c r="O1619" i="6"/>
  <c r="N1627" i="6"/>
  <c r="N498" i="6"/>
  <c r="N509" i="6" s="1"/>
  <c r="N29" i="6" s="1"/>
  <c r="L134" i="3"/>
  <c r="AY18" i="42"/>
  <c r="J99" i="17"/>
  <c r="J291" i="15"/>
  <c r="K404" i="7"/>
  <c r="K53" i="7" s="1"/>
  <c r="I45" i="3" s="1"/>
  <c r="I54" i="3" s="1"/>
  <c r="K1069" i="7"/>
  <c r="N81" i="8"/>
  <c r="I1196" i="7"/>
  <c r="I240" i="7"/>
  <c r="M15" i="8"/>
  <c r="K7" i="17" s="1"/>
  <c r="M602" i="8"/>
  <c r="M601" i="8"/>
  <c r="M14" i="8"/>
  <c r="M60" i="27"/>
  <c r="M68" i="27" s="1"/>
  <c r="M71" i="27" s="1"/>
  <c r="N69" i="27" s="1"/>
  <c r="M2065" i="6"/>
  <c r="M607" i="6"/>
  <c r="M2045" i="6" s="1"/>
  <c r="J1212" i="7"/>
  <c r="J229" i="7"/>
  <c r="P120" i="10"/>
  <c r="O59" i="11" s="1"/>
  <c r="K1182" i="7"/>
  <c r="K22" i="7"/>
  <c r="K227" i="7"/>
  <c r="M1064" i="7"/>
  <c r="G570" i="34"/>
  <c r="G341" i="34"/>
  <c r="O997" i="7"/>
  <c r="O386" i="7"/>
  <c r="P990" i="7"/>
  <c r="AA88" i="10"/>
  <c r="Q120" i="10"/>
  <c r="L1199" i="7"/>
  <c r="G10" i="58"/>
  <c r="G11" i="58" s="1"/>
  <c r="M45" i="11"/>
  <c r="I470" i="7"/>
  <c r="J59" i="11"/>
  <c r="G122" i="15"/>
  <c r="G120" i="15"/>
  <c r="G333" i="34"/>
  <c r="I579" i="8"/>
  <c r="G292" i="15"/>
  <c r="G297" i="15" s="1"/>
  <c r="I157" i="11"/>
  <c r="J142" i="11"/>
  <c r="I566" i="8"/>
  <c r="I97" i="8"/>
  <c r="G127" i="3" s="1"/>
  <c r="I62" i="6"/>
  <c r="G39" i="3" s="1"/>
  <c r="I524" i="6"/>
  <c r="G122" i="3" s="1"/>
  <c r="F19" i="34"/>
  <c r="F419" i="34"/>
  <c r="F423" i="34" s="1"/>
  <c r="J2046" i="6"/>
  <c r="G241" i="15"/>
  <c r="G100" i="16"/>
  <c r="G102" i="16" s="1"/>
  <c r="G104" i="16" s="1"/>
  <c r="G106" i="16" s="1"/>
  <c r="G8" i="16"/>
  <c r="J1980" i="6"/>
  <c r="J2019" i="6" s="1"/>
  <c r="J2021" i="6" s="1"/>
  <c r="J702" i="6"/>
  <c r="J705" i="6" s="1"/>
  <c r="I161" i="8"/>
  <c r="G128" i="3" s="1"/>
  <c r="I567" i="8"/>
  <c r="G20" i="17"/>
  <c r="G47" i="17" s="1"/>
  <c r="G342" i="34"/>
  <c r="G344" i="34" s="1"/>
  <c r="G178" i="34" s="1"/>
  <c r="G230" i="15"/>
  <c r="F630" i="34"/>
  <c r="F253" i="3" s="1"/>
  <c r="F133" i="34"/>
  <c r="M700" i="7" l="1"/>
  <c r="M702" i="7" s="1"/>
  <c r="M704" i="7" s="1"/>
  <c r="M713" i="7" s="1"/>
  <c r="J138" i="3"/>
  <c r="J139" i="3" s="1"/>
  <c r="P1992" i="6"/>
  <c r="P2017" i="6" s="1"/>
  <c r="O2017" i="6"/>
  <c r="L16" i="58"/>
  <c r="L34" i="58" s="1"/>
  <c r="N35" i="6"/>
  <c r="K27" i="13" s="1"/>
  <c r="F89" i="42"/>
  <c r="L135" i="3"/>
  <c r="O698" i="7"/>
  <c r="O223" i="7" s="1"/>
  <c r="V56" i="11"/>
  <c r="W56" i="11" s="1"/>
  <c r="M604" i="8"/>
  <c r="AB88" i="10"/>
  <c r="AA103" i="10"/>
  <c r="O1008" i="7" s="1"/>
  <c r="K28" i="7"/>
  <c r="H9" i="13" s="1"/>
  <c r="K34" i="7"/>
  <c r="K99" i="17"/>
  <c r="K291" i="15"/>
  <c r="AZ18" i="42"/>
  <c r="N601" i="8"/>
  <c r="N14" i="8"/>
  <c r="X118" i="10"/>
  <c r="N1065" i="7" s="1"/>
  <c r="N404" i="7" s="1"/>
  <c r="N53" i="7" s="1"/>
  <c r="L45" i="3" s="1"/>
  <c r="N1064" i="7"/>
  <c r="P587" i="6"/>
  <c r="P601" i="6" s="1"/>
  <c r="Q1735" i="6"/>
  <c r="R1735" i="6" s="1"/>
  <c r="P1751" i="6"/>
  <c r="P1753" i="6" s="1"/>
  <c r="P1757" i="6" s="1"/>
  <c r="O81" i="8"/>
  <c r="N1763" i="6"/>
  <c r="N614" i="6" s="1"/>
  <c r="N63" i="6" s="1"/>
  <c r="L47" i="3" s="1"/>
  <c r="X240" i="10"/>
  <c r="M1065" i="7"/>
  <c r="M404" i="7" s="1"/>
  <c r="M53" i="7" s="1"/>
  <c r="K45" i="3" s="1"/>
  <c r="U122" i="10"/>
  <c r="U242" i="10" s="1"/>
  <c r="K49" i="3" s="1"/>
  <c r="H556" i="34"/>
  <c r="H327" i="34"/>
  <c r="P445" i="7"/>
  <c r="P454" i="7" s="1"/>
  <c r="P1171" i="7"/>
  <c r="P1173" i="7" s="1"/>
  <c r="P1176" i="7" s="1"/>
  <c r="Q1164" i="7"/>
  <c r="R1164" i="7" s="1"/>
  <c r="N607" i="6"/>
  <c r="N2045" i="6" s="1"/>
  <c r="N2065" i="6"/>
  <c r="K465" i="7"/>
  <c r="K470" i="7" s="1"/>
  <c r="K1186" i="7"/>
  <c r="K7" i="16"/>
  <c r="M17" i="8"/>
  <c r="O1627" i="6"/>
  <c r="O498" i="6"/>
  <c r="O509" i="6" s="1"/>
  <c r="O29" i="6" s="1"/>
  <c r="P1619" i="6"/>
  <c r="M134" i="3"/>
  <c r="N459" i="7"/>
  <c r="N1215" i="7"/>
  <c r="AA227" i="10"/>
  <c r="Z227" i="10"/>
  <c r="AD89" i="10"/>
  <c r="AE89" i="10" s="1"/>
  <c r="Q991" i="7"/>
  <c r="R991" i="7" s="1"/>
  <c r="AJ89" i="10" s="1"/>
  <c r="AK89" i="10" s="1"/>
  <c r="I50" i="3"/>
  <c r="N392" i="7"/>
  <c r="N25" i="7" s="1"/>
  <c r="L22" i="7"/>
  <c r="L227" i="7"/>
  <c r="N60" i="27"/>
  <c r="N68" i="27" s="1"/>
  <c r="N71" i="27" s="1"/>
  <c r="O69" i="27" s="1"/>
  <c r="N15" i="8"/>
  <c r="L7" i="17" s="1"/>
  <c r="N602" i="8"/>
  <c r="AD88" i="10"/>
  <c r="Q990" i="7"/>
  <c r="P386" i="7"/>
  <c r="P997" i="7"/>
  <c r="AY24" i="42"/>
  <c r="J114" i="15"/>
  <c r="J118" i="15" s="1"/>
  <c r="J338" i="34" s="1"/>
  <c r="N700" i="7"/>
  <c r="N702" i="7" s="1"/>
  <c r="N704" i="7" s="1"/>
  <c r="N713" i="7" s="1"/>
  <c r="N223" i="7"/>
  <c r="AK18" i="42"/>
  <c r="J101" i="16"/>
  <c r="J242" i="15"/>
  <c r="K138" i="3"/>
  <c r="K139" i="3" s="1"/>
  <c r="M225" i="7"/>
  <c r="T120" i="10"/>
  <c r="M1199" i="7"/>
  <c r="M613" i="6"/>
  <c r="M618" i="6" s="1"/>
  <c r="M1767" i="6"/>
  <c r="K198" i="3" s="1"/>
  <c r="Q1827" i="6"/>
  <c r="R1827" i="6" s="1"/>
  <c r="P640" i="6"/>
  <c r="P678" i="6" s="1"/>
  <c r="P32" i="6" s="1"/>
  <c r="P1946" i="6"/>
  <c r="M137" i="3"/>
  <c r="P35" i="27"/>
  <c r="O51" i="27"/>
  <c r="O53" i="27" s="1"/>
  <c r="O55" i="27" s="1"/>
  <c r="S120" i="10"/>
  <c r="R59" i="11" s="1"/>
  <c r="L1182" i="7"/>
  <c r="K229" i="7"/>
  <c r="K1212" i="7"/>
  <c r="J240" i="7"/>
  <c r="J1196" i="7"/>
  <c r="M65" i="27"/>
  <c r="O382" i="7"/>
  <c r="Z118" i="10" s="1"/>
  <c r="P1047" i="7"/>
  <c r="O1055" i="7"/>
  <c r="O1057" i="7" s="1"/>
  <c r="O1059" i="7" s="1"/>
  <c r="M132" i="3"/>
  <c r="O603" i="6"/>
  <c r="O31" i="6"/>
  <c r="O47" i="6" s="1"/>
  <c r="P72" i="8"/>
  <c r="Q222" i="8"/>
  <c r="R222" i="8" s="1"/>
  <c r="P344" i="8"/>
  <c r="AJ24" i="42"/>
  <c r="I83" i="15"/>
  <c r="I87" i="15" s="1"/>
  <c r="I324" i="34" s="1"/>
  <c r="Y227" i="10"/>
  <c r="X148" i="11" s="1"/>
  <c r="Y148" i="11" s="1"/>
  <c r="Z148" i="11" s="1"/>
  <c r="N1762" i="6"/>
  <c r="I341" i="34"/>
  <c r="I570" i="34"/>
  <c r="O456" i="7"/>
  <c r="O26" i="7"/>
  <c r="O38" i="7" s="1"/>
  <c r="O472" i="7"/>
  <c r="P418" i="8"/>
  <c r="O544" i="8"/>
  <c r="O135" i="8"/>
  <c r="O145" i="8" s="1"/>
  <c r="G13" i="58"/>
  <c r="G36" i="58" s="1"/>
  <c r="G38" i="58" s="1"/>
  <c r="G43" i="58" s="1"/>
  <c r="G129" i="3"/>
  <c r="N45" i="11"/>
  <c r="K908" i="7"/>
  <c r="N87" i="10" s="1"/>
  <c r="K59" i="11"/>
  <c r="I569" i="8"/>
  <c r="I581" i="8" s="1"/>
  <c r="I586" i="8" s="1"/>
  <c r="F404" i="34"/>
  <c r="F408" i="34" s="1"/>
  <c r="F142" i="34"/>
  <c r="J17" i="6"/>
  <c r="J49" i="6" s="1"/>
  <c r="J734" i="6"/>
  <c r="G118" i="16"/>
  <c r="G13" i="16"/>
  <c r="G20" i="16" s="1"/>
  <c r="G47" i="16" s="1"/>
  <c r="J1955" i="6"/>
  <c r="L151" i="11"/>
  <c r="M151" i="11" s="1"/>
  <c r="I67" i="6"/>
  <c r="J1587" i="6"/>
  <c r="K142" i="11"/>
  <c r="F632" i="34"/>
  <c r="F259" i="34" s="1"/>
  <c r="G73" i="15"/>
  <c r="G78" i="15" s="1"/>
  <c r="AH14" i="42"/>
  <c r="AH26" i="42" s="1"/>
  <c r="G337" i="34"/>
  <c r="G566" i="34"/>
  <c r="G574" i="34" s="1"/>
  <c r="G575" i="34" s="1"/>
  <c r="G255" i="34" s="1"/>
  <c r="G389" i="34"/>
  <c r="G179" i="34"/>
  <c r="G51" i="17"/>
  <c r="G88" i="34"/>
  <c r="G243" i="15"/>
  <c r="G241" i="3"/>
  <c r="G320" i="15"/>
  <c r="I608" i="8"/>
  <c r="Q1992" i="6" l="1"/>
  <c r="R1992" i="6" s="1"/>
  <c r="O16" i="58" s="1"/>
  <c r="O34" i="58" s="1"/>
  <c r="P712" i="6"/>
  <c r="P732" i="6" s="1"/>
  <c r="P33" i="6" s="1"/>
  <c r="M16" i="58"/>
  <c r="M34" i="58" s="1"/>
  <c r="M52" i="58" s="1"/>
  <c r="L52" i="58"/>
  <c r="R990" i="7"/>
  <c r="R386" i="7" s="1"/>
  <c r="R587" i="6"/>
  <c r="R601" i="6" s="1"/>
  <c r="R1751" i="6"/>
  <c r="R1753" i="6" s="1"/>
  <c r="R1757" i="6" s="1"/>
  <c r="R72" i="8"/>
  <c r="R81" i="8" s="1"/>
  <c r="R344" i="8"/>
  <c r="R640" i="6"/>
  <c r="R678" i="6" s="1"/>
  <c r="R1946" i="6"/>
  <c r="R1948" i="6" s="1"/>
  <c r="R1950" i="6" s="1"/>
  <c r="R445" i="7"/>
  <c r="R454" i="7" s="1"/>
  <c r="R1171" i="7"/>
  <c r="R1173" i="7" s="1"/>
  <c r="R1176" i="7" s="1"/>
  <c r="AG89" i="10"/>
  <c r="AH89" i="10" s="1"/>
  <c r="X122" i="10"/>
  <c r="X242" i="10" s="1"/>
  <c r="L49" i="3" s="1"/>
  <c r="L50" i="3" s="1"/>
  <c r="O700" i="7"/>
  <c r="O702" i="7" s="1"/>
  <c r="O704" i="7" s="1"/>
  <c r="O713" i="7" s="1"/>
  <c r="O35" i="6"/>
  <c r="L27" i="13" s="1"/>
  <c r="N1069" i="7"/>
  <c r="O392" i="7"/>
  <c r="O25" i="7" s="1"/>
  <c r="Y118" i="10"/>
  <c r="X56" i="11" s="1"/>
  <c r="Y56" i="11" s="1"/>
  <c r="Z56" i="11" s="1"/>
  <c r="O1215" i="7"/>
  <c r="O459" i="7"/>
  <c r="Q344" i="8"/>
  <c r="Q72" i="8"/>
  <c r="N137" i="3"/>
  <c r="P51" i="27"/>
  <c r="P53" i="27" s="1"/>
  <c r="P55" i="27" s="1"/>
  <c r="Q35" i="27"/>
  <c r="O137" i="3" s="1"/>
  <c r="Q1946" i="6"/>
  <c r="Q640" i="6"/>
  <c r="Q678" i="6" s="1"/>
  <c r="Q32" i="6" s="1"/>
  <c r="L1212" i="7"/>
  <c r="L229" i="7"/>
  <c r="O1763" i="6"/>
  <c r="O614" i="6" s="1"/>
  <c r="O63" i="6" s="1"/>
  <c r="M47" i="3" s="1"/>
  <c r="AA240" i="10"/>
  <c r="P1627" i="6"/>
  <c r="P498" i="6"/>
  <c r="P509" i="6" s="1"/>
  <c r="P29" i="6" s="1"/>
  <c r="Q1619" i="6"/>
  <c r="N134" i="3"/>
  <c r="AL18" i="42"/>
  <c r="K101" i="16"/>
  <c r="K242" i="15"/>
  <c r="M138" i="3"/>
  <c r="O225" i="7"/>
  <c r="Q587" i="6"/>
  <c r="Q601" i="6" s="1"/>
  <c r="Q1751" i="6"/>
  <c r="Q1753" i="6" s="1"/>
  <c r="Q1757" i="6" s="1"/>
  <c r="L7" i="16"/>
  <c r="N17" i="8"/>
  <c r="I556" i="34"/>
  <c r="I327" i="34"/>
  <c r="P81" i="8"/>
  <c r="L465" i="7"/>
  <c r="L470" i="7" s="1"/>
  <c r="L1186" i="7"/>
  <c r="V120" i="10"/>
  <c r="U59" i="11" s="1"/>
  <c r="M1182" i="7"/>
  <c r="J341" i="34"/>
  <c r="J570" i="34"/>
  <c r="L291" i="15"/>
  <c r="L99" i="17"/>
  <c r="BA18" i="42"/>
  <c r="L34" i="7"/>
  <c r="L28" i="7"/>
  <c r="I9" i="13" s="1"/>
  <c r="P26" i="7"/>
  <c r="P38" i="7" s="1"/>
  <c r="P472" i="7"/>
  <c r="P456" i="7"/>
  <c r="O601" i="8"/>
  <c r="O14" i="8"/>
  <c r="P603" i="6"/>
  <c r="P31" i="6"/>
  <c r="P47" i="6" s="1"/>
  <c r="N604" i="8"/>
  <c r="P544" i="8"/>
  <c r="Q418" i="8"/>
  <c r="R418" i="8" s="1"/>
  <c r="P135" i="8"/>
  <c r="P145" i="8" s="1"/>
  <c r="P1055" i="7"/>
  <c r="P1057" i="7" s="1"/>
  <c r="P1059" i="7" s="1"/>
  <c r="P382" i="7"/>
  <c r="AC118" i="10" s="1"/>
  <c r="Q1047" i="7"/>
  <c r="N132" i="3"/>
  <c r="M227" i="7"/>
  <c r="M22" i="7"/>
  <c r="AK24" i="42"/>
  <c r="J83" i="15"/>
  <c r="J87" i="15" s="1"/>
  <c r="J324" i="34" s="1"/>
  <c r="AG88" i="10"/>
  <c r="Q386" i="7"/>
  <c r="Q997" i="7"/>
  <c r="N65" i="27"/>
  <c r="N1199" i="7"/>
  <c r="W120" i="10"/>
  <c r="L54" i="3"/>
  <c r="K54" i="3"/>
  <c r="K50" i="3"/>
  <c r="M135" i="3"/>
  <c r="AZ24" i="42"/>
  <c r="K114" i="15"/>
  <c r="K118" i="15" s="1"/>
  <c r="K338" i="34" s="1"/>
  <c r="O15" i="8"/>
  <c r="M7" i="17" s="1"/>
  <c r="O602" i="8"/>
  <c r="N613" i="6"/>
  <c r="N618" i="6" s="1"/>
  <c r="N1767" i="6"/>
  <c r="L198" i="3" s="1"/>
  <c r="O2065" i="6"/>
  <c r="O607" i="6"/>
  <c r="O2045" i="6" s="1"/>
  <c r="AA118" i="10"/>
  <c r="AB118" i="10" s="1"/>
  <c r="AA56" i="11" s="1"/>
  <c r="O1064" i="7"/>
  <c r="K240" i="7"/>
  <c r="K1196" i="7"/>
  <c r="O60" i="27"/>
  <c r="O68" i="27" s="1"/>
  <c r="O71" i="27" s="1"/>
  <c r="P69" i="27" s="1"/>
  <c r="L138" i="3"/>
  <c r="L139" i="3" s="1"/>
  <c r="N225" i="7"/>
  <c r="P698" i="7"/>
  <c r="AE88" i="10"/>
  <c r="AD103" i="10"/>
  <c r="P1008" i="7" s="1"/>
  <c r="AB227" i="10"/>
  <c r="AA148" i="11" s="1"/>
  <c r="AB148" i="11" s="1"/>
  <c r="AC148" i="11" s="1"/>
  <c r="O1762" i="6"/>
  <c r="Q1171" i="7"/>
  <c r="Q1173" i="7" s="1"/>
  <c r="Q1176" i="7" s="1"/>
  <c r="Q445" i="7"/>
  <c r="Q454" i="7" s="1"/>
  <c r="AD227" i="10"/>
  <c r="AC227" i="10"/>
  <c r="M1069" i="7"/>
  <c r="G51" i="58"/>
  <c r="P87" i="10"/>
  <c r="P103" i="10" s="1"/>
  <c r="O45" i="11" s="1"/>
  <c r="N103" i="10"/>
  <c r="M59" i="11"/>
  <c r="K355" i="7"/>
  <c r="G648" i="34"/>
  <c r="G650" i="34" s="1"/>
  <c r="G265" i="34" s="1"/>
  <c r="G92" i="34"/>
  <c r="F88" i="42"/>
  <c r="AH36" i="42"/>
  <c r="AH56" i="42" s="1"/>
  <c r="J686" i="6"/>
  <c r="J690" i="6" s="1"/>
  <c r="J1960" i="6"/>
  <c r="G323" i="15"/>
  <c r="G248" i="15"/>
  <c r="AV59" i="42"/>
  <c r="AV58" i="42" s="1"/>
  <c r="AV62" i="42" s="1"/>
  <c r="G117" i="17"/>
  <c r="G121" i="17" s="1"/>
  <c r="G123" i="17" s="1"/>
  <c r="G94" i="3" s="1"/>
  <c r="G397" i="34"/>
  <c r="G506" i="34"/>
  <c r="G510" i="34" s="1"/>
  <c r="G511" i="34" s="1"/>
  <c r="G235" i="34" s="1"/>
  <c r="G394" i="34"/>
  <c r="G91" i="15"/>
  <c r="G89" i="15"/>
  <c r="G319" i="34"/>
  <c r="G51" i="16"/>
  <c r="G274" i="15"/>
  <c r="G83" i="16"/>
  <c r="G85" i="16" s="1"/>
  <c r="G47" i="34"/>
  <c r="J1594" i="6"/>
  <c r="J1629" i="6" s="1"/>
  <c r="J1631" i="6" s="1"/>
  <c r="J482" i="6"/>
  <c r="J490" i="6" s="1"/>
  <c r="N151" i="11"/>
  <c r="J2067" i="6"/>
  <c r="J736" i="6"/>
  <c r="K238" i="10" s="1"/>
  <c r="M238" i="10" s="1"/>
  <c r="Q2017" i="6" l="1"/>
  <c r="Q712" i="6"/>
  <c r="Q732" i="6" s="1"/>
  <c r="Q33" i="6" s="1"/>
  <c r="N16" i="58"/>
  <c r="N34" i="58" s="1"/>
  <c r="R2017" i="6"/>
  <c r="O52" i="58" s="1"/>
  <c r="R712" i="6"/>
  <c r="R732" i="6" s="1"/>
  <c r="R33" i="6" s="1"/>
  <c r="R997" i="7"/>
  <c r="Q698" i="7"/>
  <c r="AI227" i="10"/>
  <c r="AJ227" i="10"/>
  <c r="R31" i="6"/>
  <c r="R47" i="6" s="1"/>
  <c r="R603" i="6"/>
  <c r="AJ88" i="10"/>
  <c r="R1619" i="6"/>
  <c r="R680" i="6"/>
  <c r="R32" i="6"/>
  <c r="R48" i="6" s="1"/>
  <c r="Q51" i="27"/>
  <c r="Q53" i="27" s="1"/>
  <c r="Q55" i="27" s="1"/>
  <c r="Q60" i="27" s="1"/>
  <c r="Q68" i="27" s="1"/>
  <c r="R35" i="27"/>
  <c r="R26" i="7"/>
  <c r="R38" i="7" s="1"/>
  <c r="R472" i="7"/>
  <c r="R456" i="7"/>
  <c r="R1047" i="7"/>
  <c r="R135" i="8"/>
  <c r="R145" i="8" s="1"/>
  <c r="R544" i="8"/>
  <c r="R601" i="8"/>
  <c r="R14" i="8"/>
  <c r="AB56" i="11"/>
  <c r="AC56" i="11" s="1"/>
  <c r="Q26" i="7"/>
  <c r="Q38" i="7" s="1"/>
  <c r="Q456" i="7"/>
  <c r="Q472" i="7"/>
  <c r="O613" i="6"/>
  <c r="O618" i="6" s="1"/>
  <c r="O1767" i="6"/>
  <c r="M198" i="3" s="1"/>
  <c r="O65" i="27"/>
  <c r="N1182" i="7"/>
  <c r="Y120" i="10"/>
  <c r="X59" i="11" s="1"/>
  <c r="Q382" i="7"/>
  <c r="AF118" i="10" s="1"/>
  <c r="Q1055" i="7"/>
  <c r="Q1057" i="7" s="1"/>
  <c r="Q1059" i="7" s="1"/>
  <c r="O132" i="3"/>
  <c r="Q544" i="8"/>
  <c r="Q135" i="8"/>
  <c r="Q145" i="8" s="1"/>
  <c r="P459" i="7"/>
  <c r="P1215" i="7"/>
  <c r="O227" i="7"/>
  <c r="O22" i="7"/>
  <c r="AL24" i="42"/>
  <c r="K83" i="15"/>
  <c r="K87" i="15" s="1"/>
  <c r="K324" i="34" s="1"/>
  <c r="P60" i="27"/>
  <c r="P68" i="27" s="1"/>
  <c r="P71" i="27" s="1"/>
  <c r="Q69" i="27" s="1"/>
  <c r="O1199" i="7"/>
  <c r="Z120" i="10"/>
  <c r="P700" i="7"/>
  <c r="P702" i="7" s="1"/>
  <c r="P704" i="7" s="1"/>
  <c r="P713" i="7" s="1"/>
  <c r="P223" i="7"/>
  <c r="M99" i="17"/>
  <c r="M291" i="15"/>
  <c r="BB18" i="42"/>
  <c r="K570" i="34"/>
  <c r="K341" i="34"/>
  <c r="M34" i="7"/>
  <c r="M28" i="7"/>
  <c r="J9" i="13" s="1"/>
  <c r="P1064" i="7"/>
  <c r="P2065" i="6"/>
  <c r="P607" i="6"/>
  <c r="P2045" i="6" s="1"/>
  <c r="M465" i="7"/>
  <c r="M470" i="7" s="1"/>
  <c r="M1186" i="7"/>
  <c r="P601" i="8"/>
  <c r="P14" i="8"/>
  <c r="AG227" i="10"/>
  <c r="AF227" i="10"/>
  <c r="M139" i="3"/>
  <c r="P1762" i="6"/>
  <c r="AE227" i="10"/>
  <c r="AD148" i="11" s="1"/>
  <c r="AE148" i="11" s="1"/>
  <c r="AF148" i="11" s="1"/>
  <c r="N227" i="7"/>
  <c r="N22" i="7"/>
  <c r="O1065" i="7"/>
  <c r="O404" i="7" s="1"/>
  <c r="O53" i="7" s="1"/>
  <c r="M45" i="3" s="1"/>
  <c r="AA122" i="10"/>
  <c r="AA242" i="10" s="1"/>
  <c r="M49" i="3" s="1"/>
  <c r="AH88" i="10"/>
  <c r="AG103" i="10"/>
  <c r="M1212" i="7"/>
  <c r="M229" i="7"/>
  <c r="AD118" i="10"/>
  <c r="P1065" i="7" s="1"/>
  <c r="O17" i="8"/>
  <c r="M7" i="16"/>
  <c r="P392" i="7"/>
  <c r="P25" i="7" s="1"/>
  <c r="N135" i="3"/>
  <c r="AM18" i="42"/>
  <c r="L101" i="16"/>
  <c r="L242" i="15"/>
  <c r="Q603" i="6"/>
  <c r="Q31" i="6"/>
  <c r="Q47" i="6" s="1"/>
  <c r="O134" i="3"/>
  <c r="Q1627" i="6"/>
  <c r="Q498" i="6"/>
  <c r="Q509" i="6" s="1"/>
  <c r="Q29" i="6" s="1"/>
  <c r="Q81" i="8"/>
  <c r="AD240" i="10"/>
  <c r="P1763" i="6"/>
  <c r="P614" i="6" s="1"/>
  <c r="P63" i="6" s="1"/>
  <c r="N47" i="3" s="1"/>
  <c r="J556" i="34"/>
  <c r="J327" i="34"/>
  <c r="P602" i="8"/>
  <c r="P15" i="8"/>
  <c r="N7" i="17" s="1"/>
  <c r="O604" i="8"/>
  <c r="BA24" i="42"/>
  <c r="L114" i="15"/>
  <c r="L118" i="15" s="1"/>
  <c r="L338" i="34" s="1"/>
  <c r="P35" i="6"/>
  <c r="M27" i="13" s="1"/>
  <c r="L1196" i="7"/>
  <c r="L240" i="7"/>
  <c r="N59" i="11"/>
  <c r="J13" i="6"/>
  <c r="J511" i="6"/>
  <c r="G51" i="34"/>
  <c r="G642" i="34"/>
  <c r="G644" i="34" s="1"/>
  <c r="G263" i="34" s="1"/>
  <c r="G236" i="34"/>
  <c r="G325" i="15"/>
  <c r="G328" i="15"/>
  <c r="J390" i="8" s="1"/>
  <c r="K633" i="6"/>
  <c r="K635" i="6" s="1"/>
  <c r="K1799" i="6"/>
  <c r="K1948" i="6" s="1"/>
  <c r="K1950" i="6" s="1"/>
  <c r="J2047" i="6"/>
  <c r="G276" i="15"/>
  <c r="G279" i="15"/>
  <c r="J194" i="8" s="1"/>
  <c r="G271" i="15"/>
  <c r="G169" i="15" s="1"/>
  <c r="G240" i="3"/>
  <c r="G450" i="34"/>
  <c r="G101" i="34"/>
  <c r="G116" i="34" s="1"/>
  <c r="G119" i="34" s="1"/>
  <c r="G121" i="34" s="1"/>
  <c r="G119" i="16"/>
  <c r="G123" i="16" s="1"/>
  <c r="G125" i="16" s="1"/>
  <c r="G93" i="3" s="1"/>
  <c r="AH59" i="42"/>
  <c r="G552" i="34"/>
  <c r="G559" i="34" s="1"/>
  <c r="G376" i="34"/>
  <c r="G323" i="34"/>
  <c r="G398" i="34"/>
  <c r="G192" i="34" s="1"/>
  <c r="N52" i="58" l="1"/>
  <c r="P1069" i="7"/>
  <c r="R698" i="7"/>
  <c r="AK88" i="10"/>
  <c r="AJ103" i="10"/>
  <c r="R1008" i="7" s="1"/>
  <c r="R1763" i="6"/>
  <c r="R614" i="6" s="1"/>
  <c r="AJ240" i="10"/>
  <c r="Q223" i="7"/>
  <c r="O138" i="3" s="1"/>
  <c r="P137" i="3"/>
  <c r="R2065" i="6"/>
  <c r="R607" i="6"/>
  <c r="R2045" i="6" s="1"/>
  <c r="R1762" i="6"/>
  <c r="AK227" i="10"/>
  <c r="AJ148" i="11" s="1"/>
  <c r="R1215" i="7"/>
  <c r="R459" i="7"/>
  <c r="AI120" i="10" s="1"/>
  <c r="R1182" i="7" s="1"/>
  <c r="R465" i="7" s="1"/>
  <c r="R15" i="8"/>
  <c r="R17" i="8" s="1"/>
  <c r="R602" i="8"/>
  <c r="R604" i="8" s="1"/>
  <c r="R498" i="6"/>
  <c r="R509" i="6" s="1"/>
  <c r="R29" i="6" s="1"/>
  <c r="R1627" i="6"/>
  <c r="R382" i="7"/>
  <c r="R1055" i="7"/>
  <c r="R1057" i="7" s="1"/>
  <c r="R1059" i="7" s="1"/>
  <c r="R2066" i="6"/>
  <c r="R682" i="6"/>
  <c r="AI231" i="10" s="1"/>
  <c r="P134" i="3"/>
  <c r="P132" i="3"/>
  <c r="R51" i="27"/>
  <c r="R53" i="27" s="1"/>
  <c r="R55" i="27" s="1"/>
  <c r="P135" i="3"/>
  <c r="Q1008" i="7"/>
  <c r="O135" i="3"/>
  <c r="Q392" i="7"/>
  <c r="Q25" i="7" s="1"/>
  <c r="Q700" i="7"/>
  <c r="Q702" i="7" s="1"/>
  <c r="Q704" i="7" s="1"/>
  <c r="Q713" i="7" s="1"/>
  <c r="Q65" i="27"/>
  <c r="P404" i="7"/>
  <c r="P53" i="7" s="1"/>
  <c r="N45" i="3" s="1"/>
  <c r="N54" i="3" s="1"/>
  <c r="Q35" i="6"/>
  <c r="N27" i="13" s="1"/>
  <c r="Q71" i="27"/>
  <c r="R69" i="27" s="1"/>
  <c r="Q607" i="6"/>
  <c r="Q2045" i="6" s="1"/>
  <c r="Q2065" i="6"/>
  <c r="N229" i="7"/>
  <c r="N1212" i="7"/>
  <c r="P604" i="8"/>
  <c r="AE118" i="10"/>
  <c r="AD56" i="11" s="1"/>
  <c r="AE56" i="11" s="1"/>
  <c r="AF56" i="11" s="1"/>
  <c r="P65" i="27"/>
  <c r="O28" i="7"/>
  <c r="L9" i="13" s="1"/>
  <c r="O34" i="7"/>
  <c r="Q602" i="8"/>
  <c r="Q15" i="8"/>
  <c r="O7" i="17" s="1"/>
  <c r="Q1064" i="7"/>
  <c r="N465" i="7"/>
  <c r="N470" i="7" s="1"/>
  <c r="N1186" i="7"/>
  <c r="AD122" i="10"/>
  <c r="AD242" i="10" s="1"/>
  <c r="N49" i="3" s="1"/>
  <c r="AH227" i="10"/>
  <c r="AG148" i="11" s="1"/>
  <c r="AH148" i="11" s="1"/>
  <c r="AI148" i="11" s="1"/>
  <c r="Q1762" i="6"/>
  <c r="O229" i="7"/>
  <c r="O1212" i="7"/>
  <c r="Q459" i="7"/>
  <c r="Q1215" i="7"/>
  <c r="L570" i="34"/>
  <c r="L341" i="34"/>
  <c r="Q601" i="8"/>
  <c r="Q14" i="8"/>
  <c r="AN18" i="42"/>
  <c r="M101" i="16"/>
  <c r="M242" i="15"/>
  <c r="M240" i="7"/>
  <c r="M1196" i="7"/>
  <c r="M54" i="3"/>
  <c r="M50" i="3"/>
  <c r="P613" i="6"/>
  <c r="P618" i="6" s="1"/>
  <c r="P1767" i="6"/>
  <c r="N198" i="3" s="1"/>
  <c r="Q1763" i="6"/>
  <c r="Q614" i="6" s="1"/>
  <c r="Q63" i="6" s="1"/>
  <c r="O47" i="3" s="1"/>
  <c r="AG240" i="10"/>
  <c r="O1069" i="7"/>
  <c r="O1182" i="7"/>
  <c r="AB120" i="10"/>
  <c r="AA59" i="11" s="1"/>
  <c r="K327" i="34"/>
  <c r="K556" i="34"/>
  <c r="N99" i="17"/>
  <c r="BC18" i="42"/>
  <c r="N291" i="15"/>
  <c r="AM24" i="42"/>
  <c r="L83" i="15"/>
  <c r="L87" i="15" s="1"/>
  <c r="L324" i="34" s="1"/>
  <c r="N28" i="7"/>
  <c r="K9" i="13" s="1"/>
  <c r="N34" i="7"/>
  <c r="N7" i="16"/>
  <c r="P17" i="8"/>
  <c r="BB24" i="42"/>
  <c r="M114" i="15"/>
  <c r="M118" i="15" s="1"/>
  <c r="M338" i="34" s="1"/>
  <c r="N138" i="3"/>
  <c r="N139" i="3" s="1"/>
  <c r="P225" i="7"/>
  <c r="AC120" i="10"/>
  <c r="P1199" i="7"/>
  <c r="AG118" i="10"/>
  <c r="P59" i="11"/>
  <c r="Q59" i="11" s="1"/>
  <c r="S59" i="11" s="1"/>
  <c r="T59" i="11" s="1"/>
  <c r="V59" i="11" s="1"/>
  <c r="W59" i="11" s="1"/>
  <c r="Y59" i="11" s="1"/>
  <c r="Z59" i="11" s="1"/>
  <c r="K16" i="6"/>
  <c r="K48" i="6" s="1"/>
  <c r="K680" i="6"/>
  <c r="G329" i="34"/>
  <c r="G328" i="34"/>
  <c r="G384" i="34"/>
  <c r="G494" i="34"/>
  <c r="G498" i="34" s="1"/>
  <c r="G499" i="34" s="1"/>
  <c r="G232" i="34" s="1"/>
  <c r="G381" i="34"/>
  <c r="G435" i="34"/>
  <c r="G60" i="34"/>
  <c r="G75" i="34" s="1"/>
  <c r="G78" i="34" s="1"/>
  <c r="G80" i="34" s="1"/>
  <c r="G193" i="34"/>
  <c r="G675" i="34"/>
  <c r="G280" i="34" s="1"/>
  <c r="G437" i="34"/>
  <c r="G281" i="15"/>
  <c r="G676" i="34"/>
  <c r="G281" i="34" s="1"/>
  <c r="G452" i="34"/>
  <c r="G456" i="34" s="1"/>
  <c r="G461" i="34" s="1"/>
  <c r="G275" i="34" s="1"/>
  <c r="G330" i="15"/>
  <c r="J513" i="6"/>
  <c r="K222" i="10" s="1"/>
  <c r="J2063" i="6"/>
  <c r="J2069" i="6" s="1"/>
  <c r="J2026" i="6"/>
  <c r="L155" i="11"/>
  <c r="L163" i="11" s="1"/>
  <c r="AH58" i="42"/>
  <c r="J45" i="6"/>
  <c r="J19" i="6"/>
  <c r="AK148" i="11" l="1"/>
  <c r="Q225" i="7"/>
  <c r="Q227" i="7" s="1"/>
  <c r="G405" i="34"/>
  <c r="R613" i="6"/>
  <c r="R618" i="6" s="1"/>
  <c r="R1767" i="6"/>
  <c r="P198" i="3" s="1"/>
  <c r="AK231" i="10"/>
  <c r="AJ151" i="11" s="1"/>
  <c r="R1955" i="6"/>
  <c r="R686" i="6" s="1"/>
  <c r="P7" i="17"/>
  <c r="BE18" i="42" s="1"/>
  <c r="BE24" i="42" s="1"/>
  <c r="R392" i="7"/>
  <c r="R25" i="7" s="1"/>
  <c r="AI118" i="10"/>
  <c r="R1064" i="7" s="1"/>
  <c r="AK120" i="10"/>
  <c r="R60" i="27"/>
  <c r="R68" i="27" s="1"/>
  <c r="R71" i="27" s="1"/>
  <c r="R2046" i="6"/>
  <c r="R1199" i="7"/>
  <c r="R223" i="7"/>
  <c r="R700" i="7"/>
  <c r="R702" i="7" s="1"/>
  <c r="R704" i="7" s="1"/>
  <c r="R713" i="7" s="1"/>
  <c r="P7" i="16"/>
  <c r="AQ18" i="42" s="1"/>
  <c r="AQ24" i="42" s="1"/>
  <c r="Q1065" i="7"/>
  <c r="Q404" i="7" s="1"/>
  <c r="Q53" i="7" s="1"/>
  <c r="O45" i="3" s="1"/>
  <c r="O54" i="3" s="1"/>
  <c r="AB59" i="11"/>
  <c r="AC59" i="11" s="1"/>
  <c r="O139" i="3"/>
  <c r="Q604" i="8"/>
  <c r="N50" i="3"/>
  <c r="M570" i="34"/>
  <c r="M341" i="34"/>
  <c r="L327" i="34"/>
  <c r="L556" i="34"/>
  <c r="O465" i="7"/>
  <c r="O470" i="7" s="1"/>
  <c r="O1186" i="7"/>
  <c r="Q17" i="8"/>
  <c r="O7" i="16"/>
  <c r="O1196" i="7"/>
  <c r="O240" i="7"/>
  <c r="AG122" i="10"/>
  <c r="AG242" i="10" s="1"/>
  <c r="AE120" i="10"/>
  <c r="AD59" i="11" s="1"/>
  <c r="P1182" i="7"/>
  <c r="AH118" i="10"/>
  <c r="P227" i="7"/>
  <c r="P22" i="7"/>
  <c r="AO18" i="42"/>
  <c r="N101" i="16"/>
  <c r="N242" i="15"/>
  <c r="BC24" i="42"/>
  <c r="N114" i="15"/>
  <c r="N118" i="15" s="1"/>
  <c r="N338" i="34" s="1"/>
  <c r="AN24" i="42"/>
  <c r="M83" i="15"/>
  <c r="M87" i="15" s="1"/>
  <c r="M324" i="34" s="1"/>
  <c r="AF120" i="10"/>
  <c r="Q1199" i="7"/>
  <c r="Q613" i="6"/>
  <c r="Q618" i="6" s="1"/>
  <c r="Q1767" i="6"/>
  <c r="O198" i="3" s="1"/>
  <c r="O291" i="15"/>
  <c r="BD18" i="42"/>
  <c r="O99" i="17"/>
  <c r="N240" i="7"/>
  <c r="N1196" i="7"/>
  <c r="G47" i="58"/>
  <c r="G54" i="58"/>
  <c r="K240" i="10"/>
  <c r="M222" i="10"/>
  <c r="M240" i="10" s="1"/>
  <c r="G385" i="34"/>
  <c r="G189" i="34" s="1"/>
  <c r="G190" i="34" s="1"/>
  <c r="P45" i="11"/>
  <c r="J51" i="6"/>
  <c r="H15" i="3" s="1"/>
  <c r="G26" i="13"/>
  <c r="J402" i="8"/>
  <c r="J546" i="8" s="1"/>
  <c r="J550" i="8" s="1"/>
  <c r="J110" i="8"/>
  <c r="G233" i="34"/>
  <c r="J2043" i="6"/>
  <c r="J2049" i="6" s="1"/>
  <c r="J2071" i="6" s="1"/>
  <c r="J2077" i="6" s="1"/>
  <c r="G175" i="15"/>
  <c r="J201" i="8"/>
  <c r="J346" i="8" s="1"/>
  <c r="J349" i="8" s="1"/>
  <c r="J47" i="8"/>
  <c r="G330" i="34"/>
  <c r="G175" i="34" s="1"/>
  <c r="J742" i="6"/>
  <c r="H101" i="3" s="1"/>
  <c r="J2030" i="6"/>
  <c r="F58" i="42"/>
  <c r="AH62" i="42"/>
  <c r="G441" i="34"/>
  <c r="G446" i="34" s="1"/>
  <c r="G273" i="34" s="1"/>
  <c r="G87" i="13"/>
  <c r="H106" i="3" s="1"/>
  <c r="M155" i="11"/>
  <c r="K682" i="6"/>
  <c r="N231" i="10" s="1"/>
  <c r="P231" i="10" s="1"/>
  <c r="K2066" i="6"/>
  <c r="Q22" i="7" l="1"/>
  <c r="Q28" i="7" s="1"/>
  <c r="N9" i="13" s="1"/>
  <c r="Q1069" i="7"/>
  <c r="P291" i="15"/>
  <c r="P99" i="17"/>
  <c r="P114" i="15"/>
  <c r="P118" i="15" s="1"/>
  <c r="P338" i="34" s="1"/>
  <c r="R65" i="27"/>
  <c r="AE59" i="11"/>
  <c r="AF59" i="11" s="1"/>
  <c r="AJ118" i="10"/>
  <c r="R1065" i="7" s="1"/>
  <c r="R1069" i="7" s="1"/>
  <c r="AJ59" i="11"/>
  <c r="R225" i="7"/>
  <c r="P138" i="3"/>
  <c r="P139" i="3" s="1"/>
  <c r="P242" i="15"/>
  <c r="P101" i="16"/>
  <c r="AG56" i="11"/>
  <c r="AH56" i="11" s="1"/>
  <c r="AI56" i="11" s="1"/>
  <c r="O49" i="3"/>
  <c r="O50" i="3" s="1"/>
  <c r="O114" i="15"/>
  <c r="O118" i="15" s="1"/>
  <c r="O338" i="34" s="1"/>
  <c r="BD24" i="42"/>
  <c r="Q229" i="7"/>
  <c r="Q1212" i="7"/>
  <c r="AO24" i="42"/>
  <c r="N83" i="15"/>
  <c r="N87" i="15" s="1"/>
  <c r="N324" i="34" s="1"/>
  <c r="P1212" i="7"/>
  <c r="P229" i="7"/>
  <c r="AH120" i="10"/>
  <c r="Q1182" i="7"/>
  <c r="M327" i="34"/>
  <c r="M556" i="34"/>
  <c r="N570" i="34"/>
  <c r="N341" i="34"/>
  <c r="P465" i="7"/>
  <c r="P470" i="7" s="1"/>
  <c r="P1186" i="7"/>
  <c r="AP18" i="42"/>
  <c r="O101" i="16"/>
  <c r="O242" i="15"/>
  <c r="P34" i="7"/>
  <c r="P28" i="7"/>
  <c r="M9" i="13" s="1"/>
  <c r="M163" i="11"/>
  <c r="G55" i="58"/>
  <c r="G56" i="58" s="1"/>
  <c r="H107" i="3"/>
  <c r="L908" i="7"/>
  <c r="Q87" i="10" s="1"/>
  <c r="Q45" i="11"/>
  <c r="H224" i="15"/>
  <c r="G140" i="13"/>
  <c r="U58" i="42"/>
  <c r="J50" i="8"/>
  <c r="AI9" i="42"/>
  <c r="J1637" i="6"/>
  <c r="J555" i="8"/>
  <c r="J156" i="8" s="1"/>
  <c r="J556" i="8"/>
  <c r="J157" i="8" s="1"/>
  <c r="J355" i="8"/>
  <c r="J93" i="8" s="1"/>
  <c r="J354" i="8"/>
  <c r="J92" i="8" s="1"/>
  <c r="G28" i="13"/>
  <c r="G33" i="13" s="1"/>
  <c r="J747" i="6"/>
  <c r="J56" i="6"/>
  <c r="K2046" i="6"/>
  <c r="K1976" i="6"/>
  <c r="N155" i="11"/>
  <c r="N163" i="11" s="1"/>
  <c r="G176" i="34"/>
  <c r="J113" i="8"/>
  <c r="AW9" i="42"/>
  <c r="Q34" i="7" l="1"/>
  <c r="H420" i="34"/>
  <c r="AJ122" i="10"/>
  <c r="AJ242" i="10" s="1"/>
  <c r="P49" i="3" s="1"/>
  <c r="AK118" i="10"/>
  <c r="AJ56" i="11" s="1"/>
  <c r="AK56" i="11" s="1"/>
  <c r="R466" i="7"/>
  <c r="R470" i="7" s="1"/>
  <c r="R1186" i="7"/>
  <c r="R22" i="7"/>
  <c r="R227" i="7"/>
  <c r="P83" i="15"/>
  <c r="P87" i="15" s="1"/>
  <c r="P324" i="34" s="1"/>
  <c r="P570" i="34"/>
  <c r="P341" i="34"/>
  <c r="AG59" i="11"/>
  <c r="AH59" i="11" s="1"/>
  <c r="AI59" i="11" s="1"/>
  <c r="AK59" i="11" s="1"/>
  <c r="P240" i="7"/>
  <c r="P1196" i="7"/>
  <c r="AP24" i="42"/>
  <c r="O83" i="15"/>
  <c r="O87" i="15" s="1"/>
  <c r="O324" i="34" s="1"/>
  <c r="Q1196" i="7"/>
  <c r="Q240" i="7"/>
  <c r="Q465" i="7"/>
  <c r="Q470" i="7" s="1"/>
  <c r="Q1186" i="7"/>
  <c r="N556" i="34"/>
  <c r="N327" i="34"/>
  <c r="O570" i="34"/>
  <c r="O341" i="34"/>
  <c r="H10" i="58"/>
  <c r="Q103" i="10"/>
  <c r="S87" i="10"/>
  <c r="S103" i="10" s="1"/>
  <c r="R45" i="11" s="1"/>
  <c r="L355" i="7"/>
  <c r="J29" i="8"/>
  <c r="J147" i="8"/>
  <c r="AW10" i="42"/>
  <c r="H104" i="15" s="1"/>
  <c r="J595" i="8"/>
  <c r="J8" i="8" s="1"/>
  <c r="H6" i="17" s="1"/>
  <c r="K1980" i="6"/>
  <c r="K2019" i="6" s="1"/>
  <c r="K2021" i="6" s="1"/>
  <c r="K702" i="6"/>
  <c r="K705" i="6" s="1"/>
  <c r="J30" i="8"/>
  <c r="J519" i="6"/>
  <c r="J1642" i="6"/>
  <c r="K1955" i="6"/>
  <c r="K1960" i="6" s="1"/>
  <c r="O151" i="11"/>
  <c r="P151" i="11" s="1"/>
  <c r="H72" i="15"/>
  <c r="J358" i="8"/>
  <c r="L142" i="11"/>
  <c r="J83" i="8"/>
  <c r="J594" i="8"/>
  <c r="H230" i="15"/>
  <c r="H103" i="15"/>
  <c r="J559" i="8"/>
  <c r="R229" i="7" l="1"/>
  <c r="R1212" i="7"/>
  <c r="R28" i="7"/>
  <c r="O9" i="13" s="1"/>
  <c r="R34" i="7"/>
  <c r="P556" i="34"/>
  <c r="P327" i="34"/>
  <c r="O327" i="34"/>
  <c r="O556" i="34"/>
  <c r="H11" i="58"/>
  <c r="H13" i="58" s="1"/>
  <c r="AW14" i="42"/>
  <c r="AW26" i="42" s="1"/>
  <c r="G89" i="42" s="1"/>
  <c r="H109" i="15"/>
  <c r="H333" i="34" s="1"/>
  <c r="Q151" i="11"/>
  <c r="J597" i="8"/>
  <c r="J606" i="8" s="1"/>
  <c r="J7" i="8"/>
  <c r="J10" i="8" s="1"/>
  <c r="J19" i="8" s="1"/>
  <c r="J23" i="8" s="1"/>
  <c r="J34" i="8" s="1"/>
  <c r="H6" i="16"/>
  <c r="H343" i="34"/>
  <c r="H98" i="17"/>
  <c r="H100" i="17" s="1"/>
  <c r="H102" i="17" s="1"/>
  <c r="H104" i="17" s="1"/>
  <c r="H116" i="17" s="1"/>
  <c r="H290" i="15"/>
  <c r="H8" i="17"/>
  <c r="H13" i="17" s="1"/>
  <c r="K686" i="6"/>
  <c r="K690" i="6" s="1"/>
  <c r="J576" i="8"/>
  <c r="J86" i="8"/>
  <c r="L157" i="11"/>
  <c r="M142" i="11"/>
  <c r="J62" i="6"/>
  <c r="H39" i="3" s="1"/>
  <c r="J524" i="6"/>
  <c r="H122" i="3" s="1"/>
  <c r="K17" i="6"/>
  <c r="K49" i="6" s="1"/>
  <c r="K734" i="6"/>
  <c r="J577" i="8"/>
  <c r="J151" i="8"/>
  <c r="R240" i="7" l="1"/>
  <c r="R1196" i="7"/>
  <c r="H36" i="58"/>
  <c r="H38" i="58" s="1"/>
  <c r="H43" i="58" s="1"/>
  <c r="H51" i="58"/>
  <c r="AW36" i="42"/>
  <c r="AW56" i="42" s="1"/>
  <c r="H120" i="15"/>
  <c r="H122" i="15"/>
  <c r="J579" i="8"/>
  <c r="J608" i="8" s="1"/>
  <c r="K1587" i="6"/>
  <c r="N142" i="11"/>
  <c r="K2067" i="6"/>
  <c r="K736" i="6"/>
  <c r="N238" i="10" s="1"/>
  <c r="P238" i="10" s="1"/>
  <c r="J97" i="8"/>
  <c r="H127" i="3" s="1"/>
  <c r="J566" i="8"/>
  <c r="H20" i="17"/>
  <c r="H47" i="17" s="1"/>
  <c r="H342" i="34"/>
  <c r="H344" i="34" s="1"/>
  <c r="H178" i="34" s="1"/>
  <c r="H292" i="15"/>
  <c r="H297" i="15" s="1"/>
  <c r="AI10" i="42"/>
  <c r="H241" i="15"/>
  <c r="H100" i="16"/>
  <c r="H102" i="16" s="1"/>
  <c r="H104" i="16" s="1"/>
  <c r="H106" i="16" s="1"/>
  <c r="H8" i="16"/>
  <c r="J161" i="8"/>
  <c r="H128" i="3" s="1"/>
  <c r="J567" i="8"/>
  <c r="H337" i="34"/>
  <c r="H566" i="34"/>
  <c r="H574" i="34" s="1"/>
  <c r="H575" i="34" s="1"/>
  <c r="H255" i="34" s="1"/>
  <c r="H389" i="34"/>
  <c r="J67" i="6"/>
  <c r="L633" i="6"/>
  <c r="L635" i="6" s="1"/>
  <c r="L1799" i="6"/>
  <c r="L1948" i="6" s="1"/>
  <c r="L1950" i="6" s="1"/>
  <c r="H129" i="3" l="1"/>
  <c r="S45" i="11"/>
  <c r="H397" i="34"/>
  <c r="H506" i="34"/>
  <c r="H510" i="34" s="1"/>
  <c r="H511" i="34" s="1"/>
  <c r="H235" i="34" s="1"/>
  <c r="H394" i="34"/>
  <c r="H13" i="16"/>
  <c r="H20" i="16" s="1"/>
  <c r="H47" i="16" s="1"/>
  <c r="H118" i="16"/>
  <c r="J569" i="8"/>
  <c r="J581" i="8" s="1"/>
  <c r="J586" i="8" s="1"/>
  <c r="K2047" i="6"/>
  <c r="H179" i="34"/>
  <c r="L16" i="6"/>
  <c r="L48" i="6" s="1"/>
  <c r="L680" i="6"/>
  <c r="H243" i="15"/>
  <c r="H51" i="17"/>
  <c r="H88" i="34"/>
  <c r="H73" i="15"/>
  <c r="AI14" i="42"/>
  <c r="AI26" i="42" s="1"/>
  <c r="H241" i="3"/>
  <c r="H320" i="15"/>
  <c r="K1594" i="6"/>
  <c r="K1629" i="6" s="1"/>
  <c r="K1631" i="6" s="1"/>
  <c r="K482" i="6"/>
  <c r="K490" i="6" s="1"/>
  <c r="H398" i="34" l="1"/>
  <c r="H192" i="34" s="1"/>
  <c r="H193" i="34" s="1"/>
  <c r="T45" i="11"/>
  <c r="M908" i="7"/>
  <c r="H117" i="17"/>
  <c r="H121" i="17" s="1"/>
  <c r="H123" i="17" s="1"/>
  <c r="H94" i="3" s="1"/>
  <c r="AW59" i="42"/>
  <c r="AW58" i="42" s="1"/>
  <c r="AW62" i="42" s="1"/>
  <c r="L2066" i="6"/>
  <c r="L682" i="6"/>
  <c r="Q231" i="10" s="1"/>
  <c r="S231" i="10" s="1"/>
  <c r="K2026" i="6"/>
  <c r="O155" i="11"/>
  <c r="O163" i="11" s="1"/>
  <c r="K511" i="6"/>
  <c r="K13" i="6"/>
  <c r="H236" i="34"/>
  <c r="G88" i="42"/>
  <c r="AI36" i="42"/>
  <c r="AI56" i="42" s="1"/>
  <c r="H323" i="15"/>
  <c r="H78" i="15"/>
  <c r="H648" i="34"/>
  <c r="H650" i="34" s="1"/>
  <c r="H265" i="34" s="1"/>
  <c r="H92" i="34"/>
  <c r="H248" i="15"/>
  <c r="H51" i="16"/>
  <c r="H83" i="16"/>
  <c r="H85" i="16" s="1"/>
  <c r="H274" i="15"/>
  <c r="H47" i="34"/>
  <c r="H47" i="58" l="1"/>
  <c r="H54" i="58"/>
  <c r="T87" i="10"/>
  <c r="M355" i="7"/>
  <c r="K742" i="6"/>
  <c r="I101" i="3" s="1"/>
  <c r="K2030" i="6"/>
  <c r="L2046" i="6"/>
  <c r="H101" i="34"/>
  <c r="H116" i="34" s="1"/>
  <c r="H119" i="34" s="1"/>
  <c r="H121" i="34" s="1"/>
  <c r="H450" i="34"/>
  <c r="H642" i="34"/>
  <c r="H644" i="34" s="1"/>
  <c r="H263" i="34" s="1"/>
  <c r="H51" i="34"/>
  <c r="H89" i="15"/>
  <c r="H91" i="15"/>
  <c r="H240" i="3" s="1"/>
  <c r="H319" i="34"/>
  <c r="K45" i="6"/>
  <c r="K19" i="6"/>
  <c r="H119" i="16"/>
  <c r="H123" i="16" s="1"/>
  <c r="H125" i="16" s="1"/>
  <c r="H93" i="3" s="1"/>
  <c r="AI59" i="42"/>
  <c r="H276" i="15"/>
  <c r="H279" i="15"/>
  <c r="K194" i="8" s="1"/>
  <c r="H271" i="15"/>
  <c r="H169" i="15" s="1"/>
  <c r="K2063" i="6"/>
  <c r="K2069" i="6" s="1"/>
  <c r="K513" i="6"/>
  <c r="N222" i="10" s="1"/>
  <c r="H325" i="15"/>
  <c r="H328" i="15"/>
  <c r="K390" i="8" s="1"/>
  <c r="H87" i="13"/>
  <c r="I106" i="3" s="1"/>
  <c r="P155" i="11"/>
  <c r="P163" i="11" l="1"/>
  <c r="H55" i="58"/>
  <c r="H56" i="58" s="1"/>
  <c r="P222" i="10"/>
  <c r="P240" i="10" s="1"/>
  <c r="N240" i="10"/>
  <c r="I107" i="3"/>
  <c r="V87" i="10"/>
  <c r="T103" i="10"/>
  <c r="L1955" i="6"/>
  <c r="R151" i="11"/>
  <c r="S151" i="11" s="1"/>
  <c r="H452" i="34"/>
  <c r="H456" i="34" s="1"/>
  <c r="H461" i="34" s="1"/>
  <c r="H275" i="34" s="1"/>
  <c r="H330" i="15"/>
  <c r="H676" i="34"/>
  <c r="H281" i="34" s="1"/>
  <c r="AI58" i="42"/>
  <c r="H552" i="34"/>
  <c r="H559" i="34" s="1"/>
  <c r="H323" i="34"/>
  <c r="H376" i="34"/>
  <c r="L1976" i="6"/>
  <c r="Q155" i="11"/>
  <c r="Q163" i="11" s="1"/>
  <c r="K2043" i="6"/>
  <c r="K2049" i="6" s="1"/>
  <c r="K2071" i="6" s="1"/>
  <c r="K2077" i="6" s="1"/>
  <c r="K51" i="6"/>
  <c r="I15" i="3" s="1"/>
  <c r="H26" i="13"/>
  <c r="H60" i="34"/>
  <c r="H75" i="34" s="1"/>
  <c r="H78" i="34" s="1"/>
  <c r="H80" i="34" s="1"/>
  <c r="H435" i="34"/>
  <c r="H140" i="13"/>
  <c r="I224" i="15"/>
  <c r="V58" i="42"/>
  <c r="H675" i="34"/>
  <c r="H280" i="34" s="1"/>
  <c r="H437" i="34"/>
  <c r="H281" i="15"/>
  <c r="K747" i="6"/>
  <c r="H405" i="34" l="1"/>
  <c r="I420" i="34"/>
  <c r="I10" i="58"/>
  <c r="I11" i="58" s="1"/>
  <c r="H441" i="34"/>
  <c r="H446" i="34" s="1"/>
  <c r="H273" i="34" s="1"/>
  <c r="V103" i="10"/>
  <c r="U45" i="11" s="1"/>
  <c r="H28" i="13"/>
  <c r="H33" i="13" s="1"/>
  <c r="K201" i="8"/>
  <c r="K346" i="8" s="1"/>
  <c r="K349" i="8" s="1"/>
  <c r="K47" i="8"/>
  <c r="I230" i="15"/>
  <c r="G58" i="42"/>
  <c r="AI62" i="42"/>
  <c r="H175" i="15"/>
  <c r="H384" i="34"/>
  <c r="H494" i="34"/>
  <c r="H498" i="34" s="1"/>
  <c r="H499" i="34" s="1"/>
  <c r="H232" i="34" s="1"/>
  <c r="H381" i="34"/>
  <c r="K56" i="6"/>
  <c r="H329" i="34"/>
  <c r="H328" i="34"/>
  <c r="K402" i="8"/>
  <c r="K546" i="8" s="1"/>
  <c r="K550" i="8" s="1"/>
  <c r="K110" i="8"/>
  <c r="T151" i="11"/>
  <c r="K1637" i="6"/>
  <c r="L1980" i="6"/>
  <c r="L2019" i="6" s="1"/>
  <c r="L2021" i="6" s="1"/>
  <c r="L702" i="6"/>
  <c r="L705" i="6" s="1"/>
  <c r="L686" i="6"/>
  <c r="L690" i="6" s="1"/>
  <c r="L1960" i="6"/>
  <c r="I13" i="58" l="1"/>
  <c r="I36" i="58" s="1"/>
  <c r="I38" i="58" s="1"/>
  <c r="I43" i="58" s="1"/>
  <c r="V45" i="11"/>
  <c r="H330" i="34"/>
  <c r="H175" i="34" s="1"/>
  <c r="H176" i="34" s="1"/>
  <c r="H233" i="34"/>
  <c r="L17" i="6"/>
  <c r="L49" i="6" s="1"/>
  <c r="L734" i="6"/>
  <c r="K519" i="6"/>
  <c r="K1642" i="6"/>
  <c r="K556" i="8"/>
  <c r="K157" i="8" s="1"/>
  <c r="K555" i="8"/>
  <c r="K156" i="8" s="1"/>
  <c r="H385" i="34"/>
  <c r="H189" i="34" s="1"/>
  <c r="K50" i="8"/>
  <c r="AJ9" i="42"/>
  <c r="K355" i="8"/>
  <c r="K93" i="8" s="1"/>
  <c r="K354" i="8"/>
  <c r="K92" i="8" s="1"/>
  <c r="M633" i="6"/>
  <c r="M635" i="6" s="1"/>
  <c r="M1799" i="6"/>
  <c r="M1948" i="6" s="1"/>
  <c r="M1950" i="6" s="1"/>
  <c r="O142" i="11"/>
  <c r="K113" i="8"/>
  <c r="AX9" i="42"/>
  <c r="I51" i="58" l="1"/>
  <c r="K29" i="8"/>
  <c r="K30" i="8"/>
  <c r="N908" i="7"/>
  <c r="W45" i="11"/>
  <c r="O157" i="11"/>
  <c r="P142" i="11"/>
  <c r="H190" i="34"/>
  <c r="K62" i="6"/>
  <c r="I39" i="3" s="1"/>
  <c r="K524" i="6"/>
  <c r="I122" i="3" s="1"/>
  <c r="K358" i="8"/>
  <c r="L2067" i="6"/>
  <c r="L736" i="6"/>
  <c r="Q238" i="10" s="1"/>
  <c r="S238" i="10" s="1"/>
  <c r="I72" i="15"/>
  <c r="I103" i="15"/>
  <c r="AX10" i="42"/>
  <c r="I104" i="15" s="1"/>
  <c r="K147" i="8"/>
  <c r="K595" i="8"/>
  <c r="K8" i="8" s="1"/>
  <c r="I6" i="17" s="1"/>
  <c r="M16" i="6"/>
  <c r="M48" i="6" s="1"/>
  <c r="M680" i="6"/>
  <c r="K83" i="8"/>
  <c r="K594" i="8"/>
  <c r="K559" i="8"/>
  <c r="W87" i="10" l="1"/>
  <c r="N355" i="7"/>
  <c r="I109" i="15"/>
  <c r="I343" i="34"/>
  <c r="I98" i="17"/>
  <c r="I100" i="17" s="1"/>
  <c r="I102" i="17" s="1"/>
  <c r="I104" i="17" s="1"/>
  <c r="I116" i="17" s="1"/>
  <c r="I290" i="15"/>
  <c r="I8" i="17"/>
  <c r="I13" i="17" s="1"/>
  <c r="AX14" i="42"/>
  <c r="AX26" i="42" s="1"/>
  <c r="K67" i="6"/>
  <c r="L1587" i="6"/>
  <c r="Q142" i="11"/>
  <c r="K597" i="8"/>
  <c r="K606" i="8" s="1"/>
  <c r="I6" i="16"/>
  <c r="K7" i="8"/>
  <c r="K10" i="8" s="1"/>
  <c r="K19" i="8" s="1"/>
  <c r="K23" i="8" s="1"/>
  <c r="K34" i="8" s="1"/>
  <c r="K151" i="8"/>
  <c r="K577" i="8"/>
  <c r="K576" i="8"/>
  <c r="K86" i="8"/>
  <c r="M2066" i="6"/>
  <c r="M682" i="6"/>
  <c r="L2047" i="6"/>
  <c r="K579" i="8" l="1"/>
  <c r="K608" i="8" s="1"/>
  <c r="W103" i="10"/>
  <c r="Y87" i="10"/>
  <c r="I8" i="16"/>
  <c r="I100" i="16"/>
  <c r="I102" i="16" s="1"/>
  <c r="I104" i="16" s="1"/>
  <c r="I106" i="16" s="1"/>
  <c r="AJ10" i="42"/>
  <c r="I241" i="15"/>
  <c r="L1594" i="6"/>
  <c r="L1629" i="6" s="1"/>
  <c r="L1631" i="6" s="1"/>
  <c r="L482" i="6"/>
  <c r="L490" i="6" s="1"/>
  <c r="T231" i="10"/>
  <c r="M2046" i="6"/>
  <c r="I20" i="17"/>
  <c r="I47" i="17" s="1"/>
  <c r="I342" i="34"/>
  <c r="I344" i="34" s="1"/>
  <c r="I178" i="34" s="1"/>
  <c r="I120" i="15"/>
  <c r="I122" i="15"/>
  <c r="I333" i="34"/>
  <c r="L2026" i="6"/>
  <c r="R155" i="11"/>
  <c r="R163" i="11" s="1"/>
  <c r="K566" i="8"/>
  <c r="K97" i="8"/>
  <c r="I127" i="3" s="1"/>
  <c r="K567" i="8"/>
  <c r="K161" i="8"/>
  <c r="I128" i="3" s="1"/>
  <c r="AX36" i="42"/>
  <c r="AX56" i="42" s="1"/>
  <c r="H89" i="42"/>
  <c r="I292" i="15"/>
  <c r="I297" i="15" s="1"/>
  <c r="I47" i="58" l="1"/>
  <c r="I54" i="58"/>
  <c r="I129" i="3"/>
  <c r="K569" i="8"/>
  <c r="K581" i="8" s="1"/>
  <c r="K586" i="8" s="1"/>
  <c r="Y103" i="10"/>
  <c r="X45" i="11" s="1"/>
  <c r="I87" i="13"/>
  <c r="J106" i="3" s="1"/>
  <c r="S155" i="11"/>
  <c r="M1955" i="6"/>
  <c r="V231" i="10"/>
  <c r="U151" i="11" s="1"/>
  <c r="V151" i="11" s="1"/>
  <c r="I73" i="15"/>
  <c r="AJ14" i="42"/>
  <c r="AJ26" i="42" s="1"/>
  <c r="I241" i="3"/>
  <c r="I320" i="15"/>
  <c r="I51" i="17"/>
  <c r="I88" i="34"/>
  <c r="L742" i="6"/>
  <c r="J101" i="3" s="1"/>
  <c r="L2030" i="6"/>
  <c r="L13" i="6"/>
  <c r="L511" i="6"/>
  <c r="I566" i="34"/>
  <c r="I574" i="34" s="1"/>
  <c r="I575" i="34" s="1"/>
  <c r="I255" i="34" s="1"/>
  <c r="I337" i="34"/>
  <c r="I389" i="34"/>
  <c r="I118" i="16"/>
  <c r="I13" i="16"/>
  <c r="I20" i="16" s="1"/>
  <c r="I47" i="16" s="1"/>
  <c r="I179" i="34"/>
  <c r="I243" i="15"/>
  <c r="S163" i="11" l="1"/>
  <c r="I55" i="58"/>
  <c r="I56" i="58" s="1"/>
  <c r="J107" i="3"/>
  <c r="Y45" i="11"/>
  <c r="L747" i="6"/>
  <c r="W151" i="11"/>
  <c r="I51" i="16"/>
  <c r="I83" i="16"/>
  <c r="I85" i="16" s="1"/>
  <c r="I274" i="15"/>
  <c r="I47" i="34"/>
  <c r="L2063" i="6"/>
  <c r="L2069" i="6" s="1"/>
  <c r="L513" i="6"/>
  <c r="Q222" i="10" s="1"/>
  <c r="I648" i="34"/>
  <c r="I650" i="34" s="1"/>
  <c r="I265" i="34" s="1"/>
  <c r="I92" i="34"/>
  <c r="AJ36" i="42"/>
  <c r="AJ56" i="42" s="1"/>
  <c r="H88" i="42"/>
  <c r="M686" i="6"/>
  <c r="M690" i="6" s="1"/>
  <c r="M1960" i="6"/>
  <c r="I397" i="34"/>
  <c r="I506" i="34"/>
  <c r="I510" i="34" s="1"/>
  <c r="I511" i="34" s="1"/>
  <c r="I235" i="34" s="1"/>
  <c r="I394" i="34"/>
  <c r="L45" i="6"/>
  <c r="L19" i="6"/>
  <c r="I117" i="17"/>
  <c r="I121" i="17" s="1"/>
  <c r="I123" i="17" s="1"/>
  <c r="I94" i="3" s="1"/>
  <c r="AX59" i="42"/>
  <c r="AX58" i="42" s="1"/>
  <c r="AX62" i="42" s="1"/>
  <c r="M1976" i="6"/>
  <c r="T155" i="11"/>
  <c r="T163" i="11" s="1"/>
  <c r="I248" i="15"/>
  <c r="I323" i="15"/>
  <c r="I78" i="15"/>
  <c r="I140" i="13"/>
  <c r="W58" i="42"/>
  <c r="J224" i="15"/>
  <c r="J420" i="34" l="1"/>
  <c r="J10" i="58"/>
  <c r="S222" i="10"/>
  <c r="S240" i="10" s="1"/>
  <c r="Q240" i="10"/>
  <c r="I398" i="34"/>
  <c r="I192" i="34" s="1"/>
  <c r="I193" i="34" s="1"/>
  <c r="Z45" i="11"/>
  <c r="O908" i="7"/>
  <c r="I89" i="15"/>
  <c r="I91" i="15"/>
  <c r="I240" i="3" s="1"/>
  <c r="I319" i="34"/>
  <c r="M1980" i="6"/>
  <c r="M2019" i="6" s="1"/>
  <c r="M2021" i="6" s="1"/>
  <c r="M702" i="6"/>
  <c r="M705" i="6" s="1"/>
  <c r="I101" i="34"/>
  <c r="I116" i="34" s="1"/>
  <c r="I119" i="34" s="1"/>
  <c r="I121" i="34" s="1"/>
  <c r="I450" i="34"/>
  <c r="I51" i="34"/>
  <c r="I642" i="34"/>
  <c r="I644" i="34" s="1"/>
  <c r="I263" i="34" s="1"/>
  <c r="N633" i="6"/>
  <c r="N635" i="6" s="1"/>
  <c r="N1799" i="6"/>
  <c r="N1948" i="6" s="1"/>
  <c r="N1950" i="6" s="1"/>
  <c r="L51" i="6"/>
  <c r="J15" i="3" s="1"/>
  <c r="I26" i="13"/>
  <c r="L2043" i="6"/>
  <c r="L2049" i="6" s="1"/>
  <c r="L2071" i="6" s="1"/>
  <c r="L2077" i="6" s="1"/>
  <c r="I276" i="15"/>
  <c r="I279" i="15"/>
  <c r="L194" i="8" s="1"/>
  <c r="J230" i="15"/>
  <c r="I325" i="15"/>
  <c r="I328" i="15"/>
  <c r="L390" i="8" s="1"/>
  <c r="I271" i="15"/>
  <c r="I169" i="15" s="1"/>
  <c r="I236" i="34"/>
  <c r="AJ59" i="42"/>
  <c r="I119" i="16"/>
  <c r="I123" i="16" s="1"/>
  <c r="I125" i="16" s="1"/>
  <c r="I93" i="3" s="1"/>
  <c r="J11" i="58" l="1"/>
  <c r="J13" i="58" s="1"/>
  <c r="Z87" i="10"/>
  <c r="O355" i="7"/>
  <c r="AJ58" i="42"/>
  <c r="I28" i="13"/>
  <c r="I33" i="13" s="1"/>
  <c r="I435" i="34"/>
  <c r="I60" i="34"/>
  <c r="I75" i="34" s="1"/>
  <c r="I78" i="34" s="1"/>
  <c r="I80" i="34" s="1"/>
  <c r="M17" i="6"/>
  <c r="M49" i="6" s="1"/>
  <c r="M734" i="6"/>
  <c r="I376" i="34"/>
  <c r="I323" i="34"/>
  <c r="I552" i="34"/>
  <c r="I559" i="34" s="1"/>
  <c r="L56" i="6"/>
  <c r="I676" i="34"/>
  <c r="I281" i="34" s="1"/>
  <c r="I330" i="15"/>
  <c r="I452" i="34"/>
  <c r="I456" i="34" s="1"/>
  <c r="I461" i="34" s="1"/>
  <c r="I275" i="34" s="1"/>
  <c r="I437" i="34"/>
  <c r="I675" i="34"/>
  <c r="I280" i="34" s="1"/>
  <c r="I281" i="15"/>
  <c r="L1637" i="6"/>
  <c r="N680" i="6"/>
  <c r="N16" i="6"/>
  <c r="N48" i="6" s="1"/>
  <c r="I405" i="34" l="1"/>
  <c r="J36" i="58"/>
  <c r="J38" i="58" s="1"/>
  <c r="J43" i="58" s="1"/>
  <c r="J51" i="58"/>
  <c r="Z103" i="10"/>
  <c r="AB87" i="10"/>
  <c r="R142" i="11"/>
  <c r="L519" i="6"/>
  <c r="L1642" i="6"/>
  <c r="L402" i="8"/>
  <c r="L546" i="8" s="1"/>
  <c r="L550" i="8" s="1"/>
  <c r="L110" i="8"/>
  <c r="M2067" i="6"/>
  <c r="M736" i="6"/>
  <c r="N2066" i="6"/>
  <c r="N682" i="6"/>
  <c r="H58" i="42"/>
  <c r="AJ62" i="42"/>
  <c r="I175" i="15"/>
  <c r="I329" i="34"/>
  <c r="I328" i="34"/>
  <c r="L201" i="8"/>
  <c r="L346" i="8" s="1"/>
  <c r="L349" i="8" s="1"/>
  <c r="L47" i="8"/>
  <c r="I384" i="34"/>
  <c r="I381" i="34"/>
  <c r="I494" i="34"/>
  <c r="I498" i="34" s="1"/>
  <c r="I499" i="34" s="1"/>
  <c r="I232" i="34" s="1"/>
  <c r="I441" i="34"/>
  <c r="I446" i="34" s="1"/>
  <c r="I273" i="34" s="1"/>
  <c r="AB103" i="10" l="1"/>
  <c r="AA45" i="11" s="1"/>
  <c r="I233" i="34"/>
  <c r="N2046" i="6"/>
  <c r="W231" i="10"/>
  <c r="M2047" i="6"/>
  <c r="T238" i="10"/>
  <c r="L113" i="8"/>
  <c r="AY9" i="42"/>
  <c r="I385" i="34"/>
  <c r="I189" i="34" s="1"/>
  <c r="L50" i="8"/>
  <c r="AK9" i="42"/>
  <c r="L555" i="8"/>
  <c r="L156" i="8" s="1"/>
  <c r="L556" i="8"/>
  <c r="L157" i="8" s="1"/>
  <c r="L62" i="6"/>
  <c r="J39" i="3" s="1"/>
  <c r="L524" i="6"/>
  <c r="J122" i="3" s="1"/>
  <c r="L355" i="8"/>
  <c r="L93" i="8" s="1"/>
  <c r="L354" i="8"/>
  <c r="L92" i="8" s="1"/>
  <c r="I330" i="34"/>
  <c r="I175" i="34" s="1"/>
  <c r="R157" i="11"/>
  <c r="S142" i="11"/>
  <c r="L29" i="8" l="1"/>
  <c r="L30" i="8"/>
  <c r="AB45" i="11"/>
  <c r="T142" i="11"/>
  <c r="M1587" i="6"/>
  <c r="AY10" i="42"/>
  <c r="J104" i="15" s="1"/>
  <c r="L147" i="8"/>
  <c r="L595" i="8"/>
  <c r="L8" i="8" s="1"/>
  <c r="J6" i="17" s="1"/>
  <c r="L67" i="6"/>
  <c r="J72" i="15"/>
  <c r="M2026" i="6"/>
  <c r="V238" i="10"/>
  <c r="U155" i="11" s="1"/>
  <c r="U163" i="11" s="1"/>
  <c r="Y231" i="10"/>
  <c r="X151" i="11" s="1"/>
  <c r="Y151" i="11" s="1"/>
  <c r="N1955" i="6"/>
  <c r="L358" i="8"/>
  <c r="L83" i="8"/>
  <c r="L594" i="8"/>
  <c r="I176" i="34"/>
  <c r="L559" i="8"/>
  <c r="I190" i="34"/>
  <c r="J103" i="15"/>
  <c r="J47" i="58" l="1"/>
  <c r="J54" i="58"/>
  <c r="J109" i="15"/>
  <c r="J120" i="15" s="1"/>
  <c r="AY14" i="42"/>
  <c r="AY26" i="42" s="1"/>
  <c r="I89" i="42" s="1"/>
  <c r="AC45" i="11"/>
  <c r="P908" i="7"/>
  <c r="L576" i="8"/>
  <c r="L86" i="8"/>
  <c r="L7" i="8"/>
  <c r="L10" i="8" s="1"/>
  <c r="L19" i="8" s="1"/>
  <c r="L23" i="8" s="1"/>
  <c r="L34" i="8" s="1"/>
  <c r="L597" i="8"/>
  <c r="L606" i="8" s="1"/>
  <c r="J6" i="16"/>
  <c r="J87" i="13"/>
  <c r="K106" i="3" s="1"/>
  <c r="V155" i="11"/>
  <c r="M1594" i="6"/>
  <c r="M1629" i="6" s="1"/>
  <c r="M1631" i="6" s="1"/>
  <c r="M482" i="6"/>
  <c r="M490" i="6" s="1"/>
  <c r="M742" i="6"/>
  <c r="K101" i="3" s="1"/>
  <c r="M2030" i="6"/>
  <c r="J343" i="34"/>
  <c r="J98" i="17"/>
  <c r="J100" i="17" s="1"/>
  <c r="J102" i="17" s="1"/>
  <c r="J104" i="17" s="1"/>
  <c r="J116" i="17" s="1"/>
  <c r="J290" i="15"/>
  <c r="J8" i="17"/>
  <c r="J13" i="17" s="1"/>
  <c r="N686" i="6"/>
  <c r="N690" i="6" s="1"/>
  <c r="N1960" i="6"/>
  <c r="L577" i="8"/>
  <c r="L151" i="8"/>
  <c r="Z151" i="11"/>
  <c r="V163" i="11" l="1"/>
  <c r="K420" i="34" s="1"/>
  <c r="J55" i="58"/>
  <c r="J56" i="58" s="1"/>
  <c r="K107" i="3"/>
  <c r="J122" i="15"/>
  <c r="AY36" i="42"/>
  <c r="AY56" i="42" s="1"/>
  <c r="J333" i="34"/>
  <c r="J566" i="34" s="1"/>
  <c r="J574" i="34" s="1"/>
  <c r="J575" i="34" s="1"/>
  <c r="J255" i="34" s="1"/>
  <c r="AC87" i="10"/>
  <c r="P355" i="7"/>
  <c r="J292" i="15"/>
  <c r="J297" i="15" s="1"/>
  <c r="M747" i="6"/>
  <c r="J140" i="13"/>
  <c r="K224" i="15"/>
  <c r="X58" i="42"/>
  <c r="M511" i="6"/>
  <c r="M13" i="6"/>
  <c r="AK10" i="42"/>
  <c r="J241" i="15"/>
  <c r="J100" i="16"/>
  <c r="J102" i="16" s="1"/>
  <c r="J104" i="16" s="1"/>
  <c r="J106" i="16" s="1"/>
  <c r="J8" i="16"/>
  <c r="L97" i="8"/>
  <c r="J127" i="3" s="1"/>
  <c r="L566" i="8"/>
  <c r="O1799" i="6"/>
  <c r="O1948" i="6" s="1"/>
  <c r="O1950" i="6" s="1"/>
  <c r="O633" i="6"/>
  <c r="O635" i="6" s="1"/>
  <c r="L161" i="8"/>
  <c r="J128" i="3" s="1"/>
  <c r="L567" i="8"/>
  <c r="J20" i="17"/>
  <c r="J47" i="17" s="1"/>
  <c r="J342" i="34"/>
  <c r="J344" i="34" s="1"/>
  <c r="J178" i="34" s="1"/>
  <c r="N1976" i="6"/>
  <c r="W155" i="11"/>
  <c r="W163" i="11" s="1"/>
  <c r="L579" i="8"/>
  <c r="K10" i="58" l="1"/>
  <c r="K11" i="58" s="1"/>
  <c r="J129" i="3"/>
  <c r="J337" i="34"/>
  <c r="J389" i="34"/>
  <c r="J397" i="34" s="1"/>
  <c r="AE87" i="10"/>
  <c r="AC103" i="10"/>
  <c r="L608" i="8"/>
  <c r="J73" i="15"/>
  <c r="AK14" i="42"/>
  <c r="AK26" i="42" s="1"/>
  <c r="J241" i="3"/>
  <c r="J320" i="15"/>
  <c r="J179" i="34"/>
  <c r="L569" i="8"/>
  <c r="L581" i="8" s="1"/>
  <c r="L586" i="8" s="1"/>
  <c r="J13" i="16"/>
  <c r="J20" i="16" s="1"/>
  <c r="J47" i="16" s="1"/>
  <c r="J118" i="16"/>
  <c r="M45" i="6"/>
  <c r="M19" i="6"/>
  <c r="P633" i="6"/>
  <c r="P635" i="6" s="1"/>
  <c r="P1799" i="6"/>
  <c r="P1948" i="6" s="1"/>
  <c r="P1950" i="6" s="1"/>
  <c r="J51" i="17"/>
  <c r="J88" i="34"/>
  <c r="O680" i="6"/>
  <c r="O16" i="6"/>
  <c r="O48" i="6" s="1"/>
  <c r="M513" i="6"/>
  <c r="M2063" i="6"/>
  <c r="M2069" i="6" s="1"/>
  <c r="K230" i="15"/>
  <c r="N1980" i="6"/>
  <c r="N2019" i="6" s="1"/>
  <c r="N2021" i="6" s="1"/>
  <c r="N702" i="6"/>
  <c r="N705" i="6" s="1"/>
  <c r="J243" i="15"/>
  <c r="K13" i="58" l="1"/>
  <c r="K36" i="58" s="1"/>
  <c r="K38" i="58" s="1"/>
  <c r="K43" i="58" s="1"/>
  <c r="J394" i="34"/>
  <c r="J398" i="34" s="1"/>
  <c r="J192" i="34" s="1"/>
  <c r="J193" i="34" s="1"/>
  <c r="J506" i="34"/>
  <c r="J510" i="34" s="1"/>
  <c r="J511" i="34" s="1"/>
  <c r="J235" i="34" s="1"/>
  <c r="J236" i="34" s="1"/>
  <c r="AE103" i="10"/>
  <c r="AD45" i="11" s="1"/>
  <c r="T222" i="10"/>
  <c r="M2043" i="6"/>
  <c r="M2049" i="6" s="1"/>
  <c r="M2071" i="6" s="1"/>
  <c r="M2077" i="6" s="1"/>
  <c r="J648" i="34"/>
  <c r="J650" i="34" s="1"/>
  <c r="J265" i="34" s="1"/>
  <c r="J92" i="34"/>
  <c r="J51" i="16"/>
  <c r="J274" i="15"/>
  <c r="J83" i="16"/>
  <c r="J85" i="16" s="1"/>
  <c r="J47" i="34"/>
  <c r="P16" i="6"/>
  <c r="P48" i="6" s="1"/>
  <c r="P680" i="6"/>
  <c r="J78" i="15"/>
  <c r="N17" i="6"/>
  <c r="N49" i="6" s="1"/>
  <c r="N734" i="6"/>
  <c r="AY59" i="42"/>
  <c r="AY58" i="42" s="1"/>
  <c r="AY62" i="42" s="1"/>
  <c r="J117" i="17"/>
  <c r="J121" i="17" s="1"/>
  <c r="J123" i="17" s="1"/>
  <c r="J94" i="3" s="1"/>
  <c r="M51" i="6"/>
  <c r="K15" i="3" s="1"/>
  <c r="J26" i="13"/>
  <c r="J323" i="15"/>
  <c r="J248" i="15"/>
  <c r="O2066" i="6"/>
  <c r="O682" i="6"/>
  <c r="I88" i="42"/>
  <c r="AK36" i="42"/>
  <c r="AK56" i="42" s="1"/>
  <c r="K51" i="58" l="1"/>
  <c r="AE45" i="11"/>
  <c r="Q908" i="7" s="1"/>
  <c r="J101" i="34"/>
  <c r="J116" i="34" s="1"/>
  <c r="J119" i="34" s="1"/>
  <c r="J121" i="34" s="1"/>
  <c r="J450" i="34"/>
  <c r="O2046" i="6"/>
  <c r="Z231" i="10"/>
  <c r="J271" i="15"/>
  <c r="J169" i="15" s="1"/>
  <c r="J28" i="13"/>
  <c r="J33" i="13" s="1"/>
  <c r="J89" i="15"/>
  <c r="J91" i="15"/>
  <c r="J240" i="3" s="1"/>
  <c r="J319" i="34"/>
  <c r="T240" i="10"/>
  <c r="V222" i="10"/>
  <c r="M1637" i="6"/>
  <c r="J276" i="15"/>
  <c r="J279" i="15"/>
  <c r="M194" i="8" s="1"/>
  <c r="M56" i="6"/>
  <c r="N2067" i="6"/>
  <c r="N736" i="6"/>
  <c r="P2066" i="6"/>
  <c r="P682" i="6"/>
  <c r="AK59" i="42"/>
  <c r="J119" i="16"/>
  <c r="J123" i="16" s="1"/>
  <c r="J125" i="16" s="1"/>
  <c r="J93" i="3" s="1"/>
  <c r="J325" i="15"/>
  <c r="J328" i="15"/>
  <c r="M390" i="8" s="1"/>
  <c r="J51" i="34"/>
  <c r="J642" i="34"/>
  <c r="J644" i="34" s="1"/>
  <c r="J263" i="34" s="1"/>
  <c r="Q355" i="7" l="1"/>
  <c r="AF87" i="10"/>
  <c r="AF45" i="11"/>
  <c r="J675" i="34"/>
  <c r="J280" i="34" s="1"/>
  <c r="J437" i="34"/>
  <c r="J281" i="15"/>
  <c r="N2047" i="6"/>
  <c r="W238" i="10"/>
  <c r="J60" i="34"/>
  <c r="J75" i="34" s="1"/>
  <c r="J78" i="34" s="1"/>
  <c r="J80" i="34" s="1"/>
  <c r="J435" i="34"/>
  <c r="M519" i="6"/>
  <c r="M1642" i="6"/>
  <c r="J676" i="34"/>
  <c r="J281" i="34" s="1"/>
  <c r="J452" i="34"/>
  <c r="J456" i="34" s="1"/>
  <c r="J461" i="34" s="1"/>
  <c r="J275" i="34" s="1"/>
  <c r="J330" i="15"/>
  <c r="AC231" i="10"/>
  <c r="P2046" i="6"/>
  <c r="AK58" i="42"/>
  <c r="V240" i="10"/>
  <c r="U142" i="11"/>
  <c r="J552" i="34"/>
  <c r="J559" i="34" s="1"/>
  <c r="J376" i="34"/>
  <c r="J323" i="34"/>
  <c r="O1955" i="6"/>
  <c r="AB231" i="10"/>
  <c r="AA151" i="11" s="1"/>
  <c r="J405" i="34" l="1"/>
  <c r="AH87" i="10"/>
  <c r="AF103" i="10"/>
  <c r="J441" i="34"/>
  <c r="J446" i="34" s="1"/>
  <c r="J273" i="34" s="1"/>
  <c r="O686" i="6"/>
  <c r="O690" i="6" s="1"/>
  <c r="O1960" i="6"/>
  <c r="J329" i="34"/>
  <c r="J328" i="34"/>
  <c r="U157" i="11"/>
  <c r="V142" i="11"/>
  <c r="J384" i="34"/>
  <c r="J494" i="34"/>
  <c r="J498" i="34" s="1"/>
  <c r="J499" i="34" s="1"/>
  <c r="J232" i="34" s="1"/>
  <c r="J381" i="34"/>
  <c r="AE231" i="10"/>
  <c r="AD151" i="11" s="1"/>
  <c r="P1955" i="6"/>
  <c r="M402" i="8"/>
  <c r="M546" i="8" s="1"/>
  <c r="M550" i="8" s="1"/>
  <c r="M110" i="8"/>
  <c r="M62" i="6"/>
  <c r="K39" i="3" s="1"/>
  <c r="M524" i="6"/>
  <c r="K122" i="3" s="1"/>
  <c r="N2026" i="6"/>
  <c r="Y238" i="10"/>
  <c r="X155" i="11" s="1"/>
  <c r="X163" i="11" s="1"/>
  <c r="M201" i="8"/>
  <c r="M346" i="8" s="1"/>
  <c r="M349" i="8" s="1"/>
  <c r="M47" i="8"/>
  <c r="AB151" i="11"/>
  <c r="AC151" i="11" s="1"/>
  <c r="I58" i="42"/>
  <c r="AK62" i="42"/>
  <c r="J175" i="15"/>
  <c r="K47" i="58" l="1"/>
  <c r="K54" i="58"/>
  <c r="AH103" i="10"/>
  <c r="AE151" i="11"/>
  <c r="AF151" i="11" s="1"/>
  <c r="J330" i="34"/>
  <c r="J175" i="34" s="1"/>
  <c r="J176" i="34" s="1"/>
  <c r="P686" i="6"/>
  <c r="P690" i="6" s="1"/>
  <c r="P1960" i="6"/>
  <c r="K87" i="13"/>
  <c r="L106" i="3" s="1"/>
  <c r="Y155" i="11"/>
  <c r="N742" i="6"/>
  <c r="L101" i="3" s="1"/>
  <c r="N2030" i="6"/>
  <c r="M50" i="8"/>
  <c r="AL9" i="42"/>
  <c r="AZ9" i="42"/>
  <c r="M113" i="8"/>
  <c r="J385" i="34"/>
  <c r="J189" i="34" s="1"/>
  <c r="Q633" i="6"/>
  <c r="Q635" i="6" s="1"/>
  <c r="Q1799" i="6"/>
  <c r="Q1948" i="6" s="1"/>
  <c r="Q1950" i="6" s="1"/>
  <c r="M354" i="8"/>
  <c r="M92" i="8" s="1"/>
  <c r="M355" i="8"/>
  <c r="M93" i="8" s="1"/>
  <c r="M67" i="6"/>
  <c r="M555" i="8"/>
  <c r="M156" i="8" s="1"/>
  <c r="M556" i="8"/>
  <c r="M157" i="8" s="1"/>
  <c r="J233" i="34"/>
  <c r="N1587" i="6"/>
  <c r="W142" i="11"/>
  <c r="AG45" i="11" l="1"/>
  <c r="AH45" i="11" s="1"/>
  <c r="Y163" i="11"/>
  <c r="L420" i="34" s="1"/>
  <c r="K55" i="58"/>
  <c r="K56" i="58" s="1"/>
  <c r="L107" i="3"/>
  <c r="M30" i="8"/>
  <c r="N1594" i="6"/>
  <c r="N1629" i="6" s="1"/>
  <c r="N1631" i="6" s="1"/>
  <c r="N482" i="6"/>
  <c r="N490" i="6" s="1"/>
  <c r="M559" i="8"/>
  <c r="M29" i="8"/>
  <c r="K72" i="15"/>
  <c r="M358" i="8"/>
  <c r="J190" i="34"/>
  <c r="M83" i="8"/>
  <c r="M594" i="8"/>
  <c r="N747" i="6"/>
  <c r="AZ10" i="42"/>
  <c r="K104" i="15" s="1"/>
  <c r="M147" i="8"/>
  <c r="M595" i="8"/>
  <c r="M8" i="8" s="1"/>
  <c r="K6" i="17" s="1"/>
  <c r="Z155" i="11"/>
  <c r="Z163" i="11" s="1"/>
  <c r="O1976" i="6"/>
  <c r="Q680" i="6"/>
  <c r="Q16" i="6"/>
  <c r="Q48" i="6" s="1"/>
  <c r="K103" i="15"/>
  <c r="L224" i="15"/>
  <c r="K140" i="13"/>
  <c r="Y58" i="42"/>
  <c r="AI45" i="11" l="1"/>
  <c r="R908" i="7"/>
  <c r="L10" i="58"/>
  <c r="K109" i="15"/>
  <c r="K122" i="15" s="1"/>
  <c r="L230" i="15"/>
  <c r="M577" i="8"/>
  <c r="M151" i="8"/>
  <c r="O1980" i="6"/>
  <c r="O2019" i="6" s="1"/>
  <c r="O2021" i="6" s="1"/>
  <c r="O702" i="6"/>
  <c r="O705" i="6" s="1"/>
  <c r="M7" i="8"/>
  <c r="M10" i="8" s="1"/>
  <c r="M19" i="8" s="1"/>
  <c r="M23" i="8" s="1"/>
  <c r="M34" i="8" s="1"/>
  <c r="K6" i="16"/>
  <c r="M597" i="8"/>
  <c r="M606" i="8" s="1"/>
  <c r="Q2066" i="6"/>
  <c r="Q682" i="6"/>
  <c r="AZ14" i="42"/>
  <c r="AZ26" i="42" s="1"/>
  <c r="M576" i="8"/>
  <c r="M86" i="8"/>
  <c r="N511" i="6"/>
  <c r="N13" i="6"/>
  <c r="K290" i="15"/>
  <c r="K343" i="34"/>
  <c r="K98" i="17"/>
  <c r="K100" i="17" s="1"/>
  <c r="K102" i="17" s="1"/>
  <c r="K104" i="17" s="1"/>
  <c r="K116" i="17" s="1"/>
  <c r="K8" i="17"/>
  <c r="K13" i="17" s="1"/>
  <c r="AI87" i="10" l="1"/>
  <c r="R355" i="7"/>
  <c r="L11" i="58"/>
  <c r="L13" i="58" s="1"/>
  <c r="K120" i="15"/>
  <c r="M579" i="8"/>
  <c r="M608" i="8" s="1"/>
  <c r="K333" i="34"/>
  <c r="K389" i="34" s="1"/>
  <c r="AZ36" i="42"/>
  <c r="AZ56" i="42" s="1"/>
  <c r="J89" i="42"/>
  <c r="K100" i="16"/>
  <c r="K102" i="16" s="1"/>
  <c r="K104" i="16" s="1"/>
  <c r="K106" i="16" s="1"/>
  <c r="K8" i="16"/>
  <c r="AL10" i="42"/>
  <c r="K241" i="15"/>
  <c r="M161" i="8"/>
  <c r="K128" i="3" s="1"/>
  <c r="M567" i="8"/>
  <c r="K20" i="17"/>
  <c r="K47" i="17" s="1"/>
  <c r="K342" i="34"/>
  <c r="K344" i="34" s="1"/>
  <c r="K178" i="34" s="1"/>
  <c r="N2063" i="6"/>
  <c r="N2069" i="6" s="1"/>
  <c r="N513" i="6"/>
  <c r="AF231" i="10"/>
  <c r="Q2046" i="6"/>
  <c r="M566" i="8"/>
  <c r="M97" i="8"/>
  <c r="K127" i="3" s="1"/>
  <c r="O17" i="6"/>
  <c r="O49" i="6" s="1"/>
  <c r="O734" i="6"/>
  <c r="N45" i="6"/>
  <c r="N19" i="6"/>
  <c r="K292" i="15"/>
  <c r="K297" i="15" s="1"/>
  <c r="AK87" i="10" l="1"/>
  <c r="AK103" i="10" s="1"/>
  <c r="AJ45" i="11" s="1"/>
  <c r="AK45" i="11" s="1"/>
  <c r="AI103" i="10"/>
  <c r="L36" i="58"/>
  <c r="L38" i="58" s="1"/>
  <c r="L43" i="58" s="1"/>
  <c r="L51" i="58"/>
  <c r="K129" i="3"/>
  <c r="K337" i="34"/>
  <c r="K566" i="34"/>
  <c r="K574" i="34" s="1"/>
  <c r="K575" i="34" s="1"/>
  <c r="K255" i="34" s="1"/>
  <c r="M569" i="8"/>
  <c r="M581" i="8" s="1"/>
  <c r="M586" i="8" s="1"/>
  <c r="K397" i="34"/>
  <c r="K506" i="34"/>
  <c r="K510" i="34" s="1"/>
  <c r="K511" i="34" s="1"/>
  <c r="K235" i="34" s="1"/>
  <c r="K394" i="34"/>
  <c r="Q1955" i="6"/>
  <c r="AH231" i="10"/>
  <c r="K179" i="34"/>
  <c r="K243" i="15"/>
  <c r="K320" i="15"/>
  <c r="K241" i="3"/>
  <c r="O2067" i="6"/>
  <c r="O736" i="6"/>
  <c r="K51" i="17"/>
  <c r="K88" i="34"/>
  <c r="K73" i="15"/>
  <c r="AL14" i="42"/>
  <c r="AL26" i="42" s="1"/>
  <c r="N51" i="6"/>
  <c r="L15" i="3" s="1"/>
  <c r="K26" i="13"/>
  <c r="N2043" i="6"/>
  <c r="N2049" i="6" s="1"/>
  <c r="N2071" i="6" s="1"/>
  <c r="N2077" i="6" s="1"/>
  <c r="W222" i="10"/>
  <c r="K13" i="16"/>
  <c r="K20" i="16" s="1"/>
  <c r="K47" i="16" s="1"/>
  <c r="K118" i="16"/>
  <c r="R687" i="6" l="1"/>
  <c r="R690" i="6" s="1"/>
  <c r="R1960" i="6"/>
  <c r="AG151" i="11"/>
  <c r="AH151" i="11" s="1"/>
  <c r="AI151" i="11" s="1"/>
  <c r="AK151" i="11" s="1"/>
  <c r="K398" i="34"/>
  <c r="K192" i="34" s="1"/>
  <c r="K193" i="34" s="1"/>
  <c r="O2047" i="6"/>
  <c r="Z238" i="10"/>
  <c r="K274" i="15"/>
  <c r="K83" i="16"/>
  <c r="K85" i="16" s="1"/>
  <c r="K51" i="16"/>
  <c r="K47" i="34"/>
  <c r="K78" i="15"/>
  <c r="K248" i="15"/>
  <c r="K236" i="34"/>
  <c r="K28" i="13"/>
  <c r="K33" i="13" s="1"/>
  <c r="K648" i="34"/>
  <c r="K650" i="34" s="1"/>
  <c r="K265" i="34" s="1"/>
  <c r="K92" i="34"/>
  <c r="W240" i="10"/>
  <c r="N1637" i="6"/>
  <c r="Y222" i="10"/>
  <c r="N56" i="6"/>
  <c r="J88" i="42"/>
  <c r="AL36" i="42"/>
  <c r="AL56" i="42" s="1"/>
  <c r="K117" i="17"/>
  <c r="K121" i="17" s="1"/>
  <c r="K123" i="17" s="1"/>
  <c r="K94" i="3" s="1"/>
  <c r="AZ59" i="42"/>
  <c r="AZ58" i="42" s="1"/>
  <c r="AZ62" i="42" s="1"/>
  <c r="K323" i="15"/>
  <c r="Q686" i="6"/>
  <c r="Q690" i="6" s="1"/>
  <c r="Q1960" i="6"/>
  <c r="N519" i="6" l="1"/>
  <c r="N1642" i="6"/>
  <c r="K89" i="15"/>
  <c r="K91" i="15"/>
  <c r="K240" i="3" s="1"/>
  <c r="K319" i="34"/>
  <c r="K51" i="34"/>
  <c r="K642" i="34"/>
  <c r="K644" i="34" s="1"/>
  <c r="K263" i="34" s="1"/>
  <c r="O2026" i="6"/>
  <c r="AB238" i="10"/>
  <c r="AA155" i="11" s="1"/>
  <c r="AA163" i="11" s="1"/>
  <c r="AL59" i="42"/>
  <c r="K119" i="16"/>
  <c r="K123" i="16" s="1"/>
  <c r="K125" i="16" s="1"/>
  <c r="K93" i="3" s="1"/>
  <c r="K271" i="15"/>
  <c r="K169" i="15" s="1"/>
  <c r="K325" i="15"/>
  <c r="K328" i="15"/>
  <c r="N390" i="8" s="1"/>
  <c r="Y240" i="10"/>
  <c r="X142" i="11"/>
  <c r="K101" i="34"/>
  <c r="K116" i="34" s="1"/>
  <c r="K119" i="34" s="1"/>
  <c r="K121" i="34" s="1"/>
  <c r="K450" i="34"/>
  <c r="K276" i="15"/>
  <c r="K279" i="15"/>
  <c r="N194" i="8" s="1"/>
  <c r="L47" i="58" l="1"/>
  <c r="L54" i="58"/>
  <c r="AL58" i="42"/>
  <c r="J58" i="42" s="1"/>
  <c r="L87" i="13"/>
  <c r="M106" i="3" s="1"/>
  <c r="AB155" i="11"/>
  <c r="L55" i="58" s="1"/>
  <c r="K675" i="34"/>
  <c r="K280" i="34" s="1"/>
  <c r="K437" i="34"/>
  <c r="K281" i="15"/>
  <c r="O742" i="6"/>
  <c r="M101" i="3" s="1"/>
  <c r="O2030" i="6"/>
  <c r="K452" i="34"/>
  <c r="K456" i="34" s="1"/>
  <c r="K461" i="34" s="1"/>
  <c r="K275" i="34" s="1"/>
  <c r="K676" i="34"/>
  <c r="K281" i="34" s="1"/>
  <c r="K330" i="15"/>
  <c r="K435" i="34"/>
  <c r="K60" i="34"/>
  <c r="K75" i="34" s="1"/>
  <c r="K78" i="34" s="1"/>
  <c r="K80" i="34" s="1"/>
  <c r="X157" i="11"/>
  <c r="Y142" i="11"/>
  <c r="K552" i="34"/>
  <c r="K559" i="34" s="1"/>
  <c r="K376" i="34"/>
  <c r="K323" i="34"/>
  <c r="N62" i="6"/>
  <c r="L39" i="3" s="1"/>
  <c r="N524" i="6"/>
  <c r="L122" i="3" s="1"/>
  <c r="L56" i="58" l="1"/>
  <c r="AB163" i="11"/>
  <c r="M420" i="34" s="1"/>
  <c r="P1976" i="6"/>
  <c r="M107" i="3"/>
  <c r="K441" i="34"/>
  <c r="K446" i="34" s="1"/>
  <c r="K273" i="34" s="1"/>
  <c r="AL62" i="42"/>
  <c r="N67" i="6"/>
  <c r="O1587" i="6"/>
  <c r="Z142" i="11"/>
  <c r="N402" i="8"/>
  <c r="N546" i="8" s="1"/>
  <c r="N550" i="8" s="1"/>
  <c r="N110" i="8"/>
  <c r="O747" i="6"/>
  <c r="L140" i="13"/>
  <c r="M224" i="15"/>
  <c r="Z58" i="42"/>
  <c r="K329" i="34"/>
  <c r="K328" i="34"/>
  <c r="K175" i="15"/>
  <c r="N201" i="8"/>
  <c r="N346" i="8" s="1"/>
  <c r="N349" i="8" s="1"/>
  <c r="N47" i="8"/>
  <c r="AC155" i="11"/>
  <c r="AC163" i="11" s="1"/>
  <c r="K384" i="34"/>
  <c r="K381" i="34"/>
  <c r="K494" i="34"/>
  <c r="K498" i="34" s="1"/>
  <c r="K499" i="34" s="1"/>
  <c r="K232" i="34" s="1"/>
  <c r="K405" i="34"/>
  <c r="M10" i="58" l="1"/>
  <c r="M11" i="58" s="1"/>
  <c r="P1980" i="6"/>
  <c r="P2019" i="6" s="1"/>
  <c r="P2021" i="6" s="1"/>
  <c r="P702" i="6"/>
  <c r="P705" i="6" s="1"/>
  <c r="K330" i="34"/>
  <c r="K175" i="34" s="1"/>
  <c r="K176" i="34" s="1"/>
  <c r="K233" i="34"/>
  <c r="K385" i="34"/>
  <c r="K189" i="34" s="1"/>
  <c r="M230" i="15"/>
  <c r="O1594" i="6"/>
  <c r="O1629" i="6" s="1"/>
  <c r="O1631" i="6" s="1"/>
  <c r="O482" i="6"/>
  <c r="O490" i="6" s="1"/>
  <c r="N50" i="8"/>
  <c r="AM9" i="42"/>
  <c r="N555" i="8"/>
  <c r="N156" i="8" s="1"/>
  <c r="N556" i="8"/>
  <c r="N157" i="8" s="1"/>
  <c r="N113" i="8"/>
  <c r="BA9" i="42"/>
  <c r="N354" i="8"/>
  <c r="N92" i="8" s="1"/>
  <c r="N355" i="8"/>
  <c r="N93" i="8" s="1"/>
  <c r="P1587" i="6"/>
  <c r="M13" i="58" l="1"/>
  <c r="M51" i="58" s="1"/>
  <c r="P734" i="6"/>
  <c r="P17" i="6"/>
  <c r="P49" i="6" s="1"/>
  <c r="N30" i="8"/>
  <c r="N29" i="8"/>
  <c r="N358" i="8"/>
  <c r="N559" i="8"/>
  <c r="L103" i="15"/>
  <c r="L72" i="15"/>
  <c r="K190" i="34"/>
  <c r="P1594" i="6"/>
  <c r="P1629" i="6" s="1"/>
  <c r="P1631" i="6" s="1"/>
  <c r="P482" i="6"/>
  <c r="P490" i="6" s="1"/>
  <c r="O13" i="6"/>
  <c r="O511" i="6"/>
  <c r="BA10" i="42"/>
  <c r="L104" i="15" s="1"/>
  <c r="N147" i="8"/>
  <c r="N595" i="8"/>
  <c r="N8" i="8" s="1"/>
  <c r="L6" i="17" s="1"/>
  <c r="N83" i="8"/>
  <c r="N594" i="8"/>
  <c r="M36" i="58" l="1"/>
  <c r="M38" i="58" s="1"/>
  <c r="M43" i="58" s="1"/>
  <c r="P2067" i="6"/>
  <c r="P736" i="6"/>
  <c r="BA14" i="42"/>
  <c r="BA26" i="42" s="1"/>
  <c r="N7" i="8"/>
  <c r="N10" i="8" s="1"/>
  <c r="N19" i="8" s="1"/>
  <c r="N23" i="8" s="1"/>
  <c r="N34" i="8" s="1"/>
  <c r="L6" i="16"/>
  <c r="N597" i="8"/>
  <c r="N606" i="8" s="1"/>
  <c r="O2063" i="6"/>
  <c r="O2069" i="6" s="1"/>
  <c r="O513" i="6"/>
  <c r="L343" i="34"/>
  <c r="L290" i="15"/>
  <c r="L98" i="17"/>
  <c r="L100" i="17" s="1"/>
  <c r="L102" i="17" s="1"/>
  <c r="L104" i="17" s="1"/>
  <c r="L116" i="17" s="1"/>
  <c r="L8" i="17"/>
  <c r="L13" i="17" s="1"/>
  <c r="O45" i="6"/>
  <c r="O19" i="6"/>
  <c r="P511" i="6"/>
  <c r="P13" i="6"/>
  <c r="N86" i="8"/>
  <c r="N576" i="8"/>
  <c r="N577" i="8"/>
  <c r="N151" i="8"/>
  <c r="L109" i="15"/>
  <c r="AC238" i="10" l="1"/>
  <c r="P2047" i="6"/>
  <c r="N566" i="8"/>
  <c r="N97" i="8"/>
  <c r="L127" i="3" s="1"/>
  <c r="N579" i="8"/>
  <c r="N608" i="8" s="1"/>
  <c r="O51" i="6"/>
  <c r="M15" i="3" s="1"/>
  <c r="L26" i="13"/>
  <c r="L292" i="15"/>
  <c r="L297" i="15" s="1"/>
  <c r="O2043" i="6"/>
  <c r="O2049" i="6" s="1"/>
  <c r="O2071" i="6" s="1"/>
  <c r="O2077" i="6" s="1"/>
  <c r="Z222" i="10"/>
  <c r="P45" i="6"/>
  <c r="P19" i="6"/>
  <c r="L342" i="34"/>
  <c r="L344" i="34" s="1"/>
  <c r="L178" i="34" s="1"/>
  <c r="L20" i="17"/>
  <c r="L47" i="17" s="1"/>
  <c r="L122" i="15"/>
  <c r="L120" i="15"/>
  <c r="L333" i="34"/>
  <c r="N161" i="8"/>
  <c r="L128" i="3" s="1"/>
  <c r="N567" i="8"/>
  <c r="P2063" i="6"/>
  <c r="P2069" i="6" s="1"/>
  <c r="P513" i="6"/>
  <c r="AM10" i="42"/>
  <c r="L241" i="15"/>
  <c r="L100" i="16"/>
  <c r="L102" i="16" s="1"/>
  <c r="L104" i="16" s="1"/>
  <c r="L106" i="16" s="1"/>
  <c r="L8" i="16"/>
  <c r="BA36" i="42"/>
  <c r="BA56" i="42" s="1"/>
  <c r="K89" i="42"/>
  <c r="AE238" i="10" l="1"/>
  <c r="AD155" i="11" s="1"/>
  <c r="P2026" i="6"/>
  <c r="L129" i="3"/>
  <c r="Z240" i="10"/>
  <c r="O1637" i="6"/>
  <c r="AB222" i="10"/>
  <c r="L73" i="15"/>
  <c r="AM14" i="42"/>
  <c r="AM26" i="42" s="1"/>
  <c r="AC222" i="10"/>
  <c r="P2043" i="6"/>
  <c r="P2049" i="6" s="1"/>
  <c r="P2071" i="6" s="1"/>
  <c r="P2077" i="6" s="1"/>
  <c r="L337" i="34"/>
  <c r="L566" i="34"/>
  <c r="L574" i="34" s="1"/>
  <c r="L575" i="34" s="1"/>
  <c r="L255" i="34" s="1"/>
  <c r="L389" i="34"/>
  <c r="P51" i="6"/>
  <c r="N15" i="3" s="1"/>
  <c r="M26" i="13"/>
  <c r="L243" i="15"/>
  <c r="L241" i="3"/>
  <c r="L320" i="15"/>
  <c r="L51" i="17"/>
  <c r="L88" i="34"/>
  <c r="L28" i="13"/>
  <c r="L33" i="13" s="1"/>
  <c r="N569" i="8"/>
  <c r="N581" i="8" s="1"/>
  <c r="N586" i="8" s="1"/>
  <c r="L118" i="16"/>
  <c r="L13" i="16"/>
  <c r="L20" i="16" s="1"/>
  <c r="L47" i="16" s="1"/>
  <c r="L179" i="34"/>
  <c r="O56" i="6"/>
  <c r="P742" i="6" l="1"/>
  <c r="P2030" i="6"/>
  <c r="AD163" i="11"/>
  <c r="AE155" i="11"/>
  <c r="M55" i="58" s="1"/>
  <c r="O519" i="6"/>
  <c r="O1642" i="6"/>
  <c r="L274" i="15"/>
  <c r="L51" i="16"/>
  <c r="L83" i="16"/>
  <c r="L85" i="16" s="1"/>
  <c r="L47" i="34"/>
  <c r="P56" i="6"/>
  <c r="AB240" i="10"/>
  <c r="AA142" i="11"/>
  <c r="L92" i="34"/>
  <c r="L648" i="34"/>
  <c r="L650" i="34" s="1"/>
  <c r="L265" i="34" s="1"/>
  <c r="L248" i="15"/>
  <c r="L323" i="15"/>
  <c r="AM36" i="42"/>
  <c r="AM56" i="42" s="1"/>
  <c r="K88" i="42"/>
  <c r="BA59" i="42"/>
  <c r="BA58" i="42" s="1"/>
  <c r="BA62" i="42" s="1"/>
  <c r="L117" i="17"/>
  <c r="L121" i="17" s="1"/>
  <c r="L123" i="17" s="1"/>
  <c r="L94" i="3" s="1"/>
  <c r="M28" i="13"/>
  <c r="M33" i="13" s="1"/>
  <c r="L397" i="34"/>
  <c r="L506" i="34"/>
  <c r="L510" i="34" s="1"/>
  <c r="L511" i="34" s="1"/>
  <c r="L235" i="34" s="1"/>
  <c r="L394" i="34"/>
  <c r="AC240" i="10"/>
  <c r="AE222" i="10"/>
  <c r="P1637" i="6"/>
  <c r="L78" i="15"/>
  <c r="M47" i="58" l="1"/>
  <c r="M54" i="58"/>
  <c r="M87" i="13"/>
  <c r="N101" i="3"/>
  <c r="P747" i="6"/>
  <c r="AE163" i="11"/>
  <c r="Q1976" i="6"/>
  <c r="AF155" i="11"/>
  <c r="R1976" i="6" s="1"/>
  <c r="L398" i="34"/>
  <c r="L192" i="34" s="1"/>
  <c r="L193" i="34" s="1"/>
  <c r="AE240" i="10"/>
  <c r="AD142" i="11"/>
  <c r="L236" i="34"/>
  <c r="L271" i="15"/>
  <c r="L169" i="15" s="1"/>
  <c r="L101" i="34"/>
  <c r="L116" i="34" s="1"/>
  <c r="L119" i="34" s="1"/>
  <c r="L121" i="34" s="1"/>
  <c r="L450" i="34"/>
  <c r="AM59" i="42"/>
  <c r="L119" i="16"/>
  <c r="L123" i="16" s="1"/>
  <c r="L125" i="16" s="1"/>
  <c r="L93" i="3" s="1"/>
  <c r="L91" i="15"/>
  <c r="L240" i="3" s="1"/>
  <c r="L89" i="15"/>
  <c r="L319" i="34"/>
  <c r="AA157" i="11"/>
  <c r="Q1587" i="6"/>
  <c r="AB142" i="11"/>
  <c r="L276" i="15"/>
  <c r="L279" i="15"/>
  <c r="O194" i="8" s="1"/>
  <c r="O62" i="6"/>
  <c r="M39" i="3" s="1"/>
  <c r="O524" i="6"/>
  <c r="M122" i="3" s="1"/>
  <c r="P519" i="6"/>
  <c r="P1642" i="6"/>
  <c r="L325" i="15"/>
  <c r="L328" i="15"/>
  <c r="O390" i="8" s="1"/>
  <c r="L642" i="34"/>
  <c r="L644" i="34" s="1"/>
  <c r="L263" i="34" s="1"/>
  <c r="L51" i="34"/>
  <c r="N420" i="34" l="1"/>
  <c r="R1587" i="6"/>
  <c r="R702" i="6"/>
  <c r="R705" i="6" s="1"/>
  <c r="O10" i="58"/>
  <c r="O11" i="58" s="1"/>
  <c r="O13" i="58" s="1"/>
  <c r="O36" i="58" s="1"/>
  <c r="O38" i="58" s="1"/>
  <c r="O43" i="58" s="1"/>
  <c r="O47" i="58" s="1"/>
  <c r="R1980" i="6"/>
  <c r="R2019" i="6" s="1"/>
  <c r="R2021" i="6" s="1"/>
  <c r="N10" i="58"/>
  <c r="N11" i="58" s="1"/>
  <c r="N13" i="58" s="1"/>
  <c r="M56" i="58"/>
  <c r="AF163" i="11"/>
  <c r="Q1980" i="6"/>
  <c r="Q2019" i="6" s="1"/>
  <c r="Q2021" i="6" s="1"/>
  <c r="Q702" i="6"/>
  <c r="Q705" i="6" s="1"/>
  <c r="N106" i="3"/>
  <c r="N107" i="3" s="1"/>
  <c r="AA58" i="42"/>
  <c r="N224" i="15"/>
  <c r="N230" i="15" s="1"/>
  <c r="M140" i="13"/>
  <c r="AD157" i="11"/>
  <c r="L452" i="34"/>
  <c r="L456" i="34" s="1"/>
  <c r="L461" i="34" s="1"/>
  <c r="L275" i="34" s="1"/>
  <c r="L676" i="34"/>
  <c r="L281" i="34" s="1"/>
  <c r="L330" i="15"/>
  <c r="L552" i="34"/>
  <c r="L559" i="34" s="1"/>
  <c r="L323" i="34"/>
  <c r="L376" i="34"/>
  <c r="AM58" i="42"/>
  <c r="O67" i="6"/>
  <c r="L60" i="34"/>
  <c r="L75" i="34" s="1"/>
  <c r="L78" i="34" s="1"/>
  <c r="L80" i="34" s="1"/>
  <c r="L435" i="34"/>
  <c r="L281" i="15"/>
  <c r="L437" i="34"/>
  <c r="L675" i="34"/>
  <c r="L280" i="34" s="1"/>
  <c r="AC142" i="11"/>
  <c r="P62" i="6"/>
  <c r="N39" i="3" s="1"/>
  <c r="P524" i="6"/>
  <c r="N122" i="3" s="1"/>
  <c r="Q1594" i="6"/>
  <c r="Q1629" i="6" s="1"/>
  <c r="Q1631" i="6" s="1"/>
  <c r="Q482" i="6"/>
  <c r="Q490" i="6" s="1"/>
  <c r="R17" i="6" l="1"/>
  <c r="R49" i="6" s="1"/>
  <c r="R734" i="6"/>
  <c r="R482" i="6"/>
  <c r="R490" i="6" s="1"/>
  <c r="R1594" i="6"/>
  <c r="R1629" i="6" s="1"/>
  <c r="R1631" i="6" s="1"/>
  <c r="O51" i="58"/>
  <c r="N36" i="58"/>
  <c r="N38" i="58" s="1"/>
  <c r="N43" i="58" s="1"/>
  <c r="N51" i="58"/>
  <c r="Q17" i="6"/>
  <c r="Q49" i="6" s="1"/>
  <c r="Q734" i="6"/>
  <c r="Q511" i="6"/>
  <c r="Q13" i="6"/>
  <c r="O201" i="8"/>
  <c r="O346" i="8" s="1"/>
  <c r="O349" i="8" s="1"/>
  <c r="O47" i="8"/>
  <c r="L441" i="34"/>
  <c r="L446" i="34" s="1"/>
  <c r="L273" i="34" s="1"/>
  <c r="L329" i="34"/>
  <c r="L328" i="34"/>
  <c r="AE142" i="11"/>
  <c r="L175" i="15"/>
  <c r="K58" i="42"/>
  <c r="AM62" i="42"/>
  <c r="P67" i="6"/>
  <c r="L405" i="34"/>
  <c r="L384" i="34"/>
  <c r="L381" i="34"/>
  <c r="L494" i="34"/>
  <c r="L498" i="34" s="1"/>
  <c r="L499" i="34" s="1"/>
  <c r="L232" i="34" s="1"/>
  <c r="O402" i="8"/>
  <c r="O546" i="8" s="1"/>
  <c r="O550" i="8" s="1"/>
  <c r="O110" i="8"/>
  <c r="R2067" i="6" l="1"/>
  <c r="R736" i="6"/>
  <c r="AI238" i="10" s="1"/>
  <c r="R13" i="6"/>
  <c r="R511" i="6"/>
  <c r="Q2067" i="6"/>
  <c r="Q736" i="6"/>
  <c r="L385" i="34"/>
  <c r="L189" i="34" s="1"/>
  <c r="L190" i="34" s="1"/>
  <c r="L233" i="34"/>
  <c r="O50" i="8"/>
  <c r="AN9" i="42"/>
  <c r="Q2063" i="6"/>
  <c r="Q513" i="6"/>
  <c r="O355" i="8"/>
  <c r="O93" i="8" s="1"/>
  <c r="O354" i="8"/>
  <c r="O92" i="8" s="1"/>
  <c r="O113" i="8"/>
  <c r="BB9" i="42"/>
  <c r="AF142" i="11"/>
  <c r="L330" i="34"/>
  <c r="L175" i="34" s="1"/>
  <c r="O555" i="8"/>
  <c r="O156" i="8" s="1"/>
  <c r="O556" i="8"/>
  <c r="O157" i="8" s="1"/>
  <c r="Q45" i="6"/>
  <c r="Q19" i="6"/>
  <c r="AK238" i="10" l="1"/>
  <c r="AJ155" i="11" s="1"/>
  <c r="AJ163" i="11" s="1"/>
  <c r="O87" i="13" s="1"/>
  <c r="R2026" i="6"/>
  <c r="R742" i="6" s="1"/>
  <c r="R45" i="6"/>
  <c r="R19" i="6"/>
  <c r="R2047" i="6"/>
  <c r="R513" i="6"/>
  <c r="AI222" i="10" s="1"/>
  <c r="R1637" i="6" s="1"/>
  <c r="R519" i="6" s="1"/>
  <c r="R2063" i="6"/>
  <c r="Q2069" i="6"/>
  <c r="AF238" i="10"/>
  <c r="Q2047" i="6"/>
  <c r="O358" i="8"/>
  <c r="O30" i="8"/>
  <c r="M72" i="15"/>
  <c r="Q51" i="6"/>
  <c r="O15" i="3" s="1"/>
  <c r="N26" i="13"/>
  <c r="L176" i="34"/>
  <c r="M103" i="15"/>
  <c r="BB10" i="42"/>
  <c r="M104" i="15" s="1"/>
  <c r="O147" i="8"/>
  <c r="O595" i="8"/>
  <c r="O8" i="8" s="1"/>
  <c r="M6" i="17" s="1"/>
  <c r="O83" i="8"/>
  <c r="O594" i="8"/>
  <c r="O559" i="8"/>
  <c r="O29" i="8"/>
  <c r="Q2043" i="6"/>
  <c r="AF222" i="10"/>
  <c r="R62" i="6" l="1"/>
  <c r="P39" i="3" s="1"/>
  <c r="AK222" i="10"/>
  <c r="AI240" i="10"/>
  <c r="O26" i="13"/>
  <c r="R2043" i="6"/>
  <c r="Q2049" i="6"/>
  <c r="Q2071" i="6" s="1"/>
  <c r="Q2077" i="6" s="1"/>
  <c r="Q2026" i="6"/>
  <c r="AH238" i="10"/>
  <c r="AF240" i="10"/>
  <c r="Q1637" i="6"/>
  <c r="AH222" i="10"/>
  <c r="O151" i="8"/>
  <c r="O577" i="8"/>
  <c r="BB14" i="42"/>
  <c r="BB26" i="42" s="1"/>
  <c r="N28" i="13"/>
  <c r="N33" i="13" s="1"/>
  <c r="Q56" i="6"/>
  <c r="O86" i="8"/>
  <c r="O576" i="8"/>
  <c r="O597" i="8"/>
  <c r="O606" i="8" s="1"/>
  <c r="M6" i="16"/>
  <c r="O7" i="8"/>
  <c r="O10" i="8" s="1"/>
  <c r="O19" i="8" s="1"/>
  <c r="O23" i="8" s="1"/>
  <c r="O34" i="8" s="1"/>
  <c r="M343" i="34"/>
  <c r="M98" i="17"/>
  <c r="M100" i="17" s="1"/>
  <c r="M102" i="17" s="1"/>
  <c r="M104" i="17" s="1"/>
  <c r="M116" i="17" s="1"/>
  <c r="M290" i="15"/>
  <c r="M8" i="17"/>
  <c r="M13" i="17" s="1"/>
  <c r="M109" i="15"/>
  <c r="AJ142" i="11" l="1"/>
  <c r="AJ157" i="11" s="1"/>
  <c r="AK240" i="10"/>
  <c r="R743" i="6"/>
  <c r="R2030" i="6"/>
  <c r="R520" i="6"/>
  <c r="R1642" i="6"/>
  <c r="AG155" i="11"/>
  <c r="AG163" i="11" s="1"/>
  <c r="N87" i="13" s="1"/>
  <c r="Q742" i="6"/>
  <c r="Q2030" i="6"/>
  <c r="O579" i="8"/>
  <c r="O608" i="8" s="1"/>
  <c r="AG142" i="11"/>
  <c r="AH240" i="10"/>
  <c r="M292" i="15"/>
  <c r="M297" i="15" s="1"/>
  <c r="AN10" i="42"/>
  <c r="M8" i="16"/>
  <c r="M100" i="16"/>
  <c r="M102" i="16" s="1"/>
  <c r="M104" i="16" s="1"/>
  <c r="M106" i="16" s="1"/>
  <c r="M241" i="15"/>
  <c r="O97" i="8"/>
  <c r="M127" i="3" s="1"/>
  <c r="O566" i="8"/>
  <c r="L89" i="42"/>
  <c r="BB36" i="42"/>
  <c r="BB56" i="42" s="1"/>
  <c r="Q519" i="6"/>
  <c r="Q1642" i="6"/>
  <c r="M120" i="15"/>
  <c r="M122" i="15"/>
  <c r="M333" i="34"/>
  <c r="M20" i="17"/>
  <c r="M47" i="17" s="1"/>
  <c r="M342" i="34"/>
  <c r="M344" i="34" s="1"/>
  <c r="M178" i="34" s="1"/>
  <c r="O567" i="8"/>
  <c r="O161" i="8"/>
  <c r="M128" i="3" s="1"/>
  <c r="AH155" i="11" l="1"/>
  <c r="AI155" i="11" s="1"/>
  <c r="O55" i="58" s="1"/>
  <c r="R63" i="6"/>
  <c r="R524" i="6"/>
  <c r="P101" i="3"/>
  <c r="R747" i="6"/>
  <c r="N47" i="58"/>
  <c r="N54" i="58"/>
  <c r="O54" i="58" s="1"/>
  <c r="O101" i="3"/>
  <c r="Q747" i="6"/>
  <c r="O106" i="3"/>
  <c r="O224" i="15"/>
  <c r="O230" i="15" s="1"/>
  <c r="AB58" i="42"/>
  <c r="N140" i="13"/>
  <c r="M129" i="3"/>
  <c r="Q62" i="6"/>
  <c r="O39" i="3" s="1"/>
  <c r="Q524" i="6"/>
  <c r="M179" i="34"/>
  <c r="M243" i="15"/>
  <c r="M320" i="15"/>
  <c r="M241" i="3"/>
  <c r="AG157" i="11"/>
  <c r="AH142" i="11"/>
  <c r="AI142" i="11" s="1"/>
  <c r="M51" i="17"/>
  <c r="M88" i="34"/>
  <c r="M118" i="16"/>
  <c r="M13" i="16"/>
  <c r="M20" i="16" s="1"/>
  <c r="M47" i="16" s="1"/>
  <c r="O569" i="8"/>
  <c r="O581" i="8" s="1"/>
  <c r="O586" i="8" s="1"/>
  <c r="M337" i="34"/>
  <c r="M566" i="34"/>
  <c r="M574" i="34" s="1"/>
  <c r="M575" i="34" s="1"/>
  <c r="M255" i="34" s="1"/>
  <c r="M389" i="34"/>
  <c r="M73" i="15"/>
  <c r="AN14" i="42"/>
  <c r="AN26" i="42" s="1"/>
  <c r="N55" i="58" l="1"/>
  <c r="N56" i="58" s="1"/>
  <c r="AH163" i="11"/>
  <c r="O56" i="58"/>
  <c r="AI163" i="11"/>
  <c r="AK155" i="11"/>
  <c r="AK163" i="11" s="1"/>
  <c r="O140" i="13"/>
  <c r="AK142" i="11"/>
  <c r="P47" i="3"/>
  <c r="O122" i="3"/>
  <c r="O107" i="3"/>
  <c r="M397" i="34"/>
  <c r="M394" i="34"/>
  <c r="M506" i="34"/>
  <c r="M510" i="34" s="1"/>
  <c r="M511" i="34" s="1"/>
  <c r="M235" i="34" s="1"/>
  <c r="L88" i="42"/>
  <c r="AN36" i="42"/>
  <c r="AN56" i="42" s="1"/>
  <c r="M323" i="15"/>
  <c r="Q67" i="6"/>
  <c r="M78" i="15"/>
  <c r="M83" i="16"/>
  <c r="M85" i="16" s="1"/>
  <c r="M274" i="15"/>
  <c r="M51" i="16"/>
  <c r="M47" i="34"/>
  <c r="M92" i="34"/>
  <c r="M648" i="34"/>
  <c r="M650" i="34" s="1"/>
  <c r="M265" i="34" s="1"/>
  <c r="M248" i="15"/>
  <c r="BB59" i="42"/>
  <c r="BB58" i="42" s="1"/>
  <c r="BB62" i="42" s="1"/>
  <c r="M117" i="17"/>
  <c r="M121" i="17" s="1"/>
  <c r="M123" i="17" s="1"/>
  <c r="M94" i="3" s="1"/>
  <c r="P420" i="34" l="1"/>
  <c r="AC58" i="42"/>
  <c r="O420" i="34"/>
  <c r="P224" i="15"/>
  <c r="P230" i="15" s="1"/>
  <c r="P106" i="3"/>
  <c r="P107" i="3" s="1"/>
  <c r="M398" i="34"/>
  <c r="M192" i="34" s="1"/>
  <c r="M193" i="34" s="1"/>
  <c r="M276" i="15"/>
  <c r="M279" i="15"/>
  <c r="P194" i="8" s="1"/>
  <c r="M271" i="15"/>
  <c r="M169" i="15" s="1"/>
  <c r="M450" i="34"/>
  <c r="M101" i="34"/>
  <c r="M116" i="34" s="1"/>
  <c r="M119" i="34" s="1"/>
  <c r="M121" i="34" s="1"/>
  <c r="M51" i="34"/>
  <c r="M642" i="34"/>
  <c r="M644" i="34" s="1"/>
  <c r="M263" i="34" s="1"/>
  <c r="M91" i="15"/>
  <c r="M240" i="3" s="1"/>
  <c r="M89" i="15"/>
  <c r="M319" i="34"/>
  <c r="M236" i="34"/>
  <c r="AN59" i="42"/>
  <c r="M119" i="16"/>
  <c r="M123" i="16" s="1"/>
  <c r="M125" i="16" s="1"/>
  <c r="M93" i="3" s="1"/>
  <c r="M325" i="15"/>
  <c r="M328" i="15"/>
  <c r="P390" i="8" s="1"/>
  <c r="M435" i="34" l="1"/>
  <c r="M60" i="34"/>
  <c r="M75" i="34" s="1"/>
  <c r="M78" i="34" s="1"/>
  <c r="M80" i="34" s="1"/>
  <c r="AN58" i="42"/>
  <c r="M437" i="34"/>
  <c r="M281" i="15"/>
  <c r="M675" i="34"/>
  <c r="M280" i="34" s="1"/>
  <c r="M676" i="34"/>
  <c r="M281" i="34" s="1"/>
  <c r="M452" i="34"/>
  <c r="M456" i="34" s="1"/>
  <c r="M461" i="34" s="1"/>
  <c r="M275" i="34" s="1"/>
  <c r="M330" i="15"/>
  <c r="M552" i="34"/>
  <c r="M559" i="34" s="1"/>
  <c r="M376" i="34"/>
  <c r="M323" i="34"/>
  <c r="M384" i="34" l="1"/>
  <c r="M494" i="34"/>
  <c r="M498" i="34" s="1"/>
  <c r="M499" i="34" s="1"/>
  <c r="M232" i="34" s="1"/>
  <c r="M381" i="34"/>
  <c r="M405" i="34"/>
  <c r="P201" i="8"/>
  <c r="P346" i="8" s="1"/>
  <c r="P349" i="8" s="1"/>
  <c r="P47" i="8"/>
  <c r="M441" i="34"/>
  <c r="M446" i="34" s="1"/>
  <c r="M273" i="34" s="1"/>
  <c r="P402" i="8"/>
  <c r="P546" i="8" s="1"/>
  <c r="P550" i="8" s="1"/>
  <c r="P110" i="8"/>
  <c r="M329" i="34"/>
  <c r="M328" i="34"/>
  <c r="M175" i="15"/>
  <c r="L58" i="42"/>
  <c r="AN62" i="42"/>
  <c r="M385" i="34" l="1"/>
  <c r="M189" i="34" s="1"/>
  <c r="M190" i="34" s="1"/>
  <c r="M330" i="34"/>
  <c r="M175" i="34" s="1"/>
  <c r="M176" i="34" s="1"/>
  <c r="P354" i="8"/>
  <c r="P92" i="8" s="1"/>
  <c r="P355" i="8"/>
  <c r="P93" i="8" s="1"/>
  <c r="P556" i="8"/>
  <c r="P157" i="8" s="1"/>
  <c r="P555" i="8"/>
  <c r="P156" i="8" s="1"/>
  <c r="BC9" i="42"/>
  <c r="P113" i="8"/>
  <c r="M233" i="34"/>
  <c r="P50" i="8"/>
  <c r="AO9" i="42"/>
  <c r="P30" i="8" l="1"/>
  <c r="N103" i="15"/>
  <c r="P358" i="8"/>
  <c r="P83" i="8"/>
  <c r="P594" i="8"/>
  <c r="N72" i="15"/>
  <c r="P559" i="8"/>
  <c r="P29" i="8"/>
  <c r="P147" i="8"/>
  <c r="BC10" i="42"/>
  <c r="N104" i="15" s="1"/>
  <c r="P595" i="8"/>
  <c r="P8" i="8" s="1"/>
  <c r="N6" i="17" s="1"/>
  <c r="BC14" i="42" l="1"/>
  <c r="BC26" i="42" s="1"/>
  <c r="N98" i="17"/>
  <c r="N100" i="17" s="1"/>
  <c r="N102" i="17" s="1"/>
  <c r="N104" i="17" s="1"/>
  <c r="N116" i="17" s="1"/>
  <c r="N343" i="34"/>
  <c r="N290" i="15"/>
  <c r="N8" i="17"/>
  <c r="N13" i="17" s="1"/>
  <c r="N342" i="34" s="1"/>
  <c r="P7" i="8"/>
  <c r="P10" i="8" s="1"/>
  <c r="P19" i="8" s="1"/>
  <c r="P23" i="8" s="1"/>
  <c r="P34" i="8" s="1"/>
  <c r="P597" i="8"/>
  <c r="P606" i="8" s="1"/>
  <c r="N6" i="16"/>
  <c r="P86" i="8"/>
  <c r="P576" i="8"/>
  <c r="P577" i="8"/>
  <c r="P151" i="8"/>
  <c r="N109" i="15"/>
  <c r="P579" i="8" l="1"/>
  <c r="P608" i="8" s="1"/>
  <c r="P567" i="8"/>
  <c r="P161" i="8"/>
  <c r="N128" i="3" s="1"/>
  <c r="AO10" i="42"/>
  <c r="N241" i="15"/>
  <c r="N100" i="16"/>
  <c r="N102" i="16" s="1"/>
  <c r="N104" i="16" s="1"/>
  <c r="N106" i="16" s="1"/>
  <c r="N8" i="16"/>
  <c r="N292" i="15"/>
  <c r="N297" i="15" s="1"/>
  <c r="N122" i="15"/>
  <c r="N120" i="15"/>
  <c r="N333" i="34"/>
  <c r="P97" i="8"/>
  <c r="N127" i="3" s="1"/>
  <c r="P566" i="8"/>
  <c r="N344" i="34"/>
  <c r="N178" i="34" s="1"/>
  <c r="N20" i="17"/>
  <c r="N47" i="17" s="1"/>
  <c r="M89" i="42"/>
  <c r="BC36" i="42"/>
  <c r="BC56" i="42" s="1"/>
  <c r="P569" i="8" l="1"/>
  <c r="P581" i="8" s="1"/>
  <c r="P586" i="8" s="1"/>
  <c r="N129" i="3"/>
  <c r="N51" i="17"/>
  <c r="N88" i="34"/>
  <c r="N337" i="34"/>
  <c r="N389" i="34"/>
  <c r="N566" i="34"/>
  <c r="N574" i="34" s="1"/>
  <c r="N575" i="34" s="1"/>
  <c r="N255" i="34" s="1"/>
  <c r="N73" i="15"/>
  <c r="AO14" i="42"/>
  <c r="AO26" i="42" s="1"/>
  <c r="N179" i="34"/>
  <c r="N118" i="16"/>
  <c r="N13" i="16"/>
  <c r="N20" i="16" s="1"/>
  <c r="N47" i="16" s="1"/>
  <c r="N241" i="3"/>
  <c r="N320" i="15"/>
  <c r="N243" i="15"/>
  <c r="N51" i="16" l="1"/>
  <c r="N274" i="15"/>
  <c r="N83" i="16"/>
  <c r="N85" i="16" s="1"/>
  <c r="N47" i="34"/>
  <c r="M88" i="42"/>
  <c r="AO36" i="42"/>
  <c r="AO56" i="42" s="1"/>
  <c r="N648" i="34"/>
  <c r="N650" i="34" s="1"/>
  <c r="N265" i="34" s="1"/>
  <c r="N92" i="34"/>
  <c r="N248" i="15"/>
  <c r="N323" i="15"/>
  <c r="N117" i="17"/>
  <c r="N121" i="17" s="1"/>
  <c r="N123" i="17" s="1"/>
  <c r="N94" i="3" s="1"/>
  <c r="BC59" i="42"/>
  <c r="BC58" i="42" s="1"/>
  <c r="BC62" i="42" s="1"/>
  <c r="N78" i="15"/>
  <c r="N397" i="34"/>
  <c r="N506" i="34"/>
  <c r="N510" i="34" s="1"/>
  <c r="N511" i="34" s="1"/>
  <c r="N235" i="34" s="1"/>
  <c r="N394" i="34"/>
  <c r="N398" i="34" l="1"/>
  <c r="N192" i="34" s="1"/>
  <c r="N271" i="15"/>
  <c r="N169" i="15" s="1"/>
  <c r="N642" i="34"/>
  <c r="N644" i="34" s="1"/>
  <c r="N263" i="34" s="1"/>
  <c r="N51" i="34"/>
  <c r="N89" i="15"/>
  <c r="N91" i="15"/>
  <c r="N240" i="3" s="1"/>
  <c r="N319" i="34"/>
  <c r="N276" i="15"/>
  <c r="N279" i="15"/>
  <c r="N236" i="34"/>
  <c r="N325" i="15"/>
  <c r="N328" i="15"/>
  <c r="N101" i="34"/>
  <c r="N116" i="34" s="1"/>
  <c r="N119" i="34" s="1"/>
  <c r="N121" i="34" s="1"/>
  <c r="N450" i="34"/>
  <c r="N119" i="16"/>
  <c r="N123" i="16" s="1"/>
  <c r="N125" i="16" s="1"/>
  <c r="N93" i="3" s="1"/>
  <c r="AO59" i="42"/>
  <c r="N193" i="34" l="1"/>
  <c r="N452" i="34"/>
  <c r="N456" i="34" s="1"/>
  <c r="N461" i="34" s="1"/>
  <c r="N275" i="34" s="1"/>
  <c r="N330" i="15"/>
  <c r="N676" i="34"/>
  <c r="N281" i="34" s="1"/>
  <c r="Q390" i="8"/>
  <c r="N281" i="15"/>
  <c r="N437" i="34"/>
  <c r="N675" i="34"/>
  <c r="N280" i="34" s="1"/>
  <c r="Q194" i="8"/>
  <c r="AO58" i="42"/>
  <c r="N552" i="34"/>
  <c r="N559" i="34" s="1"/>
  <c r="N376" i="34"/>
  <c r="N323" i="34"/>
  <c r="N435" i="34"/>
  <c r="N60" i="34"/>
  <c r="N75" i="34" s="1"/>
  <c r="N78" i="34" s="1"/>
  <c r="N80" i="34" s="1"/>
  <c r="N405" i="34" l="1"/>
  <c r="N441" i="34"/>
  <c r="N446" i="34" s="1"/>
  <c r="N273" i="34" s="1"/>
  <c r="N384" i="34"/>
  <c r="N381" i="34"/>
  <c r="N494" i="34"/>
  <c r="N498" i="34" s="1"/>
  <c r="N499" i="34" s="1"/>
  <c r="N232" i="34" s="1"/>
  <c r="N329" i="34"/>
  <c r="N328" i="34"/>
  <c r="M58" i="42"/>
  <c r="AO62" i="42"/>
  <c r="Q201" i="8"/>
  <c r="Q346" i="8" s="1"/>
  <c r="Q349" i="8" s="1"/>
  <c r="Q47" i="8"/>
  <c r="N175" i="15"/>
  <c r="Q110" i="8"/>
  <c r="Q402" i="8"/>
  <c r="Q546" i="8" s="1"/>
  <c r="Q550" i="8" s="1"/>
  <c r="N385" i="34" l="1"/>
  <c r="N189" i="34" s="1"/>
  <c r="N330" i="34"/>
  <c r="N175" i="34" s="1"/>
  <c r="Q555" i="8"/>
  <c r="Q156" i="8" s="1"/>
  <c r="Q556" i="8"/>
  <c r="Q157" i="8" s="1"/>
  <c r="AP9" i="42"/>
  <c r="Q50" i="8"/>
  <c r="BD9" i="42"/>
  <c r="Q113" i="8"/>
  <c r="Q354" i="8"/>
  <c r="Q92" i="8" s="1"/>
  <c r="Q355" i="8"/>
  <c r="Q93" i="8" s="1"/>
  <c r="N233" i="34"/>
  <c r="N176" i="34" l="1"/>
  <c r="N190" i="34"/>
  <c r="Q29" i="8"/>
  <c r="Q30" i="8"/>
  <c r="Q559" i="8"/>
  <c r="Q358" i="8"/>
  <c r="Q594" i="8"/>
  <c r="Q83" i="8"/>
  <c r="Q595" i="8"/>
  <c r="Q8" i="8" s="1"/>
  <c r="O6" i="17" s="1"/>
  <c r="O343" i="34" s="1"/>
  <c r="Q147" i="8"/>
  <c r="BD10" i="42"/>
  <c r="O104" i="15" s="1"/>
  <c r="O72" i="15"/>
  <c r="O103" i="15"/>
  <c r="O98" i="17" l="1"/>
  <c r="O100" i="17" s="1"/>
  <c r="O102" i="17" s="1"/>
  <c r="O104" i="17" s="1"/>
  <c r="O116" i="17" s="1"/>
  <c r="O8" i="17"/>
  <c r="O13" i="17" s="1"/>
  <c r="O290" i="15"/>
  <c r="Q7" i="8"/>
  <c r="Q10" i="8" s="1"/>
  <c r="Q19" i="8" s="1"/>
  <c r="Q23" i="8" s="1"/>
  <c r="Q34" i="8" s="1"/>
  <c r="Q597" i="8"/>
  <c r="Q606" i="8" s="1"/>
  <c r="O6" i="16"/>
  <c r="O109" i="15"/>
  <c r="BD14" i="42"/>
  <c r="BD26" i="42" s="1"/>
  <c r="Q577" i="8"/>
  <c r="Q151" i="8"/>
  <c r="Q576" i="8"/>
  <c r="Q86" i="8"/>
  <c r="O20" i="17" l="1"/>
  <c r="O47" i="17" s="1"/>
  <c r="O342" i="34"/>
  <c r="O344" i="34" s="1"/>
  <c r="O178" i="34" s="1"/>
  <c r="Q579" i="8"/>
  <c r="Q608" i="8" s="1"/>
  <c r="Q567" i="8"/>
  <c r="Q161" i="8"/>
  <c r="O128" i="3" s="1"/>
  <c r="Q566" i="8"/>
  <c r="Q97" i="8"/>
  <c r="O127" i="3" s="1"/>
  <c r="O100" i="16"/>
  <c r="O102" i="16" s="1"/>
  <c r="O104" i="16" s="1"/>
  <c r="O106" i="16" s="1"/>
  <c r="AP10" i="42"/>
  <c r="O241" i="15"/>
  <c r="O8" i="16"/>
  <c r="BD36" i="42"/>
  <c r="BD56" i="42" s="1"/>
  <c r="N89" i="42"/>
  <c r="O122" i="15"/>
  <c r="O120" i="15"/>
  <c r="O333" i="34"/>
  <c r="O292" i="15"/>
  <c r="O297" i="15" s="1"/>
  <c r="O51" i="17" l="1"/>
  <c r="O117" i="17" s="1"/>
  <c r="O121" i="17" s="1"/>
  <c r="O123" i="17" s="1"/>
  <c r="O94" i="3" s="1"/>
  <c r="O88" i="34"/>
  <c r="O179" i="34"/>
  <c r="O129" i="3"/>
  <c r="Q569" i="8"/>
  <c r="Q581" i="8" s="1"/>
  <c r="Q586" i="8" s="1"/>
  <c r="O337" i="34"/>
  <c r="O389" i="34"/>
  <c r="O566" i="34"/>
  <c r="O574" i="34" s="1"/>
  <c r="O575" i="34" s="1"/>
  <c r="O255" i="34" s="1"/>
  <c r="O243" i="15"/>
  <c r="O73" i="15"/>
  <c r="AP14" i="42"/>
  <c r="AP26" i="42" s="1"/>
  <c r="O241" i="3"/>
  <c r="O320" i="15"/>
  <c r="O118" i="16"/>
  <c r="O13" i="16"/>
  <c r="O20" i="16" s="1"/>
  <c r="O47" i="16" s="1"/>
  <c r="BD59" i="42" l="1"/>
  <c r="BD58" i="42" s="1"/>
  <c r="BD62" i="42" s="1"/>
  <c r="N88" i="42"/>
  <c r="AP36" i="42"/>
  <c r="AP56" i="42" s="1"/>
  <c r="O323" i="15"/>
  <c r="O78" i="15"/>
  <c r="O397" i="34"/>
  <c r="O394" i="34"/>
  <c r="O506" i="34"/>
  <c r="O510" i="34" s="1"/>
  <c r="O511" i="34" s="1"/>
  <c r="O235" i="34" s="1"/>
  <c r="O83" i="16"/>
  <c r="O85" i="16" s="1"/>
  <c r="O274" i="15"/>
  <c r="O279" i="15" s="1"/>
  <c r="O51" i="16"/>
  <c r="O248" i="15"/>
  <c r="O236" i="34" l="1"/>
  <c r="AP59" i="42"/>
  <c r="O119" i="16"/>
  <c r="O123" i="16" s="1"/>
  <c r="O125" i="16" s="1"/>
  <c r="O325" i="15"/>
  <c r="O328" i="15"/>
  <c r="O276" i="15"/>
  <c r="R194" i="8"/>
  <c r="O398" i="34"/>
  <c r="O192" i="34" s="1"/>
  <c r="O91" i="15"/>
  <c r="O240" i="3" s="1"/>
  <c r="O89" i="15"/>
  <c r="O319" i="34"/>
  <c r="O271" i="15"/>
  <c r="O169" i="15" s="1"/>
  <c r="R47" i="8" l="1"/>
  <c r="R201" i="8"/>
  <c r="R346" i="8" s="1"/>
  <c r="R349" i="8" s="1"/>
  <c r="R390" i="8"/>
  <c r="O193" i="34"/>
  <c r="O552" i="34"/>
  <c r="O559" i="34" s="1"/>
  <c r="O560" i="34" s="1"/>
  <c r="O253" i="34" s="1"/>
  <c r="O376" i="34"/>
  <c r="O323" i="34"/>
  <c r="O676" i="34"/>
  <c r="O281" i="34" s="1"/>
  <c r="O330" i="15"/>
  <c r="O452" i="34"/>
  <c r="O675" i="34"/>
  <c r="O280" i="34" s="1"/>
  <c r="O437" i="34"/>
  <c r="O281" i="15"/>
  <c r="AP58" i="42"/>
  <c r="O405" i="34" l="1"/>
  <c r="R50" i="8"/>
  <c r="R594" i="8" s="1"/>
  <c r="R7" i="8" s="1"/>
  <c r="AQ9" i="42"/>
  <c r="R354" i="8"/>
  <c r="R92" i="8" s="1"/>
  <c r="R355" i="8"/>
  <c r="R93" i="8" s="1"/>
  <c r="R110" i="8"/>
  <c r="R402" i="8"/>
  <c r="R546" i="8" s="1"/>
  <c r="R550" i="8" s="1"/>
  <c r="N58" i="42"/>
  <c r="AP62" i="42"/>
  <c r="O384" i="34"/>
  <c r="O381" i="34"/>
  <c r="O494" i="34"/>
  <c r="O498" i="34" s="1"/>
  <c r="O499" i="34" s="1"/>
  <c r="O232" i="34" s="1"/>
  <c r="O329" i="34"/>
  <c r="O328" i="34"/>
  <c r="O175" i="15"/>
  <c r="R83" i="8" l="1"/>
  <c r="R86" i="8" s="1"/>
  <c r="R113" i="8"/>
  <c r="R595" i="8" s="1"/>
  <c r="BE9" i="42"/>
  <c r="P103" i="15" s="1"/>
  <c r="R358" i="8"/>
  <c r="R556" i="8"/>
  <c r="R157" i="8" s="1"/>
  <c r="R30" i="8" s="1"/>
  <c r="R555" i="8"/>
  <c r="R156" i="8" s="1"/>
  <c r="R29" i="8" s="1"/>
  <c r="P72" i="15"/>
  <c r="O233" i="34"/>
  <c r="O330" i="34"/>
  <c r="O175" i="34" s="1"/>
  <c r="O385" i="34"/>
  <c r="O189" i="34" s="1"/>
  <c r="R576" i="8" l="1"/>
  <c r="R147" i="8"/>
  <c r="R151" i="8" s="1"/>
  <c r="BE10" i="42"/>
  <c r="BE14" i="42" s="1"/>
  <c r="BE26" i="42" s="1"/>
  <c r="BE36" i="42" s="1"/>
  <c r="BE56" i="42" s="1"/>
  <c r="R566" i="8"/>
  <c r="R97" i="8"/>
  <c r="R559" i="8"/>
  <c r="R8" i="8"/>
  <c r="R10" i="8" s="1"/>
  <c r="R19" i="8" s="1"/>
  <c r="R23" i="8" s="1"/>
  <c r="R34" i="8" s="1"/>
  <c r="R597" i="8"/>
  <c r="R606" i="8" s="1"/>
  <c r="P6" i="16"/>
  <c r="AQ10" i="42" s="1"/>
  <c r="AQ14" i="42" s="1"/>
  <c r="AQ26" i="42" s="1"/>
  <c r="AQ36" i="42" s="1"/>
  <c r="AQ56" i="42" s="1"/>
  <c r="O190" i="34"/>
  <c r="O176" i="34"/>
  <c r="G44" i="11"/>
  <c r="Z159" i="9"/>
  <c r="R577" i="8" l="1"/>
  <c r="R579" i="8" s="1"/>
  <c r="R608" i="8" s="1"/>
  <c r="P104" i="15"/>
  <c r="P109" i="15" s="1"/>
  <c r="P333" i="34" s="1"/>
  <c r="P241" i="15"/>
  <c r="P243" i="15" s="1"/>
  <c r="P248" i="15" s="1"/>
  <c r="P271" i="15" s="1"/>
  <c r="R567" i="8"/>
  <c r="R569" i="8" s="1"/>
  <c r="R581" i="8" s="1"/>
  <c r="R161" i="8"/>
  <c r="P128" i="3" s="1"/>
  <c r="O89" i="42"/>
  <c r="O87" i="42" s="1"/>
  <c r="P8" i="16"/>
  <c r="P100" i="16"/>
  <c r="P102" i="16" s="1"/>
  <c r="P104" i="16" s="1"/>
  <c r="P106" i="16" s="1"/>
  <c r="P6" i="17"/>
  <c r="P127" i="3"/>
  <c r="F46" i="11"/>
  <c r="F61" i="11" s="1"/>
  <c r="I907" i="7"/>
  <c r="H57" i="10" s="1"/>
  <c r="G46" i="11"/>
  <c r="G61" i="11" s="1"/>
  <c r="H44" i="11"/>
  <c r="H46" i="11" s="1"/>
  <c r="H61" i="11" s="1"/>
  <c r="R586" i="8" l="1"/>
  <c r="P122" i="15"/>
  <c r="P120" i="15"/>
  <c r="P73" i="15"/>
  <c r="P78" i="15" s="1"/>
  <c r="P343" i="34"/>
  <c r="P290" i="15"/>
  <c r="P292" i="15" s="1"/>
  <c r="P297" i="15" s="1"/>
  <c r="P320" i="15" s="1"/>
  <c r="P337" i="34"/>
  <c r="P389" i="34"/>
  <c r="P566" i="34"/>
  <c r="P574" i="34" s="1"/>
  <c r="P575" i="34" s="1"/>
  <c r="P255" i="34" s="1"/>
  <c r="P129" i="3"/>
  <c r="P13" i="16"/>
  <c r="P20" i="16" s="1"/>
  <c r="P47" i="16" s="1"/>
  <c r="P274" i="15" s="1"/>
  <c r="P118" i="16"/>
  <c r="P8" i="17"/>
  <c r="P13" i="17" s="1"/>
  <c r="P342" i="34" s="1"/>
  <c r="P344" i="34" s="1"/>
  <c r="P178" i="34" s="1"/>
  <c r="P179" i="34" s="1"/>
  <c r="P98" i="17"/>
  <c r="P100" i="17" s="1"/>
  <c r="P102" i="17" s="1"/>
  <c r="P104" i="17" s="1"/>
  <c r="P116" i="17" s="1"/>
  <c r="J57" i="10"/>
  <c r="H84" i="10"/>
  <c r="I354" i="7"/>
  <c r="I360" i="7" s="1"/>
  <c r="I913" i="7"/>
  <c r="I999" i="7" s="1"/>
  <c r="I1003" i="7" s="1"/>
  <c r="T9" i="42"/>
  <c r="P241" i="3" l="1"/>
  <c r="P323" i="15"/>
  <c r="P169" i="15"/>
  <c r="P279" i="15"/>
  <c r="P276" i="15"/>
  <c r="P394" i="34"/>
  <c r="P506" i="34"/>
  <c r="P510" i="34" s="1"/>
  <c r="P511" i="34" s="1"/>
  <c r="P235" i="34" s="1"/>
  <c r="P236" i="34" s="1"/>
  <c r="P397" i="34"/>
  <c r="P319" i="34"/>
  <c r="P91" i="15"/>
  <c r="P240" i="3" s="1"/>
  <c r="P89" i="15"/>
  <c r="P51" i="16"/>
  <c r="AQ59" i="42" s="1"/>
  <c r="AQ58" i="42" s="1"/>
  <c r="AQ62" i="42" s="1"/>
  <c r="P83" i="16"/>
  <c r="P85" i="16" s="1"/>
  <c r="O47" i="34"/>
  <c r="P47" i="34" s="1"/>
  <c r="P20" i="17"/>
  <c r="P47" i="17" s="1"/>
  <c r="P88" i="34" s="1"/>
  <c r="I1007" i="7"/>
  <c r="I403" i="7" s="1"/>
  <c r="I52" i="7" s="1"/>
  <c r="G37" i="3" s="1"/>
  <c r="G53" i="3" s="1"/>
  <c r="H122" i="10"/>
  <c r="H242" i="10" s="1"/>
  <c r="G41" i="3" s="1"/>
  <c r="J84" i="10"/>
  <c r="I44" i="11" s="1"/>
  <c r="F9" i="42"/>
  <c r="F71" i="42" s="1"/>
  <c r="G41" i="15"/>
  <c r="G10" i="15" s="1"/>
  <c r="T71" i="42"/>
  <c r="I394" i="7"/>
  <c r="I13" i="7"/>
  <c r="P134" i="42"/>
  <c r="P398" i="34" l="1"/>
  <c r="P192" i="34" s="1"/>
  <c r="P193" i="34" s="1"/>
  <c r="P642" i="34"/>
  <c r="P644" i="34" s="1"/>
  <c r="P263" i="34" s="1"/>
  <c r="P51" i="34"/>
  <c r="P325" i="15"/>
  <c r="P328" i="15"/>
  <c r="P552" i="34"/>
  <c r="P559" i="34" s="1"/>
  <c r="P560" i="34" s="1"/>
  <c r="P253" i="34" s="1"/>
  <c r="P323" i="34"/>
  <c r="P376" i="34"/>
  <c r="P675" i="34"/>
  <c r="P280" i="34" s="1"/>
  <c r="P437" i="34"/>
  <c r="P281" i="15"/>
  <c r="P119" i="16"/>
  <c r="P123" i="16" s="1"/>
  <c r="P125" i="16" s="1"/>
  <c r="O93" i="3" s="1"/>
  <c r="O51" i="34"/>
  <c r="O642" i="34"/>
  <c r="O644" i="34" s="1"/>
  <c r="O263" i="34" s="1"/>
  <c r="P51" i="17"/>
  <c r="BE59" i="42" s="1"/>
  <c r="BE58" i="42" s="1"/>
  <c r="I1011" i="7"/>
  <c r="G195" i="3" s="1"/>
  <c r="G42" i="3"/>
  <c r="J44" i="11"/>
  <c r="J122" i="10"/>
  <c r="J242" i="10" s="1"/>
  <c r="H245" i="10" s="1"/>
  <c r="I398" i="7"/>
  <c r="I1214" i="7"/>
  <c r="I1217" i="7" s="1"/>
  <c r="P136" i="42"/>
  <c r="R134" i="42"/>
  <c r="I37" i="7"/>
  <c r="I16" i="7"/>
  <c r="O58" i="42" l="1"/>
  <c r="BE62" i="42"/>
  <c r="P330" i="15"/>
  <c r="P452" i="34"/>
  <c r="P676" i="34"/>
  <c r="P281" i="34" s="1"/>
  <c r="P494" i="34"/>
  <c r="P498" i="34" s="1"/>
  <c r="P499" i="34" s="1"/>
  <c r="P232" i="34" s="1"/>
  <c r="P233" i="34" s="1"/>
  <c r="P381" i="34"/>
  <c r="P384" i="34"/>
  <c r="P329" i="34"/>
  <c r="P328" i="34"/>
  <c r="P60" i="34"/>
  <c r="P75" i="34" s="1"/>
  <c r="P78" i="34" s="1"/>
  <c r="P80" i="34" s="1"/>
  <c r="P435" i="34"/>
  <c r="P441" i="34" s="1"/>
  <c r="P446" i="34" s="1"/>
  <c r="P273" i="34" s="1"/>
  <c r="P648" i="34"/>
  <c r="P650" i="34" s="1"/>
  <c r="P265" i="34" s="1"/>
  <c r="P92" i="34"/>
  <c r="P117" i="17"/>
  <c r="P121" i="17" s="1"/>
  <c r="P123" i="17" s="1"/>
  <c r="P94" i="3" s="1"/>
  <c r="O435" i="34"/>
  <c r="O441" i="34" s="1"/>
  <c r="O446" i="34" s="1"/>
  <c r="O273" i="34" s="1"/>
  <c r="O60" i="34"/>
  <c r="O75" i="34" s="1"/>
  <c r="O78" i="34" s="1"/>
  <c r="O80" i="34" s="1"/>
  <c r="O648" i="34"/>
  <c r="O650" i="34" s="1"/>
  <c r="O265" i="34" s="1"/>
  <c r="O92" i="34"/>
  <c r="I46" i="11"/>
  <c r="J46" i="11"/>
  <c r="J61" i="11" s="1"/>
  <c r="J907" i="7"/>
  <c r="K57" i="10" s="1"/>
  <c r="M57" i="10" s="1"/>
  <c r="K44" i="11"/>
  <c r="K46" i="11" s="1"/>
  <c r="K61" i="11" s="1"/>
  <c r="F86" i="13"/>
  <c r="G55" i="3" s="1"/>
  <c r="G56" i="3" s="1"/>
  <c r="P138" i="42"/>
  <c r="R136" i="42"/>
  <c r="I40" i="7"/>
  <c r="G13" i="3" s="1"/>
  <c r="F8" i="13"/>
  <c r="I408" i="7"/>
  <c r="G120" i="3" s="1"/>
  <c r="I1198" i="7"/>
  <c r="I1201" i="7" s="1"/>
  <c r="I1219" i="7" s="1"/>
  <c r="I1227" i="7" s="1"/>
  <c r="P175" i="15" l="1"/>
  <c r="P405" i="34"/>
  <c r="P330" i="34"/>
  <c r="P175" i="34" s="1"/>
  <c r="P176" i="34" s="1"/>
  <c r="P385" i="34"/>
  <c r="P189" i="34" s="1"/>
  <c r="P190" i="34" s="1"/>
  <c r="P450" i="34"/>
  <c r="P456" i="34" s="1"/>
  <c r="P461" i="34" s="1"/>
  <c r="P275" i="34" s="1"/>
  <c r="P101" i="34"/>
  <c r="P116" i="34" s="1"/>
  <c r="P119" i="34" s="1"/>
  <c r="P121" i="34" s="1"/>
  <c r="O450" i="34"/>
  <c r="O456" i="34" s="1"/>
  <c r="O461" i="34" s="1"/>
  <c r="O275" i="34" s="1"/>
  <c r="O101" i="34"/>
  <c r="O116" i="34" s="1"/>
  <c r="O119" i="34" s="1"/>
  <c r="O121" i="34" s="1"/>
  <c r="U9" i="42"/>
  <c r="H41" i="15" s="1"/>
  <c r="J354" i="7"/>
  <c r="J360" i="7" s="1"/>
  <c r="J13" i="7" s="1"/>
  <c r="K84" i="10"/>
  <c r="K122" i="10" s="1"/>
  <c r="K242" i="10" s="1"/>
  <c r="J913" i="7"/>
  <c r="J999" i="7" s="1"/>
  <c r="J1003" i="7" s="1"/>
  <c r="I61" i="11"/>
  <c r="I159" i="11" s="1"/>
  <c r="G220" i="3" s="1"/>
  <c r="G223" i="15"/>
  <c r="G168" i="15" s="1"/>
  <c r="T59" i="42"/>
  <c r="F59" i="42" s="1"/>
  <c r="F139" i="13"/>
  <c r="M84" i="10"/>
  <c r="L44" i="11" s="1"/>
  <c r="F10" i="13"/>
  <c r="F15" i="13" s="1"/>
  <c r="F44" i="13"/>
  <c r="I46" i="7"/>
  <c r="I57" i="7" s="1"/>
  <c r="P144" i="42"/>
  <c r="J394" i="7" l="1"/>
  <c r="J398" i="7" s="1"/>
  <c r="G9" i="42"/>
  <c r="G71" i="42" s="1"/>
  <c r="U71" i="42"/>
  <c r="J1007" i="7"/>
  <c r="J403" i="7" s="1"/>
  <c r="J52" i="7" s="1"/>
  <c r="H37" i="3" s="1"/>
  <c r="H53" i="3" s="1"/>
  <c r="M122" i="10"/>
  <c r="M242" i="10" s="1"/>
  <c r="K245" i="10" s="1"/>
  <c r="F116" i="13"/>
  <c r="G187" i="15"/>
  <c r="T10" i="42"/>
  <c r="H41" i="3"/>
  <c r="J37" i="7"/>
  <c r="J16" i="7"/>
  <c r="H10" i="15"/>
  <c r="J1214" i="7" l="1"/>
  <c r="J1217" i="7" s="1"/>
  <c r="J1011" i="7"/>
  <c r="H195" i="3" s="1"/>
  <c r="H42" i="3"/>
  <c r="F10" i="42"/>
  <c r="T73" i="42"/>
  <c r="T74" i="42" s="1"/>
  <c r="G42" i="15"/>
  <c r="T14" i="42"/>
  <c r="G132" i="15"/>
  <c r="G807" i="34"/>
  <c r="G86" i="13"/>
  <c r="H55" i="3" s="1"/>
  <c r="H56" i="3" s="1"/>
  <c r="J408" i="7"/>
  <c r="J1198" i="7"/>
  <c r="J1201" i="7" s="1"/>
  <c r="J1219" i="7" s="1"/>
  <c r="L46" i="11"/>
  <c r="M44" i="11"/>
  <c r="G8" i="13"/>
  <c r="J40" i="7"/>
  <c r="H13" i="3" s="1"/>
  <c r="J1227" i="7" l="1"/>
  <c r="H120" i="3"/>
  <c r="G11" i="15"/>
  <c r="G16" i="15" s="1"/>
  <c r="G47" i="15"/>
  <c r="T87" i="42"/>
  <c r="F73" i="42"/>
  <c r="F74" i="42" s="1"/>
  <c r="F14" i="42"/>
  <c r="L61" i="11"/>
  <c r="L159" i="11" s="1"/>
  <c r="H220" i="3" s="1"/>
  <c r="J46" i="7"/>
  <c r="J57" i="7" s="1"/>
  <c r="G139" i="13"/>
  <c r="U59" i="42"/>
  <c r="G59" i="42" s="1"/>
  <c r="H223" i="15"/>
  <c r="G10" i="13"/>
  <c r="G15" i="13" s="1"/>
  <c r="G44" i="13"/>
  <c r="M46" i="11"/>
  <c r="M61" i="11" s="1"/>
  <c r="K907" i="7"/>
  <c r="N57" i="10" s="1"/>
  <c r="N44" i="11"/>
  <c r="P57" i="10" l="1"/>
  <c r="N84" i="10"/>
  <c r="G302" i="34"/>
  <c r="G308" i="34" s="1"/>
  <c r="G287" i="34"/>
  <c r="G116" i="13"/>
  <c r="U10" i="42"/>
  <c r="H187" i="15"/>
  <c r="N46" i="11"/>
  <c r="N61" i="11" s="1"/>
  <c r="K913" i="7"/>
  <c r="K999" i="7" s="1"/>
  <c r="K1003" i="7" s="1"/>
  <c r="K354" i="7"/>
  <c r="K360" i="7" s="1"/>
  <c r="V9" i="42"/>
  <c r="H168" i="15"/>
  <c r="N122" i="10" l="1"/>
  <c r="N242" i="10" s="1"/>
  <c r="K1007" i="7"/>
  <c r="K403" i="7" s="1"/>
  <c r="K52" i="7" s="1"/>
  <c r="I37" i="3" s="1"/>
  <c r="P84" i="10"/>
  <c r="O44" i="11" s="1"/>
  <c r="G520" i="34"/>
  <c r="G350" i="34"/>
  <c r="G291" i="34"/>
  <c r="G536" i="34"/>
  <c r="G363" i="34"/>
  <c r="H9" i="42"/>
  <c r="V71" i="42"/>
  <c r="I41" i="15"/>
  <c r="U73" i="42"/>
  <c r="U74" i="42" s="1"/>
  <c r="G10" i="42"/>
  <c r="H42" i="15"/>
  <c r="U14" i="42"/>
  <c r="K394" i="7"/>
  <c r="K13" i="7"/>
  <c r="H807" i="34"/>
  <c r="H132" i="15"/>
  <c r="P122" i="10" l="1"/>
  <c r="P242" i="10" s="1"/>
  <c r="N245" i="10" s="1"/>
  <c r="I53" i="3"/>
  <c r="G297" i="34"/>
  <c r="G315" i="34"/>
  <c r="G470" i="34"/>
  <c r="G474" i="34" s="1"/>
  <c r="G358" i="34"/>
  <c r="G355" i="34"/>
  <c r="G368" i="34"/>
  <c r="G371" i="34"/>
  <c r="G482" i="34"/>
  <c r="G486" i="34" s="1"/>
  <c r="G73" i="42"/>
  <c r="G74" i="42" s="1"/>
  <c r="G14" i="42"/>
  <c r="K1011" i="7"/>
  <c r="U87" i="42"/>
  <c r="I41" i="3"/>
  <c r="I42" i="3" s="1"/>
  <c r="K37" i="7"/>
  <c r="K16" i="7"/>
  <c r="H71" i="42"/>
  <c r="K1214" i="7"/>
  <c r="K1217" i="7" s="1"/>
  <c r="K398" i="7"/>
  <c r="H11" i="15"/>
  <c r="H16" i="15" s="1"/>
  <c r="H47" i="15"/>
  <c r="I10" i="15"/>
  <c r="G372" i="34" l="1"/>
  <c r="G359" i="34"/>
  <c r="G183" i="34" s="1"/>
  <c r="G248" i="3"/>
  <c r="H302" i="34"/>
  <c r="H308" i="34" s="1"/>
  <c r="O46" i="11"/>
  <c r="O61" i="11" s="1"/>
  <c r="O159" i="11" s="1"/>
  <c r="P44" i="11"/>
  <c r="H287" i="34"/>
  <c r="K408" i="7"/>
  <c r="I120" i="3" s="1"/>
  <c r="K1198" i="7"/>
  <c r="K1201" i="7" s="1"/>
  <c r="K1219" i="7" s="1"/>
  <c r="K1227" i="7" s="1"/>
  <c r="K40" i="7"/>
  <c r="I13" i="3" s="1"/>
  <c r="H8" i="13"/>
  <c r="I195" i="3"/>
  <c r="G791" i="34" l="1"/>
  <c r="G802" i="34" s="1"/>
  <c r="G826" i="34"/>
  <c r="G184" i="34"/>
  <c r="G186" i="34"/>
  <c r="G187" i="34" s="1"/>
  <c r="G816" i="34" s="1"/>
  <c r="G261" i="3" s="1"/>
  <c r="H10" i="13"/>
  <c r="H15" i="13" s="1"/>
  <c r="H44" i="13"/>
  <c r="P46" i="11"/>
  <c r="L907" i="7"/>
  <c r="Q57" i="10" s="1"/>
  <c r="Q44" i="11"/>
  <c r="H536" i="34"/>
  <c r="H363" i="34"/>
  <c r="H520" i="34"/>
  <c r="H291" i="34"/>
  <c r="H350" i="34"/>
  <c r="K46" i="7"/>
  <c r="K57" i="7" s="1"/>
  <c r="I220" i="3"/>
  <c r="H86" i="13"/>
  <c r="I55" i="3" s="1"/>
  <c r="I56" i="3" s="1"/>
  <c r="Q84" i="10" l="1"/>
  <c r="S57" i="10"/>
  <c r="Q46" i="11"/>
  <c r="Q61" i="11" s="1"/>
  <c r="P61" i="11"/>
  <c r="H315" i="34"/>
  <c r="L913" i="7"/>
  <c r="L999" i="7" s="1"/>
  <c r="L1003" i="7" s="1"/>
  <c r="L354" i="7"/>
  <c r="L360" i="7" s="1"/>
  <c r="W9" i="42"/>
  <c r="V10" i="42"/>
  <c r="H116" i="13"/>
  <c r="I187" i="15"/>
  <c r="H297" i="34"/>
  <c r="H139" i="13"/>
  <c r="V59" i="42"/>
  <c r="H59" i="42" s="1"/>
  <c r="I223" i="15"/>
  <c r="H358" i="34"/>
  <c r="H470" i="34"/>
  <c r="H474" i="34" s="1"/>
  <c r="H355" i="34"/>
  <c r="H371" i="34"/>
  <c r="H368" i="34"/>
  <c r="H482" i="34"/>
  <c r="H486" i="34" s="1"/>
  <c r="Q122" i="10" l="1"/>
  <c r="Q242" i="10" s="1"/>
  <c r="L1007" i="7"/>
  <c r="L403" i="7" s="1"/>
  <c r="L52" i="7" s="1"/>
  <c r="J37" i="3" s="1"/>
  <c r="S84" i="10"/>
  <c r="R44" i="11" s="1"/>
  <c r="H372" i="34"/>
  <c r="I168" i="15"/>
  <c r="L394" i="7"/>
  <c r="L13" i="7"/>
  <c r="I42" i="15"/>
  <c r="V73" i="42"/>
  <c r="V74" i="42" s="1"/>
  <c r="H10" i="42"/>
  <c r="V14" i="42"/>
  <c r="H248" i="3"/>
  <c r="H359" i="34"/>
  <c r="H183" i="34" s="1"/>
  <c r="I807" i="34"/>
  <c r="I132" i="15"/>
  <c r="W71" i="42"/>
  <c r="I9" i="42"/>
  <c r="J41" i="15"/>
  <c r="S122" i="10" l="1"/>
  <c r="S242" i="10" s="1"/>
  <c r="Q245" i="10" s="1"/>
  <c r="H186" i="34"/>
  <c r="H187" i="34" s="1"/>
  <c r="H816" i="34" s="1"/>
  <c r="H261" i="3" s="1"/>
  <c r="H826" i="34"/>
  <c r="J53" i="3"/>
  <c r="H791" i="34"/>
  <c r="H802" i="34" s="1"/>
  <c r="J41" i="3"/>
  <c r="J42" i="3" s="1"/>
  <c r="H73" i="42"/>
  <c r="H74" i="42" s="1"/>
  <c r="H14" i="42"/>
  <c r="V87" i="42"/>
  <c r="L37" i="7"/>
  <c r="L16" i="7"/>
  <c r="J10" i="15"/>
  <c r="H184" i="34"/>
  <c r="L1011" i="7"/>
  <c r="I11" i="15"/>
  <c r="I16" i="15" s="1"/>
  <c r="I47" i="15"/>
  <c r="L1214" i="7"/>
  <c r="L1217" i="7" s="1"/>
  <c r="L398" i="7"/>
  <c r="I71" i="42"/>
  <c r="I302" i="34" l="1"/>
  <c r="I308" i="34" s="1"/>
  <c r="R46" i="11"/>
  <c r="R61" i="11" s="1"/>
  <c r="R159" i="11" s="1"/>
  <c r="S44" i="11"/>
  <c r="I287" i="34"/>
  <c r="L408" i="7"/>
  <c r="J120" i="3" s="1"/>
  <c r="L1198" i="7"/>
  <c r="L1201" i="7" s="1"/>
  <c r="L1219" i="7" s="1"/>
  <c r="L1227" i="7" s="1"/>
  <c r="J195" i="3"/>
  <c r="L40" i="7"/>
  <c r="J13" i="3" s="1"/>
  <c r="I8" i="13"/>
  <c r="J220" i="3" l="1"/>
  <c r="I86" i="13"/>
  <c r="J55" i="3" s="1"/>
  <c r="J56" i="3" s="1"/>
  <c r="S46" i="11"/>
  <c r="S61" i="11" s="1"/>
  <c r="M907" i="7"/>
  <c r="T44" i="11"/>
  <c r="I536" i="34"/>
  <c r="I363" i="34"/>
  <c r="L46" i="7"/>
  <c r="L57" i="7" s="1"/>
  <c r="I520" i="34"/>
  <c r="I350" i="34"/>
  <c r="I291" i="34"/>
  <c r="I10" i="13"/>
  <c r="I15" i="13" s="1"/>
  <c r="I44" i="13"/>
  <c r="I358" i="34" l="1"/>
  <c r="I470" i="34"/>
  <c r="I474" i="34" s="1"/>
  <c r="I355" i="34"/>
  <c r="I371" i="34"/>
  <c r="I482" i="34"/>
  <c r="I486" i="34" s="1"/>
  <c r="I368" i="34"/>
  <c r="T57" i="10"/>
  <c r="M913" i="7"/>
  <c r="M999" i="7" s="1"/>
  <c r="M1003" i="7" s="1"/>
  <c r="M354" i="7"/>
  <c r="M360" i="7" s="1"/>
  <c r="X9" i="42"/>
  <c r="T46" i="11"/>
  <c r="I315" i="34"/>
  <c r="I139" i="13"/>
  <c r="W59" i="42"/>
  <c r="I59" i="42" s="1"/>
  <c r="J223" i="15"/>
  <c r="I297" i="34"/>
  <c r="I116" i="13"/>
  <c r="W10" i="42"/>
  <c r="J187" i="15"/>
  <c r="T61" i="11" l="1"/>
  <c r="I372" i="34"/>
  <c r="W73" i="42"/>
  <c r="W74" i="42" s="1"/>
  <c r="I10" i="42"/>
  <c r="J42" i="15"/>
  <c r="W14" i="42"/>
  <c r="J9" i="42"/>
  <c r="X71" i="42"/>
  <c r="K41" i="15"/>
  <c r="M394" i="7"/>
  <c r="M13" i="7"/>
  <c r="I248" i="3"/>
  <c r="I359" i="34"/>
  <c r="I183" i="34" s="1"/>
  <c r="J168" i="15"/>
  <c r="J807" i="34"/>
  <c r="J132" i="15"/>
  <c r="T84" i="10"/>
  <c r="V57" i="10"/>
  <c r="M1007" i="7" l="1"/>
  <c r="M403" i="7" s="1"/>
  <c r="M52" i="7" s="1"/>
  <c r="K37" i="3" s="1"/>
  <c r="K53" i="3" s="1"/>
  <c r="I791" i="34"/>
  <c r="I802" i="34" s="1"/>
  <c r="I826" i="34"/>
  <c r="I186" i="34"/>
  <c r="I187" i="34" s="1"/>
  <c r="I816" i="34" s="1"/>
  <c r="I261" i="3" s="1"/>
  <c r="T122" i="10"/>
  <c r="T242" i="10" s="1"/>
  <c r="K41" i="3" s="1"/>
  <c r="J71" i="42"/>
  <c r="W87" i="42"/>
  <c r="V84" i="10"/>
  <c r="U44" i="11" s="1"/>
  <c r="I184" i="34"/>
  <c r="M37" i="7"/>
  <c r="M16" i="7"/>
  <c r="K10" i="15"/>
  <c r="J11" i="15"/>
  <c r="J16" i="15" s="1"/>
  <c r="J47" i="15"/>
  <c r="M1214" i="7"/>
  <c r="M1217" i="7" s="1"/>
  <c r="M398" i="7"/>
  <c r="I73" i="42"/>
  <c r="I74" i="42" s="1"/>
  <c r="I14" i="42"/>
  <c r="M1011" i="7" l="1"/>
  <c r="K195" i="3" s="1"/>
  <c r="K42" i="3"/>
  <c r="J302" i="34"/>
  <c r="J308" i="34" s="1"/>
  <c r="U46" i="11"/>
  <c r="U61" i="11" s="1"/>
  <c r="V44" i="11"/>
  <c r="M1198" i="7"/>
  <c r="M1201" i="7" s="1"/>
  <c r="M1219" i="7" s="1"/>
  <c r="M1227" i="7" s="1"/>
  <c r="M408" i="7"/>
  <c r="J287" i="34"/>
  <c r="V122" i="10"/>
  <c r="V242" i="10" s="1"/>
  <c r="T245" i="10" s="1"/>
  <c r="M40" i="7"/>
  <c r="K13" i="3" s="1"/>
  <c r="J8" i="13"/>
  <c r="K120" i="3" l="1"/>
  <c r="M46" i="7"/>
  <c r="M57" i="7" s="1"/>
  <c r="V46" i="11"/>
  <c r="V61" i="11" s="1"/>
  <c r="W44" i="11"/>
  <c r="N907" i="7"/>
  <c r="J536" i="34"/>
  <c r="J363" i="34"/>
  <c r="J86" i="13"/>
  <c r="K55" i="3" s="1"/>
  <c r="K56" i="3" s="1"/>
  <c r="J520" i="34"/>
  <c r="J291" i="34"/>
  <c r="J350" i="34"/>
  <c r="U159" i="11"/>
  <c r="K220" i="3" s="1"/>
  <c r="J10" i="13"/>
  <c r="J15" i="13" s="1"/>
  <c r="J44" i="13"/>
  <c r="N913" i="7" l="1"/>
  <c r="N999" i="7" s="1"/>
  <c r="N1003" i="7" s="1"/>
  <c r="W57" i="10"/>
  <c r="N354" i="7"/>
  <c r="N360" i="7" s="1"/>
  <c r="Y9" i="42"/>
  <c r="J116" i="13"/>
  <c r="X10" i="42"/>
  <c r="K187" i="15"/>
  <c r="J371" i="34"/>
  <c r="J482" i="34"/>
  <c r="J486" i="34" s="1"/>
  <c r="J368" i="34"/>
  <c r="J139" i="13"/>
  <c r="X59" i="42"/>
  <c r="J59" i="42" s="1"/>
  <c r="K223" i="15"/>
  <c r="J358" i="34"/>
  <c r="J355" i="34"/>
  <c r="J470" i="34"/>
  <c r="J474" i="34" s="1"/>
  <c r="J297" i="34"/>
  <c r="J315" i="34"/>
  <c r="W46" i="11"/>
  <c r="W61" i="11" s="1"/>
  <c r="J372" i="34" l="1"/>
  <c r="Y57" i="10"/>
  <c r="W84" i="10"/>
  <c r="J248" i="3"/>
  <c r="J359" i="34"/>
  <c r="J183" i="34" s="1"/>
  <c r="K168" i="15"/>
  <c r="K807" i="34"/>
  <c r="K132" i="15"/>
  <c r="Y71" i="42"/>
  <c r="K9" i="42"/>
  <c r="L41" i="15"/>
  <c r="K42" i="15"/>
  <c r="X73" i="42"/>
  <c r="X74" i="42" s="1"/>
  <c r="J10" i="42"/>
  <c r="X14" i="42"/>
  <c r="N394" i="7"/>
  <c r="N13" i="7"/>
  <c r="N1007" i="7" l="1"/>
  <c r="N403" i="7" s="1"/>
  <c r="N52" i="7" s="1"/>
  <c r="L37" i="3" s="1"/>
  <c r="L53" i="3" s="1"/>
  <c r="J186" i="34"/>
  <c r="J187" i="34" s="1"/>
  <c r="J816" i="34" s="1"/>
  <c r="J261" i="3" s="1"/>
  <c r="J826" i="34"/>
  <c r="J791" i="34"/>
  <c r="J802" i="34" s="1"/>
  <c r="W122" i="10"/>
  <c r="W242" i="10" s="1"/>
  <c r="L41" i="3" s="1"/>
  <c r="J73" i="42"/>
  <c r="J74" i="42" s="1"/>
  <c r="J14" i="42"/>
  <c r="N37" i="7"/>
  <c r="N16" i="7"/>
  <c r="X87" i="42"/>
  <c r="L10" i="15"/>
  <c r="J184" i="34"/>
  <c r="N1214" i="7"/>
  <c r="N1217" i="7" s="1"/>
  <c r="N398" i="7"/>
  <c r="K11" i="15"/>
  <c r="K16" i="15" s="1"/>
  <c r="K47" i="15"/>
  <c r="K71" i="42"/>
  <c r="Y84" i="10"/>
  <c r="X44" i="11" s="1"/>
  <c r="N1011" i="7" l="1"/>
  <c r="L195" i="3" s="1"/>
  <c r="L42" i="3"/>
  <c r="Y122" i="10"/>
  <c r="Y242" i="10" s="1"/>
  <c r="W245" i="10" s="1"/>
  <c r="N1198" i="7"/>
  <c r="N1201" i="7" s="1"/>
  <c r="N1219" i="7" s="1"/>
  <c r="N1227" i="7" s="1"/>
  <c r="N408" i="7"/>
  <c r="X46" i="11"/>
  <c r="Y44" i="11"/>
  <c r="K302" i="34"/>
  <c r="K308" i="34" s="1"/>
  <c r="K287" i="34"/>
  <c r="N40" i="7"/>
  <c r="L13" i="3" s="1"/>
  <c r="K8" i="13"/>
  <c r="L120" i="3" l="1"/>
  <c r="K86" i="13"/>
  <c r="L55" i="3" s="1"/>
  <c r="L56" i="3" s="1"/>
  <c r="K10" i="13"/>
  <c r="K15" i="13" s="1"/>
  <c r="K44" i="13"/>
  <c r="X61" i="11"/>
  <c r="X159" i="11" s="1"/>
  <c r="L220" i="3" s="1"/>
  <c r="K520" i="34"/>
  <c r="K350" i="34"/>
  <c r="K291" i="34"/>
  <c r="K536" i="34"/>
  <c r="K363" i="34"/>
  <c r="N46" i="7"/>
  <c r="N57" i="7" s="1"/>
  <c r="Y46" i="11"/>
  <c r="Y61" i="11" s="1"/>
  <c r="O907" i="7"/>
  <c r="Z44" i="11"/>
  <c r="Y59" i="42" l="1"/>
  <c r="K59" i="42" s="1"/>
  <c r="L223" i="15"/>
  <c r="L168" i="15" s="1"/>
  <c r="K139" i="13"/>
  <c r="Z46" i="11"/>
  <c r="Z61" i="11" s="1"/>
  <c r="K315" i="34"/>
  <c r="K297" i="34"/>
  <c r="Y10" i="42"/>
  <c r="K116" i="13"/>
  <c r="L187" i="15"/>
  <c r="O913" i="7"/>
  <c r="O999" i="7" s="1"/>
  <c r="O1003" i="7" s="1"/>
  <c r="Z57" i="10"/>
  <c r="O354" i="7"/>
  <c r="O360" i="7" s="1"/>
  <c r="Z9" i="42"/>
  <c r="K371" i="34"/>
  <c r="K482" i="34"/>
  <c r="K486" i="34" s="1"/>
  <c r="K368" i="34"/>
  <c r="K358" i="34"/>
  <c r="K355" i="34"/>
  <c r="K470" i="34"/>
  <c r="K474" i="34" s="1"/>
  <c r="K372" i="34" l="1"/>
  <c r="O394" i="7"/>
  <c r="O13" i="7"/>
  <c r="Z84" i="10"/>
  <c r="AB57" i="10"/>
  <c r="K248" i="3"/>
  <c r="K359" i="34"/>
  <c r="K183" i="34" s="1"/>
  <c r="L807" i="34"/>
  <c r="L132" i="15"/>
  <c r="L9" i="42"/>
  <c r="Z71" i="42"/>
  <c r="M41" i="15"/>
  <c r="L42" i="15"/>
  <c r="K10" i="42"/>
  <c r="Y73" i="42"/>
  <c r="Y74" i="42" s="1"/>
  <c r="Y14" i="42"/>
  <c r="O1007" i="7" l="1"/>
  <c r="O403" i="7" s="1"/>
  <c r="O52" i="7" s="1"/>
  <c r="M37" i="3" s="1"/>
  <c r="M53" i="3" s="1"/>
  <c r="K186" i="34"/>
  <c r="K187" i="34" s="1"/>
  <c r="K816" i="34" s="1"/>
  <c r="K261" i="3" s="1"/>
  <c r="K826" i="34"/>
  <c r="K791" i="34"/>
  <c r="K802" i="34" s="1"/>
  <c r="L11" i="15"/>
  <c r="L16" i="15" s="1"/>
  <c r="L47" i="15"/>
  <c r="L71" i="42"/>
  <c r="K184" i="34"/>
  <c r="M10" i="15"/>
  <c r="Y87" i="42"/>
  <c r="Z122" i="10"/>
  <c r="Z242" i="10" s="1"/>
  <c r="M41" i="3" s="1"/>
  <c r="O37" i="7"/>
  <c r="O16" i="7"/>
  <c r="K73" i="42"/>
  <c r="K74" i="42" s="1"/>
  <c r="K14" i="42"/>
  <c r="AB84" i="10"/>
  <c r="AA44" i="11" s="1"/>
  <c r="O398" i="7"/>
  <c r="O1214" i="7"/>
  <c r="O1217" i="7" s="1"/>
  <c r="O1011" i="7" l="1"/>
  <c r="M195" i="3" s="1"/>
  <c r="M42" i="3"/>
  <c r="AA46" i="11"/>
  <c r="AA61" i="11" s="1"/>
  <c r="AA159" i="11" s="1"/>
  <c r="AB44" i="11"/>
  <c r="AB122" i="10"/>
  <c r="AB242" i="10" s="1"/>
  <c r="O40" i="7"/>
  <c r="M13" i="3" s="1"/>
  <c r="L8" i="13"/>
  <c r="L302" i="34"/>
  <c r="L308" i="34" s="1"/>
  <c r="O408" i="7"/>
  <c r="O1198" i="7"/>
  <c r="O1201" i="7" s="1"/>
  <c r="O1219" i="7" s="1"/>
  <c r="O1227" i="7" s="1"/>
  <c r="L287" i="34"/>
  <c r="M120" i="3" l="1"/>
  <c r="L10" i="13"/>
  <c r="L15" i="13" s="1"/>
  <c r="L44" i="13"/>
  <c r="M220" i="3"/>
  <c r="L86" i="13"/>
  <c r="M55" i="3" s="1"/>
  <c r="M56" i="3" s="1"/>
  <c r="AB46" i="11"/>
  <c r="AB61" i="11" s="1"/>
  <c r="P907" i="7"/>
  <c r="AC44" i="11"/>
  <c r="Z245" i="10"/>
  <c r="L520" i="34"/>
  <c r="L291" i="34"/>
  <c r="L350" i="34"/>
  <c r="O46" i="7"/>
  <c r="O57" i="7" s="1"/>
  <c r="L536" i="34"/>
  <c r="L363" i="34"/>
  <c r="L297" i="34" l="1"/>
  <c r="AC57" i="10"/>
  <c r="P913" i="7"/>
  <c r="P999" i="7" s="1"/>
  <c r="P1003" i="7" s="1"/>
  <c r="P354" i="7"/>
  <c r="P360" i="7" s="1"/>
  <c r="AA9" i="42"/>
  <c r="L139" i="13"/>
  <c r="M223" i="15"/>
  <c r="Z59" i="42"/>
  <c r="L59" i="42" s="1"/>
  <c r="L315" i="34"/>
  <c r="AC46" i="11"/>
  <c r="AC61" i="11" s="1"/>
  <c r="L482" i="34"/>
  <c r="L486" i="34" s="1"/>
  <c r="L371" i="34"/>
  <c r="L368" i="34"/>
  <c r="L116" i="13"/>
  <c r="M187" i="15"/>
  <c r="Z10" i="42"/>
  <c r="L358" i="34"/>
  <c r="L355" i="34"/>
  <c r="L470" i="34"/>
  <c r="L474" i="34" s="1"/>
  <c r="L248" i="3" l="1"/>
  <c r="L359" i="34"/>
  <c r="L183" i="34" s="1"/>
  <c r="P394" i="7"/>
  <c r="P13" i="7"/>
  <c r="M168" i="15"/>
  <c r="M807" i="34"/>
  <c r="M132" i="15"/>
  <c r="Z73" i="42"/>
  <c r="Z74" i="42" s="1"/>
  <c r="L10" i="42"/>
  <c r="M42" i="15"/>
  <c r="Z14" i="42"/>
  <c r="L372" i="34"/>
  <c r="L826" i="34" s="1"/>
  <c r="AC84" i="10"/>
  <c r="AE57" i="10"/>
  <c r="AA71" i="42"/>
  <c r="M9" i="42"/>
  <c r="N41" i="15"/>
  <c r="N10" i="15" s="1"/>
  <c r="P1007" i="7" l="1"/>
  <c r="P403" i="7" s="1"/>
  <c r="P52" i="7" s="1"/>
  <c r="N37" i="3" s="1"/>
  <c r="N53" i="3" s="1"/>
  <c r="AC122" i="10"/>
  <c r="AC242" i="10" s="1"/>
  <c r="N41" i="3" s="1"/>
  <c r="AE84" i="10"/>
  <c r="AD44" i="11" s="1"/>
  <c r="M11" i="15"/>
  <c r="M16" i="15" s="1"/>
  <c r="M47" i="15"/>
  <c r="P37" i="7"/>
  <c r="P16" i="7"/>
  <c r="L184" i="34"/>
  <c r="L791" i="34"/>
  <c r="L802" i="34" s="1"/>
  <c r="L186" i="34"/>
  <c r="Z87" i="42"/>
  <c r="L73" i="42"/>
  <c r="L74" i="42" s="1"/>
  <c r="L14" i="42"/>
  <c r="P1214" i="7"/>
  <c r="P1217" i="7" s="1"/>
  <c r="P398" i="7"/>
  <c r="M71" i="42"/>
  <c r="P1011" i="7" l="1"/>
  <c r="N195" i="3" s="1"/>
  <c r="N42" i="3"/>
  <c r="AE122" i="10"/>
  <c r="AE242" i="10" s="1"/>
  <c r="AC245" i="10" s="1"/>
  <c r="P408" i="7"/>
  <c r="P1198" i="7"/>
  <c r="P1201" i="7" s="1"/>
  <c r="P1219" i="7" s="1"/>
  <c r="P1227" i="7" s="1"/>
  <c r="M287" i="34"/>
  <c r="L187" i="34"/>
  <c r="L816" i="34" s="1"/>
  <c r="L261" i="3" s="1"/>
  <c r="P40" i="7"/>
  <c r="N13" i="3" s="1"/>
  <c r="M8" i="13"/>
  <c r="AD46" i="11"/>
  <c r="AD61" i="11" s="1"/>
  <c r="AD159" i="11" s="1"/>
  <c r="AE44" i="11"/>
  <c r="M302" i="34"/>
  <c r="M308" i="34" s="1"/>
  <c r="N120" i="3" l="1"/>
  <c r="M536" i="34"/>
  <c r="M363" i="34"/>
  <c r="P46" i="7"/>
  <c r="P57" i="7" s="1"/>
  <c r="M520" i="34"/>
  <c r="M291" i="34"/>
  <c r="M350" i="34"/>
  <c r="AE46" i="11"/>
  <c r="AE61" i="11" s="1"/>
  <c r="AF44" i="11"/>
  <c r="Q907" i="7"/>
  <c r="M10" i="13"/>
  <c r="M15" i="13" s="1"/>
  <c r="M44" i="13"/>
  <c r="N220" i="3"/>
  <c r="M86" i="13"/>
  <c r="N55" i="3" s="1"/>
  <c r="N56" i="3" s="1"/>
  <c r="Q354" i="7" l="1"/>
  <c r="Q360" i="7" s="1"/>
  <c r="Q913" i="7"/>
  <c r="Q999" i="7" s="1"/>
  <c r="Q1003" i="7" s="1"/>
  <c r="AB9" i="42"/>
  <c r="AF57" i="10"/>
  <c r="M358" i="34"/>
  <c r="M355" i="34"/>
  <c r="M470" i="34"/>
  <c r="M474" i="34" s="1"/>
  <c r="M139" i="13"/>
  <c r="N223" i="15"/>
  <c r="AA59" i="42"/>
  <c r="M59" i="42" s="1"/>
  <c r="AF46" i="11"/>
  <c r="AF61" i="11" s="1"/>
  <c r="M297" i="34"/>
  <c r="M371" i="34"/>
  <c r="M482" i="34"/>
  <c r="M486" i="34" s="1"/>
  <c r="M368" i="34"/>
  <c r="M116" i="13"/>
  <c r="N187" i="15"/>
  <c r="AA10" i="42"/>
  <c r="M315" i="34"/>
  <c r="M248" i="3" l="1"/>
  <c r="M372" i="34"/>
  <c r="N807" i="34"/>
  <c r="N132" i="15"/>
  <c r="N168" i="15"/>
  <c r="AH57" i="10"/>
  <c r="AF84" i="10"/>
  <c r="N9" i="42"/>
  <c r="AB71" i="42"/>
  <c r="O41" i="15"/>
  <c r="O10" i="15" s="1"/>
  <c r="M359" i="34"/>
  <c r="M183" i="34" s="1"/>
  <c r="AA73" i="42"/>
  <c r="AA74" i="42" s="1"/>
  <c r="N42" i="15"/>
  <c r="N11" i="15" s="1"/>
  <c r="M10" i="42"/>
  <c r="AA14" i="42"/>
  <c r="Q394" i="7"/>
  <c r="Q13" i="7"/>
  <c r="Q1007" i="7" l="1"/>
  <c r="Q403" i="7" s="1"/>
  <c r="Q52" i="7" s="1"/>
  <c r="O37" i="3" s="1"/>
  <c r="O53" i="3" s="1"/>
  <c r="M186" i="34"/>
  <c r="M187" i="34" s="1"/>
  <c r="M816" i="34" s="1"/>
  <c r="M261" i="3" s="1"/>
  <c r="M826" i="34"/>
  <c r="M791" i="34"/>
  <c r="M802" i="34" s="1"/>
  <c r="AF122" i="10"/>
  <c r="AF242" i="10" s="1"/>
  <c r="O41" i="3" s="1"/>
  <c r="AH84" i="10"/>
  <c r="Q37" i="7"/>
  <c r="Q16" i="7"/>
  <c r="M184" i="34"/>
  <c r="Q1214" i="7"/>
  <c r="Q1217" i="7" s="1"/>
  <c r="Q398" i="7"/>
  <c r="N71" i="42"/>
  <c r="AA87" i="42"/>
  <c r="M73" i="42"/>
  <c r="M74" i="42" s="1"/>
  <c r="M14" i="42"/>
  <c r="N16" i="15"/>
  <c r="N47" i="15"/>
  <c r="R404" i="7" l="1"/>
  <c r="R53" i="7" s="1"/>
  <c r="P45" i="3" s="1"/>
  <c r="P54" i="3" s="1"/>
  <c r="AG44" i="11"/>
  <c r="AH44" i="11" s="1"/>
  <c r="Q1011" i="7"/>
  <c r="O195" i="3" s="1"/>
  <c r="O42" i="3"/>
  <c r="N287" i="34"/>
  <c r="Q408" i="7"/>
  <c r="Q1198" i="7"/>
  <c r="Q1201" i="7" s="1"/>
  <c r="Q1219" i="7" s="1"/>
  <c r="Q1227" i="7" s="1"/>
  <c r="Q40" i="7"/>
  <c r="O13" i="3" s="1"/>
  <c r="N8" i="13"/>
  <c r="AH122" i="10"/>
  <c r="AH242" i="10" s="1"/>
  <c r="N302" i="34"/>
  <c r="N308" i="34" s="1"/>
  <c r="AI44" i="11" l="1"/>
  <c r="AI46" i="11" s="1"/>
  <c r="AI61" i="11" s="1"/>
  <c r="R907" i="7"/>
  <c r="AC9" i="42" s="1"/>
  <c r="P50" i="3"/>
  <c r="AG46" i="11"/>
  <c r="AG61" i="11" s="1"/>
  <c r="AG159" i="11" s="1"/>
  <c r="O220" i="3" s="1"/>
  <c r="O120" i="3"/>
  <c r="N10" i="13"/>
  <c r="N15" i="13" s="1"/>
  <c r="N44" i="13"/>
  <c r="N291" i="34"/>
  <c r="N520" i="34"/>
  <c r="N350" i="34"/>
  <c r="Q46" i="7"/>
  <c r="Q57" i="7" s="1"/>
  <c r="N536" i="34"/>
  <c r="N363" i="34"/>
  <c r="AH46" i="11"/>
  <c r="AH61" i="11" s="1"/>
  <c r="N86" i="13"/>
  <c r="O55" i="3" s="1"/>
  <c r="O56" i="3" s="1"/>
  <c r="AF245" i="10"/>
  <c r="R913" i="7" l="1"/>
  <c r="R999" i="7" s="1"/>
  <c r="R1003" i="7" s="1"/>
  <c r="AI57" i="10"/>
  <c r="R354" i="7"/>
  <c r="R360" i="7" s="1"/>
  <c r="N315" i="34"/>
  <c r="N297" i="34"/>
  <c r="N116" i="13"/>
  <c r="AB10" i="42"/>
  <c r="O187" i="15"/>
  <c r="N139" i="13"/>
  <c r="O223" i="15"/>
  <c r="AB59" i="42"/>
  <c r="N59" i="42" s="1"/>
  <c r="N371" i="34"/>
  <c r="N368" i="34"/>
  <c r="N482" i="34"/>
  <c r="N486" i="34" s="1"/>
  <c r="N358" i="34"/>
  <c r="N355" i="34"/>
  <c r="N470" i="34"/>
  <c r="N474" i="34" s="1"/>
  <c r="N248" i="3" l="1"/>
  <c r="R394" i="7"/>
  <c r="R13" i="7"/>
  <c r="AK57" i="10"/>
  <c r="AI84" i="10"/>
  <c r="O9" i="42"/>
  <c r="O71" i="42" s="1"/>
  <c r="AC71" i="42"/>
  <c r="P41" i="15"/>
  <c r="P10" i="15" s="1"/>
  <c r="N372" i="34"/>
  <c r="O807" i="34"/>
  <c r="O132" i="15"/>
  <c r="N359" i="34"/>
  <c r="N183" i="34" s="1"/>
  <c r="O168" i="15"/>
  <c r="AB73" i="42"/>
  <c r="AB74" i="42" s="1"/>
  <c r="N10" i="42"/>
  <c r="O42" i="15"/>
  <c r="O11" i="15" s="1"/>
  <c r="AB14" i="42"/>
  <c r="AI122" i="10" l="1"/>
  <c r="AI242" i="10" s="1"/>
  <c r="P41" i="3" s="1"/>
  <c r="R1007" i="7"/>
  <c r="AK84" i="10"/>
  <c r="AJ44" i="11" s="1"/>
  <c r="R37" i="7"/>
  <c r="R16" i="7"/>
  <c r="R1214" i="7"/>
  <c r="R1217" i="7" s="1"/>
  <c r="R398" i="7"/>
  <c r="N186" i="34"/>
  <c r="N826" i="34"/>
  <c r="N791" i="34"/>
  <c r="N802" i="34" s="1"/>
  <c r="N184" i="34"/>
  <c r="O16" i="15"/>
  <c r="O47" i="15"/>
  <c r="N73" i="42"/>
  <c r="N74" i="42" s="1"/>
  <c r="N14" i="42"/>
  <c r="AB87" i="42"/>
  <c r="R403" i="7" l="1"/>
  <c r="R52" i="7" s="1"/>
  <c r="P37" i="3" s="1"/>
  <c r="P53" i="3" s="1"/>
  <c r="R1011" i="7"/>
  <c r="P195" i="3" s="1"/>
  <c r="AJ46" i="11"/>
  <c r="AJ61" i="11" s="1"/>
  <c r="AJ159" i="11" s="1"/>
  <c r="AK44" i="11"/>
  <c r="AK46" i="11" s="1"/>
  <c r="AK61" i="11" s="1"/>
  <c r="R40" i="7"/>
  <c r="O8" i="13"/>
  <c r="R1198" i="7"/>
  <c r="R1201" i="7" s="1"/>
  <c r="R1219" i="7" s="1"/>
  <c r="R1227" i="7" s="1"/>
  <c r="AK122" i="10"/>
  <c r="AK242" i="10" s="1"/>
  <c r="O86" i="13" s="1"/>
  <c r="O139" i="13" s="1"/>
  <c r="N187" i="34"/>
  <c r="N816" i="34" s="1"/>
  <c r="N261" i="3" s="1"/>
  <c r="O302" i="34"/>
  <c r="O308" i="34" s="1"/>
  <c r="O287" i="34"/>
  <c r="R408" i="7" l="1"/>
  <c r="P120" i="3" s="1"/>
  <c r="P42" i="3"/>
  <c r="AC59" i="42"/>
  <c r="O59" i="42" s="1"/>
  <c r="P223" i="15"/>
  <c r="P168" i="15" s="1"/>
  <c r="P55" i="3"/>
  <c r="P56" i="3" s="1"/>
  <c r="P220" i="3"/>
  <c r="AI245" i="10"/>
  <c r="R46" i="7"/>
  <c r="R57" i="7" s="1"/>
  <c r="P13" i="3"/>
  <c r="O44" i="13"/>
  <c r="AC10" i="42" s="1"/>
  <c r="O10" i="13"/>
  <c r="O15" i="13" s="1"/>
  <c r="O520" i="34"/>
  <c r="O291" i="34"/>
  <c r="O350" i="34"/>
  <c r="O536" i="34"/>
  <c r="O363" i="34"/>
  <c r="O297" i="34" l="1"/>
  <c r="O116" i="13"/>
  <c r="P187" i="15"/>
  <c r="O315" i="34"/>
  <c r="O482" i="34"/>
  <c r="O486" i="34" s="1"/>
  <c r="O371" i="34"/>
  <c r="O368" i="34"/>
  <c r="O358" i="34"/>
  <c r="O355" i="34"/>
  <c r="O470" i="34"/>
  <c r="O474" i="34" s="1"/>
  <c r="O248" i="3" l="1"/>
  <c r="P807" i="34"/>
  <c r="P132" i="15"/>
  <c r="O10" i="42"/>
  <c r="AC14" i="42"/>
  <c r="P42" i="15"/>
  <c r="P11" i="15" s="1"/>
  <c r="AC73" i="42"/>
  <c r="AC74" i="42" s="1"/>
  <c r="O359" i="34"/>
  <c r="O183" i="34" s="1"/>
  <c r="O372" i="34"/>
  <c r="O826" i="34" s="1"/>
  <c r="P16" i="15" l="1"/>
  <c r="P47" i="15"/>
  <c r="O73" i="42"/>
  <c r="O74" i="42" s="1"/>
  <c r="O14" i="42"/>
  <c r="AC87" i="42"/>
  <c r="O184" i="34"/>
  <c r="O186" i="34"/>
  <c r="O791" i="34"/>
  <c r="O802" i="34" s="1"/>
  <c r="F346" i="9"/>
  <c r="F185" i="3" s="1"/>
  <c r="H349" i="9"/>
  <c r="Z146" i="9"/>
  <c r="P302" i="34" l="1"/>
  <c r="P287" i="34"/>
  <c r="O187" i="34"/>
  <c r="O816" i="34" s="1"/>
  <c r="O261" i="3" s="1"/>
  <c r="F113" i="11"/>
  <c r="P520" i="34" l="1"/>
  <c r="P291" i="34"/>
  <c r="P297" i="34" s="1"/>
  <c r="P350" i="34"/>
  <c r="P536" i="34"/>
  <c r="P363" i="34"/>
  <c r="P308" i="34"/>
  <c r="G113" i="11"/>
  <c r="P315" i="34" l="1"/>
  <c r="P368" i="34"/>
  <c r="P371" i="34"/>
  <c r="P482" i="34"/>
  <c r="P486" i="34" s="1"/>
  <c r="P358" i="34"/>
  <c r="P470" i="34"/>
  <c r="P474" i="34" s="1"/>
  <c r="P355" i="34"/>
  <c r="H113" i="11"/>
  <c r="S396" i="34" l="1"/>
  <c r="P248" i="3"/>
  <c r="P359" i="34"/>
  <c r="P183" i="34" s="1"/>
  <c r="P184" i="34" s="1"/>
  <c r="P372" i="34"/>
  <c r="J113" i="11"/>
  <c r="P186" i="34" l="1"/>
  <c r="P187" i="34" s="1"/>
  <c r="P816" i="34" s="1"/>
  <c r="P261" i="3" s="1"/>
  <c r="P826" i="34"/>
  <c r="P791" i="34"/>
  <c r="P802" i="34" s="1"/>
  <c r="K113" i="11"/>
  <c r="M113" i="11" l="1"/>
  <c r="N113" i="11" l="1"/>
  <c r="P113" i="11" l="1"/>
  <c r="Q113" i="11" l="1"/>
  <c r="S113" i="11" l="1"/>
  <c r="T113" i="11" l="1"/>
  <c r="V113" i="11" l="1"/>
  <c r="W113" i="11" l="1"/>
  <c r="Y113" i="11" l="1"/>
  <c r="Z113" i="11" l="1"/>
  <c r="AB113" i="11" l="1"/>
  <c r="AC113" i="11" l="1"/>
  <c r="AE113" i="11" l="1"/>
  <c r="AF113" i="11" l="1"/>
  <c r="AH113" i="11" l="1"/>
  <c r="AI113" i="11" s="1"/>
  <c r="AK113" i="11" l="1"/>
  <c r="AU17" i="42"/>
  <c r="E112" i="15" s="1"/>
  <c r="F112" i="15" s="1"/>
  <c r="S17" i="42"/>
  <c r="S18" i="42" s="1"/>
  <c r="AU18" i="42" l="1"/>
  <c r="E114" i="15" s="1"/>
  <c r="D247" i="42" s="1"/>
  <c r="S77" i="42"/>
  <c r="E50" i="15"/>
  <c r="E19" i="15" s="1"/>
  <c r="E245" i="42" s="1"/>
  <c r="E17" i="42"/>
  <c r="E77" i="42" s="1"/>
  <c r="E52" i="15"/>
  <c r="S24" i="42"/>
  <c r="S26" i="42" s="1"/>
  <c r="S78" i="42"/>
  <c r="D245" i="42"/>
  <c r="B245" i="42" l="1"/>
  <c r="F19" i="15"/>
  <c r="F50" i="15"/>
  <c r="E56" i="15"/>
  <c r="E58" i="15" s="1"/>
  <c r="F58" i="15" s="1"/>
  <c r="F114" i="15"/>
  <c r="E118" i="15"/>
  <c r="E120" i="15" s="1"/>
  <c r="F120" i="15" s="1"/>
  <c r="AU24" i="42"/>
  <c r="AU26" i="42" s="1"/>
  <c r="AU36" i="42" s="1"/>
  <c r="AU56" i="42" s="1"/>
  <c r="M15" i="26"/>
  <c r="M25" i="26" s="1"/>
  <c r="M27" i="26" s="1"/>
  <c r="E18" i="42"/>
  <c r="E78" i="42" s="1"/>
  <c r="E82" i="42" s="1"/>
  <c r="E84" i="42" s="1"/>
  <c r="D251" i="42"/>
  <c r="D253" i="42" s="1"/>
  <c r="D255" i="42" s="1"/>
  <c r="S82" i="42"/>
  <c r="S84" i="42" s="1"/>
  <c r="S89" i="42" s="1"/>
  <c r="E90" i="42"/>
  <c r="S36" i="42"/>
  <c r="S56" i="42" s="1"/>
  <c r="F52" i="15"/>
  <c r="B247" i="42"/>
  <c r="B251" i="42" s="1"/>
  <c r="B253" i="42" s="1"/>
  <c r="B255" i="42" s="1"/>
  <c r="E21" i="15"/>
  <c r="E122" i="15" l="1"/>
  <c r="F241" i="3" s="1"/>
  <c r="F56" i="15"/>
  <c r="E60" i="15"/>
  <c r="F60" i="15" s="1"/>
  <c r="F309" i="34"/>
  <c r="F540" i="34" s="1"/>
  <c r="F545" i="34" s="1"/>
  <c r="F546" i="34" s="1"/>
  <c r="F251" i="34" s="1"/>
  <c r="E26" i="42"/>
  <c r="E36" i="42" s="1"/>
  <c r="E24" i="42"/>
  <c r="F118" i="15"/>
  <c r="E89" i="42"/>
  <c r="E87" i="42" s="1"/>
  <c r="F338" i="34"/>
  <c r="F341" i="34" s="1"/>
  <c r="S88" i="42"/>
  <c r="E247" i="42"/>
  <c r="E251" i="42" s="1"/>
  <c r="E253" i="42" s="1"/>
  <c r="E255" i="42" s="1"/>
  <c r="F21" i="15"/>
  <c r="E25" i="15"/>
  <c r="AU58" i="42"/>
  <c r="E58" i="42" s="1"/>
  <c r="E56" i="42"/>
  <c r="F122" i="15" l="1"/>
  <c r="F239" i="3"/>
  <c r="F313" i="34"/>
  <c r="F314" i="34" s="1"/>
  <c r="F316" i="34" s="1"/>
  <c r="F790" i="34" s="1"/>
  <c r="F805" i="34" s="1"/>
  <c r="F654" i="34"/>
  <c r="F657" i="34" s="1"/>
  <c r="F664" i="34" s="1"/>
  <c r="F667" i="34" s="1"/>
  <c r="F570" i="34"/>
  <c r="F574" i="34" s="1"/>
  <c r="F575" i="34" s="1"/>
  <c r="F255" i="34" s="1"/>
  <c r="F25" i="15"/>
  <c r="E29" i="15"/>
  <c r="E27" i="15"/>
  <c r="F27" i="15" s="1"/>
  <c r="F292" i="34"/>
  <c r="AU62" i="42"/>
  <c r="F172" i="34" l="1"/>
  <c r="F829" i="34"/>
  <c r="F220" i="34"/>
  <c r="F795" i="34" s="1"/>
  <c r="F804" i="34" s="1"/>
  <c r="F524" i="34"/>
  <c r="F529" i="34" s="1"/>
  <c r="F295" i="34"/>
  <c r="F238" i="3"/>
  <c r="F29" i="15"/>
  <c r="F817" i="34" l="1"/>
  <c r="F262" i="3" s="1"/>
  <c r="F296" i="34"/>
  <c r="F298" i="34" s="1"/>
  <c r="F169" i="34" s="1"/>
  <c r="F247" i="3"/>
  <c r="F251" i="3"/>
  <c r="F530" i="34"/>
  <c r="F249" i="34" s="1"/>
  <c r="F827" i="34" l="1"/>
  <c r="K25" i="26"/>
  <c r="K5" i="26" s="1"/>
  <c r="K10" i="26" l="1"/>
  <c r="K72" i="26" s="1"/>
  <c r="L6" i="26"/>
  <c r="K6" i="26"/>
  <c r="K27" i="26"/>
  <c r="Q17" i="42" l="1"/>
  <c r="B50" i="15" s="1"/>
  <c r="K12" i="26"/>
  <c r="AS17" i="42" s="1"/>
  <c r="AS18" i="42" s="1"/>
  <c r="B114" i="15" s="1"/>
  <c r="Q18" i="42" l="1"/>
  <c r="B52" i="15" s="1"/>
  <c r="B56" i="15" s="1"/>
  <c r="Q77" i="42"/>
  <c r="C17" i="42"/>
  <c r="C77" i="42" s="1"/>
  <c r="B112" i="15"/>
  <c r="AS24" i="42"/>
  <c r="AS26" i="42" s="1"/>
  <c r="C89" i="42" s="1"/>
  <c r="Q24" i="42" l="1"/>
  <c r="Q26" i="42" s="1"/>
  <c r="C26" i="42" s="1"/>
  <c r="C36" i="42" s="1"/>
  <c r="Q78" i="42"/>
  <c r="Q82" i="42" s="1"/>
  <c r="Q84" i="42" s="1"/>
  <c r="Q89" i="42" s="1"/>
  <c r="C18" i="42"/>
  <c r="C78" i="42" s="1"/>
  <c r="B118" i="15"/>
  <c r="D338" i="34" s="1"/>
  <c r="B19" i="15"/>
  <c r="AS36" i="42"/>
  <c r="AS56" i="42" s="1"/>
  <c r="AS58" i="42" s="1"/>
  <c r="C58" i="42" s="1"/>
  <c r="C82" i="42"/>
  <c r="C84" i="42" s="1"/>
  <c r="B58" i="15"/>
  <c r="B60" i="15"/>
  <c r="D309" i="34"/>
  <c r="B21" i="15"/>
  <c r="C24" i="42" l="1"/>
  <c r="C90" i="42"/>
  <c r="C87" i="42" s="1"/>
  <c r="Q36" i="42"/>
  <c r="Q56" i="42" s="1"/>
  <c r="C56" i="42" s="1"/>
  <c r="C62" i="42" s="1"/>
  <c r="B212" i="3" s="1"/>
  <c r="B122" i="15"/>
  <c r="B241" i="3" s="1"/>
  <c r="Q88" i="42"/>
  <c r="B120" i="15"/>
  <c r="B25" i="15"/>
  <c r="B27" i="15" s="1"/>
  <c r="AS62" i="42"/>
  <c r="D654" i="34"/>
  <c r="D657" i="34" s="1"/>
  <c r="D664" i="34" s="1"/>
  <c r="D667" i="34" s="1"/>
  <c r="D313" i="34"/>
  <c r="D314" i="34" s="1"/>
  <c r="D316" i="34" s="1"/>
  <c r="D540" i="34"/>
  <c r="D545" i="34" s="1"/>
  <c r="D546" i="34" s="1"/>
  <c r="D251" i="34" s="1"/>
  <c r="D341" i="34"/>
  <c r="D342" i="34" s="1"/>
  <c r="D344" i="34" s="1"/>
  <c r="D178" i="34" s="1"/>
  <c r="D570" i="34"/>
  <c r="D574" i="34" s="1"/>
  <c r="D575" i="34" s="1"/>
  <c r="D255" i="34" s="1"/>
  <c r="B239" i="3"/>
  <c r="Q62" i="42" l="1"/>
  <c r="O212" i="3" s="1"/>
  <c r="B29" i="15"/>
  <c r="D292" i="34"/>
  <c r="D524" i="34" s="1"/>
  <c r="D529" i="34" s="1"/>
  <c r="D220" i="34"/>
  <c r="E668" i="34"/>
  <c r="D668" i="34"/>
  <c r="F668" i="34"/>
  <c r="D179" i="34"/>
  <c r="F179" i="34"/>
  <c r="E179" i="34"/>
  <c r="D829" i="34"/>
  <c r="D172" i="34"/>
  <c r="D790" i="34"/>
  <c r="D805" i="34" s="1"/>
  <c r="B238" i="3" l="1"/>
  <c r="D295" i="34"/>
  <c r="D296" i="34" s="1"/>
  <c r="D298" i="34" s="1"/>
  <c r="D169" i="34" s="1"/>
  <c r="D817" i="34"/>
  <c r="D795" i="34"/>
  <c r="D804" i="34" s="1"/>
  <c r="D173" i="34"/>
  <c r="D819" i="34" s="1"/>
  <c r="B264" i="3" s="1"/>
  <c r="F173" i="34"/>
  <c r="F819" i="34" s="1"/>
  <c r="F264" i="3" s="1"/>
  <c r="E173" i="34"/>
  <c r="E819" i="34" s="1"/>
  <c r="C264" i="3" s="1"/>
  <c r="D530" i="34"/>
  <c r="D249" i="34" s="1"/>
  <c r="B251" i="3"/>
  <c r="B247" i="3" l="1"/>
  <c r="F170" i="34"/>
  <c r="D170" i="34"/>
  <c r="E170" i="34"/>
  <c r="C262" i="3"/>
  <c r="C276" i="3" s="1"/>
  <c r="D827" i="34"/>
  <c r="F49" i="3" l="1"/>
  <c r="G1147" i="6"/>
  <c r="H1147" i="6" s="1"/>
  <c r="E86" i="13" l="1"/>
  <c r="G118" i="11"/>
  <c r="H118" i="11" s="1"/>
  <c r="J118" i="11" s="1"/>
  <c r="H157" i="11"/>
  <c r="H159" i="11" s="1"/>
  <c r="H162" i="11" s="1"/>
  <c r="Y209" i="9"/>
  <c r="Y211" i="9" s="1"/>
  <c r="Z160" i="9"/>
  <c r="G1206" i="6"/>
  <c r="G157" i="11"/>
  <c r="G159" i="11" s="1"/>
  <c r="G166" i="11" s="1"/>
  <c r="F157" i="11"/>
  <c r="F159" i="11" s="1"/>
  <c r="S59" i="42" l="1"/>
  <c r="E59" i="42" s="1"/>
  <c r="E88" i="13"/>
  <c r="F220" i="3"/>
  <c r="E223" i="15"/>
  <c r="E225" i="15" s="1"/>
  <c r="E226" i="15" s="1"/>
  <c r="E139" i="13"/>
  <c r="F55" i="3"/>
  <c r="F268" i="3"/>
  <c r="G162" i="11"/>
  <c r="F162" i="11" s="1"/>
  <c r="G1210" i="6"/>
  <c r="H1210" i="6" s="1"/>
  <c r="G352" i="6"/>
  <c r="Z209" i="9"/>
  <c r="Z211" i="9" s="1"/>
  <c r="F232" i="3" s="1"/>
  <c r="J157" i="11"/>
  <c r="J159" i="11" s="1"/>
  <c r="K118" i="11"/>
  <c r="E91" i="13" l="1"/>
  <c r="F267" i="3" s="1"/>
  <c r="S60" i="42"/>
  <c r="E60" i="42" s="1"/>
  <c r="E62" i="42" s="1"/>
  <c r="F212" i="3" s="1"/>
  <c r="E141" i="13"/>
  <c r="E144" i="13" s="1"/>
  <c r="E146" i="13" s="1"/>
  <c r="F92" i="3" s="1"/>
  <c r="F280" i="3"/>
  <c r="E229" i="15"/>
  <c r="G229" i="15" s="1"/>
  <c r="G221" i="3" s="1"/>
  <c r="E168" i="15"/>
  <c r="G356" i="6"/>
  <c r="G63" i="6"/>
  <c r="J162" i="11"/>
  <c r="I162" i="11" s="1"/>
  <c r="E231" i="15"/>
  <c r="E170" i="15"/>
  <c r="K157" i="11"/>
  <c r="K159" i="11" s="1"/>
  <c r="K162" i="11" s="1"/>
  <c r="M118" i="11"/>
  <c r="S62" i="42" l="1"/>
  <c r="E171" i="15"/>
  <c r="E174" i="15"/>
  <c r="F221" i="3"/>
  <c r="E232" i="15"/>
  <c r="F47" i="3"/>
  <c r="G67" i="6"/>
  <c r="H67" i="6" s="1"/>
  <c r="G174" i="15"/>
  <c r="H229" i="15"/>
  <c r="N118" i="11"/>
  <c r="M157" i="11"/>
  <c r="M159" i="11" s="1"/>
  <c r="E176" i="15"/>
  <c r="F674" i="34"/>
  <c r="F279" i="34" s="1"/>
  <c r="F122" i="3"/>
  <c r="F124" i="3" s="1"/>
  <c r="C218" i="42"/>
  <c r="C226" i="42" s="1"/>
  <c r="C227" i="42" s="1"/>
  <c r="H356" i="6"/>
  <c r="E177" i="15" l="1"/>
  <c r="F243" i="3" s="1"/>
  <c r="M162" i="11"/>
  <c r="L162" i="11" s="1"/>
  <c r="H221" i="3"/>
  <c r="F269" i="3"/>
  <c r="D218" i="42"/>
  <c r="N157" i="11"/>
  <c r="N159" i="11" s="1"/>
  <c r="N162" i="11" s="1"/>
  <c r="P118" i="11"/>
  <c r="H174" i="15"/>
  <c r="I229" i="15"/>
  <c r="F54" i="3"/>
  <c r="F56" i="3" s="1"/>
  <c r="F50" i="3"/>
  <c r="D226" i="42" l="1"/>
  <c r="I174" i="15"/>
  <c r="J229" i="15"/>
  <c r="Q118" i="11"/>
  <c r="P157" i="11"/>
  <c r="P159" i="11" s="1"/>
  <c r="B276" i="3"/>
  <c r="G219" i="42" l="1"/>
  <c r="E219" i="42"/>
  <c r="G214" i="42"/>
  <c r="E214" i="42"/>
  <c r="F214" i="42" s="1"/>
  <c r="G224" i="42"/>
  <c r="G223" i="42"/>
  <c r="E223" i="42"/>
  <c r="Q157" i="11"/>
  <c r="Q159" i="11" s="1"/>
  <c r="Q162" i="11" s="1"/>
  <c r="S118" i="11"/>
  <c r="G202" i="42"/>
  <c r="E209" i="42"/>
  <c r="F209" i="42" s="1"/>
  <c r="G208" i="42"/>
  <c r="G215" i="42"/>
  <c r="G205" i="42"/>
  <c r="G200" i="42"/>
  <c r="G216" i="42"/>
  <c r="G222" i="42"/>
  <c r="G209" i="42"/>
  <c r="G217" i="42"/>
  <c r="G201" i="42"/>
  <c r="E207" i="42"/>
  <c r="E200" i="42"/>
  <c r="F200" i="42" s="1"/>
  <c r="E217" i="42"/>
  <c r="F217" i="42" s="1"/>
  <c r="E198" i="42"/>
  <c r="E205" i="42"/>
  <c r="F205" i="42" s="1"/>
  <c r="G207" i="42"/>
  <c r="E216" i="42"/>
  <c r="F216" i="42" s="1"/>
  <c r="E204" i="42"/>
  <c r="F204" i="42" s="1"/>
  <c r="G204" i="42"/>
  <c r="E199" i="42"/>
  <c r="F199" i="42" s="1"/>
  <c r="G220" i="42"/>
  <c r="G199" i="42"/>
  <c r="G212" i="42"/>
  <c r="G213" i="42"/>
  <c r="E222" i="42"/>
  <c r="G203" i="42"/>
  <c r="G198" i="42"/>
  <c r="E203" i="42"/>
  <c r="F203" i="42" s="1"/>
  <c r="E213" i="42"/>
  <c r="F213" i="42" s="1"/>
  <c r="I221" i="3"/>
  <c r="P162" i="11"/>
  <c r="O162" i="11" s="1"/>
  <c r="J174" i="15"/>
  <c r="K229" i="15"/>
  <c r="G218" i="42"/>
  <c r="G226" i="42" l="1"/>
  <c r="H216" i="42" s="1"/>
  <c r="F207" i="42"/>
  <c r="F198" i="42"/>
  <c r="E226" i="42"/>
  <c r="S157" i="11"/>
  <c r="S159" i="11" s="1"/>
  <c r="T118" i="11"/>
  <c r="K174" i="15"/>
  <c r="L229" i="15"/>
  <c r="H207" i="42" l="1"/>
  <c r="F226" i="42"/>
  <c r="H215" i="42"/>
  <c r="H209" i="42"/>
  <c r="H212" i="42"/>
  <c r="H202" i="42"/>
  <c r="H208" i="42"/>
  <c r="H222" i="42"/>
  <c r="H213" i="42"/>
  <c r="H217" i="42"/>
  <c r="H205" i="42"/>
  <c r="H220" i="42"/>
  <c r="M229" i="15"/>
  <c r="L174" i="15"/>
  <c r="H214" i="42"/>
  <c r="H210" i="42"/>
  <c r="H206" i="42"/>
  <c r="H221" i="42"/>
  <c r="H211" i="42"/>
  <c r="H225" i="42"/>
  <c r="H219" i="42"/>
  <c r="H224" i="42"/>
  <c r="H223" i="42"/>
  <c r="T157" i="11"/>
  <c r="T159" i="11" s="1"/>
  <c r="T162" i="11" s="1"/>
  <c r="V118" i="11"/>
  <c r="H199" i="42"/>
  <c r="H198" i="42"/>
  <c r="H200" i="42"/>
  <c r="H203" i="42"/>
  <c r="H204" i="42"/>
  <c r="H218" i="42"/>
  <c r="H201" i="42"/>
  <c r="J221" i="3"/>
  <c r="S162" i="11"/>
  <c r="R162" i="11" s="1"/>
  <c r="W118" i="11" l="1"/>
  <c r="V157" i="11"/>
  <c r="V159" i="11" s="1"/>
  <c r="H226" i="42"/>
  <c r="M174" i="15"/>
  <c r="N229" i="15"/>
  <c r="O229" i="15" l="1"/>
  <c r="P229" i="15" s="1"/>
  <c r="N174" i="15"/>
  <c r="V162" i="11"/>
  <c r="U162" i="11" s="1"/>
  <c r="K221" i="3"/>
  <c r="W157" i="11"/>
  <c r="W159" i="11" s="1"/>
  <c r="W162" i="11" s="1"/>
  <c r="Y118" i="11"/>
  <c r="P174" i="15" l="1"/>
  <c r="Y157" i="11"/>
  <c r="Y159" i="11" s="1"/>
  <c r="Z118" i="11"/>
  <c r="O174" i="15"/>
  <c r="Z157" i="11" l="1"/>
  <c r="Z159" i="11" s="1"/>
  <c r="Z162" i="11" s="1"/>
  <c r="AB118" i="11"/>
  <c r="Y162" i="11"/>
  <c r="X162" i="11" s="1"/>
  <c r="L221" i="3"/>
  <c r="AB157" i="11" l="1"/>
  <c r="AB159" i="11" s="1"/>
  <c r="AC118" i="11"/>
  <c r="M221" i="3" l="1"/>
  <c r="AB162" i="11"/>
  <c r="AA162" i="11" s="1"/>
  <c r="AE118" i="11"/>
  <c r="AC157" i="11"/>
  <c r="AC159" i="11" s="1"/>
  <c r="AC162" i="11" s="1"/>
  <c r="AF118" i="11" l="1"/>
  <c r="AE157" i="11"/>
  <c r="AE159" i="11" s="1"/>
  <c r="AE162" i="11" l="1"/>
  <c r="AD162" i="11" s="1"/>
  <c r="N221" i="3"/>
  <c r="AF157" i="11"/>
  <c r="AF159" i="11" s="1"/>
  <c r="AF162" i="11" s="1"/>
  <c r="AH118" i="11"/>
  <c r="AI118" i="11" s="1"/>
  <c r="AK118" i="11" l="1"/>
  <c r="AI157" i="11"/>
  <c r="AI159" i="11" s="1"/>
  <c r="AI162" i="11" s="1"/>
  <c r="AH157" i="11"/>
  <c r="AH159" i="11" s="1"/>
  <c r="AK157" i="11" l="1"/>
  <c r="AK159" i="11" s="1"/>
  <c r="O221" i="3"/>
  <c r="AH162" i="11"/>
  <c r="AG162" i="11" s="1"/>
  <c r="AK162" i="11" l="1"/>
  <c r="AJ162" i="11" s="1"/>
  <c r="P221" i="3"/>
  <c r="M84" i="37"/>
  <c r="F181" i="3" s="1"/>
  <c r="O224" i="4"/>
  <c r="O245" i="4"/>
  <c r="N224" i="4"/>
  <c r="N245" i="4"/>
  <c r="M224" i="4"/>
  <c r="M245" i="4"/>
  <c r="L224" i="4"/>
  <c r="L245" i="4"/>
  <c r="K224" i="4"/>
  <c r="K245" i="4"/>
  <c r="J224" i="4"/>
  <c r="J245" i="4"/>
  <c r="I224" i="4"/>
  <c r="Q125" i="14" l="1"/>
  <c r="AF17" i="14" s="1"/>
  <c r="Q124" i="14" l="1"/>
  <c r="R125" i="14"/>
  <c r="H92" i="14"/>
  <c r="H119" i="14"/>
  <c r="H120" i="14"/>
  <c r="N16" i="14" s="1"/>
  <c r="Q195" i="14" l="1"/>
  <c r="AE17" i="14"/>
  <c r="H194" i="14"/>
  <c r="H176" i="14" s="1"/>
  <c r="I85" i="14" s="1"/>
  <c r="M16" i="14"/>
  <c r="Q126" i="14"/>
  <c r="Q177" i="14"/>
  <c r="Q106" i="14" s="1"/>
  <c r="R124" i="14"/>
  <c r="H201" i="14"/>
  <c r="H121" i="14" l="1"/>
  <c r="I120" i="14" s="1"/>
  <c r="H183" i="14"/>
  <c r="N64" i="14"/>
  <c r="I820" i="4"/>
  <c r="I847" i="4"/>
  <c r="I303" i="4" s="1"/>
  <c r="I43" i="4" s="1"/>
  <c r="M64" i="14"/>
  <c r="P16" i="14" l="1"/>
  <c r="I119" i="14"/>
  <c r="O16" i="14" s="1"/>
  <c r="G155" i="3"/>
  <c r="G479" i="34"/>
  <c r="M67" i="14"/>
  <c r="M71" i="14" s="1"/>
  <c r="M74" i="14" s="1"/>
  <c r="G24" i="3"/>
  <c r="I1006" i="4"/>
  <c r="I1011" i="4" s="1"/>
  <c r="F81" i="13"/>
  <c r="I839" i="4"/>
  <c r="I841" i="4" s="1"/>
  <c r="I843" i="4" s="1"/>
  <c r="I852" i="4" s="1"/>
  <c r="I282" i="4"/>
  <c r="N67" i="14"/>
  <c r="G159" i="3"/>
  <c r="G160" i="3" l="1"/>
  <c r="G161" i="3" s="1"/>
  <c r="I315" i="4"/>
  <c r="I318" i="4" s="1"/>
  <c r="T19" i="42"/>
  <c r="I294" i="4"/>
  <c r="O70" i="14"/>
  <c r="F134" i="13"/>
  <c r="F135" i="13" s="1"/>
  <c r="G156" i="3"/>
  <c r="G157" i="3" s="1"/>
  <c r="G207" i="15"/>
  <c r="G25" i="3"/>
  <c r="G26" i="3" s="1"/>
  <c r="T50" i="42"/>
  <c r="G533" i="34"/>
  <c r="F50" i="42" l="1"/>
  <c r="G467" i="34" s="1"/>
  <c r="T52" i="42"/>
  <c r="Q100" i="42"/>
  <c r="I296" i="4"/>
  <c r="I22" i="4"/>
  <c r="F19" i="42"/>
  <c r="T79" i="42"/>
  <c r="G480" i="34"/>
  <c r="G51" i="15"/>
  <c r="G517" i="34"/>
  <c r="G152" i="15"/>
  <c r="F24" i="34"/>
  <c r="G534" i="34" l="1"/>
  <c r="G481" i="34"/>
  <c r="G487" i="34" s="1"/>
  <c r="I298" i="4"/>
  <c r="I971" i="4"/>
  <c r="I974" i="4" s="1"/>
  <c r="R100" i="42"/>
  <c r="Q103" i="42"/>
  <c r="F30" i="34"/>
  <c r="F147" i="34"/>
  <c r="F149" i="34" s="1"/>
  <c r="F26" i="34"/>
  <c r="G468" i="34"/>
  <c r="G469" i="34" s="1"/>
  <c r="F79" i="42"/>
  <c r="F52" i="42"/>
  <c r="T54" i="42"/>
  <c r="G20" i="15"/>
  <c r="I33" i="4"/>
  <c r="I25" i="4"/>
  <c r="F32" i="34" l="1"/>
  <c r="F33" i="34" s="1"/>
  <c r="F34" i="34" s="1"/>
  <c r="F37" i="34" s="1"/>
  <c r="F39" i="34" s="1"/>
  <c r="F153" i="34"/>
  <c r="F155" i="34" s="1"/>
  <c r="F156" i="34" s="1"/>
  <c r="F157" i="34" s="1"/>
  <c r="F160" i="34" s="1"/>
  <c r="F162" i="34" s="1"/>
  <c r="I958" i="4"/>
  <c r="I961" i="4" s="1"/>
  <c r="I976" i="4" s="1"/>
  <c r="I980" i="4" s="1"/>
  <c r="I309" i="4"/>
  <c r="G250" i="3"/>
  <c r="G475" i="34"/>
  <c r="G226" i="34" s="1"/>
  <c r="I36" i="4"/>
  <c r="I994" i="4"/>
  <c r="I996" i="4" s="1"/>
  <c r="F54" i="42"/>
  <c r="F425" i="34"/>
  <c r="F429" i="34" s="1"/>
  <c r="F431" i="34" s="1"/>
  <c r="F271" i="34" s="1"/>
  <c r="F797" i="34" s="1"/>
  <c r="Q138" i="42"/>
  <c r="R103" i="42"/>
  <c r="G796" i="34"/>
  <c r="G801" i="34" s="1"/>
  <c r="G229" i="34"/>
  <c r="F410" i="34"/>
  <c r="F413" i="34" s="1"/>
  <c r="F415" i="34" s="1"/>
  <c r="F269" i="34" s="1"/>
  <c r="G543" i="34"/>
  <c r="G518" i="34"/>
  <c r="G535" i="34"/>
  <c r="G527" i="34" l="1"/>
  <c r="G519" i="34"/>
  <c r="G230" i="34"/>
  <c r="G815" i="34" s="1"/>
  <c r="G260" i="3" s="1"/>
  <c r="G825" i="34"/>
  <c r="G227" i="34"/>
  <c r="Q144" i="42"/>
  <c r="R144" i="42" s="1"/>
  <c r="R138" i="42"/>
  <c r="I998" i="4"/>
  <c r="I1000" i="4" s="1"/>
  <c r="F37" i="13"/>
  <c r="F246" i="3"/>
  <c r="F276" i="3" s="1"/>
  <c r="I38" i="4"/>
  <c r="I49" i="4" s="1"/>
  <c r="G123" i="3" s="1"/>
  <c r="G124" i="3" s="1"/>
  <c r="G16" i="3"/>
  <c r="F38" i="13" l="1"/>
  <c r="F41" i="13" s="1"/>
  <c r="F45" i="13"/>
  <c r="F46" i="13" l="1"/>
  <c r="F52" i="13" s="1"/>
  <c r="T18" i="42"/>
  <c r="F117" i="13"/>
  <c r="F118" i="13" s="1"/>
  <c r="F120" i="13" s="1"/>
  <c r="F126" i="13" s="1"/>
  <c r="F138" i="13" s="1"/>
  <c r="G188" i="15"/>
  <c r="G808" i="34" l="1"/>
  <c r="G809" i="34" s="1"/>
  <c r="G133" i="15"/>
  <c r="G134" i="15" s="1"/>
  <c r="G140" i="15" s="1"/>
  <c r="G189" i="15"/>
  <c r="G195" i="15" s="1"/>
  <c r="G52" i="15"/>
  <c r="T78" i="42"/>
  <c r="T82" i="42" s="1"/>
  <c r="F18" i="42"/>
  <c r="T24" i="42"/>
  <c r="T26" i="42" s="1"/>
  <c r="G17" i="3"/>
  <c r="F59" i="13"/>
  <c r="F83" i="13" s="1"/>
  <c r="F88" i="13" s="1"/>
  <c r="G21" i="15" l="1"/>
  <c r="G25" i="15" s="1"/>
  <c r="G56" i="15"/>
  <c r="T36" i="42"/>
  <c r="T56" i="42" s="1"/>
  <c r="F90" i="42"/>
  <c r="F87" i="42" s="1"/>
  <c r="F26" i="42"/>
  <c r="F36" i="42" s="1"/>
  <c r="G220" i="15"/>
  <c r="G280" i="3"/>
  <c r="T60" i="42"/>
  <c r="F60" i="42" s="1"/>
  <c r="F141" i="13"/>
  <c r="F144" i="13" s="1"/>
  <c r="F146" i="13" s="1"/>
  <c r="G92" i="3" s="1"/>
  <c r="F24" i="42"/>
  <c r="F78" i="42"/>
  <c r="F82" i="42" s="1"/>
  <c r="F84" i="42" s="1"/>
  <c r="G165" i="15"/>
  <c r="G18" i="3"/>
  <c r="T84" i="42"/>
  <c r="T89" i="42" s="1"/>
  <c r="T88" i="42"/>
  <c r="G225" i="15" l="1"/>
  <c r="G6" i="34"/>
  <c r="T62" i="42"/>
  <c r="F56" i="42"/>
  <c r="F62" i="42" s="1"/>
  <c r="G212" i="3" s="1"/>
  <c r="G60" i="15"/>
  <c r="G239" i="3" s="1"/>
  <c r="G58" i="15"/>
  <c r="G309" i="34"/>
  <c r="G29" i="15"/>
  <c r="G238" i="3" s="1"/>
  <c r="G27" i="15"/>
  <c r="G292" i="34"/>
  <c r="G524" i="34" l="1"/>
  <c r="G529" i="34" s="1"/>
  <c r="G295" i="34"/>
  <c r="G540" i="34"/>
  <c r="G545" i="34" s="1"/>
  <c r="G546" i="34" s="1"/>
  <c r="G251" i="34" s="1"/>
  <c r="G313" i="34"/>
  <c r="G314" i="34" s="1"/>
  <c r="G316" i="34" s="1"/>
  <c r="G654" i="34"/>
  <c r="G657" i="34" s="1"/>
  <c r="G664" i="34" s="1"/>
  <c r="G667" i="34" s="1"/>
  <c r="G636" i="34"/>
  <c r="G638" i="34" s="1"/>
  <c r="G261" i="34" s="1"/>
  <c r="G10" i="34"/>
  <c r="G129" i="34"/>
  <c r="G226" i="15"/>
  <c r="G170" i="15"/>
  <c r="G171" i="15" s="1"/>
  <c r="G231" i="15"/>
  <c r="G232" i="15" l="1"/>
  <c r="G674" i="34"/>
  <c r="G279" i="34" s="1"/>
  <c r="G176" i="15"/>
  <c r="G177" i="15" s="1"/>
  <c r="G630" i="34"/>
  <c r="G133" i="34"/>
  <c r="G829" i="34"/>
  <c r="G790" i="34"/>
  <c r="G805" i="34" s="1"/>
  <c r="G172" i="34"/>
  <c r="G19" i="34"/>
  <c r="G419" i="34"/>
  <c r="G423" i="34" s="1"/>
  <c r="G296" i="34"/>
  <c r="G298" i="34" s="1"/>
  <c r="G169" i="34" s="1"/>
  <c r="G247" i="3"/>
  <c r="G668" i="34"/>
  <c r="G220" i="34"/>
  <c r="G530" i="34"/>
  <c r="G249" i="34" s="1"/>
  <c r="G251" i="3"/>
  <c r="G243" i="3" l="1"/>
  <c r="G170" i="34"/>
  <c r="G404" i="34"/>
  <c r="G408" i="34" s="1"/>
  <c r="G142" i="34"/>
  <c r="G795" i="34"/>
  <c r="G804" i="34" s="1"/>
  <c r="G817" i="34"/>
  <c r="G173" i="34"/>
  <c r="G819" i="34" s="1"/>
  <c r="G264" i="3" s="1"/>
  <c r="G253" i="3"/>
  <c r="G632" i="34"/>
  <c r="G259" i="34" s="1"/>
  <c r="G827" i="34" l="1"/>
  <c r="G262" i="3"/>
  <c r="I92" i="14"/>
  <c r="P64" i="14"/>
  <c r="P67" i="14" l="1"/>
  <c r="H159" i="3"/>
  <c r="J820" i="4"/>
  <c r="I194" i="14" l="1"/>
  <c r="I121" i="14" s="1"/>
  <c r="J839" i="4"/>
  <c r="J841" i="4" s="1"/>
  <c r="J843" i="4" s="1"/>
  <c r="J282" i="4"/>
  <c r="I176" i="14" l="1"/>
  <c r="J85" i="14" s="1"/>
  <c r="I201" i="14"/>
  <c r="I183" i="14"/>
  <c r="O64" i="14"/>
  <c r="J847" i="4"/>
  <c r="J303" i="4" s="1"/>
  <c r="J43" i="4" s="1"/>
  <c r="J315" i="4"/>
  <c r="J318" i="4" s="1"/>
  <c r="H160" i="3"/>
  <c r="H161" i="3" s="1"/>
  <c r="U19" i="42"/>
  <c r="J294" i="4"/>
  <c r="J1006" i="4" l="1"/>
  <c r="J1011" i="4" s="1"/>
  <c r="H24" i="3"/>
  <c r="G81" i="13"/>
  <c r="U79" i="42"/>
  <c r="G19" i="42"/>
  <c r="H480" i="34"/>
  <c r="H534" i="34" s="1"/>
  <c r="H51" i="15"/>
  <c r="J852" i="4"/>
  <c r="J296" i="4"/>
  <c r="J22" i="4"/>
  <c r="H155" i="3"/>
  <c r="H479" i="34"/>
  <c r="O67" i="14"/>
  <c r="O71" i="14" s="1"/>
  <c r="O74" i="14" s="1"/>
  <c r="H20" i="15" l="1"/>
  <c r="H481" i="34"/>
  <c r="H487" i="34" s="1"/>
  <c r="H533" i="34"/>
  <c r="H156" i="3"/>
  <c r="H157" i="3" s="1"/>
  <c r="G134" i="13"/>
  <c r="G135" i="13" s="1"/>
  <c r="H25" i="3"/>
  <c r="H26" i="3" s="1"/>
  <c r="U50" i="42"/>
  <c r="H207" i="15"/>
  <c r="J33" i="4"/>
  <c r="J25" i="4"/>
  <c r="H518" i="34"/>
  <c r="H527" i="34" s="1"/>
  <c r="H543" i="34"/>
  <c r="Q70" i="14"/>
  <c r="J971" i="4"/>
  <c r="J974" i="4" s="1"/>
  <c r="J298" i="4"/>
  <c r="G79" i="42"/>
  <c r="H468" i="34"/>
  <c r="J36" i="4" l="1"/>
  <c r="J994" i="4"/>
  <c r="J996" i="4" s="1"/>
  <c r="H796" i="34"/>
  <c r="H801" i="34" s="1"/>
  <c r="H229" i="34"/>
  <c r="J958" i="4"/>
  <c r="J961" i="4" s="1"/>
  <c r="J976" i="4" s="1"/>
  <c r="J980" i="4" s="1"/>
  <c r="J309" i="4"/>
  <c r="H152" i="15"/>
  <c r="G24" i="34"/>
  <c r="G50" i="42"/>
  <c r="H467" i="34" s="1"/>
  <c r="H469" i="34" s="1"/>
  <c r="U52" i="42"/>
  <c r="H535" i="34"/>
  <c r="H517" i="34"/>
  <c r="H519" i="34" s="1"/>
  <c r="H250" i="3" l="1"/>
  <c r="H475" i="34"/>
  <c r="H226" i="34" s="1"/>
  <c r="H825" i="34"/>
  <c r="H230" i="34"/>
  <c r="H815" i="34" s="1"/>
  <c r="H260" i="3" s="1"/>
  <c r="G30" i="34"/>
  <c r="G147" i="34"/>
  <c r="G149" i="34" s="1"/>
  <c r="G26" i="34"/>
  <c r="J998" i="4"/>
  <c r="J1000" i="4" s="1"/>
  <c r="G37" i="13"/>
  <c r="G52" i="42"/>
  <c r="U54" i="42"/>
  <c r="H16" i="3"/>
  <c r="J38" i="4"/>
  <c r="J49" i="4" s="1"/>
  <c r="H123" i="3" s="1"/>
  <c r="H124" i="3" s="1"/>
  <c r="G38" i="13" l="1"/>
  <c r="G41" i="13" s="1"/>
  <c r="G45" i="13"/>
  <c r="G32" i="34"/>
  <c r="G33" i="34" s="1"/>
  <c r="G34" i="34" s="1"/>
  <c r="G37" i="34" s="1"/>
  <c r="G39" i="34" s="1"/>
  <c r="G153" i="34"/>
  <c r="G155" i="34" s="1"/>
  <c r="G156" i="34" s="1"/>
  <c r="G157" i="34" s="1"/>
  <c r="G160" i="34" s="1"/>
  <c r="G162" i="34" s="1"/>
  <c r="G54" i="42"/>
  <c r="G425" i="34"/>
  <c r="G429" i="34" s="1"/>
  <c r="G431" i="34" s="1"/>
  <c r="G271" i="34" s="1"/>
  <c r="G797" i="34" s="1"/>
  <c r="H227" i="34"/>
  <c r="G410" i="34"/>
  <c r="G413" i="34" s="1"/>
  <c r="G415" i="34" s="1"/>
  <c r="G269" i="34" s="1"/>
  <c r="G246" i="3" l="1"/>
  <c r="G276" i="3" s="1"/>
  <c r="G117" i="13"/>
  <c r="G118" i="13" s="1"/>
  <c r="G120" i="13" s="1"/>
  <c r="G126" i="13" s="1"/>
  <c r="G138" i="13" s="1"/>
  <c r="G46" i="13"/>
  <c r="G52" i="13" s="1"/>
  <c r="U18" i="42"/>
  <c r="H188" i="15"/>
  <c r="H808" i="34" l="1"/>
  <c r="H809" i="34" s="1"/>
  <c r="H133" i="15"/>
  <c r="H134" i="15" s="1"/>
  <c r="H140" i="15" s="1"/>
  <c r="H189" i="15"/>
  <c r="H195" i="15" s="1"/>
  <c r="U78" i="42"/>
  <c r="U82" i="42" s="1"/>
  <c r="G18" i="42"/>
  <c r="H52" i="15"/>
  <c r="U24" i="42"/>
  <c r="U26" i="42" s="1"/>
  <c r="H17" i="3"/>
  <c r="G59" i="13"/>
  <c r="G83" i="13" s="1"/>
  <c r="G88" i="13" s="1"/>
  <c r="H220" i="15" l="1"/>
  <c r="H18" i="3"/>
  <c r="U88" i="42"/>
  <c r="U84" i="42"/>
  <c r="U89" i="42" s="1"/>
  <c r="G90" i="42"/>
  <c r="G87" i="42" s="1"/>
  <c r="G26" i="42"/>
  <c r="G36" i="42" s="1"/>
  <c r="U36" i="42"/>
  <c r="U56" i="42" s="1"/>
  <c r="H21" i="15"/>
  <c r="H25" i="15" s="1"/>
  <c r="H56" i="15"/>
  <c r="H165" i="15"/>
  <c r="U60" i="42"/>
  <c r="G60" i="42" s="1"/>
  <c r="H280" i="3"/>
  <c r="G141" i="13"/>
  <c r="G144" i="13" s="1"/>
  <c r="G146" i="13" s="1"/>
  <c r="H92" i="3" s="1"/>
  <c r="G24" i="42"/>
  <c r="G78" i="42"/>
  <c r="G82" i="42" s="1"/>
  <c r="G84" i="42" s="1"/>
  <c r="H58" i="15" l="1"/>
  <c r="H60" i="15"/>
  <c r="H239" i="3" s="1"/>
  <c r="H309" i="34"/>
  <c r="H29" i="15"/>
  <c r="H238" i="3" s="1"/>
  <c r="H27" i="15"/>
  <c r="H292" i="34"/>
  <c r="H225" i="15"/>
  <c r="H6" i="34"/>
  <c r="U62" i="42"/>
  <c r="G56" i="42"/>
  <c r="G62" i="42" s="1"/>
  <c r="H212" i="3" s="1"/>
  <c r="H226" i="15" l="1"/>
  <c r="H170" i="15"/>
  <c r="H171" i="15" s="1"/>
  <c r="H231" i="15"/>
  <c r="H540" i="34"/>
  <c r="H545" i="34" s="1"/>
  <c r="H546" i="34" s="1"/>
  <c r="H251" i="34" s="1"/>
  <c r="H313" i="34"/>
  <c r="H314" i="34" s="1"/>
  <c r="H316" i="34" s="1"/>
  <c r="H654" i="34"/>
  <c r="H657" i="34" s="1"/>
  <c r="H664" i="34" s="1"/>
  <c r="H667" i="34" s="1"/>
  <c r="H295" i="34"/>
  <c r="H524" i="34"/>
  <c r="H529" i="34" s="1"/>
  <c r="H636" i="34"/>
  <c r="H638" i="34" s="1"/>
  <c r="H261" i="34" s="1"/>
  <c r="H10" i="34"/>
  <c r="H129" i="34"/>
  <c r="H829" i="34" l="1"/>
  <c r="H790" i="34"/>
  <c r="H805" i="34" s="1"/>
  <c r="H172" i="34"/>
  <c r="H530" i="34"/>
  <c r="H249" i="34" s="1"/>
  <c r="H251" i="3"/>
  <c r="H630" i="34"/>
  <c r="H133" i="34"/>
  <c r="H247" i="3"/>
  <c r="H296" i="34"/>
  <c r="H298" i="34" s="1"/>
  <c r="H169" i="34" s="1"/>
  <c r="H176" i="15"/>
  <c r="H177" i="15" s="1"/>
  <c r="H232" i="15"/>
  <c r="H674" i="34"/>
  <c r="H279" i="34" s="1"/>
  <c r="H419" i="34"/>
  <c r="H423" i="34" s="1"/>
  <c r="H19" i="34"/>
  <c r="H668" i="34"/>
  <c r="H220" i="34"/>
  <c r="H243" i="3" l="1"/>
  <c r="H817" i="34"/>
  <c r="H795" i="34"/>
  <c r="H804" i="34" s="1"/>
  <c r="H253" i="3"/>
  <c r="H632" i="34"/>
  <c r="H259" i="34" s="1"/>
  <c r="H404" i="34"/>
  <c r="H408" i="34" s="1"/>
  <c r="H142" i="34"/>
  <c r="H173" i="34"/>
  <c r="H819" i="34" s="1"/>
  <c r="H264" i="3" s="1"/>
  <c r="H170" i="34"/>
  <c r="H827" i="34" l="1"/>
  <c r="H262" i="3"/>
  <c r="J92" i="14"/>
  <c r="J120" i="14"/>
  <c r="R16" i="14" s="1"/>
  <c r="J119" i="14" l="1"/>
  <c r="Q16" i="14" s="1"/>
  <c r="R64" i="14"/>
  <c r="R67" i="14" s="1"/>
  <c r="K820" i="4"/>
  <c r="K282" i="4" s="1"/>
  <c r="J194" i="14" l="1"/>
  <c r="J201" i="14"/>
  <c r="K839" i="4"/>
  <c r="K841" i="4" s="1"/>
  <c r="K843" i="4" s="1"/>
  <c r="I159" i="3"/>
  <c r="K315" i="4"/>
  <c r="K318" i="4" s="1"/>
  <c r="I160" i="3"/>
  <c r="K294" i="4"/>
  <c r="V19" i="42"/>
  <c r="I161" i="3" l="1"/>
  <c r="J121" i="14"/>
  <c r="J176" i="14"/>
  <c r="V79" i="42"/>
  <c r="H19" i="42"/>
  <c r="I480" i="34"/>
  <c r="I534" i="34" s="1"/>
  <c r="I51" i="15"/>
  <c r="K296" i="4"/>
  <c r="K22" i="4"/>
  <c r="K85" i="14" l="1"/>
  <c r="J183" i="14"/>
  <c r="Q64" i="14"/>
  <c r="K847" i="4"/>
  <c r="K971" i="4"/>
  <c r="K974" i="4" s="1"/>
  <c r="K298" i="4"/>
  <c r="I518" i="34"/>
  <c r="I527" i="34" s="1"/>
  <c r="I543" i="34"/>
  <c r="I20" i="15"/>
  <c r="K33" i="4"/>
  <c r="K25" i="4"/>
  <c r="I468" i="34"/>
  <c r="H79" i="42"/>
  <c r="K303" i="4" l="1"/>
  <c r="K43" i="4" s="1"/>
  <c r="K852" i="4"/>
  <c r="I155" i="3"/>
  <c r="I479" i="34"/>
  <c r="Q67" i="14"/>
  <c r="Q71" i="14" s="1"/>
  <c r="Q74" i="14" s="1"/>
  <c r="S70" i="14" s="1"/>
  <c r="K309" i="4"/>
  <c r="K958" i="4"/>
  <c r="K961" i="4" s="1"/>
  <c r="K976" i="4" s="1"/>
  <c r="K980" i="4" s="1"/>
  <c r="K36" i="4"/>
  <c r="K994" i="4"/>
  <c r="K996" i="4" s="1"/>
  <c r="I533" i="34" l="1"/>
  <c r="I481" i="34"/>
  <c r="I487" i="34" s="1"/>
  <c r="H81" i="13"/>
  <c r="K1006" i="4"/>
  <c r="K1011" i="4" s="1"/>
  <c r="I24" i="3"/>
  <c r="K998" i="4"/>
  <c r="K1000" i="4" s="1"/>
  <c r="H37" i="13"/>
  <c r="K38" i="4"/>
  <c r="K49" i="4" s="1"/>
  <c r="I123" i="3" s="1"/>
  <c r="I124" i="3" s="1"/>
  <c r="I16" i="3"/>
  <c r="I25" i="3" l="1"/>
  <c r="I26" i="3" s="1"/>
  <c r="I207" i="15"/>
  <c r="I156" i="3"/>
  <c r="I157" i="3" s="1"/>
  <c r="H134" i="13"/>
  <c r="H135" i="13" s="1"/>
  <c r="V50" i="42"/>
  <c r="I229" i="34"/>
  <c r="I796" i="34"/>
  <c r="I801" i="34" s="1"/>
  <c r="I535" i="34"/>
  <c r="I517" i="34"/>
  <c r="I519" i="34" s="1"/>
  <c r="H38" i="13"/>
  <c r="H41" i="13" s="1"/>
  <c r="H45" i="13"/>
  <c r="I825" i="34" l="1"/>
  <c r="I230" i="34"/>
  <c r="I815" i="34" s="1"/>
  <c r="I260" i="3" s="1"/>
  <c r="I152" i="15"/>
  <c r="H24" i="34"/>
  <c r="V52" i="42"/>
  <c r="H50" i="42"/>
  <c r="I467" i="34" s="1"/>
  <c r="I469" i="34" s="1"/>
  <c r="H117" i="13"/>
  <c r="H118" i="13" s="1"/>
  <c r="H120" i="13" s="1"/>
  <c r="H126" i="13" s="1"/>
  <c r="H138" i="13" s="1"/>
  <c r="V18" i="42"/>
  <c r="H46" i="13"/>
  <c r="H52" i="13" s="1"/>
  <c r="I188" i="15"/>
  <c r="H30" i="34" l="1"/>
  <c r="H147" i="34"/>
  <c r="H149" i="34" s="1"/>
  <c r="H410" i="34" s="1"/>
  <c r="H413" i="34" s="1"/>
  <c r="H415" i="34" s="1"/>
  <c r="H269" i="34" s="1"/>
  <c r="H26" i="34"/>
  <c r="H425" i="34" s="1"/>
  <c r="H429" i="34" s="1"/>
  <c r="H431" i="34" s="1"/>
  <c r="H271" i="34" s="1"/>
  <c r="H797" i="34" s="1"/>
  <c r="I250" i="3"/>
  <c r="I475" i="34"/>
  <c r="I226" i="34" s="1"/>
  <c r="I227" i="34" s="1"/>
  <c r="V54" i="42"/>
  <c r="H54" i="42" s="1"/>
  <c r="H52" i="42"/>
  <c r="V24" i="42"/>
  <c r="V26" i="42" s="1"/>
  <c r="I52" i="15"/>
  <c r="H18" i="42"/>
  <c r="V78" i="42"/>
  <c r="V82" i="42" s="1"/>
  <c r="I808" i="34"/>
  <c r="I809" i="34" s="1"/>
  <c r="I133" i="15"/>
  <c r="I134" i="15" s="1"/>
  <c r="I140" i="15" s="1"/>
  <c r="I189" i="15"/>
  <c r="I195" i="15" s="1"/>
  <c r="I17" i="3"/>
  <c r="H59" i="13"/>
  <c r="H83" i="13" s="1"/>
  <c r="H88" i="13" s="1"/>
  <c r="H153" i="34" l="1"/>
  <c r="H155" i="34" s="1"/>
  <c r="H156" i="34" s="1"/>
  <c r="H157" i="34" s="1"/>
  <c r="H160" i="34" s="1"/>
  <c r="H162" i="34" s="1"/>
  <c r="H32" i="34"/>
  <c r="H33" i="34" s="1"/>
  <c r="H34" i="34" s="1"/>
  <c r="H37" i="34" s="1"/>
  <c r="H39" i="34" s="1"/>
  <c r="V88" i="42"/>
  <c r="V84" i="42"/>
  <c r="V89" i="42" s="1"/>
  <c r="I220" i="15"/>
  <c r="H24" i="42"/>
  <c r="H78" i="42"/>
  <c r="H82" i="42" s="1"/>
  <c r="H84" i="42" s="1"/>
  <c r="I18" i="3"/>
  <c r="I165" i="15"/>
  <c r="I21" i="15"/>
  <c r="I25" i="15" s="1"/>
  <c r="I56" i="15"/>
  <c r="H141" i="13"/>
  <c r="H144" i="13" s="1"/>
  <c r="H146" i="13" s="1"/>
  <c r="I92" i="3" s="1"/>
  <c r="I280" i="3"/>
  <c r="V60" i="42"/>
  <c r="H60" i="42" s="1"/>
  <c r="H26" i="42"/>
  <c r="H36" i="42" s="1"/>
  <c r="V36" i="42"/>
  <c r="V56" i="42" s="1"/>
  <c r="H90" i="42"/>
  <c r="H87" i="42" s="1"/>
  <c r="H246" i="3" l="1"/>
  <c r="H276" i="3" s="1"/>
  <c r="I60" i="15"/>
  <c r="I239" i="3" s="1"/>
  <c r="I58" i="15"/>
  <c r="I309" i="34"/>
  <c r="I225" i="15"/>
  <c r="I6" i="34"/>
  <c r="I29" i="15"/>
  <c r="I238" i="3" s="1"/>
  <c r="I27" i="15"/>
  <c r="I292" i="34"/>
  <c r="V62" i="42"/>
  <c r="H56" i="42"/>
  <c r="H62" i="42" s="1"/>
  <c r="I212" i="3" s="1"/>
  <c r="I540" i="34" l="1"/>
  <c r="I545" i="34" s="1"/>
  <c r="I546" i="34" s="1"/>
  <c r="I251" i="34" s="1"/>
  <c r="I654" i="34"/>
  <c r="I657" i="34" s="1"/>
  <c r="I664" i="34" s="1"/>
  <c r="I667" i="34" s="1"/>
  <c r="I313" i="34"/>
  <c r="I314" i="34" s="1"/>
  <c r="I316" i="34" s="1"/>
  <c r="I524" i="34"/>
  <c r="I529" i="34" s="1"/>
  <c r="I295" i="34"/>
  <c r="I636" i="34"/>
  <c r="I638" i="34" s="1"/>
  <c r="I261" i="34" s="1"/>
  <c r="I129" i="34"/>
  <c r="I10" i="34"/>
  <c r="I226" i="15"/>
  <c r="I170" i="15"/>
  <c r="I171" i="15" s="1"/>
  <c r="I231" i="15"/>
  <c r="I630" i="34" l="1"/>
  <c r="I133" i="34"/>
  <c r="I829" i="34"/>
  <c r="I790" i="34"/>
  <c r="I805" i="34" s="1"/>
  <c r="I172" i="34"/>
  <c r="I668" i="34"/>
  <c r="I220" i="34"/>
  <c r="I674" i="34"/>
  <c r="I279" i="34" s="1"/>
  <c r="I176" i="15"/>
  <c r="I177" i="15" s="1"/>
  <c r="I232" i="15"/>
  <c r="I530" i="34"/>
  <c r="I249" i="34" s="1"/>
  <c r="I251" i="3"/>
  <c r="I419" i="34"/>
  <c r="I423" i="34" s="1"/>
  <c r="I19" i="34"/>
  <c r="I247" i="3"/>
  <c r="I296" i="34"/>
  <c r="I298" i="34" s="1"/>
  <c r="I169" i="34" s="1"/>
  <c r="I243" i="3" l="1"/>
  <c r="I170" i="34"/>
  <c r="I142" i="34"/>
  <c r="I404" i="34"/>
  <c r="I408" i="34" s="1"/>
  <c r="I795" i="34"/>
  <c r="I804" i="34" s="1"/>
  <c r="I817" i="34"/>
  <c r="I173" i="34"/>
  <c r="I819" i="34" s="1"/>
  <c r="I264" i="3" s="1"/>
  <c r="I253" i="3"/>
  <c r="I632" i="34"/>
  <c r="I259" i="34" s="1"/>
  <c r="I827" i="34" l="1"/>
  <c r="I262" i="3"/>
  <c r="K92" i="14"/>
  <c r="K120" i="14"/>
  <c r="T16" i="14" s="1"/>
  <c r="K119" i="14" l="1"/>
  <c r="S16" i="14" s="1"/>
  <c r="T64" i="14"/>
  <c r="L820" i="4"/>
  <c r="K194" i="14" l="1"/>
  <c r="K121" i="14"/>
  <c r="S64" i="14" s="1"/>
  <c r="S67" i="14" s="1"/>
  <c r="S71" i="14" s="1"/>
  <c r="S74" i="14" s="1"/>
  <c r="L847" i="4"/>
  <c r="L303" i="4" s="1"/>
  <c r="L43" i="4" s="1"/>
  <c r="L839" i="4"/>
  <c r="L841" i="4" s="1"/>
  <c r="L843" i="4" s="1"/>
  <c r="L282" i="4"/>
  <c r="T67" i="14"/>
  <c r="J159" i="3"/>
  <c r="K201" i="14" l="1"/>
  <c r="K176" i="14"/>
  <c r="J479" i="34"/>
  <c r="J533" i="34" s="1"/>
  <c r="J155" i="3"/>
  <c r="L1006" i="4"/>
  <c r="L1011" i="4" s="1"/>
  <c r="J24" i="3"/>
  <c r="I81" i="13"/>
  <c r="U70" i="14"/>
  <c r="J160" i="3"/>
  <c r="J161" i="3" s="1"/>
  <c r="L315" i="4"/>
  <c r="L318" i="4" s="1"/>
  <c r="W19" i="42"/>
  <c r="L294" i="4"/>
  <c r="L852" i="4"/>
  <c r="L85" i="14" l="1"/>
  <c r="K183" i="14"/>
  <c r="J517" i="34"/>
  <c r="J25" i="3"/>
  <c r="J26" i="3" s="1"/>
  <c r="J156" i="3"/>
  <c r="J157" i="3" s="1"/>
  <c r="I134" i="13"/>
  <c r="I135" i="13" s="1"/>
  <c r="W50" i="42"/>
  <c r="J207" i="15"/>
  <c r="L296" i="4"/>
  <c r="L22" i="4"/>
  <c r="I19" i="42"/>
  <c r="W79" i="42"/>
  <c r="J480" i="34"/>
  <c r="J51" i="15"/>
  <c r="J468" i="34" l="1"/>
  <c r="I79" i="42"/>
  <c r="J152" i="15"/>
  <c r="I24" i="34"/>
  <c r="L298" i="4"/>
  <c r="L971" i="4"/>
  <c r="L974" i="4" s="1"/>
  <c r="J20" i="15"/>
  <c r="W52" i="42"/>
  <c r="I50" i="42"/>
  <c r="J467" i="34" s="1"/>
  <c r="J469" i="34" s="1"/>
  <c r="J534" i="34"/>
  <c r="J481" i="34"/>
  <c r="J487" i="34" s="1"/>
  <c r="L33" i="4"/>
  <c r="L25" i="4"/>
  <c r="J543" i="34" l="1"/>
  <c r="J518" i="34"/>
  <c r="J535" i="34"/>
  <c r="I30" i="34"/>
  <c r="I26" i="34"/>
  <c r="I147" i="34"/>
  <c r="I149" i="34" s="1"/>
  <c r="L36" i="4"/>
  <c r="L994" i="4"/>
  <c r="L996" i="4" s="1"/>
  <c r="J250" i="3"/>
  <c r="J475" i="34"/>
  <c r="J226" i="34" s="1"/>
  <c r="J796" i="34"/>
  <c r="J801" i="34" s="1"/>
  <c r="J229" i="34"/>
  <c r="I52" i="42"/>
  <c r="W54" i="42"/>
  <c r="L309" i="4"/>
  <c r="L958" i="4"/>
  <c r="L961" i="4" s="1"/>
  <c r="L976" i="4" s="1"/>
  <c r="L980" i="4" s="1"/>
  <c r="I54" i="42" l="1"/>
  <c r="J16" i="3"/>
  <c r="L38" i="4"/>
  <c r="L49" i="4" s="1"/>
  <c r="J123" i="3" s="1"/>
  <c r="J124" i="3" s="1"/>
  <c r="I32" i="34"/>
  <c r="I33" i="34" s="1"/>
  <c r="I34" i="34" s="1"/>
  <c r="I37" i="34" s="1"/>
  <c r="I39" i="34" s="1"/>
  <c r="I153" i="34"/>
  <c r="I155" i="34" s="1"/>
  <c r="I156" i="34" s="1"/>
  <c r="I157" i="34" s="1"/>
  <c r="I160" i="34" s="1"/>
  <c r="I162" i="34" s="1"/>
  <c r="J227" i="34"/>
  <c r="I410" i="34"/>
  <c r="I413" i="34" s="1"/>
  <c r="I415" i="34" s="1"/>
  <c r="I269" i="34" s="1"/>
  <c r="J527" i="34"/>
  <c r="J519" i="34"/>
  <c r="J825" i="34"/>
  <c r="J230" i="34"/>
  <c r="J815" i="34" s="1"/>
  <c r="J260" i="3" s="1"/>
  <c r="L998" i="4"/>
  <c r="L1000" i="4" s="1"/>
  <c r="I37" i="13"/>
  <c r="I425" i="34"/>
  <c r="I429" i="34" s="1"/>
  <c r="I431" i="34" s="1"/>
  <c r="I271" i="34" s="1"/>
  <c r="I797" i="34" s="1"/>
  <c r="I246" i="3" l="1"/>
  <c r="I276" i="3" s="1"/>
  <c r="I38" i="13"/>
  <c r="I41" i="13" s="1"/>
  <c r="I45" i="13"/>
  <c r="I46" i="13" l="1"/>
  <c r="I52" i="13" s="1"/>
  <c r="W18" i="42"/>
  <c r="I117" i="13"/>
  <c r="I118" i="13" s="1"/>
  <c r="I120" i="13" s="1"/>
  <c r="I126" i="13" s="1"/>
  <c r="I138" i="13" s="1"/>
  <c r="J188" i="15"/>
  <c r="J808" i="34" l="1"/>
  <c r="J809" i="34" s="1"/>
  <c r="J133" i="15"/>
  <c r="J134" i="15" s="1"/>
  <c r="J140" i="15" s="1"/>
  <c r="J189" i="15"/>
  <c r="J195" i="15" s="1"/>
  <c r="W78" i="42"/>
  <c r="W82" i="42" s="1"/>
  <c r="J52" i="15"/>
  <c r="I18" i="42"/>
  <c r="W24" i="42"/>
  <c r="W26" i="42" s="1"/>
  <c r="J17" i="3"/>
  <c r="I59" i="13"/>
  <c r="I83" i="13" s="1"/>
  <c r="I88" i="13" s="1"/>
  <c r="W88" i="42" l="1"/>
  <c r="W84" i="42"/>
  <c r="W89" i="42" s="1"/>
  <c r="I90" i="42"/>
  <c r="I87" i="42" s="1"/>
  <c r="W36" i="42"/>
  <c r="W56" i="42" s="1"/>
  <c r="I26" i="42"/>
  <c r="I36" i="42" s="1"/>
  <c r="J220" i="15"/>
  <c r="J280" i="3"/>
  <c r="I141" i="13"/>
  <c r="I144" i="13" s="1"/>
  <c r="I146" i="13" s="1"/>
  <c r="J92" i="3" s="1"/>
  <c r="W60" i="42"/>
  <c r="I60" i="42" s="1"/>
  <c r="J165" i="15"/>
  <c r="I24" i="42"/>
  <c r="I78" i="42"/>
  <c r="I82" i="42" s="1"/>
  <c r="I84" i="42" s="1"/>
  <c r="J18" i="3"/>
  <c r="J21" i="15"/>
  <c r="J25" i="15" s="1"/>
  <c r="J56" i="15"/>
  <c r="W62" i="42" l="1"/>
  <c r="I56" i="42"/>
  <c r="I62" i="42" s="1"/>
  <c r="J212" i="3" s="1"/>
  <c r="J225" i="15"/>
  <c r="J6" i="34"/>
  <c r="J58" i="15"/>
  <c r="J60" i="15"/>
  <c r="J239" i="3" s="1"/>
  <c r="J309" i="34"/>
  <c r="J29" i="15"/>
  <c r="J238" i="3" s="1"/>
  <c r="J27" i="15"/>
  <c r="J292" i="34"/>
  <c r="J524" i="34" l="1"/>
  <c r="J529" i="34" s="1"/>
  <c r="J295" i="34"/>
  <c r="J170" i="15"/>
  <c r="J171" i="15" s="1"/>
  <c r="J226" i="15"/>
  <c r="J231" i="15"/>
  <c r="J636" i="34"/>
  <c r="J638" i="34" s="1"/>
  <c r="J261" i="34" s="1"/>
  <c r="J10" i="34"/>
  <c r="J129" i="34"/>
  <c r="J540" i="34"/>
  <c r="J545" i="34" s="1"/>
  <c r="J546" i="34" s="1"/>
  <c r="J251" i="34" s="1"/>
  <c r="J654" i="34"/>
  <c r="J657" i="34" s="1"/>
  <c r="J664" i="34" s="1"/>
  <c r="J667" i="34" s="1"/>
  <c r="J313" i="34"/>
  <c r="J314" i="34" s="1"/>
  <c r="J316" i="34" s="1"/>
  <c r="J220" i="34" l="1"/>
  <c r="J668" i="34"/>
  <c r="J419" i="34"/>
  <c r="J423" i="34" s="1"/>
  <c r="J19" i="34"/>
  <c r="J630" i="34"/>
  <c r="J133" i="34"/>
  <c r="J247" i="3"/>
  <c r="J296" i="34"/>
  <c r="J298" i="34" s="1"/>
  <c r="J169" i="34" s="1"/>
  <c r="J829" i="34"/>
  <c r="J172" i="34"/>
  <c r="J790" i="34"/>
  <c r="J805" i="34" s="1"/>
  <c r="J232" i="15"/>
  <c r="J674" i="34"/>
  <c r="J279" i="34" s="1"/>
  <c r="J176" i="15"/>
  <c r="J177" i="15" s="1"/>
  <c r="J530" i="34"/>
  <c r="J249" i="34" s="1"/>
  <c r="J251" i="3"/>
  <c r="J243" i="3" l="1"/>
  <c r="J173" i="34"/>
  <c r="J819" i="34" s="1"/>
  <c r="J264" i="3" s="1"/>
  <c r="J404" i="34"/>
  <c r="J408" i="34" s="1"/>
  <c r="J142" i="34"/>
  <c r="J632" i="34"/>
  <c r="J259" i="34" s="1"/>
  <c r="J253" i="3"/>
  <c r="J170" i="34"/>
  <c r="J817" i="34"/>
  <c r="J795" i="34"/>
  <c r="J804" i="34" s="1"/>
  <c r="J262" i="3" l="1"/>
  <c r="J827" i="34"/>
  <c r="L92" i="14"/>
  <c r="L120" i="14"/>
  <c r="V16" i="14" s="1"/>
  <c r="L119" i="14"/>
  <c r="L194" i="14" l="1"/>
  <c r="U16" i="14"/>
  <c r="V64" i="14"/>
  <c r="M820" i="4"/>
  <c r="L121" i="14"/>
  <c r="L201" i="14"/>
  <c r="L176" i="14"/>
  <c r="M85" i="14" s="1"/>
  <c r="L183" i="14" l="1"/>
  <c r="M847" i="4"/>
  <c r="M303" i="4" s="1"/>
  <c r="M43" i="4" s="1"/>
  <c r="U64" i="14"/>
  <c r="M839" i="4"/>
  <c r="M841" i="4" s="1"/>
  <c r="M843" i="4" s="1"/>
  <c r="M282" i="4"/>
  <c r="V67" i="14"/>
  <c r="K159" i="3"/>
  <c r="M852" i="4" l="1"/>
  <c r="K160" i="3"/>
  <c r="K161" i="3" s="1"/>
  <c r="M315" i="4"/>
  <c r="M318" i="4" s="1"/>
  <c r="X19" i="42"/>
  <c r="M294" i="4"/>
  <c r="K155" i="3"/>
  <c r="K479" i="34"/>
  <c r="U67" i="14"/>
  <c r="U71" i="14" s="1"/>
  <c r="U74" i="14" s="1"/>
  <c r="M1006" i="4"/>
  <c r="M1011" i="4" s="1"/>
  <c r="K24" i="3"/>
  <c r="J81" i="13"/>
  <c r="J19" i="42" l="1"/>
  <c r="X79" i="42"/>
  <c r="K480" i="34"/>
  <c r="K534" i="34" s="1"/>
  <c r="K51" i="15"/>
  <c r="K156" i="3"/>
  <c r="K157" i="3" s="1"/>
  <c r="K25" i="3"/>
  <c r="K26" i="3" s="1"/>
  <c r="J134" i="13"/>
  <c r="J135" i="13" s="1"/>
  <c r="X50" i="42"/>
  <c r="K207" i="15"/>
  <c r="K533" i="34"/>
  <c r="W70" i="14"/>
  <c r="M296" i="4"/>
  <c r="M22" i="4"/>
  <c r="K481" i="34" l="1"/>
  <c r="K487" i="34" s="1"/>
  <c r="K796" i="34" s="1"/>
  <c r="K801" i="34" s="1"/>
  <c r="M298" i="4"/>
  <c r="M971" i="4"/>
  <c r="M974" i="4" s="1"/>
  <c r="X52" i="42"/>
  <c r="J50" i="42"/>
  <c r="K467" i="34" s="1"/>
  <c r="K20" i="15"/>
  <c r="K535" i="34"/>
  <c r="K517" i="34"/>
  <c r="K543" i="34"/>
  <c r="K518" i="34"/>
  <c r="K527" i="34" s="1"/>
  <c r="M33" i="4"/>
  <c r="M25" i="4"/>
  <c r="K152" i="15"/>
  <c r="J24" i="34"/>
  <c r="K468" i="34"/>
  <c r="J79" i="42"/>
  <c r="K229" i="34" l="1"/>
  <c r="K825" i="34" s="1"/>
  <c r="K519" i="34"/>
  <c r="K469" i="34"/>
  <c r="M36" i="4"/>
  <c r="M994" i="4"/>
  <c r="M996" i="4" s="1"/>
  <c r="X54" i="42"/>
  <c r="J52" i="42"/>
  <c r="J30" i="34"/>
  <c r="J147" i="34"/>
  <c r="J149" i="34" s="1"/>
  <c r="J26" i="34"/>
  <c r="K230" i="34"/>
  <c r="K815" i="34" s="1"/>
  <c r="K260" i="3" s="1"/>
  <c r="M309" i="4"/>
  <c r="M958" i="4"/>
  <c r="M961" i="4" s="1"/>
  <c r="M976" i="4" s="1"/>
  <c r="M980" i="4" s="1"/>
  <c r="J32" i="34" l="1"/>
  <c r="J33" i="34" s="1"/>
  <c r="J34" i="34" s="1"/>
  <c r="J37" i="34" s="1"/>
  <c r="J39" i="34" s="1"/>
  <c r="J153" i="34"/>
  <c r="J155" i="34" s="1"/>
  <c r="J156" i="34" s="1"/>
  <c r="J157" i="34" s="1"/>
  <c r="J160" i="34" s="1"/>
  <c r="J162" i="34" s="1"/>
  <c r="M998" i="4"/>
  <c r="M1000" i="4" s="1"/>
  <c r="J37" i="13"/>
  <c r="M38" i="4"/>
  <c r="M49" i="4" s="1"/>
  <c r="K123" i="3" s="1"/>
  <c r="K124" i="3" s="1"/>
  <c r="K16" i="3"/>
  <c r="J425" i="34"/>
  <c r="J429" i="34" s="1"/>
  <c r="J431" i="34" s="1"/>
  <c r="J271" i="34" s="1"/>
  <c r="J797" i="34" s="1"/>
  <c r="K250" i="3"/>
  <c r="K475" i="34"/>
  <c r="K226" i="34" s="1"/>
  <c r="J410" i="34"/>
  <c r="J413" i="34" s="1"/>
  <c r="J415" i="34" s="1"/>
  <c r="J269" i="34" s="1"/>
  <c r="J54" i="42"/>
  <c r="J246" i="3" l="1"/>
  <c r="J276" i="3" s="1"/>
  <c r="J38" i="13"/>
  <c r="J41" i="13" s="1"/>
  <c r="J45" i="13"/>
  <c r="K227" i="34"/>
  <c r="J117" i="13" l="1"/>
  <c r="J118" i="13" s="1"/>
  <c r="J120" i="13" s="1"/>
  <c r="J126" i="13" s="1"/>
  <c r="J138" i="13" s="1"/>
  <c r="X18" i="42"/>
  <c r="J46" i="13"/>
  <c r="J52" i="13" s="1"/>
  <c r="K188" i="15"/>
  <c r="K808" i="34" l="1"/>
  <c r="K809" i="34" s="1"/>
  <c r="K133" i="15"/>
  <c r="K134" i="15" s="1"/>
  <c r="K140" i="15" s="1"/>
  <c r="K189" i="15"/>
  <c r="K195" i="15" s="1"/>
  <c r="K17" i="3"/>
  <c r="J59" i="13"/>
  <c r="J83" i="13" s="1"/>
  <c r="J88" i="13" s="1"/>
  <c r="K52" i="15"/>
  <c r="X78" i="42"/>
  <c r="X82" i="42" s="1"/>
  <c r="J18" i="42"/>
  <c r="X24" i="42"/>
  <c r="X26" i="42" s="1"/>
  <c r="J26" i="42" l="1"/>
  <c r="J36" i="42" s="1"/>
  <c r="X36" i="42"/>
  <c r="X56" i="42" s="1"/>
  <c r="J90" i="42"/>
  <c r="J87" i="42" s="1"/>
  <c r="J24" i="42"/>
  <c r="J78" i="42"/>
  <c r="J82" i="42" s="1"/>
  <c r="J84" i="42" s="1"/>
  <c r="K18" i="3"/>
  <c r="X84" i="42"/>
  <c r="X89" i="42" s="1"/>
  <c r="X88" i="42"/>
  <c r="K220" i="15"/>
  <c r="K21" i="15"/>
  <c r="K25" i="15" s="1"/>
  <c r="K56" i="15"/>
  <c r="K165" i="15"/>
  <c r="J141" i="13"/>
  <c r="J144" i="13" s="1"/>
  <c r="J146" i="13" s="1"/>
  <c r="K92" i="3" s="1"/>
  <c r="K280" i="3"/>
  <c r="X60" i="42"/>
  <c r="J60" i="42" s="1"/>
  <c r="K29" i="15" l="1"/>
  <c r="K238" i="3" s="1"/>
  <c r="K27" i="15"/>
  <c r="K292" i="34"/>
  <c r="X62" i="42"/>
  <c r="J56" i="42"/>
  <c r="J62" i="42" s="1"/>
  <c r="K212" i="3" s="1"/>
  <c r="K225" i="15"/>
  <c r="K6" i="34"/>
  <c r="K58" i="15"/>
  <c r="K60" i="15"/>
  <c r="K239" i="3" s="1"/>
  <c r="K309" i="34"/>
  <c r="K540" i="34" l="1"/>
  <c r="K545" i="34" s="1"/>
  <c r="K546" i="34" s="1"/>
  <c r="K251" i="34" s="1"/>
  <c r="K654" i="34"/>
  <c r="K657" i="34" s="1"/>
  <c r="K664" i="34" s="1"/>
  <c r="K667" i="34" s="1"/>
  <c r="K313" i="34"/>
  <c r="K314" i="34" s="1"/>
  <c r="K316" i="34" s="1"/>
  <c r="K226" i="15"/>
  <c r="K170" i="15"/>
  <c r="K171" i="15" s="1"/>
  <c r="K231" i="15"/>
  <c r="K295" i="34"/>
  <c r="K524" i="34"/>
  <c r="K529" i="34" s="1"/>
  <c r="K636" i="34"/>
  <c r="K638" i="34" s="1"/>
  <c r="K261" i="34" s="1"/>
  <c r="K129" i="34"/>
  <c r="K10" i="34"/>
  <c r="K419" i="34" l="1"/>
  <c r="K423" i="34" s="1"/>
  <c r="K19" i="34"/>
  <c r="K247" i="3"/>
  <c r="K296" i="34"/>
  <c r="K298" i="34" s="1"/>
  <c r="K169" i="34" s="1"/>
  <c r="K829" i="34"/>
  <c r="K790" i="34"/>
  <c r="K805" i="34" s="1"/>
  <c r="K172" i="34"/>
  <c r="K630" i="34"/>
  <c r="K133" i="34"/>
  <c r="K232" i="15"/>
  <c r="K176" i="15"/>
  <c r="K177" i="15" s="1"/>
  <c r="K674" i="34"/>
  <c r="K279" i="34" s="1"/>
  <c r="K668" i="34"/>
  <c r="K220" i="34"/>
  <c r="K530" i="34"/>
  <c r="K249" i="34" s="1"/>
  <c r="K251" i="3"/>
  <c r="K243" i="3" l="1"/>
  <c r="K253" i="3"/>
  <c r="K632" i="34"/>
  <c r="K259" i="34" s="1"/>
  <c r="K170" i="34"/>
  <c r="K173" i="34"/>
  <c r="K819" i="34" s="1"/>
  <c r="K264" i="3" s="1"/>
  <c r="K817" i="34"/>
  <c r="K795" i="34"/>
  <c r="K804" i="34" s="1"/>
  <c r="K142" i="34"/>
  <c r="K404" i="34"/>
  <c r="K408" i="34" s="1"/>
  <c r="K262" i="3" l="1"/>
  <c r="K827" i="34"/>
  <c r="M92" i="14"/>
  <c r="M120" i="14"/>
  <c r="X16" i="14" s="1"/>
  <c r="M119" i="14"/>
  <c r="W16" i="14" s="1"/>
  <c r="M194" i="14" l="1"/>
  <c r="M201" i="14" s="1"/>
  <c r="M121" i="14" l="1"/>
  <c r="W64" i="14" s="1"/>
  <c r="W67" i="14" s="1"/>
  <c r="W71" i="14" s="1"/>
  <c r="W74" i="14" s="1"/>
  <c r="M176" i="14"/>
  <c r="N85" i="14" s="1"/>
  <c r="N847" i="4"/>
  <c r="N303" i="4" s="1"/>
  <c r="N43" i="4" s="1"/>
  <c r="L24" i="3" s="1"/>
  <c r="X64" i="14"/>
  <c r="N820" i="4"/>
  <c r="L479" i="34" l="1"/>
  <c r="L155" i="3"/>
  <c r="M183" i="14"/>
  <c r="N1006" i="4"/>
  <c r="N1011" i="4" s="1"/>
  <c r="K81" i="13"/>
  <c r="Y50" i="42" s="1"/>
  <c r="Y70" i="14"/>
  <c r="N839" i="4"/>
  <c r="N841" i="4" s="1"/>
  <c r="N843" i="4" s="1"/>
  <c r="N852" i="4" s="1"/>
  <c r="N282" i="4"/>
  <c r="L533" i="34"/>
  <c r="X67" i="14"/>
  <c r="L159" i="3"/>
  <c r="L207" i="15" l="1"/>
  <c r="L156" i="3"/>
  <c r="L157" i="3" s="1"/>
  <c r="L25" i="3"/>
  <c r="L26" i="3" s="1"/>
  <c r="K134" i="13"/>
  <c r="K135" i="13" s="1"/>
  <c r="Y52" i="42"/>
  <c r="K50" i="42"/>
  <c r="L467" i="34" s="1"/>
  <c r="L160" i="3"/>
  <c r="L161" i="3" s="1"/>
  <c r="N315" i="4"/>
  <c r="N318" i="4" s="1"/>
  <c r="Y19" i="42"/>
  <c r="N294" i="4"/>
  <c r="L517" i="34"/>
  <c r="L152" i="15"/>
  <c r="K24" i="34"/>
  <c r="K30" i="34" l="1"/>
  <c r="K26" i="34"/>
  <c r="K147" i="34"/>
  <c r="K149" i="34" s="1"/>
  <c r="N296" i="4"/>
  <c r="N22" i="4"/>
  <c r="Y79" i="42"/>
  <c r="K19" i="42"/>
  <c r="L480" i="34"/>
  <c r="L51" i="15"/>
  <c r="K52" i="42"/>
  <c r="Y54" i="42"/>
  <c r="N298" i="4" l="1"/>
  <c r="N971" i="4"/>
  <c r="N974" i="4" s="1"/>
  <c r="K410" i="34"/>
  <c r="K413" i="34" s="1"/>
  <c r="K415" i="34" s="1"/>
  <c r="K269" i="34" s="1"/>
  <c r="L534" i="34"/>
  <c r="L481" i="34"/>
  <c r="L487" i="34" s="1"/>
  <c r="K425" i="34"/>
  <c r="K429" i="34" s="1"/>
  <c r="K431" i="34" s="1"/>
  <c r="K271" i="34" s="1"/>
  <c r="K797" i="34" s="1"/>
  <c r="L20" i="15"/>
  <c r="K54" i="42"/>
  <c r="K79" i="42"/>
  <c r="L468" i="34"/>
  <c r="L469" i="34" s="1"/>
  <c r="N33" i="4"/>
  <c r="N25" i="4"/>
  <c r="K32" i="34"/>
  <c r="K33" i="34" s="1"/>
  <c r="K34" i="34" s="1"/>
  <c r="K37" i="34" s="1"/>
  <c r="K39" i="34" s="1"/>
  <c r="K153" i="34"/>
  <c r="K155" i="34" s="1"/>
  <c r="K156" i="34" s="1"/>
  <c r="K157" i="34" s="1"/>
  <c r="K160" i="34" s="1"/>
  <c r="K162" i="34" s="1"/>
  <c r="K246" i="3" l="1"/>
  <c r="K276" i="3" s="1"/>
  <c r="N36" i="4"/>
  <c r="N994" i="4"/>
  <c r="N996" i="4" s="1"/>
  <c r="L250" i="3"/>
  <c r="L475" i="34"/>
  <c r="L226" i="34" s="1"/>
  <c r="L796" i="34"/>
  <c r="L801" i="34" s="1"/>
  <c r="L229" i="34"/>
  <c r="L518" i="34"/>
  <c r="L543" i="34"/>
  <c r="L535" i="34"/>
  <c r="N958" i="4"/>
  <c r="N961" i="4" s="1"/>
  <c r="N976" i="4" s="1"/>
  <c r="N980" i="4" s="1"/>
  <c r="N309" i="4"/>
  <c r="L227" i="34" l="1"/>
  <c r="L825" i="34"/>
  <c r="L230" i="34"/>
  <c r="L815" i="34" s="1"/>
  <c r="L260" i="3" s="1"/>
  <c r="N998" i="4"/>
  <c r="N1000" i="4" s="1"/>
  <c r="K37" i="13"/>
  <c r="L527" i="34"/>
  <c r="L519" i="34"/>
  <c r="L16" i="3"/>
  <c r="N38" i="4"/>
  <c r="N49" i="4" s="1"/>
  <c r="L123" i="3" s="1"/>
  <c r="L124" i="3" s="1"/>
  <c r="K38" i="13" l="1"/>
  <c r="K41" i="13" s="1"/>
  <c r="K45" i="13"/>
  <c r="K46" i="13" l="1"/>
  <c r="K52" i="13" s="1"/>
  <c r="K117" i="13"/>
  <c r="K118" i="13" s="1"/>
  <c r="K120" i="13" s="1"/>
  <c r="K126" i="13" s="1"/>
  <c r="K138" i="13" s="1"/>
  <c r="Y18" i="42"/>
  <c r="L188" i="15"/>
  <c r="L808" i="34" l="1"/>
  <c r="L809" i="34" s="1"/>
  <c r="L189" i="15"/>
  <c r="L195" i="15" s="1"/>
  <c r="L133" i="15"/>
  <c r="L134" i="15" s="1"/>
  <c r="L140" i="15" s="1"/>
  <c r="Y24" i="42"/>
  <c r="Y26" i="42" s="1"/>
  <c r="L52" i="15"/>
  <c r="K18" i="42"/>
  <c r="Y78" i="42"/>
  <c r="Y82" i="42" s="1"/>
  <c r="L17" i="3"/>
  <c r="K59" i="13"/>
  <c r="K83" i="13" s="1"/>
  <c r="K88" i="13" s="1"/>
  <c r="Y88" i="42" l="1"/>
  <c r="Y84" i="42"/>
  <c r="Y89" i="42" s="1"/>
  <c r="L165" i="15"/>
  <c r="K141" i="13"/>
  <c r="K144" i="13" s="1"/>
  <c r="K146" i="13" s="1"/>
  <c r="L92" i="3" s="1"/>
  <c r="L280" i="3"/>
  <c r="Y60" i="42"/>
  <c r="K60" i="42" s="1"/>
  <c r="L21" i="15"/>
  <c r="L25" i="15" s="1"/>
  <c r="L56" i="15"/>
  <c r="L220" i="15"/>
  <c r="K24" i="42"/>
  <c r="K78" i="42"/>
  <c r="K82" i="42" s="1"/>
  <c r="K84" i="42" s="1"/>
  <c r="L18" i="3"/>
  <c r="Y36" i="42"/>
  <c r="Y56" i="42" s="1"/>
  <c r="K90" i="42"/>
  <c r="K87" i="42" s="1"/>
  <c r="K26" i="42"/>
  <c r="K36" i="42" s="1"/>
  <c r="L29" i="15" l="1"/>
  <c r="L238" i="3" s="1"/>
  <c r="L27" i="15"/>
  <c r="L292" i="34"/>
  <c r="L225" i="15"/>
  <c r="L6" i="34"/>
  <c r="Y62" i="42"/>
  <c r="K56" i="42"/>
  <c r="K62" i="42" s="1"/>
  <c r="L212" i="3" s="1"/>
  <c r="L60" i="15"/>
  <c r="L239" i="3" s="1"/>
  <c r="L58" i="15"/>
  <c r="L309" i="34"/>
  <c r="L654" i="34" l="1"/>
  <c r="L657" i="34" s="1"/>
  <c r="L664" i="34" s="1"/>
  <c r="L667" i="34" s="1"/>
  <c r="L540" i="34"/>
  <c r="L545" i="34" s="1"/>
  <c r="L546" i="34" s="1"/>
  <c r="L251" i="34" s="1"/>
  <c r="L313" i="34"/>
  <c r="L314" i="34" s="1"/>
  <c r="L316" i="34" s="1"/>
  <c r="L524" i="34"/>
  <c r="L529" i="34" s="1"/>
  <c r="L295" i="34"/>
  <c r="L129" i="34"/>
  <c r="L10" i="34"/>
  <c r="L636" i="34"/>
  <c r="L638" i="34" s="1"/>
  <c r="L261" i="34" s="1"/>
  <c r="L226" i="15"/>
  <c r="L170" i="15"/>
  <c r="L171" i="15" s="1"/>
  <c r="L231" i="15"/>
  <c r="L232" i="15" l="1"/>
  <c r="L176" i="15"/>
  <c r="L177" i="15" s="1"/>
  <c r="L674" i="34"/>
  <c r="L279" i="34" s="1"/>
  <c r="L419" i="34"/>
  <c r="L423" i="34" s="1"/>
  <c r="L19" i="34"/>
  <c r="L829" i="34"/>
  <c r="L790" i="34"/>
  <c r="L805" i="34" s="1"/>
  <c r="L172" i="34"/>
  <c r="L530" i="34"/>
  <c r="L249" i="34" s="1"/>
  <c r="L251" i="3"/>
  <c r="L133" i="34"/>
  <c r="L630" i="34"/>
  <c r="L247" i="3"/>
  <c r="L296" i="34"/>
  <c r="L298" i="34" s="1"/>
  <c r="L169" i="34" s="1"/>
  <c r="L220" i="34"/>
  <c r="L668" i="34"/>
  <c r="L243" i="3" l="1"/>
  <c r="L170" i="34"/>
  <c r="L817" i="34"/>
  <c r="L795" i="34"/>
  <c r="L804" i="34" s="1"/>
  <c r="L404" i="34"/>
  <c r="L408" i="34" s="1"/>
  <c r="L142" i="34"/>
  <c r="L253" i="3"/>
  <c r="L632" i="34"/>
  <c r="L259" i="34" s="1"/>
  <c r="L173" i="34"/>
  <c r="L819" i="34" s="1"/>
  <c r="L264" i="3" s="1"/>
  <c r="L827" i="34" l="1"/>
  <c r="L262" i="3"/>
  <c r="N92" i="14"/>
  <c r="N120" i="14"/>
  <c r="Z16" i="14" s="1"/>
  <c r="N119" i="14" l="1"/>
  <c r="Y16" i="14" s="1"/>
  <c r="Z64" i="14"/>
  <c r="O820" i="4"/>
  <c r="N194" i="14" l="1"/>
  <c r="N201" i="14" s="1"/>
  <c r="N121" i="14"/>
  <c r="N176" i="14"/>
  <c r="O85" i="14" s="1"/>
  <c r="O839" i="4"/>
  <c r="O841" i="4" s="1"/>
  <c r="O843" i="4" s="1"/>
  <c r="O282" i="4"/>
  <c r="Z67" i="14"/>
  <c r="M159" i="3"/>
  <c r="N183" i="14" l="1"/>
  <c r="M160" i="3"/>
  <c r="M161" i="3" s="1"/>
  <c r="O315" i="4"/>
  <c r="O318" i="4" s="1"/>
  <c r="Z19" i="42"/>
  <c r="O294" i="4"/>
  <c r="Y64" i="14"/>
  <c r="O847" i="4"/>
  <c r="O303" i="4" s="1"/>
  <c r="O43" i="4" s="1"/>
  <c r="L19" i="42" l="1"/>
  <c r="Z79" i="42"/>
  <c r="M480" i="34"/>
  <c r="M534" i="34" s="1"/>
  <c r="M51" i="15"/>
  <c r="O1006" i="4"/>
  <c r="O1011" i="4" s="1"/>
  <c r="M24" i="3"/>
  <c r="L81" i="13"/>
  <c r="O852" i="4"/>
  <c r="M155" i="3"/>
  <c r="M479" i="34"/>
  <c r="Y67" i="14"/>
  <c r="Y71" i="14" s="1"/>
  <c r="Y74" i="14" s="1"/>
  <c r="O22" i="4"/>
  <c r="O296" i="4"/>
  <c r="M156" i="3" l="1"/>
  <c r="M25" i="3"/>
  <c r="L134" i="13"/>
  <c r="L135" i="13" s="1"/>
  <c r="Z50" i="42"/>
  <c r="M207" i="15"/>
  <c r="O971" i="4"/>
  <c r="O974" i="4" s="1"/>
  <c r="O298" i="4"/>
  <c r="O33" i="4"/>
  <c r="O25" i="4"/>
  <c r="M20" i="15"/>
  <c r="M518" i="34"/>
  <c r="M527" i="34" s="1"/>
  <c r="M543" i="34"/>
  <c r="M481" i="34"/>
  <c r="M487" i="34" s="1"/>
  <c r="M533" i="34"/>
  <c r="M26" i="3"/>
  <c r="AA70" i="14"/>
  <c r="M157" i="3"/>
  <c r="L79" i="42"/>
  <c r="M468" i="34"/>
  <c r="Z52" i="42" l="1"/>
  <c r="L50" i="42"/>
  <c r="M467" i="34" s="1"/>
  <c r="M469" i="34" s="1"/>
  <c r="M517" i="34"/>
  <c r="M519" i="34" s="1"/>
  <c r="M535" i="34"/>
  <c r="O309" i="4"/>
  <c r="O958" i="4"/>
  <c r="O961" i="4" s="1"/>
  <c r="O976" i="4" s="1"/>
  <c r="O980" i="4" s="1"/>
  <c r="M796" i="34"/>
  <c r="M801" i="34" s="1"/>
  <c r="M229" i="34"/>
  <c r="O36" i="4"/>
  <c r="O994" i="4"/>
  <c r="O996" i="4" s="1"/>
  <c r="M152" i="15"/>
  <c r="L24" i="34"/>
  <c r="L30" i="34" l="1"/>
  <c r="L147" i="34"/>
  <c r="L149" i="34" s="1"/>
  <c r="L26" i="34"/>
  <c r="M825" i="34"/>
  <c r="M230" i="34"/>
  <c r="M815" i="34" s="1"/>
  <c r="M260" i="3" s="1"/>
  <c r="M250" i="3"/>
  <c r="M475" i="34"/>
  <c r="M226" i="34" s="1"/>
  <c r="M16" i="3"/>
  <c r="O38" i="4"/>
  <c r="O49" i="4" s="1"/>
  <c r="M123" i="3" s="1"/>
  <c r="M124" i="3" s="1"/>
  <c r="O998" i="4"/>
  <c r="O1000" i="4" s="1"/>
  <c r="L37" i="13"/>
  <c r="L52" i="42"/>
  <c r="Z54" i="42"/>
  <c r="L54" i="42" l="1"/>
  <c r="L425" i="34"/>
  <c r="L429" i="34" s="1"/>
  <c r="L431" i="34" s="1"/>
  <c r="L271" i="34" s="1"/>
  <c r="L797" i="34" s="1"/>
  <c r="L38" i="13"/>
  <c r="L41" i="13" s="1"/>
  <c r="L45" i="13"/>
  <c r="M227" i="34"/>
  <c r="L410" i="34"/>
  <c r="L413" i="34" s="1"/>
  <c r="L415" i="34" s="1"/>
  <c r="L269" i="34" s="1"/>
  <c r="L32" i="34"/>
  <c r="L33" i="34" s="1"/>
  <c r="L34" i="34" s="1"/>
  <c r="L37" i="34" s="1"/>
  <c r="L39" i="34" s="1"/>
  <c r="L153" i="34"/>
  <c r="L155" i="34" s="1"/>
  <c r="L156" i="34" s="1"/>
  <c r="L157" i="34" s="1"/>
  <c r="L160" i="34" s="1"/>
  <c r="L162" i="34" s="1"/>
  <c r="L246" i="3" l="1"/>
  <c r="L276" i="3" s="1"/>
  <c r="L117" i="13"/>
  <c r="L118" i="13" s="1"/>
  <c r="L120" i="13" s="1"/>
  <c r="L126" i="13" s="1"/>
  <c r="L138" i="13" s="1"/>
  <c r="Z18" i="42"/>
  <c r="L46" i="13"/>
  <c r="L52" i="13" s="1"/>
  <c r="M188" i="15"/>
  <c r="M808" i="34" l="1"/>
  <c r="M809" i="34" s="1"/>
  <c r="M189" i="15"/>
  <c r="M195" i="15" s="1"/>
  <c r="M133" i="15"/>
  <c r="M134" i="15" s="1"/>
  <c r="M140" i="15" s="1"/>
  <c r="M17" i="3"/>
  <c r="L59" i="13"/>
  <c r="L83" i="13" s="1"/>
  <c r="L88" i="13" s="1"/>
  <c r="Z24" i="42"/>
  <c r="Z26" i="42" s="1"/>
  <c r="M52" i="15"/>
  <c r="Z78" i="42"/>
  <c r="Z82" i="42" s="1"/>
  <c r="L18" i="42"/>
  <c r="M21" i="15" l="1"/>
  <c r="M25" i="15" s="1"/>
  <c r="M56" i="15"/>
  <c r="L24" i="42"/>
  <c r="L78" i="42"/>
  <c r="L82" i="42" s="1"/>
  <c r="L84" i="42" s="1"/>
  <c r="Z88" i="42"/>
  <c r="Z84" i="42"/>
  <c r="Z89" i="42" s="1"/>
  <c r="M18" i="3"/>
  <c r="M165" i="15"/>
  <c r="Z36" i="42"/>
  <c r="Z56" i="42" s="1"/>
  <c r="L26" i="42"/>
  <c r="L36" i="42" s="1"/>
  <c r="L90" i="42"/>
  <c r="L87" i="42" s="1"/>
  <c r="M220" i="15"/>
  <c r="Z60" i="42"/>
  <c r="L60" i="42" s="1"/>
  <c r="L141" i="13"/>
  <c r="L144" i="13" s="1"/>
  <c r="L146" i="13" s="1"/>
  <c r="M92" i="3" s="1"/>
  <c r="M280" i="3"/>
  <c r="Z62" i="42" l="1"/>
  <c r="L56" i="42"/>
  <c r="L62" i="42" s="1"/>
  <c r="M212" i="3" s="1"/>
  <c r="M58" i="15"/>
  <c r="M60" i="15"/>
  <c r="M239" i="3" s="1"/>
  <c r="M309" i="34"/>
  <c r="M225" i="15"/>
  <c r="M6" i="34"/>
  <c r="M29" i="15"/>
  <c r="M238" i="3" s="1"/>
  <c r="M27" i="15"/>
  <c r="M292" i="34"/>
  <c r="M129" i="34" l="1"/>
  <c r="M636" i="34"/>
  <c r="M638" i="34" s="1"/>
  <c r="M261" i="34" s="1"/>
  <c r="M10" i="34"/>
  <c r="M524" i="34"/>
  <c r="M529" i="34" s="1"/>
  <c r="M295" i="34"/>
  <c r="M226" i="15"/>
  <c r="M170" i="15"/>
  <c r="M171" i="15" s="1"/>
  <c r="M231" i="15"/>
  <c r="M654" i="34"/>
  <c r="M657" i="34" s="1"/>
  <c r="M664" i="34" s="1"/>
  <c r="M667" i="34" s="1"/>
  <c r="M540" i="34"/>
  <c r="M545" i="34" s="1"/>
  <c r="M546" i="34" s="1"/>
  <c r="M251" i="34" s="1"/>
  <c r="M313" i="34"/>
  <c r="M314" i="34" s="1"/>
  <c r="M316" i="34" s="1"/>
  <c r="M829" i="34" l="1"/>
  <c r="M790" i="34"/>
  <c r="M805" i="34" s="1"/>
  <c r="M172" i="34"/>
  <c r="M19" i="34"/>
  <c r="M419" i="34"/>
  <c r="M423" i="34" s="1"/>
  <c r="M668" i="34"/>
  <c r="M220" i="34"/>
  <c r="M247" i="3"/>
  <c r="M296" i="34"/>
  <c r="M298" i="34" s="1"/>
  <c r="M169" i="34" s="1"/>
  <c r="M232" i="15"/>
  <c r="M674" i="34"/>
  <c r="M279" i="34" s="1"/>
  <c r="M176" i="15"/>
  <c r="M177" i="15" s="1"/>
  <c r="M530" i="34"/>
  <c r="M249" i="34" s="1"/>
  <c r="M251" i="3"/>
  <c r="M630" i="34"/>
  <c r="M133" i="34"/>
  <c r="M243" i="3" l="1"/>
  <c r="M632" i="34"/>
  <c r="M259" i="34" s="1"/>
  <c r="M253" i="3"/>
  <c r="M404" i="34"/>
  <c r="M408" i="34" s="1"/>
  <c r="M142" i="34"/>
  <c r="M170" i="34"/>
  <c r="M173" i="34"/>
  <c r="M819" i="34" s="1"/>
  <c r="M264" i="3" s="1"/>
  <c r="M795" i="34"/>
  <c r="M804" i="34" s="1"/>
  <c r="M817" i="34"/>
  <c r="M262" i="3" l="1"/>
  <c r="M827" i="34"/>
  <c r="O92" i="14"/>
  <c r="O120" i="14"/>
  <c r="AB16" i="14" s="1"/>
  <c r="O119" i="14"/>
  <c r="AA16" i="14" s="1"/>
  <c r="O194" i="14" l="1"/>
  <c r="O176" i="14" s="1"/>
  <c r="P85" i="14" s="1"/>
  <c r="AB64" i="14"/>
  <c r="P820" i="4"/>
  <c r="O183" i="14" l="1"/>
  <c r="O201" i="14"/>
  <c r="O121" i="14"/>
  <c r="P847" i="4" s="1"/>
  <c r="P303" i="4" s="1"/>
  <c r="P43" i="4" s="1"/>
  <c r="P839" i="4"/>
  <c r="P841" i="4" s="1"/>
  <c r="P843" i="4" s="1"/>
  <c r="P282" i="4"/>
  <c r="N159" i="3"/>
  <c r="AB67" i="14"/>
  <c r="AA64" i="14" l="1"/>
  <c r="N479" i="34" s="1"/>
  <c r="P852" i="4"/>
  <c r="N160" i="3"/>
  <c r="N161" i="3" s="1"/>
  <c r="P315" i="4"/>
  <c r="P318" i="4" s="1"/>
  <c r="P294" i="4"/>
  <c r="AA19" i="42"/>
  <c r="P1006" i="4"/>
  <c r="P1011" i="4" s="1"/>
  <c r="N24" i="3"/>
  <c r="M81" i="13"/>
  <c r="AA67" i="14" l="1"/>
  <c r="AA71" i="14" s="1"/>
  <c r="AA74" i="14" s="1"/>
  <c r="AC70" i="14" s="1"/>
  <c r="N155" i="3"/>
  <c r="M134" i="13"/>
  <c r="M135" i="13" s="1"/>
  <c r="N156" i="3"/>
  <c r="N25" i="3"/>
  <c r="N26" i="3" s="1"/>
  <c r="AA50" i="42"/>
  <c r="N207" i="15"/>
  <c r="P296" i="4"/>
  <c r="P22" i="4"/>
  <c r="N533" i="34"/>
  <c r="M19" i="42"/>
  <c r="N480" i="34"/>
  <c r="N534" i="34" s="1"/>
  <c r="AA79" i="42"/>
  <c r="N51" i="15"/>
  <c r="N157" i="3" l="1"/>
  <c r="N543" i="34"/>
  <c r="N518" i="34"/>
  <c r="N527" i="34" s="1"/>
  <c r="P971" i="4"/>
  <c r="P974" i="4" s="1"/>
  <c r="P298" i="4"/>
  <c r="P33" i="4"/>
  <c r="P25" i="4"/>
  <c r="N468" i="34"/>
  <c r="M79" i="42"/>
  <c r="N535" i="34"/>
  <c r="N517" i="34"/>
  <c r="N152" i="15"/>
  <c r="M24" i="34"/>
  <c r="N20" i="15"/>
  <c r="N481" i="34"/>
  <c r="N487" i="34" s="1"/>
  <c r="AA52" i="42"/>
  <c r="M50" i="42"/>
  <c r="N467" i="34" s="1"/>
  <c r="N519" i="34" l="1"/>
  <c r="N469" i="34"/>
  <c r="N250" i="3" s="1"/>
  <c r="P36" i="4"/>
  <c r="P994" i="4"/>
  <c r="P996" i="4" s="1"/>
  <c r="N796" i="34"/>
  <c r="N801" i="34" s="1"/>
  <c r="N229" i="34"/>
  <c r="P309" i="4"/>
  <c r="P958" i="4"/>
  <c r="P961" i="4" s="1"/>
  <c r="P976" i="4" s="1"/>
  <c r="P980" i="4" s="1"/>
  <c r="M52" i="42"/>
  <c r="AA54" i="42"/>
  <c r="M30" i="34"/>
  <c r="M26" i="34"/>
  <c r="M147" i="34"/>
  <c r="M149" i="34" s="1"/>
  <c r="N475" i="34" l="1"/>
  <c r="N226" i="34" s="1"/>
  <c r="N227" i="34" s="1"/>
  <c r="M425" i="34"/>
  <c r="M429" i="34" s="1"/>
  <c r="M431" i="34" s="1"/>
  <c r="M271" i="34" s="1"/>
  <c r="M797" i="34" s="1"/>
  <c r="M410" i="34"/>
  <c r="M413" i="34" s="1"/>
  <c r="M415" i="34" s="1"/>
  <c r="M269" i="34" s="1"/>
  <c r="N825" i="34"/>
  <c r="N230" i="34"/>
  <c r="N815" i="34" s="1"/>
  <c r="N260" i="3" s="1"/>
  <c r="P998" i="4"/>
  <c r="P1000" i="4" s="1"/>
  <c r="M37" i="13"/>
  <c r="M32" i="34"/>
  <c r="M33" i="34" s="1"/>
  <c r="M34" i="34" s="1"/>
  <c r="M37" i="34" s="1"/>
  <c r="M39" i="34" s="1"/>
  <c r="M153" i="34"/>
  <c r="M155" i="34" s="1"/>
  <c r="M156" i="34" s="1"/>
  <c r="M157" i="34" s="1"/>
  <c r="M160" i="34" s="1"/>
  <c r="M162" i="34" s="1"/>
  <c r="M54" i="42"/>
  <c r="P38" i="4"/>
  <c r="P49" i="4" s="1"/>
  <c r="N16" i="3"/>
  <c r="M246" i="3" l="1"/>
  <c r="M276" i="3" s="1"/>
  <c r="M38" i="13"/>
  <c r="M41" i="13" s="1"/>
  <c r="M45" i="13"/>
  <c r="AA18" i="42" l="1"/>
  <c r="M46" i="13"/>
  <c r="M52" i="13" s="1"/>
  <c r="N188" i="15"/>
  <c r="M117" i="13"/>
  <c r="M118" i="13" s="1"/>
  <c r="M120" i="13" s="1"/>
  <c r="M126" i="13" s="1"/>
  <c r="M138" i="13" s="1"/>
  <c r="N808" i="34" l="1"/>
  <c r="N809" i="34" s="1"/>
  <c r="N133" i="15"/>
  <c r="N134" i="15" s="1"/>
  <c r="N140" i="15" s="1"/>
  <c r="N189" i="15"/>
  <c r="N195" i="15" s="1"/>
  <c r="N17" i="3"/>
  <c r="M59" i="13"/>
  <c r="M83" i="13" s="1"/>
  <c r="M88" i="13" s="1"/>
  <c r="N52" i="15"/>
  <c r="AA78" i="42"/>
  <c r="AA82" i="42" s="1"/>
  <c r="M18" i="42"/>
  <c r="AA24" i="42"/>
  <c r="AA26" i="42" s="1"/>
  <c r="N165" i="15" l="1"/>
  <c r="AA84" i="42"/>
  <c r="AA89" i="42" s="1"/>
  <c r="AA88" i="42"/>
  <c r="N220" i="15"/>
  <c r="N21" i="15"/>
  <c r="N25" i="15" s="1"/>
  <c r="N56" i="15"/>
  <c r="AA36" i="42"/>
  <c r="AA56" i="42" s="1"/>
  <c r="M90" i="42"/>
  <c r="M87" i="42" s="1"/>
  <c r="M26" i="42"/>
  <c r="M36" i="42" s="1"/>
  <c r="M141" i="13"/>
  <c r="M144" i="13" s="1"/>
  <c r="M146" i="13" s="1"/>
  <c r="N92" i="3" s="1"/>
  <c r="AA60" i="42"/>
  <c r="M60" i="42" s="1"/>
  <c r="N280" i="3"/>
  <c r="M24" i="42"/>
  <c r="M78" i="42"/>
  <c r="M82" i="42" s="1"/>
  <c r="M84" i="42" s="1"/>
  <c r="N18" i="3"/>
  <c r="N60" i="15" l="1"/>
  <c r="N239" i="3" s="1"/>
  <c r="N58" i="15"/>
  <c r="N309" i="34"/>
  <c r="N27" i="15"/>
  <c r="N29" i="15"/>
  <c r="N238" i="3" s="1"/>
  <c r="N292" i="34"/>
  <c r="N225" i="15"/>
  <c r="N6" i="34"/>
  <c r="M56" i="42"/>
  <c r="M62" i="42" s="1"/>
  <c r="AA62" i="42"/>
  <c r="N636" i="34" l="1"/>
  <c r="N638" i="34" s="1"/>
  <c r="N261" i="34" s="1"/>
  <c r="N129" i="34"/>
  <c r="N10" i="34"/>
  <c r="N654" i="34"/>
  <c r="N657" i="34" s="1"/>
  <c r="N664" i="34" s="1"/>
  <c r="N667" i="34" s="1"/>
  <c r="N313" i="34"/>
  <c r="N314" i="34" s="1"/>
  <c r="N316" i="34" s="1"/>
  <c r="N540" i="34"/>
  <c r="N545" i="34" s="1"/>
  <c r="N546" i="34" s="1"/>
  <c r="N251" i="34" s="1"/>
  <c r="N524" i="34"/>
  <c r="N529" i="34" s="1"/>
  <c r="N295" i="34"/>
  <c r="N226" i="15"/>
  <c r="N170" i="15"/>
  <c r="N171" i="15" s="1"/>
  <c r="N231" i="15"/>
  <c r="N176" i="15" l="1"/>
  <c r="N177" i="15" s="1"/>
  <c r="N674" i="34"/>
  <c r="N279" i="34" s="1"/>
  <c r="N232" i="15"/>
  <c r="N530" i="34"/>
  <c r="N249" i="34" s="1"/>
  <c r="N251" i="3"/>
  <c r="N419" i="34"/>
  <c r="N423" i="34" s="1"/>
  <c r="N19" i="34"/>
  <c r="N630" i="34"/>
  <c r="N133" i="34"/>
  <c r="N829" i="34"/>
  <c r="N790" i="34"/>
  <c r="N805" i="34" s="1"/>
  <c r="N172" i="34"/>
  <c r="N247" i="3"/>
  <c r="N296" i="34"/>
  <c r="N298" i="34" s="1"/>
  <c r="N169" i="34" s="1"/>
  <c r="N220" i="34"/>
  <c r="N668" i="34"/>
  <c r="N795" i="34" l="1"/>
  <c r="N804" i="34" s="1"/>
  <c r="N817" i="34"/>
  <c r="N170" i="34"/>
  <c r="N142" i="34"/>
  <c r="N404" i="34"/>
  <c r="N408" i="34" s="1"/>
  <c r="N173" i="34"/>
  <c r="N819" i="34" s="1"/>
  <c r="N264" i="3" s="1"/>
  <c r="N253" i="3"/>
  <c r="N632" i="34"/>
  <c r="N259" i="34" s="1"/>
  <c r="N243" i="3"/>
  <c r="N262" i="3" l="1"/>
  <c r="N827" i="34"/>
  <c r="P92" i="14"/>
  <c r="P120" i="14"/>
  <c r="AD16" i="14" s="1"/>
  <c r="P119" i="14"/>
  <c r="AC16" i="14" s="1"/>
  <c r="P194" i="14" l="1"/>
  <c r="AD64" i="14"/>
  <c r="AD67" i="14" s="1"/>
  <c r="Q820" i="4"/>
  <c r="Q282" i="4" s="1"/>
  <c r="P201" i="14" l="1"/>
  <c r="P121" i="14"/>
  <c r="Q847" i="4" s="1"/>
  <c r="Q303" i="4" s="1"/>
  <c r="Q43" i="4" s="1"/>
  <c r="Q1006" i="4" s="1"/>
  <c r="Q1011" i="4" s="1"/>
  <c r="P176" i="14"/>
  <c r="Q85" i="14" s="1"/>
  <c r="Q839" i="4"/>
  <c r="Q841" i="4" s="1"/>
  <c r="Q843" i="4" s="1"/>
  <c r="AC64" i="14"/>
  <c r="AC67" i="14" s="1"/>
  <c r="AC71" i="14" s="1"/>
  <c r="AC74" i="14" s="1"/>
  <c r="O159" i="3"/>
  <c r="Q294" i="4"/>
  <c r="AB19" i="42"/>
  <c r="O160" i="3"/>
  <c r="Q315" i="4"/>
  <c r="Q318" i="4" s="1"/>
  <c r="N81" i="13" l="1"/>
  <c r="AB50" i="42" s="1"/>
  <c r="Q852" i="4"/>
  <c r="O24" i="3"/>
  <c r="P183" i="14"/>
  <c r="R85" i="14"/>
  <c r="O161" i="3"/>
  <c r="O155" i="3"/>
  <c r="O479" i="34"/>
  <c r="O533" i="34" s="1"/>
  <c r="Q296" i="4"/>
  <c r="Q22" i="4"/>
  <c r="AE70" i="14"/>
  <c r="N19" i="42"/>
  <c r="O480" i="34"/>
  <c r="O534" i="34" s="1"/>
  <c r="AB79" i="42"/>
  <c r="O51" i="15"/>
  <c r="O156" i="3" l="1"/>
  <c r="O157" i="3" s="1"/>
  <c r="N134" i="13"/>
  <c r="N135" i="13" s="1"/>
  <c r="O25" i="3"/>
  <c r="O26" i="3" s="1"/>
  <c r="O207" i="15"/>
  <c r="O481" i="34"/>
  <c r="O487" i="34" s="1"/>
  <c r="O229" i="34" s="1"/>
  <c r="N79" i="42"/>
  <c r="O468" i="34"/>
  <c r="AB52" i="42"/>
  <c r="N50" i="42"/>
  <c r="O467" i="34" s="1"/>
  <c r="Q33" i="4"/>
  <c r="Q25" i="4"/>
  <c r="O20" i="15"/>
  <c r="Q971" i="4"/>
  <c r="Q974" i="4" s="1"/>
  <c r="Q298" i="4"/>
  <c r="O517" i="34"/>
  <c r="O535" i="34"/>
  <c r="O543" i="34"/>
  <c r="O518" i="34"/>
  <c r="O527" i="34" s="1"/>
  <c r="O152" i="15"/>
  <c r="N24" i="34"/>
  <c r="O796" i="34" l="1"/>
  <c r="O801" i="34" s="1"/>
  <c r="O469" i="34"/>
  <c r="O250" i="3" s="1"/>
  <c r="N30" i="34"/>
  <c r="N26" i="34"/>
  <c r="N147" i="34"/>
  <c r="N149" i="34" s="1"/>
  <c r="Q958" i="4"/>
  <c r="Q961" i="4" s="1"/>
  <c r="Q976" i="4" s="1"/>
  <c r="Q980" i="4" s="1"/>
  <c r="Q309" i="4"/>
  <c r="Q994" i="4"/>
  <c r="Q996" i="4" s="1"/>
  <c r="Q36" i="4"/>
  <c r="O475" i="34"/>
  <c r="O226" i="34" s="1"/>
  <c r="O519" i="34"/>
  <c r="AB54" i="42"/>
  <c r="N52" i="42"/>
  <c r="O825" i="34"/>
  <c r="O230" i="34"/>
  <c r="O815" i="34" s="1"/>
  <c r="O260" i="3" s="1"/>
  <c r="Q998" i="4" l="1"/>
  <c r="Q1000" i="4" s="1"/>
  <c r="N37" i="13"/>
  <c r="N425" i="34"/>
  <c r="N429" i="34" s="1"/>
  <c r="N431" i="34" s="1"/>
  <c r="N271" i="34" s="1"/>
  <c r="N797" i="34" s="1"/>
  <c r="Q38" i="4"/>
  <c r="Q49" i="4" s="1"/>
  <c r="N123" i="3" s="1"/>
  <c r="O16" i="3"/>
  <c r="N410" i="34"/>
  <c r="N413" i="34" s="1"/>
  <c r="N415" i="34" s="1"/>
  <c r="N269" i="34" s="1"/>
  <c r="N54" i="42"/>
  <c r="O227" i="34"/>
  <c r="N153" i="34"/>
  <c r="N155" i="34" s="1"/>
  <c r="N156" i="34" s="1"/>
  <c r="N157" i="34" s="1"/>
  <c r="N160" i="34" s="1"/>
  <c r="N162" i="34" s="1"/>
  <c r="N32" i="34"/>
  <c r="N33" i="34" s="1"/>
  <c r="N34" i="34" s="1"/>
  <c r="N37" i="34" s="1"/>
  <c r="N39" i="34" s="1"/>
  <c r="N246" i="3" l="1"/>
  <c r="N124" i="3"/>
  <c r="N276" i="3"/>
  <c r="N38" i="13"/>
  <c r="N41" i="13" s="1"/>
  <c r="N45" i="13"/>
  <c r="O188" i="15" l="1"/>
  <c r="AB18" i="42"/>
  <c r="N46" i="13"/>
  <c r="N52" i="13" s="1"/>
  <c r="N117" i="13"/>
  <c r="N118" i="13" s="1"/>
  <c r="N120" i="13" s="1"/>
  <c r="N126" i="13" s="1"/>
  <c r="N138" i="13" s="1"/>
  <c r="N59" i="13" l="1"/>
  <c r="N83" i="13" s="1"/>
  <c r="N88" i="13" s="1"/>
  <c r="O17" i="3"/>
  <c r="AB78" i="42"/>
  <c r="AB82" i="42" s="1"/>
  <c r="N18" i="42"/>
  <c r="O52" i="15"/>
  <c r="AB24" i="42"/>
  <c r="AB26" i="42" s="1"/>
  <c r="O808" i="34"/>
  <c r="O809" i="34" s="1"/>
  <c r="O189" i="15"/>
  <c r="O195" i="15" s="1"/>
  <c r="O133" i="15"/>
  <c r="O134" i="15" s="1"/>
  <c r="O140" i="15" s="1"/>
  <c r="O165" i="15" l="1"/>
  <c r="AB88" i="42"/>
  <c r="AB84" i="42"/>
  <c r="AB89" i="42" s="1"/>
  <c r="O21" i="15"/>
  <c r="O25" i="15" s="1"/>
  <c r="O56" i="15"/>
  <c r="AB36" i="42"/>
  <c r="AB56" i="42" s="1"/>
  <c r="N26" i="42"/>
  <c r="N36" i="42" s="1"/>
  <c r="N90" i="42"/>
  <c r="N87" i="42" s="1"/>
  <c r="O18" i="3"/>
  <c r="O280" i="3"/>
  <c r="N141" i="13"/>
  <c r="N144" i="13" s="1"/>
  <c r="N146" i="13" s="1"/>
  <c r="O92" i="3" s="1"/>
  <c r="AB60" i="42"/>
  <c r="N60" i="42" s="1"/>
  <c r="O220" i="15"/>
  <c r="N78" i="42"/>
  <c r="N82" i="42" s="1"/>
  <c r="N84" i="42" s="1"/>
  <c r="N24" i="42"/>
  <c r="O225" i="15" l="1"/>
  <c r="O6" i="34"/>
  <c r="O58" i="15"/>
  <c r="O60" i="15"/>
  <c r="O239" i="3" s="1"/>
  <c r="O309" i="34"/>
  <c r="AB62" i="42"/>
  <c r="N56" i="42"/>
  <c r="N62" i="42" s="1"/>
  <c r="O27" i="15"/>
  <c r="O29" i="15"/>
  <c r="O238" i="3" s="1"/>
  <c r="O292" i="34"/>
  <c r="O540" i="34" l="1"/>
  <c r="O545" i="34" s="1"/>
  <c r="O546" i="34" s="1"/>
  <c r="O251" i="34" s="1"/>
  <c r="O313" i="34"/>
  <c r="O314" i="34" s="1"/>
  <c r="O316" i="34" s="1"/>
  <c r="O654" i="34"/>
  <c r="O657" i="34" s="1"/>
  <c r="O664" i="34" s="1"/>
  <c r="O667" i="34" s="1"/>
  <c r="O226" i="15"/>
  <c r="O170" i="15"/>
  <c r="O171" i="15" s="1"/>
  <c r="O231" i="15"/>
  <c r="O524" i="34"/>
  <c r="O529" i="34" s="1"/>
  <c r="O295" i="34"/>
  <c r="O636" i="34"/>
  <c r="O638" i="34" s="1"/>
  <c r="O261" i="34" s="1"/>
  <c r="O10" i="34"/>
  <c r="O129" i="34"/>
  <c r="O133" i="34" l="1"/>
  <c r="O630" i="34"/>
  <c r="O419" i="34"/>
  <c r="O423" i="34" s="1"/>
  <c r="O19" i="34"/>
  <c r="O530" i="34"/>
  <c r="O249" i="34" s="1"/>
  <c r="O251" i="3"/>
  <c r="O668" i="34"/>
  <c r="O220" i="34"/>
  <c r="O247" i="3"/>
  <c r="O296" i="34"/>
  <c r="O298" i="34" s="1"/>
  <c r="O169" i="34" s="1"/>
  <c r="O232" i="15"/>
  <c r="O176" i="15"/>
  <c r="O177" i="15" s="1"/>
  <c r="O674" i="34"/>
  <c r="O279" i="34" s="1"/>
  <c r="O829" i="34"/>
  <c r="O172" i="34"/>
  <c r="O790" i="34"/>
  <c r="O805" i="34" s="1"/>
  <c r="O173" i="34" l="1"/>
  <c r="O819" i="34" s="1"/>
  <c r="O264" i="3" s="1"/>
  <c r="O243" i="3"/>
  <c r="O170" i="34"/>
  <c r="O253" i="3"/>
  <c r="O632" i="34"/>
  <c r="O259" i="34" s="1"/>
  <c r="O795" i="34"/>
  <c r="O804" i="34" s="1"/>
  <c r="O817" i="34"/>
  <c r="O142" i="34"/>
  <c r="O404" i="34"/>
  <c r="O408" i="34" s="1"/>
  <c r="O827" i="34" l="1"/>
  <c r="O262" i="3"/>
  <c r="Q92" i="14"/>
  <c r="R92" i="14"/>
  <c r="Q120" i="14"/>
  <c r="R120" i="14" l="1"/>
  <c r="AF16" i="14"/>
  <c r="R820" i="4" s="1"/>
  <c r="Q119" i="14"/>
  <c r="R282" i="4" l="1"/>
  <c r="R839" i="4"/>
  <c r="R841" i="4" s="1"/>
  <c r="R843" i="4" s="1"/>
  <c r="AE16" i="14"/>
  <c r="R847" i="4" s="1"/>
  <c r="R303" i="4" s="1"/>
  <c r="R43" i="4" s="1"/>
  <c r="Q194" i="14"/>
  <c r="Q121" i="14" s="1"/>
  <c r="R119" i="14"/>
  <c r="Q139" i="14"/>
  <c r="R139" i="14" s="1"/>
  <c r="Q140" i="14"/>
  <c r="R140" i="14" s="1"/>
  <c r="P24" i="3" l="1"/>
  <c r="R1006" i="4"/>
  <c r="R1011" i="4" s="1"/>
  <c r="Q176" i="14"/>
  <c r="R852" i="4"/>
  <c r="R315" i="4"/>
  <c r="R318" i="4" s="1"/>
  <c r="R294" i="4"/>
  <c r="Q198" i="14"/>
  <c r="Q141" i="14" s="1"/>
  <c r="Q145" i="14"/>
  <c r="AF48" i="14" s="1"/>
  <c r="Q144" i="14"/>
  <c r="R144" i="14" s="1"/>
  <c r="Q180" i="14" l="1"/>
  <c r="R22" i="4"/>
  <c r="R296" i="4"/>
  <c r="AF49" i="14"/>
  <c r="R1061" i="6" s="1"/>
  <c r="Q199" i="14"/>
  <c r="R145" i="14"/>
  <c r="AE48" i="14"/>
  <c r="R298" i="4" l="1"/>
  <c r="R971" i="4"/>
  <c r="R974" i="4" s="1"/>
  <c r="R33" i="4"/>
  <c r="R25" i="4"/>
  <c r="Q146" i="14"/>
  <c r="Q181" i="14"/>
  <c r="Q183" i="14" s="1"/>
  <c r="Q201" i="14"/>
  <c r="R1068" i="6"/>
  <c r="R1069" i="6" s="1"/>
  <c r="R1073" i="6" s="1"/>
  <c r="R268" i="6"/>
  <c r="AE64" i="14"/>
  <c r="W11" i="37"/>
  <c r="AE49" i="14"/>
  <c r="R1076" i="6" s="1"/>
  <c r="R286" i="6" s="1"/>
  <c r="R61" i="6" s="1"/>
  <c r="AF64" i="14"/>
  <c r="R994" i="4" l="1"/>
  <c r="R996" i="4" s="1"/>
  <c r="R36" i="4"/>
  <c r="R958" i="4"/>
  <c r="R961" i="4" s="1"/>
  <c r="R976" i="4" s="1"/>
  <c r="R980" i="4" s="1"/>
  <c r="R309" i="4"/>
  <c r="R1081" i="6"/>
  <c r="O81" i="13"/>
  <c r="P23" i="3"/>
  <c r="W97" i="37"/>
  <c r="W101" i="37" s="1"/>
  <c r="W36" i="37"/>
  <c r="W45" i="37" s="1"/>
  <c r="W84" i="37" s="1"/>
  <c r="P181" i="3" s="1"/>
  <c r="P155" i="3"/>
  <c r="P479" i="34"/>
  <c r="AE67" i="14"/>
  <c r="AE71" i="14" s="1"/>
  <c r="AE74" i="14" s="1"/>
  <c r="P30" i="34" s="1"/>
  <c r="AF67" i="14"/>
  <c r="P159" i="3"/>
  <c r="P160" i="3"/>
  <c r="R275" i="6"/>
  <c r="AC19" i="42"/>
  <c r="R38" i="4" l="1"/>
  <c r="R49" i="4" s="1"/>
  <c r="O123" i="3" s="1"/>
  <c r="O124" i="3" s="1"/>
  <c r="P16" i="3"/>
  <c r="O37" i="13"/>
  <c r="O38" i="13" s="1"/>
  <c r="O41" i="13" s="1"/>
  <c r="R998" i="4"/>
  <c r="R1000" i="4" s="1"/>
  <c r="P161" i="3"/>
  <c r="P156" i="3"/>
  <c r="P157" i="3" s="1"/>
  <c r="P207" i="15"/>
  <c r="O134" i="13"/>
  <c r="O135" i="13" s="1"/>
  <c r="P25" i="3"/>
  <c r="P26" i="3" s="1"/>
  <c r="AC50" i="42"/>
  <c r="P153" i="34"/>
  <c r="P155" i="34" s="1"/>
  <c r="P156" i="34" s="1"/>
  <c r="P32" i="34"/>
  <c r="P33" i="34" s="1"/>
  <c r="R277" i="6"/>
  <c r="R25" i="6"/>
  <c r="P533" i="34"/>
  <c r="P480" i="34"/>
  <c r="P534" i="34" s="1"/>
  <c r="AC79" i="42"/>
  <c r="O19" i="42"/>
  <c r="P51" i="15"/>
  <c r="R41" i="6" l="1"/>
  <c r="R35" i="6"/>
  <c r="O79" i="42"/>
  <c r="P468" i="34"/>
  <c r="P481" i="34"/>
  <c r="P487" i="34" s="1"/>
  <c r="P517" i="34"/>
  <c r="P535" i="34"/>
  <c r="P518" i="34"/>
  <c r="P527" i="34" s="1"/>
  <c r="P543" i="34"/>
  <c r="P152" i="15"/>
  <c r="O24" i="34"/>
  <c r="P20" i="15"/>
  <c r="R2059" i="6"/>
  <c r="R2069" i="6" s="1"/>
  <c r="R281" i="6"/>
  <c r="O50" i="42"/>
  <c r="P467" i="34" s="1"/>
  <c r="AC52" i="42"/>
  <c r="P469" i="34" l="1"/>
  <c r="P250" i="3" s="1"/>
  <c r="P519" i="34"/>
  <c r="R292" i="6"/>
  <c r="P122" i="3" s="1"/>
  <c r="P124" i="3" s="1"/>
  <c r="R2039" i="6"/>
  <c r="R2049" i="6" s="1"/>
  <c r="R2071" i="6" s="1"/>
  <c r="O30" i="34"/>
  <c r="O26" i="34"/>
  <c r="O147" i="34"/>
  <c r="O149" i="34" s="1"/>
  <c r="R2077" i="6"/>
  <c r="R51" i="6"/>
  <c r="O27" i="13"/>
  <c r="O52" i="42"/>
  <c r="AC54" i="42"/>
  <c r="P229" i="34"/>
  <c r="P796" i="34"/>
  <c r="P801" i="34" s="1"/>
  <c r="P475" i="34" l="1"/>
  <c r="P226" i="34" s="1"/>
  <c r="P227" i="34" s="1"/>
  <c r="O410" i="34"/>
  <c r="O413" i="34" s="1"/>
  <c r="O415" i="34" s="1"/>
  <c r="O269" i="34" s="1"/>
  <c r="R56" i="6"/>
  <c r="R67" i="6" s="1"/>
  <c r="P15" i="3"/>
  <c r="O425" i="34"/>
  <c r="O429" i="34" s="1"/>
  <c r="O431" i="34" s="1"/>
  <c r="O271" i="34" s="1"/>
  <c r="O797" i="34" s="1"/>
  <c r="P825" i="34"/>
  <c r="P230" i="34"/>
  <c r="P815" i="34" s="1"/>
  <c r="P260" i="3" s="1"/>
  <c r="O28" i="13"/>
  <c r="O33" i="13" s="1"/>
  <c r="O45" i="13"/>
  <c r="O54" i="42"/>
  <c r="O153" i="34"/>
  <c r="O155" i="34" s="1"/>
  <c r="O156" i="34" s="1"/>
  <c r="O157" i="34" s="1"/>
  <c r="O160" i="34" s="1"/>
  <c r="O162" i="34" s="1"/>
  <c r="O32" i="34"/>
  <c r="O33" i="34" s="1"/>
  <c r="O34" i="34" s="1"/>
  <c r="O37" i="34" s="1"/>
  <c r="O39" i="34" s="1"/>
  <c r="O246" i="3" l="1"/>
  <c r="O276" i="3" s="1"/>
  <c r="O46" i="13"/>
  <c r="O52" i="13" s="1"/>
  <c r="P188" i="15"/>
  <c r="AC18" i="42"/>
  <c r="O117" i="13"/>
  <c r="O118" i="13" s="1"/>
  <c r="O120" i="13" s="1"/>
  <c r="O126" i="13" s="1"/>
  <c r="O138" i="13" s="1"/>
  <c r="P17" i="3" l="1"/>
  <c r="O59" i="13"/>
  <c r="O83" i="13" s="1"/>
  <c r="O88" i="13" s="1"/>
  <c r="P808" i="34"/>
  <c r="P809" i="34" s="1"/>
  <c r="P133" i="15"/>
  <c r="P134" i="15" s="1"/>
  <c r="P140" i="15" s="1"/>
  <c r="P189" i="15"/>
  <c r="P195" i="15" s="1"/>
  <c r="P52" i="15"/>
  <c r="AC78" i="42"/>
  <c r="AC82" i="42" s="1"/>
  <c r="O18" i="42"/>
  <c r="AC24" i="42"/>
  <c r="AC26" i="42" s="1"/>
  <c r="AC84" i="42" l="1"/>
  <c r="AC89" i="42" s="1"/>
  <c r="AC88" i="42"/>
  <c r="P21" i="15"/>
  <c r="P25" i="15" s="1"/>
  <c r="P56" i="15"/>
  <c r="AC36" i="42"/>
  <c r="AC56" i="42" s="1"/>
  <c r="O26" i="42"/>
  <c r="O36" i="42" s="1"/>
  <c r="P280" i="3"/>
  <c r="AC60" i="42"/>
  <c r="O60" i="42" s="1"/>
  <c r="O141" i="13"/>
  <c r="O144" i="13" s="1"/>
  <c r="O146" i="13" s="1"/>
  <c r="P92" i="3" s="1"/>
  <c r="P220" i="15"/>
  <c r="O78" i="42"/>
  <c r="O82" i="42" s="1"/>
  <c r="O84" i="42" s="1"/>
  <c r="O24" i="42"/>
  <c r="P165" i="15"/>
  <c r="P18" i="3"/>
  <c r="P309" i="34" l="1"/>
  <c r="P60" i="15"/>
  <c r="P239" i="3" s="1"/>
  <c r="P58" i="15"/>
  <c r="P29" i="15"/>
  <c r="P238" i="3" s="1"/>
  <c r="P27" i="15"/>
  <c r="P292" i="34"/>
  <c r="P225" i="15"/>
  <c r="P6" i="34"/>
  <c r="O56" i="42"/>
  <c r="O62" i="42" s="1"/>
  <c r="AC62" i="42"/>
  <c r="P524" i="34" l="1"/>
  <c r="P529" i="34" s="1"/>
  <c r="P295" i="34"/>
  <c r="P231" i="15"/>
  <c r="P226" i="15"/>
  <c r="P170" i="15"/>
  <c r="P171" i="15" s="1"/>
  <c r="P636" i="34"/>
  <c r="P638" i="34" s="1"/>
  <c r="P261" i="34" s="1"/>
  <c r="P129" i="34"/>
  <c r="P10" i="34"/>
  <c r="P540" i="34"/>
  <c r="P545" i="34" s="1"/>
  <c r="P546" i="34" s="1"/>
  <c r="P251" i="34" s="1"/>
  <c r="P313" i="34"/>
  <c r="P314" i="34" s="1"/>
  <c r="P316" i="34" s="1"/>
  <c r="P654" i="34"/>
  <c r="P657" i="34" s="1"/>
  <c r="P664" i="34" s="1"/>
  <c r="P667" i="34" s="1"/>
  <c r="P220" i="34" l="1"/>
  <c r="P668" i="34"/>
  <c r="P630" i="34"/>
  <c r="P133" i="34"/>
  <c r="P176" i="15"/>
  <c r="P177" i="15" s="1"/>
  <c r="P232" i="15"/>
  <c r="P674" i="34"/>
  <c r="P279" i="34" s="1"/>
  <c r="P829" i="34"/>
  <c r="P790" i="34"/>
  <c r="P805" i="34" s="1"/>
  <c r="P172" i="34"/>
  <c r="P173" i="34" s="1"/>
  <c r="P819" i="34" s="1"/>
  <c r="P264" i="3" s="1"/>
  <c r="P247" i="3"/>
  <c r="P296" i="34"/>
  <c r="P298" i="34" s="1"/>
  <c r="P169" i="34" s="1"/>
  <c r="P170" i="34" s="1"/>
  <c r="P19" i="34"/>
  <c r="P34" i="34" s="1"/>
  <c r="P37" i="34" s="1"/>
  <c r="P39" i="34" s="1"/>
  <c r="P419" i="34"/>
  <c r="P423" i="34" s="1"/>
  <c r="P431" i="34" s="1"/>
  <c r="P271" i="34" s="1"/>
  <c r="P797" i="34" s="1"/>
  <c r="P530" i="34"/>
  <c r="P249" i="34" s="1"/>
  <c r="P251" i="3"/>
  <c r="P142" i="34" l="1"/>
  <c r="P157" i="34" s="1"/>
  <c r="P160" i="34" s="1"/>
  <c r="P162" i="34" s="1"/>
  <c r="P246" i="3" s="1"/>
  <c r="P404" i="34"/>
  <c r="P408" i="34" s="1"/>
  <c r="P415" i="34" s="1"/>
  <c r="P269" i="34" s="1"/>
  <c r="P253" i="3"/>
  <c r="P632" i="34"/>
  <c r="P259" i="34" s="1"/>
  <c r="P243" i="3"/>
  <c r="P795" i="34"/>
  <c r="P804" i="34" s="1"/>
  <c r="P817" i="34"/>
  <c r="P262" i="3" l="1"/>
  <c r="P276" i="3" s="1"/>
  <c r="P827" i="34"/>
</calcChain>
</file>

<file path=xl/comments1.xml><?xml version="1.0" encoding="utf-8"?>
<comments xmlns="http://schemas.openxmlformats.org/spreadsheetml/2006/main">
  <authors>
    <author>Linda Coulter</author>
    <author>bsc</author>
  </authors>
  <commentList>
    <comment ref="C49" authorId="0">
      <text>
        <r>
          <rPr>
            <b/>
            <sz val="9"/>
            <color indexed="81"/>
            <rFont val="Tahoma"/>
            <family val="2"/>
          </rPr>
          <t>Linda Coulter:</t>
        </r>
        <r>
          <rPr>
            <sz val="9"/>
            <color indexed="81"/>
            <rFont val="Tahoma"/>
            <family val="2"/>
          </rPr>
          <t xml:space="preserve">
Unreconciled error of $47,100</t>
        </r>
      </text>
    </comment>
    <comment ref="D196" authorId="1">
      <text>
        <r>
          <rPr>
            <b/>
            <sz val="8"/>
            <color indexed="81"/>
            <rFont val="Tahoma"/>
            <family val="2"/>
          </rPr>
          <t>bsc:</t>
        </r>
        <r>
          <rPr>
            <sz val="8"/>
            <color indexed="81"/>
            <rFont val="Tahoma"/>
            <family val="2"/>
          </rPr>
          <t xml:space="preserve">
Target Div incr due to Halls &amp; Naval Mus moving to Strageic dec 2013.
</t>
        </r>
      </text>
    </comment>
  </commentList>
</comments>
</file>

<file path=xl/comments10.xml><?xml version="1.0" encoding="utf-8"?>
<comments xmlns="http://schemas.openxmlformats.org/spreadsheetml/2006/main">
  <authors>
    <author>bsc</author>
    <author>PETERM</author>
  </authors>
  <commentList>
    <comment ref="A88" authorId="0">
      <text>
        <r>
          <rPr>
            <b/>
            <sz val="8"/>
            <color indexed="81"/>
            <rFont val="Tahoma"/>
            <family val="2"/>
          </rPr>
          <t>bsc:</t>
        </r>
        <r>
          <rPr>
            <sz val="8"/>
            <color indexed="81"/>
            <rFont val="Tahoma"/>
            <family val="2"/>
          </rPr>
          <t>Poss includes some non cash Stock and other adjusts. GF</t>
        </r>
        <r>
          <rPr>
            <sz val="8"/>
            <color indexed="81"/>
            <rFont val="Tahoma"/>
            <family val="2"/>
          </rPr>
          <t xml:space="preserve">
</t>
        </r>
      </text>
    </comment>
    <comment ref="A92" authorId="1">
      <text>
        <r>
          <rPr>
            <b/>
            <sz val="8"/>
            <color indexed="81"/>
            <rFont val="Tahoma"/>
            <family val="2"/>
          </rPr>
          <t>PETERM:</t>
        </r>
        <r>
          <rPr>
            <sz val="8"/>
            <color indexed="81"/>
            <rFont val="Tahoma"/>
            <family val="2"/>
          </rPr>
          <t xml:space="preserve">
The 2010/111 position calculated using LG solutions method less 2011/12 loss (at Dec) less ext 2012/13 loss</t>
        </r>
      </text>
    </comment>
  </commentList>
</comments>
</file>

<file path=xl/comments11.xml><?xml version="1.0" encoding="utf-8"?>
<comments xmlns="http://schemas.openxmlformats.org/spreadsheetml/2006/main">
  <authors>
    <author>Linda Coulter</author>
    <author>Paul Hickey</author>
    <author>PETERM</author>
  </authors>
  <commentList>
    <comment ref="C7" authorId="0">
      <text>
        <r>
          <rPr>
            <b/>
            <sz val="9"/>
            <color indexed="81"/>
            <rFont val="Tahoma"/>
            <family val="2"/>
          </rPr>
          <t>Linda Coulter:</t>
        </r>
        <r>
          <rPr>
            <sz val="9"/>
            <color indexed="81"/>
            <rFont val="Tahoma"/>
            <family val="2"/>
          </rPr>
          <t xml:space="preserve">
W78 for 15/16 year</t>
        </r>
      </text>
    </comment>
    <comment ref="F69" authorId="1">
      <text>
        <r>
          <rPr>
            <b/>
            <sz val="9"/>
            <color indexed="81"/>
            <rFont val="Tahoma"/>
            <family val="2"/>
          </rPr>
          <t>Paul Hickey:</t>
        </r>
        <r>
          <rPr>
            <sz val="9"/>
            <color indexed="81"/>
            <rFont val="Tahoma"/>
            <family val="2"/>
          </rPr>
          <t xml:space="preserve">
Eastern arm erosion $152,000 and $20,000 for Western Foreshore planning etc</t>
        </r>
      </text>
    </comment>
    <comment ref="G69" authorId="1">
      <text>
        <r>
          <rPr>
            <b/>
            <sz val="9"/>
            <color indexed="81"/>
            <rFont val="Tahoma"/>
            <family val="2"/>
          </rPr>
          <t>Paul Hickey:</t>
        </r>
        <r>
          <rPr>
            <sz val="9"/>
            <color indexed="81"/>
            <rFont val="Tahoma"/>
            <family val="2"/>
          </rPr>
          <t xml:space="preserve">
Western Foreshore - funded from reserves</t>
        </r>
      </text>
    </comment>
    <comment ref="F81" authorId="1">
      <text>
        <r>
          <rPr>
            <b/>
            <sz val="9"/>
            <color indexed="81"/>
            <rFont val="Tahoma"/>
            <family val="2"/>
          </rPr>
          <t>Paul Hickey:</t>
        </r>
        <r>
          <rPr>
            <sz val="9"/>
            <color indexed="81"/>
            <rFont val="Tahoma"/>
            <family val="2"/>
          </rPr>
          <t xml:space="preserve">
$25,000 reallocated in 2016/17 and 2017/18 to Admin Centre roof and air conditioning</t>
        </r>
      </text>
    </comment>
    <comment ref="G81" authorId="1">
      <text>
        <r>
          <rPr>
            <b/>
            <sz val="9"/>
            <color indexed="81"/>
            <rFont val="Tahoma"/>
            <family val="2"/>
          </rPr>
          <t>Paul Hickey:</t>
        </r>
        <r>
          <rPr>
            <sz val="9"/>
            <color indexed="81"/>
            <rFont val="Tahoma"/>
            <family val="2"/>
          </rPr>
          <t xml:space="preserve">
$25,000 reallocated in 2016/17 and 2017/18 to Admin Centre roof and air conditioning</t>
        </r>
      </text>
    </comment>
    <comment ref="F82" authorId="1">
      <text>
        <r>
          <rPr>
            <b/>
            <sz val="9"/>
            <color indexed="81"/>
            <rFont val="Tahoma"/>
            <family val="2"/>
          </rPr>
          <t>Paul Hickey:</t>
        </r>
        <r>
          <rPr>
            <sz val="9"/>
            <color indexed="81"/>
            <rFont val="Tahoma"/>
            <family val="2"/>
          </rPr>
          <t xml:space="preserve">
Reduce by $25,000 to ensure revenue funding is $50,000 to offset the two $25,000 reductions for depot and Building Asset Mgmt Program</t>
        </r>
      </text>
    </comment>
    <comment ref="G82" authorId="1">
      <text>
        <r>
          <rPr>
            <b/>
            <sz val="9"/>
            <color indexed="81"/>
            <rFont val="Tahoma"/>
            <family val="2"/>
          </rPr>
          <t>Paul Hickey:</t>
        </r>
        <r>
          <rPr>
            <sz val="9"/>
            <color indexed="81"/>
            <rFont val="Tahoma"/>
            <family val="2"/>
          </rPr>
          <t xml:space="preserve">
Paul Hickey:
Reduce by $25,000 to ensure revenue funding is $50,000 to offset the two $25,000 reductions for depot and Building Asset Mgmt Program</t>
        </r>
      </text>
    </comment>
    <comment ref="U82" authorId="0">
      <text>
        <r>
          <rPr>
            <b/>
            <sz val="9"/>
            <color indexed="81"/>
            <rFont val="Tahoma"/>
            <family val="2"/>
          </rPr>
          <t>Linda Coulter:</t>
        </r>
        <r>
          <rPr>
            <sz val="9"/>
            <color indexed="81"/>
            <rFont val="Tahoma"/>
            <family val="2"/>
          </rPr>
          <t xml:space="preserve">
Cap expend of 496k removed from 15/16 year and transferred to Admin Building Reserve</t>
        </r>
      </text>
    </comment>
    <comment ref="F97" authorId="1">
      <text>
        <r>
          <rPr>
            <b/>
            <sz val="9"/>
            <color indexed="81"/>
            <rFont val="Tahoma"/>
            <family val="2"/>
          </rPr>
          <t>Paul Hickey:</t>
        </r>
        <r>
          <rPr>
            <sz val="9"/>
            <color indexed="81"/>
            <rFont val="Tahoma"/>
            <family val="2"/>
          </rPr>
          <t xml:space="preserve">
$25,000 reallocated in 2016/17 and 2017/18 to Admin Centre roof and air conditioning</t>
        </r>
      </text>
    </comment>
    <comment ref="G97" authorId="1">
      <text>
        <r>
          <rPr>
            <b/>
            <sz val="9"/>
            <color indexed="81"/>
            <rFont val="Tahoma"/>
            <family val="2"/>
          </rPr>
          <t>Paul Hickey:</t>
        </r>
        <r>
          <rPr>
            <sz val="9"/>
            <color indexed="81"/>
            <rFont val="Tahoma"/>
            <family val="2"/>
          </rPr>
          <t xml:space="preserve">
$25,000 reallocated in 2016/17 and 2017/18 to Admin Centre roof and air conditioning</t>
        </r>
      </text>
    </comment>
    <comment ref="H97" authorId="1">
      <text>
        <r>
          <rPr>
            <b/>
            <sz val="9"/>
            <color indexed="81"/>
            <rFont val="Tahoma"/>
            <family val="2"/>
          </rPr>
          <t>Paul Hickey:</t>
        </r>
        <r>
          <rPr>
            <sz val="9"/>
            <color indexed="81"/>
            <rFont val="Tahoma"/>
            <family val="2"/>
          </rPr>
          <t xml:space="preserve">
The funds for this year should all go to the new Ballina Sports Stadium</t>
        </r>
      </text>
    </comment>
    <comment ref="F108" authorId="0">
      <text>
        <r>
          <rPr>
            <b/>
            <sz val="9"/>
            <color indexed="81"/>
            <rFont val="Tahoma"/>
            <family val="2"/>
          </rPr>
          <t>Linda Coulter:</t>
        </r>
        <r>
          <rPr>
            <sz val="9"/>
            <color indexed="81"/>
            <rFont val="Tahoma"/>
            <family val="2"/>
          </rPr>
          <t xml:space="preserve">
51K added, being carry forwared from 15/16 Public amenities program, added to 16/17 for Pop Denison.</t>
        </r>
      </text>
    </comment>
    <comment ref="Q115" authorId="2">
      <text>
        <r>
          <rPr>
            <b/>
            <sz val="9"/>
            <color indexed="81"/>
            <rFont val="Tahoma"/>
            <family val="2"/>
          </rPr>
          <t>PETERM:</t>
        </r>
        <r>
          <rPr>
            <sz val="9"/>
            <color indexed="81"/>
            <rFont val="Tahoma"/>
            <family val="2"/>
          </rPr>
          <t xml:space="preserve">
This is a very rough estimate of grant income to be received for roads and this amount is cpi' ed acrosss the years. 
In 2015/16 we have been advised that we will receive 2 RTR payments. This equates to $597,000 twice. So for the benefit of the LTFP I have increased this year by the value of the extra payment $597.000 to note that it is different to the rest.</t>
        </r>
      </text>
    </comment>
    <comment ref="Q117" authorId="2">
      <text>
        <r>
          <rPr>
            <b/>
            <sz val="9"/>
            <color indexed="81"/>
            <rFont val="Tahoma"/>
            <family val="2"/>
          </rPr>
          <t>PETERM:</t>
        </r>
        <r>
          <rPr>
            <sz val="9"/>
            <color indexed="81"/>
            <rFont val="Tahoma"/>
            <family val="2"/>
          </rPr>
          <t xml:space="preserve">
This is a very rough estimate of grant income to be received for roads and this amount is cpi' ed acrosss the years. 
In 2015/16 we have been advised that we will receive 2 RTR payments. This equates to $597,000 twice. So for the benefit of the LTFP I have increased this year by the value of the extra payment $597.000 to note that it is different to the rest.</t>
        </r>
      </text>
    </comment>
    <comment ref="E121" authorId="0">
      <text>
        <r>
          <rPr>
            <b/>
            <sz val="9"/>
            <color indexed="81"/>
            <rFont val="Tahoma"/>
            <family val="2"/>
          </rPr>
          <t>Linda Coulter:</t>
        </r>
        <r>
          <rPr>
            <sz val="9"/>
            <color indexed="81"/>
            <rFont val="Tahoma"/>
            <family val="2"/>
          </rPr>
          <t xml:space="preserve">
56,800 carry forward</t>
        </r>
      </text>
    </comment>
    <comment ref="AP129" authorId="1">
      <text>
        <r>
          <rPr>
            <b/>
            <sz val="9"/>
            <color indexed="81"/>
            <rFont val="Tahoma"/>
            <family val="2"/>
          </rPr>
          <t>Paul Hickey:</t>
        </r>
        <r>
          <rPr>
            <sz val="9"/>
            <color indexed="81"/>
            <rFont val="Tahoma"/>
            <family val="2"/>
          </rPr>
          <t xml:space="preserve">
Nominal grants to help fund these liabilities</t>
        </r>
      </text>
    </comment>
    <comment ref="F141" authorId="1">
      <text>
        <r>
          <rPr>
            <b/>
            <sz val="9"/>
            <color indexed="81"/>
            <rFont val="Tahoma"/>
            <family val="2"/>
          </rPr>
          <t xml:space="preserve">Paul Hickey:
</t>
        </r>
        <r>
          <rPr>
            <sz val="9"/>
            <color indexed="81"/>
            <rFont val="Tahoma"/>
            <family val="2"/>
          </rPr>
          <t>Carlisle Street Wardell is funded by reserves and should not be carried forward</t>
        </r>
      </text>
    </comment>
    <comment ref="G141" authorId="1">
      <text>
        <r>
          <rPr>
            <b/>
            <sz val="9"/>
            <color indexed="81"/>
            <rFont val="Tahoma"/>
            <family val="2"/>
          </rPr>
          <t>Paul Hickey:</t>
        </r>
        <r>
          <rPr>
            <sz val="9"/>
            <color indexed="81"/>
            <rFont val="Tahoma"/>
            <family val="2"/>
          </rPr>
          <t xml:space="preserve">
The $33,000 restores budget to what it should been however funded was reallocated to Regional Boating Plan</t>
        </r>
      </text>
    </comment>
    <comment ref="H141" authorId="1">
      <text>
        <r>
          <rPr>
            <b/>
            <sz val="9"/>
            <color indexed="81"/>
            <rFont val="Tahoma"/>
            <family val="2"/>
          </rPr>
          <t>Paul Hickey:</t>
        </r>
        <r>
          <rPr>
            <sz val="9"/>
            <color indexed="81"/>
            <rFont val="Tahoma"/>
            <family val="2"/>
          </rPr>
          <t xml:space="preserve">
The adjustments represents what the budget should have been however it was redeuced by $100,000 for three years to fund Regional Boating Plan works - this last year was only $75,000</t>
        </r>
      </text>
    </comment>
    <comment ref="E146" authorId="2">
      <text>
        <r>
          <rPr>
            <b/>
            <sz val="9"/>
            <color indexed="81"/>
            <rFont val="Tahoma"/>
            <family val="2"/>
          </rPr>
          <t>PETERM:</t>
        </r>
        <r>
          <rPr>
            <sz val="9"/>
            <color indexed="81"/>
            <rFont val="Tahoma"/>
            <family val="2"/>
          </rPr>
          <t xml:space="preserve">
the - 20,000 went to lennox CBD masterplan</t>
        </r>
      </text>
    </comment>
    <comment ref="F154" authorId="0">
      <text>
        <r>
          <rPr>
            <b/>
            <sz val="9"/>
            <color indexed="81"/>
            <rFont val="Tahoma"/>
            <family val="2"/>
          </rPr>
          <t>Linda Coulter:</t>
        </r>
        <r>
          <rPr>
            <sz val="9"/>
            <color indexed="81"/>
            <rFont val="Tahoma"/>
            <family val="2"/>
          </rPr>
          <t xml:space="preserve">
16/17 expenditure for Captain Cook Park Pontoon per Paul B summary is $258k. Reduction of $32k relates to "negative" expenditure for Brunswick St boatramp per Paul B summary.</t>
        </r>
      </text>
    </comment>
    <comment ref="Y154" authorId="0">
      <text>
        <r>
          <rPr>
            <b/>
            <sz val="9"/>
            <color indexed="81"/>
            <rFont val="Tahoma"/>
            <family val="2"/>
          </rPr>
          <t>Linda Coulter:</t>
        </r>
        <r>
          <rPr>
            <sz val="9"/>
            <color indexed="81"/>
            <rFont val="Tahoma"/>
            <family val="2"/>
          </rPr>
          <t xml:space="preserve">
Deduction of $12k relates to "negatives" for Brunswick St boatramp per Paul B summary.</t>
        </r>
      </text>
    </comment>
    <comment ref="Y155" authorId="0">
      <text>
        <r>
          <rPr>
            <b/>
            <sz val="9"/>
            <color indexed="81"/>
            <rFont val="Tahoma"/>
            <family val="2"/>
          </rPr>
          <t>Linda Coulter:</t>
        </r>
        <r>
          <rPr>
            <sz val="9"/>
            <color indexed="81"/>
            <rFont val="Tahoma"/>
            <family val="2"/>
          </rPr>
          <t xml:space="preserve">
Amount from reserve $35000 less $20000 added back to reserve from Lennox Boat Ramp</t>
        </r>
      </text>
    </comment>
    <comment ref="U157" authorId="1">
      <text>
        <r>
          <rPr>
            <b/>
            <sz val="9"/>
            <color indexed="81"/>
            <rFont val="Tahoma"/>
            <family val="2"/>
          </rPr>
          <t>Paul Hickey:</t>
        </r>
        <r>
          <rPr>
            <sz val="9"/>
            <color indexed="81"/>
            <rFont val="Tahoma"/>
            <family val="2"/>
          </rPr>
          <t xml:space="preserve">
$50,000 funded from the reduction in the footpaths budget</t>
        </r>
      </text>
    </comment>
    <comment ref="U158" authorId="1">
      <text>
        <r>
          <rPr>
            <b/>
            <sz val="9"/>
            <color indexed="81"/>
            <rFont val="Tahoma"/>
            <family val="2"/>
          </rPr>
          <t>Paul Hickey:</t>
        </r>
        <r>
          <rPr>
            <sz val="9"/>
            <color indexed="81"/>
            <rFont val="Tahoma"/>
            <family val="2"/>
          </rPr>
          <t xml:space="preserve">
Funded by $100,000 reduction in footpath works</t>
        </r>
      </text>
    </comment>
    <comment ref="Y161" authorId="0">
      <text>
        <r>
          <rPr>
            <b/>
            <sz val="9"/>
            <color indexed="81"/>
            <rFont val="Tahoma"/>
            <family val="2"/>
          </rPr>
          <t>Linda Coulter:</t>
        </r>
        <r>
          <rPr>
            <sz val="9"/>
            <color indexed="81"/>
            <rFont val="Tahoma"/>
            <family val="2"/>
          </rPr>
          <t xml:space="preserve">
$20000 add back to reserve netted off against the East Wardell pontoon above.</t>
        </r>
      </text>
    </comment>
    <comment ref="A187" authorId="0">
      <text>
        <r>
          <rPr>
            <b/>
            <sz val="9"/>
            <color indexed="81"/>
            <rFont val="Tahoma"/>
            <family val="2"/>
          </rPr>
          <t>Linda Coulter:</t>
        </r>
        <r>
          <rPr>
            <sz val="9"/>
            <color indexed="81"/>
            <rFont val="Tahoma"/>
            <family val="2"/>
          </rPr>
          <t xml:space="preserve">
In-principle support of $20,000 re proposal from Ballina Tennis Club to be funded from the 17/18 Community Sports Capital Works, per Nov 16 Council meeting.</t>
        </r>
      </text>
    </comment>
    <comment ref="E193" authorId="0">
      <text>
        <r>
          <rPr>
            <b/>
            <sz val="9"/>
            <color indexed="81"/>
            <rFont val="Tahoma"/>
            <family val="2"/>
          </rPr>
          <t>Linda Coulter:</t>
        </r>
        <r>
          <rPr>
            <sz val="9"/>
            <color indexed="81"/>
            <rFont val="Tahoma"/>
            <family val="2"/>
          </rPr>
          <t xml:space="preserve">
Disposals of 317,200 deducted from here.</t>
        </r>
      </text>
    </comment>
    <comment ref="E282" authorId="0">
      <text>
        <r>
          <rPr>
            <b/>
            <sz val="9"/>
            <color indexed="81"/>
            <rFont val="Tahoma"/>
            <family val="2"/>
          </rPr>
          <t>Linda Coulter:</t>
        </r>
        <r>
          <rPr>
            <sz val="9"/>
            <color indexed="81"/>
            <rFont val="Tahoma"/>
            <family val="2"/>
          </rPr>
          <t xml:space="preserve">
$106,200 from s94</t>
        </r>
      </text>
    </comment>
    <comment ref="E308" authorId="0">
      <text>
        <r>
          <rPr>
            <b/>
            <sz val="9"/>
            <color indexed="81"/>
            <rFont val="Tahoma"/>
            <family val="2"/>
          </rPr>
          <t>Linda Coulter:</t>
        </r>
        <r>
          <rPr>
            <sz val="9"/>
            <color indexed="81"/>
            <rFont val="Tahoma"/>
            <family val="2"/>
          </rPr>
          <t xml:space="preserve">
174,000 is R2R</t>
        </r>
      </text>
    </comment>
    <comment ref="Z317" authorId="0">
      <text>
        <r>
          <rPr>
            <b/>
            <sz val="9"/>
            <color indexed="81"/>
            <rFont val="Tahoma"/>
            <family val="2"/>
          </rPr>
          <t>Linda Coulter:</t>
        </r>
        <r>
          <rPr>
            <sz val="9"/>
            <color indexed="81"/>
            <rFont val="Tahoma"/>
            <family val="2"/>
          </rPr>
          <t xml:space="preserve">
top up to W560 of $21,400 funded from revenue per Alex D in Dec qtr review.</t>
        </r>
      </text>
    </comment>
    <comment ref="Z318" authorId="0">
      <text>
        <r>
          <rPr>
            <b/>
            <sz val="9"/>
            <color indexed="81"/>
            <rFont val="Tahoma"/>
            <family val="2"/>
          </rPr>
          <t xml:space="preserve">Linda Coulter:
</t>
        </r>
        <r>
          <rPr>
            <sz val="9"/>
            <color indexed="81"/>
            <rFont val="Tahoma"/>
            <family val="2"/>
          </rPr>
          <t>$36,000 funded from stormwater, per Alex D, Dec qtr review.</t>
        </r>
      </text>
    </comment>
    <comment ref="E334" authorId="0">
      <text>
        <r>
          <rPr>
            <b/>
            <sz val="9"/>
            <color indexed="81"/>
            <rFont val="Tahoma"/>
            <family val="2"/>
          </rPr>
          <t>Linda Coulter:</t>
        </r>
        <r>
          <rPr>
            <sz val="9"/>
            <color indexed="81"/>
            <rFont val="Tahoma"/>
            <family val="2"/>
          </rPr>
          <t xml:space="preserve">
total ND spend</t>
        </r>
      </text>
    </comment>
    <comment ref="V342" authorId="0">
      <text>
        <r>
          <rPr>
            <b/>
            <sz val="9"/>
            <color indexed="81"/>
            <rFont val="Tahoma"/>
            <family val="2"/>
          </rPr>
          <t>Linda Coulter:</t>
        </r>
        <r>
          <rPr>
            <sz val="9"/>
            <color indexed="81"/>
            <rFont val="Tahoma"/>
            <family val="2"/>
          </rPr>
          <t xml:space="preserve">
As at 17/6/16, don’t have a forecast for how the 16/17  R2R is to be allocated, per Paul B.</t>
        </r>
      </text>
    </comment>
    <comment ref="T344" authorId="0">
      <text>
        <r>
          <rPr>
            <b/>
            <sz val="9"/>
            <color indexed="81"/>
            <rFont val="Tahoma"/>
            <family val="2"/>
          </rPr>
          <t>Linda Coulter:</t>
        </r>
        <r>
          <rPr>
            <sz val="9"/>
            <color indexed="81"/>
            <rFont val="Tahoma"/>
            <family val="2"/>
          </rPr>
          <t xml:space="preserve">
Funding has not been corrected on a job by job basis above. This 192,000 has been put here simply to bring the checks into balance.</t>
        </r>
      </text>
    </comment>
  </commentList>
</comments>
</file>

<file path=xl/comments12.xml><?xml version="1.0" encoding="utf-8"?>
<comments xmlns="http://schemas.openxmlformats.org/spreadsheetml/2006/main">
  <authors>
    <author>Linda Coulter</author>
  </authors>
  <commentList>
    <comment ref="C14" authorId="0">
      <text>
        <r>
          <rPr>
            <b/>
            <sz val="9"/>
            <color indexed="81"/>
            <rFont val="Tahoma"/>
            <family val="2"/>
          </rPr>
          <t>Linda Coulter:</t>
        </r>
        <r>
          <rPr>
            <sz val="9"/>
            <color indexed="81"/>
            <rFont val="Tahoma"/>
            <family val="2"/>
          </rPr>
          <t xml:space="preserve">
previously master 26102</t>
        </r>
      </text>
    </comment>
    <comment ref="C21" authorId="0">
      <text>
        <r>
          <rPr>
            <b/>
            <sz val="9"/>
            <color indexed="81"/>
            <rFont val="Tahoma"/>
            <family val="2"/>
          </rPr>
          <t>Linda Coulter:</t>
        </r>
        <r>
          <rPr>
            <sz val="9"/>
            <color indexed="81"/>
            <rFont val="Tahoma"/>
            <family val="2"/>
          </rPr>
          <t xml:space="preserve">
previously master 22000</t>
        </r>
      </text>
    </comment>
    <comment ref="C36" authorId="0">
      <text>
        <r>
          <rPr>
            <b/>
            <sz val="9"/>
            <color indexed="81"/>
            <rFont val="Tahoma"/>
            <family val="2"/>
          </rPr>
          <t>Linda Coulter:</t>
        </r>
        <r>
          <rPr>
            <sz val="9"/>
            <color indexed="81"/>
            <rFont val="Tahoma"/>
            <family val="2"/>
          </rPr>
          <t xml:space="preserve">
previously master 22112</t>
        </r>
      </text>
    </comment>
    <comment ref="C80" authorId="0">
      <text>
        <r>
          <rPr>
            <b/>
            <sz val="9"/>
            <color indexed="81"/>
            <rFont val="Tahoma"/>
            <family val="2"/>
          </rPr>
          <t>Linda Coulter:</t>
        </r>
        <r>
          <rPr>
            <sz val="9"/>
            <color indexed="81"/>
            <rFont val="Tahoma"/>
            <family val="2"/>
          </rPr>
          <t xml:space="preserve">
previously master 24004</t>
        </r>
      </text>
    </comment>
    <comment ref="C109" authorId="0">
      <text>
        <r>
          <rPr>
            <b/>
            <sz val="9"/>
            <color indexed="81"/>
            <rFont val="Tahoma"/>
            <family val="2"/>
          </rPr>
          <t>Linda Coulter:</t>
        </r>
        <r>
          <rPr>
            <sz val="9"/>
            <color indexed="81"/>
            <rFont val="Tahoma"/>
            <family val="2"/>
          </rPr>
          <t xml:space="preserve">
previously master 26070</t>
        </r>
      </text>
    </comment>
    <comment ref="C137" authorId="0">
      <text>
        <r>
          <rPr>
            <b/>
            <sz val="9"/>
            <color indexed="81"/>
            <rFont val="Tahoma"/>
            <family val="2"/>
          </rPr>
          <t>Linda Coulter:</t>
        </r>
        <r>
          <rPr>
            <sz val="9"/>
            <color indexed="81"/>
            <rFont val="Tahoma"/>
            <family val="2"/>
          </rPr>
          <t xml:space="preserve">
previously master 26102</t>
        </r>
      </text>
    </comment>
  </commentList>
</comments>
</file>

<file path=xl/comments13.xml><?xml version="1.0" encoding="utf-8"?>
<comments xmlns="http://schemas.openxmlformats.org/spreadsheetml/2006/main">
  <authors>
    <author>Paul Hickey</author>
    <author>Linda Coulter</author>
  </authors>
  <commentList>
    <comment ref="E29" authorId="0">
      <text>
        <r>
          <rPr>
            <b/>
            <sz val="9"/>
            <color indexed="81"/>
            <rFont val="Tahoma"/>
            <family val="2"/>
          </rPr>
          <t xml:space="preserve">Paul Hickey:
</t>
        </r>
        <r>
          <rPr>
            <sz val="9"/>
            <color indexed="81"/>
            <rFont val="Tahoma"/>
            <family val="2"/>
          </rPr>
          <t>This figures represents original financial plan cost of loan debt less actual loan debt paid = net transfer to reserve so overall impact on budget is the same.</t>
        </r>
      </text>
    </comment>
    <comment ref="E30" authorId="0">
      <text>
        <r>
          <rPr>
            <b/>
            <sz val="9"/>
            <color indexed="81"/>
            <rFont val="Tahoma"/>
            <family val="2"/>
          </rPr>
          <t xml:space="preserve">Paul Hickey:
</t>
        </r>
        <r>
          <rPr>
            <sz val="9"/>
            <color indexed="81"/>
            <rFont val="Tahoma"/>
            <family val="2"/>
          </rPr>
          <t>This figures represents original financial plan cost of loan debt less actual loan debt paid = net transfer to reserve so overall impact on budget is the same.</t>
        </r>
      </text>
    </comment>
    <comment ref="E89" authorId="1">
      <text>
        <r>
          <rPr>
            <b/>
            <sz val="9"/>
            <color indexed="81"/>
            <rFont val="Tahoma"/>
            <family val="2"/>
          </rPr>
          <t>Linda Coulter:</t>
        </r>
        <r>
          <rPr>
            <sz val="9"/>
            <color indexed="81"/>
            <rFont val="Tahoma"/>
            <family val="2"/>
          </rPr>
          <t xml:space="preserve">
225,000 russellton sales moved to Comm Infra reserve, per Council resolution 19Dec16.</t>
        </r>
      </text>
    </comment>
    <comment ref="F95" authorId="0">
      <text>
        <r>
          <rPr>
            <b/>
            <sz val="9"/>
            <color indexed="81"/>
            <rFont val="Tahoma"/>
            <family val="2"/>
          </rPr>
          <t>Paul Hickey:</t>
        </r>
        <r>
          <rPr>
            <sz val="9"/>
            <color indexed="81"/>
            <rFont val="Tahoma"/>
            <family val="2"/>
          </rPr>
          <t xml:space="preserve">
$15,000 represents auction expenses allowance</t>
        </r>
      </text>
    </comment>
    <comment ref="I118" authorId="0">
      <text>
        <r>
          <rPr>
            <b/>
            <sz val="9"/>
            <color indexed="81"/>
            <rFont val="Tahoma"/>
            <family val="2"/>
          </rPr>
          <t>Paul Hickey:</t>
        </r>
        <r>
          <rPr>
            <sz val="9"/>
            <color indexed="81"/>
            <rFont val="Tahoma"/>
            <family val="2"/>
          </rPr>
          <t xml:space="preserve">
$150,000 represents contribution to Skennars Head Sports Fields</t>
        </r>
      </text>
    </comment>
    <comment ref="F130" authorId="0">
      <text>
        <r>
          <rPr>
            <b/>
            <sz val="9"/>
            <color indexed="81"/>
            <rFont val="Tahoma"/>
            <family val="2"/>
          </rPr>
          <t>Paul Hickey:</t>
        </r>
        <r>
          <rPr>
            <sz val="9"/>
            <color indexed="81"/>
            <rFont val="Tahoma"/>
            <family val="2"/>
          </rPr>
          <t xml:space="preserve">
Reduced this figure by $15,000 as Reserve Balance was overdrawn - appears to be some sort of $15,000 transfer from in 2015/16.
LCO comment: $8k shaws bay and $20k lake ainsw carryforward added</t>
        </r>
      </text>
    </comment>
    <comment ref="F177" authorId="0">
      <text>
        <r>
          <rPr>
            <b/>
            <sz val="9"/>
            <color indexed="81"/>
            <rFont val="Tahoma"/>
            <family val="2"/>
          </rPr>
          <t>Paul Hickey:</t>
        </r>
        <r>
          <rPr>
            <sz val="9"/>
            <color indexed="81"/>
            <rFont val="Tahoma"/>
            <family val="2"/>
          </rPr>
          <t xml:space="preserve">
$50,000 of this is funding pontoon works in Wardell</t>
        </r>
      </text>
    </comment>
    <comment ref="F187" authorId="1">
      <text>
        <r>
          <rPr>
            <b/>
            <sz val="9"/>
            <color indexed="81"/>
            <rFont val="Tahoma"/>
            <family val="2"/>
          </rPr>
          <t>Linda Coulter:</t>
        </r>
        <r>
          <rPr>
            <sz val="9"/>
            <color indexed="81"/>
            <rFont val="Tahoma"/>
            <family val="2"/>
          </rPr>
          <t xml:space="preserve">
Required contribution from reserves is $43k. Of this, $25k is being funded from Property reserves. Another deduction of $12k relates to the "negatives" on Paul B 16/17 expenditure summary.</t>
        </r>
      </text>
    </comment>
    <comment ref="F190" authorId="0">
      <text>
        <r>
          <rPr>
            <b/>
            <sz val="9"/>
            <color indexed="81"/>
            <rFont val="Tahoma"/>
            <family val="2"/>
          </rPr>
          <t>Paul Hickey:</t>
        </r>
        <r>
          <rPr>
            <sz val="9"/>
            <color indexed="81"/>
            <rFont val="Tahoma"/>
            <family val="2"/>
          </rPr>
          <t xml:space="preserve">
From Wardell Town Centre Reserve</t>
        </r>
      </text>
    </comment>
    <comment ref="F227" authorId="0">
      <text>
        <r>
          <rPr>
            <b/>
            <sz val="9"/>
            <color indexed="81"/>
            <rFont val="Tahoma"/>
            <family val="2"/>
          </rPr>
          <t>Paul Hickey:</t>
        </r>
        <r>
          <rPr>
            <sz val="9"/>
            <color indexed="81"/>
            <rFont val="Tahoma"/>
            <family val="2"/>
          </rPr>
          <t xml:space="preserve">
Paul Hickey:
Dividend = $50,000 plus $150,000 for LIRS loans related to road works - The LIRS loans are finalised in 2022/23
</t>
        </r>
      </text>
    </comment>
    <comment ref="X227" authorId="0">
      <text>
        <r>
          <rPr>
            <b/>
            <sz val="9"/>
            <color indexed="81"/>
            <rFont val="Tahoma"/>
            <family val="2"/>
          </rPr>
          <t>Paul Hickey:</t>
        </r>
        <r>
          <rPr>
            <sz val="9"/>
            <color indexed="81"/>
            <rFont val="Tahoma"/>
            <family val="2"/>
          </rPr>
          <t xml:space="preserve">
Dividend = $50,000 plus $150,000 for LIRS loans related to road works - The LIRS loans are finalised in 2022/23 - so reduce this figure this year based on repayments
</t>
        </r>
      </text>
    </comment>
    <comment ref="AD227" authorId="0">
      <text>
        <r>
          <rPr>
            <b/>
            <sz val="9"/>
            <color indexed="81"/>
            <rFont val="Tahoma"/>
            <family val="2"/>
          </rPr>
          <t>Paul Hickey:</t>
        </r>
        <r>
          <rPr>
            <sz val="9"/>
            <color indexed="81"/>
            <rFont val="Tahoma"/>
            <family val="2"/>
          </rPr>
          <t xml:space="preserve">
Paul Hickey:
Dividend = $50,000 plus $150,000 for LIRS loans related to road works - The LIRS loans are finalised in 2022/23
</t>
        </r>
      </text>
    </comment>
    <comment ref="AG227" authorId="0">
      <text>
        <r>
          <rPr>
            <b/>
            <sz val="9"/>
            <color indexed="81"/>
            <rFont val="Tahoma"/>
            <family val="2"/>
          </rPr>
          <t>Paul Hickey:</t>
        </r>
        <r>
          <rPr>
            <sz val="9"/>
            <color indexed="81"/>
            <rFont val="Tahoma"/>
            <family val="2"/>
          </rPr>
          <t xml:space="preserve">
Paul Hickey:
Dividend = $50,000 plus $150,000 for LIRS loans related to road works - The LIRS loans are finalised in 2022/23
</t>
        </r>
      </text>
    </comment>
    <comment ref="AJ227" authorId="0">
      <text>
        <r>
          <rPr>
            <b/>
            <sz val="9"/>
            <color indexed="81"/>
            <rFont val="Tahoma"/>
            <family val="2"/>
          </rPr>
          <t>Paul Hickey:</t>
        </r>
        <r>
          <rPr>
            <sz val="9"/>
            <color indexed="81"/>
            <rFont val="Tahoma"/>
            <family val="2"/>
          </rPr>
          <t xml:space="preserve">
Paul Hickey:
Dividend = $50,000 plus $150,000 for LIRS loans related to road works - The LIRS loans are finalised in 2022/23
</t>
        </r>
      </text>
    </comment>
  </commentList>
</comments>
</file>

<file path=xl/comments14.xml><?xml version="1.0" encoding="utf-8"?>
<comments xmlns="http://schemas.openxmlformats.org/spreadsheetml/2006/main">
  <authors>
    <author>PETERM</author>
    <author>Paul Hickey</author>
  </authors>
  <commentList>
    <comment ref="B71" authorId="0">
      <text>
        <r>
          <rPr>
            <b/>
            <sz val="9"/>
            <color indexed="81"/>
            <rFont val="Tahoma"/>
            <family val="2"/>
          </rPr>
          <t>PETERM:</t>
        </r>
        <r>
          <rPr>
            <sz val="9"/>
            <color indexed="81"/>
            <rFont val="Tahoma"/>
            <family val="2"/>
          </rPr>
          <t xml:space="preserve">
this is a one off c/f from 15 to 16 to fund extra days in ossm for 1 year before ossm price goes up again. See report to april 15 finance meet</t>
        </r>
      </text>
    </comment>
    <comment ref="G114" authorId="1">
      <text>
        <r>
          <rPr>
            <b/>
            <sz val="9"/>
            <color indexed="81"/>
            <rFont val="Tahoma"/>
            <family val="2"/>
          </rPr>
          <t>Paul Hickey:</t>
        </r>
        <r>
          <rPr>
            <sz val="9"/>
            <color indexed="81"/>
            <rFont val="Tahoma"/>
            <family val="2"/>
          </rPr>
          <t xml:space="preserve">
Linda Coulter:
Combined Footpaths/Coast Rec Path has net Balance of $30,000 as at 5/12/16, which represents the amt put to reserves for Shared Pth Sec 4 vegetation management. All other amounts clear to nil at 30 June 17.</t>
        </r>
      </text>
    </comment>
  </commentList>
</comments>
</file>

<file path=xl/comments15.xml><?xml version="1.0" encoding="utf-8"?>
<comments xmlns="http://schemas.openxmlformats.org/spreadsheetml/2006/main">
  <authors>
    <author>bsc</author>
  </authors>
  <commentList>
    <comment ref="A33" authorId="0">
      <text>
        <r>
          <rPr>
            <b/>
            <sz val="8"/>
            <color indexed="81"/>
            <rFont val="Tahoma"/>
            <family val="2"/>
          </rPr>
          <t xml:space="preserve">bsc:Repayments funded fr DOCS rental)
</t>
        </r>
        <r>
          <rPr>
            <sz val="8"/>
            <color indexed="81"/>
            <rFont val="Tahoma"/>
            <family val="2"/>
          </rPr>
          <t xml:space="preserve">
</t>
        </r>
      </text>
    </comment>
    <comment ref="A34" authorId="0">
      <text>
        <r>
          <rPr>
            <b/>
            <sz val="8"/>
            <color indexed="81"/>
            <rFont val="Tahoma"/>
            <family val="2"/>
          </rPr>
          <t xml:space="preserve">bsc:Repayments funded fr DOCS rental)
</t>
        </r>
        <r>
          <rPr>
            <sz val="8"/>
            <color indexed="81"/>
            <rFont val="Tahoma"/>
            <family val="2"/>
          </rPr>
          <t xml:space="preserve">
</t>
        </r>
      </text>
    </comment>
    <comment ref="A36" authorId="0">
      <text>
        <r>
          <rPr>
            <b/>
            <sz val="8"/>
            <color indexed="81"/>
            <rFont val="Tahoma"/>
            <family val="2"/>
          </rPr>
          <t xml:space="preserve">bsc:Repayments funded fr DOCS rental)
</t>
        </r>
        <r>
          <rPr>
            <sz val="8"/>
            <color indexed="81"/>
            <rFont val="Tahoma"/>
            <family val="2"/>
          </rPr>
          <t xml:space="preserve">
</t>
        </r>
      </text>
    </comment>
    <comment ref="A41" authorId="0">
      <text>
        <r>
          <rPr>
            <b/>
            <sz val="8"/>
            <color indexed="81"/>
            <rFont val="Tahoma"/>
            <family val="2"/>
          </rPr>
          <t xml:space="preserve">bsc:Repayment funded by Quarry Dividend
</t>
        </r>
        <r>
          <rPr>
            <sz val="8"/>
            <color indexed="81"/>
            <rFont val="Tahoma"/>
            <family val="2"/>
          </rPr>
          <t xml:space="preserve">
</t>
        </r>
      </text>
    </comment>
  </commentList>
</comments>
</file>

<file path=xl/comments16.xml><?xml version="1.0" encoding="utf-8"?>
<comments xmlns="http://schemas.openxmlformats.org/spreadsheetml/2006/main">
  <authors>
    <author>phickey</author>
    <author>PETERM</author>
    <author>Linda Coulter</author>
  </authors>
  <commentList>
    <comment ref="D60" authorId="0">
      <text>
        <r>
          <rPr>
            <b/>
            <sz val="8"/>
            <color indexed="81"/>
            <rFont val="Tahoma"/>
            <family val="2"/>
          </rPr>
          <t>phickey:</t>
        </r>
        <r>
          <rPr>
            <sz val="8"/>
            <color indexed="81"/>
            <rFont val="Tahoma"/>
            <family val="2"/>
          </rPr>
          <t xml:space="preserve">
Hickey and Morgan agreed to fund loan from section 94 - 100% in 10/11 and 50% from then on</t>
        </r>
      </text>
    </comment>
    <comment ref="C68" authorId="1">
      <text>
        <r>
          <rPr>
            <b/>
            <sz val="9"/>
            <color indexed="81"/>
            <rFont val="Tahoma"/>
            <family val="2"/>
          </rPr>
          <t xml:space="preserve">PETERM
</t>
        </r>
        <r>
          <rPr>
            <sz val="9"/>
            <color indexed="81"/>
            <rFont val="Tahoma"/>
            <family val="2"/>
          </rPr>
          <t xml:space="preserve">This contribution funds the project to 100% &amp; plan says can only do 70%. However we are ok to recoup in the order of $3m from the roads plan in respect to Ballina hts drive. So 30% will come from roads plan as recoupments </t>
        </r>
      </text>
    </comment>
    <comment ref="C69" authorId="1">
      <text>
        <r>
          <rPr>
            <b/>
            <sz val="9"/>
            <color indexed="81"/>
            <rFont val="Tahoma"/>
            <family val="2"/>
          </rPr>
          <t xml:space="preserve">PETERM
</t>
        </r>
        <r>
          <rPr>
            <sz val="9"/>
            <color indexed="81"/>
            <rFont val="Tahoma"/>
            <family val="2"/>
          </rPr>
          <t>This contribution funds the project to 100% les $50,000 which seems to come from misc road reserves. The plan says can only do 70%. However we are ok to recoup in the order of $3m from the roads plan in respect to Ballina hts drive. So 30% less $50,000 will come from roads plan as recoupments</t>
        </r>
      </text>
    </comment>
    <comment ref="E69" authorId="2">
      <text>
        <r>
          <rPr>
            <b/>
            <sz val="9"/>
            <color indexed="81"/>
            <rFont val="Tahoma"/>
            <family val="2"/>
          </rPr>
          <t>Linda Coulter:</t>
        </r>
        <r>
          <rPr>
            <sz val="9"/>
            <color indexed="81"/>
            <rFont val="Tahoma"/>
            <family val="2"/>
          </rPr>
          <t xml:space="preserve">
Trnsfr from s94 re public art tamar/cherry rabout</t>
        </r>
      </text>
    </comment>
    <comment ref="A70" authorId="1">
      <text>
        <r>
          <rPr>
            <b/>
            <sz val="9"/>
            <color indexed="81"/>
            <rFont val="Tahoma"/>
            <family val="2"/>
          </rPr>
          <t>PETERM:</t>
        </r>
        <r>
          <rPr>
            <sz val="9"/>
            <color indexed="81"/>
            <rFont val="Tahoma"/>
            <family val="2"/>
          </rPr>
          <t xml:space="preserve">
$5,600 is from roads existing ie unrestricted</t>
        </r>
      </text>
    </comment>
    <comment ref="A96" authorId="1">
      <text>
        <r>
          <rPr>
            <b/>
            <sz val="9"/>
            <color indexed="81"/>
            <rFont val="Tahoma"/>
            <family val="2"/>
          </rPr>
          <t>PETERM:</t>
        </r>
        <r>
          <rPr>
            <sz val="9"/>
            <color indexed="81"/>
            <rFont val="Tahoma"/>
            <family val="2"/>
          </rPr>
          <t xml:space="preserve">
nb this transfer from includes 5,600 from unrestricted roads plan existing</t>
        </r>
      </text>
    </comment>
  </commentList>
</comments>
</file>

<file path=xl/comments17.xml><?xml version="1.0" encoding="utf-8"?>
<comments xmlns="http://schemas.openxmlformats.org/spreadsheetml/2006/main">
  <authors>
    <author>Linda Coulter</author>
  </authors>
  <commentList>
    <comment ref="A6" authorId="0">
      <text>
        <r>
          <rPr>
            <b/>
            <sz val="9"/>
            <color indexed="81"/>
            <rFont val="Tahoma"/>
            <family val="2"/>
          </rPr>
          <t>Linda Coulter:</t>
        </r>
        <r>
          <rPr>
            <sz val="9"/>
            <color indexed="81"/>
            <rFont val="Tahoma"/>
            <family val="2"/>
          </rPr>
          <t xml:space="preserve">
Refer split below, line 165</t>
        </r>
      </text>
    </comment>
    <comment ref="G6" authorId="0">
      <text>
        <r>
          <rPr>
            <b/>
            <sz val="9"/>
            <color indexed="81"/>
            <rFont val="Tahoma"/>
            <family val="2"/>
          </rPr>
          <t>Linda Coulter:</t>
        </r>
        <r>
          <rPr>
            <sz val="9"/>
            <color indexed="81"/>
            <rFont val="Tahoma"/>
            <family val="2"/>
          </rPr>
          <t xml:space="preserve">
$80k added for Jamieson Ave, per Mar 16 capital expenditure review.</t>
        </r>
      </text>
    </comment>
    <comment ref="A11" authorId="0">
      <text>
        <r>
          <rPr>
            <b/>
            <sz val="9"/>
            <color indexed="81"/>
            <rFont val="Tahoma"/>
            <family val="2"/>
          </rPr>
          <t>Linda Coulter:</t>
        </r>
        <r>
          <rPr>
            <sz val="9"/>
            <color indexed="81"/>
            <rFont val="Tahoma"/>
            <family val="2"/>
          </rPr>
          <t xml:space="preserve">
Refer split, line 175
</t>
        </r>
      </text>
    </comment>
    <comment ref="A16" authorId="0">
      <text>
        <r>
          <rPr>
            <b/>
            <sz val="9"/>
            <color indexed="81"/>
            <rFont val="Tahoma"/>
            <family val="2"/>
          </rPr>
          <t>Linda Coulter:</t>
        </r>
        <r>
          <rPr>
            <sz val="9"/>
            <color indexed="81"/>
            <rFont val="Tahoma"/>
            <family val="2"/>
          </rPr>
          <t xml:space="preserve">
Refer to split below, line 152
</t>
        </r>
      </text>
    </comment>
    <comment ref="A17" authorId="0">
      <text>
        <r>
          <rPr>
            <b/>
            <sz val="9"/>
            <color indexed="81"/>
            <rFont val="Tahoma"/>
            <family val="2"/>
          </rPr>
          <t>Linda Coulter:</t>
        </r>
        <r>
          <rPr>
            <sz val="9"/>
            <color indexed="81"/>
            <rFont val="Tahoma"/>
            <family val="2"/>
          </rPr>
          <t xml:space="preserve">
Refer to split below, line 152
</t>
        </r>
      </text>
    </comment>
  </commentList>
</comments>
</file>

<file path=xl/comments18.xml><?xml version="1.0" encoding="utf-8"?>
<comments xmlns="http://schemas.openxmlformats.org/spreadsheetml/2006/main">
  <authors>
    <author>Linda Coulter</author>
  </authors>
  <commentList>
    <comment ref="H10" authorId="0">
      <text>
        <r>
          <rPr>
            <b/>
            <sz val="9"/>
            <color indexed="81"/>
            <rFont val="Tahoma"/>
            <family val="2"/>
          </rPr>
          <t>Linda Coulter:</t>
        </r>
        <r>
          <rPr>
            <sz val="9"/>
            <color indexed="81"/>
            <rFont val="Tahoma"/>
            <family val="2"/>
          </rPr>
          <t xml:space="preserve">
Represents principal for 3 quarters only. The fourth quarter principal per original schedule was $306,759. This was not paid as the loan was refinanced.</t>
        </r>
      </text>
    </comment>
    <comment ref="I10" authorId="0">
      <text>
        <r>
          <rPr>
            <b/>
            <sz val="9"/>
            <color indexed="81"/>
            <rFont val="Tahoma"/>
            <family val="2"/>
          </rPr>
          <t>Linda Coulter:</t>
        </r>
        <r>
          <rPr>
            <sz val="9"/>
            <color indexed="81"/>
            <rFont val="Tahoma"/>
            <family val="2"/>
          </rPr>
          <t xml:space="preserve">
Fourth quarter interest reduced from original schedule of 920,560 to actual paid 807,066.</t>
        </r>
      </text>
    </comment>
    <comment ref="F31" authorId="0">
      <text>
        <r>
          <rPr>
            <b/>
            <sz val="9"/>
            <color indexed="81"/>
            <rFont val="Tahoma"/>
            <family val="2"/>
          </rPr>
          <t>Linda Coulter:</t>
        </r>
        <r>
          <rPr>
            <sz val="9"/>
            <color indexed="81"/>
            <rFont val="Tahoma"/>
            <family val="2"/>
          </rPr>
          <t xml:space="preserve">
Reduced by 4th quarter principal and reduction in interest paid in 4th quarter due to refinancing of this loan.</t>
        </r>
      </text>
    </comment>
  </commentList>
</comments>
</file>

<file path=xl/comments19.xml><?xml version="1.0" encoding="utf-8"?>
<comments xmlns="http://schemas.openxmlformats.org/spreadsheetml/2006/main">
  <authors>
    <author>peterm</author>
  </authors>
  <commentList>
    <comment ref="H91" authorId="0">
      <text>
        <r>
          <rPr>
            <b/>
            <sz val="8"/>
            <color indexed="81"/>
            <rFont val="Tahoma"/>
            <family val="2"/>
          </rPr>
          <t>peterm:</t>
        </r>
        <r>
          <rPr>
            <sz val="8"/>
            <color indexed="81"/>
            <rFont val="Tahoma"/>
            <family val="2"/>
          </rPr>
          <t xml:space="preserve">
NB These figures represent accrual estimates not cash. There is a credit sitting in cash general that needs to be off set against these figures to get back to cash estimtes. See cap gen income below also.
</t>
        </r>
      </text>
    </comment>
  </commentList>
</comments>
</file>

<file path=xl/comments2.xml><?xml version="1.0" encoding="utf-8"?>
<comments xmlns="http://schemas.openxmlformats.org/spreadsheetml/2006/main">
  <authors>
    <author>Paul Hickey</author>
  </authors>
  <commentList>
    <comment ref="F63" authorId="0">
      <text>
        <r>
          <rPr>
            <b/>
            <sz val="9"/>
            <color indexed="81"/>
            <rFont val="Tahoma"/>
            <family val="2"/>
          </rPr>
          <t>Paul Hickey:</t>
        </r>
        <r>
          <rPr>
            <sz val="9"/>
            <color indexed="81"/>
            <rFont val="Tahoma"/>
            <family val="2"/>
          </rPr>
          <t xml:space="preserve">
Calculated by standard meters plus non standard income by standard meter charge</t>
        </r>
      </text>
    </comment>
  </commentList>
</comments>
</file>

<file path=xl/comments20.xml><?xml version="1.0" encoding="utf-8"?>
<comments xmlns="http://schemas.openxmlformats.org/spreadsheetml/2006/main">
  <authors>
    <author>Linda Coulter</author>
    <author>PETERM</author>
  </authors>
  <commentList>
    <comment ref="L38" authorId="0">
      <text>
        <r>
          <rPr>
            <b/>
            <sz val="9"/>
            <color indexed="81"/>
            <rFont val="Tahoma"/>
            <family val="2"/>
          </rPr>
          <t>Linda Coulter:</t>
        </r>
        <r>
          <rPr>
            <sz val="9"/>
            <color indexed="81"/>
            <rFont val="Tahoma"/>
            <family val="2"/>
          </rPr>
          <t xml:space="preserve">
98k (15/16), 102k (16/17) and 106k (17/18) from ferry adjustments mar 16 adjustments</t>
        </r>
      </text>
    </comment>
    <comment ref="K60" authorId="1">
      <text>
        <r>
          <rPr>
            <b/>
            <sz val="9"/>
            <color indexed="81"/>
            <rFont val="Tahoma"/>
            <family val="2"/>
          </rPr>
          <t>PETERM:</t>
        </r>
        <r>
          <rPr>
            <sz val="9"/>
            <color indexed="81"/>
            <rFont val="Tahoma"/>
            <family val="2"/>
          </rPr>
          <t xml:space="preserve">
$360k came off roads and was added to shared path. This adjustment and also adj cell k34 to balance this sheet
The 10k relates to removal of capital vote for robertson st in footpaths</t>
        </r>
      </text>
    </comment>
    <comment ref="F66" authorId="1">
      <text>
        <r>
          <rPr>
            <b/>
            <sz val="8"/>
            <color indexed="81"/>
            <rFont val="Tahoma"/>
            <family val="2"/>
          </rPr>
          <t>PETERM:</t>
        </r>
        <r>
          <rPr>
            <sz val="8"/>
            <color indexed="81"/>
            <rFont val="Tahoma"/>
            <family val="2"/>
          </rPr>
          <t xml:space="preserve">
donations committee took 30k and put it to community halls</t>
        </r>
      </text>
    </comment>
    <comment ref="H66" authorId="1">
      <text>
        <r>
          <rPr>
            <b/>
            <sz val="8"/>
            <color indexed="81"/>
            <rFont val="Tahoma"/>
            <family val="2"/>
          </rPr>
          <t>PETERM:</t>
        </r>
        <r>
          <rPr>
            <sz val="8"/>
            <color indexed="81"/>
            <rFont val="Tahoma"/>
            <family val="2"/>
          </rPr>
          <t xml:space="preserve">
In 2011/12 this fuigure was really $121K plus $40k for players theatre roof</t>
        </r>
      </text>
    </comment>
  </commentList>
</comments>
</file>

<file path=xl/comments21.xml><?xml version="1.0" encoding="utf-8"?>
<comments xmlns="http://schemas.openxmlformats.org/spreadsheetml/2006/main">
  <authors>
    <author>PETERM</author>
  </authors>
  <commentList>
    <comment ref="E39" authorId="0">
      <text>
        <r>
          <rPr>
            <b/>
            <sz val="9"/>
            <color indexed="81"/>
            <rFont val="Tahoma"/>
            <family val="2"/>
          </rPr>
          <t>PETERM:</t>
        </r>
        <r>
          <rPr>
            <sz val="9"/>
            <color indexed="81"/>
            <rFont val="Tahoma"/>
            <family val="2"/>
          </rPr>
          <t xml:space="preserve">
reduced by $1.1 million re compton dr new road and compton drive new car parking
</t>
        </r>
      </text>
    </comment>
  </commentList>
</comments>
</file>

<file path=xl/comments3.xml><?xml version="1.0" encoding="utf-8"?>
<comments xmlns="http://schemas.openxmlformats.org/spreadsheetml/2006/main">
  <authors>
    <author>PETERM</author>
  </authors>
  <commentList>
    <comment ref="A232" authorId="0">
      <text>
        <r>
          <rPr>
            <b/>
            <sz val="9"/>
            <color indexed="81"/>
            <rFont val="Tahoma"/>
            <family val="2"/>
          </rPr>
          <t>PETERM:</t>
        </r>
        <r>
          <rPr>
            <sz val="9"/>
            <color indexed="81"/>
            <rFont val="Tahoma"/>
            <family val="2"/>
          </rPr>
          <t xml:space="preserve">
this is $325k more than invest sheet as it does not include FVadj</t>
        </r>
      </text>
    </comment>
    <comment ref="B232" authorId="0">
      <text>
        <r>
          <rPr>
            <b/>
            <sz val="9"/>
            <color indexed="81"/>
            <rFont val="Tahoma"/>
            <family val="2"/>
          </rPr>
          <t>PETERM:</t>
        </r>
        <r>
          <rPr>
            <sz val="9"/>
            <color indexed="81"/>
            <rFont val="Tahoma"/>
            <family val="2"/>
          </rPr>
          <t xml:space="preserve">
this is $325k more than invest sheet as it does not include FVadj</t>
        </r>
      </text>
    </comment>
  </commentList>
</comments>
</file>

<file path=xl/comments4.xml><?xml version="1.0" encoding="utf-8"?>
<comments xmlns="http://schemas.openxmlformats.org/spreadsheetml/2006/main">
  <authors>
    <author>Linda Coulter</author>
    <author>bsc</author>
    <author>Peter Morgan</author>
    <author>PETERM</author>
  </authors>
  <commentList>
    <comment ref="E302" authorId="0">
      <text>
        <r>
          <rPr>
            <b/>
            <sz val="9"/>
            <color indexed="81"/>
            <rFont val="Tahoma"/>
            <family val="2"/>
          </rPr>
          <t>Linda Coulter:</t>
        </r>
        <r>
          <rPr>
            <sz val="9"/>
            <color indexed="81"/>
            <rFont val="Tahoma"/>
            <family val="2"/>
          </rPr>
          <t xml:space="preserve">
Income per ratio is 60,998
Financial Statements total income 61,579, add back fair value invest 163, is 61,742
Diff of 744
</t>
        </r>
      </text>
    </comment>
    <comment ref="E309" authorId="0">
      <text>
        <r>
          <rPr>
            <b/>
            <sz val="9"/>
            <color indexed="81"/>
            <rFont val="Tahoma"/>
            <family val="2"/>
          </rPr>
          <t>Linda Coulter:</t>
        </r>
        <r>
          <rPr>
            <sz val="9"/>
            <color indexed="81"/>
            <rFont val="Tahoma"/>
            <family val="2"/>
          </rPr>
          <t xml:space="preserve">
Net Expense per ratio is 53,259
Financial Statements total expense 52,805, add back fair value invest 163, is 52,968
Diff of 291</t>
        </r>
      </text>
    </comment>
    <comment ref="A315" authorId="1">
      <text>
        <r>
          <rPr>
            <b/>
            <sz val="8"/>
            <color indexed="81"/>
            <rFont val="Tahoma"/>
            <family val="2"/>
          </rPr>
          <t>bsc:</t>
        </r>
        <r>
          <rPr>
            <sz val="8"/>
            <color indexed="81"/>
            <rFont val="Tahoma"/>
            <family val="2"/>
          </rPr>
          <t xml:space="preserve">
Deduct $4m as Internal Income (Waste/Plant).GF
</t>
        </r>
      </text>
    </comment>
    <comment ref="E436" authorId="2">
      <text>
        <r>
          <rPr>
            <b/>
            <sz val="9"/>
            <color indexed="81"/>
            <rFont val="Tahoma"/>
            <family val="2"/>
          </rPr>
          <t>Peter Morgan:</t>
        </r>
        <r>
          <rPr>
            <sz val="9"/>
            <color indexed="81"/>
            <rFont val="Tahoma"/>
            <family val="2"/>
          </rPr>
          <t xml:space="preserve">
increased this credit to make estimated reserve balance close the the estimate reserve balance as per the March quarterly review of the refurb res plus water working capital</t>
        </r>
      </text>
    </comment>
    <comment ref="F443" authorId="0">
      <text>
        <r>
          <rPr>
            <b/>
            <sz val="9"/>
            <color indexed="81"/>
            <rFont val="Tahoma"/>
            <family val="2"/>
          </rPr>
          <t>Linda Coulter:</t>
        </r>
        <r>
          <rPr>
            <sz val="9"/>
            <color indexed="81"/>
            <rFont val="Tahoma"/>
            <family val="2"/>
          </rPr>
          <t xml:space="preserve">
For 15/16 and onwards, this figure has been divided by 2 to allow for "amounts not expected to be paid in the next 12 months".
For water fund, this represents approx half of the fund's liabilities, as the liabilities relate to employee entitlements.
The impact is quite minimal for the wastewater fund due to the large loan balances, so no adjustment has been made for the calculation of the wastewater fund.</t>
        </r>
      </text>
    </comment>
    <comment ref="D725" authorId="3">
      <text>
        <r>
          <rPr>
            <b/>
            <sz val="9"/>
            <color indexed="81"/>
            <rFont val="Tahoma"/>
            <family val="2"/>
          </rPr>
          <t>PETERM:</t>
        </r>
        <r>
          <rPr>
            <sz val="9"/>
            <color indexed="81"/>
            <rFont val="Tahoma"/>
            <family val="2"/>
          </rPr>
          <t xml:space="preserve">
Maintenance expense includes apportionment of engineers salaries as follows;
Alex 100%       $100,000
Stuart 100%     $100,000
Peter ok 50%    $ 50,000
Jamie 20%        $ 20,000
Paul B 40%        $ 40,000
John T 10%      $ 10,000
Corey 10%        </t>
        </r>
        <r>
          <rPr>
            <u/>
            <sz val="9"/>
            <color indexed="81"/>
            <rFont val="Tahoma"/>
            <family val="2"/>
          </rPr>
          <t>$ 10,000
Total                $$330,000</t>
        </r>
      </text>
    </comment>
  </commentList>
</comments>
</file>

<file path=xl/comments5.xml><?xml version="1.0" encoding="utf-8"?>
<comments xmlns="http://schemas.openxmlformats.org/spreadsheetml/2006/main">
  <authors>
    <author>Peter Morgan</author>
    <author>Paul Hickey</author>
    <author>PETERM</author>
    <author>bsc</author>
    <author>Linda Coulter</author>
  </authors>
  <commentList>
    <comment ref="G392" authorId="0">
      <text>
        <r>
          <rPr>
            <b/>
            <sz val="9"/>
            <color indexed="81"/>
            <rFont val="Tahoma"/>
            <family val="2"/>
          </rPr>
          <t>Peter Morgan:</t>
        </r>
        <r>
          <rPr>
            <sz val="9"/>
            <color indexed="81"/>
            <rFont val="Tahoma"/>
            <family val="2"/>
          </rPr>
          <t xml:space="preserve">
Craig advised that the rebate will only be going until Dec 16 so may only get half year of credits</t>
        </r>
      </text>
    </comment>
    <comment ref="G411" authorId="1">
      <text>
        <r>
          <rPr>
            <b/>
            <sz val="9"/>
            <color indexed="81"/>
            <rFont val="Tahoma"/>
            <family val="2"/>
          </rPr>
          <t>Paul Hickey:</t>
        </r>
        <r>
          <rPr>
            <sz val="9"/>
            <color indexed="81"/>
            <rFont val="Tahoma"/>
            <family val="2"/>
          </rPr>
          <t xml:space="preserve">
Includes former Holly / Nicki position - which was events</t>
        </r>
      </text>
    </comment>
    <comment ref="C423" authorId="2">
      <text>
        <r>
          <rPr>
            <b/>
            <sz val="9"/>
            <color indexed="81"/>
            <rFont val="Tahoma"/>
            <family val="2"/>
          </rPr>
          <t>PETERM:</t>
        </r>
        <r>
          <rPr>
            <sz val="9"/>
            <color indexed="81"/>
            <rFont val="Tahoma"/>
            <family val="2"/>
          </rPr>
          <t xml:space="preserve">
vote includes $10k 14/15 gen rev</t>
        </r>
      </text>
    </comment>
    <comment ref="C434" authorId="2">
      <text>
        <r>
          <rPr>
            <b/>
            <sz val="9"/>
            <color indexed="81"/>
            <rFont val="Tahoma"/>
            <family val="2"/>
          </rPr>
          <t>PETERM:</t>
        </r>
        <r>
          <rPr>
            <sz val="9"/>
            <color indexed="81"/>
            <rFont val="Tahoma"/>
            <family val="2"/>
          </rPr>
          <t xml:space="preserve">
$5k went to shared path cultural signs</t>
        </r>
      </text>
    </comment>
    <comment ref="C435" authorId="2">
      <text>
        <r>
          <rPr>
            <b/>
            <sz val="9"/>
            <color indexed="81"/>
            <rFont val="Tahoma"/>
            <family val="2"/>
          </rPr>
          <t>PETERM:</t>
        </r>
        <r>
          <rPr>
            <sz val="9"/>
            <color indexed="81"/>
            <rFont val="Tahoma"/>
            <family val="2"/>
          </rPr>
          <t xml:space="preserve">
$10k went to cultural signs for shared path</t>
        </r>
      </text>
    </comment>
    <comment ref="J506" authorId="1">
      <text>
        <r>
          <rPr>
            <b/>
            <sz val="9"/>
            <color indexed="81"/>
            <rFont val="Tahoma"/>
            <family val="2"/>
          </rPr>
          <t>Paul Hickey:</t>
        </r>
        <r>
          <rPr>
            <sz val="9"/>
            <color indexed="81"/>
            <rFont val="Tahoma"/>
            <family val="2"/>
          </rPr>
          <t xml:space="preserve">
$67,000 for six months being two staff for six months - Jordan wanted three</t>
        </r>
      </text>
    </comment>
    <comment ref="K506" authorId="1">
      <text>
        <r>
          <rPr>
            <b/>
            <sz val="9"/>
            <color indexed="81"/>
            <rFont val="Tahoma"/>
            <family val="2"/>
          </rPr>
          <t>Paul Hickey:</t>
        </r>
        <r>
          <rPr>
            <sz val="9"/>
            <color indexed="81"/>
            <rFont val="Tahoma"/>
            <family val="2"/>
          </rPr>
          <t xml:space="preserve">
Balance of staff for full year</t>
        </r>
      </text>
    </comment>
    <comment ref="J594" authorId="1">
      <text>
        <r>
          <rPr>
            <b/>
            <sz val="9"/>
            <color indexed="81"/>
            <rFont val="Tahoma"/>
            <family val="2"/>
          </rPr>
          <t>Paul Hickey:</t>
        </r>
        <r>
          <rPr>
            <sz val="9"/>
            <color indexed="81"/>
            <rFont val="Tahoma"/>
            <family val="2"/>
          </rPr>
          <t xml:space="preserve">
Includes deprecation on Ballina Indoor Sports Centre for six months</t>
        </r>
      </text>
    </comment>
    <comment ref="K594" authorId="1">
      <text>
        <r>
          <rPr>
            <b/>
            <sz val="9"/>
            <color indexed="81"/>
            <rFont val="Tahoma"/>
            <family val="2"/>
          </rPr>
          <t>Paul Hickey:</t>
        </r>
        <r>
          <rPr>
            <sz val="9"/>
            <color indexed="81"/>
            <rFont val="Tahoma"/>
            <family val="2"/>
          </rPr>
          <t xml:space="preserve">
Includes depreciation on new sports centre</t>
        </r>
      </text>
    </comment>
    <comment ref="F618" authorId="3">
      <text>
        <r>
          <rPr>
            <b/>
            <sz val="8"/>
            <color indexed="81"/>
            <rFont val="Tahoma"/>
            <family val="2"/>
          </rPr>
          <t>bsc:</t>
        </r>
        <r>
          <rPr>
            <sz val="8"/>
            <color indexed="81"/>
            <rFont val="Tahoma"/>
            <family val="2"/>
          </rPr>
          <t xml:space="preserve">
Letter advising no longer available 21/1/14
</t>
        </r>
      </text>
    </comment>
    <comment ref="D633" authorId="1">
      <text>
        <r>
          <rPr>
            <b/>
            <sz val="9"/>
            <color indexed="81"/>
            <rFont val="Tahoma"/>
            <family val="2"/>
          </rPr>
          <t>Paul Hickey:</t>
        </r>
        <r>
          <rPr>
            <sz val="9"/>
            <color indexed="81"/>
            <rFont val="Tahoma"/>
            <family val="2"/>
          </rPr>
          <t xml:space="preserve">
Paul Hickey:
Taken Amy salary from here to balance year to year comparison - Now in Strategic Planning
</t>
        </r>
      </text>
    </comment>
    <comment ref="G644" authorId="0">
      <text>
        <r>
          <rPr>
            <b/>
            <sz val="9"/>
            <color indexed="81"/>
            <rFont val="Tahoma"/>
            <family val="2"/>
          </rPr>
          <t>Peter Morgan:</t>
        </r>
        <r>
          <rPr>
            <sz val="9"/>
            <color indexed="81"/>
            <rFont val="Tahoma"/>
            <family val="2"/>
          </rPr>
          <t xml:space="preserve">
extra $2 k from marquee expense vote</t>
        </r>
      </text>
    </comment>
    <comment ref="D663" authorId="4">
      <text>
        <r>
          <rPr>
            <b/>
            <sz val="9"/>
            <color indexed="81"/>
            <rFont val="Tahoma"/>
            <family val="2"/>
          </rPr>
          <t>Linda Coulter:</t>
        </r>
        <r>
          <rPr>
            <sz val="9"/>
            <color indexed="81"/>
            <rFont val="Tahoma"/>
            <family val="2"/>
          </rPr>
          <t xml:space="preserve">
Trsfr to reserv Ballina Hockey Club</t>
        </r>
      </text>
    </comment>
    <comment ref="D692" authorId="1">
      <text>
        <r>
          <rPr>
            <b/>
            <sz val="9"/>
            <color indexed="81"/>
            <rFont val="Tahoma"/>
            <family val="2"/>
          </rPr>
          <t>Paul Hickey:</t>
        </r>
        <r>
          <rPr>
            <sz val="9"/>
            <color indexed="81"/>
            <rFont val="Tahoma"/>
            <family val="2"/>
          </rPr>
          <t xml:space="preserve">
New Part-time Administration Assistant</t>
        </r>
      </text>
    </comment>
    <comment ref="G798" authorId="0">
      <text>
        <r>
          <rPr>
            <b/>
            <sz val="9"/>
            <color indexed="81"/>
            <rFont val="Tahoma"/>
            <family val="2"/>
          </rPr>
          <t>Peter Morgan:</t>
        </r>
        <r>
          <rPr>
            <sz val="9"/>
            <color indexed="81"/>
            <rFont val="Tahoma"/>
            <family val="2"/>
          </rPr>
          <t xml:space="preserve">
price for single entry to increase by 12%</t>
        </r>
      </text>
    </comment>
    <comment ref="I798" authorId="1">
      <text>
        <r>
          <rPr>
            <b/>
            <sz val="9"/>
            <color indexed="81"/>
            <rFont val="Tahoma"/>
            <family val="2"/>
          </rPr>
          <t>Paul Hickey:</t>
        </r>
        <r>
          <rPr>
            <sz val="9"/>
            <color indexed="81"/>
            <rFont val="Tahoma"/>
            <family val="2"/>
          </rPr>
          <t xml:space="preserve">
Lets assume total income will be the same even though season will be shorter</t>
        </r>
      </text>
    </comment>
    <comment ref="F874" authorId="4">
      <text>
        <r>
          <rPr>
            <b/>
            <sz val="9"/>
            <color indexed="81"/>
            <rFont val="Tahoma"/>
            <family val="2"/>
          </rPr>
          <t>Linda Coulter:</t>
        </r>
        <r>
          <rPr>
            <sz val="9"/>
            <color indexed="81"/>
            <rFont val="Tahoma"/>
            <family val="2"/>
          </rPr>
          <t xml:space="preserve">
Budget transferred to OSR 22231.8810</t>
        </r>
      </text>
    </comment>
    <comment ref="B885" authorId="3">
      <text>
        <r>
          <rPr>
            <b/>
            <sz val="8"/>
            <color indexed="81"/>
            <rFont val="Tahoma"/>
            <family val="2"/>
          </rPr>
          <t>bsc:</t>
        </r>
        <r>
          <rPr>
            <sz val="8"/>
            <color indexed="81"/>
            <rFont val="Tahoma"/>
            <family val="2"/>
          </rPr>
          <t xml:space="preserve">
T Lister moved fr Admin $64k 23/5 per PH. GF
</t>
        </r>
      </text>
    </comment>
    <comment ref="G902" authorId="4">
      <text>
        <r>
          <rPr>
            <b/>
            <sz val="9"/>
            <color indexed="81"/>
            <rFont val="Tahoma"/>
            <family val="2"/>
          </rPr>
          <t>Linda Coulter:</t>
        </r>
        <r>
          <rPr>
            <sz val="9"/>
            <color indexed="81"/>
            <rFont val="Tahoma"/>
            <family val="2"/>
          </rPr>
          <t xml:space="preserve">
Includes one off 5,300 for security camera</t>
        </r>
      </text>
    </comment>
    <comment ref="B912" authorId="2">
      <text>
        <r>
          <rPr>
            <b/>
            <sz val="8"/>
            <color indexed="81"/>
            <rFont val="Tahoma"/>
            <family val="2"/>
          </rPr>
          <t>PETERM:</t>
        </r>
        <r>
          <rPr>
            <sz val="8"/>
            <color indexed="81"/>
            <rFont val="Tahoma"/>
            <family val="2"/>
          </rPr>
          <t xml:space="preserve">
reduced by $1 re tree planting
</t>
        </r>
      </text>
    </comment>
    <comment ref="G912" authorId="0">
      <text>
        <r>
          <rPr>
            <b/>
            <sz val="9"/>
            <color indexed="81"/>
            <rFont val="Tahoma"/>
            <family val="2"/>
          </rPr>
          <t>Peter Morgan:</t>
        </r>
        <r>
          <rPr>
            <sz val="9"/>
            <color indexed="81"/>
            <rFont val="Tahoma"/>
            <family val="2"/>
          </rPr>
          <t xml:space="preserve">
$10,000 deductedfrom this budget re rotary convention. Council voted April finance meet to give them $15,000 funded from airport $5,000/VIC $5,000/working capital $5,000. The $5,000 from the airport will be costed directly to the airport.
LCO Comment:  Carryforward of $84,300 added to this budget and then $15,000 deduction offset by $15,000 increase to salaries for  extra day SJ (nb. the $15k adjustments affect future yrs also).
LCO Comment: 32k trs towards cost of fly drive campaign</t>
        </r>
      </text>
    </comment>
    <comment ref="C923" authorId="2">
      <text>
        <r>
          <rPr>
            <b/>
            <sz val="9"/>
            <color indexed="81"/>
            <rFont val="Tahoma"/>
            <family val="2"/>
          </rPr>
          <t>PETERM:</t>
        </r>
        <r>
          <rPr>
            <sz val="9"/>
            <color indexed="81"/>
            <rFont val="Tahoma"/>
            <family val="2"/>
          </rPr>
          <t xml:space="preserve">
$10,000 relocated to the donations program re ballina and lennox carols being $5k each. Ie they thought this was a community donations as opposed to a festival or event.</t>
        </r>
      </text>
    </comment>
  </commentList>
</comments>
</file>

<file path=xl/comments6.xml><?xml version="1.0" encoding="utf-8"?>
<comments xmlns="http://schemas.openxmlformats.org/spreadsheetml/2006/main">
  <authors>
    <author>bsc</author>
    <author>Linda Coulter</author>
    <author>PETERM</author>
    <author>Paul Hickey</author>
  </authors>
  <commentList>
    <comment ref="B243" authorId="0">
      <text>
        <r>
          <rPr>
            <b/>
            <sz val="8"/>
            <color indexed="81"/>
            <rFont val="Tahoma"/>
            <family val="2"/>
          </rPr>
          <t>bsc:</t>
        </r>
        <r>
          <rPr>
            <sz val="8"/>
            <color indexed="81"/>
            <rFont val="Tahoma"/>
            <family val="2"/>
          </rPr>
          <t xml:space="preserve">
$20,000 taken to fund Elect expenses, Jenna replacement not happening for a few months per PH. GF 28/6/13. $72k McNabb not replaced, funds to Cust Serv Mngr 2/8/13
</t>
        </r>
      </text>
    </comment>
    <comment ref="G290" authorId="1">
      <text>
        <r>
          <rPr>
            <b/>
            <sz val="9"/>
            <color indexed="81"/>
            <rFont val="Tahoma"/>
            <family val="2"/>
          </rPr>
          <t>Linda Coulter:</t>
        </r>
        <r>
          <rPr>
            <sz val="9"/>
            <color indexed="81"/>
            <rFont val="Tahoma"/>
            <family val="2"/>
          </rPr>
          <t xml:space="preserve">
Additional revenue of $50k for 16/17</t>
        </r>
      </text>
    </comment>
    <comment ref="G309" authorId="1">
      <text>
        <r>
          <rPr>
            <b/>
            <sz val="9"/>
            <color indexed="81"/>
            <rFont val="Tahoma"/>
            <family val="2"/>
          </rPr>
          <t>Linda Coulter:</t>
        </r>
        <r>
          <rPr>
            <sz val="9"/>
            <color indexed="81"/>
            <rFont val="Tahoma"/>
            <family val="2"/>
          </rPr>
          <t xml:space="preserve">
New part time building services compliance officer added, for 16/17 only. Hardwired the 17/18 expense.
Further 40k added as part of sept qtr review.</t>
        </r>
      </text>
    </comment>
    <comment ref="C379" authorId="2">
      <text>
        <r>
          <rPr>
            <b/>
            <sz val="9"/>
            <color indexed="81"/>
            <rFont val="Tahoma"/>
            <family val="2"/>
          </rPr>
          <t>PETERM:</t>
        </r>
        <r>
          <rPr>
            <sz val="9"/>
            <color indexed="81"/>
            <rFont val="Tahoma"/>
            <family val="2"/>
          </rPr>
          <t xml:space="preserve">
$14k c/f</t>
        </r>
      </text>
    </comment>
    <comment ref="G379" authorId="3">
      <text>
        <r>
          <rPr>
            <b/>
            <sz val="9"/>
            <color indexed="81"/>
            <rFont val="Tahoma"/>
            <family val="2"/>
          </rPr>
          <t>Paul Hickey:</t>
        </r>
        <r>
          <rPr>
            <sz val="9"/>
            <color indexed="81"/>
            <rFont val="Tahoma"/>
            <family val="2"/>
          </rPr>
          <t xml:space="preserve">
Includes $4,700 transferred from reserve - essentially drains reserve.
LCO Comment:Carryforward of $8,000 added.
LCO Comment : $104,500 grant funding recd
</t>
        </r>
      </text>
    </comment>
    <comment ref="C380" authorId="2">
      <text>
        <r>
          <rPr>
            <b/>
            <sz val="9"/>
            <color indexed="81"/>
            <rFont val="Tahoma"/>
            <family val="2"/>
          </rPr>
          <t>PETERM:</t>
        </r>
        <r>
          <rPr>
            <sz val="9"/>
            <color indexed="81"/>
            <rFont val="Tahoma"/>
            <family val="2"/>
          </rPr>
          <t xml:space="preserve">
$14k c/f</t>
        </r>
      </text>
    </comment>
    <comment ref="G380" authorId="3">
      <text>
        <r>
          <rPr>
            <b/>
            <sz val="9"/>
            <color indexed="81"/>
            <rFont val="Tahoma"/>
            <family val="2"/>
          </rPr>
          <t>Paul Hickey:</t>
        </r>
        <r>
          <rPr>
            <sz val="9"/>
            <color indexed="81"/>
            <rFont val="Tahoma"/>
            <family val="2"/>
          </rPr>
          <t xml:space="preserve">
Includes $4,700 transferred from reserve - essentially drains reserve.
LCO Comment:Carryforward of $8,000 added.
LCO Comment : $104,500 grant funding recd
</t>
        </r>
      </text>
    </comment>
    <comment ref="D444" authorId="1">
      <text>
        <r>
          <rPr>
            <b/>
            <sz val="9"/>
            <color indexed="81"/>
            <rFont val="Tahoma"/>
            <family val="2"/>
          </rPr>
          <t>Linda Coulter:</t>
        </r>
        <r>
          <rPr>
            <sz val="9"/>
            <color indexed="81"/>
            <rFont val="Tahoma"/>
            <family val="2"/>
          </rPr>
          <t xml:space="preserve">
actual 2,100</t>
        </r>
      </text>
    </comment>
  </commentList>
</comments>
</file>

<file path=xl/comments7.xml><?xml version="1.0" encoding="utf-8"?>
<comments xmlns="http://schemas.openxmlformats.org/spreadsheetml/2006/main">
  <authors>
    <author>PETERM</author>
    <author>bsc</author>
    <author>Paul Hickey</author>
    <author>Linda Coulter</author>
  </authors>
  <commentList>
    <comment ref="B773" authorId="0">
      <text>
        <r>
          <rPr>
            <b/>
            <sz val="9"/>
            <color indexed="81"/>
            <rFont val="Tahoma"/>
            <family val="2"/>
          </rPr>
          <t>PETERM:</t>
        </r>
        <r>
          <rPr>
            <sz val="9"/>
            <color indexed="81"/>
            <rFont val="Tahoma"/>
            <family val="2"/>
          </rPr>
          <t xml:space="preserve">
this budget had $110 relocated to roads operations, the remaining amount was never approved so it was deleted (it related to extra staff at the store)
See store wages which had an extra $40k added to finance 1 full time grade 5 assistant. This was funded by a combination of overheads, less expense for 2 new store staff at lower grades, and reductions to roads/stormwater and pgr votes.</t>
        </r>
      </text>
    </comment>
    <comment ref="F782" authorId="1">
      <text>
        <r>
          <rPr>
            <b/>
            <sz val="8"/>
            <color indexed="81"/>
            <rFont val="Tahoma"/>
            <family val="2"/>
          </rPr>
          <t>bsc:</t>
        </r>
        <r>
          <rPr>
            <sz val="8"/>
            <color indexed="81"/>
            <rFont val="Tahoma"/>
            <family val="2"/>
          </rPr>
          <t xml:space="preserve">
Funding is 50/50 BSC/RTA
</t>
        </r>
      </text>
    </comment>
    <comment ref="F783" authorId="1">
      <text>
        <r>
          <rPr>
            <b/>
            <sz val="8"/>
            <color indexed="81"/>
            <rFont val="Tahoma"/>
            <family val="2"/>
          </rPr>
          <t>bsc:</t>
        </r>
        <r>
          <rPr>
            <sz val="8"/>
            <color indexed="81"/>
            <rFont val="Tahoma"/>
            <family val="2"/>
          </rPr>
          <t xml:space="preserve">
Funding is 50/50 BSC/RTA
</t>
        </r>
      </text>
    </comment>
    <comment ref="B832" authorId="1">
      <text>
        <r>
          <rPr>
            <b/>
            <sz val="8"/>
            <color indexed="81"/>
            <rFont val="Tahoma"/>
            <family val="2"/>
          </rPr>
          <t>bsc:</t>
        </r>
        <r>
          <rPr>
            <sz val="8"/>
            <color indexed="81"/>
            <rFont val="Tahoma"/>
            <family val="2"/>
          </rPr>
          <t xml:space="preserve">
31,700 fr HR Statewide Bonus
</t>
        </r>
      </text>
    </comment>
    <comment ref="B945" authorId="0">
      <text>
        <r>
          <rPr>
            <b/>
            <sz val="8"/>
            <color indexed="81"/>
            <rFont val="Tahoma"/>
            <family val="2"/>
          </rPr>
          <t>PETERM:</t>
        </r>
        <r>
          <rPr>
            <sz val="8"/>
            <color indexed="81"/>
            <rFont val="Tahoma"/>
            <family val="2"/>
          </rPr>
          <t xml:space="preserve">
Includes $30k for depot lights funds from energy fund</t>
        </r>
      </text>
    </comment>
    <comment ref="F968" authorId="2">
      <text>
        <r>
          <rPr>
            <b/>
            <sz val="9"/>
            <color indexed="81"/>
            <rFont val="Tahoma"/>
            <family val="2"/>
          </rPr>
          <t>Paul Hickey:</t>
        </r>
        <r>
          <rPr>
            <sz val="9"/>
            <color indexed="81"/>
            <rFont val="Tahoma"/>
            <family val="2"/>
          </rPr>
          <t xml:space="preserve">
Need to increase total stormwater budget by 15% for three years to get to $300K approx - high priority area</t>
        </r>
      </text>
    </comment>
    <comment ref="B971" authorId="0">
      <text>
        <r>
          <rPr>
            <b/>
            <sz val="9"/>
            <color indexed="81"/>
            <rFont val="Tahoma"/>
            <family val="2"/>
          </rPr>
          <t>PETERM:</t>
        </r>
        <r>
          <rPr>
            <sz val="9"/>
            <color indexed="81"/>
            <rFont val="Tahoma"/>
            <family val="2"/>
          </rPr>
          <t xml:space="preserve">
reduced by $8
k re stores assistant</t>
        </r>
      </text>
    </comment>
    <comment ref="B978" authorId="1">
      <text>
        <r>
          <rPr>
            <b/>
            <sz val="8"/>
            <color indexed="81"/>
            <rFont val="Tahoma"/>
            <family val="2"/>
          </rPr>
          <t>bsc:</t>
        </r>
        <r>
          <rPr>
            <sz val="8"/>
            <color indexed="81"/>
            <rFont val="Tahoma"/>
            <family val="2"/>
          </rPr>
          <t xml:space="preserve">
11/2/13 advice is 3.4% incr.
</t>
        </r>
      </text>
    </comment>
    <comment ref="C987" authorId="2">
      <text>
        <r>
          <rPr>
            <b/>
            <sz val="9"/>
            <color indexed="81"/>
            <rFont val="Tahoma"/>
            <family val="2"/>
          </rPr>
          <t>Paul Hickey:</t>
        </r>
        <r>
          <rPr>
            <sz val="9"/>
            <color indexed="81"/>
            <rFont val="Tahoma"/>
            <family val="2"/>
          </rPr>
          <t xml:space="preserve">
Increased this year due to project</t>
        </r>
      </text>
    </comment>
    <comment ref="G1028" authorId="2">
      <text>
        <r>
          <rPr>
            <b/>
            <sz val="9"/>
            <color indexed="81"/>
            <rFont val="Tahoma"/>
            <family val="2"/>
          </rPr>
          <t>Paul Hickey:</t>
        </r>
        <r>
          <rPr>
            <sz val="9"/>
            <color indexed="81"/>
            <rFont val="Tahoma"/>
            <family val="2"/>
          </rPr>
          <t xml:space="preserve">
These three figures are as per Federal Government Roads to Recovery website estimates adjusted over the four years to agree with Paul B program - figures are different from figures on RTR website but balance in total</t>
        </r>
      </text>
    </comment>
    <comment ref="C1039" authorId="0">
      <text>
        <r>
          <rPr>
            <b/>
            <sz val="9"/>
            <color indexed="81"/>
            <rFont val="Tahoma"/>
            <family val="2"/>
          </rPr>
          <t>PETERM:</t>
        </r>
        <r>
          <rPr>
            <sz val="9"/>
            <color indexed="81"/>
            <rFont val="Tahoma"/>
            <family val="2"/>
          </rPr>
          <t xml:space="preserve">
funded from urban rds operations</t>
        </r>
      </text>
    </comment>
    <comment ref="B1040" authorId="0">
      <text>
        <r>
          <rPr>
            <b/>
            <sz val="9"/>
            <color indexed="81"/>
            <rFont val="Tahoma"/>
            <family val="2"/>
          </rPr>
          <t>PETERM:</t>
        </r>
        <r>
          <rPr>
            <sz val="9"/>
            <color indexed="81"/>
            <rFont val="Tahoma"/>
            <family val="2"/>
          </rPr>
          <t xml:space="preserve">
reduced by $5k re stores assistant
increased by $55k roverseers down time at depot
</t>
        </r>
      </text>
    </comment>
    <comment ref="B1045" authorId="0">
      <text>
        <r>
          <rPr>
            <b/>
            <sz val="9"/>
            <color indexed="81"/>
            <rFont val="Tahoma"/>
            <family val="2"/>
          </rPr>
          <t>PETERM:</t>
        </r>
        <r>
          <rPr>
            <sz val="9"/>
            <color indexed="81"/>
            <rFont val="Tahoma"/>
            <family val="2"/>
          </rPr>
          <t xml:space="preserve">
reduced by $7
k re stores assistant</t>
        </r>
      </text>
    </comment>
    <comment ref="B1047" authorId="0">
      <text>
        <r>
          <rPr>
            <b/>
            <sz val="9"/>
            <color indexed="81"/>
            <rFont val="Tahoma"/>
            <family val="2"/>
          </rPr>
          <t>PETERM:</t>
        </r>
        <r>
          <rPr>
            <sz val="9"/>
            <color indexed="81"/>
            <rFont val="Tahoma"/>
            <family val="2"/>
          </rPr>
          <t xml:space="preserve">
increased by $55k for supervisers down time at depot</t>
        </r>
      </text>
    </comment>
    <comment ref="B1048" authorId="0">
      <text>
        <r>
          <rPr>
            <b/>
            <sz val="9"/>
            <color indexed="81"/>
            <rFont val="Tahoma"/>
            <family val="2"/>
          </rPr>
          <t>PETERM:</t>
        </r>
        <r>
          <rPr>
            <sz val="9"/>
            <color indexed="81"/>
            <rFont val="Tahoma"/>
            <family val="2"/>
          </rPr>
          <t xml:space="preserve">
reduced by $5k re stores assistant</t>
        </r>
      </text>
    </comment>
    <comment ref="C1048" authorId="0">
      <text>
        <r>
          <rPr>
            <b/>
            <sz val="9"/>
            <color indexed="81"/>
            <rFont val="Tahoma"/>
            <family val="2"/>
          </rPr>
          <t>PETERM:</t>
        </r>
        <r>
          <rPr>
            <sz val="9"/>
            <color indexed="81"/>
            <rFont val="Tahoma"/>
            <family val="2"/>
          </rPr>
          <t xml:space="preserve">
reduced by $20k re newrybar carpark.
And then a further 410k per quarterly review.</t>
        </r>
      </text>
    </comment>
    <comment ref="B1078" authorId="1">
      <text>
        <r>
          <rPr>
            <b/>
            <sz val="8"/>
            <color indexed="81"/>
            <rFont val="Tahoma"/>
            <family val="2"/>
          </rPr>
          <t>bsc:</t>
        </r>
        <r>
          <rPr>
            <sz val="8"/>
            <color indexed="81"/>
            <rFont val="Tahoma"/>
            <family val="2"/>
          </rPr>
          <t xml:space="preserve">
$115
0k tfr fr Surf Club Res moved from Property re Carpark &amp; Rd works
</t>
        </r>
      </text>
    </comment>
    <comment ref="B1103" authorId="1">
      <text>
        <r>
          <rPr>
            <b/>
            <sz val="8"/>
            <color indexed="81"/>
            <rFont val="Tahoma"/>
            <family val="2"/>
          </rPr>
          <t>bsc:</t>
        </r>
        <r>
          <rPr>
            <sz val="8"/>
            <color indexed="81"/>
            <rFont val="Tahoma"/>
            <family val="2"/>
          </rPr>
          <t xml:space="preserve">
Saving fr 12/13 of $53,500 going to repay debt to Comm Infra.
</t>
        </r>
      </text>
    </comment>
    <comment ref="I1111" authorId="2">
      <text>
        <r>
          <rPr>
            <b/>
            <sz val="9"/>
            <color indexed="81"/>
            <rFont val="Tahoma"/>
            <family val="2"/>
          </rPr>
          <t>Paul Hickey:</t>
        </r>
        <r>
          <rPr>
            <sz val="9"/>
            <color indexed="81"/>
            <rFont val="Tahoma"/>
            <family val="2"/>
          </rPr>
          <t xml:space="preserve">
Increase to reflect extra works needed</t>
        </r>
      </text>
    </comment>
    <comment ref="B1112" authorId="0">
      <text>
        <r>
          <rPr>
            <b/>
            <sz val="9"/>
            <color indexed="81"/>
            <rFont val="Tahoma"/>
            <family val="2"/>
          </rPr>
          <t>PETERM:</t>
        </r>
        <r>
          <rPr>
            <sz val="9"/>
            <color indexed="81"/>
            <rFont val="Tahoma"/>
            <family val="2"/>
          </rPr>
          <t xml:space="preserve">
reduced by $3k re stores assistant</t>
        </r>
      </text>
    </comment>
    <comment ref="C1173" authorId="0">
      <text>
        <r>
          <rPr>
            <b/>
            <sz val="9"/>
            <color indexed="81"/>
            <rFont val="Tahoma"/>
            <family val="2"/>
          </rPr>
          <t>PETERM:</t>
        </r>
        <r>
          <rPr>
            <sz val="9"/>
            <color indexed="81"/>
            <rFont val="Tahoma"/>
            <family val="2"/>
          </rPr>
          <t xml:space="preserve">
$12,000 went to martin st erosion</t>
        </r>
      </text>
    </comment>
    <comment ref="B1308" authorId="0">
      <text>
        <r>
          <rPr>
            <b/>
            <sz val="9"/>
            <color indexed="81"/>
            <rFont val="Tahoma"/>
            <family val="2"/>
          </rPr>
          <t>PETERM:</t>
        </r>
        <r>
          <rPr>
            <sz val="9"/>
            <color indexed="81"/>
            <rFont val="Tahoma"/>
            <family val="2"/>
          </rPr>
          <t xml:space="preserve">
reduced by $5k re stores assistant
reduced by $11k re browns wages
reduced by $3k re new house tree allocation
</t>
        </r>
      </text>
    </comment>
    <comment ref="D1443" authorId="3">
      <text>
        <r>
          <rPr>
            <b/>
            <sz val="9"/>
            <color indexed="81"/>
            <rFont val="Tahoma"/>
            <family val="2"/>
          </rPr>
          <t>Linda Coulter:</t>
        </r>
        <r>
          <rPr>
            <sz val="9"/>
            <color indexed="81"/>
            <rFont val="Tahoma"/>
            <family val="2"/>
          </rPr>
          <t xml:space="preserve">
Funded 50% OEH grant, 50% Stormwater Mment Plan
</t>
        </r>
      </text>
    </comment>
    <comment ref="D1444" authorId="3">
      <text>
        <r>
          <rPr>
            <b/>
            <sz val="9"/>
            <color indexed="81"/>
            <rFont val="Tahoma"/>
            <family val="2"/>
          </rPr>
          <t>Linda Coulter:</t>
        </r>
        <r>
          <rPr>
            <sz val="9"/>
            <color indexed="81"/>
            <rFont val="Tahoma"/>
            <family val="2"/>
          </rPr>
          <t xml:space="preserve">
Funded 50% OEH grant, 50% Stormwater Mment Plan</t>
        </r>
      </text>
    </comment>
    <comment ref="I1569" authorId="2">
      <text>
        <r>
          <rPr>
            <b/>
            <sz val="9"/>
            <color indexed="81"/>
            <rFont val="Tahoma"/>
            <family val="2"/>
          </rPr>
          <t>Paul Hickey:</t>
        </r>
        <r>
          <rPr>
            <sz val="9"/>
            <color indexed="81"/>
            <rFont val="Tahoma"/>
            <family val="2"/>
          </rPr>
          <t xml:space="preserve">
$150,000 represents transfer from Flat Rock Tent Park for Skennars Head Sports Feilds</t>
        </r>
      </text>
    </comment>
    <comment ref="G1654" authorId="3">
      <text>
        <r>
          <rPr>
            <b/>
            <sz val="9"/>
            <color indexed="81"/>
            <rFont val="Tahoma"/>
            <family val="2"/>
          </rPr>
          <t>Linda Coulter:</t>
        </r>
        <r>
          <rPr>
            <sz val="9"/>
            <color indexed="81"/>
            <rFont val="Tahoma"/>
            <family val="2"/>
          </rPr>
          <t xml:space="preserve">
16/17 includes a one off transition grant of $45. </t>
        </r>
      </text>
    </comment>
    <comment ref="G1778" authorId="3">
      <text>
        <r>
          <rPr>
            <b/>
            <sz val="9"/>
            <color indexed="81"/>
            <rFont val="Tahoma"/>
            <family val="2"/>
          </rPr>
          <t>Linda Coulter:</t>
        </r>
        <r>
          <rPr>
            <sz val="9"/>
            <color indexed="81"/>
            <rFont val="Tahoma"/>
            <family val="2"/>
          </rPr>
          <t xml:space="preserve">
Inc based on rate file lastest figures.</t>
        </r>
      </text>
    </comment>
    <comment ref="B1781" authorId="0">
      <text>
        <r>
          <rPr>
            <b/>
            <sz val="9"/>
            <color indexed="81"/>
            <rFont val="Tahoma"/>
            <family val="2"/>
          </rPr>
          <t>PETERM:</t>
        </r>
        <r>
          <rPr>
            <sz val="9"/>
            <color indexed="81"/>
            <rFont val="Tahoma"/>
            <family val="2"/>
          </rPr>
          <t xml:space="preserve">
price to increase by 14% for commercial self haul and 5% for other self haul items. It is assumed this will mean a drop in usage so only 5% income increase will ensue
NB revised 12/13 est is $1,297,000</t>
        </r>
      </text>
    </comment>
    <comment ref="C1781" authorId="0">
      <text>
        <r>
          <rPr>
            <b/>
            <sz val="9"/>
            <color indexed="81"/>
            <rFont val="Tahoma"/>
            <family val="2"/>
          </rPr>
          <t>PETERM:</t>
        </r>
        <r>
          <rPr>
            <sz val="9"/>
            <color indexed="81"/>
            <rFont val="Tahoma"/>
            <family val="2"/>
          </rPr>
          <t xml:space="preserve">
price increased by 10% but assumed there will be a decline in use. Also increased by 2% more than DWM to reduce subsidy</t>
        </r>
      </text>
    </comment>
    <comment ref="B1782" authorId="0">
      <text>
        <r>
          <rPr>
            <b/>
            <sz val="9"/>
            <color indexed="81"/>
            <rFont val="Tahoma"/>
            <family val="2"/>
          </rPr>
          <t>PETERM:</t>
        </r>
        <r>
          <rPr>
            <sz val="9"/>
            <color indexed="81"/>
            <rFont val="Tahoma"/>
            <family val="2"/>
          </rPr>
          <t xml:space="preserve">
price to increase by 5% </t>
        </r>
      </text>
    </comment>
    <comment ref="I1811" authorId="2">
      <text>
        <r>
          <rPr>
            <b/>
            <sz val="9"/>
            <color indexed="81"/>
            <rFont val="Tahoma"/>
            <family val="2"/>
          </rPr>
          <t>Paul Hickey:</t>
        </r>
        <r>
          <rPr>
            <sz val="9"/>
            <color indexed="81"/>
            <rFont val="Tahoma"/>
            <family val="2"/>
          </rPr>
          <t xml:space="preserve">
Minus $100,000 for reallocation of waste staff</t>
        </r>
      </text>
    </comment>
    <comment ref="C1813" authorId="1">
      <text>
        <r>
          <rPr>
            <b/>
            <sz val="8"/>
            <color indexed="81"/>
            <rFont val="Tahoma"/>
            <family val="2"/>
          </rPr>
          <t>bsc:</t>
        </r>
        <r>
          <rPr>
            <sz val="8"/>
            <color indexed="81"/>
            <rFont val="Tahoma"/>
            <family val="2"/>
          </rPr>
          <t xml:space="preserve">
$12k to Depot capex</t>
        </r>
      </text>
    </comment>
    <comment ref="C1814" authorId="1">
      <text>
        <r>
          <rPr>
            <b/>
            <sz val="8"/>
            <color indexed="81"/>
            <rFont val="Tahoma"/>
            <family val="2"/>
          </rPr>
          <t>bsc:</t>
        </r>
        <r>
          <rPr>
            <sz val="8"/>
            <color indexed="81"/>
            <rFont val="Tahoma"/>
            <family val="2"/>
          </rPr>
          <t xml:space="preserve">
$12k to Depot capex</t>
        </r>
      </text>
    </comment>
    <comment ref="B1834" authorId="0">
      <text>
        <r>
          <rPr>
            <b/>
            <sz val="9"/>
            <color indexed="81"/>
            <rFont val="Tahoma"/>
            <family val="2"/>
          </rPr>
          <t>PETERM:</t>
        </r>
        <r>
          <rPr>
            <sz val="9"/>
            <color indexed="81"/>
            <rFont val="Tahoma"/>
            <family val="2"/>
          </rPr>
          <t xml:space="preserve">
revised estimate for2012/13 then at nil increase to fees
</t>
        </r>
      </text>
    </comment>
    <comment ref="D1834" authorId="0">
      <text>
        <r>
          <rPr>
            <b/>
            <sz val="9"/>
            <color indexed="81"/>
            <rFont val="Tahoma"/>
            <family val="2"/>
          </rPr>
          <t>PETERM:</t>
        </r>
        <r>
          <rPr>
            <sz val="9"/>
            <color indexed="81"/>
            <rFont val="Tahoma"/>
            <family val="2"/>
          </rPr>
          <t xml:space="preserve">
Gate price for DWM mixed reduced from $264 to $256 to be same as self haul = 3% reduction</t>
        </r>
      </text>
    </comment>
    <comment ref="B1835" authorId="0">
      <text>
        <r>
          <rPr>
            <b/>
            <sz val="9"/>
            <color indexed="81"/>
            <rFont val="Tahoma"/>
            <family val="2"/>
          </rPr>
          <t>PETERM:</t>
        </r>
        <r>
          <rPr>
            <sz val="9"/>
            <color indexed="81"/>
            <rFont val="Tahoma"/>
            <family val="2"/>
          </rPr>
          <t xml:space="preserve">
revised estimate for 12/13 is $345,000 plus 5%</t>
        </r>
      </text>
    </comment>
    <comment ref="B1885" authorId="0">
      <text>
        <r>
          <rPr>
            <b/>
            <sz val="9"/>
            <color indexed="81"/>
            <rFont val="Tahoma"/>
            <family val="2"/>
          </rPr>
          <t>PETERM:</t>
        </r>
        <r>
          <rPr>
            <sz val="9"/>
            <color indexed="81"/>
            <rFont val="Tahoma"/>
            <family val="2"/>
          </rPr>
          <t xml:space="preserve">
Jan report says at least a $60k saving on this vote re casual staff and $120k re baler operations.</t>
        </r>
      </text>
    </comment>
    <comment ref="B1907" authorId="0">
      <text>
        <r>
          <rPr>
            <b/>
            <sz val="9"/>
            <color indexed="81"/>
            <rFont val="Tahoma"/>
            <family val="2"/>
          </rPr>
          <t>PETERM:</t>
        </r>
        <r>
          <rPr>
            <sz val="9"/>
            <color indexed="81"/>
            <rFont val="Tahoma"/>
            <family val="2"/>
          </rPr>
          <t xml:space="preserve">
taken from rod's jan report to council
assumes trucking will last 2 years</t>
        </r>
      </text>
    </comment>
    <comment ref="B1908" authorId="0">
      <text>
        <r>
          <rPr>
            <b/>
            <sz val="9"/>
            <color indexed="81"/>
            <rFont val="Tahoma"/>
            <family val="2"/>
          </rPr>
          <t>PETERM:</t>
        </r>
        <r>
          <rPr>
            <sz val="9"/>
            <color indexed="81"/>
            <rFont val="Tahoma"/>
            <family val="2"/>
          </rPr>
          <t xml:space="preserve">
taken from Rod's Jan report to council</t>
        </r>
      </text>
    </comment>
    <comment ref="B1915" authorId="0">
      <text>
        <r>
          <rPr>
            <b/>
            <sz val="9"/>
            <color indexed="81"/>
            <rFont val="Tahoma"/>
            <family val="2"/>
          </rPr>
          <t>PETERM:</t>
        </r>
        <r>
          <rPr>
            <sz val="9"/>
            <color indexed="81"/>
            <rFont val="Tahoma"/>
            <family val="2"/>
          </rPr>
          <t xml:space="preserve">
As per the jan report</t>
        </r>
      </text>
    </comment>
    <comment ref="I1984" authorId="2">
      <text>
        <r>
          <rPr>
            <b/>
            <sz val="9"/>
            <color indexed="81"/>
            <rFont val="Tahoma"/>
            <family val="2"/>
          </rPr>
          <t>Paul Hickey:</t>
        </r>
        <r>
          <rPr>
            <sz val="9"/>
            <color indexed="81"/>
            <rFont val="Tahoma"/>
            <family val="2"/>
          </rPr>
          <t xml:space="preserve">
$100,000 extra for reallocation of split for staff</t>
        </r>
      </text>
    </comment>
    <comment ref="B1989" authorId="0">
      <text>
        <r>
          <rPr>
            <b/>
            <sz val="9"/>
            <color indexed="81"/>
            <rFont val="Tahoma"/>
            <family val="2"/>
          </rPr>
          <t>PETERM:</t>
        </r>
        <r>
          <rPr>
            <sz val="9"/>
            <color indexed="81"/>
            <rFont val="Tahoma"/>
            <family val="2"/>
          </rPr>
          <t xml:space="preserve">
to procurement software in asset management</t>
        </r>
      </text>
    </comment>
    <comment ref="C1989" authorId="1">
      <text>
        <r>
          <rPr>
            <b/>
            <sz val="8"/>
            <color indexed="81"/>
            <rFont val="Tahoma"/>
            <family val="2"/>
          </rPr>
          <t>bsc:</t>
        </r>
        <r>
          <rPr>
            <sz val="8"/>
            <color indexed="81"/>
            <rFont val="Tahoma"/>
            <family val="2"/>
          </rPr>
          <t xml:space="preserve">
$11.8k to Depot Capex</t>
        </r>
      </text>
    </comment>
  </commentList>
</comments>
</file>

<file path=xl/comments8.xml><?xml version="1.0" encoding="utf-8"?>
<comments xmlns="http://schemas.openxmlformats.org/spreadsheetml/2006/main">
  <authors>
    <author>PETERM</author>
    <author>Peter Morgan</author>
    <author>bsc</author>
    <author>Linda Coulter</author>
    <author>Paul Hickey</author>
    <author>peterm</author>
  </authors>
  <commentList>
    <comment ref="C499" authorId="0">
      <text>
        <r>
          <rPr>
            <b/>
            <sz val="9"/>
            <color indexed="81"/>
            <rFont val="Tahoma"/>
            <family val="2"/>
          </rPr>
          <t>PETERM:</t>
        </r>
        <r>
          <rPr>
            <sz val="9"/>
            <color indexed="81"/>
            <rFont val="Tahoma"/>
            <family val="2"/>
          </rPr>
          <t xml:space="preserve">
this was $40k but increased by $10 as it was relocated from the festivals and events budget</t>
        </r>
      </text>
    </comment>
    <comment ref="G499" authorId="1">
      <text>
        <r>
          <rPr>
            <b/>
            <sz val="9"/>
            <color indexed="81"/>
            <rFont val="Tahoma"/>
            <family val="2"/>
          </rPr>
          <t>Peter Morgan:</t>
        </r>
        <r>
          <rPr>
            <sz val="9"/>
            <color indexed="81"/>
            <rFont val="Tahoma"/>
            <family val="2"/>
          </rPr>
          <t xml:space="preserve">
$10,000 added to this vote re roatay convention. Council voted April finance meet to give them $15,000 funded from airport $5,000/VIC $5,000/working capital $5,000. The $5,000 from the airport will be costed directly to the airpor</t>
        </r>
      </text>
    </comment>
    <comment ref="G500" authorId="1">
      <text>
        <r>
          <rPr>
            <b/>
            <sz val="9"/>
            <color indexed="81"/>
            <rFont val="Tahoma"/>
            <family val="2"/>
          </rPr>
          <t>Peter Morgan:</t>
        </r>
        <r>
          <rPr>
            <sz val="9"/>
            <color indexed="81"/>
            <rFont val="Tahoma"/>
            <family val="2"/>
          </rPr>
          <t xml:space="preserve">
See Council resolution from July 16 meeting adopting a new policy and wanting a budget from 2017/18</t>
        </r>
      </text>
    </comment>
    <comment ref="B514" authorId="0">
      <text>
        <r>
          <rPr>
            <b/>
            <sz val="9"/>
            <color indexed="81"/>
            <rFont val="Tahoma"/>
            <family val="2"/>
          </rPr>
          <t>PETERM:</t>
        </r>
        <r>
          <rPr>
            <sz val="9"/>
            <color indexed="81"/>
            <rFont val="Tahoma"/>
            <family val="2"/>
          </rPr>
          <t xml:space="preserve">
$10 k transferred to Lake A works as per May council meet</t>
        </r>
      </text>
    </comment>
    <comment ref="B599" authorId="2">
      <text>
        <r>
          <rPr>
            <b/>
            <sz val="8"/>
            <color indexed="81"/>
            <rFont val="Tahoma"/>
            <family val="2"/>
          </rPr>
          <t>bsc:</t>
        </r>
        <r>
          <rPr>
            <sz val="8"/>
            <color indexed="81"/>
            <rFont val="Tahoma"/>
            <family val="2"/>
          </rPr>
          <t xml:space="preserve">
steves forecast show little growth, 0.2% before objections. So we have estimated 5.9% plus $10,000 for growth fom Mar to June.</t>
        </r>
      </text>
    </comment>
    <comment ref="F725" authorId="3">
      <text>
        <r>
          <rPr>
            <b/>
            <sz val="9"/>
            <color indexed="81"/>
            <rFont val="Tahoma"/>
            <family val="2"/>
          </rPr>
          <t xml:space="preserve">Linda Coulter:
</t>
        </r>
        <r>
          <rPr>
            <sz val="9"/>
            <color indexed="81"/>
            <rFont val="Tahoma"/>
            <family val="2"/>
          </rPr>
          <t>Budget from 26005.7693 moved to here $1000 in 16/17)</t>
        </r>
      </text>
    </comment>
    <comment ref="G725" authorId="1">
      <text>
        <r>
          <rPr>
            <b/>
            <sz val="9"/>
            <color indexed="81"/>
            <rFont val="Tahoma"/>
            <family val="2"/>
          </rPr>
          <t>Peter Morgan:</t>
        </r>
        <r>
          <rPr>
            <sz val="9"/>
            <color indexed="81"/>
            <rFont val="Tahoma"/>
            <family val="2"/>
          </rPr>
          <t xml:space="preserve">
Income from this fee estimated to be $138,000. In the first two years $65,000 is applied to a new telephone system with the balance going to reserve. In later years the full balance (almost) of the income is going in to reserve.</t>
        </r>
      </text>
    </comment>
    <comment ref="I733" authorId="4">
      <text>
        <r>
          <rPr>
            <b/>
            <sz val="9"/>
            <color indexed="81"/>
            <rFont val="Tahoma"/>
            <family val="2"/>
          </rPr>
          <t>Paul Hickey:</t>
        </r>
        <r>
          <rPr>
            <sz val="9"/>
            <color indexed="81"/>
            <rFont val="Tahoma"/>
            <family val="2"/>
          </rPr>
          <t xml:space="preserve">
Carol returning from maternity leave</t>
        </r>
      </text>
    </comment>
    <comment ref="G739" authorId="1">
      <text>
        <r>
          <rPr>
            <b/>
            <sz val="9"/>
            <color indexed="81"/>
            <rFont val="Tahoma"/>
            <family val="2"/>
          </rPr>
          <t>Peter Morgan:</t>
        </r>
        <r>
          <rPr>
            <sz val="9"/>
            <color indexed="81"/>
            <rFont val="Tahoma"/>
            <family val="2"/>
          </rPr>
          <t xml:space="preserve">
This cost centre primarily caters for hardware purchases that will leased, currently via Macquarie Bank. However it does also include some direct purchases that are not leased. In future (2016/17 forward) all purchases that are going to be leased will be costed to resource 416 and others (not to be leased) will go to resource 401 so we will be able to discern those acquisitions relating to a lease arrangement.
So re purchases relating to a lease arrangement we buy the equipmet outright and it adds up in the ledger all year. Towards years end Stew passes on the invoices (paid by us) to Macquarie Bank who then purchase them off us. So in the 416 resource you will end up with only lease payments because the purchase by us (debit) will be cancelled out by the purchase by Macquarie off us (credit). 
In 2016/17 Stew estimates that the lease payments will amount to apprx $170,000 sp the remaining vote is for other outright equipment purchases.</t>
        </r>
      </text>
    </comment>
    <comment ref="B809" authorId="2">
      <text>
        <r>
          <rPr>
            <b/>
            <sz val="8"/>
            <color indexed="81"/>
            <rFont val="Tahoma"/>
            <family val="2"/>
          </rPr>
          <t>bsc:</t>
        </r>
        <r>
          <rPr>
            <sz val="8"/>
            <color indexed="81"/>
            <rFont val="Tahoma"/>
            <family val="2"/>
          </rPr>
          <t xml:space="preserve">
GM $17,000 paid here, than journ to below in June, so Payrate Number is less the $17,000.
</t>
        </r>
      </text>
    </comment>
    <comment ref="G810" authorId="3">
      <text>
        <r>
          <rPr>
            <b/>
            <sz val="9"/>
            <color indexed="81"/>
            <rFont val="Tahoma"/>
            <family val="2"/>
          </rPr>
          <t>Linda Coulter:</t>
        </r>
        <r>
          <rPr>
            <sz val="9"/>
            <color indexed="81"/>
            <rFont val="Tahoma"/>
            <family val="2"/>
          </rPr>
          <t xml:space="preserve">
Additional Contribution reduced from $312,200 pa to $256,000 pa (as advised by email 13 Nov 15 from Peter Lambert), ie a reduction of $56,000 pa.
</t>
        </r>
      </text>
    </comment>
    <comment ref="B866" authorId="5">
      <text>
        <r>
          <rPr>
            <b/>
            <sz val="8"/>
            <color indexed="81"/>
            <rFont val="Tahoma"/>
            <family val="2"/>
          </rPr>
          <t>peterm:</t>
        </r>
        <r>
          <rPr>
            <sz val="8"/>
            <color indexed="81"/>
            <rFont val="Tahoma"/>
            <family val="2"/>
          </rPr>
          <t xml:space="preserve">
This is the credit to reduce the accrual estimate to cash estimate. It should be $605k but incr bu $100k to $705k to try to balance budget. Still providing $100k more than 07/08 which is 6% extra</t>
        </r>
      </text>
    </comment>
    <comment ref="D881" authorId="4">
      <text>
        <r>
          <rPr>
            <b/>
            <sz val="9"/>
            <color indexed="81"/>
            <rFont val="Tahoma"/>
            <family val="2"/>
          </rPr>
          <t>Paul Hickey:</t>
        </r>
        <r>
          <rPr>
            <sz val="9"/>
            <color indexed="81"/>
            <rFont val="Tahoma"/>
            <family val="2"/>
          </rPr>
          <t xml:space="preserve">
Review to market every second year</t>
        </r>
      </text>
    </comment>
    <comment ref="D884" authorId="4">
      <text>
        <r>
          <rPr>
            <b/>
            <sz val="9"/>
            <color indexed="81"/>
            <rFont val="Tahoma"/>
            <family val="2"/>
          </rPr>
          <t>Paul Hickey:</t>
        </r>
        <r>
          <rPr>
            <sz val="9"/>
            <color indexed="81"/>
            <rFont val="Tahoma"/>
            <family val="2"/>
          </rPr>
          <t xml:space="preserve">
Review to market every second year</t>
        </r>
      </text>
    </comment>
    <comment ref="G920" authorId="3">
      <text>
        <r>
          <rPr>
            <b/>
            <sz val="9"/>
            <color indexed="81"/>
            <rFont val="Tahoma"/>
            <family val="2"/>
          </rPr>
          <t>Linda Coulter:</t>
        </r>
        <r>
          <rPr>
            <sz val="9"/>
            <color indexed="81"/>
            <rFont val="Tahoma"/>
            <family val="2"/>
          </rPr>
          <t xml:space="preserve">
Whilst for simplicity the refunds of $1475000 assume a completion of Ballina Heights this year, this budget has taken a more realistic approach and assumed approx 20 sales.</t>
        </r>
      </text>
    </comment>
    <comment ref="B929" authorId="2">
      <text>
        <r>
          <rPr>
            <b/>
            <sz val="8"/>
            <color indexed="81"/>
            <rFont val="Tahoma"/>
            <family val="2"/>
          </rPr>
          <t>bsc:</t>
        </r>
        <r>
          <rPr>
            <sz val="8"/>
            <color indexed="81"/>
            <rFont val="Tahoma"/>
            <family val="2"/>
          </rPr>
          <t xml:space="preserve">
Incl $130k for Arc Residual costs</t>
        </r>
      </text>
    </comment>
    <comment ref="B1008" authorId="2">
      <text>
        <r>
          <rPr>
            <b/>
            <sz val="8"/>
            <color indexed="81"/>
            <rFont val="Tahoma"/>
            <family val="2"/>
          </rPr>
          <t>bsc:</t>
        </r>
        <r>
          <rPr>
            <sz val="8"/>
            <color indexed="81"/>
            <rFont val="Tahoma"/>
            <family val="2"/>
          </rPr>
          <t xml:space="preserve">
$1150k tfr fr res moved to roads re Surf Club Rd &amp; Carpark.
</t>
        </r>
      </text>
    </comment>
    <comment ref="I1065" authorId="4">
      <text>
        <r>
          <rPr>
            <b/>
            <sz val="9"/>
            <color indexed="81"/>
            <rFont val="Tahoma"/>
            <family val="2"/>
          </rPr>
          <t>Paul Hickey:</t>
        </r>
        <r>
          <rPr>
            <sz val="9"/>
            <color indexed="81"/>
            <rFont val="Tahoma"/>
            <family val="2"/>
          </rPr>
          <t xml:space="preserve">
$150,000 represents transfer from Flat Rock for Skennars Head Sports Fields</t>
        </r>
      </text>
    </comment>
    <comment ref="C1097" authorId="4">
      <text>
        <r>
          <rPr>
            <b/>
            <sz val="9"/>
            <color indexed="81"/>
            <rFont val="Tahoma"/>
            <family val="2"/>
          </rPr>
          <t>Paul Hickey:</t>
        </r>
        <r>
          <rPr>
            <sz val="9"/>
            <color indexed="81"/>
            <rFont val="Tahoma"/>
            <family val="2"/>
          </rPr>
          <t xml:space="preserve">
$750,000 income from Coffs Harbour</t>
        </r>
      </text>
    </comment>
    <comment ref="I1113" authorId="4">
      <text>
        <r>
          <rPr>
            <b/>
            <sz val="9"/>
            <color indexed="81"/>
            <rFont val="Tahoma"/>
            <family val="2"/>
          </rPr>
          <t>Paul Hickey:</t>
        </r>
        <r>
          <rPr>
            <sz val="9"/>
            <color indexed="81"/>
            <rFont val="Tahoma"/>
            <family val="2"/>
          </rPr>
          <t xml:space="preserve">
Add Terminal Extension</t>
        </r>
      </text>
    </comment>
  </commentList>
</comments>
</file>

<file path=xl/comments9.xml><?xml version="1.0" encoding="utf-8"?>
<comments xmlns="http://schemas.openxmlformats.org/spreadsheetml/2006/main">
  <authors>
    <author>Linda Coulter</author>
    <author>bsc</author>
    <author>PETERM</author>
    <author>Paul Hickey</author>
  </authors>
  <commentList>
    <comment ref="I177" authorId="0">
      <text>
        <r>
          <rPr>
            <b/>
            <sz val="9"/>
            <color indexed="81"/>
            <rFont val="Tahoma"/>
            <family val="2"/>
          </rPr>
          <t>Linda Coulter:</t>
        </r>
        <r>
          <rPr>
            <sz val="9"/>
            <color indexed="81"/>
            <rFont val="Tahoma"/>
            <family val="2"/>
          </rPr>
          <t xml:space="preserve">
Note have allowed 16/17 increased figures to flow here at this stage. 17/18 figures will need to be adjusted down.</t>
        </r>
      </text>
    </comment>
    <comment ref="B216" authorId="1">
      <text>
        <r>
          <rPr>
            <b/>
            <sz val="8"/>
            <color indexed="81"/>
            <rFont val="Tahoma"/>
            <family val="2"/>
          </rPr>
          <t>bsc:</t>
        </r>
        <r>
          <rPr>
            <sz val="8"/>
            <color indexed="81"/>
            <rFont val="Tahoma"/>
            <family val="2"/>
          </rPr>
          <t xml:space="preserve">
30 Depot + 30 Ass Man Sys
</t>
        </r>
      </text>
    </comment>
    <comment ref="C216" authorId="1">
      <text>
        <r>
          <rPr>
            <b/>
            <sz val="8"/>
            <color indexed="81"/>
            <rFont val="Tahoma"/>
            <family val="2"/>
          </rPr>
          <t>bsc:</t>
        </r>
        <r>
          <rPr>
            <sz val="8"/>
            <color indexed="81"/>
            <rFont val="Tahoma"/>
            <family val="2"/>
          </rPr>
          <t xml:space="preserve">
$40k to Depot Capex</t>
        </r>
      </text>
    </comment>
    <comment ref="F242" authorId="0">
      <text>
        <r>
          <rPr>
            <b/>
            <sz val="9"/>
            <color indexed="81"/>
            <rFont val="Tahoma"/>
            <family val="2"/>
          </rPr>
          <t>Linda Coulter:</t>
        </r>
        <r>
          <rPr>
            <sz val="9"/>
            <color indexed="81"/>
            <rFont val="Tahoma"/>
            <family val="2"/>
          </rPr>
          <t xml:space="preserve">
Found this wasn’t in the LTFP (in error) but was in authority, so added into LTFP as part of Dec budget updates.</t>
        </r>
      </text>
    </comment>
    <comment ref="B263" authorId="1">
      <text>
        <r>
          <rPr>
            <b/>
            <sz val="8"/>
            <color indexed="81"/>
            <rFont val="Tahoma"/>
            <family val="2"/>
          </rPr>
          <t>bsc:</t>
        </r>
        <r>
          <rPr>
            <sz val="8"/>
            <color indexed="81"/>
            <rFont val="Tahoma"/>
            <family val="2"/>
          </rPr>
          <t xml:space="preserve">
11/2/13 Incr looking at 3.4%</t>
        </r>
      </text>
    </comment>
    <comment ref="C300" authorId="2">
      <text>
        <r>
          <rPr>
            <b/>
            <sz val="9"/>
            <color indexed="81"/>
            <rFont val="Tahoma"/>
            <family val="2"/>
          </rPr>
          <t>PETERM:</t>
        </r>
        <r>
          <rPr>
            <sz val="9"/>
            <color indexed="81"/>
            <rFont val="Tahoma"/>
            <family val="2"/>
          </rPr>
          <t xml:space="preserve">
$20k shifted to capital</t>
        </r>
      </text>
    </comment>
    <comment ref="F300" authorId="0">
      <text>
        <r>
          <rPr>
            <b/>
            <sz val="9"/>
            <color indexed="81"/>
            <rFont val="Tahoma"/>
            <family val="2"/>
          </rPr>
          <t>Linda Coulter:</t>
        </r>
        <r>
          <rPr>
            <sz val="9"/>
            <color indexed="81"/>
            <rFont val="Tahoma"/>
            <family val="2"/>
          </rPr>
          <t xml:space="preserve">
Job 50107.3684 was previously Marom Ck Operating Expenses. Now split into 2 job numbers "Sampling and Testing" and "Chemicals".
</t>
        </r>
      </text>
    </comment>
    <comment ref="F307" authorId="0">
      <text>
        <r>
          <rPr>
            <b/>
            <sz val="9"/>
            <color indexed="81"/>
            <rFont val="Tahoma"/>
            <family val="2"/>
          </rPr>
          <t>Linda Coulter:</t>
        </r>
        <r>
          <rPr>
            <sz val="9"/>
            <color indexed="81"/>
            <rFont val="Tahoma"/>
            <family val="2"/>
          </rPr>
          <t xml:space="preserve">
Job 50108.3679 was previously Marom Creek WTP, now split into  "Scheduled Maintenance" and "Reactive Maintenance".</t>
        </r>
      </text>
    </comment>
    <comment ref="F309" authorId="0">
      <text>
        <r>
          <rPr>
            <b/>
            <sz val="9"/>
            <color indexed="81"/>
            <rFont val="Tahoma"/>
            <family val="2"/>
          </rPr>
          <t>Linda Coulter:</t>
        </r>
        <r>
          <rPr>
            <sz val="9"/>
            <color indexed="81"/>
            <rFont val="Tahoma"/>
            <family val="2"/>
          </rPr>
          <t xml:space="preserve">
Job number changed from 50107.3685 to 50108.3685</t>
        </r>
      </text>
    </comment>
    <comment ref="F318" authorId="0">
      <text>
        <r>
          <rPr>
            <b/>
            <sz val="9"/>
            <color indexed="81"/>
            <rFont val="Tahoma"/>
            <family val="2"/>
          </rPr>
          <t>Linda Coulter:</t>
        </r>
        <r>
          <rPr>
            <sz val="9"/>
            <color indexed="81"/>
            <rFont val="Tahoma"/>
            <family val="2"/>
          </rPr>
          <t xml:space="preserve">
Need to break this budget of $395,000 into subs, not all in sub 3712</t>
        </r>
      </text>
    </comment>
    <comment ref="F329" authorId="0">
      <text>
        <r>
          <rPr>
            <b/>
            <sz val="9"/>
            <color indexed="81"/>
            <rFont val="Tahoma"/>
            <family val="2"/>
          </rPr>
          <t>Linda Coulter:</t>
        </r>
        <r>
          <rPr>
            <sz val="9"/>
            <color indexed="81"/>
            <rFont val="Tahoma"/>
            <family val="2"/>
          </rPr>
          <t xml:space="preserve">
Job number amended from 50005.3575 to 50112.3575
</t>
        </r>
      </text>
    </comment>
    <comment ref="F330" authorId="0">
      <text>
        <r>
          <rPr>
            <b/>
            <sz val="9"/>
            <color indexed="81"/>
            <rFont val="Tahoma"/>
            <family val="2"/>
          </rPr>
          <t>Linda Coulter:</t>
        </r>
        <r>
          <rPr>
            <sz val="9"/>
            <color indexed="81"/>
            <rFont val="Tahoma"/>
            <family val="2"/>
          </rPr>
          <t xml:space="preserve">
Job number changed from 50005.3583 to 50112.3583</t>
        </r>
      </text>
    </comment>
    <comment ref="F331" authorId="0">
      <text>
        <r>
          <rPr>
            <b/>
            <sz val="9"/>
            <color indexed="81"/>
            <rFont val="Tahoma"/>
            <family val="2"/>
          </rPr>
          <t>Linda Coulter:</t>
        </r>
        <r>
          <rPr>
            <sz val="9"/>
            <color indexed="81"/>
            <rFont val="Tahoma"/>
            <family val="2"/>
          </rPr>
          <t xml:space="preserve">
Job number changed from 50005.4596 to 50112.4596</t>
        </r>
      </text>
    </comment>
    <comment ref="F338" authorId="0">
      <text>
        <r>
          <rPr>
            <b/>
            <sz val="9"/>
            <color indexed="81"/>
            <rFont val="Tahoma"/>
            <family val="2"/>
          </rPr>
          <t>Linda Coulter:</t>
        </r>
        <r>
          <rPr>
            <sz val="9"/>
            <color indexed="81"/>
            <rFont val="Tahoma"/>
            <family val="2"/>
          </rPr>
          <t xml:space="preserve">
Need to break this budget of $102,000 into subs, not all in sub 6701.</t>
        </r>
      </text>
    </comment>
    <comment ref="C341" authorId="0">
      <text>
        <r>
          <rPr>
            <b/>
            <sz val="9"/>
            <color indexed="81"/>
            <rFont val="Tahoma"/>
            <family val="2"/>
          </rPr>
          <t>Linda Coulter:</t>
        </r>
        <r>
          <rPr>
            <sz val="9"/>
            <color indexed="81"/>
            <rFont val="Tahoma"/>
            <family val="2"/>
          </rPr>
          <t xml:space="preserve">
Amended from original budget of $1,900,000 to $1,700,000 based on forecast report PRIOR to Corey's reevaluation of assumptions. LCO 30/1/15</t>
        </r>
      </text>
    </comment>
    <comment ref="D341" authorId="3">
      <text>
        <r>
          <rPr>
            <b/>
            <sz val="9"/>
            <color indexed="81"/>
            <rFont val="Tahoma"/>
            <family val="2"/>
          </rPr>
          <t xml:space="preserve">Paul Hickey </t>
        </r>
        <r>
          <rPr>
            <sz val="9"/>
            <color indexed="81"/>
            <rFont val="Tahoma"/>
            <family val="2"/>
          </rPr>
          <t>Revised figure represents Corey Ryan email 23 March 2015</t>
        </r>
      </text>
    </comment>
    <comment ref="B414" authorId="1">
      <text>
        <r>
          <rPr>
            <b/>
            <sz val="8"/>
            <color indexed="81"/>
            <rFont val="Tahoma"/>
            <family val="2"/>
          </rPr>
          <t>bsc:</t>
        </r>
        <r>
          <rPr>
            <sz val="8"/>
            <color indexed="81"/>
            <rFont val="Tahoma"/>
            <family val="2"/>
          </rPr>
          <t xml:space="preserve">
$30,000 Asset syst in Water,$40k to Trinity Pl path($5k to SP re Rriver testing not shown).
</t>
        </r>
      </text>
    </comment>
    <comment ref="C414" authorId="1">
      <text>
        <r>
          <rPr>
            <b/>
            <sz val="8"/>
            <color indexed="81"/>
            <rFont val="Tahoma"/>
            <family val="2"/>
          </rPr>
          <t>bsc:</t>
        </r>
        <r>
          <rPr>
            <sz val="8"/>
            <color indexed="81"/>
            <rFont val="Tahoma"/>
            <family val="2"/>
          </rPr>
          <t xml:space="preserve">
$5k to SP re RR testing+$40k to Depot Capex</t>
        </r>
      </text>
    </comment>
    <comment ref="F460" authorId="0">
      <text>
        <r>
          <rPr>
            <b/>
            <sz val="9"/>
            <color indexed="81"/>
            <rFont val="Tahoma"/>
            <family val="2"/>
          </rPr>
          <t>Linda Coulter:</t>
        </r>
        <r>
          <rPr>
            <sz val="9"/>
            <color indexed="81"/>
            <rFont val="Tahoma"/>
            <family val="2"/>
          </rPr>
          <t xml:space="preserve">
Need to split out the $265k across the subs.</t>
        </r>
      </text>
    </comment>
    <comment ref="F473" authorId="0">
      <text>
        <r>
          <rPr>
            <b/>
            <sz val="9"/>
            <color indexed="81"/>
            <rFont val="Tahoma"/>
            <family val="2"/>
          </rPr>
          <t>Linda Coulter:</t>
        </r>
        <r>
          <rPr>
            <sz val="9"/>
            <color indexed="81"/>
            <rFont val="Tahoma"/>
            <family val="2"/>
          </rPr>
          <t xml:space="preserve">
Need to split out the $1120k across the subs.</t>
        </r>
      </text>
    </comment>
    <comment ref="F476" authorId="0">
      <text>
        <r>
          <rPr>
            <b/>
            <sz val="9"/>
            <color indexed="81"/>
            <rFont val="Tahoma"/>
            <family val="2"/>
          </rPr>
          <t>Linda Coulter:</t>
        </r>
        <r>
          <rPr>
            <sz val="9"/>
            <color indexed="81"/>
            <rFont val="Tahoma"/>
            <family val="2"/>
          </rPr>
          <t xml:space="preserve">
Need to split out the $180k across subs.</t>
        </r>
      </text>
    </comment>
    <comment ref="F501" authorId="0">
      <text>
        <r>
          <rPr>
            <b/>
            <sz val="9"/>
            <color indexed="81"/>
            <rFont val="Tahoma"/>
            <family val="2"/>
          </rPr>
          <t>Linda Coulter:</t>
        </r>
        <r>
          <rPr>
            <sz val="9"/>
            <color indexed="81"/>
            <rFont val="Tahoma"/>
            <family val="2"/>
          </rPr>
          <t xml:space="preserve">
Need to split out the $90k across the subs.</t>
        </r>
      </text>
    </comment>
    <comment ref="C504" authorId="2">
      <text>
        <r>
          <rPr>
            <b/>
            <sz val="9"/>
            <color indexed="81"/>
            <rFont val="Tahoma"/>
            <family val="2"/>
          </rPr>
          <t>PETERM:</t>
        </r>
        <r>
          <rPr>
            <sz val="9"/>
            <color indexed="81"/>
            <rFont val="Tahoma"/>
            <family val="2"/>
          </rPr>
          <t xml:space="preserve">
$80k transferred to capital</t>
        </r>
      </text>
    </comment>
    <comment ref="F508" authorId="0">
      <text>
        <r>
          <rPr>
            <b/>
            <sz val="9"/>
            <color indexed="81"/>
            <rFont val="Tahoma"/>
            <family val="2"/>
          </rPr>
          <t>Linda Coulter:</t>
        </r>
        <r>
          <rPr>
            <sz val="9"/>
            <color indexed="81"/>
            <rFont val="Tahoma"/>
            <family val="2"/>
          </rPr>
          <t xml:space="preserve">
Need to split out the $151k across subs.</t>
        </r>
      </text>
    </comment>
    <comment ref="B514" authorId="2">
      <text>
        <r>
          <rPr>
            <b/>
            <sz val="9"/>
            <color indexed="81"/>
            <rFont val="Tahoma"/>
            <family val="2"/>
          </rPr>
          <t>PETERM:</t>
        </r>
        <r>
          <rPr>
            <sz val="9"/>
            <color indexed="81"/>
            <rFont val="Tahoma"/>
            <family val="2"/>
          </rPr>
          <t xml:space="preserve">
adjustments done as per report by Andrew S to March ordinary meeting</t>
        </r>
      </text>
    </comment>
    <comment ref="B518" authorId="2">
      <text>
        <r>
          <rPr>
            <b/>
            <sz val="9"/>
            <color indexed="81"/>
            <rFont val="Tahoma"/>
            <family val="2"/>
          </rPr>
          <t>PETERM:</t>
        </r>
        <r>
          <rPr>
            <sz val="9"/>
            <color indexed="81"/>
            <rFont val="Tahoma"/>
            <family val="2"/>
          </rPr>
          <t xml:space="preserve">
adjustments done as per report by Andrew S to March ordinary meeting</t>
        </r>
      </text>
    </comment>
    <comment ref="B519" authorId="2">
      <text>
        <r>
          <rPr>
            <b/>
            <sz val="9"/>
            <color indexed="81"/>
            <rFont val="Tahoma"/>
            <family val="2"/>
          </rPr>
          <t>PETERM:</t>
        </r>
        <r>
          <rPr>
            <sz val="9"/>
            <color indexed="81"/>
            <rFont val="Tahoma"/>
            <family val="2"/>
          </rPr>
          <t xml:space="preserve">
adjustments done as per report by Andrew S to March ordinary meeting</t>
        </r>
      </text>
    </comment>
  </commentList>
</comments>
</file>

<file path=xl/connections.xml><?xml version="1.0" encoding="utf-8"?>
<connections xmlns="http://schemas.openxmlformats.org/spreadsheetml/2006/main">
  <connection id="1" name="Connection" type="1" refreshedVersion="2">
    <dbPr connection="DSN=authlive;Description=Authlive;UID=Graemef;;APP=Microsoft Office 2003;WSID=PC-DELL-36;DATABASE=authlive;Trusted_Connection=Yes;QuotedId=No" command="select total_level,total_description,bs_os_level,bs_os_description,directorate_level,directorate_description,department_level,department_description,program_level,program_description,display_sequence,op_cap_level,op_cap_description,account_type_level,account_type_description,master_number,master_description,sub_number,sub_description,resource_number,resource_description,costing_ledger,fund,program,hierarchy_num,hierarchy_name,resource_group,resource_group_description,account_type,op_cap,posting_year,committed_balance,p1_actual_ytd,p2_actual_ytd,p3_actual_ytd,p4_actual_ytd,p5_actual_ytd,p6_actual_ytd,p7_actual_ytd,p8_actual_ytd,p9_actual_ytd,p10_actual_ytd,p11_actual_ytd,p12_actual_ytd,p1_budget_ytd,p2_budget_ytd,p3_budget_ytd,p4_budget_ytd,p5_budget_ytd,p6_budget_ytd,p7_budget_ytd,p8_budget_ytd,p9_budget_ytd,p10_budget_ytd,p11_budget_ytd,p12_budget_ytd,p1_actual,p2_actual,p3_actual,p4_actual,p5_actual,p6_actual,p7_actual,p8_actual,p9_actual,p10_actual,p11_actual,p12_actual,p1_budget,p2_budget,p3_budget,p4_budget,p5_budget,p6_budget,p7_budget,p8_budget,p9_budget,p10_budget,p11_budget,p12_budget from av_hi_financial_summary where hierarchy_num='2' AND (select 1 from aualrefs where aualrefs.ref_typ='rpt_wzd' AND aualrefs.ref_val='RPTWZD') = 1 AND (select alp_key from aumnparm, aunrmast where aumnparm.nar_num=aunrmast.nar_num) = 'BALLINA SHIR'"/>
  </connection>
</connections>
</file>

<file path=xl/sharedStrings.xml><?xml version="1.0" encoding="utf-8"?>
<sst xmlns="http://schemas.openxmlformats.org/spreadsheetml/2006/main" count="12206" uniqueCount="7154">
  <si>
    <t>Operating Activities</t>
  </si>
  <si>
    <t>Purchasing Card</t>
  </si>
  <si>
    <t>4101.8795.0960</t>
  </si>
  <si>
    <t>Non-cash Developer Contributions</t>
  </si>
  <si>
    <t>32330.6650.0401</t>
  </si>
  <si>
    <t>32330.6651.0401</t>
  </si>
  <si>
    <t>32330.6652.0700</t>
  </si>
  <si>
    <t>32331.6649.0640</t>
  </si>
  <si>
    <t>32312.6192.0401</t>
  </si>
  <si>
    <t xml:space="preserve">Open Spaces and Reserves Management </t>
  </si>
  <si>
    <t xml:space="preserve">Lease - Norfolk Homes </t>
  </si>
  <si>
    <t>Lease - Wigmore Arcade</t>
  </si>
  <si>
    <t>Lease - 89 Tamar Street</t>
  </si>
  <si>
    <t>Lease - ARC</t>
  </si>
  <si>
    <t>Caravan Parks and Tent Park</t>
  </si>
  <si>
    <t>35084.8685.0401</t>
  </si>
  <si>
    <t>7506.4914.0401</t>
  </si>
  <si>
    <t>Road Plan (All Plans)</t>
  </si>
  <si>
    <t>22011.2428.0169</t>
  </si>
  <si>
    <t>22011.2429.0169</t>
  </si>
  <si>
    <t>26045.7897.0138</t>
  </si>
  <si>
    <t>Staff Broadband Contributions</t>
  </si>
  <si>
    <t>Postage</t>
  </si>
  <si>
    <t>35162.0350.0401</t>
  </si>
  <si>
    <t>35162.0420.0401</t>
  </si>
  <si>
    <t>35152.8851.0401</t>
  </si>
  <si>
    <t>35150.0420.0401</t>
  </si>
  <si>
    <t>22012.2437.0191</t>
  </si>
  <si>
    <t>35100.0415.0690</t>
  </si>
  <si>
    <t>35100.8681.0401</t>
  </si>
  <si>
    <t>35115.0425.0401</t>
  </si>
  <si>
    <t>35115.8700.0401</t>
  </si>
  <si>
    <t>35115.0420.0401</t>
  </si>
  <si>
    <t>35107.0415.0690</t>
  </si>
  <si>
    <t>General Fund - Externally Restricted Reserves Movement</t>
  </si>
  <si>
    <t>32249.3464.0401</t>
  </si>
  <si>
    <t>35006.7569.0639</t>
  </si>
  <si>
    <t>Rangers - Conferences</t>
  </si>
  <si>
    <t>WATER OPERATIONS</t>
  </si>
  <si>
    <t>Skatepark (Lennox) M &amp; R</t>
  </si>
  <si>
    <t>32267.5424.0401</t>
  </si>
  <si>
    <t>32132.4238.0401</t>
  </si>
  <si>
    <t>32132.4239.0401</t>
  </si>
  <si>
    <t>32132.4241.0401</t>
  </si>
  <si>
    <t>32135.4250.0401</t>
  </si>
  <si>
    <t>32285.0531.0401</t>
  </si>
  <si>
    <t>32285.5878.0401</t>
  </si>
  <si>
    <t>32285.0415.0690</t>
  </si>
  <si>
    <t>Collection</t>
  </si>
  <si>
    <t>Flat Rock Operating</t>
  </si>
  <si>
    <t xml:space="preserve">Ramses Street </t>
  </si>
  <si>
    <t xml:space="preserve">Airport </t>
  </si>
  <si>
    <t>Balance as at 1 July</t>
  </si>
  <si>
    <t>Balance as at 30 June</t>
  </si>
  <si>
    <t>Total Repayments</t>
  </si>
  <si>
    <t>Total External Loans</t>
  </si>
  <si>
    <t>Unrestricted Current Ratio - Consolidated</t>
  </si>
  <si>
    <t>Sub Total - Southern Cross</t>
  </si>
  <si>
    <t>Sub Total - Russellton</t>
  </si>
  <si>
    <t>Depreciation - Environmental Protection</t>
  </si>
  <si>
    <t>Annual Charges</t>
  </si>
  <si>
    <t>`</t>
  </si>
  <si>
    <t>M &amp; R Lights, Signs, Boom Gates etc</t>
  </si>
  <si>
    <t>32312.6194.0401</t>
  </si>
  <si>
    <t>Deposit Hazardous Waste</t>
  </si>
  <si>
    <t>32279.5738.0401</t>
  </si>
  <si>
    <t>35084.8690.0401</t>
  </si>
  <si>
    <t>Sh10 &amp; Pearces Ck Rd</t>
  </si>
  <si>
    <t>35120.0980.0980</t>
  </si>
  <si>
    <t>35120.0435.0700</t>
  </si>
  <si>
    <t>35120.0680.0745</t>
  </si>
  <si>
    <t>31020.4758.0422</t>
  </si>
  <si>
    <t>Net Increase / (Decrease) ELE</t>
  </si>
  <si>
    <t>Add: Non-cash items - Leave Liabilities</t>
  </si>
  <si>
    <t>Net Cash Movement (A + B)</t>
  </si>
  <si>
    <t>32340.6863.0401</t>
  </si>
  <si>
    <t>21022.1479.0062</t>
  </si>
  <si>
    <t>21022.1482.0062</t>
  </si>
  <si>
    <t>31020.0300.0300</t>
  </si>
  <si>
    <t>Other Grants and Contributions</t>
  </si>
  <si>
    <t>32325.0450.0401</t>
  </si>
  <si>
    <t>Heavy vehicle</t>
  </si>
  <si>
    <t>Car Parking - Ballina</t>
  </si>
  <si>
    <t>4500.2801.0961</t>
  </si>
  <si>
    <t>4500.2800.0961</t>
  </si>
  <si>
    <t>4500.2809.0961</t>
  </si>
  <si>
    <t xml:space="preserve">Depreciation </t>
  </si>
  <si>
    <t>Superannuation - Defined Benefits</t>
  </si>
  <si>
    <t>Financial Services</t>
  </si>
  <si>
    <t>Check</t>
  </si>
  <si>
    <t>Commission on Sales</t>
  </si>
  <si>
    <t>22283.6821.0270</t>
  </si>
  <si>
    <t>Plant Running Expenses</t>
  </si>
  <si>
    <t>General Fund - Loan Income - Ten Year Forward Plan - New Projects</t>
  </si>
  <si>
    <t>Principal Outstanding</t>
  </si>
  <si>
    <t>32348.7020.0649</t>
  </si>
  <si>
    <t>35152.8840.0401</t>
  </si>
  <si>
    <t>35152.8845.0401</t>
  </si>
  <si>
    <t>32361.7321.0401</t>
  </si>
  <si>
    <t>Hardware Lease</t>
  </si>
  <si>
    <t xml:space="preserve">Recruitment </t>
  </si>
  <si>
    <t>31083.0415.0690</t>
  </si>
  <si>
    <t>Plant Repairs</t>
  </si>
  <si>
    <t>1056 &amp; 1194</t>
  </si>
  <si>
    <t>7512.4985.8800</t>
  </si>
  <si>
    <t>Information Access Copy Charges</t>
  </si>
  <si>
    <t>Unexpended Grants</t>
  </si>
  <si>
    <t>Management</t>
  </si>
  <si>
    <t>Beach Maintenance</t>
  </si>
  <si>
    <t>32021.0680.0745</t>
  </si>
  <si>
    <t>26005.7698.0233</t>
  </si>
  <si>
    <t>35073.8567.0401</t>
  </si>
  <si>
    <t>Maintenance - Radios</t>
  </si>
  <si>
    <t>State Highway Ordered Work</t>
  </si>
  <si>
    <t>Solid Waste Surface Water Control</t>
  </si>
  <si>
    <t>32280.5741.0401</t>
  </si>
  <si>
    <t>32364.7347.0401</t>
  </si>
  <si>
    <t>35120.4128.0401</t>
  </si>
  <si>
    <t>35120.0530.0401</t>
  </si>
  <si>
    <t>Balance as per cash reconc. (less S.94)</t>
  </si>
  <si>
    <t>Engineering Supervision Overheads</t>
  </si>
  <si>
    <t>35055.7956.0401</t>
  </si>
  <si>
    <t>Availability Charge Non-Residential</t>
  </si>
  <si>
    <t>30021.1158.0401</t>
  </si>
  <si>
    <t>30021.1159.0401</t>
  </si>
  <si>
    <t>30021.0680.0745</t>
  </si>
  <si>
    <t>21000.1300.0061</t>
  </si>
  <si>
    <t>21000.1301.0061</t>
  </si>
  <si>
    <t>21000.1303.0061</t>
  </si>
  <si>
    <t>Nursery Crew Support</t>
  </si>
  <si>
    <t>35051.7945.0300</t>
  </si>
  <si>
    <t>Union Delegate Expenses</t>
  </si>
  <si>
    <t>50005.7964.0300</t>
  </si>
  <si>
    <t>Accident Pay to Employees</t>
  </si>
  <si>
    <t>Country Mayors</t>
  </si>
  <si>
    <t>LGSA Special Cases</t>
  </si>
  <si>
    <t>Sundry Administration</t>
  </si>
  <si>
    <t>Total Movement in Reserves</t>
  </si>
  <si>
    <t>Excess Public Risk</t>
  </si>
  <si>
    <t>26122</t>
  </si>
  <si>
    <t>26120</t>
  </si>
  <si>
    <t>35150</t>
  </si>
  <si>
    <t>35152</t>
  </si>
  <si>
    <t>Civil Services Group</t>
  </si>
  <si>
    <t>Transfers from / (to) Internal Reserves</t>
  </si>
  <si>
    <t>Management Plans</t>
  </si>
  <si>
    <t>Loan Principal</t>
  </si>
  <si>
    <t>Library Special Projects</t>
  </si>
  <si>
    <t>Service Availability Charge Residential</t>
  </si>
  <si>
    <t>10000.0101.0031</t>
  </si>
  <si>
    <t>Water Supplies - Management</t>
  </si>
  <si>
    <t>50005.3580.0323</t>
  </si>
  <si>
    <t>50005.3580.0324</t>
  </si>
  <si>
    <t>Bank Fees</t>
  </si>
  <si>
    <t xml:space="preserve">Legal Costs </t>
  </si>
  <si>
    <t>Grant Street</t>
  </si>
  <si>
    <t>Amphitheatre and Skatepark Facilities</t>
  </si>
  <si>
    <t>Operating Grants &amp; Contributions</t>
  </si>
  <si>
    <t>4028.8852.0960</t>
  </si>
  <si>
    <t>Special Projects from Grants</t>
  </si>
  <si>
    <t>Consumables</t>
  </si>
  <si>
    <t>32020.2441.0300</t>
  </si>
  <si>
    <t>32020.2442.0300</t>
  </si>
  <si>
    <t>Depreciation - Ancillary</t>
  </si>
  <si>
    <t>Footpaths</t>
  </si>
  <si>
    <t xml:space="preserve">Water </t>
  </si>
  <si>
    <t>Waste Receival</t>
  </si>
  <si>
    <t>Vegetation Management</t>
  </si>
  <si>
    <t>Coastal Reserves</t>
  </si>
  <si>
    <t>4601.8801.0961</t>
  </si>
  <si>
    <t>Sub Total Car Parking</t>
  </si>
  <si>
    <t>Operating Income</t>
  </si>
  <si>
    <t>Sub Total - Comm Infra</t>
  </si>
  <si>
    <t>Ballina Ultimate Upgrade</t>
  </si>
  <si>
    <t>Ballina Revolve Facility Rental</t>
  </si>
  <si>
    <t>31061.1810.0401</t>
  </si>
  <si>
    <t>31061.1811.0401</t>
  </si>
  <si>
    <t>31062.1813.0635</t>
  </si>
  <si>
    <t>31062.1815.0501</t>
  </si>
  <si>
    <t>55004.4755.0300</t>
  </si>
  <si>
    <t>22101.2952.0166</t>
  </si>
  <si>
    <t>32102.3087.0401</t>
  </si>
  <si>
    <t>VEGETATION MANAGEMENT</t>
  </si>
  <si>
    <t>32261.0680.0745</t>
  </si>
  <si>
    <t>10004.3545.0190</t>
  </si>
  <si>
    <t>Staff Training and Development</t>
  </si>
  <si>
    <t>Staff Support and Recognition</t>
  </si>
  <si>
    <t>35055</t>
  </si>
  <si>
    <t>4150.8987.0960</t>
  </si>
  <si>
    <t>4650.8997.0961</t>
  </si>
  <si>
    <t>32260.5300.0343</t>
  </si>
  <si>
    <t>35005.0374.0619</t>
  </si>
  <si>
    <t>Electricity &amp; Gas</t>
  </si>
  <si>
    <t>4610.3919.0961</t>
  </si>
  <si>
    <t>4591.8653.0961</t>
  </si>
  <si>
    <t>4612.4996.0690</t>
  </si>
  <si>
    <t>Capital Movements</t>
  </si>
  <si>
    <t>Cash-General Net Movement</t>
  </si>
  <si>
    <t>Community Donations</t>
  </si>
  <si>
    <t>Movement</t>
  </si>
  <si>
    <t>Closing</t>
  </si>
  <si>
    <t>Building Modifications</t>
  </si>
  <si>
    <t>Open Space</t>
  </si>
  <si>
    <t>Donations to Community Groups</t>
  </si>
  <si>
    <t>Operating Revenue (excl Capital)</t>
  </si>
  <si>
    <t>Oncosts Wages Staff</t>
  </si>
  <si>
    <t>NORTHERN RIVERS COMMUNITY GALLERY</t>
  </si>
  <si>
    <t>35070.0300.0300</t>
  </si>
  <si>
    <t>Tintenbar Recreation Reserve</t>
  </si>
  <si>
    <t>External Contributions</t>
  </si>
  <si>
    <t>31061.1808.0401</t>
  </si>
  <si>
    <t>32116.3239.0401</t>
  </si>
  <si>
    <t>22290.7206.0030</t>
  </si>
  <si>
    <t>32011.2247.0401</t>
  </si>
  <si>
    <t>22110.3309.0190</t>
  </si>
  <si>
    <t>32110.3234.0401</t>
  </si>
  <si>
    <t>32113.3476.0401</t>
  </si>
  <si>
    <t>Security in Departure Lounge</t>
  </si>
  <si>
    <t>Strategic Planning</t>
  </si>
  <si>
    <t xml:space="preserve">Administration Centre </t>
  </si>
  <si>
    <t>Flood Management Studies and Plans</t>
  </si>
  <si>
    <t>Contributions - LSL</t>
  </si>
  <si>
    <t>32200.4015.0401</t>
  </si>
  <si>
    <t>Depreciation - Domestic Waste</t>
  </si>
  <si>
    <t xml:space="preserve">Interest on Loans </t>
  </si>
  <si>
    <t>Proceeds from Disposal of Assets</t>
  </si>
  <si>
    <t>2010/11</t>
  </si>
  <si>
    <t>26005.7690.0233</t>
  </si>
  <si>
    <t>32001.8550.0300</t>
  </si>
  <si>
    <t>4591.8666.0961</t>
  </si>
  <si>
    <t>4591.8665.0961</t>
  </si>
  <si>
    <t>4591.7859.0961</t>
  </si>
  <si>
    <t>Item</t>
  </si>
  <si>
    <t>Unsealed Rural Roads</t>
  </si>
  <si>
    <t>Surf Clubs - Insurance</t>
  </si>
  <si>
    <t xml:space="preserve">Buildings and Facilities - M. and R. </t>
  </si>
  <si>
    <t>Sealed Rural Roads - Maintenance</t>
  </si>
  <si>
    <t>Interest on Section 64 Water Contributions</t>
  </si>
  <si>
    <t>32201.0500.0401</t>
  </si>
  <si>
    <t>32201.0500.0635</t>
  </si>
  <si>
    <t>Abandoned Pensioners (State)</t>
  </si>
  <si>
    <t>Tuckombil Quarry</t>
  </si>
  <si>
    <t>Group Total - Civil Services</t>
  </si>
  <si>
    <t>26113.8749.0124</t>
  </si>
  <si>
    <t>Reserve Balances</t>
  </si>
  <si>
    <t>Environmental Health Projects</t>
  </si>
  <si>
    <t/>
  </si>
  <si>
    <t>Reserves - Externally Restricted</t>
  </si>
  <si>
    <t>PAPI / PAALC</t>
  </si>
  <si>
    <t>Miscellaneous Infrastructure</t>
  </si>
  <si>
    <t>26021.0101.0031</t>
  </si>
  <si>
    <t>32312.6166.0401</t>
  </si>
  <si>
    <t>32312.6168.0401</t>
  </si>
  <si>
    <t>32312.6170.0401</t>
  </si>
  <si>
    <t>32312.6172.0401</t>
  </si>
  <si>
    <t>Pensioner Abandonments</t>
  </si>
  <si>
    <t>Civic Activities</t>
  </si>
  <si>
    <t>26122.8822.0231</t>
  </si>
  <si>
    <t>26122.8825.0233</t>
  </si>
  <si>
    <t>Cumbalum Interchange (Sec 94)</t>
  </si>
  <si>
    <t>Loan P &amp; I - Town Centre</t>
  </si>
  <si>
    <t>ASSET SALES</t>
  </si>
  <si>
    <t>Animal Shelter</t>
  </si>
  <si>
    <t>4060.6035.0960</t>
  </si>
  <si>
    <t>4560.6045.0961</t>
  </si>
  <si>
    <t>Non-cash Expenses</t>
  </si>
  <si>
    <t>55002.4575.0690</t>
  </si>
  <si>
    <t>55004.4757.0622</t>
  </si>
  <si>
    <t>2336.8630.0401</t>
  </si>
  <si>
    <t>Rates Abandoned Business</t>
  </si>
  <si>
    <t>Contribution to Regional Library</t>
  </si>
  <si>
    <t>Transfers from / (to) Accumulated Surplus</t>
  </si>
  <si>
    <t>Loan Funds</t>
  </si>
  <si>
    <t>Urban Unseal Operations</t>
  </si>
  <si>
    <t>Weighbridge Admin Expenses</t>
  </si>
  <si>
    <t>Weighbridge Operators Wages</t>
  </si>
  <si>
    <t>32275.5624.0401</t>
  </si>
  <si>
    <t>Capital Works</t>
  </si>
  <si>
    <t>Bushland Reserves</t>
  </si>
  <si>
    <t>Maintenance Programs</t>
  </si>
  <si>
    <t>Destination Development</t>
  </si>
  <si>
    <t>HUMAN RESOURCES AND RISK MANAGEMENT</t>
  </si>
  <si>
    <t>Open Space and Reserves</t>
  </si>
  <si>
    <t>32021.2451.0401</t>
  </si>
  <si>
    <t>32021.2451.0635</t>
  </si>
  <si>
    <t>Contributions and Dividends</t>
  </si>
  <si>
    <t>Security Service</t>
  </si>
  <si>
    <t>Special Rubbish Clean-ups</t>
  </si>
  <si>
    <t>31045.3091.0401</t>
  </si>
  <si>
    <t>31045.3092.0401</t>
  </si>
  <si>
    <t>Non Cash Adjust for ELE's</t>
  </si>
  <si>
    <t>Capital Income in HR</t>
  </si>
  <si>
    <t>Employee Entitlements - Wages Staff</t>
  </si>
  <si>
    <t>Employee Entitlements - Salaried Staff</t>
  </si>
  <si>
    <t>Strategic Planning Studies / Strategies</t>
  </si>
  <si>
    <t>Training Plan - Wages Staff</t>
  </si>
  <si>
    <t>Canal Dredging</t>
  </si>
  <si>
    <t>2008/09</t>
  </si>
  <si>
    <t>Availability Charge Residential</t>
  </si>
  <si>
    <t>Urban Roads - Maintenance and Repairs</t>
  </si>
  <si>
    <t>21021.1467.0062</t>
  </si>
  <si>
    <t>21021.1468.0062</t>
  </si>
  <si>
    <t>Commercial Properties - Rates</t>
  </si>
  <si>
    <t>Civil Services</t>
  </si>
  <si>
    <t>RMCC Contract Ordered Work</t>
  </si>
  <si>
    <t>ROADS AND MARITIME SERVICES</t>
  </si>
  <si>
    <t>Road Safety Officer RMS</t>
  </si>
  <si>
    <t>Reimbursements by RMS - State Highways</t>
  </si>
  <si>
    <t>12000.4502.0047</t>
  </si>
  <si>
    <t>12000.0101.0030</t>
  </si>
  <si>
    <t>12000.0101.0031</t>
  </si>
  <si>
    <t>55022.4804.0417</t>
  </si>
  <si>
    <t>26021.0101.0030</t>
  </si>
  <si>
    <t>Plant Operations from</t>
  </si>
  <si>
    <t>22260.6368.0190</t>
  </si>
  <si>
    <t>32331.6672.0647</t>
  </si>
  <si>
    <t>32331.6650.0401</t>
  </si>
  <si>
    <t>32344.6927.0401</t>
  </si>
  <si>
    <t>Residential Rate</t>
  </si>
  <si>
    <t>Contribution to Rural Fire Fighting Fund</t>
  </si>
  <si>
    <t>21040.1637.0091</t>
  </si>
  <si>
    <t>Wollongbar Urban Expansion Area</t>
  </si>
  <si>
    <t>Long Service Awards</t>
  </si>
  <si>
    <t>Rent - Water Slide</t>
  </si>
  <si>
    <t>4041.3150.0960</t>
  </si>
  <si>
    <t>4534.3390.0961</t>
  </si>
  <si>
    <t>4046.4449.0960</t>
  </si>
  <si>
    <t>4052.5210.0960</t>
  </si>
  <si>
    <t>4052.5211.0960</t>
  </si>
  <si>
    <t xml:space="preserve">Engineering Management </t>
  </si>
  <si>
    <t>31041.1647.0401</t>
  </si>
  <si>
    <t>Miscellaneous Commercial Property Reserves</t>
  </si>
  <si>
    <t>Section 64 Contributions Collected</t>
  </si>
  <si>
    <t>Ancillary Transport</t>
  </si>
  <si>
    <t>Road Safety Direct Costs</t>
  </si>
  <si>
    <t>Capital Movements (B) - Surplus / (Deficit)</t>
  </si>
  <si>
    <t>32348.7023.0401</t>
  </si>
  <si>
    <t>32348.7024.0401</t>
  </si>
  <si>
    <t>Rental - 89 Tamar Street</t>
  </si>
  <si>
    <t>Staff Meetings</t>
  </si>
  <si>
    <t>Lodgement Fees Private Certifiers</t>
  </si>
  <si>
    <t xml:space="preserve">Domestic Waste Management </t>
  </si>
  <si>
    <t xml:space="preserve">Valuation Fees </t>
  </si>
  <si>
    <t>85000-001</t>
  </si>
  <si>
    <t>Collection Kerbside</t>
  </si>
  <si>
    <t>Interest On Investments</t>
  </si>
  <si>
    <t>Purchase Of Water</t>
  </si>
  <si>
    <t>Overheads - Southern Cross</t>
  </si>
  <si>
    <t xml:space="preserve">Loan Funds </t>
  </si>
  <si>
    <t>PRINCIPAL</t>
  </si>
  <si>
    <t>32021.2453.0401</t>
  </si>
  <si>
    <t>32096.3064.0401</t>
  </si>
  <si>
    <t>SQIDS Wollongbar</t>
  </si>
  <si>
    <t>32097.3064.0401</t>
  </si>
  <si>
    <t>SQIDS Alstonville</t>
  </si>
  <si>
    <t>32098.3064.0401</t>
  </si>
  <si>
    <t>SQIDS Ballina Heights</t>
  </si>
  <si>
    <t>26021.0100.0035</t>
  </si>
  <si>
    <t>32111.3464.0401</t>
  </si>
  <si>
    <t>32322.6420.0401</t>
  </si>
  <si>
    <t>32322.6421.0401</t>
  </si>
  <si>
    <t>Meeting Expenses</t>
  </si>
  <si>
    <t>Human Resources</t>
  </si>
  <si>
    <t>M &amp; R Ballina Transfer Station</t>
  </si>
  <si>
    <t>Empty Transfer Bins</t>
  </si>
  <si>
    <t>SES State Levy</t>
  </si>
  <si>
    <t>Net Operating Result - Surplus / (Deficit)</t>
  </si>
  <si>
    <t>Fleet and Plant</t>
  </si>
  <si>
    <t>Lease Payments</t>
  </si>
  <si>
    <t>35162.8890.0401</t>
  </si>
  <si>
    <t>35162.8894.0401</t>
  </si>
  <si>
    <t>35162.8891.0401</t>
  </si>
  <si>
    <t>35162.0350.0501</t>
  </si>
  <si>
    <t>10012.3535.0235</t>
  </si>
  <si>
    <t>32001.0680.0745</t>
  </si>
  <si>
    <t>21040.1631.0091</t>
  </si>
  <si>
    <t>21040.1633.0091</t>
  </si>
  <si>
    <t>21040.1634.0091</t>
  </si>
  <si>
    <t>Other Employee Costs</t>
  </si>
  <si>
    <t>2016/2017</t>
  </si>
  <si>
    <t>Youth Week</t>
  </si>
  <si>
    <t>Fleet Management and Workshop</t>
  </si>
  <si>
    <t>35021.7843.0422</t>
  </si>
  <si>
    <t>Loan Income - Capital Income</t>
  </si>
  <si>
    <t>26020.0100.0037</t>
  </si>
  <si>
    <t>35145.8758.0647</t>
  </si>
  <si>
    <t>35160.0300.0300</t>
  </si>
  <si>
    <t>35160.2250.0401</t>
  </si>
  <si>
    <t>35160.0425.0401</t>
  </si>
  <si>
    <t>Swimming Pools</t>
  </si>
  <si>
    <t>50110.3718.0401</t>
  </si>
  <si>
    <t>50109.3696.0401</t>
  </si>
  <si>
    <t>55006.0683.0703</t>
  </si>
  <si>
    <t>Operating Revenues</t>
  </si>
  <si>
    <t xml:space="preserve">Pensioners Assistance Subsidy </t>
  </si>
  <si>
    <t>35152.5440.0401</t>
  </si>
  <si>
    <t>35152.5442.0401</t>
  </si>
  <si>
    <t>35152.5443.0401</t>
  </si>
  <si>
    <t>35152.5444.0401</t>
  </si>
  <si>
    <t>INTEREST</t>
  </si>
  <si>
    <t>50112.0680.0749</t>
  </si>
  <si>
    <t>Small Plant Maintenance</t>
  </si>
  <si>
    <t>East Ballina</t>
  </si>
  <si>
    <t>Airport Fuel Site Rent</t>
  </si>
  <si>
    <t>Anzac Day</t>
  </si>
  <si>
    <t>Commissions - Software Maintenance</t>
  </si>
  <si>
    <t>Operating Result before Capital Amounts</t>
  </si>
  <si>
    <t>Overheads Distributed</t>
  </si>
  <si>
    <t>Checks</t>
  </si>
  <si>
    <t>Heavy Vehicle</t>
  </si>
  <si>
    <t>Stormwater</t>
  </si>
  <si>
    <t>32320.6323.0300</t>
  </si>
  <si>
    <t>26061.8513.0226</t>
  </si>
  <si>
    <t>26061.8514.0226</t>
  </si>
  <si>
    <t>Collection Kerbside MGB</t>
  </si>
  <si>
    <t>Administration - Byron Shire Council</t>
  </si>
  <si>
    <t>Other Expenses</t>
  </si>
  <si>
    <t>30000.0504.0347</t>
  </si>
  <si>
    <t>31000.0504.0347</t>
  </si>
  <si>
    <t>35006.7567.0639</t>
  </si>
  <si>
    <t>35006.7568.0639</t>
  </si>
  <si>
    <t>32262.5346.0401</t>
  </si>
  <si>
    <t>Year</t>
  </si>
  <si>
    <t>Accruals Adjustment to Cash</t>
  </si>
  <si>
    <t>Fencing and Security</t>
  </si>
  <si>
    <t>Urban Roads Heavy Patching</t>
  </si>
  <si>
    <t>Result</t>
  </si>
  <si>
    <t>Activity</t>
  </si>
  <si>
    <t>Other Revenues</t>
  </si>
  <si>
    <t>Regional Road 7735 Operations</t>
  </si>
  <si>
    <t>35001.7515.0622</t>
  </si>
  <si>
    <t>32135.4251.0401</t>
  </si>
  <si>
    <t>32135.4253.0401</t>
  </si>
  <si>
    <t>32135.4254.0401</t>
  </si>
  <si>
    <t>32135.4255.0401</t>
  </si>
  <si>
    <t>Internal Reserves</t>
  </si>
  <si>
    <t>External Reserves</t>
  </si>
  <si>
    <t>2343.8717.0401</t>
  </si>
  <si>
    <t>2344.8718.0401</t>
  </si>
  <si>
    <t>2312.7912.0401</t>
  </si>
  <si>
    <t>2323.3434.0401</t>
  </si>
  <si>
    <t>26065</t>
  </si>
  <si>
    <t>26060</t>
  </si>
  <si>
    <t>26061</t>
  </si>
  <si>
    <t>26064</t>
  </si>
  <si>
    <t>55002.0415.0690</t>
  </si>
  <si>
    <t>32340.6868.0401</t>
  </si>
  <si>
    <t>32340.6869.0622</t>
  </si>
  <si>
    <t>32340.6877.0980</t>
  </si>
  <si>
    <t>21042.1645.0138</t>
  </si>
  <si>
    <t>21042.1646.0233</t>
  </si>
  <si>
    <t>31040.0300.0300</t>
  </si>
  <si>
    <t>31040.0350.0501</t>
  </si>
  <si>
    <t>35110.0374.0640</t>
  </si>
  <si>
    <t>35115.0350.0401</t>
  </si>
  <si>
    <t>30023.0374.0640</t>
  </si>
  <si>
    <t>Plan First Levy</t>
  </si>
  <si>
    <t>32001.2285.0401</t>
  </si>
  <si>
    <t>26021.0100.0020</t>
  </si>
  <si>
    <t>STORMWATER AND ENVIRONMENTAL PROTECTION</t>
  </si>
  <si>
    <t>Marine Infrastructure</t>
  </si>
  <si>
    <t>M &amp; R Weighbridge</t>
  </si>
  <si>
    <t>STRATEGIC PLANNING</t>
  </si>
  <si>
    <t>Community Infrastructure Reserve</t>
  </si>
  <si>
    <t>Interest on Loans - Teven Bridges</t>
  </si>
  <si>
    <t>Solid Waste Landfill</t>
  </si>
  <si>
    <t>Season Tickets</t>
  </si>
  <si>
    <t>Immunisation Expenses</t>
  </si>
  <si>
    <t>50000.3612.0401</t>
  </si>
  <si>
    <t>Property - Operations and Maintenance</t>
  </si>
  <si>
    <t>50005.3577.0690</t>
  </si>
  <si>
    <t>50008.3782.0622</t>
  </si>
  <si>
    <t>Audit Fees</t>
  </si>
  <si>
    <t>Administration</t>
  </si>
  <si>
    <t>Returned Cheque and Tracing Fees</t>
  </si>
  <si>
    <t>General Manager's Group</t>
  </si>
  <si>
    <t>50109.3728.0401</t>
  </si>
  <si>
    <t>Growth in Water Consumption Non-Residential %</t>
  </si>
  <si>
    <t>Water Usage &gt; 350 Non-Residential %</t>
  </si>
  <si>
    <t>Overheads to Plant</t>
  </si>
  <si>
    <t>LEMC Committee Operation</t>
  </si>
  <si>
    <t>Boat Ramps - Contract Cleaning</t>
  </si>
  <si>
    <t>Change of Use Application</t>
  </si>
  <si>
    <t>Boat Ramps - Maintenance</t>
  </si>
  <si>
    <t>River Street / Riverwalk Arcade Cleaning</t>
  </si>
  <si>
    <t>26065.8527.0225</t>
  </si>
  <si>
    <t>26065.8528.0225</t>
  </si>
  <si>
    <t>26065.8529.0225</t>
  </si>
  <si>
    <t>General Fund - Loan Repayment Schedule - Ten Year Forward Plan</t>
  </si>
  <si>
    <t>Add Back Depreciation &amp; Loss on Sale</t>
  </si>
  <si>
    <t>35021.7841.0600</t>
  </si>
  <si>
    <t>Transfer Stations</t>
  </si>
  <si>
    <t>Sundry Health Income</t>
  </si>
  <si>
    <t>Cash Delivery Services</t>
  </si>
  <si>
    <t>Oncosts Recouped</t>
  </si>
  <si>
    <t>Depreciation - Public Toilets</t>
  </si>
  <si>
    <t xml:space="preserve">Wollongbar - Land Development </t>
  </si>
  <si>
    <t>DOMESTIC WASTE</t>
  </si>
  <si>
    <t>7008.3901.8800</t>
  </si>
  <si>
    <t>21020.1451.0062</t>
  </si>
  <si>
    <t>Open Spaces and Reserves</t>
  </si>
  <si>
    <t>%</t>
  </si>
  <si>
    <t>2014/2015</t>
  </si>
  <si>
    <t>Essential Fire Service Annual Fee</t>
  </si>
  <si>
    <t>Consumption Residential</t>
  </si>
  <si>
    <t xml:space="preserve">Office Expenses </t>
  </si>
  <si>
    <t>Operation Expenses</t>
  </si>
  <si>
    <t xml:space="preserve">Plumbing and Drainage </t>
  </si>
  <si>
    <t>Vehicle Costs</t>
  </si>
  <si>
    <t>Road Plan - New</t>
  </si>
  <si>
    <t>Office Expenses and Advertising</t>
  </si>
  <si>
    <t>Road Safety</t>
  </si>
  <si>
    <t xml:space="preserve">Cash Result (A) - Surplus / (Deficit) </t>
  </si>
  <si>
    <t>Balances to Cash Forecast</t>
  </si>
  <si>
    <t>Printing, Stationery and Postage</t>
  </si>
  <si>
    <t xml:space="preserve">Salaries </t>
  </si>
  <si>
    <t>OSSM - Inspections</t>
  </si>
  <si>
    <t>Interest as per Debt Sheet</t>
  </si>
  <si>
    <t>Lennox Head Surf Club</t>
  </si>
  <si>
    <t>2345.8697.0401</t>
  </si>
  <si>
    <t>RMS - Rifle Range Road</t>
  </si>
  <si>
    <t xml:space="preserve">Telephone - Private Usage </t>
  </si>
  <si>
    <t>GM Group</t>
  </si>
  <si>
    <t>Accident Pay to Employees Claimed</t>
  </si>
  <si>
    <t>Community Infrastructure</t>
  </si>
  <si>
    <t>32331.0390.0401</t>
  </si>
  <si>
    <t>32331.6649.0401</t>
  </si>
  <si>
    <t>Add Special Variation</t>
  </si>
  <si>
    <t>Less: Capital - General Revenue Funded</t>
  </si>
  <si>
    <t>Less Sect 94 Contribution to Wollongbar Link Road Loan</t>
  </si>
  <si>
    <t>Heavy Vehicles - Bridges</t>
  </si>
  <si>
    <t>Heavy Vehicles - Rural Roads</t>
  </si>
  <si>
    <t>Depreciation - Child Care Centres (Leased)</t>
  </si>
  <si>
    <t>Property Management (Commercial)</t>
  </si>
  <si>
    <t>Motor Vehicles</t>
  </si>
  <si>
    <t>Advertising</t>
  </si>
  <si>
    <t>Aviation Security Cards</t>
  </si>
  <si>
    <t>Landing Fees</t>
  </si>
  <si>
    <t>MGB Kerb Collection Business Rural</t>
  </si>
  <si>
    <t>Solid Waste Leachate Treatment</t>
  </si>
  <si>
    <t>Airport Shuttle Bus Rents</t>
  </si>
  <si>
    <t>Rural Fire Service</t>
  </si>
  <si>
    <t>7506.4894.0401</t>
  </si>
  <si>
    <t>7506.4897.0401</t>
  </si>
  <si>
    <t>7506.4898.0401</t>
  </si>
  <si>
    <t>26060.8506.0226</t>
  </si>
  <si>
    <t>32277.5674.0401</t>
  </si>
  <si>
    <t>32277.5677.0401</t>
  </si>
  <si>
    <t>32279.5733.0401</t>
  </si>
  <si>
    <t>Growth in Water Consumption Residential %</t>
  </si>
  <si>
    <t>Existing Loans</t>
  </si>
  <si>
    <t>31060.1802.0622</t>
  </si>
  <si>
    <t>31060.1803.0622</t>
  </si>
  <si>
    <t>31061.1804.0401</t>
  </si>
  <si>
    <t>31061.1805.0401</t>
  </si>
  <si>
    <t>Flat Rock to</t>
  </si>
  <si>
    <t>Flat Rock from</t>
  </si>
  <si>
    <t>Ferry Survey Inspections / Fees</t>
  </si>
  <si>
    <t>Fuel</t>
  </si>
  <si>
    <t>Community Facilities</t>
  </si>
  <si>
    <t>Construction Certificates</t>
  </si>
  <si>
    <t>Plumbing and Drainage</t>
  </si>
  <si>
    <t>Destruction of Pests</t>
  </si>
  <si>
    <t>Sundries</t>
  </si>
  <si>
    <t>Depreciation Expense</t>
  </si>
  <si>
    <t>Total Operating Expenses</t>
  </si>
  <si>
    <t>Asset Management</t>
  </si>
  <si>
    <t>Land Development</t>
  </si>
  <si>
    <t>21000.1304.0061</t>
  </si>
  <si>
    <t>Comm Infra - 89 Tamar St Costs</t>
  </si>
  <si>
    <t>4091.8646.0960</t>
  </si>
  <si>
    <t>Postponed Rates</t>
  </si>
  <si>
    <t>Engineering Management</t>
  </si>
  <si>
    <t>50102.3643.0647</t>
  </si>
  <si>
    <t>Sundry Debtor - Interest and Extra Charges</t>
  </si>
  <si>
    <t>Auditor Consulting</t>
  </si>
  <si>
    <t>Furniture and Equipment</t>
  </si>
  <si>
    <t>7526.4816.0401</t>
  </si>
  <si>
    <t>32348.7022.0401</t>
  </si>
  <si>
    <t>Non-residential Connections #</t>
  </si>
  <si>
    <t>Flat Rock - Short Term</t>
  </si>
  <si>
    <t>5015.8720.0945</t>
  </si>
  <si>
    <t>Banner Hire</t>
  </si>
  <si>
    <t>32116.3238.0401</t>
  </si>
  <si>
    <t>32325.0682.0703</t>
  </si>
  <si>
    <t>32364.7354.0401</t>
  </si>
  <si>
    <t>32364.7355.0401</t>
  </si>
  <si>
    <t>Waste Disposal</t>
  </si>
  <si>
    <t>35162.0415.0690</t>
  </si>
  <si>
    <t>Dissection of Cash Movements</t>
  </si>
  <si>
    <t>Roads</t>
  </si>
  <si>
    <t>32267.5423.0401</t>
  </si>
  <si>
    <t>32267.5425.0635</t>
  </si>
  <si>
    <t>Wollongbar</t>
  </si>
  <si>
    <t>Operational Expenses</t>
  </si>
  <si>
    <t>Internet Connections</t>
  </si>
  <si>
    <t>32360.7847.0420</t>
  </si>
  <si>
    <t>55015.4695.0401</t>
  </si>
  <si>
    <t>2010.3128.0401</t>
  </si>
  <si>
    <t>1998.4381.0401</t>
  </si>
  <si>
    <t>Water Fund</t>
  </si>
  <si>
    <t>As Per Cash Water</t>
  </si>
  <si>
    <t>35085.8599.0980</t>
  </si>
  <si>
    <t>35085.8600.0980</t>
  </si>
  <si>
    <t>Russellton Selling Costs</t>
  </si>
  <si>
    <t>Operation</t>
  </si>
  <si>
    <t>Contract</t>
  </si>
  <si>
    <t>Bank Charges</t>
  </si>
  <si>
    <t>Motor Vehicle</t>
  </si>
  <si>
    <t>Interest on Investments</t>
  </si>
  <si>
    <t xml:space="preserve">$ To </t>
  </si>
  <si>
    <t>$ From</t>
  </si>
  <si>
    <t>Councillor Elections to</t>
  </si>
  <si>
    <t>4500.2803.0961</t>
  </si>
  <si>
    <t>Road Plan New</t>
  </si>
  <si>
    <t>4500.2805.0961</t>
  </si>
  <si>
    <t>4086.8692.960</t>
  </si>
  <si>
    <t>Road Safety Salary</t>
  </si>
  <si>
    <t>55010</t>
  </si>
  <si>
    <t>55002</t>
  </si>
  <si>
    <t>55004</t>
  </si>
  <si>
    <t>55006</t>
  </si>
  <si>
    <t>55012</t>
  </si>
  <si>
    <t>55011</t>
  </si>
  <si>
    <t>55015</t>
  </si>
  <si>
    <t>55022</t>
  </si>
  <si>
    <t>Crown Reserves Cont to Maintenance</t>
  </si>
  <si>
    <t>Crown Reserves Cont to Improvements</t>
  </si>
  <si>
    <t>Overseers</t>
  </si>
  <si>
    <t>North East Weight of Loads Group</t>
  </si>
  <si>
    <t>20002.1013.0166</t>
  </si>
  <si>
    <t>30000.0300.0300</t>
  </si>
  <si>
    <t>EFTpos Bank Fees</t>
  </si>
  <si>
    <t>35145.0350.0613</t>
  </si>
  <si>
    <t>35125.0380.0613</t>
  </si>
  <si>
    <t>35031.7872.0401</t>
  </si>
  <si>
    <t>35031.7871.0401</t>
  </si>
  <si>
    <t>35031.0425.0401</t>
  </si>
  <si>
    <t>35031.0350.0401</t>
  </si>
  <si>
    <t>35031.7873.0622</t>
  </si>
  <si>
    <t>35030.0680.0745</t>
  </si>
  <si>
    <t>Environmental Extension Activities</t>
  </si>
  <si>
    <t>Vehicle</t>
  </si>
  <si>
    <t>Loan Interest and Principal Repayments</t>
  </si>
  <si>
    <t>Drainage Plans</t>
  </si>
  <si>
    <t>Section 64</t>
  </si>
  <si>
    <t>Solid Waste Site Security Fence</t>
  </si>
  <si>
    <t>21022.1478.0062</t>
  </si>
  <si>
    <t>Printing and Stationery</t>
  </si>
  <si>
    <t>22220.5055.0165</t>
  </si>
  <si>
    <t>5022.8722.0945</t>
  </si>
  <si>
    <t>22265.6525.0226</t>
  </si>
  <si>
    <t>22265.6526.0226</t>
  </si>
  <si>
    <t>32325.0530.0401</t>
  </si>
  <si>
    <t>Profit on Sale Plant</t>
  </si>
  <si>
    <t>22292.6370.0800</t>
  </si>
  <si>
    <t>Water Quality Data Management</t>
  </si>
  <si>
    <t>50112.4259.0401</t>
  </si>
  <si>
    <t>Graffiti Removal</t>
  </si>
  <si>
    <t>ANCILLARY TRANSPORT SERVICES</t>
  </si>
  <si>
    <t>ELE Reserve</t>
  </si>
  <si>
    <t>Section 94 Funding Reconciliation</t>
  </si>
  <si>
    <t>Funds Movement Reconciliation</t>
  </si>
  <si>
    <t>35056.7968.0326</t>
  </si>
  <si>
    <t>35056.7968.0323</t>
  </si>
  <si>
    <t>35056.7968.0324</t>
  </si>
  <si>
    <t>35056.7968.0325</t>
  </si>
  <si>
    <t>35056.7971.0322</t>
  </si>
  <si>
    <t>Operations</t>
  </si>
  <si>
    <t>22112.3829.0180</t>
  </si>
  <si>
    <t>26060.8750.0229</t>
  </si>
  <si>
    <t>10012.3539.0270</t>
  </si>
  <si>
    <t>10012.3540.0233</t>
  </si>
  <si>
    <t>50100.3625.0401</t>
  </si>
  <si>
    <t>Operating Result before Depreciation</t>
  </si>
  <si>
    <t>Other Operating Revenues</t>
  </si>
  <si>
    <t>Sundry Expenses</t>
  </si>
  <si>
    <t xml:space="preserve">Employee Costs </t>
  </si>
  <si>
    <t>32200.4018.0401</t>
  </si>
  <si>
    <t>20002.1014.0166</t>
  </si>
  <si>
    <t>Wigmore Cleaning</t>
  </si>
  <si>
    <t>IPB Processing Fees</t>
  </si>
  <si>
    <t>Comm Infra - Fawcett Cafe Rental</t>
  </si>
  <si>
    <t>Comm Infra - S94 Recoupments</t>
  </si>
  <si>
    <t>4591.8794.0961</t>
  </si>
  <si>
    <t>Miscellaneous</t>
  </si>
  <si>
    <t>Hardware Support</t>
  </si>
  <si>
    <t>Operating Grants and Contributions</t>
  </si>
  <si>
    <t>35058</t>
  </si>
  <si>
    <t>22290.7206.0031</t>
  </si>
  <si>
    <t>22290.7208.0040</t>
  </si>
  <si>
    <t>22292.7248.0270</t>
  </si>
  <si>
    <t>Monitoring Speed Zones and Counts</t>
  </si>
  <si>
    <t>Wigmore Insurance</t>
  </si>
  <si>
    <t>Wigmore Rates</t>
  </si>
  <si>
    <t>32344.6922.0401</t>
  </si>
  <si>
    <t>32344.6923.0401</t>
  </si>
  <si>
    <t>Operating Result</t>
  </si>
  <si>
    <t>Sub Total WUEA</t>
  </si>
  <si>
    <t>Risk Management</t>
  </si>
  <si>
    <t>Add Non-operating Funds Employed</t>
  </si>
  <si>
    <t>32115.3464.0401</t>
  </si>
  <si>
    <t>31062.0415.0690</t>
  </si>
  <si>
    <t>Sporting Grounds Vandalism Expenses</t>
  </si>
  <si>
    <t>Cemeteries to</t>
  </si>
  <si>
    <t>Percentage Growth</t>
  </si>
  <si>
    <t>Fire Control Expenses</t>
  </si>
  <si>
    <t>Interest on Loans - Dog Control</t>
  </si>
  <si>
    <t>2010.3115.0401</t>
  </si>
  <si>
    <t>32364.7349.0401</t>
  </si>
  <si>
    <t>Regional Road 7734 Maintenance</t>
  </si>
  <si>
    <t>Regional Road 7735 Maintenance</t>
  </si>
  <si>
    <t>26060.8504.0226</t>
  </si>
  <si>
    <t>26060.8505.0226</t>
  </si>
  <si>
    <t>26060.8507.0226</t>
  </si>
  <si>
    <t>Unrestricted Current Ratio - General Fund</t>
  </si>
  <si>
    <t>32255.5130.0401</t>
  </si>
  <si>
    <t>55022.4806.0401</t>
  </si>
  <si>
    <t>Other Community Services</t>
  </si>
  <si>
    <t>Telephone</t>
  </si>
  <si>
    <t>Electricity</t>
  </si>
  <si>
    <t xml:space="preserve">Vehicle Running Costs </t>
  </si>
  <si>
    <t>Office Cleaning</t>
  </si>
  <si>
    <t>Software Support</t>
  </si>
  <si>
    <t>Street Lighting</t>
  </si>
  <si>
    <t>Footpaths Maintenance</t>
  </si>
  <si>
    <t>Interest on Loans Ballina Pool</t>
  </si>
  <si>
    <t xml:space="preserve">Advertising </t>
  </si>
  <si>
    <t>Roads and Bridges</t>
  </si>
  <si>
    <t>Depreciation - Community Centres</t>
  </si>
  <si>
    <t>31080.0300.0300</t>
  </si>
  <si>
    <t>Sharp Safe Program</t>
  </si>
  <si>
    <t>Audit Costs</t>
  </si>
  <si>
    <t>22260.6365.0167</t>
  </si>
  <si>
    <t>Development Services Sundry Income</t>
  </si>
  <si>
    <t>Opening</t>
  </si>
  <si>
    <t>Centre Sales and Reservations</t>
  </si>
  <si>
    <t>Movement in Reserves  - Increase / (Decrease)</t>
  </si>
  <si>
    <t>Bookings and Exhibitions</t>
  </si>
  <si>
    <t>31062.1821.0401</t>
  </si>
  <si>
    <t>Hazard Reduction</t>
  </si>
  <si>
    <t>Wardell Cemetery</t>
  </si>
  <si>
    <t>32114.3460.0401</t>
  </si>
  <si>
    <t>Rural Road Sealed Operations</t>
  </si>
  <si>
    <t>Rural Road Sealed Maintenance</t>
  </si>
  <si>
    <t>Gravel Roads Operations</t>
  </si>
  <si>
    <t>Gravel Roads Maintenance</t>
  </si>
  <si>
    <t>32119.3468.0401</t>
  </si>
  <si>
    <t>32240.3460.0401</t>
  </si>
  <si>
    <t>Loan Funds and Long Term Debtors</t>
  </si>
  <si>
    <t>Water Meter Special Readings</t>
  </si>
  <si>
    <t>Depreciation - Fire Control</t>
  </si>
  <si>
    <t>Subtract Income Not Involving a Flow of Funds</t>
  </si>
  <si>
    <t>Repayments</t>
  </si>
  <si>
    <t>New Loans</t>
  </si>
  <si>
    <t>Cyclist Signs</t>
  </si>
  <si>
    <t>Long Service Leave</t>
  </si>
  <si>
    <t>Sick Leave</t>
  </si>
  <si>
    <t>Section 94 Closing Balance</t>
  </si>
  <si>
    <t>Training, Development and Staff Support</t>
  </si>
  <si>
    <t>50010.0435.0700</t>
  </si>
  <si>
    <t>Swimming Pools - Inspections</t>
  </si>
  <si>
    <t>State Conference Costs</t>
  </si>
  <si>
    <t>Depreciation - Emergency Services</t>
  </si>
  <si>
    <t>Sub Total</t>
  </si>
  <si>
    <t>Precinct 2 Lennox to Shag Rock</t>
  </si>
  <si>
    <t>Transfer from Reserves</t>
  </si>
  <si>
    <t>Wollongbar - Fields Development</t>
  </si>
  <si>
    <t>Recreational Water Quality Monitoring</t>
  </si>
  <si>
    <t>35005.0330.0617</t>
  </si>
  <si>
    <t>Mayoral Allowance</t>
  </si>
  <si>
    <t>Operations to</t>
  </si>
  <si>
    <t>Capital Works from</t>
  </si>
  <si>
    <t>Regional Roads Signs &amp; Lines</t>
  </si>
  <si>
    <t>32250.4233.0401</t>
  </si>
  <si>
    <t>Rates Abandoned Residential</t>
  </si>
  <si>
    <t>Sewer - Loan Repayment Schedule - Ten Year Forward Plan</t>
  </si>
  <si>
    <t>12000.4501.0043</t>
  </si>
  <si>
    <t>12004.4540.0190</t>
  </si>
  <si>
    <t>12004.4540.0193</t>
  </si>
  <si>
    <t>State Roads Ordered Works</t>
  </si>
  <si>
    <t>Waste Charges</t>
  </si>
  <si>
    <t>Water Monitoring</t>
  </si>
  <si>
    <t>Governance</t>
  </si>
  <si>
    <t>30003.1024.0401</t>
  </si>
  <si>
    <t>32262.5372.0401</t>
  </si>
  <si>
    <t>Disability Training</t>
  </si>
  <si>
    <t>32279.5740.0401</t>
  </si>
  <si>
    <t>32279.5757.0401</t>
  </si>
  <si>
    <t>Biodiversity Fund Lennox</t>
  </si>
  <si>
    <t>32280.5758.0401</t>
  </si>
  <si>
    <t>Emigrant Creek Pumping Station</t>
  </si>
  <si>
    <t>26020.0100.0011</t>
  </si>
  <si>
    <t>26020.0100.0012</t>
  </si>
  <si>
    <t>26020.0100.0038</t>
  </si>
  <si>
    <t>Employee Leave Entitlements</t>
  </si>
  <si>
    <t>Caravan Park Licence Fees</t>
  </si>
  <si>
    <t>Capital Grants</t>
  </si>
  <si>
    <t>20001.1001.0061</t>
  </si>
  <si>
    <t>FINANCIAL SERVICES</t>
  </si>
  <si>
    <t>Job No.</t>
  </si>
  <si>
    <t>Surf Life Saving Services</t>
  </si>
  <si>
    <t>4086.8692.0960</t>
  </si>
  <si>
    <t>Farmland Rate</t>
  </si>
  <si>
    <t>Gain / (Loss) on Disposal of Assets</t>
  </si>
  <si>
    <t>Ledger</t>
  </si>
  <si>
    <t>31042.1651.0401</t>
  </si>
  <si>
    <t>31042.1652.0401</t>
  </si>
  <si>
    <t>32242.3460.0401</t>
  </si>
  <si>
    <t>32248.3460.0401</t>
  </si>
  <si>
    <t>Amphitheatre M &amp; R</t>
  </si>
  <si>
    <t>35110.2250.0401</t>
  </si>
  <si>
    <t>35110.0415.0690</t>
  </si>
  <si>
    <t>35110.0420.0401</t>
  </si>
  <si>
    <t>35145.8773.0980</t>
  </si>
  <si>
    <t>12014.4534.0226</t>
  </si>
  <si>
    <t>12014.4535.0270</t>
  </si>
  <si>
    <t>55012.4615.0647</t>
  </si>
  <si>
    <t>55012.4616.0647</t>
  </si>
  <si>
    <t>Water Assumptions</t>
  </si>
  <si>
    <t>Waste Assumptions</t>
  </si>
  <si>
    <t>ASSUMPTIONS APPLIED</t>
  </si>
  <si>
    <t>Interest on Loans - Flat Rock</t>
  </si>
  <si>
    <t>Overheads to Airport</t>
  </si>
  <si>
    <t>Volunteer Groups Assistance</t>
  </si>
  <si>
    <t>Community Services</t>
  </si>
  <si>
    <t>Urban Roads</t>
  </si>
  <si>
    <t>Waste Non Domestic</t>
  </si>
  <si>
    <t>Animal Control</t>
  </si>
  <si>
    <t>Service Availability Charge Non-Residential</t>
  </si>
  <si>
    <t>Sewer Charges - Usage Non Residential</t>
  </si>
  <si>
    <t>Consumer Price Index (%)</t>
  </si>
  <si>
    <t>10011.3525.0091</t>
  </si>
  <si>
    <t>55000.4594.0401</t>
  </si>
  <si>
    <t>Unused Loan Funds</t>
  </si>
  <si>
    <t>32312.6190.0401</t>
  </si>
  <si>
    <t>User Charges</t>
  </si>
  <si>
    <t>4059.5809.0960</t>
  </si>
  <si>
    <t>21021.1474.0062</t>
  </si>
  <si>
    <t>Total Adjustments</t>
  </si>
  <si>
    <t xml:space="preserve">Interest on Loans - Town Centres </t>
  </si>
  <si>
    <t>Medical Examinations</t>
  </si>
  <si>
    <t>30023.0300.0300</t>
  </si>
  <si>
    <t>30023.0350.0401</t>
  </si>
  <si>
    <t>30023.0425.0401</t>
  </si>
  <si>
    <t>Civic Functions and Related Activities</t>
  </si>
  <si>
    <t>Sundry Other</t>
  </si>
  <si>
    <t>26021.0100.0022</t>
  </si>
  <si>
    <t>32265.5385.0401</t>
  </si>
  <si>
    <t xml:space="preserve">Radio Tower Sites </t>
  </si>
  <si>
    <t>General Purpose Grants</t>
  </si>
  <si>
    <t>Fringe Benefits Tax</t>
  </si>
  <si>
    <t>Subdivision Fees</t>
  </si>
  <si>
    <t>Subdivision Fees - Final Plan Fees</t>
  </si>
  <si>
    <t>26005.7695.0138</t>
  </si>
  <si>
    <t>26005.7696.0231</t>
  </si>
  <si>
    <t>26005.7697.0231</t>
  </si>
  <si>
    <t>Straying Livestock</t>
  </si>
  <si>
    <t>Kingsford Smith Park</t>
  </si>
  <si>
    <t>Sewerage Services - Management</t>
  </si>
  <si>
    <t>N/A</t>
  </si>
  <si>
    <t>Sect 64</t>
  </si>
  <si>
    <t>Reserves Movement - Increase / (Decrease)</t>
  </si>
  <si>
    <t>Civil Services - General</t>
  </si>
  <si>
    <t>21040.1638.0091</t>
  </si>
  <si>
    <t>21040.1639.0091</t>
  </si>
  <si>
    <t>Council Properties - Residential</t>
  </si>
  <si>
    <t>Markets and Special Events</t>
  </si>
  <si>
    <t>Election</t>
  </si>
  <si>
    <t>Plant</t>
  </si>
  <si>
    <t>50005.3582.0323</t>
  </si>
  <si>
    <t>50005.3582.0324</t>
  </si>
  <si>
    <t>Funding Source 2020/21</t>
  </si>
  <si>
    <t>Balance O/S</t>
  </si>
  <si>
    <t>End O/S</t>
  </si>
  <si>
    <t>Licence Fees</t>
  </si>
  <si>
    <t>Sealed Rural Roads</t>
  </si>
  <si>
    <t>Rental Old Terminal Building</t>
  </si>
  <si>
    <t>Marom Creek Pumping Station</t>
  </si>
  <si>
    <t>35051.7949.0342</t>
  </si>
  <si>
    <t>35051.7950.0340</t>
  </si>
  <si>
    <t>35052.7952.0401</t>
  </si>
  <si>
    <t>35050.0300.0300</t>
  </si>
  <si>
    <t>32266.5400.0401</t>
  </si>
  <si>
    <t>32266.5401.0300</t>
  </si>
  <si>
    <t>32267.5420.0401</t>
  </si>
  <si>
    <t>32267.5422.0401</t>
  </si>
  <si>
    <t>Beach Cleaning and Clean-ups</t>
  </si>
  <si>
    <t>2013/2014</t>
  </si>
  <si>
    <t>Private Works</t>
  </si>
  <si>
    <t>Extra Charges</t>
  </si>
  <si>
    <t>Sources of Funds for Capital Expenditure</t>
  </si>
  <si>
    <t>Toilet Cleaning</t>
  </si>
  <si>
    <t>Toilet Maintenance</t>
  </si>
  <si>
    <t>Regional Roads M &amp; I</t>
  </si>
  <si>
    <t>50005.4758.0422</t>
  </si>
  <si>
    <t>32130.4226.0621</t>
  </si>
  <si>
    <t>2014/15</t>
  </si>
  <si>
    <t>Building</t>
  </si>
  <si>
    <t>Long Service Leave Contributions</t>
  </si>
  <si>
    <t>Domestic Waste</t>
  </si>
  <si>
    <t>Loan Reconciliation</t>
  </si>
  <si>
    <t>Principal as per Debt Sheet</t>
  </si>
  <si>
    <t>Principal as per Cash Gen</t>
  </si>
  <si>
    <t>Field Staff Meetings</t>
  </si>
  <si>
    <t>Depot Two - Stockpiles</t>
  </si>
  <si>
    <t>Depot and Store</t>
  </si>
  <si>
    <t>Chemicals</t>
  </si>
  <si>
    <t>22200.4000.0116</t>
  </si>
  <si>
    <t>35120.0300.0300</t>
  </si>
  <si>
    <t>Public Events and Rubbish Clean-Ups</t>
  </si>
  <si>
    <t>22260.4210.0233</t>
  </si>
  <si>
    <t>Section 94 Contributions Collected</t>
  </si>
  <si>
    <t>2010.3111.0401</t>
  </si>
  <si>
    <t>Bore Pump Lindendale Road</t>
  </si>
  <si>
    <t>35051.7948.0342</t>
  </si>
  <si>
    <t>32364.7353.0401</t>
  </si>
  <si>
    <t>Education Facility</t>
  </si>
  <si>
    <t>32020.0350.0501</t>
  </si>
  <si>
    <t>4096.4177.0960</t>
  </si>
  <si>
    <t>4596.4179.0961</t>
  </si>
  <si>
    <t>32364.7348.0690</t>
  </si>
  <si>
    <t>Unwinding of Interest Free Loan</t>
  </si>
  <si>
    <t>Annual Slippage and Overhaul</t>
  </si>
  <si>
    <t>7005.3870.0401</t>
  </si>
  <si>
    <t>Interest on S64 Transfer To Reserve</t>
  </si>
  <si>
    <t>Working Capital - Increase / (Decrease)</t>
  </si>
  <si>
    <t>Deposit Tyres</t>
  </si>
  <si>
    <t>32342.6899.0401</t>
  </si>
  <si>
    <t>32342.6900.0401</t>
  </si>
  <si>
    <t>32342.6901.0401</t>
  </si>
  <si>
    <t>32344.6921.0401</t>
  </si>
  <si>
    <t>Bush Fire Prevention</t>
  </si>
  <si>
    <t>Heavy Vehicle - Teven Bridge Loan</t>
  </si>
  <si>
    <t>Developer Contributions (Section 64)</t>
  </si>
  <si>
    <t>Ground Maintenance</t>
  </si>
  <si>
    <t>Water Backflow Prevention Device Testing</t>
  </si>
  <si>
    <t>12012.4527.0091</t>
  </si>
  <si>
    <t>12014.4533.0226</t>
  </si>
  <si>
    <t>32342.6897.0401</t>
  </si>
  <si>
    <t>32342.6898.0401</t>
  </si>
  <si>
    <t>2230.7404.8800</t>
  </si>
  <si>
    <t>4062.6292.0960</t>
  </si>
  <si>
    <t>2013/14</t>
  </si>
  <si>
    <t xml:space="preserve">Telephone </t>
  </si>
  <si>
    <t>Uniforms</t>
  </si>
  <si>
    <t>Ferry Income Season Tickets</t>
  </si>
  <si>
    <t>35120.0504.0347</t>
  </si>
  <si>
    <t>55000.0504.0347</t>
  </si>
  <si>
    <t>50000.0504.0347</t>
  </si>
  <si>
    <t>35040.0328.0343</t>
  </si>
  <si>
    <t>21040.1630.0091</t>
  </si>
  <si>
    <t>Disposal Of Derelict Vehicle</t>
  </si>
  <si>
    <t>Civica Software Licence</t>
  </si>
  <si>
    <t>FINANCIAL SERVICES - GENERAL PURPOSE REVENUES</t>
  </si>
  <si>
    <t>22012.2433.0191</t>
  </si>
  <si>
    <t>Flat Rock Overheads</t>
  </si>
  <si>
    <t>Increase / (Decrease) in Leave Entitlements</t>
  </si>
  <si>
    <t>12004.4541.0192</t>
  </si>
  <si>
    <t>32348.7018.0401</t>
  </si>
  <si>
    <t>32348.7019.0401</t>
  </si>
  <si>
    <t>State Roads - Preservation Porgram</t>
  </si>
  <si>
    <t>Sundry Fees and Charges</t>
  </si>
  <si>
    <t>Consumption Non-Residential</t>
  </si>
  <si>
    <t>Contribution to NEWLOG</t>
  </si>
  <si>
    <t>4070.7145.0960</t>
  </si>
  <si>
    <t>4570.7155.0961</t>
  </si>
  <si>
    <t>4072.7414.0960</t>
  </si>
  <si>
    <t>4572.7424.0961</t>
  </si>
  <si>
    <t>4110.3912.0960</t>
  </si>
  <si>
    <t>4110.3911.0960</t>
  </si>
  <si>
    <t>4113.4992.0960</t>
  </si>
  <si>
    <t>Less Capital Expenditure</t>
  </si>
  <si>
    <t xml:space="preserve">Less Capital Expenditure </t>
  </si>
  <si>
    <t>32340.0415.0690</t>
  </si>
  <si>
    <t>Reserves - Internally Restricted - Increase / (Decrease)</t>
  </si>
  <si>
    <t xml:space="preserve">Councillors </t>
  </si>
  <si>
    <t>(10 year fixed)</t>
  </si>
  <si>
    <t>(5 year fixed)</t>
  </si>
  <si>
    <t>Workshop</t>
  </si>
  <si>
    <t>Movements</t>
  </si>
  <si>
    <t>PROPERTY MANAGEMENT</t>
  </si>
  <si>
    <t xml:space="preserve">Capital Income </t>
  </si>
  <si>
    <t>Gain on Sale of Plant and Equipment</t>
  </si>
  <si>
    <t>Members' Fees</t>
  </si>
  <si>
    <t>Maintenance and Working Expenses</t>
  </si>
  <si>
    <t>EFTPOS Fees</t>
  </si>
  <si>
    <t>ESTIMATES</t>
  </si>
  <si>
    <t>Security Charges Jet Airlines</t>
  </si>
  <si>
    <t>32320.6400.0980</t>
  </si>
  <si>
    <t>32320.0435.0690</t>
  </si>
  <si>
    <t>Growth Rate for Non-Residential Connections %</t>
  </si>
  <si>
    <t>State Government Levy</t>
  </si>
  <si>
    <t>Environmental Health</t>
  </si>
  <si>
    <t>35125.4134.0401</t>
  </si>
  <si>
    <t>35125.4135.0401</t>
  </si>
  <si>
    <t>35125.4136.0401</t>
  </si>
  <si>
    <t>35125.4137.0401</t>
  </si>
  <si>
    <t>35125.4138.0300</t>
  </si>
  <si>
    <t>35125.4139.0300</t>
  </si>
  <si>
    <t>35125.4140.0401</t>
  </si>
  <si>
    <t>2020/2021</t>
  </si>
  <si>
    <t>55020.4715.0401</t>
  </si>
  <si>
    <t>35051.7951.0300</t>
  </si>
  <si>
    <t>35052.7957.0401</t>
  </si>
  <si>
    <t>Councillors Stationery and Equipment</t>
  </si>
  <si>
    <t>Clay Lining of Bays Garbage Depot</t>
  </si>
  <si>
    <t>22260.6370.0800</t>
  </si>
  <si>
    <t>Stock Purchases</t>
  </si>
  <si>
    <t>Terminal Renovation</t>
  </si>
  <si>
    <t>Agents Fees - Long Service Payments</t>
  </si>
  <si>
    <t>Superannuation</t>
  </si>
  <si>
    <t>Fidelity Guarantee</t>
  </si>
  <si>
    <t>North Ballina - New Pumping Station</t>
  </si>
  <si>
    <t>Byron Street</t>
  </si>
  <si>
    <t>2024.4347.0401</t>
  </si>
  <si>
    <t>32021.2452.0650</t>
  </si>
  <si>
    <t>Airport Car Parking Fines</t>
  </si>
  <si>
    <t>Lease, Contract and Legal Expenses</t>
  </si>
  <si>
    <t>Operating Result - Surplus / (Deficit)</t>
  </si>
  <si>
    <t>Computer Equipment</t>
  </si>
  <si>
    <t>Postage and Freight</t>
  </si>
  <si>
    <t>Financial Services - General Purpose Revenues</t>
  </si>
  <si>
    <t>32310.0530.0401</t>
  </si>
  <si>
    <t>Bridges</t>
  </si>
  <si>
    <t>32095.3064.0401</t>
  </si>
  <si>
    <t>55022.6701.0401</t>
  </si>
  <si>
    <t>50113.6701.0401</t>
  </si>
  <si>
    <t>32361.6720.0401</t>
  </si>
  <si>
    <t>Statewide Mutual Bonus Refund</t>
  </si>
  <si>
    <t>Approach Survey</t>
  </si>
  <si>
    <t>(continued on next page)</t>
  </si>
  <si>
    <t>Diesel Fuel Rebate - On Road</t>
  </si>
  <si>
    <t>Purchase of Water</t>
  </si>
  <si>
    <t>Administrative Services</t>
  </si>
  <si>
    <t>35120.0425.0401</t>
  </si>
  <si>
    <t>35125.0420.0401</t>
  </si>
  <si>
    <t>35125.0365.0422</t>
  </si>
  <si>
    <t>35125.0415.0690</t>
  </si>
  <si>
    <t>35125.0430.0401</t>
  </si>
  <si>
    <t>35125.4130.0401</t>
  </si>
  <si>
    <t xml:space="preserve">Co-op Advertising and Promotions </t>
  </si>
  <si>
    <t>ASSUMPTIONS</t>
  </si>
  <si>
    <t>31083.1963.0401</t>
  </si>
  <si>
    <t>31083.1969.0422</t>
  </si>
  <si>
    <t>31080.0300.0340</t>
  </si>
  <si>
    <t>32361.7322.0401</t>
  </si>
  <si>
    <t>32361.0435.0700</t>
  </si>
  <si>
    <t>32364.7345.0690</t>
  </si>
  <si>
    <t>32364.7346.0401</t>
  </si>
  <si>
    <t>35145.0510.0401</t>
  </si>
  <si>
    <t>35145.0415.0690</t>
  </si>
  <si>
    <t>35145.0680.0745</t>
  </si>
  <si>
    <t>32101.3082.0401</t>
  </si>
  <si>
    <t>32101.3084.0401</t>
  </si>
  <si>
    <t>Computer Software</t>
  </si>
  <si>
    <t>Rates Control</t>
  </si>
  <si>
    <t>Package Certificates</t>
  </si>
  <si>
    <t>26070.8621.0950</t>
  </si>
  <si>
    <t>Domestic Waste Mgmt Vacant Land</t>
  </si>
  <si>
    <t>Public Toilets</t>
  </si>
  <si>
    <t>Crown Reserves</t>
  </si>
  <si>
    <t>Quarry Operations</t>
  </si>
  <si>
    <t>5010.0945.0945</t>
  </si>
  <si>
    <t>5012.0945.0945</t>
  </si>
  <si>
    <t>5003.0945.0945</t>
  </si>
  <si>
    <t>5001.0945.0945</t>
  </si>
  <si>
    <t>5030.0945.0945</t>
  </si>
  <si>
    <t>5007.0945.0945</t>
  </si>
  <si>
    <t>32270.5469.0401</t>
  </si>
  <si>
    <t>32330.0390.0401</t>
  </si>
  <si>
    <t>Alstonville Swimming Complex</t>
  </si>
  <si>
    <t>Boat Ramps</t>
  </si>
  <si>
    <t>OPERATING REVENUES</t>
  </si>
  <si>
    <t>22230.5241.0167</t>
  </si>
  <si>
    <t>Inspections Food Premises</t>
  </si>
  <si>
    <t>Section 64 and 94 Contributions</t>
  </si>
  <si>
    <t>Cash Reserves - Increase / (Decrease)</t>
  </si>
  <si>
    <t xml:space="preserve">Wastewater Reserves </t>
  </si>
  <si>
    <t>35056</t>
  </si>
  <si>
    <t>35057</t>
  </si>
  <si>
    <t>32312.6162.0401</t>
  </si>
  <si>
    <t>32312.6164.0401</t>
  </si>
  <si>
    <t>Less: Capital Expenses</t>
  </si>
  <si>
    <t>30023.0375.0401</t>
  </si>
  <si>
    <t>30023.1157.0401</t>
  </si>
  <si>
    <t>Southern Cross Masterplan</t>
  </si>
  <si>
    <t>Overheads to Waste Management</t>
  </si>
  <si>
    <t>Certificate Under Section 149</t>
  </si>
  <si>
    <t>Newlog</t>
  </si>
  <si>
    <t>Deep Drainage Systems</t>
  </si>
  <si>
    <t>Other Costs</t>
  </si>
  <si>
    <t>Ferry Income Toll Fees Council</t>
  </si>
  <si>
    <t>Office and Other Expenses</t>
  </si>
  <si>
    <t>Waste - Domestic Waste Management</t>
  </si>
  <si>
    <t>Camping Ground</t>
  </si>
  <si>
    <t>3900.8976.8800</t>
  </si>
  <si>
    <t>Ballina - Other</t>
  </si>
  <si>
    <t>32312.6182.0401</t>
  </si>
  <si>
    <t>32312.6184.0401</t>
  </si>
  <si>
    <t>31083.1971.0639</t>
  </si>
  <si>
    <t>Regional Companion Animal C'tee</t>
  </si>
  <si>
    <t>Interest on Loans - Ballina</t>
  </si>
  <si>
    <t>Building Inspection Fees</t>
  </si>
  <si>
    <t>2011/12</t>
  </si>
  <si>
    <t>Business Rate</t>
  </si>
  <si>
    <t>Lennox Head Reservoirs</t>
  </si>
  <si>
    <t>10000.3500.0042</t>
  </si>
  <si>
    <t>10000.3501.0042</t>
  </si>
  <si>
    <t>10010.3512.0102</t>
  </si>
  <si>
    <t>10010.3513.0102</t>
  </si>
  <si>
    <t>Council Properties - Commercial</t>
  </si>
  <si>
    <t>35000.0350.0401</t>
  </si>
  <si>
    <t>31000.0350.0501</t>
  </si>
  <si>
    <t>31000.1311.0421</t>
  </si>
  <si>
    <t>Less Operating Expenses</t>
  </si>
  <si>
    <t>30023.4144.0647</t>
  </si>
  <si>
    <t>30023.0415.0690</t>
  </si>
  <si>
    <t>30023.0420.0401</t>
  </si>
  <si>
    <t>35052.7955.0335</t>
  </si>
  <si>
    <t>35052.7955.0334</t>
  </si>
  <si>
    <t>35052.7954.0300</t>
  </si>
  <si>
    <t>35052.7953.0401</t>
  </si>
  <si>
    <t>35080.0680.0745</t>
  </si>
  <si>
    <t>35110.0680.0745</t>
  </si>
  <si>
    <t>Cemeteries from</t>
  </si>
  <si>
    <t>Plant Operations to</t>
  </si>
  <si>
    <t>4064.6465.0960</t>
  </si>
  <si>
    <t>4564.6475.0961</t>
  </si>
  <si>
    <t>4066.6536.0960</t>
  </si>
  <si>
    <t>Debt Servicing</t>
  </si>
  <si>
    <t>Dometic Waste Management</t>
  </si>
  <si>
    <t>Aircraft Movement Area</t>
  </si>
  <si>
    <t>Donations</t>
  </si>
  <si>
    <t>Rate Revenues</t>
  </si>
  <si>
    <t>1998.4393.0401</t>
  </si>
  <si>
    <t>21040.1641.0222</t>
  </si>
  <si>
    <t>Crown Properties Rental</t>
  </si>
  <si>
    <t>Crown Properties Expenses</t>
  </si>
  <si>
    <t>4086.8809.0960</t>
  </si>
  <si>
    <t>4590.8816.0961</t>
  </si>
  <si>
    <t>4591.8656.0961</t>
  </si>
  <si>
    <t>4091.8650.0960</t>
  </si>
  <si>
    <t>4533.3378.0961</t>
  </si>
  <si>
    <t>Alstonville Cemetery</t>
  </si>
  <si>
    <t>Rous Cemetry</t>
  </si>
  <si>
    <t>Tintenbar Cemetery</t>
  </si>
  <si>
    <t>32360.0350.0401</t>
  </si>
  <si>
    <t>32360.7298.0300</t>
  </si>
  <si>
    <t>32360.0350.0613</t>
  </si>
  <si>
    <t>Subscriptions and Contributions</t>
  </si>
  <si>
    <t>Plant Charged to Collections</t>
  </si>
  <si>
    <t>ADMINISTRATION AND PUBLIC ORDER</t>
  </si>
  <si>
    <t>Staff Broadband</t>
  </si>
  <si>
    <t>Buildings Maintenance</t>
  </si>
  <si>
    <t>Lighting, Power and Cleaning</t>
  </si>
  <si>
    <t>Other Miscellaneous Works</t>
  </si>
  <si>
    <t>Consumables &amp; Minor</t>
  </si>
  <si>
    <t>Comm Infra - ARC (50%) Costs</t>
  </si>
  <si>
    <t>4091.8702.0960</t>
  </si>
  <si>
    <t>32330.0415.0690</t>
  </si>
  <si>
    <t>Transfers from / (to) External Reserves</t>
  </si>
  <si>
    <t>Pine Avenue Fencing</t>
  </si>
  <si>
    <t>Marom Creek Riparian</t>
  </si>
  <si>
    <t>50109.3697.0401</t>
  </si>
  <si>
    <t>50109.3699.0401</t>
  </si>
  <si>
    <t>2011/2012</t>
  </si>
  <si>
    <t>2012/2013</t>
  </si>
  <si>
    <t xml:space="preserve">Waste Management Business </t>
  </si>
  <si>
    <t>Pensioner Rates Subsidy General Rate</t>
  </si>
  <si>
    <t>Old Depot Site - Licence Fee</t>
  </si>
  <si>
    <t>32286.5900.0401</t>
  </si>
  <si>
    <t>32285.0425.0401</t>
  </si>
  <si>
    <t>General Manager</t>
  </si>
  <si>
    <t>Richmond Room</t>
  </si>
  <si>
    <t xml:space="preserve">Ballina </t>
  </si>
  <si>
    <t>Naidoc Walk</t>
  </si>
  <si>
    <t>32300.5997.0401</t>
  </si>
  <si>
    <t>32300.5998.0401</t>
  </si>
  <si>
    <t>32300.5999.0401</t>
  </si>
  <si>
    <t>Ancillary Transport Services</t>
  </si>
  <si>
    <t>35058.7980.0985</t>
  </si>
  <si>
    <t>35084.8686.0401</t>
  </si>
  <si>
    <t>35084.8687.0401</t>
  </si>
  <si>
    <t>Gap Road</t>
  </si>
  <si>
    <t>Recycling Domestic Urban and Rural</t>
  </si>
  <si>
    <t>Nursery Operations</t>
  </si>
  <si>
    <t>32280.5749.0401</t>
  </si>
  <si>
    <t>2020/21</t>
  </si>
  <si>
    <t>Variance</t>
  </si>
  <si>
    <t>26130.8883.0226</t>
  </si>
  <si>
    <t>26130.8879.0138</t>
  </si>
  <si>
    <t>26130.8880.0233</t>
  </si>
  <si>
    <t>26130.8881.0231</t>
  </si>
  <si>
    <t>26130.8882.0235</t>
  </si>
  <si>
    <t>31041.1649.0401</t>
  </si>
  <si>
    <t>Wharves and Jetties</t>
  </si>
  <si>
    <t>30020.1153.0635</t>
  </si>
  <si>
    <t>30021.1154.0401</t>
  </si>
  <si>
    <t>30021.1155.0401</t>
  </si>
  <si>
    <t>30021.1156.0401</t>
  </si>
  <si>
    <t>Operating Surplus - Surplus / (Deficit)</t>
  </si>
  <si>
    <t>Recycling Kerb Side Clean Up</t>
  </si>
  <si>
    <t>Recycling Centre Fees</t>
  </si>
  <si>
    <t>Loss on Sale of Plant</t>
  </si>
  <si>
    <t xml:space="preserve">Wigmore Sundry </t>
  </si>
  <si>
    <t>32286.5903.0401</t>
  </si>
  <si>
    <t>East Ballina Niche Walls</t>
  </si>
  <si>
    <t>30000.0350.0501</t>
  </si>
  <si>
    <t>Asset Description</t>
  </si>
  <si>
    <t>85000-004</t>
  </si>
  <si>
    <t>32001.2280.0501</t>
  </si>
  <si>
    <t>Store Administration Supplies</t>
  </si>
  <si>
    <t>32132.4231.0401</t>
  </si>
  <si>
    <t>Local Roads Signs</t>
  </si>
  <si>
    <t>32132.4232.0401</t>
  </si>
  <si>
    <t>Local Roads Lines</t>
  </si>
  <si>
    <t>Lennox to Pat Morton</t>
  </si>
  <si>
    <t>Recreational Walk Preconstruction</t>
  </si>
  <si>
    <t>22271.6629.0110</t>
  </si>
  <si>
    <t>22271.6632.0110</t>
  </si>
  <si>
    <t>32348.7042.0401</t>
  </si>
  <si>
    <t>32348.7043.0401</t>
  </si>
  <si>
    <t>32348.7044.0401</t>
  </si>
  <si>
    <t>32348.7045.0401</t>
  </si>
  <si>
    <t>32348.7047.0401</t>
  </si>
  <si>
    <t>32348.7048.0401</t>
  </si>
  <si>
    <t>32348.7049.0401</t>
  </si>
  <si>
    <t>32348.7050.0401</t>
  </si>
  <si>
    <t>32348.7051.0401</t>
  </si>
  <si>
    <t>Less Sect 94 Contribution to Teven Bridges Loan</t>
  </si>
  <si>
    <t>Variance - Surplus / (Shortfall)</t>
  </si>
  <si>
    <t>Building Certificates</t>
  </si>
  <si>
    <t>4566.6546.0961</t>
  </si>
  <si>
    <t>Loan Income (Cap Income to Debt Gen)</t>
  </si>
  <si>
    <t>7508.4931.0401</t>
  </si>
  <si>
    <t>Cemeteries</t>
  </si>
  <si>
    <t>Dog Pound Cleaning</t>
  </si>
  <si>
    <t>30000.0350.0401</t>
  </si>
  <si>
    <t xml:space="preserve">Salaries and Oncosts </t>
  </si>
  <si>
    <t>32023.2468.0300</t>
  </si>
  <si>
    <t>32023.2455.0401</t>
  </si>
  <si>
    <t>Total Movement in Reserves (incl Section 64)</t>
  </si>
  <si>
    <t>12002.4519.0156</t>
  </si>
  <si>
    <t>55000.0300.0300</t>
  </si>
  <si>
    <t>RURAL FIRE SERVICE</t>
  </si>
  <si>
    <t>Loss on Disposal of Assets</t>
  </si>
  <si>
    <t>Waste - Non-domestic</t>
  </si>
  <si>
    <t>Town Centres</t>
  </si>
  <si>
    <t>Employee Costs</t>
  </si>
  <si>
    <t>Unwinding Interest Free Loans</t>
  </si>
  <si>
    <t>21080.1951.0138</t>
  </si>
  <si>
    <t>21080.1952.0221</t>
  </si>
  <si>
    <t>21081.1953.0091</t>
  </si>
  <si>
    <t>21081.1954.0091</t>
  </si>
  <si>
    <t>21081.1955.0222</t>
  </si>
  <si>
    <t>21081.1956.0091</t>
  </si>
  <si>
    <t>21081.1957.0124</t>
  </si>
  <si>
    <t>21081.1960.0124</t>
  </si>
  <si>
    <t>Development Services</t>
  </si>
  <si>
    <t>Food Act Improvement Notice</t>
  </si>
  <si>
    <t>POEO Notice Fees</t>
  </si>
  <si>
    <t>Stormwater and Environmental Protection</t>
  </si>
  <si>
    <t>Grants and Contributions</t>
  </si>
  <si>
    <t>Capital Check</t>
  </si>
  <si>
    <t>Small Plant Purchases</t>
  </si>
  <si>
    <t>Workshop Small Plant Hire</t>
  </si>
  <si>
    <t>Unwinding of Interest Free Loan NPV</t>
  </si>
  <si>
    <t>Beach Permits 4WD Vehicles</t>
  </si>
  <si>
    <t>Total Section 94 Funds Collected</t>
  </si>
  <si>
    <t>Open Spaces Plan</t>
  </si>
  <si>
    <t>Community Facilities Plan</t>
  </si>
  <si>
    <t>Water - Loan Repayment Schedule - Ten Year Forward Plan</t>
  </si>
  <si>
    <t xml:space="preserve">Loan </t>
  </si>
  <si>
    <t xml:space="preserve">Principal </t>
  </si>
  <si>
    <t>O/S Princ</t>
  </si>
  <si>
    <t>Principal Paid</t>
  </si>
  <si>
    <t>Interest Paid</t>
  </si>
  <si>
    <t>Balances</t>
  </si>
  <si>
    <t>Loan No</t>
  </si>
  <si>
    <t>Lender</t>
  </si>
  <si>
    <t>32138.4270.0401</t>
  </si>
  <si>
    <t>32000.4144.0647</t>
  </si>
  <si>
    <t xml:space="preserve">Donations </t>
  </si>
  <si>
    <t>Fire Control Expenses RFS</t>
  </si>
  <si>
    <t>Commissions - Accommodation</t>
  </si>
  <si>
    <t>Waste Bale, Placement and Cover</t>
  </si>
  <si>
    <t>31000.0377.0405</t>
  </si>
  <si>
    <t>31040.4758.0422</t>
  </si>
  <si>
    <t>32261.0410.0635</t>
  </si>
  <si>
    <t>32261.4144.0647</t>
  </si>
  <si>
    <t>32330.4144.0647</t>
  </si>
  <si>
    <t>32330.0410.0635</t>
  </si>
  <si>
    <t>32331.4144.0647</t>
  </si>
  <si>
    <t>32331.0410.0635</t>
  </si>
  <si>
    <t>4500.2802.0961</t>
  </si>
  <si>
    <t>35125.4145.0401</t>
  </si>
  <si>
    <t>35125.4146.0401</t>
  </si>
  <si>
    <t>35125.4147.0639</t>
  </si>
  <si>
    <t>FLAT ROCK TENT PARK</t>
  </si>
  <si>
    <t>Workers Compensation</t>
  </si>
  <si>
    <t>Naval Museum</t>
  </si>
  <si>
    <t>Fuel For Tankers Fire</t>
  </si>
  <si>
    <t>Grants and Subsidies</t>
  </si>
  <si>
    <t>Reserves - External - Increase / (Decrease)</t>
  </si>
  <si>
    <t>Deposit Whitegoods</t>
  </si>
  <si>
    <t>32345.6999.0401</t>
  </si>
  <si>
    <t xml:space="preserve">% </t>
  </si>
  <si>
    <t>Various</t>
  </si>
  <si>
    <t>Operating Reserve from</t>
  </si>
  <si>
    <t>22012.2435.0191</t>
  </si>
  <si>
    <t>22012.2439.0191</t>
  </si>
  <si>
    <t>22012.2436.0191</t>
  </si>
  <si>
    <t>SP2002 - Pump Capacity Upgrade</t>
  </si>
  <si>
    <t>Oncosts Recouped - External Works</t>
  </si>
  <si>
    <t>Legal Expenses / Fines</t>
  </si>
  <si>
    <t>Hire of Cat Trap</t>
  </si>
  <si>
    <t>Rates</t>
  </si>
  <si>
    <t>Car Parking</t>
  </si>
  <si>
    <t>Public Transport</t>
  </si>
  <si>
    <t>21020.1452.0062</t>
  </si>
  <si>
    <t>21020.1455.0062</t>
  </si>
  <si>
    <t>22012.2434.0191</t>
  </si>
  <si>
    <t>Rural Roads</t>
  </si>
  <si>
    <t>32101.3079.0622</t>
  </si>
  <si>
    <t>35120.0350.0401</t>
  </si>
  <si>
    <t>32270.0425.0401</t>
  </si>
  <si>
    <t>32270.5465.0401</t>
  </si>
  <si>
    <t>2021/22</t>
  </si>
  <si>
    <t>Reserves - Internally Restricted</t>
  </si>
  <si>
    <t>Internal Overheads</t>
  </si>
  <si>
    <t>(Reserve balances carried forward on following page)</t>
  </si>
  <si>
    <t>Stormwater Charge</t>
  </si>
  <si>
    <t>Street and Gutter - Street Sweeper</t>
  </si>
  <si>
    <t>Externally Restricted</t>
  </si>
  <si>
    <t>Picnic Tables M &amp; R</t>
  </si>
  <si>
    <t>Ferry Income Toll Fees</t>
  </si>
  <si>
    <t>Pensioner Subsidy</t>
  </si>
  <si>
    <t>Interest Earned on Reserve</t>
  </si>
  <si>
    <t xml:space="preserve">Fines </t>
  </si>
  <si>
    <t>Maintenance of Scales</t>
  </si>
  <si>
    <t>Salaries and Oncosts</t>
  </si>
  <si>
    <t>85000-005</t>
  </si>
  <si>
    <t xml:space="preserve">Administration </t>
  </si>
  <si>
    <t>4113.4993.0960</t>
  </si>
  <si>
    <t>4612.4999.0961</t>
  </si>
  <si>
    <t>4612.4995.0961</t>
  </si>
  <si>
    <t>32220.5099.0401</t>
  </si>
  <si>
    <t>Insurance Civic Activities</t>
  </si>
  <si>
    <t>Fill and Floor Levels Design Works</t>
  </si>
  <si>
    <t>2215.6442.8800</t>
  </si>
  <si>
    <t>Urban Roads Operations</t>
  </si>
  <si>
    <t>Urban Roads Reserves Operations</t>
  </si>
  <si>
    <t>Urban Roads Reserves Maintenance</t>
  </si>
  <si>
    <t>Urban Roads Maintenance</t>
  </si>
  <si>
    <t>32108.3471.0401</t>
  </si>
  <si>
    <t>32109.3475.0401</t>
  </si>
  <si>
    <t>32102.3094.0401</t>
  </si>
  <si>
    <t>32102.3095.0401</t>
  </si>
  <si>
    <t>Contribution to NSW Fire Brigades</t>
  </si>
  <si>
    <t>Alternate Phone Monitoring and Call out</t>
  </si>
  <si>
    <t>Ferry Operation Expenses</t>
  </si>
  <si>
    <t>Development Engineer Inspection Fee</t>
  </si>
  <si>
    <t>Accreditation</t>
  </si>
  <si>
    <t>35150.0425.0401</t>
  </si>
  <si>
    <t>Drains, Stormwater Channels Mtce</t>
  </si>
  <si>
    <t>Interest on Loans</t>
  </si>
  <si>
    <t>GENERAL MANAGER'S GROUP - SUMMARY</t>
  </si>
  <si>
    <t>Stormwater Drainage Levy From</t>
  </si>
  <si>
    <t>10004.3546.0192</t>
  </si>
  <si>
    <t>10003.3520.0155</t>
  </si>
  <si>
    <t>50000.0300.0300</t>
  </si>
  <si>
    <t>50005.3582.0322</t>
  </si>
  <si>
    <t>Funding Source 2019/20</t>
  </si>
  <si>
    <t>Plant and Equipment</t>
  </si>
  <si>
    <t>Rounding</t>
  </si>
  <si>
    <t>Amphitheatre Vandalism</t>
  </si>
  <si>
    <t>26050.7936.0229</t>
  </si>
  <si>
    <t>Grant Tourism NSW</t>
  </si>
  <si>
    <t>26123.8827.0148</t>
  </si>
  <si>
    <t>35152.8854.0401</t>
  </si>
  <si>
    <t>Tourism NSW Grant Project</t>
  </si>
  <si>
    <t>50005.7847.0420</t>
  </si>
  <si>
    <t>Ballina Swimming Complex</t>
  </si>
  <si>
    <t>Interest on Section 94 Contributions</t>
  </si>
  <si>
    <t>East Ballina Cemetery</t>
  </si>
  <si>
    <t>32020.2450.0623</t>
  </si>
  <si>
    <t>State Conference</t>
  </si>
  <si>
    <t>Sewer from Capital Refurb</t>
  </si>
  <si>
    <t>Water from Capital Refurb</t>
  </si>
  <si>
    <t>32330.6649.0640</t>
  </si>
  <si>
    <t>35125.4148.0639</t>
  </si>
  <si>
    <t>35125.4149.0401</t>
  </si>
  <si>
    <t>35125.4152.0401</t>
  </si>
  <si>
    <t>35125.4155.0401</t>
  </si>
  <si>
    <t>32331.6651.0401</t>
  </si>
  <si>
    <t>32330.0680.0745</t>
  </si>
  <si>
    <t>22280.6745.0041</t>
  </si>
  <si>
    <t>22280.6746.0041</t>
  </si>
  <si>
    <t>22281.6769.0101</t>
  </si>
  <si>
    <t>22281.6771.0233</t>
  </si>
  <si>
    <t>32266.0530.0401</t>
  </si>
  <si>
    <t>Total Section 94 Funds Held</t>
  </si>
  <si>
    <t>Funded from Revenue prior to SVs plus CPI</t>
  </si>
  <si>
    <t>4043.3344.0960</t>
  </si>
  <si>
    <t>32137.4261.0401</t>
  </si>
  <si>
    <t>32138.4268.0401</t>
  </si>
  <si>
    <t>22241.5590.0148</t>
  </si>
  <si>
    <t>21060.1801.0145</t>
  </si>
  <si>
    <t>Administration Building</t>
  </si>
  <si>
    <t>Hutley Drive</t>
  </si>
  <si>
    <t xml:space="preserve">Telephone Councillors </t>
  </si>
  <si>
    <t>21021.1470.0062</t>
  </si>
  <si>
    <t>21021.1471.0062</t>
  </si>
  <si>
    <t>Approach Clearing</t>
  </si>
  <si>
    <t>21040.1635.0091</t>
  </si>
  <si>
    <t>21040.1636.0091</t>
  </si>
  <si>
    <t>Flat Rock Tent Park</t>
  </si>
  <si>
    <t>Airport</t>
  </si>
  <si>
    <t>26060.8501.0226</t>
  </si>
  <si>
    <t>26060.8503.0226</t>
  </si>
  <si>
    <t>SP2012 - Pump Capacity Upgrade</t>
  </si>
  <si>
    <t>LOAN INCOME</t>
  </si>
  <si>
    <t>32322.6420.0640</t>
  </si>
  <si>
    <t>Bird Control Strategy</t>
  </si>
  <si>
    <t>Repayment of Principal on Loans</t>
  </si>
  <si>
    <t>Total - Increase / (Decrease)</t>
  </si>
  <si>
    <t>Overheads Charged to Plant</t>
  </si>
  <si>
    <t>Strategic Services</t>
  </si>
  <si>
    <t>Direct Expenses</t>
  </si>
  <si>
    <t>35015.0350.0401</t>
  </si>
  <si>
    <t>54000.8922.0322</t>
  </si>
  <si>
    <t>Comm Infra - Interest Earned</t>
  </si>
  <si>
    <t>Comm Infra - 89 Tamar St Rental</t>
  </si>
  <si>
    <t>32361.7325.0980</t>
  </si>
  <si>
    <t>32266.0530.0635</t>
  </si>
  <si>
    <t>32266.0415.0690</t>
  </si>
  <si>
    <t>32266.0530.0647</t>
  </si>
  <si>
    <t>Less Capital Purchases:</t>
  </si>
  <si>
    <t>Vermin Control</t>
  </si>
  <si>
    <t>Redundancy Payments</t>
  </si>
  <si>
    <t>22283.6822.0270</t>
  </si>
  <si>
    <t>22283.6823.0101</t>
  </si>
  <si>
    <t>32340.0350.0401</t>
  </si>
  <si>
    <t>32340.6862.0300</t>
  </si>
  <si>
    <t>32250.5126.0401</t>
  </si>
  <si>
    <t>35162.8897.0401</t>
  </si>
  <si>
    <t>2205.5488.0401</t>
  </si>
  <si>
    <t>Section 94's</t>
  </si>
  <si>
    <t>32261.0530.0401</t>
  </si>
  <si>
    <t>22260.6367.0126</t>
  </si>
  <si>
    <t>Interest on Loan (Flat Rock)</t>
  </si>
  <si>
    <t>35145.0435.0690</t>
  </si>
  <si>
    <t>Wigmore Arcade</t>
  </si>
  <si>
    <t>Engineering Services</t>
  </si>
  <si>
    <t>26061.8512.0226</t>
  </si>
  <si>
    <t>Council Properties - Commercial  and Residential</t>
  </si>
  <si>
    <t>Add Capital Grants and Contributions</t>
  </si>
  <si>
    <t>Bird Management</t>
  </si>
  <si>
    <t>35005.0340.0401</t>
  </si>
  <si>
    <t>35005.0335.0401</t>
  </si>
  <si>
    <t>50005</t>
  </si>
  <si>
    <t>50008</t>
  </si>
  <si>
    <t>50010</t>
  </si>
  <si>
    <t>50100</t>
  </si>
  <si>
    <t>Annual Leave</t>
  </si>
  <si>
    <t>Ballina Heights Drive</t>
  </si>
  <si>
    <t>32102.0516.0401</t>
  </si>
  <si>
    <t>Waste Bin Purchases</t>
  </si>
  <si>
    <t>General Fund - Loan Principal and Interest Repayments - Ten Year Forward Plan - New Projects Under Consideration</t>
  </si>
  <si>
    <t>Rates and Charges</t>
  </si>
  <si>
    <t>Visitor Guide</t>
  </si>
  <si>
    <t>Markers, Cones &amp; Wind Indicators</t>
  </si>
  <si>
    <t>Airport NDB M and R</t>
  </si>
  <si>
    <t>Mulch Compost Sales</t>
  </si>
  <si>
    <t>Training Plan - Salaried Staff</t>
  </si>
  <si>
    <t>55022.4801.0401</t>
  </si>
  <si>
    <t>Plant Leasing</t>
  </si>
  <si>
    <t>Fleet Management</t>
  </si>
  <si>
    <t xml:space="preserve">Landfill Management </t>
  </si>
  <si>
    <t>Loan P &amp; I - Comm Buildings</t>
  </si>
  <si>
    <t>Reserves - Internal - Increase / (Decrease)</t>
  </si>
  <si>
    <t>35108.6652.0700</t>
  </si>
  <si>
    <t>35125.0377.0405</t>
  </si>
  <si>
    <t>35125.0410.0635</t>
  </si>
  <si>
    <t>Repayment of Loan Principal</t>
  </si>
  <si>
    <t>Contributions</t>
  </si>
  <si>
    <t>Water Mains - Leak Detection</t>
  </si>
  <si>
    <t>Regional Works Crew</t>
  </si>
  <si>
    <t xml:space="preserve">Section 94 Contributions </t>
  </si>
  <si>
    <t>Airport Emergency Exercises</t>
  </si>
  <si>
    <t>21021.1475.0062</t>
  </si>
  <si>
    <t>21021.1476.0062</t>
  </si>
  <si>
    <t>Total Capital Income from Land Sales</t>
  </si>
  <si>
    <t>Total Loan Income</t>
  </si>
  <si>
    <t>35005.0504.0347</t>
  </si>
  <si>
    <t>4610.3920.0690</t>
  </si>
  <si>
    <t>30002.1076.0401</t>
  </si>
  <si>
    <t>4001.1078.0960</t>
  </si>
  <si>
    <t>21060.1822.0145</t>
  </si>
  <si>
    <t>Fleet Management Software</t>
  </si>
  <si>
    <t>Funding Source 2018/19</t>
  </si>
  <si>
    <t>32364.7350.0401</t>
  </si>
  <si>
    <t>Fair Go</t>
  </si>
  <si>
    <t>Credit Card Surcharge</t>
  </si>
  <si>
    <t>OSSM - Annual Management Fee</t>
  </si>
  <si>
    <t>Expenditure Description</t>
  </si>
  <si>
    <t>Financial Assistance Grant</t>
  </si>
  <si>
    <t>32001.0300.0300</t>
  </si>
  <si>
    <t>32000.0510.0401</t>
  </si>
  <si>
    <t>32000.2250.0401</t>
  </si>
  <si>
    <t>Flat Rock - Managers Residence Rent</t>
  </si>
  <si>
    <t>Community Gallery - Café Lease</t>
  </si>
  <si>
    <t>2018/2019</t>
  </si>
  <si>
    <t>4591.7858.0961</t>
  </si>
  <si>
    <t>30002.0360.0401</t>
  </si>
  <si>
    <t>30002.1015.0401</t>
  </si>
  <si>
    <t>30002.1018.0401</t>
  </si>
  <si>
    <t>30003.1026.0401</t>
  </si>
  <si>
    <t>30002.1030.0401</t>
  </si>
  <si>
    <t>35006.7564.0639</t>
  </si>
  <si>
    <t>35006.7565.0639</t>
  </si>
  <si>
    <t>35006.7566.0639</t>
  </si>
  <si>
    <t>Christmas Decorations</t>
  </si>
  <si>
    <t>Transfer to Reserves</t>
  </si>
  <si>
    <t>7005.3874.0401</t>
  </si>
  <si>
    <t>Cleaning</t>
  </si>
  <si>
    <t>Abandonments</t>
  </si>
  <si>
    <t>Stormwater &amp; Env Protection</t>
  </si>
  <si>
    <t>Salaries - Overseers</t>
  </si>
  <si>
    <t>Total</t>
  </si>
  <si>
    <t>OSR - Operating Expenses</t>
  </si>
  <si>
    <t>32262.5345.0300</t>
  </si>
  <si>
    <t>Trf to Reserves</t>
  </si>
  <si>
    <t>Trf from Reserves</t>
  </si>
  <si>
    <t>Development Application Fees</t>
  </si>
  <si>
    <t>35145.8759.0401</t>
  </si>
  <si>
    <t>35145.8760.0401</t>
  </si>
  <si>
    <t>35145.8763.0401</t>
  </si>
  <si>
    <t>35145.8765.0401</t>
  </si>
  <si>
    <t>35145.8766.0401</t>
  </si>
  <si>
    <t>35145.8761.0401</t>
  </si>
  <si>
    <t>Workshop Fees</t>
  </si>
  <si>
    <t>26130.8884.0138</t>
  </si>
  <si>
    <t>32276.5648.0401</t>
  </si>
  <si>
    <t>32276.5649.0401</t>
  </si>
  <si>
    <t>Community Properties</t>
  </si>
  <si>
    <t>2019/20</t>
  </si>
  <si>
    <t xml:space="preserve">Foreshore Protection </t>
  </si>
  <si>
    <t>32264.6175.0401</t>
  </si>
  <si>
    <t>32344.6931.0401</t>
  </si>
  <si>
    <t>Public Recycling Trial</t>
  </si>
  <si>
    <t>Reserve Title</t>
  </si>
  <si>
    <t>32000.0410.0635</t>
  </si>
  <si>
    <t>32000.0415.0690</t>
  </si>
  <si>
    <t>1998.4222.0401</t>
  </si>
  <si>
    <t>1998.4350.0401</t>
  </si>
  <si>
    <t>Sewer Repairs Charge Owner</t>
  </si>
  <si>
    <t>55022.0680.0750</t>
  </si>
  <si>
    <t xml:space="preserve">Banner Hire </t>
  </si>
  <si>
    <t>Provision for Doubtful Rates and Annual Charges</t>
  </si>
  <si>
    <t>26040</t>
  </si>
  <si>
    <t>35030</t>
  </si>
  <si>
    <t>35031</t>
  </si>
  <si>
    <t>35040</t>
  </si>
  <si>
    <t>35015.0328.0343</t>
  </si>
  <si>
    <t>35000.0328.0343</t>
  </si>
  <si>
    <t>35050.0328.0343</t>
  </si>
  <si>
    <t>35150.0328.0343</t>
  </si>
  <si>
    <t>26100.4108.0135</t>
  </si>
  <si>
    <t>85000-006</t>
  </si>
  <si>
    <t>DEPRECIATION RECONCILIATION</t>
  </si>
  <si>
    <t>SUMMARY</t>
  </si>
  <si>
    <t>Add Section 94 Project Loans and Other New Road Loans</t>
  </si>
  <si>
    <t>Vehicle and Plant Replacement</t>
  </si>
  <si>
    <t>32276.5645.0401</t>
  </si>
  <si>
    <t>32276.5647.0401</t>
  </si>
  <si>
    <t>50005.0350.0401</t>
  </si>
  <si>
    <t>55002.7847.0420</t>
  </si>
  <si>
    <t>54002.0365.0422</t>
  </si>
  <si>
    <t>54002.8944.0422</t>
  </si>
  <si>
    <t>54002.0350.0401</t>
  </si>
  <si>
    <t>32312.6158.0401</t>
  </si>
  <si>
    <t>OSSM Approval to Operate (New)</t>
  </si>
  <si>
    <t>Car Rental Franchises</t>
  </si>
  <si>
    <t>Tapping Fees</t>
  </si>
  <si>
    <t>Tourism</t>
  </si>
  <si>
    <t>31083.0680.0745</t>
  </si>
  <si>
    <t>31083.1961.0401</t>
  </si>
  <si>
    <t>31083.1969.0647</t>
  </si>
  <si>
    <t>31083.1962.0401</t>
  </si>
  <si>
    <t>Superannuation (fr Teven Br Loan Res)</t>
  </si>
  <si>
    <t>4085.7993.0960</t>
  </si>
  <si>
    <t>Wigmore Arcade from</t>
  </si>
  <si>
    <t>Properties - Council Residential</t>
  </si>
  <si>
    <t>Properties - Council Investment</t>
  </si>
  <si>
    <t>RTA Works</t>
  </si>
  <si>
    <t>Sundry Office Expenses</t>
  </si>
  <si>
    <t>Purchase of Water Rous CC Ballina</t>
  </si>
  <si>
    <t>32360.7302.0622</t>
  </si>
  <si>
    <t>Net Operating Result</t>
  </si>
  <si>
    <t>Add Back Non-Cash Expense</t>
  </si>
  <si>
    <t>26100.4110.0135</t>
  </si>
  <si>
    <t>26100.4111.0135</t>
  </si>
  <si>
    <t>INFORMATION SERVICES</t>
  </si>
  <si>
    <t>Profit on Sale Assets</t>
  </si>
  <si>
    <t>Rural Road Reserves Operations</t>
  </si>
  <si>
    <t>Rural Road Reserves Maintenance</t>
  </si>
  <si>
    <t>32112.3471.0401</t>
  </si>
  <si>
    <t>Plan Printing and Sundry Income</t>
  </si>
  <si>
    <t>Salaries - Management</t>
  </si>
  <si>
    <t xml:space="preserve">Survey and Design </t>
  </si>
  <si>
    <t>Loan Income - Cap General</t>
  </si>
  <si>
    <t>McLeay Culvert - RMS Agreement</t>
  </si>
  <si>
    <t>2016/17</t>
  </si>
  <si>
    <t>Skatepark (Ballina) M &amp; R</t>
  </si>
  <si>
    <t>32310.0680.0745</t>
  </si>
  <si>
    <t>22260.6364.0126</t>
  </si>
  <si>
    <t>50102</t>
  </si>
  <si>
    <t>50101</t>
  </si>
  <si>
    <t>50107</t>
  </si>
  <si>
    <t>50110</t>
  </si>
  <si>
    <t>50109</t>
  </si>
  <si>
    <t>50112</t>
  </si>
  <si>
    <t>12000</t>
  </si>
  <si>
    <t>12004</t>
  </si>
  <si>
    <t>12012</t>
  </si>
  <si>
    <t>12002</t>
  </si>
  <si>
    <t>12010</t>
  </si>
  <si>
    <t>12014</t>
  </si>
  <si>
    <t>50000</t>
  </si>
  <si>
    <t>55000</t>
  </si>
  <si>
    <t>32342.6896.0640</t>
  </si>
  <si>
    <t>32342.6896.0401</t>
  </si>
  <si>
    <t>32342.6896.0300</t>
  </si>
  <si>
    <t>35145.0371.0501</t>
  </si>
  <si>
    <t>35145.0373.0601</t>
  </si>
  <si>
    <t>35055.7959.0340</t>
  </si>
  <si>
    <t>35055.7960.0300</t>
  </si>
  <si>
    <t>35055.7961.0345</t>
  </si>
  <si>
    <t>35055.7962.0340</t>
  </si>
  <si>
    <t>35055.7964.0300</t>
  </si>
  <si>
    <t>35055.7965.0401</t>
  </si>
  <si>
    <t>35056.7968.0322</t>
  </si>
  <si>
    <t>Promotion Recycling</t>
  </si>
  <si>
    <t>26114.8755.0169</t>
  </si>
  <si>
    <t>Crown Properties</t>
  </si>
  <si>
    <t>35000</t>
  </si>
  <si>
    <t>35005</t>
  </si>
  <si>
    <t>35001</t>
  </si>
  <si>
    <t>35015</t>
  </si>
  <si>
    <t>50112.3730.0401</t>
  </si>
  <si>
    <t>50112.3733.0401</t>
  </si>
  <si>
    <t>50112.3734.0401</t>
  </si>
  <si>
    <t>32261.5320.0401</t>
  </si>
  <si>
    <t>Cash Delivery Services Waste</t>
  </si>
  <si>
    <t>32340.0410.0635</t>
  </si>
  <si>
    <t>32340.0374.0640</t>
  </si>
  <si>
    <t>32360.0328.0343</t>
  </si>
  <si>
    <t>32261.0415.0690</t>
  </si>
  <si>
    <t>31042.1653.0401</t>
  </si>
  <si>
    <t>31043.1654.0401</t>
  </si>
  <si>
    <t>Legal Fees</t>
  </si>
  <si>
    <t>Indirect Expenses - Overheads</t>
  </si>
  <si>
    <t>Depreciation - Cemeteries</t>
  </si>
  <si>
    <t>Yard Maintenance</t>
  </si>
  <si>
    <t>Oncosts Salaried Staff</t>
  </si>
  <si>
    <t xml:space="preserve">Legal Expenses </t>
  </si>
  <si>
    <t>2012/13</t>
  </si>
  <si>
    <t>Water Carters</t>
  </si>
  <si>
    <t>Water Transport and Wharves</t>
  </si>
  <si>
    <t>Noxious Plants / Vermin</t>
  </si>
  <si>
    <t>BUILDING SERVICES</t>
  </si>
  <si>
    <t>DEVELOPMENT SERVICES</t>
  </si>
  <si>
    <t>Add: Capital Revenues</t>
  </si>
  <si>
    <t>Overheads allocated to Businesses</t>
  </si>
  <si>
    <t>General Fund</t>
  </si>
  <si>
    <t>32265.5386.0401</t>
  </si>
  <si>
    <t>32320.6390.0401</t>
  </si>
  <si>
    <t>35152.8844.0401</t>
  </si>
  <si>
    <t>2010.3130.0401</t>
  </si>
  <si>
    <t>22115.3308.0940</t>
  </si>
  <si>
    <t>Roads - Heavy Patching</t>
  </si>
  <si>
    <t>Companion Animal Registration Fees</t>
  </si>
  <si>
    <t>Impounding Expenses</t>
  </si>
  <si>
    <t>RESERVE MOVEMENTS - GENERAL FUND (cont'd)</t>
  </si>
  <si>
    <t>Air Conditioning M &amp; R</t>
  </si>
  <si>
    <t>Cash Result - Surplus / (Deficit)</t>
  </si>
  <si>
    <t>32116.3232.0401</t>
  </si>
  <si>
    <t>Investment Revenues</t>
  </si>
  <si>
    <t>32103.3101.0401</t>
  </si>
  <si>
    <t>Late Payment Fee on Sundry Debtors</t>
  </si>
  <si>
    <t>Water to Refurb</t>
  </si>
  <si>
    <t>Water to S64</t>
  </si>
  <si>
    <t>26028.7820.0270</t>
  </si>
  <si>
    <t>35020.0300.0300</t>
  </si>
  <si>
    <t>35020.7834.0613</t>
  </si>
  <si>
    <t>26000.7474.0270</t>
  </si>
  <si>
    <t>35000.0300.0300</t>
  </si>
  <si>
    <t>Grant Based Projects</t>
  </si>
  <si>
    <t>Stock Sales</t>
  </si>
  <si>
    <t>Workshops</t>
  </si>
  <si>
    <t>35162.8893.0401</t>
  </si>
  <si>
    <t>Abandoned Vehicles - Sale</t>
  </si>
  <si>
    <t>35020.7835.0613</t>
  </si>
  <si>
    <t>31083.1970.0401</t>
  </si>
  <si>
    <t>26025.7799.0140</t>
  </si>
  <si>
    <t>26025.7800.0141</t>
  </si>
  <si>
    <t>26026.7805.0190</t>
  </si>
  <si>
    <t>26026.7808.0190</t>
  </si>
  <si>
    <t>26113</t>
  </si>
  <si>
    <t>35145</t>
  </si>
  <si>
    <t>BALLINA - BYRON GATEWAY AIRPORT</t>
  </si>
  <si>
    <t>55002.4579.0322</t>
  </si>
  <si>
    <t>55002.4579.0326</t>
  </si>
  <si>
    <t>55002.4579.0323</t>
  </si>
  <si>
    <t>55002.4579.0324</t>
  </si>
  <si>
    <t>32200.0420.0401</t>
  </si>
  <si>
    <t>32200.0300.0341</t>
  </si>
  <si>
    <t>32200.4019.0401</t>
  </si>
  <si>
    <t>Insurance Playgroups, Day Care etc</t>
  </si>
  <si>
    <t>Repayment of Loan Principal and Long Term Debtors</t>
  </si>
  <si>
    <t>Dividends</t>
  </si>
  <si>
    <t>32020.2443.0300</t>
  </si>
  <si>
    <t>32020.2444.0300</t>
  </si>
  <si>
    <t>Job #</t>
  </si>
  <si>
    <t>35015.7727.0401</t>
  </si>
  <si>
    <t>Staff Morning tea</t>
  </si>
  <si>
    <t>26021.0100.0021</t>
  </si>
  <si>
    <t>Fr Civic Bld Admin Counter</t>
  </si>
  <si>
    <t>Weed Control</t>
  </si>
  <si>
    <t>Administration and Office Expenses</t>
  </si>
  <si>
    <t>SP2312 - Pump Capacity Upgrade</t>
  </si>
  <si>
    <t>Wuea</t>
  </si>
  <si>
    <t>Flat Rock</t>
  </si>
  <si>
    <t>32001.0410.0635</t>
  </si>
  <si>
    <t>32001.4144.0647</t>
  </si>
  <si>
    <t>32001.0374.0640</t>
  </si>
  <si>
    <t>26100.4101.0135</t>
  </si>
  <si>
    <t>26100.4105.0135</t>
  </si>
  <si>
    <t>26100.4107.0135</t>
  </si>
  <si>
    <t>Merchandise Purchases</t>
  </si>
  <si>
    <t>Commission Expenses</t>
  </si>
  <si>
    <t>Council Owned Properties</t>
  </si>
  <si>
    <t>Properties - Others</t>
  </si>
  <si>
    <t>Properties - Crown Reserves</t>
  </si>
  <si>
    <t>Water Testing - Various</t>
  </si>
  <si>
    <t>Advertising Community News</t>
  </si>
  <si>
    <t>Aviation Publications</t>
  </si>
  <si>
    <t>Energy Costs</t>
  </si>
  <si>
    <t>32340.6872.0401</t>
  </si>
  <si>
    <t>32340.6873.0401</t>
  </si>
  <si>
    <t>32340.6874.0401</t>
  </si>
  <si>
    <t>32340.0435.0700</t>
  </si>
  <si>
    <t>Landfill Management and Resource Recovery</t>
  </si>
  <si>
    <t>MGB Kerb Collection CBD/Street Bins</t>
  </si>
  <si>
    <t>32340.6864.0690</t>
  </si>
  <si>
    <t>32340.6865.0300</t>
  </si>
  <si>
    <t>32340.6866.0300</t>
  </si>
  <si>
    <t>Public &amp; Env Health</t>
  </si>
  <si>
    <t>Depreciation - Quarries</t>
  </si>
  <si>
    <t>Workshop Operating Expenses</t>
  </si>
  <si>
    <t>Balance as per cash reconciliation</t>
  </si>
  <si>
    <t>Variation</t>
  </si>
  <si>
    <t>Water</t>
  </si>
  <si>
    <t>Water Plant Charged to Works</t>
  </si>
  <si>
    <t>Summaries</t>
  </si>
  <si>
    <t>Summary</t>
  </si>
  <si>
    <t>Maternity and Parental Leave</t>
  </si>
  <si>
    <t>Less Depreciation</t>
  </si>
  <si>
    <t>Vehicle Running Costs</t>
  </si>
  <si>
    <t>Other</t>
  </si>
  <si>
    <t xml:space="preserve">Internal Contributions </t>
  </si>
  <si>
    <t>WESTPAC</t>
  </si>
  <si>
    <t>Block Grant</t>
  </si>
  <si>
    <t>Indirect Costs</t>
  </si>
  <si>
    <t>Depreciation Check</t>
  </si>
  <si>
    <t>Foreshore and Coastal Lakes Protection</t>
  </si>
  <si>
    <t>Interest On Investment Banks</t>
  </si>
  <si>
    <t>22231.5260.0138</t>
  </si>
  <si>
    <t>Programs</t>
  </si>
  <si>
    <t>General Fund Activities</t>
  </si>
  <si>
    <t>32340.0425.0401</t>
  </si>
  <si>
    <t>32340.0420.0401</t>
  </si>
  <si>
    <t>35080.0415.0690</t>
  </si>
  <si>
    <t>35082.0530.0401</t>
  </si>
  <si>
    <t>35082.0450.0401</t>
  </si>
  <si>
    <t>35082.0415.0690</t>
  </si>
  <si>
    <t>Road Safety Programs</t>
  </si>
  <si>
    <t>85000-007</t>
  </si>
  <si>
    <t>Total Section 94 Funds Applied</t>
  </si>
  <si>
    <t>Less Principal Repayments</t>
  </si>
  <si>
    <t>Advertising On Bus Shelters</t>
  </si>
  <si>
    <t>Other Resources</t>
  </si>
  <si>
    <t>35107.0680.0745</t>
  </si>
  <si>
    <t>Office Equipment</t>
  </si>
  <si>
    <t>Sundry Administration Expenses</t>
  </si>
  <si>
    <t>Rating Costs</t>
  </si>
  <si>
    <t>Interest to Trust Fund Deposits</t>
  </si>
  <si>
    <t>Section 603 Certificates - Urgent</t>
  </si>
  <si>
    <t>Investment Premium</t>
  </si>
  <si>
    <t>Coast Rd RTA Grant</t>
  </si>
  <si>
    <t>4043.3354.0960</t>
  </si>
  <si>
    <t>50005.3580.0326</t>
  </si>
  <si>
    <t>35070</t>
  </si>
  <si>
    <t>35073</t>
  </si>
  <si>
    <t>35074</t>
  </si>
  <si>
    <t>35076</t>
  </si>
  <si>
    <t>35080</t>
  </si>
  <si>
    <t>35082</t>
  </si>
  <si>
    <t>50005.0415.0690</t>
  </si>
  <si>
    <t>Payroll Tax</t>
  </si>
  <si>
    <t>Council Properties - Investment</t>
  </si>
  <si>
    <t>Spec Projects Grant</t>
  </si>
  <si>
    <t>Nursery Operation</t>
  </si>
  <si>
    <t>Tuckombil</t>
  </si>
  <si>
    <t>Residential</t>
  </si>
  <si>
    <t>Business</t>
  </si>
  <si>
    <t>Trade Waste General</t>
  </si>
  <si>
    <t>Employee Oncosts</t>
  </si>
  <si>
    <t>26025</t>
  </si>
  <si>
    <t>26026</t>
  </si>
  <si>
    <t>26028</t>
  </si>
  <si>
    <t>35020</t>
  </si>
  <si>
    <t>35021</t>
  </si>
  <si>
    <t>20021.1151.0148</t>
  </si>
  <si>
    <t>20021.1152.0148</t>
  </si>
  <si>
    <t>30020.0300.0300</t>
  </si>
  <si>
    <t>32201.0415.0690</t>
  </si>
  <si>
    <t>32200.4016.0401</t>
  </si>
  <si>
    <t>Pollution Control</t>
  </si>
  <si>
    <t>31061.1809.0401</t>
  </si>
  <si>
    <t>OPERATING EXPENSES (cont'd)</t>
  </si>
  <si>
    <t>55012.4617.0647</t>
  </si>
  <si>
    <t>55012.4618.0647</t>
  </si>
  <si>
    <t>55012.4619.0647</t>
  </si>
  <si>
    <t>55012.4620.0647</t>
  </si>
  <si>
    <t>55012.4621.0647</t>
  </si>
  <si>
    <t>55012.4622.0647</t>
  </si>
  <si>
    <t>4075.7658.0960</t>
  </si>
  <si>
    <t>4075.7657.0960</t>
  </si>
  <si>
    <t>4075.7659.0960</t>
  </si>
  <si>
    <t>4079.7856.0960</t>
  </si>
  <si>
    <t>4579.8664.0961</t>
  </si>
  <si>
    <t>4585.7998.0961</t>
  </si>
  <si>
    <t>4080.7880.0960</t>
  </si>
  <si>
    <t>4081.7883.0960</t>
  </si>
  <si>
    <t>4087.8642.0960</t>
  </si>
  <si>
    <t>4087.8643.0960</t>
  </si>
  <si>
    <t>35070.8552.0401</t>
  </si>
  <si>
    <t>35080.8587.0422</t>
  </si>
  <si>
    <t>35072.8556.0401</t>
  </si>
  <si>
    <t>35073.8562.0401</t>
  </si>
  <si>
    <t>Sundry Income</t>
  </si>
  <si>
    <t>Wardell Town Centre</t>
  </si>
  <si>
    <t>Advertising and Promotion</t>
  </si>
  <si>
    <t>ACTUAL</t>
  </si>
  <si>
    <t>Electricity Airport Lighting</t>
  </si>
  <si>
    <t>Overheads - Russellton</t>
  </si>
  <si>
    <t>35073.0415.0690</t>
  </si>
  <si>
    <t>35074.8562.0401</t>
  </si>
  <si>
    <t>35074.0415.0691</t>
  </si>
  <si>
    <t>35076.0530.0401</t>
  </si>
  <si>
    <t>35076.0415.0690</t>
  </si>
  <si>
    <t>35076.0450.0401</t>
  </si>
  <si>
    <t>35076.0425.0401</t>
  </si>
  <si>
    <t>35080.8584.0401</t>
  </si>
  <si>
    <t>35080.8586.0401</t>
  </si>
  <si>
    <t>Legal Costs</t>
  </si>
  <si>
    <t>Solid Waste Sampling &amp; Testing</t>
  </si>
  <si>
    <t>Street Cleaning</t>
  </si>
  <si>
    <t>Interest on Loans - Community Centres</t>
  </si>
  <si>
    <t>89 Tamar St Insurance</t>
  </si>
  <si>
    <t>Deposit</t>
  </si>
  <si>
    <t>Chickiba Wetlands</t>
  </si>
  <si>
    <t>35056.7966.0300</t>
  </si>
  <si>
    <t>Litter Penalties</t>
  </si>
  <si>
    <t>Airport Owners Assoc Membership</t>
  </si>
  <si>
    <t>Regional Roads Mtce and Improvements</t>
  </si>
  <si>
    <t>22220.5051.0127</t>
  </si>
  <si>
    <t>22152.4200.0147</t>
  </si>
  <si>
    <t>SP4003 - Storage Capacity Upgrade</t>
  </si>
  <si>
    <t>Reserve Movements Check</t>
  </si>
  <si>
    <t>22220.5050.0127</t>
  </si>
  <si>
    <t>SP2311 - Storage Capacity Upgrade</t>
  </si>
  <si>
    <t>35150.8830.0401</t>
  </si>
  <si>
    <t>35150.0415.0690</t>
  </si>
  <si>
    <t>30023.8923.0347</t>
  </si>
  <si>
    <t>Sales and Reservations</t>
  </si>
  <si>
    <t>ROADS AND BRIDGES</t>
  </si>
  <si>
    <t>31062.0680.0745</t>
  </si>
  <si>
    <t>Injured Workers Rehabilitation</t>
  </si>
  <si>
    <t>32348.7030.0401</t>
  </si>
  <si>
    <t>32348.7031.0401</t>
  </si>
  <si>
    <t>32348.7041.0401</t>
  </si>
  <si>
    <t>Seven Mile Beach Vehicle Permits</t>
  </si>
  <si>
    <t>Infrastructure Works</t>
  </si>
  <si>
    <t>Capital Expenditure</t>
  </si>
  <si>
    <t>Working Funds Checks</t>
  </si>
  <si>
    <t>Environmental Protection</t>
  </si>
  <si>
    <t>Wardell Water Control Valve</t>
  </si>
  <si>
    <t>35058.7981.0985</t>
  </si>
  <si>
    <t>35058.7984.0985</t>
  </si>
  <si>
    <t>35058.7985.0985</t>
  </si>
  <si>
    <t>Maternity Leave Conts - Centrelink</t>
  </si>
  <si>
    <t>Manager Reimbursements</t>
  </si>
  <si>
    <t>Live Well Work Well</t>
  </si>
  <si>
    <t>Airport Car Parking</t>
  </si>
  <si>
    <t>32285.5879.0401</t>
  </si>
  <si>
    <t xml:space="preserve">Audit Fees </t>
  </si>
  <si>
    <t>30023.8830.0401</t>
  </si>
  <si>
    <t>Miscellaneous Community Property Reserves</t>
  </si>
  <si>
    <t>35152.1160.0401</t>
  </si>
  <si>
    <t>10000.0101.0030</t>
  </si>
  <si>
    <t>50005.3803.0980</t>
  </si>
  <si>
    <t>Collectable</t>
  </si>
  <si>
    <t>Sundry Public Order (Busking)</t>
  </si>
  <si>
    <t>54002.0350.0419</t>
  </si>
  <si>
    <t>NOROC</t>
  </si>
  <si>
    <t>Beach Cleaning</t>
  </si>
  <si>
    <t>Interest on Overdue Rates and Charges</t>
  </si>
  <si>
    <t>Conferences and Seminars</t>
  </si>
  <si>
    <t>35145.8767.0401</t>
  </si>
  <si>
    <t>35145.8768.0401</t>
  </si>
  <si>
    <t>35145.0450.0401</t>
  </si>
  <si>
    <t>State Roads - Works Orders</t>
  </si>
  <si>
    <t>22200.4001.0270</t>
  </si>
  <si>
    <t>22200.4002.0116</t>
  </si>
  <si>
    <t>22200.4003.0116</t>
  </si>
  <si>
    <t>Description</t>
  </si>
  <si>
    <t>No.</t>
  </si>
  <si>
    <t>2015/2016</t>
  </si>
  <si>
    <t>Stormwater Drainage Maintenance</t>
  </si>
  <si>
    <t>Check (To Reserves s/sheet)</t>
  </si>
  <si>
    <t>Travelling Mayor</t>
  </si>
  <si>
    <t>Total - All Groups</t>
  </si>
  <si>
    <t>Library</t>
  </si>
  <si>
    <t>32200.0300.0300</t>
  </si>
  <si>
    <t>32200.0680.0740</t>
  </si>
  <si>
    <t>Community Infrastructure Reconciliation</t>
  </si>
  <si>
    <t>32270.0410.0635</t>
  </si>
  <si>
    <t>Investments</t>
  </si>
  <si>
    <t>Less Transfer to Reserves</t>
  </si>
  <si>
    <t>Fripp Oval</t>
  </si>
  <si>
    <t>Domestic Waste Management</t>
  </si>
  <si>
    <t>Depreciation - Airport</t>
  </si>
  <si>
    <t>21040.1642.0222</t>
  </si>
  <si>
    <t>Rental - ARC (50%)</t>
  </si>
  <si>
    <t>35110.0410.0635</t>
  </si>
  <si>
    <t>35115.0415.0690</t>
  </si>
  <si>
    <t>31000.0373.0601</t>
  </si>
  <si>
    <t>21040.1626.0091</t>
  </si>
  <si>
    <t>Public Pool Water Quality Inspections</t>
  </si>
  <si>
    <t>32001.0371.0501</t>
  </si>
  <si>
    <t>32020.0374.0640</t>
  </si>
  <si>
    <t>Sundry Office Administration</t>
  </si>
  <si>
    <t>32099.3064.0401</t>
  </si>
  <si>
    <t>SQIDS Ballina</t>
  </si>
  <si>
    <t>35021.7845.0405</t>
  </si>
  <si>
    <t>35021.7846.0405</t>
  </si>
  <si>
    <t>35021.7847.0420</t>
  </si>
  <si>
    <t>35021.7848.0985</t>
  </si>
  <si>
    <t>26040.7865.0146</t>
  </si>
  <si>
    <t>26040.7866.0146</t>
  </si>
  <si>
    <t>35030.0415.0690</t>
  </si>
  <si>
    <t>Quarries and Sandpit</t>
  </si>
  <si>
    <t>31020.0504.0347</t>
  </si>
  <si>
    <t>31040.0504.0347</t>
  </si>
  <si>
    <t>31082.0504.0347</t>
  </si>
  <si>
    <t>32020.0504.0347</t>
  </si>
  <si>
    <t>32260.0504.0347</t>
  </si>
  <si>
    <t>35000.0504.0347</t>
  </si>
  <si>
    <t>35020.0504.0347</t>
  </si>
  <si>
    <t>35040.0504.0347</t>
  </si>
  <si>
    <t>35050.0504.0347</t>
  </si>
  <si>
    <t>35150.0504.0347</t>
  </si>
  <si>
    <t>Add Back Depreciation</t>
  </si>
  <si>
    <t xml:space="preserve">Financial Assistance Grant </t>
  </si>
  <si>
    <t>Finished</t>
  </si>
  <si>
    <t>Sub Total - Other Land Sales</t>
  </si>
  <si>
    <t>4079.8693.0960</t>
  </si>
  <si>
    <t>IT Equipment</t>
  </si>
  <si>
    <t>4083.7921.0960</t>
  </si>
  <si>
    <t>Lake Ainsworth Env Trust Project</t>
  </si>
  <si>
    <t>32322.6422.0401</t>
  </si>
  <si>
    <t>32322.0300.0300</t>
  </si>
  <si>
    <t>Land Sale Proceeds</t>
  </si>
  <si>
    <t>2005/06</t>
  </si>
  <si>
    <t>2006/07</t>
  </si>
  <si>
    <t>2007/08</t>
  </si>
  <si>
    <t>10010.3510.0105</t>
  </si>
  <si>
    <t>2022/2023</t>
  </si>
  <si>
    <t>Funding Sources 2015/16</t>
  </si>
  <si>
    <t>35015.0450.0401</t>
  </si>
  <si>
    <t>Accident Pay to Employees Paid</t>
  </si>
  <si>
    <t>32312.6186.0401</t>
  </si>
  <si>
    <t>32312.6188.0401</t>
  </si>
  <si>
    <t xml:space="preserve">Waste Baler </t>
  </si>
  <si>
    <t xml:space="preserve">Landfill Closure </t>
  </si>
  <si>
    <t>Residential Properties</t>
  </si>
  <si>
    <t>26064.7811.0190</t>
  </si>
  <si>
    <t>32320.6701.0401</t>
  </si>
  <si>
    <t>30023.0410.0635</t>
  </si>
  <si>
    <t>Angels Bch C'way land Aq</t>
  </si>
  <si>
    <t>30023.2250.0401</t>
  </si>
  <si>
    <t>General Assumptions</t>
  </si>
  <si>
    <t>10010</t>
  </si>
  <si>
    <t>10000</t>
  </si>
  <si>
    <t>10004</t>
  </si>
  <si>
    <t>10003</t>
  </si>
  <si>
    <t>10011</t>
  </si>
  <si>
    <t>Public Risk and Plant</t>
  </si>
  <si>
    <t>22291.7228.0144</t>
  </si>
  <si>
    <t>22292.7249.0193</t>
  </si>
  <si>
    <t>Solid Waste Litter Control</t>
  </si>
  <si>
    <t>Alstonville</t>
  </si>
  <si>
    <t>Consultancies</t>
  </si>
  <si>
    <t>River Street / Riverwalk Arcade M &amp; R</t>
  </si>
  <si>
    <t>Comm Infra - Coastguard Tower</t>
  </si>
  <si>
    <t>Sale Animal Shelter</t>
  </si>
  <si>
    <t>New Animal Shelter</t>
  </si>
  <si>
    <t>4015.1670.0961</t>
  </si>
  <si>
    <t>12023.0940.0940</t>
  </si>
  <si>
    <t>32000.2251.0401</t>
  </si>
  <si>
    <t>35056.7971.0326</t>
  </si>
  <si>
    <t>54002.8945.0635</t>
  </si>
  <si>
    <t>54000.0300.0343</t>
  </si>
  <si>
    <t>54002.0450.0401</t>
  </si>
  <si>
    <t>54002.0350.0640</t>
  </si>
  <si>
    <t>54002.8946.0401</t>
  </si>
  <si>
    <t>10505.8966.0169</t>
  </si>
  <si>
    <t>26065.8531.0226</t>
  </si>
  <si>
    <t>26065.8532.0226</t>
  </si>
  <si>
    <t>Lease - 74 Tamar St</t>
  </si>
  <si>
    <t>Lease - 78 Tamar St</t>
  </si>
  <si>
    <t>Remediation - Unwinding PV's</t>
  </si>
  <si>
    <t>4087.8641.0960</t>
  </si>
  <si>
    <t>21060.1800.0145</t>
  </si>
  <si>
    <t>50005.3582.0325</t>
  </si>
  <si>
    <t>Russellton Rates</t>
  </si>
  <si>
    <t>Industrial Estates</t>
  </si>
  <si>
    <t>Add: Non-cash items - Unwinding Int free loan</t>
  </si>
  <si>
    <t>Maintenance Contractors</t>
  </si>
  <si>
    <t>Waste Removal</t>
  </si>
  <si>
    <t>Valuation Fees</t>
  </si>
  <si>
    <t>Councillor Elections from</t>
  </si>
  <si>
    <t>Telemetry Operations</t>
  </si>
  <si>
    <t>Educational Assistance Policy</t>
  </si>
  <si>
    <t>Maintenance</t>
  </si>
  <si>
    <t>Dog Control Collars</t>
  </si>
  <si>
    <t>26083.8678.0124</t>
  </si>
  <si>
    <t>Rangers - Uniforms</t>
  </si>
  <si>
    <t>Operating Expenses</t>
  </si>
  <si>
    <t>85000-002</t>
  </si>
  <si>
    <t>Lighting</t>
  </si>
  <si>
    <t>Reimbursements by RMS - Main Roads</t>
  </si>
  <si>
    <t>RMS Borrow Pit Aeration Pump</t>
  </si>
  <si>
    <t>Add Additional Transfer to Urban Roads Operations</t>
  </si>
  <si>
    <t>Add Additional Transfer to Urban Roads Maintenance</t>
  </si>
  <si>
    <t>Add Additional Transfer to Rural Road Reserve Operations</t>
  </si>
  <si>
    <t>Add Additional Transfer to Rural Road Sealed Mtce</t>
  </si>
  <si>
    <t>Add Additional Transfer to Gravel Roads Maintenance</t>
  </si>
  <si>
    <t>Add Additional Transfer to Street Sweeper</t>
  </si>
  <si>
    <t>Management Contract</t>
  </si>
  <si>
    <t>32300.6000.0401</t>
  </si>
  <si>
    <t>32350.7073.0401</t>
  </si>
  <si>
    <t>32350.7074.0401</t>
  </si>
  <si>
    <t>32340.0680.0746</t>
  </si>
  <si>
    <t>22290.0100.0040</t>
  </si>
  <si>
    <t>Oncosts Recouped - Internal Works</t>
  </si>
  <si>
    <t>Depreciation</t>
  </si>
  <si>
    <t>Reserves - Externally Restricted - Increase / (Decrease)</t>
  </si>
  <si>
    <t>2015/16</t>
  </si>
  <si>
    <t>32100.0570.0401</t>
  </si>
  <si>
    <t>32100.0571.0401</t>
  </si>
  <si>
    <t>32101.3080.0622</t>
  </si>
  <si>
    <t>Remainder Of Movement Area</t>
  </si>
  <si>
    <t>Loans</t>
  </si>
  <si>
    <t>Toilet Consumables</t>
  </si>
  <si>
    <t>Toilet Electricity</t>
  </si>
  <si>
    <t>32275.5621.0401</t>
  </si>
  <si>
    <t>32275.5622.0401</t>
  </si>
  <si>
    <t>Supervision Ballina Transfer Station</t>
  </si>
  <si>
    <t>Depreciation - Flat Rock</t>
  </si>
  <si>
    <t>Less Loan Interest and Principal Repayments</t>
  </si>
  <si>
    <t>32265.5382.0401</t>
  </si>
  <si>
    <t>32265.5383.0401</t>
  </si>
  <si>
    <t>30003.1020.0401</t>
  </si>
  <si>
    <t>32496.4279.0401</t>
  </si>
  <si>
    <t>32140.0435.0700</t>
  </si>
  <si>
    <t>32132.0680.0747</t>
  </si>
  <si>
    <t>32135.0680.0747</t>
  </si>
  <si>
    <t>Depreciation - Footpaths</t>
  </si>
  <si>
    <t>Bus Shelters</t>
  </si>
  <si>
    <t>32120.3270.0401</t>
  </si>
  <si>
    <t>32110.0680.0747</t>
  </si>
  <si>
    <t>32120.0945.0700</t>
  </si>
  <si>
    <t>32110.0945.0700</t>
  </si>
  <si>
    <t>Environmental Actions</t>
  </si>
  <si>
    <t>Street Lighting Subsidy</t>
  </si>
  <si>
    <t>35005.0330.0618</t>
  </si>
  <si>
    <t>35005.0330.0619</t>
  </si>
  <si>
    <t>26023.0100.0034</t>
  </si>
  <si>
    <t>26023.0100.0032</t>
  </si>
  <si>
    <t>26023.0100.0033</t>
  </si>
  <si>
    <t>55002.0350.0401</t>
  </si>
  <si>
    <t>Walsh's Park</t>
  </si>
  <si>
    <t>50102.3638.0647</t>
  </si>
  <si>
    <t>50102.3639.0647</t>
  </si>
  <si>
    <t>50102.3640.0647</t>
  </si>
  <si>
    <t>50102.3641.0647</t>
  </si>
  <si>
    <t>50102.3642.0647</t>
  </si>
  <si>
    <t>50101.3652.0401</t>
  </si>
  <si>
    <t>50101.3653.0401</t>
  </si>
  <si>
    <t>50101.3654.0401</t>
  </si>
  <si>
    <t>50101.3655.0401</t>
  </si>
  <si>
    <t>50107.3684.0401</t>
  </si>
  <si>
    <t>50107.3686.0401</t>
  </si>
  <si>
    <t>50110.3712.0401</t>
  </si>
  <si>
    <t>Working Capital</t>
  </si>
  <si>
    <t>35055.7963.0200</t>
  </si>
  <si>
    <t>Receivables</t>
  </si>
  <si>
    <t>Inventories</t>
  </si>
  <si>
    <t>Total Current Assets</t>
  </si>
  <si>
    <t>Non Current Assets</t>
  </si>
  <si>
    <t>Investment Property</t>
  </si>
  <si>
    <t>Total Non-Current Assets</t>
  </si>
  <si>
    <t>TOTAL ASSETS</t>
  </si>
  <si>
    <t>LIABILITIES</t>
  </si>
  <si>
    <t>Ballina Byron Gateway Airport</t>
  </si>
  <si>
    <t>35001.7522.0622</t>
  </si>
  <si>
    <t>Roadside Vendors Missingham Bridge</t>
  </si>
  <si>
    <t>Southern Cross Selling Costs</t>
  </si>
  <si>
    <t xml:space="preserve">Southern Cross Rates </t>
  </si>
  <si>
    <t>Roads &amp; Bridges</t>
  </si>
  <si>
    <t>Hill Park Estate</t>
  </si>
  <si>
    <t>Septic Waste Disposal Charge</t>
  </si>
  <si>
    <t>Interest Transferred From Postponed</t>
  </si>
  <si>
    <t>Waste Management</t>
  </si>
  <si>
    <t>Legal Expenses</t>
  </si>
  <si>
    <t>Repair Tree Damage to Private Property</t>
  </si>
  <si>
    <t>Sediment Erosion Kits</t>
  </si>
  <si>
    <t>Engineering Stores Unaccounted for</t>
  </si>
  <si>
    <t>2019/2020</t>
  </si>
  <si>
    <t>32340.0682.0703</t>
  </si>
  <si>
    <t>Remediation Depreciation</t>
  </si>
  <si>
    <t>32320.6397.0401</t>
  </si>
  <si>
    <t>32320.6398.0401</t>
  </si>
  <si>
    <t>32110.3228.0401</t>
  </si>
  <si>
    <t>32310.0415.0690</t>
  </si>
  <si>
    <t>32137.0415.0690</t>
  </si>
  <si>
    <t>Sub Total Gen Fund</t>
  </si>
  <si>
    <t>Water Dividend - Compulsory</t>
  </si>
  <si>
    <t>Sewer Dividend - Compulsory</t>
  </si>
  <si>
    <t>22270.6629.0110</t>
  </si>
  <si>
    <t>22270.6630.0110</t>
  </si>
  <si>
    <t>22270.6632.0110</t>
  </si>
  <si>
    <t>NON-CASH CONTRIBUTIONS</t>
  </si>
  <si>
    <t>35152.8848.0401</t>
  </si>
  <si>
    <t>30002.1170.0401</t>
  </si>
  <si>
    <t>7525.4882.0401</t>
  </si>
  <si>
    <t>Emergency Services</t>
  </si>
  <si>
    <t>ASSETS</t>
  </si>
  <si>
    <t>Current Assets</t>
  </si>
  <si>
    <t>Postage Security Mail</t>
  </si>
  <si>
    <t>Sewer from Capital S64</t>
  </si>
  <si>
    <t>Water from S64 Capital</t>
  </si>
  <si>
    <t>Parking Fines</t>
  </si>
  <si>
    <t>Complying Development</t>
  </si>
  <si>
    <t>26050.7935.0229</t>
  </si>
  <si>
    <t>State Valuation Office</t>
  </si>
  <si>
    <t>Telephone Council Calls Mechanics</t>
  </si>
  <si>
    <t>Commissions - State Tourism Data</t>
  </si>
  <si>
    <t>Operating Costs</t>
  </si>
  <si>
    <t xml:space="preserve">Capital Purchases </t>
  </si>
  <si>
    <t>State Roads Mtce and Improvements</t>
  </si>
  <si>
    <t>Recycling Bin Purchases</t>
  </si>
  <si>
    <t>2018/19</t>
  </si>
  <si>
    <t>Internal Charges</t>
  </si>
  <si>
    <t>Net Cash Result - Surplus / (Deficit)</t>
  </si>
  <si>
    <t>2017/18</t>
  </si>
  <si>
    <t>Maintenance - Sheds</t>
  </si>
  <si>
    <t xml:space="preserve">Electricity </t>
  </si>
  <si>
    <t>35051.7946.0300</t>
  </si>
  <si>
    <t>Section 94 Contributions</t>
  </si>
  <si>
    <t>Surplus / (Deficit) Before Disposal of Assets</t>
  </si>
  <si>
    <t>Gain on Disposal of Assets</t>
  </si>
  <si>
    <t>State Roads - Preservation</t>
  </si>
  <si>
    <t>Borrowing Costs</t>
  </si>
  <si>
    <t>Security for Departure Lounge</t>
  </si>
  <si>
    <t>Compliance Certificates</t>
  </si>
  <si>
    <t>Reg Certificate by PCA</t>
  </si>
  <si>
    <t>Waste Administration</t>
  </si>
  <si>
    <t>Security</t>
  </si>
  <si>
    <t>General Maintenance</t>
  </si>
  <si>
    <t>Plant Charged to Works</t>
  </si>
  <si>
    <t>Loan Funds Used</t>
  </si>
  <si>
    <t>22230.5240.0167</t>
  </si>
  <si>
    <t>35150.0680.0745</t>
  </si>
  <si>
    <t>26065.8526.0225</t>
  </si>
  <si>
    <t>Alstonville Leisure and Entertainment Centre</t>
  </si>
  <si>
    <t>SP2105 - Pump Upgrade</t>
  </si>
  <si>
    <t>SP3103 - Storage Capacity Upgrade</t>
  </si>
  <si>
    <t>Net Increase in Cash from Operations</t>
  </si>
  <si>
    <t>S64</t>
  </si>
  <si>
    <t>OPERATING EXPENSES</t>
  </si>
  <si>
    <t>Loss on Sale of Plant and Equipment</t>
  </si>
  <si>
    <t>10500.8901.0228</t>
  </si>
  <si>
    <t>10500.8901.0236</t>
  </si>
  <si>
    <t>10500.8902.0222</t>
  </si>
  <si>
    <t>10500.8900.0165</t>
  </si>
  <si>
    <t>10500.0190.0800</t>
  </si>
  <si>
    <t>10500.0120.0190</t>
  </si>
  <si>
    <t>Workshop Consumables</t>
  </si>
  <si>
    <t>Saunders Oval</t>
  </si>
  <si>
    <t>Crawford Park</t>
  </si>
  <si>
    <t>Geoff Watt Oval</t>
  </si>
  <si>
    <t>Airport Sandpit</t>
  </si>
  <si>
    <t>Extraordinary Inspections</t>
  </si>
  <si>
    <t>Solid Waste Fire Control</t>
  </si>
  <si>
    <t>31083.1969.0635</t>
  </si>
  <si>
    <t>31083.1966.0401</t>
  </si>
  <si>
    <t>31083.1969.0601</t>
  </si>
  <si>
    <t>31083.1969.0640</t>
  </si>
  <si>
    <t>31083.1967.0401</t>
  </si>
  <si>
    <t>31083.1968.0401</t>
  </si>
  <si>
    <t>26113.8748.0124</t>
  </si>
  <si>
    <t>35056.7971.0323</t>
  </si>
  <si>
    <t>35056.7971.0324</t>
  </si>
  <si>
    <t>35057.7976.0635</t>
  </si>
  <si>
    <t>35057.7979.0635</t>
  </si>
  <si>
    <t>35057.7977.0635</t>
  </si>
  <si>
    <t>First Funding - 2007/08 Special Variation</t>
  </si>
  <si>
    <t>Extra Funding - 2011/12 Special Variation</t>
  </si>
  <si>
    <t>35015.0375.0401</t>
  </si>
  <si>
    <t>32312.6156.0401</t>
  </si>
  <si>
    <t>32312.6160.0401</t>
  </si>
  <si>
    <t>Grant Library Subsidy</t>
  </si>
  <si>
    <t>Loans - Interest Charges (External)</t>
  </si>
  <si>
    <t>Metal Stockpiles</t>
  </si>
  <si>
    <t>General</t>
  </si>
  <si>
    <t>Sewer</t>
  </si>
  <si>
    <t>22231.5265.0270</t>
  </si>
  <si>
    <t>32325.0680.0752</t>
  </si>
  <si>
    <t>Green St</t>
  </si>
  <si>
    <t>Pumping Stations</t>
  </si>
  <si>
    <t>Interest on Overdue Charges</t>
  </si>
  <si>
    <t>35031.0435.0700</t>
  </si>
  <si>
    <t>Effluent Waste Water Testing</t>
  </si>
  <si>
    <t>Operating Result (incl. Dep)</t>
  </si>
  <si>
    <t>Waste Injured Workers Rehabilitation</t>
  </si>
  <si>
    <t>BUDGET ITEMS</t>
  </si>
  <si>
    <t xml:space="preserve"> </t>
  </si>
  <si>
    <t>ESTIMATED</t>
  </si>
  <si>
    <t>Wollongbar Urban Expansion Area (WUEA)</t>
  </si>
  <si>
    <t>Wollongbar Link Road</t>
  </si>
  <si>
    <t>Roads Plan</t>
  </si>
  <si>
    <t>Employee Costs - IT and GIS</t>
  </si>
  <si>
    <t>Abandoned Interest</t>
  </si>
  <si>
    <t>Interest Transferred To Postponed</t>
  </si>
  <si>
    <t>Operators Wages</t>
  </si>
  <si>
    <t>22281.6777.0190</t>
  </si>
  <si>
    <t>Contingency - Wollongbar</t>
  </si>
  <si>
    <t>OPERATING RESULT &amp; FUNDS MOVEMENT</t>
  </si>
  <si>
    <t>Revenues</t>
  </si>
  <si>
    <t>Expenses</t>
  </si>
  <si>
    <t>Water - Loan Principal and Interest Repayments - Ten Year Forward Plan</t>
  </si>
  <si>
    <t>Term</t>
  </si>
  <si>
    <t>Rate</t>
  </si>
  <si>
    <t>Amount</t>
  </si>
  <si>
    <t>1998.4369.0401</t>
  </si>
  <si>
    <t>35125.4141.0401</t>
  </si>
  <si>
    <t>35125.4142.0401</t>
  </si>
  <si>
    <t>35125.4143.0401</t>
  </si>
  <si>
    <t>35125.4144.0647</t>
  </si>
  <si>
    <t>Capital - General Revenue Funded</t>
  </si>
  <si>
    <t>Add Teven Loan</t>
  </si>
  <si>
    <t>Maintenance and Repairs</t>
  </si>
  <si>
    <t>Indirect Expenses</t>
  </si>
  <si>
    <t>Less Grants and Contributions - Capital</t>
  </si>
  <si>
    <t>Section 64 Levies Applied</t>
  </si>
  <si>
    <t>Equity Movements</t>
  </si>
  <si>
    <t>North Wall Lights</t>
  </si>
  <si>
    <t xml:space="preserve">Farmland </t>
  </si>
  <si>
    <t>Banking</t>
  </si>
  <si>
    <t>32285.0531.0647</t>
  </si>
  <si>
    <t>32285.0680.0745</t>
  </si>
  <si>
    <t>22250.5973.0119</t>
  </si>
  <si>
    <t>Airport Signs</t>
  </si>
  <si>
    <t>Grants</t>
  </si>
  <si>
    <t>Capital Contributions</t>
  </si>
  <si>
    <t>Human Resources and Risk Management</t>
  </si>
  <si>
    <t>32312.6196.0401</t>
  </si>
  <si>
    <t>32312.6198.0401</t>
  </si>
  <si>
    <t>32312.6201.0401</t>
  </si>
  <si>
    <t>32312.6203.0401</t>
  </si>
  <si>
    <t>32348.7021.0401</t>
  </si>
  <si>
    <t>22231.5267.0091</t>
  </si>
  <si>
    <t>Regional Sports Centre</t>
  </si>
  <si>
    <t>Ballina Surf Club</t>
  </si>
  <si>
    <t xml:space="preserve">Sub Total </t>
  </si>
  <si>
    <t>Rangers</t>
  </si>
  <si>
    <t>Turf Farm Rental</t>
  </si>
  <si>
    <t>Burns Point Ferry</t>
  </si>
  <si>
    <t>35150.8831.0401</t>
  </si>
  <si>
    <t>35150.0450.0401</t>
  </si>
  <si>
    <t>35150.8832.0401</t>
  </si>
  <si>
    <t>Heavy Vehicles - Teven Bridge Loan</t>
  </si>
  <si>
    <t>Fleet Management - Fees and Charges</t>
  </si>
  <si>
    <t>Software and Consumables</t>
  </si>
  <si>
    <t>Overheads and Debt Servicing</t>
  </si>
  <si>
    <t>Information Services</t>
  </si>
  <si>
    <t>Staff Amenities</t>
  </si>
  <si>
    <t>Civil</t>
  </si>
  <si>
    <t>Cash Surplus / (Deficit)</t>
  </si>
  <si>
    <t>26050.7943.0167</t>
  </si>
  <si>
    <t>Contributions - Training</t>
  </si>
  <si>
    <t>32000.0425.0401</t>
  </si>
  <si>
    <t>32000.0420.0401</t>
  </si>
  <si>
    <t>26065.8530.0225</t>
  </si>
  <si>
    <t>26100.4115.0135</t>
  </si>
  <si>
    <t>21020.1457.0062</t>
  </si>
  <si>
    <t>21020.1458.0062</t>
  </si>
  <si>
    <t>32001.2270.0340</t>
  </si>
  <si>
    <t>55004.4758.0422</t>
  </si>
  <si>
    <t>55004.4782.0401</t>
  </si>
  <si>
    <t>Roads Bridges Footpaths</t>
  </si>
  <si>
    <t xml:space="preserve">Town Centres </t>
  </si>
  <si>
    <t>Loss from Disposal of Assets</t>
  </si>
  <si>
    <t>Reserves</t>
  </si>
  <si>
    <t>Regional Roads</t>
  </si>
  <si>
    <t>Animal Surrender Fee</t>
  </si>
  <si>
    <t>TOTAL - ALL PROGRAMS - Surplus / ( Shortfall)</t>
  </si>
  <si>
    <t>Capital Budgets and Special Rates</t>
  </si>
  <si>
    <t>35111.0435.0700</t>
  </si>
  <si>
    <t>Rates and Annual Charges</t>
  </si>
  <si>
    <t>Regulatory Fees and Fines</t>
  </si>
  <si>
    <t>Promotion</t>
  </si>
  <si>
    <t>Builders Compliance Fees</t>
  </si>
  <si>
    <t>Administration and Customer Service</t>
  </si>
  <si>
    <t>Exhibitions</t>
  </si>
  <si>
    <t>Other Leave</t>
  </si>
  <si>
    <t>Road Plan - Previous</t>
  </si>
  <si>
    <t>Sub Total Roads Plan</t>
  </si>
  <si>
    <t>Sub Total Heavy Vehicles</t>
  </si>
  <si>
    <t>Comm Infra - ARC (50%) Rental</t>
  </si>
  <si>
    <t>Skennars Head</t>
  </si>
  <si>
    <t>Cawarra Park</t>
  </si>
  <si>
    <t>Add Transfer from Reserves</t>
  </si>
  <si>
    <t>SWIMMING POOLS</t>
  </si>
  <si>
    <t>Contractual Charges</t>
  </si>
  <si>
    <t>Trunk Mains</t>
  </si>
  <si>
    <t>Ancillary Transport Facilities</t>
  </si>
  <si>
    <t>Applied to;</t>
  </si>
  <si>
    <t>Telephone Ranger</t>
  </si>
  <si>
    <t>32118.3460.0401</t>
  </si>
  <si>
    <t>35015.7729.0601</t>
  </si>
  <si>
    <t>54000.8922.0324</t>
  </si>
  <si>
    <t>21020.1456.0062</t>
  </si>
  <si>
    <t>Revolving Energy Fund</t>
  </si>
  <si>
    <t>Commissions - Fishing Licences</t>
  </si>
  <si>
    <t>35001.7514.0622</t>
  </si>
  <si>
    <t>35001.7516.0622</t>
  </si>
  <si>
    <t>35001.7518.0622</t>
  </si>
  <si>
    <t>Waste Management Business Recycling</t>
  </si>
  <si>
    <t>Drug &amp; Alcohol Management</t>
  </si>
  <si>
    <t>Electric BBQ's M &amp; R</t>
  </si>
  <si>
    <t>32331.0415.0690</t>
  </si>
  <si>
    <t>Add Expenses Not Involving a Flow of Funds</t>
  </si>
  <si>
    <t>2100.1667.0401</t>
  </si>
  <si>
    <t>26100.4116.0135</t>
  </si>
  <si>
    <t>26100.4106.0135</t>
  </si>
  <si>
    <t>26100.4112.0135</t>
  </si>
  <si>
    <t>26100.4113.0135</t>
  </si>
  <si>
    <t>26100.4114.0221</t>
  </si>
  <si>
    <t>Materials and Contracts</t>
  </si>
  <si>
    <t>User Charges and Fees</t>
  </si>
  <si>
    <t>Add Additional Transfer to Main Street Cleaning - Ballina</t>
  </si>
  <si>
    <t>Roads and Bridges - Maintenance</t>
  </si>
  <si>
    <t>32000.0680.0741</t>
  </si>
  <si>
    <t>Weighbridge</t>
  </si>
  <si>
    <t>32001.2253.0401</t>
  </si>
  <si>
    <t>32001.2254.0401</t>
  </si>
  <si>
    <t>26061.8516.0226</t>
  </si>
  <si>
    <t>Depreciation - Tourism</t>
  </si>
  <si>
    <t>Tree Lopping Urban Street Trees</t>
  </si>
  <si>
    <t>Aviation Security Card</t>
  </si>
  <si>
    <t>22151.4211.0235</t>
  </si>
  <si>
    <t>Wigmore Electricity</t>
  </si>
  <si>
    <t>Contra</t>
  </si>
  <si>
    <t>Wharves &amp; Jetties</t>
  </si>
  <si>
    <t>32312.6178.0401</t>
  </si>
  <si>
    <t>Total Water Consumption Non-Residential (KLs)</t>
  </si>
  <si>
    <t>Total All Funds</t>
  </si>
  <si>
    <t>Rezonings Res</t>
  </si>
  <si>
    <t>RESERVE BALANCES - GENERAL FUND (cont'd)</t>
  </si>
  <si>
    <t>Sporting Grounds Operational Expenses</t>
  </si>
  <si>
    <t>26122.8820.0231</t>
  </si>
  <si>
    <t>26122.8821.0231</t>
  </si>
  <si>
    <t>Wollongbar Link Road  (Sec 94)</t>
  </si>
  <si>
    <t>Hutley Drive (Sec 94)</t>
  </si>
  <si>
    <t xml:space="preserve">Kentwell Community Centre </t>
  </si>
  <si>
    <t>Overheads - Commercial Properties</t>
  </si>
  <si>
    <t>32278.5698.0401</t>
  </si>
  <si>
    <t>32286.5902.0401</t>
  </si>
  <si>
    <t>Megan Crescent</t>
  </si>
  <si>
    <t>Cawley Park</t>
  </si>
  <si>
    <t>Lyle Park</t>
  </si>
  <si>
    <t>89 Tamar St Rates</t>
  </si>
  <si>
    <t>22284.6843.0169</t>
  </si>
  <si>
    <t>22282.6797.0270</t>
  </si>
  <si>
    <t>22282.6799.0223</t>
  </si>
  <si>
    <t>Property Dividend</t>
  </si>
  <si>
    <t>Hanger Site Rentals</t>
  </si>
  <si>
    <t>Administration Charges</t>
  </si>
  <si>
    <t>Developer Contributions - Number of Lots PA #</t>
  </si>
  <si>
    <t>Developer Contributions - Average Lot Charge $</t>
  </si>
  <si>
    <t>Increase in Charge Per Lot %</t>
  </si>
  <si>
    <t>Water Reserves</t>
  </si>
  <si>
    <t>Developer Contributions - Section 64</t>
  </si>
  <si>
    <t>Reservoirs - Pacific Pines</t>
  </si>
  <si>
    <t>Russellton Industrial Estate</t>
  </si>
  <si>
    <t>Collection Recycling</t>
  </si>
  <si>
    <t>TOTAL LIABILITIES</t>
  </si>
  <si>
    <t>Net Assets</t>
  </si>
  <si>
    <t>EQUITY</t>
  </si>
  <si>
    <t xml:space="preserve">Legal Costs Recovered </t>
  </si>
  <si>
    <t xml:space="preserve">Profit on Sale of Assets </t>
  </si>
  <si>
    <t>Legal Costs Recovered</t>
  </si>
  <si>
    <t>32360.0680.0740</t>
  </si>
  <si>
    <t>54000.8922.0323</t>
  </si>
  <si>
    <t>Rentals</t>
  </si>
  <si>
    <t>Security Recouped</t>
  </si>
  <si>
    <t>Sub Total - Airport</t>
  </si>
  <si>
    <t>Apron Extension</t>
  </si>
  <si>
    <t>2350.</t>
  </si>
  <si>
    <t>Rural Stickers Used at Weighbridge</t>
  </si>
  <si>
    <t>21020.1459.0062</t>
  </si>
  <si>
    <t>21020.1460.0062</t>
  </si>
  <si>
    <t>21020.1463.0062</t>
  </si>
  <si>
    <t>21020.1464.0062</t>
  </si>
  <si>
    <t>21020.1465.0062</t>
  </si>
  <si>
    <t>35040.7903.0401</t>
  </si>
  <si>
    <t>26050.7938.0167</t>
  </si>
  <si>
    <t>26050.7937.0167</t>
  </si>
  <si>
    <t>Entrance Fees</t>
  </si>
  <si>
    <t>2021.3401.0401</t>
  </si>
  <si>
    <t>2023.3401.0401</t>
  </si>
  <si>
    <t>2022.3401.0401</t>
  </si>
  <si>
    <t>2024.4375.0401</t>
  </si>
  <si>
    <t>4575.7670.0961</t>
  </si>
  <si>
    <t>Depreciation - Drainage</t>
  </si>
  <si>
    <t>Total Non cash</t>
  </si>
  <si>
    <t xml:space="preserve">Total </t>
  </si>
  <si>
    <t>Interest On Loans</t>
  </si>
  <si>
    <t>26120.8814.0235</t>
  </si>
  <si>
    <t>26120.8815.0235</t>
  </si>
  <si>
    <t>35150.0300.0300</t>
  </si>
  <si>
    <t>32275.5625.0401</t>
  </si>
  <si>
    <t>32320.6394.0417</t>
  </si>
  <si>
    <t>32320.6392.0315</t>
  </si>
  <si>
    <t>Statecover Workers Comp Refund</t>
  </si>
  <si>
    <t>DOMESTIC WASTE MANAGEMENT</t>
  </si>
  <si>
    <t>32348.7032.0401</t>
  </si>
  <si>
    <t>50005.7728.0601</t>
  </si>
  <si>
    <t>55002.7728.0601</t>
  </si>
  <si>
    <t>Office Administration</t>
  </si>
  <si>
    <t>32320.2271.0401</t>
  </si>
  <si>
    <t>Fuel System Monitoring</t>
  </si>
  <si>
    <t>Commercial Properties - Insurance</t>
  </si>
  <si>
    <t>Collection Other</t>
  </si>
  <si>
    <t>1998.4394.0401</t>
  </si>
  <si>
    <t>New All Assets</t>
  </si>
  <si>
    <t>Renewals (Bld &amp; Infrastr only)</t>
  </si>
  <si>
    <t>22110.5207.0165</t>
  </si>
  <si>
    <t>32262.5373.0401</t>
  </si>
  <si>
    <t>Storm Damage</t>
  </si>
  <si>
    <t>32312.6174.0401</t>
  </si>
  <si>
    <t>32100.0680.0748</t>
  </si>
  <si>
    <t>26045.7895.0138</t>
  </si>
  <si>
    <t>35040.0300.0300</t>
  </si>
  <si>
    <t>22260.6372.0270</t>
  </si>
  <si>
    <t>Cemeteries - Operations</t>
  </si>
  <si>
    <t>Water Access Charge %</t>
  </si>
  <si>
    <t>Quays Reserve</t>
  </si>
  <si>
    <t>Chickiba Oval</t>
  </si>
  <si>
    <t>35015.7728.0601</t>
  </si>
  <si>
    <t>Loan</t>
  </si>
  <si>
    <t>Reserves - Balances as at 30 June</t>
  </si>
  <si>
    <t>35079.0530.0401</t>
  </si>
  <si>
    <t>Cash Result after Capital Movements</t>
  </si>
  <si>
    <t>50005.0316.0341</t>
  </si>
  <si>
    <t>50005.0328.0343</t>
  </si>
  <si>
    <t>55002.0316.0341</t>
  </si>
  <si>
    <t>35000.0376.0419</t>
  </si>
  <si>
    <t>35000.4758.0422</t>
  </si>
  <si>
    <t>35031.0374.0640</t>
  </si>
  <si>
    <t>35030.0410.0635</t>
  </si>
  <si>
    <t>35031.4144.0647</t>
  </si>
  <si>
    <t>35150.0371.0501</t>
  </si>
  <si>
    <t>35150.0372.0600</t>
  </si>
  <si>
    <t>35150.0410.0635</t>
  </si>
  <si>
    <t>35150.0374.0640</t>
  </si>
  <si>
    <t>35150.4144.0647</t>
  </si>
  <si>
    <t>35150.0380.0613</t>
  </si>
  <si>
    <t>35076.0410.0635</t>
  </si>
  <si>
    <t>35076.4144.0647</t>
  </si>
  <si>
    <t>35080.0410.0635</t>
  </si>
  <si>
    <t>35082.0410.0635</t>
  </si>
  <si>
    <t>35077.0410.0635</t>
  </si>
  <si>
    <t>35100.0410.0635</t>
  </si>
  <si>
    <t>35107.0410.0635</t>
  </si>
  <si>
    <t>35108.0410.0635</t>
  </si>
  <si>
    <t>Grants / Conts</t>
  </si>
  <si>
    <t>Road and Traffic Signs</t>
  </si>
  <si>
    <t>Retained Earnings</t>
  </si>
  <si>
    <t>Water Operations</t>
  </si>
  <si>
    <t>Section 94 Recoupments</t>
  </si>
  <si>
    <t>Donations - Rates and Charges</t>
  </si>
  <si>
    <t>26080.8672.0124</t>
  </si>
  <si>
    <t>26064.7806.0190</t>
  </si>
  <si>
    <t>31040.0373.0601</t>
  </si>
  <si>
    <t>31083.1969.0613</t>
  </si>
  <si>
    <t>Add Additional Transfer to Main Street Cleaning - Alstonville</t>
  </si>
  <si>
    <t>Less Saving for Above Due to Reduction in Paved Footpaths</t>
  </si>
  <si>
    <t>Less Reduced Transfer to Rural Road Sealed Operations</t>
  </si>
  <si>
    <t>Less Reduced Transfer to Gravel Roads Operations</t>
  </si>
  <si>
    <t>32325.0980.0980</t>
  </si>
  <si>
    <t>32325.0680.0745</t>
  </si>
  <si>
    <t>32326.0450.0401</t>
  </si>
  <si>
    <t>32326.6566.0647</t>
  </si>
  <si>
    <t>Telephone Mobile Hardware</t>
  </si>
  <si>
    <t>Telephone Mobile Calls</t>
  </si>
  <si>
    <t>35150.8833.0401</t>
  </si>
  <si>
    <t>Submission Incidentals</t>
  </si>
  <si>
    <t>Reconciliation</t>
  </si>
  <si>
    <t>Footpath Funding Reconciliation</t>
  </si>
  <si>
    <t>Comm Infra - Fawcett Cafe Costs</t>
  </si>
  <si>
    <t>4091.8703.0960</t>
  </si>
  <si>
    <t>4591.8655.0961</t>
  </si>
  <si>
    <t>4591.8684.0961</t>
  </si>
  <si>
    <t>4091.8694.0960</t>
  </si>
  <si>
    <t>Other Water Transport</t>
  </si>
  <si>
    <t>Property Management</t>
  </si>
  <si>
    <t>Roads, Bridges and Footpaths</t>
  </si>
  <si>
    <t>Re-use Concrete Crushing</t>
  </si>
  <si>
    <t>Charge</t>
  </si>
  <si>
    <t>22231.5263.0138</t>
  </si>
  <si>
    <t>22100.2950.0044</t>
  </si>
  <si>
    <t>22101.2955.0166</t>
  </si>
  <si>
    <t>32322.0328.0343</t>
  </si>
  <si>
    <t>31080.0328.0343</t>
  </si>
  <si>
    <t>31040.0328.0343</t>
  </si>
  <si>
    <t>Stormwater Drainage</t>
  </si>
  <si>
    <t>32262.5343.0300</t>
  </si>
  <si>
    <t>Property Investigations</t>
  </si>
  <si>
    <t>Council Controlled - Crown Reserves</t>
  </si>
  <si>
    <t>Depreciation - Dog Control</t>
  </si>
  <si>
    <t>Office Expenses</t>
  </si>
  <si>
    <t>54000.8922.0326</t>
  </si>
  <si>
    <t>54000.8923.0401</t>
  </si>
  <si>
    <t>Air Conditioning</t>
  </si>
  <si>
    <t>21042.1643.0138</t>
  </si>
  <si>
    <t>54000.0300.0345</t>
  </si>
  <si>
    <t>Residential Properties - Sundries</t>
  </si>
  <si>
    <t>Comm Infra - Twn Centre Loans</t>
  </si>
  <si>
    <t>Detailed and Summary Check - General Fund Activities</t>
  </si>
  <si>
    <t>Regional Works Crew Nursery</t>
  </si>
  <si>
    <t>Councillor Election</t>
  </si>
  <si>
    <t>Jury Duty</t>
  </si>
  <si>
    <t>Meter Reading</t>
  </si>
  <si>
    <t>Hire of Dog Collar</t>
  </si>
  <si>
    <t>Bridges Rural Sealed</t>
  </si>
  <si>
    <t>Road Signs Vandalism</t>
  </si>
  <si>
    <t>32260.0300.0300</t>
  </si>
  <si>
    <t>26082.8676.0124</t>
  </si>
  <si>
    <t>Residential Connections #</t>
  </si>
  <si>
    <t>Vacant Properties #</t>
  </si>
  <si>
    <t>Growth Rate for Residential Connections %</t>
  </si>
  <si>
    <t>Water - Annual Access Charge $</t>
  </si>
  <si>
    <t>Water - Consumption Charges (&lt; 350) $</t>
  </si>
  <si>
    <t>Water - Consumption Charges (&gt; 350) $</t>
  </si>
  <si>
    <t>Total Water Consumption Residential (KLs)</t>
  </si>
  <si>
    <t>Average Consumption Per Res Connection (KL)</t>
  </si>
  <si>
    <t>Water Usage &gt; 350 Residential %</t>
  </si>
  <si>
    <t>35084</t>
  </si>
  <si>
    <t>35085</t>
  </si>
  <si>
    <t>Operating Reserve to</t>
  </si>
  <si>
    <t>Lighting Inspections</t>
  </si>
  <si>
    <t>Internally Restricted</t>
  </si>
  <si>
    <t>Insurance Buildings</t>
  </si>
  <si>
    <t>State Highways Routine Maintenance</t>
  </si>
  <si>
    <t>32320.0680.0740</t>
  </si>
  <si>
    <t>35110.0350.0401</t>
  </si>
  <si>
    <t>35110.0425.0401</t>
  </si>
  <si>
    <t>Event Contributions</t>
  </si>
  <si>
    <t>OPERATING RESULTS</t>
  </si>
  <si>
    <t>35078.0530.0401</t>
  </si>
  <si>
    <t>35077.8574.0401</t>
  </si>
  <si>
    <t>35077.8575.0401</t>
  </si>
  <si>
    <t>35077.2250.0401</t>
  </si>
  <si>
    <t>35076.8601.0980</t>
  </si>
  <si>
    <t>Section 603 Certificates</t>
  </si>
  <si>
    <t>Package (Certificates / Inspections)</t>
  </si>
  <si>
    <t>Principal</t>
  </si>
  <si>
    <t>Total Operating Revenues</t>
  </si>
  <si>
    <t>32330.6649.0401</t>
  </si>
  <si>
    <t>Total Capital Expenditure</t>
  </si>
  <si>
    <t>32020.2445.0401</t>
  </si>
  <si>
    <t>32001.2446.0655</t>
  </si>
  <si>
    <t>Wollongbar Residential Estate</t>
  </si>
  <si>
    <t>Southern Cross Industrial Estate</t>
  </si>
  <si>
    <t>32344.6929.0401</t>
  </si>
  <si>
    <t>32344.6930.0401</t>
  </si>
  <si>
    <t>32344.6940.0401</t>
  </si>
  <si>
    <t>32345.6991.0401</t>
  </si>
  <si>
    <t>32345.6992.0401</t>
  </si>
  <si>
    <t>32345.6994.0300</t>
  </si>
  <si>
    <t>32345.6991.0647</t>
  </si>
  <si>
    <t>32345.6995.0401</t>
  </si>
  <si>
    <t>32345.6997.0401</t>
  </si>
  <si>
    <t>32345.6998.0401</t>
  </si>
  <si>
    <t>Trade Waste</t>
  </si>
  <si>
    <t>(Reserve movements carried forward on following page)</t>
  </si>
  <si>
    <t>35005.0330.0501</t>
  </si>
  <si>
    <t>22115.3338.0940</t>
  </si>
  <si>
    <t xml:space="preserve">Ballina Flood Study and Mgmt Plan </t>
  </si>
  <si>
    <t>35015.7720.0640</t>
  </si>
  <si>
    <t>35015.7722.0640</t>
  </si>
  <si>
    <t>35015.7723.0640</t>
  </si>
  <si>
    <t>35015.0372.0600</t>
  </si>
  <si>
    <t>35015.0371.0501</t>
  </si>
  <si>
    <t>35015.0373.0601</t>
  </si>
  <si>
    <t>30000.0328.0343</t>
  </si>
  <si>
    <t>30000.0373.0601</t>
  </si>
  <si>
    <t>35110.4144.0647</t>
  </si>
  <si>
    <t>32340.0680.0751</t>
  </si>
  <si>
    <t>2021/2022</t>
  </si>
  <si>
    <t>Interest On investments</t>
  </si>
  <si>
    <t>Depot Other Costs</t>
  </si>
  <si>
    <t>31020.0328.0343</t>
  </si>
  <si>
    <t>31000.0328.0343</t>
  </si>
  <si>
    <t>32020.0328.0343</t>
  </si>
  <si>
    <t>Sundry Other Income</t>
  </si>
  <si>
    <t>12014.4520.0235</t>
  </si>
  <si>
    <t>26120.8818.0235</t>
  </si>
  <si>
    <t>35084.8689.0401</t>
  </si>
  <si>
    <t>32348.7025.0401</t>
  </si>
  <si>
    <t>32348.7026.0401</t>
  </si>
  <si>
    <t>32348.7027.0401</t>
  </si>
  <si>
    <t>32348.7028.0401</t>
  </si>
  <si>
    <t>32348.7029.0401</t>
  </si>
  <si>
    <t>Certificates</t>
  </si>
  <si>
    <t>Precinct 4 Angels Beach</t>
  </si>
  <si>
    <t>54000.0300.0340</t>
  </si>
  <si>
    <t>54000.8924.0980</t>
  </si>
  <si>
    <t>Operation Costs</t>
  </si>
  <si>
    <t>32262.5344.0300</t>
  </si>
  <si>
    <t>5000.2100.0945</t>
  </si>
  <si>
    <t>Unsealed Rural Roads - Maintenance</t>
  </si>
  <si>
    <t>Precinct 1 Seven Mile Beach</t>
  </si>
  <si>
    <t>26100.4109.0135</t>
  </si>
  <si>
    <t>Totals</t>
  </si>
  <si>
    <t>LEDGER</t>
  </si>
  <si>
    <t>ACCOUNT</t>
  </si>
  <si>
    <t>89 Tamar St Lift Maintenance</t>
  </si>
  <si>
    <t>89 Tamar St Air Conditioning</t>
  </si>
  <si>
    <t>Community Connect</t>
  </si>
  <si>
    <t>Stormwater Upgrades</t>
  </si>
  <si>
    <t xml:space="preserve">Urban Lanes </t>
  </si>
  <si>
    <t xml:space="preserve">Printing and Stationery </t>
  </si>
  <si>
    <t>Interest</t>
  </si>
  <si>
    <t>Plant Operations</t>
  </si>
  <si>
    <t>Regional Road 545 Operations</t>
  </si>
  <si>
    <t>Regional Road 545 Maintenance</t>
  </si>
  <si>
    <t>32243.3464.0401</t>
  </si>
  <si>
    <t>Regional Road 7734 Operations</t>
  </si>
  <si>
    <t>Special Rubbish Clean-Ups</t>
  </si>
  <si>
    <t>Telephone Weighbridge</t>
  </si>
  <si>
    <t>CIVIL SERVICES</t>
  </si>
  <si>
    <t>2338.6299.0401</t>
  </si>
  <si>
    <t>OPEN SPACES AND RESERVES</t>
  </si>
  <si>
    <t>FLEET AND PLANT</t>
  </si>
  <si>
    <t>35162.0350.0613</t>
  </si>
  <si>
    <t xml:space="preserve">Sundry Fees </t>
  </si>
  <si>
    <t>Non-Cash Expenses</t>
  </si>
  <si>
    <t>10011.3526.0235</t>
  </si>
  <si>
    <t>32326.6568.0401</t>
  </si>
  <si>
    <t>Sub Total Community Facilities</t>
  </si>
  <si>
    <t>Sub Total Open Spaces</t>
  </si>
  <si>
    <t>Other Capital Grants to Reserve</t>
  </si>
  <si>
    <t>Travelling Expenses</t>
  </si>
  <si>
    <t>22012.2438.0191</t>
  </si>
  <si>
    <t>4043.3353.0960</t>
  </si>
  <si>
    <t>26028.7814.0091</t>
  </si>
  <si>
    <t>26028.7815.0138</t>
  </si>
  <si>
    <t>54002.0680.0801</t>
  </si>
  <si>
    <t>54002.0680.0740</t>
  </si>
  <si>
    <t>Building Services</t>
  </si>
  <si>
    <t>4043.3341.0960</t>
  </si>
  <si>
    <t>4043.3355.0960</t>
  </si>
  <si>
    <t>4043.3340.0960</t>
  </si>
  <si>
    <t>4054.5508.0960</t>
  </si>
  <si>
    <t>35030.0420.0401</t>
  </si>
  <si>
    <t>Purchase of Water Rous CC Alstonville</t>
  </si>
  <si>
    <t>General Manager's Office</t>
  </si>
  <si>
    <t>Interest on Loans - Urban Roads</t>
  </si>
  <si>
    <t>Election Expenses</t>
  </si>
  <si>
    <t>CEMETERIES</t>
  </si>
  <si>
    <t>Regional Roads Block Grant</t>
  </si>
  <si>
    <t>Administration and Public Order</t>
  </si>
  <si>
    <t>Water Testing - Lake Ainsworth</t>
  </si>
  <si>
    <t>Bubble Aerator - Lake Ainsworth</t>
  </si>
  <si>
    <t>MGB Kerbside Collection Rural</t>
  </si>
  <si>
    <t>Diesel Fuel Rebate</t>
  </si>
  <si>
    <t>Forklift M &amp; R</t>
  </si>
  <si>
    <t>Interest On Loans Library</t>
  </si>
  <si>
    <t>Auto Doors &amp; Lift M &amp; R</t>
  </si>
  <si>
    <t>Capital Grants and Contributions</t>
  </si>
  <si>
    <t>Williams Reserve</t>
  </si>
  <si>
    <t>Gum Creek Pumping Station</t>
  </si>
  <si>
    <t>Sundry</t>
  </si>
  <si>
    <t xml:space="preserve">Section 64 Contributions </t>
  </si>
  <si>
    <t>35005.7540.0401</t>
  </si>
  <si>
    <t>Repaid</t>
  </si>
  <si>
    <t>22010.2421.0138</t>
  </si>
  <si>
    <t>22010.2424.0138</t>
  </si>
  <si>
    <t>22010.2426.0138</t>
  </si>
  <si>
    <t>22011.2427.0167</t>
  </si>
  <si>
    <t>Current Liabilities to Rest Assets</t>
  </si>
  <si>
    <t>30021.1157.0401</t>
  </si>
  <si>
    <t>31082.0300.0300</t>
  </si>
  <si>
    <t>General Revenue</t>
  </si>
  <si>
    <t>Telephone Airport</t>
  </si>
  <si>
    <t>35145.0410.0635</t>
  </si>
  <si>
    <t>35145.0374.0640</t>
  </si>
  <si>
    <t>35125.0374.0640</t>
  </si>
  <si>
    <t>35115.4144.0647</t>
  </si>
  <si>
    <t>35162.0373.0601</t>
  </si>
  <si>
    <t>35162.4144.0647</t>
  </si>
  <si>
    <t>35162.0375.0527</t>
  </si>
  <si>
    <t>35162.0410.0635</t>
  </si>
  <si>
    <t>35162.0372.0600</t>
  </si>
  <si>
    <t>35162.0374.0640</t>
  </si>
  <si>
    <t>21080.1950.0222</t>
  </si>
  <si>
    <t>Rates Abandoned Farmland</t>
  </si>
  <si>
    <t>22281.6767.0226</t>
  </si>
  <si>
    <t>22281.6775.0233</t>
  </si>
  <si>
    <t>55004.4781.0401</t>
  </si>
  <si>
    <t>55002.4583.0980</t>
  </si>
  <si>
    <t>55006.0435.0700</t>
  </si>
  <si>
    <t>12010.4514.0103</t>
  </si>
  <si>
    <t>12010.4510.0103</t>
  </si>
  <si>
    <t>12010.4512.0103</t>
  </si>
  <si>
    <t>12010.4513.0103</t>
  </si>
  <si>
    <t>12012.4526.0091</t>
  </si>
  <si>
    <t>32200.0415.0690</t>
  </si>
  <si>
    <t>32200.4017.0401</t>
  </si>
  <si>
    <t>Residential Properties Maintenance</t>
  </si>
  <si>
    <t>Waste Collection</t>
  </si>
  <si>
    <t>Interest On Loans Plant</t>
  </si>
  <si>
    <t>50100.3626.0401</t>
  </si>
  <si>
    <t>50102.3636.0647</t>
  </si>
  <si>
    <t>50102.3637.0647</t>
  </si>
  <si>
    <t>Re-use Soil and Loam</t>
  </si>
  <si>
    <t>Service Charges</t>
  </si>
  <si>
    <t>35070.0504.0347</t>
  </si>
  <si>
    <t>Council Equity Interest</t>
  </si>
  <si>
    <t>External Loans Outstanding</t>
  </si>
  <si>
    <t xml:space="preserve">State Roads - Works Order </t>
  </si>
  <si>
    <t>Legal Costs Raised</t>
  </si>
  <si>
    <t>21080.6775.0138</t>
  </si>
  <si>
    <t>Change in Net Assets as per AAS27</t>
  </si>
  <si>
    <t>AVAILABLE FUNDS RECONCILIATION</t>
  </si>
  <si>
    <t>Insurance</t>
  </si>
  <si>
    <t>Funding Source 2021/22</t>
  </si>
  <si>
    <t>Residential Properties - Insurance</t>
  </si>
  <si>
    <t>Residential Properties - Rates</t>
  </si>
  <si>
    <t>Crown Land Properties</t>
  </si>
  <si>
    <t>Salaries - Infrastructure Planning</t>
  </si>
  <si>
    <t>Salaries - Engineering Works</t>
  </si>
  <si>
    <t>Interest On Loans Airport</t>
  </si>
  <si>
    <t>Unwinding Interest Free Loan</t>
  </si>
  <si>
    <t>32110.0683.0703</t>
  </si>
  <si>
    <t>Kentwell Community Centre</t>
  </si>
  <si>
    <t>22241.5600.0148</t>
  </si>
  <si>
    <t>Porter Park</t>
  </si>
  <si>
    <t>Depreciation - Engineering</t>
  </si>
  <si>
    <t>Education - Salaries and Oncosts</t>
  </si>
  <si>
    <t>Education - Promotional Activities</t>
  </si>
  <si>
    <t>Traffic Facilities</t>
  </si>
  <si>
    <t>ADMINISTRATIVE SERVICES</t>
  </si>
  <si>
    <t>Reserve Dissection</t>
  </si>
  <si>
    <t>50005.3580.0322</t>
  </si>
  <si>
    <t>PROPERTY MANAGEMENT (cont'd)</t>
  </si>
  <si>
    <t>Total Overheads and Contras</t>
  </si>
  <si>
    <t>Governance Charges</t>
  </si>
  <si>
    <t>Ballina Shire Council</t>
  </si>
  <si>
    <t>35055.7958.0340</t>
  </si>
  <si>
    <t>Total Capital Grants and Contributions</t>
  </si>
  <si>
    <t>Cemetry Fees</t>
  </si>
  <si>
    <t>31083.1969.0700</t>
  </si>
  <si>
    <t>Australia Day</t>
  </si>
  <si>
    <t>Paid Carparking</t>
  </si>
  <si>
    <t>Dog Impounding Fees</t>
  </si>
  <si>
    <t>Dog Fines</t>
  </si>
  <si>
    <t>Cash Result</t>
  </si>
  <si>
    <t>Waste - Domestic</t>
  </si>
  <si>
    <t>Add: Non-cash items - Depreciation</t>
  </si>
  <si>
    <t>21000.1305.0061</t>
  </si>
  <si>
    <t>21000.1306.0061</t>
  </si>
  <si>
    <t>21000.1307.0061</t>
  </si>
  <si>
    <t>21000.1308.0138</t>
  </si>
  <si>
    <t>21001.1309.0138</t>
  </si>
  <si>
    <t>21001.1310.0228</t>
  </si>
  <si>
    <t>31000.0300.0300</t>
  </si>
  <si>
    <t>Current Liabilities</t>
  </si>
  <si>
    <t>Payables</t>
  </si>
  <si>
    <t xml:space="preserve">Borrowings </t>
  </si>
  <si>
    <t>Provisions</t>
  </si>
  <si>
    <t>Total Current Liabilities</t>
  </si>
  <si>
    <t>Non Current Liabilities</t>
  </si>
  <si>
    <t>Total Non-Current Liabilities</t>
  </si>
  <si>
    <t>85000-003</t>
  </si>
  <si>
    <t>From</t>
  </si>
  <si>
    <t>Net</t>
  </si>
  <si>
    <t>Depreciation - Halls</t>
  </si>
  <si>
    <t>Footpath Dining and Airspace</t>
  </si>
  <si>
    <t>Refunds - Insurance</t>
  </si>
  <si>
    <t>Training Contributions</t>
  </si>
  <si>
    <t>Russellton Industrial Estate Sales</t>
  </si>
  <si>
    <t>Southern Cross Industrial Estate Sales</t>
  </si>
  <si>
    <t>Sewer to refurb</t>
  </si>
  <si>
    <t>Sub Total Water &amp; Sewer Funds</t>
  </si>
  <si>
    <t>Sewer to S64</t>
  </si>
  <si>
    <t>26050</t>
  </si>
  <si>
    <t>35050</t>
  </si>
  <si>
    <t>35051</t>
  </si>
  <si>
    <t>Reserve S/Sheet</t>
  </si>
  <si>
    <t>Adjustments</t>
  </si>
  <si>
    <t>Reserve Spreadsheet</t>
  </si>
  <si>
    <t>26028.7817.0138</t>
  </si>
  <si>
    <t>26028.7818.0036</t>
  </si>
  <si>
    <t>26028.7819.0138</t>
  </si>
  <si>
    <t>32275.5623.0401</t>
  </si>
  <si>
    <t>Building Enquiry Fee</t>
  </si>
  <si>
    <t>Saunders Oval Expansion</t>
  </si>
  <si>
    <t>32279.5756.0401</t>
  </si>
  <si>
    <t>Other Properties (Council)</t>
  </si>
  <si>
    <t>Total - GM's Group</t>
  </si>
  <si>
    <t>Wigmore Arcade to</t>
  </si>
  <si>
    <t>35040.7900.0416</t>
  </si>
  <si>
    <t>35040.7900.0401</t>
  </si>
  <si>
    <t>35040.7901.0401</t>
  </si>
  <si>
    <t>35040.7902.0401</t>
  </si>
  <si>
    <t>35040.7904.0401</t>
  </si>
  <si>
    <t>35040.7905.0401</t>
  </si>
  <si>
    <t>35040.7906.0401</t>
  </si>
  <si>
    <t>35040.7907.0401</t>
  </si>
  <si>
    <t>Sundry Sales and Services</t>
  </si>
  <si>
    <t>Hardware</t>
  </si>
  <si>
    <t>Visitor Information Centre - Commissions</t>
  </si>
  <si>
    <t>Event Revenues</t>
  </si>
  <si>
    <t>Numerator</t>
  </si>
  <si>
    <t>Denominator</t>
  </si>
  <si>
    <t>Staff Training Internal</t>
  </si>
  <si>
    <t>31020.0350.0501</t>
  </si>
  <si>
    <t>26100.4118.0190</t>
  </si>
  <si>
    <t>26100.4120.0169</t>
  </si>
  <si>
    <t>54000.0300.0300</t>
  </si>
  <si>
    <t>32241.3464.0401</t>
  </si>
  <si>
    <t>Development</t>
  </si>
  <si>
    <t>Motor Vehicles (Quantity)</t>
  </si>
  <si>
    <t>Airport Emergency Generator</t>
  </si>
  <si>
    <t>32001.0415.0690</t>
  </si>
  <si>
    <t>26020.0100.0010</t>
  </si>
  <si>
    <t xml:space="preserve">Dog Pound </t>
  </si>
  <si>
    <t xml:space="preserve">Naval Museum and Florrie </t>
  </si>
  <si>
    <t>Life Education Van</t>
  </si>
  <si>
    <t>Buildings and Furniture Maintenance</t>
  </si>
  <si>
    <t>Operating Grants</t>
  </si>
  <si>
    <t>Fees and Charges</t>
  </si>
  <si>
    <t>De-Watering Costs</t>
  </si>
  <si>
    <t>Sandpit Sales</t>
  </si>
  <si>
    <t xml:space="preserve">Postage </t>
  </si>
  <si>
    <t>Licence Controlled Waste Facility</t>
  </si>
  <si>
    <t>32135.4257.0401</t>
  </si>
  <si>
    <t>22283.6820.0101</t>
  </si>
  <si>
    <t>32286.5901.0401</t>
  </si>
  <si>
    <t>Revaluation Reserves</t>
  </si>
  <si>
    <t>Shellys</t>
  </si>
  <si>
    <t>Telecommunications</t>
  </si>
  <si>
    <t>Dog Pound Electricity</t>
  </si>
  <si>
    <t>Dog Pound Food</t>
  </si>
  <si>
    <t>Dog Pound Impounding Expenses</t>
  </si>
  <si>
    <t>Dog Control Legals</t>
  </si>
  <si>
    <t>Dog Control Veterinary Expenses</t>
  </si>
  <si>
    <t>32364.7351.0690</t>
  </si>
  <si>
    <t>31061.4144.0647</t>
  </si>
  <si>
    <t>31061.0374.0640</t>
  </si>
  <si>
    <t>Less Loan Principal Repayments</t>
  </si>
  <si>
    <t>Economic Development Programs</t>
  </si>
  <si>
    <t>Northern Rivers Community Gallery</t>
  </si>
  <si>
    <t>Lennox Head Cultural and Community Centre</t>
  </si>
  <si>
    <t>Public Halls</t>
  </si>
  <si>
    <t>Subtract Funds Deployed for Non-operating Purposes</t>
  </si>
  <si>
    <t>Lennox/Skennars</t>
  </si>
  <si>
    <t>Subtract Unexpended Grants and Contributions Received During Year</t>
  </si>
  <si>
    <t>2009/10</t>
  </si>
  <si>
    <t>Funding Sources</t>
  </si>
  <si>
    <t>Fed Assistance Grant</t>
  </si>
  <si>
    <t>Audit &amp; Legal Res</t>
  </si>
  <si>
    <t>35020.7837.0613</t>
  </si>
  <si>
    <t>Safe Custody (Investments)</t>
  </si>
  <si>
    <t>50005.0410.0635</t>
  </si>
  <si>
    <t>50005.0371.0501</t>
  </si>
  <si>
    <t>50005.0374.0640</t>
  </si>
  <si>
    <t>55002.0410.0635</t>
  </si>
  <si>
    <t>55002.0374.0640</t>
  </si>
  <si>
    <t>55002.0371.0501</t>
  </si>
  <si>
    <t>32020.0373.0601</t>
  </si>
  <si>
    <t>Community Gallery</t>
  </si>
  <si>
    <t>2017/2018</t>
  </si>
  <si>
    <t>Library Services</t>
  </si>
  <si>
    <t>7502.4835.0401</t>
  </si>
  <si>
    <t>35125.4131.0401</t>
  </si>
  <si>
    <t>35125.4132.0401</t>
  </si>
  <si>
    <t>35125.4133.0401</t>
  </si>
  <si>
    <t>32300.6001.0401</t>
  </si>
  <si>
    <t>32300.6002.0401</t>
  </si>
  <si>
    <t>32300.0630.0341</t>
  </si>
  <si>
    <t>32300.0680.0746</t>
  </si>
  <si>
    <t>Trade Waste Application Fees</t>
  </si>
  <si>
    <t>Airport - Runway (LIRS)</t>
  </si>
  <si>
    <t>30003.1082.0401</t>
  </si>
  <si>
    <t>22001.5321.0229</t>
  </si>
  <si>
    <t>32001.2265.0401</t>
  </si>
  <si>
    <t>22110.3339.0165</t>
  </si>
  <si>
    <t>Property</t>
  </si>
  <si>
    <t>32262.5374.0300</t>
  </si>
  <si>
    <t>32262.5375.0300</t>
  </si>
  <si>
    <t>Sportsground Supervisor OSR Duties</t>
  </si>
  <si>
    <t>NSW LIRS Loan Subsidy</t>
  </si>
  <si>
    <t>22150.4120.0169</t>
  </si>
  <si>
    <t>22110.4120.0169</t>
  </si>
  <si>
    <t>2023/2024</t>
  </si>
  <si>
    <t>2022/23</t>
  </si>
  <si>
    <t>Funding Sources 2016/17</t>
  </si>
  <si>
    <t>Funding Source 2022/23</t>
  </si>
  <si>
    <t>AMP - Roads &amp; Transport</t>
  </si>
  <si>
    <t>Operations &amp; Maintenance</t>
  </si>
  <si>
    <t>Pavements</t>
  </si>
  <si>
    <t>Footpaths &amp; Cycleways</t>
  </si>
  <si>
    <t>Jetties, Boat Ramps, Ferry &amp; Wharf</t>
  </si>
  <si>
    <t>Kerb &amp; Gutter (concrete)</t>
  </si>
  <si>
    <t>Street Signage</t>
  </si>
  <si>
    <t>AMP - Roads Operations &amp; Maintenance</t>
  </si>
  <si>
    <t>Renewals</t>
  </si>
  <si>
    <t>Pavement</t>
  </si>
  <si>
    <t>Kerb &amp; Gutter</t>
  </si>
  <si>
    <t>AMP - Roads Renewals</t>
  </si>
  <si>
    <t>LTFP - Roads &amp; Transport</t>
  </si>
  <si>
    <t>LTFP - Roads Operations &amp; Maintenance</t>
  </si>
  <si>
    <t>LTFP - Roads Renewals</t>
  </si>
  <si>
    <t>AMP - Stormwater</t>
  </si>
  <si>
    <t>Urban Reticulation</t>
  </si>
  <si>
    <t>Rural Culverts</t>
  </si>
  <si>
    <t>Stormwater Outlets</t>
  </si>
  <si>
    <t>LTFP - Stormwater</t>
  </si>
  <si>
    <t>AMP - Water</t>
  </si>
  <si>
    <t>Treatment</t>
  </si>
  <si>
    <t>Pipes</t>
  </si>
  <si>
    <t>Pumps &amp; Bores</t>
  </si>
  <si>
    <t>Storage</t>
  </si>
  <si>
    <t>Meters</t>
  </si>
  <si>
    <t>LTFP - Water</t>
  </si>
  <si>
    <t>AMP - Sewer</t>
  </si>
  <si>
    <t>Pump Stations</t>
  </si>
  <si>
    <t>LTFP - Sewer</t>
  </si>
  <si>
    <t>AMP - Totals</t>
  </si>
  <si>
    <t>LTFP - Totals</t>
  </si>
  <si>
    <t>Difference - LTFP to AMP</t>
  </si>
  <si>
    <t>Cumulative Difference - LTFP to AMP</t>
  </si>
  <si>
    <t>AMP Totals</t>
  </si>
  <si>
    <t>LTFP Totals</t>
  </si>
  <si>
    <t>AMP - Stormwater Operations &amp; Maintenance</t>
  </si>
  <si>
    <t>AMP - Stormwater Renewals</t>
  </si>
  <si>
    <t>LTFP - Stormwater Operations &amp; Maintenance</t>
  </si>
  <si>
    <t>LTFP - Stormwater Renewals</t>
  </si>
  <si>
    <t>AMP - Water Operations &amp; Maintenance</t>
  </si>
  <si>
    <t>AMP - Water Renewals</t>
  </si>
  <si>
    <t>AMP - Water Total</t>
  </si>
  <si>
    <t>LTFP - Water Operations &amp; Maintenance</t>
  </si>
  <si>
    <t>LTFP - Water Renewals</t>
  </si>
  <si>
    <t>LTFP - Water Total</t>
  </si>
  <si>
    <t>AMP - Sewer Operations &amp; Maintenance</t>
  </si>
  <si>
    <t>AMP - Sewer Renewals</t>
  </si>
  <si>
    <t>AMP - Sewer Total</t>
  </si>
  <si>
    <t>LTFP - Sewer Operations &amp; Maintenance</t>
  </si>
  <si>
    <t>LTFP - Sewer Renewals</t>
  </si>
  <si>
    <t>LTFP - Sewer Total</t>
  </si>
  <si>
    <t>21020.1485.0062</t>
  </si>
  <si>
    <t>30023.8675.0401</t>
  </si>
  <si>
    <t>Vacation Care Services</t>
  </si>
  <si>
    <t>Solar Panel Rebates</t>
  </si>
  <si>
    <t>Bitou Bush Control (Council Lands)</t>
  </si>
  <si>
    <t>Reservoirs - Ross Lane (New)</t>
  </si>
  <si>
    <t>Recycling Commercial (Bulk)</t>
  </si>
  <si>
    <t xml:space="preserve">Street Lighting </t>
  </si>
  <si>
    <t>35005.0410.0635</t>
  </si>
  <si>
    <t>35020.7850.0613</t>
  </si>
  <si>
    <t>35020.7849.0613</t>
  </si>
  <si>
    <t>35020.7851.0613</t>
  </si>
  <si>
    <t>Secure Pay Fees</t>
  </si>
  <si>
    <t>35152.8853.0401</t>
  </si>
  <si>
    <t>35077.0415.0690</t>
  </si>
  <si>
    <t>Lennox Head Centre - Hire</t>
  </si>
  <si>
    <t>Lennox Head Centre - Vacation Care</t>
  </si>
  <si>
    <t>NAIDOC Week</t>
  </si>
  <si>
    <t xml:space="preserve">Kentwell Community Services Centre </t>
  </si>
  <si>
    <t>Technical Equipment - Maintenance</t>
  </si>
  <si>
    <t>Professional Services</t>
  </si>
  <si>
    <t>SQIDS Lennox Head</t>
  </si>
  <si>
    <t>32020.2486.0401</t>
  </si>
  <si>
    <t>32101.3099.0401</t>
  </si>
  <si>
    <t>32279.5760.0401</t>
  </si>
  <si>
    <t>35008.7589.0619</t>
  </si>
  <si>
    <t>26120.8810.0235</t>
  </si>
  <si>
    <t>35075.0530.0401</t>
  </si>
  <si>
    <t>35080.8585.0635</t>
  </si>
  <si>
    <t>4086.4433.0960</t>
  </si>
  <si>
    <t>4093.4424.0960</t>
  </si>
  <si>
    <t>Wollongbar Residential Estate Rates</t>
  </si>
  <si>
    <t>35072.0415.0690</t>
  </si>
  <si>
    <t>55002.7964.0300</t>
  </si>
  <si>
    <t>26083.8675.0138</t>
  </si>
  <si>
    <t>54000.0300.0335</t>
  </si>
  <si>
    <t>10004.3545.0193</t>
  </si>
  <si>
    <t xml:space="preserve">Charged to Private Works </t>
  </si>
  <si>
    <t>22154.4212.0134</t>
  </si>
  <si>
    <t>Regional Road 695 Operations</t>
  </si>
  <si>
    <t>Regional Road 695 Maintenance</t>
  </si>
  <si>
    <t>32310.0410.0635</t>
  </si>
  <si>
    <t>32310.4144.0647</t>
  </si>
  <si>
    <t>35078.0410.0635</t>
  </si>
  <si>
    <t>Overheads - Wollongbar</t>
  </si>
  <si>
    <t>35085.8602.0980</t>
  </si>
  <si>
    <t>Overheads</t>
  </si>
  <si>
    <t>32300.0980.0980</t>
  </si>
  <si>
    <t>30020.0980.0980</t>
  </si>
  <si>
    <t>Community Centres Overheads</t>
  </si>
  <si>
    <t>Lumley's Lane PMZ</t>
  </si>
  <si>
    <t>SP4004 - Upgrade Pumps</t>
  </si>
  <si>
    <t>35001.7517.0622</t>
  </si>
  <si>
    <t xml:space="preserve">Regional Works Crew </t>
  </si>
  <si>
    <t>26081.8678.0124</t>
  </si>
  <si>
    <t>32300.0980.0985</t>
  </si>
  <si>
    <t>Overheads Reversal</t>
  </si>
  <si>
    <t>ALEC - Hire (Net Distribution)</t>
  </si>
  <si>
    <t>Wollongbar Sports Fields</t>
  </si>
  <si>
    <t>Depot Two - Yard Maintenance</t>
  </si>
  <si>
    <t>Asset Condition Assessments</t>
  </si>
  <si>
    <t>Add Additional Transfer to Urban Roads Heavy Patching</t>
  </si>
  <si>
    <t>22230.5242.0169</t>
  </si>
  <si>
    <t>Donation</t>
  </si>
  <si>
    <t>Donation - Mowing on Private Property</t>
  </si>
  <si>
    <t xml:space="preserve">Street Tree Planting Program </t>
  </si>
  <si>
    <t>32267.5421.0401</t>
  </si>
  <si>
    <t>Skatepark (Ballina) Vandalism</t>
  </si>
  <si>
    <t>Repairs to Plant and Tools</t>
  </si>
  <si>
    <t xml:space="preserve">Contract Alstonville </t>
  </si>
  <si>
    <t>Contract Ballina</t>
  </si>
  <si>
    <t>Bin Purchases / Distribution/ Repair</t>
  </si>
  <si>
    <t>Rental - Crown Lands</t>
  </si>
  <si>
    <t>Purchase of Goods for Resale</t>
  </si>
  <si>
    <t>Marquee Maintenance and Replacement</t>
  </si>
  <si>
    <t>Fawcett Park Cafe Insurance</t>
  </si>
  <si>
    <t>Target Dividend</t>
  </si>
  <si>
    <t xml:space="preserve">RMS Works </t>
  </si>
  <si>
    <t>Pound</t>
  </si>
  <si>
    <t>Roads (Community Infrastructure)</t>
  </si>
  <si>
    <t>Planning Proposals - Rezonings</t>
  </si>
  <si>
    <t>Planning Proposals - Fee for Service</t>
  </si>
  <si>
    <t>Alstonville Bypass Handover</t>
  </si>
  <si>
    <t>Internal Audits</t>
  </si>
  <si>
    <t>Ballina Surf Life Saving Club</t>
  </si>
  <si>
    <t>Collection Kerbside - Disposal Fees</t>
  </si>
  <si>
    <t>Collection Kerbside - Recycling</t>
  </si>
  <si>
    <t>Collection Kerbside - Mixed Waste</t>
  </si>
  <si>
    <t>Waste Trucks - Operating Expenses</t>
  </si>
  <si>
    <t>Road Safety Officer and Programs</t>
  </si>
  <si>
    <t xml:space="preserve">Alstonville Bypass Handover </t>
  </si>
  <si>
    <t>Drainage Works</t>
  </si>
  <si>
    <t>Richmond River Blackwater</t>
  </si>
  <si>
    <t>Rental - NSW State Govt - Crown Land</t>
  </si>
  <si>
    <t>Community Facilities Summary Check</t>
  </si>
  <si>
    <t>Office Equipment and Furniture</t>
  </si>
  <si>
    <t>WASTEWATER OPERATIONS</t>
  </si>
  <si>
    <t>Wastewater Operations</t>
  </si>
  <si>
    <t>Community Service Programs</t>
  </si>
  <si>
    <t>Promotional and Interpretative Signage</t>
  </si>
  <si>
    <t>Regulatory Fees and Charges</t>
  </si>
  <si>
    <t>Projects and Kits</t>
  </si>
  <si>
    <t>Roads and Maritime Services</t>
  </si>
  <si>
    <t>State Levy</t>
  </si>
  <si>
    <t>Works Depot - Employee Costs</t>
  </si>
  <si>
    <t>Works Depot - Operating Expenses</t>
  </si>
  <si>
    <t>Boat Ramp Maintenance and Cleaning</t>
  </si>
  <si>
    <t>Flood and Storm Damage</t>
  </si>
  <si>
    <t>Nursery - Sales</t>
  </si>
  <si>
    <t>4WD Permits</t>
  </si>
  <si>
    <t>Miscellaneous Fees</t>
  </si>
  <si>
    <t>Surf Life Saving Services - Contract</t>
  </si>
  <si>
    <t>Audit - External</t>
  </si>
  <si>
    <t>Audit - Internal</t>
  </si>
  <si>
    <t>Hardware Support Costs</t>
  </si>
  <si>
    <t>Software - Civica Licence</t>
  </si>
  <si>
    <t>Refunds - Workers Compensation</t>
  </si>
  <si>
    <t>Maternity Leave - Centrelink Payments</t>
  </si>
  <si>
    <t>Workers Compensation Premiums</t>
  </si>
  <si>
    <t>Properties - Council Commercial</t>
  </si>
  <si>
    <t>Footpaths / Shared Paths</t>
  </si>
  <si>
    <t>Open Space Programs</t>
  </si>
  <si>
    <t>Landfill and Resource Management</t>
  </si>
  <si>
    <t>The following loans reduce the overall roads budget</t>
  </si>
  <si>
    <t>Heavy Patching</t>
  </si>
  <si>
    <t>CIVIL SERVICES GROUP - SUMMARY (GENERAL FUND)</t>
  </si>
  <si>
    <t>LANDFILL AND RESOURCE MANAGEMENT</t>
  </si>
  <si>
    <t>CIVIL SERVICES GROUP - SUMMARY (WATER AND WASTEWATER)</t>
  </si>
  <si>
    <t>SECTION 94 CONTRIBUTIONS COLLECTED</t>
  </si>
  <si>
    <t>SECTION 94 CONTRIBUTIONS APPLIED</t>
  </si>
  <si>
    <t>SECTION 94 CONTRIBUTIONS - PLAN BALANCES</t>
  </si>
  <si>
    <t>CAPITAL GRANTS AND CAPITAL CONTRIBUTIONS</t>
  </si>
  <si>
    <t>CAPITAL EXPENDITURE - GENERAL FUND</t>
  </si>
  <si>
    <t>Roads and Ancillary Transport</t>
  </si>
  <si>
    <t>Asset Data Collection</t>
  </si>
  <si>
    <t>Alison Ave</t>
  </si>
  <si>
    <t>Megan Cr/Dodge Ln</t>
  </si>
  <si>
    <t>Allens Pde</t>
  </si>
  <si>
    <t>26087.8678.0124</t>
  </si>
  <si>
    <t>Depot Lighting</t>
  </si>
  <si>
    <t>Public Amenities</t>
  </si>
  <si>
    <t>2325.3434.0401</t>
  </si>
  <si>
    <t>2315.5022.0401</t>
  </si>
  <si>
    <t>30025.0425.0401</t>
  </si>
  <si>
    <t>30025.4144.0647</t>
  </si>
  <si>
    <t>30025.8700.0401</t>
  </si>
  <si>
    <t>30025.0415.0690</t>
  </si>
  <si>
    <t>30025.0420.0401</t>
  </si>
  <si>
    <t>30025.2250.0401</t>
  </si>
  <si>
    <t>30025.0410.0635</t>
  </si>
  <si>
    <t>26082.8678.0124</t>
  </si>
  <si>
    <t>32348.7033.0401</t>
  </si>
  <si>
    <t>2010.3117.0401</t>
  </si>
  <si>
    <t>2010.3120.0401</t>
  </si>
  <si>
    <t>2010.3135.0401</t>
  </si>
  <si>
    <t>2010.3136.0401</t>
  </si>
  <si>
    <t>Carrs Bridge (River Dr)</t>
  </si>
  <si>
    <t>2079.3401.0401</t>
  </si>
  <si>
    <t>Williams reserve</t>
  </si>
  <si>
    <t>2024.6591.0401</t>
  </si>
  <si>
    <t>2205.4198.0401</t>
  </si>
  <si>
    <t>WUEA Link Road Loan</t>
  </si>
  <si>
    <t>Recoupments</t>
  </si>
  <si>
    <t>4501.1172.0961</t>
  </si>
  <si>
    <t>Revoving Enfergy re Lighting</t>
  </si>
  <si>
    <t>Other properties re Lighting</t>
  </si>
  <si>
    <t>Crown Properties re Expansion</t>
  </si>
  <si>
    <t>4081.4066.0960</t>
  </si>
  <si>
    <t>4081.7881.0960</t>
  </si>
  <si>
    <t>Comm Infra - LHCC Insurance Claim</t>
  </si>
  <si>
    <t>Comm Infra - Land Sales</t>
  </si>
  <si>
    <t>4591.8618.0961</t>
  </si>
  <si>
    <t>Comm Infra - Pools</t>
  </si>
  <si>
    <t>4069.8617.0960</t>
  </si>
  <si>
    <t>4046.4068.0960</t>
  </si>
  <si>
    <t>Porter Park Playground</t>
  </si>
  <si>
    <t>Public Amenities Lighting fr Oth Property</t>
  </si>
  <si>
    <t>4058.4191.0960</t>
  </si>
  <si>
    <t>Ballina Entrance fr Cemetery</t>
  </si>
  <si>
    <t>4062.6295.0960</t>
  </si>
  <si>
    <t>Quarries to (Op Profit)</t>
  </si>
  <si>
    <t>Tuckombil from (Capital/Dividend)</t>
  </si>
  <si>
    <t>S64 Water Contrib</t>
  </si>
  <si>
    <t>Non Cash Contrib</t>
  </si>
  <si>
    <t>S64 Sewer Contrib</t>
  </si>
  <si>
    <t>Water &amp; Sewer Capital Income (for Budget Loading Only)</t>
  </si>
  <si>
    <t>7005.3899.0401</t>
  </si>
  <si>
    <t>7005.3902.0401</t>
  </si>
  <si>
    <t>7003.3903.0401</t>
  </si>
  <si>
    <t>7003.3904.0401</t>
  </si>
  <si>
    <t>7006.3908.0401</t>
  </si>
  <si>
    <t>ENVIRONMENTAL AND PUBLIC HEALTH</t>
  </si>
  <si>
    <t>Environmental and Public Health</t>
  </si>
  <si>
    <t>50005.3578.0690</t>
  </si>
  <si>
    <t>50005.3579.0690</t>
  </si>
  <si>
    <t>Contribution WUEA Recoupments</t>
  </si>
  <si>
    <t>55002.3578.0690</t>
  </si>
  <si>
    <t>55002.3579.0690</t>
  </si>
  <si>
    <t>26063.8523.0270</t>
  </si>
  <si>
    <t>26063.8524.0270</t>
  </si>
  <si>
    <t>35070.2599.0622</t>
  </si>
  <si>
    <t>35070.2598.0622</t>
  </si>
  <si>
    <t>Ballina Hts Land Donations</t>
  </si>
  <si>
    <t>WUEA Land Donations</t>
  </si>
  <si>
    <t>Open Spaces (WUEA)</t>
  </si>
  <si>
    <t>Sub Total Recouped (Land Schemes)</t>
  </si>
  <si>
    <t>Community Facilities (WUEA)</t>
  </si>
  <si>
    <t>Roads (WUEA)</t>
  </si>
  <si>
    <t>Section 64 Recoupments (WUEA)</t>
  </si>
  <si>
    <t>Section 64 Recoupments (Ballina Hts)</t>
  </si>
  <si>
    <t>30021.1084.0401</t>
  </si>
  <si>
    <t>Depot Two - Building Maintenance</t>
  </si>
  <si>
    <t>22010.2423.0138</t>
  </si>
  <si>
    <t>2010.3133.0401</t>
  </si>
  <si>
    <t>22110.3389.0165</t>
  </si>
  <si>
    <t>RMS Ballina Bypass Handover</t>
  </si>
  <si>
    <t>Ballina Bypass Handover</t>
  </si>
  <si>
    <t>22155.4052.0182</t>
  </si>
  <si>
    <t>2024.4389.0401</t>
  </si>
  <si>
    <t>22210.4058.0160</t>
  </si>
  <si>
    <t>32320.0350.0420</t>
  </si>
  <si>
    <t xml:space="preserve">Bank Charges </t>
  </si>
  <si>
    <t>35081.0530.0401</t>
  </si>
  <si>
    <t>4063.6306.0960</t>
  </si>
  <si>
    <t xml:space="preserve">Recoupments - WUEA </t>
  </si>
  <si>
    <t>Recoupments - Ballina heights</t>
  </si>
  <si>
    <t>4089.8538.0960</t>
  </si>
  <si>
    <t>4089.8539.0960</t>
  </si>
  <si>
    <t>S64 Recoupments</t>
  </si>
  <si>
    <t>4589.8663.0961</t>
  </si>
  <si>
    <t>4589.8660.0961</t>
  </si>
  <si>
    <t>4089.8644.0960</t>
  </si>
  <si>
    <t>4089.8645.0960</t>
  </si>
  <si>
    <t>Water from S64 WUEA Recoup</t>
  </si>
  <si>
    <t>Water from S64 Bal Hts Recoup</t>
  </si>
  <si>
    <t>4110.3913.0960</t>
  </si>
  <si>
    <t>4110.3914.0960</t>
  </si>
  <si>
    <t>Sewer from S64 WUEA Recoup</t>
  </si>
  <si>
    <t>Sewer from S64 Bal Hts Recoup</t>
  </si>
  <si>
    <t>4113.3913.0960</t>
  </si>
  <si>
    <t>4113.3914.0960</t>
  </si>
  <si>
    <t>User Fees and Charges</t>
  </si>
  <si>
    <t>Interest Revenue</t>
  </si>
  <si>
    <t>User Fees &amp; Charges</t>
  </si>
  <si>
    <t>30002.1148.0401</t>
  </si>
  <si>
    <t>32286.5363.0401</t>
  </si>
  <si>
    <t>Electronic Housing Code Project</t>
  </si>
  <si>
    <t>21002.1319.0166</t>
  </si>
  <si>
    <t>Visitor Information Centre</t>
  </si>
  <si>
    <t>Total - Dev &amp; Env Health Group</t>
  </si>
  <si>
    <t>GENERAL MANAGER'S GROUP</t>
  </si>
  <si>
    <t>DEVELOPMENT &amp; ENV HEALTH GROUP</t>
  </si>
  <si>
    <t>STRATEGIC &amp; COMMUNITY FACILITIES GROUP</t>
  </si>
  <si>
    <t>STRATEGIC AND COMMUNITY FACILITIES GROUP - SUMMARY</t>
  </si>
  <si>
    <t>Strategic and Community Facilities Group</t>
  </si>
  <si>
    <t>Total - Strat &amp; Comm Facilities</t>
  </si>
  <si>
    <t>26028.7825.0138</t>
  </si>
  <si>
    <t>32001.2266.0401</t>
  </si>
  <si>
    <t>32001.2268.0401</t>
  </si>
  <si>
    <t>32100.0350.0501</t>
  </si>
  <si>
    <t>32200.0410.0635</t>
  </si>
  <si>
    <t>32251.3460.0401</t>
  </si>
  <si>
    <t>32252.3464.0401</t>
  </si>
  <si>
    <t>Conferences</t>
  </si>
  <si>
    <t>35162.0378.0401</t>
  </si>
  <si>
    <t>4054.5507.0960</t>
  </si>
  <si>
    <t>2102.2287.0401</t>
  </si>
  <si>
    <t>35120.0328.0343</t>
  </si>
  <si>
    <t>35152.4242.0401</t>
  </si>
  <si>
    <t>26067.6300.0228</t>
  </si>
  <si>
    <t>2334.3401.0401</t>
  </si>
  <si>
    <t>Alstonville Bypass</t>
  </si>
  <si>
    <t>2074.5188.0401</t>
  </si>
  <si>
    <t>4044.7855.0960</t>
  </si>
  <si>
    <t>Ballina Bypass</t>
  </si>
  <si>
    <t>4044.3396.0960</t>
  </si>
  <si>
    <t>4016.1166.0960</t>
  </si>
  <si>
    <t>Renovation from Com Opp</t>
  </si>
  <si>
    <t>4108.2821.0960</t>
  </si>
  <si>
    <t>32326.2962.0401</t>
  </si>
  <si>
    <t>32325.5881.0401</t>
  </si>
  <si>
    <t>Quarry Expansion Study</t>
  </si>
  <si>
    <t>Property Development Reserve</t>
  </si>
  <si>
    <t>Property Development</t>
  </si>
  <si>
    <t>4091.8649.0960</t>
  </si>
  <si>
    <t>22010.2419.0235</t>
  </si>
  <si>
    <t>Interest on Investments - Property Dev</t>
  </si>
  <si>
    <t>4091.6307.0960</t>
  </si>
  <si>
    <t>Property  Development</t>
  </si>
  <si>
    <t xml:space="preserve">Pollution Control </t>
  </si>
  <si>
    <t>Treatment - Corey to remove eng &amp; tech costs</t>
  </si>
  <si>
    <t>35152.8858.0401</t>
  </si>
  <si>
    <t>4106.8873.0960</t>
  </si>
  <si>
    <t>Business Marketing fr Waste</t>
  </si>
  <si>
    <t>Tourism and Events</t>
  </si>
  <si>
    <t>DEVELOPMENT AND ENVIRONMENTAL HEALTH GROUP - SUMMARY</t>
  </si>
  <si>
    <t>FERRY AND WATER TRANSPORT</t>
  </si>
  <si>
    <t>Federal - Marine Rescue Tower</t>
  </si>
  <si>
    <t>74 and 78 Tamar Street - Car Parks</t>
  </si>
  <si>
    <t>Wastewater Assumptions</t>
  </si>
  <si>
    <t>Fixed Charge %</t>
  </si>
  <si>
    <t>Variable Charge %</t>
  </si>
  <si>
    <t>Development and Env Health Group</t>
  </si>
  <si>
    <t>Ferry Wharves and Jetties</t>
  </si>
  <si>
    <t>Charged to RMS</t>
  </si>
  <si>
    <t>Total Reserves</t>
  </si>
  <si>
    <t>Tourism and Communications</t>
  </si>
  <si>
    <t>Northern Rivers Carpool</t>
  </si>
  <si>
    <t>Rangers - Salaries and Oncosts</t>
  </si>
  <si>
    <t>Conts - Other</t>
  </si>
  <si>
    <t>Works Depot - Number Two</t>
  </si>
  <si>
    <t>QUARRIES AND SANDPIT</t>
  </si>
  <si>
    <t>Northern Landfill Closure / Leachate</t>
  </si>
  <si>
    <t>Solid Waste Landfill Operations</t>
  </si>
  <si>
    <t>North East Waste Membership</t>
  </si>
  <si>
    <t>Depot Car Park</t>
  </si>
  <si>
    <t>Nursery Rates</t>
  </si>
  <si>
    <t>Nursery Insurance</t>
  </si>
  <si>
    <t>Nursery Electricity</t>
  </si>
  <si>
    <t>Arborist Wages and Oncosts</t>
  </si>
  <si>
    <t>Overseers Wages and Oncosts</t>
  </si>
  <si>
    <t>Toilet Rates</t>
  </si>
  <si>
    <t>Sale Scrap Metal and Sundry Revenues</t>
  </si>
  <si>
    <t>Fleet Co-ordinator Salary and Oncosts</t>
  </si>
  <si>
    <t>Rural Fire Service Reimbursable Items</t>
  </si>
  <si>
    <t>Maintenance and Insurance - Vehicles</t>
  </si>
  <si>
    <t>Waste Centre Mowing and Landscaping</t>
  </si>
  <si>
    <t>Contribution Ballina Heights Recoupments</t>
  </si>
  <si>
    <t>Lease of Reservoir Sites</t>
  </si>
  <si>
    <t>Section 64 Plan Reviews</t>
  </si>
  <si>
    <t>Residential Rents (2 x Dwellings)</t>
  </si>
  <si>
    <t>BBRC Scheme</t>
  </si>
  <si>
    <t>BPAY and EFTPOS  Fees</t>
  </si>
  <si>
    <t>Australia Post Fees</t>
  </si>
  <si>
    <t>Ballina Heights Drive - Section 94 Plan</t>
  </si>
  <si>
    <t>Cumbalum Interchange - Section 94 Plan</t>
  </si>
  <si>
    <t>NSW State Government - Crown Rental</t>
  </si>
  <si>
    <t>Leave Entitlements</t>
  </si>
  <si>
    <t>2347.3461.0401</t>
  </si>
  <si>
    <t>4546.8803.0961</t>
  </si>
  <si>
    <t>Power Saving to Prop Dev</t>
  </si>
  <si>
    <t>4040.8754.0960</t>
  </si>
  <si>
    <t>Vegettation Management</t>
  </si>
  <si>
    <t>Tfr from</t>
  </si>
  <si>
    <t>4054.5809.0960</t>
  </si>
  <si>
    <t>50101.3656.0401</t>
  </si>
  <si>
    <t>Water Access Licence Fees</t>
  </si>
  <si>
    <t>4030.2823.0960</t>
  </si>
  <si>
    <t xml:space="preserve">Depot &amp; Admin Centre </t>
  </si>
  <si>
    <t>Wastewater Loan Forecast</t>
  </si>
  <si>
    <t>Roads Works Contingency</t>
  </si>
  <si>
    <t>Waste Charges for DWM %</t>
  </si>
  <si>
    <t>Waste Gate Fees %</t>
  </si>
  <si>
    <t>Wastewater</t>
  </si>
  <si>
    <t>Wastewater Mains - Renewals</t>
  </si>
  <si>
    <t>Externally Restricted Cash and Investments</t>
  </si>
  <si>
    <t xml:space="preserve">Externally Restricted Receivables </t>
  </si>
  <si>
    <t xml:space="preserve">Externally Restricted Inventories and Other </t>
  </si>
  <si>
    <r>
      <t>Provisions - P</t>
    </r>
    <r>
      <rPr>
        <sz val="10"/>
        <rFont val="Arial"/>
        <family val="2"/>
      </rPr>
      <t>ayable &gt; 12 months</t>
    </r>
  </si>
  <si>
    <t>Current Liabilities relating to Restricted Assets</t>
  </si>
  <si>
    <r>
      <t>Payables - P</t>
    </r>
    <r>
      <rPr>
        <sz val="10"/>
        <rFont val="Arial"/>
        <family val="2"/>
      </rPr>
      <t>ayable &gt; 12 months</t>
    </r>
  </si>
  <si>
    <t xml:space="preserve">Sundry Debtor - Rates / Annual Charges </t>
  </si>
  <si>
    <t>Infrastructure, Property, Plant and Equipment</t>
  </si>
  <si>
    <t>Development and Environmental Health Group</t>
  </si>
  <si>
    <t>Group Total</t>
  </si>
  <si>
    <t>General Property Reserves</t>
  </si>
  <si>
    <t>Specific Property Reserves</t>
  </si>
  <si>
    <t>Summary Table for Delivery Program</t>
  </si>
  <si>
    <t>Result – Surplus/(Deficit)</t>
  </si>
  <si>
    <t>Operating Result by Operation</t>
  </si>
  <si>
    <t>Strategic and Community Facilities</t>
  </si>
  <si>
    <t>Development and Environmental Health</t>
  </si>
  <si>
    <t>Public and Environmental Health</t>
  </si>
  <si>
    <t xml:space="preserve">Governance </t>
  </si>
  <si>
    <t>General Fund - Operating Result</t>
  </si>
  <si>
    <t>Add Restricted Operations</t>
  </si>
  <si>
    <t>Water Supplies</t>
  </si>
  <si>
    <t>Wastewater Services</t>
  </si>
  <si>
    <t>Operating Revenues ($’000)</t>
  </si>
  <si>
    <t>Operating Expenses ($’000)</t>
  </si>
  <si>
    <t>Total Operating Result – Consolidated Operations</t>
  </si>
  <si>
    <r>
      <t xml:space="preserve">Operating Result - Surplus / </t>
    </r>
    <r>
      <rPr>
        <b/>
        <sz val="9"/>
        <color rgb="FFFF0000"/>
        <rFont val="Arial"/>
        <family val="2"/>
      </rPr>
      <t>(Deficit)</t>
    </r>
  </si>
  <si>
    <t>Less Depreciation and Interest Unwinding</t>
  </si>
  <si>
    <t xml:space="preserve">Surplus / (Deficit) Before Asset Disposal </t>
  </si>
  <si>
    <t>Add: Proceeds from sale of Real Estate</t>
  </si>
  <si>
    <t>Add: Non-cash items – Net Leave Increase</t>
  </si>
  <si>
    <t>Applied to</t>
  </si>
  <si>
    <t>Property and Buildings</t>
  </si>
  <si>
    <t xml:space="preserve">Repayment of Loan Principal </t>
  </si>
  <si>
    <t>Transfers from / (to) Reserves</t>
  </si>
  <si>
    <t>QUARRIES</t>
  </si>
  <si>
    <t>Quarries</t>
  </si>
  <si>
    <t>Operating Budget by Program</t>
  </si>
  <si>
    <t>Source and Application</t>
  </si>
  <si>
    <t>Forward Capital Works Program - Water and Wastewater</t>
  </si>
  <si>
    <t>Water and Wastewater External Funding</t>
  </si>
  <si>
    <t>Civil Services - Water, Wastewater</t>
  </si>
  <si>
    <t>Detailed and Summary Check - Water and Wastewater</t>
  </si>
  <si>
    <t>As Per Cash Wastewater</t>
  </si>
  <si>
    <t>Capital Income to Capital Works</t>
  </si>
  <si>
    <t>Summaries Check</t>
  </si>
  <si>
    <t>30020.0504.0347</t>
  </si>
  <si>
    <t>22112.3313.0179</t>
  </si>
  <si>
    <t>10012.3538.0226</t>
  </si>
  <si>
    <t>Community Centres</t>
  </si>
  <si>
    <t>32330.0350.0613</t>
  </si>
  <si>
    <t>32331.0350.0613</t>
  </si>
  <si>
    <t>Depreciation - Public Amenities</t>
  </si>
  <si>
    <t>Depreciation - OSR Buildings</t>
  </si>
  <si>
    <t>Depreciation - Sporting Fields</t>
  </si>
  <si>
    <t>Open Spaces and Reserves Buildings</t>
  </si>
  <si>
    <t>Depreciation - Sports Field Buildings</t>
  </si>
  <si>
    <t>Depreciation - Open Spaces Buildings</t>
  </si>
  <si>
    <t>Other Amenities</t>
  </si>
  <si>
    <t>Community Grants</t>
  </si>
  <si>
    <t>32022.5310.0401</t>
  </si>
  <si>
    <t>Tresise Place Outlets</t>
  </si>
  <si>
    <t>Ballina Quays Dredging</t>
  </si>
  <si>
    <t>Coast Rd/Ross Ln Intersection</t>
  </si>
  <si>
    <t>Yellow Ck Bridge</t>
  </si>
  <si>
    <t>Teven Bridge</t>
  </si>
  <si>
    <t>Headlands Dr</t>
  </si>
  <si>
    <t>32279.5728.0401</t>
  </si>
  <si>
    <t>32258.2302.0401</t>
  </si>
  <si>
    <t>RMS Alstonville Bypass Handover</t>
  </si>
  <si>
    <t>32361.3573.0690</t>
  </si>
  <si>
    <t>35051.7934.0401</t>
  </si>
  <si>
    <t>26064.7812.0190</t>
  </si>
  <si>
    <t>35078.0415.0690</t>
  </si>
  <si>
    <t>WUEA (WUEA)</t>
  </si>
  <si>
    <t xml:space="preserve">Ballina Heights BBRC </t>
  </si>
  <si>
    <t>FV Adjustment</t>
  </si>
  <si>
    <t>35125.0300.0300</t>
  </si>
  <si>
    <t>Reporting Officers</t>
  </si>
  <si>
    <t>32001.2269.0401</t>
  </si>
  <si>
    <t>Repair Fire Damage</t>
  </si>
  <si>
    <t>Oakland Ave</t>
  </si>
  <si>
    <t>2010.3109.0401</t>
  </si>
  <si>
    <t>Bagotville Rd</t>
  </si>
  <si>
    <t>2010.3123.0401</t>
  </si>
  <si>
    <t>58 Riverside dr</t>
  </si>
  <si>
    <t>Brunswick St</t>
  </si>
  <si>
    <t>2010.3138.0401</t>
  </si>
  <si>
    <t>RMS - Coast Rd Tobin Cl</t>
  </si>
  <si>
    <t>Ballina Cycleway</t>
  </si>
  <si>
    <t>Beachfront Pd</t>
  </si>
  <si>
    <t>Chickiba Dr</t>
  </si>
  <si>
    <t>32279.5600.0401</t>
  </si>
  <si>
    <t>Fonteainea</t>
  </si>
  <si>
    <t>Contributions and Grants</t>
  </si>
  <si>
    <t>Loss on Disposal Assets</t>
  </si>
  <si>
    <t>32340.0690.0801</t>
  </si>
  <si>
    <t>32348.7052.0401</t>
  </si>
  <si>
    <t>Road Maintenance</t>
  </si>
  <si>
    <t>55022.4798.0401</t>
  </si>
  <si>
    <t>22256.7812.0190</t>
  </si>
  <si>
    <t>2320.3434.0401</t>
  </si>
  <si>
    <t>30023.4157.0401</t>
  </si>
  <si>
    <t xml:space="preserve">Administration and Customer Service </t>
  </si>
  <si>
    <t>Investigations</t>
  </si>
  <si>
    <t>Social Programs</t>
  </si>
  <si>
    <t>Seniors Programs</t>
  </si>
  <si>
    <t>Youth and Children Programs</t>
  </si>
  <si>
    <t>Building and Infrastructure Renewal Ratio Calculations (figure represents percentage for renewal)</t>
  </si>
  <si>
    <t>Asset Renewal Values</t>
  </si>
  <si>
    <t>Bld &amp; Infrastructure Renewal Ratio (Consolidated)</t>
  </si>
  <si>
    <t>26085.8855.0229</t>
  </si>
  <si>
    <t>7508.4946.0401</t>
  </si>
  <si>
    <t>Unrestricted Current Ratio (Consolidated)</t>
  </si>
  <si>
    <t>Unrestricted Current Ratio (General Fund)</t>
  </si>
  <si>
    <t>Rates and Annual Charges Outstanding - Consolidated</t>
  </si>
  <si>
    <t>Rates and Charges Outstanding (Consolidated)</t>
  </si>
  <si>
    <t>Available Working Capital ($'000)</t>
  </si>
  <si>
    <t>Kerb and Gutter</t>
  </si>
  <si>
    <t>Telemetry</t>
  </si>
  <si>
    <t>Add Transfer to Operating Expenses BBRC Scheme legals</t>
  </si>
  <si>
    <t>Add Special Variation Plus Above CPI Increases</t>
  </si>
  <si>
    <t>Buildings Major Maintenance</t>
  </si>
  <si>
    <t>Tamar Street / Cherry Street Roundabout</t>
  </si>
  <si>
    <t>Roads Summary</t>
  </si>
  <si>
    <t>Add Loan Repayments</t>
  </si>
  <si>
    <t>Less Contributions to Loan Repayments</t>
  </si>
  <si>
    <t>Add Capital Transferred to Maintenance</t>
  </si>
  <si>
    <t>Add Capital Transferred to Heavy Patching</t>
  </si>
  <si>
    <t>McLeay Culvert (RMS)</t>
  </si>
  <si>
    <t>05/06</t>
  </si>
  <si>
    <t>06/07</t>
  </si>
  <si>
    <t>07/08</t>
  </si>
  <si>
    <t>08/09</t>
  </si>
  <si>
    <t>09/10</t>
  </si>
  <si>
    <t>10/11</t>
  </si>
  <si>
    <t>11/12</t>
  </si>
  <si>
    <t>12/13</t>
  </si>
  <si>
    <t>13/14</t>
  </si>
  <si>
    <t>14/15</t>
  </si>
  <si>
    <t>15/16</t>
  </si>
  <si>
    <t>16/17</t>
  </si>
  <si>
    <t>17/18</t>
  </si>
  <si>
    <t>18/19</t>
  </si>
  <si>
    <t>19/20</t>
  </si>
  <si>
    <t>20/21</t>
  </si>
  <si>
    <t>21/22</t>
  </si>
  <si>
    <t>22/23</t>
  </si>
  <si>
    <t>Roads Historical</t>
  </si>
  <si>
    <t>LTFP and links checked PM November 2013</t>
  </si>
  <si>
    <t>AMP checked/updated Corey November 2013</t>
  </si>
  <si>
    <t>Pavement (Ballina Bypass Rehab)</t>
  </si>
  <si>
    <t>Pavement (Alstonville Bypass Rehab)</t>
  </si>
  <si>
    <t>Note Re Comparison</t>
  </si>
  <si>
    <t>In respect to renewals the amount of</t>
  </si>
  <si>
    <t>funding in the LTFP reduces from 2018/19</t>
  </si>
  <si>
    <t xml:space="preserve">for approx 3 years. This is because funds </t>
  </si>
  <si>
    <t>are applied to 'new' works including:</t>
  </si>
  <si>
    <t>Hutley drive loan repayment</t>
  </si>
  <si>
    <t>Rocky point roundabout</t>
  </si>
  <si>
    <t>Teven rd climbing lanes</t>
  </si>
  <si>
    <t>Angels beach traffic signals</t>
  </si>
  <si>
    <t>DSP</t>
  </si>
  <si>
    <t>Bingle Ck Bridge (Demolition)</t>
  </si>
  <si>
    <t>2089.3457.0401</t>
  </si>
  <si>
    <t>River St / Moon St Roundabout</t>
  </si>
  <si>
    <t>4043.3346.0960</t>
  </si>
  <si>
    <t>22112.5206.0180</t>
  </si>
  <si>
    <t>22001.7636.0270</t>
  </si>
  <si>
    <t>Tamar &amp; Kerr St Ped Fac</t>
  </si>
  <si>
    <t>2024.6594.0401</t>
  </si>
  <si>
    <t>Funding Sources 2017/18</t>
  </si>
  <si>
    <t>Funding Source 2023/24</t>
  </si>
  <si>
    <t>2023/24</t>
  </si>
  <si>
    <t>2024/2025</t>
  </si>
  <si>
    <t>23/24</t>
  </si>
  <si>
    <t>22155.4266.0160</t>
  </si>
  <si>
    <t>1998.4266.0401</t>
  </si>
  <si>
    <t>Footpaths/Cycleways</t>
  </si>
  <si>
    <t>32101.4267.0401</t>
  </si>
  <si>
    <t>Trinity Place Path</t>
  </si>
  <si>
    <t>2024.4348.0401</t>
  </si>
  <si>
    <t>Employee Costs (Actual From Income Statements P &amp; L)</t>
  </si>
  <si>
    <t>32360.7636.0690</t>
  </si>
  <si>
    <t>Ballina Surf Club - Rooms Hire</t>
  </si>
  <si>
    <t>30004.0300.0300</t>
  </si>
  <si>
    <t>Sportsfields</t>
  </si>
  <si>
    <t>RWP Procedures</t>
  </si>
  <si>
    <t>35084.8609.0401</t>
  </si>
  <si>
    <t>35084.8610.0401</t>
  </si>
  <si>
    <t>Former Library - Licence Fee</t>
  </si>
  <si>
    <t>30025.0350.0401</t>
  </si>
  <si>
    <t>26120.8837.0235</t>
  </si>
  <si>
    <t>RICHMOND TWEED REGIONAL LIBRARY SERVICE</t>
  </si>
  <si>
    <t>LEP - Various</t>
  </si>
  <si>
    <t xml:space="preserve">Special Projects </t>
  </si>
  <si>
    <t>Interest on Naval Museum</t>
  </si>
  <si>
    <t>COMMUNITY SERVICES AND CUSTOMER SERVICE</t>
  </si>
  <si>
    <t>CULTURAL AND COMMUNITY SERVICES</t>
  </si>
  <si>
    <t>Cultural and Community Services</t>
  </si>
  <si>
    <t>Richmond Tweed Regional Library</t>
  </si>
  <si>
    <t>Cleaning Contracts</t>
  </si>
  <si>
    <t>Contribution to Salaries (Brown etc)</t>
  </si>
  <si>
    <t>Interest on Investments - Grant BBRC</t>
  </si>
  <si>
    <t>Crown Reserve Properties</t>
  </si>
  <si>
    <t>COMMUNITY CENTRES AND HALLS</t>
  </si>
  <si>
    <t>Community Centres and Halls</t>
  </si>
  <si>
    <t>Salaries and oncosts - Customer Service</t>
  </si>
  <si>
    <t>Old Ballina Library (Paradise FM)</t>
  </si>
  <si>
    <t>Festivals and Events Program</t>
  </si>
  <si>
    <t xml:space="preserve">Protective Clothing </t>
  </si>
  <si>
    <t>Ballina Bypass Works</t>
  </si>
  <si>
    <t>New House - Tree Allocations</t>
  </si>
  <si>
    <t>Ballina Library Precinct</t>
  </si>
  <si>
    <t xml:space="preserve">North Creek Dredging </t>
  </si>
  <si>
    <t>Festivals and Events</t>
  </si>
  <si>
    <t>Fawcett Park Cafe Rates and Charges</t>
  </si>
  <si>
    <t>Wardell Hall</t>
  </si>
  <si>
    <t>Strategic Planning Studies</t>
  </si>
  <si>
    <t>Section 94 Reviews</t>
  </si>
  <si>
    <t>Gallery Projects</t>
  </si>
  <si>
    <t>32262.5376.0401</t>
  </si>
  <si>
    <t>4087.8661.0960</t>
  </si>
  <si>
    <t>Prop Dev - 89 Tamar St Aircon</t>
  </si>
  <si>
    <t>Prop Dev - Purch Shelly Beach Land</t>
  </si>
  <si>
    <t>Prop Dev - ARC 50% Costs</t>
  </si>
  <si>
    <t>Prop Dev - Interest Earned</t>
  </si>
  <si>
    <t>Prop Dev- WUEA Costs</t>
  </si>
  <si>
    <t>Prop Dev - CSU Dividend</t>
  </si>
  <si>
    <t>Prop Dev - Southern X(norfolk) to</t>
  </si>
  <si>
    <t>Prop Dev - ARC Rental (50%)</t>
  </si>
  <si>
    <t>Community Facilities &amp; Cust Services</t>
  </si>
  <si>
    <t>4094.xxxx.0960</t>
  </si>
  <si>
    <t>22231.5259.0138</t>
  </si>
  <si>
    <t>Vacant Commercial Land Rentals</t>
  </si>
  <si>
    <t>Other Commercial Buildings</t>
  </si>
  <si>
    <t>Reimbursement of State Levy</t>
  </si>
  <si>
    <t>Clean Up Dumped and Orphan Waste</t>
  </si>
  <si>
    <t>Levy</t>
  </si>
  <si>
    <t>Flat Rock Improvements</t>
  </si>
  <si>
    <t>Special Projects</t>
  </si>
  <si>
    <t>21062.1820.0158</t>
  </si>
  <si>
    <t>4093.xxxx.0960</t>
  </si>
  <si>
    <t>LRM</t>
  </si>
  <si>
    <t>DWM</t>
  </si>
  <si>
    <t>NEWLOG</t>
  </si>
  <si>
    <t>Management Salaries and Oncosts</t>
  </si>
  <si>
    <t>Internal Audit Services</t>
  </si>
  <si>
    <t>Gallens Road Floodplain Study</t>
  </si>
  <si>
    <t>Water Office Annual Leave</t>
  </si>
  <si>
    <t>Water Office Sick Leave</t>
  </si>
  <si>
    <t>Water Office Long Service Leave</t>
  </si>
  <si>
    <t>Water Office Maternity and Other Leave</t>
  </si>
  <si>
    <t>Water Repairs Charged to Owner</t>
  </si>
  <si>
    <t>Water Mains - Operations</t>
  </si>
  <si>
    <t>Grants - Pensioner Subsidy Water</t>
  </si>
  <si>
    <t>Grants - Pensioner Subsidy Wastewater</t>
  </si>
  <si>
    <t>Drinking Water Management System</t>
  </si>
  <si>
    <t>Reuse Pipes Maintenance and Repairs</t>
  </si>
  <si>
    <t>NSW Health</t>
  </si>
  <si>
    <t>Water Pump and Bore Stations</t>
  </si>
  <si>
    <t>Transfer from Section 64 Recoupments</t>
  </si>
  <si>
    <t>Loan Funds Applied</t>
  </si>
  <si>
    <t>Transfer from Sec 64 Recoupments (BBRC)</t>
  </si>
  <si>
    <t>Transfer from Section 64 Recoupments BBRC</t>
  </si>
  <si>
    <t>Contributions - Section 64 Recoupments BBRC</t>
  </si>
  <si>
    <t>Wastewater Reserves</t>
  </si>
  <si>
    <t>Wastewater - Capital Expenditure Carried Forward</t>
  </si>
  <si>
    <t>General Managers Group</t>
  </si>
  <si>
    <t>Group Management and Administration</t>
  </si>
  <si>
    <t>General Fund Cash Deficit</t>
  </si>
  <si>
    <t>Library Per Capita</t>
  </si>
  <si>
    <t>Contribution to Richmond Tweed Library</t>
  </si>
  <si>
    <t>Library Sundries</t>
  </si>
  <si>
    <t>Group</t>
  </si>
  <si>
    <t>Fees</t>
  </si>
  <si>
    <t>COMMUNITY CENTRES AND HALLS (cont'd)</t>
  </si>
  <si>
    <t>Total Overhead Costs</t>
  </si>
  <si>
    <t>Admin</t>
  </si>
  <si>
    <t>Finance</t>
  </si>
  <si>
    <t>HR</t>
  </si>
  <si>
    <t>Fleet</t>
  </si>
  <si>
    <t>Angels Beach Dr</t>
  </si>
  <si>
    <t>2010.3137.0401</t>
  </si>
  <si>
    <t>2010.3140.0401</t>
  </si>
  <si>
    <t>Smith Dr Culvert</t>
  </si>
  <si>
    <t>Angels Beach Drive</t>
  </si>
  <si>
    <t>2093.3401.0401</t>
  </si>
  <si>
    <t>Marine Rescue Centre</t>
  </si>
  <si>
    <t>ARC Rental (50%)</t>
  </si>
  <si>
    <t>Dividend - Community Infrastructure</t>
  </si>
  <si>
    <t>Dividend - General Fund Operations</t>
  </si>
  <si>
    <t>Better Boating Program</t>
  </si>
  <si>
    <t>State - BBP - Fishery Creek Car Park</t>
  </si>
  <si>
    <t>State - BBP - Emigrant Creek Pontoon</t>
  </si>
  <si>
    <t>Roads to Recovery</t>
  </si>
  <si>
    <t>Road Works Contingency</t>
  </si>
  <si>
    <t>Balance to Investment Spreadsheet</t>
  </si>
  <si>
    <t>Vehicle Costs - Community Services</t>
  </si>
  <si>
    <t>Revised</t>
  </si>
  <si>
    <t>LIBRARY SERVICES</t>
  </si>
  <si>
    <t>Enforcement Expenses</t>
  </si>
  <si>
    <t>Abandoned Vehicles Compound</t>
  </si>
  <si>
    <t>Ballina Heights</t>
  </si>
  <si>
    <t>Wollongbar TAFE Field</t>
  </si>
  <si>
    <t>Environmental Action Plan</t>
  </si>
  <si>
    <t>Regional Centre Study</t>
  </si>
  <si>
    <t>Infrastructure - Comm Infra Res</t>
  </si>
  <si>
    <t>Salaries and Oncosts - Customer Service</t>
  </si>
  <si>
    <t>Other Revenues - Legals and Fines</t>
  </si>
  <si>
    <t>Commmunity Centres and Halls</t>
  </si>
  <si>
    <t>Development &amp; Envi Health Group</t>
  </si>
  <si>
    <t>Strategic &amp; Comm Facs Group</t>
  </si>
  <si>
    <t>RMS - Maguires Bridge</t>
  </si>
  <si>
    <t xml:space="preserve">Marketing and Destination Development </t>
  </si>
  <si>
    <t>Employee Costs - Engineering Works</t>
  </si>
  <si>
    <t>Vehicles</t>
  </si>
  <si>
    <t>Urban Lanes</t>
  </si>
  <si>
    <t>Grant Street (Tamar St to River)</t>
  </si>
  <si>
    <t>Martin Street (River St to Fawcett St</t>
  </si>
  <si>
    <t>Martin Street (Fawcett Street to River)</t>
  </si>
  <si>
    <t>Capital Works Checks</t>
  </si>
  <si>
    <t>Main Street Alstonville</t>
  </si>
  <si>
    <t>Ballina Street Lennox Head</t>
  </si>
  <si>
    <t>Commercial Road Alstonville</t>
  </si>
  <si>
    <t xml:space="preserve">Quays Drive West Ballina </t>
  </si>
  <si>
    <t>Robertson Street Alstonville</t>
  </si>
  <si>
    <t>Kerr Street Ballina</t>
  </si>
  <si>
    <t>Footpaths / Cycleways</t>
  </si>
  <si>
    <t>Budget Only</t>
  </si>
  <si>
    <t>Playground Improvements</t>
  </si>
  <si>
    <t>Sports Fields</t>
  </si>
  <si>
    <t>Playgrounds</t>
  </si>
  <si>
    <t>Rifle Range Road Part Segment 250</t>
  </si>
  <si>
    <t>Midgen Flat Road</t>
  </si>
  <si>
    <t>Uralba Road</t>
  </si>
  <si>
    <t>Ridgeway</t>
  </si>
  <si>
    <t xml:space="preserve">Maguires Bridge </t>
  </si>
  <si>
    <t>Bridges - Other</t>
  </si>
  <si>
    <t xml:space="preserve">Kentwell Centre </t>
  </si>
  <si>
    <t>Waste Received</t>
  </si>
  <si>
    <t>31083.1972.0401</t>
  </si>
  <si>
    <t>Car Park / Shade Covers</t>
  </si>
  <si>
    <t>Council Programs</t>
  </si>
  <si>
    <t>Human Resources and Risk</t>
  </si>
  <si>
    <t>Stormwater and Env</t>
  </si>
  <si>
    <t>Staff</t>
  </si>
  <si>
    <t>Info Tech</t>
  </si>
  <si>
    <t>Op Exp</t>
  </si>
  <si>
    <t>Overhead Distribution</t>
  </si>
  <si>
    <t>Rating</t>
  </si>
  <si>
    <t>Ballina Cenotaph</t>
  </si>
  <si>
    <t>32109.3030.0401</t>
  </si>
  <si>
    <t>Airport Income Growth (%)</t>
  </si>
  <si>
    <t>Interest on Loans (%)</t>
  </si>
  <si>
    <t>Interest on Investments (%)</t>
  </si>
  <si>
    <t>Salary and Oncost Increases (%)</t>
  </si>
  <si>
    <t>Financial Assistance Grant (%)</t>
  </si>
  <si>
    <t>Growth Rate for Rates (%)</t>
  </si>
  <si>
    <t>Rate Pegging Limit (%)</t>
  </si>
  <si>
    <t>Airport - Car Park and Shade</t>
  </si>
  <si>
    <t>Depreciation - Gallery</t>
  </si>
  <si>
    <t>Depreciation - Libraries</t>
  </si>
  <si>
    <t>Depreciation - Swimming Pools</t>
  </si>
  <si>
    <t>Original Cost</t>
  </si>
  <si>
    <t>Office and Depot Facilities</t>
  </si>
  <si>
    <t>Eng Mgm</t>
  </si>
  <si>
    <t>Dev Eng</t>
  </si>
  <si>
    <t>Gov</t>
  </si>
  <si>
    <t>GIS Staff - Salaries</t>
  </si>
  <si>
    <t>GIS</t>
  </si>
  <si>
    <t>Cont to Richmond River County Council</t>
  </si>
  <si>
    <t>Contributions from Self Funded Areas</t>
  </si>
  <si>
    <t>Building Insurance Rebates</t>
  </si>
  <si>
    <t>ENGINEERING MANAGEMENT</t>
  </si>
  <si>
    <t>Contributions and Rebates</t>
  </si>
  <si>
    <t>Buildings</t>
  </si>
  <si>
    <t>Consolidated Operating Result</t>
  </si>
  <si>
    <t>Community Buildings</t>
  </si>
  <si>
    <t xml:space="preserve">ALEC </t>
  </si>
  <si>
    <t xml:space="preserve">Ballina Naval Museum </t>
  </si>
  <si>
    <t>Library Buildings</t>
  </si>
  <si>
    <t>Animal Pound</t>
  </si>
  <si>
    <t>Stationery and Printing</t>
  </si>
  <si>
    <t>Buildings and Facilities</t>
  </si>
  <si>
    <t>Flat Rock Residence</t>
  </si>
  <si>
    <t>Depreciation - Commercial Buildings</t>
  </si>
  <si>
    <t>Chemicals and Cleaning</t>
  </si>
  <si>
    <t>Sites, Trees and Landscaping</t>
  </si>
  <si>
    <t>Depreciation - Flat Rock Tent Park</t>
  </si>
  <si>
    <t>Open Spaces - Buildings - Vandalism</t>
  </si>
  <si>
    <t>Open Spaces - Buildings</t>
  </si>
  <si>
    <t>Sport Fields - Buildings</t>
  </si>
  <si>
    <t>Shelly Beach Surf Club</t>
  </si>
  <si>
    <t>Sports Fields Buildings</t>
  </si>
  <si>
    <t>Depot and Administration Centre</t>
  </si>
  <si>
    <t>Administration Centre and Depot</t>
  </si>
  <si>
    <t>Interest on Loan</t>
  </si>
  <si>
    <t>Interest on Loans Alstonville Pool</t>
  </si>
  <si>
    <t>Annual Charges - Commercial Properties</t>
  </si>
  <si>
    <t>Fees - Self Haul Council (Works)</t>
  </si>
  <si>
    <t>Fees - Self Haul Council (DWM)</t>
  </si>
  <si>
    <t>Bulk Waste Collection Service</t>
  </si>
  <si>
    <t>SP3101 - Emerg Storage - Skennars Hd Rd</t>
  </si>
  <si>
    <t>SP2309 - Emerg Storage - Anderson St</t>
  </si>
  <si>
    <t>SP3002 - Emerg Storage - Rutherford St</t>
  </si>
  <si>
    <t>SP2013 - Upgrade Pumps - Skinner St</t>
  </si>
  <si>
    <t>Expansion Feasbility and Approvals</t>
  </si>
  <si>
    <t>Re-use</t>
  </si>
  <si>
    <t>Other Waste Costs</t>
  </si>
  <si>
    <t>Transfer and Export Costs</t>
  </si>
  <si>
    <t>Disposal of Dead Animals</t>
  </si>
  <si>
    <t>Disposal of Abandoned Vehicles</t>
  </si>
  <si>
    <t>Investigations, Leachate and Remediation</t>
  </si>
  <si>
    <t>Transfer Station Operations</t>
  </si>
  <si>
    <t>Weighbridge Operation</t>
  </si>
  <si>
    <t>Fees - Self Haul Inert</t>
  </si>
  <si>
    <t>Fees - Self Haul General</t>
  </si>
  <si>
    <t xml:space="preserve">Interest Earned on Reserve </t>
  </si>
  <si>
    <t>Building Maintenance</t>
  </si>
  <si>
    <t>Wigmore Building Maintenance</t>
  </si>
  <si>
    <t>89 Tamar St Building Maintenance</t>
  </si>
  <si>
    <t>ARC Southern Cross Maintenance</t>
  </si>
  <si>
    <t>Other Commercial Buildings - Insurance</t>
  </si>
  <si>
    <t>Other Commercial Buildings - Sundries</t>
  </si>
  <si>
    <t>Residential Properties - Maintenance</t>
  </si>
  <si>
    <t>Former Ballina Library - Maintenance</t>
  </si>
  <si>
    <t>Other  Open Spaces Amenities</t>
  </si>
  <si>
    <t>Other Community Buildings</t>
  </si>
  <si>
    <t>Surf Clubs</t>
  </si>
  <si>
    <t>Museum and Gallery</t>
  </si>
  <si>
    <t>Libraries</t>
  </si>
  <si>
    <t>Depreciation Costs (Bld &amp; Infra only)</t>
  </si>
  <si>
    <t>Population Growth Rate</t>
  </si>
  <si>
    <t>Transfer Preparation - Mixed Waste</t>
  </si>
  <si>
    <t>Transfer Preparation - Inert Waste</t>
  </si>
  <si>
    <t>Transfer Preparation - Recyclables</t>
  </si>
  <si>
    <t>Transfer - Mixed Waste</t>
  </si>
  <si>
    <t xml:space="preserve">Transfer - Inert Waste </t>
  </si>
  <si>
    <t>Transfer - Recyclables</t>
  </si>
  <si>
    <t>Transfer - Organics</t>
  </si>
  <si>
    <t>Reuse Organics, Soil and Concrete</t>
  </si>
  <si>
    <t>Collection Kerbside - Organics</t>
  </si>
  <si>
    <t>Re-use Organics</t>
  </si>
  <si>
    <t>Less Finance Reversal of Credit</t>
  </si>
  <si>
    <t>Less DWM Internal Charge</t>
  </si>
  <si>
    <t>Difference</t>
  </si>
  <si>
    <t>Tracy</t>
  </si>
  <si>
    <t>Cahill</t>
  </si>
  <si>
    <t>Group Mgrs</t>
  </si>
  <si>
    <t>Alstonville Community Pre-school</t>
  </si>
  <si>
    <t>Consolidated Results</t>
  </si>
  <si>
    <t>General Fund Results</t>
  </si>
  <si>
    <t>Public Halls and Museums</t>
  </si>
  <si>
    <t>Interest on Kentwell Centre</t>
  </si>
  <si>
    <t>Customer Services Staff - Salaries</t>
  </si>
  <si>
    <t>Rating - Salaries</t>
  </si>
  <si>
    <t>Comms</t>
  </si>
  <si>
    <t>Land</t>
  </si>
  <si>
    <t>Revs</t>
  </si>
  <si>
    <t>Cust Ser</t>
  </si>
  <si>
    <t>IS</t>
  </si>
  <si>
    <t>Less Internal Plant Charges</t>
  </si>
  <si>
    <t>Cost Per Employee</t>
  </si>
  <si>
    <t>% of Exp</t>
  </si>
  <si>
    <t>Crown Leases for Community Groups</t>
  </si>
  <si>
    <t>Crown Leases</t>
  </si>
  <si>
    <t>Offices / Proc</t>
  </si>
  <si>
    <t xml:space="preserve">Civil Salary Overheads - Salaries </t>
  </si>
  <si>
    <t>Rating Nos</t>
  </si>
  <si>
    <t>Operating Exps</t>
  </si>
  <si>
    <t>Operating Revs</t>
  </si>
  <si>
    <t>Staff No</t>
  </si>
  <si>
    <t>Jordan</t>
  </si>
  <si>
    <t>Caroline</t>
  </si>
  <si>
    <t>One Third Each</t>
  </si>
  <si>
    <t>Corporate Communications Salaries</t>
  </si>
  <si>
    <t>Community Land Salaries</t>
  </si>
  <si>
    <t>Road Safety Expenses</t>
  </si>
  <si>
    <t>Depot No 1 Buildings</t>
  </si>
  <si>
    <t>Depot No 1 Maintenance Contracts</t>
  </si>
  <si>
    <t>Open Spaces - Buildings - Insurance</t>
  </si>
  <si>
    <t xml:space="preserve">Open Spaces - Buildings - Electricity </t>
  </si>
  <si>
    <t>Open Spaces - Buildings - Rates</t>
  </si>
  <si>
    <t>Sport Fields - Insurance</t>
  </si>
  <si>
    <t>Sport Fields - Rates</t>
  </si>
  <si>
    <t>Sport Fields - Electricity</t>
  </si>
  <si>
    <t>Dredging</t>
  </si>
  <si>
    <t>Roads and Other Vegetation Projects</t>
  </si>
  <si>
    <t>Roadside Maintenance Coast Road</t>
  </si>
  <si>
    <t>Annual Charges - Residential Properties</t>
  </si>
  <si>
    <t>DWM Annual Collection Charge %</t>
  </si>
  <si>
    <t>DWM Annual Collection Charge - Urban $</t>
  </si>
  <si>
    <t>DWM Annual Collection Charge - Rural $</t>
  </si>
  <si>
    <t>LRM Annual Management Charge $</t>
  </si>
  <si>
    <t>Waste Management Residential</t>
  </si>
  <si>
    <t>Services Levied - Urban</t>
  </si>
  <si>
    <t xml:space="preserve">Services Levied - Rural </t>
  </si>
  <si>
    <t>Waste - Landfill and Resource Recovery</t>
  </si>
  <si>
    <t>Pressure Mgmt Zones (PMZs)</t>
  </si>
  <si>
    <t>Pump Stns - Ballina Hts Booster</t>
  </si>
  <si>
    <t>Pump Stns - Basalt Court Booster</t>
  </si>
  <si>
    <t>Pump Stns - East Ballina Booster</t>
  </si>
  <si>
    <t>Pump Stns - Russellton Booster</t>
  </si>
  <si>
    <t>Pump Stns - Wollongbar Booster</t>
  </si>
  <si>
    <t>SP3101 - Upgrade Pumps - Skennars Hd Rd</t>
  </si>
  <si>
    <t>SP2306 - Emerg Storage - Serpentine</t>
  </si>
  <si>
    <t>SP2301 - Upgrade Pumps - Ang Bch Dr</t>
  </si>
  <si>
    <t>SP4004 - Emergency Stor - Granada Pl</t>
  </si>
  <si>
    <t>Ballina Upgrade - Project Mgmt</t>
  </si>
  <si>
    <t>SP2108 - Storage Capacity</t>
  </si>
  <si>
    <t>Community Facilities - Summary</t>
  </si>
  <si>
    <t>Other Fees and Charges</t>
  </si>
  <si>
    <t>PROCUREMENT AND BUILDING MANAGEMENT</t>
  </si>
  <si>
    <t>Procurement and Building Management</t>
  </si>
  <si>
    <t>74 and 78 Tamar Street</t>
  </si>
  <si>
    <t xml:space="preserve">Group Total </t>
  </si>
  <si>
    <t>Technology Nos</t>
  </si>
  <si>
    <t>Staff Numbers</t>
  </si>
  <si>
    <t>Transport and Gate Fees Organics</t>
  </si>
  <si>
    <t>Transport and Gate Fees Mixed Waste</t>
  </si>
  <si>
    <t>Transport and Gate Fees Inert Waste</t>
  </si>
  <si>
    <t>Transport and Gate Fees Recyclates</t>
  </si>
  <si>
    <t>MGB Kerbside Collection Urban</t>
  </si>
  <si>
    <t>Kerbside Gate Fees Urban and Rural</t>
  </si>
  <si>
    <t>Gate Fees - Self Haul</t>
  </si>
  <si>
    <t>Gate Fees - Self Haul (Inert Waste)</t>
  </si>
  <si>
    <t>21000.1302.0061</t>
  </si>
  <si>
    <t>21020.1450.0062</t>
  </si>
  <si>
    <t>POE Act</t>
  </si>
  <si>
    <t>20002.1089.0166</t>
  </si>
  <si>
    <t>30003.1099.0401</t>
  </si>
  <si>
    <t>26130.8885.0226</t>
  </si>
  <si>
    <t>26122.8826.0231</t>
  </si>
  <si>
    <t>22155.4039.0179</t>
  </si>
  <si>
    <t>Lennox Ballina Fountainea</t>
  </si>
  <si>
    <t>Dev Ass</t>
  </si>
  <si>
    <t xml:space="preserve">Development Engineers - Salaries </t>
  </si>
  <si>
    <t>Journal</t>
  </si>
  <si>
    <t>Procurement and Building Mgmt</t>
  </si>
  <si>
    <t>Ordinary Rate</t>
  </si>
  <si>
    <t>Overhead Costs for Distribution</t>
  </si>
  <si>
    <t>Driver</t>
  </si>
  <si>
    <t>Staff Nos</t>
  </si>
  <si>
    <t>GIS Salaries</t>
  </si>
  <si>
    <t>Barnier</t>
  </si>
  <si>
    <t>Willis</t>
  </si>
  <si>
    <t>King</t>
  </si>
  <si>
    <t>Wright</t>
  </si>
  <si>
    <t>Salary Overhead (not oncosts)</t>
  </si>
  <si>
    <t>Customer Services Salaries</t>
  </si>
  <si>
    <t>Group Managers Salaries</t>
  </si>
  <si>
    <t>Notices Issued</t>
  </si>
  <si>
    <t>Infrastructure $</t>
  </si>
  <si>
    <t>Group Op Exps</t>
  </si>
  <si>
    <t>Salary Overhead Calculation</t>
  </si>
  <si>
    <t>Office Salaries and Oncosts</t>
  </si>
  <si>
    <t xml:space="preserve">Finance </t>
  </si>
  <si>
    <t>Percentage Overheads</t>
  </si>
  <si>
    <t>Steps</t>
  </si>
  <si>
    <t xml:space="preserve">Human Resources </t>
  </si>
  <si>
    <t>Admin Centre/Depot/Procurement</t>
  </si>
  <si>
    <t>Civil Salary Management</t>
  </si>
  <si>
    <t>Development Engineers - Salaries</t>
  </si>
  <si>
    <t xml:space="preserve">Development Services </t>
  </si>
  <si>
    <t>Group Mgrs and Pas</t>
  </si>
  <si>
    <t>Salaries including oncosts and overhead allocation distributed based on transactions</t>
  </si>
  <si>
    <t>Salaries</t>
  </si>
  <si>
    <t>Valuations</t>
  </si>
  <si>
    <t>Rating - Salaries and Direct Costs</t>
  </si>
  <si>
    <t>Salaries including oncosts and overhead allocation distributed based on infrastructure value sourced from latest available schedule 9a in Annual Statements - GIS records infrastructure</t>
  </si>
  <si>
    <t>Salaries including oncosts and overhead allocation distributed based on operating expenses for each program</t>
  </si>
  <si>
    <t>Salaries including oncosts and overhead allocation distributed based on operating revenues for each program</t>
  </si>
  <si>
    <t>Salaries including oncosts and overhead allocation distributed based on one third of community land being owned by General, Water and Wastewater operations</t>
  </si>
  <si>
    <t>Salaries including oncosts and overhead allocation distributed based on operating expenses for each program within the Civil Services Group</t>
  </si>
  <si>
    <t xml:space="preserve">Ballina Surf Club </t>
  </si>
  <si>
    <t>Portion</t>
  </si>
  <si>
    <t xml:space="preserve">Group Mgrs/PAs - SP&amp;CF, DEH </t>
  </si>
  <si>
    <t>% of salaries including oncosts and overhead allocation distributed based on infrastructure value sourced from schedule 9a in Annual Statements - Work relates to infrastructure</t>
  </si>
  <si>
    <t>% of salaries for two Group Managers and personal assistants, including oncosts and overhead allocation, distributed based on operating expenses for each program</t>
  </si>
  <si>
    <t>Overheads for Office Staff for Salaries (separate to oncosts)</t>
  </si>
  <si>
    <t>Ferry and Better Boating</t>
  </si>
  <si>
    <t>RMS</t>
  </si>
  <si>
    <t>Open Spaces</t>
  </si>
  <si>
    <t>LRM State Government Levy</t>
  </si>
  <si>
    <t>Pension Rebates - DWM</t>
  </si>
  <si>
    <t>RFS</t>
  </si>
  <si>
    <t>Specific Purposes Grants and Contributions Summary</t>
  </si>
  <si>
    <t>Sub Total - Operating Grants and Contributions</t>
  </si>
  <si>
    <t>Less Non Specific Items</t>
  </si>
  <si>
    <t>Less LIRS Loans (not specific)</t>
  </si>
  <si>
    <t>Total - Specific Grants and Contributions</t>
  </si>
  <si>
    <t xml:space="preserve">Administrative Services </t>
  </si>
  <si>
    <t xml:space="preserve">Financial Services </t>
  </si>
  <si>
    <t xml:space="preserve">Admin Centre/Depot/Purchasing </t>
  </si>
  <si>
    <t>% of operating expenses distributed based on infrastructure value sourced from schedule 9a in Annual Statements - Work relates to infrastructure</t>
  </si>
  <si>
    <t>Operating expenses distributed based on operating expenses for each program</t>
  </si>
  <si>
    <t>Operating expenses distributed based on operating expenses for each program - net cost has to be reduced by salaries and other costs already distributed in rating</t>
  </si>
  <si>
    <t>Operating expenses distributed based on technogology available for each program</t>
  </si>
  <si>
    <t>Operating expenses distributed based on staff numbers for each program</t>
  </si>
  <si>
    <t>32022.2490.0401</t>
  </si>
  <si>
    <t>32022.2493.0401</t>
  </si>
  <si>
    <t>32022.5461.0401</t>
  </si>
  <si>
    <t>32022.5462.0401</t>
  </si>
  <si>
    <t>32022.1964.0401</t>
  </si>
  <si>
    <t>Toilet Vandalism</t>
  </si>
  <si>
    <t>DWM Annual Collection Charge - Vacant Land $</t>
  </si>
  <si>
    <t>Services Levied - Vacant Land</t>
  </si>
  <si>
    <t>Sewer - Annual Access Charge (Connected) $</t>
  </si>
  <si>
    <t>Residential Connections (Connected) #</t>
  </si>
  <si>
    <t>Residential Connections (Not Connected) #</t>
  </si>
  <si>
    <t>Sewer - Annual Access Charge (Not Connected) $</t>
  </si>
  <si>
    <t>Sewer - Usage - Non Res (Increase Rev) $</t>
  </si>
  <si>
    <t>Procurement Salaries and Oncosts</t>
  </si>
  <si>
    <t>Capital Works Indexation (CPI Plus)</t>
  </si>
  <si>
    <t>Additional during year</t>
  </si>
  <si>
    <t>Overheads to Wastewater</t>
  </si>
  <si>
    <t>Overheads to Quarries</t>
  </si>
  <si>
    <t>Overheads to NEWLOG</t>
  </si>
  <si>
    <t>Overheads Check for Manual Entry</t>
  </si>
  <si>
    <t>32022.2576.0401</t>
  </si>
  <si>
    <t>32022.2583.0401</t>
  </si>
  <si>
    <t>32022.2577.0401</t>
  </si>
  <si>
    <t>32022.2578.0401</t>
  </si>
  <si>
    <t>32022.2579.0401</t>
  </si>
  <si>
    <t>32022.2580.0401</t>
  </si>
  <si>
    <t>32022.2581.0401</t>
  </si>
  <si>
    <t>32022.2582.0401</t>
  </si>
  <si>
    <t>(Balanced 5/6/14)</t>
  </si>
  <si>
    <t>Work Order #</t>
  </si>
  <si>
    <t>2103.7777.0401</t>
  </si>
  <si>
    <t>2220.6478.0401</t>
  </si>
  <si>
    <t>2351.4168.0401</t>
  </si>
  <si>
    <t>2351.6483.0401</t>
  </si>
  <si>
    <t>2351.4165.0401</t>
  </si>
  <si>
    <t>2200.6486.0401</t>
  </si>
  <si>
    <t>2225.6487.0401</t>
  </si>
  <si>
    <t>2128.3111.0401</t>
  </si>
  <si>
    <t>2130.7777.0401</t>
  </si>
  <si>
    <t>2131.7777.0401</t>
  </si>
  <si>
    <t>2132.7777.0401</t>
  </si>
  <si>
    <t>2108.7777.0401</t>
  </si>
  <si>
    <t>2112.7777.0401</t>
  </si>
  <si>
    <t>2113.7777.0401</t>
  </si>
  <si>
    <t>2115.7777.0401</t>
  </si>
  <si>
    <t>2118.7777.0401</t>
  </si>
  <si>
    <t>2120.7777.0401</t>
  </si>
  <si>
    <t>2122.7777.0401</t>
  </si>
  <si>
    <t>2123.7777.0401</t>
  </si>
  <si>
    <t>2124.7777.0401</t>
  </si>
  <si>
    <t>2125.7777.0401</t>
  </si>
  <si>
    <t>2126.7777.0401</t>
  </si>
  <si>
    <t>2127.7777.0401</t>
  </si>
  <si>
    <t>2133.7777.0401</t>
  </si>
  <si>
    <t>2338.7777.0401</t>
  </si>
  <si>
    <t>2030.4406.0401</t>
  </si>
  <si>
    <t>7001.3851.401</t>
  </si>
  <si>
    <t>7000.5285.401</t>
  </si>
  <si>
    <t>2138.7777.0401</t>
  </si>
  <si>
    <t>2139.7777.0401</t>
  </si>
  <si>
    <t>2140.7777.0401</t>
  </si>
  <si>
    <t>Employee Costs - Community Services</t>
  </si>
  <si>
    <t>Employee Costs - Customer Services</t>
  </si>
  <si>
    <t>Employee Costs and Overheads</t>
  </si>
  <si>
    <t>Community Services Programs</t>
  </si>
  <si>
    <t>Section 94 Road Plan Admin</t>
  </si>
  <si>
    <t>Balllina Heights Drive (LIRS)</t>
  </si>
  <si>
    <t>30001.3089.0401</t>
  </si>
  <si>
    <t>35100.0350.0401</t>
  </si>
  <si>
    <t>30025.8860.0401</t>
  </si>
  <si>
    <t>26084.8502.0138</t>
  </si>
  <si>
    <t>32201.8861.0401</t>
  </si>
  <si>
    <t>22030.8862.0160</t>
  </si>
  <si>
    <t>22112.8863.0179</t>
  </si>
  <si>
    <t>22112.3329.0179</t>
  </si>
  <si>
    <t>22210.4055.0160</t>
  </si>
  <si>
    <t>26070.8866.0950</t>
  </si>
  <si>
    <t>26084.8869.0138</t>
  </si>
  <si>
    <t>22155.4052.0179</t>
  </si>
  <si>
    <t>32348.7057.0401</t>
  </si>
  <si>
    <t>2091.3401.0401</t>
  </si>
  <si>
    <t>Roads - River/Moon St R'about</t>
  </si>
  <si>
    <t>Roads - Tamar/Cherry St R'about</t>
  </si>
  <si>
    <t>4043.3189.0960</t>
  </si>
  <si>
    <t>Comm Infra - Marine RescueTower</t>
  </si>
  <si>
    <t>4038.8754.0960</t>
  </si>
  <si>
    <t>Comm Infra - Ballina Cenotaph</t>
  </si>
  <si>
    <t>Comm Infra - Ballina Surf Club</t>
  </si>
  <si>
    <t>Comm Infra - Regional Sports centre</t>
  </si>
  <si>
    <t>Comm Infra - Com Bld Loans</t>
  </si>
  <si>
    <t>4055.5510.0960</t>
  </si>
  <si>
    <t>4038.8730.0960</t>
  </si>
  <si>
    <t>4094.8731.0960</t>
  </si>
  <si>
    <t>4538.7163.0961</t>
  </si>
  <si>
    <t>Prop Dev - Wollongbar Sportsfield</t>
  </si>
  <si>
    <t>4063.6294.0960</t>
  </si>
  <si>
    <t>Prop Dev - Southern X Costs</t>
  </si>
  <si>
    <t>Prop Dev - Russellton Costs</t>
  </si>
  <si>
    <t>Prop Dev - Wigmore Arcade</t>
  </si>
  <si>
    <t>Prop dev- WUEA Sales</t>
  </si>
  <si>
    <t>4587.8839.0961</t>
  </si>
  <si>
    <t>Prop dev- Alst Plaza Land Sale</t>
  </si>
  <si>
    <t>4587.8658.0961</t>
  </si>
  <si>
    <t>Procurement &amp; Building M'ment</t>
  </si>
  <si>
    <t>4038.8542.0960</t>
  </si>
  <si>
    <t>LH Surf Club (Ross St)</t>
  </si>
  <si>
    <t>Blackwater Study</t>
  </si>
  <si>
    <t>4042.3237.0960</t>
  </si>
  <si>
    <t>Gallans Rd Flood Study</t>
  </si>
  <si>
    <t>4531.3169.0960</t>
  </si>
  <si>
    <t>Roads contingency res</t>
  </si>
  <si>
    <t>4044.2828.0960</t>
  </si>
  <si>
    <t>Footpaths &amp; C/ways</t>
  </si>
  <si>
    <t>4046.4440.0960</t>
  </si>
  <si>
    <t>Kim Path Footpath Grant</t>
  </si>
  <si>
    <t>4045.4431.0960</t>
  </si>
  <si>
    <t>Coastal C/way RLCIP Grant</t>
  </si>
  <si>
    <t>4045.4459.0960</t>
  </si>
  <si>
    <t>Byron St Path Grant</t>
  </si>
  <si>
    <t>4045.4432.0960</t>
  </si>
  <si>
    <t>Shared Path (SIC)</t>
  </si>
  <si>
    <t>4046.4444.0960</t>
  </si>
  <si>
    <t>4045.4216.0960</t>
  </si>
  <si>
    <t>Shared Path (LA Carpark)</t>
  </si>
  <si>
    <t>Shared Path (DOT Bus Shelters)</t>
  </si>
  <si>
    <t>4045.4427.0960</t>
  </si>
  <si>
    <t>Shared Path (RTA roadsideVege)</t>
  </si>
  <si>
    <t>Shared Path (St Lighting)</t>
  </si>
  <si>
    <t>4046.2834.0960</t>
  </si>
  <si>
    <t>Shared Path (S/water plan)</t>
  </si>
  <si>
    <t>4046.2835.0960</t>
  </si>
  <si>
    <t>Shared Path (SES Bld)</t>
  </si>
  <si>
    <t>4046.2613.0960</t>
  </si>
  <si>
    <t>Shared Path (S94 AdminFees)</t>
  </si>
  <si>
    <t>4046.3168.0960</t>
  </si>
  <si>
    <t>Shared Path (Marine Infrastr)</t>
  </si>
  <si>
    <t>4046.4061.0960</t>
  </si>
  <si>
    <t>Shared Path (Ferry)</t>
  </si>
  <si>
    <t>4046.4064.0960</t>
  </si>
  <si>
    <t>Shared Path (Civil misc)</t>
  </si>
  <si>
    <t>4046.4439.0960</t>
  </si>
  <si>
    <t>Shared Path (Climate Adpt)</t>
  </si>
  <si>
    <t>4046.2614.0960</t>
  </si>
  <si>
    <t>Shared Path (Quarry)</t>
  </si>
  <si>
    <t>Boatramps fr SIC</t>
  </si>
  <si>
    <t>4050.4044.0960</t>
  </si>
  <si>
    <t>Martin St Boatharbour fr S/water</t>
  </si>
  <si>
    <t>4050.4062.0960</t>
  </si>
  <si>
    <t>Frip Oval Drainage</t>
  </si>
  <si>
    <t>4063.8436.0960</t>
  </si>
  <si>
    <t>Wollongbar Sportfield (Grant)</t>
  </si>
  <si>
    <t>Wollongbar Sportfield (Prop Dev)</t>
  </si>
  <si>
    <t>Wollongbar Sportfield (BHD rd)</t>
  </si>
  <si>
    <t>Budget Load</t>
  </si>
  <si>
    <t>W42.9999.0401</t>
  </si>
  <si>
    <t>W79.9999.0401</t>
  </si>
  <si>
    <t>W32.9999.0401</t>
  </si>
  <si>
    <t>W35.9999.0401</t>
  </si>
  <si>
    <t>W82.9999.0401</t>
  </si>
  <si>
    <t>W64.9999.0401</t>
  </si>
  <si>
    <t>W38.9999.0401</t>
  </si>
  <si>
    <t>W29.9999.0401</t>
  </si>
  <si>
    <t>W89.9999.0401</t>
  </si>
  <si>
    <t>W45.9999.0401</t>
  </si>
  <si>
    <t>W46.9999.0401</t>
  </si>
  <si>
    <t>W47.9999.0401</t>
  </si>
  <si>
    <t>W30.9999.0401</t>
  </si>
  <si>
    <t>W52.9999.0401</t>
  </si>
  <si>
    <t>W53.9999.0401</t>
  </si>
  <si>
    <t>W55.9999.0401</t>
  </si>
  <si>
    <t>W86.9999.0401</t>
  </si>
  <si>
    <t>W58.9999.0401</t>
  </si>
  <si>
    <t>W59.9999.0401</t>
  </si>
  <si>
    <t>W60.9999.0401</t>
  </si>
  <si>
    <t>W61.9999.0401</t>
  </si>
  <si>
    <t>W62.9999.0401</t>
  </si>
  <si>
    <t>W63.9999.0401</t>
  </si>
  <si>
    <t>W87.9999.0401</t>
  </si>
  <si>
    <t>W69.9999.0401</t>
  </si>
  <si>
    <t>W73.9999.0401</t>
  </si>
  <si>
    <t>W92.9999.0401</t>
  </si>
  <si>
    <t>W95.9999.0401</t>
  </si>
  <si>
    <t>W96.9999.0401</t>
  </si>
  <si>
    <t>W9.9999.0401</t>
  </si>
  <si>
    <t>W111.9999.0401</t>
  </si>
  <si>
    <t>W102.9999.0401</t>
  </si>
  <si>
    <t>W103.9999.0401</t>
  </si>
  <si>
    <t>W105.9999.0401</t>
  </si>
  <si>
    <t>W106.9999.0401</t>
  </si>
  <si>
    <t>W107.9999.0401</t>
  </si>
  <si>
    <t>Admin Building</t>
  </si>
  <si>
    <t>4520.8440.0961</t>
  </si>
  <si>
    <t>32312.6205.0401</t>
  </si>
  <si>
    <t>22150.4207.0165</t>
  </si>
  <si>
    <t>26081.8515.0226</t>
  </si>
  <si>
    <t>30002.1089.0401</t>
  </si>
  <si>
    <t>26085.7780.0950</t>
  </si>
  <si>
    <t>Ballina Surf Club (Indoor Sports)</t>
  </si>
  <si>
    <t>4038.7781.0960</t>
  </si>
  <si>
    <t>4038.7782.0960</t>
  </si>
  <si>
    <t>32348.7055.0401</t>
  </si>
  <si>
    <t>32348.7056.0401</t>
  </si>
  <si>
    <t>32350.7071.0401</t>
  </si>
  <si>
    <t>35050.0318.0340</t>
  </si>
  <si>
    <t>4045.4426.0960</t>
  </si>
  <si>
    <t>32101.3077.0622</t>
  </si>
  <si>
    <t>4610.3921.0961</t>
  </si>
  <si>
    <t>Pump Capacity Upgrade Program</t>
  </si>
  <si>
    <t>Emergency Storage Program</t>
  </si>
  <si>
    <t>W108.999.0401</t>
  </si>
  <si>
    <t>Public Art</t>
  </si>
  <si>
    <t>ADMINISTRATION CENTRE AND DEPOT FACILITIES</t>
  </si>
  <si>
    <t>Airport Art</t>
  </si>
  <si>
    <t>LEP - Blueseas</t>
  </si>
  <si>
    <t>LEP -1099 Burns Point Ferry Road</t>
  </si>
  <si>
    <t>Destination Development and Events</t>
  </si>
  <si>
    <t>Sundry (EFTPOS Charges)</t>
  </si>
  <si>
    <t>Sundry Fines</t>
  </si>
  <si>
    <t>Environmental / Public Health</t>
  </si>
  <si>
    <t>Public Order</t>
  </si>
  <si>
    <t>Mgmt Plans (Shaws Bay / Lake A)</t>
  </si>
  <si>
    <t>State Grant Projects</t>
  </si>
  <si>
    <t>Miscellaneous - Old Plan</t>
  </si>
  <si>
    <t>12010.4515.0103</t>
  </si>
  <si>
    <t>Add Members Contributions</t>
  </si>
  <si>
    <t>Net Change in Cash Reserves</t>
  </si>
  <si>
    <t>Cash Reserve Balance</t>
  </si>
  <si>
    <t>Add Opening Balance (incl ELE Res)</t>
  </si>
  <si>
    <t>Closing Balance (incl ELE Reserve)</t>
  </si>
  <si>
    <t>Rous Water</t>
  </si>
  <si>
    <t>WATER - CAPITAL EXPENDITURE</t>
  </si>
  <si>
    <t>Basalt Court Reservoir DMA</t>
  </si>
  <si>
    <t>SP2006 - Pump Capacity Upgrade</t>
  </si>
  <si>
    <t>SP2109 - Pump Capacity Upgrade</t>
  </si>
  <si>
    <t>SP2112 - Pump Capacity Upgrade</t>
  </si>
  <si>
    <t>Skennars Head Emerg Storage&amp;Pump Upgrade</t>
  </si>
  <si>
    <t>Event Signage</t>
  </si>
  <si>
    <t>Event Marquee Hire</t>
  </si>
  <si>
    <t>Administration Services</t>
  </si>
  <si>
    <t>Records Management</t>
  </si>
  <si>
    <t>Bank Charges and Sundry</t>
  </si>
  <si>
    <t>WH&amp;S Sundry Expenses</t>
  </si>
  <si>
    <t xml:space="preserve">Work Health and Safety </t>
  </si>
  <si>
    <t>Office Staff Uniforms</t>
  </si>
  <si>
    <t>74 Tamar Street</t>
  </si>
  <si>
    <t>78 Tamar Street</t>
  </si>
  <si>
    <t>30003.1106.0401</t>
  </si>
  <si>
    <t>30003.1105.0401</t>
  </si>
  <si>
    <t>Sub Total - Property Develop</t>
  </si>
  <si>
    <t>30002.1299.0401</t>
  </si>
  <si>
    <t>30002.1017.0401</t>
  </si>
  <si>
    <t>30002.1096.0401</t>
  </si>
  <si>
    <t>7508.4988.0401</t>
  </si>
  <si>
    <t>Depot and Procurement</t>
  </si>
  <si>
    <t>Admin Centre and Depot</t>
  </si>
  <si>
    <t>Payroll Tax and Other Expenses</t>
  </si>
  <si>
    <t>Roadside Vegetation Management Plan</t>
  </si>
  <si>
    <t>Community Programs</t>
  </si>
  <si>
    <t>Community Centres / Halls</t>
  </si>
  <si>
    <t>Depots and Procurement</t>
  </si>
  <si>
    <t>State - Swift St Bus Interchange</t>
  </si>
  <si>
    <t>Car Parks</t>
  </si>
  <si>
    <t>Roads Pre-Plan Sec 94</t>
  </si>
  <si>
    <t>LEP - Teven Rd</t>
  </si>
  <si>
    <t>Various Works</t>
  </si>
  <si>
    <t>Development &amp; Env Health Group</t>
  </si>
  <si>
    <t xml:space="preserve">Depreciation - Administration Centre </t>
  </si>
  <si>
    <t>Depreciation - Roads and Bridges</t>
  </si>
  <si>
    <t xml:space="preserve">Sub Total Recouped </t>
  </si>
  <si>
    <t>Land Stock Movements</t>
  </si>
  <si>
    <t>Clean Up Australia Day</t>
  </si>
  <si>
    <t>Wigmore Arcade - Refurbishment</t>
  </si>
  <si>
    <t>Interest as per Spreadsheets</t>
  </si>
  <si>
    <t xml:space="preserve">Cherry St </t>
  </si>
  <si>
    <t>2017.3401.0401</t>
  </si>
  <si>
    <t>Shaws Bay Management Plan</t>
  </si>
  <si>
    <t>22155.4038.0179</t>
  </si>
  <si>
    <t>Principal Repayments</t>
  </si>
  <si>
    <t>Loan Borrowing Interest Repayments</t>
  </si>
  <si>
    <t>Debt Service Cover Ratio - Consolidated</t>
  </si>
  <si>
    <t>Debt Service Cover Ratio (Consolidated)</t>
  </si>
  <si>
    <t>Reserves Balance (Water and W/W)</t>
  </si>
  <si>
    <t>Depreciation - Remediation - Quarries</t>
  </si>
  <si>
    <t>Less Unwinding Interest Free Loans</t>
  </si>
  <si>
    <t>Operating Result before Depreciation and Non Cash Items</t>
  </si>
  <si>
    <t>Add Back Unwinding Interest Free Loans</t>
  </si>
  <si>
    <t>Interest and Investment Revenues</t>
  </si>
  <si>
    <t>Total Income from Continuing Operations</t>
  </si>
  <si>
    <t>Employee Benefits and On-costs</t>
  </si>
  <si>
    <t>Depreciation and Amortisation</t>
  </si>
  <si>
    <t>Net Loss from Disposal of Assets</t>
  </si>
  <si>
    <t>Other Income:</t>
  </si>
  <si>
    <t>Net Gain from Disposal of Assets</t>
  </si>
  <si>
    <t>Total Expenses from Continuing Operations</t>
  </si>
  <si>
    <t>Net Operating Result for the Year</t>
  </si>
  <si>
    <t>Income Statement Check</t>
  </si>
  <si>
    <t>Grants and Contributions for Operating Purposes</t>
  </si>
  <si>
    <t>Grants and Contributions for Capital Purposes</t>
  </si>
  <si>
    <t>2353.3401.0401</t>
  </si>
  <si>
    <t>22155.4073.0179</t>
  </si>
  <si>
    <t>26081.8518.0226</t>
  </si>
  <si>
    <t>26084.8508.0138</t>
  </si>
  <si>
    <t>26084.8509.0138</t>
  </si>
  <si>
    <t>26130.8838.0226</t>
  </si>
  <si>
    <t>Ballina Gallery Café Outgoings</t>
  </si>
  <si>
    <t>Event Income Other</t>
  </si>
  <si>
    <t>26122.8824.0233</t>
  </si>
  <si>
    <t>22110.3220.0165</t>
  </si>
  <si>
    <t>22112.5192.0179</t>
  </si>
  <si>
    <t>Private Works Paid Up Front - Slashings</t>
  </si>
  <si>
    <t>22153.4281.0134</t>
  </si>
  <si>
    <t>32497.4214.0401</t>
  </si>
  <si>
    <t>22231.5264.0233</t>
  </si>
  <si>
    <t>22241.5761.0148</t>
  </si>
  <si>
    <t>Coastal Reserve</t>
  </si>
  <si>
    <t>32279.5671.0401</t>
  </si>
  <si>
    <t>12010.4511.0103</t>
  </si>
  <si>
    <t>Trade Waste Fixed</t>
  </si>
  <si>
    <t>Trade Waste Volumetric</t>
  </si>
  <si>
    <t>26028.7826.0138</t>
  </si>
  <si>
    <t>26028.7828.0138</t>
  </si>
  <si>
    <t>26028.7829.0138</t>
  </si>
  <si>
    <t>Credit Card Surcharge - CBA EFTPOS</t>
  </si>
  <si>
    <t>Credit Card Surcharge - POSTbillpay</t>
  </si>
  <si>
    <t>Credit Card Surcharge - Bpoint (CBA)</t>
  </si>
  <si>
    <t>35020.7832.0613</t>
  </si>
  <si>
    <t>35020.7833.0613</t>
  </si>
  <si>
    <t>35020.7836.0613</t>
  </si>
  <si>
    <t>Payment Provider Fees Bpoint (CBA)</t>
  </si>
  <si>
    <t>Payment Provider Fees Aust Post</t>
  </si>
  <si>
    <t>26045.7896.0270</t>
  </si>
  <si>
    <t xml:space="preserve">Internal Income </t>
  </si>
  <si>
    <t>26065.8576.0225</t>
  </si>
  <si>
    <t>26065.8537.0225</t>
  </si>
  <si>
    <t>Coast rd tobim close to bdy</t>
  </si>
  <si>
    <t>2086.3404.0401</t>
  </si>
  <si>
    <t>26065.8536.0225</t>
  </si>
  <si>
    <t>Wastewater Treatment Plant Ballina</t>
  </si>
  <si>
    <t>Wastewater Treatment Plant Lennox</t>
  </si>
  <si>
    <t>Wastewater Treatment Plant Alstonville</t>
  </si>
  <si>
    <t>Wastewater Treatment Plant Wardell</t>
  </si>
  <si>
    <t>Cap Gen Check</t>
  </si>
  <si>
    <t>Cash and Investments</t>
  </si>
  <si>
    <t>2024/25</t>
  </si>
  <si>
    <t>Airport - Car Park</t>
  </si>
  <si>
    <t>Loan Calculator - These figures need to stay for formulas to work</t>
  </si>
  <si>
    <t xml:space="preserve">New </t>
  </si>
  <si>
    <t>New</t>
  </si>
  <si>
    <t>Unrestricted Current Ratio - Water Fund</t>
  </si>
  <si>
    <t>Unrestricted Current Ratio (Water Fund)</t>
  </si>
  <si>
    <t>Unrestricted Current Ratio - Wastewater Fund</t>
  </si>
  <si>
    <t>Rates and Annual Charges Outstanding - General</t>
  </si>
  <si>
    <t>Rates and Charges Outstanding (General)</t>
  </si>
  <si>
    <t>Rates and Annual Charges Outstanding - Water</t>
  </si>
  <si>
    <t>Rates and Charges Outstanding (Water)</t>
  </si>
  <si>
    <t>Rates and Annual Charges Outstanding - Wastewater</t>
  </si>
  <si>
    <t>Rates and Charges Outstanding (Wastewater)</t>
  </si>
  <si>
    <t>Own Source Operating Revenue - Consolidated</t>
  </si>
  <si>
    <t xml:space="preserve">Own Source Operating Revenue - General </t>
  </si>
  <si>
    <t>Own Source Operating Revenue - (General)</t>
  </si>
  <si>
    <t>Own Source Operating Revenue - Water</t>
  </si>
  <si>
    <t>Own Source Operating Revenue (Water)</t>
  </si>
  <si>
    <t>Own Source Operating Revenue - Wastewater</t>
  </si>
  <si>
    <t>Own Source Operating Revenue (Wastewater)</t>
  </si>
  <si>
    <t>Debt Service Cover Ratio - Water</t>
  </si>
  <si>
    <t>Debt Service Cover Ratio (Water)</t>
  </si>
  <si>
    <t>Debt Service Cover Ratio - Wastewater</t>
  </si>
  <si>
    <t>Debt Service Cover Ratio (Wastewater)</t>
  </si>
  <si>
    <t>Cash Expense Cover Ratio (Consolidated)</t>
  </si>
  <si>
    <t>Cash Expense Cover Ratio - Consolidated</t>
  </si>
  <si>
    <t>Current Year Cash and Equivalents</t>
  </si>
  <si>
    <t>Payments from Cash Flows</t>
  </si>
  <si>
    <t xml:space="preserve">Cash Expense Cover Ratio - General </t>
  </si>
  <si>
    <t>Cash Expense Cover Ratio (General)</t>
  </si>
  <si>
    <t>Cash Expense Cover Ratio - Water</t>
  </si>
  <si>
    <t>Cash Expense Cover Ratio (Water)</t>
  </si>
  <si>
    <t>Cash Expense Cover Ratio - Wastewater</t>
  </si>
  <si>
    <t>Cash Expense Cover Ratio (Wastewater)</t>
  </si>
  <si>
    <t>Unrestricted Current Ratio (Wastewater Fund)</t>
  </si>
  <si>
    <t>Total Services</t>
  </si>
  <si>
    <t>Rous Water % Increase as per their LTFP</t>
  </si>
  <si>
    <t>Consolidated</t>
  </si>
  <si>
    <t>Cash Expense Cover Ratio</t>
  </si>
  <si>
    <t>Unrestricted Current Ratio - Target &gt; 1.5:1</t>
  </si>
  <si>
    <t>Operating Performance Ratio - Consolidated</t>
  </si>
  <si>
    <t>Operating Performance Ratio (Consolidated)</t>
  </si>
  <si>
    <t>Operating Performance Ratio - General</t>
  </si>
  <si>
    <t>Operating Performance Ratio (General)</t>
  </si>
  <si>
    <t xml:space="preserve">Operating Performance Ratio - Water </t>
  </si>
  <si>
    <t>Operating Performance Ratio (Water)</t>
  </si>
  <si>
    <t xml:space="preserve">Operating Performance Ratio - Wastewater </t>
  </si>
  <si>
    <t>Operating Performance Ratio (Wastewater)</t>
  </si>
  <si>
    <t>Rates and Annual Charges Outstanding - Target &lt; 10%</t>
  </si>
  <si>
    <t>Average Percentage Growth</t>
  </si>
  <si>
    <t>Bld &amp; Infrastructure Renewal Ratio (Water)</t>
  </si>
  <si>
    <t>Debt Service Cover Ratio - General</t>
  </si>
  <si>
    <t>Debt Service Cover Ratio (General)</t>
  </si>
  <si>
    <t>Bld &amp; Infrastructure Renewal Ratio - General</t>
  </si>
  <si>
    <t>Bld &amp; Infrastructure Renewal Ratio (General)</t>
  </si>
  <si>
    <t xml:space="preserve">Bld &amp; Infrastructure Renewal Ratio - Water </t>
  </si>
  <si>
    <t>Bld &amp; Infrastructure Renewal Ratio - Wastewater</t>
  </si>
  <si>
    <t>Bld &amp; Infrastructure Renewal Ratio (Wastewater)</t>
  </si>
  <si>
    <t>Externally Restricted Cash / Investments (Dev Conts)</t>
  </si>
  <si>
    <t>Less Fair Value Adjustments</t>
  </si>
  <si>
    <t>Less Capital Grants and Contributions</t>
  </si>
  <si>
    <t>Less Revaluation Decrements</t>
  </si>
  <si>
    <t>Adjusted Operating Result (Numerator)</t>
  </si>
  <si>
    <t>Adjusted Continuing Expenses</t>
  </si>
  <si>
    <t>Less Gain from Disposal of Assets</t>
  </si>
  <si>
    <t>Less Operating Grants and Contribution</t>
  </si>
  <si>
    <t>Fair Value Adjustments</t>
  </si>
  <si>
    <t>Total Continuing Income</t>
  </si>
  <si>
    <t>Three Year Average</t>
  </si>
  <si>
    <t>Cost Efficiency - General Fund</t>
  </si>
  <si>
    <t>Net Loss from the Disposal of Assets</t>
  </si>
  <si>
    <t>Revaluation Decrements</t>
  </si>
  <si>
    <t>Expenditure Deflated by</t>
  </si>
  <si>
    <t>Deflated Expenditure</t>
  </si>
  <si>
    <t>Gain from Disposal of Assets</t>
  </si>
  <si>
    <t>Total Continuing Income less Fair Value etc</t>
  </si>
  <si>
    <t>Excluding Capital Grants and Contributions</t>
  </si>
  <si>
    <t>Debt Service Ratio - Consolidated</t>
  </si>
  <si>
    <t>Debt Service Ratio - General</t>
  </si>
  <si>
    <t>Debt Service Ratio - Water</t>
  </si>
  <si>
    <t>Debt Service Ratio - Wastewater</t>
  </si>
  <si>
    <t>Excluding Fair Value Adjustments</t>
  </si>
  <si>
    <t>Excluding Gain From Disposal of Assets</t>
  </si>
  <si>
    <t>Debt Service Ratio (Consolidated)</t>
  </si>
  <si>
    <t>Debt Service Ratio (General)</t>
  </si>
  <si>
    <t>Debt Service Ratio (Water)</t>
  </si>
  <si>
    <t>Debt Service Ratio (Wastewater)</t>
  </si>
  <si>
    <t>Excluding Interest</t>
  </si>
  <si>
    <t>Excluding Depreciation</t>
  </si>
  <si>
    <t>Excluding Loss from from Disposal of Assets</t>
  </si>
  <si>
    <t>Excluding Revaluation Decrements</t>
  </si>
  <si>
    <t>Debt Service Cover Ratio - Target &gt; 2.0</t>
  </si>
  <si>
    <t>Net Expenses</t>
  </si>
  <si>
    <t>Cumulative Deflation</t>
  </si>
  <si>
    <t>Building and Infrastructure Renewals</t>
  </si>
  <si>
    <t>Infrastructure Backlog Ratio - General</t>
  </si>
  <si>
    <t>Estimated Cost to bring Assets to Standard</t>
  </si>
  <si>
    <t>Total WDV of Infrastructure and Buildings</t>
  </si>
  <si>
    <t>Actual Revenue Funding</t>
  </si>
  <si>
    <t>Ratios and Balance Sheet Checks</t>
  </si>
  <si>
    <t>Balance Sheets</t>
  </si>
  <si>
    <t>Operating Performance Ratio</t>
  </si>
  <si>
    <t>Own Source Operating Revenue Ratio</t>
  </si>
  <si>
    <t>Unrestricted Current Ratio</t>
  </si>
  <si>
    <t>Debt Service Ratio</t>
  </si>
  <si>
    <t>Debt Service Cover Ratio</t>
  </si>
  <si>
    <t>Rates and Annual Charges O/S Ratio</t>
  </si>
  <si>
    <t>Building and Infrastructure Renewal</t>
  </si>
  <si>
    <t>Externally Cash (not included in ratio calculation)</t>
  </si>
  <si>
    <t>Externally Restricted Receivables (not in ratio)</t>
  </si>
  <si>
    <t>Vacant Property Annual Charges</t>
  </si>
  <si>
    <t>Internal Plant Hire Charges</t>
  </si>
  <si>
    <t>User Fees and Charges - External</t>
  </si>
  <si>
    <t>User Fees and Charges - Internal</t>
  </si>
  <si>
    <t>Waste - Internal Fees and Charges</t>
  </si>
  <si>
    <t xml:space="preserve">Consolidated Result </t>
  </si>
  <si>
    <t xml:space="preserve">General </t>
  </si>
  <si>
    <t xml:space="preserve">Wastewater </t>
  </si>
  <si>
    <t>Business Marketing (Business Dividend)</t>
  </si>
  <si>
    <t>Contribution - FMS (Floods)</t>
  </si>
  <si>
    <t>32201.3917.0401</t>
  </si>
  <si>
    <t>Less Bitumen Reseals Transferred from Operating to Capital - Urban</t>
  </si>
  <si>
    <t>Less Bitumen Reseals Transferred from Operating to Capital - Rural</t>
  </si>
  <si>
    <t>Add Teven Road Loan Temporary Adjustment (cash flow needed due to down turn in revenues)</t>
  </si>
  <si>
    <t>This figure should be based on original transfer but then changed each year for adjustments</t>
  </si>
  <si>
    <t>Add Heavy Patching Transferred from Capital to Operating (original figure around $284,000 in 2012/13)</t>
  </si>
  <si>
    <t>Reseals Urban</t>
  </si>
  <si>
    <t>Rural Reseals</t>
  </si>
  <si>
    <t>Adjustment to make sure s/sheet balances - this is actually the shortfall or (surplus)</t>
  </si>
  <si>
    <t>Add monies transferred to fund Shared Pathway Capital Works (one off)</t>
  </si>
  <si>
    <t>Add monies transferred to Newrybar Car Park Capital Works (one off)</t>
  </si>
  <si>
    <t>Add monies transferred to Playground Equip Program Capital Works (one off)</t>
  </si>
  <si>
    <t>Shelly Beach Toilets (part)</t>
  </si>
  <si>
    <t>Transfer to Air Conditioning Reserve</t>
  </si>
  <si>
    <t>2011/12 Budget Forecasts</t>
  </si>
  <si>
    <t>Cumbalum Way - Loan</t>
  </si>
  <si>
    <t>Hutley Drive - Loan</t>
  </si>
  <si>
    <t>McLeavy Culvert - Loan</t>
  </si>
  <si>
    <t>Teven Bridges - Loan</t>
  </si>
  <si>
    <t>Less Teven Loan Funded from Reserves</t>
  </si>
  <si>
    <t>Forecast</t>
  </si>
  <si>
    <t>Roads - Section 94 New and Reconstruct</t>
  </si>
  <si>
    <t>2012/13 Budget Forecasts</t>
  </si>
  <si>
    <t>Less Teven Road Loan Temporary Adjustment (cash flow needed due to down turn in property transactions and planning approvals)</t>
  </si>
  <si>
    <t>Add Heavy Patching Transferred from Capital to Operating</t>
  </si>
  <si>
    <t>Add Additional Transfer to Urban Rads Heavy Patching</t>
  </si>
  <si>
    <t>2013/14 Budget Forecasts</t>
  </si>
  <si>
    <t>Add Additional Transfer to OSR re Tree Root Barriers</t>
  </si>
  <si>
    <t>Less Transfer from Coogee St Drainage re Cumb Culvert</t>
  </si>
  <si>
    <t>Add transfer to Op costs of BBRC scheme legals</t>
  </si>
  <si>
    <t>2014/15 Budget Forecasts</t>
  </si>
  <si>
    <t>Less Bitumen Urban</t>
  </si>
  <si>
    <t>Less Bitumen Rural</t>
  </si>
  <si>
    <t>Add Transfer to Shared Path</t>
  </si>
  <si>
    <t>Add Transger to Newrybar</t>
  </si>
  <si>
    <t>Add Transfer to Playground</t>
  </si>
  <si>
    <t>Add Other Transfer</t>
  </si>
  <si>
    <t>General Fund Rev Less Bitumen Plus Other</t>
  </si>
  <si>
    <t xml:space="preserve">Heavy Patching </t>
  </si>
  <si>
    <t>Variance from 2013/14</t>
  </si>
  <si>
    <t>Sec 94 Wollongbar Link Road</t>
  </si>
  <si>
    <t>Sec 94 Loans etc</t>
  </si>
  <si>
    <t>Shortfall in Funding</t>
  </si>
  <si>
    <t>Bank Charges EFTPOS Fees</t>
  </si>
  <si>
    <t>Add: Funds Transferred to Other Projects</t>
  </si>
  <si>
    <t>Pollution Control and Dredging</t>
  </si>
  <si>
    <t>Fit for the Future Additional Percentage (%)</t>
  </si>
  <si>
    <t>Combined Growth, Rate Peg and Fit for Future (%)</t>
  </si>
  <si>
    <t>Additional Transfer to Paths Maintenance</t>
  </si>
  <si>
    <t>Additional Transfer to Paths Inspections</t>
  </si>
  <si>
    <t>Additional Transfer to Signs</t>
  </si>
  <si>
    <t>Additional Transfer to Bus Shelters</t>
  </si>
  <si>
    <t>35076.8858.0401</t>
  </si>
  <si>
    <t>Wigmore Business Marketing</t>
  </si>
  <si>
    <t>Killen Falls works</t>
  </si>
  <si>
    <t>Transfer from Crawford House capital to Shelly Beach Surf club maintenance LCO11/12/14</t>
  </si>
  <si>
    <t>Add Back Unwinding of Interest Free Loans</t>
  </si>
  <si>
    <t>Eliminate Non-cash Movements</t>
  </si>
  <si>
    <t>Business Rates</t>
  </si>
  <si>
    <t>Water Annual Charges</t>
  </si>
  <si>
    <t>Wastewater Annual Charges</t>
  </si>
  <si>
    <t>Other Waste Charges</t>
  </si>
  <si>
    <t>Long Term Financial Plan Summary (including Internal Transcation Eliminations)</t>
  </si>
  <si>
    <t>Internal Charges - Reduce Total Income and Expenses</t>
  </si>
  <si>
    <t>LEP - Stewart Farm</t>
  </si>
  <si>
    <t xml:space="preserve">Grants and Contributions </t>
  </si>
  <si>
    <t>Rural Fire Service Approved Projects</t>
  </si>
  <si>
    <t>Contribution - Works</t>
  </si>
  <si>
    <t xml:space="preserve">Interest on Grant </t>
  </si>
  <si>
    <t>Staff Lease Fees</t>
  </si>
  <si>
    <t>Killen Falls</t>
  </si>
  <si>
    <t>LRM Dividends</t>
  </si>
  <si>
    <t>Total Dividend</t>
  </si>
  <si>
    <t>Road Capital</t>
  </si>
  <si>
    <t xml:space="preserve">Open Spaces </t>
  </si>
  <si>
    <t>Buildings - LRM Dividend</t>
  </si>
  <si>
    <t>Public Amenities - Improvements</t>
  </si>
  <si>
    <t>Water User Charges</t>
  </si>
  <si>
    <t>Water Consumption Charge Increase %</t>
  </si>
  <si>
    <t>Sundy User Charges</t>
  </si>
  <si>
    <t>RMS - Gateway Treatments</t>
  </si>
  <si>
    <t>State - Newrybar Fire Shed</t>
  </si>
  <si>
    <t>Surplus Land - Alstonville Plaza</t>
  </si>
  <si>
    <t xml:space="preserve">Land Sale - Standard Lots </t>
  </si>
  <si>
    <t>Land Sale - Large Lots</t>
  </si>
  <si>
    <t>Land Sale - Standard Lots</t>
  </si>
  <si>
    <t>SECTION 64 CONTRIBUTION MOVEMENTS</t>
  </si>
  <si>
    <t>RESERVE MOVEMENTS</t>
  </si>
  <si>
    <t>OPERATING RESULT AND FUND MOVEMENT</t>
  </si>
  <si>
    <t>50112.690</t>
  </si>
  <si>
    <t>Wastewater Reserves - Increase / (Decrease)</t>
  </si>
  <si>
    <t>55022.690</t>
  </si>
  <si>
    <t>Water Refurbishment Reserve and Working Capital</t>
  </si>
  <si>
    <t>Refurbishment / Working Cap - Increase / (Decrease)</t>
  </si>
  <si>
    <t>Increase / (Decrease) in Leave and Other Liabilities</t>
  </si>
  <si>
    <t xml:space="preserve">Transfers from / (to) Internal Reserves and Working </t>
  </si>
  <si>
    <t>CAPITAL GRANTS AND CONTRIBUTIONS - CASH</t>
  </si>
  <si>
    <t>Gain on Sale of Assets</t>
  </si>
  <si>
    <t>Less Heavy Patching Transferred from Operating to Capital - Urban</t>
  </si>
  <si>
    <t>Less Heavy Patching Transferred from Operating to Capital - Rural</t>
  </si>
  <si>
    <t>Loss on Disposal of Infrastructure</t>
  </si>
  <si>
    <t>Add Back Loss on Sale of Infrastructure</t>
  </si>
  <si>
    <t>Dividends - Water and Wastewater</t>
  </si>
  <si>
    <t>32350.7072.0401</t>
  </si>
  <si>
    <t>Internal Contribution to Depot</t>
  </si>
  <si>
    <t>Internal Contribution to Asset Management</t>
  </si>
  <si>
    <t>Internal Contribution to Trinity Place</t>
  </si>
  <si>
    <t>Total Contributions Eliminated</t>
  </si>
  <si>
    <t>22112.5066.179</t>
  </si>
  <si>
    <t>32348.7058.0401</t>
  </si>
  <si>
    <t>Adjustment - Unclear from Statements</t>
  </si>
  <si>
    <t>RMS Contribution</t>
  </si>
  <si>
    <t>Miscellaneous Contributions</t>
  </si>
  <si>
    <t>LIRS Subsidy</t>
  </si>
  <si>
    <t>Interest on Reserves and Loans</t>
  </si>
  <si>
    <t>Commissions - On Consignment</t>
  </si>
  <si>
    <t>Third Party Flood Modelling</t>
  </si>
  <si>
    <t>Diesel Rebate</t>
  </si>
  <si>
    <t>Sundry Revenues</t>
  </si>
  <si>
    <t>Scrap Metal Sales</t>
  </si>
  <si>
    <t>Waste Trucks - Internal Charges</t>
  </si>
  <si>
    <t>32110.0690.</t>
  </si>
  <si>
    <t>Loss on Disposal of Infrastructure Assets</t>
  </si>
  <si>
    <t>Add Back Unwinding Interest Free Loan</t>
  </si>
  <si>
    <t>Add Back Loss on Disposal of Infrastructure Assets</t>
  </si>
  <si>
    <t>Add Back Unwinding of Interest Free Loan NPV</t>
  </si>
  <si>
    <t>Add Back Loss on Disposal of Infra Assets</t>
  </si>
  <si>
    <t>Less Loss on Disposal of Infrastructure Assets</t>
  </si>
  <si>
    <t>32100.0690.</t>
  </si>
  <si>
    <t>Add Back Loss on Diposal of Infrastructure</t>
  </si>
  <si>
    <t>Add Back Loss from Disposal of Infrastructure</t>
  </si>
  <si>
    <t>Loss on Disposal of Plant &amp; Equipment</t>
  </si>
  <si>
    <t>32320.690.</t>
  </si>
  <si>
    <t>35120.0690.</t>
  </si>
  <si>
    <t>32266.690.</t>
  </si>
  <si>
    <t>32000.690.</t>
  </si>
  <si>
    <t>LTFP Check</t>
  </si>
  <si>
    <t>Ancillary</t>
  </si>
  <si>
    <t>State - BBP - Wardell Town Centre</t>
  </si>
  <si>
    <t>Rural Roads and Bridges</t>
  </si>
  <si>
    <t>LIRS Loan Subsidy</t>
  </si>
  <si>
    <t>BBRC</t>
  </si>
  <si>
    <t>Landfill Operations</t>
  </si>
  <si>
    <t>LRM Operations</t>
  </si>
  <si>
    <t>% Op Exp</t>
  </si>
  <si>
    <t xml:space="preserve">Charge </t>
  </si>
  <si>
    <t>Rating Exps</t>
  </si>
  <si>
    <t>Issued 15/16</t>
  </si>
  <si>
    <t>Nos 15/16</t>
  </si>
  <si>
    <t>Cost Drivers</t>
  </si>
  <si>
    <t>Debit 15/16</t>
  </si>
  <si>
    <t>Credit 15/16</t>
  </si>
  <si>
    <t>Less LRM Internal Charges</t>
  </si>
  <si>
    <t>Less Disposal on Infrastructure Assets</t>
  </si>
  <si>
    <t>Overhead Distribution - 2015/16</t>
  </si>
  <si>
    <t>ITEM</t>
  </si>
  <si>
    <t>ENGINEERING (ASSET) MANAGEMENT</t>
  </si>
  <si>
    <t>STRATEGIC PLANNING (cont'd)</t>
  </si>
  <si>
    <t>Lennox Head Cultural and Comm Centre</t>
  </si>
  <si>
    <t>Alstonville Leisure &amp; Entertainment Centre</t>
  </si>
  <si>
    <t>Salaries and oncosts - Comm Services</t>
  </si>
  <si>
    <t>Visitor Information Centre - Merchandise</t>
  </si>
  <si>
    <t>Kentwell Community Centre - Hire</t>
  </si>
  <si>
    <t>Kentwell Community Centre - Lease</t>
  </si>
  <si>
    <t>Ballina Surf Club - Café / Kiosk Outgoings</t>
  </si>
  <si>
    <t>Ballina Surf Club - Café / Kiosk Lease</t>
  </si>
  <si>
    <t>Salaries and Oncosts - Comm Centres</t>
  </si>
  <si>
    <t>Interest on Loans - Naval Museum</t>
  </si>
  <si>
    <t>Salaries and Oncosts - Comm Services</t>
  </si>
  <si>
    <t xml:space="preserve">Development App Advertising Fee </t>
  </si>
  <si>
    <t>Development App Compliance Levy</t>
  </si>
  <si>
    <t>Urgency Fee Certificate - Section 150</t>
  </si>
  <si>
    <t>Development App Fees (Building)</t>
  </si>
  <si>
    <t>Swimming Pools - Cert of Compliance</t>
  </si>
  <si>
    <t>Registrations / Inspections Food Regs</t>
  </si>
  <si>
    <t>Registrations / Inspections LG act</t>
  </si>
  <si>
    <t>LANDFILL AND RESOURCE MANAGEMENT (cont'd)</t>
  </si>
  <si>
    <t>Employee Costs - Mgmt and Admin</t>
  </si>
  <si>
    <t xml:space="preserve">Bus Shelters and Public Transport </t>
  </si>
  <si>
    <t>Domestic Waste Mgmt Annual Charges</t>
  </si>
  <si>
    <t>State Governent - Pensioner Subsidy</t>
  </si>
  <si>
    <t xml:space="preserve">Collection Kerbside - Recycling Disposal </t>
  </si>
  <si>
    <t>Section 94 Plans Administration Conts</t>
  </si>
  <si>
    <t>Administration Centre - Building Mtce</t>
  </si>
  <si>
    <t xml:space="preserve">Picnic Tables Construction / Installation </t>
  </si>
  <si>
    <t>Cont to RRCC - Drainage Union</t>
  </si>
  <si>
    <t>Cont to RRCC - CZMP</t>
  </si>
  <si>
    <t>Main Street - Cleaning - Alstonville</t>
  </si>
  <si>
    <t xml:space="preserve">Main Street - Cleaning - Ballina </t>
  </si>
  <si>
    <t>Operations Open Spaces and Reserves</t>
  </si>
  <si>
    <t>Donation - Mowing (Wardell / Alstonville)</t>
  </si>
  <si>
    <t>Nursery Buildings and Facilities - Mtce</t>
  </si>
  <si>
    <t xml:space="preserve">MGB Kerb Collection Business DWM </t>
  </si>
  <si>
    <t xml:space="preserve">Solid Waste Dust, Odour &amp; Vermin </t>
  </si>
  <si>
    <t>Dry Inert Spread, Compact &amp; Cover</t>
  </si>
  <si>
    <t xml:space="preserve">Add Back Depreciation and Non Cash </t>
  </si>
  <si>
    <t xml:space="preserve">Employee Costs - Infrastructure </t>
  </si>
  <si>
    <t>Conts - Road Safety Officer / Programs</t>
  </si>
  <si>
    <t>Add Back Loss on Infrastructure</t>
  </si>
  <si>
    <t>Add Back Loss on Infrastructure Assets</t>
  </si>
  <si>
    <t xml:space="preserve">Add Back Loss on Infrastructure </t>
  </si>
  <si>
    <t>Depreciation - Open Spaces</t>
  </si>
  <si>
    <t>Cemeteries - Operating Expenses</t>
  </si>
  <si>
    <t>Other Services</t>
  </si>
  <si>
    <t>Town Entry Beautification Program</t>
  </si>
  <si>
    <t>Cemeteries - Fees and Charges</t>
  </si>
  <si>
    <t>Waste Collection and Recycling</t>
  </si>
  <si>
    <t>OPEN SPACES AND RESERVES (cont'd)</t>
  </si>
  <si>
    <t>Landfill Maintenance</t>
  </si>
  <si>
    <t>Venm Management</t>
  </si>
  <si>
    <t>Community Groups - Council Fees</t>
  </si>
  <si>
    <t xml:space="preserve">Overheads Distributed </t>
  </si>
  <si>
    <t>Conferences and Training</t>
  </si>
  <si>
    <t>Commission - Rous Water Dev Apps</t>
  </si>
  <si>
    <t>Office Equipment Mtce and Rental</t>
  </si>
  <si>
    <t>Telephone After Hours Calls</t>
  </si>
  <si>
    <t xml:space="preserve">Transfers from Postponed Rates </t>
  </si>
  <si>
    <t xml:space="preserve">Transfers to Postponed Rates </t>
  </si>
  <si>
    <t>Abandoned Pensioners S160AA (BSC)</t>
  </si>
  <si>
    <t>Abandoned Pensioners S160AA (State)</t>
  </si>
  <si>
    <t>Revaluations (Finance) PPE</t>
  </si>
  <si>
    <t>Miscellanous Revenues (Insurance)</t>
  </si>
  <si>
    <t>Tintenbar Chambers (Alstonville)</t>
  </si>
  <si>
    <t>Interest on Investments - Comm Infras</t>
  </si>
  <si>
    <t>Interest on Investments - BBRC</t>
  </si>
  <si>
    <t>Ballina Heights Sales - BBRC Refunds</t>
  </si>
  <si>
    <t>WUEA Sales - BBRC Refunds</t>
  </si>
  <si>
    <t>Airport Building Area, Roads / Services</t>
  </si>
  <si>
    <t>Councillors Allowances and Exps</t>
  </si>
  <si>
    <t>Former Tintenbar Chambers - Mtce</t>
  </si>
  <si>
    <t>Former Ballina Chambers - Mtce</t>
  </si>
  <si>
    <t xml:space="preserve">Other Crown Commercial Buildings </t>
  </si>
  <si>
    <t>Fawcett Park Café Building Mtce</t>
  </si>
  <si>
    <t>Other Commercial Buildings - Mtce</t>
  </si>
  <si>
    <t>BALLINA - BYRON GATEWAY AIRPORT (cont'd)</t>
  </si>
  <si>
    <t>HUMAN RESOURCES AND RISK MANAGEMENT (cont'd)</t>
  </si>
  <si>
    <t>Funding Source 2024/25</t>
  </si>
  <si>
    <t>WASTEWATER - CAPITAL EXPENDITURE</t>
  </si>
  <si>
    <t>Add Back Loss on Infrasturcture Assets</t>
  </si>
  <si>
    <t>CAPITAL GRANTS AND CONTRIBUTIONS</t>
  </si>
  <si>
    <t>LOAN FUNDS APPLIED</t>
  </si>
  <si>
    <t>Insurance for Playgroups etc</t>
  </si>
  <si>
    <t>Car Parking - Sharpes Beach Rent</t>
  </si>
  <si>
    <t>Car Parking - Maintenance and Rates</t>
  </si>
  <si>
    <t>Other Beach Exps - Insurance / Permits</t>
  </si>
  <si>
    <t>Electricty, Heating and Cleaning</t>
  </si>
  <si>
    <t>Rates, Insurance and Security</t>
  </si>
  <si>
    <t>Visitor Centre Office Expenses</t>
  </si>
  <si>
    <t>Event Expenses - Other Groups</t>
  </si>
  <si>
    <t>Other Tourism Activities</t>
  </si>
  <si>
    <t>Tourism, Corporate Communications</t>
  </si>
  <si>
    <t>Deprec - Tourism Building and Assets</t>
  </si>
  <si>
    <t>Fire Control Expenses (Council Control)</t>
  </si>
  <si>
    <t>Donations - Rates / Charges</t>
  </si>
  <si>
    <t>Donations - SCU Scholarship</t>
  </si>
  <si>
    <t>Donations - Halls / Buildings</t>
  </si>
  <si>
    <t>Donations - Lighthouse Chairs</t>
  </si>
  <si>
    <t>Donations - General</t>
  </si>
  <si>
    <t>Donations - Planning Fees</t>
  </si>
  <si>
    <t>Other Subscriptions</t>
  </si>
  <si>
    <t>Lease - State Government - Crown Land</t>
  </si>
  <si>
    <t xml:space="preserve">Contribution - Ballina Surf Club - Kiosk </t>
  </si>
  <si>
    <t>Rental - State Govt - Crown (Pre-schools)</t>
  </si>
  <si>
    <t>Rental - State Govt - Crown Lands</t>
  </si>
  <si>
    <t>Net Increase / (Decrease) Leave Liabilities and Other Net Current Assets</t>
  </si>
  <si>
    <t xml:space="preserve">Contributions </t>
  </si>
  <si>
    <t>Contribution to Works and BBRC</t>
  </si>
  <si>
    <t>Other Maintenance</t>
  </si>
  <si>
    <t>Other Operations</t>
  </si>
  <si>
    <t>50113</t>
  </si>
  <si>
    <t>Water Treatment Plant</t>
  </si>
  <si>
    <t>Main Renewals</t>
  </si>
  <si>
    <t>Water Meter - Replacement</t>
  </si>
  <si>
    <t>Interest on Section 64 Contributions</t>
  </si>
  <si>
    <t>Contributions to Works and BBRC</t>
  </si>
  <si>
    <t>WATER OPERATIONS (cont'd)</t>
  </si>
  <si>
    <t>Add Back Loss on Infrastructure Disposal</t>
  </si>
  <si>
    <t>Abandoned Pensioners S160AA State</t>
  </si>
  <si>
    <t>Sales Direct From Bulk Filling Stations</t>
  </si>
  <si>
    <t>Abandoned Pensioners S16AA State</t>
  </si>
  <si>
    <t>Add Back Loss Infrastructure Disposal</t>
  </si>
  <si>
    <t>CAPITAL GRANTS AND CAPITAL CONTRIBUTIONS (cont'd)</t>
  </si>
  <si>
    <t>Wastewater Fund - Loan Principal and Interest Repayment Schedule</t>
  </si>
  <si>
    <t>Interim Draw Down</t>
  </si>
  <si>
    <t>10 Years Fixed - Renewable</t>
  </si>
  <si>
    <t>Renewal</t>
  </si>
  <si>
    <t>Date</t>
  </si>
  <si>
    <t>5 Years Fixed - Renewable</t>
  </si>
  <si>
    <t>(Ledger 5025.0945.0945)</t>
  </si>
  <si>
    <t>10 Years Interest Free</t>
  </si>
  <si>
    <t>Wastewater - Loan Principal and Interest Repayments - Ten Year Forward Plan</t>
  </si>
  <si>
    <t>Landfill Opening</t>
  </si>
  <si>
    <t xml:space="preserve">Ballina 2000/01 </t>
  </si>
  <si>
    <t xml:space="preserve">Ballina 2002/03 </t>
  </si>
  <si>
    <t xml:space="preserve">Ballina 2003/04 </t>
  </si>
  <si>
    <t>Ballina 2012/13 (LIRS) (Quarry Funded)</t>
  </si>
  <si>
    <t>Reseal (LIRS) (Quarry Funded)</t>
  </si>
  <si>
    <t>Net Operating Result Before Capital Income</t>
  </si>
  <si>
    <t>Application Fee VMC</t>
  </si>
  <si>
    <t>Net Movement in Other Working Capital Items</t>
  </si>
  <si>
    <t>Operating Grants Check (approx only)</t>
  </si>
  <si>
    <t>Total Operating Result - Surplus / (Deficit)</t>
  </si>
  <si>
    <t>Total Cash Result - Surplus / (Deficit)</t>
  </si>
  <si>
    <t>NET PROGRAM OPERATING RESULT</t>
  </si>
  <si>
    <t>Total Cash Operating Result - Surplus / (Deficit)</t>
  </si>
  <si>
    <t xml:space="preserve">Summary Net Operating Costs </t>
  </si>
  <si>
    <t>Interest on Loans - Alstonville</t>
  </si>
  <si>
    <t>Net Operating Cost (Excluding Deprec)</t>
  </si>
  <si>
    <t>Lake Ainsworth Management Plan</t>
  </si>
  <si>
    <t>DEH Group Management and Administration</t>
  </si>
  <si>
    <t>Interest on Loan Dog Pound</t>
  </si>
  <si>
    <t>Employee Costs Dissection</t>
  </si>
  <si>
    <t>Salaries and Wages</t>
  </si>
  <si>
    <t>ELE</t>
  </si>
  <si>
    <t>Superannuation - defined contribution</t>
  </si>
  <si>
    <t>Superannuation - defined benefit</t>
  </si>
  <si>
    <t>Workers Compensation Insurance</t>
  </si>
  <si>
    <t>FBT</t>
  </si>
  <si>
    <t>Training Costs</t>
  </si>
  <si>
    <t>Less Capitalised Cost</t>
  </si>
  <si>
    <t>Total Employee Costs Expensed</t>
  </si>
  <si>
    <t>Current</t>
  </si>
  <si>
    <t>Non-Current</t>
  </si>
  <si>
    <t>Movement In Provisions</t>
  </si>
  <si>
    <t>Increase</t>
  </si>
  <si>
    <t>Payments</t>
  </si>
  <si>
    <t>Closing Balance</t>
  </si>
  <si>
    <t>Opening Balance</t>
  </si>
  <si>
    <t>Provisions as per Annual Statements</t>
  </si>
  <si>
    <t>Net Increase (Decrease) in Current ELE</t>
  </si>
  <si>
    <t>Less Change in Minor Funds</t>
  </si>
  <si>
    <t>Net General Fund</t>
  </si>
  <si>
    <t>Minor Fund Provisions - Current</t>
  </si>
  <si>
    <t>Motor Vehicle Salaried Staff Charges</t>
  </si>
  <si>
    <t>State - Lake Ainsworth (PRMF)</t>
  </si>
  <si>
    <t>State - Marine Rescue Tower (PRMF)</t>
  </si>
  <si>
    <t>Essential Energy - Ballina Heights Drive</t>
  </si>
  <si>
    <t>RMS - 3x3 Rifle Range Rd</t>
  </si>
  <si>
    <t>Kingsford Smith Drive</t>
  </si>
  <si>
    <t xml:space="preserve">Public Transport Promotion </t>
  </si>
  <si>
    <t>Nursery Sales - External</t>
  </si>
  <si>
    <t>Nursery Sales - Council</t>
  </si>
  <si>
    <t xml:space="preserve">Rural Fire Service Fire Trails </t>
  </si>
  <si>
    <t xml:space="preserve">Crown Lands Weed Control </t>
  </si>
  <si>
    <t>Lake Ainsworth Mgmt Plan Actions</t>
  </si>
  <si>
    <t>Net Incr / (Decr) in Leave and Working Capital</t>
  </si>
  <si>
    <t>Former Tintenbar Chambers - Lic Fee</t>
  </si>
  <si>
    <t>Coastal Recreation Path Reserve</t>
  </si>
  <si>
    <t>Coastal Recreational Path</t>
  </si>
  <si>
    <t>Wharves Jetties and Pontoons</t>
  </si>
  <si>
    <t>SALARIES AND WAGES ANALYSIS</t>
  </si>
  <si>
    <t>General Fund Expense Impact Adopted Budget</t>
  </si>
  <si>
    <t>Total Oncost</t>
  </si>
  <si>
    <t>LSL</t>
  </si>
  <si>
    <t>Net Increase / (Decrease) Leave Liabilities</t>
  </si>
  <si>
    <t>Maternity Leave</t>
  </si>
  <si>
    <t>Percentage Change from Previous Year Original</t>
  </si>
  <si>
    <t>Community Event Program</t>
  </si>
  <si>
    <t>ANZAC Day</t>
  </si>
  <si>
    <t>Debt Service Ratio - Target &lt; 20% (Fit for the Future)</t>
  </si>
  <si>
    <t>Operating Performance Ratio - Target &gt; 0 average over three years (Fit for the Future)</t>
  </si>
  <si>
    <t>Own Source Operating Revenue  - Target &gt; 60% average over three years (Fit for the Future)</t>
  </si>
  <si>
    <t>Building and Infrastructure Asset Renewal Ratio - Target &gt; Greater than 100% average over three years (Fit for the Future)</t>
  </si>
  <si>
    <t>Infrastructure Backlog Ratio - Target &lt; 2% (Fit for the Future)</t>
  </si>
  <si>
    <t>Asset Maintenance Ratio - Target &gt; 100% average over three years (Fit for the Future)</t>
  </si>
  <si>
    <t>Asset Maintenance Data</t>
  </si>
  <si>
    <t>Total General Fund - Actual Annual Maintenance</t>
  </si>
  <si>
    <t>Water Supplies - Actual Annual Maintenance</t>
  </si>
  <si>
    <t>General Fund - Required Annual Maintenance</t>
  </si>
  <si>
    <t>Total Water Fund - Required Annual Maintenance</t>
  </si>
  <si>
    <t>Total Wastewater Fund - Required Annual Mtce</t>
  </si>
  <si>
    <t>Total - Actual Annual Maintenance</t>
  </si>
  <si>
    <t>Total - Required Annual Maintenace</t>
  </si>
  <si>
    <t>Wastewater Services - Actual Annual Maintenance</t>
  </si>
  <si>
    <t>Ratio</t>
  </si>
  <si>
    <t>Less Items that are not maintenance in linked accounts</t>
  </si>
  <si>
    <t>Population Data</t>
  </si>
  <si>
    <t>Real Operating Expenditure Per Capita Over Time (Fit for the Future) (Decrease Over Time)</t>
  </si>
  <si>
    <t>Ratio Check</t>
  </si>
  <si>
    <t>Skennars Head - Coast Rd</t>
  </si>
  <si>
    <t>W130.9999.0401</t>
  </si>
  <si>
    <t>Water - no internal eliminations</t>
  </si>
  <si>
    <t>Wastewater - no internal eliminations</t>
  </si>
  <si>
    <t>Consolidated - internal eliminations</t>
  </si>
  <si>
    <t xml:space="preserve">Total Eliminations </t>
  </si>
  <si>
    <t>Total Internal Rates, Annual Charges</t>
  </si>
  <si>
    <t>Heritage Programs</t>
  </si>
  <si>
    <t>Visitor Centre</t>
  </si>
  <si>
    <t xml:space="preserve">Operating Performance Ratio </t>
  </si>
  <si>
    <t>Own Source Operating Rev Ratio</t>
  </si>
  <si>
    <t>Asset Renewal Ratio</t>
  </si>
  <si>
    <t>Infrastructure Backlog Ratio</t>
  </si>
  <si>
    <t xml:space="preserve">Asset Maintenance Ratio </t>
  </si>
  <si>
    <t>Real Operating Expend Per Capita</t>
  </si>
  <si>
    <t>Lennox Head Community Centre</t>
  </si>
  <si>
    <t>Wollongbar Res Estate Selling Costs</t>
  </si>
  <si>
    <t xml:space="preserve">Pool Heating </t>
  </si>
  <si>
    <t>Sales - Maps</t>
  </si>
  <si>
    <t>Sales - Souvenirs</t>
  </si>
  <si>
    <t xml:space="preserve">Aboriginal Child / Family Centre Charges </t>
  </si>
  <si>
    <t>Office Exps, Advertising, Consultants</t>
  </si>
  <si>
    <t>Asset Management / Modelling</t>
  </si>
  <si>
    <t>Urban Roads - Heavy Patching</t>
  </si>
  <si>
    <t>Rural Roads Heavy Patching</t>
  </si>
  <si>
    <t>Commercial Activities &gt; 12mths</t>
  </si>
  <si>
    <t>Short Term Licences / Hire</t>
  </si>
  <si>
    <t>Duplicate Keys and Other Revenues</t>
  </si>
  <si>
    <t>Grants - Regional Works Crew</t>
  </si>
  <si>
    <t>Pacific Pines Fields</t>
  </si>
  <si>
    <t>Fire Control Expenses Council</t>
  </si>
  <si>
    <t>Environmental Monitoring and Approvals</t>
  </si>
  <si>
    <t>Waste Bailing Facility and Recycling</t>
  </si>
  <si>
    <t>Recycling Sundries</t>
  </si>
  <si>
    <t>Abandoned Pensioners (Council)</t>
  </si>
  <si>
    <t>Promotion and Education</t>
  </si>
  <si>
    <t>Coastal and Bushland Reserves</t>
  </si>
  <si>
    <t>Sports Fields - Operating Expenses</t>
  </si>
  <si>
    <t>E Waste</t>
  </si>
  <si>
    <t>Employee Support Services</t>
  </si>
  <si>
    <t>Earnings before Int, Dep (EBITDA)</t>
  </si>
  <si>
    <t>Civil Services (continued)</t>
  </si>
  <si>
    <t>Wollongbar BBRC</t>
  </si>
  <si>
    <t>31061.1795.0401</t>
  </si>
  <si>
    <t>RFS Control Centre Grounds/Clearing</t>
  </si>
  <si>
    <t>22280.6744.0041</t>
  </si>
  <si>
    <t>Recyclables Sales Paper</t>
  </si>
  <si>
    <t>Recyclables Sales Metal</t>
  </si>
  <si>
    <t>32340.4146.0401</t>
  </si>
  <si>
    <t xml:space="preserve">Education  </t>
  </si>
  <si>
    <t>10012.1310.0228</t>
  </si>
  <si>
    <t>Gain on Sale Assets</t>
  </si>
  <si>
    <t>35070.2597.0422</t>
  </si>
  <si>
    <t>35070.8554.0401</t>
  </si>
  <si>
    <t>Airport Evaluation</t>
  </si>
  <si>
    <t>26100.4117.0135</t>
  </si>
  <si>
    <t>Airport Leesee Reimbursement</t>
  </si>
  <si>
    <t>Southern Cross Drive Rehab</t>
  </si>
  <si>
    <t>Legal Expenses/Fines Income</t>
  </si>
  <si>
    <t>Oeprating Revs</t>
  </si>
  <si>
    <t>FINANCIAL INDICATORS - RATIO SUMMARY</t>
  </si>
  <si>
    <t>FINANCIAL INDICATORS - RATIO SUMMARY (CONT'D)</t>
  </si>
  <si>
    <t>WASTEWATER OPERATIONS (cont'd)</t>
  </si>
  <si>
    <t>Waste Levy</t>
  </si>
  <si>
    <t>Landfill - Levy Works</t>
  </si>
  <si>
    <t>W133.9999.0401</t>
  </si>
  <si>
    <t>W134.9999.0401</t>
  </si>
  <si>
    <t>BBRC Program</t>
  </si>
  <si>
    <t>26063</t>
  </si>
  <si>
    <t>Road Funding Capital Reconciliation</t>
  </si>
  <si>
    <t>Depot Capital Contributions Check</t>
  </si>
  <si>
    <t>Net Result ($'000)</t>
  </si>
  <si>
    <t>Wollongbar Skate Park</t>
  </si>
  <si>
    <t>Missingham Car Park</t>
  </si>
  <si>
    <t>Ballina Town Entry Treatments</t>
  </si>
  <si>
    <t>Captain Cook Master Plan</t>
  </si>
  <si>
    <t>East Wardell, Pontoon</t>
  </si>
  <si>
    <t xml:space="preserve">Community Infrastructure </t>
  </si>
  <si>
    <t>Aboriginal Heritage Programs</t>
  </si>
  <si>
    <t>Plant and Equipment Maintenance</t>
  </si>
  <si>
    <t>Add Back Loss on Disposal of Infrast</t>
  </si>
  <si>
    <t>Loss on Disposal of Infras Assets</t>
  </si>
  <si>
    <t>Capital Roads - General Revenue Funded</t>
  </si>
  <si>
    <t>Capital Bridges - General Revenue Funded</t>
  </si>
  <si>
    <t>RTR - Various Urban and Rural Projects</t>
  </si>
  <si>
    <t>Procurement Software Improvements</t>
  </si>
  <si>
    <t>SES Headquarters</t>
  </si>
  <si>
    <t>Swimming Pool - Ballina</t>
  </si>
  <si>
    <t>Swimming Pool - Alstonville</t>
  </si>
  <si>
    <t>Workshop Lifting Improvements</t>
  </si>
  <si>
    <t>Fig Tree Management Program</t>
  </si>
  <si>
    <t>Tree Planting Programs</t>
  </si>
  <si>
    <t>Tree Lopping and Maintenance</t>
  </si>
  <si>
    <t>Media and Production</t>
  </si>
  <si>
    <t>Amphitheatre / Skateparks - Insurance</t>
  </si>
  <si>
    <t>Section 94 Recouped to Community Infrastructure Reserve</t>
  </si>
  <si>
    <t>Lennox Car Parking</t>
  </si>
  <si>
    <t>Grants and Conts - Solar Panel Rebates</t>
  </si>
  <si>
    <t>Grants and Conts - Ballina Centre Study</t>
  </si>
  <si>
    <t>Grants and Conts - Other</t>
  </si>
  <si>
    <t xml:space="preserve">Community Facilities </t>
  </si>
  <si>
    <t>Urban Roads - Bitumen Reseals</t>
  </si>
  <si>
    <t>Rural Roads - Bitumen Reseals</t>
  </si>
  <si>
    <t>Rural Roads - Heavy Patching</t>
  </si>
  <si>
    <t>Sports Fields - Projects</t>
  </si>
  <si>
    <t>Coast Road Landslip Revegetation</t>
  </si>
  <si>
    <t>Precinct 5 Shelly / Lighthouse Beaches</t>
  </si>
  <si>
    <t xml:space="preserve">Precinct 3 Boulder to Sharpes </t>
  </si>
  <si>
    <t>Bailing Building Maintenance</t>
  </si>
  <si>
    <t>Bailing Building Electricity</t>
  </si>
  <si>
    <t>Bailing Equipment Maintenance</t>
  </si>
  <si>
    <t>Bailing Equipment Cardboard</t>
  </si>
  <si>
    <t>20001.1110.0061</t>
  </si>
  <si>
    <t>30003.1110.0401</t>
  </si>
  <si>
    <t>Cawarra Pk drainage</t>
  </si>
  <si>
    <t>W139.9999.401</t>
  </si>
  <si>
    <t>W138.9999.0401</t>
  </si>
  <si>
    <t>Contract Alstonville Extra Lifesavers</t>
  </si>
  <si>
    <t>Contract Ballina Extra Lifesavers</t>
  </si>
  <si>
    <t>Depreciation - Maritime Infrastructure</t>
  </si>
  <si>
    <t>Depreciation - Maritime</t>
  </si>
  <si>
    <t>Fishery Creek - Pontoon</t>
  </si>
  <si>
    <t>Faulks Reserve – Pontoon</t>
  </si>
  <si>
    <t>North Creek Road, Lennox - Ramp</t>
  </si>
  <si>
    <t>Brunswick Street, Ballina - Ramp</t>
  </si>
  <si>
    <t>State - RBP - East Wardell, Pontoon</t>
  </si>
  <si>
    <t>State - RBP - Captain Cook Park – Pontoons</t>
  </si>
  <si>
    <t>State - RBP - Faulks Reserve – Pontoon</t>
  </si>
  <si>
    <t>State - RBP - Emigrant Creek - Access</t>
  </si>
  <si>
    <t>State - RBP - Nth Ck Road, Lennox - Ramp</t>
  </si>
  <si>
    <t>State - RBP - Brunswick St, Ballina - Ramp</t>
  </si>
  <si>
    <t>Add Funds Financing Regional Boating Plan Works</t>
  </si>
  <si>
    <t>Contributions (Depot / Admin Capital)</t>
  </si>
  <si>
    <t>35152.7725.0401</t>
  </si>
  <si>
    <t>Income from Continuing Operations</t>
  </si>
  <si>
    <t>Revenue</t>
  </si>
  <si>
    <t>Other Income</t>
  </si>
  <si>
    <t>Expenses from Continuing Operations</t>
  </si>
  <si>
    <t>Employee Benefits and On-Costs</t>
  </si>
  <si>
    <t>Total Expense from Continuing Operations</t>
  </si>
  <si>
    <t>Operating Result from Continuing Operations</t>
  </si>
  <si>
    <t>Net Operating Result before Capital Grants and Contributions Provided for Capital Purposes</t>
  </si>
  <si>
    <t>Surveying Equipment</t>
  </si>
  <si>
    <t>Water Reservoirs</t>
  </si>
  <si>
    <t>Underbore - Ross Lane</t>
  </si>
  <si>
    <t>Main Renewal - Smith Drive</t>
  </si>
  <si>
    <t>East Ballina Boosted PZ Aug</t>
  </si>
  <si>
    <t>Wardell Mains</t>
  </si>
  <si>
    <t>North Ballina Reticulation Mains</t>
  </si>
  <si>
    <t>North Ballina Distribution Mains</t>
  </si>
  <si>
    <t>Pine Ave Distribution Mains</t>
  </si>
  <si>
    <t>Ballina Island Distribution Mains</t>
  </si>
  <si>
    <t>Lennox Head Mains</t>
  </si>
  <si>
    <t>Russellton Reticulation Mains</t>
  </si>
  <si>
    <t>Pacific Pine Distribution Main</t>
  </si>
  <si>
    <t>West Ballina Bypass Distn Main</t>
  </si>
  <si>
    <t>Lennox Palms Dist and Reticulation</t>
  </si>
  <si>
    <t>Marom Creek WTP - Chem Storage</t>
  </si>
  <si>
    <t xml:space="preserve">Marom Creek WTP - SCADA </t>
  </si>
  <si>
    <t xml:space="preserve">Marom Creek WTP - Process </t>
  </si>
  <si>
    <t>Marom Creek WTP - Renewals</t>
  </si>
  <si>
    <t>CURA B Distribution Main</t>
  </si>
  <si>
    <t xml:space="preserve">Bore Pump Ellis Road </t>
  </si>
  <si>
    <t>Reservoirs Maintenance</t>
  </si>
  <si>
    <t>Water Quality Testing</t>
  </si>
  <si>
    <t>SP3001 - Pump Stn - Byron Street, Lennox</t>
  </si>
  <si>
    <t>SP3110 - Pump Stn - Montwood Drive</t>
  </si>
  <si>
    <t>SP5006 - Richmond St Storage and Gravity</t>
  </si>
  <si>
    <t xml:space="preserve">SP2402 - Lindsay Avenue </t>
  </si>
  <si>
    <t>Ballina - Post Completion Works</t>
  </si>
  <si>
    <t>Ballina Treatment Plant Upgrade</t>
  </si>
  <si>
    <t>Lennox Head Treatment Plant Upgrade</t>
  </si>
  <si>
    <t>Alstonville Treatment Plant Upgrade</t>
  </si>
  <si>
    <t>Treatment Facilities - Minor Capital</t>
  </si>
  <si>
    <t xml:space="preserve">Ballina - Solar </t>
  </si>
  <si>
    <t>Wardell Treatment Plant Upgrade</t>
  </si>
  <si>
    <t>SP4006 - Gravity Sewer A'ville</t>
  </si>
  <si>
    <t>WWTP40 - Gravity Main A'ville</t>
  </si>
  <si>
    <t>GM4104 - Gravity Main Wollongbar</t>
  </si>
  <si>
    <t>GM4104 - Transfer Mains A'ville / W'bar</t>
  </si>
  <si>
    <t>GMWUEA - Gravity Mains</t>
  </si>
  <si>
    <t>Hutley Drive - Parallel Mains</t>
  </si>
  <si>
    <t>SP3111 - The Grove Rising Main</t>
  </si>
  <si>
    <t>GM2101 - Gravity Main West Ballina</t>
  </si>
  <si>
    <t>GM2104 - Gravity Main West Ballina</t>
  </si>
  <si>
    <t>SP2401 - Power Drive Rising Main Ext</t>
  </si>
  <si>
    <t>RM-PS6 - CURA B Transfer Rising Main</t>
  </si>
  <si>
    <t>Ocean Breeze Repair and Lining</t>
  </si>
  <si>
    <t>RW Distribution Storage and Completion</t>
  </si>
  <si>
    <t xml:space="preserve">Main Renewals  </t>
  </si>
  <si>
    <t>Service Connections</t>
  </si>
  <si>
    <t>New Wastewater Connection (Gravity)</t>
  </si>
  <si>
    <t>New Wastewater Connection (E-one)</t>
  </si>
  <si>
    <t>Reuse Program</t>
  </si>
  <si>
    <t>Lennox - Post Completion Works</t>
  </si>
  <si>
    <t>Wastewater Mains Maintenance</t>
  </si>
  <si>
    <t>Camera and Jetting Mains Maintenance</t>
  </si>
  <si>
    <t>5 Years Fixed - Rened 18/19</t>
  </si>
  <si>
    <t>Telemetry Maintenance</t>
  </si>
  <si>
    <t>Subscriptions and Software</t>
  </si>
  <si>
    <t>Miscellaneous Other</t>
  </si>
  <si>
    <t>WTP - Gum Creek Operating Expenses</t>
  </si>
  <si>
    <t>Mains Maintenance</t>
  </si>
  <si>
    <t xml:space="preserve">Water Reservoirs </t>
  </si>
  <si>
    <t xml:space="preserve">Water Energy Costs </t>
  </si>
  <si>
    <t>Water Pumping Stations - Operations</t>
  </si>
  <si>
    <t>Water Mains - Maintenance</t>
  </si>
  <si>
    <t>Water Connections - Maintenance</t>
  </si>
  <si>
    <t xml:space="preserve">Water Service Connections </t>
  </si>
  <si>
    <t>Ballina Heights Reservoir</t>
  </si>
  <si>
    <t>Bore Pump - Ellis Road</t>
  </si>
  <si>
    <t xml:space="preserve">Bore Pump  - Lindendale Road </t>
  </si>
  <si>
    <t>Sewage Pumping Station Operations</t>
  </si>
  <si>
    <t>Pumping Stations - Operations</t>
  </si>
  <si>
    <t xml:space="preserve">Wastewater Energy Costs </t>
  </si>
  <si>
    <t>Sewage Pumping Station Maintenance</t>
  </si>
  <si>
    <t>Pumping Stations - Maintenance</t>
  </si>
  <si>
    <t>Treatment Plants - Operations</t>
  </si>
  <si>
    <t>Treatment Plants - Biosolids</t>
  </si>
  <si>
    <t>Treatment Plants - Maintenance</t>
  </si>
  <si>
    <t>Mains - Maintenance</t>
  </si>
  <si>
    <t>Camera and Jetting</t>
  </si>
  <si>
    <t xml:space="preserve">Other Operations </t>
  </si>
  <si>
    <t>Mains - Operations</t>
  </si>
  <si>
    <t>Water Quality Testing (Recycled)</t>
  </si>
  <si>
    <t>Water Treatment Plants - Operations</t>
  </si>
  <si>
    <t>Water Treatment Plants - Maintenance</t>
  </si>
  <si>
    <t xml:space="preserve">Water Treatment Plants - Operations </t>
  </si>
  <si>
    <t>7000.3843.401</t>
  </si>
  <si>
    <t>Byron</t>
  </si>
  <si>
    <t>Coffs</t>
  </si>
  <si>
    <t>Lismore</t>
  </si>
  <si>
    <t>Tweed</t>
  </si>
  <si>
    <t>Richmond Valley</t>
  </si>
  <si>
    <t>Main Renewal - Recurrent</t>
  </si>
  <si>
    <t>Reservoirs - Access Upgrades</t>
  </si>
  <si>
    <t>Properties - Investment / Commercial</t>
  </si>
  <si>
    <t>Interest on Investments - Comm Infra</t>
  </si>
  <si>
    <t>Unwinding Remediation PV</t>
  </si>
  <si>
    <t>Remediation Unwinding PV</t>
  </si>
  <si>
    <t>20021.8519.148</t>
  </si>
  <si>
    <t>35162.8904.0401</t>
  </si>
  <si>
    <t>Netball Courts</t>
  </si>
  <si>
    <t>On Site Septic Management</t>
  </si>
  <si>
    <t>26120.7699.0233</t>
  </si>
  <si>
    <t>W146.9999.0401</t>
  </si>
  <si>
    <t>W145.9999.0401</t>
  </si>
  <si>
    <t>W147.9999.0401</t>
  </si>
  <si>
    <t>W150.9999.0401</t>
  </si>
  <si>
    <t>W148.9999.0401</t>
  </si>
  <si>
    <t>s94 Reseals</t>
  </si>
  <si>
    <t>s94 Heavy Patching</t>
  </si>
  <si>
    <t>RMS - Speed Zones</t>
  </si>
  <si>
    <t>2352.3414.0401</t>
  </si>
  <si>
    <t>Jabiru Park Play Equipment</t>
  </si>
  <si>
    <t>W122.9999.0401</t>
  </si>
  <si>
    <t>26005.4515.0800</t>
  </si>
  <si>
    <t>35080.4144.0647</t>
  </si>
  <si>
    <t>Commercial Properties - Electricity</t>
  </si>
  <si>
    <t>50108.3679.0401</t>
  </si>
  <si>
    <t>Installation of New Meters 20ml</t>
  </si>
  <si>
    <t>30003.1112.0401</t>
  </si>
  <si>
    <t>Martin Street (Richmond River to River St)</t>
  </si>
  <si>
    <t>Tanamera Drive</t>
  </si>
  <si>
    <t>Coogee St Pump Station</t>
  </si>
  <si>
    <t>Lennox Head Main Beach (refurbishment)</t>
  </si>
  <si>
    <t>Riverview Park (paint/repairs)</t>
  </si>
  <si>
    <t>Flat Rock (repairs)</t>
  </si>
  <si>
    <t>Grant St, Ballina</t>
  </si>
  <si>
    <t>Simpson Ave, Wollongbar</t>
  </si>
  <si>
    <t>Fox St, Ballina</t>
  </si>
  <si>
    <t>Tamarind Dr, North Ballina</t>
  </si>
  <si>
    <t>22282.6800.0223</t>
  </si>
  <si>
    <t>Hockey Club Rent</t>
  </si>
  <si>
    <t>Marine Rescue Tower (PRMF)</t>
  </si>
  <si>
    <t>Ledger #</t>
  </si>
  <si>
    <t>WO #</t>
  </si>
  <si>
    <t>n/a</t>
  </si>
  <si>
    <t>7000.4984.401</t>
  </si>
  <si>
    <t>7001.3850.401</t>
  </si>
  <si>
    <t>7001.3865.401</t>
  </si>
  <si>
    <t>7002.3863.401</t>
  </si>
  <si>
    <t>W144.9999.0401</t>
  </si>
  <si>
    <t>W128.9999.0401</t>
  </si>
  <si>
    <t>7006.5275.0401</t>
  </si>
  <si>
    <t>7006.5274.0401</t>
  </si>
  <si>
    <t>7503.4834.0401</t>
  </si>
  <si>
    <t>W123.9999.0401</t>
  </si>
  <si>
    <t>7503.4842.0401</t>
  </si>
  <si>
    <t>7503.4838.0401</t>
  </si>
  <si>
    <t>7503.5279.0401</t>
  </si>
  <si>
    <t>W109.9999.0401</t>
  </si>
  <si>
    <t>7504.3954.0401</t>
  </si>
  <si>
    <t>7510.5284.0401</t>
  </si>
  <si>
    <t>7531.4989.0401</t>
  </si>
  <si>
    <t>W110.9999.0401</t>
  </si>
  <si>
    <t>7532.4948.0401</t>
  </si>
  <si>
    <t>7507.4876.0401</t>
  </si>
  <si>
    <t>7507.4920.0401</t>
  </si>
  <si>
    <t>7507.5287.0401</t>
  </si>
  <si>
    <t>7500.5297.0401</t>
  </si>
  <si>
    <t>W141.9999.0401</t>
  </si>
  <si>
    <t>7500.5282.0401</t>
  </si>
  <si>
    <t>7500.5298.0401</t>
  </si>
  <si>
    <t>W142.9999.0401</t>
  </si>
  <si>
    <t>7500.5299.0401</t>
  </si>
  <si>
    <t>W143.9999.0401</t>
  </si>
  <si>
    <t>7508.5286.0401</t>
  </si>
  <si>
    <t>W129.9999.0401</t>
  </si>
  <si>
    <t>7508.5278.0401</t>
  </si>
  <si>
    <t>7508.5277.0401</t>
  </si>
  <si>
    <t>Marom Creek Rd</t>
  </si>
  <si>
    <t>Teven Rd - R2R</t>
  </si>
  <si>
    <t>7000.3946.401</t>
  </si>
  <si>
    <t>W357.9999.0401</t>
  </si>
  <si>
    <t>7001.3947.0401</t>
  </si>
  <si>
    <t>W368.9999.0401</t>
  </si>
  <si>
    <t>7001.3948.0401</t>
  </si>
  <si>
    <t>W369.9999.0401</t>
  </si>
  <si>
    <t>W337.9999.0401</t>
  </si>
  <si>
    <t>W370.9999.0401</t>
  </si>
  <si>
    <t>W371.9999.0401</t>
  </si>
  <si>
    <t>7007.3941.0401</t>
  </si>
  <si>
    <t>W372.9999.0401</t>
  </si>
  <si>
    <t>7007.3942.0401</t>
  </si>
  <si>
    <t>W373.9999.0401</t>
  </si>
  <si>
    <t>7007.3943.0401</t>
  </si>
  <si>
    <t>W338.9999.0401</t>
  </si>
  <si>
    <t>Water Meter - New &lt;20mm</t>
  </si>
  <si>
    <t>7009.3944.0401</t>
  </si>
  <si>
    <t>W339.9999.0401</t>
  </si>
  <si>
    <t>Water Meter - New &gt; 20mm</t>
  </si>
  <si>
    <t>W340.9999.0401</t>
  </si>
  <si>
    <t>7009.3945.0401</t>
  </si>
  <si>
    <t>W341.9999.0401</t>
  </si>
  <si>
    <t>7504.3955.0401</t>
  </si>
  <si>
    <t>W342.9999.0401</t>
  </si>
  <si>
    <t>7504.3956.0401</t>
  </si>
  <si>
    <t>W343.9999.0401</t>
  </si>
  <si>
    <t>7504.3957.0401</t>
  </si>
  <si>
    <t>W344.9999.0401</t>
  </si>
  <si>
    <t>7504.3958.0401</t>
  </si>
  <si>
    <t>W345.9999.0401</t>
  </si>
  <si>
    <t>7526.3960.0401</t>
  </si>
  <si>
    <t>W374.9999.0401</t>
  </si>
  <si>
    <t>7507.3961.0401</t>
  </si>
  <si>
    <t>W375.9999.0401</t>
  </si>
  <si>
    <t>W376.9999.0401</t>
  </si>
  <si>
    <t>7508.4891.0401</t>
  </si>
  <si>
    <t>Urban Roads - Airport Boulevard</t>
  </si>
  <si>
    <t>Ratio Summaries</t>
  </si>
  <si>
    <t>89 Tamar Street - Air-conditioning</t>
  </si>
  <si>
    <t>78 Tamar Street Car Park - Toilets</t>
  </si>
  <si>
    <t>East Wardell - Pontoon</t>
  </si>
  <si>
    <t>Sec 94</t>
  </si>
  <si>
    <t>CAPITAL EXPENDITURE - GENERAL FUND - ASSET RENEWAL RATIO CALCULATIONS</t>
  </si>
  <si>
    <t>Ballina Hockey Club</t>
  </si>
  <si>
    <t>FINANCIAL RATIOS - CALCULATIONS</t>
  </si>
  <si>
    <t>FINANCIAL RATIOS - CALCULATIONS (CONT'D)</t>
  </si>
  <si>
    <t>CAPITAL EXPENDITURE - GENERAL FUND (cont'd)</t>
  </si>
  <si>
    <t>WASTEWATER - CAPITAL EXPENDITURE (cont'd)</t>
  </si>
  <si>
    <t>GENERAL FUND - LOAN PRINCIPAL AND INTEREST REPAYMENT SCHEDULE</t>
  </si>
  <si>
    <t>Water Capital - Service Connection</t>
  </si>
  <si>
    <t>W377.9999.0401</t>
  </si>
  <si>
    <t>7510.5283.0401</t>
  </si>
  <si>
    <t>see breakup</t>
  </si>
  <si>
    <t>Bryron St Wardell</t>
  </si>
  <si>
    <t>Carlisle St Wardell</t>
  </si>
  <si>
    <t>2137.7777.0401</t>
  </si>
  <si>
    <t>2134.5483.0401</t>
  </si>
  <si>
    <t>2010.3110.0401</t>
  </si>
  <si>
    <t>2010.4037.0401</t>
  </si>
  <si>
    <t>Angels Beach Dr &amp; Links Av R/Bout</t>
  </si>
  <si>
    <t>2354.7777.0401</t>
  </si>
  <si>
    <t>W151.9999.0401</t>
  </si>
  <si>
    <t>2046.7777.0401</t>
  </si>
  <si>
    <t>2146.7777.0401</t>
  </si>
  <si>
    <t>2048.7777.0401</t>
  </si>
  <si>
    <t>2148.7777.0401</t>
  </si>
  <si>
    <t>2047.7777.0401</t>
  </si>
  <si>
    <t>2147.7777.0401</t>
  </si>
  <si>
    <t>22155.4434.0179</t>
  </si>
  <si>
    <t>23420.4462.0160</t>
  </si>
  <si>
    <t>Stormwater Management Plan</t>
  </si>
  <si>
    <t>Shared Path Section 3</t>
  </si>
  <si>
    <t>2157.7777.0401</t>
  </si>
  <si>
    <t>W389.9999.0401</t>
  </si>
  <si>
    <t>2151.7777.0401</t>
  </si>
  <si>
    <t>W381.9999.0401</t>
  </si>
  <si>
    <t>Grant St -R2R seg 20</t>
  </si>
  <si>
    <t>Fox St seg 40</t>
  </si>
  <si>
    <t>2152.7777.0401</t>
  </si>
  <si>
    <t>W382.9999.0401</t>
  </si>
  <si>
    <t>Marsh Ave seg 10</t>
  </si>
  <si>
    <t>2153.7777.0401</t>
  </si>
  <si>
    <t>W393.9999.0401</t>
  </si>
  <si>
    <t>Cawarra St seg 10</t>
  </si>
  <si>
    <t>2154.7777.0401</t>
  </si>
  <si>
    <t>W384.9999.0401</t>
  </si>
  <si>
    <t>2158.7777.0401</t>
  </si>
  <si>
    <t>W390.9999.0401</t>
  </si>
  <si>
    <t>W379.9999.0401</t>
  </si>
  <si>
    <t>2149.7777.0401</t>
  </si>
  <si>
    <t>W378.9999.0401</t>
  </si>
  <si>
    <t>Houghlahans Creek Rd pt seg 150</t>
  </si>
  <si>
    <t>2155.7777.0401</t>
  </si>
  <si>
    <t>W386.9999.0401</t>
  </si>
  <si>
    <t>2156.7777.0401</t>
  </si>
  <si>
    <t>W388.9999.0401</t>
  </si>
  <si>
    <t>Roads - Hutley Dr</t>
  </si>
  <si>
    <t>Comm Infra - Land Dale Dividend</t>
  </si>
  <si>
    <t>Comm Infra - Coastal Path</t>
  </si>
  <si>
    <t>Comm Infra - Wollongbar Skate Park</t>
  </si>
  <si>
    <t>Prop Dev - Norfolk Rental</t>
  </si>
  <si>
    <t>Prop Dev - Airport Boulevard</t>
  </si>
  <si>
    <t>Environmental &amp; Public Health</t>
  </si>
  <si>
    <t>Shaws Bay/Lake A Management Plan</t>
  </si>
  <si>
    <t>Env Protection Management Plans</t>
  </si>
  <si>
    <t>Roads Pre Plan s94</t>
  </si>
  <si>
    <t>Wardell Town Centure</t>
  </si>
  <si>
    <t>East Wardell Pontoon (Wardell TC)</t>
  </si>
  <si>
    <t>East Wardell Pontoon (Com Infra)</t>
  </si>
  <si>
    <t>Interest on s94 contributions</t>
  </si>
  <si>
    <t>Refer Cap Water, Total Cap Expenditure</t>
  </si>
  <si>
    <t>Refer Cap Water Funding Sources, Cap Expenditure being funded from s64</t>
  </si>
  <si>
    <t>Sum of recoups shown above</t>
  </si>
  <si>
    <t>NOTE A below</t>
  </si>
  <si>
    <t>NOTE A</t>
  </si>
  <si>
    <t>NOTE B</t>
  </si>
  <si>
    <t>NOTE B below</t>
  </si>
  <si>
    <t>Operating Surplus Cash W line 8</t>
  </si>
  <si>
    <t>Dividend, per Cash W</t>
  </si>
  <si>
    <t>Refer Cash WW line86</t>
  </si>
  <si>
    <t>Refer Cash WW line87</t>
  </si>
  <si>
    <t>Dividend, per Cash WW</t>
  </si>
  <si>
    <t>NOTE C below</t>
  </si>
  <si>
    <t>NOTE C</t>
  </si>
  <si>
    <t>Refer Cap WW, Total Cap Expenditure</t>
  </si>
  <si>
    <t>Refer Cap WW Funding Sources, Cap Expenditure being funded from s64</t>
  </si>
  <si>
    <t>Refer Debt WW, Principal paid</t>
  </si>
  <si>
    <t>NOTE D below</t>
  </si>
  <si>
    <t>NOTE D</t>
  </si>
  <si>
    <t>Operating Surplus Cash WW line 8</t>
  </si>
  <si>
    <t>4043.5193.0960</t>
  </si>
  <si>
    <t>4591.8670.0961</t>
  </si>
  <si>
    <t>4046.5194.0960</t>
  </si>
  <si>
    <t>4055.5195.0960</t>
  </si>
  <si>
    <t>4587.5196.0961</t>
  </si>
  <si>
    <t>4114.3195.0961</t>
  </si>
  <si>
    <t>4010.3213.0960</t>
  </si>
  <si>
    <t>4010.5198.0960</t>
  </si>
  <si>
    <t>4042.5200.0960</t>
  </si>
  <si>
    <t>4043.5201.0960</t>
  </si>
  <si>
    <t>4046.5202.0960</t>
  </si>
  <si>
    <t>4046.4451.0960</t>
  </si>
  <si>
    <t>4050.5203.0960</t>
  </si>
  <si>
    <t>4050.5204.0960</t>
  </si>
  <si>
    <t>4563.1188.0961</t>
  </si>
  <si>
    <t xml:space="preserve">Net </t>
  </si>
  <si>
    <t xml:space="preserve">Air Conditioning </t>
  </si>
  <si>
    <t>26050.7940.0200</t>
  </si>
  <si>
    <t>35100.4144.0647</t>
  </si>
  <si>
    <t>35125.4151.0405</t>
  </si>
  <si>
    <t>W149.9999.0401</t>
  </si>
  <si>
    <t>W391.9999.0401</t>
  </si>
  <si>
    <t>W419.9999.0401</t>
  </si>
  <si>
    <t>2172.7777.0401</t>
  </si>
  <si>
    <t>2215.6455.8800</t>
  </si>
  <si>
    <t>2102.3964.0401</t>
  </si>
  <si>
    <t>W394.9999.0401</t>
  </si>
  <si>
    <t>2101.0536.0401</t>
  </si>
  <si>
    <t>W395.9999.0401</t>
  </si>
  <si>
    <t>W396.9999.0401</t>
  </si>
  <si>
    <t>W397.9999.0401</t>
  </si>
  <si>
    <t>W398.9999.0401</t>
  </si>
  <si>
    <t>W400.9999.0401</t>
  </si>
  <si>
    <t>2200.3965.0401</t>
  </si>
  <si>
    <t>2200.3966.0401</t>
  </si>
  <si>
    <t>2200.3967.0401</t>
  </si>
  <si>
    <t>2200.3968.0401</t>
  </si>
  <si>
    <t>W402.9999.0401</t>
  </si>
  <si>
    <t>2160.7777.0401</t>
  </si>
  <si>
    <t>W418.9999.0401</t>
  </si>
  <si>
    <t>2171.7777.0401</t>
  </si>
  <si>
    <t>W153.9999.0401</t>
  </si>
  <si>
    <t>2010.3103.0401</t>
  </si>
  <si>
    <t>W413.9999.0401</t>
  </si>
  <si>
    <t>2162.7777.0401</t>
  </si>
  <si>
    <t>W412.9999.0401</t>
  </si>
  <si>
    <t>2161.7777.0401</t>
  </si>
  <si>
    <t>W403.9999.0401</t>
  </si>
  <si>
    <t>2170.7777.0401</t>
  </si>
  <si>
    <t>W404.9999.0401</t>
  </si>
  <si>
    <t>2164.7777.0401</t>
  </si>
  <si>
    <t>W405.9999.0401</t>
  </si>
  <si>
    <t>2165.7777.0401</t>
  </si>
  <si>
    <t>W406.9999.0401</t>
  </si>
  <si>
    <t>W407.9999.0401</t>
  </si>
  <si>
    <t>W408.9999.0401</t>
  </si>
  <si>
    <t>W409.9999.0401</t>
  </si>
  <si>
    <t>2167.7777.0401</t>
  </si>
  <si>
    <t>2168.7777.0401</t>
  </si>
  <si>
    <t>2169.7777.0401</t>
  </si>
  <si>
    <t>W401.9999.0401</t>
  </si>
  <si>
    <t>2134.3969.0401</t>
  </si>
  <si>
    <t>W414.9999.0401</t>
  </si>
  <si>
    <t>2207.5887.0401</t>
  </si>
  <si>
    <t>W415.9999.0401</t>
  </si>
  <si>
    <t>2207.5888.0401</t>
  </si>
  <si>
    <t>W416.9999.0401</t>
  </si>
  <si>
    <t>2207.5889.0401</t>
  </si>
  <si>
    <t>W383.9999.0401</t>
  </si>
  <si>
    <t>30002.1114.0401</t>
  </si>
  <si>
    <t>32001.0425.0401</t>
  </si>
  <si>
    <t>32001.0420.0401</t>
  </si>
  <si>
    <t>32001.2250.0401</t>
  </si>
  <si>
    <t>W162.9999.0401</t>
  </si>
  <si>
    <t>32022.1115.0401</t>
  </si>
  <si>
    <t>32022.2491.0401</t>
  </si>
  <si>
    <t>32022.2492.0401</t>
  </si>
  <si>
    <t>32265.5389.0401</t>
  </si>
  <si>
    <t>32322.6423.0401</t>
  </si>
  <si>
    <t>35125.4159.0401</t>
  </si>
  <si>
    <t>50113.3734.0401</t>
  </si>
  <si>
    <t>55020.4716.0401</t>
  </si>
  <si>
    <t>55020.4717.0401</t>
  </si>
  <si>
    <t>55020.4718.0401</t>
  </si>
  <si>
    <t>55022.3734.0401</t>
  </si>
  <si>
    <t>55022.3585.0401</t>
  </si>
  <si>
    <t>W154.9999.0401</t>
  </si>
  <si>
    <t>4044.5197.0960</t>
  </si>
  <si>
    <t>Road Plan - Former Plan</t>
  </si>
  <si>
    <t>Sub Total Recouped for Roads Pre-Plan</t>
  </si>
  <si>
    <t>Infrastructure Backlog Ratio (&lt; 2.0%)</t>
  </si>
  <si>
    <t>Real Operating Expend Per Capita (Decreasing real terms)</t>
  </si>
  <si>
    <t>Grants - Roads to Recovery</t>
  </si>
  <si>
    <t>Fit for the Future Results</t>
  </si>
  <si>
    <t>Asset Maintenance Ratio (&gt; 100%)</t>
  </si>
  <si>
    <t>Debt Service Ratio (&lt; 20%)</t>
  </si>
  <si>
    <t>Own Source Operating Rev Ratio (&gt; 70%)</t>
  </si>
  <si>
    <t>Asset Renewal Ratio (&gt; 100%)</t>
  </si>
  <si>
    <t xml:space="preserve">Operating Performance Ratio (&gt; 0%) </t>
  </si>
  <si>
    <t>General Fund - Working Funds Check</t>
  </si>
  <si>
    <t>TOURISM</t>
  </si>
  <si>
    <t>20 Million Trees</t>
  </si>
  <si>
    <t>Lennox Head CBD Masterplan</t>
  </si>
  <si>
    <t>LEP - Blue Seas Parade</t>
  </si>
  <si>
    <t>LEP - Reservoir Hill</t>
  </si>
  <si>
    <t>Administration Costs</t>
  </si>
  <si>
    <t>Private</t>
  </si>
  <si>
    <t>Main Renewal - Smith Drive Design</t>
  </si>
  <si>
    <t>Total Movement in Reserves (incl Sec 64)</t>
  </si>
  <si>
    <t>Gain on Sale of Equipment</t>
  </si>
  <si>
    <t>Fees and Fines</t>
  </si>
  <si>
    <t xml:space="preserve">Plant  Maintenance </t>
  </si>
  <si>
    <t xml:space="preserve">Fees </t>
  </si>
  <si>
    <t>Landstock</t>
  </si>
  <si>
    <t>Non-Cash Movements</t>
  </si>
  <si>
    <t>35072,3,4</t>
  </si>
  <si>
    <t>Flood Mgmt - Third Party Modelling</t>
  </si>
  <si>
    <t>Flood Mgmt - Management Plan</t>
  </si>
  <si>
    <t>Coastal Zone Management Plan</t>
  </si>
  <si>
    <t>Bypass Funds - Alstonville</t>
  </si>
  <si>
    <t xml:space="preserve">Private Works Paid in Arrears </t>
  </si>
  <si>
    <t>Interest Earned on Investments</t>
  </si>
  <si>
    <t xml:space="preserve">Grants - Sporting Fields </t>
  </si>
  <si>
    <t xml:space="preserve">Interest </t>
  </si>
  <si>
    <t>Organics Rollouts</t>
  </si>
  <si>
    <t>Organics Collection Urban Gate Fees</t>
  </si>
  <si>
    <t>Transfer Preparation - Mixed</t>
  </si>
  <si>
    <t>Transfer Preparation - Inert</t>
  </si>
  <si>
    <t>Transfer Preparation - Recyclates</t>
  </si>
  <si>
    <t>Gate - Council (DWM - Recyclables)</t>
  </si>
  <si>
    <t>Gate - Council (DWM - Mixed)</t>
  </si>
  <si>
    <t>Gate - Self Haul (Council Works)</t>
  </si>
  <si>
    <t>Non Rateable Charges</t>
  </si>
  <si>
    <t>Accrual 2014/15</t>
  </si>
  <si>
    <t>Green Street</t>
  </si>
  <si>
    <t>2010.3102.0401</t>
  </si>
  <si>
    <t>Skinners Street</t>
  </si>
  <si>
    <t>2010.3141.0401</t>
  </si>
  <si>
    <t>Section 94 Conts (External)</t>
  </si>
  <si>
    <t>Waste Levy (External)</t>
  </si>
  <si>
    <t>Management Plans (Part External)</t>
  </si>
  <si>
    <t>Alstonville Pre-School</t>
  </si>
  <si>
    <t>Alstonville Preshool</t>
  </si>
  <si>
    <t>Equipment Replacement</t>
  </si>
  <si>
    <t>Legal / Audit / Revaluations</t>
  </si>
  <si>
    <t>Coastal Path Reserve</t>
  </si>
  <si>
    <t>Recreational Boating Studies</t>
  </si>
  <si>
    <t>Boat Ramps and Infrastructure</t>
  </si>
  <si>
    <t xml:space="preserve">Loss on Disposal of Infrastructure </t>
  </si>
  <si>
    <t>10012.6370.</t>
  </si>
  <si>
    <t>Gain on Disposal of Plant and Equipment</t>
  </si>
  <si>
    <t>26026.7809.0190</t>
  </si>
  <si>
    <t>Investments Premium on Future Value</t>
  </si>
  <si>
    <t xml:space="preserve">Add Back Non-Cash Premium </t>
  </si>
  <si>
    <t>Premium Adjustments</t>
  </si>
  <si>
    <t xml:space="preserve">Add Back Non Cash Premium </t>
  </si>
  <si>
    <t>Non-cash Investment Premium</t>
  </si>
  <si>
    <t xml:space="preserve">Financial Services - General Purpose </t>
  </si>
  <si>
    <t xml:space="preserve">Human Resources and Risk </t>
  </si>
  <si>
    <t xml:space="preserve">Non Cash Investment Premium </t>
  </si>
  <si>
    <t xml:space="preserve">Add Back Non Cash Investment Premium </t>
  </si>
  <si>
    <t>Statements</t>
  </si>
  <si>
    <t>Farmland</t>
  </si>
  <si>
    <t>Waste Management Services</t>
  </si>
  <si>
    <t>Interest on Other External Restrictions</t>
  </si>
  <si>
    <t>Add Back Landstock Movements</t>
  </si>
  <si>
    <t>Add Back Gain / Loss on Disposal of Infrastructure</t>
  </si>
  <si>
    <t>Add Back Landstock</t>
  </si>
  <si>
    <t>Land Stock</t>
  </si>
  <si>
    <t>Less Land Stock</t>
  </si>
  <si>
    <t>Land Stock Movement</t>
  </si>
  <si>
    <t>Less Land Stock Movement</t>
  </si>
  <si>
    <t>Add Back Land Stock Movement</t>
  </si>
  <si>
    <t>Pensioners' Rates Subsidies:</t>
  </si>
  <si>
    <t xml:space="preserve">  - Water</t>
  </si>
  <si>
    <t xml:space="preserve">  - Sewerage</t>
  </si>
  <si>
    <t xml:space="preserve">  - Domestic Waste Management</t>
  </si>
  <si>
    <t>Bushfire &amp; Emergency Services</t>
  </si>
  <si>
    <t>Coastguard Tower</t>
  </si>
  <si>
    <t>Public Reserve Management Program</t>
  </si>
  <si>
    <t>Lennox Auditorium</t>
  </si>
  <si>
    <t>Fishery Creek Car Park</t>
  </si>
  <si>
    <t>Lake Ainsworth</t>
  </si>
  <si>
    <t>Operating Contributions</t>
  </si>
  <si>
    <t>Section 64 Water</t>
  </si>
  <si>
    <t>Section 64 Sewer</t>
  </si>
  <si>
    <t>Employment and Training</t>
  </si>
  <si>
    <t>Road Works</t>
  </si>
  <si>
    <t>Dedications</t>
  </si>
  <si>
    <t>Seciton 94</t>
  </si>
  <si>
    <t>RMS (Block Grant, RTR)</t>
  </si>
  <si>
    <t>Legal Settlement</t>
  </si>
  <si>
    <t>Pensioners' Rates Subsidy</t>
  </si>
  <si>
    <t>Fair Value Adjustment Rental Props</t>
  </si>
  <si>
    <t>Add Back Fair Value Adjustments</t>
  </si>
  <si>
    <t>Fair Value Adjustments Rental Props</t>
  </si>
  <si>
    <t>Add Back Fair Value Adjustments Rental Properties</t>
  </si>
  <si>
    <t>Fair Value Adjustments Rental Properties</t>
  </si>
  <si>
    <t>Add Back Fair Value Adjustments Rental Props</t>
  </si>
  <si>
    <t>Waste</t>
  </si>
  <si>
    <t>Planning and Building</t>
  </si>
  <si>
    <t>Aerodrome</t>
  </si>
  <si>
    <t>Ferry</t>
  </si>
  <si>
    <t>Plant Hire</t>
  </si>
  <si>
    <t>Quarry</t>
  </si>
  <si>
    <t>Total User Charges</t>
  </si>
  <si>
    <t>Interest and Dividends</t>
  </si>
  <si>
    <t>Interest Earned and Dividends</t>
  </si>
  <si>
    <t>Fair Value Adjustments - Investment Properties</t>
  </si>
  <si>
    <t>Rental Income - Investment Properties</t>
  </si>
  <si>
    <t>Rental Income - Other Council Properties</t>
  </si>
  <si>
    <t>Fines - Parking</t>
  </si>
  <si>
    <t>Fines - Other</t>
  </si>
  <si>
    <t>Commissions &amp; Agency Fees</t>
  </si>
  <si>
    <t>Insurance Claim Recoveries</t>
  </si>
  <si>
    <r>
      <t xml:space="preserve">Recycling Income </t>
    </r>
    <r>
      <rPr>
        <sz val="8"/>
        <rFont val="Arial"/>
        <family val="2"/>
      </rPr>
      <t>(non domestic)</t>
    </r>
  </si>
  <si>
    <t>Legal Fees Recovered - Other</t>
  </si>
  <si>
    <t>Legal Fees Recovered - Rates and Charges</t>
  </si>
  <si>
    <t>Total Grants and Contributions</t>
  </si>
  <si>
    <t>Operating</t>
  </si>
  <si>
    <t>Capital</t>
  </si>
  <si>
    <t>Total Income Reconciliation</t>
  </si>
  <si>
    <t>Roads (Transferred to Internal Reserve)</t>
  </si>
  <si>
    <t>Miscellaneous Sales</t>
  </si>
  <si>
    <t>Reassessment of Provision for Remediation</t>
  </si>
  <si>
    <t>Non-cash Items</t>
  </si>
  <si>
    <t>Remediation Provision Adjustment</t>
  </si>
  <si>
    <t>22266.6527.0235</t>
  </si>
  <si>
    <t>Other Revenues - Non-cash Items</t>
  </si>
  <si>
    <t xml:space="preserve">Add Back Remediation </t>
  </si>
  <si>
    <t>Add Back Remediation</t>
  </si>
  <si>
    <t>Remediation</t>
  </si>
  <si>
    <t>Add Back Unwinding</t>
  </si>
  <si>
    <t>Operating Result before Non-cash Items</t>
  </si>
  <si>
    <t>Unwinding of Interest Free Loans</t>
  </si>
  <si>
    <t>Add: Non-cash items - Fair Value Property Adjustments</t>
  </si>
  <si>
    <t>Add Back Investment Premiums</t>
  </si>
  <si>
    <t>Investment Premiums</t>
  </si>
  <si>
    <t>Add: Non-cash items - Investment Premiums</t>
  </si>
  <si>
    <t>Statements Reconciliation - Revenues</t>
  </si>
  <si>
    <t xml:space="preserve">Other - General </t>
  </si>
  <si>
    <t>Other - Water and Wastewater</t>
  </si>
  <si>
    <t>30001.8695.0401</t>
  </si>
  <si>
    <t>Volunteer Group Assistance</t>
  </si>
  <si>
    <t>26090.8568.0138</t>
  </si>
  <si>
    <t>26087/26090</t>
  </si>
  <si>
    <t>Public Toilet Insurance</t>
  </si>
  <si>
    <t>32285.0410.0635</t>
  </si>
  <si>
    <t>W423.9999.0401</t>
  </si>
  <si>
    <t>Midgen Flat Rd Culvert</t>
  </si>
  <si>
    <t>Wellers Rd Culvert</t>
  </si>
  <si>
    <t>Walsh Lane Culvert</t>
  </si>
  <si>
    <t>W424.9999.0401</t>
  </si>
  <si>
    <t>W425.9999.0401</t>
  </si>
  <si>
    <t>32270.5459.0401</t>
  </si>
  <si>
    <t>32278.5699.0401</t>
  </si>
  <si>
    <t>Environmental Plans and Studies</t>
  </si>
  <si>
    <t>32278.5701.0401</t>
  </si>
  <si>
    <t>World Environment Day</t>
  </si>
  <si>
    <t>32278.5702.0401</t>
  </si>
  <si>
    <t>Landcare Training/Certification</t>
  </si>
  <si>
    <t>32278.5703.0401</t>
  </si>
  <si>
    <t>National Tree Day</t>
  </si>
  <si>
    <t>32278.5708.0401</t>
  </si>
  <si>
    <t>Landcare Resources</t>
  </si>
  <si>
    <t>32278.5709.0401</t>
  </si>
  <si>
    <t>Community Group Insurance</t>
  </si>
  <si>
    <t>32278.5710.0401</t>
  </si>
  <si>
    <t>Fencing Resources</t>
  </si>
  <si>
    <t>32278.5714.0401</t>
  </si>
  <si>
    <t>GIS/Mapping/Permits</t>
  </si>
  <si>
    <t>32278.5713.0401</t>
  </si>
  <si>
    <t>Field Days Promotions</t>
  </si>
  <si>
    <t>32278.5715.0401</t>
  </si>
  <si>
    <t>Plantings</t>
  </si>
  <si>
    <t>32278.5716.0401</t>
  </si>
  <si>
    <t>Padlocks/Keys</t>
  </si>
  <si>
    <t>32279.5762.0401</t>
  </si>
  <si>
    <t>Chickiba Wetlands OEH Grant</t>
  </si>
  <si>
    <t>22241.5762.0148</t>
  </si>
  <si>
    <t>Chickiba Wetland OEH Grant</t>
  </si>
  <si>
    <t>W421.9999.0401</t>
  </si>
  <si>
    <t>50105.3665.0401</t>
  </si>
  <si>
    <t>50106.3665.0401</t>
  </si>
  <si>
    <t>Reservoirs Maintenance Pine Ave</t>
  </si>
  <si>
    <t>Reservoir Operation</t>
  </si>
  <si>
    <t>50105/50106</t>
  </si>
  <si>
    <t>55021</t>
  </si>
  <si>
    <t>30001.1111.0401</t>
  </si>
  <si>
    <t>W430.9999.0401</t>
  </si>
  <si>
    <t>River St Regional Rd</t>
  </si>
  <si>
    <t>Outstanding Principal Balance</t>
  </si>
  <si>
    <t xml:space="preserve">Wastewater Outstanding Principal </t>
  </si>
  <si>
    <t>Bld &amp; Infrastructure Renewal Ratio - Consolidated</t>
  </si>
  <si>
    <t>35001.7521.0622</t>
  </si>
  <si>
    <t>Donations - Carry Forward</t>
  </si>
  <si>
    <t>2312.7923.0401</t>
  </si>
  <si>
    <t>W124.9999.0401</t>
  </si>
  <si>
    <t>Landfill - Water Refill Stations</t>
  </si>
  <si>
    <t>2225.7128.0401</t>
  </si>
  <si>
    <t>22284.6845.0160</t>
  </si>
  <si>
    <t>2027.3401.0401</t>
  </si>
  <si>
    <t>Lennox Head Surf Club / Lake Ains</t>
  </si>
  <si>
    <t>Admin Centre - Improvements</t>
  </si>
  <si>
    <t>Survey Equipment</t>
  </si>
  <si>
    <t>32001.8549.0401</t>
  </si>
  <si>
    <t>W152.9999.0401</t>
  </si>
  <si>
    <t>W380.9999.0401</t>
  </si>
  <si>
    <t>2216.6466.0401</t>
  </si>
  <si>
    <t>22157.4046.0179</t>
  </si>
  <si>
    <t>32201.8871.0401</t>
  </si>
  <si>
    <t>32240.5120.0401</t>
  </si>
  <si>
    <t>32262.5247.0401</t>
  </si>
  <si>
    <t>Crown Lands - Plan Reimbursement</t>
  </si>
  <si>
    <t>Martin Street Boat Harbour Plan</t>
  </si>
  <si>
    <t>Ballina Trawler Harbour Plan</t>
  </si>
  <si>
    <t>OSSM - Renew/New Owner Approvals</t>
  </si>
  <si>
    <t>OSSM - Install/Upgrade Approvals</t>
  </si>
  <si>
    <t>Wardell Tip Rehabilitation</t>
  </si>
  <si>
    <t>Roads - Roads to Recovery</t>
  </si>
  <si>
    <t>Roads - LRM Dividend</t>
  </si>
  <si>
    <t>Coastal Shared Path - Stage 3</t>
  </si>
  <si>
    <t>Captain Cook Park – Pontoon</t>
  </si>
  <si>
    <t>Landfill - External Road</t>
  </si>
  <si>
    <t>32262.5366.0401</t>
  </si>
  <si>
    <t>Four Wheel Drive Ticket Machine</t>
  </si>
  <si>
    <t>RTR - River St Ballina</t>
  </si>
  <si>
    <t>RTR - Wardell Rd</t>
  </si>
  <si>
    <t>RTR - Fox St</t>
  </si>
  <si>
    <t>W431.9999.0401</t>
  </si>
  <si>
    <t>Wardell Rd Reconstruction seg 10 to 50</t>
  </si>
  <si>
    <t>River St (Brunswick to Tweed St)</t>
  </si>
  <si>
    <t>Howards Road Alignment</t>
  </si>
  <si>
    <t>2144.539.0401</t>
  </si>
  <si>
    <t>2336.7792.0401</t>
  </si>
  <si>
    <t>2336.7791.0401</t>
  </si>
  <si>
    <t>Sports Fields Improvements</t>
  </si>
  <si>
    <t>W428.9999.0401</t>
  </si>
  <si>
    <t>W429.9999.0401</t>
  </si>
  <si>
    <t>2134.5099.0401</t>
  </si>
  <si>
    <t>30003.1167.0401</t>
  </si>
  <si>
    <t>Jack Pl Stormwater Repair</t>
  </si>
  <si>
    <t>W433.9999.0401</t>
  </si>
  <si>
    <t>2010.3146.0401</t>
  </si>
  <si>
    <t>W435.9999.0401</t>
  </si>
  <si>
    <t xml:space="preserve">Newrybar Swamp Rd </t>
  </si>
  <si>
    <t>2010.3147.0401</t>
  </si>
  <si>
    <t>22112.5085.0179</t>
  </si>
  <si>
    <t>RMS - River Street</t>
  </si>
  <si>
    <t>Teven Rd Black Spot Programme</t>
  </si>
  <si>
    <t>22112.3311.0179</t>
  </si>
  <si>
    <t>RMS - Teven Road</t>
  </si>
  <si>
    <t>22112.8872.0179</t>
  </si>
  <si>
    <t>Northlakes</t>
  </si>
  <si>
    <t>35073.3471.0401</t>
  </si>
  <si>
    <t>Southern Cross Mowing</t>
  </si>
  <si>
    <t>50005.0369.0401</t>
  </si>
  <si>
    <t>50112.4597.0401</t>
  </si>
  <si>
    <t>Water Management System</t>
  </si>
  <si>
    <t>50112.4756.0401</t>
  </si>
  <si>
    <t>Education Promotional Activities</t>
  </si>
  <si>
    <t>55002.0369.0401</t>
  </si>
  <si>
    <t>55021.3734.0401</t>
  </si>
  <si>
    <t>W434.9999.0401</t>
  </si>
  <si>
    <t>7504.3939.0401</t>
  </si>
  <si>
    <t>Dual Reticulation Ballina Heights Drive</t>
  </si>
  <si>
    <t>7510.5302.0401</t>
  </si>
  <si>
    <t>W436.9999.0401</t>
  </si>
  <si>
    <t>W437.9999.0401</t>
  </si>
  <si>
    <t>Ross St (Pacific Pde to Gibson St)</t>
  </si>
  <si>
    <t>Lake Ainsworth Precinct Improvements</t>
  </si>
  <si>
    <t>W441.9999.0401</t>
  </si>
  <si>
    <t>2173.7777.0401</t>
  </si>
  <si>
    <t>2145.7777.0401</t>
  </si>
  <si>
    <t>RMS - Marine Rescue Tower</t>
  </si>
  <si>
    <t xml:space="preserve">SP3101 - Skennars Head / Tara Downs </t>
  </si>
  <si>
    <t>22155.4361.0160</t>
  </si>
  <si>
    <t>Coastal Shared Path - Stage 4</t>
  </si>
  <si>
    <t>RMS - Coastal Shared Path - Stage 3</t>
  </si>
  <si>
    <t>Redevelopment</t>
  </si>
  <si>
    <t>Shaws Bay CZMP</t>
  </si>
  <si>
    <t>Dividend - Property Development</t>
  </si>
  <si>
    <t>Lake Ainsworth Precinct</t>
  </si>
  <si>
    <t>Various Grants</t>
  </si>
  <si>
    <t>Mapping Project</t>
  </si>
  <si>
    <t>Wigmore Arcade - Roofing</t>
  </si>
  <si>
    <t>Recreational Path - Cultural Signs</t>
  </si>
  <si>
    <t>Open Spaces - Sports Fields</t>
  </si>
  <si>
    <t>Landfill - Improvements</t>
  </si>
  <si>
    <t xml:space="preserve">Landfill - Stockpile Processing </t>
  </si>
  <si>
    <t>Domestic Waste - Trucks</t>
  </si>
  <si>
    <t>Open Spaces - Parks / Reserves</t>
  </si>
  <si>
    <t>Depot 1 - Improvements</t>
  </si>
  <si>
    <t>Recycled Water Program</t>
  </si>
  <si>
    <t>Reservoirs - East Ballina</t>
  </si>
  <si>
    <t>RMS - Coastal Shared Path - Stages 1 and 2</t>
  </si>
  <si>
    <t>State - RBP - Fishery Creek - Pontoon</t>
  </si>
  <si>
    <t>State - Shared Path Cultural Signage</t>
  </si>
  <si>
    <t>Shaws Bay CZMP - OEH</t>
  </si>
  <si>
    <t>State - Lennox Community Centre</t>
  </si>
  <si>
    <t>Private - Reimbursement</t>
  </si>
  <si>
    <t>Ballina High School - Road Reserve</t>
  </si>
  <si>
    <t>North Creek Road - Development</t>
  </si>
  <si>
    <t>Community Land - Investigations</t>
  </si>
  <si>
    <t>Special Projects (Grant Funded)</t>
  </si>
  <si>
    <t>Shared Path Cultural signs</t>
  </si>
  <si>
    <t xml:space="preserve">Coastal Recreational Path </t>
  </si>
  <si>
    <t>30023.4156.0401</t>
  </si>
  <si>
    <t>Kiosk Sales</t>
  </si>
  <si>
    <t>26083.4156.0233</t>
  </si>
  <si>
    <t>Pearces Creek Rd Ch30 seg15</t>
  </si>
  <si>
    <t>HW10 Handover Heavy Patch</t>
  </si>
  <si>
    <t>HW10 Handover Reseal</t>
  </si>
  <si>
    <t>W444.9999.0401</t>
  </si>
  <si>
    <t>W445.9999.0401</t>
  </si>
  <si>
    <t>Coastal Path Section 1 (Angels Beach to Sharpes Beach)</t>
  </si>
  <si>
    <t>W443.9999.0401</t>
  </si>
  <si>
    <t>Play equipment removal Lennox Head</t>
  </si>
  <si>
    <t>W442.9999.0401</t>
  </si>
  <si>
    <t>Disc Golf Bicentenial Park</t>
  </si>
  <si>
    <t>50112.4598.0401</t>
  </si>
  <si>
    <t>Demand Management</t>
  </si>
  <si>
    <t>7504.3936.0401</t>
  </si>
  <si>
    <t>W446.9999.0401</t>
  </si>
  <si>
    <t>Bolwarra Ct Playground</t>
  </si>
  <si>
    <t>W447.9999.0401</t>
  </si>
  <si>
    <t>Halls Upgrade Various</t>
  </si>
  <si>
    <t>22241.5764.0148</t>
  </si>
  <si>
    <t>Lennox Point Compensatory</t>
  </si>
  <si>
    <t>32280.5764.0401</t>
  </si>
  <si>
    <t>Geoff Watt Oval Play Equipment Replacement</t>
  </si>
  <si>
    <t>Missingham Park Shade Structure Painting</t>
  </si>
  <si>
    <t>Westlands Park Play Equipment replacement</t>
  </si>
  <si>
    <t>W450.9999.0401</t>
  </si>
  <si>
    <t>W451.9999.0401</t>
  </si>
  <si>
    <t>Lakefield Park Play Equipment replacement</t>
  </si>
  <si>
    <t>Lions Park Play Equipment replacement</t>
  </si>
  <si>
    <t>Fitzroy Park Play Equipment replacement</t>
  </si>
  <si>
    <t>Lindsay Park Play Equipment</t>
  </si>
  <si>
    <t>Alabaster Park Play Equipment replacement</t>
  </si>
  <si>
    <t>Crown Land Weeds Control</t>
  </si>
  <si>
    <t>Ballina Library - Improvements</t>
  </si>
  <si>
    <t>Ballina Redevelopment</t>
  </si>
  <si>
    <t>Alstonville Redevelopment</t>
  </si>
  <si>
    <t xml:space="preserve">North Creek Road Development </t>
  </si>
  <si>
    <t>Bypass Funds - Ballina</t>
  </si>
  <si>
    <t>INTERNAL ELIMINATIONS</t>
  </si>
  <si>
    <t>Rates and Charges - Note 3</t>
  </si>
  <si>
    <t>General Purpose</t>
  </si>
  <si>
    <t>Water (Access)</t>
  </si>
  <si>
    <t>Water (Consumption)</t>
  </si>
  <si>
    <t>Sewerage Service</t>
  </si>
  <si>
    <t>Other Income Adjustments</t>
  </si>
  <si>
    <t>S94 Roads (Land Dev)</t>
  </si>
  <si>
    <t>S64 Water (Land Dev)</t>
  </si>
  <si>
    <t>S64 Sewer (Land Dev)</t>
  </si>
  <si>
    <t>Plant - Internal</t>
  </si>
  <si>
    <t>AAS27 COGS</t>
  </si>
  <si>
    <t>Total Income Eliminations</t>
  </si>
  <si>
    <t>Stat Fees in Capital (Coded)</t>
  </si>
  <si>
    <t>Stat Fees (Not Coded)</t>
  </si>
  <si>
    <t>AAS27 COGS - Real Estate Development</t>
  </si>
  <si>
    <t>Other Waste Management</t>
  </si>
  <si>
    <t>Resource Code 270</t>
  </si>
  <si>
    <t>10011.3525.</t>
  </si>
  <si>
    <t>Water Tapping Fees</t>
  </si>
  <si>
    <t>10012.3539.</t>
  </si>
  <si>
    <t>10100.3826.</t>
  </si>
  <si>
    <t>Dev Contrib (Non Cash)</t>
  </si>
  <si>
    <t>12014.4535.</t>
  </si>
  <si>
    <t>Sewer Plant Charged works</t>
  </si>
  <si>
    <t>12020.3826.</t>
  </si>
  <si>
    <t>20002.2963.</t>
  </si>
  <si>
    <t>Cont Water &amp; Sewer Strategic Sudies</t>
  </si>
  <si>
    <t>22001.7636.</t>
  </si>
  <si>
    <t>Cont - Procurement/Mtnce Staff</t>
  </si>
  <si>
    <t>22001.7637.</t>
  </si>
  <si>
    <t>Cont - Procurement software</t>
  </si>
  <si>
    <t>21998.2291.</t>
  </si>
  <si>
    <t>Cont Water &amp; Sewer Admin</t>
  </si>
  <si>
    <t>22000.2272.</t>
  </si>
  <si>
    <t>Cont Water &amp; Sewer Depot</t>
  </si>
  <si>
    <t>22030.3830.</t>
  </si>
  <si>
    <t>22155.6595.</t>
  </si>
  <si>
    <t>Cont -Sewer to Trinity Place Path</t>
  </si>
  <si>
    <t>22010.2419.</t>
  </si>
  <si>
    <t>Eng Overheads charged to works</t>
  </si>
  <si>
    <t>22033.3826.</t>
  </si>
  <si>
    <t>22112.3826.</t>
  </si>
  <si>
    <t>22200.4001.</t>
  </si>
  <si>
    <t>22231.5265.</t>
  </si>
  <si>
    <t>Nursery Sales Council Jobs</t>
  </si>
  <si>
    <t>22260.6372.</t>
  </si>
  <si>
    <t>Staff Car Charges</t>
  </si>
  <si>
    <t>22281.6766.</t>
  </si>
  <si>
    <t>Weighbridge Rural Stickers from DWM</t>
  </si>
  <si>
    <t>22282.6797.</t>
  </si>
  <si>
    <t>Recyclables From Council (DWM)</t>
  </si>
  <si>
    <t>22283.6821.</t>
  </si>
  <si>
    <t>Waste Disposal Fees Council Jobs</t>
  </si>
  <si>
    <t>22283.6822.</t>
  </si>
  <si>
    <t>Waste Disposal Fees Council (DWM)</t>
  </si>
  <si>
    <t>22292.7248.</t>
  </si>
  <si>
    <t>DWM Plant Charged to Works</t>
  </si>
  <si>
    <t>26028.7820.</t>
  </si>
  <si>
    <t>Water &amp; Sewer Dividend Comp</t>
  </si>
  <si>
    <t>26045.7896.</t>
  </si>
  <si>
    <t>IS Income</t>
  </si>
  <si>
    <t>26063.8523.</t>
  </si>
  <si>
    <t>Cont From Wat/Sew WUEA Recoup</t>
  </si>
  <si>
    <t>26063.8524.</t>
  </si>
  <si>
    <t>Cont From Wat/Sew Bal Hts Dr Recoup</t>
  </si>
  <si>
    <t>32011.2246.</t>
  </si>
  <si>
    <t>Sale Soil</t>
  </si>
  <si>
    <t>32011.2247.</t>
  </si>
  <si>
    <t>Sale Metal</t>
  </si>
  <si>
    <t>32011.2248.</t>
  </si>
  <si>
    <t>Sale Shale</t>
  </si>
  <si>
    <t>32011.2249.</t>
  </si>
  <si>
    <t>Sale Sand</t>
  </si>
  <si>
    <t>32322.6421.</t>
  </si>
  <si>
    <t>Oils Issued</t>
  </si>
  <si>
    <t>Income Eliminations</t>
  </si>
  <si>
    <t>Expense Eliminations</t>
  </si>
  <si>
    <t>IT Inc</t>
  </si>
  <si>
    <t>DWM Plant</t>
  </si>
  <si>
    <t>Water Plant/Dev ass</t>
  </si>
  <si>
    <t>Sewer Plant/Dev ass</t>
  </si>
  <si>
    <t>Dev Prov Assets</t>
  </si>
  <si>
    <t>Eng Supervis. Sale Metal, Oils</t>
  </si>
  <si>
    <t>Plant - Staff Cars</t>
  </si>
  <si>
    <t>Nursery</t>
  </si>
  <si>
    <t>AAS27 Expense Adj</t>
  </si>
  <si>
    <t>D/A &amp; S94 Fees</t>
  </si>
  <si>
    <t>Manual Adjustments</t>
  </si>
  <si>
    <t>Resource Code 690</t>
  </si>
  <si>
    <t>Water Compulsory Dividend</t>
  </si>
  <si>
    <t>Sewer Dividend Compulsory</t>
  </si>
  <si>
    <t>Lennox Hd Com Centre</t>
  </si>
  <si>
    <t>Rates Fire Control</t>
  </si>
  <si>
    <t>Rates Dog Pound</t>
  </si>
  <si>
    <t>Rates Admin Centre</t>
  </si>
  <si>
    <t>Rates Works Depot</t>
  </si>
  <si>
    <t>Rates Parking Areas</t>
  </si>
  <si>
    <t>Rates Ferry</t>
  </si>
  <si>
    <t>Rates Wharves &amp; Jetties</t>
  </si>
  <si>
    <t>Rates Parks &amp; Gardens</t>
  </si>
  <si>
    <t>Rates Nursery</t>
  </si>
  <si>
    <t>Rates Public Toilets</t>
  </si>
  <si>
    <t>Rates Sporting Grounds</t>
  </si>
  <si>
    <t>Rates Ballina Pool</t>
  </si>
  <si>
    <t>Rates Alstonville Pool</t>
  </si>
  <si>
    <t>Rates Waste Mgt Centre</t>
  </si>
  <si>
    <t>Cont to Procurement/Mtce Staff</t>
  </si>
  <si>
    <t>Cont to Procurement Software</t>
  </si>
  <si>
    <t>Waste Internal Contrib to Depot</t>
  </si>
  <si>
    <t>DWM to Admin</t>
  </si>
  <si>
    <t>DWM Rural Stickers used at Weighbridge</t>
  </si>
  <si>
    <t>DWM Kerbside Collection Disposal Fees</t>
  </si>
  <si>
    <t>DWM Recycling Weighbridge Fees</t>
  </si>
  <si>
    <t>Rates Library</t>
  </si>
  <si>
    <t>Rates Wollongbar Estate</t>
  </si>
  <si>
    <t>Rates Southern Cross</t>
  </si>
  <si>
    <t>Rates Russellton</t>
  </si>
  <si>
    <t>Rates 74 Tamar St</t>
  </si>
  <si>
    <t>Rates Wigmore</t>
  </si>
  <si>
    <t>Rates 89 Tamar St</t>
  </si>
  <si>
    <t>Rates Fawcett St</t>
  </si>
  <si>
    <t>Rates Other Properties</t>
  </si>
  <si>
    <t>Rates 78 Tamar St</t>
  </si>
  <si>
    <t>Rates Residential Properties</t>
  </si>
  <si>
    <t>Rates Old T'bar Council Chambers</t>
  </si>
  <si>
    <t>Rates ALEC</t>
  </si>
  <si>
    <t>Rates Public Halls</t>
  </si>
  <si>
    <t>Rates Kentwell Community Centre</t>
  </si>
  <si>
    <t>Rates Richmond Room</t>
  </si>
  <si>
    <t>Rates Airport</t>
  </si>
  <si>
    <t>Rates Flat Rock</t>
  </si>
  <si>
    <t>Rates Tourist Office</t>
  </si>
  <si>
    <t>Rates Community Gallery</t>
  </si>
  <si>
    <t>Water Supply Rates</t>
  </si>
  <si>
    <t>Water to Admin</t>
  </si>
  <si>
    <t>Water Contribution Trim</t>
  </si>
  <si>
    <t>Water Contribution WUEA BBRC</t>
  </si>
  <si>
    <t>Water Contribution Bal Hts BBRC</t>
  </si>
  <si>
    <t>Water Contribution Assets</t>
  </si>
  <si>
    <t>Sewer Rates Services</t>
  </si>
  <si>
    <t>Sewer to Admin</t>
  </si>
  <si>
    <t>Sewer Contribution WUEA BBRC</t>
  </si>
  <si>
    <t>Sewer Contribution Bal Hts BBRC</t>
  </si>
  <si>
    <t>Sewer Contibution Trinity Pl Path</t>
  </si>
  <si>
    <t>Sewer Contribution to GF Various Projects</t>
  </si>
  <si>
    <t>Sewer Contribution Assets</t>
  </si>
  <si>
    <t>4610.3920.</t>
  </si>
  <si>
    <t>4612.4996.</t>
  </si>
  <si>
    <t>30023.415.</t>
  </si>
  <si>
    <t>30025.415.</t>
  </si>
  <si>
    <t>31062.415.</t>
  </si>
  <si>
    <t>31083.415.</t>
  </si>
  <si>
    <t>32000.415.</t>
  </si>
  <si>
    <t>32001.415.</t>
  </si>
  <si>
    <t>32021.415.</t>
  </si>
  <si>
    <t>32137.415.</t>
  </si>
  <si>
    <t>32200.415.</t>
  </si>
  <si>
    <t>32201.415.</t>
  </si>
  <si>
    <t>32261.415.</t>
  </si>
  <si>
    <t>32266.415.</t>
  </si>
  <si>
    <t>32285.415.</t>
  </si>
  <si>
    <t>32310.415.</t>
  </si>
  <si>
    <t>32330.415.</t>
  </si>
  <si>
    <t>32331.415.</t>
  </si>
  <si>
    <t>32340.415.</t>
  </si>
  <si>
    <t>32300.7636</t>
  </si>
  <si>
    <t>32320.7636</t>
  </si>
  <si>
    <t>32325.7636</t>
  </si>
  <si>
    <t>32340.7636</t>
  </si>
  <si>
    <t>32360.7636</t>
  </si>
  <si>
    <t>35120.7636</t>
  </si>
  <si>
    <t>50005.7636</t>
  </si>
  <si>
    <t>55002.7636</t>
  </si>
  <si>
    <t>32320.7637</t>
  </si>
  <si>
    <t>32360.7637</t>
  </si>
  <si>
    <t>50005.7637</t>
  </si>
  <si>
    <t>32340.3573.</t>
  </si>
  <si>
    <t>32340.6864.</t>
  </si>
  <si>
    <t>32361.3573.</t>
  </si>
  <si>
    <t>32364.7345.</t>
  </si>
  <si>
    <t>32364.7348</t>
  </si>
  <si>
    <t>32364.7351.</t>
  </si>
  <si>
    <t>35030.415.</t>
  </si>
  <si>
    <t>35072.415.</t>
  </si>
  <si>
    <t>35073.415.</t>
  </si>
  <si>
    <t>35074.415.</t>
  </si>
  <si>
    <t>35075.415.</t>
  </si>
  <si>
    <t>35076.415.</t>
  </si>
  <si>
    <t>35077.415</t>
  </si>
  <si>
    <t>35078.415</t>
  </si>
  <si>
    <t>35080.415.</t>
  </si>
  <si>
    <t>35081.415.</t>
  </si>
  <si>
    <t>35082.415.</t>
  </si>
  <si>
    <t>35084.8686.</t>
  </si>
  <si>
    <t>35100.415.</t>
  </si>
  <si>
    <t>35107.415.</t>
  </si>
  <si>
    <t>35110.415.</t>
  </si>
  <si>
    <t>35115.415.</t>
  </si>
  <si>
    <t>35125.415.</t>
  </si>
  <si>
    <t>35145.415.</t>
  </si>
  <si>
    <t>35150.415</t>
  </si>
  <si>
    <t>35162.415.</t>
  </si>
  <si>
    <t>50005.415.</t>
  </si>
  <si>
    <t>50005.3573.</t>
  </si>
  <si>
    <t>50005.3577.</t>
  </si>
  <si>
    <t>50005.3578.</t>
  </si>
  <si>
    <t>50005.3579.</t>
  </si>
  <si>
    <t>50005.4576.</t>
  </si>
  <si>
    <t>55002.415.</t>
  </si>
  <si>
    <t>55002.3573.</t>
  </si>
  <si>
    <t>55002.3578.</t>
  </si>
  <si>
    <t>55002.3579.</t>
  </si>
  <si>
    <t>55002.4574.</t>
  </si>
  <si>
    <t>55002.4575.</t>
  </si>
  <si>
    <t>55002.4576.</t>
  </si>
  <si>
    <t>Total Expense Eliminations</t>
  </si>
  <si>
    <t>General - internal eliminations</t>
  </si>
  <si>
    <t>Eliminations included in Income Statement</t>
  </si>
  <si>
    <t>Extra Funds Transferred to Community Buildings from 2020/21 - as working capital surplus was high</t>
  </si>
  <si>
    <t>Allocations (includes adjustments)</t>
  </si>
  <si>
    <t>General Fund Income</t>
  </si>
  <si>
    <t>General Fund Expenses</t>
  </si>
  <si>
    <t>Cash Expense Cover Ratio (months)</t>
  </si>
  <si>
    <t>W459.9999.0401</t>
  </si>
  <si>
    <t>Martin St to Winton Ln to Crane</t>
  </si>
  <si>
    <t>32348.6942.0401</t>
  </si>
  <si>
    <t>Asbestos Cleanup</t>
  </si>
  <si>
    <t>W458.9999.0401</t>
  </si>
  <si>
    <t>7500.5303.0401</t>
  </si>
  <si>
    <t>55015.4681.0401</t>
  </si>
  <si>
    <t>55015.4686.0401</t>
  </si>
  <si>
    <t>55015.4691.0401</t>
  </si>
  <si>
    <t>55015.3761.0401</t>
  </si>
  <si>
    <t>W462.9999.0401</t>
  </si>
  <si>
    <t>7510.5304.0401</t>
  </si>
  <si>
    <t>20001.1099.0061</t>
  </si>
  <si>
    <t>20001.1106.0061</t>
  </si>
  <si>
    <t>20001.1112.0061</t>
  </si>
  <si>
    <t>35152.8813.0401</t>
  </si>
  <si>
    <t>Visitor Information Guide</t>
  </si>
  <si>
    <t>Part V Activity Fee</t>
  </si>
  <si>
    <t>35125.41270401</t>
  </si>
  <si>
    <t>Certified Air Ground Controller (CAGRO)</t>
  </si>
  <si>
    <t>22265.6528.0233</t>
  </si>
  <si>
    <t>22281.6781.0101</t>
  </si>
  <si>
    <t>Asbestos Kits Sales</t>
  </si>
  <si>
    <t>22241.5765.0148</t>
  </si>
  <si>
    <t>Northlakes OEH Grant</t>
  </si>
  <si>
    <t>22255.6264.0138</t>
  </si>
  <si>
    <t>Ferngrove</t>
  </si>
  <si>
    <t>32312.6264.0401</t>
  </si>
  <si>
    <t>26061.8525.0226</t>
  </si>
  <si>
    <t>W460.9999.0401</t>
  </si>
  <si>
    <t>Teven Rd (ND) WO 460</t>
  </si>
  <si>
    <t>W464.9999.0401</t>
  </si>
  <si>
    <t>Howards Rd (ND) WO 464</t>
  </si>
  <si>
    <t>Marom Creek (ND) WO 463</t>
  </si>
  <si>
    <t>Friday Hut Rd (ND) WO 465</t>
  </si>
  <si>
    <t>Mitchell Pl (ND) WO 466</t>
  </si>
  <si>
    <t>Albert Sheather Pl (ND) WO 467</t>
  </si>
  <si>
    <t>Lindendale Rd (ND) WO 468</t>
  </si>
  <si>
    <t>W463.9999.0401</t>
  </si>
  <si>
    <t>W465.9999.0401</t>
  </si>
  <si>
    <t>W466.9999.0401</t>
  </si>
  <si>
    <t>W467.9999.0401</t>
  </si>
  <si>
    <t>W468.9999.0401</t>
  </si>
  <si>
    <t>21112.8398.0180</t>
  </si>
  <si>
    <t>32127.8398.0401</t>
  </si>
  <si>
    <t>32348.6781.0401</t>
  </si>
  <si>
    <t>Asbestos Kits and Disposal Fees</t>
  </si>
  <si>
    <t>32348.7046.0401</t>
  </si>
  <si>
    <t>Deposit Scrap Metal</t>
  </si>
  <si>
    <t>22284.6844.0169</t>
  </si>
  <si>
    <t>Carbon Refund</t>
  </si>
  <si>
    <t>Pimlico Road WO 54</t>
  </si>
  <si>
    <t>W54.9999.0401</t>
  </si>
  <si>
    <t>Landfill - Organics Processing Plant</t>
  </si>
  <si>
    <t>26070.8913.0950</t>
  </si>
  <si>
    <t>22274.6524.0160</t>
  </si>
  <si>
    <t>State - Lennox Auditorium Capital Income</t>
  </si>
  <si>
    <t>Marine Rescue Centre (PRMF)</t>
  </si>
  <si>
    <t>Bagotville Quarry</t>
  </si>
  <si>
    <t>Tintenbar Quarry</t>
  </si>
  <si>
    <t>Land Sale Dividend (Sthn X 50%)</t>
  </si>
  <si>
    <t>Land Sales - Various</t>
  </si>
  <si>
    <t>Wigmore Arcade Capital</t>
  </si>
  <si>
    <t>Airport Lease Evaluation</t>
  </si>
  <si>
    <t>Norfolk Homes Rental (100%)</t>
  </si>
  <si>
    <t>Southern Cross Movements</t>
  </si>
  <si>
    <t>Russellton Movements</t>
  </si>
  <si>
    <t>Wollongbar Movements</t>
  </si>
  <si>
    <t>54 North Creek Road</t>
  </si>
  <si>
    <t>Lane Sale - Alstonville Tennis Court Site</t>
  </si>
  <si>
    <t>Lease - Fawcett Street Café</t>
  </si>
  <si>
    <t>Rental - Fawcett Street Café</t>
  </si>
  <si>
    <t>Add Capital Income Applied</t>
  </si>
  <si>
    <t>S 94 - Hutley Drive</t>
  </si>
  <si>
    <t>S 94 - Heavy Vehicles</t>
  </si>
  <si>
    <t xml:space="preserve">Council </t>
  </si>
  <si>
    <t>Section 94 Roads Reserve Balance</t>
  </si>
  <si>
    <t>Projects</t>
  </si>
  <si>
    <t>River Street Fisheries Ck Bridge to Tweed St - Four Laning</t>
  </si>
  <si>
    <t>Tamarind Dr, North Creek Rd to Kerr St - Four Laning</t>
  </si>
  <si>
    <t>River St, Upgrade Fisheries Creek Bridge - Four Lane</t>
  </si>
  <si>
    <t>Tamarind Dr, Duplication of North Creek Canal Bridge - Separate Two Lanes</t>
  </si>
  <si>
    <t>River St, Fisheries Ck Bridge to Sthn Interchange of Bypass - Four Laning</t>
  </si>
  <si>
    <t>Other River Street Improvements (land)</t>
  </si>
  <si>
    <t>Hutley Drive Extension</t>
  </si>
  <si>
    <t>Section 94 Roads Plan Analysis</t>
  </si>
  <si>
    <t>Timeframe</t>
  </si>
  <si>
    <t>2011-2019</t>
  </si>
  <si>
    <t>Council Revenue</t>
  </si>
  <si>
    <t>2015/16 Cost</t>
  </si>
  <si>
    <t>Bangalow Road / Hogan Street - new Left In / Left Out</t>
  </si>
  <si>
    <t>Angels Beach Drive / Sheather Street - new Left In / Left Out</t>
  </si>
  <si>
    <t>Angels Beach Drive / Sheather Street - LILO (Land Component)</t>
  </si>
  <si>
    <t>North Creek Road and Bridge</t>
  </si>
  <si>
    <t>North Creek Road and Bridge (Land Component)</t>
  </si>
  <si>
    <t>Ross Lane Improvements - West</t>
  </si>
  <si>
    <t>Ross Lane Improvements - East</t>
  </si>
  <si>
    <t>Ross Lane Improvements - East (Land Component)</t>
  </si>
  <si>
    <t>2019-2028</t>
  </si>
  <si>
    <t>Tamarind Dr to Southern Cross Drive - Right Turn Ban</t>
  </si>
  <si>
    <t>North Creek Road / Reservoir Rd / Hutley Dr, Traffic calming</t>
  </si>
  <si>
    <t>Sandy Flat Road</t>
  </si>
  <si>
    <t>North Creek Road - Northern 350m  joining Hutley Dr &amp; Byron Bay Rd</t>
  </si>
  <si>
    <t>Developer %</t>
  </si>
  <si>
    <t>Collected Plus Interest</t>
  </si>
  <si>
    <t>Expended</t>
  </si>
  <si>
    <t>S 94 - River St - Four Lanes</t>
  </si>
  <si>
    <t>S 94 - Tamarind Dr - Four Lanes</t>
  </si>
  <si>
    <t xml:space="preserve">S 94 - Tamarind Dr - Bridge </t>
  </si>
  <si>
    <t>Road Plan - New (including Former Plan)</t>
  </si>
  <si>
    <t>River St - Four Lanes</t>
  </si>
  <si>
    <t xml:space="preserve">River St - Bridge </t>
  </si>
  <si>
    <t>River St - Land</t>
  </si>
  <si>
    <t>Tamarind Dr - Four Lanes</t>
  </si>
  <si>
    <t xml:space="preserve">Tamarind Dr - Bridge </t>
  </si>
  <si>
    <t>River St Upgrade - Moon to Grant</t>
  </si>
  <si>
    <t>Airport  - Car Park</t>
  </si>
  <si>
    <t xml:space="preserve">Ballina 2018/19 </t>
  </si>
  <si>
    <t>Pop Denison Master Plan</t>
  </si>
  <si>
    <t>Shaws Bay Coastal Zone Management Plan</t>
  </si>
  <si>
    <t>Bolwarra Court Playground</t>
  </si>
  <si>
    <t>River St - Four Lanes - Section 94 Plan</t>
  </si>
  <si>
    <t>River St - Bridge - Section 94 Plan</t>
  </si>
  <si>
    <t>River St - Land - Section 94 Plan</t>
  </si>
  <si>
    <t xml:space="preserve">River St - Four Laning - Section 94 </t>
  </si>
  <si>
    <t>Ballina Indoor Sports Centre</t>
  </si>
  <si>
    <t>Landfill Operations - Sports Centre</t>
  </si>
  <si>
    <t>Boat Chennel Outlet Tide Flap</t>
  </si>
  <si>
    <t>W471.9999.0401</t>
  </si>
  <si>
    <t>North Creek Rd Drainage</t>
  </si>
  <si>
    <t>W470.9999.0401</t>
  </si>
  <si>
    <t>W474.9999.0401</t>
  </si>
  <si>
    <t>W473.9999.0401</t>
  </si>
  <si>
    <t>32022.5458.0401</t>
  </si>
  <si>
    <t>Marine Rescue Tower Maintenance</t>
  </si>
  <si>
    <t>W476.9999.0401</t>
  </si>
  <si>
    <t>Upgd Amen Bldg Megan Cr Sport Field</t>
  </si>
  <si>
    <t>Depot / Administration Centre</t>
  </si>
  <si>
    <t>Admin Centre - Roofing / Air Conditioning</t>
  </si>
  <si>
    <t>Contributions (Admin Roof / Air-cond)</t>
  </si>
  <si>
    <t>Landfill Operations - Admin Centre</t>
  </si>
  <si>
    <t>Admin Centre - Roof and Air-con</t>
  </si>
  <si>
    <t>One off Allocations to Administration Centre Air-con</t>
  </si>
  <si>
    <t>Ballina Surf Club - Building B</t>
  </si>
  <si>
    <t>2025/26</t>
  </si>
  <si>
    <t>.</t>
  </si>
  <si>
    <t>Alstonville Leisure / Entertainment Centre</t>
  </si>
  <si>
    <t>Teven Bridges</t>
  </si>
  <si>
    <t>Funding Source 2025/26</t>
  </si>
  <si>
    <t>Airport - Apron</t>
  </si>
  <si>
    <t xml:space="preserve">Shellys </t>
  </si>
  <si>
    <t>NEWF Grant</t>
  </si>
  <si>
    <t>Koala Management Strategy</t>
  </si>
  <si>
    <t>Other Strategic Plans and Studies</t>
  </si>
  <si>
    <t>Lennox Head Centre - Kiosk Sales</t>
  </si>
  <si>
    <t>Corporate Comms Salaries (now in governance)</t>
  </si>
  <si>
    <t>2015/16 - Revenues and Expenses (always based on previous year to automate calcs)</t>
  </si>
  <si>
    <t>2016/17 Calculations</t>
  </si>
  <si>
    <t>Assets (Note9a)</t>
  </si>
  <si>
    <t>Overhead Distribution - 2016/17</t>
  </si>
  <si>
    <t>Debit 16/17</t>
  </si>
  <si>
    <t>Credit 16/17</t>
  </si>
  <si>
    <t>Total Nos 15/16</t>
  </si>
  <si>
    <t>Ferngrove Agreement</t>
  </si>
  <si>
    <t>% Change</t>
  </si>
  <si>
    <t>Net Cash Cost - All Funds</t>
  </si>
  <si>
    <t>Net General Fund Cost as per adopted Budget</t>
  </si>
  <si>
    <t>General Fund %</t>
  </si>
  <si>
    <t>March 2016</t>
  </si>
  <si>
    <t>Community Hall Upgrades</t>
  </si>
  <si>
    <t>Ballina Marine Rescue Centre</t>
  </si>
  <si>
    <t>Lennox Surf Club / Lake Ainsworth</t>
  </si>
  <si>
    <t>Roads - Reconstruction Program</t>
  </si>
  <si>
    <t xml:space="preserve">S 94 - River St - Four Lanes Bridge </t>
  </si>
  <si>
    <t>S 94 - River St - Four Lanes Land</t>
  </si>
  <si>
    <t>Footpaths / Shared Paths Program</t>
  </si>
  <si>
    <t>Missingham Park - Car Park</t>
  </si>
  <si>
    <t>Crown Reserve Works Program</t>
  </si>
  <si>
    <t>Park Improvements Program</t>
  </si>
  <si>
    <t xml:space="preserve">Kingsford Smith - Netball Lights </t>
  </si>
  <si>
    <t>Ethernet Telemetry Upgrade</t>
  </si>
  <si>
    <t>GENERAL FUND BALANCE SHEET ($'000)</t>
  </si>
  <si>
    <t>WASTEWATER BALANCE SHEET ($'000)</t>
  </si>
  <si>
    <t>CONSOLIDATED BALANCE SHEET ($'000)</t>
  </si>
  <si>
    <t>WATER SUPPLY BALANCE SHEET ($'000)</t>
  </si>
  <si>
    <t>Second Stage Installations</t>
  </si>
  <si>
    <t xml:space="preserve">Wollongbar Urban Expansion </t>
  </si>
  <si>
    <t>RESERVE MOVEMENTS - GENERAL FUND</t>
  </si>
  <si>
    <t>Natural Disaster Funding</t>
  </si>
  <si>
    <t>RMS - Shared Path East - Preconstruction</t>
  </si>
  <si>
    <t>Shared Path East Preconstruction</t>
  </si>
  <si>
    <t>W478.9999.0401</t>
  </si>
  <si>
    <t>32262.5249.0401</t>
  </si>
  <si>
    <t>Tintenbar Pavillion PRMF</t>
  </si>
  <si>
    <t>Landfill - Wollongbar Asbestos</t>
  </si>
  <si>
    <t>2225.7138.0401</t>
  </si>
  <si>
    <t>Wollongbar Asbestos</t>
  </si>
  <si>
    <t>7504.3934.0401</t>
  </si>
  <si>
    <t>W475.9999.0401</t>
  </si>
  <si>
    <t>Replace Fencing Treatment Plants</t>
  </si>
  <si>
    <t>Additional funds for road works in last three years as working capital result is high</t>
  </si>
  <si>
    <t>24/25</t>
  </si>
  <si>
    <t>25/26</t>
  </si>
  <si>
    <t>Shaws Bay CZMP Actions</t>
  </si>
  <si>
    <t>Quarry - Shaws Bay CZMP</t>
  </si>
  <si>
    <t>OEH - Shaws Bay CZMP</t>
  </si>
  <si>
    <t>CZMPs Plans-Shaws/Lake A - Budgets</t>
  </si>
  <si>
    <t>Information Fee</t>
  </si>
  <si>
    <t>Information Fee Income</t>
  </si>
  <si>
    <t>Telephone System</t>
  </si>
  <si>
    <t>Roads to Recovery Op and Cap Compare</t>
  </si>
  <si>
    <t>Sub Total - Roads and Bridges</t>
  </si>
  <si>
    <t>Add Bridge monies which is probably an increase in budget</t>
  </si>
  <si>
    <t>Add Roads to Recovery (Op but Cap)</t>
  </si>
  <si>
    <t>Less Roads to Recovery (Op but Cap)</t>
  </si>
  <si>
    <t>Eliminate Fit for the Future Increases funded from extra rates</t>
  </si>
  <si>
    <t>Sullage Dump Point - Bicentennial gardens</t>
  </si>
  <si>
    <t>Desalination Plant</t>
  </si>
  <si>
    <t>Reservoir Access and Integrity Upgrades</t>
  </si>
  <si>
    <t>Recycled Water</t>
  </si>
  <si>
    <t>20001.1105.0061</t>
  </si>
  <si>
    <t>35107.0530.0690</t>
  </si>
  <si>
    <t>31041.1648.0401</t>
  </si>
  <si>
    <t>Sediment Control Kits Purchase</t>
  </si>
  <si>
    <t>22260.6369.0138</t>
  </si>
  <si>
    <t>Other Plant Income</t>
  </si>
  <si>
    <t>22281.8750.0138</t>
  </si>
  <si>
    <t>Landfill - Recycled Loadout</t>
  </si>
  <si>
    <t>35040.7924.0401</t>
  </si>
  <si>
    <t>W485.9999.0401</t>
  </si>
  <si>
    <t>S94 Nth Creek Rd Lennox Deviation</t>
  </si>
  <si>
    <t>W480.9999.0401</t>
  </si>
  <si>
    <t>22155.4032.0160</t>
  </si>
  <si>
    <t>RMS - Kerr St from Bentinck to Fox</t>
  </si>
  <si>
    <t>22155.4029.0160</t>
  </si>
  <si>
    <t>22155.4030.0160</t>
  </si>
  <si>
    <t>22155.4031.0160</t>
  </si>
  <si>
    <t>RMS - Fox St from Kerr to Hickey</t>
  </si>
  <si>
    <t>RMS - Martin St Winton to Crane</t>
  </si>
  <si>
    <t>W479.9999.0401</t>
  </si>
  <si>
    <t>22210.4034.0160</t>
  </si>
  <si>
    <t>Marom Creek WTP Road Repair</t>
  </si>
  <si>
    <t>W440.9999.0401</t>
  </si>
  <si>
    <t>W484.9999.0401</t>
  </si>
  <si>
    <t>Airport Passenger Charges</t>
  </si>
  <si>
    <t xml:space="preserve">Airlines Conts to CAGRO </t>
  </si>
  <si>
    <t>Airlines Conts to Loan Repayments</t>
  </si>
  <si>
    <t>Business Process Review</t>
  </si>
  <si>
    <t>Ballina Indoor Sports Centre - Kiosk Sales</t>
  </si>
  <si>
    <t>35001.7523.0622</t>
  </si>
  <si>
    <t>Pop Denison</t>
  </si>
  <si>
    <t>Airport Terminal</t>
  </si>
  <si>
    <t>Car Park (15/16), Terminal (16/17)</t>
  </si>
  <si>
    <t>League Club Grandstand</t>
  </si>
  <si>
    <t>Mountain Bike Club Access Road</t>
  </si>
  <si>
    <t>Wollongbar Preschool - Car Park</t>
  </si>
  <si>
    <t>50112.3575.0401</t>
  </si>
  <si>
    <t>50112.3583.0401</t>
  </si>
  <si>
    <t>50112.4596.0401</t>
  </si>
  <si>
    <t>East Ballina Boosted</t>
  </si>
  <si>
    <t>Cumbalum Boosted</t>
  </si>
  <si>
    <t>Basalt Court Boosted</t>
  </si>
  <si>
    <t>Wollongbar Boosted</t>
  </si>
  <si>
    <t>WTP - Marom Creek Sampling and Testing</t>
  </si>
  <si>
    <t>50108.3685.0401</t>
  </si>
  <si>
    <t>Fishery Creek Pontoon</t>
  </si>
  <si>
    <t>Faulks Reserve, Pontoon</t>
  </si>
  <si>
    <t>Kerr St</t>
  </si>
  <si>
    <t>Burns Point Ferry Road Tide Gates</t>
  </si>
  <si>
    <t>Rutherford St and Tresise Pl</t>
  </si>
  <si>
    <t>Urban Stormwater Management Plan Action</t>
  </si>
  <si>
    <t>Park Lane, Lennox Hd - refuge</t>
  </si>
  <si>
    <t>Allens Parade, Lennox Head</t>
  </si>
  <si>
    <t>Gum Creek</t>
  </si>
  <si>
    <t>Marom Creek</t>
  </si>
  <si>
    <t>WTP - Marom Creek Chemicals</t>
  </si>
  <si>
    <t>WTP - Marom Creek Operations</t>
  </si>
  <si>
    <t>WTP - Marom Creek Catchment Operations</t>
  </si>
  <si>
    <t>50111.3701.0401</t>
  </si>
  <si>
    <t>55002.0328.0343</t>
  </si>
  <si>
    <t>55022.4582.0401</t>
  </si>
  <si>
    <t>55022.4596.0401</t>
  </si>
  <si>
    <t>55022.4597.0401</t>
  </si>
  <si>
    <t>55010.4661.0401</t>
  </si>
  <si>
    <t>Ballina WWTP</t>
  </si>
  <si>
    <t>Lennox WWTP</t>
  </si>
  <si>
    <t>Alstonville WWTP</t>
  </si>
  <si>
    <t>Wardell WWTP</t>
  </si>
  <si>
    <t>Ballina Pump Stations</t>
  </si>
  <si>
    <t>Lennox Pump Stations</t>
  </si>
  <si>
    <t>Alstonville Pump Stations</t>
  </si>
  <si>
    <t>Wardell Pump Stations</t>
  </si>
  <si>
    <t>55013</t>
  </si>
  <si>
    <t>Treatment - Operations</t>
  </si>
  <si>
    <t>Auditor Consulting Fees</t>
  </si>
  <si>
    <t>Donations Sewer Charges</t>
  </si>
  <si>
    <t>Dial Before You Dig (DBYD) Annual Fees</t>
  </si>
  <si>
    <t>Ballina WWTP - Operations</t>
  </si>
  <si>
    <t>Lennox WWTP - Operations</t>
  </si>
  <si>
    <t>Alstonville WWTP - Operations</t>
  </si>
  <si>
    <t>Wardell WWTP - Operations</t>
  </si>
  <si>
    <t>Ballina WWTP - Chemicals</t>
  </si>
  <si>
    <t>Lennox WWTP - Chemicals</t>
  </si>
  <si>
    <t>Alstonville WWTP - Chemicals</t>
  </si>
  <si>
    <t>Wardell WWTP - Chemicals</t>
  </si>
  <si>
    <t>55015.3762.0401</t>
  </si>
  <si>
    <t>Lennox WWTP - Sampling/Test</t>
  </si>
  <si>
    <t>55015.3763.0401</t>
  </si>
  <si>
    <t>Alstonville WWTP - Sampling/Test</t>
  </si>
  <si>
    <t>Ballina WWTP - Sampling/Testing</t>
  </si>
  <si>
    <t>55015.3764.0401</t>
  </si>
  <si>
    <t>Wardell WWTP - Sampling/Test</t>
  </si>
  <si>
    <t>Biosolids Disposal</t>
  </si>
  <si>
    <t>55019</t>
  </si>
  <si>
    <t>Lennox Head WWTP</t>
  </si>
  <si>
    <t>Reactive Maintenance</t>
  </si>
  <si>
    <t>55022.4799.0401</t>
  </si>
  <si>
    <t>55014</t>
  </si>
  <si>
    <t>Simpson Ave Wollongbar- refuge</t>
  </si>
  <si>
    <t>Horizon Drive, West Ballina - refuge</t>
  </si>
  <si>
    <t>Compton Drive to Nth Wall, East Ballina</t>
  </si>
  <si>
    <t>Fox St, Ballina - refuge</t>
  </si>
  <si>
    <t>Ross St, Lennox Head</t>
  </si>
  <si>
    <t>Sneaths Road, Wollongbar</t>
  </si>
  <si>
    <t>Emigrant Creek - Access study</t>
  </si>
  <si>
    <t>2223.3444.0401</t>
  </si>
  <si>
    <t>W449.9999.0401</t>
  </si>
  <si>
    <t>2199.7777.0401</t>
  </si>
  <si>
    <t>2342.4404.0401</t>
  </si>
  <si>
    <t>16/17 Budget Load</t>
  </si>
  <si>
    <t>2375.3959.0401</t>
  </si>
  <si>
    <t>2351.3963.0401</t>
  </si>
  <si>
    <t>2010.3149.0401</t>
  </si>
  <si>
    <t>2010.4035.0401</t>
  </si>
  <si>
    <t>2114.7777.0401</t>
  </si>
  <si>
    <t>2177.7777.0401</t>
  </si>
  <si>
    <t>2176.7777.0401</t>
  </si>
  <si>
    <t>2142.7777.0401</t>
  </si>
  <si>
    <t>2150.7777.0401</t>
  </si>
  <si>
    <t>2083.2361.0401</t>
  </si>
  <si>
    <t>2083.2362.0401</t>
  </si>
  <si>
    <t>2358.7777.0401</t>
  </si>
  <si>
    <t>2355.7777.0401</t>
  </si>
  <si>
    <t>2134.5326.0401</t>
  </si>
  <si>
    <t>2134.5327.0401</t>
  </si>
  <si>
    <t>2134.3971.0401</t>
  </si>
  <si>
    <t>2174.7777.0401</t>
  </si>
  <si>
    <t>2134.5329.0401</t>
  </si>
  <si>
    <t>W453.9999.0401</t>
  </si>
  <si>
    <t>2134.5330.0401</t>
  </si>
  <si>
    <t>W454.9999.0401</t>
  </si>
  <si>
    <t>2134.5331.0401</t>
  </si>
  <si>
    <t>W455.9999.0401</t>
  </si>
  <si>
    <t>2134.5332.0401</t>
  </si>
  <si>
    <t>W456.9999.0401</t>
  </si>
  <si>
    <t>2134.5333.0401</t>
  </si>
  <si>
    <t>W457.9999.0401</t>
  </si>
  <si>
    <t>2225.6495.0401</t>
  </si>
  <si>
    <t>2225.5291.0401</t>
  </si>
  <si>
    <t>W136.9999.0401</t>
  </si>
  <si>
    <t>2225.6496.0401</t>
  </si>
  <si>
    <t>2010.3143.0401</t>
  </si>
  <si>
    <t>2010.3144.0401</t>
  </si>
  <si>
    <t>2010.3145.0401</t>
  </si>
  <si>
    <t>2143.7777.0401</t>
  </si>
  <si>
    <t>W432.9999.0401</t>
  </si>
  <si>
    <t>2341.7777.0401</t>
  </si>
  <si>
    <t>Fawcett Lane seg 10</t>
  </si>
  <si>
    <t>Hickey Place seg 10</t>
  </si>
  <si>
    <t>Skinner St seg 10</t>
  </si>
  <si>
    <t>Skinner St (Part) seg 20</t>
  </si>
  <si>
    <t>Sunnybank Drv seg 20</t>
  </si>
  <si>
    <t>Bagotville Road seg 50 (part)</t>
  </si>
  <si>
    <t>Bagotville Road seg 15</t>
  </si>
  <si>
    <t>Friday Hut Rd (part) seg 170</t>
  </si>
  <si>
    <t>Marom Creek Road Devils Elbow seg 130 (part)</t>
  </si>
  <si>
    <t>Nashua Rd (Half) seg 10</t>
  </si>
  <si>
    <t>Coastal Path Section 2</t>
  </si>
  <si>
    <t>Roads to Recovery Income not yet allocated</t>
  </si>
  <si>
    <t>Records Projects</t>
  </si>
  <si>
    <t>2312.1100.0401</t>
  </si>
  <si>
    <t>26045.7693.0233</t>
  </si>
  <si>
    <t>35040.7718.0300</t>
  </si>
  <si>
    <t>Salaries and Oncosts Records</t>
  </si>
  <si>
    <t>35040.7721.0401</t>
  </si>
  <si>
    <t>Airport - Terminal</t>
  </si>
  <si>
    <t>2220.6497.0401</t>
  </si>
  <si>
    <t>W494.9999.0401</t>
  </si>
  <si>
    <t>2312.7524.0401</t>
  </si>
  <si>
    <t>2359.7777.0401</t>
  </si>
  <si>
    <t>W495.9999.0401</t>
  </si>
  <si>
    <t>2200.6498.0401</t>
  </si>
  <si>
    <t>W496.9999.0401</t>
  </si>
  <si>
    <t>2010.4027.0401</t>
  </si>
  <si>
    <t>W498.9999.0401</t>
  </si>
  <si>
    <t>2010.4026.0401</t>
  </si>
  <si>
    <t>W499.9999.0401</t>
  </si>
  <si>
    <t>2010.4025.0401</t>
  </si>
  <si>
    <t>W500.9999.0401</t>
  </si>
  <si>
    <t>2010.4024.0401</t>
  </si>
  <si>
    <t>W501.9999.0401</t>
  </si>
  <si>
    <t>2010.4023.0401</t>
  </si>
  <si>
    <t>W502.9999.0401</t>
  </si>
  <si>
    <t>2179.7777.0401</t>
  </si>
  <si>
    <t>2181.7777.0401</t>
  </si>
  <si>
    <t>2182.7777.0401</t>
  </si>
  <si>
    <t>2183.7777.0401</t>
  </si>
  <si>
    <t>2184.7777.0401</t>
  </si>
  <si>
    <t>W503.9999.0401</t>
  </si>
  <si>
    <t>W505.9999.0401</t>
  </si>
  <si>
    <t>W506.9999.0401</t>
  </si>
  <si>
    <t>W507.9999.0401</t>
  </si>
  <si>
    <t>W508.9999.0401</t>
  </si>
  <si>
    <t>Fenwick Drive seg 15</t>
  </si>
  <si>
    <t>2185.7777.0401</t>
  </si>
  <si>
    <t>W509.9999.0401</t>
  </si>
  <si>
    <t>Shelly Beach Road seg 10</t>
  </si>
  <si>
    <t>Swift Street seg 30 (part)</t>
  </si>
  <si>
    <t>2186.7777.0401</t>
  </si>
  <si>
    <t>2187.7777.0401</t>
  </si>
  <si>
    <t>W510.9999.0401</t>
  </si>
  <si>
    <t>W511.9999.0401</t>
  </si>
  <si>
    <t>2188.7777.0401</t>
  </si>
  <si>
    <t>2189.7777.0401</t>
  </si>
  <si>
    <t>W512.9999.0401</t>
  </si>
  <si>
    <t>W513.9999.0401</t>
  </si>
  <si>
    <t>2190.7777.0401</t>
  </si>
  <si>
    <t>W514.9999.0401</t>
  </si>
  <si>
    <t>2191.7777.0401</t>
  </si>
  <si>
    <t>2192.7777.0401</t>
  </si>
  <si>
    <t>W515.9999.0401</t>
  </si>
  <si>
    <t>W516.9999.0401</t>
  </si>
  <si>
    <t>2361.7777.0401</t>
  </si>
  <si>
    <t>W517.9999.0401</t>
  </si>
  <si>
    <t>2362.7777.0401</t>
  </si>
  <si>
    <t>2363.7777.0401</t>
  </si>
  <si>
    <t>W518.9999.0401</t>
  </si>
  <si>
    <t>W519.9999.0401</t>
  </si>
  <si>
    <t>2364.7777.0401</t>
  </si>
  <si>
    <t>W520.9999.0401</t>
  </si>
  <si>
    <t>2366.7777.0401</t>
  </si>
  <si>
    <t>W521.9999.0401</t>
  </si>
  <si>
    <t>2367.7777.0401</t>
  </si>
  <si>
    <t>W522.9999.0401</t>
  </si>
  <si>
    <t>2368.7777.0401</t>
  </si>
  <si>
    <t>2369.7777.0401</t>
  </si>
  <si>
    <t>W523.9999.0401</t>
  </si>
  <si>
    <t>W524.9999.0401</t>
  </si>
  <si>
    <t>2371.7777.0401</t>
  </si>
  <si>
    <t>W525.9999.0401</t>
  </si>
  <si>
    <t>2372.7777.0401</t>
  </si>
  <si>
    <t>2373.7777.0401</t>
  </si>
  <si>
    <t>W526.9999.0401</t>
  </si>
  <si>
    <t>W527.9999.0401</t>
  </si>
  <si>
    <t>2207.5890.0401</t>
  </si>
  <si>
    <t>W528.9999.0401</t>
  </si>
  <si>
    <t>Transfers To &amp; From Reserves 2016/17</t>
  </si>
  <si>
    <t>GM tab</t>
  </si>
  <si>
    <t>Interest per SP tab</t>
  </si>
  <si>
    <t>OSR - Pop Denison Master Plan</t>
  </si>
  <si>
    <t>Contributions applied per Sec 94 tab</t>
  </si>
  <si>
    <t>Contributions collected per Sec 94 tab</t>
  </si>
  <si>
    <t>Net movement in Section 94 here should agree to net movement inS04 contributions in  Res-Gen</t>
  </si>
  <si>
    <t>Work your way through the Res-Gen tab to pick up movements</t>
  </si>
  <si>
    <t>4506.8617.0961</t>
  </si>
  <si>
    <t>Comm Infra - Admin Roof &amp; Aircon</t>
  </si>
  <si>
    <t>Comm Infra - League Club Grandstand</t>
  </si>
  <si>
    <t>Comm Infra - Shaws Bay Plan</t>
  </si>
  <si>
    <t>Comm Infra - Missingham Car Park</t>
  </si>
  <si>
    <t>Comm Infra - Captain Cook Masterplan</t>
  </si>
  <si>
    <t>4091.8733.0960</t>
  </si>
  <si>
    <t>Prop Dev - North Creek Road Development</t>
  </si>
  <si>
    <t>Prop Dev - 54 North Creek Road Sale</t>
  </si>
  <si>
    <t>Admin Building - Air Con</t>
  </si>
  <si>
    <t>4030.8440.0960</t>
  </si>
  <si>
    <t>4050.4070.0960</t>
  </si>
  <si>
    <t>Ferries, Wharves Capital Expenditure funded from Boat Ramps/Infrastructure Reserve</t>
  </si>
  <si>
    <t>Keith Hall Ramp (Com Infra)</t>
  </si>
  <si>
    <t>Captain Cook Park Pontoon (Com Infra)</t>
  </si>
  <si>
    <t>Transfer Public Amenities</t>
  </si>
  <si>
    <t>Wollongbar Sportfield</t>
  </si>
  <si>
    <t>Admin Centre</t>
  </si>
  <si>
    <t>Refer Cash W line 42 Dividend</t>
  </si>
  <si>
    <t>Refer Cash W line 88</t>
  </si>
  <si>
    <t>Refer Cash W line 89</t>
  </si>
  <si>
    <t>Refer Cash WW line 18</t>
  </si>
  <si>
    <t>Refer Cash WW line 16</t>
  </si>
  <si>
    <t>Sum of s64 contributions 1340000 and s94 interest 126,400, per Cash WW</t>
  </si>
  <si>
    <t>Sum of s64 contributions 630,000 and s94 interest 234,100, per Cash W</t>
  </si>
  <si>
    <t>22155.4464.0179</t>
  </si>
  <si>
    <t>RMS - Angels Drive / Links Ave Roundabout</t>
  </si>
  <si>
    <t>State - Disaster - Local and Rural Roads</t>
  </si>
  <si>
    <t>Grants - Natural Disaster</t>
  </si>
  <si>
    <t>Ross Lane / Coast Rd Roundabout</t>
  </si>
  <si>
    <t>Skennars Head Road seg 90</t>
  </si>
  <si>
    <t>Additional R2R - River Drive</t>
  </si>
  <si>
    <t>GOVERNANCE AND COMMUNICATIONS</t>
  </si>
  <si>
    <t>Governance and Communications</t>
  </si>
  <si>
    <t>TOURISM (cont'd)</t>
  </si>
  <si>
    <t>4054.4097.0960</t>
  </si>
  <si>
    <t>4594.4086.0961</t>
  </si>
  <si>
    <t>4070.4086.0960</t>
  </si>
  <si>
    <t>4583.4087.0961</t>
  </si>
  <si>
    <t>4030.4088.0960</t>
  </si>
  <si>
    <t>4075.4089.0960</t>
  </si>
  <si>
    <t>4010.4090.0960</t>
  </si>
  <si>
    <t>4046.4091.0960</t>
  </si>
  <si>
    <t>4055.4092.0960</t>
  </si>
  <si>
    <t>4087.4093.0960</t>
  </si>
  <si>
    <t>4587.4094.0961</t>
  </si>
  <si>
    <t>4530.4095.0961</t>
  </si>
  <si>
    <t>4050.4096.0960</t>
  </si>
  <si>
    <t>4050.4098.0960</t>
  </si>
  <si>
    <t>4030.4084.0960</t>
  </si>
  <si>
    <t>4063.4099.0960</t>
  </si>
  <si>
    <t>4010.4100.0960</t>
  </si>
  <si>
    <t>50101.3657.0401</t>
  </si>
  <si>
    <t>50101.3658.0401</t>
  </si>
  <si>
    <t>50101.3659.0401</t>
  </si>
  <si>
    <t>50101.3660.0401</t>
  </si>
  <si>
    <t>50108.3691.0401</t>
  </si>
  <si>
    <t>55015.3692.0401</t>
  </si>
  <si>
    <t>55015.3693.0401</t>
  </si>
  <si>
    <t>55015.3694.0401</t>
  </si>
  <si>
    <t>55015.3695.0401</t>
  </si>
  <si>
    <t>55023</t>
  </si>
  <si>
    <t>Footpath Carlisle St Wardell</t>
  </si>
  <si>
    <t>2194.7777.0401</t>
  </si>
  <si>
    <t>2195.5567.401</t>
  </si>
  <si>
    <t>24000.4185.0160</t>
  </si>
  <si>
    <t>24001.2272.0270</t>
  </si>
  <si>
    <t>24001.2295.0270</t>
  </si>
  <si>
    <t>24002.4463.0179</t>
  </si>
  <si>
    <t>24002.5569.0179</t>
  </si>
  <si>
    <t>24004.8865.0160</t>
  </si>
  <si>
    <t>24004.4435.0160</t>
  </si>
  <si>
    <t>24004.4436.0160</t>
  </si>
  <si>
    <t>24004.4437.0160</t>
  </si>
  <si>
    <t>24004.4438.0160</t>
  </si>
  <si>
    <t>24004.4040.0160</t>
  </si>
  <si>
    <t>24004.4492.0160</t>
  </si>
  <si>
    <t>24005.5717.0169</t>
  </si>
  <si>
    <t>24006.8621.0950</t>
  </si>
  <si>
    <t>24006.8867.0950</t>
  </si>
  <si>
    <t>24006.8915.0950</t>
  </si>
  <si>
    <t>24007.4160.0940</t>
  </si>
  <si>
    <t>24008.4461.0940</t>
  </si>
  <si>
    <t>24009.4493.0940</t>
  </si>
  <si>
    <t>Refer Cash W line 18</t>
  </si>
  <si>
    <t>Refer Cash W line 16</t>
  </si>
  <si>
    <t>Net movement in WW s64 agrees to LTFP tab</t>
  </si>
  <si>
    <t>Net movement in W s64 agrees to LTFP tab</t>
  </si>
  <si>
    <t>Deduct s94 interest, Cash W line 46</t>
  </si>
  <si>
    <t>Deduct s94 interest, Cash WW line 46</t>
  </si>
  <si>
    <t>ok</t>
  </si>
  <si>
    <t>50107.3688.0401</t>
  </si>
  <si>
    <t>50107.3689.0401</t>
  </si>
  <si>
    <t>50107.3690.0401</t>
  </si>
  <si>
    <t>32340.7852.0690</t>
  </si>
  <si>
    <t>2101.537.0401</t>
  </si>
  <si>
    <t>W537.9999.0401</t>
  </si>
  <si>
    <t>W536.9999.0401</t>
  </si>
  <si>
    <t>2193.7777.0401</t>
  </si>
  <si>
    <t>W538.9999.0401</t>
  </si>
  <si>
    <t>7002.3866.0401</t>
  </si>
  <si>
    <t>W492.9999.0401</t>
  </si>
  <si>
    <t>7003.5306.0401</t>
  </si>
  <si>
    <t>W493.9999.0401</t>
  </si>
  <si>
    <t>7006.3922.0401</t>
  </si>
  <si>
    <t>W529.9999.0401</t>
  </si>
  <si>
    <t>7504.4991.0401</t>
  </si>
  <si>
    <t>W530.9999.0401</t>
  </si>
  <si>
    <t>7504.4949.0401</t>
  </si>
  <si>
    <t>W531.9999.0401</t>
  </si>
  <si>
    <t>7504.4950.0401</t>
  </si>
  <si>
    <t>W532.9999.0401</t>
  </si>
  <si>
    <t>7507.4951.0401</t>
  </si>
  <si>
    <t>W533.9999.0401</t>
  </si>
  <si>
    <t>7811.4952.0401</t>
  </si>
  <si>
    <t>W534.9999.0401</t>
  </si>
  <si>
    <t>7811.4953.0401</t>
  </si>
  <si>
    <t>W535.9999.0401</t>
  </si>
  <si>
    <t>W539.9999.0401</t>
  </si>
  <si>
    <t>24011.7972.270</t>
  </si>
  <si>
    <t>21000.1448.0091</t>
  </si>
  <si>
    <t>55022.4756.0401</t>
  </si>
  <si>
    <t>W67.9999.0401</t>
  </si>
  <si>
    <t>4038.2799.0960</t>
  </si>
  <si>
    <t>4045.4083.0960</t>
  </si>
  <si>
    <t>25000.3825.0177</t>
  </si>
  <si>
    <t>25000.3826.0175</t>
  </si>
  <si>
    <t>25500.4545.0178</t>
  </si>
  <si>
    <t>25500.3826.0176</t>
  </si>
  <si>
    <t>4038.5830.0960</t>
  </si>
  <si>
    <t>VIC Shower Reserve</t>
  </si>
  <si>
    <t>Net movement here should agrees to LTFP 'ResGen'</t>
  </si>
  <si>
    <t>2104.7899.0401</t>
  </si>
  <si>
    <t>W540.9999.0401</t>
  </si>
  <si>
    <t>22231.8810.0235</t>
  </si>
  <si>
    <t>32262.5440.0401</t>
  </si>
  <si>
    <t>Refer Cash WW line 41 Dividend</t>
  </si>
  <si>
    <t>This figure represents total cap expenditure $3,884,000 PLUS dividend to be paid out of $34,000 LESS cap expend funded from s64 of $1,820,000 LESS amts to recoup included in op result $100,000</t>
  </si>
  <si>
    <t>Federal - Ross Lane / Coast Road Roundabout</t>
  </si>
  <si>
    <t>RMS - Coast Road / Skennars Hd Rd R'about</t>
  </si>
  <si>
    <t>RMS - Ross Lane Straightening</t>
  </si>
  <si>
    <t>Coast Road / Skennars Hd Rd R'about</t>
  </si>
  <si>
    <t>24002.5558.0179</t>
  </si>
  <si>
    <t>24002.5557.0179</t>
  </si>
  <si>
    <t>2196.7777.0401</t>
  </si>
  <si>
    <t>W541.9999.0401</t>
  </si>
  <si>
    <t>2197.7777.0401</t>
  </si>
  <si>
    <t>W542.9999.0401</t>
  </si>
  <si>
    <t>24013.8708.0160</t>
  </si>
  <si>
    <t>24013.8876.0160</t>
  </si>
  <si>
    <t>Funds to Lennox Head CBD Master Plan</t>
  </si>
  <si>
    <t>Park Improvements LRM Dividend</t>
  </si>
  <si>
    <t>Playgrounds (Section 94 Plan)</t>
  </si>
  <si>
    <t xml:space="preserve">State - Apron and Terminal </t>
  </si>
  <si>
    <t>RMS - Regional Road Program</t>
  </si>
  <si>
    <t>Ballina RSL - Captain Cook Park Master Plan</t>
  </si>
  <si>
    <t>Public Art Contributions</t>
  </si>
  <si>
    <t>VIC Shower Facility</t>
  </si>
  <si>
    <t>Community Facilities (Ballina Heights)</t>
  </si>
  <si>
    <t>Connections for Green Field Sites</t>
  </si>
  <si>
    <t>Vaccum Excavation Equipment</t>
  </si>
  <si>
    <t>SP2001 - Wet Well Protection - Swift Street</t>
  </si>
  <si>
    <t>SP4004 - Pump Stn - Granada Place</t>
  </si>
  <si>
    <t>SP2401 - Power Drive Pumps (and storage)</t>
  </si>
  <si>
    <t>Kubota Membrane Turbine Replacement</t>
  </si>
  <si>
    <t>Rising Main Rehabilitation - Swift Street</t>
  </si>
  <si>
    <t>SP3001 - Byron Street, Lennox Head</t>
  </si>
  <si>
    <t>Low Pressure Sewer System Coopers Close</t>
  </si>
  <si>
    <t>Vacuum Excavation Truck</t>
  </si>
  <si>
    <t>Wardell - Boardwalk</t>
  </si>
  <si>
    <t>32020.1114.0401</t>
  </si>
  <si>
    <t>30002.1117.0401</t>
  </si>
  <si>
    <t>Killen Falls Plan of Management</t>
  </si>
  <si>
    <t>30002.1118.0401</t>
  </si>
  <si>
    <t>30002.1119.0401</t>
  </si>
  <si>
    <t>Tosha Falls Plan of Management</t>
  </si>
  <si>
    <t>24013.2600.0160</t>
  </si>
  <si>
    <t>24013.8910.0160</t>
  </si>
  <si>
    <t>2141.7777.0401</t>
  </si>
  <si>
    <t>2175.7777.0401</t>
  </si>
  <si>
    <t>2353.3402.0401</t>
  </si>
  <si>
    <t>Shared Path Section 3 Prov for traffic</t>
  </si>
  <si>
    <t>2357.7777.0401</t>
  </si>
  <si>
    <t>32279.5605.0401</t>
  </si>
  <si>
    <t>2225.5290.0401</t>
  </si>
  <si>
    <t>W487.9999.0401</t>
  </si>
  <si>
    <t>W427.9999.0401</t>
  </si>
  <si>
    <t>35040.7925.0401</t>
  </si>
  <si>
    <t>Business Records Scanning</t>
  </si>
  <si>
    <t>LHCC Maintenance</t>
  </si>
  <si>
    <t>30001.1116.0401</t>
  </si>
  <si>
    <t>20002.1116.0166</t>
  </si>
  <si>
    <t>2105.1120.0401</t>
  </si>
  <si>
    <t>32023.2456/2475/2459.0401</t>
  </si>
  <si>
    <t>W543.9999.0401</t>
  </si>
  <si>
    <t>W544.9999.0401</t>
  </si>
  <si>
    <t>W545.9999.0401</t>
  </si>
  <si>
    <t>Buildings AMP- Ferry Shed</t>
  </si>
  <si>
    <t>Buildings AMP - Head Quarters</t>
  </si>
  <si>
    <t>Buildings AMP - ALEC</t>
  </si>
  <si>
    <t>W547.9999.0401</t>
  </si>
  <si>
    <t>Buildings AMP - LHCC</t>
  </si>
  <si>
    <t>22110.3829.0169</t>
  </si>
  <si>
    <t>Fishery Creek Bridge Guard Rail</t>
  </si>
  <si>
    <t>W549.9999.0401</t>
  </si>
  <si>
    <t>2198.7777.0401</t>
  </si>
  <si>
    <t>W550.9999.0401</t>
  </si>
  <si>
    <t>2201.7777.0401</t>
  </si>
  <si>
    <t>Canal Bridge Guard Rail</t>
  </si>
  <si>
    <t>Kerr St Edge Drains</t>
  </si>
  <si>
    <t>River St Edge Drains</t>
  </si>
  <si>
    <t>32135.4368.0401</t>
  </si>
  <si>
    <t>PAMP</t>
  </si>
  <si>
    <t>22150.4368.0165</t>
  </si>
  <si>
    <t>Amounts to PAMP operating expenses</t>
  </si>
  <si>
    <t>PAMP works</t>
  </si>
  <si>
    <t>2024.6596.0401</t>
  </si>
  <si>
    <t>W481.9999.0401</t>
  </si>
  <si>
    <t>2200.4190.0401</t>
  </si>
  <si>
    <t>55002.4584.0401</t>
  </si>
  <si>
    <t>Asset Revaluation</t>
  </si>
  <si>
    <t>W347.9999.0401</t>
  </si>
  <si>
    <t>35080.4082.0401</t>
  </si>
  <si>
    <t>2336.7793.401</t>
  </si>
  <si>
    <t>9 North Creek Road</t>
  </si>
  <si>
    <t>2336.6571.0401</t>
  </si>
  <si>
    <t>W556.9999.0401</t>
  </si>
  <si>
    <t>7000.3946.0401</t>
  </si>
  <si>
    <t>W358.9999.0401</t>
  </si>
  <si>
    <t>W548.9999.0401</t>
  </si>
  <si>
    <t>7531.4994.0401</t>
  </si>
  <si>
    <t>26083.8579.124</t>
  </si>
  <si>
    <t>30020.7724.0401</t>
  </si>
  <si>
    <t>35160.7563.0401</t>
  </si>
  <si>
    <t>Subscription Regional Arts Council</t>
  </si>
  <si>
    <t>35162.8885.0401</t>
  </si>
  <si>
    <t>26123.8916.0148</t>
  </si>
  <si>
    <t>North Coast Destination Network (FlyDrive)</t>
  </si>
  <si>
    <t>35152.8908.0401</t>
  </si>
  <si>
    <t>Fly Drive Campaign</t>
  </si>
  <si>
    <t>31020.7542.0401</t>
  </si>
  <si>
    <t>Training (Pools)</t>
  </si>
  <si>
    <t>32102.3093.0401</t>
  </si>
  <si>
    <t>Coastal Hazard Study 2</t>
  </si>
  <si>
    <t>22241.5766.0148</t>
  </si>
  <si>
    <t>32280.5766.0401</t>
  </si>
  <si>
    <t>32348.7059.0401</t>
  </si>
  <si>
    <t>32348.7060.0401</t>
  </si>
  <si>
    <t>50005.3586.0401</t>
  </si>
  <si>
    <t>12010.3512.0102</t>
  </si>
  <si>
    <t>12010.3513.0102</t>
  </si>
  <si>
    <t>Recycled Residential Water Consumption</t>
  </si>
  <si>
    <t>Recycled Non Residential Water Consumption</t>
  </si>
  <si>
    <t>26028.7842.0235</t>
  </si>
  <si>
    <t>35021.7842.0422</t>
  </si>
  <si>
    <t>Legal Expenses Debtors</t>
  </si>
  <si>
    <t>Legal Expenses Rates/Water</t>
  </si>
  <si>
    <t>35125.8908.0401</t>
  </si>
  <si>
    <t>The Coast Rd (Angels Beach)</t>
  </si>
  <si>
    <t>Riverbank Rd (R2R)</t>
  </si>
  <si>
    <t>W491.9999.0401</t>
  </si>
  <si>
    <t>22157.4012.0179</t>
  </si>
  <si>
    <t>Trawler Boat Harbour</t>
  </si>
  <si>
    <t>24004.4011.0160</t>
  </si>
  <si>
    <t>State - RBP - Keith Hall Boat Ramp Design</t>
  </si>
  <si>
    <t>24006.8620.0950</t>
  </si>
  <si>
    <t>30023.8579.0401</t>
  </si>
  <si>
    <t>Auditorium Event Hire</t>
  </si>
  <si>
    <t>Co-op Advertising - Airport Brochure Rack</t>
  </si>
  <si>
    <t xml:space="preserve">Reservoir Hill Site BSCPP </t>
  </si>
  <si>
    <t>Greenwood Place Lennox Head BSCPP</t>
  </si>
  <si>
    <t>Heritage and Culture Projects</t>
  </si>
  <si>
    <t>Ocean Breeze Plan of Management</t>
  </si>
  <si>
    <t>LEP - Greenwood Place</t>
  </si>
  <si>
    <t xml:space="preserve">LEP - Southern Cross </t>
  </si>
  <si>
    <t>Fund Raising Events</t>
  </si>
  <si>
    <t>Burns Point Ferry Road BSCPP</t>
  </si>
  <si>
    <t xml:space="preserve">Teven Road, Transport BSCPP </t>
  </si>
  <si>
    <t>Heritage and Culture Projects Grants</t>
  </si>
  <si>
    <t>Section 94 Plan - Shire Plan Review</t>
  </si>
  <si>
    <t>Section 94 Plan - Cumbalum Review</t>
  </si>
  <si>
    <t>Koala Management Strategy Actions</t>
  </si>
  <si>
    <t>Planing Strategies - Reviews</t>
  </si>
  <si>
    <t>Planning Proposals - Fees for Services</t>
  </si>
  <si>
    <t>Lennox Head Centre - Event Hire</t>
  </si>
  <si>
    <t>Cash Delivery Services Admin Centre</t>
  </si>
  <si>
    <t>Other Community Programs</t>
  </si>
  <si>
    <t>Donations - Sporting Groups</t>
  </si>
  <si>
    <t>Donations - Sthn Cross Scholarship</t>
  </si>
  <si>
    <t xml:space="preserve">Donations - Public Halls - Rates </t>
  </si>
  <si>
    <t>Donations - Public Halls - Capital</t>
  </si>
  <si>
    <t>Donations - Carry Forwards</t>
  </si>
  <si>
    <t>Donations - Community Groups</t>
  </si>
  <si>
    <t>LGNSW</t>
  </si>
  <si>
    <t>Australian Coastal Councils</t>
  </si>
  <si>
    <t>Legals ARL Debtors</t>
  </si>
  <si>
    <t>BBRC Legal and Valuation Fees</t>
  </si>
  <si>
    <t>Other Revenues (non-cash)</t>
  </si>
  <si>
    <t>89 Tamar Street - Outgoings</t>
  </si>
  <si>
    <t>Fawcett Street Café - Outgoings</t>
  </si>
  <si>
    <t>Wigmore Arcade - Outgoings</t>
  </si>
  <si>
    <t>Tintenbar Chambers - Outgoings</t>
  </si>
  <si>
    <t>Water / Wastewater WUEA Recoup</t>
  </si>
  <si>
    <t>Water / Wastewater BHD Recoup</t>
  </si>
  <si>
    <t>BBRC Legal and Valuation Charges</t>
  </si>
  <si>
    <t>Auctions</t>
  </si>
  <si>
    <t>North Creek Dredging</t>
  </si>
  <si>
    <t>Ballina Bar and Sand Nourishment</t>
  </si>
  <si>
    <t>2336.8581.0401</t>
  </si>
  <si>
    <t>2336.8606.0401</t>
  </si>
  <si>
    <t>W555.9999.0401</t>
  </si>
  <si>
    <t>2324.5281.0401</t>
  </si>
  <si>
    <t>32135.4407.0401</t>
  </si>
  <si>
    <t>W551.9998.0401</t>
  </si>
  <si>
    <t>W552.9998.0401</t>
  </si>
  <si>
    <t>W563.9999.0401</t>
  </si>
  <si>
    <t>2202.7777.0401</t>
  </si>
  <si>
    <t>Rezoning 44-52 Blues Sea Parade</t>
  </si>
  <si>
    <t>22010.2420.0138</t>
  </si>
  <si>
    <t>Road Closure Applications</t>
  </si>
  <si>
    <t>32000.0374.0640</t>
  </si>
  <si>
    <t>Abandoned Pensioners S160AA Council</t>
  </si>
  <si>
    <t>50005.3572</t>
  </si>
  <si>
    <t>Compulsory Dividend</t>
  </si>
  <si>
    <t>50000.8397</t>
  </si>
  <si>
    <t>Salaries and Oncosts - Capital Contra</t>
  </si>
  <si>
    <t>Pumping Stations - Energy Costs</t>
  </si>
  <si>
    <t>Water Quality Testing, Reading and Other</t>
  </si>
  <si>
    <t>Telemetry and Plant Maintenance</t>
  </si>
  <si>
    <t>55002.3572</t>
  </si>
  <si>
    <t>OSR Operations Re-Use Pipes and Irrigation</t>
  </si>
  <si>
    <t>Engineering and Technical</t>
  </si>
  <si>
    <t>Wollongbar Fields (Contingency)</t>
  </si>
  <si>
    <t>Movement In Provision</t>
  </si>
  <si>
    <t>Marom Creek - Scheduled Maintenance</t>
  </si>
  <si>
    <t>Marom Creek - Reactive Maintenance</t>
  </si>
  <si>
    <t>Water Mains - Cleaning Program</t>
  </si>
  <si>
    <t>Water Hydrants - Maintenance</t>
  </si>
  <si>
    <t>Water Field Staff Other Leave</t>
  </si>
  <si>
    <t>Water Field Staff Annual Leave</t>
  </si>
  <si>
    <t>Water Field Staff Sick Leave</t>
  </si>
  <si>
    <t>Water Field Long Service Leave</t>
  </si>
  <si>
    <t>FFTF Results Per Year</t>
  </si>
  <si>
    <t>Asset Maintenance Ratio ( &gt; 100%)</t>
  </si>
  <si>
    <t>Debt Service Ratio ( &lt; 20%)</t>
  </si>
  <si>
    <t>Own Source Operating Rev Ratio ( &gt; 60%)</t>
  </si>
  <si>
    <t>Asset Renewal Ratio ( &gt; 100%)</t>
  </si>
  <si>
    <t xml:space="preserve">Operating Performance Ratio ( &gt; 0%) </t>
  </si>
  <si>
    <t>89 Tamar Street</t>
  </si>
  <si>
    <t>Pump Station Southern Cross</t>
  </si>
  <si>
    <t>Shelly Beach Café</t>
  </si>
  <si>
    <t xml:space="preserve">Community Gallery </t>
  </si>
  <si>
    <t>Marom Creek - Catchment Maintenance</t>
  </si>
  <si>
    <t>Hydrant Protection Markers - Installation</t>
  </si>
  <si>
    <t>Administration and Customer Service - Overheads</t>
  </si>
  <si>
    <t>Specialist Water Staff Training</t>
  </si>
  <si>
    <t>Abandoned Pensioners S16AA Council</t>
  </si>
  <si>
    <t>60010</t>
  </si>
  <si>
    <t>60023</t>
  </si>
  <si>
    <t>60024</t>
  </si>
  <si>
    <t>60025</t>
  </si>
  <si>
    <t>Recycled Water - Mains Maintenance</t>
  </si>
  <si>
    <t>Recycled Water - Reservoirs Operations</t>
  </si>
  <si>
    <t>Recycled Water - Reservoirs Maintenance</t>
  </si>
  <si>
    <t>Recycled Water - Connections Maintenance</t>
  </si>
  <si>
    <t>Camera and Jetting - Maintenance</t>
  </si>
  <si>
    <t>Cabbage Tree Island Emergency Maintenance</t>
  </si>
  <si>
    <t>Cabbage Tree Island Program Maintenance</t>
  </si>
  <si>
    <t>Pumping Stations - Renewal Program</t>
  </si>
  <si>
    <t>Pumping Stations - Capacity Upgrade Program</t>
  </si>
  <si>
    <t>Ballina - Control Valve</t>
  </si>
  <si>
    <t>Ballina - DAF Dismantling</t>
  </si>
  <si>
    <t>Ballina - Septic Receival</t>
  </si>
  <si>
    <t>Ballina - Gantry crane</t>
  </si>
  <si>
    <t>Ballina - Programeed membrane</t>
  </si>
  <si>
    <t>Ballina - Manifold Blower Upgrade</t>
  </si>
  <si>
    <t>Lennox - EAT Decanters</t>
  </si>
  <si>
    <t>Alsontville - Biosolids Management</t>
  </si>
  <si>
    <t>Alstonville - Maturation Pond</t>
  </si>
  <si>
    <t>Alsontville - SCADA Upgrade</t>
  </si>
  <si>
    <t>Alstonville - Diffused Aeration Upgrade</t>
  </si>
  <si>
    <t>Wardell - SCADA Upgrade</t>
  </si>
  <si>
    <t xml:space="preserve">Plant Replacement </t>
  </si>
  <si>
    <t>Plant Replacement - CCTV</t>
  </si>
  <si>
    <t>Ross Lane - Dual Reticulation Reservoir</t>
  </si>
  <si>
    <t>Ballina Heights - Boosted Pumping Station</t>
  </si>
  <si>
    <t>Lennox Palms Estate - Reticulation Mains</t>
  </si>
  <si>
    <t>Montwood Drive - Distribution Mains</t>
  </si>
  <si>
    <t>Henderson Farm - Distribution Mains</t>
  </si>
  <si>
    <t>Meadows Estate - Distribution Main</t>
  </si>
  <si>
    <t>Greenfield Grove - Distribution Mains</t>
  </si>
  <si>
    <t>Lennox Head - Distribution Mains</t>
  </si>
  <si>
    <t>Fig Tree Hill - Distribution Mains</t>
  </si>
  <si>
    <t>CURA B - Distribution Mains</t>
  </si>
  <si>
    <t>Lennox to Angels Drive - Main</t>
  </si>
  <si>
    <t>Recycled Water - Hydrant Standpipes</t>
  </si>
  <si>
    <t>Recycled Water - Hydrant Installations</t>
  </si>
  <si>
    <t>Kings Court - Reservoir</t>
  </si>
  <si>
    <t>Recycled Water - Communications</t>
  </si>
  <si>
    <t>Recycled Water - Connection Audits</t>
  </si>
  <si>
    <t>Recycled Water - Alstonville</t>
  </si>
  <si>
    <t>Recycled Water - Design and Management</t>
  </si>
  <si>
    <t>Quarry Road - Mountain Bike</t>
  </si>
  <si>
    <t xml:space="preserve">Faulks Reserve, Pontoon </t>
  </si>
  <si>
    <t>Ross Street - Lake Ainsworth</t>
  </si>
  <si>
    <t>Development Services Resources</t>
  </si>
  <si>
    <t xml:space="preserve">Library Projects </t>
  </si>
  <si>
    <t>Shaws Bay / Lake Ains CZMPs</t>
  </si>
  <si>
    <t>Cptn Cook Park Pontoon</t>
  </si>
  <si>
    <t>Keith Hall Lane - Ramp Design</t>
  </si>
  <si>
    <t>Keith Hall Lane - Ramp Construct</t>
  </si>
  <si>
    <t>Quarry Dividend</t>
  </si>
  <si>
    <t xml:space="preserve">Keith Hall, Ramp </t>
  </si>
  <si>
    <t>Buildings Asset Mgmt Program</t>
  </si>
  <si>
    <t>Hutley Drive - North Creek Road</t>
  </si>
  <si>
    <t>Environmental Health Resources</t>
  </si>
  <si>
    <t>Administration and Financial Services</t>
  </si>
  <si>
    <t>22151.3515.0190</t>
  </si>
  <si>
    <t>Wardell Town Centre Interest</t>
  </si>
  <si>
    <t>32254.5578.0401</t>
  </si>
  <si>
    <t>MR7734 Howards Bridge</t>
  </si>
  <si>
    <t>32262.5338.0401</t>
  </si>
  <si>
    <t>Cumbalum/Ballina Heights</t>
  </si>
  <si>
    <t>32312.6206.0401</t>
  </si>
  <si>
    <t>22285.6527.0235</t>
  </si>
  <si>
    <t>32340.7847.0420</t>
  </si>
  <si>
    <t>32348.6748.0401</t>
  </si>
  <si>
    <t>32348.6749.0401</t>
  </si>
  <si>
    <t>32350.7138.0401</t>
  </si>
  <si>
    <t>32350.7326.0401</t>
  </si>
  <si>
    <t>35125.385.0612</t>
  </si>
  <si>
    <t>Bad debts</t>
  </si>
  <si>
    <t>35160.0680.0745</t>
  </si>
  <si>
    <t>32101.0680.0741</t>
  </si>
  <si>
    <t>2105.1098.0401</t>
  </si>
  <si>
    <t>Gallery Foyer</t>
  </si>
  <si>
    <t>RMS Contributions</t>
  </si>
  <si>
    <t>Prviate Works</t>
  </si>
  <si>
    <t>Wollongbar Fields (Grant)</t>
  </si>
  <si>
    <t>Wollongbar Fields (Council)</t>
  </si>
  <si>
    <t>Building Renewals</t>
  </si>
  <si>
    <t>Building Asset Renewal</t>
  </si>
  <si>
    <t>Amenities Improvements</t>
  </si>
  <si>
    <t>Trawler Harbour Plan</t>
  </si>
  <si>
    <t>Swimming Pool - Capital</t>
  </si>
  <si>
    <t>Swimming Pool - Operations</t>
  </si>
  <si>
    <t>22112.8914.0180</t>
  </si>
  <si>
    <t>24002.4477.0179</t>
  </si>
  <si>
    <t>RMS Angels Beach Drive 16/17</t>
  </si>
  <si>
    <t>22155.4028.0160</t>
  </si>
  <si>
    <t>State RTIF Airport Taxiway</t>
  </si>
  <si>
    <t>24007.4160.0160</t>
  </si>
  <si>
    <t>Lennox St Soak Away</t>
  </si>
  <si>
    <t>2010.4020.0401</t>
  </si>
  <si>
    <t>2178.7777.0401</t>
  </si>
  <si>
    <t>Angels Beach</t>
  </si>
  <si>
    <t>W486.9999.0401</t>
  </si>
  <si>
    <t>Coast Rd West Section 1</t>
  </si>
  <si>
    <t>2348.3429.0401</t>
  </si>
  <si>
    <t>Shared Path Skennars Hd/Nth Rd Section 2</t>
  </si>
  <si>
    <t>2349.3434.0401</t>
  </si>
  <si>
    <t>Porter Park Embellishment</t>
  </si>
  <si>
    <t>as at 30/6/16</t>
  </si>
  <si>
    <t>Booyal Bushland Res Compensatory</t>
  </si>
  <si>
    <t>Ballina Bar - Sand Nourishment</t>
  </si>
  <si>
    <t>VEGETATION MANAGEMENT (cont'd)</t>
  </si>
  <si>
    <t>7 North Creek Road</t>
  </si>
  <si>
    <t>13 Cessna Crescent</t>
  </si>
  <si>
    <t>Ballina Tennis Club</t>
  </si>
  <si>
    <t>To</t>
  </si>
  <si>
    <t>2353.3401.0401=</t>
  </si>
  <si>
    <t xml:space="preserve">State - RBP - Keith Hall Boat Ramp </t>
  </si>
  <si>
    <t>River St - Moon to Grant Beautification</t>
  </si>
  <si>
    <t>State or Federal - Indoor Sports Centre</t>
  </si>
  <si>
    <t>Buildings AMP - Hall Swift St</t>
  </si>
  <si>
    <t>Buildings - VIC Facilities</t>
  </si>
  <si>
    <t>Operations and Capital</t>
  </si>
  <si>
    <t xml:space="preserve">Waste - Domestic </t>
  </si>
  <si>
    <t>Keith Hall, Ramp (Comm Infra)</t>
  </si>
  <si>
    <t xml:space="preserve">Captain Cook Pontoon (Comm Infra) </t>
  </si>
  <si>
    <t>Fishery Creek Pontoon (Comm Infr)</t>
  </si>
  <si>
    <t>Infrastructure - Prop Dev Dividend</t>
  </si>
  <si>
    <t>Infrastructure - Comm Infra Dividend</t>
  </si>
  <si>
    <t>26131.8918.0148</t>
  </si>
  <si>
    <t>35162.8918.0401</t>
  </si>
  <si>
    <t>22101.3105.0148</t>
  </si>
  <si>
    <t>USMP Envirotrust Video</t>
  </si>
  <si>
    <t>32101.3105.0401</t>
  </si>
  <si>
    <t>Southern Cross Drive Heavy Patching</t>
  </si>
  <si>
    <t>32262.5768.0401</t>
  </si>
  <si>
    <t>Killens Falls Temporary Toilet</t>
  </si>
  <si>
    <t>22241.5767.0148</t>
  </si>
  <si>
    <t>Lennox Meadows Drainage Basin</t>
  </si>
  <si>
    <t>32280.5767.0401</t>
  </si>
  <si>
    <t>32340.6878.0401</t>
  </si>
  <si>
    <t>Waste Audits</t>
  </si>
  <si>
    <t>Stokers Quarry</t>
  </si>
  <si>
    <t>Stage 1 Rectification Works</t>
  </si>
  <si>
    <t>32325.7635.0401</t>
  </si>
  <si>
    <t>State - Marine Rescue Tower (P/Ship)</t>
  </si>
  <si>
    <t>Federal - National Stronger Regions</t>
  </si>
  <si>
    <t>Private - Ballina Heights Drive</t>
  </si>
  <si>
    <t>NCHP - Ross Street Mobilisation</t>
  </si>
  <si>
    <t>State - Shared Path (PRMF)</t>
  </si>
  <si>
    <t>Private - Newrybar Car Park</t>
  </si>
  <si>
    <t>RMS - Grant River Streets Refuge</t>
  </si>
  <si>
    <t>RMS - Ballina St - Coast Rd to Allens Parade</t>
  </si>
  <si>
    <t>Less Capitalisation of Wages</t>
  </si>
  <si>
    <t>Developer Contributed Assets</t>
  </si>
  <si>
    <t>Less Developer Contributed Assets</t>
  </si>
  <si>
    <t>Roads to Recovery (shown in LTFP as Capital in 15/16)</t>
  </si>
  <si>
    <t>Overheads Check for Automatic Entry</t>
  </si>
  <si>
    <t>Total in Financial Services</t>
  </si>
  <si>
    <t>To be journalled during the year</t>
  </si>
  <si>
    <t>Henderson Farm Residual</t>
  </si>
  <si>
    <t>Roads - Airport Boiulevard</t>
  </si>
  <si>
    <t>Federal - Airport Boulevard</t>
  </si>
  <si>
    <t xml:space="preserve">Airport Boulevard Road </t>
  </si>
  <si>
    <t>Skennars Head Fields - Expansion</t>
  </si>
  <si>
    <t>Wollongbar Fields</t>
  </si>
  <si>
    <t>Megan Crescent Fields</t>
  </si>
  <si>
    <t>Skennars Head Fields</t>
  </si>
  <si>
    <t xml:space="preserve">Natural Disasters </t>
  </si>
  <si>
    <t>Master Plans</t>
  </si>
  <si>
    <t>Event and Film Revenues</t>
  </si>
  <si>
    <t>Shark Management</t>
  </si>
  <si>
    <t>Bitou Bush and Various</t>
  </si>
  <si>
    <t>Waste Collection Business</t>
  </si>
  <si>
    <t>Remediation Provisions Adjustment</t>
  </si>
  <si>
    <t>Bulk Waste Collection Business Props</t>
  </si>
  <si>
    <t>Asbestos (funded by Rest Reserve)</t>
  </si>
  <si>
    <t>Illegal Dumping (funded by Rest Reserve)</t>
  </si>
  <si>
    <t>Biochar Preconstruction</t>
  </si>
  <si>
    <t>Lifelong Learning Program</t>
  </si>
  <si>
    <t>SECTION 64 CONTRIBUTIONS APPLIED</t>
  </si>
  <si>
    <t>Sec 64 Contributions Applied to Capital Projects</t>
  </si>
  <si>
    <t>Sec 64 Contributions Applied to Loan Principal</t>
  </si>
  <si>
    <t>Section 94 Applied to Loan Principal</t>
  </si>
  <si>
    <t>Reserve Balance as per LTFP</t>
  </si>
  <si>
    <t>Reserve Balance from above</t>
  </si>
  <si>
    <t>Reasonable Cost Adjustments</t>
  </si>
  <si>
    <t>Overhead Distribution - 2017/18</t>
  </si>
  <si>
    <t>BALLINA SHIRE COUNCIL</t>
  </si>
  <si>
    <t>REASONABLE COSTS AND CHARGES</t>
  </si>
  <si>
    <t>A.</t>
  </si>
  <si>
    <t>BEST ESTIMATE ASSUMPTIONS</t>
  </si>
  <si>
    <t>Budget</t>
  </si>
  <si>
    <t>1.</t>
  </si>
  <si>
    <t>$</t>
  </si>
  <si>
    <t>Interest Expense</t>
  </si>
  <si>
    <t>Pensioner Write-off (Net)</t>
  </si>
  <si>
    <t>Total Domestic Waste Costs</t>
  </si>
  <si>
    <t>Council's Waste Facility is treated as a separate business unit. The business unit</t>
  </si>
  <si>
    <t>has calculated the reasonable cost of providing this facility to all users (commercial,</t>
  </si>
  <si>
    <t>domestic and non-domestic). All users are charged on a rate per tonne for waste</t>
  </si>
  <si>
    <t>disposed.</t>
  </si>
  <si>
    <t>2.</t>
  </si>
  <si>
    <t>Domestic Waste Charges</t>
  </si>
  <si>
    <t>Total Domestic Waste Income</t>
  </si>
  <si>
    <t>B.</t>
  </si>
  <si>
    <t>CALCULATION OF REASONABLE COST</t>
  </si>
  <si>
    <t>Provision for future works if in surplus</t>
  </si>
  <si>
    <t>TOTAL REASONABLE COST</t>
  </si>
  <si>
    <t>Collection and Disposal</t>
  </si>
  <si>
    <t>2017/2018 Annualised Domestic Waste Costs</t>
  </si>
  <si>
    <t>DOMESTIC WASTE MANAGEMENT SERVICES</t>
  </si>
  <si>
    <t>Pensioner Write-offs</t>
  </si>
  <si>
    <t>Growth</t>
  </si>
  <si>
    <t>Cheyne Willebrand (LRM / DWM allocation)</t>
  </si>
  <si>
    <t>Simon Smith (swap LRM / DWM %)</t>
  </si>
  <si>
    <t>Hellyer, Dobbs, Dover Allocation</t>
  </si>
  <si>
    <t xml:space="preserve">Extras </t>
  </si>
  <si>
    <t>ABCs - Adjust General Fund Notices Issued Only</t>
  </si>
  <si>
    <t>Nos 16/17</t>
  </si>
  <si>
    <t>March 2017</t>
  </si>
  <si>
    <t>Source from Pay Estimates Spreadsheet</t>
  </si>
  <si>
    <t>2017/18 Calculations</t>
  </si>
  <si>
    <t>Total Rates and Charges Bill Check</t>
  </si>
  <si>
    <t>Average Residential Rate</t>
  </si>
  <si>
    <t>Water Connection</t>
  </si>
  <si>
    <t>Percentage Change</t>
  </si>
  <si>
    <t>Add deletion of transfer from Quarry Reserve</t>
  </si>
  <si>
    <t>Planning Proposals and Other Fees</t>
  </si>
  <si>
    <t xml:space="preserve">Planning Proposals </t>
  </si>
  <si>
    <t>Reservoirs  - Operations and Maintenance</t>
  </si>
  <si>
    <t>Maintenance - Other</t>
  </si>
  <si>
    <t>Operations - Other</t>
  </si>
  <si>
    <t>Recycled Water - Maintenance and Operations</t>
  </si>
  <si>
    <t>SPORTS FIELDS</t>
  </si>
  <si>
    <t>Other Fines and Other Revenues</t>
  </si>
  <si>
    <t>OSSM Fees and Charges</t>
  </si>
  <si>
    <t>Litter Fines</t>
  </si>
  <si>
    <t>Other Regulatory Fees and Charges</t>
  </si>
  <si>
    <t>Registrations and Inspections</t>
  </si>
  <si>
    <t>DWM Operations (External)</t>
  </si>
  <si>
    <t>Plant and Fleel Operations</t>
  </si>
  <si>
    <t>Synethic Hockey Field Replacement</t>
  </si>
  <si>
    <t xml:space="preserve">Netball Courts </t>
  </si>
  <si>
    <t xml:space="preserve">Airport Operations </t>
  </si>
  <si>
    <t>Miscellaneous Grants</t>
  </si>
  <si>
    <t>Ballina Men's Shed Rates and Charges</t>
  </si>
  <si>
    <t>Community Land Investigations</t>
  </si>
  <si>
    <t>Section 94 Plan Reviews</t>
  </si>
  <si>
    <t>Section 94 Plan - Reviews</t>
  </si>
  <si>
    <t>Contract Management Charges</t>
  </si>
  <si>
    <t>Employee Salaries and Oncosts</t>
  </si>
  <si>
    <t>Engineering Inspections and Overheads</t>
  </si>
  <si>
    <t>Open Spaces Buildings</t>
  </si>
  <si>
    <t xml:space="preserve">Community Buildings </t>
  </si>
  <si>
    <t>Depreciation - Administration Building</t>
  </si>
  <si>
    <t>Cont to CC - Drainage Unions</t>
  </si>
  <si>
    <t>Cont to County Council (CC)</t>
  </si>
  <si>
    <t>Cont to CC - Coastal Zone Mgmt Plan</t>
  </si>
  <si>
    <t>Foreshore Protection Works</t>
  </si>
  <si>
    <t>Boating Programs</t>
  </si>
  <si>
    <t>Martin Street Boat Harbour</t>
  </si>
  <si>
    <t xml:space="preserve">Commercial Activity Licences </t>
  </si>
  <si>
    <t>State Govt - Crown Reserve Contribution</t>
  </si>
  <si>
    <t>ANZAC Local Grant Program</t>
  </si>
  <si>
    <t>Skatepark (Wollongbar) M &amp; R</t>
  </si>
  <si>
    <t>Ballina Town Entry Statement</t>
  </si>
  <si>
    <t>Amphitheatre and Skateparks</t>
  </si>
  <si>
    <t>Noxious Plants (County Council)</t>
  </si>
  <si>
    <t>Weed Control - Cont to County Council</t>
  </si>
  <si>
    <t>Gain on Disposal of Equipment</t>
  </si>
  <si>
    <t>Remediation Provisions</t>
  </si>
  <si>
    <t>Fees - Council Recyclables (DWM)</t>
  </si>
  <si>
    <t>Rural Stickers</t>
  </si>
  <si>
    <t>Collection Kerbside - Bin Purchases</t>
  </si>
  <si>
    <t>Natural Disasters</t>
  </si>
  <si>
    <t>Burns Point Ferry - Toll Fees</t>
  </si>
  <si>
    <t>Burns Point Ferry - Season Tickets</t>
  </si>
  <si>
    <t>Burns Point Ferry - Diesel Rebate</t>
  </si>
  <si>
    <t>Martin Street Boat Harbour Erosion</t>
  </si>
  <si>
    <t xml:space="preserve">Buildings Cleaning and Maintenance </t>
  </si>
  <si>
    <t>Rental Terminal Building Extension</t>
  </si>
  <si>
    <t>Rental Terminal Building</t>
  </si>
  <si>
    <t>Delete quarries as no income</t>
  </si>
  <si>
    <t>General Fund - Cash Flow</t>
  </si>
  <si>
    <t>Water Fund - Cash Flow</t>
  </si>
  <si>
    <t>Rate Pegging / Special Variation Percentage (%)</t>
  </si>
  <si>
    <t xml:space="preserve">Roads / Stormwater - Fit for Future </t>
  </si>
  <si>
    <t xml:space="preserve">Buildings - Fit for the Future </t>
  </si>
  <si>
    <t xml:space="preserve">Open Spaces - Fit for the Future </t>
  </si>
  <si>
    <t>Fit for the Future Expenditure</t>
  </si>
  <si>
    <t>Roads and Stormwater</t>
  </si>
  <si>
    <t>Healthy Waterways</t>
  </si>
  <si>
    <t>Richmond River</t>
  </si>
  <si>
    <t>Waterbodies</t>
  </si>
  <si>
    <t>Healthy Waterways Program</t>
  </si>
  <si>
    <t>FIT FOR THE FUTURE RESULTS</t>
  </si>
  <si>
    <t>Russellton Sales</t>
  </si>
  <si>
    <t>Water Consumption (172kl)</t>
  </si>
  <si>
    <t>CONSOLIDATED OPERATIONS - INCOME STATEMENT (2013/14 to 2026/27)</t>
  </si>
  <si>
    <t>GENERAL FUND - INCOME STATEMENT (2013/14 to 2026/27)</t>
  </si>
  <si>
    <t>WATER FUND - INCOME STATEMENT (2013/14 to 2026/27)</t>
  </si>
  <si>
    <t>WASTEWATER FUND - INCOME STATEMENT (2013/14 to 2026/27)</t>
  </si>
  <si>
    <t>CONSOLIDATED OPERATIONS - LONG TERM FINANCIAL PLAN (2013/14 to 2026/27)</t>
  </si>
  <si>
    <t>GENERAL FUND - LONG TERM FINANCIAL PLAN (2013/14 to 2026/27)</t>
  </si>
  <si>
    <t>WATER OPERATIONS - LONG TERM FINANCIAL PLAN (2013/14 to 2026/27)</t>
  </si>
  <si>
    <t>WASTEWATER OPERATIONS - LONG TERM FINANCIAL PLAN (2013/14 to 2026/27)</t>
  </si>
  <si>
    <t>2026/27</t>
  </si>
  <si>
    <t>Expenditue Year</t>
  </si>
  <si>
    <t>Commercial Road A'ville - Car Park</t>
  </si>
  <si>
    <t>Ballina Gateway Airport</t>
  </si>
  <si>
    <t>Expenditure Year</t>
  </si>
  <si>
    <t>Funding Source 2026/27</t>
  </si>
  <si>
    <t>Wastewater Fund - Cash Flow</t>
  </si>
  <si>
    <t>FUNDS MOVEMENT</t>
  </si>
  <si>
    <t>2025/2026</t>
  </si>
  <si>
    <t>2026/2027</t>
  </si>
  <si>
    <t>Ferry Slippage</t>
  </si>
  <si>
    <t>Coastal Walk</t>
  </si>
  <si>
    <t xml:space="preserve">RESERVE BALANCES - GENERAL FUND </t>
  </si>
  <si>
    <t>Main Renewal - Shelly Beach Road</t>
  </si>
  <si>
    <t>PRV at Awater Wheels</t>
  </si>
  <si>
    <t>Network Servers Pine Avenue</t>
  </si>
  <si>
    <t>Recycled Water Valve Angels Beach Drive</t>
  </si>
  <si>
    <t>Lennox - Epoxy Replacement</t>
  </si>
  <si>
    <t xml:space="preserve">Net Operating Result </t>
  </si>
  <si>
    <t>Tuckombil and Stokers Quarries</t>
  </si>
  <si>
    <t xml:space="preserve">Gallery Expansion </t>
  </si>
  <si>
    <t>Footpaths - Maintenance</t>
  </si>
  <si>
    <t>Footpaths - Inspections</t>
  </si>
  <si>
    <t xml:space="preserve">Shared Paths - Disabled Access </t>
  </si>
  <si>
    <t>Shared Paths - Inspections / Maintenance</t>
  </si>
  <si>
    <t xml:space="preserve">Pedestrian Access and Mobility Plan </t>
  </si>
  <si>
    <t>Unpaved Footpaths - Maintenance</t>
  </si>
  <si>
    <t>Shared Paths - Vegetation Management</t>
  </si>
  <si>
    <t>Sharpes Beach Car Park Rent</t>
  </si>
  <si>
    <t>Car Parking - Rates and Charges</t>
  </si>
  <si>
    <t>S 94 - River / Moon Sts Roundabout</t>
  </si>
  <si>
    <t>Quarry Rents</t>
  </si>
  <si>
    <t>Quarry Royalties</t>
  </si>
  <si>
    <t>Quarry Sales</t>
  </si>
  <si>
    <t>20002.1107.0166</t>
  </si>
  <si>
    <t>Community Project Grant</t>
  </si>
  <si>
    <t>30002.1107.0401</t>
  </si>
  <si>
    <t>20001.1168.0061</t>
  </si>
  <si>
    <t>Boeing Ave BCSPP 16/003</t>
  </si>
  <si>
    <t>30003.1168.0401</t>
  </si>
  <si>
    <t>30001.1091.0401</t>
  </si>
  <si>
    <t>Public Art Projects</t>
  </si>
  <si>
    <t>26131.8919.0148</t>
  </si>
  <si>
    <t>Museum &amp; Gallery NSW Audience Develop Program</t>
  </si>
  <si>
    <t>35162.8919.0401</t>
  </si>
  <si>
    <t>26130.8907.0235</t>
  </si>
  <si>
    <t>Fund Raising Specific Programs</t>
  </si>
  <si>
    <t>31000.1320.0401</t>
  </si>
  <si>
    <t>Quarries Baseline Survey</t>
  </si>
  <si>
    <t>Reduction to W544 SES building</t>
  </si>
  <si>
    <t>W546.9999.0401</t>
  </si>
  <si>
    <t>Reduction to W546 ALEC building</t>
  </si>
  <si>
    <t>Contributions Wigmore Hall (Swift St)</t>
  </si>
  <si>
    <t>24013.8917.</t>
  </si>
  <si>
    <t>Increase to W545 Wigmore Hall (Swift St)</t>
  </si>
  <si>
    <t>22101.3087.0166</t>
  </si>
  <si>
    <t>22101.4267.0148</t>
  </si>
  <si>
    <t>Ballina Floodplain Mgmt Plan - Gallens Rd</t>
  </si>
  <si>
    <t>22110.5214.0169</t>
  </si>
  <si>
    <t>Boundary Projects Reimbursement</t>
  </si>
  <si>
    <t>Hutley Drive (Elevations Estate)</t>
  </si>
  <si>
    <t>2208.7777.0401</t>
  </si>
  <si>
    <t>W567.9999.0401</t>
  </si>
  <si>
    <t>W569.9999.0401</t>
  </si>
  <si>
    <t>Uralba Rd Bridge Deck Replacement</t>
  </si>
  <si>
    <t>2209.7777.0401</t>
  </si>
  <si>
    <t>Pearces Ck Rd Bridge Deck Replacement</t>
  </si>
  <si>
    <t>W570.9999.0401</t>
  </si>
  <si>
    <t>2211.7777.0401</t>
  </si>
  <si>
    <t>W561.9999.0401</t>
  </si>
  <si>
    <t>s94 Heavy Patching Gap Rd Culvert</t>
  </si>
  <si>
    <t>24015.6115.0169</t>
  </si>
  <si>
    <t>Netball Club Contributions</t>
  </si>
  <si>
    <t>32326.6570.0401</t>
  </si>
  <si>
    <t>32325.8766.0401</t>
  </si>
  <si>
    <t>EPA Licence Fees</t>
  </si>
  <si>
    <t>22265.0415.0235</t>
  </si>
  <si>
    <t>Outgoings (Rates) Recovered</t>
  </si>
  <si>
    <t>32340.7926.0401</t>
  </si>
  <si>
    <t>BIS Training</t>
  </si>
  <si>
    <t>35057.7988.0401</t>
  </si>
  <si>
    <t>Halls Risk Management Project</t>
  </si>
  <si>
    <t>2301.7969.0401</t>
  </si>
  <si>
    <t>2301.7970.0401</t>
  </si>
  <si>
    <t>35040.7926.0401</t>
  </si>
  <si>
    <t>26100.4123.0135</t>
  </si>
  <si>
    <t>Airport Lease Rentals</t>
  </si>
  <si>
    <t>26100.4125.0135</t>
  </si>
  <si>
    <t>Landing Fees ABaSS</t>
  </si>
  <si>
    <t>Landing Fees Other (ABaSS exemption list)</t>
  </si>
  <si>
    <t>2351.4188.0401</t>
  </si>
  <si>
    <t>50005.7926.0401</t>
  </si>
  <si>
    <t>50005.4584.0401</t>
  </si>
  <si>
    <t>55002.7926.0401</t>
  </si>
  <si>
    <t>Fishery Ck and Canal Br Balustrades</t>
  </si>
  <si>
    <t>Performance Management Module</t>
  </si>
  <si>
    <t>Onboarding Module</t>
  </si>
  <si>
    <t>S94 Heavy Patching funded from revenue (per Alex D)</t>
  </si>
  <si>
    <t>Ballina Indoor Sports Centre - Stadium</t>
  </si>
  <si>
    <t>Ballina Indoor Sports Centre - Room Hire</t>
  </si>
  <si>
    <t xml:space="preserve">Certified Air Ground Radio Service </t>
  </si>
  <si>
    <t>Special Rate Variation Check</t>
  </si>
  <si>
    <t>Extra income as per application</t>
  </si>
  <si>
    <t>Less works allocated</t>
  </si>
  <si>
    <t>Ballina Swimming Pool - Stage One</t>
  </si>
  <si>
    <t>Alstonville Swimming Pool - Stage Two</t>
  </si>
  <si>
    <t>Alstonville Swimming Pool - Stage One</t>
  </si>
  <si>
    <t>Ballina Swimming Pool - Stage Two</t>
  </si>
  <si>
    <t>Ballina - Stage One</t>
  </si>
  <si>
    <t>Alstonville - Stage One</t>
  </si>
  <si>
    <t>Ballina - Stage Two</t>
  </si>
  <si>
    <t>Alstonville - Stage Two</t>
  </si>
  <si>
    <t>This loan borrowed September 2017</t>
  </si>
  <si>
    <t>RMS 3x3 Supplementary Block grant</t>
  </si>
  <si>
    <t>Rounding adjustment re Fit for Future increases</t>
  </si>
  <si>
    <t>Fit for the Future Indicator</t>
  </si>
  <si>
    <t>Asset Maintenance Ratio</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</si>
</sst>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8" formatCode="&quot;$&quot;#,##0.00;[Red]\-&quot;$&quot;#,##0.00"/>
    <numFmt numFmtId="164" formatCode="_(* #,##0.00_);_(* \(#,##0.00\);_(* &quot;-&quot;??_);_(@_)"/>
    <numFmt numFmtId="165" formatCode="_(&quot;$&quot;* #,##0.00_);_(&quot;$&quot;* \(#,##0.00\);_(&quot;$&quot;* &quot;-&quot;??_);_(@_)"/>
    <numFmt numFmtId="166" formatCode="_(* #,##0_);_(* \(#,##0\);_(* &quot;-&quot;??_);_(@_)"/>
    <numFmt numFmtId="167" formatCode="0.0%"/>
    <numFmt numFmtId="168" formatCode="#,##0;[Red]\(#,##0\)"/>
    <numFmt numFmtId="169" formatCode="#,##0.0;[Red]\(#,##0.0\)"/>
    <numFmt numFmtId="170" formatCode="#,##0.00;[Red]\(#,##0.00\)"/>
    <numFmt numFmtId="171" formatCode="#,##0.000;[Red]\(#,##0.000\)"/>
    <numFmt numFmtId="172" formatCode="#,##0.0000;[Red]\(#,##0.0000\)"/>
    <numFmt numFmtId="173" formatCode="0.0"/>
    <numFmt numFmtId="174" formatCode="&quot;$&quot;#,##0"/>
    <numFmt numFmtId="175" formatCode="####.####.####"/>
    <numFmt numFmtId="176" formatCode="_(&quot;$&quot;* #,##0_);_(&quot;$&quot;* \(#,##0\);_(&quot;$&quot;* &quot;-&quot;??_);_(@_)"/>
    <numFmt numFmtId="177" formatCode="#,##0;[Red]General;\(#,##0\)"/>
    <numFmt numFmtId="178" formatCode="#,##0;[Red]\(##,#00"/>
    <numFmt numFmtId="179" formatCode="[$-C09]dd\-mmm\-yy;@"/>
    <numFmt numFmtId="180" formatCode="0.000"/>
  </numFmts>
  <fonts count="49" x14ac:knownFonts="1">
    <font>
      <sz val="10"/>
      <name val="Arial"/>
    </font>
    <font>
      <sz val="11"/>
      <color theme="1"/>
      <name val="Calibri"/>
      <family val="2"/>
      <scheme val="minor"/>
    </font>
    <font>
      <b/>
      <sz val="10"/>
      <name val="Arial"/>
      <family val="2"/>
    </font>
    <font>
      <b/>
      <i/>
      <sz val="10"/>
      <name val="Arial"/>
      <family val="2"/>
    </font>
    <font>
      <sz val="10"/>
      <name val="Arial"/>
      <family val="2"/>
    </font>
    <font>
      <sz val="10"/>
      <name val="Arial"/>
      <family val="2"/>
    </font>
    <font>
      <b/>
      <sz val="10"/>
      <name val="Arial"/>
      <family val="2"/>
    </font>
    <font>
      <b/>
      <i/>
      <sz val="10"/>
      <name val="Arial"/>
      <family val="2"/>
    </font>
    <font>
      <b/>
      <i/>
      <sz val="14"/>
      <name val="Times New Roman"/>
      <family val="1"/>
    </font>
    <font>
      <sz val="8"/>
      <name val="Arial"/>
      <family val="2"/>
    </font>
    <font>
      <b/>
      <sz val="10"/>
      <name val="Arial"/>
      <family val="2"/>
    </font>
    <font>
      <b/>
      <sz val="12"/>
      <name val="Arial"/>
      <family val="2"/>
    </font>
    <font>
      <b/>
      <i/>
      <u/>
      <sz val="10"/>
      <name val="Arial"/>
      <family val="2"/>
    </font>
    <font>
      <b/>
      <u/>
      <sz val="10"/>
      <name val="Arial"/>
      <family val="2"/>
    </font>
    <font>
      <u/>
      <sz val="10"/>
      <name val="Arial"/>
      <family val="2"/>
    </font>
    <font>
      <b/>
      <i/>
      <u/>
      <sz val="10"/>
      <name val="Arial"/>
      <family val="2"/>
    </font>
    <font>
      <b/>
      <sz val="8"/>
      <name val="Arial"/>
      <family val="2"/>
    </font>
    <font>
      <b/>
      <i/>
      <sz val="14"/>
      <name val="Arial"/>
      <family val="2"/>
    </font>
    <font>
      <sz val="14"/>
      <name val="Arial"/>
      <family val="2"/>
    </font>
    <font>
      <b/>
      <sz val="14"/>
      <name val="Arial"/>
      <family val="2"/>
    </font>
    <font>
      <b/>
      <i/>
      <sz val="10"/>
      <color indexed="12"/>
      <name val="Arial"/>
      <family val="2"/>
    </font>
    <font>
      <sz val="8"/>
      <color indexed="81"/>
      <name val="Tahoma"/>
      <family val="2"/>
    </font>
    <font>
      <b/>
      <sz val="8"/>
      <color indexed="81"/>
      <name val="Tahoma"/>
      <family val="2"/>
    </font>
    <font>
      <b/>
      <sz val="10"/>
      <color indexed="12"/>
      <name val="Arial"/>
      <family val="2"/>
    </font>
    <font>
      <b/>
      <sz val="10"/>
      <color indexed="10"/>
      <name val="Arial"/>
      <family val="2"/>
    </font>
    <font>
      <i/>
      <sz val="10"/>
      <name val="Arial"/>
      <family val="2"/>
    </font>
    <font>
      <u/>
      <sz val="10"/>
      <color indexed="12"/>
      <name val="Arial"/>
      <family val="2"/>
    </font>
    <font>
      <b/>
      <sz val="9"/>
      <name val="Arial"/>
      <family val="2"/>
    </font>
    <font>
      <sz val="9"/>
      <name val="Arial"/>
      <family val="2"/>
    </font>
    <font>
      <b/>
      <i/>
      <sz val="9"/>
      <name val="Arial"/>
      <family val="2"/>
    </font>
    <font>
      <i/>
      <sz val="14"/>
      <name val="Arial"/>
      <family val="2"/>
    </font>
    <font>
      <b/>
      <sz val="8"/>
      <color indexed="12"/>
      <name val="Arial"/>
      <family val="2"/>
    </font>
    <font>
      <i/>
      <u/>
      <sz val="10"/>
      <name val="Arial"/>
      <family val="2"/>
    </font>
    <font>
      <sz val="10"/>
      <name val="Arial"/>
      <family val="2"/>
    </font>
    <font>
      <sz val="10"/>
      <color indexed="12"/>
      <name val="Arial"/>
      <family val="2"/>
    </font>
    <font>
      <sz val="10"/>
      <name val="Arial"/>
      <family val="2"/>
    </font>
    <font>
      <sz val="9"/>
      <name val="Arial"/>
      <family val="2"/>
    </font>
    <font>
      <sz val="10"/>
      <name val="Arial"/>
      <family val="2"/>
    </font>
    <font>
      <sz val="9"/>
      <color indexed="81"/>
      <name val="Tahoma"/>
      <family val="2"/>
    </font>
    <font>
      <b/>
      <sz val="9"/>
      <color indexed="81"/>
      <name val="Tahoma"/>
      <family val="2"/>
    </font>
    <font>
      <sz val="9"/>
      <color rgb="FFFF0000"/>
      <name val="Arial"/>
      <family val="2"/>
    </font>
    <font>
      <b/>
      <sz val="9"/>
      <color rgb="FFFF0000"/>
      <name val="Arial"/>
      <family val="2"/>
    </font>
    <font>
      <b/>
      <u/>
      <sz val="9"/>
      <name val="Arial"/>
      <family val="2"/>
    </font>
    <font>
      <sz val="10"/>
      <color rgb="FF000000"/>
      <name val="Times New Roman"/>
      <family val="1"/>
    </font>
    <font>
      <u/>
      <sz val="9"/>
      <color indexed="81"/>
      <name val="Tahoma"/>
      <family val="2"/>
    </font>
    <font>
      <sz val="10"/>
      <color rgb="FF00B050"/>
      <name val="Arial"/>
      <family val="2"/>
    </font>
    <font>
      <sz val="10"/>
      <color rgb="FFFF0000"/>
      <name val="Arial"/>
      <family val="2"/>
    </font>
    <font>
      <sz val="10"/>
      <name val="Arial Narrow"/>
      <family val="2"/>
    </font>
    <font>
      <b/>
      <sz val="10"/>
      <color rgb="FFFF0000"/>
      <name val="Arial"/>
      <family val="2"/>
    </font>
  </fonts>
  <fills count="18">
    <fill>
      <patternFill patternType="none"/>
    </fill>
    <fill>
      <patternFill patternType="gray125"/>
    </fill>
    <fill>
      <patternFill patternType="solid">
        <fgColor indexed="22"/>
        <bgColor indexed="64"/>
      </patternFill>
    </fill>
    <fill>
      <patternFill patternType="solid">
        <fgColor indexed="41"/>
        <bgColor indexed="64"/>
      </patternFill>
    </fill>
    <fill>
      <patternFill patternType="solid">
        <fgColor indexed="35"/>
        <bgColor indexed="64"/>
      </patternFill>
    </fill>
    <fill>
      <patternFill patternType="solid">
        <fgColor indexed="13"/>
        <bgColor indexed="64"/>
      </patternFill>
    </fill>
    <fill>
      <patternFill patternType="solid">
        <fgColor rgb="FFFFFF00"/>
        <bgColor indexed="64"/>
      </patternFill>
    </fill>
    <fill>
      <patternFill patternType="solid">
        <fgColor theme="8" tint="0.59996337778862885"/>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rgb="FF92D050"/>
        <bgColor indexed="64"/>
      </patternFill>
    </fill>
    <fill>
      <patternFill patternType="solid">
        <fgColor theme="5" tint="0.7999816888943144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5" tint="-0.249977111117893"/>
        <bgColor indexed="64"/>
      </patternFill>
    </fill>
  </fills>
  <borders count="218">
    <border>
      <left/>
      <right/>
      <top/>
      <bottom/>
      <diagonal/>
    </border>
    <border>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bottom/>
      <diagonal/>
    </border>
    <border>
      <left/>
      <right/>
      <top/>
      <bottom style="thick">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thin">
        <color indexed="64"/>
      </left>
      <right style="thick">
        <color indexed="64"/>
      </right>
      <top/>
      <bottom/>
      <diagonal/>
    </border>
    <border>
      <left/>
      <right/>
      <top style="medium">
        <color indexed="64"/>
      </top>
      <bottom style="medium">
        <color indexed="64"/>
      </bottom>
      <diagonal/>
    </border>
    <border>
      <left style="thin">
        <color indexed="64"/>
      </left>
      <right/>
      <top/>
      <bottom/>
      <diagonal/>
    </border>
    <border>
      <left/>
      <right style="thick">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thick">
        <color indexed="64"/>
      </bottom>
      <diagonal/>
    </border>
    <border>
      <left/>
      <right style="thick">
        <color indexed="64"/>
      </right>
      <top/>
      <bottom style="thick">
        <color indexed="64"/>
      </bottom>
      <diagonal/>
    </border>
    <border>
      <left style="thin">
        <color indexed="64"/>
      </left>
      <right/>
      <top/>
      <bottom style="thick">
        <color indexed="64"/>
      </bottom>
      <diagonal/>
    </border>
    <border>
      <left style="thin">
        <color indexed="64"/>
      </left>
      <right/>
      <top/>
      <bottom style="medium">
        <color indexed="64"/>
      </bottom>
      <diagonal/>
    </border>
    <border>
      <left style="thick">
        <color indexed="64"/>
      </left>
      <right style="thin">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thick">
        <color indexed="64"/>
      </left>
      <right style="thin">
        <color indexed="64"/>
      </right>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ck">
        <color indexed="64"/>
      </right>
      <top style="medium">
        <color indexed="64"/>
      </top>
      <bottom/>
      <diagonal/>
    </border>
    <border>
      <left style="thick">
        <color indexed="64"/>
      </left>
      <right style="thin">
        <color indexed="64"/>
      </right>
      <top/>
      <bottom style="thick">
        <color indexed="64"/>
      </bottom>
      <diagonal/>
    </border>
    <border>
      <left/>
      <right/>
      <top style="thin">
        <color indexed="64"/>
      </top>
      <bottom style="medium">
        <color indexed="64"/>
      </bottom>
      <diagonal/>
    </border>
    <border>
      <left style="thick">
        <color indexed="64"/>
      </left>
      <right/>
      <top/>
      <bottom/>
      <diagonal/>
    </border>
    <border>
      <left/>
      <right style="thick">
        <color indexed="64"/>
      </right>
      <top style="medium">
        <color indexed="64"/>
      </top>
      <bottom/>
      <diagonal/>
    </border>
    <border>
      <left/>
      <right style="thin">
        <color indexed="64"/>
      </right>
      <top style="thick">
        <color indexed="64"/>
      </top>
      <bottom/>
      <diagonal/>
    </border>
    <border>
      <left style="thin">
        <color indexed="64"/>
      </left>
      <right/>
      <top style="medium">
        <color indexed="64"/>
      </top>
      <bottom/>
      <diagonal/>
    </border>
    <border>
      <left/>
      <right/>
      <top style="thick">
        <color indexed="64"/>
      </top>
      <bottom/>
      <diagonal/>
    </border>
    <border>
      <left/>
      <right style="thick">
        <color indexed="64"/>
      </right>
      <top style="thick">
        <color indexed="64"/>
      </top>
      <bottom/>
      <diagonal/>
    </border>
    <border>
      <left style="thin">
        <color indexed="64"/>
      </left>
      <right style="thin">
        <color indexed="64"/>
      </right>
      <top style="thick">
        <color indexed="64"/>
      </top>
      <bottom/>
      <diagonal/>
    </border>
    <border>
      <left style="thin">
        <color indexed="64"/>
      </left>
      <right style="medium">
        <color indexed="64"/>
      </right>
      <top style="thick">
        <color indexed="64"/>
      </top>
      <bottom/>
      <diagonal/>
    </border>
    <border>
      <left style="thin">
        <color indexed="64"/>
      </left>
      <right style="medium">
        <color indexed="64"/>
      </right>
      <top/>
      <bottom/>
      <diagonal/>
    </border>
    <border>
      <left style="thin">
        <color indexed="64"/>
      </left>
      <right style="medium">
        <color indexed="64"/>
      </right>
      <top/>
      <bottom style="thick">
        <color indexed="64"/>
      </bottom>
      <diagonal/>
    </border>
    <border>
      <left/>
      <right style="medium">
        <color indexed="64"/>
      </right>
      <top style="medium">
        <color indexed="64"/>
      </top>
      <bottom/>
      <diagonal/>
    </border>
    <border>
      <left/>
      <right style="thick">
        <color indexed="64"/>
      </right>
      <top/>
      <bottom style="medium">
        <color indexed="64"/>
      </bottom>
      <diagonal/>
    </border>
    <border>
      <left style="thin">
        <color indexed="64"/>
      </left>
      <right/>
      <top style="thin">
        <color indexed="64"/>
      </top>
      <bottom style="medium">
        <color indexed="64"/>
      </bottom>
      <diagonal/>
    </border>
    <border>
      <left style="thick">
        <color indexed="64"/>
      </left>
      <right style="thin">
        <color indexed="64"/>
      </right>
      <top style="thin">
        <color indexed="64"/>
      </top>
      <bottom/>
      <diagonal/>
    </border>
    <border>
      <left/>
      <right style="thick">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ck">
        <color indexed="64"/>
      </left>
      <right style="thin">
        <color indexed="64"/>
      </right>
      <top style="thin">
        <color indexed="64"/>
      </top>
      <bottom style="medium">
        <color indexed="64"/>
      </bottom>
      <diagonal/>
    </border>
    <border>
      <left style="medium">
        <color indexed="64"/>
      </left>
      <right style="thin">
        <color indexed="64"/>
      </right>
      <top/>
      <bottom style="thick">
        <color indexed="64"/>
      </bottom>
      <diagonal/>
    </border>
    <border>
      <left style="thick">
        <color indexed="64"/>
      </left>
      <right style="thin">
        <color indexed="64"/>
      </right>
      <top style="medium">
        <color indexed="64"/>
      </top>
      <bottom style="thick">
        <color indexed="64"/>
      </bottom>
      <diagonal/>
    </border>
    <border>
      <left/>
      <right/>
      <top style="medium">
        <color indexed="64"/>
      </top>
      <bottom style="thick">
        <color indexed="64"/>
      </bottom>
      <diagonal/>
    </border>
    <border>
      <left style="thin">
        <color indexed="64"/>
      </left>
      <right style="thin">
        <color indexed="64"/>
      </right>
      <top style="medium">
        <color indexed="64"/>
      </top>
      <bottom style="thick">
        <color indexed="64"/>
      </bottom>
      <diagonal/>
    </border>
    <border>
      <left/>
      <right style="thin">
        <color indexed="64"/>
      </right>
      <top style="medium">
        <color indexed="64"/>
      </top>
      <bottom style="thick">
        <color indexed="64"/>
      </bottom>
      <diagonal/>
    </border>
    <border>
      <left/>
      <right style="thick">
        <color indexed="64"/>
      </right>
      <top style="medium">
        <color indexed="64"/>
      </top>
      <bottom style="thick">
        <color indexed="64"/>
      </bottom>
      <diagonal/>
    </border>
    <border>
      <left style="thin">
        <color indexed="64"/>
      </left>
      <right style="thin">
        <color indexed="64"/>
      </right>
      <top style="thin">
        <color indexed="64"/>
      </top>
      <bottom style="double">
        <color indexed="64"/>
      </bottom>
      <diagonal/>
    </border>
    <border>
      <left/>
      <right style="thick">
        <color indexed="64"/>
      </right>
      <top style="thin">
        <color indexed="64"/>
      </top>
      <bottom style="double">
        <color indexed="64"/>
      </bottom>
      <diagonal/>
    </border>
    <border>
      <left style="thin">
        <color indexed="64"/>
      </left>
      <right style="thin">
        <color indexed="64"/>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style="thin">
        <color indexed="64"/>
      </right>
      <top style="thick">
        <color indexed="64"/>
      </top>
      <bottom/>
      <diagonal/>
    </border>
    <border>
      <left style="medium">
        <color indexed="64"/>
      </left>
      <right/>
      <top style="medium">
        <color indexed="64"/>
      </top>
      <bottom style="medium">
        <color indexed="64"/>
      </bottom>
      <diagonal/>
    </border>
    <border>
      <left/>
      <right style="thick">
        <color indexed="64"/>
      </right>
      <top style="medium">
        <color indexed="64"/>
      </top>
      <bottom style="thin">
        <color indexed="64"/>
      </bottom>
      <diagonal/>
    </border>
    <border>
      <left/>
      <right/>
      <top style="thin">
        <color indexed="64"/>
      </top>
      <bottom style="double">
        <color indexed="64"/>
      </bottom>
      <diagonal/>
    </border>
    <border>
      <left/>
      <right style="thin">
        <color indexed="64"/>
      </right>
      <top style="medium">
        <color indexed="64"/>
      </top>
      <bottom style="medium">
        <color indexed="64"/>
      </bottom>
      <diagonal/>
    </border>
    <border>
      <left/>
      <right/>
      <top style="thick">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thick">
        <color indexed="64"/>
      </bottom>
      <diagonal/>
    </border>
    <border>
      <left style="thin">
        <color indexed="64"/>
      </left>
      <right style="thick">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thick">
        <color indexed="64"/>
      </right>
      <top style="thick">
        <color indexed="64"/>
      </top>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ck">
        <color indexed="64"/>
      </left>
      <right/>
      <top style="medium">
        <color indexed="64"/>
      </top>
      <bottom/>
      <diagonal/>
    </border>
    <border>
      <left style="thick">
        <color indexed="64"/>
      </left>
      <right/>
      <top/>
      <bottom style="medium">
        <color indexed="64"/>
      </bottom>
      <diagonal/>
    </border>
    <border>
      <left/>
      <right style="thick">
        <color indexed="64"/>
      </right>
      <top style="thick">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style="medium">
        <color indexed="64"/>
      </right>
      <top style="thick">
        <color indexed="64"/>
      </top>
      <bottom/>
      <diagonal/>
    </border>
    <border>
      <left style="medium">
        <color indexed="64"/>
      </left>
      <right style="thin">
        <color indexed="64"/>
      </right>
      <top style="thick">
        <color indexed="64"/>
      </top>
      <bottom/>
      <diagonal/>
    </border>
    <border>
      <left style="thin">
        <color indexed="64"/>
      </left>
      <right/>
      <top style="thick">
        <color indexed="64"/>
      </top>
      <bottom/>
      <diagonal/>
    </border>
    <border>
      <left style="thin">
        <color indexed="64"/>
      </left>
      <right style="thin">
        <color indexed="64"/>
      </right>
      <top style="thin">
        <color indexed="64"/>
      </top>
      <bottom/>
      <diagonal/>
    </border>
    <border>
      <left/>
      <right style="thick">
        <color indexed="64"/>
      </right>
      <top style="thin">
        <color indexed="64"/>
      </top>
      <bottom/>
      <diagonal/>
    </border>
    <border>
      <left style="thin">
        <color indexed="64"/>
      </left>
      <right/>
      <top style="medium">
        <color indexed="64"/>
      </top>
      <bottom style="thin">
        <color indexed="64"/>
      </bottom>
      <diagonal/>
    </border>
    <border>
      <left style="thick">
        <color indexed="64"/>
      </left>
      <right/>
      <top/>
      <bottom style="thick">
        <color indexed="64"/>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style="thick">
        <color indexed="64"/>
      </left>
      <right style="medium">
        <color indexed="64"/>
      </right>
      <top/>
      <bottom/>
      <diagonal/>
    </border>
    <border>
      <left style="thick">
        <color indexed="64"/>
      </left>
      <right style="medium">
        <color indexed="64"/>
      </right>
      <top style="thick">
        <color indexed="64"/>
      </top>
      <bottom/>
      <diagonal/>
    </border>
    <border>
      <left style="thick">
        <color indexed="64"/>
      </left>
      <right style="medium">
        <color indexed="64"/>
      </right>
      <top/>
      <bottom style="thick">
        <color indexed="64"/>
      </bottom>
      <diagonal/>
    </border>
    <border>
      <left style="thin">
        <color indexed="64"/>
      </left>
      <right style="thin">
        <color indexed="64"/>
      </right>
      <top style="thick">
        <color indexed="64"/>
      </top>
      <bottom style="double">
        <color indexed="64"/>
      </bottom>
      <diagonal/>
    </border>
    <border>
      <left style="thin">
        <color indexed="64"/>
      </left>
      <right style="medium">
        <color indexed="64"/>
      </right>
      <top style="thick">
        <color indexed="64"/>
      </top>
      <bottom style="double">
        <color indexed="64"/>
      </bottom>
      <diagonal/>
    </border>
    <border>
      <left/>
      <right style="thin">
        <color indexed="64"/>
      </right>
      <top style="thick">
        <color indexed="64"/>
      </top>
      <bottom style="double">
        <color indexed="64"/>
      </bottom>
      <diagonal/>
    </border>
    <border>
      <left style="thin">
        <color indexed="64"/>
      </left>
      <right style="thick">
        <color indexed="64"/>
      </right>
      <top style="thick">
        <color indexed="64"/>
      </top>
      <bottom style="double">
        <color indexed="64"/>
      </bottom>
      <diagonal/>
    </border>
    <border>
      <left/>
      <right/>
      <top style="thick">
        <color indexed="64"/>
      </top>
      <bottom style="double">
        <color indexed="64"/>
      </bottom>
      <diagonal/>
    </border>
    <border>
      <left/>
      <right style="medium">
        <color indexed="64"/>
      </right>
      <top style="thick">
        <color indexed="64"/>
      </top>
      <bottom style="double">
        <color indexed="64"/>
      </bottom>
      <diagonal/>
    </border>
    <border>
      <left style="thick">
        <color indexed="64"/>
      </left>
      <right style="medium">
        <color indexed="64"/>
      </right>
      <top style="thick">
        <color indexed="64"/>
      </top>
      <bottom style="double">
        <color indexed="64"/>
      </bottom>
      <diagonal/>
    </border>
    <border>
      <left style="thin">
        <color indexed="64"/>
      </left>
      <right/>
      <top style="thick">
        <color indexed="64"/>
      </top>
      <bottom style="double">
        <color indexed="64"/>
      </bottom>
      <diagonal/>
    </border>
    <border>
      <left style="medium">
        <color indexed="64"/>
      </left>
      <right style="thin">
        <color indexed="64"/>
      </right>
      <top style="thick">
        <color indexed="64"/>
      </top>
      <bottom style="double">
        <color indexed="64"/>
      </bottom>
      <diagonal/>
    </border>
    <border>
      <left style="thin">
        <color indexed="64"/>
      </left>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medium">
        <color indexed="64"/>
      </right>
      <top style="thick">
        <color indexed="64"/>
      </top>
      <bottom style="medium">
        <color indexed="64"/>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top style="thick">
        <color indexed="64"/>
      </top>
      <bottom/>
      <diagonal/>
    </border>
    <border>
      <left style="thin">
        <color indexed="64"/>
      </left>
      <right style="thin">
        <color indexed="64"/>
      </right>
      <top style="double">
        <color indexed="64"/>
      </top>
      <bottom/>
      <diagonal/>
    </border>
    <border>
      <left style="thick">
        <color indexed="64"/>
      </left>
      <right/>
      <top style="thick">
        <color indexed="64"/>
      </top>
      <bottom/>
      <diagonal/>
    </border>
    <border>
      <left style="medium">
        <color indexed="64"/>
      </left>
      <right/>
      <top/>
      <bottom style="thick">
        <color indexed="64"/>
      </bottom>
      <diagonal/>
    </border>
    <border>
      <left style="thick">
        <color indexed="64"/>
      </left>
      <right style="thin">
        <color indexed="64"/>
      </right>
      <top/>
      <bottom style="thin">
        <color indexed="64"/>
      </bottom>
      <diagonal/>
    </border>
    <border>
      <left style="thick">
        <color indexed="64"/>
      </left>
      <right/>
      <top style="thin">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thin">
        <color indexed="64"/>
      </bottom>
      <diagonal/>
    </border>
    <border>
      <left style="medium">
        <color indexed="64"/>
      </left>
      <right style="thin">
        <color indexed="64"/>
      </right>
      <top/>
      <bottom style="thin">
        <color indexed="64"/>
      </bottom>
      <diagonal/>
    </border>
    <border>
      <left style="thick">
        <color indexed="64"/>
      </left>
      <right/>
      <top style="medium">
        <color indexed="64"/>
      </top>
      <bottom style="medium">
        <color indexed="64"/>
      </bottom>
      <diagonal/>
    </border>
    <border>
      <left style="thin">
        <color indexed="64"/>
      </left>
      <right style="thin">
        <color indexed="64"/>
      </right>
      <top style="thin">
        <color indexed="64"/>
      </top>
      <bottom style="thick">
        <color indexed="64"/>
      </bottom>
      <diagonal/>
    </border>
    <border>
      <left/>
      <right style="medium">
        <color indexed="64"/>
      </right>
      <top style="thin">
        <color indexed="64"/>
      </top>
      <bottom style="medium">
        <color indexed="64"/>
      </bottom>
      <diagonal/>
    </border>
    <border>
      <left style="thick">
        <color indexed="64"/>
      </left>
      <right style="medium">
        <color indexed="64"/>
      </right>
      <top style="thick">
        <color indexed="64"/>
      </top>
      <bottom style="thick">
        <color indexed="64"/>
      </bottom>
      <diagonal/>
    </border>
    <border>
      <left/>
      <right style="thin">
        <color indexed="64"/>
      </right>
      <top style="thick">
        <color indexed="64"/>
      </top>
      <bottom style="thick">
        <color indexed="64"/>
      </bottom>
      <diagonal/>
    </border>
    <border>
      <left style="thin">
        <color indexed="64"/>
      </left>
      <right style="medium">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medium">
        <color indexed="64"/>
      </left>
      <right style="thin">
        <color indexed="64"/>
      </right>
      <top style="thick">
        <color indexed="64"/>
      </top>
      <bottom style="thick">
        <color indexed="64"/>
      </bottom>
      <diagonal/>
    </border>
    <border>
      <left/>
      <right style="medium">
        <color indexed="64"/>
      </right>
      <top style="thick">
        <color indexed="64"/>
      </top>
      <bottom style="thick">
        <color indexed="64"/>
      </bottom>
      <diagonal/>
    </border>
    <border>
      <left/>
      <right style="thick">
        <color indexed="64"/>
      </right>
      <top style="thin">
        <color indexed="64"/>
      </top>
      <bottom style="thin">
        <color indexed="64"/>
      </bottom>
      <diagonal/>
    </border>
    <border>
      <left/>
      <right/>
      <top style="thin">
        <color indexed="64"/>
      </top>
      <bottom style="thick">
        <color indexed="64"/>
      </bottom>
      <diagonal/>
    </border>
    <border>
      <left style="thick">
        <color indexed="64"/>
      </left>
      <right style="medium">
        <color indexed="64"/>
      </right>
      <top style="thin">
        <color indexed="64"/>
      </top>
      <bottom style="thin">
        <color indexed="64"/>
      </bottom>
      <diagonal/>
    </border>
    <border>
      <left style="thick">
        <color indexed="64"/>
      </left>
      <right style="medium">
        <color indexed="64"/>
      </right>
      <top style="thin">
        <color indexed="64"/>
      </top>
      <bottom style="thick">
        <color indexed="64"/>
      </bottom>
      <diagonal/>
    </border>
    <border>
      <left style="thick">
        <color indexed="64"/>
      </left>
      <right/>
      <top style="thin">
        <color indexed="64"/>
      </top>
      <bottom/>
      <diagonal/>
    </border>
    <border>
      <left style="thick">
        <color indexed="64"/>
      </left>
      <right/>
      <top/>
      <bottom style="thin">
        <color indexed="64"/>
      </bottom>
      <diagonal/>
    </border>
    <border>
      <left style="thick">
        <color indexed="64"/>
      </left>
      <right/>
      <top style="medium">
        <color indexed="64"/>
      </top>
      <bottom style="double">
        <color indexed="64"/>
      </bottom>
      <diagonal/>
    </border>
    <border>
      <left/>
      <right style="thick">
        <color indexed="64"/>
      </right>
      <top/>
      <bottom style="thin">
        <color indexed="64"/>
      </bottom>
      <diagonal/>
    </border>
    <border>
      <left style="medium">
        <color indexed="64"/>
      </left>
      <right style="thick">
        <color indexed="64"/>
      </right>
      <top/>
      <bottom/>
      <diagonal/>
    </border>
    <border>
      <left style="medium">
        <color indexed="64"/>
      </left>
      <right style="thin">
        <color indexed="64"/>
      </right>
      <top style="thin">
        <color indexed="64"/>
      </top>
      <bottom style="medium">
        <color indexed="64"/>
      </bottom>
      <diagonal/>
    </border>
    <border>
      <left style="thick">
        <color indexed="64"/>
      </left>
      <right style="medium">
        <color indexed="64"/>
      </right>
      <top style="thin">
        <color indexed="64"/>
      </top>
      <bottom/>
      <diagonal/>
    </border>
    <border>
      <left style="medium">
        <color indexed="64"/>
      </left>
      <right/>
      <top style="thin">
        <color indexed="64"/>
      </top>
      <bottom/>
      <diagonal/>
    </border>
    <border>
      <left/>
      <right/>
      <top style="thick">
        <color indexed="64"/>
      </top>
      <bottom style="thick">
        <color indexed="64"/>
      </bottom>
      <diagonal/>
    </border>
    <border>
      <left style="thick">
        <color indexed="64"/>
      </left>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medium">
        <color indexed="64"/>
      </right>
      <top style="thick">
        <color indexed="64"/>
      </top>
      <bottom style="medium">
        <color indexed="64"/>
      </bottom>
      <diagonal/>
    </border>
    <border>
      <left/>
      <right style="thin">
        <color indexed="64"/>
      </right>
      <top style="thick">
        <color indexed="64"/>
      </top>
      <bottom style="medium">
        <color indexed="64"/>
      </bottom>
      <diagonal/>
    </border>
    <border>
      <left style="medium">
        <color indexed="64"/>
      </left>
      <right style="thin">
        <color indexed="64"/>
      </right>
      <top style="thick">
        <color indexed="64"/>
      </top>
      <bottom style="medium">
        <color indexed="64"/>
      </bottom>
      <diagonal/>
    </border>
    <border>
      <left/>
      <right style="thin">
        <color indexed="64"/>
      </right>
      <top style="thin">
        <color indexed="64"/>
      </top>
      <bottom style="double">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top style="thick">
        <color indexed="64"/>
      </top>
      <bottom style="medium">
        <color indexed="64"/>
      </bottom>
      <diagonal/>
    </border>
    <border>
      <left style="medium">
        <color indexed="64"/>
      </left>
      <right style="thick">
        <color indexed="64"/>
      </right>
      <top/>
      <bottom style="thick">
        <color indexed="64"/>
      </bottom>
      <diagonal/>
    </border>
    <border>
      <left/>
      <right/>
      <top style="medium">
        <color indexed="64"/>
      </top>
      <bottom style="double">
        <color indexed="64"/>
      </bottom>
      <diagonal/>
    </border>
    <border>
      <left style="thick">
        <color indexed="64"/>
      </left>
      <right/>
      <top style="medium">
        <color indexed="64"/>
      </top>
      <bottom style="thick">
        <color indexed="64"/>
      </bottom>
      <diagonal/>
    </border>
    <border>
      <left style="thin">
        <color indexed="64"/>
      </left>
      <right/>
      <top style="medium">
        <color indexed="64"/>
      </top>
      <bottom style="thick">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ck">
        <color indexed="64"/>
      </top>
      <bottom style="double">
        <color indexed="64"/>
      </bottom>
      <diagonal/>
    </border>
    <border>
      <left/>
      <right style="thin">
        <color indexed="64"/>
      </right>
      <top style="thin">
        <color indexed="64"/>
      </top>
      <bottom style="thick">
        <color indexed="64"/>
      </bottom>
      <diagonal/>
    </border>
    <border>
      <left/>
      <right style="medium">
        <color indexed="64"/>
      </right>
      <top style="thin">
        <color indexed="64"/>
      </top>
      <bottom style="thick">
        <color indexed="64"/>
      </bottom>
      <diagonal/>
    </border>
    <border>
      <left/>
      <right style="thick">
        <color auto="1"/>
      </right>
      <top style="thick">
        <color indexed="64"/>
      </top>
      <bottom style="double">
        <color indexed="64"/>
      </bottom>
      <diagonal/>
    </border>
    <border>
      <left style="medium">
        <color indexed="64"/>
      </left>
      <right style="thin">
        <color indexed="64"/>
      </right>
      <top style="medium">
        <color indexed="64"/>
      </top>
      <bottom style="double">
        <color indexed="64"/>
      </bottom>
      <diagonal/>
    </border>
    <border>
      <left style="thick">
        <color indexed="64"/>
      </left>
      <right style="thin">
        <color indexed="64"/>
      </right>
      <top style="thin">
        <color indexed="64"/>
      </top>
      <bottom style="thick">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style="medium">
        <color indexed="64"/>
      </bottom>
      <diagonal/>
    </border>
    <border>
      <left/>
      <right style="thick">
        <color indexed="64"/>
      </right>
      <top style="medium">
        <color indexed="64"/>
      </top>
      <bottom style="double">
        <color indexed="64"/>
      </bottom>
      <diagonal/>
    </border>
    <border>
      <left style="thin">
        <color indexed="64"/>
      </left>
      <right/>
      <top style="thin">
        <color indexed="64"/>
      </top>
      <bottom style="double">
        <color indexed="64"/>
      </bottom>
      <diagonal/>
    </border>
    <border>
      <left style="medium">
        <color indexed="64"/>
      </left>
      <right/>
      <top style="thin">
        <color indexed="64"/>
      </top>
      <bottom style="double">
        <color indexed="64"/>
      </bottom>
      <diagonal/>
    </border>
    <border>
      <left style="thick">
        <color indexed="64"/>
      </left>
      <right/>
      <top style="medium">
        <color indexed="64"/>
      </top>
      <bottom style="thin">
        <color indexed="64"/>
      </bottom>
      <diagonal/>
    </border>
    <border>
      <left style="thin">
        <color indexed="64"/>
      </left>
      <right style="thick">
        <color indexed="64"/>
      </right>
      <top/>
      <bottom style="hair">
        <color indexed="64"/>
      </bottom>
      <diagonal/>
    </border>
    <border>
      <left/>
      <right style="thin">
        <color indexed="64"/>
      </right>
      <top style="thick">
        <color indexed="64"/>
      </top>
      <bottom style="thin">
        <color indexed="64"/>
      </bottom>
      <diagonal/>
    </border>
    <border>
      <left style="medium">
        <color indexed="64"/>
      </left>
      <right style="medium">
        <color indexed="64"/>
      </right>
      <top style="thin">
        <color indexed="64"/>
      </top>
      <bottom style="double">
        <color indexed="64"/>
      </bottom>
      <diagonal/>
    </border>
    <border>
      <left style="thin">
        <color indexed="64"/>
      </left>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medium">
        <color indexed="64"/>
      </left>
      <right style="thick">
        <color indexed="64"/>
      </right>
      <top style="thick">
        <color indexed="64"/>
      </top>
      <bottom style="thick">
        <color indexed="64"/>
      </bottom>
      <diagonal/>
    </border>
    <border>
      <left style="thin">
        <color indexed="64"/>
      </left>
      <right style="thick">
        <color indexed="64"/>
      </right>
      <top style="thin">
        <color indexed="64"/>
      </top>
      <bottom/>
      <diagonal/>
    </border>
    <border>
      <left/>
      <right style="medium">
        <color indexed="64"/>
      </right>
      <top style="thin">
        <color indexed="64"/>
      </top>
      <bottom style="double">
        <color indexed="64"/>
      </bottom>
      <diagonal/>
    </border>
    <border>
      <left style="thin">
        <color indexed="64"/>
      </left>
      <right style="medium">
        <color indexed="64"/>
      </right>
      <top style="medium">
        <color indexed="64"/>
      </top>
      <bottom style="double">
        <color indexed="64"/>
      </bottom>
      <diagonal/>
    </border>
    <border>
      <left/>
      <right style="thick">
        <color indexed="64"/>
      </right>
      <top/>
      <bottom style="hair">
        <color indexed="64"/>
      </bottom>
      <diagonal/>
    </border>
    <border>
      <left style="medium">
        <color indexed="64"/>
      </left>
      <right style="thick">
        <color indexed="64"/>
      </right>
      <top style="thick">
        <color indexed="64"/>
      </top>
      <bottom/>
      <diagonal/>
    </border>
    <border>
      <left style="thin">
        <color indexed="64"/>
      </left>
      <right/>
      <top style="thin">
        <color indexed="64"/>
      </top>
      <bottom style="thick">
        <color indexed="64"/>
      </bottom>
      <diagonal/>
    </border>
    <border>
      <left style="thick">
        <color indexed="64"/>
      </left>
      <right style="thick">
        <color indexed="64"/>
      </right>
      <top style="medium">
        <color indexed="64"/>
      </top>
      <bottom/>
      <diagonal/>
    </border>
    <border>
      <left style="thick">
        <color indexed="64"/>
      </left>
      <right style="thick">
        <color indexed="64"/>
      </right>
      <top/>
      <bottom style="medium">
        <color indexed="64"/>
      </bottom>
      <diagonal/>
    </border>
    <border>
      <left style="thick">
        <color indexed="64"/>
      </left>
      <right style="thick">
        <color indexed="64"/>
      </right>
      <top/>
      <bottom/>
      <diagonal/>
    </border>
    <border>
      <left style="thick">
        <color indexed="64"/>
      </left>
      <right style="thick">
        <color indexed="64"/>
      </right>
      <top style="thick">
        <color indexed="64"/>
      </top>
      <bottom style="double">
        <color indexed="64"/>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style="medium">
        <color indexed="64"/>
      </left>
      <right style="medium">
        <color indexed="64"/>
      </right>
      <top style="thick">
        <color indexed="64"/>
      </top>
      <bottom style="double">
        <color indexed="64"/>
      </bottom>
      <diagonal/>
    </border>
    <border>
      <left style="medium">
        <color indexed="64"/>
      </left>
      <right style="medium">
        <color indexed="64"/>
      </right>
      <top style="thick">
        <color indexed="64"/>
      </top>
      <bottom/>
      <diagonal/>
    </border>
    <border>
      <left style="medium">
        <color indexed="64"/>
      </left>
      <right style="medium">
        <color indexed="64"/>
      </right>
      <top/>
      <bottom style="thick">
        <color indexed="64"/>
      </bottom>
      <diagonal/>
    </border>
    <border>
      <left style="thin">
        <color indexed="64"/>
      </left>
      <right style="thick">
        <color indexed="64"/>
      </right>
      <top style="thick">
        <color indexed="64"/>
      </top>
      <bottom style="thin">
        <color indexed="64"/>
      </bottom>
      <diagonal/>
    </border>
    <border>
      <left style="medium">
        <color indexed="64"/>
      </left>
      <right/>
      <top style="thick">
        <color indexed="64"/>
      </top>
      <bottom style="thin">
        <color indexed="64"/>
      </bottom>
      <diagonal/>
    </border>
    <border>
      <left/>
      <right style="medium">
        <color indexed="64"/>
      </right>
      <top style="thick">
        <color indexed="64"/>
      </top>
      <bottom style="thin">
        <color indexed="64"/>
      </bottom>
      <diagonal/>
    </border>
    <border>
      <left style="thin">
        <color indexed="64"/>
      </left>
      <right style="medium">
        <color indexed="64"/>
      </right>
      <top style="thin">
        <color indexed="64"/>
      </top>
      <bottom style="medium">
        <color indexed="64"/>
      </bottom>
      <diagonal/>
    </border>
  </borders>
  <cellStyleXfs count="9">
    <xf numFmtId="0" fontId="0" fillId="0" borderId="0"/>
    <xf numFmtId="164" fontId="4" fillId="0" borderId="0" applyFont="0" applyFill="0" applyBorder="0" applyAlignment="0" applyProtection="0"/>
    <xf numFmtId="165" fontId="4" fillId="0" borderId="0" applyFont="0" applyFill="0" applyBorder="0" applyAlignment="0" applyProtection="0"/>
    <xf numFmtId="0" fontId="26" fillId="0" borderId="0" applyNumberFormat="0" applyFill="0" applyBorder="0" applyAlignment="0" applyProtection="0">
      <alignment vertical="top"/>
      <protection locked="0"/>
    </xf>
    <xf numFmtId="9" fontId="4"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43" fillId="0" borderId="0"/>
  </cellStyleXfs>
  <cellXfs count="3048">
    <xf numFmtId="0" fontId="0" fillId="0" borderId="0" xfId="0"/>
    <xf numFmtId="0" fontId="2" fillId="0" borderId="0" xfId="0" applyFont="1"/>
    <xf numFmtId="0" fontId="5" fillId="0" borderId="0" xfId="0" applyFont="1"/>
    <xf numFmtId="0" fontId="5" fillId="0" borderId="0" xfId="0" applyFont="1" applyBorder="1"/>
    <xf numFmtId="0" fontId="6" fillId="0" borderId="0" xfId="0" applyFont="1"/>
    <xf numFmtId="0" fontId="6" fillId="0" borderId="2" xfId="0" applyFont="1" applyBorder="1" applyAlignment="1">
      <alignment horizontal="center"/>
    </xf>
    <xf numFmtId="0" fontId="6" fillId="0" borderId="0" xfId="0" applyFont="1" applyBorder="1"/>
    <xf numFmtId="38" fontId="5" fillId="0" borderId="3" xfId="0" applyNumberFormat="1" applyFont="1" applyBorder="1"/>
    <xf numFmtId="0" fontId="2" fillId="0" borderId="0" xfId="0" applyFont="1" applyBorder="1"/>
    <xf numFmtId="0" fontId="0" fillId="0" borderId="0" xfId="0" applyBorder="1"/>
    <xf numFmtId="0" fontId="5" fillId="0" borderId="4" xfId="0" applyNumberFormat="1" applyFont="1" applyBorder="1" applyAlignment="1">
      <alignment horizontal="center"/>
    </xf>
    <xf numFmtId="10" fontId="0" fillId="0" borderId="0" xfId="0" applyNumberFormat="1"/>
    <xf numFmtId="0" fontId="0" fillId="0" borderId="5" xfId="0" applyBorder="1"/>
    <xf numFmtId="10" fontId="0" fillId="0" borderId="0" xfId="0" applyNumberFormat="1" applyBorder="1"/>
    <xf numFmtId="0" fontId="5" fillId="0" borderId="6" xfId="0" applyFont="1" applyBorder="1" applyAlignment="1">
      <alignment horizontal="centerContinuous"/>
    </xf>
    <xf numFmtId="0" fontId="0" fillId="0" borderId="11" xfId="0" applyBorder="1"/>
    <xf numFmtId="0" fontId="0" fillId="0" borderId="0" xfId="0" applyFill="1"/>
    <xf numFmtId="3" fontId="0" fillId="0" borderId="0" xfId="0" applyNumberFormat="1"/>
    <xf numFmtId="3" fontId="6" fillId="0" borderId="0" xfId="0" applyNumberFormat="1" applyFont="1"/>
    <xf numFmtId="168" fontId="5" fillId="0" borderId="3" xfId="0" applyNumberFormat="1" applyFont="1" applyBorder="1" applyAlignment="1">
      <alignment horizontal="center"/>
    </xf>
    <xf numFmtId="168" fontId="5" fillId="0" borderId="4" xfId="0" applyNumberFormat="1" applyFont="1" applyBorder="1"/>
    <xf numFmtId="168" fontId="5" fillId="0" borderId="3" xfId="0" applyNumberFormat="1" applyFont="1" applyBorder="1"/>
    <xf numFmtId="168" fontId="5" fillId="0" borderId="0" xfId="0" applyNumberFormat="1" applyFont="1" applyBorder="1"/>
    <xf numFmtId="168" fontId="5" fillId="0" borderId="0" xfId="0" applyNumberFormat="1" applyFont="1"/>
    <xf numFmtId="168" fontId="4" fillId="0" borderId="3" xfId="0" applyNumberFormat="1" applyFont="1" applyBorder="1"/>
    <xf numFmtId="168" fontId="4" fillId="0" borderId="0" xfId="0" applyNumberFormat="1" applyFont="1"/>
    <xf numFmtId="168" fontId="4" fillId="0" borderId="4" xfId="0" applyNumberFormat="1" applyFont="1" applyBorder="1"/>
    <xf numFmtId="168" fontId="5" fillId="0" borderId="11" xfId="0" applyNumberFormat="1" applyFont="1" applyBorder="1"/>
    <xf numFmtId="168" fontId="4" fillId="0" borderId="11" xfId="0" applyNumberFormat="1" applyFont="1" applyBorder="1"/>
    <xf numFmtId="168" fontId="5" fillId="0" borderId="14" xfId="0" applyNumberFormat="1" applyFont="1" applyBorder="1"/>
    <xf numFmtId="168" fontId="5" fillId="0" borderId="15" xfId="0" applyNumberFormat="1" applyFont="1" applyBorder="1"/>
    <xf numFmtId="168" fontId="5" fillId="0" borderId="16" xfId="0" applyNumberFormat="1" applyFont="1" applyBorder="1"/>
    <xf numFmtId="168" fontId="6" fillId="0" borderId="3" xfId="0" applyNumberFormat="1" applyFont="1" applyBorder="1" applyAlignment="1">
      <alignment horizontal="center"/>
    </xf>
    <xf numFmtId="168" fontId="5" fillId="0" borderId="3" xfId="0" applyNumberFormat="1" applyFont="1" applyFill="1" applyBorder="1"/>
    <xf numFmtId="168" fontId="5" fillId="0" borderId="18" xfId="0" applyNumberFormat="1" applyFont="1" applyBorder="1"/>
    <xf numFmtId="168" fontId="4" fillId="0" borderId="0" xfId="0" applyNumberFormat="1" applyFont="1" applyBorder="1"/>
    <xf numFmtId="168" fontId="4" fillId="0" borderId="16" xfId="0" applyNumberFormat="1" applyFont="1" applyBorder="1"/>
    <xf numFmtId="168" fontId="4" fillId="0" borderId="19" xfId="0" applyNumberFormat="1" applyFont="1" applyBorder="1"/>
    <xf numFmtId="168" fontId="5" fillId="0" borderId="5" xfId="0" applyNumberFormat="1" applyFont="1" applyBorder="1"/>
    <xf numFmtId="168" fontId="5" fillId="0" borderId="20" xfId="0" applyNumberFormat="1" applyFont="1" applyBorder="1"/>
    <xf numFmtId="168" fontId="2" fillId="0" borderId="0" xfId="0" applyNumberFormat="1" applyFont="1"/>
    <xf numFmtId="168" fontId="5" fillId="0" borderId="21" xfId="0" applyNumberFormat="1" applyFont="1" applyBorder="1"/>
    <xf numFmtId="168" fontId="5" fillId="0" borderId="6" xfId="0" applyNumberFormat="1" applyFont="1" applyBorder="1"/>
    <xf numFmtId="168" fontId="5" fillId="0" borderId="22" xfId="0" applyNumberFormat="1" applyFont="1" applyBorder="1"/>
    <xf numFmtId="168" fontId="6" fillId="0" borderId="0" xfId="0" applyNumberFormat="1" applyFont="1"/>
    <xf numFmtId="168" fontId="6" fillId="0" borderId="26" xfId="0" quotePrefix="1" applyNumberFormat="1" applyFont="1" applyBorder="1" applyAlignment="1">
      <alignment horizontal="center"/>
    </xf>
    <xf numFmtId="168" fontId="6" fillId="0" borderId="18" xfId="0" applyNumberFormat="1" applyFont="1" applyFill="1" applyBorder="1" applyAlignment="1">
      <alignment horizontal="center"/>
    </xf>
    <xf numFmtId="168" fontId="2" fillId="0" borderId="18" xfId="0" quotePrefix="1" applyNumberFormat="1" applyFont="1" applyBorder="1" applyAlignment="1">
      <alignment horizontal="center"/>
    </xf>
    <xf numFmtId="168" fontId="6" fillId="0" borderId="27" xfId="0" quotePrefix="1" applyNumberFormat="1" applyFont="1" applyBorder="1" applyAlignment="1">
      <alignment horizontal="center" wrapText="1"/>
    </xf>
    <xf numFmtId="168" fontId="2" fillId="0" borderId="17" xfId="0" quotePrefix="1" applyNumberFormat="1" applyFont="1" applyBorder="1" applyAlignment="1">
      <alignment horizontal="center"/>
    </xf>
    <xf numFmtId="168" fontId="5" fillId="0" borderId="28" xfId="0" applyNumberFormat="1" applyFont="1" applyBorder="1"/>
    <xf numFmtId="168" fontId="7" fillId="0" borderId="0" xfId="0" applyNumberFormat="1" applyFont="1" applyBorder="1"/>
    <xf numFmtId="168" fontId="5" fillId="0" borderId="0" xfId="0" applyNumberFormat="1" applyFont="1" applyBorder="1" applyAlignment="1">
      <alignment horizontal="left"/>
    </xf>
    <xf numFmtId="168" fontId="6" fillId="0" borderId="29" xfId="0" applyNumberFormat="1" applyFont="1" applyFill="1" applyBorder="1"/>
    <xf numFmtId="168" fontId="6" fillId="0" borderId="0" xfId="0" quotePrefix="1" applyNumberFormat="1" applyFont="1" applyBorder="1" applyAlignment="1">
      <alignment horizontal="left"/>
    </xf>
    <xf numFmtId="168" fontId="6" fillId="0" borderId="0" xfId="0" applyNumberFormat="1" applyFont="1" applyBorder="1"/>
    <xf numFmtId="168" fontId="6" fillId="0" borderId="29" xfId="0" applyNumberFormat="1" applyFont="1" applyBorder="1"/>
    <xf numFmtId="168" fontId="6" fillId="0" borderId="30" xfId="0" applyNumberFormat="1" applyFont="1" applyBorder="1"/>
    <xf numFmtId="168" fontId="2" fillId="0" borderId="0" xfId="0" applyNumberFormat="1" applyFont="1" applyBorder="1"/>
    <xf numFmtId="168" fontId="4" fillId="0" borderId="0" xfId="0" applyNumberFormat="1" applyFont="1" applyBorder="1" applyAlignment="1">
      <alignment horizontal="left"/>
    </xf>
    <xf numFmtId="168" fontId="4" fillId="0" borderId="0" xfId="0" quotePrefix="1" applyNumberFormat="1" applyFont="1" applyBorder="1" applyAlignment="1">
      <alignment horizontal="left"/>
    </xf>
    <xf numFmtId="168" fontId="2" fillId="0" borderId="0" xfId="0" applyNumberFormat="1" applyFont="1" applyBorder="1" applyAlignment="1">
      <alignment horizontal="left"/>
    </xf>
    <xf numFmtId="168" fontId="6" fillId="0" borderId="3" xfId="0" applyNumberFormat="1" applyFont="1" applyBorder="1"/>
    <xf numFmtId="168" fontId="0" fillId="0" borderId="0" xfId="0" applyNumberFormat="1"/>
    <xf numFmtId="168" fontId="6" fillId="0" borderId="3" xfId="0" applyNumberFormat="1" applyFont="1" applyFill="1" applyBorder="1"/>
    <xf numFmtId="168" fontId="6" fillId="0" borderId="4" xfId="0" applyNumberFormat="1" applyFont="1" applyBorder="1"/>
    <xf numFmtId="168" fontId="5" fillId="0" borderId="11" xfId="0" applyNumberFormat="1" applyFont="1" applyFill="1" applyBorder="1"/>
    <xf numFmtId="168" fontId="5" fillId="0" borderId="5" xfId="0" applyNumberFormat="1" applyFont="1" applyBorder="1" applyAlignment="1">
      <alignment horizontal="left"/>
    </xf>
    <xf numFmtId="168" fontId="5" fillId="0" borderId="0" xfId="0" applyNumberFormat="1" applyFont="1" applyBorder="1" applyAlignment="1">
      <alignment horizontal="center"/>
    </xf>
    <xf numFmtId="168" fontId="6" fillId="0" borderId="16" xfId="0" applyNumberFormat="1" applyFont="1" applyBorder="1"/>
    <xf numFmtId="168" fontId="6" fillId="0" borderId="28" xfId="0" applyNumberFormat="1" applyFont="1" applyFill="1" applyBorder="1"/>
    <xf numFmtId="168" fontId="4" fillId="0" borderId="28" xfId="0" applyNumberFormat="1" applyFont="1" applyFill="1" applyBorder="1"/>
    <xf numFmtId="168" fontId="2" fillId="0" borderId="16" xfId="0" applyNumberFormat="1" applyFont="1" applyBorder="1"/>
    <xf numFmtId="168" fontId="6" fillId="0" borderId="32" xfId="0" applyNumberFormat="1" applyFont="1" applyFill="1" applyBorder="1"/>
    <xf numFmtId="168" fontId="6" fillId="0" borderId="0" xfId="0" applyNumberFormat="1" applyFont="1" applyFill="1" applyBorder="1"/>
    <xf numFmtId="168" fontId="6" fillId="0" borderId="2" xfId="0" quotePrefix="1" applyNumberFormat="1" applyFont="1" applyFill="1" applyBorder="1" applyAlignment="1">
      <alignment horizontal="center"/>
    </xf>
    <xf numFmtId="168" fontId="5" fillId="0" borderId="15" xfId="0" applyNumberFormat="1" applyFont="1" applyFill="1" applyBorder="1"/>
    <xf numFmtId="168" fontId="4" fillId="0" borderId="15" xfId="0" applyNumberFormat="1" applyFont="1" applyFill="1" applyBorder="1"/>
    <xf numFmtId="168" fontId="4" fillId="0" borderId="0" xfId="0" applyNumberFormat="1" applyFont="1" applyFill="1" applyBorder="1"/>
    <xf numFmtId="168" fontId="6" fillId="0" borderId="15" xfId="0" applyNumberFormat="1" applyFont="1" applyFill="1" applyBorder="1"/>
    <xf numFmtId="168" fontId="2" fillId="0" borderId="29" xfId="0" applyNumberFormat="1" applyFont="1" applyBorder="1"/>
    <xf numFmtId="168" fontId="2" fillId="0" borderId="30" xfId="0" applyNumberFormat="1" applyFont="1" applyBorder="1"/>
    <xf numFmtId="168" fontId="2" fillId="0" borderId="3" xfId="0" applyNumberFormat="1" applyFont="1" applyBorder="1"/>
    <xf numFmtId="168" fontId="2" fillId="0" borderId="4" xfId="0" applyNumberFormat="1" applyFont="1" applyBorder="1"/>
    <xf numFmtId="168" fontId="5" fillId="0" borderId="0" xfId="0" applyNumberFormat="1" applyFont="1" applyFill="1"/>
    <xf numFmtId="168" fontId="6" fillId="0" borderId="21" xfId="0" applyNumberFormat="1" applyFont="1" applyFill="1" applyBorder="1"/>
    <xf numFmtId="168" fontId="5" fillId="0" borderId="11" xfId="0" applyNumberFormat="1" applyFont="1" applyBorder="1" applyAlignment="1">
      <alignment horizontal="center"/>
    </xf>
    <xf numFmtId="168" fontId="0" fillId="0" borderId="0" xfId="0" applyNumberFormat="1" applyFill="1"/>
    <xf numFmtId="168" fontId="0" fillId="0" borderId="16" xfId="0" applyNumberFormat="1" applyBorder="1"/>
    <xf numFmtId="168" fontId="6" fillId="0" borderId="6" xfId="0" quotePrefix="1" applyNumberFormat="1" applyFont="1" applyBorder="1" applyAlignment="1">
      <alignment horizontal="center"/>
    </xf>
    <xf numFmtId="168" fontId="6" fillId="0" borderId="11" xfId="0" applyNumberFormat="1" applyFont="1" applyFill="1" applyBorder="1"/>
    <xf numFmtId="168" fontId="18" fillId="0" borderId="0" xfId="0" applyNumberFormat="1" applyFont="1" applyFill="1"/>
    <xf numFmtId="168" fontId="6" fillId="0" borderId="0" xfId="0" applyNumberFormat="1" applyFont="1" applyFill="1"/>
    <xf numFmtId="168" fontId="6" fillId="0" borderId="18" xfId="0" quotePrefix="1" applyNumberFormat="1" applyFont="1" applyFill="1" applyBorder="1" applyAlignment="1">
      <alignment horizontal="center"/>
    </xf>
    <xf numFmtId="168" fontId="5" fillId="0" borderId="6" xfId="0" applyNumberFormat="1" applyFont="1" applyFill="1" applyBorder="1"/>
    <xf numFmtId="168" fontId="5" fillId="0" borderId="17" xfId="0" applyNumberFormat="1" applyFont="1" applyFill="1" applyBorder="1"/>
    <xf numFmtId="168" fontId="6" fillId="0" borderId="27" xfId="0" quotePrefix="1" applyNumberFormat="1" applyFont="1" applyFill="1" applyBorder="1" applyAlignment="1">
      <alignment horizontal="center" wrapText="1"/>
    </xf>
    <xf numFmtId="168" fontId="2" fillId="0" borderId="18" xfId="0" quotePrefix="1" applyNumberFormat="1" applyFont="1" applyFill="1" applyBorder="1" applyAlignment="1">
      <alignment horizontal="center"/>
    </xf>
    <xf numFmtId="168" fontId="5" fillId="0" borderId="34" xfId="0" applyNumberFormat="1" applyFont="1" applyFill="1" applyBorder="1"/>
    <xf numFmtId="168" fontId="5" fillId="0" borderId="0" xfId="0" applyNumberFormat="1" applyFont="1" applyFill="1" applyBorder="1"/>
    <xf numFmtId="168" fontId="5" fillId="0" borderId="13" xfId="0" applyNumberFormat="1" applyFont="1" applyFill="1" applyBorder="1"/>
    <xf numFmtId="168" fontId="0" fillId="0" borderId="3" xfId="0" applyNumberFormat="1" applyFill="1" applyBorder="1"/>
    <xf numFmtId="168" fontId="5" fillId="0" borderId="8" xfId="0" applyNumberFormat="1" applyFont="1" applyFill="1" applyBorder="1"/>
    <xf numFmtId="168" fontId="7" fillId="0" borderId="15" xfId="0" applyNumberFormat="1" applyFont="1" applyFill="1" applyBorder="1"/>
    <xf numFmtId="168" fontId="0" fillId="0" borderId="16" xfId="0" applyNumberFormat="1" applyFill="1" applyBorder="1"/>
    <xf numFmtId="168" fontId="6" fillId="0" borderId="23" xfId="0" applyNumberFormat="1" applyFont="1" applyFill="1" applyBorder="1"/>
    <xf numFmtId="168" fontId="2" fillId="0" borderId="29" xfId="0" applyNumberFormat="1" applyFont="1" applyFill="1" applyBorder="1"/>
    <xf numFmtId="168" fontId="5" fillId="0" borderId="28" xfId="0" applyNumberFormat="1" applyFont="1" applyFill="1" applyBorder="1"/>
    <xf numFmtId="168" fontId="5" fillId="0" borderId="0" xfId="0" applyNumberFormat="1" applyFont="1" applyFill="1" applyBorder="1" applyAlignment="1">
      <alignment horizontal="left"/>
    </xf>
    <xf numFmtId="168" fontId="2" fillId="0" borderId="0" xfId="0" applyNumberFormat="1" applyFont="1" applyFill="1" applyBorder="1" applyAlignment="1">
      <alignment horizontal="left"/>
    </xf>
    <xf numFmtId="168" fontId="5" fillId="0" borderId="0" xfId="0" quotePrefix="1" applyNumberFormat="1" applyFont="1" applyFill="1" applyBorder="1" applyAlignment="1">
      <alignment horizontal="left"/>
    </xf>
    <xf numFmtId="168" fontId="4" fillId="0" borderId="0" xfId="0" applyNumberFormat="1" applyFont="1" applyFill="1" applyBorder="1" applyAlignment="1">
      <alignment horizontal="left"/>
    </xf>
    <xf numFmtId="168" fontId="6" fillId="0" borderId="0" xfId="0" quotePrefix="1" applyNumberFormat="1" applyFont="1" applyFill="1" applyBorder="1" applyAlignment="1">
      <alignment horizontal="left"/>
    </xf>
    <xf numFmtId="168" fontId="6" fillId="0" borderId="35" xfId="0" applyNumberFormat="1" applyFont="1" applyFill="1" applyBorder="1"/>
    <xf numFmtId="168" fontId="5" fillId="0" borderId="16" xfId="0" applyNumberFormat="1" applyFont="1" applyFill="1" applyBorder="1"/>
    <xf numFmtId="168" fontId="6" fillId="0" borderId="16" xfId="0" applyNumberFormat="1" applyFont="1" applyFill="1" applyBorder="1"/>
    <xf numFmtId="168" fontId="2" fillId="0" borderId="3" xfId="0" applyNumberFormat="1" applyFont="1" applyFill="1" applyBorder="1"/>
    <xf numFmtId="168" fontId="6" fillId="0" borderId="8" xfId="0" applyNumberFormat="1" applyFont="1" applyFill="1" applyBorder="1"/>
    <xf numFmtId="168" fontId="2" fillId="0" borderId="0" xfId="0" applyNumberFormat="1" applyFont="1" applyFill="1"/>
    <xf numFmtId="168" fontId="6" fillId="0" borderId="21" xfId="0" applyNumberFormat="1" applyFont="1" applyFill="1" applyBorder="1" applyAlignment="1">
      <alignment horizontal="left"/>
    </xf>
    <xf numFmtId="168" fontId="6" fillId="0" borderId="5" xfId="0" applyNumberFormat="1" applyFont="1" applyFill="1" applyBorder="1"/>
    <xf numFmtId="168" fontId="5" fillId="0" borderId="18" xfId="0" applyNumberFormat="1" applyFont="1" applyFill="1" applyBorder="1"/>
    <xf numFmtId="168" fontId="6" fillId="0" borderId="36" xfId="0" applyNumberFormat="1" applyFont="1" applyFill="1" applyBorder="1"/>
    <xf numFmtId="168" fontId="5" fillId="0" borderId="0" xfId="0" applyNumberFormat="1" applyFont="1" applyFill="1" applyBorder="1" applyAlignment="1">
      <alignment horizontal="center"/>
    </xf>
    <xf numFmtId="168" fontId="6" fillId="0" borderId="37" xfId="0" applyNumberFormat="1" applyFont="1" applyFill="1" applyBorder="1" applyAlignment="1">
      <alignment horizontal="left"/>
    </xf>
    <xf numFmtId="168" fontId="6" fillId="0" borderId="38" xfId="0" applyNumberFormat="1" applyFont="1" applyFill="1" applyBorder="1"/>
    <xf numFmtId="168" fontId="6" fillId="0" borderId="39" xfId="0" applyNumberFormat="1" applyFont="1" applyFill="1" applyBorder="1"/>
    <xf numFmtId="168" fontId="5" fillId="0" borderId="40" xfId="0" applyNumberFormat="1" applyFont="1" applyFill="1" applyBorder="1"/>
    <xf numFmtId="168" fontId="6" fillId="0" borderId="4" xfId="0" applyNumberFormat="1" applyFont="1" applyFill="1" applyBorder="1"/>
    <xf numFmtId="168" fontId="5" fillId="0" borderId="42" xfId="0" applyNumberFormat="1" applyFont="1" applyFill="1" applyBorder="1"/>
    <xf numFmtId="168" fontId="4" fillId="0" borderId="4" xfId="0" applyNumberFormat="1" applyFont="1" applyFill="1" applyBorder="1"/>
    <xf numFmtId="168" fontId="4" fillId="0" borderId="16" xfId="0" applyNumberFormat="1" applyFont="1" applyFill="1" applyBorder="1"/>
    <xf numFmtId="168" fontId="4" fillId="0" borderId="3" xfId="0" applyNumberFormat="1" applyFont="1" applyFill="1" applyBorder="1"/>
    <xf numFmtId="168" fontId="4" fillId="0" borderId="0" xfId="0" applyNumberFormat="1" applyFont="1" applyFill="1"/>
    <xf numFmtId="168" fontId="6" fillId="0" borderId="19" xfId="0" applyNumberFormat="1" applyFont="1" applyFill="1" applyBorder="1"/>
    <xf numFmtId="168" fontId="6" fillId="0" borderId="20" xfId="0" applyNumberFormat="1" applyFont="1" applyFill="1" applyBorder="1"/>
    <xf numFmtId="168" fontId="5" fillId="0" borderId="43" xfId="0" applyNumberFormat="1" applyFont="1" applyFill="1" applyBorder="1"/>
    <xf numFmtId="168" fontId="6" fillId="0" borderId="0" xfId="0" applyNumberFormat="1" applyFont="1" applyFill="1" applyBorder="1" applyAlignment="1">
      <alignment horizontal="left"/>
    </xf>
    <xf numFmtId="168" fontId="5" fillId="0" borderId="3" xfId="0" applyNumberFormat="1" applyFont="1" applyFill="1" applyBorder="1" applyAlignment="1">
      <alignment horizontal="center"/>
    </xf>
    <xf numFmtId="168" fontId="6" fillId="0" borderId="13" xfId="0" applyNumberFormat="1" applyFont="1" applyFill="1" applyBorder="1"/>
    <xf numFmtId="168" fontId="5" fillId="0" borderId="11" xfId="0" applyNumberFormat="1" applyFont="1" applyFill="1" applyBorder="1" applyAlignment="1">
      <alignment horizontal="center"/>
    </xf>
    <xf numFmtId="168" fontId="6" fillId="0" borderId="5" xfId="0" applyNumberFormat="1" applyFont="1" applyFill="1" applyBorder="1" applyAlignment="1">
      <alignment horizontal="left"/>
    </xf>
    <xf numFmtId="168" fontId="5" fillId="0" borderId="4" xfId="0" applyNumberFormat="1" applyFont="1" applyFill="1" applyBorder="1"/>
    <xf numFmtId="168" fontId="6" fillId="0" borderId="44" xfId="0" applyNumberFormat="1" applyFont="1" applyFill="1" applyBorder="1"/>
    <xf numFmtId="168" fontId="7" fillId="0" borderId="0" xfId="0" applyNumberFormat="1" applyFont="1" applyFill="1" applyBorder="1"/>
    <xf numFmtId="168" fontId="2" fillId="0" borderId="0" xfId="0" applyNumberFormat="1" applyFont="1" applyFill="1" applyBorder="1"/>
    <xf numFmtId="168" fontId="6" fillId="0" borderId="0" xfId="0" applyNumberFormat="1" applyFont="1" applyFill="1" applyAlignment="1">
      <alignment horizontal="center"/>
    </xf>
    <xf numFmtId="168" fontId="2" fillId="0" borderId="2" xfId="0" quotePrefix="1" applyNumberFormat="1" applyFont="1" applyFill="1" applyBorder="1" applyAlignment="1">
      <alignment horizontal="center"/>
    </xf>
    <xf numFmtId="168" fontId="2" fillId="0" borderId="45" xfId="0" quotePrefix="1" applyNumberFormat="1" applyFont="1" applyFill="1" applyBorder="1" applyAlignment="1">
      <alignment horizontal="center"/>
    </xf>
    <xf numFmtId="168" fontId="5" fillId="0" borderId="0" xfId="0" applyNumberFormat="1" applyFont="1" applyFill="1" applyAlignment="1">
      <alignment horizontal="center"/>
    </xf>
    <xf numFmtId="168" fontId="5" fillId="0" borderId="3" xfId="0" applyNumberFormat="1" applyFont="1" applyFill="1" applyBorder="1" applyAlignment="1">
      <alignment horizontal="right"/>
    </xf>
    <xf numFmtId="168" fontId="4" fillId="0" borderId="0" xfId="0" quotePrefix="1" applyNumberFormat="1" applyFont="1" applyFill="1" applyBorder="1" applyAlignment="1">
      <alignment horizontal="left"/>
    </xf>
    <xf numFmtId="168" fontId="5" fillId="0" borderId="4" xfId="0" applyNumberFormat="1" applyFont="1" applyFill="1" applyBorder="1" applyAlignment="1">
      <alignment horizontal="right"/>
    </xf>
    <xf numFmtId="168" fontId="6" fillId="0" borderId="29" xfId="0" applyNumberFormat="1" applyFont="1" applyFill="1" applyBorder="1" applyAlignment="1">
      <alignment horizontal="right"/>
    </xf>
    <xf numFmtId="168" fontId="6" fillId="0" borderId="30" xfId="0" applyNumberFormat="1" applyFont="1" applyFill="1" applyBorder="1" applyAlignment="1">
      <alignment horizontal="right"/>
    </xf>
    <xf numFmtId="168" fontId="6" fillId="0" borderId="30" xfId="0" applyNumberFormat="1" applyFont="1" applyFill="1" applyBorder="1"/>
    <xf numFmtId="168" fontId="6" fillId="0" borderId="3" xfId="0" applyNumberFormat="1" applyFont="1" applyFill="1" applyBorder="1" applyAlignment="1">
      <alignment horizontal="right"/>
    </xf>
    <xf numFmtId="168" fontId="2" fillId="0" borderId="35" xfId="0" applyNumberFormat="1" applyFont="1" applyFill="1" applyBorder="1"/>
    <xf numFmtId="168" fontId="2" fillId="0" borderId="30" xfId="0" applyNumberFormat="1" applyFont="1" applyFill="1" applyBorder="1"/>
    <xf numFmtId="168" fontId="2" fillId="0" borderId="16" xfId="0" applyNumberFormat="1" applyFont="1" applyFill="1" applyBorder="1"/>
    <xf numFmtId="168" fontId="2" fillId="0" borderId="4" xfId="0" applyNumberFormat="1" applyFont="1" applyFill="1" applyBorder="1"/>
    <xf numFmtId="168" fontId="5" fillId="0" borderId="45" xfId="0" applyNumberFormat="1" applyFont="1" applyFill="1" applyBorder="1"/>
    <xf numFmtId="168" fontId="6" fillId="0" borderId="40" xfId="0" applyNumberFormat="1" applyFont="1" applyFill="1" applyBorder="1"/>
    <xf numFmtId="168" fontId="5" fillId="0" borderId="39" xfId="0" applyNumberFormat="1" applyFont="1" applyFill="1" applyBorder="1"/>
    <xf numFmtId="168" fontId="5" fillId="0" borderId="36" xfId="0" applyNumberFormat="1" applyFont="1" applyFill="1" applyBorder="1"/>
    <xf numFmtId="168" fontId="5" fillId="0" borderId="20" xfId="0" applyNumberFormat="1" applyFont="1" applyFill="1" applyBorder="1"/>
    <xf numFmtId="168" fontId="5" fillId="0" borderId="19" xfId="0" applyNumberFormat="1" applyFont="1" applyFill="1" applyBorder="1"/>
    <xf numFmtId="168" fontId="5" fillId="0" borderId="12" xfId="0" applyNumberFormat="1" applyFont="1" applyFill="1" applyBorder="1"/>
    <xf numFmtId="168" fontId="0" fillId="0" borderId="0" xfId="0" applyNumberFormat="1" applyFill="1" applyBorder="1"/>
    <xf numFmtId="168" fontId="5" fillId="0" borderId="29" xfId="0" applyNumberFormat="1" applyFont="1" applyFill="1" applyBorder="1"/>
    <xf numFmtId="168" fontId="2" fillId="0" borderId="0" xfId="0" quotePrefix="1" applyNumberFormat="1" applyFont="1" applyFill="1" applyBorder="1" applyAlignment="1">
      <alignment horizontal="left"/>
    </xf>
    <xf numFmtId="168" fontId="5" fillId="0" borderId="32" xfId="0" applyNumberFormat="1" applyFont="1" applyFill="1" applyBorder="1"/>
    <xf numFmtId="168" fontId="5" fillId="0" borderId="19" xfId="0" applyNumberFormat="1" applyFont="1" applyFill="1" applyBorder="1" applyAlignment="1">
      <alignment horizontal="center"/>
    </xf>
    <xf numFmtId="168" fontId="5" fillId="0" borderId="5" xfId="0" applyNumberFormat="1" applyFont="1" applyFill="1" applyBorder="1" applyAlignment="1">
      <alignment horizontal="left"/>
    </xf>
    <xf numFmtId="168" fontId="5" fillId="0" borderId="5" xfId="0" applyNumberFormat="1" applyFont="1" applyFill="1" applyBorder="1"/>
    <xf numFmtId="168" fontId="6" fillId="0" borderId="15" xfId="0" applyNumberFormat="1" applyFont="1" applyFill="1" applyBorder="1" applyAlignment="1">
      <alignment horizontal="left"/>
    </xf>
    <xf numFmtId="168" fontId="5" fillId="0" borderId="38" xfId="0" applyNumberFormat="1" applyFont="1" applyFill="1" applyBorder="1"/>
    <xf numFmtId="168" fontId="6" fillId="0" borderId="1" xfId="0" applyNumberFormat="1" applyFont="1" applyFill="1" applyBorder="1"/>
    <xf numFmtId="168" fontId="2" fillId="0" borderId="23" xfId="0" applyNumberFormat="1" applyFont="1" applyFill="1" applyBorder="1"/>
    <xf numFmtId="168" fontId="6" fillId="0" borderId="3" xfId="0" applyNumberFormat="1" applyFont="1" applyFill="1" applyBorder="1" applyAlignment="1">
      <alignment horizontal="center"/>
    </xf>
    <xf numFmtId="168" fontId="6" fillId="0" borderId="29" xfId="0" applyNumberFormat="1" applyFont="1" applyFill="1" applyBorder="1" applyAlignment="1">
      <alignment horizontal="center"/>
    </xf>
    <xf numFmtId="168" fontId="6" fillId="0" borderId="47" xfId="0" applyNumberFormat="1" applyFont="1" applyFill="1" applyBorder="1"/>
    <xf numFmtId="168" fontId="5" fillId="0" borderId="0" xfId="0" applyNumberFormat="1" applyFont="1" applyFill="1" applyBorder="1" applyAlignment="1">
      <alignment horizontal="right"/>
    </xf>
    <xf numFmtId="168" fontId="6" fillId="0" borderId="18" xfId="0" applyNumberFormat="1" applyFont="1" applyFill="1" applyBorder="1"/>
    <xf numFmtId="168" fontId="5" fillId="0" borderId="22" xfId="0" applyNumberFormat="1" applyFont="1" applyFill="1" applyBorder="1"/>
    <xf numFmtId="168" fontId="6" fillId="0" borderId="49" xfId="0" applyNumberFormat="1" applyFont="1" applyFill="1" applyBorder="1"/>
    <xf numFmtId="168" fontId="5" fillId="0" borderId="49" xfId="0" applyNumberFormat="1" applyFont="1" applyFill="1" applyBorder="1"/>
    <xf numFmtId="168" fontId="5" fillId="0" borderId="3" xfId="0" applyNumberFormat="1" applyFont="1" applyFill="1" applyBorder="1" applyAlignment="1"/>
    <xf numFmtId="168" fontId="5" fillId="0" borderId="16" xfId="0" applyNumberFormat="1" applyFont="1" applyFill="1" applyBorder="1" applyAlignment="1"/>
    <xf numFmtId="168" fontId="5" fillId="0" borderId="4" xfId="0" applyNumberFormat="1" applyFont="1" applyFill="1" applyBorder="1" applyAlignment="1"/>
    <xf numFmtId="168" fontId="6" fillId="0" borderId="30" xfId="0" applyNumberFormat="1" applyFont="1" applyFill="1" applyBorder="1" applyAlignment="1"/>
    <xf numFmtId="168" fontId="6" fillId="0" borderId="35" xfId="0" applyNumberFormat="1" applyFont="1" applyFill="1" applyBorder="1" applyAlignment="1"/>
    <xf numFmtId="168" fontId="6" fillId="0" borderId="3" xfId="0" applyNumberFormat="1" applyFont="1" applyFill="1" applyBorder="1" applyAlignment="1"/>
    <xf numFmtId="168" fontId="6" fillId="0" borderId="4" xfId="0" applyNumberFormat="1" applyFont="1" applyFill="1" applyBorder="1" applyAlignment="1"/>
    <xf numFmtId="168" fontId="6" fillId="0" borderId="36" xfId="0" applyNumberFormat="1" applyFont="1" applyFill="1" applyBorder="1" applyAlignment="1"/>
    <xf numFmtId="168" fontId="6" fillId="0" borderId="19" xfId="0" applyNumberFormat="1" applyFont="1" applyFill="1" applyBorder="1" applyAlignment="1"/>
    <xf numFmtId="168" fontId="6" fillId="0" borderId="38" xfId="0" applyNumberFormat="1" applyFont="1" applyFill="1" applyBorder="1" applyAlignment="1"/>
    <xf numFmtId="168" fontId="6" fillId="0" borderId="0" xfId="0" applyNumberFormat="1" applyFont="1" applyFill="1" applyBorder="1" applyAlignment="1"/>
    <xf numFmtId="168" fontId="5" fillId="0" borderId="0" xfId="0" applyNumberFormat="1" applyFont="1" applyFill="1" applyBorder="1" applyAlignment="1"/>
    <xf numFmtId="168" fontId="6" fillId="0" borderId="29" xfId="0" applyNumberFormat="1" applyFont="1" applyFill="1" applyBorder="1" applyAlignment="1"/>
    <xf numFmtId="168" fontId="6" fillId="0" borderId="11" xfId="0" applyNumberFormat="1" applyFont="1" applyFill="1" applyBorder="1" applyAlignment="1"/>
    <xf numFmtId="168" fontId="5" fillId="0" borderId="38" xfId="0" applyNumberFormat="1" applyFont="1" applyFill="1" applyBorder="1" applyAlignment="1"/>
    <xf numFmtId="168" fontId="5" fillId="0" borderId="19" xfId="0" applyNumberFormat="1" applyFont="1" applyFill="1" applyBorder="1" applyAlignment="1"/>
    <xf numFmtId="168" fontId="5" fillId="0" borderId="0" xfId="0" applyNumberFormat="1" applyFont="1" applyFill="1" applyAlignment="1"/>
    <xf numFmtId="168" fontId="6" fillId="0" borderId="3" xfId="0" quotePrefix="1" applyNumberFormat="1" applyFont="1" applyFill="1" applyBorder="1" applyAlignment="1">
      <alignment horizontal="center"/>
    </xf>
    <xf numFmtId="168" fontId="6" fillId="0" borderId="29" xfId="0" quotePrefix="1" applyNumberFormat="1" applyFont="1" applyFill="1" applyBorder="1" applyAlignment="1">
      <alignment horizontal="center"/>
    </xf>
    <xf numFmtId="168" fontId="6" fillId="0" borderId="4" xfId="0" quotePrefix="1" applyNumberFormat="1" applyFont="1" applyFill="1" applyBorder="1" applyAlignment="1">
      <alignment horizontal="center"/>
    </xf>
    <xf numFmtId="168" fontId="5" fillId="0" borderId="0" xfId="0" applyNumberFormat="1" applyFont="1" applyAlignment="1">
      <alignment horizontal="center"/>
    </xf>
    <xf numFmtId="168" fontId="6" fillId="0" borderId="52" xfId="0" quotePrefix="1" applyNumberFormat="1" applyFont="1" applyBorder="1" applyAlignment="1">
      <alignment horizontal="center"/>
    </xf>
    <xf numFmtId="168" fontId="6" fillId="0" borderId="33" xfId="0" quotePrefix="1" applyNumberFormat="1" applyFont="1" applyBorder="1" applyAlignment="1">
      <alignment horizontal="center"/>
    </xf>
    <xf numFmtId="168" fontId="0" fillId="0" borderId="0" xfId="0" applyNumberFormat="1" applyBorder="1"/>
    <xf numFmtId="168" fontId="4" fillId="0" borderId="28" xfId="0" applyNumberFormat="1" applyFont="1" applyBorder="1"/>
    <xf numFmtId="168" fontId="2" fillId="0" borderId="28" xfId="0" applyNumberFormat="1" applyFont="1" applyBorder="1"/>
    <xf numFmtId="168" fontId="6" fillId="0" borderId="35" xfId="0" applyNumberFormat="1" applyFont="1" applyBorder="1"/>
    <xf numFmtId="168" fontId="6" fillId="0" borderId="14" xfId="0" applyNumberFormat="1" applyFont="1" applyFill="1" applyBorder="1" applyAlignment="1">
      <alignment horizontal="centerContinuous"/>
    </xf>
    <xf numFmtId="168" fontId="4" fillId="0" borderId="5" xfId="0" applyNumberFormat="1" applyFont="1" applyBorder="1"/>
    <xf numFmtId="168" fontId="13" fillId="0" borderId="0" xfId="0" applyNumberFormat="1" applyFont="1" applyBorder="1"/>
    <xf numFmtId="168" fontId="5" fillId="0" borderId="53" xfId="0" applyNumberFormat="1" applyFont="1" applyFill="1" applyBorder="1"/>
    <xf numFmtId="168" fontId="6" fillId="0" borderId="2" xfId="0" quotePrefix="1" applyNumberFormat="1" applyFont="1" applyBorder="1" applyAlignment="1">
      <alignment horizontal="center"/>
    </xf>
    <xf numFmtId="168" fontId="2" fillId="0" borderId="2" xfId="0" quotePrefix="1" applyNumberFormat="1" applyFont="1" applyBorder="1" applyAlignment="1">
      <alignment horizontal="center"/>
    </xf>
    <xf numFmtId="168" fontId="2" fillId="0" borderId="45" xfId="0" quotePrefix="1" applyNumberFormat="1" applyFont="1" applyBorder="1" applyAlignment="1">
      <alignment horizontal="center"/>
    </xf>
    <xf numFmtId="168" fontId="2" fillId="0" borderId="0" xfId="0" quotePrefix="1" applyNumberFormat="1" applyFont="1" applyBorder="1" applyAlignment="1">
      <alignment horizontal="left"/>
    </xf>
    <xf numFmtId="168" fontId="2" fillId="0" borderId="23" xfId="0" applyNumberFormat="1" applyFont="1" applyBorder="1"/>
    <xf numFmtId="168" fontId="2" fillId="0" borderId="1" xfId="0" quotePrefix="1" applyNumberFormat="1" applyFont="1" applyBorder="1" applyAlignment="1">
      <alignment horizontal="left"/>
    </xf>
    <xf numFmtId="168" fontId="2" fillId="0" borderId="1" xfId="0" applyNumberFormat="1" applyFont="1" applyBorder="1"/>
    <xf numFmtId="168" fontId="2" fillId="0" borderId="35" xfId="0" applyNumberFormat="1" applyFont="1" applyBorder="1"/>
    <xf numFmtId="168" fontId="2" fillId="0" borderId="55" xfId="0" applyNumberFormat="1" applyFont="1" applyBorder="1" applyAlignment="1">
      <alignment horizontal="left"/>
    </xf>
    <xf numFmtId="168" fontId="2" fillId="0" borderId="55" xfId="0" applyNumberFormat="1" applyFont="1" applyBorder="1"/>
    <xf numFmtId="168" fontId="2" fillId="0" borderId="56" xfId="0" applyNumberFormat="1" applyFont="1" applyBorder="1"/>
    <xf numFmtId="168" fontId="2" fillId="0" borderId="58" xfId="0" applyNumberFormat="1" applyFont="1" applyBorder="1"/>
    <xf numFmtId="168" fontId="5" fillId="0" borderId="0" xfId="0" quotePrefix="1" applyNumberFormat="1" applyFont="1" applyBorder="1" applyAlignment="1">
      <alignment horizontal="left"/>
    </xf>
    <xf numFmtId="168" fontId="0" fillId="0" borderId="3" xfId="0" applyNumberFormat="1" applyBorder="1"/>
    <xf numFmtId="168" fontId="6" fillId="0" borderId="61" xfId="0" quotePrefix="1" applyNumberFormat="1" applyFont="1" applyBorder="1" applyAlignment="1">
      <alignment horizontal="center"/>
    </xf>
    <xf numFmtId="168" fontId="0" fillId="0" borderId="4" xfId="0" applyNumberFormat="1" applyBorder="1"/>
    <xf numFmtId="168" fontId="0" fillId="0" borderId="4" xfId="0" applyNumberFormat="1" applyFill="1" applyBorder="1"/>
    <xf numFmtId="0" fontId="6" fillId="0" borderId="18" xfId="0" quotePrefix="1" applyNumberFormat="1" applyFont="1" applyFill="1" applyBorder="1" applyAlignment="1">
      <alignment horizontal="center"/>
    </xf>
    <xf numFmtId="0" fontId="6" fillId="0" borderId="15" xfId="0" applyNumberFormat="1" applyFont="1" applyFill="1" applyBorder="1" applyAlignment="1">
      <alignment horizontal="center"/>
    </xf>
    <xf numFmtId="0" fontId="6" fillId="0" borderId="4" xfId="0" applyNumberFormat="1" applyFont="1" applyFill="1" applyBorder="1" applyAlignment="1">
      <alignment horizontal="center"/>
    </xf>
    <xf numFmtId="0" fontId="5" fillId="0" borderId="0" xfId="0" applyNumberFormat="1" applyFont="1" applyFill="1" applyBorder="1" applyAlignment="1">
      <alignment horizontal="center"/>
    </xf>
    <xf numFmtId="0" fontId="6" fillId="0" borderId="11" xfId="0" applyNumberFormat="1" applyFont="1" applyFill="1" applyBorder="1"/>
    <xf numFmtId="0" fontId="5" fillId="0" borderId="3" xfId="0" applyNumberFormat="1" applyFont="1" applyFill="1" applyBorder="1" applyAlignment="1">
      <alignment horizontal="center"/>
    </xf>
    <xf numFmtId="0" fontId="5" fillId="0" borderId="11" xfId="0" applyNumberFormat="1" applyFont="1" applyFill="1" applyBorder="1" applyAlignment="1">
      <alignment horizontal="center"/>
    </xf>
    <xf numFmtId="0" fontId="6" fillId="0" borderId="0" xfId="0" applyNumberFormat="1" applyFont="1" applyFill="1" applyBorder="1"/>
    <xf numFmtId="0" fontId="6" fillId="0" borderId="15" xfId="0" applyNumberFormat="1" applyFont="1" applyFill="1" applyBorder="1" applyAlignment="1">
      <alignment horizontal="left"/>
    </xf>
    <xf numFmtId="0" fontId="6" fillId="0" borderId="0" xfId="0" applyNumberFormat="1" applyFont="1" applyFill="1" applyBorder="1" applyAlignment="1">
      <alignment horizontal="center"/>
    </xf>
    <xf numFmtId="0" fontId="5" fillId="0" borderId="0" xfId="0" applyNumberFormat="1" applyFont="1" applyFill="1" applyAlignment="1">
      <alignment horizontal="center"/>
    </xf>
    <xf numFmtId="0" fontId="6" fillId="0" borderId="3" xfId="0" applyNumberFormat="1" applyFont="1" applyFill="1" applyBorder="1" applyAlignment="1">
      <alignment horizontal="center"/>
    </xf>
    <xf numFmtId="3" fontId="5" fillId="0" borderId="0" xfId="0" applyNumberFormat="1" applyFont="1"/>
    <xf numFmtId="0" fontId="6" fillId="0" borderId="0" xfId="0" applyFont="1" applyAlignment="1">
      <alignment horizontal="center"/>
    </xf>
    <xf numFmtId="3" fontId="6" fillId="0" borderId="4" xfId="0" applyNumberFormat="1" applyFont="1" applyBorder="1"/>
    <xf numFmtId="172" fontId="5" fillId="0" borderId="3" xfId="0" applyNumberFormat="1" applyFont="1" applyFill="1" applyBorder="1"/>
    <xf numFmtId="168" fontId="6" fillId="0" borderId="46" xfId="0" quotePrefix="1" applyNumberFormat="1" applyFont="1" applyBorder="1" applyAlignment="1">
      <alignment horizontal="center"/>
    </xf>
    <xf numFmtId="1" fontId="5" fillId="0" borderId="3" xfId="0" applyNumberFormat="1" applyFont="1" applyFill="1" applyBorder="1" applyAlignment="1">
      <alignment horizontal="center"/>
    </xf>
    <xf numFmtId="0" fontId="0" fillId="0" borderId="0" xfId="0" applyAlignment="1">
      <alignment horizontal="left"/>
    </xf>
    <xf numFmtId="168" fontId="5" fillId="0" borderId="29" xfId="0" applyNumberFormat="1" applyFont="1" applyBorder="1" applyAlignment="1">
      <alignment horizontal="center"/>
    </xf>
    <xf numFmtId="1" fontId="5" fillId="0" borderId="4" xfId="0" applyNumberFormat="1" applyFont="1" applyFill="1" applyBorder="1" applyAlignment="1">
      <alignment horizontal="center"/>
    </xf>
    <xf numFmtId="168" fontId="4" fillId="0" borderId="32" xfId="0" applyNumberFormat="1" applyFont="1" applyBorder="1"/>
    <xf numFmtId="168" fontId="4" fillId="0" borderId="5" xfId="0" applyNumberFormat="1" applyFont="1" applyBorder="1" applyAlignment="1">
      <alignment horizontal="left"/>
    </xf>
    <xf numFmtId="168" fontId="4" fillId="0" borderId="20" xfId="0" applyNumberFormat="1" applyFont="1" applyBorder="1"/>
    <xf numFmtId="168" fontId="2" fillId="0" borderId="23" xfId="0" applyNumberFormat="1" applyFont="1" applyBorder="1" applyProtection="1">
      <protection locked="0"/>
    </xf>
    <xf numFmtId="168" fontId="2" fillId="0" borderId="29" xfId="0" applyNumberFormat="1" applyFont="1" applyBorder="1" applyProtection="1">
      <protection locked="0"/>
    </xf>
    <xf numFmtId="168" fontId="2" fillId="0" borderId="29" xfId="0" applyNumberFormat="1" applyFont="1" applyBorder="1" applyAlignment="1" applyProtection="1">
      <alignment horizontal="center"/>
      <protection locked="0"/>
    </xf>
    <xf numFmtId="168" fontId="4" fillId="0" borderId="63" xfId="0" applyNumberFormat="1" applyFont="1" applyBorder="1"/>
    <xf numFmtId="168" fontId="4" fillId="0" borderId="38" xfId="0" applyNumberFormat="1" applyFont="1" applyBorder="1"/>
    <xf numFmtId="168" fontId="4" fillId="0" borderId="40" xfId="0" applyNumberFormat="1" applyFont="1" applyBorder="1"/>
    <xf numFmtId="168" fontId="5" fillId="0" borderId="40" xfId="0" applyNumberFormat="1" applyFont="1" applyBorder="1" applyAlignment="1">
      <alignment horizontal="center"/>
    </xf>
    <xf numFmtId="168" fontId="4" fillId="0" borderId="36" xfId="0" applyNumberFormat="1" applyFont="1" applyBorder="1"/>
    <xf numFmtId="168" fontId="4" fillId="0" borderId="39" xfId="0" applyNumberFormat="1" applyFont="1" applyBorder="1"/>
    <xf numFmtId="168" fontId="6" fillId="0" borderId="28" xfId="0" quotePrefix="1" applyNumberFormat="1" applyFont="1" applyBorder="1" applyAlignment="1">
      <alignment horizontal="center"/>
    </xf>
    <xf numFmtId="3" fontId="6" fillId="0" borderId="0" xfId="0" applyNumberFormat="1" applyFont="1" applyBorder="1"/>
    <xf numFmtId="3" fontId="6" fillId="0" borderId="3" xfId="0" applyNumberFormat="1" applyFont="1" applyBorder="1"/>
    <xf numFmtId="0" fontId="5" fillId="0" borderId="15" xfId="0" applyFont="1" applyBorder="1"/>
    <xf numFmtId="1" fontId="5" fillId="0" borderId="6" xfId="0" applyNumberFormat="1" applyFont="1" applyFill="1" applyBorder="1"/>
    <xf numFmtId="1" fontId="6" fillId="0" borderId="0" xfId="0" applyNumberFormat="1" applyFont="1" applyFill="1" applyBorder="1"/>
    <xf numFmtId="1" fontId="7" fillId="0" borderId="0" xfId="0" applyNumberFormat="1" applyFont="1" applyFill="1" applyBorder="1"/>
    <xf numFmtId="1" fontId="6" fillId="0" borderId="0" xfId="0" quotePrefix="1" applyNumberFormat="1" applyFont="1" applyFill="1" applyBorder="1" applyAlignment="1">
      <alignment horizontal="left"/>
    </xf>
    <xf numFmtId="1" fontId="5" fillId="0" borderId="0" xfId="0" applyNumberFormat="1" applyFont="1" applyFill="1" applyBorder="1"/>
    <xf numFmtId="1" fontId="5" fillId="0" borderId="0" xfId="0" applyNumberFormat="1" applyFont="1" applyFill="1" applyBorder="1" applyAlignment="1">
      <alignment horizontal="left"/>
    </xf>
    <xf numFmtId="1" fontId="6" fillId="0" borderId="38" xfId="0" applyNumberFormat="1" applyFont="1" applyFill="1" applyBorder="1"/>
    <xf numFmtId="1" fontId="6" fillId="0" borderId="0" xfId="0" applyNumberFormat="1" applyFont="1" applyFill="1" applyBorder="1" applyAlignment="1">
      <alignment horizontal="left"/>
    </xf>
    <xf numFmtId="1" fontId="6" fillId="0" borderId="5" xfId="0" applyNumberFormat="1" applyFont="1" applyFill="1" applyBorder="1" applyAlignment="1">
      <alignment horizontal="left"/>
    </xf>
    <xf numFmtId="1" fontId="6" fillId="0" borderId="18" xfId="0" quotePrefix="1" applyNumberFormat="1" applyFont="1" applyFill="1" applyBorder="1" applyAlignment="1">
      <alignment horizontal="center"/>
    </xf>
    <xf numFmtId="1" fontId="6" fillId="0" borderId="4" xfId="0" applyNumberFormat="1" applyFont="1" applyFill="1" applyBorder="1" applyAlignment="1">
      <alignment horizontal="center"/>
    </xf>
    <xf numFmtId="1" fontId="5" fillId="0" borderId="0" xfId="0" applyNumberFormat="1" applyFont="1" applyFill="1" applyBorder="1" applyAlignment="1">
      <alignment horizontal="center"/>
    </xf>
    <xf numFmtId="1" fontId="6" fillId="0" borderId="11" xfId="0" applyNumberFormat="1" applyFont="1" applyFill="1" applyBorder="1"/>
    <xf numFmtId="1" fontId="5" fillId="0" borderId="11" xfId="0" applyNumberFormat="1" applyFont="1" applyFill="1" applyBorder="1" applyAlignment="1">
      <alignment horizontal="center"/>
    </xf>
    <xf numFmtId="1" fontId="5" fillId="0" borderId="38" xfId="0" applyNumberFormat="1" applyFont="1" applyFill="1" applyBorder="1" applyAlignment="1">
      <alignment horizontal="center"/>
    </xf>
    <xf numFmtId="1" fontId="5" fillId="0" borderId="0" xfId="0" applyNumberFormat="1" applyFont="1" applyFill="1" applyAlignment="1">
      <alignment horizontal="center"/>
    </xf>
    <xf numFmtId="0" fontId="6" fillId="0" borderId="0" xfId="0" applyFont="1" applyFill="1" applyBorder="1" applyAlignment="1">
      <alignment horizontal="center"/>
    </xf>
    <xf numFmtId="0" fontId="6" fillId="0" borderId="8" xfId="0" applyFont="1" applyFill="1" applyBorder="1" applyAlignment="1">
      <alignment horizontal="center"/>
    </xf>
    <xf numFmtId="0" fontId="6" fillId="0" borderId="61" xfId="0" applyFont="1" applyFill="1" applyBorder="1" applyAlignment="1">
      <alignment horizontal="center"/>
    </xf>
    <xf numFmtId="0" fontId="6" fillId="0" borderId="62" xfId="0" applyFont="1" applyFill="1" applyBorder="1" applyAlignment="1">
      <alignment horizontal="center"/>
    </xf>
    <xf numFmtId="168" fontId="2" fillId="0" borderId="28" xfId="0" applyNumberFormat="1" applyFont="1" applyFill="1" applyBorder="1"/>
    <xf numFmtId="168" fontId="2" fillId="0" borderId="54" xfId="0" applyNumberFormat="1" applyFont="1" applyFill="1" applyBorder="1"/>
    <xf numFmtId="168" fontId="2" fillId="0" borderId="55" xfId="0" applyNumberFormat="1" applyFont="1" applyFill="1" applyBorder="1" applyAlignment="1">
      <alignment horizontal="left"/>
    </xf>
    <xf numFmtId="168" fontId="2" fillId="0" borderId="55" xfId="0" applyNumberFormat="1" applyFont="1" applyFill="1" applyBorder="1"/>
    <xf numFmtId="168" fontId="2" fillId="0" borderId="56" xfId="0" applyNumberFormat="1" applyFont="1" applyFill="1" applyBorder="1"/>
    <xf numFmtId="168" fontId="2" fillId="0" borderId="58" xfId="0" applyNumberFormat="1" applyFont="1" applyFill="1" applyBorder="1"/>
    <xf numFmtId="168" fontId="2" fillId="0" borderId="57" xfId="0" applyNumberFormat="1" applyFont="1" applyFill="1" applyBorder="1"/>
    <xf numFmtId="168" fontId="6" fillId="0" borderId="6" xfId="0" quotePrefix="1" applyNumberFormat="1" applyFont="1" applyFill="1" applyBorder="1" applyAlignment="1">
      <alignment horizontal="center"/>
    </xf>
    <xf numFmtId="168" fontId="20" fillId="0" borderId="0" xfId="0" applyNumberFormat="1" applyFont="1" applyFill="1" applyBorder="1"/>
    <xf numFmtId="168" fontId="3" fillId="0" borderId="0" xfId="0" applyNumberFormat="1" applyFont="1" applyFill="1" applyBorder="1"/>
    <xf numFmtId="168" fontId="4" fillId="0" borderId="5" xfId="0" applyNumberFormat="1" applyFont="1" applyFill="1" applyBorder="1"/>
    <xf numFmtId="168" fontId="24" fillId="0" borderId="0" xfId="0" applyNumberFormat="1" applyFont="1" applyFill="1"/>
    <xf numFmtId="168" fontId="6" fillId="0" borderId="1" xfId="0" applyNumberFormat="1" applyFont="1" applyBorder="1"/>
    <xf numFmtId="168" fontId="2" fillId="0" borderId="48" xfId="0" quotePrefix="1" applyNumberFormat="1" applyFont="1" applyBorder="1" applyAlignment="1">
      <alignment horizontal="center"/>
    </xf>
    <xf numFmtId="168" fontId="2" fillId="0" borderId="33" xfId="0" quotePrefix="1" applyNumberFormat="1" applyFont="1" applyBorder="1" applyAlignment="1">
      <alignment horizontal="center"/>
    </xf>
    <xf numFmtId="168" fontId="6" fillId="0" borderId="37" xfId="0" applyNumberFormat="1" applyFont="1" applyBorder="1"/>
    <xf numFmtId="0" fontId="6" fillId="0" borderId="3" xfId="0" applyFont="1" applyBorder="1" applyAlignment="1">
      <alignment horizontal="center"/>
    </xf>
    <xf numFmtId="0" fontId="6" fillId="0" borderId="3" xfId="0" applyFont="1" applyFill="1" applyBorder="1" applyAlignment="1">
      <alignment horizontal="center"/>
    </xf>
    <xf numFmtId="3" fontId="0" fillId="0" borderId="0" xfId="0" applyNumberFormat="1" applyAlignment="1">
      <alignment horizontal="left"/>
    </xf>
    <xf numFmtId="0" fontId="16" fillId="0" borderId="0" xfId="0" applyFont="1" applyAlignment="1">
      <alignment horizontal="left"/>
    </xf>
    <xf numFmtId="38" fontId="6" fillId="0" borderId="69" xfId="1" applyNumberFormat="1" applyFont="1" applyFill="1" applyBorder="1"/>
    <xf numFmtId="38" fontId="6" fillId="0" borderId="71" xfId="1" applyNumberFormat="1" applyFont="1" applyFill="1" applyBorder="1"/>
    <xf numFmtId="38" fontId="6" fillId="0" borderId="73" xfId="1" applyNumberFormat="1" applyFont="1" applyFill="1" applyBorder="1"/>
    <xf numFmtId="38" fontId="5" fillId="0" borderId="0" xfId="0" applyNumberFormat="1" applyFont="1" applyFill="1"/>
    <xf numFmtId="168" fontId="6" fillId="0" borderId="0" xfId="0" quotePrefix="1" applyNumberFormat="1" applyFont="1" applyBorder="1" applyAlignment="1">
      <alignment horizontal="center"/>
    </xf>
    <xf numFmtId="168" fontId="6" fillId="0" borderId="4" xfId="0" quotePrefix="1" applyNumberFormat="1" applyFont="1" applyBorder="1" applyAlignment="1">
      <alignment horizontal="center" wrapText="1"/>
    </xf>
    <xf numFmtId="38" fontId="6" fillId="0" borderId="74" xfId="1" applyNumberFormat="1" applyFont="1" applyFill="1" applyBorder="1"/>
    <xf numFmtId="38" fontId="6" fillId="0" borderId="75" xfId="1" applyNumberFormat="1" applyFont="1" applyFill="1" applyBorder="1"/>
    <xf numFmtId="168" fontId="25" fillId="0" borderId="0" xfId="0" applyNumberFormat="1" applyFont="1" applyFill="1" applyBorder="1" applyAlignment="1">
      <alignment horizontal="left"/>
    </xf>
    <xf numFmtId="168" fontId="5" fillId="0" borderId="42" xfId="0" applyNumberFormat="1" applyFont="1" applyFill="1" applyBorder="1" applyAlignment="1">
      <alignment horizontal="right"/>
    </xf>
    <xf numFmtId="168" fontId="2" fillId="0" borderId="61" xfId="0" applyNumberFormat="1" applyFont="1" applyFill="1" applyBorder="1" applyAlignment="1">
      <alignment horizontal="center"/>
    </xf>
    <xf numFmtId="168" fontId="2" fillId="0" borderId="3" xfId="0" applyNumberFormat="1" applyFont="1" applyFill="1" applyBorder="1" applyAlignment="1">
      <alignment horizontal="center"/>
    </xf>
    <xf numFmtId="168" fontId="6" fillId="0" borderId="41" xfId="0" applyNumberFormat="1" applyFont="1" applyFill="1" applyBorder="1"/>
    <xf numFmtId="168" fontId="2" fillId="0" borderId="76" xfId="0" applyNumberFormat="1" applyFont="1" applyFill="1" applyBorder="1" applyAlignment="1">
      <alignment horizontal="center"/>
    </xf>
    <xf numFmtId="168" fontId="5" fillId="0" borderId="77" xfId="0" applyNumberFormat="1" applyFont="1" applyFill="1" applyBorder="1"/>
    <xf numFmtId="168" fontId="2" fillId="0" borderId="61" xfId="0" quotePrefix="1" applyNumberFormat="1" applyFont="1" applyBorder="1" applyAlignment="1">
      <alignment horizontal="center"/>
    </xf>
    <xf numFmtId="168" fontId="2" fillId="0" borderId="1" xfId="0" quotePrefix="1" applyNumberFormat="1" applyFont="1" applyFill="1" applyBorder="1" applyAlignment="1">
      <alignment horizontal="left"/>
    </xf>
    <xf numFmtId="168" fontId="5" fillId="0" borderId="5" xfId="0" applyNumberFormat="1" applyFont="1" applyFill="1" applyBorder="1" applyAlignment="1">
      <alignment horizontal="center"/>
    </xf>
    <xf numFmtId="168" fontId="5" fillId="0" borderId="21" xfId="0" applyNumberFormat="1" applyFont="1" applyFill="1" applyBorder="1"/>
    <xf numFmtId="168" fontId="4" fillId="0" borderId="21" xfId="0" applyNumberFormat="1" applyFont="1" applyFill="1" applyBorder="1"/>
    <xf numFmtId="168" fontId="2" fillId="0" borderId="67" xfId="0" applyNumberFormat="1" applyFont="1" applyFill="1" applyBorder="1" applyAlignment="1">
      <alignment horizontal="center"/>
    </xf>
    <xf numFmtId="168" fontId="2" fillId="0" borderId="78" xfId="0" applyNumberFormat="1" applyFont="1" applyFill="1" applyBorder="1" applyAlignment="1">
      <alignment horizontal="center"/>
    </xf>
    <xf numFmtId="168" fontId="14" fillId="0" borderId="3" xfId="0" applyNumberFormat="1" applyFont="1" applyFill="1" applyBorder="1"/>
    <xf numFmtId="168" fontId="14" fillId="0" borderId="42" xfId="0" applyNumberFormat="1" applyFont="1" applyFill="1" applyBorder="1"/>
    <xf numFmtId="168" fontId="14" fillId="0" borderId="4" xfId="0" applyNumberFormat="1" applyFont="1" applyFill="1" applyBorder="1"/>
    <xf numFmtId="168" fontId="14" fillId="0" borderId="13" xfId="0" applyNumberFormat="1" applyFont="1" applyFill="1" applyBorder="1"/>
    <xf numFmtId="168" fontId="14" fillId="0" borderId="0" xfId="0" applyNumberFormat="1" applyFont="1" applyFill="1" applyBorder="1"/>
    <xf numFmtId="168" fontId="14" fillId="0" borderId="8" xfId="0" applyNumberFormat="1" applyFont="1" applyFill="1" applyBorder="1"/>
    <xf numFmtId="168" fontId="14" fillId="0" borderId="0" xfId="0" applyNumberFormat="1" applyFont="1" applyFill="1"/>
    <xf numFmtId="168" fontId="5" fillId="0" borderId="80" xfId="0" applyNumberFormat="1" applyFont="1" applyFill="1" applyBorder="1"/>
    <xf numFmtId="168" fontId="6" fillId="0" borderId="81" xfId="0" applyNumberFormat="1" applyFont="1" applyFill="1" applyBorder="1"/>
    <xf numFmtId="49" fontId="5" fillId="0" borderId="3" xfId="0" applyNumberFormat="1" applyFont="1" applyFill="1" applyBorder="1" applyAlignment="1">
      <alignment horizontal="center"/>
    </xf>
    <xf numFmtId="49" fontId="5" fillId="0" borderId="4" xfId="0" applyNumberFormat="1" applyFont="1" applyFill="1" applyBorder="1" applyAlignment="1">
      <alignment horizontal="center"/>
    </xf>
    <xf numFmtId="49" fontId="6" fillId="0" borderId="4" xfId="0" applyNumberFormat="1" applyFont="1" applyFill="1" applyBorder="1" applyAlignment="1">
      <alignment horizontal="center"/>
    </xf>
    <xf numFmtId="0" fontId="5" fillId="0" borderId="15" xfId="0" applyNumberFormat="1" applyFont="1" applyFill="1" applyBorder="1" applyAlignment="1">
      <alignment horizontal="left"/>
    </xf>
    <xf numFmtId="38" fontId="6" fillId="0" borderId="83" xfId="1" applyNumberFormat="1" applyFont="1" applyFill="1" applyBorder="1"/>
    <xf numFmtId="0" fontId="6" fillId="0" borderId="85" xfId="0" applyFont="1" applyFill="1" applyBorder="1" applyAlignment="1">
      <alignment horizontal="center"/>
    </xf>
    <xf numFmtId="0" fontId="6" fillId="0" borderId="15" xfId="0" applyFont="1" applyBorder="1"/>
    <xf numFmtId="9" fontId="5" fillId="0" borderId="0" xfId="4" applyFont="1"/>
    <xf numFmtId="0" fontId="5" fillId="0" borderId="3" xfId="0" applyFont="1" applyBorder="1"/>
    <xf numFmtId="173" fontId="5" fillId="0" borderId="0" xfId="0" applyNumberFormat="1" applyFont="1" applyAlignment="1">
      <alignment horizontal="center"/>
    </xf>
    <xf numFmtId="3" fontId="0" fillId="0" borderId="0" xfId="0" applyNumberFormat="1" applyFill="1"/>
    <xf numFmtId="0" fontId="5" fillId="0" borderId="0" xfId="0" applyFont="1" applyFill="1"/>
    <xf numFmtId="0" fontId="5" fillId="0" borderId="0" xfId="0" applyFont="1" applyFill="1" applyBorder="1"/>
    <xf numFmtId="0" fontId="5" fillId="0" borderId="3" xfId="0" quotePrefix="1" applyNumberFormat="1" applyFont="1" applyFill="1" applyBorder="1" applyAlignment="1">
      <alignment horizontal="center"/>
    </xf>
    <xf numFmtId="0" fontId="5" fillId="0" borderId="15" xfId="0" quotePrefix="1" applyNumberFormat="1" applyFont="1" applyFill="1" applyBorder="1" applyAlignment="1">
      <alignment horizontal="center"/>
    </xf>
    <xf numFmtId="0" fontId="6" fillId="0" borderId="67" xfId="0" applyFont="1" applyFill="1" applyBorder="1" applyAlignment="1">
      <alignment horizontal="center"/>
    </xf>
    <xf numFmtId="0" fontId="6" fillId="0" borderId="0" xfId="0" applyNumberFormat="1" applyFont="1" applyFill="1" applyBorder="1" applyAlignment="1">
      <alignment horizontal="left"/>
    </xf>
    <xf numFmtId="0" fontId="5" fillId="0" borderId="5" xfId="0" applyNumberFormat="1" applyFont="1" applyFill="1" applyBorder="1" applyAlignment="1">
      <alignment horizontal="center"/>
    </xf>
    <xf numFmtId="0" fontId="6" fillId="0" borderId="6" xfId="0" quotePrefix="1" applyNumberFormat="1" applyFont="1" applyBorder="1" applyAlignment="1">
      <alignment horizontal="center"/>
    </xf>
    <xf numFmtId="0" fontId="5" fillId="0" borderId="37" xfId="0" applyNumberFormat="1" applyFont="1" applyFill="1" applyBorder="1" applyAlignment="1">
      <alignment horizontal="center"/>
    </xf>
    <xf numFmtId="0" fontId="5" fillId="0" borderId="40" xfId="0" applyNumberFormat="1" applyFont="1" applyFill="1" applyBorder="1" applyAlignment="1">
      <alignment horizontal="center"/>
    </xf>
    <xf numFmtId="168" fontId="5" fillId="0" borderId="3" xfId="0" applyNumberFormat="1" applyFont="1" applyFill="1" applyBorder="1" applyProtection="1"/>
    <xf numFmtId="168" fontId="7" fillId="0" borderId="3" xfId="0" applyNumberFormat="1" applyFont="1" applyFill="1" applyBorder="1"/>
    <xf numFmtId="168" fontId="5" fillId="0" borderId="3" xfId="0" applyNumberFormat="1" applyFont="1" applyFill="1" applyBorder="1" applyAlignment="1">
      <alignment horizontal="left"/>
    </xf>
    <xf numFmtId="168" fontId="6" fillId="0" borderId="40" xfId="0" applyNumberFormat="1" applyFont="1" applyFill="1" applyBorder="1" applyAlignment="1">
      <alignment horizontal="left"/>
    </xf>
    <xf numFmtId="168" fontId="6" fillId="0" borderId="11" xfId="0" applyNumberFormat="1" applyFont="1" applyFill="1" applyBorder="1" applyAlignment="1">
      <alignment horizontal="left"/>
    </xf>
    <xf numFmtId="168" fontId="6" fillId="0" borderId="29" xfId="0" applyNumberFormat="1" applyFont="1" applyBorder="1" applyAlignment="1">
      <alignment horizontal="center"/>
    </xf>
    <xf numFmtId="168" fontId="6" fillId="0" borderId="18" xfId="0" quotePrefix="1" applyNumberFormat="1" applyFont="1" applyBorder="1" applyAlignment="1">
      <alignment horizontal="center"/>
    </xf>
    <xf numFmtId="168" fontId="6" fillId="0" borderId="3" xfId="0" applyNumberFormat="1" applyFont="1" applyFill="1" applyBorder="1" applyAlignment="1">
      <alignment horizontal="left"/>
    </xf>
    <xf numFmtId="168" fontId="25" fillId="0" borderId="3" xfId="0" applyNumberFormat="1" applyFont="1" applyFill="1" applyBorder="1" applyAlignment="1">
      <alignment horizontal="left"/>
    </xf>
    <xf numFmtId="168" fontId="6" fillId="0" borderId="29" xfId="0" applyNumberFormat="1" applyFont="1" applyFill="1" applyBorder="1" applyAlignment="1">
      <alignment horizontal="left"/>
    </xf>
    <xf numFmtId="168" fontId="6" fillId="0" borderId="77" xfId="0" applyNumberFormat="1" applyFont="1" applyFill="1" applyBorder="1"/>
    <xf numFmtId="168" fontId="5" fillId="0" borderId="42" xfId="0" applyNumberFormat="1" applyFont="1" applyFill="1" applyBorder="1" applyAlignment="1"/>
    <xf numFmtId="168" fontId="5" fillId="0" borderId="0" xfId="0" applyNumberFormat="1" applyFont="1" applyFill="1" applyAlignment="1">
      <alignment horizontal="right"/>
    </xf>
    <xf numFmtId="168" fontId="6" fillId="0" borderId="90" xfId="0" applyNumberFormat="1" applyFont="1" applyFill="1" applyBorder="1"/>
    <xf numFmtId="168" fontId="6" fillId="0" borderId="3" xfId="0" quotePrefix="1" applyNumberFormat="1" applyFont="1" applyFill="1" applyBorder="1" applyAlignment="1">
      <alignment horizontal="left"/>
    </xf>
    <xf numFmtId="168" fontId="6" fillId="0" borderId="0" xfId="0" applyNumberFormat="1" applyFont="1" applyFill="1" applyBorder="1" applyAlignment="1">
      <alignment horizontal="center"/>
    </xf>
    <xf numFmtId="168" fontId="5" fillId="0" borderId="11" xfId="0" applyNumberFormat="1" applyFont="1" applyFill="1" applyBorder="1" applyAlignment="1">
      <alignment horizontal="left"/>
    </xf>
    <xf numFmtId="168" fontId="6" fillId="0" borderId="17" xfId="0" quotePrefix="1" applyNumberFormat="1" applyFont="1" applyBorder="1" applyAlignment="1">
      <alignment horizontal="center"/>
    </xf>
    <xf numFmtId="168" fontId="6" fillId="0" borderId="4" xfId="0" applyNumberFormat="1" applyFont="1" applyFill="1" applyBorder="1" applyAlignment="1">
      <alignment horizontal="right"/>
    </xf>
    <xf numFmtId="168" fontId="6" fillId="0" borderId="63" xfId="0" applyNumberFormat="1" applyFont="1" applyFill="1" applyBorder="1"/>
    <xf numFmtId="168" fontId="6" fillId="0" borderId="15" xfId="0" applyNumberFormat="1" applyFont="1" applyFill="1" applyBorder="1" applyAlignment="1">
      <alignment horizontal="center"/>
    </xf>
    <xf numFmtId="168" fontId="6" fillId="0" borderId="91" xfId="0" applyNumberFormat="1" applyFont="1" applyFill="1" applyBorder="1"/>
    <xf numFmtId="168" fontId="6" fillId="0" borderId="92" xfId="0" applyNumberFormat="1" applyFont="1" applyFill="1" applyBorder="1"/>
    <xf numFmtId="168" fontId="6" fillId="0" borderId="93" xfId="0" applyNumberFormat="1" applyFont="1" applyFill="1" applyBorder="1"/>
    <xf numFmtId="0" fontId="0" fillId="0" borderId="0" xfId="0" applyAlignment="1">
      <alignment horizontal="center"/>
    </xf>
    <xf numFmtId="14" fontId="6" fillId="0" borderId="0" xfId="0" applyNumberFormat="1" applyFont="1" applyAlignment="1">
      <alignment horizontal="left"/>
    </xf>
    <xf numFmtId="0" fontId="6" fillId="0" borderId="0" xfId="0" applyFont="1" applyAlignment="1">
      <alignment horizontal="left"/>
    </xf>
    <xf numFmtId="0" fontId="6" fillId="0" borderId="29" xfId="0" quotePrefix="1" applyNumberFormat="1" applyFont="1" applyBorder="1" applyAlignment="1">
      <alignment horizontal="center"/>
    </xf>
    <xf numFmtId="168" fontId="6" fillId="0" borderId="11" xfId="0" applyNumberFormat="1" applyFont="1" applyFill="1" applyBorder="1" applyAlignment="1">
      <alignment horizontal="center"/>
    </xf>
    <xf numFmtId="168" fontId="6" fillId="0" borderId="36" xfId="0" applyNumberFormat="1" applyFont="1" applyFill="1" applyBorder="1" applyAlignment="1">
      <alignment horizontal="center"/>
    </xf>
    <xf numFmtId="168" fontId="6" fillId="0" borderId="19" xfId="0" applyNumberFormat="1" applyFont="1" applyFill="1" applyBorder="1" applyAlignment="1">
      <alignment horizontal="center"/>
    </xf>
    <xf numFmtId="168" fontId="6" fillId="0" borderId="94" xfId="0" applyNumberFormat="1" applyFont="1" applyFill="1" applyBorder="1" applyAlignment="1">
      <alignment horizontal="center"/>
    </xf>
    <xf numFmtId="168" fontId="5" fillId="0" borderId="38" xfId="0" applyNumberFormat="1" applyFont="1" applyFill="1" applyBorder="1" applyAlignment="1">
      <alignment horizontal="center"/>
    </xf>
    <xf numFmtId="168" fontId="6" fillId="0" borderId="94" xfId="0" applyNumberFormat="1" applyFont="1" applyFill="1" applyBorder="1"/>
    <xf numFmtId="168" fontId="6" fillId="0" borderId="90" xfId="0" applyNumberFormat="1" applyFont="1" applyFill="1" applyBorder="1" applyAlignment="1"/>
    <xf numFmtId="168" fontId="6" fillId="0" borderId="95" xfId="0" applyNumberFormat="1" applyFont="1" applyFill="1" applyBorder="1"/>
    <xf numFmtId="168" fontId="6" fillId="0" borderId="42" xfId="0" applyNumberFormat="1" applyFont="1" applyFill="1" applyBorder="1"/>
    <xf numFmtId="168" fontId="2" fillId="0" borderId="4" xfId="0" applyNumberFormat="1" applyFont="1" applyFill="1" applyBorder="1" applyAlignment="1">
      <alignment horizontal="center"/>
    </xf>
    <xf numFmtId="0" fontId="6" fillId="0" borderId="0" xfId="0" applyFont="1" applyFill="1"/>
    <xf numFmtId="38" fontId="6" fillId="0" borderId="0" xfId="0" applyNumberFormat="1" applyFont="1" applyFill="1"/>
    <xf numFmtId="168" fontId="6" fillId="0" borderId="97" xfId="0" applyNumberFormat="1" applyFont="1" applyFill="1" applyBorder="1" applyAlignment="1">
      <alignment horizontal="left"/>
    </xf>
    <xf numFmtId="168" fontId="6" fillId="0" borderId="11" xfId="0" applyNumberFormat="1" applyFont="1" applyFill="1" applyBorder="1" applyAlignment="1">
      <alignment horizontal="right"/>
    </xf>
    <xf numFmtId="168" fontId="6" fillId="0" borderId="43" xfId="0" applyNumberFormat="1" applyFont="1" applyFill="1" applyBorder="1"/>
    <xf numFmtId="168" fontId="5" fillId="0" borderId="98" xfId="0" applyNumberFormat="1" applyFont="1" applyFill="1" applyBorder="1"/>
    <xf numFmtId="168" fontId="6" fillId="0" borderId="99" xfId="0" applyNumberFormat="1" applyFont="1" applyFill="1" applyBorder="1" applyAlignment="1">
      <alignment horizontal="left"/>
    </xf>
    <xf numFmtId="168" fontId="7" fillId="0" borderId="100" xfId="0" applyNumberFormat="1" applyFont="1" applyFill="1" applyBorder="1"/>
    <xf numFmtId="168" fontId="6" fillId="0" borderId="100" xfId="0" applyNumberFormat="1" applyFont="1" applyFill="1" applyBorder="1"/>
    <xf numFmtId="168" fontId="6" fillId="0" borderId="101" xfId="0" applyNumberFormat="1" applyFont="1" applyFill="1" applyBorder="1"/>
    <xf numFmtId="168" fontId="12" fillId="0" borderId="100" xfId="0" applyNumberFormat="1" applyFont="1" applyFill="1" applyBorder="1"/>
    <xf numFmtId="168" fontId="5" fillId="0" borderId="100" xfId="0" applyNumberFormat="1" applyFont="1" applyFill="1" applyBorder="1"/>
    <xf numFmtId="168" fontId="5" fillId="0" borderId="102" xfId="0" applyNumberFormat="1" applyFont="1" applyFill="1" applyBorder="1"/>
    <xf numFmtId="168" fontId="12" fillId="0" borderId="0" xfId="0" applyNumberFormat="1" applyFont="1" applyFill="1" applyBorder="1"/>
    <xf numFmtId="168" fontId="12" fillId="0" borderId="102" xfId="0" applyNumberFormat="1" applyFont="1" applyFill="1" applyBorder="1"/>
    <xf numFmtId="168" fontId="6" fillId="0" borderId="103" xfId="0" applyNumberFormat="1" applyFont="1" applyFill="1" applyBorder="1"/>
    <xf numFmtId="168" fontId="6" fillId="0" borderId="104" xfId="0" applyNumberFormat="1" applyFont="1" applyFill="1" applyBorder="1"/>
    <xf numFmtId="168" fontId="6" fillId="0" borderId="105" xfId="0" applyNumberFormat="1" applyFont="1" applyFill="1" applyBorder="1"/>
    <xf numFmtId="168" fontId="6" fillId="0" borderId="106" xfId="0" applyNumberFormat="1" applyFont="1" applyFill="1" applyBorder="1"/>
    <xf numFmtId="168" fontId="6" fillId="0" borderId="107" xfId="0" applyNumberFormat="1" applyFont="1" applyFill="1" applyBorder="1"/>
    <xf numFmtId="168" fontId="6" fillId="0" borderId="108" xfId="0" applyNumberFormat="1" applyFont="1" applyFill="1" applyBorder="1"/>
    <xf numFmtId="168" fontId="6" fillId="0" borderId="110" xfId="0" applyNumberFormat="1" applyFont="1" applyFill="1" applyBorder="1"/>
    <xf numFmtId="168" fontId="6" fillId="0" borderId="111" xfId="0" applyNumberFormat="1" applyFont="1" applyFill="1" applyBorder="1"/>
    <xf numFmtId="168" fontId="6" fillId="0" borderId="112" xfId="0" applyNumberFormat="1" applyFont="1" applyFill="1" applyBorder="1" applyAlignment="1">
      <alignment horizontal="center"/>
    </xf>
    <xf numFmtId="168" fontId="6" fillId="0" borderId="84" xfId="0" applyNumberFormat="1" applyFont="1" applyFill="1" applyBorder="1" applyAlignment="1">
      <alignment horizontal="centerContinuous"/>
    </xf>
    <xf numFmtId="168" fontId="6" fillId="0" borderId="62" xfId="0" applyNumberFormat="1" applyFont="1" applyFill="1" applyBorder="1" applyAlignment="1">
      <alignment horizontal="centerContinuous"/>
    </xf>
    <xf numFmtId="168" fontId="6" fillId="0" borderId="61" xfId="0" applyNumberFormat="1" applyFont="1" applyFill="1" applyBorder="1" applyAlignment="1">
      <alignment horizontal="center"/>
    </xf>
    <xf numFmtId="168" fontId="6" fillId="0" borderId="76" xfId="0" applyNumberFormat="1" applyFont="1" applyFill="1" applyBorder="1" applyAlignment="1">
      <alignment horizontal="center"/>
    </xf>
    <xf numFmtId="168" fontId="6" fillId="0" borderId="67" xfId="0" applyNumberFormat="1" applyFont="1" applyFill="1" applyBorder="1" applyAlignment="1">
      <alignment horizontal="center" wrapText="1"/>
    </xf>
    <xf numFmtId="168" fontId="6" fillId="0" borderId="14" xfId="0" applyNumberFormat="1" applyFont="1" applyFill="1" applyBorder="1" applyAlignment="1">
      <alignment horizontal="center" wrapText="1"/>
    </xf>
    <xf numFmtId="168" fontId="6" fillId="0" borderId="78" xfId="0" applyNumberFormat="1" applyFont="1" applyFill="1" applyBorder="1" applyAlignment="1">
      <alignment horizontal="center" wrapText="1"/>
    </xf>
    <xf numFmtId="168" fontId="6" fillId="0" borderId="76" xfId="0" applyNumberFormat="1" applyFont="1" applyFill="1" applyBorder="1" applyAlignment="1">
      <alignment horizontal="center" wrapText="1"/>
    </xf>
    <xf numFmtId="168" fontId="25" fillId="0" borderId="0" xfId="0" applyNumberFormat="1" applyFont="1" applyFill="1"/>
    <xf numFmtId="0" fontId="6" fillId="0" borderId="16" xfId="0" applyFont="1" applyFill="1" applyBorder="1" applyAlignment="1">
      <alignment horizontal="center"/>
    </xf>
    <xf numFmtId="168" fontId="6" fillId="0" borderId="17" xfId="0" quotePrefix="1" applyNumberFormat="1" applyFont="1" applyBorder="1" applyAlignment="1">
      <alignment horizontal="center" wrapText="1"/>
    </xf>
    <xf numFmtId="0" fontId="25" fillId="0" borderId="4" xfId="0" applyFont="1" applyBorder="1" applyAlignment="1">
      <alignment horizontal="center"/>
    </xf>
    <xf numFmtId="0" fontId="6" fillId="0" borderId="0" xfId="0" applyFont="1" applyFill="1" applyBorder="1"/>
    <xf numFmtId="0" fontId="6" fillId="0" borderId="4" xfId="0" applyFont="1" applyBorder="1"/>
    <xf numFmtId="0" fontId="25" fillId="0" borderId="4" xfId="0" applyFont="1" applyBorder="1"/>
    <xf numFmtId="3" fontId="25" fillId="0" borderId="4" xfId="0" applyNumberFormat="1" applyFont="1" applyBorder="1"/>
    <xf numFmtId="3" fontId="0" fillId="0" borderId="3" xfId="0" applyNumberFormat="1" applyBorder="1"/>
    <xf numFmtId="0" fontId="5" fillId="0" borderId="4" xfId="0" applyFont="1" applyBorder="1"/>
    <xf numFmtId="3" fontId="0" fillId="0" borderId="4" xfId="0" applyNumberFormat="1" applyBorder="1"/>
    <xf numFmtId="0" fontId="5" fillId="0" borderId="4" xfId="0" applyFont="1" applyBorder="1" applyAlignment="1">
      <alignment horizontal="center"/>
    </xf>
    <xf numFmtId="0" fontId="6" fillId="0" borderId="4" xfId="0" applyFont="1" applyFill="1" applyBorder="1"/>
    <xf numFmtId="168" fontId="18" fillId="0" borderId="0" xfId="0" applyNumberFormat="1" applyFont="1" applyFill="1" applyBorder="1"/>
    <xf numFmtId="0" fontId="0" fillId="0" borderId="15" xfId="0" applyBorder="1"/>
    <xf numFmtId="1" fontId="0" fillId="0" borderId="15" xfId="0" applyNumberFormat="1" applyBorder="1"/>
    <xf numFmtId="0" fontId="0" fillId="0" borderId="114" xfId="0" applyBorder="1"/>
    <xf numFmtId="3" fontId="0" fillId="0" borderId="115" xfId="0" applyNumberFormat="1" applyBorder="1"/>
    <xf numFmtId="0" fontId="6" fillId="0" borderId="116" xfId="0" applyFont="1" applyBorder="1"/>
    <xf numFmtId="3" fontId="6" fillId="0" borderId="74" xfId="0" applyNumberFormat="1" applyFont="1" applyBorder="1" applyAlignment="1">
      <alignment horizontal="center"/>
    </xf>
    <xf numFmtId="3" fontId="6" fillId="0" borderId="69" xfId="0" applyNumberFormat="1" applyFont="1" applyBorder="1" applyAlignment="1">
      <alignment horizontal="center"/>
    </xf>
    <xf numFmtId="168" fontId="5" fillId="0" borderId="117" xfId="0" applyNumberFormat="1" applyFont="1" applyFill="1" applyBorder="1"/>
    <xf numFmtId="3" fontId="0" fillId="0" borderId="117" xfId="0" applyNumberFormat="1" applyBorder="1"/>
    <xf numFmtId="0" fontId="0" fillId="0" borderId="8" xfId="0" applyBorder="1"/>
    <xf numFmtId="0" fontId="6" fillId="0" borderId="74" xfId="0" applyFont="1" applyBorder="1" applyAlignment="1">
      <alignment horizontal="center"/>
    </xf>
    <xf numFmtId="0" fontId="6" fillId="0" borderId="116" xfId="0" applyFont="1" applyBorder="1" applyAlignment="1">
      <alignment horizontal="center"/>
    </xf>
    <xf numFmtId="168" fontId="6" fillId="0" borderId="37" xfId="0" applyNumberFormat="1" applyFont="1" applyFill="1" applyBorder="1"/>
    <xf numFmtId="38" fontId="6" fillId="0" borderId="37" xfId="0" applyNumberFormat="1" applyFont="1" applyBorder="1"/>
    <xf numFmtId="38" fontId="6" fillId="0" borderId="29" xfId="0" applyNumberFormat="1" applyFont="1" applyBorder="1"/>
    <xf numFmtId="38" fontId="6" fillId="0" borderId="30" xfId="0" applyNumberFormat="1" applyFont="1" applyBorder="1"/>
    <xf numFmtId="168" fontId="6" fillId="0" borderId="118" xfId="0" applyNumberFormat="1" applyFont="1" applyFill="1" applyBorder="1"/>
    <xf numFmtId="168" fontId="6" fillId="0" borderId="119" xfId="0" applyNumberFormat="1" applyFont="1" applyFill="1" applyBorder="1"/>
    <xf numFmtId="168" fontId="6" fillId="0" borderId="120" xfId="0" applyNumberFormat="1" applyFont="1" applyFill="1" applyBorder="1"/>
    <xf numFmtId="168" fontId="6" fillId="0" borderId="121" xfId="0" applyNumberFormat="1" applyFont="1" applyFill="1" applyBorder="1"/>
    <xf numFmtId="0" fontId="6" fillId="0" borderId="69" xfId="0" applyFont="1" applyBorder="1" applyAlignment="1">
      <alignment horizontal="center"/>
    </xf>
    <xf numFmtId="0" fontId="0" fillId="0" borderId="34" xfId="0" applyBorder="1"/>
    <xf numFmtId="0" fontId="0" fillId="0" borderId="16" xfId="0" applyBorder="1"/>
    <xf numFmtId="0" fontId="6" fillId="0" borderId="28" xfId="0" applyFont="1" applyBorder="1"/>
    <xf numFmtId="0" fontId="5" fillId="0" borderId="28" xfId="0" applyFont="1" applyBorder="1"/>
    <xf numFmtId="0" fontId="0" fillId="0" borderId="28" xfId="0" applyBorder="1"/>
    <xf numFmtId="168" fontId="28" fillId="0" borderId="0" xfId="0" applyNumberFormat="1" applyFont="1" applyFill="1"/>
    <xf numFmtId="168" fontId="28" fillId="0" borderId="0" xfId="0" applyNumberFormat="1" applyFont="1" applyFill="1" applyBorder="1"/>
    <xf numFmtId="168" fontId="28" fillId="0" borderId="0" xfId="0" applyNumberFormat="1" applyFont="1" applyFill="1" applyBorder="1" applyAlignment="1"/>
    <xf numFmtId="168" fontId="27" fillId="0" borderId="0" xfId="0" applyNumberFormat="1" applyFont="1" applyFill="1" applyBorder="1"/>
    <xf numFmtId="168" fontId="27" fillId="0" borderId="3" xfId="0" applyNumberFormat="1" applyFont="1" applyFill="1" applyBorder="1"/>
    <xf numFmtId="0" fontId="28" fillId="0" borderId="3" xfId="0" applyNumberFormat="1" applyFont="1" applyFill="1" applyBorder="1" applyAlignment="1">
      <alignment horizontal="center"/>
    </xf>
    <xf numFmtId="168" fontId="27" fillId="0" borderId="3" xfId="0" applyNumberFormat="1" applyFont="1" applyFill="1" applyBorder="1" applyAlignment="1"/>
    <xf numFmtId="168" fontId="28" fillId="0" borderId="3" xfId="0" applyNumberFormat="1" applyFont="1" applyFill="1" applyBorder="1"/>
    <xf numFmtId="168" fontId="28" fillId="0" borderId="16" xfId="0" applyNumberFormat="1" applyFont="1" applyFill="1" applyBorder="1"/>
    <xf numFmtId="168" fontId="27" fillId="0" borderId="29" xfId="0" applyNumberFormat="1" applyFont="1" applyFill="1" applyBorder="1"/>
    <xf numFmtId="168" fontId="27" fillId="0" borderId="30" xfId="0" applyNumberFormat="1" applyFont="1" applyFill="1" applyBorder="1" applyAlignment="1"/>
    <xf numFmtId="168" fontId="27" fillId="0" borderId="11" xfId="0" applyNumberFormat="1" applyFont="1" applyFill="1" applyBorder="1"/>
    <xf numFmtId="0" fontId="28" fillId="0" borderId="11" xfId="0" applyNumberFormat="1" applyFont="1" applyFill="1" applyBorder="1" applyAlignment="1">
      <alignment horizontal="center"/>
    </xf>
    <xf numFmtId="168" fontId="27" fillId="0" borderId="5" xfId="0" applyNumberFormat="1" applyFont="1" applyFill="1" applyBorder="1" applyAlignment="1">
      <alignment horizontal="left"/>
    </xf>
    <xf numFmtId="168" fontId="27" fillId="0" borderId="11" xfId="0" applyNumberFormat="1" applyFont="1" applyFill="1" applyBorder="1" applyAlignment="1"/>
    <xf numFmtId="168" fontId="28" fillId="0" borderId="11" xfId="0" applyNumberFormat="1" applyFont="1" applyFill="1" applyBorder="1"/>
    <xf numFmtId="168" fontId="28" fillId="0" borderId="20" xfId="0" applyNumberFormat="1" applyFont="1" applyFill="1" applyBorder="1"/>
    <xf numFmtId="0" fontId="28" fillId="0" borderId="0" xfId="0" applyNumberFormat="1" applyFont="1" applyFill="1" applyBorder="1" applyAlignment="1">
      <alignment horizontal="center"/>
    </xf>
    <xf numFmtId="168" fontId="27" fillId="0" borderId="0" xfId="0" applyNumberFormat="1" applyFont="1" applyFill="1" applyBorder="1" applyAlignment="1">
      <alignment horizontal="left"/>
    </xf>
    <xf numFmtId="168" fontId="27" fillId="0" borderId="38" xfId="0" applyNumberFormat="1" applyFont="1" applyFill="1" applyBorder="1" applyAlignment="1"/>
    <xf numFmtId="168" fontId="28" fillId="0" borderId="0" xfId="0" applyNumberFormat="1" applyFont="1" applyFill="1" applyBorder="1" applyAlignment="1">
      <alignment horizontal="left"/>
    </xf>
    <xf numFmtId="0" fontId="27" fillId="0" borderId="17" xfId="0" quotePrefix="1" applyNumberFormat="1" applyFont="1" applyBorder="1" applyAlignment="1">
      <alignment horizontal="center"/>
    </xf>
    <xf numFmtId="168" fontId="28" fillId="0" borderId="6" xfId="0" applyNumberFormat="1" applyFont="1" applyBorder="1"/>
    <xf numFmtId="168" fontId="28" fillId="0" borderId="0" xfId="0" applyNumberFormat="1" applyFont="1"/>
    <xf numFmtId="168" fontId="28" fillId="0" borderId="3" xfId="0" applyNumberFormat="1" applyFont="1" applyFill="1" applyBorder="1" applyAlignment="1">
      <alignment horizontal="center"/>
    </xf>
    <xf numFmtId="168" fontId="28" fillId="0" borderId="3" xfId="0" applyNumberFormat="1" applyFont="1" applyFill="1" applyBorder="1" applyAlignment="1"/>
    <xf numFmtId="168" fontId="27" fillId="0" borderId="4" xfId="0" applyNumberFormat="1" applyFont="1" applyFill="1" applyBorder="1" applyAlignment="1"/>
    <xf numFmtId="0" fontId="6" fillId="0" borderId="18" xfId="0" quotePrefix="1" applyNumberFormat="1" applyFont="1" applyBorder="1" applyAlignment="1">
      <alignment horizontal="center"/>
    </xf>
    <xf numFmtId="168" fontId="5" fillId="0" borderId="7" xfId="0" applyNumberFormat="1" applyFont="1" applyFill="1" applyBorder="1"/>
    <xf numFmtId="0" fontId="13" fillId="0" borderId="0" xfId="0" applyFont="1" applyAlignment="1">
      <alignment horizontal="left"/>
    </xf>
    <xf numFmtId="3" fontId="0" fillId="0" borderId="0" xfId="0" applyNumberFormat="1" applyFill="1" applyAlignment="1">
      <alignment horizontal="right"/>
    </xf>
    <xf numFmtId="168" fontId="6" fillId="0" borderId="40" xfId="0" applyNumberFormat="1" applyFont="1" applyFill="1" applyBorder="1" applyAlignment="1">
      <alignment horizontal="center"/>
    </xf>
    <xf numFmtId="168" fontId="19" fillId="0" borderId="0" xfId="0" applyNumberFormat="1" applyFont="1"/>
    <xf numFmtId="168" fontId="5" fillId="0" borderId="13" xfId="0" applyNumberFormat="1" applyFont="1" applyFill="1" applyBorder="1" applyAlignment="1">
      <alignment horizontal="right"/>
    </xf>
    <xf numFmtId="168" fontId="5" fillId="0" borderId="8" xfId="0" applyNumberFormat="1" applyFont="1" applyFill="1" applyBorder="1" applyAlignment="1">
      <alignment horizontal="right"/>
    </xf>
    <xf numFmtId="1" fontId="7" fillId="0" borderId="124" xfId="0" applyNumberFormat="1" applyFont="1" applyFill="1" applyBorder="1" applyAlignment="1">
      <alignment horizontal="left"/>
    </xf>
    <xf numFmtId="168" fontId="6" fillId="0" borderId="125" xfId="0" applyNumberFormat="1" applyFont="1" applyFill="1" applyBorder="1"/>
    <xf numFmtId="1" fontId="7" fillId="0" borderId="0" xfId="0" applyNumberFormat="1" applyFont="1" applyFill="1" applyBorder="1" applyAlignment="1">
      <alignment horizontal="left"/>
    </xf>
    <xf numFmtId="1" fontId="5" fillId="0" borderId="0" xfId="0" applyNumberFormat="1" applyFont="1" applyFill="1" applyBorder="1" applyAlignment="1"/>
    <xf numFmtId="168" fontId="6" fillId="0" borderId="29" xfId="0" quotePrefix="1" applyNumberFormat="1" applyFont="1" applyBorder="1" applyAlignment="1">
      <alignment horizontal="center"/>
    </xf>
    <xf numFmtId="1" fontId="6" fillId="0" borderId="90" xfId="0" applyNumberFormat="1" applyFont="1" applyFill="1" applyBorder="1" applyAlignment="1">
      <alignment horizontal="center"/>
    </xf>
    <xf numFmtId="168" fontId="7" fillId="0" borderId="124" xfId="0" applyNumberFormat="1" applyFont="1" applyFill="1" applyBorder="1" applyAlignment="1">
      <alignment horizontal="left"/>
    </xf>
    <xf numFmtId="168" fontId="7" fillId="0" borderId="3" xfId="0" applyNumberFormat="1" applyFont="1" applyFill="1" applyBorder="1" applyAlignment="1">
      <alignment horizontal="left"/>
    </xf>
    <xf numFmtId="1" fontId="6" fillId="0" borderId="124" xfId="0" applyNumberFormat="1" applyFont="1" applyFill="1" applyBorder="1" applyAlignment="1">
      <alignment horizontal="center"/>
    </xf>
    <xf numFmtId="168" fontId="7" fillId="0" borderId="94" xfId="0" applyNumberFormat="1" applyFont="1" applyFill="1" applyBorder="1" applyAlignment="1">
      <alignment horizontal="left"/>
    </xf>
    <xf numFmtId="168" fontId="6" fillId="0" borderId="126" xfId="0" applyNumberFormat="1" applyFont="1" applyFill="1" applyBorder="1"/>
    <xf numFmtId="1" fontId="5" fillId="0" borderId="0" xfId="0" applyNumberFormat="1" applyFont="1" applyFill="1"/>
    <xf numFmtId="168" fontId="6" fillId="0" borderId="90" xfId="0" applyNumberFormat="1" applyFont="1" applyFill="1" applyBorder="1" applyAlignment="1">
      <alignment horizontal="center"/>
    </xf>
    <xf numFmtId="168" fontId="7" fillId="0" borderId="0" xfId="0" applyNumberFormat="1" applyFont="1" applyFill="1" applyBorder="1" applyAlignment="1">
      <alignment horizontal="left"/>
    </xf>
    <xf numFmtId="0" fontId="6" fillId="0" borderId="90" xfId="0" applyNumberFormat="1" applyFont="1" applyFill="1" applyBorder="1" applyAlignment="1">
      <alignment horizontal="center"/>
    </xf>
    <xf numFmtId="168" fontId="7" fillId="0" borderId="11" xfId="0" applyNumberFormat="1" applyFont="1" applyFill="1" applyBorder="1" applyAlignment="1">
      <alignment horizontal="left"/>
    </xf>
    <xf numFmtId="168" fontId="5" fillId="0" borderId="3" xfId="0" applyNumberFormat="1" applyFont="1" applyBorder="1" applyAlignment="1">
      <alignment horizontal="left"/>
    </xf>
    <xf numFmtId="0" fontId="6" fillId="0" borderId="124" xfId="0" applyNumberFormat="1" applyFont="1" applyFill="1" applyBorder="1" applyAlignment="1">
      <alignment horizontal="center"/>
    </xf>
    <xf numFmtId="0" fontId="5" fillId="0" borderId="0" xfId="0" applyNumberFormat="1" applyFont="1" applyFill="1"/>
    <xf numFmtId="0" fontId="5" fillId="0" borderId="4" xfId="0" applyFont="1" applyFill="1" applyBorder="1"/>
    <xf numFmtId="168" fontId="6" fillId="0" borderId="3" xfId="0" quotePrefix="1" applyNumberFormat="1" applyFont="1" applyBorder="1" applyAlignment="1">
      <alignment horizontal="center"/>
    </xf>
    <xf numFmtId="168" fontId="6" fillId="0" borderId="16" xfId="0" quotePrefix="1" applyNumberFormat="1" applyFont="1" applyBorder="1" applyAlignment="1">
      <alignment horizontal="center"/>
    </xf>
    <xf numFmtId="168" fontId="6" fillId="0" borderId="4" xfId="0" quotePrefix="1" applyNumberFormat="1" applyFont="1" applyBorder="1" applyAlignment="1">
      <alignment horizontal="center"/>
    </xf>
    <xf numFmtId="0" fontId="6" fillId="0" borderId="94" xfId="0" applyNumberFormat="1" applyFont="1" applyFill="1" applyBorder="1" applyAlignment="1">
      <alignment horizontal="center"/>
    </xf>
    <xf numFmtId="168" fontId="27" fillId="0" borderId="35" xfId="0" applyNumberFormat="1" applyFont="1" applyFill="1" applyBorder="1"/>
    <xf numFmtId="168" fontId="27" fillId="0" borderId="18" xfId="0" quotePrefix="1" applyNumberFormat="1" applyFont="1" applyBorder="1" applyAlignment="1">
      <alignment horizontal="center"/>
    </xf>
    <xf numFmtId="168" fontId="27" fillId="0" borderId="2" xfId="0" quotePrefix="1" applyNumberFormat="1" applyFont="1" applyBorder="1" applyAlignment="1">
      <alignment horizontal="center"/>
    </xf>
    <xf numFmtId="168" fontId="27" fillId="0" borderId="16" xfId="0" applyNumberFormat="1" applyFont="1" applyFill="1" applyBorder="1"/>
    <xf numFmtId="0" fontId="5" fillId="0" borderId="0" xfId="0" applyNumberFormat="1" applyFont="1" applyFill="1" applyBorder="1"/>
    <xf numFmtId="168" fontId="18" fillId="0" borderId="0" xfId="0" applyNumberFormat="1" applyFont="1" applyFill="1" applyBorder="1" applyAlignment="1">
      <alignment horizontal="center" vertical="center"/>
    </xf>
    <xf numFmtId="0" fontId="5" fillId="0" borderId="4" xfId="0" applyNumberFormat="1" applyFont="1" applyFill="1" applyBorder="1" applyAlignment="1"/>
    <xf numFmtId="168" fontId="6" fillId="0" borderId="44" xfId="0" applyNumberFormat="1" applyFont="1" applyBorder="1"/>
    <xf numFmtId="0" fontId="5" fillId="0" borderId="38" xfId="0" applyNumberFormat="1" applyFont="1" applyFill="1" applyBorder="1" applyAlignment="1">
      <alignment horizontal="center"/>
    </xf>
    <xf numFmtId="168" fontId="6" fillId="0" borderId="38" xfId="0" applyNumberFormat="1" applyFont="1" applyFill="1" applyBorder="1" applyAlignment="1">
      <alignment horizontal="left"/>
    </xf>
    <xf numFmtId="168" fontId="6" fillId="0" borderId="38" xfId="0" applyNumberFormat="1" applyFont="1" applyFill="1" applyBorder="1" applyAlignment="1">
      <alignment horizontal="center"/>
    </xf>
    <xf numFmtId="168" fontId="23" fillId="0" borderId="0" xfId="0" applyNumberFormat="1" applyFont="1" applyFill="1" applyBorder="1"/>
    <xf numFmtId="166" fontId="23" fillId="0" borderId="0" xfId="1" applyNumberFormat="1" applyFont="1" applyFill="1" applyBorder="1"/>
    <xf numFmtId="9" fontId="5" fillId="0" borderId="0" xfId="4" applyFont="1" applyFill="1"/>
    <xf numFmtId="168" fontId="6" fillId="0" borderId="124" xfId="0" applyNumberFormat="1" applyFont="1" applyFill="1" applyBorder="1" applyAlignment="1">
      <alignment horizontal="center"/>
    </xf>
    <xf numFmtId="168" fontId="6" fillId="0" borderId="16" xfId="0" quotePrefix="1" applyNumberFormat="1" applyFont="1" applyFill="1" applyBorder="1" applyAlignment="1">
      <alignment horizontal="center"/>
    </xf>
    <xf numFmtId="168" fontId="6" fillId="0" borderId="45" xfId="0" quotePrefix="1" applyNumberFormat="1" applyFont="1" applyBorder="1" applyAlignment="1">
      <alignment horizontal="center"/>
    </xf>
    <xf numFmtId="49" fontId="28" fillId="0" borderId="0" xfId="0" applyNumberFormat="1" applyFont="1" applyFill="1"/>
    <xf numFmtId="168" fontId="6" fillId="0" borderId="0" xfId="0" applyNumberFormat="1" applyFont="1" applyBorder="1" applyAlignment="1">
      <alignment horizontal="left"/>
    </xf>
    <xf numFmtId="168" fontId="2" fillId="0" borderId="42" xfId="0" applyNumberFormat="1" applyFont="1" applyFill="1" applyBorder="1" applyAlignment="1">
      <alignment horizontal="center"/>
    </xf>
    <xf numFmtId="168" fontId="2" fillId="0" borderId="0" xfId="0" applyNumberFormat="1" applyFont="1" applyFill="1" applyBorder="1" applyAlignment="1">
      <alignment horizontal="center"/>
    </xf>
    <xf numFmtId="0" fontId="5" fillId="0" borderId="3" xfId="0" applyFont="1" applyFill="1" applyBorder="1"/>
    <xf numFmtId="168" fontId="5" fillId="0" borderId="129" xfId="0" applyNumberFormat="1" applyFont="1" applyFill="1" applyBorder="1"/>
    <xf numFmtId="168" fontId="6" fillId="0" borderId="61" xfId="0" applyNumberFormat="1" applyFont="1" applyFill="1" applyBorder="1" applyAlignment="1">
      <alignment horizontal="center" wrapText="1"/>
    </xf>
    <xf numFmtId="168" fontId="2" fillId="0" borderId="112" xfId="0" applyNumberFormat="1" applyFont="1" applyFill="1" applyBorder="1" applyAlignment="1">
      <alignment horizontal="center"/>
    </xf>
    <xf numFmtId="1" fontId="5" fillId="0" borderId="19" xfId="0" applyNumberFormat="1" applyFont="1" applyFill="1" applyBorder="1" applyAlignment="1">
      <alignment horizontal="center"/>
    </xf>
    <xf numFmtId="168" fontId="25" fillId="0" borderId="68" xfId="0" applyNumberFormat="1" applyFont="1" applyFill="1" applyBorder="1"/>
    <xf numFmtId="168" fontId="2" fillId="0" borderId="29" xfId="0" applyNumberFormat="1" applyFont="1" applyFill="1" applyBorder="1" applyAlignment="1">
      <alignment horizontal="center"/>
    </xf>
    <xf numFmtId="168" fontId="6" fillId="0" borderId="131" xfId="0" applyNumberFormat="1" applyFont="1" applyFill="1" applyBorder="1"/>
    <xf numFmtId="0" fontId="6" fillId="0" borderId="3" xfId="0" applyFont="1" applyBorder="1"/>
    <xf numFmtId="0" fontId="0" fillId="0" borderId="97" xfId="0" applyBorder="1"/>
    <xf numFmtId="0" fontId="0" fillId="0" borderId="20" xfId="0" applyBorder="1"/>
    <xf numFmtId="168" fontId="2" fillId="0" borderId="27" xfId="0" quotePrefix="1" applyNumberFormat="1" applyFont="1" applyBorder="1" applyAlignment="1">
      <alignment horizontal="center"/>
    </xf>
    <xf numFmtId="168" fontId="2" fillId="0" borderId="85" xfId="0" applyNumberFormat="1" applyFont="1" applyFill="1" applyBorder="1" applyAlignment="1">
      <alignment horizontal="center"/>
    </xf>
    <xf numFmtId="168" fontId="5" fillId="0" borderId="49" xfId="0" applyNumberFormat="1" applyFont="1" applyFill="1" applyBorder="1" applyAlignment="1">
      <alignment horizontal="right"/>
    </xf>
    <xf numFmtId="168" fontId="2" fillId="2" borderId="56" xfId="0" applyNumberFormat="1" applyFont="1" applyFill="1" applyBorder="1"/>
    <xf numFmtId="168" fontId="2" fillId="2" borderId="58" xfId="0" applyNumberFormat="1" applyFont="1" applyFill="1" applyBorder="1"/>
    <xf numFmtId="168" fontId="2" fillId="2" borderId="0" xfId="0" applyNumberFormat="1" applyFont="1" applyFill="1"/>
    <xf numFmtId="168" fontId="13" fillId="0" borderId="0" xfId="0" applyNumberFormat="1" applyFont="1" applyFill="1"/>
    <xf numFmtId="0" fontId="0" fillId="0" borderId="0" xfId="0" applyFill="1" applyBorder="1" applyAlignment="1">
      <alignment horizontal="left"/>
    </xf>
    <xf numFmtId="0" fontId="0" fillId="0" borderId="0" xfId="0" applyFill="1" applyAlignment="1">
      <alignment horizontal="left"/>
    </xf>
    <xf numFmtId="168" fontId="5" fillId="0" borderId="18" xfId="0" applyNumberFormat="1" applyFont="1" applyFill="1" applyBorder="1" applyAlignment="1">
      <alignment horizontal="right"/>
    </xf>
    <xf numFmtId="0" fontId="6" fillId="0" borderId="19" xfId="0" applyNumberFormat="1" applyFont="1" applyFill="1" applyBorder="1"/>
    <xf numFmtId="1" fontId="6" fillId="0" borderId="19" xfId="0" applyNumberFormat="1" applyFont="1" applyFill="1" applyBorder="1"/>
    <xf numFmtId="168" fontId="4" fillId="0" borderId="38" xfId="0" applyNumberFormat="1" applyFont="1" applyBorder="1" applyAlignment="1">
      <alignment horizontal="left"/>
    </xf>
    <xf numFmtId="168" fontId="5" fillId="0" borderId="117" xfId="0" applyNumberFormat="1" applyFont="1" applyFill="1" applyBorder="1" applyAlignment="1">
      <alignment horizontal="center"/>
    </xf>
    <xf numFmtId="9" fontId="5" fillId="0" borderId="3" xfId="4" applyFont="1" applyFill="1" applyBorder="1" applyAlignment="1">
      <alignment horizontal="center"/>
    </xf>
    <xf numFmtId="9" fontId="5" fillId="0" borderId="3" xfId="4" applyFont="1" applyFill="1" applyBorder="1"/>
    <xf numFmtId="1" fontId="6" fillId="0" borderId="15" xfId="0" quotePrefix="1" applyNumberFormat="1" applyFont="1" applyFill="1" applyBorder="1" applyAlignment="1">
      <alignment horizontal="left"/>
    </xf>
    <xf numFmtId="168" fontId="2" fillId="0" borderId="49" xfId="0" applyNumberFormat="1" applyFont="1" applyFill="1" applyBorder="1" applyAlignment="1">
      <alignment horizontal="center"/>
    </xf>
    <xf numFmtId="168" fontId="2" fillId="0" borderId="98" xfId="0" applyNumberFormat="1" applyFont="1" applyFill="1" applyBorder="1"/>
    <xf numFmtId="168" fontId="6" fillId="0" borderId="100" xfId="0" applyNumberFormat="1" applyFont="1" applyFill="1" applyBorder="1" applyAlignment="1">
      <alignment horizontal="left"/>
    </xf>
    <xf numFmtId="168" fontId="5" fillId="0" borderId="100" xfId="0" applyNumberFormat="1" applyFont="1" applyFill="1" applyBorder="1" applyAlignment="1">
      <alignment horizontal="left"/>
    </xf>
    <xf numFmtId="168" fontId="6" fillId="0" borderId="109" xfId="0" applyNumberFormat="1" applyFont="1" applyFill="1" applyBorder="1" applyAlignment="1">
      <alignment horizontal="left"/>
    </xf>
    <xf numFmtId="168" fontId="12" fillId="0" borderId="100" xfId="0" applyNumberFormat="1" applyFont="1" applyFill="1" applyBorder="1" applyAlignment="1">
      <alignment horizontal="left"/>
    </xf>
    <xf numFmtId="168" fontId="14" fillId="0" borderId="100" xfId="0" applyNumberFormat="1" applyFont="1" applyFill="1" applyBorder="1" applyAlignment="1">
      <alignment horizontal="left"/>
    </xf>
    <xf numFmtId="168" fontId="6" fillId="0" borderId="102" xfId="0" applyNumberFormat="1" applyFont="1" applyFill="1" applyBorder="1" applyAlignment="1">
      <alignment horizontal="left"/>
    </xf>
    <xf numFmtId="168" fontId="2" fillId="0" borderId="100" xfId="0" applyNumberFormat="1" applyFont="1" applyFill="1" applyBorder="1"/>
    <xf numFmtId="38" fontId="5" fillId="0" borderId="11" xfId="0" applyNumberFormat="1" applyFont="1" applyFill="1" applyBorder="1"/>
    <xf numFmtId="168" fontId="5" fillId="0" borderId="135" xfId="0" applyNumberFormat="1" applyFont="1" applyFill="1" applyBorder="1"/>
    <xf numFmtId="0" fontId="6" fillId="0" borderId="3" xfId="0" quotePrefix="1" applyNumberFormat="1" applyFont="1" applyBorder="1" applyAlignment="1">
      <alignment horizontal="center"/>
    </xf>
    <xf numFmtId="168" fontId="5" fillId="0" borderId="100" xfId="0" quotePrefix="1" applyNumberFormat="1" applyFont="1" applyFill="1" applyBorder="1"/>
    <xf numFmtId="168" fontId="4" fillId="2" borderId="3" xfId="0" applyNumberFormat="1" applyFont="1" applyFill="1" applyBorder="1"/>
    <xf numFmtId="168" fontId="4" fillId="2" borderId="16" xfId="0" applyNumberFormat="1" applyFont="1" applyFill="1" applyBorder="1"/>
    <xf numFmtId="168" fontId="4" fillId="2" borderId="0" xfId="0" applyNumberFormat="1" applyFont="1" applyFill="1"/>
    <xf numFmtId="168" fontId="2" fillId="0" borderId="4" xfId="0" applyNumberFormat="1" applyFont="1" applyFill="1" applyBorder="1" applyAlignment="1">
      <alignment horizontal="left"/>
    </xf>
    <xf numFmtId="168" fontId="2" fillId="0" borderId="4" xfId="0" applyNumberFormat="1" applyFont="1" applyBorder="1" applyAlignment="1">
      <alignment horizontal="left"/>
    </xf>
    <xf numFmtId="0" fontId="6" fillId="0" borderId="3" xfId="0" applyFont="1" applyFill="1" applyBorder="1"/>
    <xf numFmtId="0" fontId="5" fillId="0" borderId="3" xfId="0" applyNumberFormat="1" applyFont="1" applyFill="1" applyBorder="1" applyAlignment="1">
      <alignment horizontal="left"/>
    </xf>
    <xf numFmtId="0" fontId="6" fillId="0" borderId="3" xfId="0" applyNumberFormat="1" applyFont="1" applyFill="1" applyBorder="1" applyAlignment="1">
      <alignment horizontal="left"/>
    </xf>
    <xf numFmtId="168" fontId="5" fillId="0" borderId="3" xfId="0" quotePrefix="1" applyNumberFormat="1" applyFont="1" applyFill="1" applyBorder="1" applyAlignment="1">
      <alignment horizontal="left"/>
    </xf>
    <xf numFmtId="168" fontId="25" fillId="0" borderId="117" xfId="0" applyNumberFormat="1" applyFont="1" applyFill="1" applyBorder="1" applyAlignment="1">
      <alignment horizontal="left"/>
    </xf>
    <xf numFmtId="0" fontId="5" fillId="0" borderId="11" xfId="0" applyNumberFormat="1" applyFont="1" applyFill="1" applyBorder="1" applyAlignment="1">
      <alignment horizontal="left"/>
    </xf>
    <xf numFmtId="168" fontId="29" fillId="0" borderId="3" xfId="0" applyNumberFormat="1" applyFont="1" applyFill="1" applyBorder="1" applyAlignment="1">
      <alignment horizontal="left"/>
    </xf>
    <xf numFmtId="168" fontId="5" fillId="0" borderId="117" xfId="0" applyNumberFormat="1" applyFont="1" applyFill="1" applyBorder="1" applyAlignment="1">
      <alignment horizontal="left"/>
    </xf>
    <xf numFmtId="168" fontId="5" fillId="0" borderId="28" xfId="0" applyNumberFormat="1" applyFont="1" applyFill="1" applyBorder="1" applyAlignment="1">
      <alignment horizontal="right"/>
    </xf>
    <xf numFmtId="168" fontId="5" fillId="0" borderId="26" xfId="0" applyNumberFormat="1" applyFont="1" applyFill="1" applyBorder="1"/>
    <xf numFmtId="168" fontId="6" fillId="0" borderId="23" xfId="0" applyNumberFormat="1" applyFont="1" applyFill="1" applyBorder="1" applyAlignment="1">
      <alignment horizontal="right"/>
    </xf>
    <xf numFmtId="168" fontId="6" fillId="0" borderId="28" xfId="0" applyNumberFormat="1" applyFont="1" applyFill="1" applyBorder="1" applyAlignment="1">
      <alignment horizontal="right"/>
    </xf>
    <xf numFmtId="168" fontId="6" fillId="0" borderId="28" xfId="0" applyNumberFormat="1" applyFont="1" applyFill="1" applyBorder="1" applyAlignment="1">
      <alignment horizontal="center"/>
    </xf>
    <xf numFmtId="168" fontId="6" fillId="0" borderId="26" xfId="0" applyNumberFormat="1" applyFont="1" applyFill="1" applyBorder="1" applyAlignment="1">
      <alignment horizontal="center"/>
    </xf>
    <xf numFmtId="168" fontId="6" fillId="0" borderId="97" xfId="0" applyNumberFormat="1" applyFont="1" applyFill="1" applyBorder="1"/>
    <xf numFmtId="0" fontId="6" fillId="0" borderId="26" xfId="0" quotePrefix="1" applyNumberFormat="1" applyFont="1" applyBorder="1" applyAlignment="1">
      <alignment horizontal="center"/>
    </xf>
    <xf numFmtId="170" fontId="5" fillId="0" borderId="3" xfId="0" applyNumberFormat="1" applyFont="1" applyFill="1" applyBorder="1"/>
    <xf numFmtId="38" fontId="5" fillId="0" borderId="3" xfId="1" applyNumberFormat="1" applyFont="1" applyFill="1" applyBorder="1"/>
    <xf numFmtId="38" fontId="5" fillId="0" borderId="42" xfId="1" applyNumberFormat="1" applyFont="1" applyFill="1" applyBorder="1"/>
    <xf numFmtId="38" fontId="5" fillId="0" borderId="4" xfId="1" applyNumberFormat="1" applyFont="1" applyFill="1" applyBorder="1"/>
    <xf numFmtId="38" fontId="5" fillId="0" borderId="8" xfId="1" applyNumberFormat="1" applyFont="1" applyFill="1" applyBorder="1"/>
    <xf numFmtId="38" fontId="5" fillId="0" borderId="0" xfId="1" applyNumberFormat="1" applyFont="1" applyFill="1" applyBorder="1"/>
    <xf numFmtId="38" fontId="5" fillId="0" borderId="7" xfId="1" applyNumberFormat="1" applyFont="1" applyFill="1" applyBorder="1"/>
    <xf numFmtId="0" fontId="6" fillId="0" borderId="4" xfId="0" applyFont="1" applyFill="1" applyBorder="1" applyAlignment="1">
      <alignment horizontal="center"/>
    </xf>
    <xf numFmtId="0" fontId="6" fillId="0" borderId="49" xfId="0" applyFont="1" applyFill="1" applyBorder="1" applyAlignment="1">
      <alignment horizontal="center"/>
    </xf>
    <xf numFmtId="0" fontId="6" fillId="0" borderId="30" xfId="0" applyFont="1" applyFill="1" applyBorder="1" applyAlignment="1">
      <alignment horizontal="center"/>
    </xf>
    <xf numFmtId="168" fontId="14" fillId="0" borderId="49" xfId="0" applyNumberFormat="1" applyFont="1" applyFill="1" applyBorder="1"/>
    <xf numFmtId="168" fontId="6" fillId="0" borderId="28" xfId="0" applyNumberFormat="1" applyFont="1" applyFill="1" applyBorder="1" applyAlignment="1">
      <alignment horizontal="left"/>
    </xf>
    <xf numFmtId="168" fontId="5" fillId="0" borderId="28" xfId="0" applyNumberFormat="1" applyFont="1" applyFill="1" applyBorder="1" applyAlignment="1">
      <alignment horizontal="left"/>
    </xf>
    <xf numFmtId="38" fontId="5" fillId="0" borderId="11" xfId="1" applyNumberFormat="1" applyFont="1" applyFill="1" applyBorder="1"/>
    <xf numFmtId="38" fontId="5" fillId="0" borderId="141" xfId="1" applyNumberFormat="1" applyFont="1" applyFill="1" applyBorder="1"/>
    <xf numFmtId="38" fontId="5" fillId="0" borderId="77" xfId="1" applyNumberFormat="1" applyFont="1" applyFill="1" applyBorder="1"/>
    <xf numFmtId="38" fontId="5" fillId="0" borderId="5" xfId="1" applyNumberFormat="1" applyFont="1" applyFill="1" applyBorder="1"/>
    <xf numFmtId="38" fontId="5" fillId="0" borderId="134" xfId="1" applyNumberFormat="1" applyFont="1" applyFill="1" applyBorder="1"/>
    <xf numFmtId="9" fontId="0" fillId="0" borderId="0" xfId="0" applyNumberFormat="1"/>
    <xf numFmtId="171" fontId="5" fillId="0" borderId="3" xfId="0" applyNumberFormat="1" applyFont="1" applyBorder="1"/>
    <xf numFmtId="168" fontId="31" fillId="0" borderId="0" xfId="0" applyNumberFormat="1" applyFont="1" applyFill="1" applyBorder="1" applyAlignment="1">
      <alignment horizontal="left"/>
    </xf>
    <xf numFmtId="0" fontId="5" fillId="0" borderId="22" xfId="0" applyNumberFormat="1" applyFont="1" applyFill="1" applyBorder="1" applyAlignment="1">
      <alignment horizontal="center"/>
    </xf>
    <xf numFmtId="168" fontId="6" fillId="0" borderId="22" xfId="0" applyNumberFormat="1" applyFont="1" applyFill="1" applyBorder="1" applyAlignment="1">
      <alignment horizontal="left"/>
    </xf>
    <xf numFmtId="0" fontId="0" fillId="0" borderId="129" xfId="0" applyBorder="1"/>
    <xf numFmtId="168" fontId="6" fillId="0" borderId="93" xfId="0" applyNumberFormat="1" applyFont="1" applyFill="1" applyBorder="1" applyAlignment="1">
      <alignment horizontal="left"/>
    </xf>
    <xf numFmtId="168" fontId="6" fillId="0" borderId="15" xfId="0" applyNumberFormat="1" applyFont="1" applyBorder="1" applyAlignment="1">
      <alignment horizontal="center"/>
    </xf>
    <xf numFmtId="168" fontId="5" fillId="0" borderId="115" xfId="0" applyNumberFormat="1" applyFont="1" applyFill="1" applyBorder="1"/>
    <xf numFmtId="168" fontId="5" fillId="0" borderId="117" xfId="0" applyNumberFormat="1" applyFont="1" applyFill="1" applyBorder="1" applyAlignment="1"/>
    <xf numFmtId="168" fontId="5" fillId="0" borderId="115" xfId="0" applyNumberFormat="1" applyFont="1" applyFill="1" applyBorder="1" applyAlignment="1">
      <alignment horizontal="center"/>
    </xf>
    <xf numFmtId="168" fontId="5" fillId="0" borderId="115" xfId="0" applyNumberFormat="1" applyFont="1" applyFill="1" applyBorder="1" applyAlignment="1"/>
    <xf numFmtId="168" fontId="6" fillId="0" borderId="26" xfId="0" applyNumberFormat="1" applyFont="1" applyFill="1" applyBorder="1"/>
    <xf numFmtId="166" fontId="5" fillId="0" borderId="4" xfId="1" applyNumberFormat="1" applyFont="1" applyFill="1" applyBorder="1" applyAlignment="1"/>
    <xf numFmtId="168" fontId="5" fillId="0" borderId="4" xfId="0" applyNumberFormat="1" applyFont="1" applyBorder="1" applyAlignment="1">
      <alignment horizontal="center"/>
    </xf>
    <xf numFmtId="3" fontId="5" fillId="0" borderId="28" xfId="0" applyNumberFormat="1" applyFont="1" applyBorder="1"/>
    <xf numFmtId="168" fontId="6" fillId="0" borderId="90" xfId="0" applyNumberFormat="1" applyFont="1" applyFill="1" applyBorder="1" applyAlignment="1">
      <alignment horizontal="right"/>
    </xf>
    <xf numFmtId="168" fontId="6" fillId="0" borderId="27" xfId="0" quotePrefix="1" applyNumberFormat="1" applyFont="1" applyFill="1" applyBorder="1" applyAlignment="1">
      <alignment horizontal="center"/>
    </xf>
    <xf numFmtId="168" fontId="5" fillId="0" borderId="3" xfId="0" quotePrefix="1" applyNumberFormat="1" applyFont="1" applyBorder="1" applyAlignment="1">
      <alignment horizontal="right"/>
    </xf>
    <xf numFmtId="0" fontId="5" fillId="0" borderId="3" xfId="0" applyNumberFormat="1" applyFont="1" applyBorder="1" applyAlignment="1">
      <alignment horizontal="center"/>
    </xf>
    <xf numFmtId="14" fontId="5" fillId="0" borderId="5" xfId="0" applyNumberFormat="1" applyFont="1" applyFill="1" applyBorder="1" applyAlignment="1">
      <alignment horizontal="center"/>
    </xf>
    <xf numFmtId="9" fontId="6" fillId="0" borderId="0" xfId="4" applyFont="1" applyFill="1" applyBorder="1"/>
    <xf numFmtId="168" fontId="5" fillId="3" borderId="3" xfId="0" applyNumberFormat="1" applyFont="1" applyFill="1" applyBorder="1"/>
    <xf numFmtId="175" fontId="5" fillId="0" borderId="0" xfId="0" applyNumberFormat="1" applyFont="1" applyFill="1" applyBorder="1" applyAlignment="1">
      <alignment horizontal="center"/>
    </xf>
    <xf numFmtId="175" fontId="5" fillId="0" borderId="3" xfId="0" applyNumberFormat="1" applyFont="1" applyFill="1" applyBorder="1" applyAlignment="1">
      <alignment horizontal="center"/>
    </xf>
    <xf numFmtId="175" fontId="5" fillId="0" borderId="6" xfId="0" applyNumberFormat="1" applyFont="1" applyFill="1" applyBorder="1"/>
    <xf numFmtId="175" fontId="6" fillId="0" borderId="0" xfId="0" applyNumberFormat="1" applyFont="1" applyFill="1" applyBorder="1"/>
    <xf numFmtId="175" fontId="7" fillId="0" borderId="0" xfId="0" applyNumberFormat="1" applyFont="1" applyFill="1" applyBorder="1"/>
    <xf numFmtId="175" fontId="5" fillId="0" borderId="0" xfId="0" applyNumberFormat="1" applyFont="1" applyFill="1" applyBorder="1"/>
    <xf numFmtId="175" fontId="6" fillId="0" borderId="0" xfId="0" quotePrefix="1" applyNumberFormat="1" applyFont="1" applyFill="1" applyBorder="1" applyAlignment="1">
      <alignment horizontal="left"/>
    </xf>
    <xf numFmtId="175" fontId="5" fillId="0" borderId="0" xfId="0" applyNumberFormat="1" applyFont="1" applyFill="1" applyBorder="1" applyAlignment="1">
      <alignment horizontal="left"/>
    </xf>
    <xf numFmtId="175" fontId="25" fillId="0" borderId="0" xfId="0" applyNumberFormat="1" applyFont="1" applyFill="1" applyBorder="1" applyAlignment="1">
      <alignment horizontal="left"/>
    </xf>
    <xf numFmtId="175" fontId="7" fillId="0" borderId="124" xfId="0" applyNumberFormat="1" applyFont="1" applyFill="1" applyBorder="1" applyAlignment="1">
      <alignment horizontal="left"/>
    </xf>
    <xf numFmtId="175" fontId="6" fillId="0" borderId="5" xfId="0" applyNumberFormat="1" applyFont="1" applyFill="1" applyBorder="1" applyAlignment="1">
      <alignment horizontal="left"/>
    </xf>
    <xf numFmtId="175" fontId="6" fillId="0" borderId="38" xfId="0" applyNumberFormat="1" applyFont="1" applyFill="1" applyBorder="1"/>
    <xf numFmtId="175" fontId="7" fillId="0" borderId="0" xfId="0" applyNumberFormat="1" applyFont="1" applyFill="1" applyBorder="1" applyAlignment="1">
      <alignment horizontal="left"/>
    </xf>
    <xf numFmtId="175" fontId="6" fillId="0" borderId="0" xfId="0" applyNumberFormat="1" applyFont="1" applyFill="1" applyBorder="1" applyAlignment="1">
      <alignment horizontal="left"/>
    </xf>
    <xf numFmtId="175" fontId="5" fillId="0" borderId="0" xfId="0" applyNumberFormat="1" applyFont="1" applyFill="1" applyBorder="1" applyAlignment="1"/>
    <xf numFmtId="175" fontId="6" fillId="0" borderId="17" xfId="0" quotePrefix="1" applyNumberFormat="1" applyFont="1" applyBorder="1" applyAlignment="1">
      <alignment horizontal="center"/>
    </xf>
    <xf numFmtId="175" fontId="5" fillId="0" borderId="4" xfId="0" applyNumberFormat="1" applyFont="1" applyFill="1" applyBorder="1" applyAlignment="1">
      <alignment horizontal="center"/>
    </xf>
    <xf numFmtId="175" fontId="6" fillId="0" borderId="4" xfId="0" applyNumberFormat="1" applyFont="1" applyFill="1" applyBorder="1" applyAlignment="1">
      <alignment horizontal="center"/>
    </xf>
    <xf numFmtId="175" fontId="6" fillId="0" borderId="90" xfId="0" applyNumberFormat="1" applyFont="1" applyFill="1" applyBorder="1" applyAlignment="1">
      <alignment horizontal="center"/>
    </xf>
    <xf numFmtId="175" fontId="5" fillId="0" borderId="19" xfId="0" applyNumberFormat="1" applyFont="1" applyFill="1" applyBorder="1" applyAlignment="1">
      <alignment horizontal="center"/>
    </xf>
    <xf numFmtId="175" fontId="5" fillId="0" borderId="38" xfId="0" applyNumberFormat="1" applyFont="1" applyFill="1" applyBorder="1" applyAlignment="1">
      <alignment horizontal="center"/>
    </xf>
    <xf numFmtId="175" fontId="6" fillId="0" borderId="124" xfId="0" applyNumberFormat="1" applyFont="1" applyFill="1" applyBorder="1" applyAlignment="1">
      <alignment horizontal="center"/>
    </xf>
    <xf numFmtId="175" fontId="6" fillId="0" borderId="11" xfId="0" applyNumberFormat="1" applyFont="1" applyFill="1" applyBorder="1"/>
    <xf numFmtId="175" fontId="5" fillId="0" borderId="0" xfId="0" applyNumberFormat="1" applyFont="1" applyFill="1"/>
    <xf numFmtId="175" fontId="5" fillId="0" borderId="11" xfId="0" applyNumberFormat="1" applyFont="1" applyFill="1" applyBorder="1" applyAlignment="1">
      <alignment horizontal="center"/>
    </xf>
    <xf numFmtId="175" fontId="25" fillId="0" borderId="4" xfId="0" applyNumberFormat="1" applyFont="1" applyBorder="1" applyAlignment="1">
      <alignment horizontal="center"/>
    </xf>
    <xf numFmtId="175" fontId="6" fillId="0" borderId="19" xfId="0" applyNumberFormat="1" applyFont="1" applyFill="1" applyBorder="1"/>
    <xf numFmtId="175" fontId="6" fillId="0" borderId="0" xfId="0" applyNumberFormat="1" applyFont="1" applyFill="1" applyBorder="1" applyAlignment="1">
      <alignment horizontal="center"/>
    </xf>
    <xf numFmtId="175" fontId="5" fillId="0" borderId="21" xfId="0" applyNumberFormat="1" applyFont="1" applyFill="1" applyBorder="1" applyAlignment="1">
      <alignment horizontal="center"/>
    </xf>
    <xf numFmtId="175" fontId="5" fillId="0" borderId="0" xfId="0" applyNumberFormat="1" applyFont="1" applyFill="1" applyAlignment="1">
      <alignment horizontal="center"/>
    </xf>
    <xf numFmtId="175" fontId="6" fillId="0" borderId="18" xfId="0" quotePrefix="1" applyNumberFormat="1" applyFont="1" applyBorder="1" applyAlignment="1">
      <alignment horizontal="center"/>
    </xf>
    <xf numFmtId="175" fontId="5" fillId="0" borderId="15" xfId="0" applyNumberFormat="1" applyFont="1" applyFill="1" applyBorder="1" applyAlignment="1">
      <alignment horizontal="center"/>
    </xf>
    <xf numFmtId="175" fontId="6" fillId="0" borderId="18" xfId="0" quotePrefix="1" applyNumberFormat="1" applyFont="1" applyFill="1" applyBorder="1" applyAlignment="1">
      <alignment horizontal="center"/>
    </xf>
    <xf numFmtId="175" fontId="6" fillId="0" borderId="3" xfId="0" applyNumberFormat="1" applyFont="1" applyFill="1" applyBorder="1" applyAlignment="1">
      <alignment horizontal="center"/>
    </xf>
    <xf numFmtId="168" fontId="2" fillId="0" borderId="18" xfId="0" applyNumberFormat="1" applyFont="1" applyFill="1" applyBorder="1" applyAlignment="1">
      <alignment horizontal="center"/>
    </xf>
    <xf numFmtId="168" fontId="5" fillId="3" borderId="3" xfId="0" applyNumberFormat="1" applyFont="1" applyFill="1" applyBorder="1" applyAlignment="1">
      <alignment horizontal="right"/>
    </xf>
    <xf numFmtId="168" fontId="2" fillId="0" borderId="28" xfId="0" applyNumberFormat="1" applyFont="1" applyFill="1" applyBorder="1" applyAlignment="1">
      <alignment horizontal="center"/>
    </xf>
    <xf numFmtId="168" fontId="2" fillId="0" borderId="0" xfId="0" applyNumberFormat="1" applyFont="1" applyFill="1" applyBorder="1" applyAlignment="1">
      <alignment horizontal="right"/>
    </xf>
    <xf numFmtId="168" fontId="2" fillId="0" borderId="17" xfId="0" applyNumberFormat="1" applyFont="1" applyFill="1" applyBorder="1" applyAlignment="1">
      <alignment horizontal="right"/>
    </xf>
    <xf numFmtId="168" fontId="6" fillId="0" borderId="59" xfId="0" applyNumberFormat="1" applyFont="1" applyFill="1" applyBorder="1" applyAlignment="1">
      <alignment horizontal="right"/>
    </xf>
    <xf numFmtId="168" fontId="5" fillId="3" borderId="4" xfId="0" applyNumberFormat="1" applyFont="1" applyFill="1" applyBorder="1" applyAlignment="1">
      <alignment horizontal="right"/>
    </xf>
    <xf numFmtId="168" fontId="6" fillId="0" borderId="59" xfId="0" applyNumberFormat="1" applyFont="1" applyFill="1" applyBorder="1"/>
    <xf numFmtId="168" fontId="5" fillId="0" borderId="132" xfId="0" applyNumberFormat="1" applyFont="1" applyFill="1" applyBorder="1"/>
    <xf numFmtId="168" fontId="5" fillId="0" borderId="69" xfId="0" applyNumberFormat="1" applyFont="1" applyFill="1" applyBorder="1" applyAlignment="1">
      <alignment horizontal="right"/>
    </xf>
    <xf numFmtId="38" fontId="5" fillId="0" borderId="19" xfId="0" applyNumberFormat="1" applyFont="1" applyFill="1" applyBorder="1"/>
    <xf numFmtId="0" fontId="6" fillId="0" borderId="61" xfId="0" quotePrefix="1" applyFont="1" applyFill="1" applyBorder="1" applyAlignment="1">
      <alignment horizontal="center"/>
    </xf>
    <xf numFmtId="168" fontId="6" fillId="0" borderId="22" xfId="0" quotePrefix="1" applyNumberFormat="1" applyFont="1" applyBorder="1" applyAlignment="1">
      <alignment horizontal="center"/>
    </xf>
    <xf numFmtId="168" fontId="6" fillId="0" borderId="124" xfId="0" applyNumberFormat="1" applyFont="1" applyFill="1" applyBorder="1"/>
    <xf numFmtId="168" fontId="6" fillId="0" borderId="34" xfId="0" quotePrefix="1" applyNumberFormat="1" applyFont="1" applyBorder="1" applyAlignment="1">
      <alignment horizontal="center"/>
    </xf>
    <xf numFmtId="0" fontId="5" fillId="0" borderId="18" xfId="0" applyNumberFormat="1" applyFont="1" applyFill="1" applyBorder="1" applyAlignment="1">
      <alignment horizontal="center"/>
    </xf>
    <xf numFmtId="168" fontId="6" fillId="0" borderId="18" xfId="0" applyNumberFormat="1" applyFont="1" applyFill="1" applyBorder="1" applyAlignment="1">
      <alignment horizontal="left"/>
    </xf>
    <xf numFmtId="168" fontId="6" fillId="0" borderId="32" xfId="0" applyNumberFormat="1" applyFont="1" applyFill="1" applyBorder="1" applyAlignment="1">
      <alignment horizontal="right"/>
    </xf>
    <xf numFmtId="168" fontId="6" fillId="0" borderId="127" xfId="0" applyNumberFormat="1" applyFont="1" applyFill="1" applyBorder="1"/>
    <xf numFmtId="3" fontId="25" fillId="0" borderId="28" xfId="0" applyNumberFormat="1" applyFont="1" applyBorder="1"/>
    <xf numFmtId="0" fontId="25" fillId="0" borderId="4" xfId="0" applyNumberFormat="1" applyFont="1" applyBorder="1" applyAlignment="1">
      <alignment horizontal="center"/>
    </xf>
    <xf numFmtId="168" fontId="5" fillId="0" borderId="28" xfId="0" applyNumberFormat="1" applyFont="1" applyFill="1" applyBorder="1" applyProtection="1"/>
    <xf numFmtId="172" fontId="5" fillId="0" borderId="28" xfId="0" applyNumberFormat="1" applyFont="1" applyFill="1" applyBorder="1"/>
    <xf numFmtId="168" fontId="5" fillId="0" borderId="28" xfId="0" quotePrefix="1" applyNumberFormat="1" applyFont="1" applyBorder="1" applyAlignment="1">
      <alignment horizontal="right"/>
    </xf>
    <xf numFmtId="170" fontId="5" fillId="0" borderId="28" xfId="0" applyNumberFormat="1" applyFont="1" applyFill="1" applyBorder="1"/>
    <xf numFmtId="9" fontId="6" fillId="0" borderId="32" xfId="4" applyFont="1" applyFill="1" applyBorder="1"/>
    <xf numFmtId="49" fontId="5" fillId="0" borderId="15" xfId="0" applyNumberFormat="1" applyFont="1" applyFill="1" applyBorder="1" applyAlignment="1">
      <alignment horizontal="center"/>
    </xf>
    <xf numFmtId="168" fontId="7" fillId="0" borderId="3" xfId="0" applyNumberFormat="1" applyFont="1" applyFill="1" applyBorder="1" applyAlignment="1">
      <alignment horizontal="center"/>
    </xf>
    <xf numFmtId="0" fontId="5" fillId="0" borderId="11" xfId="0" applyFont="1" applyBorder="1"/>
    <xf numFmtId="168" fontId="2" fillId="0" borderId="143" xfId="0" applyNumberFormat="1" applyFont="1" applyFill="1" applyBorder="1"/>
    <xf numFmtId="168" fontId="6" fillId="0" borderId="144" xfId="0" applyNumberFormat="1" applyFont="1" applyFill="1" applyBorder="1"/>
    <xf numFmtId="168" fontId="6" fillId="0" borderId="145" xfId="0" applyNumberFormat="1" applyFont="1" applyFill="1" applyBorder="1"/>
    <xf numFmtId="168" fontId="6" fillId="0" borderId="146" xfId="0" applyNumberFormat="1" applyFont="1" applyFill="1" applyBorder="1"/>
    <xf numFmtId="168" fontId="6" fillId="0" borderId="147" xfId="0" applyNumberFormat="1" applyFont="1" applyFill="1" applyBorder="1"/>
    <xf numFmtId="168" fontId="6" fillId="0" borderId="148" xfId="0" applyNumberFormat="1" applyFont="1" applyFill="1" applyBorder="1"/>
    <xf numFmtId="0" fontId="6" fillId="0" borderId="34" xfId="0" applyFont="1" applyBorder="1" applyAlignment="1">
      <alignment horizontal="center"/>
    </xf>
    <xf numFmtId="168" fontId="6" fillId="0" borderId="28" xfId="0" quotePrefix="1" applyNumberFormat="1" applyFont="1" applyFill="1" applyBorder="1" applyAlignment="1">
      <alignment horizontal="center"/>
    </xf>
    <xf numFmtId="168" fontId="6" fillId="0" borderId="94" xfId="0" applyNumberFormat="1" applyFont="1" applyFill="1" applyBorder="1" applyAlignment="1"/>
    <xf numFmtId="168" fontId="5" fillId="0" borderId="11" xfId="0" applyNumberFormat="1" applyFont="1" applyFill="1" applyBorder="1" applyAlignment="1"/>
    <xf numFmtId="168" fontId="6" fillId="0" borderId="40" xfId="0" applyNumberFormat="1" applyFont="1" applyFill="1" applyBorder="1" applyAlignment="1"/>
    <xf numFmtId="49" fontId="6" fillId="0" borderId="98" xfId="0" applyNumberFormat="1" applyFont="1" applyFill="1" applyBorder="1" applyAlignment="1">
      <alignment horizontal="left"/>
    </xf>
    <xf numFmtId="0" fontId="6" fillId="0" borderId="100" xfId="0" applyFont="1" applyFill="1" applyBorder="1"/>
    <xf numFmtId="0" fontId="6" fillId="0" borderId="100" xfId="0" applyFont="1" applyFill="1" applyBorder="1" applyAlignment="1">
      <alignment horizontal="left" vertical="center"/>
    </xf>
    <xf numFmtId="0" fontId="6" fillId="0" borderId="151" xfId="0" applyFont="1" applyFill="1" applyBorder="1" applyAlignment="1">
      <alignment wrapText="1"/>
    </xf>
    <xf numFmtId="0" fontId="5" fillId="0" borderId="152" xfId="0" applyFont="1" applyFill="1" applyBorder="1"/>
    <xf numFmtId="168" fontId="2" fillId="0" borderId="8" xfId="0" applyNumberFormat="1" applyFont="1" applyBorder="1"/>
    <xf numFmtId="168" fontId="4" fillId="0" borderId="5" xfId="0" applyNumberFormat="1" applyFont="1" applyFill="1" applyBorder="1" applyAlignment="1">
      <alignment horizontal="left"/>
    </xf>
    <xf numFmtId="168" fontId="4" fillId="2" borderId="28" xfId="0" applyNumberFormat="1" applyFont="1" applyFill="1" applyBorder="1"/>
    <xf numFmtId="9" fontId="5" fillId="0" borderId="4" xfId="4" applyFont="1" applyFill="1" applyBorder="1" applyAlignment="1"/>
    <xf numFmtId="9" fontId="5" fillId="0" borderId="0" xfId="4" applyFont="1" applyFill="1" applyBorder="1"/>
    <xf numFmtId="168" fontId="5" fillId="0" borderId="116" xfId="0" applyNumberFormat="1" applyFont="1" applyFill="1" applyBorder="1"/>
    <xf numFmtId="168" fontId="25" fillId="0" borderId="3" xfId="0" applyNumberFormat="1" applyFont="1" applyFill="1" applyBorder="1"/>
    <xf numFmtId="168" fontId="6" fillId="0" borderId="52" xfId="0" quotePrefix="1" applyNumberFormat="1" applyFont="1" applyFill="1" applyBorder="1" applyAlignment="1">
      <alignment horizontal="center"/>
    </xf>
    <xf numFmtId="168" fontId="2" fillId="2" borderId="54" xfId="0" applyNumberFormat="1" applyFont="1" applyFill="1" applyBorder="1"/>
    <xf numFmtId="166" fontId="0" fillId="0" borderId="0" xfId="1" applyNumberFormat="1" applyFont="1"/>
    <xf numFmtId="0" fontId="2" fillId="0" borderId="0" xfId="0" applyFont="1" applyFill="1" applyBorder="1"/>
    <xf numFmtId="3" fontId="6" fillId="0" borderId="0" xfId="0" applyNumberFormat="1" applyFont="1" applyBorder="1" applyAlignment="1">
      <alignment horizontal="center"/>
    </xf>
    <xf numFmtId="3" fontId="0" fillId="0" borderId="0" xfId="0" applyNumberFormat="1" applyBorder="1"/>
    <xf numFmtId="3" fontId="25" fillId="0" borderId="3" xfId="0" applyNumberFormat="1" applyFont="1" applyBorder="1"/>
    <xf numFmtId="168" fontId="6" fillId="0" borderId="153" xfId="0" applyNumberFormat="1" applyFont="1" applyFill="1" applyBorder="1"/>
    <xf numFmtId="168" fontId="6" fillId="0" borderId="34" xfId="0" applyNumberFormat="1" applyFont="1" applyFill="1" applyBorder="1"/>
    <xf numFmtId="168" fontId="6" fillId="0" borderId="86" xfId="0" applyNumberFormat="1" applyFont="1" applyFill="1" applyBorder="1"/>
    <xf numFmtId="0" fontId="6" fillId="0" borderId="154" xfId="0" applyFont="1" applyBorder="1"/>
    <xf numFmtId="0" fontId="6" fillId="0" borderId="34" xfId="0" applyFont="1" applyBorder="1"/>
    <xf numFmtId="0" fontId="6" fillId="0" borderId="86" xfId="0" applyFont="1" applyBorder="1"/>
    <xf numFmtId="0" fontId="2" fillId="0" borderId="34" xfId="0" applyFont="1" applyBorder="1"/>
    <xf numFmtId="0" fontId="12" fillId="0" borderId="34" xfId="0" applyFont="1" applyBorder="1"/>
    <xf numFmtId="0" fontId="6" fillId="0" borderId="155" xfId="0" applyFont="1" applyBorder="1"/>
    <xf numFmtId="3" fontId="6" fillId="0" borderId="69" xfId="0" applyNumberFormat="1" applyFont="1" applyBorder="1"/>
    <xf numFmtId="3" fontId="0" fillId="0" borderId="16" xfId="0" applyNumberFormat="1" applyBorder="1"/>
    <xf numFmtId="168" fontId="5" fillId="0" borderId="156" xfId="0" applyNumberFormat="1" applyFont="1" applyFill="1" applyBorder="1"/>
    <xf numFmtId="3" fontId="0" fillId="0" borderId="5" xfId="0" applyNumberFormat="1" applyBorder="1"/>
    <xf numFmtId="3" fontId="0" fillId="0" borderId="20" xfId="0" applyNumberFormat="1" applyBorder="1"/>
    <xf numFmtId="3" fontId="0" fillId="0" borderId="3" xfId="0" applyNumberFormat="1" applyFill="1" applyBorder="1"/>
    <xf numFmtId="3" fontId="0" fillId="0" borderId="4" xfId="0" applyNumberFormat="1" applyFill="1" applyBorder="1" applyAlignment="1">
      <alignment horizontal="right"/>
    </xf>
    <xf numFmtId="3" fontId="0" fillId="0" borderId="4" xfId="0" applyNumberFormat="1" applyFill="1" applyBorder="1"/>
    <xf numFmtId="3" fontId="0" fillId="0" borderId="4" xfId="0" applyNumberFormat="1" applyFill="1" applyBorder="1" applyAlignment="1"/>
    <xf numFmtId="3" fontId="0" fillId="0" borderId="117" xfId="0" applyNumberFormat="1" applyFill="1" applyBorder="1" applyAlignment="1">
      <alignment horizontal="right"/>
    </xf>
    <xf numFmtId="3" fontId="0" fillId="0" borderId="115" xfId="0" applyNumberFormat="1" applyFill="1" applyBorder="1" applyAlignment="1">
      <alignment horizontal="right"/>
    </xf>
    <xf numFmtId="0" fontId="0" fillId="0" borderId="4" xfId="0" applyFill="1" applyBorder="1" applyAlignment="1">
      <alignment horizontal="left"/>
    </xf>
    <xf numFmtId="168" fontId="6" fillId="0" borderId="28" xfId="0" applyNumberFormat="1" applyFont="1" applyBorder="1"/>
    <xf numFmtId="0" fontId="33" fillId="0" borderId="3" xfId="0" applyFont="1" applyFill="1" applyBorder="1" applyAlignment="1">
      <alignment horizontal="right"/>
    </xf>
    <xf numFmtId="0" fontId="33" fillId="0" borderId="16" xfId="0" applyFont="1" applyFill="1" applyBorder="1" applyAlignment="1">
      <alignment horizontal="right"/>
    </xf>
    <xf numFmtId="3" fontId="33" fillId="0" borderId="3" xfId="0" applyNumberFormat="1" applyFont="1" applyFill="1" applyBorder="1" applyAlignment="1">
      <alignment horizontal="right"/>
    </xf>
    <xf numFmtId="3" fontId="33" fillId="0" borderId="16" xfId="0" applyNumberFormat="1" applyFont="1" applyFill="1" applyBorder="1" applyAlignment="1">
      <alignment horizontal="right"/>
    </xf>
    <xf numFmtId="3" fontId="4" fillId="0" borderId="16" xfId="0" applyNumberFormat="1" applyFont="1" applyFill="1" applyBorder="1" applyAlignment="1">
      <alignment horizontal="right"/>
    </xf>
    <xf numFmtId="3" fontId="4" fillId="0" borderId="3" xfId="0" applyNumberFormat="1" applyFont="1" applyFill="1" applyBorder="1" applyAlignment="1">
      <alignment horizontal="right"/>
    </xf>
    <xf numFmtId="0" fontId="6" fillId="0" borderId="28" xfId="0" applyFont="1" applyFill="1" applyBorder="1" applyAlignment="1">
      <alignment horizontal="left"/>
    </xf>
    <xf numFmtId="0" fontId="4" fillId="0" borderId="0" xfId="0" applyFont="1"/>
    <xf numFmtId="0" fontId="33" fillId="0" borderId="0" xfId="0" applyFont="1"/>
    <xf numFmtId="0" fontId="4" fillId="0" borderId="28" xfId="0" applyFont="1" applyFill="1" applyBorder="1"/>
    <xf numFmtId="3" fontId="10" fillId="0" borderId="69" xfId="0" applyNumberFormat="1" applyFont="1" applyFill="1" applyBorder="1" applyAlignment="1">
      <alignment horizontal="right"/>
    </xf>
    <xf numFmtId="3" fontId="10" fillId="0" borderId="149" xfId="0" applyNumberFormat="1" applyFont="1" applyFill="1" applyBorder="1" applyAlignment="1">
      <alignment horizontal="right"/>
    </xf>
    <xf numFmtId="0" fontId="10" fillId="0" borderId="0" xfId="0" applyFont="1"/>
    <xf numFmtId="0" fontId="35" fillId="0" borderId="3" xfId="0" applyFont="1" applyFill="1" applyBorder="1" applyAlignment="1">
      <alignment horizontal="right"/>
    </xf>
    <xf numFmtId="0" fontId="35" fillId="0" borderId="16" xfId="0" applyFont="1" applyFill="1" applyBorder="1" applyAlignment="1">
      <alignment horizontal="right"/>
    </xf>
    <xf numFmtId="0" fontId="35" fillId="0" borderId="0" xfId="0" applyFont="1"/>
    <xf numFmtId="3" fontId="6" fillId="0" borderId="69" xfId="0" applyNumberFormat="1" applyFont="1" applyFill="1" applyBorder="1" applyAlignment="1">
      <alignment horizontal="right"/>
    </xf>
    <xf numFmtId="3" fontId="6" fillId="0" borderId="149" xfId="0" applyNumberFormat="1" applyFont="1" applyFill="1" applyBorder="1" applyAlignment="1">
      <alignment horizontal="right"/>
    </xf>
    <xf numFmtId="10" fontId="6" fillId="0" borderId="3" xfId="0" applyNumberFormat="1" applyFont="1" applyFill="1" applyBorder="1" applyAlignment="1">
      <alignment horizontal="center"/>
    </xf>
    <xf numFmtId="10" fontId="6" fillId="0" borderId="16" xfId="0" applyNumberFormat="1" applyFont="1" applyFill="1" applyBorder="1" applyAlignment="1">
      <alignment horizontal="center"/>
    </xf>
    <xf numFmtId="0" fontId="6" fillId="0" borderId="28" xfId="0" applyFont="1" applyFill="1" applyBorder="1"/>
    <xf numFmtId="3" fontId="2" fillId="0" borderId="61" xfId="0" applyNumberFormat="1" applyFont="1" applyFill="1" applyBorder="1" applyAlignment="1">
      <alignment horizontal="center"/>
    </xf>
    <xf numFmtId="3" fontId="2" fillId="0" borderId="62" xfId="0" applyNumberFormat="1" applyFont="1" applyFill="1" applyBorder="1" applyAlignment="1">
      <alignment horizontal="center"/>
    </xf>
    <xf numFmtId="1" fontId="6" fillId="0" borderId="124" xfId="0" applyNumberFormat="1" applyFont="1" applyFill="1" applyBorder="1" applyAlignment="1">
      <alignment horizontal="left"/>
    </xf>
    <xf numFmtId="168" fontId="6" fillId="0" borderId="49" xfId="0" applyNumberFormat="1" applyFont="1" applyFill="1" applyBorder="1" applyAlignment="1">
      <alignment horizontal="center"/>
    </xf>
    <xf numFmtId="168" fontId="6" fillId="0" borderId="8" xfId="0" applyNumberFormat="1" applyFont="1" applyFill="1" applyBorder="1" applyAlignment="1">
      <alignment horizontal="center"/>
    </xf>
    <xf numFmtId="168" fontId="6" fillId="0" borderId="4" xfId="0" applyNumberFormat="1" applyFont="1" applyFill="1" applyBorder="1" applyAlignment="1">
      <alignment horizontal="center" wrapText="1"/>
    </xf>
    <xf numFmtId="168" fontId="6" fillId="0" borderId="0" xfId="0" applyNumberFormat="1" applyFont="1" applyFill="1" applyBorder="1" applyAlignment="1">
      <alignment horizontal="center" wrapText="1"/>
    </xf>
    <xf numFmtId="168" fontId="6" fillId="0" borderId="42" xfId="0" applyNumberFormat="1" applyFont="1" applyFill="1" applyBorder="1" applyAlignment="1">
      <alignment horizontal="center" wrapText="1"/>
    </xf>
    <xf numFmtId="168" fontId="6" fillId="0" borderId="3" xfId="0" applyNumberFormat="1" applyFont="1" applyFill="1" applyBorder="1" applyAlignment="1">
      <alignment horizontal="center" wrapText="1"/>
    </xf>
    <xf numFmtId="168" fontId="6" fillId="0" borderId="13" xfId="0" applyNumberFormat="1" applyFont="1" applyFill="1" applyBorder="1" applyAlignment="1">
      <alignment horizontal="center" wrapText="1"/>
    </xf>
    <xf numFmtId="3" fontId="6" fillId="0" borderId="66" xfId="0" applyNumberFormat="1" applyFont="1" applyBorder="1" applyAlignment="1">
      <alignment horizontal="right"/>
    </xf>
    <xf numFmtId="0" fontId="5" fillId="0" borderId="38" xfId="0" applyNumberFormat="1" applyFont="1" applyFill="1" applyBorder="1"/>
    <xf numFmtId="0" fontId="2" fillId="0" borderId="0" xfId="0" applyFont="1" applyFill="1"/>
    <xf numFmtId="0" fontId="2" fillId="0" borderId="87" xfId="0" quotePrefix="1" applyFont="1" applyBorder="1" applyAlignment="1">
      <alignment horizontal="centerContinuous"/>
    </xf>
    <xf numFmtId="0" fontId="4" fillId="0" borderId="34" xfId="0" applyNumberFormat="1" applyFont="1" applyBorder="1"/>
    <xf numFmtId="0" fontId="6" fillId="0" borderId="34" xfId="0" applyNumberFormat="1" applyFont="1" applyFill="1" applyBorder="1"/>
    <xf numFmtId="0" fontId="4" fillId="0" borderId="34" xfId="0" applyNumberFormat="1" applyFont="1" applyFill="1" applyBorder="1"/>
    <xf numFmtId="0" fontId="5" fillId="0" borderId="34" xfId="0" applyNumberFormat="1" applyFont="1" applyFill="1" applyBorder="1"/>
    <xf numFmtId="49" fontId="4" fillId="0" borderId="4" xfId="0" applyNumberFormat="1" applyFont="1" applyFill="1" applyBorder="1" applyAlignment="1">
      <alignment horizontal="center"/>
    </xf>
    <xf numFmtId="0" fontId="4" fillId="0" borderId="28" xfId="0" applyFont="1" applyBorder="1"/>
    <xf numFmtId="0" fontId="4" fillId="0" borderId="15" xfId="0" applyFont="1" applyBorder="1"/>
    <xf numFmtId="0" fontId="4" fillId="0" borderId="4" xfId="0" applyFont="1" applyBorder="1"/>
    <xf numFmtId="0" fontId="6" fillId="0" borderId="158" xfId="0" applyFont="1" applyBorder="1" applyAlignment="1">
      <alignment horizontal="centerContinuous"/>
    </xf>
    <xf numFmtId="0" fontId="0" fillId="0" borderId="7" xfId="0" applyBorder="1" applyAlignment="1">
      <alignment horizontal="center"/>
    </xf>
    <xf numFmtId="0" fontId="0" fillId="0" borderId="3" xfId="0" applyBorder="1" applyAlignment="1">
      <alignment horizontal="center"/>
    </xf>
    <xf numFmtId="0" fontId="4" fillId="0" borderId="34" xfId="0" applyFont="1" applyBorder="1"/>
    <xf numFmtId="0" fontId="0" fillId="0" borderId="15" xfId="0" applyBorder="1" applyAlignment="1">
      <alignment horizontal="center"/>
    </xf>
    <xf numFmtId="0" fontId="6" fillId="0" borderId="133" xfId="0" applyFont="1" applyBorder="1" applyAlignment="1">
      <alignment horizontal="center"/>
    </xf>
    <xf numFmtId="49" fontId="4" fillId="0" borderId="3" xfId="0" applyNumberFormat="1" applyFont="1" applyFill="1" applyBorder="1" applyAlignment="1">
      <alignment horizontal="center"/>
    </xf>
    <xf numFmtId="168" fontId="6" fillId="0" borderId="136" xfId="0" applyNumberFormat="1" applyFont="1" applyFill="1" applyBorder="1" applyAlignment="1">
      <alignment horizontal="center"/>
    </xf>
    <xf numFmtId="168" fontId="6" fillId="0" borderId="48" xfId="0" applyNumberFormat="1" applyFont="1" applyFill="1" applyBorder="1" applyAlignment="1">
      <alignment horizontal="center"/>
    </xf>
    <xf numFmtId="168" fontId="4" fillId="0" borderId="34" xfId="0" applyNumberFormat="1" applyFont="1" applyFill="1" applyBorder="1"/>
    <xf numFmtId="168" fontId="4" fillId="0" borderId="42" xfId="0" applyNumberFormat="1" applyFont="1" applyFill="1" applyBorder="1"/>
    <xf numFmtId="168" fontId="4" fillId="0" borderId="34" xfId="0" applyNumberFormat="1" applyFont="1" applyFill="1" applyBorder="1" applyAlignment="1">
      <alignment horizontal="center"/>
    </xf>
    <xf numFmtId="168" fontId="4" fillId="0" borderId="3" xfId="0" applyNumberFormat="1" applyFont="1" applyFill="1" applyBorder="1" applyAlignment="1">
      <alignment horizontal="center"/>
    </xf>
    <xf numFmtId="9" fontId="4" fillId="0" borderId="3" xfId="4" applyFont="1" applyFill="1" applyBorder="1" applyAlignment="1">
      <alignment horizontal="center"/>
    </xf>
    <xf numFmtId="168" fontId="4" fillId="0" borderId="42" xfId="0" applyNumberFormat="1" applyFont="1" applyFill="1" applyBorder="1" applyAlignment="1">
      <alignment horizontal="center"/>
    </xf>
    <xf numFmtId="168" fontId="4" fillId="0" borderId="8" xfId="0" applyNumberFormat="1" applyFont="1" applyFill="1" applyBorder="1"/>
    <xf numFmtId="168" fontId="4" fillId="0" borderId="43" xfId="0" applyNumberFormat="1" applyFont="1" applyFill="1" applyBorder="1"/>
    <xf numFmtId="9" fontId="6" fillId="0" borderId="40" xfId="4" applyFont="1" applyFill="1" applyBorder="1" applyAlignment="1">
      <alignment horizontal="center"/>
    </xf>
    <xf numFmtId="168" fontId="6" fillId="0" borderId="41" xfId="0" applyNumberFormat="1" applyFont="1" applyFill="1" applyBorder="1" applyAlignment="1">
      <alignment horizontal="center"/>
    </xf>
    <xf numFmtId="168" fontId="4" fillId="0" borderId="97" xfId="0" applyNumberFormat="1" applyFont="1" applyFill="1" applyBorder="1"/>
    <xf numFmtId="168" fontId="4" fillId="0" borderId="11" xfId="0" applyNumberFormat="1" applyFont="1" applyFill="1" applyBorder="1"/>
    <xf numFmtId="168" fontId="4" fillId="0" borderId="19" xfId="0" applyNumberFormat="1" applyFont="1" applyFill="1" applyBorder="1"/>
    <xf numFmtId="168" fontId="4" fillId="0" borderId="20" xfId="0" applyNumberFormat="1" applyFont="1" applyFill="1" applyBorder="1"/>
    <xf numFmtId="9" fontId="6" fillId="0" borderId="3" xfId="4" applyFont="1" applyFill="1" applyBorder="1" applyAlignment="1">
      <alignment horizontal="center"/>
    </xf>
    <xf numFmtId="168" fontId="6" fillId="0" borderId="42" xfId="0" applyNumberFormat="1" applyFont="1" applyFill="1" applyBorder="1" applyAlignment="1">
      <alignment horizontal="center"/>
    </xf>
    <xf numFmtId="0" fontId="6" fillId="0" borderId="133" xfId="0" applyFont="1" applyBorder="1" applyAlignment="1">
      <alignment horizontal="left"/>
    </xf>
    <xf numFmtId="9" fontId="6" fillId="0" borderId="38" xfId="4" applyFont="1" applyFill="1" applyBorder="1" applyAlignment="1">
      <alignment horizontal="center"/>
    </xf>
    <xf numFmtId="168" fontId="6" fillId="0" borderId="91" xfId="0" applyNumberFormat="1" applyFont="1" applyFill="1" applyBorder="1" applyAlignment="1">
      <alignment horizontal="center"/>
    </xf>
    <xf numFmtId="0" fontId="4" fillId="0" borderId="34" xfId="0" applyFont="1" applyBorder="1" applyAlignment="1">
      <alignment horizontal="left"/>
    </xf>
    <xf numFmtId="168" fontId="4" fillId="0" borderId="0" xfId="0" applyNumberFormat="1" applyFont="1" applyFill="1" applyBorder="1" applyAlignment="1">
      <alignment horizontal="center"/>
    </xf>
    <xf numFmtId="9" fontId="4" fillId="0" borderId="0" xfId="4" applyFont="1" applyFill="1" applyBorder="1" applyAlignment="1">
      <alignment horizontal="center"/>
    </xf>
    <xf numFmtId="168" fontId="4" fillId="0" borderId="8" xfId="0" applyNumberFormat="1" applyFont="1" applyFill="1" applyBorder="1" applyAlignment="1">
      <alignment horizontal="center"/>
    </xf>
    <xf numFmtId="0" fontId="6" fillId="0" borderId="34" xfId="0" applyFont="1" applyBorder="1" applyAlignment="1">
      <alignment horizontal="left"/>
    </xf>
    <xf numFmtId="9" fontId="6" fillId="0" borderId="0" xfId="4" applyFont="1" applyFill="1" applyBorder="1" applyAlignment="1">
      <alignment horizontal="center"/>
    </xf>
    <xf numFmtId="168" fontId="4" fillId="0" borderId="77" xfId="0" applyNumberFormat="1" applyFont="1" applyFill="1" applyBorder="1"/>
    <xf numFmtId="0" fontId="4" fillId="0" borderId="0" xfId="0" applyFont="1" applyAlignment="1">
      <alignment horizontal="left"/>
    </xf>
    <xf numFmtId="14" fontId="4" fillId="0" borderId="0" xfId="0" applyNumberFormat="1" applyFont="1" applyAlignment="1">
      <alignment horizontal="left"/>
    </xf>
    <xf numFmtId="3" fontId="4" fillId="0" borderId="0" xfId="0" applyNumberFormat="1" applyFont="1" applyAlignment="1">
      <alignment horizontal="left"/>
    </xf>
    <xf numFmtId="3" fontId="4" fillId="0" borderId="0" xfId="0" applyNumberFormat="1" applyFont="1" applyAlignment="1">
      <alignment horizontal="right"/>
    </xf>
    <xf numFmtId="0" fontId="4" fillId="0" borderId="0" xfId="0" applyFont="1" applyFill="1" applyAlignment="1">
      <alignment horizontal="right"/>
    </xf>
    <xf numFmtId="3" fontId="4" fillId="3" borderId="0" xfId="0" applyNumberFormat="1" applyFont="1" applyFill="1" applyAlignment="1">
      <alignment horizontal="right"/>
    </xf>
    <xf numFmtId="0" fontId="4" fillId="0" borderId="34" xfId="0" applyFont="1" applyBorder="1" applyAlignment="1">
      <alignment horizontal="center"/>
    </xf>
    <xf numFmtId="168" fontId="4" fillId="0" borderId="34" xfId="0" applyNumberFormat="1" applyFont="1" applyBorder="1" applyAlignment="1">
      <alignment horizontal="center"/>
    </xf>
    <xf numFmtId="0" fontId="4" fillId="0" borderId="3" xfId="0" applyNumberFormat="1" applyFont="1" applyFill="1" applyBorder="1"/>
    <xf numFmtId="168" fontId="6" fillId="0" borderId="1" xfId="0" applyNumberFormat="1" applyFont="1" applyBorder="1" applyAlignment="1" applyProtection="1">
      <alignment horizontal="left"/>
      <protection locked="0"/>
    </xf>
    <xf numFmtId="0" fontId="5" fillId="0" borderId="8" xfId="0" applyFont="1" applyFill="1" applyBorder="1" applyAlignment="1">
      <alignment horizontal="center"/>
    </xf>
    <xf numFmtId="38" fontId="4" fillId="0" borderId="49" xfId="1" applyNumberFormat="1" applyFont="1" applyFill="1" applyBorder="1"/>
    <xf numFmtId="38" fontId="4" fillId="0" borderId="3" xfId="1" applyNumberFormat="1" applyFont="1" applyFill="1" applyBorder="1"/>
    <xf numFmtId="38" fontId="4" fillId="0" borderId="8" xfId="1" applyNumberFormat="1" applyFont="1" applyFill="1" applyBorder="1"/>
    <xf numFmtId="9" fontId="6" fillId="0" borderId="44" xfId="4" applyFont="1" applyFill="1" applyBorder="1" applyAlignment="1">
      <alignment horizontal="center"/>
    </xf>
    <xf numFmtId="9" fontId="5" fillId="0" borderId="8" xfId="4" applyFont="1" applyFill="1" applyBorder="1" applyAlignment="1">
      <alignment horizontal="center"/>
    </xf>
    <xf numFmtId="9" fontId="24" fillId="0" borderId="0" xfId="4" applyFont="1" applyFill="1"/>
    <xf numFmtId="9" fontId="6" fillId="0" borderId="0" xfId="4" applyFont="1" applyFill="1"/>
    <xf numFmtId="9" fontId="0" fillId="0" borderId="0" xfId="4" applyFont="1" applyFill="1"/>
    <xf numFmtId="168" fontId="4" fillId="0" borderId="100" xfId="0" applyNumberFormat="1" applyFont="1" applyFill="1" applyBorder="1"/>
    <xf numFmtId="168" fontId="4" fillId="0" borderId="3" xfId="0" quotePrefix="1" applyNumberFormat="1" applyFont="1" applyBorder="1" applyAlignment="1">
      <alignment horizontal="center"/>
    </xf>
    <xf numFmtId="168" fontId="4" fillId="0" borderId="16" xfId="0" quotePrefix="1" applyNumberFormat="1" applyFont="1" applyBorder="1" applyAlignment="1">
      <alignment horizontal="center"/>
    </xf>
    <xf numFmtId="168" fontId="4" fillId="0" borderId="28" xfId="0" applyNumberFormat="1" applyFont="1" applyFill="1" applyBorder="1" applyAlignment="1">
      <alignment horizontal="left"/>
    </xf>
    <xf numFmtId="168" fontId="25" fillId="0" borderId="4" xfId="0" applyNumberFormat="1" applyFont="1" applyFill="1" applyBorder="1"/>
    <xf numFmtId="168" fontId="25" fillId="0" borderId="42" xfId="0" applyNumberFormat="1" applyFont="1" applyFill="1" applyBorder="1"/>
    <xf numFmtId="168" fontId="25" fillId="0" borderId="7" xfId="0" applyNumberFormat="1" applyFont="1" applyFill="1" applyBorder="1"/>
    <xf numFmtId="168" fontId="25" fillId="0" borderId="0" xfId="0" applyNumberFormat="1" applyFont="1" applyFill="1" applyBorder="1"/>
    <xf numFmtId="168" fontId="25" fillId="0" borderId="8" xfId="0" applyNumberFormat="1" applyFont="1" applyFill="1" applyBorder="1"/>
    <xf numFmtId="168" fontId="25" fillId="0" borderId="100" xfId="0" applyNumberFormat="1" applyFont="1" applyFill="1" applyBorder="1" applyAlignment="1">
      <alignment horizontal="left"/>
    </xf>
    <xf numFmtId="168" fontId="6" fillId="0" borderId="159" xfId="0" applyNumberFormat="1" applyFont="1" applyFill="1" applyBorder="1" applyAlignment="1">
      <alignment horizontal="left"/>
    </xf>
    <xf numFmtId="168" fontId="6" fillId="0" borderId="94" xfId="0" applyNumberFormat="1" applyFont="1" applyFill="1" applyBorder="1" applyAlignment="1">
      <alignment horizontal="right"/>
    </xf>
    <xf numFmtId="168" fontId="6" fillId="0" borderId="160" xfId="0" applyNumberFormat="1" applyFont="1" applyFill="1" applyBorder="1"/>
    <xf numFmtId="168" fontId="6" fillId="0" borderId="0" xfId="0" applyNumberFormat="1" applyFont="1" applyFill="1" applyAlignment="1">
      <alignment horizontal="right"/>
    </xf>
    <xf numFmtId="168" fontId="7" fillId="0" borderId="0" xfId="0" applyNumberFormat="1" applyFont="1" applyFill="1" applyAlignment="1">
      <alignment horizontal="right"/>
    </xf>
    <xf numFmtId="168" fontId="7" fillId="0" borderId="0" xfId="0" applyNumberFormat="1" applyFont="1" applyFill="1"/>
    <xf numFmtId="168" fontId="7" fillId="0" borderId="42" xfId="0" applyNumberFormat="1" applyFont="1" applyFill="1" applyBorder="1"/>
    <xf numFmtId="168" fontId="7" fillId="0" borderId="4" xfId="0" applyNumberFormat="1" applyFont="1" applyFill="1" applyBorder="1"/>
    <xf numFmtId="168" fontId="7" fillId="0" borderId="7" xfId="0" applyNumberFormat="1" applyFont="1" applyFill="1" applyBorder="1"/>
    <xf numFmtId="168" fontId="7" fillId="0" borderId="8" xfId="0" applyNumberFormat="1" applyFont="1" applyFill="1" applyBorder="1"/>
    <xf numFmtId="168" fontId="4" fillId="0" borderId="100" xfId="0" applyNumberFormat="1" applyFont="1" applyFill="1" applyBorder="1" applyAlignment="1">
      <alignment horizontal="left"/>
    </xf>
    <xf numFmtId="0" fontId="4" fillId="0" borderId="0" xfId="0" applyFont="1" applyBorder="1"/>
    <xf numFmtId="168" fontId="4" fillId="0" borderId="3" xfId="0" applyNumberFormat="1" applyFont="1" applyFill="1" applyBorder="1" applyAlignment="1">
      <alignment horizontal="left"/>
    </xf>
    <xf numFmtId="168" fontId="4" fillId="0" borderId="3" xfId="0" quotePrefix="1" applyNumberFormat="1" applyFont="1" applyBorder="1" applyAlignment="1">
      <alignment horizontal="right"/>
    </xf>
    <xf numFmtId="168" fontId="5" fillId="0" borderId="68" xfId="0" applyNumberFormat="1" applyFont="1" applyFill="1" applyBorder="1" applyAlignment="1"/>
    <xf numFmtId="168" fontId="4" fillId="0" borderId="49" xfId="0" applyNumberFormat="1" applyFont="1" applyFill="1" applyBorder="1" applyAlignment="1">
      <alignment horizontal="right"/>
    </xf>
    <xf numFmtId="168" fontId="25" fillId="0" borderId="128" xfId="0" applyNumberFormat="1" applyFont="1" applyFill="1" applyBorder="1"/>
    <xf numFmtId="168" fontId="4" fillId="3" borderId="3" xfId="0" applyNumberFormat="1" applyFont="1" applyFill="1" applyBorder="1" applyAlignment="1">
      <alignment horizontal="right"/>
    </xf>
    <xf numFmtId="15" fontId="0" fillId="0" borderId="4" xfId="0" applyNumberFormat="1" applyFill="1" applyBorder="1" applyAlignment="1">
      <alignment horizontal="center"/>
    </xf>
    <xf numFmtId="3" fontId="2" fillId="0" borderId="3" xfId="0" applyNumberFormat="1" applyFont="1" applyFill="1" applyBorder="1" applyAlignment="1">
      <alignment horizontal="center"/>
    </xf>
    <xf numFmtId="168" fontId="0" fillId="0" borderId="117" xfId="0" applyNumberFormat="1" applyBorder="1"/>
    <xf numFmtId="168" fontId="0" fillId="0" borderId="115" xfId="0" applyNumberFormat="1" applyBorder="1"/>
    <xf numFmtId="168" fontId="0" fillId="0" borderId="156" xfId="0" applyNumberFormat="1" applyBorder="1"/>
    <xf numFmtId="168" fontId="6" fillId="0" borderId="2" xfId="0" applyNumberFormat="1" applyFont="1" applyBorder="1"/>
    <xf numFmtId="168" fontId="6" fillId="0" borderId="27" xfId="0" applyNumberFormat="1" applyFont="1" applyBorder="1"/>
    <xf numFmtId="168" fontId="6" fillId="0" borderId="48" xfId="0" applyNumberFormat="1" applyFont="1" applyBorder="1"/>
    <xf numFmtId="168" fontId="6" fillId="0" borderId="69" xfId="0" applyNumberFormat="1" applyFont="1" applyBorder="1"/>
    <xf numFmtId="168" fontId="6" fillId="0" borderId="74" xfId="0" applyNumberFormat="1" applyFont="1" applyBorder="1"/>
    <xf numFmtId="168" fontId="6" fillId="0" borderId="149" xfId="0" applyNumberFormat="1" applyFont="1" applyBorder="1"/>
    <xf numFmtId="38" fontId="4" fillId="0" borderId="15" xfId="0" applyNumberFormat="1" applyFont="1" applyBorder="1"/>
    <xf numFmtId="38" fontId="4" fillId="0" borderId="3" xfId="0" applyNumberFormat="1" applyFont="1" applyBorder="1"/>
    <xf numFmtId="38" fontId="4" fillId="0" borderId="4" xfId="0" applyNumberFormat="1" applyFont="1" applyBorder="1"/>
    <xf numFmtId="38" fontId="4" fillId="0" borderId="16" xfId="0" applyNumberFormat="1" applyFont="1" applyBorder="1"/>
    <xf numFmtId="38" fontId="4" fillId="0" borderId="94" xfId="0" applyNumberFormat="1" applyFont="1" applyBorder="1"/>
    <xf numFmtId="38" fontId="4" fillId="0" borderId="8" xfId="0" applyNumberFormat="1" applyFont="1" applyBorder="1"/>
    <xf numFmtId="168" fontId="4" fillId="0" borderId="49" xfId="0" applyNumberFormat="1" applyFont="1" applyFill="1" applyBorder="1"/>
    <xf numFmtId="38" fontId="4" fillId="0" borderId="0" xfId="0" applyNumberFormat="1" applyFont="1" applyBorder="1"/>
    <xf numFmtId="0" fontId="4" fillId="0" borderId="3" xfId="0" applyFont="1" applyBorder="1"/>
    <xf numFmtId="0" fontId="4" fillId="0" borderId="8" xfId="0" applyFont="1" applyBorder="1"/>
    <xf numFmtId="2" fontId="6" fillId="0" borderId="16" xfId="0" applyNumberFormat="1" applyFont="1" applyFill="1" applyBorder="1" applyAlignment="1">
      <alignment horizontal="right"/>
    </xf>
    <xf numFmtId="10" fontId="4" fillId="0" borderId="16" xfId="0" applyNumberFormat="1" applyFont="1" applyFill="1" applyBorder="1" applyAlignment="1">
      <alignment horizontal="right"/>
    </xf>
    <xf numFmtId="3" fontId="0" fillId="0" borderId="4" xfId="0" applyNumberFormat="1" applyFill="1" applyBorder="1" applyAlignment="1">
      <alignment horizontal="left"/>
    </xf>
    <xf numFmtId="0" fontId="4" fillId="0" borderId="28" xfId="0" applyFont="1" applyFill="1" applyBorder="1" applyAlignment="1">
      <alignment horizontal="left"/>
    </xf>
    <xf numFmtId="15" fontId="6" fillId="0" borderId="4" xfId="0" applyNumberFormat="1" applyFont="1" applyFill="1" applyBorder="1" applyAlignment="1">
      <alignment horizontal="center"/>
    </xf>
    <xf numFmtId="3" fontId="6" fillId="0" borderId="4" xfId="0" applyNumberFormat="1" applyFont="1" applyFill="1" applyBorder="1"/>
    <xf numFmtId="0" fontId="6" fillId="0" borderId="0" xfId="0" applyFont="1" applyFill="1" applyAlignment="1">
      <alignment horizontal="left"/>
    </xf>
    <xf numFmtId="168" fontId="0" fillId="0" borderId="3" xfId="0" applyNumberFormat="1" applyFill="1" applyBorder="1" applyAlignment="1">
      <alignment horizontal="right"/>
    </xf>
    <xf numFmtId="168" fontId="0" fillId="0" borderId="4" xfId="0" applyNumberFormat="1" applyFill="1" applyBorder="1" applyAlignment="1">
      <alignment horizontal="right"/>
    </xf>
    <xf numFmtId="168" fontId="0" fillId="0" borderId="16" xfId="0" applyNumberFormat="1" applyFill="1" applyBorder="1" applyAlignment="1">
      <alignment horizontal="right"/>
    </xf>
    <xf numFmtId="168" fontId="0" fillId="0" borderId="3" xfId="0" applyNumberFormat="1" applyFill="1" applyBorder="1" applyAlignment="1">
      <alignment horizontal="left"/>
    </xf>
    <xf numFmtId="168" fontId="0" fillId="0" borderId="4" xfId="0" applyNumberFormat="1" applyFill="1" applyBorder="1" applyAlignment="1">
      <alignment horizontal="left"/>
    </xf>
    <xf numFmtId="168" fontId="0" fillId="0" borderId="16" xfId="0" applyNumberFormat="1" applyFill="1" applyBorder="1" applyAlignment="1">
      <alignment horizontal="left"/>
    </xf>
    <xf numFmtId="168" fontId="0" fillId="0" borderId="117" xfId="0" applyNumberFormat="1" applyFill="1" applyBorder="1"/>
    <xf numFmtId="168" fontId="0" fillId="0" borderId="3" xfId="0" applyNumberFormat="1" applyFill="1" applyBorder="1" applyAlignment="1"/>
    <xf numFmtId="168" fontId="0" fillId="0" borderId="4" xfId="0" applyNumberFormat="1" applyFill="1" applyBorder="1" applyAlignment="1"/>
    <xf numFmtId="168" fontId="0" fillId="0" borderId="16" xfId="0" applyNumberFormat="1" applyFill="1" applyBorder="1" applyAlignment="1"/>
    <xf numFmtId="0" fontId="4" fillId="0" borderId="34" xfId="0" applyFont="1" applyFill="1" applyBorder="1" applyAlignment="1">
      <alignment horizontal="left"/>
    </xf>
    <xf numFmtId="0" fontId="4" fillId="0" borderId="34" xfId="0" applyFont="1" applyFill="1" applyBorder="1"/>
    <xf numFmtId="0" fontId="6" fillId="0" borderId="34" xfId="0" applyFont="1" applyFill="1" applyBorder="1"/>
    <xf numFmtId="167" fontId="6" fillId="0" borderId="16" xfId="0" applyNumberFormat="1" applyFont="1" applyFill="1" applyBorder="1" applyAlignment="1">
      <alignment horizontal="right"/>
    </xf>
    <xf numFmtId="174" fontId="4" fillId="0" borderId="16" xfId="0" applyNumberFormat="1" applyFont="1" applyBorder="1"/>
    <xf numFmtId="0" fontId="6" fillId="0" borderId="140" xfId="0" applyFont="1" applyFill="1" applyBorder="1"/>
    <xf numFmtId="0" fontId="33" fillId="0" borderId="34" xfId="0" applyFont="1" applyFill="1" applyBorder="1"/>
    <xf numFmtId="0" fontId="2" fillId="0" borderId="34" xfId="0" applyFont="1" applyFill="1" applyBorder="1" applyAlignment="1">
      <alignment horizontal="left"/>
    </xf>
    <xf numFmtId="0" fontId="6" fillId="0" borderId="34" xfId="0" applyFont="1" applyFill="1" applyBorder="1" applyAlignment="1">
      <alignment horizontal="left"/>
    </xf>
    <xf numFmtId="0" fontId="34" fillId="0" borderId="34" xfId="3" applyFont="1" applyFill="1" applyBorder="1" applyAlignment="1" applyProtection="1"/>
    <xf numFmtId="0" fontId="7" fillId="0" borderId="34" xfId="0" applyFont="1" applyFill="1" applyBorder="1" applyAlignment="1">
      <alignment horizontal="left"/>
    </xf>
    <xf numFmtId="174" fontId="4" fillId="0" borderId="3" xfId="0" applyNumberFormat="1" applyFont="1" applyBorder="1"/>
    <xf numFmtId="3" fontId="4" fillId="0" borderId="3" xfId="0" applyNumberFormat="1" applyFont="1" applyBorder="1"/>
    <xf numFmtId="3" fontId="0" fillId="0" borderId="11" xfId="0" applyNumberFormat="1" applyBorder="1"/>
    <xf numFmtId="168" fontId="4" fillId="0" borderId="3" xfId="0" applyNumberFormat="1" applyFont="1" applyFill="1" applyBorder="1" applyAlignment="1">
      <alignment horizontal="right"/>
    </xf>
    <xf numFmtId="168" fontId="4" fillId="0" borderId="16" xfId="0" applyNumberFormat="1" applyFont="1" applyFill="1" applyBorder="1" applyAlignment="1">
      <alignment horizontal="right"/>
    </xf>
    <xf numFmtId="0" fontId="4" fillId="0" borderId="3" xfId="0" applyNumberFormat="1" applyFont="1" applyBorder="1" applyAlignment="1">
      <alignment horizontal="center"/>
    </xf>
    <xf numFmtId="0" fontId="4" fillId="0" borderId="3" xfId="0" applyFont="1" applyFill="1" applyBorder="1"/>
    <xf numFmtId="0" fontId="4" fillId="0" borderId="4" xfId="0" applyFont="1" applyFill="1" applyBorder="1"/>
    <xf numFmtId="0" fontId="6" fillId="0" borderId="38" xfId="0" applyNumberFormat="1" applyFont="1" applyFill="1" applyBorder="1"/>
    <xf numFmtId="0" fontId="6" fillId="0" borderId="37" xfId="0" applyNumberFormat="1" applyFont="1" applyFill="1" applyBorder="1" applyAlignment="1">
      <alignment horizontal="center"/>
    </xf>
    <xf numFmtId="168" fontId="6" fillId="0" borderId="37" xfId="0" quotePrefix="1" applyNumberFormat="1" applyFont="1" applyFill="1" applyBorder="1" applyAlignment="1">
      <alignment horizontal="left"/>
    </xf>
    <xf numFmtId="0" fontId="6" fillId="0" borderId="29" xfId="0" applyNumberFormat="1" applyFont="1" applyFill="1" applyBorder="1" applyAlignment="1">
      <alignment horizontal="center"/>
    </xf>
    <xf numFmtId="0" fontId="4" fillId="0" borderId="100" xfId="0" applyFont="1" applyFill="1" applyBorder="1" applyProtection="1">
      <protection locked="0"/>
    </xf>
    <xf numFmtId="0" fontId="5" fillId="0" borderId="100" xfId="0" applyFont="1" applyFill="1" applyBorder="1" applyProtection="1">
      <protection locked="0"/>
    </xf>
    <xf numFmtId="38" fontId="4" fillId="0" borderId="4" xfId="1" applyNumberFormat="1" applyFont="1" applyFill="1" applyBorder="1"/>
    <xf numFmtId="38" fontId="4" fillId="0" borderId="0" xfId="1" applyNumberFormat="1" applyFont="1" applyFill="1" applyBorder="1"/>
    <xf numFmtId="38" fontId="4" fillId="0" borderId="42" xfId="1" applyNumberFormat="1" applyFont="1" applyFill="1" applyBorder="1"/>
    <xf numFmtId="0" fontId="4" fillId="0" borderId="100" xfId="0" applyFont="1" applyFill="1" applyBorder="1" applyAlignment="1">
      <alignment vertical="center"/>
    </xf>
    <xf numFmtId="0" fontId="4" fillId="0" borderId="100" xfId="0" applyFont="1" applyFill="1" applyBorder="1"/>
    <xf numFmtId="0" fontId="4" fillId="0" borderId="100" xfId="0" applyFont="1" applyFill="1" applyBorder="1" applyAlignment="1">
      <alignment horizontal="left" vertical="center"/>
    </xf>
    <xf numFmtId="0" fontId="4" fillId="0" borderId="100" xfId="0" applyFont="1" applyFill="1" applyBorder="1" applyAlignment="1">
      <alignment horizontal="left" vertical="top" wrapText="1"/>
    </xf>
    <xf numFmtId="38" fontId="5" fillId="0" borderId="51" xfId="1" applyNumberFormat="1" applyFont="1" applyFill="1" applyBorder="1"/>
    <xf numFmtId="0" fontId="4" fillId="0" borderId="97" xfId="0" applyFont="1" applyFill="1" applyBorder="1"/>
    <xf numFmtId="168" fontId="4" fillId="0" borderId="11" xfId="0" applyNumberFormat="1" applyFont="1" applyFill="1" applyBorder="1" applyAlignment="1">
      <alignment horizontal="right"/>
    </xf>
    <xf numFmtId="168" fontId="4" fillId="0" borderId="20" xfId="0" applyNumberFormat="1" applyFont="1" applyFill="1" applyBorder="1" applyAlignment="1">
      <alignment horizontal="right"/>
    </xf>
    <xf numFmtId="168" fontId="4" fillId="0" borderId="4" xfId="0" applyNumberFormat="1" applyFont="1" applyFill="1" applyBorder="1" applyAlignment="1">
      <alignment horizontal="right"/>
    </xf>
    <xf numFmtId="38" fontId="5" fillId="0" borderId="19" xfId="1" applyNumberFormat="1" applyFont="1" applyFill="1" applyBorder="1"/>
    <xf numFmtId="0" fontId="6" fillId="0" borderId="98" xfId="0" applyFont="1" applyFill="1" applyBorder="1" applyAlignment="1">
      <alignment horizontal="left" indent="1"/>
    </xf>
    <xf numFmtId="0" fontId="5" fillId="0" borderId="99" xfId="0" applyFont="1" applyFill="1" applyBorder="1" applyAlignment="1">
      <alignment horizontal="left" indent="1"/>
    </xf>
    <xf numFmtId="9" fontId="6" fillId="0" borderId="10" xfId="4" applyFont="1" applyFill="1" applyBorder="1" applyAlignment="1">
      <alignment horizontal="center"/>
    </xf>
    <xf numFmtId="0" fontId="6" fillId="0" borderId="67" xfId="0" quotePrefix="1" applyFont="1" applyFill="1" applyBorder="1" applyAlignment="1">
      <alignment horizontal="center"/>
    </xf>
    <xf numFmtId="9" fontId="5" fillId="0" borderId="80" xfId="4" applyFont="1" applyFill="1" applyBorder="1" applyAlignment="1">
      <alignment horizontal="center"/>
    </xf>
    <xf numFmtId="10" fontId="4" fillId="0" borderId="3" xfId="4" applyNumberFormat="1" applyFont="1" applyFill="1" applyBorder="1" applyAlignment="1">
      <alignment horizontal="center"/>
    </xf>
    <xf numFmtId="3" fontId="6" fillId="0" borderId="69" xfId="0" applyNumberFormat="1" applyFont="1" applyFill="1" applyBorder="1"/>
    <xf numFmtId="168" fontId="6" fillId="0" borderId="162" xfId="0" applyNumberFormat="1" applyFont="1" applyFill="1" applyBorder="1" applyAlignment="1">
      <alignment horizontal="center"/>
    </xf>
    <xf numFmtId="168" fontId="6" fillId="0" borderId="163" xfId="0" applyNumberFormat="1" applyFont="1" applyFill="1" applyBorder="1" applyAlignment="1">
      <alignment horizontal="center"/>
    </xf>
    <xf numFmtId="168" fontId="6" fillId="0" borderId="164" xfId="0" applyNumberFormat="1" applyFont="1" applyFill="1" applyBorder="1" applyAlignment="1">
      <alignment horizontal="center"/>
    </xf>
    <xf numFmtId="168" fontId="6" fillId="0" borderId="163" xfId="0" quotePrefix="1" applyNumberFormat="1" applyFont="1" applyFill="1" applyBorder="1" applyAlignment="1">
      <alignment horizontal="center"/>
    </xf>
    <xf numFmtId="168" fontId="6" fillId="0" borderId="88" xfId="0" applyNumberFormat="1" applyFont="1" applyFill="1" applyBorder="1" applyAlignment="1">
      <alignment horizontal="center"/>
    </xf>
    <xf numFmtId="168" fontId="6" fillId="0" borderId="165" xfId="0" quotePrefix="1" applyNumberFormat="1" applyFont="1" applyFill="1" applyBorder="1" applyAlignment="1">
      <alignment horizontal="center"/>
    </xf>
    <xf numFmtId="168" fontId="4" fillId="0" borderId="15" xfId="0" applyNumberFormat="1" applyFont="1" applyFill="1" applyBorder="1" applyAlignment="1">
      <alignment horizontal="center"/>
    </xf>
    <xf numFmtId="168" fontId="4" fillId="0" borderId="49" xfId="0" applyNumberFormat="1" applyFont="1" applyFill="1" applyBorder="1" applyAlignment="1">
      <alignment horizontal="center"/>
    </xf>
    <xf numFmtId="168" fontId="4" fillId="0" borderId="53" xfId="0" applyNumberFormat="1" applyFont="1" applyFill="1" applyBorder="1"/>
    <xf numFmtId="168" fontId="6" fillId="0" borderId="166" xfId="0" quotePrefix="1" applyNumberFormat="1" applyFont="1" applyFill="1" applyBorder="1" applyAlignment="1">
      <alignment horizontal="center"/>
    </xf>
    <xf numFmtId="0" fontId="6" fillId="0" borderId="28" xfId="0" quotePrefix="1" applyNumberFormat="1" applyFont="1" applyBorder="1" applyAlignment="1">
      <alignment horizontal="center"/>
    </xf>
    <xf numFmtId="0" fontId="27" fillId="0" borderId="0" xfId="0" applyFont="1"/>
    <xf numFmtId="0" fontId="27" fillId="0" borderId="0" xfId="0" applyFont="1" applyAlignment="1">
      <alignment horizontal="center"/>
    </xf>
    <xf numFmtId="0" fontId="28" fillId="0" borderId="0" xfId="0" applyFont="1"/>
    <xf numFmtId="9" fontId="0" fillId="5" borderId="4" xfId="4" applyNumberFormat="1" applyFont="1" applyFill="1" applyBorder="1"/>
    <xf numFmtId="9" fontId="0" fillId="0" borderId="4" xfId="4" applyNumberFormat="1" applyFont="1" applyFill="1" applyBorder="1"/>
    <xf numFmtId="9" fontId="0" fillId="0" borderId="4" xfId="4" applyNumberFormat="1" applyFont="1" applyBorder="1"/>
    <xf numFmtId="167" fontId="6" fillId="0" borderId="4" xfId="0" applyNumberFormat="1" applyFont="1" applyBorder="1"/>
    <xf numFmtId="168" fontId="4" fillId="0" borderId="34" xfId="0" applyNumberFormat="1" applyFont="1" applyFill="1" applyBorder="1" applyAlignment="1">
      <alignment horizontal="left"/>
    </xf>
    <xf numFmtId="0" fontId="36" fillId="0" borderId="0" xfId="0" applyFont="1"/>
    <xf numFmtId="0" fontId="6" fillId="0" borderId="124" xfId="0" applyFont="1" applyBorder="1"/>
    <xf numFmtId="168" fontId="6" fillId="0" borderId="124" xfId="0" applyNumberFormat="1" applyFont="1" applyBorder="1"/>
    <xf numFmtId="0" fontId="6" fillId="0" borderId="55" xfId="0" applyFont="1" applyBorder="1"/>
    <xf numFmtId="168" fontId="6" fillId="0" borderId="55" xfId="0" applyNumberFormat="1" applyFont="1" applyBorder="1"/>
    <xf numFmtId="168" fontId="6" fillId="0" borderId="4" xfId="0" applyNumberFormat="1" applyFont="1" applyFill="1" applyBorder="1" applyAlignment="1">
      <alignment horizontal="left"/>
    </xf>
    <xf numFmtId="0" fontId="25" fillId="0" borderId="28" xfId="0" applyFont="1" applyFill="1" applyBorder="1"/>
    <xf numFmtId="0" fontId="6" fillId="0" borderId="127" xfId="0" applyNumberFormat="1" applyFont="1" applyFill="1" applyBorder="1" applyAlignment="1">
      <alignment horizontal="center"/>
    </xf>
    <xf numFmtId="168" fontId="0" fillId="0" borderId="117" xfId="0" applyNumberFormat="1" applyFill="1" applyBorder="1" applyAlignment="1">
      <alignment horizontal="right"/>
    </xf>
    <xf numFmtId="168" fontId="0" fillId="0" borderId="115" xfId="0" applyNumberFormat="1" applyFill="1" applyBorder="1" applyAlignment="1">
      <alignment horizontal="right"/>
    </xf>
    <xf numFmtId="171" fontId="6" fillId="0" borderId="4" xfId="0" applyNumberFormat="1" applyFont="1" applyFill="1" applyBorder="1" applyAlignment="1"/>
    <xf numFmtId="171" fontId="6" fillId="0" borderId="3" xfId="0" applyNumberFormat="1" applyFont="1" applyFill="1" applyBorder="1"/>
    <xf numFmtId="168" fontId="4" fillId="0" borderId="3" xfId="0" applyNumberFormat="1" applyFont="1" applyFill="1" applyBorder="1" applyAlignment="1"/>
    <xf numFmtId="168" fontId="4" fillId="0" borderId="4" xfId="0" applyNumberFormat="1" applyFont="1" applyFill="1" applyBorder="1" applyAlignment="1"/>
    <xf numFmtId="168" fontId="0" fillId="0" borderId="4" xfId="0" applyNumberFormat="1" applyBorder="1" applyAlignment="1">
      <alignment horizontal="center"/>
    </xf>
    <xf numFmtId="168" fontId="0" fillId="0" borderId="3" xfId="0" applyNumberFormat="1" applyBorder="1" applyAlignment="1">
      <alignment horizontal="center"/>
    </xf>
    <xf numFmtId="168" fontId="0" fillId="0" borderId="0" xfId="0" applyNumberFormat="1" applyAlignment="1">
      <alignment horizontal="center"/>
    </xf>
    <xf numFmtId="168" fontId="0" fillId="0" borderId="0" xfId="0" applyNumberFormat="1" applyBorder="1" applyAlignment="1">
      <alignment horizontal="center"/>
    </xf>
    <xf numFmtId="168" fontId="2" fillId="0" borderId="0" xfId="0" applyNumberFormat="1" applyFont="1" applyAlignment="1">
      <alignment horizontal="center"/>
    </xf>
    <xf numFmtId="0" fontId="16" fillId="0" borderId="47" xfId="0" applyFont="1" applyFill="1" applyBorder="1" applyAlignment="1">
      <alignment horizontal="left"/>
    </xf>
    <xf numFmtId="0" fontId="16" fillId="0" borderId="90" xfId="0" applyFont="1" applyFill="1" applyBorder="1" applyAlignment="1">
      <alignment horizontal="center"/>
    </xf>
    <xf numFmtId="0" fontId="6" fillId="0" borderId="135" xfId="0" applyFont="1" applyFill="1" applyBorder="1" applyAlignment="1">
      <alignment horizontal="left"/>
    </xf>
    <xf numFmtId="0" fontId="16" fillId="0" borderId="115" xfId="0" applyFont="1" applyFill="1" applyBorder="1" applyAlignment="1">
      <alignment horizontal="center"/>
    </xf>
    <xf numFmtId="14" fontId="0" fillId="0" borderId="4" xfId="0" applyNumberFormat="1" applyFill="1" applyBorder="1" applyAlignment="1">
      <alignment horizontal="left"/>
    </xf>
    <xf numFmtId="168" fontId="6" fillId="0" borderId="16" xfId="0" applyNumberFormat="1" applyFont="1" applyFill="1" applyBorder="1" applyAlignment="1">
      <alignment horizontal="right"/>
    </xf>
    <xf numFmtId="0" fontId="6" fillId="0" borderId="4" xfId="0" applyFont="1" applyFill="1" applyBorder="1" applyAlignment="1">
      <alignment horizontal="left"/>
    </xf>
    <xf numFmtId="3" fontId="6" fillId="0" borderId="167" xfId="0" applyNumberFormat="1" applyFont="1" applyFill="1" applyBorder="1" applyAlignment="1">
      <alignment horizontal="right"/>
    </xf>
    <xf numFmtId="168" fontId="6" fillId="0" borderId="167" xfId="0" applyNumberFormat="1" applyFont="1" applyFill="1" applyBorder="1" applyAlignment="1">
      <alignment horizontal="right"/>
    </xf>
    <xf numFmtId="168" fontId="6" fillId="0" borderId="60" xfId="0" applyNumberFormat="1" applyFont="1" applyFill="1" applyBorder="1" applyAlignment="1">
      <alignment horizontal="right"/>
    </xf>
    <xf numFmtId="0" fontId="4" fillId="0" borderId="28" xfId="0" applyFont="1" applyFill="1" applyBorder="1" applyAlignment="1">
      <alignment horizontal="center"/>
    </xf>
    <xf numFmtId="3" fontId="6" fillId="0" borderId="27" xfId="0" applyNumberFormat="1" applyFont="1" applyFill="1" applyBorder="1" applyAlignment="1"/>
    <xf numFmtId="168" fontId="6" fillId="0" borderId="2" xfId="0" applyNumberFormat="1" applyFont="1" applyFill="1" applyBorder="1" applyAlignment="1"/>
    <xf numFmtId="168" fontId="6" fillId="0" borderId="27" xfId="0" applyNumberFormat="1" applyFont="1" applyFill="1" applyBorder="1" applyAlignment="1"/>
    <xf numFmtId="168" fontId="6" fillId="0" borderId="48" xfId="0" applyNumberFormat="1" applyFont="1" applyFill="1" applyBorder="1" applyAlignment="1"/>
    <xf numFmtId="0" fontId="4" fillId="0" borderId="97" xfId="0" applyFont="1" applyFill="1" applyBorder="1" applyAlignment="1">
      <alignment horizontal="left"/>
    </xf>
    <xf numFmtId="0" fontId="0" fillId="0" borderId="5" xfId="0" applyFill="1" applyBorder="1" applyAlignment="1">
      <alignment horizontal="left"/>
    </xf>
    <xf numFmtId="3" fontId="0" fillId="0" borderId="5" xfId="0" applyNumberFormat="1" applyFill="1" applyBorder="1" applyAlignment="1">
      <alignment horizontal="right"/>
    </xf>
    <xf numFmtId="0" fontId="4" fillId="0" borderId="0" xfId="0" applyFont="1" applyFill="1" applyAlignment="1">
      <alignment horizontal="left"/>
    </xf>
    <xf numFmtId="0" fontId="0" fillId="0" borderId="0" xfId="0" applyFill="1" applyAlignment="1">
      <alignment horizontal="center"/>
    </xf>
    <xf numFmtId="0" fontId="6" fillId="0" borderId="133" xfId="0" applyFont="1" applyFill="1" applyBorder="1" applyAlignment="1">
      <alignment horizontal="center"/>
    </xf>
    <xf numFmtId="0" fontId="4" fillId="0" borderId="0" xfId="0" applyFont="1" applyFill="1"/>
    <xf numFmtId="0" fontId="6" fillId="0" borderId="133" xfId="0" applyFont="1" applyFill="1" applyBorder="1" applyAlignment="1">
      <alignment horizontal="left"/>
    </xf>
    <xf numFmtId="0" fontId="6" fillId="0" borderId="0" xfId="0" applyFont="1" applyBorder="1" applyAlignment="1">
      <alignment horizontal="left"/>
    </xf>
    <xf numFmtId="0" fontId="0" fillId="0" borderId="4" xfId="0" applyFill="1" applyBorder="1" applyAlignment="1">
      <alignment horizontal="center"/>
    </xf>
    <xf numFmtId="0" fontId="13" fillId="0" borderId="4" xfId="0" applyFont="1" applyFill="1" applyBorder="1" applyAlignment="1">
      <alignment horizontal="center"/>
    </xf>
    <xf numFmtId="0" fontId="5" fillId="0" borderId="4" xfId="0" applyFont="1" applyFill="1" applyBorder="1" applyAlignment="1">
      <alignment horizontal="center"/>
    </xf>
    <xf numFmtId="0" fontId="0" fillId="0" borderId="11" xfId="0" applyFill="1" applyBorder="1" applyAlignment="1">
      <alignment horizontal="center"/>
    </xf>
    <xf numFmtId="168" fontId="6" fillId="0" borderId="69" xfId="0" applyNumberFormat="1" applyFont="1" applyFill="1" applyBorder="1" applyAlignment="1">
      <alignment horizontal="right"/>
    </xf>
    <xf numFmtId="168" fontId="6" fillId="0" borderId="149" xfId="0" applyNumberFormat="1" applyFont="1" applyFill="1" applyBorder="1" applyAlignment="1">
      <alignment horizontal="right"/>
    </xf>
    <xf numFmtId="168" fontId="0" fillId="0" borderId="0" xfId="0" applyNumberFormat="1" applyFill="1" applyAlignment="1">
      <alignment horizontal="left"/>
    </xf>
    <xf numFmtId="168" fontId="2" fillId="0" borderId="3" xfId="0" applyNumberFormat="1" applyFont="1" applyFill="1" applyBorder="1" applyAlignment="1">
      <alignment horizontal="right"/>
    </xf>
    <xf numFmtId="168" fontId="2" fillId="0" borderId="4" xfId="0" applyNumberFormat="1" applyFont="1" applyFill="1" applyBorder="1" applyAlignment="1">
      <alignment horizontal="right"/>
    </xf>
    <xf numFmtId="168" fontId="2" fillId="0" borderId="16" xfId="0" applyNumberFormat="1" applyFont="1" applyFill="1" applyBorder="1" applyAlignment="1">
      <alignment horizontal="right"/>
    </xf>
    <xf numFmtId="168" fontId="2" fillId="2" borderId="3" xfId="0" applyNumberFormat="1" applyFont="1" applyFill="1" applyBorder="1" applyAlignment="1">
      <alignment horizontal="right"/>
    </xf>
    <xf numFmtId="168" fontId="2" fillId="2" borderId="4" xfId="0" applyNumberFormat="1" applyFont="1" applyFill="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2" fillId="0" borderId="3" xfId="0" applyNumberFormat="1" applyFont="1" applyBorder="1" applyAlignment="1">
      <alignment horizontal="right"/>
    </xf>
    <xf numFmtId="168" fontId="2" fillId="0" borderId="4" xfId="0" applyNumberFormat="1" applyFont="1" applyBorder="1" applyAlignment="1">
      <alignment horizontal="right"/>
    </xf>
    <xf numFmtId="168" fontId="5" fillId="0" borderId="16" xfId="0" applyNumberFormat="1" applyFont="1" applyFill="1" applyBorder="1" applyAlignment="1">
      <alignment horizontal="right"/>
    </xf>
    <xf numFmtId="168" fontId="4" fillId="0" borderId="3" xfId="0" applyNumberFormat="1" applyFont="1" applyBorder="1" applyAlignment="1">
      <alignment horizontal="right"/>
    </xf>
    <xf numFmtId="168" fontId="4" fillId="0" borderId="4" xfId="0" applyNumberFormat="1" applyFont="1" applyBorder="1" applyAlignment="1">
      <alignment horizontal="right"/>
    </xf>
    <xf numFmtId="168" fontId="6" fillId="0" borderId="4" xfId="0" applyNumberFormat="1" applyFont="1" applyBorder="1" applyAlignment="1">
      <alignment horizontal="right"/>
    </xf>
    <xf numFmtId="168" fontId="6" fillId="0" borderId="3" xfId="0" applyNumberFormat="1" applyFont="1" applyBorder="1" applyAlignment="1">
      <alignment horizontal="right"/>
    </xf>
    <xf numFmtId="170" fontId="4" fillId="0" borderId="3" xfId="0" applyNumberFormat="1" applyFont="1" applyBorder="1" applyAlignment="1">
      <alignment horizontal="right"/>
    </xf>
    <xf numFmtId="168" fontId="5" fillId="0" borderId="3" xfId="0" applyNumberFormat="1" applyFont="1" applyBorder="1" applyAlignment="1">
      <alignment horizontal="right"/>
    </xf>
    <xf numFmtId="168" fontId="5" fillId="0" borderId="4" xfId="0" applyNumberFormat="1" applyFont="1" applyBorder="1" applyAlignment="1">
      <alignment horizontal="right"/>
    </xf>
    <xf numFmtId="168" fontId="6" fillId="2" borderId="4" xfId="0" applyNumberFormat="1" applyFont="1" applyFill="1" applyBorder="1" applyAlignment="1">
      <alignment horizontal="right"/>
    </xf>
    <xf numFmtId="168" fontId="6" fillId="2" borderId="3" xfId="0" applyNumberFormat="1" applyFont="1" applyFill="1" applyBorder="1" applyAlignment="1">
      <alignment horizontal="right"/>
    </xf>
    <xf numFmtId="168" fontId="4" fillId="0" borderId="11" xfId="0" applyNumberFormat="1" applyFont="1" applyFill="1" applyBorder="1" applyAlignment="1">
      <alignment horizontal="center"/>
    </xf>
    <xf numFmtId="9" fontId="4" fillId="0" borderId="11" xfId="4" applyFont="1" applyFill="1" applyBorder="1" applyAlignment="1">
      <alignment horizontal="center"/>
    </xf>
    <xf numFmtId="168" fontId="4" fillId="0" borderId="43" xfId="0" applyNumberFormat="1" applyFont="1" applyFill="1" applyBorder="1" applyAlignment="1">
      <alignment horizontal="center"/>
    </xf>
    <xf numFmtId="168" fontId="4" fillId="0" borderId="53" xfId="0" applyNumberFormat="1" applyFont="1" applyFill="1" applyBorder="1" applyAlignment="1">
      <alignment horizontal="center"/>
    </xf>
    <xf numFmtId="167" fontId="0" fillId="0" borderId="0" xfId="4" applyNumberFormat="1" applyFont="1"/>
    <xf numFmtId="168" fontId="2" fillId="0" borderId="1" xfId="0" applyNumberFormat="1" applyFont="1" applyBorder="1" applyAlignment="1">
      <alignment horizontal="left"/>
    </xf>
    <xf numFmtId="168" fontId="2" fillId="0" borderId="29" xfId="0" applyNumberFormat="1" applyFont="1" applyBorder="1" applyAlignment="1" applyProtection="1">
      <alignment horizontal="right"/>
      <protection locked="0"/>
    </xf>
    <xf numFmtId="168" fontId="2" fillId="0" borderId="15" xfId="0" applyNumberFormat="1" applyFont="1" applyBorder="1"/>
    <xf numFmtId="168" fontId="0" fillId="0" borderId="117" xfId="0" applyNumberFormat="1" applyFill="1" applyBorder="1" applyAlignment="1">
      <alignment horizontal="left"/>
    </xf>
    <xf numFmtId="3" fontId="4" fillId="0" borderId="4" xfId="0" applyNumberFormat="1" applyFont="1" applyBorder="1"/>
    <xf numFmtId="168" fontId="5" fillId="0" borderId="129" xfId="0" applyNumberFormat="1" applyFont="1" applyBorder="1"/>
    <xf numFmtId="0" fontId="16" fillId="0" borderId="69" xfId="0" applyFont="1" applyFill="1" applyBorder="1" applyAlignment="1">
      <alignment horizontal="left"/>
    </xf>
    <xf numFmtId="0" fontId="16" fillId="0" borderId="74" xfId="0" applyFont="1" applyFill="1" applyBorder="1" applyAlignment="1">
      <alignment horizontal="left"/>
    </xf>
    <xf numFmtId="3" fontId="16" fillId="0" borderId="69" xfId="0" applyNumberFormat="1" applyFont="1" applyFill="1" applyBorder="1" applyAlignment="1">
      <alignment horizontal="right"/>
    </xf>
    <xf numFmtId="3" fontId="16" fillId="0" borderId="74" xfId="0" applyNumberFormat="1" applyFont="1" applyFill="1" applyBorder="1" applyAlignment="1">
      <alignment horizontal="right"/>
    </xf>
    <xf numFmtId="3" fontId="16" fillId="0" borderId="149" xfId="0" applyNumberFormat="1" applyFont="1" applyFill="1" applyBorder="1" applyAlignment="1">
      <alignment horizontal="right"/>
    </xf>
    <xf numFmtId="0" fontId="4" fillId="0" borderId="0" xfId="0" applyFont="1" applyFill="1" applyAlignment="1">
      <alignment horizontal="center"/>
    </xf>
    <xf numFmtId="15" fontId="4" fillId="0" borderId="0" xfId="0" applyNumberFormat="1" applyFont="1" applyFill="1" applyAlignment="1">
      <alignment horizontal="center"/>
    </xf>
    <xf numFmtId="0" fontId="14" fillId="0" borderId="34" xfId="0" applyFont="1" applyFill="1" applyBorder="1"/>
    <xf numFmtId="168" fontId="2" fillId="0" borderId="135" xfId="0" applyNumberFormat="1" applyFont="1" applyFill="1" applyBorder="1"/>
    <xf numFmtId="168" fontId="6" fillId="0" borderId="129" xfId="0" applyNumberFormat="1" applyFont="1" applyFill="1" applyBorder="1" applyAlignment="1">
      <alignment horizontal="center"/>
    </xf>
    <xf numFmtId="168" fontId="2" fillId="0" borderId="117" xfId="0" applyNumberFormat="1" applyFont="1" applyFill="1" applyBorder="1" applyAlignment="1">
      <alignment horizontal="center"/>
    </xf>
    <xf numFmtId="168" fontId="4" fillId="0" borderId="4" xfId="0" applyNumberFormat="1" applyFont="1" applyFill="1" applyBorder="1" applyAlignment="1">
      <alignment horizontal="center" wrapText="1"/>
    </xf>
    <xf numFmtId="168" fontId="4" fillId="0" borderId="117" xfId="0" applyNumberFormat="1" applyFont="1" applyFill="1" applyBorder="1"/>
    <xf numFmtId="175" fontId="4" fillId="0" borderId="3" xfId="0" applyNumberFormat="1" applyFont="1" applyFill="1" applyBorder="1" applyAlignment="1">
      <alignment horizontal="center"/>
    </xf>
    <xf numFmtId="166" fontId="6" fillId="0" borderId="0" xfId="0" applyNumberFormat="1" applyFont="1"/>
    <xf numFmtId="166" fontId="6" fillId="0" borderId="0" xfId="1" applyNumberFormat="1" applyFont="1"/>
    <xf numFmtId="0" fontId="0" fillId="0" borderId="129" xfId="0" applyBorder="1" applyAlignment="1">
      <alignment horizontal="center"/>
    </xf>
    <xf numFmtId="0" fontId="4" fillId="6" borderId="0" xfId="0" applyFont="1" applyFill="1"/>
    <xf numFmtId="0" fontId="4" fillId="0" borderId="4" xfId="0" applyNumberFormat="1" applyFont="1" applyFill="1" applyBorder="1" applyAlignment="1">
      <alignment horizontal="center"/>
    </xf>
    <xf numFmtId="175" fontId="4" fillId="0" borderId="4" xfId="0" applyNumberFormat="1" applyFont="1" applyFill="1" applyBorder="1" applyAlignment="1">
      <alignment horizontal="center"/>
    </xf>
    <xf numFmtId="0" fontId="4" fillId="0" borderId="0" xfId="0" applyFont="1" applyFill="1" applyBorder="1"/>
    <xf numFmtId="0" fontId="4" fillId="0" borderId="3" xfId="0" applyNumberFormat="1" applyFont="1" applyFill="1" applyBorder="1" applyAlignment="1">
      <alignment horizontal="center"/>
    </xf>
    <xf numFmtId="168" fontId="4" fillId="0" borderId="0" xfId="0" applyNumberFormat="1" applyFont="1" applyFill="1" applyBorder="1" applyAlignment="1">
      <alignment horizontal="right"/>
    </xf>
    <xf numFmtId="0" fontId="4" fillId="0" borderId="3" xfId="0" applyNumberFormat="1" applyFont="1" applyFill="1" applyBorder="1" applyAlignment="1">
      <alignment horizontal="right"/>
    </xf>
    <xf numFmtId="0" fontId="2" fillId="0" borderId="4" xfId="0" applyFont="1" applyBorder="1"/>
    <xf numFmtId="0" fontId="2" fillId="0" borderId="100" xfId="0" applyFont="1" applyFill="1" applyBorder="1" applyProtection="1">
      <protection locked="0"/>
    </xf>
    <xf numFmtId="0" fontId="4" fillId="0" borderId="8" xfId="0" applyFont="1" applyFill="1" applyBorder="1" applyAlignment="1">
      <alignment horizontal="center"/>
    </xf>
    <xf numFmtId="168" fontId="2" fillId="0" borderId="100" xfId="0" applyNumberFormat="1" applyFont="1" applyFill="1" applyBorder="1" applyAlignment="1">
      <alignment horizontal="left"/>
    </xf>
    <xf numFmtId="168" fontId="4" fillId="0" borderId="16" xfId="0" quotePrefix="1" applyNumberFormat="1" applyFont="1" applyBorder="1" applyAlignment="1">
      <alignment horizontal="right"/>
    </xf>
    <xf numFmtId="168" fontId="6" fillId="0" borderId="173" xfId="0" quotePrefix="1" applyNumberFormat="1" applyFont="1" applyFill="1" applyBorder="1" applyAlignment="1">
      <alignment horizontal="center"/>
    </xf>
    <xf numFmtId="168" fontId="6" fillId="0" borderId="157" xfId="0" applyNumberFormat="1" applyFont="1" applyFill="1" applyBorder="1"/>
    <xf numFmtId="168" fontId="2" fillId="0" borderId="3" xfId="0" applyNumberFormat="1" applyFont="1" applyFill="1" applyBorder="1" applyAlignment="1">
      <alignment horizontal="left"/>
    </xf>
    <xf numFmtId="0" fontId="4" fillId="0" borderId="3" xfId="0" applyNumberFormat="1" applyFont="1" applyFill="1" applyBorder="1" applyAlignment="1">
      <alignment horizontal="left"/>
    </xf>
    <xf numFmtId="168" fontId="4" fillId="0" borderId="13" xfId="0" applyNumberFormat="1" applyFont="1" applyFill="1" applyBorder="1"/>
    <xf numFmtId="1" fontId="4" fillId="0" borderId="0" xfId="0" applyNumberFormat="1" applyFont="1" applyFill="1" applyBorder="1"/>
    <xf numFmtId="3" fontId="0" fillId="0" borderId="0" xfId="0" applyNumberFormat="1" applyFill="1" applyBorder="1"/>
    <xf numFmtId="168" fontId="2" fillId="0" borderId="129" xfId="0" applyNumberFormat="1" applyFont="1" applyFill="1" applyBorder="1"/>
    <xf numFmtId="168" fontId="4" fillId="3" borderId="3" xfId="0" applyNumberFormat="1" applyFont="1" applyFill="1" applyBorder="1" applyAlignment="1">
      <alignment horizontal="center"/>
    </xf>
    <xf numFmtId="0" fontId="2" fillId="0" borderId="129" xfId="0" applyFont="1" applyBorder="1"/>
    <xf numFmtId="168" fontId="5" fillId="7" borderId="0" xfId="0" applyNumberFormat="1" applyFont="1" applyFill="1"/>
    <xf numFmtId="168" fontId="28" fillId="0" borderId="0" xfId="0" applyNumberFormat="1" applyFont="1" applyFill="1" applyAlignment="1">
      <alignment horizontal="right"/>
    </xf>
    <xf numFmtId="168" fontId="6" fillId="0" borderId="117" xfId="0" applyNumberFormat="1" applyFont="1" applyFill="1" applyBorder="1"/>
    <xf numFmtId="0" fontId="6" fillId="0" borderId="117" xfId="0" applyNumberFormat="1" applyFont="1" applyFill="1" applyBorder="1" applyAlignment="1">
      <alignment horizontal="center"/>
    </xf>
    <xf numFmtId="168" fontId="2" fillId="0" borderId="94" xfId="0" applyNumberFormat="1" applyFont="1" applyFill="1" applyBorder="1"/>
    <xf numFmtId="168" fontId="4" fillId="0" borderId="117" xfId="0" applyNumberFormat="1" applyFont="1" applyFill="1" applyBorder="1" applyAlignment="1"/>
    <xf numFmtId="168" fontId="5" fillId="0" borderId="117" xfId="0" applyNumberFormat="1" applyFont="1" applyBorder="1"/>
    <xf numFmtId="168" fontId="4" fillId="0" borderId="129" xfId="0" applyNumberFormat="1" applyFont="1" applyBorder="1"/>
    <xf numFmtId="168" fontId="5" fillId="0" borderId="156" xfId="0" applyNumberFormat="1" applyFont="1" applyBorder="1"/>
    <xf numFmtId="168" fontId="4" fillId="0" borderId="115" xfId="0" applyNumberFormat="1" applyFont="1" applyFill="1" applyBorder="1" applyAlignment="1"/>
    <xf numFmtId="0" fontId="6" fillId="0" borderId="129" xfId="0" applyFont="1" applyBorder="1" applyAlignment="1">
      <alignment horizontal="center"/>
    </xf>
    <xf numFmtId="38" fontId="6" fillId="0" borderId="1" xfId="0" applyNumberFormat="1" applyFont="1" applyBorder="1"/>
    <xf numFmtId="168" fontId="6" fillId="0" borderId="175" xfId="0" applyNumberFormat="1" applyFont="1" applyFill="1" applyBorder="1"/>
    <xf numFmtId="166" fontId="0" fillId="0" borderId="4" xfId="1" applyNumberFormat="1" applyFont="1" applyBorder="1"/>
    <xf numFmtId="0" fontId="4" fillId="0" borderId="4" xfId="0" applyFont="1" applyFill="1" applyBorder="1" applyAlignment="1">
      <alignment horizontal="center"/>
    </xf>
    <xf numFmtId="0" fontId="2" fillId="0" borderId="3" xfId="0" applyFont="1" applyBorder="1"/>
    <xf numFmtId="168" fontId="2" fillId="0" borderId="109" xfId="0" applyNumberFormat="1" applyFont="1" applyFill="1" applyBorder="1"/>
    <xf numFmtId="168" fontId="2" fillId="0" borderId="109" xfId="0" applyNumberFormat="1" applyFont="1" applyFill="1" applyBorder="1" applyAlignment="1">
      <alignment horizontal="left"/>
    </xf>
    <xf numFmtId="168" fontId="4" fillId="0" borderId="4" xfId="0" applyNumberFormat="1" applyFont="1" applyFill="1" applyBorder="1" applyAlignment="1">
      <alignment horizontal="center"/>
    </xf>
    <xf numFmtId="168" fontId="4" fillId="0" borderId="8" xfId="0" applyNumberFormat="1" applyFont="1" applyFill="1" applyBorder="1" applyAlignment="1">
      <alignment horizontal="center" wrapText="1"/>
    </xf>
    <xf numFmtId="168" fontId="2" fillId="0" borderId="28" xfId="0" applyNumberFormat="1" applyFont="1" applyFill="1" applyBorder="1" applyAlignment="1">
      <alignment horizontal="left"/>
    </xf>
    <xf numFmtId="166" fontId="37" fillId="0" borderId="0" xfId="1" applyNumberFormat="1" applyFont="1" applyFill="1"/>
    <xf numFmtId="0" fontId="2" fillId="0" borderId="34" xfId="0" applyNumberFormat="1" applyFont="1" applyFill="1" applyBorder="1"/>
    <xf numFmtId="168" fontId="6" fillId="0" borderId="56" xfId="0" applyNumberFormat="1" applyFont="1" applyFill="1" applyBorder="1"/>
    <xf numFmtId="0" fontId="6" fillId="0" borderId="56" xfId="0" applyNumberFormat="1" applyFont="1" applyFill="1" applyBorder="1" applyAlignment="1">
      <alignment horizontal="center"/>
    </xf>
    <xf numFmtId="168" fontId="6" fillId="0" borderId="57" xfId="0" applyNumberFormat="1" applyFont="1" applyFill="1" applyBorder="1" applyAlignment="1">
      <alignment horizontal="left"/>
    </xf>
    <xf numFmtId="168" fontId="6" fillId="0" borderId="58" xfId="0" applyNumberFormat="1" applyFont="1" applyFill="1" applyBorder="1"/>
    <xf numFmtId="168" fontId="6" fillId="0" borderId="54" xfId="0" applyNumberFormat="1" applyFont="1" applyFill="1" applyBorder="1"/>
    <xf numFmtId="0" fontId="6" fillId="0" borderId="177" xfId="0" applyNumberFormat="1" applyFont="1" applyFill="1" applyBorder="1" applyAlignment="1">
      <alignment horizontal="center"/>
    </xf>
    <xf numFmtId="168" fontId="6" fillId="0" borderId="56" xfId="0" quotePrefix="1" applyNumberFormat="1" applyFont="1" applyFill="1" applyBorder="1" applyAlignment="1">
      <alignment horizontal="left"/>
    </xf>
    <xf numFmtId="168" fontId="6" fillId="0" borderId="56" xfId="0" applyNumberFormat="1" applyFont="1" applyFill="1" applyBorder="1" applyAlignment="1"/>
    <xf numFmtId="0" fontId="2" fillId="0" borderId="0" xfId="0" applyFont="1" applyAlignment="1">
      <alignment horizontal="center"/>
    </xf>
    <xf numFmtId="0" fontId="2" fillId="0" borderId="129" xfId="0" applyFont="1" applyBorder="1" applyAlignment="1">
      <alignment horizontal="center"/>
    </xf>
    <xf numFmtId="0" fontId="2" fillId="0" borderId="100" xfId="0" applyFont="1" applyFill="1" applyBorder="1" applyAlignment="1">
      <alignment vertical="center"/>
    </xf>
    <xf numFmtId="168" fontId="0" fillId="0" borderId="115" xfId="0" applyNumberFormat="1" applyFill="1" applyBorder="1"/>
    <xf numFmtId="0" fontId="0" fillId="0" borderId="32" xfId="0" applyBorder="1"/>
    <xf numFmtId="168" fontId="4" fillId="0" borderId="100" xfId="0" quotePrefix="1" applyNumberFormat="1" applyFont="1" applyFill="1" applyBorder="1"/>
    <xf numFmtId="49" fontId="5" fillId="0" borderId="99" xfId="0" applyNumberFormat="1" applyFont="1" applyFill="1" applyBorder="1" applyAlignment="1">
      <alignment horizontal="left"/>
    </xf>
    <xf numFmtId="0" fontId="27" fillId="0" borderId="80" xfId="0" applyFont="1" applyBorder="1" applyAlignment="1">
      <alignment vertical="top" wrapText="1"/>
    </xf>
    <xf numFmtId="0" fontId="28" fillId="0" borderId="80" xfId="0" applyFont="1" applyBorder="1" applyAlignment="1">
      <alignment vertical="top" wrapText="1"/>
    </xf>
    <xf numFmtId="0" fontId="27" fillId="0" borderId="79" xfId="0" applyFont="1" applyBorder="1" applyAlignment="1">
      <alignment vertical="top" wrapText="1"/>
    </xf>
    <xf numFmtId="0" fontId="27" fillId="0" borderId="130" xfId="0" applyFont="1" applyBorder="1" applyAlignment="1">
      <alignment vertical="top" wrapText="1"/>
    </xf>
    <xf numFmtId="0" fontId="0" fillId="0" borderId="1" xfId="0" applyBorder="1"/>
    <xf numFmtId="0" fontId="0" fillId="0" borderId="44" xfId="0" applyBorder="1"/>
    <xf numFmtId="0" fontId="0" fillId="0" borderId="6" xfId="0" applyBorder="1"/>
    <xf numFmtId="168" fontId="0" fillId="0" borderId="1" xfId="0" applyNumberFormat="1" applyBorder="1"/>
    <xf numFmtId="168" fontId="0" fillId="0" borderId="0" xfId="1" applyNumberFormat="1" applyFont="1" applyBorder="1"/>
    <xf numFmtId="168" fontId="0" fillId="0" borderId="8" xfId="1" applyNumberFormat="1" applyFont="1" applyBorder="1"/>
    <xf numFmtId="168" fontId="0" fillId="0" borderId="8" xfId="0" applyNumberFormat="1" applyBorder="1"/>
    <xf numFmtId="168" fontId="2" fillId="0" borderId="6" xfId="0" applyNumberFormat="1" applyFont="1" applyBorder="1"/>
    <xf numFmtId="168" fontId="2" fillId="0" borderId="10" xfId="0" applyNumberFormat="1" applyFont="1" applyBorder="1"/>
    <xf numFmtId="168" fontId="2" fillId="0" borderId="0" xfId="1" applyNumberFormat="1" applyFont="1" applyBorder="1"/>
    <xf numFmtId="0" fontId="0" fillId="0" borderId="123" xfId="0" applyBorder="1"/>
    <xf numFmtId="0" fontId="2" fillId="0" borderId="7" xfId="0" applyFont="1" applyBorder="1"/>
    <xf numFmtId="0" fontId="4" fillId="0" borderId="7" xfId="0" applyFont="1" applyBorder="1"/>
    <xf numFmtId="0" fontId="4" fillId="0" borderId="7" xfId="0" applyFont="1" applyFill="1" applyBorder="1"/>
    <xf numFmtId="0" fontId="2" fillId="0" borderId="7" xfId="0" applyFont="1" applyFill="1" applyBorder="1"/>
    <xf numFmtId="168" fontId="2" fillId="0" borderId="8" xfId="1" applyNumberFormat="1" applyFont="1" applyBorder="1"/>
    <xf numFmtId="0" fontId="2" fillId="0" borderId="9" xfId="0" applyFont="1" applyFill="1" applyBorder="1"/>
    <xf numFmtId="0" fontId="2" fillId="0" borderId="6" xfId="0" applyFont="1" applyBorder="1"/>
    <xf numFmtId="168" fontId="2" fillId="0" borderId="6" xfId="1" applyNumberFormat="1" applyFont="1" applyBorder="1"/>
    <xf numFmtId="168" fontId="2" fillId="0" borderId="10" xfId="1" applyNumberFormat="1" applyFont="1" applyBorder="1"/>
    <xf numFmtId="0" fontId="27" fillId="0" borderId="8" xfId="0" applyFont="1" applyBorder="1" applyAlignment="1">
      <alignment horizontal="center" vertical="top" wrapText="1"/>
    </xf>
    <xf numFmtId="0" fontId="28" fillId="0" borderId="8" xfId="0" applyFont="1" applyBorder="1" applyAlignment="1">
      <alignment horizontal="right" vertical="top" wrapText="1"/>
    </xf>
    <xf numFmtId="0" fontId="29" fillId="0" borderId="80" xfId="0" applyFont="1" applyBorder="1" applyAlignment="1">
      <alignment wrapText="1"/>
    </xf>
    <xf numFmtId="0" fontId="28" fillId="0" borderId="80" xfId="0" applyFont="1" applyBorder="1" applyAlignment="1">
      <alignment wrapText="1"/>
    </xf>
    <xf numFmtId="0" fontId="27" fillId="0" borderId="80" xfId="0" applyFont="1" applyBorder="1" applyAlignment="1">
      <alignment wrapText="1"/>
    </xf>
    <xf numFmtId="0" fontId="28" fillId="0" borderId="79" xfId="0" applyFont="1" applyBorder="1" applyAlignment="1">
      <alignment wrapText="1"/>
    </xf>
    <xf numFmtId="0" fontId="27" fillId="0" borderId="10" xfId="0" applyFont="1" applyBorder="1" applyAlignment="1">
      <alignment horizontal="right" vertical="top" wrapText="1"/>
    </xf>
    <xf numFmtId="168" fontId="2" fillId="0" borderId="0" xfId="1" applyNumberFormat="1" applyFont="1" applyFill="1" applyBorder="1"/>
    <xf numFmtId="0" fontId="27" fillId="0" borderId="7" xfId="0" applyFont="1" applyBorder="1" applyAlignment="1">
      <alignment vertical="top" wrapText="1"/>
    </xf>
    <xf numFmtId="0" fontId="28" fillId="0" borderId="7" xfId="0" applyFont="1" applyBorder="1" applyAlignment="1">
      <alignment vertical="top" wrapText="1"/>
    </xf>
    <xf numFmtId="0" fontId="28" fillId="0" borderId="7" xfId="0" applyFont="1" applyBorder="1" applyAlignment="1">
      <alignment horizontal="justify" vertical="top" wrapText="1"/>
    </xf>
    <xf numFmtId="0" fontId="42" fillId="0" borderId="7" xfId="0" applyFont="1" applyBorder="1" applyAlignment="1">
      <alignment vertical="top" wrapText="1"/>
    </xf>
    <xf numFmtId="0" fontId="27" fillId="0" borderId="9" xfId="0" applyFont="1" applyBorder="1" applyAlignment="1">
      <alignment vertical="top" wrapText="1"/>
    </xf>
    <xf numFmtId="0" fontId="27" fillId="0" borderId="80" xfId="0" applyFont="1" applyBorder="1" applyAlignment="1">
      <alignment horizontal="center" vertical="top" wrapText="1"/>
    </xf>
    <xf numFmtId="0" fontId="27" fillId="0" borderId="79" xfId="0" applyFont="1" applyBorder="1" applyAlignment="1">
      <alignment horizontal="right" vertical="top" wrapText="1"/>
    </xf>
    <xf numFmtId="177" fontId="28" fillId="0" borderId="8" xfId="0" applyNumberFormat="1" applyFont="1" applyBorder="1" applyAlignment="1">
      <alignment horizontal="right" vertical="top" wrapText="1"/>
    </xf>
    <xf numFmtId="168" fontId="28" fillId="0" borderId="8" xfId="0" applyNumberFormat="1" applyFont="1" applyBorder="1" applyAlignment="1">
      <alignment horizontal="right" wrapText="1"/>
    </xf>
    <xf numFmtId="168" fontId="27" fillId="0" borderId="8" xfId="0" applyNumberFormat="1" applyFont="1" applyBorder="1" applyAlignment="1">
      <alignment horizontal="right" wrapText="1"/>
    </xf>
    <xf numFmtId="168" fontId="28" fillId="0" borderId="8" xfId="0" applyNumberFormat="1" applyFont="1" applyBorder="1" applyAlignment="1">
      <alignment wrapText="1"/>
    </xf>
    <xf numFmtId="168" fontId="27" fillId="0" borderId="8" xfId="0" applyNumberFormat="1" applyFont="1" applyBorder="1" applyAlignment="1">
      <alignment wrapText="1"/>
    </xf>
    <xf numFmtId="0" fontId="2" fillId="0" borderId="80" xfId="0" applyFont="1" applyBorder="1" applyAlignment="1">
      <alignment horizontal="center"/>
    </xf>
    <xf numFmtId="168" fontId="2" fillId="0" borderId="80" xfId="1" applyNumberFormat="1" applyFont="1" applyBorder="1" applyAlignment="1">
      <alignment horizontal="center"/>
    </xf>
    <xf numFmtId="168" fontId="2" fillId="0" borderId="8" xfId="1" applyNumberFormat="1" applyFont="1" applyBorder="1" applyAlignment="1">
      <alignment horizontal="center"/>
    </xf>
    <xf numFmtId="0" fontId="2" fillId="0" borderId="64" xfId="0" applyFont="1" applyFill="1" applyBorder="1"/>
    <xf numFmtId="0" fontId="2" fillId="0" borderId="178" xfId="0" applyFont="1" applyBorder="1" applyAlignment="1">
      <alignment horizontal="center"/>
    </xf>
    <xf numFmtId="168" fontId="2" fillId="0" borderId="178" xfId="1" applyNumberFormat="1" applyFont="1" applyBorder="1" applyAlignment="1">
      <alignment horizontal="center"/>
    </xf>
    <xf numFmtId="168" fontId="2" fillId="0" borderId="84" xfId="1" applyNumberFormat="1" applyFont="1" applyBorder="1" applyAlignment="1">
      <alignment horizontal="center"/>
    </xf>
    <xf numFmtId="168" fontId="28" fillId="0" borderId="80" xfId="0" applyNumberFormat="1" applyFont="1" applyBorder="1" applyAlignment="1">
      <alignment horizontal="right" vertical="top" wrapText="1"/>
    </xf>
    <xf numFmtId="168" fontId="27" fillId="0" borderId="80" xfId="0" applyNumberFormat="1" applyFont="1" applyBorder="1" applyAlignment="1">
      <alignment horizontal="right" vertical="top" wrapText="1"/>
    </xf>
    <xf numFmtId="168" fontId="27" fillId="0" borderId="8" xfId="0" applyNumberFormat="1" applyFont="1" applyBorder="1" applyAlignment="1">
      <alignment horizontal="right" vertical="top" wrapText="1"/>
    </xf>
    <xf numFmtId="168" fontId="40" fillId="0" borderId="80" xfId="0" applyNumberFormat="1" applyFont="1" applyBorder="1" applyAlignment="1">
      <alignment horizontal="right" vertical="top" wrapText="1"/>
    </xf>
    <xf numFmtId="168" fontId="40" fillId="0" borderId="8" xfId="0" applyNumberFormat="1" applyFont="1" applyBorder="1" applyAlignment="1">
      <alignment horizontal="right" vertical="top" wrapText="1"/>
    </xf>
    <xf numFmtId="168" fontId="41" fillId="0" borderId="80" xfId="0" applyNumberFormat="1" applyFont="1" applyBorder="1" applyAlignment="1">
      <alignment horizontal="right" vertical="top" wrapText="1"/>
    </xf>
    <xf numFmtId="168" fontId="41" fillId="0" borderId="8" xfId="0" applyNumberFormat="1" applyFont="1" applyBorder="1" applyAlignment="1">
      <alignment horizontal="right" vertical="top" wrapText="1"/>
    </xf>
    <xf numFmtId="168" fontId="28" fillId="0" borderId="8" xfId="0" applyNumberFormat="1" applyFont="1" applyBorder="1" applyAlignment="1">
      <alignment horizontal="right" vertical="top" wrapText="1"/>
    </xf>
    <xf numFmtId="168" fontId="4" fillId="0" borderId="15" xfId="0" applyNumberFormat="1" applyFont="1" applyBorder="1"/>
    <xf numFmtId="168" fontId="4" fillId="0" borderId="8" xfId="0" applyNumberFormat="1" applyFont="1" applyBorder="1"/>
    <xf numFmtId="168" fontId="4" fillId="0" borderId="4" xfId="1" applyNumberFormat="1" applyFont="1" applyBorder="1"/>
    <xf numFmtId="168" fontId="4" fillId="0" borderId="3" xfId="1" applyNumberFormat="1" applyFont="1" applyBorder="1"/>
    <xf numFmtId="1" fontId="0" fillId="0" borderId="0" xfId="0" applyNumberFormat="1"/>
    <xf numFmtId="1" fontId="0" fillId="0" borderId="0" xfId="1" applyNumberFormat="1" applyFont="1"/>
    <xf numFmtId="1" fontId="0" fillId="0" borderId="0" xfId="0" applyNumberFormat="1" applyFill="1"/>
    <xf numFmtId="0" fontId="4" fillId="0" borderId="129" xfId="0" applyFont="1" applyFill="1" applyBorder="1"/>
    <xf numFmtId="168" fontId="13" fillId="0" borderId="100" xfId="0" applyNumberFormat="1" applyFont="1" applyFill="1" applyBorder="1" applyAlignment="1">
      <alignment horizontal="left"/>
    </xf>
    <xf numFmtId="168" fontId="4" fillId="0" borderId="3" xfId="0" quotePrefix="1" applyNumberFormat="1" applyFont="1" applyFill="1" applyBorder="1" applyAlignment="1">
      <alignment horizontal="right"/>
    </xf>
    <xf numFmtId="0" fontId="2" fillId="0" borderId="34" xfId="0" applyFont="1" applyFill="1" applyBorder="1"/>
    <xf numFmtId="168" fontId="28" fillId="0" borderId="4" xfId="0" applyNumberFormat="1" applyFont="1" applyFill="1" applyBorder="1"/>
    <xf numFmtId="168" fontId="27" fillId="0" borderId="30" xfId="0" applyNumberFormat="1" applyFont="1" applyFill="1" applyBorder="1"/>
    <xf numFmtId="168" fontId="27" fillId="0" borderId="4" xfId="0" applyNumberFormat="1" applyFont="1" applyFill="1" applyBorder="1"/>
    <xf numFmtId="168" fontId="27" fillId="0" borderId="29" xfId="0" applyNumberFormat="1" applyFont="1" applyFill="1" applyBorder="1" applyAlignment="1"/>
    <xf numFmtId="168" fontId="27" fillId="0" borderId="26" xfId="0" quotePrefix="1" applyNumberFormat="1" applyFont="1" applyBorder="1" applyAlignment="1">
      <alignment horizontal="center"/>
    </xf>
    <xf numFmtId="168" fontId="28" fillId="0" borderId="28" xfId="0" applyNumberFormat="1" applyFont="1" applyFill="1" applyBorder="1"/>
    <xf numFmtId="168" fontId="27" fillId="0" borderId="28" xfId="0" applyNumberFormat="1" applyFont="1" applyFill="1" applyBorder="1"/>
    <xf numFmtId="168" fontId="27" fillId="0" borderId="23" xfId="0" applyNumberFormat="1" applyFont="1" applyFill="1" applyBorder="1"/>
    <xf numFmtId="168" fontId="28" fillId="0" borderId="19" xfId="0" applyNumberFormat="1" applyFont="1" applyFill="1" applyBorder="1"/>
    <xf numFmtId="168" fontId="27" fillId="0" borderId="32" xfId="0" applyNumberFormat="1" applyFont="1" applyFill="1" applyBorder="1"/>
    <xf numFmtId="9" fontId="0" fillId="0" borderId="7" xfId="4" applyFont="1" applyBorder="1" applyAlignment="1">
      <alignment horizontal="right"/>
    </xf>
    <xf numFmtId="10" fontId="0" fillId="0" borderId="3" xfId="0" applyNumberFormat="1" applyBorder="1" applyAlignment="1">
      <alignment horizontal="right"/>
    </xf>
    <xf numFmtId="10" fontId="0" fillId="0" borderId="15" xfId="0" applyNumberFormat="1" applyBorder="1" applyAlignment="1">
      <alignment horizontal="right"/>
    </xf>
    <xf numFmtId="10" fontId="4" fillId="0" borderId="3" xfId="0" applyNumberFormat="1" applyFont="1" applyBorder="1" applyAlignment="1">
      <alignment horizontal="right"/>
    </xf>
    <xf numFmtId="10" fontId="4" fillId="0" borderId="15" xfId="0" applyNumberFormat="1" applyFont="1" applyBorder="1" applyAlignment="1">
      <alignment horizontal="right"/>
    </xf>
    <xf numFmtId="10" fontId="4" fillId="0" borderId="16" xfId="0" applyNumberFormat="1" applyFont="1" applyBorder="1" applyAlignment="1">
      <alignment horizontal="right"/>
    </xf>
    <xf numFmtId="0" fontId="0" fillId="0" borderId="7" xfId="0" applyBorder="1" applyAlignment="1">
      <alignment horizontal="right"/>
    </xf>
    <xf numFmtId="10" fontId="4" fillId="0" borderId="3" xfId="0" applyNumberFormat="1" applyFont="1" applyFill="1" applyBorder="1" applyAlignment="1">
      <alignment horizontal="right"/>
    </xf>
    <xf numFmtId="0" fontId="2" fillId="0" borderId="7" xfId="0" applyFont="1" applyFill="1" applyBorder="1" applyAlignment="1">
      <alignment horizontal="right"/>
    </xf>
    <xf numFmtId="0" fontId="2" fillId="0" borderId="7" xfId="0" applyFont="1" applyBorder="1" applyAlignment="1">
      <alignment horizontal="right"/>
    </xf>
    <xf numFmtId="166" fontId="0" fillId="0" borderId="3" xfId="1" applyNumberFormat="1" applyFont="1" applyBorder="1" applyAlignment="1">
      <alignment horizontal="right"/>
    </xf>
    <xf numFmtId="10" fontId="4" fillId="0" borderId="15" xfId="0" applyNumberFormat="1" applyFont="1" applyFill="1" applyBorder="1" applyAlignment="1">
      <alignment horizontal="right"/>
    </xf>
    <xf numFmtId="166" fontId="0" fillId="0" borderId="7" xfId="1" applyNumberFormat="1" applyFont="1" applyBorder="1" applyAlignment="1">
      <alignment horizontal="right"/>
    </xf>
    <xf numFmtId="166" fontId="4" fillId="0" borderId="3" xfId="1" applyNumberFormat="1" applyFont="1" applyBorder="1" applyAlignment="1">
      <alignment horizontal="right"/>
    </xf>
    <xf numFmtId="166" fontId="4" fillId="0" borderId="16" xfId="1" applyNumberFormat="1" applyFont="1" applyBorder="1" applyAlignment="1">
      <alignment horizontal="right"/>
    </xf>
    <xf numFmtId="0" fontId="2" fillId="0" borderId="49" xfId="0" applyFont="1" applyBorder="1" applyAlignment="1">
      <alignment horizontal="right"/>
    </xf>
    <xf numFmtId="0" fontId="0" fillId="0" borderId="49" xfId="0" applyBorder="1" applyAlignment="1">
      <alignment horizontal="right"/>
    </xf>
    <xf numFmtId="166" fontId="0" fillId="0" borderId="16" xfId="1" applyNumberFormat="1" applyFont="1" applyBorder="1" applyAlignment="1">
      <alignment horizontal="right"/>
    </xf>
    <xf numFmtId="166" fontId="0" fillId="0" borderId="15" xfId="1" applyNumberFormat="1" applyFont="1" applyBorder="1" applyAlignment="1">
      <alignment horizontal="right"/>
    </xf>
    <xf numFmtId="0" fontId="2" fillId="0" borderId="49" xfId="0" applyFont="1" applyFill="1" applyBorder="1" applyAlignment="1">
      <alignment horizontal="right"/>
    </xf>
    <xf numFmtId="166" fontId="0" fillId="0" borderId="49" xfId="1" applyNumberFormat="1" applyFont="1" applyBorder="1" applyAlignment="1">
      <alignment horizontal="right"/>
    </xf>
    <xf numFmtId="164" fontId="0" fillId="0" borderId="3" xfId="1" applyFont="1" applyBorder="1" applyAlignment="1">
      <alignment horizontal="right"/>
    </xf>
    <xf numFmtId="9" fontId="0" fillId="0" borderId="3" xfId="4" applyFont="1" applyBorder="1" applyAlignment="1">
      <alignment horizontal="right"/>
    </xf>
    <xf numFmtId="1" fontId="0" fillId="0" borderId="7" xfId="0" applyNumberFormat="1" applyBorder="1" applyAlignment="1">
      <alignment horizontal="right"/>
    </xf>
    <xf numFmtId="0" fontId="0" fillId="0" borderId="134" xfId="0" applyBorder="1" applyAlignment="1">
      <alignment horizontal="right"/>
    </xf>
    <xf numFmtId="0" fontId="0" fillId="0" borderId="11" xfId="0" applyBorder="1" applyAlignment="1">
      <alignment horizontal="right"/>
    </xf>
    <xf numFmtId="164" fontId="0" fillId="0" borderId="11" xfId="0" applyNumberFormat="1" applyBorder="1" applyAlignment="1">
      <alignment horizontal="right"/>
    </xf>
    <xf numFmtId="9" fontId="4" fillId="0" borderId="0" xfId="4" applyFont="1" applyFill="1" applyBorder="1"/>
    <xf numFmtId="9" fontId="25" fillId="0" borderId="0" xfId="4" applyFont="1" applyFill="1"/>
    <xf numFmtId="3" fontId="0" fillId="0" borderId="16" xfId="0" applyNumberFormat="1" applyFill="1" applyBorder="1"/>
    <xf numFmtId="9" fontId="2" fillId="0" borderId="3" xfId="4" applyFont="1" applyFill="1" applyBorder="1"/>
    <xf numFmtId="9" fontId="2" fillId="0" borderId="16" xfId="4" applyFont="1" applyFill="1" applyBorder="1"/>
    <xf numFmtId="0" fontId="2" fillId="0" borderId="140" xfId="0" applyFont="1" applyFill="1" applyBorder="1"/>
    <xf numFmtId="0" fontId="2" fillId="0" borderId="28" xfId="0" applyFont="1" applyBorder="1"/>
    <xf numFmtId="167" fontId="6" fillId="0" borderId="3" xfId="0" applyNumberFormat="1" applyFont="1" applyFill="1" applyBorder="1" applyAlignment="1">
      <alignment horizontal="right"/>
    </xf>
    <xf numFmtId="173" fontId="6" fillId="0" borderId="3" xfId="0" applyNumberFormat="1" applyFont="1" applyFill="1" applyBorder="1" applyAlignment="1">
      <alignment horizontal="right"/>
    </xf>
    <xf numFmtId="173" fontId="6" fillId="0" borderId="16" xfId="0" applyNumberFormat="1" applyFont="1" applyFill="1" applyBorder="1" applyAlignment="1">
      <alignment horizontal="right"/>
    </xf>
    <xf numFmtId="173" fontId="6" fillId="0" borderId="3" xfId="0" applyNumberFormat="1" applyFont="1" applyBorder="1" applyAlignment="1">
      <alignment horizontal="right"/>
    </xf>
    <xf numFmtId="0" fontId="15" fillId="0" borderId="153" xfId="0" applyFont="1" applyFill="1" applyBorder="1"/>
    <xf numFmtId="3" fontId="0" fillId="0" borderId="94" xfId="0" applyNumberFormat="1" applyBorder="1"/>
    <xf numFmtId="3" fontId="33" fillId="0" borderId="94" xfId="0" applyNumberFormat="1" applyFont="1" applyFill="1" applyBorder="1" applyAlignment="1">
      <alignment horizontal="right"/>
    </xf>
    <xf numFmtId="3" fontId="33" fillId="0" borderId="95" xfId="0" applyNumberFormat="1" applyFont="1" applyFill="1" applyBorder="1" applyAlignment="1">
      <alignment horizontal="right"/>
    </xf>
    <xf numFmtId="0" fontId="7" fillId="0" borderId="153" xfId="0" applyFont="1" applyFill="1" applyBorder="1"/>
    <xf numFmtId="3" fontId="4" fillId="0" borderId="95" xfId="0" applyNumberFormat="1" applyFont="1" applyFill="1" applyBorder="1" applyAlignment="1">
      <alignment horizontal="right"/>
    </xf>
    <xf numFmtId="0" fontId="6" fillId="8" borderId="0" xfId="0" applyFont="1" applyFill="1"/>
    <xf numFmtId="0" fontId="0" fillId="8" borderId="0" xfId="0" applyFill="1"/>
    <xf numFmtId="168" fontId="2" fillId="0" borderId="1" xfId="0" applyNumberFormat="1" applyFont="1" applyBorder="1" applyAlignment="1" applyProtection="1">
      <alignment horizontal="left"/>
      <protection locked="0"/>
    </xf>
    <xf numFmtId="168" fontId="0" fillId="0" borderId="0" xfId="1" applyNumberFormat="1" applyFont="1"/>
    <xf numFmtId="16" fontId="2" fillId="0" borderId="0" xfId="0" quotePrefix="1" applyNumberFormat="1" applyFont="1" applyAlignment="1">
      <alignment horizontal="center"/>
    </xf>
    <xf numFmtId="0" fontId="2" fillId="0" borderId="0" xfId="0" quotePrefix="1" applyFont="1" applyAlignment="1">
      <alignment horizontal="center"/>
    </xf>
    <xf numFmtId="170" fontId="4" fillId="0" borderId="0" xfId="0" applyNumberFormat="1" applyFont="1"/>
    <xf numFmtId="0" fontId="6" fillId="9" borderId="0" xfId="0" applyFont="1" applyFill="1"/>
    <xf numFmtId="166" fontId="4" fillId="0" borderId="0" xfId="1" applyNumberFormat="1" applyFont="1" applyFill="1"/>
    <xf numFmtId="166" fontId="6" fillId="9" borderId="0" xfId="0" applyNumberFormat="1" applyFont="1" applyFill="1"/>
    <xf numFmtId="166" fontId="6" fillId="9" borderId="0" xfId="1" applyNumberFormat="1" applyFont="1" applyFill="1"/>
    <xf numFmtId="166" fontId="0" fillId="0" borderId="0" xfId="1" applyNumberFormat="1" applyFont="1" applyFill="1"/>
    <xf numFmtId="166" fontId="4" fillId="0" borderId="0" xfId="1" applyNumberFormat="1" applyFont="1"/>
    <xf numFmtId="168" fontId="2" fillId="0" borderId="22" xfId="0" quotePrefix="1" applyNumberFormat="1" applyFont="1" applyBorder="1" applyAlignment="1">
      <alignment horizontal="center"/>
    </xf>
    <xf numFmtId="168" fontId="2" fillId="0" borderId="6" xfId="0" quotePrefix="1" applyNumberFormat="1" applyFont="1" applyBorder="1" applyAlignment="1">
      <alignment horizontal="center"/>
    </xf>
    <xf numFmtId="168" fontId="0" fillId="0" borderId="115" xfId="0" applyNumberFormat="1" applyFill="1" applyBorder="1" applyAlignment="1">
      <alignment horizontal="left"/>
    </xf>
    <xf numFmtId="168" fontId="0" fillId="0" borderId="156" xfId="0" applyNumberFormat="1" applyFill="1" applyBorder="1" applyAlignment="1">
      <alignment horizontal="left"/>
    </xf>
    <xf numFmtId="3" fontId="0" fillId="0" borderId="117" xfId="0" applyNumberFormat="1" applyFill="1" applyBorder="1"/>
    <xf numFmtId="168" fontId="0" fillId="0" borderId="138" xfId="0" applyNumberFormat="1" applyFill="1" applyBorder="1" applyAlignment="1">
      <alignment horizontal="right"/>
    </xf>
    <xf numFmtId="3" fontId="0" fillId="0" borderId="115" xfId="0" applyNumberFormat="1" applyFill="1" applyBorder="1"/>
    <xf numFmtId="0" fontId="6" fillId="0" borderId="0" xfId="0" applyFont="1" applyAlignment="1">
      <alignment horizontal="center"/>
    </xf>
    <xf numFmtId="168" fontId="2" fillId="0" borderId="27" xfId="0" quotePrefix="1" applyNumberFormat="1" applyFont="1" applyFill="1" applyBorder="1" applyAlignment="1">
      <alignment horizontal="center"/>
    </xf>
    <xf numFmtId="167" fontId="5" fillId="0" borderId="0" xfId="0" applyNumberFormat="1" applyFont="1"/>
    <xf numFmtId="49" fontId="2" fillId="0" borderId="4" xfId="0" applyNumberFormat="1" applyFont="1" applyFill="1" applyBorder="1" applyAlignment="1">
      <alignment horizontal="center"/>
    </xf>
    <xf numFmtId="175" fontId="4" fillId="0" borderId="15" xfId="0" applyNumberFormat="1" applyFont="1" applyFill="1" applyBorder="1" applyAlignment="1">
      <alignment horizontal="center"/>
    </xf>
    <xf numFmtId="0" fontId="2" fillId="0" borderId="15" xfId="0" applyNumberFormat="1" applyFont="1" applyFill="1" applyBorder="1" applyAlignment="1">
      <alignment horizontal="left"/>
    </xf>
    <xf numFmtId="168" fontId="2" fillId="0" borderId="11" xfId="0" applyNumberFormat="1" applyFont="1" applyFill="1" applyBorder="1"/>
    <xf numFmtId="168" fontId="2" fillId="0" borderId="0" xfId="0" applyNumberFormat="1" applyFont="1" applyBorder="1" applyAlignment="1">
      <alignment horizontal="right"/>
    </xf>
    <xf numFmtId="168" fontId="2" fillId="0" borderId="15" xfId="0" applyNumberFormat="1" applyFont="1" applyFill="1" applyBorder="1" applyAlignment="1">
      <alignment horizontal="left"/>
    </xf>
    <xf numFmtId="168" fontId="0" fillId="0" borderId="7" xfId="0" applyNumberFormat="1" applyBorder="1"/>
    <xf numFmtId="168" fontId="0" fillId="0" borderId="8" xfId="0" applyNumberFormat="1" applyBorder="1" applyAlignment="1">
      <alignment horizontal="center"/>
    </xf>
    <xf numFmtId="168" fontId="2" fillId="0" borderId="7" xfId="0" applyNumberFormat="1" applyFont="1" applyBorder="1"/>
    <xf numFmtId="168" fontId="0" fillId="0" borderId="8" xfId="0" applyNumberFormat="1" applyBorder="1" applyAlignment="1">
      <alignment horizontal="right"/>
    </xf>
    <xf numFmtId="168" fontId="4" fillId="0" borderId="0" xfId="0" applyNumberFormat="1" applyFont="1" applyBorder="1" applyAlignment="1">
      <alignment horizontal="center"/>
    </xf>
    <xf numFmtId="168" fontId="5" fillId="0" borderId="7" xfId="0" applyNumberFormat="1" applyFont="1" applyBorder="1" applyAlignment="1">
      <alignment horizontal="right"/>
    </xf>
    <xf numFmtId="168" fontId="0" fillId="0" borderId="123" xfId="0" applyNumberFormat="1" applyBorder="1"/>
    <xf numFmtId="168" fontId="0" fillId="0" borderId="1" xfId="0" applyNumberFormat="1" applyBorder="1" applyAlignment="1">
      <alignment horizontal="right"/>
    </xf>
    <xf numFmtId="168" fontId="0" fillId="0" borderId="44" xfId="0" applyNumberFormat="1" applyBorder="1" applyAlignment="1">
      <alignment horizontal="right"/>
    </xf>
    <xf numFmtId="168" fontId="2" fillId="0" borderId="70" xfId="0" applyNumberFormat="1" applyFont="1" applyBorder="1" applyAlignment="1">
      <alignment horizontal="center"/>
    </xf>
    <xf numFmtId="168" fontId="2" fillId="0" borderId="69" xfId="0" applyNumberFormat="1" applyFont="1" applyBorder="1" applyAlignment="1">
      <alignment horizontal="center"/>
    </xf>
    <xf numFmtId="168" fontId="0" fillId="0" borderId="15" xfId="0" applyNumberFormat="1" applyBorder="1"/>
    <xf numFmtId="168" fontId="2" fillId="0" borderId="9" xfId="0" applyNumberFormat="1" applyFont="1" applyBorder="1"/>
    <xf numFmtId="168" fontId="2" fillId="0" borderId="6" xfId="0" applyNumberFormat="1" applyFont="1" applyBorder="1" applyAlignment="1">
      <alignment horizontal="center"/>
    </xf>
    <xf numFmtId="168" fontId="2" fillId="0" borderId="10" xfId="0" applyNumberFormat="1" applyFont="1" applyBorder="1" applyAlignment="1">
      <alignment horizontal="center"/>
    </xf>
    <xf numFmtId="168" fontId="2" fillId="0" borderId="123" xfId="0" applyNumberFormat="1" applyFont="1" applyBorder="1" applyAlignment="1">
      <alignment horizontal="center"/>
    </xf>
    <xf numFmtId="168" fontId="2" fillId="0" borderId="9" xfId="0" applyNumberFormat="1" applyFont="1" applyBorder="1" applyAlignment="1">
      <alignment horizontal="center"/>
    </xf>
    <xf numFmtId="168" fontId="2" fillId="0" borderId="3" xfId="0" applyNumberFormat="1" applyFont="1" applyBorder="1" applyAlignment="1">
      <alignment horizontal="center"/>
    </xf>
    <xf numFmtId="168" fontId="2" fillId="0" borderId="69" xfId="0" applyNumberFormat="1" applyFont="1" applyBorder="1"/>
    <xf numFmtId="1" fontId="4" fillId="0" borderId="0" xfId="0" applyNumberFormat="1" applyFont="1" applyFill="1" applyBorder="1" applyAlignment="1">
      <alignment horizontal="center"/>
    </xf>
    <xf numFmtId="168" fontId="2" fillId="0" borderId="37" xfId="0" applyNumberFormat="1" applyFont="1" applyBorder="1" applyAlignment="1">
      <alignment horizontal="center"/>
    </xf>
    <xf numFmtId="168" fontId="4" fillId="0" borderId="6" xfId="0" applyNumberFormat="1" applyFont="1" applyBorder="1"/>
    <xf numFmtId="168" fontId="2" fillId="0" borderId="27" xfId="0" quotePrefix="1" applyNumberFormat="1" applyFont="1" applyBorder="1" applyAlignment="1">
      <alignment horizontal="center" wrapText="1"/>
    </xf>
    <xf numFmtId="1" fontId="4" fillId="0" borderId="3" xfId="0" applyNumberFormat="1" applyFont="1" applyFill="1" applyBorder="1" applyAlignment="1">
      <alignment horizontal="center"/>
    </xf>
    <xf numFmtId="168" fontId="2" fillId="0" borderId="1" xfId="0" applyNumberFormat="1" applyFont="1" applyFill="1" applyBorder="1"/>
    <xf numFmtId="1" fontId="2" fillId="0" borderId="4" xfId="0" applyNumberFormat="1" applyFont="1" applyFill="1" applyBorder="1" applyAlignment="1">
      <alignment horizontal="center"/>
    </xf>
    <xf numFmtId="1" fontId="4" fillId="0" borderId="4" xfId="0" applyNumberFormat="1" applyFont="1" applyFill="1" applyBorder="1" applyAlignment="1">
      <alignment horizontal="center"/>
    </xf>
    <xf numFmtId="168" fontId="2" fillId="0" borderId="47" xfId="0" applyNumberFormat="1" applyFont="1" applyFill="1" applyBorder="1"/>
    <xf numFmtId="1" fontId="2" fillId="0" borderId="90" xfId="0" applyNumberFormat="1" applyFont="1" applyFill="1" applyBorder="1" applyAlignment="1">
      <alignment horizontal="center"/>
    </xf>
    <xf numFmtId="168" fontId="3" fillId="0" borderId="124" xfId="0" applyNumberFormat="1" applyFont="1" applyFill="1" applyBorder="1" applyAlignment="1">
      <alignment horizontal="left"/>
    </xf>
    <xf numFmtId="168" fontId="2" fillId="0" borderId="94" xfId="0" applyNumberFormat="1" applyFont="1" applyFill="1" applyBorder="1" applyAlignment="1">
      <alignment horizontal="center"/>
    </xf>
    <xf numFmtId="168" fontId="2" fillId="0" borderId="90" xfId="0" applyNumberFormat="1" applyFont="1" applyFill="1" applyBorder="1"/>
    <xf numFmtId="168" fontId="2" fillId="0" borderId="32" xfId="0" applyNumberFormat="1" applyFont="1" applyFill="1" applyBorder="1"/>
    <xf numFmtId="1" fontId="4" fillId="0" borderId="11" xfId="0" applyNumberFormat="1" applyFont="1" applyFill="1" applyBorder="1" applyAlignment="1">
      <alignment horizontal="center"/>
    </xf>
    <xf numFmtId="168" fontId="2" fillId="0" borderId="5" xfId="0" applyNumberFormat="1" applyFont="1" applyFill="1" applyBorder="1" applyAlignment="1">
      <alignment horizontal="left"/>
    </xf>
    <xf numFmtId="168" fontId="2" fillId="0" borderId="11" xfId="0" applyNumberFormat="1" applyFont="1" applyFill="1" applyBorder="1" applyAlignment="1">
      <alignment horizontal="center"/>
    </xf>
    <xf numFmtId="168" fontId="4" fillId="0" borderId="17" xfId="0" applyNumberFormat="1" applyFont="1" applyFill="1" applyBorder="1"/>
    <xf numFmtId="168" fontId="4" fillId="0" borderId="18" xfId="0" applyNumberFormat="1" applyFont="1" applyFill="1" applyBorder="1"/>
    <xf numFmtId="168" fontId="2" fillId="0" borderId="63" xfId="0" applyNumberFormat="1" applyFont="1" applyFill="1" applyBorder="1"/>
    <xf numFmtId="168" fontId="2" fillId="0" borderId="40" xfId="0" applyNumberFormat="1" applyFont="1" applyFill="1" applyBorder="1"/>
    <xf numFmtId="1" fontId="4" fillId="0" borderId="38" xfId="0" applyNumberFormat="1" applyFont="1" applyFill="1" applyBorder="1" applyAlignment="1">
      <alignment horizontal="center"/>
    </xf>
    <xf numFmtId="168" fontId="4" fillId="0" borderId="36" xfId="0" applyNumberFormat="1" applyFont="1" applyFill="1" applyBorder="1"/>
    <xf numFmtId="168" fontId="4" fillId="0" borderId="40" xfId="0" applyNumberFormat="1" applyFont="1" applyFill="1" applyBorder="1"/>
    <xf numFmtId="168" fontId="3" fillId="0" borderId="3" xfId="0" applyNumberFormat="1" applyFont="1" applyFill="1" applyBorder="1" applyAlignment="1">
      <alignment horizontal="left"/>
    </xf>
    <xf numFmtId="1" fontId="2" fillId="0" borderId="124" xfId="0" applyNumberFormat="1" applyFont="1" applyFill="1" applyBorder="1" applyAlignment="1">
      <alignment horizontal="center"/>
    </xf>
    <xf numFmtId="168" fontId="3" fillId="0" borderId="94" xfId="0" applyNumberFormat="1" applyFont="1" applyFill="1" applyBorder="1" applyAlignment="1">
      <alignment horizontal="left"/>
    </xf>
    <xf numFmtId="1" fontId="2" fillId="0" borderId="11" xfId="0" applyNumberFormat="1" applyFont="1" applyFill="1" applyBorder="1"/>
    <xf numFmtId="168" fontId="2" fillId="0" borderId="11" xfId="0" applyNumberFormat="1" applyFont="1" applyFill="1" applyBorder="1" applyAlignment="1">
      <alignment horizontal="left"/>
    </xf>
    <xf numFmtId="1" fontId="4" fillId="0" borderId="0" xfId="0" applyNumberFormat="1" applyFont="1" applyFill="1"/>
    <xf numFmtId="168" fontId="4" fillId="0" borderId="0" xfId="0" applyNumberFormat="1" applyFont="1" applyFill="1" applyAlignment="1">
      <alignment horizontal="center"/>
    </xf>
    <xf numFmtId="0" fontId="2" fillId="0" borderId="6" xfId="0" quotePrefix="1" applyNumberFormat="1" applyFont="1" applyBorder="1" applyAlignment="1">
      <alignment horizontal="center"/>
    </xf>
    <xf numFmtId="0" fontId="4" fillId="0" borderId="15" xfId="0" applyNumberFormat="1" applyFont="1" applyFill="1" applyBorder="1" applyAlignment="1">
      <alignment horizontal="center"/>
    </xf>
    <xf numFmtId="0" fontId="4" fillId="0" borderId="37" xfId="0" applyNumberFormat="1" applyFont="1" applyFill="1" applyBorder="1" applyAlignment="1">
      <alignment horizontal="center"/>
    </xf>
    <xf numFmtId="168" fontId="4" fillId="0" borderId="0" xfId="0" applyNumberFormat="1" applyFont="1" applyFill="1" applyBorder="1" applyAlignment="1"/>
    <xf numFmtId="168" fontId="3" fillId="0" borderId="15" xfId="0" applyNumberFormat="1" applyFont="1" applyFill="1" applyBorder="1"/>
    <xf numFmtId="0" fontId="2" fillId="0" borderId="3" xfId="0" applyNumberFormat="1" applyFont="1" applyFill="1" applyBorder="1" applyAlignment="1">
      <alignment horizontal="center"/>
    </xf>
    <xf numFmtId="168" fontId="2" fillId="0" borderId="29" xfId="0" applyNumberFormat="1" applyFont="1" applyFill="1" applyBorder="1" applyAlignment="1"/>
    <xf numFmtId="0" fontId="2" fillId="0" borderId="4" xfId="0" applyNumberFormat="1" applyFont="1" applyFill="1" applyBorder="1" applyAlignment="1">
      <alignment horizontal="center"/>
    </xf>
    <xf numFmtId="168" fontId="2" fillId="0" borderId="0" xfId="0" applyNumberFormat="1" applyFont="1" applyFill="1" applyBorder="1" applyAlignment="1"/>
    <xf numFmtId="0" fontId="2" fillId="0" borderId="90" xfId="0" applyNumberFormat="1" applyFont="1" applyFill="1" applyBorder="1" applyAlignment="1">
      <alignment horizontal="center"/>
    </xf>
    <xf numFmtId="0" fontId="4" fillId="0" borderId="21" xfId="0" applyNumberFormat="1" applyFont="1" applyFill="1" applyBorder="1" applyAlignment="1">
      <alignment horizontal="center"/>
    </xf>
    <xf numFmtId="0" fontId="4" fillId="0" borderId="11" xfId="0" applyNumberFormat="1" applyFont="1" applyFill="1" applyBorder="1" applyAlignment="1">
      <alignment horizontal="center"/>
    </xf>
    <xf numFmtId="168" fontId="2" fillId="0" borderId="11" xfId="0" applyNumberFormat="1" applyFont="1" applyFill="1" applyBorder="1" applyAlignment="1"/>
    <xf numFmtId="168" fontId="2" fillId="0" borderId="36" xfId="0" applyNumberFormat="1" applyFont="1" applyFill="1" applyBorder="1"/>
    <xf numFmtId="0" fontId="4" fillId="0" borderId="40" xfId="0" applyNumberFormat="1" applyFont="1" applyFill="1" applyBorder="1" applyAlignment="1">
      <alignment horizontal="center"/>
    </xf>
    <xf numFmtId="0" fontId="2" fillId="0" borderId="94" xfId="0" applyNumberFormat="1" applyFont="1" applyFill="1" applyBorder="1" applyAlignment="1">
      <alignment horizontal="center"/>
    </xf>
    <xf numFmtId="0" fontId="2" fillId="0" borderId="11" xfId="0" applyNumberFormat="1" applyFont="1" applyFill="1" applyBorder="1"/>
    <xf numFmtId="0" fontId="2" fillId="0" borderId="0" xfId="0" applyNumberFormat="1" applyFont="1" applyFill="1" applyBorder="1"/>
    <xf numFmtId="168" fontId="2" fillId="0" borderId="1" xfId="0" applyNumberFormat="1" applyFont="1" applyBorder="1" applyAlignment="1">
      <alignment horizontal="center"/>
    </xf>
    <xf numFmtId="168" fontId="4" fillId="0" borderId="1" xfId="0" applyNumberFormat="1" applyFont="1" applyBorder="1" applyAlignment="1">
      <alignment horizontal="center"/>
    </xf>
    <xf numFmtId="168" fontId="2" fillId="0" borderId="44" xfId="0" applyNumberFormat="1" applyFont="1" applyBorder="1" applyAlignment="1">
      <alignment horizontal="center"/>
    </xf>
    <xf numFmtId="0" fontId="0" fillId="0" borderId="7" xfId="0" applyBorder="1"/>
    <xf numFmtId="0" fontId="2" fillId="0" borderId="8" xfId="0" applyFont="1" applyBorder="1"/>
    <xf numFmtId="0" fontId="0" fillId="0" borderId="9" xfId="0" applyBorder="1"/>
    <xf numFmtId="0" fontId="0" fillId="0" borderId="10" xfId="0" applyBorder="1"/>
    <xf numFmtId="168" fontId="6" fillId="0" borderId="95" xfId="0" applyNumberFormat="1" applyFont="1" applyFill="1" applyBorder="1" applyAlignment="1">
      <alignment horizontal="right"/>
    </xf>
    <xf numFmtId="168" fontId="6" fillId="0" borderId="3" xfId="0" quotePrefix="1" applyNumberFormat="1" applyFont="1" applyBorder="1" applyAlignment="1">
      <alignment horizontal="right"/>
    </xf>
    <xf numFmtId="168" fontId="6" fillId="0" borderId="16" xfId="0" quotePrefix="1" applyNumberFormat="1" applyFont="1" applyBorder="1" applyAlignment="1">
      <alignment horizontal="right"/>
    </xf>
    <xf numFmtId="168" fontId="6" fillId="0" borderId="35" xfId="0" applyNumberFormat="1" applyFont="1" applyFill="1" applyBorder="1" applyAlignment="1">
      <alignment horizontal="right"/>
    </xf>
    <xf numFmtId="168" fontId="2" fillId="0" borderId="18" xfId="0" applyNumberFormat="1" applyFont="1" applyBorder="1"/>
    <xf numFmtId="0" fontId="28" fillId="0" borderId="0" xfId="0" applyFont="1" applyAlignment="1">
      <alignment horizontal="justify" vertical="center"/>
    </xf>
    <xf numFmtId="9" fontId="2" fillId="0" borderId="0" xfId="4" applyFont="1" applyFill="1"/>
    <xf numFmtId="168" fontId="2" fillId="0" borderId="0" xfId="0" applyNumberFormat="1" applyFont="1" applyFill="1" applyAlignment="1">
      <alignment horizontal="left"/>
    </xf>
    <xf numFmtId="1" fontId="0" fillId="0" borderId="0" xfId="0" applyNumberFormat="1" applyBorder="1"/>
    <xf numFmtId="1" fontId="4" fillId="0" borderId="0" xfId="0" applyNumberFormat="1" applyFont="1" applyBorder="1"/>
    <xf numFmtId="1" fontId="0" fillId="0" borderId="6" xfId="0" applyNumberFormat="1" applyBorder="1"/>
    <xf numFmtId="1" fontId="2" fillId="0" borderId="0" xfId="0" applyNumberFormat="1" applyFont="1" applyBorder="1"/>
    <xf numFmtId="0" fontId="0" fillId="0" borderId="179" xfId="0" applyBorder="1"/>
    <xf numFmtId="0" fontId="2" fillId="0" borderId="33" xfId="0" applyFont="1" applyBorder="1"/>
    <xf numFmtId="0" fontId="0" fillId="0" borderId="18" xfId="0" applyBorder="1"/>
    <xf numFmtId="0" fontId="2" fillId="0" borderId="64" xfId="0" applyFont="1" applyBorder="1"/>
    <xf numFmtId="1" fontId="2" fillId="0" borderId="14" xfId="0" applyNumberFormat="1" applyFont="1" applyBorder="1"/>
    <xf numFmtId="168" fontId="2" fillId="0" borderId="64" xfId="0" applyNumberFormat="1" applyFont="1" applyBorder="1"/>
    <xf numFmtId="168" fontId="2" fillId="0" borderId="61" xfId="0" applyNumberFormat="1" applyFont="1" applyBorder="1"/>
    <xf numFmtId="168" fontId="2" fillId="0" borderId="84" xfId="0" applyNumberFormat="1" applyFont="1" applyBorder="1"/>
    <xf numFmtId="168" fontId="2" fillId="0" borderId="61" xfId="0" applyNumberFormat="1" applyFont="1" applyBorder="1" applyAlignment="1">
      <alignment horizontal="center"/>
    </xf>
    <xf numFmtId="0" fontId="2" fillId="0" borderId="3" xfId="0" applyFont="1" applyBorder="1" applyAlignment="1">
      <alignment horizontal="center"/>
    </xf>
    <xf numFmtId="0" fontId="0" fillId="0" borderId="18" xfId="0" applyBorder="1" applyAlignment="1">
      <alignment horizontal="center"/>
    </xf>
    <xf numFmtId="169" fontId="0" fillId="0" borderId="3" xfId="0" applyNumberFormat="1" applyBorder="1" applyAlignment="1">
      <alignment horizontal="center"/>
    </xf>
    <xf numFmtId="169" fontId="2" fillId="0" borderId="61" xfId="0" applyNumberFormat="1" applyFont="1" applyBorder="1" applyAlignment="1">
      <alignment horizontal="center"/>
    </xf>
    <xf numFmtId="168" fontId="0" fillId="0" borderId="18" xfId="0" applyNumberFormat="1" applyBorder="1"/>
    <xf numFmtId="168" fontId="4" fillId="0" borderId="7" xfId="0" applyNumberFormat="1" applyFont="1" applyBorder="1"/>
    <xf numFmtId="0" fontId="4" fillId="0" borderId="3" xfId="0" applyFont="1" applyBorder="1" applyAlignment="1">
      <alignment horizontal="center"/>
    </xf>
    <xf numFmtId="168" fontId="4" fillId="0" borderId="3" xfId="0" applyNumberFormat="1" applyFont="1" applyBorder="1" applyAlignment="1">
      <alignment horizontal="center"/>
    </xf>
    <xf numFmtId="0" fontId="2" fillId="0" borderId="100" xfId="0" applyFont="1" applyFill="1" applyBorder="1" applyAlignment="1">
      <alignment horizontal="left" vertical="center"/>
    </xf>
    <xf numFmtId="38" fontId="2" fillId="0" borderId="0" xfId="0" applyNumberFormat="1" applyFont="1" applyFill="1"/>
    <xf numFmtId="9" fontId="2" fillId="0" borderId="0" xfId="4" applyFont="1" applyFill="1" applyBorder="1"/>
    <xf numFmtId="168" fontId="27" fillId="0" borderId="10" xfId="0" applyNumberFormat="1" applyFont="1" applyBorder="1" applyAlignment="1">
      <alignment horizontal="right" vertical="top" wrapText="1"/>
    </xf>
    <xf numFmtId="0" fontId="4" fillId="0" borderId="0" xfId="0" applyNumberFormat="1" applyFont="1" applyFill="1" applyBorder="1" applyAlignment="1">
      <alignment horizontal="center"/>
    </xf>
    <xf numFmtId="168" fontId="2" fillId="0" borderId="166" xfId="0" quotePrefix="1" applyNumberFormat="1" applyFont="1" applyFill="1" applyBorder="1" applyAlignment="1">
      <alignment horizontal="center"/>
    </xf>
    <xf numFmtId="0" fontId="7" fillId="0" borderId="0" xfId="0" applyFont="1" applyFill="1" applyBorder="1" applyAlignment="1" applyProtection="1">
      <protection locked="0"/>
    </xf>
    <xf numFmtId="0" fontId="6" fillId="0" borderId="0" xfId="0" applyFont="1" applyAlignment="1">
      <alignment horizontal="center"/>
    </xf>
    <xf numFmtId="10" fontId="0" fillId="0" borderId="7" xfId="4" applyNumberFormat="1" applyFont="1" applyBorder="1" applyAlignment="1">
      <alignment horizontal="right"/>
    </xf>
    <xf numFmtId="168" fontId="2" fillId="0" borderId="18" xfId="0" applyNumberFormat="1" applyFont="1" applyBorder="1" applyAlignment="1">
      <alignment horizontal="center"/>
    </xf>
    <xf numFmtId="0" fontId="2" fillId="0" borderId="18" xfId="0" applyFont="1" applyBorder="1" applyAlignment="1">
      <alignment horizontal="center"/>
    </xf>
    <xf numFmtId="0" fontId="0" fillId="0" borderId="0" xfId="0" applyBorder="1" applyAlignment="1">
      <alignment horizontal="center"/>
    </xf>
    <xf numFmtId="0" fontId="2" fillId="0" borderId="178" xfId="0" applyFont="1" applyBorder="1"/>
    <xf numFmtId="1" fontId="0" fillId="0" borderId="80" xfId="0" applyNumberFormat="1" applyBorder="1"/>
    <xf numFmtId="1" fontId="2" fillId="0" borderId="80" xfId="0" applyNumberFormat="1" applyFont="1" applyBorder="1"/>
    <xf numFmtId="1" fontId="4" fillId="0" borderId="80" xfId="0" applyNumberFormat="1" applyFont="1" applyBorder="1"/>
    <xf numFmtId="0" fontId="0" fillId="0" borderId="80" xfId="0" applyBorder="1"/>
    <xf numFmtId="0" fontId="0" fillId="0" borderId="79" xfId="0" applyBorder="1"/>
    <xf numFmtId="1" fontId="0" fillId="0" borderId="79" xfId="0" applyNumberFormat="1" applyBorder="1"/>
    <xf numFmtId="168" fontId="2" fillId="0" borderId="82" xfId="0" applyNumberFormat="1" applyFont="1" applyBorder="1" applyAlignment="1">
      <alignment horizontal="center"/>
    </xf>
    <xf numFmtId="168" fontId="0" fillId="0" borderId="42" xfId="0" applyNumberFormat="1" applyBorder="1"/>
    <xf numFmtId="168" fontId="2" fillId="0" borderId="42" xfId="0" applyNumberFormat="1" applyFont="1" applyBorder="1"/>
    <xf numFmtId="168" fontId="2" fillId="0" borderId="82" xfId="0" applyNumberFormat="1" applyFont="1" applyBorder="1"/>
    <xf numFmtId="0" fontId="2" fillId="0" borderId="42" xfId="0" applyFont="1" applyBorder="1"/>
    <xf numFmtId="0" fontId="0" fillId="0" borderId="82" xfId="0" applyBorder="1"/>
    <xf numFmtId="9" fontId="0" fillId="0" borderId="42" xfId="4" applyFont="1" applyBorder="1" applyAlignment="1">
      <alignment horizontal="center"/>
    </xf>
    <xf numFmtId="1" fontId="2" fillId="0" borderId="178" xfId="0" applyNumberFormat="1" applyFont="1" applyBorder="1"/>
    <xf numFmtId="168" fontId="0" fillId="0" borderId="9" xfId="0" applyNumberFormat="1" applyBorder="1"/>
    <xf numFmtId="168" fontId="0" fillId="0" borderId="82" xfId="0" applyNumberFormat="1" applyBorder="1"/>
    <xf numFmtId="9" fontId="2" fillId="0" borderId="76" xfId="4" applyFont="1" applyBorder="1" applyAlignment="1">
      <alignment horizontal="center"/>
    </xf>
    <xf numFmtId="167" fontId="4" fillId="0" borderId="3" xfId="4" applyNumberFormat="1" applyFont="1" applyFill="1" applyBorder="1" applyAlignment="1">
      <alignment horizontal="center"/>
    </xf>
    <xf numFmtId="167" fontId="6" fillId="0" borderId="3" xfId="4" applyNumberFormat="1" applyFont="1" applyFill="1" applyBorder="1" applyAlignment="1">
      <alignment horizontal="center"/>
    </xf>
    <xf numFmtId="168" fontId="4" fillId="0" borderId="0" xfId="0" applyNumberFormat="1" applyFont="1" applyBorder="1" applyAlignment="1"/>
    <xf numFmtId="9" fontId="4" fillId="0" borderId="0" xfId="4" applyFont="1" applyBorder="1" applyAlignment="1"/>
    <xf numFmtId="0" fontId="2" fillId="0" borderId="4" xfId="0" applyFont="1" applyFill="1" applyBorder="1"/>
    <xf numFmtId="166" fontId="4" fillId="0" borderId="3" xfId="0" applyNumberFormat="1" applyFont="1" applyBorder="1" applyAlignment="1">
      <alignment horizontal="right"/>
    </xf>
    <xf numFmtId="1" fontId="4" fillId="0" borderId="15" xfId="0" applyNumberFormat="1" applyFont="1" applyBorder="1"/>
    <xf numFmtId="175" fontId="4" fillId="0" borderId="4" xfId="0" applyNumberFormat="1" applyFont="1" applyBorder="1" applyAlignment="1">
      <alignment horizontal="center"/>
    </xf>
    <xf numFmtId="168" fontId="2" fillId="0" borderId="7" xfId="0" applyNumberFormat="1" applyFont="1" applyBorder="1" applyAlignment="1">
      <alignment horizontal="center"/>
    </xf>
    <xf numFmtId="168" fontId="2" fillId="0" borderId="0" xfId="0" applyNumberFormat="1" applyFont="1" applyBorder="1" applyAlignment="1">
      <alignment horizontal="center"/>
    </xf>
    <xf numFmtId="168" fontId="2" fillId="0" borderId="8" xfId="0" applyNumberFormat="1" applyFont="1" applyBorder="1" applyAlignment="1">
      <alignment horizontal="center"/>
    </xf>
    <xf numFmtId="9" fontId="0" fillId="0" borderId="0" xfId="4" applyFont="1" applyBorder="1" applyAlignment="1">
      <alignment horizontal="center"/>
    </xf>
    <xf numFmtId="1" fontId="0" fillId="0" borderId="7" xfId="0" applyNumberFormat="1" applyBorder="1"/>
    <xf numFmtId="1" fontId="2" fillId="0" borderId="7" xfId="0" applyNumberFormat="1" applyFont="1" applyBorder="1"/>
    <xf numFmtId="1" fontId="0" fillId="0" borderId="9" xfId="0" applyNumberFormat="1" applyBorder="1"/>
    <xf numFmtId="0" fontId="0" fillId="0" borderId="3" xfId="0" applyBorder="1"/>
    <xf numFmtId="1" fontId="2" fillId="0" borderId="70" xfId="0" applyNumberFormat="1" applyFont="1" applyBorder="1"/>
    <xf numFmtId="0" fontId="2" fillId="0" borderId="69" xfId="0" applyFont="1" applyBorder="1" applyAlignment="1">
      <alignment horizontal="center"/>
    </xf>
    <xf numFmtId="168" fontId="4" fillId="0" borderId="8" xfId="0" applyNumberFormat="1" applyFont="1" applyBorder="1" applyAlignment="1">
      <alignment horizontal="center"/>
    </xf>
    <xf numFmtId="9" fontId="4" fillId="0" borderId="0" xfId="4" applyFont="1" applyBorder="1"/>
    <xf numFmtId="9" fontId="4" fillId="0" borderId="0" xfId="4" applyFont="1" applyBorder="1" applyAlignment="1">
      <alignment horizontal="center"/>
    </xf>
    <xf numFmtId="9" fontId="2" fillId="0" borderId="0" xfId="4" applyFont="1" applyBorder="1" applyAlignment="1">
      <alignment horizontal="center"/>
    </xf>
    <xf numFmtId="168" fontId="0" fillId="0" borderId="72" xfId="0" applyNumberFormat="1" applyBorder="1"/>
    <xf numFmtId="169" fontId="4" fillId="0" borderId="0" xfId="0" applyNumberFormat="1" applyFont="1" applyBorder="1" applyAlignment="1">
      <alignment horizontal="center"/>
    </xf>
    <xf numFmtId="169" fontId="2" fillId="0" borderId="0" xfId="0" applyNumberFormat="1" applyFont="1" applyBorder="1" applyAlignment="1">
      <alignment horizontal="center"/>
    </xf>
    <xf numFmtId="168" fontId="2" fillId="0" borderId="0" xfId="0" applyNumberFormat="1" applyFont="1" applyBorder="1" applyAlignment="1">
      <alignment horizontal="center"/>
    </xf>
    <xf numFmtId="168" fontId="5" fillId="0" borderId="7" xfId="0" applyNumberFormat="1" applyFont="1" applyFill="1" applyBorder="1" applyAlignment="1">
      <alignment horizontal="right"/>
    </xf>
    <xf numFmtId="0" fontId="6" fillId="0" borderId="4" xfId="0" applyFont="1" applyBorder="1" applyAlignment="1">
      <alignment horizontal="center"/>
    </xf>
    <xf numFmtId="168" fontId="4" fillId="0" borderId="0" xfId="0" quotePrefix="1" applyNumberFormat="1" applyFont="1" applyFill="1" applyBorder="1"/>
    <xf numFmtId="0" fontId="4" fillId="0" borderId="3" xfId="0" quotePrefix="1" applyNumberFormat="1" applyFont="1" applyBorder="1" applyAlignment="1">
      <alignment horizontal="center"/>
    </xf>
    <xf numFmtId="168" fontId="4" fillId="0" borderId="0" xfId="1" applyNumberFormat="1" applyFont="1" applyBorder="1"/>
    <xf numFmtId="0" fontId="4" fillId="0" borderId="3" xfId="0" quotePrefix="1" applyNumberFormat="1" applyFont="1" applyFill="1" applyBorder="1" applyAlignment="1">
      <alignment horizontal="center"/>
    </xf>
    <xf numFmtId="168" fontId="4" fillId="0" borderId="16" xfId="0" quotePrefix="1" applyNumberFormat="1" applyFont="1" applyFill="1" applyBorder="1" applyAlignment="1">
      <alignment horizontal="right"/>
    </xf>
    <xf numFmtId="1" fontId="0" fillId="0" borderId="0" xfId="0" applyNumberFormat="1" applyFont="1" applyFill="1" applyBorder="1"/>
    <xf numFmtId="49" fontId="4" fillId="0" borderId="4" xfId="0" quotePrefix="1" applyNumberFormat="1" applyFont="1" applyFill="1" applyBorder="1" applyAlignment="1">
      <alignment horizontal="center"/>
    </xf>
    <xf numFmtId="0" fontId="5" fillId="0" borderId="4" xfId="0" quotePrefix="1" applyNumberFormat="1" applyFont="1" applyFill="1" applyBorder="1" applyAlignment="1">
      <alignment horizontal="center"/>
    </xf>
    <xf numFmtId="167" fontId="4" fillId="0" borderId="3" xfId="4" applyNumberFormat="1" applyFont="1" applyBorder="1"/>
    <xf numFmtId="0" fontId="5" fillId="0" borderId="0" xfId="0" applyFont="1" applyFill="1" applyBorder="1" applyAlignment="1">
      <alignment horizontal="center"/>
    </xf>
    <xf numFmtId="0" fontId="4" fillId="0" borderId="0" xfId="0" applyFont="1" applyFill="1" applyBorder="1" applyAlignment="1">
      <alignment horizontal="center"/>
    </xf>
    <xf numFmtId="9" fontId="4" fillId="0" borderId="8" xfId="4" applyFont="1" applyFill="1" applyBorder="1" applyAlignment="1">
      <alignment horizontal="center"/>
    </xf>
    <xf numFmtId="0" fontId="4" fillId="0" borderId="3" xfId="0" applyFont="1" applyFill="1" applyBorder="1" applyAlignment="1">
      <alignment horizontal="center"/>
    </xf>
    <xf numFmtId="49" fontId="6" fillId="0" borderId="1" xfId="0" applyNumberFormat="1" applyFont="1" applyFill="1" applyBorder="1" applyAlignment="1">
      <alignment horizontal="center"/>
    </xf>
    <xf numFmtId="0" fontId="6" fillId="0" borderId="6" xfId="0" applyFont="1" applyFill="1" applyBorder="1" applyAlignment="1">
      <alignment horizontal="center"/>
    </xf>
    <xf numFmtId="9" fontId="6" fillId="0" borderId="83" xfId="4" applyFont="1" applyFill="1" applyBorder="1" applyAlignment="1">
      <alignment wrapText="1"/>
    </xf>
    <xf numFmtId="9" fontId="5" fillId="0" borderId="183" xfId="4" applyFont="1" applyFill="1" applyBorder="1"/>
    <xf numFmtId="168" fontId="6" fillId="0" borderId="92" xfId="0" applyNumberFormat="1" applyFont="1" applyFill="1" applyBorder="1" applyAlignment="1">
      <alignment horizontal="right"/>
    </xf>
    <xf numFmtId="168" fontId="4" fillId="0" borderId="3" xfId="0" quotePrefix="1" applyNumberFormat="1" applyFont="1" applyFill="1" applyBorder="1"/>
    <xf numFmtId="168" fontId="4" fillId="0" borderId="11" xfId="0" applyNumberFormat="1" applyFont="1" applyFill="1" applyBorder="1" applyAlignment="1">
      <alignment horizontal="center" vertical="center"/>
    </xf>
    <xf numFmtId="0" fontId="4" fillId="0" borderId="4" xfId="0" applyFont="1" applyBorder="1" applyAlignment="1">
      <alignment horizontal="center"/>
    </xf>
    <xf numFmtId="2" fontId="6" fillId="0" borderId="3" xfId="0" applyNumberFormat="1" applyFont="1" applyFill="1" applyBorder="1" applyAlignment="1">
      <alignment horizontal="right"/>
    </xf>
    <xf numFmtId="2" fontId="6" fillId="0" borderId="3" xfId="0" applyNumberFormat="1" applyFont="1" applyBorder="1" applyAlignment="1">
      <alignment horizontal="right"/>
    </xf>
    <xf numFmtId="10" fontId="6" fillId="0" borderId="3" xfId="0" applyNumberFormat="1" applyFont="1" applyBorder="1"/>
    <xf numFmtId="10" fontId="6" fillId="0" borderId="16" xfId="0" applyNumberFormat="1" applyFont="1" applyFill="1" applyBorder="1" applyAlignment="1">
      <alignment horizontal="right"/>
    </xf>
    <xf numFmtId="168" fontId="6" fillId="0" borderId="136" xfId="0" quotePrefix="1" applyNumberFormat="1" applyFont="1" applyBorder="1" applyAlignment="1">
      <alignment horizontal="center"/>
    </xf>
    <xf numFmtId="168" fontId="5" fillId="0" borderId="34" xfId="0" applyNumberFormat="1" applyFont="1" applyBorder="1"/>
    <xf numFmtId="168" fontId="4" fillId="0" borderId="97" xfId="0" applyNumberFormat="1" applyFont="1" applyBorder="1"/>
    <xf numFmtId="168" fontId="6" fillId="0" borderId="27" xfId="0" quotePrefix="1" applyNumberFormat="1" applyFont="1" applyBorder="1" applyAlignment="1">
      <alignment horizontal="center"/>
    </xf>
    <xf numFmtId="0" fontId="27" fillId="0" borderId="3" xfId="0" applyFont="1" applyBorder="1" applyAlignment="1">
      <alignment vertical="top" wrapText="1"/>
    </xf>
    <xf numFmtId="0" fontId="28" fillId="0" borderId="3" xfId="0" applyFont="1" applyBorder="1" applyAlignment="1">
      <alignment vertical="top" wrapText="1"/>
    </xf>
    <xf numFmtId="168" fontId="4" fillId="0" borderId="3" xfId="0" applyNumberFormat="1" applyFont="1" applyBorder="1" applyAlignment="1">
      <alignment horizontal="left"/>
    </xf>
    <xf numFmtId="168" fontId="4" fillId="0" borderId="11" xfId="0" applyNumberFormat="1" applyFont="1" applyBorder="1" applyAlignment="1">
      <alignment horizontal="left"/>
    </xf>
    <xf numFmtId="168" fontId="2" fillId="0" borderId="34" xfId="0" applyNumberFormat="1" applyFont="1" applyBorder="1"/>
    <xf numFmtId="168" fontId="2" fillId="0" borderId="3" xfId="0" applyNumberFormat="1" applyFont="1" applyBorder="1" applyAlignment="1">
      <alignment horizontal="left"/>
    </xf>
    <xf numFmtId="176" fontId="4" fillId="0" borderId="4" xfId="2" applyNumberFormat="1" applyFont="1" applyFill="1" applyBorder="1" applyAlignment="1">
      <alignment horizontal="center"/>
    </xf>
    <xf numFmtId="0" fontId="5" fillId="0" borderId="100" xfId="0" applyFont="1" applyFill="1" applyBorder="1" applyAlignment="1">
      <alignment horizontal="left" indent="1"/>
    </xf>
    <xf numFmtId="0" fontId="2" fillId="0" borderId="100" xfId="0" applyFont="1" applyFill="1" applyBorder="1" applyAlignment="1">
      <alignment horizontal="left" vertical="top" wrapText="1"/>
    </xf>
    <xf numFmtId="168" fontId="2" fillId="0" borderId="74" xfId="0" applyNumberFormat="1" applyFont="1" applyBorder="1"/>
    <xf numFmtId="168" fontId="2" fillId="0" borderId="149" xfId="0" applyNumberFormat="1" applyFont="1" applyBorder="1"/>
    <xf numFmtId="0" fontId="0" fillId="0" borderId="19" xfId="0" applyFill="1" applyBorder="1" applyAlignment="1">
      <alignment horizontal="left"/>
    </xf>
    <xf numFmtId="168" fontId="0" fillId="0" borderId="156" xfId="0" applyNumberFormat="1" applyFill="1" applyBorder="1" applyAlignment="1">
      <alignment horizontal="right"/>
    </xf>
    <xf numFmtId="3" fontId="0" fillId="0" borderId="20" xfId="0" applyNumberFormat="1" applyFill="1" applyBorder="1" applyAlignment="1">
      <alignment horizontal="right"/>
    </xf>
    <xf numFmtId="168" fontId="6" fillId="0" borderId="162" xfId="0" applyNumberFormat="1" applyFont="1" applyFill="1" applyBorder="1" applyAlignment="1">
      <alignment horizontal="left"/>
    </xf>
    <xf numFmtId="168" fontId="6" fillId="0" borderId="49" xfId="0" applyNumberFormat="1" applyFont="1" applyFill="1" applyBorder="1" applyAlignment="1">
      <alignment horizontal="right"/>
    </xf>
    <xf numFmtId="15" fontId="4" fillId="0" borderId="4" xfId="0" applyNumberFormat="1" applyFont="1" applyFill="1" applyBorder="1" applyAlignment="1">
      <alignment horizontal="center"/>
    </xf>
    <xf numFmtId="168" fontId="2" fillId="0" borderId="2" xfId="0" applyNumberFormat="1" applyFont="1" applyBorder="1"/>
    <xf numFmtId="168" fontId="2" fillId="0" borderId="27" xfId="0" applyNumberFormat="1" applyFont="1" applyBorder="1"/>
    <xf numFmtId="168" fontId="2" fillId="0" borderId="48" xfId="0" applyNumberFormat="1" applyFont="1" applyBorder="1"/>
    <xf numFmtId="10" fontId="6" fillId="0" borderId="3" xfId="0" applyNumberFormat="1" applyFont="1" applyFill="1" applyBorder="1" applyAlignment="1">
      <alignment horizontal="right"/>
    </xf>
    <xf numFmtId="0" fontId="4" fillId="0" borderId="49" xfId="0" applyFont="1" applyBorder="1" applyAlignment="1">
      <alignment horizontal="right"/>
    </xf>
    <xf numFmtId="166" fontId="4" fillId="0" borderId="15" xfId="0" applyNumberFormat="1" applyFont="1" applyBorder="1" applyAlignment="1">
      <alignment horizontal="right"/>
    </xf>
    <xf numFmtId="2" fontId="4" fillId="0" borderId="3" xfId="0" applyNumberFormat="1" applyFont="1" applyFill="1" applyBorder="1" applyAlignment="1">
      <alignment horizontal="right"/>
    </xf>
    <xf numFmtId="2" fontId="4" fillId="0" borderId="16" xfId="0" applyNumberFormat="1" applyFont="1" applyFill="1" applyBorder="1" applyAlignment="1">
      <alignment horizontal="right"/>
    </xf>
    <xf numFmtId="173" fontId="4" fillId="0" borderId="3" xfId="0" applyNumberFormat="1" applyFont="1" applyBorder="1" applyAlignment="1">
      <alignment horizontal="right"/>
    </xf>
    <xf numFmtId="173" fontId="4" fillId="0" borderId="3" xfId="0" applyNumberFormat="1" applyFont="1" applyFill="1" applyBorder="1" applyAlignment="1">
      <alignment horizontal="right"/>
    </xf>
    <xf numFmtId="173" fontId="4" fillId="0" borderId="16" xfId="0" applyNumberFormat="1" applyFont="1" applyFill="1" applyBorder="1" applyAlignment="1">
      <alignment horizontal="right"/>
    </xf>
    <xf numFmtId="0" fontId="4" fillId="0" borderId="3" xfId="0" applyFont="1" applyFill="1" applyBorder="1" applyAlignment="1">
      <alignment horizontal="right"/>
    </xf>
    <xf numFmtId="0" fontId="4" fillId="0" borderId="16" xfId="0" applyFont="1" applyFill="1" applyBorder="1" applyAlignment="1">
      <alignment horizontal="right"/>
    </xf>
    <xf numFmtId="9" fontId="4" fillId="0" borderId="3" xfId="0" applyNumberFormat="1" applyFont="1" applyBorder="1"/>
    <xf numFmtId="9" fontId="4" fillId="0" borderId="16" xfId="0" applyNumberFormat="1" applyFont="1" applyBorder="1"/>
    <xf numFmtId="10" fontId="4" fillId="0" borderId="3" xfId="0" applyNumberFormat="1" applyFont="1" applyBorder="1"/>
    <xf numFmtId="168" fontId="4" fillId="0" borderId="5" xfId="0" applyNumberFormat="1" applyFont="1" applyFill="1" applyBorder="1" applyAlignment="1">
      <alignment horizontal="right"/>
    </xf>
    <xf numFmtId="0" fontId="15" fillId="0" borderId="34" xfId="0" applyFont="1" applyFill="1" applyBorder="1"/>
    <xf numFmtId="167" fontId="4" fillId="0" borderId="3" xfId="0" applyNumberFormat="1" applyFont="1" applyBorder="1" applyAlignment="1">
      <alignment horizontal="right"/>
    </xf>
    <xf numFmtId="167" fontId="4" fillId="0" borderId="16" xfId="0" applyNumberFormat="1" applyFont="1" applyFill="1" applyBorder="1" applyAlignment="1">
      <alignment horizontal="right"/>
    </xf>
    <xf numFmtId="167" fontId="4" fillId="0" borderId="3" xfId="0" applyNumberFormat="1" applyFont="1" applyFill="1" applyBorder="1" applyAlignment="1">
      <alignment horizontal="right"/>
    </xf>
    <xf numFmtId="173" fontId="4" fillId="0" borderId="3" xfId="0" applyNumberFormat="1" applyFont="1" applyBorder="1" applyAlignment="1">
      <alignment horizontal="center"/>
    </xf>
    <xf numFmtId="167" fontId="4" fillId="0" borderId="3" xfId="0" applyNumberFormat="1" applyFont="1" applyBorder="1" applyAlignment="1">
      <alignment horizontal="center"/>
    </xf>
    <xf numFmtId="3" fontId="4" fillId="0" borderId="3" xfId="0" applyNumberFormat="1" applyFont="1" applyFill="1" applyBorder="1"/>
    <xf numFmtId="168" fontId="6" fillId="0" borderId="69" xfId="0" applyNumberFormat="1" applyFont="1" applyFill="1" applyBorder="1"/>
    <xf numFmtId="9" fontId="4" fillId="0" borderId="3" xfId="4" applyFont="1" applyBorder="1" applyAlignment="1">
      <alignment horizontal="right"/>
    </xf>
    <xf numFmtId="9" fontId="4" fillId="0" borderId="3" xfId="4" applyFont="1" applyFill="1" applyBorder="1" applyAlignment="1">
      <alignment horizontal="right"/>
    </xf>
    <xf numFmtId="9" fontId="4" fillId="0" borderId="16" xfId="4" applyFont="1" applyFill="1" applyBorder="1" applyAlignment="1">
      <alignment horizontal="right"/>
    </xf>
    <xf numFmtId="167" fontId="4" fillId="0" borderId="16" xfId="4" applyNumberFormat="1" applyFont="1" applyFill="1" applyBorder="1" applyAlignment="1">
      <alignment horizontal="right"/>
    </xf>
    <xf numFmtId="167" fontId="4" fillId="0" borderId="3" xfId="0" applyNumberFormat="1" applyFont="1" applyBorder="1"/>
    <xf numFmtId="167" fontId="4" fillId="0" borderId="16" xfId="0" applyNumberFormat="1" applyFont="1" applyBorder="1"/>
    <xf numFmtId="167" fontId="4" fillId="0" borderId="3" xfId="4" applyNumberFormat="1" applyFont="1" applyBorder="1" applyAlignment="1">
      <alignment horizontal="right"/>
    </xf>
    <xf numFmtId="167" fontId="4" fillId="0" borderId="3" xfId="4" applyNumberFormat="1" applyFont="1" applyFill="1" applyBorder="1" applyAlignment="1">
      <alignment horizontal="right"/>
    </xf>
    <xf numFmtId="167" fontId="6" fillId="0" borderId="3" xfId="0" applyNumberFormat="1" applyFont="1" applyBorder="1"/>
    <xf numFmtId="167" fontId="6" fillId="0" borderId="16" xfId="0" applyNumberFormat="1" applyFont="1" applyBorder="1"/>
    <xf numFmtId="3" fontId="2" fillId="0" borderId="16" xfId="0" applyNumberFormat="1" applyFont="1" applyFill="1" applyBorder="1" applyAlignment="1">
      <alignment horizontal="center"/>
    </xf>
    <xf numFmtId="0" fontId="7" fillId="0" borderId="97" xfId="0" applyFont="1" applyFill="1" applyBorder="1" applyAlignment="1">
      <alignment horizontal="left"/>
    </xf>
    <xf numFmtId="168" fontId="6" fillId="0" borderId="11" xfId="0" applyNumberFormat="1" applyFont="1" applyBorder="1"/>
    <xf numFmtId="0" fontId="6" fillId="0" borderId="97" xfId="0" applyFont="1" applyFill="1" applyBorder="1" applyAlignment="1">
      <alignment horizontal="left"/>
    </xf>
    <xf numFmtId="2" fontId="6" fillId="0" borderId="20" xfId="0" applyNumberFormat="1" applyFont="1" applyFill="1" applyBorder="1" applyAlignment="1">
      <alignment horizontal="right"/>
    </xf>
    <xf numFmtId="2" fontId="4" fillId="0" borderId="3" xfId="0" applyNumberFormat="1" applyFont="1" applyBorder="1" applyAlignment="1">
      <alignment horizontal="right"/>
    </xf>
    <xf numFmtId="2" fontId="4" fillId="0" borderId="3" xfId="0" applyNumberFormat="1" applyFont="1" applyBorder="1"/>
    <xf numFmtId="170" fontId="6" fillId="0" borderId="3" xfId="0" applyNumberFormat="1" applyFont="1" applyBorder="1"/>
    <xf numFmtId="170" fontId="4" fillId="0" borderId="3" xfId="0" applyNumberFormat="1" applyFont="1" applyBorder="1"/>
    <xf numFmtId="10" fontId="0" fillId="0" borderId="0" xfId="4" applyNumberFormat="1" applyFont="1"/>
    <xf numFmtId="170" fontId="6" fillId="0" borderId="16" xfId="0" applyNumberFormat="1" applyFont="1" applyFill="1" applyBorder="1" applyAlignment="1">
      <alignment horizontal="right"/>
    </xf>
    <xf numFmtId="178" fontId="0" fillId="0" borderId="3" xfId="0" applyNumberFormat="1" applyFill="1" applyBorder="1"/>
    <xf numFmtId="178" fontId="0" fillId="0" borderId="16" xfId="0" applyNumberFormat="1" applyFill="1" applyBorder="1"/>
    <xf numFmtId="10" fontId="2" fillId="0" borderId="3" xfId="4" applyNumberFormat="1" applyFont="1" applyFill="1" applyBorder="1"/>
    <xf numFmtId="10" fontId="2" fillId="0" borderId="16" xfId="4" applyNumberFormat="1" applyFont="1" applyFill="1" applyBorder="1"/>
    <xf numFmtId="0" fontId="2" fillId="0" borderId="97" xfId="0" applyFont="1" applyFill="1" applyBorder="1" applyAlignment="1">
      <alignment horizontal="left"/>
    </xf>
    <xf numFmtId="2" fontId="6" fillId="0" borderId="11" xfId="0" applyNumberFormat="1" applyFont="1" applyFill="1" applyBorder="1" applyAlignment="1">
      <alignment horizontal="right"/>
    </xf>
    <xf numFmtId="3" fontId="4" fillId="0" borderId="3" xfId="0" applyNumberFormat="1" applyFont="1" applyFill="1" applyBorder="1" applyAlignment="1">
      <alignment horizontal="center"/>
    </xf>
    <xf numFmtId="168" fontId="33" fillId="0" borderId="3" xfId="0" applyNumberFormat="1" applyFont="1" applyFill="1" applyBorder="1" applyAlignment="1">
      <alignment horizontal="right"/>
    </xf>
    <xf numFmtId="168" fontId="33" fillId="0" borderId="16" xfId="0" applyNumberFormat="1" applyFont="1" applyFill="1" applyBorder="1" applyAlignment="1">
      <alignment horizontal="right"/>
    </xf>
    <xf numFmtId="2" fontId="6" fillId="0" borderId="3" xfId="0" applyNumberFormat="1" applyFont="1" applyBorder="1"/>
    <xf numFmtId="2" fontId="6" fillId="0" borderId="16" xfId="0" applyNumberFormat="1" applyFont="1" applyBorder="1"/>
    <xf numFmtId="0" fontId="2" fillId="0" borderId="0" xfId="0" applyFont="1" applyAlignment="1">
      <alignment horizontal="center"/>
    </xf>
    <xf numFmtId="0" fontId="2" fillId="0" borderId="0" xfId="0" applyFont="1" applyAlignment="1">
      <alignment horizontal="center"/>
    </xf>
    <xf numFmtId="0" fontId="2" fillId="0" borderId="0" xfId="0" quotePrefix="1" applyFont="1"/>
    <xf numFmtId="168" fontId="6" fillId="0" borderId="20" xfId="0" applyNumberFormat="1" applyFont="1" applyFill="1" applyBorder="1" applyAlignment="1">
      <alignment horizontal="right"/>
    </xf>
    <xf numFmtId="10" fontId="0" fillId="0" borderId="133" xfId="0" applyNumberFormat="1" applyBorder="1"/>
    <xf numFmtId="0" fontId="0" fillId="0" borderId="38" xfId="0" applyBorder="1"/>
    <xf numFmtId="0" fontId="0" fillId="0" borderId="39" xfId="0" applyBorder="1"/>
    <xf numFmtId="10" fontId="6" fillId="0" borderId="34" xfId="0" applyNumberFormat="1" applyFont="1" applyBorder="1"/>
    <xf numFmtId="0" fontId="0" fillId="0" borderId="40" xfId="0" applyBorder="1"/>
    <xf numFmtId="0" fontId="2" fillId="0" borderId="97" xfId="0" applyFont="1" applyFill="1" applyBorder="1"/>
    <xf numFmtId="168" fontId="2" fillId="0" borderId="11" xfId="0" applyNumberFormat="1" applyFont="1" applyFill="1" applyBorder="1" applyAlignment="1">
      <alignment horizontal="right"/>
    </xf>
    <xf numFmtId="168" fontId="14" fillId="0" borderId="16" xfId="0" applyNumberFormat="1" applyFont="1" applyFill="1" applyBorder="1"/>
    <xf numFmtId="168" fontId="6" fillId="0" borderId="184" xfId="0" applyNumberFormat="1" applyFont="1" applyFill="1" applyBorder="1"/>
    <xf numFmtId="168" fontId="25" fillId="0" borderId="16" xfId="0" applyNumberFormat="1" applyFont="1" applyFill="1" applyBorder="1"/>
    <xf numFmtId="168" fontId="7" fillId="0" borderId="16" xfId="0" applyNumberFormat="1" applyFont="1" applyFill="1" applyBorder="1"/>
    <xf numFmtId="168" fontId="6" fillId="0" borderId="172" xfId="0" applyNumberFormat="1" applyFont="1" applyFill="1" applyBorder="1"/>
    <xf numFmtId="0" fontId="2" fillId="0" borderId="34" xfId="0" applyNumberFormat="1" applyFont="1" applyBorder="1"/>
    <xf numFmtId="0" fontId="4" fillId="0" borderId="7" xfId="0" applyFont="1" applyBorder="1" applyAlignment="1">
      <alignment horizontal="right"/>
    </xf>
    <xf numFmtId="168" fontId="4" fillId="0" borderId="3" xfId="1" applyNumberFormat="1" applyFont="1" applyBorder="1" applyAlignment="1">
      <alignment horizontal="right"/>
    </xf>
    <xf numFmtId="168" fontId="4" fillId="0" borderId="15" xfId="0" applyNumberFormat="1" applyFont="1" applyBorder="1" applyAlignment="1">
      <alignment horizontal="right"/>
    </xf>
    <xf numFmtId="168" fontId="2" fillId="0" borderId="3" xfId="1" applyNumberFormat="1" applyFont="1" applyBorder="1" applyAlignment="1">
      <alignment horizontal="right"/>
    </xf>
    <xf numFmtId="168" fontId="2" fillId="0" borderId="15" xfId="0" applyNumberFormat="1" applyFont="1" applyBorder="1" applyAlignment="1">
      <alignment horizontal="right"/>
    </xf>
    <xf numFmtId="168" fontId="0" fillId="0" borderId="3" xfId="1" applyNumberFormat="1" applyFont="1" applyBorder="1" applyAlignment="1">
      <alignment horizontal="right"/>
    </xf>
    <xf numFmtId="168" fontId="4" fillId="0" borderId="49" xfId="0" applyNumberFormat="1" applyFont="1" applyBorder="1"/>
    <xf numFmtId="168" fontId="6" fillId="0" borderId="50" xfId="0" applyNumberFormat="1" applyFont="1" applyFill="1" applyBorder="1"/>
    <xf numFmtId="168" fontId="6" fillId="0" borderId="185" xfId="0" applyNumberFormat="1" applyFont="1" applyFill="1" applyBorder="1"/>
    <xf numFmtId="38" fontId="4" fillId="0" borderId="49" xfId="0" applyNumberFormat="1" applyFont="1" applyBorder="1"/>
    <xf numFmtId="168" fontId="6" fillId="0" borderId="23" xfId="0" applyNumberFormat="1" applyFont="1" applyBorder="1"/>
    <xf numFmtId="168" fontId="5" fillId="0" borderId="97" xfId="0" applyNumberFormat="1" applyFont="1" applyBorder="1"/>
    <xf numFmtId="168" fontId="5" fillId="0" borderId="32" xfId="0" applyNumberFormat="1" applyFont="1" applyBorder="1"/>
    <xf numFmtId="168" fontId="5" fillId="0" borderId="135" xfId="0" applyNumberFormat="1" applyFont="1" applyBorder="1"/>
    <xf numFmtId="168" fontId="2" fillId="0" borderId="7" xfId="0" applyNumberFormat="1" applyFont="1" applyBorder="1" applyAlignment="1">
      <alignment horizontal="center"/>
    </xf>
    <xf numFmtId="168" fontId="2" fillId="0" borderId="0" xfId="0" applyNumberFormat="1" applyFont="1" applyBorder="1" applyAlignment="1">
      <alignment horizontal="center"/>
    </xf>
    <xf numFmtId="168" fontId="2" fillId="0" borderId="75" xfId="0" applyNumberFormat="1" applyFont="1" applyBorder="1" applyAlignment="1">
      <alignment horizontal="center"/>
    </xf>
    <xf numFmtId="168" fontId="2" fillId="0" borderId="75" xfId="0" applyNumberFormat="1" applyFont="1" applyBorder="1" applyAlignment="1"/>
    <xf numFmtId="168" fontId="2" fillId="0" borderId="83" xfId="0" applyNumberFormat="1" applyFont="1" applyBorder="1" applyAlignment="1"/>
    <xf numFmtId="168" fontId="2" fillId="0" borderId="0" xfId="0" quotePrefix="1" applyNumberFormat="1" applyFont="1" applyBorder="1" applyAlignment="1">
      <alignment horizontal="center"/>
    </xf>
    <xf numFmtId="0" fontId="2" fillId="0" borderId="180" xfId="0" applyFont="1" applyBorder="1" applyAlignment="1"/>
    <xf numFmtId="0" fontId="2" fillId="0" borderId="24" xfId="0" applyFont="1" applyBorder="1" applyAlignment="1"/>
    <xf numFmtId="0" fontId="2" fillId="0" borderId="82" xfId="0" applyFont="1" applyBorder="1" applyAlignment="1">
      <alignment horizontal="center"/>
    </xf>
    <xf numFmtId="168" fontId="2" fillId="0" borderId="85" xfId="0" applyNumberFormat="1" applyFont="1" applyBorder="1"/>
    <xf numFmtId="168" fontId="2" fillId="0" borderId="49" xfId="0" applyNumberFormat="1" applyFont="1" applyBorder="1"/>
    <xf numFmtId="0" fontId="0" fillId="0" borderId="122" xfId="0" applyBorder="1"/>
    <xf numFmtId="0" fontId="6" fillId="0" borderId="0" xfId="0" applyFont="1" applyAlignment="1">
      <alignment horizontal="center"/>
    </xf>
    <xf numFmtId="0" fontId="6" fillId="0" borderId="0" xfId="0" applyFont="1" applyBorder="1" applyAlignment="1">
      <alignment horizontal="center"/>
    </xf>
    <xf numFmtId="0" fontId="6" fillId="0" borderId="16" xfId="0" applyFont="1" applyBorder="1" applyAlignment="1">
      <alignment horizontal="center"/>
    </xf>
    <xf numFmtId="0" fontId="6" fillId="0" borderId="75" xfId="0" applyFont="1" applyBorder="1" applyAlignment="1">
      <alignment horizontal="center"/>
    </xf>
    <xf numFmtId="0" fontId="6" fillId="0" borderId="83" xfId="0" applyFont="1" applyBorder="1" applyAlignment="1">
      <alignment horizontal="center"/>
    </xf>
    <xf numFmtId="0" fontId="6" fillId="0" borderId="48" xfId="0" applyFont="1" applyBorder="1" applyAlignment="1">
      <alignment horizontal="center"/>
    </xf>
    <xf numFmtId="0" fontId="0" fillId="0" borderId="16" xfId="0" applyBorder="1" applyAlignment="1">
      <alignment horizontal="center"/>
    </xf>
    <xf numFmtId="10" fontId="0" fillId="0" borderId="16" xfId="0" applyNumberFormat="1" applyBorder="1" applyAlignment="1">
      <alignment horizontal="right"/>
    </xf>
    <xf numFmtId="168" fontId="2" fillId="0" borderId="16" xfId="1" applyNumberFormat="1" applyFont="1" applyBorder="1" applyAlignment="1">
      <alignment horizontal="right"/>
    </xf>
    <xf numFmtId="168" fontId="0" fillId="0" borderId="16" xfId="1" applyNumberFormat="1" applyFont="1" applyBorder="1" applyAlignment="1">
      <alignment horizontal="right"/>
    </xf>
    <xf numFmtId="164" fontId="0" fillId="0" borderId="16" xfId="1" applyFont="1" applyBorder="1" applyAlignment="1">
      <alignment horizontal="right"/>
    </xf>
    <xf numFmtId="9" fontId="0" fillId="0" borderId="16" xfId="4" applyFont="1" applyBorder="1" applyAlignment="1">
      <alignment horizontal="right"/>
    </xf>
    <xf numFmtId="0" fontId="0" fillId="0" borderId="20" xfId="0" applyBorder="1" applyAlignment="1">
      <alignment horizontal="right"/>
    </xf>
    <xf numFmtId="10" fontId="4" fillId="0" borderId="4" xfId="0" applyNumberFormat="1" applyFont="1" applyBorder="1" applyAlignment="1">
      <alignment horizontal="right"/>
    </xf>
    <xf numFmtId="166" fontId="4" fillId="0" borderId="4" xfId="1" applyNumberFormat="1" applyFont="1" applyBorder="1" applyAlignment="1">
      <alignment horizontal="right"/>
    </xf>
    <xf numFmtId="166" fontId="0" fillId="0" borderId="4" xfId="1" applyNumberFormat="1" applyFont="1" applyBorder="1" applyAlignment="1">
      <alignment horizontal="right"/>
    </xf>
    <xf numFmtId="10" fontId="4" fillId="0" borderId="4" xfId="0" applyNumberFormat="1" applyFont="1" applyFill="1" applyBorder="1" applyAlignment="1">
      <alignment horizontal="right"/>
    </xf>
    <xf numFmtId="0" fontId="0" fillId="0" borderId="36" xfId="0" applyBorder="1"/>
    <xf numFmtId="0" fontId="0" fillId="0" borderId="4" xfId="0" applyBorder="1"/>
    <xf numFmtId="168" fontId="4" fillId="0" borderId="19" xfId="0" applyNumberFormat="1" applyFont="1" applyFill="1" applyBorder="1" applyAlignment="1">
      <alignment horizontal="right"/>
    </xf>
    <xf numFmtId="3" fontId="0" fillId="0" borderId="19" xfId="0" applyNumberFormat="1" applyBorder="1"/>
    <xf numFmtId="3" fontId="4" fillId="0" borderId="16" xfId="0" applyNumberFormat="1" applyFont="1" applyFill="1" applyBorder="1" applyAlignment="1">
      <alignment horizontal="center"/>
    </xf>
    <xf numFmtId="3" fontId="6" fillId="0" borderId="149" xfId="0" applyNumberFormat="1" applyFont="1" applyBorder="1"/>
    <xf numFmtId="168" fontId="2" fillId="0" borderId="20" xfId="0" applyNumberFormat="1" applyFont="1" applyFill="1" applyBorder="1" applyAlignment="1">
      <alignment horizontal="right"/>
    </xf>
    <xf numFmtId="3" fontId="2" fillId="0" borderId="67" xfId="0" applyNumberFormat="1" applyFont="1" applyFill="1" applyBorder="1" applyAlignment="1">
      <alignment horizontal="center"/>
    </xf>
    <xf numFmtId="173" fontId="6" fillId="0" borderId="4" xfId="0" applyNumberFormat="1" applyFont="1" applyFill="1" applyBorder="1" applyAlignment="1">
      <alignment horizontal="right"/>
    </xf>
    <xf numFmtId="9" fontId="4" fillId="0" borderId="4" xfId="0" applyNumberFormat="1" applyFont="1" applyBorder="1"/>
    <xf numFmtId="3" fontId="4" fillId="0" borderId="90" xfId="0" applyNumberFormat="1" applyFont="1" applyFill="1" applyBorder="1" applyAlignment="1">
      <alignment horizontal="right"/>
    </xf>
    <xf numFmtId="167" fontId="4" fillId="0" borderId="4" xfId="0" applyNumberFormat="1" applyFont="1" applyBorder="1"/>
    <xf numFmtId="167" fontId="4" fillId="0" borderId="4" xfId="4" applyNumberFormat="1" applyFont="1" applyFill="1" applyBorder="1" applyAlignment="1">
      <alignment horizontal="right"/>
    </xf>
    <xf numFmtId="167" fontId="4" fillId="0" borderId="4" xfId="0" applyNumberFormat="1" applyFont="1" applyFill="1" applyBorder="1" applyAlignment="1">
      <alignment horizontal="right"/>
    </xf>
    <xf numFmtId="9" fontId="4" fillId="0" borderId="4" xfId="4" applyFont="1" applyFill="1" applyBorder="1" applyAlignment="1">
      <alignment horizontal="right"/>
    </xf>
    <xf numFmtId="3" fontId="33" fillId="0" borderId="90" xfId="0" applyNumberFormat="1" applyFont="1" applyFill="1" applyBorder="1" applyAlignment="1">
      <alignment horizontal="right"/>
    </xf>
    <xf numFmtId="3" fontId="33" fillId="0" borderId="4" xfId="0" applyNumberFormat="1" applyFont="1" applyFill="1" applyBorder="1" applyAlignment="1">
      <alignment horizontal="right"/>
    </xf>
    <xf numFmtId="2" fontId="4" fillId="0" borderId="4" xfId="0" applyNumberFormat="1" applyFont="1" applyFill="1" applyBorder="1" applyAlignment="1">
      <alignment horizontal="right"/>
    </xf>
    <xf numFmtId="173" fontId="4" fillId="0" borderId="4" xfId="0" applyNumberFormat="1" applyFont="1" applyFill="1" applyBorder="1" applyAlignment="1">
      <alignment horizontal="right"/>
    </xf>
    <xf numFmtId="0" fontId="4" fillId="0" borderId="4" xfId="0" applyFont="1" applyFill="1" applyBorder="1" applyAlignment="1">
      <alignment horizontal="right"/>
    </xf>
    <xf numFmtId="3" fontId="4" fillId="0" borderId="4" xfId="0" applyNumberFormat="1" applyFont="1" applyFill="1" applyBorder="1" applyAlignment="1">
      <alignment horizontal="right"/>
    </xf>
    <xf numFmtId="2" fontId="6" fillId="0" borderId="4" xfId="0" applyNumberFormat="1" applyFont="1" applyFill="1" applyBorder="1" applyAlignment="1">
      <alignment horizontal="right"/>
    </xf>
    <xf numFmtId="10" fontId="6" fillId="0" borderId="4" xfId="0" applyNumberFormat="1" applyFont="1" applyFill="1" applyBorder="1" applyAlignment="1">
      <alignment horizontal="right"/>
    </xf>
    <xf numFmtId="174" fontId="4" fillId="0" borderId="4" xfId="0" applyNumberFormat="1" applyFont="1" applyBorder="1"/>
    <xf numFmtId="10" fontId="6" fillId="0" borderId="4" xfId="0" applyNumberFormat="1" applyFont="1" applyFill="1" applyBorder="1" applyAlignment="1">
      <alignment horizontal="center"/>
    </xf>
    <xf numFmtId="2" fontId="6" fillId="0" borderId="4" xfId="0" applyNumberFormat="1" applyFont="1" applyBorder="1"/>
    <xf numFmtId="168" fontId="6" fillId="0" borderId="74" xfId="0" applyNumberFormat="1" applyFont="1" applyFill="1" applyBorder="1" applyAlignment="1">
      <alignment horizontal="right"/>
    </xf>
    <xf numFmtId="3" fontId="6" fillId="0" borderId="74" xfId="0" applyNumberFormat="1" applyFont="1" applyFill="1" applyBorder="1" applyAlignment="1">
      <alignment horizontal="right"/>
    </xf>
    <xf numFmtId="0" fontId="33" fillId="0" borderId="4" xfId="0" applyFont="1" applyFill="1" applyBorder="1" applyAlignment="1">
      <alignment horizontal="right"/>
    </xf>
    <xf numFmtId="3" fontId="10" fillId="0" borderId="74" xfId="0" applyNumberFormat="1" applyFont="1" applyFill="1" applyBorder="1" applyAlignment="1">
      <alignment horizontal="right"/>
    </xf>
    <xf numFmtId="0" fontId="35" fillId="0" borderId="4" xfId="0" applyFont="1" applyFill="1" applyBorder="1" applyAlignment="1">
      <alignment horizontal="right"/>
    </xf>
    <xf numFmtId="168" fontId="33" fillId="0" borderId="4" xfId="0" applyNumberFormat="1" applyFont="1" applyFill="1" applyBorder="1" applyAlignment="1">
      <alignment horizontal="right"/>
    </xf>
    <xf numFmtId="3" fontId="2" fillId="0" borderId="4" xfId="0" applyNumberFormat="1" applyFont="1" applyFill="1" applyBorder="1" applyAlignment="1">
      <alignment horizontal="center"/>
    </xf>
    <xf numFmtId="167" fontId="6" fillId="0" borderId="4" xfId="0" applyNumberFormat="1" applyFont="1" applyFill="1" applyBorder="1" applyAlignment="1">
      <alignment horizontal="right"/>
    </xf>
    <xf numFmtId="3" fontId="4" fillId="0" borderId="94" xfId="0" applyNumberFormat="1" applyFont="1" applyFill="1" applyBorder="1" applyAlignment="1">
      <alignment horizontal="right"/>
    </xf>
    <xf numFmtId="168" fontId="6" fillId="0" borderId="19" xfId="0" applyNumberFormat="1" applyFont="1" applyFill="1" applyBorder="1" applyAlignment="1">
      <alignment horizontal="right"/>
    </xf>
    <xf numFmtId="2" fontId="6" fillId="0" borderId="19" xfId="0" applyNumberFormat="1" applyFont="1" applyFill="1" applyBorder="1" applyAlignment="1">
      <alignment horizontal="right"/>
    </xf>
    <xf numFmtId="170" fontId="6" fillId="0" borderId="4" xfId="0" applyNumberFormat="1" applyFont="1" applyFill="1" applyBorder="1" applyAlignment="1">
      <alignment horizontal="right"/>
    </xf>
    <xf numFmtId="9" fontId="2" fillId="0" borderId="4" xfId="4" applyFont="1" applyFill="1" applyBorder="1"/>
    <xf numFmtId="178" fontId="0" fillId="0" borderId="4" xfId="0" applyNumberFormat="1" applyFill="1" applyBorder="1"/>
    <xf numFmtId="10" fontId="2" fillId="0" borderId="4" xfId="4" applyNumberFormat="1" applyFont="1" applyFill="1" applyBorder="1"/>
    <xf numFmtId="0" fontId="0" fillId="0" borderId="19" xfId="0" applyBorder="1"/>
    <xf numFmtId="0" fontId="7" fillId="0" borderId="34" xfId="0" applyFont="1" applyFill="1" applyBorder="1"/>
    <xf numFmtId="0" fontId="2" fillId="0" borderId="140" xfId="0" applyFont="1" applyFill="1" applyBorder="1" applyAlignment="1">
      <alignment horizontal="left"/>
    </xf>
    <xf numFmtId="173" fontId="6" fillId="0" borderId="61" xfId="0" applyNumberFormat="1" applyFont="1" applyBorder="1" applyAlignment="1">
      <alignment horizontal="center"/>
    </xf>
    <xf numFmtId="173" fontId="6" fillId="0" borderId="61" xfId="0" applyNumberFormat="1" applyFont="1" applyFill="1" applyBorder="1" applyAlignment="1">
      <alignment horizontal="center"/>
    </xf>
    <xf numFmtId="173" fontId="6" fillId="0" borderId="67" xfId="0" applyNumberFormat="1" applyFont="1" applyFill="1" applyBorder="1" applyAlignment="1">
      <alignment horizontal="center"/>
    </xf>
    <xf numFmtId="173" fontId="6" fillId="0" borderId="62" xfId="0" applyNumberFormat="1" applyFont="1" applyFill="1" applyBorder="1" applyAlignment="1">
      <alignment horizontal="center"/>
    </xf>
    <xf numFmtId="173" fontId="6" fillId="0" borderId="61" xfId="0" applyNumberFormat="1" applyFont="1" applyBorder="1" applyAlignment="1">
      <alignment horizontal="right"/>
    </xf>
    <xf numFmtId="173" fontId="6" fillId="0" borderId="61" xfId="0" applyNumberFormat="1" applyFont="1" applyFill="1" applyBorder="1" applyAlignment="1">
      <alignment horizontal="right"/>
    </xf>
    <xf numFmtId="173" fontId="6" fillId="0" borderId="67" xfId="0" applyNumberFormat="1" applyFont="1" applyFill="1" applyBorder="1" applyAlignment="1">
      <alignment horizontal="right"/>
    </xf>
    <xf numFmtId="173" fontId="6" fillId="0" borderId="62" xfId="0" applyNumberFormat="1" applyFont="1" applyFill="1" applyBorder="1" applyAlignment="1">
      <alignment horizontal="right"/>
    </xf>
    <xf numFmtId="3" fontId="6" fillId="0" borderId="3" xfId="0" applyNumberFormat="1" applyFont="1" applyBorder="1" applyAlignment="1">
      <alignment horizontal="center"/>
    </xf>
    <xf numFmtId="3" fontId="6" fillId="0" borderId="4" xfId="0" applyNumberFormat="1" applyFont="1" applyBorder="1" applyAlignment="1">
      <alignment horizontal="center"/>
    </xf>
    <xf numFmtId="3" fontId="6" fillId="0" borderId="16" xfId="0" applyNumberFormat="1" applyFont="1" applyBorder="1" applyAlignment="1">
      <alignment horizontal="center"/>
    </xf>
    <xf numFmtId="0" fontId="2" fillId="0" borderId="137" xfId="0" applyFont="1" applyBorder="1"/>
    <xf numFmtId="3" fontId="6" fillId="0" borderId="61" xfId="0" applyNumberFormat="1" applyFont="1" applyBorder="1" applyAlignment="1">
      <alignment horizontal="center"/>
    </xf>
    <xf numFmtId="3" fontId="6" fillId="0" borderId="67" xfId="0" applyNumberFormat="1" applyFont="1" applyBorder="1" applyAlignment="1">
      <alignment horizontal="center"/>
    </xf>
    <xf numFmtId="3" fontId="6" fillId="0" borderId="62" xfId="0" applyNumberFormat="1" applyFont="1" applyBorder="1" applyAlignment="1">
      <alignment horizontal="center"/>
    </xf>
    <xf numFmtId="168" fontId="2" fillId="0" borderId="95" xfId="0" applyNumberFormat="1" applyFont="1" applyFill="1" applyBorder="1"/>
    <xf numFmtId="168" fontId="4" fillId="0" borderId="45" xfId="0" applyNumberFormat="1" applyFont="1" applyFill="1" applyBorder="1"/>
    <xf numFmtId="168" fontId="4" fillId="0" borderId="39" xfId="0" applyNumberFormat="1" applyFont="1" applyFill="1" applyBorder="1"/>
    <xf numFmtId="168" fontId="4" fillId="0" borderId="16" xfId="0" applyNumberFormat="1" applyFont="1" applyFill="1" applyBorder="1" applyAlignment="1"/>
    <xf numFmtId="168" fontId="2" fillId="0" borderId="52" xfId="0" quotePrefix="1" applyNumberFormat="1" applyFont="1" applyBorder="1" applyAlignment="1">
      <alignment horizontal="center"/>
    </xf>
    <xf numFmtId="0" fontId="6" fillId="0" borderId="52" xfId="0" quotePrefix="1" applyNumberFormat="1" applyFont="1" applyBorder="1" applyAlignment="1">
      <alignment horizontal="center"/>
    </xf>
    <xf numFmtId="168" fontId="2" fillId="0" borderId="3" xfId="0" applyNumberFormat="1" applyFont="1" applyFill="1" applyBorder="1" applyAlignment="1"/>
    <xf numFmtId="168" fontId="2" fillId="0" borderId="94" xfId="0" applyNumberFormat="1" applyFont="1" applyFill="1" applyBorder="1" applyAlignment="1"/>
    <xf numFmtId="168" fontId="2" fillId="0" borderId="40" xfId="0" applyNumberFormat="1" applyFont="1" applyFill="1" applyBorder="1" applyAlignment="1"/>
    <xf numFmtId="168" fontId="6" fillId="0" borderId="3" xfId="0" quotePrefix="1" applyNumberFormat="1" applyFont="1" applyBorder="1" applyAlignment="1">
      <alignment horizontal="center" wrapText="1"/>
    </xf>
    <xf numFmtId="168" fontId="5" fillId="0" borderId="3" xfId="0" quotePrefix="1" applyNumberFormat="1" applyFont="1" applyFill="1" applyBorder="1" applyAlignment="1"/>
    <xf numFmtId="168" fontId="6" fillId="0" borderId="48" xfId="0" quotePrefix="1" applyNumberFormat="1" applyFont="1" applyBorder="1" applyAlignment="1">
      <alignment horizontal="center"/>
    </xf>
    <xf numFmtId="168" fontId="6" fillId="0" borderId="136" xfId="0" quotePrefix="1" applyNumberFormat="1" applyFont="1" applyFill="1" applyBorder="1" applyAlignment="1">
      <alignment horizontal="center"/>
    </xf>
    <xf numFmtId="168" fontId="7" fillId="0" borderId="5" xfId="0" applyNumberFormat="1" applyFont="1" applyFill="1" applyBorder="1" applyAlignment="1">
      <alignment horizontal="left"/>
    </xf>
    <xf numFmtId="168" fontId="5" fillId="0" borderId="29" xfId="0" applyNumberFormat="1" applyFont="1" applyFill="1" applyBorder="1" applyAlignment="1">
      <alignment horizontal="center"/>
    </xf>
    <xf numFmtId="0" fontId="6" fillId="0" borderId="52" xfId="0" quotePrefix="1" applyNumberFormat="1" applyFont="1" applyFill="1" applyBorder="1" applyAlignment="1">
      <alignment horizontal="center"/>
    </xf>
    <xf numFmtId="168" fontId="6" fillId="0" borderId="142" xfId="0" quotePrefix="1" applyNumberFormat="1" applyFont="1" applyFill="1" applyBorder="1" applyAlignment="1">
      <alignment horizontal="center"/>
    </xf>
    <xf numFmtId="168" fontId="6" fillId="0" borderId="35" xfId="0" quotePrefix="1" applyNumberFormat="1" applyFont="1" applyBorder="1" applyAlignment="1">
      <alignment horizontal="center"/>
    </xf>
    <xf numFmtId="168" fontId="6" fillId="0" borderId="113" xfId="0" applyNumberFormat="1" applyFont="1" applyFill="1" applyBorder="1" applyAlignment="1">
      <alignment horizontal="center"/>
    </xf>
    <xf numFmtId="168" fontId="6" fillId="0" borderId="69" xfId="0" applyNumberFormat="1" applyFont="1" applyFill="1" applyBorder="1" applyAlignment="1">
      <alignment horizontal="center"/>
    </xf>
    <xf numFmtId="168" fontId="6" fillId="0" borderId="74" xfId="0" applyNumberFormat="1" applyFont="1" applyFill="1" applyBorder="1" applyAlignment="1">
      <alignment horizontal="center"/>
    </xf>
    <xf numFmtId="168" fontId="6" fillId="0" borderId="149" xfId="0" applyNumberFormat="1" applyFont="1" applyFill="1" applyBorder="1" applyAlignment="1">
      <alignment horizontal="center"/>
    </xf>
    <xf numFmtId="175" fontId="5" fillId="0" borderId="15" xfId="0" applyNumberFormat="1" applyFont="1" applyFill="1" applyBorder="1" applyAlignment="1"/>
    <xf numFmtId="168" fontId="6" fillId="0" borderId="95" xfId="0" applyNumberFormat="1" applyFont="1" applyFill="1" applyBorder="1" applyAlignment="1"/>
    <xf numFmtId="168" fontId="5" fillId="0" borderId="35" xfId="0" applyNumberFormat="1" applyFont="1" applyFill="1" applyBorder="1"/>
    <xf numFmtId="168" fontId="6" fillId="0" borderId="156" xfId="0" applyNumberFormat="1" applyFont="1" applyFill="1" applyBorder="1"/>
    <xf numFmtId="168" fontId="6" fillId="0" borderId="186" xfId="0" applyNumberFormat="1" applyFont="1" applyFill="1" applyBorder="1"/>
    <xf numFmtId="168" fontId="6" fillId="0" borderId="141" xfId="0" applyNumberFormat="1" applyFont="1" applyFill="1" applyBorder="1"/>
    <xf numFmtId="0" fontId="6" fillId="0" borderId="141" xfId="0" applyNumberFormat="1" applyFont="1" applyFill="1" applyBorder="1" applyAlignment="1">
      <alignment horizontal="center"/>
    </xf>
    <xf numFmtId="168" fontId="7" fillId="0" borderId="141" xfId="0" applyNumberFormat="1" applyFont="1" applyFill="1" applyBorder="1" applyAlignment="1">
      <alignment horizontal="left"/>
    </xf>
    <xf numFmtId="168" fontId="6" fillId="0" borderId="182" xfId="0" applyNumberFormat="1" applyFont="1" applyFill="1" applyBorder="1" applyAlignment="1"/>
    <xf numFmtId="168" fontId="6" fillId="0" borderId="141" xfId="0" applyNumberFormat="1" applyFont="1" applyFill="1" applyBorder="1" applyAlignment="1">
      <alignment horizontal="center"/>
    </xf>
    <xf numFmtId="168" fontId="6" fillId="0" borderId="187" xfId="0" applyNumberFormat="1" applyFont="1" applyFill="1" applyBorder="1"/>
    <xf numFmtId="0" fontId="2" fillId="0" borderId="17" xfId="0" quotePrefix="1" applyNumberFormat="1" applyFont="1" applyBorder="1" applyAlignment="1">
      <alignment horizontal="center"/>
    </xf>
    <xf numFmtId="168" fontId="2" fillId="0" borderId="2" xfId="0" quotePrefix="1" applyNumberFormat="1" applyFont="1" applyBorder="1" applyAlignment="1">
      <alignment horizontal="center" wrapText="1"/>
    </xf>
    <xf numFmtId="168" fontId="6" fillId="0" borderId="182" xfId="0" applyNumberFormat="1" applyFont="1" applyFill="1" applyBorder="1"/>
    <xf numFmtId="1" fontId="6" fillId="0" borderId="150" xfId="0" applyNumberFormat="1" applyFont="1" applyFill="1" applyBorder="1" applyAlignment="1">
      <alignment horizontal="center"/>
    </xf>
    <xf numFmtId="9" fontId="5" fillId="0" borderId="16" xfId="4" applyFont="1" applyFill="1" applyBorder="1" applyAlignment="1"/>
    <xf numFmtId="9" fontId="5" fillId="0" borderId="3" xfId="4" applyFont="1" applyFill="1" applyBorder="1" applyAlignment="1"/>
    <xf numFmtId="166" fontId="5" fillId="0" borderId="16" xfId="1" applyNumberFormat="1" applyFont="1" applyFill="1" applyBorder="1" applyAlignment="1"/>
    <xf numFmtId="166" fontId="5" fillId="0" borderId="3" xfId="1" applyNumberFormat="1" applyFont="1" applyFill="1" applyBorder="1" applyAlignment="1"/>
    <xf numFmtId="171" fontId="5" fillId="0" borderId="3" xfId="0" applyNumberFormat="1" applyFont="1" applyFill="1" applyBorder="1" applyAlignment="1"/>
    <xf numFmtId="168" fontId="6" fillId="0" borderId="52" xfId="0" applyNumberFormat="1" applyFont="1" applyFill="1" applyBorder="1" applyAlignment="1">
      <alignment horizontal="center"/>
    </xf>
    <xf numFmtId="168" fontId="6" fillId="0" borderId="188" xfId="0" quotePrefix="1" applyNumberFormat="1" applyFont="1" applyFill="1" applyBorder="1" applyAlignment="1">
      <alignment horizontal="center"/>
    </xf>
    <xf numFmtId="168" fontId="6" fillId="0" borderId="165" xfId="0" applyNumberFormat="1" applyFont="1" applyFill="1" applyBorder="1" applyAlignment="1">
      <alignment horizontal="left"/>
    </xf>
    <xf numFmtId="168" fontId="6" fillId="0" borderId="68" xfId="0" quotePrefix="1" applyNumberFormat="1" applyFont="1" applyFill="1" applyBorder="1" applyAlignment="1">
      <alignment horizontal="center"/>
    </xf>
    <xf numFmtId="168" fontId="2" fillId="0" borderId="163" xfId="0" quotePrefix="1" applyNumberFormat="1" applyFont="1" applyFill="1" applyBorder="1" applyAlignment="1">
      <alignment horizontal="center"/>
    </xf>
    <xf numFmtId="168" fontId="2" fillId="0" borderId="88" xfId="0" quotePrefix="1" applyNumberFormat="1" applyFont="1" applyFill="1" applyBorder="1" applyAlignment="1">
      <alignment horizontal="center"/>
    </xf>
    <xf numFmtId="168" fontId="6" fillId="0" borderId="162" xfId="0" quotePrefix="1" applyNumberFormat="1" applyFont="1" applyFill="1" applyBorder="1" applyAlignment="1">
      <alignment horizontal="center"/>
    </xf>
    <xf numFmtId="168" fontId="6" fillId="0" borderId="163" xfId="0" applyNumberFormat="1" applyFont="1" applyFill="1" applyBorder="1" applyAlignment="1">
      <alignment horizontal="left"/>
    </xf>
    <xf numFmtId="168" fontId="8" fillId="0" borderId="68" xfId="0" applyNumberFormat="1" applyFont="1" applyFill="1" applyBorder="1" applyAlignment="1">
      <alignment vertical="center"/>
    </xf>
    <xf numFmtId="168" fontId="2" fillId="0" borderId="7" xfId="0" applyNumberFormat="1" applyFont="1" applyFill="1" applyBorder="1" applyAlignment="1">
      <alignment horizontal="center"/>
    </xf>
    <xf numFmtId="168" fontId="6" fillId="0" borderId="181" xfId="0" applyNumberFormat="1" applyFont="1" applyFill="1" applyBorder="1"/>
    <xf numFmtId="168" fontId="14" fillId="0" borderId="7" xfId="0" applyNumberFormat="1" applyFont="1" applyFill="1" applyBorder="1"/>
    <xf numFmtId="168" fontId="6" fillId="0" borderId="7" xfId="0" applyNumberFormat="1" applyFont="1" applyFill="1" applyBorder="1"/>
    <xf numFmtId="168" fontId="6" fillId="0" borderId="134" xfId="0" applyNumberFormat="1" applyFont="1" applyFill="1" applyBorder="1"/>
    <xf numFmtId="168" fontId="8" fillId="0" borderId="38" xfId="0" applyNumberFormat="1" applyFont="1" applyFill="1" applyBorder="1" applyAlignment="1">
      <alignment vertical="center"/>
    </xf>
    <xf numFmtId="168" fontId="5" fillId="0" borderId="39" xfId="0" applyNumberFormat="1" applyFont="1" applyFill="1" applyBorder="1" applyAlignment="1"/>
    <xf numFmtId="168" fontId="5" fillId="0" borderId="134" xfId="0" applyNumberFormat="1" applyFont="1" applyFill="1" applyBorder="1"/>
    <xf numFmtId="168" fontId="2" fillId="0" borderId="54" xfId="0" applyNumberFormat="1" applyFont="1" applyBorder="1"/>
    <xf numFmtId="10" fontId="5" fillId="0" borderId="3" xfId="4" applyNumberFormat="1" applyFont="1" applyFill="1" applyBorder="1" applyAlignment="1">
      <alignment horizontal="center"/>
    </xf>
    <xf numFmtId="168" fontId="6" fillId="0" borderId="189" xfId="0" applyNumberFormat="1" applyFont="1" applyFill="1" applyBorder="1"/>
    <xf numFmtId="168" fontId="4" fillId="0" borderId="16" xfId="1" applyNumberFormat="1" applyFont="1" applyBorder="1"/>
    <xf numFmtId="0" fontId="4" fillId="0" borderId="97" xfId="0" applyFont="1" applyBorder="1"/>
    <xf numFmtId="38" fontId="4" fillId="0" borderId="5" xfId="0" applyNumberFormat="1" applyFont="1" applyBorder="1"/>
    <xf numFmtId="38" fontId="4" fillId="0" borderId="21" xfId="0" applyNumberFormat="1" applyFont="1" applyBorder="1"/>
    <xf numFmtId="38" fontId="4" fillId="0" borderId="11" xfId="0" applyNumberFormat="1" applyFont="1" applyBorder="1"/>
    <xf numFmtId="38" fontId="4" fillId="0" borderId="20" xfId="0" applyNumberFormat="1" applyFont="1" applyBorder="1"/>
    <xf numFmtId="38" fontId="4" fillId="0" borderId="19" xfId="0" applyNumberFormat="1" applyFont="1" applyBorder="1"/>
    <xf numFmtId="38" fontId="4" fillId="0" borderId="77" xfId="0" applyNumberFormat="1" applyFont="1" applyBorder="1"/>
    <xf numFmtId="0" fontId="17" fillId="0" borderId="0" xfId="0" applyFont="1" applyFill="1" applyBorder="1" applyAlignment="1">
      <alignment horizontal="center" vertical="center"/>
    </xf>
    <xf numFmtId="0" fontId="6" fillId="0" borderId="0" xfId="0" applyFont="1" applyFill="1" applyBorder="1" applyAlignment="1">
      <alignment horizontal="center" vertical="center"/>
    </xf>
    <xf numFmtId="38" fontId="6" fillId="0" borderId="0" xfId="1" applyNumberFormat="1" applyFont="1" applyFill="1" applyBorder="1"/>
    <xf numFmtId="0" fontId="7" fillId="0" borderId="0" xfId="0" applyFont="1" applyFill="1" applyBorder="1" applyAlignment="1">
      <alignment horizontal="center" vertical="center"/>
    </xf>
    <xf numFmtId="0" fontId="6" fillId="0" borderId="84" xfId="0" quotePrefix="1" applyFont="1" applyFill="1" applyBorder="1" applyAlignment="1">
      <alignment horizontal="center"/>
    </xf>
    <xf numFmtId="167" fontId="0" fillId="0" borderId="3" xfId="4" applyNumberFormat="1" applyFont="1" applyBorder="1" applyAlignment="1">
      <alignment horizontal="center"/>
    </xf>
    <xf numFmtId="0" fontId="2" fillId="0" borderId="153" xfId="0" applyFont="1" applyBorder="1" applyAlignment="1">
      <alignment horizontal="left"/>
    </xf>
    <xf numFmtId="0" fontId="2" fillId="0" borderId="0" xfId="0" applyFont="1" applyAlignment="1">
      <alignment horizontal="left"/>
    </xf>
    <xf numFmtId="0" fontId="2" fillId="0" borderId="154" xfId="0" applyFont="1" applyBorder="1" applyAlignment="1">
      <alignment horizontal="left"/>
    </xf>
    <xf numFmtId="0" fontId="4" fillId="0" borderId="16" xfId="0" applyFont="1" applyBorder="1" applyAlignment="1">
      <alignment horizontal="left"/>
    </xf>
    <xf numFmtId="0" fontId="2" fillId="0" borderId="34" xfId="0" applyFont="1" applyBorder="1" applyAlignment="1">
      <alignment horizontal="left"/>
    </xf>
    <xf numFmtId="3" fontId="2" fillId="0" borderId="0" xfId="0" applyNumberFormat="1" applyFont="1" applyAlignment="1">
      <alignment horizontal="left"/>
    </xf>
    <xf numFmtId="0" fontId="4" fillId="0" borderId="97" xfId="0" applyFont="1" applyBorder="1" applyAlignment="1">
      <alignment horizontal="left"/>
    </xf>
    <xf numFmtId="168" fontId="2" fillId="0" borderId="136" xfId="0" applyNumberFormat="1" applyFont="1" applyFill="1" applyBorder="1" applyAlignment="1">
      <alignment horizontal="center"/>
    </xf>
    <xf numFmtId="168" fontId="2" fillId="0" borderId="48" xfId="0" applyNumberFormat="1" applyFont="1" applyFill="1" applyBorder="1" applyAlignment="1">
      <alignment horizontal="center"/>
    </xf>
    <xf numFmtId="0" fontId="2" fillId="0" borderId="133" xfId="0" applyFont="1" applyBorder="1" applyAlignment="1">
      <alignment horizontal="center"/>
    </xf>
    <xf numFmtId="168" fontId="2" fillId="0" borderId="40" xfId="0" applyNumberFormat="1" applyFont="1" applyFill="1" applyBorder="1" applyAlignment="1">
      <alignment horizontal="center"/>
    </xf>
    <xf numFmtId="9" fontId="2" fillId="0" borderId="40" xfId="4" applyFont="1" applyFill="1" applyBorder="1" applyAlignment="1">
      <alignment horizontal="center"/>
    </xf>
    <xf numFmtId="168" fontId="2" fillId="0" borderId="41" xfId="0" applyNumberFormat="1" applyFont="1" applyFill="1" applyBorder="1" applyAlignment="1">
      <alignment horizontal="center"/>
    </xf>
    <xf numFmtId="168" fontId="2" fillId="0" borderId="39" xfId="0" applyNumberFormat="1" applyFont="1" applyFill="1" applyBorder="1"/>
    <xf numFmtId="9" fontId="2" fillId="0" borderId="3" xfId="4" applyFont="1" applyFill="1" applyBorder="1" applyAlignment="1">
      <alignment horizontal="center"/>
    </xf>
    <xf numFmtId="168" fontId="2" fillId="0" borderId="42" xfId="0" applyNumberFormat="1" applyFont="1" applyFill="1" applyBorder="1"/>
    <xf numFmtId="10" fontId="2" fillId="0" borderId="3" xfId="4" applyNumberFormat="1" applyFont="1" applyFill="1" applyBorder="1" applyAlignment="1">
      <alignment horizontal="center"/>
    </xf>
    <xf numFmtId="0" fontId="2" fillId="0" borderId="133" xfId="0" applyFont="1" applyBorder="1" applyAlignment="1">
      <alignment horizontal="left"/>
    </xf>
    <xf numFmtId="168" fontId="2" fillId="0" borderId="38" xfId="0" applyNumberFormat="1" applyFont="1" applyFill="1" applyBorder="1" applyAlignment="1">
      <alignment horizontal="center"/>
    </xf>
    <xf numFmtId="9" fontId="2" fillId="0" borderId="38" xfId="4" applyFont="1" applyFill="1" applyBorder="1" applyAlignment="1">
      <alignment horizontal="center"/>
    </xf>
    <xf numFmtId="168" fontId="2" fillId="0" borderId="91" xfId="0" applyNumberFormat="1" applyFont="1" applyFill="1" applyBorder="1" applyAlignment="1">
      <alignment horizontal="center"/>
    </xf>
    <xf numFmtId="168" fontId="2" fillId="0" borderId="41" xfId="0" applyNumberFormat="1" applyFont="1" applyFill="1" applyBorder="1"/>
    <xf numFmtId="9" fontId="2" fillId="0" borderId="0" xfId="4" applyFont="1" applyFill="1" applyBorder="1" applyAlignment="1">
      <alignment horizontal="center"/>
    </xf>
    <xf numFmtId="168" fontId="2" fillId="0" borderId="8" xfId="0" applyNumberFormat="1" applyFont="1" applyFill="1" applyBorder="1" applyAlignment="1">
      <alignment horizontal="center"/>
    </xf>
    <xf numFmtId="0" fontId="2" fillId="0" borderId="94" xfId="0" applyFont="1" applyBorder="1" applyAlignment="1">
      <alignment horizontal="center"/>
    </xf>
    <xf numFmtId="0" fontId="2" fillId="0" borderId="117" xfId="0" applyFont="1" applyBorder="1" applyAlignment="1">
      <alignment horizontal="center"/>
    </xf>
    <xf numFmtId="14" fontId="4" fillId="0" borderId="3" xfId="0" applyNumberFormat="1" applyFont="1" applyBorder="1" applyAlignment="1">
      <alignment horizontal="left"/>
    </xf>
    <xf numFmtId="14" fontId="2" fillId="0" borderId="3" xfId="0" applyNumberFormat="1" applyFont="1" applyBorder="1" applyAlignment="1">
      <alignment horizontal="left"/>
    </xf>
    <xf numFmtId="0" fontId="4" fillId="0" borderId="3" xfId="0" applyFont="1" applyBorder="1" applyAlignment="1">
      <alignment horizontal="left"/>
    </xf>
    <xf numFmtId="0" fontId="2" fillId="0" borderId="3" xfId="0" applyFont="1" applyBorder="1" applyAlignment="1">
      <alignment horizontal="left"/>
    </xf>
    <xf numFmtId="0" fontId="4" fillId="0" borderId="11" xfId="0" applyFont="1" applyBorder="1" applyAlignment="1">
      <alignment horizontal="left"/>
    </xf>
    <xf numFmtId="179" fontId="4" fillId="0" borderId="3" xfId="0" applyNumberFormat="1" applyFont="1" applyBorder="1" applyAlignment="1">
      <alignment horizontal="center"/>
    </xf>
    <xf numFmtId="10" fontId="4" fillId="0" borderId="3" xfId="0" applyNumberFormat="1" applyFont="1" applyBorder="1" applyAlignment="1">
      <alignment horizontal="center"/>
    </xf>
    <xf numFmtId="0" fontId="4" fillId="0" borderId="15" xfId="0" applyFont="1" applyBorder="1" applyAlignment="1">
      <alignment horizontal="left"/>
    </xf>
    <xf numFmtId="0" fontId="4" fillId="0" borderId="4" xfId="0" applyFont="1" applyFill="1" applyBorder="1" applyAlignment="1">
      <alignment horizontal="left"/>
    </xf>
    <xf numFmtId="0" fontId="4" fillId="0" borderId="3" xfId="0" applyFont="1" applyFill="1" applyBorder="1" applyAlignment="1">
      <alignment horizontal="left"/>
    </xf>
    <xf numFmtId="0" fontId="14" fillId="0" borderId="4" xfId="0" applyFont="1" applyFill="1" applyBorder="1" applyAlignment="1">
      <alignment horizontal="center"/>
    </xf>
    <xf numFmtId="14" fontId="4" fillId="0" borderId="4" xfId="0" applyNumberFormat="1" applyFont="1" applyFill="1" applyBorder="1" applyAlignment="1">
      <alignment horizontal="center"/>
    </xf>
    <xf numFmtId="0" fontId="16" fillId="0" borderId="94" xfId="0" applyFont="1" applyFill="1" applyBorder="1" applyAlignment="1">
      <alignment horizontal="center"/>
    </xf>
    <xf numFmtId="0" fontId="16" fillId="0" borderId="117" xfId="0" applyFont="1" applyFill="1" applyBorder="1" applyAlignment="1">
      <alignment horizontal="center"/>
    </xf>
    <xf numFmtId="9" fontId="0" fillId="0" borderId="3" xfId="4" applyFont="1" applyFill="1" applyBorder="1" applyAlignment="1">
      <alignment horizontal="center"/>
    </xf>
    <xf numFmtId="9" fontId="13" fillId="0" borderId="3" xfId="4" applyFont="1" applyFill="1" applyBorder="1" applyAlignment="1">
      <alignment horizontal="center"/>
    </xf>
    <xf numFmtId="167" fontId="0" fillId="0" borderId="3" xfId="4" applyNumberFormat="1" applyFont="1" applyFill="1" applyBorder="1" applyAlignment="1">
      <alignment horizontal="center"/>
    </xf>
    <xf numFmtId="10" fontId="14" fillId="0" borderId="3" xfId="4" applyNumberFormat="1" applyFont="1" applyFill="1" applyBorder="1" applyAlignment="1">
      <alignment horizontal="center"/>
    </xf>
    <xf numFmtId="175" fontId="3" fillId="0" borderId="4" xfId="0" applyNumberFormat="1" applyFont="1" applyFill="1" applyBorder="1" applyAlignment="1">
      <alignment horizontal="left"/>
    </xf>
    <xf numFmtId="175" fontId="3" fillId="0" borderId="124" xfId="0" applyNumberFormat="1" applyFont="1" applyFill="1" applyBorder="1" applyAlignment="1">
      <alignment horizontal="left"/>
    </xf>
    <xf numFmtId="1" fontId="3" fillId="0" borderId="4" xfId="0" applyNumberFormat="1" applyFont="1" applyFill="1" applyBorder="1" applyAlignment="1">
      <alignment horizontal="left"/>
    </xf>
    <xf numFmtId="1" fontId="3" fillId="0" borderId="124" xfId="0" applyNumberFormat="1" applyFont="1" applyFill="1" applyBorder="1" applyAlignment="1">
      <alignment horizontal="left"/>
    </xf>
    <xf numFmtId="3" fontId="2" fillId="0" borderId="0" xfId="0" applyNumberFormat="1" applyFont="1"/>
    <xf numFmtId="3" fontId="4" fillId="0" borderId="0" xfId="0" applyNumberFormat="1" applyFont="1"/>
    <xf numFmtId="0" fontId="5" fillId="0" borderId="1" xfId="0" applyNumberFormat="1" applyFont="1" applyFill="1" applyBorder="1" applyAlignment="1">
      <alignment horizontal="center"/>
    </xf>
    <xf numFmtId="168" fontId="7" fillId="0" borderId="29" xfId="0" applyNumberFormat="1" applyFont="1" applyFill="1" applyBorder="1" applyAlignment="1">
      <alignment horizontal="left"/>
    </xf>
    <xf numFmtId="168" fontId="7" fillId="0" borderId="40" xfId="0" applyNumberFormat="1" applyFont="1" applyFill="1" applyBorder="1" applyAlignment="1">
      <alignment horizontal="left"/>
    </xf>
    <xf numFmtId="167" fontId="2" fillId="0" borderId="3" xfId="4" applyNumberFormat="1" applyFont="1" applyBorder="1" applyAlignment="1">
      <alignment horizontal="center"/>
    </xf>
    <xf numFmtId="173" fontId="2" fillId="0" borderId="0" xfId="0" applyNumberFormat="1" applyFont="1" applyAlignment="1">
      <alignment horizontal="center"/>
    </xf>
    <xf numFmtId="9" fontId="2" fillId="0" borderId="0" xfId="4" applyFont="1" applyAlignment="1">
      <alignment horizontal="center"/>
    </xf>
    <xf numFmtId="167" fontId="2" fillId="0" borderId="0" xfId="4" applyNumberFormat="1" applyFont="1" applyAlignment="1">
      <alignment horizontal="center"/>
    </xf>
    <xf numFmtId="180" fontId="6" fillId="0" borderId="3" xfId="0" applyNumberFormat="1" applyFont="1" applyBorder="1"/>
    <xf numFmtId="180" fontId="6" fillId="0" borderId="4" xfId="0" applyNumberFormat="1" applyFont="1" applyBorder="1"/>
    <xf numFmtId="180" fontId="6" fillId="0" borderId="16" xfId="0" applyNumberFormat="1" applyFont="1" applyBorder="1"/>
    <xf numFmtId="167" fontId="2" fillId="0" borderId="3" xfId="4" applyNumberFormat="1" applyFont="1" applyFill="1" applyBorder="1" applyAlignment="1">
      <alignment horizontal="right"/>
    </xf>
    <xf numFmtId="167" fontId="2" fillId="0" borderId="4" xfId="4" applyNumberFormat="1" applyFont="1" applyFill="1" applyBorder="1" applyAlignment="1">
      <alignment horizontal="right"/>
    </xf>
    <xf numFmtId="167" fontId="2" fillId="0" borderId="16" xfId="4" applyNumberFormat="1" applyFont="1" applyFill="1" applyBorder="1" applyAlignment="1">
      <alignment horizontal="right"/>
    </xf>
    <xf numFmtId="0" fontId="0" fillId="0" borderId="4" xfId="0" applyBorder="1" applyAlignment="1">
      <alignment horizontal="center"/>
    </xf>
    <xf numFmtId="0" fontId="40" fillId="0" borderId="0" xfId="0" applyFont="1" applyAlignment="1">
      <alignment horizontal="justify" vertical="center"/>
    </xf>
    <xf numFmtId="10" fontId="28" fillId="0" borderId="0" xfId="0" applyNumberFormat="1" applyFont="1" applyAlignment="1">
      <alignment horizontal="justify" vertical="center"/>
    </xf>
    <xf numFmtId="10" fontId="2" fillId="0" borderId="0" xfId="4" applyNumberFormat="1" applyFont="1" applyAlignment="1">
      <alignment horizontal="center"/>
    </xf>
    <xf numFmtId="0" fontId="6" fillId="0" borderId="1" xfId="0" applyNumberFormat="1" applyFont="1" applyFill="1" applyBorder="1" applyAlignment="1">
      <alignment horizontal="center"/>
    </xf>
    <xf numFmtId="168" fontId="3" fillId="0" borderId="29" xfId="0" applyNumberFormat="1" applyFont="1" applyFill="1" applyBorder="1" applyAlignment="1">
      <alignment horizontal="left"/>
    </xf>
    <xf numFmtId="168" fontId="5" fillId="6" borderId="0" xfId="0" applyNumberFormat="1" applyFont="1" applyFill="1" applyBorder="1"/>
    <xf numFmtId="10" fontId="4" fillId="0" borderId="7" xfId="4" applyNumberFormat="1" applyFont="1" applyFill="1" applyBorder="1" applyAlignment="1">
      <alignment horizontal="right"/>
    </xf>
    <xf numFmtId="10" fontId="0" fillId="0" borderId="49" xfId="4" applyNumberFormat="1" applyFont="1" applyBorder="1" applyAlignment="1">
      <alignment horizontal="right"/>
    </xf>
    <xf numFmtId="168" fontId="5" fillId="0" borderId="49" xfId="0" applyNumberFormat="1" applyFont="1" applyFill="1" applyBorder="1" applyAlignment="1"/>
    <xf numFmtId="168" fontId="8" fillId="0" borderId="88" xfId="0" applyNumberFormat="1" applyFont="1" applyFill="1" applyBorder="1" applyAlignment="1">
      <alignment vertical="center"/>
    </xf>
    <xf numFmtId="166" fontId="0" fillId="0" borderId="0" xfId="1" applyNumberFormat="1" applyFont="1" applyFill="1" applyAlignment="1">
      <alignment horizontal="left"/>
    </xf>
    <xf numFmtId="8" fontId="0" fillId="0" borderId="0" xfId="0" applyNumberFormat="1" applyFill="1" applyAlignment="1">
      <alignment horizontal="left"/>
    </xf>
    <xf numFmtId="167" fontId="0" fillId="0" borderId="0" xfId="4" applyNumberFormat="1" applyFont="1" applyFill="1" applyAlignment="1">
      <alignment horizontal="left"/>
    </xf>
    <xf numFmtId="0" fontId="27" fillId="0" borderId="130" xfId="0" applyFont="1" applyFill="1" applyBorder="1" applyAlignment="1">
      <alignment horizontal="center" wrapText="1"/>
    </xf>
    <xf numFmtId="0" fontId="27" fillId="0" borderId="79" xfId="0" applyFont="1" applyFill="1" applyBorder="1" applyAlignment="1">
      <alignment horizontal="center" wrapText="1"/>
    </xf>
    <xf numFmtId="177" fontId="28" fillId="0" borderId="80" xfId="0" applyNumberFormat="1" applyFont="1" applyBorder="1" applyAlignment="1">
      <alignment horizontal="right" vertical="top" wrapText="1"/>
    </xf>
    <xf numFmtId="168" fontId="28" fillId="0" borderId="80" xfId="0" applyNumberFormat="1" applyFont="1" applyBorder="1" applyAlignment="1">
      <alignment horizontal="right" wrapText="1"/>
    </xf>
    <xf numFmtId="168" fontId="27" fillId="0" borderId="80" xfId="0" applyNumberFormat="1" applyFont="1" applyBorder="1" applyAlignment="1">
      <alignment horizontal="right" wrapText="1"/>
    </xf>
    <xf numFmtId="168" fontId="28" fillId="0" borderId="80" xfId="0" applyNumberFormat="1" applyFont="1" applyBorder="1" applyAlignment="1">
      <alignment wrapText="1"/>
    </xf>
    <xf numFmtId="168" fontId="27" fillId="0" borderId="80" xfId="0" applyNumberFormat="1" applyFont="1" applyBorder="1" applyAlignment="1">
      <alignment wrapText="1"/>
    </xf>
    <xf numFmtId="168" fontId="27" fillId="0" borderId="79" xfId="0" applyNumberFormat="1" applyFont="1" applyBorder="1" applyAlignment="1">
      <alignment horizontal="right" vertical="top" wrapText="1"/>
    </xf>
    <xf numFmtId="170" fontId="2" fillId="0" borderId="0" xfId="0" applyNumberFormat="1" applyFont="1"/>
    <xf numFmtId="168" fontId="2" fillId="0" borderId="59" xfId="0" applyNumberFormat="1" applyFont="1" applyFill="1" applyBorder="1"/>
    <xf numFmtId="170" fontId="4" fillId="0" borderId="7" xfId="0" applyNumberFormat="1" applyFont="1" applyBorder="1"/>
    <xf numFmtId="170" fontId="2" fillId="0" borderId="7" xfId="0" applyNumberFormat="1" applyFont="1" applyBorder="1"/>
    <xf numFmtId="170" fontId="2" fillId="0" borderId="191" xfId="0" applyNumberFormat="1" applyFont="1" applyBorder="1"/>
    <xf numFmtId="170" fontId="4" fillId="0" borderId="9" xfId="0" applyNumberFormat="1" applyFont="1" applyBorder="1"/>
    <xf numFmtId="168" fontId="6" fillId="0" borderId="67" xfId="0" quotePrefix="1" applyNumberFormat="1" applyFont="1" applyBorder="1" applyAlignment="1">
      <alignment horizontal="center"/>
    </xf>
    <xf numFmtId="168" fontId="2" fillId="0" borderId="167" xfId="0" applyNumberFormat="1" applyFont="1" applyFill="1" applyBorder="1"/>
    <xf numFmtId="170" fontId="2" fillId="0" borderId="64" xfId="0" applyNumberFormat="1" applyFont="1" applyBorder="1"/>
    <xf numFmtId="10" fontId="4" fillId="0" borderId="0" xfId="0" applyNumberFormat="1" applyFont="1"/>
    <xf numFmtId="0" fontId="27" fillId="0" borderId="50" xfId="0" applyFont="1" applyBorder="1" applyAlignment="1">
      <alignment vertical="center" wrapText="1"/>
    </xf>
    <xf numFmtId="0" fontId="27" fillId="0" borderId="29" xfId="0" applyFont="1" applyBorder="1" applyAlignment="1">
      <alignment horizontal="center" vertical="center" wrapText="1"/>
    </xf>
    <xf numFmtId="0" fontId="27" fillId="0" borderId="51" xfId="0" applyFont="1" applyBorder="1" applyAlignment="1">
      <alignment horizontal="center" vertical="center" wrapText="1"/>
    </xf>
    <xf numFmtId="0" fontId="29" fillId="0" borderId="49" xfId="0" applyFont="1" applyBorder="1" applyAlignment="1">
      <alignment vertical="center" wrapText="1"/>
    </xf>
    <xf numFmtId="0" fontId="29" fillId="0" borderId="3" xfId="0" applyFont="1" applyBorder="1" applyAlignment="1">
      <alignment horizontal="right" vertical="center" wrapText="1"/>
    </xf>
    <xf numFmtId="0" fontId="29" fillId="0" borderId="42" xfId="0" applyFont="1" applyBorder="1" applyAlignment="1">
      <alignment horizontal="right" vertical="center" wrapText="1"/>
    </xf>
    <xf numFmtId="0" fontId="28" fillId="0" borderId="49" xfId="0" applyFont="1" applyBorder="1" applyAlignment="1">
      <alignment vertical="center" wrapText="1"/>
    </xf>
    <xf numFmtId="0" fontId="27" fillId="0" borderId="49" xfId="0" applyFont="1" applyBorder="1" applyAlignment="1">
      <alignment vertical="center" wrapText="1"/>
    </xf>
    <xf numFmtId="0" fontId="27" fillId="0" borderId="122" xfId="0" applyFont="1" applyBorder="1" applyAlignment="1">
      <alignment vertical="center" wrapText="1"/>
    </xf>
    <xf numFmtId="168" fontId="2" fillId="0" borderId="18" xfId="0" applyNumberFormat="1" applyFont="1" applyFill="1" applyBorder="1"/>
    <xf numFmtId="168" fontId="2" fillId="0" borderId="82" xfId="0" applyNumberFormat="1" applyFont="1" applyFill="1" applyBorder="1"/>
    <xf numFmtId="9" fontId="6" fillId="0" borderId="8" xfId="4" applyFont="1" applyFill="1" applyBorder="1" applyAlignment="1">
      <alignment horizontal="center"/>
    </xf>
    <xf numFmtId="38" fontId="6" fillId="0" borderId="4" xfId="0" applyNumberFormat="1" applyFont="1" applyFill="1" applyBorder="1" applyAlignment="1">
      <alignment horizontal="center"/>
    </xf>
    <xf numFmtId="166" fontId="5" fillId="0" borderId="0" xfId="1" applyNumberFormat="1" applyFont="1" applyFill="1"/>
    <xf numFmtId="178" fontId="5" fillId="0" borderId="0" xfId="0" applyNumberFormat="1" applyFont="1" applyFill="1"/>
    <xf numFmtId="9" fontId="5" fillId="0" borderId="0" xfId="0" applyNumberFormat="1" applyFont="1" applyFill="1"/>
    <xf numFmtId="168" fontId="5" fillId="0" borderId="0" xfId="1" applyNumberFormat="1" applyFont="1" applyFill="1"/>
    <xf numFmtId="0" fontId="0" fillId="0" borderId="133" xfId="0" applyBorder="1"/>
    <xf numFmtId="166" fontId="0" fillId="0" borderId="0" xfId="1" applyNumberFormat="1" applyFont="1" applyBorder="1"/>
    <xf numFmtId="166" fontId="4" fillId="0" borderId="3" xfId="1" applyNumberFormat="1" applyFont="1" applyFill="1" applyBorder="1" applyAlignment="1">
      <alignment horizontal="right"/>
    </xf>
    <xf numFmtId="166" fontId="4" fillId="0" borderId="16" xfId="1" applyNumberFormat="1" applyFont="1" applyFill="1" applyBorder="1" applyAlignment="1">
      <alignment horizontal="right"/>
    </xf>
    <xf numFmtId="166" fontId="4" fillId="0" borderId="4" xfId="1" applyNumberFormat="1" applyFont="1" applyBorder="1"/>
    <xf numFmtId="168" fontId="6" fillId="0" borderId="3" xfId="0" quotePrefix="1" applyNumberFormat="1" applyFont="1" applyFill="1" applyBorder="1" applyAlignment="1">
      <alignment horizontal="right"/>
    </xf>
    <xf numFmtId="10" fontId="4" fillId="0" borderId="3" xfId="4" applyNumberFormat="1" applyFont="1" applyBorder="1" applyAlignment="1">
      <alignment horizontal="right"/>
    </xf>
    <xf numFmtId="10" fontId="4" fillId="0" borderId="3" xfId="4" applyNumberFormat="1" applyFont="1" applyFill="1" applyBorder="1" applyAlignment="1">
      <alignment horizontal="right"/>
    </xf>
    <xf numFmtId="10" fontId="4" fillId="0" borderId="4" xfId="4" applyNumberFormat="1" applyFont="1" applyFill="1" applyBorder="1" applyAlignment="1">
      <alignment horizontal="right"/>
    </xf>
    <xf numFmtId="10" fontId="4" fillId="0" borderId="16" xfId="4" applyNumberFormat="1" applyFont="1" applyFill="1" applyBorder="1" applyAlignment="1">
      <alignment horizontal="right"/>
    </xf>
    <xf numFmtId="0" fontId="6" fillId="0" borderId="75" xfId="0" applyFont="1" applyFill="1" applyBorder="1" applyAlignment="1">
      <alignment wrapText="1"/>
    </xf>
    <xf numFmtId="0" fontId="5" fillId="0" borderId="150" xfId="0" applyFont="1" applyFill="1" applyBorder="1"/>
    <xf numFmtId="0" fontId="4" fillId="0" borderId="100" xfId="0" applyFont="1" applyFill="1" applyBorder="1" applyAlignment="1">
      <alignment horizontal="left"/>
    </xf>
    <xf numFmtId="0" fontId="2" fillId="0" borderId="100" xfId="0" applyFont="1" applyFill="1" applyBorder="1" applyAlignment="1">
      <alignment horizontal="left"/>
    </xf>
    <xf numFmtId="168" fontId="6" fillId="0" borderId="67" xfId="0" applyNumberFormat="1" applyFont="1" applyFill="1" applyBorder="1" applyAlignment="1">
      <alignment horizontal="center"/>
    </xf>
    <xf numFmtId="3" fontId="4" fillId="0" borderId="0" xfId="0" applyNumberFormat="1" applyFont="1" applyFill="1" applyAlignment="1">
      <alignment horizontal="left"/>
    </xf>
    <xf numFmtId="10" fontId="4" fillId="0" borderId="3" xfId="0" applyNumberFormat="1" applyFont="1" applyFill="1" applyBorder="1" applyAlignment="1">
      <alignment horizontal="center"/>
    </xf>
    <xf numFmtId="179" fontId="4" fillId="0" borderId="3" xfId="0" applyNumberFormat="1" applyFont="1" applyFill="1" applyBorder="1" applyAlignment="1">
      <alignment horizontal="center"/>
    </xf>
    <xf numFmtId="3" fontId="0" fillId="0" borderId="39" xfId="0" applyNumberFormat="1" applyBorder="1"/>
    <xf numFmtId="3" fontId="2" fillId="0" borderId="16" xfId="0" applyNumberFormat="1" applyFont="1" applyBorder="1" applyAlignment="1">
      <alignment horizontal="center"/>
    </xf>
    <xf numFmtId="0" fontId="28" fillId="0" borderId="34" xfId="0" applyFont="1" applyBorder="1" applyAlignment="1">
      <alignment horizontal="justify" vertical="center"/>
    </xf>
    <xf numFmtId="180" fontId="28" fillId="0" borderId="16" xfId="0" applyNumberFormat="1" applyFont="1" applyBorder="1" applyAlignment="1">
      <alignment horizontal="right" vertical="center"/>
    </xf>
    <xf numFmtId="10" fontId="28" fillId="0" borderId="16" xfId="0" applyNumberFormat="1" applyFont="1" applyBorder="1" applyAlignment="1">
      <alignment horizontal="right" vertical="center"/>
    </xf>
    <xf numFmtId="2" fontId="28" fillId="0" borderId="16" xfId="0" applyNumberFormat="1" applyFont="1" applyBorder="1" applyAlignment="1">
      <alignment horizontal="right" vertical="center"/>
    </xf>
    <xf numFmtId="3" fontId="0" fillId="0" borderId="16" xfId="0" applyNumberFormat="1" applyBorder="1" applyAlignment="1">
      <alignment horizontal="right"/>
    </xf>
    <xf numFmtId="0" fontId="27" fillId="0" borderId="34" xfId="0" applyFont="1" applyBorder="1" applyAlignment="1">
      <alignment horizontal="justify" vertical="center"/>
    </xf>
    <xf numFmtId="3" fontId="2" fillId="0" borderId="0" xfId="0" applyNumberFormat="1" applyFont="1" applyBorder="1"/>
    <xf numFmtId="3" fontId="0" fillId="0" borderId="40" xfId="0" applyNumberFormat="1" applyBorder="1"/>
    <xf numFmtId="3" fontId="2" fillId="0" borderId="3" xfId="0" applyNumberFormat="1" applyFont="1" applyBorder="1" applyAlignment="1">
      <alignment horizontal="center"/>
    </xf>
    <xf numFmtId="180" fontId="28" fillId="0" borderId="3" xfId="0" applyNumberFormat="1" applyFont="1" applyBorder="1" applyAlignment="1">
      <alignment horizontal="right" vertical="center"/>
    </xf>
    <xf numFmtId="10" fontId="28" fillId="0" borderId="3" xfId="0" applyNumberFormat="1" applyFont="1" applyBorder="1" applyAlignment="1">
      <alignment horizontal="right" vertical="center"/>
    </xf>
    <xf numFmtId="2" fontId="28" fillId="0" borderId="3" xfId="0" applyNumberFormat="1" applyFont="1" applyBorder="1" applyAlignment="1">
      <alignment horizontal="right" vertical="center"/>
    </xf>
    <xf numFmtId="3" fontId="0" fillId="0" borderId="3" xfId="0" applyNumberFormat="1" applyBorder="1" applyAlignment="1">
      <alignment horizontal="right"/>
    </xf>
    <xf numFmtId="168" fontId="6" fillId="0" borderId="112" xfId="0" applyNumberFormat="1" applyFont="1" applyFill="1" applyBorder="1" applyAlignment="1">
      <alignment horizontal="center" wrapText="1"/>
    </xf>
    <xf numFmtId="168" fontId="6" fillId="0" borderId="15" xfId="0" applyNumberFormat="1" applyFont="1" applyFill="1" applyBorder="1" applyAlignment="1">
      <alignment horizontal="center" wrapText="1"/>
    </xf>
    <xf numFmtId="9" fontId="25" fillId="0" borderId="0" xfId="4" applyFont="1" applyFill="1" applyBorder="1"/>
    <xf numFmtId="9" fontId="5" fillId="0" borderId="5" xfId="4" applyFont="1" applyFill="1" applyBorder="1"/>
    <xf numFmtId="168" fontId="2" fillId="0" borderId="33" xfId="0" applyNumberFormat="1" applyFont="1" applyFill="1" applyBorder="1" applyAlignment="1">
      <alignment horizontal="center"/>
    </xf>
    <xf numFmtId="168" fontId="2" fillId="0" borderId="179" xfId="0" applyNumberFormat="1" applyFont="1" applyFill="1" applyBorder="1" applyAlignment="1">
      <alignment horizontal="center"/>
    </xf>
    <xf numFmtId="168" fontId="4" fillId="0" borderId="7" xfId="0" applyNumberFormat="1" applyFont="1" applyFill="1" applyBorder="1"/>
    <xf numFmtId="0" fontId="6" fillId="0" borderId="78" xfId="0" applyFont="1" applyFill="1" applyBorder="1" applyAlignment="1">
      <alignment horizontal="center"/>
    </xf>
    <xf numFmtId="38" fontId="5" fillId="0" borderId="31" xfId="1" applyNumberFormat="1" applyFont="1" applyFill="1" applyBorder="1"/>
    <xf numFmtId="38" fontId="5" fillId="0" borderId="13" xfId="1" applyNumberFormat="1" applyFont="1" applyFill="1" applyBorder="1"/>
    <xf numFmtId="38" fontId="4" fillId="0" borderId="13" xfId="1" applyNumberFormat="1" applyFont="1" applyFill="1" applyBorder="1"/>
    <xf numFmtId="38" fontId="5" fillId="0" borderId="193" xfId="1" applyNumberFormat="1" applyFont="1" applyFill="1" applyBorder="1"/>
    <xf numFmtId="0" fontId="7" fillId="0" borderId="8" xfId="0" applyFont="1" applyFill="1" applyBorder="1" applyAlignment="1" applyProtection="1">
      <protection locked="0"/>
    </xf>
    <xf numFmtId="38" fontId="5" fillId="0" borderId="16" xfId="1" applyNumberFormat="1" applyFont="1" applyFill="1" applyBorder="1"/>
    <xf numFmtId="0" fontId="5" fillId="0" borderId="102" xfId="0" applyFont="1" applyFill="1" applyBorder="1" applyProtection="1">
      <protection locked="0"/>
    </xf>
    <xf numFmtId="0" fontId="5" fillId="0" borderId="5" xfId="0" applyFont="1" applyFill="1" applyBorder="1" applyProtection="1">
      <protection locked="0"/>
    </xf>
    <xf numFmtId="9" fontId="5" fillId="0" borderId="5" xfId="4" applyFont="1" applyFill="1" applyBorder="1" applyProtection="1">
      <protection locked="0"/>
    </xf>
    <xf numFmtId="0" fontId="0" fillId="6" borderId="0" xfId="0" applyFill="1"/>
    <xf numFmtId="168" fontId="4" fillId="0" borderId="4" xfId="0" quotePrefix="1" applyNumberFormat="1" applyFont="1" applyFill="1" applyBorder="1" applyAlignment="1">
      <alignment horizontal="center"/>
    </xf>
    <xf numFmtId="0" fontId="0" fillId="10" borderId="0" xfId="0" applyFill="1"/>
    <xf numFmtId="0" fontId="4" fillId="10" borderId="0" xfId="0" applyFont="1" applyFill="1"/>
    <xf numFmtId="0" fontId="4" fillId="10" borderId="0" xfId="0" applyFont="1" applyFill="1" applyBorder="1"/>
    <xf numFmtId="0" fontId="0" fillId="12" borderId="0" xfId="0" applyFill="1"/>
    <xf numFmtId="0" fontId="4" fillId="10" borderId="0" xfId="0" applyFont="1" applyFill="1" applyAlignment="1">
      <alignment horizontal="left"/>
    </xf>
    <xf numFmtId="168" fontId="0" fillId="0" borderId="124" xfId="0" applyNumberFormat="1" applyBorder="1"/>
    <xf numFmtId="0" fontId="0" fillId="0" borderId="124" xfId="0" applyBorder="1"/>
    <xf numFmtId="0" fontId="4" fillId="12" borderId="0" xfId="0" applyFont="1" applyFill="1"/>
    <xf numFmtId="0" fontId="4" fillId="12" borderId="0" xfId="0" applyFont="1" applyFill="1" applyBorder="1"/>
    <xf numFmtId="0" fontId="4" fillId="12" borderId="0" xfId="0" applyFont="1" applyFill="1" applyAlignment="1">
      <alignment horizontal="left"/>
    </xf>
    <xf numFmtId="0" fontId="0" fillId="13" borderId="0" xfId="0" applyFill="1"/>
    <xf numFmtId="168" fontId="0" fillId="13" borderId="0" xfId="0" applyNumberFormat="1" applyFill="1"/>
    <xf numFmtId="0" fontId="0" fillId="13" borderId="0" xfId="0" applyFill="1" applyAlignment="1">
      <alignment horizontal="right"/>
    </xf>
    <xf numFmtId="168" fontId="0" fillId="0" borderId="40" xfId="0" applyNumberFormat="1" applyBorder="1"/>
    <xf numFmtId="168" fontId="0" fillId="0" borderId="39" xfId="0" applyNumberFormat="1" applyBorder="1"/>
    <xf numFmtId="10" fontId="45" fillId="0" borderId="3" xfId="4" applyNumberFormat="1" applyFont="1" applyBorder="1"/>
    <xf numFmtId="10" fontId="45" fillId="0" borderId="16" xfId="4" applyNumberFormat="1" applyFont="1" applyBorder="1"/>
    <xf numFmtId="168" fontId="4" fillId="0" borderId="4" xfId="0" applyNumberFormat="1" applyFont="1" applyBorder="1" applyAlignment="1">
      <alignment horizontal="center"/>
    </xf>
    <xf numFmtId="168" fontId="6" fillId="0" borderId="18" xfId="0" applyNumberFormat="1" applyFont="1" applyBorder="1" applyAlignment="1">
      <alignment horizontal="left" vertical="top"/>
    </xf>
    <xf numFmtId="168" fontId="4" fillId="0" borderId="15" xfId="0" applyNumberFormat="1" applyFont="1" applyFill="1" applyBorder="1" applyAlignment="1">
      <alignment horizontal="left"/>
    </xf>
    <xf numFmtId="168" fontId="4" fillId="0" borderId="4" xfId="0" applyNumberFormat="1" applyFont="1" applyFill="1" applyBorder="1" applyAlignment="1">
      <alignment horizontal="left"/>
    </xf>
    <xf numFmtId="0" fontId="5" fillId="0" borderId="15" xfId="0" applyNumberFormat="1" applyFont="1" applyFill="1" applyBorder="1" applyAlignment="1">
      <alignment horizontal="center"/>
    </xf>
    <xf numFmtId="0" fontId="5" fillId="0" borderId="4" xfId="0" applyNumberFormat="1" applyFont="1" applyFill="1" applyBorder="1" applyAlignment="1">
      <alignment horizontal="center"/>
    </xf>
    <xf numFmtId="0" fontId="4" fillId="0" borderId="15" xfId="0" applyNumberFormat="1" applyFont="1" applyFill="1" applyBorder="1" applyAlignment="1">
      <alignment horizontal="left"/>
    </xf>
    <xf numFmtId="0" fontId="4" fillId="0" borderId="4" xfId="0" applyNumberFormat="1" applyFont="1" applyFill="1" applyBorder="1" applyAlignment="1">
      <alignment horizontal="left"/>
    </xf>
    <xf numFmtId="168" fontId="5" fillId="0" borderId="15" xfId="0" applyNumberFormat="1" applyFont="1" applyFill="1" applyBorder="1" applyAlignment="1">
      <alignment horizontal="center"/>
    </xf>
    <xf numFmtId="168" fontId="5" fillId="0" borderId="4" xfId="0" applyNumberFormat="1" applyFont="1" applyFill="1" applyBorder="1" applyAlignment="1">
      <alignment horizontal="center"/>
    </xf>
    <xf numFmtId="168" fontId="6" fillId="0" borderId="15" xfId="0" quotePrefix="1" applyNumberFormat="1" applyFont="1" applyFill="1" applyBorder="1" applyAlignment="1">
      <alignment horizontal="left"/>
    </xf>
    <xf numFmtId="168" fontId="6" fillId="0" borderId="4" xfId="0" quotePrefix="1" applyNumberFormat="1" applyFont="1" applyFill="1" applyBorder="1" applyAlignment="1">
      <alignment horizontal="left"/>
    </xf>
    <xf numFmtId="168" fontId="7" fillId="0" borderId="15" xfId="0" applyNumberFormat="1" applyFont="1" applyFill="1" applyBorder="1" applyAlignment="1">
      <alignment horizontal="left"/>
    </xf>
    <xf numFmtId="168" fontId="7" fillId="0" borderId="4" xfId="0" applyNumberFormat="1" applyFont="1" applyFill="1" applyBorder="1" applyAlignment="1">
      <alignment horizontal="left"/>
    </xf>
    <xf numFmtId="0" fontId="6" fillId="0" borderId="22" xfId="0" quotePrefix="1" applyNumberFormat="1" applyFont="1" applyBorder="1" applyAlignment="1">
      <alignment horizontal="center"/>
    </xf>
    <xf numFmtId="0" fontId="6" fillId="0" borderId="17" xfId="0" quotePrefix="1" applyNumberFormat="1" applyFont="1" applyBorder="1" applyAlignment="1">
      <alignment horizontal="center"/>
    </xf>
    <xf numFmtId="1" fontId="6" fillId="0" borderId="37" xfId="0" applyNumberFormat="1" applyFont="1" applyFill="1" applyBorder="1" applyAlignment="1">
      <alignment horizontal="center"/>
    </xf>
    <xf numFmtId="1" fontId="6" fillId="0" borderId="30" xfId="0" applyNumberFormat="1" applyFont="1" applyFill="1" applyBorder="1" applyAlignment="1">
      <alignment horizontal="center"/>
    </xf>
    <xf numFmtId="0" fontId="6" fillId="0" borderId="37" xfId="0" quotePrefix="1" applyNumberFormat="1" applyFont="1" applyBorder="1" applyAlignment="1">
      <alignment horizontal="center"/>
    </xf>
    <xf numFmtId="0" fontId="6" fillId="0" borderId="30" xfId="0" quotePrefix="1" applyNumberFormat="1" applyFont="1" applyBorder="1" applyAlignment="1">
      <alignment horizontal="center"/>
    </xf>
    <xf numFmtId="0" fontId="5" fillId="0" borderId="114" xfId="0" applyNumberFormat="1" applyFont="1" applyFill="1" applyBorder="1" applyAlignment="1">
      <alignment horizontal="center"/>
    </xf>
    <xf numFmtId="0" fontId="5" fillId="0" borderId="115" xfId="0" applyNumberFormat="1" applyFont="1" applyFill="1" applyBorder="1" applyAlignment="1">
      <alignment horizontal="center"/>
    </xf>
    <xf numFmtId="168" fontId="7" fillId="0" borderId="127" xfId="0" applyNumberFormat="1" applyFont="1" applyFill="1" applyBorder="1" applyAlignment="1">
      <alignment horizontal="left"/>
    </xf>
    <xf numFmtId="168" fontId="7" fillId="0" borderId="90" xfId="0" applyNumberFormat="1" applyFont="1" applyFill="1" applyBorder="1" applyAlignment="1">
      <alignment horizontal="left"/>
    </xf>
    <xf numFmtId="168" fontId="3" fillId="0" borderId="127" xfId="0" applyNumberFormat="1" applyFont="1" applyFill="1" applyBorder="1" applyAlignment="1">
      <alignment horizontal="left"/>
    </xf>
    <xf numFmtId="0" fontId="5" fillId="0" borderId="21" xfId="0" applyNumberFormat="1" applyFont="1" applyFill="1" applyBorder="1" applyAlignment="1">
      <alignment horizontal="center"/>
    </xf>
    <xf numFmtId="0" fontId="5" fillId="0" borderId="19" xfId="0" applyNumberFormat="1" applyFont="1" applyFill="1" applyBorder="1" applyAlignment="1">
      <alignment horizontal="center"/>
    </xf>
    <xf numFmtId="0" fontId="5" fillId="0" borderId="93" xfId="0" applyNumberFormat="1" applyFont="1" applyFill="1" applyBorder="1" applyAlignment="1">
      <alignment horizontal="center"/>
    </xf>
    <xf numFmtId="0" fontId="5" fillId="0" borderId="36" xfId="0" applyNumberFormat="1" applyFont="1" applyFill="1" applyBorder="1" applyAlignment="1">
      <alignment horizontal="center"/>
    </xf>
    <xf numFmtId="168" fontId="5" fillId="0" borderId="15" xfId="0" applyNumberFormat="1" applyFont="1" applyBorder="1" applyAlignment="1">
      <alignment horizontal="left"/>
    </xf>
    <xf numFmtId="168" fontId="5" fillId="0" borderId="4" xfId="0" applyNumberFormat="1" applyFont="1" applyBorder="1" applyAlignment="1">
      <alignment horizontal="left"/>
    </xf>
    <xf numFmtId="168" fontId="5" fillId="0" borderId="15" xfId="0" applyNumberFormat="1" applyFont="1" applyFill="1" applyBorder="1" applyAlignment="1">
      <alignment horizontal="left"/>
    </xf>
    <xf numFmtId="168" fontId="5" fillId="0" borderId="4" xfId="0" applyNumberFormat="1" applyFont="1" applyFill="1" applyBorder="1" applyAlignment="1">
      <alignment horizontal="left"/>
    </xf>
    <xf numFmtId="168" fontId="3" fillId="0" borderId="37" xfId="0" applyNumberFormat="1" applyFont="1" applyFill="1" applyBorder="1" applyAlignment="1">
      <alignment horizontal="left"/>
    </xf>
    <xf numFmtId="168" fontId="7" fillId="0" borderId="30" xfId="0" applyNumberFormat="1" applyFont="1" applyFill="1" applyBorder="1" applyAlignment="1">
      <alignment horizontal="left"/>
    </xf>
    <xf numFmtId="168" fontId="3" fillId="0" borderId="15" xfId="0" applyNumberFormat="1" applyFont="1" applyFill="1" applyBorder="1" applyAlignment="1">
      <alignment horizontal="left"/>
    </xf>
    <xf numFmtId="168" fontId="25" fillId="0" borderId="114" xfId="0" applyNumberFormat="1" applyFont="1" applyFill="1" applyBorder="1" applyAlignment="1">
      <alignment horizontal="left"/>
    </xf>
    <xf numFmtId="168" fontId="25" fillId="0" borderId="115" xfId="0" applyNumberFormat="1" applyFont="1" applyFill="1" applyBorder="1" applyAlignment="1">
      <alignment horizontal="left"/>
    </xf>
    <xf numFmtId="0" fontId="6" fillId="0" borderId="21" xfId="0" applyNumberFormat="1" applyFont="1" applyFill="1" applyBorder="1" applyAlignment="1">
      <alignment horizontal="center"/>
    </xf>
    <xf numFmtId="0" fontId="6" fillId="0" borderId="19" xfId="0" applyNumberFormat="1" applyFont="1" applyFill="1" applyBorder="1" applyAlignment="1">
      <alignment horizontal="center"/>
    </xf>
    <xf numFmtId="168" fontId="6" fillId="0" borderId="4" xfId="0" applyNumberFormat="1" applyFont="1" applyFill="1" applyBorder="1" applyAlignment="1">
      <alignment horizontal="center"/>
    </xf>
    <xf numFmtId="168" fontId="6" fillId="0" borderId="22" xfId="0" applyNumberFormat="1" applyFont="1" applyBorder="1" applyAlignment="1">
      <alignment horizontal="left" vertical="top"/>
    </xf>
    <xf numFmtId="0" fontId="27" fillId="0" borderId="15" xfId="0" applyFont="1" applyBorder="1" applyAlignment="1">
      <alignment vertical="top" wrapText="1"/>
    </xf>
    <xf numFmtId="0" fontId="28" fillId="0" borderId="15" xfId="0" applyFont="1" applyBorder="1" applyAlignment="1">
      <alignment vertical="top" wrapText="1"/>
    </xf>
    <xf numFmtId="168" fontId="4" fillId="0" borderId="15" xfId="0" applyNumberFormat="1" applyFont="1" applyBorder="1" applyAlignment="1">
      <alignment horizontal="left"/>
    </xf>
    <xf numFmtId="168" fontId="2" fillId="0" borderId="15" xfId="0" applyNumberFormat="1" applyFont="1" applyBorder="1" applyAlignment="1">
      <alignment horizontal="left"/>
    </xf>
    <xf numFmtId="168" fontId="4" fillId="0" borderId="21" xfId="0" applyNumberFormat="1" applyFont="1" applyBorder="1" applyAlignment="1">
      <alignment horizontal="left"/>
    </xf>
    <xf numFmtId="0" fontId="6" fillId="0" borderId="30" xfId="0" applyNumberFormat="1" applyFont="1" applyBorder="1" applyAlignment="1">
      <alignment horizontal="center"/>
    </xf>
    <xf numFmtId="175" fontId="6" fillId="0" borderId="30" xfId="0" applyNumberFormat="1" applyFont="1" applyBorder="1" applyAlignment="1">
      <alignment horizontal="center"/>
    </xf>
    <xf numFmtId="0" fontId="4" fillId="0" borderId="11" xfId="0" applyNumberFormat="1" applyFont="1" applyFill="1" applyBorder="1" applyAlignment="1">
      <alignment horizontal="center" vertical="center"/>
    </xf>
    <xf numFmtId="168" fontId="3" fillId="0" borderId="11" xfId="0" applyNumberFormat="1" applyFont="1" applyFill="1" applyBorder="1" applyAlignment="1">
      <alignment horizontal="center"/>
    </xf>
    <xf numFmtId="168" fontId="3" fillId="0" borderId="20" xfId="0" applyNumberFormat="1" applyFont="1" applyFill="1" applyBorder="1" applyAlignment="1">
      <alignment horizontal="center"/>
    </xf>
    <xf numFmtId="0" fontId="18" fillId="0" borderId="0" xfId="0" applyNumberFormat="1" applyFont="1" applyFill="1" applyBorder="1" applyAlignment="1">
      <alignment horizontal="center" vertical="center"/>
    </xf>
    <xf numFmtId="168" fontId="17" fillId="0" borderId="0" xfId="0" applyNumberFormat="1" applyFont="1" applyFill="1" applyBorder="1" applyAlignment="1">
      <alignment horizontal="center"/>
    </xf>
    <xf numFmtId="168" fontId="3" fillId="0" borderId="0" xfId="0" applyNumberFormat="1" applyFont="1" applyFill="1" applyBorder="1" applyAlignment="1">
      <alignment horizontal="left"/>
    </xf>
    <xf numFmtId="168" fontId="6" fillId="0" borderId="18" xfId="0" quotePrefix="1" applyNumberFormat="1" applyFont="1" applyBorder="1" applyAlignment="1">
      <alignment horizontal="center" wrapText="1"/>
    </xf>
    <xf numFmtId="0" fontId="2" fillId="0" borderId="3" xfId="0" applyFont="1" applyFill="1" applyBorder="1"/>
    <xf numFmtId="168" fontId="4" fillId="0" borderId="3" xfId="0" quotePrefix="1" applyNumberFormat="1" applyFont="1" applyFill="1" applyBorder="1" applyAlignment="1">
      <alignment horizontal="left"/>
    </xf>
    <xf numFmtId="49" fontId="2" fillId="0" borderId="29" xfId="0" applyNumberFormat="1" applyFont="1" applyBorder="1" applyAlignment="1">
      <alignment horizontal="center"/>
    </xf>
    <xf numFmtId="168" fontId="5" fillId="0" borderId="4" xfId="1" applyNumberFormat="1" applyFont="1" applyFill="1" applyBorder="1"/>
    <xf numFmtId="168" fontId="5" fillId="0" borderId="0" xfId="1" applyNumberFormat="1" applyFont="1" applyFill="1" applyBorder="1"/>
    <xf numFmtId="168" fontId="6" fillId="0" borderId="69" xfId="1" applyNumberFormat="1" applyFont="1" applyFill="1" applyBorder="1"/>
    <xf numFmtId="168" fontId="6" fillId="0" borderId="83" xfId="1" applyNumberFormat="1" applyFont="1" applyFill="1" applyBorder="1"/>
    <xf numFmtId="168" fontId="6" fillId="0" borderId="72" xfId="1" applyNumberFormat="1" applyFont="1" applyFill="1" applyBorder="1"/>
    <xf numFmtId="168" fontId="6" fillId="0" borderId="74" xfId="1" applyNumberFormat="1" applyFont="1" applyFill="1" applyBorder="1"/>
    <xf numFmtId="168" fontId="6" fillId="0" borderId="73" xfId="1" applyNumberFormat="1" applyFont="1" applyFill="1" applyBorder="1"/>
    <xf numFmtId="168" fontId="6" fillId="0" borderId="8" xfId="0" quotePrefix="1" applyNumberFormat="1" applyFont="1" applyBorder="1" applyAlignment="1">
      <alignment horizontal="center"/>
    </xf>
    <xf numFmtId="168" fontId="5" fillId="0" borderId="3" xfId="1" applyNumberFormat="1" applyFont="1" applyFill="1" applyBorder="1"/>
    <xf numFmtId="168" fontId="4" fillId="0" borderId="4" xfId="1" applyNumberFormat="1" applyFont="1" applyFill="1" applyBorder="1"/>
    <xf numFmtId="168" fontId="4" fillId="0" borderId="3" xfId="1" applyNumberFormat="1" applyFont="1" applyFill="1" applyBorder="1"/>
    <xf numFmtId="168" fontId="7" fillId="0" borderId="29" xfId="0" applyNumberFormat="1" applyFont="1" applyFill="1" applyBorder="1"/>
    <xf numFmtId="175" fontId="6" fillId="0" borderId="15" xfId="0" quotePrefix="1" applyNumberFormat="1" applyFont="1" applyFill="1" applyBorder="1" applyAlignment="1">
      <alignment horizontal="left"/>
    </xf>
    <xf numFmtId="168" fontId="4" fillId="0" borderId="4" xfId="0" quotePrefix="1" applyNumberFormat="1" applyFont="1" applyFill="1" applyBorder="1" applyAlignment="1">
      <alignment horizontal="right"/>
    </xf>
    <xf numFmtId="0" fontId="2" fillId="0" borderId="176" xfId="0" applyFont="1" applyBorder="1"/>
    <xf numFmtId="168" fontId="6" fillId="0" borderId="57" xfId="0" applyNumberFormat="1" applyFont="1" applyBorder="1"/>
    <xf numFmtId="0" fontId="27" fillId="0" borderId="0" xfId="0" applyFont="1" applyBorder="1" applyAlignment="1">
      <alignment vertical="center" wrapText="1"/>
    </xf>
    <xf numFmtId="0" fontId="6" fillId="0" borderId="194" xfId="0" applyFont="1" applyBorder="1" applyAlignment="1">
      <alignment horizontal="center"/>
    </xf>
    <xf numFmtId="0" fontId="2" fillId="0" borderId="168" xfId="0" applyFont="1" applyBorder="1"/>
    <xf numFmtId="0" fontId="2" fillId="0" borderId="194" xfId="0" applyFont="1" applyBorder="1" applyAlignment="1">
      <alignment horizontal="center"/>
    </xf>
    <xf numFmtId="168" fontId="2" fillId="0" borderId="90" xfId="0" applyNumberFormat="1" applyFont="1" applyFill="1" applyBorder="1" applyAlignment="1">
      <alignment horizontal="right"/>
    </xf>
    <xf numFmtId="168" fontId="4" fillId="0" borderId="4" xfId="0" applyNumberFormat="1" applyFont="1" applyBorder="1" applyAlignment="1"/>
    <xf numFmtId="168" fontId="6" fillId="0" borderId="4" xfId="0" applyNumberFormat="1" applyFont="1" applyBorder="1" applyAlignment="1">
      <alignment horizontal="center"/>
    </xf>
    <xf numFmtId="0" fontId="6" fillId="0" borderId="4" xfId="0" applyFont="1" applyBorder="1" applyAlignment="1">
      <alignment horizontal="right"/>
    </xf>
    <xf numFmtId="0" fontId="2" fillId="0" borderId="15" xfId="0" applyFont="1" applyBorder="1"/>
    <xf numFmtId="0" fontId="4" fillId="0" borderId="15" xfId="0" applyFont="1" applyBorder="1" applyProtection="1">
      <protection locked="0"/>
    </xf>
    <xf numFmtId="38" fontId="0" fillId="0" borderId="0" xfId="0" applyNumberFormat="1"/>
    <xf numFmtId="38" fontId="4" fillId="0" borderId="0" xfId="0" applyNumberFormat="1" applyFont="1"/>
    <xf numFmtId="38" fontId="2" fillId="0" borderId="0" xfId="0" applyNumberFormat="1" applyFont="1"/>
    <xf numFmtId="10" fontId="6" fillId="0" borderId="3" xfId="4" applyNumberFormat="1" applyFont="1" applyBorder="1"/>
    <xf numFmtId="10" fontId="6" fillId="0" borderId="4" xfId="4" applyNumberFormat="1" applyFont="1" applyBorder="1"/>
    <xf numFmtId="10" fontId="6" fillId="0" borderId="16" xfId="4" applyNumberFormat="1" applyFont="1" applyBorder="1"/>
    <xf numFmtId="10" fontId="6" fillId="0" borderId="4" xfId="0" applyNumberFormat="1" applyFont="1" applyBorder="1"/>
    <xf numFmtId="10" fontId="6" fillId="0" borderId="16" xfId="0" applyNumberFormat="1" applyFont="1" applyBorder="1"/>
    <xf numFmtId="10" fontId="4" fillId="0" borderId="3" xfId="4" applyNumberFormat="1" applyFont="1" applyBorder="1"/>
    <xf numFmtId="10" fontId="4" fillId="0" borderId="4" xfId="4" applyNumberFormat="1" applyFont="1" applyBorder="1"/>
    <xf numFmtId="10" fontId="4" fillId="0" borderId="16" xfId="4" applyNumberFormat="1" applyFont="1" applyBorder="1"/>
    <xf numFmtId="10" fontId="4" fillId="0" borderId="3" xfId="4" applyNumberFormat="1" applyFont="1" applyBorder="1" applyAlignment="1">
      <alignment horizontal="center"/>
    </xf>
    <xf numFmtId="10" fontId="4" fillId="0" borderId="4" xfId="4" applyNumberFormat="1" applyFont="1" applyFill="1" applyBorder="1" applyAlignment="1">
      <alignment horizontal="center"/>
    </xf>
    <xf numFmtId="10" fontId="4" fillId="0" borderId="16" xfId="4" applyNumberFormat="1" applyFont="1" applyFill="1" applyBorder="1" applyAlignment="1">
      <alignment horizontal="center"/>
    </xf>
    <xf numFmtId="164" fontId="6" fillId="0" borderId="3" xfId="1" applyNumberFormat="1" applyFont="1" applyBorder="1"/>
    <xf numFmtId="164" fontId="6" fillId="0" borderId="16" xfId="1" applyNumberFormat="1" applyFont="1" applyFill="1" applyBorder="1" applyAlignment="1">
      <alignment horizontal="right"/>
    </xf>
    <xf numFmtId="168" fontId="0" fillId="0" borderId="11" xfId="0" applyNumberFormat="1" applyBorder="1"/>
    <xf numFmtId="0" fontId="28" fillId="0" borderId="0" xfId="0" applyFont="1" applyFill="1" applyAlignment="1">
      <alignment horizontal="justify" vertical="center"/>
    </xf>
    <xf numFmtId="168" fontId="2" fillId="0" borderId="0" xfId="0" applyNumberFormat="1" applyFont="1" applyAlignment="1">
      <alignment horizontal="center"/>
    </xf>
    <xf numFmtId="168" fontId="2" fillId="0" borderId="0" xfId="0" applyNumberFormat="1" applyFont="1" applyAlignment="1">
      <alignment horizontal="center"/>
    </xf>
    <xf numFmtId="168" fontId="2" fillId="0" borderId="153" xfId="0" applyNumberFormat="1" applyFont="1" applyBorder="1"/>
    <xf numFmtId="168" fontId="2" fillId="0" borderId="94" xfId="0" applyNumberFormat="1" applyFont="1" applyBorder="1"/>
    <xf numFmtId="0" fontId="2" fillId="0" borderId="124" xfId="0" applyFont="1" applyBorder="1"/>
    <xf numFmtId="168" fontId="2" fillId="0" borderId="90" xfId="0" applyNumberFormat="1" applyFont="1" applyBorder="1"/>
    <xf numFmtId="168" fontId="2" fillId="0" borderId="124" xfId="0" applyNumberFormat="1" applyFont="1" applyBorder="1"/>
    <xf numFmtId="168" fontId="2" fillId="0" borderId="95" xfId="0" applyNumberFormat="1" applyFont="1" applyBorder="1"/>
    <xf numFmtId="168" fontId="4" fillId="0" borderId="27" xfId="0" quotePrefix="1" applyNumberFormat="1" applyFont="1" applyBorder="1" applyAlignment="1">
      <alignment horizontal="center" wrapText="1"/>
    </xf>
    <xf numFmtId="168" fontId="4" fillId="0" borderId="11" xfId="0" applyNumberFormat="1" applyFont="1" applyBorder="1" applyAlignment="1">
      <alignment horizontal="center"/>
    </xf>
    <xf numFmtId="168" fontId="4" fillId="0" borderId="94" xfId="0" applyNumberFormat="1" applyFont="1" applyBorder="1" applyAlignment="1">
      <alignment horizontal="center"/>
    </xf>
    <xf numFmtId="168" fontId="4" fillId="0" borderId="0" xfId="0" applyNumberFormat="1" applyFont="1" applyAlignment="1">
      <alignment horizontal="center"/>
    </xf>
    <xf numFmtId="168" fontId="4" fillId="0" borderId="4" xfId="0" quotePrefix="1" applyNumberFormat="1" applyFont="1" applyBorder="1" applyAlignment="1">
      <alignment horizontal="center" wrapText="1"/>
    </xf>
    <xf numFmtId="168" fontId="6" fillId="0" borderId="0" xfId="0" applyNumberFormat="1" applyFont="1" applyBorder="1" applyAlignment="1">
      <alignment horizontal="left" vertical="top"/>
    </xf>
    <xf numFmtId="168" fontId="2" fillId="0" borderId="3" xfId="0" quotePrefix="1" applyNumberFormat="1" applyFont="1" applyBorder="1" applyAlignment="1">
      <alignment horizontal="center"/>
    </xf>
    <xf numFmtId="168" fontId="2" fillId="0" borderId="4" xfId="0" quotePrefix="1" applyNumberFormat="1" applyFont="1" applyBorder="1" applyAlignment="1">
      <alignment horizontal="center"/>
    </xf>
    <xf numFmtId="168" fontId="2" fillId="0" borderId="16" xfId="0" quotePrefix="1" applyNumberFormat="1" applyFont="1" applyBorder="1" applyAlignment="1">
      <alignment horizontal="center"/>
    </xf>
    <xf numFmtId="168" fontId="2" fillId="0" borderId="0" xfId="0" applyNumberFormat="1" applyFont="1" applyBorder="1" applyAlignment="1">
      <alignment horizontal="left" vertical="top"/>
    </xf>
    <xf numFmtId="170" fontId="4" fillId="0" borderId="3" xfId="1" applyNumberFormat="1" applyFont="1" applyBorder="1"/>
    <xf numFmtId="170" fontId="4" fillId="0" borderId="4" xfId="1" applyNumberFormat="1" applyFont="1" applyFill="1" applyBorder="1" applyAlignment="1">
      <alignment horizontal="right"/>
    </xf>
    <xf numFmtId="170" fontId="4" fillId="0" borderId="16" xfId="1" applyNumberFormat="1" applyFont="1" applyFill="1" applyBorder="1" applyAlignment="1">
      <alignment horizontal="right"/>
    </xf>
    <xf numFmtId="170" fontId="6" fillId="0" borderId="3" xfId="1" applyNumberFormat="1" applyFont="1" applyBorder="1"/>
    <xf numFmtId="170" fontId="6" fillId="0" borderId="4" xfId="1" applyNumberFormat="1" applyFont="1" applyFill="1" applyBorder="1" applyAlignment="1">
      <alignment horizontal="right"/>
    </xf>
    <xf numFmtId="170" fontId="6" fillId="0" borderId="16" xfId="1" applyNumberFormat="1" applyFont="1" applyFill="1" applyBorder="1" applyAlignment="1">
      <alignment horizontal="right"/>
    </xf>
    <xf numFmtId="0" fontId="47" fillId="0" borderId="0" xfId="0" applyFont="1" applyAlignment="1">
      <alignment vertical="center"/>
    </xf>
    <xf numFmtId="170" fontId="2" fillId="0" borderId="178" xfId="0" applyNumberFormat="1" applyFont="1" applyBorder="1"/>
    <xf numFmtId="168" fontId="2" fillId="0" borderId="178" xfId="0" quotePrefix="1" applyNumberFormat="1" applyFont="1" applyBorder="1" applyAlignment="1">
      <alignment horizontal="center"/>
    </xf>
    <xf numFmtId="170" fontId="2" fillId="0" borderId="80" xfId="0" applyNumberFormat="1" applyFont="1" applyBorder="1"/>
    <xf numFmtId="168" fontId="6" fillId="0" borderId="80" xfId="0" quotePrefix="1" applyNumberFormat="1" applyFont="1" applyBorder="1" applyAlignment="1">
      <alignment horizontal="center"/>
    </xf>
    <xf numFmtId="170" fontId="4" fillId="0" borderId="80" xfId="0" quotePrefix="1" applyNumberFormat="1" applyFont="1" applyBorder="1" applyAlignment="1">
      <alignment horizontal="center"/>
    </xf>
    <xf numFmtId="168" fontId="4" fillId="0" borderId="80" xfId="0" applyNumberFormat="1" applyFont="1" applyBorder="1"/>
    <xf numFmtId="170" fontId="4" fillId="0" borderId="80" xfId="0" applyNumberFormat="1" applyFont="1" applyBorder="1"/>
    <xf numFmtId="170" fontId="2" fillId="0" borderId="195" xfId="0" applyNumberFormat="1" applyFont="1" applyBorder="1"/>
    <xf numFmtId="168" fontId="2" fillId="0" borderId="195" xfId="0" applyNumberFormat="1" applyFont="1" applyBorder="1"/>
    <xf numFmtId="168" fontId="2" fillId="0" borderId="80" xfId="0" applyNumberFormat="1" applyFont="1" applyBorder="1"/>
    <xf numFmtId="170" fontId="4" fillId="0" borderId="79" xfId="0" applyNumberFormat="1" applyFont="1" applyBorder="1"/>
    <xf numFmtId="168" fontId="4" fillId="0" borderId="79" xfId="0" applyNumberFormat="1" applyFont="1" applyBorder="1"/>
    <xf numFmtId="168" fontId="2" fillId="0" borderId="24" xfId="0" applyNumberFormat="1" applyFont="1" applyBorder="1" applyAlignment="1">
      <alignment horizontal="center"/>
    </xf>
    <xf numFmtId="0" fontId="6" fillId="0" borderId="0" xfId="0" applyFont="1" applyAlignment="1">
      <alignment horizontal="center"/>
    </xf>
    <xf numFmtId="0" fontId="2" fillId="0" borderId="149" xfId="0" applyFont="1" applyBorder="1" applyAlignment="1">
      <alignment horizontal="center"/>
    </xf>
    <xf numFmtId="168" fontId="2" fillId="0" borderId="0" xfId="0" applyNumberFormat="1" applyFont="1" applyAlignment="1">
      <alignment horizontal="center"/>
    </xf>
    <xf numFmtId="168" fontId="6" fillId="0" borderId="40" xfId="0" quotePrefix="1" applyNumberFormat="1" applyFont="1" applyBorder="1" applyAlignment="1">
      <alignment horizontal="center"/>
    </xf>
    <xf numFmtId="168" fontId="2" fillId="0" borderId="17" xfId="0" quotePrefix="1" applyNumberFormat="1" applyFont="1" applyBorder="1" applyAlignment="1">
      <alignment horizontal="center" wrapText="1"/>
    </xf>
    <xf numFmtId="168" fontId="3" fillId="0" borderId="19" xfId="0" applyNumberFormat="1" applyFont="1" applyFill="1" applyBorder="1" applyAlignment="1">
      <alignment horizontal="center"/>
    </xf>
    <xf numFmtId="168" fontId="6" fillId="0" borderId="40" xfId="0" applyNumberFormat="1" applyFont="1" applyBorder="1" applyAlignment="1">
      <alignment horizontal="center"/>
    </xf>
    <xf numFmtId="168" fontId="6" fillId="0" borderId="68" xfId="0" applyNumberFormat="1" applyFont="1" applyBorder="1" applyAlignment="1">
      <alignment horizontal="center"/>
    </xf>
    <xf numFmtId="168" fontId="6" fillId="0" borderId="137" xfId="0" quotePrefix="1" applyNumberFormat="1" applyFont="1" applyBorder="1" applyAlignment="1">
      <alignment horizontal="center"/>
    </xf>
    <xf numFmtId="168" fontId="2" fillId="0" borderId="62" xfId="0" quotePrefix="1" applyNumberFormat="1" applyFont="1" applyBorder="1" applyAlignment="1">
      <alignment horizontal="center"/>
    </xf>
    <xf numFmtId="168" fontId="5" fillId="0" borderId="23" xfId="0" applyNumberFormat="1" applyFont="1" applyBorder="1"/>
    <xf numFmtId="168" fontId="5" fillId="0" borderId="16" xfId="0" applyNumberFormat="1" applyFont="1" applyBorder="1" applyAlignment="1">
      <alignment horizontal="center"/>
    </xf>
    <xf numFmtId="168" fontId="0" fillId="0" borderId="28" xfId="0" applyNumberFormat="1" applyBorder="1"/>
    <xf numFmtId="168" fontId="0" fillId="0" borderId="16" xfId="0" applyNumberFormat="1" applyBorder="1" applyAlignment="1">
      <alignment horizontal="center"/>
    </xf>
    <xf numFmtId="168" fontId="0" fillId="0" borderId="28" xfId="0" applyNumberFormat="1" applyFill="1" applyBorder="1"/>
    <xf numFmtId="168" fontId="2" fillId="2" borderId="28" xfId="0" applyNumberFormat="1" applyFont="1" applyFill="1" applyBorder="1"/>
    <xf numFmtId="168" fontId="2" fillId="2" borderId="16" xfId="0" applyNumberFormat="1" applyFont="1" applyFill="1" applyBorder="1" applyAlignment="1">
      <alignment horizontal="right"/>
    </xf>
    <xf numFmtId="168" fontId="0" fillId="0" borderId="16" xfId="0" applyNumberFormat="1" applyBorder="1" applyAlignment="1">
      <alignment horizontal="right"/>
    </xf>
    <xf numFmtId="168" fontId="2" fillId="0" borderId="16" xfId="0" applyNumberFormat="1" applyFont="1" applyBorder="1" applyAlignment="1">
      <alignment horizontal="right"/>
    </xf>
    <xf numFmtId="168" fontId="4" fillId="0" borderId="16" xfId="0" applyNumberFormat="1" applyFont="1" applyBorder="1" applyAlignment="1">
      <alignment horizontal="right"/>
    </xf>
    <xf numFmtId="168" fontId="6" fillId="0" borderId="16" xfId="0" applyNumberFormat="1" applyFont="1" applyBorder="1" applyAlignment="1">
      <alignment horizontal="right"/>
    </xf>
    <xf numFmtId="168" fontId="4" fillId="7" borderId="28" xfId="0" applyNumberFormat="1" applyFont="1" applyFill="1" applyBorder="1"/>
    <xf numFmtId="168" fontId="5" fillId="0" borderId="16" xfId="0" applyNumberFormat="1" applyFont="1" applyBorder="1" applyAlignment="1">
      <alignment horizontal="right"/>
    </xf>
    <xf numFmtId="168" fontId="6" fillId="2" borderId="28" xfId="0" applyNumberFormat="1" applyFont="1" applyFill="1" applyBorder="1"/>
    <xf numFmtId="168" fontId="6" fillId="2" borderId="16" xfId="0" applyNumberFormat="1" applyFont="1" applyFill="1" applyBorder="1" applyAlignment="1">
      <alignment horizontal="right"/>
    </xf>
    <xf numFmtId="168" fontId="5" fillId="3" borderId="28" xfId="0" applyNumberFormat="1" applyFont="1" applyFill="1" applyBorder="1"/>
    <xf numFmtId="168" fontId="4" fillId="0" borderId="16" xfId="0" applyNumberFormat="1" applyFont="1" applyBorder="1" applyAlignment="1">
      <alignment horizontal="center"/>
    </xf>
    <xf numFmtId="168" fontId="2" fillId="4" borderId="54" xfId="0" applyNumberFormat="1" applyFont="1" applyFill="1" applyBorder="1"/>
    <xf numFmtId="168" fontId="2" fillId="4" borderId="56" xfId="0" applyNumberFormat="1" applyFont="1" applyFill="1" applyBorder="1" applyAlignment="1">
      <alignment horizontal="right"/>
    </xf>
    <xf numFmtId="168" fontId="2" fillId="4" borderId="55" xfId="0" applyNumberFormat="1" applyFont="1" applyFill="1" applyBorder="1"/>
    <xf numFmtId="168" fontId="2" fillId="4" borderId="57" xfId="0" applyNumberFormat="1" applyFont="1" applyFill="1" applyBorder="1"/>
    <xf numFmtId="168" fontId="2" fillId="4" borderId="57" xfId="0" applyNumberFormat="1" applyFont="1" applyFill="1" applyBorder="1" applyAlignment="1">
      <alignment horizontal="right"/>
    </xf>
    <xf numFmtId="168" fontId="2" fillId="4" borderId="58" xfId="0" applyNumberFormat="1" applyFont="1" applyFill="1" applyBorder="1" applyAlignment="1">
      <alignment horizontal="right"/>
    </xf>
    <xf numFmtId="168" fontId="2" fillId="0" borderId="168" xfId="0" applyNumberFormat="1" applyFont="1" applyBorder="1" applyAlignment="1">
      <alignment horizontal="center"/>
    </xf>
    <xf numFmtId="168" fontId="2" fillId="0" borderId="197" xfId="0" applyNumberFormat="1" applyFont="1" applyBorder="1" applyAlignment="1">
      <alignment horizontal="center"/>
    </xf>
    <xf numFmtId="168" fontId="2" fillId="0" borderId="196" xfId="0" applyNumberFormat="1" applyFont="1" applyBorder="1"/>
    <xf numFmtId="168" fontId="0" fillId="0" borderId="169" xfId="0" applyNumberFormat="1" applyBorder="1"/>
    <xf numFmtId="168" fontId="0" fillId="0" borderId="34" xfId="0" applyNumberFormat="1" applyBorder="1"/>
    <xf numFmtId="168" fontId="2" fillId="0" borderId="97" xfId="0" applyNumberFormat="1" applyFont="1" applyBorder="1"/>
    <xf numFmtId="168" fontId="2" fillId="0" borderId="11" xfId="0" applyNumberFormat="1" applyFont="1" applyBorder="1" applyAlignment="1">
      <alignment horizontal="right"/>
    </xf>
    <xf numFmtId="168" fontId="2" fillId="0" borderId="21" xfId="0" applyNumberFormat="1" applyFont="1" applyBorder="1"/>
    <xf numFmtId="168" fontId="2" fillId="0" borderId="5" xfId="0" applyNumberFormat="1" applyFont="1" applyBorder="1"/>
    <xf numFmtId="168" fontId="2" fillId="0" borderId="20" xfId="0" applyNumberFormat="1" applyFont="1" applyBorder="1" applyAlignment="1">
      <alignment horizontal="right"/>
    </xf>
    <xf numFmtId="168" fontId="6" fillId="0" borderId="37" xfId="0" applyNumberFormat="1" applyFont="1" applyBorder="1" applyAlignment="1">
      <alignment horizontal="left" vertical="top"/>
    </xf>
    <xf numFmtId="168" fontId="6" fillId="0" borderId="87" xfId="0" quotePrefix="1" applyNumberFormat="1" applyFont="1" applyBorder="1" applyAlignment="1">
      <alignment horizontal="center"/>
    </xf>
    <xf numFmtId="168" fontId="6" fillId="0" borderId="96" xfId="0" applyNumberFormat="1" applyFont="1" applyBorder="1" applyAlignment="1">
      <alignment horizontal="left" vertical="top"/>
    </xf>
    <xf numFmtId="168" fontId="2" fillId="0" borderId="37" xfId="0" applyNumberFormat="1" applyFont="1" applyBorder="1" applyAlignment="1">
      <alignment horizontal="left" vertical="top"/>
    </xf>
    <xf numFmtId="3" fontId="4" fillId="0" borderId="4" xfId="0" applyNumberFormat="1" applyFont="1" applyFill="1" applyBorder="1" applyAlignment="1">
      <alignment horizontal="center"/>
    </xf>
    <xf numFmtId="3" fontId="6" fillId="0" borderId="74" xfId="0" applyNumberFormat="1" applyFont="1" applyBorder="1"/>
    <xf numFmtId="164" fontId="6" fillId="0" borderId="4" xfId="1" applyNumberFormat="1" applyFont="1" applyFill="1" applyBorder="1" applyAlignment="1">
      <alignment horizontal="right"/>
    </xf>
    <xf numFmtId="168" fontId="2" fillId="0" borderId="19" xfId="0" applyNumberFormat="1" applyFont="1" applyFill="1" applyBorder="1" applyAlignment="1">
      <alignment horizontal="right"/>
    </xf>
    <xf numFmtId="3" fontId="0" fillId="0" borderId="36" xfId="0" applyNumberFormat="1" applyBorder="1"/>
    <xf numFmtId="3" fontId="2" fillId="0" borderId="4" xfId="0" applyNumberFormat="1" applyFont="1" applyBorder="1" applyAlignment="1">
      <alignment horizontal="center"/>
    </xf>
    <xf numFmtId="180" fontId="28" fillId="0" borderId="4" xfId="0" applyNumberFormat="1" applyFont="1" applyBorder="1" applyAlignment="1">
      <alignment horizontal="right" vertical="center"/>
    </xf>
    <xf numFmtId="10" fontId="28" fillId="0" borderId="4" xfId="0" applyNumberFormat="1" applyFont="1" applyBorder="1" applyAlignment="1">
      <alignment horizontal="right" vertical="center"/>
    </xf>
    <xf numFmtId="2" fontId="28" fillId="0" borderId="4" xfId="0" applyNumberFormat="1" applyFont="1" applyBorder="1" applyAlignment="1">
      <alignment horizontal="right" vertical="center"/>
    </xf>
    <xf numFmtId="3" fontId="0" fillId="0" borderId="4" xfId="0" applyNumberFormat="1" applyBorder="1" applyAlignment="1">
      <alignment horizontal="right"/>
    </xf>
    <xf numFmtId="168" fontId="0" fillId="0" borderId="36" xfId="0" applyNumberFormat="1" applyBorder="1"/>
    <xf numFmtId="10" fontId="45" fillId="0" borderId="4" xfId="4" applyNumberFormat="1" applyFont="1" applyBorder="1"/>
    <xf numFmtId="168" fontId="2" fillId="0" borderId="96" xfId="0" applyNumberFormat="1" applyFont="1" applyFill="1" applyBorder="1" applyAlignment="1"/>
    <xf numFmtId="175" fontId="6" fillId="0" borderId="36" xfId="0" applyNumberFormat="1" applyFont="1" applyBorder="1" applyAlignment="1">
      <alignment horizontal="center"/>
    </xf>
    <xf numFmtId="168" fontId="6" fillId="0" borderId="4" xfId="0" quotePrefix="1" applyNumberFormat="1" applyFont="1" applyBorder="1" applyAlignment="1">
      <alignment horizontal="right"/>
    </xf>
    <xf numFmtId="168" fontId="4" fillId="0" borderId="4" xfId="0" quotePrefix="1" applyNumberFormat="1" applyFont="1" applyBorder="1" applyAlignment="1">
      <alignment horizontal="right"/>
    </xf>
    <xf numFmtId="168" fontId="14" fillId="0" borderId="31" xfId="0" applyNumberFormat="1" applyFont="1" applyFill="1" applyBorder="1"/>
    <xf numFmtId="168" fontId="25" fillId="0" borderId="13" xfId="0" applyNumberFormat="1" applyFont="1" applyFill="1" applyBorder="1"/>
    <xf numFmtId="168" fontId="6" fillId="0" borderId="199" xfId="0" applyNumberFormat="1" applyFont="1" applyFill="1" applyBorder="1"/>
    <xf numFmtId="168" fontId="7" fillId="0" borderId="13" xfId="0" applyNumberFormat="1" applyFont="1" applyFill="1" applyBorder="1"/>
    <xf numFmtId="168" fontId="6" fillId="0" borderId="12" xfId="0" applyNumberFormat="1" applyFont="1" applyFill="1" applyBorder="1"/>
    <xf numFmtId="168" fontId="6" fillId="0" borderId="198" xfId="0" applyNumberFormat="1" applyFont="1" applyFill="1" applyBorder="1"/>
    <xf numFmtId="168" fontId="5" fillId="0" borderId="157" xfId="0" applyNumberFormat="1" applyFont="1" applyFill="1" applyBorder="1"/>
    <xf numFmtId="168" fontId="5" fillId="0" borderId="174" xfId="0" applyNumberFormat="1" applyFont="1" applyFill="1" applyBorder="1"/>
    <xf numFmtId="3" fontId="0" fillId="0" borderId="55" xfId="0" applyNumberFormat="1" applyFill="1" applyBorder="1" applyAlignment="1">
      <alignment horizontal="right"/>
    </xf>
    <xf numFmtId="168" fontId="6" fillId="0" borderId="128" xfId="0" quotePrefix="1" applyNumberFormat="1" applyFont="1" applyFill="1" applyBorder="1" applyAlignment="1">
      <alignment horizontal="center"/>
    </xf>
    <xf numFmtId="0" fontId="0" fillId="0" borderId="0" xfId="0" applyFill="1" applyBorder="1"/>
    <xf numFmtId="168" fontId="6" fillId="0" borderId="84" xfId="0" quotePrefix="1" applyNumberFormat="1" applyFont="1" applyBorder="1" applyAlignment="1">
      <alignment horizontal="center"/>
    </xf>
    <xf numFmtId="168" fontId="2" fillId="0" borderId="200" xfId="0" applyNumberFormat="1" applyFont="1" applyFill="1" applyBorder="1"/>
    <xf numFmtId="168" fontId="2" fillId="0" borderId="8" xfId="0" applyNumberFormat="1" applyFont="1" applyFill="1" applyBorder="1"/>
    <xf numFmtId="168" fontId="5" fillId="0" borderId="10" xfId="0" applyNumberFormat="1" applyFont="1" applyFill="1" applyBorder="1"/>
    <xf numFmtId="0" fontId="6" fillId="0" borderId="139" xfId="0" applyFont="1" applyBorder="1" applyAlignment="1">
      <alignment horizontal="center"/>
    </xf>
    <xf numFmtId="0" fontId="6" fillId="0" borderId="73" xfId="0" applyFont="1" applyBorder="1" applyAlignment="1">
      <alignment horizontal="center"/>
    </xf>
    <xf numFmtId="0" fontId="6" fillId="0" borderId="49" xfId="0" applyFont="1" applyBorder="1"/>
    <xf numFmtId="166" fontId="6" fillId="0" borderId="49" xfId="0" applyNumberFormat="1" applyFont="1" applyBorder="1"/>
    <xf numFmtId="166" fontId="0" fillId="0" borderId="49" xfId="1" applyNumberFormat="1" applyFont="1" applyBorder="1"/>
    <xf numFmtId="168" fontId="6" fillId="0" borderId="51" xfId="0" applyNumberFormat="1" applyFont="1" applyFill="1" applyBorder="1"/>
    <xf numFmtId="38" fontId="4" fillId="0" borderId="42" xfId="0" applyNumberFormat="1" applyFont="1" applyBorder="1"/>
    <xf numFmtId="0" fontId="2" fillId="0" borderId="49" xfId="0" applyFont="1" applyBorder="1"/>
    <xf numFmtId="38" fontId="6" fillId="0" borderId="50" xfId="0" applyNumberFormat="1" applyFont="1" applyBorder="1"/>
    <xf numFmtId="0" fontId="12" fillId="0" borderId="49" xfId="0" applyFont="1" applyBorder="1"/>
    <xf numFmtId="168" fontId="6" fillId="0" borderId="201" xfId="0" applyNumberFormat="1" applyFont="1" applyFill="1" applyBorder="1"/>
    <xf numFmtId="0" fontId="4" fillId="0" borderId="53" xfId="0" applyFont="1" applyBorder="1"/>
    <xf numFmtId="38" fontId="4" fillId="0" borderId="43" xfId="0" applyNumberFormat="1" applyFont="1" applyBorder="1"/>
    <xf numFmtId="168" fontId="2" fillId="0" borderId="180" xfId="0" applyNumberFormat="1" applyFont="1" applyBorder="1" applyAlignment="1">
      <alignment horizontal="center"/>
    </xf>
    <xf numFmtId="168" fontId="2" fillId="0" borderId="25" xfId="0" applyNumberFormat="1" applyFont="1" applyBorder="1" applyAlignment="1">
      <alignment horizontal="center"/>
    </xf>
    <xf numFmtId="38" fontId="0" fillId="0" borderId="9" xfId="0" applyNumberFormat="1" applyBorder="1"/>
    <xf numFmtId="168" fontId="0" fillId="0" borderId="7" xfId="1" applyNumberFormat="1" applyFont="1" applyBorder="1"/>
    <xf numFmtId="168" fontId="2" fillId="0" borderId="7" xfId="1" applyNumberFormat="1" applyFont="1" applyBorder="1"/>
    <xf numFmtId="168" fontId="2" fillId="0" borderId="9" xfId="1" applyNumberFormat="1" applyFont="1" applyBorder="1"/>
    <xf numFmtId="0" fontId="2" fillId="0" borderId="10" xfId="0" applyFont="1" applyBorder="1"/>
    <xf numFmtId="0" fontId="4" fillId="0" borderId="4" xfId="0" applyFont="1" applyBorder="1" applyAlignment="1">
      <alignment horizontal="left"/>
    </xf>
    <xf numFmtId="166" fontId="4" fillId="0" borderId="0" xfId="0" applyNumberFormat="1" applyFont="1" applyAlignment="1">
      <alignment horizontal="left"/>
    </xf>
    <xf numFmtId="168" fontId="6" fillId="0" borderId="87" xfId="0" quotePrefix="1" applyNumberFormat="1" applyFont="1" applyFill="1" applyBorder="1" applyAlignment="1">
      <alignment horizontal="center"/>
    </xf>
    <xf numFmtId="168" fontId="6" fillId="0" borderId="17" xfId="0" quotePrefix="1" applyNumberFormat="1" applyFont="1" applyFill="1" applyBorder="1" applyAlignment="1">
      <alignment horizontal="center"/>
    </xf>
    <xf numFmtId="168" fontId="6" fillId="0" borderId="18" xfId="0" quotePrefix="1" applyNumberFormat="1" applyFont="1" applyFill="1" applyBorder="1" applyAlignment="1">
      <alignment horizontal="center" wrapText="1"/>
    </xf>
    <xf numFmtId="168" fontId="6" fillId="0" borderId="149" xfId="1" applyNumberFormat="1" applyFont="1" applyFill="1" applyBorder="1"/>
    <xf numFmtId="38" fontId="6" fillId="0" borderId="3" xfId="0" applyNumberFormat="1" applyFont="1" applyFill="1" applyBorder="1" applyAlignment="1">
      <alignment horizontal="center"/>
    </xf>
    <xf numFmtId="38" fontId="4" fillId="0" borderId="16" xfId="1" applyNumberFormat="1" applyFont="1" applyFill="1" applyBorder="1"/>
    <xf numFmtId="38" fontId="5" fillId="0" borderId="202" xfId="1" applyNumberFormat="1" applyFont="1" applyFill="1" applyBorder="1"/>
    <xf numFmtId="38" fontId="5" fillId="0" borderId="20" xfId="1" applyNumberFormat="1" applyFont="1" applyFill="1" applyBorder="1"/>
    <xf numFmtId="38" fontId="5" fillId="0" borderId="43" xfId="1" applyNumberFormat="1" applyFont="1" applyFill="1" applyBorder="1"/>
    <xf numFmtId="0" fontId="6" fillId="0" borderId="36" xfId="0" applyNumberFormat="1" applyFont="1" applyBorder="1" applyAlignment="1">
      <alignment horizontal="center"/>
    </xf>
    <xf numFmtId="168" fontId="6" fillId="0" borderId="48" xfId="0" quotePrefix="1" applyNumberFormat="1" applyFont="1" applyFill="1" applyBorder="1" applyAlignment="1">
      <alignment horizontal="center"/>
    </xf>
    <xf numFmtId="168" fontId="2" fillId="0" borderId="1" xfId="0" applyNumberFormat="1" applyFont="1" applyFill="1" applyBorder="1" applyAlignment="1">
      <alignment horizontal="center"/>
    </xf>
    <xf numFmtId="168" fontId="6" fillId="0" borderId="203" xfId="0" applyNumberFormat="1" applyFont="1" applyFill="1" applyBorder="1"/>
    <xf numFmtId="168" fontId="5" fillId="0" borderId="8" xfId="0" applyNumberFormat="1" applyFont="1" applyFill="1" applyBorder="1" applyAlignment="1"/>
    <xf numFmtId="168" fontId="5" fillId="0" borderId="91" xfId="0" applyNumberFormat="1" applyFont="1" applyFill="1" applyBorder="1" applyAlignment="1"/>
    <xf numFmtId="168" fontId="8" fillId="0" borderId="131" xfId="0" applyNumberFormat="1" applyFont="1" applyFill="1" applyBorder="1" applyAlignment="1">
      <alignment vertical="center"/>
    </xf>
    <xf numFmtId="168" fontId="5" fillId="0" borderId="128" xfId="0" applyNumberFormat="1" applyFont="1" applyFill="1" applyBorder="1" applyAlignment="1"/>
    <xf numFmtId="168" fontId="5" fillId="0" borderId="7" xfId="0" applyNumberFormat="1" applyFont="1" applyFill="1" applyBorder="1" applyAlignment="1"/>
    <xf numFmtId="168" fontId="14" fillId="0" borderId="1" xfId="0" applyNumberFormat="1" applyFont="1" applyFill="1" applyBorder="1"/>
    <xf numFmtId="168" fontId="6" fillId="0" borderId="38" xfId="0" applyNumberFormat="1" applyFont="1" applyFill="1" applyBorder="1" applyAlignment="1">
      <alignment horizontal="center"/>
    </xf>
    <xf numFmtId="168" fontId="6" fillId="0" borderId="0" xfId="0" applyNumberFormat="1" applyFont="1" applyFill="1" applyBorder="1" applyAlignment="1">
      <alignment horizontal="center"/>
    </xf>
    <xf numFmtId="168" fontId="6" fillId="0" borderId="30" xfId="0" quotePrefix="1" applyNumberFormat="1" applyFont="1" applyBorder="1" applyAlignment="1">
      <alignment horizontal="center"/>
    </xf>
    <xf numFmtId="168" fontId="6" fillId="0" borderId="204" xfId="0" applyNumberFormat="1" applyFont="1" applyFill="1" applyBorder="1"/>
    <xf numFmtId="168" fontId="27" fillId="0" borderId="27" xfId="0" quotePrefix="1" applyNumberFormat="1" applyFont="1" applyBorder="1" applyAlignment="1">
      <alignment horizontal="center"/>
    </xf>
    <xf numFmtId="168" fontId="27" fillId="0" borderId="33" xfId="0" quotePrefix="1" applyNumberFormat="1" applyFont="1" applyBorder="1" applyAlignment="1">
      <alignment horizontal="center"/>
    </xf>
    <xf numFmtId="168" fontId="27" fillId="0" borderId="48" xfId="0" quotePrefix="1" applyNumberFormat="1" applyFont="1" applyBorder="1" applyAlignment="1">
      <alignment horizontal="center"/>
    </xf>
    <xf numFmtId="168" fontId="27" fillId="0" borderId="16" xfId="0" applyNumberFormat="1" applyFont="1" applyFill="1" applyBorder="1" applyAlignment="1"/>
    <xf numFmtId="168" fontId="5" fillId="0" borderId="117" xfId="0" applyNumberFormat="1" applyFont="1" applyBorder="1" applyAlignment="1">
      <alignment horizontal="center"/>
    </xf>
    <xf numFmtId="49" fontId="4" fillId="0" borderId="15" xfId="0" applyNumberFormat="1" applyFont="1" applyFill="1" applyBorder="1" applyAlignment="1">
      <alignment horizontal="center"/>
    </xf>
    <xf numFmtId="168" fontId="4" fillId="0" borderId="135" xfId="0" applyNumberFormat="1" applyFont="1" applyFill="1" applyBorder="1"/>
    <xf numFmtId="168" fontId="2" fillId="0" borderId="0" xfId="0" applyNumberFormat="1" applyFont="1" applyBorder="1" applyAlignment="1">
      <alignment horizontal="center"/>
    </xf>
    <xf numFmtId="168" fontId="2" fillId="0" borderId="0" xfId="0" applyNumberFormat="1" applyFont="1" applyAlignment="1">
      <alignment horizontal="center"/>
    </xf>
    <xf numFmtId="168" fontId="2" fillId="0" borderId="0" xfId="0" quotePrefix="1" applyNumberFormat="1" applyFont="1" applyAlignment="1">
      <alignment horizontal="center"/>
    </xf>
    <xf numFmtId="168" fontId="2" fillId="0" borderId="0" xfId="0" applyNumberFormat="1" applyFont="1" applyAlignment="1">
      <alignment horizontal="center"/>
    </xf>
    <xf numFmtId="168" fontId="2" fillId="0" borderId="69" xfId="0" quotePrefix="1" applyNumberFormat="1" applyFont="1" applyBorder="1" applyAlignment="1">
      <alignment horizontal="center"/>
    </xf>
    <xf numFmtId="168" fontId="2" fillId="0" borderId="0" xfId="0" quotePrefix="1" applyNumberFormat="1" applyFont="1" applyBorder="1"/>
    <xf numFmtId="0" fontId="6" fillId="0" borderId="2" xfId="0" applyFont="1" applyFill="1" applyBorder="1" applyAlignment="1">
      <alignment horizontal="center"/>
    </xf>
    <xf numFmtId="0" fontId="0" fillId="0" borderId="3" xfId="0" applyFill="1" applyBorder="1" applyAlignment="1">
      <alignment horizontal="center"/>
    </xf>
    <xf numFmtId="10" fontId="0" fillId="0" borderId="3" xfId="0" applyNumberFormat="1" applyFill="1" applyBorder="1" applyAlignment="1">
      <alignment horizontal="right"/>
    </xf>
    <xf numFmtId="166" fontId="0" fillId="0" borderId="3" xfId="1" applyNumberFormat="1" applyFont="1" applyFill="1" applyBorder="1" applyAlignment="1">
      <alignment horizontal="right"/>
    </xf>
    <xf numFmtId="166" fontId="4" fillId="0" borderId="3" xfId="0" applyNumberFormat="1" applyFont="1" applyFill="1" applyBorder="1" applyAlignment="1">
      <alignment horizontal="right"/>
    </xf>
    <xf numFmtId="164" fontId="0" fillId="0" borderId="3" xfId="1" applyFont="1" applyFill="1" applyBorder="1" applyAlignment="1">
      <alignment horizontal="right"/>
    </xf>
    <xf numFmtId="9" fontId="0" fillId="0" borderId="3" xfId="4" applyFont="1" applyFill="1" applyBorder="1" applyAlignment="1">
      <alignment horizontal="right"/>
    </xf>
    <xf numFmtId="0" fontId="0" fillId="0" borderId="11" xfId="0" applyFill="1" applyBorder="1" applyAlignment="1">
      <alignment horizontal="right"/>
    </xf>
    <xf numFmtId="0" fontId="0" fillId="0" borderId="40" xfId="0" applyFill="1" applyBorder="1"/>
    <xf numFmtId="0" fontId="0" fillId="0" borderId="3" xfId="0" applyFill="1" applyBorder="1"/>
    <xf numFmtId="0" fontId="0" fillId="0" borderId="11" xfId="0" applyFill="1" applyBorder="1"/>
    <xf numFmtId="168" fontId="0" fillId="0" borderId="7" xfId="0" applyNumberFormat="1" applyFill="1" applyBorder="1"/>
    <xf numFmtId="168" fontId="2" fillId="0" borderId="66" xfId="0" applyNumberFormat="1" applyFont="1" applyFill="1" applyBorder="1"/>
    <xf numFmtId="168" fontId="5" fillId="0" borderId="66" xfId="0" applyNumberFormat="1" applyFont="1" applyFill="1" applyBorder="1"/>
    <xf numFmtId="166" fontId="0" fillId="0" borderId="16" xfId="1" applyNumberFormat="1" applyFont="1" applyFill="1" applyBorder="1" applyAlignment="1">
      <alignment horizontal="right"/>
    </xf>
    <xf numFmtId="168" fontId="4" fillId="0" borderId="16" xfId="1" applyNumberFormat="1" applyFont="1" applyFill="1" applyBorder="1" applyAlignment="1">
      <alignment horizontal="right"/>
    </xf>
    <xf numFmtId="38" fontId="5" fillId="0" borderId="49" xfId="1" applyNumberFormat="1" applyFont="1" applyFill="1" applyBorder="1"/>
    <xf numFmtId="168" fontId="5" fillId="0" borderId="49" xfId="1" applyNumberFormat="1" applyFont="1" applyFill="1" applyBorder="1"/>
    <xf numFmtId="168" fontId="4" fillId="0" borderId="8" xfId="1" applyNumberFormat="1" applyFont="1" applyFill="1" applyBorder="1"/>
    <xf numFmtId="168" fontId="4" fillId="0" borderId="49" xfId="1" applyNumberFormat="1" applyFont="1" applyFill="1" applyBorder="1"/>
    <xf numFmtId="167" fontId="5" fillId="0" borderId="0" xfId="4" applyNumberFormat="1" applyFont="1" applyFill="1"/>
    <xf numFmtId="168" fontId="2" fillId="0" borderId="0" xfId="0" applyNumberFormat="1" applyFont="1" applyFill="1" applyAlignment="1">
      <alignment horizontal="center"/>
    </xf>
    <xf numFmtId="0" fontId="6" fillId="0" borderId="64" xfId="0" applyFont="1" applyFill="1" applyBorder="1" applyAlignment="1">
      <alignment horizontal="center"/>
    </xf>
    <xf numFmtId="0" fontId="2" fillId="0" borderId="0" xfId="0" applyFont="1" applyFill="1" applyBorder="1" applyAlignment="1">
      <alignment horizontal="center"/>
    </xf>
    <xf numFmtId="0" fontId="30" fillId="0" borderId="0" xfId="0" applyFont="1" applyFill="1"/>
    <xf numFmtId="0" fontId="6" fillId="0" borderId="98" xfId="0" applyFont="1" applyFill="1" applyBorder="1" applyAlignment="1"/>
    <xf numFmtId="0" fontId="2" fillId="0" borderId="1" xfId="0" applyFont="1" applyFill="1" applyBorder="1" applyAlignment="1">
      <alignment horizontal="center"/>
    </xf>
    <xf numFmtId="0" fontId="2" fillId="0" borderId="29" xfId="0" applyFont="1" applyFill="1" applyBorder="1" applyAlignment="1">
      <alignment horizontal="center"/>
    </xf>
    <xf numFmtId="0" fontId="2" fillId="0" borderId="37" xfId="0" applyFont="1" applyFill="1" applyBorder="1" applyAlignment="1">
      <alignment horizontal="center"/>
    </xf>
    <xf numFmtId="0" fontId="2" fillId="0" borderId="18" xfId="0" applyFont="1" applyFill="1" applyBorder="1" applyAlignment="1">
      <alignment horizontal="center"/>
    </xf>
    <xf numFmtId="0" fontId="2" fillId="0" borderId="6" xfId="0" applyFont="1" applyFill="1" applyBorder="1" applyAlignment="1">
      <alignment horizontal="center"/>
    </xf>
    <xf numFmtId="168" fontId="6" fillId="0" borderId="8" xfId="0" quotePrefix="1" applyNumberFormat="1" applyFont="1" applyFill="1" applyBorder="1" applyAlignment="1">
      <alignment horizontal="center"/>
    </xf>
    <xf numFmtId="168" fontId="5" fillId="0" borderId="8" xfId="1" applyNumberFormat="1" applyFont="1" applyFill="1" applyBorder="1"/>
    <xf numFmtId="38" fontId="4" fillId="0" borderId="0" xfId="0" applyNumberFormat="1" applyFont="1" applyFill="1" applyBorder="1"/>
    <xf numFmtId="38" fontId="5" fillId="0" borderId="0" xfId="0" applyNumberFormat="1" applyFont="1" applyFill="1" applyBorder="1"/>
    <xf numFmtId="168" fontId="5" fillId="0" borderId="16" xfId="1" applyNumberFormat="1" applyFont="1" applyFill="1" applyBorder="1"/>
    <xf numFmtId="168" fontId="4" fillId="0" borderId="16" xfId="1" applyNumberFormat="1" applyFont="1" applyFill="1" applyBorder="1"/>
    <xf numFmtId="168" fontId="5" fillId="0" borderId="100" xfId="0" applyNumberFormat="1" applyFont="1" applyFill="1" applyBorder="1" applyAlignment="1">
      <alignment horizontal="left" indent="1"/>
    </xf>
    <xf numFmtId="168" fontId="5" fillId="0" borderId="139" xfId="0" applyNumberFormat="1" applyFont="1" applyFill="1" applyBorder="1"/>
    <xf numFmtId="0" fontId="6" fillId="0" borderId="151" xfId="0" applyFont="1" applyFill="1" applyBorder="1" applyAlignment="1">
      <alignment horizontal="left"/>
    </xf>
    <xf numFmtId="168" fontId="5" fillId="0" borderId="102" xfId="0" applyNumberFormat="1" applyFont="1" applyFill="1" applyBorder="1" applyAlignment="1">
      <alignment horizontal="left" indent="1"/>
    </xf>
    <xf numFmtId="0" fontId="25" fillId="0" borderId="0" xfId="0" applyFont="1" applyFill="1"/>
    <xf numFmtId="0" fontId="2" fillId="0" borderId="0" xfId="0" applyFont="1" applyFill="1" applyBorder="1" applyAlignment="1">
      <alignment horizontal="left" vertical="center"/>
    </xf>
    <xf numFmtId="168" fontId="32" fillId="0" borderId="100" xfId="0" applyNumberFormat="1" applyFont="1" applyFill="1" applyBorder="1" applyAlignment="1">
      <alignment horizontal="left"/>
    </xf>
    <xf numFmtId="168" fontId="6" fillId="0" borderId="101" xfId="0" applyNumberFormat="1" applyFont="1" applyFill="1" applyBorder="1" applyAlignment="1">
      <alignment horizontal="left"/>
    </xf>
    <xf numFmtId="168" fontId="2" fillId="0" borderId="101" xfId="0" applyNumberFormat="1" applyFont="1" applyFill="1" applyBorder="1" applyAlignment="1">
      <alignment horizontal="left"/>
    </xf>
    <xf numFmtId="168" fontId="2" fillId="0" borderId="205" xfId="0" applyNumberFormat="1" applyFont="1" applyFill="1" applyBorder="1"/>
    <xf numFmtId="168" fontId="6" fillId="0" borderId="206" xfId="0" applyNumberFormat="1" applyFont="1" applyFill="1" applyBorder="1" applyAlignment="1">
      <alignment horizontal="left"/>
    </xf>
    <xf numFmtId="168" fontId="6" fillId="0" borderId="207" xfId="0" applyNumberFormat="1" applyFont="1" applyFill="1" applyBorder="1" applyAlignment="1">
      <alignment horizontal="left"/>
    </xf>
    <xf numFmtId="168" fontId="12" fillId="0" borderId="207" xfId="0" applyNumberFormat="1" applyFont="1" applyFill="1" applyBorder="1" applyAlignment="1">
      <alignment horizontal="left"/>
    </xf>
    <xf numFmtId="168" fontId="4" fillId="0" borderId="207" xfId="0" applyNumberFormat="1" applyFont="1" applyFill="1" applyBorder="1" applyAlignment="1">
      <alignment horizontal="left"/>
    </xf>
    <xf numFmtId="168" fontId="5" fillId="0" borderId="207" xfId="0" applyNumberFormat="1" applyFont="1" applyFill="1" applyBorder="1" applyAlignment="1">
      <alignment horizontal="left"/>
    </xf>
    <xf numFmtId="168" fontId="2" fillId="0" borderId="207" xfId="0" applyNumberFormat="1" applyFont="1" applyFill="1" applyBorder="1" applyAlignment="1">
      <alignment horizontal="left"/>
    </xf>
    <xf numFmtId="168" fontId="2" fillId="0" borderId="208" xfId="0" applyNumberFormat="1" applyFont="1" applyFill="1" applyBorder="1" applyAlignment="1">
      <alignment horizontal="left"/>
    </xf>
    <xf numFmtId="168" fontId="12" fillId="0" borderId="207" xfId="0" applyNumberFormat="1" applyFont="1" applyFill="1" applyBorder="1"/>
    <xf numFmtId="168" fontId="6" fillId="0" borderId="208" xfId="0" applyNumberFormat="1" applyFont="1" applyFill="1" applyBorder="1" applyAlignment="1">
      <alignment horizontal="left"/>
    </xf>
    <xf numFmtId="168" fontId="5" fillId="0" borderId="207" xfId="0" applyNumberFormat="1" applyFont="1" applyFill="1" applyBorder="1"/>
    <xf numFmtId="168" fontId="2" fillId="0" borderId="209" xfId="0" applyNumberFormat="1" applyFont="1" applyFill="1" applyBorder="1"/>
    <xf numFmtId="168" fontId="5" fillId="0" borderId="210" xfId="0" applyNumberFormat="1" applyFont="1" applyFill="1" applyBorder="1"/>
    <xf numFmtId="168" fontId="4" fillId="6" borderId="3" xfId="0" applyNumberFormat="1" applyFont="1" applyFill="1" applyBorder="1"/>
    <xf numFmtId="0" fontId="6" fillId="6" borderId="61" xfId="0" applyFont="1" applyFill="1" applyBorder="1" applyAlignment="1">
      <alignment horizontal="center"/>
    </xf>
    <xf numFmtId="38" fontId="4" fillId="6" borderId="3" xfId="1" applyNumberFormat="1" applyFont="1" applyFill="1" applyBorder="1"/>
    <xf numFmtId="38" fontId="5" fillId="6" borderId="11" xfId="1" applyNumberFormat="1" applyFont="1" applyFill="1" applyBorder="1"/>
    <xf numFmtId="38" fontId="6" fillId="6" borderId="69" xfId="1" applyNumberFormat="1" applyFont="1" applyFill="1" applyBorder="1"/>
    <xf numFmtId="38" fontId="5" fillId="6" borderId="0" xfId="0" applyNumberFormat="1" applyFont="1" applyFill="1"/>
    <xf numFmtId="0" fontId="5" fillId="6" borderId="0" xfId="0" applyFont="1" applyFill="1"/>
    <xf numFmtId="38" fontId="2" fillId="6" borderId="0" xfId="0" applyNumberFormat="1" applyFont="1" applyFill="1"/>
    <xf numFmtId="0" fontId="6" fillId="6" borderId="14" xfId="0" applyFont="1" applyFill="1" applyBorder="1" applyAlignment="1">
      <alignment horizontal="center"/>
    </xf>
    <xf numFmtId="0" fontId="6" fillId="6" borderId="84" xfId="0" applyFont="1" applyFill="1" applyBorder="1" applyAlignment="1">
      <alignment horizontal="center"/>
    </xf>
    <xf numFmtId="38" fontId="5" fillId="6" borderId="0" xfId="1" applyNumberFormat="1" applyFont="1" applyFill="1" applyBorder="1"/>
    <xf numFmtId="38" fontId="5" fillId="6" borderId="3" xfId="1" applyNumberFormat="1" applyFont="1" applyFill="1" applyBorder="1"/>
    <xf numFmtId="38" fontId="5" fillId="6" borderId="8" xfId="1" applyNumberFormat="1" applyFont="1" applyFill="1" applyBorder="1"/>
    <xf numFmtId="0" fontId="6" fillId="6" borderId="0" xfId="0" applyFont="1" applyFill="1" applyBorder="1" applyAlignment="1">
      <alignment horizontal="center"/>
    </xf>
    <xf numFmtId="0" fontId="6" fillId="6" borderId="3" xfId="0" applyFont="1" applyFill="1" applyBorder="1" applyAlignment="1">
      <alignment horizontal="center"/>
    </xf>
    <xf numFmtId="0" fontId="6" fillId="6" borderId="8" xfId="0" applyFont="1" applyFill="1" applyBorder="1" applyAlignment="1">
      <alignment horizontal="center"/>
    </xf>
    <xf numFmtId="38" fontId="4" fillId="6" borderId="0" xfId="1" applyNumberFormat="1" applyFont="1" applyFill="1" applyBorder="1"/>
    <xf numFmtId="38" fontId="4" fillId="6" borderId="8" xfId="1" applyNumberFormat="1" applyFont="1" applyFill="1" applyBorder="1"/>
    <xf numFmtId="0" fontId="7" fillId="6" borderId="0" xfId="0" applyFont="1" applyFill="1" applyBorder="1" applyAlignment="1" applyProtection="1">
      <protection locked="0"/>
    </xf>
    <xf numFmtId="38" fontId="5" fillId="6" borderId="5" xfId="1" applyNumberFormat="1" applyFont="1" applyFill="1" applyBorder="1"/>
    <xf numFmtId="38" fontId="5" fillId="6" borderId="77" xfId="1" applyNumberFormat="1" applyFont="1" applyFill="1" applyBorder="1"/>
    <xf numFmtId="38" fontId="6" fillId="6" borderId="75" xfId="1" applyNumberFormat="1" applyFont="1" applyFill="1" applyBorder="1"/>
    <xf numFmtId="38" fontId="6" fillId="6" borderId="73" xfId="1" applyNumberFormat="1" applyFont="1" applyFill="1" applyBorder="1"/>
    <xf numFmtId="38" fontId="6" fillId="6" borderId="0" xfId="0" applyNumberFormat="1" applyFont="1" applyFill="1"/>
    <xf numFmtId="9" fontId="45" fillId="0" borderId="3" xfId="0" applyNumberFormat="1" applyFont="1" applyBorder="1"/>
    <xf numFmtId="9" fontId="45" fillId="0" borderId="4" xfId="0" applyNumberFormat="1" applyFont="1" applyBorder="1"/>
    <xf numFmtId="9" fontId="45" fillId="0" borderId="16" xfId="0" applyNumberFormat="1" applyFont="1" applyBorder="1"/>
    <xf numFmtId="9" fontId="45" fillId="0" borderId="3" xfId="4" applyNumberFormat="1" applyFont="1" applyBorder="1"/>
    <xf numFmtId="9" fontId="46" fillId="0" borderId="3" xfId="4" applyNumberFormat="1" applyFont="1" applyBorder="1"/>
    <xf numFmtId="9" fontId="45" fillId="0" borderId="4" xfId="4" applyNumberFormat="1" applyFont="1" applyBorder="1"/>
    <xf numFmtId="9" fontId="45" fillId="0" borderId="16" xfId="4" applyNumberFormat="1" applyFont="1" applyBorder="1"/>
    <xf numFmtId="3" fontId="4" fillId="0" borderId="0" xfId="0" applyNumberFormat="1" applyFont="1" applyBorder="1"/>
    <xf numFmtId="168" fontId="6" fillId="0" borderId="0" xfId="0" applyNumberFormat="1" applyFont="1" applyBorder="1" applyAlignment="1">
      <alignment horizontal="center"/>
    </xf>
    <xf numFmtId="168" fontId="2" fillId="0" borderId="101" xfId="0" applyNumberFormat="1" applyFont="1" applyFill="1" applyBorder="1"/>
    <xf numFmtId="168" fontId="2" fillId="6" borderId="3" xfId="0" applyNumberFormat="1" applyFont="1" applyFill="1" applyBorder="1" applyAlignment="1">
      <alignment horizontal="right"/>
    </xf>
    <xf numFmtId="168" fontId="2" fillId="6" borderId="3" xfId="0" applyNumberFormat="1" applyFont="1" applyFill="1" applyBorder="1"/>
    <xf numFmtId="0" fontId="28" fillId="0" borderId="0" xfId="0" applyFont="1" applyFill="1"/>
    <xf numFmtId="168" fontId="4" fillId="10" borderId="0" xfId="0" applyNumberFormat="1" applyFont="1" applyFill="1"/>
    <xf numFmtId="3" fontId="0" fillId="0" borderId="3" xfId="0" applyNumberFormat="1" applyFill="1" applyBorder="1" applyAlignment="1">
      <alignment horizontal="right"/>
    </xf>
    <xf numFmtId="168" fontId="5" fillId="0" borderId="123" xfId="0" applyNumberFormat="1" applyFont="1" applyFill="1" applyBorder="1" applyAlignment="1">
      <alignment horizontal="left"/>
    </xf>
    <xf numFmtId="168" fontId="2" fillId="0" borderId="9" xfId="0" applyNumberFormat="1" applyFont="1" applyFill="1" applyBorder="1" applyAlignment="1">
      <alignment horizontal="left"/>
    </xf>
    <xf numFmtId="49" fontId="4" fillId="0" borderId="80" xfId="0" applyNumberFormat="1" applyFont="1" applyFill="1" applyBorder="1" applyAlignment="1">
      <alignment horizontal="left"/>
    </xf>
    <xf numFmtId="168" fontId="4" fillId="0" borderId="80" xfId="0" applyNumberFormat="1" applyFont="1" applyFill="1" applyBorder="1" applyAlignment="1">
      <alignment horizontal="left"/>
    </xf>
    <xf numFmtId="49" fontId="5" fillId="0" borderId="80" xfId="0" applyNumberFormat="1" applyFont="1" applyFill="1" applyBorder="1" applyAlignment="1">
      <alignment horizontal="left"/>
    </xf>
    <xf numFmtId="168" fontId="5" fillId="0" borderId="80" xfId="0" applyNumberFormat="1" applyFont="1" applyFill="1" applyBorder="1" applyAlignment="1">
      <alignment horizontal="left"/>
    </xf>
    <xf numFmtId="168" fontId="6" fillId="0" borderId="181" xfId="0" applyNumberFormat="1" applyFont="1" applyFill="1" applyBorder="1" applyAlignment="1">
      <alignment horizontal="left"/>
    </xf>
    <xf numFmtId="49" fontId="4" fillId="0" borderId="7" xfId="0" applyNumberFormat="1" applyFont="1" applyFill="1" applyBorder="1" applyAlignment="1">
      <alignment horizontal="left"/>
    </xf>
    <xf numFmtId="168" fontId="6" fillId="0" borderId="131" xfId="0" applyNumberFormat="1" applyFont="1" applyFill="1" applyBorder="1" applyAlignment="1">
      <alignment horizontal="left"/>
    </xf>
    <xf numFmtId="168" fontId="5" fillId="0" borderId="7" xfId="0" applyNumberFormat="1" applyFont="1" applyFill="1" applyBorder="1" applyAlignment="1">
      <alignment horizontal="left"/>
    </xf>
    <xf numFmtId="168" fontId="6" fillId="0" borderId="7" xfId="0" applyNumberFormat="1" applyFont="1" applyFill="1" applyBorder="1" applyAlignment="1">
      <alignment horizontal="left"/>
    </xf>
    <xf numFmtId="168" fontId="12" fillId="0" borderId="7" xfId="0" applyNumberFormat="1" applyFont="1" applyFill="1" applyBorder="1" applyAlignment="1">
      <alignment horizontal="left"/>
    </xf>
    <xf numFmtId="168" fontId="7" fillId="0" borderId="7" xfId="0" applyNumberFormat="1" applyFont="1" applyFill="1" applyBorder="1" applyAlignment="1">
      <alignment horizontal="left"/>
    </xf>
    <xf numFmtId="168" fontId="13" fillId="0" borderId="7" xfId="0" applyNumberFormat="1" applyFont="1" applyFill="1" applyBorder="1" applyAlignment="1">
      <alignment horizontal="left"/>
    </xf>
    <xf numFmtId="49" fontId="5" fillId="0" borderId="7" xfId="0" applyNumberFormat="1" applyFont="1" applyFill="1" applyBorder="1" applyAlignment="1">
      <alignment horizontal="left"/>
    </xf>
    <xf numFmtId="168" fontId="12" fillId="0" borderId="134" xfId="0" applyNumberFormat="1" applyFont="1" applyFill="1" applyBorder="1" applyAlignment="1">
      <alignment horizontal="left"/>
    </xf>
    <xf numFmtId="168" fontId="12" fillId="0" borderId="0" xfId="0" applyNumberFormat="1" applyFont="1" applyFill="1" applyBorder="1" applyAlignment="1">
      <alignment horizontal="left"/>
    </xf>
    <xf numFmtId="168" fontId="6" fillId="0" borderId="9" xfId="0" applyNumberFormat="1" applyFont="1" applyFill="1" applyBorder="1" applyAlignment="1">
      <alignment horizontal="left"/>
    </xf>
    <xf numFmtId="168" fontId="4" fillId="0" borderId="7" xfId="0" applyNumberFormat="1" applyFont="1" applyFill="1" applyBorder="1" applyAlignment="1">
      <alignment horizontal="left"/>
    </xf>
    <xf numFmtId="49" fontId="0" fillId="0" borderId="0" xfId="0" applyNumberFormat="1" applyBorder="1" applyAlignment="1">
      <alignment horizontal="left"/>
    </xf>
    <xf numFmtId="49" fontId="4" fillId="0" borderId="0" xfId="0" applyNumberFormat="1" applyFont="1" applyBorder="1" applyAlignment="1">
      <alignment horizontal="left"/>
    </xf>
    <xf numFmtId="168" fontId="5" fillId="0" borderId="0" xfId="0" applyNumberFormat="1" applyFont="1" applyFill="1" applyAlignment="1">
      <alignment horizontal="left"/>
    </xf>
    <xf numFmtId="168" fontId="5" fillId="0" borderId="6" xfId="0" applyNumberFormat="1" applyFont="1" applyFill="1" applyBorder="1" applyAlignment="1">
      <alignment horizontal="left"/>
    </xf>
    <xf numFmtId="49" fontId="4" fillId="0" borderId="0" xfId="0" applyNumberFormat="1" applyFont="1" applyFill="1" applyBorder="1" applyAlignment="1">
      <alignment horizontal="left"/>
    </xf>
    <xf numFmtId="168" fontId="4" fillId="0" borderId="49" xfId="0" applyNumberFormat="1" applyFont="1" applyFill="1" applyBorder="1" applyAlignment="1">
      <alignment horizontal="left"/>
    </xf>
    <xf numFmtId="168" fontId="5" fillId="0" borderId="123" xfId="0" applyNumberFormat="1" applyFont="1" applyFill="1" applyBorder="1" applyAlignment="1"/>
    <xf numFmtId="168" fontId="2" fillId="0" borderId="9" xfId="0" applyNumberFormat="1" applyFont="1" applyFill="1" applyBorder="1" applyAlignment="1"/>
    <xf numFmtId="49" fontId="4" fillId="0" borderId="80" xfId="0" applyNumberFormat="1" applyFont="1" applyFill="1" applyBorder="1" applyAlignment="1"/>
    <xf numFmtId="168" fontId="6" fillId="0" borderId="80" xfId="0" applyNumberFormat="1" applyFont="1" applyFill="1" applyBorder="1" applyAlignment="1"/>
    <xf numFmtId="168" fontId="4" fillId="0" borderId="80" xfId="0" applyNumberFormat="1" applyFont="1" applyFill="1" applyBorder="1" applyAlignment="1"/>
    <xf numFmtId="49" fontId="5" fillId="0" borderId="80" xfId="0" applyNumberFormat="1" applyFont="1" applyFill="1" applyBorder="1" applyAlignment="1"/>
    <xf numFmtId="168" fontId="5" fillId="0" borderId="80" xfId="0" applyNumberFormat="1" applyFont="1" applyFill="1" applyBorder="1" applyAlignment="1"/>
    <xf numFmtId="168" fontId="6" fillId="0" borderId="181" xfId="0" applyNumberFormat="1" applyFont="1" applyFill="1" applyBorder="1" applyAlignment="1"/>
    <xf numFmtId="49" fontId="4" fillId="0" borderId="7" xfId="0" applyNumberFormat="1" applyFont="1" applyFill="1" applyBorder="1" applyAlignment="1"/>
    <xf numFmtId="168" fontId="6" fillId="0" borderId="131" xfId="0" applyNumberFormat="1" applyFont="1" applyFill="1" applyBorder="1" applyAlignment="1"/>
    <xf numFmtId="168" fontId="6" fillId="0" borderId="7" xfId="0" applyNumberFormat="1" applyFont="1" applyFill="1" applyBorder="1" applyAlignment="1"/>
    <xf numFmtId="168" fontId="12" fillId="0" borderId="7" xfId="0" applyNumberFormat="1" applyFont="1" applyFill="1" applyBorder="1" applyAlignment="1"/>
    <xf numFmtId="168" fontId="7" fillId="0" borderId="7" xfId="0" applyNumberFormat="1" applyFont="1" applyFill="1" applyBorder="1" applyAlignment="1"/>
    <xf numFmtId="168" fontId="13" fillId="0" borderId="7" xfId="0" applyNumberFormat="1" applyFont="1" applyFill="1" applyBorder="1" applyAlignment="1"/>
    <xf numFmtId="49" fontId="5" fillId="0" borderId="7" xfId="0" applyNumberFormat="1" applyFont="1" applyFill="1" applyBorder="1" applyAlignment="1"/>
    <xf numFmtId="168" fontId="12" fillId="0" borderId="134" xfId="0" applyNumberFormat="1" applyFont="1" applyFill="1" applyBorder="1" applyAlignment="1"/>
    <xf numFmtId="168" fontId="12" fillId="0" borderId="0" xfId="0" applyNumberFormat="1" applyFont="1" applyFill="1" applyBorder="1" applyAlignment="1"/>
    <xf numFmtId="168" fontId="6" fillId="0" borderId="9" xfId="0" applyNumberFormat="1" applyFont="1" applyFill="1" applyBorder="1" applyAlignment="1"/>
    <xf numFmtId="168" fontId="4" fillId="0" borderId="7" xfId="0" applyNumberFormat="1" applyFont="1" applyFill="1" applyBorder="1" applyAlignment="1"/>
    <xf numFmtId="49" fontId="0" fillId="0" borderId="0" xfId="0" applyNumberFormat="1" applyBorder="1" applyAlignment="1"/>
    <xf numFmtId="49" fontId="4" fillId="0" borderId="0" xfId="0" applyNumberFormat="1" applyFont="1" applyBorder="1" applyAlignment="1"/>
    <xf numFmtId="168" fontId="5" fillId="0" borderId="6" xfId="0" applyNumberFormat="1" applyFont="1" applyFill="1" applyBorder="1" applyAlignment="1"/>
    <xf numFmtId="168" fontId="4" fillId="0" borderId="129" xfId="0" applyNumberFormat="1" applyFont="1" applyFill="1" applyBorder="1" applyAlignment="1">
      <alignment horizontal="center"/>
    </xf>
    <xf numFmtId="168" fontId="4" fillId="3" borderId="117" xfId="0" applyNumberFormat="1" applyFont="1" applyFill="1" applyBorder="1" applyAlignment="1">
      <alignment horizontal="right"/>
    </xf>
    <xf numFmtId="0" fontId="4" fillId="15" borderId="0" xfId="0" applyFont="1" applyFill="1"/>
    <xf numFmtId="0" fontId="0" fillId="15" borderId="0" xfId="0" applyFill="1"/>
    <xf numFmtId="168" fontId="6" fillId="0" borderId="0" xfId="0" applyNumberFormat="1" applyFont="1" applyFill="1" applyBorder="1" applyAlignment="1">
      <alignment horizontal="center"/>
    </xf>
    <xf numFmtId="168" fontId="6" fillId="0" borderId="6" xfId="0" applyNumberFormat="1" applyFont="1" applyFill="1" applyBorder="1" applyAlignment="1">
      <alignment horizontal="center"/>
    </xf>
    <xf numFmtId="0" fontId="0" fillId="0" borderId="129" xfId="0" applyFill="1" applyBorder="1"/>
    <xf numFmtId="0" fontId="0" fillId="0" borderId="124" xfId="0" applyFill="1" applyBorder="1"/>
    <xf numFmtId="0" fontId="25" fillId="0" borderId="4" xfId="0" applyFont="1" applyFill="1" applyBorder="1" applyAlignment="1">
      <alignment horizontal="center"/>
    </xf>
    <xf numFmtId="3" fontId="27" fillId="0" borderId="0" xfId="0" applyNumberFormat="1" applyFont="1" applyFill="1" applyAlignment="1">
      <alignment horizontal="justify" vertical="center"/>
    </xf>
    <xf numFmtId="3" fontId="28" fillId="0" borderId="0" xfId="0" applyNumberFormat="1" applyFont="1" applyFill="1" applyAlignment="1">
      <alignment horizontal="justify" vertical="center"/>
    </xf>
    <xf numFmtId="49" fontId="4" fillId="0" borderId="0" xfId="0" applyNumberFormat="1" applyFont="1" applyFill="1" applyBorder="1" applyAlignment="1"/>
    <xf numFmtId="168" fontId="0" fillId="15" borderId="0" xfId="0" applyNumberFormat="1" applyFill="1"/>
    <xf numFmtId="169" fontId="4" fillId="0" borderId="0" xfId="0" applyNumberFormat="1" applyFont="1" applyBorder="1" applyAlignment="1">
      <alignment horizontal="left"/>
    </xf>
    <xf numFmtId="168" fontId="5" fillId="0" borderId="130" xfId="0" applyNumberFormat="1" applyFont="1" applyFill="1" applyBorder="1" applyAlignment="1">
      <alignment horizontal="left"/>
    </xf>
    <xf numFmtId="168" fontId="2" fillId="0" borderId="79" xfId="0" applyNumberFormat="1" applyFont="1" applyFill="1" applyBorder="1" applyAlignment="1">
      <alignment horizontal="left"/>
    </xf>
    <xf numFmtId="168" fontId="6" fillId="0" borderId="80" xfId="0" applyNumberFormat="1" applyFont="1" applyFill="1" applyBorder="1" applyAlignment="1">
      <alignment horizontal="left"/>
    </xf>
    <xf numFmtId="168" fontId="6" fillId="0" borderId="211" xfId="0" applyNumberFormat="1" applyFont="1" applyFill="1" applyBorder="1" applyAlignment="1">
      <alignment horizontal="left"/>
    </xf>
    <xf numFmtId="168" fontId="12" fillId="0" borderId="80" xfId="0" applyNumberFormat="1" applyFont="1" applyFill="1" applyBorder="1" applyAlignment="1">
      <alignment horizontal="left"/>
    </xf>
    <xf numFmtId="168" fontId="6" fillId="0" borderId="212" xfId="0" applyNumberFormat="1" applyFont="1" applyFill="1" applyBorder="1" applyAlignment="1">
      <alignment horizontal="left"/>
    </xf>
    <xf numFmtId="168" fontId="7" fillId="0" borderId="80" xfId="0" applyNumberFormat="1" applyFont="1" applyFill="1" applyBorder="1" applyAlignment="1">
      <alignment horizontal="left"/>
    </xf>
    <xf numFmtId="168" fontId="13" fillId="0" borderId="80" xfId="0" applyNumberFormat="1" applyFont="1" applyFill="1" applyBorder="1" applyAlignment="1">
      <alignment horizontal="left"/>
    </xf>
    <xf numFmtId="168" fontId="12" fillId="0" borderId="213" xfId="0" applyNumberFormat="1" applyFont="1" applyFill="1" applyBorder="1" applyAlignment="1">
      <alignment horizontal="left"/>
    </xf>
    <xf numFmtId="168" fontId="6" fillId="0" borderId="79" xfId="0" applyNumberFormat="1" applyFont="1" applyFill="1" applyBorder="1" applyAlignment="1">
      <alignment horizontal="left"/>
    </xf>
    <xf numFmtId="168" fontId="4" fillId="11" borderId="80" xfId="0" applyNumberFormat="1" applyFont="1" applyFill="1" applyBorder="1" applyAlignment="1">
      <alignment horizontal="left"/>
    </xf>
    <xf numFmtId="168" fontId="5" fillId="0" borderId="9" xfId="0" applyNumberFormat="1" applyFont="1" applyFill="1" applyBorder="1" applyAlignment="1"/>
    <xf numFmtId="168" fontId="5" fillId="0" borderId="9" xfId="0" applyNumberFormat="1" applyFont="1" applyFill="1" applyBorder="1" applyAlignment="1">
      <alignment horizontal="left"/>
    </xf>
    <xf numFmtId="168" fontId="5" fillId="0" borderId="79" xfId="0" applyNumberFormat="1" applyFont="1" applyFill="1" applyBorder="1" applyAlignment="1">
      <alignment horizontal="left"/>
    </xf>
    <xf numFmtId="168" fontId="2" fillId="0" borderId="0" xfId="0" applyNumberFormat="1" applyFont="1" applyBorder="1" applyAlignment="1">
      <alignment horizontal="center"/>
    </xf>
    <xf numFmtId="0" fontId="2" fillId="0" borderId="22" xfId="0" applyFont="1" applyBorder="1" applyAlignment="1">
      <alignment horizontal="center"/>
    </xf>
    <xf numFmtId="169" fontId="0" fillId="0" borderId="0" xfId="0" applyNumberFormat="1" applyBorder="1" applyAlignment="1">
      <alignment horizontal="center"/>
    </xf>
    <xf numFmtId="168" fontId="2" fillId="0" borderId="14" xfId="0" applyNumberFormat="1" applyFont="1" applyBorder="1" applyAlignment="1">
      <alignment horizontal="center"/>
    </xf>
    <xf numFmtId="168" fontId="2" fillId="16" borderId="69" xfId="0" applyNumberFormat="1" applyFont="1" applyFill="1" applyBorder="1" applyAlignment="1">
      <alignment horizontal="center"/>
    </xf>
    <xf numFmtId="168" fontId="0" fillId="16" borderId="0" xfId="0" applyNumberFormat="1" applyFill="1" applyBorder="1" applyAlignment="1">
      <alignment horizontal="center"/>
    </xf>
    <xf numFmtId="168" fontId="2" fillId="16" borderId="0" xfId="0" applyNumberFormat="1" applyFont="1" applyFill="1" applyBorder="1" applyAlignment="1">
      <alignment horizontal="center"/>
    </xf>
    <xf numFmtId="168" fontId="5" fillId="16" borderId="3" xfId="0" applyNumberFormat="1" applyFont="1" applyFill="1" applyBorder="1" applyAlignment="1">
      <alignment horizontal="right"/>
    </xf>
    <xf numFmtId="168" fontId="0" fillId="16" borderId="3" xfId="0" applyNumberFormat="1" applyFill="1" applyBorder="1" applyAlignment="1">
      <alignment horizontal="right"/>
    </xf>
    <xf numFmtId="168" fontId="2" fillId="16" borderId="3" xfId="0" applyNumberFormat="1" applyFont="1" applyFill="1" applyBorder="1" applyAlignment="1">
      <alignment horizontal="right"/>
    </xf>
    <xf numFmtId="168" fontId="4" fillId="16" borderId="0" xfId="0" applyNumberFormat="1" applyFont="1" applyFill="1" applyBorder="1"/>
    <xf numFmtId="168" fontId="4" fillId="16" borderId="4" xfId="0" applyNumberFormat="1" applyFont="1" applyFill="1" applyBorder="1"/>
    <xf numFmtId="168" fontId="0" fillId="14" borderId="0" xfId="0" applyNumberFormat="1" applyFill="1"/>
    <xf numFmtId="168" fontId="4" fillId="6" borderId="0" xfId="0" applyNumberFormat="1" applyFont="1" applyFill="1" applyBorder="1"/>
    <xf numFmtId="49" fontId="4" fillId="0" borderId="0" xfId="0" applyNumberFormat="1" applyFont="1" applyFill="1" applyBorder="1" applyAlignment="1">
      <alignment horizontal="center"/>
    </xf>
    <xf numFmtId="168" fontId="0" fillId="17" borderId="3" xfId="0" applyNumberFormat="1" applyFill="1" applyBorder="1" applyAlignment="1">
      <alignment horizontal="right"/>
    </xf>
    <xf numFmtId="168" fontId="6" fillId="0" borderId="3" xfId="0" quotePrefix="1" applyNumberFormat="1" applyFont="1" applyFill="1" applyBorder="1" applyAlignment="1">
      <alignment horizontal="center" wrapText="1"/>
    </xf>
    <xf numFmtId="168" fontId="27" fillId="0" borderId="2" xfId="0" quotePrefix="1" applyNumberFormat="1" applyFont="1" applyFill="1" applyBorder="1" applyAlignment="1">
      <alignment horizontal="center"/>
    </xf>
    <xf numFmtId="168" fontId="27" fillId="0" borderId="27" xfId="0" quotePrefix="1" applyNumberFormat="1" applyFont="1" applyFill="1" applyBorder="1" applyAlignment="1">
      <alignment horizontal="center" wrapText="1"/>
    </xf>
    <xf numFmtId="168" fontId="2" fillId="0" borderId="75" xfId="0" applyNumberFormat="1" applyFont="1" applyFill="1" applyBorder="1"/>
    <xf numFmtId="168" fontId="2" fillId="0" borderId="0" xfId="0" applyNumberFormat="1" applyFont="1" applyFill="1" applyAlignment="1"/>
    <xf numFmtId="168" fontId="5" fillId="0" borderId="17" xfId="0" applyNumberFormat="1" applyFont="1" applyBorder="1"/>
    <xf numFmtId="0" fontId="2" fillId="0" borderId="37" xfId="0" applyNumberFormat="1" applyFont="1" applyBorder="1" applyAlignment="1">
      <alignment horizontal="center"/>
    </xf>
    <xf numFmtId="0" fontId="2" fillId="0" borderId="22" xfId="0" quotePrefix="1" applyNumberFormat="1" applyFont="1" applyBorder="1" applyAlignment="1">
      <alignment horizontal="center"/>
    </xf>
    <xf numFmtId="0" fontId="6" fillId="0" borderId="15" xfId="0" quotePrefix="1" applyNumberFormat="1" applyFont="1" applyBorder="1" applyAlignment="1">
      <alignment horizontal="center"/>
    </xf>
    <xf numFmtId="0" fontId="4" fillId="0" borderId="15" xfId="0" applyNumberFormat="1" applyFont="1" applyBorder="1" applyAlignment="1">
      <alignment horizontal="center"/>
    </xf>
    <xf numFmtId="168" fontId="5" fillId="0" borderId="21" xfId="0" applyNumberFormat="1" applyFont="1" applyFill="1" applyBorder="1" applyAlignment="1">
      <alignment horizontal="center"/>
    </xf>
    <xf numFmtId="168" fontId="6" fillId="0" borderId="29" xfId="0" quotePrefix="1" applyNumberFormat="1" applyFont="1" applyFill="1" applyBorder="1" applyAlignment="1">
      <alignment horizontal="left"/>
    </xf>
    <xf numFmtId="168" fontId="6" fillId="0" borderId="11" xfId="0" quotePrefix="1" applyNumberFormat="1" applyFont="1" applyFill="1" applyBorder="1" applyAlignment="1">
      <alignment horizontal="left"/>
    </xf>
    <xf numFmtId="38" fontId="4" fillId="0" borderId="4" xfId="0" applyNumberFormat="1" applyFont="1" applyFill="1" applyBorder="1"/>
    <xf numFmtId="0" fontId="4" fillId="6" borderId="34" xfId="0" applyFont="1" applyFill="1" applyBorder="1" applyAlignment="1">
      <alignment horizontal="left"/>
    </xf>
    <xf numFmtId="0" fontId="4" fillId="6" borderId="34" xfId="0" applyFont="1" applyFill="1" applyBorder="1"/>
    <xf numFmtId="168" fontId="0" fillId="0" borderId="15" xfId="1" applyNumberFormat="1" applyFont="1" applyBorder="1" applyAlignment="1">
      <alignment horizontal="right"/>
    </xf>
    <xf numFmtId="0" fontId="0" fillId="0" borderId="117" xfId="0" applyBorder="1"/>
    <xf numFmtId="168" fontId="48" fillId="16" borderId="0" xfId="0" applyNumberFormat="1" applyFont="1" applyFill="1" applyBorder="1"/>
    <xf numFmtId="168" fontId="5" fillId="0" borderId="15" xfId="0" applyNumberFormat="1" applyFont="1" applyFill="1" applyBorder="1" applyAlignment="1">
      <alignment horizontal="right"/>
    </xf>
    <xf numFmtId="168" fontId="2" fillId="0" borderId="87" xfId="0" applyNumberFormat="1" applyFont="1" applyFill="1" applyBorder="1" applyAlignment="1">
      <alignment horizontal="center"/>
    </xf>
    <xf numFmtId="9" fontId="5" fillId="0" borderId="34" xfId="4" applyFont="1" applyFill="1" applyBorder="1"/>
    <xf numFmtId="9" fontId="4" fillId="0" borderId="34" xfId="4" applyFont="1" applyFill="1" applyBorder="1"/>
    <xf numFmtId="9" fontId="5" fillId="0" borderId="97" xfId="4" applyFont="1" applyFill="1" applyBorder="1"/>
    <xf numFmtId="168" fontId="2" fillId="0" borderId="68" xfId="0" applyNumberFormat="1" applyFont="1" applyBorder="1" applyAlignment="1">
      <alignment horizontal="center"/>
    </xf>
    <xf numFmtId="0" fontId="2" fillId="0" borderId="34" xfId="0" applyFont="1" applyBorder="1" applyAlignment="1">
      <alignment horizontal="center"/>
    </xf>
    <xf numFmtId="0" fontId="2" fillId="0" borderId="0" xfId="0" applyFont="1" applyBorder="1" applyAlignment="1">
      <alignment horizontal="center"/>
    </xf>
    <xf numFmtId="168" fontId="2" fillId="0" borderId="0" xfId="0" applyNumberFormat="1" applyFont="1" applyBorder="1" applyAlignment="1">
      <alignment horizontal="center"/>
    </xf>
    <xf numFmtId="168" fontId="2" fillId="0" borderId="0" xfId="0" applyNumberFormat="1" applyFont="1" applyAlignment="1">
      <alignment horizontal="center"/>
    </xf>
    <xf numFmtId="38" fontId="4" fillId="0" borderId="0" xfId="0" applyNumberFormat="1" applyFont="1" applyFill="1"/>
    <xf numFmtId="168" fontId="2" fillId="0" borderId="4" xfId="0" applyNumberFormat="1" applyFont="1" applyFill="1" applyBorder="1" applyAlignment="1"/>
    <xf numFmtId="168" fontId="2" fillId="0" borderId="16" xfId="0" applyNumberFormat="1" applyFont="1" applyFill="1" applyBorder="1" applyAlignment="1"/>
    <xf numFmtId="9" fontId="5" fillId="0" borderId="16" xfId="4" applyFont="1" applyFill="1" applyBorder="1" applyAlignment="1">
      <alignment horizontal="center"/>
    </xf>
    <xf numFmtId="9" fontId="4" fillId="0" borderId="0" xfId="4" applyFont="1" applyAlignment="1">
      <alignment horizontal="center"/>
    </xf>
    <xf numFmtId="0" fontId="0" fillId="0" borderId="133" xfId="0" applyBorder="1" applyAlignment="1">
      <alignment horizontal="center"/>
    </xf>
    <xf numFmtId="0" fontId="0" fillId="0" borderId="38" xfId="0" applyBorder="1" applyAlignment="1">
      <alignment horizontal="center"/>
    </xf>
    <xf numFmtId="0" fontId="0" fillId="0" borderId="34" xfId="0" applyBorder="1" applyAlignment="1">
      <alignment horizontal="center"/>
    </xf>
    <xf numFmtId="0" fontId="2" fillId="0" borderId="0" xfId="0" applyFont="1" applyBorder="1" applyAlignment="1">
      <alignment horizontal="left"/>
    </xf>
    <xf numFmtId="0" fontId="2" fillId="0" borderId="0" xfId="0" quotePrefix="1" applyFont="1" applyBorder="1" applyAlignment="1">
      <alignment horizontal="left"/>
    </xf>
    <xf numFmtId="0" fontId="4" fillId="0" borderId="0" xfId="0" quotePrefix="1" applyFont="1" applyBorder="1" applyAlignment="1">
      <alignment horizontal="left"/>
    </xf>
    <xf numFmtId="0" fontId="0" fillId="0" borderId="0" xfId="0" quotePrefix="1" applyBorder="1" applyAlignment="1">
      <alignment horizontal="left"/>
    </xf>
    <xf numFmtId="0" fontId="2" fillId="0" borderId="4" xfId="0" applyFont="1" applyBorder="1" applyAlignment="1">
      <alignment horizontal="left"/>
    </xf>
    <xf numFmtId="0" fontId="0" fillId="0" borderId="97" xfId="0" applyBorder="1" applyAlignment="1">
      <alignment horizontal="center"/>
    </xf>
    <xf numFmtId="0" fontId="0" fillId="0" borderId="5" xfId="0" applyBorder="1" applyAlignment="1">
      <alignment horizontal="center"/>
    </xf>
    <xf numFmtId="3" fontId="2" fillId="0" borderId="199" xfId="0" applyNumberFormat="1" applyFont="1" applyBorder="1" applyAlignment="1">
      <alignment horizontal="center"/>
    </xf>
    <xf numFmtId="3" fontId="2" fillId="0" borderId="16" xfId="0" applyNumberFormat="1" applyFont="1" applyBorder="1"/>
    <xf numFmtId="0" fontId="4" fillId="0" borderId="0" xfId="0" applyFont="1" applyBorder="1" applyAlignment="1">
      <alignment horizontal="center"/>
    </xf>
    <xf numFmtId="3" fontId="4" fillId="0" borderId="16" xfId="0" applyNumberFormat="1" applyFont="1" applyBorder="1"/>
    <xf numFmtId="167" fontId="4" fillId="0" borderId="15" xfId="4" applyNumberFormat="1" applyFont="1" applyBorder="1" applyAlignment="1">
      <alignment horizontal="right"/>
    </xf>
    <xf numFmtId="167" fontId="0" fillId="0" borderId="3" xfId="4" applyNumberFormat="1" applyFont="1" applyBorder="1" applyAlignment="1">
      <alignment horizontal="right"/>
    </xf>
    <xf numFmtId="167" fontId="0" fillId="0" borderId="16" xfId="4" applyNumberFormat="1" applyFont="1" applyBorder="1" applyAlignment="1">
      <alignment horizontal="right"/>
    </xf>
    <xf numFmtId="168" fontId="0" fillId="3" borderId="16" xfId="0" applyNumberFormat="1" applyFill="1" applyBorder="1"/>
    <xf numFmtId="168" fontId="2" fillId="0" borderId="60" xfId="0" applyNumberFormat="1" applyFont="1" applyBorder="1"/>
    <xf numFmtId="0" fontId="2" fillId="0" borderId="69" xfId="0" quotePrefix="1" applyFont="1" applyBorder="1" applyAlignment="1">
      <alignment horizontal="center"/>
    </xf>
    <xf numFmtId="168" fontId="2" fillId="0" borderId="38" xfId="0" applyNumberFormat="1" applyFont="1" applyBorder="1"/>
    <xf numFmtId="168" fontId="5" fillId="0" borderId="36" xfId="0" applyNumberFormat="1" applyFont="1" applyBorder="1"/>
    <xf numFmtId="168" fontId="2" fillId="0" borderId="19" xfId="0" applyNumberFormat="1" applyFont="1" applyBorder="1"/>
    <xf numFmtId="168" fontId="2" fillId="0" borderId="40" xfId="0" applyNumberFormat="1" applyFont="1" applyBorder="1" applyAlignment="1">
      <alignment horizontal="center"/>
    </xf>
    <xf numFmtId="168" fontId="2" fillId="0" borderId="63" xfId="0" applyNumberFormat="1" applyFont="1" applyBorder="1" applyAlignment="1">
      <alignment horizontal="center"/>
    </xf>
    <xf numFmtId="168" fontId="2" fillId="0" borderId="36" xfId="0" applyNumberFormat="1" applyFont="1" applyBorder="1" applyAlignment="1">
      <alignment horizontal="center"/>
    </xf>
    <xf numFmtId="168" fontId="2" fillId="0" borderId="39" xfId="0" applyNumberFormat="1" applyFont="1" applyBorder="1" applyAlignment="1">
      <alignment horizontal="center"/>
    </xf>
    <xf numFmtId="168" fontId="2" fillId="0" borderId="32" xfId="0" applyNumberFormat="1" applyFont="1" applyBorder="1" applyAlignment="1">
      <alignment horizontal="center"/>
    </xf>
    <xf numFmtId="167" fontId="2" fillId="0" borderId="11" xfId="4" applyNumberFormat="1" applyFont="1" applyBorder="1" applyAlignment="1">
      <alignment horizontal="center"/>
    </xf>
    <xf numFmtId="167" fontId="2" fillId="0" borderId="19" xfId="4" applyNumberFormat="1" applyFont="1" applyBorder="1" applyAlignment="1">
      <alignment horizontal="center"/>
    </xf>
    <xf numFmtId="167" fontId="2" fillId="0" borderId="20" xfId="4" applyNumberFormat="1" applyFont="1" applyBorder="1" applyAlignment="1">
      <alignment horizontal="center"/>
    </xf>
    <xf numFmtId="168" fontId="6" fillId="0" borderId="192" xfId="0" quotePrefix="1" applyNumberFormat="1" applyFont="1" applyBorder="1" applyAlignment="1">
      <alignment horizontal="center"/>
    </xf>
    <xf numFmtId="168" fontId="6" fillId="0" borderId="0" xfId="0" applyNumberFormat="1" applyFont="1" applyFill="1" applyBorder="1" applyAlignment="1">
      <alignment horizontal="center"/>
    </xf>
    <xf numFmtId="168" fontId="6" fillId="0" borderId="38" xfId="0" applyNumberFormat="1" applyFont="1" applyFill="1" applyBorder="1" applyAlignment="1">
      <alignment horizontal="center"/>
    </xf>
    <xf numFmtId="168" fontId="6" fillId="0" borderId="0" xfId="0" applyNumberFormat="1" applyFont="1" applyFill="1" applyBorder="1" applyAlignment="1">
      <alignment horizontal="center"/>
    </xf>
    <xf numFmtId="168" fontId="6" fillId="0" borderId="30" xfId="0" applyNumberFormat="1" applyFont="1" applyFill="1" applyBorder="1" applyAlignment="1">
      <alignment horizontal="center"/>
    </xf>
    <xf numFmtId="168" fontId="2" fillId="0" borderId="36" xfId="0" applyNumberFormat="1" applyFont="1" applyFill="1" applyBorder="1" applyAlignment="1"/>
    <xf numFmtId="168" fontId="2" fillId="0" borderId="19" xfId="0" applyNumberFormat="1" applyFont="1" applyFill="1" applyBorder="1" applyAlignment="1"/>
    <xf numFmtId="168" fontId="5" fillId="0" borderId="11" xfId="0" applyNumberFormat="1" applyFont="1" applyFill="1" applyBorder="1" applyAlignment="1">
      <alignment horizontal="right"/>
    </xf>
    <xf numFmtId="168" fontId="2" fillId="0" borderId="30" xfId="0" applyNumberFormat="1" applyFont="1" applyFill="1" applyBorder="1" applyAlignment="1"/>
    <xf numFmtId="168" fontId="2" fillId="0" borderId="90" xfId="0" applyNumberFormat="1" applyFont="1" applyFill="1" applyBorder="1" applyAlignment="1"/>
    <xf numFmtId="168" fontId="6" fillId="0" borderId="116" xfId="0" applyNumberFormat="1" applyFont="1" applyFill="1" applyBorder="1" applyAlignment="1">
      <alignment horizontal="center"/>
    </xf>
    <xf numFmtId="168" fontId="2" fillId="0" borderId="18" xfId="0" quotePrefix="1" applyNumberFormat="1" applyFont="1" applyBorder="1" applyAlignment="1">
      <alignment horizontal="center" wrapText="1"/>
    </xf>
    <xf numFmtId="168" fontId="2" fillId="0" borderId="97" xfId="0" applyNumberFormat="1" applyFont="1" applyFill="1" applyBorder="1"/>
    <xf numFmtId="168" fontId="5" fillId="0" borderId="23" xfId="0" applyNumberFormat="1" applyFont="1" applyFill="1" applyBorder="1"/>
    <xf numFmtId="168" fontId="4" fillId="0" borderId="32" xfId="0" applyNumberFormat="1" applyFont="1" applyFill="1" applyBorder="1" applyAlignment="1">
      <alignment horizontal="center" vertical="center"/>
    </xf>
    <xf numFmtId="0" fontId="6" fillId="0" borderId="23" xfId="0" quotePrefix="1" applyNumberFormat="1" applyFont="1" applyBorder="1" applyAlignment="1">
      <alignment horizontal="center"/>
    </xf>
    <xf numFmtId="175" fontId="6" fillId="0" borderId="150" xfId="0" applyNumberFormat="1" applyFont="1" applyFill="1" applyBorder="1" applyAlignment="1">
      <alignment horizontal="center"/>
    </xf>
    <xf numFmtId="168" fontId="6" fillId="0" borderId="133" xfId="0" applyNumberFormat="1" applyFont="1" applyFill="1" applyBorder="1"/>
    <xf numFmtId="168" fontId="5" fillId="0" borderId="26" xfId="0" applyNumberFormat="1" applyFont="1" applyFill="1" applyBorder="1" applyAlignment="1">
      <alignment horizontal="right"/>
    </xf>
    <xf numFmtId="168" fontId="2" fillId="0" borderId="27" xfId="0" quotePrefix="1" applyNumberFormat="1" applyFont="1" applyFill="1" applyBorder="1" applyAlignment="1">
      <alignment horizontal="center" wrapText="1"/>
    </xf>
    <xf numFmtId="1" fontId="6" fillId="0" borderId="1" xfId="0" applyNumberFormat="1" applyFont="1" applyFill="1" applyBorder="1" applyAlignment="1">
      <alignment horizontal="center"/>
    </xf>
    <xf numFmtId="168" fontId="6" fillId="0" borderId="5" xfId="0" applyNumberFormat="1" applyFont="1" applyFill="1" applyBorder="1" applyAlignment="1"/>
    <xf numFmtId="170" fontId="5" fillId="0" borderId="4" xfId="0" applyNumberFormat="1" applyFont="1" applyFill="1" applyBorder="1" applyAlignment="1"/>
    <xf numFmtId="168" fontId="4" fillId="0" borderId="15" xfId="0" applyNumberFormat="1" applyFont="1" applyFill="1" applyBorder="1" applyAlignment="1"/>
    <xf numFmtId="168" fontId="5" fillId="0" borderId="28" xfId="0" applyNumberFormat="1" applyFont="1" applyFill="1" applyBorder="1" applyAlignment="1"/>
    <xf numFmtId="168" fontId="6" fillId="0" borderId="93" xfId="0" applyNumberFormat="1" applyFont="1" applyBorder="1" applyAlignment="1">
      <alignment horizontal="center"/>
    </xf>
    <xf numFmtId="168" fontId="6" fillId="0" borderId="0" xfId="0" applyNumberFormat="1" applyFont="1" applyFill="1" applyBorder="1" applyAlignment="1">
      <alignment horizontal="center"/>
    </xf>
    <xf numFmtId="168" fontId="6" fillId="0" borderId="2" xfId="0" applyNumberFormat="1" applyFont="1" applyFill="1" applyBorder="1" applyAlignment="1">
      <alignment horizontal="center"/>
    </xf>
    <xf numFmtId="168" fontId="5" fillId="0" borderId="15" xfId="0" applyNumberFormat="1" applyFont="1" applyFill="1" applyBorder="1" applyAlignment="1"/>
    <xf numFmtId="168" fontId="6" fillId="0" borderId="37" xfId="0" applyNumberFormat="1" applyFont="1" applyFill="1" applyBorder="1" applyAlignment="1"/>
    <xf numFmtId="168" fontId="6" fillId="0" borderId="15" xfId="0" applyNumberFormat="1" applyFont="1" applyFill="1" applyBorder="1" applyAlignment="1"/>
    <xf numFmtId="0" fontId="25" fillId="0" borderId="3" xfId="0" applyFont="1" applyBorder="1" applyAlignment="1">
      <alignment horizontal="center"/>
    </xf>
    <xf numFmtId="168" fontId="6" fillId="0" borderId="22" xfId="0" quotePrefix="1" applyNumberFormat="1" applyFont="1" applyFill="1" applyBorder="1" applyAlignment="1">
      <alignment horizontal="center"/>
    </xf>
    <xf numFmtId="1" fontId="6" fillId="0" borderId="3" xfId="0" applyNumberFormat="1" applyFont="1" applyFill="1" applyBorder="1" applyAlignment="1">
      <alignment horizontal="center"/>
    </xf>
    <xf numFmtId="49" fontId="6" fillId="0" borderId="3" xfId="0" applyNumberFormat="1" applyFont="1" applyFill="1" applyBorder="1" applyAlignment="1">
      <alignment horizontal="center"/>
    </xf>
    <xf numFmtId="168" fontId="7" fillId="0" borderId="11" xfId="0" applyNumberFormat="1" applyFont="1" applyFill="1" applyBorder="1" applyAlignment="1">
      <alignment horizontal="center"/>
    </xf>
    <xf numFmtId="168" fontId="6" fillId="0" borderId="22" xfId="0" applyNumberFormat="1" applyFont="1" applyFill="1" applyBorder="1"/>
    <xf numFmtId="168" fontId="5" fillId="0" borderId="114" xfId="0" applyNumberFormat="1" applyFont="1" applyFill="1" applyBorder="1"/>
    <xf numFmtId="1" fontId="5" fillId="0" borderId="40" xfId="0" applyNumberFormat="1" applyFont="1" applyFill="1" applyBorder="1" applyAlignment="1">
      <alignment horizontal="center"/>
    </xf>
    <xf numFmtId="1" fontId="5" fillId="0" borderId="117" xfId="0" applyNumberFormat="1" applyFont="1" applyFill="1" applyBorder="1" applyAlignment="1">
      <alignment horizontal="center"/>
    </xf>
    <xf numFmtId="168" fontId="7" fillId="0" borderId="117" xfId="0" applyNumberFormat="1" applyFont="1" applyFill="1" applyBorder="1" applyAlignment="1">
      <alignment horizontal="left"/>
    </xf>
    <xf numFmtId="168" fontId="5" fillId="0" borderId="97" xfId="0" applyNumberFormat="1" applyFont="1" applyFill="1" applyBorder="1"/>
    <xf numFmtId="168" fontId="2" fillId="0" borderId="4" xfId="0" applyNumberFormat="1" applyFont="1" applyBorder="1" applyAlignment="1">
      <alignment horizontal="center"/>
    </xf>
    <xf numFmtId="168" fontId="2" fillId="0" borderId="16" xfId="0" applyNumberFormat="1" applyFont="1" applyBorder="1" applyAlignment="1">
      <alignment horizontal="center"/>
    </xf>
    <xf numFmtId="168" fontId="4" fillId="0" borderId="28" xfId="0" applyNumberFormat="1" applyFont="1" applyBorder="1" applyAlignment="1">
      <alignment horizontal="center"/>
    </xf>
    <xf numFmtId="168" fontId="2" fillId="0" borderId="28" xfId="0" applyNumberFormat="1" applyFont="1" applyBorder="1" applyAlignment="1">
      <alignment horizontal="center"/>
    </xf>
    <xf numFmtId="168" fontId="2" fillId="0" borderId="18" xfId="0" quotePrefix="1" applyNumberFormat="1" applyFont="1" applyFill="1" applyBorder="1" applyAlignment="1">
      <alignment horizontal="center" wrapText="1"/>
    </xf>
    <xf numFmtId="168" fontId="5" fillId="0" borderId="37" xfId="0" applyNumberFormat="1" applyFont="1" applyFill="1" applyBorder="1"/>
    <xf numFmtId="168" fontId="2" fillId="0" borderId="15" xfId="0" applyNumberFormat="1" applyFont="1" applyFill="1" applyBorder="1"/>
    <xf numFmtId="168" fontId="29" fillId="0" borderId="15" xfId="0" applyNumberFormat="1" applyFont="1" applyFill="1" applyBorder="1" applyAlignment="1">
      <alignment horizontal="left"/>
    </xf>
    <xf numFmtId="168" fontId="25" fillId="0" borderId="15" xfId="0" applyNumberFormat="1" applyFont="1" applyFill="1" applyBorder="1" applyAlignment="1">
      <alignment horizontal="left"/>
    </xf>
    <xf numFmtId="168" fontId="5" fillId="0" borderId="15" xfId="0" quotePrefix="1" applyNumberFormat="1" applyFont="1" applyFill="1" applyBorder="1" applyAlignment="1">
      <alignment horizontal="left"/>
    </xf>
    <xf numFmtId="0" fontId="5" fillId="0" borderId="15" xfId="0" applyFont="1" applyFill="1" applyBorder="1"/>
    <xf numFmtId="168" fontId="2" fillId="0" borderId="15" xfId="0" quotePrefix="1" applyNumberFormat="1" applyFont="1" applyFill="1" applyBorder="1" applyAlignment="1">
      <alignment horizontal="left"/>
    </xf>
    <xf numFmtId="168" fontId="2" fillId="0" borderId="93" xfId="0" applyNumberFormat="1" applyFont="1" applyFill="1" applyBorder="1" applyAlignment="1">
      <alignment horizontal="left"/>
    </xf>
    <xf numFmtId="0" fontId="4" fillId="0" borderId="93" xfId="0" applyNumberFormat="1" applyFont="1" applyFill="1" applyBorder="1" applyAlignment="1">
      <alignment horizontal="center"/>
    </xf>
    <xf numFmtId="167" fontId="5" fillId="0" borderId="3" xfId="4" applyNumberFormat="1" applyFont="1" applyBorder="1" applyAlignment="1">
      <alignment horizontal="center"/>
    </xf>
    <xf numFmtId="167" fontId="5" fillId="0" borderId="4" xfId="4" applyNumberFormat="1" applyFont="1" applyBorder="1" applyAlignment="1">
      <alignment horizontal="center"/>
    </xf>
    <xf numFmtId="167" fontId="5" fillId="0" borderId="16" xfId="4" applyNumberFormat="1" applyFont="1" applyBorder="1" applyAlignment="1">
      <alignment horizontal="center"/>
    </xf>
    <xf numFmtId="168" fontId="7" fillId="0" borderId="21" xfId="0" applyNumberFormat="1" applyFont="1" applyFill="1" applyBorder="1" applyAlignment="1">
      <alignment horizontal="left"/>
    </xf>
    <xf numFmtId="1" fontId="6" fillId="0" borderId="94" xfId="0" applyNumberFormat="1" applyFont="1" applyFill="1" applyBorder="1" applyAlignment="1">
      <alignment horizontal="center"/>
    </xf>
    <xf numFmtId="168" fontId="6" fillId="0" borderId="37" xfId="0" applyNumberFormat="1" applyFont="1" applyBorder="1" applyAlignment="1">
      <alignment horizontal="center"/>
    </xf>
    <xf numFmtId="168" fontId="6" fillId="0" borderId="1" xfId="0" applyNumberFormat="1" applyFont="1" applyBorder="1" applyAlignment="1">
      <alignment horizontal="center"/>
    </xf>
    <xf numFmtId="168" fontId="6" fillId="0" borderId="37" xfId="0" applyNumberFormat="1" applyFont="1" applyFill="1" applyBorder="1" applyAlignment="1">
      <alignment horizontal="center"/>
    </xf>
    <xf numFmtId="168" fontId="2" fillId="0" borderId="0" xfId="0" applyNumberFormat="1" applyFont="1" applyBorder="1" applyAlignment="1">
      <alignment horizontal="center"/>
    </xf>
    <xf numFmtId="168" fontId="2" fillId="0" borderId="192" xfId="0" quotePrefix="1" applyNumberFormat="1" applyFont="1" applyBorder="1" applyAlignment="1"/>
    <xf numFmtId="168" fontId="2" fillId="0" borderId="24" xfId="0" quotePrefix="1" applyNumberFormat="1" applyFont="1" applyBorder="1" applyAlignment="1"/>
    <xf numFmtId="168" fontId="6" fillId="0" borderId="37" xfId="0" applyNumberFormat="1" applyFont="1" applyBorder="1" applyAlignment="1"/>
    <xf numFmtId="168" fontId="6" fillId="0" borderId="30" xfId="0" applyNumberFormat="1" applyFont="1" applyBorder="1" applyAlignment="1"/>
    <xf numFmtId="168" fontId="6" fillId="0" borderId="1" xfId="0" applyNumberFormat="1" applyFont="1" applyFill="1" applyBorder="1" applyAlignment="1"/>
    <xf numFmtId="168" fontId="6" fillId="0" borderId="24" xfId="0" applyNumberFormat="1" applyFont="1" applyFill="1" applyBorder="1" applyAlignment="1"/>
    <xf numFmtId="166" fontId="0" fillId="0" borderId="0" xfId="0" applyNumberFormat="1"/>
    <xf numFmtId="167" fontId="45" fillId="0" borderId="3" xfId="4" applyNumberFormat="1" applyFont="1" applyBorder="1"/>
    <xf numFmtId="168" fontId="0" fillId="0" borderId="7" xfId="0" applyNumberFormat="1" applyBorder="1" applyAlignment="1">
      <alignment horizontal="right"/>
    </xf>
    <xf numFmtId="167" fontId="45" fillId="0" borderId="4" xfId="4" applyNumberFormat="1" applyFont="1" applyBorder="1"/>
    <xf numFmtId="167" fontId="45" fillId="0" borderId="16" xfId="4" applyNumberFormat="1" applyFont="1" applyBorder="1"/>
    <xf numFmtId="3" fontId="6" fillId="0" borderId="67" xfId="0" applyNumberFormat="1" applyFont="1" applyFill="1" applyBorder="1" applyAlignment="1">
      <alignment horizontal="center"/>
    </xf>
    <xf numFmtId="3" fontId="6" fillId="0" borderId="4" xfId="0" applyNumberFormat="1" applyFont="1" applyFill="1" applyBorder="1" applyAlignment="1">
      <alignment horizontal="center"/>
    </xf>
    <xf numFmtId="168" fontId="2" fillId="0" borderId="74" xfId="0" applyNumberFormat="1" applyFont="1" applyFill="1" applyBorder="1"/>
    <xf numFmtId="168" fontId="6" fillId="0" borderId="27" xfId="0" applyNumberFormat="1" applyFont="1" applyFill="1" applyBorder="1"/>
    <xf numFmtId="168" fontId="6" fillId="0" borderId="74" xfId="0" applyNumberFormat="1" applyFont="1" applyFill="1" applyBorder="1"/>
    <xf numFmtId="3" fontId="0" fillId="0" borderId="11" xfId="0" applyNumberFormat="1" applyFill="1" applyBorder="1"/>
    <xf numFmtId="168" fontId="2" fillId="0" borderId="27" xfId="0" applyNumberFormat="1" applyFont="1" applyFill="1" applyBorder="1"/>
    <xf numFmtId="3" fontId="0" fillId="0" borderId="5" xfId="0" applyNumberFormat="1" applyFill="1" applyBorder="1"/>
    <xf numFmtId="10" fontId="4" fillId="0" borderId="3" xfId="4" applyNumberFormat="1" applyFont="1" applyFill="1" applyBorder="1"/>
    <xf numFmtId="9" fontId="4" fillId="0" borderId="3" xfId="0" applyNumberFormat="1" applyFont="1" applyFill="1" applyBorder="1"/>
    <xf numFmtId="3" fontId="0" fillId="0" borderId="94" xfId="0" applyNumberFormat="1" applyFill="1" applyBorder="1"/>
    <xf numFmtId="167" fontId="4" fillId="0" borderId="3" xfId="0" applyNumberFormat="1" applyFont="1" applyFill="1" applyBorder="1"/>
    <xf numFmtId="174" fontId="4" fillId="0" borderId="3" xfId="0" applyNumberFormat="1" applyFont="1" applyFill="1" applyBorder="1"/>
    <xf numFmtId="10" fontId="4" fillId="0" borderId="3" xfId="0" applyNumberFormat="1" applyFont="1" applyFill="1" applyBorder="1"/>
    <xf numFmtId="10" fontId="6" fillId="0" borderId="3" xfId="0" applyNumberFormat="1" applyFont="1" applyFill="1" applyBorder="1"/>
    <xf numFmtId="2" fontId="4" fillId="0" borderId="3" xfId="0" applyNumberFormat="1" applyFont="1" applyFill="1" applyBorder="1"/>
    <xf numFmtId="170" fontId="4" fillId="0" borderId="3" xfId="1" applyNumberFormat="1" applyFont="1" applyFill="1" applyBorder="1"/>
    <xf numFmtId="170" fontId="6" fillId="0" borderId="3" xfId="1" applyNumberFormat="1" applyFont="1" applyFill="1" applyBorder="1"/>
    <xf numFmtId="2" fontId="6" fillId="0" borderId="3" xfId="0" applyNumberFormat="1" applyFont="1" applyFill="1" applyBorder="1"/>
    <xf numFmtId="180" fontId="6" fillId="0" borderId="3" xfId="0" applyNumberFormat="1" applyFont="1" applyFill="1" applyBorder="1"/>
    <xf numFmtId="10" fontId="6" fillId="0" borderId="3" xfId="4" applyNumberFormat="1" applyFont="1" applyFill="1" applyBorder="1"/>
    <xf numFmtId="167" fontId="6" fillId="0" borderId="3" xfId="0" applyNumberFormat="1" applyFont="1" applyFill="1" applyBorder="1"/>
    <xf numFmtId="164" fontId="6" fillId="0" borderId="3" xfId="1" applyNumberFormat="1" applyFont="1" applyFill="1" applyBorder="1"/>
    <xf numFmtId="167" fontId="4" fillId="0" borderId="3" xfId="4" applyNumberFormat="1" applyFont="1" applyFill="1" applyBorder="1"/>
    <xf numFmtId="170" fontId="6" fillId="0" borderId="3" xfId="0" applyNumberFormat="1" applyFont="1" applyFill="1" applyBorder="1"/>
    <xf numFmtId="3" fontId="0" fillId="0" borderId="40" xfId="0" applyNumberFormat="1" applyFill="1" applyBorder="1"/>
    <xf numFmtId="180" fontId="28" fillId="0" borderId="3" xfId="0" applyNumberFormat="1" applyFont="1" applyFill="1" applyBorder="1" applyAlignment="1">
      <alignment horizontal="right" vertical="center"/>
    </xf>
    <xf numFmtId="10" fontId="28" fillId="0" borderId="3" xfId="0" applyNumberFormat="1" applyFont="1" applyFill="1" applyBorder="1" applyAlignment="1">
      <alignment horizontal="right" vertical="center"/>
    </xf>
    <xf numFmtId="2" fontId="28" fillId="0" borderId="3" xfId="0" applyNumberFormat="1" applyFont="1" applyFill="1" applyBorder="1" applyAlignment="1">
      <alignment horizontal="right" vertical="center"/>
    </xf>
    <xf numFmtId="168" fontId="0" fillId="0" borderId="40" xfId="0" applyNumberFormat="1" applyFill="1" applyBorder="1"/>
    <xf numFmtId="10" fontId="45" fillId="0" borderId="3" xfId="4" applyNumberFormat="1" applyFont="1" applyFill="1" applyBorder="1"/>
    <xf numFmtId="9" fontId="45" fillId="0" borderId="3" xfId="4" applyNumberFormat="1" applyFont="1" applyFill="1" applyBorder="1"/>
    <xf numFmtId="9" fontId="45" fillId="0" borderId="3" xfId="0" applyNumberFormat="1" applyFont="1" applyFill="1" applyBorder="1"/>
    <xf numFmtId="0" fontId="6" fillId="0" borderId="153" xfId="0" applyFont="1" applyBorder="1"/>
    <xf numFmtId="168" fontId="0" fillId="0" borderId="94" xfId="0" applyNumberFormat="1" applyBorder="1"/>
    <xf numFmtId="168" fontId="0" fillId="0" borderId="94" xfId="0" applyNumberFormat="1" applyFill="1" applyBorder="1"/>
    <xf numFmtId="168" fontId="0" fillId="0" borderId="90" xfId="0" applyNumberFormat="1" applyBorder="1"/>
    <xf numFmtId="168" fontId="0" fillId="0" borderId="95" xfId="0" applyNumberFormat="1" applyBorder="1"/>
    <xf numFmtId="3" fontId="0" fillId="0" borderId="90" xfId="0" applyNumberFormat="1" applyBorder="1"/>
    <xf numFmtId="3" fontId="0" fillId="0" borderId="95" xfId="0" applyNumberFormat="1" applyBorder="1"/>
    <xf numFmtId="3" fontId="2" fillId="0" borderId="3" xfId="0" applyNumberFormat="1" applyFont="1" applyBorder="1"/>
    <xf numFmtId="168" fontId="6" fillId="0" borderId="15" xfId="0" quotePrefix="1" applyNumberFormat="1" applyFont="1" applyFill="1" applyBorder="1" applyAlignment="1">
      <alignment horizontal="center"/>
    </xf>
    <xf numFmtId="168" fontId="2" fillId="0" borderId="124" xfId="0" applyNumberFormat="1" applyFont="1" applyFill="1" applyBorder="1"/>
    <xf numFmtId="168" fontId="2" fillId="0" borderId="124" xfId="0" applyNumberFormat="1" applyFont="1" applyFill="1" applyBorder="1" applyAlignment="1"/>
    <xf numFmtId="168" fontId="2" fillId="0" borderId="21" xfId="0" applyNumberFormat="1" applyFont="1" applyFill="1" applyBorder="1" applyAlignment="1"/>
    <xf numFmtId="168" fontId="6" fillId="0" borderId="46" xfId="0" quotePrefix="1" applyNumberFormat="1" applyFont="1" applyFill="1" applyBorder="1" applyAlignment="1">
      <alignment horizontal="center"/>
    </xf>
    <xf numFmtId="168" fontId="2" fillId="0" borderId="46" xfId="0" quotePrefix="1" applyNumberFormat="1" applyFont="1" applyBorder="1" applyAlignment="1">
      <alignment horizontal="center"/>
    </xf>
    <xf numFmtId="168" fontId="5" fillId="0" borderId="18" xfId="0" applyNumberFormat="1" applyFont="1" applyFill="1" applyBorder="1" applyAlignment="1"/>
    <xf numFmtId="168" fontId="6" fillId="0" borderId="124" xfId="0" applyNumberFormat="1" applyFont="1" applyFill="1" applyBorder="1" applyAlignment="1"/>
    <xf numFmtId="168" fontId="5" fillId="0" borderId="22" xfId="0" applyNumberFormat="1" applyFont="1" applyFill="1" applyBorder="1" applyAlignment="1"/>
    <xf numFmtId="168" fontId="6" fillId="0" borderId="127" xfId="0" applyNumberFormat="1" applyFont="1" applyFill="1" applyBorder="1" applyAlignment="1"/>
    <xf numFmtId="168" fontId="6" fillId="0" borderId="93" xfId="0" applyNumberFormat="1" applyFont="1" applyFill="1" applyBorder="1" applyAlignment="1"/>
    <xf numFmtId="168" fontId="6" fillId="0" borderId="150" xfId="0" applyNumberFormat="1" applyFont="1" applyFill="1" applyBorder="1" applyAlignment="1"/>
    <xf numFmtId="168" fontId="5" fillId="0" borderId="5" xfId="0" applyNumberFormat="1" applyFont="1" applyFill="1" applyBorder="1" applyAlignment="1"/>
    <xf numFmtId="168" fontId="5" fillId="0" borderId="29" xfId="0" applyNumberFormat="1" applyFont="1" applyFill="1" applyBorder="1" applyAlignment="1"/>
    <xf numFmtId="168" fontId="6" fillId="0" borderId="21" xfId="0" applyNumberFormat="1" applyFont="1" applyFill="1" applyBorder="1" applyAlignment="1"/>
    <xf numFmtId="168" fontId="27" fillId="0" borderId="0" xfId="0" applyNumberFormat="1" applyFont="1" applyFill="1" applyBorder="1" applyAlignment="1"/>
    <xf numFmtId="168" fontId="5" fillId="0" borderId="18" xfId="0" applyNumberFormat="1" applyFont="1" applyFill="1" applyBorder="1" applyAlignment="1">
      <alignment horizontal="center"/>
    </xf>
    <xf numFmtId="9" fontId="5" fillId="0" borderId="0" xfId="4" applyFont="1" applyBorder="1"/>
    <xf numFmtId="0" fontId="27" fillId="0" borderId="0" xfId="0" applyFont="1" applyFill="1" applyAlignment="1">
      <alignment horizontal="justify" vertical="center"/>
    </xf>
    <xf numFmtId="168" fontId="5" fillId="0" borderId="4" xfId="0" quotePrefix="1" applyNumberFormat="1" applyFont="1" applyFill="1" applyBorder="1" applyAlignment="1">
      <alignment horizontal="right"/>
    </xf>
    <xf numFmtId="168" fontId="6" fillId="0" borderId="4" xfId="0" quotePrefix="1" applyNumberFormat="1" applyFont="1" applyFill="1" applyBorder="1" applyAlignment="1">
      <alignment horizontal="right"/>
    </xf>
    <xf numFmtId="168" fontId="4" fillId="0" borderId="3" xfId="0" quotePrefix="1" applyNumberFormat="1" applyFont="1" applyFill="1" applyBorder="1" applyAlignment="1">
      <alignment horizontal="center"/>
    </xf>
    <xf numFmtId="168" fontId="6" fillId="0" borderId="26" xfId="0" quotePrefix="1" applyNumberFormat="1" applyFont="1" applyFill="1" applyBorder="1" applyAlignment="1">
      <alignment horizontal="center"/>
    </xf>
    <xf numFmtId="168" fontId="4" fillId="0" borderId="28" xfId="0" quotePrefix="1" applyNumberFormat="1" applyFont="1" applyFill="1" applyBorder="1" applyAlignment="1">
      <alignment horizontal="right"/>
    </xf>
    <xf numFmtId="168" fontId="5" fillId="0" borderId="32" xfId="0" applyNumberFormat="1" applyFont="1" applyFill="1" applyBorder="1" applyAlignment="1"/>
    <xf numFmtId="168" fontId="6" fillId="0" borderId="23" xfId="0" applyNumberFormat="1" applyFont="1" applyFill="1" applyBorder="1" applyAlignment="1"/>
    <xf numFmtId="168" fontId="6" fillId="0" borderId="32" xfId="0" applyNumberFormat="1" applyFont="1" applyFill="1" applyBorder="1" applyAlignment="1"/>
    <xf numFmtId="168" fontId="4" fillId="0" borderId="28" xfId="0" applyNumberFormat="1" applyFont="1" applyFill="1" applyBorder="1" applyAlignment="1">
      <alignment horizontal="right"/>
    </xf>
    <xf numFmtId="168" fontId="4" fillId="0" borderId="28" xfId="0" quotePrefix="1" applyNumberFormat="1" applyFont="1" applyFill="1" applyBorder="1" applyAlignment="1">
      <alignment horizontal="center"/>
    </xf>
    <xf numFmtId="168" fontId="6" fillId="0" borderId="47" xfId="0" applyNumberFormat="1" applyFont="1" applyFill="1" applyBorder="1" applyAlignment="1">
      <alignment horizontal="right"/>
    </xf>
    <xf numFmtId="168" fontId="6" fillId="0" borderId="28" xfId="0" quotePrefix="1" applyNumberFormat="1" applyFont="1" applyFill="1" applyBorder="1" applyAlignment="1">
      <alignment horizontal="right"/>
    </xf>
    <xf numFmtId="168" fontId="6" fillId="0" borderId="85" xfId="0" applyNumberFormat="1" applyFont="1" applyFill="1" applyBorder="1" applyAlignment="1">
      <alignment horizontal="centerContinuous"/>
    </xf>
    <xf numFmtId="168" fontId="6" fillId="0" borderId="76" xfId="0" applyNumberFormat="1" applyFont="1" applyFill="1" applyBorder="1" applyAlignment="1">
      <alignment horizontal="centerContinuous"/>
    </xf>
    <xf numFmtId="168" fontId="6" fillId="0" borderId="67" xfId="0" applyNumberFormat="1" applyFont="1" applyFill="1" applyBorder="1" applyAlignment="1">
      <alignment horizontal="centerContinuous"/>
    </xf>
    <xf numFmtId="168" fontId="6" fillId="0" borderId="105" xfId="0" applyNumberFormat="1" applyFont="1" applyFill="1" applyBorder="1" applyAlignment="1">
      <alignment horizontal="right"/>
    </xf>
    <xf numFmtId="168" fontId="6" fillId="0" borderId="36" xfId="0" applyNumberFormat="1" applyFont="1" applyFill="1" applyBorder="1" applyAlignment="1">
      <alignment horizontal="right"/>
    </xf>
    <xf numFmtId="168" fontId="6" fillId="0" borderId="5" xfId="0" applyNumberFormat="1" applyFont="1" applyFill="1" applyBorder="1" applyAlignment="1">
      <alignment horizontal="right"/>
    </xf>
    <xf numFmtId="168" fontId="6" fillId="0" borderId="103" xfId="0" applyNumberFormat="1" applyFont="1" applyFill="1" applyBorder="1" applyAlignment="1">
      <alignment horizontal="right"/>
    </xf>
    <xf numFmtId="168" fontId="6" fillId="0" borderId="53" xfId="0" applyNumberFormat="1" applyFont="1" applyFill="1" applyBorder="1"/>
    <xf numFmtId="168" fontId="6" fillId="0" borderId="66" xfId="0" applyNumberFormat="1" applyFont="1" applyFill="1" applyBorder="1"/>
    <xf numFmtId="0" fontId="4" fillId="0" borderId="0" xfId="0" applyNumberFormat="1" applyFont="1" applyFill="1" applyAlignment="1">
      <alignment horizontal="right"/>
    </xf>
    <xf numFmtId="38" fontId="4" fillId="0" borderId="4" xfId="1" quotePrefix="1" applyNumberFormat="1" applyFont="1" applyFill="1" applyBorder="1"/>
    <xf numFmtId="0" fontId="6" fillId="0" borderId="15" xfId="0" applyFont="1" applyFill="1" applyBorder="1"/>
    <xf numFmtId="0" fontId="6" fillId="0" borderId="26" xfId="0" applyNumberFormat="1" applyFont="1" applyBorder="1" applyAlignment="1">
      <alignment horizontal="center"/>
    </xf>
    <xf numFmtId="168" fontId="6" fillId="0" borderId="64" xfId="0" applyNumberFormat="1" applyFont="1" applyFill="1" applyBorder="1" applyAlignment="1">
      <alignment horizontal="centerContinuous"/>
    </xf>
    <xf numFmtId="168" fontId="2" fillId="0" borderId="24" xfId="0" applyNumberFormat="1" applyFont="1" applyBorder="1" applyAlignment="1">
      <alignment horizontal="center"/>
    </xf>
    <xf numFmtId="168" fontId="2" fillId="0" borderId="170" xfId="0" applyNumberFormat="1" applyFont="1" applyBorder="1" applyAlignment="1">
      <alignment horizontal="center"/>
    </xf>
    <xf numFmtId="168" fontId="6" fillId="0" borderId="34" xfId="0" applyNumberFormat="1" applyFont="1" applyFill="1" applyBorder="1" applyAlignment="1">
      <alignment horizontal="center"/>
    </xf>
    <xf numFmtId="168" fontId="6" fillId="0" borderId="0" xfId="0" applyNumberFormat="1" applyFont="1" applyFill="1" applyBorder="1" applyAlignment="1">
      <alignment horizontal="center"/>
    </xf>
    <xf numFmtId="168" fontId="6" fillId="0" borderId="8" xfId="0" applyNumberFormat="1" applyFont="1" applyFill="1" applyBorder="1" applyAlignment="1">
      <alignment horizontal="center"/>
    </xf>
    <xf numFmtId="168" fontId="6" fillId="0" borderId="24" xfId="0" quotePrefix="1" applyNumberFormat="1" applyFont="1" applyBorder="1" applyAlignment="1">
      <alignment horizontal="center"/>
    </xf>
    <xf numFmtId="168" fontId="6" fillId="0" borderId="37" xfId="0" applyNumberFormat="1" applyFont="1" applyBorder="1" applyAlignment="1">
      <alignment horizontal="center"/>
    </xf>
    <xf numFmtId="168" fontId="6" fillId="0" borderId="1" xfId="0" applyNumberFormat="1" applyFont="1" applyBorder="1" applyAlignment="1">
      <alignment horizontal="center"/>
    </xf>
    <xf numFmtId="0" fontId="6" fillId="0" borderId="14" xfId="0" applyFont="1" applyFill="1" applyBorder="1" applyAlignment="1">
      <alignment horizontal="center"/>
    </xf>
    <xf numFmtId="0" fontId="6" fillId="0" borderId="84" xfId="0" applyFont="1" applyFill="1" applyBorder="1" applyAlignment="1">
      <alignment horizontal="center"/>
    </xf>
    <xf numFmtId="168" fontId="2" fillId="0" borderId="0" xfId="0" applyNumberFormat="1" applyFont="1" applyFill="1" applyAlignment="1">
      <alignment horizontal="center"/>
    </xf>
    <xf numFmtId="0" fontId="3" fillId="0" borderId="8" xfId="0" applyFont="1" applyFill="1" applyBorder="1" applyAlignment="1" applyProtection="1">
      <alignment horizontal="center"/>
      <protection locked="0"/>
    </xf>
    <xf numFmtId="0" fontId="6" fillId="0" borderId="0" xfId="0" applyFont="1" applyAlignment="1">
      <alignment horizontal="center"/>
    </xf>
    <xf numFmtId="0" fontId="2" fillId="0" borderId="129" xfId="0" applyFont="1" applyBorder="1" applyAlignment="1">
      <alignment horizontal="center"/>
    </xf>
    <xf numFmtId="0" fontId="2" fillId="0" borderId="156" xfId="0" applyFont="1" applyBorder="1" applyAlignment="1">
      <alignment horizontal="center"/>
    </xf>
    <xf numFmtId="0" fontId="2" fillId="0" borderId="0" xfId="0" applyFont="1" applyFill="1" applyBorder="1" applyAlignment="1">
      <alignment horizontal="center"/>
    </xf>
    <xf numFmtId="0" fontId="2" fillId="0" borderId="0" xfId="0" applyFont="1" applyBorder="1" applyAlignment="1">
      <alignment horizontal="center"/>
    </xf>
    <xf numFmtId="0" fontId="2" fillId="0" borderId="34" xfId="0" applyFont="1" applyBorder="1" applyAlignment="1">
      <alignment horizontal="center"/>
    </xf>
    <xf numFmtId="168" fontId="2" fillId="0" borderId="0" xfId="0" applyNumberFormat="1" applyFont="1" applyBorder="1" applyAlignment="1">
      <alignment horizontal="center"/>
    </xf>
    <xf numFmtId="168" fontId="2" fillId="0" borderId="0" xfId="0" applyNumberFormat="1" applyFont="1" applyAlignment="1">
      <alignment horizontal="center"/>
    </xf>
    <xf numFmtId="168" fontId="2" fillId="0" borderId="6" xfId="0" applyNumberFormat="1" applyFont="1" applyFill="1" applyBorder="1" applyAlignment="1">
      <alignment horizontal="center"/>
    </xf>
    <xf numFmtId="10" fontId="2" fillId="0" borderId="4" xfId="4" applyNumberFormat="1" applyFont="1" applyBorder="1" applyAlignment="1">
      <alignment horizontal="center"/>
    </xf>
    <xf numFmtId="10" fontId="2" fillId="0" borderId="3" xfId="4" applyNumberFormat="1" applyFont="1" applyBorder="1" applyAlignment="1">
      <alignment horizontal="center"/>
    </xf>
    <xf numFmtId="10" fontId="2" fillId="0" borderId="16" xfId="4" applyNumberFormat="1" applyFont="1" applyBorder="1" applyAlignment="1">
      <alignment horizontal="center"/>
    </xf>
    <xf numFmtId="10" fontId="2" fillId="0" borderId="11" xfId="4" applyNumberFormat="1" applyFont="1" applyBorder="1" applyAlignment="1">
      <alignment horizontal="center"/>
    </xf>
    <xf numFmtId="10" fontId="2" fillId="0" borderId="19" xfId="4" applyNumberFormat="1" applyFont="1" applyBorder="1" applyAlignment="1">
      <alignment horizontal="center"/>
    </xf>
    <xf numFmtId="10" fontId="2" fillId="0" borderId="20" xfId="4" applyNumberFormat="1" applyFont="1" applyBorder="1" applyAlignment="1">
      <alignment horizontal="center"/>
    </xf>
    <xf numFmtId="168" fontId="2" fillId="0" borderId="133" xfId="0" applyNumberFormat="1" applyFont="1" applyFill="1" applyBorder="1" applyAlignment="1">
      <alignment vertical="center"/>
    </xf>
    <xf numFmtId="168" fontId="2" fillId="0" borderId="38" xfId="0" applyNumberFormat="1" applyFont="1" applyFill="1" applyBorder="1" applyAlignment="1">
      <alignment vertical="center"/>
    </xf>
    <xf numFmtId="168" fontId="2" fillId="0" borderId="39" xfId="0" applyNumberFormat="1" applyFont="1" applyFill="1" applyBorder="1" applyAlignment="1">
      <alignment vertical="center"/>
    </xf>
    <xf numFmtId="168" fontId="2" fillId="0" borderId="38" xfId="0" applyNumberFormat="1" applyFont="1" applyFill="1" applyBorder="1"/>
    <xf numFmtId="168" fontId="4" fillId="0" borderId="3" xfId="1" applyNumberFormat="1" applyFont="1" applyFill="1" applyBorder="1" applyAlignment="1">
      <alignment horizontal="right"/>
    </xf>
    <xf numFmtId="168" fontId="6" fillId="0" borderId="149" xfId="0" applyNumberFormat="1" applyFont="1" applyFill="1" applyBorder="1"/>
    <xf numFmtId="168" fontId="2" fillId="0" borderId="69" xfId="0" quotePrefix="1" applyNumberFormat="1" applyFont="1" applyBorder="1" applyAlignment="1">
      <alignment horizontal="center" wrapText="1"/>
    </xf>
    <xf numFmtId="168" fontId="2" fillId="0" borderId="116" xfId="0" quotePrefix="1" applyNumberFormat="1" applyFont="1" applyFill="1" applyBorder="1" applyAlignment="1">
      <alignment horizontal="center"/>
    </xf>
    <xf numFmtId="168" fontId="2" fillId="0" borderId="75" xfId="0" quotePrefix="1" applyNumberFormat="1" applyFont="1" applyBorder="1" applyAlignment="1">
      <alignment horizontal="center"/>
    </xf>
    <xf numFmtId="168" fontId="2" fillId="0" borderId="74" xfId="0" quotePrefix="1" applyNumberFormat="1" applyFont="1" applyBorder="1" applyAlignment="1">
      <alignment horizontal="center"/>
    </xf>
    <xf numFmtId="168" fontId="2" fillId="0" borderId="149" xfId="0" quotePrefix="1" applyNumberFormat="1" applyFont="1" applyBorder="1" applyAlignment="1">
      <alignment horizontal="center"/>
    </xf>
    <xf numFmtId="168" fontId="6" fillId="0" borderId="71" xfId="0" applyNumberFormat="1" applyFont="1" applyFill="1" applyBorder="1" applyAlignment="1">
      <alignment horizontal="center"/>
    </xf>
    <xf numFmtId="168" fontId="6" fillId="0" borderId="13" xfId="0" applyNumberFormat="1" applyFont="1" applyFill="1" applyBorder="1" applyAlignment="1">
      <alignment horizontal="center"/>
    </xf>
    <xf numFmtId="168" fontId="6" fillId="0" borderId="31" xfId="0" applyNumberFormat="1" applyFont="1" applyFill="1" applyBorder="1"/>
    <xf numFmtId="168" fontId="6" fillId="0" borderId="94" xfId="0" quotePrefix="1" applyNumberFormat="1" applyFont="1" applyBorder="1" applyAlignment="1">
      <alignment horizontal="center"/>
    </xf>
    <xf numFmtId="168" fontId="6" fillId="0" borderId="94" xfId="0" applyNumberFormat="1" applyFont="1" applyBorder="1" applyAlignment="1">
      <alignment horizontal="center"/>
    </xf>
    <xf numFmtId="3" fontId="6" fillId="0" borderId="16" xfId="0" applyNumberFormat="1" applyFont="1" applyFill="1" applyBorder="1"/>
    <xf numFmtId="0" fontId="4" fillId="0" borderId="133" xfId="0" applyFont="1" applyFill="1" applyBorder="1" applyAlignment="1"/>
    <xf numFmtId="0" fontId="4" fillId="0" borderId="38" xfId="0" applyFont="1" applyFill="1" applyBorder="1" applyAlignment="1"/>
    <xf numFmtId="0" fontId="4" fillId="0" borderId="39" xfId="0" applyFont="1" applyFill="1" applyBorder="1" applyAlignment="1"/>
    <xf numFmtId="3" fontId="6" fillId="0" borderId="3" xfId="0" applyNumberFormat="1" applyFont="1" applyFill="1" applyBorder="1"/>
    <xf numFmtId="168" fontId="6" fillId="0" borderId="171" xfId="0" applyNumberFormat="1" applyFont="1" applyFill="1" applyBorder="1" applyAlignment="1">
      <alignment vertical="center"/>
    </xf>
    <xf numFmtId="168" fontId="6" fillId="0" borderId="161" xfId="0" applyNumberFormat="1" applyFont="1" applyFill="1" applyBorder="1" applyAlignment="1">
      <alignment vertical="center"/>
    </xf>
    <xf numFmtId="168" fontId="6" fillId="0" borderId="172" xfId="0" applyNumberFormat="1" applyFont="1" applyFill="1" applyBorder="1" applyAlignment="1">
      <alignment vertical="center"/>
    </xf>
    <xf numFmtId="168" fontId="2" fillId="0" borderId="128" xfId="0" quotePrefix="1" applyNumberFormat="1" applyFont="1" applyFill="1" applyBorder="1" applyAlignment="1">
      <alignment horizontal="center"/>
    </xf>
    <xf numFmtId="168" fontId="6" fillId="0" borderId="24" xfId="0" quotePrefix="1" applyNumberFormat="1" applyFont="1" applyBorder="1" applyAlignment="1"/>
    <xf numFmtId="168" fontId="6" fillId="0" borderId="89" xfId="0" quotePrefix="1" applyNumberFormat="1" applyFont="1" applyBorder="1" applyAlignment="1"/>
    <xf numFmtId="0" fontId="6" fillId="0" borderId="29" xfId="0" applyNumberFormat="1" applyFont="1" applyBorder="1" applyAlignment="1">
      <alignment horizontal="center"/>
    </xf>
    <xf numFmtId="38" fontId="4" fillId="0" borderId="16" xfId="0" applyNumberFormat="1" applyFont="1" applyFill="1" applyBorder="1"/>
    <xf numFmtId="38" fontId="6" fillId="0" borderId="44" xfId="0" applyNumberFormat="1" applyFont="1" applyBorder="1"/>
    <xf numFmtId="38" fontId="4" fillId="0" borderId="90" xfId="0" applyNumberFormat="1" applyFont="1" applyBorder="1"/>
    <xf numFmtId="168" fontId="4" fillId="0" borderId="42" xfId="0" applyNumberFormat="1" applyFont="1" applyBorder="1"/>
    <xf numFmtId="168" fontId="6" fillId="0" borderId="51" xfId="0" applyNumberFormat="1" applyFont="1" applyBorder="1"/>
    <xf numFmtId="38" fontId="4" fillId="0" borderId="42" xfId="0" applyNumberFormat="1" applyFont="1" applyFill="1" applyBorder="1"/>
    <xf numFmtId="38" fontId="4" fillId="0" borderId="3" xfId="0" applyNumberFormat="1" applyFont="1" applyFill="1" applyBorder="1"/>
    <xf numFmtId="0" fontId="6" fillId="0" borderId="87" xfId="0" quotePrefix="1" applyNumberFormat="1" applyFont="1" applyBorder="1" applyAlignment="1">
      <alignment horizontal="center"/>
    </xf>
    <xf numFmtId="0" fontId="5" fillId="0" borderId="34" xfId="0" applyNumberFormat="1" applyFont="1" applyFill="1" applyBorder="1" applyAlignment="1">
      <alignment horizontal="center"/>
    </xf>
    <xf numFmtId="168" fontId="7" fillId="0" borderId="34" xfId="0" applyNumberFormat="1" applyFont="1" applyFill="1" applyBorder="1"/>
    <xf numFmtId="0" fontId="6" fillId="0" borderId="34" xfId="0" applyNumberFormat="1" applyFont="1" applyFill="1" applyBorder="1" applyAlignment="1">
      <alignment horizontal="center"/>
    </xf>
    <xf numFmtId="168" fontId="6" fillId="0" borderId="34" xfId="0" quotePrefix="1" applyNumberFormat="1" applyFont="1" applyFill="1" applyBorder="1" applyAlignment="1">
      <alignment horizontal="left"/>
    </xf>
    <xf numFmtId="168" fontId="5" fillId="0" borderId="34" xfId="0" applyNumberFormat="1" applyFont="1" applyFill="1" applyBorder="1" applyAlignment="1">
      <alignment horizontal="left"/>
    </xf>
    <xf numFmtId="168" fontId="7" fillId="0" borderId="28" xfId="0" applyNumberFormat="1" applyFont="1" applyFill="1" applyBorder="1" applyAlignment="1">
      <alignment horizontal="left"/>
    </xf>
    <xf numFmtId="168" fontId="25" fillId="0" borderId="34" xfId="0" applyNumberFormat="1" applyFont="1" applyFill="1" applyBorder="1" applyAlignment="1">
      <alignment horizontal="left"/>
    </xf>
    <xf numFmtId="168" fontId="7" fillId="0" borderId="153" xfId="0" applyNumberFormat="1" applyFont="1" applyFill="1" applyBorder="1" applyAlignment="1">
      <alignment horizontal="left"/>
    </xf>
    <xf numFmtId="0" fontId="5" fillId="0" borderId="97" xfId="0" applyNumberFormat="1" applyFont="1" applyFill="1" applyBorder="1" applyAlignment="1">
      <alignment horizontal="center"/>
    </xf>
    <xf numFmtId="0" fontId="5" fillId="0" borderId="63" xfId="0" applyNumberFormat="1" applyFont="1" applyFill="1" applyBorder="1" applyAlignment="1">
      <alignment horizontal="center"/>
    </xf>
    <xf numFmtId="168" fontId="7" fillId="0" borderId="47" xfId="0" applyNumberFormat="1" applyFont="1" applyFill="1" applyBorder="1" applyAlignment="1">
      <alignment horizontal="left"/>
    </xf>
    <xf numFmtId="0" fontId="6" fillId="0" borderId="32" xfId="0" applyNumberFormat="1" applyFont="1" applyFill="1" applyBorder="1"/>
    <xf numFmtId="168" fontId="6" fillId="0" borderId="61" xfId="0" quotePrefix="1" applyNumberFormat="1" applyFont="1" applyFill="1" applyBorder="1" applyAlignment="1">
      <alignment horizontal="center"/>
    </xf>
    <xf numFmtId="168" fontId="6" fillId="0" borderId="62" xfId="0" quotePrefix="1" applyNumberFormat="1" applyFont="1" applyBorder="1" applyAlignment="1">
      <alignment horizontal="center"/>
    </xf>
    <xf numFmtId="168" fontId="2" fillId="0" borderId="133" xfId="0" applyNumberFormat="1" applyFont="1" applyBorder="1" applyAlignment="1">
      <alignment horizontal="left"/>
    </xf>
    <xf numFmtId="168" fontId="6" fillId="0" borderId="85" xfId="0" applyNumberFormat="1" applyFont="1" applyFill="1" applyBorder="1" applyAlignment="1">
      <alignment horizontal="center"/>
    </xf>
    <xf numFmtId="168" fontId="5" fillId="0" borderId="122" xfId="0" applyNumberFormat="1" applyFont="1" applyFill="1" applyBorder="1"/>
    <xf numFmtId="168" fontId="12" fillId="0" borderId="5" xfId="0" applyNumberFormat="1" applyFont="1" applyFill="1" applyBorder="1" applyAlignment="1">
      <alignment horizontal="left"/>
    </xf>
    <xf numFmtId="0" fontId="6" fillId="0" borderId="76" xfId="0" applyFont="1" applyFill="1" applyBorder="1" applyAlignment="1">
      <alignment horizontal="center"/>
    </xf>
    <xf numFmtId="38" fontId="6" fillId="0" borderId="49" xfId="0" applyNumberFormat="1" applyFont="1" applyFill="1" applyBorder="1" applyAlignment="1">
      <alignment horizontal="center"/>
    </xf>
    <xf numFmtId="38" fontId="6" fillId="0" borderId="42" xfId="0" applyNumberFormat="1" applyFont="1" applyFill="1" applyBorder="1" applyAlignment="1">
      <alignment horizontal="center"/>
    </xf>
    <xf numFmtId="0" fontId="17" fillId="0" borderId="38" xfId="0" applyFont="1" applyFill="1" applyBorder="1" applyAlignment="1">
      <alignment horizontal="center" vertical="center"/>
    </xf>
    <xf numFmtId="0" fontId="17" fillId="0" borderId="39" xfId="0" applyFont="1" applyFill="1" applyBorder="1" applyAlignment="1">
      <alignment horizontal="center" vertical="center"/>
    </xf>
    <xf numFmtId="168" fontId="6" fillId="0" borderId="71" xfId="1" applyNumberFormat="1" applyFont="1" applyFill="1" applyBorder="1"/>
    <xf numFmtId="168" fontId="2" fillId="0" borderId="46" xfId="0" quotePrefix="1" applyNumberFormat="1" applyFont="1" applyFill="1" applyBorder="1" applyAlignment="1">
      <alignment horizontal="center"/>
    </xf>
    <xf numFmtId="168" fontId="2" fillId="0" borderId="93" xfId="0" applyNumberFormat="1" applyFont="1" applyFill="1" applyBorder="1"/>
    <xf numFmtId="168" fontId="2" fillId="0" borderId="217" xfId="0" quotePrefix="1" applyNumberFormat="1" applyFont="1" applyFill="1" applyBorder="1" applyAlignment="1">
      <alignment horizontal="center"/>
    </xf>
    <xf numFmtId="0" fontId="2" fillId="0" borderId="116" xfId="0" applyFont="1" applyBorder="1" applyAlignment="1">
      <alignment horizontal="center"/>
    </xf>
    <xf numFmtId="0" fontId="2" fillId="0" borderId="74" xfId="0" applyFont="1" applyBorder="1" applyAlignment="1">
      <alignment horizontal="center"/>
    </xf>
    <xf numFmtId="168" fontId="4" fillId="0" borderId="4" xfId="0" applyNumberFormat="1" applyFont="1" applyBorder="1" applyAlignment="1">
      <alignment horizontal="left"/>
    </xf>
    <xf numFmtId="168" fontId="4" fillId="0" borderId="16" xfId="0" applyNumberFormat="1" applyFont="1" applyBorder="1" applyAlignment="1">
      <alignment horizontal="left"/>
    </xf>
    <xf numFmtId="168" fontId="4" fillId="0" borderId="15" xfId="0" applyNumberFormat="1" applyFont="1" applyFill="1" applyBorder="1" applyAlignment="1">
      <alignment horizontal="right"/>
    </xf>
    <xf numFmtId="168" fontId="4" fillId="0" borderId="16" xfId="0" applyNumberFormat="1" applyFont="1" applyFill="1" applyBorder="1" applyAlignment="1">
      <alignment horizontal="left"/>
    </xf>
    <xf numFmtId="168" fontId="4" fillId="0" borderId="3" xfId="1" applyNumberFormat="1" applyFont="1" applyFill="1" applyBorder="1" applyAlignment="1"/>
    <xf numFmtId="168" fontId="4" fillId="0" borderId="4" xfId="1" applyNumberFormat="1" applyFont="1" applyFill="1" applyBorder="1" applyAlignment="1"/>
    <xf numFmtId="168" fontId="4" fillId="0" borderId="16" xfId="1" applyNumberFormat="1" applyFont="1" applyFill="1" applyBorder="1" applyAlignment="1"/>
    <xf numFmtId="168" fontId="4" fillId="0" borderId="3" xfId="0" applyNumberFormat="1" applyFont="1" applyBorder="1" applyAlignment="1"/>
    <xf numFmtId="168" fontId="4" fillId="0" borderId="16" xfId="0" applyNumberFormat="1" applyFont="1" applyBorder="1" applyAlignment="1"/>
    <xf numFmtId="168" fontId="2" fillId="0" borderId="190" xfId="0" applyNumberFormat="1" applyFont="1" applyBorder="1" applyAlignment="1">
      <alignment horizontal="right"/>
    </xf>
    <xf numFmtId="168" fontId="2" fillId="0" borderId="167" xfId="0" applyNumberFormat="1" applyFont="1" applyBorder="1" applyAlignment="1">
      <alignment horizontal="right"/>
    </xf>
    <xf numFmtId="168" fontId="2" fillId="0" borderId="66" xfId="0" applyNumberFormat="1" applyFont="1" applyBorder="1" applyAlignment="1">
      <alignment horizontal="right"/>
    </xf>
    <xf numFmtId="168" fontId="2" fillId="0" borderId="60" xfId="0" applyNumberFormat="1" applyFont="1" applyBorder="1" applyAlignment="1">
      <alignment horizontal="right"/>
    </xf>
    <xf numFmtId="168" fontId="2" fillId="0" borderId="46" xfId="0" applyNumberFormat="1" applyFont="1" applyBorder="1" applyAlignment="1">
      <alignment horizontal="right"/>
    </xf>
    <xf numFmtId="168" fontId="2" fillId="0" borderId="2" xfId="0" applyNumberFormat="1" applyFont="1" applyBorder="1" applyAlignment="1">
      <alignment horizontal="left"/>
    </xf>
    <xf numFmtId="168" fontId="2" fillId="0" borderId="2" xfId="0" applyNumberFormat="1" applyFont="1" applyBorder="1" applyAlignment="1">
      <alignment horizontal="right"/>
    </xf>
    <xf numFmtId="168" fontId="2" fillId="0" borderId="2" xfId="0" applyNumberFormat="1" applyFont="1" applyFill="1" applyBorder="1" applyAlignment="1">
      <alignment horizontal="right"/>
    </xf>
    <xf numFmtId="168" fontId="2" fillId="0" borderId="2" xfId="0" applyNumberFormat="1" applyFont="1" applyFill="1" applyBorder="1" applyAlignment="1">
      <alignment horizontal="left"/>
    </xf>
    <xf numFmtId="168" fontId="2" fillId="0" borderId="27" xfId="0" applyNumberFormat="1" applyFont="1" applyBorder="1" applyAlignment="1">
      <alignment horizontal="right"/>
    </xf>
    <xf numFmtId="168" fontId="2" fillId="0" borderId="48" xfId="0" applyNumberFormat="1" applyFont="1" applyBorder="1" applyAlignment="1">
      <alignment horizontal="right"/>
    </xf>
    <xf numFmtId="168" fontId="4" fillId="0" borderId="19" xfId="0" applyNumberFormat="1" applyFont="1" applyBorder="1" applyAlignment="1">
      <alignment horizontal="left"/>
    </xf>
    <xf numFmtId="168" fontId="4" fillId="0" borderId="20" xfId="0" applyNumberFormat="1" applyFont="1" applyBorder="1" applyAlignment="1">
      <alignment horizontal="left"/>
    </xf>
    <xf numFmtId="168" fontId="2" fillId="0" borderId="59" xfId="0" applyNumberFormat="1" applyFont="1" applyBorder="1" applyAlignment="1">
      <alignment horizontal="right"/>
    </xf>
    <xf numFmtId="0" fontId="4" fillId="0" borderId="0" xfId="0" applyFont="1" applyBorder="1" applyAlignment="1">
      <alignment horizontal="left"/>
    </xf>
    <xf numFmtId="3" fontId="4" fillId="0" borderId="0" xfId="0" applyNumberFormat="1" applyFont="1" applyBorder="1" applyAlignment="1">
      <alignment horizontal="left"/>
    </xf>
    <xf numFmtId="0" fontId="2" fillId="0" borderId="69" xfId="0" applyFont="1" applyFill="1" applyBorder="1" applyAlignment="1">
      <alignment horizontal="center"/>
    </xf>
    <xf numFmtId="0" fontId="6" fillId="0" borderId="14" xfId="0" applyFont="1" applyFill="1" applyBorder="1" applyAlignment="1">
      <alignment horizontal="center"/>
    </xf>
    <xf numFmtId="0" fontId="6" fillId="0" borderId="84" xfId="0" applyFont="1" applyFill="1" applyBorder="1" applyAlignment="1">
      <alignment horizontal="center"/>
    </xf>
    <xf numFmtId="0" fontId="4" fillId="0" borderId="0" xfId="0" applyFont="1" applyAlignment="1">
      <alignment horizontal="right"/>
    </xf>
    <xf numFmtId="0" fontId="4" fillId="0" borderId="0" xfId="0" applyFont="1" applyBorder="1" applyAlignment="1">
      <alignment horizontal="right"/>
    </xf>
    <xf numFmtId="0" fontId="2" fillId="0" borderId="0" xfId="0" applyFont="1" applyAlignment="1">
      <alignment horizontal="right"/>
    </xf>
    <xf numFmtId="168" fontId="4" fillId="0" borderId="0" xfId="0" applyNumberFormat="1" applyFont="1" applyFill="1" applyAlignment="1">
      <alignment horizontal="right"/>
    </xf>
    <xf numFmtId="168" fontId="2" fillId="0" borderId="0" xfId="0" applyNumberFormat="1" applyFont="1" applyFill="1" applyAlignment="1">
      <alignment horizontal="right"/>
    </xf>
    <xf numFmtId="168" fontId="0" fillId="0" borderId="0" xfId="0" applyNumberFormat="1" applyAlignment="1">
      <alignment horizontal="left"/>
    </xf>
    <xf numFmtId="168" fontId="2" fillId="0" borderId="24" xfId="0" applyNumberFormat="1" applyFont="1" applyFill="1" applyBorder="1" applyAlignment="1">
      <alignment horizontal="center"/>
    </xf>
    <xf numFmtId="0" fontId="6" fillId="0" borderId="75" xfId="0" applyFont="1" applyFill="1" applyBorder="1" applyAlignment="1">
      <alignment horizontal="center"/>
    </xf>
    <xf numFmtId="0" fontId="6" fillId="0" borderId="74" xfId="0" applyFont="1" applyFill="1" applyBorder="1" applyAlignment="1">
      <alignment horizontal="center"/>
    </xf>
    <xf numFmtId="38" fontId="6" fillId="0" borderId="29" xfId="0" applyNumberFormat="1" applyFont="1" applyFill="1" applyBorder="1"/>
    <xf numFmtId="38" fontId="4" fillId="0" borderId="11" xfId="0" applyNumberFormat="1" applyFont="1" applyFill="1" applyBorder="1"/>
    <xf numFmtId="38" fontId="4" fillId="0" borderId="19" xfId="0" applyNumberFormat="1" applyFont="1" applyFill="1" applyBorder="1"/>
    <xf numFmtId="0" fontId="0" fillId="0" borderId="1" xfId="0" applyFill="1" applyBorder="1"/>
    <xf numFmtId="0" fontId="0" fillId="0" borderId="6" xfId="0" applyFill="1" applyBorder="1"/>
    <xf numFmtId="168" fontId="0" fillId="0" borderId="0" xfId="1" applyNumberFormat="1" applyFont="1" applyFill="1" applyBorder="1"/>
    <xf numFmtId="168" fontId="2" fillId="0" borderId="6" xfId="0" applyNumberFormat="1" applyFont="1" applyFill="1" applyBorder="1"/>
    <xf numFmtId="0" fontId="2" fillId="0" borderId="6" xfId="0" applyFont="1" applyFill="1" applyBorder="1"/>
    <xf numFmtId="0" fontId="28" fillId="0" borderId="8" xfId="0" applyFont="1" applyFill="1" applyBorder="1" applyAlignment="1">
      <alignment horizontal="right" vertical="top" wrapText="1"/>
    </xf>
    <xf numFmtId="177" fontId="28" fillId="0" borderId="8" xfId="0" applyNumberFormat="1" applyFont="1" applyFill="1" applyBorder="1" applyAlignment="1">
      <alignment horizontal="right" vertical="top" wrapText="1"/>
    </xf>
    <xf numFmtId="168" fontId="28" fillId="0" borderId="8" xfId="0" applyNumberFormat="1" applyFont="1" applyFill="1" applyBorder="1" applyAlignment="1">
      <alignment horizontal="right" wrapText="1"/>
    </xf>
    <xf numFmtId="168" fontId="27" fillId="0" borderId="8" xfId="0" applyNumberFormat="1" applyFont="1" applyFill="1" applyBorder="1" applyAlignment="1">
      <alignment horizontal="right" wrapText="1"/>
    </xf>
    <xf numFmtId="168" fontId="28" fillId="0" borderId="8" xfId="0" applyNumberFormat="1" applyFont="1" applyFill="1" applyBorder="1" applyAlignment="1">
      <alignment wrapText="1"/>
    </xf>
    <xf numFmtId="168" fontId="27" fillId="0" borderId="8" xfId="0" applyNumberFormat="1" applyFont="1" applyFill="1" applyBorder="1" applyAlignment="1">
      <alignment wrapText="1"/>
    </xf>
    <xf numFmtId="0" fontId="27" fillId="0" borderId="10" xfId="0" applyFont="1" applyFill="1" applyBorder="1" applyAlignment="1">
      <alignment horizontal="right" vertical="top" wrapText="1"/>
    </xf>
    <xf numFmtId="3" fontId="6" fillId="0" borderId="0" xfId="0" applyNumberFormat="1" applyFont="1" applyFill="1" applyBorder="1" applyAlignment="1">
      <alignment horizontal="center"/>
    </xf>
    <xf numFmtId="9" fontId="0" fillId="0" borderId="0" xfId="0" applyNumberFormat="1" applyFill="1"/>
    <xf numFmtId="3" fontId="6" fillId="0" borderId="0" xfId="0" applyNumberFormat="1" applyFont="1" applyFill="1" applyBorder="1"/>
    <xf numFmtId="3" fontId="6" fillId="0" borderId="0" xfId="0" applyNumberFormat="1" applyFont="1" applyFill="1"/>
    <xf numFmtId="9" fontId="46" fillId="0" borderId="0" xfId="0" applyNumberFormat="1" applyFont="1" applyFill="1" applyBorder="1"/>
    <xf numFmtId="14" fontId="4" fillId="0" borderId="0" xfId="0" applyNumberFormat="1" applyFont="1" applyFill="1" applyAlignment="1">
      <alignment horizontal="right"/>
    </xf>
    <xf numFmtId="168" fontId="0" fillId="6" borderId="0" xfId="0" applyNumberFormat="1" applyFill="1"/>
    <xf numFmtId="0" fontId="5" fillId="0" borderId="3" xfId="0" applyFont="1" applyFill="1" applyBorder="1" applyAlignment="1">
      <alignment horizontal="center"/>
    </xf>
    <xf numFmtId="0" fontId="5" fillId="0" borderId="11" xfId="0" applyFont="1" applyFill="1" applyBorder="1"/>
    <xf numFmtId="168" fontId="6" fillId="0" borderId="45" xfId="0" quotePrefix="1" applyNumberFormat="1" applyFont="1" applyFill="1" applyBorder="1" applyAlignment="1">
      <alignment horizontal="center"/>
    </xf>
    <xf numFmtId="168" fontId="6" fillId="0" borderId="14" xfId="0" applyNumberFormat="1" applyFont="1" applyFill="1" applyBorder="1" applyAlignment="1">
      <alignment horizontal="center"/>
    </xf>
    <xf numFmtId="168" fontId="6" fillId="0" borderId="84" xfId="0" applyNumberFormat="1" applyFont="1" applyFill="1" applyBorder="1" applyAlignment="1">
      <alignment horizontal="center"/>
    </xf>
    <xf numFmtId="168" fontId="6" fillId="0" borderId="0" xfId="0" applyNumberFormat="1" applyFont="1" applyFill="1" applyBorder="1" applyAlignment="1">
      <alignment horizontal="center"/>
    </xf>
    <xf numFmtId="167" fontId="45" fillId="0" borderId="3" xfId="4" applyNumberFormat="1" applyFont="1" applyFill="1" applyBorder="1"/>
    <xf numFmtId="168" fontId="2" fillId="0" borderId="17" xfId="0" quotePrefix="1" applyNumberFormat="1" applyFont="1" applyFill="1" applyBorder="1" applyAlignment="1">
      <alignment horizontal="center"/>
    </xf>
    <xf numFmtId="168" fontId="6" fillId="0" borderId="85" xfId="0" applyNumberFormat="1" applyFont="1" applyFill="1" applyBorder="1" applyAlignment="1">
      <alignment horizontal="center" wrapText="1"/>
    </xf>
    <xf numFmtId="168" fontId="6" fillId="0" borderId="49" xfId="0" applyNumberFormat="1" applyFont="1" applyFill="1" applyBorder="1" applyAlignment="1">
      <alignment horizontal="center" wrapText="1"/>
    </xf>
    <xf numFmtId="168" fontId="4" fillId="0" borderId="0" xfId="0" applyNumberFormat="1" applyFont="1" applyFill="1" applyBorder="1" applyAlignment="1">
      <alignment horizontal="center" wrapText="1"/>
    </xf>
    <xf numFmtId="168" fontId="4" fillId="0" borderId="49" xfId="0" applyNumberFormat="1" applyFont="1" applyFill="1" applyBorder="1" applyAlignment="1">
      <alignment horizontal="center" wrapText="1"/>
    </xf>
    <xf numFmtId="168" fontId="4" fillId="6" borderId="100" xfId="0" applyNumberFormat="1" applyFont="1" applyFill="1" applyBorder="1"/>
    <xf numFmtId="168" fontId="6" fillId="6" borderId="7" xfId="0" applyNumberFormat="1" applyFont="1" applyFill="1" applyBorder="1" applyAlignment="1"/>
    <xf numFmtId="168" fontId="5" fillId="6" borderId="7" xfId="0" applyNumberFormat="1" applyFont="1" applyFill="1" applyBorder="1" applyAlignment="1">
      <alignment horizontal="left"/>
    </xf>
    <xf numFmtId="168" fontId="4" fillId="6" borderId="80" xfId="0" applyNumberFormat="1" applyFont="1" applyFill="1" applyBorder="1" applyAlignment="1">
      <alignment horizontal="left"/>
    </xf>
    <xf numFmtId="168" fontId="5" fillId="6" borderId="7" xfId="0" applyNumberFormat="1" applyFont="1" applyFill="1" applyBorder="1"/>
    <xf numFmtId="168" fontId="5" fillId="6" borderId="15" xfId="0" applyNumberFormat="1" applyFont="1" applyFill="1" applyBorder="1"/>
    <xf numFmtId="168" fontId="5" fillId="6" borderId="3" xfId="0" applyNumberFormat="1" applyFont="1" applyFill="1" applyBorder="1"/>
    <xf numFmtId="168" fontId="5" fillId="6" borderId="4" xfId="0" applyNumberFormat="1" applyFont="1" applyFill="1" applyBorder="1"/>
    <xf numFmtId="168" fontId="5" fillId="6" borderId="8" xfId="0" applyNumberFormat="1" applyFont="1" applyFill="1" applyBorder="1"/>
    <xf numFmtId="168" fontId="5" fillId="6" borderId="49" xfId="0" applyNumberFormat="1" applyFont="1" applyFill="1" applyBorder="1"/>
    <xf numFmtId="168" fontId="5" fillId="6" borderId="16" xfId="0" applyNumberFormat="1" applyFont="1" applyFill="1" applyBorder="1"/>
    <xf numFmtId="9" fontId="4" fillId="6" borderId="34" xfId="4" applyFont="1" applyFill="1" applyBorder="1"/>
    <xf numFmtId="9" fontId="4" fillId="6" borderId="0" xfId="4" applyFont="1" applyFill="1" applyBorder="1"/>
    <xf numFmtId="168" fontId="4" fillId="6" borderId="7" xfId="0" applyNumberFormat="1" applyFont="1" applyFill="1" applyBorder="1"/>
    <xf numFmtId="168" fontId="4" fillId="6" borderId="16" xfId="0" applyNumberFormat="1" applyFont="1" applyFill="1" applyBorder="1"/>
    <xf numFmtId="168" fontId="5" fillId="6" borderId="0" xfId="0" applyNumberFormat="1" applyFont="1" applyFill="1"/>
    <xf numFmtId="0" fontId="4" fillId="6" borderId="0" xfId="0" applyFont="1" applyFill="1" applyBorder="1"/>
    <xf numFmtId="3" fontId="2" fillId="0" borderId="69" xfId="0" applyNumberFormat="1" applyFont="1" applyBorder="1"/>
    <xf numFmtId="3" fontId="2" fillId="0" borderId="69" xfId="0" applyNumberFormat="1" applyFont="1" applyBorder="1" applyAlignment="1">
      <alignment horizontal="center"/>
    </xf>
    <xf numFmtId="3" fontId="2" fillId="0" borderId="69" xfId="0" applyNumberFormat="1" applyFont="1" applyFill="1" applyBorder="1" applyAlignment="1">
      <alignment horizontal="center"/>
    </xf>
    <xf numFmtId="3" fontId="0" fillId="0" borderId="69" xfId="0" applyNumberFormat="1" applyBorder="1"/>
    <xf numFmtId="10" fontId="45" fillId="0" borderId="69" xfId="4" applyNumberFormat="1" applyFont="1" applyBorder="1"/>
    <xf numFmtId="9" fontId="46" fillId="0" borderId="69" xfId="4" applyNumberFormat="1" applyFont="1" applyBorder="1"/>
    <xf numFmtId="9" fontId="45" fillId="0" borderId="69" xfId="4" applyNumberFormat="1" applyFont="1" applyBorder="1"/>
    <xf numFmtId="9" fontId="45" fillId="0" borderId="69" xfId="0" applyNumberFormat="1" applyFont="1" applyBorder="1"/>
    <xf numFmtId="168" fontId="2" fillId="0" borderId="162" xfId="0" applyNumberFormat="1" applyFont="1" applyBorder="1" applyAlignment="1">
      <alignment horizontal="center"/>
    </xf>
    <xf numFmtId="168" fontId="2" fillId="0" borderId="68" xfId="0" applyNumberFormat="1" applyFont="1" applyBorder="1" applyAlignment="1">
      <alignment horizontal="center"/>
    </xf>
    <xf numFmtId="168" fontId="2" fillId="0" borderId="165" xfId="0" applyNumberFormat="1" applyFont="1" applyBorder="1" applyAlignment="1">
      <alignment horizontal="center"/>
    </xf>
    <xf numFmtId="168" fontId="2" fillId="0" borderId="173" xfId="0" applyNumberFormat="1" applyFont="1" applyBorder="1" applyAlignment="1">
      <alignment horizontal="center"/>
    </xf>
    <xf numFmtId="168" fontId="2" fillId="0" borderId="88" xfId="0" applyNumberFormat="1" applyFont="1" applyBorder="1" applyAlignment="1">
      <alignment horizontal="center"/>
    </xf>
    <xf numFmtId="0" fontId="11" fillId="0" borderId="133" xfId="0" applyFont="1" applyBorder="1" applyAlignment="1">
      <alignment horizontal="center"/>
    </xf>
    <xf numFmtId="0" fontId="11" fillId="0" borderId="38" xfId="0" applyFont="1" applyBorder="1" applyAlignment="1">
      <alignment horizontal="center"/>
    </xf>
    <xf numFmtId="0" fontId="11" fillId="0" borderId="39" xfId="0" applyFont="1" applyBorder="1" applyAlignment="1">
      <alignment horizontal="center"/>
    </xf>
    <xf numFmtId="168" fontId="2" fillId="0" borderId="96" xfId="0" applyNumberFormat="1" applyFont="1" applyBorder="1" applyAlignment="1">
      <alignment horizontal="center"/>
    </xf>
    <xf numFmtId="168" fontId="2" fillId="0" borderId="24" xfId="0" applyNumberFormat="1" applyFont="1" applyBorder="1" applyAlignment="1">
      <alignment horizontal="center"/>
    </xf>
    <xf numFmtId="168" fontId="2" fillId="0" borderId="65" xfId="0" applyNumberFormat="1" applyFont="1" applyBorder="1" applyAlignment="1">
      <alignment horizontal="center"/>
    </xf>
    <xf numFmtId="168" fontId="11" fillId="0" borderId="133" xfId="0" applyNumberFormat="1" applyFont="1" applyBorder="1" applyAlignment="1">
      <alignment horizontal="center"/>
    </xf>
    <xf numFmtId="168" fontId="11" fillId="0" borderId="38" xfId="0" applyNumberFormat="1" applyFont="1" applyBorder="1" applyAlignment="1">
      <alignment horizontal="center"/>
    </xf>
    <xf numFmtId="168" fontId="11" fillId="0" borderId="39" xfId="0" applyNumberFormat="1" applyFont="1" applyBorder="1" applyAlignment="1">
      <alignment horizontal="center"/>
    </xf>
    <xf numFmtId="168" fontId="6" fillId="0" borderId="192" xfId="0" applyNumberFormat="1" applyFont="1" applyBorder="1" applyAlignment="1">
      <alignment horizontal="center"/>
    </xf>
    <xf numFmtId="168" fontId="6" fillId="0" borderId="24" xfId="0" applyNumberFormat="1" applyFont="1" applyBorder="1" applyAlignment="1">
      <alignment horizontal="center"/>
    </xf>
    <xf numFmtId="168" fontId="6" fillId="0" borderId="89" xfId="0" applyNumberFormat="1" applyFont="1" applyBorder="1" applyAlignment="1">
      <alignment horizontal="center"/>
    </xf>
    <xf numFmtId="168" fontId="2" fillId="0" borderId="192" xfId="0" applyNumberFormat="1" applyFont="1" applyBorder="1" applyAlignment="1">
      <alignment horizontal="center"/>
    </xf>
    <xf numFmtId="168" fontId="2" fillId="0" borderId="89" xfId="0" applyNumberFormat="1" applyFont="1" applyBorder="1" applyAlignment="1">
      <alignment horizontal="center"/>
    </xf>
    <xf numFmtId="168" fontId="2" fillId="0" borderId="37" xfId="0" applyNumberFormat="1" applyFont="1" applyBorder="1" applyAlignment="1">
      <alignment horizontal="center"/>
    </xf>
    <xf numFmtId="168" fontId="2" fillId="0" borderId="1" xfId="0" applyNumberFormat="1" applyFont="1" applyBorder="1" applyAlignment="1">
      <alignment horizontal="center"/>
    </xf>
    <xf numFmtId="168" fontId="2" fillId="0" borderId="35" xfId="0" applyNumberFormat="1" applyFont="1" applyBorder="1" applyAlignment="1">
      <alignment horizontal="center"/>
    </xf>
    <xf numFmtId="0" fontId="11" fillId="0" borderId="162" xfId="0" applyFont="1" applyFill="1" applyBorder="1" applyAlignment="1">
      <alignment horizontal="center"/>
    </xf>
    <xf numFmtId="0" fontId="11" fillId="0" borderId="68" xfId="0" applyFont="1" applyFill="1" applyBorder="1" applyAlignment="1">
      <alignment horizontal="center"/>
    </xf>
    <xf numFmtId="0" fontId="11" fillId="0" borderId="88" xfId="0" applyFont="1" applyFill="1" applyBorder="1" applyAlignment="1">
      <alignment horizontal="center"/>
    </xf>
    <xf numFmtId="0" fontId="11" fillId="0" borderId="162" xfId="0" applyFont="1" applyBorder="1" applyAlignment="1">
      <alignment horizontal="center"/>
    </xf>
    <xf numFmtId="0" fontId="11" fillId="0" borderId="68" xfId="0" applyFont="1" applyBorder="1" applyAlignment="1">
      <alignment horizontal="center"/>
    </xf>
    <xf numFmtId="0" fontId="11" fillId="0" borderId="88" xfId="0" applyFont="1" applyBorder="1" applyAlignment="1">
      <alignment horizontal="center"/>
    </xf>
    <xf numFmtId="168" fontId="2" fillId="0" borderId="196" xfId="0" applyNumberFormat="1" applyFont="1" applyBorder="1" applyAlignment="1">
      <alignment horizontal="center"/>
    </xf>
    <xf numFmtId="168" fontId="2" fillId="0" borderId="169" xfId="0" applyNumberFormat="1" applyFont="1" applyBorder="1" applyAlignment="1">
      <alignment horizontal="center"/>
    </xf>
    <xf numFmtId="168" fontId="2" fillId="0" borderId="170" xfId="0" applyNumberFormat="1" applyFont="1" applyBorder="1" applyAlignment="1">
      <alignment horizontal="center"/>
    </xf>
    <xf numFmtId="1" fontId="19" fillId="0" borderId="133" xfId="0" applyNumberFormat="1" applyFont="1" applyFill="1" applyBorder="1" applyAlignment="1">
      <alignment horizontal="center" vertical="center"/>
    </xf>
    <xf numFmtId="1" fontId="19" fillId="0" borderId="38" xfId="0" applyNumberFormat="1" applyFont="1" applyFill="1" applyBorder="1" applyAlignment="1">
      <alignment horizontal="center" vertical="center"/>
    </xf>
    <xf numFmtId="1" fontId="19" fillId="0" borderId="39" xfId="0" applyNumberFormat="1" applyFont="1" applyFill="1" applyBorder="1" applyAlignment="1">
      <alignment horizontal="center" vertical="center"/>
    </xf>
    <xf numFmtId="0" fontId="19" fillId="0" borderId="133" xfId="0" applyNumberFormat="1" applyFont="1" applyFill="1" applyBorder="1" applyAlignment="1">
      <alignment horizontal="center" vertical="center"/>
    </xf>
    <xf numFmtId="0" fontId="19" fillId="0" borderId="38" xfId="0" applyNumberFormat="1" applyFont="1" applyFill="1" applyBorder="1" applyAlignment="1">
      <alignment horizontal="center" vertical="center"/>
    </xf>
    <xf numFmtId="0" fontId="19" fillId="0" borderId="39" xfId="0" applyNumberFormat="1" applyFont="1" applyFill="1" applyBorder="1" applyAlignment="1">
      <alignment horizontal="center" vertical="center"/>
    </xf>
    <xf numFmtId="168" fontId="2" fillId="0" borderId="154" xfId="0" applyNumberFormat="1" applyFont="1" applyBorder="1" applyAlignment="1">
      <alignment horizontal="center"/>
    </xf>
    <xf numFmtId="168" fontId="2" fillId="0" borderId="129" xfId="0" applyNumberFormat="1" applyFont="1" applyBorder="1" applyAlignment="1">
      <alignment horizontal="center"/>
    </xf>
    <xf numFmtId="168" fontId="2" fillId="0" borderId="115" xfId="0" applyNumberFormat="1" applyFont="1" applyBorder="1" applyAlignment="1">
      <alignment horizontal="center"/>
    </xf>
    <xf numFmtId="168" fontId="2" fillId="0" borderId="168" xfId="0" applyNumberFormat="1" applyFont="1" applyBorder="1" applyAlignment="1">
      <alignment horizontal="center"/>
    </xf>
    <xf numFmtId="168" fontId="2" fillId="0" borderId="194" xfId="0" applyNumberFormat="1" applyFont="1" applyBorder="1" applyAlignment="1">
      <alignment horizontal="center"/>
    </xf>
    <xf numFmtId="0" fontId="19" fillId="0" borderId="162" xfId="0" applyNumberFormat="1" applyFont="1" applyFill="1" applyBorder="1" applyAlignment="1">
      <alignment horizontal="center" vertical="center"/>
    </xf>
    <xf numFmtId="0" fontId="19" fillId="0" borderId="68" xfId="0" applyNumberFormat="1" applyFont="1" applyFill="1" applyBorder="1" applyAlignment="1">
      <alignment horizontal="center" vertical="center"/>
    </xf>
    <xf numFmtId="0" fontId="19" fillId="0" borderId="88" xfId="0" applyNumberFormat="1" applyFont="1" applyFill="1" applyBorder="1" applyAlignment="1">
      <alignment horizontal="center" vertical="center"/>
    </xf>
    <xf numFmtId="168" fontId="2" fillId="0" borderId="86" xfId="0" applyNumberFormat="1" applyFont="1" applyBorder="1" applyAlignment="1">
      <alignment horizontal="center"/>
    </xf>
    <xf numFmtId="168" fontId="2" fillId="0" borderId="30" xfId="0" applyNumberFormat="1" applyFont="1" applyBorder="1" applyAlignment="1">
      <alignment horizontal="center"/>
    </xf>
    <xf numFmtId="168" fontId="2" fillId="0" borderId="197" xfId="0" applyNumberFormat="1" applyFont="1" applyBorder="1" applyAlignment="1">
      <alignment horizontal="center"/>
    </xf>
    <xf numFmtId="168" fontId="2" fillId="0" borderId="214" xfId="0" applyNumberFormat="1" applyFont="1" applyBorder="1" applyAlignment="1">
      <alignment horizontal="center"/>
    </xf>
    <xf numFmtId="168" fontId="2" fillId="0" borderId="196" xfId="0" applyNumberFormat="1" applyFont="1" applyFill="1" applyBorder="1" applyAlignment="1">
      <alignment horizontal="center"/>
    </xf>
    <xf numFmtId="168" fontId="2" fillId="0" borderId="169" xfId="0" applyNumberFormat="1" applyFont="1" applyFill="1" applyBorder="1" applyAlignment="1">
      <alignment horizontal="center"/>
    </xf>
    <xf numFmtId="168" fontId="2" fillId="0" borderId="170" xfId="0" applyNumberFormat="1" applyFont="1" applyFill="1" applyBorder="1" applyAlignment="1">
      <alignment horizontal="center"/>
    </xf>
    <xf numFmtId="168" fontId="6" fillId="0" borderId="96" xfId="0" applyNumberFormat="1" applyFont="1" applyBorder="1" applyAlignment="1">
      <alignment horizontal="center"/>
    </xf>
    <xf numFmtId="168" fontId="6" fillId="0" borderId="65" xfId="0" applyNumberFormat="1" applyFont="1" applyBorder="1" applyAlignment="1">
      <alignment horizontal="center"/>
    </xf>
    <xf numFmtId="168" fontId="2" fillId="0" borderId="96" xfId="0" applyNumberFormat="1" applyFont="1" applyFill="1" applyBorder="1" applyAlignment="1">
      <alignment horizontal="center"/>
    </xf>
    <xf numFmtId="168" fontId="2" fillId="0" borderId="24" xfId="0" applyNumberFormat="1" applyFont="1" applyFill="1" applyBorder="1" applyAlignment="1">
      <alignment horizontal="center"/>
    </xf>
    <xf numFmtId="168" fontId="2" fillId="0" borderId="65" xfId="0" applyNumberFormat="1" applyFont="1" applyFill="1" applyBorder="1" applyAlignment="1">
      <alignment horizontal="center"/>
    </xf>
    <xf numFmtId="168" fontId="2" fillId="0" borderId="192" xfId="0" quotePrefix="1" applyNumberFormat="1" applyFont="1" applyBorder="1" applyAlignment="1">
      <alignment horizontal="center"/>
    </xf>
    <xf numFmtId="168" fontId="2" fillId="0" borderId="24" xfId="0" quotePrefix="1" applyNumberFormat="1" applyFont="1" applyBorder="1" applyAlignment="1">
      <alignment horizontal="center"/>
    </xf>
    <xf numFmtId="168" fontId="2" fillId="0" borderId="89" xfId="0" quotePrefix="1" applyNumberFormat="1" applyFont="1" applyBorder="1" applyAlignment="1">
      <alignment horizontal="center"/>
    </xf>
    <xf numFmtId="168" fontId="2" fillId="0" borderId="168" xfId="0" quotePrefix="1" applyNumberFormat="1" applyFont="1" applyBorder="1" applyAlignment="1">
      <alignment horizontal="center"/>
    </xf>
    <xf numFmtId="168" fontId="2" fillId="0" borderId="169" xfId="0" quotePrefix="1" applyNumberFormat="1" applyFont="1" applyBorder="1" applyAlignment="1">
      <alignment horizontal="center"/>
    </xf>
    <xf numFmtId="168" fontId="2" fillId="0" borderId="194" xfId="0" quotePrefix="1" applyNumberFormat="1" applyFont="1" applyBorder="1" applyAlignment="1">
      <alignment horizontal="center"/>
    </xf>
    <xf numFmtId="168" fontId="2" fillId="0" borderId="192" xfId="0" quotePrefix="1" applyNumberFormat="1" applyFont="1" applyFill="1" applyBorder="1" applyAlignment="1">
      <alignment horizontal="center"/>
    </xf>
    <xf numFmtId="168" fontId="2" fillId="0" borderId="24" xfId="0" quotePrefix="1" applyNumberFormat="1" applyFont="1" applyFill="1" applyBorder="1" applyAlignment="1">
      <alignment horizontal="center"/>
    </xf>
    <xf numFmtId="168" fontId="2" fillId="0" borderId="89" xfId="0" quotePrefix="1" applyNumberFormat="1" applyFont="1" applyFill="1" applyBorder="1" applyAlignment="1">
      <alignment horizontal="center"/>
    </xf>
    <xf numFmtId="168" fontId="2" fillId="0" borderId="114" xfId="0" applyNumberFormat="1" applyFont="1" applyFill="1" applyBorder="1" applyAlignment="1">
      <alignment horizontal="center"/>
    </xf>
    <xf numFmtId="168" fontId="2" fillId="0" borderId="129" xfId="0" applyNumberFormat="1" applyFont="1" applyFill="1" applyBorder="1" applyAlignment="1">
      <alignment horizontal="center"/>
    </xf>
    <xf numFmtId="168" fontId="2" fillId="0" borderId="156" xfId="0" applyNumberFormat="1" applyFont="1" applyFill="1" applyBorder="1" applyAlignment="1">
      <alignment horizontal="center"/>
    </xf>
    <xf numFmtId="168" fontId="2" fillId="0" borderId="154" xfId="0" quotePrefix="1" applyNumberFormat="1" applyFont="1" applyBorder="1" applyAlignment="1">
      <alignment horizontal="center"/>
    </xf>
    <xf numFmtId="168" fontId="2" fillId="0" borderId="129" xfId="0" quotePrefix="1" applyNumberFormat="1" applyFont="1" applyBorder="1" applyAlignment="1">
      <alignment horizontal="center"/>
    </xf>
    <xf numFmtId="168" fontId="2" fillId="0" borderId="115" xfId="0" quotePrefix="1" applyNumberFormat="1" applyFont="1" applyBorder="1" applyAlignment="1">
      <alignment horizontal="center"/>
    </xf>
    <xf numFmtId="1" fontId="19" fillId="0" borderId="162" xfId="0" applyNumberFormat="1" applyFont="1" applyFill="1" applyBorder="1" applyAlignment="1">
      <alignment horizontal="center" vertical="center"/>
    </xf>
    <xf numFmtId="1" fontId="19" fillId="0" borderId="68" xfId="0" applyNumberFormat="1" applyFont="1" applyFill="1" applyBorder="1" applyAlignment="1">
      <alignment horizontal="center" vertical="center"/>
    </xf>
    <xf numFmtId="1" fontId="19" fillId="0" borderId="88" xfId="0" applyNumberFormat="1" applyFont="1" applyFill="1" applyBorder="1" applyAlignment="1">
      <alignment horizontal="center" vertical="center"/>
    </xf>
    <xf numFmtId="168" fontId="19" fillId="0" borderId="133" xfId="0" applyNumberFormat="1" applyFont="1" applyFill="1" applyBorder="1" applyAlignment="1">
      <alignment horizontal="center"/>
    </xf>
    <xf numFmtId="168" fontId="19" fillId="0" borderId="38" xfId="0" applyNumberFormat="1" applyFont="1" applyFill="1" applyBorder="1" applyAlignment="1">
      <alignment horizontal="center"/>
    </xf>
    <xf numFmtId="168" fontId="19" fillId="0" borderId="39" xfId="0" applyNumberFormat="1" applyFont="1" applyFill="1" applyBorder="1" applyAlignment="1">
      <alignment horizontal="center"/>
    </xf>
    <xf numFmtId="168" fontId="19" fillId="0" borderId="133" xfId="0" applyNumberFormat="1" applyFont="1" applyFill="1" applyBorder="1" applyAlignment="1">
      <alignment horizontal="center" vertical="center"/>
    </xf>
    <xf numFmtId="168" fontId="19" fillId="0" borderId="38" xfId="0" applyNumberFormat="1" applyFont="1" applyFill="1" applyBorder="1" applyAlignment="1">
      <alignment horizontal="center" vertical="center"/>
    </xf>
    <xf numFmtId="168" fontId="19" fillId="0" borderId="39" xfId="0" applyNumberFormat="1" applyFont="1" applyFill="1" applyBorder="1" applyAlignment="1">
      <alignment horizontal="center" vertical="center"/>
    </xf>
    <xf numFmtId="168" fontId="2" fillId="0" borderId="93" xfId="0" applyNumberFormat="1" applyFont="1" applyFill="1" applyBorder="1" applyAlignment="1">
      <alignment horizontal="center"/>
    </xf>
    <xf numFmtId="168" fontId="2" fillId="0" borderId="38" xfId="0" applyNumberFormat="1" applyFont="1" applyFill="1" applyBorder="1" applyAlignment="1">
      <alignment horizontal="center"/>
    </xf>
    <xf numFmtId="168" fontId="2" fillId="0" borderId="39" xfId="0" applyNumberFormat="1" applyFont="1" applyFill="1" applyBorder="1" applyAlignment="1">
      <alignment horizontal="center"/>
    </xf>
    <xf numFmtId="168" fontId="2" fillId="0" borderId="192" xfId="0" applyNumberFormat="1" applyFont="1" applyFill="1" applyBorder="1" applyAlignment="1">
      <alignment horizontal="center"/>
    </xf>
    <xf numFmtId="168" fontId="2" fillId="0" borderId="89" xfId="0" applyNumberFormat="1" applyFont="1" applyFill="1" applyBorder="1" applyAlignment="1">
      <alignment horizontal="center"/>
    </xf>
    <xf numFmtId="168" fontId="6" fillId="0" borderId="64" xfId="0" applyNumberFormat="1" applyFont="1" applyFill="1" applyBorder="1" applyAlignment="1">
      <alignment horizontal="center"/>
    </xf>
    <xf numFmtId="168" fontId="6" fillId="0" borderId="14" xfId="0" applyNumberFormat="1" applyFont="1" applyFill="1" applyBorder="1" applyAlignment="1">
      <alignment horizontal="center"/>
    </xf>
    <xf numFmtId="168" fontId="6" fillId="0" borderId="84" xfId="0" applyNumberFormat="1" applyFont="1" applyFill="1" applyBorder="1" applyAlignment="1">
      <alignment horizontal="center"/>
    </xf>
    <xf numFmtId="168" fontId="19" fillId="0" borderId="162" xfId="0" applyNumberFormat="1" applyFont="1" applyFill="1" applyBorder="1" applyAlignment="1">
      <alignment horizontal="center"/>
    </xf>
    <xf numFmtId="168" fontId="19" fillId="0" borderId="68" xfId="0" applyNumberFormat="1" applyFont="1" applyFill="1" applyBorder="1" applyAlignment="1">
      <alignment horizontal="center"/>
    </xf>
    <xf numFmtId="168" fontId="19" fillId="0" borderId="88" xfId="0" applyNumberFormat="1" applyFont="1" applyFill="1" applyBorder="1" applyAlignment="1">
      <alignment horizontal="center"/>
    </xf>
    <xf numFmtId="168" fontId="2" fillId="0" borderId="25" xfId="0" applyNumberFormat="1" applyFont="1" applyFill="1" applyBorder="1" applyAlignment="1">
      <alignment horizontal="center"/>
    </xf>
    <xf numFmtId="168" fontId="2" fillId="0" borderId="180" xfId="0" applyNumberFormat="1" applyFont="1" applyFill="1" applyBorder="1" applyAlignment="1">
      <alignment horizontal="center"/>
    </xf>
    <xf numFmtId="168" fontId="2" fillId="0" borderId="64" xfId="0" applyNumberFormat="1" applyFont="1" applyFill="1" applyBorder="1" applyAlignment="1">
      <alignment horizontal="center"/>
    </xf>
    <xf numFmtId="168" fontId="2" fillId="0" borderId="14" xfId="0" applyNumberFormat="1" applyFont="1" applyFill="1" applyBorder="1" applyAlignment="1">
      <alignment horizontal="center"/>
    </xf>
    <xf numFmtId="168" fontId="6" fillId="0" borderId="34" xfId="0" applyNumberFormat="1" applyFont="1" applyFill="1" applyBorder="1" applyAlignment="1">
      <alignment horizontal="center"/>
    </xf>
    <xf numFmtId="168" fontId="6" fillId="0" borderId="0" xfId="0" applyNumberFormat="1" applyFont="1" applyFill="1" applyBorder="1" applyAlignment="1">
      <alignment horizontal="center"/>
    </xf>
    <xf numFmtId="168" fontId="6" fillId="0" borderId="16" xfId="0" applyNumberFormat="1" applyFont="1" applyFill="1" applyBorder="1" applyAlignment="1">
      <alignment horizontal="center"/>
    </xf>
    <xf numFmtId="168" fontId="19" fillId="0" borderId="162" xfId="0" applyNumberFormat="1" applyFont="1" applyFill="1" applyBorder="1" applyAlignment="1">
      <alignment horizontal="center" vertical="center"/>
    </xf>
    <xf numFmtId="168" fontId="19" fillId="0" borderId="68" xfId="0" applyNumberFormat="1" applyFont="1" applyFill="1" applyBorder="1" applyAlignment="1">
      <alignment horizontal="center" vertical="center"/>
    </xf>
    <xf numFmtId="168" fontId="19" fillId="0" borderId="88" xfId="0" applyNumberFormat="1" applyFont="1" applyFill="1" applyBorder="1" applyAlignment="1">
      <alignment horizontal="center" vertical="center"/>
    </xf>
    <xf numFmtId="168" fontId="6" fillId="0" borderId="64" xfId="0" quotePrefix="1" applyNumberFormat="1" applyFont="1" applyFill="1" applyBorder="1" applyAlignment="1">
      <alignment horizontal="center"/>
    </xf>
    <xf numFmtId="168" fontId="6" fillId="0" borderId="14" xfId="0" quotePrefix="1" applyNumberFormat="1" applyFont="1" applyFill="1" applyBorder="1" applyAlignment="1">
      <alignment horizontal="center"/>
    </xf>
    <xf numFmtId="168" fontId="6" fillId="0" borderId="84" xfId="0" quotePrefix="1" applyNumberFormat="1" applyFont="1" applyFill="1" applyBorder="1" applyAlignment="1">
      <alignment horizontal="center"/>
    </xf>
    <xf numFmtId="168" fontId="6" fillId="0" borderId="62" xfId="0" quotePrefix="1" applyNumberFormat="1" applyFont="1" applyFill="1" applyBorder="1" applyAlignment="1">
      <alignment horizontal="center"/>
    </xf>
    <xf numFmtId="168" fontId="6" fillId="0" borderId="171" xfId="0" applyNumberFormat="1" applyFont="1" applyFill="1" applyBorder="1" applyAlignment="1">
      <alignment horizontal="center" vertical="center"/>
    </xf>
    <xf numFmtId="168" fontId="6" fillId="0" borderId="161" xfId="0" applyNumberFormat="1" applyFont="1" applyFill="1" applyBorder="1" applyAlignment="1">
      <alignment horizontal="center" vertical="center"/>
    </xf>
    <xf numFmtId="168" fontId="6" fillId="0" borderId="172" xfId="0" applyNumberFormat="1" applyFont="1" applyFill="1" applyBorder="1" applyAlignment="1">
      <alignment horizontal="center" vertical="center"/>
    </xf>
    <xf numFmtId="168" fontId="2" fillId="0" borderId="171" xfId="0" applyNumberFormat="1" applyFont="1" applyFill="1" applyBorder="1" applyAlignment="1">
      <alignment horizontal="center" vertical="center"/>
    </xf>
    <xf numFmtId="168" fontId="2" fillId="0" borderId="161" xfId="0" applyNumberFormat="1" applyFont="1" applyFill="1" applyBorder="1" applyAlignment="1">
      <alignment horizontal="center" vertical="center"/>
    </xf>
    <xf numFmtId="168" fontId="2" fillId="0" borderId="172" xfId="0" applyNumberFormat="1" applyFont="1" applyFill="1" applyBorder="1" applyAlignment="1">
      <alignment horizontal="center" vertical="center"/>
    </xf>
    <xf numFmtId="3" fontId="16" fillId="0" borderId="75" xfId="0" quotePrefix="1" applyNumberFormat="1" applyFont="1" applyFill="1" applyBorder="1" applyAlignment="1">
      <alignment horizontal="center"/>
    </xf>
    <xf numFmtId="3" fontId="16" fillId="0" borderId="149" xfId="0" quotePrefix="1" applyNumberFormat="1" applyFont="1" applyFill="1" applyBorder="1" applyAlignment="1">
      <alignment horizontal="center"/>
    </xf>
    <xf numFmtId="0" fontId="11" fillId="0" borderId="154" xfId="0" applyFont="1" applyFill="1" applyBorder="1" applyAlignment="1">
      <alignment horizontal="center"/>
    </xf>
    <xf numFmtId="0" fontId="11" fillId="0" borderId="129" xfId="0" applyFont="1" applyFill="1" applyBorder="1" applyAlignment="1">
      <alignment horizontal="center"/>
    </xf>
    <xf numFmtId="0" fontId="11" fillId="0" borderId="156" xfId="0" applyFont="1" applyFill="1" applyBorder="1" applyAlignment="1">
      <alignment horizontal="center"/>
    </xf>
    <xf numFmtId="0" fontId="16" fillId="0" borderId="116" xfId="0" applyFont="1" applyFill="1" applyBorder="1" applyAlignment="1">
      <alignment horizontal="center"/>
    </xf>
    <xf numFmtId="0" fontId="16" fillId="0" borderId="74" xfId="0" applyFont="1" applyFill="1" applyBorder="1" applyAlignment="1">
      <alignment horizontal="center"/>
    </xf>
    <xf numFmtId="3" fontId="16" fillId="0" borderId="116" xfId="0" quotePrefix="1" applyNumberFormat="1" applyFont="1" applyFill="1" applyBorder="1" applyAlignment="1">
      <alignment horizontal="center"/>
    </xf>
    <xf numFmtId="3" fontId="16" fillId="0" borderId="74" xfId="0" quotePrefix="1" applyNumberFormat="1" applyFont="1" applyFill="1" applyBorder="1" applyAlignment="1">
      <alignment horizontal="center"/>
    </xf>
    <xf numFmtId="3" fontId="16" fillId="0" borderId="74" xfId="0" applyNumberFormat="1" applyFont="1" applyFill="1" applyBorder="1" applyAlignment="1">
      <alignment horizontal="center"/>
    </xf>
    <xf numFmtId="168" fontId="6" fillId="0" borderId="24" xfId="0" quotePrefix="1" applyNumberFormat="1" applyFont="1" applyBorder="1" applyAlignment="1">
      <alignment horizontal="center"/>
    </xf>
    <xf numFmtId="168" fontId="6" fillId="0" borderId="89" xfId="0" quotePrefix="1" applyNumberFormat="1" applyFont="1" applyBorder="1" applyAlignment="1">
      <alignment horizontal="center"/>
    </xf>
    <xf numFmtId="49" fontId="19" fillId="0" borderId="162" xfId="0" applyNumberFormat="1" applyFont="1" applyFill="1" applyBorder="1" applyAlignment="1">
      <alignment horizontal="center"/>
    </xf>
    <xf numFmtId="49" fontId="19" fillId="0" borderId="68" xfId="0" applyNumberFormat="1" applyFont="1" applyFill="1" applyBorder="1" applyAlignment="1">
      <alignment horizontal="center"/>
    </xf>
    <xf numFmtId="49" fontId="19" fillId="0" borderId="88" xfId="0" applyNumberFormat="1" applyFont="1" applyFill="1" applyBorder="1" applyAlignment="1">
      <alignment horizontal="center"/>
    </xf>
    <xf numFmtId="0" fontId="17" fillId="0" borderId="162" xfId="0" applyFont="1" applyFill="1" applyBorder="1" applyAlignment="1">
      <alignment horizontal="center" vertical="center"/>
    </xf>
    <xf numFmtId="0" fontId="17" fillId="0" borderId="68" xfId="0" applyFont="1" applyFill="1" applyBorder="1" applyAlignment="1">
      <alignment horizontal="center" vertical="center"/>
    </xf>
    <xf numFmtId="0" fontId="17" fillId="0" borderId="128" xfId="0" applyFont="1" applyFill="1" applyBorder="1" applyAlignment="1">
      <alignment horizontal="center" vertical="center"/>
    </xf>
    <xf numFmtId="0" fontId="2" fillId="0" borderId="64" xfId="0" applyFont="1" applyFill="1" applyBorder="1" applyAlignment="1">
      <alignment horizontal="center" vertical="center"/>
    </xf>
    <xf numFmtId="0" fontId="6" fillId="0" borderId="14" xfId="0" applyFont="1" applyFill="1" applyBorder="1" applyAlignment="1">
      <alignment horizontal="center" vertical="center"/>
    </xf>
    <xf numFmtId="0" fontId="6" fillId="0" borderId="84" xfId="0" applyFont="1" applyFill="1" applyBorder="1" applyAlignment="1">
      <alignment horizontal="center" vertical="center"/>
    </xf>
    <xf numFmtId="0" fontId="2" fillId="0" borderId="14" xfId="0" applyFont="1" applyFill="1" applyBorder="1" applyAlignment="1">
      <alignment horizontal="center" vertical="center"/>
    </xf>
    <xf numFmtId="0" fontId="6" fillId="0" borderId="62" xfId="0" applyFont="1" applyFill="1" applyBorder="1" applyAlignment="1">
      <alignment horizontal="center" vertical="center"/>
    </xf>
    <xf numFmtId="0" fontId="2" fillId="0" borderId="14" xfId="0" applyFont="1" applyFill="1" applyBorder="1" applyAlignment="1">
      <alignment horizontal="center"/>
    </xf>
    <xf numFmtId="0" fontId="6" fillId="0" borderId="14" xfId="0" applyFont="1" applyFill="1" applyBorder="1" applyAlignment="1">
      <alignment horizontal="center"/>
    </xf>
    <xf numFmtId="0" fontId="6" fillId="0" borderId="84" xfId="0" applyFont="1" applyFill="1" applyBorder="1" applyAlignment="1">
      <alignment horizontal="center"/>
    </xf>
    <xf numFmtId="168" fontId="2" fillId="0" borderId="0" xfId="0" applyNumberFormat="1" applyFont="1" applyFill="1" applyAlignment="1">
      <alignment horizontal="center"/>
    </xf>
    <xf numFmtId="0" fontId="6" fillId="0" borderId="64" xfId="0" applyFont="1" applyFill="1" applyBorder="1" applyAlignment="1">
      <alignment horizontal="center" vertical="center"/>
    </xf>
    <xf numFmtId="0" fontId="17" fillId="0" borderId="88" xfId="0" applyFont="1" applyFill="1" applyBorder="1" applyAlignment="1">
      <alignment horizontal="center" vertical="center"/>
    </xf>
    <xf numFmtId="0" fontId="7" fillId="0" borderId="162" xfId="0" applyFont="1" applyFill="1" applyBorder="1" applyAlignment="1">
      <alignment horizontal="center" vertical="center"/>
    </xf>
    <xf numFmtId="0" fontId="7" fillId="0" borderId="68" xfId="0" applyFont="1" applyFill="1" applyBorder="1" applyAlignment="1">
      <alignment horizontal="center" vertical="center"/>
    </xf>
    <xf numFmtId="0" fontId="7" fillId="0" borderId="88" xfId="0" applyFont="1" applyFill="1" applyBorder="1" applyAlignment="1">
      <alignment horizontal="center" vertical="center"/>
    </xf>
    <xf numFmtId="0" fontId="6" fillId="6" borderId="64" xfId="0" applyFont="1" applyFill="1" applyBorder="1" applyAlignment="1">
      <alignment horizontal="center" vertical="center"/>
    </xf>
    <xf numFmtId="0" fontId="6" fillId="6" borderId="14" xfId="0" applyFont="1" applyFill="1" applyBorder="1" applyAlignment="1">
      <alignment horizontal="center" vertical="center"/>
    </xf>
    <xf numFmtId="0" fontId="6" fillId="6" borderId="84" xfId="0" applyFont="1" applyFill="1" applyBorder="1" applyAlignment="1">
      <alignment horizontal="center" vertical="center"/>
    </xf>
    <xf numFmtId="0" fontId="2" fillId="6" borderId="14" xfId="0" applyFont="1" applyFill="1" applyBorder="1" applyAlignment="1">
      <alignment horizontal="center" vertical="center"/>
    </xf>
    <xf numFmtId="0" fontId="3" fillId="0" borderId="34" xfId="0" applyFont="1" applyFill="1" applyBorder="1" applyAlignment="1" applyProtection="1">
      <alignment horizontal="center"/>
      <protection locked="0"/>
    </xf>
    <xf numFmtId="0" fontId="3" fillId="0" borderId="0" xfId="0" applyFont="1" applyFill="1" applyBorder="1" applyAlignment="1" applyProtection="1">
      <alignment horizontal="center"/>
      <protection locked="0"/>
    </xf>
    <xf numFmtId="0" fontId="2" fillId="0" borderId="84" xfId="0" applyFont="1" applyFill="1" applyBorder="1" applyAlignment="1">
      <alignment horizontal="center" vertical="center"/>
    </xf>
    <xf numFmtId="168" fontId="2" fillId="0" borderId="162" xfId="0" applyNumberFormat="1" applyFont="1" applyBorder="1" applyAlignment="1">
      <alignment horizontal="center" vertical="center"/>
    </xf>
    <xf numFmtId="168" fontId="2" fillId="0" borderId="68" xfId="0" applyNumberFormat="1" applyFont="1" applyBorder="1" applyAlignment="1">
      <alignment horizontal="center" vertical="center"/>
    </xf>
    <xf numFmtId="168" fontId="2" fillId="0" borderId="88" xfId="0" applyNumberFormat="1" applyFont="1" applyBorder="1" applyAlignment="1">
      <alignment horizontal="center" vertical="center"/>
    </xf>
    <xf numFmtId="168" fontId="19" fillId="0" borderId="133" xfId="0" applyNumberFormat="1" applyFont="1" applyBorder="1" applyAlignment="1">
      <alignment horizontal="center" vertical="center"/>
    </xf>
    <xf numFmtId="168" fontId="19" fillId="0" borderId="38" xfId="0" applyNumberFormat="1" applyFont="1" applyBorder="1" applyAlignment="1">
      <alignment horizontal="center" vertical="center"/>
    </xf>
    <xf numFmtId="168" fontId="19" fillId="0" borderId="39" xfId="0" applyNumberFormat="1" applyFont="1" applyBorder="1" applyAlignment="1">
      <alignment horizontal="center" vertical="center"/>
    </xf>
    <xf numFmtId="168" fontId="2" fillId="0" borderId="168" xfId="0" applyNumberFormat="1" applyFont="1" applyBorder="1" applyAlignment="1">
      <alignment horizontal="center" vertical="center"/>
    </xf>
    <xf numFmtId="168" fontId="2" fillId="0" borderId="169" xfId="0" applyNumberFormat="1" applyFont="1" applyBorder="1" applyAlignment="1">
      <alignment horizontal="center" vertical="center"/>
    </xf>
    <xf numFmtId="168" fontId="2" fillId="0" borderId="170" xfId="0" applyNumberFormat="1" applyFont="1" applyBorder="1" applyAlignment="1">
      <alignment horizontal="center" vertical="center"/>
    </xf>
    <xf numFmtId="168" fontId="6" fillId="0" borderId="96" xfId="0" applyNumberFormat="1" applyFont="1" applyFill="1" applyBorder="1" applyAlignment="1">
      <alignment horizontal="center"/>
    </xf>
    <xf numFmtId="168" fontId="6" fillId="0" borderId="24" xfId="0" applyNumberFormat="1" applyFont="1" applyFill="1" applyBorder="1" applyAlignment="1">
      <alignment horizontal="center"/>
    </xf>
    <xf numFmtId="168" fontId="6" fillId="0" borderId="65" xfId="0" applyNumberFormat="1" applyFont="1" applyFill="1" applyBorder="1" applyAlignment="1">
      <alignment horizontal="center"/>
    </xf>
    <xf numFmtId="168" fontId="6" fillId="0" borderId="133" xfId="0" applyNumberFormat="1" applyFont="1" applyFill="1" applyBorder="1" applyAlignment="1">
      <alignment horizontal="center" vertical="center"/>
    </xf>
    <xf numFmtId="168" fontId="6" fillId="0" borderId="38" xfId="0" applyNumberFormat="1" applyFont="1" applyFill="1" applyBorder="1" applyAlignment="1">
      <alignment horizontal="center" vertical="center"/>
    </xf>
    <xf numFmtId="168" fontId="6" fillId="0" borderId="39" xfId="0" applyNumberFormat="1" applyFont="1" applyFill="1" applyBorder="1" applyAlignment="1">
      <alignment horizontal="center" vertical="center"/>
    </xf>
    <xf numFmtId="0" fontId="6" fillId="0" borderId="0" xfId="0" applyFont="1" applyAlignment="1">
      <alignment horizontal="center"/>
    </xf>
    <xf numFmtId="0" fontId="2" fillId="0" borderId="116" xfId="0" applyFont="1" applyBorder="1" applyAlignment="1">
      <alignment horizontal="center"/>
    </xf>
    <xf numFmtId="0" fontId="2" fillId="0" borderId="74" xfId="0" applyFont="1" applyBorder="1" applyAlignment="1">
      <alignment horizontal="center"/>
    </xf>
    <xf numFmtId="0" fontId="2" fillId="0" borderId="116" xfId="0" applyFont="1" applyFill="1" applyBorder="1" applyAlignment="1">
      <alignment horizontal="center"/>
    </xf>
    <xf numFmtId="0" fontId="2" fillId="0" borderId="74" xfId="0" applyFont="1" applyFill="1" applyBorder="1" applyAlignment="1">
      <alignment horizontal="center"/>
    </xf>
    <xf numFmtId="168" fontId="2" fillId="0" borderId="133" xfId="0" applyNumberFormat="1" applyFont="1" applyFill="1" applyBorder="1" applyAlignment="1">
      <alignment horizontal="center" vertical="center"/>
    </xf>
    <xf numFmtId="168" fontId="2" fillId="0" borderId="38" xfId="0" applyNumberFormat="1" applyFont="1" applyFill="1" applyBorder="1" applyAlignment="1">
      <alignment horizontal="center" vertical="center"/>
    </xf>
    <xf numFmtId="168" fontId="2" fillId="0" borderId="39" xfId="0" applyNumberFormat="1" applyFont="1" applyFill="1" applyBorder="1" applyAlignment="1">
      <alignment horizontal="center" vertical="center"/>
    </xf>
    <xf numFmtId="0" fontId="4" fillId="0" borderId="133" xfId="0" applyFont="1" applyBorder="1" applyAlignment="1">
      <alignment horizontal="center"/>
    </xf>
    <xf numFmtId="0" fontId="4" fillId="0" borderId="38" xfId="0" applyFont="1" applyBorder="1" applyAlignment="1">
      <alignment horizontal="center"/>
    </xf>
    <xf numFmtId="0" fontId="4" fillId="0" borderId="39" xfId="0" applyFont="1" applyBorder="1" applyAlignment="1">
      <alignment horizontal="center"/>
    </xf>
    <xf numFmtId="0" fontId="2" fillId="0" borderId="34" xfId="0" applyFont="1" applyBorder="1" applyAlignment="1">
      <alignment horizontal="center"/>
    </xf>
    <xf numFmtId="0" fontId="2" fillId="0" borderId="0" xfId="0" applyFont="1" applyBorder="1" applyAlignment="1">
      <alignment horizontal="center"/>
    </xf>
    <xf numFmtId="0" fontId="2" fillId="0" borderId="16" xfId="0" applyFont="1" applyBorder="1" applyAlignment="1">
      <alignment horizontal="center"/>
    </xf>
    <xf numFmtId="0" fontId="2" fillId="0" borderId="149" xfId="0" applyFont="1" applyBorder="1" applyAlignment="1">
      <alignment horizontal="center"/>
    </xf>
    <xf numFmtId="0" fontId="2" fillId="0" borderId="192" xfId="0" applyNumberFormat="1" applyFont="1" applyBorder="1" applyAlignment="1">
      <alignment horizontal="center"/>
    </xf>
    <xf numFmtId="0" fontId="2" fillId="0" borderId="24" xfId="0" applyNumberFormat="1" applyFont="1" applyBorder="1" applyAlignment="1">
      <alignment horizontal="center"/>
    </xf>
    <xf numFmtId="0" fontId="2" fillId="0" borderId="0" xfId="0" applyFont="1" applyFill="1" applyBorder="1" applyAlignment="1">
      <alignment horizontal="center"/>
    </xf>
    <xf numFmtId="0" fontId="27" fillId="0" borderId="130" xfId="0" applyFont="1" applyFill="1" applyBorder="1" applyAlignment="1">
      <alignment horizontal="center" wrapText="1"/>
    </xf>
    <xf numFmtId="0" fontId="27" fillId="0" borderId="79" xfId="0" applyFont="1" applyFill="1" applyBorder="1" applyAlignment="1">
      <alignment horizontal="center" wrapText="1"/>
    </xf>
    <xf numFmtId="0" fontId="27" fillId="0" borderId="130" xfId="0" applyFont="1" applyFill="1" applyBorder="1" applyAlignment="1">
      <alignment wrapText="1"/>
    </xf>
    <xf numFmtId="0" fontId="27" fillId="0" borderId="79" xfId="0" applyFont="1" applyFill="1" applyBorder="1" applyAlignment="1">
      <alignment wrapText="1"/>
    </xf>
    <xf numFmtId="0" fontId="2" fillId="0" borderId="215" xfId="0" applyFont="1" applyBorder="1" applyAlignment="1">
      <alignment horizontal="center"/>
    </xf>
    <xf numFmtId="0" fontId="2" fillId="0" borderId="169" xfId="0" applyFont="1" applyBorder="1" applyAlignment="1">
      <alignment horizontal="center"/>
    </xf>
    <xf numFmtId="0" fontId="2" fillId="0" borderId="216" xfId="0" applyFont="1" applyBorder="1" applyAlignment="1">
      <alignment horizontal="center"/>
    </xf>
    <xf numFmtId="0" fontId="2" fillId="0" borderId="170" xfId="0" applyFont="1" applyBorder="1" applyAlignment="1">
      <alignment horizontal="center"/>
    </xf>
    <xf numFmtId="0" fontId="6" fillId="0" borderId="133" xfId="0" applyFont="1" applyBorder="1" applyAlignment="1">
      <alignment horizontal="center"/>
    </xf>
    <xf numFmtId="0" fontId="6" fillId="0" borderId="38" xfId="0" applyFont="1" applyBorder="1" applyAlignment="1">
      <alignment horizontal="center"/>
    </xf>
    <xf numFmtId="0" fontId="6" fillId="0" borderId="39" xfId="0" applyFont="1" applyBorder="1" applyAlignment="1">
      <alignment horizontal="center"/>
    </xf>
    <xf numFmtId="38" fontId="2" fillId="0" borderId="7" xfId="0" applyNumberFormat="1" applyFont="1" applyBorder="1" applyAlignment="1">
      <alignment horizontal="center"/>
    </xf>
    <xf numFmtId="38" fontId="2" fillId="0" borderId="0" xfId="0" applyNumberFormat="1" applyFont="1" applyBorder="1" applyAlignment="1">
      <alignment horizontal="center"/>
    </xf>
    <xf numFmtId="38" fontId="2" fillId="0" borderId="8" xfId="0" applyNumberFormat="1" applyFont="1" applyBorder="1" applyAlignment="1">
      <alignment horizontal="center"/>
    </xf>
    <xf numFmtId="0" fontId="2" fillId="0" borderId="8" xfId="0" applyFont="1" applyBorder="1" applyAlignment="1">
      <alignment horizontal="center"/>
    </xf>
    <xf numFmtId="0" fontId="2" fillId="0" borderId="180" xfId="0" applyFont="1" applyBorder="1" applyAlignment="1">
      <alignment horizontal="center"/>
    </xf>
    <xf numFmtId="0" fontId="2" fillId="0" borderId="24" xfId="0" applyFont="1" applyBorder="1" applyAlignment="1">
      <alignment horizontal="center"/>
    </xf>
    <xf numFmtId="0" fontId="2" fillId="0" borderId="25" xfId="0" applyFont="1" applyBorder="1" applyAlignment="1">
      <alignment horizontal="center"/>
    </xf>
    <xf numFmtId="0" fontId="2" fillId="0" borderId="64" xfId="0" applyFont="1" applyBorder="1" applyAlignment="1">
      <alignment horizontal="center"/>
    </xf>
    <xf numFmtId="0" fontId="2" fillId="0" borderId="14" xfId="0" applyFont="1" applyBorder="1" applyAlignment="1">
      <alignment horizontal="center"/>
    </xf>
    <xf numFmtId="0" fontId="2" fillId="0" borderId="84" xfId="0" applyFont="1" applyBorder="1" applyAlignment="1">
      <alignment horizontal="center"/>
    </xf>
    <xf numFmtId="168" fontId="2" fillId="0" borderId="7" xfId="0" applyNumberFormat="1" applyFont="1" applyBorder="1" applyAlignment="1">
      <alignment horizontal="center"/>
    </xf>
    <xf numFmtId="168" fontId="2" fillId="0" borderId="0" xfId="0" applyNumberFormat="1" applyFont="1" applyBorder="1" applyAlignment="1">
      <alignment horizontal="center"/>
    </xf>
    <xf numFmtId="168" fontId="2" fillId="0" borderId="8" xfId="0" applyNumberFormat="1" applyFont="1" applyBorder="1" applyAlignment="1">
      <alignment horizontal="center"/>
    </xf>
    <xf numFmtId="1" fontId="2" fillId="0" borderId="0" xfId="0" applyNumberFormat="1" applyFont="1" applyAlignment="1">
      <alignment horizontal="center"/>
    </xf>
    <xf numFmtId="168" fontId="2" fillId="0" borderId="0" xfId="0" applyNumberFormat="1" applyFont="1" applyAlignment="1">
      <alignment horizontal="center"/>
    </xf>
    <xf numFmtId="168" fontId="2" fillId="0" borderId="6" xfId="0" applyNumberFormat="1" applyFont="1" applyFill="1" applyBorder="1" applyAlignment="1">
      <alignment horizontal="center"/>
    </xf>
    <xf numFmtId="168" fontId="6" fillId="0" borderId="6" xfId="0" applyNumberFormat="1" applyFont="1" applyFill="1" applyBorder="1" applyAlignment="1">
      <alignment horizontal="center"/>
    </xf>
    <xf numFmtId="167" fontId="46" fillId="0" borderId="3" xfId="4" applyNumberFormat="1" applyFont="1" applyFill="1" applyBorder="1"/>
    <xf numFmtId="0" fontId="27" fillId="0" borderId="113" xfId="0" applyFont="1" applyBorder="1" applyAlignment="1">
      <alignment horizontal="justify" vertical="center"/>
    </xf>
    <xf numFmtId="3" fontId="2" fillId="0" borderId="71" xfId="0" applyNumberFormat="1" applyFont="1" applyBorder="1" applyAlignment="1">
      <alignment horizontal="center"/>
    </xf>
    <xf numFmtId="167" fontId="45" fillId="0" borderId="13" xfId="4" applyNumberFormat="1" applyFont="1" applyFill="1" applyBorder="1"/>
    <xf numFmtId="167" fontId="46" fillId="0" borderId="3" xfId="4" applyNumberFormat="1" applyFont="1" applyBorder="1"/>
  </cellXfs>
  <cellStyles count="9">
    <cellStyle name="Comma" xfId="1" builtinId="3"/>
    <cellStyle name="Comma 2" xfId="7"/>
    <cellStyle name="Currency" xfId="2" builtinId="4"/>
    <cellStyle name="Hyperlink" xfId="3" builtinId="8"/>
    <cellStyle name="Normal" xfId="0" builtinId="0"/>
    <cellStyle name="Normal 2" xfId="5"/>
    <cellStyle name="Normal 3" xfId="8"/>
    <cellStyle name="Percent" xfId="4" builtinId="5"/>
    <cellStyle name="Percent 2" xfId="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onnections" Target="connections.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1"/>
          <c:order val="1"/>
          <c:tx>
            <c:strRef>
              <c:f>'Gen-Cons-LTFP'!#REF!</c:f>
              <c:strCache>
                <c:ptCount val="1"/>
                <c:pt idx="0">
                  <c:v>#REF!</c:v>
                </c:pt>
              </c:strCache>
            </c:strRef>
          </c:tx>
          <c:spPr>
            <a:solidFill>
              <a:srgbClr val="993366"/>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2"/>
          <c:order val="2"/>
          <c:tx>
            <c:strRef>
              <c:f>'Gen-Cons-LTFP'!#REF!</c:f>
              <c:strCache>
                <c:ptCount val="1"/>
                <c:pt idx="0">
                  <c:v>#REF!</c:v>
                </c:pt>
              </c:strCache>
            </c:strRef>
          </c:tx>
          <c:spPr>
            <a:solidFill>
              <a:srgbClr val="FFFFCC"/>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3"/>
          <c:order val="3"/>
          <c:tx>
            <c:strRef>
              <c:f>'Gen-Cons-LTFP'!#REF!</c:f>
              <c:strCache>
                <c:ptCount val="1"/>
                <c:pt idx="0">
                  <c:v>#REF!</c:v>
                </c:pt>
              </c:strCache>
            </c:strRef>
          </c:tx>
          <c:spPr>
            <a:solidFill>
              <a:srgbClr val="CCFF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4"/>
          <c:order val="4"/>
          <c:tx>
            <c:strRef>
              <c:f>'Gen-Cons-LTFP'!#REF!</c:f>
              <c:strCache>
                <c:ptCount val="1"/>
                <c:pt idx="0">
                  <c:v>#REF!</c:v>
                </c:pt>
              </c:strCache>
            </c:strRef>
          </c:tx>
          <c:spPr>
            <a:solidFill>
              <a:srgbClr val="660066"/>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79659392"/>
        <c:axId val="79660928"/>
      </c:barChart>
      <c:catAx>
        <c:axId val="7965939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9660928"/>
        <c:crosses val="autoZero"/>
        <c:auto val="0"/>
        <c:lblAlgn val="ctr"/>
        <c:lblOffset val="100"/>
        <c:tickLblSkip val="1"/>
        <c:tickMarkSkip val="1"/>
        <c:noMultiLvlLbl val="0"/>
      </c:catAx>
      <c:valAx>
        <c:axId val="7966092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9659392"/>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90429696"/>
        <c:axId val="90431872"/>
      </c:barChart>
      <c:catAx>
        <c:axId val="9042969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0431872"/>
        <c:crosses val="autoZero"/>
        <c:auto val="0"/>
        <c:lblAlgn val="ctr"/>
        <c:lblOffset val="100"/>
        <c:tickLblSkip val="1"/>
        <c:tickMarkSkip val="1"/>
        <c:noMultiLvlLbl val="0"/>
      </c:catAx>
      <c:valAx>
        <c:axId val="9043187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042969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63161216"/>
        <c:axId val="163162752"/>
      </c:barChart>
      <c:catAx>
        <c:axId val="16316121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3162752"/>
        <c:crossesAt val="0"/>
        <c:auto val="0"/>
        <c:lblAlgn val="ctr"/>
        <c:lblOffset val="100"/>
        <c:tickLblSkip val="1"/>
        <c:tickMarkSkip val="1"/>
        <c:noMultiLvlLbl val="0"/>
      </c:catAx>
      <c:valAx>
        <c:axId val="163162752"/>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316121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63193600"/>
        <c:axId val="163195136"/>
      </c:barChart>
      <c:catAx>
        <c:axId val="16319360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3195136"/>
        <c:crosses val="autoZero"/>
        <c:auto val="0"/>
        <c:lblAlgn val="ctr"/>
        <c:lblOffset val="100"/>
        <c:tickLblSkip val="1"/>
        <c:tickMarkSkip val="1"/>
        <c:noMultiLvlLbl val="0"/>
      </c:catAx>
      <c:valAx>
        <c:axId val="16319513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3193600"/>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63240192"/>
        <c:axId val="163241984"/>
      </c:barChart>
      <c:catAx>
        <c:axId val="16324019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3241984"/>
        <c:crosses val="autoZero"/>
        <c:auto val="0"/>
        <c:lblAlgn val="ctr"/>
        <c:lblOffset val="100"/>
        <c:tickLblSkip val="1"/>
        <c:tickMarkSkip val="1"/>
        <c:noMultiLvlLbl val="0"/>
      </c:catAx>
      <c:valAx>
        <c:axId val="16324198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324019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63275904"/>
        <c:axId val="163277440"/>
      </c:barChart>
      <c:catAx>
        <c:axId val="16327590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3277440"/>
        <c:crosses val="autoZero"/>
        <c:auto val="0"/>
        <c:lblAlgn val="ctr"/>
        <c:lblOffset val="100"/>
        <c:tickLblSkip val="1"/>
        <c:tickMarkSkip val="1"/>
        <c:noMultiLvlLbl val="0"/>
      </c:catAx>
      <c:valAx>
        <c:axId val="16327744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3275904"/>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63309824"/>
        <c:axId val="164765696"/>
      </c:barChart>
      <c:catAx>
        <c:axId val="16330982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4765696"/>
        <c:crosses val="autoZero"/>
        <c:auto val="0"/>
        <c:lblAlgn val="ctr"/>
        <c:lblOffset val="100"/>
        <c:tickLblSkip val="1"/>
        <c:tickMarkSkip val="1"/>
        <c:noMultiLvlLbl val="0"/>
      </c:catAx>
      <c:valAx>
        <c:axId val="16476569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330982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4"/>
          <c:order val="4"/>
          <c:tx>
            <c:strRef>
              <c:f>'W&amp;W-LTFP'!#REF!</c:f>
              <c:strCache>
                <c:ptCount val="1"/>
                <c:pt idx="0">
                  <c:v>#REF!</c:v>
                </c:pt>
              </c:strCache>
            </c:strRef>
          </c:tx>
          <c:spPr>
            <a:solidFill>
              <a:srgbClr val="6600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64797056"/>
        <c:axId val="164802944"/>
      </c:barChart>
      <c:catAx>
        <c:axId val="16479705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4802944"/>
        <c:crosses val="autoZero"/>
        <c:auto val="0"/>
        <c:lblAlgn val="ctr"/>
        <c:lblOffset val="100"/>
        <c:tickLblSkip val="1"/>
        <c:tickMarkSkip val="1"/>
        <c:noMultiLvlLbl val="0"/>
      </c:catAx>
      <c:valAx>
        <c:axId val="16480294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4797056"/>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64827520"/>
        <c:axId val="164829056"/>
      </c:barChart>
      <c:catAx>
        <c:axId val="16482752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4829056"/>
        <c:crossesAt val="0"/>
        <c:auto val="0"/>
        <c:lblAlgn val="ctr"/>
        <c:lblOffset val="100"/>
        <c:tickLblSkip val="1"/>
        <c:tickMarkSkip val="1"/>
        <c:noMultiLvlLbl val="0"/>
      </c:catAx>
      <c:valAx>
        <c:axId val="164829056"/>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482752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64888576"/>
        <c:axId val="164890112"/>
      </c:barChart>
      <c:catAx>
        <c:axId val="16488857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4890112"/>
        <c:crosses val="autoZero"/>
        <c:auto val="0"/>
        <c:lblAlgn val="ctr"/>
        <c:lblOffset val="100"/>
        <c:tickLblSkip val="1"/>
        <c:tickMarkSkip val="1"/>
        <c:noMultiLvlLbl val="0"/>
      </c:catAx>
      <c:valAx>
        <c:axId val="16489011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4888576"/>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64922880"/>
        <c:axId val="164924416"/>
      </c:barChart>
      <c:catAx>
        <c:axId val="16492288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4924416"/>
        <c:crosses val="autoZero"/>
        <c:auto val="0"/>
        <c:lblAlgn val="ctr"/>
        <c:lblOffset val="100"/>
        <c:tickLblSkip val="1"/>
        <c:tickMarkSkip val="1"/>
        <c:noMultiLvlLbl val="0"/>
      </c:catAx>
      <c:valAx>
        <c:axId val="16492441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492288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64512128"/>
        <c:axId val="164513664"/>
      </c:barChart>
      <c:catAx>
        <c:axId val="16451212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4513664"/>
        <c:crosses val="autoZero"/>
        <c:auto val="0"/>
        <c:lblAlgn val="ctr"/>
        <c:lblOffset val="100"/>
        <c:tickLblSkip val="1"/>
        <c:tickMarkSkip val="1"/>
        <c:noMultiLvlLbl val="0"/>
      </c:catAx>
      <c:valAx>
        <c:axId val="16451366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4512128"/>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1"/>
          <c:order val="1"/>
          <c:tx>
            <c:strRef>
              <c:f>'Gen-Cons-LTFP'!#REF!</c:f>
              <c:strCache>
                <c:ptCount val="1"/>
                <c:pt idx="0">
                  <c:v>#REF!</c:v>
                </c:pt>
              </c:strCache>
            </c:strRef>
          </c:tx>
          <c:spPr>
            <a:solidFill>
              <a:srgbClr val="993366"/>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2"/>
          <c:order val="2"/>
          <c:tx>
            <c:strRef>
              <c:f>'Gen-Cons-LTFP'!#REF!</c:f>
              <c:strCache>
                <c:ptCount val="1"/>
                <c:pt idx="0">
                  <c:v>#REF!</c:v>
                </c:pt>
              </c:strCache>
            </c:strRef>
          </c:tx>
          <c:spPr>
            <a:solidFill>
              <a:srgbClr val="FFFFCC"/>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90465792"/>
        <c:axId val="90467328"/>
      </c:barChart>
      <c:catAx>
        <c:axId val="9046579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0467328"/>
        <c:crosses val="autoZero"/>
        <c:auto val="0"/>
        <c:lblAlgn val="ctr"/>
        <c:lblOffset val="100"/>
        <c:tickLblSkip val="1"/>
        <c:tickMarkSkip val="1"/>
        <c:noMultiLvlLbl val="0"/>
      </c:catAx>
      <c:valAx>
        <c:axId val="9046732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0465792"/>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64529664"/>
        <c:axId val="164531200"/>
      </c:barChart>
      <c:catAx>
        <c:axId val="16452966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4531200"/>
        <c:crosses val="autoZero"/>
        <c:auto val="0"/>
        <c:lblAlgn val="ctr"/>
        <c:lblOffset val="100"/>
        <c:tickLblSkip val="1"/>
        <c:tickMarkSkip val="1"/>
        <c:noMultiLvlLbl val="0"/>
      </c:catAx>
      <c:valAx>
        <c:axId val="16453120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452966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4"/>
          <c:order val="4"/>
          <c:tx>
            <c:strRef>
              <c:f>'W&amp;W-LTFP'!#REF!</c:f>
              <c:strCache>
                <c:ptCount val="1"/>
                <c:pt idx="0">
                  <c:v>#REF!</c:v>
                </c:pt>
              </c:strCache>
            </c:strRef>
          </c:tx>
          <c:spPr>
            <a:solidFill>
              <a:srgbClr val="6600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64579200"/>
        <c:axId val="164580736"/>
      </c:barChart>
      <c:catAx>
        <c:axId val="16457920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4580736"/>
        <c:crosses val="autoZero"/>
        <c:auto val="0"/>
        <c:lblAlgn val="ctr"/>
        <c:lblOffset val="100"/>
        <c:tickLblSkip val="1"/>
        <c:tickMarkSkip val="1"/>
        <c:noMultiLvlLbl val="0"/>
      </c:catAx>
      <c:valAx>
        <c:axId val="16458073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4579200"/>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64597120"/>
        <c:axId val="164607104"/>
      </c:barChart>
      <c:catAx>
        <c:axId val="16459712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4607104"/>
        <c:crossesAt val="0"/>
        <c:auto val="0"/>
        <c:lblAlgn val="ctr"/>
        <c:lblOffset val="100"/>
        <c:tickLblSkip val="1"/>
        <c:tickMarkSkip val="1"/>
        <c:noMultiLvlLbl val="0"/>
      </c:catAx>
      <c:valAx>
        <c:axId val="164607104"/>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459712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64654080"/>
        <c:axId val="164659968"/>
      </c:barChart>
      <c:catAx>
        <c:axId val="16465408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4659968"/>
        <c:crosses val="autoZero"/>
        <c:auto val="0"/>
        <c:lblAlgn val="ctr"/>
        <c:lblOffset val="100"/>
        <c:tickLblSkip val="1"/>
        <c:tickMarkSkip val="1"/>
        <c:noMultiLvlLbl val="0"/>
      </c:catAx>
      <c:valAx>
        <c:axId val="16465996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4654080"/>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64688640"/>
        <c:axId val="164690176"/>
      </c:barChart>
      <c:catAx>
        <c:axId val="16468864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4690176"/>
        <c:crosses val="autoZero"/>
        <c:auto val="0"/>
        <c:lblAlgn val="ctr"/>
        <c:lblOffset val="100"/>
        <c:tickLblSkip val="1"/>
        <c:tickMarkSkip val="1"/>
        <c:noMultiLvlLbl val="0"/>
      </c:catAx>
      <c:valAx>
        <c:axId val="16469017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468864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744256"/>
        <c:axId val="1750144"/>
      </c:barChart>
      <c:catAx>
        <c:axId val="174425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50144"/>
        <c:crosses val="autoZero"/>
        <c:auto val="0"/>
        <c:lblAlgn val="ctr"/>
        <c:lblOffset val="100"/>
        <c:tickLblSkip val="1"/>
        <c:tickMarkSkip val="1"/>
        <c:noMultiLvlLbl val="0"/>
      </c:catAx>
      <c:valAx>
        <c:axId val="175014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44256"/>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43377152"/>
        <c:axId val="143378688"/>
      </c:barChart>
      <c:catAx>
        <c:axId val="14337715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3378688"/>
        <c:crosses val="autoZero"/>
        <c:auto val="0"/>
        <c:lblAlgn val="ctr"/>
        <c:lblOffset val="100"/>
        <c:tickLblSkip val="1"/>
        <c:tickMarkSkip val="1"/>
        <c:noMultiLvlLbl val="0"/>
      </c:catAx>
      <c:valAx>
        <c:axId val="14337868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337715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4"/>
          <c:order val="4"/>
          <c:tx>
            <c:strRef>
              <c:f>'W&amp;W-LTFP'!#REF!</c:f>
              <c:strCache>
                <c:ptCount val="1"/>
                <c:pt idx="0">
                  <c:v>#REF!</c:v>
                </c:pt>
              </c:strCache>
            </c:strRef>
          </c:tx>
          <c:spPr>
            <a:solidFill>
              <a:srgbClr val="6600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66028416"/>
        <c:axId val="166029952"/>
      </c:barChart>
      <c:catAx>
        <c:axId val="16602841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6029952"/>
        <c:crosses val="autoZero"/>
        <c:auto val="0"/>
        <c:lblAlgn val="ctr"/>
        <c:lblOffset val="100"/>
        <c:tickLblSkip val="1"/>
        <c:tickMarkSkip val="1"/>
        <c:noMultiLvlLbl val="0"/>
      </c:catAx>
      <c:valAx>
        <c:axId val="16602995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6028416"/>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66038144"/>
        <c:axId val="166056320"/>
      </c:barChart>
      <c:catAx>
        <c:axId val="16603814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6056320"/>
        <c:crossesAt val="0"/>
        <c:auto val="0"/>
        <c:lblAlgn val="ctr"/>
        <c:lblOffset val="100"/>
        <c:tickLblSkip val="1"/>
        <c:tickMarkSkip val="1"/>
        <c:noMultiLvlLbl val="0"/>
      </c:catAx>
      <c:valAx>
        <c:axId val="166056320"/>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603814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66086912"/>
        <c:axId val="166096896"/>
      </c:barChart>
      <c:catAx>
        <c:axId val="16608691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6096896"/>
        <c:crosses val="autoZero"/>
        <c:auto val="0"/>
        <c:lblAlgn val="ctr"/>
        <c:lblOffset val="100"/>
        <c:tickLblSkip val="1"/>
        <c:tickMarkSkip val="1"/>
        <c:noMultiLvlLbl val="0"/>
      </c:catAx>
      <c:valAx>
        <c:axId val="16609689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6086912"/>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90479232"/>
        <c:axId val="90497408"/>
      </c:barChart>
      <c:catAx>
        <c:axId val="9047923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0497408"/>
        <c:crosses val="autoZero"/>
        <c:auto val="0"/>
        <c:lblAlgn val="ctr"/>
        <c:lblOffset val="100"/>
        <c:tickLblSkip val="1"/>
        <c:tickMarkSkip val="1"/>
        <c:noMultiLvlLbl val="0"/>
      </c:catAx>
      <c:valAx>
        <c:axId val="9049740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047923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66125568"/>
        <c:axId val="166127104"/>
      </c:barChart>
      <c:catAx>
        <c:axId val="16612556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6127104"/>
        <c:crosses val="autoZero"/>
        <c:auto val="0"/>
        <c:lblAlgn val="ctr"/>
        <c:lblOffset val="100"/>
        <c:tickLblSkip val="1"/>
        <c:tickMarkSkip val="1"/>
        <c:noMultiLvlLbl val="0"/>
      </c:catAx>
      <c:valAx>
        <c:axId val="16612710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612556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66169216"/>
        <c:axId val="166171008"/>
      </c:barChart>
      <c:catAx>
        <c:axId val="16616921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6171008"/>
        <c:crosses val="autoZero"/>
        <c:auto val="0"/>
        <c:lblAlgn val="ctr"/>
        <c:lblOffset val="100"/>
        <c:tickLblSkip val="1"/>
        <c:tickMarkSkip val="1"/>
        <c:noMultiLvlLbl val="0"/>
      </c:catAx>
      <c:valAx>
        <c:axId val="16617100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6169216"/>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66207488"/>
        <c:axId val="166209024"/>
      </c:barChart>
      <c:catAx>
        <c:axId val="16620748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6209024"/>
        <c:crosses val="autoZero"/>
        <c:auto val="0"/>
        <c:lblAlgn val="ctr"/>
        <c:lblOffset val="100"/>
        <c:tickLblSkip val="1"/>
        <c:tickMarkSkip val="1"/>
        <c:noMultiLvlLbl val="0"/>
      </c:catAx>
      <c:valAx>
        <c:axId val="16620902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620748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4"/>
          <c:order val="4"/>
          <c:tx>
            <c:strRef>
              <c:f>'W&amp;W-LTFP'!#REF!</c:f>
              <c:strCache>
                <c:ptCount val="1"/>
                <c:pt idx="0">
                  <c:v>#REF!</c:v>
                </c:pt>
              </c:strCache>
            </c:strRef>
          </c:tx>
          <c:spPr>
            <a:solidFill>
              <a:srgbClr val="6600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66257408"/>
        <c:axId val="166258944"/>
      </c:barChart>
      <c:catAx>
        <c:axId val="16625740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6258944"/>
        <c:crosses val="autoZero"/>
        <c:auto val="0"/>
        <c:lblAlgn val="ctr"/>
        <c:lblOffset val="100"/>
        <c:tickLblSkip val="1"/>
        <c:tickMarkSkip val="1"/>
        <c:noMultiLvlLbl val="0"/>
      </c:catAx>
      <c:valAx>
        <c:axId val="16625894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6257408"/>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66336768"/>
        <c:axId val="166350848"/>
      </c:barChart>
      <c:catAx>
        <c:axId val="16633676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6350848"/>
        <c:crossesAt val="0"/>
        <c:auto val="0"/>
        <c:lblAlgn val="ctr"/>
        <c:lblOffset val="100"/>
        <c:tickLblSkip val="1"/>
        <c:tickMarkSkip val="1"/>
        <c:noMultiLvlLbl val="0"/>
      </c:catAx>
      <c:valAx>
        <c:axId val="166350848"/>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633676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66668160"/>
        <c:axId val="166669696"/>
      </c:barChart>
      <c:catAx>
        <c:axId val="16666816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6669696"/>
        <c:crosses val="autoZero"/>
        <c:auto val="0"/>
        <c:lblAlgn val="ctr"/>
        <c:lblOffset val="100"/>
        <c:tickLblSkip val="1"/>
        <c:tickMarkSkip val="1"/>
        <c:noMultiLvlLbl val="0"/>
      </c:catAx>
      <c:valAx>
        <c:axId val="16666969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6668160"/>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66686080"/>
        <c:axId val="166700160"/>
      </c:barChart>
      <c:catAx>
        <c:axId val="16668608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6700160"/>
        <c:crosses val="autoZero"/>
        <c:auto val="0"/>
        <c:lblAlgn val="ctr"/>
        <c:lblOffset val="100"/>
        <c:tickLblSkip val="1"/>
        <c:tickMarkSkip val="1"/>
        <c:noMultiLvlLbl val="0"/>
      </c:catAx>
      <c:valAx>
        <c:axId val="16670016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668608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66811904"/>
        <c:axId val="166817792"/>
      </c:barChart>
      <c:catAx>
        <c:axId val="16681190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6817792"/>
        <c:crosses val="autoZero"/>
        <c:auto val="0"/>
        <c:lblAlgn val="ctr"/>
        <c:lblOffset val="100"/>
        <c:tickLblSkip val="1"/>
        <c:tickMarkSkip val="1"/>
        <c:noMultiLvlLbl val="0"/>
      </c:catAx>
      <c:valAx>
        <c:axId val="16681779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6811904"/>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66829440"/>
        <c:axId val="166831232"/>
      </c:barChart>
      <c:catAx>
        <c:axId val="16682944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6831232"/>
        <c:crosses val="autoZero"/>
        <c:auto val="0"/>
        <c:lblAlgn val="ctr"/>
        <c:lblOffset val="100"/>
        <c:tickLblSkip val="1"/>
        <c:tickMarkSkip val="1"/>
        <c:noMultiLvlLbl val="0"/>
      </c:catAx>
      <c:valAx>
        <c:axId val="16683123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682944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1"/>
          <c:order val="1"/>
          <c:tx>
            <c:strRef>
              <c:f>'Gen-Cons-LTFP'!#REF!</c:f>
              <c:strCache>
                <c:ptCount val="1"/>
                <c:pt idx="0">
                  <c:v>#REF!</c:v>
                </c:pt>
              </c:strCache>
            </c:strRef>
          </c:tx>
          <c:spPr>
            <a:solidFill>
              <a:srgbClr val="993366"/>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2"/>
          <c:order val="2"/>
          <c:tx>
            <c:strRef>
              <c:f>'Gen-Cons-LTFP'!#REF!</c:f>
              <c:strCache>
                <c:ptCount val="1"/>
                <c:pt idx="0">
                  <c:v>#REF!</c:v>
                </c:pt>
              </c:strCache>
            </c:strRef>
          </c:tx>
          <c:spPr>
            <a:solidFill>
              <a:srgbClr val="FFFFCC"/>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3"/>
          <c:order val="3"/>
          <c:tx>
            <c:strRef>
              <c:f>'Gen-Cons-LTFP'!#REF!</c:f>
              <c:strCache>
                <c:ptCount val="1"/>
                <c:pt idx="0">
                  <c:v>#REF!</c:v>
                </c:pt>
              </c:strCache>
            </c:strRef>
          </c:tx>
          <c:spPr>
            <a:solidFill>
              <a:srgbClr val="CCFF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4"/>
          <c:order val="4"/>
          <c:tx>
            <c:strRef>
              <c:f>'Gen-Cons-LTFP'!#REF!</c:f>
              <c:strCache>
                <c:ptCount val="1"/>
                <c:pt idx="0">
                  <c:v>#REF!</c:v>
                </c:pt>
              </c:strCache>
            </c:strRef>
          </c:tx>
          <c:spPr>
            <a:solidFill>
              <a:srgbClr val="660066"/>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90553344"/>
        <c:axId val="90567424"/>
      </c:barChart>
      <c:catAx>
        <c:axId val="9055334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0567424"/>
        <c:crosses val="autoZero"/>
        <c:auto val="0"/>
        <c:lblAlgn val="ctr"/>
        <c:lblOffset val="100"/>
        <c:tickLblSkip val="1"/>
        <c:tickMarkSkip val="1"/>
        <c:noMultiLvlLbl val="0"/>
      </c:catAx>
      <c:valAx>
        <c:axId val="9056742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0553344"/>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127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91771648"/>
        <c:axId val="91773184"/>
      </c:barChart>
      <c:catAx>
        <c:axId val="9177164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1773184"/>
        <c:crossesAt val="0"/>
        <c:auto val="0"/>
        <c:lblAlgn val="ctr"/>
        <c:lblOffset val="100"/>
        <c:tickLblSkip val="1"/>
        <c:tickMarkSkip val="1"/>
        <c:noMultiLvlLbl val="0"/>
      </c:catAx>
      <c:valAx>
        <c:axId val="91773184"/>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177164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127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1"/>
          <c:order val="1"/>
          <c:tx>
            <c:strRef>
              <c:f>'Gen-Cons-LTFP'!#REF!</c:f>
              <c:strCache>
                <c:ptCount val="1"/>
                <c:pt idx="0">
                  <c:v>#REF!</c:v>
                </c:pt>
              </c:strCache>
            </c:strRef>
          </c:tx>
          <c:spPr>
            <a:solidFill>
              <a:srgbClr val="993366"/>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2"/>
          <c:order val="2"/>
          <c:tx>
            <c:strRef>
              <c:f>'Gen-Cons-LTFP'!#REF!</c:f>
              <c:strCache>
                <c:ptCount val="1"/>
                <c:pt idx="0">
                  <c:v>#REF!</c:v>
                </c:pt>
              </c:strCache>
            </c:strRef>
          </c:tx>
          <c:spPr>
            <a:solidFill>
              <a:srgbClr val="FFFFCC"/>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3"/>
          <c:order val="3"/>
          <c:tx>
            <c:strRef>
              <c:f>'Gen-Cons-LTFP'!#REF!</c:f>
              <c:strCache>
                <c:ptCount val="1"/>
                <c:pt idx="0">
                  <c:v>#REF!</c:v>
                </c:pt>
              </c:strCache>
            </c:strRef>
          </c:tx>
          <c:spPr>
            <a:solidFill>
              <a:srgbClr val="CCFF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91808128"/>
        <c:axId val="91809664"/>
      </c:barChart>
      <c:catAx>
        <c:axId val="9180812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1809664"/>
        <c:crosses val="autoZero"/>
        <c:auto val="0"/>
        <c:lblAlgn val="ctr"/>
        <c:lblOffset val="100"/>
        <c:tickLblSkip val="1"/>
        <c:tickMarkSkip val="1"/>
        <c:noMultiLvlLbl val="0"/>
      </c:catAx>
      <c:valAx>
        <c:axId val="9180966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1808128"/>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127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91895680"/>
        <c:axId val="91897216"/>
      </c:barChart>
      <c:catAx>
        <c:axId val="9189568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1897216"/>
        <c:crosses val="autoZero"/>
        <c:auto val="0"/>
        <c:lblAlgn val="ctr"/>
        <c:lblOffset val="100"/>
        <c:tickLblSkip val="1"/>
        <c:tickMarkSkip val="1"/>
        <c:noMultiLvlLbl val="0"/>
      </c:catAx>
      <c:valAx>
        <c:axId val="9189721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189568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127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1"/>
          <c:order val="1"/>
          <c:tx>
            <c:strRef>
              <c:f>'Gen-Cons-LTFP'!#REF!</c:f>
              <c:strCache>
                <c:ptCount val="1"/>
                <c:pt idx="0">
                  <c:v>#REF!</c:v>
                </c:pt>
              </c:strCache>
            </c:strRef>
          </c:tx>
          <c:spPr>
            <a:solidFill>
              <a:srgbClr val="993366"/>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2"/>
          <c:order val="2"/>
          <c:tx>
            <c:strRef>
              <c:f>'Gen-Cons-LTFP'!#REF!</c:f>
              <c:strCache>
                <c:ptCount val="1"/>
                <c:pt idx="0">
                  <c:v>#REF!</c:v>
                </c:pt>
              </c:strCache>
            </c:strRef>
          </c:tx>
          <c:spPr>
            <a:solidFill>
              <a:srgbClr val="FFFFCC"/>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91947776"/>
        <c:axId val="91949312"/>
      </c:barChart>
      <c:catAx>
        <c:axId val="9194777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1949312"/>
        <c:crosses val="autoZero"/>
        <c:auto val="0"/>
        <c:lblAlgn val="ctr"/>
        <c:lblOffset val="100"/>
        <c:tickLblSkip val="1"/>
        <c:tickMarkSkip val="1"/>
        <c:noMultiLvlLbl val="0"/>
      </c:catAx>
      <c:valAx>
        <c:axId val="9194931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1947776"/>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127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91969408"/>
        <c:axId val="91970944"/>
      </c:barChart>
      <c:catAx>
        <c:axId val="9196940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1970944"/>
        <c:crosses val="autoZero"/>
        <c:auto val="0"/>
        <c:lblAlgn val="ctr"/>
        <c:lblOffset val="100"/>
        <c:tickLblSkip val="1"/>
        <c:tickMarkSkip val="1"/>
        <c:noMultiLvlLbl val="0"/>
      </c:catAx>
      <c:valAx>
        <c:axId val="9197094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196940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127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4"/>
          <c:order val="4"/>
          <c:tx>
            <c:strRef>
              <c:f>'W&amp;W-LTFP'!#REF!</c:f>
              <c:strCache>
                <c:ptCount val="1"/>
                <c:pt idx="0">
                  <c:v>#REF!</c:v>
                </c:pt>
              </c:strCache>
            </c:strRef>
          </c:tx>
          <c:spPr>
            <a:solidFill>
              <a:srgbClr val="6600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92023040"/>
        <c:axId val="92041216"/>
      </c:barChart>
      <c:catAx>
        <c:axId val="9202304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2041216"/>
        <c:crosses val="autoZero"/>
        <c:auto val="0"/>
        <c:lblAlgn val="ctr"/>
        <c:lblOffset val="100"/>
        <c:tickLblSkip val="1"/>
        <c:tickMarkSkip val="1"/>
        <c:noMultiLvlLbl val="0"/>
      </c:catAx>
      <c:valAx>
        <c:axId val="9204121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2023040"/>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80488320"/>
        <c:axId val="80489856"/>
      </c:barChart>
      <c:catAx>
        <c:axId val="8048832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0489856"/>
        <c:crossesAt val="0"/>
        <c:auto val="0"/>
        <c:lblAlgn val="ctr"/>
        <c:lblOffset val="100"/>
        <c:tickLblSkip val="1"/>
        <c:tickMarkSkip val="1"/>
        <c:noMultiLvlLbl val="0"/>
      </c:catAx>
      <c:valAx>
        <c:axId val="80489856"/>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048832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92073984"/>
        <c:axId val="92075520"/>
      </c:barChart>
      <c:catAx>
        <c:axId val="9207398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2075520"/>
        <c:crossesAt val="0"/>
        <c:auto val="0"/>
        <c:lblAlgn val="ctr"/>
        <c:lblOffset val="100"/>
        <c:tickLblSkip val="1"/>
        <c:tickMarkSkip val="1"/>
        <c:noMultiLvlLbl val="0"/>
      </c:catAx>
      <c:valAx>
        <c:axId val="92075520"/>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207398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90926464"/>
        <c:axId val="90940544"/>
      </c:barChart>
      <c:catAx>
        <c:axId val="9092646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0940544"/>
        <c:crosses val="autoZero"/>
        <c:auto val="0"/>
        <c:lblAlgn val="ctr"/>
        <c:lblOffset val="100"/>
        <c:tickLblSkip val="1"/>
        <c:tickMarkSkip val="1"/>
        <c:noMultiLvlLbl val="0"/>
      </c:catAx>
      <c:valAx>
        <c:axId val="9094054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0926464"/>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90956928"/>
        <c:axId val="90958464"/>
      </c:barChart>
      <c:catAx>
        <c:axId val="9095692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0958464"/>
        <c:crosses val="autoZero"/>
        <c:auto val="0"/>
        <c:lblAlgn val="ctr"/>
        <c:lblOffset val="100"/>
        <c:tickLblSkip val="1"/>
        <c:tickMarkSkip val="1"/>
        <c:noMultiLvlLbl val="0"/>
      </c:catAx>
      <c:valAx>
        <c:axId val="9095846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095692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90992640"/>
        <c:axId val="90994176"/>
      </c:barChart>
      <c:catAx>
        <c:axId val="9099264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0994176"/>
        <c:crosses val="autoZero"/>
        <c:auto val="0"/>
        <c:lblAlgn val="ctr"/>
        <c:lblOffset val="100"/>
        <c:tickLblSkip val="1"/>
        <c:tickMarkSkip val="1"/>
        <c:noMultiLvlLbl val="0"/>
      </c:catAx>
      <c:valAx>
        <c:axId val="9099417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0992640"/>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92341376"/>
        <c:axId val="92342912"/>
      </c:barChart>
      <c:catAx>
        <c:axId val="9234137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2342912"/>
        <c:crosses val="autoZero"/>
        <c:auto val="0"/>
        <c:lblAlgn val="ctr"/>
        <c:lblOffset val="100"/>
        <c:tickLblSkip val="1"/>
        <c:tickMarkSkip val="1"/>
        <c:noMultiLvlLbl val="0"/>
      </c:catAx>
      <c:valAx>
        <c:axId val="9234291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234137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4"/>
          <c:order val="4"/>
          <c:tx>
            <c:strRef>
              <c:f>'W&amp;W-LTFP'!#REF!</c:f>
              <c:strCache>
                <c:ptCount val="1"/>
                <c:pt idx="0">
                  <c:v>#REF!</c:v>
                </c:pt>
              </c:strCache>
            </c:strRef>
          </c:tx>
          <c:spPr>
            <a:solidFill>
              <a:srgbClr val="6600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92386816"/>
        <c:axId val="92388352"/>
      </c:barChart>
      <c:catAx>
        <c:axId val="9238681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2388352"/>
        <c:crosses val="autoZero"/>
        <c:auto val="0"/>
        <c:lblAlgn val="ctr"/>
        <c:lblOffset val="100"/>
        <c:tickLblSkip val="1"/>
        <c:tickMarkSkip val="1"/>
        <c:noMultiLvlLbl val="0"/>
      </c:catAx>
      <c:valAx>
        <c:axId val="9238835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2386816"/>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92425216"/>
        <c:axId val="92431104"/>
      </c:barChart>
      <c:catAx>
        <c:axId val="9242521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2431104"/>
        <c:crossesAt val="0"/>
        <c:auto val="0"/>
        <c:lblAlgn val="ctr"/>
        <c:lblOffset val="100"/>
        <c:tickLblSkip val="1"/>
        <c:tickMarkSkip val="1"/>
        <c:noMultiLvlLbl val="0"/>
      </c:catAx>
      <c:valAx>
        <c:axId val="92431104"/>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242521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92461696"/>
        <c:axId val="92164480"/>
      </c:barChart>
      <c:catAx>
        <c:axId val="9246169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2164480"/>
        <c:crosses val="autoZero"/>
        <c:auto val="0"/>
        <c:lblAlgn val="ctr"/>
        <c:lblOffset val="100"/>
        <c:tickLblSkip val="1"/>
        <c:tickMarkSkip val="1"/>
        <c:noMultiLvlLbl val="0"/>
      </c:catAx>
      <c:valAx>
        <c:axId val="9216448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2461696"/>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92184960"/>
        <c:axId val="92186496"/>
      </c:barChart>
      <c:catAx>
        <c:axId val="9218496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2186496"/>
        <c:crosses val="autoZero"/>
        <c:auto val="0"/>
        <c:lblAlgn val="ctr"/>
        <c:lblOffset val="100"/>
        <c:tickLblSkip val="1"/>
        <c:tickMarkSkip val="1"/>
        <c:noMultiLvlLbl val="0"/>
      </c:catAx>
      <c:valAx>
        <c:axId val="9218649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218496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92285952"/>
        <c:axId val="92287744"/>
      </c:barChart>
      <c:catAx>
        <c:axId val="9228595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2287744"/>
        <c:crosses val="autoZero"/>
        <c:auto val="0"/>
        <c:lblAlgn val="ctr"/>
        <c:lblOffset val="100"/>
        <c:tickLblSkip val="1"/>
        <c:tickMarkSkip val="1"/>
        <c:noMultiLvlLbl val="0"/>
      </c:catAx>
      <c:valAx>
        <c:axId val="9228774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2285952"/>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1"/>
          <c:order val="1"/>
          <c:tx>
            <c:strRef>
              <c:f>'Gen-Cons-LTFP'!#REF!</c:f>
              <c:strCache>
                <c:ptCount val="1"/>
                <c:pt idx="0">
                  <c:v>#REF!</c:v>
                </c:pt>
              </c:strCache>
            </c:strRef>
          </c:tx>
          <c:spPr>
            <a:solidFill>
              <a:srgbClr val="993366"/>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2"/>
          <c:order val="2"/>
          <c:tx>
            <c:strRef>
              <c:f>'Gen-Cons-LTFP'!#REF!</c:f>
              <c:strCache>
                <c:ptCount val="1"/>
                <c:pt idx="0">
                  <c:v>#REF!</c:v>
                </c:pt>
              </c:strCache>
            </c:strRef>
          </c:tx>
          <c:spPr>
            <a:solidFill>
              <a:srgbClr val="FFFFCC"/>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3"/>
          <c:order val="3"/>
          <c:tx>
            <c:strRef>
              <c:f>'Gen-Cons-LTFP'!#REF!</c:f>
              <c:strCache>
                <c:ptCount val="1"/>
                <c:pt idx="0">
                  <c:v>#REF!</c:v>
                </c:pt>
              </c:strCache>
            </c:strRef>
          </c:tx>
          <c:spPr>
            <a:solidFill>
              <a:srgbClr val="CCFF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80532992"/>
        <c:axId val="80534528"/>
      </c:barChart>
      <c:catAx>
        <c:axId val="8053299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0534528"/>
        <c:crosses val="autoZero"/>
        <c:auto val="0"/>
        <c:lblAlgn val="ctr"/>
        <c:lblOffset val="100"/>
        <c:tickLblSkip val="1"/>
        <c:tickMarkSkip val="1"/>
        <c:noMultiLvlLbl val="0"/>
      </c:catAx>
      <c:valAx>
        <c:axId val="8053452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0532992"/>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92316032"/>
        <c:axId val="92317568"/>
      </c:barChart>
      <c:catAx>
        <c:axId val="9231603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2317568"/>
        <c:crosses val="autoZero"/>
        <c:auto val="0"/>
        <c:lblAlgn val="ctr"/>
        <c:lblOffset val="100"/>
        <c:tickLblSkip val="1"/>
        <c:tickMarkSkip val="1"/>
        <c:noMultiLvlLbl val="0"/>
      </c:catAx>
      <c:valAx>
        <c:axId val="9231756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231603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4"/>
          <c:order val="4"/>
          <c:tx>
            <c:strRef>
              <c:f>'W&amp;W-LTFP'!#REF!</c:f>
              <c:strCache>
                <c:ptCount val="1"/>
                <c:pt idx="0">
                  <c:v>#REF!</c:v>
                </c:pt>
              </c:strCache>
            </c:strRef>
          </c:tx>
          <c:spPr>
            <a:solidFill>
              <a:srgbClr val="6600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92750592"/>
        <c:axId val="92752128"/>
      </c:barChart>
      <c:catAx>
        <c:axId val="9275059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2752128"/>
        <c:crosses val="autoZero"/>
        <c:auto val="0"/>
        <c:lblAlgn val="ctr"/>
        <c:lblOffset val="100"/>
        <c:tickLblSkip val="1"/>
        <c:tickMarkSkip val="1"/>
        <c:noMultiLvlLbl val="0"/>
      </c:catAx>
      <c:valAx>
        <c:axId val="9275212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2750592"/>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92784896"/>
        <c:axId val="92471296"/>
      </c:barChart>
      <c:catAx>
        <c:axId val="9278489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2471296"/>
        <c:crossesAt val="0"/>
        <c:auto val="0"/>
        <c:lblAlgn val="ctr"/>
        <c:lblOffset val="100"/>
        <c:tickLblSkip val="1"/>
        <c:tickMarkSkip val="1"/>
        <c:noMultiLvlLbl val="0"/>
      </c:catAx>
      <c:valAx>
        <c:axId val="92471296"/>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278489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92501888"/>
        <c:axId val="92503424"/>
      </c:barChart>
      <c:catAx>
        <c:axId val="9250188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2503424"/>
        <c:crosses val="autoZero"/>
        <c:auto val="0"/>
        <c:lblAlgn val="ctr"/>
        <c:lblOffset val="100"/>
        <c:tickLblSkip val="1"/>
        <c:tickMarkSkip val="1"/>
        <c:noMultiLvlLbl val="0"/>
      </c:catAx>
      <c:valAx>
        <c:axId val="9250342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2501888"/>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92528000"/>
        <c:axId val="92533888"/>
      </c:barChart>
      <c:catAx>
        <c:axId val="9252800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2533888"/>
        <c:crosses val="autoZero"/>
        <c:auto val="0"/>
        <c:lblAlgn val="ctr"/>
        <c:lblOffset val="100"/>
        <c:tickLblSkip val="1"/>
        <c:tickMarkSkip val="1"/>
        <c:noMultiLvlLbl val="0"/>
      </c:catAx>
      <c:valAx>
        <c:axId val="9253388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252800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92645632"/>
        <c:axId val="92651520"/>
      </c:barChart>
      <c:catAx>
        <c:axId val="9264563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2651520"/>
        <c:crosses val="autoZero"/>
        <c:auto val="0"/>
        <c:lblAlgn val="ctr"/>
        <c:lblOffset val="100"/>
        <c:tickLblSkip val="1"/>
        <c:tickMarkSkip val="1"/>
        <c:noMultiLvlLbl val="0"/>
      </c:catAx>
      <c:valAx>
        <c:axId val="9265152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2645632"/>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92659072"/>
        <c:axId val="92677248"/>
      </c:barChart>
      <c:catAx>
        <c:axId val="9265907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2677248"/>
        <c:crosses val="autoZero"/>
        <c:auto val="0"/>
        <c:lblAlgn val="ctr"/>
        <c:lblOffset val="100"/>
        <c:tickLblSkip val="1"/>
        <c:tickMarkSkip val="1"/>
        <c:noMultiLvlLbl val="0"/>
      </c:catAx>
      <c:valAx>
        <c:axId val="9267724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265907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4"/>
          <c:order val="4"/>
          <c:tx>
            <c:strRef>
              <c:f>'W&amp;W-LTFP'!#REF!</c:f>
              <c:strCache>
                <c:ptCount val="1"/>
                <c:pt idx="0">
                  <c:v>#REF!</c:v>
                </c:pt>
              </c:strCache>
            </c:strRef>
          </c:tx>
          <c:spPr>
            <a:solidFill>
              <a:srgbClr val="6600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92721536"/>
        <c:axId val="92723072"/>
      </c:barChart>
      <c:catAx>
        <c:axId val="9272153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2723072"/>
        <c:crosses val="autoZero"/>
        <c:auto val="0"/>
        <c:lblAlgn val="ctr"/>
        <c:lblOffset val="100"/>
        <c:tickLblSkip val="1"/>
        <c:tickMarkSkip val="1"/>
        <c:noMultiLvlLbl val="0"/>
      </c:catAx>
      <c:valAx>
        <c:axId val="9272307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2721536"/>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93861760"/>
        <c:axId val="93863296"/>
      </c:barChart>
      <c:catAx>
        <c:axId val="9386176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3863296"/>
        <c:crossesAt val="0"/>
        <c:auto val="0"/>
        <c:lblAlgn val="ctr"/>
        <c:lblOffset val="100"/>
        <c:tickLblSkip val="1"/>
        <c:tickMarkSkip val="1"/>
        <c:noMultiLvlLbl val="0"/>
      </c:catAx>
      <c:valAx>
        <c:axId val="93863296"/>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386176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93922816"/>
        <c:axId val="93924352"/>
      </c:barChart>
      <c:catAx>
        <c:axId val="9392281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3924352"/>
        <c:crosses val="autoZero"/>
        <c:auto val="0"/>
        <c:lblAlgn val="ctr"/>
        <c:lblOffset val="100"/>
        <c:tickLblSkip val="1"/>
        <c:tickMarkSkip val="1"/>
        <c:noMultiLvlLbl val="0"/>
      </c:catAx>
      <c:valAx>
        <c:axId val="9392435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3922816"/>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80556800"/>
        <c:axId val="80558336"/>
      </c:barChart>
      <c:catAx>
        <c:axId val="8055680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0558336"/>
        <c:crosses val="autoZero"/>
        <c:auto val="0"/>
        <c:lblAlgn val="ctr"/>
        <c:lblOffset val="100"/>
        <c:tickLblSkip val="1"/>
        <c:tickMarkSkip val="1"/>
        <c:noMultiLvlLbl val="0"/>
      </c:catAx>
      <c:valAx>
        <c:axId val="8055833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055680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93953024"/>
        <c:axId val="93963008"/>
      </c:barChart>
      <c:catAx>
        <c:axId val="9395302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3963008"/>
        <c:crosses val="autoZero"/>
        <c:auto val="0"/>
        <c:lblAlgn val="ctr"/>
        <c:lblOffset val="100"/>
        <c:tickLblSkip val="1"/>
        <c:tickMarkSkip val="1"/>
        <c:noMultiLvlLbl val="0"/>
      </c:catAx>
      <c:valAx>
        <c:axId val="9396300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395302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93984640"/>
        <c:axId val="93986176"/>
      </c:barChart>
      <c:catAx>
        <c:axId val="9398464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3986176"/>
        <c:crosses val="autoZero"/>
        <c:auto val="0"/>
        <c:lblAlgn val="ctr"/>
        <c:lblOffset val="100"/>
        <c:tickLblSkip val="1"/>
        <c:tickMarkSkip val="1"/>
        <c:noMultiLvlLbl val="0"/>
      </c:catAx>
      <c:valAx>
        <c:axId val="9398617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3984640"/>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94010368"/>
        <c:axId val="94016256"/>
      </c:barChart>
      <c:catAx>
        <c:axId val="9401036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4016256"/>
        <c:crosses val="autoZero"/>
        <c:auto val="0"/>
        <c:lblAlgn val="ctr"/>
        <c:lblOffset val="100"/>
        <c:tickLblSkip val="1"/>
        <c:tickMarkSkip val="1"/>
        <c:noMultiLvlLbl val="0"/>
      </c:catAx>
      <c:valAx>
        <c:axId val="9401625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401036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4"/>
          <c:order val="4"/>
          <c:tx>
            <c:strRef>
              <c:f>'W&amp;W-LTFP'!#REF!</c:f>
              <c:strCache>
                <c:ptCount val="1"/>
                <c:pt idx="0">
                  <c:v>#REF!</c:v>
                </c:pt>
              </c:strCache>
            </c:strRef>
          </c:tx>
          <c:spPr>
            <a:solidFill>
              <a:srgbClr val="6600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94465408"/>
        <c:axId val="94467200"/>
      </c:barChart>
      <c:catAx>
        <c:axId val="9446540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4467200"/>
        <c:crosses val="autoZero"/>
        <c:auto val="0"/>
        <c:lblAlgn val="ctr"/>
        <c:lblOffset val="100"/>
        <c:tickLblSkip val="1"/>
        <c:tickMarkSkip val="1"/>
        <c:noMultiLvlLbl val="0"/>
      </c:catAx>
      <c:valAx>
        <c:axId val="9446720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4465408"/>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94499968"/>
        <c:axId val="94501504"/>
      </c:barChart>
      <c:catAx>
        <c:axId val="9449996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4501504"/>
        <c:crossesAt val="0"/>
        <c:auto val="0"/>
        <c:lblAlgn val="ctr"/>
        <c:lblOffset val="100"/>
        <c:tickLblSkip val="1"/>
        <c:tickMarkSkip val="1"/>
        <c:noMultiLvlLbl val="0"/>
      </c:catAx>
      <c:valAx>
        <c:axId val="94501504"/>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449996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94209536"/>
        <c:axId val="94211072"/>
      </c:barChart>
      <c:catAx>
        <c:axId val="9420953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4211072"/>
        <c:crosses val="autoZero"/>
        <c:auto val="0"/>
        <c:lblAlgn val="ctr"/>
        <c:lblOffset val="100"/>
        <c:tickLblSkip val="1"/>
        <c:tickMarkSkip val="1"/>
        <c:noMultiLvlLbl val="0"/>
      </c:catAx>
      <c:valAx>
        <c:axId val="9421107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4209536"/>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94182016"/>
        <c:axId val="94227456"/>
      </c:barChart>
      <c:catAx>
        <c:axId val="9418201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4227456"/>
        <c:crosses val="autoZero"/>
        <c:auto val="0"/>
        <c:lblAlgn val="ctr"/>
        <c:lblOffset val="100"/>
        <c:tickLblSkip val="1"/>
        <c:tickMarkSkip val="1"/>
        <c:noMultiLvlLbl val="0"/>
      </c:catAx>
      <c:valAx>
        <c:axId val="9422745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418201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94289920"/>
        <c:axId val="94291456"/>
      </c:barChart>
      <c:catAx>
        <c:axId val="9428992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4291456"/>
        <c:crosses val="autoZero"/>
        <c:auto val="0"/>
        <c:lblAlgn val="ctr"/>
        <c:lblOffset val="100"/>
        <c:tickLblSkip val="1"/>
        <c:tickMarkSkip val="1"/>
        <c:noMultiLvlLbl val="0"/>
      </c:catAx>
      <c:valAx>
        <c:axId val="9429145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4289920"/>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94311552"/>
        <c:axId val="94313088"/>
      </c:barChart>
      <c:catAx>
        <c:axId val="9431155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4313088"/>
        <c:crosses val="autoZero"/>
        <c:auto val="0"/>
        <c:lblAlgn val="ctr"/>
        <c:lblOffset val="100"/>
        <c:tickLblSkip val="1"/>
        <c:tickMarkSkip val="1"/>
        <c:noMultiLvlLbl val="0"/>
      </c:catAx>
      <c:valAx>
        <c:axId val="9431308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431155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4"/>
          <c:order val="4"/>
          <c:tx>
            <c:strRef>
              <c:f>'W&amp;W-LTFP'!#REF!</c:f>
              <c:strCache>
                <c:ptCount val="1"/>
                <c:pt idx="0">
                  <c:v>#REF!</c:v>
                </c:pt>
              </c:strCache>
            </c:strRef>
          </c:tx>
          <c:spPr>
            <a:solidFill>
              <a:srgbClr val="6600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94377472"/>
        <c:axId val="94379008"/>
      </c:barChart>
      <c:catAx>
        <c:axId val="9437747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4379008"/>
        <c:crosses val="autoZero"/>
        <c:auto val="0"/>
        <c:lblAlgn val="ctr"/>
        <c:lblOffset val="100"/>
        <c:tickLblSkip val="1"/>
        <c:tickMarkSkip val="1"/>
        <c:noMultiLvlLbl val="0"/>
      </c:catAx>
      <c:valAx>
        <c:axId val="9437900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4377472"/>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1"/>
          <c:order val="1"/>
          <c:tx>
            <c:strRef>
              <c:f>'Gen-Cons-LTFP'!#REF!</c:f>
              <c:strCache>
                <c:ptCount val="1"/>
                <c:pt idx="0">
                  <c:v>#REF!</c:v>
                </c:pt>
              </c:strCache>
            </c:strRef>
          </c:tx>
          <c:spPr>
            <a:solidFill>
              <a:srgbClr val="993366"/>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2"/>
          <c:order val="2"/>
          <c:tx>
            <c:strRef>
              <c:f>'Gen-Cons-LTFP'!#REF!</c:f>
              <c:strCache>
                <c:ptCount val="1"/>
                <c:pt idx="0">
                  <c:v>#REF!</c:v>
                </c:pt>
              </c:strCache>
            </c:strRef>
          </c:tx>
          <c:spPr>
            <a:solidFill>
              <a:srgbClr val="FFFFCC"/>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80595200"/>
        <c:axId val="80601088"/>
      </c:barChart>
      <c:catAx>
        <c:axId val="8059520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0601088"/>
        <c:crosses val="autoZero"/>
        <c:auto val="0"/>
        <c:lblAlgn val="ctr"/>
        <c:lblOffset val="100"/>
        <c:tickLblSkip val="1"/>
        <c:tickMarkSkip val="1"/>
        <c:noMultiLvlLbl val="0"/>
      </c:catAx>
      <c:valAx>
        <c:axId val="8060108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0595200"/>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94395392"/>
        <c:axId val="94421760"/>
      </c:barChart>
      <c:catAx>
        <c:axId val="9439539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4421760"/>
        <c:crossesAt val="0"/>
        <c:auto val="0"/>
        <c:lblAlgn val="ctr"/>
        <c:lblOffset val="100"/>
        <c:tickLblSkip val="1"/>
        <c:tickMarkSkip val="1"/>
        <c:noMultiLvlLbl val="0"/>
      </c:catAx>
      <c:valAx>
        <c:axId val="94421760"/>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439539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94780032"/>
        <c:axId val="94781824"/>
      </c:barChart>
      <c:catAx>
        <c:axId val="9478003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4781824"/>
        <c:crosses val="autoZero"/>
        <c:auto val="0"/>
        <c:lblAlgn val="ctr"/>
        <c:lblOffset val="100"/>
        <c:tickLblSkip val="1"/>
        <c:tickMarkSkip val="1"/>
        <c:noMultiLvlLbl val="0"/>
      </c:catAx>
      <c:valAx>
        <c:axId val="9478182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4780032"/>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94802304"/>
        <c:axId val="94803840"/>
      </c:barChart>
      <c:catAx>
        <c:axId val="9480230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4803840"/>
        <c:crosses val="autoZero"/>
        <c:auto val="0"/>
        <c:lblAlgn val="ctr"/>
        <c:lblOffset val="100"/>
        <c:tickLblSkip val="1"/>
        <c:tickMarkSkip val="1"/>
        <c:noMultiLvlLbl val="0"/>
      </c:catAx>
      <c:valAx>
        <c:axId val="9480384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480230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94825472"/>
        <c:axId val="94860032"/>
      </c:barChart>
      <c:catAx>
        <c:axId val="9482547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4860032"/>
        <c:crosses val="autoZero"/>
        <c:auto val="0"/>
        <c:lblAlgn val="ctr"/>
        <c:lblOffset val="100"/>
        <c:tickLblSkip val="1"/>
        <c:tickMarkSkip val="1"/>
        <c:noMultiLvlLbl val="0"/>
      </c:catAx>
      <c:valAx>
        <c:axId val="9486003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4825472"/>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94884224"/>
        <c:axId val="94885760"/>
      </c:barChart>
      <c:catAx>
        <c:axId val="9488422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4885760"/>
        <c:crosses val="autoZero"/>
        <c:auto val="0"/>
        <c:lblAlgn val="ctr"/>
        <c:lblOffset val="100"/>
        <c:tickLblSkip val="1"/>
        <c:tickMarkSkip val="1"/>
        <c:noMultiLvlLbl val="0"/>
      </c:catAx>
      <c:valAx>
        <c:axId val="9488576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488422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4"/>
          <c:order val="4"/>
          <c:tx>
            <c:strRef>
              <c:f>'W&amp;W-LTFP'!#REF!</c:f>
              <c:strCache>
                <c:ptCount val="1"/>
                <c:pt idx="0">
                  <c:v>#REF!</c:v>
                </c:pt>
              </c:strCache>
            </c:strRef>
          </c:tx>
          <c:spPr>
            <a:solidFill>
              <a:srgbClr val="6600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98145024"/>
        <c:axId val="98146560"/>
      </c:barChart>
      <c:catAx>
        <c:axId val="9814502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8146560"/>
        <c:crosses val="autoZero"/>
        <c:auto val="0"/>
        <c:lblAlgn val="ctr"/>
        <c:lblOffset val="100"/>
        <c:tickLblSkip val="1"/>
        <c:tickMarkSkip val="1"/>
        <c:noMultiLvlLbl val="0"/>
      </c:catAx>
      <c:valAx>
        <c:axId val="9814656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8145024"/>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98162944"/>
        <c:axId val="98172928"/>
      </c:barChart>
      <c:catAx>
        <c:axId val="9816294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8172928"/>
        <c:crossesAt val="0"/>
        <c:auto val="0"/>
        <c:lblAlgn val="ctr"/>
        <c:lblOffset val="100"/>
        <c:tickLblSkip val="1"/>
        <c:tickMarkSkip val="1"/>
        <c:noMultiLvlLbl val="0"/>
      </c:catAx>
      <c:valAx>
        <c:axId val="98172928"/>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816294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98224000"/>
        <c:axId val="98225536"/>
      </c:barChart>
      <c:catAx>
        <c:axId val="9822400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8225536"/>
        <c:crosses val="autoZero"/>
        <c:auto val="0"/>
        <c:lblAlgn val="ctr"/>
        <c:lblOffset val="100"/>
        <c:tickLblSkip val="1"/>
        <c:tickMarkSkip val="1"/>
        <c:noMultiLvlLbl val="0"/>
      </c:catAx>
      <c:valAx>
        <c:axId val="9822553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8224000"/>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98254208"/>
        <c:axId val="98256000"/>
      </c:barChart>
      <c:catAx>
        <c:axId val="9825420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8256000"/>
        <c:crosses val="autoZero"/>
        <c:auto val="0"/>
        <c:lblAlgn val="ctr"/>
        <c:lblOffset val="100"/>
        <c:tickLblSkip val="1"/>
        <c:tickMarkSkip val="1"/>
        <c:noMultiLvlLbl val="0"/>
      </c:catAx>
      <c:valAx>
        <c:axId val="9825600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825420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98294016"/>
        <c:axId val="98299904"/>
      </c:barChart>
      <c:catAx>
        <c:axId val="9829401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8299904"/>
        <c:crosses val="autoZero"/>
        <c:auto val="0"/>
        <c:lblAlgn val="ctr"/>
        <c:lblOffset val="100"/>
        <c:tickLblSkip val="1"/>
        <c:tickMarkSkip val="1"/>
        <c:noMultiLvlLbl val="0"/>
      </c:catAx>
      <c:valAx>
        <c:axId val="9829990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8294016"/>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90115456"/>
        <c:axId val="90133632"/>
      </c:barChart>
      <c:catAx>
        <c:axId val="9011545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0133632"/>
        <c:crosses val="autoZero"/>
        <c:auto val="0"/>
        <c:lblAlgn val="ctr"/>
        <c:lblOffset val="100"/>
        <c:tickLblSkip val="1"/>
        <c:tickMarkSkip val="1"/>
        <c:noMultiLvlLbl val="0"/>
      </c:catAx>
      <c:valAx>
        <c:axId val="9013363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011545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paperSize="9" orientation="landscape" horizontalDpi="-4" verticalDpi="300"/>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94571904"/>
        <c:axId val="94581888"/>
      </c:barChart>
      <c:catAx>
        <c:axId val="9457190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4581888"/>
        <c:crosses val="autoZero"/>
        <c:auto val="0"/>
        <c:lblAlgn val="ctr"/>
        <c:lblOffset val="100"/>
        <c:tickLblSkip val="1"/>
        <c:tickMarkSkip val="1"/>
        <c:noMultiLvlLbl val="0"/>
      </c:catAx>
      <c:valAx>
        <c:axId val="9458188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457190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TOURISM</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ser>
          <c:idx val="1"/>
          <c:order val="1"/>
          <c:spPr>
            <a:ln w="12700">
              <a:solidFill>
                <a:srgbClr val="FF00FF"/>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dLbls>
          <c:showLegendKey val="0"/>
          <c:showVal val="0"/>
          <c:showCatName val="0"/>
          <c:showSerName val="0"/>
          <c:showPercent val="0"/>
          <c:showBubbleSize val="0"/>
        </c:dLbls>
        <c:marker val="1"/>
        <c:smooth val="0"/>
        <c:axId val="110730240"/>
        <c:axId val="110740224"/>
      </c:lineChart>
      <c:catAx>
        <c:axId val="11073024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0740224"/>
        <c:crosses val="autoZero"/>
        <c:auto val="0"/>
        <c:lblAlgn val="ctr"/>
        <c:lblOffset val="100"/>
        <c:tickLblSkip val="1"/>
        <c:tickMarkSkip val="1"/>
        <c:noMultiLvlLbl val="0"/>
      </c:catAx>
      <c:valAx>
        <c:axId val="110740224"/>
        <c:scaling>
          <c:orientation val="minMax"/>
          <c:min val="-220000"/>
        </c:scaling>
        <c:delete val="1"/>
        <c:axPos val="l"/>
        <c:majorGridlines>
          <c:spPr>
            <a:ln w="3175">
              <a:solidFill>
                <a:srgbClr val="000000"/>
              </a:solidFill>
              <a:prstDash val="solid"/>
            </a:ln>
          </c:spPr>
        </c:majorGridlines>
        <c:numFmt formatCode="General" sourceLinked="1"/>
        <c:majorTickMark val="out"/>
        <c:minorTickMark val="none"/>
        <c:tickLblPos val="none"/>
        <c:crossAx val="110730240"/>
        <c:crosses val="autoZero"/>
        <c:crossBetween val="midCat"/>
        <c:majorUnit val="40000"/>
        <c:minorUnit val="8000"/>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TOURISM</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ser>
          <c:idx val="1"/>
          <c:order val="1"/>
          <c:spPr>
            <a:ln w="12700">
              <a:solidFill>
                <a:srgbClr val="FF00FF"/>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dLbls>
          <c:showLegendKey val="0"/>
          <c:showVal val="0"/>
          <c:showCatName val="0"/>
          <c:showSerName val="0"/>
          <c:showPercent val="0"/>
          <c:showBubbleSize val="0"/>
        </c:dLbls>
        <c:marker val="1"/>
        <c:smooth val="0"/>
        <c:axId val="110118016"/>
        <c:axId val="110119552"/>
      </c:lineChart>
      <c:catAx>
        <c:axId val="11011801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0119552"/>
        <c:crosses val="autoZero"/>
        <c:auto val="0"/>
        <c:lblAlgn val="ctr"/>
        <c:lblOffset val="100"/>
        <c:tickLblSkip val="1"/>
        <c:tickMarkSkip val="1"/>
        <c:noMultiLvlLbl val="0"/>
      </c:catAx>
      <c:valAx>
        <c:axId val="110119552"/>
        <c:scaling>
          <c:orientation val="minMax"/>
          <c:min val="-220000"/>
        </c:scaling>
        <c:delete val="1"/>
        <c:axPos val="l"/>
        <c:majorGridlines>
          <c:spPr>
            <a:ln w="3175">
              <a:solidFill>
                <a:srgbClr val="000000"/>
              </a:solidFill>
              <a:prstDash val="solid"/>
            </a:ln>
          </c:spPr>
        </c:majorGridlines>
        <c:numFmt formatCode="General" sourceLinked="1"/>
        <c:majorTickMark val="out"/>
        <c:minorTickMark val="none"/>
        <c:tickLblPos val="none"/>
        <c:crossAx val="110118016"/>
        <c:crosses val="autoZero"/>
        <c:crossBetween val="midCat"/>
        <c:majorUnit val="40000"/>
        <c:minorUnit val="8000"/>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TOURISM</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ser>
          <c:idx val="1"/>
          <c:order val="1"/>
          <c:spPr>
            <a:ln w="12700">
              <a:solidFill>
                <a:srgbClr val="FF00FF"/>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dLbls>
          <c:showLegendKey val="0"/>
          <c:showVal val="0"/>
          <c:showCatName val="0"/>
          <c:showSerName val="0"/>
          <c:showPercent val="0"/>
          <c:showBubbleSize val="0"/>
        </c:dLbls>
        <c:marker val="1"/>
        <c:smooth val="0"/>
        <c:axId val="110132224"/>
        <c:axId val="110138112"/>
      </c:lineChart>
      <c:catAx>
        <c:axId val="11013222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0138112"/>
        <c:crosses val="autoZero"/>
        <c:auto val="0"/>
        <c:lblAlgn val="ctr"/>
        <c:lblOffset val="100"/>
        <c:tickLblSkip val="1"/>
        <c:tickMarkSkip val="1"/>
        <c:noMultiLvlLbl val="0"/>
      </c:catAx>
      <c:valAx>
        <c:axId val="110138112"/>
        <c:scaling>
          <c:orientation val="minMax"/>
          <c:min val="-220000"/>
        </c:scaling>
        <c:delete val="1"/>
        <c:axPos val="l"/>
        <c:majorGridlines>
          <c:spPr>
            <a:ln w="3175">
              <a:solidFill>
                <a:srgbClr val="000000"/>
              </a:solidFill>
              <a:prstDash val="solid"/>
            </a:ln>
          </c:spPr>
        </c:majorGridlines>
        <c:numFmt formatCode="General" sourceLinked="1"/>
        <c:majorTickMark val="out"/>
        <c:minorTickMark val="none"/>
        <c:tickLblPos val="none"/>
        <c:crossAx val="110132224"/>
        <c:crosses val="autoZero"/>
        <c:crossBetween val="midCat"/>
        <c:majorUnit val="40000"/>
        <c:minorUnit val="8000"/>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TOURISM</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ser>
          <c:idx val="1"/>
          <c:order val="1"/>
          <c:spPr>
            <a:ln w="12700">
              <a:solidFill>
                <a:srgbClr val="FF00FF"/>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dLbls>
          <c:showLegendKey val="0"/>
          <c:showVal val="0"/>
          <c:showCatName val="0"/>
          <c:showSerName val="0"/>
          <c:showPercent val="0"/>
          <c:showBubbleSize val="0"/>
        </c:dLbls>
        <c:marker val="1"/>
        <c:smooth val="0"/>
        <c:axId val="110576768"/>
        <c:axId val="110578304"/>
      </c:lineChart>
      <c:catAx>
        <c:axId val="11057676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0578304"/>
        <c:crosses val="autoZero"/>
        <c:auto val="0"/>
        <c:lblAlgn val="ctr"/>
        <c:lblOffset val="100"/>
        <c:tickLblSkip val="1"/>
        <c:tickMarkSkip val="1"/>
        <c:noMultiLvlLbl val="0"/>
      </c:catAx>
      <c:valAx>
        <c:axId val="110578304"/>
        <c:scaling>
          <c:orientation val="minMax"/>
          <c:min val="-220000"/>
        </c:scaling>
        <c:delete val="1"/>
        <c:axPos val="l"/>
        <c:majorGridlines>
          <c:spPr>
            <a:ln w="3175">
              <a:solidFill>
                <a:srgbClr val="000000"/>
              </a:solidFill>
              <a:prstDash val="solid"/>
            </a:ln>
          </c:spPr>
        </c:majorGridlines>
        <c:numFmt formatCode="General" sourceLinked="1"/>
        <c:majorTickMark val="out"/>
        <c:minorTickMark val="none"/>
        <c:tickLblPos val="none"/>
        <c:crossAx val="110576768"/>
        <c:crosses val="autoZero"/>
        <c:crossBetween val="midCat"/>
        <c:majorUnit val="40000"/>
        <c:minorUnit val="8000"/>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TOURISM</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ser>
          <c:idx val="1"/>
          <c:order val="1"/>
          <c:spPr>
            <a:ln w="12700">
              <a:solidFill>
                <a:srgbClr val="FF00FF"/>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dLbls>
          <c:showLegendKey val="0"/>
          <c:showVal val="0"/>
          <c:showCatName val="0"/>
          <c:showSerName val="0"/>
          <c:showPercent val="0"/>
          <c:showBubbleSize val="0"/>
        </c:dLbls>
        <c:marker val="1"/>
        <c:smooth val="0"/>
        <c:axId val="110595072"/>
        <c:axId val="110617344"/>
      </c:lineChart>
      <c:catAx>
        <c:axId val="11059507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0617344"/>
        <c:crosses val="autoZero"/>
        <c:auto val="0"/>
        <c:lblAlgn val="ctr"/>
        <c:lblOffset val="100"/>
        <c:tickLblSkip val="1"/>
        <c:tickMarkSkip val="1"/>
        <c:noMultiLvlLbl val="0"/>
      </c:catAx>
      <c:valAx>
        <c:axId val="110617344"/>
        <c:scaling>
          <c:orientation val="minMax"/>
          <c:min val="-220000"/>
        </c:scaling>
        <c:delete val="1"/>
        <c:axPos val="l"/>
        <c:majorGridlines>
          <c:spPr>
            <a:ln w="3175">
              <a:solidFill>
                <a:srgbClr val="000000"/>
              </a:solidFill>
              <a:prstDash val="solid"/>
            </a:ln>
          </c:spPr>
        </c:majorGridlines>
        <c:numFmt formatCode="General" sourceLinked="1"/>
        <c:majorTickMark val="out"/>
        <c:minorTickMark val="none"/>
        <c:tickLblPos val="none"/>
        <c:crossAx val="110595072"/>
        <c:crosses val="autoZero"/>
        <c:crossBetween val="midCat"/>
        <c:majorUnit val="40000"/>
        <c:minorUnit val="8000"/>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TOURISM</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ser>
          <c:idx val="1"/>
          <c:order val="1"/>
          <c:spPr>
            <a:ln w="12700">
              <a:solidFill>
                <a:srgbClr val="FF00FF"/>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dLbls>
          <c:showLegendKey val="0"/>
          <c:showVal val="0"/>
          <c:showCatName val="0"/>
          <c:showSerName val="0"/>
          <c:showPercent val="0"/>
          <c:showBubbleSize val="0"/>
        </c:dLbls>
        <c:marker val="1"/>
        <c:smooth val="0"/>
        <c:axId val="110650496"/>
        <c:axId val="110652032"/>
      </c:lineChart>
      <c:catAx>
        <c:axId val="11065049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0652032"/>
        <c:crosses val="autoZero"/>
        <c:auto val="0"/>
        <c:lblAlgn val="ctr"/>
        <c:lblOffset val="100"/>
        <c:tickLblSkip val="1"/>
        <c:tickMarkSkip val="1"/>
        <c:noMultiLvlLbl val="0"/>
      </c:catAx>
      <c:valAx>
        <c:axId val="110652032"/>
        <c:scaling>
          <c:orientation val="minMax"/>
          <c:min val="-220000"/>
        </c:scaling>
        <c:delete val="1"/>
        <c:axPos val="l"/>
        <c:majorGridlines>
          <c:spPr>
            <a:ln w="3175">
              <a:solidFill>
                <a:srgbClr val="000000"/>
              </a:solidFill>
              <a:prstDash val="solid"/>
            </a:ln>
          </c:spPr>
        </c:majorGridlines>
        <c:numFmt formatCode="General" sourceLinked="1"/>
        <c:majorTickMark val="out"/>
        <c:minorTickMark val="none"/>
        <c:tickLblPos val="none"/>
        <c:crossAx val="110650496"/>
        <c:crosses val="autoZero"/>
        <c:crossBetween val="midCat"/>
        <c:majorUnit val="40000"/>
        <c:minorUnit val="8000"/>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TOURISM</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ser>
          <c:idx val="1"/>
          <c:order val="1"/>
          <c:spPr>
            <a:ln w="12700">
              <a:solidFill>
                <a:srgbClr val="FF00FF"/>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dLbls>
          <c:showLegendKey val="0"/>
          <c:showVal val="0"/>
          <c:showCatName val="0"/>
          <c:showSerName val="0"/>
          <c:showPercent val="0"/>
          <c:showBubbleSize val="0"/>
        </c:dLbls>
        <c:marker val="1"/>
        <c:smooth val="0"/>
        <c:axId val="110668800"/>
        <c:axId val="110678784"/>
      </c:lineChart>
      <c:catAx>
        <c:axId val="11066880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0678784"/>
        <c:crosses val="autoZero"/>
        <c:auto val="0"/>
        <c:lblAlgn val="ctr"/>
        <c:lblOffset val="100"/>
        <c:tickLblSkip val="1"/>
        <c:tickMarkSkip val="1"/>
        <c:noMultiLvlLbl val="0"/>
      </c:catAx>
      <c:valAx>
        <c:axId val="110678784"/>
        <c:scaling>
          <c:orientation val="minMax"/>
          <c:min val="-220000"/>
        </c:scaling>
        <c:delete val="1"/>
        <c:axPos val="l"/>
        <c:majorGridlines>
          <c:spPr>
            <a:ln w="3175">
              <a:solidFill>
                <a:srgbClr val="000000"/>
              </a:solidFill>
              <a:prstDash val="solid"/>
            </a:ln>
          </c:spPr>
        </c:majorGridlines>
        <c:numFmt formatCode="General" sourceLinked="1"/>
        <c:majorTickMark val="out"/>
        <c:minorTickMark val="none"/>
        <c:tickLblPos val="none"/>
        <c:crossAx val="110668800"/>
        <c:crosses val="autoZero"/>
        <c:crossBetween val="midCat"/>
        <c:majorUnit val="40000"/>
        <c:minorUnit val="8000"/>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TOURISM</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ser>
          <c:idx val="1"/>
          <c:order val="1"/>
          <c:spPr>
            <a:ln w="12700">
              <a:solidFill>
                <a:srgbClr val="FF00FF"/>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dLbls>
          <c:showLegendKey val="0"/>
          <c:showVal val="0"/>
          <c:showCatName val="0"/>
          <c:showSerName val="0"/>
          <c:showPercent val="0"/>
          <c:showBubbleSize val="0"/>
        </c:dLbls>
        <c:marker val="1"/>
        <c:smooth val="0"/>
        <c:axId val="124204160"/>
        <c:axId val="124205696"/>
      </c:lineChart>
      <c:catAx>
        <c:axId val="12420416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24205696"/>
        <c:crosses val="autoZero"/>
        <c:auto val="0"/>
        <c:lblAlgn val="ctr"/>
        <c:lblOffset val="100"/>
        <c:tickLblSkip val="1"/>
        <c:tickMarkSkip val="1"/>
        <c:noMultiLvlLbl val="0"/>
      </c:catAx>
      <c:valAx>
        <c:axId val="124205696"/>
        <c:scaling>
          <c:orientation val="minMax"/>
          <c:min val="-220000"/>
        </c:scaling>
        <c:delete val="1"/>
        <c:axPos val="l"/>
        <c:majorGridlines>
          <c:spPr>
            <a:ln w="3175">
              <a:solidFill>
                <a:srgbClr val="000000"/>
              </a:solidFill>
              <a:prstDash val="solid"/>
            </a:ln>
          </c:spPr>
        </c:majorGridlines>
        <c:numFmt formatCode="General" sourceLinked="1"/>
        <c:majorTickMark val="out"/>
        <c:minorTickMark val="none"/>
        <c:tickLblPos val="none"/>
        <c:crossAx val="124204160"/>
        <c:crosses val="autoZero"/>
        <c:crossBetween val="midCat"/>
        <c:majorUnit val="40000"/>
        <c:minorUnit val="8000"/>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AU"/>
              <a:t>Operating Result Before Capital Grants and Contributions ($'000)</a:t>
            </a:r>
          </a:p>
        </c:rich>
      </c:tx>
      <c:layout>
        <c:manualLayout>
          <c:xMode val="edge"/>
          <c:yMode val="edge"/>
          <c:x val="0.23180591169559303"/>
          <c:y val="4.2338709677419352E-2"/>
        </c:manualLayout>
      </c:layout>
      <c:overlay val="0"/>
      <c:spPr>
        <a:noFill/>
        <a:ln w="25400">
          <a:noFill/>
        </a:ln>
      </c:spPr>
    </c:title>
    <c:autoTitleDeleted val="0"/>
    <c:plotArea>
      <c:layout/>
      <c:barChart>
        <c:barDir val="col"/>
        <c:grouping val="clustered"/>
        <c:varyColors val="0"/>
        <c:ser>
          <c:idx val="0"/>
          <c:order val="0"/>
          <c:tx>
            <c:strRef>
              <c:f>Summaries!#REF!</c:f>
              <c:strCache>
                <c:ptCount val="1"/>
                <c:pt idx="0">
                  <c:v>#REF!</c:v>
                </c:pt>
              </c:strCache>
            </c:strRef>
          </c:tx>
          <c:spPr>
            <a:solidFill>
              <a:srgbClr val="9999FF"/>
            </a:solidFill>
            <a:ln w="12700">
              <a:solidFill>
                <a:srgbClr val="000000"/>
              </a:solidFill>
              <a:prstDash val="solid"/>
            </a:ln>
          </c:spPr>
          <c:invertIfNegative val="0"/>
          <c:trendline>
            <c:spPr>
              <a:ln w="25400">
                <a:solidFill>
                  <a:srgbClr val="000000"/>
                </a:solidFill>
                <a:prstDash val="solid"/>
              </a:ln>
            </c:spPr>
            <c:trendlineType val="linear"/>
            <c:dispRSqr val="0"/>
            <c:dispEq val="0"/>
          </c:trendline>
          <c:cat>
            <c:numRef>
              <c:f>Summaries!#REF!</c:f>
              <c:numCache>
                <c:formatCode>General</c:formatCode>
                <c:ptCount val="1"/>
                <c:pt idx="0">
                  <c:v>1</c:v>
                </c:pt>
              </c:numCache>
            </c:numRef>
          </c:cat>
          <c:val>
            <c:numRef>
              <c:f>Summaries!#REF!</c:f>
              <c:numCache>
                <c:formatCode>General</c:formatCode>
                <c:ptCount val="1"/>
                <c:pt idx="0">
                  <c:v>1</c:v>
                </c:pt>
              </c:numCache>
            </c:numRef>
          </c:val>
        </c:ser>
        <c:ser>
          <c:idx val="1"/>
          <c:order val="1"/>
          <c:tx>
            <c:strRef>
              <c:f>Summaries!#REF!</c:f>
              <c:strCache>
                <c:ptCount val="1"/>
                <c:pt idx="0">
                  <c:v>#REF!</c:v>
                </c:pt>
              </c:strCache>
            </c:strRef>
          </c:tx>
          <c:spPr>
            <a:solidFill>
              <a:srgbClr val="993366"/>
            </a:solidFill>
            <a:ln w="12700">
              <a:solidFill>
                <a:srgbClr val="000000"/>
              </a:solidFill>
              <a:prstDash val="solid"/>
            </a:ln>
          </c:spPr>
          <c:invertIfNegative val="0"/>
          <c:cat>
            <c:numRef>
              <c:f>Summaries!#REF!</c:f>
              <c:numCache>
                <c:formatCode>General</c:formatCode>
                <c:ptCount val="1"/>
                <c:pt idx="0">
                  <c:v>1</c:v>
                </c:pt>
              </c:numCache>
            </c:numRef>
          </c:cat>
          <c:val>
            <c:numRef>
              <c:f>Summaries!#REF!</c:f>
              <c:numCache>
                <c:formatCode>General</c:formatCode>
                <c:ptCount val="1"/>
                <c:pt idx="0">
                  <c:v>1</c:v>
                </c:pt>
              </c:numCache>
            </c:numRef>
          </c:val>
        </c:ser>
        <c:ser>
          <c:idx val="2"/>
          <c:order val="2"/>
          <c:tx>
            <c:strRef>
              <c:f>Summaries!#REF!</c:f>
              <c:strCache>
                <c:ptCount val="1"/>
                <c:pt idx="0">
                  <c:v>#REF!</c:v>
                </c:pt>
              </c:strCache>
            </c:strRef>
          </c:tx>
          <c:spPr>
            <a:solidFill>
              <a:srgbClr val="FFFFCC"/>
            </a:solidFill>
            <a:ln w="12700">
              <a:solidFill>
                <a:srgbClr val="000000"/>
              </a:solidFill>
              <a:prstDash val="solid"/>
            </a:ln>
          </c:spPr>
          <c:invertIfNegative val="0"/>
          <c:cat>
            <c:numRef>
              <c:f>Summaries!#REF!</c:f>
              <c:numCache>
                <c:formatCode>General</c:formatCode>
                <c:ptCount val="1"/>
                <c:pt idx="0">
                  <c:v>1</c:v>
                </c:pt>
              </c:numCache>
            </c:numRef>
          </c:cat>
          <c:val>
            <c:numRef>
              <c:f>Summaries!#REF!</c:f>
              <c:numCache>
                <c:formatCode>General</c:formatCode>
                <c:ptCount val="1"/>
                <c:pt idx="0">
                  <c:v>1</c:v>
                </c:pt>
              </c:numCache>
            </c:numRef>
          </c:val>
        </c:ser>
        <c:dLbls>
          <c:showLegendKey val="0"/>
          <c:showVal val="0"/>
          <c:showCatName val="0"/>
          <c:showSerName val="0"/>
          <c:showPercent val="0"/>
          <c:showBubbleSize val="0"/>
        </c:dLbls>
        <c:gapWidth val="150"/>
        <c:axId val="143360000"/>
        <c:axId val="143361536"/>
      </c:barChart>
      <c:catAx>
        <c:axId val="1433600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143361536"/>
        <c:crosses val="autoZero"/>
        <c:auto val="1"/>
        <c:lblAlgn val="ctr"/>
        <c:lblOffset val="100"/>
        <c:tickLblSkip val="1"/>
        <c:tickMarkSkip val="1"/>
        <c:noMultiLvlLbl val="0"/>
      </c:catAx>
      <c:valAx>
        <c:axId val="143361536"/>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143360000"/>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1"/>
          <c:order val="1"/>
          <c:tx>
            <c:strRef>
              <c:f>'Gen-Cons-LTFP'!#REF!</c:f>
              <c:strCache>
                <c:ptCount val="1"/>
                <c:pt idx="0">
                  <c:v>#REF!</c:v>
                </c:pt>
              </c:strCache>
            </c:strRef>
          </c:tx>
          <c:spPr>
            <a:solidFill>
              <a:srgbClr val="993366"/>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2"/>
          <c:order val="2"/>
          <c:tx>
            <c:strRef>
              <c:f>'Gen-Cons-LTFP'!#REF!</c:f>
              <c:strCache>
                <c:ptCount val="1"/>
                <c:pt idx="0">
                  <c:v>#REF!</c:v>
                </c:pt>
              </c:strCache>
            </c:strRef>
          </c:tx>
          <c:spPr>
            <a:solidFill>
              <a:srgbClr val="FFFFCC"/>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3"/>
          <c:order val="3"/>
          <c:tx>
            <c:strRef>
              <c:f>'Gen-Cons-LTFP'!#REF!</c:f>
              <c:strCache>
                <c:ptCount val="1"/>
                <c:pt idx="0">
                  <c:v>#REF!</c:v>
                </c:pt>
              </c:strCache>
            </c:strRef>
          </c:tx>
          <c:spPr>
            <a:solidFill>
              <a:srgbClr val="CCFF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4"/>
          <c:order val="4"/>
          <c:tx>
            <c:strRef>
              <c:f>'Gen-Cons-LTFP'!#REF!</c:f>
              <c:strCache>
                <c:ptCount val="1"/>
                <c:pt idx="0">
                  <c:v>#REF!</c:v>
                </c:pt>
              </c:strCache>
            </c:strRef>
          </c:tx>
          <c:spPr>
            <a:solidFill>
              <a:srgbClr val="660066"/>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90181632"/>
        <c:axId val="90183168"/>
      </c:barChart>
      <c:catAx>
        <c:axId val="9018163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0183168"/>
        <c:crosses val="autoZero"/>
        <c:auto val="0"/>
        <c:lblAlgn val="ctr"/>
        <c:lblOffset val="100"/>
        <c:tickLblSkip val="1"/>
        <c:tickMarkSkip val="1"/>
        <c:noMultiLvlLbl val="0"/>
      </c:catAx>
      <c:valAx>
        <c:axId val="9018316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0181632"/>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en-AU"/>
              <a:t>Water and Sewer Operating Result Before Capital Grants and Contributions ($'000)</a:t>
            </a:r>
          </a:p>
        </c:rich>
      </c:tx>
      <c:layout>
        <c:manualLayout>
          <c:xMode val="edge"/>
          <c:yMode val="edge"/>
          <c:x val="0.19031607196512876"/>
          <c:y val="3.4816247582208242E-2"/>
        </c:manualLayout>
      </c:layout>
      <c:overlay val="0"/>
      <c:spPr>
        <a:noFill/>
        <a:ln w="25400">
          <a:noFill/>
        </a:ln>
      </c:spPr>
    </c:title>
    <c:autoTitleDeleted val="0"/>
    <c:plotArea>
      <c:layout/>
      <c:lineChart>
        <c:grouping val="standard"/>
        <c:varyColors val="0"/>
        <c:ser>
          <c:idx val="1"/>
          <c:order val="0"/>
          <c:tx>
            <c:strRef>
              <c:f>Summaries!#REF!</c:f>
              <c:strCache>
                <c:ptCount val="1"/>
                <c:pt idx="0">
                  <c:v>#REF!</c:v>
                </c:pt>
              </c:strCache>
            </c:strRef>
          </c:tx>
          <c:spPr>
            <a:ln w="25400">
              <a:solidFill>
                <a:srgbClr val="000000"/>
              </a:solidFill>
              <a:prstDash val="lgDashDot"/>
            </a:ln>
          </c:spPr>
          <c:marker>
            <c:symbol val="square"/>
            <c:size val="7"/>
            <c:spPr>
              <a:solidFill>
                <a:srgbClr val="FF00FF"/>
              </a:solidFill>
              <a:ln>
                <a:solidFill>
                  <a:srgbClr val="FF00FF"/>
                </a:solidFill>
                <a:prstDash val="solid"/>
              </a:ln>
            </c:spPr>
          </c:marker>
          <c:trendline>
            <c:spPr>
              <a:ln w="25400">
                <a:solidFill>
                  <a:srgbClr val="000000"/>
                </a:solidFill>
                <a:prstDash val="lgDash"/>
              </a:ln>
            </c:spPr>
            <c:trendlineType val="linear"/>
            <c:dispRSqr val="0"/>
            <c:dispEq val="0"/>
          </c:trendline>
          <c:cat>
            <c:numRef>
              <c:f>Summaries!#REF!</c:f>
              <c:numCache>
                <c:formatCode>General</c:formatCode>
                <c:ptCount val="1"/>
                <c:pt idx="0">
                  <c:v>1</c:v>
                </c:pt>
              </c:numCache>
            </c:numRef>
          </c:cat>
          <c:val>
            <c:numRef>
              <c:f>Summaries!#REF!</c:f>
              <c:numCache>
                <c:formatCode>General</c:formatCode>
                <c:ptCount val="1"/>
                <c:pt idx="0">
                  <c:v>1</c:v>
                </c:pt>
              </c:numCache>
            </c:numRef>
          </c:val>
          <c:smooth val="0"/>
        </c:ser>
        <c:ser>
          <c:idx val="2"/>
          <c:order val="1"/>
          <c:tx>
            <c:strRef>
              <c:f>Summaries!#REF!</c:f>
              <c:strCache>
                <c:ptCount val="1"/>
                <c:pt idx="0">
                  <c:v>#REF!</c:v>
                </c:pt>
              </c:strCache>
            </c:strRef>
          </c:tx>
          <c:spPr>
            <a:ln w="25400">
              <a:solidFill>
                <a:srgbClr val="339966"/>
              </a:solidFill>
              <a:prstDash val="sysDash"/>
            </a:ln>
          </c:spPr>
          <c:marker>
            <c:symbol val="triangle"/>
            <c:size val="7"/>
            <c:spPr>
              <a:solidFill>
                <a:srgbClr val="FFFF00"/>
              </a:solidFill>
              <a:ln>
                <a:solidFill>
                  <a:srgbClr val="FFFF00"/>
                </a:solidFill>
                <a:prstDash val="solid"/>
              </a:ln>
            </c:spPr>
          </c:marker>
          <c:trendline>
            <c:spPr>
              <a:ln w="25400">
                <a:solidFill>
                  <a:srgbClr val="000000"/>
                </a:solidFill>
                <a:prstDash val="solid"/>
              </a:ln>
            </c:spPr>
            <c:trendlineType val="linear"/>
            <c:dispRSqr val="0"/>
            <c:dispEq val="0"/>
          </c:trendline>
          <c:cat>
            <c:numRef>
              <c:f>Summaries!#REF!</c:f>
              <c:numCache>
                <c:formatCode>General</c:formatCode>
                <c:ptCount val="1"/>
                <c:pt idx="0">
                  <c:v>1</c:v>
                </c:pt>
              </c:numCache>
            </c:numRef>
          </c:cat>
          <c:val>
            <c:numRef>
              <c:f>Summaries!#REF!</c:f>
              <c:numCache>
                <c:formatCode>General</c:formatCode>
                <c:ptCount val="1"/>
                <c:pt idx="0">
                  <c:v>1</c:v>
                </c:pt>
              </c:numCache>
            </c:numRef>
          </c:val>
          <c:smooth val="0"/>
        </c:ser>
        <c:dLbls>
          <c:showLegendKey val="0"/>
          <c:showVal val="0"/>
          <c:showCatName val="0"/>
          <c:showSerName val="0"/>
          <c:showPercent val="0"/>
          <c:showBubbleSize val="0"/>
        </c:dLbls>
        <c:marker val="1"/>
        <c:smooth val="0"/>
        <c:axId val="145444864"/>
        <c:axId val="145446400"/>
      </c:lineChart>
      <c:catAx>
        <c:axId val="145444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45446400"/>
        <c:crosses val="autoZero"/>
        <c:auto val="1"/>
        <c:lblAlgn val="ctr"/>
        <c:lblOffset val="100"/>
        <c:tickLblSkip val="1"/>
        <c:tickMarkSkip val="1"/>
        <c:noMultiLvlLbl val="0"/>
      </c:catAx>
      <c:valAx>
        <c:axId val="145446400"/>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45444864"/>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4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paperSize="9" orientation="landscape"/>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AU"/>
              <a:t>Roads Oper &amp; Maint Compare AMP to LTFP</a:t>
            </a:r>
          </a:p>
        </c:rich>
      </c:tx>
      <c:overlay val="0"/>
    </c:title>
    <c:autoTitleDeleted val="0"/>
    <c:plotArea>
      <c:layout/>
      <c:lineChart>
        <c:grouping val="standard"/>
        <c:varyColors val="0"/>
        <c:ser>
          <c:idx val="0"/>
          <c:order val="0"/>
          <c:tx>
            <c:strRef>
              <c:f>'LTFP to AMPs'!$C$13</c:f>
              <c:strCache>
                <c:ptCount val="1"/>
                <c:pt idx="0">
                  <c:v>AMP - Roads Operations &amp; Maintenance</c:v>
                </c:pt>
              </c:strCache>
            </c:strRef>
          </c:tx>
          <c:cat>
            <c:strRef>
              <c:f>'LTFP to AMPs'!$D$3:$O$3</c:f>
              <c:strCache>
                <c:ptCount val="12"/>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strCache>
            </c:strRef>
          </c:cat>
          <c:val>
            <c:numRef>
              <c:f>'LTFP to AMPs'!$D$13:$O$13</c:f>
              <c:numCache>
                <c:formatCode>_(* #,##0_);_(* \(#,##0\);_(* "-"??_);_(@_)</c:formatCode>
                <c:ptCount val="12"/>
                <c:pt idx="0">
                  <c:v>4895.4767688249995</c:v>
                </c:pt>
                <c:pt idx="1">
                  <c:v>5435.7792666765263</c:v>
                </c:pt>
                <c:pt idx="2">
                  <c:v>5747.866974848891</c:v>
                </c:pt>
                <c:pt idx="3">
                  <c:v>5720.8623009349149</c:v>
                </c:pt>
                <c:pt idx="4">
                  <c:v>5968.6425116126302</c:v>
                </c:pt>
                <c:pt idx="5">
                  <c:v>6156.415988187523</c:v>
                </c:pt>
                <c:pt idx="6">
                  <c:v>6335.9744736320727</c:v>
                </c:pt>
                <c:pt idx="7">
                  <c:v>6523.9591277868021</c:v>
                </c:pt>
                <c:pt idx="8">
                  <c:v>6714.432956685102</c:v>
                </c:pt>
                <c:pt idx="9">
                  <c:v>6912.3032729208062</c:v>
                </c:pt>
                <c:pt idx="10">
                  <c:v>7113.7667172661904</c:v>
                </c:pt>
                <c:pt idx="11">
                  <c:v>0</c:v>
                </c:pt>
              </c:numCache>
            </c:numRef>
          </c:val>
          <c:smooth val="0"/>
        </c:ser>
        <c:ser>
          <c:idx val="19"/>
          <c:order val="1"/>
          <c:tx>
            <c:strRef>
              <c:f>'LTFP to AMPs'!$C$36</c:f>
              <c:strCache>
                <c:ptCount val="1"/>
                <c:pt idx="0">
                  <c:v>LTFP - Roads Operations &amp; Maintenance</c:v>
                </c:pt>
              </c:strCache>
            </c:strRef>
          </c:tx>
          <c:cat>
            <c:strRef>
              <c:f>'LTFP to AMPs'!$D$3:$O$3</c:f>
              <c:strCache>
                <c:ptCount val="12"/>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strCache>
            </c:strRef>
          </c:cat>
          <c:val>
            <c:numRef>
              <c:f>'LTFP to AMPs'!$D$36:$O$36</c:f>
              <c:numCache>
                <c:formatCode>_(* #,##0_);_(* \(#,##0\);_(* "-"??_);_(@_)</c:formatCode>
                <c:ptCount val="12"/>
                <c:pt idx="0">
                  <c:v>5625</c:v>
                </c:pt>
                <c:pt idx="1">
                  <c:v>5087</c:v>
                </c:pt>
                <c:pt idx="2">
                  <c:v>5172</c:v>
                </c:pt>
                <c:pt idx="3">
                  <c:v>5484</c:v>
                </c:pt>
                <c:pt idx="4">
                  <c:v>5277</c:v>
                </c:pt>
                <c:pt idx="5">
                  <c:v>5334</c:v>
                </c:pt>
                <c:pt idx="6">
                  <c:v>5369</c:v>
                </c:pt>
                <c:pt idx="7">
                  <c:v>5605</c:v>
                </c:pt>
                <c:pt idx="8">
                  <c:v>5647</c:v>
                </c:pt>
                <c:pt idx="9">
                  <c:v>5865</c:v>
                </c:pt>
                <c:pt idx="10">
                  <c:v>5883</c:v>
                </c:pt>
                <c:pt idx="11">
                  <c:v>6106</c:v>
                </c:pt>
              </c:numCache>
            </c:numRef>
          </c:val>
          <c:smooth val="0"/>
        </c:ser>
        <c:dLbls>
          <c:showLegendKey val="0"/>
          <c:showVal val="0"/>
          <c:showCatName val="0"/>
          <c:showSerName val="0"/>
          <c:showPercent val="0"/>
          <c:showBubbleSize val="0"/>
        </c:dLbls>
        <c:marker val="1"/>
        <c:smooth val="0"/>
        <c:axId val="152857216"/>
        <c:axId val="147661184"/>
      </c:lineChart>
      <c:catAx>
        <c:axId val="152857216"/>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147661184"/>
        <c:crosses val="autoZero"/>
        <c:auto val="1"/>
        <c:lblAlgn val="ctr"/>
        <c:lblOffset val="100"/>
        <c:noMultiLvlLbl val="0"/>
      </c:catAx>
      <c:valAx>
        <c:axId val="147661184"/>
        <c:scaling>
          <c:orientation val="minMax"/>
        </c:scaling>
        <c:delete val="0"/>
        <c:axPos val="l"/>
        <c:majorGridlines/>
        <c:numFmt formatCode="_(* #,##0_);_(* \(#,##0\);_(*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152857216"/>
        <c:crosses val="autoZero"/>
        <c:crossBetween val="between"/>
      </c:valAx>
    </c:plotArea>
    <c:legend>
      <c:legendPos val="b"/>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AU"/>
              <a:t>Roads Renewals Compare AMP to LTFP</a:t>
            </a:r>
          </a:p>
        </c:rich>
      </c:tx>
      <c:overlay val="0"/>
    </c:title>
    <c:autoTitleDeleted val="0"/>
    <c:plotArea>
      <c:layout/>
      <c:lineChart>
        <c:grouping val="standard"/>
        <c:varyColors val="0"/>
        <c:ser>
          <c:idx val="1"/>
          <c:order val="0"/>
          <c:tx>
            <c:strRef>
              <c:f>'LTFP to AMPs'!$C$24</c:f>
              <c:strCache>
                <c:ptCount val="1"/>
                <c:pt idx="0">
                  <c:v>AMP - Roads Renewals</c:v>
                </c:pt>
              </c:strCache>
            </c:strRef>
          </c:tx>
          <c:cat>
            <c:strRef>
              <c:f>'LTFP to AMPs'!$D$3:$O$3</c:f>
              <c:strCache>
                <c:ptCount val="12"/>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strCache>
            </c:strRef>
          </c:cat>
          <c:val>
            <c:numRef>
              <c:f>'LTFP to AMPs'!$D$24:$O$24</c:f>
              <c:numCache>
                <c:formatCode>_(* #,##0_);_(* \(#,##0\);_(* "-"??_);_(@_)</c:formatCode>
                <c:ptCount val="12"/>
                <c:pt idx="0">
                  <c:v>5269.0027997839998</c:v>
                </c:pt>
                <c:pt idx="1">
                  <c:v>6823.8585255104772</c:v>
                </c:pt>
                <c:pt idx="2">
                  <c:v>2184.6971702223332</c:v>
                </c:pt>
                <c:pt idx="3">
                  <c:v>3900.5876347582393</c:v>
                </c:pt>
                <c:pt idx="4">
                  <c:v>3433.8601196503041</c:v>
                </c:pt>
                <c:pt idx="5">
                  <c:v>2348.1622564137301</c:v>
                </c:pt>
                <c:pt idx="6">
                  <c:v>5100.8745411507034</c:v>
                </c:pt>
                <c:pt idx="7">
                  <c:v>5656.6375790666025</c:v>
                </c:pt>
                <c:pt idx="8">
                  <c:v>3478.3987386510248</c:v>
                </c:pt>
                <c:pt idx="9">
                  <c:v>4755.4949043564011</c:v>
                </c:pt>
                <c:pt idx="10">
                  <c:v>3016.09180081766</c:v>
                </c:pt>
                <c:pt idx="11">
                  <c:v>0</c:v>
                </c:pt>
              </c:numCache>
            </c:numRef>
          </c:val>
          <c:smooth val="0"/>
        </c:ser>
        <c:ser>
          <c:idx val="2"/>
          <c:order val="1"/>
          <c:tx>
            <c:strRef>
              <c:f>'LTFP to AMPs'!$C$45</c:f>
              <c:strCache>
                <c:ptCount val="1"/>
                <c:pt idx="0">
                  <c:v>LTFP - Roads Renewals</c:v>
                </c:pt>
              </c:strCache>
            </c:strRef>
          </c:tx>
          <c:cat>
            <c:strRef>
              <c:f>'LTFP to AMPs'!$D$3:$O$3</c:f>
              <c:strCache>
                <c:ptCount val="12"/>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strCache>
            </c:strRef>
          </c:cat>
          <c:val>
            <c:numRef>
              <c:f>'LTFP to AMPs'!$D$45:$O$45</c:f>
              <c:numCache>
                <c:formatCode>_(* #,##0_);_(* \(#,##0\);_(* "-"??_);_(@_)</c:formatCode>
                <c:ptCount val="12"/>
                <c:pt idx="0">
                  <c:v>6064</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147686528"/>
        <c:axId val="147688064"/>
      </c:lineChart>
      <c:catAx>
        <c:axId val="147686528"/>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147688064"/>
        <c:crosses val="autoZero"/>
        <c:auto val="1"/>
        <c:lblAlgn val="ctr"/>
        <c:lblOffset val="100"/>
        <c:noMultiLvlLbl val="0"/>
      </c:catAx>
      <c:valAx>
        <c:axId val="147688064"/>
        <c:scaling>
          <c:orientation val="minMax"/>
        </c:scaling>
        <c:delete val="0"/>
        <c:axPos val="l"/>
        <c:majorGridlines/>
        <c:numFmt formatCode="_(* #,##0_);_(* \(#,##0\);_(*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147686528"/>
        <c:crosses val="autoZero"/>
        <c:crossBetween val="between"/>
      </c:valAx>
    </c:plotArea>
    <c:legend>
      <c:legendPos val="b"/>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AU"/>
              <a:t>Roads Totals Compare AMP to LTFP</a:t>
            </a:r>
          </a:p>
        </c:rich>
      </c:tx>
      <c:overlay val="0"/>
    </c:title>
    <c:autoTitleDeleted val="0"/>
    <c:plotArea>
      <c:layout/>
      <c:lineChart>
        <c:grouping val="standard"/>
        <c:varyColors val="0"/>
        <c:ser>
          <c:idx val="0"/>
          <c:order val="0"/>
          <c:tx>
            <c:strRef>
              <c:f>'LTFP to AMPs'!$C$25</c:f>
              <c:strCache>
                <c:ptCount val="1"/>
                <c:pt idx="0">
                  <c:v>AMP - Totals</c:v>
                </c:pt>
              </c:strCache>
            </c:strRef>
          </c:tx>
          <c:cat>
            <c:strRef>
              <c:f>'LTFP to AMPs'!$D$3:$O$3</c:f>
              <c:strCache>
                <c:ptCount val="12"/>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strCache>
            </c:strRef>
          </c:cat>
          <c:val>
            <c:numRef>
              <c:f>'LTFP to AMPs'!$D$25:$O$25</c:f>
              <c:numCache>
                <c:formatCode>_(* #,##0_);_(* \(#,##0\);_(* "-"??_);_(@_)</c:formatCode>
                <c:ptCount val="12"/>
                <c:pt idx="0">
                  <c:v>10164.479568609</c:v>
                </c:pt>
                <c:pt idx="1">
                  <c:v>12259.637792187004</c:v>
                </c:pt>
                <c:pt idx="2">
                  <c:v>7932.5641450712246</c:v>
                </c:pt>
                <c:pt idx="3">
                  <c:v>9621.4499356931537</c:v>
                </c:pt>
                <c:pt idx="4">
                  <c:v>9402.5026312629343</c:v>
                </c:pt>
                <c:pt idx="5">
                  <c:v>8504.5782446012527</c:v>
                </c:pt>
                <c:pt idx="6">
                  <c:v>11436.849014782776</c:v>
                </c:pt>
                <c:pt idx="7">
                  <c:v>12180.596706853405</c:v>
                </c:pt>
                <c:pt idx="8">
                  <c:v>10192.831695336126</c:v>
                </c:pt>
                <c:pt idx="9">
                  <c:v>11667.798177277207</c:v>
                </c:pt>
                <c:pt idx="10">
                  <c:v>10129.858518083851</c:v>
                </c:pt>
                <c:pt idx="11">
                  <c:v>0</c:v>
                </c:pt>
              </c:numCache>
            </c:numRef>
          </c:val>
          <c:smooth val="0"/>
        </c:ser>
        <c:ser>
          <c:idx val="1"/>
          <c:order val="1"/>
          <c:tx>
            <c:strRef>
              <c:f>'LTFP to AMPs'!$C$46</c:f>
              <c:strCache>
                <c:ptCount val="1"/>
                <c:pt idx="0">
                  <c:v>LTFP - Totals</c:v>
                </c:pt>
              </c:strCache>
            </c:strRef>
          </c:tx>
          <c:cat>
            <c:strRef>
              <c:f>'LTFP to AMPs'!$D$3:$O$3</c:f>
              <c:strCache>
                <c:ptCount val="12"/>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strCache>
            </c:strRef>
          </c:cat>
          <c:val>
            <c:numRef>
              <c:f>'LTFP to AMPs'!$D$46:$O$46</c:f>
              <c:numCache>
                <c:formatCode>_(* #,##0_);_(* \(#,##0\);_(* "-"??_);_(@_)</c:formatCode>
                <c:ptCount val="12"/>
                <c:pt idx="0">
                  <c:v>11689</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154541440"/>
        <c:axId val="154543232"/>
      </c:lineChart>
      <c:catAx>
        <c:axId val="154541440"/>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154543232"/>
        <c:crosses val="autoZero"/>
        <c:auto val="1"/>
        <c:lblAlgn val="ctr"/>
        <c:lblOffset val="100"/>
        <c:noMultiLvlLbl val="0"/>
      </c:catAx>
      <c:valAx>
        <c:axId val="154543232"/>
        <c:scaling>
          <c:orientation val="minMax"/>
        </c:scaling>
        <c:delete val="0"/>
        <c:axPos val="l"/>
        <c:majorGridlines/>
        <c:numFmt formatCode="_(* #,##0_);_(* \(#,##0\);_(*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154541440"/>
        <c:crosses val="autoZero"/>
        <c:crossBetween val="between"/>
      </c:valAx>
    </c:plotArea>
    <c:legend>
      <c:legendPos val="b"/>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AU"/>
              <a:t>Roads Cumulative Difference - LTFP to AMP</a:t>
            </a:r>
          </a:p>
        </c:rich>
      </c:tx>
      <c:overlay val="0"/>
    </c:title>
    <c:autoTitleDeleted val="0"/>
    <c:plotArea>
      <c:layout/>
      <c:barChart>
        <c:barDir val="col"/>
        <c:grouping val="clustered"/>
        <c:varyColors val="0"/>
        <c:ser>
          <c:idx val="0"/>
          <c:order val="0"/>
          <c:tx>
            <c:strRef>
              <c:f>'LTFP to AMPs'!$C$48</c:f>
              <c:strCache>
                <c:ptCount val="1"/>
                <c:pt idx="0">
                  <c:v>Cumulative Difference - LTFP to AMP</c:v>
                </c:pt>
              </c:strCache>
            </c:strRef>
          </c:tx>
          <c:invertIfNegative val="0"/>
          <c:cat>
            <c:strRef>
              <c:f>'LTFP to AMPs'!$D$3:$O$3</c:f>
              <c:strCache>
                <c:ptCount val="12"/>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strCache>
            </c:strRef>
          </c:cat>
          <c:val>
            <c:numRef>
              <c:f>'LTFP to AMPs'!$D$48:$O$48</c:f>
              <c:numCache>
                <c:formatCode>_(* #,##0_);_(* \(#,##0\);_(* "-"??_);_(@_)</c:formatCode>
                <c:ptCount val="12"/>
                <c:pt idx="0">
                  <c:v>1524.5204313909999</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axId val="154563712"/>
        <c:axId val="154565248"/>
      </c:barChart>
      <c:catAx>
        <c:axId val="154563712"/>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54565248"/>
        <c:crosses val="autoZero"/>
        <c:auto val="1"/>
        <c:lblAlgn val="ctr"/>
        <c:lblOffset val="100"/>
        <c:noMultiLvlLbl val="0"/>
      </c:catAx>
      <c:valAx>
        <c:axId val="154565248"/>
        <c:scaling>
          <c:orientation val="minMax"/>
        </c:scaling>
        <c:delete val="0"/>
        <c:axPos val="l"/>
        <c:majorGridlines/>
        <c:numFmt formatCode="_(* #,##0_);_(* \(#,##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4563712"/>
        <c:crosses val="autoZero"/>
        <c:crossBetween val="between"/>
      </c:valAx>
    </c:plotArea>
    <c:legend>
      <c:legendPos val="r"/>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AU"/>
              <a:t>Stormwater Oper &amp; Maint Compare AMP to LTFP</a:t>
            </a:r>
          </a:p>
        </c:rich>
      </c:tx>
      <c:overlay val="0"/>
    </c:title>
    <c:autoTitleDeleted val="0"/>
    <c:plotArea>
      <c:layout/>
      <c:lineChart>
        <c:grouping val="standard"/>
        <c:varyColors val="0"/>
        <c:ser>
          <c:idx val="1"/>
          <c:order val="0"/>
          <c:tx>
            <c:strRef>
              <c:f>'LTFP to AMPs'!$C$153</c:f>
              <c:strCache>
                <c:ptCount val="1"/>
                <c:pt idx="0">
                  <c:v>AMP - Stormwater Operations &amp; Maintenance</c:v>
                </c:pt>
              </c:strCache>
            </c:strRef>
          </c:tx>
          <c:cat>
            <c:strRef>
              <c:f>'LTFP to AMPs'!$D$146:$O$146</c:f>
              <c:strCache>
                <c:ptCount val="12"/>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strCache>
            </c:strRef>
          </c:cat>
          <c:val>
            <c:numRef>
              <c:f>'LTFP to AMPs'!$D$153:$O$153</c:f>
              <c:numCache>
                <c:formatCode>_(* #,##0_);_(* \(#,##0\);_(* "-"??_);_(@_)</c:formatCode>
                <c:ptCount val="12"/>
                <c:pt idx="0">
                  <c:v>333.54</c:v>
                </c:pt>
                <c:pt idx="1">
                  <c:v>342.29160000000002</c:v>
                </c:pt>
                <c:pt idx="2">
                  <c:v>350.19863999999995</c:v>
                </c:pt>
                <c:pt idx="3">
                  <c:v>358.28504495999999</c:v>
                </c:pt>
                <c:pt idx="4">
                  <c:v>366.55482666239999</c:v>
                </c:pt>
                <c:pt idx="5">
                  <c:v>376.138248034176</c:v>
                </c:pt>
                <c:pt idx="6">
                  <c:v>384.80969866250877</c:v>
                </c:pt>
                <c:pt idx="7">
                  <c:v>394.8492113977635</c:v>
                </c:pt>
                <c:pt idx="8">
                  <c:v>403.9412881943411</c:v>
                </c:pt>
                <c:pt idx="9">
                  <c:v>414.45810279821745</c:v>
                </c:pt>
                <c:pt idx="10">
                  <c:v>423.99063916257637</c:v>
                </c:pt>
                <c:pt idx="11">
                  <c:v>0</c:v>
                </c:pt>
              </c:numCache>
            </c:numRef>
          </c:val>
          <c:smooth val="0"/>
        </c:ser>
        <c:ser>
          <c:idx val="0"/>
          <c:order val="1"/>
          <c:tx>
            <c:strRef>
              <c:f>'LTFP to AMPs'!$C$165</c:f>
              <c:strCache>
                <c:ptCount val="1"/>
                <c:pt idx="0">
                  <c:v>LTFP - Stormwater Operations &amp; Maintenance</c:v>
                </c:pt>
              </c:strCache>
            </c:strRef>
          </c:tx>
          <c:cat>
            <c:strRef>
              <c:f>'LTFP to AMPs'!$D$146:$O$146</c:f>
              <c:strCache>
                <c:ptCount val="12"/>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strCache>
            </c:strRef>
          </c:cat>
          <c:val>
            <c:numRef>
              <c:f>'LTFP to AMPs'!$D$165:$O$165</c:f>
              <c:numCache>
                <c:formatCode>General</c:formatCode>
                <c:ptCount val="12"/>
                <c:pt idx="0">
                  <c:v>343</c:v>
                </c:pt>
                <c:pt idx="1">
                  <c:v>247</c:v>
                </c:pt>
                <c:pt idx="2">
                  <c:v>289</c:v>
                </c:pt>
                <c:pt idx="3">
                  <c:v>273</c:v>
                </c:pt>
                <c:pt idx="4">
                  <c:v>245</c:v>
                </c:pt>
                <c:pt idx="5">
                  <c:v>248</c:v>
                </c:pt>
                <c:pt idx="6">
                  <c:v>255</c:v>
                </c:pt>
                <c:pt idx="7">
                  <c:v>262</c:v>
                </c:pt>
                <c:pt idx="8">
                  <c:v>269</c:v>
                </c:pt>
                <c:pt idx="9">
                  <c:v>275</c:v>
                </c:pt>
                <c:pt idx="10">
                  <c:v>280</c:v>
                </c:pt>
                <c:pt idx="11">
                  <c:v>286</c:v>
                </c:pt>
              </c:numCache>
            </c:numRef>
          </c:val>
          <c:smooth val="0"/>
        </c:ser>
        <c:dLbls>
          <c:showLegendKey val="0"/>
          <c:showVal val="0"/>
          <c:showCatName val="0"/>
          <c:showSerName val="0"/>
          <c:showPercent val="0"/>
          <c:showBubbleSize val="0"/>
        </c:dLbls>
        <c:marker val="1"/>
        <c:smooth val="0"/>
        <c:axId val="154606976"/>
        <c:axId val="154608768"/>
      </c:lineChart>
      <c:catAx>
        <c:axId val="154606976"/>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154608768"/>
        <c:crosses val="autoZero"/>
        <c:auto val="1"/>
        <c:lblAlgn val="ctr"/>
        <c:lblOffset val="100"/>
        <c:noMultiLvlLbl val="0"/>
      </c:catAx>
      <c:valAx>
        <c:axId val="154608768"/>
        <c:scaling>
          <c:orientation val="minMax"/>
        </c:scaling>
        <c:delete val="0"/>
        <c:axPos val="l"/>
        <c:majorGridlines/>
        <c:numFmt formatCode="_(* #,##0_);_(* \(#,##0\);_(*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154606976"/>
        <c:crosses val="autoZero"/>
        <c:crossBetween val="between"/>
      </c:valAx>
    </c:plotArea>
    <c:legend>
      <c:legendPos val="b"/>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AU"/>
              <a:t>Stormwater Renewals Compare AMP to LTFP</a:t>
            </a:r>
          </a:p>
        </c:rich>
      </c:tx>
      <c:overlay val="0"/>
    </c:title>
    <c:autoTitleDeleted val="0"/>
    <c:plotArea>
      <c:layout/>
      <c:lineChart>
        <c:grouping val="standard"/>
        <c:varyColors val="0"/>
        <c:ser>
          <c:idx val="0"/>
          <c:order val="0"/>
          <c:tx>
            <c:strRef>
              <c:f>'LTFP to AMPs'!$C$156</c:f>
              <c:strCache>
                <c:ptCount val="1"/>
                <c:pt idx="0">
                  <c:v>AMP - Stormwater Renewals</c:v>
                </c:pt>
              </c:strCache>
            </c:strRef>
          </c:tx>
          <c:cat>
            <c:strRef>
              <c:f>'LTFP to AMPs'!$D$146:$O$146</c:f>
              <c:strCache>
                <c:ptCount val="12"/>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strCache>
            </c:strRef>
          </c:cat>
          <c:val>
            <c:numRef>
              <c:f>'LTFP to AMPs'!$D$156:$O$156</c:f>
              <c:numCache>
                <c:formatCode>_(* #,##0_);_(* \(#,##0\);_(* "-"??_);_(@_)</c:formatCode>
                <c:ptCount val="12"/>
                <c:pt idx="0">
                  <c:v>510</c:v>
                </c:pt>
                <c:pt idx="1">
                  <c:v>364.14</c:v>
                </c:pt>
                <c:pt idx="2">
                  <c:v>318.36239999999998</c:v>
                </c:pt>
                <c:pt idx="3">
                  <c:v>324.729648</c:v>
                </c:pt>
                <c:pt idx="4">
                  <c:v>331.22424096000003</c:v>
                </c:pt>
                <c:pt idx="5">
                  <c:v>337.84872577920004</c:v>
                </c:pt>
                <c:pt idx="6">
                  <c:v>344.60570029478396</c:v>
                </c:pt>
                <c:pt idx="7">
                  <c:v>351.49781430067964</c:v>
                </c:pt>
                <c:pt idx="8">
                  <c:v>358.52777058669324</c:v>
                </c:pt>
                <c:pt idx="9">
                  <c:v>365.69832599842715</c:v>
                </c:pt>
                <c:pt idx="10">
                  <c:v>373.01229251839561</c:v>
                </c:pt>
              </c:numCache>
            </c:numRef>
          </c:val>
          <c:smooth val="0"/>
        </c:ser>
        <c:ser>
          <c:idx val="3"/>
          <c:order val="1"/>
          <c:tx>
            <c:strRef>
              <c:f>'LTFP to AMPs'!$C$168</c:f>
              <c:strCache>
                <c:ptCount val="1"/>
                <c:pt idx="0">
                  <c:v>LTFP - Stormwater Renewals</c:v>
                </c:pt>
              </c:strCache>
            </c:strRef>
          </c:tx>
          <c:cat>
            <c:strRef>
              <c:f>'LTFP to AMPs'!$D$146:$O$146</c:f>
              <c:strCache>
                <c:ptCount val="12"/>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strCache>
            </c:strRef>
          </c:cat>
          <c:val>
            <c:numRef>
              <c:f>'LTFP to AMPs'!$D$168:$O$168</c:f>
              <c:numCache>
                <c:formatCode>General</c:formatCode>
                <c:ptCount val="12"/>
                <c:pt idx="0">
                  <c:v>162</c:v>
                </c:pt>
                <c:pt idx="1">
                  <c:v>0</c:v>
                </c:pt>
                <c:pt idx="2">
                  <c:v>0</c:v>
                </c:pt>
                <c:pt idx="3">
                  <c:v>303</c:v>
                </c:pt>
                <c:pt idx="4">
                  <c:v>427</c:v>
                </c:pt>
                <c:pt idx="5">
                  <c:v>456</c:v>
                </c:pt>
                <c:pt idx="6">
                  <c:v>474</c:v>
                </c:pt>
                <c:pt idx="7">
                  <c:v>493</c:v>
                </c:pt>
                <c:pt idx="8">
                  <c:v>506</c:v>
                </c:pt>
                <c:pt idx="9">
                  <c:v>519</c:v>
                </c:pt>
                <c:pt idx="10">
                  <c:v>532</c:v>
                </c:pt>
                <c:pt idx="11">
                  <c:v>546</c:v>
                </c:pt>
              </c:numCache>
            </c:numRef>
          </c:val>
          <c:smooth val="0"/>
        </c:ser>
        <c:dLbls>
          <c:showLegendKey val="0"/>
          <c:showVal val="0"/>
          <c:showCatName val="0"/>
          <c:showSerName val="0"/>
          <c:showPercent val="0"/>
          <c:showBubbleSize val="0"/>
        </c:dLbls>
        <c:marker val="1"/>
        <c:smooth val="0"/>
        <c:axId val="154638208"/>
        <c:axId val="154639744"/>
      </c:lineChart>
      <c:catAx>
        <c:axId val="154638208"/>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154639744"/>
        <c:crosses val="autoZero"/>
        <c:auto val="1"/>
        <c:lblAlgn val="ctr"/>
        <c:lblOffset val="100"/>
        <c:noMultiLvlLbl val="0"/>
      </c:catAx>
      <c:valAx>
        <c:axId val="154639744"/>
        <c:scaling>
          <c:orientation val="minMax"/>
        </c:scaling>
        <c:delete val="0"/>
        <c:axPos val="l"/>
        <c:majorGridlines/>
        <c:numFmt formatCode="_(* #,##0_);_(* \(#,##0\);_(*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154638208"/>
        <c:crosses val="autoZero"/>
        <c:crossBetween val="between"/>
      </c:valAx>
    </c:plotArea>
    <c:legend>
      <c:legendPos val="b"/>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AU"/>
              <a:t>Stormwater Totals Compare AMP to LTFP</a:t>
            </a:r>
          </a:p>
        </c:rich>
      </c:tx>
      <c:overlay val="0"/>
    </c:title>
    <c:autoTitleDeleted val="0"/>
    <c:plotArea>
      <c:layout/>
      <c:lineChart>
        <c:grouping val="standard"/>
        <c:varyColors val="0"/>
        <c:ser>
          <c:idx val="2"/>
          <c:order val="0"/>
          <c:tx>
            <c:strRef>
              <c:f>'LTFP to AMPs'!$C$157</c:f>
              <c:strCache>
                <c:ptCount val="1"/>
                <c:pt idx="0">
                  <c:v>AMP Totals</c:v>
                </c:pt>
              </c:strCache>
            </c:strRef>
          </c:tx>
          <c:cat>
            <c:strRef>
              <c:f>'LTFP to AMPs'!$D$146:$O$146</c:f>
              <c:strCache>
                <c:ptCount val="12"/>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strCache>
            </c:strRef>
          </c:cat>
          <c:val>
            <c:numRef>
              <c:f>'LTFP to AMPs'!$D$157:$O$157</c:f>
              <c:numCache>
                <c:formatCode>_(* #,##0_);_(* \(#,##0\);_(* "-"??_);_(@_)</c:formatCode>
                <c:ptCount val="12"/>
                <c:pt idx="0">
                  <c:v>843.54</c:v>
                </c:pt>
                <c:pt idx="1">
                  <c:v>706.4316</c:v>
                </c:pt>
                <c:pt idx="2">
                  <c:v>668.56103999999993</c:v>
                </c:pt>
                <c:pt idx="3">
                  <c:v>683.01469296000005</c:v>
                </c:pt>
                <c:pt idx="4">
                  <c:v>697.77906762240002</c:v>
                </c:pt>
                <c:pt idx="5">
                  <c:v>713.98697381337604</c:v>
                </c:pt>
                <c:pt idx="6">
                  <c:v>729.41539895729272</c:v>
                </c:pt>
                <c:pt idx="7">
                  <c:v>746.34702569844308</c:v>
                </c:pt>
                <c:pt idx="8">
                  <c:v>762.46905878103439</c:v>
                </c:pt>
                <c:pt idx="9">
                  <c:v>780.1564287966446</c:v>
                </c:pt>
                <c:pt idx="10">
                  <c:v>797.00293168097198</c:v>
                </c:pt>
                <c:pt idx="11">
                  <c:v>0</c:v>
                </c:pt>
              </c:numCache>
            </c:numRef>
          </c:val>
          <c:smooth val="0"/>
        </c:ser>
        <c:ser>
          <c:idx val="3"/>
          <c:order val="1"/>
          <c:tx>
            <c:strRef>
              <c:f>'LTFP to AMPs'!$C$169</c:f>
              <c:strCache>
                <c:ptCount val="1"/>
                <c:pt idx="0">
                  <c:v>LTFP Totals</c:v>
                </c:pt>
              </c:strCache>
            </c:strRef>
          </c:tx>
          <c:cat>
            <c:strRef>
              <c:f>'LTFP to AMPs'!$D$146:$O$146</c:f>
              <c:strCache>
                <c:ptCount val="12"/>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strCache>
            </c:strRef>
          </c:cat>
          <c:val>
            <c:numRef>
              <c:f>'LTFP to AMPs'!$D$169:$O$169</c:f>
              <c:numCache>
                <c:formatCode>General</c:formatCode>
                <c:ptCount val="12"/>
                <c:pt idx="0">
                  <c:v>505</c:v>
                </c:pt>
                <c:pt idx="1">
                  <c:v>0</c:v>
                </c:pt>
                <c:pt idx="2">
                  <c:v>0</c:v>
                </c:pt>
                <c:pt idx="3">
                  <c:v>576</c:v>
                </c:pt>
                <c:pt idx="4">
                  <c:v>672</c:v>
                </c:pt>
                <c:pt idx="5">
                  <c:v>704</c:v>
                </c:pt>
                <c:pt idx="6">
                  <c:v>729</c:v>
                </c:pt>
                <c:pt idx="7">
                  <c:v>755</c:v>
                </c:pt>
                <c:pt idx="8">
                  <c:v>775</c:v>
                </c:pt>
                <c:pt idx="9">
                  <c:v>794</c:v>
                </c:pt>
                <c:pt idx="10">
                  <c:v>812</c:v>
                </c:pt>
                <c:pt idx="11">
                  <c:v>832</c:v>
                </c:pt>
              </c:numCache>
            </c:numRef>
          </c:val>
          <c:smooth val="0"/>
        </c:ser>
        <c:dLbls>
          <c:showLegendKey val="0"/>
          <c:showVal val="0"/>
          <c:showCatName val="0"/>
          <c:showSerName val="0"/>
          <c:showPercent val="0"/>
          <c:showBubbleSize val="0"/>
        </c:dLbls>
        <c:marker val="1"/>
        <c:smooth val="0"/>
        <c:axId val="154689920"/>
        <c:axId val="154691456"/>
      </c:lineChart>
      <c:catAx>
        <c:axId val="154689920"/>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154691456"/>
        <c:crosses val="autoZero"/>
        <c:auto val="1"/>
        <c:lblAlgn val="ctr"/>
        <c:lblOffset val="100"/>
        <c:noMultiLvlLbl val="0"/>
      </c:catAx>
      <c:valAx>
        <c:axId val="154691456"/>
        <c:scaling>
          <c:orientation val="minMax"/>
        </c:scaling>
        <c:delete val="0"/>
        <c:axPos val="l"/>
        <c:majorGridlines/>
        <c:numFmt formatCode="_(* #,##0_);_(* \(#,##0\);_(*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154689920"/>
        <c:crosses val="autoZero"/>
        <c:crossBetween val="between"/>
      </c:valAx>
    </c:plotArea>
    <c:legend>
      <c:legendPos val="b"/>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AU"/>
              <a:t>Stormwater Cumulative Difference - LTFP to AMP</a:t>
            </a:r>
          </a:p>
        </c:rich>
      </c:tx>
      <c:overlay val="0"/>
    </c:title>
    <c:autoTitleDeleted val="0"/>
    <c:plotArea>
      <c:layout/>
      <c:barChart>
        <c:barDir val="col"/>
        <c:grouping val="clustered"/>
        <c:varyColors val="0"/>
        <c:ser>
          <c:idx val="1"/>
          <c:order val="0"/>
          <c:tx>
            <c:strRef>
              <c:f>'LTFP to AMPs'!$C$171</c:f>
              <c:strCache>
                <c:ptCount val="1"/>
                <c:pt idx="0">
                  <c:v>Cumulative Difference - LTFP to AMP</c:v>
                </c:pt>
              </c:strCache>
            </c:strRef>
          </c:tx>
          <c:invertIfNegative val="0"/>
          <c:cat>
            <c:strRef>
              <c:f>'LTFP to AMPs'!$D$146:$O$146</c:f>
              <c:strCache>
                <c:ptCount val="12"/>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strCache>
            </c:strRef>
          </c:cat>
          <c:val>
            <c:numRef>
              <c:f>'LTFP to AMPs'!$D$171:$O$171</c:f>
              <c:numCache>
                <c:formatCode>_(* #,##0_);_(* \(#,##0\);_(* "-"??_);_(@_)</c:formatCode>
                <c:ptCount val="12"/>
                <c:pt idx="0">
                  <c:v>-338.53999999999996</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axId val="154707840"/>
        <c:axId val="154709376"/>
      </c:barChart>
      <c:catAx>
        <c:axId val="154707840"/>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54709376"/>
        <c:crosses val="autoZero"/>
        <c:auto val="1"/>
        <c:lblAlgn val="ctr"/>
        <c:lblOffset val="100"/>
        <c:noMultiLvlLbl val="0"/>
      </c:catAx>
      <c:valAx>
        <c:axId val="154709376"/>
        <c:scaling>
          <c:orientation val="minMax"/>
        </c:scaling>
        <c:delete val="0"/>
        <c:axPos val="l"/>
        <c:majorGridlines/>
        <c:numFmt formatCode="_(* #,##0_);_(* \(#,##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4707840"/>
        <c:crosses val="autoZero"/>
        <c:crossBetween val="between"/>
      </c:valAx>
    </c:plotArea>
    <c:legend>
      <c:legendPos val="r"/>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AU"/>
              <a:t>Water Oper &amp; Maint Compare AMP to LTFP</a:t>
            </a:r>
          </a:p>
        </c:rich>
      </c:tx>
      <c:overlay val="0"/>
    </c:title>
    <c:autoTitleDeleted val="0"/>
    <c:plotArea>
      <c:layout/>
      <c:lineChart>
        <c:grouping val="standard"/>
        <c:varyColors val="0"/>
        <c:ser>
          <c:idx val="2"/>
          <c:order val="0"/>
          <c:tx>
            <c:strRef>
              <c:f>'LTFP to AMPs'!$C$275</c:f>
              <c:strCache>
                <c:ptCount val="1"/>
                <c:pt idx="0">
                  <c:v>AMP - Water Operations &amp; Maintenance</c:v>
                </c:pt>
              </c:strCache>
            </c:strRef>
          </c:tx>
          <c:cat>
            <c:strRef>
              <c:f>'LTFP to AMPs'!$D$267:$O$267</c:f>
              <c:strCache>
                <c:ptCount val="12"/>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strCache>
            </c:strRef>
          </c:cat>
          <c:val>
            <c:numRef>
              <c:f>'LTFP to AMPs'!$D$275:$O$275</c:f>
              <c:numCache>
                <c:formatCode>_(* #,##0_);_(* \(#,##0\);_(* "-"??_);_(@_)</c:formatCode>
                <c:ptCount val="12"/>
                <c:pt idx="0">
                  <c:v>6692.22</c:v>
                </c:pt>
                <c:pt idx="1">
                  <c:v>6826.0643999999993</c:v>
                </c:pt>
                <c:pt idx="2">
                  <c:v>6962.5856880000001</c:v>
                </c:pt>
                <c:pt idx="3">
                  <c:v>7101.8374017600008</c:v>
                </c:pt>
                <c:pt idx="4">
                  <c:v>7243.8741497952005</c:v>
                </c:pt>
                <c:pt idx="5">
                  <c:v>7388.7516327911044</c:v>
                </c:pt>
                <c:pt idx="6">
                  <c:v>7536.5266654469242</c:v>
                </c:pt>
                <c:pt idx="7">
                  <c:v>7687.257198755864</c:v>
                </c:pt>
                <c:pt idx="8">
                  <c:v>7841.0023427309825</c:v>
                </c:pt>
                <c:pt idx="9">
                  <c:v>7997.8223895856008</c:v>
                </c:pt>
                <c:pt idx="10">
                  <c:v>8157.7788373773119</c:v>
                </c:pt>
                <c:pt idx="11">
                  <c:v>0</c:v>
                </c:pt>
              </c:numCache>
            </c:numRef>
          </c:val>
          <c:smooth val="0"/>
        </c:ser>
        <c:ser>
          <c:idx val="3"/>
          <c:order val="1"/>
          <c:tx>
            <c:strRef>
              <c:f>'LTFP to AMPs'!$C$295</c:f>
              <c:strCache>
                <c:ptCount val="1"/>
                <c:pt idx="0">
                  <c:v>LTFP - Water Operations &amp; Maintenance</c:v>
                </c:pt>
              </c:strCache>
            </c:strRef>
          </c:tx>
          <c:cat>
            <c:strRef>
              <c:f>'LTFP to AMPs'!$D$267:$O$267</c:f>
              <c:strCache>
                <c:ptCount val="12"/>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strCache>
            </c:strRef>
          </c:cat>
          <c:val>
            <c:numRef>
              <c:f>'LTFP to AMPs'!$D$295:$O$295</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156119424"/>
        <c:axId val="156120960"/>
      </c:lineChart>
      <c:catAx>
        <c:axId val="156119424"/>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156120960"/>
        <c:crosses val="autoZero"/>
        <c:auto val="1"/>
        <c:lblAlgn val="ctr"/>
        <c:lblOffset val="100"/>
        <c:noMultiLvlLbl val="0"/>
      </c:catAx>
      <c:valAx>
        <c:axId val="156120960"/>
        <c:scaling>
          <c:orientation val="minMax"/>
        </c:scaling>
        <c:delete val="0"/>
        <c:axPos val="l"/>
        <c:majorGridlines/>
        <c:numFmt formatCode="_(* #,##0_);_(* \(#,##0\);_(*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156119424"/>
        <c:crosses val="autoZero"/>
        <c:crossBetween val="between"/>
      </c:valAx>
    </c:plotArea>
    <c:legend>
      <c:legendPos val="b"/>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90215552"/>
        <c:axId val="90217088"/>
      </c:barChart>
      <c:catAx>
        <c:axId val="9021555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0217088"/>
        <c:crossesAt val="0"/>
        <c:auto val="0"/>
        <c:lblAlgn val="ctr"/>
        <c:lblOffset val="100"/>
        <c:tickLblSkip val="1"/>
        <c:tickMarkSkip val="1"/>
        <c:noMultiLvlLbl val="0"/>
      </c:catAx>
      <c:valAx>
        <c:axId val="90217088"/>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021555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AU"/>
              <a:t>Water Renewals Compare AMP to LTFP</a:t>
            </a:r>
          </a:p>
        </c:rich>
      </c:tx>
      <c:overlay val="0"/>
    </c:title>
    <c:autoTitleDeleted val="0"/>
    <c:plotArea>
      <c:layout/>
      <c:lineChart>
        <c:grouping val="standard"/>
        <c:varyColors val="0"/>
        <c:ser>
          <c:idx val="1"/>
          <c:order val="0"/>
          <c:tx>
            <c:strRef>
              <c:f>'LTFP to AMPs'!$C$284</c:f>
              <c:strCache>
                <c:ptCount val="1"/>
                <c:pt idx="0">
                  <c:v>AMP - Water Renewals</c:v>
                </c:pt>
              </c:strCache>
            </c:strRef>
          </c:tx>
          <c:cat>
            <c:strRef>
              <c:f>'LTFP to AMPs'!$D$267:$O$267</c:f>
              <c:strCache>
                <c:ptCount val="12"/>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strCache>
            </c:strRef>
          </c:cat>
          <c:val>
            <c:numRef>
              <c:f>'LTFP to AMPs'!$D$284:$O$284</c:f>
              <c:numCache>
                <c:formatCode>_(* #,##0_);_(* \(#,##0\);_(* "-"??_);_(@_)</c:formatCode>
                <c:ptCount val="12"/>
                <c:pt idx="0">
                  <c:v>1537.2565199999999</c:v>
                </c:pt>
                <c:pt idx="1">
                  <c:v>2031.4942402304002</c:v>
                </c:pt>
                <c:pt idx="2">
                  <c:v>832.21537453374822</c:v>
                </c:pt>
                <c:pt idx="3">
                  <c:v>2429.8804448264373</c:v>
                </c:pt>
                <c:pt idx="4">
                  <c:v>707.41975800281614</c:v>
                </c:pt>
                <c:pt idx="5">
                  <c:v>5693.7705034774563</c:v>
                </c:pt>
                <c:pt idx="6">
                  <c:v>705.28877286118836</c:v>
                </c:pt>
                <c:pt idx="7">
                  <c:v>2018.8143942079</c:v>
                </c:pt>
                <c:pt idx="8">
                  <c:v>663.13404694432825</c:v>
                </c:pt>
                <c:pt idx="9">
                  <c:v>670.40148829518284</c:v>
                </c:pt>
                <c:pt idx="10">
                  <c:v>238.7278672117732</c:v>
                </c:pt>
                <c:pt idx="11">
                  <c:v>0</c:v>
                </c:pt>
              </c:numCache>
            </c:numRef>
          </c:val>
          <c:smooth val="0"/>
        </c:ser>
        <c:ser>
          <c:idx val="2"/>
          <c:order val="1"/>
          <c:tx>
            <c:strRef>
              <c:f>'LTFP to AMPs'!$C$304</c:f>
              <c:strCache>
                <c:ptCount val="1"/>
                <c:pt idx="0">
                  <c:v>LTFP - Water Renewals</c:v>
                </c:pt>
              </c:strCache>
            </c:strRef>
          </c:tx>
          <c:cat>
            <c:strRef>
              <c:f>'LTFP to AMPs'!$D$267:$O$267</c:f>
              <c:strCache>
                <c:ptCount val="12"/>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strCache>
            </c:strRef>
          </c:cat>
          <c:val>
            <c:numRef>
              <c:f>'LTFP to AMPs'!$D$304:$O$304</c:f>
              <c:numCache>
                <c:formatCode>_(* #,##0_);_(* \(#,##0\);_(* "-"??_);_(@_)</c:formatCode>
                <c:ptCount val="12"/>
                <c:pt idx="0">
                  <c:v>145</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156162688"/>
        <c:axId val="156168576"/>
      </c:lineChart>
      <c:catAx>
        <c:axId val="156162688"/>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156168576"/>
        <c:crosses val="autoZero"/>
        <c:auto val="1"/>
        <c:lblAlgn val="ctr"/>
        <c:lblOffset val="100"/>
        <c:noMultiLvlLbl val="0"/>
      </c:catAx>
      <c:valAx>
        <c:axId val="156168576"/>
        <c:scaling>
          <c:orientation val="minMax"/>
        </c:scaling>
        <c:delete val="0"/>
        <c:axPos val="l"/>
        <c:majorGridlines/>
        <c:numFmt formatCode="_(* #,##0_);_(* \(#,##0\);_(*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156162688"/>
        <c:crosses val="autoZero"/>
        <c:crossBetween val="between"/>
      </c:valAx>
    </c:plotArea>
    <c:legend>
      <c:legendPos val="b"/>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AU"/>
              <a:t>Water Totals Compare AMP to LTFP</a:t>
            </a:r>
          </a:p>
        </c:rich>
      </c:tx>
      <c:overlay val="0"/>
    </c:title>
    <c:autoTitleDeleted val="0"/>
    <c:plotArea>
      <c:layout/>
      <c:lineChart>
        <c:grouping val="standard"/>
        <c:varyColors val="0"/>
        <c:ser>
          <c:idx val="0"/>
          <c:order val="0"/>
          <c:tx>
            <c:strRef>
              <c:f>'LTFP to AMPs'!$C$285</c:f>
              <c:strCache>
                <c:ptCount val="1"/>
                <c:pt idx="0">
                  <c:v>AMP - Water Total</c:v>
                </c:pt>
              </c:strCache>
            </c:strRef>
          </c:tx>
          <c:cat>
            <c:strRef>
              <c:f>'LTFP to AMPs'!$D$267:$O$267</c:f>
              <c:strCache>
                <c:ptCount val="12"/>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strCache>
            </c:strRef>
          </c:cat>
          <c:val>
            <c:numRef>
              <c:f>'LTFP to AMPs'!$D$285:$O$285</c:f>
              <c:numCache>
                <c:formatCode>_(* #,##0_);_(* \(#,##0\);_(* "-"??_);_(@_)</c:formatCode>
                <c:ptCount val="12"/>
                <c:pt idx="0">
                  <c:v>8229.4765200000002</c:v>
                </c:pt>
                <c:pt idx="1">
                  <c:v>8857.5586402303998</c:v>
                </c:pt>
                <c:pt idx="2">
                  <c:v>7794.8010625337483</c:v>
                </c:pt>
                <c:pt idx="3">
                  <c:v>9531.7178465864381</c:v>
                </c:pt>
                <c:pt idx="4">
                  <c:v>7951.2939077980163</c:v>
                </c:pt>
                <c:pt idx="5">
                  <c:v>13082.522136268561</c:v>
                </c:pt>
                <c:pt idx="6">
                  <c:v>8241.8154383081128</c:v>
                </c:pt>
                <c:pt idx="7">
                  <c:v>9706.0715929637645</c:v>
                </c:pt>
                <c:pt idx="8">
                  <c:v>8504.1363896753101</c:v>
                </c:pt>
                <c:pt idx="9">
                  <c:v>8668.2238778807841</c:v>
                </c:pt>
                <c:pt idx="10">
                  <c:v>8396.5067045890846</c:v>
                </c:pt>
                <c:pt idx="11">
                  <c:v>0</c:v>
                </c:pt>
              </c:numCache>
            </c:numRef>
          </c:val>
          <c:smooth val="0"/>
        </c:ser>
        <c:ser>
          <c:idx val="1"/>
          <c:order val="1"/>
          <c:tx>
            <c:strRef>
              <c:f>'LTFP to AMPs'!$C$305</c:f>
              <c:strCache>
                <c:ptCount val="1"/>
                <c:pt idx="0">
                  <c:v>LTFP - Water Total</c:v>
                </c:pt>
              </c:strCache>
            </c:strRef>
          </c:tx>
          <c:cat>
            <c:strRef>
              <c:f>'LTFP to AMPs'!$D$267:$O$267</c:f>
              <c:strCache>
                <c:ptCount val="12"/>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strCache>
            </c:strRef>
          </c:cat>
          <c:val>
            <c:numRef>
              <c:f>'LTFP to AMPs'!$D$305:$O$305</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156202112"/>
        <c:axId val="156203648"/>
      </c:lineChart>
      <c:catAx>
        <c:axId val="156202112"/>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156203648"/>
        <c:crosses val="autoZero"/>
        <c:auto val="1"/>
        <c:lblAlgn val="ctr"/>
        <c:lblOffset val="100"/>
        <c:noMultiLvlLbl val="0"/>
      </c:catAx>
      <c:valAx>
        <c:axId val="156203648"/>
        <c:scaling>
          <c:orientation val="minMax"/>
        </c:scaling>
        <c:delete val="0"/>
        <c:axPos val="l"/>
        <c:majorGridlines/>
        <c:numFmt formatCode="_(* #,##0_);_(* \(#,##0\);_(*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156202112"/>
        <c:crosses val="autoZero"/>
        <c:crossBetween val="between"/>
      </c:valAx>
    </c:plotArea>
    <c:legend>
      <c:legendPos val="b"/>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AU"/>
              <a:t>Water Cumulative Difference - LTFP to AMP</a:t>
            </a:r>
          </a:p>
        </c:rich>
      </c:tx>
      <c:overlay val="0"/>
    </c:title>
    <c:autoTitleDeleted val="0"/>
    <c:plotArea>
      <c:layout/>
      <c:barChart>
        <c:barDir val="col"/>
        <c:grouping val="clustered"/>
        <c:varyColors val="0"/>
        <c:ser>
          <c:idx val="0"/>
          <c:order val="0"/>
          <c:tx>
            <c:strRef>
              <c:f>'LTFP to AMPs'!$C$307</c:f>
              <c:strCache>
                <c:ptCount val="1"/>
                <c:pt idx="0">
                  <c:v>Cumulative Difference - LTFP to AMP</c:v>
                </c:pt>
              </c:strCache>
            </c:strRef>
          </c:tx>
          <c:invertIfNegative val="0"/>
          <c:cat>
            <c:strRef>
              <c:f>'LTFP to AMPs'!$D$267:$O$267</c:f>
              <c:strCache>
                <c:ptCount val="12"/>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strCache>
            </c:strRef>
          </c:cat>
          <c:val>
            <c:numRef>
              <c:f>'LTFP to AMPs'!$D$307:$O$307</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axId val="156211840"/>
        <c:axId val="156225920"/>
      </c:barChart>
      <c:catAx>
        <c:axId val="156211840"/>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56225920"/>
        <c:crosses val="autoZero"/>
        <c:auto val="1"/>
        <c:lblAlgn val="ctr"/>
        <c:lblOffset val="100"/>
        <c:noMultiLvlLbl val="0"/>
      </c:catAx>
      <c:valAx>
        <c:axId val="156225920"/>
        <c:scaling>
          <c:orientation val="minMax"/>
        </c:scaling>
        <c:delete val="0"/>
        <c:axPos val="l"/>
        <c:majorGridlines/>
        <c:numFmt formatCode="_(* #,##0_);_(* \(#,##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6211840"/>
        <c:crosses val="autoZero"/>
        <c:crossBetween val="between"/>
      </c:valAx>
    </c:plotArea>
    <c:legend>
      <c:legendPos val="r"/>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AU" sz="1200">
                <a:latin typeface="Arial" pitchFamily="34" charset="0"/>
                <a:cs typeface="Arial" pitchFamily="34" charset="0"/>
              </a:rPr>
              <a:t>Wastwater</a:t>
            </a:r>
            <a:r>
              <a:rPr lang="en-AU" sz="1200" baseline="0">
                <a:latin typeface="Arial" pitchFamily="34" charset="0"/>
                <a:cs typeface="Arial" pitchFamily="34" charset="0"/>
              </a:rPr>
              <a:t> </a:t>
            </a:r>
            <a:r>
              <a:rPr lang="en-AU" sz="1200">
                <a:latin typeface="Arial" pitchFamily="34" charset="0"/>
                <a:cs typeface="Arial" pitchFamily="34" charset="0"/>
              </a:rPr>
              <a:t>Operations and Maintenance - </a:t>
            </a:r>
          </a:p>
          <a:p>
            <a:pPr>
              <a:defRPr sz="1800" b="1" i="0" u="none" strike="noStrike" baseline="0">
                <a:solidFill>
                  <a:srgbClr val="000000"/>
                </a:solidFill>
                <a:latin typeface="Calibri"/>
                <a:ea typeface="Calibri"/>
                <a:cs typeface="Calibri"/>
              </a:defRPr>
            </a:pPr>
            <a:r>
              <a:rPr lang="en-AU" sz="1200">
                <a:latin typeface="Arial" pitchFamily="34" charset="0"/>
                <a:cs typeface="Arial" pitchFamily="34" charset="0"/>
              </a:rPr>
              <a:t>Comparison of AMP to LTFP</a:t>
            </a:r>
          </a:p>
        </c:rich>
      </c:tx>
      <c:overlay val="0"/>
    </c:title>
    <c:autoTitleDeleted val="0"/>
    <c:plotArea>
      <c:layout/>
      <c:lineChart>
        <c:grouping val="standard"/>
        <c:varyColors val="0"/>
        <c:ser>
          <c:idx val="0"/>
          <c:order val="0"/>
          <c:tx>
            <c:strRef>
              <c:f>'LTFP to AMPs'!$C$409</c:f>
              <c:strCache>
                <c:ptCount val="1"/>
                <c:pt idx="0">
                  <c:v>AMP - Sewer Operations &amp; Maintenance</c:v>
                </c:pt>
              </c:strCache>
            </c:strRef>
          </c:tx>
          <c:cat>
            <c:strRef>
              <c:f>'LTFP to AMPs'!$D$403:$O$403</c:f>
              <c:strCache>
                <c:ptCount val="12"/>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strCache>
            </c:strRef>
          </c:cat>
          <c:val>
            <c:numRef>
              <c:f>'LTFP to AMPs'!$D$409:$O$409</c:f>
              <c:numCache>
                <c:formatCode>_(* #,##0_);_(* \(#,##0\);_(* "-"??_);_(@_)</c:formatCode>
                <c:ptCount val="12"/>
                <c:pt idx="0">
                  <c:v>4739.9400000000005</c:v>
                </c:pt>
                <c:pt idx="1">
                  <c:v>4834.7388000000001</c:v>
                </c:pt>
                <c:pt idx="2">
                  <c:v>4931.4335759999994</c:v>
                </c:pt>
                <c:pt idx="3">
                  <c:v>5030.0622475199998</c:v>
                </c:pt>
                <c:pt idx="4">
                  <c:v>5130.6634924704003</c:v>
                </c:pt>
                <c:pt idx="5">
                  <c:v>5233.2767623198088</c:v>
                </c:pt>
                <c:pt idx="6">
                  <c:v>5337.9422975662028</c:v>
                </c:pt>
                <c:pt idx="7">
                  <c:v>5445.8728028985297</c:v>
                </c:pt>
                <c:pt idx="8">
                  <c:v>5554.7902589565001</c:v>
                </c:pt>
                <c:pt idx="9">
                  <c:v>5665.8860641356314</c:v>
                </c:pt>
                <c:pt idx="10">
                  <c:v>5779.2037854183427</c:v>
                </c:pt>
                <c:pt idx="11">
                  <c:v>0</c:v>
                </c:pt>
              </c:numCache>
            </c:numRef>
          </c:val>
          <c:smooth val="0"/>
        </c:ser>
        <c:ser>
          <c:idx val="1"/>
          <c:order val="1"/>
          <c:tx>
            <c:strRef>
              <c:f>'LTFP to AMPs'!$C$424</c:f>
              <c:strCache>
                <c:ptCount val="1"/>
                <c:pt idx="0">
                  <c:v>LTFP - Sewer Operations &amp; Maintenance</c:v>
                </c:pt>
              </c:strCache>
            </c:strRef>
          </c:tx>
          <c:cat>
            <c:strRef>
              <c:f>'LTFP to AMPs'!$D$403:$O$403</c:f>
              <c:strCache>
                <c:ptCount val="12"/>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strCache>
            </c:strRef>
          </c:cat>
          <c:val>
            <c:numRef>
              <c:f>'LTFP to AMPs'!$D$424:$O$424</c:f>
              <c:numCache>
                <c:formatCode>_(* #,##0_);_(* \(#,##0\);_(* "-"??_);_(@_)</c:formatCode>
                <c:ptCount val="12"/>
                <c:pt idx="0">
                  <c:v>3967</c:v>
                </c:pt>
                <c:pt idx="1">
                  <c:v>4370</c:v>
                </c:pt>
                <c:pt idx="2">
                  <c:v>4616</c:v>
                </c:pt>
                <c:pt idx="3">
                  <c:v>3884</c:v>
                </c:pt>
                <c:pt idx="4">
                  <c:v>3784</c:v>
                </c:pt>
                <c:pt idx="5">
                  <c:v>3841</c:v>
                </c:pt>
                <c:pt idx="6">
                  <c:v>3939</c:v>
                </c:pt>
                <c:pt idx="7">
                  <c:v>4039</c:v>
                </c:pt>
                <c:pt idx="8">
                  <c:v>4142</c:v>
                </c:pt>
                <c:pt idx="9">
                  <c:v>4225</c:v>
                </c:pt>
                <c:pt idx="10">
                  <c:v>4310</c:v>
                </c:pt>
                <c:pt idx="11">
                  <c:v>4398</c:v>
                </c:pt>
              </c:numCache>
            </c:numRef>
          </c:val>
          <c:smooth val="0"/>
        </c:ser>
        <c:dLbls>
          <c:showLegendKey val="0"/>
          <c:showVal val="0"/>
          <c:showCatName val="0"/>
          <c:showSerName val="0"/>
          <c:showPercent val="0"/>
          <c:showBubbleSize val="0"/>
        </c:dLbls>
        <c:marker val="1"/>
        <c:smooth val="0"/>
        <c:axId val="156271744"/>
        <c:axId val="156273280"/>
      </c:lineChart>
      <c:catAx>
        <c:axId val="156271744"/>
        <c:scaling>
          <c:orientation val="minMax"/>
        </c:scaling>
        <c:delete val="0"/>
        <c:axPos val="b"/>
        <c:numFmt formatCode="General" sourceLinked="1"/>
        <c:majorTickMark val="none"/>
        <c:minorTickMark val="none"/>
        <c:tickLblPos val="nextTo"/>
        <c:txPr>
          <a:bodyPr rot="5400000" vert="horz"/>
          <a:lstStyle/>
          <a:p>
            <a:pPr>
              <a:defRPr sz="800" b="0" i="0" u="none" strike="noStrike" baseline="0">
                <a:solidFill>
                  <a:srgbClr val="000000"/>
                </a:solidFill>
                <a:latin typeface="Arial" pitchFamily="34" charset="0"/>
                <a:ea typeface="Calibri"/>
                <a:cs typeface="Arial" pitchFamily="34" charset="0"/>
              </a:defRPr>
            </a:pPr>
            <a:endParaRPr lang="en-US"/>
          </a:p>
        </c:txPr>
        <c:crossAx val="156273280"/>
        <c:crosses val="autoZero"/>
        <c:auto val="1"/>
        <c:lblAlgn val="ctr"/>
        <c:lblOffset val="100"/>
        <c:noMultiLvlLbl val="0"/>
      </c:catAx>
      <c:valAx>
        <c:axId val="156273280"/>
        <c:scaling>
          <c:orientation val="minMax"/>
        </c:scaling>
        <c:delete val="0"/>
        <c:axPos val="l"/>
        <c:majorGridlines/>
        <c:numFmt formatCode="_(* #,##0_);_(* \(#,##0\);_(*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156271744"/>
        <c:crosses val="autoZero"/>
        <c:crossBetween val="between"/>
      </c:valAx>
    </c:plotArea>
    <c:legend>
      <c:legendPos val="b"/>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AU" sz="1200">
                <a:latin typeface="Arial" pitchFamily="34" charset="0"/>
                <a:cs typeface="Arial" pitchFamily="34" charset="0"/>
              </a:rPr>
              <a:t>Wastewater Renewals - </a:t>
            </a:r>
          </a:p>
          <a:p>
            <a:pPr>
              <a:defRPr sz="1800" b="1" i="0" u="none" strike="noStrike" baseline="0">
                <a:solidFill>
                  <a:srgbClr val="000000"/>
                </a:solidFill>
                <a:latin typeface="Calibri"/>
                <a:ea typeface="Calibri"/>
                <a:cs typeface="Calibri"/>
              </a:defRPr>
            </a:pPr>
            <a:r>
              <a:rPr lang="en-AU" sz="1200">
                <a:latin typeface="Arial" pitchFamily="34" charset="0"/>
                <a:cs typeface="Arial" pitchFamily="34" charset="0"/>
              </a:rPr>
              <a:t>Comparison AMP to LTFP</a:t>
            </a:r>
          </a:p>
        </c:rich>
      </c:tx>
      <c:overlay val="0"/>
    </c:title>
    <c:autoTitleDeleted val="0"/>
    <c:plotArea>
      <c:layout/>
      <c:lineChart>
        <c:grouping val="standard"/>
        <c:varyColors val="0"/>
        <c:ser>
          <c:idx val="0"/>
          <c:order val="0"/>
          <c:tx>
            <c:strRef>
              <c:f>'LTFP to AMPs'!$C$416</c:f>
              <c:strCache>
                <c:ptCount val="1"/>
                <c:pt idx="0">
                  <c:v>AMP - Sewer Renewals</c:v>
                </c:pt>
              </c:strCache>
            </c:strRef>
          </c:tx>
          <c:cat>
            <c:strRef>
              <c:f>'LTFP to AMPs'!$D$403:$O$403</c:f>
              <c:strCache>
                <c:ptCount val="12"/>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strCache>
            </c:strRef>
          </c:cat>
          <c:val>
            <c:numRef>
              <c:f>'LTFP to AMPs'!$D$416:$O$416</c:f>
              <c:numCache>
                <c:formatCode>_(* #,##0_);_(* \(#,##0\);_(* "-"??_);_(@_)</c:formatCode>
                <c:ptCount val="12"/>
                <c:pt idx="0">
                  <c:v>7889.8389376615878</c:v>
                </c:pt>
                <c:pt idx="1">
                  <c:v>6513.9724900055326</c:v>
                </c:pt>
                <c:pt idx="2">
                  <c:v>3259.5141398019468</c:v>
                </c:pt>
                <c:pt idx="3">
                  <c:v>2616.996761963931</c:v>
                </c:pt>
                <c:pt idx="4">
                  <c:v>2553.7647402909956</c:v>
                </c:pt>
                <c:pt idx="5">
                  <c:v>1330.3211319238271</c:v>
                </c:pt>
                <c:pt idx="6">
                  <c:v>793.68108272000745</c:v>
                </c:pt>
                <c:pt idx="7">
                  <c:v>790.96987187462457</c:v>
                </c:pt>
                <c:pt idx="8">
                  <c:v>3509.1172272772351</c:v>
                </c:pt>
                <c:pt idx="9">
                  <c:v>577</c:v>
                </c:pt>
                <c:pt idx="10">
                  <c:v>955.25016861865925</c:v>
                </c:pt>
                <c:pt idx="11">
                  <c:v>0</c:v>
                </c:pt>
              </c:numCache>
            </c:numRef>
          </c:val>
          <c:smooth val="0"/>
        </c:ser>
        <c:ser>
          <c:idx val="3"/>
          <c:order val="1"/>
          <c:tx>
            <c:strRef>
              <c:f>'LTFP to AMPs'!$C$430</c:f>
              <c:strCache>
                <c:ptCount val="1"/>
                <c:pt idx="0">
                  <c:v>LTFP - Sewer Renewals</c:v>
                </c:pt>
              </c:strCache>
            </c:strRef>
          </c:tx>
          <c:cat>
            <c:strRef>
              <c:f>'LTFP to AMPs'!$D$403:$O$403</c:f>
              <c:strCache>
                <c:ptCount val="12"/>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strCache>
            </c:strRef>
          </c:cat>
          <c:val>
            <c:numRef>
              <c:f>'LTFP to AMPs'!$D$430:$O$430</c:f>
              <c:numCache>
                <c:formatCode>_(* #,##0_);_(* \(#,##0\);_(* "-"??_);_(@_)</c:formatCode>
                <c:ptCount val="12"/>
                <c:pt idx="0">
                  <c:v>9233</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156381184"/>
        <c:axId val="156382720"/>
      </c:lineChart>
      <c:catAx>
        <c:axId val="156381184"/>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156382720"/>
        <c:crosses val="autoZero"/>
        <c:auto val="1"/>
        <c:lblAlgn val="ctr"/>
        <c:lblOffset val="100"/>
        <c:noMultiLvlLbl val="0"/>
      </c:catAx>
      <c:valAx>
        <c:axId val="156382720"/>
        <c:scaling>
          <c:orientation val="minMax"/>
        </c:scaling>
        <c:delete val="0"/>
        <c:axPos val="l"/>
        <c:majorGridlines/>
        <c:numFmt formatCode="_(* #,##0_);_(* \(#,##0\);_(*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156381184"/>
        <c:crosses val="autoZero"/>
        <c:crossBetween val="between"/>
      </c:valAx>
    </c:plotArea>
    <c:legend>
      <c:legendPos val="b"/>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AU"/>
              <a:t>Sewer Totals Compare AMP to LTFP</a:t>
            </a:r>
          </a:p>
        </c:rich>
      </c:tx>
      <c:overlay val="0"/>
    </c:title>
    <c:autoTitleDeleted val="0"/>
    <c:plotArea>
      <c:layout/>
      <c:lineChart>
        <c:grouping val="standard"/>
        <c:varyColors val="0"/>
        <c:ser>
          <c:idx val="2"/>
          <c:order val="0"/>
          <c:tx>
            <c:strRef>
              <c:f>'LTFP to AMPs'!$C$417</c:f>
              <c:strCache>
                <c:ptCount val="1"/>
                <c:pt idx="0">
                  <c:v>AMP - Sewer Total</c:v>
                </c:pt>
              </c:strCache>
            </c:strRef>
          </c:tx>
          <c:cat>
            <c:strRef>
              <c:f>'LTFP to AMPs'!$D$403:$O$403</c:f>
              <c:strCache>
                <c:ptCount val="12"/>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strCache>
            </c:strRef>
          </c:cat>
          <c:val>
            <c:numRef>
              <c:f>'LTFP to AMPs'!$D$417:$O$417</c:f>
              <c:numCache>
                <c:formatCode>_(* #,##0_);_(* \(#,##0\);_(* "-"??_);_(@_)</c:formatCode>
                <c:ptCount val="12"/>
                <c:pt idx="0">
                  <c:v>12629.778937661587</c:v>
                </c:pt>
                <c:pt idx="1">
                  <c:v>11348.711290005533</c:v>
                </c:pt>
                <c:pt idx="2">
                  <c:v>8190.9477158019463</c:v>
                </c:pt>
                <c:pt idx="3">
                  <c:v>7647.0590094839308</c:v>
                </c:pt>
                <c:pt idx="4">
                  <c:v>7684.4282327613964</c:v>
                </c:pt>
                <c:pt idx="5">
                  <c:v>6563.5978942436359</c:v>
                </c:pt>
                <c:pt idx="6">
                  <c:v>6131.6233802862098</c:v>
                </c:pt>
                <c:pt idx="7">
                  <c:v>6236.8426747731546</c:v>
                </c:pt>
                <c:pt idx="8">
                  <c:v>9063.9074862337347</c:v>
                </c:pt>
                <c:pt idx="9">
                  <c:v>6242.8860641356314</c:v>
                </c:pt>
                <c:pt idx="10">
                  <c:v>6734.4539540370024</c:v>
                </c:pt>
                <c:pt idx="11">
                  <c:v>0</c:v>
                </c:pt>
              </c:numCache>
            </c:numRef>
          </c:val>
          <c:smooth val="0"/>
        </c:ser>
        <c:ser>
          <c:idx val="3"/>
          <c:order val="1"/>
          <c:tx>
            <c:strRef>
              <c:f>'LTFP to AMPs'!$C$431</c:f>
              <c:strCache>
                <c:ptCount val="1"/>
                <c:pt idx="0">
                  <c:v>LTFP - Sewer Total</c:v>
                </c:pt>
              </c:strCache>
            </c:strRef>
          </c:tx>
          <c:cat>
            <c:strRef>
              <c:f>'LTFP to AMPs'!$D$403:$O$403</c:f>
              <c:strCache>
                <c:ptCount val="12"/>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strCache>
            </c:strRef>
          </c:cat>
          <c:val>
            <c:numRef>
              <c:f>'LTFP to AMPs'!$D$431:$O$431</c:f>
              <c:numCache>
                <c:formatCode>_(* #,##0_);_(* \(#,##0\);_(* "-"??_);_(@_)</c:formatCode>
                <c:ptCount val="12"/>
                <c:pt idx="0">
                  <c:v>13200</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156395776"/>
        <c:axId val="156426240"/>
      </c:lineChart>
      <c:catAx>
        <c:axId val="156395776"/>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156426240"/>
        <c:crosses val="autoZero"/>
        <c:auto val="1"/>
        <c:lblAlgn val="ctr"/>
        <c:lblOffset val="100"/>
        <c:noMultiLvlLbl val="0"/>
      </c:catAx>
      <c:valAx>
        <c:axId val="156426240"/>
        <c:scaling>
          <c:orientation val="minMax"/>
        </c:scaling>
        <c:delete val="0"/>
        <c:axPos val="l"/>
        <c:majorGridlines/>
        <c:numFmt formatCode="_(* #,##0_);_(* \(#,##0\);_(*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156395776"/>
        <c:crosses val="autoZero"/>
        <c:crossBetween val="between"/>
      </c:valAx>
    </c:plotArea>
    <c:legend>
      <c:legendPos val="b"/>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AU"/>
              <a:t>Sewer Cumulative Difference - LTFP to AMP</a:t>
            </a:r>
          </a:p>
        </c:rich>
      </c:tx>
      <c:overlay val="0"/>
    </c:title>
    <c:autoTitleDeleted val="0"/>
    <c:plotArea>
      <c:layout/>
      <c:barChart>
        <c:barDir val="col"/>
        <c:grouping val="clustered"/>
        <c:varyColors val="0"/>
        <c:ser>
          <c:idx val="1"/>
          <c:order val="0"/>
          <c:tx>
            <c:strRef>
              <c:f>'LTFP to AMPs'!$C$433</c:f>
              <c:strCache>
                <c:ptCount val="1"/>
                <c:pt idx="0">
                  <c:v>Cumulative Difference - LTFP to AMP</c:v>
                </c:pt>
              </c:strCache>
            </c:strRef>
          </c:tx>
          <c:invertIfNegative val="0"/>
          <c:cat>
            <c:strRef>
              <c:f>'LTFP to AMPs'!$D$403:$O$403</c:f>
              <c:strCache>
                <c:ptCount val="12"/>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strCache>
            </c:strRef>
          </c:cat>
          <c:val>
            <c:numRef>
              <c:f>'LTFP to AMPs'!$D$433:$O$433</c:f>
              <c:numCache>
                <c:formatCode>_(* #,##0_);_(* \(#,##0\);_(* "-"??_);_(@_)</c:formatCode>
                <c:ptCount val="12"/>
                <c:pt idx="0">
                  <c:v>570.22106233841259</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axId val="156459008"/>
        <c:axId val="156460544"/>
      </c:barChart>
      <c:catAx>
        <c:axId val="156459008"/>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56460544"/>
        <c:crosses val="autoZero"/>
        <c:auto val="1"/>
        <c:lblAlgn val="ctr"/>
        <c:lblOffset val="100"/>
        <c:noMultiLvlLbl val="0"/>
      </c:catAx>
      <c:valAx>
        <c:axId val="156460544"/>
        <c:scaling>
          <c:orientation val="minMax"/>
        </c:scaling>
        <c:delete val="0"/>
        <c:axPos val="l"/>
        <c:majorGridlines/>
        <c:numFmt formatCode="_(* #,##0_);_(* \(#,##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6459008"/>
        <c:crosses val="autoZero"/>
        <c:crossBetween val="between"/>
      </c:valAx>
    </c:plotArea>
    <c:legend>
      <c:legendPos val="r"/>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1"/>
          <c:order val="1"/>
          <c:tx>
            <c:strRef>
              <c:f>'Gen-Cons-LTFP'!#REF!</c:f>
              <c:strCache>
                <c:ptCount val="1"/>
                <c:pt idx="0">
                  <c:v>#REF!</c:v>
                </c:pt>
              </c:strCache>
            </c:strRef>
          </c:tx>
          <c:spPr>
            <a:solidFill>
              <a:srgbClr val="993366"/>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2"/>
          <c:order val="2"/>
          <c:tx>
            <c:strRef>
              <c:f>'Gen-Cons-LTFP'!#REF!</c:f>
              <c:strCache>
                <c:ptCount val="1"/>
                <c:pt idx="0">
                  <c:v>#REF!</c:v>
                </c:pt>
              </c:strCache>
            </c:strRef>
          </c:tx>
          <c:spPr>
            <a:solidFill>
              <a:srgbClr val="FFFFCC"/>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3"/>
          <c:order val="3"/>
          <c:tx>
            <c:strRef>
              <c:f>'Gen-Cons-LTFP'!#REF!</c:f>
              <c:strCache>
                <c:ptCount val="1"/>
                <c:pt idx="0">
                  <c:v>#REF!</c:v>
                </c:pt>
              </c:strCache>
            </c:strRef>
          </c:tx>
          <c:spPr>
            <a:solidFill>
              <a:srgbClr val="CCFF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4"/>
          <c:order val="4"/>
          <c:tx>
            <c:strRef>
              <c:f>'Gen-Cons-LTFP'!#REF!</c:f>
              <c:strCache>
                <c:ptCount val="1"/>
                <c:pt idx="0">
                  <c:v>#REF!</c:v>
                </c:pt>
              </c:strCache>
            </c:strRef>
          </c:tx>
          <c:spPr>
            <a:solidFill>
              <a:srgbClr val="660066"/>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145228928"/>
        <c:axId val="145230464"/>
      </c:barChart>
      <c:catAx>
        <c:axId val="14522892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5230464"/>
        <c:crosses val="autoZero"/>
        <c:auto val="0"/>
        <c:lblAlgn val="ctr"/>
        <c:lblOffset val="100"/>
        <c:tickLblSkip val="1"/>
        <c:tickMarkSkip val="1"/>
        <c:noMultiLvlLbl val="0"/>
      </c:catAx>
      <c:valAx>
        <c:axId val="14523046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5228928"/>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145259136"/>
        <c:axId val="145265024"/>
      </c:barChart>
      <c:catAx>
        <c:axId val="14525913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5265024"/>
        <c:crossesAt val="0"/>
        <c:auto val="0"/>
        <c:lblAlgn val="ctr"/>
        <c:lblOffset val="100"/>
        <c:tickLblSkip val="1"/>
        <c:tickMarkSkip val="1"/>
        <c:noMultiLvlLbl val="0"/>
      </c:catAx>
      <c:valAx>
        <c:axId val="145265024"/>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525913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1"/>
          <c:order val="1"/>
          <c:tx>
            <c:strRef>
              <c:f>'Gen-Cons-LTFP'!#REF!</c:f>
              <c:strCache>
                <c:ptCount val="1"/>
                <c:pt idx="0">
                  <c:v>#REF!</c:v>
                </c:pt>
              </c:strCache>
            </c:strRef>
          </c:tx>
          <c:spPr>
            <a:solidFill>
              <a:srgbClr val="993366"/>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2"/>
          <c:order val="2"/>
          <c:tx>
            <c:strRef>
              <c:f>'Gen-Cons-LTFP'!#REF!</c:f>
              <c:strCache>
                <c:ptCount val="1"/>
                <c:pt idx="0">
                  <c:v>#REF!</c:v>
                </c:pt>
              </c:strCache>
            </c:strRef>
          </c:tx>
          <c:spPr>
            <a:solidFill>
              <a:srgbClr val="FFFFCC"/>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3"/>
          <c:order val="3"/>
          <c:tx>
            <c:strRef>
              <c:f>'Gen-Cons-LTFP'!#REF!</c:f>
              <c:strCache>
                <c:ptCount val="1"/>
                <c:pt idx="0">
                  <c:v>#REF!</c:v>
                </c:pt>
              </c:strCache>
            </c:strRef>
          </c:tx>
          <c:spPr>
            <a:solidFill>
              <a:srgbClr val="CCFF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163461376"/>
        <c:axId val="163463168"/>
      </c:barChart>
      <c:catAx>
        <c:axId val="16346137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3463168"/>
        <c:crosses val="autoZero"/>
        <c:auto val="0"/>
        <c:lblAlgn val="ctr"/>
        <c:lblOffset val="100"/>
        <c:tickLblSkip val="1"/>
        <c:tickMarkSkip val="1"/>
        <c:noMultiLvlLbl val="0"/>
      </c:catAx>
      <c:valAx>
        <c:axId val="16346316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3461376"/>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1"/>
          <c:order val="1"/>
          <c:tx>
            <c:strRef>
              <c:f>'Gen-Cons-LTFP'!#REF!</c:f>
              <c:strCache>
                <c:ptCount val="1"/>
                <c:pt idx="0">
                  <c:v>#REF!</c:v>
                </c:pt>
              </c:strCache>
            </c:strRef>
          </c:tx>
          <c:spPr>
            <a:solidFill>
              <a:srgbClr val="993366"/>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2"/>
          <c:order val="2"/>
          <c:tx>
            <c:strRef>
              <c:f>'Gen-Cons-LTFP'!#REF!</c:f>
              <c:strCache>
                <c:ptCount val="1"/>
                <c:pt idx="0">
                  <c:v>#REF!</c:v>
                </c:pt>
              </c:strCache>
            </c:strRef>
          </c:tx>
          <c:spPr>
            <a:solidFill>
              <a:srgbClr val="FFFFCC"/>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3"/>
          <c:order val="3"/>
          <c:tx>
            <c:strRef>
              <c:f>'Gen-Cons-LTFP'!#REF!</c:f>
              <c:strCache>
                <c:ptCount val="1"/>
                <c:pt idx="0">
                  <c:v>#REF!</c:v>
                </c:pt>
              </c:strCache>
            </c:strRef>
          </c:tx>
          <c:spPr>
            <a:solidFill>
              <a:srgbClr val="CCFF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90403200"/>
        <c:axId val="90404736"/>
      </c:barChart>
      <c:catAx>
        <c:axId val="9040320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0404736"/>
        <c:crosses val="autoZero"/>
        <c:auto val="0"/>
        <c:lblAlgn val="ctr"/>
        <c:lblOffset val="100"/>
        <c:tickLblSkip val="1"/>
        <c:tickMarkSkip val="1"/>
        <c:noMultiLvlLbl val="0"/>
      </c:catAx>
      <c:valAx>
        <c:axId val="9040473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0403200"/>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163500032"/>
        <c:axId val="163501568"/>
      </c:barChart>
      <c:catAx>
        <c:axId val="16350003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3501568"/>
        <c:crosses val="autoZero"/>
        <c:auto val="0"/>
        <c:lblAlgn val="ctr"/>
        <c:lblOffset val="100"/>
        <c:tickLblSkip val="1"/>
        <c:tickMarkSkip val="1"/>
        <c:noMultiLvlLbl val="0"/>
      </c:catAx>
      <c:valAx>
        <c:axId val="16350156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350003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1"/>
          <c:order val="1"/>
          <c:tx>
            <c:strRef>
              <c:f>'Gen-Cons-LTFP'!#REF!</c:f>
              <c:strCache>
                <c:ptCount val="1"/>
                <c:pt idx="0">
                  <c:v>#REF!</c:v>
                </c:pt>
              </c:strCache>
            </c:strRef>
          </c:tx>
          <c:spPr>
            <a:solidFill>
              <a:srgbClr val="993366"/>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2"/>
          <c:order val="2"/>
          <c:tx>
            <c:strRef>
              <c:f>'Gen-Cons-LTFP'!#REF!</c:f>
              <c:strCache>
                <c:ptCount val="1"/>
                <c:pt idx="0">
                  <c:v>#REF!</c:v>
                </c:pt>
              </c:strCache>
            </c:strRef>
          </c:tx>
          <c:spPr>
            <a:solidFill>
              <a:srgbClr val="FFFFCC"/>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163519104"/>
        <c:axId val="163529088"/>
      </c:barChart>
      <c:catAx>
        <c:axId val="16351910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3529088"/>
        <c:crosses val="autoZero"/>
        <c:auto val="0"/>
        <c:lblAlgn val="ctr"/>
        <c:lblOffset val="100"/>
        <c:tickLblSkip val="1"/>
        <c:tickMarkSkip val="1"/>
        <c:noMultiLvlLbl val="0"/>
      </c:catAx>
      <c:valAx>
        <c:axId val="16352908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3519104"/>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163557376"/>
        <c:axId val="163558912"/>
      </c:barChart>
      <c:catAx>
        <c:axId val="16355737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3558912"/>
        <c:crosses val="autoZero"/>
        <c:auto val="0"/>
        <c:lblAlgn val="ctr"/>
        <c:lblOffset val="100"/>
        <c:tickLblSkip val="1"/>
        <c:tickMarkSkip val="1"/>
        <c:noMultiLvlLbl val="0"/>
      </c:catAx>
      <c:valAx>
        <c:axId val="16355891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355737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4"/>
          <c:order val="4"/>
          <c:tx>
            <c:strRef>
              <c:f>'W&amp;W-LTFP'!#REF!</c:f>
              <c:strCache>
                <c:ptCount val="1"/>
                <c:pt idx="0">
                  <c:v>#REF!</c:v>
                </c:pt>
              </c:strCache>
            </c:strRef>
          </c:tx>
          <c:spPr>
            <a:solidFill>
              <a:srgbClr val="6600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63668352"/>
        <c:axId val="163669888"/>
      </c:barChart>
      <c:catAx>
        <c:axId val="16366835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3669888"/>
        <c:crosses val="autoZero"/>
        <c:auto val="0"/>
        <c:lblAlgn val="ctr"/>
        <c:lblOffset val="100"/>
        <c:tickLblSkip val="1"/>
        <c:tickMarkSkip val="1"/>
        <c:noMultiLvlLbl val="0"/>
      </c:catAx>
      <c:valAx>
        <c:axId val="16366988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3668352"/>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63690368"/>
        <c:axId val="163691904"/>
      </c:barChart>
      <c:catAx>
        <c:axId val="16369036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3691904"/>
        <c:crossesAt val="0"/>
        <c:auto val="0"/>
        <c:lblAlgn val="ctr"/>
        <c:lblOffset val="100"/>
        <c:tickLblSkip val="1"/>
        <c:tickMarkSkip val="1"/>
        <c:noMultiLvlLbl val="0"/>
      </c:catAx>
      <c:valAx>
        <c:axId val="163691904"/>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369036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64017664"/>
        <c:axId val="164019200"/>
      </c:barChart>
      <c:catAx>
        <c:axId val="16401766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4019200"/>
        <c:crosses val="autoZero"/>
        <c:auto val="0"/>
        <c:lblAlgn val="ctr"/>
        <c:lblOffset val="100"/>
        <c:tickLblSkip val="1"/>
        <c:tickMarkSkip val="1"/>
        <c:noMultiLvlLbl val="0"/>
      </c:catAx>
      <c:valAx>
        <c:axId val="16401920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4017664"/>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64047872"/>
        <c:axId val="164053760"/>
      </c:barChart>
      <c:catAx>
        <c:axId val="16404787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4053760"/>
        <c:crosses val="autoZero"/>
        <c:auto val="0"/>
        <c:lblAlgn val="ctr"/>
        <c:lblOffset val="100"/>
        <c:tickLblSkip val="1"/>
        <c:tickMarkSkip val="1"/>
        <c:noMultiLvlLbl val="0"/>
      </c:catAx>
      <c:valAx>
        <c:axId val="16405376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404787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64087680"/>
        <c:axId val="164089216"/>
      </c:barChart>
      <c:catAx>
        <c:axId val="16408768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4089216"/>
        <c:crosses val="autoZero"/>
        <c:auto val="0"/>
        <c:lblAlgn val="ctr"/>
        <c:lblOffset val="100"/>
        <c:tickLblSkip val="1"/>
        <c:tickMarkSkip val="1"/>
        <c:noMultiLvlLbl val="0"/>
      </c:catAx>
      <c:valAx>
        <c:axId val="16408921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4087680"/>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64109312"/>
        <c:axId val="164131584"/>
      </c:barChart>
      <c:catAx>
        <c:axId val="16410931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4131584"/>
        <c:crosses val="autoZero"/>
        <c:auto val="0"/>
        <c:lblAlgn val="ctr"/>
        <c:lblOffset val="100"/>
        <c:tickLblSkip val="1"/>
        <c:tickMarkSkip val="1"/>
        <c:noMultiLvlLbl val="0"/>
      </c:catAx>
      <c:valAx>
        <c:axId val="16413158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410931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4"/>
          <c:order val="4"/>
          <c:tx>
            <c:strRef>
              <c:f>'W&amp;W-LTFP'!#REF!</c:f>
              <c:strCache>
                <c:ptCount val="1"/>
                <c:pt idx="0">
                  <c:v>#REF!</c:v>
                </c:pt>
              </c:strCache>
            </c:strRef>
          </c:tx>
          <c:spPr>
            <a:solidFill>
              <a:srgbClr val="6600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63122560"/>
        <c:axId val="163132544"/>
      </c:barChart>
      <c:catAx>
        <c:axId val="16312256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3132544"/>
        <c:crosses val="autoZero"/>
        <c:auto val="0"/>
        <c:lblAlgn val="ctr"/>
        <c:lblOffset val="100"/>
        <c:tickLblSkip val="1"/>
        <c:tickMarkSkip val="1"/>
        <c:noMultiLvlLbl val="0"/>
      </c:catAx>
      <c:valAx>
        <c:axId val="16313254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3122560"/>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drawings/_rels/drawing1.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41" Type="http://schemas.openxmlformats.org/officeDocument/2006/relationships/chart" Target="../charts/chart41.xml"/><Relationship Id="rId54" Type="http://schemas.openxmlformats.org/officeDocument/2006/relationships/chart" Target="../charts/chart54.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s>
</file>

<file path=xl/drawings/_rels/drawing2.xml.rels><?xml version="1.0" encoding="UTF-8" standalone="yes"?>
<Relationships xmlns="http://schemas.openxmlformats.org/package/2006/relationships"><Relationship Id="rId8" Type="http://schemas.openxmlformats.org/officeDocument/2006/relationships/chart" Target="../charts/chart68.xml"/><Relationship Id="rId3" Type="http://schemas.openxmlformats.org/officeDocument/2006/relationships/chart" Target="../charts/chart63.xml"/><Relationship Id="rId7" Type="http://schemas.openxmlformats.org/officeDocument/2006/relationships/chart" Target="../charts/chart67.xml"/><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chart" Target="../charts/chart66.xml"/><Relationship Id="rId5" Type="http://schemas.openxmlformats.org/officeDocument/2006/relationships/chart" Target="../charts/chart65.xml"/><Relationship Id="rId4" Type="http://schemas.openxmlformats.org/officeDocument/2006/relationships/chart" Target="../charts/chart64.xml"/></Relationships>
</file>

<file path=xl/drawings/_rels/drawing3.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4.xml.rels><?xml version="1.0" encoding="UTF-8" standalone="yes"?>
<Relationships xmlns="http://schemas.openxmlformats.org/package/2006/relationships"><Relationship Id="rId8" Type="http://schemas.openxmlformats.org/officeDocument/2006/relationships/chart" Target="../charts/chart78.xml"/><Relationship Id="rId13" Type="http://schemas.openxmlformats.org/officeDocument/2006/relationships/chart" Target="../charts/chart83.xml"/><Relationship Id="rId3" Type="http://schemas.openxmlformats.org/officeDocument/2006/relationships/chart" Target="../charts/chart73.xml"/><Relationship Id="rId7" Type="http://schemas.openxmlformats.org/officeDocument/2006/relationships/chart" Target="../charts/chart77.xml"/><Relationship Id="rId12" Type="http://schemas.openxmlformats.org/officeDocument/2006/relationships/chart" Target="../charts/chart82.xml"/><Relationship Id="rId2" Type="http://schemas.openxmlformats.org/officeDocument/2006/relationships/chart" Target="../charts/chart72.xml"/><Relationship Id="rId16" Type="http://schemas.openxmlformats.org/officeDocument/2006/relationships/chart" Target="../charts/chart86.xml"/><Relationship Id="rId1" Type="http://schemas.openxmlformats.org/officeDocument/2006/relationships/chart" Target="../charts/chart71.xml"/><Relationship Id="rId6" Type="http://schemas.openxmlformats.org/officeDocument/2006/relationships/chart" Target="../charts/chart76.xml"/><Relationship Id="rId11" Type="http://schemas.openxmlformats.org/officeDocument/2006/relationships/chart" Target="../charts/chart81.xml"/><Relationship Id="rId5" Type="http://schemas.openxmlformats.org/officeDocument/2006/relationships/chart" Target="../charts/chart75.xml"/><Relationship Id="rId15" Type="http://schemas.openxmlformats.org/officeDocument/2006/relationships/chart" Target="../charts/chart85.xml"/><Relationship Id="rId10" Type="http://schemas.openxmlformats.org/officeDocument/2006/relationships/chart" Target="../charts/chart80.xml"/><Relationship Id="rId4" Type="http://schemas.openxmlformats.org/officeDocument/2006/relationships/chart" Target="../charts/chart74.xml"/><Relationship Id="rId9" Type="http://schemas.openxmlformats.org/officeDocument/2006/relationships/chart" Target="../charts/chart79.xml"/><Relationship Id="rId14" Type="http://schemas.openxmlformats.org/officeDocument/2006/relationships/chart" Target="../charts/chart84.xml"/></Relationships>
</file>

<file path=xl/drawings/_rels/drawing5.xml.rels><?xml version="1.0" encoding="UTF-8" standalone="yes"?>
<Relationships xmlns="http://schemas.openxmlformats.org/package/2006/relationships"><Relationship Id="rId8" Type="http://schemas.openxmlformats.org/officeDocument/2006/relationships/chart" Target="../charts/chart94.xml"/><Relationship Id="rId13" Type="http://schemas.openxmlformats.org/officeDocument/2006/relationships/chart" Target="../charts/chart99.xml"/><Relationship Id="rId18" Type="http://schemas.openxmlformats.org/officeDocument/2006/relationships/chart" Target="../charts/chart104.xml"/><Relationship Id="rId26" Type="http://schemas.openxmlformats.org/officeDocument/2006/relationships/chart" Target="../charts/chart112.xml"/><Relationship Id="rId39" Type="http://schemas.openxmlformats.org/officeDocument/2006/relationships/chart" Target="../charts/chart125.xml"/><Relationship Id="rId3" Type="http://schemas.openxmlformats.org/officeDocument/2006/relationships/chart" Target="../charts/chart89.xml"/><Relationship Id="rId21" Type="http://schemas.openxmlformats.org/officeDocument/2006/relationships/chart" Target="../charts/chart107.xml"/><Relationship Id="rId34" Type="http://schemas.openxmlformats.org/officeDocument/2006/relationships/chart" Target="../charts/chart120.xml"/><Relationship Id="rId42" Type="http://schemas.openxmlformats.org/officeDocument/2006/relationships/chart" Target="../charts/chart128.xml"/><Relationship Id="rId7" Type="http://schemas.openxmlformats.org/officeDocument/2006/relationships/chart" Target="../charts/chart93.xml"/><Relationship Id="rId12" Type="http://schemas.openxmlformats.org/officeDocument/2006/relationships/chart" Target="../charts/chart98.xml"/><Relationship Id="rId17" Type="http://schemas.openxmlformats.org/officeDocument/2006/relationships/chart" Target="../charts/chart103.xml"/><Relationship Id="rId25" Type="http://schemas.openxmlformats.org/officeDocument/2006/relationships/chart" Target="../charts/chart111.xml"/><Relationship Id="rId33" Type="http://schemas.openxmlformats.org/officeDocument/2006/relationships/chart" Target="../charts/chart119.xml"/><Relationship Id="rId38" Type="http://schemas.openxmlformats.org/officeDocument/2006/relationships/chart" Target="../charts/chart124.xml"/><Relationship Id="rId2" Type="http://schemas.openxmlformats.org/officeDocument/2006/relationships/chart" Target="../charts/chart88.xml"/><Relationship Id="rId16" Type="http://schemas.openxmlformats.org/officeDocument/2006/relationships/chart" Target="../charts/chart102.xml"/><Relationship Id="rId20" Type="http://schemas.openxmlformats.org/officeDocument/2006/relationships/chart" Target="../charts/chart106.xml"/><Relationship Id="rId29" Type="http://schemas.openxmlformats.org/officeDocument/2006/relationships/chart" Target="../charts/chart115.xml"/><Relationship Id="rId41" Type="http://schemas.openxmlformats.org/officeDocument/2006/relationships/chart" Target="../charts/chart127.xml"/><Relationship Id="rId1" Type="http://schemas.openxmlformats.org/officeDocument/2006/relationships/chart" Target="../charts/chart87.xml"/><Relationship Id="rId6" Type="http://schemas.openxmlformats.org/officeDocument/2006/relationships/chart" Target="../charts/chart92.xml"/><Relationship Id="rId11" Type="http://schemas.openxmlformats.org/officeDocument/2006/relationships/chart" Target="../charts/chart97.xml"/><Relationship Id="rId24" Type="http://schemas.openxmlformats.org/officeDocument/2006/relationships/chart" Target="../charts/chart110.xml"/><Relationship Id="rId32" Type="http://schemas.openxmlformats.org/officeDocument/2006/relationships/chart" Target="../charts/chart118.xml"/><Relationship Id="rId37" Type="http://schemas.openxmlformats.org/officeDocument/2006/relationships/chart" Target="../charts/chart123.xml"/><Relationship Id="rId40" Type="http://schemas.openxmlformats.org/officeDocument/2006/relationships/chart" Target="../charts/chart126.xml"/><Relationship Id="rId5" Type="http://schemas.openxmlformats.org/officeDocument/2006/relationships/chart" Target="../charts/chart91.xml"/><Relationship Id="rId15" Type="http://schemas.openxmlformats.org/officeDocument/2006/relationships/chart" Target="../charts/chart101.xml"/><Relationship Id="rId23" Type="http://schemas.openxmlformats.org/officeDocument/2006/relationships/chart" Target="../charts/chart109.xml"/><Relationship Id="rId28" Type="http://schemas.openxmlformats.org/officeDocument/2006/relationships/chart" Target="../charts/chart114.xml"/><Relationship Id="rId36" Type="http://schemas.openxmlformats.org/officeDocument/2006/relationships/chart" Target="../charts/chart122.xml"/><Relationship Id="rId10" Type="http://schemas.openxmlformats.org/officeDocument/2006/relationships/chart" Target="../charts/chart96.xml"/><Relationship Id="rId19" Type="http://schemas.openxmlformats.org/officeDocument/2006/relationships/chart" Target="../charts/chart105.xml"/><Relationship Id="rId31" Type="http://schemas.openxmlformats.org/officeDocument/2006/relationships/chart" Target="../charts/chart117.xml"/><Relationship Id="rId4" Type="http://schemas.openxmlformats.org/officeDocument/2006/relationships/chart" Target="../charts/chart90.xml"/><Relationship Id="rId9" Type="http://schemas.openxmlformats.org/officeDocument/2006/relationships/chart" Target="../charts/chart95.xml"/><Relationship Id="rId14" Type="http://schemas.openxmlformats.org/officeDocument/2006/relationships/chart" Target="../charts/chart100.xml"/><Relationship Id="rId22" Type="http://schemas.openxmlformats.org/officeDocument/2006/relationships/chart" Target="../charts/chart108.xml"/><Relationship Id="rId27" Type="http://schemas.openxmlformats.org/officeDocument/2006/relationships/chart" Target="../charts/chart113.xml"/><Relationship Id="rId30" Type="http://schemas.openxmlformats.org/officeDocument/2006/relationships/chart" Target="../charts/chart116.xml"/><Relationship Id="rId35" Type="http://schemas.openxmlformats.org/officeDocument/2006/relationships/chart" Target="../charts/chart121.xml"/></Relationships>
</file>

<file path=xl/drawings/drawing1.xml><?xml version="1.0" encoding="utf-8"?>
<xdr:wsDr xmlns:xdr="http://schemas.openxmlformats.org/drawingml/2006/spreadsheetDrawing" xmlns:a="http://schemas.openxmlformats.org/drawingml/2006/main">
  <xdr:twoCellAnchor>
    <xdr:from>
      <xdr:col>0</xdr:col>
      <xdr:colOff>0</xdr:colOff>
      <xdr:row>220</xdr:row>
      <xdr:rowOff>0</xdr:rowOff>
    </xdr:from>
    <xdr:to>
      <xdr:col>4</xdr:col>
      <xdr:colOff>733425</xdr:colOff>
      <xdr:row>220</xdr:row>
      <xdr:rowOff>0</xdr:rowOff>
    </xdr:to>
    <xdr:graphicFrame macro="">
      <xdr:nvGraphicFramePr>
        <xdr:cNvPr id="6158844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220</xdr:row>
      <xdr:rowOff>0</xdr:rowOff>
    </xdr:from>
    <xdr:to>
      <xdr:col>4</xdr:col>
      <xdr:colOff>733425</xdr:colOff>
      <xdr:row>220</xdr:row>
      <xdr:rowOff>0</xdr:rowOff>
    </xdr:to>
    <xdr:graphicFrame macro="">
      <xdr:nvGraphicFramePr>
        <xdr:cNvPr id="6158845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220</xdr:row>
      <xdr:rowOff>0</xdr:rowOff>
    </xdr:from>
    <xdr:to>
      <xdr:col>4</xdr:col>
      <xdr:colOff>714375</xdr:colOff>
      <xdr:row>220</xdr:row>
      <xdr:rowOff>0</xdr:rowOff>
    </xdr:to>
    <xdr:graphicFrame macro="">
      <xdr:nvGraphicFramePr>
        <xdr:cNvPr id="6158845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220</xdr:row>
      <xdr:rowOff>0</xdr:rowOff>
    </xdr:from>
    <xdr:to>
      <xdr:col>4</xdr:col>
      <xdr:colOff>723900</xdr:colOff>
      <xdr:row>220</xdr:row>
      <xdr:rowOff>0</xdr:rowOff>
    </xdr:to>
    <xdr:graphicFrame macro="">
      <xdr:nvGraphicFramePr>
        <xdr:cNvPr id="6158845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220</xdr:row>
      <xdr:rowOff>0</xdr:rowOff>
    </xdr:from>
    <xdr:to>
      <xdr:col>4</xdr:col>
      <xdr:colOff>714375</xdr:colOff>
      <xdr:row>220</xdr:row>
      <xdr:rowOff>0</xdr:rowOff>
    </xdr:to>
    <xdr:graphicFrame macro="">
      <xdr:nvGraphicFramePr>
        <xdr:cNvPr id="6158845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220</xdr:row>
      <xdr:rowOff>0</xdr:rowOff>
    </xdr:from>
    <xdr:to>
      <xdr:col>4</xdr:col>
      <xdr:colOff>771525</xdr:colOff>
      <xdr:row>220</xdr:row>
      <xdr:rowOff>0</xdr:rowOff>
    </xdr:to>
    <xdr:graphicFrame macro="">
      <xdr:nvGraphicFramePr>
        <xdr:cNvPr id="6158845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416</xdr:row>
      <xdr:rowOff>0</xdr:rowOff>
    </xdr:from>
    <xdr:to>
      <xdr:col>4</xdr:col>
      <xdr:colOff>733425</xdr:colOff>
      <xdr:row>416</xdr:row>
      <xdr:rowOff>0</xdr:rowOff>
    </xdr:to>
    <xdr:graphicFrame macro="">
      <xdr:nvGraphicFramePr>
        <xdr:cNvPr id="61588455"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416</xdr:row>
      <xdr:rowOff>0</xdr:rowOff>
    </xdr:from>
    <xdr:to>
      <xdr:col>4</xdr:col>
      <xdr:colOff>733425</xdr:colOff>
      <xdr:row>416</xdr:row>
      <xdr:rowOff>0</xdr:rowOff>
    </xdr:to>
    <xdr:graphicFrame macro="">
      <xdr:nvGraphicFramePr>
        <xdr:cNvPr id="61588456"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416</xdr:row>
      <xdr:rowOff>0</xdr:rowOff>
    </xdr:from>
    <xdr:to>
      <xdr:col>4</xdr:col>
      <xdr:colOff>714375</xdr:colOff>
      <xdr:row>416</xdr:row>
      <xdr:rowOff>0</xdr:rowOff>
    </xdr:to>
    <xdr:graphicFrame macro="">
      <xdr:nvGraphicFramePr>
        <xdr:cNvPr id="61588457"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416</xdr:row>
      <xdr:rowOff>0</xdr:rowOff>
    </xdr:from>
    <xdr:to>
      <xdr:col>4</xdr:col>
      <xdr:colOff>723900</xdr:colOff>
      <xdr:row>416</xdr:row>
      <xdr:rowOff>0</xdr:rowOff>
    </xdr:to>
    <xdr:graphicFrame macro="">
      <xdr:nvGraphicFramePr>
        <xdr:cNvPr id="61588458"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416</xdr:row>
      <xdr:rowOff>0</xdr:rowOff>
    </xdr:from>
    <xdr:to>
      <xdr:col>4</xdr:col>
      <xdr:colOff>714375</xdr:colOff>
      <xdr:row>416</xdr:row>
      <xdr:rowOff>0</xdr:rowOff>
    </xdr:to>
    <xdr:graphicFrame macro="">
      <xdr:nvGraphicFramePr>
        <xdr:cNvPr id="61588459"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416</xdr:row>
      <xdr:rowOff>0</xdr:rowOff>
    </xdr:from>
    <xdr:to>
      <xdr:col>4</xdr:col>
      <xdr:colOff>771525</xdr:colOff>
      <xdr:row>416</xdr:row>
      <xdr:rowOff>0</xdr:rowOff>
    </xdr:to>
    <xdr:graphicFrame macro="">
      <xdr:nvGraphicFramePr>
        <xdr:cNvPr id="61588460"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165</xdr:row>
      <xdr:rowOff>0</xdr:rowOff>
    </xdr:from>
    <xdr:to>
      <xdr:col>4</xdr:col>
      <xdr:colOff>733425</xdr:colOff>
      <xdr:row>165</xdr:row>
      <xdr:rowOff>0</xdr:rowOff>
    </xdr:to>
    <xdr:graphicFrame macro="">
      <xdr:nvGraphicFramePr>
        <xdr:cNvPr id="6158846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165</xdr:row>
      <xdr:rowOff>0</xdr:rowOff>
    </xdr:from>
    <xdr:to>
      <xdr:col>4</xdr:col>
      <xdr:colOff>733425</xdr:colOff>
      <xdr:row>165</xdr:row>
      <xdr:rowOff>0</xdr:rowOff>
    </xdr:to>
    <xdr:graphicFrame macro="">
      <xdr:nvGraphicFramePr>
        <xdr:cNvPr id="6158846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165</xdr:row>
      <xdr:rowOff>0</xdr:rowOff>
    </xdr:from>
    <xdr:to>
      <xdr:col>4</xdr:col>
      <xdr:colOff>714375</xdr:colOff>
      <xdr:row>165</xdr:row>
      <xdr:rowOff>0</xdr:rowOff>
    </xdr:to>
    <xdr:graphicFrame macro="">
      <xdr:nvGraphicFramePr>
        <xdr:cNvPr id="6158846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165</xdr:row>
      <xdr:rowOff>0</xdr:rowOff>
    </xdr:from>
    <xdr:to>
      <xdr:col>4</xdr:col>
      <xdr:colOff>723900</xdr:colOff>
      <xdr:row>165</xdr:row>
      <xdr:rowOff>0</xdr:rowOff>
    </xdr:to>
    <xdr:graphicFrame macro="">
      <xdr:nvGraphicFramePr>
        <xdr:cNvPr id="6158846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165</xdr:row>
      <xdr:rowOff>0</xdr:rowOff>
    </xdr:from>
    <xdr:to>
      <xdr:col>4</xdr:col>
      <xdr:colOff>714375</xdr:colOff>
      <xdr:row>165</xdr:row>
      <xdr:rowOff>0</xdr:rowOff>
    </xdr:to>
    <xdr:graphicFrame macro="">
      <xdr:nvGraphicFramePr>
        <xdr:cNvPr id="6158846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165</xdr:row>
      <xdr:rowOff>0</xdr:rowOff>
    </xdr:from>
    <xdr:to>
      <xdr:col>4</xdr:col>
      <xdr:colOff>771525</xdr:colOff>
      <xdr:row>165</xdr:row>
      <xdr:rowOff>0</xdr:rowOff>
    </xdr:to>
    <xdr:graphicFrame macro="">
      <xdr:nvGraphicFramePr>
        <xdr:cNvPr id="61588466"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285</xdr:row>
      <xdr:rowOff>0</xdr:rowOff>
    </xdr:from>
    <xdr:to>
      <xdr:col>4</xdr:col>
      <xdr:colOff>733425</xdr:colOff>
      <xdr:row>285</xdr:row>
      <xdr:rowOff>0</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285</xdr:row>
      <xdr:rowOff>0</xdr:rowOff>
    </xdr:from>
    <xdr:to>
      <xdr:col>4</xdr:col>
      <xdr:colOff>733425</xdr:colOff>
      <xdr:row>285</xdr:row>
      <xdr:rowOff>0</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285</xdr:row>
      <xdr:rowOff>0</xdr:rowOff>
    </xdr:from>
    <xdr:to>
      <xdr:col>4</xdr:col>
      <xdr:colOff>714375</xdr:colOff>
      <xdr:row>285</xdr:row>
      <xdr:rowOff>0</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285</xdr:row>
      <xdr:rowOff>0</xdr:rowOff>
    </xdr:from>
    <xdr:to>
      <xdr:col>4</xdr:col>
      <xdr:colOff>723900</xdr:colOff>
      <xdr:row>285</xdr:row>
      <xdr:rowOff>0</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285</xdr:row>
      <xdr:rowOff>0</xdr:rowOff>
    </xdr:from>
    <xdr:to>
      <xdr:col>4</xdr:col>
      <xdr:colOff>714375</xdr:colOff>
      <xdr:row>285</xdr:row>
      <xdr:rowOff>0</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285</xdr:row>
      <xdr:rowOff>0</xdr:rowOff>
    </xdr:from>
    <xdr:to>
      <xdr:col>4</xdr:col>
      <xdr:colOff>771525</xdr:colOff>
      <xdr:row>285</xdr:row>
      <xdr:rowOff>0</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333</xdr:row>
      <xdr:rowOff>0</xdr:rowOff>
    </xdr:from>
    <xdr:to>
      <xdr:col>4</xdr:col>
      <xdr:colOff>733425</xdr:colOff>
      <xdr:row>333</xdr:row>
      <xdr:rowOff>0</xdr:rowOff>
    </xdr:to>
    <xdr:graphicFrame macro="">
      <xdr:nvGraphicFramePr>
        <xdr:cNvPr id="26"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333</xdr:row>
      <xdr:rowOff>0</xdr:rowOff>
    </xdr:from>
    <xdr:to>
      <xdr:col>4</xdr:col>
      <xdr:colOff>733425</xdr:colOff>
      <xdr:row>333</xdr:row>
      <xdr:rowOff>0</xdr:rowOff>
    </xdr:to>
    <xdr:graphicFrame macro="">
      <xdr:nvGraphicFramePr>
        <xdr:cNvPr id="27"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333</xdr:row>
      <xdr:rowOff>0</xdr:rowOff>
    </xdr:from>
    <xdr:to>
      <xdr:col>4</xdr:col>
      <xdr:colOff>714375</xdr:colOff>
      <xdr:row>333</xdr:row>
      <xdr:rowOff>0</xdr:rowOff>
    </xdr:to>
    <xdr:graphicFrame macro="">
      <xdr:nvGraphicFramePr>
        <xdr:cNvPr id="28"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333</xdr:row>
      <xdr:rowOff>0</xdr:rowOff>
    </xdr:from>
    <xdr:to>
      <xdr:col>4</xdr:col>
      <xdr:colOff>723900</xdr:colOff>
      <xdr:row>333</xdr:row>
      <xdr:rowOff>0</xdr:rowOff>
    </xdr:to>
    <xdr:graphicFrame macro="">
      <xdr:nvGraphicFramePr>
        <xdr:cNvPr id="29"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0</xdr:colOff>
      <xdr:row>333</xdr:row>
      <xdr:rowOff>0</xdr:rowOff>
    </xdr:from>
    <xdr:to>
      <xdr:col>4</xdr:col>
      <xdr:colOff>714375</xdr:colOff>
      <xdr:row>333</xdr:row>
      <xdr:rowOff>0</xdr:rowOff>
    </xdr:to>
    <xdr:graphicFrame macro="">
      <xdr:nvGraphicFramePr>
        <xdr:cNvPr id="30"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333</xdr:row>
      <xdr:rowOff>0</xdr:rowOff>
    </xdr:from>
    <xdr:to>
      <xdr:col>4</xdr:col>
      <xdr:colOff>771525</xdr:colOff>
      <xdr:row>333</xdr:row>
      <xdr:rowOff>0</xdr:rowOff>
    </xdr:to>
    <xdr:graphicFrame macro="">
      <xdr:nvGraphicFramePr>
        <xdr:cNvPr id="31"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333</xdr:row>
      <xdr:rowOff>0</xdr:rowOff>
    </xdr:from>
    <xdr:to>
      <xdr:col>4</xdr:col>
      <xdr:colOff>733425</xdr:colOff>
      <xdr:row>333</xdr:row>
      <xdr:rowOff>0</xdr:rowOff>
    </xdr:to>
    <xdr:graphicFrame macro="">
      <xdr:nvGraphicFramePr>
        <xdr:cNvPr id="32"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333</xdr:row>
      <xdr:rowOff>0</xdr:rowOff>
    </xdr:from>
    <xdr:to>
      <xdr:col>4</xdr:col>
      <xdr:colOff>733425</xdr:colOff>
      <xdr:row>333</xdr:row>
      <xdr:rowOff>0</xdr:rowOff>
    </xdr:to>
    <xdr:graphicFrame macro="">
      <xdr:nvGraphicFramePr>
        <xdr:cNvPr id="33"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333</xdr:row>
      <xdr:rowOff>0</xdr:rowOff>
    </xdr:from>
    <xdr:to>
      <xdr:col>4</xdr:col>
      <xdr:colOff>714375</xdr:colOff>
      <xdr:row>333</xdr:row>
      <xdr:rowOff>0</xdr:rowOff>
    </xdr:to>
    <xdr:graphicFrame macro="">
      <xdr:nvGraphicFramePr>
        <xdr:cNvPr id="34"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0</xdr:colOff>
      <xdr:row>333</xdr:row>
      <xdr:rowOff>0</xdr:rowOff>
    </xdr:from>
    <xdr:to>
      <xdr:col>4</xdr:col>
      <xdr:colOff>723900</xdr:colOff>
      <xdr:row>333</xdr:row>
      <xdr:rowOff>0</xdr:rowOff>
    </xdr:to>
    <xdr:graphicFrame macro="">
      <xdr:nvGraphicFramePr>
        <xdr:cNvPr id="35"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333</xdr:row>
      <xdr:rowOff>0</xdr:rowOff>
    </xdr:from>
    <xdr:to>
      <xdr:col>4</xdr:col>
      <xdr:colOff>714375</xdr:colOff>
      <xdr:row>333</xdr:row>
      <xdr:rowOff>0</xdr:rowOff>
    </xdr:to>
    <xdr:graphicFrame macro="">
      <xdr:nvGraphicFramePr>
        <xdr:cNvPr id="36"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333</xdr:row>
      <xdr:rowOff>0</xdr:rowOff>
    </xdr:from>
    <xdr:to>
      <xdr:col>4</xdr:col>
      <xdr:colOff>771525</xdr:colOff>
      <xdr:row>333</xdr:row>
      <xdr:rowOff>0</xdr:rowOff>
    </xdr:to>
    <xdr:graphicFrame macro="">
      <xdr:nvGraphicFramePr>
        <xdr:cNvPr id="37"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333</xdr:row>
      <xdr:rowOff>0</xdr:rowOff>
    </xdr:from>
    <xdr:to>
      <xdr:col>4</xdr:col>
      <xdr:colOff>733425</xdr:colOff>
      <xdr:row>333</xdr:row>
      <xdr:rowOff>0</xdr:rowOff>
    </xdr:to>
    <xdr:graphicFrame macro="">
      <xdr:nvGraphicFramePr>
        <xdr:cNvPr id="38"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333</xdr:row>
      <xdr:rowOff>0</xdr:rowOff>
    </xdr:from>
    <xdr:to>
      <xdr:col>4</xdr:col>
      <xdr:colOff>733425</xdr:colOff>
      <xdr:row>333</xdr:row>
      <xdr:rowOff>0</xdr:rowOff>
    </xdr:to>
    <xdr:graphicFrame macro="">
      <xdr:nvGraphicFramePr>
        <xdr:cNvPr id="39"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0</xdr:colOff>
      <xdr:row>333</xdr:row>
      <xdr:rowOff>0</xdr:rowOff>
    </xdr:from>
    <xdr:to>
      <xdr:col>4</xdr:col>
      <xdr:colOff>714375</xdr:colOff>
      <xdr:row>333</xdr:row>
      <xdr:rowOff>0</xdr:rowOff>
    </xdr:to>
    <xdr:graphicFrame macro="">
      <xdr:nvGraphicFramePr>
        <xdr:cNvPr id="40"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0</xdr:colOff>
      <xdr:row>333</xdr:row>
      <xdr:rowOff>0</xdr:rowOff>
    </xdr:from>
    <xdr:to>
      <xdr:col>4</xdr:col>
      <xdr:colOff>723900</xdr:colOff>
      <xdr:row>333</xdr:row>
      <xdr:rowOff>0</xdr:rowOff>
    </xdr:to>
    <xdr:graphicFrame macro="">
      <xdr:nvGraphicFramePr>
        <xdr:cNvPr id="41"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0</xdr:colOff>
      <xdr:row>333</xdr:row>
      <xdr:rowOff>0</xdr:rowOff>
    </xdr:from>
    <xdr:to>
      <xdr:col>4</xdr:col>
      <xdr:colOff>714375</xdr:colOff>
      <xdr:row>333</xdr:row>
      <xdr:rowOff>0</xdr:rowOff>
    </xdr:to>
    <xdr:graphicFrame macro="">
      <xdr:nvGraphicFramePr>
        <xdr:cNvPr id="42"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0</xdr:colOff>
      <xdr:row>333</xdr:row>
      <xdr:rowOff>0</xdr:rowOff>
    </xdr:from>
    <xdr:to>
      <xdr:col>4</xdr:col>
      <xdr:colOff>771525</xdr:colOff>
      <xdr:row>333</xdr:row>
      <xdr:rowOff>0</xdr:rowOff>
    </xdr:to>
    <xdr:graphicFrame macro="">
      <xdr:nvGraphicFramePr>
        <xdr:cNvPr id="43"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0</xdr:colOff>
      <xdr:row>333</xdr:row>
      <xdr:rowOff>0</xdr:rowOff>
    </xdr:from>
    <xdr:to>
      <xdr:col>4</xdr:col>
      <xdr:colOff>733425</xdr:colOff>
      <xdr:row>333</xdr:row>
      <xdr:rowOff>0</xdr:rowOff>
    </xdr:to>
    <xdr:graphicFrame macro="">
      <xdr:nvGraphicFramePr>
        <xdr:cNvPr id="44"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0</xdr:colOff>
      <xdr:row>333</xdr:row>
      <xdr:rowOff>0</xdr:rowOff>
    </xdr:from>
    <xdr:to>
      <xdr:col>4</xdr:col>
      <xdr:colOff>733425</xdr:colOff>
      <xdr:row>333</xdr:row>
      <xdr:rowOff>0</xdr:rowOff>
    </xdr:to>
    <xdr:graphicFrame macro="">
      <xdr:nvGraphicFramePr>
        <xdr:cNvPr id="45"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0</xdr:col>
      <xdr:colOff>0</xdr:colOff>
      <xdr:row>333</xdr:row>
      <xdr:rowOff>0</xdr:rowOff>
    </xdr:from>
    <xdr:to>
      <xdr:col>4</xdr:col>
      <xdr:colOff>714375</xdr:colOff>
      <xdr:row>333</xdr:row>
      <xdr:rowOff>0</xdr:rowOff>
    </xdr:to>
    <xdr:graphicFrame macro="">
      <xdr:nvGraphicFramePr>
        <xdr:cNvPr id="46"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0</xdr:col>
      <xdr:colOff>0</xdr:colOff>
      <xdr:row>333</xdr:row>
      <xdr:rowOff>0</xdr:rowOff>
    </xdr:from>
    <xdr:to>
      <xdr:col>4</xdr:col>
      <xdr:colOff>723900</xdr:colOff>
      <xdr:row>333</xdr:row>
      <xdr:rowOff>0</xdr:rowOff>
    </xdr:to>
    <xdr:graphicFrame macro="">
      <xdr:nvGraphicFramePr>
        <xdr:cNvPr id="47"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0</xdr:col>
      <xdr:colOff>0</xdr:colOff>
      <xdr:row>333</xdr:row>
      <xdr:rowOff>0</xdr:rowOff>
    </xdr:from>
    <xdr:to>
      <xdr:col>4</xdr:col>
      <xdr:colOff>714375</xdr:colOff>
      <xdr:row>333</xdr:row>
      <xdr:rowOff>0</xdr:rowOff>
    </xdr:to>
    <xdr:graphicFrame macro="">
      <xdr:nvGraphicFramePr>
        <xdr:cNvPr id="48"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0</xdr:col>
      <xdr:colOff>0</xdr:colOff>
      <xdr:row>333</xdr:row>
      <xdr:rowOff>0</xdr:rowOff>
    </xdr:from>
    <xdr:to>
      <xdr:col>4</xdr:col>
      <xdr:colOff>771525</xdr:colOff>
      <xdr:row>333</xdr:row>
      <xdr:rowOff>0</xdr:rowOff>
    </xdr:to>
    <xdr:graphicFrame macro="">
      <xdr:nvGraphicFramePr>
        <xdr:cNvPr id="49"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0</xdr:col>
      <xdr:colOff>0</xdr:colOff>
      <xdr:row>333</xdr:row>
      <xdr:rowOff>0</xdr:rowOff>
    </xdr:from>
    <xdr:to>
      <xdr:col>4</xdr:col>
      <xdr:colOff>733425</xdr:colOff>
      <xdr:row>333</xdr:row>
      <xdr:rowOff>0</xdr:rowOff>
    </xdr:to>
    <xdr:graphicFrame macro="">
      <xdr:nvGraphicFramePr>
        <xdr:cNvPr id="50"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0</xdr:col>
      <xdr:colOff>0</xdr:colOff>
      <xdr:row>333</xdr:row>
      <xdr:rowOff>0</xdr:rowOff>
    </xdr:from>
    <xdr:to>
      <xdr:col>4</xdr:col>
      <xdr:colOff>733425</xdr:colOff>
      <xdr:row>333</xdr:row>
      <xdr:rowOff>0</xdr:rowOff>
    </xdr:to>
    <xdr:graphicFrame macro="">
      <xdr:nvGraphicFramePr>
        <xdr:cNvPr id="51"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0</xdr:col>
      <xdr:colOff>0</xdr:colOff>
      <xdr:row>333</xdr:row>
      <xdr:rowOff>0</xdr:rowOff>
    </xdr:from>
    <xdr:to>
      <xdr:col>4</xdr:col>
      <xdr:colOff>714375</xdr:colOff>
      <xdr:row>333</xdr:row>
      <xdr:rowOff>0</xdr:rowOff>
    </xdr:to>
    <xdr:graphicFrame macro="">
      <xdr:nvGraphicFramePr>
        <xdr:cNvPr id="52" name="Chart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0</xdr:col>
      <xdr:colOff>0</xdr:colOff>
      <xdr:row>333</xdr:row>
      <xdr:rowOff>0</xdr:rowOff>
    </xdr:from>
    <xdr:to>
      <xdr:col>4</xdr:col>
      <xdr:colOff>723900</xdr:colOff>
      <xdr:row>333</xdr:row>
      <xdr:rowOff>0</xdr:rowOff>
    </xdr:to>
    <xdr:graphicFrame macro="">
      <xdr:nvGraphicFramePr>
        <xdr:cNvPr id="53"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0</xdr:col>
      <xdr:colOff>0</xdr:colOff>
      <xdr:row>333</xdr:row>
      <xdr:rowOff>0</xdr:rowOff>
    </xdr:from>
    <xdr:to>
      <xdr:col>4</xdr:col>
      <xdr:colOff>714375</xdr:colOff>
      <xdr:row>333</xdr:row>
      <xdr:rowOff>0</xdr:rowOff>
    </xdr:to>
    <xdr:graphicFrame macro="">
      <xdr:nvGraphicFramePr>
        <xdr:cNvPr id="54"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0</xdr:col>
      <xdr:colOff>0</xdr:colOff>
      <xdr:row>333</xdr:row>
      <xdr:rowOff>0</xdr:rowOff>
    </xdr:from>
    <xdr:to>
      <xdr:col>4</xdr:col>
      <xdr:colOff>771525</xdr:colOff>
      <xdr:row>333</xdr:row>
      <xdr:rowOff>0</xdr:rowOff>
    </xdr:to>
    <xdr:graphicFrame macro="">
      <xdr:nvGraphicFramePr>
        <xdr:cNvPr id="55"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0</xdr:col>
      <xdr:colOff>0</xdr:colOff>
      <xdr:row>333</xdr:row>
      <xdr:rowOff>0</xdr:rowOff>
    </xdr:from>
    <xdr:to>
      <xdr:col>4</xdr:col>
      <xdr:colOff>733425</xdr:colOff>
      <xdr:row>333</xdr:row>
      <xdr:rowOff>0</xdr:rowOff>
    </xdr:to>
    <xdr:graphicFrame macro="">
      <xdr:nvGraphicFramePr>
        <xdr:cNvPr id="56"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0</xdr:col>
      <xdr:colOff>0</xdr:colOff>
      <xdr:row>333</xdr:row>
      <xdr:rowOff>0</xdr:rowOff>
    </xdr:from>
    <xdr:to>
      <xdr:col>4</xdr:col>
      <xdr:colOff>733425</xdr:colOff>
      <xdr:row>333</xdr:row>
      <xdr:rowOff>0</xdr:rowOff>
    </xdr:to>
    <xdr:graphicFrame macro="">
      <xdr:nvGraphicFramePr>
        <xdr:cNvPr id="57"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0</xdr:col>
      <xdr:colOff>0</xdr:colOff>
      <xdr:row>333</xdr:row>
      <xdr:rowOff>0</xdr:rowOff>
    </xdr:from>
    <xdr:to>
      <xdr:col>4</xdr:col>
      <xdr:colOff>714375</xdr:colOff>
      <xdr:row>333</xdr:row>
      <xdr:rowOff>0</xdr:rowOff>
    </xdr:to>
    <xdr:graphicFrame macro="">
      <xdr:nvGraphicFramePr>
        <xdr:cNvPr id="58" name="Chart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0</xdr:col>
      <xdr:colOff>0</xdr:colOff>
      <xdr:row>333</xdr:row>
      <xdr:rowOff>0</xdr:rowOff>
    </xdr:from>
    <xdr:to>
      <xdr:col>4</xdr:col>
      <xdr:colOff>723900</xdr:colOff>
      <xdr:row>333</xdr:row>
      <xdr:rowOff>0</xdr:rowOff>
    </xdr:to>
    <xdr:graphicFrame macro="">
      <xdr:nvGraphicFramePr>
        <xdr:cNvPr id="59" name="Chart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0</xdr:col>
      <xdr:colOff>0</xdr:colOff>
      <xdr:row>333</xdr:row>
      <xdr:rowOff>0</xdr:rowOff>
    </xdr:from>
    <xdr:to>
      <xdr:col>4</xdr:col>
      <xdr:colOff>714375</xdr:colOff>
      <xdr:row>333</xdr:row>
      <xdr:rowOff>0</xdr:rowOff>
    </xdr:to>
    <xdr:graphicFrame macro="">
      <xdr:nvGraphicFramePr>
        <xdr:cNvPr id="60"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0</xdr:col>
      <xdr:colOff>0</xdr:colOff>
      <xdr:row>333</xdr:row>
      <xdr:rowOff>0</xdr:rowOff>
    </xdr:from>
    <xdr:to>
      <xdr:col>4</xdr:col>
      <xdr:colOff>771525</xdr:colOff>
      <xdr:row>333</xdr:row>
      <xdr:rowOff>0</xdr:rowOff>
    </xdr:to>
    <xdr:graphicFrame macro="">
      <xdr:nvGraphicFramePr>
        <xdr:cNvPr id="61" name="Chart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15</xdr:col>
      <xdr:colOff>485775</xdr:colOff>
      <xdr:row>35</xdr:row>
      <xdr:rowOff>0</xdr:rowOff>
    </xdr:from>
    <xdr:to>
      <xdr:col>15</xdr:col>
      <xdr:colOff>485775</xdr:colOff>
      <xdr:row>35</xdr:row>
      <xdr:rowOff>0</xdr:rowOff>
    </xdr:to>
    <xdr:graphicFrame macro="">
      <xdr:nvGraphicFramePr>
        <xdr:cNvPr id="443048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485775</xdr:colOff>
      <xdr:row>35</xdr:row>
      <xdr:rowOff>0</xdr:rowOff>
    </xdr:from>
    <xdr:to>
      <xdr:col>15</xdr:col>
      <xdr:colOff>485775</xdr:colOff>
      <xdr:row>35</xdr:row>
      <xdr:rowOff>0</xdr:rowOff>
    </xdr:to>
    <xdr:graphicFrame macro="">
      <xdr:nvGraphicFramePr>
        <xdr:cNvPr id="4430485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485775</xdr:colOff>
      <xdr:row>35</xdr:row>
      <xdr:rowOff>0</xdr:rowOff>
    </xdr:from>
    <xdr:to>
      <xdr:col>16</xdr:col>
      <xdr:colOff>485775</xdr:colOff>
      <xdr:row>35</xdr:row>
      <xdr:rowOff>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485775</xdr:colOff>
      <xdr:row>35</xdr:row>
      <xdr:rowOff>0</xdr:rowOff>
    </xdr:from>
    <xdr:to>
      <xdr:col>16</xdr:col>
      <xdr:colOff>485775</xdr:colOff>
      <xdr:row>35</xdr:row>
      <xdr:rowOff>0</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485775</xdr:colOff>
      <xdr:row>35</xdr:row>
      <xdr:rowOff>0</xdr:rowOff>
    </xdr:from>
    <xdr:to>
      <xdr:col>17</xdr:col>
      <xdr:colOff>485775</xdr:colOff>
      <xdr:row>35</xdr:row>
      <xdr:rowOff>0</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485775</xdr:colOff>
      <xdr:row>35</xdr:row>
      <xdr:rowOff>0</xdr:rowOff>
    </xdr:from>
    <xdr:to>
      <xdr:col>17</xdr:col>
      <xdr:colOff>485775</xdr:colOff>
      <xdr:row>35</xdr:row>
      <xdr:rowOff>0</xdr:rowOff>
    </xdr:to>
    <xdr:graphicFrame macro="">
      <xdr:nvGraphicFramePr>
        <xdr:cNvPr id="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485775</xdr:colOff>
      <xdr:row>35</xdr:row>
      <xdr:rowOff>0</xdr:rowOff>
    </xdr:from>
    <xdr:to>
      <xdr:col>17</xdr:col>
      <xdr:colOff>485775</xdr:colOff>
      <xdr:row>35</xdr:row>
      <xdr:rowOff>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485775</xdr:colOff>
      <xdr:row>35</xdr:row>
      <xdr:rowOff>0</xdr:rowOff>
    </xdr:from>
    <xdr:to>
      <xdr:col>17</xdr:col>
      <xdr:colOff>485775</xdr:colOff>
      <xdr:row>35</xdr:row>
      <xdr:rowOff>0</xdr:rowOff>
    </xdr:to>
    <xdr:graphicFrame macro="">
      <xdr:nvGraphicFramePr>
        <xdr:cNvPr id="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447675</xdr:colOff>
      <xdr:row>63</xdr:row>
      <xdr:rowOff>0</xdr:rowOff>
    </xdr:from>
    <xdr:to>
      <xdr:col>50</xdr:col>
      <xdr:colOff>685800</xdr:colOff>
      <xdr:row>63</xdr:row>
      <xdr:rowOff>0</xdr:rowOff>
    </xdr:to>
    <xdr:graphicFrame macro="">
      <xdr:nvGraphicFramePr>
        <xdr:cNvPr id="6097420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428625</xdr:colOff>
      <xdr:row>63</xdr:row>
      <xdr:rowOff>0</xdr:rowOff>
    </xdr:from>
    <xdr:to>
      <xdr:col>50</xdr:col>
      <xdr:colOff>695325</xdr:colOff>
      <xdr:row>63</xdr:row>
      <xdr:rowOff>0</xdr:rowOff>
    </xdr:to>
    <xdr:graphicFrame macro="">
      <xdr:nvGraphicFramePr>
        <xdr:cNvPr id="60974206"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104775</xdr:colOff>
      <xdr:row>49</xdr:row>
      <xdr:rowOff>57150</xdr:rowOff>
    </xdr:from>
    <xdr:to>
      <xdr:col>14</xdr:col>
      <xdr:colOff>561975</xdr:colOff>
      <xdr:row>71</xdr:row>
      <xdr:rowOff>28575</xdr:rowOff>
    </xdr:to>
    <xdr:graphicFrame macro="">
      <xdr:nvGraphicFramePr>
        <xdr:cNvPr id="6253641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142875</xdr:colOff>
      <xdr:row>74</xdr:row>
      <xdr:rowOff>66675</xdr:rowOff>
    </xdr:from>
    <xdr:to>
      <xdr:col>14</xdr:col>
      <xdr:colOff>561975</xdr:colOff>
      <xdr:row>96</xdr:row>
      <xdr:rowOff>38100</xdr:rowOff>
    </xdr:to>
    <xdr:graphicFrame macro="">
      <xdr:nvGraphicFramePr>
        <xdr:cNvPr id="6253641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142875</xdr:colOff>
      <xdr:row>99</xdr:row>
      <xdr:rowOff>66675</xdr:rowOff>
    </xdr:from>
    <xdr:to>
      <xdr:col>14</xdr:col>
      <xdr:colOff>561975</xdr:colOff>
      <xdr:row>121</xdr:row>
      <xdr:rowOff>38100</xdr:rowOff>
    </xdr:to>
    <xdr:graphicFrame macro="">
      <xdr:nvGraphicFramePr>
        <xdr:cNvPr id="6253641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161925</xdr:colOff>
      <xdr:row>122</xdr:row>
      <xdr:rowOff>47625</xdr:rowOff>
    </xdr:from>
    <xdr:to>
      <xdr:col>14</xdr:col>
      <xdr:colOff>552450</xdr:colOff>
      <xdr:row>142</xdr:row>
      <xdr:rowOff>152400</xdr:rowOff>
    </xdr:to>
    <xdr:graphicFrame macro="">
      <xdr:nvGraphicFramePr>
        <xdr:cNvPr id="6253642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104775</xdr:colOff>
      <xdr:row>172</xdr:row>
      <xdr:rowOff>57150</xdr:rowOff>
    </xdr:from>
    <xdr:to>
      <xdr:col>14</xdr:col>
      <xdr:colOff>561975</xdr:colOff>
      <xdr:row>194</xdr:row>
      <xdr:rowOff>28575</xdr:rowOff>
    </xdr:to>
    <xdr:graphicFrame macro="">
      <xdr:nvGraphicFramePr>
        <xdr:cNvPr id="6253642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142875</xdr:colOff>
      <xdr:row>196</xdr:row>
      <xdr:rowOff>66675</xdr:rowOff>
    </xdr:from>
    <xdr:to>
      <xdr:col>14</xdr:col>
      <xdr:colOff>561975</xdr:colOff>
      <xdr:row>218</xdr:row>
      <xdr:rowOff>38100</xdr:rowOff>
    </xdr:to>
    <xdr:graphicFrame macro="">
      <xdr:nvGraphicFramePr>
        <xdr:cNvPr id="62536422"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142875</xdr:colOff>
      <xdr:row>220</xdr:row>
      <xdr:rowOff>66675</xdr:rowOff>
    </xdr:from>
    <xdr:to>
      <xdr:col>14</xdr:col>
      <xdr:colOff>561975</xdr:colOff>
      <xdr:row>242</xdr:row>
      <xdr:rowOff>38100</xdr:rowOff>
    </xdr:to>
    <xdr:graphicFrame macro="">
      <xdr:nvGraphicFramePr>
        <xdr:cNvPr id="62536423"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161925</xdr:colOff>
      <xdr:row>243</xdr:row>
      <xdr:rowOff>47625</xdr:rowOff>
    </xdr:from>
    <xdr:to>
      <xdr:col>14</xdr:col>
      <xdr:colOff>552450</xdr:colOff>
      <xdr:row>263</xdr:row>
      <xdr:rowOff>152400</xdr:rowOff>
    </xdr:to>
    <xdr:graphicFrame macro="">
      <xdr:nvGraphicFramePr>
        <xdr:cNvPr id="62536424"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104775</xdr:colOff>
      <xdr:row>308</xdr:row>
      <xdr:rowOff>57150</xdr:rowOff>
    </xdr:from>
    <xdr:to>
      <xdr:col>14</xdr:col>
      <xdr:colOff>561975</xdr:colOff>
      <xdr:row>330</xdr:row>
      <xdr:rowOff>28575</xdr:rowOff>
    </xdr:to>
    <xdr:graphicFrame macro="">
      <xdr:nvGraphicFramePr>
        <xdr:cNvPr id="62536425"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142875</xdr:colOff>
      <xdr:row>332</xdr:row>
      <xdr:rowOff>66675</xdr:rowOff>
    </xdr:from>
    <xdr:to>
      <xdr:col>14</xdr:col>
      <xdr:colOff>561975</xdr:colOff>
      <xdr:row>354</xdr:row>
      <xdr:rowOff>38100</xdr:rowOff>
    </xdr:to>
    <xdr:graphicFrame macro="">
      <xdr:nvGraphicFramePr>
        <xdr:cNvPr id="625364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142875</xdr:colOff>
      <xdr:row>356</xdr:row>
      <xdr:rowOff>66675</xdr:rowOff>
    </xdr:from>
    <xdr:to>
      <xdr:col>14</xdr:col>
      <xdr:colOff>561975</xdr:colOff>
      <xdr:row>378</xdr:row>
      <xdr:rowOff>38100</xdr:rowOff>
    </xdr:to>
    <xdr:graphicFrame macro="">
      <xdr:nvGraphicFramePr>
        <xdr:cNvPr id="6253642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161925</xdr:colOff>
      <xdr:row>379</xdr:row>
      <xdr:rowOff>47625</xdr:rowOff>
    </xdr:from>
    <xdr:to>
      <xdr:col>14</xdr:col>
      <xdr:colOff>552450</xdr:colOff>
      <xdr:row>399</xdr:row>
      <xdr:rowOff>152400</xdr:rowOff>
    </xdr:to>
    <xdr:graphicFrame macro="">
      <xdr:nvGraphicFramePr>
        <xdr:cNvPr id="62536428"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104775</xdr:colOff>
      <xdr:row>434</xdr:row>
      <xdr:rowOff>57150</xdr:rowOff>
    </xdr:from>
    <xdr:to>
      <xdr:col>14</xdr:col>
      <xdr:colOff>561975</xdr:colOff>
      <xdr:row>456</xdr:row>
      <xdr:rowOff>28575</xdr:rowOff>
    </xdr:to>
    <xdr:graphicFrame macro="">
      <xdr:nvGraphicFramePr>
        <xdr:cNvPr id="62536429"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142875</xdr:colOff>
      <xdr:row>458</xdr:row>
      <xdr:rowOff>66675</xdr:rowOff>
    </xdr:from>
    <xdr:to>
      <xdr:col>14</xdr:col>
      <xdr:colOff>561975</xdr:colOff>
      <xdr:row>480</xdr:row>
      <xdr:rowOff>38100</xdr:rowOff>
    </xdr:to>
    <xdr:graphicFrame macro="">
      <xdr:nvGraphicFramePr>
        <xdr:cNvPr id="62536430"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xdr:col>
      <xdr:colOff>142875</xdr:colOff>
      <xdr:row>482</xdr:row>
      <xdr:rowOff>66675</xdr:rowOff>
    </xdr:from>
    <xdr:to>
      <xdr:col>14</xdr:col>
      <xdr:colOff>561975</xdr:colOff>
      <xdr:row>504</xdr:row>
      <xdr:rowOff>38100</xdr:rowOff>
    </xdr:to>
    <xdr:graphicFrame macro="">
      <xdr:nvGraphicFramePr>
        <xdr:cNvPr id="62536431"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161925</xdr:colOff>
      <xdr:row>505</xdr:row>
      <xdr:rowOff>47625</xdr:rowOff>
    </xdr:from>
    <xdr:to>
      <xdr:col>14</xdr:col>
      <xdr:colOff>552450</xdr:colOff>
      <xdr:row>525</xdr:row>
      <xdr:rowOff>152400</xdr:rowOff>
    </xdr:to>
    <xdr:graphicFrame macro="">
      <xdr:nvGraphicFramePr>
        <xdr:cNvPr id="62536432"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207</xdr:row>
      <xdr:rowOff>0</xdr:rowOff>
    </xdr:from>
    <xdr:to>
      <xdr:col>6</xdr:col>
      <xdr:colOff>733425</xdr:colOff>
      <xdr:row>207</xdr:row>
      <xdr:rowOff>0</xdr:rowOff>
    </xdr:to>
    <xdr:graphicFrame macro="">
      <xdr:nvGraphicFramePr>
        <xdr:cNvPr id="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207</xdr:row>
      <xdr:rowOff>0</xdr:rowOff>
    </xdr:from>
    <xdr:to>
      <xdr:col>6</xdr:col>
      <xdr:colOff>733425</xdr:colOff>
      <xdr:row>207</xdr:row>
      <xdr:rowOff>0</xdr:rowOff>
    </xdr:to>
    <xdr:graphicFrame macro="">
      <xdr:nvGraphicFramePr>
        <xdr:cNvPr id="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207</xdr:row>
      <xdr:rowOff>0</xdr:rowOff>
    </xdr:from>
    <xdr:to>
      <xdr:col>6</xdr:col>
      <xdr:colOff>714375</xdr:colOff>
      <xdr:row>207</xdr:row>
      <xdr:rowOff>0</xdr:rowOff>
    </xdr:to>
    <xdr:graphicFrame macro="">
      <xdr:nvGraphicFramePr>
        <xdr:cNvPr id="10"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207</xdr:row>
      <xdr:rowOff>0</xdr:rowOff>
    </xdr:from>
    <xdr:to>
      <xdr:col>6</xdr:col>
      <xdr:colOff>723900</xdr:colOff>
      <xdr:row>207</xdr:row>
      <xdr:rowOff>0</xdr:rowOff>
    </xdr:to>
    <xdr:graphicFrame macro="">
      <xdr:nvGraphicFramePr>
        <xdr:cNvPr id="1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207</xdr:row>
      <xdr:rowOff>0</xdr:rowOff>
    </xdr:from>
    <xdr:to>
      <xdr:col>6</xdr:col>
      <xdr:colOff>714375</xdr:colOff>
      <xdr:row>207</xdr:row>
      <xdr:rowOff>0</xdr:rowOff>
    </xdr:to>
    <xdr:graphicFrame macro="">
      <xdr:nvGraphicFramePr>
        <xdr:cNvPr id="1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207</xdr:row>
      <xdr:rowOff>0</xdr:rowOff>
    </xdr:from>
    <xdr:to>
      <xdr:col>6</xdr:col>
      <xdr:colOff>771525</xdr:colOff>
      <xdr:row>207</xdr:row>
      <xdr:rowOff>0</xdr:rowOff>
    </xdr:to>
    <xdr:graphicFrame macro="">
      <xdr:nvGraphicFramePr>
        <xdr:cNvPr id="13"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160</xdr:row>
      <xdr:rowOff>0</xdr:rowOff>
    </xdr:from>
    <xdr:to>
      <xdr:col>6</xdr:col>
      <xdr:colOff>733425</xdr:colOff>
      <xdr:row>160</xdr:row>
      <xdr:rowOff>0</xdr:rowOff>
    </xdr:to>
    <xdr:graphicFrame macro="">
      <xdr:nvGraphicFramePr>
        <xdr:cNvPr id="26"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160</xdr:row>
      <xdr:rowOff>0</xdr:rowOff>
    </xdr:from>
    <xdr:to>
      <xdr:col>6</xdr:col>
      <xdr:colOff>733425</xdr:colOff>
      <xdr:row>160</xdr:row>
      <xdr:rowOff>0</xdr:rowOff>
    </xdr:to>
    <xdr:graphicFrame macro="">
      <xdr:nvGraphicFramePr>
        <xdr:cNvPr id="27"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160</xdr:row>
      <xdr:rowOff>0</xdr:rowOff>
    </xdr:from>
    <xdr:to>
      <xdr:col>6</xdr:col>
      <xdr:colOff>714375</xdr:colOff>
      <xdr:row>160</xdr:row>
      <xdr:rowOff>0</xdr:rowOff>
    </xdr:to>
    <xdr:graphicFrame macro="">
      <xdr:nvGraphicFramePr>
        <xdr:cNvPr id="28"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160</xdr:row>
      <xdr:rowOff>0</xdr:rowOff>
    </xdr:from>
    <xdr:to>
      <xdr:col>6</xdr:col>
      <xdr:colOff>723900</xdr:colOff>
      <xdr:row>160</xdr:row>
      <xdr:rowOff>0</xdr:rowOff>
    </xdr:to>
    <xdr:graphicFrame macro="">
      <xdr:nvGraphicFramePr>
        <xdr:cNvPr id="29"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160</xdr:row>
      <xdr:rowOff>0</xdr:rowOff>
    </xdr:from>
    <xdr:to>
      <xdr:col>6</xdr:col>
      <xdr:colOff>714375</xdr:colOff>
      <xdr:row>160</xdr:row>
      <xdr:rowOff>0</xdr:rowOff>
    </xdr:to>
    <xdr:graphicFrame macro="">
      <xdr:nvGraphicFramePr>
        <xdr:cNvPr id="30"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160</xdr:row>
      <xdr:rowOff>0</xdr:rowOff>
    </xdr:from>
    <xdr:to>
      <xdr:col>6</xdr:col>
      <xdr:colOff>771525</xdr:colOff>
      <xdr:row>160</xdr:row>
      <xdr:rowOff>0</xdr:rowOff>
    </xdr:to>
    <xdr:graphicFrame macro="">
      <xdr:nvGraphicFramePr>
        <xdr:cNvPr id="31"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160</xdr:row>
      <xdr:rowOff>0</xdr:rowOff>
    </xdr:from>
    <xdr:to>
      <xdr:col>6</xdr:col>
      <xdr:colOff>733425</xdr:colOff>
      <xdr:row>160</xdr:row>
      <xdr:rowOff>0</xdr:rowOff>
    </xdr:to>
    <xdr:graphicFrame macro="">
      <xdr:nvGraphicFramePr>
        <xdr:cNvPr id="32"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160</xdr:row>
      <xdr:rowOff>0</xdr:rowOff>
    </xdr:from>
    <xdr:to>
      <xdr:col>6</xdr:col>
      <xdr:colOff>733425</xdr:colOff>
      <xdr:row>160</xdr:row>
      <xdr:rowOff>0</xdr:rowOff>
    </xdr:to>
    <xdr:graphicFrame macro="">
      <xdr:nvGraphicFramePr>
        <xdr:cNvPr id="33"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160</xdr:row>
      <xdr:rowOff>0</xdr:rowOff>
    </xdr:from>
    <xdr:to>
      <xdr:col>6</xdr:col>
      <xdr:colOff>714375</xdr:colOff>
      <xdr:row>160</xdr:row>
      <xdr:rowOff>0</xdr:rowOff>
    </xdr:to>
    <xdr:graphicFrame macro="">
      <xdr:nvGraphicFramePr>
        <xdr:cNvPr id="34"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160</xdr:row>
      <xdr:rowOff>0</xdr:rowOff>
    </xdr:from>
    <xdr:to>
      <xdr:col>6</xdr:col>
      <xdr:colOff>723900</xdr:colOff>
      <xdr:row>160</xdr:row>
      <xdr:rowOff>0</xdr:rowOff>
    </xdr:to>
    <xdr:graphicFrame macro="">
      <xdr:nvGraphicFramePr>
        <xdr:cNvPr id="35"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160</xdr:row>
      <xdr:rowOff>0</xdr:rowOff>
    </xdr:from>
    <xdr:to>
      <xdr:col>6</xdr:col>
      <xdr:colOff>714375</xdr:colOff>
      <xdr:row>160</xdr:row>
      <xdr:rowOff>0</xdr:rowOff>
    </xdr:to>
    <xdr:graphicFrame macro="">
      <xdr:nvGraphicFramePr>
        <xdr:cNvPr id="36"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160</xdr:row>
      <xdr:rowOff>0</xdr:rowOff>
    </xdr:from>
    <xdr:to>
      <xdr:col>6</xdr:col>
      <xdr:colOff>771525</xdr:colOff>
      <xdr:row>160</xdr:row>
      <xdr:rowOff>0</xdr:rowOff>
    </xdr:to>
    <xdr:graphicFrame macro="">
      <xdr:nvGraphicFramePr>
        <xdr:cNvPr id="37"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160</xdr:row>
      <xdr:rowOff>0</xdr:rowOff>
    </xdr:from>
    <xdr:to>
      <xdr:col>6</xdr:col>
      <xdr:colOff>733425</xdr:colOff>
      <xdr:row>160</xdr:row>
      <xdr:rowOff>0</xdr:rowOff>
    </xdr:to>
    <xdr:graphicFrame macro="">
      <xdr:nvGraphicFramePr>
        <xdr:cNvPr id="38"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160</xdr:row>
      <xdr:rowOff>0</xdr:rowOff>
    </xdr:from>
    <xdr:to>
      <xdr:col>6</xdr:col>
      <xdr:colOff>733425</xdr:colOff>
      <xdr:row>160</xdr:row>
      <xdr:rowOff>0</xdr:rowOff>
    </xdr:to>
    <xdr:graphicFrame macro="">
      <xdr:nvGraphicFramePr>
        <xdr:cNvPr id="39"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160</xdr:row>
      <xdr:rowOff>0</xdr:rowOff>
    </xdr:from>
    <xdr:to>
      <xdr:col>6</xdr:col>
      <xdr:colOff>714375</xdr:colOff>
      <xdr:row>160</xdr:row>
      <xdr:rowOff>0</xdr:rowOff>
    </xdr:to>
    <xdr:graphicFrame macro="">
      <xdr:nvGraphicFramePr>
        <xdr:cNvPr id="40"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160</xdr:row>
      <xdr:rowOff>0</xdr:rowOff>
    </xdr:from>
    <xdr:to>
      <xdr:col>6</xdr:col>
      <xdr:colOff>723900</xdr:colOff>
      <xdr:row>160</xdr:row>
      <xdr:rowOff>0</xdr:rowOff>
    </xdr:to>
    <xdr:graphicFrame macro="">
      <xdr:nvGraphicFramePr>
        <xdr:cNvPr id="41"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160</xdr:row>
      <xdr:rowOff>0</xdr:rowOff>
    </xdr:from>
    <xdr:to>
      <xdr:col>6</xdr:col>
      <xdr:colOff>714375</xdr:colOff>
      <xdr:row>160</xdr:row>
      <xdr:rowOff>0</xdr:rowOff>
    </xdr:to>
    <xdr:graphicFrame macro="">
      <xdr:nvGraphicFramePr>
        <xdr:cNvPr id="42"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160</xdr:row>
      <xdr:rowOff>0</xdr:rowOff>
    </xdr:from>
    <xdr:to>
      <xdr:col>6</xdr:col>
      <xdr:colOff>771525</xdr:colOff>
      <xdr:row>160</xdr:row>
      <xdr:rowOff>0</xdr:rowOff>
    </xdr:to>
    <xdr:graphicFrame macro="">
      <xdr:nvGraphicFramePr>
        <xdr:cNvPr id="43"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160</xdr:row>
      <xdr:rowOff>0</xdr:rowOff>
    </xdr:from>
    <xdr:to>
      <xdr:col>6</xdr:col>
      <xdr:colOff>733425</xdr:colOff>
      <xdr:row>160</xdr:row>
      <xdr:rowOff>0</xdr:rowOff>
    </xdr:to>
    <xdr:graphicFrame macro="">
      <xdr:nvGraphicFramePr>
        <xdr:cNvPr id="44"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160</xdr:row>
      <xdr:rowOff>0</xdr:rowOff>
    </xdr:from>
    <xdr:to>
      <xdr:col>6</xdr:col>
      <xdr:colOff>733425</xdr:colOff>
      <xdr:row>160</xdr:row>
      <xdr:rowOff>0</xdr:rowOff>
    </xdr:to>
    <xdr:graphicFrame macro="">
      <xdr:nvGraphicFramePr>
        <xdr:cNvPr id="45"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160</xdr:row>
      <xdr:rowOff>0</xdr:rowOff>
    </xdr:from>
    <xdr:to>
      <xdr:col>6</xdr:col>
      <xdr:colOff>714375</xdr:colOff>
      <xdr:row>160</xdr:row>
      <xdr:rowOff>0</xdr:rowOff>
    </xdr:to>
    <xdr:graphicFrame macro="">
      <xdr:nvGraphicFramePr>
        <xdr:cNvPr id="46"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160</xdr:row>
      <xdr:rowOff>0</xdr:rowOff>
    </xdr:from>
    <xdr:to>
      <xdr:col>6</xdr:col>
      <xdr:colOff>723900</xdr:colOff>
      <xdr:row>160</xdr:row>
      <xdr:rowOff>0</xdr:rowOff>
    </xdr:to>
    <xdr:graphicFrame macro="">
      <xdr:nvGraphicFramePr>
        <xdr:cNvPr id="47"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0</xdr:colOff>
      <xdr:row>160</xdr:row>
      <xdr:rowOff>0</xdr:rowOff>
    </xdr:from>
    <xdr:to>
      <xdr:col>6</xdr:col>
      <xdr:colOff>714375</xdr:colOff>
      <xdr:row>160</xdr:row>
      <xdr:rowOff>0</xdr:rowOff>
    </xdr:to>
    <xdr:graphicFrame macro="">
      <xdr:nvGraphicFramePr>
        <xdr:cNvPr id="48"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160</xdr:row>
      <xdr:rowOff>0</xdr:rowOff>
    </xdr:from>
    <xdr:to>
      <xdr:col>6</xdr:col>
      <xdr:colOff>771525</xdr:colOff>
      <xdr:row>160</xdr:row>
      <xdr:rowOff>0</xdr:rowOff>
    </xdr:to>
    <xdr:graphicFrame macro="">
      <xdr:nvGraphicFramePr>
        <xdr:cNvPr id="49"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160</xdr:row>
      <xdr:rowOff>0</xdr:rowOff>
    </xdr:from>
    <xdr:to>
      <xdr:col>6</xdr:col>
      <xdr:colOff>733425</xdr:colOff>
      <xdr:row>160</xdr:row>
      <xdr:rowOff>0</xdr:rowOff>
    </xdr:to>
    <xdr:graphicFrame macro="">
      <xdr:nvGraphicFramePr>
        <xdr:cNvPr id="50"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160</xdr:row>
      <xdr:rowOff>0</xdr:rowOff>
    </xdr:from>
    <xdr:to>
      <xdr:col>6</xdr:col>
      <xdr:colOff>733425</xdr:colOff>
      <xdr:row>160</xdr:row>
      <xdr:rowOff>0</xdr:rowOff>
    </xdr:to>
    <xdr:graphicFrame macro="">
      <xdr:nvGraphicFramePr>
        <xdr:cNvPr id="51"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160</xdr:row>
      <xdr:rowOff>0</xdr:rowOff>
    </xdr:from>
    <xdr:to>
      <xdr:col>6</xdr:col>
      <xdr:colOff>714375</xdr:colOff>
      <xdr:row>160</xdr:row>
      <xdr:rowOff>0</xdr:rowOff>
    </xdr:to>
    <xdr:graphicFrame macro="">
      <xdr:nvGraphicFramePr>
        <xdr:cNvPr id="52" name="Chart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0</xdr:colOff>
      <xdr:row>160</xdr:row>
      <xdr:rowOff>0</xdr:rowOff>
    </xdr:from>
    <xdr:to>
      <xdr:col>6</xdr:col>
      <xdr:colOff>723900</xdr:colOff>
      <xdr:row>160</xdr:row>
      <xdr:rowOff>0</xdr:rowOff>
    </xdr:to>
    <xdr:graphicFrame macro="">
      <xdr:nvGraphicFramePr>
        <xdr:cNvPr id="53"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160</xdr:row>
      <xdr:rowOff>0</xdr:rowOff>
    </xdr:from>
    <xdr:to>
      <xdr:col>6</xdr:col>
      <xdr:colOff>714375</xdr:colOff>
      <xdr:row>160</xdr:row>
      <xdr:rowOff>0</xdr:rowOff>
    </xdr:to>
    <xdr:graphicFrame macro="">
      <xdr:nvGraphicFramePr>
        <xdr:cNvPr id="54"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160</xdr:row>
      <xdr:rowOff>0</xdr:rowOff>
    </xdr:from>
    <xdr:to>
      <xdr:col>6</xdr:col>
      <xdr:colOff>771525</xdr:colOff>
      <xdr:row>160</xdr:row>
      <xdr:rowOff>0</xdr:rowOff>
    </xdr:to>
    <xdr:graphicFrame macro="">
      <xdr:nvGraphicFramePr>
        <xdr:cNvPr id="55"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160</xdr:row>
      <xdr:rowOff>0</xdr:rowOff>
    </xdr:from>
    <xdr:to>
      <xdr:col>6</xdr:col>
      <xdr:colOff>733425</xdr:colOff>
      <xdr:row>160</xdr:row>
      <xdr:rowOff>0</xdr:rowOff>
    </xdr:to>
    <xdr:graphicFrame macro="">
      <xdr:nvGraphicFramePr>
        <xdr:cNvPr id="56"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160</xdr:row>
      <xdr:rowOff>0</xdr:rowOff>
    </xdr:from>
    <xdr:to>
      <xdr:col>6</xdr:col>
      <xdr:colOff>733425</xdr:colOff>
      <xdr:row>160</xdr:row>
      <xdr:rowOff>0</xdr:rowOff>
    </xdr:to>
    <xdr:graphicFrame macro="">
      <xdr:nvGraphicFramePr>
        <xdr:cNvPr id="57"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0</xdr:colOff>
      <xdr:row>160</xdr:row>
      <xdr:rowOff>0</xdr:rowOff>
    </xdr:from>
    <xdr:to>
      <xdr:col>6</xdr:col>
      <xdr:colOff>714375</xdr:colOff>
      <xdr:row>160</xdr:row>
      <xdr:rowOff>0</xdr:rowOff>
    </xdr:to>
    <xdr:graphicFrame macro="">
      <xdr:nvGraphicFramePr>
        <xdr:cNvPr id="58" name="Chart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0</xdr:colOff>
      <xdr:row>160</xdr:row>
      <xdr:rowOff>0</xdr:rowOff>
    </xdr:from>
    <xdr:to>
      <xdr:col>6</xdr:col>
      <xdr:colOff>723900</xdr:colOff>
      <xdr:row>160</xdr:row>
      <xdr:rowOff>0</xdr:rowOff>
    </xdr:to>
    <xdr:graphicFrame macro="">
      <xdr:nvGraphicFramePr>
        <xdr:cNvPr id="59" name="Chart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0</xdr:colOff>
      <xdr:row>160</xdr:row>
      <xdr:rowOff>0</xdr:rowOff>
    </xdr:from>
    <xdr:to>
      <xdr:col>6</xdr:col>
      <xdr:colOff>714375</xdr:colOff>
      <xdr:row>160</xdr:row>
      <xdr:rowOff>0</xdr:rowOff>
    </xdr:to>
    <xdr:graphicFrame macro="">
      <xdr:nvGraphicFramePr>
        <xdr:cNvPr id="60"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0</xdr:colOff>
      <xdr:row>160</xdr:row>
      <xdr:rowOff>0</xdr:rowOff>
    </xdr:from>
    <xdr:to>
      <xdr:col>6</xdr:col>
      <xdr:colOff>771525</xdr:colOff>
      <xdr:row>160</xdr:row>
      <xdr:rowOff>0</xdr:rowOff>
    </xdr:to>
    <xdr:graphicFrame macro="">
      <xdr:nvGraphicFramePr>
        <xdr:cNvPr id="61" name="Chart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WRKS/TEMP/1494642/Cap%20&amp;%20Res%20DataEntry09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hickey/AppData/Local/Hewlett-Packard/HP%20TRIM/TEMP/HPTRIM.1436/16%2098278%20%202016%2017%20-%20Long%20Term%20Financial%20Plan%20(LTFP)%20-%20(Budget)%20-%20(Excel)-%20Second%20version%20after%20~%20plus%20actual%20results%20for%202015%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eserves"/>
      <sheetName val="Sec 94Inc-Res"/>
      <sheetName val="Capital Grants &amp; Exp"/>
      <sheetName val="Loans"/>
    </sheetNames>
    <sheetDataSet>
      <sheetData sheetId="0" refreshError="1"/>
      <sheetData sheetId="1" refreshError="1"/>
      <sheetData sheetId="2" refreshError="1"/>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sheetName val="Assumptions"/>
      <sheetName val="LTFP"/>
      <sheetName val="BS&amp;Ratios"/>
      <sheetName val="SP"/>
      <sheetName val="DEH"/>
      <sheetName val="CIV"/>
      <sheetName val="GM"/>
      <sheetName val="W&amp;W"/>
      <sheetName val="Cash-Gen"/>
      <sheetName val="Chart1"/>
      <sheetName val="Cap-Gen"/>
      <sheetName val="Cap Inc"/>
      <sheetName val="Res-Gen"/>
      <sheetName val="Res-Bal"/>
      <sheetName val="Res Jnls 1617 Budget"/>
      <sheetName val="Debt-Gen"/>
      <sheetName val="Sec 94"/>
      <sheetName val="Chart"/>
      <sheetName val="Cap-Water"/>
      <sheetName val="Cap-WW"/>
      <sheetName val="Cash-W"/>
      <sheetName val="Cash-WW"/>
      <sheetName val="Debt-Water"/>
      <sheetName val="Debt-WW"/>
      <sheetName val="Salaries"/>
      <sheetName val="NEWLOG"/>
      <sheetName val="Recs"/>
      <sheetName val="Summaries"/>
      <sheetName val="Overheads"/>
      <sheetName val="Res Jnls 1516 Budget"/>
      <sheetName val="LTFP to AMPs"/>
      <sheetName val="Sec 94 Roads"/>
      <sheetName val="Internals"/>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refreshError="1"/>
      <sheetData sheetId="19"/>
      <sheetData sheetId="20">
        <row r="136">
          <cell r="F136">
            <v>8112100</v>
          </cell>
          <cell r="G136">
            <v>4320400</v>
          </cell>
          <cell r="W136">
            <v>0</v>
          </cell>
          <cell r="X136">
            <v>0</v>
          </cell>
          <cell r="Y136">
            <v>0</v>
          </cell>
        </row>
        <row r="147">
          <cell r="G147">
            <v>0</v>
          </cell>
        </row>
      </sheetData>
      <sheetData sheetId="21"/>
      <sheetData sheetId="22">
        <row r="18">
          <cell r="A18">
            <v>1351900</v>
          </cell>
        </row>
      </sheetData>
      <sheetData sheetId="23"/>
      <sheetData sheetId="24"/>
      <sheetData sheetId="25"/>
      <sheetData sheetId="26"/>
      <sheetData sheetId="27"/>
      <sheetData sheetId="28"/>
      <sheetData sheetId="29"/>
      <sheetData sheetId="30"/>
      <sheetData sheetId="31"/>
      <sheetData sheetId="32"/>
      <sheetData sheetId="3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4.xml"/><Relationship Id="rId1" Type="http://schemas.openxmlformats.org/officeDocument/2006/relationships/printerSettings" Target="../printerSettings/printerSettings28.bin"/><Relationship Id="rId4" Type="http://schemas.openxmlformats.org/officeDocument/2006/relationships/comments" Target="../comments21.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Q304"/>
  <sheetViews>
    <sheetView workbookViewId="0">
      <pane ySplit="2" topLeftCell="A264" activePane="bottomLeft" state="frozen"/>
      <selection pane="bottomLeft" activeCell="G181" sqref="G181"/>
    </sheetView>
  </sheetViews>
  <sheetFormatPr defaultColWidth="9.140625" defaultRowHeight="12.75" outlineLevelCol="1" x14ac:dyDescent="0.2"/>
  <cols>
    <col min="1" max="1" width="11.42578125" style="63" customWidth="1" outlineLevel="1"/>
    <col min="2" max="2" width="12.28515625" style="1015" bestFit="1" customWidth="1" outlineLevel="1"/>
    <col min="3" max="3" width="11.28515625" style="1016" customWidth="1" outlineLevel="1"/>
    <col min="4" max="4" width="20" style="63" customWidth="1"/>
    <col min="5" max="5" width="15.5703125" style="63" customWidth="1"/>
    <col min="6" max="6" width="12.28515625" style="1015" bestFit="1" customWidth="1" outlineLevel="1"/>
    <col min="7" max="7" width="11.28515625" style="1015" customWidth="1"/>
    <col min="8" max="8" width="12.42578125" style="1015" customWidth="1"/>
    <col min="9" max="9" width="12.7109375" style="1015" customWidth="1"/>
    <col min="10" max="12" width="13.42578125" style="1015" customWidth="1"/>
    <col min="13" max="16" width="11.28515625" style="1015" customWidth="1"/>
    <col min="17" max="17" width="12.7109375" style="63" bestFit="1" customWidth="1"/>
    <col min="18" max="19" width="11.28515625" style="63" customWidth="1"/>
    <col min="20" max="16384" width="9.140625" style="63"/>
  </cols>
  <sheetData>
    <row r="1" spans="1:17" s="44" customFormat="1" ht="14.25" thickTop="1" thickBot="1" x14ac:dyDescent="0.25">
      <c r="A1" s="2831" t="s">
        <v>1856</v>
      </c>
      <c r="B1" s="2832"/>
      <c r="C1" s="2833"/>
      <c r="D1" s="2440" t="s">
        <v>4575</v>
      </c>
      <c r="E1" s="2098"/>
      <c r="F1" s="2834" t="s">
        <v>2253</v>
      </c>
      <c r="G1" s="2832"/>
      <c r="H1" s="2832"/>
      <c r="I1" s="2832"/>
      <c r="J1" s="2832"/>
      <c r="K1" s="2832"/>
      <c r="L1" s="2832"/>
      <c r="M1" s="2832"/>
      <c r="N1" s="2832"/>
      <c r="O1" s="2832"/>
      <c r="P1" s="2835"/>
    </row>
    <row r="2" spans="1:17" s="23" customFormat="1" ht="13.5" thickBot="1" x14ac:dyDescent="0.25">
      <c r="A2" s="2099" t="str">
        <f>SP!B3</f>
        <v>2013/14</v>
      </c>
      <c r="B2" s="232" t="str">
        <f>SP!C3</f>
        <v>2014/15</v>
      </c>
      <c r="C2" s="327" t="str">
        <f>SP!D3</f>
        <v>2015/16</v>
      </c>
      <c r="D2" s="29"/>
      <c r="E2" s="29"/>
      <c r="F2" s="327" t="str">
        <f>SP!G3</f>
        <v>2016/17</v>
      </c>
      <c r="G2" s="327" t="str">
        <f>SP!I3</f>
        <v>2017/18</v>
      </c>
      <c r="H2" s="327" t="str">
        <f>SP!J3</f>
        <v>2018/19</v>
      </c>
      <c r="I2" s="327" t="str">
        <f>SP!K3</f>
        <v>2019/20</v>
      </c>
      <c r="J2" s="327" t="str">
        <f>SP!L3</f>
        <v>2020/21</v>
      </c>
      <c r="K2" s="327" t="str">
        <f>SP!M3</f>
        <v>2021/22</v>
      </c>
      <c r="L2" s="327" t="str">
        <f>SP!N3</f>
        <v>2022/23</v>
      </c>
      <c r="M2" s="327" t="str">
        <f>SP!O3</f>
        <v>2023/24</v>
      </c>
      <c r="N2" s="327" t="str">
        <f>SP!P3</f>
        <v>2024/25</v>
      </c>
      <c r="O2" s="327" t="str">
        <f>SP!Q3</f>
        <v>2025/26</v>
      </c>
      <c r="P2" s="2100" t="str">
        <f>SP!R3</f>
        <v>2026/27</v>
      </c>
    </row>
    <row r="3" spans="1:17" s="23" customFormat="1" x14ac:dyDescent="0.2">
      <c r="A3" s="2101"/>
      <c r="B3" s="19"/>
      <c r="C3" s="19"/>
      <c r="D3" s="51"/>
      <c r="E3" s="20"/>
      <c r="F3" s="254"/>
      <c r="G3" s="648"/>
      <c r="H3" s="19"/>
      <c r="I3" s="19"/>
      <c r="J3" s="19"/>
      <c r="K3" s="19"/>
      <c r="L3" s="19"/>
      <c r="M3" s="19"/>
      <c r="N3" s="19"/>
      <c r="O3" s="19"/>
      <c r="P3" s="2102"/>
    </row>
    <row r="4" spans="1:17" x14ac:dyDescent="0.2">
      <c r="A4" s="2103"/>
      <c r="B4" s="1014"/>
      <c r="C4" s="1014"/>
      <c r="D4" s="58" t="s">
        <v>1776</v>
      </c>
      <c r="E4" s="234"/>
      <c r="F4" s="1014"/>
      <c r="G4" s="1013"/>
      <c r="H4" s="1013"/>
      <c r="I4" s="1013"/>
      <c r="J4" s="1013"/>
      <c r="K4" s="1013"/>
      <c r="L4" s="1013"/>
      <c r="M4" s="1014"/>
      <c r="N4" s="1014"/>
      <c r="O4" s="1014"/>
      <c r="P4" s="2104"/>
    </row>
    <row r="5" spans="1:17" x14ac:dyDescent="0.2">
      <c r="A5" s="2105">
        <f>-ROUND(GM!B1221,-2)</f>
        <v>1384100</v>
      </c>
      <c r="B5" s="925">
        <f>-GM!C1221</f>
        <v>879400</v>
      </c>
      <c r="C5" s="925">
        <f>-GM!D1221</f>
        <v>942200</v>
      </c>
      <c r="D5" s="78" t="s">
        <v>475</v>
      </c>
      <c r="E5" s="234"/>
      <c r="F5" s="925">
        <f>-GM!G1221</f>
        <v>1024000</v>
      </c>
      <c r="G5" s="925">
        <f>-GM!I1221</f>
        <v>1110200</v>
      </c>
      <c r="H5" s="925">
        <f>-GM!J1221</f>
        <v>1143500</v>
      </c>
      <c r="I5" s="925">
        <f>-GM!K1221</f>
        <v>1177800</v>
      </c>
      <c r="J5" s="925">
        <f>-GM!L1221</f>
        <v>1201400</v>
      </c>
      <c r="K5" s="925">
        <f>-GM!M1221</f>
        <v>1225600</v>
      </c>
      <c r="L5" s="925">
        <f>-GM!N1221</f>
        <v>1250300</v>
      </c>
      <c r="M5" s="925">
        <f>-GM!O1221</f>
        <v>1275400</v>
      </c>
      <c r="N5" s="925">
        <f>-GM!P1221</f>
        <v>1301000</v>
      </c>
      <c r="O5" s="925">
        <f>-GM!Q1221</f>
        <v>1327200</v>
      </c>
      <c r="P5" s="927">
        <f>-GM!R1221</f>
        <v>1353800</v>
      </c>
      <c r="Q5" s="87"/>
    </row>
    <row r="6" spans="1:17" x14ac:dyDescent="0.2">
      <c r="A6" s="2105">
        <f>ROUND(DEH!B485,-2)</f>
        <v>9800</v>
      </c>
      <c r="B6" s="925">
        <f>DEH!C485</f>
        <v>4400</v>
      </c>
      <c r="C6" s="925">
        <f>DEH!D485</f>
        <v>4500</v>
      </c>
      <c r="D6" s="78" t="s">
        <v>3667</v>
      </c>
      <c r="E6" s="234"/>
      <c r="F6" s="925">
        <f>DEH!G485</f>
        <v>4400</v>
      </c>
      <c r="G6" s="926">
        <f>DEH!I485</f>
        <v>4500</v>
      </c>
      <c r="H6" s="926">
        <f>DEH!J485</f>
        <v>4600</v>
      </c>
      <c r="I6" s="926">
        <f>DEH!K485</f>
        <v>4700</v>
      </c>
      <c r="J6" s="926">
        <f>DEH!L485</f>
        <v>4800</v>
      </c>
      <c r="K6" s="926">
        <f>DEH!M485</f>
        <v>4900</v>
      </c>
      <c r="L6" s="926">
        <f>DEH!N485</f>
        <v>5000</v>
      </c>
      <c r="M6" s="925">
        <f>DEH!O485</f>
        <v>5100</v>
      </c>
      <c r="N6" s="925">
        <f>DEH!P485</f>
        <v>5300</v>
      </c>
      <c r="O6" s="925">
        <f>DEH!Q485</f>
        <v>5500</v>
      </c>
      <c r="P6" s="927">
        <f>DEH!R485</f>
        <v>5700</v>
      </c>
      <c r="Q6" s="87"/>
    </row>
    <row r="7" spans="1:17" x14ac:dyDescent="0.2">
      <c r="A7" s="2105">
        <f>ROUND(CIV!B2073,-2)</f>
        <v>13367400</v>
      </c>
      <c r="B7" s="925">
        <f>CIV!C2073</f>
        <v>12100500</v>
      </c>
      <c r="C7" s="925">
        <f>CIV!D2073</f>
        <v>12031000</v>
      </c>
      <c r="D7" s="78" t="s">
        <v>303</v>
      </c>
      <c r="E7" s="234"/>
      <c r="F7" s="925">
        <f>CIV!G2073</f>
        <v>10787000</v>
      </c>
      <c r="G7" s="926">
        <f>CIV!I2073</f>
        <v>11003200</v>
      </c>
      <c r="H7" s="926">
        <f>CIV!J2073</f>
        <v>11224400</v>
      </c>
      <c r="I7" s="926">
        <f>CIV!K2073</f>
        <v>11449700</v>
      </c>
      <c r="J7" s="926">
        <f>CIV!L2073</f>
        <v>11679500</v>
      </c>
      <c r="K7" s="926">
        <f>CIV!M2073</f>
        <v>11913900</v>
      </c>
      <c r="L7" s="926">
        <f>CIV!N2073</f>
        <v>12153100</v>
      </c>
      <c r="M7" s="925">
        <f>CIV!O2073</f>
        <v>12397000</v>
      </c>
      <c r="N7" s="925">
        <f>CIV!P2073</f>
        <v>12645800</v>
      </c>
      <c r="O7" s="925">
        <f>CIV!Q2073</f>
        <v>12899600</v>
      </c>
      <c r="P7" s="927">
        <f>CIV!R2073</f>
        <v>13158400</v>
      </c>
      <c r="Q7" s="87"/>
    </row>
    <row r="8" spans="1:17" x14ac:dyDescent="0.2">
      <c r="A8" s="2105">
        <f>ROUND(SP!B978,-2)</f>
        <v>1104400</v>
      </c>
      <c r="B8" s="925">
        <f>SP!C978</f>
        <v>1160000</v>
      </c>
      <c r="C8" s="925">
        <f>SP!D978</f>
        <v>1189100</v>
      </c>
      <c r="D8" s="78" t="s">
        <v>3668</v>
      </c>
      <c r="E8" s="234"/>
      <c r="F8" s="925">
        <f>SP!G978</f>
        <v>1241000</v>
      </c>
      <c r="G8" s="926">
        <f>SP!I978</f>
        <v>1266000</v>
      </c>
      <c r="H8" s="926">
        <f>SP!J978</f>
        <v>1331800</v>
      </c>
      <c r="I8" s="926">
        <f>SP!K978</f>
        <v>1438900</v>
      </c>
      <c r="J8" s="926">
        <f>SP!L978</f>
        <v>1468000</v>
      </c>
      <c r="K8" s="926">
        <f>SP!M978</f>
        <v>1497700</v>
      </c>
      <c r="L8" s="926">
        <f>SP!N978</f>
        <v>1528000</v>
      </c>
      <c r="M8" s="925">
        <f>SP!O978</f>
        <v>1558900</v>
      </c>
      <c r="N8" s="925">
        <f>SP!P978</f>
        <v>1590400</v>
      </c>
      <c r="O8" s="925">
        <f>SP!Q978</f>
        <v>1622500</v>
      </c>
      <c r="P8" s="927">
        <f>SP!R978</f>
        <v>1655300</v>
      </c>
      <c r="Q8" s="87"/>
    </row>
    <row r="9" spans="1:17" s="40" customFormat="1" x14ac:dyDescent="0.2">
      <c r="A9" s="292">
        <f>ROUND(-'Cash-Gen'!A64,-2)</f>
        <v>-15865700</v>
      </c>
      <c r="B9" s="1049">
        <f>-'Cash-Gen'!B64</f>
        <v>-14144300</v>
      </c>
      <c r="C9" s="1049">
        <f>-'Cash-Gen'!C64</f>
        <v>-14166800</v>
      </c>
      <c r="D9" s="145" t="s">
        <v>697</v>
      </c>
      <c r="E9" s="160"/>
      <c r="F9" s="1049">
        <f>-'Cash-Gen'!E64</f>
        <v>-13056400</v>
      </c>
      <c r="G9" s="1050">
        <f>-'Cash-Gen'!F64</f>
        <v>-13383900</v>
      </c>
      <c r="H9" s="1050">
        <f>-'Cash-Gen'!G64</f>
        <v>-13704300</v>
      </c>
      <c r="I9" s="1050">
        <f>-'Cash-Gen'!H64</f>
        <v>-14071100</v>
      </c>
      <c r="J9" s="1050">
        <f>-'Cash-Gen'!I64</f>
        <v>-14353700</v>
      </c>
      <c r="K9" s="1050">
        <f>-'Cash-Gen'!J64</f>
        <v>-14642100</v>
      </c>
      <c r="L9" s="1050">
        <f>-'Cash-Gen'!K64</f>
        <v>-14936400</v>
      </c>
      <c r="M9" s="1049">
        <f>-'Cash-Gen'!L64</f>
        <v>-15236400</v>
      </c>
      <c r="N9" s="1049">
        <f>-'Cash-Gen'!M64</f>
        <v>-15542500</v>
      </c>
      <c r="O9" s="1049">
        <f>-'Cash-Gen'!N64</f>
        <v>-15854800</v>
      </c>
      <c r="P9" s="1051">
        <f>-'Cash-Gen'!O64</f>
        <v>-16173200</v>
      </c>
      <c r="Q9" s="118"/>
    </row>
    <row r="10" spans="1:17" s="40" customFormat="1" x14ac:dyDescent="0.2">
      <c r="A10" s="2106">
        <f>ROUND(SUM(A5:A9),-3)</f>
        <v>0</v>
      </c>
      <c r="B10" s="1052">
        <f>SUM(B5:B9)</f>
        <v>0</v>
      </c>
      <c r="C10" s="1052">
        <f>ROUND(SUM(C5:C9),-3)</f>
        <v>0</v>
      </c>
      <c r="D10" s="145" t="s">
        <v>1189</v>
      </c>
      <c r="E10" s="160"/>
      <c r="F10" s="1052">
        <f>ROUND(SUM(F5:F9),-3)</f>
        <v>0</v>
      </c>
      <c r="G10" s="1053">
        <f>ROUND(SUM(G5:G9),-3)</f>
        <v>0</v>
      </c>
      <c r="H10" s="1053">
        <f>ROUND(SUM(H5:H9),-3)</f>
        <v>0</v>
      </c>
      <c r="I10" s="1053">
        <f>ROUND(SUM(I5:I9),-3)</f>
        <v>0</v>
      </c>
      <c r="J10" s="1053">
        <f>ROUND(SUM(J5:J9),-2)</f>
        <v>0</v>
      </c>
      <c r="K10" s="1053">
        <f t="shared" ref="K10:P10" si="0">ROUND(SUM(K5:K9),-3)</f>
        <v>0</v>
      </c>
      <c r="L10" s="1053">
        <f t="shared" si="0"/>
        <v>0</v>
      </c>
      <c r="M10" s="1052">
        <f t="shared" si="0"/>
        <v>0</v>
      </c>
      <c r="N10" s="1052">
        <f t="shared" si="0"/>
        <v>0</v>
      </c>
      <c r="O10" s="1052">
        <f t="shared" si="0"/>
        <v>0</v>
      </c>
      <c r="P10" s="2107">
        <f t="shared" si="0"/>
        <v>0</v>
      </c>
      <c r="Q10" s="118"/>
    </row>
    <row r="11" spans="1:17" x14ac:dyDescent="0.2">
      <c r="A11" s="2105"/>
      <c r="B11" s="925"/>
      <c r="C11" s="925"/>
      <c r="D11" s="78"/>
      <c r="E11" s="234"/>
      <c r="F11" s="925"/>
      <c r="G11" s="926"/>
      <c r="H11" s="926"/>
      <c r="I11" s="926"/>
      <c r="J11" s="926"/>
      <c r="K11" s="926"/>
      <c r="L11" s="926"/>
      <c r="M11" s="925"/>
      <c r="N11" s="925"/>
      <c r="O11" s="925"/>
      <c r="P11" s="927"/>
      <c r="Q11" s="87"/>
    </row>
    <row r="12" spans="1:17" x14ac:dyDescent="0.2">
      <c r="A12" s="2103"/>
      <c r="B12" s="1054"/>
      <c r="C12" s="1054"/>
      <c r="D12" s="83" t="s">
        <v>2249</v>
      </c>
      <c r="E12" s="233"/>
      <c r="F12" s="1054"/>
      <c r="G12" s="1055"/>
      <c r="H12" s="1055"/>
      <c r="I12" s="1055"/>
      <c r="J12" s="1055"/>
      <c r="K12" s="1055"/>
      <c r="L12" s="1055"/>
      <c r="M12" s="1054"/>
      <c r="N12" s="1054"/>
      <c r="O12" s="1054"/>
      <c r="P12" s="2108"/>
    </row>
    <row r="13" spans="1:17" x14ac:dyDescent="0.2">
      <c r="A13" s="2105">
        <f>GM!B40</f>
        <v>17751400</v>
      </c>
      <c r="B13" s="925">
        <f>GM!C40</f>
        <v>23666000</v>
      </c>
      <c r="C13" s="925">
        <f>GM!D40</f>
        <v>23422100</v>
      </c>
      <c r="D13" s="78" t="str">
        <f>D5</f>
        <v>General Manager's Group</v>
      </c>
      <c r="E13" s="234"/>
      <c r="F13" s="925">
        <f>GM!G40</f>
        <v>25077500</v>
      </c>
      <c r="G13" s="926">
        <f>GM!I40</f>
        <v>27395800</v>
      </c>
      <c r="H13" s="926">
        <f>GM!J40</f>
        <v>28752300</v>
      </c>
      <c r="I13" s="926">
        <f>GM!K40</f>
        <v>30518700</v>
      </c>
      <c r="J13" s="926">
        <f>GM!L40</f>
        <v>31084900</v>
      </c>
      <c r="K13" s="926">
        <f>GM!M40</f>
        <v>32263700</v>
      </c>
      <c r="L13" s="926">
        <f>GM!N40</f>
        <v>33203300</v>
      </c>
      <c r="M13" s="925">
        <f>GM!O40</f>
        <v>34207100</v>
      </c>
      <c r="N13" s="925">
        <f>GM!P40</f>
        <v>34717100</v>
      </c>
      <c r="O13" s="925">
        <f>GM!Q40</f>
        <v>35958900</v>
      </c>
      <c r="P13" s="927">
        <f>GM!R40</f>
        <v>36922600</v>
      </c>
      <c r="Q13" s="87"/>
    </row>
    <row r="14" spans="1:17" x14ac:dyDescent="0.2">
      <c r="A14" s="2105">
        <f>DEH!B30</f>
        <v>-1955100</v>
      </c>
      <c r="B14" s="925">
        <f>DEH!C30</f>
        <v>-1453500</v>
      </c>
      <c r="C14" s="925">
        <f>DEH!D30</f>
        <v>-1356300</v>
      </c>
      <c r="D14" s="78" t="str">
        <f>D6</f>
        <v>Development &amp; Envi Health Group</v>
      </c>
      <c r="E14" s="234"/>
      <c r="F14" s="925">
        <f>DEH!G30</f>
        <v>-1764000</v>
      </c>
      <c r="G14" s="926">
        <f>DEH!I30</f>
        <v>-2240600</v>
      </c>
      <c r="H14" s="926">
        <f>DEH!J30</f>
        <v>-2293600</v>
      </c>
      <c r="I14" s="926">
        <f>DEH!K30</f>
        <v>-2345600</v>
      </c>
      <c r="J14" s="926">
        <f>DEH!L30</f>
        <v>-2399000</v>
      </c>
      <c r="K14" s="926">
        <f>DEH!M30</f>
        <v>-2465500</v>
      </c>
      <c r="L14" s="926">
        <f>DEH!N30</f>
        <v>-2533300</v>
      </c>
      <c r="M14" s="925">
        <f>DEH!O30</f>
        <v>-2603000</v>
      </c>
      <c r="N14" s="925">
        <f>DEH!P30</f>
        <v>-2674600</v>
      </c>
      <c r="O14" s="925">
        <f>DEH!Q30</f>
        <v>-2748000</v>
      </c>
      <c r="P14" s="927">
        <f>DEH!R30</f>
        <v>-2824100</v>
      </c>
      <c r="Q14" s="87"/>
    </row>
    <row r="15" spans="1:17" x14ac:dyDescent="0.2">
      <c r="A15" s="2105">
        <f>CIV!B51</f>
        <v>-21551800</v>
      </c>
      <c r="B15" s="925">
        <f>CIV!C51</f>
        <v>-22259000</v>
      </c>
      <c r="C15" s="925">
        <f>CIV!D51</f>
        <v>-20346900</v>
      </c>
      <c r="D15" s="78" t="str">
        <f>D7</f>
        <v>Civil Services</v>
      </c>
      <c r="E15" s="234"/>
      <c r="F15" s="925">
        <f>CIV!G51</f>
        <v>-17623700</v>
      </c>
      <c r="G15" s="926">
        <f>CIV!I51</f>
        <v>-19543900</v>
      </c>
      <c r="H15" s="926">
        <f>CIV!J51</f>
        <v>-19938100</v>
      </c>
      <c r="I15" s="926">
        <f>CIV!K51</f>
        <v>-20576000</v>
      </c>
      <c r="J15" s="926">
        <f>CIV!L51</f>
        <v>-20851400</v>
      </c>
      <c r="K15" s="926">
        <f>CIV!M51</f>
        <v>-21677800</v>
      </c>
      <c r="L15" s="926">
        <f>CIV!N51</f>
        <v>-21905300</v>
      </c>
      <c r="M15" s="925">
        <f>CIV!O51</f>
        <v>-22356600</v>
      </c>
      <c r="N15" s="925">
        <f>CIV!P51</f>
        <v>-22633400</v>
      </c>
      <c r="O15" s="925">
        <f>CIV!Q51</f>
        <v>-23098400</v>
      </c>
      <c r="P15" s="927">
        <f>CIV!R51</f>
        <v>-23354000</v>
      </c>
      <c r="Q15" s="87"/>
    </row>
    <row r="16" spans="1:17" x14ac:dyDescent="0.2">
      <c r="A16" s="2105">
        <f>SP!B36</f>
        <v>-4793100</v>
      </c>
      <c r="B16" s="925">
        <f>SP!C36</f>
        <v>-5082800</v>
      </c>
      <c r="C16" s="925">
        <f>SP!D36</f>
        <v>-5323800</v>
      </c>
      <c r="D16" s="78" t="str">
        <f>D8</f>
        <v>Strategic &amp; Comm Facs Group</v>
      </c>
      <c r="E16" s="234"/>
      <c r="F16" s="925">
        <f>SP!G36</f>
        <v>-6053300</v>
      </c>
      <c r="G16" s="926">
        <f>SP!I36</f>
        <v>-6146200</v>
      </c>
      <c r="H16" s="926">
        <f>SP!J36</f>
        <v>-6333400</v>
      </c>
      <c r="I16" s="926">
        <f>SP!K36</f>
        <v>-6859600</v>
      </c>
      <c r="J16" s="926">
        <f>SP!L36</f>
        <v>-6863400</v>
      </c>
      <c r="K16" s="926">
        <f>SP!M36</f>
        <v>-7023400</v>
      </c>
      <c r="L16" s="926">
        <f>SP!N36</f>
        <v>-7167800</v>
      </c>
      <c r="M16" s="925">
        <f>SP!O36</f>
        <v>-7241000</v>
      </c>
      <c r="N16" s="925">
        <f>SP!P36</f>
        <v>-7312600</v>
      </c>
      <c r="O16" s="925">
        <f>SP!Q36</f>
        <v>-7385800</v>
      </c>
      <c r="P16" s="927">
        <f>SP!R36</f>
        <v>-7458900</v>
      </c>
      <c r="Q16" s="87"/>
    </row>
    <row r="17" spans="1:17" s="40" customFormat="1" x14ac:dyDescent="0.2">
      <c r="A17" s="292">
        <f>-'Cash-Gen'!A52</f>
        <v>10548600</v>
      </c>
      <c r="B17" s="1049">
        <f>-'Cash-Gen'!B52</f>
        <v>5129300</v>
      </c>
      <c r="C17" s="1049">
        <f>-'Cash-Gen'!C52</f>
        <v>3604900</v>
      </c>
      <c r="D17" s="145" t="s">
        <v>697</v>
      </c>
      <c r="E17" s="160"/>
      <c r="F17" s="1049">
        <f>-'Cash-Gen'!E52</f>
        <v>363500</v>
      </c>
      <c r="G17" s="1050">
        <f>-'Cash-Gen'!F52</f>
        <v>534900</v>
      </c>
      <c r="H17" s="1050">
        <f>-'Cash-Gen'!G52</f>
        <v>-187200</v>
      </c>
      <c r="I17" s="1050">
        <f>-'Cash-Gen'!H52</f>
        <v>-737500</v>
      </c>
      <c r="J17" s="1050">
        <f>-'Cash-Gen'!I52</f>
        <v>-971100</v>
      </c>
      <c r="K17" s="1050">
        <f>-'Cash-Gen'!J52</f>
        <v>-1097000</v>
      </c>
      <c r="L17" s="1050">
        <f>-'Cash-Gen'!K52</f>
        <v>-1596900</v>
      </c>
      <c r="M17" s="1049">
        <f>-'Cash-Gen'!L52</f>
        <v>-2006500</v>
      </c>
      <c r="N17" s="1049">
        <f>-'Cash-Gen'!M52</f>
        <v>-2096500</v>
      </c>
      <c r="O17" s="1049">
        <f>-'Cash-Gen'!N52</f>
        <v>-2726700</v>
      </c>
      <c r="P17" s="1051">
        <f>-'Cash-Gen'!O52</f>
        <v>-3285600</v>
      </c>
      <c r="Q17" s="118"/>
    </row>
    <row r="18" spans="1:17" s="40" customFormat="1" x14ac:dyDescent="0.2">
      <c r="A18" s="2106">
        <f>ROUND(SUM(A13:A17),-3)</f>
        <v>0</v>
      </c>
      <c r="B18" s="1052">
        <f>SUM(B13:B17)</f>
        <v>0</v>
      </c>
      <c r="C18" s="1052">
        <f>SUM(C13:C17)</f>
        <v>0</v>
      </c>
      <c r="D18" s="145" t="s">
        <v>1189</v>
      </c>
      <c r="E18" s="160"/>
      <c r="F18" s="1052">
        <f t="shared" ref="F18:M18" si="1">SUM(F13:F17)</f>
        <v>0</v>
      </c>
      <c r="G18" s="1053">
        <f t="shared" si="1"/>
        <v>0</v>
      </c>
      <c r="H18" s="1053">
        <f t="shared" si="1"/>
        <v>0</v>
      </c>
      <c r="I18" s="1053">
        <f t="shared" si="1"/>
        <v>0</v>
      </c>
      <c r="J18" s="1053">
        <f t="shared" si="1"/>
        <v>0</v>
      </c>
      <c r="K18" s="1053">
        <f t="shared" si="1"/>
        <v>0</v>
      </c>
      <c r="L18" s="1053">
        <f t="shared" si="1"/>
        <v>0</v>
      </c>
      <c r="M18" s="1052">
        <f t="shared" si="1"/>
        <v>0</v>
      </c>
      <c r="N18" s="1052">
        <f t="shared" ref="N18:O18" si="2">SUM(N13:N17)</f>
        <v>0</v>
      </c>
      <c r="O18" s="1052">
        <f t="shared" si="2"/>
        <v>0</v>
      </c>
      <c r="P18" s="2107">
        <f t="shared" ref="P18" si="3">SUM(P13:P17)</f>
        <v>0</v>
      </c>
      <c r="Q18" s="118"/>
    </row>
    <row r="19" spans="1:17" x14ac:dyDescent="0.2">
      <c r="A19" s="2105"/>
      <c r="B19" s="925"/>
      <c r="C19" s="925"/>
      <c r="D19" s="78"/>
      <c r="E19" s="234"/>
      <c r="F19" s="925"/>
      <c r="G19" s="926"/>
      <c r="H19" s="926"/>
      <c r="I19" s="926"/>
      <c r="J19" s="926"/>
      <c r="K19" s="926"/>
      <c r="L19" s="926"/>
      <c r="M19" s="925"/>
      <c r="N19" s="925"/>
      <c r="O19" s="925"/>
      <c r="P19" s="927"/>
    </row>
    <row r="20" spans="1:17" x14ac:dyDescent="0.2">
      <c r="A20" s="2105"/>
      <c r="B20" s="925"/>
      <c r="C20" s="925"/>
      <c r="D20" s="598" t="s">
        <v>643</v>
      </c>
      <c r="E20" s="234"/>
      <c r="F20" s="925"/>
      <c r="G20" s="926"/>
      <c r="H20" s="926"/>
      <c r="I20" s="926"/>
      <c r="J20" s="926"/>
      <c r="K20" s="926"/>
      <c r="L20" s="926"/>
      <c r="M20" s="925"/>
      <c r="N20" s="925"/>
      <c r="O20" s="925"/>
      <c r="P20" s="927"/>
    </row>
    <row r="21" spans="1:17" x14ac:dyDescent="0.2">
      <c r="A21" s="2103">
        <f>GM!B51</f>
        <v>838700</v>
      </c>
      <c r="B21" s="1054">
        <f>GM!C51</f>
        <v>845500</v>
      </c>
      <c r="C21" s="1054">
        <f>GM!D51</f>
        <v>970600</v>
      </c>
      <c r="D21" s="35" t="str">
        <f>D5</f>
        <v>General Manager's Group</v>
      </c>
      <c r="E21" s="233"/>
      <c r="F21" s="925">
        <f>GM!G51</f>
        <v>1073300</v>
      </c>
      <c r="G21" s="1055">
        <f>GM!I51</f>
        <v>1175000</v>
      </c>
      <c r="H21" s="1055">
        <f>GM!J51</f>
        <v>1235600</v>
      </c>
      <c r="I21" s="1055">
        <f>GM!K51</f>
        <v>1299700</v>
      </c>
      <c r="J21" s="1055">
        <f>GM!L51</f>
        <v>1368700</v>
      </c>
      <c r="K21" s="1055">
        <f>GM!M51</f>
        <v>1374300</v>
      </c>
      <c r="L21" s="1055">
        <f>GM!N51</f>
        <v>969500</v>
      </c>
      <c r="M21" s="1054">
        <f>GM!O51</f>
        <v>318400</v>
      </c>
      <c r="N21" s="1054">
        <f>GM!P51</f>
        <v>115200</v>
      </c>
      <c r="O21" s="1054">
        <f>GM!Q51</f>
        <v>119600</v>
      </c>
      <c r="P21" s="2108">
        <f>GM!R51</f>
        <v>63900</v>
      </c>
    </row>
    <row r="22" spans="1:17" x14ac:dyDescent="0.2">
      <c r="A22" s="2103">
        <f>DEH!B519</f>
        <v>6100</v>
      </c>
      <c r="B22" s="1054">
        <f>DEH!C519</f>
        <v>6500</v>
      </c>
      <c r="C22" s="1054">
        <f>DEH!D519</f>
        <v>6900</v>
      </c>
      <c r="D22" s="35" t="str">
        <f>D6</f>
        <v>Development &amp; Envi Health Group</v>
      </c>
      <c r="E22" s="233"/>
      <c r="F22" s="925">
        <f>DEH!G519</f>
        <v>7300</v>
      </c>
      <c r="G22" s="1055">
        <f>DEH!I519</f>
        <v>7800</v>
      </c>
      <c r="H22" s="1055">
        <f>DEH!J519</f>
        <v>8300</v>
      </c>
      <c r="I22" s="1055">
        <f>DEH!K519</f>
        <v>7300</v>
      </c>
      <c r="J22" s="1055">
        <f>DEH!L519</f>
        <v>0</v>
      </c>
      <c r="K22" s="1055">
        <f>DEH!M519</f>
        <v>0</v>
      </c>
      <c r="L22" s="1055">
        <f>DEH!N519</f>
        <v>0</v>
      </c>
      <c r="M22" s="1054">
        <f>DEH!O519</f>
        <v>0</v>
      </c>
      <c r="N22" s="1054">
        <f>DEH!P519</f>
        <v>0</v>
      </c>
      <c r="O22" s="1054">
        <f>DEH!Q519</f>
        <v>0</v>
      </c>
      <c r="P22" s="2108">
        <f>DEH!R519</f>
        <v>0</v>
      </c>
    </row>
    <row r="23" spans="1:17" x14ac:dyDescent="0.2">
      <c r="A23" s="2103">
        <f>CIV!B61</f>
        <v>2347100</v>
      </c>
      <c r="B23" s="1054">
        <f>CIV!C61</f>
        <v>2526100</v>
      </c>
      <c r="C23" s="1054">
        <f>CIV!D61</f>
        <v>2792900</v>
      </c>
      <c r="D23" s="35" t="str">
        <f>D7</f>
        <v>Civil Services</v>
      </c>
      <c r="E23" s="233"/>
      <c r="F23" s="925">
        <f>CIV!G61</f>
        <v>2595700</v>
      </c>
      <c r="G23" s="1055">
        <f>CIV!I61</f>
        <v>1741200</v>
      </c>
      <c r="H23" s="1055">
        <f>CIV!J61</f>
        <v>1529200</v>
      </c>
      <c r="I23" s="1055">
        <f>CIV!K61</f>
        <v>1521100</v>
      </c>
      <c r="J23" s="1055">
        <f>CIV!L61</f>
        <v>1171500</v>
      </c>
      <c r="K23" s="1055">
        <f>CIV!M61</f>
        <v>1646500</v>
      </c>
      <c r="L23" s="1055">
        <f>CIV!N61</f>
        <v>1572900</v>
      </c>
      <c r="M23" s="1054">
        <f>CIV!O61</f>
        <v>1490800</v>
      </c>
      <c r="N23" s="1054">
        <f>CIV!P61</f>
        <v>1401900</v>
      </c>
      <c r="O23" s="1054">
        <f>CIV!Q61</f>
        <v>750000</v>
      </c>
      <c r="P23" s="2108">
        <f>CIV!R61</f>
        <v>781000</v>
      </c>
    </row>
    <row r="24" spans="1:17" x14ac:dyDescent="0.2">
      <c r="A24" s="2103">
        <f>SP!B43</f>
        <v>24300</v>
      </c>
      <c r="B24" s="1054">
        <f>SP!C43</f>
        <v>17300</v>
      </c>
      <c r="C24" s="1054">
        <f>SP!D43</f>
        <v>18500</v>
      </c>
      <c r="D24" s="35" t="str">
        <f>D8</f>
        <v>Strategic &amp; Comm Facs Group</v>
      </c>
      <c r="E24" s="233"/>
      <c r="F24" s="925">
        <f>SP!G43</f>
        <v>19900</v>
      </c>
      <c r="G24" s="1055">
        <f>SP!I43</f>
        <v>388800</v>
      </c>
      <c r="H24" s="1055">
        <f>SP!J43</f>
        <v>474700</v>
      </c>
      <c r="I24" s="1055">
        <f>SP!K43</f>
        <v>490800</v>
      </c>
      <c r="J24" s="1055">
        <f>SP!L43</f>
        <v>502900</v>
      </c>
      <c r="K24" s="1055">
        <f>SP!M43</f>
        <v>522100</v>
      </c>
      <c r="L24" s="1055">
        <f>SP!N43</f>
        <v>542500</v>
      </c>
      <c r="M24" s="1054">
        <f>SP!O43</f>
        <v>541000</v>
      </c>
      <c r="N24" s="1054">
        <f>SP!P43</f>
        <v>563000</v>
      </c>
      <c r="O24" s="1054">
        <f>SP!Q43</f>
        <v>583000</v>
      </c>
      <c r="P24" s="2108">
        <f>SP!R43</f>
        <v>605000</v>
      </c>
    </row>
    <row r="25" spans="1:17" x14ac:dyDescent="0.2">
      <c r="A25" s="2103">
        <f>'Cash-Gen'!A81</f>
        <v>-3216200</v>
      </c>
      <c r="B25" s="1054">
        <f>'Cash-Gen'!B81</f>
        <v>-3395400</v>
      </c>
      <c r="C25" s="1054">
        <f>'Cash-Gen'!C81</f>
        <v>-3788900</v>
      </c>
      <c r="D25" s="35" t="s">
        <v>1762</v>
      </c>
      <c r="E25" s="233"/>
      <c r="F25" s="1054">
        <f>'Cash-Gen'!E81</f>
        <v>-3696200</v>
      </c>
      <c r="G25" s="1055">
        <f>'Cash-Gen'!F81</f>
        <v>-3312800</v>
      </c>
      <c r="H25" s="1055">
        <f>'Cash-Gen'!G81</f>
        <v>-3247800</v>
      </c>
      <c r="I25" s="1055">
        <f>'Cash-Gen'!H81</f>
        <v>-3318900</v>
      </c>
      <c r="J25" s="1055">
        <f>'Cash-Gen'!I81</f>
        <v>-3043100</v>
      </c>
      <c r="K25" s="1055">
        <f>'Cash-Gen'!J81</f>
        <v>-3542900</v>
      </c>
      <c r="L25" s="1055">
        <f>'Cash-Gen'!K81</f>
        <v>-3084900</v>
      </c>
      <c r="M25" s="1054">
        <f>'Cash-Gen'!L81</f>
        <v>-2350200</v>
      </c>
      <c r="N25" s="1054">
        <f>'Cash-Gen'!M81</f>
        <v>-2080100</v>
      </c>
      <c r="O25" s="1054">
        <f>'Cash-Gen'!N81</f>
        <v>-1452600</v>
      </c>
      <c r="P25" s="2108">
        <f>'Cash-Gen'!O81</f>
        <v>-1449900</v>
      </c>
    </row>
    <row r="26" spans="1:17" s="40" customFormat="1" x14ac:dyDescent="0.2">
      <c r="A26" s="2106">
        <f>ROUND(SUM(A21:A25),-3)</f>
        <v>0</v>
      </c>
      <c r="B26" s="1052">
        <f>SUM(B21:B25)</f>
        <v>0</v>
      </c>
      <c r="C26" s="1052">
        <f>SUM(C21:C25)</f>
        <v>0</v>
      </c>
      <c r="D26" s="58" t="s">
        <v>1763</v>
      </c>
      <c r="E26" s="83"/>
      <c r="F26" s="1052">
        <f t="shared" ref="F26:M26" si="4">SUM(F21:F25)</f>
        <v>0</v>
      </c>
      <c r="G26" s="1053">
        <f t="shared" si="4"/>
        <v>0</v>
      </c>
      <c r="H26" s="1053">
        <f t="shared" si="4"/>
        <v>0</v>
      </c>
      <c r="I26" s="1053">
        <f t="shared" si="4"/>
        <v>0</v>
      </c>
      <c r="J26" s="1053">
        <f t="shared" si="4"/>
        <v>0</v>
      </c>
      <c r="K26" s="1053">
        <f t="shared" si="4"/>
        <v>0</v>
      </c>
      <c r="L26" s="1053">
        <f t="shared" si="4"/>
        <v>0</v>
      </c>
      <c r="M26" s="1052">
        <f t="shared" si="4"/>
        <v>0</v>
      </c>
      <c r="N26" s="1052">
        <f t="shared" ref="N26:O26" si="5">SUM(N21:N25)</f>
        <v>0</v>
      </c>
      <c r="O26" s="1052">
        <f t="shared" si="5"/>
        <v>0</v>
      </c>
      <c r="P26" s="2107">
        <f t="shared" ref="P26" si="6">SUM(P21:P25)</f>
        <v>0</v>
      </c>
    </row>
    <row r="27" spans="1:17" x14ac:dyDescent="0.2">
      <c r="A27" s="2103"/>
      <c r="B27" s="1054"/>
      <c r="C27" s="1054"/>
      <c r="D27" s="35"/>
      <c r="E27" s="233"/>
      <c r="F27" s="1054"/>
      <c r="G27" s="1055"/>
      <c r="H27" s="1055"/>
      <c r="I27" s="1055"/>
      <c r="J27" s="1055"/>
      <c r="K27" s="1055"/>
      <c r="L27" s="1055"/>
      <c r="M27" s="1054"/>
      <c r="N27" s="1054"/>
      <c r="O27" s="1054"/>
      <c r="P27" s="2108"/>
    </row>
    <row r="28" spans="1:17" x14ac:dyDescent="0.2">
      <c r="A28" s="2103">
        <f>ROUND('W&amp;W'!B91,-2)</f>
        <v>0</v>
      </c>
      <c r="B28" s="1054">
        <f>'W&amp;W'!C91</f>
        <v>0</v>
      </c>
      <c r="C28" s="1054">
        <f>'W&amp;W'!D91</f>
        <v>0</v>
      </c>
      <c r="D28" s="35" t="s">
        <v>1764</v>
      </c>
      <c r="E28" s="233"/>
      <c r="F28" s="1054">
        <f>'W&amp;W'!G91</f>
        <v>0</v>
      </c>
      <c r="G28" s="1055">
        <f>'W&amp;W'!I91</f>
        <v>0</v>
      </c>
      <c r="H28" s="1055">
        <f>'W&amp;W'!J91</f>
        <v>0</v>
      </c>
      <c r="I28" s="1055">
        <f>'W&amp;W'!K91</f>
        <v>0</v>
      </c>
      <c r="J28" s="1055">
        <f>'W&amp;W'!L91</f>
        <v>0</v>
      </c>
      <c r="K28" s="1055">
        <f>'W&amp;W'!M91</f>
        <v>0</v>
      </c>
      <c r="L28" s="1055">
        <f>'W&amp;W'!N91</f>
        <v>0</v>
      </c>
      <c r="M28" s="1054">
        <f>'W&amp;W'!O91</f>
        <v>0</v>
      </c>
      <c r="N28" s="1054">
        <f>'W&amp;W'!P91</f>
        <v>0</v>
      </c>
      <c r="O28" s="1054">
        <f>'W&amp;W'!Q91</f>
        <v>0</v>
      </c>
      <c r="P28" s="2108">
        <f>'W&amp;W'!R91</f>
        <v>0</v>
      </c>
    </row>
    <row r="29" spans="1:17" x14ac:dyDescent="0.2">
      <c r="A29" s="2103">
        <f>'Cash-W'!A41</f>
        <v>0</v>
      </c>
      <c r="B29" s="1054">
        <f>'Cash-W'!B41</f>
        <v>0</v>
      </c>
      <c r="C29" s="1054">
        <f>'Cash-W'!C41</f>
        <v>0</v>
      </c>
      <c r="D29" s="35" t="s">
        <v>1762</v>
      </c>
      <c r="E29" s="233"/>
      <c r="F29" s="1054">
        <f>'Cash-W'!F41</f>
        <v>0</v>
      </c>
      <c r="G29" s="1055">
        <f>'Cash-W'!G41</f>
        <v>0</v>
      </c>
      <c r="H29" s="1055">
        <f>'Cash-W'!H41</f>
        <v>0</v>
      </c>
      <c r="I29" s="1055">
        <f>'Cash-W'!I41</f>
        <v>0</v>
      </c>
      <c r="J29" s="1055">
        <f>'Cash-W'!J41</f>
        <v>0</v>
      </c>
      <c r="K29" s="1055">
        <f>'Cash-W'!K41</f>
        <v>0</v>
      </c>
      <c r="L29" s="1055">
        <f>'Cash-W'!L41</f>
        <v>0</v>
      </c>
      <c r="M29" s="1054">
        <f>'Cash-W'!M41</f>
        <v>0</v>
      </c>
      <c r="N29" s="1054">
        <f>'Cash-W'!N41</f>
        <v>0</v>
      </c>
      <c r="O29" s="1054">
        <f>'Cash-W'!P41</f>
        <v>0</v>
      </c>
      <c r="P29" s="2108">
        <f>'Cash-W'!Q41</f>
        <v>0</v>
      </c>
    </row>
    <row r="30" spans="1:17" s="40" customFormat="1" x14ac:dyDescent="0.2">
      <c r="A30" s="2106">
        <f>SUM(A28:A29)</f>
        <v>0</v>
      </c>
      <c r="B30" s="1052">
        <f>SUM(B28:B29)</f>
        <v>0</v>
      </c>
      <c r="C30" s="1052">
        <f>SUM(C28:C29)</f>
        <v>0</v>
      </c>
      <c r="D30" s="58" t="s">
        <v>1763</v>
      </c>
      <c r="E30" s="83"/>
      <c r="F30" s="1052">
        <f t="shared" ref="F30:M30" si="7">SUM(F28:F29)</f>
        <v>0</v>
      </c>
      <c r="G30" s="1053">
        <f t="shared" si="7"/>
        <v>0</v>
      </c>
      <c r="H30" s="1053">
        <f t="shared" si="7"/>
        <v>0</v>
      </c>
      <c r="I30" s="1053">
        <f t="shared" si="7"/>
        <v>0</v>
      </c>
      <c r="J30" s="1053">
        <f t="shared" si="7"/>
        <v>0</v>
      </c>
      <c r="K30" s="1053">
        <f t="shared" si="7"/>
        <v>0</v>
      </c>
      <c r="L30" s="1053">
        <f t="shared" si="7"/>
        <v>0</v>
      </c>
      <c r="M30" s="1052">
        <f t="shared" si="7"/>
        <v>0</v>
      </c>
      <c r="N30" s="1052">
        <f t="shared" ref="N30:O30" si="8">SUM(N28:N29)</f>
        <v>0</v>
      </c>
      <c r="O30" s="1052">
        <f t="shared" si="8"/>
        <v>0</v>
      </c>
      <c r="P30" s="2107">
        <f t="shared" ref="P30" si="9">SUM(P28:P29)</f>
        <v>0</v>
      </c>
    </row>
    <row r="31" spans="1:17" x14ac:dyDescent="0.2">
      <c r="A31" s="2103"/>
      <c r="B31" s="1054"/>
      <c r="C31" s="1054"/>
      <c r="D31" s="35"/>
      <c r="E31" s="233"/>
      <c r="F31" s="1054"/>
      <c r="G31" s="1055"/>
      <c r="H31" s="1055"/>
      <c r="I31" s="1055"/>
      <c r="J31" s="1055"/>
      <c r="K31" s="1055"/>
      <c r="L31" s="1055"/>
      <c r="M31" s="1054"/>
      <c r="N31" s="1054"/>
      <c r="O31" s="1054"/>
      <c r="P31" s="2108"/>
    </row>
    <row r="32" spans="1:17" x14ac:dyDescent="0.2">
      <c r="A32" s="2103">
        <f>'W&amp;W'!B155</f>
        <v>2384800</v>
      </c>
      <c r="B32" s="1054">
        <f>'W&amp;W'!C155</f>
        <v>2187900</v>
      </c>
      <c r="C32" s="1054">
        <f>'W&amp;W'!D155</f>
        <v>2793300</v>
      </c>
      <c r="D32" s="35" t="s">
        <v>3354</v>
      </c>
      <c r="E32" s="233"/>
      <c r="F32" s="1054">
        <f>'W&amp;W'!G155</f>
        <v>2957900</v>
      </c>
      <c r="G32" s="1055">
        <f>'W&amp;W'!I155</f>
        <v>3095600</v>
      </c>
      <c r="H32" s="1055">
        <f>'W&amp;W'!J155</f>
        <v>3134000</v>
      </c>
      <c r="I32" s="1055">
        <f>'W&amp;W'!K155</f>
        <v>3280300</v>
      </c>
      <c r="J32" s="1055">
        <f>'W&amp;W'!L155</f>
        <v>2453500</v>
      </c>
      <c r="K32" s="1055">
        <f>'W&amp;W'!M155</f>
        <v>2654100</v>
      </c>
      <c r="L32" s="1055">
        <f>'W&amp;W'!N155</f>
        <v>2844100</v>
      </c>
      <c r="M32" s="1054">
        <f>'W&amp;W'!O155</f>
        <v>3037000</v>
      </c>
      <c r="N32" s="1054">
        <f>'W&amp;W'!P155</f>
        <v>3235000</v>
      </c>
      <c r="O32" s="1054">
        <f>'W&amp;W'!Q155</f>
        <v>3430000</v>
      </c>
      <c r="P32" s="2108">
        <f>'W&amp;W'!R155</f>
        <v>3627000</v>
      </c>
    </row>
    <row r="33" spans="1:16" x14ac:dyDescent="0.2">
      <c r="A33" s="2103">
        <f>'Cash-WW'!A40</f>
        <v>-2384800</v>
      </c>
      <c r="B33" s="1054">
        <f>'Cash-WW'!B40</f>
        <v>-2187900</v>
      </c>
      <c r="C33" s="1054">
        <f>'Cash-WW'!C40</f>
        <v>-2793300</v>
      </c>
      <c r="D33" s="35" t="s">
        <v>1762</v>
      </c>
      <c r="E33" s="233"/>
      <c r="F33" s="1054">
        <f>'Cash-WW'!F40</f>
        <v>-2957900</v>
      </c>
      <c r="G33" s="1055">
        <f>'Cash-WW'!G40</f>
        <v>-3095600</v>
      </c>
      <c r="H33" s="1055">
        <f>'Cash-WW'!H40</f>
        <v>-3134000</v>
      </c>
      <c r="I33" s="1055">
        <f>'Cash-WW'!I40</f>
        <v>-3280300</v>
      </c>
      <c r="J33" s="1055">
        <f>'Cash-WW'!J40</f>
        <v>-2453500</v>
      </c>
      <c r="K33" s="1055">
        <f>'Cash-WW'!K40</f>
        <v>-2654100</v>
      </c>
      <c r="L33" s="1055">
        <f>'Cash-WW'!L40</f>
        <v>-2844100</v>
      </c>
      <c r="M33" s="1054">
        <f>'Cash-WW'!M40</f>
        <v>-3037000</v>
      </c>
      <c r="N33" s="1054">
        <f>'Cash-WW'!N40</f>
        <v>-3235000</v>
      </c>
      <c r="O33" s="1054">
        <f>'Cash-WW'!O40</f>
        <v>-3430000</v>
      </c>
      <c r="P33" s="2108">
        <f>'Cash-WW'!P40</f>
        <v>-3627000</v>
      </c>
    </row>
    <row r="34" spans="1:16" s="40" customFormat="1" x14ac:dyDescent="0.2">
      <c r="A34" s="2106">
        <f>SUM(A32:A33)</f>
        <v>0</v>
      </c>
      <c r="B34" s="1052">
        <f>SUM(B32:B33)</f>
        <v>0</v>
      </c>
      <c r="C34" s="1052">
        <f>SUM(C32:C33)</f>
        <v>0</v>
      </c>
      <c r="D34" s="58" t="s">
        <v>1763</v>
      </c>
      <c r="E34" s="83"/>
      <c r="F34" s="1052">
        <f t="shared" ref="F34:M34" si="10">SUM(F32:F33)</f>
        <v>0</v>
      </c>
      <c r="G34" s="1053">
        <f t="shared" si="10"/>
        <v>0</v>
      </c>
      <c r="H34" s="1053">
        <f t="shared" si="10"/>
        <v>0</v>
      </c>
      <c r="I34" s="1053">
        <f t="shared" si="10"/>
        <v>0</v>
      </c>
      <c r="J34" s="1053">
        <f t="shared" si="10"/>
        <v>0</v>
      </c>
      <c r="K34" s="1053">
        <f t="shared" si="10"/>
        <v>0</v>
      </c>
      <c r="L34" s="1053">
        <f t="shared" si="10"/>
        <v>0</v>
      </c>
      <c r="M34" s="1052">
        <f t="shared" si="10"/>
        <v>0</v>
      </c>
      <c r="N34" s="1052">
        <f t="shared" ref="N34:O34" si="11">SUM(N32:N33)</f>
        <v>0</v>
      </c>
      <c r="O34" s="1052">
        <f t="shared" si="11"/>
        <v>0</v>
      </c>
      <c r="P34" s="2107">
        <f t="shared" ref="P34" si="12">SUM(P32:P33)</f>
        <v>0</v>
      </c>
    </row>
    <row r="35" spans="1:16" x14ac:dyDescent="0.2">
      <c r="A35" s="2103"/>
      <c r="B35" s="1054"/>
      <c r="C35" s="1054"/>
      <c r="D35" s="35"/>
      <c r="E35" s="233"/>
      <c r="F35" s="1054"/>
      <c r="G35" s="1055"/>
      <c r="H35" s="1055"/>
      <c r="I35" s="1055"/>
      <c r="J35" s="1055"/>
      <c r="K35" s="1055"/>
      <c r="L35" s="1055"/>
      <c r="M35" s="1054"/>
      <c r="N35" s="1054"/>
      <c r="O35" s="1054"/>
      <c r="P35" s="2108"/>
    </row>
    <row r="36" spans="1:16" s="40" customFormat="1" x14ac:dyDescent="0.2">
      <c r="A36" s="212"/>
      <c r="B36" s="1056"/>
      <c r="C36" s="1056"/>
      <c r="D36" s="58" t="s">
        <v>1524</v>
      </c>
      <c r="E36" s="83"/>
      <c r="F36" s="1056"/>
      <c r="G36" s="1057"/>
      <c r="H36" s="1057"/>
      <c r="I36" s="1057"/>
      <c r="J36" s="1057"/>
      <c r="K36" s="1057"/>
      <c r="L36" s="1057"/>
      <c r="M36" s="1056"/>
      <c r="N36" s="1056"/>
      <c r="O36" s="1056"/>
      <c r="P36" s="2109"/>
    </row>
    <row r="37" spans="1:16" x14ac:dyDescent="0.2">
      <c r="A37" s="2103">
        <f>GM!B52</f>
        <v>5690100</v>
      </c>
      <c r="B37" s="1054">
        <f>GM!C52</f>
        <v>7765000</v>
      </c>
      <c r="C37" s="1054">
        <f>GM!D52</f>
        <v>5562000</v>
      </c>
      <c r="D37" s="35" t="str">
        <f>D5</f>
        <v>General Manager's Group</v>
      </c>
      <c r="E37" s="233"/>
      <c r="F37" s="1054">
        <f>GM!G52</f>
        <v>8758000</v>
      </c>
      <c r="G37" s="1055">
        <f>GM!I52</f>
        <v>7252300</v>
      </c>
      <c r="H37" s="1055">
        <f>GM!J52</f>
        <v>6946500</v>
      </c>
      <c r="I37" s="1055">
        <f>GM!K52</f>
        <v>7069900</v>
      </c>
      <c r="J37" s="1055">
        <f>GM!L52</f>
        <v>6370500</v>
      </c>
      <c r="K37" s="1055">
        <f>GM!M52</f>
        <v>5236900</v>
      </c>
      <c r="L37" s="1055">
        <f>GM!N52</f>
        <v>4747400</v>
      </c>
      <c r="M37" s="1054">
        <f>GM!O52</f>
        <v>5104600</v>
      </c>
      <c r="N37" s="1054">
        <f>GM!P52</f>
        <v>5986100</v>
      </c>
      <c r="O37" s="1054">
        <f>GM!Q52</f>
        <v>6072200</v>
      </c>
      <c r="P37" s="2108">
        <f>GM!R52</f>
        <v>6207500</v>
      </c>
    </row>
    <row r="38" spans="1:16" x14ac:dyDescent="0.2">
      <c r="A38" s="2103">
        <f>DEH!B38</f>
        <v>412300</v>
      </c>
      <c r="B38" s="1054">
        <f>DEH!C38</f>
        <v>44000</v>
      </c>
      <c r="C38" s="1054">
        <f>DEH!D38</f>
        <v>78000</v>
      </c>
      <c r="D38" s="35" t="str">
        <f>D6</f>
        <v>Development &amp; Envi Health Group</v>
      </c>
      <c r="E38" s="233"/>
      <c r="F38" s="1054">
        <f>DEH!G38</f>
        <v>100000</v>
      </c>
      <c r="G38" s="1055">
        <f>DEH!I38</f>
        <v>0</v>
      </c>
      <c r="H38" s="1055">
        <f>DEH!J38</f>
        <v>0</v>
      </c>
      <c r="I38" s="1055">
        <f>DEH!K38</f>
        <v>0</v>
      </c>
      <c r="J38" s="1055">
        <f>DEH!L38</f>
        <v>0</v>
      </c>
      <c r="K38" s="1055">
        <f>DEH!M38</f>
        <v>0</v>
      </c>
      <c r="L38" s="1055">
        <f>DEH!N38</f>
        <v>0</v>
      </c>
      <c r="M38" s="1054">
        <f>DEH!O38</f>
        <v>0</v>
      </c>
      <c r="N38" s="1054">
        <f>DEH!P38</f>
        <v>0</v>
      </c>
      <c r="O38" s="1054">
        <f>DEH!Q38</f>
        <v>0</v>
      </c>
      <c r="P38" s="2108">
        <f>DEH!R38</f>
        <v>0</v>
      </c>
    </row>
    <row r="39" spans="1:16" x14ac:dyDescent="0.2">
      <c r="A39" s="2103">
        <f>CIV!B62</f>
        <v>10223300</v>
      </c>
      <c r="B39" s="1054">
        <f>CIV!C62</f>
        <v>15060600</v>
      </c>
      <c r="C39" s="1054">
        <f>CIV!D62</f>
        <v>12835300</v>
      </c>
      <c r="D39" s="35" t="str">
        <f>D7</f>
        <v>Civil Services</v>
      </c>
      <c r="E39" s="233"/>
      <c r="F39" s="1054">
        <f>CIV!G62</f>
        <v>3189400</v>
      </c>
      <c r="G39" s="1055">
        <f>CIV!I62</f>
        <v>2930900</v>
      </c>
      <c r="H39" s="1055">
        <f>CIV!J62</f>
        <v>3329300</v>
      </c>
      <c r="I39" s="1055">
        <f>CIV!K62</f>
        <v>3477500</v>
      </c>
      <c r="J39" s="1055">
        <f>CIV!L62</f>
        <v>3588500</v>
      </c>
      <c r="K39" s="1055">
        <f>CIV!M62</f>
        <v>3670900</v>
      </c>
      <c r="L39" s="1055">
        <f>CIV!N62</f>
        <v>3806700</v>
      </c>
      <c r="M39" s="1054">
        <f>CIV!O62</f>
        <v>3936200</v>
      </c>
      <c r="N39" s="1054">
        <f>CIV!P62</f>
        <v>4042300</v>
      </c>
      <c r="O39" s="1054">
        <f>CIV!Q62</f>
        <v>4168800</v>
      </c>
      <c r="P39" s="2108">
        <f>CIV!R62</f>
        <v>4326800</v>
      </c>
    </row>
    <row r="40" spans="1:16" x14ac:dyDescent="0.2">
      <c r="A40" s="2103">
        <f>SP!B44</f>
        <v>3194600</v>
      </c>
      <c r="B40" s="1054">
        <f>SP!C44</f>
        <v>4109500</v>
      </c>
      <c r="C40" s="1054">
        <f>SP!D44</f>
        <v>3327000</v>
      </c>
      <c r="D40" s="35" t="str">
        <f>D8</f>
        <v>Strategic &amp; Comm Facs Group</v>
      </c>
      <c r="E40" s="233"/>
      <c r="F40" s="1054">
        <f>SP!G44</f>
        <v>5164200</v>
      </c>
      <c r="G40" s="1055">
        <f>SP!I44</f>
        <v>9335400</v>
      </c>
      <c r="H40" s="1055">
        <f>SP!J44</f>
        <v>9653600</v>
      </c>
      <c r="I40" s="1055">
        <f>SP!K44</f>
        <v>7658800</v>
      </c>
      <c r="J40" s="1055">
        <f>SP!L44</f>
        <v>12952500</v>
      </c>
      <c r="K40" s="1055">
        <f>SP!M44</f>
        <v>13172200</v>
      </c>
      <c r="L40" s="1055">
        <f>SP!N44</f>
        <v>3414400</v>
      </c>
      <c r="M40" s="1054">
        <f>SP!O44</f>
        <v>3535100</v>
      </c>
      <c r="N40" s="1054">
        <f>SP!P44</f>
        <v>3661800</v>
      </c>
      <c r="O40" s="1054">
        <f>SP!Q44</f>
        <v>3792500</v>
      </c>
      <c r="P40" s="2108">
        <f>SP!R44</f>
        <v>3926700</v>
      </c>
    </row>
    <row r="41" spans="1:16" x14ac:dyDescent="0.2">
      <c r="A41" s="2103">
        <f>-SUM(A37:A40)</f>
        <v>-19520300</v>
      </c>
      <c r="B41" s="1054">
        <f>-SUM(B37:B40)</f>
        <v>-26979100</v>
      </c>
      <c r="C41" s="1054">
        <f>-'Res-Gen'!B242-1005800</f>
        <v>-21802300</v>
      </c>
      <c r="D41" s="35" t="s">
        <v>1762</v>
      </c>
      <c r="E41" s="233"/>
      <c r="F41" s="1054">
        <f>-'Res-Gen'!E242</f>
        <v>-17211600</v>
      </c>
      <c r="G41" s="1055">
        <f>-'Res-Gen'!H242</f>
        <v>-19518600</v>
      </c>
      <c r="H41" s="1055">
        <f>-'Res-Gen'!K242</f>
        <v>-19929400</v>
      </c>
      <c r="I41" s="1055">
        <f>-'Res-Gen'!N242</f>
        <v>-18206200</v>
      </c>
      <c r="J41" s="1055">
        <f>-'Res-Gen'!Q242</f>
        <v>-22911500</v>
      </c>
      <c r="K41" s="1055">
        <f>-'Res-Gen'!T242</f>
        <v>-22080000</v>
      </c>
      <c r="L41" s="1055">
        <f>-'Res-Gen'!W242</f>
        <v>-11968500</v>
      </c>
      <c r="M41" s="1054">
        <f>-'Res-Gen'!Z242</f>
        <v>-12575900</v>
      </c>
      <c r="N41" s="1054">
        <f>-'Res-Gen'!AC242</f>
        <v>-13690200</v>
      </c>
      <c r="O41" s="1054">
        <f>-'Res-Gen'!AF242</f>
        <v>-14033500</v>
      </c>
      <c r="P41" s="2108">
        <f>-'Res-Gen'!AI242</f>
        <v>-14461000</v>
      </c>
    </row>
    <row r="42" spans="1:16" s="40" customFormat="1" x14ac:dyDescent="0.2">
      <c r="A42" s="2106">
        <f>(SUM(A37:A41))</f>
        <v>0</v>
      </c>
      <c r="B42" s="1052">
        <f>SUM(B37:B41)</f>
        <v>0</v>
      </c>
      <c r="C42" s="1052">
        <f>SUM(C37:C41)</f>
        <v>0</v>
      </c>
      <c r="D42" s="58" t="s">
        <v>1763</v>
      </c>
      <c r="E42" s="83"/>
      <c r="F42" s="1052">
        <f>SUM(F37:F41)</f>
        <v>0</v>
      </c>
      <c r="G42" s="1053">
        <f t="shared" ref="G42:M42" si="13">SUM(G37:G41)</f>
        <v>0</v>
      </c>
      <c r="H42" s="1053">
        <f t="shared" si="13"/>
        <v>0</v>
      </c>
      <c r="I42" s="1053">
        <f t="shared" si="13"/>
        <v>0</v>
      </c>
      <c r="J42" s="1053">
        <f t="shared" si="13"/>
        <v>0</v>
      </c>
      <c r="K42" s="1053">
        <f t="shared" si="13"/>
        <v>0</v>
      </c>
      <c r="L42" s="1053">
        <f t="shared" si="13"/>
        <v>0</v>
      </c>
      <c r="M42" s="1052">
        <f t="shared" si="13"/>
        <v>0</v>
      </c>
      <c r="N42" s="1052">
        <f t="shared" ref="N42:O42" si="14">SUM(N37:N41)</f>
        <v>0</v>
      </c>
      <c r="O42" s="1052">
        <f t="shared" si="14"/>
        <v>0</v>
      </c>
      <c r="P42" s="2107">
        <f t="shared" ref="P42" si="15">SUM(P37:P41)</f>
        <v>0</v>
      </c>
    </row>
    <row r="43" spans="1:16" x14ac:dyDescent="0.2">
      <c r="A43" s="2103"/>
      <c r="B43" s="1054"/>
      <c r="C43" s="1054"/>
      <c r="D43" s="35"/>
      <c r="E43" s="233"/>
      <c r="F43" s="1054"/>
      <c r="G43" s="1055"/>
      <c r="H43" s="1055"/>
      <c r="I43" s="1055"/>
      <c r="J43" s="1055"/>
      <c r="K43" s="1055"/>
      <c r="L43" s="1055"/>
      <c r="M43" s="1054"/>
      <c r="N43" s="1054"/>
      <c r="O43" s="1054"/>
      <c r="P43" s="2108"/>
    </row>
    <row r="44" spans="1:16" x14ac:dyDescent="0.2">
      <c r="A44" s="2103"/>
      <c r="B44" s="1054"/>
      <c r="C44" s="1054"/>
      <c r="D44" s="599" t="s">
        <v>766</v>
      </c>
      <c r="E44" s="233"/>
      <c r="F44" s="1054"/>
      <c r="G44" s="1055"/>
      <c r="H44" s="1055"/>
      <c r="I44" s="1055"/>
      <c r="J44" s="1055"/>
      <c r="K44" s="1055"/>
      <c r="L44" s="1055"/>
      <c r="M44" s="1054"/>
      <c r="N44" s="1054"/>
      <c r="O44" s="1054"/>
      <c r="P44" s="2108"/>
    </row>
    <row r="45" spans="1:16" x14ac:dyDescent="0.2">
      <c r="A45" s="2103">
        <f>GM!B53</f>
        <v>11563800</v>
      </c>
      <c r="B45" s="1054">
        <f>GM!C53</f>
        <v>7330100</v>
      </c>
      <c r="C45" s="1054">
        <f>GM!D53</f>
        <v>3383700</v>
      </c>
      <c r="D45" s="35" t="str">
        <f>D37</f>
        <v>General Manager's Group</v>
      </c>
      <c r="E45" s="233"/>
      <c r="F45" s="1054">
        <f>GM!G53</f>
        <v>7684200</v>
      </c>
      <c r="G45" s="1055">
        <f>GM!I53</f>
        <v>4608200</v>
      </c>
      <c r="H45" s="1055">
        <f>GM!J53</f>
        <v>3041900</v>
      </c>
      <c r="I45" s="1055">
        <f>GM!K53</f>
        <v>7680700</v>
      </c>
      <c r="J45" s="1055">
        <f>GM!L53</f>
        <v>3608700</v>
      </c>
      <c r="K45" s="1055">
        <f>GM!M53</f>
        <v>2517500</v>
      </c>
      <c r="L45" s="1055">
        <f>GM!N53</f>
        <v>2736500</v>
      </c>
      <c r="M45" s="1054">
        <f>GM!O53</f>
        <v>3866800</v>
      </c>
      <c r="N45" s="1054">
        <f>GM!P53</f>
        <v>3887300</v>
      </c>
      <c r="O45" s="1054">
        <f>GM!Q53</f>
        <v>4628700</v>
      </c>
      <c r="P45" s="2108">
        <f>GM!R53</f>
        <v>4710200</v>
      </c>
    </row>
    <row r="46" spans="1:16" x14ac:dyDescent="0.2">
      <c r="A46" s="2103">
        <f>DEH!B39</f>
        <v>885700</v>
      </c>
      <c r="B46" s="1054">
        <f>DEH!C39</f>
        <v>39300</v>
      </c>
      <c r="C46" s="1054">
        <f>DEH!D39</f>
        <v>54000</v>
      </c>
      <c r="D46" s="35" t="str">
        <f>D38</f>
        <v>Development &amp; Envi Health Group</v>
      </c>
      <c r="E46" s="233"/>
      <c r="F46" s="1054">
        <f>DEH!G39</f>
        <v>184700</v>
      </c>
      <c r="G46" s="1055">
        <f>DEH!I39</f>
        <v>208000</v>
      </c>
      <c r="H46" s="1055">
        <f>DEH!J39</f>
        <v>0</v>
      </c>
      <c r="I46" s="1055">
        <f>DEH!K39</f>
        <v>0</v>
      </c>
      <c r="J46" s="1055">
        <f>DEH!L39</f>
        <v>0</v>
      </c>
      <c r="K46" s="1055">
        <f>DEH!M39</f>
        <v>0</v>
      </c>
      <c r="L46" s="1055">
        <f>DEH!N39</f>
        <v>0</v>
      </c>
      <c r="M46" s="1054">
        <f>DEH!O39</f>
        <v>0</v>
      </c>
      <c r="N46" s="1054">
        <f>DEH!P39</f>
        <v>0</v>
      </c>
      <c r="O46" s="1054">
        <f>DEH!Q39</f>
        <v>0</v>
      </c>
      <c r="P46" s="2108">
        <f>DEH!R39</f>
        <v>0</v>
      </c>
    </row>
    <row r="47" spans="1:16" x14ac:dyDescent="0.2">
      <c r="A47" s="2103">
        <f>CIV!B63</f>
        <v>17009200</v>
      </c>
      <c r="B47" s="1054">
        <f>CIV!C63</f>
        <v>16815200</v>
      </c>
      <c r="C47" s="1054">
        <f>CIV!D63</f>
        <v>18672700</v>
      </c>
      <c r="D47" s="35" t="str">
        <f>D39</f>
        <v>Civil Services</v>
      </c>
      <c r="E47" s="233"/>
      <c r="F47" s="1054">
        <f>CIV!G63</f>
        <v>16554300</v>
      </c>
      <c r="G47" s="1055">
        <f>CIV!I63</f>
        <v>9497100</v>
      </c>
      <c r="H47" s="1055">
        <f>CIV!J63</f>
        <v>20129400</v>
      </c>
      <c r="I47" s="1055">
        <f>CIV!K63</f>
        <v>2453500</v>
      </c>
      <c r="J47" s="1055">
        <f>CIV!L63</f>
        <v>20795200</v>
      </c>
      <c r="K47" s="1055">
        <f>CIV!M63</f>
        <v>18452100</v>
      </c>
      <c r="L47" s="1055">
        <f>CIV!N63</f>
        <v>4976900</v>
      </c>
      <c r="M47" s="1054">
        <f>CIV!O63</f>
        <v>6556100</v>
      </c>
      <c r="N47" s="1054">
        <f>CIV!P63</f>
        <v>4968000</v>
      </c>
      <c r="O47" s="1054">
        <f>CIV!Q63</f>
        <v>4987000</v>
      </c>
      <c r="P47" s="2108">
        <f>CIV!R63</f>
        <v>6748000</v>
      </c>
    </row>
    <row r="48" spans="1:16" x14ac:dyDescent="0.2">
      <c r="A48" s="2103">
        <f>SP!B45</f>
        <v>901600</v>
      </c>
      <c r="B48" s="1054">
        <f>SP!C45</f>
        <v>888600</v>
      </c>
      <c r="C48" s="1054">
        <f>SP!D45</f>
        <v>848000</v>
      </c>
      <c r="D48" s="35" t="str">
        <f>D40</f>
        <v>Strategic &amp; Comm Facs Group</v>
      </c>
      <c r="E48" s="233"/>
      <c r="F48" s="1054">
        <f>SP!G45</f>
        <v>2918800</v>
      </c>
      <c r="G48" s="1055">
        <f>SP!I45</f>
        <v>3257000</v>
      </c>
      <c r="H48" s="1055">
        <f>SP!J45</f>
        <v>3000000</v>
      </c>
      <c r="I48" s="1055">
        <f>SP!K45</f>
        <v>2000000</v>
      </c>
      <c r="J48" s="1055">
        <f>SP!L45</f>
        <v>1000000</v>
      </c>
      <c r="K48" s="1055">
        <f>SP!M45</f>
        <v>0</v>
      </c>
      <c r="L48" s="1055">
        <f>SP!N45</f>
        <v>0</v>
      </c>
      <c r="M48" s="1054">
        <f>SP!O45</f>
        <v>0</v>
      </c>
      <c r="N48" s="1054">
        <f>SP!P45</f>
        <v>0</v>
      </c>
      <c r="O48" s="1054">
        <f>SP!Q45</f>
        <v>0</v>
      </c>
      <c r="P48" s="2108">
        <f>SP!R45</f>
        <v>0</v>
      </c>
    </row>
    <row r="49" spans="1:16" x14ac:dyDescent="0.2">
      <c r="A49" s="2103">
        <f>-SUM(A45:A48)</f>
        <v>-30360300</v>
      </c>
      <c r="B49" s="1054">
        <f>-SUM(B45:B48)</f>
        <v>-25073200</v>
      </c>
      <c r="C49" s="2415">
        <f>-'Res-Gen'!C242-1005800-47000+200</f>
        <v>-22958400</v>
      </c>
      <c r="D49" s="35" t="s">
        <v>1762</v>
      </c>
      <c r="E49" s="233"/>
      <c r="F49" s="1054">
        <f>-'Res-Gen'!F242</f>
        <v>-27342000</v>
      </c>
      <c r="G49" s="1055">
        <f>-'Res-Gen'!I242</f>
        <v>-17570300</v>
      </c>
      <c r="H49" s="1055">
        <f>-'Res-Gen'!L242</f>
        <v>-26171300</v>
      </c>
      <c r="I49" s="1055">
        <f>-'Res-Gen'!O242</f>
        <v>-12134200</v>
      </c>
      <c r="J49" s="1055">
        <f>-'Res-Gen'!R242</f>
        <v>-25403900</v>
      </c>
      <c r="K49" s="1055">
        <f>-'Res-Gen'!U242</f>
        <v>-20969600</v>
      </c>
      <c r="L49" s="1055">
        <f>-'Res-Gen'!X242</f>
        <v>-7713400</v>
      </c>
      <c r="M49" s="1054">
        <f>-'Res-Gen'!AA242</f>
        <v>-10422900</v>
      </c>
      <c r="N49" s="1054">
        <f>-'Res-Gen'!AD242</f>
        <v>-8855300</v>
      </c>
      <c r="O49" s="1054">
        <f>-'Res-Gen'!AG242</f>
        <v>-9615700</v>
      </c>
      <c r="P49" s="2108">
        <f>-'Res-Gen'!AJ242</f>
        <v>-11458200</v>
      </c>
    </row>
    <row r="50" spans="1:16" s="40" customFormat="1" x14ac:dyDescent="0.2">
      <c r="A50" s="2106">
        <f>SUM(A45:A49)</f>
        <v>0</v>
      </c>
      <c r="B50" s="1052">
        <f>(SUM(B45:B49))</f>
        <v>0</v>
      </c>
      <c r="C50" s="1052">
        <f>SUM(C45:C49)</f>
        <v>0</v>
      </c>
      <c r="D50" s="58" t="s">
        <v>1763</v>
      </c>
      <c r="E50" s="83"/>
      <c r="F50" s="1052">
        <f t="shared" ref="F50:M50" si="16">SUM(F45:F49)</f>
        <v>0</v>
      </c>
      <c r="G50" s="1053">
        <f t="shared" si="16"/>
        <v>0</v>
      </c>
      <c r="H50" s="1053">
        <f t="shared" si="16"/>
        <v>0</v>
      </c>
      <c r="I50" s="1053">
        <f t="shared" si="16"/>
        <v>0</v>
      </c>
      <c r="J50" s="1053">
        <f t="shared" si="16"/>
        <v>0</v>
      </c>
      <c r="K50" s="1053">
        <f t="shared" si="16"/>
        <v>0</v>
      </c>
      <c r="L50" s="1053">
        <f t="shared" si="16"/>
        <v>0</v>
      </c>
      <c r="M50" s="1052">
        <f t="shared" si="16"/>
        <v>0</v>
      </c>
      <c r="N50" s="1052">
        <f t="shared" ref="N50:O50" si="17">SUM(N45:N49)</f>
        <v>0</v>
      </c>
      <c r="O50" s="1052">
        <f t="shared" si="17"/>
        <v>0</v>
      </c>
      <c r="P50" s="2107">
        <f t="shared" ref="P50" si="18">SUM(P45:P49)</f>
        <v>0</v>
      </c>
    </row>
    <row r="51" spans="1:16" x14ac:dyDescent="0.2">
      <c r="A51" s="2103"/>
      <c r="B51" s="1054"/>
      <c r="C51" s="1054"/>
      <c r="D51" s="35"/>
      <c r="E51" s="233"/>
      <c r="F51" s="1054"/>
      <c r="G51" s="1055"/>
      <c r="H51" s="1055"/>
      <c r="I51" s="1055"/>
      <c r="J51" s="1055"/>
      <c r="K51" s="1055"/>
      <c r="L51" s="1055"/>
      <c r="M51" s="1054"/>
      <c r="N51" s="1054"/>
      <c r="O51" s="1054"/>
      <c r="P51" s="2108"/>
    </row>
    <row r="52" spans="1:16" x14ac:dyDescent="0.2">
      <c r="A52" s="2103"/>
      <c r="B52" s="1054"/>
      <c r="C52" s="1054"/>
      <c r="D52" s="599" t="s">
        <v>1882</v>
      </c>
      <c r="E52" s="233"/>
      <c r="F52" s="1054"/>
      <c r="G52" s="1055"/>
      <c r="H52" s="1055"/>
      <c r="I52" s="1055"/>
      <c r="J52" s="1055"/>
      <c r="K52" s="1055"/>
      <c r="L52" s="1055"/>
      <c r="M52" s="1054"/>
      <c r="N52" s="1054"/>
      <c r="O52" s="1054"/>
      <c r="P52" s="2108"/>
    </row>
    <row r="53" spans="1:16" x14ac:dyDescent="0.2">
      <c r="A53" s="2103">
        <f>-SUM(A37:A40)</f>
        <v>-19520300</v>
      </c>
      <c r="B53" s="1055">
        <f>-SUM(B37:B40)</f>
        <v>-26979100</v>
      </c>
      <c r="C53" s="1055">
        <f>-SUM(C37:C40)</f>
        <v>-21802300</v>
      </c>
      <c r="D53" s="35" t="s">
        <v>1533</v>
      </c>
      <c r="E53" s="233"/>
      <c r="F53" s="1054">
        <f>-SUM(F37:F40)</f>
        <v>-17211600</v>
      </c>
      <c r="G53" s="1055">
        <f t="shared" ref="G53:M53" si="19">-SUM(G37:G40)</f>
        <v>-19518600</v>
      </c>
      <c r="H53" s="1055">
        <f t="shared" si="19"/>
        <v>-19929400</v>
      </c>
      <c r="I53" s="1055">
        <f t="shared" si="19"/>
        <v>-18206200</v>
      </c>
      <c r="J53" s="1055">
        <f t="shared" si="19"/>
        <v>-22911500</v>
      </c>
      <c r="K53" s="1055">
        <f t="shared" si="19"/>
        <v>-22080000</v>
      </c>
      <c r="L53" s="1055">
        <f t="shared" si="19"/>
        <v>-11968500</v>
      </c>
      <c r="M53" s="1054">
        <f t="shared" si="19"/>
        <v>-12575900</v>
      </c>
      <c r="N53" s="1054">
        <f t="shared" ref="N53:O53" si="20">-SUM(N37:N40)</f>
        <v>-13690200</v>
      </c>
      <c r="O53" s="1054">
        <f t="shared" si="20"/>
        <v>-14033500</v>
      </c>
      <c r="P53" s="2108">
        <f t="shared" ref="P53" si="21">-SUM(P37:P40)</f>
        <v>-14461000</v>
      </c>
    </row>
    <row r="54" spans="1:16" x14ac:dyDescent="0.2">
      <c r="A54" s="2103">
        <f>SUM(A45:A48)</f>
        <v>30360300</v>
      </c>
      <c r="B54" s="1055">
        <f>SUM(B45:B48)</f>
        <v>25073200</v>
      </c>
      <c r="C54" s="1055">
        <f>SUM(C45:C48)</f>
        <v>22958400</v>
      </c>
      <c r="D54" s="35" t="s">
        <v>1534</v>
      </c>
      <c r="E54" s="233"/>
      <c r="F54" s="1054">
        <f t="shared" ref="F54:M54" si="22">SUM(F45:F48)</f>
        <v>27342000</v>
      </c>
      <c r="G54" s="1055">
        <f t="shared" si="22"/>
        <v>17570300</v>
      </c>
      <c r="H54" s="1055">
        <f t="shared" si="22"/>
        <v>26171300</v>
      </c>
      <c r="I54" s="1055">
        <f t="shared" si="22"/>
        <v>12134200</v>
      </c>
      <c r="J54" s="1055">
        <f t="shared" si="22"/>
        <v>25403900</v>
      </c>
      <c r="K54" s="1055">
        <f t="shared" si="22"/>
        <v>20969600</v>
      </c>
      <c r="L54" s="1055">
        <f t="shared" si="22"/>
        <v>7713400</v>
      </c>
      <c r="M54" s="1054">
        <f t="shared" si="22"/>
        <v>10422900</v>
      </c>
      <c r="N54" s="1054">
        <f t="shared" ref="N54:O54" si="23">SUM(N45:N48)</f>
        <v>8855300</v>
      </c>
      <c r="O54" s="1054">
        <f t="shared" si="23"/>
        <v>9615700</v>
      </c>
      <c r="P54" s="2108">
        <f t="shared" ref="P54" si="24">SUM(P45:P48)</f>
        <v>11458200</v>
      </c>
    </row>
    <row r="55" spans="1:16" x14ac:dyDescent="0.2">
      <c r="A55" s="2103">
        <f>'Cash-Gen'!A86+'Cash-Gen'!A87</f>
        <v>-10840000</v>
      </c>
      <c r="B55" s="1055">
        <f>'Cash-Gen'!B86+'Cash-Gen'!B87+900</f>
        <v>1905900</v>
      </c>
      <c r="C55" s="2415">
        <f>'Cash-Gen'!C86+'Cash-Gen'!C87-47000+200</f>
        <v>-1156100</v>
      </c>
      <c r="D55" s="35" t="s">
        <v>197</v>
      </c>
      <c r="E55" s="233"/>
      <c r="F55" s="1054">
        <f>'Cash-Gen'!E86+'Cash-Gen'!E87</f>
        <v>-10130400</v>
      </c>
      <c r="G55" s="1055">
        <f>'Cash-Gen'!F86+'Cash-Gen'!F87</f>
        <v>1948300</v>
      </c>
      <c r="H55" s="1055">
        <f>'Cash-Gen'!G86+'Cash-Gen'!G87</f>
        <v>-6241900</v>
      </c>
      <c r="I55" s="1055">
        <f>'Cash-Gen'!H86+'Cash-Gen'!H87</f>
        <v>6072000</v>
      </c>
      <c r="J55" s="1055">
        <f>'Cash-Gen'!I86+'Cash-Gen'!I87</f>
        <v>-2492400</v>
      </c>
      <c r="K55" s="1055">
        <f>'Cash-Gen'!J86+'Cash-Gen'!J87</f>
        <v>1110400</v>
      </c>
      <c r="L55" s="1055">
        <f>'Cash-Gen'!K86+'Cash-Gen'!K87</f>
        <v>4255100</v>
      </c>
      <c r="M55" s="1054">
        <f>'Cash-Gen'!L86+'Cash-Gen'!L87</f>
        <v>2153000</v>
      </c>
      <c r="N55" s="1054">
        <f>'Cash-Gen'!M86+'Cash-Gen'!M87</f>
        <v>4834900</v>
      </c>
      <c r="O55" s="1054">
        <f>'Cash-Gen'!N86+'Cash-Gen'!N87</f>
        <v>4417800</v>
      </c>
      <c r="P55" s="2108">
        <f>'Cash-Gen'!O86+'Cash-Gen'!O87</f>
        <v>3002800</v>
      </c>
    </row>
    <row r="56" spans="1:16" x14ac:dyDescent="0.2">
      <c r="A56" s="2106">
        <f>SUM(A53:A55)</f>
        <v>0</v>
      </c>
      <c r="B56" s="1052">
        <f>SUM(B53:B55)</f>
        <v>0</v>
      </c>
      <c r="C56" s="1052">
        <f>SUM(C53:C55)</f>
        <v>0</v>
      </c>
      <c r="D56" s="35"/>
      <c r="E56" s="233"/>
      <c r="F56" s="1052">
        <f t="shared" ref="F56:M56" si="25">SUM(F53:F55)</f>
        <v>0</v>
      </c>
      <c r="G56" s="1053">
        <f t="shared" si="25"/>
        <v>0</v>
      </c>
      <c r="H56" s="1053">
        <f t="shared" si="25"/>
        <v>0</v>
      </c>
      <c r="I56" s="1053">
        <f t="shared" si="25"/>
        <v>0</v>
      </c>
      <c r="J56" s="1053">
        <f t="shared" si="25"/>
        <v>0</v>
      </c>
      <c r="K56" s="1053">
        <f t="shared" si="25"/>
        <v>0</v>
      </c>
      <c r="L56" s="1053">
        <f t="shared" si="25"/>
        <v>0</v>
      </c>
      <c r="M56" s="1052">
        <f t="shared" si="25"/>
        <v>0</v>
      </c>
      <c r="N56" s="1052">
        <f t="shared" ref="N56:O56" si="26">SUM(N53:N55)</f>
        <v>0</v>
      </c>
      <c r="O56" s="1052">
        <f t="shared" si="26"/>
        <v>0</v>
      </c>
      <c r="P56" s="2107">
        <f t="shared" ref="P56" si="27">SUM(P53:P55)</f>
        <v>0</v>
      </c>
    </row>
    <row r="57" spans="1:16" x14ac:dyDescent="0.2">
      <c r="A57" s="2103"/>
      <c r="B57" s="1054"/>
      <c r="C57" s="1054"/>
      <c r="D57" s="58"/>
      <c r="E57" s="233"/>
      <c r="F57" s="1054"/>
      <c r="G57" s="1055"/>
      <c r="H57" s="1055"/>
      <c r="I57" s="1055"/>
      <c r="J57" s="1055"/>
      <c r="K57" s="1055"/>
      <c r="L57" s="1055"/>
      <c r="M57" s="1054"/>
      <c r="N57" s="1054"/>
      <c r="O57" s="1054"/>
      <c r="P57" s="2108"/>
    </row>
    <row r="58" spans="1:16" x14ac:dyDescent="0.2">
      <c r="A58" s="2103"/>
      <c r="B58" s="1054"/>
      <c r="C58" s="1054"/>
      <c r="D58" s="58" t="s">
        <v>982</v>
      </c>
      <c r="E58" s="233"/>
      <c r="F58" s="1054"/>
      <c r="G58" s="1055"/>
      <c r="H58" s="1055"/>
      <c r="I58" s="1055"/>
      <c r="J58" s="1055"/>
      <c r="K58" s="1055"/>
      <c r="L58" s="1055"/>
      <c r="M58" s="1054"/>
      <c r="N58" s="1054"/>
      <c r="O58" s="1054"/>
      <c r="P58" s="2108"/>
    </row>
    <row r="59" spans="1:16" x14ac:dyDescent="0.2">
      <c r="A59" s="2103">
        <f>GM!B54</f>
        <v>-342600</v>
      </c>
      <c r="B59" s="1054">
        <f>GM!C54</f>
        <v>3558300</v>
      </c>
      <c r="C59" s="1054">
        <f>GM!D54</f>
        <v>7113800</v>
      </c>
      <c r="D59" s="35" t="str">
        <f>D45</f>
        <v>General Manager's Group</v>
      </c>
      <c r="E59" s="233"/>
      <c r="F59" s="1054">
        <f>GM!G54</f>
        <v>6532400</v>
      </c>
      <c r="G59" s="1055">
        <f>GM!I54</f>
        <v>9131600</v>
      </c>
      <c r="H59" s="1055">
        <f>GM!J54</f>
        <v>4675000</v>
      </c>
      <c r="I59" s="1055">
        <f>GM!K54</f>
        <v>4675000</v>
      </c>
      <c r="J59" s="1055">
        <f>GM!L54</f>
        <v>2960000</v>
      </c>
      <c r="K59" s="1055">
        <f>GM!M54</f>
        <v>1560000</v>
      </c>
      <c r="L59" s="1055">
        <f>GM!N54</f>
        <v>1160000</v>
      </c>
      <c r="M59" s="1054">
        <f>GM!O54</f>
        <v>1160000</v>
      </c>
      <c r="N59" s="1054">
        <f>GM!P54</f>
        <v>1160000</v>
      </c>
      <c r="O59" s="1054">
        <f>GM!Q54</f>
        <v>1160000</v>
      </c>
      <c r="P59" s="2108">
        <f>GM!R54</f>
        <v>1160000</v>
      </c>
    </row>
    <row r="60" spans="1:16" x14ac:dyDescent="0.2">
      <c r="A60" s="2103">
        <f>DEH!B40</f>
        <v>340000</v>
      </c>
      <c r="B60" s="1054">
        <f>DEH!C40</f>
        <v>0</v>
      </c>
      <c r="C60" s="1054">
        <f>DEH!D40</f>
        <v>0</v>
      </c>
      <c r="D60" s="35" t="str">
        <f>D46</f>
        <v>Development &amp; Envi Health Group</v>
      </c>
      <c r="E60" s="233"/>
      <c r="F60" s="1054">
        <f>DEH!G40</f>
        <v>95000</v>
      </c>
      <c r="G60" s="1055">
        <f>DEH!I40</f>
        <v>0</v>
      </c>
      <c r="H60" s="1055">
        <f>DEH!J40</f>
        <v>0</v>
      </c>
      <c r="I60" s="1055">
        <f>DEH!K40</f>
        <v>0</v>
      </c>
      <c r="J60" s="1055">
        <f>DEH!L40</f>
        <v>0</v>
      </c>
      <c r="K60" s="1055">
        <f>DEH!M40</f>
        <v>0</v>
      </c>
      <c r="L60" s="1055">
        <f>DEH!N40</f>
        <v>0</v>
      </c>
      <c r="M60" s="1054">
        <f>DEH!O40</f>
        <v>0</v>
      </c>
      <c r="N60" s="1054">
        <f>DEH!P40</f>
        <v>0</v>
      </c>
      <c r="O60" s="1054">
        <f>DEH!Q40</f>
        <v>0</v>
      </c>
      <c r="P60" s="2108">
        <f>DEH!R40</f>
        <v>0</v>
      </c>
    </row>
    <row r="61" spans="1:16" x14ac:dyDescent="0.2">
      <c r="A61" s="2103">
        <f>CIV!B64</f>
        <v>7871000</v>
      </c>
      <c r="B61" s="1054">
        <f>CIV!C64</f>
        <v>4041900</v>
      </c>
      <c r="C61" s="1054">
        <f>CIV!D64</f>
        <v>5946600</v>
      </c>
      <c r="D61" s="35" t="str">
        <f>D47</f>
        <v>Civil Services</v>
      </c>
      <c r="E61" s="233"/>
      <c r="F61" s="1054">
        <f>CIV!G64</f>
        <v>7369700</v>
      </c>
      <c r="G61" s="1055">
        <f>CIV!I64</f>
        <v>4858900</v>
      </c>
      <c r="H61" s="1055">
        <f>CIV!J64</f>
        <v>3209100</v>
      </c>
      <c r="I61" s="1055">
        <f>CIV!K64</f>
        <v>286300</v>
      </c>
      <c r="J61" s="1055">
        <f>CIV!L64</f>
        <v>8454700</v>
      </c>
      <c r="K61" s="1055">
        <f>CIV!M64</f>
        <v>116700</v>
      </c>
      <c r="L61" s="1055">
        <f>CIV!N64</f>
        <v>118700</v>
      </c>
      <c r="M61" s="1054">
        <f>CIV!O64</f>
        <v>120700</v>
      </c>
      <c r="N61" s="1054">
        <f>CIV!P64</f>
        <v>122700</v>
      </c>
      <c r="O61" s="1054">
        <f>CIV!Q64</f>
        <v>124700</v>
      </c>
      <c r="P61" s="2108">
        <f>CIV!R64</f>
        <v>126900</v>
      </c>
    </row>
    <row r="62" spans="1:16" x14ac:dyDescent="0.2">
      <c r="A62" s="2103">
        <f>SP!B46</f>
        <v>2309000</v>
      </c>
      <c r="B62" s="1054">
        <f>SP!C46</f>
        <v>3104000</v>
      </c>
      <c r="C62" s="1054">
        <f>SP!D46</f>
        <v>2246100</v>
      </c>
      <c r="D62" s="35" t="str">
        <f>D48</f>
        <v>Strategic &amp; Comm Facs Group</v>
      </c>
      <c r="E62" s="233"/>
      <c r="F62" s="1054">
        <f>SP!G46</f>
        <v>9815700</v>
      </c>
      <c r="G62" s="1055">
        <f>SP!I46</f>
        <v>13096800</v>
      </c>
      <c r="H62" s="1055">
        <f>SP!J46</f>
        <v>8347000</v>
      </c>
      <c r="I62" s="1055">
        <f>SP!K46</f>
        <v>6554000</v>
      </c>
      <c r="J62" s="1055">
        <f>SP!L46</f>
        <v>15717000</v>
      </c>
      <c r="K62" s="1055">
        <f>SP!M46</f>
        <v>12971000</v>
      </c>
      <c r="L62" s="1055">
        <f>SP!N46</f>
        <v>3230000</v>
      </c>
      <c r="M62" s="1054">
        <f>SP!O46</f>
        <v>3293000</v>
      </c>
      <c r="N62" s="1054">
        <f>SP!P46</f>
        <v>3359000</v>
      </c>
      <c r="O62" s="1054">
        <f>SP!Q46</f>
        <v>3426000</v>
      </c>
      <c r="P62" s="2108">
        <f>SP!R46</f>
        <v>3494000</v>
      </c>
    </row>
    <row r="63" spans="1:16" x14ac:dyDescent="0.2">
      <c r="A63" s="2103">
        <f>-('Cash-Gen'!A56+'Cash-Gen'!A57+'Cash-Gen'!A75)-'Cash-Gen'!A77-'Cash-Gen'!A76</f>
        <v>-10177400</v>
      </c>
      <c r="B63" s="1054">
        <f>-('Cash-Gen'!B56+'Cash-Gen'!B57+'Cash-Gen'!B75)-'Cash-Gen'!B77-'Cash-Gen'!B76</f>
        <v>-10704200</v>
      </c>
      <c r="C63" s="1054">
        <f>-('Cash-Gen'!C56+'Cash-Gen'!C57+'Cash-Gen'!C75)-'Cash-Gen'!C77-'Cash-Gen'!C76</f>
        <v>-15306500</v>
      </c>
      <c r="D63" s="35" t="s">
        <v>1762</v>
      </c>
      <c r="E63" s="233"/>
      <c r="F63" s="1054">
        <f>-('Cash-Gen'!E56+'Cash-Gen'!E57+'Cash-Gen'!E75)-'Cash-Gen'!E77-'Cash-Gen'!E76</f>
        <v>-23812800</v>
      </c>
      <c r="G63" s="1055">
        <f>-('Cash-Gen'!F56+'Cash-Gen'!F57+'Cash-Gen'!F75)-'Cash-Gen'!F77-'Cash-Gen'!F76</f>
        <v>-27087300</v>
      </c>
      <c r="H63" s="1055">
        <f>-('Cash-Gen'!G56+'Cash-Gen'!G57+'Cash-Gen'!G75)-'Cash-Gen'!G77-'Cash-Gen'!G76</f>
        <v>-16231100</v>
      </c>
      <c r="I63" s="1055">
        <f>-('Cash-Gen'!H56+'Cash-Gen'!H57+'Cash-Gen'!H75)-'Cash-Gen'!H77-'Cash-Gen'!H76</f>
        <v>-11515300</v>
      </c>
      <c r="J63" s="1055">
        <f>-('Cash-Gen'!I56+'Cash-Gen'!I57+'Cash-Gen'!I75)-'Cash-Gen'!I77-'Cash-Gen'!I76</f>
        <v>-27131700</v>
      </c>
      <c r="K63" s="1055">
        <f>-('Cash-Gen'!J56+'Cash-Gen'!J57+'Cash-Gen'!J75)-'Cash-Gen'!J77-'Cash-Gen'!J76</f>
        <v>-14647700</v>
      </c>
      <c r="L63" s="1055">
        <f>-('Cash-Gen'!K56+'Cash-Gen'!K57+'Cash-Gen'!K75)-'Cash-Gen'!K77-'Cash-Gen'!K76</f>
        <v>-4508700</v>
      </c>
      <c r="M63" s="1054">
        <f>-('Cash-Gen'!L56+'Cash-Gen'!L57+'Cash-Gen'!L75)-'Cash-Gen'!L77-'Cash-Gen'!L76</f>
        <v>-4573700</v>
      </c>
      <c r="N63" s="1054">
        <f>-('Cash-Gen'!M56+'Cash-Gen'!M57+'Cash-Gen'!M75)-'Cash-Gen'!M77-'Cash-Gen'!M76</f>
        <v>-4641700</v>
      </c>
      <c r="O63" s="1054">
        <f>-('Cash-Gen'!N56+'Cash-Gen'!N57+'Cash-Gen'!N75)-'Cash-Gen'!N77-'Cash-Gen'!N76</f>
        <v>-4710700</v>
      </c>
      <c r="P63" s="2108">
        <f>-('Cash-Gen'!O56+'Cash-Gen'!O57+'Cash-Gen'!O75)-'Cash-Gen'!O77-'Cash-Gen'!O76</f>
        <v>-4780900</v>
      </c>
    </row>
    <row r="64" spans="1:16" s="40" customFormat="1" x14ac:dyDescent="0.2">
      <c r="A64" s="2106">
        <f>ROUND(SUM(A59:A63),-3)</f>
        <v>0</v>
      </c>
      <c r="B64" s="1052">
        <f>SUM(B59:B63)</f>
        <v>0</v>
      </c>
      <c r="C64" s="1052">
        <f>SUM(C59:C63)</f>
        <v>0</v>
      </c>
      <c r="D64" s="58" t="s">
        <v>1763</v>
      </c>
      <c r="E64" s="83"/>
      <c r="F64" s="1052">
        <f t="shared" ref="F64:M64" si="28">SUM(F59:F63)</f>
        <v>0</v>
      </c>
      <c r="G64" s="1053">
        <f t="shared" si="28"/>
        <v>0</v>
      </c>
      <c r="H64" s="1053">
        <f t="shared" si="28"/>
        <v>0</v>
      </c>
      <c r="I64" s="1053">
        <f t="shared" si="28"/>
        <v>0</v>
      </c>
      <c r="J64" s="1053">
        <f t="shared" si="28"/>
        <v>0</v>
      </c>
      <c r="K64" s="1053">
        <f t="shared" si="28"/>
        <v>0</v>
      </c>
      <c r="L64" s="1053">
        <f t="shared" si="28"/>
        <v>0</v>
      </c>
      <c r="M64" s="1052">
        <f t="shared" si="28"/>
        <v>0</v>
      </c>
      <c r="N64" s="1052">
        <f t="shared" ref="N64:O64" si="29">SUM(N59:N63)</f>
        <v>0</v>
      </c>
      <c r="O64" s="1052">
        <f t="shared" si="29"/>
        <v>0</v>
      </c>
      <c r="P64" s="2107">
        <f t="shared" ref="P64" si="30">SUM(P59:P63)</f>
        <v>0</v>
      </c>
    </row>
    <row r="65" spans="1:16" x14ac:dyDescent="0.2">
      <c r="A65" s="2103"/>
      <c r="B65" s="1054"/>
      <c r="C65" s="1054"/>
      <c r="D65" s="35"/>
      <c r="E65" s="233"/>
      <c r="F65" s="1054"/>
      <c r="G65" s="1055"/>
      <c r="H65" s="1055"/>
      <c r="I65" s="1055"/>
      <c r="J65" s="1055"/>
      <c r="K65" s="1055"/>
      <c r="L65" s="1055"/>
      <c r="M65" s="1054"/>
      <c r="N65" s="1054"/>
      <c r="O65" s="1054"/>
      <c r="P65" s="2108"/>
    </row>
    <row r="66" spans="1:16" s="40" customFormat="1" x14ac:dyDescent="0.2">
      <c r="A66" s="212"/>
      <c r="B66" s="1056"/>
      <c r="C66" s="1056"/>
      <c r="D66" s="58" t="s">
        <v>2174</v>
      </c>
      <c r="E66" s="83"/>
      <c r="F66" s="1056"/>
      <c r="G66" s="1057"/>
      <c r="H66" s="1057"/>
      <c r="I66" s="1057"/>
      <c r="J66" s="1057"/>
      <c r="K66" s="1057"/>
      <c r="L66" s="1057"/>
      <c r="M66" s="1056"/>
      <c r="N66" s="1056"/>
      <c r="O66" s="1056"/>
      <c r="P66" s="2109"/>
    </row>
    <row r="67" spans="1:16" x14ac:dyDescent="0.2">
      <c r="A67" s="2103">
        <f>GM!B55</f>
        <v>6222600</v>
      </c>
      <c r="B67" s="1054">
        <f>GM!C55</f>
        <v>5331900</v>
      </c>
      <c r="C67" s="1054">
        <f>GM!D55</f>
        <v>3750700</v>
      </c>
      <c r="D67" s="35" t="str">
        <f>D5</f>
        <v>General Manager's Group</v>
      </c>
      <c r="E67" s="233"/>
      <c r="F67" s="1054">
        <f>GM!G55</f>
        <v>5598600</v>
      </c>
      <c r="G67" s="1055">
        <f>GM!I55</f>
        <v>7604600</v>
      </c>
      <c r="H67" s="1055">
        <f>GM!J55</f>
        <v>1809000</v>
      </c>
      <c r="I67" s="1055">
        <f>GM!K55</f>
        <v>6434000</v>
      </c>
      <c r="J67" s="1055">
        <f>GM!L55</f>
        <v>1088000</v>
      </c>
      <c r="K67" s="1055">
        <f>GM!M55</f>
        <v>142000</v>
      </c>
      <c r="L67" s="1055">
        <f>GM!N55</f>
        <v>1046000</v>
      </c>
      <c r="M67" s="1054">
        <f>GM!O55</f>
        <v>2663000</v>
      </c>
      <c r="N67" s="1054">
        <f>GM!P55</f>
        <v>1680000</v>
      </c>
      <c r="O67" s="1054">
        <f>GM!Q55</f>
        <v>2698000</v>
      </c>
      <c r="P67" s="2108">
        <f>GM!R55</f>
        <v>2766000</v>
      </c>
    </row>
    <row r="68" spans="1:16" x14ac:dyDescent="0.2">
      <c r="A68" s="2103">
        <f>DEH!B41</f>
        <v>796900</v>
      </c>
      <c r="B68" s="1054">
        <f>DEH!C41</f>
        <v>22400</v>
      </c>
      <c r="C68" s="1054">
        <f>DEH!D41</f>
        <v>5100</v>
      </c>
      <c r="D68" s="35" t="str">
        <f>D6</f>
        <v>Development &amp; Envi Health Group</v>
      </c>
      <c r="E68" s="233"/>
      <c r="F68" s="1054">
        <f>DEH!G41</f>
        <v>267000</v>
      </c>
      <c r="G68" s="1055">
        <f>DEH!I41</f>
        <v>208000</v>
      </c>
      <c r="H68" s="1055">
        <f>DEH!J41</f>
        <v>0</v>
      </c>
      <c r="I68" s="1055">
        <f>DEH!K41</f>
        <v>0</v>
      </c>
      <c r="J68" s="1055">
        <f>DEH!L41</f>
        <v>0</v>
      </c>
      <c r="K68" s="1055">
        <f>DEH!M41</f>
        <v>0</v>
      </c>
      <c r="L68" s="1055">
        <f>DEH!N41</f>
        <v>0</v>
      </c>
      <c r="M68" s="1054">
        <f>DEH!O41</f>
        <v>0</v>
      </c>
      <c r="N68" s="1054">
        <f>DEH!P41</f>
        <v>0</v>
      </c>
      <c r="O68" s="1054">
        <f>DEH!Q41</f>
        <v>0</v>
      </c>
      <c r="P68" s="2108">
        <f>DEH!R41</f>
        <v>0</v>
      </c>
    </row>
    <row r="69" spans="1:16" x14ac:dyDescent="0.2">
      <c r="A69" s="2103">
        <f>CIV!B65</f>
        <v>20544100</v>
      </c>
      <c r="B69" s="1054">
        <f>CIV!C65</f>
        <v>12522400</v>
      </c>
      <c r="C69" s="1054">
        <f>CIV!D65</f>
        <v>18610900</v>
      </c>
      <c r="D69" s="35" t="str">
        <f>D7</f>
        <v>Civil Services</v>
      </c>
      <c r="E69" s="233"/>
      <c r="F69" s="1054">
        <f>CIV!G65</f>
        <v>29070300</v>
      </c>
      <c r="G69" s="1055">
        <f>CIV!I65</f>
        <v>19919100</v>
      </c>
      <c r="H69" s="1055">
        <f>CIV!J65</f>
        <v>29719100</v>
      </c>
      <c r="I69" s="1055">
        <f>CIV!K65</f>
        <v>9948300</v>
      </c>
      <c r="J69" s="1055">
        <f>CIV!L65</f>
        <v>37303300</v>
      </c>
      <c r="K69" s="1055">
        <f>CIV!M65</f>
        <v>25949900</v>
      </c>
      <c r="L69" s="1055">
        <f>CIV!N65</f>
        <v>12943900</v>
      </c>
      <c r="M69" s="1054">
        <f>CIV!O65</f>
        <v>14746500</v>
      </c>
      <c r="N69" s="1054">
        <f>CIV!P65</f>
        <v>13748700</v>
      </c>
      <c r="O69" s="1054">
        <f>CIV!Q65</f>
        <v>14789500</v>
      </c>
      <c r="P69" s="2108">
        <f>CIV!R65</f>
        <v>16937900</v>
      </c>
    </row>
    <row r="70" spans="1:16" x14ac:dyDescent="0.2">
      <c r="A70" s="2103">
        <f>SP!B47</f>
        <v>314000</v>
      </c>
      <c r="B70" s="1054">
        <f>SP!C47</f>
        <v>332400</v>
      </c>
      <c r="C70" s="1054">
        <f>SP!D47</f>
        <v>521100</v>
      </c>
      <c r="D70" s="35" t="str">
        <f>D8</f>
        <v>Strategic &amp; Comm Facs Group</v>
      </c>
      <c r="E70" s="233"/>
      <c r="F70" s="1054">
        <f>SP!G47</f>
        <v>8142000</v>
      </c>
      <c r="G70" s="1055">
        <f>SP!I47</f>
        <v>7207800</v>
      </c>
      <c r="H70" s="1055">
        <f>SP!J47</f>
        <v>2024000</v>
      </c>
      <c r="I70" s="1055">
        <f>SP!K47</f>
        <v>1025000</v>
      </c>
      <c r="J70" s="1055">
        <f>SP!L47</f>
        <v>4026000</v>
      </c>
      <c r="K70" s="1055">
        <f>SP!M47</f>
        <v>27000</v>
      </c>
      <c r="L70" s="1055">
        <f>SP!N47</f>
        <v>28000</v>
      </c>
      <c r="M70" s="1054">
        <f>SP!O47</f>
        <v>29000</v>
      </c>
      <c r="N70" s="1054">
        <f>SP!P47</f>
        <v>30000</v>
      </c>
      <c r="O70" s="1054">
        <f>SP!Q47</f>
        <v>31000</v>
      </c>
      <c r="P70" s="2108">
        <f>SP!R47</f>
        <v>32000</v>
      </c>
    </row>
    <row r="71" spans="1:16" x14ac:dyDescent="0.2">
      <c r="A71" s="2103">
        <f>'Cash-Gen'!A80</f>
        <v>-27877900</v>
      </c>
      <c r="B71" s="1054">
        <f>'Cash-Gen'!B80+24300</f>
        <v>-18209100</v>
      </c>
      <c r="C71" s="1054">
        <f>'Cash-Gen'!C80+9000</f>
        <v>-22887800</v>
      </c>
      <c r="D71" s="35" t="s">
        <v>119</v>
      </c>
      <c r="E71" s="233"/>
      <c r="F71" s="1054">
        <f>'Cash-Gen'!E80</f>
        <v>-43077900</v>
      </c>
      <c r="G71" s="1055">
        <f>'Cash-Gen'!F80</f>
        <v>-34939500</v>
      </c>
      <c r="H71" s="1055">
        <f>'Cash-Gen'!G80</f>
        <v>-33552100</v>
      </c>
      <c r="I71" s="1055">
        <f>'Cash-Gen'!H80</f>
        <v>-17407300</v>
      </c>
      <c r="J71" s="1055">
        <f>'Cash-Gen'!I80</f>
        <v>-42417300</v>
      </c>
      <c r="K71" s="1055">
        <f>'Cash-Gen'!J80</f>
        <v>-26118900</v>
      </c>
      <c r="L71" s="1055">
        <f>'Cash-Gen'!K80</f>
        <v>-14017900</v>
      </c>
      <c r="M71" s="1054">
        <f>'Cash-Gen'!L80</f>
        <v>-17438500</v>
      </c>
      <c r="N71" s="1054">
        <f>'Cash-Gen'!M80</f>
        <v>-15458700</v>
      </c>
      <c r="O71" s="1054">
        <f>'Cash-Gen'!N80</f>
        <v>-17518500</v>
      </c>
      <c r="P71" s="2108">
        <f>'Cash-Gen'!O80</f>
        <v>-19735900</v>
      </c>
    </row>
    <row r="72" spans="1:16" s="40" customFormat="1" x14ac:dyDescent="0.2">
      <c r="A72" s="2106">
        <f>ROUND(SUM(A67:A71),-3)</f>
        <v>0</v>
      </c>
      <c r="B72" s="1052">
        <f>SUM(B67:B71)</f>
        <v>0</v>
      </c>
      <c r="C72" s="1052">
        <f>SUM(C67:C71)</f>
        <v>0</v>
      </c>
      <c r="D72" s="58" t="s">
        <v>1763</v>
      </c>
      <c r="E72" s="83"/>
      <c r="F72" s="1052">
        <f>SUM(F67:F71)</f>
        <v>0</v>
      </c>
      <c r="G72" s="1053">
        <f t="shared" ref="G72:M72" si="31">SUM(G67:G71)</f>
        <v>0</v>
      </c>
      <c r="H72" s="1053">
        <f t="shared" si="31"/>
        <v>0</v>
      </c>
      <c r="I72" s="1053">
        <f t="shared" si="31"/>
        <v>0</v>
      </c>
      <c r="J72" s="1053">
        <f t="shared" si="31"/>
        <v>0</v>
      </c>
      <c r="K72" s="1053">
        <f t="shared" si="31"/>
        <v>0</v>
      </c>
      <c r="L72" s="1053">
        <f t="shared" si="31"/>
        <v>0</v>
      </c>
      <c r="M72" s="1052">
        <f t="shared" si="31"/>
        <v>0</v>
      </c>
      <c r="N72" s="1052">
        <f t="shared" ref="N72:O72" si="32">SUM(N67:N71)</f>
        <v>0</v>
      </c>
      <c r="O72" s="1052">
        <f t="shared" si="32"/>
        <v>0</v>
      </c>
      <c r="P72" s="2107">
        <f t="shared" ref="P72" si="33">SUM(P67:P71)</f>
        <v>0</v>
      </c>
    </row>
    <row r="73" spans="1:16" x14ac:dyDescent="0.2">
      <c r="A73" s="2103"/>
      <c r="B73" s="1054"/>
      <c r="C73" s="1054"/>
      <c r="D73" s="35"/>
      <c r="E73" s="233"/>
      <c r="F73" s="1054"/>
      <c r="G73" s="1055"/>
      <c r="H73" s="1055"/>
      <c r="I73" s="1055"/>
      <c r="J73" s="1055"/>
      <c r="K73" s="1055"/>
      <c r="L73" s="1055"/>
      <c r="M73" s="1054"/>
      <c r="N73" s="1054"/>
      <c r="O73" s="1054"/>
      <c r="P73" s="2108"/>
    </row>
    <row r="74" spans="1:16" s="40" customFormat="1" x14ac:dyDescent="0.2">
      <c r="A74" s="212"/>
      <c r="B74" s="1056"/>
      <c r="C74" s="1056"/>
      <c r="D74" s="58" t="s">
        <v>2280</v>
      </c>
      <c r="E74" s="83"/>
      <c r="F74" s="1056"/>
      <c r="G74" s="1057"/>
      <c r="H74" s="1057"/>
      <c r="I74" s="1057"/>
      <c r="J74" s="1057"/>
      <c r="K74" s="1057"/>
      <c r="L74" s="1057"/>
      <c r="M74" s="1056"/>
      <c r="N74" s="1056"/>
      <c r="O74" s="1056"/>
      <c r="P74" s="2109"/>
    </row>
    <row r="75" spans="1:16" s="40" customFormat="1" x14ac:dyDescent="0.2">
      <c r="A75" s="212"/>
      <c r="B75" s="1056"/>
      <c r="C75" s="1056"/>
      <c r="D75" s="61"/>
      <c r="E75" s="83"/>
      <c r="F75" s="1056"/>
      <c r="G75" s="1057"/>
      <c r="H75" s="1057"/>
      <c r="I75" s="1057"/>
      <c r="J75" s="1057"/>
      <c r="K75" s="1057"/>
      <c r="L75" s="1057"/>
      <c r="M75" s="1056"/>
      <c r="N75" s="1056"/>
      <c r="O75" s="1056"/>
      <c r="P75" s="2109"/>
    </row>
    <row r="76" spans="1:16" x14ac:dyDescent="0.2">
      <c r="A76" s="2105">
        <f>ROUND('Cash-W'!A72,-2)</f>
        <v>1038300</v>
      </c>
      <c r="B76" s="1054">
        <f>'Cash-W'!B72</f>
        <v>1727000</v>
      </c>
      <c r="C76" s="1054">
        <f>'Cash-W'!C72</f>
        <v>186400</v>
      </c>
      <c r="D76" s="35" t="s">
        <v>1764</v>
      </c>
      <c r="E76" s="233"/>
      <c r="F76" s="1054">
        <f>'Cash-W'!F72</f>
        <v>1860000</v>
      </c>
      <c r="G76" s="1055">
        <f>'Cash-W'!G72</f>
        <v>1322000</v>
      </c>
      <c r="H76" s="1055">
        <f>'Cash-W'!H72</f>
        <v>2959000</v>
      </c>
      <c r="I76" s="1055">
        <f>'Cash-W'!I72</f>
        <v>1485000</v>
      </c>
      <c r="J76" s="1055">
        <f>'Cash-W'!J72</f>
        <v>238000</v>
      </c>
      <c r="K76" s="1055">
        <f>'Cash-W'!K72</f>
        <v>1663000</v>
      </c>
      <c r="L76" s="1055">
        <f>'Cash-W'!L72</f>
        <v>3211000</v>
      </c>
      <c r="M76" s="1054">
        <f>'Cash-W'!M72</f>
        <v>587500</v>
      </c>
      <c r="N76" s="1054">
        <f>'Cash-W'!N72</f>
        <v>809300</v>
      </c>
      <c r="O76" s="1054">
        <f>'Cash-W'!P72</f>
        <v>0</v>
      </c>
      <c r="P76" s="2108">
        <f>'Cash-W'!Q72</f>
        <v>0</v>
      </c>
    </row>
    <row r="77" spans="1:16" x14ac:dyDescent="0.2">
      <c r="A77" s="2103">
        <f>-(('Cash-W'!A18+'Cash-W'!A44))</f>
        <v>-1038300</v>
      </c>
      <c r="B77" s="1054">
        <f>-(('Cash-W'!B18+'Cash-W'!B44))</f>
        <v>-1727000</v>
      </c>
      <c r="C77" s="1054">
        <f>-(('Cash-W'!C18+'Cash-W'!C44))</f>
        <v>-186400</v>
      </c>
      <c r="D77" s="35" t="s">
        <v>1762</v>
      </c>
      <c r="E77" s="233"/>
      <c r="F77" s="1054">
        <f>-(('Cash-W'!F18+'Cash-W'!F44))</f>
        <v>-1860000</v>
      </c>
      <c r="G77" s="1055">
        <f>-(('Cash-W'!G18+'Cash-W'!G44))</f>
        <v>-1322000</v>
      </c>
      <c r="H77" s="1055">
        <f>-(('Cash-W'!H18+'Cash-W'!H44))</f>
        <v>-2959000</v>
      </c>
      <c r="I77" s="1055">
        <f>-(('Cash-W'!I18+'Cash-W'!I44))</f>
        <v>-1485000</v>
      </c>
      <c r="J77" s="1055">
        <f>-(('Cash-W'!J18+'Cash-W'!J44))</f>
        <v>-238000</v>
      </c>
      <c r="K77" s="1055">
        <f>-(('Cash-W'!K18+'Cash-W'!K44))</f>
        <v>-1663000</v>
      </c>
      <c r="L77" s="1055">
        <f>-(('Cash-W'!L18+'Cash-W'!L44))</f>
        <v>-3211000</v>
      </c>
      <c r="M77" s="1054">
        <f>-(('Cash-W'!M18+'Cash-W'!M44))</f>
        <v>-587500</v>
      </c>
      <c r="N77" s="1054">
        <f>-(('Cash-W'!N18+'Cash-W'!N44))</f>
        <v>-809300</v>
      </c>
      <c r="O77" s="1054">
        <f>-(('Cash-W'!P18+'Cash-W'!P44))</f>
        <v>0</v>
      </c>
      <c r="P77" s="2108">
        <f>-(('Cash-W'!Q18+'Cash-W'!Q44))</f>
        <v>0</v>
      </c>
    </row>
    <row r="78" spans="1:16" s="40" customFormat="1" x14ac:dyDescent="0.2">
      <c r="A78" s="2106">
        <f>ROUND(SUM(A76:A77),-2)</f>
        <v>0</v>
      </c>
      <c r="B78" s="1052">
        <f>SUM(B76:B77)</f>
        <v>0</v>
      </c>
      <c r="C78" s="1052">
        <f>SUM(C76:C77)</f>
        <v>0</v>
      </c>
      <c r="D78" s="58" t="s">
        <v>1763</v>
      </c>
      <c r="E78" s="83"/>
      <c r="F78" s="1052">
        <f t="shared" ref="F78:M78" si="34">SUM(F76:F77)</f>
        <v>0</v>
      </c>
      <c r="G78" s="1053">
        <f t="shared" si="34"/>
        <v>0</v>
      </c>
      <c r="H78" s="1053">
        <f t="shared" si="34"/>
        <v>0</v>
      </c>
      <c r="I78" s="1053">
        <f t="shared" si="34"/>
        <v>0</v>
      </c>
      <c r="J78" s="1053">
        <f t="shared" si="34"/>
        <v>0</v>
      </c>
      <c r="K78" s="1053">
        <f t="shared" si="34"/>
        <v>0</v>
      </c>
      <c r="L78" s="1053">
        <f t="shared" si="34"/>
        <v>0</v>
      </c>
      <c r="M78" s="1052">
        <f t="shared" si="34"/>
        <v>0</v>
      </c>
      <c r="N78" s="1052">
        <f t="shared" ref="N78:O78" si="35">SUM(N76:N77)</f>
        <v>0</v>
      </c>
      <c r="O78" s="1052">
        <f t="shared" si="35"/>
        <v>0</v>
      </c>
      <c r="P78" s="2107">
        <f t="shared" ref="P78" si="36">SUM(P76:P77)</f>
        <v>0</v>
      </c>
    </row>
    <row r="79" spans="1:16" x14ac:dyDescent="0.2">
      <c r="A79" s="2103"/>
      <c r="B79" s="1054"/>
      <c r="C79" s="1054"/>
      <c r="D79" s="35"/>
      <c r="E79" s="233"/>
      <c r="F79" s="1054"/>
      <c r="G79" s="1055"/>
      <c r="H79" s="1055"/>
      <c r="I79" s="1055"/>
      <c r="J79" s="1055"/>
      <c r="K79" s="1055"/>
      <c r="L79" s="1055"/>
      <c r="M79" s="1054"/>
      <c r="N79" s="1054"/>
      <c r="O79" s="1054"/>
      <c r="P79" s="2108"/>
    </row>
    <row r="80" spans="1:16" x14ac:dyDescent="0.2">
      <c r="A80" s="2103">
        <f>ROUND('Cash-WW'!A67,-2)</f>
        <v>213700</v>
      </c>
      <c r="B80" s="1054">
        <f>'Cash-WW'!B67</f>
        <v>0</v>
      </c>
      <c r="C80" s="1054">
        <f>'Cash-WW'!C70</f>
        <v>174600</v>
      </c>
      <c r="D80" s="35" t="s">
        <v>3354</v>
      </c>
      <c r="E80" s="233"/>
      <c r="F80" s="1054">
        <f>'Cash-WW'!F70</f>
        <v>2264000</v>
      </c>
      <c r="G80" s="1055">
        <f>'Cash-WW'!G70</f>
        <v>2685000</v>
      </c>
      <c r="H80" s="1055">
        <f>'Cash-WW'!H70</f>
        <v>4883000</v>
      </c>
      <c r="I80" s="1055">
        <f>'Cash-WW'!I70</f>
        <v>7212000</v>
      </c>
      <c r="J80" s="1055">
        <f>'Cash-WW'!J70</f>
        <v>3232500</v>
      </c>
      <c r="K80" s="1055">
        <f>'Cash-WW'!K70</f>
        <v>1327000</v>
      </c>
      <c r="L80" s="1055">
        <f>'Cash-WW'!L70</f>
        <v>1941000</v>
      </c>
      <c r="M80" s="1054">
        <f>'Cash-WW'!M70</f>
        <v>1519000</v>
      </c>
      <c r="N80" s="1054">
        <f>'Cash-WW'!N70</f>
        <v>1618000</v>
      </c>
      <c r="O80" s="1054">
        <f>'Cash-WW'!P70</f>
        <v>1814000</v>
      </c>
      <c r="P80" s="2108">
        <f>'Cash-WW'!Q70</f>
        <v>0</v>
      </c>
    </row>
    <row r="81" spans="1:16" x14ac:dyDescent="0.2">
      <c r="A81" s="2103">
        <f>-(('Cash-WW'!A18+'Cash-WW'!A44))</f>
        <v>-213700</v>
      </c>
      <c r="B81" s="1054">
        <f>-(('Cash-WW'!B18+'Cash-WW'!B44))</f>
        <v>0</v>
      </c>
      <c r="C81" s="1054">
        <f>-(('Cash-WW'!C18+'Cash-WW'!C44))</f>
        <v>-174600</v>
      </c>
      <c r="D81" s="35" t="s">
        <v>1762</v>
      </c>
      <c r="E81" s="233"/>
      <c r="F81" s="1054">
        <f>-(('Cash-WW'!F18+'Cash-WW'!F44))</f>
        <v>-2264000</v>
      </c>
      <c r="G81" s="1055">
        <f>-(('Cash-WW'!G18+'Cash-WW'!G44))</f>
        <v>-2685000</v>
      </c>
      <c r="H81" s="1055">
        <f>-(('Cash-WW'!H18+'Cash-WW'!H44))</f>
        <v>-4883000</v>
      </c>
      <c r="I81" s="1055">
        <f>-(('Cash-WW'!I18+'Cash-WW'!I44))</f>
        <v>-7212000</v>
      </c>
      <c r="J81" s="1055">
        <f>-(('Cash-WW'!J18+'Cash-WW'!J44))</f>
        <v>-3232500</v>
      </c>
      <c r="K81" s="1055">
        <f>-(('Cash-WW'!K18+'Cash-WW'!K44))</f>
        <v>-1327000</v>
      </c>
      <c r="L81" s="1055">
        <f>-(('Cash-WW'!L18+'Cash-WW'!L44))</f>
        <v>-1941000</v>
      </c>
      <c r="M81" s="1054">
        <f>-(('Cash-WW'!M18+'Cash-WW'!M44))</f>
        <v>-1519000</v>
      </c>
      <c r="N81" s="1054">
        <f>-(('Cash-WW'!N18+'Cash-WW'!N44))</f>
        <v>-1618000</v>
      </c>
      <c r="O81" s="1054">
        <f>-(('Cash-WW'!P18+'Cash-WW'!P44))</f>
        <v>-1814000</v>
      </c>
      <c r="P81" s="2108">
        <f>-(('Cash-WW'!Q18+'Cash-WW'!Q44))</f>
        <v>0</v>
      </c>
    </row>
    <row r="82" spans="1:16" s="40" customFormat="1" x14ac:dyDescent="0.2">
      <c r="A82" s="2106">
        <f>SUM(A80:A81)</f>
        <v>0</v>
      </c>
      <c r="B82" s="1052">
        <f>SUM(B80:B81)</f>
        <v>0</v>
      </c>
      <c r="C82" s="1052">
        <f>SUM(C80:C81)</f>
        <v>0</v>
      </c>
      <c r="D82" s="58" t="s">
        <v>1763</v>
      </c>
      <c r="E82" s="83"/>
      <c r="F82" s="1052">
        <f t="shared" ref="F82:M82" si="37">SUM(F80:F81)</f>
        <v>0</v>
      </c>
      <c r="G82" s="1053">
        <f t="shared" si="37"/>
        <v>0</v>
      </c>
      <c r="H82" s="1053">
        <f t="shared" si="37"/>
        <v>0</v>
      </c>
      <c r="I82" s="1053">
        <f t="shared" si="37"/>
        <v>0</v>
      </c>
      <c r="J82" s="1053">
        <f t="shared" si="37"/>
        <v>0</v>
      </c>
      <c r="K82" s="1053">
        <f t="shared" si="37"/>
        <v>0</v>
      </c>
      <c r="L82" s="1053">
        <f t="shared" si="37"/>
        <v>0</v>
      </c>
      <c r="M82" s="1052">
        <f t="shared" si="37"/>
        <v>0</v>
      </c>
      <c r="N82" s="1052">
        <f t="shared" ref="N82:O82" si="38">SUM(N80:N81)</f>
        <v>0</v>
      </c>
      <c r="O82" s="1052">
        <f t="shared" si="38"/>
        <v>0</v>
      </c>
      <c r="P82" s="2107">
        <f t="shared" ref="P82" si="39">SUM(P80:P81)</f>
        <v>0</v>
      </c>
    </row>
    <row r="83" spans="1:16" s="118" customFormat="1" x14ac:dyDescent="0.2">
      <c r="A83" s="292"/>
      <c r="B83" s="1049"/>
      <c r="C83" s="1049"/>
      <c r="D83" s="145"/>
      <c r="E83" s="160"/>
      <c r="F83" s="1049"/>
      <c r="G83" s="1050"/>
      <c r="H83" s="1050"/>
      <c r="I83" s="1050"/>
      <c r="J83" s="1050"/>
      <c r="K83" s="1050"/>
      <c r="L83" s="1050"/>
      <c r="M83" s="1049"/>
      <c r="N83" s="1049"/>
      <c r="O83" s="1049"/>
      <c r="P83" s="1051"/>
    </row>
    <row r="84" spans="1:16" s="118" customFormat="1" x14ac:dyDescent="0.2">
      <c r="A84" s="292"/>
      <c r="B84" s="1049">
        <f>'Sec 94'!A11+'Cash-Gen'!B57+SP!C62-'Sec 94'!C96-'Sec 94'!C11</f>
        <v>0</v>
      </c>
      <c r="C84" s="1049">
        <f>'Sec 94'!C11+'Cash-Gen'!C57+SP!D62-'Sec 94'!E96-'Sec 94'!E11+SUM(GM!D886:D887)-'Sec 94'!E26</f>
        <v>0</v>
      </c>
      <c r="D84" s="145" t="s">
        <v>661</v>
      </c>
      <c r="E84" s="160"/>
      <c r="F84" s="1049">
        <f>'Sec 94'!E11+'Cash-Gen'!E57+SP!G62-'Sec 94'!F96-'Sec 94'!F11+SUM(GM!G886:G887)</f>
        <v>0</v>
      </c>
      <c r="G84" s="1050">
        <f>'Sec 94'!F11+'Cash-Gen'!F57+SP!I62-'Sec 94'!G96-'Sec 94'!G11+SUM(GM!I886:I887)</f>
        <v>0</v>
      </c>
      <c r="H84" s="1050">
        <f>'Sec 94'!G11+'Cash-Gen'!G57+SP!J62-'Sec 94'!H96-'Sec 94'!H11+SUM(GM!J886:J887)</f>
        <v>0</v>
      </c>
      <c r="I84" s="1050">
        <f>'Sec 94'!H11+'Cash-Gen'!H57+SP!K62-'Sec 94'!I96-'Sec 94'!I11+SUM(GM!K886:K887)</f>
        <v>0</v>
      </c>
      <c r="J84" s="1050">
        <f>'Sec 94'!I11+'Cash-Gen'!I57+SP!L62-'Sec 94'!J96-'Sec 94'!J11+SUM(GM!L886:L887)</f>
        <v>0</v>
      </c>
      <c r="K84" s="1050">
        <f>'Sec 94'!J11+'Cash-Gen'!J57+SP!M62-'Sec 94'!K96-'Sec 94'!K11+SUM(GM!M886:M887)</f>
        <v>0</v>
      </c>
      <c r="L84" s="1050">
        <f>'Sec 94'!K11+'Cash-Gen'!K57+SP!N62-'Sec 94'!L96-'Sec 94'!L11+SUM(GM!N886:N887)</f>
        <v>0</v>
      </c>
      <c r="M84" s="1049">
        <f>'Sec 94'!L11+'Cash-Gen'!L57+SP!O62-'Sec 94'!M96-'Sec 94'!M11+SUM(GM!O886:O887)</f>
        <v>0</v>
      </c>
      <c r="N84" s="1049">
        <f>'Sec 94'!M11+'Cash-Gen'!M57+SP!P62-'Sec 94'!N96-'Sec 94'!N11+SUM(GM!P886:P887)</f>
        <v>0</v>
      </c>
      <c r="O84" s="1049">
        <f>'Sec 94'!N11+'Cash-Gen'!N57+SP!Q62-'Sec 94'!O96-'Sec 94'!O11+SUM(GM!Q886:Q887)</f>
        <v>0</v>
      </c>
      <c r="P84" s="1051">
        <f>'Sec 94'!O11+'Cash-Gen'!O57+SP!R62-'Sec 94'!P96-'Sec 94'!P11+SUM(GM!R886:R887)</f>
        <v>0</v>
      </c>
    </row>
    <row r="85" spans="1:16" s="118" customFormat="1" x14ac:dyDescent="0.2">
      <c r="A85" s="292">
        <f>ROUND(+'Sec 94'!A29+SP!B13,-2)</f>
        <v>0</v>
      </c>
      <c r="B85" s="1049">
        <f>ROUND(+'Sec 94'!B29+SP!C13,-2)</f>
        <v>0</v>
      </c>
      <c r="C85" s="1049">
        <f>ROUND('Res-Bal'!D6-'Sec 94'!E11,-3)</f>
        <v>0</v>
      </c>
      <c r="D85" s="145" t="s">
        <v>758</v>
      </c>
      <c r="E85" s="160"/>
      <c r="F85" s="1049">
        <f>ROUND('Res-Bal'!G6-'Sec 94'!F11,-3)</f>
        <v>0</v>
      </c>
      <c r="G85" s="1050">
        <f>ROUND('Res-Bal'!J6-'Sec 94'!G11,-3)</f>
        <v>0</v>
      </c>
      <c r="H85" s="1050">
        <f>ROUND('Res-Bal'!M6-'Sec 94'!H11,-3)</f>
        <v>0</v>
      </c>
      <c r="I85" s="1050">
        <f>ROUND('Res-Bal'!P6-'Sec 94'!I11,-3)</f>
        <v>0</v>
      </c>
      <c r="J85" s="1050">
        <f>ROUND('Res-Bal'!S6-'Sec 94'!J11,-3)</f>
        <v>0</v>
      </c>
      <c r="K85" s="1050">
        <f>ROUND('Res-Bal'!V6-'Sec 94'!K11,-3)</f>
        <v>0</v>
      </c>
      <c r="L85" s="1050">
        <f>ROUND('Res-Bal'!Y6-'Sec 94'!L11,-3)</f>
        <v>0</v>
      </c>
      <c r="M85" s="1049">
        <f>ROUND('Res-Bal'!AB6-'Sec 94'!M11,-3)</f>
        <v>0</v>
      </c>
      <c r="N85" s="1049">
        <f>ROUND('Res-Bal'!AE6-'Sec 94'!N11,-3)</f>
        <v>0</v>
      </c>
      <c r="O85" s="1049">
        <f>ROUND('Res-Bal'!AH6-'Sec 94'!O11,-3)</f>
        <v>0</v>
      </c>
      <c r="P85" s="1051">
        <f>ROUND('Res-Bal'!AK6-'Sec 94'!P11,-3)</f>
        <v>0</v>
      </c>
    </row>
    <row r="86" spans="1:16" s="118" customFormat="1" x14ac:dyDescent="0.2">
      <c r="A86" s="292"/>
      <c r="B86" s="1049"/>
      <c r="C86" s="1049"/>
      <c r="D86" s="145"/>
      <c r="E86" s="160"/>
      <c r="F86" s="1049"/>
      <c r="G86" s="1050"/>
      <c r="H86" s="1050"/>
      <c r="I86" s="1050"/>
      <c r="J86" s="1050"/>
      <c r="K86" s="1050"/>
      <c r="L86" s="1050"/>
      <c r="M86" s="1049"/>
      <c r="N86" s="1049"/>
      <c r="O86" s="1049"/>
      <c r="P86" s="1051"/>
    </row>
    <row r="87" spans="1:16" s="118" customFormat="1" x14ac:dyDescent="0.2">
      <c r="A87" s="292"/>
      <c r="B87" s="1049"/>
      <c r="C87" s="1049"/>
      <c r="D87" s="145" t="s">
        <v>3396</v>
      </c>
      <c r="E87" s="160"/>
      <c r="F87" s="1049"/>
      <c r="G87" s="1050"/>
      <c r="H87" s="1050"/>
      <c r="I87" s="1050"/>
      <c r="J87" s="1050"/>
      <c r="K87" s="1050"/>
      <c r="L87" s="1050"/>
      <c r="M87" s="1049"/>
      <c r="N87" s="1049"/>
      <c r="O87" s="1049"/>
      <c r="P87" s="1051"/>
    </row>
    <row r="88" spans="1:16" s="84" customFormat="1" x14ac:dyDescent="0.2">
      <c r="A88" s="107"/>
      <c r="B88" s="150"/>
      <c r="C88" s="150"/>
      <c r="D88" s="99" t="s">
        <v>165</v>
      </c>
      <c r="E88" s="142"/>
      <c r="F88" s="150">
        <f>'Cap-Water'!F85</f>
        <v>0</v>
      </c>
      <c r="G88" s="152">
        <f>'Cap-Water'!G85</f>
        <v>0</v>
      </c>
      <c r="H88" s="152">
        <f>'Cap-Water'!H85</f>
        <v>0</v>
      </c>
      <c r="I88" s="152">
        <f>'Cap-Water'!I85</f>
        <v>0</v>
      </c>
      <c r="J88" s="152">
        <f>'Cap-Water'!J85</f>
        <v>0</v>
      </c>
      <c r="K88" s="152">
        <f>'Cap-Water'!K85</f>
        <v>0</v>
      </c>
      <c r="L88" s="152">
        <f>'Cap-Water'!L85</f>
        <v>0</v>
      </c>
      <c r="M88" s="150">
        <f>'Cap-Water'!M85</f>
        <v>0</v>
      </c>
      <c r="N88" s="150">
        <f>'Cap-Water'!N85</f>
        <v>0</v>
      </c>
      <c r="O88" s="150">
        <f>'Cap-Water'!O85</f>
        <v>0</v>
      </c>
      <c r="P88" s="1058">
        <f>'Cap-Water'!P85</f>
        <v>0</v>
      </c>
    </row>
    <row r="89" spans="1:16" s="84" customFormat="1" x14ac:dyDescent="0.2">
      <c r="A89" s="107"/>
      <c r="B89" s="150"/>
      <c r="C89" s="150"/>
      <c r="D89" s="99" t="s">
        <v>3354</v>
      </c>
      <c r="E89" s="142"/>
      <c r="F89" s="150">
        <f>'Cap-WW'!G137</f>
        <v>0</v>
      </c>
      <c r="G89" s="152">
        <f>'Cap-WW'!H137</f>
        <v>0</v>
      </c>
      <c r="H89" s="152">
        <f>'Cap-WW'!I137</f>
        <v>0</v>
      </c>
      <c r="I89" s="152">
        <f>'Cap-WW'!J137</f>
        <v>0</v>
      </c>
      <c r="J89" s="152">
        <f>'Cap-WW'!K137</f>
        <v>0</v>
      </c>
      <c r="K89" s="152">
        <f>'Cap-WW'!L137</f>
        <v>0</v>
      </c>
      <c r="L89" s="152">
        <f>'Cap-WW'!M137</f>
        <v>0</v>
      </c>
      <c r="M89" s="150">
        <f>'Cap-WW'!N137</f>
        <v>0</v>
      </c>
      <c r="N89" s="150">
        <f>'Cap-WW'!O137</f>
        <v>0</v>
      </c>
      <c r="O89" s="150">
        <f>'Cap-WW'!P137</f>
        <v>0</v>
      </c>
      <c r="P89" s="1058">
        <f>'Cap-WW'!Q137</f>
        <v>0</v>
      </c>
    </row>
    <row r="90" spans="1:16" s="118" customFormat="1" x14ac:dyDescent="0.2">
      <c r="A90" s="292"/>
      <c r="B90" s="1049"/>
      <c r="C90" s="1049"/>
      <c r="D90" s="145"/>
      <c r="E90" s="160"/>
      <c r="F90" s="1049"/>
      <c r="G90" s="1050"/>
      <c r="H90" s="1050"/>
      <c r="I90" s="1050"/>
      <c r="J90" s="1050"/>
      <c r="K90" s="1050"/>
      <c r="L90" s="1050"/>
      <c r="M90" s="1049"/>
      <c r="N90" s="1049"/>
      <c r="O90" s="1049"/>
      <c r="P90" s="1051"/>
    </row>
    <row r="91" spans="1:16" s="118" customFormat="1" x14ac:dyDescent="0.2">
      <c r="A91" s="292"/>
      <c r="B91" s="1049"/>
      <c r="C91" s="1049"/>
      <c r="D91" s="145" t="s">
        <v>662</v>
      </c>
      <c r="E91" s="160"/>
      <c r="F91" s="1049"/>
      <c r="G91" s="1050"/>
      <c r="H91" s="1050"/>
      <c r="I91" s="1050"/>
      <c r="J91" s="1050"/>
      <c r="K91" s="1050"/>
      <c r="L91" s="1050"/>
      <c r="M91" s="1049"/>
      <c r="N91" s="1049"/>
      <c r="O91" s="1049"/>
      <c r="P91" s="1051"/>
    </row>
    <row r="92" spans="1:16" s="133" customFormat="1" x14ac:dyDescent="0.2">
      <c r="A92" s="71">
        <f>'Cash-Gen'!A146</f>
        <v>0</v>
      </c>
      <c r="B92" s="949">
        <f>'Cash-Gen'!B146</f>
        <v>0</v>
      </c>
      <c r="C92" s="949">
        <f>'Cash-Gen'!C146</f>
        <v>0</v>
      </c>
      <c r="D92" s="78" t="s">
        <v>2240</v>
      </c>
      <c r="E92" s="130"/>
      <c r="F92" s="949">
        <f>'Cash-Gen'!E146</f>
        <v>0</v>
      </c>
      <c r="G92" s="971">
        <f>'Cash-Gen'!F146</f>
        <v>0</v>
      </c>
      <c r="H92" s="971">
        <f>'Cash-Gen'!G146</f>
        <v>0</v>
      </c>
      <c r="I92" s="971">
        <f>'Cash-Gen'!H146</f>
        <v>0</v>
      </c>
      <c r="J92" s="971">
        <f>'Cash-Gen'!I146</f>
        <v>0</v>
      </c>
      <c r="K92" s="971">
        <f>'Cash-Gen'!J146</f>
        <v>0</v>
      </c>
      <c r="L92" s="971">
        <f>'Cash-Gen'!K146</f>
        <v>0</v>
      </c>
      <c r="M92" s="949">
        <f>'Cash-Gen'!L146</f>
        <v>0</v>
      </c>
      <c r="N92" s="949">
        <f>'Cash-Gen'!M146</f>
        <v>0</v>
      </c>
      <c r="O92" s="949">
        <f>'Cash-Gen'!N146</f>
        <v>0</v>
      </c>
      <c r="P92" s="950">
        <f>'Cash-Gen'!O146</f>
        <v>0</v>
      </c>
    </row>
    <row r="93" spans="1:16" s="133" customFormat="1" x14ac:dyDescent="0.2">
      <c r="A93" s="71">
        <f>'Cash-W'!A125</f>
        <v>0</v>
      </c>
      <c r="B93" s="949">
        <f>'Cash-W'!B125</f>
        <v>0</v>
      </c>
      <c r="C93" s="949">
        <f>'Cash-W'!C125</f>
        <v>0</v>
      </c>
      <c r="D93" s="78" t="s">
        <v>1764</v>
      </c>
      <c r="E93" s="130"/>
      <c r="F93" s="949">
        <f>'Cash-W'!F125</f>
        <v>0</v>
      </c>
      <c r="G93" s="971">
        <f>'Cash-W'!G125</f>
        <v>0</v>
      </c>
      <c r="H93" s="971">
        <f>'Cash-W'!H125</f>
        <v>0</v>
      </c>
      <c r="I93" s="971">
        <f>'Cash-W'!I125</f>
        <v>0</v>
      </c>
      <c r="J93" s="971">
        <f>'Cash-W'!J125</f>
        <v>0</v>
      </c>
      <c r="K93" s="971">
        <f>'Cash-W'!K125</f>
        <v>0</v>
      </c>
      <c r="L93" s="971">
        <f>'Cash-W'!L125</f>
        <v>0</v>
      </c>
      <c r="M93" s="949">
        <f>'Cash-W'!M125</f>
        <v>0</v>
      </c>
      <c r="N93" s="949">
        <f>'Cash-W'!N125</f>
        <v>0</v>
      </c>
      <c r="O93" s="949">
        <f>'Cash-W'!P125</f>
        <v>0</v>
      </c>
      <c r="P93" s="950">
        <f>'Cash-W'!Q125</f>
        <v>0</v>
      </c>
    </row>
    <row r="94" spans="1:16" s="25" customFormat="1" x14ac:dyDescent="0.2">
      <c r="A94" s="211">
        <f>'Cash-WW'!A123</f>
        <v>0</v>
      </c>
      <c r="B94" s="1059">
        <f>'Cash-WW'!B123</f>
        <v>0</v>
      </c>
      <c r="C94" s="1059">
        <f>'Cash-WW'!C123</f>
        <v>0</v>
      </c>
      <c r="D94" s="35" t="s">
        <v>3354</v>
      </c>
      <c r="E94" s="26"/>
      <c r="F94" s="1059">
        <f>'Cash-WW'!F123</f>
        <v>0</v>
      </c>
      <c r="G94" s="1060">
        <f>'Cash-WW'!G123</f>
        <v>0</v>
      </c>
      <c r="H94" s="1060">
        <f>'Cash-WW'!H123</f>
        <v>0</v>
      </c>
      <c r="I94" s="1060">
        <f>'Cash-WW'!I123</f>
        <v>0</v>
      </c>
      <c r="J94" s="1060">
        <f>'Cash-WW'!J123</f>
        <v>0</v>
      </c>
      <c r="K94" s="1060">
        <f>'Cash-WW'!K123</f>
        <v>0</v>
      </c>
      <c r="L94" s="1060">
        <f>'Cash-WW'!L123</f>
        <v>0</v>
      </c>
      <c r="M94" s="1059">
        <f>'Cash-WW'!M123</f>
        <v>0</v>
      </c>
      <c r="N94" s="1059">
        <f>'Cash-WW'!N123</f>
        <v>0</v>
      </c>
      <c r="O94" s="1059">
        <f>'Cash-WW'!O123</f>
        <v>0</v>
      </c>
      <c r="P94" s="2110">
        <f>'Cash-WW'!P123</f>
        <v>0</v>
      </c>
    </row>
    <row r="95" spans="1:16" s="25" customFormat="1" x14ac:dyDescent="0.2">
      <c r="A95" s="211"/>
      <c r="B95" s="1059"/>
      <c r="C95" s="1059"/>
      <c r="D95" s="35"/>
      <c r="E95" s="26"/>
      <c r="F95" s="1059"/>
      <c r="G95" s="1060"/>
      <c r="H95" s="1060"/>
      <c r="I95" s="1060"/>
      <c r="J95" s="1060"/>
      <c r="K95" s="1060"/>
      <c r="L95" s="1060"/>
      <c r="M95" s="1059"/>
      <c r="N95" s="1059"/>
      <c r="O95" s="1059"/>
      <c r="P95" s="2110"/>
    </row>
    <row r="96" spans="1:16" s="44" customFormat="1" x14ac:dyDescent="0.2">
      <c r="A96" s="771"/>
      <c r="B96" s="1062"/>
      <c r="C96" s="1062"/>
      <c r="D96" s="58" t="s">
        <v>3395</v>
      </c>
      <c r="E96" s="65"/>
      <c r="F96" s="1062"/>
      <c r="G96" s="1061"/>
      <c r="H96" s="1061"/>
      <c r="I96" s="1061"/>
      <c r="J96" s="1061"/>
      <c r="K96" s="1061"/>
      <c r="L96" s="1061"/>
      <c r="M96" s="1062"/>
      <c r="N96" s="1062"/>
      <c r="O96" s="1062"/>
      <c r="P96" s="2111"/>
    </row>
    <row r="97" spans="1:16" s="25" customFormat="1" x14ac:dyDescent="0.2">
      <c r="A97" s="211"/>
      <c r="B97" s="1059"/>
      <c r="C97" s="1060"/>
      <c r="D97" s="35" t="s">
        <v>1764</v>
      </c>
      <c r="E97" s="26"/>
      <c r="F97" s="1059">
        <f>'Cap-Water'!E78</f>
        <v>0</v>
      </c>
      <c r="G97" s="1060">
        <f>'Cap-Water'!F78</f>
        <v>0</v>
      </c>
      <c r="H97" s="1060">
        <f>'Cap-Water'!G78</f>
        <v>0</v>
      </c>
      <c r="I97" s="1060">
        <f>'Cap-Water'!H78</f>
        <v>0</v>
      </c>
      <c r="J97" s="1060">
        <f>'Cap-Water'!I78</f>
        <v>0</v>
      </c>
      <c r="K97" s="1060">
        <f>'Cap-Water'!J78</f>
        <v>0</v>
      </c>
      <c r="L97" s="1060">
        <f>'Cap-Water'!K78</f>
        <v>0</v>
      </c>
      <c r="M97" s="1059">
        <f>'Cap-Water'!L78</f>
        <v>0</v>
      </c>
      <c r="N97" s="1059">
        <f>'Cap-Water'!M78</f>
        <v>0</v>
      </c>
      <c r="O97" s="1059">
        <f>'Cap-Water'!N78</f>
        <v>0</v>
      </c>
      <c r="P97" s="2110">
        <f>'Cap-Water'!O78</f>
        <v>0</v>
      </c>
    </row>
    <row r="98" spans="1:16" s="25" customFormat="1" x14ac:dyDescent="0.2">
      <c r="A98" s="211"/>
      <c r="B98" s="1059"/>
      <c r="C98" s="1059"/>
      <c r="D98" s="35" t="s">
        <v>3354</v>
      </c>
      <c r="E98" s="26"/>
      <c r="F98" s="1059">
        <f>'Cap-WW'!F129</f>
        <v>0</v>
      </c>
      <c r="G98" s="1060">
        <f>'Cap-WW'!G129</f>
        <v>0</v>
      </c>
      <c r="H98" s="1060">
        <f>'Cap-WW'!H129</f>
        <v>0</v>
      </c>
      <c r="I98" s="1060">
        <f>'Cap-WW'!I129</f>
        <v>0</v>
      </c>
      <c r="J98" s="1060">
        <f>'Cap-WW'!J129</f>
        <v>0</v>
      </c>
      <c r="K98" s="1060">
        <f>'Cap-WW'!K129</f>
        <v>0</v>
      </c>
      <c r="L98" s="1060">
        <f>'Cap-WW'!L129</f>
        <v>0</v>
      </c>
      <c r="M98" s="1059">
        <f>'Cap-WW'!M129</f>
        <v>0</v>
      </c>
      <c r="N98" s="1059">
        <f>'Cap-WW'!N129</f>
        <v>0</v>
      </c>
      <c r="O98" s="1059">
        <f>'Cap-WW'!O129</f>
        <v>0</v>
      </c>
      <c r="P98" s="2110">
        <f>'Cap-WW'!P129</f>
        <v>0</v>
      </c>
    </row>
    <row r="99" spans="1:16" s="25" customFormat="1" x14ac:dyDescent="0.2">
      <c r="A99" s="211"/>
      <c r="B99" s="1059"/>
      <c r="C99" s="1059"/>
      <c r="D99" s="35"/>
      <c r="E99" s="26"/>
      <c r="F99" s="1059"/>
      <c r="G99" s="1060"/>
      <c r="H99" s="1060"/>
      <c r="I99" s="1060"/>
      <c r="J99" s="1060"/>
      <c r="K99" s="1060"/>
      <c r="L99" s="1060"/>
      <c r="M99" s="1059"/>
      <c r="N99" s="1059"/>
      <c r="O99" s="1059"/>
      <c r="P99" s="2110"/>
    </row>
    <row r="100" spans="1:16" s="25" customFormat="1" x14ac:dyDescent="0.2">
      <c r="A100" s="211"/>
      <c r="B100" s="1059"/>
      <c r="C100" s="1059"/>
      <c r="D100" s="216" t="s">
        <v>34</v>
      </c>
      <c r="E100" s="26"/>
      <c r="F100" s="1059"/>
      <c r="G100" s="1060"/>
      <c r="H100" s="1060"/>
      <c r="I100" s="1060"/>
      <c r="J100" s="1060"/>
      <c r="K100" s="1060"/>
      <c r="L100" s="1060"/>
      <c r="M100" s="1059"/>
      <c r="N100" s="1059"/>
      <c r="O100" s="1059"/>
      <c r="P100" s="2110"/>
    </row>
    <row r="101" spans="1:16" s="25" customFormat="1" x14ac:dyDescent="0.2">
      <c r="A101" s="71"/>
      <c r="B101" s="949"/>
      <c r="C101" s="1059">
        <f>CIV!D742-CIV!D743</f>
        <v>-202000</v>
      </c>
      <c r="D101" s="22" t="s">
        <v>1131</v>
      </c>
      <c r="E101" s="26"/>
      <c r="F101" s="1059">
        <f>CIV!G742-CIV!G743</f>
        <v>628500</v>
      </c>
      <c r="G101" s="1060">
        <f>CIV!I742-CIV!I743</f>
        <v>-908100</v>
      </c>
      <c r="H101" s="1059">
        <f>CIV!J742-CIV!J743</f>
        <v>588400</v>
      </c>
      <c r="I101" s="1059">
        <f>CIV!K742-CIV!K743</f>
        <v>621000</v>
      </c>
      <c r="J101" s="1059">
        <f>CIV!L742-CIV!L743</f>
        <v>-945300</v>
      </c>
      <c r="K101" s="1059">
        <f>CIV!M742-CIV!M743</f>
        <v>664800</v>
      </c>
      <c r="L101" s="1059">
        <f>CIV!N742-CIV!N743</f>
        <v>716200</v>
      </c>
      <c r="M101" s="1059">
        <f>CIV!O742-CIV!O743</f>
        <v>-928900</v>
      </c>
      <c r="N101" s="1059">
        <f>CIV!P742-CIV!P743</f>
        <v>784600</v>
      </c>
      <c r="O101" s="1059">
        <f>CIV!Q742-CIV!Q743</f>
        <v>842800</v>
      </c>
      <c r="P101" s="2110">
        <f>CIV!R742-CIV!R743</f>
        <v>-918100</v>
      </c>
    </row>
    <row r="102" spans="1:16" s="25" customFormat="1" x14ac:dyDescent="0.2">
      <c r="A102" s="71"/>
      <c r="B102" s="949"/>
      <c r="C102" s="1059">
        <f>'Res-Gen'!D7</f>
        <v>531500</v>
      </c>
      <c r="D102" s="22" t="s">
        <v>2184</v>
      </c>
      <c r="E102" s="26"/>
      <c r="F102" s="1059">
        <f>'Res-Gen'!G7</f>
        <v>1451200</v>
      </c>
      <c r="G102" s="1060">
        <f>'Res-Gen'!J7</f>
        <v>6227500</v>
      </c>
      <c r="H102" s="1060">
        <f>'Res-Gen'!M7</f>
        <v>-8984500</v>
      </c>
      <c r="I102" s="1060">
        <f>'Res-Gen'!P7</f>
        <v>5789500</v>
      </c>
      <c r="J102" s="1060">
        <f>'Res-Gen'!S7</f>
        <v>-1495000</v>
      </c>
      <c r="K102" s="1060">
        <f>'Res-Gen'!V7</f>
        <v>-810500</v>
      </c>
      <c r="L102" s="1060">
        <f>'Res-Gen'!Y7</f>
        <v>2576500</v>
      </c>
      <c r="M102" s="1059">
        <f>'Res-Gen'!AB7</f>
        <v>2690000</v>
      </c>
      <c r="N102" s="1059">
        <f>'Res-Gen'!AE7</f>
        <v>2808500</v>
      </c>
      <c r="O102" s="1059">
        <f>'Res-Gen'!AH7</f>
        <v>2931000</v>
      </c>
      <c r="P102" s="2110">
        <f>'Res-Gen'!AK7</f>
        <v>3057000</v>
      </c>
    </row>
    <row r="103" spans="1:16" s="25" customFormat="1" x14ac:dyDescent="0.2">
      <c r="A103" s="71"/>
      <c r="B103" s="949"/>
      <c r="C103" s="1059">
        <f>'Res-Gen'!D114</f>
        <v>12700</v>
      </c>
      <c r="D103" s="35" t="s">
        <v>1061</v>
      </c>
      <c r="E103" s="26"/>
      <c r="F103" s="1059">
        <f>'Res-Gen'!G114</f>
        <v>-7200</v>
      </c>
      <c r="G103" s="1060">
        <f>'Res-Gen'!J114</f>
        <v>-7600</v>
      </c>
      <c r="H103" s="1060">
        <f>'Res-Gen'!M114</f>
        <v>-8000</v>
      </c>
      <c r="I103" s="1060">
        <f>'Res-Gen'!P114</f>
        <v>-8400</v>
      </c>
      <c r="J103" s="1060">
        <f>'Res-Gen'!S114</f>
        <v>-8700</v>
      </c>
      <c r="K103" s="1060">
        <f>'Res-Gen'!V114</f>
        <v>-9000</v>
      </c>
      <c r="L103" s="1060">
        <f>'Res-Gen'!Y114</f>
        <v>-9300</v>
      </c>
      <c r="M103" s="1059">
        <f>'Res-Gen'!AB114</f>
        <v>-9700</v>
      </c>
      <c r="N103" s="1059">
        <f>'Res-Gen'!AE114</f>
        <v>-10100</v>
      </c>
      <c r="O103" s="1059">
        <f>'Res-Gen'!AH114</f>
        <v>-10600</v>
      </c>
      <c r="P103" s="2110">
        <f>'Res-Gen'!AK114</f>
        <v>77300</v>
      </c>
    </row>
    <row r="104" spans="1:16" s="25" customFormat="1" x14ac:dyDescent="0.2">
      <c r="A104" s="2112"/>
      <c r="B104" s="949"/>
      <c r="C104" s="1059">
        <f>'Res-Gen'!D214</f>
        <v>-1347000</v>
      </c>
      <c r="D104" s="99" t="s">
        <v>106</v>
      </c>
      <c r="E104" s="130"/>
      <c r="F104" s="1059">
        <f>'Res-Gen'!G214</f>
        <v>-1309100</v>
      </c>
      <c r="G104" s="1060">
        <v>0</v>
      </c>
      <c r="H104" s="1060">
        <v>0</v>
      </c>
      <c r="I104" s="1060">
        <v>0</v>
      </c>
      <c r="J104" s="1060">
        <v>0</v>
      </c>
      <c r="K104" s="1060">
        <v>0</v>
      </c>
      <c r="L104" s="1060">
        <v>0</v>
      </c>
      <c r="M104" s="1059">
        <v>0</v>
      </c>
      <c r="N104" s="1059">
        <v>0</v>
      </c>
      <c r="O104" s="1059">
        <v>0</v>
      </c>
      <c r="P104" s="2110">
        <v>0</v>
      </c>
    </row>
    <row r="105" spans="1:16" s="25" customFormat="1" x14ac:dyDescent="0.2">
      <c r="A105" s="2112"/>
      <c r="B105" s="949"/>
      <c r="C105" s="1059">
        <f>'Res-Gen'!D112+'Res-Gen'!D113</f>
        <v>-625700</v>
      </c>
      <c r="D105" s="78" t="s">
        <v>4561</v>
      </c>
      <c r="E105" s="130"/>
      <c r="F105" s="1059">
        <f>'Res-Gen'!G112+'Res-Gen'!G113</f>
        <v>-950000</v>
      </c>
      <c r="G105" s="1060"/>
      <c r="H105" s="1060"/>
      <c r="I105" s="1060"/>
      <c r="J105" s="1060"/>
      <c r="K105" s="1060"/>
      <c r="L105" s="1060"/>
      <c r="M105" s="1059"/>
      <c r="N105" s="1059"/>
      <c r="O105" s="1059"/>
      <c r="P105" s="2110"/>
    </row>
    <row r="106" spans="1:16" s="25" customFormat="1" x14ac:dyDescent="0.2">
      <c r="A106" s="211"/>
      <c r="B106" s="1059"/>
      <c r="C106" s="1059">
        <f>-'Cash-Gen'!C87</f>
        <v>1630500</v>
      </c>
      <c r="D106" s="35" t="s">
        <v>1762</v>
      </c>
      <c r="E106" s="26"/>
      <c r="F106" s="1059">
        <f>-'Cash-Gen'!E87</f>
        <v>186600</v>
      </c>
      <c r="G106" s="1060">
        <f>-'Cash-Gen'!F87</f>
        <v>-5311800</v>
      </c>
      <c r="H106" s="1060">
        <f>-'Cash-Gen'!G87</f>
        <v>8404100</v>
      </c>
      <c r="I106" s="1060">
        <f>-'Cash-Gen'!H87</f>
        <v>-6402100</v>
      </c>
      <c r="J106" s="1060">
        <f>-'Cash-Gen'!I87</f>
        <v>2449000</v>
      </c>
      <c r="K106" s="1060">
        <f>-'Cash-Gen'!J87</f>
        <v>154700</v>
      </c>
      <c r="L106" s="1060">
        <f>-'Cash-Gen'!K87</f>
        <v>-3283400</v>
      </c>
      <c r="M106" s="1059">
        <f>-'Cash-Gen'!L87</f>
        <v>-1751400</v>
      </c>
      <c r="N106" s="1059">
        <f>-'Cash-Gen'!M87</f>
        <v>-3583000</v>
      </c>
      <c r="O106" s="1059">
        <f>-'Cash-Gen'!N87</f>
        <v>-3763200</v>
      </c>
      <c r="P106" s="2110">
        <f>-'Cash-Gen'!O87</f>
        <v>-2216200</v>
      </c>
    </row>
    <row r="107" spans="1:16" s="40" customFormat="1" x14ac:dyDescent="0.2">
      <c r="A107" s="2106">
        <f>SUM(A101:A106)</f>
        <v>0</v>
      </c>
      <c r="B107" s="1052">
        <f>SUM(B101:B106)</f>
        <v>0</v>
      </c>
      <c r="C107" s="1052">
        <f>SUM(C101:C106)</f>
        <v>0</v>
      </c>
      <c r="D107" s="58" t="s">
        <v>1763</v>
      </c>
      <c r="E107" s="83"/>
      <c r="F107" s="1052">
        <f>SUM(F101:F106)</f>
        <v>0</v>
      </c>
      <c r="G107" s="1053">
        <f t="shared" ref="G107:M107" si="40">SUM(G101:G106)</f>
        <v>0</v>
      </c>
      <c r="H107" s="1053">
        <f t="shared" si="40"/>
        <v>0</v>
      </c>
      <c r="I107" s="1053">
        <f t="shared" si="40"/>
        <v>0</v>
      </c>
      <c r="J107" s="1053">
        <f t="shared" si="40"/>
        <v>0</v>
      </c>
      <c r="K107" s="1053">
        <f t="shared" si="40"/>
        <v>0</v>
      </c>
      <c r="L107" s="1053">
        <f t="shared" si="40"/>
        <v>0</v>
      </c>
      <c r="M107" s="1052">
        <f t="shared" si="40"/>
        <v>0</v>
      </c>
      <c r="N107" s="1052">
        <f t="shared" ref="N107:O107" si="41">SUM(N101:N106)</f>
        <v>0</v>
      </c>
      <c r="O107" s="1052">
        <f t="shared" si="41"/>
        <v>0</v>
      </c>
      <c r="P107" s="2107">
        <f t="shared" ref="P107" si="42">SUM(P101:P106)</f>
        <v>0</v>
      </c>
    </row>
    <row r="108" spans="1:16" s="25" customFormat="1" x14ac:dyDescent="0.2">
      <c r="A108" s="211"/>
      <c r="B108" s="1059"/>
      <c r="C108" s="1063"/>
      <c r="D108" s="35"/>
      <c r="E108" s="26"/>
      <c r="F108" s="1063"/>
      <c r="G108" s="1060"/>
      <c r="H108" s="1060"/>
      <c r="I108" s="1060"/>
      <c r="J108" s="1060"/>
      <c r="K108" s="1060"/>
      <c r="L108" s="1060"/>
      <c r="M108" s="1059"/>
      <c r="N108" s="1059"/>
      <c r="O108" s="1059"/>
      <c r="P108" s="2110"/>
    </row>
    <row r="109" spans="1:16" s="25" customFormat="1" x14ac:dyDescent="0.2">
      <c r="A109" s="211"/>
      <c r="B109" s="1059"/>
      <c r="C109" s="1063"/>
      <c r="D109" s="58" t="s">
        <v>2178</v>
      </c>
      <c r="E109" s="26"/>
      <c r="F109" s="1063"/>
      <c r="G109" s="1060"/>
      <c r="H109" s="1060"/>
      <c r="I109" s="1060"/>
      <c r="J109" s="1060"/>
      <c r="K109" s="1060"/>
      <c r="L109" s="1060"/>
      <c r="M109" s="1059"/>
      <c r="N109" s="1059"/>
      <c r="O109" s="1059"/>
      <c r="P109" s="2110"/>
    </row>
    <row r="110" spans="1:16" s="25" customFormat="1" x14ac:dyDescent="0.2">
      <c r="A110" s="211"/>
      <c r="B110" s="1059"/>
      <c r="C110" s="1063"/>
      <c r="D110" s="58" t="s">
        <v>608</v>
      </c>
      <c r="E110" s="26"/>
      <c r="F110" s="1063"/>
      <c r="G110" s="1060"/>
      <c r="H110" s="1060"/>
      <c r="I110" s="1060"/>
      <c r="J110" s="1060"/>
      <c r="K110" s="1060"/>
      <c r="L110" s="1060"/>
      <c r="M110" s="1059"/>
      <c r="N110" s="1059"/>
      <c r="O110" s="1059"/>
      <c r="P110" s="2110"/>
    </row>
    <row r="111" spans="1:16" s="25" customFormat="1" x14ac:dyDescent="0.2">
      <c r="A111" s="211">
        <f>GM!B512+GM!B488+GM!B672+GM!B736+GM!B796+GM!B919+GM!B1110</f>
        <v>81600</v>
      </c>
      <c r="B111" s="1059">
        <f>GM!C512+GM!C488+GM!C672+GM!C736+GM!C796+GM!C919+GM!C1110</f>
        <v>84300</v>
      </c>
      <c r="C111" s="1059">
        <f>GM!D512+GM!D488+GM!D672+GM!D736+GM!D796+GM!D919+GM!D1110</f>
        <v>84700</v>
      </c>
      <c r="D111" s="22" t="s">
        <v>522</v>
      </c>
      <c r="E111" s="26"/>
      <c r="F111" s="1059">
        <f>GM!G512+GM!G488+GM!G672+GM!G736+GM!G796+GM!G919+GM!G1110</f>
        <v>56700</v>
      </c>
      <c r="G111" s="1060">
        <f>GM!I512+GM!I488+GM!I672+GM!I736+GM!I796+GM!I919+GM!I1110</f>
        <v>66000</v>
      </c>
      <c r="H111" s="1060">
        <f>GM!J512+GM!J488+GM!J672+GM!J736+GM!J796+GM!J919+GM!J1110</f>
        <v>67900</v>
      </c>
      <c r="I111" s="1060">
        <f>GM!K512+GM!K488+GM!K672+GM!K736+GM!K796+GM!K919+GM!K1110</f>
        <v>69800</v>
      </c>
      <c r="J111" s="1060">
        <f>GM!L512+GM!L488+GM!L672+GM!L736+GM!L796+GM!L919+GM!L1110</f>
        <v>71700</v>
      </c>
      <c r="K111" s="1060">
        <f>GM!M512+GM!M488+GM!M672+GM!M736+GM!M796+GM!M919+GM!M1110</f>
        <v>73300</v>
      </c>
      <c r="L111" s="1060">
        <f>GM!N512+GM!N488+GM!N672+GM!N736+GM!N796+GM!N919+GM!N1110</f>
        <v>74900</v>
      </c>
      <c r="M111" s="1059">
        <f>GM!O512+GM!O488+GM!O672+GM!O736+GM!O796+GM!O919+GM!O1110</f>
        <v>76500</v>
      </c>
      <c r="N111" s="1059">
        <f>GM!P512+GM!P488+GM!P672+GM!P736+GM!P796+GM!P919+GM!P1110</f>
        <v>78200</v>
      </c>
      <c r="O111" s="1059">
        <f>GM!Q512+GM!Q488+GM!Q672+GM!Q736+GM!Q796+GM!Q919+GM!Q1110</f>
        <v>80100</v>
      </c>
      <c r="P111" s="2110">
        <f>GM!R512+GM!R488+GM!R672+GM!R736+GM!R796+GM!R919+GM!R1110</f>
        <v>82000</v>
      </c>
    </row>
    <row r="112" spans="1:16" s="25" customFormat="1" x14ac:dyDescent="0.2">
      <c r="A112" s="211">
        <f>DEH!B245+DEH!B311+DEH!B364+DEH!B421</f>
        <v>139000</v>
      </c>
      <c r="B112" s="1059">
        <f>DEH!C245+DEH!C311+DEH!C364+DEH!C421</f>
        <v>143500</v>
      </c>
      <c r="C112" s="1059">
        <f>DEH!D245+DEH!D311+DEH!D364+DEH!D421</f>
        <v>143800</v>
      </c>
      <c r="D112" s="35" t="s">
        <v>4221</v>
      </c>
      <c r="E112" s="26"/>
      <c r="F112" s="1059">
        <f>DEH!G245+DEH!G311+DEH!G364+DEH!G421</f>
        <v>132800</v>
      </c>
      <c r="G112" s="1060">
        <f>DEH!I245+DEH!I311+DEH!I364+DEH!I421</f>
        <v>135000</v>
      </c>
      <c r="H112" s="1060">
        <f>DEH!J245+DEH!J311+DEH!J364+DEH!J421</f>
        <v>138600</v>
      </c>
      <c r="I112" s="1060">
        <f>DEH!K245+DEH!K311+DEH!K364+DEH!K421</f>
        <v>142300</v>
      </c>
      <c r="J112" s="1060">
        <f>DEH!L245+DEH!L311+DEH!L364+DEH!L421</f>
        <v>146000</v>
      </c>
      <c r="K112" s="1060">
        <f>DEH!M245+DEH!M311+DEH!M364+DEH!M421</f>
        <v>149100</v>
      </c>
      <c r="L112" s="1060">
        <f>DEH!N245+DEH!N311+DEH!N364+DEH!N421</f>
        <v>152400</v>
      </c>
      <c r="M112" s="1059">
        <f>DEH!O245+DEH!O311+DEH!O364+DEH!O421</f>
        <v>155700</v>
      </c>
      <c r="N112" s="1059">
        <f>DEH!P245+DEH!P311+DEH!P364+DEH!P421</f>
        <v>159000</v>
      </c>
      <c r="O112" s="1059">
        <f>DEH!Q245+DEH!Q311+DEH!Q364+DEH!Q421</f>
        <v>162300</v>
      </c>
      <c r="P112" s="2110">
        <f>DEH!R245+DEH!R311+DEH!R364+DEH!R421</f>
        <v>165900</v>
      </c>
    </row>
    <row r="113" spans="1:16" s="25" customFormat="1" x14ac:dyDescent="0.2">
      <c r="A113" s="211">
        <f>CIV!B775+CIV!B1299</f>
        <v>111500</v>
      </c>
      <c r="B113" s="1059">
        <f>CIV!C775+CIV!C1299</f>
        <v>115000</v>
      </c>
      <c r="C113" s="1059">
        <f>CIV!D775+CIV!D1299</f>
        <v>115000</v>
      </c>
      <c r="D113" s="22" t="s">
        <v>863</v>
      </c>
      <c r="E113" s="26"/>
      <c r="F113" s="1059">
        <f>CIV!G775+CIV!G1299</f>
        <v>114900</v>
      </c>
      <c r="G113" s="1060">
        <f>CIV!I775+CIV!I1299</f>
        <v>116700</v>
      </c>
      <c r="H113" s="1060">
        <f>CIV!J775+CIV!J1299</f>
        <v>119700</v>
      </c>
      <c r="I113" s="1060">
        <f>CIV!K775+CIV!K1299</f>
        <v>122800</v>
      </c>
      <c r="J113" s="1060">
        <f>CIV!L775+CIV!L1299</f>
        <v>126000</v>
      </c>
      <c r="K113" s="1060">
        <f>CIV!M775+CIV!M1299</f>
        <v>128600</v>
      </c>
      <c r="L113" s="1060">
        <f>CIV!N775+CIV!N1299</f>
        <v>131300</v>
      </c>
      <c r="M113" s="1059">
        <f>CIV!O775+CIV!O1299</f>
        <v>134000</v>
      </c>
      <c r="N113" s="1059">
        <f>CIV!P775+CIV!P1299</f>
        <v>136800</v>
      </c>
      <c r="O113" s="1059">
        <f>CIV!Q775+CIV!Q1299</f>
        <v>139600</v>
      </c>
      <c r="P113" s="2110">
        <f>CIV!R775+CIV!R1299</f>
        <v>142500</v>
      </c>
    </row>
    <row r="114" spans="1:16" s="25" customFormat="1" x14ac:dyDescent="0.2">
      <c r="A114" s="211">
        <f>'W&amp;W'!B213+'W&amp;W'!B409</f>
        <v>53000</v>
      </c>
      <c r="B114" s="1059">
        <f>'W&amp;W'!C213+'W&amp;W'!C409</f>
        <v>55300</v>
      </c>
      <c r="C114" s="1059">
        <f>'W&amp;W'!D213+'W&amp;W'!D409</f>
        <v>55300</v>
      </c>
      <c r="D114" s="22" t="s">
        <v>3397</v>
      </c>
      <c r="E114" s="26"/>
      <c r="F114" s="1059">
        <f>'W&amp;W'!G213+'W&amp;W'!G409</f>
        <v>55500</v>
      </c>
      <c r="G114" s="1060">
        <f>'W&amp;W'!I213+'W&amp;W'!I409</f>
        <v>56700</v>
      </c>
      <c r="H114" s="1060">
        <f>'W&amp;W'!J213+'W&amp;W'!J409</f>
        <v>58200</v>
      </c>
      <c r="I114" s="1060">
        <f>'W&amp;W'!K213+'W&amp;W'!K409</f>
        <v>59800</v>
      </c>
      <c r="J114" s="1060">
        <f>'W&amp;W'!L213+'W&amp;W'!L409</f>
        <v>61400</v>
      </c>
      <c r="K114" s="1060">
        <f>'W&amp;W'!M213+'W&amp;W'!M409</f>
        <v>62700</v>
      </c>
      <c r="L114" s="1060">
        <f>'W&amp;W'!N213+'W&amp;W'!N409</f>
        <v>64000</v>
      </c>
      <c r="M114" s="1059">
        <f>'W&amp;W'!O213+'W&amp;W'!O409</f>
        <v>65300</v>
      </c>
      <c r="N114" s="1059">
        <f>'W&amp;W'!P213+'W&amp;W'!P409</f>
        <v>66800</v>
      </c>
      <c r="O114" s="1059">
        <f>'W&amp;W'!Q213+'W&amp;W'!Q409</f>
        <v>68300</v>
      </c>
      <c r="P114" s="2110">
        <f>'W&amp;W'!R213+'W&amp;W'!R409</f>
        <v>69800</v>
      </c>
    </row>
    <row r="115" spans="1:16" s="25" customFormat="1" x14ac:dyDescent="0.2">
      <c r="A115" s="211">
        <f>SP!B413+SP!B541++SP!B634</f>
        <v>26400</v>
      </c>
      <c r="B115" s="1059">
        <f>SP!C413+SP!C541++SP!C634</f>
        <v>34600</v>
      </c>
      <c r="C115" s="1059">
        <f>SP!D413+SP!D541++SP!D634</f>
        <v>34600</v>
      </c>
      <c r="D115" s="22" t="s">
        <v>3668</v>
      </c>
      <c r="E115" s="26"/>
      <c r="F115" s="1059">
        <f>SP!G413+SP!G541++SP!G634</f>
        <v>31000</v>
      </c>
      <c r="G115" s="1060">
        <f>SP!I413+SP!I541++SP!I634</f>
        <v>31600</v>
      </c>
      <c r="H115" s="1060">
        <f>SP!J413+SP!J541++SP!J634</f>
        <v>32600</v>
      </c>
      <c r="I115" s="1060">
        <f>SP!K413+SP!K541++SP!K634</f>
        <v>33600</v>
      </c>
      <c r="J115" s="1060">
        <f>SP!L413+SP!L541++SP!L634</f>
        <v>34600</v>
      </c>
      <c r="K115" s="1060">
        <f>SP!M413+SP!M541++SP!M634</f>
        <v>35400</v>
      </c>
      <c r="L115" s="1060">
        <f>SP!N413+SP!N541++SP!N634</f>
        <v>36200</v>
      </c>
      <c r="M115" s="1059">
        <f>SP!O413+SP!O541++SP!O634</f>
        <v>37000</v>
      </c>
      <c r="N115" s="1059">
        <f>SP!P413+SP!P541++SP!P634</f>
        <v>37900</v>
      </c>
      <c r="O115" s="1059">
        <f>SP!Q413+SP!Q541++SP!Q634</f>
        <v>38800</v>
      </c>
      <c r="P115" s="2110">
        <f>SP!R413+SP!R541++SP!R634</f>
        <v>39700</v>
      </c>
    </row>
    <row r="116" spans="1:16" s="25" customFormat="1" x14ac:dyDescent="0.2">
      <c r="A116" s="71">
        <f>CIV!B1609</f>
        <v>-411500</v>
      </c>
      <c r="B116" s="1059">
        <f>CIV!C1609</f>
        <v>-432700</v>
      </c>
      <c r="C116" s="1059">
        <f>CIV!D1609</f>
        <v>-433400</v>
      </c>
      <c r="D116" s="22" t="s">
        <v>2546</v>
      </c>
      <c r="E116" s="26"/>
      <c r="F116" s="1059">
        <f>CIV!G1609</f>
        <v>-390900</v>
      </c>
      <c r="G116" s="1060">
        <f>CIV!I1609</f>
        <v>-406000</v>
      </c>
      <c r="H116" s="1060">
        <f>CIV!J1609</f>
        <v>-417000</v>
      </c>
      <c r="I116" s="1060">
        <f>CIV!K1609</f>
        <v>-428300</v>
      </c>
      <c r="J116" s="1060">
        <f>CIV!L1609</f>
        <v>-439700</v>
      </c>
      <c r="K116" s="1060">
        <f>CIV!M1609</f>
        <v>-449100</v>
      </c>
      <c r="L116" s="1060">
        <f>CIV!N1609</f>
        <v>-458800</v>
      </c>
      <c r="M116" s="1059">
        <f>CIV!O1609</f>
        <v>-468500</v>
      </c>
      <c r="N116" s="1059">
        <f>CIV!P1609</f>
        <v>-478700</v>
      </c>
      <c r="O116" s="1059">
        <f>CIV!Q1609</f>
        <v>-489100</v>
      </c>
      <c r="P116" s="2110">
        <f>CIV!R1609</f>
        <v>-499900</v>
      </c>
    </row>
    <row r="117" spans="1:16" s="40" customFormat="1" x14ac:dyDescent="0.2">
      <c r="A117" s="2106">
        <f>SUM(A111:A116)</f>
        <v>0</v>
      </c>
      <c r="B117" s="1052">
        <f>SUM(B111:B116)</f>
        <v>0</v>
      </c>
      <c r="C117" s="1052">
        <f>SUM(C111:C116)</f>
        <v>0</v>
      </c>
      <c r="D117" s="58"/>
      <c r="E117" s="83"/>
      <c r="F117" s="1052">
        <f t="shared" ref="F117:M117" si="43">SUM(F111:F116)</f>
        <v>0</v>
      </c>
      <c r="G117" s="1053">
        <f t="shared" si="43"/>
        <v>0</v>
      </c>
      <c r="H117" s="1053">
        <f t="shared" si="43"/>
        <v>0</v>
      </c>
      <c r="I117" s="1053">
        <f t="shared" si="43"/>
        <v>0</v>
      </c>
      <c r="J117" s="1053">
        <f t="shared" si="43"/>
        <v>0</v>
      </c>
      <c r="K117" s="1053">
        <f t="shared" si="43"/>
        <v>0</v>
      </c>
      <c r="L117" s="1053">
        <f t="shared" si="43"/>
        <v>0</v>
      </c>
      <c r="M117" s="1052">
        <f t="shared" si="43"/>
        <v>0</v>
      </c>
      <c r="N117" s="1052">
        <f t="shared" ref="N117:O117" si="44">SUM(N111:N116)</f>
        <v>0</v>
      </c>
      <c r="O117" s="1052">
        <f t="shared" si="44"/>
        <v>0</v>
      </c>
      <c r="P117" s="2107">
        <f t="shared" ref="P117" si="45">SUM(P111:P116)</f>
        <v>0</v>
      </c>
    </row>
    <row r="118" spans="1:16" s="25" customFormat="1" x14ac:dyDescent="0.2">
      <c r="A118" s="211"/>
      <c r="B118" s="1059"/>
      <c r="C118" s="1059"/>
      <c r="D118" s="35"/>
      <c r="E118" s="26"/>
      <c r="F118" s="1059"/>
      <c r="G118" s="1060"/>
      <c r="H118" s="1060"/>
      <c r="I118" s="1060"/>
      <c r="J118" s="1060"/>
      <c r="K118" s="1060"/>
      <c r="L118" s="1060"/>
      <c r="M118" s="1059"/>
      <c r="N118" s="1059"/>
      <c r="O118" s="1059"/>
      <c r="P118" s="2110"/>
    </row>
    <row r="119" spans="1:16" s="25" customFormat="1" x14ac:dyDescent="0.2">
      <c r="A119" s="211"/>
      <c r="B119" s="1059"/>
      <c r="C119" s="1059"/>
      <c r="D119" s="65" t="s">
        <v>2566</v>
      </c>
      <c r="E119" s="26"/>
      <c r="F119" s="1059"/>
      <c r="G119" s="1060"/>
      <c r="H119" s="1060"/>
      <c r="I119" s="1060"/>
      <c r="J119" s="1060"/>
      <c r="K119" s="1060"/>
      <c r="L119" s="1060"/>
      <c r="M119" s="1059"/>
      <c r="N119" s="1059"/>
      <c r="O119" s="1059"/>
      <c r="P119" s="2110"/>
    </row>
    <row r="120" spans="1:16" s="25" customFormat="1" x14ac:dyDescent="0.2">
      <c r="A120" s="211">
        <f>GM!B1069++GM!B1011+GM!B713+GM!B589-GM!B408-GM!B240-GM!B149++GM!B538+GM!B642+GM!B770+GM!B868-GM!B109-GM!B194-GM!B279-GM!B335++GM!B470-GM!B1186</f>
        <v>0</v>
      </c>
      <c r="B120" s="1059">
        <f>GM!C1069++GM!C1011+GM!C713+GM!C589-GM!C408-GM!C240-GM!C149++GM!C538+GM!C642+GM!C770+GM!C868-GM!C109-GM!C194-GM!C279-GM!C335++GM!C470-GM!C1186</f>
        <v>0</v>
      </c>
      <c r="C120" s="1059">
        <f>GM!D1069++GM!D1011+GM!D713+GM!D589-GM!D408-GM!D240-GM!D149++GM!D538+GM!D642+GM!D770+GM!D868-GM!D109-GM!D194-GM!D279-GM!D335++GM!D470-GM!D1186</f>
        <v>0</v>
      </c>
      <c r="D120" s="22" t="str">
        <f>D59</f>
        <v>General Manager's Group</v>
      </c>
      <c r="E120" s="26"/>
      <c r="F120" s="1059">
        <f>GM!G1069++GM!G1011+GM!G713+GM!G589-GM!G408-GM!G240-GM!G149++GM!G538+GM!G642+GM!G770+GM!G868-GM!G109-GM!G194-GM!G279-GM!G335++GM!G470-GM!G1186</f>
        <v>0</v>
      </c>
      <c r="G120" s="1060">
        <f>GM!I1069++GM!I1011+GM!I713+GM!I589-GM!I408-GM!I240-GM!I149++GM!I538+GM!I642+GM!I770+GM!I868-GM!I109-GM!I194-GM!I279-GM!I335++GM!I470-GM!I1186</f>
        <v>0</v>
      </c>
      <c r="H120" s="1060">
        <f>GM!J1069++GM!J1011+GM!J713+GM!J589-GM!J408-GM!J240-GM!J149++GM!J538+GM!J642+GM!J770+GM!J868-GM!J109-GM!J194-GM!J279-GM!J335++GM!J470-GM!J1186</f>
        <v>0</v>
      </c>
      <c r="I120" s="1060">
        <f>GM!K1069++GM!K1011+GM!K713+GM!K589-GM!K408-GM!K240-GM!K149++GM!K538+GM!K642+GM!K770+GM!K868-GM!K109-GM!K194-GM!K279-GM!K335++GM!K470-GM!K1186</f>
        <v>0</v>
      </c>
      <c r="J120" s="1060">
        <f>GM!L1069++GM!L1011+GM!L713+GM!L589-GM!L408-GM!L240-GM!L149++GM!L538+GM!L642+GM!L770+GM!L868-GM!L109-GM!L194-GM!L279-GM!L335++GM!L470-GM!L1186</f>
        <v>0</v>
      </c>
      <c r="K120" s="1060">
        <f>GM!M1069++GM!M1011+GM!M713+GM!M589-GM!M408-GM!M240-GM!M149++GM!M538+GM!M642+GM!M770+GM!M868-GM!M109-GM!M194-GM!M279-GM!M335++GM!M470-GM!M1186</f>
        <v>0</v>
      </c>
      <c r="L120" s="1060">
        <f>GM!N1069++GM!N1011+GM!N713+GM!N589-GM!N408-GM!N240-GM!N149++GM!N538+GM!N642+GM!N770+GM!N868-GM!N109-GM!N194-GM!N279-GM!N335++GM!N470-GM!N1186</f>
        <v>0</v>
      </c>
      <c r="M120" s="1059">
        <f>GM!O1069++GM!O1011+GM!O713+GM!O589-GM!O408-GM!O240-GM!O149++GM!O538+GM!O642+GM!O770+GM!O868-GM!O109-GM!O194-GM!O279-GM!O335++GM!O470-GM!O1186</f>
        <v>0</v>
      </c>
      <c r="N120" s="1059">
        <f>GM!P1069++GM!P1011+GM!P713+GM!P589-GM!P408-GM!P240-GM!P149++GM!P538+GM!P642+GM!P770+GM!P868-GM!P109-GM!P194-GM!P279-GM!P335++GM!P470-GM!P1186</f>
        <v>0</v>
      </c>
      <c r="O120" s="1059">
        <f>GM!Q1069++GM!Q1011+GM!Q713+GM!Q589-GM!Q408-GM!Q240-GM!Q149++GM!Q538+GM!Q642+GM!Q770+GM!Q868-GM!Q109-GM!Q194-GM!Q279-GM!Q335++GM!Q470-GM!Q1186</f>
        <v>0</v>
      </c>
      <c r="P120" s="2110">
        <f>GM!R1069++GM!R1011+GM!R713+GM!R589-GM!R408-GM!R240-GM!R149++GM!R538+GM!R642+GM!R770+GM!R868-GM!R109-GM!R194-GM!R279-GM!R335++GM!R470-GM!R1186</f>
        <v>0</v>
      </c>
    </row>
    <row r="121" spans="1:16" s="25" customFormat="1" x14ac:dyDescent="0.2">
      <c r="A121" s="211">
        <f>DEH!B79+DEH!B114+DEH!B163++DEH!B210-DEH!B271-DEH!B332-DEH!B396-DEH!B459</f>
        <v>0</v>
      </c>
      <c r="B121" s="1059">
        <f>DEH!C79+DEH!C114+DEH!C163++DEH!C210-DEH!C271-DEH!C332-DEH!C396-DEH!C459</f>
        <v>0</v>
      </c>
      <c r="C121" s="1059">
        <f>DEH!D79+DEH!D114+DEH!D163++DEH!D210-DEH!D271-DEH!D332-DEH!D396-DEH!D459</f>
        <v>0</v>
      </c>
      <c r="D121" s="22" t="str">
        <f>D60</f>
        <v>Development &amp; Envi Health Group</v>
      </c>
      <c r="E121" s="26"/>
      <c r="F121" s="1059">
        <f>DEH!G79+DEH!G114+DEH!G163++DEH!G210-DEH!G271-DEH!G332-DEH!G396-DEH!G459</f>
        <v>0</v>
      </c>
      <c r="G121" s="1060">
        <f>DEH!I79+DEH!I114+DEH!I163++DEH!I210-DEH!I271-DEH!I332-DEH!I396-DEH!I459</f>
        <v>0</v>
      </c>
      <c r="H121" s="1060">
        <f>DEH!J79+DEH!J114+DEH!J163++DEH!J210-DEH!J271-DEH!J332-DEH!J396-DEH!J459</f>
        <v>0</v>
      </c>
      <c r="I121" s="1060">
        <f>DEH!K79+DEH!K114+DEH!K163++DEH!K210-DEH!K271-DEH!K332-DEH!K396-DEH!K459</f>
        <v>0</v>
      </c>
      <c r="J121" s="1060">
        <f>DEH!L79+DEH!L114+DEH!L163++DEH!L210-DEH!L271-DEH!L332-DEH!L396-DEH!L459</f>
        <v>0</v>
      </c>
      <c r="K121" s="1060">
        <f>DEH!M79+DEH!M114+DEH!M163++DEH!M210-DEH!M271-DEH!M332-DEH!M396-DEH!M459</f>
        <v>0</v>
      </c>
      <c r="L121" s="1060">
        <f>DEH!N79+DEH!N114+DEH!N163++DEH!N210-DEH!N271-DEH!N332-DEH!N396-DEH!N459</f>
        <v>0</v>
      </c>
      <c r="M121" s="1059">
        <f>DEH!O79+DEH!O114+DEH!O163++DEH!O210-DEH!O271-DEH!O332-DEH!O396-DEH!O459</f>
        <v>0</v>
      </c>
      <c r="N121" s="1059">
        <f>DEH!Q79+DEH!Q114+DEH!Q163++DEH!Q210-DEH!Q271-DEH!Q332-DEH!Q396-DEH!Q459</f>
        <v>0</v>
      </c>
      <c r="O121" s="1059">
        <f>DEH!R79+DEH!R114+DEH!R163++DEH!R210-DEH!R271-DEH!R332-DEH!R396-DEH!R459</f>
        <v>0</v>
      </c>
      <c r="P121" s="2110">
        <f>DEH!S79+DEH!S114+DEH!S163++DEH!S210-DEH!S271-DEH!S332-DEH!S396-DEH!S459</f>
        <v>0</v>
      </c>
    </row>
    <row r="122" spans="1:16" s="25" customFormat="1" x14ac:dyDescent="0.2">
      <c r="A122" s="211">
        <f>CIV!B878+CIV!B120+CIV!B234+CIV!B292+CIV!B356+CIV!B395+CIV!B466+CIV!B524+CIV!B618++CIV!B690+CIV!B747-CIV!B812-CIV!B1014-CIV!B1081-CIV!B1147-CIV!B1266-CIV!B1374-CIV!B1642-CIV!B1767-CIV!B1960-CIV!B2030-CIV!B1573-CIV!B1509-CIV!B1462-CIV!B1210-CIV!B878+CIV!B563-CIV!B1700</f>
        <v>0</v>
      </c>
      <c r="B122" s="1059">
        <f>CIV!C878+CIV!C120+CIV!C234+CIV!C292+CIV!C356+CIV!C395+CIV!C466+CIV!C524+CIV!C618++CIV!C690+CIV!C747-CIV!C812-CIV!C1014-CIV!C1081-CIV!C1147-CIV!C1266-CIV!C1374-CIV!C1642-CIV!C1767-CIV!C1960-CIV!C2030-CIV!C1573-CIV!C1509-CIV!C1462-CIV!C1210-CIV!C878+CIV!C563-CIV!C1700</f>
        <v>0</v>
      </c>
      <c r="C122" s="1059">
        <f>CIV!D878+CIV!D120+CIV!D234+CIV!D292+CIV!D356+CIV!D395+CIV!D466+CIV!D524+CIV!D618++CIV!D690+CIV!D747-CIV!D812-CIV!D1014-CIV!D1081-CIV!D1147-CIV!D1266-CIV!D1374-CIV!D1642-CIV!D1767-CIV!D1960-CIV!D2030-CIV!D1573-CIV!D1509-CIV!D1462-CIV!D1210-CIV!D878+CIV!D563-CIV!D1700</f>
        <v>0</v>
      </c>
      <c r="D122" s="22" t="str">
        <f>D61</f>
        <v>Civil Services</v>
      </c>
      <c r="E122" s="26"/>
      <c r="F122" s="1059">
        <f>CIV!G878+CIV!G120+CIV!G234+CIV!G292+CIV!G356+CIV!G395+CIV!G466+CIV!G524+CIV!G618++CIV!G690+CIV!G747-CIV!G812-CIV!G1014-CIV!G1081-CIV!G1147-CIV!G1266-CIV!G1374-CIV!G1642-CIV!G1767-CIV!G1960-CIV!G2030-CIV!G1573-CIV!G1509-CIV!G1462-CIV!G1210-CIV!G878+CIV!G563-CIV!G1700</f>
        <v>0</v>
      </c>
      <c r="G122" s="1060">
        <f>CIV!I878+CIV!I120+CIV!I234+CIV!I292+CIV!I356+CIV!I395+CIV!I466+CIV!I524+CIV!I618++CIV!I690+CIV!I747-CIV!I812-CIV!I1014-CIV!I1081-CIV!I1147-CIV!I1266-CIV!I1374-CIV!I1642-CIV!I1767-CIV!I1960-CIV!I2030-CIV!I1573-CIV!I1509-CIV!I1462-CIV!I1210-CIV!I878+CIV!I563-CIV!I1700</f>
        <v>0</v>
      </c>
      <c r="H122" s="1059">
        <f>CIV!J878+CIV!J120+CIV!J234+CIV!J292+CIV!J356+CIV!J395+CIV!J466+CIV!J524+CIV!J618++CIV!J690+CIV!J747-CIV!J812-CIV!J1014-CIV!J1081-CIV!J1147-CIV!J1266-CIV!J1374-CIV!J1642-CIV!J1767-CIV!J1960-CIV!J2030-CIV!J1573-CIV!J1509-CIV!J1462-CIV!J1210-CIV!J878+CIV!J563-CIV!J1700</f>
        <v>0</v>
      </c>
      <c r="I122" s="1059">
        <f>CIV!K878+CIV!K120+CIV!K234+CIV!K292+CIV!K356+CIV!K395+CIV!K466+CIV!K524+CIV!K618++CIV!K690+CIV!K747-CIV!K812-CIV!K1014-CIV!K1081-CIV!K1147-CIV!K1266-CIV!K1374-CIV!K1642-CIV!K1767-CIV!K1960-CIV!K2030-CIV!K1573-CIV!K1509-CIV!K1462-CIV!K1210-CIV!K878+CIV!K563-CIV!K1700</f>
        <v>0</v>
      </c>
      <c r="J122" s="1059">
        <f>CIV!L878+CIV!L120+CIV!L234+CIV!L292+CIV!L356+CIV!L395+CIV!L466+CIV!L524+CIV!L618++CIV!L690+CIV!L747-CIV!L812-CIV!L1014-CIV!L1081-CIV!L1147-CIV!L1266-CIV!L1374-CIV!L1642-CIV!L1767-CIV!L1960-CIV!L2030-CIV!L1573-CIV!L1509-CIV!L1462-CIV!L1210-CIV!L878+CIV!L563-CIV!L1700</f>
        <v>0</v>
      </c>
      <c r="K122" s="1059">
        <f>CIV!M878+CIV!M120+CIV!M234+CIV!M292+CIV!M356+CIV!M395+CIV!M466+CIV!M524+CIV!M618++CIV!M690+CIV!M747-CIV!M812-CIV!M1014-CIV!M1081-CIV!M1147-CIV!M1266-CIV!M1374-CIV!M1642-CIV!M1767-CIV!M1960-CIV!M2030-CIV!M1573-CIV!M1509-CIV!M1462-CIV!M1210-CIV!M878+CIV!M563-CIV!M1700</f>
        <v>0</v>
      </c>
      <c r="L122" s="1059">
        <f>CIV!N878+CIV!N120+CIV!N234+CIV!N292+CIV!N356+CIV!N395+CIV!N466+CIV!N524+CIV!N618++CIV!N690+CIV!N747-CIV!N812-CIV!N1014-CIV!N1081-CIV!N1147-CIV!N1266-CIV!N1374-CIV!N1642-CIV!N1767-CIV!N1960-CIV!N2030-CIV!N1573-CIV!N1509-CIV!N1462-CIV!N1210-CIV!N878+CIV!N563-CIV!N1700</f>
        <v>0</v>
      </c>
      <c r="M122" s="1059">
        <f>CIV!O878+CIV!O120+CIV!O234+CIV!O292+CIV!O356+CIV!O395+CIV!O466+CIV!O524+CIV!O618++CIV!O690+CIV!O747-CIV!O812-CIV!O1014-CIV!O1081-CIV!O1147-CIV!O1266-CIV!O1374-CIV!O1642-CIV!O1767-CIV!O1960-CIV!O2030-CIV!O1573-CIV!O1509-CIV!O1462-CIV!O1210-CIV!O878+CIV!O563-CIV!O1700</f>
        <v>0</v>
      </c>
      <c r="N122" s="1059">
        <f>CIV!P878+CIV!P120+CIV!P234+CIV!P292+CIV!P356+CIV!P395+CIV!P466+CIV!P524+CIV!P618++CIV!P690+CIV!P747-CIV!P812-CIV!P1014-CIV!P1081-CIV!P1147-CIV!P1266-CIV!P1374-CIV!P1642-CIV!P1767-CIV!P1960-CIV!P2030-CIV!P1573-CIV!P1509-CIV!P1462-CIV!P1210-CIV!P878+CIV!P563-CIV!P1700</f>
        <v>0</v>
      </c>
      <c r="O122" s="1059">
        <f>CIV!Q878+CIV!Q120+CIV!Q234+CIV!Q292+CIV!Q356+CIV!Q395+CIV!Q466+CIV!Q524+CIV!Q618++CIV!Q690+CIV!Q747-CIV!Q812-CIV!Q1014-CIV!Q1081-CIV!Q1147-CIV!Q1266-CIV!Q1374-CIV!Q1642-CIV!Q1767-CIV!Q1960-CIV!Q2030-CIV!Q1573-CIV!Q1509-CIV!Q1462-CIV!Q1210-CIV!Q878+CIV!Q563-CIV!Q1700</f>
        <v>0</v>
      </c>
      <c r="P122" s="2110">
        <f>CIV!R878+CIV!R120+CIV!R234+CIV!R292+CIV!R356+CIV!R395+CIV!R466+CIV!R524+CIV!R618++CIV!R690+CIV!R747-CIV!R812-CIV!R1014-CIV!R1081-CIV!R1147-CIV!R1266-CIV!R1374-CIV!R1642-CIV!R1767-CIV!R1960-CIV!R2030-CIV!R1573-CIV!R1509-CIV!R1462-CIV!R1210-CIV!R878+CIV!R563-CIV!R1700</f>
        <v>0</v>
      </c>
    </row>
    <row r="123" spans="1:16" s="25" customFormat="1" x14ac:dyDescent="0.2">
      <c r="A123" s="211">
        <f>ROUND(SP!B478+SP!B609+SP!B732+SP!B948-SP!B49+SP!B667+SP!B790+SP!B852,-1)</f>
        <v>0</v>
      </c>
      <c r="B123" s="1059">
        <f>ROUND(SP!C478+SP!C609+SP!C732+SP!C948-SP!C49+SP!C667+SP!C790+SP!C852,-3)</f>
        <v>0</v>
      </c>
      <c r="C123" s="1059">
        <f>ROUND(SP!D478+SP!D609+SP!D732+SP!D948-SP!D49+SP!D667+SP!D790+SP!D852,-3)</f>
        <v>0</v>
      </c>
      <c r="D123" s="22" t="str">
        <f>D62</f>
        <v>Strategic &amp; Comm Facs Group</v>
      </c>
      <c r="E123" s="26"/>
      <c r="F123" s="1059">
        <f>ROUND(SP!G478+SP!G609+SP!G732+SP!G948-SP!G49+SP!G667+SP!G790+SP!G852,-3)</f>
        <v>0</v>
      </c>
      <c r="G123" s="1060">
        <f>ROUND(SP!I478+SP!I609+SP!I732+SP!I948-SP!I49+SP!I667+SP!I790+SP!I852,-3)</f>
        <v>0</v>
      </c>
      <c r="H123" s="1060">
        <f>ROUND(SP!J478+SP!J609+SP!J732+SP!J948-SP!J49+SP!J667+SP!J790+SP!J852,-3)</f>
        <v>0</v>
      </c>
      <c r="I123" s="1060">
        <f>ROUND(SP!K478+SP!K609+SP!K732+SP!K948-SP!K49+SP!K667+SP!K790+SP!K852,-3)</f>
        <v>0</v>
      </c>
      <c r="J123" s="1060">
        <f>ROUND(SP!L478+SP!L609+SP!L732+SP!L948-SP!L49+SP!L667+SP!L790+SP!L852,-3)</f>
        <v>0</v>
      </c>
      <c r="K123" s="1060">
        <f>ROUND(SP!M478+SP!M609+SP!M732+SP!M948-SP!M49+SP!M667+SP!M790+SP!M852,-3)</f>
        <v>0</v>
      </c>
      <c r="L123" s="1060">
        <f>ROUND(SP!N478+SP!N609+SP!N732+SP!N948-SP!N49+SP!N667+SP!N790+SP!N852,-3)</f>
        <v>0</v>
      </c>
      <c r="M123" s="1059">
        <f>ROUND(SP!O478+SP!O609+SP!O732+SP!O948-SP!O49+SP!O667+SP!O790+SP!O852,-3)</f>
        <v>0</v>
      </c>
      <c r="N123" s="1059">
        <f>ROUND(SP!Q478+SP!Q609+SP!Q732+SP!Q948-SP!Q49+SP!Q667+SP!Q790+SP!Q852,-3)</f>
        <v>0</v>
      </c>
      <c r="O123" s="1059">
        <f>ROUND(SP!R478+SP!R609+SP!R732+SP!R948-SP!R49+SP!R667+SP!R790+SP!R852,-3)</f>
        <v>0</v>
      </c>
      <c r="P123" s="2110">
        <f>ROUND(SP!S478+SP!S609+SP!S732+SP!S948-SP!S49+SP!S667+SP!S790+SP!S852,-3)</f>
        <v>0</v>
      </c>
    </row>
    <row r="124" spans="1:16" s="40" customFormat="1" x14ac:dyDescent="0.2">
      <c r="A124" s="2106">
        <f>SUM(A120:A123)</f>
        <v>0</v>
      </c>
      <c r="B124" s="1052">
        <f>SUM(B120:B123)</f>
        <v>0</v>
      </c>
      <c r="C124" s="1052">
        <f>SUM(C120:C123)</f>
        <v>0</v>
      </c>
      <c r="D124" s="58"/>
      <c r="E124" s="83"/>
      <c r="F124" s="1052">
        <f t="shared" ref="F124:M124" si="46">SUM(F120:F123)</f>
        <v>0</v>
      </c>
      <c r="G124" s="1053">
        <f t="shared" si="46"/>
        <v>0</v>
      </c>
      <c r="H124" s="1053">
        <f t="shared" si="46"/>
        <v>0</v>
      </c>
      <c r="I124" s="1053">
        <f t="shared" si="46"/>
        <v>0</v>
      </c>
      <c r="J124" s="1053">
        <f t="shared" si="46"/>
        <v>0</v>
      </c>
      <c r="K124" s="1053">
        <f t="shared" si="46"/>
        <v>0</v>
      </c>
      <c r="L124" s="1053">
        <f t="shared" si="46"/>
        <v>0</v>
      </c>
      <c r="M124" s="1052">
        <f t="shared" si="46"/>
        <v>0</v>
      </c>
      <c r="N124" s="1052">
        <f t="shared" ref="N124:O124" si="47">SUM(N120:N123)</f>
        <v>0</v>
      </c>
      <c r="O124" s="1052">
        <f t="shared" si="47"/>
        <v>0</v>
      </c>
      <c r="P124" s="2107">
        <f t="shared" ref="P124" si="48">SUM(P120:P123)</f>
        <v>0</v>
      </c>
    </row>
    <row r="125" spans="1:16" s="25" customFormat="1" x14ac:dyDescent="0.2">
      <c r="A125" s="211"/>
      <c r="B125" s="1059"/>
      <c r="C125" s="1059"/>
      <c r="D125" s="55"/>
      <c r="E125" s="26"/>
      <c r="F125" s="1059"/>
      <c r="G125" s="1060"/>
      <c r="H125" s="1060"/>
      <c r="I125" s="1060"/>
      <c r="J125" s="1060"/>
      <c r="K125" s="1060"/>
      <c r="L125" s="1060"/>
      <c r="M125" s="1059"/>
      <c r="N125" s="1059"/>
      <c r="O125" s="1059"/>
      <c r="P125" s="2110"/>
    </row>
    <row r="126" spans="1:16" s="25" customFormat="1" x14ac:dyDescent="0.2">
      <c r="A126" s="211"/>
      <c r="B126" s="1059"/>
      <c r="C126" s="1059"/>
      <c r="D126" s="65" t="s">
        <v>3398</v>
      </c>
      <c r="E126" s="26"/>
      <c r="F126" s="1059"/>
      <c r="G126" s="1060"/>
      <c r="H126" s="1060"/>
      <c r="I126" s="1060"/>
      <c r="J126" s="1060"/>
      <c r="K126" s="1060"/>
      <c r="L126" s="1060"/>
      <c r="M126" s="1059"/>
      <c r="N126" s="1059"/>
      <c r="O126" s="1059"/>
      <c r="P126" s="2110"/>
    </row>
    <row r="127" spans="1:16" s="25" customFormat="1" x14ac:dyDescent="0.2">
      <c r="A127" s="211">
        <f>ROUND('W&amp;W'!B97-'W&amp;W'!B358,-3)</f>
        <v>0</v>
      </c>
      <c r="B127" s="1059">
        <f>'W&amp;W'!C97-'W&amp;W'!C358</f>
        <v>0</v>
      </c>
      <c r="C127" s="1059">
        <f>'W&amp;W'!D97-'W&amp;W'!D358</f>
        <v>0</v>
      </c>
      <c r="D127" s="22" t="s">
        <v>1764</v>
      </c>
      <c r="E127" s="26"/>
      <c r="F127" s="1059">
        <f>'W&amp;W'!G97-'W&amp;W'!G358</f>
        <v>0</v>
      </c>
      <c r="G127" s="1060">
        <f>'W&amp;W'!I97-'W&amp;W'!I358</f>
        <v>0</v>
      </c>
      <c r="H127" s="1060">
        <f>'W&amp;W'!J97-'W&amp;W'!J358</f>
        <v>0</v>
      </c>
      <c r="I127" s="1060">
        <f>'W&amp;W'!K97-'W&amp;W'!K358</f>
        <v>0</v>
      </c>
      <c r="J127" s="1060">
        <f>'W&amp;W'!L97-'W&amp;W'!L358</f>
        <v>0</v>
      </c>
      <c r="K127" s="1060">
        <f>'W&amp;W'!M97-'W&amp;W'!M358</f>
        <v>0</v>
      </c>
      <c r="L127" s="1060">
        <f>'W&amp;W'!N97-'W&amp;W'!N358</f>
        <v>0</v>
      </c>
      <c r="M127" s="1059">
        <f>'W&amp;W'!O97-'W&amp;W'!O358</f>
        <v>0</v>
      </c>
      <c r="N127" s="1059">
        <f>'W&amp;W'!P97-'W&amp;W'!P358</f>
        <v>0</v>
      </c>
      <c r="O127" s="1059">
        <f>'W&amp;W'!Q97-'W&amp;W'!Q358</f>
        <v>0</v>
      </c>
      <c r="P127" s="2110">
        <f>'W&amp;W'!R97-'W&amp;W'!R358</f>
        <v>0</v>
      </c>
    </row>
    <row r="128" spans="1:16" s="25" customFormat="1" x14ac:dyDescent="0.2">
      <c r="A128" s="211">
        <f>ROUND(-'W&amp;W'!B161+'W&amp;W'!B559,-3)</f>
        <v>0</v>
      </c>
      <c r="B128" s="1059">
        <f>-'W&amp;W'!C161+'W&amp;W'!C559</f>
        <v>0</v>
      </c>
      <c r="C128" s="1059">
        <f>-'W&amp;W'!D161+'W&amp;W'!D559</f>
        <v>0</v>
      </c>
      <c r="D128" s="22" t="s">
        <v>3354</v>
      </c>
      <c r="E128" s="26"/>
      <c r="F128" s="1059">
        <f>-'W&amp;W'!G161+'W&amp;W'!G559</f>
        <v>0</v>
      </c>
      <c r="G128" s="1059">
        <f>-'W&amp;W'!I161+'W&amp;W'!I559</f>
        <v>0</v>
      </c>
      <c r="H128" s="1059">
        <f>-'W&amp;W'!J161+'W&amp;W'!J559</f>
        <v>0</v>
      </c>
      <c r="I128" s="1059">
        <f>-'W&amp;W'!K161+'W&amp;W'!K559</f>
        <v>0</v>
      </c>
      <c r="J128" s="1059">
        <f>-'W&amp;W'!L161+'W&amp;W'!L559</f>
        <v>0</v>
      </c>
      <c r="K128" s="1059">
        <f>-'W&amp;W'!M161+'W&amp;W'!M559</f>
        <v>0</v>
      </c>
      <c r="L128" s="1059">
        <f>-'W&amp;W'!N161+'W&amp;W'!N559</f>
        <v>0</v>
      </c>
      <c r="M128" s="1059">
        <f>-'W&amp;W'!O161+'W&amp;W'!O559</f>
        <v>0</v>
      </c>
      <c r="N128" s="1059">
        <f>-'W&amp;W'!P161+'W&amp;W'!P559</f>
        <v>0</v>
      </c>
      <c r="O128" s="1059">
        <f>-'W&amp;W'!Q161+'W&amp;W'!Q559</f>
        <v>0</v>
      </c>
      <c r="P128" s="2110">
        <f>-'W&amp;W'!R161+'W&amp;W'!R559</f>
        <v>0</v>
      </c>
    </row>
    <row r="129" spans="1:16" s="40" customFormat="1" x14ac:dyDescent="0.2">
      <c r="A129" s="2106">
        <f>SUM(A127:A128)</f>
        <v>0</v>
      </c>
      <c r="B129" s="1052">
        <f>SUM(B127:B128)</f>
        <v>0</v>
      </c>
      <c r="C129" s="1052">
        <f>SUM(C127:C128)</f>
        <v>0</v>
      </c>
      <c r="D129" s="58"/>
      <c r="E129" s="83"/>
      <c r="F129" s="1052">
        <f t="shared" ref="F129:M129" si="49">SUM(F127:F128)</f>
        <v>0</v>
      </c>
      <c r="G129" s="1053">
        <f t="shared" si="49"/>
        <v>0</v>
      </c>
      <c r="H129" s="1053">
        <f t="shared" si="49"/>
        <v>0</v>
      </c>
      <c r="I129" s="1053">
        <f t="shared" si="49"/>
        <v>0</v>
      </c>
      <c r="J129" s="1053">
        <f t="shared" si="49"/>
        <v>0</v>
      </c>
      <c r="K129" s="1053">
        <f t="shared" si="49"/>
        <v>0</v>
      </c>
      <c r="L129" s="1053">
        <f t="shared" si="49"/>
        <v>0</v>
      </c>
      <c r="M129" s="1052">
        <f t="shared" si="49"/>
        <v>0</v>
      </c>
      <c r="N129" s="1052">
        <f t="shared" ref="N129:O129" si="50">SUM(N127:N128)</f>
        <v>0</v>
      </c>
      <c r="O129" s="1052">
        <f t="shared" si="50"/>
        <v>0</v>
      </c>
      <c r="P129" s="2107">
        <f t="shared" ref="P129" si="51">SUM(P127:P128)</f>
        <v>0</v>
      </c>
    </row>
    <row r="130" spans="1:16" s="25" customFormat="1" x14ac:dyDescent="0.2">
      <c r="A130" s="211"/>
      <c r="B130" s="1059"/>
      <c r="C130" s="1059"/>
      <c r="D130" s="55"/>
      <c r="E130" s="26"/>
      <c r="F130" s="1059"/>
      <c r="G130" s="1060"/>
      <c r="H130" s="1060"/>
      <c r="I130" s="1060"/>
      <c r="J130" s="1060"/>
      <c r="K130" s="1060"/>
      <c r="L130" s="1060"/>
      <c r="M130" s="1059"/>
      <c r="N130" s="1059"/>
      <c r="O130" s="1059"/>
      <c r="P130" s="2110"/>
    </row>
    <row r="131" spans="1:16" s="25" customFormat="1" x14ac:dyDescent="0.2">
      <c r="A131" s="211"/>
      <c r="B131" s="1059"/>
      <c r="C131" s="1059"/>
      <c r="D131" s="65" t="s">
        <v>2414</v>
      </c>
      <c r="E131" s="26"/>
      <c r="F131" s="1059"/>
      <c r="G131" s="1060"/>
      <c r="H131" s="1060"/>
      <c r="I131" s="1060"/>
      <c r="J131" s="1060"/>
      <c r="K131" s="1060"/>
      <c r="L131" s="1060"/>
      <c r="M131" s="1059"/>
      <c r="N131" s="1059"/>
      <c r="O131" s="1059"/>
      <c r="P131" s="2110"/>
    </row>
    <row r="132" spans="1:16" s="23" customFormat="1" x14ac:dyDescent="0.2">
      <c r="A132" s="107">
        <f>+SUM(GM!B1046:B1047)+SUM(GM!B989:B993)+GM!B1164</f>
        <v>730000</v>
      </c>
      <c r="B132" s="150">
        <f>+SUM(GM!C1046:C1047)+SUM(GM!C989:C993)+GM!C1164</f>
        <v>497000</v>
      </c>
      <c r="C132" s="1064">
        <f>+SUM(GM!D1046:D1047)+SUM(GM!D989:D993)+GM!D1164</f>
        <v>574000</v>
      </c>
      <c r="D132" s="22" t="str">
        <f>D111</f>
        <v>GM Group</v>
      </c>
      <c r="E132" s="20"/>
      <c r="F132" s="1064">
        <f>+SUM(GM!G1046:G1047)+SUM(GM!G989:G993)+GM!G1164</f>
        <v>587000</v>
      </c>
      <c r="G132" s="1065">
        <f>+SUM(GM!I1046:I1047)+SUM(GM!I989:I993)+GM!I1164</f>
        <v>622000</v>
      </c>
      <c r="H132" s="1065">
        <f>+SUM(GM!J1046:J1047)+SUM(GM!J989:J993)+GM!J1164</f>
        <v>637600</v>
      </c>
      <c r="I132" s="1065">
        <f>+SUM(GM!K1046:K1047)+SUM(GM!K989:K993)+GM!K1164</f>
        <v>653400</v>
      </c>
      <c r="J132" s="1065">
        <f>+SUM(GM!L1046:L1047)+SUM(GM!L989:L993)+GM!L1164</f>
        <v>669900</v>
      </c>
      <c r="K132" s="1065">
        <f>+SUM(GM!M1046:M1047)+SUM(GM!M989:M993)+GM!M1164</f>
        <v>683300</v>
      </c>
      <c r="L132" s="1065">
        <f>+SUM(GM!N1046:N1047)+SUM(GM!N989:N993)+GM!N1164</f>
        <v>648800</v>
      </c>
      <c r="M132" s="1064">
        <f>+SUM(GM!O1046:O1047)+SUM(GM!O989:O993)+GM!O1164</f>
        <v>661800</v>
      </c>
      <c r="N132" s="1064">
        <f>+SUM(GM!P1046:P1047)+SUM(GM!P989:P993)+GM!P1164</f>
        <v>675000</v>
      </c>
      <c r="O132" s="1064">
        <f>+SUM(GM!Q1046:Q1047)+SUM(GM!Q989:Q993)+GM!Q1164</f>
        <v>688500</v>
      </c>
      <c r="P132" s="2113">
        <f>+SUM(GM!R1046:R1047)+SUM(GM!R989:R993)+GM!R1164</f>
        <v>702300</v>
      </c>
    </row>
    <row r="133" spans="1:16" s="23" customFormat="1" x14ac:dyDescent="0.2">
      <c r="A133" s="50"/>
      <c r="B133" s="1064"/>
      <c r="C133" s="1064"/>
      <c r="D133" s="22" t="str">
        <f>D112</f>
        <v>Development &amp; Env Health Group</v>
      </c>
      <c r="E133" s="20"/>
      <c r="F133" s="1064"/>
      <c r="G133" s="1065"/>
      <c r="H133" s="1065"/>
      <c r="I133" s="1065"/>
      <c r="J133" s="1065"/>
      <c r="K133" s="1065"/>
      <c r="L133" s="1065"/>
      <c r="M133" s="1064"/>
      <c r="N133" s="1064"/>
      <c r="O133" s="1064"/>
      <c r="P133" s="2113"/>
    </row>
    <row r="134" spans="1:16" s="23" customFormat="1" x14ac:dyDescent="0.2">
      <c r="A134" s="50">
        <f>CIV!B1619+++CIV!B1827+CIV!B1735+CIV!B1992</f>
        <v>1175000</v>
      </c>
      <c r="B134" s="1064">
        <f>CIV!C1619+++CIV!C1827+CIV!C1735+CIV!C1992</f>
        <v>1554000</v>
      </c>
      <c r="C134" s="1064">
        <f>CIV!D1619+++CIV!D1827+CIV!D1735+CIV!D1992</f>
        <v>1578000</v>
      </c>
      <c r="D134" s="22" t="str">
        <f>D113</f>
        <v>Civil Services - General</v>
      </c>
      <c r="E134" s="20"/>
      <c r="F134" s="1064">
        <f>CIV!G1619+++CIV!G1827+CIV!G1735+CIV!G1992</f>
        <v>1659000</v>
      </c>
      <c r="G134" s="1065">
        <f>CIV!I1619+++CIV!I1827+CIV!I1735+CIV!I1992</f>
        <v>1560000</v>
      </c>
      <c r="H134" s="1065">
        <f>CIV!J1619+++CIV!J1827+CIV!J1735+CIV!J1992</f>
        <v>1598900</v>
      </c>
      <c r="I134" s="1065">
        <f>CIV!K1619+++CIV!K1827+CIV!K1735+CIV!K1992</f>
        <v>1639000</v>
      </c>
      <c r="J134" s="1065">
        <f>CIV!L1619+++CIV!L1827+CIV!L1735+CIV!L1992</f>
        <v>1680400</v>
      </c>
      <c r="K134" s="1065">
        <f>CIV!M1619+++CIV!M1827+CIV!M1735+CIV!M1992</f>
        <v>1714100</v>
      </c>
      <c r="L134" s="1065">
        <f>CIV!N1619+++CIV!N1827+CIV!N1735+CIV!N1992</f>
        <v>1749000</v>
      </c>
      <c r="M134" s="1064">
        <f>CIV!O1619+++CIV!O1827+CIV!O1735+CIV!O1992</f>
        <v>1784000</v>
      </c>
      <c r="N134" s="1064">
        <f>CIV!P1619+++CIV!P1827+CIV!P1735+CIV!P1992</f>
        <v>1819200</v>
      </c>
      <c r="O134" s="1064">
        <f>CIV!Q1619+++CIV!Q1827+CIV!Q1735+CIV!Q1992</f>
        <v>1855500</v>
      </c>
      <c r="P134" s="2113">
        <f>CIV!R1619+++CIV!R1827+CIV!R1735+CIV!R1992</f>
        <v>1893000</v>
      </c>
    </row>
    <row r="135" spans="1:16" s="23" customFormat="1" x14ac:dyDescent="0.2">
      <c r="A135" s="50">
        <f>'W&amp;W'!B72+'W&amp;W'!B135-300</f>
        <v>2926000</v>
      </c>
      <c r="B135" s="1064">
        <f>'W&amp;W'!C72+'W&amp;W'!C135</f>
        <v>2937000</v>
      </c>
      <c r="C135" s="1064">
        <f>'W&amp;W'!D72+'W&amp;W'!D135</f>
        <v>3189000</v>
      </c>
      <c r="D135" s="22" t="str">
        <f>D114</f>
        <v>Civil Services - Water, Wastewater</v>
      </c>
      <c r="E135" s="20"/>
      <c r="F135" s="1064">
        <f>'W&amp;W'!G72+'W&amp;W'!G135</f>
        <v>3269000</v>
      </c>
      <c r="G135" s="1065">
        <f>'W&amp;W'!I72+'W&amp;W'!I135</f>
        <v>3382000</v>
      </c>
      <c r="H135" s="1065">
        <f>'W&amp;W'!J72+'W&amp;W'!J135</f>
        <v>3466500</v>
      </c>
      <c r="I135" s="1065">
        <f>'W&amp;W'!K72+'W&amp;W'!K135</f>
        <v>3553200</v>
      </c>
      <c r="J135" s="1065">
        <f>'W&amp;W'!L72+'W&amp;W'!L135</f>
        <v>3642000</v>
      </c>
      <c r="K135" s="1065">
        <f>'W&amp;W'!M72+'W&amp;W'!M135</f>
        <v>3714900</v>
      </c>
      <c r="L135" s="1065">
        <f>'W&amp;W'!N72+'W&amp;W'!N135</f>
        <v>3789200</v>
      </c>
      <c r="M135" s="1064">
        <f>'W&amp;W'!O72+'W&amp;W'!O135</f>
        <v>3864900</v>
      </c>
      <c r="N135" s="1064">
        <f>'W&amp;W'!P72+'W&amp;W'!P135</f>
        <v>3942200</v>
      </c>
      <c r="O135" s="1064">
        <f>'W&amp;W'!Q72+'W&amp;W'!Q135</f>
        <v>4021100</v>
      </c>
      <c r="P135" s="2113">
        <f>'W&amp;W'!R72+'W&amp;W'!R135</f>
        <v>4101500</v>
      </c>
    </row>
    <row r="136" spans="1:16" s="23" customFormat="1" x14ac:dyDescent="0.2">
      <c r="A136" s="50"/>
      <c r="B136" s="1064">
        <f>SP!C580</f>
        <v>0</v>
      </c>
      <c r="C136" s="1064">
        <f>SP!D580</f>
        <v>0</v>
      </c>
      <c r="D136" s="22" t="str">
        <f>D115</f>
        <v>Strategic &amp; Comm Facs Group</v>
      </c>
      <c r="E136" s="20"/>
      <c r="F136" s="1064">
        <f>SP!G580</f>
        <v>0</v>
      </c>
      <c r="G136" s="1065">
        <f>SP!I580</f>
        <v>0</v>
      </c>
      <c r="H136" s="1065">
        <f>SP!J580</f>
        <v>0</v>
      </c>
      <c r="I136" s="1065">
        <f>SP!K580</f>
        <v>0</v>
      </c>
      <c r="J136" s="1065">
        <f>SP!L580</f>
        <v>0</v>
      </c>
      <c r="K136" s="1065">
        <f>SP!M580</f>
        <v>0</v>
      </c>
      <c r="L136" s="1065">
        <f>SP!N580</f>
        <v>0</v>
      </c>
      <c r="M136" s="1064">
        <f>SP!O580</f>
        <v>0</v>
      </c>
      <c r="N136" s="1064">
        <f>SP!Q580</f>
        <v>0</v>
      </c>
      <c r="O136" s="1064">
        <f>SP!R580</f>
        <v>0</v>
      </c>
      <c r="P136" s="2113">
        <f>SP!S580</f>
        <v>0</v>
      </c>
    </row>
    <row r="137" spans="1:16" s="23" customFormat="1" x14ac:dyDescent="0.2">
      <c r="A137" s="50">
        <f>NEWLOG!B35</f>
        <v>89000</v>
      </c>
      <c r="B137" s="1064">
        <f>NEWLOG!C35</f>
        <v>69000</v>
      </c>
      <c r="C137" s="1064">
        <f>NEWLOG!D35</f>
        <v>61000</v>
      </c>
      <c r="D137" s="22" t="s">
        <v>1089</v>
      </c>
      <c r="E137" s="20"/>
      <c r="F137" s="1064">
        <f>NEWLOG!G35</f>
        <v>69000</v>
      </c>
      <c r="G137" s="1065">
        <f>NEWLOG!I35</f>
        <v>70000</v>
      </c>
      <c r="H137" s="1065">
        <f>NEWLOG!J35</f>
        <v>71800</v>
      </c>
      <c r="I137" s="1065">
        <f>NEWLOG!K35</f>
        <v>73600</v>
      </c>
      <c r="J137" s="1065">
        <f>NEWLOG!L35</f>
        <v>75400</v>
      </c>
      <c r="K137" s="1065">
        <f>NEWLOG!M35</f>
        <v>76900</v>
      </c>
      <c r="L137" s="1065">
        <f>NEWLOG!N35</f>
        <v>78400</v>
      </c>
      <c r="M137" s="1064">
        <f>NEWLOG!O35</f>
        <v>80000</v>
      </c>
      <c r="N137" s="1064">
        <f>NEWLOG!P35</f>
        <v>81600</v>
      </c>
      <c r="O137" s="1064">
        <f>NEWLOG!Q35</f>
        <v>83200</v>
      </c>
      <c r="P137" s="2113">
        <f>NEWLOG!R35</f>
        <v>84900</v>
      </c>
    </row>
    <row r="138" spans="1:16" s="23" customFormat="1" x14ac:dyDescent="0.2">
      <c r="A138" s="50">
        <f>GM!B223</f>
        <v>-4920000</v>
      </c>
      <c r="B138" s="1064">
        <f>GM!C223</f>
        <v>-5057000</v>
      </c>
      <c r="C138" s="1064">
        <f>GM!D223</f>
        <v>-5402000</v>
      </c>
      <c r="D138" s="22" t="s">
        <v>2389</v>
      </c>
      <c r="E138" s="20"/>
      <c r="F138" s="1064">
        <f>GM!G223</f>
        <v>-5584000</v>
      </c>
      <c r="G138" s="1065">
        <f>GM!I223</f>
        <v>-5634000</v>
      </c>
      <c r="H138" s="1065">
        <f>GM!J223</f>
        <v>-5774800</v>
      </c>
      <c r="I138" s="1065">
        <f>GM!K223</f>
        <v>-5919200</v>
      </c>
      <c r="J138" s="1065">
        <f>GM!L223</f>
        <v>-6067700</v>
      </c>
      <c r="K138" s="1065">
        <f>GM!M223</f>
        <v>-6189200</v>
      </c>
      <c r="L138" s="1065">
        <f>GM!N223</f>
        <v>-6265400</v>
      </c>
      <c r="M138" s="1064">
        <f>GM!O223</f>
        <v>-6390700</v>
      </c>
      <c r="N138" s="1064">
        <f>GM!P223</f>
        <v>-6518000</v>
      </c>
      <c r="O138" s="1064">
        <f>GM!Q223</f>
        <v>-6648300</v>
      </c>
      <c r="P138" s="2113">
        <f>GM!R223</f>
        <v>-6781700</v>
      </c>
    </row>
    <row r="139" spans="1:16" s="44" customFormat="1" x14ac:dyDescent="0.2">
      <c r="A139" s="2114">
        <f>ROUND(SUM(A132:A138),-3)</f>
        <v>0</v>
      </c>
      <c r="B139" s="1067">
        <f>SUM(B132:B138)</f>
        <v>0</v>
      </c>
      <c r="C139" s="1067">
        <f>SUM(C132:C138)</f>
        <v>0</v>
      </c>
      <c r="D139" s="55"/>
      <c r="E139" s="65"/>
      <c r="F139" s="1067">
        <f t="shared" ref="F139:M139" si="52">SUM(F132:F138)</f>
        <v>0</v>
      </c>
      <c r="G139" s="1067">
        <f t="shared" si="52"/>
        <v>0</v>
      </c>
      <c r="H139" s="1067">
        <f t="shared" si="52"/>
        <v>0</v>
      </c>
      <c r="I139" s="1067">
        <f t="shared" si="52"/>
        <v>0</v>
      </c>
      <c r="J139" s="1067">
        <f t="shared" si="52"/>
        <v>0</v>
      </c>
      <c r="K139" s="1067">
        <f t="shared" si="52"/>
        <v>0</v>
      </c>
      <c r="L139" s="1067">
        <f t="shared" si="52"/>
        <v>0</v>
      </c>
      <c r="M139" s="1067">
        <f t="shared" si="52"/>
        <v>0</v>
      </c>
      <c r="N139" s="1067">
        <f t="shared" ref="N139:O139" si="53">SUM(N132:N138)</f>
        <v>0</v>
      </c>
      <c r="O139" s="1067">
        <f t="shared" si="53"/>
        <v>0</v>
      </c>
      <c r="P139" s="2115">
        <f t="shared" ref="P139" si="54">SUM(P132:P138)</f>
        <v>0</v>
      </c>
    </row>
    <row r="140" spans="1:16" s="23" customFormat="1" x14ac:dyDescent="0.2">
      <c r="A140" s="50"/>
      <c r="B140" s="1064"/>
      <c r="C140" s="1064"/>
      <c r="D140" s="55" t="s">
        <v>2796</v>
      </c>
      <c r="E140" s="20"/>
      <c r="F140" s="1064"/>
      <c r="G140" s="1065"/>
      <c r="H140" s="1065"/>
      <c r="I140" s="1065"/>
      <c r="J140" s="1065"/>
      <c r="K140" s="1065"/>
      <c r="L140" s="1065"/>
      <c r="M140" s="1064"/>
      <c r="N140" s="1064"/>
      <c r="O140" s="1064"/>
      <c r="P140" s="2113"/>
    </row>
    <row r="141" spans="1:16" s="23" customFormat="1" x14ac:dyDescent="0.2">
      <c r="A141" s="50">
        <f>CIV!B1833+CIV!B1834+CIV!B2010+CIV!B2006</f>
        <v>0</v>
      </c>
      <c r="B141" s="1064">
        <f>CIV!C1833+CIV!C1834+CIV!C2010+CIV!C2006</f>
        <v>0</v>
      </c>
      <c r="C141" s="1064">
        <f>CIV!D1833+CIV!D1834+CIV!D2010+CIV!D2006-3800</f>
        <v>0</v>
      </c>
      <c r="D141" s="22" t="s">
        <v>781</v>
      </c>
      <c r="E141" s="20"/>
      <c r="F141" s="1064">
        <f>CIV!G1833+CIV!G1834+CIV!G2010+CIV!G2006</f>
        <v>0</v>
      </c>
      <c r="G141" s="1065">
        <f>CIV!I1833+CIV!I1834+CIV!I2010+CIV!I2006</f>
        <v>0</v>
      </c>
      <c r="H141" s="1065">
        <f>CIV!J1833+CIV!J1834+CIV!J2010+CIV!J2006</f>
        <v>0</v>
      </c>
      <c r="I141" s="1065">
        <f>CIV!K1833+CIV!K1834+CIV!K2010+CIV!K2006</f>
        <v>0</v>
      </c>
      <c r="J141" s="1065">
        <f>CIV!L1833+CIV!L1834+CIV!L2010+CIV!L2006</f>
        <v>0</v>
      </c>
      <c r="K141" s="1065">
        <f>CIV!M1833+CIV!M1834+CIV!M2010+CIV!M2006</f>
        <v>0</v>
      </c>
      <c r="L141" s="1065">
        <f>CIV!N1833+CIV!N1834+CIV!N2010+CIV!N2006</f>
        <v>0</v>
      </c>
      <c r="M141" s="1064">
        <f>CIV!O1833+CIV!O1834+CIV!O2010+CIV!O2006</f>
        <v>0</v>
      </c>
      <c r="N141" s="1064">
        <f>CIV!P1833+CIV!P1834+CIV!P2010+CIV!P2006</f>
        <v>0</v>
      </c>
      <c r="O141" s="1064">
        <f>CIV!Q1833+CIV!Q1834+CIV!Q2010+CIV!Q2006</f>
        <v>0</v>
      </c>
      <c r="P141" s="2113">
        <f>CIV!R1833+CIV!R1834+CIV!R2010+CIV!R2006</f>
        <v>0</v>
      </c>
    </row>
    <row r="142" spans="1:16" s="40" customFormat="1" x14ac:dyDescent="0.2">
      <c r="A142" s="2106">
        <f>ROUND(SUM(A131:A141),-3)</f>
        <v>0</v>
      </c>
      <c r="B142" s="1052">
        <f>SUM(B141:B141)</f>
        <v>0</v>
      </c>
      <c r="C142" s="1052">
        <f>SUM(C141:C141)</f>
        <v>0</v>
      </c>
      <c r="D142" s="58" t="s">
        <v>2795</v>
      </c>
      <c r="E142" s="83"/>
      <c r="F142" s="1052">
        <f t="shared" ref="F142:O142" si="55">SUM(F141:F141)</f>
        <v>0</v>
      </c>
      <c r="G142" s="1053">
        <f t="shared" si="55"/>
        <v>0</v>
      </c>
      <c r="H142" s="1053">
        <f t="shared" si="55"/>
        <v>0</v>
      </c>
      <c r="I142" s="1053">
        <f t="shared" si="55"/>
        <v>0</v>
      </c>
      <c r="J142" s="1053">
        <f t="shared" si="55"/>
        <v>0</v>
      </c>
      <c r="K142" s="1053">
        <f t="shared" si="55"/>
        <v>0</v>
      </c>
      <c r="L142" s="1053">
        <f t="shared" si="55"/>
        <v>0</v>
      </c>
      <c r="M142" s="1052">
        <f t="shared" si="55"/>
        <v>0</v>
      </c>
      <c r="N142" s="1052">
        <f t="shared" si="55"/>
        <v>0</v>
      </c>
      <c r="O142" s="1052">
        <f t="shared" si="55"/>
        <v>0</v>
      </c>
      <c r="P142" s="2107">
        <f t="shared" ref="P142" si="56">SUM(P141:P141)</f>
        <v>0</v>
      </c>
    </row>
    <row r="143" spans="1:16" s="25" customFormat="1" x14ac:dyDescent="0.2">
      <c r="A143" s="211"/>
      <c r="B143" s="1059"/>
      <c r="C143" s="1059"/>
      <c r="D143" s="55"/>
      <c r="E143" s="26"/>
      <c r="F143" s="1059"/>
      <c r="G143" s="1060"/>
      <c r="H143" s="1060"/>
      <c r="I143" s="1060"/>
      <c r="J143" s="1060"/>
      <c r="K143" s="1060"/>
      <c r="L143" s="1060"/>
      <c r="M143" s="1059"/>
      <c r="N143" s="1059"/>
      <c r="O143" s="1059"/>
      <c r="P143" s="2110"/>
    </row>
    <row r="144" spans="1:16" s="25" customFormat="1" x14ac:dyDescent="0.2">
      <c r="A144" s="211"/>
      <c r="B144" s="1059"/>
      <c r="C144" s="1059">
        <f>'Cap Inc'!B100-'Cash-Gen'!C56</f>
        <v>0</v>
      </c>
      <c r="D144" s="35" t="s">
        <v>2718</v>
      </c>
      <c r="E144" s="26"/>
      <c r="F144" s="1059">
        <f>'Cap Inc'!E100-'Cash-Gen'!E56</f>
        <v>0</v>
      </c>
      <c r="G144" s="1060">
        <f>'Cap Inc'!F100-'Cash-Gen'!F56</f>
        <v>0</v>
      </c>
      <c r="H144" s="1060">
        <f>'Cap Inc'!G100-'Cash-Gen'!G56</f>
        <v>0</v>
      </c>
      <c r="I144" s="1060">
        <f>'Cap Inc'!H100-'Cash-Gen'!H56</f>
        <v>0</v>
      </c>
      <c r="J144" s="1060">
        <f>'Cap Inc'!I100-'Cash-Gen'!I56</f>
        <v>0</v>
      </c>
      <c r="K144" s="1060">
        <f>'Cap Inc'!J100-'Cash-Gen'!J56</f>
        <v>0</v>
      </c>
      <c r="L144" s="1060">
        <f>'Cap Inc'!K100-'Cash-Gen'!K56</f>
        <v>0</v>
      </c>
      <c r="M144" s="1059">
        <f>'Cap Inc'!L100-'Cash-Gen'!L56</f>
        <v>0</v>
      </c>
      <c r="N144" s="1059">
        <f>'Cap Inc'!M100-'Cash-Gen'!M56</f>
        <v>0</v>
      </c>
      <c r="O144" s="1059">
        <f>'Cap Inc'!N100-'Cash-Gen'!N56</f>
        <v>0</v>
      </c>
      <c r="P144" s="2110">
        <f>'Cap Inc'!O100-'Cash-Gen'!O56</f>
        <v>0</v>
      </c>
    </row>
    <row r="145" spans="1:16" s="25" customFormat="1" x14ac:dyDescent="0.2">
      <c r="A145" s="211"/>
      <c r="B145" s="1059"/>
      <c r="C145" s="1059"/>
      <c r="D145" s="35" t="s">
        <v>6126</v>
      </c>
      <c r="E145" s="26"/>
      <c r="F145" s="1059">
        <f>-CIV!G1028</f>
        <v>-2495000</v>
      </c>
      <c r="G145" s="1059">
        <f>-CIV!I1028</f>
        <v>-935000</v>
      </c>
      <c r="H145" s="1059">
        <f>-CIV!J1028</f>
        <v>-734000</v>
      </c>
      <c r="I145" s="1060">
        <f>-CIV!K1028</f>
        <v>-634000</v>
      </c>
      <c r="J145" s="1060">
        <f>-CIV!L1028</f>
        <v>-646700</v>
      </c>
      <c r="K145" s="1060">
        <f>-CIV!M1028</f>
        <v>-659700</v>
      </c>
      <c r="L145" s="1060">
        <f>-CIV!N1028</f>
        <v>-672900</v>
      </c>
      <c r="M145" s="1059">
        <f>-CIV!O1028</f>
        <v>-686400</v>
      </c>
      <c r="N145" s="1059">
        <f>-CIV!P1028</f>
        <v>-700200</v>
      </c>
      <c r="O145" s="1059">
        <f>-CIV!Q1028</f>
        <v>-714300</v>
      </c>
      <c r="P145" s="2110">
        <f>-CIV!R1028</f>
        <v>-728600</v>
      </c>
    </row>
    <row r="146" spans="1:16" s="25" customFormat="1" x14ac:dyDescent="0.2">
      <c r="A146" s="211"/>
      <c r="B146" s="1059"/>
      <c r="C146" s="1059">
        <f>'Cap-Gen'!Q211-'Cash-Gen'!C56+'Cap Inc'!B11+'Cap Inc'!B15</f>
        <v>0</v>
      </c>
      <c r="D146" s="35" t="s">
        <v>2718</v>
      </c>
      <c r="E146" s="26"/>
      <c r="F146" s="1059">
        <f>'Cap-Gen'!V211-'Cash-Gen'!E56</f>
        <v>2495000</v>
      </c>
      <c r="G146" s="1060">
        <f>'Cap-Gen'!AA211-'Cash-Gen'!F56</f>
        <v>935000</v>
      </c>
      <c r="H146" s="1060">
        <f>'Cap-Gen'!AF211-'Cash-Gen'!G56</f>
        <v>734000</v>
      </c>
      <c r="I146" s="1060">
        <f>'Cap-Gen'!AK211-'Cash-Gen'!H56</f>
        <v>634000</v>
      </c>
      <c r="J146" s="1060">
        <f>'Cap-Gen'!AP211-'Cash-Gen'!I56</f>
        <v>646700</v>
      </c>
      <c r="K146" s="1060">
        <f>'Cap-Gen'!AU211-'Cash-Gen'!J56</f>
        <v>659700</v>
      </c>
      <c r="L146" s="1060">
        <f>'Cap-Gen'!AZ211-'Cash-Gen'!K56</f>
        <v>672900</v>
      </c>
      <c r="M146" s="1059">
        <f>'Cap-Gen'!BE211-'Cash-Gen'!L56</f>
        <v>686400</v>
      </c>
      <c r="N146" s="1059">
        <f>'Cap-Gen'!BJ211-'Cash-Gen'!M56</f>
        <v>700200</v>
      </c>
      <c r="O146" s="1059">
        <f>'Cap-Gen'!BO211-'Cash-Gen'!N56</f>
        <v>714300</v>
      </c>
      <c r="P146" s="2110">
        <f>'Cap-Gen'!BT211-'Cash-Gen'!O56</f>
        <v>728600</v>
      </c>
    </row>
    <row r="147" spans="1:16" s="25" customFormat="1" x14ac:dyDescent="0.2">
      <c r="A147" s="2106">
        <f>A146+A144</f>
        <v>0</v>
      </c>
      <c r="B147" s="1067">
        <f>SUM(B144:B146)</f>
        <v>0</v>
      </c>
      <c r="C147" s="1067">
        <f>C146+C144</f>
        <v>0</v>
      </c>
      <c r="D147" s="58" t="s">
        <v>1763</v>
      </c>
      <c r="E147" s="26"/>
      <c r="F147" s="1067">
        <f t="shared" ref="F147:M147" si="57">SUM(F144:F146)</f>
        <v>0</v>
      </c>
      <c r="G147" s="1066">
        <f t="shared" si="57"/>
        <v>0</v>
      </c>
      <c r="H147" s="1066">
        <f t="shared" si="57"/>
        <v>0</v>
      </c>
      <c r="I147" s="1066">
        <f t="shared" si="57"/>
        <v>0</v>
      </c>
      <c r="J147" s="1066">
        <f t="shared" si="57"/>
        <v>0</v>
      </c>
      <c r="K147" s="1066">
        <f t="shared" si="57"/>
        <v>0</v>
      </c>
      <c r="L147" s="1066">
        <f t="shared" si="57"/>
        <v>0</v>
      </c>
      <c r="M147" s="1067">
        <f t="shared" si="57"/>
        <v>0</v>
      </c>
      <c r="N147" s="1067">
        <f t="shared" ref="N147:O147" si="58">SUM(N144:N146)</f>
        <v>0</v>
      </c>
      <c r="O147" s="1067">
        <f t="shared" si="58"/>
        <v>0</v>
      </c>
      <c r="P147" s="2115">
        <f t="shared" ref="P147" si="59">SUM(P144:P146)</f>
        <v>0</v>
      </c>
    </row>
    <row r="148" spans="1:16" s="25" customFormat="1" x14ac:dyDescent="0.2">
      <c r="A148" s="211">
        <f>SUM('Cap-Gen'!E218:BI218)</f>
        <v>0</v>
      </c>
      <c r="B148" s="1059">
        <f>SUM('Cap-Gen'!F218:BY218)</f>
        <v>0</v>
      </c>
      <c r="C148" s="1059"/>
      <c r="D148" s="35" t="s">
        <v>277</v>
      </c>
      <c r="E148" s="26"/>
      <c r="F148" s="1059"/>
      <c r="G148" s="1060"/>
      <c r="H148" s="1060"/>
      <c r="I148" s="1060"/>
      <c r="J148" s="1060"/>
      <c r="K148" s="1060"/>
      <c r="L148" s="1060"/>
      <c r="M148" s="1059"/>
      <c r="N148" s="1059"/>
      <c r="O148" s="1059"/>
      <c r="P148" s="2110"/>
    </row>
    <row r="149" spans="1:16" s="25" customFormat="1" x14ac:dyDescent="0.2">
      <c r="A149" s="211"/>
      <c r="B149" s="1059"/>
      <c r="C149" s="1059"/>
      <c r="D149" s="35"/>
      <c r="E149" s="26"/>
      <c r="F149" s="1059"/>
      <c r="G149" s="1060"/>
      <c r="H149" s="1060"/>
      <c r="I149" s="1060"/>
      <c r="J149" s="1060"/>
      <c r="K149" s="1060"/>
      <c r="L149" s="1060"/>
      <c r="M149" s="1059"/>
      <c r="N149" s="1059"/>
      <c r="O149" s="1059"/>
      <c r="P149" s="2110"/>
    </row>
    <row r="150" spans="1:16" s="44" customFormat="1" x14ac:dyDescent="0.2">
      <c r="A150" s="771"/>
      <c r="B150" s="1062"/>
      <c r="C150" s="1062"/>
      <c r="D150" s="55" t="s">
        <v>1766</v>
      </c>
      <c r="E150" s="65"/>
      <c r="F150" s="1062"/>
      <c r="G150" s="1061"/>
      <c r="H150" s="1061"/>
      <c r="I150" s="1061"/>
      <c r="J150" s="1061"/>
      <c r="K150" s="1061"/>
      <c r="L150" s="1061"/>
      <c r="M150" s="1062"/>
      <c r="N150" s="1062"/>
      <c r="O150" s="1062"/>
      <c r="P150" s="2111"/>
    </row>
    <row r="151" spans="1:16" s="25" customFormat="1" x14ac:dyDescent="0.2">
      <c r="A151" s="211"/>
      <c r="B151" s="1059">
        <f>Summaries!D144-LTFP!B140/1000</f>
        <v>0</v>
      </c>
      <c r="C151" s="1059"/>
      <c r="D151" s="35" t="s">
        <v>3733</v>
      </c>
      <c r="E151" s="26"/>
      <c r="F151" s="1059"/>
      <c r="G151" s="1060"/>
      <c r="H151" s="1060"/>
      <c r="I151" s="1060"/>
      <c r="J151" s="1060"/>
      <c r="K151" s="1060"/>
      <c r="L151" s="1060"/>
      <c r="M151" s="1059"/>
      <c r="N151" s="1059"/>
      <c r="O151" s="1059"/>
      <c r="P151" s="2110"/>
    </row>
    <row r="152" spans="1:16" s="44" customFormat="1" x14ac:dyDescent="0.2">
      <c r="A152" s="771"/>
      <c r="B152" s="1062"/>
      <c r="C152" s="1062"/>
      <c r="D152" s="55"/>
      <c r="E152" s="65"/>
      <c r="F152" s="1062"/>
      <c r="G152" s="1061"/>
      <c r="H152" s="1061"/>
      <c r="I152" s="1061"/>
      <c r="J152" s="1061"/>
      <c r="K152" s="1061"/>
      <c r="L152" s="1061"/>
      <c r="M152" s="1062"/>
      <c r="N152" s="1062"/>
      <c r="O152" s="1062"/>
      <c r="P152" s="2111"/>
    </row>
    <row r="153" spans="1:16" s="44" customFormat="1" x14ac:dyDescent="0.2">
      <c r="A153" s="771"/>
      <c r="B153" s="1062"/>
      <c r="C153" s="1062"/>
      <c r="D153" s="55" t="s">
        <v>901</v>
      </c>
      <c r="E153" s="65"/>
      <c r="F153" s="1062"/>
      <c r="G153" s="1061"/>
      <c r="H153" s="1061"/>
      <c r="I153" s="1061"/>
      <c r="J153" s="1061"/>
      <c r="K153" s="1061"/>
      <c r="L153" s="1061"/>
      <c r="M153" s="1062"/>
      <c r="N153" s="1062"/>
      <c r="O153" s="1062"/>
      <c r="P153" s="2111"/>
    </row>
    <row r="154" spans="1:16" s="44" customFormat="1" x14ac:dyDescent="0.2">
      <c r="A154" s="771"/>
      <c r="B154" s="1062"/>
      <c r="C154" s="1062"/>
      <c r="D154" s="55" t="s">
        <v>1676</v>
      </c>
      <c r="E154" s="65"/>
      <c r="F154" s="1062"/>
      <c r="G154" s="1061"/>
      <c r="H154" s="1061"/>
      <c r="I154" s="1061"/>
      <c r="J154" s="1061"/>
      <c r="K154" s="1061"/>
      <c r="L154" s="1061"/>
      <c r="M154" s="1062"/>
      <c r="N154" s="1062"/>
      <c r="O154" s="1062"/>
      <c r="P154" s="2111"/>
    </row>
    <row r="155" spans="1:16" s="23" customFormat="1" x14ac:dyDescent="0.2">
      <c r="A155" s="50">
        <f>ROUND('Debt-Gen'!E64,-3)</f>
        <v>3216000</v>
      </c>
      <c r="B155" s="1064">
        <f>ROUND('Debt-Gen'!G64,-2)</f>
        <v>3395400</v>
      </c>
      <c r="C155" s="1064">
        <f>ROUND('Debt-Gen'!I64,-2)</f>
        <v>3788900</v>
      </c>
      <c r="D155" s="22" t="s">
        <v>902</v>
      </c>
      <c r="E155" s="20"/>
      <c r="F155" s="1064">
        <f>ROUND('Debt-Gen'!K64,-2)-200</f>
        <v>3696000</v>
      </c>
      <c r="G155" s="1065">
        <f>ROUND('Debt-Gen'!M64,-2)</f>
        <v>3312800</v>
      </c>
      <c r="H155" s="1065">
        <f>ROUND('Debt-Gen'!O64,-2)</f>
        <v>3247800</v>
      </c>
      <c r="I155" s="1065">
        <f>ROUND('Debt-Gen'!Q64,-2)-100</f>
        <v>3318900</v>
      </c>
      <c r="J155" s="1065">
        <f>ROUND('Debt-Gen'!S64,-2)+100</f>
        <v>3043100</v>
      </c>
      <c r="K155" s="1065">
        <f>ROUND('Debt-Gen'!U64,-2)</f>
        <v>3542900</v>
      </c>
      <c r="L155" s="1065">
        <f>ROUND('Debt-Gen'!W64,-2)</f>
        <v>3084900</v>
      </c>
      <c r="M155" s="1064">
        <f>ROUND('Debt-Gen'!Y64,-2)-100</f>
        <v>2350200</v>
      </c>
      <c r="N155" s="1064">
        <f>ROUND('Debt-Gen'!AA64,-2)</f>
        <v>2080100</v>
      </c>
      <c r="O155" s="1064">
        <f>ROUND('Debt-Gen'!AC64,-2)</f>
        <v>1452600</v>
      </c>
      <c r="P155" s="2113">
        <f>ROUND('Debt-Gen'!AE64,-2)</f>
        <v>1449900</v>
      </c>
    </row>
    <row r="156" spans="1:16" s="23" customFormat="1" x14ac:dyDescent="0.2">
      <c r="A156" s="50">
        <f>ROUND('Cash-Gen'!A81,-3)</f>
        <v>-3216000</v>
      </c>
      <c r="B156" s="1064">
        <f>ROUND('Cash-Gen'!B81,-2)</f>
        <v>-3395400</v>
      </c>
      <c r="C156" s="1064">
        <f>ROUND('Cash-Gen'!C81,-2)</f>
        <v>-3788900</v>
      </c>
      <c r="D156" s="22" t="s">
        <v>903</v>
      </c>
      <c r="E156" s="20"/>
      <c r="F156" s="1064">
        <f>ROUND('Cash-Gen'!E81,-2)+200</f>
        <v>-3696000</v>
      </c>
      <c r="G156" s="1065">
        <f>ROUND('Cash-Gen'!F81,-2)</f>
        <v>-3312800</v>
      </c>
      <c r="H156" s="1065">
        <f>ROUND('Cash-Gen'!G81,-2)</f>
        <v>-3247800</v>
      </c>
      <c r="I156" s="1065">
        <f>ROUND('Cash-Gen'!H81,-2)</f>
        <v>-3318900</v>
      </c>
      <c r="J156" s="1065">
        <f>ROUND('Cash-Gen'!I81,-2)</f>
        <v>-3043100</v>
      </c>
      <c r="K156" s="1065">
        <f>ROUND('Cash-Gen'!J81,-2)</f>
        <v>-3542900</v>
      </c>
      <c r="L156" s="1065">
        <f>ROUND('Cash-Gen'!K81,-2)</f>
        <v>-3084900</v>
      </c>
      <c r="M156" s="1064">
        <f>ROUND('Cash-Gen'!L81,-2)</f>
        <v>-2350200</v>
      </c>
      <c r="N156" s="1064">
        <f>ROUND('Cash-Gen'!M81,-2)</f>
        <v>-2080100</v>
      </c>
      <c r="O156" s="1064">
        <f>ROUND('Cash-Gen'!N81,-2)</f>
        <v>-1452600</v>
      </c>
      <c r="P156" s="2113">
        <f>ROUND('Cash-Gen'!O81,-2)</f>
        <v>-1449900</v>
      </c>
    </row>
    <row r="157" spans="1:16" s="44" customFormat="1" x14ac:dyDescent="0.2">
      <c r="A157" s="2114">
        <f>SUM(A155:A156)</f>
        <v>0</v>
      </c>
      <c r="B157" s="1067">
        <f>SUM(B155:B156)</f>
        <v>0</v>
      </c>
      <c r="C157" s="1067">
        <f>SUM(C155:C156)</f>
        <v>0</v>
      </c>
      <c r="D157" s="55"/>
      <c r="E157" s="65"/>
      <c r="F157" s="1067">
        <f t="shared" ref="F157:M157" si="60">SUM(F155:F156)</f>
        <v>0</v>
      </c>
      <c r="G157" s="1066">
        <f t="shared" si="60"/>
        <v>0</v>
      </c>
      <c r="H157" s="1066">
        <f t="shared" si="60"/>
        <v>0</v>
      </c>
      <c r="I157" s="1066">
        <f t="shared" si="60"/>
        <v>0</v>
      </c>
      <c r="J157" s="1066">
        <f t="shared" si="60"/>
        <v>0</v>
      </c>
      <c r="K157" s="1066">
        <f t="shared" si="60"/>
        <v>0</v>
      </c>
      <c r="L157" s="1066">
        <f t="shared" si="60"/>
        <v>0</v>
      </c>
      <c r="M157" s="1067">
        <f t="shared" si="60"/>
        <v>0</v>
      </c>
      <c r="N157" s="1067">
        <f t="shared" ref="N157:O157" si="61">SUM(N155:N156)</f>
        <v>0</v>
      </c>
      <c r="O157" s="1067">
        <f t="shared" si="61"/>
        <v>0</v>
      </c>
      <c r="P157" s="2115">
        <f t="shared" ref="P157" si="62">SUM(P155:P156)</f>
        <v>0</v>
      </c>
    </row>
    <row r="158" spans="1:16" s="44" customFormat="1" x14ac:dyDescent="0.2">
      <c r="A158" s="771"/>
      <c r="B158" s="1062"/>
      <c r="C158" s="1062"/>
      <c r="D158" s="55"/>
      <c r="E158" s="65"/>
      <c r="F158" s="1062"/>
      <c r="G158" s="1061"/>
      <c r="H158" s="1061"/>
      <c r="I158" s="1061"/>
      <c r="J158" s="1061"/>
      <c r="K158" s="1061"/>
      <c r="L158" s="1061"/>
      <c r="M158" s="1062"/>
      <c r="N158" s="1062"/>
      <c r="O158" s="1062"/>
      <c r="P158" s="2111"/>
    </row>
    <row r="159" spans="1:16" s="44" customFormat="1" x14ac:dyDescent="0.2">
      <c r="A159" s="50">
        <f>ROUND(-'Debt-Gen'!F64,-3)</f>
        <v>-1510000</v>
      </c>
      <c r="B159" s="1064">
        <f>-ROUND('Debt-Gen'!H64,-3)</f>
        <v>-1333000</v>
      </c>
      <c r="C159" s="1064">
        <f>-ROUND('Debt-Gen'!J64,-2)-400</f>
        <v>-1144000</v>
      </c>
      <c r="D159" s="22" t="s">
        <v>517</v>
      </c>
      <c r="E159" s="65"/>
      <c r="F159" s="1064">
        <f>-ROUND('Debt-Gen'!L64,-3)</f>
        <v>-946000</v>
      </c>
      <c r="G159" s="1065">
        <f>-ROUND('Debt-Gen'!N64,-2)-200</f>
        <v>-1209000</v>
      </c>
      <c r="H159" s="1065">
        <f>-ROUND('Debt-Gen'!P64,-2)+200</f>
        <v>-1116000</v>
      </c>
      <c r="I159" s="1065">
        <f>-ROUND('Debt-Gen'!R64,-2)-100</f>
        <v>-1075000</v>
      </c>
      <c r="J159" s="1065">
        <f>-ROUND('Debt-Gen'!T64,-2)</f>
        <v>-932000</v>
      </c>
      <c r="K159" s="1065">
        <f>-ROUND('Debt-Gen'!V64,-2)-100</f>
        <v>-1117000</v>
      </c>
      <c r="L159" s="1065">
        <f>-ROUND('Debt-Gen'!X64,-2)-400</f>
        <v>-951000</v>
      </c>
      <c r="M159" s="1064">
        <f>-ROUND('Debt-Gen'!Z64,-2)-300</f>
        <v>-832000</v>
      </c>
      <c r="N159" s="1064">
        <f>-ROUND('Debt-Gen'!AB64,-2)-300</f>
        <v>-733000</v>
      </c>
      <c r="O159" s="1064">
        <f>-ROUND('Debt-Gen'!AD64,-2)</f>
        <v>-654800</v>
      </c>
      <c r="P159" s="2113">
        <f>-ROUND('Debt-Gen'!AF64,-2)</f>
        <v>-598000</v>
      </c>
    </row>
    <row r="160" spans="1:16" s="44" customFormat="1" x14ac:dyDescent="0.2">
      <c r="A160" s="2116">
        <f>ROUND(SP!B125+SP!B591+DEH!B190++CIV!B268+CIV!B334+CIV!B501+GM!B448+CIV!B641++CIV!B717+GM!B383+SP!B282,-3)</f>
        <v>1510000</v>
      </c>
      <c r="B160" s="1064">
        <f>ROUND(SP!C125+SP!C591+DEH!C190++CIV!C268+CIV!C334+CIV!C501+GM!C448+++SP!C282+++CIV!C641++CIV!C717++GM!C383,-3)</f>
        <v>1333000</v>
      </c>
      <c r="C160" s="1064">
        <f>ROUND(SP!D125+SP!D591+DEH!D190++CIV!D268+CIV!D334+CIV!D501+GM!D448+++SP!D282+++CIV!D641++CIV!D717++GM!D383+SP!D835,-3)</f>
        <v>1144000</v>
      </c>
      <c r="D160" s="35" t="s">
        <v>4228</v>
      </c>
      <c r="E160" s="65"/>
      <c r="F160" s="1064">
        <f>ROUND(SP!G125+SP!G591+DEH!G190++CIV!G268+CIV!G334+CIV!G501+GM!G448+++SP!G282+++CIV!G641++CIV!G717++GM!G383+SP!G835,-3)</f>
        <v>946000</v>
      </c>
      <c r="G160" s="1065">
        <f>ROUND(SP!I125+SP!I591+DEH!I190++CIV!I268+CIV!I334+CIV!I501+GM!I448+++SP!I282+++CIV!I641++CIV!I717++GM!I383+SP!I835,-3)</f>
        <v>1209000</v>
      </c>
      <c r="H160" s="1065">
        <f>ROUND(SP!J125+SP!J591+DEH!J190++CIV!J268+CIV!J334+CIV!J501+GM!J448+++SP!J282+++CIV!J641++CIV!J717++GM!J383+SP!J835,-3)</f>
        <v>1116000</v>
      </c>
      <c r="I160" s="1065">
        <f>ROUND(SP!K125+SP!K591+DEH!K190++CIV!K268+CIV!K334+CIV!K501+GM!K448+++SP!K282+++CIV!K641++CIV!K717++GM!K383+SP!K835,-3)</f>
        <v>1075000</v>
      </c>
      <c r="J160" s="1065">
        <f>ROUND(SP!L125+SP!L591+DEH!L190++CIV!L268+CIV!L334+CIV!L501+GM!L448+++SP!L282+++CIV!L641++CIV!L717++GM!L383+SP!L835,-3)</f>
        <v>932000</v>
      </c>
      <c r="K160" s="1065">
        <f>ROUND(SP!M125+SP!M591+DEH!M190++CIV!M268+CIV!M334+CIV!M501+GM!M448+++SP!M282+++CIV!M641++CIV!M717++GM!M383+SP!M835,-3)</f>
        <v>1117000</v>
      </c>
      <c r="L160" s="1065">
        <f>ROUND(SP!N125+SP!N591+DEH!N190++CIV!N268+CIV!N334+CIV!N501+GM!N448+++SP!N282+++CIV!N641++CIV!N717++GM!N383+SP!N835,-3)</f>
        <v>951000</v>
      </c>
      <c r="M160" s="1064">
        <f>ROUND(SP!O125+SP!O591+DEH!O190++CIV!O268+CIV!O334+CIV!O501+GM!O448+++SP!O282+++CIV!O641++CIV!O717++GM!O383+SP!O835,-3)</f>
        <v>832000</v>
      </c>
      <c r="N160" s="1064">
        <f>ROUND(SP!P125+SP!P591+DEH!P190++CIV!P268+CIV!P334+CIV!P501+GM!P448+++SP!P282+++CIV!P641++CIV!P717++GM!P383+SP!P835,-3)</f>
        <v>733000</v>
      </c>
      <c r="O160" s="1064">
        <f>ROUND(SP!Q125+SP!Q591+DEH!Q190++CIV!Q268+CIV!Q334+CIV!Q501+GM!Q448+++SP!Q282+++CIV!Q641++CIV!Q717++GM!Q383+SP!Q835,-1)</f>
        <v>654800</v>
      </c>
      <c r="P160" s="2113">
        <f>ROUND(SP!R125+SP!R591+DEH!R190++CIV!R268+CIV!R334+CIV!R501+GM!R448+++SP!R282+++CIV!R641++CIV!R717++GM!R383+SP!R835,-1)</f>
        <v>598000</v>
      </c>
    </row>
    <row r="161" spans="1:16" s="44" customFormat="1" x14ac:dyDescent="0.2">
      <c r="A161" s="2114">
        <f>SUM(A159:A160)</f>
        <v>0</v>
      </c>
      <c r="B161" s="1067">
        <f>SUM(B159:B160)</f>
        <v>0</v>
      </c>
      <c r="C161" s="1067">
        <f>SUM(C159:C160)</f>
        <v>0</v>
      </c>
      <c r="D161" s="55"/>
      <c r="E161" s="65"/>
      <c r="F161" s="1067">
        <f t="shared" ref="F161:M161" si="63">SUM(F159:F160)</f>
        <v>0</v>
      </c>
      <c r="G161" s="1066">
        <f t="shared" si="63"/>
        <v>0</v>
      </c>
      <c r="H161" s="1066">
        <f t="shared" si="63"/>
        <v>0</v>
      </c>
      <c r="I161" s="1066">
        <f t="shared" si="63"/>
        <v>0</v>
      </c>
      <c r="J161" s="1066">
        <f t="shared" si="63"/>
        <v>0</v>
      </c>
      <c r="K161" s="1066">
        <f t="shared" si="63"/>
        <v>0</v>
      </c>
      <c r="L161" s="1066">
        <f t="shared" si="63"/>
        <v>0</v>
      </c>
      <c r="M161" s="1067">
        <f t="shared" si="63"/>
        <v>0</v>
      </c>
      <c r="N161" s="1067">
        <f t="shared" ref="N161:O161" si="64">SUM(N159:N160)</f>
        <v>0</v>
      </c>
      <c r="O161" s="1067">
        <f t="shared" si="64"/>
        <v>0</v>
      </c>
      <c r="P161" s="2115">
        <f t="shared" ref="P161" si="65">SUM(P159:P160)</f>
        <v>0</v>
      </c>
    </row>
    <row r="162" spans="1:16" s="44" customFormat="1" x14ac:dyDescent="0.2">
      <c r="A162" s="771"/>
      <c r="B162" s="1062"/>
      <c r="C162" s="1062"/>
      <c r="D162" s="55"/>
      <c r="E162" s="65"/>
      <c r="F162" s="1062"/>
      <c r="G162" s="1061"/>
      <c r="H162" s="1061"/>
      <c r="I162" s="1061"/>
      <c r="J162" s="1061"/>
      <c r="K162" s="1061"/>
      <c r="L162" s="1061"/>
      <c r="M162" s="1062"/>
      <c r="N162" s="1062"/>
      <c r="O162" s="1062"/>
      <c r="P162" s="2111"/>
    </row>
    <row r="163" spans="1:16" s="44" customFormat="1" x14ac:dyDescent="0.2">
      <c r="A163" s="771"/>
      <c r="B163" s="1062"/>
      <c r="C163" s="1062"/>
      <c r="D163" s="55" t="s">
        <v>600</v>
      </c>
      <c r="E163" s="65"/>
      <c r="F163" s="1062"/>
      <c r="G163" s="1061"/>
      <c r="H163" s="1061"/>
      <c r="I163" s="1061"/>
      <c r="J163" s="1061"/>
      <c r="K163" s="1061"/>
      <c r="L163" s="1061"/>
      <c r="M163" s="1062"/>
      <c r="N163" s="1062"/>
      <c r="O163" s="1062"/>
      <c r="P163" s="2111"/>
    </row>
    <row r="164" spans="1:16" s="23" customFormat="1" x14ac:dyDescent="0.2">
      <c r="A164" s="50">
        <f>'Debt-Water'!H9</f>
        <v>0</v>
      </c>
      <c r="B164" s="1064">
        <f>ROUND('Debt-Water'!J9,-2)</f>
        <v>0</v>
      </c>
      <c r="C164" s="1064">
        <v>0</v>
      </c>
      <c r="D164" s="22" t="str">
        <f>D155</f>
        <v>Principal as per Debt Sheet</v>
      </c>
      <c r="E164" s="20"/>
      <c r="F164" s="1064">
        <v>0</v>
      </c>
      <c r="G164" s="1065">
        <v>0</v>
      </c>
      <c r="H164" s="1065">
        <v>0</v>
      </c>
      <c r="I164" s="1065">
        <v>0</v>
      </c>
      <c r="J164" s="1065">
        <v>0</v>
      </c>
      <c r="K164" s="1065">
        <v>0</v>
      </c>
      <c r="L164" s="1065">
        <v>0</v>
      </c>
      <c r="M164" s="1064">
        <v>0</v>
      </c>
      <c r="N164" s="1064">
        <v>0</v>
      </c>
      <c r="O164" s="1064">
        <v>0</v>
      </c>
      <c r="P164" s="2113">
        <v>0</v>
      </c>
    </row>
    <row r="165" spans="1:16" s="23" customFormat="1" x14ac:dyDescent="0.2">
      <c r="A165" s="50">
        <f>'Cash-W'!A41</f>
        <v>0</v>
      </c>
      <c r="B165" s="1064">
        <f>'Cash-W'!B41</f>
        <v>0</v>
      </c>
      <c r="C165" s="1064">
        <f>'Cash-W'!C41</f>
        <v>0</v>
      </c>
      <c r="D165" s="22" t="s">
        <v>601</v>
      </c>
      <c r="E165" s="20"/>
      <c r="F165" s="1064">
        <f>'Cash-W'!F41</f>
        <v>0</v>
      </c>
      <c r="G165" s="1065">
        <f>'Cash-W'!G41</f>
        <v>0</v>
      </c>
      <c r="H165" s="1065">
        <f>'Cash-W'!H41</f>
        <v>0</v>
      </c>
      <c r="I165" s="1065">
        <f>'Cash-W'!I41</f>
        <v>0</v>
      </c>
      <c r="J165" s="1065">
        <f>'Cash-W'!J41</f>
        <v>0</v>
      </c>
      <c r="K165" s="1065">
        <f>'Cash-W'!K41</f>
        <v>0</v>
      </c>
      <c r="L165" s="1065">
        <f>'Cash-W'!L41</f>
        <v>0</v>
      </c>
      <c r="M165" s="1064">
        <f>'Cash-W'!M41</f>
        <v>0</v>
      </c>
      <c r="N165" s="1064">
        <f>'Cash-W'!N41</f>
        <v>0</v>
      </c>
      <c r="O165" s="1064">
        <f>'Cash-W'!P41</f>
        <v>0</v>
      </c>
      <c r="P165" s="2113">
        <f>'Cash-W'!Q41</f>
        <v>0</v>
      </c>
    </row>
    <row r="166" spans="1:16" s="44" customFormat="1" x14ac:dyDescent="0.2">
      <c r="A166" s="2114">
        <f>ROUND(SUM(A164:A165),-2)</f>
        <v>0</v>
      </c>
      <c r="B166" s="1067">
        <f>SUM(B164:B165)</f>
        <v>0</v>
      </c>
      <c r="C166" s="1067">
        <f>SUM(C164:C165)</f>
        <v>0</v>
      </c>
      <c r="D166" s="55"/>
      <c r="E166" s="65"/>
      <c r="F166" s="1067">
        <f t="shared" ref="F166:M166" si="66">SUM(F164:F165)</f>
        <v>0</v>
      </c>
      <c r="G166" s="1066">
        <f t="shared" si="66"/>
        <v>0</v>
      </c>
      <c r="H166" s="1066">
        <f t="shared" si="66"/>
        <v>0</v>
      </c>
      <c r="I166" s="1066">
        <f t="shared" si="66"/>
        <v>0</v>
      </c>
      <c r="J166" s="1066">
        <f t="shared" si="66"/>
        <v>0</v>
      </c>
      <c r="K166" s="1066">
        <f t="shared" si="66"/>
        <v>0</v>
      </c>
      <c r="L166" s="1066">
        <f t="shared" si="66"/>
        <v>0</v>
      </c>
      <c r="M166" s="1067">
        <f t="shared" si="66"/>
        <v>0</v>
      </c>
      <c r="N166" s="1067">
        <f t="shared" ref="N166:O166" si="67">SUM(N164:N165)</f>
        <v>0</v>
      </c>
      <c r="O166" s="1067">
        <f t="shared" si="67"/>
        <v>0</v>
      </c>
      <c r="P166" s="2115">
        <f t="shared" ref="P166" si="68">SUM(P164:P165)</f>
        <v>0</v>
      </c>
    </row>
    <row r="167" spans="1:16" s="44" customFormat="1" x14ac:dyDescent="0.2">
      <c r="A167" s="771"/>
      <c r="B167" s="1062"/>
      <c r="C167" s="1062"/>
      <c r="D167" s="55"/>
      <c r="E167" s="65"/>
      <c r="F167" s="1062"/>
      <c r="G167" s="1061"/>
      <c r="H167" s="1061"/>
      <c r="I167" s="1061"/>
      <c r="J167" s="1061"/>
      <c r="K167" s="1061"/>
      <c r="L167" s="1061"/>
      <c r="M167" s="1062"/>
      <c r="N167" s="1062"/>
      <c r="O167" s="1062"/>
      <c r="P167" s="2111"/>
    </row>
    <row r="168" spans="1:16" s="23" customFormat="1" x14ac:dyDescent="0.2">
      <c r="A168" s="50">
        <f>'Debt-Water'!I9</f>
        <v>0</v>
      </c>
      <c r="B168" s="1064">
        <f>ROUND('Debt-Water'!K9,-2)</f>
        <v>0</v>
      </c>
      <c r="C168" s="1064">
        <v>0</v>
      </c>
      <c r="D168" s="22" t="str">
        <f>D159</f>
        <v>Interest as per Debt Sheet</v>
      </c>
      <c r="E168" s="20"/>
      <c r="F168" s="1064">
        <v>0</v>
      </c>
      <c r="G168" s="1065">
        <v>0</v>
      </c>
      <c r="H168" s="1065">
        <v>0</v>
      </c>
      <c r="I168" s="1065">
        <v>0</v>
      </c>
      <c r="J168" s="1065">
        <v>0</v>
      </c>
      <c r="K168" s="1065">
        <v>0</v>
      </c>
      <c r="L168" s="1065">
        <v>0</v>
      </c>
      <c r="M168" s="1064">
        <v>0</v>
      </c>
      <c r="N168" s="1064">
        <v>0</v>
      </c>
      <c r="O168" s="1064">
        <v>0</v>
      </c>
      <c r="P168" s="2113">
        <v>0</v>
      </c>
    </row>
    <row r="169" spans="1:16" s="23" customFormat="1" x14ac:dyDescent="0.2">
      <c r="A169" s="50">
        <f>-'W&amp;W'!B75</f>
        <v>0</v>
      </c>
      <c r="B169" s="1064">
        <f>-'W&amp;W'!C75</f>
        <v>0</v>
      </c>
      <c r="C169" s="1064">
        <f>-'W&amp;W'!D75</f>
        <v>0</v>
      </c>
      <c r="D169" s="22" t="str">
        <f>D160</f>
        <v>Interest as per Spreadsheets</v>
      </c>
      <c r="E169" s="20"/>
      <c r="F169" s="1064">
        <f>-'W&amp;W'!G75</f>
        <v>0</v>
      </c>
      <c r="G169" s="1065">
        <f>-'W&amp;W'!I75</f>
        <v>0</v>
      </c>
      <c r="H169" s="1065">
        <f>-'W&amp;W'!J75</f>
        <v>0</v>
      </c>
      <c r="I169" s="1065">
        <f>-'W&amp;W'!K75</f>
        <v>0</v>
      </c>
      <c r="J169" s="1065">
        <f>-'W&amp;W'!L75</f>
        <v>0</v>
      </c>
      <c r="K169" s="1065">
        <f>-'W&amp;W'!M75</f>
        <v>0</v>
      </c>
      <c r="L169" s="1065">
        <f>-'W&amp;W'!N75</f>
        <v>0</v>
      </c>
      <c r="M169" s="1064">
        <f>-'W&amp;W'!O75</f>
        <v>0</v>
      </c>
      <c r="N169" s="1064">
        <f>-'W&amp;W'!P75</f>
        <v>0</v>
      </c>
      <c r="O169" s="1064">
        <f>-'W&amp;W'!Q75</f>
        <v>0</v>
      </c>
      <c r="P169" s="2113">
        <f>-'W&amp;W'!R75</f>
        <v>0</v>
      </c>
    </row>
    <row r="170" spans="1:16" s="44" customFormat="1" x14ac:dyDescent="0.2">
      <c r="A170" s="2114">
        <f>SUM(A168:A169)</f>
        <v>0</v>
      </c>
      <c r="B170" s="1067">
        <f>SUM(B168:B169)</f>
        <v>0</v>
      </c>
      <c r="C170" s="1067">
        <f>SUM(C168:C169)</f>
        <v>0</v>
      </c>
      <c r="D170" s="55"/>
      <c r="E170" s="65"/>
      <c r="F170" s="1067">
        <f t="shared" ref="F170:M170" si="69">SUM(F168:F169)</f>
        <v>0</v>
      </c>
      <c r="G170" s="1066">
        <f t="shared" si="69"/>
        <v>0</v>
      </c>
      <c r="H170" s="1066">
        <f t="shared" si="69"/>
        <v>0</v>
      </c>
      <c r="I170" s="1066">
        <f t="shared" si="69"/>
        <v>0</v>
      </c>
      <c r="J170" s="1066">
        <f t="shared" si="69"/>
        <v>0</v>
      </c>
      <c r="K170" s="1066">
        <f t="shared" si="69"/>
        <v>0</v>
      </c>
      <c r="L170" s="1066">
        <f t="shared" si="69"/>
        <v>0</v>
      </c>
      <c r="M170" s="1067">
        <f t="shared" si="69"/>
        <v>0</v>
      </c>
      <c r="N170" s="1067">
        <f t="shared" ref="N170:O170" si="70">SUM(N168:N169)</f>
        <v>0</v>
      </c>
      <c r="O170" s="1067">
        <f t="shared" si="70"/>
        <v>0</v>
      </c>
      <c r="P170" s="2115">
        <f t="shared" ref="P170" si="71">SUM(P168:P169)</f>
        <v>0</v>
      </c>
    </row>
    <row r="171" spans="1:16" s="44" customFormat="1" x14ac:dyDescent="0.2">
      <c r="A171" s="771"/>
      <c r="B171" s="1062"/>
      <c r="C171" s="1062"/>
      <c r="D171" s="55"/>
      <c r="E171" s="65"/>
      <c r="F171" s="1062"/>
      <c r="G171" s="1061"/>
      <c r="H171" s="1061"/>
      <c r="I171" s="1061"/>
      <c r="J171" s="1061"/>
      <c r="K171" s="1061"/>
      <c r="L171" s="1061"/>
      <c r="M171" s="1062"/>
      <c r="N171" s="1062"/>
      <c r="O171" s="1062"/>
      <c r="P171" s="2111"/>
    </row>
    <row r="172" spans="1:16" s="44" customFormat="1" x14ac:dyDescent="0.2">
      <c r="A172" s="771"/>
      <c r="B172" s="1062"/>
      <c r="C172" s="1062"/>
      <c r="D172" s="55" t="s">
        <v>3354</v>
      </c>
      <c r="E172" s="65"/>
      <c r="F172" s="1062"/>
      <c r="G172" s="1061"/>
      <c r="H172" s="1061"/>
      <c r="I172" s="1061"/>
      <c r="J172" s="1061"/>
      <c r="K172" s="1061"/>
      <c r="L172" s="1061"/>
      <c r="M172" s="1062"/>
      <c r="N172" s="1062"/>
      <c r="O172" s="1062"/>
      <c r="P172" s="2111"/>
    </row>
    <row r="173" spans="1:16" s="23" customFormat="1" x14ac:dyDescent="0.2">
      <c r="A173" s="50">
        <f>ROUND('Debt-WW'!F16,-2)</f>
        <v>2384800</v>
      </c>
      <c r="B173" s="1064">
        <f>ROUND('Debt-WW'!H16,-2)</f>
        <v>2187900</v>
      </c>
      <c r="C173" s="1065">
        <f>'Debt-WW'!G98</f>
        <v>2793300</v>
      </c>
      <c r="D173" s="22" t="str">
        <f>D164</f>
        <v>Principal as per Debt Sheet</v>
      </c>
      <c r="E173" s="20"/>
      <c r="F173" s="1064">
        <f>'Debt-WW'!H98-100</f>
        <v>2957900</v>
      </c>
      <c r="G173" s="1065">
        <f>'Debt-WW'!I98</f>
        <v>3095600</v>
      </c>
      <c r="H173" s="1065">
        <f>'Debt-WW'!J98</f>
        <v>3134000</v>
      </c>
      <c r="I173" s="1065">
        <f>'Debt-WW'!K98</f>
        <v>3280300</v>
      </c>
      <c r="J173" s="1065">
        <f>'Debt-WW'!L98</f>
        <v>2453500</v>
      </c>
      <c r="K173" s="1065">
        <f>'Debt-WW'!M98+100</f>
        <v>2654200</v>
      </c>
      <c r="L173" s="1065">
        <f>'Debt-WW'!N98</f>
        <v>2844100</v>
      </c>
      <c r="M173" s="1064">
        <f>'Debt-WW'!O98</f>
        <v>3037000</v>
      </c>
      <c r="N173" s="1064">
        <f>'Debt-WW'!P98</f>
        <v>3235000</v>
      </c>
      <c r="O173" s="1064">
        <f>'Debt-WW'!Q98</f>
        <v>3430000</v>
      </c>
      <c r="P173" s="2113">
        <f>'Debt-WW'!R98</f>
        <v>3627000</v>
      </c>
    </row>
    <row r="174" spans="1:16" s="23" customFormat="1" x14ac:dyDescent="0.2">
      <c r="A174" s="50">
        <f>'Cash-WW'!A40</f>
        <v>-2384800</v>
      </c>
      <c r="B174" s="1064">
        <f>'Cash-WW'!B40</f>
        <v>-2187900</v>
      </c>
      <c r="C174" s="1064">
        <f>'Cash-WW'!C40</f>
        <v>-2793300</v>
      </c>
      <c r="D174" s="22" t="s">
        <v>3399</v>
      </c>
      <c r="E174" s="20"/>
      <c r="F174" s="1064">
        <f>'Cash-WW'!F40</f>
        <v>-2957900</v>
      </c>
      <c r="G174" s="1065">
        <f>'Cash-WW'!G40</f>
        <v>-3095600</v>
      </c>
      <c r="H174" s="1065">
        <f>'Cash-WW'!H40</f>
        <v>-3134000</v>
      </c>
      <c r="I174" s="1065">
        <f>'Cash-WW'!I40</f>
        <v>-3280300</v>
      </c>
      <c r="J174" s="1065">
        <f>'Cash-WW'!J40</f>
        <v>-2453500</v>
      </c>
      <c r="K174" s="1065">
        <f>'Cash-WW'!K40-100</f>
        <v>-2654200</v>
      </c>
      <c r="L174" s="1065">
        <f>'Cash-WW'!L40</f>
        <v>-2844100</v>
      </c>
      <c r="M174" s="1064">
        <f>'Cash-WW'!M40</f>
        <v>-3037000</v>
      </c>
      <c r="N174" s="1064">
        <f>'Cash-WW'!N40</f>
        <v>-3235000</v>
      </c>
      <c r="O174" s="1064">
        <f>'Cash-WW'!O40</f>
        <v>-3430000</v>
      </c>
      <c r="P174" s="2113">
        <f>'Cash-WW'!P40</f>
        <v>-3627000</v>
      </c>
    </row>
    <row r="175" spans="1:16" s="44" customFormat="1" x14ac:dyDescent="0.2">
      <c r="A175" s="2114">
        <f>SUM(A173:A174)</f>
        <v>0</v>
      </c>
      <c r="B175" s="1067">
        <f>SUM(B173:B174)</f>
        <v>0</v>
      </c>
      <c r="C175" s="1067">
        <f>SUM(C173:C174)</f>
        <v>0</v>
      </c>
      <c r="D175" s="55"/>
      <c r="E175" s="65"/>
      <c r="F175" s="1067">
        <f t="shared" ref="F175:M175" si="72">SUM(F173:F174)</f>
        <v>0</v>
      </c>
      <c r="G175" s="1066">
        <f t="shared" si="72"/>
        <v>0</v>
      </c>
      <c r="H175" s="1066">
        <f t="shared" si="72"/>
        <v>0</v>
      </c>
      <c r="I175" s="1066">
        <f t="shared" si="72"/>
        <v>0</v>
      </c>
      <c r="J175" s="1066">
        <f t="shared" si="72"/>
        <v>0</v>
      </c>
      <c r="K175" s="1066">
        <f t="shared" si="72"/>
        <v>0</v>
      </c>
      <c r="L175" s="1066">
        <f t="shared" si="72"/>
        <v>0</v>
      </c>
      <c r="M175" s="1067">
        <f t="shared" si="72"/>
        <v>0</v>
      </c>
      <c r="N175" s="1067">
        <f t="shared" ref="N175:O175" si="73">SUM(N173:N174)</f>
        <v>0</v>
      </c>
      <c r="O175" s="1067">
        <f t="shared" si="73"/>
        <v>0</v>
      </c>
      <c r="P175" s="2115">
        <f t="shared" ref="P175" si="74">SUM(P173:P174)</f>
        <v>0</v>
      </c>
    </row>
    <row r="176" spans="1:16" s="44" customFormat="1" x14ac:dyDescent="0.2">
      <c r="A176" s="771"/>
      <c r="B176" s="1062"/>
      <c r="C176" s="1062"/>
      <c r="D176" s="55"/>
      <c r="E176" s="65"/>
      <c r="F176" s="1062"/>
      <c r="G176" s="1061"/>
      <c r="H176" s="1061"/>
      <c r="I176" s="1061"/>
      <c r="J176" s="1061"/>
      <c r="K176" s="1061"/>
      <c r="L176" s="1061"/>
      <c r="M176" s="1062"/>
      <c r="N176" s="1062"/>
      <c r="O176" s="1062"/>
      <c r="P176" s="2111"/>
    </row>
    <row r="177" spans="1:16" s="23" customFormat="1" x14ac:dyDescent="0.2">
      <c r="A177" s="50">
        <f>'Debt-WW'!G16</f>
        <v>4766700</v>
      </c>
      <c r="B177" s="1064">
        <f>'Debt-WW'!I16</f>
        <v>4647600</v>
      </c>
      <c r="C177" s="1065">
        <f>'Debt-WW'!K16</f>
        <v>4358200</v>
      </c>
      <c r="D177" s="22" t="str">
        <f>D168</f>
        <v>Interest as per Debt Sheet</v>
      </c>
      <c r="E177" s="20"/>
      <c r="F177" s="1064">
        <f>'Debt-WW'!M16</f>
        <v>4193600</v>
      </c>
      <c r="G177" s="1065">
        <f>'Debt-WW'!O16</f>
        <v>4055900</v>
      </c>
      <c r="H177" s="1065">
        <f>'Debt-WW'!Q16</f>
        <v>3744300</v>
      </c>
      <c r="I177" s="1065">
        <f>'Debt-WW'!S16</f>
        <v>3598000</v>
      </c>
      <c r="J177" s="1065">
        <f>'Debt-WW'!U16</f>
        <v>3439800</v>
      </c>
      <c r="K177" s="1065">
        <f>'Debt-WW'!W16</f>
        <v>3239200</v>
      </c>
      <c r="L177" s="1065">
        <f>'Debt-WW'!Y16</f>
        <v>3049200</v>
      </c>
      <c r="M177" s="1064">
        <f>'Debt-WW'!AA16</f>
        <v>2856300</v>
      </c>
      <c r="N177" s="1064">
        <f>'Debt-WW'!AC16</f>
        <v>2658300</v>
      </c>
      <c r="O177" s="1064">
        <f>'Debt-WW'!AE16</f>
        <v>2463300</v>
      </c>
      <c r="P177" s="2113">
        <f>'Debt-WW'!AG16</f>
        <v>2266300</v>
      </c>
    </row>
    <row r="178" spans="1:16" s="23" customFormat="1" x14ac:dyDescent="0.2">
      <c r="A178" s="50">
        <f>-'W&amp;W'!B138</f>
        <v>-4766800</v>
      </c>
      <c r="B178" s="1064">
        <f>-'W&amp;W'!C138</f>
        <v>-4647600</v>
      </c>
      <c r="C178" s="1064">
        <f>-'W&amp;W'!D138</f>
        <v>-4358200</v>
      </c>
      <c r="D178" s="22" t="str">
        <f>D169</f>
        <v>Interest as per Spreadsheets</v>
      </c>
      <c r="E178" s="20"/>
      <c r="F178" s="1064">
        <f>-'W&amp;W'!G138+100</f>
        <v>-4193500</v>
      </c>
      <c r="G178" s="1065">
        <f>-'W&amp;W'!I138</f>
        <v>-4055900</v>
      </c>
      <c r="H178" s="1065">
        <f>-'W&amp;W'!J138</f>
        <v>-3744300</v>
      </c>
      <c r="I178" s="1065">
        <f>-'W&amp;W'!K138-100</f>
        <v>-3598100</v>
      </c>
      <c r="J178" s="1065">
        <f>-'W&amp;W'!L138</f>
        <v>-3439800</v>
      </c>
      <c r="K178" s="1065">
        <f>-'W&amp;W'!M138</f>
        <v>-3239200</v>
      </c>
      <c r="L178" s="1065">
        <f>-'W&amp;W'!N138</f>
        <v>-3049200</v>
      </c>
      <c r="M178" s="1064">
        <f>-'W&amp;W'!O138</f>
        <v>-2856300</v>
      </c>
      <c r="N178" s="1064">
        <f>-'W&amp;W'!P138</f>
        <v>-2658300</v>
      </c>
      <c r="O178" s="1064">
        <f>-'W&amp;W'!Q138</f>
        <v>-2463300</v>
      </c>
      <c r="P178" s="2113">
        <f>-'W&amp;W'!R138</f>
        <v>-2266300</v>
      </c>
    </row>
    <row r="179" spans="1:16" s="44" customFormat="1" x14ac:dyDescent="0.2">
      <c r="A179" s="2114">
        <f>ROUND(SUM(A177:A178),-3)</f>
        <v>0</v>
      </c>
      <c r="B179" s="1067">
        <f>ROUND(SUM(B177:B178),-3)</f>
        <v>0</v>
      </c>
      <c r="C179" s="1067">
        <f>ROUND(SUM(C177:C178),-3)</f>
        <v>0</v>
      </c>
      <c r="D179" s="55"/>
      <c r="E179" s="65"/>
      <c r="F179" s="1067">
        <f t="shared" ref="F179:N179" si="75">ROUND(SUM(F177:F178),-3)</f>
        <v>0</v>
      </c>
      <c r="G179" s="1066">
        <f t="shared" si="75"/>
        <v>0</v>
      </c>
      <c r="H179" s="1066">
        <f t="shared" si="75"/>
        <v>0</v>
      </c>
      <c r="I179" s="1066">
        <f t="shared" si="75"/>
        <v>0</v>
      </c>
      <c r="J179" s="1066">
        <f t="shared" si="75"/>
        <v>0</v>
      </c>
      <c r="K179" s="1066">
        <f t="shared" si="75"/>
        <v>0</v>
      </c>
      <c r="L179" s="1066">
        <f t="shared" si="75"/>
        <v>0</v>
      </c>
      <c r="M179" s="1067">
        <f t="shared" si="75"/>
        <v>0</v>
      </c>
      <c r="N179" s="1067">
        <f t="shared" si="75"/>
        <v>0</v>
      </c>
      <c r="O179" s="1067">
        <f t="shared" ref="O179" si="76">ROUND(SUM(O177:O178),-3)</f>
        <v>0</v>
      </c>
      <c r="P179" s="2115">
        <f t="shared" ref="P179" si="77">ROUND(SUM(P177:P178),-3)</f>
        <v>0</v>
      </c>
    </row>
    <row r="180" spans="1:16" s="44" customFormat="1" x14ac:dyDescent="0.2">
      <c r="A180" s="771"/>
      <c r="B180" s="1062"/>
      <c r="C180" s="1062"/>
      <c r="D180" s="55"/>
      <c r="E180" s="65"/>
      <c r="F180" s="1062"/>
      <c r="G180" s="1061"/>
      <c r="H180" s="1061"/>
      <c r="I180" s="1061"/>
      <c r="J180" s="1061"/>
      <c r="K180" s="1061"/>
      <c r="L180" s="1061"/>
      <c r="M180" s="1062"/>
      <c r="N180" s="1062"/>
      <c r="O180" s="1062"/>
      <c r="P180" s="2111"/>
    </row>
    <row r="181" spans="1:16" s="25" customFormat="1" x14ac:dyDescent="0.2">
      <c r="A181" s="211">
        <f>Recs!J84</f>
        <v>0</v>
      </c>
      <c r="B181" s="1059">
        <f>Recs!K84</f>
        <v>0</v>
      </c>
      <c r="C181" s="1060">
        <f>Recs!L84</f>
        <v>0</v>
      </c>
      <c r="D181" s="35" t="s">
        <v>2333</v>
      </c>
      <c r="E181" s="26"/>
      <c r="F181" s="1059">
        <f>Recs!M84</f>
        <v>0</v>
      </c>
      <c r="G181" s="1060">
        <f>Recs!N84</f>
        <v>0</v>
      </c>
      <c r="H181" s="1060">
        <f>Recs!O84</f>
        <v>-100</v>
      </c>
      <c r="I181" s="1060">
        <f>Recs!P84</f>
        <v>-300</v>
      </c>
      <c r="J181" s="1060">
        <f>Recs!Q84</f>
        <v>400</v>
      </c>
      <c r="K181" s="1060">
        <f>Recs!R84</f>
        <v>-200</v>
      </c>
      <c r="L181" s="1060">
        <f>Recs!S84</f>
        <v>0</v>
      </c>
      <c r="M181" s="1059">
        <f>Recs!T84</f>
        <v>-100</v>
      </c>
      <c r="N181" s="1059">
        <f>Recs!U84</f>
        <v>0</v>
      </c>
      <c r="O181" s="1059">
        <f>Recs!V84</f>
        <v>-200</v>
      </c>
      <c r="P181" s="2110">
        <f>Recs!W84</f>
        <v>-300</v>
      </c>
    </row>
    <row r="182" spans="1:16" s="25" customFormat="1" x14ac:dyDescent="0.2">
      <c r="A182" s="211"/>
      <c r="B182" s="1059"/>
      <c r="C182" s="1060"/>
      <c r="D182" s="35"/>
      <c r="E182" s="26"/>
      <c r="F182" s="1059"/>
      <c r="G182" s="1060"/>
      <c r="H182" s="1060"/>
      <c r="I182" s="1060"/>
      <c r="J182" s="1060"/>
      <c r="K182" s="1060"/>
      <c r="L182" s="1060"/>
      <c r="M182" s="1059"/>
      <c r="N182" s="1059"/>
      <c r="O182" s="1059"/>
      <c r="P182" s="2110"/>
    </row>
    <row r="183" spans="1:16" s="25" customFormat="1" x14ac:dyDescent="0.2">
      <c r="A183" s="211"/>
      <c r="B183" s="1059"/>
      <c r="C183" s="1060"/>
      <c r="D183" s="58" t="s">
        <v>3677</v>
      </c>
      <c r="E183" s="26"/>
      <c r="F183" s="1059"/>
      <c r="G183" s="1060"/>
      <c r="H183" s="1060"/>
      <c r="I183" s="1060"/>
      <c r="J183" s="1060"/>
      <c r="K183" s="1060"/>
      <c r="L183" s="1060"/>
      <c r="M183" s="1059"/>
      <c r="N183" s="1059"/>
      <c r="O183" s="1059"/>
      <c r="P183" s="2110"/>
    </row>
    <row r="184" spans="1:16" s="25" customFormat="1" x14ac:dyDescent="0.2">
      <c r="A184" s="211"/>
      <c r="B184" s="1059"/>
      <c r="C184" s="1060"/>
      <c r="D184" s="35" t="s">
        <v>410</v>
      </c>
      <c r="E184" s="26"/>
      <c r="F184" s="1060">
        <f>'Cap-Gen'!F263+SUM('Cap-Gen'!V263:Z263)</f>
        <v>0</v>
      </c>
      <c r="G184" s="1060"/>
      <c r="H184" s="1060"/>
      <c r="I184" s="1060"/>
      <c r="J184" s="1060"/>
      <c r="K184" s="1060"/>
      <c r="L184" s="1060"/>
      <c r="M184" s="1059"/>
      <c r="N184" s="1059"/>
      <c r="O184" s="1059"/>
      <c r="P184" s="2110"/>
    </row>
    <row r="185" spans="1:16" s="25" customFormat="1" x14ac:dyDescent="0.2">
      <c r="A185" s="211"/>
      <c r="B185" s="1059"/>
      <c r="C185" s="1060"/>
      <c r="D185" s="35" t="s">
        <v>728</v>
      </c>
      <c r="E185" s="26"/>
      <c r="F185" s="1060">
        <f>'Cap-Gen'!F346+SUM('Cap-Gen'!V346:Z346)+'Cap-Gen'!F364+SUM('Cap-Gen'!V364:Z364)</f>
        <v>0</v>
      </c>
      <c r="G185" s="1060"/>
      <c r="H185" s="1060"/>
      <c r="I185" s="1060"/>
      <c r="J185" s="1060"/>
      <c r="K185" s="1060"/>
      <c r="L185" s="1060"/>
      <c r="M185" s="1059"/>
      <c r="N185" s="1059"/>
      <c r="O185" s="1059"/>
      <c r="P185" s="2110"/>
    </row>
    <row r="186" spans="1:16" s="25" customFormat="1" x14ac:dyDescent="0.2">
      <c r="A186" s="211"/>
      <c r="B186" s="1059"/>
      <c r="C186" s="1060"/>
      <c r="D186" s="35" t="s">
        <v>3684</v>
      </c>
      <c r="E186" s="26"/>
      <c r="F186" s="1060">
        <f>'Cap-Gen'!F416+SUM('Cap-Gen'!V416:Z416)</f>
        <v>0</v>
      </c>
      <c r="G186" s="1060"/>
      <c r="H186" s="1060"/>
      <c r="I186" s="1060"/>
      <c r="J186" s="1060"/>
      <c r="K186" s="1060"/>
      <c r="L186" s="1060"/>
      <c r="M186" s="1059"/>
      <c r="N186" s="1059"/>
      <c r="O186" s="1059"/>
      <c r="P186" s="2110"/>
    </row>
    <row r="187" spans="1:16" s="25" customFormat="1" x14ac:dyDescent="0.2">
      <c r="A187" s="211"/>
      <c r="B187" s="1059"/>
      <c r="C187" s="1060"/>
      <c r="D187" s="35" t="s">
        <v>3688</v>
      </c>
      <c r="E187" s="26"/>
      <c r="F187" s="1060">
        <f>'Cap-Gen'!F440+SUM('Cap-Gen'!V440:Z440)</f>
        <v>0</v>
      </c>
      <c r="G187" s="1060"/>
      <c r="H187" s="1060"/>
      <c r="I187" s="1060"/>
      <c r="J187" s="1060"/>
      <c r="K187" s="1060"/>
      <c r="L187" s="1060"/>
      <c r="M187" s="1059"/>
      <c r="N187" s="1059"/>
      <c r="O187" s="1059"/>
      <c r="P187" s="2110"/>
    </row>
    <row r="188" spans="1:16" s="25" customFormat="1" x14ac:dyDescent="0.2">
      <c r="A188" s="211"/>
      <c r="B188" s="1059"/>
      <c r="C188" s="1060"/>
      <c r="D188" s="35" t="s">
        <v>3687</v>
      </c>
      <c r="E188" s="26"/>
      <c r="F188" s="1060">
        <f>'Cap-Gen'!F450+SUM('Cap-Gen'!V450:Z450)</f>
        <v>0</v>
      </c>
      <c r="G188" s="1060"/>
      <c r="H188" s="1060"/>
      <c r="I188" s="1060"/>
      <c r="J188" s="1060"/>
      <c r="K188" s="1060"/>
      <c r="L188" s="1060"/>
      <c r="M188" s="1059"/>
      <c r="N188" s="1059"/>
      <c r="O188" s="1059"/>
      <c r="P188" s="2110"/>
    </row>
    <row r="189" spans="1:16" s="25" customFormat="1" x14ac:dyDescent="0.2">
      <c r="A189" s="211"/>
      <c r="B189" s="1059"/>
      <c r="C189" s="1060"/>
      <c r="D189" s="35" t="s">
        <v>3141</v>
      </c>
      <c r="E189" s="26"/>
      <c r="F189" s="1060">
        <f>'Cap-Gen'!F459+SUM('Cap-Gen'!V459:Z459)</f>
        <v>0</v>
      </c>
      <c r="G189" s="1060"/>
      <c r="H189" s="1060"/>
      <c r="I189" s="1060"/>
      <c r="J189" s="1060"/>
      <c r="K189" s="1060"/>
      <c r="L189" s="1060"/>
      <c r="M189" s="1059"/>
      <c r="N189" s="1059"/>
      <c r="O189" s="1059"/>
      <c r="P189" s="2110"/>
    </row>
    <row r="190" spans="1:16" s="44" customFormat="1" x14ac:dyDescent="0.2">
      <c r="A190" s="211"/>
      <c r="B190" s="156"/>
      <c r="C190" s="156"/>
      <c r="D190" s="74"/>
      <c r="E190" s="128"/>
      <c r="F190" s="156"/>
      <c r="G190" s="382"/>
      <c r="H190" s="382"/>
      <c r="I190" s="382"/>
      <c r="J190" s="382"/>
      <c r="K190" s="382"/>
      <c r="L190" s="382"/>
      <c r="M190" s="156"/>
      <c r="N190" s="156"/>
      <c r="O190" s="156"/>
      <c r="P190" s="1023"/>
    </row>
    <row r="191" spans="1:16" s="25" customFormat="1" x14ac:dyDescent="0.2">
      <c r="A191" s="211"/>
      <c r="B191" s="1059"/>
      <c r="C191" s="1059"/>
      <c r="D191" s="35" t="s">
        <v>2840</v>
      </c>
      <c r="E191" s="26"/>
      <c r="F191" s="1059"/>
      <c r="G191" s="1060"/>
      <c r="H191" s="1060"/>
      <c r="I191" s="1060"/>
      <c r="J191" s="1060"/>
      <c r="K191" s="1060"/>
      <c r="L191" s="1060"/>
      <c r="M191" s="1059"/>
      <c r="N191" s="1059"/>
      <c r="O191" s="1059"/>
      <c r="P191" s="2110"/>
    </row>
    <row r="192" spans="1:16" s="25" customFormat="1" x14ac:dyDescent="0.2">
      <c r="A192" s="211"/>
      <c r="B192" s="1059"/>
      <c r="C192" s="1059"/>
      <c r="D192" s="35"/>
      <c r="E192" s="26"/>
      <c r="F192" s="1059"/>
      <c r="G192" s="1060"/>
      <c r="H192" s="1060"/>
      <c r="I192" s="1060"/>
      <c r="J192" s="1060"/>
      <c r="K192" s="1060"/>
      <c r="L192" s="1060"/>
      <c r="M192" s="1059"/>
      <c r="N192" s="1059"/>
      <c r="O192" s="1059"/>
      <c r="P192" s="2110"/>
    </row>
    <row r="193" spans="1:16" s="25" customFormat="1" x14ac:dyDescent="0.2">
      <c r="A193" s="211"/>
      <c r="B193" s="1059">
        <f>'Cap Inc'!A152-'Debt-Gen'!E165</f>
        <v>0</v>
      </c>
      <c r="C193" s="1059">
        <f>'Cap Inc'!B152-'Debt-Gen'!F165</f>
        <v>0</v>
      </c>
      <c r="D193" s="35" t="s">
        <v>1234</v>
      </c>
      <c r="E193" s="26"/>
      <c r="F193" s="1059">
        <f>'Cap Inc'!E152-'Debt-Gen'!G165</f>
        <v>0</v>
      </c>
      <c r="G193" s="1060">
        <f>'Cap Inc'!F152-'Debt-Gen'!H165</f>
        <v>0</v>
      </c>
      <c r="H193" s="1060">
        <f>'Cap Inc'!G152-'Debt-Gen'!I165</f>
        <v>0</v>
      </c>
      <c r="I193" s="1060">
        <f>'Cap Inc'!H152-'Debt-Gen'!J165</f>
        <v>0</v>
      </c>
      <c r="J193" s="1060">
        <f>'Cap Inc'!I152-'Debt-Gen'!K165</f>
        <v>0</v>
      </c>
      <c r="K193" s="1060">
        <f>'Cap Inc'!J152-'Debt-Gen'!L165</f>
        <v>0</v>
      </c>
      <c r="L193" s="1060">
        <f>'Cap Inc'!K152-'Debt-Gen'!M165</f>
        <v>0</v>
      </c>
      <c r="M193" s="1059">
        <f>'Cap Inc'!L152-'Debt-Gen'!N165</f>
        <v>0</v>
      </c>
      <c r="N193" s="1059">
        <f>'Cap Inc'!M152-'Debt-Gen'!O165</f>
        <v>0</v>
      </c>
      <c r="O193" s="1059">
        <f>'Cap Inc'!N152-'Debt-Gen'!P165</f>
        <v>0</v>
      </c>
      <c r="P193" s="2110">
        <f>'Cap Inc'!O152-'Debt-Gen'!R165</f>
        <v>0</v>
      </c>
    </row>
    <row r="194" spans="1:16" s="25" customFormat="1" x14ac:dyDescent="0.2">
      <c r="A194" s="211"/>
      <c r="B194" s="1059"/>
      <c r="C194" s="949"/>
      <c r="D194" s="35"/>
      <c r="E194" s="26"/>
      <c r="F194" s="949"/>
      <c r="G194" s="1060"/>
      <c r="H194" s="1060"/>
      <c r="I194" s="1060"/>
      <c r="J194" s="1060"/>
      <c r="K194" s="1060"/>
      <c r="L194" s="1060"/>
      <c r="M194" s="1059"/>
      <c r="N194" s="1059"/>
      <c r="O194" s="1059"/>
      <c r="P194" s="2110"/>
    </row>
    <row r="195" spans="1:16" s="25" customFormat="1" x14ac:dyDescent="0.2">
      <c r="A195" s="71">
        <f>GM!B1011</f>
        <v>52300</v>
      </c>
      <c r="B195" s="949">
        <f>GM!C1011</f>
        <v>-454900</v>
      </c>
      <c r="C195" s="949">
        <f>GM!D1011</f>
        <v>184000</v>
      </c>
      <c r="D195" s="78" t="s">
        <v>2412</v>
      </c>
      <c r="E195" s="1506"/>
      <c r="F195" s="949">
        <f>GM!G1011</f>
        <v>200000</v>
      </c>
      <c r="G195" s="971">
        <f>GM!I1011</f>
        <v>400000</v>
      </c>
      <c r="H195" s="971">
        <f>GM!J1011</f>
        <v>400000</v>
      </c>
      <c r="I195" s="971">
        <f>GM!K1011</f>
        <v>400000</v>
      </c>
      <c r="J195" s="971">
        <f>GM!L1011</f>
        <v>400000</v>
      </c>
      <c r="K195" s="971">
        <f>GM!M1011</f>
        <v>400000</v>
      </c>
      <c r="L195" s="971">
        <f>GM!N1011</f>
        <v>400000</v>
      </c>
      <c r="M195" s="949">
        <f>GM!O1011</f>
        <v>400000</v>
      </c>
      <c r="N195" s="949">
        <f>GM!P1011</f>
        <v>400000</v>
      </c>
      <c r="O195" s="949">
        <f>GM!Q1011</f>
        <v>400000</v>
      </c>
      <c r="P195" s="950">
        <f>GM!R1011</f>
        <v>400000</v>
      </c>
    </row>
    <row r="196" spans="1:16" s="25" customFormat="1" x14ac:dyDescent="0.2">
      <c r="A196" s="71">
        <f>-A195</f>
        <v>-52300</v>
      </c>
      <c r="B196" s="949">
        <f>-B195</f>
        <v>454900</v>
      </c>
      <c r="C196" s="949">
        <f>-C195</f>
        <v>-184000</v>
      </c>
      <c r="D196" s="78" t="s">
        <v>3077</v>
      </c>
      <c r="E196" s="1506"/>
      <c r="F196" s="949">
        <v>-200000</v>
      </c>
      <c r="G196" s="971">
        <f>F196-200000</f>
        <v>-400000</v>
      </c>
      <c r="H196" s="971">
        <f t="shared" ref="H196:P196" si="78">G196</f>
        <v>-400000</v>
      </c>
      <c r="I196" s="971">
        <f t="shared" si="78"/>
        <v>-400000</v>
      </c>
      <c r="J196" s="971">
        <f t="shared" si="78"/>
        <v>-400000</v>
      </c>
      <c r="K196" s="971">
        <f t="shared" si="78"/>
        <v>-400000</v>
      </c>
      <c r="L196" s="971">
        <f t="shared" si="78"/>
        <v>-400000</v>
      </c>
      <c r="M196" s="949">
        <f t="shared" si="78"/>
        <v>-400000</v>
      </c>
      <c r="N196" s="949">
        <f t="shared" si="78"/>
        <v>-400000</v>
      </c>
      <c r="O196" s="949">
        <f t="shared" si="78"/>
        <v>-400000</v>
      </c>
      <c r="P196" s="950">
        <f t="shared" si="78"/>
        <v>-400000</v>
      </c>
    </row>
    <row r="197" spans="1:16" s="25" customFormat="1" x14ac:dyDescent="0.2">
      <c r="A197" s="71"/>
      <c r="B197" s="949"/>
      <c r="C197" s="949"/>
      <c r="D197" s="78"/>
      <c r="E197" s="1506"/>
      <c r="F197" s="949"/>
      <c r="G197" s="971"/>
      <c r="H197" s="971"/>
      <c r="I197" s="971"/>
      <c r="J197" s="971"/>
      <c r="K197" s="971"/>
      <c r="L197" s="971"/>
      <c r="M197" s="949"/>
      <c r="N197" s="949"/>
      <c r="O197" s="949"/>
      <c r="P197" s="950"/>
    </row>
    <row r="198" spans="1:16" s="25" customFormat="1" x14ac:dyDescent="0.2">
      <c r="A198" s="71"/>
      <c r="B198" s="949"/>
      <c r="C198" s="949"/>
      <c r="D198" s="78" t="s">
        <v>6787</v>
      </c>
      <c r="E198" s="1506"/>
      <c r="F198" s="949">
        <f>200000-CIV!G1767</f>
        <v>0</v>
      </c>
      <c r="G198" s="971">
        <f>0-CIV!I1767</f>
        <v>0</v>
      </c>
      <c r="H198" s="971">
        <f>0-CIV!J1767</f>
        <v>0</v>
      </c>
      <c r="I198" s="971">
        <f>0-CIV!K1767</f>
        <v>0</v>
      </c>
      <c r="J198" s="971">
        <f>0-CIV!L1767</f>
        <v>0</v>
      </c>
      <c r="K198" s="971">
        <f>0-CIV!M1767</f>
        <v>0</v>
      </c>
      <c r="L198" s="971">
        <f>0-CIV!N1767</f>
        <v>0</v>
      </c>
      <c r="M198" s="971">
        <f>0-CIV!O1767</f>
        <v>0</v>
      </c>
      <c r="N198" s="971">
        <f>0-CIV!P1767</f>
        <v>0</v>
      </c>
      <c r="O198" s="949">
        <f>0-CIV!Q1767</f>
        <v>0</v>
      </c>
      <c r="P198" s="950">
        <f>0-CIV!R1767</f>
        <v>0</v>
      </c>
    </row>
    <row r="199" spans="1:16" s="25" customFormat="1" x14ac:dyDescent="0.2">
      <c r="A199" s="211"/>
      <c r="B199" s="949"/>
      <c r="C199" s="949"/>
      <c r="D199" s="78"/>
      <c r="E199" s="130"/>
      <c r="F199" s="949"/>
      <c r="G199" s="1060"/>
      <c r="H199" s="1060"/>
      <c r="I199" s="1060"/>
      <c r="J199" s="1060"/>
      <c r="K199" s="1060"/>
      <c r="L199" s="1060"/>
      <c r="M199" s="1059"/>
      <c r="N199" s="1059"/>
      <c r="O199" s="949"/>
      <c r="P199" s="950"/>
    </row>
    <row r="200" spans="1:16" s="25" customFormat="1" x14ac:dyDescent="0.2">
      <c r="A200" s="211">
        <f>ROUND('Debt-WW'!E98+'Debt-WW'!E99-'Debt-WW'!E41,-2)</f>
        <v>0</v>
      </c>
      <c r="B200" s="1059">
        <f>'Debt-WW'!F98+'Debt-WW'!F99-'Debt-WW'!F41</f>
        <v>0</v>
      </c>
      <c r="C200" s="1059">
        <f>'Debt-WW'!G98+'Debt-WW'!G99-'Debt-WW'!G41</f>
        <v>0</v>
      </c>
      <c r="D200" s="35" t="s">
        <v>3350</v>
      </c>
      <c r="E200" s="26"/>
      <c r="F200" s="1059">
        <f>'Debt-WW'!H98+'Debt-WW'!H99-'Debt-WW'!H41</f>
        <v>0</v>
      </c>
      <c r="G200" s="1060">
        <f>'Debt-WW'!I98+'Debt-WW'!I99-'Debt-WW'!I41</f>
        <v>0</v>
      </c>
      <c r="H200" s="1060">
        <f>'Debt-WW'!J98+'Debt-WW'!J99-'Debt-WW'!J41</f>
        <v>0</v>
      </c>
      <c r="I200" s="1060">
        <f>'Debt-WW'!K98+'Debt-WW'!K99-'Debt-WW'!K41</f>
        <v>0</v>
      </c>
      <c r="J200" s="1060">
        <f>'Debt-WW'!L98+'Debt-WW'!L99-'Debt-WW'!L41</f>
        <v>0</v>
      </c>
      <c r="K200" s="1060">
        <f>'Debt-WW'!M98+'Debt-WW'!M99-'Debt-WW'!M41</f>
        <v>0</v>
      </c>
      <c r="L200" s="1060">
        <f>'Debt-WW'!N98+'Debt-WW'!N99-'Debt-WW'!N41</f>
        <v>0</v>
      </c>
      <c r="M200" s="1059">
        <f>'Debt-WW'!O98+'Debt-WW'!O99-'Debt-WW'!O41</f>
        <v>0</v>
      </c>
      <c r="N200" s="1059">
        <f>'Debt-WW'!P98+'Debt-WW'!P99-'Debt-WW'!P41</f>
        <v>0</v>
      </c>
      <c r="O200" s="949">
        <f>'Debt-WW'!Q98+'Debt-WW'!Q99-'Debt-WW'!Q41</f>
        <v>0</v>
      </c>
      <c r="P200" s="950">
        <f>'Debt-WW'!R98+'Debt-WW'!R99-'Debt-WW'!R41</f>
        <v>0</v>
      </c>
    </row>
    <row r="201" spans="1:16" s="25" customFormat="1" x14ac:dyDescent="0.2">
      <c r="A201" s="211">
        <f>ROUND('Debt-WW'!E102-'Debt-WW'!F23,-3)</f>
        <v>0</v>
      </c>
      <c r="B201" s="1059">
        <f>ROUND('Debt-WW'!F102-'Debt-WW'!H23,-3)</f>
        <v>0</v>
      </c>
      <c r="C201" s="1059">
        <f>ROUND('Debt-WW'!G102-'Debt-WW'!J23,-3)</f>
        <v>0</v>
      </c>
      <c r="D201" s="35" t="s">
        <v>5534</v>
      </c>
      <c r="E201" s="26"/>
      <c r="F201" s="1059">
        <f>ROUND('Debt-WW'!H102-'Debt-WW'!L23,-3)</f>
        <v>0</v>
      </c>
      <c r="G201" s="1059">
        <f>ROUND('Debt-WW'!I102-'Debt-WW'!N23,-3)</f>
        <v>0</v>
      </c>
      <c r="H201" s="1059">
        <f>ROUND('Debt-WW'!J102-'Debt-WW'!P23,-3)</f>
        <v>0</v>
      </c>
      <c r="I201" s="1059">
        <f>ROUND('Debt-WW'!K102-'Debt-WW'!R23,-3)</f>
        <v>0</v>
      </c>
      <c r="J201" s="1059">
        <f>ROUND('Debt-WW'!L102-'Debt-WW'!T23,-3)</f>
        <v>0</v>
      </c>
      <c r="K201" s="1059">
        <f>ROUND('Debt-WW'!M102-'Debt-WW'!V23,-3)</f>
        <v>0</v>
      </c>
      <c r="L201" s="1059">
        <f>ROUND('Debt-WW'!N102-'Debt-WW'!X23,-3)</f>
        <v>0</v>
      </c>
      <c r="M201" s="1059">
        <f>ROUND('Debt-WW'!O102-'Debt-WW'!Z23,-3)</f>
        <v>0</v>
      </c>
      <c r="N201" s="1059">
        <f>ROUND('Debt-WW'!P102-'Debt-WW'!AB23,-3)</f>
        <v>0</v>
      </c>
      <c r="O201" s="1059">
        <f>ROUND('Debt-WW'!Q102-'Debt-WW'!AD23,-3)</f>
        <v>0</v>
      </c>
      <c r="P201" s="2110">
        <f>ROUND('Debt-WW'!R102-'Debt-WW'!AF23,-3)</f>
        <v>0</v>
      </c>
    </row>
    <row r="202" spans="1:16" s="44" customFormat="1" x14ac:dyDescent="0.2">
      <c r="A202" s="771"/>
      <c r="B202" s="1062"/>
      <c r="C202" s="1062"/>
      <c r="D202" s="55"/>
      <c r="E202" s="65"/>
      <c r="F202" s="1062"/>
      <c r="G202" s="1061"/>
      <c r="H202" s="1061"/>
      <c r="I202" s="1061"/>
      <c r="J202" s="1061"/>
      <c r="K202" s="1061"/>
      <c r="L202" s="1061"/>
      <c r="M202" s="1062"/>
      <c r="N202" s="1062"/>
      <c r="O202" s="1062"/>
      <c r="P202" s="2111"/>
    </row>
    <row r="203" spans="1:16" s="25" customFormat="1" x14ac:dyDescent="0.2">
      <c r="A203" s="771"/>
      <c r="B203" s="1059"/>
      <c r="C203" s="1059">
        <f>-'Cap Inc'!B152</f>
        <v>-500000</v>
      </c>
      <c r="D203" s="35" t="s">
        <v>383</v>
      </c>
      <c r="E203" s="26"/>
      <c r="F203" s="1059">
        <f>-'Cap Inc'!E152</f>
        <v>-7611700</v>
      </c>
      <c r="G203" s="1060">
        <f>-'Cap Inc'!F152</f>
        <v>-5927800</v>
      </c>
      <c r="H203" s="1060">
        <f>-'Cap Inc'!G152</f>
        <v>-2500000</v>
      </c>
      <c r="I203" s="1060">
        <f>-'Cap Inc'!H152</f>
        <v>0</v>
      </c>
      <c r="J203" s="1060">
        <f>-'Cap Inc'!I152</f>
        <v>-8340000</v>
      </c>
      <c r="K203" s="1060">
        <f>-'Cap Inc'!J152</f>
        <v>0</v>
      </c>
      <c r="L203" s="1060">
        <f>-'Cap Inc'!K152</f>
        <v>0</v>
      </c>
      <c r="M203" s="1059">
        <f>-'Cap Inc'!L152</f>
        <v>0</v>
      </c>
      <c r="N203" s="1059">
        <f>-'Cap Inc'!M152</f>
        <v>0</v>
      </c>
      <c r="O203" s="1059">
        <f>-'Cap Inc'!N152</f>
        <v>0</v>
      </c>
      <c r="P203" s="2110">
        <f>-'Cap Inc'!O152</f>
        <v>0</v>
      </c>
    </row>
    <row r="204" spans="1:16" s="25" customFormat="1" x14ac:dyDescent="0.2">
      <c r="A204" s="211"/>
      <c r="B204" s="1059"/>
      <c r="C204" s="1059">
        <f>'Cap-Gen'!S211</f>
        <v>500000</v>
      </c>
      <c r="D204" s="35" t="s">
        <v>1612</v>
      </c>
      <c r="E204" s="26"/>
      <c r="F204" s="1059">
        <f>'Cap-Gen'!X211</f>
        <v>7611700</v>
      </c>
      <c r="G204" s="1060">
        <f>'Cap-Gen'!AC211</f>
        <v>5927800</v>
      </c>
      <c r="H204" s="1060">
        <f>'Cap-Gen'!AH211</f>
        <v>2500000</v>
      </c>
      <c r="I204" s="1060">
        <f>'Cap-Gen'!AM211</f>
        <v>0</v>
      </c>
      <c r="J204" s="1060">
        <f>'Cap-Gen'!AR211</f>
        <v>8340000</v>
      </c>
      <c r="K204" s="1060">
        <f>'Cap-Gen'!AW211</f>
        <v>0</v>
      </c>
      <c r="L204" s="1060">
        <f>'Cap-Gen'!BB211</f>
        <v>0</v>
      </c>
      <c r="M204" s="1059">
        <f>'Cap-Gen'!BG211</f>
        <v>0</v>
      </c>
      <c r="N204" s="1059">
        <f>'Cap-Gen'!BL211</f>
        <v>0</v>
      </c>
      <c r="O204" s="1059">
        <f>'Cap-Gen'!BQ211</f>
        <v>0</v>
      </c>
      <c r="P204" s="2110">
        <f>'Cap-Gen'!BV211</f>
        <v>0</v>
      </c>
    </row>
    <row r="205" spans="1:16" s="25" customFormat="1" x14ac:dyDescent="0.2">
      <c r="A205" s="211"/>
      <c r="B205" s="1059"/>
      <c r="C205" s="1059"/>
      <c r="D205" s="35"/>
      <c r="E205" s="26"/>
      <c r="F205" s="1059"/>
      <c r="G205" s="1060"/>
      <c r="H205" s="1060"/>
      <c r="I205" s="1060"/>
      <c r="J205" s="1060"/>
      <c r="K205" s="1060"/>
      <c r="L205" s="1060"/>
      <c r="M205" s="1059"/>
      <c r="N205" s="1059"/>
      <c r="O205" s="1059"/>
      <c r="P205" s="2110"/>
    </row>
    <row r="206" spans="1:16" s="25" customFormat="1" x14ac:dyDescent="0.2">
      <c r="A206" s="211">
        <f>SP!B160-SP!B137</f>
        <v>0</v>
      </c>
      <c r="B206" s="1059">
        <f>SP!C160-SP!C137</f>
        <v>0</v>
      </c>
      <c r="C206" s="1059">
        <f>SP!D160-SP!D137</f>
        <v>0</v>
      </c>
      <c r="D206" s="35" t="s">
        <v>3095</v>
      </c>
      <c r="E206" s="26"/>
      <c r="F206" s="1059">
        <f>SP!G160-SP!G137</f>
        <v>0</v>
      </c>
      <c r="G206" s="1060">
        <f>SP!I160-SP!I137</f>
        <v>0</v>
      </c>
      <c r="H206" s="1060">
        <f>SP!J160-SP!J137</f>
        <v>0</v>
      </c>
      <c r="I206" s="1060">
        <f>SP!K160-SP!K137</f>
        <v>0</v>
      </c>
      <c r="J206" s="1060">
        <f>SP!L160-SP!L137</f>
        <v>0</v>
      </c>
      <c r="K206" s="1060">
        <f>SP!M160-SP!M137</f>
        <v>0</v>
      </c>
      <c r="L206" s="1060">
        <f>SP!N160-SP!N137</f>
        <v>0</v>
      </c>
      <c r="M206" s="1059">
        <f>SP!O160-SP!O137</f>
        <v>0</v>
      </c>
      <c r="N206" s="1059">
        <f>SP!Q160-SP!Q137</f>
        <v>0</v>
      </c>
      <c r="O206" s="1059">
        <f>SP!R160-SP!R137</f>
        <v>0</v>
      </c>
      <c r="P206" s="2110">
        <f>SP!S160-SP!S137</f>
        <v>0</v>
      </c>
    </row>
    <row r="207" spans="1:16" s="25" customFormat="1" x14ac:dyDescent="0.2">
      <c r="A207" s="211"/>
      <c r="B207" s="1059"/>
      <c r="C207" s="1059"/>
      <c r="D207" s="35"/>
      <c r="E207" s="26"/>
      <c r="F207" s="1059"/>
      <c r="G207" s="1060"/>
      <c r="H207" s="1060"/>
      <c r="I207" s="1060"/>
      <c r="J207" s="1060"/>
      <c r="K207" s="1060"/>
      <c r="L207" s="1060"/>
      <c r="M207" s="1059"/>
      <c r="N207" s="1059"/>
      <c r="O207" s="1059"/>
      <c r="P207" s="2110"/>
    </row>
    <row r="208" spans="1:16" s="25" customFormat="1" x14ac:dyDescent="0.2">
      <c r="A208" s="211"/>
      <c r="B208" s="1059"/>
      <c r="C208" s="1059">
        <f>'Cap Inc'!B100-'Cap-Gen'!Q211-'Cap Inc'!B15</f>
        <v>0</v>
      </c>
      <c r="D208" s="35" t="s">
        <v>3400</v>
      </c>
      <c r="E208" s="26"/>
      <c r="F208" s="1059">
        <f>'Cap Inc'!E100-'Cap-Gen'!V211</f>
        <v>-2495000</v>
      </c>
      <c r="G208" s="1060">
        <f>'Cap Inc'!F100-'Cap-Gen'!AA211</f>
        <v>-935000</v>
      </c>
      <c r="H208" s="1060">
        <f>'Cap Inc'!G100-'Cap-Gen'!AF211</f>
        <v>-734000</v>
      </c>
      <c r="I208" s="1060">
        <f>'Cap Inc'!H100-'Cap-Gen'!AK211</f>
        <v>-634000</v>
      </c>
      <c r="J208" s="1060">
        <f>'Cap Inc'!I100-'Cap-Gen'!AP211</f>
        <v>-646700</v>
      </c>
      <c r="K208" s="1060">
        <f>'Cap Inc'!J100-'Cap-Gen'!AU211</f>
        <v>-659700</v>
      </c>
      <c r="L208" s="1060">
        <f>'Cap Inc'!K100-'Cap-Gen'!AZ211</f>
        <v>-672900</v>
      </c>
      <c r="M208" s="1059">
        <f>'Cap Inc'!L100-'Cap-Gen'!BE211</f>
        <v>-686400</v>
      </c>
      <c r="N208" s="1059">
        <f>'Cap Inc'!M100-'Cap-Gen'!BJ211</f>
        <v>-700200</v>
      </c>
      <c r="O208" s="1059">
        <f>'Cap Inc'!N100-'Cap-Gen'!BO211</f>
        <v>-714300</v>
      </c>
      <c r="P208" s="2110">
        <f>'Cap Inc'!O100-'Cap-Gen'!BT211</f>
        <v>-728600</v>
      </c>
    </row>
    <row r="209" spans="1:16" s="25" customFormat="1" x14ac:dyDescent="0.2">
      <c r="A209" s="211"/>
      <c r="B209" s="1059"/>
      <c r="C209" s="1059"/>
      <c r="D209" s="35" t="s">
        <v>6125</v>
      </c>
      <c r="E209" s="26"/>
      <c r="F209" s="1059">
        <f>CIV!G1028</f>
        <v>2495000</v>
      </c>
      <c r="G209" s="1059">
        <f>CIV!I1028</f>
        <v>935000</v>
      </c>
      <c r="H209" s="1060">
        <f>CIV!J1028</f>
        <v>734000</v>
      </c>
      <c r="I209" s="1060">
        <f>CIV!K1028</f>
        <v>634000</v>
      </c>
      <c r="J209" s="1060">
        <f>CIV!L1028</f>
        <v>646700</v>
      </c>
      <c r="K209" s="1060">
        <f>CIV!M1028</f>
        <v>659700</v>
      </c>
      <c r="L209" s="1060">
        <f>CIV!N1028</f>
        <v>672900</v>
      </c>
      <c r="M209" s="1059">
        <f>CIV!O1028</f>
        <v>686400</v>
      </c>
      <c r="N209" s="1059">
        <f>CIV!P1028</f>
        <v>700200</v>
      </c>
      <c r="O209" s="1059">
        <f>CIV!Q1028</f>
        <v>714300</v>
      </c>
      <c r="P209" s="2110">
        <f>CIV!R1028</f>
        <v>728600</v>
      </c>
    </row>
    <row r="210" spans="1:16" s="44" customFormat="1" x14ac:dyDescent="0.2">
      <c r="A210" s="2114"/>
      <c r="B210" s="1067"/>
      <c r="C210" s="1067">
        <f>SUM(C208:C209)</f>
        <v>0</v>
      </c>
      <c r="D210" s="58" t="s">
        <v>764</v>
      </c>
      <c r="E210" s="65"/>
      <c r="F210" s="1067">
        <f t="shared" ref="F210:O210" si="79">SUM(F208:F209)</f>
        <v>0</v>
      </c>
      <c r="G210" s="1066">
        <f t="shared" si="79"/>
        <v>0</v>
      </c>
      <c r="H210" s="1066">
        <f t="shared" si="79"/>
        <v>0</v>
      </c>
      <c r="I210" s="1066">
        <f t="shared" si="79"/>
        <v>0</v>
      </c>
      <c r="J210" s="1066">
        <f t="shared" si="79"/>
        <v>0</v>
      </c>
      <c r="K210" s="1066">
        <f t="shared" si="79"/>
        <v>0</v>
      </c>
      <c r="L210" s="1066">
        <f t="shared" si="79"/>
        <v>0</v>
      </c>
      <c r="M210" s="1067">
        <f t="shared" si="79"/>
        <v>0</v>
      </c>
      <c r="N210" s="1067">
        <f t="shared" si="79"/>
        <v>0</v>
      </c>
      <c r="O210" s="1067">
        <f t="shared" si="79"/>
        <v>0</v>
      </c>
      <c r="P210" s="2115">
        <f t="shared" ref="P210" si="80">SUM(P208:P209)</f>
        <v>0</v>
      </c>
    </row>
    <row r="211" spans="1:16" s="25" customFormat="1" x14ac:dyDescent="0.2">
      <c r="A211" s="211"/>
      <c r="B211" s="1059"/>
      <c r="C211" s="1059"/>
      <c r="D211" s="35"/>
      <c r="E211" s="26"/>
      <c r="F211" s="1059"/>
      <c r="G211" s="1060"/>
      <c r="H211" s="1060"/>
      <c r="I211" s="1060"/>
      <c r="J211" s="1060"/>
      <c r="K211" s="1060"/>
      <c r="L211" s="1060"/>
      <c r="M211" s="1059"/>
      <c r="N211" s="1059"/>
      <c r="O211" s="1059"/>
      <c r="P211" s="2110"/>
    </row>
    <row r="212" spans="1:16" s="25" customFormat="1" x14ac:dyDescent="0.2">
      <c r="A212" s="211">
        <f>ROUND(Summaries!B62,-3)</f>
        <v>0</v>
      </c>
      <c r="B212" s="1059">
        <f>Summaries!C62</f>
        <v>0</v>
      </c>
      <c r="C212" s="1059">
        <f>Summaries!D62</f>
        <v>0</v>
      </c>
      <c r="D212" s="35" t="s">
        <v>3401</v>
      </c>
      <c r="E212" s="26"/>
      <c r="F212" s="1059">
        <f>Summaries!E62</f>
        <v>0</v>
      </c>
      <c r="G212" s="1060">
        <f>Summaries!F62</f>
        <v>0</v>
      </c>
      <c r="H212" s="1060">
        <f>Summaries!G62</f>
        <v>0</v>
      </c>
      <c r="I212" s="1060">
        <f>Summaries!H62</f>
        <v>0</v>
      </c>
      <c r="J212" s="1060">
        <f>Summaries!I62</f>
        <v>0</v>
      </c>
      <c r="K212" s="1060">
        <f>Summaries!J62</f>
        <v>0</v>
      </c>
      <c r="L212" s="1060">
        <f>Summaries!K62</f>
        <v>0</v>
      </c>
      <c r="M212" s="1059">
        <f>Summaries!L62</f>
        <v>0</v>
      </c>
      <c r="N212" s="1059">
        <f>Summaries!P62</f>
        <v>0</v>
      </c>
      <c r="O212" s="1059">
        <f>Summaries!Q62</f>
        <v>0</v>
      </c>
      <c r="P212" s="2110">
        <f>Summaries!R62</f>
        <v>0</v>
      </c>
    </row>
    <row r="213" spans="1:16" s="25" customFormat="1" x14ac:dyDescent="0.2">
      <c r="A213" s="211"/>
      <c r="B213" s="1059">
        <f>ROUND(Summaries!P11/1000-'BS&amp;Ratios'!C778,-3)</f>
        <v>0</v>
      </c>
      <c r="C213" s="1060">
        <f>ROUND(Summaries!R11/1000-'BS&amp;Ratios'!E778,-3)</f>
        <v>0</v>
      </c>
      <c r="D213" s="35" t="s">
        <v>4720</v>
      </c>
      <c r="E213" s="26"/>
      <c r="F213" s="1060">
        <f>ROUND(Summaries!S11/1000-'BS&amp;Ratios'!F778,-3)-1000</f>
        <v>0</v>
      </c>
      <c r="G213" s="1060">
        <f>ROUND(Summaries!T11/1000-'BS&amp;Ratios'!G778,-3)</f>
        <v>0</v>
      </c>
      <c r="H213" s="1060">
        <f>ROUND(Summaries!U11/1000-'BS&amp;Ratios'!H778,-3)</f>
        <v>0</v>
      </c>
      <c r="I213" s="1060">
        <f>ROUND(Summaries!V11/1000-'BS&amp;Ratios'!I778,-3)</f>
        <v>0</v>
      </c>
      <c r="J213" s="1060">
        <f>ROUND(Summaries!W11/1000-'BS&amp;Ratios'!J778,-3)+1000</f>
        <v>0</v>
      </c>
      <c r="K213" s="1060">
        <f>ROUND(Summaries!X11/1000-'BS&amp;Ratios'!K778,-3)+1000</f>
        <v>0</v>
      </c>
      <c r="L213" s="1060">
        <f>ROUND(Summaries!Y11/1000-'BS&amp;Ratios'!L778,-3)+1000</f>
        <v>0</v>
      </c>
      <c r="M213" s="1060">
        <f>ROUND(Summaries!Z11/1000-'BS&amp;Ratios'!M778,-3)+1000</f>
        <v>0</v>
      </c>
      <c r="N213" s="1060">
        <f>ROUND(Summaries!AA11/1000-'BS&amp;Ratios'!N778,-3)+1000</f>
        <v>0</v>
      </c>
      <c r="O213" s="1059">
        <f>ROUND(Summaries!AB11/1000-'BS&amp;Ratios'!O778,-3)+1000</f>
        <v>0</v>
      </c>
      <c r="P213" s="2110">
        <f>ROUND(Summaries!AC11/1000-'BS&amp;Ratios'!P778,-3)+1000</f>
        <v>0</v>
      </c>
    </row>
    <row r="214" spans="1:16" s="25" customFormat="1" x14ac:dyDescent="0.2">
      <c r="A214" s="211"/>
      <c r="B214" s="1059"/>
      <c r="C214" s="1060"/>
      <c r="D214" s="35"/>
      <c r="E214" s="26"/>
      <c r="F214" s="1060"/>
      <c r="G214" s="1060"/>
      <c r="H214" s="1060"/>
      <c r="I214" s="1060"/>
      <c r="J214" s="1060"/>
      <c r="K214" s="1060"/>
      <c r="L214" s="1060"/>
      <c r="M214" s="1059"/>
      <c r="N214" s="1059"/>
      <c r="O214" s="1059"/>
      <c r="P214" s="2110"/>
    </row>
    <row r="215" spans="1:16" s="25" customFormat="1" x14ac:dyDescent="0.2">
      <c r="A215" s="211"/>
      <c r="B215" s="1059"/>
      <c r="C215" s="1060"/>
      <c r="D215" s="35" t="s">
        <v>6887</v>
      </c>
      <c r="E215" s="26"/>
      <c r="F215" s="1060">
        <f>Overheads!G288</f>
        <v>0</v>
      </c>
      <c r="G215" s="1060">
        <f>GM!I698-Overheads!I277</f>
        <v>0</v>
      </c>
      <c r="H215" s="1060"/>
      <c r="I215" s="1060"/>
      <c r="J215" s="1060"/>
      <c r="K215" s="1060"/>
      <c r="L215" s="1060"/>
      <c r="M215" s="1059"/>
      <c r="N215" s="1059"/>
      <c r="O215" s="1059"/>
      <c r="P215" s="2110"/>
    </row>
    <row r="216" spans="1:16" s="25" customFormat="1" x14ac:dyDescent="0.2">
      <c r="A216" s="211"/>
      <c r="B216" s="1059"/>
      <c r="C216" s="1060"/>
      <c r="D216" s="2410" t="s">
        <v>3975</v>
      </c>
      <c r="E216" s="2411"/>
      <c r="F216" s="1060">
        <f>Overheads!H277</f>
        <v>-146700</v>
      </c>
      <c r="G216" s="1060"/>
      <c r="H216" s="1060"/>
      <c r="I216" s="1060"/>
      <c r="J216" s="1060"/>
      <c r="K216" s="1060"/>
      <c r="L216" s="1060"/>
      <c r="M216" s="1059"/>
      <c r="N216" s="1059"/>
      <c r="O216" s="1059"/>
      <c r="P216" s="2110"/>
    </row>
    <row r="217" spans="1:16" s="25" customFormat="1" x14ac:dyDescent="0.2">
      <c r="A217" s="211"/>
      <c r="B217" s="1059"/>
      <c r="C217" s="1060"/>
      <c r="D217" s="2434" t="s">
        <v>6889</v>
      </c>
      <c r="E217" s="2411"/>
      <c r="F217" s="1060">
        <f>-F216</f>
        <v>146700</v>
      </c>
      <c r="G217" s="1060"/>
      <c r="H217" s="1060"/>
      <c r="I217" s="1060"/>
      <c r="J217" s="1060"/>
      <c r="K217" s="1060"/>
      <c r="L217" s="1060"/>
      <c r="M217" s="1059"/>
      <c r="N217" s="1059"/>
      <c r="O217" s="1059"/>
      <c r="P217" s="2110"/>
    </row>
    <row r="218" spans="1:16" s="44" customFormat="1" ht="15" customHeight="1" x14ac:dyDescent="0.2">
      <c r="A218" s="211"/>
      <c r="B218" s="1062"/>
      <c r="C218" s="1060"/>
      <c r="D218" s="55"/>
      <c r="E218" s="65"/>
      <c r="F218" s="1060"/>
      <c r="G218" s="1060"/>
      <c r="H218" s="1061"/>
      <c r="I218" s="1061"/>
      <c r="J218" s="1061"/>
      <c r="K218" s="1061"/>
      <c r="L218" s="1061"/>
      <c r="M218" s="1059"/>
      <c r="N218" s="1059"/>
      <c r="O218" s="1059"/>
      <c r="P218" s="2110"/>
    </row>
    <row r="219" spans="1:16" s="44" customFormat="1" x14ac:dyDescent="0.2">
      <c r="A219" s="211"/>
      <c r="B219" s="1062"/>
      <c r="C219" s="1062"/>
      <c r="D219" s="55" t="s">
        <v>244</v>
      </c>
      <c r="E219" s="65"/>
      <c r="F219" s="1060"/>
      <c r="G219" s="1061"/>
      <c r="H219" s="1061"/>
      <c r="I219" s="1061"/>
      <c r="J219" s="1061"/>
      <c r="K219" s="1061"/>
      <c r="L219" s="1061"/>
      <c r="M219" s="1059"/>
      <c r="N219" s="1059"/>
      <c r="O219" s="1059"/>
      <c r="P219" s="2110"/>
    </row>
    <row r="220" spans="1:16" s="23" customFormat="1" x14ac:dyDescent="0.2">
      <c r="A220" s="211"/>
      <c r="B220" s="1064"/>
      <c r="C220" s="1064">
        <f>'Res-Gen'!D242-'Res-Bal'!C159</f>
        <v>0</v>
      </c>
      <c r="D220" s="22" t="s">
        <v>980</v>
      </c>
      <c r="E220" s="20"/>
      <c r="F220" s="1060">
        <f>'Res-Gen'!G242-'Res-Bal'!F159</f>
        <v>0</v>
      </c>
      <c r="G220" s="1065">
        <f>'Res-Gen'!J242-'Res-Bal'!I159</f>
        <v>0</v>
      </c>
      <c r="H220" s="1065">
        <f>'Res-Gen'!M242-'Res-Bal'!L159</f>
        <v>0</v>
      </c>
      <c r="I220" s="1065">
        <f>'Res-Gen'!P242-'Res-Bal'!O159</f>
        <v>0</v>
      </c>
      <c r="J220" s="1065">
        <f>'Res-Gen'!S242-'Res-Bal'!R159</f>
        <v>0</v>
      </c>
      <c r="K220" s="1065">
        <f>'Res-Gen'!V242-'Res-Bal'!U159</f>
        <v>0</v>
      </c>
      <c r="L220" s="1065">
        <f>'Res-Gen'!Y242-'Res-Bal'!X159</f>
        <v>0</v>
      </c>
      <c r="M220" s="1064">
        <f>'Res-Gen'!AB242-'Res-Bal'!AA159</f>
        <v>0</v>
      </c>
      <c r="N220" s="1064">
        <f>'Res-Gen'!AE242-'Res-Bal'!AD159</f>
        <v>0</v>
      </c>
      <c r="O220" s="1064">
        <f>'Res-Gen'!AH242-'Res-Bal'!AG159</f>
        <v>0</v>
      </c>
      <c r="P220" s="2113">
        <f>'Res-Gen'!AK242-'Res-Bal'!AJ159</f>
        <v>0</v>
      </c>
    </row>
    <row r="221" spans="1:16" s="23" customFormat="1" x14ac:dyDescent="0.2">
      <c r="A221" s="211"/>
      <c r="B221" s="1064"/>
      <c r="C221" s="1064">
        <f>'Res-Bal'!D159-LTFP!C229-LTFP!C230</f>
        <v>0</v>
      </c>
      <c r="D221" s="22" t="s">
        <v>513</v>
      </c>
      <c r="E221" s="20"/>
      <c r="F221" s="1064">
        <f>'Res-Bal'!G159-LTFP!E229-LTFP!E230</f>
        <v>0</v>
      </c>
      <c r="G221" s="1065">
        <f>'Res-Bal'!J159-LTFP!G229-LTFP!G230</f>
        <v>0</v>
      </c>
      <c r="H221" s="1065">
        <f>'Res-Bal'!M159-LTFP!H229-LTFP!H230</f>
        <v>0</v>
      </c>
      <c r="I221" s="1065">
        <f>'Res-Bal'!P159-LTFP!I229-LTFP!I230</f>
        <v>0</v>
      </c>
      <c r="J221" s="1065">
        <f>'Res-Bal'!S159-LTFP!J229-LTFP!J230</f>
        <v>0</v>
      </c>
      <c r="K221" s="1065">
        <f>'Res-Bal'!V159-LTFP!K229-LTFP!K230</f>
        <v>0</v>
      </c>
      <c r="L221" s="1065">
        <f>'Res-Bal'!Y159-LTFP!L229-LTFP!L230</f>
        <v>0</v>
      </c>
      <c r="M221" s="1064">
        <f>'Res-Bal'!AB159-LTFP!M229-LTFP!M230</f>
        <v>0</v>
      </c>
      <c r="N221" s="1064">
        <f>'Res-Bal'!AE159-LTFP!N229-LTFP!N230</f>
        <v>0</v>
      </c>
      <c r="O221" s="1064">
        <f>'Res-Bal'!AH159-LTFP!O229-LTFP!O230</f>
        <v>0</v>
      </c>
      <c r="P221" s="2113">
        <f>'Res-Bal'!AK159-LTFP!P229-LTFP!P230</f>
        <v>0</v>
      </c>
    </row>
    <row r="222" spans="1:16" s="23" customFormat="1" x14ac:dyDescent="0.2">
      <c r="A222" s="211"/>
      <c r="B222" s="1064"/>
      <c r="C222" s="1064">
        <f>36775100+518000-'Res-Bal'!D159+200</f>
        <v>0</v>
      </c>
      <c r="D222" s="35" t="s">
        <v>3653</v>
      </c>
      <c r="E222" s="20"/>
      <c r="F222" s="1064"/>
      <c r="G222" s="1065"/>
      <c r="H222" s="1065"/>
      <c r="I222" s="1065"/>
      <c r="J222" s="1065"/>
      <c r="K222" s="1065"/>
      <c r="L222" s="1065"/>
      <c r="M222" s="1064"/>
      <c r="N222" s="1064"/>
      <c r="O222" s="1064"/>
      <c r="P222" s="2113"/>
    </row>
    <row r="223" spans="1:16" s="23" customFormat="1" x14ac:dyDescent="0.2">
      <c r="A223" s="211"/>
      <c r="B223" s="1064"/>
      <c r="C223" s="1064"/>
      <c r="D223" s="35"/>
      <c r="E223" s="20"/>
      <c r="F223" s="1064"/>
      <c r="G223" s="1065"/>
      <c r="H223" s="1065"/>
      <c r="I223" s="1065"/>
      <c r="J223" s="1065"/>
      <c r="K223" s="1065"/>
      <c r="L223" s="1065"/>
      <c r="M223" s="1064"/>
      <c r="N223" s="1064"/>
      <c r="O223" s="1064"/>
      <c r="P223" s="2113"/>
    </row>
    <row r="224" spans="1:16" s="23" customFormat="1" x14ac:dyDescent="0.2">
      <c r="A224" s="211"/>
      <c r="B224" s="1064"/>
      <c r="C224" s="1064"/>
      <c r="D224" s="35" t="s">
        <v>6118</v>
      </c>
      <c r="E224" s="20"/>
      <c r="F224" s="1064">
        <v>50000</v>
      </c>
      <c r="G224" s="1065">
        <v>60000</v>
      </c>
      <c r="H224" s="1065">
        <v>61600</v>
      </c>
      <c r="I224" s="1065">
        <v>63200</v>
      </c>
      <c r="J224" s="1065">
        <v>64800</v>
      </c>
      <c r="K224" s="1065">
        <v>66200</v>
      </c>
      <c r="L224" s="1065">
        <v>67600</v>
      </c>
      <c r="M224" s="1064">
        <v>69000</v>
      </c>
      <c r="N224" s="1064">
        <v>70400</v>
      </c>
      <c r="O224" s="1064">
        <v>72000</v>
      </c>
      <c r="P224" s="2113">
        <v>73600</v>
      </c>
    </row>
    <row r="225" spans="1:16" s="23" customFormat="1" x14ac:dyDescent="0.2">
      <c r="A225" s="211"/>
      <c r="B225" s="1064"/>
      <c r="C225" s="1065"/>
      <c r="D225" s="35" t="s">
        <v>4398</v>
      </c>
      <c r="E225" s="20"/>
      <c r="F225" s="1065">
        <f>-(DEH!G378+DEH!G379+'Cap-Gen'!F69-DEH!G393-DEH!G394--DEH!G355)</f>
        <v>-50000</v>
      </c>
      <c r="G225" s="1065">
        <f>-(DEH!I378+DEH!I379+'Cap-Gen'!G69-DEH!I393-DEH!I394-DEH!I355)</f>
        <v>-60000</v>
      </c>
      <c r="H225" s="1065">
        <f>-(DEH!J378+DEH!J379+'Cap-Gen'!H69-DEH!J393-DEH!J394-DEH!J355)</f>
        <v>-61600</v>
      </c>
      <c r="I225" s="1065">
        <f>-(DEH!K378+DEH!K379+'Cap-Gen'!I69-DEH!K393-DEH!K394-DEH!K355)</f>
        <v>-63200</v>
      </c>
      <c r="J225" s="1065">
        <f>-(DEH!L378+DEH!L379+'Cap-Gen'!J69-DEH!L393-DEH!L394-DEH!L355)</f>
        <v>-64800</v>
      </c>
      <c r="K225" s="1065">
        <f>-(DEH!M378+DEH!M379+'Cap-Gen'!K69-DEH!M393-DEH!M394-DEH!M355)</f>
        <v>-66200</v>
      </c>
      <c r="L225" s="1065">
        <f>-(DEH!N378+DEH!N379+'Cap-Gen'!L69-DEH!N393-DEH!N394-DEH!N355)</f>
        <v>-67600</v>
      </c>
      <c r="M225" s="1064">
        <f>-(DEH!O378+DEH!O379+'Cap-Gen'!M69-DEH!O393-DEH!O394-DEH!O355)</f>
        <v>-69000</v>
      </c>
      <c r="N225" s="1064">
        <f>-(DEH!P378+DEH!P379+'Cap-Gen'!N69-DEH!P393-DEH!P394-DEH!P355)</f>
        <v>-70400</v>
      </c>
      <c r="O225" s="1064">
        <f>-(DEH!Q378+DEH!Q379+'Cap-Gen'!O69-DEH!Q393-DEH!Q394-DEH!Q355)</f>
        <v>-72000</v>
      </c>
      <c r="P225" s="2113">
        <f>-(DEH!R378+DEH!R379+'Cap-Gen'!Q69-DEH!R393-DEH!R394-DEH!R355)</f>
        <v>-73600</v>
      </c>
    </row>
    <row r="226" spans="1:16" s="40" customFormat="1" x14ac:dyDescent="0.2">
      <c r="A226" s="212"/>
      <c r="B226" s="1056">
        <f>SUM(B224:B225)</f>
        <v>0</v>
      </c>
      <c r="C226" s="1057">
        <f>SUM(C224:C225)</f>
        <v>0</v>
      </c>
      <c r="D226" s="58" t="s">
        <v>1189</v>
      </c>
      <c r="E226" s="83"/>
      <c r="F226" s="1057">
        <f t="shared" ref="F226:M226" si="81">SUM(F224:F225)</f>
        <v>0</v>
      </c>
      <c r="G226" s="1057">
        <f t="shared" si="81"/>
        <v>0</v>
      </c>
      <c r="H226" s="1057">
        <f t="shared" si="81"/>
        <v>0</v>
      </c>
      <c r="I226" s="1057">
        <f t="shared" si="81"/>
        <v>0</v>
      </c>
      <c r="J226" s="1057">
        <f t="shared" si="81"/>
        <v>0</v>
      </c>
      <c r="K226" s="1057">
        <f t="shared" si="81"/>
        <v>0</v>
      </c>
      <c r="L226" s="1057">
        <f t="shared" si="81"/>
        <v>0</v>
      </c>
      <c r="M226" s="1056">
        <f t="shared" si="81"/>
        <v>0</v>
      </c>
      <c r="N226" s="1056">
        <f t="shared" ref="N226:O226" si="82">SUM(N224:N225)</f>
        <v>0</v>
      </c>
      <c r="O226" s="1056">
        <f t="shared" si="82"/>
        <v>0</v>
      </c>
      <c r="P226" s="2109">
        <f t="shared" ref="P226" si="83">SUM(P224:P225)</f>
        <v>0</v>
      </c>
    </row>
    <row r="227" spans="1:16" s="23" customFormat="1" x14ac:dyDescent="0.2">
      <c r="A227" s="211"/>
      <c r="B227" s="1064"/>
      <c r="C227" s="1064"/>
      <c r="D227" s="35"/>
      <c r="E227" s="20"/>
      <c r="F227" s="1064"/>
      <c r="G227" s="1065"/>
      <c r="H227" s="1065"/>
      <c r="I227" s="1065"/>
      <c r="J227" s="1065"/>
      <c r="K227" s="1065"/>
      <c r="L227" s="1065"/>
      <c r="M227" s="1064"/>
      <c r="N227" s="1064"/>
      <c r="O227" s="1064"/>
      <c r="P227" s="2113"/>
    </row>
    <row r="228" spans="1:16" s="23" customFormat="1" x14ac:dyDescent="0.2">
      <c r="A228" s="211"/>
      <c r="B228" s="1064"/>
      <c r="C228" s="1064"/>
      <c r="D228" s="58" t="s">
        <v>4237</v>
      </c>
      <c r="E228" s="20"/>
      <c r="F228" s="1064"/>
      <c r="G228" s="1065"/>
      <c r="H228" s="1065"/>
      <c r="I228" s="1065"/>
      <c r="J228" s="1065"/>
      <c r="K228" s="1065"/>
      <c r="L228" s="1065"/>
      <c r="M228" s="1064"/>
      <c r="N228" s="1064"/>
      <c r="O228" s="1064"/>
      <c r="P228" s="2113"/>
    </row>
    <row r="229" spans="1:16" s="23" customFormat="1" x14ac:dyDescent="0.2">
      <c r="A229" s="211"/>
      <c r="B229" s="1064">
        <f>15054800-LTFP!B330</f>
        <v>0</v>
      </c>
      <c r="C229" s="1064"/>
      <c r="D229" s="35" t="s">
        <v>3354</v>
      </c>
      <c r="E229" s="20"/>
      <c r="F229" s="1064"/>
      <c r="G229" s="1065"/>
      <c r="H229" s="1065"/>
      <c r="I229" s="1065"/>
      <c r="J229" s="1065"/>
      <c r="K229" s="1065"/>
      <c r="L229" s="1065"/>
      <c r="M229" s="1064"/>
      <c r="N229" s="1064"/>
      <c r="O229" s="1064"/>
      <c r="P229" s="2113"/>
    </row>
    <row r="230" spans="1:16" s="25" customFormat="1" x14ac:dyDescent="0.2">
      <c r="A230" s="211"/>
      <c r="B230" s="1059">
        <f>10471900-LTFP!B281</f>
        <v>0</v>
      </c>
      <c r="C230" s="1059"/>
      <c r="D230" s="35" t="s">
        <v>1764</v>
      </c>
      <c r="E230" s="26"/>
      <c r="F230" s="1059"/>
      <c r="G230" s="1060"/>
      <c r="H230" s="1060"/>
      <c r="I230" s="1060"/>
      <c r="J230" s="1060"/>
      <c r="K230" s="1060"/>
      <c r="L230" s="1060"/>
      <c r="M230" s="1059"/>
      <c r="N230" s="1059"/>
      <c r="O230" s="1059"/>
      <c r="P230" s="2110"/>
    </row>
    <row r="231" spans="1:16" s="25" customFormat="1" x14ac:dyDescent="0.2">
      <c r="A231" s="211"/>
      <c r="B231" s="1059"/>
      <c r="C231" s="1059"/>
      <c r="D231" s="35"/>
      <c r="E231" s="26"/>
      <c r="F231" s="1059"/>
      <c r="G231" s="1060"/>
      <c r="H231" s="1060"/>
      <c r="I231" s="1060"/>
      <c r="J231" s="1060"/>
      <c r="K231" s="1060"/>
      <c r="L231" s="1060"/>
      <c r="M231" s="1059"/>
      <c r="N231" s="1059"/>
      <c r="O231" s="1059"/>
      <c r="P231" s="2110"/>
    </row>
    <row r="232" spans="1:16" s="25" customFormat="1" x14ac:dyDescent="0.2">
      <c r="A232" s="211"/>
      <c r="B232" s="1059"/>
      <c r="C232" s="1059">
        <f>'Cap-Gen'!E211-SUM('Cap-Gen'!Q211:U211)</f>
        <v>0</v>
      </c>
      <c r="D232" s="35" t="s">
        <v>4297</v>
      </c>
      <c r="E232" s="26"/>
      <c r="F232" s="1059">
        <f>'Cap-Gen'!F211-SUM('Cap-Gen'!V211:Z211)</f>
        <v>0</v>
      </c>
      <c r="G232" s="1060">
        <f>'Cap-Gen'!G211-SUM('Cap-Gen'!AA211:AE211)</f>
        <v>0</v>
      </c>
      <c r="H232" s="1060">
        <f>'Cap-Gen'!H211-SUM('Cap-Gen'!AF211:AJ211)</f>
        <v>0</v>
      </c>
      <c r="I232" s="1060">
        <f>'Cap-Gen'!I211-SUM('Cap-Gen'!AK211:AO211)</f>
        <v>0</v>
      </c>
      <c r="J232" s="1060">
        <f>'Cap-Gen'!J211-SUM('Cap-Gen'!AP211:AT211)</f>
        <v>0</v>
      </c>
      <c r="K232" s="1060">
        <f>'Cap-Gen'!K211-SUM('Cap-Gen'!AU211:AY211)</f>
        <v>0</v>
      </c>
      <c r="L232" s="1060">
        <f>'Cap-Gen'!L211-SUM('Cap-Gen'!AZ211:BD211)</f>
        <v>0</v>
      </c>
      <c r="M232" s="1059">
        <f>'Cap-Gen'!M211-SUM('Cap-Gen'!BE211:BI211)</f>
        <v>0</v>
      </c>
      <c r="N232" s="1059">
        <f>'Cap-Gen'!N211-SUM('Cap-Gen'!BJ211:BN211)</f>
        <v>0</v>
      </c>
      <c r="O232" s="1059">
        <f>'Cap-Gen'!O211-SUM('Cap-Gen'!BO211:BS211)</f>
        <v>0</v>
      </c>
      <c r="P232" s="2110">
        <f>'Cap-Gen'!P211-SUM('Cap-Gen'!BT211:BX211)</f>
        <v>0</v>
      </c>
    </row>
    <row r="233" spans="1:16" s="25" customFormat="1" x14ac:dyDescent="0.2">
      <c r="A233" s="211"/>
      <c r="B233" s="1059"/>
      <c r="C233" s="1060">
        <f>'Cap-Gen'!Q82-CIV!D1813-'W&amp;W'!D216-'W&amp;W'!D414-CIV!D1989</f>
        <v>0</v>
      </c>
      <c r="D233" s="35" t="s">
        <v>4869</v>
      </c>
      <c r="E233" s="26"/>
      <c r="F233" s="1060">
        <f>'Cap-Gen'!V81-CIV!G1813-'W&amp;W'!G216-'W&amp;W'!G414-CIV!G1989</f>
        <v>0</v>
      </c>
      <c r="G233" s="1060">
        <f>'Cap-Gen'!AA81-CIV!I1813-'W&amp;W'!I216-'W&amp;W'!I414-CIV!I1989</f>
        <v>0</v>
      </c>
      <c r="H233" s="1060">
        <f>'Cap-Gen'!AF81-CIV!J1813-'W&amp;W'!J216-'W&amp;W'!J414-CIV!J1989</f>
        <v>0</v>
      </c>
      <c r="I233" s="1060">
        <f>'Cap-Gen'!AK81-CIV!K1813-'W&amp;W'!K216-'W&amp;W'!K414-CIV!K1989</f>
        <v>0</v>
      </c>
      <c r="J233" s="1060">
        <f>'Cap-Gen'!AP81-CIV!L1813-'W&amp;W'!L216-'W&amp;W'!L414-CIV!L1989</f>
        <v>0</v>
      </c>
      <c r="K233" s="1060">
        <f>'Cap-Gen'!AU81-CIV!M1813-'W&amp;W'!M216-'W&amp;W'!M414-CIV!M1989</f>
        <v>0</v>
      </c>
      <c r="L233" s="1060">
        <f>'Cap-Gen'!AZ81-CIV!N1813-'W&amp;W'!N216-'W&amp;W'!N414-CIV!N1989</f>
        <v>0</v>
      </c>
      <c r="M233" s="1060">
        <f>'Cap-Gen'!BE81-CIV!O1813-'W&amp;W'!O216-'W&amp;W'!O414-CIV!O1989</f>
        <v>0</v>
      </c>
      <c r="N233" s="1059">
        <f>'Cap-Gen'!BJ81-CIV!P1813-'W&amp;W'!P216-'W&amp;W'!P414-CIV!P1989</f>
        <v>0</v>
      </c>
      <c r="O233" s="1059">
        <f>'Cap-Gen'!BO81-CIV!Q1813-'W&amp;W'!Q216-'W&amp;W'!Q414-CIV!Q1989</f>
        <v>0</v>
      </c>
      <c r="P233" s="2110">
        <f>'Cap-Gen'!BT81-CIV!R1813-'W&amp;W'!R216-'W&amp;W'!R414-CIV!R1989</f>
        <v>0</v>
      </c>
    </row>
    <row r="234" spans="1:16" s="25" customFormat="1" x14ac:dyDescent="0.2">
      <c r="A234" s="211"/>
      <c r="B234" s="1059"/>
      <c r="C234" s="1060"/>
      <c r="D234" s="35"/>
      <c r="E234" s="26"/>
      <c r="F234" s="1060"/>
      <c r="G234" s="1060"/>
      <c r="H234" s="1060"/>
      <c r="I234" s="1060"/>
      <c r="J234" s="1060"/>
      <c r="K234" s="1060"/>
      <c r="L234" s="1060"/>
      <c r="M234" s="1060"/>
      <c r="N234" s="1059"/>
      <c r="O234" s="1059"/>
      <c r="P234" s="2110"/>
    </row>
    <row r="235" spans="1:16" s="25" customFormat="1" x14ac:dyDescent="0.2">
      <c r="A235" s="211"/>
      <c r="B235" s="1059"/>
      <c r="C235" s="1060"/>
      <c r="D235" s="35" t="s">
        <v>6122</v>
      </c>
      <c r="E235" s="26"/>
      <c r="F235" s="1060">
        <f>CIV!G1028-'Cap-Gen'!V117</f>
        <v>0</v>
      </c>
      <c r="G235" s="1060">
        <f>CIV!I1028-'Cap-Gen'!AA117</f>
        <v>0</v>
      </c>
      <c r="H235" s="1060">
        <f>CIV!J1028-'Cap-Gen'!AF117</f>
        <v>0</v>
      </c>
      <c r="I235" s="1060">
        <f>CIV!K1028-'Cap-Gen'!AK117</f>
        <v>0</v>
      </c>
      <c r="J235" s="1060">
        <f>CIV!L1028-'Cap-Gen'!AP117</f>
        <v>0</v>
      </c>
      <c r="K235" s="1060">
        <f>CIV!M1028-'Cap-Gen'!AU117</f>
        <v>0</v>
      </c>
      <c r="L235" s="1060">
        <f>CIV!N1028-'Cap-Gen'!AZ117</f>
        <v>0</v>
      </c>
      <c r="M235" s="1060">
        <f>CIV!O1028-'Cap-Gen'!BE117</f>
        <v>0</v>
      </c>
      <c r="N235" s="1059">
        <f>CIV!P1028-'Cap-Gen'!BJ117</f>
        <v>0</v>
      </c>
      <c r="O235" s="1059">
        <f>CIV!Q1028-'Cap-Gen'!BO117</f>
        <v>0</v>
      </c>
      <c r="P235" s="2110">
        <f>CIV!R1028-'Cap-Gen'!BT117</f>
        <v>0</v>
      </c>
    </row>
    <row r="236" spans="1:16" s="25" customFormat="1" x14ac:dyDescent="0.2">
      <c r="A236" s="211"/>
      <c r="B236" s="1059"/>
      <c r="C236" s="1059"/>
      <c r="D236" s="35"/>
      <c r="E236" s="26"/>
      <c r="F236" s="1059"/>
      <c r="G236" s="1060"/>
      <c r="H236" s="1060"/>
      <c r="I236" s="1060"/>
      <c r="J236" s="1060"/>
      <c r="K236" s="1060"/>
      <c r="L236" s="1060"/>
      <c r="M236" s="1059"/>
      <c r="N236" s="1059"/>
      <c r="O236" s="1059"/>
      <c r="P236" s="2110"/>
    </row>
    <row r="237" spans="1:16" s="25" customFormat="1" x14ac:dyDescent="0.2">
      <c r="A237" s="211"/>
      <c r="B237" s="1059"/>
      <c r="C237" s="1060"/>
      <c r="D237" s="58" t="s">
        <v>4251</v>
      </c>
      <c r="E237" s="26"/>
      <c r="F237" s="1060"/>
      <c r="G237" s="1060"/>
      <c r="H237" s="1060"/>
      <c r="I237" s="1060"/>
      <c r="J237" s="1060"/>
      <c r="K237" s="1060"/>
      <c r="L237" s="1060"/>
      <c r="M237" s="1060"/>
      <c r="N237" s="1059"/>
      <c r="O237" s="1059"/>
      <c r="P237" s="2110"/>
    </row>
    <row r="238" spans="1:16" s="25" customFormat="1" x14ac:dyDescent="0.2">
      <c r="A238" s="211">
        <f>ROUND(LTFP!A140-LTFP!A29,-1)-700</f>
        <v>0</v>
      </c>
      <c r="B238" s="1059">
        <f>ROUND(LTFP!B140-LTFP!B29,-2)-Internals!S11+Internals!S10+Internals!S20</f>
        <v>0</v>
      </c>
      <c r="C238" s="1060">
        <f>LTFP!C140-LTFP!C29</f>
        <v>0</v>
      </c>
      <c r="D238" s="35" t="s">
        <v>4803</v>
      </c>
      <c r="E238" s="26"/>
      <c r="F238" s="1060">
        <f>LTFP!E140-LTFP!E29-100</f>
        <v>-100</v>
      </c>
      <c r="G238" s="1060">
        <f>LTFP!G140-LTFP!G29</f>
        <v>0</v>
      </c>
      <c r="H238" s="1060">
        <f>LTFP!H140-LTFP!H29</f>
        <v>0</v>
      </c>
      <c r="I238" s="1060">
        <f>LTFP!I140-LTFP!I29</f>
        <v>0</v>
      </c>
      <c r="J238" s="1060">
        <f>LTFP!J140-LTFP!J29</f>
        <v>0</v>
      </c>
      <c r="K238" s="1060">
        <f>LTFP!K140-LTFP!K29</f>
        <v>0</v>
      </c>
      <c r="L238" s="1060">
        <f>LTFP!L140-LTFP!L29</f>
        <v>0</v>
      </c>
      <c r="M238" s="1060">
        <f>LTFP!M140-LTFP!M29</f>
        <v>0</v>
      </c>
      <c r="N238" s="1059">
        <f>LTFP!N140-LTFP!N29</f>
        <v>0</v>
      </c>
      <c r="O238" s="1059">
        <f>LTFP!O140-LTFP!O29</f>
        <v>0</v>
      </c>
      <c r="P238" s="2110">
        <f>LTFP!P140-LTFP!P29</f>
        <v>0</v>
      </c>
    </row>
    <row r="239" spans="1:16" s="25" customFormat="1" x14ac:dyDescent="0.2">
      <c r="A239" s="211">
        <f>ROUND(LTFP!A195-LTFP!A60,-1)-700</f>
        <v>0</v>
      </c>
      <c r="B239" s="1059">
        <f>ROUND(LTFP!B195-LTFP!B60,-2)-Internals!S11+Internals!S10+Internals!S20</f>
        <v>0</v>
      </c>
      <c r="C239" s="1060">
        <f>LTFP!C195-LTFP!C60</f>
        <v>0</v>
      </c>
      <c r="D239" s="35" t="s">
        <v>5905</v>
      </c>
      <c r="E239" s="26"/>
      <c r="F239" s="1060">
        <f>LTFP!E195-LTFP!E60</f>
        <v>0</v>
      </c>
      <c r="G239" s="1060">
        <f>LTFP!G195-LTFP!G60</f>
        <v>0</v>
      </c>
      <c r="H239" s="1060">
        <f>LTFP!H195-LTFP!H60</f>
        <v>0</v>
      </c>
      <c r="I239" s="1060">
        <f>LTFP!I195-LTFP!I60</f>
        <v>0</v>
      </c>
      <c r="J239" s="1060">
        <f>LTFP!J195-LTFP!J60</f>
        <v>0</v>
      </c>
      <c r="K239" s="1060">
        <f>LTFP!K195-LTFP!K60</f>
        <v>0</v>
      </c>
      <c r="L239" s="1060">
        <f>LTFP!L195-LTFP!L60</f>
        <v>0</v>
      </c>
      <c r="M239" s="1060">
        <f>LTFP!M195-LTFP!M60</f>
        <v>0</v>
      </c>
      <c r="N239" s="1059">
        <f>LTFP!N195-LTFP!N60</f>
        <v>0</v>
      </c>
      <c r="O239" s="1059">
        <f>LTFP!O195-LTFP!O60</f>
        <v>0</v>
      </c>
      <c r="P239" s="2110">
        <f>LTFP!P195-LTFP!P60</f>
        <v>0</v>
      </c>
    </row>
    <row r="240" spans="1:16" s="25" customFormat="1" x14ac:dyDescent="0.2">
      <c r="A240" s="211">
        <f>LTFP!A248-LTFP!A91</f>
        <v>0</v>
      </c>
      <c r="B240" s="1059">
        <f>LTFP!B248-LTFP!B91</f>
        <v>0</v>
      </c>
      <c r="C240" s="1060">
        <f>LTFP!C248-LTFP!C91</f>
        <v>0</v>
      </c>
      <c r="D240" s="35" t="s">
        <v>4801</v>
      </c>
      <c r="E240" s="26"/>
      <c r="F240" s="1060">
        <f>LTFP!E248-LTFP!E91-100</f>
        <v>-100</v>
      </c>
      <c r="G240" s="1060">
        <f>LTFP!G248-LTFP!G91</f>
        <v>0</v>
      </c>
      <c r="H240" s="1060">
        <f>LTFP!H248-LTFP!H91</f>
        <v>0</v>
      </c>
      <c r="I240" s="1060">
        <f>LTFP!I248-LTFP!I91</f>
        <v>0</v>
      </c>
      <c r="J240" s="1060">
        <f>LTFP!J248-LTFP!J91</f>
        <v>0</v>
      </c>
      <c r="K240" s="1060">
        <f>LTFP!K248-LTFP!K91</f>
        <v>0</v>
      </c>
      <c r="L240" s="1060">
        <f>LTFP!L248-LTFP!L91</f>
        <v>0</v>
      </c>
      <c r="M240" s="1060">
        <f>LTFP!M248-LTFP!M91</f>
        <v>0</v>
      </c>
      <c r="N240" s="1059">
        <f>LTFP!N248-LTFP!N91</f>
        <v>0</v>
      </c>
      <c r="O240" s="1059">
        <f>LTFP!O248-LTFP!O91</f>
        <v>0</v>
      </c>
      <c r="P240" s="2110">
        <f>LTFP!P248-LTFP!P91</f>
        <v>0</v>
      </c>
    </row>
    <row r="241" spans="1:16" s="25" customFormat="1" x14ac:dyDescent="0.2">
      <c r="A241" s="211">
        <f>LTFP!A297-LTFP!A122</f>
        <v>0</v>
      </c>
      <c r="B241" s="1059">
        <f>LTFP!B297-LTFP!B122</f>
        <v>0</v>
      </c>
      <c r="C241" s="1060">
        <f>LTFP!C297-LTFP!C122</f>
        <v>0</v>
      </c>
      <c r="D241" s="35" t="s">
        <v>4802</v>
      </c>
      <c r="E241" s="26"/>
      <c r="F241" s="1060">
        <f>LTFP!E297-LTFP!E122</f>
        <v>0</v>
      </c>
      <c r="G241" s="1060">
        <f>LTFP!G297-LTFP!G122</f>
        <v>0</v>
      </c>
      <c r="H241" s="1060">
        <f>LTFP!H297-LTFP!H122</f>
        <v>0</v>
      </c>
      <c r="I241" s="1060">
        <f>LTFP!I297-LTFP!I122</f>
        <v>0</v>
      </c>
      <c r="J241" s="1060">
        <f>LTFP!J297-LTFP!J122</f>
        <v>0</v>
      </c>
      <c r="K241" s="1060">
        <f>LTFP!K297-LTFP!K122</f>
        <v>0</v>
      </c>
      <c r="L241" s="1060">
        <f>LTFP!L297-LTFP!L122</f>
        <v>0</v>
      </c>
      <c r="M241" s="1060">
        <f>LTFP!M297-LTFP!M122</f>
        <v>0</v>
      </c>
      <c r="N241" s="1059">
        <f>LTFP!N297-LTFP!N122</f>
        <v>0</v>
      </c>
      <c r="O241" s="1059">
        <f>LTFP!O297-LTFP!O122</f>
        <v>0</v>
      </c>
      <c r="P241" s="2110">
        <f>LTFP!P297-LTFP!P122</f>
        <v>0</v>
      </c>
    </row>
    <row r="242" spans="1:16" s="25" customFormat="1" x14ac:dyDescent="0.2">
      <c r="A242" s="211"/>
      <c r="B242" s="1059"/>
      <c r="C242" s="1059"/>
      <c r="D242" s="35"/>
      <c r="E242" s="26"/>
      <c r="F242" s="1059"/>
      <c r="G242" s="1060"/>
      <c r="H242" s="1060"/>
      <c r="I242" s="1060"/>
      <c r="J242" s="1060"/>
      <c r="K242" s="1060"/>
      <c r="L242" s="1060"/>
      <c r="M242" s="1059"/>
      <c r="N242" s="1059"/>
      <c r="O242" s="1059"/>
      <c r="P242" s="2110"/>
    </row>
    <row r="243" spans="1:16" s="25" customFormat="1" x14ac:dyDescent="0.2">
      <c r="A243" s="211">
        <f>LTFP!A165+LTFP!A177-LTFP!A220-LTFP!A232-LTFP!A271-LTFP!A281-LTFP!A320-LTFP!A330</f>
        <v>0</v>
      </c>
      <c r="B243" s="1059">
        <f>LTFP!B165+LTFP!B177-LTFP!B220-LTFP!B232-LTFP!B271-LTFP!B281-LTFP!B320-LTFP!B330</f>
        <v>0</v>
      </c>
      <c r="C243" s="1059">
        <f>LTFP!C165+LTFP!C177-LTFP!C220-LTFP!C232-LTFP!C271-LTFP!C281-LTFP!C320-LTFP!C330</f>
        <v>0</v>
      </c>
      <c r="D243" s="58" t="s">
        <v>4556</v>
      </c>
      <c r="E243" s="26"/>
      <c r="F243" s="1059">
        <f>LTFP!E165+LTFP!E177-LTFP!E220-LTFP!E232-LTFP!E271-LTFP!E281-LTFP!E320-LTFP!E330</f>
        <v>0</v>
      </c>
      <c r="G243" s="1059">
        <f>LTFP!G165+LTFP!G177-LTFP!G220-LTFP!G232-LTFP!G271-LTFP!G281-LTFP!G320-LTFP!G330</f>
        <v>0</v>
      </c>
      <c r="H243" s="1059">
        <f>LTFP!H165+LTFP!H177-LTFP!H220-LTFP!H232-LTFP!H271-LTFP!H281-LTFP!H320-LTFP!H330</f>
        <v>0</v>
      </c>
      <c r="I243" s="1059">
        <f>LTFP!I165+LTFP!I177-LTFP!I220-LTFP!I232-LTFP!I271-LTFP!I281-LTFP!I320-LTFP!I330</f>
        <v>0</v>
      </c>
      <c r="J243" s="1059">
        <f>LTFP!J165+LTFP!J177-LTFP!J220-LTFP!J232-LTFP!J271-LTFP!J281-LTFP!J320-LTFP!J330</f>
        <v>0</v>
      </c>
      <c r="K243" s="1059">
        <f>LTFP!K165+LTFP!K177-LTFP!K220-LTFP!K232-LTFP!K271-LTFP!K281-LTFP!K320-LTFP!K330</f>
        <v>0</v>
      </c>
      <c r="L243" s="1059">
        <f>LTFP!L165+LTFP!L177-LTFP!L220-LTFP!L232-LTFP!L271-LTFP!L281-LTFP!L320-LTFP!L330</f>
        <v>0</v>
      </c>
      <c r="M243" s="1059">
        <f>LTFP!M165+LTFP!M177-LTFP!M220-LTFP!M232-LTFP!M271-LTFP!M281-LTFP!M320-LTFP!M330</f>
        <v>0</v>
      </c>
      <c r="N243" s="1059">
        <f>LTFP!N165+LTFP!N177-LTFP!N220-LTFP!N232-LTFP!N271-LTFP!N281-LTFP!N320-LTFP!N330</f>
        <v>0</v>
      </c>
      <c r="O243" s="1059">
        <f>LTFP!O165+LTFP!O177-LTFP!O220-LTFP!O232-LTFP!O271-LTFP!O281-LTFP!O320-LTFP!O330</f>
        <v>0</v>
      </c>
      <c r="P243" s="2110">
        <f>LTFP!P165+LTFP!P177-LTFP!P220-LTFP!P232-LTFP!P271-LTFP!P281-LTFP!P320-LTFP!P330</f>
        <v>0</v>
      </c>
    </row>
    <row r="244" spans="1:16" s="25" customFormat="1" x14ac:dyDescent="0.2">
      <c r="A244" s="211"/>
      <c r="B244" s="1059"/>
      <c r="C244" s="1059"/>
      <c r="D244" s="35"/>
      <c r="E244" s="26"/>
      <c r="F244" s="1059"/>
      <c r="G244" s="1060"/>
      <c r="H244" s="1060"/>
      <c r="I244" s="1060"/>
      <c r="J244" s="1060"/>
      <c r="K244" s="1060"/>
      <c r="L244" s="1060"/>
      <c r="M244" s="1059"/>
      <c r="N244" s="1059"/>
      <c r="O244" s="1059"/>
      <c r="P244" s="2110"/>
    </row>
    <row r="245" spans="1:16" s="25" customFormat="1" x14ac:dyDescent="0.2">
      <c r="A245" s="211"/>
      <c r="B245" s="1059"/>
      <c r="C245" s="1059"/>
      <c r="D245" s="58" t="s">
        <v>4399</v>
      </c>
      <c r="E245" s="26"/>
      <c r="F245" s="1059"/>
      <c r="G245" s="1060"/>
      <c r="H245" s="1060"/>
      <c r="I245" s="1060"/>
      <c r="J245" s="1060"/>
      <c r="K245" s="1060"/>
      <c r="L245" s="1060"/>
      <c r="M245" s="1059"/>
      <c r="N245" s="1059"/>
      <c r="O245" s="1059"/>
      <c r="P245" s="2110"/>
    </row>
    <row r="246" spans="1:16" s="25" customFormat="1" x14ac:dyDescent="0.2">
      <c r="A246" s="211">
        <f>'BS&amp;Ratios'!C39+'BS&amp;Ratios'!C80+'BS&amp;Ratios'!C121-'BS&amp;Ratios'!C162</f>
        <v>0</v>
      </c>
      <c r="B246" s="1059">
        <f>'BS&amp;Ratios'!D39+'BS&amp;Ratios'!D80+'BS&amp;Ratios'!D121-'BS&amp;Ratios'!D162</f>
        <v>0</v>
      </c>
      <c r="C246" s="1060">
        <f>'BS&amp;Ratios'!E39+'BS&amp;Ratios'!E80+'BS&amp;Ratios'!E121-'BS&amp;Ratios'!E162</f>
        <v>0</v>
      </c>
      <c r="D246" s="35" t="s">
        <v>4400</v>
      </c>
      <c r="E246" s="26"/>
      <c r="F246" s="1060">
        <f>'BS&amp;Ratios'!F39+'BS&amp;Ratios'!F80+'BS&amp;Ratios'!F121-'BS&amp;Ratios'!F162</f>
        <v>0</v>
      </c>
      <c r="G246" s="1060">
        <f>'BS&amp;Ratios'!G39+'BS&amp;Ratios'!G80+'BS&amp;Ratios'!G121-'BS&amp;Ratios'!G162</f>
        <v>0</v>
      </c>
      <c r="H246" s="1060">
        <f>'BS&amp;Ratios'!H39+'BS&amp;Ratios'!H80+'BS&amp;Ratios'!H121-'BS&amp;Ratios'!H162</f>
        <v>0</v>
      </c>
      <c r="I246" s="1060">
        <f>'BS&amp;Ratios'!I39+'BS&amp;Ratios'!I80+'BS&amp;Ratios'!I121-'BS&amp;Ratios'!I162</f>
        <v>0</v>
      </c>
      <c r="J246" s="1060">
        <f>'BS&amp;Ratios'!J39+'BS&amp;Ratios'!J80+'BS&amp;Ratios'!J121-'BS&amp;Ratios'!J162</f>
        <v>0</v>
      </c>
      <c r="K246" s="1060">
        <f>'BS&amp;Ratios'!K39+'BS&amp;Ratios'!K80+'BS&amp;Ratios'!K121-'BS&amp;Ratios'!K162</f>
        <v>0</v>
      </c>
      <c r="L246" s="1060">
        <f>'BS&amp;Ratios'!L39+'BS&amp;Ratios'!L80+'BS&amp;Ratios'!L121-'BS&amp;Ratios'!L162</f>
        <v>0</v>
      </c>
      <c r="M246" s="1060">
        <f>'BS&amp;Ratios'!M39+'BS&amp;Ratios'!M80+'BS&amp;Ratios'!M121-'BS&amp;Ratios'!M162</f>
        <v>0</v>
      </c>
      <c r="N246" s="1059">
        <f>'BS&amp;Ratios'!N39+'BS&amp;Ratios'!N80+'BS&amp;Ratios'!N121-'BS&amp;Ratios'!N162</f>
        <v>0</v>
      </c>
      <c r="O246" s="1059">
        <f>'BS&amp;Ratios'!O39+'BS&amp;Ratios'!O80+'BS&amp;Ratios'!O121-'BS&amp;Ratios'!O162</f>
        <v>0</v>
      </c>
      <c r="P246" s="2110">
        <f>'BS&amp;Ratios'!P39+'BS&amp;Ratios'!P80+'BS&amp;Ratios'!P121-'BS&amp;Ratios'!P162</f>
        <v>0</v>
      </c>
    </row>
    <row r="247" spans="1:16" s="25" customFormat="1" x14ac:dyDescent="0.2">
      <c r="A247" s="211">
        <f>'BS&amp;Ratios'!C291+'BS&amp;Ratios'!C295-'BS&amp;Ratios'!C308-'BS&amp;Ratios'!C313-'BS&amp;Ratios'!C323-'BS&amp;Ratios'!C327-'BS&amp;Ratios'!C337-'BS&amp;Ratios'!C341</f>
        <v>0</v>
      </c>
      <c r="B247" s="1059">
        <f>'BS&amp;Ratios'!D291+'BS&amp;Ratios'!D295-'BS&amp;Ratios'!D308-'BS&amp;Ratios'!D313-'BS&amp;Ratios'!D323-'BS&amp;Ratios'!D327-'BS&amp;Ratios'!D337-'BS&amp;Ratios'!D341+27</f>
        <v>67.19999999999709</v>
      </c>
      <c r="C247" s="1060">
        <f>'BS&amp;Ratios'!E291+'BS&amp;Ratios'!E295-'BS&amp;Ratios'!E308-'BS&amp;Ratios'!E313-'BS&amp;Ratios'!E323-'BS&amp;Ratios'!E327-'BS&amp;Ratios'!E337-'BS&amp;Ratios'!E341</f>
        <v>23.999999999992724</v>
      </c>
      <c r="D247" s="35" t="s">
        <v>4401</v>
      </c>
      <c r="E247" s="26"/>
      <c r="F247" s="1060">
        <f>'BS&amp;Ratios'!F291+'BS&amp;Ratios'!F295-'BS&amp;Ratios'!F308-'BS&amp;Ratios'!F313-'BS&amp;Ratios'!F323-'BS&amp;Ratios'!F327-'BS&amp;Ratios'!F337-'BS&amp;Ratios'!F341</f>
        <v>99.999999999989086</v>
      </c>
      <c r="G247" s="1060">
        <f>'BS&amp;Ratios'!G291+'BS&amp;Ratios'!G295-'BS&amp;Ratios'!G308-'BS&amp;Ratios'!G313-'BS&amp;Ratios'!G323-'BS&amp;Ratios'!G327-'BS&amp;Ratios'!G337-'BS&amp;Ratios'!G341</f>
        <v>100.00000000000728</v>
      </c>
      <c r="H247" s="1060">
        <f>'BS&amp;Ratios'!H291+'BS&amp;Ratios'!H295-'BS&amp;Ratios'!H308-'BS&amp;Ratios'!H313-'BS&amp;Ratios'!H323-'BS&amp;Ratios'!H327-'BS&amp;Ratios'!H337-'BS&amp;Ratios'!H341</f>
        <v>99.999999999978172</v>
      </c>
      <c r="I247" s="1060">
        <f>'BS&amp;Ratios'!I291+'BS&amp;Ratios'!I295-'BS&amp;Ratios'!I308-'BS&amp;Ratios'!I313-'BS&amp;Ratios'!I323-'BS&amp;Ratios'!I327-'BS&amp;Ratios'!I337-'BS&amp;Ratios'!I341</f>
        <v>99.999999999985448</v>
      </c>
      <c r="J247" s="1060">
        <f>'BS&amp;Ratios'!J291+'BS&amp;Ratios'!J295-'BS&amp;Ratios'!J308-'BS&amp;Ratios'!J313-'BS&amp;Ratios'!J323-'BS&amp;Ratios'!J327-'BS&amp;Ratios'!J337-'BS&amp;Ratios'!J341</f>
        <v>99.999999999996362</v>
      </c>
      <c r="K247" s="1060">
        <f>'BS&amp;Ratios'!K291+'BS&amp;Ratios'!K295-'BS&amp;Ratios'!K308-'BS&amp;Ratios'!K313-'BS&amp;Ratios'!K323-'BS&amp;Ratios'!K327-'BS&amp;Ratios'!K337-'BS&amp;Ratios'!K341</f>
        <v>99.999999999989086</v>
      </c>
      <c r="L247" s="1060">
        <f>'BS&amp;Ratios'!L291+'BS&amp;Ratios'!L295-'BS&amp;Ratios'!L308-'BS&amp;Ratios'!L313-'BS&amp;Ratios'!L323-'BS&amp;Ratios'!L327-'BS&amp;Ratios'!L337-'BS&amp;Ratios'!L341</f>
        <v>99.999999999996362</v>
      </c>
      <c r="M247" s="1060">
        <f>'BS&amp;Ratios'!M291+'BS&amp;Ratios'!M295-'BS&amp;Ratios'!M308-'BS&amp;Ratios'!M313-'BS&amp;Ratios'!M323-'BS&amp;Ratios'!M327-'BS&amp;Ratios'!M337-'BS&amp;Ratios'!M341</f>
        <v>99.999999999992724</v>
      </c>
      <c r="N247" s="1059">
        <f>'BS&amp;Ratios'!N291+'BS&amp;Ratios'!N295-'BS&amp;Ratios'!N308-'BS&amp;Ratios'!N313-'BS&amp;Ratios'!N323-'BS&amp;Ratios'!N327-'BS&amp;Ratios'!N337-'BS&amp;Ratios'!N341</f>
        <v>99.999999999989086</v>
      </c>
      <c r="O247" s="1059">
        <f>'BS&amp;Ratios'!O291+'BS&amp;Ratios'!O295-'BS&amp;Ratios'!O308-'BS&amp;Ratios'!O313-'BS&amp;Ratios'!O323-'BS&amp;Ratios'!O327-'BS&amp;Ratios'!O337-'BS&amp;Ratios'!O341</f>
        <v>99.999999999996362</v>
      </c>
      <c r="P247" s="2110">
        <f>'BS&amp;Ratios'!P291+'BS&amp;Ratios'!P295-'BS&amp;Ratios'!P308-'BS&amp;Ratios'!P313-'BS&amp;Ratios'!P323-'BS&amp;Ratios'!P327-'BS&amp;Ratios'!P337-'BS&amp;Ratios'!P341</f>
        <v>100.00000000000728</v>
      </c>
    </row>
    <row r="248" spans="1:16" s="25" customFormat="1" x14ac:dyDescent="0.2">
      <c r="A248" s="211">
        <f>'BS&amp;Ratios'!C355-'BS&amp;Ratios'!C368-'BS&amp;Ratios'!C381-'BS&amp;Ratios'!C394+'BS&amp;Ratios'!C356+'BS&amp;Ratios'!C357+'BS&amp;Ratios'!C358-'BS&amp;Ratios'!C369-'BS&amp;Ratios'!C370-'BS&amp;Ratios'!C371-'BS&amp;Ratios'!C382-'BS&amp;Ratios'!C383-'BS&amp;Ratios'!C384-'BS&amp;Ratios'!C395-'BS&amp;Ratios'!C396-'BS&amp;Ratios'!C397</f>
        <v>0</v>
      </c>
      <c r="B248" s="1059">
        <f>'BS&amp;Ratios'!D355-'BS&amp;Ratios'!D368-'BS&amp;Ratios'!D381-'BS&amp;Ratios'!D394+'BS&amp;Ratios'!D356+'BS&amp;Ratios'!D357+'BS&amp;Ratios'!D358-'BS&amp;Ratios'!D369-'BS&amp;Ratios'!D370-'BS&amp;Ratios'!D371-'BS&amp;Ratios'!D382-'BS&amp;Ratios'!D383-'BS&amp;Ratios'!D384-'BS&amp;Ratios'!D395-'BS&amp;Ratios'!D396-'BS&amp;Ratios'!D397</f>
        <v>-1.000000000003638</v>
      </c>
      <c r="C248" s="1060">
        <f>'BS&amp;Ratios'!E355-'BS&amp;Ratios'!E368-'BS&amp;Ratios'!E381-'BS&amp;Ratios'!E394+'BS&amp;Ratios'!E356+'BS&amp;Ratios'!E357+'BS&amp;Ratios'!E358-'BS&amp;Ratios'!E369-'BS&amp;Ratios'!E370-'BS&amp;Ratios'!E371-'BS&amp;Ratios'!E382-'BS&amp;Ratios'!E383-'BS&amp;Ratios'!E384-'BS&amp;Ratios'!E395-'BS&amp;Ratios'!E396-'BS&amp;Ratios'!E397</f>
        <v>0</v>
      </c>
      <c r="D248" s="35" t="s">
        <v>4402</v>
      </c>
      <c r="E248" s="26"/>
      <c r="F248" s="1060">
        <f>'BS&amp;Ratios'!F355-'BS&amp;Ratios'!F368-'BS&amp;Ratios'!F381-'BS&amp;Ratios'!F394+'BS&amp;Ratios'!F356+'BS&amp;Ratios'!F357+'BS&amp;Ratios'!F358-'BS&amp;Ratios'!F369-'BS&amp;Ratios'!F370-'BS&amp;Ratios'!F371-'BS&amp;Ratios'!F382-'BS&amp;Ratios'!F383-'BS&amp;Ratios'!F384-'BS&amp;Ratios'!F395-'BS&amp;Ratios'!F396-'BS&amp;Ratios'!F397</f>
        <v>0</v>
      </c>
      <c r="G248" s="1060">
        <f>'BS&amp;Ratios'!G355-'BS&amp;Ratios'!G368-'BS&amp;Ratios'!G381-'BS&amp;Ratios'!G394+'BS&amp;Ratios'!G356+'BS&amp;Ratios'!G357+'BS&amp;Ratios'!G358-'BS&amp;Ratios'!G369-'BS&amp;Ratios'!G370-'BS&amp;Ratios'!G371-'BS&amp;Ratios'!G382-'BS&amp;Ratios'!G383-'BS&amp;Ratios'!G384-'BS&amp;Ratios'!G395-'BS&amp;Ratios'!G396-'BS&amp;Ratios'!G397</f>
        <v>0</v>
      </c>
      <c r="H248" s="1060">
        <f>'BS&amp;Ratios'!H355-'BS&amp;Ratios'!H368-'BS&amp;Ratios'!H381-'BS&amp;Ratios'!H394+'BS&amp;Ratios'!H356+'BS&amp;Ratios'!H357+'BS&amp;Ratios'!H358-'BS&amp;Ratios'!H369-'BS&amp;Ratios'!H370-'BS&amp;Ratios'!H371-'BS&amp;Ratios'!H382-'BS&amp;Ratios'!H383-'BS&amp;Ratios'!H384-'BS&amp;Ratios'!H395-'BS&amp;Ratios'!H396-'BS&amp;Ratios'!H397</f>
        <v>0</v>
      </c>
      <c r="I248" s="1060">
        <f>'BS&amp;Ratios'!I355-'BS&amp;Ratios'!I368-'BS&amp;Ratios'!I381-'BS&amp;Ratios'!I394+'BS&amp;Ratios'!I356+'BS&amp;Ratios'!I357+'BS&amp;Ratios'!I358-'BS&amp;Ratios'!I369-'BS&amp;Ratios'!I370-'BS&amp;Ratios'!I371-'BS&amp;Ratios'!I382-'BS&amp;Ratios'!I383-'BS&amp;Ratios'!I384-'BS&amp;Ratios'!I395-'BS&amp;Ratios'!I396-'BS&amp;Ratios'!I397</f>
        <v>0</v>
      </c>
      <c r="J248" s="1060">
        <f>'BS&amp;Ratios'!J355-'BS&amp;Ratios'!J368-'BS&amp;Ratios'!J381-'BS&amp;Ratios'!J394+'BS&amp;Ratios'!J356+'BS&amp;Ratios'!J357+'BS&amp;Ratios'!J358-'BS&amp;Ratios'!J369-'BS&amp;Ratios'!J370-'BS&amp;Ratios'!J371-'BS&amp;Ratios'!J382-'BS&amp;Ratios'!J383-'BS&amp;Ratios'!J384-'BS&amp;Ratios'!J395-'BS&amp;Ratios'!J396-'BS&amp;Ratios'!J397</f>
        <v>0</v>
      </c>
      <c r="K248" s="1060">
        <f>'BS&amp;Ratios'!K355-'BS&amp;Ratios'!K368-'BS&amp;Ratios'!K381-'BS&amp;Ratios'!K394+'BS&amp;Ratios'!K356+'BS&amp;Ratios'!K357+'BS&amp;Ratios'!K358-'BS&amp;Ratios'!K369-'BS&amp;Ratios'!K370-'BS&amp;Ratios'!K371-'BS&amp;Ratios'!K382-'BS&amp;Ratios'!K383-'BS&amp;Ratios'!K384-'BS&amp;Ratios'!K395-'BS&amp;Ratios'!K396-'BS&amp;Ratios'!K397</f>
        <v>0</v>
      </c>
      <c r="L248" s="1060">
        <f>'BS&amp;Ratios'!L355-'BS&amp;Ratios'!L368-'BS&amp;Ratios'!L381-'BS&amp;Ratios'!L394+'BS&amp;Ratios'!L356+'BS&amp;Ratios'!L357+'BS&amp;Ratios'!L358-'BS&amp;Ratios'!L369-'BS&amp;Ratios'!L370-'BS&amp;Ratios'!L371-'BS&amp;Ratios'!L382-'BS&amp;Ratios'!L383-'BS&amp;Ratios'!L384-'BS&amp;Ratios'!L395-'BS&amp;Ratios'!L396-'BS&amp;Ratios'!L397</f>
        <v>0</v>
      </c>
      <c r="M248" s="1060">
        <f>'BS&amp;Ratios'!M355-'BS&amp;Ratios'!M368-'BS&amp;Ratios'!M381-'BS&amp;Ratios'!M394+'BS&amp;Ratios'!M356+'BS&amp;Ratios'!M357+'BS&amp;Ratios'!M358-'BS&amp;Ratios'!M369-'BS&amp;Ratios'!M370-'BS&amp;Ratios'!M371-'BS&amp;Ratios'!M382-'BS&amp;Ratios'!M383-'BS&amp;Ratios'!M384-'BS&amp;Ratios'!M395-'BS&amp;Ratios'!M396-'BS&amp;Ratios'!M397</f>
        <v>0</v>
      </c>
      <c r="N248" s="1059">
        <f>'BS&amp;Ratios'!N355-'BS&amp;Ratios'!N368-'BS&amp;Ratios'!N381-'BS&amp;Ratios'!N394+'BS&amp;Ratios'!N356+'BS&amp;Ratios'!N357+'BS&amp;Ratios'!N358-'BS&amp;Ratios'!N369-'BS&amp;Ratios'!N370-'BS&amp;Ratios'!N371-'BS&amp;Ratios'!N382-'BS&amp;Ratios'!N383-'BS&amp;Ratios'!N384-'BS&amp;Ratios'!N395-'BS&amp;Ratios'!N396-'BS&amp;Ratios'!N397</f>
        <v>0</v>
      </c>
      <c r="O248" s="1059">
        <f>'BS&amp;Ratios'!O355-'BS&amp;Ratios'!O368-'BS&amp;Ratios'!O381-'BS&amp;Ratios'!O394+'BS&amp;Ratios'!O356+'BS&amp;Ratios'!O357+'BS&amp;Ratios'!O358-'BS&amp;Ratios'!O369-'BS&amp;Ratios'!O370-'BS&amp;Ratios'!O371-'BS&amp;Ratios'!O382-'BS&amp;Ratios'!O383-'BS&amp;Ratios'!O384-'BS&amp;Ratios'!O395-'BS&amp;Ratios'!O396-'BS&amp;Ratios'!O397</f>
        <v>0</v>
      </c>
      <c r="P248" s="2110">
        <f>'BS&amp;Ratios'!P355-'BS&amp;Ratios'!P368-'BS&amp;Ratios'!P381-'BS&amp;Ratios'!P394+'BS&amp;Ratios'!P356+'BS&amp;Ratios'!P357+'BS&amp;Ratios'!P358-'BS&amp;Ratios'!P369-'BS&amp;Ratios'!P370-'BS&amp;Ratios'!P371-'BS&amp;Ratios'!P382-'BS&amp;Ratios'!P383-'BS&amp;Ratios'!P384-'BS&amp;Ratios'!P395-'BS&amp;Ratios'!P396-'BS&amp;Ratios'!P397</f>
        <v>2.9103830456733704E-11</v>
      </c>
    </row>
    <row r="249" spans="1:16" s="25" customFormat="1" x14ac:dyDescent="0.2">
      <c r="A249" s="211"/>
      <c r="B249" s="1059"/>
      <c r="C249" s="1060"/>
      <c r="D249" s="35" t="s">
        <v>4403</v>
      </c>
      <c r="E249" s="26"/>
      <c r="F249" s="1059"/>
      <c r="G249" s="1060"/>
      <c r="H249" s="1060"/>
      <c r="I249" s="1060"/>
      <c r="J249" s="1060"/>
      <c r="K249" s="1060"/>
      <c r="L249" s="1060"/>
      <c r="M249" s="1059"/>
      <c r="N249" s="1059"/>
      <c r="O249" s="1059"/>
      <c r="P249" s="2110"/>
    </row>
    <row r="250" spans="1:16" s="25" customFormat="1" x14ac:dyDescent="0.2">
      <c r="A250" s="211">
        <f>'BS&amp;Ratios'!C469+'BS&amp;Ratios'!C474-'BS&amp;Ratios'!C481-'BS&amp;Ratios'!C486-'BS&amp;Ratios'!C493-'BS&amp;Ratios'!C498-'BS&amp;Ratios'!C505-'BS&amp;Ratios'!C510+6</f>
        <v>-0.19999999998981366</v>
      </c>
      <c r="B250" s="1059">
        <f>'BS&amp;Ratios'!D469+'BS&amp;Ratios'!D474-'BS&amp;Ratios'!D481-'BS&amp;Ratios'!D486-'BS&amp;Ratios'!D493-'BS&amp;Ratios'!D498-'BS&amp;Ratios'!D505-'BS&amp;Ratios'!D510</f>
        <v>-1.000000000005457</v>
      </c>
      <c r="C250" s="1060">
        <f>'BS&amp;Ratios'!E469+'BS&amp;Ratios'!E474-'BS&amp;Ratios'!E481-'BS&amp;Ratios'!E486-'BS&amp;Ratios'!E493-'BS&amp;Ratios'!E498-'BS&amp;Ratios'!E505-'BS&amp;Ratios'!E510</f>
        <v>0</v>
      </c>
      <c r="D250" s="35" t="s">
        <v>4404</v>
      </c>
      <c r="E250" s="26"/>
      <c r="F250" s="1059">
        <f>'BS&amp;Ratios'!F469+'BS&amp;Ratios'!F474-'BS&amp;Ratios'!F481-'BS&amp;Ratios'!F486-'BS&amp;Ratios'!F493-'BS&amp;Ratios'!F498-'BS&amp;Ratios'!F505-'BS&amp;Ratios'!F510</f>
        <v>0</v>
      </c>
      <c r="G250" s="1060">
        <f>'BS&amp;Ratios'!G469+'BS&amp;Ratios'!G474-'BS&amp;Ratios'!G481-'BS&amp;Ratios'!G486-'BS&amp;Ratios'!G493-'BS&amp;Ratios'!G498-'BS&amp;Ratios'!G505-'BS&amp;Ratios'!G510</f>
        <v>0</v>
      </c>
      <c r="H250" s="1060">
        <f>'BS&amp;Ratios'!H469+'BS&amp;Ratios'!H474-'BS&amp;Ratios'!H481-'BS&amp;Ratios'!H486-'BS&amp;Ratios'!H493-'BS&amp;Ratios'!H498-'BS&amp;Ratios'!H505-'BS&amp;Ratios'!H510</f>
        <v>0</v>
      </c>
      <c r="I250" s="1060">
        <f>'BS&amp;Ratios'!I469+'BS&amp;Ratios'!I474-'BS&amp;Ratios'!I481-'BS&amp;Ratios'!I486-'BS&amp;Ratios'!I493-'BS&amp;Ratios'!I498-'BS&amp;Ratios'!I505-'BS&amp;Ratios'!I510</f>
        <v>-0.10000000000582077</v>
      </c>
      <c r="J250" s="1060">
        <f>'BS&amp;Ratios'!J469+'BS&amp;Ratios'!J474-'BS&amp;Ratios'!J481-'BS&amp;Ratios'!J486-'BS&amp;Ratios'!J493-'BS&amp;Ratios'!J498-'BS&amp;Ratios'!J505-'BS&amp;Ratios'!J510</f>
        <v>9.9999999991268851E-2</v>
      </c>
      <c r="K250" s="1060">
        <f>'BS&amp;Ratios'!K469+'BS&amp;Ratios'!K474-'BS&amp;Ratios'!K481-'BS&amp;Ratios'!K486-'BS&amp;Ratios'!K493-'BS&amp;Ratios'!K498-'BS&amp;Ratios'!K505-'BS&amp;Ratios'!K510</f>
        <v>0</v>
      </c>
      <c r="L250" s="1060">
        <f>'BS&amp;Ratios'!L469+'BS&amp;Ratios'!L474-'BS&amp;Ratios'!L481-'BS&amp;Ratios'!L486-'BS&amp;Ratios'!L493-'BS&amp;Ratios'!L498-'BS&amp;Ratios'!L505-'BS&amp;Ratios'!L510</f>
        <v>0</v>
      </c>
      <c r="M250" s="1059">
        <f>'BS&amp;Ratios'!M469+'BS&amp;Ratios'!M474-'BS&amp;Ratios'!M481-'BS&amp;Ratios'!M486-'BS&amp;Ratios'!M493-'BS&amp;Ratios'!M498-'BS&amp;Ratios'!M505-'BS&amp;Ratios'!M510</f>
        <v>-0.1000000000167347</v>
      </c>
      <c r="N250" s="1059">
        <f>'BS&amp;Ratios'!N469+'BS&amp;Ratios'!N474-'BS&amp;Ratios'!N481-'BS&amp;Ratios'!N486-'BS&amp;Ratios'!N493-'BS&amp;Ratios'!N498-'BS&amp;Ratios'!N505-'BS&amp;Ratios'!N510</f>
        <v>0</v>
      </c>
      <c r="O250" s="1059">
        <f>'BS&amp;Ratios'!O469+'BS&amp;Ratios'!O474-'BS&amp;Ratios'!O481-'BS&amp;Ratios'!O486-'BS&amp;Ratios'!O493-'BS&amp;Ratios'!O498-'BS&amp;Ratios'!O505-'BS&amp;Ratios'!O510</f>
        <v>0</v>
      </c>
      <c r="P250" s="2110">
        <f>'BS&amp;Ratios'!P469+'BS&amp;Ratios'!P474-'BS&amp;Ratios'!P481-'BS&amp;Ratios'!P486-'BS&amp;Ratios'!P493-'BS&amp;Ratios'!P498-'BS&amp;Ratios'!P505-'BS&amp;Ratios'!P510</f>
        <v>0</v>
      </c>
    </row>
    <row r="251" spans="1:16" s="25" customFormat="1" x14ac:dyDescent="0.2">
      <c r="A251" s="211">
        <f>'BS&amp;Ratios'!C519+'BS&amp;Ratios'!C529-'BS&amp;Ratios'!C535-'BS&amp;Ratios'!C545-'BS&amp;Ratios'!C551-'BS&amp;Ratios'!C559-'BS&amp;Ratios'!C565-'BS&amp;Ratios'!C574+171</f>
        <v>7.2759576141834259E-12</v>
      </c>
      <c r="B251" s="1059">
        <f>'BS&amp;Ratios'!D519+'BS&amp;Ratios'!D529-'BS&amp;Ratios'!D535-'BS&amp;Ratios'!D545-'BS&amp;Ratios'!D551-'BS&amp;Ratios'!D559-'BS&amp;Ratios'!D565-'BS&amp;Ratios'!D574</f>
        <v>-0.99999999999636202</v>
      </c>
      <c r="C251" s="1060">
        <f>'BS&amp;Ratios'!E519+'BS&amp;Ratios'!E529-'BS&amp;Ratios'!E535-'BS&amp;Ratios'!E545-'BS&amp;Ratios'!E551-'BS&amp;Ratios'!E559-'BS&amp;Ratios'!E565-'BS&amp;Ratios'!E574</f>
        <v>1.2732925824820995E-11</v>
      </c>
      <c r="D251" s="35" t="s">
        <v>4405</v>
      </c>
      <c r="E251" s="26"/>
      <c r="F251" s="1059">
        <f>'BS&amp;Ratios'!F519+'BS&amp;Ratios'!F529-'BS&amp;Ratios'!F535-'BS&amp;Ratios'!F545-'BS&amp;Ratios'!F551-'BS&amp;Ratios'!F559-'BS&amp;Ratios'!F565-'BS&amp;Ratios'!F574</f>
        <v>0</v>
      </c>
      <c r="G251" s="1060">
        <f>'BS&amp;Ratios'!G519+'BS&amp;Ratios'!G529-'BS&amp;Ratios'!G535-'BS&amp;Ratios'!G545-'BS&amp;Ratios'!G551-'BS&amp;Ratios'!G559-'BS&amp;Ratios'!G565-'BS&amp;Ratios'!G574</f>
        <v>0</v>
      </c>
      <c r="H251" s="1060">
        <f>'BS&amp;Ratios'!H519+'BS&amp;Ratios'!H529-'BS&amp;Ratios'!H535-'BS&amp;Ratios'!H545-'BS&amp;Ratios'!H551-'BS&amp;Ratios'!H559-'BS&amp;Ratios'!H565-'BS&amp;Ratios'!H574</f>
        <v>0</v>
      </c>
      <c r="I251" s="1060">
        <f>'BS&amp;Ratios'!I519+'BS&amp;Ratios'!I529-'BS&amp;Ratios'!I535-'BS&amp;Ratios'!I545-'BS&amp;Ratios'!I551-'BS&amp;Ratios'!I559-'BS&amp;Ratios'!I565-'BS&amp;Ratios'!I574</f>
        <v>0</v>
      </c>
      <c r="J251" s="1060">
        <f>'BS&amp;Ratios'!J519+'BS&amp;Ratios'!J529-'BS&amp;Ratios'!J535-'BS&amp;Ratios'!J545-'BS&amp;Ratios'!J551-'BS&amp;Ratios'!J559-'BS&amp;Ratios'!J565-'BS&amp;Ratios'!J574</f>
        <v>0</v>
      </c>
      <c r="K251" s="1060">
        <f>'BS&amp;Ratios'!K519+'BS&amp;Ratios'!K529-'BS&amp;Ratios'!K535-'BS&amp;Ratios'!K545-'BS&amp;Ratios'!K551-'BS&amp;Ratios'!K559-'BS&amp;Ratios'!K565-'BS&amp;Ratios'!K574</f>
        <v>0</v>
      </c>
      <c r="L251" s="1060">
        <f>'BS&amp;Ratios'!L519+'BS&amp;Ratios'!L529-'BS&amp;Ratios'!L535-'BS&amp;Ratios'!L545-'BS&amp;Ratios'!L551-'BS&amp;Ratios'!L559-'BS&amp;Ratios'!L565-'BS&amp;Ratios'!L574</f>
        <v>0</v>
      </c>
      <c r="M251" s="1059">
        <f>'BS&amp;Ratios'!M519+'BS&amp;Ratios'!M529-'BS&amp;Ratios'!M535-'BS&amp;Ratios'!M545-'BS&amp;Ratios'!M551-'BS&amp;Ratios'!M559-'BS&amp;Ratios'!M565-'BS&amp;Ratios'!M574</f>
        <v>0</v>
      </c>
      <c r="N251" s="1059">
        <f>'BS&amp;Ratios'!N519+'BS&amp;Ratios'!N529-'BS&amp;Ratios'!N535-'BS&amp;Ratios'!N545-'BS&amp;Ratios'!N551-'BS&amp;Ratios'!N559-'BS&amp;Ratios'!N565-'BS&amp;Ratios'!N574</f>
        <v>0</v>
      </c>
      <c r="O251" s="1059">
        <f>'BS&amp;Ratios'!O519+'BS&amp;Ratios'!O529-'BS&amp;Ratios'!O535-'BS&amp;Ratios'!O545-'BS&amp;Ratios'!O551-'BS&amp;Ratios'!O559-'BS&amp;Ratios'!O565-'BS&amp;Ratios'!O574</f>
        <v>0</v>
      </c>
      <c r="P251" s="2110">
        <f>'BS&amp;Ratios'!P519+'BS&amp;Ratios'!P529-'BS&amp;Ratios'!P535-'BS&amp;Ratios'!P545-'BS&amp;Ratios'!P551-'BS&amp;Ratios'!P559-'BS&amp;Ratios'!P565-'BS&amp;Ratios'!P574</f>
        <v>2.1827872842550278E-11</v>
      </c>
    </row>
    <row r="252" spans="1:16" s="25" customFormat="1" x14ac:dyDescent="0.2">
      <c r="A252" s="211">
        <f>'BS&amp;Ratios'!C583+'BS&amp;Ratios'!C586-'BS&amp;Ratios'!C595-'BS&amp;Ratios'!C598-'BS&amp;Ratios'!C607-'BS&amp;Ratios'!C610-'BS&amp;Ratios'!C619-'BS&amp;Ratios'!C622</f>
        <v>0</v>
      </c>
      <c r="B252" s="1059">
        <f>'BS&amp;Ratios'!D583+'BS&amp;Ratios'!D586-'BS&amp;Ratios'!D595-'BS&amp;Ratios'!D598-'BS&amp;Ratios'!D607-'BS&amp;Ratios'!D610-'BS&amp;Ratios'!D619-'BS&amp;Ratios'!D622</f>
        <v>0</v>
      </c>
      <c r="C252" s="1060">
        <f>'BS&amp;Ratios'!E583+'BS&amp;Ratios'!E586-'BS&amp;Ratios'!E595-'BS&amp;Ratios'!E598-'BS&amp;Ratios'!E607-'BS&amp;Ratios'!E610-'BS&amp;Ratios'!E619-'BS&amp;Ratios'!E622</f>
        <v>0</v>
      </c>
      <c r="D252" s="35" t="s">
        <v>4406</v>
      </c>
      <c r="E252" s="26"/>
      <c r="F252" s="1059">
        <f>'BS&amp;Ratios'!F583+'BS&amp;Ratios'!F586-'BS&amp;Ratios'!F595-'BS&amp;Ratios'!F598-'BS&amp;Ratios'!F607-'BS&amp;Ratios'!F610-'BS&amp;Ratios'!F619-'BS&amp;Ratios'!F622</f>
        <v>0</v>
      </c>
      <c r="G252" s="1060">
        <f>'BS&amp;Ratios'!G583+'BS&amp;Ratios'!G586-'BS&amp;Ratios'!G595-'BS&amp;Ratios'!G598-'BS&amp;Ratios'!G607-'BS&amp;Ratios'!G610-'BS&amp;Ratios'!G619-'BS&amp;Ratios'!G622</f>
        <v>0</v>
      </c>
      <c r="H252" s="1060">
        <f>'BS&amp;Ratios'!H583+'BS&amp;Ratios'!H586-'BS&amp;Ratios'!H595-'BS&amp;Ratios'!H598-'BS&amp;Ratios'!H607-'BS&amp;Ratios'!H610-'BS&amp;Ratios'!H619-'BS&amp;Ratios'!H622</f>
        <v>0</v>
      </c>
      <c r="I252" s="1060">
        <f>'BS&amp;Ratios'!I583+'BS&amp;Ratios'!I586-'BS&amp;Ratios'!I595-'BS&amp;Ratios'!I598-'BS&amp;Ratios'!I607-'BS&amp;Ratios'!I610-'BS&amp;Ratios'!I619-'BS&amp;Ratios'!I622</f>
        <v>0</v>
      </c>
      <c r="J252" s="1060">
        <f>'BS&amp;Ratios'!J583+'BS&amp;Ratios'!J586-'BS&amp;Ratios'!J595-'BS&amp;Ratios'!J598-'BS&amp;Ratios'!J607-'BS&amp;Ratios'!J610-'BS&amp;Ratios'!J619-'BS&amp;Ratios'!J622</f>
        <v>0</v>
      </c>
      <c r="K252" s="1060">
        <f>'BS&amp;Ratios'!K583+'BS&amp;Ratios'!K586-'BS&amp;Ratios'!K595-'BS&amp;Ratios'!K598-'BS&amp;Ratios'!K607-'BS&amp;Ratios'!K610-'BS&amp;Ratios'!K619-'BS&amp;Ratios'!K622</f>
        <v>0</v>
      </c>
      <c r="L252" s="1060">
        <f>'BS&amp;Ratios'!L583+'BS&amp;Ratios'!L586-'BS&amp;Ratios'!L595-'BS&amp;Ratios'!L598-'BS&amp;Ratios'!L607-'BS&amp;Ratios'!L610-'BS&amp;Ratios'!L619-'BS&amp;Ratios'!L622</f>
        <v>0</v>
      </c>
      <c r="M252" s="1059">
        <f>'BS&amp;Ratios'!M583+'BS&amp;Ratios'!M586-'BS&amp;Ratios'!M595-'BS&amp;Ratios'!M598-'BS&amp;Ratios'!M607-'BS&amp;Ratios'!M610-'BS&amp;Ratios'!M619-'BS&amp;Ratios'!M622</f>
        <v>0</v>
      </c>
      <c r="N252" s="1059">
        <f>'BS&amp;Ratios'!N583+'BS&amp;Ratios'!N586-'BS&amp;Ratios'!N595-'BS&amp;Ratios'!N598-'BS&amp;Ratios'!N607-'BS&amp;Ratios'!N610-'BS&amp;Ratios'!N619-'BS&amp;Ratios'!N622</f>
        <v>0</v>
      </c>
      <c r="O252" s="1059">
        <f>'BS&amp;Ratios'!O583+'BS&amp;Ratios'!O586-'BS&amp;Ratios'!O595-'BS&amp;Ratios'!O598-'BS&amp;Ratios'!O607-'BS&amp;Ratios'!O610-'BS&amp;Ratios'!O619-'BS&amp;Ratios'!O622</f>
        <v>0</v>
      </c>
      <c r="P252" s="2110">
        <f>'BS&amp;Ratios'!P583+'BS&amp;Ratios'!P586-'BS&amp;Ratios'!P595-'BS&amp;Ratios'!P598-'BS&amp;Ratios'!P607-'BS&amp;Ratios'!P610-'BS&amp;Ratios'!P619-'BS&amp;Ratios'!P622</f>
        <v>0</v>
      </c>
    </row>
    <row r="253" spans="1:16" s="25" customFormat="1" x14ac:dyDescent="0.2">
      <c r="A253" s="211">
        <f>ROUND('BS&amp;Ratios'!C630+'BS&amp;Ratios'!C631-'BS&amp;Ratios'!C636-'BS&amp;Ratios'!C637-'BS&amp;Ratios'!C642-'BS&amp;Ratios'!C643-'BS&amp;Ratios'!C648-'BS&amp;Ratios'!C649,-2)</f>
        <v>0</v>
      </c>
      <c r="B253" s="1059">
        <f>ROUND('BS&amp;Ratios'!D630+'BS&amp;Ratios'!D631-'BS&amp;Ratios'!D636-'BS&amp;Ratios'!D637-'BS&amp;Ratios'!D642-'BS&amp;Ratios'!D643-'BS&amp;Ratios'!D648-'BS&amp;Ratios'!D649,-2)</f>
        <v>0</v>
      </c>
      <c r="C253" s="1060">
        <f>ROUND('BS&amp;Ratios'!E630+'BS&amp;Ratios'!E631-'BS&amp;Ratios'!E636-'BS&amp;Ratios'!E637-'BS&amp;Ratios'!E642-'BS&amp;Ratios'!E643-'BS&amp;Ratios'!E648-'BS&amp;Ratios'!E649,-2)</f>
        <v>0</v>
      </c>
      <c r="D253" s="35" t="s">
        <v>4338</v>
      </c>
      <c r="E253" s="26"/>
      <c r="F253" s="1059">
        <f>ROUND('BS&amp;Ratios'!F630+'BS&amp;Ratios'!F631-'BS&amp;Ratios'!F636-'BS&amp;Ratios'!F637-'BS&amp;Ratios'!F642-'BS&amp;Ratios'!F643-'BS&amp;Ratios'!F648-'BS&amp;Ratios'!F649,-2)</f>
        <v>0</v>
      </c>
      <c r="G253" s="1060">
        <f>ROUND('BS&amp;Ratios'!G630+'BS&amp;Ratios'!G631-'BS&amp;Ratios'!G636-'BS&amp;Ratios'!G637-'BS&amp;Ratios'!G642-'BS&amp;Ratios'!G643-'BS&amp;Ratios'!G648-'BS&amp;Ratios'!G649,-2)</f>
        <v>0</v>
      </c>
      <c r="H253" s="1060">
        <f>ROUND('BS&amp;Ratios'!H630+'BS&amp;Ratios'!H631-'BS&amp;Ratios'!H636-'BS&amp;Ratios'!H637-'BS&amp;Ratios'!H642-'BS&amp;Ratios'!H643-'BS&amp;Ratios'!H648-'BS&amp;Ratios'!H649,-2)</f>
        <v>0</v>
      </c>
      <c r="I253" s="1060">
        <f>ROUND('BS&amp;Ratios'!I630+'BS&amp;Ratios'!I631-'BS&amp;Ratios'!I636-'BS&amp;Ratios'!I637-'BS&amp;Ratios'!I642-'BS&amp;Ratios'!I643-'BS&amp;Ratios'!I648-'BS&amp;Ratios'!I649,-2)</f>
        <v>-100</v>
      </c>
      <c r="J253" s="1060">
        <f>ROUND('BS&amp;Ratios'!J630+'BS&amp;Ratios'!J631-'BS&amp;Ratios'!J636-'BS&amp;Ratios'!J637-'BS&amp;Ratios'!J642-'BS&amp;Ratios'!J643-'BS&amp;Ratios'!J648-'BS&amp;Ratios'!J649,-2)</f>
        <v>-100</v>
      </c>
      <c r="K253" s="1060">
        <f>ROUND('BS&amp;Ratios'!K630+'BS&amp;Ratios'!K631-'BS&amp;Ratios'!K636-'BS&amp;Ratios'!K637-'BS&amp;Ratios'!K642-'BS&amp;Ratios'!K643-'BS&amp;Ratios'!K648-'BS&amp;Ratios'!K649,-2)</f>
        <v>-100</v>
      </c>
      <c r="L253" s="1060">
        <f>ROUND('BS&amp;Ratios'!L630+'BS&amp;Ratios'!L631-'BS&amp;Ratios'!L636-'BS&amp;Ratios'!L637-'BS&amp;Ratios'!L642-'BS&amp;Ratios'!L643-'BS&amp;Ratios'!L648-'BS&amp;Ratios'!L649,-2)</f>
        <v>-100</v>
      </c>
      <c r="M253" s="1059">
        <f>ROUND('BS&amp;Ratios'!M630+'BS&amp;Ratios'!M631-'BS&amp;Ratios'!M636-'BS&amp;Ratios'!M637-'BS&amp;Ratios'!M642-'BS&amp;Ratios'!M643-'BS&amp;Ratios'!M648-'BS&amp;Ratios'!M649,-2)</f>
        <v>-100</v>
      </c>
      <c r="N253" s="1059">
        <f>ROUND('BS&amp;Ratios'!N630+'BS&amp;Ratios'!N631-'BS&amp;Ratios'!N636-'BS&amp;Ratios'!N637-'BS&amp;Ratios'!N642-'BS&amp;Ratios'!N643-'BS&amp;Ratios'!N648-'BS&amp;Ratios'!N649,-2)</f>
        <v>-100</v>
      </c>
      <c r="O253" s="1059">
        <f>ROUND('BS&amp;Ratios'!O630+'BS&amp;Ratios'!O631-'BS&amp;Ratios'!O636-'BS&amp;Ratios'!O637-'BS&amp;Ratios'!O642-'BS&amp;Ratios'!O643-'BS&amp;Ratios'!O648-'BS&amp;Ratios'!O649,-2)</f>
        <v>-100</v>
      </c>
      <c r="P253" s="2110">
        <f>ROUND('BS&amp;Ratios'!P630+'BS&amp;Ratios'!P631-'BS&amp;Ratios'!P636-'BS&amp;Ratios'!P637-'BS&amp;Ratios'!P642-'BS&amp;Ratios'!P643-'BS&amp;Ratios'!P648-'BS&amp;Ratios'!P649,-2)</f>
        <v>-100</v>
      </c>
    </row>
    <row r="254" spans="1:16" s="25" customFormat="1" x14ac:dyDescent="0.2">
      <c r="A254" s="211">
        <f>'BS&amp;Ratios'!C680+'BS&amp;Ratios'!C681-'BS&amp;Ratios'!C686-'BS&amp;Ratios'!C687-'BS&amp;Ratios'!C692-'BS&amp;Ratios'!C693-'BS&amp;Ratios'!C698-'BS&amp;Ratios'!C699</f>
        <v>0.59999999999854481</v>
      </c>
      <c r="B254" s="1059">
        <f>'BS&amp;Ratios'!D680+'BS&amp;Ratios'!D681-'BS&amp;Ratios'!D686-'BS&amp;Ratios'!D687-'BS&amp;Ratios'!D692-'BS&amp;Ratios'!D693-'BS&amp;Ratios'!D698-'BS&amp;Ratios'!D699</f>
        <v>319.00000000000182</v>
      </c>
      <c r="C254" s="1060">
        <f>'BS&amp;Ratios'!E680+'BS&amp;Ratios'!E681-'BS&amp;Ratios'!E686-'BS&amp;Ratios'!E687-'BS&amp;Ratios'!E692-'BS&amp;Ratios'!E693-'BS&amp;Ratios'!E698-'BS&amp;Ratios'!E699</f>
        <v>96.999999999997726</v>
      </c>
      <c r="D254" s="35" t="s">
        <v>4407</v>
      </c>
      <c r="E254" s="26"/>
      <c r="F254" s="1059">
        <f>'BS&amp;Ratios'!F680+'BS&amp;Ratios'!F681-'BS&amp;Ratios'!F686-'BS&amp;Ratios'!F687-'BS&amp;Ratios'!F692-'BS&amp;Ratios'!F693-'BS&amp;Ratios'!F698-'BS&amp;Ratios'!F699</f>
        <v>97.000000000001819</v>
      </c>
      <c r="G254" s="1060">
        <f>'BS&amp;Ratios'!G680+'BS&amp;Ratios'!G681-'BS&amp;Ratios'!G686-'BS&amp;Ratios'!G687-'BS&amp;Ratios'!G692-'BS&amp;Ratios'!G693-'BS&amp;Ratios'!G698-'BS&amp;Ratios'!G699</f>
        <v>94</v>
      </c>
      <c r="H254" s="1060">
        <f>'BS&amp;Ratios'!H680+'BS&amp;Ratios'!H681-'BS&amp;Ratios'!H686-'BS&amp;Ratios'!H687-'BS&amp;Ratios'!H692-'BS&amp;Ratios'!H693-'BS&amp;Ratios'!H698-'BS&amp;Ratios'!H699</f>
        <v>94.000000000001819</v>
      </c>
      <c r="I254" s="1060">
        <f>'BS&amp;Ratios'!I680+'BS&amp;Ratios'!I681-'BS&amp;Ratios'!I686-'BS&amp;Ratios'!I687-'BS&amp;Ratios'!I692-'BS&amp;Ratios'!I693-'BS&amp;Ratios'!I698-'BS&amp;Ratios'!I699</f>
        <v>94.000000000003638</v>
      </c>
      <c r="J254" s="1060">
        <f>'BS&amp;Ratios'!J680+'BS&amp;Ratios'!J681-'BS&amp;Ratios'!J686-'BS&amp;Ratios'!J687-'BS&amp;Ratios'!J692-'BS&amp;Ratios'!J693-'BS&amp;Ratios'!J698-'BS&amp;Ratios'!J699</f>
        <v>93.999999999998181</v>
      </c>
      <c r="K254" s="1060">
        <f>'BS&amp;Ratios'!K680+'BS&amp;Ratios'!K681-'BS&amp;Ratios'!K686-'BS&amp;Ratios'!K687-'BS&amp;Ratios'!K692-'BS&amp;Ratios'!K693-'BS&amp;Ratios'!K698-'BS&amp;Ratios'!K699</f>
        <v>93.999999999998181</v>
      </c>
      <c r="L254" s="1060">
        <f>'BS&amp;Ratios'!L680+'BS&amp;Ratios'!L681-'BS&amp;Ratios'!L686-'BS&amp;Ratios'!L687-'BS&amp;Ratios'!L692-'BS&amp;Ratios'!L693-'BS&amp;Ratios'!L698-'BS&amp;Ratios'!L699</f>
        <v>94</v>
      </c>
      <c r="M254" s="1059">
        <f>'BS&amp;Ratios'!M680+'BS&amp;Ratios'!M681-'BS&amp;Ratios'!M686-'BS&amp;Ratios'!M687-'BS&amp;Ratios'!M692-'BS&amp;Ratios'!M693-'BS&amp;Ratios'!M698-'BS&amp;Ratios'!M699</f>
        <v>94.000000000002728</v>
      </c>
      <c r="N254" s="1059">
        <f>'BS&amp;Ratios'!N680+'BS&amp;Ratios'!N681-'BS&amp;Ratios'!N686-'BS&amp;Ratios'!N687-'BS&amp;Ratios'!N692-'BS&amp;Ratios'!N693-'BS&amp;Ratios'!N698-'BS&amp;Ratios'!N699</f>
        <v>93.999999999998181</v>
      </c>
      <c r="O254" s="1059">
        <f>'BS&amp;Ratios'!O680+'BS&amp;Ratios'!O681-'BS&amp;Ratios'!O686-'BS&amp;Ratios'!O687-'BS&amp;Ratios'!O692-'BS&amp;Ratios'!O693-'BS&amp;Ratios'!O698-'BS&amp;Ratios'!O699</f>
        <v>94.000000000002728</v>
      </c>
      <c r="P254" s="2110">
        <f>'BS&amp;Ratios'!P680+'BS&amp;Ratios'!P681-'BS&amp;Ratios'!P686-'BS&amp;Ratios'!P687-'BS&amp;Ratios'!P692-'BS&amp;Ratios'!P693-'BS&amp;Ratios'!P698-'BS&amp;Ratios'!P699</f>
        <v>93.999999999998181</v>
      </c>
    </row>
    <row r="255" spans="1:16" s="25" customFormat="1" x14ac:dyDescent="0.2">
      <c r="A255" s="211">
        <f>-SUM(A246:A254)</f>
        <v>-0.40000000001600711</v>
      </c>
      <c r="B255" s="1059"/>
      <c r="C255" s="1060"/>
      <c r="D255" s="58" t="s">
        <v>4798</v>
      </c>
      <c r="E255" s="26"/>
      <c r="F255" s="1059"/>
      <c r="G255" s="1060"/>
      <c r="H255" s="1060"/>
      <c r="I255" s="1060"/>
      <c r="J255" s="1060"/>
      <c r="K255" s="1060"/>
      <c r="L255" s="1060"/>
      <c r="M255" s="1059"/>
      <c r="N255" s="1059"/>
      <c r="O255" s="1059"/>
      <c r="P255" s="2110"/>
    </row>
    <row r="256" spans="1:16" s="25" customFormat="1" x14ac:dyDescent="0.2">
      <c r="A256" s="211"/>
      <c r="B256" s="1059"/>
      <c r="C256" s="1060"/>
      <c r="D256" s="58"/>
      <c r="E256" s="26"/>
      <c r="F256" s="1060"/>
      <c r="G256" s="1060"/>
      <c r="H256" s="1060"/>
      <c r="I256" s="1060"/>
      <c r="J256" s="1060"/>
      <c r="K256" s="1060"/>
      <c r="L256" s="1060"/>
      <c r="M256" s="1060"/>
      <c r="N256" s="1412"/>
      <c r="O256" s="1412"/>
      <c r="P256" s="2117"/>
    </row>
    <row r="257" spans="1:16" s="25" customFormat="1" x14ac:dyDescent="0.2">
      <c r="A257" s="211"/>
      <c r="B257" s="1059"/>
      <c r="C257" s="1060"/>
      <c r="D257" s="58" t="s">
        <v>5335</v>
      </c>
      <c r="E257" s="26"/>
      <c r="F257" s="1060"/>
      <c r="G257" s="1060"/>
      <c r="H257" s="1060"/>
      <c r="I257" s="1060"/>
      <c r="J257" s="1060"/>
      <c r="K257" s="1060"/>
      <c r="L257" s="1060"/>
      <c r="M257" s="1060"/>
      <c r="N257" s="1412"/>
      <c r="O257" s="1412"/>
      <c r="P257" s="2117"/>
    </row>
    <row r="258" spans="1:16" s="25" customFormat="1" x14ac:dyDescent="0.2">
      <c r="A258" s="211"/>
      <c r="B258" s="1412" t="str">
        <f>IF('BS&amp;Ratios'!D813&lt;2%,"Pass","Fail")</f>
        <v>Pass</v>
      </c>
      <c r="C258" s="1950" t="str">
        <f>IF('BS&amp;Ratios'!E813&lt;2%,"Pass","Fail")</f>
        <v>Pass</v>
      </c>
      <c r="D258" s="35" t="s">
        <v>5332</v>
      </c>
      <c r="E258" s="26"/>
      <c r="F258" s="1950" t="str">
        <f>IF('BS&amp;Ratios'!F813&lt;2%,"Pass","Fail")</f>
        <v>Pass</v>
      </c>
      <c r="G258" s="1950" t="str">
        <f>IF('BS&amp;Ratios'!G813&lt;2%,"Pass","Fail")</f>
        <v>Pass</v>
      </c>
      <c r="H258" s="1950" t="str">
        <f>IF('BS&amp;Ratios'!H813&lt;2%,"Pass","Fail")</f>
        <v>Pass</v>
      </c>
      <c r="I258" s="1950" t="str">
        <f>IF('BS&amp;Ratios'!I813&lt;2%,"Pass","Fail")</f>
        <v>Pass</v>
      </c>
      <c r="J258" s="1950" t="str">
        <f>IF('BS&amp;Ratios'!J813&lt;2%,"Pass","Fail")</f>
        <v>Pass</v>
      </c>
      <c r="K258" s="1950" t="str">
        <f>IF('BS&amp;Ratios'!K813&lt;2%,"Pass","Fail")</f>
        <v>Pass</v>
      </c>
      <c r="L258" s="1950" t="str">
        <f>IF('BS&amp;Ratios'!L813&lt;2%,"Pass","Fail")</f>
        <v>Pass</v>
      </c>
      <c r="M258" s="1950" t="str">
        <f>IF('BS&amp;Ratios'!M813&lt;2%,"Pass","Fail")</f>
        <v>Pass</v>
      </c>
      <c r="N258" s="1412" t="str">
        <f>IF('BS&amp;Ratios'!N813&lt;2%,"Pass","Fail")</f>
        <v>Pass</v>
      </c>
      <c r="O258" s="1412" t="str">
        <f>IF('BS&amp;Ratios'!O813&lt;2%,"Pass","Fail")</f>
        <v>Pass</v>
      </c>
      <c r="P258" s="2117" t="str">
        <f>IF('BS&amp;Ratios'!P813&lt;2%,"Pass","Fail")</f>
        <v>Pass</v>
      </c>
    </row>
    <row r="259" spans="1:16" s="25" customFormat="1" x14ac:dyDescent="0.2">
      <c r="A259" s="211"/>
      <c r="B259" s="1412" t="str">
        <f>IF('BS&amp;Ratios'!D814&lt;100%,"Fail","Pass")</f>
        <v>Fail</v>
      </c>
      <c r="C259" s="1950" t="str">
        <f>IF('BS&amp;Ratios'!E814&lt;100%,"Fail","Pass")</f>
        <v>Fail</v>
      </c>
      <c r="D259" s="35" t="s">
        <v>5336</v>
      </c>
      <c r="E259" s="26"/>
      <c r="F259" s="1950" t="str">
        <f>IF('BS&amp;Ratios'!F814&lt;100%,"Fail","Pass")</f>
        <v>Pass</v>
      </c>
      <c r="G259" s="1950" t="str">
        <f>IF('BS&amp;Ratios'!G814&lt;100%,"Fail","Pass")</f>
        <v>Pass</v>
      </c>
      <c r="H259" s="1950" t="str">
        <f>IF('BS&amp;Ratios'!H814&lt;100%,"Fail","Pass")</f>
        <v>Pass</v>
      </c>
      <c r="I259" s="1950" t="str">
        <f>IF('BS&amp;Ratios'!I814&lt;100%,"Fail","Pass")</f>
        <v>Pass</v>
      </c>
      <c r="J259" s="1950" t="str">
        <f>IF('BS&amp;Ratios'!J814&lt;100%,"Fail","Pass")</f>
        <v>Pass</v>
      </c>
      <c r="K259" s="1950" t="str">
        <f>IF('BS&amp;Ratios'!K814&lt;100%,"Fail","Pass")</f>
        <v>Pass</v>
      </c>
      <c r="L259" s="1950" t="str">
        <f>IF('BS&amp;Ratios'!L814&lt;100%,"Fail","Pass")</f>
        <v>Pass</v>
      </c>
      <c r="M259" s="1950" t="str">
        <f>IF('BS&amp;Ratios'!M814&lt;100%,"Fail","Pass")</f>
        <v>Pass</v>
      </c>
      <c r="N259" s="1412" t="str">
        <f>IF('BS&amp;Ratios'!N814&lt;100%,"Fail","Pass")</f>
        <v>Pass</v>
      </c>
      <c r="O259" s="1412" t="str">
        <f>IF('BS&amp;Ratios'!O814&lt;100%,"Fail","Pass")</f>
        <v>Pass</v>
      </c>
      <c r="P259" s="2117" t="str">
        <f>IF('BS&amp;Ratios'!P814&lt;100%,"Fail","Pass")</f>
        <v>Pass</v>
      </c>
    </row>
    <row r="260" spans="1:16" s="25" customFormat="1" x14ac:dyDescent="0.2">
      <c r="A260" s="211"/>
      <c r="B260" s="1412" t="str">
        <f>IF('BS&amp;Ratios'!D815&gt;20%,"Fail","Pass")</f>
        <v>Pass</v>
      </c>
      <c r="C260" s="1950" t="str">
        <f>IF('BS&amp;Ratios'!E815&gt;20%,"Fail","Pass")</f>
        <v>Pass</v>
      </c>
      <c r="D260" s="35" t="s">
        <v>5337</v>
      </c>
      <c r="E260" s="26"/>
      <c r="F260" s="1950" t="str">
        <f>IF('BS&amp;Ratios'!F815&gt;20%,"Fail","Pass")</f>
        <v>Pass</v>
      </c>
      <c r="G260" s="1950" t="str">
        <f>IF('BS&amp;Ratios'!G815&gt;20%,"Fail","Pass")</f>
        <v>Pass</v>
      </c>
      <c r="H260" s="1950" t="str">
        <f>IF('BS&amp;Ratios'!H815&gt;20%,"Fail","Pass")</f>
        <v>Pass</v>
      </c>
      <c r="I260" s="1950" t="str">
        <f>IF('BS&amp;Ratios'!I815&gt;20%,"Fail","Pass")</f>
        <v>Pass</v>
      </c>
      <c r="J260" s="1950" t="str">
        <f>IF('BS&amp;Ratios'!J815&gt;20%,"Fail","Pass")</f>
        <v>Pass</v>
      </c>
      <c r="K260" s="1950" t="str">
        <f>IF('BS&amp;Ratios'!K815&gt;20%,"Fail","Pass")</f>
        <v>Pass</v>
      </c>
      <c r="L260" s="1950" t="str">
        <f>IF('BS&amp;Ratios'!L815&gt;20%,"Fail","Pass")</f>
        <v>Pass</v>
      </c>
      <c r="M260" s="1950" t="str">
        <f>IF('BS&amp;Ratios'!M815&gt;20%,"Fail","Pass")</f>
        <v>Pass</v>
      </c>
      <c r="N260" s="1412" t="str">
        <f>IF('BS&amp;Ratios'!N815&gt;20%,"Fail","Pass")</f>
        <v>Pass</v>
      </c>
      <c r="O260" s="1412" t="str">
        <f>IF('BS&amp;Ratios'!O815&gt;20%,"Fail","Pass")</f>
        <v>Pass</v>
      </c>
      <c r="P260" s="2117" t="str">
        <f>IF('BS&amp;Ratios'!P815&gt;20%,"Fail","Pass")</f>
        <v>Pass</v>
      </c>
    </row>
    <row r="261" spans="1:16" s="25" customFormat="1" x14ac:dyDescent="0.2">
      <c r="A261" s="211"/>
      <c r="B261" s="1412" t="str">
        <f>IF('BS&amp;Ratios'!D816&lt;70%,"Fail","Pass")</f>
        <v>Fail</v>
      </c>
      <c r="C261" s="1950" t="str">
        <f>IF('BS&amp;Ratios'!E816&lt;70%,"Fail","Pass")</f>
        <v>Fail</v>
      </c>
      <c r="D261" s="35" t="s">
        <v>5338</v>
      </c>
      <c r="E261" s="26"/>
      <c r="F261" s="1950" t="str">
        <f>IF('BS&amp;Ratios'!F816&lt;70%,"Fail","Pass")</f>
        <v>Fail</v>
      </c>
      <c r="G261" s="1950" t="str">
        <f>IF('BS&amp;Ratios'!G816&lt;70%,"Fail","Pass")</f>
        <v>Fail</v>
      </c>
      <c r="H261" s="1950" t="str">
        <f>IF('BS&amp;Ratios'!H816&lt;70%,"Fail","Pass")</f>
        <v>Fail</v>
      </c>
      <c r="I261" s="1950" t="str">
        <f>IF('BS&amp;Ratios'!I816&lt;70%,"Fail","Pass")</f>
        <v>Pass</v>
      </c>
      <c r="J261" s="1950" t="str">
        <f>IF('BS&amp;Ratios'!J816&lt;70%,"Fail","Pass")</f>
        <v>Pass</v>
      </c>
      <c r="K261" s="1950" t="str">
        <f>IF('BS&amp;Ratios'!K816&lt;70%,"Fail","Pass")</f>
        <v>Pass</v>
      </c>
      <c r="L261" s="1950" t="str">
        <f>IF('BS&amp;Ratios'!L816&lt;70%,"Fail","Pass")</f>
        <v>Pass</v>
      </c>
      <c r="M261" s="1950" t="str">
        <f>IF('BS&amp;Ratios'!M816&lt;70%,"Fail","Pass")</f>
        <v>Pass</v>
      </c>
      <c r="N261" s="1412" t="str">
        <f>IF('BS&amp;Ratios'!N816&lt;70%,"Fail","Pass")</f>
        <v>Pass</v>
      </c>
      <c r="O261" s="1412" t="str">
        <f>IF('BS&amp;Ratios'!O816&lt;70%,"Fail","Pass")</f>
        <v>Pass</v>
      </c>
      <c r="P261" s="2117" t="str">
        <f>IF('BS&amp;Ratios'!P816&lt;70%,"Fail","Pass")</f>
        <v>Pass</v>
      </c>
    </row>
    <row r="262" spans="1:16" s="25" customFormat="1" x14ac:dyDescent="0.2">
      <c r="A262" s="211"/>
      <c r="B262" s="1412" t="s">
        <v>860</v>
      </c>
      <c r="C262" s="1950" t="str">
        <f>IF('BS&amp;Ratios'!E817&lt;'BS&amp;Ratios'!D817,"Pass","Fail")</f>
        <v>Pass</v>
      </c>
      <c r="D262" s="35" t="s">
        <v>4813</v>
      </c>
      <c r="E262" s="26"/>
      <c r="F262" s="1950" t="str">
        <f>IF('BS&amp;Ratios'!F817&lt;'BS&amp;Ratios'!E817,"Pass","Fail")</f>
        <v>Pass</v>
      </c>
      <c r="G262" s="1950" t="str">
        <f>IF('BS&amp;Ratios'!G817&lt;'BS&amp;Ratios'!F817,"Pass","Fail")</f>
        <v>Pass</v>
      </c>
      <c r="H262" s="1950" t="str">
        <f>IF('BS&amp;Ratios'!H817&lt;'BS&amp;Ratios'!G817,"Pass","Fail")</f>
        <v>Pass</v>
      </c>
      <c r="I262" s="1950" t="str">
        <f>IF('BS&amp;Ratios'!I817&lt;'BS&amp;Ratios'!H817,"Pass","Fail")</f>
        <v>Fail</v>
      </c>
      <c r="J262" s="1950" t="str">
        <f>IF('BS&amp;Ratios'!J817&lt;'BS&amp;Ratios'!I817,"Pass","Fail")</f>
        <v>Pass</v>
      </c>
      <c r="K262" s="1950" t="str">
        <f>IF('BS&amp;Ratios'!K817&lt;'BS&amp;Ratios'!J817,"Pass","Fail")</f>
        <v>Fail</v>
      </c>
      <c r="L262" s="1950" t="str">
        <f>IF('BS&amp;Ratios'!L817&lt;'BS&amp;Ratios'!K817,"Pass","Fail")</f>
        <v>Pass</v>
      </c>
      <c r="M262" s="1950" t="str">
        <f>IF('BS&amp;Ratios'!M817&lt;'BS&amp;Ratios'!L817,"Pass","Fail")</f>
        <v>Fail</v>
      </c>
      <c r="N262" s="1412" t="str">
        <f>IF('BS&amp;Ratios'!N817&lt;'BS&amp;Ratios'!M817,"Pass","Fail")</f>
        <v>Pass</v>
      </c>
      <c r="O262" s="1412" t="str">
        <f>IF('BS&amp;Ratios'!O817&lt;'BS&amp;Ratios'!N817,"Pass","Fail")</f>
        <v>Pass</v>
      </c>
      <c r="P262" s="2117" t="str">
        <f>IF('BS&amp;Ratios'!P817&lt;'BS&amp;Ratios'!O817,"Pass","Fail")</f>
        <v>Fail</v>
      </c>
    </row>
    <row r="263" spans="1:16" s="25" customFormat="1" x14ac:dyDescent="0.2">
      <c r="A263" s="211"/>
      <c r="B263" s="1412" t="str">
        <f>IF('BS&amp;Ratios'!D818&lt;100%,"Fail","Pass")</f>
        <v>Fail</v>
      </c>
      <c r="C263" s="1950" t="str">
        <f>IF('BS&amp;Ratios'!E818&lt;100%,"Fail","Pass")</f>
        <v>Fail</v>
      </c>
      <c r="D263" s="35" t="s">
        <v>5339</v>
      </c>
      <c r="E263" s="26"/>
      <c r="F263" s="1950" t="str">
        <f>IF('BS&amp;Ratios'!F818&lt;100%,"Fail","Pass")</f>
        <v>Pass</v>
      </c>
      <c r="G263" s="1950" t="str">
        <f>IF('BS&amp;Ratios'!G818&lt;100%,"Fail","Pass")</f>
        <v>Pass</v>
      </c>
      <c r="H263" s="1950" t="str">
        <f>IF('BS&amp;Ratios'!H818&lt;100%,"Fail","Pass")</f>
        <v>Pass</v>
      </c>
      <c r="I263" s="1950" t="str">
        <f>IF('BS&amp;Ratios'!I818&lt;100%,"Fail","Pass")</f>
        <v>Fail</v>
      </c>
      <c r="J263" s="1950" t="str">
        <f>IF('BS&amp;Ratios'!J818&lt;100%,"Fail","Pass")</f>
        <v>Pass</v>
      </c>
      <c r="K263" s="1950" t="str">
        <f>IF('BS&amp;Ratios'!K818&lt;100%,"Fail","Pass")</f>
        <v>Pass</v>
      </c>
      <c r="L263" s="1950" t="str">
        <f>IF('BS&amp;Ratios'!L818&lt;100%,"Fail","Pass")</f>
        <v>Pass</v>
      </c>
      <c r="M263" s="1950" t="str">
        <f>IF('BS&amp;Ratios'!M818&lt;100%,"Fail","Pass")</f>
        <v>Pass</v>
      </c>
      <c r="N263" s="1412" t="str">
        <f>IF('BS&amp;Ratios'!N818&lt;100%,"Fail","Pass")</f>
        <v>Fail</v>
      </c>
      <c r="O263" s="1412" t="str">
        <f>IF('BS&amp;Ratios'!O818&lt;100%,"Fail","Pass")</f>
        <v>Fail</v>
      </c>
      <c r="P263" s="2117" t="str">
        <f>IF('BS&amp;Ratios'!P818&lt;100%,"Fail","Pass")</f>
        <v>Pass</v>
      </c>
    </row>
    <row r="264" spans="1:16" s="25" customFormat="1" x14ac:dyDescent="0.2">
      <c r="A264" s="211"/>
      <c r="B264" s="1412" t="str">
        <f>IF('BS&amp;Ratios'!D819&lt;0%,"Fail","Pass")</f>
        <v>Fail</v>
      </c>
      <c r="C264" s="1950" t="str">
        <f>IF('BS&amp;Ratios'!E819&lt;0%,"Fail","Pass")</f>
        <v>Fail</v>
      </c>
      <c r="D264" s="35" t="s">
        <v>5340</v>
      </c>
      <c r="E264" s="26"/>
      <c r="F264" s="1950" t="str">
        <f>IF('BS&amp;Ratios'!F819&lt;0%,"Fail","Pass")</f>
        <v>Fail</v>
      </c>
      <c r="G264" s="1950" t="str">
        <f>IF('BS&amp;Ratios'!G819&lt;0%,"Fail","Pass")</f>
        <v>Fail</v>
      </c>
      <c r="H264" s="1950" t="str">
        <f>IF('BS&amp;Ratios'!H819&lt;0%,"Fail","Pass")</f>
        <v>Fail</v>
      </c>
      <c r="I264" s="1950" t="str">
        <f>IF('BS&amp;Ratios'!I819&lt;0%,"Fail","Pass")</f>
        <v>Pass</v>
      </c>
      <c r="J264" s="1950" t="str">
        <f>IF('BS&amp;Ratios'!J819&lt;0%,"Fail","Pass")</f>
        <v>Pass</v>
      </c>
      <c r="K264" s="1950" t="str">
        <f>IF('BS&amp;Ratios'!K819&lt;0%,"Fail","Pass")</f>
        <v>Pass</v>
      </c>
      <c r="L264" s="1950" t="str">
        <f>IF('BS&amp;Ratios'!L819&lt;0%,"Fail","Pass")</f>
        <v>Pass</v>
      </c>
      <c r="M264" s="1950" t="str">
        <f>IF('BS&amp;Ratios'!M819&lt;0%,"Fail","Pass")</f>
        <v>Pass</v>
      </c>
      <c r="N264" s="1412" t="str">
        <f>IF('BS&amp;Ratios'!N819&lt;0%,"Fail","Pass")</f>
        <v>Pass</v>
      </c>
      <c r="O264" s="1412" t="str">
        <f>IF('BS&amp;Ratios'!O819&lt;0%,"Fail","Pass")</f>
        <v>Pass</v>
      </c>
      <c r="P264" s="2117" t="str">
        <f>IF('BS&amp;Ratios'!P819&lt;0%,"Fail","Pass")</f>
        <v>Pass</v>
      </c>
    </row>
    <row r="265" spans="1:16" s="25" customFormat="1" x14ac:dyDescent="0.2">
      <c r="A265" s="211"/>
      <c r="B265" s="1412"/>
      <c r="C265" s="1950"/>
      <c r="D265" s="35"/>
      <c r="E265" s="26"/>
      <c r="F265" s="1950"/>
      <c r="G265" s="1950"/>
      <c r="H265" s="1950"/>
      <c r="I265" s="1950"/>
      <c r="J265" s="1950"/>
      <c r="K265" s="1950"/>
      <c r="L265" s="1950"/>
      <c r="M265" s="1950"/>
      <c r="N265" s="1412"/>
      <c r="O265" s="1412"/>
      <c r="P265" s="2117"/>
    </row>
    <row r="266" spans="1:16" s="44" customFormat="1" x14ac:dyDescent="0.2">
      <c r="A266" s="211"/>
      <c r="B266" s="1062"/>
      <c r="C266" s="1062"/>
      <c r="D266" s="58" t="s">
        <v>2119</v>
      </c>
      <c r="E266" s="65"/>
      <c r="F266" s="1062"/>
      <c r="G266" s="1061"/>
      <c r="H266" s="1061"/>
      <c r="I266" s="1061"/>
      <c r="J266" s="1061"/>
      <c r="K266" s="1061"/>
      <c r="L266" s="1061"/>
      <c r="M266" s="1062"/>
      <c r="N266" s="1062"/>
      <c r="O266" s="1062"/>
      <c r="P266" s="2111"/>
    </row>
    <row r="267" spans="1:16" s="23" customFormat="1" x14ac:dyDescent="0.2">
      <c r="A267" s="211">
        <f>'Cash-Gen'!A91</f>
        <v>0</v>
      </c>
      <c r="B267" s="1064">
        <f>'Cash-Gen'!B91</f>
        <v>0</v>
      </c>
      <c r="C267" s="1064">
        <f>'Cash-Gen'!C91</f>
        <v>0</v>
      </c>
      <c r="D267" s="35" t="s">
        <v>5341</v>
      </c>
      <c r="E267" s="20"/>
      <c r="F267" s="1064">
        <f>'Cash-Gen'!E91</f>
        <v>0</v>
      </c>
      <c r="G267" s="1065">
        <f>'Cash-Gen'!F91</f>
        <v>0</v>
      </c>
      <c r="H267" s="1065">
        <f>'Cash-Gen'!G91</f>
        <v>0</v>
      </c>
      <c r="I267" s="1065">
        <f>'Cash-Gen'!H91</f>
        <v>0</v>
      </c>
      <c r="J267" s="1065">
        <f>'Cash-Gen'!I91</f>
        <v>0</v>
      </c>
      <c r="K267" s="1065">
        <f>'Cash-Gen'!J91</f>
        <v>0</v>
      </c>
      <c r="L267" s="1065">
        <f>'Cash-Gen'!K91</f>
        <v>0</v>
      </c>
      <c r="M267" s="1064">
        <f>'Cash-Gen'!L91</f>
        <v>0</v>
      </c>
      <c r="N267" s="1064">
        <f>'Cash-Gen'!M91</f>
        <v>0</v>
      </c>
      <c r="O267" s="1064">
        <f>'Cash-Gen'!N91</f>
        <v>0</v>
      </c>
      <c r="P267" s="2113">
        <f>'Cash-Gen'!O91</f>
        <v>0</v>
      </c>
    </row>
    <row r="268" spans="1:16" s="23" customFormat="1" x14ac:dyDescent="0.2">
      <c r="A268" s="211"/>
      <c r="B268" s="1064"/>
      <c r="C268" s="1064"/>
      <c r="D268" s="35" t="s">
        <v>1882</v>
      </c>
      <c r="E268" s="20"/>
      <c r="F268" s="1064">
        <f>'Cash-Gen'!E87+'Cash-Gen'!E86-'Res-Gen'!G242</f>
        <v>0</v>
      </c>
      <c r="G268" s="1065"/>
      <c r="H268" s="1065"/>
      <c r="I268" s="1065"/>
      <c r="J268" s="1065"/>
      <c r="K268" s="1065"/>
      <c r="L268" s="1065"/>
      <c r="M268" s="1064"/>
      <c r="N268" s="1064"/>
      <c r="O268" s="1064"/>
      <c r="P268" s="2113"/>
    </row>
    <row r="269" spans="1:16" s="23" customFormat="1" x14ac:dyDescent="0.2">
      <c r="A269" s="211"/>
      <c r="B269" s="1064"/>
      <c r="C269" s="1064"/>
      <c r="D269" s="35" t="s">
        <v>3401</v>
      </c>
      <c r="E269" s="20"/>
      <c r="F269" s="150">
        <f>Summaries!C227</f>
        <v>0</v>
      </c>
      <c r="G269" s="2735"/>
      <c r="H269" s="1065"/>
      <c r="I269" s="1065"/>
      <c r="J269" s="1065"/>
      <c r="K269" s="1065"/>
      <c r="L269" s="1065"/>
      <c r="M269" s="1064"/>
      <c r="N269" s="1064"/>
      <c r="O269" s="1064"/>
      <c r="P269" s="2113"/>
    </row>
    <row r="270" spans="1:16" s="23" customFormat="1" x14ac:dyDescent="0.2">
      <c r="A270" s="211"/>
      <c r="B270" s="1064"/>
      <c r="C270" s="1064"/>
      <c r="D270" s="35"/>
      <c r="E270" s="20"/>
      <c r="F270" s="150"/>
      <c r="G270" s="2735"/>
      <c r="H270" s="1065"/>
      <c r="I270" s="1065"/>
      <c r="J270" s="1065"/>
      <c r="K270" s="1065"/>
      <c r="L270" s="1065"/>
      <c r="M270" s="1064"/>
      <c r="N270" s="1064"/>
      <c r="O270" s="1064"/>
      <c r="P270" s="2113"/>
    </row>
    <row r="271" spans="1:16" s="23" customFormat="1" x14ac:dyDescent="0.2">
      <c r="A271" s="211"/>
      <c r="B271" s="1064"/>
      <c r="C271" s="1064"/>
      <c r="D271" s="58" t="s">
        <v>7138</v>
      </c>
      <c r="E271" s="20"/>
      <c r="F271" s="150"/>
      <c r="G271" s="2735"/>
      <c r="H271" s="1065"/>
      <c r="I271" s="1065"/>
      <c r="J271" s="1065"/>
      <c r="K271" s="1065"/>
      <c r="L271" s="1065"/>
      <c r="M271" s="1064"/>
      <c r="N271" s="1064"/>
      <c r="O271" s="1064"/>
      <c r="P271" s="2113"/>
    </row>
    <row r="272" spans="1:16" s="23" customFormat="1" x14ac:dyDescent="0.2">
      <c r="A272" s="211"/>
      <c r="B272" s="1064"/>
      <c r="C272" s="1064"/>
      <c r="D272" s="35" t="s">
        <v>7139</v>
      </c>
      <c r="E272" s="20"/>
      <c r="F272" s="150"/>
      <c r="G272" s="1060">
        <f>ROUND(697160,-2)</f>
        <v>697200</v>
      </c>
      <c r="H272" s="1065">
        <f>ROUND(1446340,-2)</f>
        <v>1446300</v>
      </c>
      <c r="I272" s="1065">
        <f>ROUND(2257424,-2)</f>
        <v>2257400</v>
      </c>
      <c r="J272" s="1065"/>
      <c r="K272" s="1065"/>
      <c r="L272" s="1065"/>
      <c r="M272" s="1064"/>
      <c r="N272" s="1064"/>
      <c r="O272" s="1064"/>
      <c r="P272" s="2113"/>
    </row>
    <row r="273" spans="1:16" s="23" customFormat="1" x14ac:dyDescent="0.2">
      <c r="A273" s="211"/>
      <c r="B273" s="1064"/>
      <c r="C273" s="1064"/>
      <c r="D273" s="35" t="s">
        <v>7140</v>
      </c>
      <c r="E273" s="20"/>
      <c r="F273" s="150"/>
      <c r="G273" s="1060">
        <f>-Assumptions!H39</f>
        <v>-697200</v>
      </c>
      <c r="H273" s="1060">
        <f>-Assumptions!I39</f>
        <v>-1446400</v>
      </c>
      <c r="I273" s="1060">
        <f>-Assumptions!J39</f>
        <v>-2257400</v>
      </c>
      <c r="J273" s="1065"/>
      <c r="K273" s="1065"/>
      <c r="L273" s="1065"/>
      <c r="M273" s="1064"/>
      <c r="N273" s="1064"/>
      <c r="O273" s="1064"/>
      <c r="P273" s="2113"/>
    </row>
    <row r="274" spans="1:16" s="23" customFormat="1" x14ac:dyDescent="0.2">
      <c r="A274" s="211"/>
      <c r="B274" s="1064"/>
      <c r="C274" s="1064"/>
      <c r="D274" s="35"/>
      <c r="E274" s="20"/>
      <c r="F274" s="1064"/>
      <c r="G274" s="1065"/>
      <c r="H274" s="1065"/>
      <c r="I274" s="1065"/>
      <c r="J274" s="1065"/>
      <c r="K274" s="1065"/>
      <c r="L274" s="1065"/>
      <c r="M274" s="1064"/>
      <c r="N274" s="1064"/>
      <c r="O274" s="1064"/>
      <c r="P274" s="2113"/>
    </row>
    <row r="275" spans="1:16" ht="13.5" thickBot="1" x14ac:dyDescent="0.25">
      <c r="A275" s="2103"/>
      <c r="B275" s="1054"/>
      <c r="C275" s="1054"/>
      <c r="D275" s="35"/>
      <c r="E275" s="233"/>
      <c r="F275" s="1054"/>
      <c r="G275" s="1055"/>
      <c r="H275" s="1055"/>
      <c r="I275" s="1055"/>
      <c r="J275" s="1055"/>
      <c r="K275" s="1055"/>
      <c r="L275" s="1055"/>
      <c r="M275" s="1054"/>
      <c r="N275" s="1054"/>
      <c r="O275" s="1054"/>
      <c r="P275" s="2108"/>
    </row>
    <row r="276" spans="1:16" s="40" customFormat="1" ht="13.5" thickBot="1" x14ac:dyDescent="0.25">
      <c r="A276" s="2118">
        <f>ROUND(SUM(A4:A275),-3)</f>
        <v>0</v>
      </c>
      <c r="B276" s="2119">
        <f>ROUND(SUM(B4:B275),-3)</f>
        <v>0</v>
      </c>
      <c r="C276" s="2119">
        <f>ROUND(SUM(C4:C275),-3)</f>
        <v>0</v>
      </c>
      <c r="D276" s="2120" t="s">
        <v>2662</v>
      </c>
      <c r="E276" s="2121"/>
      <c r="F276" s="2119">
        <f t="shared" ref="F276:P276" si="84">ROUND(SUM(F4:F275),-3)</f>
        <v>0</v>
      </c>
      <c r="G276" s="2122">
        <f t="shared" si="84"/>
        <v>0</v>
      </c>
      <c r="H276" s="2122">
        <f t="shared" si="84"/>
        <v>0</v>
      </c>
      <c r="I276" s="2122">
        <f t="shared" si="84"/>
        <v>0</v>
      </c>
      <c r="J276" s="2122">
        <f t="shared" si="84"/>
        <v>0</v>
      </c>
      <c r="K276" s="2122">
        <f t="shared" si="84"/>
        <v>0</v>
      </c>
      <c r="L276" s="2122">
        <f t="shared" si="84"/>
        <v>0</v>
      </c>
      <c r="M276" s="2119">
        <f t="shared" si="84"/>
        <v>0</v>
      </c>
      <c r="N276" s="2119">
        <f t="shared" si="84"/>
        <v>0</v>
      </c>
      <c r="O276" s="2119">
        <f t="shared" si="84"/>
        <v>0</v>
      </c>
      <c r="P276" s="2123">
        <f t="shared" si="84"/>
        <v>0</v>
      </c>
    </row>
    <row r="277" spans="1:16" ht="14.25" thickTop="1" thickBot="1" x14ac:dyDescent="0.25"/>
    <row r="278" spans="1:16" ht="13.5" thickTop="1" x14ac:dyDescent="0.2">
      <c r="A278" s="2124" t="str">
        <f>Checks!A2</f>
        <v>2013/14</v>
      </c>
      <c r="B278" s="2125" t="str">
        <f>Checks!B2</f>
        <v>2014/15</v>
      </c>
      <c r="C278" s="2125" t="str">
        <f>Checks!C2</f>
        <v>2015/16</v>
      </c>
      <c r="D278" s="2126" t="s">
        <v>232</v>
      </c>
      <c r="E278" s="2127"/>
      <c r="F278" s="2125" t="str">
        <f>Checks!F2</f>
        <v>2016/17</v>
      </c>
      <c r="G278" s="2125" t="str">
        <f>Checks!G2</f>
        <v>2017/18</v>
      </c>
      <c r="H278" s="2125" t="str">
        <f>Checks!H2</f>
        <v>2018/19</v>
      </c>
      <c r="I278" s="2125" t="str">
        <f>Checks!I2</f>
        <v>2019/20</v>
      </c>
      <c r="J278" s="2125" t="str">
        <f>Checks!J2</f>
        <v>2020/21</v>
      </c>
      <c r="K278" s="2125" t="str">
        <f>Checks!K2</f>
        <v>2021/22</v>
      </c>
      <c r="L278" s="2125" t="str">
        <f>Checks!L2</f>
        <v>2022/23</v>
      </c>
      <c r="M278" s="2125" t="str">
        <f>Checks!M2</f>
        <v>2023/24</v>
      </c>
      <c r="N278" s="2125" t="str">
        <f>Checks!N2</f>
        <v>2024/25</v>
      </c>
      <c r="O278" s="2125" t="str">
        <f>Checks!O2</f>
        <v>2025/26</v>
      </c>
      <c r="P278" s="2644" t="str">
        <f>Checks!P2</f>
        <v>2026/27</v>
      </c>
    </row>
    <row r="279" spans="1:16" x14ac:dyDescent="0.2">
      <c r="A279" s="2128"/>
      <c r="B279" s="1014"/>
      <c r="C279" s="1014"/>
      <c r="D279" s="1320"/>
      <c r="E279" s="210"/>
      <c r="F279" s="1014"/>
      <c r="G279" s="1014"/>
      <c r="H279" s="1014"/>
      <c r="I279" s="1014"/>
      <c r="J279" s="1014"/>
      <c r="K279" s="1014"/>
      <c r="L279" s="1014"/>
      <c r="M279" s="1014"/>
      <c r="N279" s="1014"/>
      <c r="O279" s="1014"/>
      <c r="P279" s="2104"/>
    </row>
    <row r="280" spans="1:16" s="40" customFormat="1" x14ac:dyDescent="0.2">
      <c r="A280" s="1504">
        <f>'Cash-Gen'!A88</f>
        <v>0</v>
      </c>
      <c r="B280" s="1056">
        <f>'Cash-Gen'!B88</f>
        <v>0</v>
      </c>
      <c r="C280" s="1056">
        <f>'Cash-Gen'!C88</f>
        <v>0</v>
      </c>
      <c r="D280" s="1075" t="s">
        <v>3626</v>
      </c>
      <c r="E280" s="58"/>
      <c r="F280" s="1056">
        <f>'Cash-Gen'!E88</f>
        <v>67900</v>
      </c>
      <c r="G280" s="1056">
        <f>'Cash-Gen'!F88</f>
        <v>-145200</v>
      </c>
      <c r="H280" s="1056">
        <f>'Cash-Gen'!G88</f>
        <v>-365200</v>
      </c>
      <c r="I280" s="1056">
        <f>'Cash-Gen'!H88</f>
        <v>-426300</v>
      </c>
      <c r="J280" s="1056">
        <f>'Cash-Gen'!I88</f>
        <v>-490900</v>
      </c>
      <c r="K280" s="1056">
        <f>'Cash-Gen'!J88</f>
        <v>-364000</v>
      </c>
      <c r="L280" s="1056">
        <f>'Cash-Gen'!K88</f>
        <v>-293800</v>
      </c>
      <c r="M280" s="1056">
        <f>'Cash-Gen'!L88</f>
        <v>-102200</v>
      </c>
      <c r="N280" s="1056">
        <f>'Cash-Gen'!M88</f>
        <v>-69200</v>
      </c>
      <c r="O280" s="1056">
        <f>'Cash-Gen'!N88</f>
        <v>-72000</v>
      </c>
      <c r="P280" s="2109">
        <f>'Cash-Gen'!O88</f>
        <v>76700</v>
      </c>
    </row>
    <row r="281" spans="1:16" s="40" customFormat="1" ht="13.5" thickBot="1" x14ac:dyDescent="0.25">
      <c r="A281" s="2129"/>
      <c r="B281" s="2130"/>
      <c r="C281" s="2130"/>
      <c r="D281" s="2131"/>
      <c r="E281" s="2132"/>
      <c r="F281" s="2130"/>
      <c r="G281" s="2130"/>
      <c r="H281" s="2130"/>
      <c r="I281" s="2130"/>
      <c r="J281" s="2130"/>
      <c r="K281" s="2130"/>
      <c r="L281" s="2130"/>
      <c r="M281" s="2130"/>
      <c r="N281" s="2130"/>
      <c r="O281" s="2130"/>
      <c r="P281" s="2133"/>
    </row>
    <row r="282" spans="1:16" s="40" customFormat="1" ht="13.5" thickTop="1" x14ac:dyDescent="0.2">
      <c r="A282" s="58"/>
      <c r="B282" s="1307"/>
      <c r="C282" s="1307"/>
      <c r="D282" s="58"/>
      <c r="E282" s="58"/>
      <c r="F282" s="1307"/>
      <c r="G282" s="1307"/>
      <c r="H282" s="1307"/>
      <c r="I282" s="1307"/>
      <c r="J282" s="1307"/>
      <c r="K282" s="1307"/>
      <c r="L282" s="1307"/>
      <c r="M282" s="1307"/>
      <c r="N282" s="1307"/>
      <c r="O282" s="1307"/>
      <c r="P282" s="1307"/>
    </row>
    <row r="283" spans="1:16" s="40" customFormat="1" x14ac:dyDescent="0.2">
      <c r="A283" s="58"/>
      <c r="B283" s="1307"/>
      <c r="C283" s="1307"/>
      <c r="D283" s="58"/>
      <c r="E283" s="58"/>
      <c r="F283" s="1307"/>
      <c r="G283" s="1307"/>
      <c r="H283" s="1307"/>
      <c r="I283" s="1307"/>
      <c r="J283" s="1307"/>
      <c r="K283" s="1307"/>
      <c r="L283" s="1307"/>
      <c r="M283" s="1307"/>
      <c r="N283" s="1307"/>
      <c r="O283" s="1307"/>
      <c r="P283" s="1307"/>
    </row>
    <row r="284" spans="1:16" ht="13.5" thickBot="1" x14ac:dyDescent="0.25"/>
    <row r="285" spans="1:16" s="23" customFormat="1" ht="13.5" thickTop="1" x14ac:dyDescent="0.2">
      <c r="A285" s="2474" t="str">
        <f>A2</f>
        <v>2013/14</v>
      </c>
      <c r="B285" s="2473" t="str">
        <f>B2</f>
        <v>2014/15</v>
      </c>
      <c r="C285" s="2473" t="str">
        <f>C2</f>
        <v>2015/16</v>
      </c>
      <c r="D285" s="2470" t="s">
        <v>6953</v>
      </c>
      <c r="E285" s="2471"/>
      <c r="F285" s="2473" t="str">
        <f t="shared" ref="F285:P285" si="85">F2</f>
        <v>2016/17</v>
      </c>
      <c r="G285" s="2475" t="str">
        <f t="shared" si="85"/>
        <v>2017/18</v>
      </c>
      <c r="H285" s="2475" t="str">
        <f t="shared" si="85"/>
        <v>2018/19</v>
      </c>
      <c r="I285" s="2475" t="str">
        <f t="shared" si="85"/>
        <v>2019/20</v>
      </c>
      <c r="J285" s="2475" t="str">
        <f t="shared" si="85"/>
        <v>2020/21</v>
      </c>
      <c r="K285" s="2475" t="str">
        <f t="shared" si="85"/>
        <v>2021/22</v>
      </c>
      <c r="L285" s="2475" t="str">
        <f t="shared" si="85"/>
        <v>2022/23</v>
      </c>
      <c r="M285" s="2473" t="str">
        <f t="shared" si="85"/>
        <v>2023/24</v>
      </c>
      <c r="N285" s="2473" t="str">
        <f t="shared" si="85"/>
        <v>2024/25</v>
      </c>
      <c r="O285" s="2473" t="str">
        <f t="shared" si="85"/>
        <v>2025/26</v>
      </c>
      <c r="P285" s="2476" t="str">
        <f t="shared" si="85"/>
        <v>2026/27</v>
      </c>
    </row>
    <row r="286" spans="1:16" s="23" customFormat="1" x14ac:dyDescent="0.2">
      <c r="A286" s="2525">
        <v>841</v>
      </c>
      <c r="B286" s="19">
        <v>859</v>
      </c>
      <c r="C286" s="19">
        <v>905</v>
      </c>
      <c r="D286" s="35" t="s">
        <v>6954</v>
      </c>
      <c r="E286" s="20"/>
      <c r="F286" s="19">
        <v>943</v>
      </c>
      <c r="G286" s="648">
        <f>F286*(Assumptions!H5+Assumptions!H9)+F286</f>
        <v>989.20699999999999</v>
      </c>
      <c r="H286" s="648">
        <f>G286*(Assumptions!I5+Assumptions!I9)+G286</f>
        <v>1047.570213</v>
      </c>
      <c r="I286" s="648">
        <f>H286*(Assumptions!J5+Assumptions!J9)+H286</f>
        <v>1109.3768555669999</v>
      </c>
      <c r="J286" s="648">
        <f>I286*(Assumptions!K5+Assumptions!K9)+I286</f>
        <v>1137.1112769561748</v>
      </c>
      <c r="K286" s="648">
        <f>J286*(Assumptions!L5+Assumptions!L9)+J286</f>
        <v>1159.8535024952982</v>
      </c>
      <c r="L286" s="648">
        <f>K286*(Assumptions!M5+Assumptions!M9)+K286</f>
        <v>1183.0505725452042</v>
      </c>
      <c r="M286" s="19">
        <f>L286*(Assumptions!N5+Assumptions!N9)+L286</f>
        <v>1206.7115839961084</v>
      </c>
      <c r="N286" s="19">
        <f>M286*(Assumptions!O5+Assumptions!O9)+M286</f>
        <v>1230.8458156760305</v>
      </c>
      <c r="O286" s="19">
        <f>N286*(Assumptions!P5+Assumptions!P9)+N286</f>
        <v>1255.462731989551</v>
      </c>
      <c r="P286" s="2102">
        <f>O286*(Assumptions!Q5+Assumptions!Q9)+O286</f>
        <v>1280.5719866293421</v>
      </c>
    </row>
    <row r="287" spans="1:16" s="23" customFormat="1" x14ac:dyDescent="0.2">
      <c r="A287" s="2525">
        <v>25</v>
      </c>
      <c r="B287" s="19">
        <v>25</v>
      </c>
      <c r="C287" s="19">
        <v>25</v>
      </c>
      <c r="D287" s="35" t="s">
        <v>410</v>
      </c>
      <c r="E287" s="20"/>
      <c r="F287" s="19">
        <v>25</v>
      </c>
      <c r="G287" s="648">
        <v>25</v>
      </c>
      <c r="H287" s="648">
        <v>25</v>
      </c>
      <c r="I287" s="648">
        <v>25</v>
      </c>
      <c r="J287" s="648">
        <v>25</v>
      </c>
      <c r="K287" s="648">
        <v>25</v>
      </c>
      <c r="L287" s="648">
        <v>25</v>
      </c>
      <c r="M287" s="19">
        <v>25</v>
      </c>
      <c r="N287" s="19">
        <v>25</v>
      </c>
      <c r="O287" s="19">
        <v>25</v>
      </c>
      <c r="P287" s="2102">
        <v>25</v>
      </c>
    </row>
    <row r="288" spans="1:16" s="23" customFormat="1" x14ac:dyDescent="0.2">
      <c r="A288" s="2525">
        <f>Assumptions!D55</f>
        <v>734</v>
      </c>
      <c r="B288" s="19">
        <f>Assumptions!E55</f>
        <v>807</v>
      </c>
      <c r="C288" s="19">
        <f>Assumptions!F55</f>
        <v>863</v>
      </c>
      <c r="D288" s="35" t="s">
        <v>3354</v>
      </c>
      <c r="E288" s="20"/>
      <c r="F288" s="19">
        <f>Assumptions!G55</f>
        <v>925</v>
      </c>
      <c r="G288" s="648">
        <f>Assumptions!H55</f>
        <v>953</v>
      </c>
      <c r="H288" s="648">
        <f>Assumptions!I55</f>
        <v>977</v>
      </c>
      <c r="I288" s="648">
        <f>Assumptions!J55</f>
        <v>1001</v>
      </c>
      <c r="J288" s="648">
        <f>Assumptions!K55</f>
        <v>1041</v>
      </c>
      <c r="K288" s="648">
        <f>Assumptions!L55</f>
        <v>1072</v>
      </c>
      <c r="L288" s="648">
        <f>Assumptions!M55</f>
        <v>1104</v>
      </c>
      <c r="M288" s="19">
        <f>Assumptions!N55</f>
        <v>1137</v>
      </c>
      <c r="N288" s="19">
        <f>Assumptions!O55</f>
        <v>1171</v>
      </c>
      <c r="O288" s="19">
        <f>Assumptions!P55</f>
        <v>1206</v>
      </c>
      <c r="P288" s="2102">
        <f>Assumptions!Q55</f>
        <v>1242</v>
      </c>
    </row>
    <row r="289" spans="1:16" s="23" customFormat="1" x14ac:dyDescent="0.2">
      <c r="A289" s="2525">
        <f>Assumptions!D66</f>
        <v>178</v>
      </c>
      <c r="B289" s="19">
        <f>Assumptions!E66</f>
        <v>188.68</v>
      </c>
      <c r="C289" s="19">
        <f>Assumptions!F66</f>
        <v>195</v>
      </c>
      <c r="D289" s="35" t="s">
        <v>6955</v>
      </c>
      <c r="E289" s="20"/>
      <c r="F289" s="19">
        <f>Assumptions!G66</f>
        <v>200.46</v>
      </c>
      <c r="G289" s="648">
        <f>Assumptions!H66</f>
        <v>204.4692</v>
      </c>
      <c r="H289" s="648">
        <f>Assumptions!I66</f>
        <v>209.58093</v>
      </c>
      <c r="I289" s="648">
        <f>Assumptions!J66</f>
        <v>214.82045324999999</v>
      </c>
      <c r="J289" s="648">
        <f>Assumptions!K66</f>
        <v>223.41327138</v>
      </c>
      <c r="K289" s="648">
        <f>Assumptions!L66</f>
        <v>232.3498022352</v>
      </c>
      <c r="L289" s="648">
        <f>Assumptions!M66</f>
        <v>241.643794324608</v>
      </c>
      <c r="M289" s="19">
        <f>Assumptions!N66</f>
        <v>251.30954609759232</v>
      </c>
      <c r="N289" s="19">
        <f>Assumptions!O66</f>
        <v>261.36192794149599</v>
      </c>
      <c r="O289" s="19">
        <f>Assumptions!P66</f>
        <v>271.81640505915584</v>
      </c>
      <c r="P289" s="2102">
        <f>Assumptions!Q66</f>
        <v>282.68906126152206</v>
      </c>
    </row>
    <row r="290" spans="1:16" s="23" customFormat="1" x14ac:dyDescent="0.2">
      <c r="A290" s="2525">
        <f>150*Assumptions!D67</f>
        <v>286.5</v>
      </c>
      <c r="B290" s="19">
        <f>150*Assumptions!E67</f>
        <v>303.69</v>
      </c>
      <c r="C290" s="19">
        <f>150*Assumptions!F67</f>
        <v>312</v>
      </c>
      <c r="D290" s="35" t="s">
        <v>7028</v>
      </c>
      <c r="E290" s="20"/>
      <c r="F290" s="19">
        <f>172*Assumptions!G67</f>
        <v>367.77728000000002</v>
      </c>
      <c r="G290" s="648">
        <f>172*Assumptions!H67</f>
        <v>375.13282560000005</v>
      </c>
      <c r="H290" s="648">
        <f>172*Assumptions!I67</f>
        <v>384.51114624000007</v>
      </c>
      <c r="I290" s="648">
        <f>172*Assumptions!J67</f>
        <v>394.12392489600006</v>
      </c>
      <c r="J290" s="648">
        <f>172*Assumptions!K67</f>
        <v>409.88888189184007</v>
      </c>
      <c r="K290" s="648">
        <f>172*Assumptions!L67</f>
        <v>426.28443716751372</v>
      </c>
      <c r="L290" s="648">
        <f>172*Assumptions!M67</f>
        <v>443.33581465421423</v>
      </c>
      <c r="M290" s="19">
        <f>172*Assumptions!N67</f>
        <v>461.06924724038282</v>
      </c>
      <c r="N290" s="19">
        <f>172*Assumptions!O67</f>
        <v>479.51201712999813</v>
      </c>
      <c r="O290" s="19">
        <f>172*Assumptions!P67</f>
        <v>498.69249781519807</v>
      </c>
      <c r="P290" s="2102">
        <f>172*Assumptions!Q67</f>
        <v>518.64019772780603</v>
      </c>
    </row>
    <row r="291" spans="1:16" s="23" customFormat="1" x14ac:dyDescent="0.2">
      <c r="A291" s="2525">
        <f>Assumptions!D25+Assumptions!D24</f>
        <v>408</v>
      </c>
      <c r="B291" s="19">
        <f>Assumptions!E25+Assumptions!E24</f>
        <v>422</v>
      </c>
      <c r="C291" s="19">
        <f>Assumptions!F25+Assumptions!F24</f>
        <v>431.68</v>
      </c>
      <c r="D291" s="35" t="s">
        <v>3600</v>
      </c>
      <c r="E291" s="20"/>
      <c r="F291" s="19">
        <f>Assumptions!G25+Assumptions!G24</f>
        <v>440.11360000000002</v>
      </c>
      <c r="G291" s="648">
        <f>Assumptions!H25+Assumptions!H24</f>
        <v>374</v>
      </c>
      <c r="H291" s="648">
        <f>Assumptions!I25+Assumptions!I24</f>
        <v>383</v>
      </c>
      <c r="I291" s="648">
        <f>Assumptions!J25+Assumptions!J24</f>
        <v>393</v>
      </c>
      <c r="J291" s="648">
        <f>Assumptions!K25+Assumptions!K24</f>
        <v>403</v>
      </c>
      <c r="K291" s="648">
        <f>Assumptions!L25+Assumptions!L24</f>
        <v>413</v>
      </c>
      <c r="L291" s="648">
        <f>Assumptions!M25+Assumptions!M24</f>
        <v>423</v>
      </c>
      <c r="M291" s="19">
        <f>Assumptions!N25+Assumptions!N24</f>
        <v>434</v>
      </c>
      <c r="N291" s="19">
        <f>Assumptions!O25+Assumptions!O24</f>
        <v>445</v>
      </c>
      <c r="O291" s="19">
        <f>Assumptions!P25+Assumptions!P24</f>
        <v>456</v>
      </c>
      <c r="P291" s="2102">
        <f>Assumptions!Q25+Assumptions!Q24</f>
        <v>467</v>
      </c>
    </row>
    <row r="292" spans="1:16" s="40" customFormat="1" x14ac:dyDescent="0.2">
      <c r="A292" s="2526">
        <f t="shared" ref="A292:C292" si="86">SUM(A286:A291)</f>
        <v>2472.5</v>
      </c>
      <c r="B292" s="1326">
        <f t="shared" si="86"/>
        <v>2605.37</v>
      </c>
      <c r="C292" s="1326">
        <f t="shared" si="86"/>
        <v>2731.68</v>
      </c>
      <c r="D292" s="58" t="s">
        <v>1530</v>
      </c>
      <c r="E292" s="83"/>
      <c r="F292" s="1326">
        <f>SUM(F286:F291)</f>
        <v>2901.3508800000004</v>
      </c>
      <c r="G292" s="2523">
        <f t="shared" ref="G292:O292" si="87">SUM(G286:G291)</f>
        <v>2920.8090256</v>
      </c>
      <c r="H292" s="2523">
        <f t="shared" si="87"/>
        <v>3026.6622892400001</v>
      </c>
      <c r="I292" s="2523">
        <f t="shared" si="87"/>
        <v>3137.3212337129999</v>
      </c>
      <c r="J292" s="2523">
        <f t="shared" si="87"/>
        <v>3239.4134302280149</v>
      </c>
      <c r="K292" s="2523">
        <f t="shared" si="87"/>
        <v>3328.4877418980118</v>
      </c>
      <c r="L292" s="2523">
        <f t="shared" si="87"/>
        <v>3420.0301815240259</v>
      </c>
      <c r="M292" s="1326">
        <f t="shared" si="87"/>
        <v>3515.0903773340838</v>
      </c>
      <c r="N292" s="1326">
        <f t="shared" si="87"/>
        <v>3612.719760747525</v>
      </c>
      <c r="O292" s="1326">
        <f t="shared" si="87"/>
        <v>3712.9716348639049</v>
      </c>
      <c r="P292" s="2524">
        <f t="shared" ref="P292" si="88">SUM(P286:P291)</f>
        <v>3815.9012456186701</v>
      </c>
    </row>
    <row r="293" spans="1:16" s="40" customFormat="1" ht="13.5" thickBot="1" x14ac:dyDescent="0.25">
      <c r="A293" s="2477"/>
      <c r="B293" s="2478">
        <f t="shared" ref="B293" si="89">(B292-A292)/A292</f>
        <v>5.3739130434782567E-2</v>
      </c>
      <c r="C293" s="2478">
        <f t="shared" ref="C293" si="90">(C292-B292)/B292</f>
        <v>4.8480638066762088E-2</v>
      </c>
      <c r="D293" s="2132" t="s">
        <v>6956</v>
      </c>
      <c r="E293" s="2472"/>
      <c r="F293" s="2667">
        <f>(F292-C292)/C292</f>
        <v>6.2112282551397155E-2</v>
      </c>
      <c r="G293" s="2668">
        <f>(G292-F292)/F292</f>
        <v>6.7065813149768437E-3</v>
      </c>
      <c r="H293" s="2668">
        <f t="shared" ref="H293:P293" si="91">(H292-G292)/G292</f>
        <v>3.6241076603170032E-2</v>
      </c>
      <c r="I293" s="2668">
        <f t="shared" si="91"/>
        <v>3.6561378144631534E-2</v>
      </c>
      <c r="J293" s="2668">
        <f t="shared" si="91"/>
        <v>3.2541199612571903E-2</v>
      </c>
      <c r="K293" s="2668">
        <f t="shared" si="91"/>
        <v>2.7497049570399269E-2</v>
      </c>
      <c r="L293" s="2668">
        <f t="shared" si="91"/>
        <v>2.75027119594599E-2</v>
      </c>
      <c r="M293" s="2667">
        <f t="shared" si="91"/>
        <v>2.7795133599580499E-2</v>
      </c>
      <c r="N293" s="2667">
        <f t="shared" si="91"/>
        <v>2.777435938574227E-2</v>
      </c>
      <c r="O293" s="2667">
        <f t="shared" si="91"/>
        <v>2.7749695729412542E-2</v>
      </c>
      <c r="P293" s="2669">
        <f t="shared" si="91"/>
        <v>2.7721625931176285E-2</v>
      </c>
    </row>
    <row r="294" spans="1:16" ht="14.25" thickTop="1" thickBot="1" x14ac:dyDescent="0.25"/>
    <row r="295" spans="1:16" ht="13.5" thickTop="1" x14ac:dyDescent="0.2">
      <c r="A295" s="2474">
        <f>A13</f>
        <v>17751400</v>
      </c>
      <c r="B295" s="2473">
        <f>B13</f>
        <v>23666000</v>
      </c>
      <c r="C295" s="2473">
        <f>C13</f>
        <v>23422100</v>
      </c>
      <c r="D295" s="2470" t="s">
        <v>6956</v>
      </c>
      <c r="E295" s="2471"/>
      <c r="F295" s="2473" t="str">
        <f t="shared" ref="F295:O295" si="92">F285</f>
        <v>2016/17</v>
      </c>
      <c r="G295" s="2475" t="str">
        <f t="shared" si="92"/>
        <v>2017/18</v>
      </c>
      <c r="H295" s="2475" t="str">
        <f t="shared" si="92"/>
        <v>2018/19</v>
      </c>
      <c r="I295" s="2475" t="str">
        <f t="shared" si="92"/>
        <v>2019/20</v>
      </c>
      <c r="J295" s="2475" t="str">
        <f t="shared" si="92"/>
        <v>2020/21</v>
      </c>
      <c r="K295" s="2475" t="str">
        <f t="shared" si="92"/>
        <v>2021/22</v>
      </c>
      <c r="L295" s="2475" t="str">
        <f t="shared" si="92"/>
        <v>2022/23</v>
      </c>
      <c r="M295" s="2473" t="str">
        <f t="shared" si="92"/>
        <v>2023/24</v>
      </c>
      <c r="N295" s="2473" t="str">
        <f t="shared" si="92"/>
        <v>2024/25</v>
      </c>
      <c r="O295" s="2473" t="str">
        <f t="shared" si="92"/>
        <v>2025/26</v>
      </c>
      <c r="P295" s="2476" t="str">
        <f t="shared" ref="P295" si="93">P285</f>
        <v>2026/27</v>
      </c>
    </row>
    <row r="296" spans="1:16" x14ac:dyDescent="0.2">
      <c r="A296" s="2525"/>
      <c r="B296" s="2537">
        <f>(B286-A286)/A286</f>
        <v>2.1403091557669441E-2</v>
      </c>
      <c r="C296" s="2537">
        <f>(C286-B286)/B286</f>
        <v>5.3550640279394643E-2</v>
      </c>
      <c r="D296" s="35" t="s">
        <v>6954</v>
      </c>
      <c r="E296" s="20"/>
      <c r="F296" s="2538">
        <f t="shared" ref="F296:F301" si="94">(F286-C286)/C286</f>
        <v>4.1988950276243095E-2</v>
      </c>
      <c r="G296" s="2538">
        <f t="shared" ref="G296:P296" si="95">(G286-F286)/F286</f>
        <v>4.8999999999999995E-2</v>
      </c>
      <c r="H296" s="2538">
        <f t="shared" si="95"/>
        <v>5.8999999999999976E-2</v>
      </c>
      <c r="I296" s="2538">
        <f t="shared" si="95"/>
        <v>5.8999999999999934E-2</v>
      </c>
      <c r="J296" s="2538">
        <f t="shared" si="95"/>
        <v>2.4999999999999949E-2</v>
      </c>
      <c r="K296" s="2538">
        <f t="shared" si="95"/>
        <v>1.9999999999999924E-2</v>
      </c>
      <c r="L296" s="2538">
        <f t="shared" si="95"/>
        <v>1.9999999999999997E-2</v>
      </c>
      <c r="M296" s="2537">
        <f t="shared" si="95"/>
        <v>2.0000000000000098E-2</v>
      </c>
      <c r="N296" s="2537">
        <f t="shared" si="95"/>
        <v>1.9999999999999941E-2</v>
      </c>
      <c r="O296" s="2537">
        <f t="shared" si="95"/>
        <v>1.9999999999999914E-2</v>
      </c>
      <c r="P296" s="2539">
        <f t="shared" si="95"/>
        <v>2.0000000000000032E-2</v>
      </c>
    </row>
    <row r="297" spans="1:16" x14ac:dyDescent="0.2">
      <c r="A297" s="2525"/>
      <c r="B297" s="2537">
        <f t="shared" ref="B297" si="96">(B287-A287)/A287</f>
        <v>0</v>
      </c>
      <c r="C297" s="2537">
        <f>(C287-B287)/B287</f>
        <v>0</v>
      </c>
      <c r="D297" s="35" t="s">
        <v>410</v>
      </c>
      <c r="E297" s="20"/>
      <c r="F297" s="2538">
        <f t="shared" si="94"/>
        <v>0</v>
      </c>
      <c r="G297" s="2538">
        <f t="shared" ref="G297:P297" si="97">(G287-F287)/F287</f>
        <v>0</v>
      </c>
      <c r="H297" s="2538">
        <f t="shared" si="97"/>
        <v>0</v>
      </c>
      <c r="I297" s="2538">
        <f t="shared" si="97"/>
        <v>0</v>
      </c>
      <c r="J297" s="2538">
        <f t="shared" si="97"/>
        <v>0</v>
      </c>
      <c r="K297" s="2538">
        <f t="shared" si="97"/>
        <v>0</v>
      </c>
      <c r="L297" s="2538">
        <f t="shared" si="97"/>
        <v>0</v>
      </c>
      <c r="M297" s="2537">
        <f t="shared" si="97"/>
        <v>0</v>
      </c>
      <c r="N297" s="2537">
        <f t="shared" si="97"/>
        <v>0</v>
      </c>
      <c r="O297" s="2537">
        <f t="shared" si="97"/>
        <v>0</v>
      </c>
      <c r="P297" s="2539">
        <f t="shared" si="97"/>
        <v>0</v>
      </c>
    </row>
    <row r="298" spans="1:16" x14ac:dyDescent="0.2">
      <c r="A298" s="2525"/>
      <c r="B298" s="2537">
        <f t="shared" ref="B298" si="98">(B288-A288)/A288</f>
        <v>9.9455040871934602E-2</v>
      </c>
      <c r="C298" s="2537">
        <f>(C288-B288)/B288</f>
        <v>6.9392812887236685E-2</v>
      </c>
      <c r="D298" s="35" t="s">
        <v>3354</v>
      </c>
      <c r="E298" s="20"/>
      <c r="F298" s="2538">
        <f t="shared" si="94"/>
        <v>7.1842410196987255E-2</v>
      </c>
      <c r="G298" s="2538">
        <f t="shared" ref="G298:P298" si="99">(G288-F288)/F288</f>
        <v>3.027027027027027E-2</v>
      </c>
      <c r="H298" s="2538">
        <f t="shared" si="99"/>
        <v>2.5183630640083946E-2</v>
      </c>
      <c r="I298" s="2538">
        <f t="shared" si="99"/>
        <v>2.4564994882292732E-2</v>
      </c>
      <c r="J298" s="2538">
        <f t="shared" si="99"/>
        <v>3.996003996003996E-2</v>
      </c>
      <c r="K298" s="2538">
        <f t="shared" si="99"/>
        <v>2.9779058597502402E-2</v>
      </c>
      <c r="L298" s="2538">
        <f t="shared" si="99"/>
        <v>2.9850746268656716E-2</v>
      </c>
      <c r="M298" s="2537">
        <f t="shared" si="99"/>
        <v>2.9891304347826088E-2</v>
      </c>
      <c r="N298" s="2537">
        <f t="shared" si="99"/>
        <v>2.9903254177660508E-2</v>
      </c>
      <c r="O298" s="2537">
        <f t="shared" si="99"/>
        <v>2.9888983774551667E-2</v>
      </c>
      <c r="P298" s="2539">
        <f t="shared" si="99"/>
        <v>2.9850746268656716E-2</v>
      </c>
    </row>
    <row r="299" spans="1:16" x14ac:dyDescent="0.2">
      <c r="A299" s="2525"/>
      <c r="B299" s="2537">
        <f t="shared" ref="B299" si="100">(B289-A289)/A289</f>
        <v>6.0000000000000039E-2</v>
      </c>
      <c r="C299" s="2537">
        <f>(C289-B289)/B289</f>
        <v>3.3495866016535897E-2</v>
      </c>
      <c r="D299" s="35" t="s">
        <v>6955</v>
      </c>
      <c r="E299" s="20"/>
      <c r="F299" s="2538">
        <f t="shared" si="94"/>
        <v>2.8000000000000042E-2</v>
      </c>
      <c r="G299" s="2538">
        <f t="shared" ref="G299:P299" si="101">(G289-F289)/F289</f>
        <v>1.9999999999999962E-2</v>
      </c>
      <c r="H299" s="2538">
        <f t="shared" si="101"/>
        <v>2.4999999999999974E-2</v>
      </c>
      <c r="I299" s="2538">
        <f t="shared" si="101"/>
        <v>2.4999999999999956E-2</v>
      </c>
      <c r="J299" s="2538">
        <f t="shared" si="101"/>
        <v>4.0000000000000056E-2</v>
      </c>
      <c r="K299" s="2538">
        <f t="shared" si="101"/>
        <v>4.0000000000000022E-2</v>
      </c>
      <c r="L299" s="2538">
        <f t="shared" si="101"/>
        <v>3.9999999999999973E-2</v>
      </c>
      <c r="M299" s="2537">
        <f t="shared" si="101"/>
        <v>4.0000000000000008E-2</v>
      </c>
      <c r="N299" s="2537">
        <f t="shared" si="101"/>
        <v>3.9999999999999925E-2</v>
      </c>
      <c r="O299" s="2537">
        <f t="shared" si="101"/>
        <v>4.0000000000000036E-2</v>
      </c>
      <c r="P299" s="2539">
        <f t="shared" si="101"/>
        <v>3.9999999999999931E-2</v>
      </c>
    </row>
    <row r="300" spans="1:16" x14ac:dyDescent="0.2">
      <c r="A300" s="2525"/>
      <c r="B300" s="2537">
        <f>(B290-A290)/A290</f>
        <v>5.9999999999999991E-2</v>
      </c>
      <c r="C300" s="2537">
        <f>(C290-B290)/B290</f>
        <v>2.7363429813296463E-2</v>
      </c>
      <c r="D300" s="35" t="s">
        <v>7028</v>
      </c>
      <c r="E300" s="20"/>
      <c r="F300" s="2538">
        <f>(F290-C290)/C290</f>
        <v>0.1787733333333334</v>
      </c>
      <c r="G300" s="2538">
        <f t="shared" ref="G300:P300" si="102">(G290-F290)/F290</f>
        <v>2.0000000000000073E-2</v>
      </c>
      <c r="H300" s="2538">
        <f t="shared" si="102"/>
        <v>2.5000000000000067E-2</v>
      </c>
      <c r="I300" s="2538">
        <f t="shared" si="102"/>
        <v>2.4999999999999967E-2</v>
      </c>
      <c r="J300" s="2538">
        <f t="shared" si="102"/>
        <v>4.0000000000000015E-2</v>
      </c>
      <c r="K300" s="2538">
        <f t="shared" si="102"/>
        <v>4.0000000000000098E-2</v>
      </c>
      <c r="L300" s="2538">
        <f t="shared" si="102"/>
        <v>3.9999999999999925E-2</v>
      </c>
      <c r="M300" s="2537">
        <f t="shared" si="102"/>
        <v>4.0000000000000049E-2</v>
      </c>
      <c r="N300" s="2537">
        <f t="shared" si="102"/>
        <v>3.9999999999999987E-2</v>
      </c>
      <c r="O300" s="2537">
        <f t="shared" si="102"/>
        <v>4.0000000000000029E-2</v>
      </c>
      <c r="P300" s="2539">
        <f t="shared" si="102"/>
        <v>4.000000000000007E-2</v>
      </c>
    </row>
    <row r="301" spans="1:16" x14ac:dyDescent="0.2">
      <c r="A301" s="2525"/>
      <c r="B301" s="2537">
        <f>(B291-A291)/A291</f>
        <v>3.4313725490196081E-2</v>
      </c>
      <c r="C301" s="2537">
        <f>(C291-B291)/B291</f>
        <v>2.2938388625592433E-2</v>
      </c>
      <c r="D301" s="35" t="s">
        <v>3600</v>
      </c>
      <c r="E301" s="20"/>
      <c r="F301" s="2538">
        <f t="shared" si="94"/>
        <v>1.9536693847294322E-2</v>
      </c>
      <c r="G301" s="2538">
        <f t="shared" ref="G301:P301" si="103">(G291-F291)/F291</f>
        <v>-0.15021939790090563</v>
      </c>
      <c r="H301" s="2538">
        <f t="shared" si="103"/>
        <v>2.4064171122994651E-2</v>
      </c>
      <c r="I301" s="2538">
        <f t="shared" si="103"/>
        <v>2.6109660574412531E-2</v>
      </c>
      <c r="J301" s="2538">
        <f t="shared" si="103"/>
        <v>2.5445292620865138E-2</v>
      </c>
      <c r="K301" s="2538">
        <f t="shared" si="103"/>
        <v>2.4813895781637719E-2</v>
      </c>
      <c r="L301" s="2538">
        <f t="shared" si="103"/>
        <v>2.4213075060532687E-2</v>
      </c>
      <c r="M301" s="2537">
        <f t="shared" si="103"/>
        <v>2.6004728132387706E-2</v>
      </c>
      <c r="N301" s="2537">
        <f t="shared" si="103"/>
        <v>2.5345622119815669E-2</v>
      </c>
      <c r="O301" s="2537">
        <f t="shared" si="103"/>
        <v>2.4719101123595506E-2</v>
      </c>
      <c r="P301" s="2539">
        <f t="shared" si="103"/>
        <v>2.4122807017543858E-2</v>
      </c>
    </row>
    <row r="302" spans="1:16" x14ac:dyDescent="0.2">
      <c r="A302" s="2526">
        <f>SUM(A296:A300)</f>
        <v>0</v>
      </c>
      <c r="B302" s="1822">
        <f t="shared" ref="B302" si="104">(B292-A292)/A292</f>
        <v>5.3739130434782567E-2</v>
      </c>
      <c r="C302" s="1822">
        <f t="shared" ref="C302" si="105">(C292-B292)/B292</f>
        <v>4.8480638066762088E-2</v>
      </c>
      <c r="D302" s="58" t="s">
        <v>1530</v>
      </c>
      <c r="E302" s="83"/>
      <c r="F302" s="2664">
        <f t="shared" ref="F302" si="106">(F292-C292)/C292</f>
        <v>6.2112282551397155E-2</v>
      </c>
      <c r="G302" s="2664">
        <f t="shared" ref="G302:P302" si="107">(G292-F292)/F292</f>
        <v>6.7065813149768437E-3</v>
      </c>
      <c r="H302" s="2664">
        <f t="shared" si="107"/>
        <v>3.6241076603170032E-2</v>
      </c>
      <c r="I302" s="2664">
        <f t="shared" si="107"/>
        <v>3.6561378144631534E-2</v>
      </c>
      <c r="J302" s="2664">
        <f t="shared" si="107"/>
        <v>3.2541199612571903E-2</v>
      </c>
      <c r="K302" s="2664">
        <f t="shared" si="107"/>
        <v>2.7497049570399269E-2</v>
      </c>
      <c r="L302" s="2664">
        <f t="shared" si="107"/>
        <v>2.75027119594599E-2</v>
      </c>
      <c r="M302" s="2665">
        <f t="shared" si="107"/>
        <v>2.7795133599580499E-2</v>
      </c>
      <c r="N302" s="2665">
        <f t="shared" si="107"/>
        <v>2.777435938574227E-2</v>
      </c>
      <c r="O302" s="2665">
        <f t="shared" si="107"/>
        <v>2.7749695729412542E-2</v>
      </c>
      <c r="P302" s="2666">
        <f t="shared" si="107"/>
        <v>2.7721625931176285E-2</v>
      </c>
    </row>
    <row r="303" spans="1:16" ht="13.5" thickBot="1" x14ac:dyDescent="0.25">
      <c r="A303" s="2477"/>
      <c r="B303" s="2478"/>
      <c r="C303" s="2478"/>
      <c r="D303" s="2132"/>
      <c r="E303" s="2472"/>
      <c r="F303" s="2478"/>
      <c r="G303" s="2479"/>
      <c r="H303" s="2479"/>
      <c r="I303" s="2479"/>
      <c r="J303" s="2479"/>
      <c r="K303" s="2479"/>
      <c r="L303" s="2479"/>
      <c r="M303" s="2478"/>
      <c r="N303" s="2478"/>
      <c r="O303" s="2478"/>
      <c r="P303" s="2480"/>
    </row>
    <row r="304" spans="1:16" ht="13.5" thickTop="1" x14ac:dyDescent="0.2"/>
  </sheetData>
  <mergeCells count="2">
    <mergeCell ref="A1:C1"/>
    <mergeCell ref="F1:P1"/>
  </mergeCells>
  <phoneticPr fontId="9" type="noConversion"/>
  <pageMargins left="0" right="0" top="0.39370078740157483" bottom="0.39370078740157483" header="0" footer="0"/>
  <pageSetup paperSize="8" orientation="landscape" r:id="rId1"/>
  <headerFooter alignWithMargins="0">
    <oddFooter>Page &amp;P</oddFooter>
  </headerFooter>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IR191"/>
  <sheetViews>
    <sheetView topLeftCell="A91" workbookViewId="0">
      <pane xSplit="4" topLeftCell="E1" activePane="topRight" state="frozen"/>
      <selection activeCell="A31" sqref="A31"/>
      <selection pane="topRight" activeCell="D121" sqref="D121"/>
    </sheetView>
  </sheetViews>
  <sheetFormatPr defaultColWidth="9.140625" defaultRowHeight="12.75" outlineLevelRow="1" x14ac:dyDescent="0.2"/>
  <cols>
    <col min="1" max="3" width="11.28515625" style="84" bestFit="1" customWidth="1"/>
    <col min="4" max="4" width="61.5703125" style="84" customWidth="1"/>
    <col min="5" max="5" width="11.7109375" style="84" customWidth="1"/>
    <col min="6" max="6" width="12.7109375" style="84" customWidth="1"/>
    <col min="7" max="7" width="12.5703125" style="84" customWidth="1"/>
    <col min="8" max="20" width="12.7109375" style="84" customWidth="1"/>
    <col min="21" max="21" width="9.140625" style="84"/>
    <col min="22" max="23" width="12.7109375" style="84" customWidth="1"/>
    <col min="24" max="16384" width="9.140625" style="84"/>
  </cols>
  <sheetData>
    <row r="1" spans="1:15" ht="18.75" customHeight="1" thickTop="1" thickBot="1" x14ac:dyDescent="0.25">
      <c r="A1" s="2909" t="s">
        <v>7014</v>
      </c>
      <c r="B1" s="2910"/>
      <c r="C1" s="2910"/>
      <c r="D1" s="2910"/>
      <c r="E1" s="2910"/>
      <c r="F1" s="2910"/>
      <c r="G1" s="2910"/>
      <c r="H1" s="2910"/>
      <c r="I1" s="2910"/>
      <c r="J1" s="2910"/>
      <c r="K1" s="2910"/>
      <c r="L1" s="2910"/>
      <c r="M1" s="2910"/>
      <c r="N1" s="2910"/>
      <c r="O1" s="2911"/>
    </row>
    <row r="2" spans="1:15" s="92" customFormat="1" x14ac:dyDescent="0.2">
      <c r="A2" s="2915" t="s">
        <v>1856</v>
      </c>
      <c r="B2" s="2886"/>
      <c r="C2" s="2916"/>
      <c r="D2" s="2544" t="s">
        <v>2251</v>
      </c>
      <c r="E2" s="2885" t="s">
        <v>2253</v>
      </c>
      <c r="F2" s="2886"/>
      <c r="G2" s="2886"/>
      <c r="H2" s="2886"/>
      <c r="I2" s="2886"/>
      <c r="J2" s="2886"/>
      <c r="K2" s="2886"/>
      <c r="L2" s="2886"/>
      <c r="M2" s="2886"/>
      <c r="N2" s="2886"/>
      <c r="O2" s="2887"/>
    </row>
    <row r="3" spans="1:15" ht="13.5" thickBot="1" x14ac:dyDescent="0.25">
      <c r="A3" s="743" t="str">
        <f>GM!B3</f>
        <v>2013/14</v>
      </c>
      <c r="B3" s="75" t="str">
        <f>GM!C3</f>
        <v>2014/15</v>
      </c>
      <c r="C3" s="97" t="str">
        <f>GM!D3</f>
        <v>2015/16</v>
      </c>
      <c r="D3" s="94"/>
      <c r="E3" s="2801" t="str">
        <f>GM!G3</f>
        <v>2016/17</v>
      </c>
      <c r="F3" s="97" t="str">
        <f>GM!I3</f>
        <v>2017/18</v>
      </c>
      <c r="G3" s="97" t="str">
        <f>GM!J3</f>
        <v>2018/19</v>
      </c>
      <c r="H3" s="97" t="str">
        <f>GM!K3</f>
        <v>2019/20</v>
      </c>
      <c r="I3" s="97" t="str">
        <f>GM!L3</f>
        <v>2020/21</v>
      </c>
      <c r="J3" s="97" t="str">
        <f>GM!M3</f>
        <v>2021/22</v>
      </c>
      <c r="K3" s="97" t="str">
        <f>GM!N3</f>
        <v>2022/23</v>
      </c>
      <c r="L3" s="97" t="str">
        <f>GM!O3</f>
        <v>2023/24</v>
      </c>
      <c r="M3" s="97" t="str">
        <f>GM!P3</f>
        <v>2024/25</v>
      </c>
      <c r="N3" s="147" t="str">
        <f>GM!Q3</f>
        <v>2025/26</v>
      </c>
      <c r="O3" s="148" t="str">
        <f>GM!R3</f>
        <v>2026/27</v>
      </c>
    </row>
    <row r="4" spans="1:15" x14ac:dyDescent="0.2">
      <c r="A4" s="107"/>
      <c r="B4" s="33"/>
      <c r="C4" s="142"/>
      <c r="D4" s="99"/>
      <c r="E4" s="142"/>
      <c r="F4" s="33"/>
      <c r="G4" s="33"/>
      <c r="H4" s="33"/>
      <c r="I4" s="33"/>
      <c r="J4" s="33"/>
      <c r="K4" s="33"/>
      <c r="L4" s="33"/>
      <c r="M4" s="33"/>
      <c r="N4" s="33"/>
      <c r="O4" s="114"/>
    </row>
    <row r="5" spans="1:15" x14ac:dyDescent="0.2">
      <c r="A5" s="107"/>
      <c r="B5" s="33"/>
      <c r="C5" s="142"/>
      <c r="D5" s="145" t="s">
        <v>2596</v>
      </c>
      <c r="E5" s="142"/>
      <c r="F5" s="33"/>
      <c r="G5" s="33"/>
      <c r="H5" s="33"/>
      <c r="I5" s="33"/>
      <c r="J5" s="33"/>
      <c r="K5" s="33"/>
      <c r="L5" s="33"/>
      <c r="M5" s="33"/>
      <c r="N5" s="33"/>
      <c r="O5" s="114"/>
    </row>
    <row r="6" spans="1:15" x14ac:dyDescent="0.2">
      <c r="A6" s="107"/>
      <c r="B6" s="33"/>
      <c r="C6" s="142"/>
      <c r="D6" s="145"/>
      <c r="E6" s="142"/>
      <c r="F6" s="33"/>
      <c r="G6" s="33"/>
      <c r="H6" s="33"/>
      <c r="I6" s="33"/>
      <c r="J6" s="33"/>
      <c r="K6" s="33"/>
      <c r="L6" s="33"/>
      <c r="M6" s="33"/>
      <c r="N6" s="33"/>
      <c r="O6" s="114"/>
    </row>
    <row r="7" spans="1:15" ht="12.75" customHeight="1" outlineLevel="1" x14ac:dyDescent="0.2">
      <c r="A7" s="107"/>
      <c r="B7" s="33"/>
      <c r="C7" s="142"/>
      <c r="D7" s="145" t="s">
        <v>3251</v>
      </c>
      <c r="E7" s="142"/>
      <c r="F7" s="33"/>
      <c r="G7" s="33"/>
      <c r="H7" s="33"/>
      <c r="I7" s="33"/>
      <c r="J7" s="33"/>
      <c r="K7" s="33"/>
      <c r="L7" s="33"/>
      <c r="M7" s="33"/>
      <c r="N7" s="33"/>
      <c r="O7" s="114"/>
    </row>
    <row r="8" spans="1:15" ht="12.75" customHeight="1" outlineLevel="1" x14ac:dyDescent="0.2">
      <c r="A8" s="107">
        <f>GM!B16</f>
        <v>28712700</v>
      </c>
      <c r="B8" s="33">
        <f>GM!C16</f>
        <v>31008600</v>
      </c>
      <c r="C8" s="142">
        <f>GM!D16</f>
        <v>31613400</v>
      </c>
      <c r="D8" s="111" t="s">
        <v>393</v>
      </c>
      <c r="E8" s="142">
        <f>GM!G16</f>
        <v>34237900</v>
      </c>
      <c r="F8" s="142">
        <f>GM!I16</f>
        <v>35226700</v>
      </c>
      <c r="G8" s="142">
        <f>GM!J16</f>
        <v>36882700</v>
      </c>
      <c r="H8" s="142">
        <f>GM!K16</f>
        <v>38811300</v>
      </c>
      <c r="I8" s="142">
        <f>GM!L16</f>
        <v>39791700</v>
      </c>
      <c r="J8" s="142">
        <f>GM!M16</f>
        <v>40856200</v>
      </c>
      <c r="K8" s="142">
        <f>GM!N16</f>
        <v>41904600</v>
      </c>
      <c r="L8" s="142">
        <f>GM!O16</f>
        <v>43014200</v>
      </c>
      <c r="M8" s="33">
        <f>GM!P16</f>
        <v>44148500</v>
      </c>
      <c r="N8" s="33">
        <f>GM!Q16</f>
        <v>45329700</v>
      </c>
      <c r="O8" s="114">
        <f>GM!R16</f>
        <v>46509100</v>
      </c>
    </row>
    <row r="9" spans="1:15" ht="12.75" customHeight="1" outlineLevel="1" x14ac:dyDescent="0.2">
      <c r="A9" s="107">
        <f>GM!B28-A12-A14-A13</f>
        <v>7211900</v>
      </c>
      <c r="B9" s="33">
        <f>GM!C28-B12-B14-B13</f>
        <v>5737500</v>
      </c>
      <c r="C9" s="142">
        <f>GM!D28-C12-C14-C13</f>
        <v>7568900</v>
      </c>
      <c r="D9" s="111" t="s">
        <v>2052</v>
      </c>
      <c r="E9" s="142">
        <f>GM!G28-E12-E14-E13</f>
        <v>8136400</v>
      </c>
      <c r="F9" s="33">
        <f>GM!I28-F12-F14-F13</f>
        <v>6720700</v>
      </c>
      <c r="G9" s="33">
        <f>GM!J28-G12-G14-G13</f>
        <v>6986900</v>
      </c>
      <c r="H9" s="33">
        <f>GM!K28-H12-H14-H13</f>
        <v>7114800</v>
      </c>
      <c r="I9" s="33">
        <f>GM!L28-I12-I14-I13</f>
        <v>7505400</v>
      </c>
      <c r="J9" s="33">
        <f>GM!M28-J12-J14-J13</f>
        <v>7366900</v>
      </c>
      <c r="K9" s="33">
        <f>GM!N28-K12-K14-K13</f>
        <v>7451000</v>
      </c>
      <c r="L9" s="33">
        <f>GM!O28-L12-L14-L13</f>
        <v>7531700</v>
      </c>
      <c r="M9" s="33">
        <f>GM!P28-M12-M14-M13</f>
        <v>8130400</v>
      </c>
      <c r="N9" s="33">
        <f>GM!Q28-N12-N14-N13</f>
        <v>8043600</v>
      </c>
      <c r="O9" s="114">
        <f>GM!R28-O12-O14-O13</f>
        <v>8232700</v>
      </c>
    </row>
    <row r="10" spans="1:15" s="118" customFormat="1" ht="12.75" customHeight="1" outlineLevel="1" x14ac:dyDescent="0.2">
      <c r="A10" s="292">
        <f>A8-A9</f>
        <v>21500800</v>
      </c>
      <c r="B10" s="116">
        <f>B8-B9</f>
        <v>25271100</v>
      </c>
      <c r="C10" s="160">
        <f>C8-C9</f>
        <v>24044500</v>
      </c>
      <c r="D10" s="109" t="s">
        <v>674</v>
      </c>
      <c r="E10" s="160">
        <f t="shared" ref="E10:J10" si="0">E8-E9</f>
        <v>26101500</v>
      </c>
      <c r="F10" s="116">
        <f t="shared" si="0"/>
        <v>28506000</v>
      </c>
      <c r="G10" s="116">
        <f t="shared" si="0"/>
        <v>29895800</v>
      </c>
      <c r="H10" s="116">
        <f t="shared" si="0"/>
        <v>31696500</v>
      </c>
      <c r="I10" s="116">
        <f t="shared" si="0"/>
        <v>32286300</v>
      </c>
      <c r="J10" s="116">
        <f t="shared" si="0"/>
        <v>33489300</v>
      </c>
      <c r="K10" s="116">
        <f>K8-K9</f>
        <v>34453600</v>
      </c>
      <c r="L10" s="116">
        <f>L8-L9</f>
        <v>35482500</v>
      </c>
      <c r="M10" s="116">
        <f>M8-M9</f>
        <v>36018100</v>
      </c>
      <c r="N10" s="116">
        <f>N8-N9</f>
        <v>37286100</v>
      </c>
      <c r="O10" s="159">
        <f>O8-O9</f>
        <v>38276400</v>
      </c>
    </row>
    <row r="11" spans="1:15" ht="12.75" customHeight="1" outlineLevel="1" x14ac:dyDescent="0.2">
      <c r="A11" s="107"/>
      <c r="B11" s="33"/>
      <c r="C11" s="142"/>
      <c r="D11" s="111"/>
      <c r="E11" s="142"/>
      <c r="F11" s="33"/>
      <c r="G11" s="33"/>
      <c r="H11" s="33"/>
      <c r="I11" s="33"/>
      <c r="J11" s="33"/>
      <c r="K11" s="33"/>
      <c r="L11" s="33"/>
      <c r="M11" s="33"/>
      <c r="N11" s="33"/>
      <c r="O11" s="114"/>
    </row>
    <row r="12" spans="1:15" ht="12.75" customHeight="1" outlineLevel="1" x14ac:dyDescent="0.2">
      <c r="A12" s="107">
        <f>ROUND(GM!B41,-2)</f>
        <v>1384100</v>
      </c>
      <c r="B12" s="33">
        <f>ROUND(GM!C41,-2)</f>
        <v>879400</v>
      </c>
      <c r="C12" s="142">
        <f>GM!D41</f>
        <v>942200</v>
      </c>
      <c r="D12" s="111" t="s">
        <v>2070</v>
      </c>
      <c r="E12" s="142">
        <f>GM!G41</f>
        <v>1024000</v>
      </c>
      <c r="F12" s="33">
        <f>GM!I41</f>
        <v>1110200</v>
      </c>
      <c r="G12" s="33">
        <f>GM!J41</f>
        <v>1143500</v>
      </c>
      <c r="H12" s="33">
        <f>GM!K41</f>
        <v>1177800</v>
      </c>
      <c r="I12" s="33">
        <f>GM!L41</f>
        <v>1201400</v>
      </c>
      <c r="J12" s="33">
        <f>GM!M41</f>
        <v>1225600</v>
      </c>
      <c r="K12" s="33">
        <f>GM!N41</f>
        <v>1250300</v>
      </c>
      <c r="L12" s="33">
        <f>GM!O41</f>
        <v>1275400</v>
      </c>
      <c r="M12" s="33">
        <f>GM!P41</f>
        <v>1301000</v>
      </c>
      <c r="N12" s="33">
        <f>GM!Q41</f>
        <v>1327200</v>
      </c>
      <c r="O12" s="114">
        <f>GM!R41</f>
        <v>1353800</v>
      </c>
    </row>
    <row r="13" spans="1:15" ht="12.75" customHeight="1" outlineLevel="1" x14ac:dyDescent="0.2">
      <c r="A13" s="107">
        <f>-ROUND(GM!B43,-2)</f>
        <v>289900</v>
      </c>
      <c r="B13" s="33">
        <f>-ROUND(GM!C43,-2)</f>
        <v>725700</v>
      </c>
      <c r="C13" s="142">
        <f>-GM!D43</f>
        <v>-319800</v>
      </c>
      <c r="D13" s="111" t="s">
        <v>5410</v>
      </c>
      <c r="E13" s="142">
        <f>-GM!G43</f>
        <v>0</v>
      </c>
      <c r="F13" s="33">
        <f>-GM!I43</f>
        <v>0</v>
      </c>
      <c r="G13" s="33">
        <f>-GM!J43</f>
        <v>0</v>
      </c>
      <c r="H13" s="33">
        <f>-GM!K43</f>
        <v>0</v>
      </c>
      <c r="I13" s="33">
        <f>-GM!L43</f>
        <v>0</v>
      </c>
      <c r="J13" s="33">
        <f>-GM!M43</f>
        <v>0</v>
      </c>
      <c r="K13" s="33">
        <f>-GM!N43</f>
        <v>0</v>
      </c>
      <c r="L13" s="33">
        <f>-GM!O43</f>
        <v>0</v>
      </c>
      <c r="M13" s="33">
        <f>-GM!P43</f>
        <v>0</v>
      </c>
      <c r="N13" s="33">
        <f>-GM!Q43</f>
        <v>0</v>
      </c>
      <c r="O13" s="114">
        <f>-GM!R43</f>
        <v>0</v>
      </c>
    </row>
    <row r="14" spans="1:15" ht="12.75" customHeight="1" outlineLevel="1" x14ac:dyDescent="0.2">
      <c r="A14" s="107">
        <f>ROUND(GM!B45,-2)</f>
        <v>2075400</v>
      </c>
      <c r="B14" s="33">
        <f>ROUND(GM!C45,-2)</f>
        <v>0</v>
      </c>
      <c r="C14" s="142">
        <f>GM!D45</f>
        <v>0</v>
      </c>
      <c r="D14" s="111" t="s">
        <v>4542</v>
      </c>
      <c r="E14" s="142">
        <f>GM!G45</f>
        <v>0</v>
      </c>
      <c r="F14" s="33">
        <f>GM!I45</f>
        <v>0</v>
      </c>
      <c r="G14" s="33">
        <f>GM!J45</f>
        <v>0</v>
      </c>
      <c r="H14" s="33">
        <f>GM!K45</f>
        <v>0</v>
      </c>
      <c r="I14" s="33">
        <f>GM!L45</f>
        <v>0</v>
      </c>
      <c r="J14" s="33">
        <f>GM!M45</f>
        <v>0</v>
      </c>
      <c r="K14" s="33">
        <f>GM!N45</f>
        <v>0</v>
      </c>
      <c r="L14" s="33">
        <f>GM!O45</f>
        <v>0</v>
      </c>
      <c r="M14" s="33">
        <f>GM!P45</f>
        <v>0</v>
      </c>
      <c r="N14" s="33">
        <f>GM!Q45</f>
        <v>0</v>
      </c>
      <c r="O14" s="114">
        <f>GM!R45</f>
        <v>0</v>
      </c>
    </row>
    <row r="15" spans="1:15" s="118" customFormat="1" ht="12.75" customHeight="1" outlineLevel="1" x14ac:dyDescent="0.2">
      <c r="A15" s="292">
        <f>A10-SUM(A12:A14)</f>
        <v>17751400</v>
      </c>
      <c r="B15" s="116">
        <f>B10-SUM(B12:B14)</f>
        <v>23666000</v>
      </c>
      <c r="C15" s="160">
        <f>C10-SUM(C12:C14)</f>
        <v>23422100</v>
      </c>
      <c r="D15" s="109" t="s">
        <v>406</v>
      </c>
      <c r="E15" s="160">
        <f t="shared" ref="E15:M15" si="1">E10-SUM(E12:E14)</f>
        <v>25077500</v>
      </c>
      <c r="F15" s="116">
        <f t="shared" si="1"/>
        <v>27395800</v>
      </c>
      <c r="G15" s="116">
        <f t="shared" si="1"/>
        <v>28752300</v>
      </c>
      <c r="H15" s="116">
        <f t="shared" si="1"/>
        <v>30518700</v>
      </c>
      <c r="I15" s="116">
        <f t="shared" si="1"/>
        <v>31084900</v>
      </c>
      <c r="J15" s="116">
        <f t="shared" si="1"/>
        <v>32263700</v>
      </c>
      <c r="K15" s="116">
        <f t="shared" si="1"/>
        <v>33203300</v>
      </c>
      <c r="L15" s="116">
        <f t="shared" si="1"/>
        <v>34207100</v>
      </c>
      <c r="M15" s="116">
        <f t="shared" si="1"/>
        <v>34717100</v>
      </c>
      <c r="N15" s="116">
        <f t="shared" ref="N15" si="2">N10-SUM(N12:N14)</f>
        <v>35958900</v>
      </c>
      <c r="O15" s="159">
        <f t="shared" ref="O15" si="3">O10-SUM(O12:O14)</f>
        <v>36922600</v>
      </c>
    </row>
    <row r="16" spans="1:15" ht="12.75" customHeight="1" outlineLevel="1" x14ac:dyDescent="0.2">
      <c r="A16" s="107"/>
      <c r="B16" s="33"/>
      <c r="C16" s="142"/>
      <c r="D16" s="78"/>
      <c r="E16" s="142"/>
      <c r="F16" s="33"/>
      <c r="G16" s="33"/>
      <c r="H16" s="33"/>
      <c r="I16" s="33"/>
      <c r="J16" s="33"/>
      <c r="K16" s="33"/>
      <c r="L16" s="33"/>
      <c r="M16" s="33"/>
      <c r="N16" s="33"/>
      <c r="O16" s="114"/>
    </row>
    <row r="17" spans="1:15" ht="12.75" customHeight="1" outlineLevel="1" x14ac:dyDescent="0.2">
      <c r="A17" s="107"/>
      <c r="B17" s="33"/>
      <c r="C17" s="142"/>
      <c r="D17" s="145" t="s">
        <v>3252</v>
      </c>
      <c r="E17" s="142"/>
      <c r="F17" s="33"/>
      <c r="G17" s="33"/>
      <c r="H17" s="33"/>
      <c r="I17" s="33"/>
      <c r="J17" s="33"/>
      <c r="K17" s="33"/>
      <c r="L17" s="33"/>
      <c r="M17" s="33"/>
      <c r="N17" s="33"/>
      <c r="O17" s="114"/>
    </row>
    <row r="18" spans="1:15" ht="12.75" customHeight="1" outlineLevel="1" x14ac:dyDescent="0.2">
      <c r="A18" s="107">
        <f>ROUND(DEH!B12,-2)</f>
        <v>1613500</v>
      </c>
      <c r="B18" s="33">
        <f>DEH!C12</f>
        <v>2038800</v>
      </c>
      <c r="C18" s="142">
        <f>DEH!D12</f>
        <v>2524900</v>
      </c>
      <c r="D18" s="111" t="s">
        <v>393</v>
      </c>
      <c r="E18" s="142">
        <f>DEH!G12</f>
        <v>2597300</v>
      </c>
      <c r="F18" s="33">
        <f>DEH!I12</f>
        <v>2371000</v>
      </c>
      <c r="G18" s="33">
        <f>DEH!J12</f>
        <v>2430900</v>
      </c>
      <c r="H18" s="33">
        <f>DEH!K12</f>
        <v>2494900</v>
      </c>
      <c r="I18" s="33">
        <f>DEH!L12</f>
        <v>2560500</v>
      </c>
      <c r="J18" s="33">
        <f>DEH!M12</f>
        <v>2614400</v>
      </c>
      <c r="K18" s="33">
        <f>DEH!N12</f>
        <v>2669900</v>
      </c>
      <c r="L18" s="33">
        <f>DEH!O12</f>
        <v>2726300</v>
      </c>
      <c r="M18" s="33">
        <f>DEH!P12</f>
        <v>2783800</v>
      </c>
      <c r="N18" s="33">
        <f>DEH!Q12</f>
        <v>2842500</v>
      </c>
      <c r="O18" s="114">
        <f>DEH!R12</f>
        <v>2902100</v>
      </c>
    </row>
    <row r="19" spans="1:15" ht="12.75" customHeight="1" outlineLevel="1" x14ac:dyDescent="0.2">
      <c r="A19" s="107">
        <f>ROUND(DEH!B21-A22,-2)</f>
        <v>3558800</v>
      </c>
      <c r="B19" s="33">
        <f>DEH!C21-B22</f>
        <v>3487900</v>
      </c>
      <c r="C19" s="142">
        <f>DEH!D21-C22</f>
        <v>3876700</v>
      </c>
      <c r="D19" s="111" t="s">
        <v>2052</v>
      </c>
      <c r="E19" s="142">
        <f>DEH!G21-E22</f>
        <v>4356900</v>
      </c>
      <c r="F19" s="33">
        <f>DEH!I21-F22</f>
        <v>4607100</v>
      </c>
      <c r="G19" s="33">
        <f>DEH!J21-G22</f>
        <v>4719900</v>
      </c>
      <c r="H19" s="33">
        <f>DEH!K21-H22</f>
        <v>4835800</v>
      </c>
      <c r="I19" s="33">
        <f>DEH!L21-I22</f>
        <v>4954700</v>
      </c>
      <c r="J19" s="33">
        <f>DEH!M21-J22</f>
        <v>5075000</v>
      </c>
      <c r="K19" s="33">
        <f>DEH!N21-K22</f>
        <v>5198200</v>
      </c>
      <c r="L19" s="33">
        <f>DEH!O21-L22</f>
        <v>5324200</v>
      </c>
      <c r="M19" s="33">
        <f>DEH!P21-M22</f>
        <v>5453100</v>
      </c>
      <c r="N19" s="33">
        <f>DEH!Q21-N22</f>
        <v>5585000</v>
      </c>
      <c r="O19" s="114">
        <f>DEH!R21-O22</f>
        <v>5720500</v>
      </c>
    </row>
    <row r="20" spans="1:15" s="118" customFormat="1" ht="12.75" customHeight="1" outlineLevel="1" x14ac:dyDescent="0.2">
      <c r="A20" s="292">
        <f>A18-A19</f>
        <v>-1945300</v>
      </c>
      <c r="B20" s="116">
        <f>B18-B19</f>
        <v>-1449100</v>
      </c>
      <c r="C20" s="160">
        <f>C18-C19</f>
        <v>-1351800</v>
      </c>
      <c r="D20" s="109" t="s">
        <v>674</v>
      </c>
      <c r="E20" s="160">
        <f t="shared" ref="E20:J20" si="4">E18-E19</f>
        <v>-1759600</v>
      </c>
      <c r="F20" s="116">
        <f t="shared" si="4"/>
        <v>-2236100</v>
      </c>
      <c r="G20" s="116">
        <f t="shared" si="4"/>
        <v>-2289000</v>
      </c>
      <c r="H20" s="116">
        <f t="shared" si="4"/>
        <v>-2340900</v>
      </c>
      <c r="I20" s="116">
        <f t="shared" si="4"/>
        <v>-2394200</v>
      </c>
      <c r="J20" s="116">
        <f t="shared" si="4"/>
        <v>-2460600</v>
      </c>
      <c r="K20" s="116">
        <f>K18-K19</f>
        <v>-2528300</v>
      </c>
      <c r="L20" s="116">
        <f>L18-L19</f>
        <v>-2597900</v>
      </c>
      <c r="M20" s="116">
        <f>M18-M19</f>
        <v>-2669300</v>
      </c>
      <c r="N20" s="116">
        <f>N18-N19</f>
        <v>-2742500</v>
      </c>
      <c r="O20" s="159">
        <f>O18-O19</f>
        <v>-2818400</v>
      </c>
    </row>
    <row r="21" spans="1:15" ht="12.75" customHeight="1" outlineLevel="1" x14ac:dyDescent="0.2">
      <c r="A21" s="107"/>
      <c r="B21" s="33"/>
      <c r="C21" s="142"/>
      <c r="D21" s="111"/>
      <c r="E21" s="142"/>
      <c r="F21" s="33"/>
      <c r="G21" s="33"/>
      <c r="H21" s="33"/>
      <c r="I21" s="33"/>
      <c r="J21" s="33"/>
      <c r="K21" s="33"/>
      <c r="L21" s="33"/>
      <c r="M21" s="33"/>
      <c r="N21" s="33"/>
      <c r="O21" s="114"/>
    </row>
    <row r="22" spans="1:15" ht="12.75" customHeight="1" outlineLevel="1" x14ac:dyDescent="0.2">
      <c r="A22" s="107">
        <f>ROUND(DEH!B31,-2)</f>
        <v>9800</v>
      </c>
      <c r="B22" s="33">
        <f>DEH!C31</f>
        <v>4400</v>
      </c>
      <c r="C22" s="142">
        <f>DEH!D31</f>
        <v>4500</v>
      </c>
      <c r="D22" s="111" t="s">
        <v>2070</v>
      </c>
      <c r="E22" s="142">
        <f>DEH!G31</f>
        <v>4400</v>
      </c>
      <c r="F22" s="33">
        <f>DEH!I31</f>
        <v>4500</v>
      </c>
      <c r="G22" s="33">
        <f>DEH!J31</f>
        <v>4600</v>
      </c>
      <c r="H22" s="33">
        <f>DEH!K31</f>
        <v>4700</v>
      </c>
      <c r="I22" s="33">
        <f>DEH!L31</f>
        <v>4800</v>
      </c>
      <c r="J22" s="33">
        <f>DEH!M31</f>
        <v>4900</v>
      </c>
      <c r="K22" s="33">
        <f>DEH!N31</f>
        <v>5000</v>
      </c>
      <c r="L22" s="33">
        <f>DEH!O31</f>
        <v>5100</v>
      </c>
      <c r="M22" s="33">
        <f>DEH!P31</f>
        <v>5300</v>
      </c>
      <c r="N22" s="33">
        <f>DEH!Q31</f>
        <v>5500</v>
      </c>
      <c r="O22" s="114">
        <f>DEH!R31</f>
        <v>5700</v>
      </c>
    </row>
    <row r="23" spans="1:15" s="118" customFormat="1" ht="12.75" customHeight="1" outlineLevel="1" x14ac:dyDescent="0.2">
      <c r="A23" s="292">
        <f>A20-A22</f>
        <v>-1955100</v>
      </c>
      <c r="B23" s="116">
        <f>B20-B22</f>
        <v>-1453500</v>
      </c>
      <c r="C23" s="160">
        <f>C20-C22</f>
        <v>-1356300</v>
      </c>
      <c r="D23" s="109" t="s">
        <v>406</v>
      </c>
      <c r="E23" s="160">
        <f t="shared" ref="E23:J23" si="5">E20-E22</f>
        <v>-1764000</v>
      </c>
      <c r="F23" s="116">
        <f t="shared" si="5"/>
        <v>-2240600</v>
      </c>
      <c r="G23" s="116">
        <f t="shared" si="5"/>
        <v>-2293600</v>
      </c>
      <c r="H23" s="116">
        <f t="shared" si="5"/>
        <v>-2345600</v>
      </c>
      <c r="I23" s="116">
        <f t="shared" si="5"/>
        <v>-2399000</v>
      </c>
      <c r="J23" s="116">
        <f t="shared" si="5"/>
        <v>-2465500</v>
      </c>
      <c r="K23" s="116">
        <f>K20-K22</f>
        <v>-2533300</v>
      </c>
      <c r="L23" s="116">
        <f>L20-L22</f>
        <v>-2603000</v>
      </c>
      <c r="M23" s="116">
        <f>M20-M22</f>
        <v>-2674600</v>
      </c>
      <c r="N23" s="116">
        <f>N20-N22</f>
        <v>-2748000</v>
      </c>
      <c r="O23" s="159">
        <f>O20-O22</f>
        <v>-2824100</v>
      </c>
    </row>
    <row r="24" spans="1:15" ht="12.75" customHeight="1" outlineLevel="1" x14ac:dyDescent="0.2">
      <c r="A24" s="107"/>
      <c r="B24" s="33"/>
      <c r="C24" s="142"/>
      <c r="D24" s="78"/>
      <c r="E24" s="142"/>
      <c r="F24" s="33"/>
      <c r="G24" s="33"/>
      <c r="H24" s="33"/>
      <c r="I24" s="33"/>
      <c r="J24" s="33"/>
      <c r="K24" s="33"/>
      <c r="L24" s="33"/>
      <c r="M24" s="33"/>
      <c r="N24" s="33"/>
      <c r="O24" s="114"/>
    </row>
    <row r="25" spans="1:15" ht="12.75" customHeight="1" outlineLevel="1" x14ac:dyDescent="0.2">
      <c r="A25" s="107"/>
      <c r="B25" s="33"/>
      <c r="C25" s="142"/>
      <c r="D25" s="145" t="s">
        <v>2679</v>
      </c>
      <c r="E25" s="142"/>
      <c r="F25" s="33"/>
      <c r="G25" s="33"/>
      <c r="H25" s="33"/>
      <c r="I25" s="33"/>
      <c r="J25" s="33"/>
      <c r="K25" s="33"/>
      <c r="L25" s="33"/>
      <c r="M25" s="33"/>
      <c r="N25" s="33"/>
      <c r="O25" s="114"/>
    </row>
    <row r="26" spans="1:15" ht="12.75" customHeight="1" outlineLevel="1" x14ac:dyDescent="0.2">
      <c r="A26" s="107">
        <f>ROUND(CIV!B19,-2)</f>
        <v>14423800</v>
      </c>
      <c r="B26" s="33">
        <f>CIV!C19</f>
        <v>14561300</v>
      </c>
      <c r="C26" s="142">
        <f>CIV!D19</f>
        <v>15034500</v>
      </c>
      <c r="D26" s="111" t="s">
        <v>393</v>
      </c>
      <c r="E26" s="142">
        <f>CIV!G19</f>
        <v>16520500</v>
      </c>
      <c r="F26" s="33">
        <f>CIV!I19</f>
        <v>13123900</v>
      </c>
      <c r="G26" s="33">
        <f>CIV!J19</f>
        <v>13234800</v>
      </c>
      <c r="H26" s="33">
        <f>CIV!K19</f>
        <v>13489500</v>
      </c>
      <c r="I26" s="33">
        <f>CIV!L19</f>
        <v>13826400</v>
      </c>
      <c r="J26" s="33">
        <f>CIV!M19</f>
        <v>14092100</v>
      </c>
      <c r="K26" s="33">
        <f>CIV!N19</f>
        <v>14417100</v>
      </c>
      <c r="L26" s="33">
        <f>CIV!O19</f>
        <v>14747100</v>
      </c>
      <c r="M26" s="33">
        <f>CIV!P19</f>
        <v>15059800</v>
      </c>
      <c r="N26" s="33">
        <f>CIV!Q19</f>
        <v>15396600</v>
      </c>
      <c r="O26" s="114">
        <f>CIV!R19</f>
        <v>15772900</v>
      </c>
    </row>
    <row r="27" spans="1:15" ht="12.75" customHeight="1" outlineLevel="1" x14ac:dyDescent="0.2">
      <c r="A27" s="107">
        <f>ROUND(CIV!B35-A30-A31-A32,-2)</f>
        <v>20546900</v>
      </c>
      <c r="B27" s="33">
        <f>CIV!C35-B30-B31-B32</f>
        <v>21140800</v>
      </c>
      <c r="C27" s="142">
        <f>CIV!D35-C30-C31-C32</f>
        <v>23159600</v>
      </c>
      <c r="D27" s="111" t="s">
        <v>2052</v>
      </c>
      <c r="E27" s="142">
        <f>CIV!G35-E30-E31-E32</f>
        <v>23151300</v>
      </c>
      <c r="F27" s="33">
        <f>CIV!I35-F30-F31-F32</f>
        <v>21545500</v>
      </c>
      <c r="G27" s="33">
        <f>CIV!J35-G30-G31-G32</f>
        <v>21878300</v>
      </c>
      <c r="H27" s="33">
        <f>CIV!K35-H30-H31-H32</f>
        <v>22567800</v>
      </c>
      <c r="I27" s="33">
        <f>CIV!L35-I30-I31-I32</f>
        <v>22977700</v>
      </c>
      <c r="J27" s="33">
        <f>CIV!M35-J30-J31-J32</f>
        <v>23834600</v>
      </c>
      <c r="K27" s="33">
        <f>CIV!N35-K30-K31-K32</f>
        <v>24147200</v>
      </c>
      <c r="L27" s="33">
        <f>CIV!O35-L30-L31-L32</f>
        <v>24683800</v>
      </c>
      <c r="M27" s="33">
        <f>CIV!P35-M30-M31-M32</f>
        <v>25023600</v>
      </c>
      <c r="N27" s="33">
        <f>CIV!Q35-N30-N31-N32</f>
        <v>25570700</v>
      </c>
      <c r="O27" s="114">
        <f>CIV!R35-O30-O31-O32</f>
        <v>25942900</v>
      </c>
    </row>
    <row r="28" spans="1:15" s="118" customFormat="1" ht="12.75" customHeight="1" outlineLevel="1" x14ac:dyDescent="0.2">
      <c r="A28" s="292">
        <f>A26-A27</f>
        <v>-6123100</v>
      </c>
      <c r="B28" s="116">
        <f>B26-B27</f>
        <v>-6579500</v>
      </c>
      <c r="C28" s="160">
        <f>C26-C27</f>
        <v>-8125100</v>
      </c>
      <c r="D28" s="109" t="s">
        <v>674</v>
      </c>
      <c r="E28" s="160">
        <f t="shared" ref="E28:J28" si="6">E26-E27</f>
        <v>-6630800</v>
      </c>
      <c r="F28" s="116">
        <f t="shared" si="6"/>
        <v>-8421600</v>
      </c>
      <c r="G28" s="116">
        <f t="shared" si="6"/>
        <v>-8643500</v>
      </c>
      <c r="H28" s="116">
        <f t="shared" si="6"/>
        <v>-9078300</v>
      </c>
      <c r="I28" s="116">
        <f t="shared" si="6"/>
        <v>-9151300</v>
      </c>
      <c r="J28" s="116">
        <f t="shared" si="6"/>
        <v>-9742500</v>
      </c>
      <c r="K28" s="116">
        <f>K26-K27</f>
        <v>-9730100</v>
      </c>
      <c r="L28" s="116">
        <f>L26-L27</f>
        <v>-9936700</v>
      </c>
      <c r="M28" s="116">
        <f>M26-M27</f>
        <v>-9963800</v>
      </c>
      <c r="N28" s="116">
        <f>N26-N27</f>
        <v>-10174100</v>
      </c>
      <c r="O28" s="159">
        <f>O26-O27</f>
        <v>-10170000</v>
      </c>
    </row>
    <row r="29" spans="1:15" ht="12.75" customHeight="1" outlineLevel="1" x14ac:dyDescent="0.2">
      <c r="A29" s="107"/>
      <c r="B29" s="33"/>
      <c r="C29" s="142"/>
      <c r="D29" s="111"/>
      <c r="E29" s="142"/>
      <c r="F29" s="33"/>
      <c r="G29" s="33"/>
      <c r="H29" s="33"/>
      <c r="I29" s="33"/>
      <c r="J29" s="33"/>
      <c r="K29" s="33"/>
      <c r="L29" s="33"/>
      <c r="M29" s="33"/>
      <c r="N29" s="33"/>
      <c r="O29" s="114"/>
    </row>
    <row r="30" spans="1:15" ht="12.75" customHeight="1" outlineLevel="1" x14ac:dyDescent="0.2">
      <c r="A30" s="107">
        <f>ROUND(CIV!B2073,-1)</f>
        <v>13367400</v>
      </c>
      <c r="B30" s="33">
        <f>CIV!C2073</f>
        <v>12100500</v>
      </c>
      <c r="C30" s="142">
        <f>CIV!D2073</f>
        <v>12031000</v>
      </c>
      <c r="D30" s="111" t="s">
        <v>2070</v>
      </c>
      <c r="E30" s="142">
        <f>CIV!G2073</f>
        <v>10787000</v>
      </c>
      <c r="F30" s="33">
        <f>CIV!I2073</f>
        <v>11003200</v>
      </c>
      <c r="G30" s="33">
        <f>CIV!J2073</f>
        <v>11224400</v>
      </c>
      <c r="H30" s="33">
        <f>CIV!K2073</f>
        <v>11449700</v>
      </c>
      <c r="I30" s="33">
        <f>CIV!L2073</f>
        <v>11679500</v>
      </c>
      <c r="J30" s="33">
        <f>CIV!M2073</f>
        <v>11913900</v>
      </c>
      <c r="K30" s="33">
        <f>CIV!N2073</f>
        <v>12153100</v>
      </c>
      <c r="L30" s="33">
        <f>CIV!O2073</f>
        <v>12397000</v>
      </c>
      <c r="M30" s="33">
        <f>CIV!P2073</f>
        <v>12645800</v>
      </c>
      <c r="N30" s="33">
        <f>CIV!Q2073</f>
        <v>12899600</v>
      </c>
      <c r="O30" s="114">
        <f>CIV!R2073</f>
        <v>13158400</v>
      </c>
    </row>
    <row r="31" spans="1:15" ht="12.75" customHeight="1" outlineLevel="1" x14ac:dyDescent="0.2">
      <c r="A31" s="107">
        <f>CIV!B2075</f>
        <v>169300</v>
      </c>
      <c r="B31" s="33">
        <f>CIV!C2075</f>
        <v>231300</v>
      </c>
      <c r="C31" s="142">
        <f>CIV!D2075</f>
        <v>190800</v>
      </c>
      <c r="D31" s="111" t="s">
        <v>2782</v>
      </c>
      <c r="E31" s="142">
        <f>CIV!G2075</f>
        <v>205900</v>
      </c>
      <c r="F31" s="33">
        <f>CIV!I2075</f>
        <v>119100</v>
      </c>
      <c r="G31" s="33">
        <f>CIV!J2075</f>
        <v>70200</v>
      </c>
      <c r="H31" s="33">
        <f>CIV!K2075</f>
        <v>48000</v>
      </c>
      <c r="I31" s="33">
        <f>CIV!L2075</f>
        <v>20600</v>
      </c>
      <c r="J31" s="33">
        <f>CIV!M2075</f>
        <v>21400</v>
      </c>
      <c r="K31" s="33">
        <f>CIV!N2075</f>
        <v>22100</v>
      </c>
      <c r="L31" s="33">
        <f>CIV!O2075</f>
        <v>22900</v>
      </c>
      <c r="M31" s="33">
        <f>CIV!P2075</f>
        <v>23800</v>
      </c>
      <c r="N31" s="33">
        <f>CIV!Q2075</f>
        <v>24700</v>
      </c>
      <c r="O31" s="114">
        <f>CIV!R2075</f>
        <v>25600</v>
      </c>
    </row>
    <row r="32" spans="1:15" ht="12.75" customHeight="1" outlineLevel="1" x14ac:dyDescent="0.2">
      <c r="A32" s="107">
        <f>ROUND(CIV!B2076,-1)</f>
        <v>1892000</v>
      </c>
      <c r="B32" s="33">
        <f>CIV!C2076</f>
        <v>3347700</v>
      </c>
      <c r="C32" s="142">
        <f>CIV!D2076</f>
        <v>0</v>
      </c>
      <c r="D32" s="111" t="s">
        <v>4542</v>
      </c>
      <c r="E32" s="142">
        <f>CIV!G2076</f>
        <v>0</v>
      </c>
      <c r="F32" s="33">
        <f>CIV!I2076</f>
        <v>0</v>
      </c>
      <c r="G32" s="33">
        <f>CIV!J2076</f>
        <v>0</v>
      </c>
      <c r="H32" s="33">
        <f>CIV!K2076</f>
        <v>0</v>
      </c>
      <c r="I32" s="33">
        <f>CIV!L2076</f>
        <v>0</v>
      </c>
      <c r="J32" s="33">
        <f>CIV!M2076</f>
        <v>0</v>
      </c>
      <c r="K32" s="33">
        <f>CIV!N2076</f>
        <v>0</v>
      </c>
      <c r="L32" s="33">
        <f>CIV!O2076</f>
        <v>0</v>
      </c>
      <c r="M32" s="33">
        <f>CIV!P2076</f>
        <v>0</v>
      </c>
      <c r="N32" s="33">
        <f>CIV!Q2076</f>
        <v>0</v>
      </c>
      <c r="O32" s="114">
        <f>CIV!R2076</f>
        <v>0</v>
      </c>
    </row>
    <row r="33" spans="1:15" s="118" customFormat="1" ht="12.75" customHeight="1" outlineLevel="1" x14ac:dyDescent="0.2">
      <c r="A33" s="292">
        <f>A28-SUM(A30:A32)</f>
        <v>-21551800</v>
      </c>
      <c r="B33" s="116">
        <f>B28-SUM(B30:B32)</f>
        <v>-22259000</v>
      </c>
      <c r="C33" s="160">
        <f>C28-SUM(C30:C32)</f>
        <v>-20346900</v>
      </c>
      <c r="D33" s="109" t="s">
        <v>406</v>
      </c>
      <c r="E33" s="160">
        <f t="shared" ref="E33:M33" si="7">E28-SUM(E30:E32)</f>
        <v>-17623700</v>
      </c>
      <c r="F33" s="116">
        <f t="shared" si="7"/>
        <v>-19543900</v>
      </c>
      <c r="G33" s="116">
        <f t="shared" si="7"/>
        <v>-19938100</v>
      </c>
      <c r="H33" s="116">
        <f t="shared" si="7"/>
        <v>-20576000</v>
      </c>
      <c r="I33" s="116">
        <f t="shared" si="7"/>
        <v>-20851400</v>
      </c>
      <c r="J33" s="116">
        <f t="shared" si="7"/>
        <v>-21677800</v>
      </c>
      <c r="K33" s="116">
        <f t="shared" si="7"/>
        <v>-21905300</v>
      </c>
      <c r="L33" s="116">
        <f t="shared" si="7"/>
        <v>-22356600</v>
      </c>
      <c r="M33" s="116">
        <f t="shared" si="7"/>
        <v>-22633400</v>
      </c>
      <c r="N33" s="116">
        <f t="shared" ref="N33" si="8">N28-SUM(N30:N32)</f>
        <v>-23098400</v>
      </c>
      <c r="O33" s="159">
        <f t="shared" ref="O33" si="9">O28-SUM(O30:O32)</f>
        <v>-23354000</v>
      </c>
    </row>
    <row r="34" spans="1:15" ht="12.75" customHeight="1" outlineLevel="1" x14ac:dyDescent="0.2">
      <c r="A34" s="107"/>
      <c r="B34" s="33"/>
      <c r="C34" s="142"/>
      <c r="D34" s="78"/>
      <c r="E34" s="142"/>
      <c r="F34" s="33"/>
      <c r="G34" s="33"/>
      <c r="H34" s="33"/>
      <c r="I34" s="33"/>
      <c r="J34" s="33"/>
      <c r="K34" s="33"/>
      <c r="L34" s="33"/>
      <c r="M34" s="33"/>
      <c r="N34" s="33"/>
      <c r="O34" s="114"/>
    </row>
    <row r="35" spans="1:15" ht="12.75" customHeight="1" outlineLevel="1" x14ac:dyDescent="0.2">
      <c r="A35" s="107"/>
      <c r="B35" s="33"/>
      <c r="C35" s="142"/>
      <c r="D35" s="109" t="s">
        <v>3253</v>
      </c>
      <c r="E35" s="142"/>
      <c r="F35" s="33"/>
      <c r="G35" s="33"/>
      <c r="H35" s="33"/>
      <c r="I35" s="33"/>
      <c r="J35" s="33"/>
      <c r="K35" s="33"/>
      <c r="L35" s="33"/>
      <c r="M35" s="33"/>
      <c r="N35" s="33"/>
      <c r="O35" s="114"/>
    </row>
    <row r="36" spans="1:15" ht="12.75" customHeight="1" outlineLevel="1" x14ac:dyDescent="0.2">
      <c r="A36" s="107">
        <f>ROUND(SP!B990,-2)</f>
        <v>1354800</v>
      </c>
      <c r="B36" s="33">
        <f>SP!C990</f>
        <v>1569700</v>
      </c>
      <c r="C36" s="142">
        <f>SP!D990</f>
        <v>1543200</v>
      </c>
      <c r="D36" s="111" t="s">
        <v>393</v>
      </c>
      <c r="E36" s="142">
        <f>SP!G990</f>
        <v>1385300</v>
      </c>
      <c r="F36" s="33">
        <f>SP!I990</f>
        <v>1239900</v>
      </c>
      <c r="G36" s="33">
        <f>SP!J990</f>
        <v>1636100</v>
      </c>
      <c r="H36" s="33">
        <f>SP!K990</f>
        <v>1446600</v>
      </c>
      <c r="I36" s="33">
        <f>SP!L990</f>
        <v>1617500</v>
      </c>
      <c r="J36" s="33">
        <f>SP!M990</f>
        <v>1618600</v>
      </c>
      <c r="K36" s="33">
        <f>SP!N990</f>
        <v>1636600</v>
      </c>
      <c r="L36" s="33">
        <f>SP!O990</f>
        <v>1820800</v>
      </c>
      <c r="M36" s="33">
        <f>SP!P990</f>
        <v>1828900</v>
      </c>
      <c r="N36" s="33">
        <f>SP!Q990</f>
        <v>1930300</v>
      </c>
      <c r="O36" s="114">
        <f>SP!R990</f>
        <v>2034900</v>
      </c>
    </row>
    <row r="37" spans="1:15" ht="12.75" customHeight="1" outlineLevel="1" x14ac:dyDescent="0.2">
      <c r="A37" s="107">
        <f>ROUND(SP!B996-A40,-2)</f>
        <v>5043500</v>
      </c>
      <c r="B37" s="33">
        <f>SP!C996-B40</f>
        <v>5492500</v>
      </c>
      <c r="C37" s="142">
        <f>SP!D996-C40</f>
        <v>5677900</v>
      </c>
      <c r="D37" s="111" t="s">
        <v>2052</v>
      </c>
      <c r="E37" s="142">
        <f>SP!G996-E40</f>
        <v>6197600</v>
      </c>
      <c r="F37" s="33">
        <f>SP!I996-F40</f>
        <v>6120100</v>
      </c>
      <c r="G37" s="33">
        <f>SP!J996-G40</f>
        <v>6637700</v>
      </c>
      <c r="H37" s="33">
        <f>SP!K996-H40</f>
        <v>6867300</v>
      </c>
      <c r="I37" s="33">
        <f>SP!L996-I40</f>
        <v>7012900</v>
      </c>
      <c r="J37" s="33">
        <f>SP!M996-J40</f>
        <v>7144300</v>
      </c>
      <c r="K37" s="33">
        <f>SP!N996-K40</f>
        <v>7276400</v>
      </c>
      <c r="L37" s="33">
        <f>SP!O996-L40</f>
        <v>7502900</v>
      </c>
      <c r="M37" s="33">
        <f>SP!P996-M40</f>
        <v>7551100</v>
      </c>
      <c r="N37" s="33">
        <f>SP!Q996-N40</f>
        <v>7693600</v>
      </c>
      <c r="O37" s="114">
        <f>SP!R996-O40</f>
        <v>7838500</v>
      </c>
    </row>
    <row r="38" spans="1:15" s="118" customFormat="1" ht="12.75" customHeight="1" outlineLevel="1" x14ac:dyDescent="0.2">
      <c r="A38" s="292">
        <f>A36-A37</f>
        <v>-3688700</v>
      </c>
      <c r="B38" s="116">
        <f>B36-B37</f>
        <v>-3922800</v>
      </c>
      <c r="C38" s="160">
        <f>C36-C37</f>
        <v>-4134700</v>
      </c>
      <c r="D38" s="109" t="s">
        <v>674</v>
      </c>
      <c r="E38" s="160">
        <f t="shared" ref="E38:J38" si="10">E36-E37</f>
        <v>-4812300</v>
      </c>
      <c r="F38" s="116">
        <f t="shared" si="10"/>
        <v>-4880200</v>
      </c>
      <c r="G38" s="116">
        <f t="shared" si="10"/>
        <v>-5001600</v>
      </c>
      <c r="H38" s="116">
        <f t="shared" si="10"/>
        <v>-5420700</v>
      </c>
      <c r="I38" s="116">
        <f t="shared" si="10"/>
        <v>-5395400</v>
      </c>
      <c r="J38" s="116">
        <f t="shared" si="10"/>
        <v>-5525700</v>
      </c>
      <c r="K38" s="116">
        <f>K36-K37</f>
        <v>-5639800</v>
      </c>
      <c r="L38" s="116">
        <f>L36-L37</f>
        <v>-5682100</v>
      </c>
      <c r="M38" s="116">
        <f>M36-M37</f>
        <v>-5722200</v>
      </c>
      <c r="N38" s="116">
        <f>N36-N37</f>
        <v>-5763300</v>
      </c>
      <c r="O38" s="159">
        <f>O36-O37</f>
        <v>-5803600</v>
      </c>
    </row>
    <row r="39" spans="1:15" ht="12.75" customHeight="1" outlineLevel="1" x14ac:dyDescent="0.2">
      <c r="A39" s="107"/>
      <c r="B39" s="33"/>
      <c r="C39" s="142"/>
      <c r="D39" s="111"/>
      <c r="E39" s="142"/>
      <c r="F39" s="33"/>
      <c r="G39" s="33"/>
      <c r="H39" s="33"/>
      <c r="I39" s="33"/>
      <c r="J39" s="33"/>
      <c r="K39" s="33"/>
      <c r="L39" s="33"/>
      <c r="M39" s="33"/>
      <c r="N39" s="33"/>
      <c r="O39" s="114"/>
    </row>
    <row r="40" spans="1:15" ht="12.75" customHeight="1" outlineLevel="1" x14ac:dyDescent="0.2">
      <c r="A40" s="107">
        <f>ROUND(SP!B978,-2)</f>
        <v>1104400</v>
      </c>
      <c r="B40" s="33">
        <f>SP!C978</f>
        <v>1160000</v>
      </c>
      <c r="C40" s="142">
        <f>SP!D978</f>
        <v>1189100</v>
      </c>
      <c r="D40" s="111" t="s">
        <v>2070</v>
      </c>
      <c r="E40" s="142">
        <f>SP!G978</f>
        <v>1241000</v>
      </c>
      <c r="F40" s="33">
        <f>SP!I978</f>
        <v>1266000</v>
      </c>
      <c r="G40" s="33">
        <f>SP!J978</f>
        <v>1331800</v>
      </c>
      <c r="H40" s="33">
        <f>SP!K978</f>
        <v>1438900</v>
      </c>
      <c r="I40" s="33">
        <f>SP!L978</f>
        <v>1468000</v>
      </c>
      <c r="J40" s="33">
        <f>SP!M978</f>
        <v>1497700</v>
      </c>
      <c r="K40" s="33">
        <f>SP!N978</f>
        <v>1528000</v>
      </c>
      <c r="L40" s="33">
        <f>SP!O978</f>
        <v>1558900</v>
      </c>
      <c r="M40" s="33">
        <f>SP!P978</f>
        <v>1590400</v>
      </c>
      <c r="N40" s="33">
        <f>SP!Q978</f>
        <v>1622500</v>
      </c>
      <c r="O40" s="114">
        <f>SP!R978</f>
        <v>1655300</v>
      </c>
    </row>
    <row r="41" spans="1:15" s="118" customFormat="1" ht="12.75" customHeight="1" outlineLevel="1" x14ac:dyDescent="0.2">
      <c r="A41" s="292">
        <f>A38-A40</f>
        <v>-4793100</v>
      </c>
      <c r="B41" s="116">
        <f>B38-B40</f>
        <v>-5082800</v>
      </c>
      <c r="C41" s="160">
        <f>C38-C40</f>
        <v>-5323800</v>
      </c>
      <c r="D41" s="109" t="s">
        <v>406</v>
      </c>
      <c r="E41" s="160">
        <f t="shared" ref="E41:J41" si="11">E38-E40</f>
        <v>-6053300</v>
      </c>
      <c r="F41" s="116">
        <f t="shared" si="11"/>
        <v>-6146200</v>
      </c>
      <c r="G41" s="116">
        <f t="shared" si="11"/>
        <v>-6333400</v>
      </c>
      <c r="H41" s="116">
        <f t="shared" si="11"/>
        <v>-6859600</v>
      </c>
      <c r="I41" s="116">
        <f t="shared" si="11"/>
        <v>-6863400</v>
      </c>
      <c r="J41" s="116">
        <f t="shared" si="11"/>
        <v>-7023400</v>
      </c>
      <c r="K41" s="116">
        <f>K38-K40</f>
        <v>-7167800</v>
      </c>
      <c r="L41" s="116">
        <f>L38-L40</f>
        <v>-7241000</v>
      </c>
      <c r="M41" s="116">
        <f>M38-M40</f>
        <v>-7312600</v>
      </c>
      <c r="N41" s="116">
        <f>N38-N40</f>
        <v>-7385800</v>
      </c>
      <c r="O41" s="159">
        <f>O38-O40</f>
        <v>-7458900</v>
      </c>
    </row>
    <row r="42" spans="1:15" ht="12.75" customHeight="1" outlineLevel="1" x14ac:dyDescent="0.2">
      <c r="A42" s="107"/>
      <c r="B42" s="33"/>
      <c r="C42" s="142"/>
      <c r="D42" s="137"/>
      <c r="E42" s="142"/>
      <c r="F42" s="33"/>
      <c r="G42" s="33"/>
      <c r="H42" s="33"/>
      <c r="I42" s="33"/>
      <c r="J42" s="33"/>
      <c r="K42" s="33"/>
      <c r="L42" s="33"/>
      <c r="M42" s="33"/>
      <c r="N42" s="33"/>
      <c r="O42" s="114"/>
    </row>
    <row r="43" spans="1:15" x14ac:dyDescent="0.2">
      <c r="A43" s="107"/>
      <c r="B43" s="33"/>
      <c r="C43" s="142"/>
      <c r="D43" s="170" t="s">
        <v>1781</v>
      </c>
      <c r="E43" s="142"/>
      <c r="F43" s="33"/>
      <c r="G43" s="33"/>
      <c r="H43" s="33"/>
      <c r="I43" s="33"/>
      <c r="J43" s="33"/>
      <c r="K43" s="33"/>
      <c r="L43" s="33"/>
      <c r="M43" s="33"/>
      <c r="N43" s="33"/>
      <c r="O43" s="114"/>
    </row>
    <row r="44" spans="1:15" x14ac:dyDescent="0.2">
      <c r="A44" s="107">
        <f t="shared" ref="A44:C45" si="12">A8+A18+A26+A36</f>
        <v>46104800</v>
      </c>
      <c r="B44" s="33">
        <f t="shared" si="12"/>
        <v>49178400</v>
      </c>
      <c r="C44" s="33">
        <f t="shared" si="12"/>
        <v>50716000</v>
      </c>
      <c r="D44" s="111" t="s">
        <v>393</v>
      </c>
      <c r="E44" s="142">
        <f>E8+E18+E26+E36</f>
        <v>54741000</v>
      </c>
      <c r="F44" s="33">
        <f t="shared" ref="F44:M44" si="13">F8+F18+F26+F36</f>
        <v>51961500</v>
      </c>
      <c r="G44" s="33">
        <f t="shared" si="13"/>
        <v>54184500</v>
      </c>
      <c r="H44" s="33">
        <f t="shared" si="13"/>
        <v>56242300</v>
      </c>
      <c r="I44" s="33">
        <f t="shared" si="13"/>
        <v>57796100</v>
      </c>
      <c r="J44" s="33">
        <f t="shared" si="13"/>
        <v>59181300</v>
      </c>
      <c r="K44" s="33">
        <f t="shared" si="13"/>
        <v>60628200</v>
      </c>
      <c r="L44" s="33">
        <f t="shared" si="13"/>
        <v>62308400</v>
      </c>
      <c r="M44" s="33">
        <f t="shared" si="13"/>
        <v>63821000</v>
      </c>
      <c r="N44" s="33">
        <f t="shared" ref="N44" si="14">N8+N18+N26+N36</f>
        <v>65499100</v>
      </c>
      <c r="O44" s="114">
        <f t="shared" ref="O44" si="15">O8+O18+O26+O36</f>
        <v>67219000</v>
      </c>
    </row>
    <row r="45" spans="1:15" x14ac:dyDescent="0.2">
      <c r="A45" s="107">
        <f t="shared" si="12"/>
        <v>36361100</v>
      </c>
      <c r="B45" s="33">
        <f t="shared" si="12"/>
        <v>35858700</v>
      </c>
      <c r="C45" s="33">
        <f t="shared" si="12"/>
        <v>40283100</v>
      </c>
      <c r="D45" s="111" t="s">
        <v>1115</v>
      </c>
      <c r="E45" s="142">
        <f t="shared" ref="E45:M45" si="16">E9+E19+E27+E37</f>
        <v>41842200</v>
      </c>
      <c r="F45" s="33">
        <f t="shared" si="16"/>
        <v>38993400</v>
      </c>
      <c r="G45" s="33">
        <f t="shared" si="16"/>
        <v>40222800</v>
      </c>
      <c r="H45" s="33">
        <f t="shared" si="16"/>
        <v>41385700</v>
      </c>
      <c r="I45" s="33">
        <f t="shared" si="16"/>
        <v>42450700</v>
      </c>
      <c r="J45" s="33">
        <f t="shared" si="16"/>
        <v>43420800</v>
      </c>
      <c r="K45" s="33">
        <f t="shared" si="16"/>
        <v>44072800</v>
      </c>
      <c r="L45" s="33">
        <f t="shared" si="16"/>
        <v>45042600</v>
      </c>
      <c r="M45" s="33">
        <f t="shared" si="16"/>
        <v>46158200</v>
      </c>
      <c r="N45" s="33">
        <f t="shared" ref="N45" si="17">N9+N19+N27+N37</f>
        <v>46892900</v>
      </c>
      <c r="O45" s="114">
        <f t="shared" ref="O45" si="18">O9+O19+O27+O37</f>
        <v>47734600</v>
      </c>
    </row>
    <row r="46" spans="1:15" s="92" customFormat="1" x14ac:dyDescent="0.2">
      <c r="A46" s="70">
        <f>A44-A45</f>
        <v>9743700</v>
      </c>
      <c r="B46" s="64">
        <f>B44-B45</f>
        <v>13319700</v>
      </c>
      <c r="C46" s="64">
        <f>C44-C45</f>
        <v>10432900</v>
      </c>
      <c r="D46" s="109" t="s">
        <v>4240</v>
      </c>
      <c r="E46" s="128">
        <f t="shared" ref="E46:J46" si="19">E44-E45</f>
        <v>12898800</v>
      </c>
      <c r="F46" s="64">
        <f t="shared" si="19"/>
        <v>12968100</v>
      </c>
      <c r="G46" s="64">
        <f t="shared" si="19"/>
        <v>13961700</v>
      </c>
      <c r="H46" s="64">
        <f t="shared" si="19"/>
        <v>14856600</v>
      </c>
      <c r="I46" s="64">
        <f t="shared" si="19"/>
        <v>15345400</v>
      </c>
      <c r="J46" s="64">
        <f t="shared" si="19"/>
        <v>15760500</v>
      </c>
      <c r="K46" s="64">
        <f>K44-K45</f>
        <v>16555400</v>
      </c>
      <c r="L46" s="64">
        <f>L44-L45</f>
        <v>17265800</v>
      </c>
      <c r="M46" s="64">
        <f>M44-M45</f>
        <v>17662800</v>
      </c>
      <c r="N46" s="64">
        <f>N44-N45</f>
        <v>18606200</v>
      </c>
      <c r="O46" s="115">
        <f>O44-O45</f>
        <v>19484400</v>
      </c>
    </row>
    <row r="47" spans="1:15" x14ac:dyDescent="0.2">
      <c r="A47" s="107"/>
      <c r="B47" s="33"/>
      <c r="C47" s="33"/>
      <c r="D47" s="111"/>
      <c r="E47" s="142"/>
      <c r="F47" s="33"/>
      <c r="G47" s="33"/>
      <c r="H47" s="33"/>
      <c r="I47" s="33"/>
      <c r="J47" s="33"/>
      <c r="K47" s="33"/>
      <c r="L47" s="33"/>
      <c r="M47" s="33"/>
      <c r="N47" s="33"/>
      <c r="O47" s="114"/>
    </row>
    <row r="48" spans="1:15" x14ac:dyDescent="0.2">
      <c r="A48" s="107">
        <f>+A12+A22+A30+A40</f>
        <v>15865700</v>
      </c>
      <c r="B48" s="33">
        <f>+B12+B22+B30+B40</f>
        <v>14144300</v>
      </c>
      <c r="C48" s="33">
        <f>+C12+C22+C30+C40</f>
        <v>14166800</v>
      </c>
      <c r="D48" s="111" t="s">
        <v>1769</v>
      </c>
      <c r="E48" s="142">
        <f t="shared" ref="E48:M48" si="20">+E12+E22+E30+E40</f>
        <v>13056400</v>
      </c>
      <c r="F48" s="33">
        <f t="shared" si="20"/>
        <v>13383900</v>
      </c>
      <c r="G48" s="33">
        <f t="shared" si="20"/>
        <v>13704300</v>
      </c>
      <c r="H48" s="33">
        <f t="shared" si="20"/>
        <v>14071100</v>
      </c>
      <c r="I48" s="33">
        <f t="shared" si="20"/>
        <v>14353700</v>
      </c>
      <c r="J48" s="33">
        <f t="shared" si="20"/>
        <v>14642100</v>
      </c>
      <c r="K48" s="33">
        <f t="shared" si="20"/>
        <v>14936400</v>
      </c>
      <c r="L48" s="33">
        <f t="shared" si="20"/>
        <v>15236400</v>
      </c>
      <c r="M48" s="33">
        <f t="shared" si="20"/>
        <v>15542500</v>
      </c>
      <c r="N48" s="33">
        <f t="shared" ref="N48" si="21">+N12+N22+N30+N40</f>
        <v>15854800</v>
      </c>
      <c r="O48" s="114">
        <f t="shared" ref="O48" si="22">+O12+O22+O30+O40</f>
        <v>16173200</v>
      </c>
    </row>
    <row r="49" spans="1:15" x14ac:dyDescent="0.2">
      <c r="A49" s="107">
        <f>A13</f>
        <v>289900</v>
      </c>
      <c r="B49" s="33">
        <f>B13</f>
        <v>725700</v>
      </c>
      <c r="C49" s="33">
        <f>C13</f>
        <v>-319800</v>
      </c>
      <c r="D49" s="111" t="s">
        <v>5411</v>
      </c>
      <c r="E49" s="142">
        <f t="shared" ref="E49:M49" si="23">E13</f>
        <v>0</v>
      </c>
      <c r="F49" s="33">
        <f t="shared" si="23"/>
        <v>0</v>
      </c>
      <c r="G49" s="33">
        <f t="shared" si="23"/>
        <v>0</v>
      </c>
      <c r="H49" s="33">
        <f t="shared" si="23"/>
        <v>0</v>
      </c>
      <c r="I49" s="33">
        <f t="shared" si="23"/>
        <v>0</v>
      </c>
      <c r="J49" s="33">
        <f t="shared" si="23"/>
        <v>0</v>
      </c>
      <c r="K49" s="33">
        <f t="shared" si="23"/>
        <v>0</v>
      </c>
      <c r="L49" s="33">
        <f t="shared" si="23"/>
        <v>0</v>
      </c>
      <c r="M49" s="33">
        <f t="shared" si="23"/>
        <v>0</v>
      </c>
      <c r="N49" s="33">
        <f t="shared" ref="N49" si="24">N13</f>
        <v>0</v>
      </c>
      <c r="O49" s="114">
        <f t="shared" ref="O49" si="25">O13</f>
        <v>0</v>
      </c>
    </row>
    <row r="50" spans="1:15" x14ac:dyDescent="0.2">
      <c r="A50" s="107">
        <f>A31</f>
        <v>169300</v>
      </c>
      <c r="B50" s="33">
        <f>B31</f>
        <v>231300</v>
      </c>
      <c r="C50" s="142">
        <f>C31</f>
        <v>190800</v>
      </c>
      <c r="D50" s="111" t="s">
        <v>4239</v>
      </c>
      <c r="E50" s="142">
        <f>E31</f>
        <v>205900</v>
      </c>
      <c r="F50" s="33">
        <f t="shared" ref="F50:M50" si="26">F31</f>
        <v>119100</v>
      </c>
      <c r="G50" s="33">
        <f t="shared" si="26"/>
        <v>70200</v>
      </c>
      <c r="H50" s="33">
        <f>H31</f>
        <v>48000</v>
      </c>
      <c r="I50" s="33">
        <f t="shared" si="26"/>
        <v>20600</v>
      </c>
      <c r="J50" s="33">
        <f t="shared" si="26"/>
        <v>21400</v>
      </c>
      <c r="K50" s="33">
        <f t="shared" si="26"/>
        <v>22100</v>
      </c>
      <c r="L50" s="33">
        <f t="shared" si="26"/>
        <v>22900</v>
      </c>
      <c r="M50" s="33">
        <f t="shared" si="26"/>
        <v>23800</v>
      </c>
      <c r="N50" s="33">
        <f t="shared" ref="N50" si="27">N31</f>
        <v>24700</v>
      </c>
      <c r="O50" s="114">
        <f t="shared" ref="O50" si="28">O31</f>
        <v>25600</v>
      </c>
    </row>
    <row r="51" spans="1:15" ht="13.5" thickBot="1" x14ac:dyDescent="0.25">
      <c r="A51" s="107">
        <f>A32+A14</f>
        <v>3967400</v>
      </c>
      <c r="B51" s="33">
        <f>B32+B14</f>
        <v>3347700</v>
      </c>
      <c r="C51" s="142">
        <f>C32+C14</f>
        <v>0</v>
      </c>
      <c r="D51" s="111" t="s">
        <v>4547</v>
      </c>
      <c r="E51" s="142">
        <f t="shared" ref="E51:M51" si="29">E32+E14</f>
        <v>0</v>
      </c>
      <c r="F51" s="33">
        <f t="shared" si="29"/>
        <v>0</v>
      </c>
      <c r="G51" s="33">
        <f t="shared" si="29"/>
        <v>0</v>
      </c>
      <c r="H51" s="33">
        <f t="shared" si="29"/>
        <v>0</v>
      </c>
      <c r="I51" s="33">
        <f t="shared" si="29"/>
        <v>0</v>
      </c>
      <c r="J51" s="33">
        <f t="shared" si="29"/>
        <v>0</v>
      </c>
      <c r="K51" s="33">
        <f t="shared" si="29"/>
        <v>0</v>
      </c>
      <c r="L51" s="33">
        <f t="shared" si="29"/>
        <v>0</v>
      </c>
      <c r="M51" s="33">
        <f t="shared" si="29"/>
        <v>0</v>
      </c>
      <c r="N51" s="33">
        <f t="shared" ref="N51" si="30">N32+N14</f>
        <v>0</v>
      </c>
      <c r="O51" s="114">
        <f t="shared" ref="O51" si="31">O32+O14</f>
        <v>0</v>
      </c>
    </row>
    <row r="52" spans="1:15" s="118" customFormat="1" x14ac:dyDescent="0.2">
      <c r="A52" s="178">
        <f>A46-SUM(A47:A51)</f>
        <v>-10548600</v>
      </c>
      <c r="B52" s="106">
        <f>B46-SUM(B47:B51)</f>
        <v>-5129300</v>
      </c>
      <c r="C52" s="158">
        <f>C46-SUM(C47:C51)</f>
        <v>-3604900</v>
      </c>
      <c r="D52" s="328" t="s">
        <v>406</v>
      </c>
      <c r="E52" s="158">
        <f t="shared" ref="E52:M52" si="32">E46-SUM(E47:E51)</f>
        <v>-363500</v>
      </c>
      <c r="F52" s="106">
        <f t="shared" si="32"/>
        <v>-534900</v>
      </c>
      <c r="G52" s="106">
        <f t="shared" si="32"/>
        <v>187200</v>
      </c>
      <c r="H52" s="106">
        <f t="shared" si="32"/>
        <v>737500</v>
      </c>
      <c r="I52" s="106">
        <f t="shared" si="32"/>
        <v>971100</v>
      </c>
      <c r="J52" s="106">
        <f t="shared" si="32"/>
        <v>1097000</v>
      </c>
      <c r="K52" s="106">
        <f t="shared" si="32"/>
        <v>1596900</v>
      </c>
      <c r="L52" s="106">
        <f t="shared" si="32"/>
        <v>2006500</v>
      </c>
      <c r="M52" s="106">
        <f t="shared" si="32"/>
        <v>2096500</v>
      </c>
      <c r="N52" s="106">
        <f t="shared" ref="N52" si="33">N46-SUM(N47:N51)</f>
        <v>2726700</v>
      </c>
      <c r="O52" s="157">
        <f t="shared" ref="O52" si="34">O46-SUM(O47:O51)</f>
        <v>3285600</v>
      </c>
    </row>
    <row r="53" spans="1:15" x14ac:dyDescent="0.2">
      <c r="A53" s="107"/>
      <c r="B53" s="33"/>
      <c r="C53" s="142"/>
      <c r="D53" s="111"/>
      <c r="E53" s="142"/>
      <c r="F53" s="33"/>
      <c r="G53" s="33"/>
      <c r="H53" s="33"/>
      <c r="I53" s="33"/>
      <c r="J53" s="33"/>
      <c r="K53" s="33"/>
      <c r="L53" s="33"/>
      <c r="M53" s="33"/>
      <c r="N53" s="33"/>
      <c r="O53" s="114"/>
    </row>
    <row r="54" spans="1:15" x14ac:dyDescent="0.2">
      <c r="A54" s="107"/>
      <c r="B54" s="33"/>
      <c r="C54" s="142"/>
      <c r="D54" s="145" t="s">
        <v>1457</v>
      </c>
      <c r="E54" s="142"/>
      <c r="F54" s="33"/>
      <c r="G54" s="33"/>
      <c r="H54" s="33"/>
      <c r="I54" s="33"/>
      <c r="J54" s="33"/>
      <c r="K54" s="33"/>
      <c r="L54" s="33"/>
      <c r="M54" s="33"/>
      <c r="N54" s="33"/>
      <c r="O54" s="114"/>
    </row>
    <row r="55" spans="1:15" x14ac:dyDescent="0.2">
      <c r="A55" s="107">
        <f>A97</f>
        <v>1784300</v>
      </c>
      <c r="B55" s="33">
        <f>B97</f>
        <v>5663100</v>
      </c>
      <c r="C55" s="142">
        <f>C97</f>
        <v>1000000</v>
      </c>
      <c r="D55" s="78" t="s">
        <v>3</v>
      </c>
      <c r="E55" s="142">
        <f>E97</f>
        <v>1020000</v>
      </c>
      <c r="F55" s="33">
        <f t="shared" ref="F55:J55" si="35">F97</f>
        <v>1035300</v>
      </c>
      <c r="G55" s="33">
        <f t="shared" si="35"/>
        <v>1061200</v>
      </c>
      <c r="H55" s="33">
        <f t="shared" si="35"/>
        <v>1087800</v>
      </c>
      <c r="I55" s="33">
        <f t="shared" si="35"/>
        <v>1115000</v>
      </c>
      <c r="J55" s="33">
        <f t="shared" si="35"/>
        <v>1137300</v>
      </c>
      <c r="K55" s="33">
        <f>K97</f>
        <v>1160100</v>
      </c>
      <c r="L55" s="33">
        <f>L97</f>
        <v>1183400</v>
      </c>
      <c r="M55" s="33">
        <f>M97</f>
        <v>1207100</v>
      </c>
      <c r="N55" s="33">
        <f>N97</f>
        <v>1231300</v>
      </c>
      <c r="O55" s="114">
        <f>O97</f>
        <v>1256000</v>
      </c>
    </row>
    <row r="56" spans="1:15" x14ac:dyDescent="0.2">
      <c r="A56" s="107">
        <v>6861200</v>
      </c>
      <c r="B56" s="33">
        <v>4752500</v>
      </c>
      <c r="C56" s="142">
        <f>'Cap-Gen'!Q211+'Cap Inc'!B11+'Cap Inc'!B15</f>
        <v>8258000</v>
      </c>
      <c r="D56" s="151" t="s">
        <v>2718</v>
      </c>
      <c r="E56" s="142">
        <f>'Cap-Gen'!V211-CIV!G1028</f>
        <v>7464700</v>
      </c>
      <c r="F56" s="33">
        <f>'Cap-Gen'!AA211-CIV!I1028</f>
        <v>9274500</v>
      </c>
      <c r="G56" s="33">
        <f>'Cap-Gen'!AF211-CIV!J1028</f>
        <v>709100</v>
      </c>
      <c r="H56" s="33">
        <f>'Cap-Gen'!AK211-CIV!K1028</f>
        <v>286300</v>
      </c>
      <c r="I56" s="33">
        <f>'Cap-Gen'!AP211-CIV!L1028</f>
        <v>114700</v>
      </c>
      <c r="J56" s="33">
        <f>'Cap-Gen'!AU211-CIV!M1028</f>
        <v>116700</v>
      </c>
      <c r="K56" s="33">
        <f>'Cap-Gen'!AZ211-CIV!N1028</f>
        <v>118700</v>
      </c>
      <c r="L56" s="33">
        <f>'Cap-Gen'!BE211-CIV!O1028</f>
        <v>120700</v>
      </c>
      <c r="M56" s="33">
        <f>'Cap-Gen'!BJ211-CIV!P1028</f>
        <v>122700</v>
      </c>
      <c r="N56" s="33">
        <f>'Cap-Gen'!BO211-CIV!Q1028</f>
        <v>124700</v>
      </c>
      <c r="O56" s="114">
        <f>'Cap-Gen'!BT211-CIV!R1028</f>
        <v>126900</v>
      </c>
    </row>
    <row r="57" spans="1:15" x14ac:dyDescent="0.2">
      <c r="A57" s="107">
        <f>'Sec 94'!A28</f>
        <v>2268800</v>
      </c>
      <c r="B57" s="33">
        <f>'Sec 94'!C28</f>
        <v>2924000</v>
      </c>
      <c r="C57" s="142">
        <f>'Sec 94'!E28</f>
        <v>2226100</v>
      </c>
      <c r="D57" s="99" t="s">
        <v>1489</v>
      </c>
      <c r="E57" s="142">
        <f>'Sec 94'!F28</f>
        <v>3104000</v>
      </c>
      <c r="F57" s="33">
        <f>'Sec 94'!G28</f>
        <v>7169000</v>
      </c>
      <c r="G57" s="33">
        <f>'Sec 94'!H28</f>
        <v>8347000</v>
      </c>
      <c r="H57" s="33">
        <f>'Sec 94'!I28</f>
        <v>6554000</v>
      </c>
      <c r="I57" s="33">
        <f>'Sec 94'!J28</f>
        <v>12717000</v>
      </c>
      <c r="J57" s="33">
        <f>'Sec 94'!K28</f>
        <v>12971000</v>
      </c>
      <c r="K57" s="33">
        <f>'Sec 94'!L28</f>
        <v>3230000</v>
      </c>
      <c r="L57" s="33">
        <f>'Sec 94'!M28</f>
        <v>3293000</v>
      </c>
      <c r="M57" s="33">
        <f>'Sec 94'!N28</f>
        <v>3359000</v>
      </c>
      <c r="N57" s="33">
        <f>'Sec 94'!O28</f>
        <v>3426000</v>
      </c>
      <c r="O57" s="114">
        <f>'Sec 94'!P28</f>
        <v>3494000</v>
      </c>
    </row>
    <row r="58" spans="1:15" ht="13.5" thickBot="1" x14ac:dyDescent="0.25">
      <c r="A58" s="107"/>
      <c r="B58" s="33"/>
      <c r="C58" s="142"/>
      <c r="D58" s="99"/>
      <c r="E58" s="142"/>
      <c r="F58" s="33"/>
      <c r="G58" s="33"/>
      <c r="H58" s="33"/>
      <c r="I58" s="33"/>
      <c r="J58" s="33"/>
      <c r="K58" s="33"/>
      <c r="L58" s="33"/>
      <c r="M58" s="33"/>
      <c r="N58" s="33"/>
      <c r="O58" s="114"/>
    </row>
    <row r="59" spans="1:15" s="118" customFormat="1" ht="13.5" thickBot="1" x14ac:dyDescent="0.25">
      <c r="A59" s="293">
        <f>SUM(A52:A58)</f>
        <v>365700</v>
      </c>
      <c r="B59" s="296">
        <f>SUM(B52:B58)</f>
        <v>8210300</v>
      </c>
      <c r="C59" s="298">
        <f>SUM(C52:C58)</f>
        <v>7879200</v>
      </c>
      <c r="D59" s="294" t="s">
        <v>2772</v>
      </c>
      <c r="E59" s="298">
        <f t="shared" ref="E59:N59" si="36">SUM(E52:E58)</f>
        <v>11225200</v>
      </c>
      <c r="F59" s="296">
        <f t="shared" si="36"/>
        <v>16943900</v>
      </c>
      <c r="G59" s="296">
        <f t="shared" si="36"/>
        <v>10304500</v>
      </c>
      <c r="H59" s="296">
        <f t="shared" si="36"/>
        <v>8665600</v>
      </c>
      <c r="I59" s="296">
        <f t="shared" si="36"/>
        <v>14917800</v>
      </c>
      <c r="J59" s="296">
        <f t="shared" si="36"/>
        <v>15322000</v>
      </c>
      <c r="K59" s="296">
        <f t="shared" si="36"/>
        <v>6105700</v>
      </c>
      <c r="L59" s="296">
        <f t="shared" si="36"/>
        <v>6603600</v>
      </c>
      <c r="M59" s="296">
        <f t="shared" si="36"/>
        <v>6785300</v>
      </c>
      <c r="N59" s="296">
        <f t="shared" si="36"/>
        <v>7508700</v>
      </c>
      <c r="O59" s="297">
        <f t="shared" ref="O59" si="37">SUM(O52:O58)</f>
        <v>8162500</v>
      </c>
    </row>
    <row r="60" spans="1:15" s="118" customFormat="1" ht="13.5" thickTop="1" x14ac:dyDescent="0.2">
      <c r="A60" s="292"/>
      <c r="B60" s="116"/>
      <c r="C60" s="160"/>
      <c r="D60" s="145"/>
      <c r="E60" s="160"/>
      <c r="F60" s="116"/>
      <c r="G60" s="116"/>
      <c r="H60" s="116"/>
      <c r="I60" s="116"/>
      <c r="J60" s="116"/>
      <c r="K60" s="116"/>
      <c r="L60" s="116"/>
      <c r="M60" s="116"/>
      <c r="N60" s="116"/>
      <c r="O60" s="159"/>
    </row>
    <row r="61" spans="1:15" s="118" customFormat="1" x14ac:dyDescent="0.2">
      <c r="A61" s="292"/>
      <c r="B61" s="116"/>
      <c r="C61" s="160"/>
      <c r="D61" s="145" t="s">
        <v>2773</v>
      </c>
      <c r="E61" s="160"/>
      <c r="F61" s="116"/>
      <c r="G61" s="116"/>
      <c r="H61" s="116"/>
      <c r="I61" s="116"/>
      <c r="J61" s="116"/>
      <c r="K61" s="116"/>
      <c r="L61" s="116"/>
      <c r="M61" s="116"/>
      <c r="N61" s="116"/>
      <c r="O61" s="159"/>
    </row>
    <row r="62" spans="1:15" s="118" customFormat="1" x14ac:dyDescent="0.2">
      <c r="A62" s="292"/>
      <c r="B62" s="116"/>
      <c r="C62" s="160"/>
      <c r="D62" s="145"/>
      <c r="E62" s="160"/>
      <c r="F62" s="116"/>
      <c r="G62" s="116"/>
      <c r="H62" s="116"/>
      <c r="I62" s="116"/>
      <c r="J62" s="116"/>
      <c r="K62" s="116"/>
      <c r="L62" s="116"/>
      <c r="M62" s="116"/>
      <c r="N62" s="116"/>
      <c r="O62" s="159"/>
    </row>
    <row r="63" spans="1:15" x14ac:dyDescent="0.2">
      <c r="A63" s="107"/>
      <c r="B63" s="33"/>
      <c r="C63" s="142"/>
      <c r="D63" s="145" t="s">
        <v>2368</v>
      </c>
      <c r="E63" s="142"/>
      <c r="F63" s="33"/>
      <c r="G63" s="33"/>
      <c r="H63" s="33"/>
      <c r="I63" s="33"/>
      <c r="J63" s="33"/>
      <c r="K63" s="33"/>
      <c r="L63" s="33"/>
      <c r="M63" s="33"/>
      <c r="N63" s="33"/>
      <c r="O63" s="114"/>
    </row>
    <row r="64" spans="1:15" x14ac:dyDescent="0.2">
      <c r="A64" s="107">
        <f>ROUND(A107,-1)</f>
        <v>15865700</v>
      </c>
      <c r="B64" s="33">
        <f>B107</f>
        <v>14144300</v>
      </c>
      <c r="C64" s="142">
        <f>C107</f>
        <v>14166800</v>
      </c>
      <c r="D64" s="99" t="s">
        <v>2070</v>
      </c>
      <c r="E64" s="142">
        <f>E107</f>
        <v>13056400</v>
      </c>
      <c r="F64" s="33">
        <f t="shared" ref="F64:J64" si="38">F107</f>
        <v>13383900</v>
      </c>
      <c r="G64" s="33">
        <f t="shared" si="38"/>
        <v>13704300</v>
      </c>
      <c r="H64" s="33">
        <f t="shared" si="38"/>
        <v>14071100</v>
      </c>
      <c r="I64" s="33">
        <f t="shared" si="38"/>
        <v>14353700</v>
      </c>
      <c r="J64" s="33">
        <f t="shared" si="38"/>
        <v>14642100</v>
      </c>
      <c r="K64" s="33">
        <f>K107</f>
        <v>14936400</v>
      </c>
      <c r="L64" s="33">
        <f>L107</f>
        <v>15236400</v>
      </c>
      <c r="M64" s="33">
        <f>M107</f>
        <v>15542500</v>
      </c>
      <c r="N64" s="33">
        <f>N107</f>
        <v>15854800</v>
      </c>
      <c r="O64" s="114">
        <f>O107</f>
        <v>16173200</v>
      </c>
    </row>
    <row r="65" spans="1:15" x14ac:dyDescent="0.2">
      <c r="A65" s="107">
        <f>A49</f>
        <v>289900</v>
      </c>
      <c r="B65" s="33">
        <f>B49</f>
        <v>725700</v>
      </c>
      <c r="C65" s="33">
        <f>C49</f>
        <v>-319800</v>
      </c>
      <c r="D65" s="111" t="s">
        <v>5410</v>
      </c>
      <c r="E65" s="33">
        <f t="shared" ref="E65:N65" si="39">E49</f>
        <v>0</v>
      </c>
      <c r="F65" s="33">
        <f t="shared" si="39"/>
        <v>0</v>
      </c>
      <c r="G65" s="33">
        <f t="shared" si="39"/>
        <v>0</v>
      </c>
      <c r="H65" s="33">
        <f t="shared" si="39"/>
        <v>0</v>
      </c>
      <c r="I65" s="33">
        <f t="shared" si="39"/>
        <v>0</v>
      </c>
      <c r="J65" s="33">
        <f t="shared" si="39"/>
        <v>0</v>
      </c>
      <c r="K65" s="33">
        <f t="shared" si="39"/>
        <v>0</v>
      </c>
      <c r="L65" s="33">
        <f t="shared" si="39"/>
        <v>0</v>
      </c>
      <c r="M65" s="33">
        <f t="shared" si="39"/>
        <v>0</v>
      </c>
      <c r="N65" s="33">
        <f t="shared" si="39"/>
        <v>0</v>
      </c>
      <c r="O65" s="114">
        <f t="shared" ref="O65" si="40">O49</f>
        <v>0</v>
      </c>
    </row>
    <row r="66" spans="1:15" x14ac:dyDescent="0.2">
      <c r="A66" s="107">
        <f>-GM!B42</f>
        <v>333000</v>
      </c>
      <c r="B66" s="33">
        <f>-GM!C42</f>
        <v>-30000</v>
      </c>
      <c r="C66" s="33">
        <f>-GM!D42</f>
        <v>-163000</v>
      </c>
      <c r="D66" s="111" t="s">
        <v>5401</v>
      </c>
      <c r="E66" s="33">
        <f>-GM!G42</f>
        <v>0</v>
      </c>
      <c r="F66" s="33">
        <f>-GM!G42</f>
        <v>0</v>
      </c>
      <c r="G66" s="33">
        <f>-GM!I42</f>
        <v>0</v>
      </c>
      <c r="H66" s="33">
        <f>-GM!J42</f>
        <v>0</v>
      </c>
      <c r="I66" s="33">
        <f>-GM!K42</f>
        <v>0</v>
      </c>
      <c r="J66" s="33">
        <f>-GM!L42</f>
        <v>0</v>
      </c>
      <c r="K66" s="33">
        <f>-GM!M42</f>
        <v>0</v>
      </c>
      <c r="L66" s="33">
        <f>-GM!N42</f>
        <v>0</v>
      </c>
      <c r="M66" s="33">
        <f>-GM!O42</f>
        <v>0</v>
      </c>
      <c r="N66" s="33">
        <f>-GM!P42</f>
        <v>0</v>
      </c>
      <c r="O66" s="114">
        <f>-GM!Q42</f>
        <v>0</v>
      </c>
    </row>
    <row r="67" spans="1:15" x14ac:dyDescent="0.2">
      <c r="A67" s="107">
        <f>-GM!B911</f>
        <v>0</v>
      </c>
      <c r="B67" s="33">
        <f>-GM!C911</f>
        <v>-460100</v>
      </c>
      <c r="C67" s="33">
        <f>GM!D911</f>
        <v>0</v>
      </c>
      <c r="D67" s="111" t="s">
        <v>5439</v>
      </c>
      <c r="E67" s="33">
        <f>GM!G911</f>
        <v>0</v>
      </c>
      <c r="F67" s="33">
        <f>GM!I911</f>
        <v>0</v>
      </c>
      <c r="G67" s="33">
        <f>GM!J911</f>
        <v>0</v>
      </c>
      <c r="H67" s="33">
        <f>GM!K911</f>
        <v>0</v>
      </c>
      <c r="I67" s="33">
        <f>GM!L911</f>
        <v>0</v>
      </c>
      <c r="J67" s="33">
        <f>GM!M911</f>
        <v>0</v>
      </c>
      <c r="K67" s="33">
        <f>GM!N911</f>
        <v>0</v>
      </c>
      <c r="L67" s="33">
        <f>GM!O911</f>
        <v>0</v>
      </c>
      <c r="M67" s="33">
        <f>GM!P911</f>
        <v>0</v>
      </c>
      <c r="N67" s="33">
        <f>GM!Q911</f>
        <v>0</v>
      </c>
      <c r="O67" s="114">
        <f>GM!R911</f>
        <v>0</v>
      </c>
    </row>
    <row r="68" spans="1:15" x14ac:dyDescent="0.2">
      <c r="A68" s="107">
        <f t="shared" ref="A68:C69" si="41">A50</f>
        <v>169300</v>
      </c>
      <c r="B68" s="33">
        <f t="shared" si="41"/>
        <v>231300</v>
      </c>
      <c r="C68" s="33">
        <f t="shared" si="41"/>
        <v>190800</v>
      </c>
      <c r="D68" s="78" t="s">
        <v>5476</v>
      </c>
      <c r="E68" s="33">
        <f>E50</f>
        <v>205900</v>
      </c>
      <c r="F68" s="33">
        <f t="shared" ref="F68:N68" si="42">F50</f>
        <v>119100</v>
      </c>
      <c r="G68" s="33">
        <f t="shared" si="42"/>
        <v>70200</v>
      </c>
      <c r="H68" s="33">
        <f t="shared" si="42"/>
        <v>48000</v>
      </c>
      <c r="I68" s="33">
        <f t="shared" si="42"/>
        <v>20600</v>
      </c>
      <c r="J68" s="33">
        <f t="shared" si="42"/>
        <v>21400</v>
      </c>
      <c r="K68" s="33">
        <f t="shared" si="42"/>
        <v>22100</v>
      </c>
      <c r="L68" s="33">
        <f t="shared" si="42"/>
        <v>22900</v>
      </c>
      <c r="M68" s="33">
        <f t="shared" si="42"/>
        <v>23800</v>
      </c>
      <c r="N68" s="33">
        <f t="shared" si="42"/>
        <v>24700</v>
      </c>
      <c r="O68" s="114">
        <f t="shared" ref="O68" si="43">O50</f>
        <v>25600</v>
      </c>
    </row>
    <row r="69" spans="1:15" x14ac:dyDescent="0.2">
      <c r="A69" s="107">
        <f t="shared" si="41"/>
        <v>3967400</v>
      </c>
      <c r="B69" s="33">
        <f t="shared" si="41"/>
        <v>3347700</v>
      </c>
      <c r="C69" s="33">
        <f t="shared" si="41"/>
        <v>0</v>
      </c>
      <c r="D69" s="78" t="s">
        <v>4542</v>
      </c>
      <c r="E69" s="33">
        <f>E51</f>
        <v>0</v>
      </c>
      <c r="F69" s="33">
        <f t="shared" ref="F69:N69" si="44">F51</f>
        <v>0</v>
      </c>
      <c r="G69" s="33">
        <f t="shared" si="44"/>
        <v>0</v>
      </c>
      <c r="H69" s="33">
        <f t="shared" si="44"/>
        <v>0</v>
      </c>
      <c r="I69" s="33">
        <f t="shared" si="44"/>
        <v>0</v>
      </c>
      <c r="J69" s="33">
        <f t="shared" si="44"/>
        <v>0</v>
      </c>
      <c r="K69" s="33">
        <f t="shared" si="44"/>
        <v>0</v>
      </c>
      <c r="L69" s="33">
        <f t="shared" si="44"/>
        <v>0</v>
      </c>
      <c r="M69" s="33">
        <f t="shared" si="44"/>
        <v>0</v>
      </c>
      <c r="N69" s="33">
        <f t="shared" si="44"/>
        <v>0</v>
      </c>
      <c r="O69" s="114">
        <f t="shared" ref="O69" si="45">O51</f>
        <v>0</v>
      </c>
    </row>
    <row r="70" spans="1:15" x14ac:dyDescent="0.2">
      <c r="A70" s="107"/>
      <c r="B70" s="33"/>
      <c r="C70" s="142"/>
      <c r="D70" s="99"/>
      <c r="E70" s="142"/>
      <c r="F70" s="33"/>
      <c r="G70" s="33"/>
      <c r="H70" s="33"/>
      <c r="I70" s="33"/>
      <c r="J70" s="33"/>
      <c r="K70" s="33"/>
      <c r="L70" s="33"/>
      <c r="M70" s="33"/>
      <c r="N70" s="33"/>
      <c r="O70" s="114"/>
    </row>
    <row r="71" spans="1:15" x14ac:dyDescent="0.2">
      <c r="A71" s="107"/>
      <c r="B71" s="580"/>
      <c r="C71" s="142"/>
      <c r="D71" s="145" t="s">
        <v>752</v>
      </c>
      <c r="E71" s="142"/>
      <c r="F71" s="33"/>
      <c r="G71" s="33"/>
      <c r="H71" s="33"/>
      <c r="I71" s="33"/>
      <c r="J71" s="33"/>
      <c r="K71" s="33"/>
      <c r="L71" s="33"/>
      <c r="M71" s="33"/>
      <c r="N71" s="33"/>
      <c r="O71" s="114"/>
    </row>
    <row r="72" spans="1:15" x14ac:dyDescent="0.2">
      <c r="A72" s="107">
        <f>-A97</f>
        <v>-1784300</v>
      </c>
      <c r="B72" s="33">
        <f>-B97</f>
        <v>-5663100</v>
      </c>
      <c r="C72" s="142">
        <f>-C97</f>
        <v>-1000000</v>
      </c>
      <c r="D72" s="110" t="s">
        <v>3</v>
      </c>
      <c r="E72" s="142">
        <f>-E97</f>
        <v>-1020000</v>
      </c>
      <c r="F72" s="33">
        <f t="shared" ref="F72:J72" si="46">-F97</f>
        <v>-1035300</v>
      </c>
      <c r="G72" s="33">
        <f t="shared" si="46"/>
        <v>-1061200</v>
      </c>
      <c r="H72" s="33">
        <f t="shared" si="46"/>
        <v>-1087800</v>
      </c>
      <c r="I72" s="33">
        <f t="shared" si="46"/>
        <v>-1115000</v>
      </c>
      <c r="J72" s="33">
        <f t="shared" si="46"/>
        <v>-1137300</v>
      </c>
      <c r="K72" s="33">
        <f>-K97</f>
        <v>-1160100</v>
      </c>
      <c r="L72" s="33">
        <f>-L97</f>
        <v>-1183400</v>
      </c>
      <c r="M72" s="33">
        <f>-M97</f>
        <v>-1207100</v>
      </c>
      <c r="N72" s="33">
        <f>-N97</f>
        <v>-1231300</v>
      </c>
      <c r="O72" s="114">
        <f>-O97</f>
        <v>-1256000</v>
      </c>
    </row>
    <row r="73" spans="1:15" x14ac:dyDescent="0.2">
      <c r="A73" s="107"/>
      <c r="B73" s="33"/>
      <c r="C73" s="142"/>
      <c r="D73" s="99"/>
      <c r="E73" s="142"/>
      <c r="F73" s="33"/>
      <c r="G73" s="33"/>
      <c r="H73" s="33"/>
      <c r="I73" s="33"/>
      <c r="J73" s="33"/>
      <c r="K73" s="33"/>
      <c r="L73" s="33"/>
      <c r="M73" s="33"/>
      <c r="N73" s="33"/>
      <c r="O73" s="114"/>
    </row>
    <row r="74" spans="1:15" x14ac:dyDescent="0.2">
      <c r="A74" s="107"/>
      <c r="B74" s="33"/>
      <c r="C74" s="142"/>
      <c r="D74" s="145" t="s">
        <v>700</v>
      </c>
      <c r="E74" s="142"/>
      <c r="F74" s="33"/>
      <c r="G74" s="33"/>
      <c r="H74" s="33"/>
      <c r="I74" s="33"/>
      <c r="J74" s="33"/>
      <c r="K74" s="33"/>
      <c r="L74" s="33"/>
      <c r="M74" s="33"/>
      <c r="N74" s="33"/>
      <c r="O74" s="114"/>
    </row>
    <row r="75" spans="1:15" x14ac:dyDescent="0.2">
      <c r="A75" s="107">
        <v>1200000</v>
      </c>
      <c r="B75" s="33">
        <v>725000</v>
      </c>
      <c r="C75" s="142">
        <f>'Cap-Gen'!S211</f>
        <v>500000</v>
      </c>
      <c r="D75" s="78" t="s">
        <v>2196</v>
      </c>
      <c r="E75" s="142">
        <f>'Cap-Gen'!X211</f>
        <v>7611700</v>
      </c>
      <c r="F75" s="33">
        <f>'Cap-Gen'!AC211</f>
        <v>5927800</v>
      </c>
      <c r="G75" s="33">
        <f>'Cap-Gen'!AH211</f>
        <v>2500000</v>
      </c>
      <c r="H75" s="33">
        <f>'Cap-Gen'!AM211</f>
        <v>0</v>
      </c>
      <c r="I75" s="33">
        <f>'Cap-Gen'!AR211</f>
        <v>8340000</v>
      </c>
      <c r="J75" s="33">
        <f>'Cap-Gen'!AW211</f>
        <v>0</v>
      </c>
      <c r="K75" s="33">
        <f>'Cap-Gen'!BB211</f>
        <v>0</v>
      </c>
      <c r="L75" s="33">
        <f>'Cap-Gen'!BG211</f>
        <v>0</v>
      </c>
      <c r="M75" s="33">
        <f>'Cap-Gen'!BL211</f>
        <v>0</v>
      </c>
      <c r="N75" s="33">
        <f>'Cap-Gen'!BQ211</f>
        <v>0</v>
      </c>
      <c r="O75" s="114">
        <f>'Cap-Gen'!BV211</f>
        <v>0</v>
      </c>
    </row>
    <row r="76" spans="1:15" x14ac:dyDescent="0.2">
      <c r="A76" s="107">
        <f>-733700+353800-707600+14900+77300-77300-14900+289900-100-153200+50000+103200+200-400+25900-34100+666000-1332000+500000-579800-377800-6200-21900</f>
        <v>-1957800</v>
      </c>
      <c r="B76" s="33">
        <f>-500100-7000</f>
        <v>-507100</v>
      </c>
      <c r="C76" s="130">
        <f>2054600-18600</f>
        <v>2036000</v>
      </c>
      <c r="D76" s="111" t="s">
        <v>4684</v>
      </c>
      <c r="E76" s="142">
        <v>200000</v>
      </c>
      <c r="F76" s="33">
        <f t="shared" ref="F76:O76" si="47">E76</f>
        <v>200000</v>
      </c>
      <c r="G76" s="33">
        <f t="shared" si="47"/>
        <v>200000</v>
      </c>
      <c r="H76" s="33">
        <f t="shared" si="47"/>
        <v>200000</v>
      </c>
      <c r="I76" s="33">
        <f t="shared" si="47"/>
        <v>200000</v>
      </c>
      <c r="J76" s="33">
        <f t="shared" si="47"/>
        <v>200000</v>
      </c>
      <c r="K76" s="33">
        <f t="shared" si="47"/>
        <v>200000</v>
      </c>
      <c r="L76" s="33">
        <f t="shared" si="47"/>
        <v>200000</v>
      </c>
      <c r="M76" s="33">
        <f t="shared" si="47"/>
        <v>200000</v>
      </c>
      <c r="N76" s="33">
        <f t="shared" si="47"/>
        <v>200000</v>
      </c>
      <c r="O76" s="114">
        <f t="shared" si="47"/>
        <v>200000</v>
      </c>
    </row>
    <row r="77" spans="1:15" x14ac:dyDescent="0.2">
      <c r="A77" s="107">
        <v>1805200</v>
      </c>
      <c r="B77" s="33">
        <v>2809800</v>
      </c>
      <c r="C77" s="142">
        <f>'Cap Inc'!B129</f>
        <v>2286400</v>
      </c>
      <c r="D77" s="78" t="s">
        <v>225</v>
      </c>
      <c r="E77" s="142">
        <f>'Cap Inc'!E129</f>
        <v>5432400</v>
      </c>
      <c r="F77" s="33">
        <f>'Cap Inc'!F129</f>
        <v>4516000</v>
      </c>
      <c r="G77" s="33">
        <f>'Cap Inc'!G129</f>
        <v>4475000</v>
      </c>
      <c r="H77" s="33">
        <f>'Cap Inc'!H129</f>
        <v>4475000</v>
      </c>
      <c r="I77" s="33">
        <f>'Cap Inc'!I129</f>
        <v>5760000</v>
      </c>
      <c r="J77" s="33">
        <f>'Cap Inc'!J129</f>
        <v>1360000</v>
      </c>
      <c r="K77" s="33">
        <f>'Cap Inc'!K129</f>
        <v>960000</v>
      </c>
      <c r="L77" s="33">
        <f>'Cap Inc'!L129</f>
        <v>960000</v>
      </c>
      <c r="M77" s="33">
        <f>'Cap Inc'!M129</f>
        <v>960000</v>
      </c>
      <c r="N77" s="33">
        <f>'Cap Inc'!N129</f>
        <v>960000</v>
      </c>
      <c r="O77" s="114">
        <f>'Cap Inc'!O129</f>
        <v>960000</v>
      </c>
    </row>
    <row r="78" spans="1:15" x14ac:dyDescent="0.2">
      <c r="A78" s="107"/>
      <c r="B78" s="33"/>
      <c r="C78" s="142"/>
      <c r="D78" s="145"/>
      <c r="E78" s="142"/>
      <c r="F78" s="33"/>
      <c r="G78" s="33"/>
      <c r="H78" s="33"/>
      <c r="I78" s="33"/>
      <c r="J78" s="33"/>
      <c r="K78" s="33"/>
      <c r="L78" s="33"/>
      <c r="M78" s="33"/>
      <c r="N78" s="33"/>
      <c r="O78" s="114"/>
    </row>
    <row r="79" spans="1:15" x14ac:dyDescent="0.2">
      <c r="A79" s="107"/>
      <c r="B79" s="33"/>
      <c r="C79" s="142"/>
      <c r="D79" s="145" t="s">
        <v>2905</v>
      </c>
      <c r="E79" s="142"/>
      <c r="F79" s="33"/>
      <c r="G79" s="33"/>
      <c r="H79" s="33"/>
      <c r="I79" s="33"/>
      <c r="J79" s="33"/>
      <c r="K79" s="33"/>
      <c r="L79" s="33"/>
      <c r="M79" s="33"/>
      <c r="N79" s="33"/>
      <c r="O79" s="114"/>
    </row>
    <row r="80" spans="1:15" x14ac:dyDescent="0.2">
      <c r="A80" s="107">
        <f>-26989700-483900-404300</f>
        <v>-27877900</v>
      </c>
      <c r="B80" s="33">
        <v>-18233400</v>
      </c>
      <c r="C80" s="33">
        <f>-'Cap-Gen'!E211</f>
        <v>-22896800</v>
      </c>
      <c r="D80" s="78" t="s">
        <v>277</v>
      </c>
      <c r="E80" s="142">
        <f>-'Cap-Gen'!F211</f>
        <v>-43077900</v>
      </c>
      <c r="F80" s="33">
        <f>-'Cap-Gen'!G211</f>
        <v>-34939500</v>
      </c>
      <c r="G80" s="33">
        <f>-'Cap-Gen'!H211</f>
        <v>-33552100</v>
      </c>
      <c r="H80" s="33">
        <f>-'Cap-Gen'!I211</f>
        <v>-17407300</v>
      </c>
      <c r="I80" s="33">
        <f>-'Cap-Gen'!J211</f>
        <v>-42417300</v>
      </c>
      <c r="J80" s="33">
        <f>-'Cap-Gen'!K211</f>
        <v>-26118900</v>
      </c>
      <c r="K80" s="33">
        <f>-'Cap-Gen'!L211</f>
        <v>-14017900</v>
      </c>
      <c r="L80" s="33">
        <f>-'Cap-Gen'!M211</f>
        <v>-17438500</v>
      </c>
      <c r="M80" s="33">
        <f>-'Cap-Gen'!N211</f>
        <v>-15458700</v>
      </c>
      <c r="N80" s="33">
        <f>-'Cap-Gen'!O211</f>
        <v>-17518500</v>
      </c>
      <c r="O80" s="114">
        <f>-'Cap-Gen'!P211</f>
        <v>-19735900</v>
      </c>
    </row>
    <row r="81" spans="1:252" x14ac:dyDescent="0.2">
      <c r="A81" s="107">
        <f>ROUND(-(SP!B43+GM!B51+DEH!B37+CIV!B61),-2)</f>
        <v>-3216200</v>
      </c>
      <c r="B81" s="33">
        <f>-(SP!C43+GM!C51+DEH!C37+CIV!C61)</f>
        <v>-3395400</v>
      </c>
      <c r="C81" s="142">
        <f>-(SP!D43+GM!D51+DEH!D37+CIV!D61)</f>
        <v>-3788900</v>
      </c>
      <c r="D81" s="151" t="s">
        <v>1425</v>
      </c>
      <c r="E81" s="142">
        <f>-(SP!G43+GM!G51+DEH!G37+CIV!G61)</f>
        <v>-3696200</v>
      </c>
      <c r="F81" s="33">
        <f>-(SP!I43+GM!I51+DEH!I37+CIV!I61)</f>
        <v>-3312800</v>
      </c>
      <c r="G81" s="33">
        <f>-(SP!J43+GM!J51+DEH!J37+CIV!J61)</f>
        <v>-3247800</v>
      </c>
      <c r="H81" s="33">
        <f>-(SP!K43+GM!K51+DEH!K37+CIV!K61)</f>
        <v>-3318900</v>
      </c>
      <c r="I81" s="33">
        <f>-(SP!L43+GM!L51+DEH!L37+CIV!L61)</f>
        <v>-3043100</v>
      </c>
      <c r="J81" s="33">
        <f>-(SP!M43+GM!M51+DEH!M37+CIV!M61)</f>
        <v>-3542900</v>
      </c>
      <c r="K81" s="33">
        <f>-(SP!N43+GM!N51+DEH!N37+CIV!N61)</f>
        <v>-3084900</v>
      </c>
      <c r="L81" s="33">
        <f>-(SP!O43+GM!O51+DEH!O37+CIV!O61)</f>
        <v>-2350200</v>
      </c>
      <c r="M81" s="33">
        <f>-(SP!P43+GM!P51+DEH!P37+CIV!P61)</f>
        <v>-2080100</v>
      </c>
      <c r="N81" s="33">
        <f>-(SP!Q43+GM!Q51+DEH!Q37+CIV!Q61)</f>
        <v>-1452600</v>
      </c>
      <c r="O81" s="114">
        <f>-(SP!R43+GM!R51+DEH!R37+CIV!R61)</f>
        <v>-1449900</v>
      </c>
    </row>
    <row r="82" spans="1:252" ht="13.5" thickBot="1" x14ac:dyDescent="0.25">
      <c r="A82" s="107"/>
      <c r="B82" s="33"/>
      <c r="C82" s="142"/>
      <c r="D82" s="110"/>
      <c r="E82" s="142"/>
      <c r="F82" s="33"/>
      <c r="G82" s="33"/>
      <c r="H82" s="33"/>
      <c r="I82" s="33"/>
      <c r="J82" s="33"/>
      <c r="K82" s="33"/>
      <c r="L82" s="33"/>
      <c r="M82" s="33"/>
      <c r="N82" s="33"/>
      <c r="O82" s="114"/>
    </row>
    <row r="83" spans="1:252" s="570" customFormat="1" ht="13.5" thickBot="1" x14ac:dyDescent="0.25">
      <c r="A83" s="744">
        <f>A59+SUM(A60:A82)</f>
        <v>-10840000</v>
      </c>
      <c r="B83" s="568">
        <f>B59+SUM(B60:B82)</f>
        <v>1905000</v>
      </c>
      <c r="C83" s="298">
        <f>C59+SUM(C60:C82)</f>
        <v>-1109300</v>
      </c>
      <c r="D83" s="294" t="s">
        <v>2314</v>
      </c>
      <c r="E83" s="298">
        <f>E59+SUM(E60:E82)</f>
        <v>-10062500</v>
      </c>
      <c r="F83" s="568">
        <f t="shared" ref="F83:M83" si="48">F59+SUM(F60:F82)</f>
        <v>1803100</v>
      </c>
      <c r="G83" s="568">
        <f t="shared" si="48"/>
        <v>-6607100</v>
      </c>
      <c r="H83" s="568">
        <f t="shared" si="48"/>
        <v>5645700</v>
      </c>
      <c r="I83" s="568">
        <f t="shared" si="48"/>
        <v>-2983300</v>
      </c>
      <c r="J83" s="568">
        <f t="shared" si="48"/>
        <v>746400</v>
      </c>
      <c r="K83" s="568">
        <f t="shared" si="48"/>
        <v>3961300</v>
      </c>
      <c r="L83" s="568">
        <f t="shared" si="48"/>
        <v>2050800</v>
      </c>
      <c r="M83" s="568">
        <f t="shared" si="48"/>
        <v>4765700</v>
      </c>
      <c r="N83" s="568">
        <f t="shared" ref="N83" si="49">N59+SUM(N60:N82)</f>
        <v>4345800</v>
      </c>
      <c r="O83" s="569">
        <f t="shared" ref="O83" si="50">O59+SUM(O60:O82)</f>
        <v>3079500</v>
      </c>
    </row>
    <row r="84" spans="1:252" ht="13.5" thickTop="1" x14ac:dyDescent="0.2">
      <c r="A84" s="107"/>
      <c r="B84" s="33"/>
      <c r="C84" s="142"/>
      <c r="D84" s="99"/>
      <c r="E84" s="142"/>
      <c r="F84" s="33"/>
      <c r="G84" s="33"/>
      <c r="H84" s="33"/>
      <c r="I84" s="33"/>
      <c r="J84" s="33"/>
      <c r="K84" s="33"/>
      <c r="L84" s="33"/>
      <c r="M84" s="33"/>
      <c r="N84" s="33"/>
      <c r="O84" s="114"/>
    </row>
    <row r="85" spans="1:252" x14ac:dyDescent="0.2">
      <c r="A85" s="107"/>
      <c r="B85" s="33"/>
      <c r="C85" s="142"/>
      <c r="D85" s="109" t="s">
        <v>2281</v>
      </c>
      <c r="E85" s="142"/>
      <c r="F85" s="33"/>
      <c r="G85" s="33"/>
      <c r="H85" s="33"/>
      <c r="I85" s="33"/>
      <c r="J85" s="33"/>
      <c r="K85" s="33"/>
      <c r="L85" s="33"/>
      <c r="M85" s="33"/>
      <c r="N85" s="33"/>
      <c r="O85" s="114"/>
    </row>
    <row r="86" spans="1:252" s="133" customFormat="1" x14ac:dyDescent="0.2">
      <c r="A86" s="71">
        <v>-11293400</v>
      </c>
      <c r="B86" s="132">
        <v>2180200</v>
      </c>
      <c r="C86" s="130">
        <f>'Res-Gen'!D242-'Cash-Gen'!C87</f>
        <v>521200</v>
      </c>
      <c r="D86" s="111" t="s">
        <v>975</v>
      </c>
      <c r="E86" s="130">
        <f>'Res-Gen'!G242-'Cash-Gen'!E87</f>
        <v>-9943800</v>
      </c>
      <c r="F86" s="132">
        <f>'Res-Gen'!J242-'Cash-Gen'!F87</f>
        <v>-3363500</v>
      </c>
      <c r="G86" s="132">
        <f>'Res-Gen'!M242-'Cash-Gen'!G87</f>
        <v>2162200</v>
      </c>
      <c r="H86" s="132">
        <f>'Res-Gen'!P242-'Cash-Gen'!H87</f>
        <v>-330100</v>
      </c>
      <c r="I86" s="132">
        <f>'Res-Gen'!S242-'Cash-Gen'!I87</f>
        <v>-43400</v>
      </c>
      <c r="J86" s="132">
        <f>'Res-Gen'!V242-'Cash-Gen'!J87</f>
        <v>1265100</v>
      </c>
      <c r="K86" s="132">
        <f>'Res-Gen'!Y242-'Cash-Gen'!K87</f>
        <v>971700</v>
      </c>
      <c r="L86" s="132">
        <f>'Res-Gen'!AB242-'Cash-Gen'!L87</f>
        <v>401600</v>
      </c>
      <c r="M86" s="132">
        <f>'Res-Gen'!AE242-'Cash-Gen'!M87</f>
        <v>1251900</v>
      </c>
      <c r="N86" s="132">
        <f>'Res-Gen'!AH242-'Cash-Gen'!N87</f>
        <v>654600</v>
      </c>
      <c r="O86" s="131">
        <f>'Res-Gen'!AK242-'Cash-Gen'!O87</f>
        <v>786600</v>
      </c>
    </row>
    <row r="87" spans="1:252" s="133" customFormat="1" x14ac:dyDescent="0.2">
      <c r="A87" s="71">
        <v>453400</v>
      </c>
      <c r="B87" s="132">
        <v>-275200</v>
      </c>
      <c r="C87" s="130">
        <f>'Res-Bal'!C163</f>
        <v>-1630500</v>
      </c>
      <c r="D87" s="111" t="s">
        <v>2071</v>
      </c>
      <c r="E87" s="130">
        <f>'Res-Bal'!F163</f>
        <v>-186600</v>
      </c>
      <c r="F87" s="132">
        <f>'Res-Bal'!I163</f>
        <v>5311800</v>
      </c>
      <c r="G87" s="132">
        <f>'Res-Bal'!L163</f>
        <v>-8404100</v>
      </c>
      <c r="H87" s="132">
        <f>'Res-Bal'!O163</f>
        <v>6402100</v>
      </c>
      <c r="I87" s="132">
        <f>'Res-Bal'!R163</f>
        <v>-2449000</v>
      </c>
      <c r="J87" s="132">
        <f>'Res-Bal'!U163</f>
        <v>-154700</v>
      </c>
      <c r="K87" s="132">
        <f>'Res-Bal'!X163</f>
        <v>3283400</v>
      </c>
      <c r="L87" s="132">
        <f>'Res-Bal'!AA163</f>
        <v>1751400</v>
      </c>
      <c r="M87" s="132">
        <f>'Res-Bal'!AD163</f>
        <v>3583000</v>
      </c>
      <c r="N87" s="132">
        <f>'Res-Bal'!AG163</f>
        <v>3763200</v>
      </c>
      <c r="O87" s="131">
        <f>'Res-Bal'!AJ163</f>
        <v>2216200</v>
      </c>
    </row>
    <row r="88" spans="1:252" s="597" customFormat="1" x14ac:dyDescent="0.2">
      <c r="A88" s="738">
        <f>A83-A86-A87</f>
        <v>0</v>
      </c>
      <c r="B88" s="595">
        <f>B83-B86-B87</f>
        <v>0</v>
      </c>
      <c r="C88" s="130">
        <f>C83-C86-C87</f>
        <v>0</v>
      </c>
      <c r="D88" s="111" t="s">
        <v>926</v>
      </c>
      <c r="E88" s="130">
        <f>E83-E86-E87</f>
        <v>67900</v>
      </c>
      <c r="F88" s="595">
        <f t="shared" ref="F88:L88" si="51">F83-F86-F87</f>
        <v>-145200</v>
      </c>
      <c r="G88" s="595">
        <f t="shared" si="51"/>
        <v>-365200</v>
      </c>
      <c r="H88" s="595">
        <f t="shared" si="51"/>
        <v>-426300</v>
      </c>
      <c r="I88" s="595">
        <f t="shared" si="51"/>
        <v>-490900</v>
      </c>
      <c r="J88" s="595">
        <f t="shared" si="51"/>
        <v>-364000</v>
      </c>
      <c r="K88" s="595">
        <f t="shared" si="51"/>
        <v>-293800</v>
      </c>
      <c r="L88" s="595">
        <f t="shared" si="51"/>
        <v>-102200</v>
      </c>
      <c r="M88" s="595">
        <f t="shared" ref="M88:N88" si="52">M83-M86-M87</f>
        <v>-69200</v>
      </c>
      <c r="N88" s="595">
        <f t="shared" si="52"/>
        <v>-72000</v>
      </c>
      <c r="O88" s="596">
        <f t="shared" ref="O88" si="53">O83-O86-O87</f>
        <v>76700</v>
      </c>
      <c r="P88" s="133"/>
      <c r="Q88" s="133"/>
      <c r="R88" s="133"/>
      <c r="S88" s="133"/>
      <c r="T88" s="133"/>
      <c r="U88" s="133"/>
      <c r="V88" s="133"/>
      <c r="W88" s="133"/>
      <c r="X88" s="133"/>
      <c r="Y88" s="133"/>
      <c r="Z88" s="133"/>
      <c r="AA88" s="133"/>
      <c r="AB88" s="133"/>
      <c r="AC88" s="133"/>
      <c r="AD88" s="133"/>
      <c r="AE88" s="133"/>
      <c r="AF88" s="133"/>
      <c r="AG88" s="133"/>
      <c r="AH88" s="133"/>
      <c r="AI88" s="133"/>
      <c r="AJ88" s="133"/>
      <c r="AK88" s="133"/>
      <c r="AL88" s="133"/>
      <c r="AM88" s="133"/>
      <c r="AN88" s="133"/>
      <c r="AO88" s="133"/>
      <c r="AP88" s="133"/>
      <c r="AQ88" s="133"/>
      <c r="AR88" s="133"/>
      <c r="AS88" s="133"/>
      <c r="AT88" s="133"/>
      <c r="AU88" s="133"/>
      <c r="AV88" s="133"/>
      <c r="AW88" s="133"/>
      <c r="AX88" s="133"/>
      <c r="AY88" s="133"/>
      <c r="AZ88" s="133"/>
      <c r="BA88" s="133"/>
      <c r="BB88" s="133"/>
      <c r="BC88" s="133"/>
      <c r="BD88" s="133"/>
      <c r="BE88" s="133"/>
      <c r="BF88" s="133"/>
      <c r="BG88" s="133"/>
      <c r="BH88" s="133"/>
      <c r="BI88" s="133"/>
      <c r="BJ88" s="133"/>
      <c r="BK88" s="133"/>
      <c r="BL88" s="133"/>
      <c r="BM88" s="133"/>
      <c r="BN88" s="133"/>
      <c r="BO88" s="133"/>
      <c r="BP88" s="133"/>
      <c r="BQ88" s="133"/>
      <c r="BR88" s="133"/>
      <c r="BS88" s="133"/>
      <c r="BT88" s="133"/>
      <c r="BU88" s="133"/>
      <c r="BV88" s="133"/>
      <c r="BW88" s="133"/>
      <c r="BX88" s="133"/>
      <c r="BY88" s="133"/>
      <c r="BZ88" s="133"/>
      <c r="CA88" s="133"/>
      <c r="CB88" s="133"/>
      <c r="CC88" s="133"/>
      <c r="CD88" s="133"/>
      <c r="CE88" s="133"/>
      <c r="CF88" s="133"/>
      <c r="CG88" s="133"/>
      <c r="CH88" s="133"/>
      <c r="CI88" s="133"/>
      <c r="CJ88" s="133"/>
      <c r="CK88" s="133"/>
      <c r="CL88" s="133"/>
      <c r="CM88" s="133"/>
      <c r="CN88" s="133"/>
      <c r="CO88" s="133"/>
      <c r="CP88" s="133"/>
      <c r="CQ88" s="133"/>
      <c r="CR88" s="133"/>
      <c r="CS88" s="133"/>
      <c r="CT88" s="133"/>
      <c r="CU88" s="133"/>
      <c r="CV88" s="133"/>
      <c r="CW88" s="133"/>
      <c r="CX88" s="133"/>
      <c r="CY88" s="133"/>
      <c r="CZ88" s="133"/>
      <c r="DA88" s="133"/>
      <c r="DB88" s="133"/>
      <c r="DC88" s="133"/>
      <c r="DD88" s="133"/>
      <c r="DE88" s="133"/>
      <c r="DF88" s="133"/>
      <c r="DG88" s="133"/>
      <c r="DH88" s="133"/>
      <c r="DI88" s="133"/>
      <c r="DJ88" s="133"/>
      <c r="DK88" s="133"/>
      <c r="DL88" s="133"/>
      <c r="DM88" s="133"/>
      <c r="DN88" s="133"/>
      <c r="DO88" s="133"/>
      <c r="DP88" s="133"/>
      <c r="DQ88" s="133"/>
      <c r="DR88" s="133"/>
      <c r="DS88" s="133"/>
      <c r="DT88" s="133"/>
      <c r="DU88" s="133"/>
      <c r="DV88" s="133"/>
      <c r="DW88" s="133"/>
      <c r="DX88" s="133"/>
      <c r="DY88" s="133"/>
      <c r="DZ88" s="133"/>
      <c r="EA88" s="133"/>
      <c r="EB88" s="133"/>
      <c r="EC88" s="133"/>
      <c r="ED88" s="133"/>
      <c r="EE88" s="133"/>
      <c r="EF88" s="133"/>
      <c r="EG88" s="133"/>
      <c r="EH88" s="133"/>
      <c r="EI88" s="133"/>
      <c r="EJ88" s="133"/>
      <c r="EK88" s="133"/>
      <c r="EL88" s="133"/>
      <c r="EM88" s="133"/>
      <c r="EN88" s="133"/>
      <c r="EO88" s="133"/>
      <c r="EP88" s="133"/>
      <c r="EQ88" s="133"/>
      <c r="ER88" s="133"/>
      <c r="ES88" s="133"/>
      <c r="ET88" s="133"/>
      <c r="EU88" s="133"/>
      <c r="EV88" s="133"/>
      <c r="EW88" s="133"/>
      <c r="EX88" s="133"/>
      <c r="EY88" s="133"/>
      <c r="EZ88" s="133"/>
      <c r="FA88" s="133"/>
      <c r="FB88" s="133"/>
      <c r="FC88" s="133"/>
      <c r="FD88" s="133"/>
      <c r="FE88" s="133"/>
      <c r="FF88" s="133"/>
      <c r="FG88" s="133"/>
      <c r="FH88" s="133"/>
      <c r="FI88" s="133"/>
      <c r="FJ88" s="133"/>
      <c r="FK88" s="133"/>
      <c r="FL88" s="133"/>
      <c r="FM88" s="133"/>
      <c r="FN88" s="133"/>
      <c r="FO88" s="133"/>
      <c r="FP88" s="133"/>
      <c r="FQ88" s="133"/>
      <c r="FR88" s="133"/>
      <c r="FS88" s="133"/>
      <c r="FT88" s="133"/>
      <c r="FU88" s="133"/>
      <c r="FV88" s="133"/>
      <c r="FW88" s="133"/>
      <c r="FX88" s="133"/>
      <c r="FY88" s="133"/>
      <c r="FZ88" s="133"/>
      <c r="GA88" s="133"/>
      <c r="GB88" s="133"/>
      <c r="GC88" s="133"/>
      <c r="GD88" s="133"/>
      <c r="GE88" s="133"/>
      <c r="GF88" s="133"/>
      <c r="GG88" s="133"/>
      <c r="GH88" s="133"/>
      <c r="GI88" s="133"/>
      <c r="GJ88" s="133"/>
      <c r="GK88" s="133"/>
      <c r="GL88" s="133"/>
      <c r="GM88" s="133"/>
      <c r="GN88" s="133"/>
      <c r="GO88" s="133"/>
      <c r="GP88" s="133"/>
      <c r="GQ88" s="133"/>
      <c r="GR88" s="133"/>
      <c r="GS88" s="133"/>
      <c r="GT88" s="133"/>
      <c r="GU88" s="133"/>
      <c r="GV88" s="133"/>
      <c r="GW88" s="133"/>
      <c r="GX88" s="133"/>
      <c r="GY88" s="133"/>
      <c r="GZ88" s="133"/>
      <c r="HA88" s="133"/>
      <c r="HB88" s="133"/>
      <c r="HC88" s="133"/>
      <c r="HD88" s="133"/>
      <c r="HE88" s="133"/>
      <c r="HF88" s="133"/>
      <c r="HG88" s="133"/>
      <c r="HH88" s="133"/>
      <c r="HI88" s="133"/>
      <c r="HJ88" s="133"/>
      <c r="HK88" s="133"/>
      <c r="HL88" s="133"/>
      <c r="HM88" s="133"/>
      <c r="HN88" s="133"/>
      <c r="HO88" s="133"/>
      <c r="HP88" s="133"/>
      <c r="HQ88" s="133"/>
      <c r="HR88" s="133"/>
      <c r="HS88" s="133"/>
      <c r="HT88" s="133"/>
      <c r="HU88" s="133"/>
      <c r="HV88" s="133"/>
      <c r="HW88" s="133"/>
      <c r="HX88" s="133"/>
      <c r="HY88" s="133"/>
      <c r="HZ88" s="133"/>
      <c r="IA88" s="133"/>
      <c r="IB88" s="133"/>
      <c r="IC88" s="133"/>
      <c r="ID88" s="133"/>
      <c r="IE88" s="133"/>
      <c r="IF88" s="133"/>
      <c r="IG88" s="133"/>
      <c r="IH88" s="133"/>
      <c r="II88" s="133"/>
      <c r="IJ88" s="133"/>
      <c r="IK88" s="133"/>
      <c r="IL88" s="133"/>
      <c r="IM88" s="133"/>
      <c r="IN88" s="133"/>
      <c r="IO88" s="133"/>
      <c r="IP88" s="133"/>
      <c r="IQ88" s="133"/>
      <c r="IR88" s="133"/>
    </row>
    <row r="89" spans="1:252" ht="13.5" thickBot="1" x14ac:dyDescent="0.25">
      <c r="A89" s="171"/>
      <c r="B89" s="66"/>
      <c r="C89" s="166"/>
      <c r="D89" s="654"/>
      <c r="E89" s="166"/>
      <c r="F89" s="66"/>
      <c r="G89" s="66"/>
      <c r="H89" s="66"/>
      <c r="I89" s="66"/>
      <c r="J89" s="66"/>
      <c r="K89" s="66"/>
      <c r="L89" s="66"/>
      <c r="M89" s="66"/>
      <c r="N89" s="66"/>
      <c r="O89" s="165"/>
    </row>
    <row r="90" spans="1:252" ht="13.5" thickTop="1" x14ac:dyDescent="0.2">
      <c r="A90" s="99">
        <v>0</v>
      </c>
      <c r="B90" s="1838">
        <v>0</v>
      </c>
      <c r="C90" s="99"/>
      <c r="D90" s="636"/>
      <c r="E90" s="99"/>
      <c r="F90" s="99"/>
      <c r="G90" s="99"/>
      <c r="H90" s="99"/>
      <c r="I90" s="99"/>
      <c r="J90" s="99"/>
      <c r="K90" s="99"/>
      <c r="L90" s="99"/>
      <c r="M90" s="99"/>
      <c r="N90" s="99"/>
      <c r="O90" s="99"/>
    </row>
    <row r="91" spans="1:252" s="118" customFormat="1" x14ac:dyDescent="0.2">
      <c r="A91" s="145">
        <f>A90-A88</f>
        <v>0</v>
      </c>
      <c r="B91" s="145">
        <f>B90-B88</f>
        <v>0</v>
      </c>
      <c r="C91" s="145">
        <f>-C88+C88</f>
        <v>0</v>
      </c>
      <c r="D91" s="170" t="s">
        <v>1898</v>
      </c>
      <c r="E91" s="145">
        <f>-180800-E88+19000+44600-40000+1200+2000-2000+6600-5300+80000+155000-48000-3000-7000+46000-3000-23000-20000+5900-6500-15000+90000+243000-10000-50000-200000-5000-60000-5000-5000-5000-3700-1000+4400+117000-3000-6000+23000-26300+26300+63600-41600+57400+9600-20000-21400-45600+1000-26000-40000-4500+17000+25000-17000-2800-20300-10000+137000-27800-60000+32400-8700-23700-36100</f>
        <v>0</v>
      </c>
      <c r="F91" s="145"/>
      <c r="G91" s="145"/>
      <c r="H91" s="145"/>
      <c r="I91" s="145"/>
      <c r="J91" s="145"/>
      <c r="K91" s="145"/>
      <c r="L91" s="145"/>
      <c r="M91" s="145"/>
      <c r="N91" s="145"/>
      <c r="O91" s="145"/>
    </row>
    <row r="92" spans="1:252" ht="13.5" thickBot="1" x14ac:dyDescent="0.25">
      <c r="A92" s="74"/>
      <c r="B92" s="74"/>
      <c r="C92" s="74"/>
      <c r="D92" s="74"/>
      <c r="E92" s="74"/>
      <c r="F92" s="74"/>
      <c r="G92" s="74"/>
      <c r="H92" s="74"/>
      <c r="I92" s="74"/>
      <c r="J92" s="74"/>
      <c r="K92" s="74"/>
      <c r="L92" s="74"/>
      <c r="M92" s="74"/>
      <c r="N92" s="74"/>
      <c r="O92" s="74"/>
    </row>
    <row r="93" spans="1:252" ht="14.25" thickTop="1" thickBot="1" x14ac:dyDescent="0.25">
      <c r="A93" s="1736" t="str">
        <f>A100</f>
        <v>2013/14</v>
      </c>
      <c r="B93" s="1738" t="str">
        <f>B100</f>
        <v>2014/15</v>
      </c>
      <c r="C93" s="1739" t="str">
        <f>C100</f>
        <v>2015/16</v>
      </c>
      <c r="D93" s="1737" t="s">
        <v>2157</v>
      </c>
      <c r="E93" s="1739" t="str">
        <f t="shared" ref="E93:J93" si="54">E100</f>
        <v>2016/17</v>
      </c>
      <c r="F93" s="1739" t="str">
        <f t="shared" si="54"/>
        <v>2017/18</v>
      </c>
      <c r="G93" s="1739" t="str">
        <f t="shared" si="54"/>
        <v>2018/19</v>
      </c>
      <c r="H93" s="1739" t="str">
        <f t="shared" si="54"/>
        <v>2019/20</v>
      </c>
      <c r="I93" s="1739" t="str">
        <f t="shared" si="54"/>
        <v>2020/21</v>
      </c>
      <c r="J93" s="1739" t="str">
        <f t="shared" si="54"/>
        <v>2021/22</v>
      </c>
      <c r="K93" s="1739" t="str">
        <f>K100</f>
        <v>2022/23</v>
      </c>
      <c r="L93" s="1739" t="str">
        <f>L100</f>
        <v>2023/24</v>
      </c>
      <c r="M93" s="1739" t="str">
        <f>M100</f>
        <v>2024/25</v>
      </c>
      <c r="N93" s="1739" t="str">
        <f>N100</f>
        <v>2025/26</v>
      </c>
      <c r="O93" s="1740" t="str">
        <f>O100</f>
        <v>2026/27</v>
      </c>
    </row>
    <row r="94" spans="1:252" x14ac:dyDescent="0.2">
      <c r="A94" s="107"/>
      <c r="B94" s="33"/>
      <c r="C94" s="33"/>
      <c r="D94" s="1959"/>
      <c r="E94" s="33"/>
      <c r="F94" s="33"/>
      <c r="G94" s="33"/>
      <c r="H94" s="33"/>
      <c r="I94" s="33"/>
      <c r="J94" s="33"/>
      <c r="K94" s="33"/>
      <c r="L94" s="33"/>
      <c r="M94" s="33"/>
      <c r="N94" s="33"/>
      <c r="O94" s="114"/>
    </row>
    <row r="95" spans="1:252" x14ac:dyDescent="0.2">
      <c r="A95" s="107">
        <f>1784300</f>
        <v>1784300</v>
      </c>
      <c r="B95" s="33">
        <v>5663100</v>
      </c>
      <c r="C95" s="33">
        <v>1000000</v>
      </c>
      <c r="D95" s="142" t="s">
        <v>2544</v>
      </c>
      <c r="E95" s="33">
        <f>ROUNDUP(C95+(C95*Assumptions!G$5),-2)</f>
        <v>1020000</v>
      </c>
      <c r="F95" s="33">
        <f>ROUNDUP(E95+(E95*Assumptions!H$5),-2)</f>
        <v>1035300</v>
      </c>
      <c r="G95" s="33">
        <f>ROUNDUP(F95+(F95*Assumptions!I$5),-2)</f>
        <v>1061200</v>
      </c>
      <c r="H95" s="33">
        <f>ROUNDUP(G95+(G95*Assumptions!J$5),-2)</f>
        <v>1087800</v>
      </c>
      <c r="I95" s="33">
        <f>ROUNDUP(H95+(H95*Assumptions!K$5),-2)</f>
        <v>1115000</v>
      </c>
      <c r="J95" s="33">
        <f>ROUNDUP(I95+(I95*Assumptions!L$5),-2)</f>
        <v>1137300</v>
      </c>
      <c r="K95" s="33">
        <f>ROUNDUP(J95+(J95*Assumptions!M$5),-2)</f>
        <v>1160100</v>
      </c>
      <c r="L95" s="33">
        <f>ROUNDUP(K95+(K95*Assumptions!N$5),-2)</f>
        <v>1183400</v>
      </c>
      <c r="M95" s="33">
        <f>ROUNDUP(L95+(L95*Assumptions!O$5),-2)</f>
        <v>1207100</v>
      </c>
      <c r="N95" s="33">
        <f>ROUNDUP(M95+(M95*Assumptions!P$5),-2)</f>
        <v>1231300</v>
      </c>
      <c r="O95" s="114">
        <f>ROUNDUP(N95+(N95*Assumptions!Q$5),-2)</f>
        <v>1256000</v>
      </c>
    </row>
    <row r="96" spans="1:252" ht="13.5" thickBot="1" x14ac:dyDescent="0.25">
      <c r="A96" s="107"/>
      <c r="B96" s="33"/>
      <c r="C96" s="33"/>
      <c r="D96" s="1959"/>
      <c r="E96" s="33"/>
      <c r="F96" s="33"/>
      <c r="G96" s="33"/>
      <c r="H96" s="33"/>
      <c r="I96" s="33"/>
      <c r="J96" s="33"/>
      <c r="K96" s="33"/>
      <c r="L96" s="33"/>
      <c r="M96" s="33"/>
      <c r="N96" s="33"/>
      <c r="O96" s="114"/>
    </row>
    <row r="97" spans="1:22" s="92" customFormat="1" x14ac:dyDescent="0.2">
      <c r="A97" s="105">
        <f>SUM(A94:A96)</f>
        <v>1784300</v>
      </c>
      <c r="B97" s="53">
        <f>SUM(B94:B96)</f>
        <v>5663100</v>
      </c>
      <c r="C97" s="53">
        <f>SUM(C94:C96)</f>
        <v>1000000</v>
      </c>
      <c r="D97" s="1004" t="s">
        <v>2452</v>
      </c>
      <c r="E97" s="53">
        <f>SUM(E94:E96)</f>
        <v>1020000</v>
      </c>
      <c r="F97" s="53">
        <f t="shared" ref="F97:L97" si="55">SUM(F94:F96)</f>
        <v>1035300</v>
      </c>
      <c r="G97" s="53">
        <f t="shared" si="55"/>
        <v>1061200</v>
      </c>
      <c r="H97" s="53">
        <f t="shared" si="55"/>
        <v>1087800</v>
      </c>
      <c r="I97" s="53">
        <f t="shared" si="55"/>
        <v>1115000</v>
      </c>
      <c r="J97" s="53">
        <f t="shared" si="55"/>
        <v>1137300</v>
      </c>
      <c r="K97" s="53">
        <f t="shared" si="55"/>
        <v>1160100</v>
      </c>
      <c r="L97" s="53">
        <f t="shared" si="55"/>
        <v>1183400</v>
      </c>
      <c r="M97" s="53">
        <f t="shared" ref="M97:N97" si="56">SUM(M94:M96)</f>
        <v>1207100</v>
      </c>
      <c r="N97" s="53">
        <f t="shared" si="56"/>
        <v>1231300</v>
      </c>
      <c r="O97" s="113">
        <f t="shared" ref="O97" si="57">SUM(O94:O96)</f>
        <v>1256000</v>
      </c>
    </row>
    <row r="98" spans="1:22" ht="13.5" thickBot="1" x14ac:dyDescent="0.25">
      <c r="A98" s="171"/>
      <c r="B98" s="66"/>
      <c r="C98" s="66"/>
      <c r="D98" s="172"/>
      <c r="E98" s="66"/>
      <c r="F98" s="66"/>
      <c r="G98" s="66"/>
      <c r="H98" s="66"/>
      <c r="I98" s="66"/>
      <c r="J98" s="66"/>
      <c r="K98" s="66"/>
      <c r="L98" s="66"/>
      <c r="M98" s="66"/>
      <c r="N98" s="66"/>
      <c r="O98" s="165"/>
    </row>
    <row r="99" spans="1:22" ht="14.25" thickTop="1" thickBot="1" x14ac:dyDescent="0.25">
      <c r="A99" s="99"/>
      <c r="B99" s="99"/>
      <c r="C99" s="99"/>
      <c r="D99" s="99"/>
      <c r="E99" s="99"/>
      <c r="F99" s="99"/>
      <c r="G99" s="99"/>
      <c r="H99" s="99"/>
      <c r="I99" s="99"/>
      <c r="J99" s="99"/>
      <c r="K99" s="99"/>
      <c r="L99" s="99"/>
      <c r="M99" s="99"/>
      <c r="N99" s="99"/>
      <c r="O99" s="99"/>
    </row>
    <row r="100" spans="1:22" ht="14.25" thickTop="1" thickBot="1" x14ac:dyDescent="0.25">
      <c r="A100" s="1741" t="str">
        <f>DEH!B48</f>
        <v>2013/14</v>
      </c>
      <c r="B100" s="1738" t="str">
        <f>DEH!C48</f>
        <v>2014/15</v>
      </c>
      <c r="C100" s="1739" t="str">
        <f>DEH!D48</f>
        <v>2015/16</v>
      </c>
      <c r="D100" s="1742" t="s">
        <v>1571</v>
      </c>
      <c r="E100" s="1739" t="str">
        <f>DEH!G48</f>
        <v>2016/17</v>
      </c>
      <c r="F100" s="1739" t="str">
        <f>DEH!I48</f>
        <v>2017/18</v>
      </c>
      <c r="G100" s="1739" t="str">
        <f>DEH!J48</f>
        <v>2018/19</v>
      </c>
      <c r="H100" s="1739" t="str">
        <f>DEH!K48</f>
        <v>2019/20</v>
      </c>
      <c r="I100" s="1739" t="str">
        <f>DEH!L48</f>
        <v>2020/21</v>
      </c>
      <c r="J100" s="1739" t="str">
        <f>DEH!M48</f>
        <v>2021/22</v>
      </c>
      <c r="K100" s="1739" t="str">
        <f>DEH!N48</f>
        <v>2022/23</v>
      </c>
      <c r="L100" s="1739" t="str">
        <f>DEH!O48</f>
        <v>2023/24</v>
      </c>
      <c r="M100" s="1739" t="str">
        <f>DEH!P48</f>
        <v>2024/25</v>
      </c>
      <c r="N100" s="1739" t="str">
        <f>DEH!Q48</f>
        <v>2025/26</v>
      </c>
      <c r="O100" s="1740" t="str">
        <f>DEH!R48</f>
        <v>2026/27</v>
      </c>
    </row>
    <row r="101" spans="1:22" x14ac:dyDescent="0.2">
      <c r="A101" s="107"/>
      <c r="B101" s="142"/>
      <c r="C101" s="33"/>
      <c r="D101" s="123"/>
      <c r="E101" s="33"/>
      <c r="F101" s="33"/>
      <c r="G101" s="33"/>
      <c r="H101" s="33"/>
      <c r="I101" s="33"/>
      <c r="J101" s="33"/>
      <c r="K101" s="33"/>
      <c r="L101" s="33"/>
      <c r="M101" s="33"/>
      <c r="N101" s="33"/>
      <c r="O101" s="114"/>
    </row>
    <row r="102" spans="1:22" x14ac:dyDescent="0.2">
      <c r="A102" s="107">
        <f>GM!B41</f>
        <v>1384100</v>
      </c>
      <c r="B102" s="142">
        <f>GM!C41</f>
        <v>879400</v>
      </c>
      <c r="C102" s="142">
        <f>GM!D41</f>
        <v>942200</v>
      </c>
      <c r="D102" s="78" t="str">
        <f>Checks!D5</f>
        <v>General Manager's Group</v>
      </c>
      <c r="E102" s="33">
        <f>GM!G41</f>
        <v>1024000</v>
      </c>
      <c r="F102" s="33">
        <f>GM!I41</f>
        <v>1110200</v>
      </c>
      <c r="G102" s="33">
        <f>GM!J41</f>
        <v>1143500</v>
      </c>
      <c r="H102" s="33">
        <f>GM!K41</f>
        <v>1177800</v>
      </c>
      <c r="I102" s="33">
        <f>GM!L41</f>
        <v>1201400</v>
      </c>
      <c r="J102" s="33">
        <f>GM!M41</f>
        <v>1225600</v>
      </c>
      <c r="K102" s="33">
        <f>GM!N41</f>
        <v>1250300</v>
      </c>
      <c r="L102" s="33">
        <f>GM!O41</f>
        <v>1275400</v>
      </c>
      <c r="M102" s="33">
        <f>GM!P41</f>
        <v>1301000</v>
      </c>
      <c r="N102" s="33">
        <f>GM!Q41</f>
        <v>1327200</v>
      </c>
      <c r="O102" s="114">
        <f>GM!R41</f>
        <v>1353800</v>
      </c>
    </row>
    <row r="103" spans="1:22" x14ac:dyDescent="0.2">
      <c r="A103" s="107">
        <f>DEH!B31</f>
        <v>9800</v>
      </c>
      <c r="B103" s="142">
        <f>DEH!C31</f>
        <v>4400</v>
      </c>
      <c r="C103" s="33">
        <f>DEH!D31</f>
        <v>4500</v>
      </c>
      <c r="D103" s="78" t="s">
        <v>3364</v>
      </c>
      <c r="E103" s="33">
        <f>DEH!G31</f>
        <v>4400</v>
      </c>
      <c r="F103" s="33">
        <f>DEH!I31</f>
        <v>4500</v>
      </c>
      <c r="G103" s="33">
        <f>DEH!J31</f>
        <v>4600</v>
      </c>
      <c r="H103" s="33">
        <f>DEH!K31</f>
        <v>4700</v>
      </c>
      <c r="I103" s="33">
        <f>DEH!L31</f>
        <v>4800</v>
      </c>
      <c r="J103" s="33">
        <f>DEH!M31</f>
        <v>4900</v>
      </c>
      <c r="K103" s="33">
        <f>DEH!N31</f>
        <v>5000</v>
      </c>
      <c r="L103" s="33">
        <f>DEH!O31</f>
        <v>5100</v>
      </c>
      <c r="M103" s="33">
        <f>DEH!P31</f>
        <v>5300</v>
      </c>
      <c r="N103" s="33">
        <f>DEH!Q31</f>
        <v>5500</v>
      </c>
      <c r="O103" s="114">
        <f>DEH!R31</f>
        <v>5700</v>
      </c>
    </row>
    <row r="104" spans="1:22" x14ac:dyDescent="0.2">
      <c r="A104" s="107">
        <f>CIV!B52</f>
        <v>13367400</v>
      </c>
      <c r="B104" s="142">
        <f>CIV!C52</f>
        <v>12100500</v>
      </c>
      <c r="C104" s="33">
        <f>CIV!D52</f>
        <v>12031000</v>
      </c>
      <c r="D104" s="78" t="str">
        <f>Checks!D7</f>
        <v>Civil Services</v>
      </c>
      <c r="E104" s="33">
        <f>CIV!G52</f>
        <v>10787000</v>
      </c>
      <c r="F104" s="33">
        <f>CIV!I52</f>
        <v>11003200</v>
      </c>
      <c r="G104" s="33">
        <f>CIV!J52</f>
        <v>11224400</v>
      </c>
      <c r="H104" s="33">
        <f>CIV!K52</f>
        <v>11449700</v>
      </c>
      <c r="I104" s="33">
        <f>CIV!L52</f>
        <v>11679500</v>
      </c>
      <c r="J104" s="33">
        <f>CIV!M52</f>
        <v>11913900</v>
      </c>
      <c r="K104" s="33">
        <f>CIV!N52</f>
        <v>12153100</v>
      </c>
      <c r="L104" s="33">
        <f>CIV!O52</f>
        <v>12397000</v>
      </c>
      <c r="M104" s="33">
        <f>CIV!P52</f>
        <v>12645800</v>
      </c>
      <c r="N104" s="33">
        <f>CIV!Q52</f>
        <v>12899600</v>
      </c>
      <c r="O104" s="114">
        <f>CIV!R52</f>
        <v>13158400</v>
      </c>
    </row>
    <row r="105" spans="1:22" x14ac:dyDescent="0.2">
      <c r="A105" s="107">
        <f>SP!B37</f>
        <v>1104400</v>
      </c>
      <c r="B105" s="142">
        <f>SP!C37</f>
        <v>1160000</v>
      </c>
      <c r="C105" s="33">
        <f>SP!D37</f>
        <v>1189100</v>
      </c>
      <c r="D105" s="78" t="s">
        <v>3255</v>
      </c>
      <c r="E105" s="33">
        <f>SP!G37</f>
        <v>1241000</v>
      </c>
      <c r="F105" s="33">
        <f>SP!I37</f>
        <v>1266000</v>
      </c>
      <c r="G105" s="33">
        <f>SP!J37</f>
        <v>1331800</v>
      </c>
      <c r="H105" s="33">
        <f>SP!K37</f>
        <v>1438900</v>
      </c>
      <c r="I105" s="33">
        <f>SP!L37</f>
        <v>1468000</v>
      </c>
      <c r="J105" s="33">
        <f>SP!M37</f>
        <v>1497700</v>
      </c>
      <c r="K105" s="33">
        <f>SP!N37</f>
        <v>1528000</v>
      </c>
      <c r="L105" s="33">
        <f>SP!O37</f>
        <v>1558900</v>
      </c>
      <c r="M105" s="33">
        <f>SP!P37</f>
        <v>1590400</v>
      </c>
      <c r="N105" s="33">
        <f>SP!Q37</f>
        <v>1622500</v>
      </c>
      <c r="O105" s="114">
        <f>SP!R37</f>
        <v>1655300</v>
      </c>
    </row>
    <row r="106" spans="1:22" ht="13.5" thickBot="1" x14ac:dyDescent="0.25">
      <c r="A106" s="107"/>
      <c r="B106" s="142"/>
      <c r="C106" s="33"/>
      <c r="D106" s="112" t="s">
        <v>565</v>
      </c>
      <c r="E106" s="33"/>
      <c r="F106" s="33"/>
      <c r="G106" s="33"/>
      <c r="H106" s="33"/>
      <c r="I106" s="33"/>
      <c r="J106" s="33"/>
      <c r="K106" s="33"/>
      <c r="L106" s="33"/>
      <c r="M106" s="33"/>
      <c r="N106" s="33"/>
      <c r="O106" s="114"/>
    </row>
    <row r="107" spans="1:22" s="92" customFormat="1" x14ac:dyDescent="0.2">
      <c r="A107" s="105">
        <f>SUM(A102:A106)</f>
        <v>15865700</v>
      </c>
      <c r="B107" s="155">
        <f>SUM(B102:B106)</f>
        <v>14144300</v>
      </c>
      <c r="C107" s="53">
        <f>SUM(C102:C106)</f>
        <v>14166800</v>
      </c>
      <c r="D107" s="2799"/>
      <c r="E107" s="53">
        <f t="shared" ref="E107:L107" si="58">SUM(E102:E106)</f>
        <v>13056400</v>
      </c>
      <c r="F107" s="53">
        <f t="shared" si="58"/>
        <v>13383900</v>
      </c>
      <c r="G107" s="53">
        <f t="shared" si="58"/>
        <v>13704300</v>
      </c>
      <c r="H107" s="53">
        <f t="shared" si="58"/>
        <v>14071100</v>
      </c>
      <c r="I107" s="53">
        <f t="shared" si="58"/>
        <v>14353700</v>
      </c>
      <c r="J107" s="53">
        <f t="shared" si="58"/>
        <v>14642100</v>
      </c>
      <c r="K107" s="53">
        <f t="shared" si="58"/>
        <v>14936400</v>
      </c>
      <c r="L107" s="53">
        <f t="shared" si="58"/>
        <v>15236400</v>
      </c>
      <c r="M107" s="53">
        <f t="shared" ref="M107:N107" si="59">SUM(M102:M106)</f>
        <v>15542500</v>
      </c>
      <c r="N107" s="53">
        <f t="shared" si="59"/>
        <v>15854800</v>
      </c>
      <c r="O107" s="113">
        <f t="shared" ref="O107" si="60">SUM(O102:O106)</f>
        <v>16173200</v>
      </c>
      <c r="P107" s="84"/>
      <c r="Q107" s="84"/>
      <c r="R107" s="84"/>
      <c r="S107" s="84"/>
      <c r="T107" s="84"/>
      <c r="U107" s="84"/>
      <c r="V107" s="84"/>
    </row>
    <row r="108" spans="1:22" ht="13.5" thickBot="1" x14ac:dyDescent="0.25">
      <c r="A108" s="171"/>
      <c r="B108" s="166"/>
      <c r="C108" s="66"/>
      <c r="D108" s="329"/>
      <c r="E108" s="66"/>
      <c r="F108" s="66"/>
      <c r="G108" s="66"/>
      <c r="H108" s="66"/>
      <c r="I108" s="66"/>
      <c r="J108" s="66"/>
      <c r="K108" s="66"/>
      <c r="L108" s="66"/>
      <c r="M108" s="66"/>
      <c r="N108" s="66"/>
      <c r="O108" s="165"/>
    </row>
    <row r="109" spans="1:22" ht="13.5" thickTop="1" x14ac:dyDescent="0.2">
      <c r="A109" s="99"/>
      <c r="B109" s="99"/>
      <c r="C109" s="99"/>
      <c r="D109" s="99"/>
      <c r="E109" s="99"/>
      <c r="F109" s="99"/>
      <c r="G109" s="99"/>
      <c r="H109" s="99"/>
      <c r="I109" s="99"/>
      <c r="J109" s="99"/>
      <c r="K109" s="99"/>
      <c r="L109" s="99"/>
      <c r="M109" s="99"/>
      <c r="N109" s="99"/>
      <c r="O109" s="99"/>
    </row>
    <row r="110" spans="1:22" ht="13.5" thickBot="1" x14ac:dyDescent="0.25"/>
    <row r="111" spans="1:22" ht="14.25" thickTop="1" thickBot="1" x14ac:dyDescent="0.25">
      <c r="A111" s="1736" t="str">
        <f>A100</f>
        <v>2013/14</v>
      </c>
      <c r="B111" s="983" t="str">
        <f>B100</f>
        <v>2014/15</v>
      </c>
      <c r="C111" s="1739" t="str">
        <f>C100</f>
        <v>2015/16</v>
      </c>
      <c r="D111" s="1742" t="s">
        <v>1572</v>
      </c>
      <c r="E111" s="1739" t="str">
        <f t="shared" ref="E111:M111" si="61">E100</f>
        <v>2016/17</v>
      </c>
      <c r="F111" s="1739" t="str">
        <f t="shared" si="61"/>
        <v>2017/18</v>
      </c>
      <c r="G111" s="1739" t="str">
        <f t="shared" si="61"/>
        <v>2018/19</v>
      </c>
      <c r="H111" s="1739" t="str">
        <f t="shared" si="61"/>
        <v>2019/20</v>
      </c>
      <c r="I111" s="1739" t="str">
        <f t="shared" si="61"/>
        <v>2020/21</v>
      </c>
      <c r="J111" s="1739" t="str">
        <f t="shared" si="61"/>
        <v>2021/22</v>
      </c>
      <c r="K111" s="1739" t="str">
        <f t="shared" si="61"/>
        <v>2022/23</v>
      </c>
      <c r="L111" s="1739" t="str">
        <f t="shared" si="61"/>
        <v>2023/24</v>
      </c>
      <c r="M111" s="1739" t="str">
        <f t="shared" si="61"/>
        <v>2024/25</v>
      </c>
      <c r="N111" s="1739" t="str">
        <f t="shared" ref="N111" si="62">N100</f>
        <v>2025/26</v>
      </c>
      <c r="O111" s="1740" t="str">
        <f t="shared" ref="O111" si="63">O100</f>
        <v>2026/27</v>
      </c>
    </row>
    <row r="112" spans="1:22" x14ac:dyDescent="0.2">
      <c r="A112" s="107"/>
      <c r="B112" s="33"/>
      <c r="C112" s="33"/>
      <c r="D112" s="132"/>
      <c r="E112" s="33"/>
      <c r="F112" s="33"/>
      <c r="G112" s="33"/>
      <c r="H112" s="33"/>
      <c r="I112" s="33"/>
      <c r="J112" s="33"/>
      <c r="K112" s="33"/>
      <c r="L112" s="33"/>
      <c r="M112" s="33"/>
      <c r="N112" s="33"/>
      <c r="O112" s="114"/>
    </row>
    <row r="113" spans="1:15" x14ac:dyDescent="0.2">
      <c r="A113" s="107"/>
      <c r="B113" s="33"/>
      <c r="C113" s="33"/>
      <c r="D113" s="116" t="s">
        <v>2263</v>
      </c>
      <c r="E113" s="33"/>
      <c r="F113" s="33"/>
      <c r="G113" s="33"/>
      <c r="H113" s="33"/>
      <c r="I113" s="33"/>
      <c r="J113" s="33"/>
      <c r="K113" s="33"/>
      <c r="L113" s="33"/>
      <c r="M113" s="33"/>
      <c r="N113" s="33"/>
      <c r="O113" s="114"/>
    </row>
    <row r="114" spans="1:15" x14ac:dyDescent="0.2">
      <c r="A114" s="107"/>
      <c r="B114" s="33"/>
      <c r="C114" s="33"/>
      <c r="D114" s="132"/>
      <c r="E114" s="33"/>
      <c r="F114" s="33"/>
      <c r="G114" s="33"/>
      <c r="H114" s="33"/>
      <c r="I114" s="33"/>
      <c r="J114" s="33"/>
      <c r="K114" s="33"/>
      <c r="L114" s="33"/>
      <c r="M114" s="33"/>
      <c r="N114" s="33"/>
      <c r="O114" s="114"/>
    </row>
    <row r="115" spans="1:15" x14ac:dyDescent="0.2">
      <c r="A115" s="107"/>
      <c r="B115" s="33"/>
      <c r="C115" s="33"/>
      <c r="D115" s="116" t="s">
        <v>697</v>
      </c>
      <c r="E115" s="33"/>
      <c r="F115" s="33"/>
      <c r="G115" s="33"/>
      <c r="H115" s="33"/>
      <c r="I115" s="33"/>
      <c r="J115" s="33"/>
      <c r="K115" s="33"/>
      <c r="L115" s="33"/>
      <c r="M115" s="33"/>
      <c r="N115" s="33"/>
      <c r="O115" s="114"/>
    </row>
    <row r="116" spans="1:15" x14ac:dyDescent="0.2">
      <c r="A116" s="107">
        <f>A44</f>
        <v>46104800</v>
      </c>
      <c r="B116" s="33">
        <f>B44</f>
        <v>49178400</v>
      </c>
      <c r="C116" s="33">
        <f>C44</f>
        <v>50716000</v>
      </c>
      <c r="D116" s="101" t="s">
        <v>2264</v>
      </c>
      <c r="E116" s="33">
        <f t="shared" ref="E116:N116" si="64">E44</f>
        <v>54741000</v>
      </c>
      <c r="F116" s="33">
        <f t="shared" si="64"/>
        <v>51961500</v>
      </c>
      <c r="G116" s="33">
        <f t="shared" si="64"/>
        <v>54184500</v>
      </c>
      <c r="H116" s="33">
        <f t="shared" si="64"/>
        <v>56242300</v>
      </c>
      <c r="I116" s="33">
        <f t="shared" si="64"/>
        <v>57796100</v>
      </c>
      <c r="J116" s="33">
        <f t="shared" si="64"/>
        <v>59181300</v>
      </c>
      <c r="K116" s="33">
        <f t="shared" si="64"/>
        <v>60628200</v>
      </c>
      <c r="L116" s="33">
        <f t="shared" si="64"/>
        <v>62308400</v>
      </c>
      <c r="M116" s="33">
        <f t="shared" si="64"/>
        <v>63821000</v>
      </c>
      <c r="N116" s="33">
        <f t="shared" si="64"/>
        <v>65499100</v>
      </c>
      <c r="O116" s="114">
        <f t="shared" ref="O116" si="65">O44</f>
        <v>67219000</v>
      </c>
    </row>
    <row r="117" spans="1:15" x14ac:dyDescent="0.2">
      <c r="A117" s="107">
        <f>A45+A48+A50</f>
        <v>52396100</v>
      </c>
      <c r="B117" s="33">
        <f>B45+B48+B50</f>
        <v>50234300</v>
      </c>
      <c r="C117" s="33">
        <f>C45+C48+C50</f>
        <v>54640700</v>
      </c>
      <c r="D117" s="101" t="s">
        <v>2265</v>
      </c>
      <c r="E117" s="33">
        <f t="shared" ref="E117:N117" si="66">E45+E48+E50</f>
        <v>55104500</v>
      </c>
      <c r="F117" s="33">
        <f t="shared" si="66"/>
        <v>52496400</v>
      </c>
      <c r="G117" s="33">
        <f t="shared" si="66"/>
        <v>53997300</v>
      </c>
      <c r="H117" s="33">
        <f t="shared" si="66"/>
        <v>55504800</v>
      </c>
      <c r="I117" s="33">
        <f t="shared" si="66"/>
        <v>56825000</v>
      </c>
      <c r="J117" s="33">
        <f t="shared" si="66"/>
        <v>58084300</v>
      </c>
      <c r="K117" s="33">
        <f t="shared" si="66"/>
        <v>59031300</v>
      </c>
      <c r="L117" s="33">
        <f t="shared" si="66"/>
        <v>60301900</v>
      </c>
      <c r="M117" s="33">
        <f t="shared" si="66"/>
        <v>61724500</v>
      </c>
      <c r="N117" s="33">
        <f t="shared" si="66"/>
        <v>62772400</v>
      </c>
      <c r="O117" s="114">
        <f t="shared" ref="O117" si="67">O45+O48+O50</f>
        <v>63933400</v>
      </c>
    </row>
    <row r="118" spans="1:15" s="118" customFormat="1" x14ac:dyDescent="0.2">
      <c r="A118" s="292">
        <f>A116-A117</f>
        <v>-6291300</v>
      </c>
      <c r="B118" s="116">
        <f>B116-B117</f>
        <v>-1055900</v>
      </c>
      <c r="C118" s="116">
        <f>C116-C117</f>
        <v>-3924700</v>
      </c>
      <c r="D118" s="116" t="s">
        <v>2185</v>
      </c>
      <c r="E118" s="116">
        <f t="shared" ref="E118:J118" si="68">E116-E117</f>
        <v>-363500</v>
      </c>
      <c r="F118" s="116">
        <f t="shared" si="68"/>
        <v>-534900</v>
      </c>
      <c r="G118" s="116">
        <f t="shared" si="68"/>
        <v>187200</v>
      </c>
      <c r="H118" s="116">
        <f t="shared" si="68"/>
        <v>737500</v>
      </c>
      <c r="I118" s="116">
        <f t="shared" si="68"/>
        <v>971100</v>
      </c>
      <c r="J118" s="116">
        <f t="shared" si="68"/>
        <v>1097000</v>
      </c>
      <c r="K118" s="116">
        <f>K116-K117</f>
        <v>1596900</v>
      </c>
      <c r="L118" s="116">
        <f>L116-L117</f>
        <v>2006500</v>
      </c>
      <c r="M118" s="116">
        <f>M116-M117</f>
        <v>2096500</v>
      </c>
      <c r="N118" s="116">
        <f>N116-N117</f>
        <v>2726700</v>
      </c>
      <c r="O118" s="159">
        <f>O116-O117</f>
        <v>3285600</v>
      </c>
    </row>
    <row r="119" spans="1:15" x14ac:dyDescent="0.2">
      <c r="A119" s="107">
        <f>A77</f>
        <v>1805200</v>
      </c>
      <c r="B119" s="33">
        <f>B77</f>
        <v>2809800</v>
      </c>
      <c r="C119" s="33">
        <f>C77</f>
        <v>2286400</v>
      </c>
      <c r="D119" s="101" t="s">
        <v>2186</v>
      </c>
      <c r="E119" s="33">
        <f t="shared" ref="E119:M119" si="69">E77</f>
        <v>5432400</v>
      </c>
      <c r="F119" s="33">
        <f t="shared" si="69"/>
        <v>4516000</v>
      </c>
      <c r="G119" s="33">
        <f t="shared" si="69"/>
        <v>4475000</v>
      </c>
      <c r="H119" s="33">
        <f t="shared" si="69"/>
        <v>4475000</v>
      </c>
      <c r="I119" s="33">
        <f t="shared" si="69"/>
        <v>5760000</v>
      </c>
      <c r="J119" s="33">
        <f t="shared" si="69"/>
        <v>1360000</v>
      </c>
      <c r="K119" s="33">
        <f t="shared" si="69"/>
        <v>960000</v>
      </c>
      <c r="L119" s="33">
        <f t="shared" si="69"/>
        <v>960000</v>
      </c>
      <c r="M119" s="33">
        <f t="shared" si="69"/>
        <v>960000</v>
      </c>
      <c r="N119" s="33">
        <f t="shared" ref="N119" si="70">N77</f>
        <v>960000</v>
      </c>
      <c r="O119" s="114">
        <f t="shared" ref="O119" si="71">O77</f>
        <v>960000</v>
      </c>
    </row>
    <row r="120" spans="1:15" s="118" customFormat="1" x14ac:dyDescent="0.2">
      <c r="A120" s="292">
        <f>A118+A119</f>
        <v>-4486100</v>
      </c>
      <c r="B120" s="116">
        <f>B118+B119</f>
        <v>1753900</v>
      </c>
      <c r="C120" s="116">
        <f>C118+C119</f>
        <v>-1638300</v>
      </c>
      <c r="D120" s="116" t="s">
        <v>1019</v>
      </c>
      <c r="E120" s="116">
        <f t="shared" ref="E120:J120" si="72">E118+E119</f>
        <v>5068900</v>
      </c>
      <c r="F120" s="116">
        <f t="shared" si="72"/>
        <v>3981100</v>
      </c>
      <c r="G120" s="116">
        <f t="shared" si="72"/>
        <v>4662200</v>
      </c>
      <c r="H120" s="116">
        <f t="shared" si="72"/>
        <v>5212500</v>
      </c>
      <c r="I120" s="116">
        <f t="shared" si="72"/>
        <v>6731100</v>
      </c>
      <c r="J120" s="116">
        <f t="shared" si="72"/>
        <v>2457000</v>
      </c>
      <c r="K120" s="116">
        <f>K118+K119</f>
        <v>2556900</v>
      </c>
      <c r="L120" s="116">
        <f>L118+L119</f>
        <v>2966500</v>
      </c>
      <c r="M120" s="116">
        <f>M118+M119</f>
        <v>3056500</v>
      </c>
      <c r="N120" s="116">
        <f>N118+N119</f>
        <v>3686700</v>
      </c>
      <c r="O120" s="159">
        <f>O118+O119</f>
        <v>4245600</v>
      </c>
    </row>
    <row r="121" spans="1:15" x14ac:dyDescent="0.2">
      <c r="A121" s="107">
        <f>A64</f>
        <v>15865700</v>
      </c>
      <c r="B121" s="33">
        <f>B64</f>
        <v>14144300</v>
      </c>
      <c r="C121" s="33">
        <f>C64</f>
        <v>14166800</v>
      </c>
      <c r="D121" s="101" t="s">
        <v>2808</v>
      </c>
      <c r="E121" s="33">
        <f t="shared" ref="E121:M121" si="73">E64</f>
        <v>13056400</v>
      </c>
      <c r="F121" s="33">
        <f t="shared" si="73"/>
        <v>13383900</v>
      </c>
      <c r="G121" s="33">
        <f t="shared" si="73"/>
        <v>13704300</v>
      </c>
      <c r="H121" s="33">
        <f t="shared" si="73"/>
        <v>14071100</v>
      </c>
      <c r="I121" s="33">
        <f t="shared" si="73"/>
        <v>14353700</v>
      </c>
      <c r="J121" s="33">
        <f t="shared" si="73"/>
        <v>14642100</v>
      </c>
      <c r="K121" s="33">
        <f t="shared" si="73"/>
        <v>14936400</v>
      </c>
      <c r="L121" s="33">
        <f t="shared" si="73"/>
        <v>15236400</v>
      </c>
      <c r="M121" s="33">
        <f t="shared" si="73"/>
        <v>15542500</v>
      </c>
      <c r="N121" s="33">
        <f t="shared" ref="N121" si="74">N64</f>
        <v>15854800</v>
      </c>
      <c r="O121" s="114">
        <f t="shared" ref="O121" si="75">O64</f>
        <v>16173200</v>
      </c>
    </row>
    <row r="122" spans="1:15" x14ac:dyDescent="0.2">
      <c r="A122" s="107">
        <f t="shared" ref="A122:B124" si="76">A66</f>
        <v>333000</v>
      </c>
      <c r="B122" s="33">
        <f t="shared" si="76"/>
        <v>-30000</v>
      </c>
      <c r="C122" s="33">
        <f>C66</f>
        <v>-163000</v>
      </c>
      <c r="D122" s="132" t="s">
        <v>5480</v>
      </c>
      <c r="E122" s="33">
        <f t="shared" ref="E122:M122" si="77">E66</f>
        <v>0</v>
      </c>
      <c r="F122" s="33">
        <f t="shared" si="77"/>
        <v>0</v>
      </c>
      <c r="G122" s="33">
        <f t="shared" si="77"/>
        <v>0</v>
      </c>
      <c r="H122" s="33">
        <f t="shared" si="77"/>
        <v>0</v>
      </c>
      <c r="I122" s="33">
        <f t="shared" si="77"/>
        <v>0</v>
      </c>
      <c r="J122" s="33">
        <f t="shared" si="77"/>
        <v>0</v>
      </c>
      <c r="K122" s="33">
        <f t="shared" si="77"/>
        <v>0</v>
      </c>
      <c r="L122" s="33">
        <f t="shared" si="77"/>
        <v>0</v>
      </c>
      <c r="M122" s="33">
        <f t="shared" si="77"/>
        <v>0</v>
      </c>
      <c r="N122" s="33">
        <f t="shared" ref="N122" si="78">N66</f>
        <v>0</v>
      </c>
      <c r="O122" s="114">
        <f t="shared" ref="O122" si="79">O66</f>
        <v>0</v>
      </c>
    </row>
    <row r="123" spans="1:15" x14ac:dyDescent="0.2">
      <c r="A123" s="107">
        <f t="shared" si="76"/>
        <v>0</v>
      </c>
      <c r="B123" s="33">
        <f t="shared" si="76"/>
        <v>-460100</v>
      </c>
      <c r="C123" s="33">
        <f>C67</f>
        <v>0</v>
      </c>
      <c r="D123" s="132" t="s">
        <v>5477</v>
      </c>
      <c r="E123" s="33">
        <f t="shared" ref="E123:M123" si="80">E67</f>
        <v>0</v>
      </c>
      <c r="F123" s="33">
        <f t="shared" si="80"/>
        <v>0</v>
      </c>
      <c r="G123" s="33">
        <f t="shared" si="80"/>
        <v>0</v>
      </c>
      <c r="H123" s="33">
        <f t="shared" si="80"/>
        <v>0</v>
      </c>
      <c r="I123" s="33">
        <f t="shared" si="80"/>
        <v>0</v>
      </c>
      <c r="J123" s="33">
        <f t="shared" si="80"/>
        <v>0</v>
      </c>
      <c r="K123" s="33">
        <f t="shared" si="80"/>
        <v>0</v>
      </c>
      <c r="L123" s="33">
        <f t="shared" si="80"/>
        <v>0</v>
      </c>
      <c r="M123" s="33">
        <f t="shared" si="80"/>
        <v>0</v>
      </c>
      <c r="N123" s="33">
        <f t="shared" ref="N123" si="81">N67</f>
        <v>0</v>
      </c>
      <c r="O123" s="114">
        <f t="shared" ref="O123" si="82">O67</f>
        <v>0</v>
      </c>
    </row>
    <row r="124" spans="1:15" x14ac:dyDescent="0.2">
      <c r="A124" s="107">
        <f t="shared" si="76"/>
        <v>169300</v>
      </c>
      <c r="B124" s="33">
        <f t="shared" si="76"/>
        <v>231300</v>
      </c>
      <c r="C124" s="33">
        <f>C68</f>
        <v>190800</v>
      </c>
      <c r="D124" s="101" t="s">
        <v>2041</v>
      </c>
      <c r="E124" s="33">
        <f t="shared" ref="E124:M124" si="83">E68</f>
        <v>205900</v>
      </c>
      <c r="F124" s="33">
        <f t="shared" si="83"/>
        <v>119100</v>
      </c>
      <c r="G124" s="33">
        <f t="shared" si="83"/>
        <v>70200</v>
      </c>
      <c r="H124" s="33">
        <f t="shared" si="83"/>
        <v>48000</v>
      </c>
      <c r="I124" s="33">
        <f t="shared" si="83"/>
        <v>20600</v>
      </c>
      <c r="J124" s="33">
        <f t="shared" si="83"/>
        <v>21400</v>
      </c>
      <c r="K124" s="33">
        <f t="shared" si="83"/>
        <v>22100</v>
      </c>
      <c r="L124" s="33">
        <f t="shared" si="83"/>
        <v>22900</v>
      </c>
      <c r="M124" s="33">
        <f t="shared" si="83"/>
        <v>23800</v>
      </c>
      <c r="N124" s="33">
        <f t="shared" ref="N124" si="84">N68</f>
        <v>24700</v>
      </c>
      <c r="O124" s="114">
        <f t="shared" ref="O124" si="85">O68</f>
        <v>25600</v>
      </c>
    </row>
    <row r="125" spans="1:15" x14ac:dyDescent="0.2">
      <c r="A125" s="107">
        <f>A76</f>
        <v>-1957800</v>
      </c>
      <c r="B125" s="33">
        <f>B76</f>
        <v>-507100</v>
      </c>
      <c r="C125" s="33">
        <f>C76</f>
        <v>2036000</v>
      </c>
      <c r="D125" s="101" t="s">
        <v>73</v>
      </c>
      <c r="E125" s="33">
        <f t="shared" ref="E125:M125" si="86">E76</f>
        <v>200000</v>
      </c>
      <c r="F125" s="33">
        <f t="shared" si="86"/>
        <v>200000</v>
      </c>
      <c r="G125" s="33">
        <f t="shared" si="86"/>
        <v>200000</v>
      </c>
      <c r="H125" s="33">
        <f t="shared" si="86"/>
        <v>200000</v>
      </c>
      <c r="I125" s="33">
        <f t="shared" si="86"/>
        <v>200000</v>
      </c>
      <c r="J125" s="33">
        <f t="shared" si="86"/>
        <v>200000</v>
      </c>
      <c r="K125" s="33">
        <f t="shared" si="86"/>
        <v>200000</v>
      </c>
      <c r="L125" s="33">
        <f t="shared" si="86"/>
        <v>200000</v>
      </c>
      <c r="M125" s="33">
        <f t="shared" si="86"/>
        <v>200000</v>
      </c>
      <c r="N125" s="33">
        <f t="shared" ref="N125" si="87">N76</f>
        <v>200000</v>
      </c>
      <c r="O125" s="114">
        <f t="shared" ref="O125" si="88">O76</f>
        <v>200000</v>
      </c>
    </row>
    <row r="126" spans="1:15" s="118" customFormat="1" x14ac:dyDescent="0.2">
      <c r="A126" s="292">
        <f>SUM(A120:A125)</f>
        <v>9924100</v>
      </c>
      <c r="B126" s="116">
        <f>SUM(B120:B125)</f>
        <v>15132300</v>
      </c>
      <c r="C126" s="116">
        <f>SUM(C120:C125)</f>
        <v>14592300</v>
      </c>
      <c r="D126" s="116" t="s">
        <v>2203</v>
      </c>
      <c r="E126" s="116">
        <f t="shared" ref="E126:M126" si="89">SUM(E120:E125)</f>
        <v>18531200</v>
      </c>
      <c r="F126" s="116">
        <f t="shared" si="89"/>
        <v>17684100</v>
      </c>
      <c r="G126" s="116">
        <f t="shared" si="89"/>
        <v>18636700</v>
      </c>
      <c r="H126" s="116">
        <f t="shared" si="89"/>
        <v>19531600</v>
      </c>
      <c r="I126" s="116">
        <f t="shared" si="89"/>
        <v>21305400</v>
      </c>
      <c r="J126" s="116">
        <f t="shared" si="89"/>
        <v>17320500</v>
      </c>
      <c r="K126" s="116">
        <f t="shared" si="89"/>
        <v>17715400</v>
      </c>
      <c r="L126" s="116">
        <f t="shared" si="89"/>
        <v>18425800</v>
      </c>
      <c r="M126" s="116">
        <f t="shared" si="89"/>
        <v>18822800</v>
      </c>
      <c r="N126" s="116">
        <f t="shared" ref="N126" si="90">SUM(N120:N125)</f>
        <v>19766200</v>
      </c>
      <c r="O126" s="159">
        <f t="shared" ref="O126" si="91">SUM(O120:O125)</f>
        <v>20644400</v>
      </c>
    </row>
    <row r="127" spans="1:15" x14ac:dyDescent="0.2">
      <c r="A127" s="107"/>
      <c r="B127" s="33"/>
      <c r="C127" s="33"/>
      <c r="D127" s="101"/>
      <c r="E127" s="33"/>
      <c r="F127" s="33"/>
      <c r="G127" s="33"/>
      <c r="H127" s="33"/>
      <c r="I127" s="33"/>
      <c r="J127" s="33"/>
      <c r="K127" s="33"/>
      <c r="L127" s="33"/>
      <c r="M127" s="33"/>
      <c r="N127" s="33"/>
      <c r="O127" s="114"/>
    </row>
    <row r="128" spans="1:15" x14ac:dyDescent="0.2">
      <c r="A128" s="107"/>
      <c r="B128" s="33"/>
      <c r="C128" s="33"/>
      <c r="D128" s="116" t="s">
        <v>2353</v>
      </c>
      <c r="E128" s="33"/>
      <c r="F128" s="33"/>
      <c r="G128" s="33"/>
      <c r="H128" s="33"/>
      <c r="I128" s="33"/>
      <c r="J128" s="33"/>
      <c r="K128" s="33"/>
      <c r="L128" s="33"/>
      <c r="M128" s="33"/>
      <c r="N128" s="33"/>
      <c r="O128" s="114"/>
    </row>
    <row r="129" spans="1:15" x14ac:dyDescent="0.2">
      <c r="A129" s="107"/>
      <c r="B129" s="33"/>
      <c r="C129" s="33"/>
      <c r="D129" s="101"/>
      <c r="E129" s="33"/>
      <c r="F129" s="33"/>
      <c r="G129" s="33"/>
      <c r="H129" s="33"/>
      <c r="I129" s="33"/>
      <c r="J129" s="33"/>
      <c r="K129" s="33"/>
      <c r="L129" s="33"/>
      <c r="M129" s="33"/>
      <c r="N129" s="33"/>
      <c r="O129" s="114"/>
    </row>
    <row r="130" spans="1:15" x14ac:dyDescent="0.2">
      <c r="A130" s="107"/>
      <c r="B130" s="33"/>
      <c r="C130" s="33"/>
      <c r="D130" s="116" t="s">
        <v>1897</v>
      </c>
      <c r="E130" s="33"/>
      <c r="F130" s="33"/>
      <c r="G130" s="33"/>
      <c r="H130" s="33"/>
      <c r="I130" s="33"/>
      <c r="J130" s="33"/>
      <c r="K130" s="33"/>
      <c r="L130" s="33"/>
      <c r="M130" s="33"/>
      <c r="N130" s="33"/>
      <c r="O130" s="114"/>
    </row>
    <row r="131" spans="1:15" x14ac:dyDescent="0.2">
      <c r="A131" s="107">
        <v>0</v>
      </c>
      <c r="B131" s="33">
        <v>0</v>
      </c>
      <c r="C131" s="33">
        <v>0</v>
      </c>
      <c r="D131" s="101" t="s">
        <v>2938</v>
      </c>
      <c r="E131" s="33">
        <v>0</v>
      </c>
      <c r="F131" s="33">
        <v>0</v>
      </c>
      <c r="G131" s="33">
        <v>0</v>
      </c>
      <c r="H131" s="33">
        <v>0</v>
      </c>
      <c r="I131" s="33">
        <v>0</v>
      </c>
      <c r="J131" s="33">
        <v>0</v>
      </c>
      <c r="K131" s="33">
        <v>0</v>
      </c>
      <c r="L131" s="33">
        <v>0</v>
      </c>
      <c r="M131" s="33">
        <v>0</v>
      </c>
      <c r="N131" s="33">
        <v>0</v>
      </c>
      <c r="O131" s="114">
        <v>0</v>
      </c>
    </row>
    <row r="132" spans="1:15" x14ac:dyDescent="0.2">
      <c r="A132" s="107">
        <v>1981400</v>
      </c>
      <c r="B132" s="33">
        <v>1341500</v>
      </c>
      <c r="C132" s="33">
        <f>'Cap-Gen'!E29+++++'Cap-Gen'!E72+'Cap-Gen'!E193</f>
        <v>1407000</v>
      </c>
      <c r="D132" s="101" t="s">
        <v>1374</v>
      </c>
      <c r="E132" s="33">
        <f>'Cap-Gen'!F29+++++'Cap-Gen'!F72+'Cap-Gen'!F193</f>
        <v>2091000</v>
      </c>
      <c r="F132" s="33">
        <f>'Cap-Gen'!G29+++++'Cap-Gen'!G72+'Cap-Gen'!G193</f>
        <v>1116000</v>
      </c>
      <c r="G132" s="33">
        <f>'Cap-Gen'!H29+++++'Cap-Gen'!H72+'Cap-Gen'!H193</f>
        <v>1293000</v>
      </c>
      <c r="H132" s="33">
        <f>'Cap-Gen'!I29+++++'Cap-Gen'!I72+'Cap-Gen'!I193</f>
        <v>768000</v>
      </c>
      <c r="I132" s="33">
        <f>'Cap-Gen'!J29+++++'Cap-Gen'!J72+'Cap-Gen'!J193</f>
        <v>1674000</v>
      </c>
      <c r="J132" s="33">
        <f>'Cap-Gen'!K29+++++'Cap-Gen'!K72+'Cap-Gen'!K193</f>
        <v>1228000</v>
      </c>
      <c r="K132" s="33">
        <f>'Cap-Gen'!L29+++++'Cap-Gen'!L72+'Cap-Gen'!L193</f>
        <v>1650000</v>
      </c>
      <c r="L132" s="33">
        <f>'Cap-Gen'!M29+++++'Cap-Gen'!M72+'Cap-Gen'!M193</f>
        <v>1918000</v>
      </c>
      <c r="M132" s="33">
        <f>'Cap-Gen'!N29+++++'Cap-Gen'!N72+'Cap-Gen'!N193</f>
        <v>1421000</v>
      </c>
      <c r="N132" s="33">
        <f>'Cap-Gen'!O29+++++'Cap-Gen'!O72+'Cap-Gen'!O193</f>
        <v>1330000</v>
      </c>
      <c r="O132" s="114">
        <f>'Cap-Gen'!Q29+++++'Cap-Gen'!Q72+'Cap-Gen'!Q193</f>
        <v>0</v>
      </c>
    </row>
    <row r="133" spans="1:15" x14ac:dyDescent="0.2">
      <c r="A133" s="107">
        <f>25008300+888900+700-1400</f>
        <v>25896500</v>
      </c>
      <c r="B133" s="33">
        <f>-B80-B132-B131</f>
        <v>16891900</v>
      </c>
      <c r="C133" s="33">
        <f>-C80-C132-C131</f>
        <v>21489800</v>
      </c>
      <c r="D133" s="101" t="s">
        <v>1896</v>
      </c>
      <c r="E133" s="33">
        <f t="shared" ref="E133:L133" si="92">-E80-E132-E131</f>
        <v>40986900</v>
      </c>
      <c r="F133" s="33">
        <f t="shared" si="92"/>
        <v>33823500</v>
      </c>
      <c r="G133" s="33">
        <f t="shared" si="92"/>
        <v>32259100</v>
      </c>
      <c r="H133" s="33">
        <f t="shared" si="92"/>
        <v>16639300</v>
      </c>
      <c r="I133" s="33">
        <f t="shared" si="92"/>
        <v>40743300</v>
      </c>
      <c r="J133" s="33">
        <f t="shared" si="92"/>
        <v>24890900</v>
      </c>
      <c r="K133" s="33">
        <f t="shared" si="92"/>
        <v>12367900</v>
      </c>
      <c r="L133" s="33">
        <f t="shared" si="92"/>
        <v>15520500</v>
      </c>
      <c r="M133" s="33">
        <f t="shared" ref="M133:N133" si="93">-M80-M132-M131</f>
        <v>14037700</v>
      </c>
      <c r="N133" s="33">
        <f t="shared" si="93"/>
        <v>16188500</v>
      </c>
      <c r="O133" s="114">
        <f t="shared" ref="O133" si="94">-O80-O132-O131</f>
        <v>19735900</v>
      </c>
    </row>
    <row r="134" spans="1:15" x14ac:dyDescent="0.2">
      <c r="A134" s="107">
        <f>-A81</f>
        <v>3216200</v>
      </c>
      <c r="B134" s="33">
        <f>-B81</f>
        <v>3395400</v>
      </c>
      <c r="C134" s="33">
        <f>-C81</f>
        <v>3788900</v>
      </c>
      <c r="D134" s="101" t="s">
        <v>1721</v>
      </c>
      <c r="E134" s="33">
        <f t="shared" ref="E134:M134" si="95">-E81</f>
        <v>3696200</v>
      </c>
      <c r="F134" s="33">
        <f t="shared" si="95"/>
        <v>3312800</v>
      </c>
      <c r="G134" s="33">
        <f t="shared" si="95"/>
        <v>3247800</v>
      </c>
      <c r="H134" s="33">
        <f t="shared" si="95"/>
        <v>3318900</v>
      </c>
      <c r="I134" s="33">
        <f t="shared" si="95"/>
        <v>3043100</v>
      </c>
      <c r="J134" s="33">
        <f t="shared" si="95"/>
        <v>3542900</v>
      </c>
      <c r="K134" s="33">
        <f t="shared" si="95"/>
        <v>3084900</v>
      </c>
      <c r="L134" s="33">
        <f t="shared" si="95"/>
        <v>2350200</v>
      </c>
      <c r="M134" s="33">
        <f t="shared" si="95"/>
        <v>2080100</v>
      </c>
      <c r="N134" s="33">
        <f t="shared" ref="N134" si="96">-N81</f>
        <v>1452600</v>
      </c>
      <c r="O134" s="114">
        <f t="shared" ref="O134" si="97">-O81</f>
        <v>1449900</v>
      </c>
    </row>
    <row r="135" spans="1:15" s="118" customFormat="1" x14ac:dyDescent="0.2">
      <c r="A135" s="292">
        <f>SUM(A130:A134)</f>
        <v>31094100</v>
      </c>
      <c r="B135" s="116">
        <f>SUM(B130:B134)</f>
        <v>21628800</v>
      </c>
      <c r="C135" s="116">
        <f>SUM(C130:C134)</f>
        <v>26685700</v>
      </c>
      <c r="D135" s="116" t="s">
        <v>1530</v>
      </c>
      <c r="E135" s="116">
        <f t="shared" ref="E135:J135" si="98">SUM(E130:E134)</f>
        <v>46774100</v>
      </c>
      <c r="F135" s="116">
        <f t="shared" si="98"/>
        <v>38252300</v>
      </c>
      <c r="G135" s="116">
        <f t="shared" si="98"/>
        <v>36799900</v>
      </c>
      <c r="H135" s="116">
        <f t="shared" si="98"/>
        <v>20726200</v>
      </c>
      <c r="I135" s="116">
        <f t="shared" si="98"/>
        <v>45460400</v>
      </c>
      <c r="J135" s="116">
        <f t="shared" si="98"/>
        <v>29661800</v>
      </c>
      <c r="K135" s="116">
        <f>SUM(K130:K134)</f>
        <v>17102800</v>
      </c>
      <c r="L135" s="116">
        <f>SUM(L130:L134)</f>
        <v>19788700</v>
      </c>
      <c r="M135" s="116">
        <f>SUM(M130:M134)</f>
        <v>17538800</v>
      </c>
      <c r="N135" s="116">
        <f>SUM(N130:N134)</f>
        <v>18971100</v>
      </c>
      <c r="O135" s="159">
        <f>SUM(O130:O134)</f>
        <v>21185800</v>
      </c>
    </row>
    <row r="136" spans="1:15" x14ac:dyDescent="0.2">
      <c r="A136" s="107"/>
      <c r="B136" s="33"/>
      <c r="C136" s="33"/>
      <c r="D136" s="101"/>
      <c r="E136" s="33"/>
      <c r="F136" s="33"/>
      <c r="G136" s="33"/>
      <c r="H136" s="33"/>
      <c r="I136" s="33"/>
      <c r="J136" s="33"/>
      <c r="K136" s="33"/>
      <c r="L136" s="33"/>
      <c r="M136" s="33"/>
      <c r="N136" s="33"/>
      <c r="O136" s="114"/>
    </row>
    <row r="137" spans="1:15" x14ac:dyDescent="0.2">
      <c r="A137" s="107"/>
      <c r="B137" s="33"/>
      <c r="C137" s="33"/>
      <c r="D137" s="116" t="s">
        <v>891</v>
      </c>
      <c r="E137" s="33"/>
      <c r="F137" s="33"/>
      <c r="G137" s="33"/>
      <c r="H137" s="33"/>
      <c r="I137" s="33"/>
      <c r="J137" s="33"/>
      <c r="K137" s="33"/>
      <c r="L137" s="33"/>
      <c r="M137" s="33"/>
      <c r="N137" s="33"/>
      <c r="O137" s="114"/>
    </row>
    <row r="138" spans="1:15" x14ac:dyDescent="0.2">
      <c r="A138" s="107">
        <f>A126</f>
        <v>9924100</v>
      </c>
      <c r="B138" s="33">
        <f>B126</f>
        <v>15132300</v>
      </c>
      <c r="C138" s="33">
        <f>C126</f>
        <v>14592300</v>
      </c>
      <c r="D138" s="101" t="str">
        <f>D126</f>
        <v>Net Increase in Cash from Operations</v>
      </c>
      <c r="E138" s="33">
        <f t="shared" ref="E138:J138" si="99">E126</f>
        <v>18531200</v>
      </c>
      <c r="F138" s="33">
        <f t="shared" si="99"/>
        <v>17684100</v>
      </c>
      <c r="G138" s="33">
        <f t="shared" si="99"/>
        <v>18636700</v>
      </c>
      <c r="H138" s="33">
        <f t="shared" si="99"/>
        <v>19531600</v>
      </c>
      <c r="I138" s="33">
        <f t="shared" si="99"/>
        <v>21305400</v>
      </c>
      <c r="J138" s="33">
        <f t="shared" si="99"/>
        <v>17320500</v>
      </c>
      <c r="K138" s="33">
        <f>K126</f>
        <v>17715400</v>
      </c>
      <c r="L138" s="33">
        <f>L126</f>
        <v>18425800</v>
      </c>
      <c r="M138" s="33">
        <f>M126</f>
        <v>18822800</v>
      </c>
      <c r="N138" s="33">
        <f>N126</f>
        <v>19766200</v>
      </c>
      <c r="O138" s="114">
        <f>O126</f>
        <v>20644400</v>
      </c>
    </row>
    <row r="139" spans="1:15" x14ac:dyDescent="0.2">
      <c r="A139" s="107">
        <f>-A86</f>
        <v>11293400</v>
      </c>
      <c r="B139" s="33">
        <f>-B86</f>
        <v>-2180200</v>
      </c>
      <c r="C139" s="33">
        <f>-C86</f>
        <v>-521200</v>
      </c>
      <c r="D139" s="101" t="s">
        <v>144</v>
      </c>
      <c r="E139" s="33">
        <f t="shared" ref="E139:N139" si="100">-E86</f>
        <v>9943800</v>
      </c>
      <c r="F139" s="33">
        <f t="shared" si="100"/>
        <v>3363500</v>
      </c>
      <c r="G139" s="33">
        <f t="shared" si="100"/>
        <v>-2162200</v>
      </c>
      <c r="H139" s="33">
        <f t="shared" si="100"/>
        <v>330100</v>
      </c>
      <c r="I139" s="33">
        <f t="shared" si="100"/>
        <v>43400</v>
      </c>
      <c r="J139" s="33">
        <f t="shared" si="100"/>
        <v>-1265100</v>
      </c>
      <c r="K139" s="33">
        <f t="shared" si="100"/>
        <v>-971700</v>
      </c>
      <c r="L139" s="33">
        <f t="shared" si="100"/>
        <v>-401600</v>
      </c>
      <c r="M139" s="33">
        <f t="shared" si="100"/>
        <v>-1251900</v>
      </c>
      <c r="N139" s="33">
        <f t="shared" si="100"/>
        <v>-654600</v>
      </c>
      <c r="O139" s="114">
        <f t="shared" ref="O139" si="101">-O86</f>
        <v>-786600</v>
      </c>
    </row>
    <row r="140" spans="1:15" x14ac:dyDescent="0.2">
      <c r="A140" s="107">
        <f>-A87++A57</f>
        <v>1815400</v>
      </c>
      <c r="B140" s="33">
        <f>-B87++B57</f>
        <v>3199200</v>
      </c>
      <c r="C140" s="33">
        <f>-C87++C57</f>
        <v>3856600</v>
      </c>
      <c r="D140" s="101" t="s">
        <v>1161</v>
      </c>
      <c r="E140" s="33">
        <f t="shared" ref="E140:M140" si="102">-E87++E57</f>
        <v>3290600</v>
      </c>
      <c r="F140" s="33">
        <f t="shared" si="102"/>
        <v>1857200</v>
      </c>
      <c r="G140" s="33">
        <f t="shared" si="102"/>
        <v>16751100</v>
      </c>
      <c r="H140" s="33">
        <f t="shared" si="102"/>
        <v>151900</v>
      </c>
      <c r="I140" s="33">
        <f t="shared" si="102"/>
        <v>15166000</v>
      </c>
      <c r="J140" s="33">
        <f t="shared" si="102"/>
        <v>13125700</v>
      </c>
      <c r="K140" s="33">
        <f t="shared" si="102"/>
        <v>-53400</v>
      </c>
      <c r="L140" s="33">
        <f t="shared" si="102"/>
        <v>1541600</v>
      </c>
      <c r="M140" s="33">
        <f t="shared" si="102"/>
        <v>-224000</v>
      </c>
      <c r="N140" s="33">
        <f t="shared" ref="N140" si="103">-N87++N57</f>
        <v>-337200</v>
      </c>
      <c r="O140" s="114">
        <f t="shared" ref="O140" si="104">-O87++O57</f>
        <v>1277800</v>
      </c>
    </row>
    <row r="141" spans="1:15" x14ac:dyDescent="0.2">
      <c r="A141" s="107">
        <f>-A88</f>
        <v>0</v>
      </c>
      <c r="B141" s="33">
        <f>-B88</f>
        <v>0</v>
      </c>
      <c r="C141" s="33">
        <f>-C88</f>
        <v>0</v>
      </c>
      <c r="D141" s="101" t="s">
        <v>271</v>
      </c>
      <c r="E141" s="33">
        <f t="shared" ref="E141:M141" si="105">-E88</f>
        <v>-67900</v>
      </c>
      <c r="F141" s="33">
        <f t="shared" si="105"/>
        <v>145200</v>
      </c>
      <c r="G141" s="33">
        <f t="shared" si="105"/>
        <v>365200</v>
      </c>
      <c r="H141" s="33">
        <f t="shared" si="105"/>
        <v>426300</v>
      </c>
      <c r="I141" s="33">
        <f t="shared" si="105"/>
        <v>490900</v>
      </c>
      <c r="J141" s="33">
        <f t="shared" si="105"/>
        <v>364000</v>
      </c>
      <c r="K141" s="33">
        <f t="shared" si="105"/>
        <v>293800</v>
      </c>
      <c r="L141" s="33">
        <f t="shared" si="105"/>
        <v>102200</v>
      </c>
      <c r="M141" s="33">
        <f t="shared" si="105"/>
        <v>69200</v>
      </c>
      <c r="N141" s="33">
        <f t="shared" ref="N141" si="106">-N88</f>
        <v>72000</v>
      </c>
      <c r="O141" s="114">
        <f t="shared" ref="O141" si="107">-O88</f>
        <v>-76700</v>
      </c>
    </row>
    <row r="142" spans="1:15" x14ac:dyDescent="0.2">
      <c r="A142" s="107">
        <f>A56</f>
        <v>6861200</v>
      </c>
      <c r="B142" s="33">
        <f>B56</f>
        <v>4752500</v>
      </c>
      <c r="C142" s="33">
        <f>C56</f>
        <v>8258000</v>
      </c>
      <c r="D142" s="101" t="s">
        <v>2718</v>
      </c>
      <c r="E142" s="33">
        <f t="shared" ref="E142:N142" si="108">E56</f>
        <v>7464700</v>
      </c>
      <c r="F142" s="33">
        <f t="shared" si="108"/>
        <v>9274500</v>
      </c>
      <c r="G142" s="33">
        <f t="shared" si="108"/>
        <v>709100</v>
      </c>
      <c r="H142" s="33">
        <f t="shared" si="108"/>
        <v>286300</v>
      </c>
      <c r="I142" s="33">
        <f t="shared" si="108"/>
        <v>114700</v>
      </c>
      <c r="J142" s="33">
        <f t="shared" si="108"/>
        <v>116700</v>
      </c>
      <c r="K142" s="33">
        <f t="shared" si="108"/>
        <v>118700</v>
      </c>
      <c r="L142" s="33">
        <f t="shared" si="108"/>
        <v>120700</v>
      </c>
      <c r="M142" s="33">
        <f t="shared" si="108"/>
        <v>122700</v>
      </c>
      <c r="N142" s="33">
        <f t="shared" si="108"/>
        <v>124700</v>
      </c>
      <c r="O142" s="114">
        <f t="shared" ref="O142" si="109">O56</f>
        <v>126900</v>
      </c>
    </row>
    <row r="143" spans="1:15" x14ac:dyDescent="0.2">
      <c r="A143" s="107">
        <f>A75+A62</f>
        <v>1200000</v>
      </c>
      <c r="B143" s="33">
        <f>B75+B62</f>
        <v>725000</v>
      </c>
      <c r="C143" s="33">
        <f>C75+C62</f>
        <v>500000</v>
      </c>
      <c r="D143" s="101" t="s">
        <v>749</v>
      </c>
      <c r="E143" s="33">
        <f t="shared" ref="E143:M143" si="110">E75+E62</f>
        <v>7611700</v>
      </c>
      <c r="F143" s="33">
        <f t="shared" si="110"/>
        <v>5927800</v>
      </c>
      <c r="G143" s="33">
        <f t="shared" si="110"/>
        <v>2500000</v>
      </c>
      <c r="H143" s="33">
        <f t="shared" si="110"/>
        <v>0</v>
      </c>
      <c r="I143" s="33">
        <f t="shared" si="110"/>
        <v>8340000</v>
      </c>
      <c r="J143" s="33">
        <f t="shared" si="110"/>
        <v>0</v>
      </c>
      <c r="K143" s="33">
        <f t="shared" si="110"/>
        <v>0</v>
      </c>
      <c r="L143" s="33">
        <f t="shared" si="110"/>
        <v>0</v>
      </c>
      <c r="M143" s="33">
        <f t="shared" si="110"/>
        <v>0</v>
      </c>
      <c r="N143" s="33">
        <f t="shared" ref="N143" si="111">N75+N62</f>
        <v>0</v>
      </c>
      <c r="O143" s="114">
        <f t="shared" ref="O143" si="112">O75+O62</f>
        <v>0</v>
      </c>
    </row>
    <row r="144" spans="1:15" s="118" customFormat="1" x14ac:dyDescent="0.2">
      <c r="A144" s="292">
        <f>SUM(A138:A143)</f>
        <v>31094100</v>
      </c>
      <c r="B144" s="116">
        <f>SUM(B138:B143)</f>
        <v>21628800</v>
      </c>
      <c r="C144" s="116">
        <f>SUM(C138:C143)</f>
        <v>26685700</v>
      </c>
      <c r="D144" s="116" t="s">
        <v>1530</v>
      </c>
      <c r="E144" s="116">
        <f t="shared" ref="E144:J144" si="113">SUM(E138:E143)</f>
        <v>46774100</v>
      </c>
      <c r="F144" s="116">
        <f t="shared" si="113"/>
        <v>38252300</v>
      </c>
      <c r="G144" s="116">
        <f t="shared" si="113"/>
        <v>36799900</v>
      </c>
      <c r="H144" s="116">
        <f t="shared" si="113"/>
        <v>20726200</v>
      </c>
      <c r="I144" s="116">
        <f t="shared" si="113"/>
        <v>45460400</v>
      </c>
      <c r="J144" s="116">
        <f t="shared" si="113"/>
        <v>29661800</v>
      </c>
      <c r="K144" s="116">
        <f>SUM(K138:K143)</f>
        <v>17102800</v>
      </c>
      <c r="L144" s="116">
        <f>SUM(L138:L143)</f>
        <v>19788700</v>
      </c>
      <c r="M144" s="116">
        <f>SUM(M138:M143)</f>
        <v>17538800</v>
      </c>
      <c r="N144" s="116">
        <f>SUM(N138:N143)</f>
        <v>18971100</v>
      </c>
      <c r="O144" s="159">
        <f>SUM(O138:O143)</f>
        <v>21185800</v>
      </c>
    </row>
    <row r="145" spans="1:15" x14ac:dyDescent="0.2">
      <c r="A145" s="107"/>
      <c r="B145" s="33"/>
      <c r="C145" s="33"/>
      <c r="D145" s="132"/>
      <c r="E145" s="33"/>
      <c r="F145" s="33"/>
      <c r="G145" s="33"/>
      <c r="H145" s="33"/>
      <c r="I145" s="33"/>
      <c r="J145" s="33"/>
      <c r="K145" s="33"/>
      <c r="L145" s="33"/>
      <c r="M145" s="33"/>
      <c r="N145" s="33"/>
      <c r="O145" s="114"/>
    </row>
    <row r="146" spans="1:15" x14ac:dyDescent="0.2">
      <c r="A146" s="107">
        <f>A144-A135</f>
        <v>0</v>
      </c>
      <c r="B146" s="33">
        <f>B144-B135</f>
        <v>0</v>
      </c>
      <c r="C146" s="33">
        <f>C144-C135</f>
        <v>0</v>
      </c>
      <c r="D146" s="132" t="s">
        <v>1189</v>
      </c>
      <c r="E146" s="33">
        <f t="shared" ref="E146:J146" si="114">E144-E135</f>
        <v>0</v>
      </c>
      <c r="F146" s="33">
        <f t="shared" si="114"/>
        <v>0</v>
      </c>
      <c r="G146" s="33">
        <f t="shared" si="114"/>
        <v>0</v>
      </c>
      <c r="H146" s="33">
        <f t="shared" si="114"/>
        <v>0</v>
      </c>
      <c r="I146" s="33">
        <f t="shared" si="114"/>
        <v>0</v>
      </c>
      <c r="J146" s="33">
        <f t="shared" si="114"/>
        <v>0</v>
      </c>
      <c r="K146" s="33">
        <f>K144-K135</f>
        <v>0</v>
      </c>
      <c r="L146" s="33">
        <f>L144-L135</f>
        <v>0</v>
      </c>
      <c r="M146" s="33">
        <f>M144-M135</f>
        <v>0</v>
      </c>
      <c r="N146" s="33">
        <f>N144-N135</f>
        <v>0</v>
      </c>
      <c r="O146" s="114">
        <f>O144-O135</f>
        <v>0</v>
      </c>
    </row>
    <row r="147" spans="1:15" ht="13.5" thickBot="1" x14ac:dyDescent="0.25">
      <c r="A147" s="171"/>
      <c r="B147" s="66"/>
      <c r="C147" s="66"/>
      <c r="D147" s="835"/>
      <c r="E147" s="66"/>
      <c r="F147" s="66"/>
      <c r="G147" s="66"/>
      <c r="H147" s="66"/>
      <c r="I147" s="66"/>
      <c r="J147" s="66"/>
      <c r="K147" s="66"/>
      <c r="L147" s="66"/>
      <c r="M147" s="66"/>
      <c r="N147" s="66"/>
      <c r="O147" s="165"/>
    </row>
    <row r="148" spans="1:15" ht="13.5" thickTop="1" x14ac:dyDescent="0.2"/>
    <row r="149" spans="1:15" x14ac:dyDescent="0.2">
      <c r="D149" s="149"/>
    </row>
    <row r="150" spans="1:15" x14ac:dyDescent="0.2">
      <c r="D150" s="149"/>
    </row>
    <row r="151" spans="1:15" x14ac:dyDescent="0.2">
      <c r="D151" s="149"/>
    </row>
    <row r="152" spans="1:15" x14ac:dyDescent="0.2">
      <c r="D152" s="149"/>
    </row>
    <row r="153" spans="1:15" x14ac:dyDescent="0.2">
      <c r="D153" s="149"/>
    </row>
    <row r="154" spans="1:15" x14ac:dyDescent="0.2">
      <c r="D154" s="149"/>
    </row>
    <row r="155" spans="1:15" x14ac:dyDescent="0.2">
      <c r="D155" s="149"/>
    </row>
    <row r="156" spans="1:15" x14ac:dyDescent="0.2">
      <c r="D156" s="149"/>
    </row>
    <row r="157" spans="1:15" x14ac:dyDescent="0.2">
      <c r="D157" s="149"/>
    </row>
    <row r="158" spans="1:15" x14ac:dyDescent="0.2">
      <c r="D158" s="149"/>
    </row>
    <row r="159" spans="1:15" x14ac:dyDescent="0.2">
      <c r="D159" s="149"/>
    </row>
    <row r="160" spans="1:15" x14ac:dyDescent="0.2">
      <c r="D160" s="149"/>
    </row>
    <row r="161" spans="4:4" x14ac:dyDescent="0.2">
      <c r="D161" s="149"/>
    </row>
    <row r="162" spans="4:4" x14ac:dyDescent="0.2">
      <c r="D162" s="149"/>
    </row>
    <row r="163" spans="4:4" x14ac:dyDescent="0.2">
      <c r="D163" s="149"/>
    </row>
    <row r="164" spans="4:4" x14ac:dyDescent="0.2">
      <c r="D164" s="149"/>
    </row>
    <row r="165" spans="4:4" x14ac:dyDescent="0.2">
      <c r="D165" s="149"/>
    </row>
    <row r="166" spans="4:4" x14ac:dyDescent="0.2">
      <c r="D166" s="149"/>
    </row>
    <row r="167" spans="4:4" x14ac:dyDescent="0.2">
      <c r="D167" s="149"/>
    </row>
    <row r="168" spans="4:4" x14ac:dyDescent="0.2">
      <c r="D168" s="149"/>
    </row>
    <row r="169" spans="4:4" x14ac:dyDescent="0.2">
      <c r="D169" s="149"/>
    </row>
    <row r="170" spans="4:4" x14ac:dyDescent="0.2">
      <c r="D170" s="149"/>
    </row>
    <row r="171" spans="4:4" x14ac:dyDescent="0.2">
      <c r="D171" s="149"/>
    </row>
    <row r="172" spans="4:4" x14ac:dyDescent="0.2">
      <c r="D172" s="149"/>
    </row>
    <row r="173" spans="4:4" x14ac:dyDescent="0.2">
      <c r="D173" s="149"/>
    </row>
    <row r="174" spans="4:4" x14ac:dyDescent="0.2">
      <c r="D174" s="149"/>
    </row>
    <row r="175" spans="4:4" x14ac:dyDescent="0.2">
      <c r="D175" s="149"/>
    </row>
    <row r="176" spans="4:4" x14ac:dyDescent="0.2">
      <c r="D176" s="149"/>
    </row>
    <row r="177" spans="4:4" x14ac:dyDescent="0.2">
      <c r="D177" s="149"/>
    </row>
    <row r="178" spans="4:4" x14ac:dyDescent="0.2">
      <c r="D178" s="149"/>
    </row>
    <row r="179" spans="4:4" x14ac:dyDescent="0.2">
      <c r="D179" s="149"/>
    </row>
    <row r="180" spans="4:4" x14ac:dyDescent="0.2">
      <c r="D180" s="149"/>
    </row>
    <row r="181" spans="4:4" x14ac:dyDescent="0.2">
      <c r="D181" s="149"/>
    </row>
    <row r="182" spans="4:4" x14ac:dyDescent="0.2">
      <c r="D182" s="149"/>
    </row>
    <row r="183" spans="4:4" x14ac:dyDescent="0.2">
      <c r="D183" s="149"/>
    </row>
    <row r="184" spans="4:4" x14ac:dyDescent="0.2">
      <c r="D184" s="149"/>
    </row>
    <row r="185" spans="4:4" x14ac:dyDescent="0.2">
      <c r="D185" s="149"/>
    </row>
    <row r="186" spans="4:4" x14ac:dyDescent="0.2">
      <c r="D186" s="149"/>
    </row>
    <row r="187" spans="4:4" x14ac:dyDescent="0.2">
      <c r="D187" s="149"/>
    </row>
    <row r="188" spans="4:4" x14ac:dyDescent="0.2">
      <c r="D188" s="149"/>
    </row>
    <row r="189" spans="4:4" x14ac:dyDescent="0.2">
      <c r="D189" s="149"/>
    </row>
    <row r="190" spans="4:4" x14ac:dyDescent="0.2">
      <c r="D190" s="149"/>
    </row>
    <row r="191" spans="4:4" x14ac:dyDescent="0.2">
      <c r="D191" s="149"/>
    </row>
  </sheetData>
  <mergeCells count="3">
    <mergeCell ref="A2:C2"/>
    <mergeCell ref="A1:O1"/>
    <mergeCell ref="E2:O2"/>
  </mergeCells>
  <phoneticPr fontId="9" type="noConversion"/>
  <printOptions horizontalCentered="1"/>
  <pageMargins left="0.39370078740157483" right="0.39370078740157483" top="0.39370078740157483" bottom="0.39370078740157483" header="0.39370078740157483" footer="0.39370078740157483"/>
  <pageSetup paperSize="9" scale="65" orientation="landscape" blackAndWhite="1" horizontalDpi="4294967292" verticalDpi="300" r:id="rId1"/>
  <headerFooter alignWithMargins="0"/>
  <rowBreaks count="1" manualBreakCount="1">
    <brk id="90" max="16383"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CW460"/>
  <sheetViews>
    <sheetView topLeftCell="A196" zoomScaleNormal="100" workbookViewId="0">
      <pane xSplit="1" topLeftCell="F1" activePane="topRight" state="frozen"/>
      <selection pane="topRight" activeCell="G220" sqref="G219:V220"/>
    </sheetView>
  </sheetViews>
  <sheetFormatPr defaultColWidth="9.140625" defaultRowHeight="12.75" x14ac:dyDescent="0.2"/>
  <cols>
    <col min="1" max="1" width="30.42578125" style="84" customWidth="1"/>
    <col min="2" max="2" width="15.28515625" style="203" hidden="1" customWidth="1"/>
    <col min="3" max="3" width="15.28515625" style="2346" hidden="1" customWidth="1"/>
    <col min="4" max="4" width="18.85546875" style="2346" hidden="1" customWidth="1"/>
    <col min="5" max="5" width="15.42578125" style="84" hidden="1" customWidth="1"/>
    <col min="6" max="6" width="10.7109375" style="84" customWidth="1"/>
    <col min="7" max="16" width="10.140625" style="84" customWidth="1"/>
    <col min="17" max="17" width="10.28515625" style="84" hidden="1" customWidth="1"/>
    <col min="18" max="18" width="9.85546875" style="84" hidden="1" customWidth="1"/>
    <col min="19" max="19" width="9.140625" style="84" hidden="1" customWidth="1"/>
    <col min="20" max="20" width="13.7109375" style="84" hidden="1" customWidth="1"/>
    <col min="21" max="21" width="15.140625" style="99" hidden="1" customWidth="1"/>
    <col min="22" max="22" width="10.140625" style="84" customWidth="1"/>
    <col min="23" max="23" width="7.5703125" style="84" customWidth="1"/>
    <col min="24" max="24" width="9.140625" style="84" customWidth="1"/>
    <col min="25" max="25" width="10.140625" style="84" customWidth="1"/>
    <col min="26" max="26" width="10.28515625" style="99" customWidth="1"/>
    <col min="27" max="27" width="9.140625" style="84" customWidth="1"/>
    <col min="28" max="28" width="10.7109375" style="84" customWidth="1"/>
    <col min="29" max="29" width="10.140625" style="84" bestFit="1" customWidth="1"/>
    <col min="30" max="30" width="11.7109375" style="84" customWidth="1"/>
    <col min="31" max="31" width="9.140625" style="99" customWidth="1"/>
    <col min="32" max="32" width="9.140625" style="84" customWidth="1"/>
    <col min="33" max="33" width="10.140625" style="84" customWidth="1"/>
    <col min="34" max="35" width="9.140625" style="84" customWidth="1"/>
    <col min="36" max="36" width="9.140625" style="99" customWidth="1"/>
    <col min="37" max="37" width="9.140625" style="84" customWidth="1"/>
    <col min="38" max="38" width="10.140625" style="84" customWidth="1"/>
    <col min="39" max="39" width="6.42578125" style="84" bestFit="1" customWidth="1"/>
    <col min="40" max="40" width="10.140625" style="84" customWidth="1"/>
    <col min="41" max="41" width="10.28515625" style="99" bestFit="1" customWidth="1"/>
    <col min="42" max="42" width="9.140625" style="84" customWidth="1"/>
    <col min="43" max="44" width="10.140625" style="84" customWidth="1"/>
    <col min="45" max="45" width="10.140625" style="84" bestFit="1" customWidth="1"/>
    <col min="46" max="46" width="10.140625" style="99" bestFit="1" customWidth="1"/>
    <col min="47" max="47" width="9.140625" style="99" customWidth="1"/>
    <col min="48" max="48" width="10.140625" style="84" bestFit="1" customWidth="1"/>
    <col min="49" max="50" width="9.140625" style="84" customWidth="1"/>
    <col min="51" max="51" width="9.140625" style="99" customWidth="1"/>
    <col min="52" max="52" width="10.28515625" style="84" customWidth="1"/>
    <col min="53" max="55" width="9.140625" style="84" customWidth="1"/>
    <col min="56" max="56" width="9.140625" style="99" customWidth="1"/>
    <col min="57" max="60" width="9.140625" style="84" customWidth="1"/>
    <col min="61" max="61" width="9.140625" style="99" customWidth="1"/>
    <col min="62" max="64" width="9.140625" style="84" customWidth="1"/>
    <col min="65" max="65" width="10.140625" style="84" bestFit="1" customWidth="1"/>
    <col min="66" max="66" width="9.140625" style="99" customWidth="1"/>
    <col min="67" max="69" width="9.140625" style="84" customWidth="1"/>
    <col min="70" max="70" width="10.140625" style="84" bestFit="1" customWidth="1"/>
    <col min="71" max="71" width="9.140625" style="99" customWidth="1"/>
    <col min="72" max="74" width="9.140625" style="84" customWidth="1"/>
    <col min="75" max="75" width="10.140625" style="84" bestFit="1" customWidth="1"/>
    <col min="76" max="76" width="10.140625" style="99" bestFit="1" customWidth="1"/>
    <col min="77" max="89" width="9.140625" style="84"/>
    <col min="90" max="90" width="10.140625" style="84" bestFit="1" customWidth="1"/>
    <col min="91" max="91" width="9.85546875" style="84" customWidth="1"/>
    <col min="92" max="93" width="10.140625" style="84" bestFit="1" customWidth="1"/>
    <col min="94" max="94" width="9.85546875" style="84" customWidth="1"/>
    <col min="95" max="101" width="10.140625" style="84" bestFit="1" customWidth="1"/>
    <col min="102" max="16384" width="9.140625" style="84"/>
  </cols>
  <sheetData>
    <row r="1" spans="1:101" s="434" customFormat="1" ht="24.75" customHeight="1" thickTop="1" thickBot="1" x14ac:dyDescent="0.3">
      <c r="A1" s="2920" t="s">
        <v>3133</v>
      </c>
      <c r="B1" s="2921"/>
      <c r="C1" s="2921"/>
      <c r="D1" s="2921"/>
      <c r="E1" s="2921"/>
      <c r="F1" s="2921"/>
      <c r="G1" s="2921"/>
      <c r="H1" s="2921"/>
      <c r="I1" s="2921"/>
      <c r="J1" s="2921"/>
      <c r="K1" s="2921"/>
      <c r="L1" s="2921"/>
      <c r="M1" s="2921"/>
      <c r="N1" s="2921"/>
      <c r="O1" s="2921"/>
      <c r="P1" s="2921"/>
      <c r="Q1" s="2921"/>
      <c r="R1" s="2921"/>
      <c r="S1" s="2921"/>
      <c r="T1" s="2921"/>
      <c r="U1" s="2921"/>
      <c r="V1" s="2921"/>
      <c r="W1" s="2921"/>
      <c r="X1" s="2921"/>
      <c r="Y1" s="2921"/>
      <c r="Z1" s="2921"/>
      <c r="AA1" s="2921"/>
      <c r="AB1" s="2921"/>
      <c r="AC1" s="2921"/>
      <c r="AD1" s="2921"/>
      <c r="AE1" s="2921"/>
      <c r="AF1" s="2921"/>
      <c r="AG1" s="2921"/>
      <c r="AH1" s="2921"/>
      <c r="AI1" s="2921"/>
      <c r="AJ1" s="2921"/>
      <c r="AK1" s="2921"/>
      <c r="AL1" s="2921"/>
      <c r="AM1" s="2921"/>
      <c r="AN1" s="2921"/>
      <c r="AO1" s="2922"/>
      <c r="AP1" s="559"/>
      <c r="AQ1" s="559"/>
      <c r="AR1" s="559"/>
      <c r="AS1" s="559"/>
      <c r="AT1" s="559"/>
      <c r="AU1" s="559"/>
      <c r="AV1" s="559"/>
      <c r="AW1" s="559"/>
      <c r="AX1" s="559"/>
      <c r="AY1" s="559"/>
      <c r="AZ1" s="559"/>
      <c r="BA1" s="559"/>
      <c r="BB1" s="559"/>
      <c r="BC1" s="559"/>
      <c r="BD1" s="559"/>
      <c r="BE1" s="559"/>
      <c r="BF1" s="559"/>
      <c r="BG1" s="559"/>
      <c r="BH1" s="559"/>
      <c r="BI1" s="559"/>
      <c r="BJ1" s="559"/>
      <c r="BK1" s="559"/>
      <c r="BL1" s="559"/>
      <c r="BM1" s="559"/>
      <c r="BN1" s="559"/>
      <c r="BO1" s="559"/>
      <c r="BP1" s="559"/>
      <c r="BQ1" s="559"/>
      <c r="BR1" s="559"/>
      <c r="BS1" s="559"/>
      <c r="BT1" s="559"/>
      <c r="BU1" s="559"/>
      <c r="BV1" s="559"/>
      <c r="BW1" s="559"/>
      <c r="BX1" s="559"/>
      <c r="BY1" s="2906" t="s">
        <v>5154</v>
      </c>
      <c r="BZ1" s="2907"/>
      <c r="CA1" s="2907"/>
      <c r="CB1" s="2907"/>
      <c r="CC1" s="2907"/>
      <c r="CD1" s="2907"/>
      <c r="CE1" s="2907"/>
      <c r="CF1" s="2907"/>
      <c r="CG1" s="2907"/>
      <c r="CH1" s="2907"/>
      <c r="CI1" s="2907"/>
      <c r="CJ1" s="2907"/>
      <c r="CK1" s="2907"/>
      <c r="CL1" s="2907"/>
      <c r="CM1" s="2907"/>
      <c r="CN1" s="2907"/>
      <c r="CO1" s="2907"/>
      <c r="CP1" s="2907"/>
      <c r="CQ1" s="2907"/>
      <c r="CR1" s="2907"/>
      <c r="CS1" s="2907"/>
      <c r="CT1" s="2907"/>
      <c r="CU1" s="2907"/>
      <c r="CV1" s="2907"/>
      <c r="CW1" s="2908"/>
    </row>
    <row r="2" spans="1:101" ht="13.5" thickBot="1" x14ac:dyDescent="0.25">
      <c r="A2" s="407"/>
      <c r="B2" s="2350"/>
      <c r="C2" s="2325"/>
      <c r="D2" s="2386"/>
      <c r="E2" s="2925" t="s">
        <v>7038</v>
      </c>
      <c r="F2" s="2918"/>
      <c r="G2" s="2918"/>
      <c r="H2" s="2918"/>
      <c r="I2" s="2918"/>
      <c r="J2" s="2918"/>
      <c r="K2" s="2918"/>
      <c r="L2" s="2918"/>
      <c r="M2" s="2918"/>
      <c r="N2" s="2918"/>
      <c r="O2" s="2918"/>
      <c r="P2" s="2919"/>
      <c r="Q2" s="2925" t="s">
        <v>2909</v>
      </c>
      <c r="R2" s="2926"/>
      <c r="S2" s="2926"/>
      <c r="T2" s="2797" t="str">
        <f>SP!D3</f>
        <v>2015/16</v>
      </c>
      <c r="U2" s="2797"/>
      <c r="V2" s="2642" t="str">
        <f>Q2</f>
        <v>Funding Sources</v>
      </c>
      <c r="W2" s="214"/>
      <c r="X2" s="214"/>
      <c r="Y2" s="214" t="str">
        <f>SP!G3</f>
        <v>2016/17</v>
      </c>
      <c r="Z2" s="426"/>
      <c r="AA2" s="214" t="str">
        <f>V2</f>
        <v>Funding Sources</v>
      </c>
      <c r="AB2" s="214"/>
      <c r="AC2" s="214"/>
      <c r="AD2" s="214" t="str">
        <f>SP!I3</f>
        <v>2017/18</v>
      </c>
      <c r="AE2" s="426"/>
      <c r="AF2" s="214" t="str">
        <f>AA2</f>
        <v>Funding Sources</v>
      </c>
      <c r="AG2" s="214"/>
      <c r="AH2" s="214"/>
      <c r="AI2" s="214" t="str">
        <f>SP!J3</f>
        <v>2018/19</v>
      </c>
      <c r="AJ2" s="426"/>
      <c r="AK2" s="214" t="str">
        <f>AF2</f>
        <v>Funding Sources</v>
      </c>
      <c r="AL2" s="214"/>
      <c r="AM2" s="214"/>
      <c r="AN2" s="214" t="str">
        <f>SP!K3</f>
        <v>2019/20</v>
      </c>
      <c r="AO2" s="427"/>
      <c r="AP2" s="214" t="str">
        <f>AK2</f>
        <v>Funding Sources</v>
      </c>
      <c r="AQ2" s="214"/>
      <c r="AR2" s="214"/>
      <c r="AS2" s="214" t="str">
        <f>SP!L3</f>
        <v>2020/21</v>
      </c>
      <c r="AT2" s="426"/>
      <c r="AU2" s="214" t="str">
        <f>AP2</f>
        <v>Funding Sources</v>
      </c>
      <c r="AV2" s="214"/>
      <c r="AW2" s="214"/>
      <c r="AX2" s="214" t="str">
        <f>SP!M3</f>
        <v>2021/22</v>
      </c>
      <c r="AY2" s="426"/>
      <c r="AZ2" s="214" t="str">
        <f>AU2</f>
        <v>Funding Sources</v>
      </c>
      <c r="BA2" s="214"/>
      <c r="BB2" s="214"/>
      <c r="BC2" s="214" t="str">
        <f>SP!N3</f>
        <v>2022/23</v>
      </c>
      <c r="BD2" s="426"/>
      <c r="BE2" s="214" t="str">
        <f>AZ2</f>
        <v>Funding Sources</v>
      </c>
      <c r="BF2" s="214"/>
      <c r="BG2" s="214"/>
      <c r="BH2" s="214" t="str">
        <f>SP!O3</f>
        <v>2023/24</v>
      </c>
      <c r="BI2" s="426"/>
      <c r="BJ2" s="214" t="str">
        <f>BE2</f>
        <v>Funding Sources</v>
      </c>
      <c r="BK2" s="214"/>
      <c r="BL2" s="214"/>
      <c r="BM2" s="214" t="str">
        <f>SP!P3</f>
        <v>2024/25</v>
      </c>
      <c r="BN2" s="426"/>
      <c r="BO2" s="214" t="str">
        <f>BJ2</f>
        <v>Funding Sources</v>
      </c>
      <c r="BP2" s="214"/>
      <c r="BQ2" s="214"/>
      <c r="BR2" s="214" t="str">
        <f>SP!Q3</f>
        <v>2025/26</v>
      </c>
      <c r="BS2" s="426"/>
      <c r="BT2" s="214" t="str">
        <f>BO2</f>
        <v>Funding Sources</v>
      </c>
      <c r="BU2" s="214"/>
      <c r="BV2" s="214"/>
      <c r="BW2" s="214" t="str">
        <f>SP!R3</f>
        <v>2026/27</v>
      </c>
      <c r="BX2" s="214"/>
      <c r="BY2" s="2915" t="s">
        <v>3464</v>
      </c>
      <c r="BZ2" s="2886"/>
      <c r="CA2" s="2886"/>
      <c r="CB2" s="2886"/>
      <c r="CC2" s="2886"/>
      <c r="CD2" s="2886"/>
      <c r="CE2" s="2886"/>
      <c r="CF2" s="2886"/>
      <c r="CG2" s="2886"/>
      <c r="CH2" s="2886"/>
      <c r="CI2" s="2886"/>
      <c r="CJ2" s="2886"/>
      <c r="CK2" s="2923"/>
      <c r="CL2" s="2924" t="s">
        <v>3465</v>
      </c>
      <c r="CM2" s="2886"/>
      <c r="CN2" s="2886"/>
      <c r="CO2" s="2886"/>
      <c r="CP2" s="2886"/>
      <c r="CQ2" s="2886"/>
      <c r="CR2" s="2886"/>
      <c r="CS2" s="2886"/>
      <c r="CT2" s="2886"/>
      <c r="CU2" s="2886"/>
      <c r="CV2" s="2886"/>
      <c r="CW2" s="2887"/>
    </row>
    <row r="3" spans="1:101" s="99" customFormat="1" ht="27" customHeight="1" thickBot="1" x14ac:dyDescent="0.25">
      <c r="A3" s="408" t="s">
        <v>1209</v>
      </c>
      <c r="B3" s="2351" t="s">
        <v>5074</v>
      </c>
      <c r="C3" s="2326" t="s">
        <v>3985</v>
      </c>
      <c r="D3" s="2387" t="s">
        <v>6241</v>
      </c>
      <c r="E3" s="1895" t="str">
        <f>SP!D3</f>
        <v>2015/16</v>
      </c>
      <c r="F3" s="1895" t="str">
        <f>SP!G3</f>
        <v>2016/17</v>
      </c>
      <c r="G3" s="428" t="str">
        <f>SP!I3</f>
        <v>2017/18</v>
      </c>
      <c r="H3" s="1895" t="str">
        <f>SP!J3</f>
        <v>2018/19</v>
      </c>
      <c r="I3" s="1895" t="str">
        <f>SP!K3</f>
        <v>2019/20</v>
      </c>
      <c r="J3" s="1895" t="str">
        <f>SP!L3</f>
        <v>2020/21</v>
      </c>
      <c r="K3" s="1895" t="str">
        <f>SP!M3</f>
        <v>2021/22</v>
      </c>
      <c r="L3" s="1895" t="str">
        <f>SP!N3</f>
        <v>2022/23</v>
      </c>
      <c r="M3" s="1895" t="str">
        <f>GM!O115</f>
        <v>2023/24</v>
      </c>
      <c r="N3" s="428" t="str">
        <f>GM!P115</f>
        <v>2024/25</v>
      </c>
      <c r="O3" s="428" t="str">
        <f>GM!Q115</f>
        <v>2025/26</v>
      </c>
      <c r="P3" s="2798" t="str">
        <f>GM!R115</f>
        <v>2026/27</v>
      </c>
      <c r="Q3" s="430" t="s">
        <v>2513</v>
      </c>
      <c r="R3" s="430" t="s">
        <v>5153</v>
      </c>
      <c r="S3" s="430" t="s">
        <v>2077</v>
      </c>
      <c r="T3" s="430" t="s">
        <v>2329</v>
      </c>
      <c r="U3" s="1914" t="s">
        <v>2732</v>
      </c>
      <c r="V3" s="2802" t="str">
        <f>Q3</f>
        <v>Grants / Conts</v>
      </c>
      <c r="W3" s="430" t="str">
        <f>R3</f>
        <v>Sec 94</v>
      </c>
      <c r="X3" s="430" t="str">
        <f>S3</f>
        <v>Loans</v>
      </c>
      <c r="Y3" s="430" t="str">
        <f>T3</f>
        <v>Reserves</v>
      </c>
      <c r="Z3" s="433" t="str">
        <f>U3</f>
        <v>General Revenue</v>
      </c>
      <c r="AA3" s="430" t="str">
        <f t="shared" ref="AA3:AI3" si="0">V3</f>
        <v>Grants / Conts</v>
      </c>
      <c r="AB3" s="430" t="str">
        <f t="shared" si="0"/>
        <v>Sec 94</v>
      </c>
      <c r="AC3" s="430" t="str">
        <f t="shared" si="0"/>
        <v>Loans</v>
      </c>
      <c r="AD3" s="430" t="str">
        <f t="shared" si="0"/>
        <v>Reserves</v>
      </c>
      <c r="AE3" s="433" t="str">
        <f>Z3</f>
        <v>General Revenue</v>
      </c>
      <c r="AF3" s="430" t="str">
        <f t="shared" si="0"/>
        <v>Grants / Conts</v>
      </c>
      <c r="AG3" s="430" t="str">
        <f t="shared" si="0"/>
        <v>Sec 94</v>
      </c>
      <c r="AH3" s="430" t="str">
        <f t="shared" si="0"/>
        <v>Loans</v>
      </c>
      <c r="AI3" s="430" t="str">
        <f t="shared" si="0"/>
        <v>Reserves</v>
      </c>
      <c r="AJ3" s="433" t="str">
        <f t="shared" ref="AJ3:AO3" si="1">AE3</f>
        <v>General Revenue</v>
      </c>
      <c r="AK3" s="430" t="str">
        <f t="shared" si="1"/>
        <v>Grants / Conts</v>
      </c>
      <c r="AL3" s="430" t="str">
        <f t="shared" si="1"/>
        <v>Sec 94</v>
      </c>
      <c r="AM3" s="430" t="str">
        <f t="shared" si="1"/>
        <v>Loans</v>
      </c>
      <c r="AN3" s="430" t="str">
        <f t="shared" si="1"/>
        <v>Reserves</v>
      </c>
      <c r="AO3" s="432" t="str">
        <f t="shared" si="1"/>
        <v>General Revenue</v>
      </c>
      <c r="AP3" s="430" t="str">
        <f>AK3</f>
        <v>Grants / Conts</v>
      </c>
      <c r="AQ3" s="430" t="str">
        <f>AL3</f>
        <v>Sec 94</v>
      </c>
      <c r="AR3" s="430" t="str">
        <f>AM3</f>
        <v>Loans</v>
      </c>
      <c r="AS3" s="430" t="str">
        <f>AN3</f>
        <v>Reserves</v>
      </c>
      <c r="AT3" s="433" t="str">
        <f>AO3</f>
        <v>General Revenue</v>
      </c>
      <c r="AU3" s="431" t="str">
        <f t="shared" ref="AU3:BD3" si="2">AK3</f>
        <v>Grants / Conts</v>
      </c>
      <c r="AV3" s="556" t="str">
        <f t="shared" si="2"/>
        <v>Sec 94</v>
      </c>
      <c r="AW3" s="556" t="str">
        <f t="shared" si="2"/>
        <v>Loans</v>
      </c>
      <c r="AX3" s="556" t="str">
        <f t="shared" si="2"/>
        <v>Reserves</v>
      </c>
      <c r="AY3" s="433" t="str">
        <f t="shared" si="2"/>
        <v>General Revenue</v>
      </c>
      <c r="AZ3" s="430" t="str">
        <f t="shared" si="2"/>
        <v>Grants / Conts</v>
      </c>
      <c r="BA3" s="430" t="str">
        <f t="shared" si="2"/>
        <v>Sec 94</v>
      </c>
      <c r="BB3" s="430" t="str">
        <f t="shared" si="2"/>
        <v>Loans</v>
      </c>
      <c r="BC3" s="430" t="str">
        <f t="shared" si="2"/>
        <v>Reserves</v>
      </c>
      <c r="BD3" s="433" t="str">
        <f t="shared" si="2"/>
        <v>General Revenue</v>
      </c>
      <c r="BE3" s="430" t="str">
        <f t="shared" ref="BE3:BN3" si="3">AU3</f>
        <v>Grants / Conts</v>
      </c>
      <c r="BF3" s="430" t="str">
        <f t="shared" si="3"/>
        <v>Sec 94</v>
      </c>
      <c r="BG3" s="430" t="str">
        <f t="shared" si="3"/>
        <v>Loans</v>
      </c>
      <c r="BH3" s="430" t="str">
        <f t="shared" si="3"/>
        <v>Reserves</v>
      </c>
      <c r="BI3" s="433" t="str">
        <f t="shared" si="3"/>
        <v>General Revenue</v>
      </c>
      <c r="BJ3" s="430" t="str">
        <f t="shared" si="3"/>
        <v>Grants / Conts</v>
      </c>
      <c r="BK3" s="430" t="str">
        <f t="shared" si="3"/>
        <v>Sec 94</v>
      </c>
      <c r="BL3" s="430" t="str">
        <f t="shared" si="3"/>
        <v>Loans</v>
      </c>
      <c r="BM3" s="430" t="str">
        <f t="shared" si="3"/>
        <v>Reserves</v>
      </c>
      <c r="BN3" s="433" t="str">
        <f t="shared" si="3"/>
        <v>General Revenue</v>
      </c>
      <c r="BO3" s="430" t="str">
        <f t="shared" ref="BO3" si="4">BE3</f>
        <v>Grants / Conts</v>
      </c>
      <c r="BP3" s="430" t="str">
        <f t="shared" ref="BP3" si="5">BF3</f>
        <v>Sec 94</v>
      </c>
      <c r="BQ3" s="430" t="str">
        <f t="shared" ref="BQ3" si="6">BG3</f>
        <v>Loans</v>
      </c>
      <c r="BR3" s="430" t="str">
        <f t="shared" ref="BR3" si="7">BH3</f>
        <v>Reserves</v>
      </c>
      <c r="BS3" s="433" t="str">
        <f t="shared" ref="BS3" si="8">BI3</f>
        <v>General Revenue</v>
      </c>
      <c r="BT3" s="430" t="str">
        <f t="shared" ref="BT3" si="9">BJ3</f>
        <v>Grants / Conts</v>
      </c>
      <c r="BU3" s="430" t="str">
        <f t="shared" ref="BU3" si="10">BK3</f>
        <v>Sec 94</v>
      </c>
      <c r="BV3" s="430" t="str">
        <f t="shared" ref="BV3" si="11">BL3</f>
        <v>Loans</v>
      </c>
      <c r="BW3" s="430" t="str">
        <f t="shared" ref="BW3" si="12">BM3</f>
        <v>Reserves</v>
      </c>
      <c r="BX3" s="1914" t="str">
        <f t="shared" ref="BX3" si="13">BN3</f>
        <v>General Revenue</v>
      </c>
      <c r="BY3" s="2436" t="str">
        <f t="shared" ref="BY3:CJ3" si="14">E3</f>
        <v>2015/16</v>
      </c>
      <c r="BZ3" s="2663" t="str">
        <f t="shared" si="14"/>
        <v>2016/17</v>
      </c>
      <c r="CA3" s="2663" t="str">
        <f t="shared" si="14"/>
        <v>2017/18</v>
      </c>
      <c r="CB3" s="2663" t="str">
        <f t="shared" si="14"/>
        <v>2018/19</v>
      </c>
      <c r="CC3" s="2663" t="str">
        <f t="shared" si="14"/>
        <v>2019/20</v>
      </c>
      <c r="CD3" s="2663" t="str">
        <f t="shared" si="14"/>
        <v>2020/21</v>
      </c>
      <c r="CE3" s="2663" t="str">
        <f t="shared" si="14"/>
        <v>2021/22</v>
      </c>
      <c r="CF3" s="2663" t="str">
        <f t="shared" si="14"/>
        <v>2022/23</v>
      </c>
      <c r="CG3" s="2663" t="str">
        <f t="shared" si="14"/>
        <v>2023/24</v>
      </c>
      <c r="CH3" s="2663" t="str">
        <f t="shared" si="14"/>
        <v>2024/25</v>
      </c>
      <c r="CI3" s="2663" t="str">
        <f t="shared" si="14"/>
        <v>2025/26</v>
      </c>
      <c r="CJ3" s="2663" t="str">
        <f t="shared" si="14"/>
        <v>2026/27</v>
      </c>
      <c r="CK3" s="2663"/>
      <c r="CL3" s="1919" t="str">
        <f t="shared" ref="CL3:CU3" si="15">BY3</f>
        <v>2015/16</v>
      </c>
      <c r="CM3" s="1918" t="str">
        <f t="shared" si="15"/>
        <v>2016/17</v>
      </c>
      <c r="CN3" s="1918" t="str">
        <f t="shared" si="15"/>
        <v>2017/18</v>
      </c>
      <c r="CO3" s="1918" t="str">
        <f t="shared" si="15"/>
        <v>2018/19</v>
      </c>
      <c r="CP3" s="1918" t="str">
        <f t="shared" si="15"/>
        <v>2019/20</v>
      </c>
      <c r="CQ3" s="1918" t="str">
        <f t="shared" si="15"/>
        <v>2020/21</v>
      </c>
      <c r="CR3" s="1918" t="str">
        <f t="shared" si="15"/>
        <v>2021/22</v>
      </c>
      <c r="CS3" s="1918" t="str">
        <f t="shared" si="15"/>
        <v>2022/23</v>
      </c>
      <c r="CT3" s="1918" t="str">
        <f t="shared" si="15"/>
        <v>2023/24</v>
      </c>
      <c r="CU3" s="1918" t="str">
        <f t="shared" si="15"/>
        <v>2024/25</v>
      </c>
      <c r="CV3" s="1918" t="str">
        <f t="shared" ref="CV3:CW3" si="16">CI3</f>
        <v>2025/26</v>
      </c>
      <c r="CW3" s="1777" t="str">
        <f t="shared" si="16"/>
        <v>2026/27</v>
      </c>
    </row>
    <row r="4" spans="1:101" s="99" customFormat="1" x14ac:dyDescent="0.2">
      <c r="A4" s="584"/>
      <c r="B4" s="2352"/>
      <c r="C4" s="2335"/>
      <c r="D4" s="2388"/>
      <c r="E4" s="1990"/>
      <c r="F4" s="1990"/>
      <c r="G4" s="179"/>
      <c r="H4" s="179"/>
      <c r="I4" s="179"/>
      <c r="J4" s="179"/>
      <c r="K4" s="179"/>
      <c r="L4" s="180"/>
      <c r="M4" s="1990"/>
      <c r="N4" s="179"/>
      <c r="O4" s="179"/>
      <c r="P4" s="2647"/>
      <c r="Q4" s="798"/>
      <c r="R4" s="798"/>
      <c r="S4" s="798"/>
      <c r="T4" s="798"/>
      <c r="U4" s="1915"/>
      <c r="V4" s="2803"/>
      <c r="W4" s="798"/>
      <c r="X4" s="798"/>
      <c r="Y4" s="798"/>
      <c r="Z4" s="800"/>
      <c r="AA4" s="798"/>
      <c r="AB4" s="798"/>
      <c r="AC4" s="798"/>
      <c r="AD4" s="798"/>
      <c r="AE4" s="800"/>
      <c r="AF4" s="798"/>
      <c r="AG4" s="798"/>
      <c r="AH4" s="798"/>
      <c r="AI4" s="798"/>
      <c r="AJ4" s="800"/>
      <c r="AK4" s="798"/>
      <c r="AL4" s="798"/>
      <c r="AM4" s="798"/>
      <c r="AN4" s="798"/>
      <c r="AO4" s="802"/>
      <c r="AP4" s="798"/>
      <c r="AQ4" s="798"/>
      <c r="AR4" s="798"/>
      <c r="AS4" s="798"/>
      <c r="AT4" s="800"/>
      <c r="AU4" s="799"/>
      <c r="AV4" s="801"/>
      <c r="AW4" s="801"/>
      <c r="AX4" s="801"/>
      <c r="AY4" s="800"/>
      <c r="AZ4" s="798"/>
      <c r="BA4" s="798"/>
      <c r="BB4" s="798"/>
      <c r="BC4" s="798"/>
      <c r="BD4" s="800"/>
      <c r="BE4" s="798"/>
      <c r="BF4" s="798"/>
      <c r="BG4" s="798"/>
      <c r="BH4" s="798"/>
      <c r="BI4" s="800"/>
      <c r="BJ4" s="798"/>
      <c r="BK4" s="798"/>
      <c r="BL4" s="798"/>
      <c r="BM4" s="798"/>
      <c r="BN4" s="800"/>
      <c r="BO4" s="798"/>
      <c r="BP4" s="798"/>
      <c r="BQ4" s="798"/>
      <c r="BR4" s="798"/>
      <c r="BS4" s="800"/>
      <c r="BT4" s="798"/>
      <c r="BU4" s="798"/>
      <c r="BV4" s="798"/>
      <c r="BW4" s="798"/>
      <c r="BX4" s="1915"/>
      <c r="BY4" s="98"/>
      <c r="CL4" s="502"/>
      <c r="CW4" s="114"/>
    </row>
    <row r="5" spans="1:101" s="99" customFormat="1" x14ac:dyDescent="0.2">
      <c r="A5" s="412" t="str">
        <f>'Res-Gen'!A5</f>
        <v>Strategic and Community Facilities Group</v>
      </c>
      <c r="B5" s="2352"/>
      <c r="C5" s="2335"/>
      <c r="D5" s="2388"/>
      <c r="E5" s="1990"/>
      <c r="F5" s="1990"/>
      <c r="G5" s="179"/>
      <c r="H5" s="384"/>
      <c r="I5" s="384"/>
      <c r="J5" s="384"/>
      <c r="K5" s="384"/>
      <c r="L5" s="179"/>
      <c r="M5" s="1990"/>
      <c r="N5" s="179"/>
      <c r="O5" s="179"/>
      <c r="P5" s="2647"/>
      <c r="Q5" s="798"/>
      <c r="R5" s="798"/>
      <c r="S5" s="798"/>
      <c r="T5" s="798"/>
      <c r="U5" s="1915"/>
      <c r="V5" s="2803"/>
      <c r="W5" s="798"/>
      <c r="X5" s="801"/>
      <c r="Y5" s="798"/>
      <c r="Z5" s="800"/>
      <c r="AA5" s="798"/>
      <c r="AB5" s="798"/>
      <c r="AC5" s="798"/>
      <c r="AD5" s="798"/>
      <c r="AE5" s="800"/>
      <c r="AF5" s="798"/>
      <c r="AG5" s="798"/>
      <c r="AH5" s="798"/>
      <c r="AI5" s="798"/>
      <c r="AJ5" s="800"/>
      <c r="AK5" s="798"/>
      <c r="AL5" s="798"/>
      <c r="AM5" s="798"/>
      <c r="AN5" s="798"/>
      <c r="AO5" s="802"/>
      <c r="AP5" s="798"/>
      <c r="AQ5" s="798"/>
      <c r="AR5" s="798"/>
      <c r="AS5" s="798"/>
      <c r="AT5" s="800"/>
      <c r="AU5" s="799"/>
      <c r="AV5" s="801"/>
      <c r="AW5" s="801"/>
      <c r="AX5" s="801"/>
      <c r="AY5" s="800"/>
      <c r="AZ5" s="798"/>
      <c r="BA5" s="798"/>
      <c r="BB5" s="798"/>
      <c r="BC5" s="798"/>
      <c r="BD5" s="800"/>
      <c r="BE5" s="798"/>
      <c r="BF5" s="798"/>
      <c r="BG5" s="798"/>
      <c r="BH5" s="798"/>
      <c r="BI5" s="800"/>
      <c r="BJ5" s="798"/>
      <c r="BK5" s="798"/>
      <c r="BL5" s="798"/>
      <c r="BM5" s="798"/>
      <c r="BN5" s="800"/>
      <c r="BO5" s="798"/>
      <c r="BP5" s="798"/>
      <c r="BQ5" s="798"/>
      <c r="BR5" s="798"/>
      <c r="BS5" s="800"/>
      <c r="BT5" s="798"/>
      <c r="BU5" s="798"/>
      <c r="BV5" s="798"/>
      <c r="BW5" s="798"/>
      <c r="BX5" s="1915"/>
      <c r="BY5" s="98"/>
      <c r="CL5" s="502"/>
      <c r="CW5" s="114"/>
    </row>
    <row r="6" spans="1:101" s="99" customFormat="1" x14ac:dyDescent="0.2">
      <c r="A6" s="1106" t="s">
        <v>4899</v>
      </c>
      <c r="B6" s="2353"/>
      <c r="C6" s="2335"/>
      <c r="D6" s="2388"/>
      <c r="E6" s="1990"/>
      <c r="F6" s="1990"/>
      <c r="G6" s="179"/>
      <c r="H6" s="384"/>
      <c r="I6" s="384"/>
      <c r="J6" s="384"/>
      <c r="K6" s="384"/>
      <c r="L6" s="179"/>
      <c r="M6" s="2799"/>
      <c r="N6" s="179"/>
      <c r="O6" s="179"/>
      <c r="P6" s="2647"/>
      <c r="Q6" s="798"/>
      <c r="R6" s="798"/>
      <c r="S6" s="798"/>
      <c r="T6" s="798"/>
      <c r="U6" s="1915"/>
      <c r="V6" s="2803"/>
      <c r="W6" s="798"/>
      <c r="X6" s="33"/>
      <c r="Y6" s="798"/>
      <c r="Z6" s="800"/>
      <c r="AA6" s="798"/>
      <c r="AB6" s="798"/>
      <c r="AC6" s="798"/>
      <c r="AD6" s="798"/>
      <c r="AE6" s="800"/>
      <c r="AF6" s="798"/>
      <c r="AG6" s="798"/>
      <c r="AH6" s="798"/>
      <c r="AI6" s="798"/>
      <c r="AJ6" s="800"/>
      <c r="AK6" s="798"/>
      <c r="AL6" s="798"/>
      <c r="AM6" s="798"/>
      <c r="AN6" s="798"/>
      <c r="AO6" s="802"/>
      <c r="AP6" s="798"/>
      <c r="AQ6" s="798"/>
      <c r="AR6" s="798"/>
      <c r="AS6" s="798"/>
      <c r="AT6" s="800"/>
      <c r="AU6" s="799"/>
      <c r="AV6" s="801"/>
      <c r="AW6" s="801"/>
      <c r="AX6" s="801"/>
      <c r="AY6" s="800"/>
      <c r="AZ6" s="798"/>
      <c r="BA6" s="798"/>
      <c r="BB6" s="798"/>
      <c r="BC6" s="798"/>
      <c r="BD6" s="800"/>
      <c r="BE6" s="798"/>
      <c r="BF6" s="798"/>
      <c r="BG6" s="798"/>
      <c r="BH6" s="798"/>
      <c r="BI6" s="800"/>
      <c r="BJ6" s="798"/>
      <c r="BK6" s="798"/>
      <c r="BL6" s="798"/>
      <c r="BM6" s="798"/>
      <c r="BN6" s="800"/>
      <c r="BO6" s="798"/>
      <c r="BP6" s="798"/>
      <c r="BQ6" s="798"/>
      <c r="BR6" s="798"/>
      <c r="BS6" s="800"/>
      <c r="BT6" s="798"/>
      <c r="BU6" s="798"/>
      <c r="BV6" s="798"/>
      <c r="BW6" s="798"/>
      <c r="BX6" s="1915"/>
      <c r="BY6" s="2437"/>
      <c r="BZ6" s="740"/>
      <c r="CA6" s="740"/>
      <c r="CB6" s="740"/>
      <c r="CC6" s="740"/>
      <c r="CD6" s="740"/>
      <c r="CE6" s="740"/>
      <c r="CF6" s="740"/>
      <c r="CG6" s="740"/>
      <c r="CH6" s="740"/>
      <c r="CI6" s="740"/>
      <c r="CJ6" s="740"/>
      <c r="CK6" s="740"/>
      <c r="CL6" s="502"/>
      <c r="CW6" s="114"/>
    </row>
    <row r="7" spans="1:101" s="78" customFormat="1" x14ac:dyDescent="0.2">
      <c r="A7" s="869" t="s">
        <v>3666</v>
      </c>
      <c r="B7" s="2354" t="s">
        <v>6508</v>
      </c>
      <c r="C7" s="2343" t="s">
        <v>6509</v>
      </c>
      <c r="D7" s="2328" t="s">
        <v>6509</v>
      </c>
      <c r="E7" s="142">
        <v>217600</v>
      </c>
      <c r="F7" s="33">
        <v>22000</v>
      </c>
      <c r="G7" s="33">
        <f>ROUND((F7*Assumptions!H$6+F7),-3)</f>
        <v>23000</v>
      </c>
      <c r="H7" s="76">
        <f>ROUND((G7*Assumptions!I$6+G7),-3)</f>
        <v>24000</v>
      </c>
      <c r="I7" s="76">
        <f>ROUND((H7*Assumptions!J$6+H7),-3)</f>
        <v>25000</v>
      </c>
      <c r="J7" s="76">
        <f>ROUND((I7*Assumptions!K$6+I7),-3)</f>
        <v>26000</v>
      </c>
      <c r="K7" s="76">
        <f>ROUND((J7*Assumptions!L$6+J7),-3)</f>
        <v>27000</v>
      </c>
      <c r="L7" s="33">
        <f>ROUND((K7*Assumptions!M$6+K7),-3)</f>
        <v>28000</v>
      </c>
      <c r="M7" s="99">
        <f>ROUND((L7*Assumptions!N$6+L7),-3)</f>
        <v>29000</v>
      </c>
      <c r="N7" s="33">
        <f>ROUND((M7*Assumptions!O$6+M7),-3)</f>
        <v>30000</v>
      </c>
      <c r="O7" s="33">
        <f>ROUND((N7*Assumptions!P$6+N7),-3)</f>
        <v>31000</v>
      </c>
      <c r="P7" s="102">
        <f>ROUND((O7*Assumptions!Q$6+O7),-3)</f>
        <v>32000</v>
      </c>
      <c r="Q7" s="142">
        <f>'Cap Inc'!B6:B6</f>
        <v>20000</v>
      </c>
      <c r="R7" s="33"/>
      <c r="S7" s="33"/>
      <c r="T7" s="33">
        <f>170200+6000</f>
        <v>176200</v>
      </c>
      <c r="U7" s="99">
        <f>E7-Q7-R7-S7-T7</f>
        <v>21400</v>
      </c>
      <c r="V7" s="186"/>
      <c r="W7" s="33"/>
      <c r="X7" s="33"/>
      <c r="Y7" s="142"/>
      <c r="Z7" s="102">
        <f>F7-V7-W7-X7-Y7</f>
        <v>22000</v>
      </c>
      <c r="AA7" s="142"/>
      <c r="AB7" s="33"/>
      <c r="AC7" s="33"/>
      <c r="AD7" s="33"/>
      <c r="AE7" s="102">
        <f>G7-AA7-AB7-AC7-AD7</f>
        <v>23000</v>
      </c>
      <c r="AF7" s="142"/>
      <c r="AG7" s="33"/>
      <c r="AH7" s="33"/>
      <c r="AI7" s="33"/>
      <c r="AJ7" s="102">
        <f>H7-AF7-AG7-AH7-AI7</f>
        <v>24000</v>
      </c>
      <c r="AK7" s="142"/>
      <c r="AL7" s="33"/>
      <c r="AM7" s="33"/>
      <c r="AN7" s="33"/>
      <c r="AO7" s="114">
        <f>I7-AK7-AL7-AM7-AN7</f>
        <v>25000</v>
      </c>
      <c r="AP7" s="142"/>
      <c r="AQ7" s="33"/>
      <c r="AR7" s="33"/>
      <c r="AS7" s="33"/>
      <c r="AT7" s="102">
        <f>J7-AP7-AQ7-AR7-AS7</f>
        <v>26000</v>
      </c>
      <c r="AU7" s="99"/>
      <c r="AV7" s="33"/>
      <c r="AW7" s="33"/>
      <c r="AX7" s="33"/>
      <c r="AY7" s="102">
        <f>K7-AU7-AV7-AW7-AX7</f>
        <v>27000</v>
      </c>
      <c r="AZ7" s="142"/>
      <c r="BA7" s="33"/>
      <c r="BB7" s="33"/>
      <c r="BC7" s="33"/>
      <c r="BD7" s="102">
        <f>L7-AZ7-BA7-BB7-BC7</f>
        <v>28000</v>
      </c>
      <c r="BE7" s="142"/>
      <c r="BF7" s="33"/>
      <c r="BG7" s="33"/>
      <c r="BH7" s="33"/>
      <c r="BI7" s="102">
        <f>M7-BE7-BF7-BG7-BH7</f>
        <v>29000</v>
      </c>
      <c r="BJ7" s="142"/>
      <c r="BK7" s="33"/>
      <c r="BL7" s="33"/>
      <c r="BM7" s="33"/>
      <c r="BN7" s="102">
        <f>N7-BJ7-BK7-BL7-BM7</f>
        <v>30000</v>
      </c>
      <c r="BO7" s="142"/>
      <c r="BP7" s="33"/>
      <c r="BQ7" s="33"/>
      <c r="BR7" s="33"/>
      <c r="BS7" s="102">
        <f>O7-BO7-BP7-BQ7-BR7</f>
        <v>31000</v>
      </c>
      <c r="BT7" s="142"/>
      <c r="BU7" s="33"/>
      <c r="BV7" s="33"/>
      <c r="BW7" s="33"/>
      <c r="BX7" s="99">
        <f>P7-BT7-BU7-BV7-BW7</f>
        <v>32000</v>
      </c>
      <c r="BY7" s="2438">
        <v>1</v>
      </c>
      <c r="BZ7" s="1263">
        <f t="shared" ref="BZ7:CH7" si="17">BY7</f>
        <v>1</v>
      </c>
      <c r="CA7" s="1263">
        <f t="shared" si="17"/>
        <v>1</v>
      </c>
      <c r="CB7" s="1263">
        <f t="shared" si="17"/>
        <v>1</v>
      </c>
      <c r="CC7" s="1263">
        <f t="shared" si="17"/>
        <v>1</v>
      </c>
      <c r="CD7" s="1263">
        <f t="shared" si="17"/>
        <v>1</v>
      </c>
      <c r="CE7" s="1263">
        <f t="shared" si="17"/>
        <v>1</v>
      </c>
      <c r="CF7" s="1263">
        <f t="shared" si="17"/>
        <v>1</v>
      </c>
      <c r="CG7" s="1263">
        <f t="shared" si="17"/>
        <v>1</v>
      </c>
      <c r="CH7" s="1263">
        <f t="shared" si="17"/>
        <v>1</v>
      </c>
      <c r="CI7" s="1263">
        <f t="shared" ref="CI7:CJ11" si="18">CH7</f>
        <v>1</v>
      </c>
      <c r="CJ7" s="1263">
        <f t="shared" si="18"/>
        <v>1</v>
      </c>
      <c r="CK7" s="1263"/>
      <c r="CL7" s="1920">
        <f t="shared" ref="CL7:CW11" si="19">ROUND(BY7*E7,-3)</f>
        <v>218000</v>
      </c>
      <c r="CM7" s="78">
        <f t="shared" si="19"/>
        <v>22000</v>
      </c>
      <c r="CN7" s="78">
        <f t="shared" si="19"/>
        <v>23000</v>
      </c>
      <c r="CO7" s="78">
        <f t="shared" si="19"/>
        <v>24000</v>
      </c>
      <c r="CP7" s="78">
        <f t="shared" si="19"/>
        <v>25000</v>
      </c>
      <c r="CQ7" s="78">
        <f t="shared" si="19"/>
        <v>26000</v>
      </c>
      <c r="CR7" s="78">
        <f t="shared" si="19"/>
        <v>27000</v>
      </c>
      <c r="CS7" s="78">
        <f t="shared" si="19"/>
        <v>28000</v>
      </c>
      <c r="CT7" s="78">
        <f t="shared" si="19"/>
        <v>29000</v>
      </c>
      <c r="CU7" s="78">
        <f t="shared" si="19"/>
        <v>30000</v>
      </c>
      <c r="CV7" s="78">
        <f t="shared" si="19"/>
        <v>31000</v>
      </c>
      <c r="CW7" s="131">
        <f t="shared" si="19"/>
        <v>32000</v>
      </c>
    </row>
    <row r="8" spans="1:101" x14ac:dyDescent="0.2">
      <c r="A8" s="869" t="s">
        <v>6081</v>
      </c>
      <c r="B8" s="2352" t="s">
        <v>6239</v>
      </c>
      <c r="C8" s="2332" t="s">
        <v>6238</v>
      </c>
      <c r="D8" s="2327"/>
      <c r="E8" s="142">
        <v>25200</v>
      </c>
      <c r="F8" s="33"/>
      <c r="G8" s="33"/>
      <c r="H8" s="76"/>
      <c r="I8" s="76"/>
      <c r="J8" s="76"/>
      <c r="K8" s="76"/>
      <c r="L8" s="76"/>
      <c r="M8" s="76"/>
      <c r="N8" s="179"/>
      <c r="O8" s="179"/>
      <c r="P8" s="2647"/>
      <c r="Q8" s="142"/>
      <c r="R8" s="33"/>
      <c r="S8" s="33"/>
      <c r="T8" s="33">
        <f>'Res-Gen'!C17-6000-2500-7000-1300</f>
        <v>25200</v>
      </c>
      <c r="V8" s="186"/>
      <c r="W8" s="33"/>
      <c r="X8" s="99"/>
      <c r="Y8" s="33"/>
      <c r="Z8" s="102">
        <f>F8-V8-W8-X8-Y8</f>
        <v>0</v>
      </c>
      <c r="AA8" s="142"/>
      <c r="AB8" s="33"/>
      <c r="AC8" s="33"/>
      <c r="AD8" s="33"/>
      <c r="AE8" s="102">
        <f>G8-AA8-AB8-AC8-AD8</f>
        <v>0</v>
      </c>
      <c r="AF8" s="142"/>
      <c r="AG8" s="33"/>
      <c r="AH8" s="33"/>
      <c r="AI8" s="33"/>
      <c r="AJ8" s="102">
        <f>H8-AF8-AG8-AH8-AI8</f>
        <v>0</v>
      </c>
      <c r="AK8" s="142"/>
      <c r="AL8" s="33"/>
      <c r="AM8" s="33"/>
      <c r="AN8" s="33"/>
      <c r="AO8" s="114">
        <f>I8-AK8-AL8-AM8-AN8</f>
        <v>0</v>
      </c>
      <c r="AP8" s="142"/>
      <c r="AQ8" s="33"/>
      <c r="AR8" s="33"/>
      <c r="AS8" s="33"/>
      <c r="AT8" s="102">
        <f>J8-AP8-AQ8-AR8-AS8</f>
        <v>0</v>
      </c>
      <c r="AV8" s="33"/>
      <c r="AW8" s="33"/>
      <c r="AX8" s="33"/>
      <c r="AY8" s="102">
        <f>K8-AU8-AV8-AW8-AX8</f>
        <v>0</v>
      </c>
      <c r="AZ8" s="142"/>
      <c r="BA8" s="33"/>
      <c r="BB8" s="33"/>
      <c r="BC8" s="33"/>
      <c r="BD8" s="102">
        <f>L8-AZ8-BA8-BB8-BC8</f>
        <v>0</v>
      </c>
      <c r="BE8" s="142"/>
      <c r="BF8" s="33"/>
      <c r="BG8" s="33"/>
      <c r="BH8" s="33"/>
      <c r="BI8" s="102">
        <f>M8-BE8-BF8-BG8-BH8</f>
        <v>0</v>
      </c>
      <c r="BJ8" s="142"/>
      <c r="BK8" s="33"/>
      <c r="BL8" s="33"/>
      <c r="BM8" s="33"/>
      <c r="BN8" s="102">
        <f>N8-BJ8-BK8-BL8-BM8</f>
        <v>0</v>
      </c>
      <c r="BO8" s="142"/>
      <c r="BP8" s="33"/>
      <c r="BQ8" s="33"/>
      <c r="BR8" s="33"/>
      <c r="BS8" s="102">
        <f>O8-BO8-BP8-BQ8-BR8</f>
        <v>0</v>
      </c>
      <c r="BT8" s="142"/>
      <c r="BU8" s="33"/>
      <c r="BV8" s="33"/>
      <c r="BW8" s="33"/>
      <c r="BX8" s="99">
        <f t="shared" ref="BX8:BX11" si="20">P8-BT8-BU8-BV8-BW8</f>
        <v>0</v>
      </c>
      <c r="BY8" s="2438">
        <v>1</v>
      </c>
      <c r="BZ8" s="1263">
        <f t="shared" ref="BZ8:CH8" si="21">BY8</f>
        <v>1</v>
      </c>
      <c r="CA8" s="1263">
        <f t="shared" si="21"/>
        <v>1</v>
      </c>
      <c r="CB8" s="1263">
        <f t="shared" si="21"/>
        <v>1</v>
      </c>
      <c r="CC8" s="1263">
        <f t="shared" si="21"/>
        <v>1</v>
      </c>
      <c r="CD8" s="1263">
        <f t="shared" si="21"/>
        <v>1</v>
      </c>
      <c r="CE8" s="1263">
        <f t="shared" si="21"/>
        <v>1</v>
      </c>
      <c r="CF8" s="1263">
        <f t="shared" si="21"/>
        <v>1</v>
      </c>
      <c r="CG8" s="1263">
        <f t="shared" si="21"/>
        <v>1</v>
      </c>
      <c r="CH8" s="1263">
        <f t="shared" si="21"/>
        <v>1</v>
      </c>
      <c r="CI8" s="1263">
        <f t="shared" si="18"/>
        <v>1</v>
      </c>
      <c r="CJ8" s="1263">
        <f t="shared" si="18"/>
        <v>1</v>
      </c>
      <c r="CK8" s="1263"/>
      <c r="CL8" s="1920">
        <f t="shared" si="19"/>
        <v>25000</v>
      </c>
      <c r="CM8" s="78">
        <f t="shared" si="19"/>
        <v>0</v>
      </c>
      <c r="CN8" s="78">
        <f t="shared" si="19"/>
        <v>0</v>
      </c>
      <c r="CO8" s="78">
        <f t="shared" si="19"/>
        <v>0</v>
      </c>
      <c r="CP8" s="78">
        <f t="shared" si="19"/>
        <v>0</v>
      </c>
      <c r="CQ8" s="78">
        <f t="shared" si="19"/>
        <v>0</v>
      </c>
      <c r="CR8" s="78">
        <f t="shared" si="19"/>
        <v>0</v>
      </c>
      <c r="CS8" s="78">
        <f t="shared" si="19"/>
        <v>0</v>
      </c>
      <c r="CT8" s="78">
        <f t="shared" si="19"/>
        <v>0</v>
      </c>
      <c r="CU8" s="78">
        <f t="shared" si="19"/>
        <v>0</v>
      </c>
      <c r="CV8" s="78">
        <f t="shared" si="19"/>
        <v>0</v>
      </c>
      <c r="CW8" s="131">
        <f t="shared" si="19"/>
        <v>0</v>
      </c>
    </row>
    <row r="9" spans="1:101" x14ac:dyDescent="0.2">
      <c r="A9" s="869" t="s">
        <v>3573</v>
      </c>
      <c r="B9" s="2352" t="s">
        <v>6240</v>
      </c>
      <c r="C9" s="2332" t="s">
        <v>5076</v>
      </c>
      <c r="D9" s="2327"/>
      <c r="E9" s="142">
        <v>11900</v>
      </c>
      <c r="F9" s="33">
        <v>1300</v>
      </c>
      <c r="G9" s="33"/>
      <c r="H9" s="76"/>
      <c r="I9" s="76"/>
      <c r="J9" s="76"/>
      <c r="K9" s="76"/>
      <c r="L9" s="76"/>
      <c r="M9" s="76"/>
      <c r="N9" s="179"/>
      <c r="O9" s="179"/>
      <c r="P9" s="2647"/>
      <c r="Q9" s="142"/>
      <c r="R9" s="33"/>
      <c r="S9" s="33"/>
      <c r="T9" s="33">
        <v>11900</v>
      </c>
      <c r="U9" s="99">
        <f>E9-Q9-R9-S9-T9</f>
        <v>0</v>
      </c>
      <c r="V9" s="186"/>
      <c r="W9" s="33"/>
      <c r="X9" s="99"/>
      <c r="Y9" s="33">
        <f>F9</f>
        <v>1300</v>
      </c>
      <c r="Z9" s="102">
        <f>F9-V9-W9-X9-Y9</f>
        <v>0</v>
      </c>
      <c r="AA9" s="142"/>
      <c r="AB9" s="33"/>
      <c r="AC9" s="33"/>
      <c r="AD9" s="33"/>
      <c r="AE9" s="102">
        <f>G9-AA9-AB9-AC9-AD9</f>
        <v>0</v>
      </c>
      <c r="AF9" s="142"/>
      <c r="AG9" s="33"/>
      <c r="AH9" s="33"/>
      <c r="AI9" s="33"/>
      <c r="AJ9" s="102">
        <f>H9-AF9-AG9-AH9-AI9</f>
        <v>0</v>
      </c>
      <c r="AK9" s="142"/>
      <c r="AL9" s="33"/>
      <c r="AM9" s="33"/>
      <c r="AN9" s="33"/>
      <c r="AO9" s="114">
        <f>I9-AK9-AL9-AM9-AN9</f>
        <v>0</v>
      </c>
      <c r="AP9" s="142"/>
      <c r="AQ9" s="33"/>
      <c r="AR9" s="33"/>
      <c r="AS9" s="33"/>
      <c r="AT9" s="102">
        <f>J9-AP9-AQ9-AR9-AS9</f>
        <v>0</v>
      </c>
      <c r="AV9" s="33"/>
      <c r="AW9" s="33"/>
      <c r="AX9" s="33"/>
      <c r="AY9" s="102">
        <f>K9-AU9-AV9-AW9-AX9</f>
        <v>0</v>
      </c>
      <c r="AZ9" s="142"/>
      <c r="BA9" s="33"/>
      <c r="BB9" s="33"/>
      <c r="BC9" s="33"/>
      <c r="BD9" s="102">
        <f>L9-AZ9-BA9-BB9-BC9</f>
        <v>0</v>
      </c>
      <c r="BE9" s="142"/>
      <c r="BF9" s="33"/>
      <c r="BG9" s="33"/>
      <c r="BH9" s="33"/>
      <c r="BI9" s="102">
        <f>M9-BE9-BF9-BG9-BH9</f>
        <v>0</v>
      </c>
      <c r="BJ9" s="142"/>
      <c r="BK9" s="33"/>
      <c r="BL9" s="33"/>
      <c r="BM9" s="33"/>
      <c r="BN9" s="102">
        <f>N9-BJ9-BK9-BL9-BM9</f>
        <v>0</v>
      </c>
      <c r="BO9" s="142"/>
      <c r="BP9" s="33"/>
      <c r="BQ9" s="33"/>
      <c r="BR9" s="33"/>
      <c r="BS9" s="102">
        <f>O9-BO9-BP9-BQ9-BR9</f>
        <v>0</v>
      </c>
      <c r="BT9" s="142"/>
      <c r="BU9" s="33"/>
      <c r="BV9" s="33"/>
      <c r="BW9" s="33"/>
      <c r="BX9" s="99">
        <f t="shared" si="20"/>
        <v>0</v>
      </c>
      <c r="BY9" s="2438">
        <v>1</v>
      </c>
      <c r="BZ9" s="1263">
        <f t="shared" ref="BZ9:CH9" si="22">BY9</f>
        <v>1</v>
      </c>
      <c r="CA9" s="1263">
        <f t="shared" si="22"/>
        <v>1</v>
      </c>
      <c r="CB9" s="1263">
        <f t="shared" si="22"/>
        <v>1</v>
      </c>
      <c r="CC9" s="1263">
        <f t="shared" si="22"/>
        <v>1</v>
      </c>
      <c r="CD9" s="1263">
        <f t="shared" si="22"/>
        <v>1</v>
      </c>
      <c r="CE9" s="1263">
        <f t="shared" si="22"/>
        <v>1</v>
      </c>
      <c r="CF9" s="1263">
        <f t="shared" si="22"/>
        <v>1</v>
      </c>
      <c r="CG9" s="1263">
        <f t="shared" si="22"/>
        <v>1</v>
      </c>
      <c r="CH9" s="1263">
        <f t="shared" si="22"/>
        <v>1</v>
      </c>
      <c r="CI9" s="1263">
        <f t="shared" si="18"/>
        <v>1</v>
      </c>
      <c r="CJ9" s="1263">
        <f t="shared" si="18"/>
        <v>1</v>
      </c>
      <c r="CK9" s="1263"/>
      <c r="CL9" s="1920">
        <f t="shared" si="19"/>
        <v>12000</v>
      </c>
      <c r="CM9" s="78">
        <f t="shared" si="19"/>
        <v>1000</v>
      </c>
      <c r="CN9" s="78">
        <f t="shared" si="19"/>
        <v>0</v>
      </c>
      <c r="CO9" s="78">
        <f t="shared" si="19"/>
        <v>0</v>
      </c>
      <c r="CP9" s="78">
        <f t="shared" si="19"/>
        <v>0</v>
      </c>
      <c r="CQ9" s="78">
        <f t="shared" si="19"/>
        <v>0</v>
      </c>
      <c r="CR9" s="78">
        <f t="shared" si="19"/>
        <v>0</v>
      </c>
      <c r="CS9" s="78">
        <f t="shared" si="19"/>
        <v>0</v>
      </c>
      <c r="CT9" s="78">
        <f t="shared" si="19"/>
        <v>0</v>
      </c>
      <c r="CU9" s="78">
        <f t="shared" si="19"/>
        <v>0</v>
      </c>
      <c r="CV9" s="78">
        <f t="shared" si="19"/>
        <v>0</v>
      </c>
      <c r="CW9" s="131">
        <f t="shared" si="19"/>
        <v>0</v>
      </c>
    </row>
    <row r="10" spans="1:101" x14ac:dyDescent="0.2">
      <c r="A10" s="869" t="s">
        <v>3806</v>
      </c>
      <c r="B10" s="2352" t="s">
        <v>3986</v>
      </c>
      <c r="C10" s="2332" t="s">
        <v>4110</v>
      </c>
      <c r="D10" s="2327"/>
      <c r="E10" s="142">
        <v>111100</v>
      </c>
      <c r="F10" s="33"/>
      <c r="G10" s="33"/>
      <c r="H10" s="76"/>
      <c r="I10" s="76"/>
      <c r="J10" s="76"/>
      <c r="K10" s="76"/>
      <c r="L10" s="76"/>
      <c r="M10" s="76"/>
      <c r="N10" s="179"/>
      <c r="O10" s="179"/>
      <c r="P10" s="2647"/>
      <c r="Q10" s="142"/>
      <c r="R10" s="33"/>
      <c r="S10" s="33"/>
      <c r="T10" s="33">
        <f>'Res-Gen'!C18+2500</f>
        <v>81500</v>
      </c>
      <c r="U10" s="99">
        <f>E10-Q10-R10-S10-T10</f>
        <v>29600</v>
      </c>
      <c r="V10" s="186"/>
      <c r="W10" s="33"/>
      <c r="X10" s="99"/>
      <c r="Y10" s="33"/>
      <c r="Z10" s="102">
        <f>F10-V10-W10-X10-Y10</f>
        <v>0</v>
      </c>
      <c r="AA10" s="142"/>
      <c r="AB10" s="33"/>
      <c r="AC10" s="33"/>
      <c r="AD10" s="33"/>
      <c r="AE10" s="102">
        <f>G10-AA10-AB10-AC10-AD10</f>
        <v>0</v>
      </c>
      <c r="AF10" s="142"/>
      <c r="AG10" s="33"/>
      <c r="AH10" s="33"/>
      <c r="AI10" s="33"/>
      <c r="AJ10" s="102">
        <f>H10-AF10-AG10-AH10-AI10</f>
        <v>0</v>
      </c>
      <c r="AK10" s="142"/>
      <c r="AL10" s="33"/>
      <c r="AM10" s="33"/>
      <c r="AN10" s="33"/>
      <c r="AO10" s="114">
        <f>I10-AK10-AL10-AM10-AN10</f>
        <v>0</v>
      </c>
      <c r="AP10" s="142"/>
      <c r="AQ10" s="33"/>
      <c r="AR10" s="33"/>
      <c r="AS10" s="33"/>
      <c r="AT10" s="102">
        <f>J10-AP10-AQ10-AR10-AS10</f>
        <v>0</v>
      </c>
      <c r="AV10" s="33"/>
      <c r="AW10" s="33"/>
      <c r="AX10" s="33"/>
      <c r="AY10" s="102">
        <f>K10-AU10-AV10-AW10-AX10</f>
        <v>0</v>
      </c>
      <c r="AZ10" s="142"/>
      <c r="BA10" s="33"/>
      <c r="BB10" s="33"/>
      <c r="BC10" s="33"/>
      <c r="BD10" s="102">
        <f>L10-AZ10-BA10-BB10-BC10</f>
        <v>0</v>
      </c>
      <c r="BE10" s="142"/>
      <c r="BF10" s="33"/>
      <c r="BG10" s="33"/>
      <c r="BH10" s="33"/>
      <c r="BI10" s="102">
        <f>M10-BE10-BF10-BG10-BH10</f>
        <v>0</v>
      </c>
      <c r="BJ10" s="142"/>
      <c r="BK10" s="33"/>
      <c r="BL10" s="33"/>
      <c r="BM10" s="33"/>
      <c r="BN10" s="102">
        <f>N10-BJ10-BK10-BL10-BM10</f>
        <v>0</v>
      </c>
      <c r="BO10" s="142"/>
      <c r="BP10" s="33"/>
      <c r="BQ10" s="33"/>
      <c r="BR10" s="33"/>
      <c r="BS10" s="102">
        <f>O10-BO10-BP10-BQ10-BR10</f>
        <v>0</v>
      </c>
      <c r="BT10" s="142"/>
      <c r="BU10" s="33"/>
      <c r="BV10" s="33"/>
      <c r="BW10" s="33"/>
      <c r="BX10" s="99">
        <f t="shared" si="20"/>
        <v>0</v>
      </c>
      <c r="BY10" s="2438">
        <v>0</v>
      </c>
      <c r="BZ10" s="1263">
        <f t="shared" ref="BZ10:CH10" si="23">BY10</f>
        <v>0</v>
      </c>
      <c r="CA10" s="1263">
        <f t="shared" si="23"/>
        <v>0</v>
      </c>
      <c r="CB10" s="1263">
        <f t="shared" si="23"/>
        <v>0</v>
      </c>
      <c r="CC10" s="1263">
        <f t="shared" si="23"/>
        <v>0</v>
      </c>
      <c r="CD10" s="1263">
        <f t="shared" si="23"/>
        <v>0</v>
      </c>
      <c r="CE10" s="1263">
        <f t="shared" si="23"/>
        <v>0</v>
      </c>
      <c r="CF10" s="1263">
        <f t="shared" si="23"/>
        <v>0</v>
      </c>
      <c r="CG10" s="1263">
        <f t="shared" si="23"/>
        <v>0</v>
      </c>
      <c r="CH10" s="1263">
        <f t="shared" si="23"/>
        <v>0</v>
      </c>
      <c r="CI10" s="1263">
        <f t="shared" si="18"/>
        <v>0</v>
      </c>
      <c r="CJ10" s="1263">
        <f t="shared" si="18"/>
        <v>0</v>
      </c>
      <c r="CK10" s="1263"/>
      <c r="CL10" s="1920">
        <f t="shared" si="19"/>
        <v>0</v>
      </c>
      <c r="CM10" s="78">
        <f t="shared" si="19"/>
        <v>0</v>
      </c>
      <c r="CN10" s="78">
        <f t="shared" si="19"/>
        <v>0</v>
      </c>
      <c r="CO10" s="78">
        <f t="shared" si="19"/>
        <v>0</v>
      </c>
      <c r="CP10" s="78">
        <f t="shared" si="19"/>
        <v>0</v>
      </c>
      <c r="CQ10" s="78">
        <f t="shared" si="19"/>
        <v>0</v>
      </c>
      <c r="CR10" s="78">
        <f t="shared" si="19"/>
        <v>0</v>
      </c>
      <c r="CS10" s="78">
        <f t="shared" si="19"/>
        <v>0</v>
      </c>
      <c r="CT10" s="78">
        <f t="shared" si="19"/>
        <v>0</v>
      </c>
      <c r="CU10" s="78">
        <f t="shared" si="19"/>
        <v>0</v>
      </c>
      <c r="CV10" s="78">
        <f t="shared" si="19"/>
        <v>0</v>
      </c>
      <c r="CW10" s="131">
        <f t="shared" si="19"/>
        <v>0</v>
      </c>
    </row>
    <row r="11" spans="1:101" x14ac:dyDescent="0.2">
      <c r="A11" s="869" t="s">
        <v>6037</v>
      </c>
      <c r="B11" s="2355" t="s">
        <v>438</v>
      </c>
      <c r="C11" s="2332"/>
      <c r="D11" s="2329"/>
      <c r="E11" s="142">
        <v>9600</v>
      </c>
      <c r="F11" s="33">
        <v>3000</v>
      </c>
      <c r="G11" s="33">
        <f>'Res-Bal'!G12</f>
        <v>1257000</v>
      </c>
      <c r="H11" s="76">
        <f>'Res-Bal'!J12</f>
        <v>2000000</v>
      </c>
      <c r="I11" s="76">
        <f>'Res-Bal'!M12</f>
        <v>1000000</v>
      </c>
      <c r="J11" s="76">
        <f>'Res-Bal'!P12+'Cap Inc'!I124</f>
        <v>4000000</v>
      </c>
      <c r="K11" s="76"/>
      <c r="L11" s="76"/>
      <c r="M11" s="76"/>
      <c r="N11" s="179"/>
      <c r="O11" s="179"/>
      <c r="P11" s="2647"/>
      <c r="Q11" s="142"/>
      <c r="R11" s="33"/>
      <c r="S11" s="33"/>
      <c r="T11" s="33">
        <f>E11</f>
        <v>9600</v>
      </c>
      <c r="U11" s="99">
        <f>E11-Q11-R11-S11-T11</f>
        <v>0</v>
      </c>
      <c r="V11" s="186"/>
      <c r="W11" s="33"/>
      <c r="X11" s="99"/>
      <c r="Y11" s="33">
        <v>3000</v>
      </c>
      <c r="Z11" s="102">
        <f>F11-V11-W11-X11-Y11</f>
        <v>0</v>
      </c>
      <c r="AA11" s="142"/>
      <c r="AB11" s="33"/>
      <c r="AC11" s="33"/>
      <c r="AD11" s="33">
        <f>G11</f>
        <v>1257000</v>
      </c>
      <c r="AE11" s="102">
        <f>G11-AA11-AB11-AC11-AD11</f>
        <v>0</v>
      </c>
      <c r="AF11" s="142"/>
      <c r="AG11" s="33"/>
      <c r="AH11" s="33"/>
      <c r="AI11" s="33">
        <f>H11</f>
        <v>2000000</v>
      </c>
      <c r="AJ11" s="102">
        <f>H11-AF11-AG11-AH11-AI11</f>
        <v>0</v>
      </c>
      <c r="AK11" s="142"/>
      <c r="AL11" s="33"/>
      <c r="AM11" s="33"/>
      <c r="AN11" s="33">
        <f>I11</f>
        <v>1000000</v>
      </c>
      <c r="AO11" s="114">
        <f>I11-AK11-AL11-AM11-AN11</f>
        <v>0</v>
      </c>
      <c r="AP11" s="142">
        <f>'Cap Inc'!H124</f>
        <v>0</v>
      </c>
      <c r="AQ11" s="33"/>
      <c r="AR11" s="33"/>
      <c r="AS11" s="33">
        <f>J11-AP11</f>
        <v>4000000</v>
      </c>
      <c r="AT11" s="102">
        <f>J11-AP11-AQ11-AR11-AS11</f>
        <v>0</v>
      </c>
      <c r="AV11" s="33"/>
      <c r="AW11" s="33"/>
      <c r="AX11" s="33"/>
      <c r="AY11" s="102">
        <f>K11-AU11-AV11-AW11-AX11</f>
        <v>0</v>
      </c>
      <c r="AZ11" s="142"/>
      <c r="BA11" s="33"/>
      <c r="BB11" s="33"/>
      <c r="BC11" s="33"/>
      <c r="BD11" s="102">
        <f>L11-AZ11-BA11-BB11-BC11</f>
        <v>0</v>
      </c>
      <c r="BE11" s="142"/>
      <c r="BF11" s="33"/>
      <c r="BG11" s="33"/>
      <c r="BH11" s="33"/>
      <c r="BI11" s="102">
        <f>M11-BE11-BF11-BG11-BH11</f>
        <v>0</v>
      </c>
      <c r="BJ11" s="142"/>
      <c r="BK11" s="33"/>
      <c r="BL11" s="33"/>
      <c r="BM11" s="33"/>
      <c r="BN11" s="102">
        <f>N11-BJ11-BK11-BL11-BM11</f>
        <v>0</v>
      </c>
      <c r="BO11" s="142"/>
      <c r="BP11" s="33"/>
      <c r="BQ11" s="33"/>
      <c r="BR11" s="33"/>
      <c r="BS11" s="102">
        <f>O11-BO11-BP11-BQ11-BR11</f>
        <v>0</v>
      </c>
      <c r="BT11" s="142"/>
      <c r="BU11" s="33"/>
      <c r="BV11" s="33"/>
      <c r="BW11" s="33"/>
      <c r="BX11" s="99">
        <f t="shared" si="20"/>
        <v>0</v>
      </c>
      <c r="BY11" s="2438">
        <v>0</v>
      </c>
      <c r="BZ11" s="1263">
        <f t="shared" ref="BZ11:CH11" si="24">BY11</f>
        <v>0</v>
      </c>
      <c r="CA11" s="1263">
        <f t="shared" si="24"/>
        <v>0</v>
      </c>
      <c r="CB11" s="1263">
        <f t="shared" si="24"/>
        <v>0</v>
      </c>
      <c r="CC11" s="1263">
        <f t="shared" si="24"/>
        <v>0</v>
      </c>
      <c r="CD11" s="1263">
        <f t="shared" si="24"/>
        <v>0</v>
      </c>
      <c r="CE11" s="1263">
        <f t="shared" si="24"/>
        <v>0</v>
      </c>
      <c r="CF11" s="1263">
        <f t="shared" si="24"/>
        <v>0</v>
      </c>
      <c r="CG11" s="1263">
        <f t="shared" si="24"/>
        <v>0</v>
      </c>
      <c r="CH11" s="1263">
        <f t="shared" si="24"/>
        <v>0</v>
      </c>
      <c r="CI11" s="1263">
        <f t="shared" si="18"/>
        <v>0</v>
      </c>
      <c r="CJ11" s="1263">
        <f t="shared" si="18"/>
        <v>0</v>
      </c>
      <c r="CK11" s="1263"/>
      <c r="CL11" s="1920">
        <f t="shared" si="19"/>
        <v>0</v>
      </c>
      <c r="CM11" s="78">
        <f t="shared" si="19"/>
        <v>0</v>
      </c>
      <c r="CN11" s="78">
        <f t="shared" si="19"/>
        <v>0</v>
      </c>
      <c r="CO11" s="78">
        <f t="shared" si="19"/>
        <v>0</v>
      </c>
      <c r="CP11" s="78">
        <f t="shared" si="19"/>
        <v>0</v>
      </c>
      <c r="CQ11" s="78">
        <f t="shared" si="19"/>
        <v>0</v>
      </c>
      <c r="CR11" s="78">
        <f t="shared" si="19"/>
        <v>0</v>
      </c>
      <c r="CS11" s="78">
        <f t="shared" si="19"/>
        <v>0</v>
      </c>
      <c r="CT11" s="78">
        <f t="shared" si="19"/>
        <v>0</v>
      </c>
      <c r="CU11" s="78">
        <f t="shared" si="19"/>
        <v>0</v>
      </c>
      <c r="CV11" s="78">
        <f t="shared" si="19"/>
        <v>0</v>
      </c>
      <c r="CW11" s="131">
        <f t="shared" si="19"/>
        <v>0</v>
      </c>
    </row>
    <row r="12" spans="1:101" x14ac:dyDescent="0.2">
      <c r="A12" s="413"/>
      <c r="B12" s="2356"/>
      <c r="C12" s="2334"/>
      <c r="D12" s="2330"/>
      <c r="E12" s="142"/>
      <c r="F12" s="33"/>
      <c r="G12" s="33"/>
      <c r="H12" s="76"/>
      <c r="I12" s="76"/>
      <c r="J12" s="76"/>
      <c r="K12" s="76"/>
      <c r="L12" s="76"/>
      <c r="M12" s="76"/>
      <c r="N12" s="179"/>
      <c r="O12" s="179"/>
      <c r="P12" s="2647"/>
      <c r="Q12" s="142"/>
      <c r="R12" s="33"/>
      <c r="S12" s="33"/>
      <c r="T12" s="33"/>
      <c r="V12" s="186"/>
      <c r="W12" s="33"/>
      <c r="X12" s="99"/>
      <c r="Y12" s="33"/>
      <c r="Z12" s="102"/>
      <c r="AA12" s="142"/>
      <c r="AB12" s="33"/>
      <c r="AC12" s="33"/>
      <c r="AD12" s="33"/>
      <c r="AE12" s="102"/>
      <c r="AF12" s="142"/>
      <c r="AG12" s="33"/>
      <c r="AH12" s="33"/>
      <c r="AI12" s="33"/>
      <c r="AJ12" s="102"/>
      <c r="AK12" s="142"/>
      <c r="AL12" s="33"/>
      <c r="AM12" s="33"/>
      <c r="AN12" s="33"/>
      <c r="AO12" s="114"/>
      <c r="AP12" s="142"/>
      <c r="AQ12" s="33"/>
      <c r="AR12" s="33"/>
      <c r="AS12" s="33"/>
      <c r="AT12" s="102"/>
      <c r="AV12" s="33"/>
      <c r="AW12" s="33"/>
      <c r="AX12" s="33"/>
      <c r="AY12" s="102"/>
      <c r="AZ12" s="142"/>
      <c r="BA12" s="33"/>
      <c r="BB12" s="33"/>
      <c r="BC12" s="33"/>
      <c r="BD12" s="102"/>
      <c r="BE12" s="142"/>
      <c r="BF12" s="33"/>
      <c r="BG12" s="33"/>
      <c r="BH12" s="33"/>
      <c r="BI12" s="102"/>
      <c r="BJ12" s="142"/>
      <c r="BK12" s="33"/>
      <c r="BL12" s="33"/>
      <c r="BM12" s="33"/>
      <c r="BN12" s="102"/>
      <c r="BO12" s="142"/>
      <c r="BP12" s="33"/>
      <c r="BQ12" s="33"/>
      <c r="BR12" s="33"/>
      <c r="BS12" s="102"/>
      <c r="BT12" s="142"/>
      <c r="BU12" s="33"/>
      <c r="BV12" s="33"/>
      <c r="BW12" s="33"/>
      <c r="BY12" s="2437"/>
      <c r="BZ12" s="740"/>
      <c r="CA12" s="740"/>
      <c r="CB12" s="740"/>
      <c r="CC12" s="740"/>
      <c r="CD12" s="740"/>
      <c r="CE12" s="740"/>
      <c r="CF12" s="740"/>
      <c r="CG12" s="740"/>
      <c r="CH12" s="740"/>
      <c r="CI12" s="740"/>
      <c r="CJ12" s="740"/>
      <c r="CK12" s="740"/>
      <c r="CL12" s="502"/>
      <c r="CM12" s="99"/>
      <c r="CN12" s="99"/>
      <c r="CO12" s="99"/>
      <c r="CP12" s="99"/>
      <c r="CQ12" s="99"/>
      <c r="CR12" s="99"/>
      <c r="CS12" s="99"/>
      <c r="CT12" s="99"/>
      <c r="CU12" s="99"/>
      <c r="CV12" s="99"/>
      <c r="CW12" s="114"/>
    </row>
    <row r="13" spans="1:101" x14ac:dyDescent="0.2">
      <c r="A13" s="410" t="s">
        <v>1936</v>
      </c>
      <c r="B13" s="2353"/>
      <c r="C13" s="2335"/>
      <c r="D13" s="2388"/>
      <c r="E13" s="142"/>
      <c r="F13" s="33"/>
      <c r="G13" s="33"/>
      <c r="H13" s="76"/>
      <c r="I13" s="76"/>
      <c r="J13" s="76"/>
      <c r="K13" s="76"/>
      <c r="L13" s="76"/>
      <c r="M13" s="76"/>
      <c r="N13" s="179"/>
      <c r="O13" s="179"/>
      <c r="P13" s="2647"/>
      <c r="Q13" s="142"/>
      <c r="R13" s="33"/>
      <c r="S13" s="33"/>
      <c r="T13" s="33"/>
      <c r="V13" s="186"/>
      <c r="W13" s="33"/>
      <c r="X13" s="99"/>
      <c r="Y13" s="33"/>
      <c r="Z13" s="102"/>
      <c r="AA13" s="142"/>
      <c r="AB13" s="33"/>
      <c r="AC13" s="33"/>
      <c r="AD13" s="33"/>
      <c r="AE13" s="102"/>
      <c r="AF13" s="142"/>
      <c r="AG13" s="33"/>
      <c r="AH13" s="33"/>
      <c r="AI13" s="33"/>
      <c r="AJ13" s="102"/>
      <c r="AK13" s="142"/>
      <c r="AL13" s="33"/>
      <c r="AM13" s="33"/>
      <c r="AN13" s="33"/>
      <c r="AO13" s="114"/>
      <c r="AP13" s="142"/>
      <c r="AQ13" s="33"/>
      <c r="AR13" s="33"/>
      <c r="AS13" s="33"/>
      <c r="AT13" s="102"/>
      <c r="AV13" s="33"/>
      <c r="AW13" s="33"/>
      <c r="AX13" s="33"/>
      <c r="AY13" s="102"/>
      <c r="AZ13" s="142"/>
      <c r="BA13" s="33"/>
      <c r="BB13" s="33"/>
      <c r="BC13" s="33"/>
      <c r="BD13" s="102"/>
      <c r="BE13" s="142"/>
      <c r="BF13" s="33"/>
      <c r="BG13" s="33"/>
      <c r="BH13" s="33"/>
      <c r="BI13" s="102"/>
      <c r="BJ13" s="142"/>
      <c r="BK13" s="33"/>
      <c r="BL13" s="33"/>
      <c r="BM13" s="33"/>
      <c r="BN13" s="102"/>
      <c r="BO13" s="142"/>
      <c r="BP13" s="33"/>
      <c r="BQ13" s="33"/>
      <c r="BR13" s="33"/>
      <c r="BS13" s="102"/>
      <c r="BT13" s="142"/>
      <c r="BU13" s="33"/>
      <c r="BV13" s="33"/>
      <c r="BW13" s="33"/>
      <c r="BY13" s="2437"/>
      <c r="BZ13" s="740"/>
      <c r="CA13" s="740"/>
      <c r="CB13" s="740"/>
      <c r="CC13" s="740"/>
      <c r="CD13" s="740"/>
      <c r="CE13" s="740"/>
      <c r="CF13" s="740"/>
      <c r="CG13" s="740"/>
      <c r="CH13" s="740"/>
      <c r="CI13" s="740"/>
      <c r="CJ13" s="740"/>
      <c r="CK13" s="740"/>
      <c r="CL13" s="502"/>
      <c r="CM13" s="99"/>
      <c r="CN13" s="99"/>
      <c r="CO13" s="99"/>
      <c r="CP13" s="99"/>
      <c r="CQ13" s="99"/>
      <c r="CR13" s="99"/>
      <c r="CS13" s="99"/>
      <c r="CT13" s="99"/>
      <c r="CU13" s="99"/>
      <c r="CV13" s="99"/>
      <c r="CW13" s="114"/>
    </row>
    <row r="14" spans="1:101" x14ac:dyDescent="0.2">
      <c r="A14" s="869" t="s">
        <v>5683</v>
      </c>
      <c r="B14" s="2354" t="s">
        <v>3143</v>
      </c>
      <c r="C14" s="2332" t="s">
        <v>5076</v>
      </c>
      <c r="D14" s="2328"/>
      <c r="E14" s="142">
        <v>39300</v>
      </c>
      <c r="F14" s="33"/>
      <c r="G14" s="33"/>
      <c r="H14" s="76"/>
      <c r="I14" s="76"/>
      <c r="J14" s="76"/>
      <c r="K14" s="76"/>
      <c r="L14" s="76"/>
      <c r="M14" s="76"/>
      <c r="N14" s="179"/>
      <c r="O14" s="179"/>
      <c r="P14" s="2647"/>
      <c r="Q14" s="142"/>
      <c r="R14" s="33"/>
      <c r="S14" s="33"/>
      <c r="T14" s="33">
        <f>56900-25000</f>
        <v>31900</v>
      </c>
      <c r="U14" s="99">
        <f>E14-Q14-R14-S14-T14</f>
        <v>7400</v>
      </c>
      <c r="V14" s="186"/>
      <c r="W14" s="33"/>
      <c r="X14" s="99"/>
      <c r="Y14" s="33"/>
      <c r="Z14" s="102">
        <f>F14-V14-W14-X14-Y14</f>
        <v>0</v>
      </c>
      <c r="AA14" s="142"/>
      <c r="AB14" s="33"/>
      <c r="AC14" s="33"/>
      <c r="AD14" s="33"/>
      <c r="AE14" s="102">
        <f>G14-AA14-AB14-AC14-AD14</f>
        <v>0</v>
      </c>
      <c r="AF14" s="142"/>
      <c r="AG14" s="33"/>
      <c r="AH14" s="33"/>
      <c r="AI14" s="33"/>
      <c r="AJ14" s="102">
        <f>H14-AF14-AG14-AH14-AI14</f>
        <v>0</v>
      </c>
      <c r="AK14" s="142"/>
      <c r="AL14" s="33"/>
      <c r="AM14" s="33"/>
      <c r="AN14" s="33"/>
      <c r="AO14" s="114">
        <f>I14-AK14-AL14-AM14-AN14</f>
        <v>0</v>
      </c>
      <c r="AP14" s="142"/>
      <c r="AQ14" s="33"/>
      <c r="AR14" s="33"/>
      <c r="AS14" s="33"/>
      <c r="AT14" s="102">
        <f>J14-AP14-AQ14-AR14-AS14</f>
        <v>0</v>
      </c>
      <c r="AV14" s="33"/>
      <c r="AW14" s="33"/>
      <c r="AX14" s="33"/>
      <c r="AY14" s="102">
        <f>K14-AU14-AV14-AW14-AX14</f>
        <v>0</v>
      </c>
      <c r="AZ14" s="142"/>
      <c r="BA14" s="33"/>
      <c r="BB14" s="33"/>
      <c r="BC14" s="33"/>
      <c r="BD14" s="102">
        <f>L14-AZ14-BA14-BB14-BC14</f>
        <v>0</v>
      </c>
      <c r="BE14" s="142"/>
      <c r="BF14" s="33"/>
      <c r="BG14" s="33"/>
      <c r="BH14" s="33"/>
      <c r="BI14" s="102">
        <f>M14-BE14-BF14-BG14-BH14</f>
        <v>0</v>
      </c>
      <c r="BJ14" s="142"/>
      <c r="BK14" s="33"/>
      <c r="BL14" s="33"/>
      <c r="BM14" s="33"/>
      <c r="BN14" s="102">
        <f>N14-BJ14-BK14-BL14-BM14</f>
        <v>0</v>
      </c>
      <c r="BO14" s="142"/>
      <c r="BP14" s="33"/>
      <c r="BQ14" s="33"/>
      <c r="BR14" s="33"/>
      <c r="BS14" s="102">
        <f>O14-BO14-BP14-BQ14-BR14</f>
        <v>0</v>
      </c>
      <c r="BT14" s="142"/>
      <c r="BU14" s="33"/>
      <c r="BV14" s="33"/>
      <c r="BW14" s="33"/>
      <c r="BX14" s="99">
        <f t="shared" ref="BX14" si="25">P14-BT14-BU14-BV14-BW14</f>
        <v>0</v>
      </c>
      <c r="BY14" s="2438">
        <v>1</v>
      </c>
      <c r="BZ14" s="1263">
        <f t="shared" ref="BZ14:CH14" si="26">BY14</f>
        <v>1</v>
      </c>
      <c r="CA14" s="1263">
        <f t="shared" si="26"/>
        <v>1</v>
      </c>
      <c r="CB14" s="1263">
        <f t="shared" si="26"/>
        <v>1</v>
      </c>
      <c r="CC14" s="1263">
        <f t="shared" si="26"/>
        <v>1</v>
      </c>
      <c r="CD14" s="1263">
        <f t="shared" si="26"/>
        <v>1</v>
      </c>
      <c r="CE14" s="1263">
        <f t="shared" si="26"/>
        <v>1</v>
      </c>
      <c r="CF14" s="1263">
        <f t="shared" si="26"/>
        <v>1</v>
      </c>
      <c r="CG14" s="1263">
        <f t="shared" si="26"/>
        <v>1</v>
      </c>
      <c r="CH14" s="1263">
        <f t="shared" si="26"/>
        <v>1</v>
      </c>
      <c r="CI14" s="1263">
        <f>CH14</f>
        <v>1</v>
      </c>
      <c r="CJ14" s="1263">
        <f>CI14</f>
        <v>1</v>
      </c>
      <c r="CK14" s="1263"/>
      <c r="CL14" s="1920">
        <f t="shared" ref="CL14:CW14" si="27">ROUND(BY14*E14,-3)</f>
        <v>39000</v>
      </c>
      <c r="CM14" s="78">
        <f t="shared" si="27"/>
        <v>0</v>
      </c>
      <c r="CN14" s="78">
        <f t="shared" si="27"/>
        <v>0</v>
      </c>
      <c r="CO14" s="78">
        <f t="shared" si="27"/>
        <v>0</v>
      </c>
      <c r="CP14" s="78">
        <f t="shared" si="27"/>
        <v>0</v>
      </c>
      <c r="CQ14" s="78">
        <f t="shared" si="27"/>
        <v>0</v>
      </c>
      <c r="CR14" s="78">
        <f t="shared" si="27"/>
        <v>0</v>
      </c>
      <c r="CS14" s="78">
        <f t="shared" si="27"/>
        <v>0</v>
      </c>
      <c r="CT14" s="78">
        <f t="shared" si="27"/>
        <v>0</v>
      </c>
      <c r="CU14" s="78">
        <f t="shared" si="27"/>
        <v>0</v>
      </c>
      <c r="CV14" s="78">
        <f t="shared" si="27"/>
        <v>0</v>
      </c>
      <c r="CW14" s="131">
        <f t="shared" si="27"/>
        <v>0</v>
      </c>
    </row>
    <row r="15" spans="1:101" x14ac:dyDescent="0.2">
      <c r="A15" s="413"/>
      <c r="B15" s="2356"/>
      <c r="C15" s="2332"/>
      <c r="D15" s="2329"/>
      <c r="E15" s="142"/>
      <c r="F15" s="33"/>
      <c r="G15" s="76"/>
      <c r="H15" s="76"/>
      <c r="I15" s="76"/>
      <c r="J15" s="76"/>
      <c r="K15" s="76"/>
      <c r="L15" s="76"/>
      <c r="M15" s="76"/>
      <c r="N15" s="179"/>
      <c r="O15" s="179"/>
      <c r="P15" s="2647"/>
      <c r="Q15" s="142"/>
      <c r="R15" s="33"/>
      <c r="S15" s="33"/>
      <c r="T15" s="33"/>
      <c r="V15" s="186"/>
      <c r="W15" s="33"/>
      <c r="X15" s="99"/>
      <c r="Y15" s="33"/>
      <c r="Z15" s="102"/>
      <c r="AA15" s="142"/>
      <c r="AB15" s="33"/>
      <c r="AC15" s="33"/>
      <c r="AD15" s="33"/>
      <c r="AE15" s="102"/>
      <c r="AF15" s="142"/>
      <c r="AG15" s="33"/>
      <c r="AH15" s="33"/>
      <c r="AI15" s="33"/>
      <c r="AJ15" s="102"/>
      <c r="AK15" s="142"/>
      <c r="AL15" s="33"/>
      <c r="AM15" s="33"/>
      <c r="AN15" s="33"/>
      <c r="AO15" s="114"/>
      <c r="AP15" s="142"/>
      <c r="AQ15" s="33"/>
      <c r="AR15" s="33"/>
      <c r="AS15" s="33"/>
      <c r="AT15" s="102"/>
      <c r="AV15" s="33"/>
      <c r="AW15" s="33"/>
      <c r="AX15" s="33"/>
      <c r="AY15" s="102"/>
      <c r="AZ15" s="142"/>
      <c r="BA15" s="33"/>
      <c r="BB15" s="33"/>
      <c r="BC15" s="33"/>
      <c r="BD15" s="102"/>
      <c r="BE15" s="142"/>
      <c r="BF15" s="33"/>
      <c r="BG15" s="33"/>
      <c r="BH15" s="33"/>
      <c r="BI15" s="102"/>
      <c r="BJ15" s="142"/>
      <c r="BK15" s="33"/>
      <c r="BL15" s="33"/>
      <c r="BM15" s="33"/>
      <c r="BN15" s="102"/>
      <c r="BO15" s="142"/>
      <c r="BP15" s="33"/>
      <c r="BQ15" s="33"/>
      <c r="BR15" s="33"/>
      <c r="BS15" s="102"/>
      <c r="BT15" s="142"/>
      <c r="BU15" s="33"/>
      <c r="BV15" s="33"/>
      <c r="BW15" s="33"/>
      <c r="BY15" s="2438"/>
      <c r="BZ15" s="1263"/>
      <c r="CA15" s="1263"/>
      <c r="CB15" s="1263"/>
      <c r="CC15" s="1263"/>
      <c r="CD15" s="1263"/>
      <c r="CE15" s="1263"/>
      <c r="CF15" s="1263"/>
      <c r="CG15" s="1263"/>
      <c r="CH15" s="1263"/>
      <c r="CI15" s="1263"/>
      <c r="CJ15" s="1263"/>
      <c r="CK15" s="1263"/>
      <c r="CL15" s="502"/>
      <c r="CM15" s="99"/>
      <c r="CN15" s="99"/>
      <c r="CO15" s="99"/>
      <c r="CP15" s="99"/>
      <c r="CQ15" s="99"/>
      <c r="CR15" s="99"/>
      <c r="CS15" s="99"/>
      <c r="CT15" s="99"/>
      <c r="CU15" s="99"/>
      <c r="CV15" s="99"/>
      <c r="CW15" s="114"/>
    </row>
    <row r="16" spans="1:101" x14ac:dyDescent="0.2">
      <c r="A16" s="410" t="s">
        <v>389</v>
      </c>
      <c r="B16" s="2356"/>
      <c r="C16" s="2332"/>
      <c r="D16" s="2329"/>
      <c r="E16" s="142"/>
      <c r="F16" s="33"/>
      <c r="G16" s="76"/>
      <c r="H16" s="76"/>
      <c r="I16" s="76"/>
      <c r="J16" s="76"/>
      <c r="K16" s="76"/>
      <c r="L16" s="76"/>
      <c r="M16" s="76"/>
      <c r="N16" s="179"/>
      <c r="O16" s="179"/>
      <c r="P16" s="2647"/>
      <c r="Q16" s="142"/>
      <c r="R16" s="33"/>
      <c r="S16" s="33"/>
      <c r="T16" s="33"/>
      <c r="V16" s="186"/>
      <c r="W16" s="33"/>
      <c r="X16" s="99"/>
      <c r="Y16" s="33"/>
      <c r="Z16" s="102"/>
      <c r="AA16" s="142"/>
      <c r="AB16" s="33"/>
      <c r="AC16" s="33"/>
      <c r="AD16" s="33"/>
      <c r="AE16" s="102"/>
      <c r="AF16" s="142"/>
      <c r="AG16" s="33"/>
      <c r="AH16" s="33"/>
      <c r="AI16" s="33"/>
      <c r="AJ16" s="102"/>
      <c r="AK16" s="142"/>
      <c r="AL16" s="33"/>
      <c r="AM16" s="33"/>
      <c r="AN16" s="33"/>
      <c r="AO16" s="114"/>
      <c r="AP16" s="142"/>
      <c r="AQ16" s="33"/>
      <c r="AR16" s="33"/>
      <c r="AS16" s="33"/>
      <c r="AT16" s="102"/>
      <c r="AV16" s="33"/>
      <c r="AW16" s="33"/>
      <c r="AX16" s="33"/>
      <c r="AY16" s="102"/>
      <c r="AZ16" s="142"/>
      <c r="BA16" s="33"/>
      <c r="BB16" s="33"/>
      <c r="BC16" s="33"/>
      <c r="BD16" s="102"/>
      <c r="BE16" s="142"/>
      <c r="BF16" s="33"/>
      <c r="BG16" s="33"/>
      <c r="BH16" s="33"/>
      <c r="BI16" s="102"/>
      <c r="BJ16" s="142"/>
      <c r="BK16" s="33"/>
      <c r="BL16" s="33"/>
      <c r="BM16" s="33"/>
      <c r="BN16" s="102"/>
      <c r="BO16" s="142"/>
      <c r="BP16" s="33"/>
      <c r="BQ16" s="33"/>
      <c r="BR16" s="33"/>
      <c r="BS16" s="102"/>
      <c r="BT16" s="142"/>
      <c r="BU16" s="33"/>
      <c r="BV16" s="33"/>
      <c r="BW16" s="33"/>
      <c r="BY16" s="2437"/>
      <c r="BZ16" s="740"/>
      <c r="CA16" s="740"/>
      <c r="CB16" s="740"/>
      <c r="CC16" s="740"/>
      <c r="CD16" s="740"/>
      <c r="CE16" s="740"/>
      <c r="CF16" s="740"/>
      <c r="CG16" s="740"/>
      <c r="CH16" s="740"/>
      <c r="CI16" s="740"/>
      <c r="CJ16" s="740"/>
      <c r="CK16" s="740"/>
      <c r="CL16" s="502"/>
      <c r="CM16" s="99"/>
      <c r="CN16" s="99"/>
      <c r="CO16" s="99"/>
      <c r="CP16" s="99"/>
      <c r="CQ16" s="99"/>
      <c r="CR16" s="99"/>
      <c r="CS16" s="99"/>
      <c r="CT16" s="99"/>
      <c r="CU16" s="99"/>
      <c r="CV16" s="99"/>
      <c r="CW16" s="114"/>
    </row>
    <row r="17" spans="1:101" x14ac:dyDescent="0.2">
      <c r="A17" s="869" t="s">
        <v>5684</v>
      </c>
      <c r="B17" s="2354" t="s">
        <v>3987</v>
      </c>
      <c r="C17" s="2332" t="s">
        <v>4111</v>
      </c>
      <c r="D17" s="2329" t="s">
        <v>4111</v>
      </c>
      <c r="E17" s="142">
        <v>115400</v>
      </c>
      <c r="F17" s="33">
        <f>4508100</f>
        <v>4508100</v>
      </c>
      <c r="G17" s="76">
        <v>3309500</v>
      </c>
      <c r="H17" s="76"/>
      <c r="I17" s="76"/>
      <c r="J17" s="76"/>
      <c r="K17" s="76"/>
      <c r="L17" s="76"/>
      <c r="M17" s="76"/>
      <c r="N17" s="179"/>
      <c r="O17" s="179"/>
      <c r="P17" s="2647"/>
      <c r="Q17" s="142"/>
      <c r="R17" s="33"/>
      <c r="S17" s="33"/>
      <c r="T17" s="33"/>
      <c r="U17" s="99">
        <f>E17-Q17-R17-S17-T17</f>
        <v>115400</v>
      </c>
      <c r="V17" s="186"/>
      <c r="W17" s="33"/>
      <c r="X17" s="33">
        <f>'Cap Inc'!E149</f>
        <v>3818100</v>
      </c>
      <c r="Y17" s="33">
        <v>690000</v>
      </c>
      <c r="Z17" s="102">
        <f>F17-V17-W17-X17-Y17</f>
        <v>0</v>
      </c>
      <c r="AA17" s="142"/>
      <c r="AB17" s="33"/>
      <c r="AC17" s="33">
        <f>'Cap Inc'!F149</f>
        <v>3309500</v>
      </c>
      <c r="AD17" s="33"/>
      <c r="AE17" s="102">
        <f t="shared" ref="AE17:AE18" si="28">G17-AA17-AB17-AC17-AD17</f>
        <v>0</v>
      </c>
      <c r="AF17" s="142"/>
      <c r="AG17" s="33"/>
      <c r="AH17" s="33"/>
      <c r="AI17" s="33"/>
      <c r="AJ17" s="102">
        <f>H17-AF17-AG17-AH17-AI17</f>
        <v>0</v>
      </c>
      <c r="AK17" s="142"/>
      <c r="AL17" s="33"/>
      <c r="AM17" s="33"/>
      <c r="AN17" s="33"/>
      <c r="AO17" s="114">
        <f>I17-AK17-AL17-AM17-AN17</f>
        <v>0</v>
      </c>
      <c r="AP17" s="142"/>
      <c r="AQ17" s="33"/>
      <c r="AR17" s="33"/>
      <c r="AS17" s="33"/>
      <c r="AT17" s="102">
        <f>J17-AP17-AQ17-AR17-AS17</f>
        <v>0</v>
      </c>
      <c r="AV17" s="33"/>
      <c r="AW17" s="33"/>
      <c r="AX17" s="33"/>
      <c r="AY17" s="102">
        <f>K17-AU17-AV17-AW17-AX17</f>
        <v>0</v>
      </c>
      <c r="AZ17" s="142"/>
      <c r="BA17" s="33"/>
      <c r="BB17" s="33"/>
      <c r="BC17" s="33"/>
      <c r="BD17" s="102">
        <f>L17-AZ17-BA17-BB17-BC17</f>
        <v>0</v>
      </c>
      <c r="BE17" s="142"/>
      <c r="BF17" s="33"/>
      <c r="BG17" s="33"/>
      <c r="BH17" s="33"/>
      <c r="BI17" s="102">
        <f>M17-BE17-BF17-BG17-BH17</f>
        <v>0</v>
      </c>
      <c r="BJ17" s="142"/>
      <c r="BK17" s="33"/>
      <c r="BL17" s="33"/>
      <c r="BM17" s="33"/>
      <c r="BN17" s="102">
        <f>N17-BJ17-BK17-BL17-BM17</f>
        <v>0</v>
      </c>
      <c r="BO17" s="142"/>
      <c r="BP17" s="33"/>
      <c r="BQ17" s="33"/>
      <c r="BR17" s="33"/>
      <c r="BS17" s="102">
        <f>O17-BO17-BP17-BQ17-BR17</f>
        <v>0</v>
      </c>
      <c r="BT17" s="142"/>
      <c r="BU17" s="33"/>
      <c r="BV17" s="33"/>
      <c r="BW17" s="33"/>
      <c r="BX17" s="99">
        <f t="shared" ref="BX17:BX18" si="29">P17-BT17-BU17-BV17-BW17</f>
        <v>0</v>
      </c>
      <c r="BY17" s="2438">
        <v>0.9</v>
      </c>
      <c r="BZ17" s="1263">
        <v>0.9</v>
      </c>
      <c r="CA17" s="1263">
        <v>0.9</v>
      </c>
      <c r="CB17" s="1263">
        <v>0.9</v>
      </c>
      <c r="CC17" s="1263">
        <v>0.9</v>
      </c>
      <c r="CD17" s="1263">
        <v>0.9</v>
      </c>
      <c r="CE17" s="1263">
        <v>0.9</v>
      </c>
      <c r="CF17" s="1263">
        <v>0.9</v>
      </c>
      <c r="CG17" s="1263">
        <v>0.9</v>
      </c>
      <c r="CH17" s="1263">
        <v>0.9</v>
      </c>
      <c r="CI17" s="1263">
        <v>0.9</v>
      </c>
      <c r="CJ17" s="1263">
        <v>0.9</v>
      </c>
      <c r="CK17" s="1263"/>
      <c r="CL17" s="1920">
        <f t="shared" ref="CL17:CW18" si="30">ROUND(BY17*E17,-3)</f>
        <v>104000</v>
      </c>
      <c r="CM17" s="78">
        <f t="shared" si="30"/>
        <v>4057000</v>
      </c>
      <c r="CN17" s="78">
        <f t="shared" si="30"/>
        <v>2979000</v>
      </c>
      <c r="CO17" s="78">
        <f t="shared" si="30"/>
        <v>0</v>
      </c>
      <c r="CP17" s="78">
        <f t="shared" si="30"/>
        <v>0</v>
      </c>
      <c r="CQ17" s="78">
        <f t="shared" si="30"/>
        <v>0</v>
      </c>
      <c r="CR17" s="78">
        <f t="shared" si="30"/>
        <v>0</v>
      </c>
      <c r="CS17" s="78">
        <f t="shared" si="30"/>
        <v>0</v>
      </c>
      <c r="CT17" s="78">
        <f t="shared" si="30"/>
        <v>0</v>
      </c>
      <c r="CU17" s="78">
        <f t="shared" si="30"/>
        <v>0</v>
      </c>
      <c r="CV17" s="78">
        <f t="shared" si="30"/>
        <v>0</v>
      </c>
      <c r="CW17" s="131">
        <f t="shared" si="30"/>
        <v>0</v>
      </c>
    </row>
    <row r="18" spans="1:101" x14ac:dyDescent="0.2">
      <c r="A18" s="869" t="s">
        <v>5685</v>
      </c>
      <c r="B18" s="2354" t="s">
        <v>6298</v>
      </c>
      <c r="C18" s="2332" t="s">
        <v>6299</v>
      </c>
      <c r="D18" s="2329" t="s">
        <v>6299</v>
      </c>
      <c r="E18" s="142"/>
      <c r="F18" s="33">
        <f>5000000-4311000+2893600</f>
        <v>3582600</v>
      </c>
      <c r="G18" s="76">
        <v>2618300</v>
      </c>
      <c r="H18" s="76"/>
      <c r="I18" s="33"/>
      <c r="J18" s="142"/>
      <c r="K18" s="33"/>
      <c r="L18" s="76"/>
      <c r="M18" s="76"/>
      <c r="N18" s="179"/>
      <c r="O18" s="179"/>
      <c r="P18" s="2647"/>
      <c r="Q18" s="142"/>
      <c r="R18" s="33"/>
      <c r="S18" s="33"/>
      <c r="T18" s="33"/>
      <c r="V18" s="186"/>
      <c r="W18" s="33"/>
      <c r="X18" s="33">
        <f>'Cap Inc'!E150</f>
        <v>2893600</v>
      </c>
      <c r="Y18" s="33">
        <v>689000</v>
      </c>
      <c r="Z18" s="102">
        <f>F18-V18-W18-X18-Y18</f>
        <v>0</v>
      </c>
      <c r="AA18" s="142"/>
      <c r="AB18" s="33"/>
      <c r="AC18" s="33">
        <f>'Cap Inc'!F150</f>
        <v>2618300</v>
      </c>
      <c r="AD18" s="33"/>
      <c r="AE18" s="102">
        <f t="shared" si="28"/>
        <v>0</v>
      </c>
      <c r="AF18" s="142"/>
      <c r="AG18" s="33"/>
      <c r="AH18" s="33"/>
      <c r="AI18" s="33"/>
      <c r="AJ18" s="102">
        <f>H18-AF18-AG18-AH18-AI18</f>
        <v>0</v>
      </c>
      <c r="AK18" s="142"/>
      <c r="AL18" s="33"/>
      <c r="AM18" s="33"/>
      <c r="AN18" s="33"/>
      <c r="AO18" s="114">
        <f>I18-AK18-AL18-AM18-AN18</f>
        <v>0</v>
      </c>
      <c r="AP18" s="142"/>
      <c r="AQ18" s="33"/>
      <c r="AR18" s="33"/>
      <c r="AS18" s="33"/>
      <c r="AT18" s="102">
        <f>J18-AP18-AQ18-AR18-AS18</f>
        <v>0</v>
      </c>
      <c r="AV18" s="33"/>
      <c r="AW18" s="33"/>
      <c r="AX18" s="33"/>
      <c r="AY18" s="102">
        <f>K18-AU18-AV18-AW18-AX18</f>
        <v>0</v>
      </c>
      <c r="AZ18" s="142"/>
      <c r="BA18" s="33"/>
      <c r="BB18" s="33"/>
      <c r="BC18" s="33"/>
      <c r="BD18" s="102">
        <f>L18-AZ18-BA18-BB18-BC18</f>
        <v>0</v>
      </c>
      <c r="BE18" s="142"/>
      <c r="BF18" s="33"/>
      <c r="BG18" s="33"/>
      <c r="BH18" s="33"/>
      <c r="BI18" s="102">
        <f>M18-BE18-BF18-BG18-BH18</f>
        <v>0</v>
      </c>
      <c r="BJ18" s="142"/>
      <c r="BK18" s="33"/>
      <c r="BL18" s="33"/>
      <c r="BM18" s="33"/>
      <c r="BN18" s="102">
        <f>N18-BJ18-BK18-BL18-BM18</f>
        <v>0</v>
      </c>
      <c r="BO18" s="142"/>
      <c r="BP18" s="33"/>
      <c r="BQ18" s="33"/>
      <c r="BR18" s="33"/>
      <c r="BS18" s="102">
        <f>O18-BO18-BP18-BQ18-BR18</f>
        <v>0</v>
      </c>
      <c r="BT18" s="142"/>
      <c r="BU18" s="33"/>
      <c r="BV18" s="33"/>
      <c r="BW18" s="33"/>
      <c r="BX18" s="99">
        <f t="shared" si="29"/>
        <v>0</v>
      </c>
      <c r="BY18" s="2438">
        <v>0.9</v>
      </c>
      <c r="BZ18" s="1263">
        <v>0.9</v>
      </c>
      <c r="CA18" s="1263">
        <v>0.9</v>
      </c>
      <c r="CB18" s="1263">
        <v>0.9</v>
      </c>
      <c r="CC18" s="1263">
        <v>0.9</v>
      </c>
      <c r="CD18" s="1263">
        <v>0.9</v>
      </c>
      <c r="CE18" s="1263">
        <v>0.9</v>
      </c>
      <c r="CF18" s="1263">
        <v>0.9</v>
      </c>
      <c r="CG18" s="1263">
        <v>0.9</v>
      </c>
      <c r="CH18" s="1263">
        <v>0.9</v>
      </c>
      <c r="CI18" s="1263">
        <v>0.9</v>
      </c>
      <c r="CJ18" s="1263">
        <v>0.9</v>
      </c>
      <c r="CK18" s="1263"/>
      <c r="CL18" s="1920">
        <f t="shared" si="30"/>
        <v>0</v>
      </c>
      <c r="CM18" s="78">
        <f t="shared" si="30"/>
        <v>3224000</v>
      </c>
      <c r="CN18" s="78">
        <f t="shared" si="30"/>
        <v>2356000</v>
      </c>
      <c r="CO18" s="78">
        <f t="shared" si="30"/>
        <v>0</v>
      </c>
      <c r="CP18" s="78">
        <f t="shared" si="30"/>
        <v>0</v>
      </c>
      <c r="CQ18" s="78">
        <f t="shared" si="30"/>
        <v>0</v>
      </c>
      <c r="CR18" s="78">
        <f t="shared" si="30"/>
        <v>0</v>
      </c>
      <c r="CS18" s="78">
        <f t="shared" si="30"/>
        <v>0</v>
      </c>
      <c r="CT18" s="78">
        <f t="shared" si="30"/>
        <v>0</v>
      </c>
      <c r="CU18" s="78">
        <f t="shared" si="30"/>
        <v>0</v>
      </c>
      <c r="CV18" s="78">
        <f t="shared" si="30"/>
        <v>0</v>
      </c>
      <c r="CW18" s="131">
        <f t="shared" si="30"/>
        <v>0</v>
      </c>
    </row>
    <row r="19" spans="1:101" s="78" customFormat="1" x14ac:dyDescent="0.2">
      <c r="A19" s="889"/>
      <c r="B19" s="2354"/>
      <c r="C19" s="2332"/>
      <c r="D19" s="2329"/>
      <c r="E19" s="142"/>
      <c r="F19" s="142"/>
      <c r="G19" s="33"/>
      <c r="H19" s="76"/>
      <c r="I19" s="76"/>
      <c r="J19" s="76"/>
      <c r="K19" s="76"/>
      <c r="L19" s="76"/>
      <c r="M19" s="76"/>
      <c r="N19" s="179"/>
      <c r="O19" s="179"/>
      <c r="P19" s="2647"/>
      <c r="Q19" s="142"/>
      <c r="R19" s="142"/>
      <c r="S19" s="142"/>
      <c r="T19" s="142"/>
      <c r="U19" s="99"/>
      <c r="V19" s="186"/>
      <c r="W19" s="142"/>
      <c r="X19" s="33"/>
      <c r="Y19" s="33"/>
      <c r="Z19" s="102">
        <f>F19-V19-W19-X19-Y19</f>
        <v>0</v>
      </c>
      <c r="AA19" s="142"/>
      <c r="AB19" s="142"/>
      <c r="AC19" s="142"/>
      <c r="AD19" s="142"/>
      <c r="AE19" s="102"/>
      <c r="AF19" s="142"/>
      <c r="AG19" s="142"/>
      <c r="AH19" s="142"/>
      <c r="AI19" s="142"/>
      <c r="AJ19" s="102"/>
      <c r="AK19" s="142"/>
      <c r="AL19" s="142"/>
      <c r="AM19" s="142"/>
      <c r="AN19" s="142"/>
      <c r="AO19" s="114"/>
      <c r="AP19" s="142"/>
      <c r="AQ19" s="142"/>
      <c r="AR19" s="142"/>
      <c r="AS19" s="142"/>
      <c r="AT19" s="102"/>
      <c r="AU19" s="99"/>
      <c r="AV19" s="33"/>
      <c r="AW19" s="33"/>
      <c r="AX19" s="33"/>
      <c r="AY19" s="102"/>
      <c r="AZ19" s="142"/>
      <c r="BA19" s="142"/>
      <c r="BB19" s="142"/>
      <c r="BC19" s="142"/>
      <c r="BD19" s="102"/>
      <c r="BE19" s="142"/>
      <c r="BF19" s="142"/>
      <c r="BG19" s="142"/>
      <c r="BH19" s="142"/>
      <c r="BI19" s="102"/>
      <c r="BJ19" s="142"/>
      <c r="BK19" s="142"/>
      <c r="BL19" s="142"/>
      <c r="BM19" s="142"/>
      <c r="BN19" s="102"/>
      <c r="BO19" s="142"/>
      <c r="BP19" s="142"/>
      <c r="BQ19" s="142"/>
      <c r="BR19" s="142"/>
      <c r="BS19" s="102"/>
      <c r="BT19" s="142"/>
      <c r="BU19" s="142"/>
      <c r="BV19" s="142"/>
      <c r="BW19" s="142"/>
      <c r="BX19" s="99"/>
      <c r="BY19" s="2438"/>
      <c r="BZ19" s="1263"/>
      <c r="CA19" s="1263"/>
      <c r="CB19" s="1263"/>
      <c r="CC19" s="1263"/>
      <c r="CD19" s="1263"/>
      <c r="CE19" s="1263"/>
      <c r="CF19" s="1263"/>
      <c r="CG19" s="1263"/>
      <c r="CH19" s="1263"/>
      <c r="CI19" s="1263"/>
      <c r="CJ19" s="1263"/>
      <c r="CK19" s="1263"/>
      <c r="CL19" s="1920"/>
      <c r="CW19" s="131"/>
    </row>
    <row r="20" spans="1:101" s="99" customFormat="1" x14ac:dyDescent="0.2">
      <c r="A20" s="1106" t="s">
        <v>2902</v>
      </c>
      <c r="B20" s="2353"/>
      <c r="C20" s="2332"/>
      <c r="D20" s="2329"/>
      <c r="E20" s="1990"/>
      <c r="F20" s="1990"/>
      <c r="G20" s="179"/>
      <c r="H20" s="384"/>
      <c r="I20" s="384"/>
      <c r="J20" s="384"/>
      <c r="K20" s="384"/>
      <c r="L20" s="76"/>
      <c r="M20" s="76"/>
      <c r="N20" s="179"/>
      <c r="O20" s="179"/>
      <c r="P20" s="2647"/>
      <c r="Q20" s="798"/>
      <c r="R20" s="798"/>
      <c r="S20" s="798"/>
      <c r="T20" s="798"/>
      <c r="U20" s="1915"/>
      <c r="V20" s="2803"/>
      <c r="W20" s="798"/>
      <c r="X20" s="33"/>
      <c r="Y20" s="33"/>
      <c r="Z20" s="102">
        <f>F20-V20-W20-X20-Y20</f>
        <v>0</v>
      </c>
      <c r="AA20" s="798"/>
      <c r="AB20" s="798"/>
      <c r="AC20" s="798"/>
      <c r="AD20" s="798"/>
      <c r="AE20" s="800"/>
      <c r="AF20" s="798"/>
      <c r="AG20" s="798"/>
      <c r="AH20" s="798"/>
      <c r="AI20" s="798"/>
      <c r="AJ20" s="800"/>
      <c r="AK20" s="798"/>
      <c r="AL20" s="798"/>
      <c r="AM20" s="798"/>
      <c r="AN20" s="798"/>
      <c r="AO20" s="802"/>
      <c r="AP20" s="798"/>
      <c r="AQ20" s="798"/>
      <c r="AR20" s="798"/>
      <c r="AS20" s="798"/>
      <c r="AT20" s="800"/>
      <c r="AU20" s="799"/>
      <c r="AV20" s="801"/>
      <c r="AW20" s="801"/>
      <c r="AX20" s="801"/>
      <c r="AY20" s="800"/>
      <c r="AZ20" s="798"/>
      <c r="BA20" s="798"/>
      <c r="BB20" s="798"/>
      <c r="BC20" s="798"/>
      <c r="BD20" s="800"/>
      <c r="BE20" s="798"/>
      <c r="BF20" s="798"/>
      <c r="BG20" s="798"/>
      <c r="BH20" s="798"/>
      <c r="BI20" s="800"/>
      <c r="BJ20" s="798"/>
      <c r="BK20" s="798"/>
      <c r="BL20" s="798"/>
      <c r="BM20" s="798"/>
      <c r="BN20" s="800"/>
      <c r="BO20" s="798"/>
      <c r="BP20" s="798"/>
      <c r="BQ20" s="798"/>
      <c r="BR20" s="798"/>
      <c r="BS20" s="800"/>
      <c r="BT20" s="798"/>
      <c r="BU20" s="798"/>
      <c r="BV20" s="798"/>
      <c r="BW20" s="798"/>
      <c r="BX20" s="1915"/>
      <c r="BY20" s="2437"/>
      <c r="BZ20" s="740"/>
      <c r="CA20" s="740"/>
      <c r="CB20" s="740"/>
      <c r="CC20" s="740"/>
      <c r="CD20" s="740"/>
      <c r="CE20" s="740"/>
      <c r="CF20" s="740"/>
      <c r="CG20" s="740"/>
      <c r="CH20" s="740"/>
      <c r="CI20" s="740"/>
      <c r="CJ20" s="740"/>
      <c r="CK20" s="740"/>
      <c r="CL20" s="502"/>
      <c r="CW20" s="114"/>
    </row>
    <row r="21" spans="1:101" s="78" customFormat="1" x14ac:dyDescent="0.2">
      <c r="A21" s="889" t="s">
        <v>7057</v>
      </c>
      <c r="B21" s="2354" t="s">
        <v>6568</v>
      </c>
      <c r="C21" s="2332" t="s">
        <v>5076</v>
      </c>
      <c r="D21" s="2354" t="s">
        <v>6568</v>
      </c>
      <c r="E21" s="1136"/>
      <c r="F21" s="33">
        <v>25000</v>
      </c>
      <c r="G21" s="827"/>
      <c r="H21" s="986"/>
      <c r="I21" s="986"/>
      <c r="J21" s="986"/>
      <c r="K21" s="986"/>
      <c r="L21" s="827"/>
      <c r="M21" s="844"/>
      <c r="N21" s="179"/>
      <c r="O21" s="179"/>
      <c r="P21" s="2647"/>
      <c r="Q21" s="1090"/>
      <c r="R21" s="1090"/>
      <c r="S21" s="1090"/>
      <c r="T21" s="1090"/>
      <c r="U21" s="2804"/>
      <c r="V21" s="2805"/>
      <c r="W21" s="1090"/>
      <c r="X21" s="33"/>
      <c r="Y21" s="33">
        <v>25000</v>
      </c>
      <c r="Z21" s="102">
        <f>F21-V21-W21-X21-Y21</f>
        <v>0</v>
      </c>
      <c r="AA21" s="1090"/>
      <c r="AB21" s="1090"/>
      <c r="AC21" s="1090"/>
      <c r="AD21" s="1090"/>
      <c r="AE21" s="1137"/>
      <c r="AF21" s="1090"/>
      <c r="AG21" s="1090"/>
      <c r="AH21" s="1090"/>
      <c r="AI21" s="1090"/>
      <c r="AJ21" s="1137"/>
      <c r="AK21" s="1090"/>
      <c r="AL21" s="1090"/>
      <c r="AM21" s="1090"/>
      <c r="AN21" s="1090"/>
      <c r="AO21" s="114"/>
      <c r="AP21" s="142"/>
      <c r="AQ21" s="33"/>
      <c r="AR21" s="33"/>
      <c r="AS21" s="33"/>
      <c r="AT21" s="102"/>
      <c r="AU21" s="99"/>
      <c r="AV21" s="33"/>
      <c r="AW21" s="33"/>
      <c r="AX21" s="33"/>
      <c r="AY21" s="102"/>
      <c r="AZ21" s="142"/>
      <c r="BA21" s="33"/>
      <c r="BB21" s="33"/>
      <c r="BC21" s="33"/>
      <c r="BD21" s="102"/>
      <c r="BE21" s="142"/>
      <c r="BF21" s="33"/>
      <c r="BG21" s="33"/>
      <c r="BH21" s="33"/>
      <c r="BI21" s="102"/>
      <c r="BJ21" s="142"/>
      <c r="BK21" s="33"/>
      <c r="BL21" s="33"/>
      <c r="BM21" s="33"/>
      <c r="BN21" s="102"/>
      <c r="BO21" s="142"/>
      <c r="BP21" s="33"/>
      <c r="BQ21" s="33"/>
      <c r="BR21" s="33"/>
      <c r="BS21" s="102"/>
      <c r="BT21" s="142"/>
      <c r="BU21" s="33"/>
      <c r="BV21" s="33"/>
      <c r="BW21" s="33"/>
      <c r="BX21" s="99"/>
      <c r="BY21" s="2438">
        <v>1</v>
      </c>
      <c r="BZ21" s="1263">
        <f t="shared" ref="BZ21:BZ22" si="31">BY21</f>
        <v>1</v>
      </c>
      <c r="CA21" s="1263">
        <f t="shared" ref="CA21:CA22" si="32">BZ21</f>
        <v>1</v>
      </c>
      <c r="CB21" s="1263">
        <f t="shared" ref="CB21:CB22" si="33">CA21</f>
        <v>1</v>
      </c>
      <c r="CC21" s="1263">
        <f t="shared" ref="CC21:CC22" si="34">CB21</f>
        <v>1</v>
      </c>
      <c r="CD21" s="1263">
        <f t="shared" ref="CD21:CD22" si="35">CC21</f>
        <v>1</v>
      </c>
      <c r="CE21" s="1263">
        <f t="shared" ref="CE21:CE22" si="36">CD21</f>
        <v>1</v>
      </c>
      <c r="CF21" s="1263">
        <f t="shared" ref="CF21:CF22" si="37">CE21</f>
        <v>1</v>
      </c>
      <c r="CG21" s="1263">
        <f t="shared" ref="CG21:CG22" si="38">CF21</f>
        <v>1</v>
      </c>
      <c r="CH21" s="1263">
        <f t="shared" ref="CH21:CH22" si="39">CG21</f>
        <v>1</v>
      </c>
      <c r="CI21" s="1263">
        <f>CH21</f>
        <v>1</v>
      </c>
      <c r="CJ21" s="1263">
        <f>CI21</f>
        <v>1</v>
      </c>
      <c r="CK21" s="1263"/>
      <c r="CL21" s="1920">
        <f t="shared" ref="CL21:CW22" si="40">ROUND(BY21*E21,-3)</f>
        <v>0</v>
      </c>
      <c r="CM21" s="78">
        <f t="shared" si="40"/>
        <v>25000</v>
      </c>
      <c r="CN21" s="78">
        <f t="shared" si="40"/>
        <v>0</v>
      </c>
      <c r="CO21" s="78">
        <f t="shared" si="40"/>
        <v>0</v>
      </c>
      <c r="CP21" s="78">
        <f t="shared" si="40"/>
        <v>0</v>
      </c>
      <c r="CQ21" s="78">
        <f t="shared" si="40"/>
        <v>0</v>
      </c>
      <c r="CR21" s="78">
        <f t="shared" si="40"/>
        <v>0</v>
      </c>
      <c r="CS21" s="78">
        <f t="shared" si="40"/>
        <v>0</v>
      </c>
      <c r="CT21" s="78">
        <f t="shared" si="40"/>
        <v>0</v>
      </c>
      <c r="CU21" s="78">
        <f t="shared" si="40"/>
        <v>0</v>
      </c>
      <c r="CV21" s="78">
        <f t="shared" si="40"/>
        <v>0</v>
      </c>
      <c r="CW21" s="131">
        <f t="shared" si="40"/>
        <v>0</v>
      </c>
    </row>
    <row r="22" spans="1:101" s="78" customFormat="1" x14ac:dyDescent="0.2">
      <c r="A22" s="889" t="s">
        <v>6811</v>
      </c>
      <c r="B22" s="2354" t="s">
        <v>6810</v>
      </c>
      <c r="C22" s="2332"/>
      <c r="D22" s="2328"/>
      <c r="E22" s="142">
        <v>600</v>
      </c>
      <c r="F22" s="142"/>
      <c r="G22" s="33"/>
      <c r="H22" s="33"/>
      <c r="I22" s="76"/>
      <c r="J22" s="76"/>
      <c r="K22" s="76"/>
      <c r="L22" s="33"/>
      <c r="M22" s="142"/>
      <c r="N22" s="33"/>
      <c r="O22" s="33"/>
      <c r="P22" s="102"/>
      <c r="Q22" s="142"/>
      <c r="R22" s="142"/>
      <c r="S22" s="142"/>
      <c r="T22" s="142"/>
      <c r="U22" s="99">
        <f>E22-Q22-R22-S22-T22</f>
        <v>600</v>
      </c>
      <c r="V22" s="186"/>
      <c r="W22" s="142"/>
      <c r="X22" s="142"/>
      <c r="Y22" s="33"/>
      <c r="Z22" s="102"/>
      <c r="AA22" s="142"/>
      <c r="AB22" s="142"/>
      <c r="AC22" s="142"/>
      <c r="AD22" s="142"/>
      <c r="AE22" s="102"/>
      <c r="AF22" s="142"/>
      <c r="AG22" s="142"/>
      <c r="AH22" s="142"/>
      <c r="AI22" s="142"/>
      <c r="AJ22" s="102"/>
      <c r="AK22" s="142"/>
      <c r="AL22" s="142"/>
      <c r="AM22" s="142"/>
      <c r="AN22" s="142"/>
      <c r="AO22" s="114"/>
      <c r="AP22" s="142"/>
      <c r="AQ22" s="142"/>
      <c r="AR22" s="142"/>
      <c r="AS22" s="142"/>
      <c r="AT22" s="102"/>
      <c r="AU22" s="99"/>
      <c r="AV22" s="33"/>
      <c r="AW22" s="33"/>
      <c r="AX22" s="33"/>
      <c r="AY22" s="102"/>
      <c r="AZ22" s="142"/>
      <c r="BA22" s="142"/>
      <c r="BB22" s="142"/>
      <c r="BC22" s="142"/>
      <c r="BD22" s="102"/>
      <c r="BE22" s="142"/>
      <c r="BF22" s="142"/>
      <c r="BG22" s="142"/>
      <c r="BH22" s="142"/>
      <c r="BI22" s="102"/>
      <c r="BJ22" s="142"/>
      <c r="BK22" s="142"/>
      <c r="BL22" s="142"/>
      <c r="BM22" s="142"/>
      <c r="BN22" s="102"/>
      <c r="BO22" s="142"/>
      <c r="BP22" s="142"/>
      <c r="BQ22" s="142"/>
      <c r="BR22" s="142"/>
      <c r="BS22" s="102"/>
      <c r="BT22" s="142"/>
      <c r="BU22" s="142"/>
      <c r="BV22" s="142"/>
      <c r="BW22" s="142"/>
      <c r="BX22" s="99"/>
      <c r="BY22" s="2438">
        <v>1</v>
      </c>
      <c r="BZ22" s="1263">
        <f t="shared" si="31"/>
        <v>1</v>
      </c>
      <c r="CA22" s="1263">
        <f t="shared" si="32"/>
        <v>1</v>
      </c>
      <c r="CB22" s="1263">
        <f t="shared" si="33"/>
        <v>1</v>
      </c>
      <c r="CC22" s="1263">
        <f t="shared" si="34"/>
        <v>1</v>
      </c>
      <c r="CD22" s="1263">
        <f t="shared" si="35"/>
        <v>1</v>
      </c>
      <c r="CE22" s="1263">
        <f t="shared" si="36"/>
        <v>1</v>
      </c>
      <c r="CF22" s="1263">
        <f t="shared" si="37"/>
        <v>1</v>
      </c>
      <c r="CG22" s="1263">
        <f t="shared" si="38"/>
        <v>1</v>
      </c>
      <c r="CH22" s="1263">
        <f t="shared" si="39"/>
        <v>1</v>
      </c>
      <c r="CI22" s="1263">
        <f>CH22</f>
        <v>1</v>
      </c>
      <c r="CJ22" s="1263">
        <f>CI22</f>
        <v>1</v>
      </c>
      <c r="CK22" s="1263"/>
      <c r="CL22" s="1920">
        <f t="shared" si="40"/>
        <v>1000</v>
      </c>
      <c r="CM22" s="78">
        <f t="shared" si="40"/>
        <v>0</v>
      </c>
      <c r="CN22" s="78">
        <f t="shared" si="40"/>
        <v>0</v>
      </c>
      <c r="CO22" s="78">
        <f t="shared" si="40"/>
        <v>0</v>
      </c>
      <c r="CP22" s="78">
        <f t="shared" si="40"/>
        <v>0</v>
      </c>
      <c r="CQ22" s="78">
        <f t="shared" si="40"/>
        <v>0</v>
      </c>
      <c r="CR22" s="78">
        <f t="shared" si="40"/>
        <v>0</v>
      </c>
      <c r="CS22" s="78">
        <f t="shared" si="40"/>
        <v>0</v>
      </c>
      <c r="CT22" s="78">
        <f t="shared" si="40"/>
        <v>0</v>
      </c>
      <c r="CU22" s="78">
        <f t="shared" si="40"/>
        <v>0</v>
      </c>
      <c r="CV22" s="78">
        <f t="shared" si="40"/>
        <v>0</v>
      </c>
      <c r="CW22" s="131">
        <f t="shared" si="40"/>
        <v>0</v>
      </c>
    </row>
    <row r="23" spans="1:101" s="99" customFormat="1" ht="13.5" thickBot="1" x14ac:dyDescent="0.25">
      <c r="A23" s="584"/>
      <c r="B23" s="2354"/>
      <c r="C23" s="2335"/>
      <c r="D23" s="2388"/>
      <c r="E23" s="1990"/>
      <c r="F23" s="1990"/>
      <c r="G23" s="179"/>
      <c r="H23" s="179"/>
      <c r="I23" s="384"/>
      <c r="J23" s="384"/>
      <c r="K23" s="384"/>
      <c r="L23" s="179"/>
      <c r="M23" s="1990"/>
      <c r="N23" s="179"/>
      <c r="O23" s="179"/>
      <c r="P23" s="2647"/>
      <c r="Q23" s="798"/>
      <c r="R23" s="798"/>
      <c r="S23" s="798"/>
      <c r="T23" s="798"/>
      <c r="U23" s="1915"/>
      <c r="V23" s="2803"/>
      <c r="W23" s="798"/>
      <c r="X23" s="798"/>
      <c r="Y23" s="33"/>
      <c r="Z23" s="102">
        <f>F23-V23-W23-X23-Y23</f>
        <v>0</v>
      </c>
      <c r="AA23" s="798"/>
      <c r="AB23" s="798"/>
      <c r="AC23" s="798"/>
      <c r="AD23" s="798"/>
      <c r="AE23" s="800"/>
      <c r="AF23" s="798"/>
      <c r="AG23" s="798"/>
      <c r="AH23" s="798"/>
      <c r="AI23" s="798"/>
      <c r="AJ23" s="800"/>
      <c r="AK23" s="798"/>
      <c r="AL23" s="798"/>
      <c r="AM23" s="798"/>
      <c r="AN23" s="798"/>
      <c r="AO23" s="802"/>
      <c r="AP23" s="798"/>
      <c r="AQ23" s="798"/>
      <c r="AR23" s="798"/>
      <c r="AS23" s="798"/>
      <c r="AT23" s="800"/>
      <c r="AU23" s="799"/>
      <c r="AV23" s="801"/>
      <c r="AW23" s="801"/>
      <c r="AX23" s="801"/>
      <c r="AY23" s="800"/>
      <c r="AZ23" s="798"/>
      <c r="BA23" s="798"/>
      <c r="BB23" s="798"/>
      <c r="BC23" s="798"/>
      <c r="BD23" s="800"/>
      <c r="BE23" s="798"/>
      <c r="BF23" s="798"/>
      <c r="BG23" s="798"/>
      <c r="BH23" s="798"/>
      <c r="BI23" s="800"/>
      <c r="BJ23" s="798"/>
      <c r="BK23" s="798"/>
      <c r="BL23" s="798"/>
      <c r="BM23" s="798"/>
      <c r="BN23" s="800"/>
      <c r="BO23" s="798"/>
      <c r="BP23" s="798"/>
      <c r="BQ23" s="798"/>
      <c r="BR23" s="798"/>
      <c r="BS23" s="800"/>
      <c r="BT23" s="798"/>
      <c r="BU23" s="798"/>
      <c r="BV23" s="798"/>
      <c r="BW23" s="798"/>
      <c r="BX23" s="1915"/>
      <c r="BY23" s="2437"/>
      <c r="BZ23" s="740"/>
      <c r="CA23" s="740"/>
      <c r="CB23" s="740"/>
      <c r="CC23" s="740"/>
      <c r="CD23" s="740"/>
      <c r="CE23" s="740"/>
      <c r="CF23" s="740"/>
      <c r="CG23" s="740"/>
      <c r="CH23" s="740"/>
      <c r="CI23" s="740"/>
      <c r="CJ23" s="740"/>
      <c r="CK23" s="740"/>
      <c r="CL23" s="502"/>
      <c r="CW23" s="114"/>
    </row>
    <row r="24" spans="1:101" s="92" customFormat="1" ht="14.25" thickTop="1" thickBot="1" x14ac:dyDescent="0.25">
      <c r="A24" s="1135" t="s">
        <v>3365</v>
      </c>
      <c r="B24" s="2357"/>
      <c r="C24" s="2331"/>
      <c r="D24" s="2389"/>
      <c r="E24" s="419">
        <f t="shared" ref="E24:AK24" si="41">SUBTOTAL(9,E5:E23)</f>
        <v>530700</v>
      </c>
      <c r="F24" s="417">
        <f t="shared" si="41"/>
        <v>8142000</v>
      </c>
      <c r="G24" s="417">
        <f t="shared" si="41"/>
        <v>7207800</v>
      </c>
      <c r="H24" s="417">
        <f t="shared" si="41"/>
        <v>2024000</v>
      </c>
      <c r="I24" s="423">
        <f t="shared" si="41"/>
        <v>1025000</v>
      </c>
      <c r="J24" s="423">
        <f t="shared" si="41"/>
        <v>4026000</v>
      </c>
      <c r="K24" s="423">
        <f t="shared" si="41"/>
        <v>27000</v>
      </c>
      <c r="L24" s="417">
        <f t="shared" si="41"/>
        <v>28000</v>
      </c>
      <c r="M24" s="419">
        <f t="shared" si="41"/>
        <v>29000</v>
      </c>
      <c r="N24" s="417">
        <f t="shared" si="41"/>
        <v>30000</v>
      </c>
      <c r="O24" s="417">
        <f t="shared" si="41"/>
        <v>31000</v>
      </c>
      <c r="P24" s="422">
        <f t="shared" ref="P24" si="42">SUBTOTAL(9,P5:P23)</f>
        <v>32000</v>
      </c>
      <c r="Q24" s="419">
        <f t="shared" si="41"/>
        <v>20000</v>
      </c>
      <c r="R24" s="417">
        <f t="shared" si="41"/>
        <v>0</v>
      </c>
      <c r="S24" s="417">
        <f t="shared" si="41"/>
        <v>0</v>
      </c>
      <c r="T24" s="417">
        <f t="shared" si="41"/>
        <v>336300</v>
      </c>
      <c r="U24" s="423">
        <f t="shared" si="41"/>
        <v>174400</v>
      </c>
      <c r="V24" s="424">
        <f t="shared" si="41"/>
        <v>0</v>
      </c>
      <c r="W24" s="417">
        <f t="shared" si="41"/>
        <v>0</v>
      </c>
      <c r="X24" s="419">
        <f t="shared" si="41"/>
        <v>6711700</v>
      </c>
      <c r="Y24" s="417">
        <f t="shared" si="41"/>
        <v>1408300</v>
      </c>
      <c r="Z24" s="418">
        <f t="shared" si="41"/>
        <v>22000</v>
      </c>
      <c r="AA24" s="419">
        <f t="shared" si="41"/>
        <v>0</v>
      </c>
      <c r="AB24" s="417">
        <f t="shared" si="41"/>
        <v>0</v>
      </c>
      <c r="AC24" s="417">
        <f t="shared" si="41"/>
        <v>5927800</v>
      </c>
      <c r="AD24" s="417">
        <f t="shared" si="41"/>
        <v>1257000</v>
      </c>
      <c r="AE24" s="418">
        <f t="shared" si="41"/>
        <v>23000</v>
      </c>
      <c r="AF24" s="419">
        <f t="shared" si="41"/>
        <v>0</v>
      </c>
      <c r="AG24" s="417">
        <f t="shared" si="41"/>
        <v>0</v>
      </c>
      <c r="AH24" s="417">
        <f t="shared" si="41"/>
        <v>0</v>
      </c>
      <c r="AI24" s="417">
        <f t="shared" si="41"/>
        <v>2000000</v>
      </c>
      <c r="AJ24" s="418">
        <f t="shared" si="41"/>
        <v>24000</v>
      </c>
      <c r="AK24" s="419">
        <f t="shared" si="41"/>
        <v>0</v>
      </c>
      <c r="AL24" s="417">
        <f t="shared" ref="AL24:BQ24" si="43">SUBTOTAL(9,AL5:AL23)</f>
        <v>0</v>
      </c>
      <c r="AM24" s="417">
        <f t="shared" si="43"/>
        <v>0</v>
      </c>
      <c r="AN24" s="417">
        <f t="shared" si="43"/>
        <v>1000000</v>
      </c>
      <c r="AO24" s="420">
        <f t="shared" si="43"/>
        <v>25000</v>
      </c>
      <c r="AP24" s="419">
        <f t="shared" si="43"/>
        <v>0</v>
      </c>
      <c r="AQ24" s="417">
        <f t="shared" si="43"/>
        <v>0</v>
      </c>
      <c r="AR24" s="417">
        <f t="shared" si="43"/>
        <v>0</v>
      </c>
      <c r="AS24" s="417">
        <f t="shared" si="43"/>
        <v>4000000</v>
      </c>
      <c r="AT24" s="418">
        <f t="shared" si="43"/>
        <v>26000</v>
      </c>
      <c r="AU24" s="421">
        <f t="shared" si="43"/>
        <v>0</v>
      </c>
      <c r="AV24" s="417">
        <f t="shared" si="43"/>
        <v>0</v>
      </c>
      <c r="AW24" s="417">
        <f t="shared" si="43"/>
        <v>0</v>
      </c>
      <c r="AX24" s="417">
        <f t="shared" si="43"/>
        <v>0</v>
      </c>
      <c r="AY24" s="418">
        <f t="shared" si="43"/>
        <v>27000</v>
      </c>
      <c r="AZ24" s="419">
        <f t="shared" si="43"/>
        <v>0</v>
      </c>
      <c r="BA24" s="417">
        <f t="shared" si="43"/>
        <v>0</v>
      </c>
      <c r="BB24" s="417">
        <f t="shared" si="43"/>
        <v>0</v>
      </c>
      <c r="BC24" s="417">
        <f t="shared" si="43"/>
        <v>0</v>
      </c>
      <c r="BD24" s="418">
        <f t="shared" si="43"/>
        <v>28000</v>
      </c>
      <c r="BE24" s="419">
        <f t="shared" si="43"/>
        <v>0</v>
      </c>
      <c r="BF24" s="417">
        <f t="shared" si="43"/>
        <v>0</v>
      </c>
      <c r="BG24" s="417">
        <f t="shared" si="43"/>
        <v>0</v>
      </c>
      <c r="BH24" s="417">
        <f t="shared" si="43"/>
        <v>0</v>
      </c>
      <c r="BI24" s="418">
        <f t="shared" si="43"/>
        <v>29000</v>
      </c>
      <c r="BJ24" s="419">
        <f t="shared" si="43"/>
        <v>0</v>
      </c>
      <c r="BK24" s="417">
        <f t="shared" si="43"/>
        <v>0</v>
      </c>
      <c r="BL24" s="417">
        <f t="shared" si="43"/>
        <v>0</v>
      </c>
      <c r="BM24" s="417">
        <f t="shared" si="43"/>
        <v>0</v>
      </c>
      <c r="BN24" s="418">
        <f t="shared" si="43"/>
        <v>30000</v>
      </c>
      <c r="BO24" s="419">
        <f t="shared" si="43"/>
        <v>0</v>
      </c>
      <c r="BP24" s="417">
        <f t="shared" si="43"/>
        <v>0</v>
      </c>
      <c r="BQ24" s="417">
        <f t="shared" si="43"/>
        <v>0</v>
      </c>
      <c r="BR24" s="417">
        <f t="shared" ref="BR24:BV24" si="44">SUBTOTAL(9,BR5:BR23)</f>
        <v>0</v>
      </c>
      <c r="BS24" s="418">
        <f t="shared" si="44"/>
        <v>31000</v>
      </c>
      <c r="BT24" s="419">
        <f t="shared" si="44"/>
        <v>0</v>
      </c>
      <c r="BU24" s="417">
        <f t="shared" si="44"/>
        <v>0</v>
      </c>
      <c r="BV24" s="417">
        <f t="shared" si="44"/>
        <v>0</v>
      </c>
      <c r="BW24" s="417">
        <f t="shared" ref="BW24:BX24" si="45">SUBTOTAL(9,BW5:BW23)</f>
        <v>0</v>
      </c>
      <c r="BX24" s="423">
        <f t="shared" si="45"/>
        <v>32000</v>
      </c>
      <c r="BY24" s="2437"/>
      <c r="BZ24" s="740"/>
      <c r="CA24" s="655"/>
      <c r="CB24" s="655"/>
      <c r="CC24" s="655"/>
      <c r="CD24" s="655"/>
      <c r="CE24" s="655"/>
      <c r="CF24" s="655"/>
      <c r="CG24" s="655"/>
      <c r="CH24" s="655"/>
      <c r="CI24" s="655"/>
      <c r="CJ24" s="655"/>
      <c r="CK24" s="655"/>
      <c r="CL24" s="1747"/>
      <c r="CM24" s="74"/>
      <c r="CN24" s="74"/>
      <c r="CO24" s="74"/>
      <c r="CP24" s="74"/>
      <c r="CQ24" s="74"/>
      <c r="CR24" s="74"/>
      <c r="CS24" s="74"/>
      <c r="CT24" s="74"/>
      <c r="CU24" s="74"/>
      <c r="CV24" s="74"/>
      <c r="CW24" s="115"/>
    </row>
    <row r="25" spans="1:101" s="92" customFormat="1" ht="13.5" thickTop="1" x14ac:dyDescent="0.2">
      <c r="A25" s="410"/>
      <c r="B25" s="2354"/>
      <c r="C25" s="2335"/>
      <c r="D25" s="2388"/>
      <c r="E25" s="128"/>
      <c r="F25" s="64"/>
      <c r="G25" s="64"/>
      <c r="H25" s="64"/>
      <c r="I25" s="79"/>
      <c r="J25" s="79"/>
      <c r="K25" s="79"/>
      <c r="L25" s="64"/>
      <c r="M25" s="128"/>
      <c r="N25" s="64"/>
      <c r="O25" s="64"/>
      <c r="P25" s="117"/>
      <c r="Q25" s="128"/>
      <c r="R25" s="64"/>
      <c r="S25" s="64"/>
      <c r="T25" s="64"/>
      <c r="U25" s="79"/>
      <c r="V25" s="185"/>
      <c r="W25" s="64"/>
      <c r="X25" s="128"/>
      <c r="Y25" s="64"/>
      <c r="Z25" s="400"/>
      <c r="AA25" s="128"/>
      <c r="AB25" s="64"/>
      <c r="AC25" s="64"/>
      <c r="AD25" s="64"/>
      <c r="AE25" s="400"/>
      <c r="AF25" s="128"/>
      <c r="AG25" s="64"/>
      <c r="AH25" s="64"/>
      <c r="AI25" s="64"/>
      <c r="AJ25" s="400"/>
      <c r="AK25" s="128"/>
      <c r="AL25" s="64"/>
      <c r="AM25" s="64"/>
      <c r="AN25" s="64"/>
      <c r="AO25" s="139"/>
      <c r="AP25" s="128"/>
      <c r="AQ25" s="64"/>
      <c r="AR25" s="64"/>
      <c r="AS25" s="64"/>
      <c r="AT25" s="400"/>
      <c r="AU25" s="74"/>
      <c r="AV25" s="64"/>
      <c r="AW25" s="64"/>
      <c r="AX25" s="64"/>
      <c r="AY25" s="400"/>
      <c r="AZ25" s="128"/>
      <c r="BA25" s="64"/>
      <c r="BB25" s="64"/>
      <c r="BC25" s="64"/>
      <c r="BD25" s="400"/>
      <c r="BE25" s="128"/>
      <c r="BF25" s="64"/>
      <c r="BG25" s="64"/>
      <c r="BH25" s="64"/>
      <c r="BI25" s="400"/>
      <c r="BJ25" s="128"/>
      <c r="BK25" s="64"/>
      <c r="BL25" s="64"/>
      <c r="BM25" s="64"/>
      <c r="BN25" s="400"/>
      <c r="BO25" s="128"/>
      <c r="BP25" s="64"/>
      <c r="BQ25" s="64"/>
      <c r="BR25" s="64"/>
      <c r="BS25" s="400"/>
      <c r="BT25" s="128"/>
      <c r="BU25" s="64"/>
      <c r="BV25" s="64"/>
      <c r="BW25" s="64"/>
      <c r="BX25" s="79"/>
      <c r="BY25" s="2437"/>
      <c r="BZ25" s="740"/>
      <c r="CA25" s="655"/>
      <c r="CB25" s="655"/>
      <c r="CC25" s="655"/>
      <c r="CD25" s="655"/>
      <c r="CE25" s="655"/>
      <c r="CF25" s="655"/>
      <c r="CG25" s="655"/>
      <c r="CH25" s="655"/>
      <c r="CI25" s="655"/>
      <c r="CJ25" s="655"/>
      <c r="CK25" s="655"/>
      <c r="CL25" s="1747"/>
      <c r="CM25" s="74"/>
      <c r="CN25" s="74"/>
      <c r="CO25" s="74"/>
      <c r="CP25" s="74"/>
      <c r="CQ25" s="74"/>
      <c r="CR25" s="74"/>
      <c r="CS25" s="74"/>
      <c r="CT25" s="74"/>
      <c r="CU25" s="74"/>
      <c r="CV25" s="74"/>
      <c r="CW25" s="115"/>
    </row>
    <row r="26" spans="1:101" x14ac:dyDescent="0.2">
      <c r="A26" s="412" t="s">
        <v>475</v>
      </c>
      <c r="B26" s="2354"/>
      <c r="C26" s="2336"/>
      <c r="D26" s="2390"/>
      <c r="E26" s="142"/>
      <c r="F26" s="33"/>
      <c r="G26" s="33"/>
      <c r="H26" s="33"/>
      <c r="I26" s="76"/>
      <c r="J26" s="76"/>
      <c r="K26" s="76"/>
      <c r="L26" s="33"/>
      <c r="M26" s="142"/>
      <c r="N26" s="33"/>
      <c r="O26" s="33"/>
      <c r="P26" s="102"/>
      <c r="Q26" s="142"/>
      <c r="R26" s="33"/>
      <c r="S26" s="33"/>
      <c r="T26" s="33"/>
      <c r="U26" s="76"/>
      <c r="V26" s="186"/>
      <c r="W26" s="33"/>
      <c r="X26" s="142"/>
      <c r="Y26" s="33"/>
      <c r="Z26" s="129"/>
      <c r="AA26" s="142"/>
      <c r="AB26" s="33"/>
      <c r="AC26" s="33"/>
      <c r="AD26" s="33"/>
      <c r="AE26" s="129"/>
      <c r="AF26" s="142"/>
      <c r="AG26" s="33"/>
      <c r="AH26" s="33"/>
      <c r="AI26" s="33"/>
      <c r="AJ26" s="129"/>
      <c r="AK26" s="142"/>
      <c r="AL26" s="33"/>
      <c r="AM26" s="33"/>
      <c r="AN26" s="33"/>
      <c r="AO26" s="100"/>
      <c r="AP26" s="142"/>
      <c r="AQ26" s="33"/>
      <c r="AR26" s="33"/>
      <c r="AS26" s="33"/>
      <c r="AT26" s="129"/>
      <c r="AV26" s="33"/>
      <c r="AW26" s="33"/>
      <c r="AX26" s="33"/>
      <c r="AY26" s="129"/>
      <c r="AZ26" s="142"/>
      <c r="BA26" s="33"/>
      <c r="BB26" s="33"/>
      <c r="BC26" s="33"/>
      <c r="BD26" s="129"/>
      <c r="BE26" s="142"/>
      <c r="BF26" s="33"/>
      <c r="BG26" s="33"/>
      <c r="BH26" s="33"/>
      <c r="BI26" s="129"/>
      <c r="BJ26" s="142"/>
      <c r="BK26" s="33"/>
      <c r="BL26" s="33"/>
      <c r="BM26" s="33"/>
      <c r="BN26" s="129"/>
      <c r="BO26" s="142"/>
      <c r="BP26" s="33"/>
      <c r="BQ26" s="33"/>
      <c r="BR26" s="33"/>
      <c r="BS26" s="129"/>
      <c r="BT26" s="142"/>
      <c r="BU26" s="33"/>
      <c r="BV26" s="33"/>
      <c r="BW26" s="33"/>
      <c r="BX26" s="76"/>
      <c r="BY26" s="2437"/>
      <c r="BZ26" s="740"/>
      <c r="CA26" s="740"/>
      <c r="CB26" s="740"/>
      <c r="CC26" s="740"/>
      <c r="CD26" s="740"/>
      <c r="CE26" s="740"/>
      <c r="CF26" s="740"/>
      <c r="CG26" s="740"/>
      <c r="CH26" s="740"/>
      <c r="CI26" s="740"/>
      <c r="CJ26" s="740"/>
      <c r="CK26" s="740"/>
      <c r="CL26" s="502"/>
      <c r="CM26" s="99"/>
      <c r="CN26" s="99"/>
      <c r="CO26" s="99"/>
      <c r="CP26" s="99"/>
      <c r="CQ26" s="99"/>
      <c r="CR26" s="99"/>
      <c r="CS26" s="99"/>
      <c r="CT26" s="99"/>
      <c r="CU26" s="99"/>
      <c r="CV26" s="99"/>
      <c r="CW26" s="114"/>
    </row>
    <row r="27" spans="1:101" x14ac:dyDescent="0.2">
      <c r="A27" s="413"/>
      <c r="B27" s="2354"/>
      <c r="C27" s="2339"/>
      <c r="D27" s="2329"/>
      <c r="E27" s="142"/>
      <c r="F27" s="33"/>
      <c r="G27" s="33"/>
      <c r="H27" s="33"/>
      <c r="I27" s="76"/>
      <c r="J27" s="76"/>
      <c r="K27" s="76"/>
      <c r="L27" s="33"/>
      <c r="M27" s="142"/>
      <c r="N27" s="33"/>
      <c r="O27" s="33"/>
      <c r="P27" s="102"/>
      <c r="Q27" s="142"/>
      <c r="R27" s="33"/>
      <c r="S27" s="33"/>
      <c r="T27" s="33"/>
      <c r="V27" s="186"/>
      <c r="W27" s="33"/>
      <c r="X27" s="99"/>
      <c r="Y27" s="33"/>
      <c r="Z27" s="102"/>
      <c r="AA27" s="142"/>
      <c r="AB27" s="33"/>
      <c r="AC27" s="33"/>
      <c r="AD27" s="33"/>
      <c r="AE27" s="102"/>
      <c r="AF27" s="142"/>
      <c r="AG27" s="33"/>
      <c r="AH27" s="33"/>
      <c r="AI27" s="33"/>
      <c r="AJ27" s="102"/>
      <c r="AK27" s="142"/>
      <c r="AL27" s="33"/>
      <c r="AM27" s="33"/>
      <c r="AN27" s="33"/>
      <c r="AO27" s="114"/>
      <c r="AP27" s="142"/>
      <c r="AQ27" s="33"/>
      <c r="AR27" s="33"/>
      <c r="AS27" s="33"/>
      <c r="AT27" s="102"/>
      <c r="AV27" s="33"/>
      <c r="AW27" s="33"/>
      <c r="AX27" s="33"/>
      <c r="AY27" s="102"/>
      <c r="AZ27" s="142"/>
      <c r="BA27" s="33"/>
      <c r="BB27" s="33"/>
      <c r="BC27" s="33"/>
      <c r="BD27" s="102"/>
      <c r="BE27" s="142"/>
      <c r="BF27" s="33"/>
      <c r="BG27" s="33"/>
      <c r="BH27" s="33"/>
      <c r="BI27" s="102"/>
      <c r="BJ27" s="142"/>
      <c r="BK27" s="33"/>
      <c r="BL27" s="33"/>
      <c r="BM27" s="33"/>
      <c r="BN27" s="102"/>
      <c r="BO27" s="142"/>
      <c r="BP27" s="33"/>
      <c r="BQ27" s="33"/>
      <c r="BR27" s="33"/>
      <c r="BS27" s="102"/>
      <c r="BT27" s="142"/>
      <c r="BU27" s="33"/>
      <c r="BV27" s="33"/>
      <c r="BW27" s="33"/>
      <c r="BY27" s="2437"/>
      <c r="BZ27" s="740"/>
      <c r="CA27" s="740"/>
      <c r="CB27" s="740"/>
      <c r="CC27" s="740"/>
      <c r="CD27" s="740"/>
      <c r="CE27" s="740"/>
      <c r="CF27" s="740"/>
      <c r="CG27" s="740"/>
      <c r="CH27" s="740"/>
      <c r="CI27" s="740"/>
      <c r="CJ27" s="740"/>
      <c r="CK27" s="740"/>
      <c r="CL27" s="502"/>
      <c r="CM27" s="99"/>
      <c r="CN27" s="99"/>
      <c r="CO27" s="99"/>
      <c r="CP27" s="99"/>
      <c r="CQ27" s="99"/>
      <c r="CR27" s="99"/>
      <c r="CS27" s="99"/>
      <c r="CT27" s="99"/>
      <c r="CU27" s="99"/>
      <c r="CV27" s="99"/>
      <c r="CW27" s="114"/>
    </row>
    <row r="28" spans="1:101" x14ac:dyDescent="0.2">
      <c r="A28" s="410" t="s">
        <v>2311</v>
      </c>
      <c r="B28" s="2354"/>
      <c r="C28" s="2335"/>
      <c r="D28" s="2327"/>
      <c r="E28" s="142"/>
      <c r="F28" s="33"/>
      <c r="G28" s="33"/>
      <c r="H28" s="33"/>
      <c r="I28" s="76"/>
      <c r="J28" s="76"/>
      <c r="K28" s="76"/>
      <c r="L28" s="33"/>
      <c r="M28" s="142"/>
      <c r="N28" s="33"/>
      <c r="O28" s="33"/>
      <c r="P28" s="102"/>
      <c r="Q28" s="142"/>
      <c r="R28" s="33"/>
      <c r="S28" s="33"/>
      <c r="T28" s="33"/>
      <c r="V28" s="186"/>
      <c r="W28" s="33"/>
      <c r="X28" s="99"/>
      <c r="Y28" s="33"/>
      <c r="Z28" s="102"/>
      <c r="AA28" s="142"/>
      <c r="AB28" s="33"/>
      <c r="AC28" s="33"/>
      <c r="AD28" s="33"/>
      <c r="AE28" s="102"/>
      <c r="AF28" s="142"/>
      <c r="AG28" s="33"/>
      <c r="AH28" s="33"/>
      <c r="AI28" s="33"/>
      <c r="AJ28" s="102"/>
      <c r="AK28" s="142"/>
      <c r="AL28" s="33"/>
      <c r="AM28" s="33"/>
      <c r="AN28" s="33"/>
      <c r="AO28" s="114"/>
      <c r="AP28" s="142"/>
      <c r="AQ28" s="33"/>
      <c r="AR28" s="33"/>
      <c r="AS28" s="33"/>
      <c r="AT28" s="102"/>
      <c r="AV28" s="33"/>
      <c r="AW28" s="33"/>
      <c r="AX28" s="33"/>
      <c r="AY28" s="102"/>
      <c r="AZ28" s="142"/>
      <c r="BA28" s="33"/>
      <c r="BB28" s="33"/>
      <c r="BC28" s="33"/>
      <c r="BD28" s="102"/>
      <c r="BE28" s="142"/>
      <c r="BF28" s="33"/>
      <c r="BG28" s="33"/>
      <c r="BH28" s="33"/>
      <c r="BI28" s="102"/>
      <c r="BJ28" s="142"/>
      <c r="BK28" s="33"/>
      <c r="BL28" s="33"/>
      <c r="BM28" s="33"/>
      <c r="BN28" s="102"/>
      <c r="BO28" s="142"/>
      <c r="BP28" s="33"/>
      <c r="BQ28" s="33"/>
      <c r="BR28" s="33"/>
      <c r="BS28" s="102"/>
      <c r="BT28" s="142"/>
      <c r="BU28" s="33"/>
      <c r="BV28" s="33"/>
      <c r="BW28" s="33"/>
      <c r="BY28" s="2437"/>
      <c r="BZ28" s="740"/>
      <c r="CA28" s="740"/>
      <c r="CB28" s="740"/>
      <c r="CC28" s="740"/>
      <c r="CD28" s="740"/>
      <c r="CE28" s="740"/>
      <c r="CF28" s="740"/>
      <c r="CG28" s="740"/>
      <c r="CH28" s="740"/>
      <c r="CI28" s="740"/>
      <c r="CJ28" s="740"/>
      <c r="CK28" s="740"/>
      <c r="CL28" s="502"/>
      <c r="CM28" s="99"/>
      <c r="CN28" s="99"/>
      <c r="CO28" s="99"/>
      <c r="CP28" s="99"/>
      <c r="CQ28" s="99"/>
      <c r="CR28" s="99"/>
      <c r="CS28" s="99"/>
      <c r="CT28" s="99"/>
      <c r="CU28" s="99"/>
      <c r="CV28" s="99"/>
      <c r="CW28" s="114"/>
    </row>
    <row r="29" spans="1:101" x14ac:dyDescent="0.2">
      <c r="A29" s="869" t="s">
        <v>1020</v>
      </c>
      <c r="B29" s="2355" t="s">
        <v>439</v>
      </c>
      <c r="C29" s="2332" t="s">
        <v>5076</v>
      </c>
      <c r="D29" s="2327" t="s">
        <v>439</v>
      </c>
      <c r="E29" s="142">
        <v>16800</v>
      </c>
      <c r="F29" s="33">
        <v>21000</v>
      </c>
      <c r="G29" s="33">
        <f>ROUND((F29*Assumptions!H$6+F29),-3)</f>
        <v>22000</v>
      </c>
      <c r="H29" s="33">
        <f>ROUND((G29*Assumptions!I$6+G29),-3)</f>
        <v>23000</v>
      </c>
      <c r="I29" s="76">
        <f>ROUND((H29*Assumptions!J$6+H29),-3)</f>
        <v>24000</v>
      </c>
      <c r="J29" s="76">
        <f>ROUND((I29*Assumptions!K$6+I29),-3)</f>
        <v>25000</v>
      </c>
      <c r="K29" s="76">
        <f>ROUND((J29*Assumptions!L$6+J29),-3)</f>
        <v>26000</v>
      </c>
      <c r="L29" s="33">
        <f>ROUND((K29*Assumptions!M$6+K29),-3)</f>
        <v>27000</v>
      </c>
      <c r="M29" s="142">
        <f>ROUND((L29*Assumptions!N$6+L29),-3)</f>
        <v>28000</v>
      </c>
      <c r="N29" s="33">
        <f>ROUND((M29*Assumptions!O$6+M29),-3)</f>
        <v>29000</v>
      </c>
      <c r="O29" s="33">
        <f>ROUND((N29*Assumptions!P$6+N29),-3)</f>
        <v>30000</v>
      </c>
      <c r="P29" s="102">
        <f>ROUND((O29*Assumptions!Q$6+O29),-3)</f>
        <v>31000</v>
      </c>
      <c r="Q29" s="142"/>
      <c r="R29" s="33"/>
      <c r="S29" s="33"/>
      <c r="T29" s="33"/>
      <c r="U29" s="99">
        <f>E29-Q29-R29-S29-T29</f>
        <v>16800</v>
      </c>
      <c r="V29" s="186"/>
      <c r="W29" s="33"/>
      <c r="X29" s="99"/>
      <c r="Y29" s="33"/>
      <c r="Z29" s="102">
        <f>F29-V29-W29-X29-Y29</f>
        <v>21000</v>
      </c>
      <c r="AA29" s="142"/>
      <c r="AB29" s="33"/>
      <c r="AC29" s="33"/>
      <c r="AD29" s="33"/>
      <c r="AE29" s="102">
        <f>G29-AA29-AB29-AC29-AD29</f>
        <v>22000</v>
      </c>
      <c r="AF29" s="142"/>
      <c r="AG29" s="33"/>
      <c r="AH29" s="33"/>
      <c r="AI29" s="33"/>
      <c r="AJ29" s="102">
        <f>H29-AF29-AG29-AH29-AI29</f>
        <v>23000</v>
      </c>
      <c r="AK29" s="142"/>
      <c r="AL29" s="33"/>
      <c r="AM29" s="33"/>
      <c r="AN29" s="33"/>
      <c r="AO29" s="114">
        <f>I29-AK29-AL29-AM29-AN29</f>
        <v>24000</v>
      </c>
      <c r="AP29" s="142"/>
      <c r="AQ29" s="33"/>
      <c r="AR29" s="33"/>
      <c r="AS29" s="33"/>
      <c r="AT29" s="102">
        <f>J29-AP29-AQ29-AR29-AS29</f>
        <v>25000</v>
      </c>
      <c r="AV29" s="33"/>
      <c r="AW29" s="33"/>
      <c r="AX29" s="33"/>
      <c r="AY29" s="102">
        <f>K29-AU29-AV29-AW29-AX29</f>
        <v>26000</v>
      </c>
      <c r="AZ29" s="142"/>
      <c r="BA29" s="33"/>
      <c r="BB29" s="33"/>
      <c r="BC29" s="33"/>
      <c r="BD29" s="102">
        <f>L29-AZ29-BA29-BB29-BC29</f>
        <v>27000</v>
      </c>
      <c r="BE29" s="142"/>
      <c r="BF29" s="33"/>
      <c r="BG29" s="33"/>
      <c r="BH29" s="33"/>
      <c r="BI29" s="102">
        <f>M29-BE29-BF29-BG29-BH29</f>
        <v>28000</v>
      </c>
      <c r="BJ29" s="142"/>
      <c r="BK29" s="33"/>
      <c r="BL29" s="33"/>
      <c r="BM29" s="33"/>
      <c r="BN29" s="102">
        <f>N29-BJ29-BK29-BL29-BM29</f>
        <v>29000</v>
      </c>
      <c r="BO29" s="142"/>
      <c r="BP29" s="33"/>
      <c r="BQ29" s="33"/>
      <c r="BR29" s="33"/>
      <c r="BS29" s="102">
        <f>O29-BO29-BP29-BQ29-BR29</f>
        <v>30000</v>
      </c>
      <c r="BT29" s="142"/>
      <c r="BU29" s="33"/>
      <c r="BV29" s="33"/>
      <c r="BW29" s="33"/>
      <c r="BX29" s="99">
        <f t="shared" ref="BX29:BX37" si="46">P29-BT29-BU29-BV29-BW29</f>
        <v>31000</v>
      </c>
      <c r="BY29" s="2438">
        <v>0</v>
      </c>
      <c r="BZ29" s="1263">
        <f t="shared" ref="BZ29:CH29" si="47">BY29</f>
        <v>0</v>
      </c>
      <c r="CA29" s="1263">
        <f t="shared" si="47"/>
        <v>0</v>
      </c>
      <c r="CB29" s="1263">
        <f t="shared" si="47"/>
        <v>0</v>
      </c>
      <c r="CC29" s="1263">
        <f t="shared" si="47"/>
        <v>0</v>
      </c>
      <c r="CD29" s="1263">
        <f t="shared" si="47"/>
        <v>0</v>
      </c>
      <c r="CE29" s="1263">
        <f t="shared" si="47"/>
        <v>0</v>
      </c>
      <c r="CF29" s="1263">
        <f t="shared" si="47"/>
        <v>0</v>
      </c>
      <c r="CG29" s="1263">
        <f t="shared" si="47"/>
        <v>0</v>
      </c>
      <c r="CH29" s="1263">
        <f t="shared" si="47"/>
        <v>0</v>
      </c>
      <c r="CI29" s="1263">
        <f t="shared" ref="CI29:CJ32" si="48">CH29</f>
        <v>0</v>
      </c>
      <c r="CJ29" s="1263">
        <f t="shared" si="48"/>
        <v>0</v>
      </c>
      <c r="CK29" s="1263"/>
      <c r="CL29" s="1920">
        <f t="shared" ref="CL29:CW32" si="49">ROUND(BY29*E29,-3)</f>
        <v>0</v>
      </c>
      <c r="CM29" s="78">
        <f t="shared" si="49"/>
        <v>0</v>
      </c>
      <c r="CN29" s="78">
        <f t="shared" si="49"/>
        <v>0</v>
      </c>
      <c r="CO29" s="78">
        <f t="shared" si="49"/>
        <v>0</v>
      </c>
      <c r="CP29" s="78">
        <f t="shared" si="49"/>
        <v>0</v>
      </c>
      <c r="CQ29" s="78">
        <f t="shared" si="49"/>
        <v>0</v>
      </c>
      <c r="CR29" s="78">
        <f t="shared" si="49"/>
        <v>0</v>
      </c>
      <c r="CS29" s="78">
        <f t="shared" si="49"/>
        <v>0</v>
      </c>
      <c r="CT29" s="78">
        <f t="shared" si="49"/>
        <v>0</v>
      </c>
      <c r="CU29" s="78">
        <f t="shared" si="49"/>
        <v>0</v>
      </c>
      <c r="CV29" s="78">
        <f t="shared" si="49"/>
        <v>0</v>
      </c>
      <c r="CW29" s="131">
        <f t="shared" si="49"/>
        <v>0</v>
      </c>
    </row>
    <row r="30" spans="1:101" x14ac:dyDescent="0.2">
      <c r="A30" s="869" t="s">
        <v>5626</v>
      </c>
      <c r="B30" s="2358" t="s">
        <v>5538</v>
      </c>
      <c r="C30" s="2332"/>
      <c r="D30" s="2327"/>
      <c r="E30" s="142">
        <v>37500</v>
      </c>
      <c r="F30" s="33">
        <f>2500+10000</f>
        <v>12500</v>
      </c>
      <c r="G30" s="33"/>
      <c r="H30" s="33"/>
      <c r="I30" s="76"/>
      <c r="J30" s="76"/>
      <c r="K30" s="76"/>
      <c r="L30" s="33"/>
      <c r="M30" s="142"/>
      <c r="N30" s="33"/>
      <c r="O30" s="33"/>
      <c r="P30" s="102"/>
      <c r="Q30" s="142"/>
      <c r="R30" s="33"/>
      <c r="S30" s="33"/>
      <c r="T30" s="33">
        <v>40000</v>
      </c>
      <c r="U30" s="99">
        <f>E30-Q30-R30-S30-T30</f>
        <v>-2500</v>
      </c>
      <c r="V30" s="186"/>
      <c r="W30" s="33"/>
      <c r="X30" s="99"/>
      <c r="Y30" s="33">
        <v>2500</v>
      </c>
      <c r="Z30" s="102">
        <f>F30-V30-W30-X30-Y30</f>
        <v>10000</v>
      </c>
      <c r="AA30" s="142"/>
      <c r="AB30" s="33"/>
      <c r="AC30" s="33"/>
      <c r="AD30" s="33"/>
      <c r="AE30" s="102">
        <f>G30-AA30-AB30-AC30-AD30</f>
        <v>0</v>
      </c>
      <c r="AF30" s="142"/>
      <c r="AG30" s="33"/>
      <c r="AH30" s="33"/>
      <c r="AI30" s="33"/>
      <c r="AJ30" s="102">
        <f>H30-AF30-AG30-AH30-AI30</f>
        <v>0</v>
      </c>
      <c r="AK30" s="142"/>
      <c r="AL30" s="33"/>
      <c r="AM30" s="33"/>
      <c r="AN30" s="33"/>
      <c r="AO30" s="114">
        <f>I30-AK30-AL30-AM30-AN30</f>
        <v>0</v>
      </c>
      <c r="AP30" s="142"/>
      <c r="AQ30" s="33"/>
      <c r="AR30" s="33"/>
      <c r="AS30" s="33"/>
      <c r="AT30" s="102">
        <f>J30-AP30-AQ30-AR30-AS30</f>
        <v>0</v>
      </c>
      <c r="AV30" s="33"/>
      <c r="AW30" s="33"/>
      <c r="AX30" s="33"/>
      <c r="AY30" s="102">
        <f>K30-AU30-AV30-AW30-AX30</f>
        <v>0</v>
      </c>
      <c r="AZ30" s="142"/>
      <c r="BA30" s="33"/>
      <c r="BB30" s="33"/>
      <c r="BC30" s="33"/>
      <c r="BD30" s="102">
        <f>L30-AZ30-BA30-BB30-BC30</f>
        <v>0</v>
      </c>
      <c r="BE30" s="142"/>
      <c r="BF30" s="33"/>
      <c r="BG30" s="33"/>
      <c r="BH30" s="33"/>
      <c r="BI30" s="102">
        <f>M30-BE30-BF30-BG30-BH30</f>
        <v>0</v>
      </c>
      <c r="BJ30" s="142"/>
      <c r="BK30" s="33"/>
      <c r="BL30" s="33"/>
      <c r="BM30" s="33"/>
      <c r="BN30" s="102">
        <f>N30-BJ30-BK30-BL30-BM30</f>
        <v>0</v>
      </c>
      <c r="BO30" s="142"/>
      <c r="BP30" s="33"/>
      <c r="BQ30" s="33"/>
      <c r="BR30" s="33"/>
      <c r="BS30" s="102">
        <f>O30-BO30-BP30-BQ30-BR30</f>
        <v>0</v>
      </c>
      <c r="BT30" s="142"/>
      <c r="BU30" s="33"/>
      <c r="BV30" s="33"/>
      <c r="BW30" s="33"/>
      <c r="BX30" s="99">
        <f t="shared" si="46"/>
        <v>0</v>
      </c>
      <c r="BY30" s="2438">
        <v>0</v>
      </c>
      <c r="BZ30" s="1263">
        <f t="shared" ref="BZ30:BZ31" si="50">BY30</f>
        <v>0</v>
      </c>
      <c r="CA30" s="1263">
        <f t="shared" ref="CA30:CA31" si="51">BZ30</f>
        <v>0</v>
      </c>
      <c r="CB30" s="1263">
        <f t="shared" ref="CB30:CB31" si="52">CA30</f>
        <v>0</v>
      </c>
      <c r="CC30" s="1263">
        <f t="shared" ref="CC30:CC31" si="53">CB30</f>
        <v>0</v>
      </c>
      <c r="CD30" s="1263">
        <f t="shared" ref="CD30:CD31" si="54">CC30</f>
        <v>0</v>
      </c>
      <c r="CE30" s="1263">
        <f t="shared" ref="CE30:CE31" si="55">CD30</f>
        <v>0</v>
      </c>
      <c r="CF30" s="1263">
        <f t="shared" ref="CF30:CF31" si="56">CE30</f>
        <v>0</v>
      </c>
      <c r="CG30" s="1263">
        <f t="shared" ref="CG30:CG31" si="57">CF30</f>
        <v>0</v>
      </c>
      <c r="CH30" s="1263">
        <f t="shared" ref="CH30:CH31" si="58">CG30</f>
        <v>0</v>
      </c>
      <c r="CI30" s="1263">
        <f t="shared" si="48"/>
        <v>0</v>
      </c>
      <c r="CJ30" s="1263">
        <f t="shared" si="48"/>
        <v>0</v>
      </c>
      <c r="CK30" s="1263"/>
      <c r="CL30" s="1920">
        <f t="shared" ref="CL30:CL32" si="59">ROUND(BY30*E30,-3)</f>
        <v>0</v>
      </c>
      <c r="CM30" s="78">
        <f t="shared" ref="CM30:CM32" si="60">ROUND(BZ30*F30,-3)</f>
        <v>0</v>
      </c>
      <c r="CN30" s="78">
        <f t="shared" si="49"/>
        <v>0</v>
      </c>
      <c r="CO30" s="78">
        <f t="shared" si="49"/>
        <v>0</v>
      </c>
      <c r="CP30" s="78">
        <f t="shared" si="49"/>
        <v>0</v>
      </c>
      <c r="CQ30" s="78">
        <f t="shared" si="49"/>
        <v>0</v>
      </c>
      <c r="CR30" s="78">
        <f t="shared" si="49"/>
        <v>0</v>
      </c>
      <c r="CS30" s="78">
        <f t="shared" si="49"/>
        <v>0</v>
      </c>
      <c r="CT30" s="78">
        <f t="shared" si="49"/>
        <v>0</v>
      </c>
      <c r="CU30" s="78">
        <f t="shared" si="49"/>
        <v>0</v>
      </c>
      <c r="CV30" s="78">
        <f t="shared" si="49"/>
        <v>0</v>
      </c>
      <c r="CW30" s="131">
        <f t="shared" si="49"/>
        <v>0</v>
      </c>
    </row>
    <row r="31" spans="1:101" x14ac:dyDescent="0.2">
      <c r="A31" s="869" t="s">
        <v>6121</v>
      </c>
      <c r="B31" s="2352" t="s">
        <v>6300</v>
      </c>
      <c r="C31" s="2332"/>
      <c r="D31" s="2327" t="s">
        <v>6300</v>
      </c>
      <c r="E31" s="142"/>
      <c r="F31" s="33">
        <v>65000</v>
      </c>
      <c r="G31" s="33">
        <v>65000</v>
      </c>
      <c r="H31" s="33"/>
      <c r="I31" s="76"/>
      <c r="J31" s="76"/>
      <c r="K31" s="76"/>
      <c r="L31" s="33"/>
      <c r="M31" s="142"/>
      <c r="N31" s="33"/>
      <c r="O31" s="33"/>
      <c r="P31" s="102"/>
      <c r="Q31" s="142"/>
      <c r="R31" s="33"/>
      <c r="S31" s="33"/>
      <c r="T31" s="33"/>
      <c r="V31" s="186"/>
      <c r="W31" s="33"/>
      <c r="X31" s="99"/>
      <c r="Y31" s="33"/>
      <c r="Z31" s="102">
        <f>F31-V31-W31-X31-Y31</f>
        <v>65000</v>
      </c>
      <c r="AA31" s="142"/>
      <c r="AB31" s="33"/>
      <c r="AC31" s="33"/>
      <c r="AD31" s="33">
        <f>'Res-Gen'!I53</f>
        <v>65000</v>
      </c>
      <c r="AE31" s="102">
        <f>G31-AA31-AB31-AC31-AD31</f>
        <v>0</v>
      </c>
      <c r="AF31" s="142"/>
      <c r="AG31" s="33"/>
      <c r="AH31" s="33"/>
      <c r="AI31" s="33"/>
      <c r="AJ31" s="102">
        <f>H31-AF31-AG31-AH31-AI31</f>
        <v>0</v>
      </c>
      <c r="AK31" s="142"/>
      <c r="AL31" s="33"/>
      <c r="AM31" s="33"/>
      <c r="AN31" s="33"/>
      <c r="AO31" s="114">
        <f>I31-AK31-AL31-AM31-AN31</f>
        <v>0</v>
      </c>
      <c r="AP31" s="142"/>
      <c r="AQ31" s="33"/>
      <c r="AR31" s="33"/>
      <c r="AS31" s="33"/>
      <c r="AT31" s="102">
        <f>J31-AP31-AQ31-AR31-AS31</f>
        <v>0</v>
      </c>
      <c r="AV31" s="33"/>
      <c r="AW31" s="33"/>
      <c r="AX31" s="33"/>
      <c r="AY31" s="102">
        <f>K31-AU31-AV31-AW31-AX31</f>
        <v>0</v>
      </c>
      <c r="AZ31" s="142"/>
      <c r="BA31" s="33"/>
      <c r="BB31" s="33"/>
      <c r="BC31" s="33"/>
      <c r="BD31" s="102">
        <f>L31-AZ31-BA31-BB31-BC31</f>
        <v>0</v>
      </c>
      <c r="BE31" s="142"/>
      <c r="BF31" s="33"/>
      <c r="BG31" s="33"/>
      <c r="BH31" s="33"/>
      <c r="BI31" s="102">
        <f>M31-BE31-BF31-BG31-BH31</f>
        <v>0</v>
      </c>
      <c r="BJ31" s="142"/>
      <c r="BK31" s="33"/>
      <c r="BL31" s="33"/>
      <c r="BM31" s="33"/>
      <c r="BN31" s="102">
        <f>N31-BJ31-BK31-BL31-BM31</f>
        <v>0</v>
      </c>
      <c r="BO31" s="142"/>
      <c r="BP31" s="33"/>
      <c r="BQ31" s="33"/>
      <c r="BR31" s="33"/>
      <c r="BS31" s="102">
        <f>O31-BO31-BP31-BQ31-BR31</f>
        <v>0</v>
      </c>
      <c r="BT31" s="142"/>
      <c r="BU31" s="33"/>
      <c r="BV31" s="33"/>
      <c r="BW31" s="33"/>
      <c r="BX31" s="99">
        <f t="shared" si="46"/>
        <v>0</v>
      </c>
      <c r="BY31" s="2438">
        <v>0</v>
      </c>
      <c r="BZ31" s="1263">
        <f t="shared" si="50"/>
        <v>0</v>
      </c>
      <c r="CA31" s="1263">
        <f t="shared" si="51"/>
        <v>0</v>
      </c>
      <c r="CB31" s="1263">
        <f t="shared" si="52"/>
        <v>0</v>
      </c>
      <c r="CC31" s="1263">
        <f t="shared" si="53"/>
        <v>0</v>
      </c>
      <c r="CD31" s="1263">
        <f t="shared" si="54"/>
        <v>0</v>
      </c>
      <c r="CE31" s="1263">
        <f t="shared" si="55"/>
        <v>0</v>
      </c>
      <c r="CF31" s="1263">
        <f t="shared" si="56"/>
        <v>0</v>
      </c>
      <c r="CG31" s="1263">
        <f t="shared" si="57"/>
        <v>0</v>
      </c>
      <c r="CH31" s="1263">
        <f t="shared" si="58"/>
        <v>0</v>
      </c>
      <c r="CI31" s="1263">
        <f t="shared" si="48"/>
        <v>0</v>
      </c>
      <c r="CJ31" s="1263">
        <f t="shared" si="48"/>
        <v>0</v>
      </c>
      <c r="CK31" s="1263"/>
      <c r="CL31" s="1920">
        <f t="shared" si="59"/>
        <v>0</v>
      </c>
      <c r="CM31" s="78">
        <f t="shared" si="60"/>
        <v>0</v>
      </c>
      <c r="CN31" s="78">
        <f t="shared" si="49"/>
        <v>0</v>
      </c>
      <c r="CO31" s="78">
        <f t="shared" si="49"/>
        <v>0</v>
      </c>
      <c r="CP31" s="78">
        <f t="shared" si="49"/>
        <v>0</v>
      </c>
      <c r="CQ31" s="78">
        <f t="shared" si="49"/>
        <v>0</v>
      </c>
      <c r="CR31" s="78">
        <f t="shared" si="49"/>
        <v>0</v>
      </c>
      <c r="CS31" s="78">
        <f t="shared" si="49"/>
        <v>0</v>
      </c>
      <c r="CT31" s="78">
        <f t="shared" si="49"/>
        <v>0</v>
      </c>
      <c r="CU31" s="78">
        <f t="shared" si="49"/>
        <v>0</v>
      </c>
      <c r="CV31" s="78">
        <f t="shared" si="49"/>
        <v>0</v>
      </c>
      <c r="CW31" s="131">
        <f t="shared" si="49"/>
        <v>0</v>
      </c>
    </row>
    <row r="32" spans="1:101" x14ac:dyDescent="0.2">
      <c r="A32" s="869" t="s">
        <v>6291</v>
      </c>
      <c r="B32" s="2332" t="s">
        <v>6292</v>
      </c>
      <c r="C32" s="2332"/>
      <c r="D32" s="2327" t="s">
        <v>6292</v>
      </c>
      <c r="E32" s="142"/>
      <c r="F32" s="33">
        <v>5000</v>
      </c>
      <c r="G32" s="33"/>
      <c r="H32" s="33"/>
      <c r="I32" s="33"/>
      <c r="J32" s="33"/>
      <c r="K32" s="33"/>
      <c r="L32" s="33"/>
      <c r="M32" s="33"/>
      <c r="N32" s="33"/>
      <c r="O32" s="33"/>
      <c r="P32" s="102"/>
      <c r="Q32" s="142"/>
      <c r="R32" s="33"/>
      <c r="S32" s="33"/>
      <c r="T32" s="33"/>
      <c r="V32" s="186"/>
      <c r="W32" s="33"/>
      <c r="X32" s="99"/>
      <c r="Y32" s="33"/>
      <c r="Z32" s="102">
        <f>F32-V32-W32-X32-Y32</f>
        <v>5000</v>
      </c>
      <c r="AA32" s="142"/>
      <c r="AB32" s="33"/>
      <c r="AC32" s="33"/>
      <c r="AD32" s="33"/>
      <c r="AE32" s="102">
        <f>G32-AA32-AB32-AC32-AD32</f>
        <v>0</v>
      </c>
      <c r="AF32" s="142"/>
      <c r="AG32" s="33"/>
      <c r="AH32" s="33"/>
      <c r="AI32" s="33"/>
      <c r="AJ32" s="102">
        <f>H32-AF32-AG32-AH32-AI32</f>
        <v>0</v>
      </c>
      <c r="AK32" s="142"/>
      <c r="AL32" s="33"/>
      <c r="AM32" s="33"/>
      <c r="AN32" s="33"/>
      <c r="AO32" s="114">
        <f>I32-AK32-AL32-AM32-AN32</f>
        <v>0</v>
      </c>
      <c r="AP32" s="142"/>
      <c r="AQ32" s="33"/>
      <c r="AR32" s="33"/>
      <c r="AS32" s="33"/>
      <c r="AT32" s="102">
        <f>J32-AP32-AQ32-AR32-AS32</f>
        <v>0</v>
      </c>
      <c r="AV32" s="33"/>
      <c r="AW32" s="33"/>
      <c r="AX32" s="33"/>
      <c r="AY32" s="102">
        <f>K32-AU32-AV32-AW32-AX32</f>
        <v>0</v>
      </c>
      <c r="AZ32" s="142"/>
      <c r="BA32" s="33"/>
      <c r="BB32" s="33"/>
      <c r="BC32" s="33"/>
      <c r="BD32" s="102">
        <f>L32-AZ32-BA32-BB32-BC32</f>
        <v>0</v>
      </c>
      <c r="BE32" s="142"/>
      <c r="BF32" s="33"/>
      <c r="BG32" s="33"/>
      <c r="BH32" s="33"/>
      <c r="BI32" s="102">
        <f>M32-BE32-BF32-BG32-BH32</f>
        <v>0</v>
      </c>
      <c r="BJ32" s="142"/>
      <c r="BK32" s="33"/>
      <c r="BL32" s="33"/>
      <c r="BM32" s="33"/>
      <c r="BN32" s="102">
        <f>N32-BJ32-BK32-BL32-BM32</f>
        <v>0</v>
      </c>
      <c r="BO32" s="142"/>
      <c r="BP32" s="33"/>
      <c r="BQ32" s="33"/>
      <c r="BR32" s="33"/>
      <c r="BS32" s="102">
        <f>O32-BO32-BP32-BQ32-BR32</f>
        <v>0</v>
      </c>
      <c r="BT32" s="142"/>
      <c r="BU32" s="33"/>
      <c r="BV32" s="33"/>
      <c r="BW32" s="33"/>
      <c r="BX32" s="99">
        <f t="shared" si="46"/>
        <v>0</v>
      </c>
      <c r="BY32" s="2438">
        <v>0</v>
      </c>
      <c r="BZ32" s="1263">
        <f t="shared" ref="BZ32" si="61">BY32</f>
        <v>0</v>
      </c>
      <c r="CA32" s="1263">
        <f t="shared" ref="CA32" si="62">BZ32</f>
        <v>0</v>
      </c>
      <c r="CB32" s="1263">
        <f t="shared" ref="CB32" si="63">CA32</f>
        <v>0</v>
      </c>
      <c r="CC32" s="1263">
        <f t="shared" ref="CC32" si="64">CB32</f>
        <v>0</v>
      </c>
      <c r="CD32" s="1263">
        <f t="shared" ref="CD32" si="65">CC32</f>
        <v>0</v>
      </c>
      <c r="CE32" s="1263">
        <f t="shared" ref="CE32" si="66">CD32</f>
        <v>0</v>
      </c>
      <c r="CF32" s="1263">
        <f t="shared" ref="CF32" si="67">CE32</f>
        <v>0</v>
      </c>
      <c r="CG32" s="1263">
        <f t="shared" ref="CG32" si="68">CF32</f>
        <v>0</v>
      </c>
      <c r="CH32" s="1263">
        <f t="shared" ref="CH32" si="69">CG32</f>
        <v>0</v>
      </c>
      <c r="CI32" s="1263">
        <f t="shared" si="48"/>
        <v>0</v>
      </c>
      <c r="CJ32" s="1263">
        <f t="shared" si="48"/>
        <v>0</v>
      </c>
      <c r="CK32" s="1263"/>
      <c r="CL32" s="1920">
        <f t="shared" si="59"/>
        <v>0</v>
      </c>
      <c r="CM32" s="78">
        <f t="shared" si="60"/>
        <v>0</v>
      </c>
      <c r="CN32" s="78">
        <f t="shared" si="49"/>
        <v>0</v>
      </c>
      <c r="CO32" s="78">
        <f t="shared" si="49"/>
        <v>0</v>
      </c>
      <c r="CP32" s="78">
        <f t="shared" si="49"/>
        <v>0</v>
      </c>
      <c r="CQ32" s="78">
        <f t="shared" si="49"/>
        <v>0</v>
      </c>
      <c r="CR32" s="78">
        <f t="shared" si="49"/>
        <v>0</v>
      </c>
      <c r="CS32" s="78">
        <f t="shared" si="49"/>
        <v>0</v>
      </c>
      <c r="CT32" s="78">
        <f t="shared" si="49"/>
        <v>0</v>
      </c>
      <c r="CU32" s="78">
        <f t="shared" si="49"/>
        <v>0</v>
      </c>
      <c r="CV32" s="78">
        <f t="shared" si="49"/>
        <v>0</v>
      </c>
      <c r="CW32" s="131">
        <f t="shared" si="49"/>
        <v>0</v>
      </c>
    </row>
    <row r="33" spans="1:101" x14ac:dyDescent="0.2">
      <c r="A33" s="869"/>
      <c r="B33" s="2332"/>
      <c r="C33" s="2332"/>
      <c r="D33" s="2327"/>
      <c r="E33" s="142"/>
      <c r="F33" s="33"/>
      <c r="G33" s="33"/>
      <c r="H33" s="33"/>
      <c r="I33" s="76"/>
      <c r="J33" s="76"/>
      <c r="K33" s="76"/>
      <c r="L33" s="33"/>
      <c r="M33" s="142"/>
      <c r="N33" s="33"/>
      <c r="O33" s="33"/>
      <c r="P33" s="102"/>
      <c r="Q33" s="142"/>
      <c r="R33" s="33"/>
      <c r="S33" s="33"/>
      <c r="T33" s="33"/>
      <c r="V33" s="186"/>
      <c r="W33" s="33"/>
      <c r="X33" s="99"/>
      <c r="Y33" s="33"/>
      <c r="Z33" s="102"/>
      <c r="AA33" s="142"/>
      <c r="AB33" s="33"/>
      <c r="AC33" s="33"/>
      <c r="AD33" s="33"/>
      <c r="AE33" s="102"/>
      <c r="AF33" s="142"/>
      <c r="AG33" s="33"/>
      <c r="AH33" s="33"/>
      <c r="AI33" s="33"/>
      <c r="AJ33" s="102"/>
      <c r="AK33" s="142"/>
      <c r="AL33" s="33"/>
      <c r="AM33" s="33"/>
      <c r="AN33" s="33"/>
      <c r="AO33" s="114"/>
      <c r="AP33" s="142"/>
      <c r="AQ33" s="33"/>
      <c r="AR33" s="33"/>
      <c r="AS33" s="33"/>
      <c r="AT33" s="102"/>
      <c r="AV33" s="33"/>
      <c r="AW33" s="33"/>
      <c r="AX33" s="33"/>
      <c r="AY33" s="102"/>
      <c r="AZ33" s="142"/>
      <c r="BA33" s="33"/>
      <c r="BB33" s="33"/>
      <c r="BC33" s="33"/>
      <c r="BD33" s="102"/>
      <c r="BE33" s="142"/>
      <c r="BF33" s="33"/>
      <c r="BG33" s="33"/>
      <c r="BH33" s="33"/>
      <c r="BI33" s="102"/>
      <c r="BJ33" s="142"/>
      <c r="BK33" s="33"/>
      <c r="BL33" s="33"/>
      <c r="BM33" s="33"/>
      <c r="BN33" s="102"/>
      <c r="BO33" s="142"/>
      <c r="BP33" s="33"/>
      <c r="BQ33" s="33"/>
      <c r="BR33" s="33"/>
      <c r="BS33" s="102"/>
      <c r="BT33" s="142"/>
      <c r="BU33" s="33"/>
      <c r="BV33" s="33"/>
      <c r="BW33" s="33"/>
      <c r="BY33" s="2438"/>
      <c r="BZ33" s="1263"/>
      <c r="CA33" s="1263"/>
      <c r="CB33" s="1263"/>
      <c r="CC33" s="1263"/>
      <c r="CD33" s="1263"/>
      <c r="CE33" s="1263"/>
      <c r="CF33" s="1263"/>
      <c r="CG33" s="1263"/>
      <c r="CH33" s="1263"/>
      <c r="CI33" s="1263"/>
      <c r="CJ33" s="1263"/>
      <c r="CK33" s="1263"/>
      <c r="CL33" s="1920"/>
      <c r="CM33" s="78"/>
      <c r="CN33" s="78"/>
      <c r="CO33" s="78"/>
      <c r="CP33" s="78"/>
      <c r="CQ33" s="78"/>
      <c r="CR33" s="78"/>
      <c r="CS33" s="78"/>
      <c r="CT33" s="78"/>
      <c r="CU33" s="78"/>
      <c r="CV33" s="78"/>
      <c r="CW33" s="131"/>
    </row>
    <row r="34" spans="1:101" x14ac:dyDescent="0.2">
      <c r="A34" s="590" t="s">
        <v>3700</v>
      </c>
      <c r="B34" s="2332"/>
      <c r="C34" s="2332"/>
      <c r="D34" s="2327"/>
      <c r="E34" s="142"/>
      <c r="F34" s="33"/>
      <c r="G34" s="33"/>
      <c r="H34" s="33"/>
      <c r="I34" s="76"/>
      <c r="J34" s="76"/>
      <c r="K34" s="76"/>
      <c r="L34" s="33"/>
      <c r="M34" s="142"/>
      <c r="N34" s="33"/>
      <c r="O34" s="33"/>
      <c r="P34" s="102"/>
      <c r="Q34" s="142"/>
      <c r="R34" s="33"/>
      <c r="S34" s="33"/>
      <c r="T34" s="33"/>
      <c r="V34" s="186"/>
      <c r="W34" s="33"/>
      <c r="X34" s="99"/>
      <c r="Y34" s="33"/>
      <c r="Z34" s="102"/>
      <c r="AA34" s="142"/>
      <c r="AB34" s="33"/>
      <c r="AC34" s="33"/>
      <c r="AD34" s="33"/>
      <c r="AE34" s="102"/>
      <c r="AF34" s="142"/>
      <c r="AG34" s="33"/>
      <c r="AH34" s="33"/>
      <c r="AI34" s="33"/>
      <c r="AJ34" s="102"/>
      <c r="AK34" s="142"/>
      <c r="AL34" s="33"/>
      <c r="AM34" s="33"/>
      <c r="AN34" s="33"/>
      <c r="AO34" s="114"/>
      <c r="AP34" s="142"/>
      <c r="AQ34" s="33"/>
      <c r="AR34" s="33"/>
      <c r="AS34" s="33"/>
      <c r="AT34" s="102"/>
      <c r="AV34" s="33"/>
      <c r="AW34" s="33"/>
      <c r="AX34" s="33"/>
      <c r="AY34" s="102"/>
      <c r="AZ34" s="142"/>
      <c r="BA34" s="33"/>
      <c r="BB34" s="33"/>
      <c r="BC34" s="33"/>
      <c r="BD34" s="102"/>
      <c r="BE34" s="142"/>
      <c r="BF34" s="33"/>
      <c r="BG34" s="33"/>
      <c r="BH34" s="33"/>
      <c r="BI34" s="102"/>
      <c r="BJ34" s="142"/>
      <c r="BK34" s="33"/>
      <c r="BL34" s="33"/>
      <c r="BM34" s="33"/>
      <c r="BN34" s="102"/>
      <c r="BO34" s="142"/>
      <c r="BP34" s="33"/>
      <c r="BQ34" s="33"/>
      <c r="BR34" s="33"/>
      <c r="BS34" s="102"/>
      <c r="BT34" s="142"/>
      <c r="BU34" s="33"/>
      <c r="BV34" s="33"/>
      <c r="BW34" s="33"/>
      <c r="BY34" s="2438"/>
      <c r="BZ34" s="1263"/>
      <c r="CA34" s="1263"/>
      <c r="CB34" s="1263"/>
      <c r="CC34" s="1263"/>
      <c r="CD34" s="1263"/>
      <c r="CE34" s="1263"/>
      <c r="CF34" s="1263"/>
      <c r="CG34" s="1263"/>
      <c r="CH34" s="1263"/>
      <c r="CI34" s="1263"/>
      <c r="CJ34" s="1263"/>
      <c r="CK34" s="1263"/>
      <c r="CL34" s="1920"/>
      <c r="CM34" s="78"/>
      <c r="CN34" s="78"/>
      <c r="CO34" s="78"/>
      <c r="CP34" s="78"/>
      <c r="CQ34" s="78"/>
      <c r="CR34" s="78"/>
      <c r="CS34" s="78"/>
      <c r="CT34" s="78"/>
      <c r="CU34" s="78"/>
      <c r="CV34" s="78"/>
      <c r="CW34" s="131"/>
    </row>
    <row r="35" spans="1:101" x14ac:dyDescent="0.2">
      <c r="A35" s="869" t="s">
        <v>7132</v>
      </c>
      <c r="B35" s="2332" t="s">
        <v>7119</v>
      </c>
      <c r="C35" s="2332"/>
      <c r="D35" s="2327" t="s">
        <v>7119</v>
      </c>
      <c r="E35" s="142"/>
      <c r="F35" s="33">
        <v>26500</v>
      </c>
      <c r="G35" s="33"/>
      <c r="H35" s="33"/>
      <c r="I35" s="76"/>
      <c r="J35" s="76"/>
      <c r="K35" s="76"/>
      <c r="L35" s="33"/>
      <c r="M35" s="142"/>
      <c r="N35" s="33"/>
      <c r="O35" s="33"/>
      <c r="P35" s="102"/>
      <c r="Q35" s="142"/>
      <c r="R35" s="33"/>
      <c r="S35" s="33"/>
      <c r="T35" s="33"/>
      <c r="V35" s="186"/>
      <c r="W35" s="33"/>
      <c r="X35" s="99"/>
      <c r="Y35" s="33"/>
      <c r="Z35" s="102">
        <f t="shared" ref="Z35:Z36" si="70">F35-V35-W35-X35-Y35</f>
        <v>26500</v>
      </c>
      <c r="AA35" s="142"/>
      <c r="AB35" s="33"/>
      <c r="AC35" s="33"/>
      <c r="AD35" s="33"/>
      <c r="AE35" s="102"/>
      <c r="AF35" s="142"/>
      <c r="AG35" s="33"/>
      <c r="AH35" s="33"/>
      <c r="AI35" s="33"/>
      <c r="AJ35" s="102"/>
      <c r="AK35" s="142"/>
      <c r="AL35" s="33"/>
      <c r="AM35" s="33"/>
      <c r="AN35" s="33"/>
      <c r="AO35" s="114"/>
      <c r="AP35" s="142"/>
      <c r="AQ35" s="33"/>
      <c r="AR35" s="33"/>
      <c r="AS35" s="33"/>
      <c r="AT35" s="102"/>
      <c r="AV35" s="33"/>
      <c r="AW35" s="33"/>
      <c r="AX35" s="33"/>
      <c r="AY35" s="102"/>
      <c r="AZ35" s="142"/>
      <c r="BA35" s="33"/>
      <c r="BB35" s="33"/>
      <c r="BC35" s="33"/>
      <c r="BD35" s="102"/>
      <c r="BE35" s="142"/>
      <c r="BF35" s="33"/>
      <c r="BG35" s="33"/>
      <c r="BH35" s="33"/>
      <c r="BI35" s="102"/>
      <c r="BJ35" s="142"/>
      <c r="BK35" s="33"/>
      <c r="BL35" s="33"/>
      <c r="BM35" s="33"/>
      <c r="BN35" s="102"/>
      <c r="BO35" s="142"/>
      <c r="BP35" s="33"/>
      <c r="BQ35" s="33"/>
      <c r="BR35" s="33"/>
      <c r="BS35" s="102"/>
      <c r="BT35" s="142"/>
      <c r="BU35" s="33"/>
      <c r="BV35" s="33"/>
      <c r="BW35" s="33"/>
      <c r="BY35" s="2438">
        <v>0</v>
      </c>
      <c r="BZ35" s="1263">
        <f t="shared" ref="BZ35:BZ36" si="71">BY35</f>
        <v>0</v>
      </c>
      <c r="CA35" s="1263">
        <f t="shared" ref="CA35:CA36" si="72">BZ35</f>
        <v>0</v>
      </c>
      <c r="CB35" s="1263">
        <f t="shared" ref="CB35:CB36" si="73">CA35</f>
        <v>0</v>
      </c>
      <c r="CC35" s="1263">
        <f t="shared" ref="CC35:CC36" si="74">CB35</f>
        <v>0</v>
      </c>
      <c r="CD35" s="1263">
        <f t="shared" ref="CD35:CD36" si="75">CC35</f>
        <v>0</v>
      </c>
      <c r="CE35" s="1263">
        <f t="shared" ref="CE35:CE36" si="76">CD35</f>
        <v>0</v>
      </c>
      <c r="CF35" s="1263">
        <f t="shared" ref="CF35:CF36" si="77">CE35</f>
        <v>0</v>
      </c>
      <c r="CG35" s="1263">
        <f t="shared" ref="CG35:CG36" si="78">CF35</f>
        <v>0</v>
      </c>
      <c r="CH35" s="1263">
        <f t="shared" ref="CH35:CH36" si="79">CG35</f>
        <v>0</v>
      </c>
      <c r="CI35" s="1263">
        <f t="shared" ref="CI35:CI36" si="80">CH35</f>
        <v>0</v>
      </c>
      <c r="CJ35" s="1263">
        <f t="shared" ref="CJ35:CJ36" si="81">CI35</f>
        <v>0</v>
      </c>
      <c r="CK35" s="1263"/>
      <c r="CL35" s="1920">
        <f t="shared" ref="CL35:CL36" si="82">ROUND(BY35*E35,-3)</f>
        <v>0</v>
      </c>
      <c r="CM35" s="78">
        <f t="shared" ref="CM35:CM36" si="83">ROUND(BZ35*F35,-3)</f>
        <v>0</v>
      </c>
      <c r="CN35" s="78">
        <f t="shared" ref="CN35:CN36" si="84">ROUND(CA35*G35,-3)</f>
        <v>0</v>
      </c>
      <c r="CO35" s="78">
        <f t="shared" ref="CO35:CO36" si="85">ROUND(CB35*H35,-3)</f>
        <v>0</v>
      </c>
      <c r="CP35" s="78">
        <f t="shared" ref="CP35:CP36" si="86">ROUND(CC35*I35,-3)</f>
        <v>0</v>
      </c>
      <c r="CQ35" s="78">
        <f t="shared" ref="CQ35:CQ36" si="87">ROUND(CD35*J35,-3)</f>
        <v>0</v>
      </c>
      <c r="CR35" s="78">
        <f t="shared" ref="CR35:CR36" si="88">ROUND(CE35*K35,-3)</f>
        <v>0</v>
      </c>
      <c r="CS35" s="78">
        <f t="shared" ref="CS35:CS36" si="89">ROUND(CF35*L35,-3)</f>
        <v>0</v>
      </c>
      <c r="CT35" s="78">
        <f t="shared" ref="CT35:CT36" si="90">ROUND(CG35*M35,-3)</f>
        <v>0</v>
      </c>
      <c r="CU35" s="78">
        <f t="shared" ref="CU35:CU36" si="91">ROUND(CH35*N35,-3)</f>
        <v>0</v>
      </c>
      <c r="CV35" s="78">
        <f t="shared" ref="CV35:CV36" si="92">ROUND(CI35*O35,-3)</f>
        <v>0</v>
      </c>
      <c r="CW35" s="131">
        <f t="shared" ref="CW35:CW36" si="93">ROUND(CJ35*P35,-3)</f>
        <v>0</v>
      </c>
    </row>
    <row r="36" spans="1:101" x14ac:dyDescent="0.2">
      <c r="A36" s="869" t="s">
        <v>7133</v>
      </c>
      <c r="B36" s="2332" t="s">
        <v>7120</v>
      </c>
      <c r="C36" s="2332"/>
      <c r="D36" s="2327" t="s">
        <v>7120</v>
      </c>
      <c r="E36" s="142"/>
      <c r="F36" s="33">
        <v>9600</v>
      </c>
      <c r="G36" s="33"/>
      <c r="H36" s="33"/>
      <c r="I36" s="76"/>
      <c r="J36" s="76"/>
      <c r="K36" s="76"/>
      <c r="L36" s="33"/>
      <c r="M36" s="142"/>
      <c r="N36" s="33"/>
      <c r="O36" s="33"/>
      <c r="P36" s="102"/>
      <c r="Q36" s="142"/>
      <c r="R36" s="33"/>
      <c r="S36" s="33"/>
      <c r="T36" s="33"/>
      <c r="V36" s="186"/>
      <c r="W36" s="33"/>
      <c r="X36" s="99"/>
      <c r="Y36" s="33"/>
      <c r="Z36" s="102">
        <f t="shared" si="70"/>
        <v>9600</v>
      </c>
      <c r="AA36" s="142"/>
      <c r="AB36" s="33"/>
      <c r="AC36" s="33"/>
      <c r="AD36" s="33"/>
      <c r="AE36" s="102"/>
      <c r="AF36" s="142"/>
      <c r="AG36" s="33"/>
      <c r="AH36" s="33"/>
      <c r="AI36" s="33"/>
      <c r="AJ36" s="102"/>
      <c r="AK36" s="142"/>
      <c r="AL36" s="33"/>
      <c r="AM36" s="33"/>
      <c r="AN36" s="33"/>
      <c r="AO36" s="114"/>
      <c r="AP36" s="142"/>
      <c r="AQ36" s="33"/>
      <c r="AR36" s="33"/>
      <c r="AS36" s="33"/>
      <c r="AT36" s="102"/>
      <c r="AV36" s="33"/>
      <c r="AW36" s="33"/>
      <c r="AX36" s="33"/>
      <c r="AY36" s="102"/>
      <c r="AZ36" s="142"/>
      <c r="BA36" s="33"/>
      <c r="BB36" s="33"/>
      <c r="BC36" s="33"/>
      <c r="BD36" s="102"/>
      <c r="BE36" s="142"/>
      <c r="BF36" s="33"/>
      <c r="BG36" s="33"/>
      <c r="BH36" s="33"/>
      <c r="BI36" s="102"/>
      <c r="BJ36" s="142"/>
      <c r="BK36" s="33"/>
      <c r="BL36" s="33"/>
      <c r="BM36" s="33"/>
      <c r="BN36" s="102"/>
      <c r="BO36" s="142"/>
      <c r="BP36" s="33"/>
      <c r="BQ36" s="33"/>
      <c r="BR36" s="33"/>
      <c r="BS36" s="102"/>
      <c r="BT36" s="142"/>
      <c r="BU36" s="33"/>
      <c r="BV36" s="33"/>
      <c r="BW36" s="33"/>
      <c r="BY36" s="2438">
        <v>0</v>
      </c>
      <c r="BZ36" s="1263">
        <f t="shared" si="71"/>
        <v>0</v>
      </c>
      <c r="CA36" s="1263">
        <f t="shared" si="72"/>
        <v>0</v>
      </c>
      <c r="CB36" s="1263">
        <f t="shared" si="73"/>
        <v>0</v>
      </c>
      <c r="CC36" s="1263">
        <f t="shared" si="74"/>
        <v>0</v>
      </c>
      <c r="CD36" s="1263">
        <f t="shared" si="75"/>
        <v>0</v>
      </c>
      <c r="CE36" s="1263">
        <f t="shared" si="76"/>
        <v>0</v>
      </c>
      <c r="CF36" s="1263">
        <f t="shared" si="77"/>
        <v>0</v>
      </c>
      <c r="CG36" s="1263">
        <f t="shared" si="78"/>
        <v>0</v>
      </c>
      <c r="CH36" s="1263">
        <f t="shared" si="79"/>
        <v>0</v>
      </c>
      <c r="CI36" s="1263">
        <f t="shared" si="80"/>
        <v>0</v>
      </c>
      <c r="CJ36" s="1263">
        <f t="shared" si="81"/>
        <v>0</v>
      </c>
      <c r="CK36" s="1263"/>
      <c r="CL36" s="1920">
        <f t="shared" si="82"/>
        <v>0</v>
      </c>
      <c r="CM36" s="78">
        <f t="shared" si="83"/>
        <v>0</v>
      </c>
      <c r="CN36" s="78">
        <f t="shared" si="84"/>
        <v>0</v>
      </c>
      <c r="CO36" s="78">
        <f t="shared" si="85"/>
        <v>0</v>
      </c>
      <c r="CP36" s="78">
        <f t="shared" si="86"/>
        <v>0</v>
      </c>
      <c r="CQ36" s="78">
        <f t="shared" si="87"/>
        <v>0</v>
      </c>
      <c r="CR36" s="78">
        <f t="shared" si="88"/>
        <v>0</v>
      </c>
      <c r="CS36" s="78">
        <f t="shared" si="89"/>
        <v>0</v>
      </c>
      <c r="CT36" s="78">
        <f t="shared" si="90"/>
        <v>0</v>
      </c>
      <c r="CU36" s="78">
        <f t="shared" si="91"/>
        <v>0</v>
      </c>
      <c r="CV36" s="78">
        <f t="shared" si="92"/>
        <v>0</v>
      </c>
      <c r="CW36" s="131">
        <f t="shared" si="93"/>
        <v>0</v>
      </c>
    </row>
    <row r="37" spans="1:101" x14ac:dyDescent="0.2">
      <c r="A37" s="413"/>
      <c r="B37" s="2354"/>
      <c r="C37" s="2334"/>
      <c r="D37" s="2327"/>
      <c r="E37" s="142"/>
      <c r="F37" s="33"/>
      <c r="G37" s="33"/>
      <c r="H37" s="33"/>
      <c r="I37" s="76"/>
      <c r="J37" s="76"/>
      <c r="K37" s="76"/>
      <c r="L37" s="33"/>
      <c r="M37" s="142"/>
      <c r="N37" s="33"/>
      <c r="O37" s="33"/>
      <c r="P37" s="102"/>
      <c r="Q37" s="142"/>
      <c r="R37" s="33"/>
      <c r="S37" s="33"/>
      <c r="T37" s="33"/>
      <c r="V37" s="186"/>
      <c r="W37" s="33"/>
      <c r="X37" s="99"/>
      <c r="Y37" s="33"/>
      <c r="Z37" s="102"/>
      <c r="AA37" s="142"/>
      <c r="AB37" s="33"/>
      <c r="AC37" s="33"/>
      <c r="AD37" s="33"/>
      <c r="AE37" s="102"/>
      <c r="AF37" s="142"/>
      <c r="AG37" s="33"/>
      <c r="AH37" s="33"/>
      <c r="AI37" s="33"/>
      <c r="AJ37" s="102"/>
      <c r="AK37" s="142"/>
      <c r="AL37" s="33"/>
      <c r="AM37" s="33"/>
      <c r="AN37" s="33"/>
      <c r="AO37" s="114"/>
      <c r="AP37" s="142"/>
      <c r="AQ37" s="33"/>
      <c r="AR37" s="33"/>
      <c r="AS37" s="33"/>
      <c r="AT37" s="102"/>
      <c r="AV37" s="33"/>
      <c r="AW37" s="33"/>
      <c r="AX37" s="33"/>
      <c r="AY37" s="102">
        <f>K37-AU37-AV37-AW37-AX37</f>
        <v>0</v>
      </c>
      <c r="AZ37" s="142"/>
      <c r="BA37" s="33"/>
      <c r="BB37" s="33"/>
      <c r="BC37" s="33"/>
      <c r="BD37" s="102">
        <f>L37-AZ37-BA37-BB37-BC37</f>
        <v>0</v>
      </c>
      <c r="BE37" s="142"/>
      <c r="BF37" s="33"/>
      <c r="BG37" s="33"/>
      <c r="BH37" s="33"/>
      <c r="BI37" s="102">
        <f>M37-BE37-BF37-BG37-BH37</f>
        <v>0</v>
      </c>
      <c r="BJ37" s="142"/>
      <c r="BK37" s="33"/>
      <c r="BL37" s="33"/>
      <c r="BM37" s="33"/>
      <c r="BN37" s="102">
        <f>N37-BJ37-BK37-BL37-BM37</f>
        <v>0</v>
      </c>
      <c r="BO37" s="142"/>
      <c r="BP37" s="33"/>
      <c r="BQ37" s="33"/>
      <c r="BR37" s="33"/>
      <c r="BS37" s="102">
        <f>O37-BO37-BP37-BQ37-BR37</f>
        <v>0</v>
      </c>
      <c r="BT37" s="142"/>
      <c r="BU37" s="33"/>
      <c r="BV37" s="33"/>
      <c r="BW37" s="33"/>
      <c r="BX37" s="99">
        <f t="shared" si="46"/>
        <v>0</v>
      </c>
      <c r="BY37" s="2438"/>
      <c r="BZ37" s="1263"/>
      <c r="CA37" s="1263"/>
      <c r="CB37" s="1263"/>
      <c r="CC37" s="1263"/>
      <c r="CD37" s="1263"/>
      <c r="CE37" s="1263"/>
      <c r="CF37" s="1263"/>
      <c r="CG37" s="1263"/>
      <c r="CH37" s="1263"/>
      <c r="CI37" s="1263"/>
      <c r="CJ37" s="1263"/>
      <c r="CK37" s="1263"/>
      <c r="CL37" s="1920"/>
      <c r="CM37" s="78"/>
      <c r="CN37" s="78"/>
      <c r="CO37" s="78"/>
      <c r="CP37" s="78"/>
      <c r="CQ37" s="78"/>
      <c r="CR37" s="78"/>
      <c r="CS37" s="78"/>
      <c r="CT37" s="78"/>
      <c r="CU37" s="78"/>
      <c r="CV37" s="78"/>
      <c r="CW37" s="131"/>
    </row>
    <row r="38" spans="1:101" x14ac:dyDescent="0.2">
      <c r="A38" s="590" t="s">
        <v>3289</v>
      </c>
      <c r="B38" s="2354"/>
      <c r="C38" s="2335"/>
      <c r="D38" s="2388"/>
      <c r="E38" s="142"/>
      <c r="F38" s="33"/>
      <c r="G38" s="33"/>
      <c r="H38" s="33"/>
      <c r="I38" s="76"/>
      <c r="J38" s="76"/>
      <c r="K38" s="76"/>
      <c r="L38" s="76"/>
      <c r="M38" s="33"/>
      <c r="N38" s="33"/>
      <c r="O38" s="33"/>
      <c r="P38" s="102"/>
      <c r="Q38" s="142"/>
      <c r="R38" s="33"/>
      <c r="S38" s="33"/>
      <c r="T38" s="33"/>
      <c r="V38" s="186"/>
      <c r="W38" s="33"/>
      <c r="X38" s="99"/>
      <c r="Y38" s="33"/>
      <c r="Z38" s="102"/>
      <c r="AA38" s="142"/>
      <c r="AB38" s="33"/>
      <c r="AC38" s="33"/>
      <c r="AD38" s="33"/>
      <c r="AE38" s="102"/>
      <c r="AF38" s="142"/>
      <c r="AG38" s="33"/>
      <c r="AH38" s="33"/>
      <c r="AI38" s="33"/>
      <c r="AJ38" s="102"/>
      <c r="AK38" s="142"/>
      <c r="AL38" s="33"/>
      <c r="AM38" s="33"/>
      <c r="AN38" s="33"/>
      <c r="AO38" s="114"/>
      <c r="AP38" s="142"/>
      <c r="AQ38" s="33"/>
      <c r="AR38" s="33"/>
      <c r="AS38" s="33"/>
      <c r="AT38" s="102"/>
      <c r="AV38" s="33"/>
      <c r="AW38" s="33"/>
      <c r="AX38" s="33"/>
      <c r="AY38" s="102"/>
      <c r="AZ38" s="142"/>
      <c r="BA38" s="33"/>
      <c r="BB38" s="33"/>
      <c r="BC38" s="33"/>
      <c r="BD38" s="102"/>
      <c r="BE38" s="142"/>
      <c r="BF38" s="33"/>
      <c r="BG38" s="33"/>
      <c r="BH38" s="33"/>
      <c r="BI38" s="102"/>
      <c r="BJ38" s="142"/>
      <c r="BK38" s="33"/>
      <c r="BL38" s="33"/>
      <c r="BM38" s="33"/>
      <c r="BN38" s="102"/>
      <c r="BO38" s="142"/>
      <c r="BP38" s="33"/>
      <c r="BQ38" s="33"/>
      <c r="BR38" s="33"/>
      <c r="BS38" s="102"/>
      <c r="BT38" s="142"/>
      <c r="BU38" s="33"/>
      <c r="BV38" s="33"/>
      <c r="BW38" s="33"/>
      <c r="BY38" s="2437"/>
      <c r="BZ38" s="1263"/>
      <c r="CA38" s="1263"/>
      <c r="CB38" s="1263"/>
      <c r="CC38" s="740"/>
      <c r="CD38" s="740"/>
      <c r="CE38" s="740"/>
      <c r="CF38" s="740"/>
      <c r="CG38" s="740"/>
      <c r="CH38" s="740"/>
      <c r="CI38" s="740"/>
      <c r="CJ38" s="740"/>
      <c r="CK38" s="740"/>
      <c r="CL38" s="502"/>
      <c r="CM38" s="99"/>
      <c r="CN38" s="99"/>
      <c r="CO38" s="99"/>
      <c r="CP38" s="99"/>
      <c r="CQ38" s="99"/>
      <c r="CR38" s="99"/>
      <c r="CS38" s="99"/>
      <c r="CT38" s="99"/>
      <c r="CU38" s="99"/>
      <c r="CV38" s="99"/>
      <c r="CW38" s="114"/>
    </row>
    <row r="39" spans="1:101" x14ac:dyDescent="0.2">
      <c r="A39" s="869" t="s">
        <v>2421</v>
      </c>
      <c r="B39" s="2355" t="s">
        <v>440</v>
      </c>
      <c r="C39" s="2332" t="s">
        <v>5076</v>
      </c>
      <c r="D39" s="2329" t="s">
        <v>440</v>
      </c>
      <c r="E39" s="142">
        <v>2800</v>
      </c>
      <c r="F39" s="33">
        <v>100000</v>
      </c>
      <c r="G39" s="33"/>
      <c r="H39" s="33"/>
      <c r="I39" s="76">
        <v>4500000</v>
      </c>
      <c r="J39" s="76"/>
      <c r="K39" s="76"/>
      <c r="L39" s="76"/>
      <c r="M39" s="33"/>
      <c r="N39" s="33"/>
      <c r="O39" s="33"/>
      <c r="P39" s="102"/>
      <c r="Q39" s="142"/>
      <c r="R39" s="33"/>
      <c r="S39" s="33"/>
      <c r="T39" s="33">
        <f>E39</f>
        <v>2800</v>
      </c>
      <c r="U39" s="99">
        <f>E39-Q39-R39-S39-T39</f>
        <v>0</v>
      </c>
      <c r="V39" s="186"/>
      <c r="W39" s="33"/>
      <c r="X39" s="99"/>
      <c r="Y39" s="33">
        <f>F39</f>
        <v>100000</v>
      </c>
      <c r="Z39" s="102">
        <f t="shared" ref="Z39:Z45" si="94">F39-V39-W39-X39-Y39</f>
        <v>0</v>
      </c>
      <c r="AA39" s="142"/>
      <c r="AB39" s="33"/>
      <c r="AC39" s="33"/>
      <c r="AD39" s="33">
        <f t="shared" ref="AD39:AD45" si="95">G39</f>
        <v>0</v>
      </c>
      <c r="AE39" s="102">
        <f t="shared" ref="AE39:AE45" si="96">G39-AA39-AB39-AC39-AD39</f>
        <v>0</v>
      </c>
      <c r="AF39" s="142"/>
      <c r="AG39" s="33"/>
      <c r="AH39" s="33"/>
      <c r="AI39" s="33">
        <f t="shared" ref="AI39:AI45" si="97">H39</f>
        <v>0</v>
      </c>
      <c r="AJ39" s="102">
        <f t="shared" ref="AJ39:AJ45" si="98">H39-AF39-AG39-AH39-AI39</f>
        <v>0</v>
      </c>
      <c r="AK39" s="142"/>
      <c r="AL39" s="33"/>
      <c r="AM39" s="33"/>
      <c r="AN39" s="33">
        <f>I39</f>
        <v>4500000</v>
      </c>
      <c r="AO39" s="114">
        <f t="shared" ref="AO39:AO45" si="99">I39-AK39-AL39-AM39-AN39</f>
        <v>0</v>
      </c>
      <c r="AP39" s="142"/>
      <c r="AQ39" s="33"/>
      <c r="AR39" s="33"/>
      <c r="AS39" s="33">
        <f>J39</f>
        <v>0</v>
      </c>
      <c r="AT39" s="102">
        <f>J39-AP39-AQ39-AR39-AS39</f>
        <v>0</v>
      </c>
      <c r="AV39" s="33"/>
      <c r="AW39" s="33"/>
      <c r="AX39" s="33">
        <f>K39</f>
        <v>0</v>
      </c>
      <c r="AY39" s="102">
        <f>K39-AU39-AV39-AW39-AX39</f>
        <v>0</v>
      </c>
      <c r="AZ39" s="142"/>
      <c r="BA39" s="33"/>
      <c r="BB39" s="33"/>
      <c r="BC39" s="33">
        <f>L39</f>
        <v>0</v>
      </c>
      <c r="BD39" s="102">
        <f>L39-AZ39-BA39-BB39-BC39</f>
        <v>0</v>
      </c>
      <c r="BE39" s="142"/>
      <c r="BF39" s="33"/>
      <c r="BG39" s="33"/>
      <c r="BH39" s="33">
        <f>M39</f>
        <v>0</v>
      </c>
      <c r="BI39" s="102">
        <f>M39-BE39-BF39-BG39-BH39</f>
        <v>0</v>
      </c>
      <c r="BJ39" s="142"/>
      <c r="BK39" s="33"/>
      <c r="BL39" s="33"/>
      <c r="BM39" s="33">
        <f>N39</f>
        <v>0</v>
      </c>
      <c r="BN39" s="102">
        <f>N39-BJ39-BK39-BL39-BM39</f>
        <v>0</v>
      </c>
      <c r="BO39" s="142"/>
      <c r="BP39" s="33"/>
      <c r="BQ39" s="33"/>
      <c r="BR39" s="33">
        <f>O39</f>
        <v>0</v>
      </c>
      <c r="BS39" s="102">
        <f>O39-BO39-BP39-BQ39-BR39</f>
        <v>0</v>
      </c>
      <c r="BT39" s="142"/>
      <c r="BU39" s="33"/>
      <c r="BV39" s="33"/>
      <c r="BW39" s="33">
        <f>U39</f>
        <v>0</v>
      </c>
      <c r="BX39" s="99">
        <f t="shared" ref="BX39:BX40" si="100">P39-BT39-BU39-BV39-BW39</f>
        <v>0</v>
      </c>
      <c r="BY39" s="2438">
        <v>0</v>
      </c>
      <c r="BZ39" s="1263">
        <f t="shared" ref="BZ39:CH39" si="101">BY39</f>
        <v>0</v>
      </c>
      <c r="CA39" s="1263">
        <f t="shared" si="101"/>
        <v>0</v>
      </c>
      <c r="CB39" s="1263">
        <f t="shared" si="101"/>
        <v>0</v>
      </c>
      <c r="CC39" s="1263">
        <f t="shared" si="101"/>
        <v>0</v>
      </c>
      <c r="CD39" s="1263">
        <f t="shared" si="101"/>
        <v>0</v>
      </c>
      <c r="CE39" s="1263">
        <f t="shared" si="101"/>
        <v>0</v>
      </c>
      <c r="CF39" s="1263">
        <f t="shared" si="101"/>
        <v>0</v>
      </c>
      <c r="CG39" s="1263">
        <f t="shared" si="101"/>
        <v>0</v>
      </c>
      <c r="CH39" s="1263">
        <f t="shared" si="101"/>
        <v>0</v>
      </c>
      <c r="CI39" s="1263">
        <f t="shared" ref="CI39:CJ45" si="102">CH39</f>
        <v>0</v>
      </c>
      <c r="CJ39" s="1263">
        <f t="shared" si="102"/>
        <v>0</v>
      </c>
      <c r="CK39" s="1263"/>
      <c r="CL39" s="1920">
        <f t="shared" ref="CL39:CW45" si="103">ROUND(BY39*E39,-3)</f>
        <v>0</v>
      </c>
      <c r="CM39" s="78">
        <f t="shared" si="103"/>
        <v>0</v>
      </c>
      <c r="CN39" s="78">
        <f t="shared" si="103"/>
        <v>0</v>
      </c>
      <c r="CO39" s="78">
        <f t="shared" si="103"/>
        <v>0</v>
      </c>
      <c r="CP39" s="78">
        <f t="shared" si="103"/>
        <v>0</v>
      </c>
      <c r="CQ39" s="78">
        <f t="shared" si="103"/>
        <v>0</v>
      </c>
      <c r="CR39" s="78">
        <f t="shared" si="103"/>
        <v>0</v>
      </c>
      <c r="CS39" s="78">
        <f t="shared" si="103"/>
        <v>0</v>
      </c>
      <c r="CT39" s="78">
        <f t="shared" si="103"/>
        <v>0</v>
      </c>
      <c r="CU39" s="78">
        <f t="shared" si="103"/>
        <v>0</v>
      </c>
      <c r="CV39" s="78">
        <f t="shared" si="103"/>
        <v>0</v>
      </c>
      <c r="CW39" s="131">
        <f t="shared" si="103"/>
        <v>0</v>
      </c>
    </row>
    <row r="40" spans="1:101" ht="14.25" customHeight="1" x14ac:dyDescent="0.2">
      <c r="A40" s="869" t="s">
        <v>2611</v>
      </c>
      <c r="B40" s="2352" t="s">
        <v>3457</v>
      </c>
      <c r="C40" s="2332" t="s">
        <v>5076</v>
      </c>
      <c r="D40" s="2327"/>
      <c r="E40" s="142">
        <v>155400</v>
      </c>
      <c r="F40" s="33"/>
      <c r="G40" s="33">
        <v>3000000</v>
      </c>
      <c r="H40" s="33"/>
      <c r="I40" s="76"/>
      <c r="J40" s="76">
        <v>950000</v>
      </c>
      <c r="K40" s="76"/>
      <c r="L40" s="76"/>
      <c r="M40" s="33">
        <v>1000000</v>
      </c>
      <c r="N40" s="33"/>
      <c r="O40" s="33"/>
      <c r="P40" s="102"/>
      <c r="Q40" s="142"/>
      <c r="R40" s="33"/>
      <c r="S40" s="33"/>
      <c r="T40" s="33">
        <f>E40</f>
        <v>155400</v>
      </c>
      <c r="U40" s="99">
        <f>E40-Q40-R40-S40-T40</f>
        <v>0</v>
      </c>
      <c r="V40" s="186"/>
      <c r="W40" s="33"/>
      <c r="X40" s="99"/>
      <c r="Y40" s="33"/>
      <c r="Z40" s="102">
        <f t="shared" si="94"/>
        <v>0</v>
      </c>
      <c r="AA40" s="142"/>
      <c r="AB40" s="33"/>
      <c r="AC40" s="33"/>
      <c r="AD40" s="33">
        <f t="shared" si="95"/>
        <v>3000000</v>
      </c>
      <c r="AE40" s="102">
        <f t="shared" si="96"/>
        <v>0</v>
      </c>
      <c r="AF40" s="142"/>
      <c r="AG40" s="33"/>
      <c r="AH40" s="33"/>
      <c r="AI40" s="33">
        <f t="shared" si="97"/>
        <v>0</v>
      </c>
      <c r="AJ40" s="102">
        <f t="shared" si="98"/>
        <v>0</v>
      </c>
      <c r="AK40" s="142"/>
      <c r="AL40" s="33"/>
      <c r="AM40" s="33"/>
      <c r="AN40" s="33">
        <f>I40</f>
        <v>0</v>
      </c>
      <c r="AO40" s="114">
        <f t="shared" si="99"/>
        <v>0</v>
      </c>
      <c r="AP40" s="142"/>
      <c r="AQ40" s="33"/>
      <c r="AR40" s="33"/>
      <c r="AS40" s="33">
        <f>J40</f>
        <v>950000</v>
      </c>
      <c r="AT40" s="102">
        <f>J40-AP40-AQ40-AR40-AS40</f>
        <v>0</v>
      </c>
      <c r="AV40" s="33"/>
      <c r="AW40" s="33"/>
      <c r="AX40" s="33">
        <f>K40</f>
        <v>0</v>
      </c>
      <c r="AY40" s="102">
        <f>K40-AU40-AV40-AW40-AX40</f>
        <v>0</v>
      </c>
      <c r="AZ40" s="142"/>
      <c r="BA40" s="33"/>
      <c r="BB40" s="33"/>
      <c r="BC40" s="33">
        <f>L40</f>
        <v>0</v>
      </c>
      <c r="BD40" s="102">
        <f>L40-AZ40-BA40-BB40-BC40</f>
        <v>0</v>
      </c>
      <c r="BE40" s="142"/>
      <c r="BF40" s="33"/>
      <c r="BG40" s="33"/>
      <c r="BH40" s="33">
        <f>M40</f>
        <v>1000000</v>
      </c>
      <c r="BI40" s="102">
        <f>M40-BE40-BF40-BG40-BH40</f>
        <v>0</v>
      </c>
      <c r="BJ40" s="142"/>
      <c r="BK40" s="33"/>
      <c r="BL40" s="33"/>
      <c r="BM40" s="33">
        <f>N40</f>
        <v>0</v>
      </c>
      <c r="BN40" s="102">
        <f>N40-BJ40-BK40-BL40-BM40</f>
        <v>0</v>
      </c>
      <c r="BO40" s="142"/>
      <c r="BP40" s="33"/>
      <c r="BQ40" s="33"/>
      <c r="BR40" s="33">
        <f>O40</f>
        <v>0</v>
      </c>
      <c r="BS40" s="102">
        <f>O40-BO40-BP40-BQ40-BR40</f>
        <v>0</v>
      </c>
      <c r="BT40" s="142"/>
      <c r="BU40" s="33"/>
      <c r="BV40" s="33"/>
      <c r="BW40" s="33">
        <f>U40</f>
        <v>0</v>
      </c>
      <c r="BX40" s="99">
        <f t="shared" si="100"/>
        <v>0</v>
      </c>
      <c r="BY40" s="2438">
        <v>0</v>
      </c>
      <c r="BZ40" s="1263">
        <f t="shared" ref="BZ40:BZ42" si="104">BY40</f>
        <v>0</v>
      </c>
      <c r="CA40" s="1263">
        <f t="shared" ref="CA40:CA42" si="105">BZ40</f>
        <v>0</v>
      </c>
      <c r="CB40" s="1263">
        <f t="shared" ref="CB40:CB42" si="106">CA40</f>
        <v>0</v>
      </c>
      <c r="CC40" s="1263">
        <f t="shared" ref="CC40:CC42" si="107">CB40</f>
        <v>0</v>
      </c>
      <c r="CD40" s="1263">
        <f t="shared" ref="CD40:CD42" si="108">CC40</f>
        <v>0</v>
      </c>
      <c r="CE40" s="1263">
        <f t="shared" ref="CE40:CE42" si="109">CD40</f>
        <v>0</v>
      </c>
      <c r="CF40" s="1263">
        <f t="shared" ref="CF40:CF42" si="110">CE40</f>
        <v>0</v>
      </c>
      <c r="CG40" s="1263">
        <f t="shared" ref="CG40:CG42" si="111">CF40</f>
        <v>0</v>
      </c>
      <c r="CH40" s="1263">
        <f t="shared" ref="CH40:CH42" si="112">CG40</f>
        <v>0</v>
      </c>
      <c r="CI40" s="1263">
        <f t="shared" si="102"/>
        <v>0</v>
      </c>
      <c r="CJ40" s="1263">
        <f t="shared" si="102"/>
        <v>0</v>
      </c>
      <c r="CK40" s="1263"/>
      <c r="CL40" s="1920">
        <f t="shared" si="103"/>
        <v>0</v>
      </c>
      <c r="CM40" s="78">
        <f t="shared" si="103"/>
        <v>0</v>
      </c>
      <c r="CN40" s="78">
        <f t="shared" si="103"/>
        <v>0</v>
      </c>
      <c r="CO40" s="78">
        <f t="shared" si="103"/>
        <v>0</v>
      </c>
      <c r="CP40" s="78">
        <f t="shared" si="103"/>
        <v>0</v>
      </c>
      <c r="CQ40" s="78">
        <f t="shared" si="103"/>
        <v>0</v>
      </c>
      <c r="CR40" s="78">
        <f t="shared" si="103"/>
        <v>0</v>
      </c>
      <c r="CS40" s="78">
        <f t="shared" si="103"/>
        <v>0</v>
      </c>
      <c r="CT40" s="78">
        <f t="shared" si="103"/>
        <v>0</v>
      </c>
      <c r="CU40" s="78">
        <f t="shared" si="103"/>
        <v>0</v>
      </c>
      <c r="CV40" s="78">
        <f t="shared" si="103"/>
        <v>0</v>
      </c>
      <c r="CW40" s="131">
        <f t="shared" si="103"/>
        <v>0</v>
      </c>
    </row>
    <row r="41" spans="1:101" x14ac:dyDescent="0.2">
      <c r="A41" s="869" t="s">
        <v>6098</v>
      </c>
      <c r="B41" s="2352" t="s">
        <v>3142</v>
      </c>
      <c r="C41" s="2332" t="s">
        <v>5076</v>
      </c>
      <c r="D41" s="2327" t="s">
        <v>3142</v>
      </c>
      <c r="E41" s="142">
        <v>194700</v>
      </c>
      <c r="F41" s="33">
        <f>2448000-100000+416000</f>
        <v>2764000</v>
      </c>
      <c r="G41" s="33"/>
      <c r="H41" s="33">
        <v>1680000</v>
      </c>
      <c r="I41" s="76">
        <v>1800000</v>
      </c>
      <c r="J41" s="76"/>
      <c r="K41" s="76"/>
      <c r="L41" s="76"/>
      <c r="M41" s="33"/>
      <c r="N41" s="33"/>
      <c r="O41" s="33"/>
      <c r="P41" s="102"/>
      <c r="Q41" s="142"/>
      <c r="R41" s="33"/>
      <c r="S41" s="33"/>
      <c r="T41" s="33">
        <f>E41</f>
        <v>194700</v>
      </c>
      <c r="U41" s="99">
        <f>E41-Q41-R41-S41-T41</f>
        <v>0</v>
      </c>
      <c r="V41" s="186"/>
      <c r="W41" s="33"/>
      <c r="X41" s="99"/>
      <c r="Y41" s="33">
        <f>F41</f>
        <v>2764000</v>
      </c>
      <c r="Z41" s="102">
        <f t="shared" si="94"/>
        <v>0</v>
      </c>
      <c r="AA41" s="142"/>
      <c r="AB41" s="33"/>
      <c r="AC41" s="33"/>
      <c r="AD41" s="33">
        <f t="shared" si="95"/>
        <v>0</v>
      </c>
      <c r="AE41" s="102">
        <f t="shared" si="96"/>
        <v>0</v>
      </c>
      <c r="AF41" s="142"/>
      <c r="AG41" s="33"/>
      <c r="AH41" s="33"/>
      <c r="AI41" s="33">
        <f t="shared" si="97"/>
        <v>1680000</v>
      </c>
      <c r="AJ41" s="102">
        <f t="shared" si="98"/>
        <v>0</v>
      </c>
      <c r="AK41" s="142"/>
      <c r="AL41" s="33"/>
      <c r="AM41" s="33"/>
      <c r="AN41" s="33">
        <f>I41</f>
        <v>1800000</v>
      </c>
      <c r="AO41" s="114">
        <f t="shared" si="99"/>
        <v>0</v>
      </c>
      <c r="AP41" s="142"/>
      <c r="AQ41" s="33"/>
      <c r="AR41" s="33"/>
      <c r="AS41" s="33">
        <f>J41</f>
        <v>0</v>
      </c>
      <c r="AT41" s="102">
        <f>J41-AP41-AQ41-AR41-AS41</f>
        <v>0</v>
      </c>
      <c r="AV41" s="33"/>
      <c r="AW41" s="33"/>
      <c r="AX41" s="33">
        <f>K41</f>
        <v>0</v>
      </c>
      <c r="AY41" s="102">
        <f>K41-AU41-AV41-AW41-AX41</f>
        <v>0</v>
      </c>
      <c r="AZ41" s="142"/>
      <c r="BA41" s="33"/>
      <c r="BB41" s="33"/>
      <c r="BC41" s="33">
        <f>L41</f>
        <v>0</v>
      </c>
      <c r="BD41" s="102">
        <f>L41-AZ41-BA41-BB41-BC41</f>
        <v>0</v>
      </c>
      <c r="BE41" s="142"/>
      <c r="BF41" s="33"/>
      <c r="BG41" s="33"/>
      <c r="BH41" s="33">
        <f>M41</f>
        <v>0</v>
      </c>
      <c r="BI41" s="102">
        <f>M41-BE41-BF41-BG41-BH41</f>
        <v>0</v>
      </c>
      <c r="BJ41" s="142"/>
      <c r="BK41" s="33"/>
      <c r="BL41" s="33"/>
      <c r="BM41" s="33">
        <f>N41</f>
        <v>0</v>
      </c>
      <c r="BN41" s="102">
        <f>N41-BJ41-BK41-BL41-BM41</f>
        <v>0</v>
      </c>
      <c r="BO41" s="142"/>
      <c r="BP41" s="33"/>
      <c r="BQ41" s="33"/>
      <c r="BR41" s="33">
        <f>O41</f>
        <v>0</v>
      </c>
      <c r="BS41" s="102">
        <f>O41-BO41-BP41-BQ41-BR41</f>
        <v>0</v>
      </c>
      <c r="BT41" s="142"/>
      <c r="BU41" s="33"/>
      <c r="BV41" s="33"/>
      <c r="BW41" s="33">
        <f>U41</f>
        <v>0</v>
      </c>
      <c r="BX41" s="99">
        <f t="shared" ref="BX41" si="113">P41-BT41-BU41-BV41-BW41</f>
        <v>0</v>
      </c>
      <c r="BY41" s="2438">
        <v>0</v>
      </c>
      <c r="BZ41" s="1263">
        <f t="shared" si="104"/>
        <v>0</v>
      </c>
      <c r="CA41" s="1263">
        <f t="shared" si="105"/>
        <v>0</v>
      </c>
      <c r="CB41" s="1263">
        <f t="shared" si="106"/>
        <v>0</v>
      </c>
      <c r="CC41" s="1263">
        <f t="shared" si="107"/>
        <v>0</v>
      </c>
      <c r="CD41" s="1263">
        <f t="shared" si="108"/>
        <v>0</v>
      </c>
      <c r="CE41" s="1263">
        <f t="shared" si="109"/>
        <v>0</v>
      </c>
      <c r="CF41" s="1263">
        <f t="shared" si="110"/>
        <v>0</v>
      </c>
      <c r="CG41" s="1263">
        <f t="shared" si="111"/>
        <v>0</v>
      </c>
      <c r="CH41" s="1263">
        <f t="shared" si="112"/>
        <v>0</v>
      </c>
      <c r="CI41" s="1263">
        <f t="shared" si="102"/>
        <v>0</v>
      </c>
      <c r="CJ41" s="1263">
        <f t="shared" si="102"/>
        <v>0</v>
      </c>
      <c r="CK41" s="1263"/>
      <c r="CL41" s="1920">
        <f t="shared" si="103"/>
        <v>0</v>
      </c>
      <c r="CM41" s="78">
        <f t="shared" si="103"/>
        <v>0</v>
      </c>
      <c r="CN41" s="78">
        <f t="shared" si="103"/>
        <v>0</v>
      </c>
      <c r="CO41" s="78">
        <f t="shared" si="103"/>
        <v>0</v>
      </c>
      <c r="CP41" s="78">
        <f t="shared" si="103"/>
        <v>0</v>
      </c>
      <c r="CQ41" s="78">
        <f t="shared" si="103"/>
        <v>0</v>
      </c>
      <c r="CR41" s="78">
        <f t="shared" si="103"/>
        <v>0</v>
      </c>
      <c r="CS41" s="78">
        <f t="shared" si="103"/>
        <v>0</v>
      </c>
      <c r="CT41" s="78">
        <f t="shared" si="103"/>
        <v>0</v>
      </c>
      <c r="CU41" s="78">
        <f t="shared" si="103"/>
        <v>0</v>
      </c>
      <c r="CV41" s="78">
        <f t="shared" si="103"/>
        <v>0</v>
      </c>
      <c r="CW41" s="131">
        <f t="shared" si="103"/>
        <v>0</v>
      </c>
    </row>
    <row r="42" spans="1:101" ht="14.25" customHeight="1" x14ac:dyDescent="0.2">
      <c r="A42" s="869" t="s">
        <v>5686</v>
      </c>
      <c r="B42" s="2352" t="s">
        <v>5576</v>
      </c>
      <c r="C42" s="2332" t="s">
        <v>5076</v>
      </c>
      <c r="D42" s="2327" t="s">
        <v>5576</v>
      </c>
      <c r="E42" s="142">
        <v>9700</v>
      </c>
      <c r="F42" s="33">
        <f>300000+720000</f>
        <v>1020000</v>
      </c>
      <c r="G42" s="33"/>
      <c r="H42" s="33"/>
      <c r="I42" s="76"/>
      <c r="J42" s="76"/>
      <c r="K42" s="76"/>
      <c r="L42" s="76"/>
      <c r="M42" s="33"/>
      <c r="N42" s="33"/>
      <c r="O42" s="33"/>
      <c r="P42" s="102"/>
      <c r="Q42" s="142"/>
      <c r="R42" s="33"/>
      <c r="S42" s="33"/>
      <c r="T42" s="33">
        <f>706000+30000-720000</f>
        <v>16000</v>
      </c>
      <c r="U42" s="99">
        <f>E42-Q42-R42-S42-T42</f>
        <v>-6300</v>
      </c>
      <c r="V42" s="186"/>
      <c r="W42" s="33"/>
      <c r="X42" s="99"/>
      <c r="Y42" s="33">
        <f>'Res-Gen'!F93</f>
        <v>1020000</v>
      </c>
      <c r="Z42" s="102">
        <f t="shared" si="94"/>
        <v>0</v>
      </c>
      <c r="AA42" s="142"/>
      <c r="AB42" s="33"/>
      <c r="AC42" s="33"/>
      <c r="AD42" s="33">
        <f t="shared" si="95"/>
        <v>0</v>
      </c>
      <c r="AE42" s="102">
        <f t="shared" si="96"/>
        <v>0</v>
      </c>
      <c r="AF42" s="142"/>
      <c r="AG42" s="33"/>
      <c r="AH42" s="33"/>
      <c r="AI42" s="33">
        <f t="shared" si="97"/>
        <v>0</v>
      </c>
      <c r="AJ42" s="102">
        <f t="shared" si="98"/>
        <v>0</v>
      </c>
      <c r="AK42" s="142"/>
      <c r="AL42" s="33"/>
      <c r="AM42" s="33"/>
      <c r="AN42" s="33"/>
      <c r="AO42" s="114">
        <f t="shared" si="99"/>
        <v>0</v>
      </c>
      <c r="AP42" s="142"/>
      <c r="AQ42" s="33"/>
      <c r="AR42" s="33"/>
      <c r="AS42" s="33"/>
      <c r="AT42" s="102"/>
      <c r="AV42" s="33"/>
      <c r="AW42" s="33"/>
      <c r="AX42" s="33"/>
      <c r="AY42" s="102"/>
      <c r="AZ42" s="142"/>
      <c r="BA42" s="33"/>
      <c r="BB42" s="33"/>
      <c r="BC42" s="33"/>
      <c r="BD42" s="102"/>
      <c r="BE42" s="142"/>
      <c r="BF42" s="33"/>
      <c r="BG42" s="33"/>
      <c r="BH42" s="33"/>
      <c r="BI42" s="102"/>
      <c r="BJ42" s="142"/>
      <c r="BK42" s="33"/>
      <c r="BL42" s="33"/>
      <c r="BM42" s="33"/>
      <c r="BN42" s="102"/>
      <c r="BO42" s="142"/>
      <c r="BP42" s="33"/>
      <c r="BQ42" s="33"/>
      <c r="BR42" s="33"/>
      <c r="BS42" s="102"/>
      <c r="BT42" s="142"/>
      <c r="BU42" s="33"/>
      <c r="BV42" s="33"/>
      <c r="BW42" s="33"/>
      <c r="BY42" s="2438">
        <v>0</v>
      </c>
      <c r="BZ42" s="1263">
        <f t="shared" si="104"/>
        <v>0</v>
      </c>
      <c r="CA42" s="1263">
        <f t="shared" si="105"/>
        <v>0</v>
      </c>
      <c r="CB42" s="1263">
        <f t="shared" si="106"/>
        <v>0</v>
      </c>
      <c r="CC42" s="1263">
        <f t="shared" si="107"/>
        <v>0</v>
      </c>
      <c r="CD42" s="1263">
        <f t="shared" si="108"/>
        <v>0</v>
      </c>
      <c r="CE42" s="1263">
        <f t="shared" si="109"/>
        <v>0</v>
      </c>
      <c r="CF42" s="1263">
        <f t="shared" si="110"/>
        <v>0</v>
      </c>
      <c r="CG42" s="1263">
        <f t="shared" si="111"/>
        <v>0</v>
      </c>
      <c r="CH42" s="1263">
        <f t="shared" si="112"/>
        <v>0</v>
      </c>
      <c r="CI42" s="1263">
        <f t="shared" si="102"/>
        <v>0</v>
      </c>
      <c r="CJ42" s="1263">
        <f t="shared" si="102"/>
        <v>0</v>
      </c>
      <c r="CK42" s="1263"/>
      <c r="CL42" s="1920">
        <f t="shared" si="103"/>
        <v>0</v>
      </c>
      <c r="CM42" s="78">
        <f t="shared" si="103"/>
        <v>0</v>
      </c>
      <c r="CN42" s="78">
        <f t="shared" si="103"/>
        <v>0</v>
      </c>
      <c r="CO42" s="78">
        <f t="shared" si="103"/>
        <v>0</v>
      </c>
      <c r="CP42" s="78">
        <f t="shared" si="103"/>
        <v>0</v>
      </c>
      <c r="CQ42" s="78">
        <f t="shared" si="103"/>
        <v>0</v>
      </c>
      <c r="CR42" s="78">
        <f t="shared" si="103"/>
        <v>0</v>
      </c>
      <c r="CS42" s="78">
        <f t="shared" si="103"/>
        <v>0</v>
      </c>
      <c r="CT42" s="78">
        <f t="shared" si="103"/>
        <v>0</v>
      </c>
      <c r="CU42" s="78">
        <f t="shared" si="103"/>
        <v>0</v>
      </c>
      <c r="CV42" s="78">
        <f t="shared" si="103"/>
        <v>0</v>
      </c>
      <c r="CW42" s="131">
        <f t="shared" si="103"/>
        <v>0</v>
      </c>
    </row>
    <row r="43" spans="1:101" ht="14.25" customHeight="1" x14ac:dyDescent="0.2">
      <c r="A43" s="869" t="s">
        <v>6843</v>
      </c>
      <c r="B43" s="2352" t="s">
        <v>6687</v>
      </c>
      <c r="C43" s="2332" t="s">
        <v>6686</v>
      </c>
      <c r="D43" s="2327" t="s">
        <v>6686</v>
      </c>
      <c r="E43" s="142"/>
      <c r="F43" s="33">
        <v>10000</v>
      </c>
      <c r="G43" s="33"/>
      <c r="H43" s="33"/>
      <c r="I43" s="76"/>
      <c r="J43" s="76"/>
      <c r="K43" s="76"/>
      <c r="L43" s="76"/>
      <c r="M43" s="33"/>
      <c r="N43" s="33"/>
      <c r="O43" s="33"/>
      <c r="P43" s="102"/>
      <c r="Q43" s="142"/>
      <c r="R43" s="33"/>
      <c r="S43" s="33"/>
      <c r="T43" s="33"/>
      <c r="V43" s="186"/>
      <c r="W43" s="33"/>
      <c r="X43" s="99"/>
      <c r="Y43" s="33">
        <v>10000</v>
      </c>
      <c r="Z43" s="102">
        <f t="shared" si="94"/>
        <v>0</v>
      </c>
      <c r="AA43" s="142"/>
      <c r="AB43" s="33"/>
      <c r="AC43" s="33"/>
      <c r="AD43" s="33">
        <f t="shared" si="95"/>
        <v>0</v>
      </c>
      <c r="AE43" s="102">
        <f t="shared" si="96"/>
        <v>0</v>
      </c>
      <c r="AF43" s="142"/>
      <c r="AG43" s="33"/>
      <c r="AH43" s="33"/>
      <c r="AI43" s="33">
        <f t="shared" si="97"/>
        <v>0</v>
      </c>
      <c r="AJ43" s="102">
        <f t="shared" si="98"/>
        <v>0</v>
      </c>
      <c r="AK43" s="142"/>
      <c r="AL43" s="33"/>
      <c r="AM43" s="33"/>
      <c r="AN43" s="33"/>
      <c r="AO43" s="114">
        <f t="shared" si="99"/>
        <v>0</v>
      </c>
      <c r="AP43" s="142"/>
      <c r="AQ43" s="33"/>
      <c r="AR43" s="33"/>
      <c r="AS43" s="33"/>
      <c r="AT43" s="102"/>
      <c r="AV43" s="33"/>
      <c r="AW43" s="33"/>
      <c r="AX43" s="33"/>
      <c r="AY43" s="102"/>
      <c r="AZ43" s="142"/>
      <c r="BA43" s="33"/>
      <c r="BB43" s="33"/>
      <c r="BC43" s="33"/>
      <c r="BD43" s="102"/>
      <c r="BE43" s="142"/>
      <c r="BF43" s="33"/>
      <c r="BG43" s="33"/>
      <c r="BH43" s="33"/>
      <c r="BI43" s="102"/>
      <c r="BJ43" s="142"/>
      <c r="BK43" s="33"/>
      <c r="BL43" s="33"/>
      <c r="BM43" s="33"/>
      <c r="BN43" s="102"/>
      <c r="BO43" s="142"/>
      <c r="BP43" s="33"/>
      <c r="BQ43" s="33"/>
      <c r="BR43" s="33"/>
      <c r="BS43" s="102"/>
      <c r="BT43" s="142"/>
      <c r="BU43" s="33"/>
      <c r="BV43" s="33"/>
      <c r="BW43" s="33"/>
      <c r="BY43" s="2438">
        <v>0</v>
      </c>
      <c r="BZ43" s="1263">
        <f t="shared" ref="BZ43:BZ45" si="114">BY43</f>
        <v>0</v>
      </c>
      <c r="CA43" s="1263">
        <f t="shared" ref="CA43:CA45" si="115">BZ43</f>
        <v>0</v>
      </c>
      <c r="CB43" s="1263">
        <f t="shared" ref="CB43:CB45" si="116">CA43</f>
        <v>0</v>
      </c>
      <c r="CC43" s="1263">
        <f t="shared" ref="CC43:CC45" si="117">CB43</f>
        <v>0</v>
      </c>
      <c r="CD43" s="1263">
        <f t="shared" ref="CD43:CD45" si="118">CC43</f>
        <v>0</v>
      </c>
      <c r="CE43" s="1263">
        <f t="shared" ref="CE43:CE45" si="119">CD43</f>
        <v>0</v>
      </c>
      <c r="CF43" s="1263">
        <f t="shared" ref="CF43:CF45" si="120">CE43</f>
        <v>0</v>
      </c>
      <c r="CG43" s="1263">
        <f t="shared" ref="CG43:CG45" si="121">CF43</f>
        <v>0</v>
      </c>
      <c r="CH43" s="1263">
        <f t="shared" ref="CH43:CH45" si="122">CG43</f>
        <v>0</v>
      </c>
      <c r="CI43" s="1263">
        <f t="shared" si="102"/>
        <v>0</v>
      </c>
      <c r="CJ43" s="1263">
        <f t="shared" si="102"/>
        <v>0</v>
      </c>
      <c r="CK43" s="1263"/>
      <c r="CL43" s="1920">
        <f t="shared" si="103"/>
        <v>0</v>
      </c>
      <c r="CM43" s="78">
        <f t="shared" si="103"/>
        <v>0</v>
      </c>
      <c r="CN43" s="78">
        <f t="shared" si="103"/>
        <v>0</v>
      </c>
      <c r="CO43" s="78">
        <f t="shared" si="103"/>
        <v>0</v>
      </c>
      <c r="CP43" s="78">
        <f t="shared" si="103"/>
        <v>0</v>
      </c>
      <c r="CQ43" s="78">
        <f t="shared" si="103"/>
        <v>0</v>
      </c>
      <c r="CR43" s="78">
        <f t="shared" si="103"/>
        <v>0</v>
      </c>
      <c r="CS43" s="78">
        <f t="shared" si="103"/>
        <v>0</v>
      </c>
      <c r="CT43" s="78">
        <f t="shared" si="103"/>
        <v>0</v>
      </c>
      <c r="CU43" s="78">
        <f t="shared" si="103"/>
        <v>0</v>
      </c>
      <c r="CV43" s="78">
        <f t="shared" si="103"/>
        <v>0</v>
      </c>
      <c r="CW43" s="131">
        <f t="shared" si="103"/>
        <v>0</v>
      </c>
    </row>
    <row r="44" spans="1:101" ht="14.25" customHeight="1" x14ac:dyDescent="0.2">
      <c r="A44" s="869" t="s">
        <v>6600</v>
      </c>
      <c r="B44" s="2352" t="s">
        <v>6685</v>
      </c>
      <c r="C44" s="2332" t="s">
        <v>5076</v>
      </c>
      <c r="D44" s="2327" t="s">
        <v>6685</v>
      </c>
      <c r="E44" s="142"/>
      <c r="F44" s="33">
        <f>15000+1000</f>
        <v>16000</v>
      </c>
      <c r="G44" s="33"/>
      <c r="H44" s="33"/>
      <c r="I44" s="76"/>
      <c r="J44" s="76"/>
      <c r="K44" s="76"/>
      <c r="L44" s="76"/>
      <c r="M44" s="33"/>
      <c r="N44" s="33"/>
      <c r="O44" s="33"/>
      <c r="P44" s="102"/>
      <c r="Q44" s="142"/>
      <c r="R44" s="33"/>
      <c r="S44" s="33"/>
      <c r="T44" s="33"/>
      <c r="V44" s="186"/>
      <c r="W44" s="33"/>
      <c r="X44" s="99"/>
      <c r="Y44" s="33">
        <f>15000+1000</f>
        <v>16000</v>
      </c>
      <c r="Z44" s="102">
        <f t="shared" si="94"/>
        <v>0</v>
      </c>
      <c r="AA44" s="142"/>
      <c r="AB44" s="33"/>
      <c r="AC44" s="33"/>
      <c r="AD44" s="33">
        <f t="shared" si="95"/>
        <v>0</v>
      </c>
      <c r="AE44" s="102">
        <f t="shared" si="96"/>
        <v>0</v>
      </c>
      <c r="AF44" s="142"/>
      <c r="AG44" s="33"/>
      <c r="AH44" s="33"/>
      <c r="AI44" s="33">
        <f t="shared" si="97"/>
        <v>0</v>
      </c>
      <c r="AJ44" s="102">
        <f t="shared" si="98"/>
        <v>0</v>
      </c>
      <c r="AK44" s="142"/>
      <c r="AL44" s="33"/>
      <c r="AM44" s="33"/>
      <c r="AN44" s="33"/>
      <c r="AO44" s="114">
        <f t="shared" si="99"/>
        <v>0</v>
      </c>
      <c r="AP44" s="142"/>
      <c r="AQ44" s="33"/>
      <c r="AR44" s="33"/>
      <c r="AS44" s="33"/>
      <c r="AT44" s="102"/>
      <c r="AV44" s="33"/>
      <c r="AW44" s="33"/>
      <c r="AX44" s="33"/>
      <c r="AY44" s="102"/>
      <c r="AZ44" s="142"/>
      <c r="BA44" s="33"/>
      <c r="BB44" s="33"/>
      <c r="BC44" s="33"/>
      <c r="BD44" s="102"/>
      <c r="BE44" s="142"/>
      <c r="BF44" s="33"/>
      <c r="BG44" s="33"/>
      <c r="BH44" s="33"/>
      <c r="BI44" s="102"/>
      <c r="BJ44" s="142"/>
      <c r="BK44" s="33"/>
      <c r="BL44" s="33"/>
      <c r="BM44" s="33"/>
      <c r="BN44" s="102"/>
      <c r="BO44" s="142"/>
      <c r="BP44" s="33"/>
      <c r="BQ44" s="33"/>
      <c r="BR44" s="33"/>
      <c r="BS44" s="102"/>
      <c r="BT44" s="142"/>
      <c r="BU44" s="33"/>
      <c r="BV44" s="33"/>
      <c r="BW44" s="33"/>
      <c r="BY44" s="2438">
        <v>0</v>
      </c>
      <c r="BZ44" s="1263">
        <f t="shared" si="114"/>
        <v>0</v>
      </c>
      <c r="CA44" s="1263">
        <f t="shared" si="115"/>
        <v>0</v>
      </c>
      <c r="CB44" s="1263">
        <f t="shared" si="116"/>
        <v>0</v>
      </c>
      <c r="CC44" s="1263">
        <f t="shared" si="117"/>
        <v>0</v>
      </c>
      <c r="CD44" s="1263">
        <f t="shared" si="118"/>
        <v>0</v>
      </c>
      <c r="CE44" s="1263">
        <f t="shared" si="119"/>
        <v>0</v>
      </c>
      <c r="CF44" s="1263">
        <f t="shared" si="120"/>
        <v>0</v>
      </c>
      <c r="CG44" s="1263">
        <f t="shared" si="121"/>
        <v>0</v>
      </c>
      <c r="CH44" s="1263">
        <f t="shared" si="122"/>
        <v>0</v>
      </c>
      <c r="CI44" s="1263">
        <f t="shared" si="102"/>
        <v>0</v>
      </c>
      <c r="CJ44" s="1263">
        <f t="shared" si="102"/>
        <v>0</v>
      </c>
      <c r="CK44" s="1263"/>
      <c r="CL44" s="1920">
        <f t="shared" si="103"/>
        <v>0</v>
      </c>
      <c r="CM44" s="78">
        <f t="shared" si="103"/>
        <v>0</v>
      </c>
      <c r="CN44" s="78">
        <f t="shared" si="103"/>
        <v>0</v>
      </c>
      <c r="CO44" s="78">
        <f t="shared" si="103"/>
        <v>0</v>
      </c>
      <c r="CP44" s="78">
        <f t="shared" si="103"/>
        <v>0</v>
      </c>
      <c r="CQ44" s="78">
        <f t="shared" si="103"/>
        <v>0</v>
      </c>
      <c r="CR44" s="78">
        <f t="shared" si="103"/>
        <v>0</v>
      </c>
      <c r="CS44" s="78">
        <f t="shared" si="103"/>
        <v>0</v>
      </c>
      <c r="CT44" s="78">
        <f t="shared" si="103"/>
        <v>0</v>
      </c>
      <c r="CU44" s="78">
        <f t="shared" si="103"/>
        <v>0</v>
      </c>
      <c r="CV44" s="78">
        <f t="shared" si="103"/>
        <v>0</v>
      </c>
      <c r="CW44" s="131">
        <f t="shared" si="103"/>
        <v>0</v>
      </c>
    </row>
    <row r="45" spans="1:101" ht="14.25" customHeight="1" x14ac:dyDescent="0.2">
      <c r="A45" s="869" t="s">
        <v>6842</v>
      </c>
      <c r="B45" s="2352" t="s">
        <v>6684</v>
      </c>
      <c r="C45" s="2332" t="s">
        <v>5076</v>
      </c>
      <c r="D45" s="2327" t="s">
        <v>6684</v>
      </c>
      <c r="E45" s="142"/>
      <c r="F45" s="33">
        <f>35000-1000</f>
        <v>34000</v>
      </c>
      <c r="G45" s="33"/>
      <c r="H45" s="33"/>
      <c r="I45" s="76"/>
      <c r="J45" s="76"/>
      <c r="K45" s="76"/>
      <c r="L45" s="76"/>
      <c r="M45" s="33"/>
      <c r="N45" s="33"/>
      <c r="O45" s="33"/>
      <c r="P45" s="102"/>
      <c r="Q45" s="142"/>
      <c r="R45" s="33"/>
      <c r="S45" s="33"/>
      <c r="T45" s="33"/>
      <c r="V45" s="186"/>
      <c r="W45" s="33"/>
      <c r="X45" s="99"/>
      <c r="Y45" s="33">
        <f>35000-1000</f>
        <v>34000</v>
      </c>
      <c r="Z45" s="102">
        <f t="shared" si="94"/>
        <v>0</v>
      </c>
      <c r="AA45" s="142"/>
      <c r="AB45" s="33"/>
      <c r="AC45" s="33"/>
      <c r="AD45" s="33">
        <f t="shared" si="95"/>
        <v>0</v>
      </c>
      <c r="AE45" s="102">
        <f t="shared" si="96"/>
        <v>0</v>
      </c>
      <c r="AF45" s="142"/>
      <c r="AG45" s="33"/>
      <c r="AH45" s="33"/>
      <c r="AI45" s="33">
        <f t="shared" si="97"/>
        <v>0</v>
      </c>
      <c r="AJ45" s="102">
        <f t="shared" si="98"/>
        <v>0</v>
      </c>
      <c r="AK45" s="142"/>
      <c r="AL45" s="33"/>
      <c r="AM45" s="33"/>
      <c r="AN45" s="33"/>
      <c r="AO45" s="114">
        <f t="shared" si="99"/>
        <v>0</v>
      </c>
      <c r="AP45" s="142"/>
      <c r="AQ45" s="33"/>
      <c r="AR45" s="33"/>
      <c r="AS45" s="33"/>
      <c r="AT45" s="102"/>
      <c r="AV45" s="33"/>
      <c r="AW45" s="33"/>
      <c r="AX45" s="33"/>
      <c r="AY45" s="102"/>
      <c r="AZ45" s="142"/>
      <c r="BA45" s="33"/>
      <c r="BB45" s="33"/>
      <c r="BC45" s="33"/>
      <c r="BD45" s="102"/>
      <c r="BE45" s="142"/>
      <c r="BF45" s="33"/>
      <c r="BG45" s="33"/>
      <c r="BH45" s="33"/>
      <c r="BI45" s="102"/>
      <c r="BJ45" s="142"/>
      <c r="BK45" s="33"/>
      <c r="BL45" s="33"/>
      <c r="BM45" s="33"/>
      <c r="BN45" s="102"/>
      <c r="BO45" s="142"/>
      <c r="BP45" s="33"/>
      <c r="BQ45" s="33"/>
      <c r="BR45" s="33"/>
      <c r="BS45" s="102"/>
      <c r="BT45" s="142"/>
      <c r="BU45" s="33"/>
      <c r="BV45" s="33"/>
      <c r="BW45" s="33"/>
      <c r="BY45" s="2438">
        <v>0</v>
      </c>
      <c r="BZ45" s="1263">
        <f t="shared" si="114"/>
        <v>0</v>
      </c>
      <c r="CA45" s="1263">
        <f t="shared" si="115"/>
        <v>0</v>
      </c>
      <c r="CB45" s="1263">
        <f t="shared" si="116"/>
        <v>0</v>
      </c>
      <c r="CC45" s="1263">
        <f t="shared" si="117"/>
        <v>0</v>
      </c>
      <c r="CD45" s="1263">
        <f t="shared" si="118"/>
        <v>0</v>
      </c>
      <c r="CE45" s="1263">
        <f t="shared" si="119"/>
        <v>0</v>
      </c>
      <c r="CF45" s="1263">
        <f t="shared" si="120"/>
        <v>0</v>
      </c>
      <c r="CG45" s="1263">
        <f t="shared" si="121"/>
        <v>0</v>
      </c>
      <c r="CH45" s="1263">
        <f t="shared" si="122"/>
        <v>0</v>
      </c>
      <c r="CI45" s="1263">
        <f t="shared" si="102"/>
        <v>0</v>
      </c>
      <c r="CJ45" s="1263">
        <f t="shared" si="102"/>
        <v>0</v>
      </c>
      <c r="CK45" s="1263"/>
      <c r="CL45" s="1920">
        <f t="shared" si="103"/>
        <v>0</v>
      </c>
      <c r="CM45" s="78">
        <f t="shared" si="103"/>
        <v>0</v>
      </c>
      <c r="CN45" s="78">
        <f t="shared" si="103"/>
        <v>0</v>
      </c>
      <c r="CO45" s="78">
        <f t="shared" si="103"/>
        <v>0</v>
      </c>
      <c r="CP45" s="78">
        <f t="shared" si="103"/>
        <v>0</v>
      </c>
      <c r="CQ45" s="78">
        <f t="shared" si="103"/>
        <v>0</v>
      </c>
      <c r="CR45" s="78">
        <f t="shared" si="103"/>
        <v>0</v>
      </c>
      <c r="CS45" s="78">
        <f t="shared" si="103"/>
        <v>0</v>
      </c>
      <c r="CT45" s="78">
        <f t="shared" si="103"/>
        <v>0</v>
      </c>
      <c r="CU45" s="78">
        <f t="shared" si="103"/>
        <v>0</v>
      </c>
      <c r="CV45" s="78">
        <f t="shared" si="103"/>
        <v>0</v>
      </c>
      <c r="CW45" s="131">
        <f t="shared" si="103"/>
        <v>0</v>
      </c>
    </row>
    <row r="46" spans="1:101" x14ac:dyDescent="0.2">
      <c r="A46" s="413"/>
      <c r="B46" s="2354"/>
      <c r="C46" s="2339"/>
      <c r="D46" s="2327"/>
      <c r="E46" s="142"/>
      <c r="F46" s="33"/>
      <c r="G46" s="33"/>
      <c r="H46" s="33"/>
      <c r="I46" s="76"/>
      <c r="J46" s="76"/>
      <c r="K46" s="76"/>
      <c r="L46" s="76"/>
      <c r="M46" s="33"/>
      <c r="N46" s="33"/>
      <c r="O46" s="33"/>
      <c r="P46" s="102"/>
      <c r="Q46" s="142"/>
      <c r="R46" s="33"/>
      <c r="S46" s="33"/>
      <c r="T46" s="33"/>
      <c r="V46" s="186"/>
      <c r="W46" s="33"/>
      <c r="X46" s="99"/>
      <c r="Y46" s="33"/>
      <c r="Z46" s="102"/>
      <c r="AA46" s="142"/>
      <c r="AB46" s="33"/>
      <c r="AC46" s="33"/>
      <c r="AD46" s="33"/>
      <c r="AE46" s="102"/>
      <c r="AF46" s="142"/>
      <c r="AG46" s="33"/>
      <c r="AH46" s="33"/>
      <c r="AI46" s="33"/>
      <c r="AJ46" s="102"/>
      <c r="AK46" s="142"/>
      <c r="AL46" s="33"/>
      <c r="AM46" s="33"/>
      <c r="AN46" s="33"/>
      <c r="AO46" s="114"/>
      <c r="AP46" s="142"/>
      <c r="AQ46" s="33"/>
      <c r="AR46" s="33"/>
      <c r="AS46" s="33"/>
      <c r="AT46" s="102"/>
      <c r="AV46" s="33"/>
      <c r="AW46" s="33"/>
      <c r="AX46" s="33"/>
      <c r="AY46" s="102"/>
      <c r="AZ46" s="142"/>
      <c r="BA46" s="33"/>
      <c r="BB46" s="33"/>
      <c r="BC46" s="33"/>
      <c r="BD46" s="102"/>
      <c r="BE46" s="142"/>
      <c r="BF46" s="33"/>
      <c r="BG46" s="33"/>
      <c r="BH46" s="33"/>
      <c r="BI46" s="102"/>
      <c r="BJ46" s="142"/>
      <c r="BK46" s="33"/>
      <c r="BL46" s="33"/>
      <c r="BM46" s="33"/>
      <c r="BN46" s="102"/>
      <c r="BO46" s="142"/>
      <c r="BP46" s="33"/>
      <c r="BQ46" s="33"/>
      <c r="BR46" s="33"/>
      <c r="BS46" s="102"/>
      <c r="BT46" s="142"/>
      <c r="BU46" s="33"/>
      <c r="BV46" s="33"/>
      <c r="BW46" s="33"/>
      <c r="BY46" s="2437"/>
      <c r="BZ46" s="740"/>
      <c r="CA46" s="740"/>
      <c r="CB46" s="740"/>
      <c r="CC46" s="740"/>
      <c r="CD46" s="740"/>
      <c r="CE46" s="740"/>
      <c r="CF46" s="740"/>
      <c r="CG46" s="740"/>
      <c r="CH46" s="740"/>
      <c r="CI46" s="740"/>
      <c r="CJ46" s="740"/>
      <c r="CK46" s="740"/>
      <c r="CL46" s="502"/>
      <c r="CM46" s="99"/>
      <c r="CN46" s="99"/>
      <c r="CO46" s="99"/>
      <c r="CP46" s="99"/>
      <c r="CQ46" s="99"/>
      <c r="CR46" s="99"/>
      <c r="CS46" s="99"/>
      <c r="CT46" s="99"/>
      <c r="CU46" s="99"/>
      <c r="CV46" s="99"/>
      <c r="CW46" s="114"/>
    </row>
    <row r="47" spans="1:101" x14ac:dyDescent="0.2">
      <c r="A47" s="590" t="s">
        <v>2543</v>
      </c>
      <c r="B47" s="2354"/>
      <c r="C47" s="2339"/>
      <c r="D47" s="2329"/>
      <c r="E47" s="142"/>
      <c r="F47" s="33"/>
      <c r="G47" s="33"/>
      <c r="H47" s="33"/>
      <c r="I47" s="76"/>
      <c r="J47" s="76"/>
      <c r="K47" s="76"/>
      <c r="L47" s="76"/>
      <c r="M47" s="33"/>
      <c r="N47" s="33"/>
      <c r="O47" s="33"/>
      <c r="P47" s="102"/>
      <c r="Q47" s="142"/>
      <c r="R47" s="33"/>
      <c r="S47" s="33"/>
      <c r="T47" s="33"/>
      <c r="V47" s="186"/>
      <c r="W47" s="33"/>
      <c r="X47" s="99"/>
      <c r="Y47" s="33"/>
      <c r="Z47" s="102"/>
      <c r="AA47" s="142"/>
      <c r="AB47" s="33"/>
      <c r="AC47" s="33"/>
      <c r="AD47" s="33"/>
      <c r="AE47" s="102"/>
      <c r="AF47" s="142"/>
      <c r="AG47" s="33"/>
      <c r="AH47" s="33"/>
      <c r="AI47" s="33"/>
      <c r="AJ47" s="102"/>
      <c r="AK47" s="142"/>
      <c r="AL47" s="33"/>
      <c r="AM47" s="33"/>
      <c r="AN47" s="33"/>
      <c r="AO47" s="114"/>
      <c r="AP47" s="142"/>
      <c r="AQ47" s="33"/>
      <c r="AR47" s="33"/>
      <c r="AS47" s="33"/>
      <c r="AT47" s="102"/>
      <c r="AV47" s="33"/>
      <c r="AW47" s="33"/>
      <c r="AX47" s="33"/>
      <c r="AY47" s="102"/>
      <c r="AZ47" s="142"/>
      <c r="BA47" s="33"/>
      <c r="BB47" s="33"/>
      <c r="BC47" s="33"/>
      <c r="BD47" s="102"/>
      <c r="BE47" s="142"/>
      <c r="BF47" s="33"/>
      <c r="BG47" s="33"/>
      <c r="BH47" s="33"/>
      <c r="BI47" s="102"/>
      <c r="BJ47" s="142"/>
      <c r="BK47" s="33"/>
      <c r="BL47" s="33"/>
      <c r="BM47" s="33"/>
      <c r="BN47" s="102"/>
      <c r="BO47" s="142"/>
      <c r="BP47" s="33"/>
      <c r="BQ47" s="33"/>
      <c r="BR47" s="33"/>
      <c r="BS47" s="102"/>
      <c r="BT47" s="142"/>
      <c r="BU47" s="33"/>
      <c r="BV47" s="33"/>
      <c r="BW47" s="33"/>
      <c r="BY47" s="2437"/>
      <c r="BZ47" s="740"/>
      <c r="CA47" s="740"/>
      <c r="CB47" s="740"/>
      <c r="CC47" s="740"/>
      <c r="CD47" s="740"/>
      <c r="CE47" s="740"/>
      <c r="CF47" s="740"/>
      <c r="CG47" s="740"/>
      <c r="CH47" s="740"/>
      <c r="CI47" s="740"/>
      <c r="CJ47" s="740"/>
      <c r="CK47" s="740"/>
      <c r="CL47" s="502"/>
      <c r="CM47" s="99"/>
      <c r="CN47" s="99"/>
      <c r="CO47" s="99"/>
      <c r="CP47" s="99"/>
      <c r="CQ47" s="99"/>
      <c r="CR47" s="99"/>
      <c r="CS47" s="99"/>
      <c r="CT47" s="99"/>
      <c r="CU47" s="99"/>
      <c r="CV47" s="99"/>
      <c r="CW47" s="114"/>
    </row>
    <row r="48" spans="1:101" x14ac:dyDescent="0.2">
      <c r="A48" s="869" t="s">
        <v>4227</v>
      </c>
      <c r="B48" s="2355" t="s">
        <v>268</v>
      </c>
      <c r="C48" s="2332" t="s">
        <v>5076</v>
      </c>
      <c r="D48" s="2355" t="s">
        <v>268</v>
      </c>
      <c r="E48" s="142">
        <f>153200-2200+1300</f>
        <v>152300</v>
      </c>
      <c r="F48" s="33"/>
      <c r="G48" s="33"/>
      <c r="H48" s="33"/>
      <c r="I48" s="76"/>
      <c r="J48" s="76"/>
      <c r="K48" s="76"/>
      <c r="L48" s="76"/>
      <c r="M48" s="33"/>
      <c r="N48" s="33"/>
      <c r="O48" s="33"/>
      <c r="P48" s="102"/>
      <c r="Q48" s="142"/>
      <c r="R48" s="33"/>
      <c r="S48" s="33"/>
      <c r="T48" s="33">
        <f>120000-15000+15000+20500</f>
        <v>140500</v>
      </c>
      <c r="U48" s="99">
        <f>E48-Q48-R48-S48-T48</f>
        <v>11800</v>
      </c>
      <c r="V48" s="186"/>
      <c r="W48" s="33"/>
      <c r="X48" s="99"/>
      <c r="Y48" s="33"/>
      <c r="Z48" s="102">
        <f>F48-V48-W48-X48-Y48</f>
        <v>0</v>
      </c>
      <c r="AA48" s="142"/>
      <c r="AB48" s="33"/>
      <c r="AC48" s="33"/>
      <c r="AD48" s="33">
        <f>G48</f>
        <v>0</v>
      </c>
      <c r="AE48" s="102">
        <f>G48-AA48-AB48-AC48-AD48</f>
        <v>0</v>
      </c>
      <c r="AF48" s="142"/>
      <c r="AG48" s="33"/>
      <c r="AH48" s="33"/>
      <c r="AI48" s="33">
        <f>H48</f>
        <v>0</v>
      </c>
      <c r="AJ48" s="102">
        <f>H48-AF48-AG48-AH48-AI48</f>
        <v>0</v>
      </c>
      <c r="AK48" s="142"/>
      <c r="AL48" s="33"/>
      <c r="AM48" s="33"/>
      <c r="AN48" s="33"/>
      <c r="AO48" s="114">
        <f>I48-AK48-AL48-AM48-AN48</f>
        <v>0</v>
      </c>
      <c r="AP48" s="142"/>
      <c r="AQ48" s="33"/>
      <c r="AR48" s="33"/>
      <c r="AS48" s="33"/>
      <c r="AT48" s="102"/>
      <c r="AV48" s="33"/>
      <c r="AW48" s="33"/>
      <c r="AX48" s="33"/>
      <c r="AY48" s="102"/>
      <c r="AZ48" s="142"/>
      <c r="BA48" s="33"/>
      <c r="BB48" s="33"/>
      <c r="BC48" s="33"/>
      <c r="BD48" s="102"/>
      <c r="BE48" s="142"/>
      <c r="BF48" s="33"/>
      <c r="BG48" s="33"/>
      <c r="BH48" s="33"/>
      <c r="BI48" s="102"/>
      <c r="BJ48" s="142"/>
      <c r="BK48" s="33"/>
      <c r="BL48" s="33"/>
      <c r="BM48" s="33"/>
      <c r="BN48" s="102"/>
      <c r="BO48" s="142"/>
      <c r="BP48" s="33"/>
      <c r="BQ48" s="33"/>
      <c r="BR48" s="33"/>
      <c r="BS48" s="102"/>
      <c r="BT48" s="142"/>
      <c r="BU48" s="33"/>
      <c r="BV48" s="33"/>
      <c r="BW48" s="33"/>
      <c r="BY48" s="2438">
        <v>1</v>
      </c>
      <c r="BZ48" s="1263">
        <f t="shared" ref="BZ48:CH48" si="123">BY48</f>
        <v>1</v>
      </c>
      <c r="CA48" s="1263">
        <f t="shared" si="123"/>
        <v>1</v>
      </c>
      <c r="CB48" s="1263">
        <f t="shared" si="123"/>
        <v>1</v>
      </c>
      <c r="CC48" s="1263">
        <f t="shared" si="123"/>
        <v>1</v>
      </c>
      <c r="CD48" s="1263">
        <f t="shared" si="123"/>
        <v>1</v>
      </c>
      <c r="CE48" s="1263">
        <f t="shared" si="123"/>
        <v>1</v>
      </c>
      <c r="CF48" s="1263">
        <f t="shared" si="123"/>
        <v>1</v>
      </c>
      <c r="CG48" s="1263">
        <f t="shared" si="123"/>
        <v>1</v>
      </c>
      <c r="CH48" s="1263">
        <f t="shared" si="123"/>
        <v>1</v>
      </c>
      <c r="CI48" s="1263">
        <f t="shared" ref="CI48:CJ51" si="124">CH48</f>
        <v>1</v>
      </c>
      <c r="CJ48" s="1263">
        <f t="shared" si="124"/>
        <v>1</v>
      </c>
      <c r="CK48" s="1263"/>
      <c r="CL48" s="1920">
        <f t="shared" ref="CL48:CW51" si="125">ROUND(BY48*E48,-3)</f>
        <v>152000</v>
      </c>
      <c r="CM48" s="78">
        <f t="shared" si="125"/>
        <v>0</v>
      </c>
      <c r="CN48" s="78">
        <f t="shared" si="125"/>
        <v>0</v>
      </c>
      <c r="CO48" s="78">
        <f t="shared" si="125"/>
        <v>0</v>
      </c>
      <c r="CP48" s="78">
        <f t="shared" si="125"/>
        <v>0</v>
      </c>
      <c r="CQ48" s="78">
        <f t="shared" si="125"/>
        <v>0</v>
      </c>
      <c r="CR48" s="78">
        <f t="shared" si="125"/>
        <v>0</v>
      </c>
      <c r="CS48" s="78">
        <f t="shared" si="125"/>
        <v>0</v>
      </c>
      <c r="CT48" s="78">
        <f t="shared" si="125"/>
        <v>0</v>
      </c>
      <c r="CU48" s="78">
        <f t="shared" si="125"/>
        <v>0</v>
      </c>
      <c r="CV48" s="78">
        <f t="shared" si="125"/>
        <v>0</v>
      </c>
      <c r="CW48" s="131">
        <f t="shared" si="125"/>
        <v>0</v>
      </c>
    </row>
    <row r="49" spans="1:101" ht="14.25" customHeight="1" x14ac:dyDescent="0.2">
      <c r="A49" s="869" t="s">
        <v>5627</v>
      </c>
      <c r="B49" s="2358" t="s">
        <v>5577</v>
      </c>
      <c r="C49" s="2332" t="s">
        <v>5076</v>
      </c>
      <c r="D49" s="2352" t="s">
        <v>5577</v>
      </c>
      <c r="E49" s="142">
        <v>287100</v>
      </c>
      <c r="F49" s="33">
        <v>343000</v>
      </c>
      <c r="G49" s="33"/>
      <c r="H49" s="33"/>
      <c r="I49" s="76"/>
      <c r="J49" s="76"/>
      <c r="K49" s="76"/>
      <c r="L49" s="76"/>
      <c r="M49" s="33"/>
      <c r="N49" s="33"/>
      <c r="O49" s="33"/>
      <c r="P49" s="102"/>
      <c r="Q49" s="142"/>
      <c r="R49" s="33"/>
      <c r="S49" s="33"/>
      <c r="T49" s="33">
        <f>210000+40000+250000</f>
        <v>500000</v>
      </c>
      <c r="U49" s="99">
        <f>E49-Q49-R49-S49-T49</f>
        <v>-212900</v>
      </c>
      <c r="V49" s="186"/>
      <c r="W49" s="33"/>
      <c r="X49" s="99"/>
      <c r="Y49" s="33">
        <v>343000</v>
      </c>
      <c r="Z49" s="102">
        <f>F49-V49-W49-X49-Y49</f>
        <v>0</v>
      </c>
      <c r="AA49" s="142"/>
      <c r="AB49" s="33"/>
      <c r="AC49" s="33"/>
      <c r="AD49" s="33">
        <f>G49</f>
        <v>0</v>
      </c>
      <c r="AE49" s="102">
        <f>G49-AA49-AB49-AC49-AD49</f>
        <v>0</v>
      </c>
      <c r="AF49" s="142"/>
      <c r="AG49" s="33"/>
      <c r="AH49" s="33"/>
      <c r="AI49" s="33">
        <f>H49</f>
        <v>0</v>
      </c>
      <c r="AJ49" s="102">
        <f>H49-AF49-AG49-AH49-AI49</f>
        <v>0</v>
      </c>
      <c r="AK49" s="142"/>
      <c r="AL49" s="33"/>
      <c r="AM49" s="33"/>
      <c r="AN49" s="33"/>
      <c r="AO49" s="114">
        <f>I49-AK49-AL49-AM49-AN49</f>
        <v>0</v>
      </c>
      <c r="AP49" s="142"/>
      <c r="AQ49" s="33"/>
      <c r="AR49" s="33"/>
      <c r="AS49" s="33"/>
      <c r="AT49" s="102"/>
      <c r="AV49" s="33"/>
      <c r="AW49" s="33"/>
      <c r="AX49" s="33"/>
      <c r="AY49" s="102"/>
      <c r="AZ49" s="142"/>
      <c r="BA49" s="33"/>
      <c r="BB49" s="33"/>
      <c r="BC49" s="33"/>
      <c r="BD49" s="102"/>
      <c r="BE49" s="142"/>
      <c r="BF49" s="33"/>
      <c r="BG49" s="33"/>
      <c r="BH49" s="33"/>
      <c r="BI49" s="102"/>
      <c r="BJ49" s="142"/>
      <c r="BK49" s="33"/>
      <c r="BL49" s="33"/>
      <c r="BM49" s="33"/>
      <c r="BN49" s="102"/>
      <c r="BO49" s="142"/>
      <c r="BP49" s="33"/>
      <c r="BQ49" s="33"/>
      <c r="BR49" s="33"/>
      <c r="BS49" s="102"/>
      <c r="BT49" s="142"/>
      <c r="BU49" s="33"/>
      <c r="BV49" s="33"/>
      <c r="BW49" s="33"/>
      <c r="BY49" s="2438">
        <v>1</v>
      </c>
      <c r="BZ49" s="1263">
        <f t="shared" ref="BZ49" si="126">BY49</f>
        <v>1</v>
      </c>
      <c r="CA49" s="1263">
        <f t="shared" ref="CA49" si="127">BZ49</f>
        <v>1</v>
      </c>
      <c r="CB49" s="1263">
        <f t="shared" ref="CB49" si="128">CA49</f>
        <v>1</v>
      </c>
      <c r="CC49" s="1263">
        <f t="shared" ref="CC49" si="129">CB49</f>
        <v>1</v>
      </c>
      <c r="CD49" s="1263">
        <f t="shared" ref="CD49" si="130">CC49</f>
        <v>1</v>
      </c>
      <c r="CE49" s="1263">
        <f t="shared" ref="CE49" si="131">CD49</f>
        <v>1</v>
      </c>
      <c r="CF49" s="1263">
        <f t="shared" ref="CF49" si="132">CE49</f>
        <v>1</v>
      </c>
      <c r="CG49" s="1263">
        <f t="shared" ref="CG49" si="133">CF49</f>
        <v>1</v>
      </c>
      <c r="CH49" s="1263">
        <f t="shared" ref="CH49" si="134">CG49</f>
        <v>1</v>
      </c>
      <c r="CI49" s="1263">
        <f t="shared" si="124"/>
        <v>1</v>
      </c>
      <c r="CJ49" s="1263">
        <f t="shared" si="124"/>
        <v>1</v>
      </c>
      <c r="CK49" s="1263"/>
      <c r="CL49" s="1920">
        <f t="shared" si="125"/>
        <v>287000</v>
      </c>
      <c r="CM49" s="78">
        <f t="shared" si="125"/>
        <v>343000</v>
      </c>
      <c r="CN49" s="78">
        <f t="shared" si="125"/>
        <v>0</v>
      </c>
      <c r="CO49" s="78">
        <f t="shared" si="125"/>
        <v>0</v>
      </c>
      <c r="CP49" s="78">
        <f t="shared" si="125"/>
        <v>0</v>
      </c>
      <c r="CQ49" s="78">
        <f t="shared" si="125"/>
        <v>0</v>
      </c>
      <c r="CR49" s="78">
        <f t="shared" si="125"/>
        <v>0</v>
      </c>
      <c r="CS49" s="78">
        <f t="shared" si="125"/>
        <v>0</v>
      </c>
      <c r="CT49" s="78">
        <f t="shared" si="125"/>
        <v>0</v>
      </c>
      <c r="CU49" s="78">
        <f t="shared" si="125"/>
        <v>0</v>
      </c>
      <c r="CV49" s="78">
        <f t="shared" si="125"/>
        <v>0</v>
      </c>
      <c r="CW49" s="131">
        <f t="shared" si="125"/>
        <v>0</v>
      </c>
    </row>
    <row r="50" spans="1:101" x14ac:dyDescent="0.2">
      <c r="A50" s="869" t="s">
        <v>5150</v>
      </c>
      <c r="B50" s="2352" t="s">
        <v>6601</v>
      </c>
      <c r="C50" s="2332" t="s">
        <v>6602</v>
      </c>
      <c r="D50" s="2352" t="s">
        <v>6602</v>
      </c>
      <c r="E50" s="142">
        <v>3300</v>
      </c>
      <c r="F50" s="33">
        <v>29000</v>
      </c>
      <c r="G50" s="33"/>
      <c r="H50" s="33"/>
      <c r="I50" s="76"/>
      <c r="J50" s="76"/>
      <c r="K50" s="76"/>
      <c r="L50" s="76"/>
      <c r="M50" s="33"/>
      <c r="N50" s="33"/>
      <c r="O50" s="33"/>
      <c r="P50" s="102"/>
      <c r="Q50" s="142"/>
      <c r="R50" s="33"/>
      <c r="S50" s="33"/>
      <c r="T50" s="33">
        <f>15000-13500</f>
        <v>1500</v>
      </c>
      <c r="U50" s="99">
        <f>E50-Q50-R50-S50-T50</f>
        <v>1800</v>
      </c>
      <c r="V50" s="186"/>
      <c r="W50" s="33"/>
      <c r="X50" s="99"/>
      <c r="Y50" s="33">
        <v>29000</v>
      </c>
      <c r="Z50" s="102">
        <f>F50-V50-W50-X50-Y50</f>
        <v>0</v>
      </c>
      <c r="AA50" s="142"/>
      <c r="AB50" s="33"/>
      <c r="AC50" s="33"/>
      <c r="AD50" s="33">
        <f>G50</f>
        <v>0</v>
      </c>
      <c r="AE50" s="102">
        <f>G50-AA50-AB50-AC50-AD50</f>
        <v>0</v>
      </c>
      <c r="AF50" s="142"/>
      <c r="AG50" s="33"/>
      <c r="AH50" s="33"/>
      <c r="AI50" s="33">
        <f>H50</f>
        <v>0</v>
      </c>
      <c r="AJ50" s="102">
        <f>H50-AF50-AG50-AH50-AI50</f>
        <v>0</v>
      </c>
      <c r="AK50" s="142"/>
      <c r="AL50" s="33"/>
      <c r="AM50" s="33"/>
      <c r="AN50" s="33"/>
      <c r="AO50" s="114">
        <f>I50-AK50-AL50-AM50-AN50</f>
        <v>0</v>
      </c>
      <c r="AP50" s="142"/>
      <c r="AQ50" s="33"/>
      <c r="AR50" s="33"/>
      <c r="AS50" s="33"/>
      <c r="AT50" s="102"/>
      <c r="AV50" s="33"/>
      <c r="AW50" s="33"/>
      <c r="AX50" s="33"/>
      <c r="AY50" s="102"/>
      <c r="AZ50" s="142"/>
      <c r="BA50" s="33"/>
      <c r="BB50" s="33"/>
      <c r="BC50" s="33"/>
      <c r="BD50" s="102"/>
      <c r="BE50" s="142"/>
      <c r="BF50" s="33"/>
      <c r="BG50" s="33"/>
      <c r="BH50" s="33"/>
      <c r="BI50" s="102"/>
      <c r="BJ50" s="142"/>
      <c r="BK50" s="33"/>
      <c r="BL50" s="33"/>
      <c r="BM50" s="33"/>
      <c r="BN50" s="102"/>
      <c r="BO50" s="142"/>
      <c r="BP50" s="33"/>
      <c r="BQ50" s="33"/>
      <c r="BR50" s="33"/>
      <c r="BS50" s="102"/>
      <c r="BT50" s="142"/>
      <c r="BU50" s="33"/>
      <c r="BV50" s="33"/>
      <c r="BW50" s="33"/>
      <c r="BY50" s="2438">
        <v>0</v>
      </c>
      <c r="BZ50" s="1263">
        <f t="shared" ref="BZ50:CH50" si="135">BY50</f>
        <v>0</v>
      </c>
      <c r="CA50" s="1263">
        <f t="shared" si="135"/>
        <v>0</v>
      </c>
      <c r="CB50" s="1263">
        <f t="shared" si="135"/>
        <v>0</v>
      </c>
      <c r="CC50" s="1263">
        <f t="shared" si="135"/>
        <v>0</v>
      </c>
      <c r="CD50" s="1263">
        <f t="shared" si="135"/>
        <v>0</v>
      </c>
      <c r="CE50" s="1263">
        <f t="shared" si="135"/>
        <v>0</v>
      </c>
      <c r="CF50" s="1263">
        <f t="shared" si="135"/>
        <v>0</v>
      </c>
      <c r="CG50" s="1263">
        <f t="shared" si="135"/>
        <v>0</v>
      </c>
      <c r="CH50" s="1263">
        <f t="shared" si="135"/>
        <v>0</v>
      </c>
      <c r="CI50" s="1263">
        <f t="shared" si="124"/>
        <v>0</v>
      </c>
      <c r="CJ50" s="1263">
        <f t="shared" si="124"/>
        <v>0</v>
      </c>
      <c r="CK50" s="1263"/>
      <c r="CL50" s="1920">
        <f t="shared" si="125"/>
        <v>0</v>
      </c>
      <c r="CM50" s="78">
        <f t="shared" si="125"/>
        <v>0</v>
      </c>
      <c r="CN50" s="78">
        <f t="shared" si="125"/>
        <v>0</v>
      </c>
      <c r="CO50" s="78">
        <f t="shared" si="125"/>
        <v>0</v>
      </c>
      <c r="CP50" s="78">
        <f t="shared" si="125"/>
        <v>0</v>
      </c>
      <c r="CQ50" s="78">
        <f t="shared" si="125"/>
        <v>0</v>
      </c>
      <c r="CR50" s="78">
        <f t="shared" si="125"/>
        <v>0</v>
      </c>
      <c r="CS50" s="78">
        <f t="shared" si="125"/>
        <v>0</v>
      </c>
      <c r="CT50" s="78">
        <f t="shared" si="125"/>
        <v>0</v>
      </c>
      <c r="CU50" s="78">
        <f t="shared" si="125"/>
        <v>0</v>
      </c>
      <c r="CV50" s="78">
        <f t="shared" si="125"/>
        <v>0</v>
      </c>
      <c r="CW50" s="131">
        <f t="shared" si="125"/>
        <v>0</v>
      </c>
    </row>
    <row r="51" spans="1:101" x14ac:dyDescent="0.2">
      <c r="A51" s="869" t="s">
        <v>6726</v>
      </c>
      <c r="B51" s="2352" t="s">
        <v>6599</v>
      </c>
      <c r="C51" s="2332" t="s">
        <v>5076</v>
      </c>
      <c r="D51" s="2352" t="s">
        <v>6599</v>
      </c>
      <c r="E51" s="142">
        <v>11700</v>
      </c>
      <c r="F51" s="33">
        <v>80000</v>
      </c>
      <c r="G51" s="33"/>
      <c r="H51" s="33"/>
      <c r="I51" s="76"/>
      <c r="J51" s="76"/>
      <c r="K51" s="76"/>
      <c r="L51" s="76"/>
      <c r="M51" s="33"/>
      <c r="N51" s="33"/>
      <c r="O51" s="33"/>
      <c r="P51" s="102"/>
      <c r="Q51" s="142"/>
      <c r="R51" s="33"/>
      <c r="S51" s="33"/>
      <c r="T51" s="33"/>
      <c r="U51" s="99">
        <f>E51-Q51-R51-S51-T51</f>
        <v>11700</v>
      </c>
      <c r="V51" s="186"/>
      <c r="W51" s="33"/>
      <c r="X51" s="99"/>
      <c r="Y51" s="33">
        <v>80000</v>
      </c>
      <c r="Z51" s="102">
        <f>F51-V51-W51-X51-Y51</f>
        <v>0</v>
      </c>
      <c r="AA51" s="142"/>
      <c r="AB51" s="33"/>
      <c r="AC51" s="33"/>
      <c r="AD51" s="33">
        <f>G51</f>
        <v>0</v>
      </c>
      <c r="AE51" s="102">
        <f>G51-AA51-AB51-AC51-AD51</f>
        <v>0</v>
      </c>
      <c r="AF51" s="142"/>
      <c r="AG51" s="33"/>
      <c r="AH51" s="33"/>
      <c r="AI51" s="33">
        <f>H51</f>
        <v>0</v>
      </c>
      <c r="AJ51" s="102">
        <f>H51-AF51-AG51-AH51-AI51</f>
        <v>0</v>
      </c>
      <c r="AK51" s="142"/>
      <c r="AL51" s="33"/>
      <c r="AM51" s="33"/>
      <c r="AN51" s="33"/>
      <c r="AO51" s="114">
        <f>I51-AK51-AL51-AM51-AN51</f>
        <v>0</v>
      </c>
      <c r="AP51" s="142"/>
      <c r="AQ51" s="33"/>
      <c r="AR51" s="33"/>
      <c r="AS51" s="33"/>
      <c r="AT51" s="102"/>
      <c r="AV51" s="33"/>
      <c r="AW51" s="33"/>
      <c r="AX51" s="33"/>
      <c r="AY51" s="102"/>
      <c r="AZ51" s="142"/>
      <c r="BA51" s="33"/>
      <c r="BB51" s="33"/>
      <c r="BC51" s="33"/>
      <c r="BD51" s="102"/>
      <c r="BE51" s="142"/>
      <c r="BF51" s="33"/>
      <c r="BG51" s="33"/>
      <c r="BH51" s="33"/>
      <c r="BI51" s="102"/>
      <c r="BJ51" s="142"/>
      <c r="BK51" s="33"/>
      <c r="BL51" s="33"/>
      <c r="BM51" s="33"/>
      <c r="BN51" s="102"/>
      <c r="BO51" s="142"/>
      <c r="BP51" s="33"/>
      <c r="BQ51" s="33"/>
      <c r="BR51" s="33"/>
      <c r="BS51" s="102"/>
      <c r="BT51" s="142"/>
      <c r="BU51" s="33"/>
      <c r="BV51" s="33"/>
      <c r="BW51" s="33"/>
      <c r="BY51" s="2438">
        <v>1</v>
      </c>
      <c r="BZ51" s="1263">
        <f t="shared" ref="BZ51" si="136">BY51</f>
        <v>1</v>
      </c>
      <c r="CA51" s="1263">
        <f t="shared" ref="CA51" si="137">BZ51</f>
        <v>1</v>
      </c>
      <c r="CB51" s="1263">
        <f t="shared" ref="CB51" si="138">CA51</f>
        <v>1</v>
      </c>
      <c r="CC51" s="1263">
        <f t="shared" ref="CC51" si="139">CB51</f>
        <v>1</v>
      </c>
      <c r="CD51" s="1263">
        <f t="shared" ref="CD51" si="140">CC51</f>
        <v>1</v>
      </c>
      <c r="CE51" s="1263">
        <f t="shared" ref="CE51" si="141">CD51</f>
        <v>1</v>
      </c>
      <c r="CF51" s="1263">
        <f t="shared" ref="CF51" si="142">CE51</f>
        <v>1</v>
      </c>
      <c r="CG51" s="1263">
        <f t="shared" ref="CG51" si="143">CF51</f>
        <v>1</v>
      </c>
      <c r="CH51" s="1263">
        <f t="shared" ref="CH51" si="144">CG51</f>
        <v>1</v>
      </c>
      <c r="CI51" s="1263">
        <f t="shared" si="124"/>
        <v>1</v>
      </c>
      <c r="CJ51" s="1263">
        <f t="shared" si="124"/>
        <v>1</v>
      </c>
      <c r="CK51" s="1263"/>
      <c r="CL51" s="1920">
        <f t="shared" si="125"/>
        <v>12000</v>
      </c>
      <c r="CM51" s="78">
        <f t="shared" si="125"/>
        <v>80000</v>
      </c>
      <c r="CN51" s="78">
        <f t="shared" si="125"/>
        <v>0</v>
      </c>
      <c r="CO51" s="78">
        <f t="shared" si="125"/>
        <v>0</v>
      </c>
      <c r="CP51" s="78">
        <f t="shared" si="125"/>
        <v>0</v>
      </c>
      <c r="CQ51" s="78">
        <f t="shared" si="125"/>
        <v>0</v>
      </c>
      <c r="CR51" s="78">
        <f t="shared" si="125"/>
        <v>0</v>
      </c>
      <c r="CS51" s="78">
        <f t="shared" si="125"/>
        <v>0</v>
      </c>
      <c r="CT51" s="78">
        <f t="shared" si="125"/>
        <v>0</v>
      </c>
      <c r="CU51" s="78">
        <f t="shared" si="125"/>
        <v>0</v>
      </c>
      <c r="CV51" s="78">
        <f t="shared" si="125"/>
        <v>0</v>
      </c>
      <c r="CW51" s="131">
        <f t="shared" si="125"/>
        <v>0</v>
      </c>
    </row>
    <row r="52" spans="1:101" x14ac:dyDescent="0.2">
      <c r="A52" s="869"/>
      <c r="B52" s="2354"/>
      <c r="C52" s="2343"/>
      <c r="D52" s="2328"/>
      <c r="E52" s="142"/>
      <c r="F52" s="33"/>
      <c r="G52" s="33"/>
      <c r="H52" s="33"/>
      <c r="I52" s="76"/>
      <c r="J52" s="76"/>
      <c r="K52" s="76"/>
      <c r="L52" s="76"/>
      <c r="M52" s="33"/>
      <c r="N52" s="33"/>
      <c r="O52" s="33"/>
      <c r="P52" s="102"/>
      <c r="Q52" s="142"/>
      <c r="R52" s="33"/>
      <c r="S52" s="33"/>
      <c r="T52" s="33"/>
      <c r="V52" s="186"/>
      <c r="W52" s="33"/>
      <c r="X52" s="99"/>
      <c r="Y52" s="33"/>
      <c r="Z52" s="102"/>
      <c r="AA52" s="142"/>
      <c r="AB52" s="33"/>
      <c r="AC52" s="33"/>
      <c r="AD52" s="33"/>
      <c r="AE52" s="129"/>
      <c r="AF52" s="142"/>
      <c r="AG52" s="33"/>
      <c r="AH52" s="33"/>
      <c r="AI52" s="33"/>
      <c r="AJ52" s="102"/>
      <c r="AK52" s="142"/>
      <c r="AL52" s="33"/>
      <c r="AM52" s="33"/>
      <c r="AN52" s="33"/>
      <c r="AO52" s="114"/>
      <c r="AP52" s="142"/>
      <c r="AQ52" s="33"/>
      <c r="AR52" s="33"/>
      <c r="AS52" s="33"/>
      <c r="AT52" s="102"/>
      <c r="AV52" s="33"/>
      <c r="AW52" s="33"/>
      <c r="AX52" s="33"/>
      <c r="AY52" s="102"/>
      <c r="AZ52" s="142"/>
      <c r="BA52" s="33"/>
      <c r="BB52" s="33"/>
      <c r="BC52" s="33"/>
      <c r="BD52" s="102"/>
      <c r="BE52" s="142"/>
      <c r="BF52" s="33"/>
      <c r="BG52" s="33"/>
      <c r="BH52" s="33"/>
      <c r="BI52" s="102"/>
      <c r="BJ52" s="142"/>
      <c r="BK52" s="33"/>
      <c r="BL52" s="33"/>
      <c r="BM52" s="33"/>
      <c r="BN52" s="102"/>
      <c r="BO52" s="142"/>
      <c r="BP52" s="33"/>
      <c r="BQ52" s="33"/>
      <c r="BR52" s="33"/>
      <c r="BS52" s="102"/>
      <c r="BT52" s="142"/>
      <c r="BU52" s="33"/>
      <c r="BV52" s="33"/>
      <c r="BW52" s="33"/>
      <c r="BY52" s="2437"/>
      <c r="BZ52" s="740"/>
      <c r="CA52" s="740"/>
      <c r="CB52" s="740"/>
      <c r="CC52" s="740"/>
      <c r="CD52" s="740"/>
      <c r="CE52" s="740"/>
      <c r="CF52" s="740"/>
      <c r="CG52" s="740"/>
      <c r="CH52" s="740"/>
      <c r="CI52" s="740"/>
      <c r="CJ52" s="740"/>
      <c r="CK52" s="740"/>
      <c r="CL52" s="502"/>
      <c r="CM52" s="99"/>
      <c r="CN52" s="99"/>
      <c r="CO52" s="99"/>
      <c r="CP52" s="99"/>
      <c r="CQ52" s="99"/>
      <c r="CR52" s="99"/>
      <c r="CS52" s="99"/>
      <c r="CT52" s="99"/>
      <c r="CU52" s="99"/>
      <c r="CV52" s="99"/>
      <c r="CW52" s="114"/>
    </row>
    <row r="53" spans="1:101" x14ac:dyDescent="0.2">
      <c r="A53" s="590" t="s">
        <v>1417</v>
      </c>
      <c r="B53" s="2354"/>
      <c r="C53" s="2335"/>
      <c r="D53" s="2388"/>
      <c r="E53" s="142"/>
      <c r="F53" s="33"/>
      <c r="G53" s="33"/>
      <c r="H53" s="33"/>
      <c r="I53" s="76"/>
      <c r="J53" s="76"/>
      <c r="K53" s="76"/>
      <c r="L53" s="76"/>
      <c r="M53" s="33"/>
      <c r="N53" s="33"/>
      <c r="O53" s="33"/>
      <c r="P53" s="102"/>
      <c r="Q53" s="142"/>
      <c r="R53" s="33"/>
      <c r="S53" s="33"/>
      <c r="T53" s="33"/>
      <c r="V53" s="186"/>
      <c r="W53" s="33"/>
      <c r="X53" s="99"/>
      <c r="Y53" s="33"/>
      <c r="Z53" s="102"/>
      <c r="AA53" s="142"/>
      <c r="AB53" s="33"/>
      <c r="AC53" s="33"/>
      <c r="AD53" s="33"/>
      <c r="AE53" s="129"/>
      <c r="AF53" s="142"/>
      <c r="AG53" s="33"/>
      <c r="AH53" s="33"/>
      <c r="AI53" s="33"/>
      <c r="AJ53" s="102"/>
      <c r="AK53" s="142"/>
      <c r="AL53" s="33"/>
      <c r="AM53" s="33"/>
      <c r="AN53" s="33"/>
      <c r="AO53" s="114"/>
      <c r="AP53" s="142"/>
      <c r="AQ53" s="33"/>
      <c r="AR53" s="33"/>
      <c r="AS53" s="33"/>
      <c r="AT53" s="102"/>
      <c r="AV53" s="33"/>
      <c r="AW53" s="33"/>
      <c r="AX53" s="33"/>
      <c r="AY53" s="102"/>
      <c r="AZ53" s="142"/>
      <c r="BA53" s="33"/>
      <c r="BB53" s="33"/>
      <c r="BC53" s="33"/>
      <c r="BD53" s="102"/>
      <c r="BE53" s="142"/>
      <c r="BF53" s="33"/>
      <c r="BG53" s="33"/>
      <c r="BH53" s="33"/>
      <c r="BI53" s="102"/>
      <c r="BJ53" s="142"/>
      <c r="BK53" s="33"/>
      <c r="BL53" s="33"/>
      <c r="BM53" s="33"/>
      <c r="BN53" s="102"/>
      <c r="BO53" s="142"/>
      <c r="BP53" s="33"/>
      <c r="BQ53" s="33"/>
      <c r="BR53" s="33"/>
      <c r="BS53" s="102"/>
      <c r="BT53" s="142"/>
      <c r="BU53" s="33"/>
      <c r="BV53" s="33"/>
      <c r="BW53" s="33"/>
      <c r="BY53" s="2437"/>
      <c r="BZ53" s="740"/>
      <c r="CA53" s="740"/>
      <c r="CB53" s="740"/>
      <c r="CC53" s="740"/>
      <c r="CD53" s="740"/>
      <c r="CE53" s="740"/>
      <c r="CF53" s="740"/>
      <c r="CG53" s="740"/>
      <c r="CH53" s="740"/>
      <c r="CI53" s="740"/>
      <c r="CJ53" s="740"/>
      <c r="CK53" s="740"/>
      <c r="CL53" s="502"/>
      <c r="CM53" s="99"/>
      <c r="CN53" s="99"/>
      <c r="CO53" s="99"/>
      <c r="CP53" s="99"/>
      <c r="CQ53" s="99"/>
      <c r="CR53" s="99"/>
      <c r="CS53" s="99"/>
      <c r="CT53" s="99"/>
      <c r="CU53" s="99"/>
      <c r="CV53" s="99"/>
      <c r="CW53" s="114"/>
    </row>
    <row r="54" spans="1:101" x14ac:dyDescent="0.2">
      <c r="A54" s="869" t="s">
        <v>3595</v>
      </c>
      <c r="B54" s="2354" t="s">
        <v>6242</v>
      </c>
      <c r="C54" s="2332" t="s">
        <v>5263</v>
      </c>
      <c r="D54" s="2327" t="s">
        <v>5263</v>
      </c>
      <c r="E54" s="142"/>
      <c r="F54" s="33">
        <f>10000+10000</f>
        <v>20000</v>
      </c>
      <c r="G54" s="33">
        <f>ROUND((F54*Assumptions!H$6+F54),-3)</f>
        <v>21000</v>
      </c>
      <c r="H54" s="33">
        <f>ROUND((G54*Assumptions!I$6+G54),-3)</f>
        <v>22000</v>
      </c>
      <c r="I54" s="76">
        <f>ROUND((H54*Assumptions!J$6+H54),-3)</f>
        <v>23000</v>
      </c>
      <c r="J54" s="76">
        <f>ROUND((I54*Assumptions!K$6+I54),-3)</f>
        <v>24000</v>
      </c>
      <c r="K54" s="76">
        <f>ROUND((J54*Assumptions!L$6+J54),-3)</f>
        <v>25000</v>
      </c>
      <c r="L54" s="33">
        <f>ROUND((K54*Assumptions!M$6+K54),-3)</f>
        <v>26000</v>
      </c>
      <c r="M54" s="142">
        <f>ROUND((L54*Assumptions!N$6+L54),-3)</f>
        <v>27000</v>
      </c>
      <c r="N54" s="33">
        <f>ROUND((M54*Assumptions!O$6+M54),-3)</f>
        <v>28000</v>
      </c>
      <c r="O54" s="33">
        <f>ROUND((N54*Assumptions!P$6+N54),-3)</f>
        <v>29000</v>
      </c>
      <c r="P54" s="102">
        <f>ROUND((O54*Assumptions!Q$6+O54),-3)</f>
        <v>30000</v>
      </c>
      <c r="Q54" s="142"/>
      <c r="R54" s="33"/>
      <c r="S54" s="33"/>
      <c r="T54" s="33">
        <f>E54</f>
        <v>0</v>
      </c>
      <c r="U54" s="99">
        <f>E54-Q54-R54-S54-T54</f>
        <v>0</v>
      </c>
      <c r="V54" s="186"/>
      <c r="W54" s="33"/>
      <c r="X54" s="33"/>
      <c r="Y54" s="33">
        <f>F54</f>
        <v>20000</v>
      </c>
      <c r="Z54" s="102">
        <f>F54-V54-W54-X54-Y54</f>
        <v>0</v>
      </c>
      <c r="AA54" s="142"/>
      <c r="AB54" s="33"/>
      <c r="AC54" s="33"/>
      <c r="AD54" s="33">
        <f>G54</f>
        <v>21000</v>
      </c>
      <c r="AE54" s="102">
        <f>G54-AA54-AB54-AC54-AD54</f>
        <v>0</v>
      </c>
      <c r="AF54" s="142"/>
      <c r="AG54" s="33"/>
      <c r="AH54" s="33"/>
      <c r="AI54" s="33">
        <f>H54</f>
        <v>22000</v>
      </c>
      <c r="AJ54" s="102">
        <f>H54-AF54-AG54-AH54-AI54</f>
        <v>0</v>
      </c>
      <c r="AK54" s="142"/>
      <c r="AL54" s="33"/>
      <c r="AM54" s="33"/>
      <c r="AN54" s="33">
        <f>I54</f>
        <v>23000</v>
      </c>
      <c r="AO54" s="114">
        <f>I54-AK54-AL54-AM54-AN54</f>
        <v>0</v>
      </c>
      <c r="AP54" s="142"/>
      <c r="AQ54" s="33"/>
      <c r="AR54" s="33"/>
      <c r="AS54" s="33">
        <f>J54</f>
        <v>24000</v>
      </c>
      <c r="AT54" s="102">
        <f>J54-AP54-AQ54-AR54-AS54</f>
        <v>0</v>
      </c>
      <c r="AV54" s="33"/>
      <c r="AW54" s="33"/>
      <c r="AX54" s="33">
        <f>K54</f>
        <v>25000</v>
      </c>
      <c r="AY54" s="102">
        <f>K54-AU54-AV54-AW54-AX54</f>
        <v>0</v>
      </c>
      <c r="AZ54" s="142"/>
      <c r="BA54" s="33"/>
      <c r="BB54" s="33"/>
      <c r="BC54" s="33">
        <f>L54</f>
        <v>26000</v>
      </c>
      <c r="BD54" s="102">
        <f>L54-AZ54-BA54-BB54-BC54</f>
        <v>0</v>
      </c>
      <c r="BE54" s="142"/>
      <c r="BF54" s="33"/>
      <c r="BG54" s="33"/>
      <c r="BH54" s="33">
        <f>M54</f>
        <v>27000</v>
      </c>
      <c r="BI54" s="102">
        <f>M54-BE54-BF54-BG54-BH54</f>
        <v>0</v>
      </c>
      <c r="BJ54" s="142"/>
      <c r="BK54" s="33"/>
      <c r="BL54" s="33"/>
      <c r="BM54" s="33">
        <f>N54</f>
        <v>28000</v>
      </c>
      <c r="BN54" s="102">
        <f>N54-BJ54-BK54-BL54-BM54</f>
        <v>0</v>
      </c>
      <c r="BO54" s="142"/>
      <c r="BP54" s="33"/>
      <c r="BQ54" s="33"/>
      <c r="BR54" s="33">
        <f>O54</f>
        <v>29000</v>
      </c>
      <c r="BS54" s="102">
        <f>O54-BO54-BP54-BQ54-BR54</f>
        <v>0</v>
      </c>
      <c r="BT54" s="142"/>
      <c r="BU54" s="33"/>
      <c r="BV54" s="33"/>
      <c r="BW54" s="33">
        <f>P54</f>
        <v>30000</v>
      </c>
      <c r="BX54" s="99">
        <f t="shared" ref="BX54" si="145">P54-BT54-BU54-BV54-BW54</f>
        <v>0</v>
      </c>
      <c r="BY54" s="2438">
        <v>0</v>
      </c>
      <c r="BZ54" s="1263">
        <f t="shared" ref="BZ54" si="146">BY54</f>
        <v>0</v>
      </c>
      <c r="CA54" s="1263">
        <f t="shared" ref="CA54" si="147">BZ54</f>
        <v>0</v>
      </c>
      <c r="CB54" s="1263">
        <f t="shared" ref="CB54" si="148">CA54</f>
        <v>0</v>
      </c>
      <c r="CC54" s="1263">
        <f t="shared" ref="CC54" si="149">CB54</f>
        <v>0</v>
      </c>
      <c r="CD54" s="1263">
        <f t="shared" ref="CD54" si="150">CC54</f>
        <v>0</v>
      </c>
      <c r="CE54" s="1263">
        <f t="shared" ref="CE54" si="151">CD54</f>
        <v>0</v>
      </c>
      <c r="CF54" s="1263">
        <f t="shared" ref="CF54" si="152">CE54</f>
        <v>0</v>
      </c>
      <c r="CG54" s="1263">
        <f t="shared" ref="CG54" si="153">CF54</f>
        <v>0</v>
      </c>
      <c r="CH54" s="1263">
        <f t="shared" ref="CH54" si="154">CG54</f>
        <v>0</v>
      </c>
      <c r="CI54" s="1263">
        <f>CH54</f>
        <v>0</v>
      </c>
      <c r="CJ54" s="1263">
        <f>CI54</f>
        <v>0</v>
      </c>
      <c r="CK54" s="1263"/>
      <c r="CL54" s="1920">
        <f t="shared" ref="CL54:CW54" si="155">ROUND(BY54*E54,-3)</f>
        <v>0</v>
      </c>
      <c r="CM54" s="78">
        <f t="shared" si="155"/>
        <v>0</v>
      </c>
      <c r="CN54" s="78">
        <f t="shared" si="155"/>
        <v>0</v>
      </c>
      <c r="CO54" s="78">
        <f t="shared" si="155"/>
        <v>0</v>
      </c>
      <c r="CP54" s="78">
        <f t="shared" si="155"/>
        <v>0</v>
      </c>
      <c r="CQ54" s="78">
        <f t="shared" si="155"/>
        <v>0</v>
      </c>
      <c r="CR54" s="78">
        <f t="shared" si="155"/>
        <v>0</v>
      </c>
      <c r="CS54" s="78">
        <f t="shared" si="155"/>
        <v>0</v>
      </c>
      <c r="CT54" s="78">
        <f t="shared" si="155"/>
        <v>0</v>
      </c>
      <c r="CU54" s="78">
        <f t="shared" si="155"/>
        <v>0</v>
      </c>
      <c r="CV54" s="78">
        <f t="shared" si="155"/>
        <v>0</v>
      </c>
      <c r="CW54" s="131">
        <f t="shared" si="155"/>
        <v>0</v>
      </c>
    </row>
    <row r="55" spans="1:101" x14ac:dyDescent="0.2">
      <c r="A55" s="413"/>
      <c r="B55" s="2354"/>
      <c r="C55" s="2334"/>
      <c r="D55" s="2330"/>
      <c r="E55" s="142"/>
      <c r="F55" s="33"/>
      <c r="G55" s="33"/>
      <c r="H55" s="33"/>
      <c r="I55" s="76"/>
      <c r="J55" s="76"/>
      <c r="K55" s="76"/>
      <c r="L55" s="76"/>
      <c r="M55" s="33"/>
      <c r="N55" s="33"/>
      <c r="O55" s="33"/>
      <c r="P55" s="102"/>
      <c r="Q55" s="142"/>
      <c r="R55" s="33"/>
      <c r="S55" s="33"/>
      <c r="T55" s="33"/>
      <c r="V55" s="186"/>
      <c r="W55" s="33"/>
      <c r="X55" s="99"/>
      <c r="Y55" s="101"/>
      <c r="Z55" s="102"/>
      <c r="AA55" s="142"/>
      <c r="AB55" s="101"/>
      <c r="AC55" s="101"/>
      <c r="AD55" s="33"/>
      <c r="AE55" s="129"/>
      <c r="AF55" s="142"/>
      <c r="AG55" s="101"/>
      <c r="AH55" s="101"/>
      <c r="AI55" s="33"/>
      <c r="AJ55" s="102"/>
      <c r="AK55" s="142"/>
      <c r="AL55" s="101"/>
      <c r="AM55" s="101"/>
      <c r="AN55" s="101"/>
      <c r="AO55" s="114"/>
      <c r="AP55" s="142"/>
      <c r="AQ55" s="101"/>
      <c r="AR55" s="101"/>
      <c r="AS55" s="101"/>
      <c r="AT55" s="102"/>
      <c r="AV55" s="101"/>
      <c r="AW55" s="101"/>
      <c r="AX55" s="101"/>
      <c r="AY55" s="102"/>
      <c r="AZ55" s="142"/>
      <c r="BA55" s="101"/>
      <c r="BB55" s="101"/>
      <c r="BC55" s="33"/>
      <c r="BD55" s="102"/>
      <c r="BE55" s="142"/>
      <c r="BF55" s="101"/>
      <c r="BG55" s="101"/>
      <c r="BH55" s="33"/>
      <c r="BI55" s="102"/>
      <c r="BJ55" s="142"/>
      <c r="BK55" s="101"/>
      <c r="BL55" s="101"/>
      <c r="BM55" s="33"/>
      <c r="BN55" s="102"/>
      <c r="BO55" s="142"/>
      <c r="BP55" s="101"/>
      <c r="BQ55" s="101"/>
      <c r="BR55" s="33"/>
      <c r="BS55" s="102"/>
      <c r="BT55" s="142"/>
      <c r="BU55" s="101"/>
      <c r="BV55" s="101"/>
      <c r="BW55" s="33"/>
      <c r="BY55" s="2437"/>
      <c r="BZ55" s="740"/>
      <c r="CA55" s="740"/>
      <c r="CB55" s="740"/>
      <c r="CC55" s="740"/>
      <c r="CD55" s="740"/>
      <c r="CE55" s="740"/>
      <c r="CF55" s="740"/>
      <c r="CG55" s="740"/>
      <c r="CH55" s="740"/>
      <c r="CI55" s="740"/>
      <c r="CJ55" s="740"/>
      <c r="CK55" s="740"/>
      <c r="CL55" s="502"/>
      <c r="CM55" s="99"/>
      <c r="CN55" s="99"/>
      <c r="CO55" s="99"/>
      <c r="CP55" s="99"/>
      <c r="CQ55" s="99"/>
      <c r="CR55" s="99"/>
      <c r="CS55" s="99"/>
      <c r="CT55" s="99"/>
      <c r="CU55" s="99"/>
      <c r="CV55" s="99"/>
      <c r="CW55" s="114"/>
    </row>
    <row r="56" spans="1:101" x14ac:dyDescent="0.2">
      <c r="A56" s="590" t="s">
        <v>7040</v>
      </c>
      <c r="B56" s="2354"/>
      <c r="C56" s="2335"/>
      <c r="D56" s="2388"/>
      <c r="E56" s="142"/>
      <c r="F56" s="33"/>
      <c r="G56" s="33"/>
      <c r="H56" s="33"/>
      <c r="I56" s="33"/>
      <c r="J56" s="142"/>
      <c r="K56" s="33"/>
      <c r="L56" s="33"/>
      <c r="M56" s="142"/>
      <c r="N56" s="33"/>
      <c r="O56" s="33"/>
      <c r="P56" s="102"/>
      <c r="Q56" s="142"/>
      <c r="R56" s="33"/>
      <c r="S56" s="33"/>
      <c r="T56" s="33"/>
      <c r="V56" s="186"/>
      <c r="W56" s="33"/>
      <c r="X56" s="99"/>
      <c r="Y56" s="33"/>
      <c r="Z56" s="102"/>
      <c r="AA56" s="142"/>
      <c r="AB56" s="33"/>
      <c r="AC56" s="33"/>
      <c r="AD56" s="33"/>
      <c r="AE56" s="129"/>
      <c r="AF56" s="142"/>
      <c r="AG56" s="33"/>
      <c r="AH56" s="33"/>
      <c r="AI56" s="33"/>
      <c r="AJ56" s="102"/>
      <c r="AK56" s="142"/>
      <c r="AL56" s="33"/>
      <c r="AM56" s="33"/>
      <c r="AN56" s="33"/>
      <c r="AO56" s="114"/>
      <c r="AP56" s="142"/>
      <c r="AQ56" s="33"/>
      <c r="AR56" s="33"/>
      <c r="AS56" s="33"/>
      <c r="AT56" s="102"/>
      <c r="AV56" s="33"/>
      <c r="AW56" s="33"/>
      <c r="AX56" s="33"/>
      <c r="AY56" s="102"/>
      <c r="AZ56" s="142"/>
      <c r="BA56" s="33"/>
      <c r="BB56" s="33"/>
      <c r="BC56" s="33"/>
      <c r="BD56" s="102"/>
      <c r="BE56" s="142"/>
      <c r="BF56" s="33"/>
      <c r="BG56" s="33"/>
      <c r="BH56" s="33"/>
      <c r="BI56" s="102"/>
      <c r="BJ56" s="142"/>
      <c r="BK56" s="33"/>
      <c r="BL56" s="33"/>
      <c r="BM56" s="33"/>
      <c r="BN56" s="102"/>
      <c r="BO56" s="142"/>
      <c r="BP56" s="33"/>
      <c r="BQ56" s="33"/>
      <c r="BR56" s="33"/>
      <c r="BS56" s="102"/>
      <c r="BT56" s="142"/>
      <c r="BU56" s="33"/>
      <c r="BV56" s="33"/>
      <c r="BW56" s="33"/>
      <c r="BY56" s="2437"/>
      <c r="BZ56" s="740"/>
      <c r="CA56" s="740"/>
      <c r="CB56" s="740"/>
      <c r="CC56" s="740"/>
      <c r="CD56" s="740"/>
      <c r="CE56" s="740"/>
      <c r="CF56" s="740"/>
      <c r="CG56" s="740"/>
      <c r="CH56" s="740"/>
      <c r="CI56" s="740"/>
      <c r="CJ56" s="740"/>
      <c r="CK56" s="740"/>
      <c r="CL56" s="502"/>
      <c r="CM56" s="99"/>
      <c r="CN56" s="99"/>
      <c r="CO56" s="99"/>
      <c r="CP56" s="99"/>
      <c r="CQ56" s="99"/>
      <c r="CR56" s="99"/>
      <c r="CS56" s="99"/>
      <c r="CT56" s="99"/>
      <c r="CU56" s="99"/>
      <c r="CV56" s="99"/>
      <c r="CW56" s="114"/>
    </row>
    <row r="57" spans="1:101" x14ac:dyDescent="0.2">
      <c r="A57" s="413" t="s">
        <v>2434</v>
      </c>
      <c r="B57" s="2354" t="s">
        <v>3988</v>
      </c>
      <c r="C57" s="2332" t="s">
        <v>4112</v>
      </c>
      <c r="D57" s="2327"/>
      <c r="E57" s="142">
        <v>2719100</v>
      </c>
      <c r="F57" s="33"/>
      <c r="G57" s="33"/>
      <c r="H57" s="33"/>
      <c r="I57" s="33"/>
      <c r="J57" s="142"/>
      <c r="K57" s="33"/>
      <c r="L57" s="33"/>
      <c r="M57" s="142">
        <v>1000000</v>
      </c>
      <c r="N57" s="33">
        <v>1000000</v>
      </c>
      <c r="O57" s="33"/>
      <c r="P57" s="102"/>
      <c r="Q57" s="142">
        <v>2207000</v>
      </c>
      <c r="R57" s="76"/>
      <c r="S57" s="76">
        <v>500000</v>
      </c>
      <c r="T57" s="33"/>
      <c r="U57" s="99">
        <f>E57-Q57-R57-S57-T57</f>
        <v>12100</v>
      </c>
      <c r="V57" s="186"/>
      <c r="W57" s="33"/>
      <c r="X57" s="99"/>
      <c r="Y57" s="33"/>
      <c r="Z57" s="102">
        <f t="shared" ref="Z57:Z62" si="156">F57-V57-W57-X57-Y57</f>
        <v>0</v>
      </c>
      <c r="AA57" s="142"/>
      <c r="AB57" s="76"/>
      <c r="AC57" s="76"/>
      <c r="AD57" s="33">
        <f>G57</f>
        <v>0</v>
      </c>
      <c r="AE57" s="102">
        <f>G57-AA57-AB57-AC57-AD57</f>
        <v>0</v>
      </c>
      <c r="AF57" s="142"/>
      <c r="AG57" s="76"/>
      <c r="AH57" s="76"/>
      <c r="AI57" s="33">
        <f>H57</f>
        <v>0</v>
      </c>
      <c r="AJ57" s="102">
        <f>H57-AF57-AG57-AH57-AI57</f>
        <v>0</v>
      </c>
      <c r="AK57" s="142"/>
      <c r="AL57" s="76"/>
      <c r="AM57" s="76"/>
      <c r="AN57" s="33">
        <f>I57</f>
        <v>0</v>
      </c>
      <c r="AO57" s="114">
        <f>I57-AK57-AL57-AM57-AN57</f>
        <v>0</v>
      </c>
      <c r="AP57" s="142"/>
      <c r="AQ57" s="76"/>
      <c r="AR57" s="76"/>
      <c r="AS57" s="33">
        <f>J57</f>
        <v>0</v>
      </c>
      <c r="AT57" s="102">
        <f>J57-AP57-AQ57-AR57-AS57</f>
        <v>0</v>
      </c>
      <c r="AV57" s="33"/>
      <c r="AW57" s="33"/>
      <c r="AX57" s="33">
        <f>K57</f>
        <v>0</v>
      </c>
      <c r="AY57" s="102">
        <f>K57-AU57-AV57-AW57-AX57</f>
        <v>0</v>
      </c>
      <c r="AZ57" s="142"/>
      <c r="BA57" s="76"/>
      <c r="BB57" s="76"/>
      <c r="BC57" s="33">
        <f>L57</f>
        <v>0</v>
      </c>
      <c r="BD57" s="102">
        <f>L57-AZ57-BA57-BB57-BC57</f>
        <v>0</v>
      </c>
      <c r="BE57" s="142"/>
      <c r="BF57" s="76"/>
      <c r="BG57" s="76"/>
      <c r="BH57" s="33">
        <f>M57</f>
        <v>1000000</v>
      </c>
      <c r="BI57" s="102">
        <f>M57-BE57-BF57-BG57-BH57</f>
        <v>0</v>
      </c>
      <c r="BJ57" s="142"/>
      <c r="BK57" s="76"/>
      <c r="BL57" s="76"/>
      <c r="BM57" s="33">
        <f>N57</f>
        <v>1000000</v>
      </c>
      <c r="BN57" s="102">
        <f>N57-BJ57-BK57-BL57-BM57</f>
        <v>0</v>
      </c>
      <c r="BO57" s="142"/>
      <c r="BP57" s="76"/>
      <c r="BQ57" s="76"/>
      <c r="BR57" s="33">
        <f>O57</f>
        <v>0</v>
      </c>
      <c r="BS57" s="102">
        <f>O57-BO57-BP57-BQ57-BR57</f>
        <v>0</v>
      </c>
      <c r="BT57" s="142"/>
      <c r="BU57" s="76"/>
      <c r="BV57" s="76"/>
      <c r="BW57" s="33">
        <f>P57</f>
        <v>0</v>
      </c>
      <c r="BX57" s="99">
        <f t="shared" ref="BX57:BX61" si="157">P57-BT57-BU57-BV57-BW57</f>
        <v>0</v>
      </c>
      <c r="BY57" s="2438">
        <v>0</v>
      </c>
      <c r="BZ57" s="1263">
        <f t="shared" ref="BZ57" si="158">BY57</f>
        <v>0</v>
      </c>
      <c r="CA57" s="1263">
        <f t="shared" ref="CA57" si="159">BZ57</f>
        <v>0</v>
      </c>
      <c r="CB57" s="1263">
        <f t="shared" ref="CB57" si="160">CA57</f>
        <v>0</v>
      </c>
      <c r="CC57" s="1263">
        <f t="shared" ref="CC57" si="161">CB57</f>
        <v>0</v>
      </c>
      <c r="CD57" s="1263">
        <f t="shared" ref="CD57" si="162">CC57</f>
        <v>0</v>
      </c>
      <c r="CE57" s="1263">
        <f t="shared" ref="CE57" si="163">CD57</f>
        <v>0</v>
      </c>
      <c r="CF57" s="1263">
        <f t="shared" ref="CF57" si="164">CE57</f>
        <v>0</v>
      </c>
      <c r="CG57" s="1263">
        <f t="shared" ref="CG57" si="165">CF57</f>
        <v>0</v>
      </c>
      <c r="CH57" s="1263">
        <f t="shared" ref="CH57" si="166">CG57</f>
        <v>0</v>
      </c>
      <c r="CI57" s="1263">
        <f t="shared" ref="CI57:CJ59" si="167">CH57</f>
        <v>0</v>
      </c>
      <c r="CJ57" s="1263">
        <f t="shared" si="167"/>
        <v>0</v>
      </c>
      <c r="CK57" s="1263"/>
      <c r="CL57" s="1920">
        <f t="shared" ref="CL57:CW61" si="168">ROUND(BY57*E57,-3)</f>
        <v>0</v>
      </c>
      <c r="CM57" s="78">
        <f t="shared" si="168"/>
        <v>0</v>
      </c>
      <c r="CN57" s="78">
        <f t="shared" si="168"/>
        <v>0</v>
      </c>
      <c r="CO57" s="78">
        <f t="shared" si="168"/>
        <v>0</v>
      </c>
      <c r="CP57" s="78">
        <f t="shared" si="168"/>
        <v>0</v>
      </c>
      <c r="CQ57" s="78">
        <f t="shared" si="168"/>
        <v>0</v>
      </c>
      <c r="CR57" s="78">
        <f t="shared" si="168"/>
        <v>0</v>
      </c>
      <c r="CS57" s="78">
        <f t="shared" si="168"/>
        <v>0</v>
      </c>
      <c r="CT57" s="78">
        <f t="shared" si="168"/>
        <v>0</v>
      </c>
      <c r="CU57" s="78">
        <f t="shared" si="168"/>
        <v>0</v>
      </c>
      <c r="CV57" s="78">
        <f t="shared" si="168"/>
        <v>0</v>
      </c>
      <c r="CW57" s="131">
        <f t="shared" si="168"/>
        <v>0</v>
      </c>
    </row>
    <row r="58" spans="1:101" x14ac:dyDescent="0.2">
      <c r="A58" s="869" t="s">
        <v>3698</v>
      </c>
      <c r="B58" s="2354" t="s">
        <v>3989</v>
      </c>
      <c r="C58" s="2332" t="s">
        <v>4113</v>
      </c>
      <c r="D58" s="2327"/>
      <c r="E58" s="33">
        <v>34200</v>
      </c>
      <c r="F58" s="33"/>
      <c r="G58" s="33"/>
      <c r="H58" s="33"/>
      <c r="I58" s="33"/>
      <c r="J58" s="142"/>
      <c r="K58" s="33"/>
      <c r="L58" s="33"/>
      <c r="M58" s="142"/>
      <c r="N58" s="33"/>
      <c r="O58" s="33"/>
      <c r="P58" s="102"/>
      <c r="Q58" s="142"/>
      <c r="R58" s="76"/>
      <c r="S58" s="76"/>
      <c r="T58" s="33">
        <f>E58</f>
        <v>34200</v>
      </c>
      <c r="V58" s="186"/>
      <c r="W58" s="33"/>
      <c r="X58" s="99"/>
      <c r="Y58" s="33"/>
      <c r="Z58" s="102">
        <f t="shared" si="156"/>
        <v>0</v>
      </c>
      <c r="AA58" s="142"/>
      <c r="AB58" s="76"/>
      <c r="AC58" s="76"/>
      <c r="AD58" s="33">
        <f>G58</f>
        <v>0</v>
      </c>
      <c r="AE58" s="102">
        <f>G58-AA58-AB58-AC58-AD58</f>
        <v>0</v>
      </c>
      <c r="AF58" s="142"/>
      <c r="AG58" s="76"/>
      <c r="AH58" s="76"/>
      <c r="AI58" s="33">
        <f>H58</f>
        <v>0</v>
      </c>
      <c r="AJ58" s="102">
        <f>H58-AF58-AG58-AH58-AI58</f>
        <v>0</v>
      </c>
      <c r="AK58" s="142"/>
      <c r="AL58" s="76"/>
      <c r="AM58" s="76"/>
      <c r="AN58" s="33">
        <f>I58</f>
        <v>0</v>
      </c>
      <c r="AO58" s="114">
        <f>I58-AK58-AL58-AM58-AN58</f>
        <v>0</v>
      </c>
      <c r="AP58" s="142"/>
      <c r="AQ58" s="76"/>
      <c r="AR58" s="76"/>
      <c r="AS58" s="33">
        <f>J58</f>
        <v>0</v>
      </c>
      <c r="AT58" s="102">
        <f>J58-AP58-AQ58-AR58-AS58</f>
        <v>0</v>
      </c>
      <c r="AV58" s="33"/>
      <c r="AW58" s="33"/>
      <c r="AX58" s="33">
        <f>K58</f>
        <v>0</v>
      </c>
      <c r="AY58" s="102">
        <f>K58-AU58-AV58-AW58-AX58</f>
        <v>0</v>
      </c>
      <c r="AZ58" s="142"/>
      <c r="BA58" s="76"/>
      <c r="BB58" s="76"/>
      <c r="BC58" s="33">
        <f>L58</f>
        <v>0</v>
      </c>
      <c r="BD58" s="102">
        <f>L58-AZ58-BA58-BB58-BC58</f>
        <v>0</v>
      </c>
      <c r="BE58" s="142"/>
      <c r="BF58" s="76"/>
      <c r="BG58" s="76"/>
      <c r="BH58" s="33">
        <f>M58</f>
        <v>0</v>
      </c>
      <c r="BI58" s="102">
        <f>M58-BE58-BF58-BG58-BH58</f>
        <v>0</v>
      </c>
      <c r="BJ58" s="142"/>
      <c r="BK58" s="76"/>
      <c r="BL58" s="76"/>
      <c r="BM58" s="33">
        <f>N58</f>
        <v>0</v>
      </c>
      <c r="BN58" s="102">
        <f>N58-BJ58-BK58-BL58-BM58</f>
        <v>0</v>
      </c>
      <c r="BO58" s="142"/>
      <c r="BP58" s="76"/>
      <c r="BQ58" s="76"/>
      <c r="BR58" s="33">
        <f>O58</f>
        <v>0</v>
      </c>
      <c r="BS58" s="102">
        <f>O58-BO58-BP58-BQ58-BR58</f>
        <v>0</v>
      </c>
      <c r="BT58" s="142"/>
      <c r="BU58" s="76"/>
      <c r="BV58" s="76"/>
      <c r="BW58" s="33">
        <f t="shared" ref="BW58:BW61" si="169">P58</f>
        <v>0</v>
      </c>
      <c r="BX58" s="99">
        <f t="shared" si="157"/>
        <v>0</v>
      </c>
      <c r="BY58" s="2438">
        <v>0</v>
      </c>
      <c r="BZ58" s="1263">
        <f t="shared" ref="BZ58:CH58" si="170">BY58</f>
        <v>0</v>
      </c>
      <c r="CA58" s="1263">
        <f t="shared" si="170"/>
        <v>0</v>
      </c>
      <c r="CB58" s="1263">
        <f t="shared" si="170"/>
        <v>0</v>
      </c>
      <c r="CC58" s="1263">
        <f t="shared" si="170"/>
        <v>0</v>
      </c>
      <c r="CD58" s="1263">
        <f t="shared" si="170"/>
        <v>0</v>
      </c>
      <c r="CE58" s="1263">
        <f t="shared" si="170"/>
        <v>0</v>
      </c>
      <c r="CF58" s="1263">
        <f t="shared" si="170"/>
        <v>0</v>
      </c>
      <c r="CG58" s="1263">
        <f t="shared" si="170"/>
        <v>0</v>
      </c>
      <c r="CH58" s="1263">
        <f t="shared" si="170"/>
        <v>0</v>
      </c>
      <c r="CI58" s="1263">
        <f t="shared" si="167"/>
        <v>0</v>
      </c>
      <c r="CJ58" s="1263">
        <f t="shared" si="167"/>
        <v>0</v>
      </c>
      <c r="CK58" s="1263"/>
      <c r="CL58" s="1920">
        <f t="shared" si="168"/>
        <v>0</v>
      </c>
      <c r="CM58" s="78">
        <f t="shared" si="168"/>
        <v>0</v>
      </c>
      <c r="CN58" s="78">
        <f t="shared" si="168"/>
        <v>0</v>
      </c>
      <c r="CO58" s="78">
        <f t="shared" si="168"/>
        <v>0</v>
      </c>
      <c r="CP58" s="78">
        <f t="shared" si="168"/>
        <v>0</v>
      </c>
      <c r="CQ58" s="78">
        <f t="shared" si="168"/>
        <v>0</v>
      </c>
      <c r="CR58" s="78">
        <f t="shared" si="168"/>
        <v>0</v>
      </c>
      <c r="CS58" s="78">
        <f t="shared" si="168"/>
        <v>0</v>
      </c>
      <c r="CT58" s="78">
        <f t="shared" si="168"/>
        <v>0</v>
      </c>
      <c r="CU58" s="78">
        <f t="shared" si="168"/>
        <v>0</v>
      </c>
      <c r="CV58" s="78">
        <f t="shared" si="168"/>
        <v>0</v>
      </c>
      <c r="CW58" s="131">
        <f t="shared" si="168"/>
        <v>0</v>
      </c>
    </row>
    <row r="59" spans="1:101" x14ac:dyDescent="0.2">
      <c r="A59" s="413" t="s">
        <v>248</v>
      </c>
      <c r="B59" s="2355" t="s">
        <v>2435</v>
      </c>
      <c r="C59" s="2332" t="s">
        <v>5076</v>
      </c>
      <c r="D59" s="2327"/>
      <c r="E59" s="142"/>
      <c r="F59" s="33"/>
      <c r="G59" s="33"/>
      <c r="H59" s="33"/>
      <c r="I59" s="33"/>
      <c r="J59" s="142"/>
      <c r="K59" s="33"/>
      <c r="L59" s="33">
        <v>400000</v>
      </c>
      <c r="M59" s="142"/>
      <c r="N59" s="33"/>
      <c r="O59" s="33"/>
      <c r="P59" s="102"/>
      <c r="Q59" s="142"/>
      <c r="R59" s="76"/>
      <c r="S59" s="76"/>
      <c r="T59" s="33">
        <f>E59</f>
        <v>0</v>
      </c>
      <c r="V59" s="186"/>
      <c r="W59" s="33"/>
      <c r="X59" s="99"/>
      <c r="Y59" s="33"/>
      <c r="Z59" s="102">
        <f t="shared" si="156"/>
        <v>0</v>
      </c>
      <c r="AA59" s="142"/>
      <c r="AB59" s="76"/>
      <c r="AC59" s="76"/>
      <c r="AD59" s="33">
        <f>G59</f>
        <v>0</v>
      </c>
      <c r="AE59" s="102">
        <f>G59-AA59-AB59-AC59-AD59</f>
        <v>0</v>
      </c>
      <c r="AF59" s="142"/>
      <c r="AG59" s="76"/>
      <c r="AH59" s="76"/>
      <c r="AI59" s="33">
        <f>H59</f>
        <v>0</v>
      </c>
      <c r="AJ59" s="102">
        <f>H59-AF59-AG59-AH59-AI59</f>
        <v>0</v>
      </c>
      <c r="AK59" s="142"/>
      <c r="AL59" s="76"/>
      <c r="AM59" s="76"/>
      <c r="AN59" s="33">
        <f>I59</f>
        <v>0</v>
      </c>
      <c r="AO59" s="114">
        <f>I59-AK59-AL59-AM59-AN59</f>
        <v>0</v>
      </c>
      <c r="AP59" s="142"/>
      <c r="AQ59" s="76"/>
      <c r="AR59" s="76"/>
      <c r="AS59" s="33">
        <f>J59</f>
        <v>0</v>
      </c>
      <c r="AT59" s="102">
        <f>J59-AP59-AQ59-AR59-AS59</f>
        <v>0</v>
      </c>
      <c r="AV59" s="33"/>
      <c r="AW59" s="33"/>
      <c r="AX59" s="33">
        <f>K59</f>
        <v>0</v>
      </c>
      <c r="AY59" s="102">
        <f>K59-AU59-AV59-AW59-AX59</f>
        <v>0</v>
      </c>
      <c r="AZ59" s="142"/>
      <c r="BA59" s="76"/>
      <c r="BB59" s="76"/>
      <c r="BC59" s="33">
        <f>L59</f>
        <v>400000</v>
      </c>
      <c r="BD59" s="102">
        <f>L59-AZ59-BA59-BB59-BC59</f>
        <v>0</v>
      </c>
      <c r="BE59" s="142"/>
      <c r="BF59" s="76"/>
      <c r="BG59" s="76"/>
      <c r="BH59" s="33">
        <f>M59</f>
        <v>0</v>
      </c>
      <c r="BI59" s="129">
        <f>M59-BE59-BF59-BG59-BH59</f>
        <v>0</v>
      </c>
      <c r="BJ59" s="142"/>
      <c r="BK59" s="76"/>
      <c r="BL59" s="76"/>
      <c r="BM59" s="33">
        <f>N59</f>
        <v>0</v>
      </c>
      <c r="BN59" s="102">
        <f>N59-BJ59-BK59-BL59-BM59</f>
        <v>0</v>
      </c>
      <c r="BO59" s="142"/>
      <c r="BP59" s="76"/>
      <c r="BQ59" s="76"/>
      <c r="BR59" s="33">
        <f>O59</f>
        <v>0</v>
      </c>
      <c r="BS59" s="102">
        <f>O59-BO59-BP59-BQ59-BR59</f>
        <v>0</v>
      </c>
      <c r="BT59" s="142"/>
      <c r="BU59" s="76"/>
      <c r="BV59" s="76"/>
      <c r="BW59" s="33">
        <f t="shared" si="169"/>
        <v>0</v>
      </c>
      <c r="BX59" s="99">
        <f t="shared" si="157"/>
        <v>0</v>
      </c>
      <c r="BY59" s="2438">
        <v>0</v>
      </c>
      <c r="BZ59" s="1263">
        <v>0</v>
      </c>
      <c r="CA59" s="1263">
        <f t="shared" ref="CA59:CH59" si="171">BZ59</f>
        <v>0</v>
      </c>
      <c r="CB59" s="1263">
        <f t="shared" si="171"/>
        <v>0</v>
      </c>
      <c r="CC59" s="1263">
        <f t="shared" si="171"/>
        <v>0</v>
      </c>
      <c r="CD59" s="1263">
        <f t="shared" si="171"/>
        <v>0</v>
      </c>
      <c r="CE59" s="1263">
        <f t="shared" si="171"/>
        <v>0</v>
      </c>
      <c r="CF59" s="1263">
        <f t="shared" si="171"/>
        <v>0</v>
      </c>
      <c r="CG59" s="1263">
        <f t="shared" si="171"/>
        <v>0</v>
      </c>
      <c r="CH59" s="1263">
        <f t="shared" si="171"/>
        <v>0</v>
      </c>
      <c r="CI59" s="1263">
        <f t="shared" si="167"/>
        <v>0</v>
      </c>
      <c r="CJ59" s="1263">
        <f t="shared" si="167"/>
        <v>0</v>
      </c>
      <c r="CK59" s="1263"/>
      <c r="CL59" s="1920">
        <f t="shared" si="168"/>
        <v>0</v>
      </c>
      <c r="CM59" s="78">
        <f t="shared" si="168"/>
        <v>0</v>
      </c>
      <c r="CN59" s="78">
        <f t="shared" si="168"/>
        <v>0</v>
      </c>
      <c r="CO59" s="78">
        <f t="shared" si="168"/>
        <v>0</v>
      </c>
      <c r="CP59" s="78">
        <f t="shared" si="168"/>
        <v>0</v>
      </c>
      <c r="CQ59" s="78">
        <f t="shared" si="168"/>
        <v>0</v>
      </c>
      <c r="CR59" s="78">
        <f t="shared" si="168"/>
        <v>0</v>
      </c>
      <c r="CS59" s="78">
        <f t="shared" si="168"/>
        <v>0</v>
      </c>
      <c r="CT59" s="78">
        <f t="shared" si="168"/>
        <v>0</v>
      </c>
      <c r="CU59" s="78">
        <f t="shared" si="168"/>
        <v>0</v>
      </c>
      <c r="CV59" s="78">
        <f t="shared" si="168"/>
        <v>0</v>
      </c>
      <c r="CW59" s="131">
        <f t="shared" si="168"/>
        <v>0</v>
      </c>
    </row>
    <row r="60" spans="1:101" x14ac:dyDescent="0.2">
      <c r="A60" s="413" t="s">
        <v>1009</v>
      </c>
      <c r="B60" s="2354" t="s">
        <v>3990</v>
      </c>
      <c r="C60" s="2332" t="s">
        <v>4114</v>
      </c>
      <c r="D60" s="2327" t="s">
        <v>4114</v>
      </c>
      <c r="E60" s="142">
        <v>50100</v>
      </c>
      <c r="F60" s="33">
        <f>5400000-84400-4415600</f>
        <v>900000</v>
      </c>
      <c r="G60" s="33">
        <v>4415600</v>
      </c>
      <c r="H60" s="33"/>
      <c r="I60" s="33"/>
      <c r="J60" s="142"/>
      <c r="K60" s="33"/>
      <c r="L60" s="33"/>
      <c r="M60" s="142"/>
      <c r="N60" s="33"/>
      <c r="O60" s="33"/>
      <c r="P60" s="102"/>
      <c r="Q60" s="142"/>
      <c r="R60" s="76"/>
      <c r="S60" s="76"/>
      <c r="T60" s="33">
        <f>E60</f>
        <v>50100</v>
      </c>
      <c r="U60" s="76"/>
      <c r="V60" s="186">
        <f>'Cap Inc'!E14</f>
        <v>0</v>
      </c>
      <c r="W60" s="33"/>
      <c r="X60" s="99">
        <f>'Cap Inc'!E137</f>
        <v>900000</v>
      </c>
      <c r="Y60" s="33"/>
      <c r="Z60" s="102">
        <f t="shared" si="156"/>
        <v>0</v>
      </c>
      <c r="AA60" s="142">
        <f>'Cap Inc'!F14</f>
        <v>4415600</v>
      </c>
      <c r="AB60" s="76"/>
      <c r="AC60" s="76"/>
      <c r="AD60" s="33">
        <f>G60-AA60</f>
        <v>0</v>
      </c>
      <c r="AE60" s="102">
        <f>G60-AA60-AB60-AC60-AD60</f>
        <v>0</v>
      </c>
      <c r="AF60" s="142"/>
      <c r="AG60" s="76"/>
      <c r="AH60" s="76"/>
      <c r="AI60" s="33">
        <f>H60</f>
        <v>0</v>
      </c>
      <c r="AJ60" s="102">
        <f>H60-AF60-AG60-AH60-AI60</f>
        <v>0</v>
      </c>
      <c r="AK60" s="142"/>
      <c r="AL60" s="76"/>
      <c r="AM60" s="76"/>
      <c r="AN60" s="33">
        <f>I60</f>
        <v>0</v>
      </c>
      <c r="AO60" s="114">
        <f>I60-AK60-AL60-AM60-AN60</f>
        <v>0</v>
      </c>
      <c r="AP60" s="142"/>
      <c r="AQ60" s="76"/>
      <c r="AR60" s="76"/>
      <c r="AS60" s="33">
        <f>J60</f>
        <v>0</v>
      </c>
      <c r="AT60" s="102">
        <f>J60-AP60-AQ60-AR60-AS60</f>
        <v>0</v>
      </c>
      <c r="AV60" s="76"/>
      <c r="AW60" s="76"/>
      <c r="AX60" s="33">
        <f>K60</f>
        <v>0</v>
      </c>
      <c r="AY60" s="102">
        <f>K60-AU60-AV60-AW60-AX60</f>
        <v>0</v>
      </c>
      <c r="AZ60" s="142"/>
      <c r="BA60" s="76"/>
      <c r="BB60" s="76"/>
      <c r="BC60" s="33">
        <f>L60</f>
        <v>0</v>
      </c>
      <c r="BD60" s="102">
        <f>L60-AZ60-BA60-BB60-BC60</f>
        <v>0</v>
      </c>
      <c r="BE60" s="142"/>
      <c r="BF60" s="76"/>
      <c r="BG60" s="76"/>
      <c r="BH60" s="33">
        <f>M60</f>
        <v>0</v>
      </c>
      <c r="BI60" s="129">
        <f>M60-BE60-BF60-BG60-BH60</f>
        <v>0</v>
      </c>
      <c r="BJ60" s="142"/>
      <c r="BK60" s="76"/>
      <c r="BL60" s="76"/>
      <c r="BM60" s="33">
        <f>N60</f>
        <v>0</v>
      </c>
      <c r="BN60" s="102">
        <f>N60-BJ60-BK60-BL60-BM60</f>
        <v>0</v>
      </c>
      <c r="BO60" s="142"/>
      <c r="BP60" s="76"/>
      <c r="BQ60" s="76"/>
      <c r="BR60" s="33">
        <f>O60</f>
        <v>0</v>
      </c>
      <c r="BS60" s="102">
        <f>O60-BO60-BP60-BQ60-BR60</f>
        <v>0</v>
      </c>
      <c r="BT60" s="142"/>
      <c r="BU60" s="76"/>
      <c r="BV60" s="76"/>
      <c r="BW60" s="33">
        <f t="shared" si="169"/>
        <v>0</v>
      </c>
      <c r="BX60" s="99">
        <f t="shared" si="157"/>
        <v>0</v>
      </c>
      <c r="BY60" s="2438">
        <v>0.4</v>
      </c>
      <c r="BZ60" s="1263">
        <v>0.4</v>
      </c>
      <c r="CA60" s="1263">
        <v>0.4</v>
      </c>
      <c r="CB60" s="1263">
        <v>0.4</v>
      </c>
      <c r="CC60" s="1263">
        <v>0.4</v>
      </c>
      <c r="CD60" s="1263">
        <v>0.4</v>
      </c>
      <c r="CE60" s="1263">
        <v>0.4</v>
      </c>
      <c r="CF60" s="1263">
        <v>0.4</v>
      </c>
      <c r="CG60" s="1263">
        <v>0.4</v>
      </c>
      <c r="CH60" s="1263">
        <v>0.4</v>
      </c>
      <c r="CI60" s="1263">
        <v>0.4</v>
      </c>
      <c r="CJ60" s="1263">
        <v>0.4</v>
      </c>
      <c r="CK60" s="1263"/>
      <c r="CL60" s="1920">
        <f t="shared" si="168"/>
        <v>20000</v>
      </c>
      <c r="CM60" s="78">
        <f t="shared" si="168"/>
        <v>360000</v>
      </c>
      <c r="CN60" s="78">
        <f t="shared" si="168"/>
        <v>1766000</v>
      </c>
      <c r="CO60" s="78">
        <f t="shared" si="168"/>
        <v>0</v>
      </c>
      <c r="CP60" s="78">
        <f t="shared" si="168"/>
        <v>0</v>
      </c>
      <c r="CQ60" s="78">
        <f t="shared" si="168"/>
        <v>0</v>
      </c>
      <c r="CR60" s="78">
        <f t="shared" si="168"/>
        <v>0</v>
      </c>
      <c r="CS60" s="78">
        <f t="shared" si="168"/>
        <v>0</v>
      </c>
      <c r="CT60" s="78">
        <f t="shared" si="168"/>
        <v>0</v>
      </c>
      <c r="CU60" s="78">
        <f t="shared" si="168"/>
        <v>0</v>
      </c>
      <c r="CV60" s="78">
        <f t="shared" si="168"/>
        <v>0</v>
      </c>
      <c r="CW60" s="131">
        <f t="shared" si="168"/>
        <v>0</v>
      </c>
    </row>
    <row r="61" spans="1:101" x14ac:dyDescent="0.2">
      <c r="A61" s="413" t="s">
        <v>249</v>
      </c>
      <c r="B61" s="2352" t="s">
        <v>6243</v>
      </c>
      <c r="C61" s="2332" t="s">
        <v>5194</v>
      </c>
      <c r="D61" s="2327" t="s">
        <v>5194</v>
      </c>
      <c r="E61" s="142">
        <v>76000</v>
      </c>
      <c r="F61" s="33">
        <v>78000</v>
      </c>
      <c r="G61" s="33">
        <f>ROUND((F61*Assumptions!H$6+F61),-3)</f>
        <v>81000</v>
      </c>
      <c r="H61" s="33">
        <f>ROUND((G61*Assumptions!I$6+G61),-3)</f>
        <v>84000</v>
      </c>
      <c r="I61" s="76">
        <f>ROUND((H61*Assumptions!J$6+H61),-3)</f>
        <v>87000</v>
      </c>
      <c r="J61" s="76">
        <f>ROUND((I61*Assumptions!K$6+I61),-3)</f>
        <v>89000</v>
      </c>
      <c r="K61" s="76">
        <f>ROUND((J61*Assumptions!L$6+J61),-3)</f>
        <v>91000</v>
      </c>
      <c r="L61" s="33">
        <f>ROUND((K61*Assumptions!M$6+K61),-3)+500000</f>
        <v>593000</v>
      </c>
      <c r="M61" s="142">
        <f>ROUND((L61*Assumptions!N$6+L61),-3)</f>
        <v>608000</v>
      </c>
      <c r="N61" s="33">
        <f>ROUND((M61*Assumptions!O$6+M61),-3)</f>
        <v>623000</v>
      </c>
      <c r="O61" s="33">
        <f>ROUND((N61*Assumptions!P$6+N61),-3)+2000000</f>
        <v>2639000</v>
      </c>
      <c r="P61" s="102">
        <f>ROUND((O61*Assumptions!Q$6+O61),-3)</f>
        <v>2705000</v>
      </c>
      <c r="Q61" s="142"/>
      <c r="R61" s="76"/>
      <c r="S61" s="76"/>
      <c r="T61" s="33">
        <f>E61</f>
        <v>76000</v>
      </c>
      <c r="U61" s="76"/>
      <c r="V61" s="186"/>
      <c r="W61" s="33"/>
      <c r="X61" s="99"/>
      <c r="Y61" s="33">
        <f>F61</f>
        <v>78000</v>
      </c>
      <c r="Z61" s="102">
        <f t="shared" si="156"/>
        <v>0</v>
      </c>
      <c r="AA61" s="142"/>
      <c r="AB61" s="76"/>
      <c r="AC61" s="76"/>
      <c r="AD61" s="33">
        <f>G61</f>
        <v>81000</v>
      </c>
      <c r="AE61" s="102">
        <f>G61-AA61-AB61-AC61-AD61</f>
        <v>0</v>
      </c>
      <c r="AF61" s="142"/>
      <c r="AG61" s="76"/>
      <c r="AH61" s="76"/>
      <c r="AI61" s="33">
        <f>H61</f>
        <v>84000</v>
      </c>
      <c r="AJ61" s="102">
        <f>H61-AF61-AG61-AH61-AI61</f>
        <v>0</v>
      </c>
      <c r="AK61" s="142"/>
      <c r="AL61" s="76"/>
      <c r="AM61" s="76"/>
      <c r="AN61" s="33">
        <f>I61</f>
        <v>87000</v>
      </c>
      <c r="AO61" s="114">
        <f>I61-AK61-AL61-AM61-AN61</f>
        <v>0</v>
      </c>
      <c r="AP61" s="142"/>
      <c r="AQ61" s="76"/>
      <c r="AR61" s="76"/>
      <c r="AS61" s="33">
        <f>J61</f>
        <v>89000</v>
      </c>
      <c r="AT61" s="102">
        <f>J61-AP61-AQ61-AR61-AS61</f>
        <v>0</v>
      </c>
      <c r="AV61" s="76"/>
      <c r="AW61" s="76"/>
      <c r="AX61" s="33">
        <f>K61</f>
        <v>91000</v>
      </c>
      <c r="AY61" s="102">
        <f>K61-AU61-AV61-AW61-AX61</f>
        <v>0</v>
      </c>
      <c r="AZ61" s="142"/>
      <c r="BA61" s="76"/>
      <c r="BB61" s="76"/>
      <c r="BC61" s="33">
        <f>L61</f>
        <v>593000</v>
      </c>
      <c r="BD61" s="102">
        <f>L61-AZ61-BA61-BB61-BC61</f>
        <v>0</v>
      </c>
      <c r="BE61" s="142"/>
      <c r="BF61" s="76"/>
      <c r="BG61" s="76"/>
      <c r="BH61" s="33">
        <f>M61</f>
        <v>608000</v>
      </c>
      <c r="BI61" s="129">
        <f>M61-BE61-BF61-BG61-BH61</f>
        <v>0</v>
      </c>
      <c r="BJ61" s="142"/>
      <c r="BK61" s="76"/>
      <c r="BL61" s="76"/>
      <c r="BM61" s="33">
        <f>N61</f>
        <v>623000</v>
      </c>
      <c r="BN61" s="102">
        <f>N61-BJ61-BK61-BL61-BM61</f>
        <v>0</v>
      </c>
      <c r="BO61" s="142"/>
      <c r="BP61" s="76"/>
      <c r="BQ61" s="76"/>
      <c r="BR61" s="33">
        <f>O61</f>
        <v>2639000</v>
      </c>
      <c r="BS61" s="102">
        <f>O61-BO61-BP61-BQ61-BR61</f>
        <v>0</v>
      </c>
      <c r="BT61" s="142"/>
      <c r="BU61" s="76"/>
      <c r="BV61" s="76"/>
      <c r="BW61" s="33">
        <f t="shared" si="169"/>
        <v>2705000</v>
      </c>
      <c r="BX61" s="99">
        <f t="shared" si="157"/>
        <v>0</v>
      </c>
      <c r="BY61" s="2438">
        <v>1</v>
      </c>
      <c r="BZ61" s="1263">
        <f t="shared" ref="BZ61:CH61" si="172">BY61</f>
        <v>1</v>
      </c>
      <c r="CA61" s="1263">
        <f t="shared" si="172"/>
        <v>1</v>
      </c>
      <c r="CB61" s="1263">
        <f t="shared" si="172"/>
        <v>1</v>
      </c>
      <c r="CC61" s="1263">
        <f t="shared" si="172"/>
        <v>1</v>
      </c>
      <c r="CD61" s="1263">
        <f t="shared" si="172"/>
        <v>1</v>
      </c>
      <c r="CE61" s="1263">
        <f t="shared" si="172"/>
        <v>1</v>
      </c>
      <c r="CF61" s="1263">
        <f t="shared" si="172"/>
        <v>1</v>
      </c>
      <c r="CG61" s="1263">
        <f t="shared" si="172"/>
        <v>1</v>
      </c>
      <c r="CH61" s="1263">
        <f t="shared" si="172"/>
        <v>1</v>
      </c>
      <c r="CI61" s="1263">
        <f>CH61</f>
        <v>1</v>
      </c>
      <c r="CJ61" s="1263">
        <f>CI61</f>
        <v>1</v>
      </c>
      <c r="CK61" s="1263"/>
      <c r="CL61" s="1920">
        <f t="shared" si="168"/>
        <v>76000</v>
      </c>
      <c r="CM61" s="78">
        <f t="shared" si="168"/>
        <v>78000</v>
      </c>
      <c r="CN61" s="78">
        <f t="shared" si="168"/>
        <v>81000</v>
      </c>
      <c r="CO61" s="78">
        <f t="shared" si="168"/>
        <v>84000</v>
      </c>
      <c r="CP61" s="78">
        <f t="shared" si="168"/>
        <v>87000</v>
      </c>
      <c r="CQ61" s="78">
        <f t="shared" si="168"/>
        <v>89000</v>
      </c>
      <c r="CR61" s="78">
        <f t="shared" si="168"/>
        <v>91000</v>
      </c>
      <c r="CS61" s="78">
        <f t="shared" si="168"/>
        <v>593000</v>
      </c>
      <c r="CT61" s="78">
        <f t="shared" si="168"/>
        <v>608000</v>
      </c>
      <c r="CU61" s="78">
        <f t="shared" si="168"/>
        <v>623000</v>
      </c>
      <c r="CV61" s="78">
        <f t="shared" si="168"/>
        <v>2639000</v>
      </c>
      <c r="CW61" s="131">
        <f t="shared" si="168"/>
        <v>2705000</v>
      </c>
    </row>
    <row r="62" spans="1:101" ht="13.5" thickBot="1" x14ac:dyDescent="0.25">
      <c r="A62" s="869" t="s">
        <v>7137</v>
      </c>
      <c r="B62" s="2352" t="s">
        <v>7127</v>
      </c>
      <c r="C62" s="2332"/>
      <c r="D62" s="2352" t="s">
        <v>7127</v>
      </c>
      <c r="E62" s="142"/>
      <c r="F62" s="33">
        <v>65000</v>
      </c>
      <c r="G62" s="33"/>
      <c r="H62" s="33"/>
      <c r="I62" s="76"/>
      <c r="J62" s="99"/>
      <c r="K62" s="76"/>
      <c r="L62" s="33"/>
      <c r="M62" s="142"/>
      <c r="N62" s="33"/>
      <c r="O62" s="33"/>
      <c r="P62" s="102"/>
      <c r="Q62" s="142"/>
      <c r="R62" s="76"/>
      <c r="S62" s="76"/>
      <c r="T62" s="33"/>
      <c r="U62" s="76"/>
      <c r="V62" s="186"/>
      <c r="W62" s="33"/>
      <c r="X62" s="99"/>
      <c r="Y62" s="33">
        <v>65000</v>
      </c>
      <c r="Z62" s="102">
        <f t="shared" si="156"/>
        <v>0</v>
      </c>
      <c r="AA62" s="142"/>
      <c r="AB62" s="76"/>
      <c r="AC62" s="76"/>
      <c r="AD62" s="33"/>
      <c r="AE62" s="102"/>
      <c r="AF62" s="142"/>
      <c r="AG62" s="76"/>
      <c r="AH62" s="76"/>
      <c r="AI62" s="76"/>
      <c r="AJ62" s="102"/>
      <c r="AK62" s="142"/>
      <c r="AL62" s="76"/>
      <c r="AM62" s="76"/>
      <c r="AN62" s="33"/>
      <c r="AO62" s="114"/>
      <c r="AP62" s="142"/>
      <c r="AQ62" s="76"/>
      <c r="AR62" s="76"/>
      <c r="AS62" s="33"/>
      <c r="AT62" s="102"/>
      <c r="AV62" s="76"/>
      <c r="AW62" s="76"/>
      <c r="AX62" s="33"/>
      <c r="AY62" s="102"/>
      <c r="AZ62" s="142"/>
      <c r="BA62" s="76"/>
      <c r="BB62" s="76"/>
      <c r="BC62" s="33"/>
      <c r="BD62" s="102"/>
      <c r="BE62" s="142"/>
      <c r="BF62" s="76"/>
      <c r="BG62" s="76"/>
      <c r="BH62" s="33"/>
      <c r="BI62" s="129"/>
      <c r="BJ62" s="142"/>
      <c r="BK62" s="76"/>
      <c r="BL62" s="76"/>
      <c r="BM62" s="33"/>
      <c r="BN62" s="102"/>
      <c r="BO62" s="142"/>
      <c r="BP62" s="76"/>
      <c r="BQ62" s="76"/>
      <c r="BR62" s="33"/>
      <c r="BS62" s="102"/>
      <c r="BT62" s="142"/>
      <c r="BU62" s="76"/>
      <c r="BV62" s="76"/>
      <c r="BW62" s="33"/>
      <c r="BY62" s="2438">
        <v>1</v>
      </c>
      <c r="BZ62" s="1263">
        <f t="shared" ref="BZ62" si="173">BY62</f>
        <v>1</v>
      </c>
      <c r="CA62" s="1263">
        <f t="shared" ref="CA62" si="174">BZ62</f>
        <v>1</v>
      </c>
      <c r="CB62" s="1263">
        <f t="shared" ref="CB62" si="175">CA62</f>
        <v>1</v>
      </c>
      <c r="CC62" s="1263">
        <f t="shared" ref="CC62" si="176">CB62</f>
        <v>1</v>
      </c>
      <c r="CD62" s="1263">
        <f t="shared" ref="CD62" si="177">CC62</f>
        <v>1</v>
      </c>
      <c r="CE62" s="1263">
        <f t="shared" ref="CE62" si="178">CD62</f>
        <v>1</v>
      </c>
      <c r="CF62" s="1263">
        <f t="shared" ref="CF62" si="179">CE62</f>
        <v>1</v>
      </c>
      <c r="CG62" s="1263">
        <f t="shared" ref="CG62" si="180">CF62</f>
        <v>1</v>
      </c>
      <c r="CH62" s="1263">
        <f t="shared" ref="CH62" si="181">CG62</f>
        <v>1</v>
      </c>
      <c r="CI62" s="1263">
        <f>CH62</f>
        <v>1</v>
      </c>
      <c r="CJ62" s="1263">
        <f>CI62</f>
        <v>1</v>
      </c>
      <c r="CK62" s="1263"/>
      <c r="CL62" s="1920">
        <f t="shared" ref="CL62" si="182">ROUND(BY62*E62,-3)</f>
        <v>0</v>
      </c>
      <c r="CM62" s="78">
        <f t="shared" ref="CM62" si="183">ROUND(BZ62*F62,-3)</f>
        <v>65000</v>
      </c>
      <c r="CN62" s="78">
        <f t="shared" ref="CN62" si="184">ROUND(CA62*G62,-3)</f>
        <v>0</v>
      </c>
      <c r="CO62" s="78">
        <f t="shared" ref="CO62" si="185">ROUND(CB62*H62,-3)</f>
        <v>0</v>
      </c>
      <c r="CP62" s="78">
        <f t="shared" ref="CP62" si="186">ROUND(CC62*I62,-3)</f>
        <v>0</v>
      </c>
      <c r="CQ62" s="78">
        <f t="shared" ref="CQ62" si="187">ROUND(CD62*J62,-3)</f>
        <v>0</v>
      </c>
      <c r="CR62" s="78">
        <f t="shared" ref="CR62" si="188">ROUND(CE62*K62,-3)</f>
        <v>0</v>
      </c>
      <c r="CS62" s="78">
        <f t="shared" ref="CS62" si="189">ROUND(CF62*L62,-3)</f>
        <v>0</v>
      </c>
      <c r="CT62" s="78">
        <f t="shared" ref="CT62" si="190">ROUND(CG62*M62,-3)</f>
        <v>0</v>
      </c>
      <c r="CU62" s="78">
        <f t="shared" ref="CU62" si="191">ROUND(CH62*N62,-3)</f>
        <v>0</v>
      </c>
      <c r="CV62" s="78">
        <f t="shared" ref="CV62" si="192">ROUND(CI62*O62,-3)</f>
        <v>0</v>
      </c>
      <c r="CW62" s="131">
        <f t="shared" ref="CW62" si="193">ROUND(CJ62*P62,-3)</f>
        <v>0</v>
      </c>
    </row>
    <row r="63" spans="1:101" s="92" customFormat="1" ht="13.5" thickTop="1" x14ac:dyDescent="0.2">
      <c r="A63" s="411" t="s">
        <v>2433</v>
      </c>
      <c r="B63" s="2359"/>
      <c r="C63" s="2333"/>
      <c r="D63" s="2391"/>
      <c r="E63" s="122">
        <f>SUBTOTAL(9,E56:E61)</f>
        <v>2879400</v>
      </c>
      <c r="F63" s="162">
        <f t="shared" ref="F63:AK63" si="194">SUBTOTAL(9,F56:F62)</f>
        <v>1043000</v>
      </c>
      <c r="G63" s="162">
        <f t="shared" si="194"/>
        <v>4496600</v>
      </c>
      <c r="H63" s="162">
        <f t="shared" si="194"/>
        <v>84000</v>
      </c>
      <c r="I63" s="162">
        <f t="shared" si="194"/>
        <v>87000</v>
      </c>
      <c r="J63" s="162">
        <f t="shared" si="194"/>
        <v>89000</v>
      </c>
      <c r="K63" s="162">
        <f t="shared" si="194"/>
        <v>91000</v>
      </c>
      <c r="L63" s="162">
        <f t="shared" si="194"/>
        <v>993000</v>
      </c>
      <c r="M63" s="162">
        <f t="shared" si="194"/>
        <v>1608000</v>
      </c>
      <c r="N63" s="162">
        <f t="shared" si="194"/>
        <v>1623000</v>
      </c>
      <c r="O63" s="162">
        <f t="shared" si="194"/>
        <v>2639000</v>
      </c>
      <c r="P63" s="162">
        <f t="shared" si="194"/>
        <v>2705000</v>
      </c>
      <c r="Q63" s="162">
        <f t="shared" si="194"/>
        <v>2207000</v>
      </c>
      <c r="R63" s="162">
        <f t="shared" si="194"/>
        <v>0</v>
      </c>
      <c r="S63" s="162">
        <f t="shared" si="194"/>
        <v>500000</v>
      </c>
      <c r="T63" s="162">
        <f t="shared" si="194"/>
        <v>160300</v>
      </c>
      <c r="U63" s="162">
        <f t="shared" si="194"/>
        <v>12100</v>
      </c>
      <c r="V63" s="162">
        <f t="shared" si="194"/>
        <v>0</v>
      </c>
      <c r="W63" s="162">
        <f t="shared" si="194"/>
        <v>0</v>
      </c>
      <c r="X63" s="162">
        <f t="shared" si="194"/>
        <v>900000</v>
      </c>
      <c r="Y63" s="162">
        <f t="shared" si="194"/>
        <v>143000</v>
      </c>
      <c r="Z63" s="162">
        <f t="shared" si="194"/>
        <v>0</v>
      </c>
      <c r="AA63" s="162">
        <f t="shared" si="194"/>
        <v>4415600</v>
      </c>
      <c r="AB63" s="162">
        <f t="shared" si="194"/>
        <v>0</v>
      </c>
      <c r="AC63" s="162">
        <f t="shared" si="194"/>
        <v>0</v>
      </c>
      <c r="AD63" s="162">
        <f t="shared" si="194"/>
        <v>81000</v>
      </c>
      <c r="AE63" s="162">
        <f t="shared" si="194"/>
        <v>0</v>
      </c>
      <c r="AF63" s="162">
        <f t="shared" si="194"/>
        <v>0</v>
      </c>
      <c r="AG63" s="162">
        <f t="shared" si="194"/>
        <v>0</v>
      </c>
      <c r="AH63" s="162">
        <f t="shared" si="194"/>
        <v>0</v>
      </c>
      <c r="AI63" s="162">
        <f t="shared" si="194"/>
        <v>84000</v>
      </c>
      <c r="AJ63" s="162">
        <f t="shared" si="194"/>
        <v>0</v>
      </c>
      <c r="AK63" s="162">
        <f t="shared" si="194"/>
        <v>0</v>
      </c>
      <c r="AL63" s="162">
        <f t="shared" ref="AL63:BQ63" si="195">SUBTOTAL(9,AL56:AL62)</f>
        <v>0</v>
      </c>
      <c r="AM63" s="162">
        <f t="shared" si="195"/>
        <v>0</v>
      </c>
      <c r="AN63" s="162">
        <f t="shared" si="195"/>
        <v>87000</v>
      </c>
      <c r="AO63" s="162">
        <f t="shared" si="195"/>
        <v>0</v>
      </c>
      <c r="AP63" s="162">
        <f t="shared" si="195"/>
        <v>0</v>
      </c>
      <c r="AQ63" s="162">
        <f t="shared" si="195"/>
        <v>0</v>
      </c>
      <c r="AR63" s="162">
        <f t="shared" si="195"/>
        <v>0</v>
      </c>
      <c r="AS63" s="162">
        <f t="shared" si="195"/>
        <v>89000</v>
      </c>
      <c r="AT63" s="162">
        <f t="shared" si="195"/>
        <v>0</v>
      </c>
      <c r="AU63" s="162">
        <f t="shared" si="195"/>
        <v>0</v>
      </c>
      <c r="AV63" s="162">
        <f t="shared" si="195"/>
        <v>0</v>
      </c>
      <c r="AW63" s="162">
        <f t="shared" si="195"/>
        <v>0</v>
      </c>
      <c r="AX63" s="162">
        <f t="shared" si="195"/>
        <v>91000</v>
      </c>
      <c r="AY63" s="162">
        <f t="shared" si="195"/>
        <v>0</v>
      </c>
      <c r="AZ63" s="162">
        <f t="shared" si="195"/>
        <v>0</v>
      </c>
      <c r="BA63" s="162">
        <f t="shared" si="195"/>
        <v>0</v>
      </c>
      <c r="BB63" s="162">
        <f t="shared" si="195"/>
        <v>0</v>
      </c>
      <c r="BC63" s="162">
        <f t="shared" si="195"/>
        <v>993000</v>
      </c>
      <c r="BD63" s="162">
        <f t="shared" si="195"/>
        <v>0</v>
      </c>
      <c r="BE63" s="162">
        <f t="shared" si="195"/>
        <v>0</v>
      </c>
      <c r="BF63" s="162">
        <f t="shared" si="195"/>
        <v>0</v>
      </c>
      <c r="BG63" s="162">
        <f t="shared" si="195"/>
        <v>0</v>
      </c>
      <c r="BH63" s="162">
        <f t="shared" si="195"/>
        <v>1608000</v>
      </c>
      <c r="BI63" s="162">
        <f t="shared" si="195"/>
        <v>0</v>
      </c>
      <c r="BJ63" s="162">
        <f t="shared" si="195"/>
        <v>0</v>
      </c>
      <c r="BK63" s="162">
        <f t="shared" si="195"/>
        <v>0</v>
      </c>
      <c r="BL63" s="162">
        <f t="shared" si="195"/>
        <v>0</v>
      </c>
      <c r="BM63" s="162">
        <f t="shared" si="195"/>
        <v>1623000</v>
      </c>
      <c r="BN63" s="162">
        <f t="shared" si="195"/>
        <v>0</v>
      </c>
      <c r="BO63" s="162">
        <f t="shared" si="195"/>
        <v>0</v>
      </c>
      <c r="BP63" s="162">
        <f t="shared" si="195"/>
        <v>0</v>
      </c>
      <c r="BQ63" s="162">
        <f t="shared" si="195"/>
        <v>0</v>
      </c>
      <c r="BR63" s="162">
        <f t="shared" ref="BR63:BX63" si="196">SUBTOTAL(9,BR56:BR62)</f>
        <v>2639000</v>
      </c>
      <c r="BS63" s="162">
        <f t="shared" si="196"/>
        <v>0</v>
      </c>
      <c r="BT63" s="162">
        <f t="shared" si="196"/>
        <v>0</v>
      </c>
      <c r="BU63" s="162">
        <f t="shared" si="196"/>
        <v>0</v>
      </c>
      <c r="BV63" s="162">
        <f t="shared" si="196"/>
        <v>0</v>
      </c>
      <c r="BW63" s="162">
        <f t="shared" si="196"/>
        <v>2705000</v>
      </c>
      <c r="BX63" s="162">
        <f t="shared" si="196"/>
        <v>0</v>
      </c>
      <c r="BY63" s="2437"/>
      <c r="BZ63" s="740"/>
      <c r="CA63" s="655"/>
      <c r="CB63" s="655"/>
      <c r="CC63" s="655"/>
      <c r="CD63" s="655"/>
      <c r="CE63" s="655"/>
      <c r="CF63" s="655"/>
      <c r="CG63" s="655"/>
      <c r="CH63" s="655"/>
      <c r="CI63" s="655"/>
      <c r="CJ63" s="655"/>
      <c r="CK63" s="655"/>
      <c r="CL63" s="1747"/>
      <c r="CM63" s="74"/>
      <c r="CN63" s="74"/>
      <c r="CO63" s="74"/>
      <c r="CP63" s="74"/>
      <c r="CQ63" s="74"/>
      <c r="CR63" s="74"/>
      <c r="CS63" s="74"/>
      <c r="CT63" s="74"/>
      <c r="CU63" s="74"/>
      <c r="CV63" s="74"/>
      <c r="CW63" s="115"/>
    </row>
    <row r="64" spans="1:101" ht="13.5" thickBot="1" x14ac:dyDescent="0.25">
      <c r="A64" s="413"/>
      <c r="B64" s="2208"/>
      <c r="C64" s="2334"/>
      <c r="D64" s="2330"/>
      <c r="E64" s="142"/>
      <c r="F64" s="33"/>
      <c r="G64" s="33"/>
      <c r="H64" s="33"/>
      <c r="I64" s="66"/>
      <c r="J64" s="142"/>
      <c r="K64" s="33"/>
      <c r="L64" s="33"/>
      <c r="M64" s="142"/>
      <c r="N64" s="33"/>
      <c r="O64" s="33"/>
      <c r="P64" s="102"/>
      <c r="Q64" s="142"/>
      <c r="R64" s="33"/>
      <c r="S64" s="33"/>
      <c r="T64" s="33"/>
      <c r="U64" s="76"/>
      <c r="V64" s="186"/>
      <c r="W64" s="33"/>
      <c r="X64" s="99"/>
      <c r="Y64" s="33"/>
      <c r="Z64" s="102"/>
      <c r="AA64" s="142"/>
      <c r="AB64" s="33"/>
      <c r="AC64" s="33"/>
      <c r="AD64" s="33"/>
      <c r="AE64" s="102"/>
      <c r="AF64" s="142"/>
      <c r="AG64" s="33"/>
      <c r="AH64" s="33"/>
      <c r="AI64" s="33"/>
      <c r="AJ64" s="102"/>
      <c r="AK64" s="142"/>
      <c r="AL64" s="33"/>
      <c r="AM64" s="33"/>
      <c r="AN64" s="66"/>
      <c r="AO64" s="114"/>
      <c r="AP64" s="142"/>
      <c r="AQ64" s="33"/>
      <c r="AR64" s="33"/>
      <c r="AS64" s="33"/>
      <c r="AT64" s="102"/>
      <c r="AV64" s="33"/>
      <c r="AW64" s="33"/>
      <c r="AX64" s="33"/>
      <c r="AY64" s="102">
        <f>K64-AU64-AV64-AW64-AX64</f>
        <v>0</v>
      </c>
      <c r="AZ64" s="142"/>
      <c r="BA64" s="33"/>
      <c r="BB64" s="33"/>
      <c r="BC64" s="33"/>
      <c r="BD64" s="102"/>
      <c r="BE64" s="142"/>
      <c r="BF64" s="33"/>
      <c r="BG64" s="33"/>
      <c r="BH64" s="33"/>
      <c r="BI64" s="129"/>
      <c r="BJ64" s="142"/>
      <c r="BK64" s="33"/>
      <c r="BL64" s="33"/>
      <c r="BM64" s="33"/>
      <c r="BN64" s="129"/>
      <c r="BO64" s="142"/>
      <c r="BP64" s="33"/>
      <c r="BQ64" s="33"/>
      <c r="BR64" s="33"/>
      <c r="BS64" s="129"/>
      <c r="BT64" s="142"/>
      <c r="BU64" s="33"/>
      <c r="BV64" s="33"/>
      <c r="BW64" s="33"/>
      <c r="BX64" s="76"/>
      <c r="BY64" s="2437"/>
      <c r="BZ64" s="740"/>
      <c r="CA64" s="740"/>
      <c r="CB64" s="740"/>
      <c r="CC64" s="740"/>
      <c r="CD64" s="740"/>
      <c r="CE64" s="740"/>
      <c r="CF64" s="740"/>
      <c r="CG64" s="740"/>
      <c r="CH64" s="740"/>
      <c r="CI64" s="740"/>
      <c r="CJ64" s="740"/>
      <c r="CK64" s="740"/>
      <c r="CL64" s="502"/>
      <c r="CM64" s="99"/>
      <c r="CN64" s="99"/>
      <c r="CO64" s="99"/>
      <c r="CP64" s="99"/>
      <c r="CQ64" s="99"/>
      <c r="CR64" s="99"/>
      <c r="CS64" s="99"/>
      <c r="CT64" s="99"/>
      <c r="CU64" s="99"/>
      <c r="CV64" s="99"/>
      <c r="CW64" s="114"/>
    </row>
    <row r="65" spans="1:101" s="92" customFormat="1" ht="14.25" thickTop="1" thickBot="1" x14ac:dyDescent="0.25">
      <c r="A65" s="1134" t="s">
        <v>3365</v>
      </c>
      <c r="B65" s="2357"/>
      <c r="C65" s="2331"/>
      <c r="D65" s="2389"/>
      <c r="E65" s="417">
        <f t="shared" ref="E65:AJ65" si="197">SUBTOTAL(9,E27:E64)</f>
        <v>3750700</v>
      </c>
      <c r="F65" s="417">
        <f t="shared" si="197"/>
        <v>5598600</v>
      </c>
      <c r="G65" s="417">
        <f t="shared" si="197"/>
        <v>7604600</v>
      </c>
      <c r="H65" s="417">
        <f t="shared" si="197"/>
        <v>1809000</v>
      </c>
      <c r="I65" s="417">
        <f t="shared" si="197"/>
        <v>6434000</v>
      </c>
      <c r="J65" s="417">
        <f t="shared" si="197"/>
        <v>1088000</v>
      </c>
      <c r="K65" s="417">
        <f t="shared" si="197"/>
        <v>142000</v>
      </c>
      <c r="L65" s="417">
        <f t="shared" si="197"/>
        <v>1046000</v>
      </c>
      <c r="M65" s="417">
        <f t="shared" si="197"/>
        <v>2663000</v>
      </c>
      <c r="N65" s="417">
        <f t="shared" si="197"/>
        <v>1680000</v>
      </c>
      <c r="O65" s="417">
        <f t="shared" si="197"/>
        <v>2698000</v>
      </c>
      <c r="P65" s="422">
        <f t="shared" si="197"/>
        <v>2766000</v>
      </c>
      <c r="Q65" s="419">
        <f t="shared" si="197"/>
        <v>2207000</v>
      </c>
      <c r="R65" s="419">
        <f t="shared" si="197"/>
        <v>0</v>
      </c>
      <c r="S65" s="419">
        <f t="shared" si="197"/>
        <v>500000</v>
      </c>
      <c r="T65" s="419">
        <f t="shared" si="197"/>
        <v>1211200</v>
      </c>
      <c r="U65" s="423">
        <f t="shared" si="197"/>
        <v>-167500</v>
      </c>
      <c r="V65" s="424">
        <f t="shared" si="197"/>
        <v>0</v>
      </c>
      <c r="W65" s="419">
        <f t="shared" si="197"/>
        <v>0</v>
      </c>
      <c r="X65" s="419">
        <f t="shared" si="197"/>
        <v>900000</v>
      </c>
      <c r="Y65" s="419">
        <f t="shared" si="197"/>
        <v>4561500</v>
      </c>
      <c r="Z65" s="418">
        <f t="shared" si="197"/>
        <v>137100</v>
      </c>
      <c r="AA65" s="419">
        <f t="shared" si="197"/>
        <v>4415600</v>
      </c>
      <c r="AB65" s="419">
        <f t="shared" si="197"/>
        <v>0</v>
      </c>
      <c r="AC65" s="419">
        <f t="shared" si="197"/>
        <v>0</v>
      </c>
      <c r="AD65" s="419">
        <f t="shared" si="197"/>
        <v>3167000</v>
      </c>
      <c r="AE65" s="418">
        <f t="shared" si="197"/>
        <v>22000</v>
      </c>
      <c r="AF65" s="419">
        <f t="shared" si="197"/>
        <v>0</v>
      </c>
      <c r="AG65" s="419">
        <f t="shared" si="197"/>
        <v>0</v>
      </c>
      <c r="AH65" s="419">
        <f t="shared" si="197"/>
        <v>0</v>
      </c>
      <c r="AI65" s="419">
        <f t="shared" si="197"/>
        <v>1786000</v>
      </c>
      <c r="AJ65" s="418">
        <f t="shared" si="197"/>
        <v>23000</v>
      </c>
      <c r="AK65" s="419">
        <f t="shared" ref="AK65:BP65" si="198">SUBTOTAL(9,AK27:AK64)</f>
        <v>0</v>
      </c>
      <c r="AL65" s="419">
        <f t="shared" si="198"/>
        <v>0</v>
      </c>
      <c r="AM65" s="419">
        <f t="shared" si="198"/>
        <v>0</v>
      </c>
      <c r="AN65" s="419">
        <f t="shared" si="198"/>
        <v>6410000</v>
      </c>
      <c r="AO65" s="420">
        <f t="shared" si="198"/>
        <v>24000</v>
      </c>
      <c r="AP65" s="419">
        <f t="shared" si="198"/>
        <v>0</v>
      </c>
      <c r="AQ65" s="419">
        <f t="shared" si="198"/>
        <v>0</v>
      </c>
      <c r="AR65" s="419">
        <f t="shared" si="198"/>
        <v>0</v>
      </c>
      <c r="AS65" s="419">
        <f t="shared" si="198"/>
        <v>1063000</v>
      </c>
      <c r="AT65" s="418">
        <f t="shared" si="198"/>
        <v>25000</v>
      </c>
      <c r="AU65" s="419">
        <f t="shared" si="198"/>
        <v>0</v>
      </c>
      <c r="AV65" s="419">
        <f t="shared" si="198"/>
        <v>0</v>
      </c>
      <c r="AW65" s="419">
        <f t="shared" si="198"/>
        <v>0</v>
      </c>
      <c r="AX65" s="419">
        <f t="shared" si="198"/>
        <v>116000</v>
      </c>
      <c r="AY65" s="418">
        <f t="shared" si="198"/>
        <v>26000</v>
      </c>
      <c r="AZ65" s="419">
        <f t="shared" si="198"/>
        <v>0</v>
      </c>
      <c r="BA65" s="419">
        <f t="shared" si="198"/>
        <v>0</v>
      </c>
      <c r="BB65" s="419">
        <f t="shared" si="198"/>
        <v>0</v>
      </c>
      <c r="BC65" s="419">
        <f t="shared" si="198"/>
        <v>1019000</v>
      </c>
      <c r="BD65" s="418">
        <f t="shared" si="198"/>
        <v>27000</v>
      </c>
      <c r="BE65" s="419">
        <f t="shared" si="198"/>
        <v>0</v>
      </c>
      <c r="BF65" s="419">
        <f t="shared" si="198"/>
        <v>0</v>
      </c>
      <c r="BG65" s="419">
        <f t="shared" si="198"/>
        <v>0</v>
      </c>
      <c r="BH65" s="419">
        <f t="shared" si="198"/>
        <v>2635000</v>
      </c>
      <c r="BI65" s="418">
        <f t="shared" si="198"/>
        <v>28000</v>
      </c>
      <c r="BJ65" s="419">
        <f t="shared" si="198"/>
        <v>0</v>
      </c>
      <c r="BK65" s="419">
        <f t="shared" si="198"/>
        <v>0</v>
      </c>
      <c r="BL65" s="419">
        <f t="shared" si="198"/>
        <v>0</v>
      </c>
      <c r="BM65" s="419">
        <f t="shared" si="198"/>
        <v>1651000</v>
      </c>
      <c r="BN65" s="418">
        <f t="shared" si="198"/>
        <v>29000</v>
      </c>
      <c r="BO65" s="419">
        <f t="shared" si="198"/>
        <v>0</v>
      </c>
      <c r="BP65" s="419">
        <f t="shared" si="198"/>
        <v>0</v>
      </c>
      <c r="BQ65" s="419">
        <f t="shared" ref="BQ65:BX65" si="199">SUBTOTAL(9,BQ27:BQ64)</f>
        <v>0</v>
      </c>
      <c r="BR65" s="419">
        <f t="shared" si="199"/>
        <v>2668000</v>
      </c>
      <c r="BS65" s="418">
        <f t="shared" si="199"/>
        <v>30000</v>
      </c>
      <c r="BT65" s="419">
        <f t="shared" si="199"/>
        <v>0</v>
      </c>
      <c r="BU65" s="419">
        <f t="shared" si="199"/>
        <v>0</v>
      </c>
      <c r="BV65" s="419">
        <f t="shared" si="199"/>
        <v>0</v>
      </c>
      <c r="BW65" s="419">
        <f t="shared" si="199"/>
        <v>2735000</v>
      </c>
      <c r="BX65" s="423">
        <f t="shared" si="199"/>
        <v>31000</v>
      </c>
      <c r="BY65" s="2437"/>
      <c r="BZ65" s="740"/>
      <c r="CA65" s="655"/>
      <c r="CB65" s="655"/>
      <c r="CC65" s="655"/>
      <c r="CD65" s="655"/>
      <c r="CE65" s="655"/>
      <c r="CF65" s="655"/>
      <c r="CG65" s="655"/>
      <c r="CH65" s="655"/>
      <c r="CI65" s="655"/>
      <c r="CJ65" s="655"/>
      <c r="CK65" s="655"/>
      <c r="CL65" s="1747"/>
      <c r="CM65" s="74"/>
      <c r="CN65" s="74"/>
      <c r="CO65" s="74"/>
      <c r="CP65" s="74"/>
      <c r="CQ65" s="74"/>
      <c r="CR65" s="74"/>
      <c r="CS65" s="74"/>
      <c r="CT65" s="74"/>
      <c r="CU65" s="74"/>
      <c r="CV65" s="74"/>
      <c r="CW65" s="115"/>
    </row>
    <row r="66" spans="1:101" s="92" customFormat="1" ht="13.5" thickTop="1" x14ac:dyDescent="0.2">
      <c r="A66" s="410"/>
      <c r="B66" s="2360"/>
      <c r="C66" s="2335"/>
      <c r="D66" s="2388"/>
      <c r="E66" s="128"/>
      <c r="F66" s="64"/>
      <c r="G66" s="64"/>
      <c r="H66" s="64"/>
      <c r="I66" s="79"/>
      <c r="J66" s="79"/>
      <c r="K66" s="79"/>
      <c r="L66" s="79"/>
      <c r="M66" s="64"/>
      <c r="N66" s="64"/>
      <c r="O66" s="64"/>
      <c r="P66" s="117"/>
      <c r="Q66" s="128"/>
      <c r="R66" s="64"/>
      <c r="S66" s="64"/>
      <c r="T66" s="64"/>
      <c r="U66" s="79"/>
      <c r="V66" s="185"/>
      <c r="W66" s="64"/>
      <c r="X66" s="74"/>
      <c r="Y66" s="64"/>
      <c r="Z66" s="117"/>
      <c r="AA66" s="128"/>
      <c r="AB66" s="64"/>
      <c r="AC66" s="64"/>
      <c r="AD66" s="64"/>
      <c r="AE66" s="117"/>
      <c r="AF66" s="128"/>
      <c r="AG66" s="64"/>
      <c r="AH66" s="64"/>
      <c r="AI66" s="64"/>
      <c r="AJ66" s="117"/>
      <c r="AK66" s="128"/>
      <c r="AL66" s="64"/>
      <c r="AM66" s="64"/>
      <c r="AN66" s="64"/>
      <c r="AO66" s="115"/>
      <c r="AP66" s="128"/>
      <c r="AQ66" s="64"/>
      <c r="AR66" s="64"/>
      <c r="AS66" s="64"/>
      <c r="AT66" s="117"/>
      <c r="AU66" s="74"/>
      <c r="AV66" s="64"/>
      <c r="AW66" s="64"/>
      <c r="AX66" s="64"/>
      <c r="AY66" s="117"/>
      <c r="AZ66" s="128"/>
      <c r="BA66" s="64"/>
      <c r="BB66" s="64"/>
      <c r="BC66" s="64"/>
      <c r="BD66" s="117"/>
      <c r="BE66" s="128"/>
      <c r="BF66" s="64"/>
      <c r="BG66" s="64"/>
      <c r="BH66" s="64"/>
      <c r="BI66" s="400"/>
      <c r="BJ66" s="128"/>
      <c r="BK66" s="64"/>
      <c r="BL66" s="64"/>
      <c r="BM66" s="64"/>
      <c r="BN66" s="400"/>
      <c r="BO66" s="128"/>
      <c r="BP66" s="64"/>
      <c r="BQ66" s="64"/>
      <c r="BR66" s="64"/>
      <c r="BS66" s="400"/>
      <c r="BT66" s="128"/>
      <c r="BU66" s="64"/>
      <c r="BV66" s="64"/>
      <c r="BW66" s="64"/>
      <c r="BX66" s="79"/>
      <c r="BY66" s="2437"/>
      <c r="BZ66" s="740"/>
      <c r="CA66" s="655"/>
      <c r="CB66" s="655"/>
      <c r="CC66" s="655"/>
      <c r="CD66" s="655"/>
      <c r="CE66" s="655"/>
      <c r="CF66" s="655"/>
      <c r="CG66" s="655"/>
      <c r="CH66" s="655"/>
      <c r="CI66" s="655"/>
      <c r="CJ66" s="655"/>
      <c r="CK66" s="655"/>
      <c r="CL66" s="1747"/>
      <c r="CM66" s="74"/>
      <c r="CN66" s="74"/>
      <c r="CO66" s="74"/>
      <c r="CP66" s="74"/>
      <c r="CQ66" s="74"/>
      <c r="CR66" s="74"/>
      <c r="CS66" s="74"/>
      <c r="CT66" s="74"/>
      <c r="CU66" s="74"/>
      <c r="CV66" s="74"/>
      <c r="CW66" s="115"/>
    </row>
    <row r="67" spans="1:101" x14ac:dyDescent="0.2">
      <c r="A67" s="587" t="s">
        <v>3364</v>
      </c>
      <c r="B67" s="2361"/>
      <c r="C67" s="2336"/>
      <c r="D67" s="2390"/>
      <c r="E67" s="142"/>
      <c r="F67" s="33"/>
      <c r="G67" s="33"/>
      <c r="H67" s="33"/>
      <c r="I67" s="76"/>
      <c r="J67" s="76"/>
      <c r="K67" s="76"/>
      <c r="L67" s="76"/>
      <c r="M67" s="33"/>
      <c r="N67" s="33"/>
      <c r="O67" s="33"/>
      <c r="P67" s="102"/>
      <c r="Q67" s="142"/>
      <c r="R67" s="33"/>
      <c r="S67" s="33"/>
      <c r="T67" s="33"/>
      <c r="U67" s="76"/>
      <c r="V67" s="186"/>
      <c r="W67" s="33"/>
      <c r="X67" s="142"/>
      <c r="Y67" s="33"/>
      <c r="Z67" s="129"/>
      <c r="AA67" s="142"/>
      <c r="AB67" s="33"/>
      <c r="AC67" s="33"/>
      <c r="AD67" s="33"/>
      <c r="AE67" s="129"/>
      <c r="AF67" s="142"/>
      <c r="AG67" s="33"/>
      <c r="AH67" s="33"/>
      <c r="AI67" s="33"/>
      <c r="AJ67" s="129"/>
      <c r="AK67" s="142"/>
      <c r="AL67" s="33"/>
      <c r="AM67" s="33"/>
      <c r="AN67" s="33"/>
      <c r="AO67" s="100"/>
      <c r="AP67" s="142"/>
      <c r="AQ67" s="33"/>
      <c r="AR67" s="33"/>
      <c r="AS67" s="33"/>
      <c r="AT67" s="129"/>
      <c r="AV67" s="33"/>
      <c r="AW67" s="33"/>
      <c r="AX67" s="33"/>
      <c r="AY67" s="129"/>
      <c r="AZ67" s="142"/>
      <c r="BA67" s="33"/>
      <c r="BB67" s="33"/>
      <c r="BC67" s="33"/>
      <c r="BD67" s="129"/>
      <c r="BE67" s="142"/>
      <c r="BF67" s="33"/>
      <c r="BG67" s="33"/>
      <c r="BH67" s="33"/>
      <c r="BI67" s="129"/>
      <c r="BJ67" s="142"/>
      <c r="BK67" s="33"/>
      <c r="BL67" s="33"/>
      <c r="BM67" s="33"/>
      <c r="BN67" s="129"/>
      <c r="BO67" s="142"/>
      <c r="BP67" s="33"/>
      <c r="BQ67" s="33"/>
      <c r="BR67" s="33"/>
      <c r="BS67" s="129"/>
      <c r="BT67" s="142"/>
      <c r="BU67" s="33"/>
      <c r="BV67" s="33"/>
      <c r="BW67" s="33"/>
      <c r="BX67" s="76"/>
      <c r="BY67" s="2437"/>
      <c r="BZ67" s="740"/>
      <c r="CA67" s="740"/>
      <c r="CB67" s="740"/>
      <c r="CC67" s="740"/>
      <c r="CD67" s="740"/>
      <c r="CE67" s="740"/>
      <c r="CF67" s="740"/>
      <c r="CG67" s="740"/>
      <c r="CH67" s="740"/>
      <c r="CI67" s="740"/>
      <c r="CJ67" s="740"/>
      <c r="CK67" s="740"/>
      <c r="CL67" s="502"/>
      <c r="CM67" s="99"/>
      <c r="CN67" s="99"/>
      <c r="CO67" s="99"/>
      <c r="CP67" s="99"/>
      <c r="CQ67" s="99"/>
      <c r="CR67" s="99"/>
      <c r="CS67" s="99"/>
      <c r="CT67" s="99"/>
      <c r="CU67" s="99"/>
      <c r="CV67" s="99"/>
      <c r="CW67" s="114"/>
    </row>
    <row r="68" spans="1:101" x14ac:dyDescent="0.2">
      <c r="A68" s="590" t="s">
        <v>993</v>
      </c>
      <c r="B68" s="2360"/>
      <c r="C68" s="2335"/>
      <c r="D68" s="2388"/>
      <c r="E68" s="142"/>
      <c r="F68" s="33"/>
      <c r="G68" s="33"/>
      <c r="H68" s="33"/>
      <c r="I68" s="76"/>
      <c r="J68" s="76"/>
      <c r="K68" s="76"/>
      <c r="L68" s="76"/>
      <c r="M68" s="33"/>
      <c r="N68" s="33"/>
      <c r="O68" s="33"/>
      <c r="P68" s="102"/>
      <c r="Q68" s="142"/>
      <c r="R68" s="33"/>
      <c r="S68" s="33"/>
      <c r="T68" s="33"/>
      <c r="U68" s="76"/>
      <c r="V68" s="186"/>
      <c r="W68" s="33"/>
      <c r="X68" s="99"/>
      <c r="Y68" s="33"/>
      <c r="Z68" s="102"/>
      <c r="AA68" s="142"/>
      <c r="AB68" s="33"/>
      <c r="AC68" s="33"/>
      <c r="AD68" s="33"/>
      <c r="AE68" s="102"/>
      <c r="AF68" s="142"/>
      <c r="AG68" s="33"/>
      <c r="AH68" s="33"/>
      <c r="AI68" s="33"/>
      <c r="AJ68" s="102"/>
      <c r="AK68" s="142"/>
      <c r="AL68" s="33"/>
      <c r="AM68" s="33"/>
      <c r="AN68" s="33"/>
      <c r="AO68" s="114"/>
      <c r="AP68" s="142"/>
      <c r="AQ68" s="33"/>
      <c r="AR68" s="33"/>
      <c r="AS68" s="33"/>
      <c r="AT68" s="102"/>
      <c r="AV68" s="33"/>
      <c r="AW68" s="33"/>
      <c r="AX68" s="33"/>
      <c r="AY68" s="102"/>
      <c r="AZ68" s="142"/>
      <c r="BA68" s="33"/>
      <c r="BB68" s="33"/>
      <c r="BC68" s="33"/>
      <c r="BD68" s="102"/>
      <c r="BE68" s="142"/>
      <c r="BF68" s="33"/>
      <c r="BG68" s="33"/>
      <c r="BH68" s="33"/>
      <c r="BI68" s="129"/>
      <c r="BJ68" s="142"/>
      <c r="BK68" s="33"/>
      <c r="BL68" s="33"/>
      <c r="BM68" s="33"/>
      <c r="BN68" s="129"/>
      <c r="BO68" s="142"/>
      <c r="BP68" s="33"/>
      <c r="BQ68" s="33"/>
      <c r="BR68" s="33"/>
      <c r="BS68" s="129"/>
      <c r="BT68" s="142"/>
      <c r="BU68" s="33"/>
      <c r="BV68" s="33"/>
      <c r="BW68" s="33"/>
      <c r="BX68" s="76"/>
      <c r="BY68" s="2437"/>
      <c r="BZ68" s="740"/>
      <c r="CA68" s="740"/>
      <c r="CB68" s="740"/>
      <c r="CC68" s="740"/>
      <c r="CD68" s="740"/>
      <c r="CE68" s="740"/>
      <c r="CF68" s="740"/>
      <c r="CG68" s="740"/>
      <c r="CH68" s="740"/>
      <c r="CI68" s="740"/>
      <c r="CJ68" s="740"/>
      <c r="CK68" s="740"/>
      <c r="CL68" s="502"/>
      <c r="CM68" s="99"/>
      <c r="CN68" s="99"/>
      <c r="CO68" s="99"/>
      <c r="CP68" s="99"/>
      <c r="CQ68" s="99"/>
      <c r="CR68" s="99"/>
      <c r="CS68" s="99"/>
      <c r="CT68" s="99"/>
      <c r="CU68" s="99"/>
      <c r="CV68" s="99"/>
      <c r="CW68" s="114"/>
    </row>
    <row r="69" spans="1:101" x14ac:dyDescent="0.2">
      <c r="A69" s="869" t="s">
        <v>5622</v>
      </c>
      <c r="B69" s="2358" t="s">
        <v>5265</v>
      </c>
      <c r="C69" s="2332" t="s">
        <v>5264</v>
      </c>
      <c r="D69" s="2327" t="s">
        <v>5264</v>
      </c>
      <c r="E69" s="142">
        <v>0</v>
      </c>
      <c r="F69" s="33">
        <f>152000+20000+95000</f>
        <v>267000</v>
      </c>
      <c r="G69" s="33">
        <v>208000</v>
      </c>
      <c r="H69" s="33"/>
      <c r="I69" s="76"/>
      <c r="J69" s="76"/>
      <c r="K69" s="76"/>
      <c r="L69" s="76"/>
      <c r="M69" s="33"/>
      <c r="N69" s="33"/>
      <c r="O69" s="33"/>
      <c r="P69" s="102"/>
      <c r="Q69" s="142">
        <f>'Cap Inc'!B18</f>
        <v>0</v>
      </c>
      <c r="R69" s="33"/>
      <c r="S69" s="33"/>
      <c r="T69" s="33"/>
      <c r="U69" s="76">
        <f>E69-Q69-R69-S69-T69</f>
        <v>0</v>
      </c>
      <c r="V69" s="186">
        <f>'Cap Inc'!E18</f>
        <v>95000</v>
      </c>
      <c r="W69" s="33">
        <f>'Sec 94'!F40</f>
        <v>0</v>
      </c>
      <c r="X69" s="99"/>
      <c r="Y69" s="33">
        <f>'Res-Gen'!F73+'Res-Gen'!F228</f>
        <v>152000</v>
      </c>
      <c r="Z69" s="102">
        <f>F69-V69-W69-X69-Y69</f>
        <v>20000</v>
      </c>
      <c r="AA69" s="142">
        <f>SUM('Cap Inc'!F18:F18)</f>
        <v>0</v>
      </c>
      <c r="AB69" s="33">
        <f>'Sec 94'!G40</f>
        <v>0</v>
      </c>
      <c r="AC69" s="33"/>
      <c r="AD69" s="33">
        <f>G69-AB69-AA69</f>
        <v>208000</v>
      </c>
      <c r="AE69" s="102">
        <f>G69-AA69-AB69-AC69-AD69</f>
        <v>0</v>
      </c>
      <c r="AF69" s="142">
        <f>SUM('Cap Inc'!G18:G18)</f>
        <v>0</v>
      </c>
      <c r="AG69" s="33">
        <f>'Sec 94'!H40</f>
        <v>0</v>
      </c>
      <c r="AH69" s="33"/>
      <c r="AI69" s="33"/>
      <c r="AJ69" s="102">
        <f>H69-AF69-AG69-AH69-AI69</f>
        <v>0</v>
      </c>
      <c r="AK69" s="142">
        <f>SUM('Cap Inc'!H18:H18)</f>
        <v>0</v>
      </c>
      <c r="AL69" s="33">
        <f>'Sec 94'!I40</f>
        <v>0</v>
      </c>
      <c r="AM69" s="33"/>
      <c r="AN69" s="33"/>
      <c r="AO69" s="114">
        <f>I69-AK69-AL69-AM69-AN69</f>
        <v>0</v>
      </c>
      <c r="AP69" s="142">
        <f>SUM('Cap Inc'!I18:I18)</f>
        <v>0</v>
      </c>
      <c r="AQ69" s="33"/>
      <c r="AR69" s="33"/>
      <c r="AS69" s="33"/>
      <c r="AT69" s="102">
        <f>J69-AP69-AQ69-AR69-AS69</f>
        <v>0</v>
      </c>
      <c r="AV69" s="33"/>
      <c r="AW69" s="33"/>
      <c r="AX69" s="33"/>
      <c r="AY69" s="102">
        <f>K69-AU69-AV69-AW69-AX69</f>
        <v>0</v>
      </c>
      <c r="AZ69" s="142"/>
      <c r="BA69" s="33"/>
      <c r="BB69" s="33"/>
      <c r="BC69" s="33"/>
      <c r="BD69" s="102">
        <f>L69-AZ69-BA69-BB69-BC69</f>
        <v>0</v>
      </c>
      <c r="BE69" s="142"/>
      <c r="BF69" s="33"/>
      <c r="BG69" s="33"/>
      <c r="BH69" s="33"/>
      <c r="BI69" s="129">
        <f>M69-BE69-BF69-BG69-BH69</f>
        <v>0</v>
      </c>
      <c r="BJ69" s="142"/>
      <c r="BK69" s="33"/>
      <c r="BL69" s="33"/>
      <c r="BM69" s="33"/>
      <c r="BN69" s="129">
        <f>N69-BJ69-BK69-BL69-BM69</f>
        <v>0</v>
      </c>
      <c r="BO69" s="142"/>
      <c r="BP69" s="33"/>
      <c r="BQ69" s="33"/>
      <c r="BR69" s="33"/>
      <c r="BS69" s="102">
        <f>O69-BO69-BP69-BQ69-BR69</f>
        <v>0</v>
      </c>
      <c r="BT69" s="142"/>
      <c r="BU69" s="33"/>
      <c r="BV69" s="33"/>
      <c r="BW69" s="33"/>
      <c r="BX69" s="99">
        <f t="shared" ref="BX69" si="200">P69-BT69-BU69-BV69-BW69</f>
        <v>0</v>
      </c>
      <c r="BY69" s="2438">
        <v>0.25</v>
      </c>
      <c r="BZ69" s="1263">
        <f t="shared" ref="BZ69" si="201">BY69</f>
        <v>0.25</v>
      </c>
      <c r="CA69" s="1263">
        <f t="shared" ref="CA69" si="202">BZ69</f>
        <v>0.25</v>
      </c>
      <c r="CB69" s="1263">
        <f t="shared" ref="CB69" si="203">CA69</f>
        <v>0.25</v>
      </c>
      <c r="CC69" s="1263">
        <f t="shared" ref="CC69" si="204">CB69</f>
        <v>0.25</v>
      </c>
      <c r="CD69" s="1263">
        <f t="shared" ref="CD69" si="205">CC69</f>
        <v>0.25</v>
      </c>
      <c r="CE69" s="1263">
        <f t="shared" ref="CE69" si="206">CD69</f>
        <v>0.25</v>
      </c>
      <c r="CF69" s="1263">
        <f t="shared" ref="CF69" si="207">CE69</f>
        <v>0.25</v>
      </c>
      <c r="CG69" s="1263">
        <f t="shared" ref="CG69:CH69" si="208">CF69</f>
        <v>0.25</v>
      </c>
      <c r="CH69" s="1263">
        <f t="shared" si="208"/>
        <v>0.25</v>
      </c>
      <c r="CI69" s="1263">
        <f>CH69</f>
        <v>0.25</v>
      </c>
      <c r="CJ69" s="1263">
        <f>CI69</f>
        <v>0.25</v>
      </c>
      <c r="CK69" s="1263"/>
      <c r="CL69" s="1920">
        <f t="shared" ref="CL69:CW69" si="209">ROUND(BY69*E69,-3)</f>
        <v>0</v>
      </c>
      <c r="CM69" s="78">
        <f t="shared" si="209"/>
        <v>67000</v>
      </c>
      <c r="CN69" s="78">
        <f t="shared" si="209"/>
        <v>52000</v>
      </c>
      <c r="CO69" s="78">
        <f t="shared" si="209"/>
        <v>0</v>
      </c>
      <c r="CP69" s="78">
        <f t="shared" si="209"/>
        <v>0</v>
      </c>
      <c r="CQ69" s="78">
        <f t="shared" si="209"/>
        <v>0</v>
      </c>
      <c r="CR69" s="78">
        <f t="shared" si="209"/>
        <v>0</v>
      </c>
      <c r="CS69" s="78">
        <f t="shared" si="209"/>
        <v>0</v>
      </c>
      <c r="CT69" s="78">
        <f t="shared" si="209"/>
        <v>0</v>
      </c>
      <c r="CU69" s="78">
        <f t="shared" si="209"/>
        <v>0</v>
      </c>
      <c r="CV69" s="78">
        <f t="shared" si="209"/>
        <v>0</v>
      </c>
      <c r="CW69" s="131">
        <f t="shared" si="209"/>
        <v>0</v>
      </c>
    </row>
    <row r="70" spans="1:101" x14ac:dyDescent="0.2">
      <c r="A70" s="409"/>
      <c r="B70" s="2362"/>
      <c r="C70" s="2337"/>
      <c r="D70" s="2392"/>
      <c r="E70" s="142"/>
      <c r="F70" s="33"/>
      <c r="G70" s="33"/>
      <c r="H70" s="33"/>
      <c r="I70" s="76"/>
      <c r="J70" s="76"/>
      <c r="K70" s="76"/>
      <c r="L70" s="76"/>
      <c r="M70" s="33"/>
      <c r="N70" s="33"/>
      <c r="O70" s="33"/>
      <c r="P70" s="102"/>
      <c r="Q70" s="142"/>
      <c r="R70" s="33"/>
      <c r="S70" s="33"/>
      <c r="T70" s="33"/>
      <c r="U70" s="76"/>
      <c r="V70" s="186"/>
      <c r="W70" s="33"/>
      <c r="X70" s="99"/>
      <c r="Y70" s="33"/>
      <c r="Z70" s="102"/>
      <c r="AA70" s="142"/>
      <c r="AB70" s="33"/>
      <c r="AC70" s="33"/>
      <c r="AD70" s="33"/>
      <c r="AE70" s="102"/>
      <c r="AF70" s="142"/>
      <c r="AG70" s="33"/>
      <c r="AH70" s="33"/>
      <c r="AI70" s="33"/>
      <c r="AJ70" s="102"/>
      <c r="AK70" s="142"/>
      <c r="AL70" s="33"/>
      <c r="AM70" s="33"/>
      <c r="AN70" s="33"/>
      <c r="AO70" s="114"/>
      <c r="AP70" s="142"/>
      <c r="AQ70" s="33"/>
      <c r="AR70" s="33"/>
      <c r="AS70" s="33"/>
      <c r="AT70" s="102"/>
      <c r="AV70" s="33"/>
      <c r="AW70" s="33"/>
      <c r="AX70" s="33"/>
      <c r="AY70" s="102"/>
      <c r="AZ70" s="142"/>
      <c r="BA70" s="33"/>
      <c r="BB70" s="33"/>
      <c r="BC70" s="33"/>
      <c r="BD70" s="102"/>
      <c r="BE70" s="142"/>
      <c r="BF70" s="33"/>
      <c r="BG70" s="33"/>
      <c r="BH70" s="33"/>
      <c r="BI70" s="129"/>
      <c r="BJ70" s="142"/>
      <c r="BK70" s="33"/>
      <c r="BL70" s="33"/>
      <c r="BM70" s="33"/>
      <c r="BN70" s="129"/>
      <c r="BO70" s="142"/>
      <c r="BP70" s="33"/>
      <c r="BQ70" s="33"/>
      <c r="BR70" s="33"/>
      <c r="BS70" s="129"/>
      <c r="BT70" s="142"/>
      <c r="BU70" s="33"/>
      <c r="BV70" s="33"/>
      <c r="BW70" s="33"/>
      <c r="BX70" s="76"/>
      <c r="BY70" s="2437"/>
      <c r="BZ70" s="740"/>
      <c r="CA70" s="740"/>
      <c r="CB70" s="740"/>
      <c r="CC70" s="740"/>
      <c r="CD70" s="740"/>
      <c r="CE70" s="740"/>
      <c r="CF70" s="740"/>
      <c r="CG70" s="740"/>
      <c r="CH70" s="740"/>
      <c r="CI70" s="740"/>
      <c r="CJ70" s="740"/>
      <c r="CK70" s="740"/>
      <c r="CL70" s="502"/>
      <c r="CM70" s="99"/>
      <c r="CN70" s="99"/>
      <c r="CO70" s="99"/>
      <c r="CP70" s="99"/>
      <c r="CQ70" s="99"/>
      <c r="CR70" s="99"/>
      <c r="CS70" s="99"/>
      <c r="CT70" s="99"/>
      <c r="CU70" s="99"/>
      <c r="CV70" s="99"/>
      <c r="CW70" s="114"/>
    </row>
    <row r="71" spans="1:101" x14ac:dyDescent="0.2">
      <c r="A71" s="590" t="s">
        <v>828</v>
      </c>
      <c r="B71" s="2360"/>
      <c r="C71" s="2335"/>
      <c r="D71" s="2388"/>
      <c r="E71" s="142"/>
      <c r="F71" s="33"/>
      <c r="G71" s="33"/>
      <c r="H71" s="33"/>
      <c r="I71" s="76"/>
      <c r="J71" s="76"/>
      <c r="K71" s="76"/>
      <c r="L71" s="76"/>
      <c r="M71" s="33"/>
      <c r="N71" s="33"/>
      <c r="O71" s="33"/>
      <c r="P71" s="102"/>
      <c r="Q71" s="142"/>
      <c r="R71" s="33"/>
      <c r="S71" s="33"/>
      <c r="T71" s="33"/>
      <c r="U71" s="76"/>
      <c r="V71" s="186"/>
      <c r="W71" s="33"/>
      <c r="X71" s="99"/>
      <c r="Y71" s="33"/>
      <c r="Z71" s="102"/>
      <c r="AA71" s="142"/>
      <c r="AB71" s="33"/>
      <c r="AC71" s="33"/>
      <c r="AD71" s="33"/>
      <c r="AE71" s="102"/>
      <c r="AF71" s="142"/>
      <c r="AG71" s="33"/>
      <c r="AH71" s="33"/>
      <c r="AI71" s="33"/>
      <c r="AJ71" s="102"/>
      <c r="AK71" s="142"/>
      <c r="AL71" s="33"/>
      <c r="AM71" s="33"/>
      <c r="AN71" s="33"/>
      <c r="AO71" s="114"/>
      <c r="AP71" s="142"/>
      <c r="AQ71" s="33"/>
      <c r="AR71" s="33"/>
      <c r="AS71" s="33"/>
      <c r="AT71" s="102"/>
      <c r="AV71" s="33"/>
      <c r="AW71" s="33"/>
      <c r="AX71" s="33"/>
      <c r="AY71" s="102"/>
      <c r="AZ71" s="142"/>
      <c r="BA71" s="33"/>
      <c r="BB71" s="33"/>
      <c r="BC71" s="33"/>
      <c r="BD71" s="102"/>
      <c r="BE71" s="142"/>
      <c r="BF71" s="33"/>
      <c r="BG71" s="33"/>
      <c r="BH71" s="33"/>
      <c r="BI71" s="129"/>
      <c r="BJ71" s="142"/>
      <c r="BK71" s="33"/>
      <c r="BL71" s="33"/>
      <c r="BM71" s="33"/>
      <c r="BN71" s="129"/>
      <c r="BO71" s="142"/>
      <c r="BP71" s="33"/>
      <c r="BQ71" s="33"/>
      <c r="BR71" s="33"/>
      <c r="BS71" s="129"/>
      <c r="BT71" s="142"/>
      <c r="BU71" s="33"/>
      <c r="BV71" s="33"/>
      <c r="BW71" s="33"/>
      <c r="BX71" s="76"/>
      <c r="BY71" s="2437"/>
      <c r="BZ71" s="740"/>
      <c r="CA71" s="740"/>
      <c r="CB71" s="740"/>
      <c r="CC71" s="740"/>
      <c r="CD71" s="740"/>
      <c r="CE71" s="740"/>
      <c r="CF71" s="740"/>
      <c r="CG71" s="740"/>
      <c r="CH71" s="740"/>
      <c r="CI71" s="740"/>
      <c r="CJ71" s="740"/>
      <c r="CK71" s="740"/>
      <c r="CL71" s="502"/>
      <c r="CM71" s="99"/>
      <c r="CN71" s="99"/>
      <c r="CO71" s="99"/>
      <c r="CP71" s="99"/>
      <c r="CQ71" s="99"/>
      <c r="CR71" s="99"/>
      <c r="CS71" s="99"/>
      <c r="CT71" s="99"/>
      <c r="CU71" s="99"/>
      <c r="CV71" s="99"/>
      <c r="CW71" s="114"/>
    </row>
    <row r="72" spans="1:101" x14ac:dyDescent="0.2">
      <c r="A72" s="869" t="s">
        <v>3079</v>
      </c>
      <c r="B72" s="2355" t="s">
        <v>2369</v>
      </c>
      <c r="C72" s="2339"/>
      <c r="D72" s="2329"/>
      <c r="E72" s="142">
        <v>5100</v>
      </c>
      <c r="F72" s="33"/>
      <c r="G72" s="33"/>
      <c r="H72" s="33"/>
      <c r="I72" s="76"/>
      <c r="J72" s="76"/>
      <c r="K72" s="76"/>
      <c r="L72" s="76"/>
      <c r="M72" s="33"/>
      <c r="N72" s="33"/>
      <c r="O72" s="33"/>
      <c r="P72" s="102"/>
      <c r="Q72" s="142"/>
      <c r="R72" s="33"/>
      <c r="S72" s="33"/>
      <c r="T72" s="33"/>
      <c r="U72" s="76">
        <v>5100</v>
      </c>
      <c r="V72" s="186"/>
      <c r="W72" s="33"/>
      <c r="X72" s="99"/>
      <c r="Y72" s="33"/>
      <c r="Z72" s="102"/>
      <c r="AA72" s="142"/>
      <c r="AB72" s="33"/>
      <c r="AC72" s="33"/>
      <c r="AD72" s="33"/>
      <c r="AE72" s="102"/>
      <c r="AF72" s="142"/>
      <c r="AG72" s="33"/>
      <c r="AH72" s="33"/>
      <c r="AI72" s="33"/>
      <c r="AJ72" s="102"/>
      <c r="AK72" s="142"/>
      <c r="AL72" s="33"/>
      <c r="AM72" s="33"/>
      <c r="AN72" s="33"/>
      <c r="AO72" s="114"/>
      <c r="AP72" s="142"/>
      <c r="AQ72" s="33"/>
      <c r="AR72" s="33"/>
      <c r="AS72" s="33"/>
      <c r="AT72" s="102"/>
      <c r="AV72" s="33"/>
      <c r="AW72" s="33"/>
      <c r="AX72" s="33"/>
      <c r="AY72" s="102"/>
      <c r="AZ72" s="142"/>
      <c r="BA72" s="33"/>
      <c r="BB72" s="33"/>
      <c r="BC72" s="33"/>
      <c r="BD72" s="102"/>
      <c r="BE72" s="142"/>
      <c r="BF72" s="33"/>
      <c r="BG72" s="33"/>
      <c r="BH72" s="33"/>
      <c r="BI72" s="102"/>
      <c r="BJ72" s="142"/>
      <c r="BK72" s="33"/>
      <c r="BL72" s="33"/>
      <c r="BM72" s="33"/>
      <c r="BN72" s="102"/>
      <c r="BO72" s="142"/>
      <c r="BP72" s="33"/>
      <c r="BQ72" s="33"/>
      <c r="BR72" s="33"/>
      <c r="BS72" s="102"/>
      <c r="BT72" s="142"/>
      <c r="BU72" s="33"/>
      <c r="BV72" s="33"/>
      <c r="BW72" s="33"/>
      <c r="BY72" s="2438">
        <v>1</v>
      </c>
      <c r="BZ72" s="1263">
        <f t="shared" ref="BZ72:CH72" si="210">BY72</f>
        <v>1</v>
      </c>
      <c r="CA72" s="1263">
        <f t="shared" si="210"/>
        <v>1</v>
      </c>
      <c r="CB72" s="1263">
        <f t="shared" si="210"/>
        <v>1</v>
      </c>
      <c r="CC72" s="1263">
        <f t="shared" si="210"/>
        <v>1</v>
      </c>
      <c r="CD72" s="1263">
        <f t="shared" si="210"/>
        <v>1</v>
      </c>
      <c r="CE72" s="1263">
        <f t="shared" si="210"/>
        <v>1</v>
      </c>
      <c r="CF72" s="1263">
        <f t="shared" si="210"/>
        <v>1</v>
      </c>
      <c r="CG72" s="1263">
        <f t="shared" si="210"/>
        <v>1</v>
      </c>
      <c r="CH72" s="1263">
        <f t="shared" si="210"/>
        <v>1</v>
      </c>
      <c r="CI72" s="1263">
        <f>CH72</f>
        <v>1</v>
      </c>
      <c r="CJ72" s="1263">
        <f>CI72</f>
        <v>1</v>
      </c>
      <c r="CK72" s="1263"/>
      <c r="CL72" s="1920">
        <f t="shared" ref="CL72:CW72" si="211">ROUND(BY72*E72,-3)</f>
        <v>5000</v>
      </c>
      <c r="CM72" s="78">
        <f t="shared" si="211"/>
        <v>0</v>
      </c>
      <c r="CN72" s="78">
        <f t="shared" si="211"/>
        <v>0</v>
      </c>
      <c r="CO72" s="78">
        <f t="shared" si="211"/>
        <v>0</v>
      </c>
      <c r="CP72" s="78">
        <f t="shared" si="211"/>
        <v>0</v>
      </c>
      <c r="CQ72" s="78">
        <f t="shared" si="211"/>
        <v>0</v>
      </c>
      <c r="CR72" s="78">
        <f t="shared" si="211"/>
        <v>0</v>
      </c>
      <c r="CS72" s="78">
        <f t="shared" si="211"/>
        <v>0</v>
      </c>
      <c r="CT72" s="78">
        <f t="shared" si="211"/>
        <v>0</v>
      </c>
      <c r="CU72" s="78">
        <f t="shared" si="211"/>
        <v>0</v>
      </c>
      <c r="CV72" s="78">
        <f t="shared" si="211"/>
        <v>0</v>
      </c>
      <c r="CW72" s="131">
        <f t="shared" si="211"/>
        <v>0</v>
      </c>
    </row>
    <row r="73" spans="1:101" ht="13.5" thickBot="1" x14ac:dyDescent="0.25">
      <c r="A73" s="594" t="s">
        <v>246</v>
      </c>
      <c r="B73" s="2208"/>
      <c r="C73" s="2334"/>
      <c r="D73" s="2330"/>
      <c r="E73" s="142"/>
      <c r="F73" s="33"/>
      <c r="G73" s="33"/>
      <c r="H73" s="33"/>
      <c r="I73" s="76"/>
      <c r="J73" s="76"/>
      <c r="K73" s="76"/>
      <c r="L73" s="76"/>
      <c r="M73" s="33"/>
      <c r="N73" s="33"/>
      <c r="O73" s="33"/>
      <c r="P73" s="102"/>
      <c r="Q73" s="142"/>
      <c r="R73" s="33"/>
      <c r="S73" s="33"/>
      <c r="T73" s="33"/>
      <c r="U73" s="76"/>
      <c r="V73" s="186"/>
      <c r="W73" s="33"/>
      <c r="X73" s="142"/>
      <c r="Y73" s="33"/>
      <c r="Z73" s="129"/>
      <c r="AA73" s="142"/>
      <c r="AB73" s="33"/>
      <c r="AC73" s="33"/>
      <c r="AD73" s="33"/>
      <c r="AE73" s="129"/>
      <c r="AF73" s="142"/>
      <c r="AG73" s="33"/>
      <c r="AH73" s="33"/>
      <c r="AI73" s="33"/>
      <c r="AJ73" s="129"/>
      <c r="AK73" s="142"/>
      <c r="AL73" s="33"/>
      <c r="AM73" s="33"/>
      <c r="AN73" s="33"/>
      <c r="AO73" s="100"/>
      <c r="AP73" s="142"/>
      <c r="AQ73" s="33"/>
      <c r="AR73" s="33"/>
      <c r="AS73" s="33"/>
      <c r="AT73" s="129"/>
      <c r="AV73" s="33"/>
      <c r="AW73" s="33"/>
      <c r="AX73" s="33"/>
      <c r="AY73" s="129"/>
      <c r="AZ73" s="142"/>
      <c r="BA73" s="33"/>
      <c r="BB73" s="33"/>
      <c r="BC73" s="33"/>
      <c r="BD73" s="129"/>
      <c r="BE73" s="142"/>
      <c r="BF73" s="33"/>
      <c r="BG73" s="33"/>
      <c r="BH73" s="33"/>
      <c r="BI73" s="129"/>
      <c r="BJ73" s="142"/>
      <c r="BK73" s="33"/>
      <c r="BL73" s="33"/>
      <c r="BM73" s="33"/>
      <c r="BN73" s="129"/>
      <c r="BO73" s="142"/>
      <c r="BP73" s="33"/>
      <c r="BQ73" s="33"/>
      <c r="BR73" s="33"/>
      <c r="BS73" s="129"/>
      <c r="BT73" s="142"/>
      <c r="BU73" s="33"/>
      <c r="BV73" s="33"/>
      <c r="BW73" s="33"/>
      <c r="BX73" s="76"/>
      <c r="BY73" s="2437"/>
      <c r="BZ73" s="740"/>
      <c r="CA73" s="740"/>
      <c r="CB73" s="740"/>
      <c r="CC73" s="740"/>
      <c r="CD73" s="740"/>
      <c r="CE73" s="740"/>
      <c r="CF73" s="740"/>
      <c r="CG73" s="740"/>
      <c r="CH73" s="740"/>
      <c r="CI73" s="740"/>
      <c r="CJ73" s="740"/>
      <c r="CK73" s="740"/>
      <c r="CL73" s="502"/>
      <c r="CM73" s="99"/>
      <c r="CN73" s="99"/>
      <c r="CO73" s="99"/>
      <c r="CP73" s="99"/>
      <c r="CQ73" s="99"/>
      <c r="CR73" s="99"/>
      <c r="CS73" s="99"/>
      <c r="CT73" s="99"/>
      <c r="CU73" s="99"/>
      <c r="CV73" s="99"/>
      <c r="CW73" s="114"/>
    </row>
    <row r="74" spans="1:101" s="92" customFormat="1" ht="14.25" thickTop="1" thickBot="1" x14ac:dyDescent="0.25">
      <c r="A74" s="1134" t="s">
        <v>3365</v>
      </c>
      <c r="B74" s="2357"/>
      <c r="C74" s="2331"/>
      <c r="D74" s="2389"/>
      <c r="E74" s="419">
        <f t="shared" ref="E74:AE74" si="212">SUBTOTAL(9,E68:E73)</f>
        <v>5100</v>
      </c>
      <c r="F74" s="417">
        <f t="shared" si="212"/>
        <v>267000</v>
      </c>
      <c r="G74" s="417">
        <f t="shared" si="212"/>
        <v>208000</v>
      </c>
      <c r="H74" s="417">
        <f t="shared" si="212"/>
        <v>0</v>
      </c>
      <c r="I74" s="423">
        <f t="shared" si="212"/>
        <v>0</v>
      </c>
      <c r="J74" s="423">
        <f t="shared" si="212"/>
        <v>0</v>
      </c>
      <c r="K74" s="423">
        <f t="shared" si="212"/>
        <v>0</v>
      </c>
      <c r="L74" s="423">
        <f t="shared" si="212"/>
        <v>0</v>
      </c>
      <c r="M74" s="417">
        <f t="shared" si="212"/>
        <v>0</v>
      </c>
      <c r="N74" s="417">
        <f t="shared" si="212"/>
        <v>0</v>
      </c>
      <c r="O74" s="417">
        <f t="shared" si="212"/>
        <v>0</v>
      </c>
      <c r="P74" s="422">
        <f t="shared" ref="P74" si="213">SUBTOTAL(9,P68:P73)</f>
        <v>0</v>
      </c>
      <c r="Q74" s="419">
        <f t="shared" si="212"/>
        <v>0</v>
      </c>
      <c r="R74" s="417">
        <f t="shared" si="212"/>
        <v>0</v>
      </c>
      <c r="S74" s="417">
        <f t="shared" si="212"/>
        <v>0</v>
      </c>
      <c r="T74" s="417">
        <f t="shared" si="212"/>
        <v>0</v>
      </c>
      <c r="U74" s="423">
        <f t="shared" si="212"/>
        <v>5100</v>
      </c>
      <c r="V74" s="424">
        <f t="shared" si="212"/>
        <v>95000</v>
      </c>
      <c r="W74" s="417">
        <f t="shared" si="212"/>
        <v>0</v>
      </c>
      <c r="X74" s="419">
        <f t="shared" si="212"/>
        <v>0</v>
      </c>
      <c r="Y74" s="417">
        <f t="shared" si="212"/>
        <v>152000</v>
      </c>
      <c r="Z74" s="418">
        <f t="shared" si="212"/>
        <v>20000</v>
      </c>
      <c r="AA74" s="419">
        <f t="shared" si="212"/>
        <v>0</v>
      </c>
      <c r="AB74" s="417">
        <f t="shared" si="212"/>
        <v>0</v>
      </c>
      <c r="AC74" s="417">
        <f t="shared" si="212"/>
        <v>0</v>
      </c>
      <c r="AD74" s="417">
        <f t="shared" si="212"/>
        <v>208000</v>
      </c>
      <c r="AE74" s="418">
        <f t="shared" si="212"/>
        <v>0</v>
      </c>
      <c r="AF74" s="419">
        <f t="shared" ref="AF74:BK74" si="214">SUBTOTAL(9,AF68:AF73)</f>
        <v>0</v>
      </c>
      <c r="AG74" s="417">
        <f t="shared" si="214"/>
        <v>0</v>
      </c>
      <c r="AH74" s="417">
        <f t="shared" si="214"/>
        <v>0</v>
      </c>
      <c r="AI74" s="417">
        <f t="shared" si="214"/>
        <v>0</v>
      </c>
      <c r="AJ74" s="418">
        <f t="shared" si="214"/>
        <v>0</v>
      </c>
      <c r="AK74" s="419">
        <f t="shared" si="214"/>
        <v>0</v>
      </c>
      <c r="AL74" s="417">
        <f t="shared" si="214"/>
        <v>0</v>
      </c>
      <c r="AM74" s="417">
        <f t="shared" si="214"/>
        <v>0</v>
      </c>
      <c r="AN74" s="417">
        <f t="shared" si="214"/>
        <v>0</v>
      </c>
      <c r="AO74" s="420">
        <f t="shared" si="214"/>
        <v>0</v>
      </c>
      <c r="AP74" s="419">
        <f t="shared" si="214"/>
        <v>0</v>
      </c>
      <c r="AQ74" s="417">
        <f t="shared" si="214"/>
        <v>0</v>
      </c>
      <c r="AR74" s="417">
        <f t="shared" si="214"/>
        <v>0</v>
      </c>
      <c r="AS74" s="417">
        <f t="shared" si="214"/>
        <v>0</v>
      </c>
      <c r="AT74" s="418">
        <f t="shared" si="214"/>
        <v>0</v>
      </c>
      <c r="AU74" s="419">
        <f t="shared" si="214"/>
        <v>0</v>
      </c>
      <c r="AV74" s="417">
        <f t="shared" si="214"/>
        <v>0</v>
      </c>
      <c r="AW74" s="417">
        <f t="shared" si="214"/>
        <v>0</v>
      </c>
      <c r="AX74" s="417">
        <f t="shared" si="214"/>
        <v>0</v>
      </c>
      <c r="AY74" s="418">
        <f t="shared" si="214"/>
        <v>0</v>
      </c>
      <c r="AZ74" s="419">
        <f t="shared" si="214"/>
        <v>0</v>
      </c>
      <c r="BA74" s="417">
        <f t="shared" si="214"/>
        <v>0</v>
      </c>
      <c r="BB74" s="417">
        <f t="shared" si="214"/>
        <v>0</v>
      </c>
      <c r="BC74" s="417">
        <f t="shared" si="214"/>
        <v>0</v>
      </c>
      <c r="BD74" s="418">
        <f t="shared" si="214"/>
        <v>0</v>
      </c>
      <c r="BE74" s="419">
        <f t="shared" si="214"/>
        <v>0</v>
      </c>
      <c r="BF74" s="417">
        <f t="shared" si="214"/>
        <v>0</v>
      </c>
      <c r="BG74" s="417">
        <f t="shared" si="214"/>
        <v>0</v>
      </c>
      <c r="BH74" s="417">
        <f t="shared" si="214"/>
        <v>0</v>
      </c>
      <c r="BI74" s="418">
        <f t="shared" si="214"/>
        <v>0</v>
      </c>
      <c r="BJ74" s="419">
        <f t="shared" si="214"/>
        <v>0</v>
      </c>
      <c r="BK74" s="417">
        <f t="shared" si="214"/>
        <v>0</v>
      </c>
      <c r="BL74" s="417">
        <f t="shared" ref="BL74:BS74" si="215">SUBTOTAL(9,BL68:BL73)</f>
        <v>0</v>
      </c>
      <c r="BM74" s="417">
        <f t="shared" si="215"/>
        <v>0</v>
      </c>
      <c r="BN74" s="418">
        <f t="shared" si="215"/>
        <v>0</v>
      </c>
      <c r="BO74" s="419">
        <f t="shared" si="215"/>
        <v>0</v>
      </c>
      <c r="BP74" s="417">
        <f t="shared" si="215"/>
        <v>0</v>
      </c>
      <c r="BQ74" s="417">
        <f t="shared" si="215"/>
        <v>0</v>
      </c>
      <c r="BR74" s="417">
        <f t="shared" si="215"/>
        <v>0</v>
      </c>
      <c r="BS74" s="418">
        <f t="shared" si="215"/>
        <v>0</v>
      </c>
      <c r="BT74" s="419">
        <f t="shared" ref="BT74:BX74" si="216">SUBTOTAL(9,BT68:BT73)</f>
        <v>0</v>
      </c>
      <c r="BU74" s="417">
        <f t="shared" si="216"/>
        <v>0</v>
      </c>
      <c r="BV74" s="417">
        <f t="shared" si="216"/>
        <v>0</v>
      </c>
      <c r="BW74" s="417">
        <f t="shared" si="216"/>
        <v>0</v>
      </c>
      <c r="BX74" s="423">
        <f t="shared" si="216"/>
        <v>0</v>
      </c>
      <c r="BY74" s="2437"/>
      <c r="BZ74" s="740"/>
      <c r="CA74" s="655"/>
      <c r="CB74" s="655"/>
      <c r="CC74" s="655"/>
      <c r="CD74" s="655"/>
      <c r="CE74" s="655"/>
      <c r="CF74" s="655"/>
      <c r="CG74" s="655"/>
      <c r="CH74" s="655"/>
      <c r="CI74" s="655"/>
      <c r="CJ74" s="655"/>
      <c r="CK74" s="655"/>
      <c r="CL74" s="1747"/>
      <c r="CM74" s="74"/>
      <c r="CN74" s="74"/>
      <c r="CO74" s="74"/>
      <c r="CP74" s="74"/>
      <c r="CQ74" s="74"/>
      <c r="CR74" s="74"/>
      <c r="CS74" s="74"/>
      <c r="CT74" s="74"/>
      <c r="CU74" s="74"/>
      <c r="CV74" s="74"/>
      <c r="CW74" s="115"/>
    </row>
    <row r="75" spans="1:101" s="92" customFormat="1" ht="13.5" thickTop="1" x14ac:dyDescent="0.2">
      <c r="A75" s="590"/>
      <c r="B75" s="2360"/>
      <c r="C75" s="2335"/>
      <c r="D75" s="2388"/>
      <c r="E75" s="128"/>
      <c r="F75" s="64"/>
      <c r="G75" s="64"/>
      <c r="H75" s="64"/>
      <c r="I75" s="79"/>
      <c r="J75" s="79"/>
      <c r="K75" s="79"/>
      <c r="L75" s="79"/>
      <c r="M75" s="64"/>
      <c r="N75" s="64"/>
      <c r="O75" s="64"/>
      <c r="P75" s="117"/>
      <c r="Q75" s="128"/>
      <c r="R75" s="64"/>
      <c r="S75" s="64"/>
      <c r="T75" s="64"/>
      <c r="U75" s="74"/>
      <c r="V75" s="185"/>
      <c r="W75" s="64"/>
      <c r="X75" s="74"/>
      <c r="Y75" s="64"/>
      <c r="Z75" s="117"/>
      <c r="AA75" s="128"/>
      <c r="AB75" s="64"/>
      <c r="AC75" s="64"/>
      <c r="AD75" s="64"/>
      <c r="AE75" s="117"/>
      <c r="AF75" s="128"/>
      <c r="AG75" s="64"/>
      <c r="AH75" s="64"/>
      <c r="AI75" s="64"/>
      <c r="AJ75" s="117"/>
      <c r="AK75" s="128"/>
      <c r="AL75" s="64"/>
      <c r="AM75" s="64"/>
      <c r="AN75" s="64"/>
      <c r="AO75" s="115"/>
      <c r="AP75" s="128"/>
      <c r="AQ75" s="64"/>
      <c r="AR75" s="64"/>
      <c r="AS75" s="64"/>
      <c r="AT75" s="117"/>
      <c r="AU75" s="74"/>
      <c r="AV75" s="64"/>
      <c r="AW75" s="64"/>
      <c r="AX75" s="64"/>
      <c r="AY75" s="117"/>
      <c r="AZ75" s="128"/>
      <c r="BA75" s="64"/>
      <c r="BB75" s="64"/>
      <c r="BC75" s="64"/>
      <c r="BD75" s="117"/>
      <c r="BE75" s="128"/>
      <c r="BF75" s="64"/>
      <c r="BG75" s="64"/>
      <c r="BH75" s="64"/>
      <c r="BI75" s="117"/>
      <c r="BJ75" s="128"/>
      <c r="BK75" s="64"/>
      <c r="BL75" s="64"/>
      <c r="BM75" s="64"/>
      <c r="BN75" s="117"/>
      <c r="BO75" s="128"/>
      <c r="BP75" s="64"/>
      <c r="BQ75" s="64"/>
      <c r="BR75" s="64"/>
      <c r="BS75" s="117"/>
      <c r="BT75" s="128"/>
      <c r="BU75" s="64"/>
      <c r="BV75" s="64"/>
      <c r="BW75" s="64"/>
      <c r="BX75" s="74"/>
      <c r="BY75" s="2437"/>
      <c r="BZ75" s="740"/>
      <c r="CA75" s="655"/>
      <c r="CB75" s="655"/>
      <c r="CC75" s="655"/>
      <c r="CD75" s="655"/>
      <c r="CE75" s="655"/>
      <c r="CF75" s="655"/>
      <c r="CG75" s="655"/>
      <c r="CH75" s="655"/>
      <c r="CI75" s="655"/>
      <c r="CJ75" s="655"/>
      <c r="CK75" s="655"/>
      <c r="CL75" s="1747"/>
      <c r="CM75" s="74"/>
      <c r="CN75" s="74"/>
      <c r="CO75" s="74"/>
      <c r="CP75" s="74"/>
      <c r="CQ75" s="74"/>
      <c r="CR75" s="74"/>
      <c r="CS75" s="74"/>
      <c r="CT75" s="74"/>
      <c r="CU75" s="74"/>
      <c r="CV75" s="74"/>
      <c r="CW75" s="115"/>
    </row>
    <row r="76" spans="1:101" x14ac:dyDescent="0.2">
      <c r="A76" s="412" t="s">
        <v>303</v>
      </c>
      <c r="B76" s="2361"/>
      <c r="C76" s="2336"/>
      <c r="D76" s="2390"/>
      <c r="E76" s="142"/>
      <c r="F76" s="33"/>
      <c r="G76" s="33"/>
      <c r="H76" s="33"/>
      <c r="I76" s="33"/>
      <c r="J76" s="99"/>
      <c r="K76" s="76"/>
      <c r="L76" s="76"/>
      <c r="M76" s="33"/>
      <c r="N76" s="33"/>
      <c r="O76" s="33"/>
      <c r="P76" s="102"/>
      <c r="Q76" s="142"/>
      <c r="R76" s="33"/>
      <c r="S76" s="33"/>
      <c r="T76" s="33"/>
      <c r="V76" s="186"/>
      <c r="W76" s="33"/>
      <c r="X76" s="99"/>
      <c r="Y76" s="33"/>
      <c r="Z76" s="102"/>
      <c r="AA76" s="142"/>
      <c r="AB76" s="33"/>
      <c r="AC76" s="33"/>
      <c r="AD76" s="33"/>
      <c r="AE76" s="102"/>
      <c r="AF76" s="142"/>
      <c r="AG76" s="33"/>
      <c r="AH76" s="33"/>
      <c r="AI76" s="33"/>
      <c r="AJ76" s="102"/>
      <c r="AK76" s="142"/>
      <c r="AL76" s="33"/>
      <c r="AM76" s="33"/>
      <c r="AN76" s="33"/>
      <c r="AO76" s="114"/>
      <c r="AP76" s="142"/>
      <c r="AQ76" s="33"/>
      <c r="AR76" s="33"/>
      <c r="AS76" s="33"/>
      <c r="AT76" s="102"/>
      <c r="AV76" s="33"/>
      <c r="AW76" s="33"/>
      <c r="AX76" s="33"/>
      <c r="AY76" s="102"/>
      <c r="AZ76" s="142"/>
      <c r="BA76" s="33"/>
      <c r="BB76" s="33"/>
      <c r="BC76" s="33"/>
      <c r="BD76" s="102"/>
      <c r="BE76" s="142"/>
      <c r="BF76" s="33"/>
      <c r="BG76" s="33"/>
      <c r="BH76" s="33"/>
      <c r="BI76" s="102"/>
      <c r="BJ76" s="142"/>
      <c r="BK76" s="33"/>
      <c r="BL76" s="33"/>
      <c r="BM76" s="33"/>
      <c r="BN76" s="102"/>
      <c r="BO76" s="142"/>
      <c r="BP76" s="33"/>
      <c r="BQ76" s="33"/>
      <c r="BR76" s="33"/>
      <c r="BS76" s="102"/>
      <c r="BT76" s="142"/>
      <c r="BU76" s="33"/>
      <c r="BV76" s="33"/>
      <c r="BW76" s="33"/>
      <c r="BY76" s="2437"/>
      <c r="BZ76" s="740"/>
      <c r="CA76" s="740"/>
      <c r="CB76" s="740"/>
      <c r="CC76" s="740"/>
      <c r="CD76" s="740"/>
      <c r="CE76" s="740"/>
      <c r="CF76" s="740"/>
      <c r="CG76" s="740"/>
      <c r="CH76" s="740"/>
      <c r="CI76" s="740"/>
      <c r="CJ76" s="740"/>
      <c r="CK76" s="740"/>
      <c r="CL76" s="502"/>
      <c r="CM76" s="99"/>
      <c r="CN76" s="99"/>
      <c r="CO76" s="99"/>
      <c r="CP76" s="99"/>
      <c r="CQ76" s="99"/>
      <c r="CR76" s="99"/>
      <c r="CS76" s="99"/>
      <c r="CT76" s="99"/>
      <c r="CU76" s="99"/>
      <c r="CV76" s="99"/>
      <c r="CW76" s="114"/>
    </row>
    <row r="77" spans="1:101" s="133" customFormat="1" x14ac:dyDescent="0.2">
      <c r="A77" s="590" t="s">
        <v>572</v>
      </c>
      <c r="B77" s="2363"/>
      <c r="C77" s="2338"/>
      <c r="D77" s="2393"/>
      <c r="E77" s="130"/>
      <c r="F77" s="132"/>
      <c r="G77" s="132"/>
      <c r="H77" s="132"/>
      <c r="I77" s="132"/>
      <c r="J77" s="78"/>
      <c r="K77" s="76"/>
      <c r="L77" s="76"/>
      <c r="M77" s="132"/>
      <c r="N77" s="132"/>
      <c r="O77" s="132"/>
      <c r="P77" s="830"/>
      <c r="Q77" s="130"/>
      <c r="R77" s="132"/>
      <c r="S77" s="132"/>
      <c r="T77" s="132"/>
      <c r="U77" s="78"/>
      <c r="V77" s="914"/>
      <c r="W77" s="132"/>
      <c r="X77" s="78"/>
      <c r="Y77" s="132"/>
      <c r="Z77" s="830"/>
      <c r="AA77" s="130"/>
      <c r="AB77" s="132"/>
      <c r="AC77" s="132"/>
      <c r="AD77" s="132"/>
      <c r="AE77" s="830"/>
      <c r="AF77" s="130"/>
      <c r="AG77" s="132"/>
      <c r="AH77" s="132"/>
      <c r="AI77" s="132"/>
      <c r="AJ77" s="830"/>
      <c r="AK77" s="130"/>
      <c r="AL77" s="132"/>
      <c r="AM77" s="132"/>
      <c r="AN77" s="132"/>
      <c r="AO77" s="131"/>
      <c r="AP77" s="130"/>
      <c r="AQ77" s="132"/>
      <c r="AR77" s="132"/>
      <c r="AS77" s="132"/>
      <c r="AT77" s="830"/>
      <c r="AU77" s="78"/>
      <c r="AV77" s="132"/>
      <c r="AW77" s="132"/>
      <c r="AX77" s="132"/>
      <c r="AY77" s="830"/>
      <c r="AZ77" s="130"/>
      <c r="BA77" s="132"/>
      <c r="BB77" s="132"/>
      <c r="BC77" s="132"/>
      <c r="BD77" s="830"/>
      <c r="BE77" s="130"/>
      <c r="BF77" s="132"/>
      <c r="BG77" s="132"/>
      <c r="BH77" s="132"/>
      <c r="BI77" s="830"/>
      <c r="BJ77" s="130"/>
      <c r="BK77" s="132"/>
      <c r="BL77" s="132"/>
      <c r="BM77" s="132"/>
      <c r="BN77" s="830"/>
      <c r="BO77" s="130"/>
      <c r="BP77" s="132"/>
      <c r="BQ77" s="132"/>
      <c r="BR77" s="132"/>
      <c r="BS77" s="830"/>
      <c r="BT77" s="130"/>
      <c r="BU77" s="132"/>
      <c r="BV77" s="132"/>
      <c r="BW77" s="132"/>
      <c r="BX77" s="78"/>
      <c r="BY77" s="2438"/>
      <c r="BZ77" s="1263"/>
      <c r="CA77" s="1263"/>
      <c r="CB77" s="1263"/>
      <c r="CC77" s="1263"/>
      <c r="CD77" s="1263"/>
      <c r="CE77" s="1263"/>
      <c r="CF77" s="1263"/>
      <c r="CG77" s="1263"/>
      <c r="CH77" s="1263"/>
      <c r="CI77" s="1263"/>
      <c r="CJ77" s="1263"/>
      <c r="CK77" s="1263"/>
      <c r="CL77" s="1920"/>
      <c r="CM77" s="78"/>
      <c r="CN77" s="78"/>
      <c r="CO77" s="78"/>
      <c r="CP77" s="78"/>
      <c r="CQ77" s="78"/>
      <c r="CR77" s="78"/>
      <c r="CS77" s="78"/>
      <c r="CT77" s="78"/>
      <c r="CU77" s="78"/>
      <c r="CV77" s="78"/>
      <c r="CW77" s="131"/>
    </row>
    <row r="78" spans="1:101" x14ac:dyDescent="0.2">
      <c r="A78" s="869" t="s">
        <v>4941</v>
      </c>
      <c r="B78" s="2358" t="s">
        <v>5266</v>
      </c>
      <c r="C78" s="2332" t="s">
        <v>5076</v>
      </c>
      <c r="D78" s="2327"/>
      <c r="E78" s="33">
        <v>121100</v>
      </c>
      <c r="F78" s="76"/>
      <c r="G78" s="33"/>
      <c r="H78" s="33"/>
      <c r="I78" s="33"/>
      <c r="J78" s="99">
        <v>60000</v>
      </c>
      <c r="K78" s="76"/>
      <c r="L78" s="76"/>
      <c r="M78" s="33"/>
      <c r="N78" s="33"/>
      <c r="O78" s="33">
        <v>70000</v>
      </c>
      <c r="P78" s="102"/>
      <c r="Q78" s="142"/>
      <c r="R78" s="33"/>
      <c r="S78" s="33"/>
      <c r="T78" s="33"/>
      <c r="U78" s="99">
        <f>E78-Q78-R78-S78-T78</f>
        <v>121100</v>
      </c>
      <c r="V78" s="186"/>
      <c r="W78" s="33"/>
      <c r="X78" s="99"/>
      <c r="Y78" s="33"/>
      <c r="Z78" s="102">
        <f>F78-V78-W78-X78-Y78</f>
        <v>0</v>
      </c>
      <c r="AA78" s="142"/>
      <c r="AB78" s="33"/>
      <c r="AC78" s="33"/>
      <c r="AD78" s="33"/>
      <c r="AE78" s="102">
        <f>G78-AA78-AB78-AC78-AD78</f>
        <v>0</v>
      </c>
      <c r="AF78" s="142"/>
      <c r="AG78" s="33"/>
      <c r="AH78" s="33"/>
      <c r="AI78" s="33"/>
      <c r="AJ78" s="102">
        <f>H78-AF78-AG78-AH78-AI78</f>
        <v>0</v>
      </c>
      <c r="AK78" s="142"/>
      <c r="AL78" s="33"/>
      <c r="AM78" s="33"/>
      <c r="AN78" s="33"/>
      <c r="AO78" s="114">
        <f>I78-AK78-AL78-AM78-AN78</f>
        <v>0</v>
      </c>
      <c r="AP78" s="142"/>
      <c r="AQ78" s="33"/>
      <c r="AR78" s="33"/>
      <c r="AS78" s="33"/>
      <c r="AT78" s="102">
        <f>J78-AP78-AQ78-AR78-AS78</f>
        <v>60000</v>
      </c>
      <c r="AV78" s="33"/>
      <c r="AW78" s="33"/>
      <c r="AX78" s="33"/>
      <c r="AY78" s="102">
        <f>K78-AU78-AV78-AW78-AX78</f>
        <v>0</v>
      </c>
      <c r="AZ78" s="142"/>
      <c r="BA78" s="33"/>
      <c r="BB78" s="33"/>
      <c r="BC78" s="33"/>
      <c r="BD78" s="102">
        <f>L78-AZ78-BA78-BB78-BC78</f>
        <v>0</v>
      </c>
      <c r="BE78" s="142"/>
      <c r="BF78" s="33"/>
      <c r="BG78" s="33"/>
      <c r="BH78" s="33"/>
      <c r="BI78" s="102">
        <f>M78-BE78-BF78-BG78-BH78</f>
        <v>0</v>
      </c>
      <c r="BJ78" s="142"/>
      <c r="BK78" s="33"/>
      <c r="BL78" s="33"/>
      <c r="BM78" s="33"/>
      <c r="BN78" s="102">
        <f>N78-BJ78-BK78-BL78-BM78</f>
        <v>0</v>
      </c>
      <c r="BO78" s="142"/>
      <c r="BP78" s="33"/>
      <c r="BQ78" s="33"/>
      <c r="BR78" s="33"/>
      <c r="BS78" s="102">
        <f>O78-BO78-BP78-BQ78-BR78</f>
        <v>70000</v>
      </c>
      <c r="BT78" s="142"/>
      <c r="BU78" s="33"/>
      <c r="BV78" s="33"/>
      <c r="BW78" s="33"/>
      <c r="BX78" s="99">
        <f>P78-BT78-BU78-BV78-BW78</f>
        <v>0</v>
      </c>
      <c r="BY78" s="2438">
        <v>0</v>
      </c>
      <c r="BZ78" s="1263">
        <f>BY78</f>
        <v>0</v>
      </c>
      <c r="CA78" s="1263">
        <f t="shared" ref="CA78" si="217">BZ78</f>
        <v>0</v>
      </c>
      <c r="CB78" s="1263">
        <f t="shared" ref="CB78" si="218">CA78</f>
        <v>0</v>
      </c>
      <c r="CC78" s="1263">
        <f t="shared" ref="CC78" si="219">CB78</f>
        <v>0</v>
      </c>
      <c r="CD78" s="1263">
        <f t="shared" ref="CD78" si="220">CC78</f>
        <v>0</v>
      </c>
      <c r="CE78" s="1263">
        <f t="shared" ref="CE78" si="221">CD78</f>
        <v>0</v>
      </c>
      <c r="CF78" s="1263">
        <f t="shared" ref="CF78" si="222">CE78</f>
        <v>0</v>
      </c>
      <c r="CG78" s="1263">
        <f t="shared" ref="CG78" si="223">CF78</f>
        <v>0</v>
      </c>
      <c r="CH78" s="1263">
        <f t="shared" ref="CH78" si="224">CG78</f>
        <v>0</v>
      </c>
      <c r="CI78" s="1263">
        <f>CH78</f>
        <v>0</v>
      </c>
      <c r="CJ78" s="1263">
        <f>CI78</f>
        <v>0</v>
      </c>
      <c r="CK78" s="1263"/>
      <c r="CL78" s="1920">
        <f t="shared" ref="CL78:CW78" si="225">ROUND(BY78*E78,-3)</f>
        <v>0</v>
      </c>
      <c r="CM78" s="78">
        <f t="shared" si="225"/>
        <v>0</v>
      </c>
      <c r="CN78" s="78">
        <f t="shared" si="225"/>
        <v>0</v>
      </c>
      <c r="CO78" s="78">
        <f t="shared" si="225"/>
        <v>0</v>
      </c>
      <c r="CP78" s="78">
        <f t="shared" si="225"/>
        <v>0</v>
      </c>
      <c r="CQ78" s="78">
        <f t="shared" si="225"/>
        <v>0</v>
      </c>
      <c r="CR78" s="78">
        <f t="shared" si="225"/>
        <v>0</v>
      </c>
      <c r="CS78" s="78">
        <f t="shared" si="225"/>
        <v>0</v>
      </c>
      <c r="CT78" s="78">
        <f t="shared" si="225"/>
        <v>0</v>
      </c>
      <c r="CU78" s="78">
        <f t="shared" si="225"/>
        <v>0</v>
      </c>
      <c r="CV78" s="78">
        <f t="shared" si="225"/>
        <v>0</v>
      </c>
      <c r="CW78" s="131">
        <f t="shared" si="225"/>
        <v>0</v>
      </c>
    </row>
    <row r="79" spans="1:101" x14ac:dyDescent="0.2">
      <c r="A79" s="413"/>
      <c r="B79" s="2208"/>
      <c r="C79" s="2334"/>
      <c r="D79" s="2330"/>
      <c r="E79" s="142"/>
      <c r="F79" s="33"/>
      <c r="G79" s="33"/>
      <c r="H79" s="33"/>
      <c r="I79" s="33"/>
      <c r="J79" s="99"/>
      <c r="K79" s="33"/>
      <c r="L79" s="99"/>
      <c r="M79" s="33"/>
      <c r="N79" s="33"/>
      <c r="O79" s="33"/>
      <c r="P79" s="102"/>
      <c r="Q79" s="142"/>
      <c r="R79" s="33"/>
      <c r="S79" s="33"/>
      <c r="T79" s="33"/>
      <c r="V79" s="186"/>
      <c r="W79" s="33"/>
      <c r="X79" s="99"/>
      <c r="Y79" s="33"/>
      <c r="Z79" s="102"/>
      <c r="AA79" s="142"/>
      <c r="AB79" s="33"/>
      <c r="AC79" s="33"/>
      <c r="AD79" s="33"/>
      <c r="AE79" s="102"/>
      <c r="AF79" s="142"/>
      <c r="AG79" s="33"/>
      <c r="AH79" s="33"/>
      <c r="AI79" s="33"/>
      <c r="AJ79" s="102"/>
      <c r="AK79" s="142"/>
      <c r="AL79" s="33"/>
      <c r="AM79" s="33"/>
      <c r="AN79" s="33"/>
      <c r="AO79" s="114"/>
      <c r="AP79" s="142"/>
      <c r="AQ79" s="33"/>
      <c r="AR79" s="33"/>
      <c r="AS79" s="33"/>
      <c r="AT79" s="102"/>
      <c r="AV79" s="33"/>
      <c r="AW79" s="33"/>
      <c r="AX79" s="33"/>
      <c r="AY79" s="102"/>
      <c r="AZ79" s="142"/>
      <c r="BA79" s="33"/>
      <c r="BB79" s="33"/>
      <c r="BC79" s="33"/>
      <c r="BD79" s="102"/>
      <c r="BE79" s="142"/>
      <c r="BF79" s="33"/>
      <c r="BG79" s="33"/>
      <c r="BH79" s="33"/>
      <c r="BI79" s="102"/>
      <c r="BJ79" s="142"/>
      <c r="BK79" s="33"/>
      <c r="BL79" s="33"/>
      <c r="BM79" s="33"/>
      <c r="BN79" s="102"/>
      <c r="BO79" s="142"/>
      <c r="BP79" s="33"/>
      <c r="BQ79" s="33"/>
      <c r="BR79" s="33"/>
      <c r="BS79" s="102"/>
      <c r="BT79" s="142"/>
      <c r="BU79" s="33"/>
      <c r="BV79" s="33"/>
      <c r="BW79" s="33"/>
      <c r="BY79" s="2437"/>
      <c r="BZ79" s="740"/>
      <c r="CA79" s="740"/>
      <c r="CB79" s="740"/>
      <c r="CC79" s="740"/>
      <c r="CD79" s="740"/>
      <c r="CE79" s="740"/>
      <c r="CF79" s="740"/>
      <c r="CG79" s="740"/>
      <c r="CH79" s="740"/>
      <c r="CI79" s="740"/>
      <c r="CJ79" s="740"/>
      <c r="CK79" s="740"/>
      <c r="CL79" s="502"/>
      <c r="CM79" s="99"/>
      <c r="CN79" s="99"/>
      <c r="CO79" s="99"/>
      <c r="CP79" s="99"/>
      <c r="CQ79" s="99"/>
      <c r="CR79" s="99"/>
      <c r="CS79" s="99"/>
      <c r="CT79" s="99"/>
      <c r="CU79" s="99"/>
      <c r="CV79" s="99"/>
      <c r="CW79" s="114"/>
    </row>
    <row r="80" spans="1:101" x14ac:dyDescent="0.2">
      <c r="A80" s="590" t="s">
        <v>3751</v>
      </c>
      <c r="B80" s="2364"/>
      <c r="C80" s="2339"/>
      <c r="D80" s="2329"/>
      <c r="E80" s="142"/>
      <c r="F80" s="33"/>
      <c r="G80" s="33"/>
      <c r="H80" s="33"/>
      <c r="I80" s="33"/>
      <c r="J80" s="99"/>
      <c r="K80" s="33"/>
      <c r="L80" s="99"/>
      <c r="M80" s="33"/>
      <c r="N80" s="33"/>
      <c r="O80" s="33"/>
      <c r="P80" s="102"/>
      <c r="Q80" s="142"/>
      <c r="R80" s="33"/>
      <c r="S80" s="33"/>
      <c r="T80" s="33"/>
      <c r="V80" s="186"/>
      <c r="W80" s="33"/>
      <c r="X80" s="99"/>
      <c r="Y80" s="33"/>
      <c r="Z80" s="102"/>
      <c r="AA80" s="142"/>
      <c r="AB80" s="33"/>
      <c r="AC80" s="33"/>
      <c r="AD80" s="33"/>
      <c r="AE80" s="102"/>
      <c r="AF80" s="142"/>
      <c r="AG80" s="33"/>
      <c r="AH80" s="33"/>
      <c r="AI80" s="33"/>
      <c r="AJ80" s="102"/>
      <c r="AK80" s="142"/>
      <c r="AL80" s="33"/>
      <c r="AM80" s="33"/>
      <c r="AN80" s="33"/>
      <c r="AO80" s="114"/>
      <c r="AP80" s="142"/>
      <c r="AQ80" s="33"/>
      <c r="AR80" s="33"/>
      <c r="AS80" s="33"/>
      <c r="AT80" s="102"/>
      <c r="AV80" s="33"/>
      <c r="AW80" s="33"/>
      <c r="AX80" s="33"/>
      <c r="AY80" s="102"/>
      <c r="AZ80" s="142"/>
      <c r="BA80" s="33"/>
      <c r="BB80" s="33"/>
      <c r="BC80" s="33"/>
      <c r="BD80" s="102"/>
      <c r="BE80" s="142"/>
      <c r="BF80" s="33"/>
      <c r="BG80" s="33"/>
      <c r="BH80" s="33"/>
      <c r="BI80" s="102"/>
      <c r="BJ80" s="142"/>
      <c r="BK80" s="33"/>
      <c r="BL80" s="33"/>
      <c r="BM80" s="33"/>
      <c r="BN80" s="102"/>
      <c r="BO80" s="142"/>
      <c r="BP80" s="33"/>
      <c r="BQ80" s="33"/>
      <c r="BR80" s="33"/>
      <c r="BS80" s="102"/>
      <c r="BT80" s="142"/>
      <c r="BU80" s="33"/>
      <c r="BV80" s="33"/>
      <c r="BW80" s="33"/>
      <c r="BY80" s="2437"/>
      <c r="BZ80" s="740"/>
      <c r="CA80" s="740"/>
      <c r="CB80" s="740"/>
      <c r="CC80" s="740"/>
      <c r="CD80" s="740"/>
      <c r="CE80" s="740"/>
      <c r="CF80" s="740"/>
      <c r="CG80" s="740"/>
      <c r="CH80" s="740"/>
      <c r="CI80" s="740"/>
      <c r="CJ80" s="740"/>
      <c r="CK80" s="740"/>
      <c r="CL80" s="502"/>
      <c r="CM80" s="99"/>
      <c r="CN80" s="99"/>
      <c r="CO80" s="99"/>
      <c r="CP80" s="99"/>
      <c r="CQ80" s="99"/>
      <c r="CR80" s="99"/>
      <c r="CS80" s="99"/>
      <c r="CT80" s="99"/>
      <c r="CU80" s="99"/>
      <c r="CV80" s="99"/>
      <c r="CW80" s="114"/>
    </row>
    <row r="81" spans="1:101" x14ac:dyDescent="0.2">
      <c r="A81" s="869" t="s">
        <v>5634</v>
      </c>
      <c r="B81" s="2352" t="s">
        <v>3267</v>
      </c>
      <c r="C81" s="2332" t="s">
        <v>5076</v>
      </c>
      <c r="D81" s="2327" t="s">
        <v>3267</v>
      </c>
      <c r="E81" s="33">
        <v>105400</v>
      </c>
      <c r="F81" s="33">
        <f>162000-25000+11200</f>
        <v>148200</v>
      </c>
      <c r="G81" s="33">
        <f>168000-25000</f>
        <v>143000</v>
      </c>
      <c r="H81" s="33">
        <v>175000</v>
      </c>
      <c r="I81" s="33">
        <f>ROUND((H81*Assumptions!J$6+H81),-3)</f>
        <v>182000</v>
      </c>
      <c r="J81" s="99">
        <f>ROUND((I81*Assumptions!K$6+I81),-3)</f>
        <v>187000</v>
      </c>
      <c r="K81" s="33">
        <f>ROUND((J81*Assumptions!L$6+J81),-3)</f>
        <v>192000</v>
      </c>
      <c r="L81" s="99">
        <f>ROUND((K81*Assumptions!M$6+K81),-3)</f>
        <v>197000</v>
      </c>
      <c r="M81" s="33">
        <f>ROUND((L81*Assumptions!N$6+L81),-3)</f>
        <v>202000</v>
      </c>
      <c r="N81" s="33">
        <f>ROUND((M81*Assumptions!O$6+M81),-3)</f>
        <v>207000</v>
      </c>
      <c r="O81" s="33">
        <f>ROUND((N81*Assumptions!P$6+N81),-3)</f>
        <v>212000</v>
      </c>
      <c r="P81" s="102">
        <f>ROUND((O81*Assumptions!Q$6+O81),-3)</f>
        <v>217000</v>
      </c>
      <c r="Q81" s="142"/>
      <c r="R81" s="33"/>
      <c r="S81" s="33"/>
      <c r="T81" s="33">
        <f>136000+26800</f>
        <v>162800</v>
      </c>
      <c r="U81" s="99">
        <f>E81-Q81-R81-S81-T81</f>
        <v>-57400</v>
      </c>
      <c r="V81" s="186">
        <f>'Cap Inc'!E21</f>
        <v>106400</v>
      </c>
      <c r="W81" s="33"/>
      <c r="X81" s="99"/>
      <c r="Y81" s="33">
        <v>11200</v>
      </c>
      <c r="Z81" s="102">
        <f>F81-V81-W81-X81-Y81</f>
        <v>30600</v>
      </c>
      <c r="AA81" s="142">
        <f>'Cap Inc'!F21</f>
        <v>107900</v>
      </c>
      <c r="AB81" s="33"/>
      <c r="AC81" s="33"/>
      <c r="AD81" s="33"/>
      <c r="AE81" s="102">
        <f>G81-AA81-AB81-AC81-AD81</f>
        <v>35100</v>
      </c>
      <c r="AF81" s="142">
        <f>'Cap Inc'!G21</f>
        <v>110100</v>
      </c>
      <c r="AG81" s="33"/>
      <c r="AH81" s="33"/>
      <c r="AI81" s="33"/>
      <c r="AJ81" s="102">
        <f>H81-AF81-AG81-AH81-AI81</f>
        <v>64900</v>
      </c>
      <c r="AK81" s="142">
        <f>'Cap Inc'!H21</f>
        <v>112300</v>
      </c>
      <c r="AL81" s="33"/>
      <c r="AM81" s="33"/>
      <c r="AN81" s="33"/>
      <c r="AO81" s="114">
        <f>I81-AK81-AL81-AM81-AN81</f>
        <v>69700</v>
      </c>
      <c r="AP81" s="142">
        <f>'Cap Inc'!I21</f>
        <v>114700</v>
      </c>
      <c r="AQ81" s="33"/>
      <c r="AR81" s="33"/>
      <c r="AS81" s="33"/>
      <c r="AT81" s="102">
        <f>J81-AP81-AQ81-AR81-AS81</f>
        <v>72300</v>
      </c>
      <c r="AU81" s="99">
        <f>'Cap Inc'!J21</f>
        <v>116700</v>
      </c>
      <c r="AV81" s="33"/>
      <c r="AW81" s="33"/>
      <c r="AX81" s="33"/>
      <c r="AY81" s="102">
        <f>K81-AU81-AV81-AW81-AX81</f>
        <v>75300</v>
      </c>
      <c r="AZ81" s="142">
        <f>'Cap Inc'!K21</f>
        <v>118700</v>
      </c>
      <c r="BA81" s="33"/>
      <c r="BB81" s="33"/>
      <c r="BC81" s="33"/>
      <c r="BD81" s="102">
        <f>L81-AZ81-BA81-BB81-BC81</f>
        <v>78300</v>
      </c>
      <c r="BE81" s="142">
        <f>'Cap Inc'!L21</f>
        <v>120700</v>
      </c>
      <c r="BF81" s="33"/>
      <c r="BG81" s="33"/>
      <c r="BH81" s="33"/>
      <c r="BI81" s="102">
        <f>M81-BE81-BF81-BG81-BH81</f>
        <v>81300</v>
      </c>
      <c r="BJ81" s="142">
        <f>'Cap Inc'!M21</f>
        <v>122700</v>
      </c>
      <c r="BK81" s="33"/>
      <c r="BL81" s="33"/>
      <c r="BM81" s="33"/>
      <c r="BN81" s="102">
        <f>N81-BJ81-BK81-BL81-BM81</f>
        <v>84300</v>
      </c>
      <c r="BO81" s="142">
        <f>'Cap Inc'!N21</f>
        <v>124700</v>
      </c>
      <c r="BP81" s="33"/>
      <c r="BQ81" s="33"/>
      <c r="BR81" s="33"/>
      <c r="BS81" s="102">
        <f>O81-BO81-BP81-BQ81-BR81</f>
        <v>87300</v>
      </c>
      <c r="BT81" s="142">
        <f>'Cap Inc'!O21</f>
        <v>126900</v>
      </c>
      <c r="BU81" s="33"/>
      <c r="BV81" s="33"/>
      <c r="BW81" s="33"/>
      <c r="BX81" s="99">
        <f>P81-BT81-BU81-BV81-BW81</f>
        <v>90100</v>
      </c>
      <c r="BY81" s="2438">
        <v>1</v>
      </c>
      <c r="BZ81" s="1263">
        <f t="shared" ref="BZ81:CH81" si="226">BY81</f>
        <v>1</v>
      </c>
      <c r="CA81" s="1263">
        <f t="shared" si="226"/>
        <v>1</v>
      </c>
      <c r="CB81" s="1263">
        <f t="shared" si="226"/>
        <v>1</v>
      </c>
      <c r="CC81" s="1263">
        <f t="shared" si="226"/>
        <v>1</v>
      </c>
      <c r="CD81" s="1263">
        <f t="shared" si="226"/>
        <v>1</v>
      </c>
      <c r="CE81" s="1263">
        <f t="shared" si="226"/>
        <v>1</v>
      </c>
      <c r="CF81" s="1263">
        <f t="shared" si="226"/>
        <v>1</v>
      </c>
      <c r="CG81" s="1263">
        <f t="shared" si="226"/>
        <v>1</v>
      </c>
      <c r="CH81" s="1263">
        <f t="shared" si="226"/>
        <v>1</v>
      </c>
      <c r="CI81" s="1263">
        <f>CH81</f>
        <v>1</v>
      </c>
      <c r="CJ81" s="1263">
        <f>CI81</f>
        <v>1</v>
      </c>
      <c r="CK81" s="1263"/>
      <c r="CL81" s="1920">
        <f t="shared" ref="CL81:CW82" si="227">ROUND(BY81*E81,-3)</f>
        <v>105000</v>
      </c>
      <c r="CM81" s="78">
        <f t="shared" si="227"/>
        <v>148000</v>
      </c>
      <c r="CN81" s="78">
        <f t="shared" si="227"/>
        <v>143000</v>
      </c>
      <c r="CO81" s="78">
        <f t="shared" si="227"/>
        <v>175000</v>
      </c>
      <c r="CP81" s="78">
        <f t="shared" si="227"/>
        <v>182000</v>
      </c>
      <c r="CQ81" s="78">
        <f t="shared" si="227"/>
        <v>187000</v>
      </c>
      <c r="CR81" s="78">
        <f t="shared" si="227"/>
        <v>192000</v>
      </c>
      <c r="CS81" s="78">
        <f t="shared" si="227"/>
        <v>197000</v>
      </c>
      <c r="CT81" s="78">
        <f t="shared" si="227"/>
        <v>202000</v>
      </c>
      <c r="CU81" s="78">
        <f t="shared" si="227"/>
        <v>207000</v>
      </c>
      <c r="CV81" s="78">
        <f t="shared" si="227"/>
        <v>212000</v>
      </c>
      <c r="CW81" s="131">
        <f t="shared" si="227"/>
        <v>217000</v>
      </c>
    </row>
    <row r="82" spans="1:101" x14ac:dyDescent="0.2">
      <c r="A82" s="869" t="s">
        <v>5545</v>
      </c>
      <c r="B82" s="2354" t="s">
        <v>5267</v>
      </c>
      <c r="C82" s="2332" t="s">
        <v>5268</v>
      </c>
      <c r="D82" s="2327" t="s">
        <v>5268</v>
      </c>
      <c r="E82" s="142">
        <v>13700</v>
      </c>
      <c r="F82" s="33">
        <f>1040000-496000-25000-1000+499000+551600</f>
        <v>1568600</v>
      </c>
      <c r="G82" s="132">
        <f>590000+25000+1000-551600</f>
        <v>64400</v>
      </c>
      <c r="H82" s="33"/>
      <c r="I82" s="33"/>
      <c r="J82" s="99"/>
      <c r="K82" s="33"/>
      <c r="L82" s="99"/>
      <c r="M82" s="33"/>
      <c r="N82" s="33"/>
      <c r="O82" s="33"/>
      <c r="P82" s="102"/>
      <c r="Q82" s="142">
        <f>'Cap Inc'!B21</f>
        <v>330000</v>
      </c>
      <c r="R82" s="33"/>
      <c r="S82" s="33"/>
      <c r="T82" s="33">
        <f>'Res-Gen'!C144</f>
        <v>15200</v>
      </c>
      <c r="U82" s="99">
        <f>E82-Q82-R82-S82-T82</f>
        <v>-331500</v>
      </c>
      <c r="V82" s="186">
        <f>'Cap Inc'!E22</f>
        <v>450600</v>
      </c>
      <c r="W82" s="33"/>
      <c r="X82" s="99"/>
      <c r="Y82" s="33">
        <f>'Res-Gen'!F232+'Res-Gen'!F62+'Res-Gen'!F143</f>
        <v>1068000</v>
      </c>
      <c r="Z82" s="102">
        <f>F82-V82-W82-X82-Y82</f>
        <v>50000</v>
      </c>
      <c r="AA82" s="142"/>
      <c r="AB82" s="33"/>
      <c r="AC82" s="33"/>
      <c r="AD82" s="33"/>
      <c r="AE82" s="102">
        <f>G82-AA82-AB82-AC82-AD82</f>
        <v>64400</v>
      </c>
      <c r="AF82" s="142"/>
      <c r="AG82" s="33"/>
      <c r="AH82" s="33"/>
      <c r="AI82" s="33"/>
      <c r="AJ82" s="102"/>
      <c r="AK82" s="142"/>
      <c r="AL82" s="33"/>
      <c r="AM82" s="33"/>
      <c r="AN82" s="33"/>
      <c r="AO82" s="114"/>
      <c r="AP82" s="142"/>
      <c r="AQ82" s="33"/>
      <c r="AR82" s="33"/>
      <c r="AS82" s="33"/>
      <c r="AT82" s="102"/>
      <c r="AV82" s="33"/>
      <c r="AW82" s="33"/>
      <c r="AX82" s="33"/>
      <c r="AY82" s="102"/>
      <c r="AZ82" s="142"/>
      <c r="BA82" s="33"/>
      <c r="BB82" s="33"/>
      <c r="BC82" s="33"/>
      <c r="BD82" s="102"/>
      <c r="BE82" s="142"/>
      <c r="BF82" s="33"/>
      <c r="BG82" s="33"/>
      <c r="BH82" s="33"/>
      <c r="BI82" s="102"/>
      <c r="BJ82" s="142"/>
      <c r="BK82" s="33"/>
      <c r="BL82" s="33"/>
      <c r="BM82" s="33"/>
      <c r="BN82" s="102"/>
      <c r="BO82" s="142"/>
      <c r="BP82" s="33"/>
      <c r="BQ82" s="33"/>
      <c r="BR82" s="33"/>
      <c r="BS82" s="102"/>
      <c r="BT82" s="142"/>
      <c r="BU82" s="33"/>
      <c r="BV82" s="33"/>
      <c r="BW82" s="33"/>
      <c r="BY82" s="2438">
        <v>1</v>
      </c>
      <c r="BZ82" s="1263">
        <f t="shared" ref="BZ82:CH82" si="228">BY82</f>
        <v>1</v>
      </c>
      <c r="CA82" s="1263">
        <f t="shared" si="228"/>
        <v>1</v>
      </c>
      <c r="CB82" s="1263">
        <f t="shared" si="228"/>
        <v>1</v>
      </c>
      <c r="CC82" s="1263">
        <f t="shared" si="228"/>
        <v>1</v>
      </c>
      <c r="CD82" s="1263">
        <f t="shared" si="228"/>
        <v>1</v>
      </c>
      <c r="CE82" s="1263">
        <f t="shared" si="228"/>
        <v>1</v>
      </c>
      <c r="CF82" s="1263">
        <f t="shared" si="228"/>
        <v>1</v>
      </c>
      <c r="CG82" s="1263">
        <f t="shared" si="228"/>
        <v>1</v>
      </c>
      <c r="CH82" s="1263">
        <f t="shared" si="228"/>
        <v>1</v>
      </c>
      <c r="CI82" s="1263">
        <f>CH82</f>
        <v>1</v>
      </c>
      <c r="CJ82" s="1263">
        <f>CI82</f>
        <v>1</v>
      </c>
      <c r="CK82" s="1263"/>
      <c r="CL82" s="1920">
        <f t="shared" si="227"/>
        <v>14000</v>
      </c>
      <c r="CM82" s="78">
        <f t="shared" si="227"/>
        <v>1569000</v>
      </c>
      <c r="CN82" s="78">
        <f t="shared" si="227"/>
        <v>64000</v>
      </c>
      <c r="CO82" s="78">
        <f t="shared" si="227"/>
        <v>0</v>
      </c>
      <c r="CP82" s="78">
        <f t="shared" si="227"/>
        <v>0</v>
      </c>
      <c r="CQ82" s="78">
        <f t="shared" si="227"/>
        <v>0</v>
      </c>
      <c r="CR82" s="78">
        <f t="shared" si="227"/>
        <v>0</v>
      </c>
      <c r="CS82" s="78">
        <f t="shared" si="227"/>
        <v>0</v>
      </c>
      <c r="CT82" s="78">
        <f t="shared" si="227"/>
        <v>0</v>
      </c>
      <c r="CU82" s="78">
        <f t="shared" si="227"/>
        <v>0</v>
      </c>
      <c r="CV82" s="78">
        <f t="shared" si="227"/>
        <v>0</v>
      </c>
      <c r="CW82" s="131">
        <f t="shared" si="227"/>
        <v>0</v>
      </c>
    </row>
    <row r="83" spans="1:101" ht="13.5" thickBot="1" x14ac:dyDescent="0.25">
      <c r="A83" s="416"/>
      <c r="B83" s="2365"/>
      <c r="C83" s="2340"/>
      <c r="D83" s="2394"/>
      <c r="E83" s="166"/>
      <c r="F83" s="66"/>
      <c r="G83" s="66"/>
      <c r="H83" s="66"/>
      <c r="I83" s="330"/>
      <c r="J83" s="330"/>
      <c r="K83" s="330"/>
      <c r="L83" s="330"/>
      <c r="M83" s="66"/>
      <c r="N83" s="66"/>
      <c r="O83" s="66"/>
      <c r="P83" s="326"/>
      <c r="Q83" s="166"/>
      <c r="R83" s="66"/>
      <c r="S83" s="66"/>
      <c r="T83" s="66"/>
      <c r="U83" s="174"/>
      <c r="V83" s="217"/>
      <c r="W83" s="66"/>
      <c r="X83" s="174"/>
      <c r="Y83" s="66"/>
      <c r="Z83" s="326"/>
      <c r="AA83" s="166"/>
      <c r="AB83" s="66"/>
      <c r="AC83" s="66"/>
      <c r="AD83" s="66"/>
      <c r="AE83" s="326"/>
      <c r="AF83" s="166"/>
      <c r="AG83" s="66"/>
      <c r="AH83" s="66"/>
      <c r="AI83" s="66"/>
      <c r="AJ83" s="326"/>
      <c r="AK83" s="166"/>
      <c r="AL83" s="66"/>
      <c r="AM83" s="66"/>
      <c r="AN83" s="66"/>
      <c r="AO83" s="165"/>
      <c r="AP83" s="166"/>
      <c r="AQ83" s="66"/>
      <c r="AR83" s="66"/>
      <c r="AS83" s="66"/>
      <c r="AT83" s="326"/>
      <c r="AU83" s="174"/>
      <c r="AV83" s="66"/>
      <c r="AW83" s="66"/>
      <c r="AX83" s="66"/>
      <c r="AY83" s="326"/>
      <c r="AZ83" s="166"/>
      <c r="BA83" s="66"/>
      <c r="BB83" s="66"/>
      <c r="BC83" s="66"/>
      <c r="BD83" s="326"/>
      <c r="BE83" s="166"/>
      <c r="BF83" s="66"/>
      <c r="BG83" s="66"/>
      <c r="BH83" s="66"/>
      <c r="BI83" s="326"/>
      <c r="BJ83" s="166"/>
      <c r="BK83" s="66"/>
      <c r="BL83" s="66"/>
      <c r="BM83" s="66"/>
      <c r="BN83" s="326"/>
      <c r="BO83" s="166"/>
      <c r="BP83" s="66"/>
      <c r="BQ83" s="66"/>
      <c r="BR83" s="66"/>
      <c r="BS83" s="326"/>
      <c r="BT83" s="166"/>
      <c r="BU83" s="66"/>
      <c r="BV83" s="66"/>
      <c r="BW83" s="66"/>
      <c r="BX83" s="174"/>
      <c r="BY83" s="2437"/>
      <c r="BZ83" s="740"/>
      <c r="CA83" s="740"/>
      <c r="CB83" s="740"/>
      <c r="CC83" s="740"/>
      <c r="CD83" s="740"/>
      <c r="CE83" s="740"/>
      <c r="CF83" s="740"/>
      <c r="CG83" s="740"/>
      <c r="CH83" s="740"/>
      <c r="CI83" s="740"/>
      <c r="CJ83" s="740"/>
      <c r="CK83" s="1263"/>
      <c r="CL83" s="1920"/>
      <c r="CM83" s="99"/>
      <c r="CN83" s="99"/>
      <c r="CO83" s="99"/>
      <c r="CP83" s="99"/>
      <c r="CQ83" s="99"/>
      <c r="CR83" s="99"/>
      <c r="CS83" s="99"/>
      <c r="CT83" s="99"/>
      <c r="CU83" s="99"/>
      <c r="CV83" s="99"/>
      <c r="CW83" s="114"/>
    </row>
    <row r="84" spans="1:101" s="99" customFormat="1" ht="14.25" thickTop="1" thickBot="1" x14ac:dyDescent="0.25">
      <c r="A84" s="415"/>
      <c r="B84" s="2366"/>
      <c r="C84" s="2341"/>
      <c r="D84" s="2723"/>
      <c r="BY84" s="2437"/>
      <c r="BZ84" s="740"/>
      <c r="CA84" s="740"/>
      <c r="CB84" s="740"/>
      <c r="CC84" s="740"/>
      <c r="CD84" s="740"/>
      <c r="CE84" s="740"/>
      <c r="CF84" s="740"/>
      <c r="CG84" s="740"/>
      <c r="CH84" s="740"/>
      <c r="CI84" s="740"/>
      <c r="CJ84" s="740"/>
      <c r="CK84" s="1263"/>
      <c r="CL84" s="1920"/>
      <c r="CW84" s="114"/>
    </row>
    <row r="85" spans="1:101" s="434" customFormat="1" ht="19.5" thickTop="1" thickBot="1" x14ac:dyDescent="0.3">
      <c r="A85" s="2920" t="s">
        <v>5158</v>
      </c>
      <c r="B85" s="2921"/>
      <c r="C85" s="2921"/>
      <c r="D85" s="2921"/>
      <c r="E85" s="2921"/>
      <c r="F85" s="2921"/>
      <c r="G85" s="2921"/>
      <c r="H85" s="2921"/>
      <c r="I85" s="2921"/>
      <c r="J85" s="2921"/>
      <c r="K85" s="2921"/>
      <c r="L85" s="2921"/>
      <c r="M85" s="2921"/>
      <c r="N85" s="2921"/>
      <c r="O85" s="2921"/>
      <c r="P85" s="2921"/>
      <c r="Q85" s="2921"/>
      <c r="R85" s="2921"/>
      <c r="S85" s="2921"/>
      <c r="T85" s="2921"/>
      <c r="U85" s="2921"/>
      <c r="V85" s="2921"/>
      <c r="W85" s="2921"/>
      <c r="X85" s="2921"/>
      <c r="Y85" s="2921"/>
      <c r="Z85" s="2921"/>
      <c r="AA85" s="2921"/>
      <c r="AB85" s="2921"/>
      <c r="AC85" s="2921"/>
      <c r="AD85" s="2921"/>
      <c r="AE85" s="2921"/>
      <c r="AF85" s="2921"/>
      <c r="AG85" s="2921"/>
      <c r="AH85" s="2921"/>
      <c r="AI85" s="2921"/>
      <c r="AJ85" s="2921"/>
      <c r="AK85" s="2921"/>
      <c r="AL85" s="2921"/>
      <c r="AM85" s="2921"/>
      <c r="AN85" s="2921"/>
      <c r="AO85" s="2922"/>
      <c r="AP85" s="559"/>
      <c r="AQ85" s="559"/>
      <c r="AR85" s="559"/>
      <c r="AS85" s="559"/>
      <c r="AT85" s="559"/>
      <c r="AU85" s="559"/>
      <c r="AV85" s="559"/>
      <c r="AW85" s="559"/>
      <c r="AX85" s="559"/>
      <c r="AY85" s="895"/>
      <c r="AZ85" s="559"/>
      <c r="BA85" s="559"/>
      <c r="BB85" s="559"/>
      <c r="BC85" s="559"/>
      <c r="BD85" s="895"/>
      <c r="BE85" s="559"/>
      <c r="BF85" s="559"/>
      <c r="BG85" s="559"/>
      <c r="BH85" s="559"/>
      <c r="BI85" s="895"/>
      <c r="BJ85" s="559"/>
      <c r="BK85" s="559"/>
      <c r="BL85" s="559"/>
      <c r="BM85" s="559"/>
      <c r="BN85" s="895"/>
      <c r="BO85" s="559"/>
      <c r="BP85" s="559"/>
      <c r="BQ85" s="559"/>
      <c r="BR85" s="559"/>
      <c r="BS85" s="559"/>
      <c r="BT85" s="559"/>
      <c r="BU85" s="559"/>
      <c r="BV85" s="559"/>
      <c r="BW85" s="559"/>
      <c r="BX85" s="559"/>
      <c r="BY85" s="2437"/>
      <c r="BZ85" s="740"/>
      <c r="CA85" s="1916"/>
      <c r="CB85" s="1916"/>
      <c r="CC85" s="1916"/>
      <c r="CD85" s="1916"/>
      <c r="CE85" s="1916"/>
      <c r="CF85" s="1916"/>
      <c r="CG85" s="1916"/>
      <c r="CH85" s="1916"/>
      <c r="CI85" s="1916"/>
      <c r="CJ85" s="1916"/>
      <c r="CK85" s="1263"/>
      <c r="CL85" s="1920"/>
      <c r="CM85" s="876"/>
      <c r="CN85" s="876"/>
      <c r="CO85" s="876"/>
      <c r="CP85" s="876"/>
      <c r="CQ85" s="876"/>
      <c r="CR85" s="876"/>
      <c r="CS85" s="876"/>
      <c r="CT85" s="876"/>
      <c r="CU85" s="876"/>
      <c r="CV85" s="876"/>
      <c r="CW85" s="1587"/>
    </row>
    <row r="86" spans="1:101" ht="13.5" thickBot="1" x14ac:dyDescent="0.25">
      <c r="A86" s="407"/>
      <c r="B86" s="2350"/>
      <c r="C86" s="2325"/>
      <c r="D86" s="2386"/>
      <c r="E86" s="2917" t="str">
        <f>E2</f>
        <v>Expenditue Year</v>
      </c>
      <c r="F86" s="2918"/>
      <c r="G86" s="2918"/>
      <c r="H86" s="2918"/>
      <c r="I86" s="2918"/>
      <c r="J86" s="2918"/>
      <c r="K86" s="2918"/>
      <c r="L86" s="2918"/>
      <c r="M86" s="2918"/>
      <c r="N86" s="2918"/>
      <c r="O86" s="2918"/>
      <c r="P86" s="2919"/>
      <c r="Q86" s="214" t="str">
        <f>Q2</f>
        <v>Funding Sources</v>
      </c>
      <c r="R86" s="214"/>
      <c r="S86" s="214"/>
      <c r="T86" s="214" t="str">
        <f>T2</f>
        <v>2015/16</v>
      </c>
      <c r="U86" s="426"/>
      <c r="V86" s="2642" t="str">
        <f>V2</f>
        <v>Funding Sources</v>
      </c>
      <c r="W86" s="214"/>
      <c r="X86" s="214"/>
      <c r="Y86" s="214" t="str">
        <f>Y2</f>
        <v>2016/17</v>
      </c>
      <c r="Z86" s="426"/>
      <c r="AA86" s="214" t="str">
        <f>AA2</f>
        <v>Funding Sources</v>
      </c>
      <c r="AB86" s="214"/>
      <c r="AC86" s="214"/>
      <c r="AD86" s="214" t="str">
        <f>AD2</f>
        <v>2017/18</v>
      </c>
      <c r="AE86" s="426"/>
      <c r="AF86" s="214" t="str">
        <f>AF2</f>
        <v>Funding Sources</v>
      </c>
      <c r="AG86" s="214"/>
      <c r="AH86" s="214"/>
      <c r="AI86" s="214" t="str">
        <f>AI2</f>
        <v>2018/19</v>
      </c>
      <c r="AJ86" s="426"/>
      <c r="AK86" s="214" t="str">
        <f>AK2</f>
        <v>Funding Sources</v>
      </c>
      <c r="AL86" s="214"/>
      <c r="AM86" s="214"/>
      <c r="AN86" s="214" t="str">
        <f>AN2</f>
        <v>2019/20</v>
      </c>
      <c r="AO86" s="427"/>
      <c r="AP86" s="214" t="str">
        <f>AP2</f>
        <v>Funding Sources</v>
      </c>
      <c r="AQ86" s="214"/>
      <c r="AR86" s="214"/>
      <c r="AS86" s="214" t="str">
        <f>AS2</f>
        <v>2020/21</v>
      </c>
      <c r="AT86" s="426"/>
      <c r="AU86" s="214" t="str">
        <f>AU2</f>
        <v>Funding Sources</v>
      </c>
      <c r="AV86" s="214"/>
      <c r="AW86" s="214"/>
      <c r="AX86" s="214" t="str">
        <f>AX2</f>
        <v>2021/22</v>
      </c>
      <c r="AY86" s="426"/>
      <c r="AZ86" s="214" t="str">
        <f>AZ2</f>
        <v>Funding Sources</v>
      </c>
      <c r="BA86" s="214"/>
      <c r="BB86" s="214"/>
      <c r="BC86" s="214" t="str">
        <f>BC2</f>
        <v>2022/23</v>
      </c>
      <c r="BD86" s="426"/>
      <c r="BE86" s="214" t="str">
        <f>BE2</f>
        <v>Funding Sources</v>
      </c>
      <c r="BF86" s="214"/>
      <c r="BG86" s="214"/>
      <c r="BH86" s="214" t="str">
        <f>BH2</f>
        <v>2023/24</v>
      </c>
      <c r="BI86" s="426"/>
      <c r="BJ86" s="214" t="str">
        <f>BJ2</f>
        <v>Funding Sources</v>
      </c>
      <c r="BK86" s="214"/>
      <c r="BL86" s="214"/>
      <c r="BM86" s="214" t="str">
        <f>BM2</f>
        <v>2024/25</v>
      </c>
      <c r="BN86" s="426"/>
      <c r="BO86" s="214" t="str">
        <f>BO2</f>
        <v>Funding Sources</v>
      </c>
      <c r="BP86" s="214"/>
      <c r="BQ86" s="214"/>
      <c r="BR86" s="214" t="str">
        <f>BR2</f>
        <v>2025/26</v>
      </c>
      <c r="BS86" s="426"/>
      <c r="BT86" s="214" t="str">
        <f>BT2</f>
        <v>Funding Sources</v>
      </c>
      <c r="BU86" s="214"/>
      <c r="BV86" s="214"/>
      <c r="BW86" s="214" t="str">
        <f>BW2</f>
        <v>2026/27</v>
      </c>
      <c r="BX86" s="214"/>
      <c r="BY86" s="2437"/>
      <c r="BZ86" s="740"/>
      <c r="CA86" s="740"/>
      <c r="CB86" s="740"/>
      <c r="CC86" s="740"/>
      <c r="CD86" s="740"/>
      <c r="CE86" s="740"/>
      <c r="CF86" s="740"/>
      <c r="CG86" s="740"/>
      <c r="CH86" s="740"/>
      <c r="CI86" s="740"/>
      <c r="CJ86" s="740"/>
      <c r="CK86" s="740"/>
      <c r="CL86" s="502"/>
      <c r="CM86" s="99"/>
      <c r="CN86" s="99"/>
      <c r="CO86" s="99"/>
      <c r="CP86" s="99"/>
      <c r="CQ86" s="99"/>
      <c r="CR86" s="99"/>
      <c r="CS86" s="99"/>
      <c r="CT86" s="99"/>
      <c r="CU86" s="99"/>
      <c r="CV86" s="99"/>
      <c r="CW86" s="114"/>
    </row>
    <row r="87" spans="1:101" s="99" customFormat="1" ht="26.25" thickBot="1" x14ac:dyDescent="0.25">
      <c r="A87" s="408" t="s">
        <v>1209</v>
      </c>
      <c r="B87" s="2367"/>
      <c r="C87" s="2342"/>
      <c r="D87" s="2395"/>
      <c r="E87" s="2721" t="str">
        <f>E3</f>
        <v>2015/16</v>
      </c>
      <c r="F87" s="428" t="str">
        <f t="shared" ref="F87:P87" si="229">F3</f>
        <v>2016/17</v>
      </c>
      <c r="G87" s="428" t="str">
        <f t="shared" si="229"/>
        <v>2017/18</v>
      </c>
      <c r="H87" s="428" t="str">
        <f t="shared" si="229"/>
        <v>2018/19</v>
      </c>
      <c r="I87" s="428" t="str">
        <f t="shared" si="229"/>
        <v>2019/20</v>
      </c>
      <c r="J87" s="2797" t="str">
        <f t="shared" si="229"/>
        <v>2020/21</v>
      </c>
      <c r="K87" s="425" t="str">
        <f t="shared" si="229"/>
        <v>2021/22</v>
      </c>
      <c r="L87" s="425" t="str">
        <f t="shared" si="229"/>
        <v>2022/23</v>
      </c>
      <c r="M87" s="428" t="str">
        <f t="shared" si="229"/>
        <v>2023/24</v>
      </c>
      <c r="N87" s="428" t="str">
        <f t="shared" si="229"/>
        <v>2024/25</v>
      </c>
      <c r="O87" s="428" t="str">
        <f t="shared" si="229"/>
        <v>2025/26</v>
      </c>
      <c r="P87" s="2798" t="str">
        <f t="shared" si="229"/>
        <v>2026/27</v>
      </c>
      <c r="Q87" s="430" t="str">
        <f>Q3</f>
        <v>Grants / Conts</v>
      </c>
      <c r="R87" s="430" t="str">
        <f>R3</f>
        <v>Sec 94</v>
      </c>
      <c r="S87" s="430" t="str">
        <f>S3</f>
        <v>Loans</v>
      </c>
      <c r="T87" s="430" t="str">
        <f>T3</f>
        <v>Reserves</v>
      </c>
      <c r="U87" s="433" t="str">
        <f>U3</f>
        <v>General Revenue</v>
      </c>
      <c r="V87" s="2802" t="str">
        <f>V3</f>
        <v>Grants / Conts</v>
      </c>
      <c r="W87" s="556" t="str">
        <f>W3</f>
        <v>Sec 94</v>
      </c>
      <c r="X87" s="430" t="str">
        <f>X3</f>
        <v>Loans</v>
      </c>
      <c r="Y87" s="430" t="str">
        <f>Y3</f>
        <v>Reserves</v>
      </c>
      <c r="Z87" s="433" t="str">
        <f>Z3</f>
        <v>General Revenue</v>
      </c>
      <c r="AA87" s="430" t="str">
        <f>AA3</f>
        <v>Grants / Conts</v>
      </c>
      <c r="AB87" s="430" t="str">
        <f>AB3</f>
        <v>Sec 94</v>
      </c>
      <c r="AC87" s="430" t="str">
        <f>AC3</f>
        <v>Loans</v>
      </c>
      <c r="AD87" s="430" t="str">
        <f>AD3</f>
        <v>Reserves</v>
      </c>
      <c r="AE87" s="433" t="str">
        <f>AE3</f>
        <v>General Revenue</v>
      </c>
      <c r="AF87" s="430" t="str">
        <f>AF3</f>
        <v>Grants / Conts</v>
      </c>
      <c r="AG87" s="430" t="str">
        <f>AG3</f>
        <v>Sec 94</v>
      </c>
      <c r="AH87" s="430" t="str">
        <f>AH3</f>
        <v>Loans</v>
      </c>
      <c r="AI87" s="430" t="str">
        <f>AI3</f>
        <v>Reserves</v>
      </c>
      <c r="AJ87" s="433" t="str">
        <f>AJ3</f>
        <v>General Revenue</v>
      </c>
      <c r="AK87" s="430" t="str">
        <f>AK3</f>
        <v>Grants / Conts</v>
      </c>
      <c r="AL87" s="430" t="str">
        <f>AL3</f>
        <v>Sec 94</v>
      </c>
      <c r="AM87" s="430" t="str">
        <f>AM3</f>
        <v>Loans</v>
      </c>
      <c r="AN87" s="430" t="str">
        <f>AN3</f>
        <v>Reserves</v>
      </c>
      <c r="AO87" s="432" t="str">
        <f>AO3</f>
        <v>General Revenue</v>
      </c>
      <c r="AP87" s="430" t="str">
        <f>AP3</f>
        <v>Grants / Conts</v>
      </c>
      <c r="AQ87" s="430" t="str">
        <f>AQ3</f>
        <v>Sec 94</v>
      </c>
      <c r="AR87" s="430" t="str">
        <f>AR3</f>
        <v>Loans</v>
      </c>
      <c r="AS87" s="430" t="str">
        <f>AS3</f>
        <v>Reserves</v>
      </c>
      <c r="AT87" s="433" t="str">
        <f>AT3</f>
        <v>General Revenue</v>
      </c>
      <c r="AU87" s="431" t="str">
        <f>AU3</f>
        <v>Grants / Conts</v>
      </c>
      <c r="AV87" s="430" t="str">
        <f>AV3</f>
        <v>Sec 94</v>
      </c>
      <c r="AW87" s="430" t="str">
        <f>AW3</f>
        <v>Loans</v>
      </c>
      <c r="AX87" s="430" t="str">
        <f>AX3</f>
        <v>Reserves</v>
      </c>
      <c r="AY87" s="433" t="str">
        <f>AY3</f>
        <v>General Revenue</v>
      </c>
      <c r="AZ87" s="430" t="str">
        <f>AZ3</f>
        <v>Grants / Conts</v>
      </c>
      <c r="BA87" s="430" t="str">
        <f>BA3</f>
        <v>Sec 94</v>
      </c>
      <c r="BB87" s="430" t="str">
        <f>BB3</f>
        <v>Loans</v>
      </c>
      <c r="BC87" s="430" t="str">
        <f>BC3</f>
        <v>Reserves</v>
      </c>
      <c r="BD87" s="433" t="str">
        <f>BD3</f>
        <v>General Revenue</v>
      </c>
      <c r="BE87" s="430" t="str">
        <f>BE3</f>
        <v>Grants / Conts</v>
      </c>
      <c r="BF87" s="430" t="str">
        <f>BF3</f>
        <v>Sec 94</v>
      </c>
      <c r="BG87" s="430" t="str">
        <f>BG3</f>
        <v>Loans</v>
      </c>
      <c r="BH87" s="430" t="str">
        <f>BH3</f>
        <v>Reserves</v>
      </c>
      <c r="BI87" s="433" t="str">
        <f>BI3</f>
        <v>General Revenue</v>
      </c>
      <c r="BJ87" s="430" t="str">
        <f>BJ3</f>
        <v>Grants / Conts</v>
      </c>
      <c r="BK87" s="430" t="str">
        <f>BK3</f>
        <v>Sec 94</v>
      </c>
      <c r="BL87" s="430" t="str">
        <f>BL3</f>
        <v>Loans</v>
      </c>
      <c r="BM87" s="430" t="str">
        <f>BM3</f>
        <v>Reserves</v>
      </c>
      <c r="BN87" s="433" t="str">
        <f>BN3</f>
        <v>General Revenue</v>
      </c>
      <c r="BO87" s="430" t="str">
        <f>BO3</f>
        <v>Grants / Conts</v>
      </c>
      <c r="BP87" s="430" t="str">
        <f>BP3</f>
        <v>Sec 94</v>
      </c>
      <c r="BQ87" s="430" t="str">
        <f>BQ3</f>
        <v>Loans</v>
      </c>
      <c r="BR87" s="430" t="str">
        <f>BR3</f>
        <v>Reserves</v>
      </c>
      <c r="BS87" s="433" t="str">
        <f>BS3</f>
        <v>General Revenue</v>
      </c>
      <c r="BT87" s="430" t="str">
        <f>BT3</f>
        <v>Grants / Conts</v>
      </c>
      <c r="BU87" s="430" t="str">
        <f>BU3</f>
        <v>Sec 94</v>
      </c>
      <c r="BV87" s="430" t="str">
        <f>BV3</f>
        <v>Loans</v>
      </c>
      <c r="BW87" s="430" t="str">
        <f>BW3</f>
        <v>Reserves</v>
      </c>
      <c r="BX87" s="1914" t="str">
        <f>BX3</f>
        <v>General Revenue</v>
      </c>
      <c r="BY87" s="2437"/>
      <c r="BZ87" s="740"/>
      <c r="CA87" s="740"/>
      <c r="CB87" s="740"/>
      <c r="CC87" s="740"/>
      <c r="CD87" s="740"/>
      <c r="CE87" s="740"/>
      <c r="CF87" s="740"/>
      <c r="CG87" s="740"/>
      <c r="CH87" s="740"/>
      <c r="CI87" s="740"/>
      <c r="CJ87" s="740"/>
      <c r="CK87" s="740"/>
      <c r="CL87" s="502"/>
      <c r="CW87" s="114"/>
    </row>
    <row r="88" spans="1:101" x14ac:dyDescent="0.2">
      <c r="A88" s="412"/>
      <c r="B88" s="2361"/>
      <c r="C88" s="2336"/>
      <c r="D88" s="2390"/>
      <c r="E88" s="186"/>
      <c r="F88" s="33"/>
      <c r="G88" s="33"/>
      <c r="H88" s="33"/>
      <c r="I88" s="169"/>
      <c r="J88" s="99"/>
      <c r="K88" s="76"/>
      <c r="L88" s="76"/>
      <c r="M88" s="33"/>
      <c r="N88" s="33"/>
      <c r="O88" s="33"/>
      <c r="P88" s="102"/>
      <c r="Q88" s="142"/>
      <c r="R88" s="33"/>
      <c r="S88" s="33"/>
      <c r="T88" s="33"/>
      <c r="U88" s="102"/>
      <c r="V88" s="186"/>
      <c r="W88" s="33"/>
      <c r="X88" s="99"/>
      <c r="Y88" s="33"/>
      <c r="Z88" s="102"/>
      <c r="AA88" s="142"/>
      <c r="AB88" s="33"/>
      <c r="AC88" s="33"/>
      <c r="AD88" s="33"/>
      <c r="AE88" s="102"/>
      <c r="AF88" s="142"/>
      <c r="AG88" s="33"/>
      <c r="AH88" s="33"/>
      <c r="AI88" s="33"/>
      <c r="AJ88" s="102"/>
      <c r="AK88" s="142"/>
      <c r="AL88" s="33"/>
      <c r="AM88" s="33"/>
      <c r="AN88" s="33"/>
      <c r="AO88" s="114"/>
      <c r="AP88" s="142"/>
      <c r="AQ88" s="33"/>
      <c r="AR88" s="33"/>
      <c r="AS88" s="33"/>
      <c r="AT88" s="102"/>
      <c r="AV88" s="33"/>
      <c r="AW88" s="33"/>
      <c r="AX88" s="33"/>
      <c r="AY88" s="102"/>
      <c r="AZ88" s="142"/>
      <c r="BA88" s="33"/>
      <c r="BB88" s="33"/>
      <c r="BC88" s="33"/>
      <c r="BD88" s="102"/>
      <c r="BE88" s="142"/>
      <c r="BF88" s="33"/>
      <c r="BG88" s="33"/>
      <c r="BH88" s="33"/>
      <c r="BI88" s="102"/>
      <c r="BJ88" s="142"/>
      <c r="BK88" s="33"/>
      <c r="BL88" s="33"/>
      <c r="BM88" s="33"/>
      <c r="BN88" s="102"/>
      <c r="BO88" s="142"/>
      <c r="BP88" s="33"/>
      <c r="BQ88" s="33"/>
      <c r="BR88" s="33"/>
      <c r="BS88" s="102"/>
      <c r="BT88" s="142"/>
      <c r="BU88" s="33"/>
      <c r="BV88" s="33"/>
      <c r="BW88" s="33"/>
      <c r="BY88" s="2437"/>
      <c r="BZ88" s="740"/>
      <c r="CA88" s="740"/>
      <c r="CB88" s="740"/>
      <c r="CC88" s="740"/>
      <c r="CD88" s="740"/>
      <c r="CE88" s="740"/>
      <c r="CF88" s="740"/>
      <c r="CG88" s="740"/>
      <c r="CH88" s="740"/>
      <c r="CI88" s="740"/>
      <c r="CJ88" s="740"/>
      <c r="CK88" s="740"/>
      <c r="CL88" s="502"/>
      <c r="CM88" s="99"/>
      <c r="CN88" s="99"/>
      <c r="CO88" s="99"/>
      <c r="CP88" s="99"/>
      <c r="CQ88" s="99"/>
      <c r="CR88" s="99"/>
      <c r="CS88" s="99"/>
      <c r="CT88" s="99"/>
      <c r="CU88" s="99"/>
      <c r="CV88" s="99"/>
      <c r="CW88" s="114"/>
    </row>
    <row r="89" spans="1:101" x14ac:dyDescent="0.2">
      <c r="A89" s="412" t="s">
        <v>4840</v>
      </c>
      <c r="B89" s="2361"/>
      <c r="C89" s="2336"/>
      <c r="D89" s="2390"/>
      <c r="E89" s="186"/>
      <c r="F89" s="33"/>
      <c r="G89" s="33"/>
      <c r="H89" s="33"/>
      <c r="I89" s="33"/>
      <c r="J89" s="33"/>
      <c r="K89" s="33"/>
      <c r="L89" s="99"/>
      <c r="M89" s="33"/>
      <c r="N89" s="33"/>
      <c r="O89" s="33"/>
      <c r="P89" s="102"/>
      <c r="Q89" s="142"/>
      <c r="R89" s="33"/>
      <c r="S89" s="33"/>
      <c r="T89" s="33"/>
      <c r="U89" s="102"/>
      <c r="V89" s="186"/>
      <c r="W89" s="33"/>
      <c r="X89" s="99"/>
      <c r="Y89" s="33"/>
      <c r="Z89" s="102"/>
      <c r="AA89" s="142"/>
      <c r="AB89" s="33"/>
      <c r="AC89" s="33"/>
      <c r="AD89" s="33"/>
      <c r="AE89" s="102"/>
      <c r="AF89" s="142"/>
      <c r="AG89" s="33"/>
      <c r="AH89" s="33"/>
      <c r="AI89" s="33"/>
      <c r="AJ89" s="102"/>
      <c r="AK89" s="142"/>
      <c r="AL89" s="33"/>
      <c r="AM89" s="33"/>
      <c r="AN89" s="33"/>
      <c r="AO89" s="114"/>
      <c r="AP89" s="142"/>
      <c r="AQ89" s="33"/>
      <c r="AR89" s="33"/>
      <c r="AS89" s="33"/>
      <c r="AT89" s="102"/>
      <c r="AV89" s="33"/>
      <c r="AW89" s="33"/>
      <c r="AX89" s="33"/>
      <c r="AY89" s="102"/>
      <c r="AZ89" s="142"/>
      <c r="BA89" s="33"/>
      <c r="BB89" s="33"/>
      <c r="BC89" s="33"/>
      <c r="BD89" s="102"/>
      <c r="BE89" s="142"/>
      <c r="BF89" s="33"/>
      <c r="BG89" s="33"/>
      <c r="BH89" s="33"/>
      <c r="BI89" s="102"/>
      <c r="BJ89" s="142"/>
      <c r="BK89" s="33"/>
      <c r="BL89" s="33"/>
      <c r="BM89" s="33"/>
      <c r="BN89" s="102"/>
      <c r="BO89" s="142"/>
      <c r="BP89" s="33"/>
      <c r="BQ89" s="33"/>
      <c r="BR89" s="33"/>
      <c r="BS89" s="102"/>
      <c r="BT89" s="142"/>
      <c r="BU89" s="33"/>
      <c r="BV89" s="33"/>
      <c r="BW89" s="33"/>
      <c r="BY89" s="2437"/>
      <c r="BZ89" s="740"/>
      <c r="CA89" s="740"/>
      <c r="CB89" s="740"/>
      <c r="CC89" s="740"/>
      <c r="CD89" s="740"/>
      <c r="CE89" s="740"/>
      <c r="CF89" s="740"/>
      <c r="CG89" s="740"/>
      <c r="CH89" s="740"/>
      <c r="CI89" s="740"/>
      <c r="CJ89" s="740"/>
      <c r="CK89" s="740"/>
      <c r="CL89" s="502"/>
      <c r="CM89" s="99"/>
      <c r="CN89" s="99"/>
      <c r="CO89" s="99"/>
      <c r="CP89" s="99"/>
      <c r="CQ89" s="99"/>
      <c r="CR89" s="99"/>
      <c r="CS89" s="99"/>
      <c r="CT89" s="99"/>
      <c r="CU89" s="99"/>
      <c r="CV89" s="99"/>
      <c r="CW89" s="114"/>
    </row>
    <row r="90" spans="1:101" x14ac:dyDescent="0.2">
      <c r="A90" s="869"/>
      <c r="B90" s="2368"/>
      <c r="C90" s="2343"/>
      <c r="D90" s="2328"/>
      <c r="E90" s="186"/>
      <c r="F90" s="33"/>
      <c r="G90" s="33"/>
      <c r="H90" s="33"/>
      <c r="I90" s="33"/>
      <c r="J90" s="33"/>
      <c r="K90" s="33"/>
      <c r="L90" s="99"/>
      <c r="M90" s="33"/>
      <c r="N90" s="33"/>
      <c r="O90" s="33"/>
      <c r="P90" s="102"/>
      <c r="Q90" s="142"/>
      <c r="R90" s="33"/>
      <c r="S90" s="33"/>
      <c r="T90" s="33"/>
      <c r="U90" s="102"/>
      <c r="V90" s="186"/>
      <c r="W90" s="33"/>
      <c r="X90" s="99"/>
      <c r="Y90" s="33"/>
      <c r="Z90" s="102"/>
      <c r="AA90" s="142"/>
      <c r="AB90" s="33"/>
      <c r="AC90" s="33"/>
      <c r="AD90" s="33"/>
      <c r="AE90" s="102"/>
      <c r="AF90" s="142"/>
      <c r="AG90" s="33"/>
      <c r="AH90" s="33"/>
      <c r="AI90" s="33"/>
      <c r="AJ90" s="102"/>
      <c r="AK90" s="142"/>
      <c r="AL90" s="33"/>
      <c r="AM90" s="33"/>
      <c r="AN90" s="33"/>
      <c r="AO90" s="114"/>
      <c r="AP90" s="142"/>
      <c r="AQ90" s="33"/>
      <c r="AR90" s="33"/>
      <c r="AS90" s="33"/>
      <c r="AT90" s="102"/>
      <c r="AV90" s="33"/>
      <c r="AW90" s="33"/>
      <c r="AX90" s="33"/>
      <c r="AY90" s="102"/>
      <c r="AZ90" s="142"/>
      <c r="BA90" s="33"/>
      <c r="BB90" s="33"/>
      <c r="BC90" s="33"/>
      <c r="BD90" s="102"/>
      <c r="BE90" s="142"/>
      <c r="BF90" s="33"/>
      <c r="BG90" s="33"/>
      <c r="BH90" s="33"/>
      <c r="BI90" s="102"/>
      <c r="BJ90" s="142"/>
      <c r="BK90" s="33"/>
      <c r="BL90" s="33"/>
      <c r="BM90" s="33"/>
      <c r="BN90" s="102"/>
      <c r="BO90" s="142"/>
      <c r="BP90" s="33"/>
      <c r="BQ90" s="33"/>
      <c r="BR90" s="33"/>
      <c r="BS90" s="102"/>
      <c r="BT90" s="142"/>
      <c r="BU90" s="33"/>
      <c r="BV90" s="33"/>
      <c r="BW90" s="33"/>
      <c r="BY90" s="2438"/>
      <c r="BZ90" s="1263"/>
      <c r="CA90" s="1263"/>
      <c r="CB90" s="1263"/>
      <c r="CC90" s="1263"/>
      <c r="CD90" s="1263"/>
      <c r="CE90" s="1263"/>
      <c r="CF90" s="1263"/>
      <c r="CG90" s="1263"/>
      <c r="CH90" s="1263"/>
      <c r="CI90" s="1263"/>
      <c r="CJ90" s="1263"/>
      <c r="CK90" s="1263"/>
      <c r="CL90" s="1920"/>
      <c r="CM90" s="78"/>
      <c r="CN90" s="78"/>
      <c r="CO90" s="78"/>
      <c r="CP90" s="78"/>
      <c r="CQ90" s="78"/>
      <c r="CR90" s="78"/>
      <c r="CS90" s="78"/>
      <c r="CT90" s="78"/>
      <c r="CU90" s="78"/>
      <c r="CV90" s="78"/>
      <c r="CW90" s="131"/>
    </row>
    <row r="91" spans="1:101" x14ac:dyDescent="0.2">
      <c r="A91" s="590" t="s">
        <v>3870</v>
      </c>
      <c r="B91" s="2368"/>
      <c r="C91" s="2343"/>
      <c r="D91" s="2328"/>
      <c r="E91" s="186"/>
      <c r="F91" s="33"/>
      <c r="G91" s="33"/>
      <c r="H91" s="33"/>
      <c r="I91" s="33"/>
      <c r="J91" s="33"/>
      <c r="K91" s="33"/>
      <c r="L91" s="99"/>
      <c r="M91" s="33"/>
      <c r="N91" s="33"/>
      <c r="O91" s="33"/>
      <c r="P91" s="102"/>
      <c r="Q91" s="142"/>
      <c r="R91" s="33"/>
      <c r="S91" s="33"/>
      <c r="T91" s="33"/>
      <c r="U91" s="102"/>
      <c r="V91" s="186"/>
      <c r="W91" s="33"/>
      <c r="X91" s="99"/>
      <c r="Y91" s="33"/>
      <c r="Z91" s="102"/>
      <c r="AA91" s="142"/>
      <c r="AB91" s="33"/>
      <c r="AC91" s="33"/>
      <c r="AD91" s="33"/>
      <c r="AE91" s="102"/>
      <c r="AF91" s="142"/>
      <c r="AG91" s="33"/>
      <c r="AH91" s="33"/>
      <c r="AI91" s="33"/>
      <c r="AJ91" s="102"/>
      <c r="AK91" s="142"/>
      <c r="AL91" s="33"/>
      <c r="AM91" s="33"/>
      <c r="AN91" s="33"/>
      <c r="AO91" s="114"/>
      <c r="AP91" s="142"/>
      <c r="AQ91" s="33"/>
      <c r="AR91" s="33"/>
      <c r="AS91" s="33"/>
      <c r="AT91" s="102"/>
      <c r="AV91" s="33"/>
      <c r="AW91" s="33"/>
      <c r="AX91" s="33"/>
      <c r="AY91" s="102"/>
      <c r="AZ91" s="142"/>
      <c r="BA91" s="33"/>
      <c r="BB91" s="33"/>
      <c r="BC91" s="33"/>
      <c r="BD91" s="102"/>
      <c r="BE91" s="142"/>
      <c r="BF91" s="33"/>
      <c r="BG91" s="33"/>
      <c r="BH91" s="33"/>
      <c r="BI91" s="102"/>
      <c r="BJ91" s="142"/>
      <c r="BK91" s="33"/>
      <c r="BL91" s="33"/>
      <c r="BM91" s="33"/>
      <c r="BN91" s="102"/>
      <c r="BO91" s="142"/>
      <c r="BP91" s="33"/>
      <c r="BQ91" s="33"/>
      <c r="BR91" s="33"/>
      <c r="BS91" s="102"/>
      <c r="BT91" s="142"/>
      <c r="BU91" s="33"/>
      <c r="BV91" s="33"/>
      <c r="BW91" s="33"/>
      <c r="BY91" s="2438"/>
      <c r="BZ91" s="1263"/>
      <c r="CA91" s="1263"/>
      <c r="CB91" s="1263"/>
      <c r="CC91" s="1263"/>
      <c r="CD91" s="1263"/>
      <c r="CE91" s="1263"/>
      <c r="CF91" s="1263"/>
      <c r="CG91" s="1263"/>
      <c r="CH91" s="1263"/>
      <c r="CI91" s="1263"/>
      <c r="CJ91" s="1263"/>
      <c r="CK91" s="1263"/>
      <c r="CL91" s="1920"/>
      <c r="CM91" s="78"/>
      <c r="CN91" s="78"/>
      <c r="CO91" s="78"/>
      <c r="CP91" s="78"/>
      <c r="CQ91" s="78"/>
      <c r="CR91" s="78"/>
      <c r="CS91" s="78"/>
      <c r="CT91" s="78"/>
      <c r="CU91" s="78"/>
      <c r="CV91" s="78"/>
      <c r="CW91" s="131"/>
    </row>
    <row r="92" spans="1:101" x14ac:dyDescent="0.2">
      <c r="A92" s="869" t="s">
        <v>6082</v>
      </c>
      <c r="B92" s="2352" t="s">
        <v>3339</v>
      </c>
      <c r="C92" s="2332"/>
      <c r="D92" s="2327"/>
      <c r="E92" s="186">
        <v>1083500</v>
      </c>
      <c r="F92" s="33">
        <v>1017000</v>
      </c>
      <c r="G92" s="33"/>
      <c r="H92" s="33"/>
      <c r="I92" s="33"/>
      <c r="J92" s="33"/>
      <c r="K92" s="33"/>
      <c r="L92" s="99"/>
      <c r="M92" s="33"/>
      <c r="N92" s="33"/>
      <c r="O92" s="33"/>
      <c r="P92" s="102"/>
      <c r="Q92" s="142">
        <f>'Cap Inc'!B26+'Cap Inc'!B27+'Cap Inc'!B28+'Cap Inc'!B29</f>
        <v>447700</v>
      </c>
      <c r="R92" s="33"/>
      <c r="S92" s="33"/>
      <c r="T92" s="33">
        <f>'Res-Gen'!C66+'Res-Gen'!C151</f>
        <v>596500</v>
      </c>
      <c r="U92" s="102">
        <f t="shared" ref="U92:U98" si="230">E92-Q92-R92-S92-T92</f>
        <v>39300</v>
      </c>
      <c r="V92" s="186">
        <f>'Cap Inc'!E28+'Cap Inc'!E29</f>
        <v>1017000</v>
      </c>
      <c r="W92" s="33"/>
      <c r="X92" s="99"/>
      <c r="Y92" s="33"/>
      <c r="Z92" s="102">
        <f>F92-V92-W92-X92-Y92</f>
        <v>0</v>
      </c>
      <c r="AA92" s="142"/>
      <c r="AB92" s="33"/>
      <c r="AC92" s="33"/>
      <c r="AD92" s="33"/>
      <c r="AE92" s="102">
        <f t="shared" ref="AE92:AE105" si="231">G92-AA92-AB92-AC92-AD92</f>
        <v>0</v>
      </c>
      <c r="AF92" s="142"/>
      <c r="AG92" s="33"/>
      <c r="AH92" s="33"/>
      <c r="AI92" s="33"/>
      <c r="AJ92" s="102">
        <f t="shared" ref="AJ92:AJ105" si="232">H92-AF92-AG92-AH92-AI92</f>
        <v>0</v>
      </c>
      <c r="AK92" s="142"/>
      <c r="AL92" s="33"/>
      <c r="AM92" s="33"/>
      <c r="AN92" s="33"/>
      <c r="AO92" s="114">
        <f t="shared" ref="AO92:AO105" si="233">I92-AK92-AL92-AM92-AN92</f>
        <v>0</v>
      </c>
      <c r="AP92" s="142"/>
      <c r="AQ92" s="33"/>
      <c r="AR92" s="33"/>
      <c r="AS92" s="33"/>
      <c r="AT92" s="102"/>
      <c r="AV92" s="33"/>
      <c r="AW92" s="33"/>
      <c r="AX92" s="33"/>
      <c r="AY92" s="102"/>
      <c r="AZ92" s="142"/>
      <c r="BA92" s="33"/>
      <c r="BB92" s="33"/>
      <c r="BC92" s="33"/>
      <c r="BD92" s="102"/>
      <c r="BE92" s="142"/>
      <c r="BF92" s="33"/>
      <c r="BG92" s="33"/>
      <c r="BH92" s="33"/>
      <c r="BI92" s="102"/>
      <c r="BJ92" s="142"/>
      <c r="BK92" s="33"/>
      <c r="BL92" s="33"/>
      <c r="BM92" s="33"/>
      <c r="BN92" s="102"/>
      <c r="BO92" s="142"/>
      <c r="BP92" s="33"/>
      <c r="BQ92" s="33"/>
      <c r="BR92" s="33"/>
      <c r="BS92" s="102"/>
      <c r="BT92" s="142"/>
      <c r="BU92" s="33"/>
      <c r="BV92" s="33"/>
      <c r="BW92" s="33"/>
      <c r="BY92" s="2438">
        <v>1</v>
      </c>
      <c r="BZ92" s="1263">
        <f t="shared" ref="BZ92:CJ92" si="234">BY92</f>
        <v>1</v>
      </c>
      <c r="CA92" s="1263">
        <f t="shared" si="234"/>
        <v>1</v>
      </c>
      <c r="CB92" s="1263">
        <f t="shared" si="234"/>
        <v>1</v>
      </c>
      <c r="CC92" s="1263">
        <f t="shared" si="234"/>
        <v>1</v>
      </c>
      <c r="CD92" s="1263">
        <f t="shared" si="234"/>
        <v>1</v>
      </c>
      <c r="CE92" s="1263">
        <f t="shared" si="234"/>
        <v>1</v>
      </c>
      <c r="CF92" s="1263">
        <f t="shared" si="234"/>
        <v>1</v>
      </c>
      <c r="CG92" s="1263">
        <f t="shared" si="234"/>
        <v>1</v>
      </c>
      <c r="CH92" s="1263">
        <f t="shared" si="234"/>
        <v>1</v>
      </c>
      <c r="CI92" s="1263">
        <f t="shared" si="234"/>
        <v>1</v>
      </c>
      <c r="CJ92" s="1263">
        <f t="shared" si="234"/>
        <v>1</v>
      </c>
      <c r="CK92" s="1263"/>
      <c r="CL92" s="1920">
        <f t="shared" ref="CL92:CL105" si="235">ROUND(BY92*E92,-3)</f>
        <v>1084000</v>
      </c>
      <c r="CM92" s="78">
        <f t="shared" ref="CM92:CM105" si="236">ROUND(BZ92*F92,-3)</f>
        <v>1017000</v>
      </c>
      <c r="CN92" s="78">
        <f t="shared" ref="CN92:CN105" si="237">ROUND(CA92*G92,-3)</f>
        <v>0</v>
      </c>
      <c r="CO92" s="78">
        <f t="shared" ref="CO92:CO105" si="238">ROUND(CB92*H92,-3)</f>
        <v>0</v>
      </c>
      <c r="CP92" s="78">
        <f t="shared" ref="CP92:CP105" si="239">ROUND(CC92*I92,-3)</f>
        <v>0</v>
      </c>
      <c r="CQ92" s="78">
        <f t="shared" ref="CQ92:CQ105" si="240">ROUND(CD92*J92,-3)</f>
        <v>0</v>
      </c>
      <c r="CR92" s="78">
        <f t="shared" ref="CR92:CR105" si="241">ROUND(CE92*K92,-3)</f>
        <v>0</v>
      </c>
      <c r="CS92" s="78">
        <f t="shared" ref="CS92:CS105" si="242">ROUND(CF92*L92,-3)</f>
        <v>0</v>
      </c>
      <c r="CT92" s="78">
        <f t="shared" ref="CT92:CT105" si="243">ROUND(CG92*M92,-3)</f>
        <v>0</v>
      </c>
      <c r="CU92" s="78">
        <f t="shared" ref="CU92:CU105" si="244">ROUND(CH92*N92,-3)</f>
        <v>0</v>
      </c>
      <c r="CV92" s="78">
        <f t="shared" ref="CV92:CV105" si="245">ROUND(CI92*O92,-3)</f>
        <v>0</v>
      </c>
      <c r="CW92" s="131">
        <f t="shared" ref="CW92:CW105" si="246">ROUND(CJ92*P92,-3)</f>
        <v>0</v>
      </c>
    </row>
    <row r="93" spans="1:101" x14ac:dyDescent="0.2">
      <c r="A93" s="869" t="s">
        <v>6055</v>
      </c>
      <c r="B93" s="2355" t="s">
        <v>437</v>
      </c>
      <c r="C93" s="2332"/>
      <c r="D93" s="2329" t="s">
        <v>437</v>
      </c>
      <c r="E93" s="186">
        <v>59300</v>
      </c>
      <c r="F93" s="33">
        <f>625000+60500</f>
        <v>685500</v>
      </c>
      <c r="G93" s="33"/>
      <c r="H93" s="33"/>
      <c r="I93" s="33"/>
      <c r="J93" s="33"/>
      <c r="K93" s="33"/>
      <c r="L93" s="99"/>
      <c r="M93" s="33"/>
      <c r="N93" s="33"/>
      <c r="O93" s="33"/>
      <c r="P93" s="102"/>
      <c r="Q93" s="142"/>
      <c r="R93" s="33"/>
      <c r="S93" s="33"/>
      <c r="T93" s="33">
        <f>744800+25000-25000-650000</f>
        <v>94800</v>
      </c>
      <c r="U93" s="102">
        <f t="shared" si="230"/>
        <v>-35500</v>
      </c>
      <c r="V93" s="186"/>
      <c r="W93" s="33"/>
      <c r="X93" s="99"/>
      <c r="Y93" s="33">
        <f>'Res-Gen'!F152</f>
        <v>685500</v>
      </c>
      <c r="Z93" s="102">
        <f>F93-V93-W93-X93-Y93</f>
        <v>0</v>
      </c>
      <c r="AA93" s="142"/>
      <c r="AB93" s="33"/>
      <c r="AC93" s="33"/>
      <c r="AD93" s="33"/>
      <c r="AE93" s="102">
        <f t="shared" si="231"/>
        <v>0</v>
      </c>
      <c r="AF93" s="142"/>
      <c r="AG93" s="33"/>
      <c r="AH93" s="33"/>
      <c r="AI93" s="33"/>
      <c r="AJ93" s="102">
        <f t="shared" si="232"/>
        <v>0</v>
      </c>
      <c r="AK93" s="142"/>
      <c r="AL93" s="33"/>
      <c r="AM93" s="33"/>
      <c r="AN93" s="33"/>
      <c r="AO93" s="114">
        <f t="shared" si="233"/>
        <v>0</v>
      </c>
      <c r="AP93" s="142"/>
      <c r="AQ93" s="33"/>
      <c r="AR93" s="33"/>
      <c r="AS93" s="33"/>
      <c r="AT93" s="102"/>
      <c r="AV93" s="33"/>
      <c r="AW93" s="33"/>
      <c r="AX93" s="33"/>
      <c r="AY93" s="102"/>
      <c r="AZ93" s="142"/>
      <c r="BA93" s="33"/>
      <c r="BB93" s="33"/>
      <c r="BC93" s="33"/>
      <c r="BD93" s="102"/>
      <c r="BE93" s="142"/>
      <c r="BF93" s="33"/>
      <c r="BG93" s="33"/>
      <c r="BH93" s="33"/>
      <c r="BI93" s="102"/>
      <c r="BJ93" s="142"/>
      <c r="BK93" s="33"/>
      <c r="BL93" s="33"/>
      <c r="BM93" s="33"/>
      <c r="BN93" s="102"/>
      <c r="BO93" s="142"/>
      <c r="BP93" s="33"/>
      <c r="BQ93" s="33"/>
      <c r="BR93" s="33"/>
      <c r="BS93" s="102"/>
      <c r="BT93" s="142"/>
      <c r="BU93" s="33"/>
      <c r="BV93" s="33"/>
      <c r="BW93" s="33"/>
      <c r="BY93" s="2438">
        <v>1</v>
      </c>
      <c r="BZ93" s="1263">
        <f t="shared" ref="BZ93:CJ93" si="247">BY93</f>
        <v>1</v>
      </c>
      <c r="CA93" s="1263">
        <f t="shared" si="247"/>
        <v>1</v>
      </c>
      <c r="CB93" s="1263">
        <f t="shared" si="247"/>
        <v>1</v>
      </c>
      <c r="CC93" s="1263">
        <f t="shared" si="247"/>
        <v>1</v>
      </c>
      <c r="CD93" s="1263">
        <f t="shared" si="247"/>
        <v>1</v>
      </c>
      <c r="CE93" s="1263">
        <f t="shared" si="247"/>
        <v>1</v>
      </c>
      <c r="CF93" s="1263">
        <f t="shared" si="247"/>
        <v>1</v>
      </c>
      <c r="CG93" s="1263">
        <f t="shared" si="247"/>
        <v>1</v>
      </c>
      <c r="CH93" s="1263">
        <f t="shared" si="247"/>
        <v>1</v>
      </c>
      <c r="CI93" s="1263">
        <f t="shared" si="247"/>
        <v>1</v>
      </c>
      <c r="CJ93" s="1263">
        <f t="shared" si="247"/>
        <v>1</v>
      </c>
      <c r="CK93" s="1263"/>
      <c r="CL93" s="1920">
        <f t="shared" si="235"/>
        <v>59000</v>
      </c>
      <c r="CM93" s="78">
        <f t="shared" si="236"/>
        <v>686000</v>
      </c>
      <c r="CN93" s="78">
        <f t="shared" si="237"/>
        <v>0</v>
      </c>
      <c r="CO93" s="78">
        <f t="shared" si="238"/>
        <v>0</v>
      </c>
      <c r="CP93" s="78">
        <f t="shared" si="239"/>
        <v>0</v>
      </c>
      <c r="CQ93" s="78">
        <f t="shared" si="240"/>
        <v>0</v>
      </c>
      <c r="CR93" s="78">
        <f t="shared" si="241"/>
        <v>0</v>
      </c>
      <c r="CS93" s="78">
        <f t="shared" si="242"/>
        <v>0</v>
      </c>
      <c r="CT93" s="78">
        <f t="shared" si="243"/>
        <v>0</v>
      </c>
      <c r="CU93" s="78">
        <f t="shared" si="244"/>
        <v>0</v>
      </c>
      <c r="CV93" s="78">
        <f t="shared" si="245"/>
        <v>0</v>
      </c>
      <c r="CW93" s="131">
        <f t="shared" si="246"/>
        <v>0</v>
      </c>
    </row>
    <row r="94" spans="1:101" x14ac:dyDescent="0.2">
      <c r="A94" s="869" t="s">
        <v>6083</v>
      </c>
      <c r="B94" s="2355" t="s">
        <v>519</v>
      </c>
      <c r="C94" s="2332"/>
      <c r="D94" s="2329"/>
      <c r="E94" s="186">
        <f>42800+262500</f>
        <v>305300</v>
      </c>
      <c r="F94" s="33">
        <f>15000+35000+725000+175000</f>
        <v>950000</v>
      </c>
      <c r="G94" s="33"/>
      <c r="H94" s="33"/>
      <c r="I94" s="33"/>
      <c r="J94" s="33"/>
      <c r="K94" s="33"/>
      <c r="L94" s="33"/>
      <c r="M94" s="33"/>
      <c r="N94" s="33"/>
      <c r="O94" s="33"/>
      <c r="P94" s="102"/>
      <c r="Q94" s="142"/>
      <c r="R94" s="33"/>
      <c r="S94" s="33"/>
      <c r="T94" s="33">
        <f>320300-22700</f>
        <v>297600</v>
      </c>
      <c r="U94" s="102">
        <f t="shared" si="230"/>
        <v>7700</v>
      </c>
      <c r="V94" s="186"/>
      <c r="W94" s="33"/>
      <c r="X94" s="99"/>
      <c r="Y94" s="33">
        <f>'Res-Gen'!F150+'Res-Gen'!F75</f>
        <v>775000</v>
      </c>
      <c r="Z94" s="102">
        <f>F94-V94-W94-X94-Y94</f>
        <v>175000</v>
      </c>
      <c r="AA94" s="142"/>
      <c r="AB94" s="33"/>
      <c r="AC94" s="33"/>
      <c r="AD94" s="33"/>
      <c r="AE94" s="102">
        <f t="shared" si="231"/>
        <v>0</v>
      </c>
      <c r="AF94" s="142"/>
      <c r="AG94" s="33"/>
      <c r="AH94" s="33"/>
      <c r="AI94" s="33"/>
      <c r="AJ94" s="102">
        <f t="shared" si="232"/>
        <v>0</v>
      </c>
      <c r="AK94" s="142"/>
      <c r="AL94" s="33"/>
      <c r="AM94" s="33"/>
      <c r="AN94" s="33"/>
      <c r="AO94" s="114">
        <f t="shared" si="233"/>
        <v>0</v>
      </c>
      <c r="AP94" s="142"/>
      <c r="AQ94" s="33"/>
      <c r="AR94" s="33"/>
      <c r="AS94" s="33"/>
      <c r="AT94" s="102"/>
      <c r="AV94" s="33"/>
      <c r="AW94" s="33"/>
      <c r="AX94" s="33"/>
      <c r="AY94" s="102"/>
      <c r="AZ94" s="142"/>
      <c r="BA94" s="33"/>
      <c r="BB94" s="33"/>
      <c r="BC94" s="33"/>
      <c r="BD94" s="102"/>
      <c r="BE94" s="142"/>
      <c r="BF94" s="33"/>
      <c r="BG94" s="33"/>
      <c r="BH94" s="33"/>
      <c r="BI94" s="102"/>
      <c r="BJ94" s="142"/>
      <c r="BK94" s="33"/>
      <c r="BL94" s="33"/>
      <c r="BM94" s="33"/>
      <c r="BN94" s="102"/>
      <c r="BO94" s="142"/>
      <c r="BP94" s="33"/>
      <c r="BQ94" s="33"/>
      <c r="BR94" s="33"/>
      <c r="BS94" s="102"/>
      <c r="BT94" s="142"/>
      <c r="BU94" s="33"/>
      <c r="BV94" s="33"/>
      <c r="BW94" s="33"/>
      <c r="BY94" s="2438">
        <v>1</v>
      </c>
      <c r="BZ94" s="1263">
        <f t="shared" ref="BZ94:CJ94" si="248">BY94</f>
        <v>1</v>
      </c>
      <c r="CA94" s="1263">
        <f t="shared" si="248"/>
        <v>1</v>
      </c>
      <c r="CB94" s="1263">
        <f t="shared" si="248"/>
        <v>1</v>
      </c>
      <c r="CC94" s="1263">
        <f t="shared" si="248"/>
        <v>1</v>
      </c>
      <c r="CD94" s="1263">
        <f t="shared" si="248"/>
        <v>1</v>
      </c>
      <c r="CE94" s="1263">
        <f t="shared" si="248"/>
        <v>1</v>
      </c>
      <c r="CF94" s="1263">
        <f t="shared" si="248"/>
        <v>1</v>
      </c>
      <c r="CG94" s="1263">
        <f t="shared" si="248"/>
        <v>1</v>
      </c>
      <c r="CH94" s="1263">
        <f t="shared" si="248"/>
        <v>1</v>
      </c>
      <c r="CI94" s="1263">
        <f t="shared" si="248"/>
        <v>1</v>
      </c>
      <c r="CJ94" s="1263">
        <f t="shared" si="248"/>
        <v>1</v>
      </c>
      <c r="CK94" s="1263"/>
      <c r="CL94" s="1920">
        <f t="shared" si="235"/>
        <v>305000</v>
      </c>
      <c r="CM94" s="78">
        <f t="shared" si="236"/>
        <v>950000</v>
      </c>
      <c r="CN94" s="78">
        <f t="shared" si="237"/>
        <v>0</v>
      </c>
      <c r="CO94" s="78">
        <f t="shared" si="238"/>
        <v>0</v>
      </c>
      <c r="CP94" s="78">
        <f t="shared" si="239"/>
        <v>0</v>
      </c>
      <c r="CQ94" s="78">
        <f t="shared" si="240"/>
        <v>0</v>
      </c>
      <c r="CR94" s="78">
        <f t="shared" si="241"/>
        <v>0</v>
      </c>
      <c r="CS94" s="78">
        <f t="shared" si="242"/>
        <v>0</v>
      </c>
      <c r="CT94" s="78">
        <f t="shared" si="243"/>
        <v>0</v>
      </c>
      <c r="CU94" s="78">
        <f t="shared" si="244"/>
        <v>0</v>
      </c>
      <c r="CV94" s="78">
        <f t="shared" si="245"/>
        <v>0</v>
      </c>
      <c r="CW94" s="131">
        <f t="shared" si="246"/>
        <v>0</v>
      </c>
    </row>
    <row r="95" spans="1:101" x14ac:dyDescent="0.2">
      <c r="A95" s="869" t="s">
        <v>6857</v>
      </c>
      <c r="B95" s="2208"/>
      <c r="C95" s="2334"/>
      <c r="D95" s="2328"/>
      <c r="E95" s="186"/>
      <c r="F95" s="33"/>
      <c r="G95" s="33"/>
      <c r="H95" s="33">
        <f>'Res-Gen'!L101</f>
        <v>0</v>
      </c>
      <c r="I95" s="33">
        <f>'Res-Gen'!O101</f>
        <v>0</v>
      </c>
      <c r="J95" s="33">
        <f>'Res-Gen'!R101</f>
        <v>1000000</v>
      </c>
      <c r="K95" s="33">
        <f>'Res-Gen'!U101</f>
        <v>1100000</v>
      </c>
      <c r="L95" s="33">
        <f>'Res-Gen'!X101</f>
        <v>500000</v>
      </c>
      <c r="M95" s="33">
        <f>'Res-Gen'!AA101</f>
        <v>0</v>
      </c>
      <c r="N95" s="33">
        <f>'Res-Gen'!AD101</f>
        <v>700000</v>
      </c>
      <c r="O95" s="33">
        <f>'Res-Gen'!AG101</f>
        <v>700000</v>
      </c>
      <c r="P95" s="102">
        <f>'Res-Gen'!AJ101</f>
        <v>700000</v>
      </c>
      <c r="Q95" s="142"/>
      <c r="R95" s="33"/>
      <c r="S95" s="33"/>
      <c r="T95" s="33"/>
      <c r="U95" s="102">
        <f t="shared" si="230"/>
        <v>0</v>
      </c>
      <c r="V95" s="186"/>
      <c r="W95" s="33"/>
      <c r="X95" s="99"/>
      <c r="Y95" s="33"/>
      <c r="Z95" s="102"/>
      <c r="AA95" s="142"/>
      <c r="AB95" s="33"/>
      <c r="AC95" s="33"/>
      <c r="AD95" s="33"/>
      <c r="AE95" s="102">
        <f t="shared" si="231"/>
        <v>0</v>
      </c>
      <c r="AF95" s="142"/>
      <c r="AG95" s="33"/>
      <c r="AH95" s="33"/>
      <c r="AI95" s="33">
        <f>H95</f>
        <v>0</v>
      </c>
      <c r="AJ95" s="102">
        <f t="shared" si="232"/>
        <v>0</v>
      </c>
      <c r="AK95" s="142"/>
      <c r="AL95" s="33"/>
      <c r="AM95" s="33"/>
      <c r="AN95" s="33">
        <f>I95</f>
        <v>0</v>
      </c>
      <c r="AO95" s="114">
        <f t="shared" si="233"/>
        <v>0</v>
      </c>
      <c r="AP95" s="142"/>
      <c r="AQ95" s="33"/>
      <c r="AR95" s="33"/>
      <c r="AS95" s="33">
        <f>J95</f>
        <v>1000000</v>
      </c>
      <c r="AT95" s="102">
        <f t="shared" ref="AT95:AT105" si="249">J95-AP95-AQ95-AR95-AS95</f>
        <v>0</v>
      </c>
      <c r="AV95" s="33"/>
      <c r="AW95" s="33"/>
      <c r="AX95" s="33">
        <f>K95</f>
        <v>1100000</v>
      </c>
      <c r="AY95" s="102">
        <f>K95-AU95-AV95-AW95-AX95</f>
        <v>0</v>
      </c>
      <c r="AZ95" s="142"/>
      <c r="BA95" s="33"/>
      <c r="BB95" s="33"/>
      <c r="BC95" s="33">
        <f>L95</f>
        <v>500000</v>
      </c>
      <c r="BD95" s="102">
        <f>L95-AZ95-BA95-BB95-BC95</f>
        <v>0</v>
      </c>
      <c r="BE95" s="142"/>
      <c r="BF95" s="33"/>
      <c r="BG95" s="33"/>
      <c r="BH95" s="33">
        <f>M95</f>
        <v>0</v>
      </c>
      <c r="BI95" s="102">
        <f>M95-BE95-BF95-BG95-BH95</f>
        <v>0</v>
      </c>
      <c r="BJ95" s="142"/>
      <c r="BK95" s="33"/>
      <c r="BL95" s="33"/>
      <c r="BM95" s="33">
        <f>N95</f>
        <v>700000</v>
      </c>
      <c r="BN95" s="102">
        <f>N95-BJ95-BK95-BL95-BM95</f>
        <v>0</v>
      </c>
      <c r="BO95" s="142"/>
      <c r="BP95" s="33"/>
      <c r="BQ95" s="33"/>
      <c r="BR95" s="33">
        <f>O95</f>
        <v>700000</v>
      </c>
      <c r="BS95" s="102">
        <f>O95-BO95-BP95-BQ95-BR95</f>
        <v>0</v>
      </c>
      <c r="BT95" s="142"/>
      <c r="BU95" s="33"/>
      <c r="BV95" s="33"/>
      <c r="BW95" s="33">
        <f>P95</f>
        <v>700000</v>
      </c>
      <c r="BX95" s="99">
        <f>P95-BT95-BU95-BV95-BW95</f>
        <v>0</v>
      </c>
      <c r="BY95" s="2438">
        <v>0.5</v>
      </c>
      <c r="BZ95" s="1263">
        <v>0.5</v>
      </c>
      <c r="CA95" s="1263">
        <v>0.5</v>
      </c>
      <c r="CB95" s="1263">
        <v>0.5</v>
      </c>
      <c r="CC95" s="1263">
        <v>0.5</v>
      </c>
      <c r="CD95" s="1263">
        <v>0.5</v>
      </c>
      <c r="CE95" s="1263">
        <v>1</v>
      </c>
      <c r="CF95" s="1263">
        <f t="shared" ref="CF95:CF96" si="250">CE95</f>
        <v>1</v>
      </c>
      <c r="CG95" s="1263">
        <f t="shared" ref="CG95:CG96" si="251">CF95</f>
        <v>1</v>
      </c>
      <c r="CH95" s="1263">
        <f t="shared" ref="CH95:CH96" si="252">CG95</f>
        <v>1</v>
      </c>
      <c r="CI95" s="1263">
        <f t="shared" ref="CI95:CI96" si="253">CH95</f>
        <v>1</v>
      </c>
      <c r="CJ95" s="1263">
        <f t="shared" ref="CJ95:CJ96" si="254">CI95</f>
        <v>1</v>
      </c>
      <c r="CK95" s="1263"/>
      <c r="CL95" s="1920">
        <f t="shared" si="235"/>
        <v>0</v>
      </c>
      <c r="CM95" s="78">
        <f t="shared" si="236"/>
        <v>0</v>
      </c>
      <c r="CN95" s="78">
        <f t="shared" si="237"/>
        <v>0</v>
      </c>
      <c r="CO95" s="78">
        <f t="shared" si="238"/>
        <v>0</v>
      </c>
      <c r="CP95" s="78">
        <f t="shared" si="239"/>
        <v>0</v>
      </c>
      <c r="CQ95" s="78">
        <f t="shared" si="240"/>
        <v>500000</v>
      </c>
      <c r="CR95" s="78">
        <f t="shared" si="241"/>
        <v>1100000</v>
      </c>
      <c r="CS95" s="78">
        <f t="shared" si="242"/>
        <v>500000</v>
      </c>
      <c r="CT95" s="78">
        <f t="shared" si="243"/>
        <v>0</v>
      </c>
      <c r="CU95" s="78">
        <f t="shared" si="244"/>
        <v>700000</v>
      </c>
      <c r="CV95" s="78">
        <f t="shared" si="245"/>
        <v>700000</v>
      </c>
      <c r="CW95" s="131">
        <f t="shared" si="246"/>
        <v>700000</v>
      </c>
    </row>
    <row r="96" spans="1:101" x14ac:dyDescent="0.2">
      <c r="A96" s="869" t="s">
        <v>6858</v>
      </c>
      <c r="B96" s="2208"/>
      <c r="C96" s="2334"/>
      <c r="D96" s="2328"/>
      <c r="E96" s="186"/>
      <c r="F96" s="33"/>
      <c r="G96" s="33"/>
      <c r="H96" s="33"/>
      <c r="I96" s="33"/>
      <c r="J96" s="33">
        <v>200000</v>
      </c>
      <c r="K96" s="33">
        <v>1000000</v>
      </c>
      <c r="L96" s="33">
        <v>1000000</v>
      </c>
      <c r="M96" s="33">
        <v>1000000</v>
      </c>
      <c r="N96" s="33">
        <v>1000000</v>
      </c>
      <c r="O96" s="33">
        <v>1000000</v>
      </c>
      <c r="P96" s="102">
        <v>1000000</v>
      </c>
      <c r="Q96" s="142"/>
      <c r="R96" s="33"/>
      <c r="S96" s="33"/>
      <c r="T96" s="33"/>
      <c r="U96" s="102">
        <f t="shared" si="230"/>
        <v>0</v>
      </c>
      <c r="V96" s="186"/>
      <c r="W96" s="33"/>
      <c r="X96" s="99"/>
      <c r="Y96" s="33"/>
      <c r="Z96" s="102"/>
      <c r="AA96" s="142"/>
      <c r="AB96" s="33"/>
      <c r="AC96" s="33"/>
      <c r="AD96" s="33"/>
      <c r="AE96" s="102">
        <f t="shared" si="231"/>
        <v>0</v>
      </c>
      <c r="AF96" s="142"/>
      <c r="AG96" s="33"/>
      <c r="AH96" s="33"/>
      <c r="AI96" s="33">
        <f>H96</f>
        <v>0</v>
      </c>
      <c r="AJ96" s="102">
        <f t="shared" si="232"/>
        <v>0</v>
      </c>
      <c r="AK96" s="142"/>
      <c r="AL96" s="33"/>
      <c r="AM96" s="33"/>
      <c r="AN96" s="33">
        <f>I96</f>
        <v>0</v>
      </c>
      <c r="AO96" s="114">
        <f t="shared" si="233"/>
        <v>0</v>
      </c>
      <c r="AP96" s="142"/>
      <c r="AQ96" s="33"/>
      <c r="AR96" s="33"/>
      <c r="AS96" s="33">
        <f>J96</f>
        <v>200000</v>
      </c>
      <c r="AT96" s="102">
        <f t="shared" si="249"/>
        <v>0</v>
      </c>
      <c r="AV96" s="33"/>
      <c r="AW96" s="33"/>
      <c r="AX96" s="33">
        <f>K96</f>
        <v>1000000</v>
      </c>
      <c r="AY96" s="102">
        <f>K96-AU96-AV96-AW96-AX96</f>
        <v>0</v>
      </c>
      <c r="AZ96" s="142"/>
      <c r="BA96" s="33"/>
      <c r="BB96" s="33"/>
      <c r="BC96" s="33">
        <f>L96</f>
        <v>1000000</v>
      </c>
      <c r="BD96" s="102">
        <f>L96-AZ96-BA96-BB96-BC96</f>
        <v>0</v>
      </c>
      <c r="BE96" s="142"/>
      <c r="BF96" s="33"/>
      <c r="BG96" s="33"/>
      <c r="BH96" s="33">
        <f>M96</f>
        <v>1000000</v>
      </c>
      <c r="BI96" s="102">
        <f>M96-BE96-BF96-BG96-BH96</f>
        <v>0</v>
      </c>
      <c r="BJ96" s="142"/>
      <c r="BK96" s="33"/>
      <c r="BL96" s="33"/>
      <c r="BM96" s="33">
        <f>N96</f>
        <v>1000000</v>
      </c>
      <c r="BN96" s="102">
        <f>N96-BJ96-BK96-BL96-BM96</f>
        <v>0</v>
      </c>
      <c r="BO96" s="142"/>
      <c r="BP96" s="33"/>
      <c r="BQ96" s="33"/>
      <c r="BR96" s="33">
        <f>O96</f>
        <v>1000000</v>
      </c>
      <c r="BS96" s="102">
        <f>O96-BO96-BP96-BQ96-BR96</f>
        <v>0</v>
      </c>
      <c r="BT96" s="142"/>
      <c r="BU96" s="33"/>
      <c r="BV96" s="33"/>
      <c r="BW96" s="33">
        <f>P96</f>
        <v>1000000</v>
      </c>
      <c r="BX96" s="99">
        <f>P96-BT96-BU96-BV96-BW96</f>
        <v>0</v>
      </c>
      <c r="BY96" s="2438">
        <v>0.5</v>
      </c>
      <c r="BZ96" s="1263">
        <v>0.5</v>
      </c>
      <c r="CA96" s="1263">
        <v>0.5</v>
      </c>
      <c r="CB96" s="1263">
        <v>0.5</v>
      </c>
      <c r="CC96" s="1263">
        <v>0.5</v>
      </c>
      <c r="CD96" s="1263">
        <v>0.5</v>
      </c>
      <c r="CE96" s="1263">
        <v>1</v>
      </c>
      <c r="CF96" s="1263">
        <f t="shared" si="250"/>
        <v>1</v>
      </c>
      <c r="CG96" s="1263">
        <f t="shared" si="251"/>
        <v>1</v>
      </c>
      <c r="CH96" s="1263">
        <f t="shared" si="252"/>
        <v>1</v>
      </c>
      <c r="CI96" s="1263">
        <f t="shared" si="253"/>
        <v>1</v>
      </c>
      <c r="CJ96" s="1263">
        <f t="shared" si="254"/>
        <v>1</v>
      </c>
      <c r="CK96" s="1263"/>
      <c r="CL96" s="1920">
        <f t="shared" si="235"/>
        <v>0</v>
      </c>
      <c r="CM96" s="78">
        <f t="shared" si="236"/>
        <v>0</v>
      </c>
      <c r="CN96" s="78">
        <f t="shared" si="237"/>
        <v>0</v>
      </c>
      <c r="CO96" s="78">
        <f t="shared" si="238"/>
        <v>0</v>
      </c>
      <c r="CP96" s="78">
        <f t="shared" si="239"/>
        <v>0</v>
      </c>
      <c r="CQ96" s="78">
        <f t="shared" si="240"/>
        <v>100000</v>
      </c>
      <c r="CR96" s="78">
        <f t="shared" si="241"/>
        <v>1000000</v>
      </c>
      <c r="CS96" s="78">
        <f t="shared" si="242"/>
        <v>1000000</v>
      </c>
      <c r="CT96" s="78">
        <f t="shared" si="243"/>
        <v>1000000</v>
      </c>
      <c r="CU96" s="78">
        <f t="shared" si="244"/>
        <v>1000000</v>
      </c>
      <c r="CV96" s="78">
        <f t="shared" si="245"/>
        <v>1000000</v>
      </c>
      <c r="CW96" s="131">
        <f t="shared" si="246"/>
        <v>1000000</v>
      </c>
    </row>
    <row r="97" spans="1:101" x14ac:dyDescent="0.2">
      <c r="A97" s="869" t="s">
        <v>6789</v>
      </c>
      <c r="B97" s="2354" t="s">
        <v>5269</v>
      </c>
      <c r="C97" s="2343" t="s">
        <v>5270</v>
      </c>
      <c r="D97" s="2328" t="s">
        <v>5270</v>
      </c>
      <c r="E97" s="186"/>
      <c r="F97" s="76">
        <f>223000-25000-198000</f>
        <v>0</v>
      </c>
      <c r="G97" s="33">
        <f>232000-25000-3000</f>
        <v>204000</v>
      </c>
      <c r="H97" s="33">
        <v>238000</v>
      </c>
      <c r="I97" s="33">
        <f>ROUND((H97*Assumptions!J$6+H97),-3)</f>
        <v>248000</v>
      </c>
      <c r="J97" s="76">
        <f>ROUND((I97*Assumptions!K$6+I97),-3)</f>
        <v>254000</v>
      </c>
      <c r="K97" s="33">
        <f>ROUND((J97*Assumptions!L$6+J97),-3)</f>
        <v>260000</v>
      </c>
      <c r="L97" s="33">
        <f>ROUND((K97*Assumptions!M$6+K97),-3)</f>
        <v>267000</v>
      </c>
      <c r="M97" s="142">
        <f>ROUND((L97*Assumptions!N$6+L97),-3)</f>
        <v>274000</v>
      </c>
      <c r="N97" s="33">
        <f>ROUND((M97*Assumptions!O$6+M97),-3)</f>
        <v>281000</v>
      </c>
      <c r="O97" s="33">
        <f>ROUND((N97*Assumptions!P$6+N97),-3)</f>
        <v>288000</v>
      </c>
      <c r="P97" s="102">
        <f>ROUND((O97*Assumptions!Q$6+O97),-3)</f>
        <v>295000</v>
      </c>
      <c r="Q97" s="142"/>
      <c r="R97" s="33"/>
      <c r="S97" s="33"/>
      <c r="T97" s="33"/>
      <c r="U97" s="102">
        <f t="shared" si="230"/>
        <v>0</v>
      </c>
      <c r="V97" s="186"/>
      <c r="W97" s="33"/>
      <c r="X97" s="99"/>
      <c r="Y97" s="33"/>
      <c r="Z97" s="102">
        <f t="shared" ref="Z97:Z105" si="255">F97-V97-W97-X97-Y97</f>
        <v>0</v>
      </c>
      <c r="AA97" s="142"/>
      <c r="AB97" s="33"/>
      <c r="AC97" s="33"/>
      <c r="AD97" s="33"/>
      <c r="AE97" s="102">
        <f t="shared" si="231"/>
        <v>204000</v>
      </c>
      <c r="AF97" s="142"/>
      <c r="AG97" s="33"/>
      <c r="AH97" s="33"/>
      <c r="AI97" s="33"/>
      <c r="AJ97" s="102">
        <f t="shared" si="232"/>
        <v>238000</v>
      </c>
      <c r="AK97" s="142"/>
      <c r="AL97" s="33"/>
      <c r="AM97" s="33"/>
      <c r="AN97" s="33"/>
      <c r="AO97" s="114">
        <f t="shared" si="233"/>
        <v>248000</v>
      </c>
      <c r="AP97" s="142"/>
      <c r="AQ97" s="33"/>
      <c r="AR97" s="33"/>
      <c r="AS97" s="33"/>
      <c r="AT97" s="102">
        <f t="shared" si="249"/>
        <v>254000</v>
      </c>
      <c r="AV97" s="33"/>
      <c r="AW97" s="33"/>
      <c r="AX97" s="33"/>
      <c r="AY97" s="102">
        <f>K97-AU97-AV97-AW97-AX97</f>
        <v>260000</v>
      </c>
      <c r="AZ97" s="142"/>
      <c r="BA97" s="33"/>
      <c r="BB97" s="33"/>
      <c r="BC97" s="33"/>
      <c r="BD97" s="102">
        <f>L97-AZ97-BA97-BB97-BC97</f>
        <v>267000</v>
      </c>
      <c r="BE97" s="142"/>
      <c r="BF97" s="33"/>
      <c r="BG97" s="33"/>
      <c r="BH97" s="33"/>
      <c r="BI97" s="102">
        <f>M97-BE97-BF97-BG97-BH97</f>
        <v>274000</v>
      </c>
      <c r="BJ97" s="142"/>
      <c r="BK97" s="33"/>
      <c r="BL97" s="33"/>
      <c r="BM97" s="33"/>
      <c r="BN97" s="102">
        <f>N97-BJ97-BK97-BL97-BM97</f>
        <v>281000</v>
      </c>
      <c r="BO97" s="142"/>
      <c r="BP97" s="33"/>
      <c r="BQ97" s="33"/>
      <c r="BR97" s="33"/>
      <c r="BS97" s="102">
        <f>O97-BO97-BP97-BQ97-BR97</f>
        <v>288000</v>
      </c>
      <c r="BT97" s="142"/>
      <c r="BU97" s="33"/>
      <c r="BV97" s="33"/>
      <c r="BW97" s="33"/>
      <c r="BX97" s="99">
        <f>P97-BT97-BU97-BV97-BW97</f>
        <v>295000</v>
      </c>
      <c r="BY97" s="2438">
        <v>1</v>
      </c>
      <c r="BZ97" s="1263">
        <f t="shared" ref="BZ97:CJ97" si="256">BY97</f>
        <v>1</v>
      </c>
      <c r="CA97" s="1263">
        <f t="shared" si="256"/>
        <v>1</v>
      </c>
      <c r="CB97" s="1263">
        <f t="shared" si="256"/>
        <v>1</v>
      </c>
      <c r="CC97" s="1263">
        <f t="shared" si="256"/>
        <v>1</v>
      </c>
      <c r="CD97" s="1263">
        <f t="shared" si="256"/>
        <v>1</v>
      </c>
      <c r="CE97" s="1263">
        <f t="shared" si="256"/>
        <v>1</v>
      </c>
      <c r="CF97" s="1263">
        <f t="shared" si="256"/>
        <v>1</v>
      </c>
      <c r="CG97" s="1263">
        <f t="shared" si="256"/>
        <v>1</v>
      </c>
      <c r="CH97" s="1263">
        <f t="shared" si="256"/>
        <v>1</v>
      </c>
      <c r="CI97" s="1263">
        <f t="shared" si="256"/>
        <v>1</v>
      </c>
      <c r="CJ97" s="1263">
        <f t="shared" si="256"/>
        <v>1</v>
      </c>
      <c r="CK97" s="1263"/>
      <c r="CL97" s="1920">
        <f t="shared" si="235"/>
        <v>0</v>
      </c>
      <c r="CM97" s="78">
        <f t="shared" si="236"/>
        <v>0</v>
      </c>
      <c r="CN97" s="78">
        <f t="shared" si="237"/>
        <v>204000</v>
      </c>
      <c r="CO97" s="78">
        <f t="shared" si="238"/>
        <v>238000</v>
      </c>
      <c r="CP97" s="78">
        <f t="shared" si="239"/>
        <v>248000</v>
      </c>
      <c r="CQ97" s="78">
        <f t="shared" si="240"/>
        <v>254000</v>
      </c>
      <c r="CR97" s="78">
        <f t="shared" si="241"/>
        <v>260000</v>
      </c>
      <c r="CS97" s="78">
        <f t="shared" si="242"/>
        <v>267000</v>
      </c>
      <c r="CT97" s="78">
        <f t="shared" si="243"/>
        <v>274000</v>
      </c>
      <c r="CU97" s="78">
        <f t="shared" si="244"/>
        <v>281000</v>
      </c>
      <c r="CV97" s="78">
        <f t="shared" si="245"/>
        <v>288000</v>
      </c>
      <c r="CW97" s="131">
        <f t="shared" si="246"/>
        <v>295000</v>
      </c>
    </row>
    <row r="98" spans="1:101" s="2821" customFormat="1" x14ac:dyDescent="0.2">
      <c r="A98" s="2806" t="s">
        <v>7018</v>
      </c>
      <c r="B98" s="2807"/>
      <c r="C98" s="2808"/>
      <c r="D98" s="2809" t="s">
        <v>5164</v>
      </c>
      <c r="E98" s="2810"/>
      <c r="F98" s="2811"/>
      <c r="G98" s="2812"/>
      <c r="H98" s="2812">
        <v>150000</v>
      </c>
      <c r="I98" s="2811">
        <v>280000</v>
      </c>
      <c r="J98" s="2811">
        <f>ROUND((I98*Assumptions!K$6+I98),-3)</f>
        <v>287000</v>
      </c>
      <c r="K98" s="2812">
        <f>ROUND((J98*Assumptions!L$6+J98),-3)</f>
        <v>294000</v>
      </c>
      <c r="L98" s="2812">
        <f>ROUND((K98*Assumptions!M$6+K98),-3)</f>
        <v>301000</v>
      </c>
      <c r="M98" s="2813">
        <f>ROUND((L98*Assumptions!N$6+L98),-3)</f>
        <v>309000</v>
      </c>
      <c r="N98" s="2812">
        <f>ROUND((M98*Assumptions!O$6+M98),-3)</f>
        <v>317000</v>
      </c>
      <c r="O98" s="2812">
        <f>ROUND((N98*Assumptions!P$6+N98),-3)</f>
        <v>325000</v>
      </c>
      <c r="P98" s="2814">
        <f>ROUND((O98*Assumptions!Q$6+O98),-3)</f>
        <v>333000</v>
      </c>
      <c r="Q98" s="2813"/>
      <c r="R98" s="2812"/>
      <c r="S98" s="2812"/>
      <c r="T98" s="2812">
        <f>E98</f>
        <v>0</v>
      </c>
      <c r="U98" s="2814">
        <f t="shared" si="230"/>
        <v>0</v>
      </c>
      <c r="V98" s="2815"/>
      <c r="W98" s="2812"/>
      <c r="X98" s="1838"/>
      <c r="Y98" s="2812">
        <f>F98</f>
        <v>0</v>
      </c>
      <c r="Z98" s="2814">
        <f t="shared" si="255"/>
        <v>0</v>
      </c>
      <c r="AA98" s="2813"/>
      <c r="AB98" s="2812"/>
      <c r="AC98" s="2812"/>
      <c r="AD98" s="2812"/>
      <c r="AE98" s="2814">
        <f t="shared" si="231"/>
        <v>0</v>
      </c>
      <c r="AF98" s="2813"/>
      <c r="AG98" s="2812"/>
      <c r="AH98" s="2812"/>
      <c r="AI98" s="2812"/>
      <c r="AJ98" s="2814">
        <f t="shared" si="232"/>
        <v>150000</v>
      </c>
      <c r="AK98" s="2813"/>
      <c r="AL98" s="2812"/>
      <c r="AM98" s="2812"/>
      <c r="AN98" s="2812"/>
      <c r="AO98" s="2816">
        <f t="shared" si="233"/>
        <v>280000</v>
      </c>
      <c r="AP98" s="2813"/>
      <c r="AQ98" s="2812"/>
      <c r="AR98" s="2812"/>
      <c r="AS98" s="2812"/>
      <c r="AT98" s="2814">
        <f t="shared" si="249"/>
        <v>287000</v>
      </c>
      <c r="AU98" s="1838"/>
      <c r="AV98" s="2812"/>
      <c r="AW98" s="2812"/>
      <c r="AX98" s="2812"/>
      <c r="AY98" s="2814">
        <f>K98-AU98-AV98-AW98-AX98</f>
        <v>294000</v>
      </c>
      <c r="AZ98" s="2813"/>
      <c r="BA98" s="2812"/>
      <c r="BB98" s="2812"/>
      <c r="BC98" s="2812"/>
      <c r="BD98" s="2814">
        <f>L98-AZ98-BA98-BB98-BC98</f>
        <v>301000</v>
      </c>
      <c r="BE98" s="2813"/>
      <c r="BF98" s="2812"/>
      <c r="BG98" s="2812"/>
      <c r="BH98" s="2812"/>
      <c r="BI98" s="2814">
        <f>M98-BE98-BF98-BG98-BH98</f>
        <v>309000</v>
      </c>
      <c r="BJ98" s="2813"/>
      <c r="BK98" s="2812"/>
      <c r="BL98" s="2812"/>
      <c r="BM98" s="2812"/>
      <c r="BN98" s="2814">
        <f>N98-BJ98-BK98-BL98-BM98</f>
        <v>317000</v>
      </c>
      <c r="BO98" s="2813"/>
      <c r="BP98" s="2812"/>
      <c r="BQ98" s="2812"/>
      <c r="BR98" s="2812"/>
      <c r="BS98" s="2814">
        <f>O98-BO98-BP98-BQ98-BR98</f>
        <v>325000</v>
      </c>
      <c r="BT98" s="2813"/>
      <c r="BU98" s="2812"/>
      <c r="BV98" s="2812"/>
      <c r="BW98" s="2812"/>
      <c r="BX98" s="1838">
        <f>P98-BT98-BU98-BV98-BW98</f>
        <v>333000</v>
      </c>
      <c r="BY98" s="2817">
        <v>1</v>
      </c>
      <c r="BZ98" s="2818">
        <f t="shared" ref="BZ98:CJ98" si="257">BY98</f>
        <v>1</v>
      </c>
      <c r="CA98" s="2818">
        <f t="shared" si="257"/>
        <v>1</v>
      </c>
      <c r="CB98" s="2818">
        <f t="shared" si="257"/>
        <v>1</v>
      </c>
      <c r="CC98" s="2818">
        <f t="shared" si="257"/>
        <v>1</v>
      </c>
      <c r="CD98" s="2818">
        <f t="shared" si="257"/>
        <v>1</v>
      </c>
      <c r="CE98" s="2818">
        <f t="shared" si="257"/>
        <v>1</v>
      </c>
      <c r="CF98" s="2818">
        <f t="shared" si="257"/>
        <v>1</v>
      </c>
      <c r="CG98" s="2818">
        <f t="shared" si="257"/>
        <v>1</v>
      </c>
      <c r="CH98" s="2818">
        <f t="shared" si="257"/>
        <v>1</v>
      </c>
      <c r="CI98" s="2818">
        <f t="shared" si="257"/>
        <v>1</v>
      </c>
      <c r="CJ98" s="2818">
        <f t="shared" si="257"/>
        <v>1</v>
      </c>
      <c r="CK98" s="2818"/>
      <c r="CL98" s="2819">
        <f t="shared" si="235"/>
        <v>0</v>
      </c>
      <c r="CM98" s="2413">
        <f t="shared" si="236"/>
        <v>0</v>
      </c>
      <c r="CN98" s="2413">
        <f t="shared" si="237"/>
        <v>0</v>
      </c>
      <c r="CO98" s="2413">
        <f t="shared" si="238"/>
        <v>150000</v>
      </c>
      <c r="CP98" s="2413">
        <f t="shared" si="239"/>
        <v>280000</v>
      </c>
      <c r="CQ98" s="2413">
        <f t="shared" si="240"/>
        <v>287000</v>
      </c>
      <c r="CR98" s="2413">
        <f t="shared" si="241"/>
        <v>294000</v>
      </c>
      <c r="CS98" s="2413">
        <f t="shared" si="242"/>
        <v>301000</v>
      </c>
      <c r="CT98" s="2413">
        <f t="shared" si="243"/>
        <v>309000</v>
      </c>
      <c r="CU98" s="2413">
        <f t="shared" si="244"/>
        <v>317000</v>
      </c>
      <c r="CV98" s="2413">
        <f t="shared" si="245"/>
        <v>325000</v>
      </c>
      <c r="CW98" s="2820">
        <f t="shared" si="246"/>
        <v>333000</v>
      </c>
    </row>
    <row r="99" spans="1:101" x14ac:dyDescent="0.2">
      <c r="A99" s="869" t="s">
        <v>6573</v>
      </c>
      <c r="B99" s="2354"/>
      <c r="C99" s="2343" t="s">
        <v>6570</v>
      </c>
      <c r="D99" s="2328" t="s">
        <v>6570</v>
      </c>
      <c r="E99" s="186"/>
      <c r="F99" s="76">
        <v>34000</v>
      </c>
      <c r="G99" s="33"/>
      <c r="H99" s="33"/>
      <c r="I99" s="33"/>
      <c r="J99" s="76"/>
      <c r="K99" s="33"/>
      <c r="L99" s="33"/>
      <c r="M99" s="142"/>
      <c r="N99" s="33"/>
      <c r="O99" s="33"/>
      <c r="P99" s="102"/>
      <c r="Q99" s="142"/>
      <c r="R99" s="33"/>
      <c r="S99" s="33"/>
      <c r="T99" s="33"/>
      <c r="U99" s="102"/>
      <c r="V99" s="186"/>
      <c r="W99" s="33"/>
      <c r="X99" s="99"/>
      <c r="Y99" s="33"/>
      <c r="Z99" s="102">
        <f t="shared" si="255"/>
        <v>34000</v>
      </c>
      <c r="AA99" s="142"/>
      <c r="AB99" s="33"/>
      <c r="AC99" s="33"/>
      <c r="AD99" s="33"/>
      <c r="AE99" s="102">
        <f t="shared" si="231"/>
        <v>0</v>
      </c>
      <c r="AF99" s="142"/>
      <c r="AG99" s="33"/>
      <c r="AH99" s="33"/>
      <c r="AI99" s="33"/>
      <c r="AJ99" s="102">
        <f t="shared" si="232"/>
        <v>0</v>
      </c>
      <c r="AK99" s="142"/>
      <c r="AL99" s="33"/>
      <c r="AM99" s="33"/>
      <c r="AN99" s="33"/>
      <c r="AO99" s="114">
        <f t="shared" si="233"/>
        <v>0</v>
      </c>
      <c r="AP99" s="142"/>
      <c r="AQ99" s="33"/>
      <c r="AR99" s="33"/>
      <c r="AS99" s="33"/>
      <c r="AT99" s="102">
        <f t="shared" si="249"/>
        <v>0</v>
      </c>
      <c r="AV99" s="33"/>
      <c r="AW99" s="33"/>
      <c r="AX99" s="33"/>
      <c r="AY99" s="102"/>
      <c r="AZ99" s="142"/>
      <c r="BA99" s="33"/>
      <c r="BB99" s="33"/>
      <c r="BC99" s="33"/>
      <c r="BD99" s="102"/>
      <c r="BE99" s="142"/>
      <c r="BF99" s="33"/>
      <c r="BG99" s="33"/>
      <c r="BH99" s="33"/>
      <c r="BI99" s="102"/>
      <c r="BJ99" s="142"/>
      <c r="BK99" s="33"/>
      <c r="BL99" s="33"/>
      <c r="BM99" s="33"/>
      <c r="BN99" s="102"/>
      <c r="BO99" s="142"/>
      <c r="BP99" s="33"/>
      <c r="BQ99" s="33"/>
      <c r="BR99" s="33"/>
      <c r="BS99" s="102"/>
      <c r="BT99" s="142"/>
      <c r="BU99" s="33"/>
      <c r="BV99" s="33"/>
      <c r="BW99" s="33"/>
      <c r="BY99" s="2438">
        <v>1</v>
      </c>
      <c r="BZ99" s="1263">
        <f t="shared" ref="BZ99:CJ99" si="258">BY99</f>
        <v>1</v>
      </c>
      <c r="CA99" s="1263">
        <f t="shared" si="258"/>
        <v>1</v>
      </c>
      <c r="CB99" s="1263">
        <f t="shared" si="258"/>
        <v>1</v>
      </c>
      <c r="CC99" s="1263">
        <f t="shared" si="258"/>
        <v>1</v>
      </c>
      <c r="CD99" s="1263">
        <f t="shared" si="258"/>
        <v>1</v>
      </c>
      <c r="CE99" s="1263">
        <f t="shared" si="258"/>
        <v>1</v>
      </c>
      <c r="CF99" s="1263">
        <f t="shared" si="258"/>
        <v>1</v>
      </c>
      <c r="CG99" s="1263">
        <f t="shared" si="258"/>
        <v>1</v>
      </c>
      <c r="CH99" s="1263">
        <f t="shared" si="258"/>
        <v>1</v>
      </c>
      <c r="CI99" s="1263">
        <f t="shared" si="258"/>
        <v>1</v>
      </c>
      <c r="CJ99" s="1263">
        <f t="shared" si="258"/>
        <v>1</v>
      </c>
      <c r="CK99" s="1263"/>
      <c r="CL99" s="1920">
        <f t="shared" si="235"/>
        <v>0</v>
      </c>
      <c r="CM99" s="78">
        <f t="shared" si="236"/>
        <v>34000</v>
      </c>
      <c r="CN99" s="78">
        <f t="shared" si="237"/>
        <v>0</v>
      </c>
      <c r="CO99" s="78">
        <f t="shared" si="238"/>
        <v>0</v>
      </c>
      <c r="CP99" s="78">
        <f t="shared" si="239"/>
        <v>0</v>
      </c>
      <c r="CQ99" s="78">
        <f t="shared" si="240"/>
        <v>0</v>
      </c>
      <c r="CR99" s="78">
        <f t="shared" si="241"/>
        <v>0</v>
      </c>
      <c r="CS99" s="78">
        <f t="shared" si="242"/>
        <v>0</v>
      </c>
      <c r="CT99" s="78">
        <f t="shared" si="243"/>
        <v>0</v>
      </c>
      <c r="CU99" s="78">
        <f t="shared" si="244"/>
        <v>0</v>
      </c>
      <c r="CV99" s="78">
        <f t="shared" si="245"/>
        <v>0</v>
      </c>
      <c r="CW99" s="131">
        <f t="shared" si="246"/>
        <v>0</v>
      </c>
    </row>
    <row r="100" spans="1:101" x14ac:dyDescent="0.2">
      <c r="A100" s="869" t="s">
        <v>6574</v>
      </c>
      <c r="B100" s="2354"/>
      <c r="C100" s="2343" t="s">
        <v>6571</v>
      </c>
      <c r="D100" s="2328" t="s">
        <v>6571</v>
      </c>
      <c r="E100" s="186"/>
      <c r="F100" s="76">
        <f>15000-15000</f>
        <v>0</v>
      </c>
      <c r="G100" s="33"/>
      <c r="H100" s="33"/>
      <c r="I100" s="33"/>
      <c r="J100" s="76"/>
      <c r="K100" s="33"/>
      <c r="L100" s="33"/>
      <c r="M100" s="142"/>
      <c r="N100" s="33"/>
      <c r="O100" s="33"/>
      <c r="P100" s="102"/>
      <c r="Q100" s="142"/>
      <c r="R100" s="33"/>
      <c r="S100" s="33"/>
      <c r="T100" s="33"/>
      <c r="U100" s="102"/>
      <c r="V100" s="186"/>
      <c r="W100" s="33"/>
      <c r="X100" s="99"/>
      <c r="Y100" s="33"/>
      <c r="Z100" s="102">
        <f t="shared" si="255"/>
        <v>0</v>
      </c>
      <c r="AA100" s="142"/>
      <c r="AB100" s="33"/>
      <c r="AC100" s="33"/>
      <c r="AD100" s="33"/>
      <c r="AE100" s="102">
        <f t="shared" si="231"/>
        <v>0</v>
      </c>
      <c r="AF100" s="142"/>
      <c r="AG100" s="33"/>
      <c r="AH100" s="33"/>
      <c r="AI100" s="33"/>
      <c r="AJ100" s="102">
        <f t="shared" si="232"/>
        <v>0</v>
      </c>
      <c r="AK100" s="142"/>
      <c r="AL100" s="33"/>
      <c r="AM100" s="33"/>
      <c r="AN100" s="33"/>
      <c r="AO100" s="114">
        <f t="shared" si="233"/>
        <v>0</v>
      </c>
      <c r="AP100" s="142"/>
      <c r="AQ100" s="33"/>
      <c r="AR100" s="33"/>
      <c r="AS100" s="33"/>
      <c r="AT100" s="102">
        <f t="shared" si="249"/>
        <v>0</v>
      </c>
      <c r="AV100" s="33"/>
      <c r="AW100" s="33"/>
      <c r="AX100" s="33"/>
      <c r="AY100" s="102"/>
      <c r="AZ100" s="142"/>
      <c r="BA100" s="33"/>
      <c r="BB100" s="33"/>
      <c r="BC100" s="33"/>
      <c r="BD100" s="102"/>
      <c r="BE100" s="142"/>
      <c r="BF100" s="33"/>
      <c r="BG100" s="33"/>
      <c r="BH100" s="33"/>
      <c r="BI100" s="102"/>
      <c r="BJ100" s="142"/>
      <c r="BK100" s="33"/>
      <c r="BL100" s="33"/>
      <c r="BM100" s="33"/>
      <c r="BN100" s="102"/>
      <c r="BO100" s="142"/>
      <c r="BP100" s="33"/>
      <c r="BQ100" s="33"/>
      <c r="BR100" s="33"/>
      <c r="BS100" s="102"/>
      <c r="BT100" s="142"/>
      <c r="BU100" s="33"/>
      <c r="BV100" s="33"/>
      <c r="BW100" s="33"/>
      <c r="BY100" s="2438">
        <v>1</v>
      </c>
      <c r="BZ100" s="1263">
        <f t="shared" ref="BZ100:CJ100" si="259">BY100</f>
        <v>1</v>
      </c>
      <c r="CA100" s="1263">
        <f t="shared" si="259"/>
        <v>1</v>
      </c>
      <c r="CB100" s="1263">
        <f t="shared" si="259"/>
        <v>1</v>
      </c>
      <c r="CC100" s="1263">
        <f t="shared" si="259"/>
        <v>1</v>
      </c>
      <c r="CD100" s="1263">
        <f t="shared" si="259"/>
        <v>1</v>
      </c>
      <c r="CE100" s="1263">
        <f t="shared" si="259"/>
        <v>1</v>
      </c>
      <c r="CF100" s="1263">
        <f t="shared" si="259"/>
        <v>1</v>
      </c>
      <c r="CG100" s="1263">
        <f t="shared" si="259"/>
        <v>1</v>
      </c>
      <c r="CH100" s="1263">
        <f t="shared" si="259"/>
        <v>1</v>
      </c>
      <c r="CI100" s="1263">
        <f t="shared" si="259"/>
        <v>1</v>
      </c>
      <c r="CJ100" s="1263">
        <f t="shared" si="259"/>
        <v>1</v>
      </c>
      <c r="CK100" s="1263"/>
      <c r="CL100" s="1920">
        <f t="shared" si="235"/>
        <v>0</v>
      </c>
      <c r="CM100" s="78">
        <f t="shared" si="236"/>
        <v>0</v>
      </c>
      <c r="CN100" s="78">
        <f t="shared" si="237"/>
        <v>0</v>
      </c>
      <c r="CO100" s="78">
        <f t="shared" si="238"/>
        <v>0</v>
      </c>
      <c r="CP100" s="78">
        <f t="shared" si="239"/>
        <v>0</v>
      </c>
      <c r="CQ100" s="78">
        <f t="shared" si="240"/>
        <v>0</v>
      </c>
      <c r="CR100" s="78">
        <f t="shared" si="241"/>
        <v>0</v>
      </c>
      <c r="CS100" s="78">
        <f t="shared" si="242"/>
        <v>0</v>
      </c>
      <c r="CT100" s="78">
        <f t="shared" si="243"/>
        <v>0</v>
      </c>
      <c r="CU100" s="78">
        <f t="shared" si="244"/>
        <v>0</v>
      </c>
      <c r="CV100" s="78">
        <f t="shared" si="245"/>
        <v>0</v>
      </c>
      <c r="CW100" s="131">
        <f t="shared" si="246"/>
        <v>0</v>
      </c>
    </row>
    <row r="101" spans="1:101" x14ac:dyDescent="0.2">
      <c r="A101" s="869" t="s">
        <v>6850</v>
      </c>
      <c r="B101" s="2354"/>
      <c r="C101" s="2343" t="s">
        <v>6572</v>
      </c>
      <c r="D101" s="2328" t="s">
        <v>6572</v>
      </c>
      <c r="E101" s="186"/>
      <c r="F101" s="77">
        <f>55000+7000</f>
        <v>62000</v>
      </c>
      <c r="G101" s="33"/>
      <c r="H101" s="33"/>
      <c r="I101" s="33"/>
      <c r="J101" s="76"/>
      <c r="K101" s="33"/>
      <c r="L101" s="33"/>
      <c r="M101" s="142"/>
      <c r="N101" s="33"/>
      <c r="O101" s="33"/>
      <c r="P101" s="102"/>
      <c r="Q101" s="142"/>
      <c r="R101" s="33"/>
      <c r="S101" s="33"/>
      <c r="T101" s="33"/>
      <c r="U101" s="102"/>
      <c r="V101" s="186">
        <f>'Cap Inc'!E31</f>
        <v>7000</v>
      </c>
      <c r="W101" s="33"/>
      <c r="X101" s="99"/>
      <c r="Y101" s="33"/>
      <c r="Z101" s="102">
        <f t="shared" si="255"/>
        <v>55000</v>
      </c>
      <c r="AA101" s="142"/>
      <c r="AB101" s="33"/>
      <c r="AC101" s="33"/>
      <c r="AD101" s="33"/>
      <c r="AE101" s="102">
        <f t="shared" si="231"/>
        <v>0</v>
      </c>
      <c r="AF101" s="142"/>
      <c r="AG101" s="33"/>
      <c r="AH101" s="33"/>
      <c r="AI101" s="33"/>
      <c r="AJ101" s="102">
        <f t="shared" si="232"/>
        <v>0</v>
      </c>
      <c r="AK101" s="142"/>
      <c r="AL101" s="33"/>
      <c r="AM101" s="33"/>
      <c r="AN101" s="33"/>
      <c r="AO101" s="114">
        <f t="shared" si="233"/>
        <v>0</v>
      </c>
      <c r="AP101" s="142"/>
      <c r="AQ101" s="33"/>
      <c r="AR101" s="33"/>
      <c r="AS101" s="33"/>
      <c r="AT101" s="102">
        <f t="shared" si="249"/>
        <v>0</v>
      </c>
      <c r="AV101" s="33"/>
      <c r="AW101" s="33"/>
      <c r="AX101" s="33"/>
      <c r="AY101" s="102"/>
      <c r="AZ101" s="142"/>
      <c r="BA101" s="33"/>
      <c r="BB101" s="33"/>
      <c r="BC101" s="33"/>
      <c r="BD101" s="102"/>
      <c r="BE101" s="142"/>
      <c r="BF101" s="33"/>
      <c r="BG101" s="33"/>
      <c r="BH101" s="33"/>
      <c r="BI101" s="102"/>
      <c r="BJ101" s="142"/>
      <c r="BK101" s="33"/>
      <c r="BL101" s="33"/>
      <c r="BM101" s="33"/>
      <c r="BN101" s="102"/>
      <c r="BO101" s="142"/>
      <c r="BP101" s="33"/>
      <c r="BQ101" s="33"/>
      <c r="BR101" s="33"/>
      <c r="BS101" s="102"/>
      <c r="BT101" s="142"/>
      <c r="BU101" s="33"/>
      <c r="BV101" s="33"/>
      <c r="BW101" s="33"/>
      <c r="BY101" s="2438">
        <v>1</v>
      </c>
      <c r="BZ101" s="1263">
        <f t="shared" ref="BZ101:CJ101" si="260">BY101</f>
        <v>1</v>
      </c>
      <c r="CA101" s="1263">
        <f t="shared" si="260"/>
        <v>1</v>
      </c>
      <c r="CB101" s="1263">
        <f t="shared" si="260"/>
        <v>1</v>
      </c>
      <c r="CC101" s="1263">
        <f t="shared" si="260"/>
        <v>1</v>
      </c>
      <c r="CD101" s="1263">
        <f t="shared" si="260"/>
        <v>1</v>
      </c>
      <c r="CE101" s="1263">
        <f t="shared" si="260"/>
        <v>1</v>
      </c>
      <c r="CF101" s="1263">
        <f t="shared" si="260"/>
        <v>1</v>
      </c>
      <c r="CG101" s="1263">
        <f t="shared" si="260"/>
        <v>1</v>
      </c>
      <c r="CH101" s="1263">
        <f t="shared" si="260"/>
        <v>1</v>
      </c>
      <c r="CI101" s="1263">
        <f t="shared" si="260"/>
        <v>1</v>
      </c>
      <c r="CJ101" s="1263">
        <f t="shared" si="260"/>
        <v>1</v>
      </c>
      <c r="CK101" s="1263"/>
      <c r="CL101" s="1920">
        <f t="shared" si="235"/>
        <v>0</v>
      </c>
      <c r="CM101" s="78">
        <f t="shared" si="236"/>
        <v>62000</v>
      </c>
      <c r="CN101" s="78">
        <f t="shared" si="237"/>
        <v>0</v>
      </c>
      <c r="CO101" s="78">
        <f t="shared" si="238"/>
        <v>0</v>
      </c>
      <c r="CP101" s="78">
        <f t="shared" si="239"/>
        <v>0</v>
      </c>
      <c r="CQ101" s="78">
        <f t="shared" si="240"/>
        <v>0</v>
      </c>
      <c r="CR101" s="78">
        <f t="shared" si="241"/>
        <v>0</v>
      </c>
      <c r="CS101" s="78">
        <f t="shared" si="242"/>
        <v>0</v>
      </c>
      <c r="CT101" s="78">
        <f t="shared" si="243"/>
        <v>0</v>
      </c>
      <c r="CU101" s="78">
        <f t="shared" si="244"/>
        <v>0</v>
      </c>
      <c r="CV101" s="78">
        <f t="shared" si="245"/>
        <v>0</v>
      </c>
      <c r="CW101" s="131">
        <f t="shared" si="246"/>
        <v>0</v>
      </c>
    </row>
    <row r="102" spans="1:101" x14ac:dyDescent="0.2">
      <c r="A102" s="869" t="s">
        <v>6575</v>
      </c>
      <c r="B102" s="2354"/>
      <c r="C102" s="2343" t="s">
        <v>7087</v>
      </c>
      <c r="D102" s="2328" t="s">
        <v>7087</v>
      </c>
      <c r="E102" s="186"/>
      <c r="F102" s="76">
        <f>15000-11300</f>
        <v>3700</v>
      </c>
      <c r="G102" s="33"/>
      <c r="H102" s="33"/>
      <c r="I102" s="33"/>
      <c r="J102" s="76"/>
      <c r="K102" s="76"/>
      <c r="L102" s="33"/>
      <c r="M102" s="142"/>
      <c r="N102" s="33"/>
      <c r="O102" s="33"/>
      <c r="P102" s="102"/>
      <c r="Q102" s="142"/>
      <c r="R102" s="33"/>
      <c r="S102" s="33"/>
      <c r="T102" s="33"/>
      <c r="U102" s="102"/>
      <c r="V102" s="186"/>
      <c r="W102" s="33"/>
      <c r="X102" s="99"/>
      <c r="Y102" s="33"/>
      <c r="Z102" s="102">
        <f t="shared" si="255"/>
        <v>3700</v>
      </c>
      <c r="AA102" s="142"/>
      <c r="AB102" s="33"/>
      <c r="AC102" s="33"/>
      <c r="AD102" s="33"/>
      <c r="AE102" s="102">
        <f t="shared" si="231"/>
        <v>0</v>
      </c>
      <c r="AF102" s="142"/>
      <c r="AG102" s="33"/>
      <c r="AH102" s="33"/>
      <c r="AI102" s="33"/>
      <c r="AJ102" s="102">
        <f t="shared" si="232"/>
        <v>0</v>
      </c>
      <c r="AK102" s="142"/>
      <c r="AL102" s="33"/>
      <c r="AM102" s="33"/>
      <c r="AN102" s="33"/>
      <c r="AO102" s="114">
        <f t="shared" si="233"/>
        <v>0</v>
      </c>
      <c r="AP102" s="142"/>
      <c r="AQ102" s="33"/>
      <c r="AR102" s="33"/>
      <c r="AS102" s="33"/>
      <c r="AT102" s="102">
        <f t="shared" si="249"/>
        <v>0</v>
      </c>
      <c r="AV102" s="33"/>
      <c r="AW102" s="33"/>
      <c r="AX102" s="33"/>
      <c r="AY102" s="102"/>
      <c r="AZ102" s="142"/>
      <c r="BA102" s="33"/>
      <c r="BB102" s="33"/>
      <c r="BC102" s="33"/>
      <c r="BD102" s="102"/>
      <c r="BE102" s="142"/>
      <c r="BF102" s="33"/>
      <c r="BG102" s="33"/>
      <c r="BH102" s="33"/>
      <c r="BI102" s="102"/>
      <c r="BJ102" s="142"/>
      <c r="BK102" s="33"/>
      <c r="BL102" s="33"/>
      <c r="BM102" s="33"/>
      <c r="BN102" s="102"/>
      <c r="BO102" s="142"/>
      <c r="BP102" s="33"/>
      <c r="BQ102" s="33"/>
      <c r="BR102" s="33"/>
      <c r="BS102" s="102"/>
      <c r="BT102" s="142"/>
      <c r="BU102" s="33"/>
      <c r="BV102" s="33"/>
      <c r="BW102" s="33"/>
      <c r="BY102" s="2438">
        <v>1</v>
      </c>
      <c r="BZ102" s="1263">
        <f t="shared" ref="BZ102:CJ102" si="261">BY102</f>
        <v>1</v>
      </c>
      <c r="CA102" s="1263">
        <f t="shared" si="261"/>
        <v>1</v>
      </c>
      <c r="CB102" s="1263">
        <f t="shared" si="261"/>
        <v>1</v>
      </c>
      <c r="CC102" s="1263">
        <f t="shared" si="261"/>
        <v>1</v>
      </c>
      <c r="CD102" s="1263">
        <f t="shared" si="261"/>
        <v>1</v>
      </c>
      <c r="CE102" s="1263">
        <f t="shared" si="261"/>
        <v>1</v>
      </c>
      <c r="CF102" s="1263">
        <f t="shared" si="261"/>
        <v>1</v>
      </c>
      <c r="CG102" s="1263">
        <f t="shared" si="261"/>
        <v>1</v>
      </c>
      <c r="CH102" s="1263">
        <f t="shared" si="261"/>
        <v>1</v>
      </c>
      <c r="CI102" s="1263">
        <f t="shared" si="261"/>
        <v>1</v>
      </c>
      <c r="CJ102" s="1263">
        <f t="shared" si="261"/>
        <v>1</v>
      </c>
      <c r="CK102" s="1263"/>
      <c r="CL102" s="1920">
        <f t="shared" si="235"/>
        <v>0</v>
      </c>
      <c r="CM102" s="78">
        <f t="shared" si="236"/>
        <v>4000</v>
      </c>
      <c r="CN102" s="78">
        <f t="shared" si="237"/>
        <v>0</v>
      </c>
      <c r="CO102" s="78">
        <f t="shared" si="238"/>
        <v>0</v>
      </c>
      <c r="CP102" s="78">
        <f t="shared" si="239"/>
        <v>0</v>
      </c>
      <c r="CQ102" s="78">
        <f t="shared" si="240"/>
        <v>0</v>
      </c>
      <c r="CR102" s="78">
        <f t="shared" si="241"/>
        <v>0</v>
      </c>
      <c r="CS102" s="78">
        <f t="shared" si="242"/>
        <v>0</v>
      </c>
      <c r="CT102" s="78">
        <f t="shared" si="243"/>
        <v>0</v>
      </c>
      <c r="CU102" s="78">
        <f t="shared" si="244"/>
        <v>0</v>
      </c>
      <c r="CV102" s="78">
        <f t="shared" si="245"/>
        <v>0</v>
      </c>
      <c r="CW102" s="131">
        <f t="shared" si="246"/>
        <v>0</v>
      </c>
    </row>
    <row r="103" spans="1:101" x14ac:dyDescent="0.2">
      <c r="A103" s="869" t="s">
        <v>6577</v>
      </c>
      <c r="B103" s="2354"/>
      <c r="C103" s="2343" t="s">
        <v>6576</v>
      </c>
      <c r="D103" s="2328" t="s">
        <v>6576</v>
      </c>
      <c r="E103" s="186"/>
      <c r="F103" s="76">
        <v>79000</v>
      </c>
      <c r="G103" s="33"/>
      <c r="H103" s="33"/>
      <c r="I103" s="33"/>
      <c r="J103" s="76"/>
      <c r="K103" s="76"/>
      <c r="L103" s="33"/>
      <c r="M103" s="142"/>
      <c r="N103" s="33"/>
      <c r="O103" s="33"/>
      <c r="P103" s="102"/>
      <c r="Q103" s="142"/>
      <c r="R103" s="33"/>
      <c r="S103" s="33"/>
      <c r="T103" s="33"/>
      <c r="U103" s="102"/>
      <c r="V103" s="186"/>
      <c r="W103" s="33"/>
      <c r="X103" s="99"/>
      <c r="Y103" s="33"/>
      <c r="Z103" s="102">
        <f t="shared" si="255"/>
        <v>79000</v>
      </c>
      <c r="AA103" s="142"/>
      <c r="AB103" s="33"/>
      <c r="AC103" s="33"/>
      <c r="AD103" s="33"/>
      <c r="AE103" s="102">
        <f t="shared" si="231"/>
        <v>0</v>
      </c>
      <c r="AF103" s="142"/>
      <c r="AG103" s="33"/>
      <c r="AH103" s="33"/>
      <c r="AI103" s="33"/>
      <c r="AJ103" s="102">
        <f t="shared" si="232"/>
        <v>0</v>
      </c>
      <c r="AK103" s="142"/>
      <c r="AL103" s="33"/>
      <c r="AM103" s="33"/>
      <c r="AN103" s="33"/>
      <c r="AO103" s="114">
        <f t="shared" si="233"/>
        <v>0</v>
      </c>
      <c r="AP103" s="142"/>
      <c r="AQ103" s="33"/>
      <c r="AR103" s="33"/>
      <c r="AS103" s="33"/>
      <c r="AT103" s="102">
        <f t="shared" si="249"/>
        <v>0</v>
      </c>
      <c r="AV103" s="33"/>
      <c r="AW103" s="33"/>
      <c r="AX103" s="33"/>
      <c r="AY103" s="102"/>
      <c r="AZ103" s="142"/>
      <c r="BA103" s="33"/>
      <c r="BB103" s="33"/>
      <c r="BC103" s="33"/>
      <c r="BD103" s="102"/>
      <c r="BE103" s="142"/>
      <c r="BF103" s="33"/>
      <c r="BG103" s="33"/>
      <c r="BH103" s="33"/>
      <c r="BI103" s="102"/>
      <c r="BJ103" s="142"/>
      <c r="BK103" s="33"/>
      <c r="BL103" s="33"/>
      <c r="BM103" s="33"/>
      <c r="BN103" s="102"/>
      <c r="BO103" s="142"/>
      <c r="BP103" s="33"/>
      <c r="BQ103" s="33"/>
      <c r="BR103" s="33"/>
      <c r="BS103" s="102"/>
      <c r="BT103" s="142"/>
      <c r="BU103" s="33"/>
      <c r="BV103" s="33"/>
      <c r="BW103" s="33"/>
      <c r="BY103" s="2438">
        <v>1</v>
      </c>
      <c r="BZ103" s="1263">
        <f t="shared" ref="BZ103:CJ103" si="262">BY103</f>
        <v>1</v>
      </c>
      <c r="CA103" s="1263">
        <f t="shared" si="262"/>
        <v>1</v>
      </c>
      <c r="CB103" s="1263">
        <f t="shared" si="262"/>
        <v>1</v>
      </c>
      <c r="CC103" s="1263">
        <f t="shared" si="262"/>
        <v>1</v>
      </c>
      <c r="CD103" s="1263">
        <f t="shared" si="262"/>
        <v>1</v>
      </c>
      <c r="CE103" s="1263">
        <f t="shared" si="262"/>
        <v>1</v>
      </c>
      <c r="CF103" s="1263">
        <f t="shared" si="262"/>
        <v>1</v>
      </c>
      <c r="CG103" s="1263">
        <f t="shared" si="262"/>
        <v>1</v>
      </c>
      <c r="CH103" s="1263">
        <f t="shared" si="262"/>
        <v>1</v>
      </c>
      <c r="CI103" s="1263">
        <f t="shared" si="262"/>
        <v>1</v>
      </c>
      <c r="CJ103" s="1263">
        <f t="shared" si="262"/>
        <v>1</v>
      </c>
      <c r="CK103" s="1263"/>
      <c r="CL103" s="1920">
        <f t="shared" si="235"/>
        <v>0</v>
      </c>
      <c r="CM103" s="78">
        <f t="shared" si="236"/>
        <v>79000</v>
      </c>
      <c r="CN103" s="78">
        <f t="shared" si="237"/>
        <v>0</v>
      </c>
      <c r="CO103" s="78">
        <f t="shared" si="238"/>
        <v>0</v>
      </c>
      <c r="CP103" s="78">
        <f t="shared" si="239"/>
        <v>0</v>
      </c>
      <c r="CQ103" s="78">
        <f t="shared" si="240"/>
        <v>0</v>
      </c>
      <c r="CR103" s="78">
        <f t="shared" si="241"/>
        <v>0</v>
      </c>
      <c r="CS103" s="78">
        <f t="shared" si="242"/>
        <v>0</v>
      </c>
      <c r="CT103" s="78">
        <f t="shared" si="243"/>
        <v>0</v>
      </c>
      <c r="CU103" s="78">
        <f t="shared" si="244"/>
        <v>0</v>
      </c>
      <c r="CV103" s="78">
        <f t="shared" si="245"/>
        <v>0</v>
      </c>
      <c r="CW103" s="131">
        <f t="shared" si="246"/>
        <v>0</v>
      </c>
    </row>
    <row r="104" spans="1:101" x14ac:dyDescent="0.2">
      <c r="A104" s="869" t="s">
        <v>6851</v>
      </c>
      <c r="B104" s="2354" t="s">
        <v>6471</v>
      </c>
      <c r="C104" s="2343" t="s">
        <v>6472</v>
      </c>
      <c r="D104" s="2328" t="s">
        <v>6472</v>
      </c>
      <c r="E104" s="186"/>
      <c r="F104" s="76">
        <v>20000</v>
      </c>
      <c r="G104" s="33"/>
      <c r="H104" s="33"/>
      <c r="I104" s="33"/>
      <c r="J104" s="76"/>
      <c r="K104" s="76"/>
      <c r="L104" s="33"/>
      <c r="M104" s="142"/>
      <c r="N104" s="33"/>
      <c r="O104" s="33"/>
      <c r="P104" s="102"/>
      <c r="Q104" s="142"/>
      <c r="R104" s="33"/>
      <c r="S104" s="33"/>
      <c r="T104" s="33"/>
      <c r="U104" s="102"/>
      <c r="V104" s="186"/>
      <c r="W104" s="33"/>
      <c r="X104" s="99"/>
      <c r="Y104" s="33">
        <v>20000</v>
      </c>
      <c r="Z104" s="102">
        <f t="shared" si="255"/>
        <v>0</v>
      </c>
      <c r="AA104" s="142"/>
      <c r="AB104" s="33"/>
      <c r="AC104" s="33"/>
      <c r="AD104" s="33"/>
      <c r="AE104" s="102">
        <f t="shared" si="231"/>
        <v>0</v>
      </c>
      <c r="AF104" s="142"/>
      <c r="AG104" s="33"/>
      <c r="AH104" s="33"/>
      <c r="AI104" s="33"/>
      <c r="AJ104" s="102">
        <f t="shared" si="232"/>
        <v>0</v>
      </c>
      <c r="AK104" s="142"/>
      <c r="AL104" s="33"/>
      <c r="AM104" s="33"/>
      <c r="AN104" s="33"/>
      <c r="AO104" s="114">
        <f t="shared" si="233"/>
        <v>0</v>
      </c>
      <c r="AP104" s="142"/>
      <c r="AQ104" s="33"/>
      <c r="AR104" s="33"/>
      <c r="AS104" s="33"/>
      <c r="AT104" s="102">
        <f t="shared" si="249"/>
        <v>0</v>
      </c>
      <c r="AV104" s="33"/>
      <c r="AW104" s="33"/>
      <c r="AX104" s="33"/>
      <c r="AY104" s="102"/>
      <c r="AZ104" s="142"/>
      <c r="BA104" s="33"/>
      <c r="BB104" s="33"/>
      <c r="BC104" s="33"/>
      <c r="BD104" s="102"/>
      <c r="BE104" s="142"/>
      <c r="BF104" s="33"/>
      <c r="BG104" s="33"/>
      <c r="BH104" s="33"/>
      <c r="BI104" s="102"/>
      <c r="BJ104" s="142"/>
      <c r="BK104" s="33"/>
      <c r="BL104" s="33"/>
      <c r="BM104" s="33"/>
      <c r="BN104" s="102"/>
      <c r="BO104" s="142"/>
      <c r="BP104" s="33"/>
      <c r="BQ104" s="33"/>
      <c r="BR104" s="33"/>
      <c r="BS104" s="102"/>
      <c r="BT104" s="142"/>
      <c r="BU104" s="33"/>
      <c r="BV104" s="33"/>
      <c r="BW104" s="33"/>
      <c r="BY104" s="2438">
        <v>1</v>
      </c>
      <c r="BZ104" s="1263">
        <f t="shared" ref="BZ104:CJ104" si="263">BY104</f>
        <v>1</v>
      </c>
      <c r="CA104" s="1263">
        <f t="shared" si="263"/>
        <v>1</v>
      </c>
      <c r="CB104" s="1263">
        <f t="shared" si="263"/>
        <v>1</v>
      </c>
      <c r="CC104" s="1263">
        <f t="shared" si="263"/>
        <v>1</v>
      </c>
      <c r="CD104" s="1263">
        <f t="shared" si="263"/>
        <v>1</v>
      </c>
      <c r="CE104" s="1263">
        <f t="shared" si="263"/>
        <v>1</v>
      </c>
      <c r="CF104" s="1263">
        <f t="shared" si="263"/>
        <v>1</v>
      </c>
      <c r="CG104" s="1263">
        <f t="shared" si="263"/>
        <v>1</v>
      </c>
      <c r="CH104" s="1263">
        <f t="shared" si="263"/>
        <v>1</v>
      </c>
      <c r="CI104" s="1263">
        <f t="shared" si="263"/>
        <v>1</v>
      </c>
      <c r="CJ104" s="1263">
        <f t="shared" si="263"/>
        <v>1</v>
      </c>
      <c r="CK104" s="1263"/>
      <c r="CL104" s="1920">
        <f t="shared" si="235"/>
        <v>0</v>
      </c>
      <c r="CM104" s="78">
        <f t="shared" si="236"/>
        <v>20000</v>
      </c>
      <c r="CN104" s="78">
        <f t="shared" si="237"/>
        <v>0</v>
      </c>
      <c r="CO104" s="78">
        <f t="shared" si="238"/>
        <v>0</v>
      </c>
      <c r="CP104" s="78">
        <f t="shared" si="239"/>
        <v>0</v>
      </c>
      <c r="CQ104" s="78">
        <f t="shared" si="240"/>
        <v>0</v>
      </c>
      <c r="CR104" s="78">
        <f t="shared" si="241"/>
        <v>0</v>
      </c>
      <c r="CS104" s="78">
        <f t="shared" si="242"/>
        <v>0</v>
      </c>
      <c r="CT104" s="78">
        <f t="shared" si="243"/>
        <v>0</v>
      </c>
      <c r="CU104" s="78">
        <f t="shared" si="244"/>
        <v>0</v>
      </c>
      <c r="CV104" s="78">
        <f t="shared" si="245"/>
        <v>0</v>
      </c>
      <c r="CW104" s="131">
        <f t="shared" si="246"/>
        <v>0</v>
      </c>
    </row>
    <row r="105" spans="1:101" x14ac:dyDescent="0.2">
      <c r="A105" s="869" t="s">
        <v>4495</v>
      </c>
      <c r="B105" s="2360"/>
      <c r="C105" s="2334"/>
      <c r="D105" s="2328"/>
      <c r="E105" s="502"/>
      <c r="F105" s="76">
        <f>Assumptions!G44</f>
        <v>0</v>
      </c>
      <c r="G105" s="33">
        <f>Assumptions!H44</f>
        <v>0</v>
      </c>
      <c r="H105" s="33">
        <f>Assumptions!I44</f>
        <v>0</v>
      </c>
      <c r="I105" s="33">
        <f>Assumptions!J44</f>
        <v>0</v>
      </c>
      <c r="J105" s="76">
        <f>Assumptions!K44</f>
        <v>250000</v>
      </c>
      <c r="K105" s="76">
        <f>Assumptions!L44</f>
        <v>250000</v>
      </c>
      <c r="L105" s="76">
        <f>Assumptions!M44</f>
        <v>250000</v>
      </c>
      <c r="M105" s="33">
        <f>Assumptions!N44</f>
        <v>250000</v>
      </c>
      <c r="N105" s="33">
        <f>Assumptions!O44</f>
        <v>250000</v>
      </c>
      <c r="O105" s="33">
        <f>Assumptions!P44</f>
        <v>250000</v>
      </c>
      <c r="P105" s="102">
        <f>Assumptions!Q44</f>
        <v>250000</v>
      </c>
      <c r="Q105" s="142"/>
      <c r="R105" s="33"/>
      <c r="S105" s="33"/>
      <c r="T105" s="33"/>
      <c r="U105" s="102">
        <f>E105-Q105-R105-S105-T105</f>
        <v>0</v>
      </c>
      <c r="V105" s="186"/>
      <c r="W105" s="33"/>
      <c r="X105" s="99"/>
      <c r="Y105" s="33"/>
      <c r="Z105" s="102">
        <f t="shared" si="255"/>
        <v>0</v>
      </c>
      <c r="AA105" s="142"/>
      <c r="AB105" s="33"/>
      <c r="AC105" s="33"/>
      <c r="AD105" s="33"/>
      <c r="AE105" s="102">
        <f t="shared" si="231"/>
        <v>0</v>
      </c>
      <c r="AF105" s="142"/>
      <c r="AG105" s="33"/>
      <c r="AH105" s="33"/>
      <c r="AI105" s="33"/>
      <c r="AJ105" s="102">
        <f t="shared" si="232"/>
        <v>0</v>
      </c>
      <c r="AK105" s="142"/>
      <c r="AL105" s="33"/>
      <c r="AM105" s="33"/>
      <c r="AN105" s="33">
        <f>I105</f>
        <v>0</v>
      </c>
      <c r="AO105" s="114">
        <f t="shared" si="233"/>
        <v>0</v>
      </c>
      <c r="AP105" s="142"/>
      <c r="AQ105" s="33"/>
      <c r="AR105" s="33"/>
      <c r="AS105" s="33">
        <f>J105</f>
        <v>250000</v>
      </c>
      <c r="AT105" s="102">
        <f t="shared" si="249"/>
        <v>0</v>
      </c>
      <c r="AV105" s="33"/>
      <c r="AW105" s="33"/>
      <c r="AX105" s="33">
        <f>K105</f>
        <v>250000</v>
      </c>
      <c r="AY105" s="102">
        <f>K105-AU105-AV105-AW105-AX105</f>
        <v>0</v>
      </c>
      <c r="AZ105" s="142"/>
      <c r="BA105" s="33"/>
      <c r="BB105" s="33"/>
      <c r="BC105" s="33">
        <f>L105</f>
        <v>250000</v>
      </c>
      <c r="BD105" s="102">
        <f>L105-AZ105-BA105-BB105-BC105</f>
        <v>0</v>
      </c>
      <c r="BE105" s="142"/>
      <c r="BF105" s="33"/>
      <c r="BG105" s="33"/>
      <c r="BH105" s="33">
        <f>M105</f>
        <v>250000</v>
      </c>
      <c r="BI105" s="102">
        <f>M105-BE105-BF105-BG105-BH105</f>
        <v>0</v>
      </c>
      <c r="BJ105" s="142"/>
      <c r="BK105" s="33"/>
      <c r="BL105" s="33"/>
      <c r="BM105" s="33">
        <f>N105</f>
        <v>250000</v>
      </c>
      <c r="BN105" s="102">
        <f>N105-BJ105-BK105-BL105-BM105</f>
        <v>0</v>
      </c>
      <c r="BO105" s="142"/>
      <c r="BP105" s="33"/>
      <c r="BQ105" s="33"/>
      <c r="BR105" s="33">
        <f>O105</f>
        <v>250000</v>
      </c>
      <c r="BS105" s="102">
        <f>O105-BO105-BP105-BQ105-BR105</f>
        <v>0</v>
      </c>
      <c r="BT105" s="142"/>
      <c r="BU105" s="33"/>
      <c r="BV105" s="33"/>
      <c r="BW105" s="33">
        <f>P105</f>
        <v>250000</v>
      </c>
      <c r="BX105" s="99">
        <f>P105-BT105-BU105-BV105-BW105</f>
        <v>0</v>
      </c>
      <c r="BY105" s="2438">
        <v>1</v>
      </c>
      <c r="BZ105" s="1263">
        <f t="shared" ref="BZ105:CJ105" si="264">BY105</f>
        <v>1</v>
      </c>
      <c r="CA105" s="1263">
        <f t="shared" si="264"/>
        <v>1</v>
      </c>
      <c r="CB105" s="1263">
        <f t="shared" si="264"/>
        <v>1</v>
      </c>
      <c r="CC105" s="1263">
        <f t="shared" si="264"/>
        <v>1</v>
      </c>
      <c r="CD105" s="1263">
        <f t="shared" si="264"/>
        <v>1</v>
      </c>
      <c r="CE105" s="1263">
        <f t="shared" si="264"/>
        <v>1</v>
      </c>
      <c r="CF105" s="1263">
        <f t="shared" si="264"/>
        <v>1</v>
      </c>
      <c r="CG105" s="1263">
        <f t="shared" si="264"/>
        <v>1</v>
      </c>
      <c r="CH105" s="1263">
        <f t="shared" si="264"/>
        <v>1</v>
      </c>
      <c r="CI105" s="1263">
        <f t="shared" si="264"/>
        <v>1</v>
      </c>
      <c r="CJ105" s="1263">
        <f t="shared" si="264"/>
        <v>1</v>
      </c>
      <c r="CK105" s="1263"/>
      <c r="CL105" s="1920">
        <f t="shared" si="235"/>
        <v>0</v>
      </c>
      <c r="CM105" s="78">
        <f t="shared" si="236"/>
        <v>0</v>
      </c>
      <c r="CN105" s="78">
        <f t="shared" si="237"/>
        <v>0</v>
      </c>
      <c r="CO105" s="78">
        <f t="shared" si="238"/>
        <v>0</v>
      </c>
      <c r="CP105" s="78">
        <f t="shared" si="239"/>
        <v>0</v>
      </c>
      <c r="CQ105" s="78">
        <f t="shared" si="240"/>
        <v>250000</v>
      </c>
      <c r="CR105" s="78">
        <f t="shared" si="241"/>
        <v>250000</v>
      </c>
      <c r="CS105" s="78">
        <f t="shared" si="242"/>
        <v>250000</v>
      </c>
      <c r="CT105" s="78">
        <f t="shared" si="243"/>
        <v>250000</v>
      </c>
      <c r="CU105" s="78">
        <f t="shared" si="244"/>
        <v>250000</v>
      </c>
      <c r="CV105" s="78">
        <f t="shared" si="245"/>
        <v>250000</v>
      </c>
      <c r="CW105" s="131">
        <f t="shared" si="246"/>
        <v>250000</v>
      </c>
    </row>
    <row r="106" spans="1:101" x14ac:dyDescent="0.2">
      <c r="A106" s="413"/>
      <c r="B106" s="2208"/>
      <c r="C106" s="2334"/>
      <c r="D106" s="2330"/>
      <c r="E106" s="186"/>
      <c r="F106" s="142"/>
      <c r="G106" s="33"/>
      <c r="H106" s="33"/>
      <c r="I106" s="33"/>
      <c r="J106" s="76"/>
      <c r="K106" s="76"/>
      <c r="L106" s="33"/>
      <c r="M106" s="142"/>
      <c r="N106" s="33"/>
      <c r="O106" s="33"/>
      <c r="P106" s="102"/>
      <c r="Q106" s="142"/>
      <c r="R106" s="33"/>
      <c r="S106" s="33"/>
      <c r="T106" s="33"/>
      <c r="U106" s="102"/>
      <c r="V106" s="186"/>
      <c r="W106" s="33"/>
      <c r="X106" s="99"/>
      <c r="Y106" s="33"/>
      <c r="Z106" s="102"/>
      <c r="AA106" s="142"/>
      <c r="AB106" s="33"/>
      <c r="AC106" s="33"/>
      <c r="AD106" s="33"/>
      <c r="AE106" s="102"/>
      <c r="AF106" s="142"/>
      <c r="AG106" s="33"/>
      <c r="AH106" s="33"/>
      <c r="AI106" s="33"/>
      <c r="AJ106" s="102"/>
      <c r="AK106" s="142"/>
      <c r="AL106" s="33"/>
      <c r="AM106" s="33"/>
      <c r="AN106" s="33"/>
      <c r="AO106" s="114"/>
      <c r="AP106" s="142"/>
      <c r="AQ106" s="33"/>
      <c r="AR106" s="33"/>
      <c r="AS106" s="33"/>
      <c r="AT106" s="102"/>
      <c r="AV106" s="33"/>
      <c r="AW106" s="33"/>
      <c r="AX106" s="33"/>
      <c r="AY106" s="102"/>
      <c r="AZ106" s="142"/>
      <c r="BA106" s="33"/>
      <c r="BB106" s="33"/>
      <c r="BC106" s="33"/>
      <c r="BD106" s="102"/>
      <c r="BE106" s="142"/>
      <c r="BF106" s="33"/>
      <c r="BG106" s="33"/>
      <c r="BH106" s="33"/>
      <c r="BI106" s="102"/>
      <c r="BJ106" s="142"/>
      <c r="BK106" s="33"/>
      <c r="BL106" s="33"/>
      <c r="BM106" s="33"/>
      <c r="BN106" s="102"/>
      <c r="BO106" s="142"/>
      <c r="BP106" s="33"/>
      <c r="BQ106" s="33"/>
      <c r="BR106" s="33"/>
      <c r="BS106" s="102"/>
      <c r="BT106" s="142"/>
      <c r="BU106" s="33"/>
      <c r="BV106" s="33"/>
      <c r="BW106" s="33"/>
      <c r="BY106" s="2437"/>
      <c r="BZ106" s="740"/>
      <c r="CA106" s="740"/>
      <c r="CB106" s="740"/>
      <c r="CC106" s="740"/>
      <c r="CD106" s="740"/>
      <c r="CE106" s="740"/>
      <c r="CF106" s="740"/>
      <c r="CG106" s="740"/>
      <c r="CH106" s="740"/>
      <c r="CI106" s="740"/>
      <c r="CJ106" s="740"/>
      <c r="CK106" s="740"/>
      <c r="CL106" s="502"/>
      <c r="CM106" s="99"/>
      <c r="CN106" s="99"/>
      <c r="CO106" s="99"/>
      <c r="CP106" s="99"/>
      <c r="CQ106" s="99"/>
      <c r="CR106" s="99"/>
      <c r="CS106" s="99"/>
      <c r="CT106" s="99"/>
      <c r="CU106" s="99"/>
      <c r="CV106" s="99"/>
      <c r="CW106" s="114"/>
    </row>
    <row r="107" spans="1:101" x14ac:dyDescent="0.2">
      <c r="A107" s="590" t="s">
        <v>3141</v>
      </c>
      <c r="B107" s="2360"/>
      <c r="C107" s="2334"/>
      <c r="D107" s="2330"/>
      <c r="E107" s="186"/>
      <c r="F107" s="142"/>
      <c r="G107" s="33"/>
      <c r="H107" s="33"/>
      <c r="I107" s="33"/>
      <c r="J107" s="76"/>
      <c r="K107" s="76"/>
      <c r="L107" s="33"/>
      <c r="M107" s="142"/>
      <c r="N107" s="33"/>
      <c r="O107" s="33"/>
      <c r="P107" s="102"/>
      <c r="Q107" s="142"/>
      <c r="R107" s="33"/>
      <c r="S107" s="33"/>
      <c r="T107" s="33"/>
      <c r="U107" s="102"/>
      <c r="V107" s="186"/>
      <c r="W107" s="33"/>
      <c r="X107" s="99"/>
      <c r="Y107" s="33"/>
      <c r="Z107" s="102"/>
      <c r="AA107" s="142"/>
      <c r="AB107" s="33"/>
      <c r="AC107" s="33"/>
      <c r="AD107" s="33"/>
      <c r="AE107" s="102"/>
      <c r="AF107" s="142"/>
      <c r="AG107" s="33"/>
      <c r="AH107" s="33"/>
      <c r="AI107" s="33"/>
      <c r="AJ107" s="102"/>
      <c r="AK107" s="142"/>
      <c r="AL107" s="33"/>
      <c r="AM107" s="33"/>
      <c r="AN107" s="33"/>
      <c r="AO107" s="114"/>
      <c r="AP107" s="142"/>
      <c r="AQ107" s="33"/>
      <c r="AR107" s="33"/>
      <c r="AS107" s="33"/>
      <c r="AT107" s="102"/>
      <c r="AV107" s="33"/>
      <c r="AW107" s="33"/>
      <c r="AX107" s="33"/>
      <c r="AY107" s="102"/>
      <c r="AZ107" s="142"/>
      <c r="BA107" s="33"/>
      <c r="BB107" s="33"/>
      <c r="BC107" s="33"/>
      <c r="BD107" s="102"/>
      <c r="BE107" s="142"/>
      <c r="BF107" s="33"/>
      <c r="BG107" s="33"/>
      <c r="BH107" s="33"/>
      <c r="BI107" s="102"/>
      <c r="BJ107" s="142"/>
      <c r="BK107" s="33"/>
      <c r="BL107" s="33"/>
      <c r="BM107" s="33"/>
      <c r="BN107" s="102"/>
      <c r="BO107" s="142"/>
      <c r="BP107" s="33"/>
      <c r="BQ107" s="33"/>
      <c r="BR107" s="33"/>
      <c r="BS107" s="102"/>
      <c r="BT107" s="142"/>
      <c r="BU107" s="33"/>
      <c r="BV107" s="33"/>
      <c r="BW107" s="33"/>
      <c r="BY107" s="2437"/>
      <c r="BZ107" s="740"/>
      <c r="CA107" s="740"/>
      <c r="CB107" s="740"/>
      <c r="CC107" s="740"/>
      <c r="CD107" s="740"/>
      <c r="CE107" s="740"/>
      <c r="CF107" s="740"/>
      <c r="CG107" s="740"/>
      <c r="CH107" s="740"/>
      <c r="CI107" s="740"/>
      <c r="CJ107" s="740"/>
      <c r="CK107" s="740"/>
      <c r="CL107" s="502"/>
      <c r="CM107" s="99"/>
      <c r="CN107" s="99"/>
      <c r="CO107" s="99"/>
      <c r="CP107" s="99"/>
      <c r="CQ107" s="99"/>
      <c r="CR107" s="99"/>
      <c r="CS107" s="99"/>
      <c r="CT107" s="99"/>
      <c r="CU107" s="99"/>
      <c r="CV107" s="99"/>
      <c r="CW107" s="114"/>
    </row>
    <row r="108" spans="1:101" x14ac:dyDescent="0.2">
      <c r="A108" s="869" t="s">
        <v>4496</v>
      </c>
      <c r="B108" s="2354" t="s">
        <v>1308</v>
      </c>
      <c r="C108" s="2334"/>
      <c r="D108" s="2396" t="s">
        <v>5164</v>
      </c>
      <c r="E108" s="914">
        <v>23000</v>
      </c>
      <c r="F108" s="142">
        <f>100000+51000</f>
        <v>151000</v>
      </c>
      <c r="G108" s="33">
        <v>104000</v>
      </c>
      <c r="H108" s="33">
        <f>ROUND((G108*Assumptions!I$6+G108),-3)</f>
        <v>108000</v>
      </c>
      <c r="I108" s="33">
        <f>ROUND((H108*Assumptions!J$6+H108),-3)</f>
        <v>112000</v>
      </c>
      <c r="J108" s="76">
        <f>ROUND((I108*Assumptions!K$6+I108),-3)</f>
        <v>115000</v>
      </c>
      <c r="K108" s="76">
        <f>ROUND((J108*Assumptions!L$6+J108),-3)</f>
        <v>118000</v>
      </c>
      <c r="L108" s="33">
        <f>ROUND((K108*Assumptions!M$6+K108),-3)</f>
        <v>121000</v>
      </c>
      <c r="M108" s="142">
        <f>ROUND((L108*Assumptions!N$6+L108),-3)</f>
        <v>124000</v>
      </c>
      <c r="N108" s="33">
        <f>ROUND((M108*Assumptions!O$6+M108),-3)</f>
        <v>127000</v>
      </c>
      <c r="O108" s="33">
        <f>ROUND((N108*Assumptions!P$6+N108),-3)</f>
        <v>130000</v>
      </c>
      <c r="P108" s="102">
        <f>ROUND((O108*Assumptions!Q$6+O108),-3)</f>
        <v>133000</v>
      </c>
      <c r="Q108" s="142"/>
      <c r="R108" s="33"/>
      <c r="S108" s="33"/>
      <c r="T108" s="33"/>
      <c r="U108" s="102">
        <f>E108-Q108-R108-S108-T108</f>
        <v>23000</v>
      </c>
      <c r="V108" s="186"/>
      <c r="W108" s="33"/>
      <c r="X108" s="99"/>
      <c r="Y108" s="33">
        <f>'Res-Gen'!F149</f>
        <v>51000</v>
      </c>
      <c r="Z108" s="102">
        <f>F108-V108-W108-X108-Y108</f>
        <v>100000</v>
      </c>
      <c r="AA108" s="142"/>
      <c r="AB108" s="33"/>
      <c r="AC108" s="33"/>
      <c r="AD108" s="33"/>
      <c r="AE108" s="102">
        <f>G108-AA108-AB108-AC108-AD108</f>
        <v>104000</v>
      </c>
      <c r="AF108" s="142"/>
      <c r="AG108" s="33"/>
      <c r="AH108" s="33"/>
      <c r="AI108" s="33"/>
      <c r="AJ108" s="102">
        <f>H108-AF108-AG108-AH108-AI108</f>
        <v>108000</v>
      </c>
      <c r="AK108" s="142"/>
      <c r="AL108" s="33"/>
      <c r="AM108" s="33"/>
      <c r="AN108" s="33"/>
      <c r="AO108" s="114">
        <f>I108-AK108-AL108-AM108-AN108</f>
        <v>112000</v>
      </c>
      <c r="AP108" s="142"/>
      <c r="AQ108" s="33"/>
      <c r="AR108" s="33"/>
      <c r="AS108" s="33"/>
      <c r="AT108" s="102">
        <f>J108-AP108-AQ108-AR108-AS108</f>
        <v>115000</v>
      </c>
      <c r="AV108" s="33"/>
      <c r="AW108" s="33"/>
      <c r="AX108" s="33"/>
      <c r="AY108" s="102">
        <f>K108-AU108-AV108-AW108-AX108</f>
        <v>118000</v>
      </c>
      <c r="AZ108" s="142"/>
      <c r="BA108" s="33"/>
      <c r="BB108" s="33"/>
      <c r="BC108" s="33"/>
      <c r="BD108" s="102">
        <f>L108-AZ108-BA108-BB108-BC108</f>
        <v>121000</v>
      </c>
      <c r="BE108" s="142"/>
      <c r="BF108" s="33"/>
      <c r="BG108" s="33"/>
      <c r="BH108" s="33"/>
      <c r="BI108" s="102">
        <f>M108-BE108-BF108-BG108-BH108</f>
        <v>124000</v>
      </c>
      <c r="BJ108" s="142"/>
      <c r="BK108" s="33"/>
      <c r="BL108" s="33"/>
      <c r="BM108" s="33"/>
      <c r="BN108" s="102">
        <f>N108-BJ108-BK108-BL108-BM108</f>
        <v>127000</v>
      </c>
      <c r="BO108" s="142"/>
      <c r="BP108" s="33"/>
      <c r="BQ108" s="33"/>
      <c r="BR108" s="33"/>
      <c r="BS108" s="102">
        <f>O108-BO108-BP108-BQ108-BR108</f>
        <v>130000</v>
      </c>
      <c r="BT108" s="142"/>
      <c r="BU108" s="33"/>
      <c r="BV108" s="33"/>
      <c r="BW108" s="33"/>
      <c r="BX108" s="99">
        <f t="shared" ref="BX108" si="265">P108-BT108-BU108-BV108-BW108</f>
        <v>133000</v>
      </c>
      <c r="BY108" s="2438">
        <v>1</v>
      </c>
      <c r="BZ108" s="1263">
        <f t="shared" ref="BZ108:CH108" si="266">BY108</f>
        <v>1</v>
      </c>
      <c r="CA108" s="1263">
        <f t="shared" si="266"/>
        <v>1</v>
      </c>
      <c r="CB108" s="1263">
        <f t="shared" si="266"/>
        <v>1</v>
      </c>
      <c r="CC108" s="1263">
        <f t="shared" si="266"/>
        <v>1</v>
      </c>
      <c r="CD108" s="1263">
        <f t="shared" si="266"/>
        <v>1</v>
      </c>
      <c r="CE108" s="1263">
        <f t="shared" si="266"/>
        <v>1</v>
      </c>
      <c r="CF108" s="1263">
        <f t="shared" si="266"/>
        <v>1</v>
      </c>
      <c r="CG108" s="1263">
        <f t="shared" si="266"/>
        <v>1</v>
      </c>
      <c r="CH108" s="1263">
        <f t="shared" si="266"/>
        <v>1</v>
      </c>
      <c r="CI108" s="1263">
        <f>CH108</f>
        <v>1</v>
      </c>
      <c r="CJ108" s="1263">
        <f>CI108</f>
        <v>1</v>
      </c>
      <c r="CK108" s="1263"/>
      <c r="CL108" s="1920">
        <f t="shared" ref="CL108:CW108" si="267">ROUND(BY108*E108,-3)</f>
        <v>23000</v>
      </c>
      <c r="CM108" s="78">
        <f t="shared" si="267"/>
        <v>151000</v>
      </c>
      <c r="CN108" s="78">
        <f t="shared" si="267"/>
        <v>104000</v>
      </c>
      <c r="CO108" s="78">
        <f t="shared" si="267"/>
        <v>108000</v>
      </c>
      <c r="CP108" s="78">
        <f t="shared" si="267"/>
        <v>112000</v>
      </c>
      <c r="CQ108" s="78">
        <f t="shared" si="267"/>
        <v>115000</v>
      </c>
      <c r="CR108" s="78">
        <f t="shared" si="267"/>
        <v>118000</v>
      </c>
      <c r="CS108" s="78">
        <f t="shared" si="267"/>
        <v>121000</v>
      </c>
      <c r="CT108" s="78">
        <f t="shared" si="267"/>
        <v>124000</v>
      </c>
      <c r="CU108" s="78">
        <f t="shared" si="267"/>
        <v>127000</v>
      </c>
      <c r="CV108" s="78">
        <f t="shared" si="267"/>
        <v>130000</v>
      </c>
      <c r="CW108" s="131">
        <f t="shared" si="267"/>
        <v>133000</v>
      </c>
    </row>
    <row r="109" spans="1:101" x14ac:dyDescent="0.2">
      <c r="A109" s="413"/>
      <c r="B109" s="2208"/>
      <c r="C109" s="2334"/>
      <c r="D109" s="2330"/>
      <c r="E109" s="186"/>
      <c r="F109" s="33"/>
      <c r="G109" s="33"/>
      <c r="H109" s="33"/>
      <c r="I109" s="33"/>
      <c r="J109" s="76"/>
      <c r="K109" s="76"/>
      <c r="L109" s="33"/>
      <c r="M109" s="142"/>
      <c r="N109" s="33"/>
      <c r="O109" s="33"/>
      <c r="P109" s="102"/>
      <c r="Q109" s="142"/>
      <c r="R109" s="33"/>
      <c r="S109" s="33"/>
      <c r="T109" s="33"/>
      <c r="U109" s="102"/>
      <c r="V109" s="186"/>
      <c r="W109" s="33"/>
      <c r="X109" s="99"/>
      <c r="Y109" s="33"/>
      <c r="Z109" s="102"/>
      <c r="AA109" s="142"/>
      <c r="AB109" s="33"/>
      <c r="AC109" s="33"/>
      <c r="AD109" s="33"/>
      <c r="AE109" s="102"/>
      <c r="AF109" s="142"/>
      <c r="AG109" s="33"/>
      <c r="AH109" s="33"/>
      <c r="AI109" s="33"/>
      <c r="AJ109" s="102"/>
      <c r="AK109" s="142"/>
      <c r="AL109" s="33"/>
      <c r="AM109" s="33"/>
      <c r="AN109" s="33"/>
      <c r="AO109" s="114"/>
      <c r="AP109" s="142"/>
      <c r="AQ109" s="33"/>
      <c r="AR109" s="33"/>
      <c r="AS109" s="33"/>
      <c r="AT109" s="102"/>
      <c r="AV109" s="33"/>
      <c r="AW109" s="33"/>
      <c r="AX109" s="33"/>
      <c r="AY109" s="102"/>
      <c r="AZ109" s="142"/>
      <c r="BA109" s="33"/>
      <c r="BB109" s="33"/>
      <c r="BC109" s="33"/>
      <c r="BD109" s="102"/>
      <c r="BE109" s="142"/>
      <c r="BF109" s="33"/>
      <c r="BG109" s="33"/>
      <c r="BH109" s="33"/>
      <c r="BI109" s="102"/>
      <c r="BJ109" s="142"/>
      <c r="BK109" s="33"/>
      <c r="BL109" s="33"/>
      <c r="BM109" s="33"/>
      <c r="BN109" s="102"/>
      <c r="BO109" s="142"/>
      <c r="BP109" s="33"/>
      <c r="BQ109" s="33"/>
      <c r="BR109" s="33"/>
      <c r="BS109" s="102"/>
      <c r="BT109" s="142"/>
      <c r="BU109" s="33"/>
      <c r="BV109" s="33"/>
      <c r="BW109" s="33"/>
      <c r="BY109" s="2437"/>
      <c r="BZ109" s="740"/>
      <c r="CA109" s="740"/>
      <c r="CB109" s="740"/>
      <c r="CC109" s="740"/>
      <c r="CD109" s="740"/>
      <c r="CE109" s="740"/>
      <c r="CF109" s="740"/>
      <c r="CG109" s="740"/>
      <c r="CH109" s="740"/>
      <c r="CI109" s="740"/>
      <c r="CJ109" s="740"/>
      <c r="CK109" s="740"/>
      <c r="CL109" s="502"/>
      <c r="CM109" s="99"/>
      <c r="CN109" s="99"/>
      <c r="CO109" s="99"/>
      <c r="CP109" s="99"/>
      <c r="CQ109" s="99"/>
      <c r="CR109" s="99"/>
      <c r="CS109" s="99"/>
      <c r="CT109" s="99"/>
      <c r="CU109" s="99"/>
      <c r="CV109" s="99"/>
      <c r="CW109" s="114"/>
    </row>
    <row r="110" spans="1:101" x14ac:dyDescent="0.2">
      <c r="A110" s="410" t="s">
        <v>410</v>
      </c>
      <c r="B110" s="2360"/>
      <c r="C110" s="2334"/>
      <c r="D110" s="2330"/>
      <c r="E110" s="186"/>
      <c r="F110" s="33"/>
      <c r="G110" s="33"/>
      <c r="H110" s="33"/>
      <c r="I110" s="33"/>
      <c r="J110" s="99"/>
      <c r="K110" s="33"/>
      <c r="L110" s="33"/>
      <c r="M110" s="142"/>
      <c r="N110" s="33"/>
      <c r="O110" s="33"/>
      <c r="P110" s="102"/>
      <c r="Q110" s="142"/>
      <c r="R110" s="33"/>
      <c r="S110" s="33"/>
      <c r="T110" s="33"/>
      <c r="U110" s="102"/>
      <c r="V110" s="186"/>
      <c r="W110" s="33"/>
      <c r="X110" s="99"/>
      <c r="Y110" s="33"/>
      <c r="Z110" s="102"/>
      <c r="AA110" s="142"/>
      <c r="AB110" s="33"/>
      <c r="AC110" s="33"/>
      <c r="AD110" s="33"/>
      <c r="AE110" s="102"/>
      <c r="AF110" s="142"/>
      <c r="AG110" s="33"/>
      <c r="AH110" s="33"/>
      <c r="AI110" s="33"/>
      <c r="AJ110" s="102"/>
      <c r="AK110" s="142"/>
      <c r="AL110" s="33"/>
      <c r="AM110" s="33"/>
      <c r="AN110" s="33"/>
      <c r="AO110" s="114"/>
      <c r="AP110" s="142"/>
      <c r="AQ110" s="33"/>
      <c r="AR110" s="33"/>
      <c r="AS110" s="33"/>
      <c r="AT110" s="102"/>
      <c r="AV110" s="33"/>
      <c r="AW110" s="33"/>
      <c r="AX110" s="33"/>
      <c r="AY110" s="102"/>
      <c r="AZ110" s="142"/>
      <c r="BA110" s="33"/>
      <c r="BB110" s="33"/>
      <c r="BC110" s="33"/>
      <c r="BD110" s="102"/>
      <c r="BE110" s="142"/>
      <c r="BF110" s="33"/>
      <c r="BG110" s="33"/>
      <c r="BH110" s="33"/>
      <c r="BI110" s="102"/>
      <c r="BJ110" s="142"/>
      <c r="BK110" s="33"/>
      <c r="BL110" s="33"/>
      <c r="BM110" s="33"/>
      <c r="BN110" s="102"/>
      <c r="BO110" s="142"/>
      <c r="BP110" s="33"/>
      <c r="BQ110" s="33"/>
      <c r="BR110" s="33"/>
      <c r="BS110" s="102"/>
      <c r="BT110" s="142"/>
      <c r="BU110" s="33"/>
      <c r="BV110" s="33"/>
      <c r="BW110" s="33"/>
      <c r="BY110" s="2437"/>
      <c r="BZ110" s="740"/>
      <c r="CA110" s="740"/>
      <c r="CB110" s="740"/>
      <c r="CC110" s="740"/>
      <c r="CD110" s="740"/>
      <c r="CE110" s="740"/>
      <c r="CF110" s="740"/>
      <c r="CG110" s="740"/>
      <c r="CH110" s="740"/>
      <c r="CI110" s="740"/>
      <c r="CJ110" s="740"/>
      <c r="CK110" s="740"/>
      <c r="CL110" s="502"/>
      <c r="CM110" s="99"/>
      <c r="CN110" s="99"/>
      <c r="CO110" s="99"/>
      <c r="CP110" s="99"/>
      <c r="CQ110" s="99"/>
      <c r="CR110" s="99"/>
      <c r="CS110" s="99"/>
      <c r="CT110" s="99"/>
      <c r="CU110" s="99"/>
      <c r="CV110" s="99"/>
      <c r="CW110" s="114"/>
    </row>
    <row r="111" spans="1:101" x14ac:dyDescent="0.2">
      <c r="A111" s="413" t="s">
        <v>2669</v>
      </c>
      <c r="B111" s="2356" t="s">
        <v>913</v>
      </c>
      <c r="C111" s="2334"/>
      <c r="D111" s="2396" t="s">
        <v>5164</v>
      </c>
      <c r="E111" s="186"/>
      <c r="F111" s="33">
        <v>21000</v>
      </c>
      <c r="G111" s="33">
        <f>ROUND((F111*Assumptions!H$6+F111),-3)</f>
        <v>22000</v>
      </c>
      <c r="H111" s="33">
        <f>ROUND((G111*Assumptions!I$6+G111),-3)</f>
        <v>23000</v>
      </c>
      <c r="I111" s="33">
        <f>ROUND((H111*Assumptions!J$6+H111),-3)</f>
        <v>24000</v>
      </c>
      <c r="J111" s="76">
        <f>ROUND((I111*Assumptions!K$6+I111),-3)</f>
        <v>25000</v>
      </c>
      <c r="K111" s="33">
        <f>ROUND((J111*Assumptions!L$6+J111),-3)</f>
        <v>26000</v>
      </c>
      <c r="L111" s="33">
        <f>ROUND((K111*Assumptions!M$6+K111),-3)</f>
        <v>27000</v>
      </c>
      <c r="M111" s="142">
        <f>ROUND((L111*Assumptions!N$6+L111),-3)</f>
        <v>28000</v>
      </c>
      <c r="N111" s="33">
        <f>ROUND((M111*Assumptions!O$6+M111),-3)</f>
        <v>29000</v>
      </c>
      <c r="O111" s="33">
        <f>ROUND((N111*Assumptions!P$6+N111),-3)</f>
        <v>30000</v>
      </c>
      <c r="P111" s="102">
        <f>ROUND((O111*Assumptions!Q$6+O111),-3)</f>
        <v>31000</v>
      </c>
      <c r="Q111" s="142"/>
      <c r="R111" s="33"/>
      <c r="S111" s="33"/>
      <c r="T111" s="33"/>
      <c r="U111" s="102">
        <f>E111-Q111-R111-S111-T111</f>
        <v>0</v>
      </c>
      <c r="V111" s="186"/>
      <c r="W111" s="33"/>
      <c r="X111" s="99"/>
      <c r="Y111" s="33"/>
      <c r="Z111" s="102">
        <f>F111-V111-W111-X111-Y111</f>
        <v>21000</v>
      </c>
      <c r="AA111" s="142"/>
      <c r="AB111" s="33"/>
      <c r="AC111" s="33"/>
      <c r="AD111" s="33"/>
      <c r="AE111" s="102">
        <f>G111-AA111-AB111-AC111-AD111</f>
        <v>22000</v>
      </c>
      <c r="AF111" s="142"/>
      <c r="AG111" s="33"/>
      <c r="AH111" s="33"/>
      <c r="AI111" s="33"/>
      <c r="AJ111" s="102">
        <f>H111-AF111-AG111-AH111-AI111</f>
        <v>23000</v>
      </c>
      <c r="AK111" s="142"/>
      <c r="AL111" s="33"/>
      <c r="AM111" s="33"/>
      <c r="AN111" s="33"/>
      <c r="AO111" s="114">
        <f>I111-AK111-AL111-AM111-AN111</f>
        <v>24000</v>
      </c>
      <c r="AP111" s="142"/>
      <c r="AQ111" s="33"/>
      <c r="AR111" s="33"/>
      <c r="AS111" s="33"/>
      <c r="AT111" s="102">
        <f>J111-AP111-AQ111-AR111-AS111</f>
        <v>25000</v>
      </c>
      <c r="AV111" s="33"/>
      <c r="AW111" s="33"/>
      <c r="AX111" s="33"/>
      <c r="AY111" s="102">
        <f>K111-AU111-AV111-AW111-AX111</f>
        <v>26000</v>
      </c>
      <c r="AZ111" s="142"/>
      <c r="BA111" s="33"/>
      <c r="BB111" s="33"/>
      <c r="BC111" s="33"/>
      <c r="BD111" s="102">
        <f>L111-AZ111-BA111-BB111-BC111</f>
        <v>27000</v>
      </c>
      <c r="BE111" s="142"/>
      <c r="BF111" s="33"/>
      <c r="BG111" s="33"/>
      <c r="BH111" s="33"/>
      <c r="BI111" s="102">
        <f>M111-BE111-BF111-BG111-BH111</f>
        <v>28000</v>
      </c>
      <c r="BJ111" s="142"/>
      <c r="BK111" s="33"/>
      <c r="BL111" s="33"/>
      <c r="BM111" s="33"/>
      <c r="BN111" s="102">
        <f>N111-BJ111-BK111-BL111-BM111</f>
        <v>29000</v>
      </c>
      <c r="BO111" s="142"/>
      <c r="BP111" s="33"/>
      <c r="BQ111" s="33"/>
      <c r="BR111" s="33"/>
      <c r="BS111" s="102">
        <f>O111-BO111-BP111-BQ111-BR111</f>
        <v>30000</v>
      </c>
      <c r="BT111" s="142"/>
      <c r="BU111" s="33"/>
      <c r="BV111" s="33"/>
      <c r="BW111" s="33"/>
      <c r="BX111" s="99">
        <f t="shared" ref="BX111:BX112" si="268">P111-BT111-BU111-BV111-BW111</f>
        <v>31000</v>
      </c>
      <c r="BY111" s="2438">
        <v>1</v>
      </c>
      <c r="BZ111" s="1263">
        <f t="shared" ref="BZ111:CH111" si="269">BY111</f>
        <v>1</v>
      </c>
      <c r="CA111" s="1263">
        <f t="shared" si="269"/>
        <v>1</v>
      </c>
      <c r="CB111" s="1263">
        <f t="shared" si="269"/>
        <v>1</v>
      </c>
      <c r="CC111" s="1263">
        <f t="shared" si="269"/>
        <v>1</v>
      </c>
      <c r="CD111" s="1263">
        <f t="shared" si="269"/>
        <v>1</v>
      </c>
      <c r="CE111" s="1263">
        <f t="shared" si="269"/>
        <v>1</v>
      </c>
      <c r="CF111" s="1263">
        <f t="shared" si="269"/>
        <v>1</v>
      </c>
      <c r="CG111" s="1263">
        <f t="shared" si="269"/>
        <v>1</v>
      </c>
      <c r="CH111" s="1263">
        <f t="shared" si="269"/>
        <v>1</v>
      </c>
      <c r="CI111" s="1263">
        <f>CH111</f>
        <v>1</v>
      </c>
      <c r="CJ111" s="1263">
        <f>CI111</f>
        <v>1</v>
      </c>
      <c r="CK111" s="1263"/>
      <c r="CL111" s="1920">
        <f t="shared" ref="CL111:CW112" si="270">ROUND(BY111*E111,-3)</f>
        <v>0</v>
      </c>
      <c r="CM111" s="78">
        <f t="shared" si="270"/>
        <v>21000</v>
      </c>
      <c r="CN111" s="78">
        <f t="shared" si="270"/>
        <v>22000</v>
      </c>
      <c r="CO111" s="78">
        <f t="shared" si="270"/>
        <v>23000</v>
      </c>
      <c r="CP111" s="78">
        <f t="shared" si="270"/>
        <v>24000</v>
      </c>
      <c r="CQ111" s="78">
        <f t="shared" si="270"/>
        <v>25000</v>
      </c>
      <c r="CR111" s="78">
        <f t="shared" si="270"/>
        <v>26000</v>
      </c>
      <c r="CS111" s="78">
        <f t="shared" si="270"/>
        <v>27000</v>
      </c>
      <c r="CT111" s="78">
        <f t="shared" si="270"/>
        <v>28000</v>
      </c>
      <c r="CU111" s="78">
        <f t="shared" si="270"/>
        <v>29000</v>
      </c>
      <c r="CV111" s="78">
        <f t="shared" si="270"/>
        <v>30000</v>
      </c>
      <c r="CW111" s="131">
        <f t="shared" si="270"/>
        <v>31000</v>
      </c>
    </row>
    <row r="112" spans="1:101" x14ac:dyDescent="0.2">
      <c r="A112" s="413" t="s">
        <v>2668</v>
      </c>
      <c r="B112" s="2368" t="s">
        <v>1308</v>
      </c>
      <c r="C112" s="2334"/>
      <c r="D112" s="2396" t="s">
        <v>5164</v>
      </c>
      <c r="E112" s="186">
        <v>302700</v>
      </c>
      <c r="F112" s="33">
        <f>417000+16000+115200+35600-80000-59000-21000-15000+55000-36000-21400</f>
        <v>406400</v>
      </c>
      <c r="G112" s="33">
        <v>434000</v>
      </c>
      <c r="H112" s="33">
        <f>ROUND((G112*Assumptions!I$6+G112),-3)</f>
        <v>451000</v>
      </c>
      <c r="I112" s="33">
        <f>ROUND((H112*Assumptions!J$6+H112),-3)</f>
        <v>469000</v>
      </c>
      <c r="J112" s="76">
        <f>ROUND((I112*Assumptions!K$6+I112),-3)</f>
        <v>481000</v>
      </c>
      <c r="K112" s="33">
        <f>ROUND((J112*Assumptions!L$6+J112),-3)</f>
        <v>493000</v>
      </c>
      <c r="L112" s="33">
        <f>ROUND((K112*Assumptions!M$6+K112),-3)</f>
        <v>505000</v>
      </c>
      <c r="M112" s="142">
        <f>ROUND((L112*Assumptions!N$6+L112),-3)</f>
        <v>518000</v>
      </c>
      <c r="N112" s="33">
        <f>ROUND((M112*Assumptions!O$6+M112),-3)</f>
        <v>531000</v>
      </c>
      <c r="O112" s="33">
        <f>ROUND((N112*Assumptions!P$6+N112),-3)</f>
        <v>544000</v>
      </c>
      <c r="P112" s="102">
        <f>ROUND((O112*Assumptions!Q$6+O112),-3)</f>
        <v>558000</v>
      </c>
      <c r="Q112" s="142"/>
      <c r="R112" s="33"/>
      <c r="S112" s="33"/>
      <c r="T112" s="33">
        <v>221400</v>
      </c>
      <c r="U112" s="102">
        <f>E112-Q112-R112-S112-T112</f>
        <v>81300</v>
      </c>
      <c r="V112" s="186"/>
      <c r="W112" s="33"/>
      <c r="X112" s="99"/>
      <c r="Y112" s="33">
        <f>16000+115200+35600+55000</f>
        <v>221800</v>
      </c>
      <c r="Z112" s="102">
        <f>F112-V112-W112-X112-Y112</f>
        <v>184600</v>
      </c>
      <c r="AA112" s="142"/>
      <c r="AB112" s="33"/>
      <c r="AC112" s="33"/>
      <c r="AD112" s="33"/>
      <c r="AE112" s="102">
        <f>G112-AA112-AB112-AC112-AD112</f>
        <v>434000</v>
      </c>
      <c r="AF112" s="142"/>
      <c r="AG112" s="33"/>
      <c r="AH112" s="33"/>
      <c r="AI112" s="33"/>
      <c r="AJ112" s="102">
        <f>H112-AF112-AG112-AH112-AI112</f>
        <v>451000</v>
      </c>
      <c r="AK112" s="142"/>
      <c r="AL112" s="33"/>
      <c r="AM112" s="33"/>
      <c r="AN112" s="33"/>
      <c r="AO112" s="114">
        <f>I112-AK112-AL112-AM112-AN112</f>
        <v>469000</v>
      </c>
      <c r="AP112" s="142"/>
      <c r="AQ112" s="33"/>
      <c r="AR112" s="33"/>
      <c r="AS112" s="33"/>
      <c r="AT112" s="102">
        <f>J112-AP112-AQ112-AR112-AS112</f>
        <v>481000</v>
      </c>
      <c r="AV112" s="33"/>
      <c r="AW112" s="33"/>
      <c r="AX112" s="33"/>
      <c r="AY112" s="102">
        <f>K112-AU112-AV112-AW112-AX112</f>
        <v>493000</v>
      </c>
      <c r="AZ112" s="142"/>
      <c r="BA112" s="33"/>
      <c r="BB112" s="33"/>
      <c r="BC112" s="33"/>
      <c r="BD112" s="102">
        <f>L112-AZ112-BA112-BB112-BC112</f>
        <v>505000</v>
      </c>
      <c r="BE112" s="142"/>
      <c r="BF112" s="33"/>
      <c r="BG112" s="33"/>
      <c r="BH112" s="33"/>
      <c r="BI112" s="102">
        <f>M112-BE112-BF112-BG112-BH112</f>
        <v>518000</v>
      </c>
      <c r="BJ112" s="142"/>
      <c r="BK112" s="33"/>
      <c r="BL112" s="33"/>
      <c r="BM112" s="33"/>
      <c r="BN112" s="102">
        <f>N112-BJ112-BK112-BL112-BM112</f>
        <v>531000</v>
      </c>
      <c r="BO112" s="142"/>
      <c r="BP112" s="33"/>
      <c r="BQ112" s="33"/>
      <c r="BR112" s="33"/>
      <c r="BS112" s="102">
        <f>O112-BO112-BP112-BQ112-BR112</f>
        <v>544000</v>
      </c>
      <c r="BT112" s="142"/>
      <c r="BU112" s="33"/>
      <c r="BV112" s="33"/>
      <c r="BW112" s="33"/>
      <c r="BX112" s="99">
        <f t="shared" si="268"/>
        <v>558000</v>
      </c>
      <c r="BY112" s="2438">
        <v>1</v>
      </c>
      <c r="BZ112" s="1263">
        <f t="shared" ref="BZ112:CH112" si="271">BY112</f>
        <v>1</v>
      </c>
      <c r="CA112" s="1263">
        <f t="shared" si="271"/>
        <v>1</v>
      </c>
      <c r="CB112" s="1263">
        <f t="shared" si="271"/>
        <v>1</v>
      </c>
      <c r="CC112" s="1263">
        <f t="shared" si="271"/>
        <v>1</v>
      </c>
      <c r="CD112" s="1263">
        <f t="shared" si="271"/>
        <v>1</v>
      </c>
      <c r="CE112" s="1263">
        <f t="shared" si="271"/>
        <v>1</v>
      </c>
      <c r="CF112" s="1263">
        <f t="shared" si="271"/>
        <v>1</v>
      </c>
      <c r="CG112" s="1263">
        <f t="shared" si="271"/>
        <v>1</v>
      </c>
      <c r="CH112" s="1263">
        <f t="shared" si="271"/>
        <v>1</v>
      </c>
      <c r="CI112" s="1263">
        <f>CH112</f>
        <v>1</v>
      </c>
      <c r="CJ112" s="1263">
        <f>CI112</f>
        <v>1</v>
      </c>
      <c r="CK112" s="1263"/>
      <c r="CL112" s="1920">
        <f t="shared" si="270"/>
        <v>303000</v>
      </c>
      <c r="CM112" s="78">
        <f t="shared" si="270"/>
        <v>406000</v>
      </c>
      <c r="CN112" s="78">
        <f t="shared" si="270"/>
        <v>434000</v>
      </c>
      <c r="CO112" s="78">
        <f t="shared" si="270"/>
        <v>451000</v>
      </c>
      <c r="CP112" s="78">
        <f t="shared" si="270"/>
        <v>469000</v>
      </c>
      <c r="CQ112" s="78">
        <f t="shared" si="270"/>
        <v>481000</v>
      </c>
      <c r="CR112" s="78">
        <f t="shared" si="270"/>
        <v>493000</v>
      </c>
      <c r="CS112" s="78">
        <f t="shared" si="270"/>
        <v>505000</v>
      </c>
      <c r="CT112" s="78">
        <f t="shared" si="270"/>
        <v>518000</v>
      </c>
      <c r="CU112" s="78">
        <f t="shared" si="270"/>
        <v>531000</v>
      </c>
      <c r="CV112" s="78">
        <f t="shared" si="270"/>
        <v>544000</v>
      </c>
      <c r="CW112" s="131">
        <f t="shared" si="270"/>
        <v>558000</v>
      </c>
    </row>
    <row r="113" spans="1:101" x14ac:dyDescent="0.2">
      <c r="A113" s="413"/>
      <c r="B113" s="2208"/>
      <c r="C113" s="2334"/>
      <c r="D113" s="2330"/>
      <c r="E113" s="186"/>
      <c r="F113" s="33"/>
      <c r="G113" s="33"/>
      <c r="H113" s="33"/>
      <c r="I113" s="33"/>
      <c r="J113" s="99"/>
      <c r="K113" s="33"/>
      <c r="L113" s="33"/>
      <c r="M113" s="142"/>
      <c r="N113" s="33"/>
      <c r="O113" s="33"/>
      <c r="P113" s="102"/>
      <c r="Q113" s="142"/>
      <c r="R113" s="33"/>
      <c r="S113" s="33"/>
      <c r="T113" s="33"/>
      <c r="U113" s="102"/>
      <c r="V113" s="186"/>
      <c r="W113" s="33"/>
      <c r="X113" s="99"/>
      <c r="Y113" s="33"/>
      <c r="Z113" s="102"/>
      <c r="AA113" s="142"/>
      <c r="AB113" s="33"/>
      <c r="AC113" s="33"/>
      <c r="AD113" s="33"/>
      <c r="AE113" s="102"/>
      <c r="AF113" s="142"/>
      <c r="AG113" s="33"/>
      <c r="AH113" s="33"/>
      <c r="AI113" s="33"/>
      <c r="AJ113" s="102"/>
      <c r="AK113" s="142"/>
      <c r="AL113" s="33"/>
      <c r="AM113" s="33"/>
      <c r="AN113" s="33"/>
      <c r="AO113" s="114"/>
      <c r="AP113" s="142"/>
      <c r="AQ113" s="33"/>
      <c r="AR113" s="33"/>
      <c r="AS113" s="33"/>
      <c r="AT113" s="102"/>
      <c r="AV113" s="33"/>
      <c r="AW113" s="33"/>
      <c r="AX113" s="33"/>
      <c r="AY113" s="102"/>
      <c r="AZ113" s="142"/>
      <c r="BA113" s="33"/>
      <c r="BB113" s="33"/>
      <c r="BC113" s="33"/>
      <c r="BD113" s="102"/>
      <c r="BE113" s="142"/>
      <c r="BF113" s="33"/>
      <c r="BG113" s="33"/>
      <c r="BH113" s="33"/>
      <c r="BI113" s="102"/>
      <c r="BJ113" s="142"/>
      <c r="BK113" s="33"/>
      <c r="BL113" s="33"/>
      <c r="BM113" s="33"/>
      <c r="BN113" s="102"/>
      <c r="BO113" s="142"/>
      <c r="BP113" s="33"/>
      <c r="BQ113" s="33"/>
      <c r="BR113" s="33"/>
      <c r="BS113" s="102"/>
      <c r="BT113" s="142"/>
      <c r="BU113" s="33"/>
      <c r="BV113" s="33"/>
      <c r="BW113" s="33"/>
      <c r="BY113" s="2437"/>
      <c r="BZ113" s="740"/>
      <c r="CA113" s="740"/>
      <c r="CB113" s="740"/>
      <c r="CC113" s="740"/>
      <c r="CD113" s="740"/>
      <c r="CE113" s="740"/>
      <c r="CF113" s="740"/>
      <c r="CG113" s="740"/>
      <c r="CH113" s="740"/>
      <c r="CI113" s="740"/>
      <c r="CJ113" s="740"/>
      <c r="CK113" s="740"/>
      <c r="CL113" s="502"/>
      <c r="CM113" s="99"/>
      <c r="CN113" s="99"/>
      <c r="CO113" s="99"/>
      <c r="CP113" s="99"/>
      <c r="CQ113" s="99"/>
      <c r="CR113" s="99"/>
      <c r="CS113" s="99"/>
      <c r="CT113" s="99"/>
      <c r="CU113" s="99"/>
      <c r="CV113" s="99"/>
      <c r="CW113" s="114"/>
    </row>
    <row r="114" spans="1:101" x14ac:dyDescent="0.2">
      <c r="A114" s="410" t="s">
        <v>728</v>
      </c>
      <c r="B114" s="2360"/>
      <c r="C114" s="2335"/>
      <c r="D114" s="2330"/>
      <c r="E114" s="186"/>
      <c r="F114" s="33"/>
      <c r="G114" s="33"/>
      <c r="H114" s="33"/>
      <c r="I114" s="33"/>
      <c r="J114" s="99"/>
      <c r="K114" s="33"/>
      <c r="L114" s="33"/>
      <c r="M114" s="142"/>
      <c r="N114" s="33"/>
      <c r="O114" s="33"/>
      <c r="P114" s="102"/>
      <c r="Q114" s="142"/>
      <c r="R114" s="33"/>
      <c r="S114" s="33"/>
      <c r="T114" s="33"/>
      <c r="U114" s="102"/>
      <c r="V114" s="186"/>
      <c r="W114" s="33"/>
      <c r="X114" s="99"/>
      <c r="Y114" s="33"/>
      <c r="Z114" s="102"/>
      <c r="AA114" s="142"/>
      <c r="AB114" s="33"/>
      <c r="AC114" s="33"/>
      <c r="AD114" s="33"/>
      <c r="AE114" s="102"/>
      <c r="AF114" s="142"/>
      <c r="AG114" s="33"/>
      <c r="AH114" s="33"/>
      <c r="AI114" s="33"/>
      <c r="AJ114" s="102"/>
      <c r="AK114" s="142"/>
      <c r="AL114" s="33"/>
      <c r="AM114" s="33"/>
      <c r="AN114" s="33"/>
      <c r="AO114" s="114"/>
      <c r="AP114" s="142"/>
      <c r="AQ114" s="33"/>
      <c r="AR114" s="33"/>
      <c r="AS114" s="33"/>
      <c r="AT114" s="102"/>
      <c r="AV114" s="33"/>
      <c r="AW114" s="33"/>
      <c r="AX114" s="33"/>
      <c r="AY114" s="102"/>
      <c r="AZ114" s="142"/>
      <c r="BA114" s="33"/>
      <c r="BB114" s="33"/>
      <c r="BC114" s="33"/>
      <c r="BD114" s="102"/>
      <c r="BE114" s="142"/>
      <c r="BF114" s="33"/>
      <c r="BG114" s="33"/>
      <c r="BH114" s="33"/>
      <c r="BI114" s="102"/>
      <c r="BJ114" s="142"/>
      <c r="BK114" s="33"/>
      <c r="BL114" s="33"/>
      <c r="BM114" s="33"/>
      <c r="BN114" s="102"/>
      <c r="BO114" s="142"/>
      <c r="BP114" s="33"/>
      <c r="BQ114" s="33"/>
      <c r="BR114" s="33"/>
      <c r="BS114" s="102"/>
      <c r="BT114" s="142"/>
      <c r="BU114" s="33"/>
      <c r="BV114" s="33"/>
      <c r="BW114" s="33"/>
      <c r="BY114" s="2437"/>
      <c r="BZ114" s="740"/>
      <c r="CA114" s="740"/>
      <c r="CB114" s="740"/>
      <c r="CC114" s="740"/>
      <c r="CD114" s="740"/>
      <c r="CE114" s="740"/>
      <c r="CF114" s="740"/>
      <c r="CG114" s="740"/>
      <c r="CH114" s="740"/>
      <c r="CI114" s="740"/>
      <c r="CJ114" s="740"/>
      <c r="CK114" s="740"/>
      <c r="CL114" s="502"/>
      <c r="CM114" s="99"/>
      <c r="CN114" s="99"/>
      <c r="CO114" s="99"/>
      <c r="CP114" s="99"/>
      <c r="CQ114" s="99"/>
      <c r="CR114" s="99"/>
      <c r="CS114" s="99"/>
      <c r="CT114" s="99"/>
      <c r="CU114" s="99"/>
      <c r="CV114" s="99"/>
      <c r="CW114" s="114"/>
    </row>
    <row r="115" spans="1:101" x14ac:dyDescent="0.2">
      <c r="A115" s="869" t="s">
        <v>6084</v>
      </c>
      <c r="B115" s="2356" t="s">
        <v>1308</v>
      </c>
      <c r="C115" s="2334"/>
      <c r="D115" s="2396" t="s">
        <v>5164</v>
      </c>
      <c r="E115" s="502">
        <f>8502700-1906200-500</f>
        <v>6596000</v>
      </c>
      <c r="F115" s="76">
        <f>2134100+'Cap Inc'!E36+'Cap Inc'!E60+'Cap Inc'!E40+'Cap Inc'!E59+850900+268600+21600+26500+211900+21500+20500+33500-35000+'Cap Inc'!E41+14000+34000+80000-40000-12000+27000+2000+23000</f>
        <v>8570800</v>
      </c>
      <c r="G115" s="33">
        <f>2410200-3100-2000-102000-173000+'Cap Inc'!F36+104000+'Cap Inc'!F60+3000-200000-104000</f>
        <v>3134100</v>
      </c>
      <c r="H115" s="132">
        <f>2334100+172200+1700-108000-174000+'Cap Inc'!G36+108000+3000-200000+3000-7000-108000</f>
        <v>2199000</v>
      </c>
      <c r="I115" s="76">
        <f>2427000-52000+175000-1000-111000-174000+'Cap Inc'!H36+112000+3000-200000-7000-112000</f>
        <v>2234000</v>
      </c>
      <c r="J115" s="77">
        <f>2758000-200000-9000+2000</f>
        <v>2551000</v>
      </c>
      <c r="K115" s="33">
        <f>1970000-200000-12000+4000+6000</f>
        <v>1768000</v>
      </c>
      <c r="L115" s="33">
        <f>2318000-200000-15000+7000+10000</f>
        <v>2120000</v>
      </c>
      <c r="M115" s="142">
        <f>2484000-200000-18000+10000+14000</f>
        <v>2290000</v>
      </c>
      <c r="N115" s="33">
        <f>2756000-200000+31000+3000+13000+18000</f>
        <v>2621000</v>
      </c>
      <c r="O115" s="33">
        <f>2861000-200000+678000+3000+17000+22000</f>
        <v>3381000</v>
      </c>
      <c r="P115" s="830">
        <f>2740000+782000+3000+20000+28000</f>
        <v>3573000</v>
      </c>
      <c r="Q115" s="142">
        <f>'Cap Inc'!B36+200000+889000+1004000+200000+172761+269000+39</f>
        <v>2937100</v>
      </c>
      <c r="R115" s="33">
        <f>84000+26000+80000+50000</f>
        <v>240000</v>
      </c>
      <c r="S115" s="33"/>
      <c r="T115" s="33">
        <f>24300+330800+286000+865000+67100+220000+30000-295000-297000+'Res-Gen'!C99+30000+51000+3000+15000+14800</f>
        <v>1445000</v>
      </c>
      <c r="U115" s="102">
        <f t="shared" ref="U115:U128" si="272">E115-Q115-R115-S115-T115</f>
        <v>1973900</v>
      </c>
      <c r="V115" s="186">
        <f>'Cap Inc'!E36+'Cap Inc'!E60+'Cap Inc'!E59+'Cap Inc'!E40+'Cap Inc'!E41</f>
        <v>4888700</v>
      </c>
      <c r="W115" s="33">
        <v>33500</v>
      </c>
      <c r="X115" s="99"/>
      <c r="Y115" s="33">
        <f>850900+268600+21600+26500+211900+21500+20500-35000+14000+34000+80000</f>
        <v>1514500</v>
      </c>
      <c r="Z115" s="102">
        <f t="shared" ref="Z115:Z134" si="273">F115-V115-W115-X115-Y115</f>
        <v>2134100</v>
      </c>
      <c r="AA115" s="142">
        <f>'Cap Inc'!F36+'Cap Inc'!F60</f>
        <v>1201000</v>
      </c>
      <c r="AB115" s="33"/>
      <c r="AC115" s="33"/>
      <c r="AD115" s="33"/>
      <c r="AE115" s="102">
        <f t="shared" ref="AE115:AE134" si="274">G115-AA115-AB115-AC115-AD115</f>
        <v>1933100</v>
      </c>
      <c r="AF115" s="142">
        <f>'Cap Inc'!G36</f>
        <v>174000</v>
      </c>
      <c r="AG115" s="33"/>
      <c r="AH115" s="33"/>
      <c r="AI115" s="33"/>
      <c r="AJ115" s="102">
        <f t="shared" ref="AJ115:AJ134" si="275">H115-AF115-AG115-AH115-AI115</f>
        <v>2025000</v>
      </c>
      <c r="AK115" s="142">
        <f>'Cap Inc'!H36</f>
        <v>174000</v>
      </c>
      <c r="AL115" s="33"/>
      <c r="AM115" s="33"/>
      <c r="AN115" s="33"/>
      <c r="AO115" s="114">
        <f t="shared" ref="AO115:AO134" si="276">I115-AK115-AL115-AM115-AN115</f>
        <v>2060000</v>
      </c>
      <c r="AP115" s="142"/>
      <c r="AQ115" s="33"/>
      <c r="AR115" s="33"/>
      <c r="AS115" s="33"/>
      <c r="AT115" s="102">
        <f t="shared" ref="AT115:AT134" si="277">J115-AP115-AQ115-AR115-AS115</f>
        <v>2551000</v>
      </c>
      <c r="AV115" s="33"/>
      <c r="AW115" s="33"/>
      <c r="AX115" s="33"/>
      <c r="AY115" s="102">
        <f t="shared" ref="AY115:AY134" si="278">K115-AU115-AV115-AW115-AX115</f>
        <v>1768000</v>
      </c>
      <c r="AZ115" s="142"/>
      <c r="BA115" s="33"/>
      <c r="BB115" s="33"/>
      <c r="BC115" s="33"/>
      <c r="BD115" s="102">
        <f t="shared" ref="BD115:BD134" si="279">L115-AZ115-BA115-BB115-BC115</f>
        <v>2120000</v>
      </c>
      <c r="BE115" s="142"/>
      <c r="BF115" s="33"/>
      <c r="BG115" s="33"/>
      <c r="BH115" s="33"/>
      <c r="BI115" s="102">
        <f t="shared" ref="BI115:BI134" si="280">M115-BE115-BF115-BG115-BH115</f>
        <v>2290000</v>
      </c>
      <c r="BJ115" s="142"/>
      <c r="BK115" s="33"/>
      <c r="BL115" s="33"/>
      <c r="BM115" s="33"/>
      <c r="BN115" s="102">
        <f t="shared" ref="BN115:BN134" si="281">N115-BJ115-BK115-BL115-BM115</f>
        <v>2621000</v>
      </c>
      <c r="BO115" s="142"/>
      <c r="BP115" s="33"/>
      <c r="BQ115" s="33"/>
      <c r="BR115" s="33"/>
      <c r="BS115" s="102">
        <f t="shared" ref="BS115:BS134" si="282">O115-BO115-BP115-BQ115-BR115</f>
        <v>3381000</v>
      </c>
      <c r="BT115" s="142"/>
      <c r="BU115" s="33"/>
      <c r="BV115" s="33"/>
      <c r="BW115" s="33"/>
      <c r="BX115" s="99">
        <f t="shared" ref="BX115:BX134" si="283">P115-BT115-BU115-BV115-BW115</f>
        <v>3573000</v>
      </c>
      <c r="BY115" s="2438">
        <v>1</v>
      </c>
      <c r="BZ115" s="1263">
        <v>1</v>
      </c>
      <c r="CA115" s="1263">
        <f t="shared" ref="CA115:CH115" si="284">BZ115</f>
        <v>1</v>
      </c>
      <c r="CB115" s="1263">
        <f t="shared" si="284"/>
        <v>1</v>
      </c>
      <c r="CC115" s="1263">
        <f t="shared" si="284"/>
        <v>1</v>
      </c>
      <c r="CD115" s="1263">
        <f t="shared" si="284"/>
        <v>1</v>
      </c>
      <c r="CE115" s="1263">
        <f t="shared" si="284"/>
        <v>1</v>
      </c>
      <c r="CF115" s="1263">
        <f t="shared" si="284"/>
        <v>1</v>
      </c>
      <c r="CG115" s="1263">
        <f t="shared" si="284"/>
        <v>1</v>
      </c>
      <c r="CH115" s="1263">
        <f t="shared" si="284"/>
        <v>1</v>
      </c>
      <c r="CI115" s="1263">
        <f t="shared" ref="CI115:CJ127" si="285">CH115</f>
        <v>1</v>
      </c>
      <c r="CJ115" s="1263">
        <f t="shared" si="285"/>
        <v>1</v>
      </c>
      <c r="CK115" s="1263"/>
      <c r="CL115" s="1920">
        <f t="shared" ref="CL115:CL134" si="286">ROUND(BY115*E115,-3)</f>
        <v>6596000</v>
      </c>
      <c r="CM115" s="78">
        <f t="shared" ref="CM115:CM134" si="287">ROUND(BZ115*F115,-3)</f>
        <v>8571000</v>
      </c>
      <c r="CN115" s="78">
        <f t="shared" ref="CN115:CN134" si="288">ROUND(CA115*G115,-3)</f>
        <v>3134000</v>
      </c>
      <c r="CO115" s="78">
        <f t="shared" ref="CO115:CO134" si="289">ROUND(CB115*H115,-3)</f>
        <v>2199000</v>
      </c>
      <c r="CP115" s="78">
        <f t="shared" ref="CP115:CP134" si="290">ROUND(CC115*I115,-3)</f>
        <v>2234000</v>
      </c>
      <c r="CQ115" s="78">
        <f t="shared" ref="CQ115:CQ134" si="291">ROUND(CD115*J115,-3)</f>
        <v>2551000</v>
      </c>
      <c r="CR115" s="78">
        <f t="shared" ref="CR115:CR134" si="292">ROUND(CE115*K115,-3)</f>
        <v>1768000</v>
      </c>
      <c r="CS115" s="78">
        <f t="shared" ref="CS115:CS134" si="293">ROUND(CF115*L115,-3)</f>
        <v>2120000</v>
      </c>
      <c r="CT115" s="78">
        <f t="shared" ref="CT115:CT134" si="294">ROUND(CG115*M115,-3)</f>
        <v>2290000</v>
      </c>
      <c r="CU115" s="78">
        <f t="shared" ref="CU115:CU134" si="295">ROUND(CH115*N115,-3)</f>
        <v>2621000</v>
      </c>
      <c r="CV115" s="78">
        <f t="shared" ref="CV115:CV134" si="296">ROUND(CI115*O115,-3)</f>
        <v>3381000</v>
      </c>
      <c r="CW115" s="131">
        <f t="shared" ref="CW115:CW134" si="297">ROUND(CJ115*P115,-3)</f>
        <v>3573000</v>
      </c>
    </row>
    <row r="116" spans="1:101" x14ac:dyDescent="0.2">
      <c r="A116" s="869" t="s">
        <v>6891</v>
      </c>
      <c r="B116" s="2356" t="s">
        <v>1308</v>
      </c>
      <c r="C116" s="2334"/>
      <c r="D116" s="2396" t="s">
        <v>5164</v>
      </c>
      <c r="E116" s="502"/>
      <c r="F116" s="76"/>
      <c r="G116" s="33">
        <v>7000000</v>
      </c>
      <c r="H116" s="132"/>
      <c r="I116" s="76"/>
      <c r="J116" s="76"/>
      <c r="K116" s="33"/>
      <c r="L116" s="33"/>
      <c r="M116" s="142"/>
      <c r="N116" s="33"/>
      <c r="O116" s="33"/>
      <c r="P116" s="102"/>
      <c r="Q116" s="142"/>
      <c r="R116" s="33"/>
      <c r="S116" s="33"/>
      <c r="T116" s="33"/>
      <c r="U116" s="102">
        <f t="shared" ref="U116" si="298">E116-Q116-R116-S116-T116</f>
        <v>0</v>
      </c>
      <c r="V116" s="186"/>
      <c r="W116" s="33"/>
      <c r="X116" s="99"/>
      <c r="Y116" s="33"/>
      <c r="Z116" s="102">
        <f t="shared" si="273"/>
        <v>0</v>
      </c>
      <c r="AA116" s="142">
        <f>'Cap Inc'!F42</f>
        <v>3000000</v>
      </c>
      <c r="AB116" s="33"/>
      <c r="AC116" s="33"/>
      <c r="AD116" s="33">
        <f>'Res-Gen'!I99</f>
        <v>4000000</v>
      </c>
      <c r="AE116" s="102">
        <f t="shared" si="274"/>
        <v>0</v>
      </c>
      <c r="AF116" s="142">
        <f>'Cap Inc'!G37</f>
        <v>0</v>
      </c>
      <c r="AG116" s="33"/>
      <c r="AH116" s="33"/>
      <c r="AI116" s="33"/>
      <c r="AJ116" s="102">
        <f t="shared" si="275"/>
        <v>0</v>
      </c>
      <c r="AK116" s="142">
        <f>'Cap Inc'!H37</f>
        <v>0</v>
      </c>
      <c r="AL116" s="33"/>
      <c r="AM116" s="33"/>
      <c r="AN116" s="33"/>
      <c r="AO116" s="114">
        <f t="shared" si="276"/>
        <v>0</v>
      </c>
      <c r="AP116" s="142"/>
      <c r="AQ116" s="33"/>
      <c r="AR116" s="33"/>
      <c r="AS116" s="33"/>
      <c r="AT116" s="102">
        <f t="shared" si="277"/>
        <v>0</v>
      </c>
      <c r="AV116" s="33"/>
      <c r="AW116" s="33"/>
      <c r="AX116" s="33"/>
      <c r="AY116" s="102">
        <f t="shared" si="278"/>
        <v>0</v>
      </c>
      <c r="AZ116" s="142"/>
      <c r="BA116" s="33"/>
      <c r="BB116" s="33"/>
      <c r="BC116" s="33"/>
      <c r="BD116" s="102">
        <f t="shared" si="279"/>
        <v>0</v>
      </c>
      <c r="BE116" s="142"/>
      <c r="BF116" s="33"/>
      <c r="BG116" s="33"/>
      <c r="BH116" s="33"/>
      <c r="BI116" s="102">
        <f t="shared" si="280"/>
        <v>0</v>
      </c>
      <c r="BJ116" s="142"/>
      <c r="BK116" s="33"/>
      <c r="BL116" s="33"/>
      <c r="BM116" s="33"/>
      <c r="BN116" s="102">
        <f t="shared" si="281"/>
        <v>0</v>
      </c>
      <c r="BO116" s="142"/>
      <c r="BP116" s="33"/>
      <c r="BQ116" s="33"/>
      <c r="BR116" s="33"/>
      <c r="BS116" s="102">
        <f t="shared" si="282"/>
        <v>0</v>
      </c>
      <c r="BT116" s="142"/>
      <c r="BU116" s="33"/>
      <c r="BV116" s="33"/>
      <c r="BW116" s="33"/>
      <c r="BX116" s="99">
        <f t="shared" si="283"/>
        <v>0</v>
      </c>
      <c r="BY116" s="2438">
        <v>0</v>
      </c>
      <c r="BZ116" s="1263">
        <f>BY116</f>
        <v>0</v>
      </c>
      <c r="CA116" s="1263">
        <f t="shared" ref="CA116" si="299">BZ116</f>
        <v>0</v>
      </c>
      <c r="CB116" s="1263">
        <f t="shared" ref="CB116" si="300">CA116</f>
        <v>0</v>
      </c>
      <c r="CC116" s="1263">
        <f t="shared" ref="CC116" si="301">CB116</f>
        <v>0</v>
      </c>
      <c r="CD116" s="1263">
        <f t="shared" ref="CD116" si="302">CC116</f>
        <v>0</v>
      </c>
      <c r="CE116" s="1263">
        <f t="shared" ref="CE116" si="303">CD116</f>
        <v>0</v>
      </c>
      <c r="CF116" s="1263">
        <f t="shared" ref="CF116" si="304">CE116</f>
        <v>0</v>
      </c>
      <c r="CG116" s="1263">
        <f t="shared" ref="CG116" si="305">CF116</f>
        <v>0</v>
      </c>
      <c r="CH116" s="1263">
        <f t="shared" ref="CH116" si="306">CG116</f>
        <v>0</v>
      </c>
      <c r="CI116" s="1263">
        <f t="shared" si="285"/>
        <v>0</v>
      </c>
      <c r="CJ116" s="1263">
        <f t="shared" si="285"/>
        <v>0</v>
      </c>
      <c r="CK116" s="1263"/>
      <c r="CL116" s="1920">
        <f t="shared" si="286"/>
        <v>0</v>
      </c>
      <c r="CM116" s="78">
        <f t="shared" si="287"/>
        <v>0</v>
      </c>
      <c r="CN116" s="78">
        <f t="shared" si="288"/>
        <v>0</v>
      </c>
      <c r="CO116" s="78">
        <f t="shared" si="289"/>
        <v>0</v>
      </c>
      <c r="CP116" s="78">
        <f t="shared" si="290"/>
        <v>0</v>
      </c>
      <c r="CQ116" s="78">
        <f t="shared" si="291"/>
        <v>0</v>
      </c>
      <c r="CR116" s="78">
        <f t="shared" si="292"/>
        <v>0</v>
      </c>
      <c r="CS116" s="78">
        <f t="shared" si="293"/>
        <v>0</v>
      </c>
      <c r="CT116" s="78">
        <f t="shared" si="294"/>
        <v>0</v>
      </c>
      <c r="CU116" s="78">
        <f t="shared" si="295"/>
        <v>0</v>
      </c>
      <c r="CV116" s="78">
        <f t="shared" si="296"/>
        <v>0</v>
      </c>
      <c r="CW116" s="131">
        <f t="shared" si="297"/>
        <v>0</v>
      </c>
    </row>
    <row r="117" spans="1:101" x14ac:dyDescent="0.2">
      <c r="A117" s="869" t="s">
        <v>5561</v>
      </c>
      <c r="B117" s="2356" t="s">
        <v>1308</v>
      </c>
      <c r="C117" s="2334"/>
      <c r="D117" s="2396" t="s">
        <v>5164</v>
      </c>
      <c r="E117" s="502"/>
      <c r="F117" s="76">
        <f>CIV!G1028</f>
        <v>2495000</v>
      </c>
      <c r="G117" s="33">
        <f>CIV!I1028</f>
        <v>935000</v>
      </c>
      <c r="H117" s="132">
        <f>CIV!J1028</f>
        <v>734000</v>
      </c>
      <c r="I117" s="76">
        <f>CIV!K1028</f>
        <v>634000</v>
      </c>
      <c r="J117" s="76">
        <f>CIV!L1028</f>
        <v>646700</v>
      </c>
      <c r="K117" s="33">
        <f>CIV!M1028</f>
        <v>659700</v>
      </c>
      <c r="L117" s="33">
        <f>CIV!N1028</f>
        <v>672900</v>
      </c>
      <c r="M117" s="142">
        <f>CIV!O1028</f>
        <v>686400</v>
      </c>
      <c r="N117" s="33">
        <f>CIV!P1028</f>
        <v>700200</v>
      </c>
      <c r="O117" s="33">
        <f>CIV!Q1028</f>
        <v>714300</v>
      </c>
      <c r="P117" s="102">
        <f>CIV!R1028</f>
        <v>728600</v>
      </c>
      <c r="Q117" s="142">
        <f>'Cap Inc'!B35+SUM('Cap Inc'!B49:B51)</f>
        <v>1706600</v>
      </c>
      <c r="R117" s="33"/>
      <c r="S117" s="33"/>
      <c r="T117" s="33"/>
      <c r="U117" s="102">
        <f t="shared" si="272"/>
        <v>-1706600</v>
      </c>
      <c r="V117" s="186">
        <f>CIV!G249</f>
        <v>2495000</v>
      </c>
      <c r="W117" s="33"/>
      <c r="X117" s="99"/>
      <c r="Y117" s="33"/>
      <c r="Z117" s="102">
        <f t="shared" si="273"/>
        <v>0</v>
      </c>
      <c r="AA117" s="142">
        <f>CIV!I249</f>
        <v>935000</v>
      </c>
      <c r="AB117" s="33"/>
      <c r="AC117" s="33"/>
      <c r="AD117" s="33"/>
      <c r="AE117" s="102">
        <f t="shared" si="274"/>
        <v>0</v>
      </c>
      <c r="AF117" s="142">
        <f>CIV!J249</f>
        <v>734000</v>
      </c>
      <c r="AG117" s="33"/>
      <c r="AH117" s="33"/>
      <c r="AI117" s="33"/>
      <c r="AJ117" s="102">
        <f t="shared" si="275"/>
        <v>0</v>
      </c>
      <c r="AK117" s="142">
        <f>CIV!K249</f>
        <v>634000</v>
      </c>
      <c r="AL117" s="33"/>
      <c r="AM117" s="33"/>
      <c r="AN117" s="33"/>
      <c r="AO117" s="114">
        <f t="shared" si="276"/>
        <v>0</v>
      </c>
      <c r="AP117" s="142">
        <f>CIV!L249</f>
        <v>646700</v>
      </c>
      <c r="AQ117" s="33"/>
      <c r="AR117" s="33"/>
      <c r="AS117" s="33"/>
      <c r="AT117" s="102">
        <f t="shared" si="277"/>
        <v>0</v>
      </c>
      <c r="AU117" s="142">
        <f>CIV!M249</f>
        <v>659700</v>
      </c>
      <c r="AV117" s="33"/>
      <c r="AW117" s="33"/>
      <c r="AX117" s="33"/>
      <c r="AY117" s="102">
        <f t="shared" si="278"/>
        <v>0</v>
      </c>
      <c r="AZ117" s="142">
        <f>CIV!N249</f>
        <v>672900</v>
      </c>
      <c r="BA117" s="33"/>
      <c r="BB117" s="33"/>
      <c r="BC117" s="33"/>
      <c r="BD117" s="102">
        <f t="shared" si="279"/>
        <v>0</v>
      </c>
      <c r="BE117" s="142">
        <f>CIV!O249</f>
        <v>686400</v>
      </c>
      <c r="BF117" s="33"/>
      <c r="BG117" s="33"/>
      <c r="BH117" s="33"/>
      <c r="BI117" s="102">
        <f t="shared" si="280"/>
        <v>0</v>
      </c>
      <c r="BJ117" s="142">
        <f>CIV!P249</f>
        <v>700200</v>
      </c>
      <c r="BK117" s="33"/>
      <c r="BL117" s="33"/>
      <c r="BM117" s="33"/>
      <c r="BN117" s="102">
        <f t="shared" si="281"/>
        <v>0</v>
      </c>
      <c r="BO117" s="142">
        <f>CIV!Q249</f>
        <v>714300</v>
      </c>
      <c r="BP117" s="33"/>
      <c r="BQ117" s="33"/>
      <c r="BR117" s="33"/>
      <c r="BS117" s="102">
        <f t="shared" si="282"/>
        <v>0</v>
      </c>
      <c r="BT117" s="142">
        <f>CIV!R249</f>
        <v>728600</v>
      </c>
      <c r="BU117" s="33"/>
      <c r="BV117" s="33"/>
      <c r="BW117" s="33"/>
      <c r="BX117" s="99">
        <f>P117-BT117-BU117-BV117-BW117</f>
        <v>0</v>
      </c>
      <c r="BY117" s="2438">
        <v>1</v>
      </c>
      <c r="BZ117" s="1263">
        <f t="shared" ref="BZ117" si="307">BY117</f>
        <v>1</v>
      </c>
      <c r="CA117" s="1263">
        <f t="shared" ref="CA117" si="308">BZ117</f>
        <v>1</v>
      </c>
      <c r="CB117" s="1263">
        <f t="shared" ref="CB117" si="309">CA117</f>
        <v>1</v>
      </c>
      <c r="CC117" s="1263">
        <f t="shared" ref="CC117" si="310">CB117</f>
        <v>1</v>
      </c>
      <c r="CD117" s="1263">
        <f t="shared" ref="CD117" si="311">CC117</f>
        <v>1</v>
      </c>
      <c r="CE117" s="1263">
        <f t="shared" ref="CE117" si="312">CD117</f>
        <v>1</v>
      </c>
      <c r="CF117" s="1263">
        <f t="shared" ref="CF117" si="313">CE117</f>
        <v>1</v>
      </c>
      <c r="CG117" s="1263">
        <f t="shared" ref="CG117" si="314">CF117</f>
        <v>1</v>
      </c>
      <c r="CH117" s="1263">
        <f t="shared" ref="CH117" si="315">CG117</f>
        <v>1</v>
      </c>
      <c r="CI117" s="1263">
        <f t="shared" si="285"/>
        <v>1</v>
      </c>
      <c r="CJ117" s="1263">
        <f t="shared" si="285"/>
        <v>1</v>
      </c>
      <c r="CK117" s="1263"/>
      <c r="CL117" s="1920">
        <f t="shared" si="286"/>
        <v>0</v>
      </c>
      <c r="CM117" s="78">
        <f t="shared" si="287"/>
        <v>2495000</v>
      </c>
      <c r="CN117" s="78">
        <f t="shared" si="288"/>
        <v>935000</v>
      </c>
      <c r="CO117" s="78">
        <f t="shared" si="289"/>
        <v>734000</v>
      </c>
      <c r="CP117" s="78">
        <f t="shared" si="290"/>
        <v>634000</v>
      </c>
      <c r="CQ117" s="78">
        <f t="shared" si="291"/>
        <v>647000</v>
      </c>
      <c r="CR117" s="78">
        <f t="shared" si="292"/>
        <v>660000</v>
      </c>
      <c r="CS117" s="78">
        <f t="shared" si="293"/>
        <v>673000</v>
      </c>
      <c r="CT117" s="78">
        <f t="shared" si="294"/>
        <v>686000</v>
      </c>
      <c r="CU117" s="78">
        <f t="shared" si="295"/>
        <v>700000</v>
      </c>
      <c r="CV117" s="78">
        <f t="shared" si="296"/>
        <v>714000</v>
      </c>
      <c r="CW117" s="131">
        <f t="shared" si="297"/>
        <v>729000</v>
      </c>
    </row>
    <row r="118" spans="1:101" x14ac:dyDescent="0.2">
      <c r="A118" s="869" t="s">
        <v>5562</v>
      </c>
      <c r="B118" s="2360"/>
      <c r="C118" s="2334"/>
      <c r="D118" s="2396" t="s">
        <v>5164</v>
      </c>
      <c r="E118" s="502"/>
      <c r="F118" s="76">
        <f>Assumptions!G42</f>
        <v>0</v>
      </c>
      <c r="G118" s="33">
        <f>Assumptions!H42</f>
        <v>0</v>
      </c>
      <c r="H118" s="33">
        <f>Assumptions!I42</f>
        <v>0</v>
      </c>
      <c r="I118" s="76">
        <f>Assumptions!J42</f>
        <v>0</v>
      </c>
      <c r="J118" s="76">
        <f>Assumptions!K42</f>
        <v>500000</v>
      </c>
      <c r="K118" s="33">
        <f>Assumptions!L42</f>
        <v>500000</v>
      </c>
      <c r="L118" s="33">
        <f>Assumptions!M42</f>
        <v>500000</v>
      </c>
      <c r="M118" s="142">
        <f>Assumptions!N42</f>
        <v>500000</v>
      </c>
      <c r="N118" s="33">
        <f>Assumptions!O42</f>
        <v>500000</v>
      </c>
      <c r="O118" s="33">
        <f>Assumptions!P42</f>
        <v>500000</v>
      </c>
      <c r="P118" s="102">
        <f>Assumptions!Q42</f>
        <v>500000</v>
      </c>
      <c r="Q118" s="142"/>
      <c r="R118" s="33"/>
      <c r="S118" s="33"/>
      <c r="T118" s="33">
        <f>E118</f>
        <v>0</v>
      </c>
      <c r="U118" s="102">
        <f t="shared" si="272"/>
        <v>0</v>
      </c>
      <c r="V118" s="186"/>
      <c r="W118" s="33"/>
      <c r="X118" s="99"/>
      <c r="Y118" s="33">
        <f>F118</f>
        <v>0</v>
      </c>
      <c r="Z118" s="102">
        <f t="shared" si="273"/>
        <v>0</v>
      </c>
      <c r="AA118" s="142"/>
      <c r="AB118" s="33"/>
      <c r="AC118" s="33"/>
      <c r="AD118" s="33">
        <f>G118</f>
        <v>0</v>
      </c>
      <c r="AE118" s="102">
        <f t="shared" si="274"/>
        <v>0</v>
      </c>
      <c r="AF118" s="142"/>
      <c r="AG118" s="33"/>
      <c r="AH118" s="33"/>
      <c r="AI118" s="33">
        <f>H118</f>
        <v>0</v>
      </c>
      <c r="AJ118" s="102">
        <f t="shared" si="275"/>
        <v>0</v>
      </c>
      <c r="AK118" s="142"/>
      <c r="AL118" s="33"/>
      <c r="AM118" s="33"/>
      <c r="AN118" s="33">
        <f>I118</f>
        <v>0</v>
      </c>
      <c r="AO118" s="114">
        <f t="shared" si="276"/>
        <v>0</v>
      </c>
      <c r="AP118" s="142"/>
      <c r="AQ118" s="33"/>
      <c r="AR118" s="33"/>
      <c r="AS118" s="33">
        <f>J118</f>
        <v>500000</v>
      </c>
      <c r="AT118" s="102">
        <f t="shared" si="277"/>
        <v>0</v>
      </c>
      <c r="AV118" s="33"/>
      <c r="AW118" s="33"/>
      <c r="AX118" s="33">
        <f>K118</f>
        <v>500000</v>
      </c>
      <c r="AY118" s="102">
        <f t="shared" si="278"/>
        <v>0</v>
      </c>
      <c r="AZ118" s="142"/>
      <c r="BA118" s="33"/>
      <c r="BB118" s="33"/>
      <c r="BC118" s="33">
        <f>L118</f>
        <v>500000</v>
      </c>
      <c r="BD118" s="102">
        <f t="shared" si="279"/>
        <v>0</v>
      </c>
      <c r="BE118" s="142"/>
      <c r="BF118" s="33"/>
      <c r="BG118" s="33"/>
      <c r="BH118" s="33">
        <f>M118</f>
        <v>500000</v>
      </c>
      <c r="BI118" s="102">
        <f t="shared" si="280"/>
        <v>0</v>
      </c>
      <c r="BJ118" s="142"/>
      <c r="BK118" s="33"/>
      <c r="BL118" s="33"/>
      <c r="BM118" s="33">
        <f>N118</f>
        <v>500000</v>
      </c>
      <c r="BN118" s="102">
        <f t="shared" si="281"/>
        <v>0</v>
      </c>
      <c r="BO118" s="142"/>
      <c r="BP118" s="33"/>
      <c r="BQ118" s="33"/>
      <c r="BR118" s="33">
        <f>O118</f>
        <v>500000</v>
      </c>
      <c r="BS118" s="102">
        <f t="shared" si="282"/>
        <v>0</v>
      </c>
      <c r="BT118" s="142"/>
      <c r="BU118" s="33"/>
      <c r="BV118" s="33"/>
      <c r="BW118" s="33">
        <f>P118</f>
        <v>500000</v>
      </c>
      <c r="BX118" s="99">
        <f t="shared" si="283"/>
        <v>0</v>
      </c>
      <c r="BY118" s="2438">
        <v>1</v>
      </c>
      <c r="BZ118" s="1263">
        <f t="shared" ref="BZ118" si="316">BY118</f>
        <v>1</v>
      </c>
      <c r="CA118" s="1263">
        <f t="shared" ref="CA118" si="317">BZ118</f>
        <v>1</v>
      </c>
      <c r="CB118" s="1263">
        <f t="shared" ref="CB118" si="318">CA118</f>
        <v>1</v>
      </c>
      <c r="CC118" s="1263">
        <f t="shared" ref="CC118" si="319">CB118</f>
        <v>1</v>
      </c>
      <c r="CD118" s="1263">
        <f t="shared" ref="CD118" si="320">CC118</f>
        <v>1</v>
      </c>
      <c r="CE118" s="1263">
        <f t="shared" ref="CE118" si="321">CD118</f>
        <v>1</v>
      </c>
      <c r="CF118" s="1263">
        <f t="shared" ref="CF118" si="322">CE118</f>
        <v>1</v>
      </c>
      <c r="CG118" s="1263">
        <f t="shared" ref="CG118:CH118" si="323">CF118</f>
        <v>1</v>
      </c>
      <c r="CH118" s="1263">
        <f t="shared" si="323"/>
        <v>1</v>
      </c>
      <c r="CI118" s="1263">
        <f t="shared" si="285"/>
        <v>1</v>
      </c>
      <c r="CJ118" s="1263">
        <f t="shared" si="285"/>
        <v>1</v>
      </c>
      <c r="CK118" s="1263"/>
      <c r="CL118" s="1920">
        <f t="shared" si="286"/>
        <v>0</v>
      </c>
      <c r="CM118" s="78">
        <f t="shared" si="287"/>
        <v>0</v>
      </c>
      <c r="CN118" s="78">
        <f t="shared" si="288"/>
        <v>0</v>
      </c>
      <c r="CO118" s="78">
        <f t="shared" si="289"/>
        <v>0</v>
      </c>
      <c r="CP118" s="78">
        <f t="shared" si="290"/>
        <v>0</v>
      </c>
      <c r="CQ118" s="78">
        <f t="shared" si="291"/>
        <v>500000</v>
      </c>
      <c r="CR118" s="78">
        <f t="shared" si="292"/>
        <v>500000</v>
      </c>
      <c r="CS118" s="78">
        <f t="shared" si="293"/>
        <v>500000</v>
      </c>
      <c r="CT118" s="78">
        <f t="shared" si="294"/>
        <v>500000</v>
      </c>
      <c r="CU118" s="78">
        <f t="shared" si="295"/>
        <v>500000</v>
      </c>
      <c r="CV118" s="78">
        <f t="shared" si="296"/>
        <v>500000</v>
      </c>
      <c r="CW118" s="131">
        <f t="shared" si="297"/>
        <v>500000</v>
      </c>
    </row>
    <row r="119" spans="1:101" s="2821" customFormat="1" x14ac:dyDescent="0.2">
      <c r="A119" s="2806" t="s">
        <v>7017</v>
      </c>
      <c r="B119" s="2807"/>
      <c r="C119" s="2808"/>
      <c r="D119" s="2809" t="s">
        <v>5164</v>
      </c>
      <c r="E119" s="2810"/>
      <c r="F119" s="2811">
        <f>Assumptions!G9*SUM(GM!G160:G162)</f>
        <v>0</v>
      </c>
      <c r="G119" s="2812">
        <f>ROUND(Assumptions!H9*SUM(GM!G599:G601),-3)-G98-G175-DEH!I380+2000+200</f>
        <v>389600</v>
      </c>
      <c r="H119" s="2812">
        <f>713000-3000+1100</f>
        <v>711100</v>
      </c>
      <c r="I119" s="2812">
        <f>1163000-8000+19300</f>
        <v>1174300</v>
      </c>
      <c r="J119" s="2811">
        <f>ROUND((ROUND(Assumptions!K9*SUM(GM!K599:K601),-3)+I119)*(1+Assumptions!K6),-3)-400</f>
        <v>1203600</v>
      </c>
      <c r="K119" s="2811">
        <f>ROUND((ROUND(Assumptions!L9*SUM(GM!L599:L601),-3)+J119)*(1+Assumptions!L6),-3)+200</f>
        <v>1234200</v>
      </c>
      <c r="L119" s="2811">
        <f>ROUND((ROUND(Assumptions!M9*SUM(GM!M599:M601),-3)+K119)*(1+Assumptions!M6),-3)</f>
        <v>1265000</v>
      </c>
      <c r="M119" s="2811">
        <f>ROUND((ROUND(Assumptions!N9*SUM(GM!N599:N601),-3)+L119)*(1+Assumptions!N6),-3)-900</f>
        <v>1296100</v>
      </c>
      <c r="N119" s="2812">
        <f>ROUND((ROUND(Assumptions!O9*SUM(GM!O599:O601),-3)+M119)*(1+Assumptions!O6),-3)-500</f>
        <v>1328500</v>
      </c>
      <c r="O119" s="2812">
        <f>ROUND((ROUND(Assumptions!P9*SUM(GM!P599:P601),-3)+N119)*(1+Assumptions!P6),-3)-800</f>
        <v>1361200</v>
      </c>
      <c r="P119" s="2814">
        <f>ROUND((ROUND(Assumptions!Q9*SUM(GM!Q599:Q601),-3)+O119)*(1+Assumptions!Q6),-3)+300</f>
        <v>1395300</v>
      </c>
      <c r="Q119" s="2813"/>
      <c r="R119" s="2812"/>
      <c r="S119" s="2812"/>
      <c r="T119" s="2812">
        <f>E119</f>
        <v>0</v>
      </c>
      <c r="U119" s="2814">
        <f t="shared" si="272"/>
        <v>0</v>
      </c>
      <c r="V119" s="2815"/>
      <c r="W119" s="2812"/>
      <c r="X119" s="1838"/>
      <c r="Y119" s="2812">
        <f>F119</f>
        <v>0</v>
      </c>
      <c r="Z119" s="2814">
        <f t="shared" si="273"/>
        <v>0</v>
      </c>
      <c r="AA119" s="2813"/>
      <c r="AB119" s="2812"/>
      <c r="AC119" s="2812"/>
      <c r="AD119" s="2812"/>
      <c r="AE119" s="2814">
        <f t="shared" si="274"/>
        <v>389600</v>
      </c>
      <c r="AF119" s="2813"/>
      <c r="AG119" s="2812"/>
      <c r="AH119" s="2812"/>
      <c r="AI119" s="2812"/>
      <c r="AJ119" s="2814">
        <f t="shared" si="275"/>
        <v>711100</v>
      </c>
      <c r="AK119" s="2813"/>
      <c r="AL119" s="2812"/>
      <c r="AM119" s="2812"/>
      <c r="AN119" s="2812"/>
      <c r="AO119" s="2816">
        <f t="shared" si="276"/>
        <v>1174300</v>
      </c>
      <c r="AP119" s="2813"/>
      <c r="AQ119" s="2812"/>
      <c r="AR119" s="2812"/>
      <c r="AS119" s="2812"/>
      <c r="AT119" s="2814">
        <f t="shared" si="277"/>
        <v>1203600</v>
      </c>
      <c r="AU119" s="1838"/>
      <c r="AV119" s="2812"/>
      <c r="AW119" s="2812"/>
      <c r="AX119" s="2812"/>
      <c r="AY119" s="2814">
        <f t="shared" si="278"/>
        <v>1234200</v>
      </c>
      <c r="AZ119" s="2813"/>
      <c r="BA119" s="2812"/>
      <c r="BB119" s="2812"/>
      <c r="BC119" s="2812"/>
      <c r="BD119" s="2814">
        <f t="shared" si="279"/>
        <v>1265000</v>
      </c>
      <c r="BE119" s="2813"/>
      <c r="BF119" s="2812"/>
      <c r="BG119" s="2812"/>
      <c r="BH119" s="2812"/>
      <c r="BI119" s="2814">
        <f t="shared" si="280"/>
        <v>1296100</v>
      </c>
      <c r="BJ119" s="2813"/>
      <c r="BK119" s="2812"/>
      <c r="BL119" s="2812"/>
      <c r="BM119" s="2812"/>
      <c r="BN119" s="2814">
        <f t="shared" si="281"/>
        <v>1328500</v>
      </c>
      <c r="BO119" s="2813"/>
      <c r="BP119" s="2812"/>
      <c r="BQ119" s="2812"/>
      <c r="BR119" s="2812"/>
      <c r="BS119" s="2814">
        <f t="shared" si="282"/>
        <v>1361200</v>
      </c>
      <c r="BT119" s="2813"/>
      <c r="BU119" s="2812"/>
      <c r="BV119" s="2812"/>
      <c r="BW119" s="2812"/>
      <c r="BX119" s="1838">
        <f t="shared" si="283"/>
        <v>1395300</v>
      </c>
      <c r="BY119" s="2817">
        <v>1</v>
      </c>
      <c r="BZ119" s="2818">
        <f t="shared" ref="BZ119" si="324">BY119</f>
        <v>1</v>
      </c>
      <c r="CA119" s="2818">
        <f t="shared" ref="CA119" si="325">BZ119</f>
        <v>1</v>
      </c>
      <c r="CB119" s="2818">
        <f t="shared" ref="CB119" si="326">CA119</f>
        <v>1</v>
      </c>
      <c r="CC119" s="2818">
        <f t="shared" ref="CC119" si="327">CB119</f>
        <v>1</v>
      </c>
      <c r="CD119" s="2818">
        <f t="shared" ref="CD119" si="328">CC119</f>
        <v>1</v>
      </c>
      <c r="CE119" s="2818">
        <f t="shared" ref="CE119" si="329">CD119</f>
        <v>1</v>
      </c>
      <c r="CF119" s="2818">
        <f t="shared" ref="CF119" si="330">CE119</f>
        <v>1</v>
      </c>
      <c r="CG119" s="2818">
        <f t="shared" ref="CG119" si="331">CF119</f>
        <v>1</v>
      </c>
      <c r="CH119" s="2818">
        <f t="shared" ref="CH119" si="332">CG119</f>
        <v>1</v>
      </c>
      <c r="CI119" s="2818">
        <f t="shared" si="285"/>
        <v>1</v>
      </c>
      <c r="CJ119" s="2818">
        <f t="shared" si="285"/>
        <v>1</v>
      </c>
      <c r="CK119" s="2818"/>
      <c r="CL119" s="2819">
        <f t="shared" si="286"/>
        <v>0</v>
      </c>
      <c r="CM119" s="2413">
        <f t="shared" si="287"/>
        <v>0</v>
      </c>
      <c r="CN119" s="2413">
        <f t="shared" si="288"/>
        <v>390000</v>
      </c>
      <c r="CO119" s="2413">
        <f t="shared" si="289"/>
        <v>711000</v>
      </c>
      <c r="CP119" s="2413">
        <f t="shared" si="290"/>
        <v>1174000</v>
      </c>
      <c r="CQ119" s="2413">
        <f t="shared" si="291"/>
        <v>1204000</v>
      </c>
      <c r="CR119" s="2413">
        <f t="shared" si="292"/>
        <v>1234000</v>
      </c>
      <c r="CS119" s="2413">
        <f t="shared" si="293"/>
        <v>1265000</v>
      </c>
      <c r="CT119" s="2413">
        <f t="shared" si="294"/>
        <v>1296000</v>
      </c>
      <c r="CU119" s="2413">
        <f t="shared" si="295"/>
        <v>1329000</v>
      </c>
      <c r="CV119" s="2413">
        <f t="shared" si="296"/>
        <v>1361000</v>
      </c>
      <c r="CW119" s="2820">
        <f t="shared" si="297"/>
        <v>1395000</v>
      </c>
    </row>
    <row r="120" spans="1:101" x14ac:dyDescent="0.2">
      <c r="A120" s="869" t="s">
        <v>4900</v>
      </c>
      <c r="B120" s="2356" t="s">
        <v>1308</v>
      </c>
      <c r="C120" s="2334"/>
      <c r="D120" s="2396" t="s">
        <v>5164</v>
      </c>
      <c r="E120" s="502">
        <v>318600</v>
      </c>
      <c r="F120" s="76">
        <v>312000</v>
      </c>
      <c r="G120" s="33">
        <f>ROUND((F120*Assumptions!H$6+F120),-3)</f>
        <v>324000</v>
      </c>
      <c r="H120" s="132">
        <f>ROUND((G120*Assumptions!I$6+G120),-3)</f>
        <v>337000</v>
      </c>
      <c r="I120" s="76">
        <f>ROUND((H120*Assumptions!J$6+H120),-3)</f>
        <v>350000</v>
      </c>
      <c r="J120" s="76">
        <f>ROUND((I120*Assumptions!K$6+I120),-3)</f>
        <v>359000</v>
      </c>
      <c r="K120" s="33">
        <f>ROUND((J120*Assumptions!L$6+J120),-3)</f>
        <v>368000</v>
      </c>
      <c r="L120" s="33">
        <f>ROUND((K120*Assumptions!M$6+K120),-3)</f>
        <v>377000</v>
      </c>
      <c r="M120" s="142">
        <f>ROUND((L120*Assumptions!N$6+L120),-3)</f>
        <v>386000</v>
      </c>
      <c r="N120" s="33">
        <f>ROUND((M120*Assumptions!O$6+M120),-3)</f>
        <v>396000</v>
      </c>
      <c r="O120" s="33">
        <f>ROUND((N120*Assumptions!P$6+N120),-3)</f>
        <v>406000</v>
      </c>
      <c r="P120" s="102">
        <f>ROUND((O120*Assumptions!Q$6+O120),-3)</f>
        <v>416000</v>
      </c>
      <c r="Q120" s="142"/>
      <c r="R120" s="33"/>
      <c r="S120" s="33"/>
      <c r="T120" s="33"/>
      <c r="U120" s="102">
        <f t="shared" si="272"/>
        <v>318600</v>
      </c>
      <c r="V120" s="186"/>
      <c r="W120" s="33"/>
      <c r="X120" s="99"/>
      <c r="Y120" s="33"/>
      <c r="Z120" s="102">
        <f t="shared" si="273"/>
        <v>312000</v>
      </c>
      <c r="AA120" s="142"/>
      <c r="AB120" s="33"/>
      <c r="AC120" s="33"/>
      <c r="AD120" s="33"/>
      <c r="AE120" s="102">
        <f t="shared" si="274"/>
        <v>324000</v>
      </c>
      <c r="AF120" s="142"/>
      <c r="AG120" s="33"/>
      <c r="AH120" s="33"/>
      <c r="AI120" s="33"/>
      <c r="AJ120" s="102">
        <f t="shared" si="275"/>
        <v>337000</v>
      </c>
      <c r="AK120" s="142"/>
      <c r="AL120" s="33"/>
      <c r="AM120" s="33"/>
      <c r="AN120" s="33"/>
      <c r="AO120" s="114">
        <f t="shared" si="276"/>
        <v>350000</v>
      </c>
      <c r="AP120" s="142"/>
      <c r="AQ120" s="33"/>
      <c r="AR120" s="33"/>
      <c r="AS120" s="33"/>
      <c r="AT120" s="102">
        <f t="shared" si="277"/>
        <v>359000</v>
      </c>
      <c r="AV120" s="33"/>
      <c r="AW120" s="33"/>
      <c r="AX120" s="33"/>
      <c r="AY120" s="102">
        <f t="shared" si="278"/>
        <v>368000</v>
      </c>
      <c r="AZ120" s="142"/>
      <c r="BA120" s="33"/>
      <c r="BB120" s="33"/>
      <c r="BC120" s="33"/>
      <c r="BD120" s="102">
        <f t="shared" si="279"/>
        <v>377000</v>
      </c>
      <c r="BE120" s="142"/>
      <c r="BF120" s="33"/>
      <c r="BG120" s="33"/>
      <c r="BH120" s="33"/>
      <c r="BI120" s="102">
        <f t="shared" si="280"/>
        <v>386000</v>
      </c>
      <c r="BJ120" s="142"/>
      <c r="BK120" s="33"/>
      <c r="BL120" s="33"/>
      <c r="BM120" s="33"/>
      <c r="BN120" s="102">
        <f t="shared" si="281"/>
        <v>396000</v>
      </c>
      <c r="BO120" s="142"/>
      <c r="BP120" s="33"/>
      <c r="BQ120" s="33"/>
      <c r="BR120" s="33"/>
      <c r="BS120" s="102">
        <f t="shared" si="282"/>
        <v>406000</v>
      </c>
      <c r="BT120" s="142"/>
      <c r="BU120" s="33"/>
      <c r="BV120" s="33"/>
      <c r="BW120" s="33"/>
      <c r="BX120" s="99">
        <f t="shared" si="283"/>
        <v>416000</v>
      </c>
      <c r="BY120" s="2438">
        <v>1</v>
      </c>
      <c r="BZ120" s="1263">
        <f t="shared" ref="BZ120" si="333">BY120</f>
        <v>1</v>
      </c>
      <c r="CA120" s="1263">
        <f t="shared" ref="CA120" si="334">BZ120</f>
        <v>1</v>
      </c>
      <c r="CB120" s="1263">
        <f t="shared" ref="CB120" si="335">CA120</f>
        <v>1</v>
      </c>
      <c r="CC120" s="1263">
        <f t="shared" ref="CC120" si="336">CB120</f>
        <v>1</v>
      </c>
      <c r="CD120" s="1263">
        <f t="shared" ref="CD120" si="337">CC120</f>
        <v>1</v>
      </c>
      <c r="CE120" s="1263">
        <f t="shared" ref="CE120" si="338">CD120</f>
        <v>1</v>
      </c>
      <c r="CF120" s="1263">
        <f t="shared" ref="CF120" si="339">CE120</f>
        <v>1</v>
      </c>
      <c r="CG120" s="1263">
        <f t="shared" ref="CG120:CH120" si="340">CF120</f>
        <v>1</v>
      </c>
      <c r="CH120" s="1263">
        <f t="shared" si="340"/>
        <v>1</v>
      </c>
      <c r="CI120" s="1263">
        <f t="shared" si="285"/>
        <v>1</v>
      </c>
      <c r="CJ120" s="1263">
        <f t="shared" si="285"/>
        <v>1</v>
      </c>
      <c r="CK120" s="1263"/>
      <c r="CL120" s="1920">
        <f t="shared" si="286"/>
        <v>319000</v>
      </c>
      <c r="CM120" s="78">
        <f t="shared" si="287"/>
        <v>312000</v>
      </c>
      <c r="CN120" s="78">
        <f t="shared" si="288"/>
        <v>324000</v>
      </c>
      <c r="CO120" s="78">
        <f t="shared" si="289"/>
        <v>337000</v>
      </c>
      <c r="CP120" s="78">
        <f t="shared" si="290"/>
        <v>350000</v>
      </c>
      <c r="CQ120" s="78">
        <f t="shared" si="291"/>
        <v>359000</v>
      </c>
      <c r="CR120" s="78">
        <f t="shared" si="292"/>
        <v>368000</v>
      </c>
      <c r="CS120" s="78">
        <f t="shared" si="293"/>
        <v>377000</v>
      </c>
      <c r="CT120" s="78">
        <f t="shared" si="294"/>
        <v>386000</v>
      </c>
      <c r="CU120" s="78">
        <f t="shared" si="295"/>
        <v>396000</v>
      </c>
      <c r="CV120" s="78">
        <f t="shared" si="296"/>
        <v>406000</v>
      </c>
      <c r="CW120" s="131">
        <f t="shared" si="297"/>
        <v>416000</v>
      </c>
    </row>
    <row r="121" spans="1:101" x14ac:dyDescent="0.2">
      <c r="A121" s="869" t="s">
        <v>4901</v>
      </c>
      <c r="B121" s="2356" t="s">
        <v>1308</v>
      </c>
      <c r="C121" s="2334"/>
      <c r="D121" s="2396" t="s">
        <v>5164</v>
      </c>
      <c r="E121" s="502">
        <v>320600</v>
      </c>
      <c r="F121" s="76">
        <v>302000</v>
      </c>
      <c r="G121" s="33">
        <f>ROUND((F121*Assumptions!H$6+F121),-3)</f>
        <v>314000</v>
      </c>
      <c r="H121" s="132">
        <f>ROUND((G121*Assumptions!I$6+G121),-3)</f>
        <v>327000</v>
      </c>
      <c r="I121" s="76">
        <f>ROUND((H121*Assumptions!J$6+H121),-3)</f>
        <v>340000</v>
      </c>
      <c r="J121" s="76">
        <f>ROUND((I121*Assumptions!K$6+I121),-3)</f>
        <v>349000</v>
      </c>
      <c r="K121" s="33">
        <f>ROUND((J121*Assumptions!L$6+J121),-3)</f>
        <v>358000</v>
      </c>
      <c r="L121" s="33">
        <f>ROUND((K121*Assumptions!M$6+K121),-3)</f>
        <v>367000</v>
      </c>
      <c r="M121" s="142">
        <f>ROUND((L121*Assumptions!N$6+L121),-3)</f>
        <v>376000</v>
      </c>
      <c r="N121" s="33">
        <f>ROUND((M121*Assumptions!O$6+M121),-3)</f>
        <v>385000</v>
      </c>
      <c r="O121" s="33">
        <f>ROUND((N121*Assumptions!P$6+N121),-3)</f>
        <v>395000</v>
      </c>
      <c r="P121" s="102">
        <f>ROUND((O121*Assumptions!Q$6+O121),-3)</f>
        <v>405000</v>
      </c>
      <c r="Q121" s="142"/>
      <c r="R121" s="33"/>
      <c r="S121" s="33"/>
      <c r="T121" s="33"/>
      <c r="U121" s="102">
        <f t="shared" si="272"/>
        <v>320600</v>
      </c>
      <c r="V121" s="186"/>
      <c r="W121" s="33"/>
      <c r="X121" s="99"/>
      <c r="Y121" s="33"/>
      <c r="Z121" s="102">
        <f t="shared" si="273"/>
        <v>302000</v>
      </c>
      <c r="AA121" s="142"/>
      <c r="AB121" s="33"/>
      <c r="AC121" s="33"/>
      <c r="AD121" s="33"/>
      <c r="AE121" s="102">
        <f t="shared" si="274"/>
        <v>314000</v>
      </c>
      <c r="AF121" s="142"/>
      <c r="AG121" s="33"/>
      <c r="AH121" s="33"/>
      <c r="AI121" s="33"/>
      <c r="AJ121" s="102">
        <f t="shared" si="275"/>
        <v>327000</v>
      </c>
      <c r="AK121" s="142"/>
      <c r="AL121" s="33"/>
      <c r="AM121" s="33"/>
      <c r="AN121" s="33"/>
      <c r="AO121" s="114">
        <f t="shared" si="276"/>
        <v>340000</v>
      </c>
      <c r="AP121" s="142"/>
      <c r="AQ121" s="33"/>
      <c r="AR121" s="33"/>
      <c r="AS121" s="33"/>
      <c r="AT121" s="102">
        <f t="shared" si="277"/>
        <v>349000</v>
      </c>
      <c r="AV121" s="33"/>
      <c r="AW121" s="33"/>
      <c r="AX121" s="33"/>
      <c r="AY121" s="102">
        <f t="shared" si="278"/>
        <v>358000</v>
      </c>
      <c r="AZ121" s="142"/>
      <c r="BA121" s="33"/>
      <c r="BB121" s="33"/>
      <c r="BC121" s="33"/>
      <c r="BD121" s="102">
        <f t="shared" si="279"/>
        <v>367000</v>
      </c>
      <c r="BE121" s="142"/>
      <c r="BF121" s="33"/>
      <c r="BG121" s="33"/>
      <c r="BH121" s="33"/>
      <c r="BI121" s="102">
        <f t="shared" si="280"/>
        <v>376000</v>
      </c>
      <c r="BJ121" s="142"/>
      <c r="BK121" s="33"/>
      <c r="BL121" s="33"/>
      <c r="BM121" s="33"/>
      <c r="BN121" s="102">
        <f t="shared" si="281"/>
        <v>385000</v>
      </c>
      <c r="BO121" s="142"/>
      <c r="BP121" s="33"/>
      <c r="BQ121" s="33"/>
      <c r="BR121" s="33"/>
      <c r="BS121" s="102">
        <f t="shared" si="282"/>
        <v>395000</v>
      </c>
      <c r="BT121" s="142"/>
      <c r="BU121" s="33"/>
      <c r="BV121" s="33"/>
      <c r="BW121" s="33"/>
      <c r="BX121" s="99">
        <f t="shared" si="283"/>
        <v>405000</v>
      </c>
      <c r="BY121" s="2438">
        <v>1</v>
      </c>
      <c r="BZ121" s="1263">
        <f t="shared" ref="BZ121:BZ122" si="341">BY121</f>
        <v>1</v>
      </c>
      <c r="CA121" s="1263">
        <f t="shared" ref="CA121:CA122" si="342">BZ121</f>
        <v>1</v>
      </c>
      <c r="CB121" s="1263">
        <f t="shared" ref="CB121:CB122" si="343">CA121</f>
        <v>1</v>
      </c>
      <c r="CC121" s="1263">
        <f t="shared" ref="CC121:CC122" si="344">CB121</f>
        <v>1</v>
      </c>
      <c r="CD121" s="1263">
        <f t="shared" ref="CD121:CD122" si="345">CC121</f>
        <v>1</v>
      </c>
      <c r="CE121" s="1263">
        <f t="shared" ref="CE121:CE122" si="346">CD121</f>
        <v>1</v>
      </c>
      <c r="CF121" s="1263">
        <f t="shared" ref="CF121:CF122" si="347">CE121</f>
        <v>1</v>
      </c>
      <c r="CG121" s="1263">
        <f t="shared" ref="CG121:CH122" si="348">CF121</f>
        <v>1</v>
      </c>
      <c r="CH121" s="1263">
        <f t="shared" si="348"/>
        <v>1</v>
      </c>
      <c r="CI121" s="1263">
        <f t="shared" si="285"/>
        <v>1</v>
      </c>
      <c r="CJ121" s="1263">
        <f t="shared" si="285"/>
        <v>1</v>
      </c>
      <c r="CK121" s="1263"/>
      <c r="CL121" s="1920">
        <f t="shared" si="286"/>
        <v>321000</v>
      </c>
      <c r="CM121" s="78">
        <f t="shared" si="287"/>
        <v>302000</v>
      </c>
      <c r="CN121" s="78">
        <f t="shared" si="288"/>
        <v>314000</v>
      </c>
      <c r="CO121" s="78">
        <f t="shared" si="289"/>
        <v>327000</v>
      </c>
      <c r="CP121" s="78">
        <f t="shared" si="290"/>
        <v>340000</v>
      </c>
      <c r="CQ121" s="78">
        <f t="shared" si="291"/>
        <v>349000</v>
      </c>
      <c r="CR121" s="78">
        <f t="shared" si="292"/>
        <v>358000</v>
      </c>
      <c r="CS121" s="78">
        <f t="shared" si="293"/>
        <v>367000</v>
      </c>
      <c r="CT121" s="78">
        <f t="shared" si="294"/>
        <v>376000</v>
      </c>
      <c r="CU121" s="78">
        <f t="shared" si="295"/>
        <v>385000</v>
      </c>
      <c r="CV121" s="78">
        <f t="shared" si="296"/>
        <v>395000</v>
      </c>
      <c r="CW121" s="131">
        <f t="shared" si="297"/>
        <v>405000</v>
      </c>
    </row>
    <row r="122" spans="1:101" x14ac:dyDescent="0.2">
      <c r="A122" s="869" t="s">
        <v>4822</v>
      </c>
      <c r="B122" s="2356" t="s">
        <v>1308</v>
      </c>
      <c r="C122" s="2334"/>
      <c r="D122" s="2396" t="s">
        <v>5164</v>
      </c>
      <c r="E122" s="502">
        <v>277000</v>
      </c>
      <c r="F122" s="76">
        <v>329000</v>
      </c>
      <c r="G122" s="132">
        <f>ROUND((F122*Assumptions!H$6+F122),-3)</f>
        <v>342000</v>
      </c>
      <c r="H122" s="132">
        <f>ROUND((G122*Assumptions!I$6+G122),-3)</f>
        <v>356000</v>
      </c>
      <c r="I122" s="76">
        <f>ROUND((H122*Assumptions!J$6+H122),-3)</f>
        <v>370000</v>
      </c>
      <c r="J122" s="76">
        <f>ROUND((I122*Assumptions!K$6+I122),-3)</f>
        <v>379000</v>
      </c>
      <c r="K122" s="33">
        <f>ROUND((J122*Assumptions!L$6+J122),-3)</f>
        <v>388000</v>
      </c>
      <c r="L122" s="33">
        <f>ROUND((K122*Assumptions!M$6+K122),-3)</f>
        <v>398000</v>
      </c>
      <c r="M122" s="142">
        <f>ROUND((L122*Assumptions!N$6+L122),-3)</f>
        <v>408000</v>
      </c>
      <c r="N122" s="33">
        <f>ROUND((M122*Assumptions!O$6+M122),-3)</f>
        <v>418000</v>
      </c>
      <c r="O122" s="33">
        <f>ROUND((N122*Assumptions!P$6+N122),-3)</f>
        <v>428000</v>
      </c>
      <c r="P122" s="102">
        <f>ROUND((O122*Assumptions!Q$6+O122),-3)</f>
        <v>439000</v>
      </c>
      <c r="Q122" s="142"/>
      <c r="R122" s="33"/>
      <c r="S122" s="33"/>
      <c r="T122" s="33"/>
      <c r="U122" s="102">
        <f t="shared" si="272"/>
        <v>277000</v>
      </c>
      <c r="V122" s="186"/>
      <c r="W122" s="33"/>
      <c r="X122" s="99"/>
      <c r="Y122" s="33"/>
      <c r="Z122" s="102">
        <f t="shared" si="273"/>
        <v>329000</v>
      </c>
      <c r="AA122" s="142"/>
      <c r="AB122" s="33"/>
      <c r="AC122" s="33"/>
      <c r="AD122" s="33"/>
      <c r="AE122" s="102">
        <f t="shared" si="274"/>
        <v>342000</v>
      </c>
      <c r="AF122" s="142"/>
      <c r="AG122" s="33"/>
      <c r="AH122" s="33"/>
      <c r="AI122" s="33"/>
      <c r="AJ122" s="102">
        <f t="shared" si="275"/>
        <v>356000</v>
      </c>
      <c r="AK122" s="142"/>
      <c r="AL122" s="33"/>
      <c r="AM122" s="33"/>
      <c r="AN122" s="33"/>
      <c r="AO122" s="114">
        <f t="shared" si="276"/>
        <v>370000</v>
      </c>
      <c r="AP122" s="142"/>
      <c r="AQ122" s="33"/>
      <c r="AR122" s="33"/>
      <c r="AS122" s="33"/>
      <c r="AT122" s="102">
        <f t="shared" si="277"/>
        <v>379000</v>
      </c>
      <c r="AV122" s="33"/>
      <c r="AW122" s="33"/>
      <c r="AX122" s="33"/>
      <c r="AY122" s="102">
        <f t="shared" si="278"/>
        <v>388000</v>
      </c>
      <c r="AZ122" s="142"/>
      <c r="BA122" s="33"/>
      <c r="BB122" s="33"/>
      <c r="BC122" s="33"/>
      <c r="BD122" s="102">
        <f t="shared" si="279"/>
        <v>398000</v>
      </c>
      <c r="BE122" s="142"/>
      <c r="BF122" s="33"/>
      <c r="BG122" s="33"/>
      <c r="BH122" s="33"/>
      <c r="BI122" s="102">
        <f t="shared" si="280"/>
        <v>408000</v>
      </c>
      <c r="BJ122" s="142"/>
      <c r="BK122" s="33"/>
      <c r="BL122" s="33"/>
      <c r="BM122" s="33"/>
      <c r="BN122" s="102">
        <f t="shared" si="281"/>
        <v>418000</v>
      </c>
      <c r="BO122" s="142"/>
      <c r="BP122" s="33"/>
      <c r="BQ122" s="33"/>
      <c r="BR122" s="33"/>
      <c r="BS122" s="102">
        <f t="shared" si="282"/>
        <v>428000</v>
      </c>
      <c r="BT122" s="142"/>
      <c r="BU122" s="33"/>
      <c r="BV122" s="33"/>
      <c r="BW122" s="33"/>
      <c r="BX122" s="99">
        <f t="shared" si="283"/>
        <v>439000</v>
      </c>
      <c r="BY122" s="2438">
        <v>1</v>
      </c>
      <c r="BZ122" s="1263">
        <f t="shared" si="341"/>
        <v>1</v>
      </c>
      <c r="CA122" s="1263">
        <f t="shared" si="342"/>
        <v>1</v>
      </c>
      <c r="CB122" s="1263">
        <f t="shared" si="343"/>
        <v>1</v>
      </c>
      <c r="CC122" s="1263">
        <f t="shared" si="344"/>
        <v>1</v>
      </c>
      <c r="CD122" s="1263">
        <f t="shared" si="345"/>
        <v>1</v>
      </c>
      <c r="CE122" s="1263">
        <f t="shared" si="346"/>
        <v>1</v>
      </c>
      <c r="CF122" s="1263">
        <f t="shared" si="347"/>
        <v>1</v>
      </c>
      <c r="CG122" s="1263">
        <f t="shared" si="348"/>
        <v>1</v>
      </c>
      <c r="CH122" s="1263">
        <f t="shared" si="348"/>
        <v>1</v>
      </c>
      <c r="CI122" s="1263">
        <f t="shared" si="285"/>
        <v>1</v>
      </c>
      <c r="CJ122" s="1263">
        <f t="shared" si="285"/>
        <v>1</v>
      </c>
      <c r="CK122" s="1263"/>
      <c r="CL122" s="1920">
        <f t="shared" si="286"/>
        <v>277000</v>
      </c>
      <c r="CM122" s="78">
        <f t="shared" si="287"/>
        <v>329000</v>
      </c>
      <c r="CN122" s="78">
        <f t="shared" si="288"/>
        <v>342000</v>
      </c>
      <c r="CO122" s="78">
        <f t="shared" si="289"/>
        <v>356000</v>
      </c>
      <c r="CP122" s="78">
        <f t="shared" si="290"/>
        <v>370000</v>
      </c>
      <c r="CQ122" s="78">
        <f t="shared" si="291"/>
        <v>379000</v>
      </c>
      <c r="CR122" s="78">
        <f t="shared" si="292"/>
        <v>388000</v>
      </c>
      <c r="CS122" s="78">
        <f t="shared" si="293"/>
        <v>398000</v>
      </c>
      <c r="CT122" s="78">
        <f t="shared" si="294"/>
        <v>408000</v>
      </c>
      <c r="CU122" s="78">
        <f t="shared" si="295"/>
        <v>418000</v>
      </c>
      <c r="CV122" s="78">
        <f t="shared" si="296"/>
        <v>428000</v>
      </c>
      <c r="CW122" s="131">
        <f t="shared" si="297"/>
        <v>439000</v>
      </c>
    </row>
    <row r="123" spans="1:101" x14ac:dyDescent="0.2">
      <c r="A123" s="869" t="s">
        <v>4902</v>
      </c>
      <c r="B123" s="2356" t="s">
        <v>1308</v>
      </c>
      <c r="C123" s="2334"/>
      <c r="D123" s="2396" t="s">
        <v>5164</v>
      </c>
      <c r="E123" s="502">
        <v>175500</v>
      </c>
      <c r="F123" s="76">
        <v>168000</v>
      </c>
      <c r="G123" s="33">
        <f>ROUND((F123*Assumptions!H$6+F123),-3)</f>
        <v>175000</v>
      </c>
      <c r="H123" s="132">
        <f>ROUND((G123*Assumptions!I$6+G123),-3)</f>
        <v>182000</v>
      </c>
      <c r="I123" s="76">
        <f>ROUND((H123*Assumptions!J$6+H123),-3)</f>
        <v>189000</v>
      </c>
      <c r="J123" s="76">
        <f>ROUND((I123*Assumptions!K$6+I123),-3)</f>
        <v>194000</v>
      </c>
      <c r="K123" s="33">
        <f>ROUND((J123*Assumptions!L$6+J123),-3)</f>
        <v>199000</v>
      </c>
      <c r="L123" s="33">
        <f>ROUND((K123*Assumptions!M$6+K123),-3)</f>
        <v>204000</v>
      </c>
      <c r="M123" s="142">
        <f>ROUND((L123*Assumptions!N$6+L123),-3)</f>
        <v>209000</v>
      </c>
      <c r="N123" s="33">
        <f>ROUND((M123*Assumptions!O$6+M123),-3)</f>
        <v>214000</v>
      </c>
      <c r="O123" s="33">
        <f>ROUND((N123*Assumptions!P$6+N123),-3)</f>
        <v>219000</v>
      </c>
      <c r="P123" s="102">
        <f>ROUND((O123*Assumptions!Q$6+O123),-3)</f>
        <v>224000</v>
      </c>
      <c r="Q123" s="142"/>
      <c r="R123" s="33"/>
      <c r="S123" s="33"/>
      <c r="T123" s="33"/>
      <c r="U123" s="102">
        <f t="shared" si="272"/>
        <v>175500</v>
      </c>
      <c r="V123" s="186"/>
      <c r="W123" s="33"/>
      <c r="X123" s="99"/>
      <c r="Y123" s="33"/>
      <c r="Z123" s="102">
        <f t="shared" si="273"/>
        <v>168000</v>
      </c>
      <c r="AA123" s="142"/>
      <c r="AB123" s="33"/>
      <c r="AC123" s="33"/>
      <c r="AD123" s="33"/>
      <c r="AE123" s="102">
        <f t="shared" si="274"/>
        <v>175000</v>
      </c>
      <c r="AF123" s="142"/>
      <c r="AG123" s="33"/>
      <c r="AH123" s="33"/>
      <c r="AI123" s="33"/>
      <c r="AJ123" s="102">
        <f t="shared" si="275"/>
        <v>182000</v>
      </c>
      <c r="AK123" s="142"/>
      <c r="AL123" s="33"/>
      <c r="AM123" s="33"/>
      <c r="AN123" s="33"/>
      <c r="AO123" s="114">
        <f t="shared" si="276"/>
        <v>189000</v>
      </c>
      <c r="AP123" s="142"/>
      <c r="AQ123" s="33"/>
      <c r="AR123" s="33"/>
      <c r="AS123" s="33"/>
      <c r="AT123" s="102">
        <f t="shared" si="277"/>
        <v>194000</v>
      </c>
      <c r="AV123" s="33"/>
      <c r="AW123" s="33"/>
      <c r="AX123" s="33"/>
      <c r="AY123" s="102">
        <f t="shared" si="278"/>
        <v>199000</v>
      </c>
      <c r="AZ123" s="142"/>
      <c r="BA123" s="33"/>
      <c r="BB123" s="33"/>
      <c r="BC123" s="33"/>
      <c r="BD123" s="102">
        <f t="shared" si="279"/>
        <v>204000</v>
      </c>
      <c r="BE123" s="142"/>
      <c r="BF123" s="33"/>
      <c r="BG123" s="33"/>
      <c r="BH123" s="33"/>
      <c r="BI123" s="102">
        <f t="shared" si="280"/>
        <v>209000</v>
      </c>
      <c r="BJ123" s="142"/>
      <c r="BK123" s="33"/>
      <c r="BL123" s="33"/>
      <c r="BM123" s="33"/>
      <c r="BN123" s="102">
        <f t="shared" si="281"/>
        <v>214000</v>
      </c>
      <c r="BO123" s="142"/>
      <c r="BP123" s="33"/>
      <c r="BQ123" s="33"/>
      <c r="BR123" s="33"/>
      <c r="BS123" s="102">
        <f t="shared" si="282"/>
        <v>219000</v>
      </c>
      <c r="BT123" s="142"/>
      <c r="BU123" s="33"/>
      <c r="BV123" s="33"/>
      <c r="BW123" s="33"/>
      <c r="BX123" s="99">
        <f t="shared" si="283"/>
        <v>224000</v>
      </c>
      <c r="BY123" s="2438">
        <v>1</v>
      </c>
      <c r="BZ123" s="1263">
        <f t="shared" ref="BZ123" si="349">BY123</f>
        <v>1</v>
      </c>
      <c r="CA123" s="1263">
        <f t="shared" ref="CA123" si="350">BZ123</f>
        <v>1</v>
      </c>
      <c r="CB123" s="1263">
        <f t="shared" ref="CB123" si="351">CA123</f>
        <v>1</v>
      </c>
      <c r="CC123" s="1263">
        <f t="shared" ref="CC123" si="352">CB123</f>
        <v>1</v>
      </c>
      <c r="CD123" s="1263">
        <f t="shared" ref="CD123" si="353">CC123</f>
        <v>1</v>
      </c>
      <c r="CE123" s="1263">
        <f t="shared" ref="CE123" si="354">CD123</f>
        <v>1</v>
      </c>
      <c r="CF123" s="1263">
        <f t="shared" ref="CF123" si="355">CE123</f>
        <v>1</v>
      </c>
      <c r="CG123" s="1263">
        <f t="shared" ref="CG123:CH123" si="356">CF123</f>
        <v>1</v>
      </c>
      <c r="CH123" s="1263">
        <f t="shared" si="356"/>
        <v>1</v>
      </c>
      <c r="CI123" s="1263">
        <f t="shared" si="285"/>
        <v>1</v>
      </c>
      <c r="CJ123" s="1263">
        <f t="shared" si="285"/>
        <v>1</v>
      </c>
      <c r="CK123" s="1263"/>
      <c r="CL123" s="1920">
        <f t="shared" si="286"/>
        <v>176000</v>
      </c>
      <c r="CM123" s="78">
        <f t="shared" si="287"/>
        <v>168000</v>
      </c>
      <c r="CN123" s="78">
        <f t="shared" si="288"/>
        <v>175000</v>
      </c>
      <c r="CO123" s="78">
        <f t="shared" si="289"/>
        <v>182000</v>
      </c>
      <c r="CP123" s="78">
        <f t="shared" si="290"/>
        <v>189000</v>
      </c>
      <c r="CQ123" s="78">
        <f t="shared" si="291"/>
        <v>194000</v>
      </c>
      <c r="CR123" s="78">
        <f t="shared" si="292"/>
        <v>199000</v>
      </c>
      <c r="CS123" s="78">
        <f t="shared" si="293"/>
        <v>204000</v>
      </c>
      <c r="CT123" s="78">
        <f t="shared" si="294"/>
        <v>209000</v>
      </c>
      <c r="CU123" s="78">
        <f t="shared" si="295"/>
        <v>214000</v>
      </c>
      <c r="CV123" s="78">
        <f t="shared" si="296"/>
        <v>219000</v>
      </c>
      <c r="CW123" s="131">
        <f t="shared" si="297"/>
        <v>224000</v>
      </c>
    </row>
    <row r="124" spans="1:101" x14ac:dyDescent="0.2">
      <c r="A124" s="869" t="s">
        <v>5361</v>
      </c>
      <c r="B124" s="2360"/>
      <c r="C124" s="2334"/>
      <c r="D124" s="2396" t="s">
        <v>5164</v>
      </c>
      <c r="E124" s="502">
        <v>44700</v>
      </c>
      <c r="F124" s="76">
        <v>20000</v>
      </c>
      <c r="G124" s="33">
        <v>0</v>
      </c>
      <c r="H124" s="33">
        <v>0</v>
      </c>
      <c r="I124" s="99">
        <v>0</v>
      </c>
      <c r="J124" s="76">
        <v>0</v>
      </c>
      <c r="K124" s="76">
        <v>0</v>
      </c>
      <c r="L124" s="33">
        <v>0</v>
      </c>
      <c r="M124" s="142">
        <v>0</v>
      </c>
      <c r="N124" s="33">
        <v>0</v>
      </c>
      <c r="O124" s="33">
        <v>0</v>
      </c>
      <c r="P124" s="102">
        <v>0</v>
      </c>
      <c r="Q124" s="142"/>
      <c r="R124" s="33"/>
      <c r="S124" s="33"/>
      <c r="T124" s="33">
        <f>E124</f>
        <v>44700</v>
      </c>
      <c r="U124" s="102">
        <f t="shared" si="272"/>
        <v>0</v>
      </c>
      <c r="V124" s="186"/>
      <c r="W124" s="33"/>
      <c r="X124" s="99"/>
      <c r="Y124" s="33">
        <f>F124</f>
        <v>20000</v>
      </c>
      <c r="Z124" s="102">
        <f t="shared" si="273"/>
        <v>0</v>
      </c>
      <c r="AA124" s="142"/>
      <c r="AB124" s="33"/>
      <c r="AC124" s="33"/>
      <c r="AD124" s="33">
        <f>G124</f>
        <v>0</v>
      </c>
      <c r="AE124" s="102">
        <f t="shared" si="274"/>
        <v>0</v>
      </c>
      <c r="AF124" s="142"/>
      <c r="AG124" s="33"/>
      <c r="AH124" s="33"/>
      <c r="AI124" s="33">
        <f>H124</f>
        <v>0</v>
      </c>
      <c r="AJ124" s="102">
        <f t="shared" si="275"/>
        <v>0</v>
      </c>
      <c r="AK124" s="142"/>
      <c r="AL124" s="33"/>
      <c r="AM124" s="33"/>
      <c r="AN124" s="33">
        <f>I124</f>
        <v>0</v>
      </c>
      <c r="AO124" s="114">
        <f t="shared" si="276"/>
        <v>0</v>
      </c>
      <c r="AP124" s="142"/>
      <c r="AQ124" s="33"/>
      <c r="AR124" s="33"/>
      <c r="AS124" s="33">
        <f>J124</f>
        <v>0</v>
      </c>
      <c r="AT124" s="102">
        <f t="shared" si="277"/>
        <v>0</v>
      </c>
      <c r="AV124" s="33"/>
      <c r="AW124" s="33"/>
      <c r="AX124" s="33">
        <f>K124</f>
        <v>0</v>
      </c>
      <c r="AY124" s="102">
        <f t="shared" si="278"/>
        <v>0</v>
      </c>
      <c r="AZ124" s="142"/>
      <c r="BA124" s="33"/>
      <c r="BB124" s="33"/>
      <c r="BC124" s="33">
        <f>L124</f>
        <v>0</v>
      </c>
      <c r="BD124" s="102">
        <f t="shared" si="279"/>
        <v>0</v>
      </c>
      <c r="BE124" s="142"/>
      <c r="BF124" s="33"/>
      <c r="BG124" s="33"/>
      <c r="BH124" s="33">
        <f>M124</f>
        <v>0</v>
      </c>
      <c r="BI124" s="102">
        <f t="shared" si="280"/>
        <v>0</v>
      </c>
      <c r="BJ124" s="142"/>
      <c r="BK124" s="33"/>
      <c r="BL124" s="33"/>
      <c r="BM124" s="33">
        <f>N124</f>
        <v>0</v>
      </c>
      <c r="BN124" s="102">
        <f t="shared" si="281"/>
        <v>0</v>
      </c>
      <c r="BO124" s="142"/>
      <c r="BP124" s="33"/>
      <c r="BQ124" s="33"/>
      <c r="BR124" s="33">
        <f>O124</f>
        <v>0</v>
      </c>
      <c r="BS124" s="102">
        <f t="shared" si="282"/>
        <v>0</v>
      </c>
      <c r="BT124" s="142"/>
      <c r="BU124" s="33"/>
      <c r="BV124" s="33"/>
      <c r="BW124" s="33">
        <f>P124</f>
        <v>0</v>
      </c>
      <c r="BX124" s="99">
        <f t="shared" si="283"/>
        <v>0</v>
      </c>
      <c r="BY124" s="2438">
        <v>1</v>
      </c>
      <c r="BZ124" s="1263">
        <f t="shared" ref="BZ124:CH124" si="357">BY124</f>
        <v>1</v>
      </c>
      <c r="CA124" s="1263">
        <f t="shared" si="357"/>
        <v>1</v>
      </c>
      <c r="CB124" s="1263">
        <f t="shared" si="357"/>
        <v>1</v>
      </c>
      <c r="CC124" s="1263">
        <f t="shared" si="357"/>
        <v>1</v>
      </c>
      <c r="CD124" s="1263">
        <f t="shared" si="357"/>
        <v>1</v>
      </c>
      <c r="CE124" s="1263">
        <f t="shared" si="357"/>
        <v>1</v>
      </c>
      <c r="CF124" s="1263">
        <f t="shared" si="357"/>
        <v>1</v>
      </c>
      <c r="CG124" s="1263">
        <f t="shared" si="357"/>
        <v>1</v>
      </c>
      <c r="CH124" s="1263">
        <f t="shared" si="357"/>
        <v>1</v>
      </c>
      <c r="CI124" s="1263">
        <f t="shared" si="285"/>
        <v>1</v>
      </c>
      <c r="CJ124" s="1263">
        <f t="shared" si="285"/>
        <v>1</v>
      </c>
      <c r="CK124" s="1263"/>
      <c r="CL124" s="1920">
        <f t="shared" si="286"/>
        <v>45000</v>
      </c>
      <c r="CM124" s="78">
        <f t="shared" si="287"/>
        <v>20000</v>
      </c>
      <c r="CN124" s="78">
        <f t="shared" si="288"/>
        <v>0</v>
      </c>
      <c r="CO124" s="78">
        <f t="shared" si="289"/>
        <v>0</v>
      </c>
      <c r="CP124" s="78">
        <f t="shared" si="290"/>
        <v>0</v>
      </c>
      <c r="CQ124" s="78">
        <f t="shared" si="291"/>
        <v>0</v>
      </c>
      <c r="CR124" s="78">
        <f t="shared" si="292"/>
        <v>0</v>
      </c>
      <c r="CS124" s="78">
        <f t="shared" si="293"/>
        <v>0</v>
      </c>
      <c r="CT124" s="78">
        <f t="shared" si="294"/>
        <v>0</v>
      </c>
      <c r="CU124" s="78">
        <f t="shared" si="295"/>
        <v>0</v>
      </c>
      <c r="CV124" s="78">
        <f t="shared" si="296"/>
        <v>0</v>
      </c>
      <c r="CW124" s="131">
        <f t="shared" si="297"/>
        <v>0</v>
      </c>
    </row>
    <row r="125" spans="1:101" x14ac:dyDescent="0.2">
      <c r="A125" s="869" t="s">
        <v>5687</v>
      </c>
      <c r="B125" s="2360"/>
      <c r="C125" s="2334"/>
      <c r="D125" s="2396" t="s">
        <v>5164</v>
      </c>
      <c r="E125" s="502">
        <v>199700</v>
      </c>
      <c r="F125" s="76">
        <f>633000-573000</f>
        <v>60000</v>
      </c>
      <c r="G125" s="33">
        <v>200000</v>
      </c>
      <c r="H125" s="33">
        <v>0</v>
      </c>
      <c r="I125" s="76">
        <v>0</v>
      </c>
      <c r="J125" s="76">
        <v>0</v>
      </c>
      <c r="K125" s="33">
        <v>0</v>
      </c>
      <c r="L125" s="33">
        <v>0</v>
      </c>
      <c r="M125" s="142">
        <v>0</v>
      </c>
      <c r="N125" s="33">
        <v>0</v>
      </c>
      <c r="O125" s="33">
        <v>0</v>
      </c>
      <c r="P125" s="102">
        <v>0</v>
      </c>
      <c r="Q125" s="142"/>
      <c r="R125" s="33"/>
      <c r="S125" s="33"/>
      <c r="T125" s="33">
        <f>E125</f>
        <v>199700</v>
      </c>
      <c r="U125" s="102">
        <f t="shared" si="272"/>
        <v>0</v>
      </c>
      <c r="V125" s="186"/>
      <c r="W125" s="33"/>
      <c r="X125" s="99"/>
      <c r="Y125" s="33">
        <f>F125</f>
        <v>60000</v>
      </c>
      <c r="Z125" s="102">
        <f t="shared" si="273"/>
        <v>0</v>
      </c>
      <c r="AA125" s="142"/>
      <c r="AB125" s="33"/>
      <c r="AC125" s="33"/>
      <c r="AD125" s="33">
        <f>G125</f>
        <v>200000</v>
      </c>
      <c r="AE125" s="102">
        <f t="shared" si="274"/>
        <v>0</v>
      </c>
      <c r="AF125" s="142"/>
      <c r="AG125" s="33"/>
      <c r="AH125" s="33"/>
      <c r="AI125" s="33">
        <f>H125</f>
        <v>0</v>
      </c>
      <c r="AJ125" s="102">
        <f t="shared" si="275"/>
        <v>0</v>
      </c>
      <c r="AK125" s="142"/>
      <c r="AL125" s="33"/>
      <c r="AM125" s="33"/>
      <c r="AN125" s="33">
        <f>I125</f>
        <v>0</v>
      </c>
      <c r="AO125" s="114">
        <f t="shared" si="276"/>
        <v>0</v>
      </c>
      <c r="AP125" s="142"/>
      <c r="AQ125" s="33"/>
      <c r="AR125" s="33"/>
      <c r="AS125" s="33">
        <f>J125</f>
        <v>0</v>
      </c>
      <c r="AT125" s="102">
        <f t="shared" si="277"/>
        <v>0</v>
      </c>
      <c r="AV125" s="33"/>
      <c r="AW125" s="33"/>
      <c r="AX125" s="33">
        <f>K125</f>
        <v>0</v>
      </c>
      <c r="AY125" s="102">
        <f t="shared" si="278"/>
        <v>0</v>
      </c>
      <c r="AZ125" s="142"/>
      <c r="BA125" s="33"/>
      <c r="BB125" s="33"/>
      <c r="BC125" s="33">
        <f>L125</f>
        <v>0</v>
      </c>
      <c r="BD125" s="102">
        <f t="shared" si="279"/>
        <v>0</v>
      </c>
      <c r="BE125" s="142"/>
      <c r="BF125" s="33"/>
      <c r="BG125" s="33"/>
      <c r="BH125" s="33">
        <f>M125</f>
        <v>0</v>
      </c>
      <c r="BI125" s="102">
        <f t="shared" si="280"/>
        <v>0</v>
      </c>
      <c r="BJ125" s="142"/>
      <c r="BK125" s="33"/>
      <c r="BL125" s="33"/>
      <c r="BM125" s="33">
        <f>N125</f>
        <v>0</v>
      </c>
      <c r="BN125" s="102">
        <f t="shared" si="281"/>
        <v>0</v>
      </c>
      <c r="BO125" s="142"/>
      <c r="BP125" s="33"/>
      <c r="BQ125" s="33"/>
      <c r="BR125" s="33">
        <f>O125</f>
        <v>0</v>
      </c>
      <c r="BS125" s="102">
        <f t="shared" si="282"/>
        <v>0</v>
      </c>
      <c r="BT125" s="142"/>
      <c r="BU125" s="33"/>
      <c r="BV125" s="33"/>
      <c r="BW125" s="33">
        <f>P125</f>
        <v>0</v>
      </c>
      <c r="BX125" s="99">
        <f t="shared" si="283"/>
        <v>0</v>
      </c>
      <c r="BY125" s="2438">
        <v>1</v>
      </c>
      <c r="BZ125" s="1263">
        <f t="shared" ref="BZ125:CH126" si="358">BY125</f>
        <v>1</v>
      </c>
      <c r="CA125" s="1263">
        <f t="shared" si="358"/>
        <v>1</v>
      </c>
      <c r="CB125" s="1263">
        <f t="shared" si="358"/>
        <v>1</v>
      </c>
      <c r="CC125" s="1263">
        <f t="shared" si="358"/>
        <v>1</v>
      </c>
      <c r="CD125" s="1263">
        <f t="shared" si="358"/>
        <v>1</v>
      </c>
      <c r="CE125" s="1263">
        <f t="shared" si="358"/>
        <v>1</v>
      </c>
      <c r="CF125" s="1263">
        <f t="shared" si="358"/>
        <v>1</v>
      </c>
      <c r="CG125" s="1263">
        <f t="shared" si="358"/>
        <v>1</v>
      </c>
      <c r="CH125" s="1263">
        <f t="shared" si="358"/>
        <v>1</v>
      </c>
      <c r="CI125" s="1263">
        <f t="shared" si="285"/>
        <v>1</v>
      </c>
      <c r="CJ125" s="1263">
        <f t="shared" si="285"/>
        <v>1</v>
      </c>
      <c r="CK125" s="1263"/>
      <c r="CL125" s="1920">
        <f t="shared" si="286"/>
        <v>200000</v>
      </c>
      <c r="CM125" s="78">
        <f t="shared" si="287"/>
        <v>60000</v>
      </c>
      <c r="CN125" s="78">
        <f t="shared" si="288"/>
        <v>200000</v>
      </c>
      <c r="CO125" s="78">
        <f t="shared" si="289"/>
        <v>0</v>
      </c>
      <c r="CP125" s="78">
        <f t="shared" si="290"/>
        <v>0</v>
      </c>
      <c r="CQ125" s="78">
        <f t="shared" si="291"/>
        <v>0</v>
      </c>
      <c r="CR125" s="78">
        <f t="shared" si="292"/>
        <v>0</v>
      </c>
      <c r="CS125" s="78">
        <f t="shared" si="293"/>
        <v>0</v>
      </c>
      <c r="CT125" s="78">
        <f t="shared" si="294"/>
        <v>0</v>
      </c>
      <c r="CU125" s="78">
        <f t="shared" si="295"/>
        <v>0</v>
      </c>
      <c r="CV125" s="78">
        <f t="shared" si="296"/>
        <v>0</v>
      </c>
      <c r="CW125" s="131">
        <f t="shared" si="297"/>
        <v>0</v>
      </c>
    </row>
    <row r="126" spans="1:101" x14ac:dyDescent="0.2">
      <c r="A126" s="869" t="s">
        <v>6027</v>
      </c>
      <c r="B126" s="2368"/>
      <c r="C126" s="2343"/>
      <c r="D126" s="2396"/>
      <c r="E126" s="502"/>
      <c r="F126" s="33"/>
      <c r="G126" s="33"/>
      <c r="H126" s="33">
        <v>2500000</v>
      </c>
      <c r="I126" s="33"/>
      <c r="J126" s="76"/>
      <c r="K126" s="33"/>
      <c r="L126" s="33"/>
      <c r="M126" s="142"/>
      <c r="N126" s="33"/>
      <c r="O126" s="33"/>
      <c r="P126" s="102"/>
      <c r="Q126" s="142"/>
      <c r="R126" s="33"/>
      <c r="S126" s="33"/>
      <c r="T126" s="33"/>
      <c r="U126" s="102">
        <f t="shared" si="272"/>
        <v>0</v>
      </c>
      <c r="V126" s="186"/>
      <c r="W126" s="33"/>
      <c r="X126" s="99"/>
      <c r="Y126" s="33"/>
      <c r="Z126" s="102">
        <f t="shared" si="273"/>
        <v>0</v>
      </c>
      <c r="AA126" s="142"/>
      <c r="AB126" s="33"/>
      <c r="AC126" s="33"/>
      <c r="AD126" s="33"/>
      <c r="AE126" s="102">
        <f t="shared" si="274"/>
        <v>0</v>
      </c>
      <c r="AF126" s="142"/>
      <c r="AG126" s="33"/>
      <c r="AH126" s="33">
        <f>'Cap Inc'!G143</f>
        <v>2500000</v>
      </c>
      <c r="AI126" s="33"/>
      <c r="AJ126" s="102">
        <f t="shared" si="275"/>
        <v>0</v>
      </c>
      <c r="AK126" s="142"/>
      <c r="AL126" s="33"/>
      <c r="AM126" s="33"/>
      <c r="AN126" s="33"/>
      <c r="AO126" s="114">
        <f t="shared" si="276"/>
        <v>0</v>
      </c>
      <c r="AP126" s="142"/>
      <c r="AQ126" s="33"/>
      <c r="AR126" s="33"/>
      <c r="AS126" s="33"/>
      <c r="AT126" s="102">
        <f t="shared" si="277"/>
        <v>0</v>
      </c>
      <c r="AV126" s="33"/>
      <c r="AW126" s="33"/>
      <c r="AX126" s="33"/>
      <c r="AY126" s="102">
        <f t="shared" si="278"/>
        <v>0</v>
      </c>
      <c r="AZ126" s="142"/>
      <c r="BA126" s="33"/>
      <c r="BB126" s="33"/>
      <c r="BC126" s="33"/>
      <c r="BD126" s="102">
        <f t="shared" si="279"/>
        <v>0</v>
      </c>
      <c r="BE126" s="142"/>
      <c r="BF126" s="33"/>
      <c r="BG126" s="33"/>
      <c r="BH126" s="33"/>
      <c r="BI126" s="102">
        <f t="shared" si="280"/>
        <v>0</v>
      </c>
      <c r="BJ126" s="142"/>
      <c r="BK126" s="33"/>
      <c r="BL126" s="33"/>
      <c r="BM126" s="33"/>
      <c r="BN126" s="102">
        <f t="shared" si="281"/>
        <v>0</v>
      </c>
      <c r="BO126" s="142"/>
      <c r="BP126" s="33"/>
      <c r="BQ126" s="33"/>
      <c r="BR126" s="33"/>
      <c r="BS126" s="102">
        <f t="shared" si="282"/>
        <v>0</v>
      </c>
      <c r="BT126" s="142"/>
      <c r="BU126" s="33"/>
      <c r="BV126" s="33"/>
      <c r="BW126" s="33"/>
      <c r="BX126" s="99">
        <f t="shared" si="283"/>
        <v>0</v>
      </c>
      <c r="BY126" s="2438">
        <v>0</v>
      </c>
      <c r="BZ126" s="1263">
        <f t="shared" si="358"/>
        <v>0</v>
      </c>
      <c r="CA126" s="1263">
        <f t="shared" si="358"/>
        <v>0</v>
      </c>
      <c r="CB126" s="1263">
        <f t="shared" si="358"/>
        <v>0</v>
      </c>
      <c r="CC126" s="1263">
        <f t="shared" si="358"/>
        <v>0</v>
      </c>
      <c r="CD126" s="1263">
        <f t="shared" si="358"/>
        <v>0</v>
      </c>
      <c r="CE126" s="1263">
        <f t="shared" si="358"/>
        <v>0</v>
      </c>
      <c r="CF126" s="1263">
        <f t="shared" si="358"/>
        <v>0</v>
      </c>
      <c r="CG126" s="1263">
        <f t="shared" si="358"/>
        <v>0</v>
      </c>
      <c r="CH126" s="1263">
        <f t="shared" si="358"/>
        <v>0</v>
      </c>
      <c r="CI126" s="1263">
        <f t="shared" si="285"/>
        <v>0</v>
      </c>
      <c r="CJ126" s="1263">
        <f t="shared" si="285"/>
        <v>0</v>
      </c>
      <c r="CK126" s="1263"/>
      <c r="CL126" s="1920">
        <f t="shared" si="286"/>
        <v>0</v>
      </c>
      <c r="CM126" s="78">
        <f t="shared" si="287"/>
        <v>0</v>
      </c>
      <c r="CN126" s="78">
        <f t="shared" si="288"/>
        <v>0</v>
      </c>
      <c r="CO126" s="78">
        <f t="shared" si="289"/>
        <v>0</v>
      </c>
      <c r="CP126" s="78">
        <f t="shared" si="290"/>
        <v>0</v>
      </c>
      <c r="CQ126" s="78">
        <f t="shared" si="291"/>
        <v>0</v>
      </c>
      <c r="CR126" s="78">
        <f t="shared" si="292"/>
        <v>0</v>
      </c>
      <c r="CS126" s="78">
        <f t="shared" si="293"/>
        <v>0</v>
      </c>
      <c r="CT126" s="78">
        <f t="shared" si="294"/>
        <v>0</v>
      </c>
      <c r="CU126" s="78">
        <f t="shared" si="295"/>
        <v>0</v>
      </c>
      <c r="CV126" s="78">
        <f t="shared" si="296"/>
        <v>0</v>
      </c>
      <c r="CW126" s="131">
        <f t="shared" si="297"/>
        <v>0</v>
      </c>
    </row>
    <row r="127" spans="1:101" x14ac:dyDescent="0.2">
      <c r="A127" s="869" t="s">
        <v>7067</v>
      </c>
      <c r="B127" s="2208"/>
      <c r="C127" s="2334"/>
      <c r="D127" s="2396" t="s">
        <v>5164</v>
      </c>
      <c r="E127" s="502">
        <v>473800</v>
      </c>
      <c r="F127" s="33"/>
      <c r="G127" s="33"/>
      <c r="H127" s="33"/>
      <c r="I127" s="33"/>
      <c r="J127" s="99"/>
      <c r="K127" s="76"/>
      <c r="L127" s="33"/>
      <c r="M127" s="142"/>
      <c r="N127" s="33"/>
      <c r="O127" s="33"/>
      <c r="P127" s="102"/>
      <c r="Q127" s="142"/>
      <c r="R127" s="33">
        <v>106200</v>
      </c>
      <c r="S127" s="33"/>
      <c r="T127" s="33">
        <v>119300</v>
      </c>
      <c r="U127" s="102">
        <f t="shared" si="272"/>
        <v>248300</v>
      </c>
      <c r="V127" s="186"/>
      <c r="W127" s="33"/>
      <c r="X127" s="99"/>
      <c r="Y127" s="33"/>
      <c r="Z127" s="102">
        <f t="shared" si="273"/>
        <v>0</v>
      </c>
      <c r="AA127" s="142"/>
      <c r="AB127" s="33"/>
      <c r="AC127" s="33"/>
      <c r="AD127" s="33"/>
      <c r="AE127" s="102">
        <f t="shared" si="274"/>
        <v>0</v>
      </c>
      <c r="AF127" s="142"/>
      <c r="AG127" s="33"/>
      <c r="AH127" s="33"/>
      <c r="AI127" s="33"/>
      <c r="AJ127" s="102">
        <f t="shared" si="275"/>
        <v>0</v>
      </c>
      <c r="AK127" s="142"/>
      <c r="AL127" s="33"/>
      <c r="AM127" s="33"/>
      <c r="AN127" s="33"/>
      <c r="AO127" s="114">
        <f t="shared" si="276"/>
        <v>0</v>
      </c>
      <c r="AP127" s="142"/>
      <c r="AQ127" s="33"/>
      <c r="AR127" s="33"/>
      <c r="AS127" s="33"/>
      <c r="AT127" s="102">
        <f t="shared" si="277"/>
        <v>0</v>
      </c>
      <c r="AV127" s="33"/>
      <c r="AW127" s="33"/>
      <c r="AX127" s="33"/>
      <c r="AY127" s="102">
        <f t="shared" si="278"/>
        <v>0</v>
      </c>
      <c r="AZ127" s="142"/>
      <c r="BA127" s="33"/>
      <c r="BB127" s="33"/>
      <c r="BC127" s="33"/>
      <c r="BD127" s="102">
        <f t="shared" si="279"/>
        <v>0</v>
      </c>
      <c r="BE127" s="142"/>
      <c r="BF127" s="33"/>
      <c r="BG127" s="33"/>
      <c r="BH127" s="33"/>
      <c r="BI127" s="102">
        <f t="shared" si="280"/>
        <v>0</v>
      </c>
      <c r="BJ127" s="142"/>
      <c r="BK127" s="33"/>
      <c r="BL127" s="33"/>
      <c r="BM127" s="33"/>
      <c r="BN127" s="102">
        <f t="shared" si="281"/>
        <v>0</v>
      </c>
      <c r="BO127" s="142"/>
      <c r="BP127" s="33"/>
      <c r="BQ127" s="33"/>
      <c r="BR127" s="33"/>
      <c r="BS127" s="102">
        <f t="shared" si="282"/>
        <v>0</v>
      </c>
      <c r="BT127" s="142"/>
      <c r="BU127" s="33"/>
      <c r="BV127" s="33"/>
      <c r="BW127" s="33"/>
      <c r="BX127" s="99">
        <f t="shared" si="283"/>
        <v>0</v>
      </c>
      <c r="BY127" s="2438">
        <v>1</v>
      </c>
      <c r="BZ127" s="1263">
        <f t="shared" ref="BZ127:CH127" si="359">BY127</f>
        <v>1</v>
      </c>
      <c r="CA127" s="1263">
        <f t="shared" si="359"/>
        <v>1</v>
      </c>
      <c r="CB127" s="1263">
        <f t="shared" si="359"/>
        <v>1</v>
      </c>
      <c r="CC127" s="1263">
        <f t="shared" si="359"/>
        <v>1</v>
      </c>
      <c r="CD127" s="1263">
        <f t="shared" si="359"/>
        <v>1</v>
      </c>
      <c r="CE127" s="1263">
        <f t="shared" si="359"/>
        <v>1</v>
      </c>
      <c r="CF127" s="1263">
        <f t="shared" si="359"/>
        <v>1</v>
      </c>
      <c r="CG127" s="1263">
        <f t="shared" si="359"/>
        <v>1</v>
      </c>
      <c r="CH127" s="1263">
        <f t="shared" si="359"/>
        <v>1</v>
      </c>
      <c r="CI127" s="1263">
        <f t="shared" si="285"/>
        <v>1</v>
      </c>
      <c r="CJ127" s="1263">
        <f t="shared" si="285"/>
        <v>1</v>
      </c>
      <c r="CK127" s="1263"/>
      <c r="CL127" s="1920">
        <f t="shared" si="286"/>
        <v>474000</v>
      </c>
      <c r="CM127" s="78">
        <f t="shared" si="287"/>
        <v>0</v>
      </c>
      <c r="CN127" s="78">
        <f t="shared" si="288"/>
        <v>0</v>
      </c>
      <c r="CO127" s="78">
        <f t="shared" si="289"/>
        <v>0</v>
      </c>
      <c r="CP127" s="78">
        <f t="shared" si="290"/>
        <v>0</v>
      </c>
      <c r="CQ127" s="78">
        <f t="shared" si="291"/>
        <v>0</v>
      </c>
      <c r="CR127" s="78">
        <f t="shared" si="292"/>
        <v>0</v>
      </c>
      <c r="CS127" s="78">
        <f t="shared" si="293"/>
        <v>0</v>
      </c>
      <c r="CT127" s="78">
        <f t="shared" si="294"/>
        <v>0</v>
      </c>
      <c r="CU127" s="78">
        <f t="shared" si="295"/>
        <v>0</v>
      </c>
      <c r="CV127" s="78">
        <f t="shared" si="296"/>
        <v>0</v>
      </c>
      <c r="CW127" s="131">
        <f t="shared" si="297"/>
        <v>0</v>
      </c>
    </row>
    <row r="128" spans="1:101" x14ac:dyDescent="0.2">
      <c r="A128" s="869" t="s">
        <v>5985</v>
      </c>
      <c r="B128" s="2356" t="s">
        <v>5184</v>
      </c>
      <c r="C128" s="111" t="s">
        <v>5185</v>
      </c>
      <c r="D128" s="2396" t="s">
        <v>5164</v>
      </c>
      <c r="E128" s="502"/>
      <c r="F128" s="33">
        <f>70000+239900</f>
        <v>309900</v>
      </c>
      <c r="G128" s="33"/>
      <c r="H128" s="33">
        <f>'Sec 94 Roads'!I12</f>
        <v>16722000</v>
      </c>
      <c r="I128" s="33"/>
      <c r="J128" s="33"/>
      <c r="K128" s="99"/>
      <c r="L128" s="33"/>
      <c r="M128" s="33"/>
      <c r="N128" s="33"/>
      <c r="O128" s="33"/>
      <c r="P128" s="102"/>
      <c r="Q128" s="142"/>
      <c r="R128" s="33">
        <f>E128*0.7</f>
        <v>0</v>
      </c>
      <c r="S128" s="33"/>
      <c r="T128" s="33">
        <f>'Res-Gen'!C165</f>
        <v>135000</v>
      </c>
      <c r="U128" s="102">
        <f t="shared" si="272"/>
        <v>-135000</v>
      </c>
      <c r="V128" s="186"/>
      <c r="W128" s="33">
        <f>(70000*0.7)+239900</f>
        <v>288900</v>
      </c>
      <c r="X128" s="99"/>
      <c r="Y128" s="33">
        <f>'Res-Gen'!F165</f>
        <v>21000</v>
      </c>
      <c r="Z128" s="102">
        <f t="shared" si="273"/>
        <v>0</v>
      </c>
      <c r="AA128" s="142"/>
      <c r="AB128" s="33"/>
      <c r="AC128" s="33"/>
      <c r="AD128" s="33"/>
      <c r="AE128" s="102">
        <f t="shared" si="274"/>
        <v>0</v>
      </c>
      <c r="AF128" s="142"/>
      <c r="AG128" s="33">
        <f>H128</f>
        <v>16722000</v>
      </c>
      <c r="AH128" s="33"/>
      <c r="AI128" s="33"/>
      <c r="AJ128" s="102">
        <f t="shared" si="275"/>
        <v>0</v>
      </c>
      <c r="AK128" s="142"/>
      <c r="AL128" s="33"/>
      <c r="AM128" s="33"/>
      <c r="AN128" s="33"/>
      <c r="AO128" s="114">
        <f t="shared" si="276"/>
        <v>0</v>
      </c>
      <c r="AP128" s="142"/>
      <c r="AQ128" s="33"/>
      <c r="AR128" s="33"/>
      <c r="AS128" s="33"/>
      <c r="AT128" s="102">
        <f t="shared" si="277"/>
        <v>0</v>
      </c>
      <c r="AV128" s="33"/>
      <c r="AW128" s="33"/>
      <c r="AX128" s="33"/>
      <c r="AY128" s="102">
        <f t="shared" si="278"/>
        <v>0</v>
      </c>
      <c r="AZ128" s="142"/>
      <c r="BA128" s="33"/>
      <c r="BB128" s="33"/>
      <c r="BC128" s="33"/>
      <c r="BD128" s="102">
        <f t="shared" si="279"/>
        <v>0</v>
      </c>
      <c r="BE128" s="142"/>
      <c r="BF128" s="33"/>
      <c r="BG128" s="33"/>
      <c r="BH128" s="33"/>
      <c r="BI128" s="102">
        <f t="shared" si="280"/>
        <v>0</v>
      </c>
      <c r="BJ128" s="142"/>
      <c r="BK128" s="33"/>
      <c r="BL128" s="33"/>
      <c r="BM128" s="33"/>
      <c r="BN128" s="102">
        <f t="shared" si="281"/>
        <v>0</v>
      </c>
      <c r="BO128" s="142"/>
      <c r="BP128" s="33"/>
      <c r="BQ128" s="33"/>
      <c r="BR128" s="33"/>
      <c r="BS128" s="102">
        <f t="shared" si="282"/>
        <v>0</v>
      </c>
      <c r="BT128" s="142"/>
      <c r="BU128" s="33"/>
      <c r="BV128" s="33"/>
      <c r="BW128" s="33"/>
      <c r="BX128" s="99">
        <f t="shared" si="283"/>
        <v>0</v>
      </c>
      <c r="BY128" s="2438">
        <v>0</v>
      </c>
      <c r="BZ128" s="1263">
        <f t="shared" ref="BZ128:BZ133" si="360">BY128</f>
        <v>0</v>
      </c>
      <c r="CA128" s="1263">
        <f t="shared" ref="CA128:CA133" si="361">BZ128</f>
        <v>0</v>
      </c>
      <c r="CB128" s="1263">
        <f t="shared" ref="CB128:CB133" si="362">CA128</f>
        <v>0</v>
      </c>
      <c r="CC128" s="1263">
        <f t="shared" ref="CC128:CC133" si="363">CB128</f>
        <v>0</v>
      </c>
      <c r="CD128" s="1263">
        <f t="shared" ref="CD128:CD133" si="364">CC128</f>
        <v>0</v>
      </c>
      <c r="CE128" s="1263">
        <f t="shared" ref="CE128:CE133" si="365">CD128</f>
        <v>0</v>
      </c>
      <c r="CF128" s="1263">
        <f t="shared" ref="CF128:CF133" si="366">CE128</f>
        <v>0</v>
      </c>
      <c r="CG128" s="1263">
        <f t="shared" ref="CG128:CG133" si="367">CF128</f>
        <v>0</v>
      </c>
      <c r="CH128" s="1263">
        <f t="shared" ref="CH128:CH133" si="368">CG128</f>
        <v>0</v>
      </c>
      <c r="CI128" s="1263">
        <f t="shared" ref="CI128:CI133" si="369">CH128</f>
        <v>0</v>
      </c>
      <c r="CJ128" s="1263">
        <f t="shared" ref="CJ128:CJ133" si="370">CI128</f>
        <v>0</v>
      </c>
      <c r="CK128" s="1263"/>
      <c r="CL128" s="1920">
        <f t="shared" si="286"/>
        <v>0</v>
      </c>
      <c r="CM128" s="78">
        <f t="shared" si="287"/>
        <v>0</v>
      </c>
      <c r="CN128" s="78">
        <f t="shared" si="288"/>
        <v>0</v>
      </c>
      <c r="CO128" s="78">
        <f t="shared" si="289"/>
        <v>0</v>
      </c>
      <c r="CP128" s="78">
        <f t="shared" si="290"/>
        <v>0</v>
      </c>
      <c r="CQ128" s="78">
        <f t="shared" si="291"/>
        <v>0</v>
      </c>
      <c r="CR128" s="78">
        <f t="shared" si="292"/>
        <v>0</v>
      </c>
      <c r="CS128" s="78">
        <f t="shared" si="293"/>
        <v>0</v>
      </c>
      <c r="CT128" s="78">
        <f t="shared" si="294"/>
        <v>0</v>
      </c>
      <c r="CU128" s="78">
        <f t="shared" si="295"/>
        <v>0</v>
      </c>
      <c r="CV128" s="78">
        <f t="shared" si="296"/>
        <v>0</v>
      </c>
      <c r="CW128" s="131">
        <f t="shared" si="297"/>
        <v>0</v>
      </c>
    </row>
    <row r="129" spans="1:101" x14ac:dyDescent="0.2">
      <c r="A129" s="869" t="s">
        <v>6018</v>
      </c>
      <c r="B129" s="2208"/>
      <c r="C129" s="2334"/>
      <c r="D129" s="2396" t="s">
        <v>5164</v>
      </c>
      <c r="E129" s="2343"/>
      <c r="F129" s="33"/>
      <c r="G129" s="33"/>
      <c r="H129" s="33"/>
      <c r="I129" s="33"/>
      <c r="J129" s="99">
        <f>'Sec 94 Roads'!K6+'Sec 94 Roads'!K7</f>
        <v>15614000</v>
      </c>
      <c r="K129" s="33"/>
      <c r="L129" s="33"/>
      <c r="M129" s="33"/>
      <c r="N129" s="33"/>
      <c r="O129" s="33"/>
      <c r="P129" s="102"/>
      <c r="Q129" s="142"/>
      <c r="R129" s="33"/>
      <c r="S129" s="33"/>
      <c r="T129" s="33"/>
      <c r="U129" s="102"/>
      <c r="V129" s="186"/>
      <c r="W129" s="33"/>
      <c r="X129" s="99"/>
      <c r="Y129" s="33"/>
      <c r="Z129" s="102">
        <f t="shared" si="273"/>
        <v>0</v>
      </c>
      <c r="AA129" s="142"/>
      <c r="AB129" s="33"/>
      <c r="AC129" s="33"/>
      <c r="AD129" s="33"/>
      <c r="AE129" s="102">
        <f t="shared" si="274"/>
        <v>0</v>
      </c>
      <c r="AF129" s="142"/>
      <c r="AG129" s="33"/>
      <c r="AH129" s="33"/>
      <c r="AI129" s="33"/>
      <c r="AJ129" s="102">
        <f t="shared" si="275"/>
        <v>0</v>
      </c>
      <c r="AK129" s="142"/>
      <c r="AL129" s="33"/>
      <c r="AM129" s="33"/>
      <c r="AN129" s="33"/>
      <c r="AO129" s="114">
        <f t="shared" si="276"/>
        <v>0</v>
      </c>
      <c r="AP129" s="142"/>
      <c r="AQ129" s="33">
        <f>ROUND('Sec 94 Roads'!K7*'Sec 94 Roads'!D7+'Sec 94 Roads'!K6*'Sec 94 Roads'!D6,-3)</f>
        <v>10438000</v>
      </c>
      <c r="AR129" s="33">
        <f>J129-AQ129</f>
        <v>5176000</v>
      </c>
      <c r="AS129" s="33"/>
      <c r="AT129" s="102">
        <f t="shared" si="277"/>
        <v>0</v>
      </c>
      <c r="AV129" s="33"/>
      <c r="AW129" s="33"/>
      <c r="AX129" s="33"/>
      <c r="AY129" s="102">
        <f t="shared" si="278"/>
        <v>0</v>
      </c>
      <c r="AZ129" s="142"/>
      <c r="BA129" s="33"/>
      <c r="BB129" s="33"/>
      <c r="BC129" s="33"/>
      <c r="BD129" s="102">
        <f t="shared" si="279"/>
        <v>0</v>
      </c>
      <c r="BE129" s="142"/>
      <c r="BF129" s="33"/>
      <c r="BG129" s="33"/>
      <c r="BH129" s="33"/>
      <c r="BI129" s="102">
        <f t="shared" si="280"/>
        <v>0</v>
      </c>
      <c r="BJ129" s="142"/>
      <c r="BK129" s="33"/>
      <c r="BL129" s="33"/>
      <c r="BM129" s="33"/>
      <c r="BN129" s="102">
        <f t="shared" si="281"/>
        <v>0</v>
      </c>
      <c r="BO129" s="142"/>
      <c r="BP129" s="33"/>
      <c r="BQ129" s="33"/>
      <c r="BR129" s="33"/>
      <c r="BS129" s="102">
        <f t="shared" si="282"/>
        <v>0</v>
      </c>
      <c r="BT129" s="142"/>
      <c r="BU129" s="33"/>
      <c r="BV129" s="33"/>
      <c r="BW129" s="33"/>
      <c r="BX129" s="99">
        <f t="shared" si="283"/>
        <v>0</v>
      </c>
      <c r="BY129" s="2438">
        <v>0.75</v>
      </c>
      <c r="BZ129" s="1263">
        <f t="shared" si="360"/>
        <v>0.75</v>
      </c>
      <c r="CA129" s="1263">
        <f t="shared" si="361"/>
        <v>0.75</v>
      </c>
      <c r="CB129" s="1263">
        <f t="shared" si="362"/>
        <v>0.75</v>
      </c>
      <c r="CC129" s="1263">
        <f t="shared" si="363"/>
        <v>0.75</v>
      </c>
      <c r="CD129" s="1263">
        <f t="shared" si="364"/>
        <v>0.75</v>
      </c>
      <c r="CE129" s="1263">
        <f t="shared" si="365"/>
        <v>0.75</v>
      </c>
      <c r="CF129" s="1263">
        <f t="shared" si="366"/>
        <v>0.75</v>
      </c>
      <c r="CG129" s="1263">
        <f t="shared" si="367"/>
        <v>0.75</v>
      </c>
      <c r="CH129" s="1263">
        <f t="shared" si="368"/>
        <v>0.75</v>
      </c>
      <c r="CI129" s="1263">
        <f t="shared" si="369"/>
        <v>0.75</v>
      </c>
      <c r="CJ129" s="1263">
        <f t="shared" si="370"/>
        <v>0.75</v>
      </c>
      <c r="CK129" s="1263"/>
      <c r="CL129" s="1920">
        <f t="shared" si="286"/>
        <v>0</v>
      </c>
      <c r="CM129" s="78">
        <f t="shared" si="287"/>
        <v>0</v>
      </c>
      <c r="CN129" s="78">
        <f t="shared" si="288"/>
        <v>0</v>
      </c>
      <c r="CO129" s="78">
        <f t="shared" si="289"/>
        <v>0</v>
      </c>
      <c r="CP129" s="78">
        <f t="shared" si="290"/>
        <v>0</v>
      </c>
      <c r="CQ129" s="78">
        <f t="shared" si="291"/>
        <v>11711000</v>
      </c>
      <c r="CR129" s="78">
        <f t="shared" si="292"/>
        <v>0</v>
      </c>
      <c r="CS129" s="78">
        <f t="shared" si="293"/>
        <v>0</v>
      </c>
      <c r="CT129" s="78">
        <f t="shared" si="294"/>
        <v>0</v>
      </c>
      <c r="CU129" s="78">
        <f t="shared" si="295"/>
        <v>0</v>
      </c>
      <c r="CV129" s="78">
        <f t="shared" si="296"/>
        <v>0</v>
      </c>
      <c r="CW129" s="131">
        <f t="shared" si="297"/>
        <v>0</v>
      </c>
    </row>
    <row r="130" spans="1:101" x14ac:dyDescent="0.2">
      <c r="A130" s="869" t="s">
        <v>6085</v>
      </c>
      <c r="B130" s="2208"/>
      <c r="C130" s="2334"/>
      <c r="D130" s="2396" t="s">
        <v>5164</v>
      </c>
      <c r="E130" s="2343"/>
      <c r="F130" s="33"/>
      <c r="G130" s="33"/>
      <c r="H130" s="33"/>
      <c r="I130" s="33"/>
      <c r="J130" s="33">
        <f>'Sec 94 Roads'!K8</f>
        <v>6195000</v>
      </c>
      <c r="K130" s="33"/>
      <c r="L130" s="76"/>
      <c r="M130" s="33"/>
      <c r="N130" s="33"/>
      <c r="O130" s="33"/>
      <c r="P130" s="102"/>
      <c r="Q130" s="142"/>
      <c r="R130" s="33"/>
      <c r="S130" s="33"/>
      <c r="T130" s="33"/>
      <c r="U130" s="102"/>
      <c r="V130" s="186"/>
      <c r="W130" s="33"/>
      <c r="X130" s="99"/>
      <c r="Y130" s="33"/>
      <c r="Z130" s="102">
        <f t="shared" si="273"/>
        <v>0</v>
      </c>
      <c r="AA130" s="142"/>
      <c r="AB130" s="33"/>
      <c r="AC130" s="33"/>
      <c r="AD130" s="33"/>
      <c r="AE130" s="102">
        <f t="shared" si="274"/>
        <v>0</v>
      </c>
      <c r="AF130" s="142"/>
      <c r="AG130" s="33"/>
      <c r="AH130" s="33"/>
      <c r="AI130" s="33"/>
      <c r="AJ130" s="102">
        <f t="shared" si="275"/>
        <v>0</v>
      </c>
      <c r="AK130" s="142"/>
      <c r="AL130" s="33"/>
      <c r="AM130" s="33"/>
      <c r="AN130" s="33"/>
      <c r="AO130" s="114">
        <f t="shared" si="276"/>
        <v>0</v>
      </c>
      <c r="AP130" s="142"/>
      <c r="AQ130" s="33">
        <f>ROUND('Sec 94 Roads'!K8*'Sec 94 Roads'!D8,-3)</f>
        <v>3072000</v>
      </c>
      <c r="AR130" s="33">
        <f>J130-AQ130</f>
        <v>3123000</v>
      </c>
      <c r="AS130" s="33"/>
      <c r="AT130" s="102">
        <f t="shared" si="277"/>
        <v>0</v>
      </c>
      <c r="AV130" s="33"/>
      <c r="AW130" s="33"/>
      <c r="AX130" s="33"/>
      <c r="AY130" s="102">
        <f t="shared" si="278"/>
        <v>0</v>
      </c>
      <c r="AZ130" s="142"/>
      <c r="BA130" s="33"/>
      <c r="BB130" s="33"/>
      <c r="BC130" s="33"/>
      <c r="BD130" s="102">
        <f t="shared" si="279"/>
        <v>0</v>
      </c>
      <c r="BE130" s="142"/>
      <c r="BF130" s="33"/>
      <c r="BG130" s="33"/>
      <c r="BH130" s="33"/>
      <c r="BI130" s="102">
        <f t="shared" si="280"/>
        <v>0</v>
      </c>
      <c r="BJ130" s="142"/>
      <c r="BK130" s="33"/>
      <c r="BL130" s="33"/>
      <c r="BM130" s="33"/>
      <c r="BN130" s="102">
        <f t="shared" si="281"/>
        <v>0</v>
      </c>
      <c r="BO130" s="142"/>
      <c r="BP130" s="33"/>
      <c r="BQ130" s="33"/>
      <c r="BR130" s="33"/>
      <c r="BS130" s="102">
        <f t="shared" si="282"/>
        <v>0</v>
      </c>
      <c r="BT130" s="142"/>
      <c r="BU130" s="33"/>
      <c r="BV130" s="33"/>
      <c r="BW130" s="33"/>
      <c r="BX130" s="99">
        <f t="shared" si="283"/>
        <v>0</v>
      </c>
      <c r="BY130" s="2438">
        <v>0.75</v>
      </c>
      <c r="BZ130" s="1263">
        <f t="shared" si="360"/>
        <v>0.75</v>
      </c>
      <c r="CA130" s="1263">
        <f t="shared" si="361"/>
        <v>0.75</v>
      </c>
      <c r="CB130" s="1263">
        <f t="shared" si="362"/>
        <v>0.75</v>
      </c>
      <c r="CC130" s="1263">
        <f t="shared" si="363"/>
        <v>0.75</v>
      </c>
      <c r="CD130" s="1263">
        <f t="shared" si="364"/>
        <v>0.75</v>
      </c>
      <c r="CE130" s="1263">
        <f t="shared" si="365"/>
        <v>0.75</v>
      </c>
      <c r="CF130" s="1263">
        <f t="shared" si="366"/>
        <v>0.75</v>
      </c>
      <c r="CG130" s="1263">
        <f t="shared" si="367"/>
        <v>0.75</v>
      </c>
      <c r="CH130" s="1263">
        <f t="shared" si="368"/>
        <v>0.75</v>
      </c>
      <c r="CI130" s="1263">
        <f t="shared" si="369"/>
        <v>0.75</v>
      </c>
      <c r="CJ130" s="1263">
        <f t="shared" si="370"/>
        <v>0.75</v>
      </c>
      <c r="CK130" s="1263"/>
      <c r="CL130" s="1920">
        <f t="shared" si="286"/>
        <v>0</v>
      </c>
      <c r="CM130" s="78">
        <f t="shared" si="287"/>
        <v>0</v>
      </c>
      <c r="CN130" s="78">
        <f t="shared" si="288"/>
        <v>0</v>
      </c>
      <c r="CO130" s="78">
        <f t="shared" si="289"/>
        <v>0</v>
      </c>
      <c r="CP130" s="78">
        <f t="shared" si="290"/>
        <v>0</v>
      </c>
      <c r="CQ130" s="78">
        <f t="shared" si="291"/>
        <v>4646000</v>
      </c>
      <c r="CR130" s="78">
        <f t="shared" si="292"/>
        <v>0</v>
      </c>
      <c r="CS130" s="78">
        <f t="shared" si="293"/>
        <v>0</v>
      </c>
      <c r="CT130" s="78">
        <f t="shared" si="294"/>
        <v>0</v>
      </c>
      <c r="CU130" s="78">
        <f t="shared" si="295"/>
        <v>0</v>
      </c>
      <c r="CV130" s="78">
        <f t="shared" si="296"/>
        <v>0</v>
      </c>
      <c r="CW130" s="131">
        <f t="shared" si="297"/>
        <v>0</v>
      </c>
    </row>
    <row r="131" spans="1:101" x14ac:dyDescent="0.2">
      <c r="A131" s="869" t="s">
        <v>6086</v>
      </c>
      <c r="B131" s="2208"/>
      <c r="C131" s="2334"/>
      <c r="D131" s="2396" t="s">
        <v>5164</v>
      </c>
      <c r="E131" s="2343"/>
      <c r="F131" s="33"/>
      <c r="G131" s="33"/>
      <c r="H131" s="33"/>
      <c r="I131" s="33"/>
      <c r="J131" s="33">
        <f>'Sec 94 Roads'!K9</f>
        <v>155000</v>
      </c>
      <c r="K131" s="33"/>
      <c r="L131" s="76"/>
      <c r="M131" s="33"/>
      <c r="N131" s="33"/>
      <c r="O131" s="33"/>
      <c r="P131" s="102"/>
      <c r="Q131" s="142"/>
      <c r="R131" s="33"/>
      <c r="S131" s="33"/>
      <c r="T131" s="33"/>
      <c r="U131" s="102"/>
      <c r="V131" s="186"/>
      <c r="W131" s="33"/>
      <c r="X131" s="99"/>
      <c r="Y131" s="33"/>
      <c r="Z131" s="102">
        <f t="shared" si="273"/>
        <v>0</v>
      </c>
      <c r="AA131" s="142"/>
      <c r="AB131" s="33"/>
      <c r="AC131" s="33"/>
      <c r="AD131" s="33"/>
      <c r="AE131" s="102">
        <f t="shared" si="274"/>
        <v>0</v>
      </c>
      <c r="AF131" s="142"/>
      <c r="AG131" s="33"/>
      <c r="AH131" s="33"/>
      <c r="AI131" s="33"/>
      <c r="AJ131" s="102">
        <f t="shared" si="275"/>
        <v>0</v>
      </c>
      <c r="AK131" s="142"/>
      <c r="AL131" s="33"/>
      <c r="AM131" s="33"/>
      <c r="AN131" s="33"/>
      <c r="AO131" s="114">
        <f t="shared" si="276"/>
        <v>0</v>
      </c>
      <c r="AP131" s="142"/>
      <c r="AQ131" s="33">
        <f>ROUND('Sec 94 Roads'!K9*'Sec 94 Roads'!D9,-3)</f>
        <v>114000</v>
      </c>
      <c r="AR131" s="33">
        <f>J131-AQ131</f>
        <v>41000</v>
      </c>
      <c r="AS131" s="33"/>
      <c r="AT131" s="102">
        <f t="shared" si="277"/>
        <v>0</v>
      </c>
      <c r="AV131" s="33"/>
      <c r="AW131" s="33"/>
      <c r="AX131" s="33"/>
      <c r="AY131" s="102">
        <f t="shared" si="278"/>
        <v>0</v>
      </c>
      <c r="AZ131" s="142"/>
      <c r="BA131" s="33"/>
      <c r="BB131" s="33"/>
      <c r="BC131" s="33"/>
      <c r="BD131" s="102">
        <f t="shared" si="279"/>
        <v>0</v>
      </c>
      <c r="BE131" s="142"/>
      <c r="BF131" s="33"/>
      <c r="BG131" s="33"/>
      <c r="BH131" s="33"/>
      <c r="BI131" s="102">
        <f t="shared" si="280"/>
        <v>0</v>
      </c>
      <c r="BJ131" s="142"/>
      <c r="BK131" s="33"/>
      <c r="BL131" s="33"/>
      <c r="BM131" s="33"/>
      <c r="BN131" s="102">
        <f t="shared" si="281"/>
        <v>0</v>
      </c>
      <c r="BO131" s="142"/>
      <c r="BP131" s="33"/>
      <c r="BQ131" s="33"/>
      <c r="BR131" s="33"/>
      <c r="BS131" s="102">
        <f t="shared" si="282"/>
        <v>0</v>
      </c>
      <c r="BT131" s="142"/>
      <c r="BU131" s="33"/>
      <c r="BV131" s="33"/>
      <c r="BW131" s="33"/>
      <c r="BX131" s="99">
        <f t="shared" si="283"/>
        <v>0</v>
      </c>
      <c r="BY131" s="2438">
        <v>0.75</v>
      </c>
      <c r="BZ131" s="1263">
        <f t="shared" si="360"/>
        <v>0.75</v>
      </c>
      <c r="CA131" s="1263">
        <f t="shared" si="361"/>
        <v>0.75</v>
      </c>
      <c r="CB131" s="1263">
        <f t="shared" si="362"/>
        <v>0.75</v>
      </c>
      <c r="CC131" s="1263">
        <f t="shared" si="363"/>
        <v>0.75</v>
      </c>
      <c r="CD131" s="1263">
        <f t="shared" si="364"/>
        <v>0.75</v>
      </c>
      <c r="CE131" s="1263">
        <f t="shared" si="365"/>
        <v>0.75</v>
      </c>
      <c r="CF131" s="1263">
        <f t="shared" si="366"/>
        <v>0.75</v>
      </c>
      <c r="CG131" s="1263">
        <f t="shared" si="367"/>
        <v>0.75</v>
      </c>
      <c r="CH131" s="1263">
        <f t="shared" si="368"/>
        <v>0.75</v>
      </c>
      <c r="CI131" s="1263">
        <f t="shared" si="369"/>
        <v>0.75</v>
      </c>
      <c r="CJ131" s="1263">
        <f t="shared" si="370"/>
        <v>0.75</v>
      </c>
      <c r="CK131" s="1263"/>
      <c r="CL131" s="1920">
        <f t="shared" si="286"/>
        <v>0</v>
      </c>
      <c r="CM131" s="78">
        <f t="shared" si="287"/>
        <v>0</v>
      </c>
      <c r="CN131" s="78">
        <f t="shared" si="288"/>
        <v>0</v>
      </c>
      <c r="CO131" s="78">
        <f t="shared" si="289"/>
        <v>0</v>
      </c>
      <c r="CP131" s="78">
        <f t="shared" si="290"/>
        <v>0</v>
      </c>
      <c r="CQ131" s="78">
        <f t="shared" si="291"/>
        <v>116000</v>
      </c>
      <c r="CR131" s="78">
        <f t="shared" si="292"/>
        <v>0</v>
      </c>
      <c r="CS131" s="78">
        <f t="shared" si="293"/>
        <v>0</v>
      </c>
      <c r="CT131" s="78">
        <f t="shared" si="294"/>
        <v>0</v>
      </c>
      <c r="CU131" s="78">
        <f t="shared" si="295"/>
        <v>0</v>
      </c>
      <c r="CV131" s="78">
        <f t="shared" si="296"/>
        <v>0</v>
      </c>
      <c r="CW131" s="131">
        <f t="shared" si="297"/>
        <v>0</v>
      </c>
    </row>
    <row r="132" spans="1:101" x14ac:dyDescent="0.2">
      <c r="A132" s="869" t="s">
        <v>6019</v>
      </c>
      <c r="B132" s="2208"/>
      <c r="C132" s="2334"/>
      <c r="D132" s="2396" t="s">
        <v>5164</v>
      </c>
      <c r="E132" s="2343"/>
      <c r="F132" s="33"/>
      <c r="G132" s="33"/>
      <c r="H132" s="33"/>
      <c r="I132" s="33"/>
      <c r="J132" s="33"/>
      <c r="K132" s="33">
        <f>'Sec 94 Roads'!L10</f>
        <v>8556000</v>
      </c>
      <c r="L132" s="33"/>
      <c r="M132" s="33"/>
      <c r="N132" s="33"/>
      <c r="O132" s="33"/>
      <c r="P132" s="102"/>
      <c r="Q132" s="142"/>
      <c r="R132" s="33"/>
      <c r="S132" s="33"/>
      <c r="T132" s="33"/>
      <c r="U132" s="102"/>
      <c r="V132" s="186"/>
      <c r="W132" s="33"/>
      <c r="X132" s="99"/>
      <c r="Y132" s="33"/>
      <c r="Z132" s="102">
        <f t="shared" si="273"/>
        <v>0</v>
      </c>
      <c r="AA132" s="142"/>
      <c r="AB132" s="33"/>
      <c r="AC132" s="33"/>
      <c r="AD132" s="33"/>
      <c r="AE132" s="102">
        <f t="shared" si="274"/>
        <v>0</v>
      </c>
      <c r="AF132" s="142"/>
      <c r="AG132" s="33"/>
      <c r="AH132" s="33"/>
      <c r="AI132" s="33"/>
      <c r="AJ132" s="102">
        <f t="shared" si="275"/>
        <v>0</v>
      </c>
      <c r="AK132" s="142"/>
      <c r="AL132" s="33"/>
      <c r="AM132" s="33"/>
      <c r="AN132" s="33"/>
      <c r="AO132" s="114">
        <f t="shared" si="276"/>
        <v>0</v>
      </c>
      <c r="AP132" s="142"/>
      <c r="AQ132" s="33"/>
      <c r="AR132" s="33"/>
      <c r="AS132" s="33"/>
      <c r="AT132" s="102">
        <f t="shared" si="277"/>
        <v>0</v>
      </c>
      <c r="AV132" s="33">
        <f>ROUND('Sec 94 Roads'!L10*'Sec 94 Roads'!D10,-3)</f>
        <v>8434000</v>
      </c>
      <c r="AW132" s="33"/>
      <c r="AX132" s="33"/>
      <c r="AY132" s="102">
        <f t="shared" si="278"/>
        <v>122000</v>
      </c>
      <c r="AZ132" s="142"/>
      <c r="BA132" s="33"/>
      <c r="BB132" s="33"/>
      <c r="BC132" s="33"/>
      <c r="BD132" s="102">
        <f t="shared" si="279"/>
        <v>0</v>
      </c>
      <c r="BE132" s="142"/>
      <c r="BF132" s="33"/>
      <c r="BG132" s="33"/>
      <c r="BH132" s="33"/>
      <c r="BI132" s="102">
        <f t="shared" si="280"/>
        <v>0</v>
      </c>
      <c r="BJ132" s="142"/>
      <c r="BK132" s="33"/>
      <c r="BL132" s="33"/>
      <c r="BM132" s="33"/>
      <c r="BN132" s="102">
        <f t="shared" si="281"/>
        <v>0</v>
      </c>
      <c r="BO132" s="142"/>
      <c r="BP132" s="33"/>
      <c r="BQ132" s="33"/>
      <c r="BR132" s="33"/>
      <c r="BS132" s="102">
        <f t="shared" si="282"/>
        <v>0</v>
      </c>
      <c r="BT132" s="142"/>
      <c r="BU132" s="33"/>
      <c r="BV132" s="33"/>
      <c r="BW132" s="33"/>
      <c r="BX132" s="99">
        <f t="shared" si="283"/>
        <v>0</v>
      </c>
      <c r="BY132" s="2438">
        <v>0.75</v>
      </c>
      <c r="BZ132" s="1263">
        <f t="shared" si="360"/>
        <v>0.75</v>
      </c>
      <c r="CA132" s="1263">
        <f t="shared" si="361"/>
        <v>0.75</v>
      </c>
      <c r="CB132" s="1263">
        <f t="shared" si="362"/>
        <v>0.75</v>
      </c>
      <c r="CC132" s="1263">
        <f t="shared" si="363"/>
        <v>0.75</v>
      </c>
      <c r="CD132" s="1263">
        <f t="shared" si="364"/>
        <v>0.75</v>
      </c>
      <c r="CE132" s="1263">
        <f t="shared" si="365"/>
        <v>0.75</v>
      </c>
      <c r="CF132" s="1263">
        <f t="shared" si="366"/>
        <v>0.75</v>
      </c>
      <c r="CG132" s="1263">
        <f t="shared" si="367"/>
        <v>0.75</v>
      </c>
      <c r="CH132" s="1263">
        <f t="shared" si="368"/>
        <v>0.75</v>
      </c>
      <c r="CI132" s="1263">
        <f t="shared" si="369"/>
        <v>0.75</v>
      </c>
      <c r="CJ132" s="1263">
        <f t="shared" si="370"/>
        <v>0.75</v>
      </c>
      <c r="CK132" s="1263"/>
      <c r="CL132" s="1920">
        <f t="shared" si="286"/>
        <v>0</v>
      </c>
      <c r="CM132" s="78">
        <f t="shared" si="287"/>
        <v>0</v>
      </c>
      <c r="CN132" s="78">
        <f t="shared" si="288"/>
        <v>0</v>
      </c>
      <c r="CO132" s="78">
        <f t="shared" si="289"/>
        <v>0</v>
      </c>
      <c r="CP132" s="78">
        <f t="shared" si="290"/>
        <v>0</v>
      </c>
      <c r="CQ132" s="78">
        <f t="shared" si="291"/>
        <v>0</v>
      </c>
      <c r="CR132" s="78">
        <f t="shared" si="292"/>
        <v>6417000</v>
      </c>
      <c r="CS132" s="78">
        <f t="shared" si="293"/>
        <v>0</v>
      </c>
      <c r="CT132" s="78">
        <f t="shared" si="294"/>
        <v>0</v>
      </c>
      <c r="CU132" s="78">
        <f t="shared" si="295"/>
        <v>0</v>
      </c>
      <c r="CV132" s="78">
        <f t="shared" si="296"/>
        <v>0</v>
      </c>
      <c r="CW132" s="131">
        <f t="shared" si="297"/>
        <v>0</v>
      </c>
    </row>
    <row r="133" spans="1:101" x14ac:dyDescent="0.2">
      <c r="A133" s="869" t="s">
        <v>6020</v>
      </c>
      <c r="B133" s="2208"/>
      <c r="C133" s="2334"/>
      <c r="D133" s="2396" t="s">
        <v>5164</v>
      </c>
      <c r="E133" s="2343"/>
      <c r="F133" s="33"/>
      <c r="G133" s="33"/>
      <c r="H133" s="33"/>
      <c r="I133" s="33"/>
      <c r="J133" s="99"/>
      <c r="K133" s="33">
        <f>'Sec 94 Roads'!L11</f>
        <v>4786000</v>
      </c>
      <c r="L133" s="76"/>
      <c r="M133" s="33"/>
      <c r="N133" s="33"/>
      <c r="O133" s="33"/>
      <c r="P133" s="102"/>
      <c r="Q133" s="142"/>
      <c r="R133" s="33"/>
      <c r="S133" s="33"/>
      <c r="T133" s="33"/>
      <c r="U133" s="102"/>
      <c r="V133" s="186"/>
      <c r="W133" s="33"/>
      <c r="X133" s="99"/>
      <c r="Y133" s="33"/>
      <c r="Z133" s="102">
        <f t="shared" si="273"/>
        <v>0</v>
      </c>
      <c r="AA133" s="142"/>
      <c r="AB133" s="33"/>
      <c r="AC133" s="33"/>
      <c r="AD133" s="33"/>
      <c r="AE133" s="102">
        <f t="shared" si="274"/>
        <v>0</v>
      </c>
      <c r="AF133" s="142"/>
      <c r="AG133" s="33"/>
      <c r="AH133" s="33"/>
      <c r="AI133" s="33"/>
      <c r="AJ133" s="102">
        <f t="shared" si="275"/>
        <v>0</v>
      </c>
      <c r="AK133" s="142"/>
      <c r="AL133" s="33"/>
      <c r="AM133" s="33"/>
      <c r="AN133" s="33"/>
      <c r="AO133" s="114">
        <f t="shared" si="276"/>
        <v>0</v>
      </c>
      <c r="AP133" s="142"/>
      <c r="AQ133" s="33"/>
      <c r="AR133" s="33"/>
      <c r="AS133" s="33"/>
      <c r="AT133" s="102">
        <f t="shared" si="277"/>
        <v>0</v>
      </c>
      <c r="AV133" s="33">
        <f>ROUND('Sec 94 Roads'!L11*'Sec 94 Roads'!D11,-3)</f>
        <v>4718000</v>
      </c>
      <c r="AW133" s="33"/>
      <c r="AX133" s="33"/>
      <c r="AY133" s="102">
        <f t="shared" si="278"/>
        <v>68000</v>
      </c>
      <c r="AZ133" s="142"/>
      <c r="BA133" s="33"/>
      <c r="BB133" s="33"/>
      <c r="BC133" s="33"/>
      <c r="BD133" s="102">
        <f t="shared" si="279"/>
        <v>0</v>
      </c>
      <c r="BE133" s="142"/>
      <c r="BF133" s="33"/>
      <c r="BG133" s="33"/>
      <c r="BH133" s="33"/>
      <c r="BI133" s="102">
        <f t="shared" si="280"/>
        <v>0</v>
      </c>
      <c r="BJ133" s="142"/>
      <c r="BK133" s="33"/>
      <c r="BL133" s="33"/>
      <c r="BM133" s="33"/>
      <c r="BN133" s="102">
        <f t="shared" si="281"/>
        <v>0</v>
      </c>
      <c r="BO133" s="142"/>
      <c r="BP133" s="33"/>
      <c r="BQ133" s="33"/>
      <c r="BR133" s="33"/>
      <c r="BS133" s="102">
        <f t="shared" si="282"/>
        <v>0</v>
      </c>
      <c r="BT133" s="142"/>
      <c r="BU133" s="33"/>
      <c r="BV133" s="33"/>
      <c r="BW133" s="33"/>
      <c r="BX133" s="99">
        <f t="shared" si="283"/>
        <v>0</v>
      </c>
      <c r="BY133" s="2438">
        <v>0.75</v>
      </c>
      <c r="BZ133" s="1263">
        <f t="shared" si="360"/>
        <v>0.75</v>
      </c>
      <c r="CA133" s="1263">
        <f t="shared" si="361"/>
        <v>0.75</v>
      </c>
      <c r="CB133" s="1263">
        <f t="shared" si="362"/>
        <v>0.75</v>
      </c>
      <c r="CC133" s="1263">
        <f t="shared" si="363"/>
        <v>0.75</v>
      </c>
      <c r="CD133" s="1263">
        <f t="shared" si="364"/>
        <v>0.75</v>
      </c>
      <c r="CE133" s="1263">
        <f t="shared" si="365"/>
        <v>0.75</v>
      </c>
      <c r="CF133" s="1263">
        <f t="shared" si="366"/>
        <v>0.75</v>
      </c>
      <c r="CG133" s="1263">
        <f t="shared" si="367"/>
        <v>0.75</v>
      </c>
      <c r="CH133" s="1263">
        <f t="shared" si="368"/>
        <v>0.75</v>
      </c>
      <c r="CI133" s="1263">
        <f t="shared" si="369"/>
        <v>0.75</v>
      </c>
      <c r="CJ133" s="1263">
        <f t="shared" si="370"/>
        <v>0.75</v>
      </c>
      <c r="CK133" s="1263"/>
      <c r="CL133" s="1920">
        <f t="shared" si="286"/>
        <v>0</v>
      </c>
      <c r="CM133" s="78">
        <f t="shared" si="287"/>
        <v>0</v>
      </c>
      <c r="CN133" s="78">
        <f t="shared" si="288"/>
        <v>0</v>
      </c>
      <c r="CO133" s="78">
        <f t="shared" si="289"/>
        <v>0</v>
      </c>
      <c r="CP133" s="78">
        <f t="shared" si="290"/>
        <v>0</v>
      </c>
      <c r="CQ133" s="78">
        <f t="shared" si="291"/>
        <v>0</v>
      </c>
      <c r="CR133" s="78">
        <f t="shared" si="292"/>
        <v>3590000</v>
      </c>
      <c r="CS133" s="78">
        <f t="shared" si="293"/>
        <v>0</v>
      </c>
      <c r="CT133" s="78">
        <f t="shared" si="294"/>
        <v>0</v>
      </c>
      <c r="CU133" s="78">
        <f t="shared" si="295"/>
        <v>0</v>
      </c>
      <c r="CV133" s="78">
        <f t="shared" si="296"/>
        <v>0</v>
      </c>
      <c r="CW133" s="131">
        <f t="shared" si="297"/>
        <v>0</v>
      </c>
    </row>
    <row r="134" spans="1:101" x14ac:dyDescent="0.2">
      <c r="A134" s="869" t="s">
        <v>5986</v>
      </c>
      <c r="B134" s="2208"/>
      <c r="C134" s="2334"/>
      <c r="D134" s="2396" t="s">
        <v>5164</v>
      </c>
      <c r="E134" s="186"/>
      <c r="F134" s="33">
        <f>'Sec 94'!F63+21400+36000</f>
        <v>381900</v>
      </c>
      <c r="G134" s="33">
        <f>'Sec 94'!G63</f>
        <v>201000</v>
      </c>
      <c r="H134" s="33">
        <f>'Sec 94'!H63</f>
        <v>209000</v>
      </c>
      <c r="I134" s="33">
        <f>'Sec 94'!I63</f>
        <v>217000</v>
      </c>
      <c r="J134" s="33">
        <f>'Sec 94'!J63</f>
        <v>226000</v>
      </c>
      <c r="K134" s="33">
        <f>'Sec 94'!K63</f>
        <v>233000</v>
      </c>
      <c r="L134" s="33">
        <f>'Sec 94'!L63</f>
        <v>240000</v>
      </c>
      <c r="M134" s="33">
        <f>'Sec 94'!M63</f>
        <v>247000</v>
      </c>
      <c r="N134" s="33">
        <f>'Sec 94'!N63</f>
        <v>255000</v>
      </c>
      <c r="O134" s="33">
        <f>'Sec 94'!O63</f>
        <v>393000</v>
      </c>
      <c r="P134" s="102">
        <f>'Sec 94'!P63</f>
        <v>401000</v>
      </c>
      <c r="Q134" s="142"/>
      <c r="R134" s="33"/>
      <c r="S134" s="33"/>
      <c r="T134" s="33"/>
      <c r="U134" s="102"/>
      <c r="V134" s="186"/>
      <c r="W134" s="33">
        <f>'Sec 94'!F63</f>
        <v>324500</v>
      </c>
      <c r="X134" s="99"/>
      <c r="Y134" s="33"/>
      <c r="Z134" s="102">
        <f t="shared" si="273"/>
        <v>57400</v>
      </c>
      <c r="AA134" s="142"/>
      <c r="AB134" s="33">
        <f>'Sec 94'!G63</f>
        <v>201000</v>
      </c>
      <c r="AC134" s="33"/>
      <c r="AD134" s="33"/>
      <c r="AE134" s="102">
        <f t="shared" si="274"/>
        <v>0</v>
      </c>
      <c r="AF134" s="142"/>
      <c r="AG134" s="33">
        <f>'Sec 94'!H63</f>
        <v>209000</v>
      </c>
      <c r="AH134" s="33"/>
      <c r="AI134" s="33"/>
      <c r="AJ134" s="102">
        <f t="shared" si="275"/>
        <v>0</v>
      </c>
      <c r="AK134" s="142"/>
      <c r="AL134" s="33">
        <f>'Sec 94'!I63</f>
        <v>217000</v>
      </c>
      <c r="AM134" s="33"/>
      <c r="AN134" s="33"/>
      <c r="AO134" s="114">
        <f t="shared" si="276"/>
        <v>0</v>
      </c>
      <c r="AP134" s="142"/>
      <c r="AQ134" s="33">
        <f>'Sec 94'!J63</f>
        <v>226000</v>
      </c>
      <c r="AR134" s="33"/>
      <c r="AS134" s="33"/>
      <c r="AT134" s="102">
        <f t="shared" si="277"/>
        <v>0</v>
      </c>
      <c r="AV134" s="33">
        <f>'Sec 94'!K63</f>
        <v>233000</v>
      </c>
      <c r="AW134" s="33"/>
      <c r="AX134" s="33"/>
      <c r="AY134" s="102">
        <f t="shared" si="278"/>
        <v>0</v>
      </c>
      <c r="AZ134" s="142"/>
      <c r="BA134" s="33">
        <f>'Sec 94'!L63</f>
        <v>240000</v>
      </c>
      <c r="BB134" s="33"/>
      <c r="BC134" s="33"/>
      <c r="BD134" s="102">
        <f t="shared" si="279"/>
        <v>0</v>
      </c>
      <c r="BE134" s="142"/>
      <c r="BF134" s="33">
        <f>'Sec 94'!M63</f>
        <v>247000</v>
      </c>
      <c r="BG134" s="33"/>
      <c r="BH134" s="33"/>
      <c r="BI134" s="102">
        <f t="shared" si="280"/>
        <v>0</v>
      </c>
      <c r="BJ134" s="142"/>
      <c r="BK134" s="33">
        <f>'Sec 94'!N63</f>
        <v>255000</v>
      </c>
      <c r="BL134" s="33"/>
      <c r="BM134" s="33"/>
      <c r="BN134" s="102">
        <f t="shared" si="281"/>
        <v>0</v>
      </c>
      <c r="BO134" s="142"/>
      <c r="BP134" s="33">
        <f>'Sec 94'!O63</f>
        <v>393000</v>
      </c>
      <c r="BQ134" s="33"/>
      <c r="BR134" s="33"/>
      <c r="BS134" s="102">
        <f t="shared" si="282"/>
        <v>0</v>
      </c>
      <c r="BT134" s="142"/>
      <c r="BU134" s="33">
        <f>'Sec 94'!P63</f>
        <v>401000</v>
      </c>
      <c r="BV134" s="33"/>
      <c r="BW134" s="33"/>
      <c r="BX134" s="99">
        <f t="shared" si="283"/>
        <v>0</v>
      </c>
      <c r="BY134" s="2438">
        <v>1</v>
      </c>
      <c r="BZ134" s="1263">
        <f t="shared" ref="BZ134:CH134" si="371">BY134</f>
        <v>1</v>
      </c>
      <c r="CA134" s="1263">
        <f t="shared" si="371"/>
        <v>1</v>
      </c>
      <c r="CB134" s="1263">
        <f t="shared" si="371"/>
        <v>1</v>
      </c>
      <c r="CC134" s="1263">
        <f t="shared" si="371"/>
        <v>1</v>
      </c>
      <c r="CD134" s="1263">
        <f t="shared" si="371"/>
        <v>1</v>
      </c>
      <c r="CE134" s="1263">
        <f t="shared" si="371"/>
        <v>1</v>
      </c>
      <c r="CF134" s="1263">
        <f t="shared" si="371"/>
        <v>1</v>
      </c>
      <c r="CG134" s="1263">
        <f t="shared" si="371"/>
        <v>1</v>
      </c>
      <c r="CH134" s="1263">
        <f t="shared" si="371"/>
        <v>1</v>
      </c>
      <c r="CI134" s="1263">
        <f>CH134</f>
        <v>1</v>
      </c>
      <c r="CJ134" s="1263">
        <f>CI134</f>
        <v>1</v>
      </c>
      <c r="CK134" s="1263"/>
      <c r="CL134" s="1920">
        <f t="shared" si="286"/>
        <v>0</v>
      </c>
      <c r="CM134" s="78">
        <f t="shared" si="287"/>
        <v>382000</v>
      </c>
      <c r="CN134" s="78">
        <f t="shared" si="288"/>
        <v>201000</v>
      </c>
      <c r="CO134" s="78">
        <f t="shared" si="289"/>
        <v>209000</v>
      </c>
      <c r="CP134" s="78">
        <f t="shared" si="290"/>
        <v>217000</v>
      </c>
      <c r="CQ134" s="78">
        <f t="shared" si="291"/>
        <v>226000</v>
      </c>
      <c r="CR134" s="78">
        <f t="shared" si="292"/>
        <v>233000</v>
      </c>
      <c r="CS134" s="78">
        <f t="shared" si="293"/>
        <v>240000</v>
      </c>
      <c r="CT134" s="78">
        <f t="shared" si="294"/>
        <v>247000</v>
      </c>
      <c r="CU134" s="78">
        <f t="shared" si="295"/>
        <v>255000</v>
      </c>
      <c r="CV134" s="78">
        <f t="shared" si="296"/>
        <v>393000</v>
      </c>
      <c r="CW134" s="131">
        <f t="shared" si="297"/>
        <v>401000</v>
      </c>
    </row>
    <row r="135" spans="1:101" x14ac:dyDescent="0.2">
      <c r="A135" s="869"/>
      <c r="B135" s="2368"/>
      <c r="C135" s="2343"/>
      <c r="D135" s="2396"/>
      <c r="E135" s="186"/>
      <c r="F135" s="33"/>
      <c r="G135" s="33"/>
      <c r="H135" s="33"/>
      <c r="I135" s="33"/>
      <c r="J135" s="142"/>
      <c r="K135" s="33"/>
      <c r="L135" s="33"/>
      <c r="M135" s="142"/>
      <c r="N135" s="33"/>
      <c r="O135" s="33"/>
      <c r="P135" s="102"/>
      <c r="Q135" s="142"/>
      <c r="R135" s="33"/>
      <c r="S135" s="33"/>
      <c r="T135" s="33"/>
      <c r="U135" s="102"/>
      <c r="V135" s="186"/>
      <c r="W135" s="33"/>
      <c r="X135" s="99"/>
      <c r="Y135" s="33"/>
      <c r="Z135" s="102"/>
      <c r="AA135" s="142"/>
      <c r="AB135" s="33"/>
      <c r="AC135" s="33"/>
      <c r="AD135" s="33"/>
      <c r="AE135" s="102"/>
      <c r="AF135" s="142"/>
      <c r="AG135" s="33"/>
      <c r="AH135" s="33"/>
      <c r="AI135" s="33"/>
      <c r="AJ135" s="102"/>
      <c r="AK135" s="142"/>
      <c r="AL135" s="33"/>
      <c r="AM135" s="33"/>
      <c r="AN135" s="33"/>
      <c r="AO135" s="114"/>
      <c r="AP135" s="142"/>
      <c r="AQ135" s="33"/>
      <c r="AR135" s="33"/>
      <c r="AS135" s="33"/>
      <c r="AT135" s="102"/>
      <c r="AV135" s="33"/>
      <c r="AW135" s="33"/>
      <c r="AX135" s="33"/>
      <c r="AY135" s="102"/>
      <c r="AZ135" s="142"/>
      <c r="BA135" s="33"/>
      <c r="BB135" s="33"/>
      <c r="BC135" s="33"/>
      <c r="BD135" s="102"/>
      <c r="BE135" s="142"/>
      <c r="BF135" s="33"/>
      <c r="BG135" s="33"/>
      <c r="BH135" s="33"/>
      <c r="BI135" s="102"/>
      <c r="BJ135" s="142"/>
      <c r="BK135" s="33"/>
      <c r="BL135" s="33"/>
      <c r="BM135" s="33"/>
      <c r="BN135" s="102"/>
      <c r="BO135" s="142"/>
      <c r="BP135" s="33"/>
      <c r="BQ135" s="33"/>
      <c r="BR135" s="33"/>
      <c r="BS135" s="102"/>
      <c r="BT135" s="142"/>
      <c r="BU135" s="33"/>
      <c r="BV135" s="33"/>
      <c r="BW135" s="33"/>
      <c r="BY135" s="2438"/>
      <c r="BZ135" s="1263"/>
      <c r="CA135" s="1263"/>
      <c r="CB135" s="1263"/>
      <c r="CC135" s="1263"/>
      <c r="CD135" s="1263"/>
      <c r="CE135" s="1263"/>
      <c r="CF135" s="1263"/>
      <c r="CG135" s="1263"/>
      <c r="CH135" s="1263"/>
      <c r="CI135" s="1263"/>
      <c r="CJ135" s="1263"/>
      <c r="CK135" s="1263"/>
      <c r="CL135" s="1920"/>
      <c r="CM135" s="78"/>
      <c r="CN135" s="78"/>
      <c r="CO135" s="78"/>
      <c r="CP135" s="78"/>
      <c r="CQ135" s="78"/>
      <c r="CR135" s="78"/>
      <c r="CS135" s="78"/>
      <c r="CT135" s="78"/>
      <c r="CU135" s="78"/>
      <c r="CV135" s="78"/>
      <c r="CW135" s="131"/>
    </row>
    <row r="136" spans="1:101" x14ac:dyDescent="0.2">
      <c r="A136" s="590" t="s">
        <v>1024</v>
      </c>
      <c r="B136" s="2356" t="s">
        <v>1308</v>
      </c>
      <c r="C136" s="2334"/>
      <c r="D136" s="2396" t="s">
        <v>5164</v>
      </c>
      <c r="E136" s="186">
        <v>96000</v>
      </c>
      <c r="F136" s="33">
        <f>100000+54000+32000+58000+33000-26900+17200+19300</f>
        <v>286600</v>
      </c>
      <c r="G136" s="33">
        <v>104000</v>
      </c>
      <c r="H136" s="33">
        <f>ROUND((G136*Assumptions!I$6+G136),-3)</f>
        <v>108000</v>
      </c>
      <c r="I136" s="76">
        <f>ROUND((H136*Assumptions!J$6+H136),-3)</f>
        <v>112000</v>
      </c>
      <c r="J136" s="76">
        <f>ROUND((I136*Assumptions!K$6+I136),-3)</f>
        <v>115000</v>
      </c>
      <c r="K136" s="33">
        <f>ROUND((J136*Assumptions!L$6+J136),-3)</f>
        <v>118000</v>
      </c>
      <c r="L136" s="33">
        <f>ROUND((K136*Assumptions!M$6+K136),-3)</f>
        <v>121000</v>
      </c>
      <c r="M136" s="142">
        <f>ROUND((L136*Assumptions!N$6+L136),-3)</f>
        <v>124000</v>
      </c>
      <c r="N136" s="33">
        <f>ROUND((M136*Assumptions!O$6+M136),-3)</f>
        <v>127000</v>
      </c>
      <c r="O136" s="33">
        <f>ROUND((N136*Assumptions!P$6+N136),-3)</f>
        <v>130000</v>
      </c>
      <c r="P136" s="102">
        <f>ROUND((O136*Assumptions!Q$6+O136),-3)</f>
        <v>133000</v>
      </c>
      <c r="Q136" s="142">
        <f>+'Cap Inc'!B54</f>
        <v>75000</v>
      </c>
      <c r="R136" s="33"/>
      <c r="S136" s="33"/>
      <c r="T136" s="33">
        <f>75000-54000</f>
        <v>21000</v>
      </c>
      <c r="U136" s="102">
        <f>E136-Q136-R136-S136-T136</f>
        <v>0</v>
      </c>
      <c r="V136" s="186"/>
      <c r="W136" s="33"/>
      <c r="X136" s="99"/>
      <c r="Y136" s="33">
        <f>54000+32000+58000+33000</f>
        <v>177000</v>
      </c>
      <c r="Z136" s="102">
        <f>F136-V136-W136-X136-Y136</f>
        <v>109600</v>
      </c>
      <c r="AA136" s="142"/>
      <c r="AB136" s="33"/>
      <c r="AC136" s="33"/>
      <c r="AD136" s="33"/>
      <c r="AE136" s="102">
        <f>G136-AA136-AB136-AC136-AD136</f>
        <v>104000</v>
      </c>
      <c r="AF136" s="142"/>
      <c r="AG136" s="33"/>
      <c r="AH136" s="33"/>
      <c r="AI136" s="33"/>
      <c r="AJ136" s="102">
        <f>H136-AF136-AG136-AH136-AI136</f>
        <v>108000</v>
      </c>
      <c r="AK136" s="142"/>
      <c r="AL136" s="33"/>
      <c r="AM136" s="33"/>
      <c r="AN136" s="33"/>
      <c r="AO136" s="114">
        <f>I136-AK136-AL136-AM136-AN136</f>
        <v>112000</v>
      </c>
      <c r="AP136" s="142"/>
      <c r="AQ136" s="33"/>
      <c r="AR136" s="33"/>
      <c r="AS136" s="33"/>
      <c r="AT136" s="102">
        <f>J136-AP136-AQ136-AR136-AS136</f>
        <v>115000</v>
      </c>
      <c r="AV136" s="33"/>
      <c r="AW136" s="33"/>
      <c r="AX136" s="33"/>
      <c r="AY136" s="102">
        <f>K136-AU136-AV136-AW136-AX136</f>
        <v>118000</v>
      </c>
      <c r="AZ136" s="142"/>
      <c r="BA136" s="33"/>
      <c r="BB136" s="33"/>
      <c r="BC136" s="33"/>
      <c r="BD136" s="102">
        <f>L136-AZ136-BA136-BB136-BC136</f>
        <v>121000</v>
      </c>
      <c r="BE136" s="142"/>
      <c r="BF136" s="33"/>
      <c r="BG136" s="33"/>
      <c r="BH136" s="33"/>
      <c r="BI136" s="102">
        <f>M136-BE136-BF136-BG136-BH136</f>
        <v>124000</v>
      </c>
      <c r="BJ136" s="142"/>
      <c r="BK136" s="33"/>
      <c r="BL136" s="33"/>
      <c r="BM136" s="33"/>
      <c r="BN136" s="102">
        <f>N136-BJ136-BK136-BL136-BM136</f>
        <v>127000</v>
      </c>
      <c r="BO136" s="142"/>
      <c r="BP136" s="33"/>
      <c r="BQ136" s="33"/>
      <c r="BR136" s="33"/>
      <c r="BS136" s="102">
        <f>O136-BO136-BP136-BQ136-BR136</f>
        <v>130000</v>
      </c>
      <c r="BT136" s="142"/>
      <c r="BU136" s="33"/>
      <c r="BV136" s="33"/>
      <c r="BW136" s="33"/>
      <c r="BX136" s="99">
        <f>P136-BT136-BU136-BV136-BW136</f>
        <v>133000</v>
      </c>
      <c r="BY136" s="2438">
        <v>1</v>
      </c>
      <c r="BZ136" s="1263">
        <f t="shared" ref="BZ136:CH136" si="372">BY136</f>
        <v>1</v>
      </c>
      <c r="CA136" s="1263">
        <f t="shared" si="372"/>
        <v>1</v>
      </c>
      <c r="CB136" s="1263">
        <f t="shared" si="372"/>
        <v>1</v>
      </c>
      <c r="CC136" s="1263">
        <f t="shared" si="372"/>
        <v>1</v>
      </c>
      <c r="CD136" s="1263">
        <f t="shared" si="372"/>
        <v>1</v>
      </c>
      <c r="CE136" s="1263">
        <f t="shared" si="372"/>
        <v>1</v>
      </c>
      <c r="CF136" s="1263">
        <f t="shared" si="372"/>
        <v>1</v>
      </c>
      <c r="CG136" s="1263">
        <f t="shared" si="372"/>
        <v>1</v>
      </c>
      <c r="CH136" s="1263">
        <f t="shared" si="372"/>
        <v>1</v>
      </c>
      <c r="CI136" s="1263">
        <f>CH136</f>
        <v>1</v>
      </c>
      <c r="CJ136" s="1263">
        <f>CI136</f>
        <v>1</v>
      </c>
      <c r="CK136" s="1263"/>
      <c r="CL136" s="1920">
        <f t="shared" ref="CL136:CW136" si="373">ROUND(BY136*E136,-3)</f>
        <v>96000</v>
      </c>
      <c r="CM136" s="78">
        <f t="shared" si="373"/>
        <v>287000</v>
      </c>
      <c r="CN136" s="78">
        <f t="shared" si="373"/>
        <v>104000</v>
      </c>
      <c r="CO136" s="78">
        <f t="shared" si="373"/>
        <v>108000</v>
      </c>
      <c r="CP136" s="78">
        <f t="shared" si="373"/>
        <v>112000</v>
      </c>
      <c r="CQ136" s="78">
        <f t="shared" si="373"/>
        <v>115000</v>
      </c>
      <c r="CR136" s="78">
        <f t="shared" si="373"/>
        <v>118000</v>
      </c>
      <c r="CS136" s="78">
        <f t="shared" si="373"/>
        <v>121000</v>
      </c>
      <c r="CT136" s="78">
        <f t="shared" si="373"/>
        <v>124000</v>
      </c>
      <c r="CU136" s="78">
        <f t="shared" si="373"/>
        <v>127000</v>
      </c>
      <c r="CV136" s="78">
        <f t="shared" si="373"/>
        <v>130000</v>
      </c>
      <c r="CW136" s="131">
        <f t="shared" si="373"/>
        <v>133000</v>
      </c>
    </row>
    <row r="137" spans="1:101" ht="13.5" thickBot="1" x14ac:dyDescent="0.25">
      <c r="A137" s="869"/>
      <c r="B137" s="2368"/>
      <c r="C137" s="2343"/>
      <c r="D137" s="2396"/>
      <c r="E137" s="186"/>
      <c r="F137" s="33"/>
      <c r="G137" s="33"/>
      <c r="H137" s="33"/>
      <c r="I137" s="33"/>
      <c r="J137" s="142"/>
      <c r="K137" s="33"/>
      <c r="L137" s="33"/>
      <c r="M137" s="142"/>
      <c r="N137" s="33"/>
      <c r="O137" s="33"/>
      <c r="P137" s="102"/>
      <c r="Q137" s="142"/>
      <c r="R137" s="33"/>
      <c r="S137" s="33"/>
      <c r="T137" s="33"/>
      <c r="U137" s="102"/>
      <c r="V137" s="186"/>
      <c r="W137" s="33"/>
      <c r="X137" s="99"/>
      <c r="Y137" s="33"/>
      <c r="Z137" s="102"/>
      <c r="AA137" s="142"/>
      <c r="AB137" s="33"/>
      <c r="AC137" s="33"/>
      <c r="AD137" s="33"/>
      <c r="AE137" s="102"/>
      <c r="AF137" s="142"/>
      <c r="AG137" s="33"/>
      <c r="AH137" s="33"/>
      <c r="AI137" s="33"/>
      <c r="AJ137" s="102"/>
      <c r="AK137" s="142"/>
      <c r="AL137" s="33"/>
      <c r="AM137" s="33"/>
      <c r="AN137" s="33"/>
      <c r="AO137" s="114"/>
      <c r="AP137" s="142"/>
      <c r="AQ137" s="33"/>
      <c r="AR137" s="33"/>
      <c r="AS137" s="33"/>
      <c r="AT137" s="102"/>
      <c r="AV137" s="33"/>
      <c r="AW137" s="33"/>
      <c r="AX137" s="33"/>
      <c r="AY137" s="102"/>
      <c r="AZ137" s="142"/>
      <c r="BA137" s="33"/>
      <c r="BB137" s="33"/>
      <c r="BC137" s="33"/>
      <c r="BD137" s="102"/>
      <c r="BE137" s="142"/>
      <c r="BF137" s="33"/>
      <c r="BG137" s="33"/>
      <c r="BH137" s="33"/>
      <c r="BI137" s="102"/>
      <c r="BJ137" s="142"/>
      <c r="BK137" s="33"/>
      <c r="BL137" s="33"/>
      <c r="BM137" s="33"/>
      <c r="BN137" s="102"/>
      <c r="BO137" s="142"/>
      <c r="BP137" s="33"/>
      <c r="BQ137" s="33"/>
      <c r="BR137" s="33"/>
      <c r="BS137" s="102"/>
      <c r="BT137" s="142"/>
      <c r="BU137" s="33"/>
      <c r="BV137" s="33"/>
      <c r="BW137" s="33"/>
      <c r="BY137" s="2438"/>
      <c r="BZ137" s="1263"/>
      <c r="CA137" s="1263"/>
      <c r="CB137" s="1263"/>
      <c r="CC137" s="1263"/>
      <c r="CD137" s="1263"/>
      <c r="CE137" s="1263"/>
      <c r="CF137" s="1263"/>
      <c r="CG137" s="1263"/>
      <c r="CH137" s="1263"/>
      <c r="CI137" s="1263"/>
      <c r="CJ137" s="1263"/>
      <c r="CK137" s="1263"/>
      <c r="CL137" s="1920"/>
      <c r="CM137" s="78"/>
      <c r="CN137" s="78"/>
      <c r="CO137" s="78"/>
      <c r="CP137" s="78"/>
      <c r="CQ137" s="78"/>
      <c r="CR137" s="78"/>
      <c r="CS137" s="78"/>
      <c r="CT137" s="78"/>
      <c r="CU137" s="78"/>
      <c r="CV137" s="78"/>
      <c r="CW137" s="131"/>
    </row>
    <row r="138" spans="1:101" s="92" customFormat="1" ht="13.5" thickTop="1" x14ac:dyDescent="0.2">
      <c r="A138" s="2319" t="s">
        <v>6123</v>
      </c>
      <c r="B138" s="2359"/>
      <c r="C138" s="2333"/>
      <c r="D138" s="2391"/>
      <c r="E138" s="386">
        <f t="shared" ref="E138:AJ138" si="374">SUBTOTAL(9,E114:E137)</f>
        <v>8501900</v>
      </c>
      <c r="F138" s="162">
        <f t="shared" si="374"/>
        <v>13235200</v>
      </c>
      <c r="G138" s="162">
        <f t="shared" si="374"/>
        <v>13118700</v>
      </c>
      <c r="H138" s="162">
        <f t="shared" si="374"/>
        <v>24385100</v>
      </c>
      <c r="I138" s="162">
        <f t="shared" si="374"/>
        <v>5620300</v>
      </c>
      <c r="J138" s="122">
        <f t="shared" si="374"/>
        <v>28487300</v>
      </c>
      <c r="K138" s="162">
        <f t="shared" si="374"/>
        <v>19167900</v>
      </c>
      <c r="L138" s="162">
        <f t="shared" si="374"/>
        <v>6264900</v>
      </c>
      <c r="M138" s="122">
        <f t="shared" si="374"/>
        <v>6522500</v>
      </c>
      <c r="N138" s="162">
        <f t="shared" si="374"/>
        <v>6944700</v>
      </c>
      <c r="O138" s="162">
        <f t="shared" si="374"/>
        <v>7927500</v>
      </c>
      <c r="P138" s="385">
        <f t="shared" si="374"/>
        <v>8214900</v>
      </c>
      <c r="Q138" s="122">
        <f t="shared" si="374"/>
        <v>4718700</v>
      </c>
      <c r="R138" s="162">
        <f t="shared" si="374"/>
        <v>346200</v>
      </c>
      <c r="S138" s="162">
        <f t="shared" si="374"/>
        <v>0</v>
      </c>
      <c r="T138" s="162">
        <f t="shared" si="374"/>
        <v>1964700</v>
      </c>
      <c r="U138" s="324">
        <f t="shared" si="374"/>
        <v>1472300</v>
      </c>
      <c r="V138" s="386">
        <f t="shared" si="374"/>
        <v>7383700</v>
      </c>
      <c r="W138" s="162">
        <f t="shared" si="374"/>
        <v>646900</v>
      </c>
      <c r="X138" s="122">
        <f t="shared" si="374"/>
        <v>0</v>
      </c>
      <c r="Y138" s="162">
        <f t="shared" si="374"/>
        <v>1792500</v>
      </c>
      <c r="Z138" s="324">
        <f t="shared" si="374"/>
        <v>3412100</v>
      </c>
      <c r="AA138" s="122">
        <f t="shared" si="374"/>
        <v>5136000</v>
      </c>
      <c r="AB138" s="162">
        <f t="shared" si="374"/>
        <v>201000</v>
      </c>
      <c r="AC138" s="162">
        <f t="shared" si="374"/>
        <v>0</v>
      </c>
      <c r="AD138" s="162">
        <f t="shared" si="374"/>
        <v>4200000</v>
      </c>
      <c r="AE138" s="324">
        <f t="shared" si="374"/>
        <v>3581700</v>
      </c>
      <c r="AF138" s="122">
        <f t="shared" si="374"/>
        <v>908000</v>
      </c>
      <c r="AG138" s="162">
        <f t="shared" si="374"/>
        <v>16931000</v>
      </c>
      <c r="AH138" s="162">
        <f t="shared" si="374"/>
        <v>2500000</v>
      </c>
      <c r="AI138" s="162">
        <f t="shared" si="374"/>
        <v>0</v>
      </c>
      <c r="AJ138" s="324">
        <f t="shared" si="374"/>
        <v>4046100</v>
      </c>
      <c r="AK138" s="122">
        <f t="shared" ref="AK138:BP138" si="375">SUBTOTAL(9,AK114:AK137)</f>
        <v>808000</v>
      </c>
      <c r="AL138" s="162">
        <f t="shared" si="375"/>
        <v>217000</v>
      </c>
      <c r="AM138" s="162">
        <f t="shared" si="375"/>
        <v>0</v>
      </c>
      <c r="AN138" s="162">
        <f t="shared" si="375"/>
        <v>0</v>
      </c>
      <c r="AO138" s="342">
        <f t="shared" si="375"/>
        <v>4595300</v>
      </c>
      <c r="AP138" s="122">
        <f t="shared" si="375"/>
        <v>646700</v>
      </c>
      <c r="AQ138" s="162">
        <f t="shared" si="375"/>
        <v>13850000</v>
      </c>
      <c r="AR138" s="162">
        <f t="shared" si="375"/>
        <v>8340000</v>
      </c>
      <c r="AS138" s="162">
        <f t="shared" si="375"/>
        <v>500000</v>
      </c>
      <c r="AT138" s="324">
        <f t="shared" si="375"/>
        <v>5150600</v>
      </c>
      <c r="AU138" s="125">
        <f t="shared" si="375"/>
        <v>659700</v>
      </c>
      <c r="AV138" s="162">
        <f t="shared" si="375"/>
        <v>13385000</v>
      </c>
      <c r="AW138" s="162">
        <f t="shared" si="375"/>
        <v>0</v>
      </c>
      <c r="AX138" s="162">
        <f t="shared" si="375"/>
        <v>500000</v>
      </c>
      <c r="AY138" s="324">
        <f t="shared" si="375"/>
        <v>4623200</v>
      </c>
      <c r="AZ138" s="122">
        <f t="shared" si="375"/>
        <v>672900</v>
      </c>
      <c r="BA138" s="162">
        <f t="shared" si="375"/>
        <v>240000</v>
      </c>
      <c r="BB138" s="162">
        <f t="shared" si="375"/>
        <v>0</v>
      </c>
      <c r="BC138" s="162">
        <f t="shared" si="375"/>
        <v>500000</v>
      </c>
      <c r="BD138" s="324">
        <f t="shared" si="375"/>
        <v>4852000</v>
      </c>
      <c r="BE138" s="122">
        <f t="shared" si="375"/>
        <v>686400</v>
      </c>
      <c r="BF138" s="162">
        <f t="shared" si="375"/>
        <v>247000</v>
      </c>
      <c r="BG138" s="162">
        <f t="shared" si="375"/>
        <v>0</v>
      </c>
      <c r="BH138" s="162">
        <f t="shared" si="375"/>
        <v>500000</v>
      </c>
      <c r="BI138" s="324">
        <f t="shared" si="375"/>
        <v>5089100</v>
      </c>
      <c r="BJ138" s="122">
        <f t="shared" si="375"/>
        <v>700200</v>
      </c>
      <c r="BK138" s="162">
        <f t="shared" si="375"/>
        <v>255000</v>
      </c>
      <c r="BL138" s="162">
        <f t="shared" si="375"/>
        <v>0</v>
      </c>
      <c r="BM138" s="162">
        <f t="shared" si="375"/>
        <v>500000</v>
      </c>
      <c r="BN138" s="324">
        <f t="shared" si="375"/>
        <v>5489500</v>
      </c>
      <c r="BO138" s="122">
        <f t="shared" si="375"/>
        <v>714300</v>
      </c>
      <c r="BP138" s="162">
        <f t="shared" si="375"/>
        <v>393000</v>
      </c>
      <c r="BQ138" s="162">
        <f t="shared" ref="BQ138:BX138" si="376">SUBTOTAL(9,BQ114:BQ137)</f>
        <v>0</v>
      </c>
      <c r="BR138" s="162">
        <f t="shared" si="376"/>
        <v>500000</v>
      </c>
      <c r="BS138" s="324">
        <f t="shared" si="376"/>
        <v>6320200</v>
      </c>
      <c r="BT138" s="122">
        <f t="shared" si="376"/>
        <v>728600</v>
      </c>
      <c r="BU138" s="162">
        <f t="shared" si="376"/>
        <v>401000</v>
      </c>
      <c r="BV138" s="162">
        <f t="shared" si="376"/>
        <v>0</v>
      </c>
      <c r="BW138" s="162">
        <f t="shared" si="376"/>
        <v>500000</v>
      </c>
      <c r="BX138" s="387">
        <f t="shared" si="376"/>
        <v>6585300</v>
      </c>
      <c r="BY138" s="2437"/>
      <c r="BZ138" s="740"/>
      <c r="CA138" s="655"/>
      <c r="CB138" s="655"/>
      <c r="CC138" s="655"/>
      <c r="CD138" s="655"/>
      <c r="CE138" s="655"/>
      <c r="CF138" s="655"/>
      <c r="CG138" s="655"/>
      <c r="CH138" s="655"/>
      <c r="CI138" s="655"/>
      <c r="CJ138" s="655"/>
      <c r="CK138" s="655"/>
      <c r="CL138" s="1747"/>
      <c r="CM138" s="74"/>
      <c r="CN138" s="74"/>
      <c r="CO138" s="74"/>
      <c r="CP138" s="74"/>
      <c r="CQ138" s="74"/>
      <c r="CR138" s="74"/>
      <c r="CS138" s="74"/>
      <c r="CT138" s="74"/>
      <c r="CU138" s="74"/>
      <c r="CV138" s="74"/>
      <c r="CW138" s="115"/>
    </row>
    <row r="139" spans="1:101" s="92" customFormat="1" x14ac:dyDescent="0.2">
      <c r="A139" s="410"/>
      <c r="B139" s="2360"/>
      <c r="C139" s="2335"/>
      <c r="D139" s="2388"/>
      <c r="E139" s="185"/>
      <c r="F139" s="128"/>
      <c r="G139" s="64"/>
      <c r="H139" s="64"/>
      <c r="I139" s="64"/>
      <c r="J139" s="74"/>
      <c r="K139" s="79"/>
      <c r="L139" s="64"/>
      <c r="M139" s="128"/>
      <c r="N139" s="64"/>
      <c r="O139" s="64"/>
      <c r="P139" s="117"/>
      <c r="Q139" s="128"/>
      <c r="R139" s="64"/>
      <c r="S139" s="64"/>
      <c r="T139" s="64"/>
      <c r="U139" s="400"/>
      <c r="V139" s="185"/>
      <c r="W139" s="64"/>
      <c r="X139" s="74"/>
      <c r="Y139" s="64"/>
      <c r="Z139" s="117"/>
      <c r="AA139" s="128"/>
      <c r="AB139" s="64"/>
      <c r="AC139" s="64"/>
      <c r="AD139" s="64"/>
      <c r="AE139" s="117"/>
      <c r="AF139" s="128"/>
      <c r="AG139" s="64"/>
      <c r="AH139" s="64"/>
      <c r="AI139" s="64"/>
      <c r="AJ139" s="117"/>
      <c r="AK139" s="128"/>
      <c r="AL139" s="64"/>
      <c r="AM139" s="64"/>
      <c r="AN139" s="64"/>
      <c r="AO139" s="115"/>
      <c r="AP139" s="128"/>
      <c r="AQ139" s="64"/>
      <c r="AR139" s="64"/>
      <c r="AS139" s="64"/>
      <c r="AT139" s="117"/>
      <c r="AU139" s="74"/>
      <c r="AV139" s="64"/>
      <c r="AW139" s="64"/>
      <c r="AX139" s="64"/>
      <c r="AY139" s="117"/>
      <c r="AZ139" s="128"/>
      <c r="BA139" s="64"/>
      <c r="BB139" s="64"/>
      <c r="BC139" s="64"/>
      <c r="BD139" s="117"/>
      <c r="BE139" s="128"/>
      <c r="BF139" s="64"/>
      <c r="BG139" s="64"/>
      <c r="BH139" s="64"/>
      <c r="BI139" s="117"/>
      <c r="BJ139" s="128"/>
      <c r="BK139" s="64"/>
      <c r="BL139" s="64"/>
      <c r="BM139" s="64"/>
      <c r="BN139" s="117"/>
      <c r="BO139" s="128"/>
      <c r="BP139" s="64"/>
      <c r="BQ139" s="64"/>
      <c r="BR139" s="64"/>
      <c r="BS139" s="117"/>
      <c r="BT139" s="128"/>
      <c r="BU139" s="64"/>
      <c r="BV139" s="64"/>
      <c r="BW139" s="64"/>
      <c r="BX139" s="74"/>
      <c r="BY139" s="2437"/>
      <c r="BZ139" s="740"/>
      <c r="CA139" s="655"/>
      <c r="CB139" s="655"/>
      <c r="CC139" s="655"/>
      <c r="CD139" s="655"/>
      <c r="CE139" s="655"/>
      <c r="CF139" s="655"/>
      <c r="CG139" s="655"/>
      <c r="CH139" s="655"/>
      <c r="CI139" s="655"/>
      <c r="CJ139" s="655"/>
      <c r="CK139" s="655"/>
      <c r="CL139" s="1747"/>
      <c r="CM139" s="74"/>
      <c r="CN139" s="74"/>
      <c r="CO139" s="74"/>
      <c r="CP139" s="74"/>
      <c r="CQ139" s="74"/>
      <c r="CR139" s="74"/>
      <c r="CS139" s="74"/>
      <c r="CT139" s="74"/>
      <c r="CU139" s="74"/>
      <c r="CV139" s="74"/>
      <c r="CW139" s="115"/>
    </row>
    <row r="140" spans="1:101" x14ac:dyDescent="0.2">
      <c r="A140" s="410" t="s">
        <v>1180</v>
      </c>
      <c r="B140" s="2360"/>
      <c r="C140" s="2335"/>
      <c r="D140" s="2388"/>
      <c r="E140" s="186"/>
      <c r="F140" s="33"/>
      <c r="G140" s="33"/>
      <c r="H140" s="33"/>
      <c r="I140" s="76"/>
      <c r="J140" s="76"/>
      <c r="K140" s="76"/>
      <c r="L140" s="33"/>
      <c r="M140" s="142"/>
      <c r="N140" s="33"/>
      <c r="O140" s="33"/>
      <c r="P140" s="102"/>
      <c r="Q140" s="142"/>
      <c r="R140" s="33"/>
      <c r="S140" s="33"/>
      <c r="T140" s="33"/>
      <c r="U140" s="102"/>
      <c r="V140" s="186"/>
      <c r="W140" s="33"/>
      <c r="X140" s="99"/>
      <c r="Y140" s="33"/>
      <c r="Z140" s="102"/>
      <c r="AA140" s="142"/>
      <c r="AB140" s="33"/>
      <c r="AC140" s="33"/>
      <c r="AD140" s="33"/>
      <c r="AE140" s="102"/>
      <c r="AF140" s="142"/>
      <c r="AG140" s="33"/>
      <c r="AH140" s="33"/>
      <c r="AI140" s="33"/>
      <c r="AJ140" s="102"/>
      <c r="AK140" s="142"/>
      <c r="AL140" s="33"/>
      <c r="AM140" s="33"/>
      <c r="AN140" s="33"/>
      <c r="AO140" s="114"/>
      <c r="AP140" s="142"/>
      <c r="AQ140" s="33"/>
      <c r="AR140" s="33"/>
      <c r="AS140" s="33"/>
      <c r="AT140" s="102"/>
      <c r="AV140" s="33"/>
      <c r="AW140" s="33"/>
      <c r="AX140" s="33"/>
      <c r="AY140" s="102"/>
      <c r="AZ140" s="142"/>
      <c r="BA140" s="33"/>
      <c r="BB140" s="33"/>
      <c r="BC140" s="33"/>
      <c r="BD140" s="102"/>
      <c r="BE140" s="142"/>
      <c r="BF140" s="33"/>
      <c r="BG140" s="33"/>
      <c r="BH140" s="33"/>
      <c r="BI140" s="102"/>
      <c r="BJ140" s="142"/>
      <c r="BK140" s="33"/>
      <c r="BL140" s="33"/>
      <c r="BM140" s="33"/>
      <c r="BN140" s="102"/>
      <c r="BO140" s="142"/>
      <c r="BP140" s="33"/>
      <c r="BQ140" s="33"/>
      <c r="BR140" s="33"/>
      <c r="BS140" s="102"/>
      <c r="BT140" s="142"/>
      <c r="BU140" s="33"/>
      <c r="BV140" s="33"/>
      <c r="BW140" s="33"/>
      <c r="BY140" s="2437"/>
      <c r="BZ140" s="740"/>
      <c r="CA140" s="740"/>
      <c r="CB140" s="740"/>
      <c r="CC140" s="740"/>
      <c r="CD140" s="740"/>
      <c r="CE140" s="740"/>
      <c r="CF140" s="740"/>
      <c r="CG140" s="740"/>
      <c r="CH140" s="740"/>
      <c r="CI140" s="740"/>
      <c r="CJ140" s="740"/>
      <c r="CK140" s="740"/>
      <c r="CL140" s="502"/>
      <c r="CM140" s="99"/>
      <c r="CN140" s="99"/>
      <c r="CO140" s="99"/>
      <c r="CP140" s="99"/>
      <c r="CQ140" s="99"/>
      <c r="CR140" s="99"/>
      <c r="CS140" s="99"/>
      <c r="CT140" s="99"/>
      <c r="CU140" s="99"/>
      <c r="CV140" s="99"/>
      <c r="CW140" s="114"/>
    </row>
    <row r="141" spans="1:101" x14ac:dyDescent="0.2">
      <c r="A141" s="869" t="s">
        <v>6087</v>
      </c>
      <c r="B141" s="2356" t="s">
        <v>1308</v>
      </c>
      <c r="C141" s="2334"/>
      <c r="D141" s="2396" t="s">
        <v>5164</v>
      </c>
      <c r="E141" s="502">
        <f>403200-29500</f>
        <v>373700</v>
      </c>
      <c r="F141" s="33">
        <f>320000+50000+13200+15000+11000+41000+17500-4000-40000+80000-80000+14000-10000+2000+7000+1000</f>
        <v>437700</v>
      </c>
      <c r="G141" s="33">
        <f>418000-52000</f>
        <v>366000</v>
      </c>
      <c r="H141" s="33">
        <f>ROUND((G141*Assumptions!I$6+G141),-3)+113000-35000</f>
        <v>459000</v>
      </c>
      <c r="I141" s="76">
        <f>ROUND((H141*Assumptions!J$6+H141),-3)</f>
        <v>477000</v>
      </c>
      <c r="J141" s="76">
        <f>ROUND((I141*Assumptions!K$6+I141),-3)</f>
        <v>489000</v>
      </c>
      <c r="K141" s="33">
        <f>ROUND((J141*Assumptions!L$6+J141),-3)</f>
        <v>501000</v>
      </c>
      <c r="L141" s="33">
        <f>ROUND((K141*Assumptions!M$6+K141),-3)</f>
        <v>514000</v>
      </c>
      <c r="M141" s="142">
        <f>ROUND((L141*Assumptions!N$6+L141),-3)</f>
        <v>527000</v>
      </c>
      <c r="N141" s="33">
        <f>ROUND((M141*Assumptions!O$6+M141),-3)</f>
        <v>540000</v>
      </c>
      <c r="O141" s="33">
        <f>ROUND((N141*Assumptions!P$6+N141),-3)</f>
        <v>554000</v>
      </c>
      <c r="P141" s="102">
        <f>ROUND((O141*Assumptions!Q$6+O141),-3)</f>
        <v>568000</v>
      </c>
      <c r="Q141" s="142">
        <f>'Cap Inc'!B69+'Cap Inc'!B64+'Cap Inc'!B71+'Cap Inc'!B72+'Cap Inc'!B73+'Cap Inc'!B74+'Cap Inc'!B70</f>
        <v>154200</v>
      </c>
      <c r="R141" s="33"/>
      <c r="S141" s="33"/>
      <c r="T141" s="33">
        <f>3000+218300-30000</f>
        <v>191300</v>
      </c>
      <c r="U141" s="102">
        <f t="shared" ref="U141:U151" si="377">E141-Q141-R141-S141-T141</f>
        <v>28200</v>
      </c>
      <c r="V141" s="186">
        <f>40000-40000</f>
        <v>0</v>
      </c>
      <c r="W141" s="33">
        <v>50000</v>
      </c>
      <c r="X141" s="99"/>
      <c r="Y141" s="33">
        <f>13200+15000+11000+41000+17500-10000+2000+7000+1000</f>
        <v>97700</v>
      </c>
      <c r="Z141" s="102">
        <f t="shared" ref="Z141:Z151" si="378">F141-V141-W141-X141-Y141</f>
        <v>290000</v>
      </c>
      <c r="AA141" s="142"/>
      <c r="AB141" s="33"/>
      <c r="AC141" s="33"/>
      <c r="AD141" s="33"/>
      <c r="AE141" s="102">
        <f t="shared" ref="AE141:AE151" si="379">G141-AA141-AB141-AC141-AD141</f>
        <v>366000</v>
      </c>
      <c r="AF141" s="142"/>
      <c r="AG141" s="33"/>
      <c r="AH141" s="33"/>
      <c r="AI141" s="33"/>
      <c r="AJ141" s="102">
        <f t="shared" ref="AJ141:AJ151" si="380">H141-AF141-AG141-AH141-AI141</f>
        <v>459000</v>
      </c>
      <c r="AK141" s="142"/>
      <c r="AL141" s="33"/>
      <c r="AM141" s="33"/>
      <c r="AN141" s="33"/>
      <c r="AO141" s="114">
        <f t="shared" ref="AO141:AO151" si="381">I141-AK141-AL141-AM141-AN141</f>
        <v>477000</v>
      </c>
      <c r="AP141" s="142"/>
      <c r="AQ141" s="33"/>
      <c r="AR141" s="33"/>
      <c r="AS141" s="33"/>
      <c r="AT141" s="102">
        <f>J141-AP141-AQ141-AR141-AS141</f>
        <v>489000</v>
      </c>
      <c r="AV141" s="33"/>
      <c r="AW141" s="33"/>
      <c r="AX141" s="33"/>
      <c r="AY141" s="102">
        <f>K141-AU141-AV141-AW141-AX141</f>
        <v>501000</v>
      </c>
      <c r="AZ141" s="142"/>
      <c r="BA141" s="33"/>
      <c r="BB141" s="33"/>
      <c r="BC141" s="33"/>
      <c r="BD141" s="102">
        <f>L141-AZ141-BA141-BB141-BC141</f>
        <v>514000</v>
      </c>
      <c r="BE141" s="142"/>
      <c r="BF141" s="33"/>
      <c r="BG141" s="33"/>
      <c r="BH141" s="33"/>
      <c r="BI141" s="102">
        <f>M141-BE141-BF141-BG141-BH141</f>
        <v>527000</v>
      </c>
      <c r="BJ141" s="142"/>
      <c r="BK141" s="33"/>
      <c r="BL141" s="33"/>
      <c r="BM141" s="33"/>
      <c r="BN141" s="102">
        <f>N141-BJ141-BK141-BL141-BM141</f>
        <v>540000</v>
      </c>
      <c r="BO141" s="142"/>
      <c r="BP141" s="33"/>
      <c r="BQ141" s="33"/>
      <c r="BR141" s="33"/>
      <c r="BS141" s="102">
        <f>O141-BO141-BP141-BQ141-BR141</f>
        <v>554000</v>
      </c>
      <c r="BT141" s="142"/>
      <c r="BU141" s="33"/>
      <c r="BV141" s="33"/>
      <c r="BW141" s="33"/>
      <c r="BX141" s="99">
        <f t="shared" ref="BX141" si="382">P141-BT141-BU141-BV141-BW141</f>
        <v>568000</v>
      </c>
      <c r="BY141" s="2438">
        <v>0.5</v>
      </c>
      <c r="BZ141" s="1263">
        <v>0.5</v>
      </c>
      <c r="CA141" s="1263">
        <v>0.5</v>
      </c>
      <c r="CB141" s="1263">
        <v>0.5</v>
      </c>
      <c r="CC141" s="1263">
        <v>0.5</v>
      </c>
      <c r="CD141" s="1263">
        <v>0.5</v>
      </c>
      <c r="CE141" s="1263">
        <v>0.5</v>
      </c>
      <c r="CF141" s="1263">
        <v>0.5</v>
      </c>
      <c r="CG141" s="1263">
        <v>0.5</v>
      </c>
      <c r="CH141" s="1263">
        <v>0.5</v>
      </c>
      <c r="CI141" s="1263">
        <v>0.5</v>
      </c>
      <c r="CJ141" s="1263">
        <v>0.5</v>
      </c>
      <c r="CK141" s="1263"/>
      <c r="CL141" s="1920">
        <f t="shared" ref="CL141:CL150" si="383">ROUND(BY141*E141,-3)</f>
        <v>187000</v>
      </c>
      <c r="CM141" s="78">
        <f t="shared" ref="CM141:CM150" si="384">ROUND(BZ141*F141,-3)</f>
        <v>219000</v>
      </c>
      <c r="CN141" s="78">
        <f t="shared" ref="CN141:CN150" si="385">ROUND(CA141*G141,-3)</f>
        <v>183000</v>
      </c>
      <c r="CO141" s="78">
        <f t="shared" ref="CO141:CO150" si="386">ROUND(CB141*H141,-3)</f>
        <v>230000</v>
      </c>
      <c r="CP141" s="78">
        <f t="shared" ref="CP141:CP150" si="387">ROUND(CC141*I141,-3)</f>
        <v>239000</v>
      </c>
      <c r="CQ141" s="78">
        <f t="shared" ref="CQ141:CQ150" si="388">ROUND(CD141*J141,-3)</f>
        <v>245000</v>
      </c>
      <c r="CR141" s="78">
        <f t="shared" ref="CR141:CR150" si="389">ROUND(CE141*K141,-3)</f>
        <v>251000</v>
      </c>
      <c r="CS141" s="78">
        <f t="shared" ref="CS141:CS150" si="390">ROUND(CF141*L141,-3)</f>
        <v>257000</v>
      </c>
      <c r="CT141" s="78">
        <f t="shared" ref="CT141:CT150" si="391">ROUND(CG141*M141,-3)</f>
        <v>264000</v>
      </c>
      <c r="CU141" s="78">
        <f t="shared" ref="CU141:CU150" si="392">ROUND(CH141*N141,-3)</f>
        <v>270000</v>
      </c>
      <c r="CV141" s="78">
        <f t="shared" ref="CV141:CV150" si="393">ROUND(CI141*O141,-3)</f>
        <v>277000</v>
      </c>
      <c r="CW141" s="131">
        <f t="shared" ref="CW141:CW150" si="394">ROUND(CJ141*P141,-3)</f>
        <v>284000</v>
      </c>
    </row>
    <row r="142" spans="1:101" x14ac:dyDescent="0.2">
      <c r="A142" s="869" t="s">
        <v>5628</v>
      </c>
      <c r="B142" s="2354"/>
      <c r="C142" s="2334"/>
      <c r="D142" s="2396" t="s">
        <v>5164</v>
      </c>
      <c r="E142" s="502">
        <v>93000</v>
      </c>
      <c r="F142" s="76"/>
      <c r="G142" s="33"/>
      <c r="H142" s="33"/>
      <c r="I142" s="76"/>
      <c r="J142" s="76"/>
      <c r="K142" s="76"/>
      <c r="L142" s="33"/>
      <c r="M142" s="142"/>
      <c r="N142" s="33"/>
      <c r="O142" s="33"/>
      <c r="P142" s="102"/>
      <c r="Q142" s="142"/>
      <c r="R142" s="33"/>
      <c r="S142" s="33"/>
      <c r="T142" s="33">
        <f>E142</f>
        <v>93000</v>
      </c>
      <c r="U142" s="102">
        <f t="shared" si="377"/>
        <v>0</v>
      </c>
      <c r="V142" s="186"/>
      <c r="W142" s="33"/>
      <c r="X142" s="99"/>
      <c r="Y142" s="33"/>
      <c r="Z142" s="102">
        <f t="shared" si="378"/>
        <v>0</v>
      </c>
      <c r="AA142" s="142"/>
      <c r="AB142" s="33"/>
      <c r="AC142" s="33"/>
      <c r="AD142" s="33"/>
      <c r="AE142" s="102">
        <f t="shared" si="379"/>
        <v>0</v>
      </c>
      <c r="AF142" s="142"/>
      <c r="AG142" s="33"/>
      <c r="AH142" s="33"/>
      <c r="AI142" s="33"/>
      <c r="AJ142" s="102">
        <f t="shared" si="380"/>
        <v>0</v>
      </c>
      <c r="AK142" s="142"/>
      <c r="AL142" s="33"/>
      <c r="AM142" s="33"/>
      <c r="AN142" s="33"/>
      <c r="AO142" s="114">
        <f t="shared" si="381"/>
        <v>0</v>
      </c>
      <c r="AP142" s="142"/>
      <c r="AQ142" s="33"/>
      <c r="AR142" s="33"/>
      <c r="AS142" s="33"/>
      <c r="AT142" s="102">
        <f t="shared" ref="AT142:AT151" si="395">J142-AP142-AQ142-AR142-AS142</f>
        <v>0</v>
      </c>
      <c r="AV142" s="33"/>
      <c r="AW142" s="33"/>
      <c r="AX142" s="33"/>
      <c r="AY142" s="102">
        <f t="shared" ref="AY142:AY151" si="396">K142-AU142-AV142-AW142-AX142</f>
        <v>0</v>
      </c>
      <c r="AZ142" s="142"/>
      <c r="BA142" s="33"/>
      <c r="BB142" s="33"/>
      <c r="BC142" s="33"/>
      <c r="BD142" s="102">
        <f t="shared" ref="BD142:BD151" si="397">L142-AZ142-BA142-BB142-BC142</f>
        <v>0</v>
      </c>
      <c r="BE142" s="142"/>
      <c r="BF142" s="33"/>
      <c r="BG142" s="33"/>
      <c r="BH142" s="33"/>
      <c r="BI142" s="102">
        <f t="shared" ref="BI142:BI151" si="398">M142-BE142-BF142-BG142-BH142</f>
        <v>0</v>
      </c>
      <c r="BJ142" s="142"/>
      <c r="BK142" s="33"/>
      <c r="BL142" s="33"/>
      <c r="BM142" s="33"/>
      <c r="BN142" s="102">
        <f t="shared" ref="BN142:BN151" si="399">N142-BJ142-BK142-BL142-BM142</f>
        <v>0</v>
      </c>
      <c r="BO142" s="142"/>
      <c r="BP142" s="33"/>
      <c r="BQ142" s="33"/>
      <c r="BR142" s="33"/>
      <c r="BS142" s="102">
        <f t="shared" ref="BS142:BS151" si="400">O142-BO142-BP142-BQ142-BR142</f>
        <v>0</v>
      </c>
      <c r="BT142" s="142"/>
      <c r="BU142" s="33"/>
      <c r="BV142" s="33"/>
      <c r="BW142" s="33"/>
      <c r="BX142" s="99">
        <f t="shared" ref="BX142:BX151" si="401">P142-BT142-BU142-BV142-BW142</f>
        <v>0</v>
      </c>
      <c r="BY142" s="2438">
        <v>0</v>
      </c>
      <c r="BZ142" s="1263">
        <f t="shared" ref="BZ142:BZ146" si="402">BY142</f>
        <v>0</v>
      </c>
      <c r="CA142" s="1263">
        <f t="shared" ref="CA142:CA146" si="403">BZ142</f>
        <v>0</v>
      </c>
      <c r="CB142" s="1263">
        <f t="shared" ref="CB142:CB146" si="404">CA142</f>
        <v>0</v>
      </c>
      <c r="CC142" s="1263">
        <f t="shared" ref="CC142:CC146" si="405">CB142</f>
        <v>0</v>
      </c>
      <c r="CD142" s="1263">
        <f t="shared" ref="CD142:CD146" si="406">CC142</f>
        <v>0</v>
      </c>
      <c r="CE142" s="1263">
        <f t="shared" ref="CE142:CE146" si="407">CD142</f>
        <v>0</v>
      </c>
      <c r="CF142" s="1263">
        <f t="shared" ref="CF142:CF146" si="408">CE142</f>
        <v>0</v>
      </c>
      <c r="CG142" s="1263">
        <f t="shared" ref="CG142:CH146" si="409">CF142</f>
        <v>0</v>
      </c>
      <c r="CH142" s="1263">
        <f t="shared" si="409"/>
        <v>0</v>
      </c>
      <c r="CI142" s="1263">
        <f t="shared" ref="CI142:CJ150" si="410">CH142</f>
        <v>0</v>
      </c>
      <c r="CJ142" s="1263">
        <f t="shared" si="410"/>
        <v>0</v>
      </c>
      <c r="CK142" s="1263"/>
      <c r="CL142" s="1920">
        <f t="shared" si="383"/>
        <v>0</v>
      </c>
      <c r="CM142" s="78">
        <f t="shared" si="384"/>
        <v>0</v>
      </c>
      <c r="CN142" s="78">
        <f t="shared" si="385"/>
        <v>0</v>
      </c>
      <c r="CO142" s="78">
        <f t="shared" si="386"/>
        <v>0</v>
      </c>
      <c r="CP142" s="78">
        <f t="shared" si="387"/>
        <v>0</v>
      </c>
      <c r="CQ142" s="78">
        <f t="shared" si="388"/>
        <v>0</v>
      </c>
      <c r="CR142" s="78">
        <f t="shared" si="389"/>
        <v>0</v>
      </c>
      <c r="CS142" s="78">
        <f t="shared" si="390"/>
        <v>0</v>
      </c>
      <c r="CT142" s="78">
        <f t="shared" si="391"/>
        <v>0</v>
      </c>
      <c r="CU142" s="78">
        <f t="shared" si="392"/>
        <v>0</v>
      </c>
      <c r="CV142" s="78">
        <f t="shared" si="393"/>
        <v>0</v>
      </c>
      <c r="CW142" s="131">
        <f t="shared" si="394"/>
        <v>0</v>
      </c>
    </row>
    <row r="143" spans="1:101" x14ac:dyDescent="0.2">
      <c r="A143" s="869" t="s">
        <v>7048</v>
      </c>
      <c r="B143" s="2354"/>
      <c r="C143" s="2334"/>
      <c r="D143" s="2396" t="s">
        <v>5164</v>
      </c>
      <c r="E143" s="502"/>
      <c r="F143" s="76"/>
      <c r="G143" s="33"/>
      <c r="H143" s="33"/>
      <c r="I143" s="76"/>
      <c r="J143" s="76"/>
      <c r="K143" s="76"/>
      <c r="L143" s="33"/>
      <c r="M143" s="142"/>
      <c r="N143" s="33"/>
      <c r="O143" s="33"/>
      <c r="P143" s="102"/>
      <c r="Q143" s="142"/>
      <c r="R143" s="33"/>
      <c r="S143" s="33"/>
      <c r="T143" s="33"/>
      <c r="U143" s="102">
        <f t="shared" si="377"/>
        <v>0</v>
      </c>
      <c r="V143" s="186"/>
      <c r="W143" s="33"/>
      <c r="X143" s="99"/>
      <c r="Y143" s="33">
        <f>'Res-Gen'!F173-37800-770700-850000+30000+850000-62400</f>
        <v>0</v>
      </c>
      <c r="Z143" s="102">
        <f t="shared" si="378"/>
        <v>0</v>
      </c>
      <c r="AA143" s="142"/>
      <c r="AB143" s="33"/>
      <c r="AC143" s="33"/>
      <c r="AD143" s="33"/>
      <c r="AE143" s="102">
        <f t="shared" si="379"/>
        <v>0</v>
      </c>
      <c r="AF143" s="142"/>
      <c r="AG143" s="33"/>
      <c r="AH143" s="33"/>
      <c r="AI143" s="33"/>
      <c r="AJ143" s="102">
        <f t="shared" si="380"/>
        <v>0</v>
      </c>
      <c r="AK143" s="142"/>
      <c r="AL143" s="33"/>
      <c r="AM143" s="33"/>
      <c r="AN143" s="33"/>
      <c r="AO143" s="114">
        <f t="shared" si="381"/>
        <v>0</v>
      </c>
      <c r="AP143" s="142"/>
      <c r="AQ143" s="33"/>
      <c r="AR143" s="33"/>
      <c r="AS143" s="33"/>
      <c r="AT143" s="102">
        <f t="shared" si="395"/>
        <v>0</v>
      </c>
      <c r="AV143" s="33"/>
      <c r="AW143" s="33"/>
      <c r="AX143" s="33"/>
      <c r="AY143" s="102">
        <f t="shared" si="396"/>
        <v>0</v>
      </c>
      <c r="AZ143" s="142"/>
      <c r="BA143" s="33"/>
      <c r="BB143" s="33"/>
      <c r="BC143" s="33"/>
      <c r="BD143" s="102">
        <f t="shared" si="397"/>
        <v>0</v>
      </c>
      <c r="BE143" s="142"/>
      <c r="BF143" s="33"/>
      <c r="BG143" s="33"/>
      <c r="BH143" s="33"/>
      <c r="BI143" s="102">
        <f t="shared" si="398"/>
        <v>0</v>
      </c>
      <c r="BJ143" s="142"/>
      <c r="BK143" s="33"/>
      <c r="BL143" s="33"/>
      <c r="BM143" s="33"/>
      <c r="BN143" s="102">
        <f t="shared" si="399"/>
        <v>0</v>
      </c>
      <c r="BO143" s="142"/>
      <c r="BP143" s="33"/>
      <c r="BQ143" s="33"/>
      <c r="BR143" s="33"/>
      <c r="BS143" s="102">
        <f t="shared" si="400"/>
        <v>0</v>
      </c>
      <c r="BT143" s="142"/>
      <c r="BU143" s="33"/>
      <c r="BV143" s="33"/>
      <c r="BW143" s="33"/>
      <c r="BX143" s="99">
        <f t="shared" si="401"/>
        <v>0</v>
      </c>
      <c r="BY143" s="2438">
        <v>0</v>
      </c>
      <c r="BZ143" s="1263">
        <f t="shared" ref="BZ143" si="411">BY143</f>
        <v>0</v>
      </c>
      <c r="CA143" s="1263">
        <f t="shared" ref="CA143" si="412">BZ143</f>
        <v>0</v>
      </c>
      <c r="CB143" s="1263">
        <f t="shared" ref="CB143" si="413">CA143</f>
        <v>0</v>
      </c>
      <c r="CC143" s="1263">
        <f t="shared" ref="CC143" si="414">CB143</f>
        <v>0</v>
      </c>
      <c r="CD143" s="1263">
        <f t="shared" ref="CD143" si="415">CC143</f>
        <v>0</v>
      </c>
      <c r="CE143" s="1263">
        <f t="shared" ref="CE143" si="416">CD143</f>
        <v>0</v>
      </c>
      <c r="CF143" s="1263">
        <f t="shared" ref="CF143" si="417">CE143</f>
        <v>0</v>
      </c>
      <c r="CG143" s="1263">
        <f t="shared" ref="CG143" si="418">CF143</f>
        <v>0</v>
      </c>
      <c r="CH143" s="1263">
        <f t="shared" ref="CH143" si="419">CG143</f>
        <v>0</v>
      </c>
      <c r="CI143" s="1263">
        <f t="shared" si="410"/>
        <v>0</v>
      </c>
      <c r="CJ143" s="1263">
        <f t="shared" si="410"/>
        <v>0</v>
      </c>
      <c r="CK143" s="1263"/>
      <c r="CL143" s="1920">
        <f t="shared" si="383"/>
        <v>0</v>
      </c>
      <c r="CM143" s="78">
        <f t="shared" si="384"/>
        <v>0</v>
      </c>
      <c r="CN143" s="78">
        <f t="shared" si="385"/>
        <v>0</v>
      </c>
      <c r="CO143" s="78">
        <f t="shared" si="386"/>
        <v>0</v>
      </c>
      <c r="CP143" s="78">
        <f t="shared" si="387"/>
        <v>0</v>
      </c>
      <c r="CQ143" s="78">
        <f t="shared" si="388"/>
        <v>0</v>
      </c>
      <c r="CR143" s="78">
        <f t="shared" si="389"/>
        <v>0</v>
      </c>
      <c r="CS143" s="78">
        <f t="shared" si="390"/>
        <v>0</v>
      </c>
      <c r="CT143" s="78">
        <f t="shared" si="391"/>
        <v>0</v>
      </c>
      <c r="CU143" s="78">
        <f t="shared" si="392"/>
        <v>0</v>
      </c>
      <c r="CV143" s="78">
        <f t="shared" si="393"/>
        <v>0</v>
      </c>
      <c r="CW143" s="131">
        <f t="shared" si="394"/>
        <v>0</v>
      </c>
    </row>
    <row r="144" spans="1:101" x14ac:dyDescent="0.2">
      <c r="A144" s="869" t="s">
        <v>5563</v>
      </c>
      <c r="B144" s="2354" t="s">
        <v>4254</v>
      </c>
      <c r="C144" s="2334"/>
      <c r="D144" s="2396" t="s">
        <v>5164</v>
      </c>
      <c r="E144" s="502">
        <f>597900+30300</f>
        <v>628200</v>
      </c>
      <c r="F144" s="76">
        <f>37800-35000</f>
        <v>2800</v>
      </c>
      <c r="G144" s="33"/>
      <c r="H144" s="33"/>
      <c r="I144" s="76"/>
      <c r="J144" s="76"/>
      <c r="K144" s="76"/>
      <c r="L144" s="33"/>
      <c r="M144" s="142"/>
      <c r="N144" s="33"/>
      <c r="O144" s="33"/>
      <c r="P144" s="102"/>
      <c r="Q144" s="142">
        <v>296000</v>
      </c>
      <c r="R144" s="33"/>
      <c r="S144" s="33"/>
      <c r="T144" s="33">
        <f>60000+396900-120000</f>
        <v>336900</v>
      </c>
      <c r="U144" s="102">
        <f t="shared" si="377"/>
        <v>-4700</v>
      </c>
      <c r="V144" s="186"/>
      <c r="W144" s="33"/>
      <c r="X144" s="99"/>
      <c r="Y144" s="33">
        <f>37800-35000</f>
        <v>2800</v>
      </c>
      <c r="Z144" s="102">
        <f t="shared" si="378"/>
        <v>0</v>
      </c>
      <c r="AA144" s="142"/>
      <c r="AB144" s="33"/>
      <c r="AC144" s="33"/>
      <c r="AD144" s="33"/>
      <c r="AE144" s="102">
        <f t="shared" si="379"/>
        <v>0</v>
      </c>
      <c r="AF144" s="142"/>
      <c r="AG144" s="33"/>
      <c r="AH144" s="33"/>
      <c r="AI144" s="33"/>
      <c r="AJ144" s="102">
        <f t="shared" si="380"/>
        <v>0</v>
      </c>
      <c r="AK144" s="142"/>
      <c r="AL144" s="33"/>
      <c r="AM144" s="33"/>
      <c r="AN144" s="33"/>
      <c r="AO144" s="114">
        <f t="shared" si="381"/>
        <v>0</v>
      </c>
      <c r="AP144" s="142"/>
      <c r="AQ144" s="33"/>
      <c r="AR144" s="33"/>
      <c r="AS144" s="33"/>
      <c r="AT144" s="102">
        <f t="shared" si="395"/>
        <v>0</v>
      </c>
      <c r="AV144" s="33"/>
      <c r="AW144" s="33"/>
      <c r="AX144" s="33"/>
      <c r="AY144" s="102">
        <f t="shared" si="396"/>
        <v>0</v>
      </c>
      <c r="AZ144" s="142"/>
      <c r="BA144" s="33"/>
      <c r="BB144" s="33"/>
      <c r="BC144" s="33"/>
      <c r="BD144" s="102">
        <f t="shared" si="397"/>
        <v>0</v>
      </c>
      <c r="BE144" s="142"/>
      <c r="BF144" s="33"/>
      <c r="BG144" s="33"/>
      <c r="BH144" s="33"/>
      <c r="BI144" s="102">
        <f t="shared" si="398"/>
        <v>0</v>
      </c>
      <c r="BJ144" s="142"/>
      <c r="BK144" s="33"/>
      <c r="BL144" s="33"/>
      <c r="BM144" s="33"/>
      <c r="BN144" s="102">
        <f t="shared" si="399"/>
        <v>0</v>
      </c>
      <c r="BO144" s="142"/>
      <c r="BP144" s="33"/>
      <c r="BQ144" s="33"/>
      <c r="BR144" s="33"/>
      <c r="BS144" s="102">
        <f t="shared" si="400"/>
        <v>0</v>
      </c>
      <c r="BT144" s="142"/>
      <c r="BU144" s="33"/>
      <c r="BV144" s="33"/>
      <c r="BW144" s="33"/>
      <c r="BX144" s="99">
        <f t="shared" si="401"/>
        <v>0</v>
      </c>
      <c r="BY144" s="2438">
        <v>0</v>
      </c>
      <c r="BZ144" s="1263">
        <f t="shared" si="402"/>
        <v>0</v>
      </c>
      <c r="CA144" s="1263">
        <f t="shared" si="403"/>
        <v>0</v>
      </c>
      <c r="CB144" s="1263">
        <f t="shared" si="404"/>
        <v>0</v>
      </c>
      <c r="CC144" s="1263">
        <f t="shared" si="405"/>
        <v>0</v>
      </c>
      <c r="CD144" s="1263">
        <f t="shared" si="406"/>
        <v>0</v>
      </c>
      <c r="CE144" s="1263">
        <f t="shared" si="407"/>
        <v>0</v>
      </c>
      <c r="CF144" s="1263">
        <f t="shared" si="408"/>
        <v>0</v>
      </c>
      <c r="CG144" s="1263">
        <f t="shared" si="409"/>
        <v>0</v>
      </c>
      <c r="CH144" s="1263">
        <f t="shared" si="409"/>
        <v>0</v>
      </c>
      <c r="CI144" s="1263">
        <f t="shared" si="410"/>
        <v>0</v>
      </c>
      <c r="CJ144" s="1263">
        <f t="shared" si="410"/>
        <v>0</v>
      </c>
      <c r="CK144" s="1263"/>
      <c r="CL144" s="1920">
        <f t="shared" si="383"/>
        <v>0</v>
      </c>
      <c r="CM144" s="78">
        <f t="shared" si="384"/>
        <v>0</v>
      </c>
      <c r="CN144" s="78">
        <f t="shared" si="385"/>
        <v>0</v>
      </c>
      <c r="CO144" s="78">
        <f t="shared" si="386"/>
        <v>0</v>
      </c>
      <c r="CP144" s="78">
        <f t="shared" si="387"/>
        <v>0</v>
      </c>
      <c r="CQ144" s="78">
        <f t="shared" si="388"/>
        <v>0</v>
      </c>
      <c r="CR144" s="78">
        <f t="shared" si="389"/>
        <v>0</v>
      </c>
      <c r="CS144" s="78">
        <f t="shared" si="390"/>
        <v>0</v>
      </c>
      <c r="CT144" s="78">
        <f t="shared" si="391"/>
        <v>0</v>
      </c>
      <c r="CU144" s="78">
        <f t="shared" si="392"/>
        <v>0</v>
      </c>
      <c r="CV144" s="78">
        <f t="shared" si="393"/>
        <v>0</v>
      </c>
      <c r="CW144" s="131">
        <f t="shared" si="394"/>
        <v>0</v>
      </c>
    </row>
    <row r="145" spans="1:101" x14ac:dyDescent="0.2">
      <c r="A145" s="869" t="s">
        <v>5619</v>
      </c>
      <c r="B145" s="2354"/>
      <c r="C145" s="2334"/>
      <c r="D145" s="2396" t="s">
        <v>5164</v>
      </c>
      <c r="E145" s="502">
        <v>1074300</v>
      </c>
      <c r="F145" s="76">
        <f>770700+62400</f>
        <v>833100</v>
      </c>
      <c r="G145" s="33">
        <v>850000</v>
      </c>
      <c r="H145" s="33">
        <v>850000</v>
      </c>
      <c r="I145" s="76"/>
      <c r="J145" s="76"/>
      <c r="K145" s="76"/>
      <c r="L145" s="33"/>
      <c r="M145" s="142"/>
      <c r="N145" s="33"/>
      <c r="O145" s="33"/>
      <c r="P145" s="102"/>
      <c r="Q145" s="142">
        <f>+'Cap Inc'!B67</f>
        <v>0</v>
      </c>
      <c r="R145" s="33"/>
      <c r="S145" s="33"/>
      <c r="T145" s="33">
        <f>1000000+98000+100000+181800+535000</f>
        <v>1914800</v>
      </c>
      <c r="U145" s="102">
        <f>E145-Q145-R145-S145-T145</f>
        <v>-840500</v>
      </c>
      <c r="V145" s="186">
        <f>'Cap Inc'!E67</f>
        <v>0</v>
      </c>
      <c r="W145" s="33"/>
      <c r="X145" s="99"/>
      <c r="Y145" s="33">
        <f>770700+62400</f>
        <v>833100</v>
      </c>
      <c r="Z145" s="102">
        <f>F145-V145-W145-X145-Y145</f>
        <v>0</v>
      </c>
      <c r="AA145" s="142">
        <f>'Cap Inc'!F63</f>
        <v>425000</v>
      </c>
      <c r="AB145" s="33"/>
      <c r="AC145" s="33"/>
      <c r="AD145" s="33">
        <v>425000</v>
      </c>
      <c r="AE145" s="102">
        <f>G145-AA145-AB145-AC145-AD145</f>
        <v>0</v>
      </c>
      <c r="AF145" s="142">
        <f>'Cap Inc'!G63</f>
        <v>425000</v>
      </c>
      <c r="AG145" s="33"/>
      <c r="AH145" s="33"/>
      <c r="AI145" s="33">
        <v>425000</v>
      </c>
      <c r="AJ145" s="102">
        <f>H145-AF145-AG145-AH145-AI145</f>
        <v>0</v>
      </c>
      <c r="AK145" s="142"/>
      <c r="AL145" s="33"/>
      <c r="AM145" s="33"/>
      <c r="AN145" s="33"/>
      <c r="AO145" s="114">
        <f>I145-AK145-AL145-AM145-AN145</f>
        <v>0</v>
      </c>
      <c r="AP145" s="142"/>
      <c r="AQ145" s="33"/>
      <c r="AR145" s="33"/>
      <c r="AS145" s="33"/>
      <c r="AT145" s="102">
        <f>J145-AP145-AQ145-AR145-AS145</f>
        <v>0</v>
      </c>
      <c r="AV145" s="33"/>
      <c r="AW145" s="33"/>
      <c r="AX145" s="33"/>
      <c r="AY145" s="102">
        <f>K145-AU145-AV145-AW145-AX145</f>
        <v>0</v>
      </c>
      <c r="AZ145" s="142"/>
      <c r="BA145" s="33"/>
      <c r="BB145" s="33"/>
      <c r="BC145" s="33"/>
      <c r="BD145" s="102">
        <f>L145-AZ145-BA145-BB145-BC145</f>
        <v>0</v>
      </c>
      <c r="BE145" s="142"/>
      <c r="BF145" s="33"/>
      <c r="BG145" s="33"/>
      <c r="BH145" s="33"/>
      <c r="BI145" s="102">
        <f>M145-BE145-BF145-BG145-BH145</f>
        <v>0</v>
      </c>
      <c r="BJ145" s="142"/>
      <c r="BK145" s="33"/>
      <c r="BL145" s="33"/>
      <c r="BM145" s="33"/>
      <c r="BN145" s="102">
        <f>N145-BJ145-BK145-BL145-BM145</f>
        <v>0</v>
      </c>
      <c r="BO145" s="142"/>
      <c r="BP145" s="33"/>
      <c r="BQ145" s="33"/>
      <c r="BR145" s="33"/>
      <c r="BS145" s="102">
        <f>O145-BO145-BP145-BQ145-BR145</f>
        <v>0</v>
      </c>
      <c r="BT145" s="142"/>
      <c r="BU145" s="33"/>
      <c r="BV145" s="33"/>
      <c r="BW145" s="33"/>
      <c r="BX145" s="99">
        <f>P145-BT145-BU145-BV145-BW145</f>
        <v>0</v>
      </c>
      <c r="BY145" s="2438">
        <v>0</v>
      </c>
      <c r="BZ145" s="1263">
        <f t="shared" ref="BZ145:CJ145" si="420">BY145</f>
        <v>0</v>
      </c>
      <c r="CA145" s="1263">
        <f t="shared" si="420"/>
        <v>0</v>
      </c>
      <c r="CB145" s="1263">
        <f t="shared" si="420"/>
        <v>0</v>
      </c>
      <c r="CC145" s="1263">
        <f t="shared" si="420"/>
        <v>0</v>
      </c>
      <c r="CD145" s="1263">
        <f t="shared" si="420"/>
        <v>0</v>
      </c>
      <c r="CE145" s="1263">
        <f t="shared" si="420"/>
        <v>0</v>
      </c>
      <c r="CF145" s="1263">
        <f t="shared" si="420"/>
        <v>0</v>
      </c>
      <c r="CG145" s="1263">
        <f t="shared" si="420"/>
        <v>0</v>
      </c>
      <c r="CH145" s="1263">
        <f t="shared" si="420"/>
        <v>0</v>
      </c>
      <c r="CI145" s="1263">
        <f t="shared" si="420"/>
        <v>0</v>
      </c>
      <c r="CJ145" s="1263">
        <f t="shared" si="420"/>
        <v>0</v>
      </c>
      <c r="CK145" s="1263"/>
      <c r="CL145" s="1920">
        <f t="shared" ref="CL145:CW145" si="421">ROUND(BY145*E145,-3)</f>
        <v>0</v>
      </c>
      <c r="CM145" s="78">
        <f t="shared" si="421"/>
        <v>0</v>
      </c>
      <c r="CN145" s="78">
        <f t="shared" si="421"/>
        <v>0</v>
      </c>
      <c r="CO145" s="78">
        <f t="shared" si="421"/>
        <v>0</v>
      </c>
      <c r="CP145" s="78">
        <f t="shared" si="421"/>
        <v>0</v>
      </c>
      <c r="CQ145" s="78">
        <f t="shared" si="421"/>
        <v>0</v>
      </c>
      <c r="CR145" s="78">
        <f t="shared" si="421"/>
        <v>0</v>
      </c>
      <c r="CS145" s="78">
        <f t="shared" si="421"/>
        <v>0</v>
      </c>
      <c r="CT145" s="78">
        <f t="shared" si="421"/>
        <v>0</v>
      </c>
      <c r="CU145" s="78">
        <f t="shared" si="421"/>
        <v>0</v>
      </c>
      <c r="CV145" s="78">
        <f t="shared" si="421"/>
        <v>0</v>
      </c>
      <c r="CW145" s="131">
        <f t="shared" si="421"/>
        <v>0</v>
      </c>
    </row>
    <row r="146" spans="1:101" x14ac:dyDescent="0.2">
      <c r="A146" s="869" t="s">
        <v>724</v>
      </c>
      <c r="B146" s="2368" t="s">
        <v>4011</v>
      </c>
      <c r="C146" s="2343" t="s">
        <v>4115</v>
      </c>
      <c r="D146" s="2328" t="s">
        <v>4115</v>
      </c>
      <c r="E146" s="502">
        <v>18200</v>
      </c>
      <c r="F146" s="76">
        <f>47000+6800</f>
        <v>53800</v>
      </c>
      <c r="G146" s="33">
        <v>49000</v>
      </c>
      <c r="H146" s="33">
        <f>ROUND((G146*Assumptions!I$6+G146),-3)</f>
        <v>51000</v>
      </c>
      <c r="I146" s="76">
        <f>ROUND((H146*Assumptions!J$6+H146),-3)</f>
        <v>53000</v>
      </c>
      <c r="J146" s="76">
        <f>ROUND((I146*Assumptions!K$6+I146),-3)</f>
        <v>54000</v>
      </c>
      <c r="K146" s="33">
        <f>ROUND((J146*Assumptions!L$6+J146),-3)</f>
        <v>55000</v>
      </c>
      <c r="L146" s="33">
        <f>ROUND((K146*Assumptions!M$6+K146),-3)</f>
        <v>56000</v>
      </c>
      <c r="M146" s="142">
        <f>ROUND((L146*Assumptions!N$6+L146),-3)</f>
        <v>57000</v>
      </c>
      <c r="N146" s="33">
        <f>ROUND((M146*Assumptions!O$6+M146),-3)</f>
        <v>58000</v>
      </c>
      <c r="O146" s="33">
        <f>ROUND((N146*Assumptions!P$6+N146),-3)</f>
        <v>59000</v>
      </c>
      <c r="P146" s="102">
        <f>ROUND((O146*Assumptions!Q$6+O146),-3)</f>
        <v>60000</v>
      </c>
      <c r="Q146" s="142"/>
      <c r="R146" s="33"/>
      <c r="S146" s="33"/>
      <c r="T146" s="33"/>
      <c r="U146" s="102">
        <f t="shared" si="377"/>
        <v>18200</v>
      </c>
      <c r="V146" s="186"/>
      <c r="W146" s="33"/>
      <c r="X146" s="99"/>
      <c r="Y146" s="33">
        <v>6800</v>
      </c>
      <c r="Z146" s="102">
        <f t="shared" si="378"/>
        <v>47000</v>
      </c>
      <c r="AA146" s="142"/>
      <c r="AB146" s="33"/>
      <c r="AC146" s="33"/>
      <c r="AD146" s="33"/>
      <c r="AE146" s="102">
        <f t="shared" si="379"/>
        <v>49000</v>
      </c>
      <c r="AF146" s="142"/>
      <c r="AG146" s="33"/>
      <c r="AH146" s="33"/>
      <c r="AI146" s="33"/>
      <c r="AJ146" s="102">
        <f t="shared" si="380"/>
        <v>51000</v>
      </c>
      <c r="AK146" s="142"/>
      <c r="AL146" s="33"/>
      <c r="AM146" s="33"/>
      <c r="AN146" s="33"/>
      <c r="AO146" s="114">
        <f t="shared" si="381"/>
        <v>53000</v>
      </c>
      <c r="AP146" s="142"/>
      <c r="AQ146" s="33"/>
      <c r="AR146" s="33"/>
      <c r="AS146" s="33"/>
      <c r="AT146" s="102">
        <f t="shared" si="395"/>
        <v>54000</v>
      </c>
      <c r="AV146" s="33"/>
      <c r="AW146" s="33"/>
      <c r="AX146" s="33"/>
      <c r="AY146" s="102">
        <f t="shared" si="396"/>
        <v>55000</v>
      </c>
      <c r="AZ146" s="142"/>
      <c r="BA146" s="33"/>
      <c r="BB146" s="33"/>
      <c r="BC146" s="33"/>
      <c r="BD146" s="102">
        <f t="shared" si="397"/>
        <v>56000</v>
      </c>
      <c r="BE146" s="142"/>
      <c r="BF146" s="33"/>
      <c r="BG146" s="33"/>
      <c r="BH146" s="33"/>
      <c r="BI146" s="102">
        <f t="shared" si="398"/>
        <v>57000</v>
      </c>
      <c r="BJ146" s="142"/>
      <c r="BK146" s="33"/>
      <c r="BL146" s="33"/>
      <c r="BM146" s="33"/>
      <c r="BN146" s="102">
        <f t="shared" si="399"/>
        <v>58000</v>
      </c>
      <c r="BO146" s="142"/>
      <c r="BP146" s="33"/>
      <c r="BQ146" s="33"/>
      <c r="BR146" s="33"/>
      <c r="BS146" s="102">
        <f t="shared" si="400"/>
        <v>59000</v>
      </c>
      <c r="BT146" s="142"/>
      <c r="BU146" s="33"/>
      <c r="BV146" s="33"/>
      <c r="BW146" s="33"/>
      <c r="BX146" s="99">
        <f t="shared" si="401"/>
        <v>60000</v>
      </c>
      <c r="BY146" s="2438">
        <v>0</v>
      </c>
      <c r="BZ146" s="1263">
        <f t="shared" si="402"/>
        <v>0</v>
      </c>
      <c r="CA146" s="1263">
        <f t="shared" si="403"/>
        <v>0</v>
      </c>
      <c r="CB146" s="1263">
        <f t="shared" si="404"/>
        <v>0</v>
      </c>
      <c r="CC146" s="1263">
        <f t="shared" si="405"/>
        <v>0</v>
      </c>
      <c r="CD146" s="1263">
        <f t="shared" si="406"/>
        <v>0</v>
      </c>
      <c r="CE146" s="1263">
        <f t="shared" si="407"/>
        <v>0</v>
      </c>
      <c r="CF146" s="1263">
        <f t="shared" si="408"/>
        <v>0</v>
      </c>
      <c r="CG146" s="1263">
        <f t="shared" si="409"/>
        <v>0</v>
      </c>
      <c r="CH146" s="1263">
        <f t="shared" si="409"/>
        <v>0</v>
      </c>
      <c r="CI146" s="1263">
        <f t="shared" si="410"/>
        <v>0</v>
      </c>
      <c r="CJ146" s="1263">
        <f t="shared" si="410"/>
        <v>0</v>
      </c>
      <c r="CK146" s="1263"/>
      <c r="CL146" s="1920">
        <f t="shared" si="383"/>
        <v>0</v>
      </c>
      <c r="CM146" s="78">
        <f t="shared" si="384"/>
        <v>0</v>
      </c>
      <c r="CN146" s="78">
        <f t="shared" si="385"/>
        <v>0</v>
      </c>
      <c r="CO146" s="78">
        <f t="shared" si="386"/>
        <v>0</v>
      </c>
      <c r="CP146" s="78">
        <f t="shared" si="387"/>
        <v>0</v>
      </c>
      <c r="CQ146" s="78">
        <f t="shared" si="388"/>
        <v>0</v>
      </c>
      <c r="CR146" s="78">
        <f t="shared" si="389"/>
        <v>0</v>
      </c>
      <c r="CS146" s="78">
        <f t="shared" si="390"/>
        <v>0</v>
      </c>
      <c r="CT146" s="78">
        <f t="shared" si="391"/>
        <v>0</v>
      </c>
      <c r="CU146" s="78">
        <f t="shared" si="392"/>
        <v>0</v>
      </c>
      <c r="CV146" s="78">
        <f t="shared" si="393"/>
        <v>0</v>
      </c>
      <c r="CW146" s="131">
        <f t="shared" si="394"/>
        <v>0</v>
      </c>
    </row>
    <row r="147" spans="1:101" x14ac:dyDescent="0.2">
      <c r="A147" s="869" t="s">
        <v>5151</v>
      </c>
      <c r="B147" s="2352" t="s">
        <v>3271</v>
      </c>
      <c r="C147" s="2332" t="s">
        <v>5076</v>
      </c>
      <c r="D147" s="2327"/>
      <c r="E147" s="186">
        <v>221300</v>
      </c>
      <c r="F147" s="33">
        <f>42000-31600</f>
        <v>10400</v>
      </c>
      <c r="G147" s="33"/>
      <c r="H147" s="33"/>
      <c r="I147" s="76"/>
      <c r="J147" s="76"/>
      <c r="K147" s="76"/>
      <c r="L147" s="33"/>
      <c r="M147" s="142"/>
      <c r="N147" s="33"/>
      <c r="O147" s="33"/>
      <c r="P147" s="102"/>
      <c r="Q147" s="142"/>
      <c r="R147" s="33">
        <f>E147</f>
        <v>221300</v>
      </c>
      <c r="S147" s="33"/>
      <c r="T147" s="33"/>
      <c r="U147" s="102">
        <f t="shared" si="377"/>
        <v>0</v>
      </c>
      <c r="V147" s="186"/>
      <c r="W147" s="33">
        <f>42000-31600</f>
        <v>10400</v>
      </c>
      <c r="X147" s="99"/>
      <c r="Y147" s="33"/>
      <c r="Z147" s="102">
        <f t="shared" si="378"/>
        <v>0</v>
      </c>
      <c r="AA147" s="142"/>
      <c r="AB147" s="33"/>
      <c r="AC147" s="33"/>
      <c r="AD147" s="33"/>
      <c r="AE147" s="102">
        <f t="shared" si="379"/>
        <v>0</v>
      </c>
      <c r="AF147" s="142"/>
      <c r="AG147" s="33"/>
      <c r="AH147" s="33"/>
      <c r="AI147" s="33"/>
      <c r="AJ147" s="102">
        <f t="shared" si="380"/>
        <v>0</v>
      </c>
      <c r="AK147" s="142"/>
      <c r="AL147" s="33"/>
      <c r="AM147" s="33"/>
      <c r="AN147" s="33"/>
      <c r="AO147" s="114">
        <f t="shared" si="381"/>
        <v>0</v>
      </c>
      <c r="AP147" s="142"/>
      <c r="AQ147" s="33"/>
      <c r="AR147" s="33"/>
      <c r="AS147" s="33"/>
      <c r="AT147" s="102">
        <f t="shared" si="395"/>
        <v>0</v>
      </c>
      <c r="AV147" s="33"/>
      <c r="AW147" s="33"/>
      <c r="AX147" s="33"/>
      <c r="AY147" s="102">
        <f t="shared" si="396"/>
        <v>0</v>
      </c>
      <c r="AZ147" s="142"/>
      <c r="BA147" s="33"/>
      <c r="BB147" s="33"/>
      <c r="BC147" s="33"/>
      <c r="BD147" s="102">
        <f t="shared" si="397"/>
        <v>0</v>
      </c>
      <c r="BE147" s="142"/>
      <c r="BF147" s="33"/>
      <c r="BG147" s="33"/>
      <c r="BH147" s="33"/>
      <c r="BI147" s="102">
        <f t="shared" si="398"/>
        <v>0</v>
      </c>
      <c r="BJ147" s="142"/>
      <c r="BK147" s="33"/>
      <c r="BL147" s="33"/>
      <c r="BM147" s="33"/>
      <c r="BN147" s="102">
        <f t="shared" si="399"/>
        <v>0</v>
      </c>
      <c r="BO147" s="142"/>
      <c r="BP147" s="33"/>
      <c r="BQ147" s="33"/>
      <c r="BR147" s="33"/>
      <c r="BS147" s="102">
        <f t="shared" si="400"/>
        <v>0</v>
      </c>
      <c r="BT147" s="142"/>
      <c r="BU147" s="33"/>
      <c r="BV147" s="33"/>
      <c r="BW147" s="33"/>
      <c r="BX147" s="99">
        <f t="shared" si="401"/>
        <v>0</v>
      </c>
      <c r="BY147" s="2438">
        <v>0</v>
      </c>
      <c r="BZ147" s="1263">
        <f t="shared" ref="BZ147:CH147" si="422">BY147</f>
        <v>0</v>
      </c>
      <c r="CA147" s="1263">
        <f t="shared" si="422"/>
        <v>0</v>
      </c>
      <c r="CB147" s="1263">
        <f t="shared" si="422"/>
        <v>0</v>
      </c>
      <c r="CC147" s="1263">
        <f t="shared" si="422"/>
        <v>0</v>
      </c>
      <c r="CD147" s="1263">
        <f t="shared" si="422"/>
        <v>0</v>
      </c>
      <c r="CE147" s="1263">
        <f t="shared" si="422"/>
        <v>0</v>
      </c>
      <c r="CF147" s="1263">
        <f t="shared" si="422"/>
        <v>0</v>
      </c>
      <c r="CG147" s="1263">
        <f t="shared" si="422"/>
        <v>0</v>
      </c>
      <c r="CH147" s="1263">
        <f t="shared" si="422"/>
        <v>0</v>
      </c>
      <c r="CI147" s="1263">
        <f t="shared" si="410"/>
        <v>0</v>
      </c>
      <c r="CJ147" s="1263">
        <f t="shared" si="410"/>
        <v>0</v>
      </c>
      <c r="CK147" s="1263"/>
      <c r="CL147" s="1920">
        <f t="shared" si="383"/>
        <v>0</v>
      </c>
      <c r="CM147" s="78">
        <f t="shared" si="384"/>
        <v>0</v>
      </c>
      <c r="CN147" s="78">
        <f t="shared" si="385"/>
        <v>0</v>
      </c>
      <c r="CO147" s="78">
        <f t="shared" si="386"/>
        <v>0</v>
      </c>
      <c r="CP147" s="78">
        <f t="shared" si="387"/>
        <v>0</v>
      </c>
      <c r="CQ147" s="78">
        <f t="shared" si="388"/>
        <v>0</v>
      </c>
      <c r="CR147" s="78">
        <f t="shared" si="389"/>
        <v>0</v>
      </c>
      <c r="CS147" s="78">
        <f t="shared" si="390"/>
        <v>0</v>
      </c>
      <c r="CT147" s="78">
        <f t="shared" si="391"/>
        <v>0</v>
      </c>
      <c r="CU147" s="78">
        <f t="shared" si="392"/>
        <v>0</v>
      </c>
      <c r="CV147" s="78">
        <f t="shared" si="393"/>
        <v>0</v>
      </c>
      <c r="CW147" s="131">
        <f t="shared" si="394"/>
        <v>0</v>
      </c>
    </row>
    <row r="148" spans="1:101" x14ac:dyDescent="0.2">
      <c r="A148" s="869" t="s">
        <v>6088</v>
      </c>
      <c r="B148" s="2354" t="s">
        <v>6301</v>
      </c>
      <c r="C148" s="2332" t="s">
        <v>6302</v>
      </c>
      <c r="D148" s="2327" t="s">
        <v>6302</v>
      </c>
      <c r="E148" s="186"/>
      <c r="F148" s="33">
        <f>150000-70000</f>
        <v>80000</v>
      </c>
      <c r="G148" s="33"/>
      <c r="H148" s="33"/>
      <c r="I148" s="76"/>
      <c r="J148" s="76"/>
      <c r="K148" s="76"/>
      <c r="L148" s="33"/>
      <c r="M148" s="142"/>
      <c r="N148" s="33"/>
      <c r="O148" s="33"/>
      <c r="P148" s="102"/>
      <c r="Q148" s="142"/>
      <c r="R148" s="33"/>
      <c r="S148" s="33"/>
      <c r="T148" s="33"/>
      <c r="U148" s="102">
        <f t="shared" si="377"/>
        <v>0</v>
      </c>
      <c r="V148" s="186"/>
      <c r="W148" s="33"/>
      <c r="X148" s="99"/>
      <c r="Y148" s="33">
        <f>'Res-Gen'!F76</f>
        <v>80000</v>
      </c>
      <c r="Z148" s="102">
        <f t="shared" si="378"/>
        <v>0</v>
      </c>
      <c r="AA148" s="142"/>
      <c r="AB148" s="33"/>
      <c r="AC148" s="33"/>
      <c r="AD148" s="33"/>
      <c r="AE148" s="102">
        <f t="shared" si="379"/>
        <v>0</v>
      </c>
      <c r="AF148" s="142"/>
      <c r="AG148" s="33"/>
      <c r="AH148" s="33"/>
      <c r="AI148" s="33"/>
      <c r="AJ148" s="102">
        <f t="shared" si="380"/>
        <v>0</v>
      </c>
      <c r="AK148" s="142"/>
      <c r="AL148" s="33"/>
      <c r="AM148" s="33"/>
      <c r="AN148" s="33"/>
      <c r="AO148" s="114">
        <f t="shared" si="381"/>
        <v>0</v>
      </c>
      <c r="AP148" s="142"/>
      <c r="AQ148" s="33"/>
      <c r="AR148" s="33"/>
      <c r="AS148" s="33"/>
      <c r="AT148" s="102">
        <f t="shared" si="395"/>
        <v>0</v>
      </c>
      <c r="AV148" s="33"/>
      <c r="AW148" s="33"/>
      <c r="AX148" s="33"/>
      <c r="AY148" s="102">
        <f t="shared" si="396"/>
        <v>0</v>
      </c>
      <c r="AZ148" s="142"/>
      <c r="BA148" s="33"/>
      <c r="BB148" s="33"/>
      <c r="BC148" s="33"/>
      <c r="BD148" s="102">
        <f t="shared" si="397"/>
        <v>0</v>
      </c>
      <c r="BE148" s="142"/>
      <c r="BF148" s="33"/>
      <c r="BG148" s="33"/>
      <c r="BH148" s="33"/>
      <c r="BI148" s="102">
        <f t="shared" si="398"/>
        <v>0</v>
      </c>
      <c r="BJ148" s="142"/>
      <c r="BK148" s="33"/>
      <c r="BL148" s="33"/>
      <c r="BM148" s="33"/>
      <c r="BN148" s="102">
        <f t="shared" si="399"/>
        <v>0</v>
      </c>
      <c r="BO148" s="142"/>
      <c r="BP148" s="33"/>
      <c r="BQ148" s="33"/>
      <c r="BR148" s="33"/>
      <c r="BS148" s="102">
        <f t="shared" si="400"/>
        <v>0</v>
      </c>
      <c r="BT148" s="142"/>
      <c r="BU148" s="33"/>
      <c r="BV148" s="33"/>
      <c r="BW148" s="33"/>
      <c r="BX148" s="99">
        <f t="shared" si="401"/>
        <v>0</v>
      </c>
      <c r="BY148" s="2438">
        <v>1</v>
      </c>
      <c r="BZ148" s="1263">
        <f t="shared" ref="BZ148:CH148" si="423">BY148</f>
        <v>1</v>
      </c>
      <c r="CA148" s="1263">
        <f t="shared" si="423"/>
        <v>1</v>
      </c>
      <c r="CB148" s="1263">
        <f t="shared" si="423"/>
        <v>1</v>
      </c>
      <c r="CC148" s="1263">
        <f t="shared" si="423"/>
        <v>1</v>
      </c>
      <c r="CD148" s="1263">
        <f t="shared" si="423"/>
        <v>1</v>
      </c>
      <c r="CE148" s="1263">
        <f t="shared" si="423"/>
        <v>1</v>
      </c>
      <c r="CF148" s="1263">
        <f t="shared" si="423"/>
        <v>1</v>
      </c>
      <c r="CG148" s="1263">
        <f t="shared" si="423"/>
        <v>1</v>
      </c>
      <c r="CH148" s="1263">
        <f t="shared" si="423"/>
        <v>1</v>
      </c>
      <c r="CI148" s="1263">
        <f t="shared" si="410"/>
        <v>1</v>
      </c>
      <c r="CJ148" s="1263">
        <f t="shared" si="410"/>
        <v>1</v>
      </c>
      <c r="CK148" s="1263"/>
      <c r="CL148" s="1920">
        <f t="shared" si="383"/>
        <v>0</v>
      </c>
      <c r="CM148" s="78">
        <f t="shared" si="384"/>
        <v>80000</v>
      </c>
      <c r="CN148" s="78">
        <f t="shared" si="385"/>
        <v>0</v>
      </c>
      <c r="CO148" s="78">
        <f t="shared" si="386"/>
        <v>0</v>
      </c>
      <c r="CP148" s="78">
        <f t="shared" si="387"/>
        <v>0</v>
      </c>
      <c r="CQ148" s="78">
        <f t="shared" si="388"/>
        <v>0</v>
      </c>
      <c r="CR148" s="78">
        <f t="shared" si="389"/>
        <v>0</v>
      </c>
      <c r="CS148" s="78">
        <f t="shared" si="390"/>
        <v>0</v>
      </c>
      <c r="CT148" s="78">
        <f t="shared" si="391"/>
        <v>0</v>
      </c>
      <c r="CU148" s="78">
        <f t="shared" si="392"/>
        <v>0</v>
      </c>
      <c r="CV148" s="78">
        <f t="shared" si="393"/>
        <v>0</v>
      </c>
      <c r="CW148" s="131">
        <f t="shared" si="394"/>
        <v>0</v>
      </c>
    </row>
    <row r="149" spans="1:101" x14ac:dyDescent="0.2">
      <c r="A149" s="869" t="s">
        <v>6167</v>
      </c>
      <c r="B149" s="2354" t="s">
        <v>6253</v>
      </c>
      <c r="C149" s="2343" t="s">
        <v>6151</v>
      </c>
      <c r="D149" s="2328"/>
      <c r="E149" s="186">
        <v>800</v>
      </c>
      <c r="F149" s="33">
        <v>44000</v>
      </c>
      <c r="G149" s="33"/>
      <c r="H149" s="33"/>
      <c r="I149" s="76"/>
      <c r="J149" s="76"/>
      <c r="K149" s="76"/>
      <c r="L149" s="33"/>
      <c r="M149" s="142"/>
      <c r="N149" s="33"/>
      <c r="O149" s="33"/>
      <c r="P149" s="102"/>
      <c r="Q149" s="142"/>
      <c r="R149" s="33"/>
      <c r="S149" s="33"/>
      <c r="T149" s="33">
        <v>45000</v>
      </c>
      <c r="U149" s="102">
        <f t="shared" si="377"/>
        <v>-44200</v>
      </c>
      <c r="V149" s="186"/>
      <c r="W149" s="33"/>
      <c r="X149" s="99"/>
      <c r="Y149" s="33">
        <v>44000</v>
      </c>
      <c r="Z149" s="102">
        <f t="shared" si="378"/>
        <v>0</v>
      </c>
      <c r="AA149" s="142"/>
      <c r="AB149" s="33"/>
      <c r="AC149" s="33"/>
      <c r="AD149" s="33"/>
      <c r="AE149" s="102">
        <f t="shared" si="379"/>
        <v>0</v>
      </c>
      <c r="AF149" s="142"/>
      <c r="AG149" s="33"/>
      <c r="AH149" s="33"/>
      <c r="AI149" s="33"/>
      <c r="AJ149" s="102">
        <f t="shared" si="380"/>
        <v>0</v>
      </c>
      <c r="AK149" s="142"/>
      <c r="AL149" s="33"/>
      <c r="AM149" s="33"/>
      <c r="AN149" s="33"/>
      <c r="AO149" s="114">
        <f t="shared" si="381"/>
        <v>0</v>
      </c>
      <c r="AP149" s="142"/>
      <c r="AQ149" s="33"/>
      <c r="AR149" s="33"/>
      <c r="AS149" s="33"/>
      <c r="AT149" s="102">
        <f t="shared" si="395"/>
        <v>0</v>
      </c>
      <c r="AV149" s="33"/>
      <c r="AW149" s="33"/>
      <c r="AX149" s="33"/>
      <c r="AY149" s="102">
        <f t="shared" si="396"/>
        <v>0</v>
      </c>
      <c r="AZ149" s="142"/>
      <c r="BA149" s="33"/>
      <c r="BB149" s="33"/>
      <c r="BC149" s="33"/>
      <c r="BD149" s="102">
        <f t="shared" si="397"/>
        <v>0</v>
      </c>
      <c r="BE149" s="142"/>
      <c r="BF149" s="33"/>
      <c r="BG149" s="33"/>
      <c r="BH149" s="33"/>
      <c r="BI149" s="102">
        <f t="shared" si="398"/>
        <v>0</v>
      </c>
      <c r="BJ149" s="142"/>
      <c r="BK149" s="33"/>
      <c r="BL149" s="33"/>
      <c r="BM149" s="33"/>
      <c r="BN149" s="102">
        <f t="shared" si="399"/>
        <v>0</v>
      </c>
      <c r="BO149" s="142"/>
      <c r="BP149" s="33"/>
      <c r="BQ149" s="33"/>
      <c r="BR149" s="33"/>
      <c r="BS149" s="102">
        <f t="shared" si="400"/>
        <v>0</v>
      </c>
      <c r="BT149" s="142"/>
      <c r="BU149" s="33"/>
      <c r="BV149" s="33"/>
      <c r="BW149" s="33"/>
      <c r="BX149" s="99">
        <f t="shared" si="401"/>
        <v>0</v>
      </c>
      <c r="BY149" s="2438">
        <v>1</v>
      </c>
      <c r="BZ149" s="1263">
        <f t="shared" ref="BZ149" si="424">BY149</f>
        <v>1</v>
      </c>
      <c r="CA149" s="1263">
        <f t="shared" ref="CA149" si="425">BZ149</f>
        <v>1</v>
      </c>
      <c r="CB149" s="1263">
        <f t="shared" ref="CB149" si="426">CA149</f>
        <v>1</v>
      </c>
      <c r="CC149" s="1263">
        <f t="shared" ref="CC149" si="427">CB149</f>
        <v>1</v>
      </c>
      <c r="CD149" s="1263">
        <f t="shared" ref="CD149" si="428">CC149</f>
        <v>1</v>
      </c>
      <c r="CE149" s="1263">
        <f t="shared" ref="CE149" si="429">CD149</f>
        <v>1</v>
      </c>
      <c r="CF149" s="1263">
        <f t="shared" ref="CF149" si="430">CE149</f>
        <v>1</v>
      </c>
      <c r="CG149" s="1263">
        <f t="shared" ref="CG149" si="431">CF149</f>
        <v>1</v>
      </c>
      <c r="CH149" s="1263">
        <f t="shared" ref="CH149" si="432">CG149</f>
        <v>1</v>
      </c>
      <c r="CI149" s="1263">
        <f t="shared" si="410"/>
        <v>1</v>
      </c>
      <c r="CJ149" s="1263">
        <f t="shared" si="410"/>
        <v>1</v>
      </c>
      <c r="CK149" s="1263"/>
      <c r="CL149" s="1920">
        <f t="shared" si="383"/>
        <v>1000</v>
      </c>
      <c r="CM149" s="78">
        <f t="shared" si="384"/>
        <v>44000</v>
      </c>
      <c r="CN149" s="78">
        <f t="shared" si="385"/>
        <v>0</v>
      </c>
      <c r="CO149" s="78">
        <f t="shared" si="386"/>
        <v>0</v>
      </c>
      <c r="CP149" s="78">
        <f t="shared" si="387"/>
        <v>0</v>
      </c>
      <c r="CQ149" s="78">
        <f t="shared" si="388"/>
        <v>0</v>
      </c>
      <c r="CR149" s="78">
        <f t="shared" si="389"/>
        <v>0</v>
      </c>
      <c r="CS149" s="78">
        <f t="shared" si="390"/>
        <v>0</v>
      </c>
      <c r="CT149" s="78">
        <f t="shared" si="391"/>
        <v>0</v>
      </c>
      <c r="CU149" s="78">
        <f t="shared" si="392"/>
        <v>0</v>
      </c>
      <c r="CV149" s="78">
        <f t="shared" si="393"/>
        <v>0</v>
      </c>
      <c r="CW149" s="131">
        <f t="shared" si="394"/>
        <v>0</v>
      </c>
    </row>
    <row r="150" spans="1:101" x14ac:dyDescent="0.2">
      <c r="A150" s="869" t="s">
        <v>6545</v>
      </c>
      <c r="B150" s="2356"/>
      <c r="C150" s="2332" t="s">
        <v>6043</v>
      </c>
      <c r="D150" s="2327"/>
      <c r="E150" s="186">
        <v>29500</v>
      </c>
      <c r="F150" s="33">
        <v>510500</v>
      </c>
      <c r="G150" s="33"/>
      <c r="H150" s="33"/>
      <c r="I150" s="76"/>
      <c r="J150" s="76"/>
      <c r="K150" s="76"/>
      <c r="L150" s="33"/>
      <c r="M150" s="142"/>
      <c r="N150" s="33"/>
      <c r="O150" s="33"/>
      <c r="P150" s="102"/>
      <c r="Q150" s="142"/>
      <c r="R150" s="33">
        <v>45000</v>
      </c>
      <c r="S150" s="33"/>
      <c r="T150" s="33">
        <f>540000-45000</f>
        <v>495000</v>
      </c>
      <c r="U150" s="102">
        <f t="shared" si="377"/>
        <v>-510500</v>
      </c>
      <c r="V150" s="186"/>
      <c r="W150" s="33"/>
      <c r="X150" s="99"/>
      <c r="Y150" s="33">
        <v>510500</v>
      </c>
      <c r="Z150" s="102">
        <f t="shared" si="378"/>
        <v>0</v>
      </c>
      <c r="AA150" s="142"/>
      <c r="AB150" s="33"/>
      <c r="AC150" s="33"/>
      <c r="AD150" s="33"/>
      <c r="AE150" s="102">
        <f t="shared" si="379"/>
        <v>0</v>
      </c>
      <c r="AF150" s="142"/>
      <c r="AG150" s="33"/>
      <c r="AH150" s="33"/>
      <c r="AI150" s="33"/>
      <c r="AJ150" s="102">
        <f t="shared" si="380"/>
        <v>0</v>
      </c>
      <c r="AK150" s="142"/>
      <c r="AL150" s="33"/>
      <c r="AM150" s="33"/>
      <c r="AN150" s="33"/>
      <c r="AO150" s="114">
        <f t="shared" si="381"/>
        <v>0</v>
      </c>
      <c r="AP150" s="142"/>
      <c r="AQ150" s="33"/>
      <c r="AR150" s="33"/>
      <c r="AS150" s="33"/>
      <c r="AT150" s="102">
        <f t="shared" si="395"/>
        <v>0</v>
      </c>
      <c r="AV150" s="33"/>
      <c r="AW150" s="33"/>
      <c r="AX150" s="33"/>
      <c r="AY150" s="102">
        <f t="shared" si="396"/>
        <v>0</v>
      </c>
      <c r="AZ150" s="142"/>
      <c r="BA150" s="33"/>
      <c r="BB150" s="33"/>
      <c r="BC150" s="33"/>
      <c r="BD150" s="102">
        <f t="shared" si="397"/>
        <v>0</v>
      </c>
      <c r="BE150" s="142"/>
      <c r="BF150" s="33"/>
      <c r="BG150" s="33"/>
      <c r="BH150" s="33"/>
      <c r="BI150" s="102">
        <f t="shared" si="398"/>
        <v>0</v>
      </c>
      <c r="BJ150" s="142"/>
      <c r="BK150" s="33"/>
      <c r="BL150" s="33"/>
      <c r="BM150" s="33"/>
      <c r="BN150" s="102">
        <f t="shared" si="399"/>
        <v>0</v>
      </c>
      <c r="BO150" s="142"/>
      <c r="BP150" s="33"/>
      <c r="BQ150" s="33"/>
      <c r="BR150" s="33"/>
      <c r="BS150" s="102">
        <f t="shared" si="400"/>
        <v>0</v>
      </c>
      <c r="BT150" s="142"/>
      <c r="BU150" s="33"/>
      <c r="BV150" s="33"/>
      <c r="BW150" s="33"/>
      <c r="BX150" s="99">
        <f t="shared" si="401"/>
        <v>0</v>
      </c>
      <c r="BY150" s="2438">
        <v>1</v>
      </c>
      <c r="BZ150" s="1263">
        <f t="shared" ref="BZ150:CH150" si="433">BY150</f>
        <v>1</v>
      </c>
      <c r="CA150" s="1263">
        <f t="shared" si="433"/>
        <v>1</v>
      </c>
      <c r="CB150" s="1263">
        <f t="shared" si="433"/>
        <v>1</v>
      </c>
      <c r="CC150" s="1263">
        <f t="shared" si="433"/>
        <v>1</v>
      </c>
      <c r="CD150" s="1263">
        <f t="shared" si="433"/>
        <v>1</v>
      </c>
      <c r="CE150" s="1263">
        <f t="shared" si="433"/>
        <v>1</v>
      </c>
      <c r="CF150" s="1263">
        <f t="shared" si="433"/>
        <v>1</v>
      </c>
      <c r="CG150" s="1263">
        <f t="shared" si="433"/>
        <v>1</v>
      </c>
      <c r="CH150" s="1263">
        <f t="shared" si="433"/>
        <v>1</v>
      </c>
      <c r="CI150" s="1263">
        <f t="shared" si="410"/>
        <v>1</v>
      </c>
      <c r="CJ150" s="1263">
        <f t="shared" si="410"/>
        <v>1</v>
      </c>
      <c r="CK150" s="1263"/>
      <c r="CL150" s="1920">
        <f t="shared" si="383"/>
        <v>30000</v>
      </c>
      <c r="CM150" s="78">
        <f t="shared" si="384"/>
        <v>511000</v>
      </c>
      <c r="CN150" s="78">
        <f t="shared" si="385"/>
        <v>0</v>
      </c>
      <c r="CO150" s="78">
        <f t="shared" si="386"/>
        <v>0</v>
      </c>
      <c r="CP150" s="78">
        <f t="shared" si="387"/>
        <v>0</v>
      </c>
      <c r="CQ150" s="78">
        <f t="shared" si="388"/>
        <v>0</v>
      </c>
      <c r="CR150" s="78">
        <f t="shared" si="389"/>
        <v>0</v>
      </c>
      <c r="CS150" s="78">
        <f t="shared" si="390"/>
        <v>0</v>
      </c>
      <c r="CT150" s="78">
        <f t="shared" si="391"/>
        <v>0</v>
      </c>
      <c r="CU150" s="78">
        <f t="shared" si="392"/>
        <v>0</v>
      </c>
      <c r="CV150" s="78">
        <f t="shared" si="393"/>
        <v>0</v>
      </c>
      <c r="CW150" s="131">
        <f t="shared" si="394"/>
        <v>0</v>
      </c>
    </row>
    <row r="151" spans="1:101" x14ac:dyDescent="0.2">
      <c r="A151" s="869" t="s">
        <v>7039</v>
      </c>
      <c r="B151" s="2208"/>
      <c r="C151" s="2332"/>
      <c r="D151" s="2327"/>
      <c r="E151" s="186"/>
      <c r="F151" s="33">
        <v>30000</v>
      </c>
      <c r="G151" s="33"/>
      <c r="H151" s="33"/>
      <c r="I151" s="76"/>
      <c r="J151" s="76"/>
      <c r="K151" s="76"/>
      <c r="L151" s="33"/>
      <c r="M151" s="142"/>
      <c r="N151" s="33"/>
      <c r="O151" s="33"/>
      <c r="P151" s="102"/>
      <c r="Q151" s="142"/>
      <c r="R151" s="33"/>
      <c r="S151" s="33"/>
      <c r="T151" s="33"/>
      <c r="U151" s="102">
        <f t="shared" si="377"/>
        <v>0</v>
      </c>
      <c r="V151" s="186"/>
      <c r="W151" s="33"/>
      <c r="X151" s="99"/>
      <c r="Y151" s="33">
        <v>30000</v>
      </c>
      <c r="Z151" s="102">
        <f t="shared" si="378"/>
        <v>0</v>
      </c>
      <c r="AA151" s="142"/>
      <c r="AB151" s="33"/>
      <c r="AC151" s="33"/>
      <c r="AD151" s="33"/>
      <c r="AE151" s="102">
        <f t="shared" si="379"/>
        <v>0</v>
      </c>
      <c r="AF151" s="142"/>
      <c r="AG151" s="33"/>
      <c r="AH151" s="33"/>
      <c r="AI151" s="33"/>
      <c r="AJ151" s="102">
        <f t="shared" si="380"/>
        <v>0</v>
      </c>
      <c r="AK151" s="142"/>
      <c r="AL151" s="33"/>
      <c r="AM151" s="33"/>
      <c r="AN151" s="33"/>
      <c r="AO151" s="114">
        <f t="shared" si="381"/>
        <v>0</v>
      </c>
      <c r="AP151" s="142"/>
      <c r="AQ151" s="33"/>
      <c r="AR151" s="33"/>
      <c r="AS151" s="33"/>
      <c r="AT151" s="102">
        <f t="shared" si="395"/>
        <v>0</v>
      </c>
      <c r="AV151" s="33"/>
      <c r="AW151" s="33"/>
      <c r="AX151" s="33"/>
      <c r="AY151" s="102">
        <f t="shared" si="396"/>
        <v>0</v>
      </c>
      <c r="AZ151" s="142"/>
      <c r="BA151" s="33"/>
      <c r="BB151" s="33"/>
      <c r="BC151" s="33"/>
      <c r="BD151" s="102">
        <f t="shared" si="397"/>
        <v>0</v>
      </c>
      <c r="BE151" s="142"/>
      <c r="BF151" s="33"/>
      <c r="BG151" s="33"/>
      <c r="BH151" s="33"/>
      <c r="BI151" s="102">
        <f t="shared" si="398"/>
        <v>0</v>
      </c>
      <c r="BJ151" s="142"/>
      <c r="BK151" s="33"/>
      <c r="BL151" s="33"/>
      <c r="BM151" s="33"/>
      <c r="BN151" s="102">
        <f t="shared" si="399"/>
        <v>0</v>
      </c>
      <c r="BO151" s="142"/>
      <c r="BP151" s="33"/>
      <c r="BQ151" s="33"/>
      <c r="BR151" s="33"/>
      <c r="BS151" s="102">
        <f t="shared" si="400"/>
        <v>0</v>
      </c>
      <c r="BT151" s="142"/>
      <c r="BU151" s="33"/>
      <c r="BV151" s="33"/>
      <c r="BW151" s="33"/>
      <c r="BX151" s="99">
        <f t="shared" si="401"/>
        <v>0</v>
      </c>
      <c r="BY151" s="2438">
        <v>0</v>
      </c>
      <c r="BZ151" s="1263">
        <f t="shared" ref="BZ151" si="434">BY151</f>
        <v>0</v>
      </c>
      <c r="CA151" s="1263">
        <f t="shared" ref="CA151" si="435">BZ151</f>
        <v>0</v>
      </c>
      <c r="CB151" s="1263">
        <f t="shared" ref="CB151" si="436">CA151</f>
        <v>0</v>
      </c>
      <c r="CC151" s="1263">
        <f t="shared" ref="CC151" si="437">CB151</f>
        <v>0</v>
      </c>
      <c r="CD151" s="1263">
        <f t="shared" ref="CD151" si="438">CC151</f>
        <v>0</v>
      </c>
      <c r="CE151" s="1263">
        <f t="shared" ref="CE151" si="439">CD151</f>
        <v>0</v>
      </c>
      <c r="CF151" s="1263">
        <f t="shared" ref="CF151" si="440">CE151</f>
        <v>0</v>
      </c>
      <c r="CG151" s="1263">
        <f t="shared" ref="CG151" si="441">CF151</f>
        <v>0</v>
      </c>
      <c r="CH151" s="1263">
        <f t="shared" ref="CH151" si="442">CG151</f>
        <v>0</v>
      </c>
      <c r="CI151" s="1263">
        <f t="shared" ref="CI151" si="443">CH151</f>
        <v>0</v>
      </c>
      <c r="CJ151" s="1263">
        <f t="shared" ref="CJ151" si="444">CI151</f>
        <v>0</v>
      </c>
      <c r="CK151" s="1263"/>
      <c r="CL151" s="1920">
        <f t="shared" ref="CL151" si="445">ROUND(BY151*E151,-3)</f>
        <v>0</v>
      </c>
      <c r="CM151" s="78">
        <f t="shared" ref="CM151" si="446">ROUND(BZ151*F151,-3)</f>
        <v>0</v>
      </c>
      <c r="CN151" s="78">
        <f t="shared" ref="CN151" si="447">ROUND(CA151*G151,-3)</f>
        <v>0</v>
      </c>
      <c r="CO151" s="78">
        <f t="shared" ref="CO151" si="448">ROUND(CB151*H151,-3)</f>
        <v>0</v>
      </c>
      <c r="CP151" s="78">
        <f t="shared" ref="CP151" si="449">ROUND(CC151*I151,-3)</f>
        <v>0</v>
      </c>
      <c r="CQ151" s="78">
        <f t="shared" ref="CQ151" si="450">ROUND(CD151*J151,-3)</f>
        <v>0</v>
      </c>
      <c r="CR151" s="78">
        <f t="shared" ref="CR151" si="451">ROUND(CE151*K151,-3)</f>
        <v>0</v>
      </c>
      <c r="CS151" s="78">
        <f t="shared" ref="CS151" si="452">ROUND(CF151*L151,-3)</f>
        <v>0</v>
      </c>
      <c r="CT151" s="78">
        <f t="shared" ref="CT151" si="453">ROUND(CG151*M151,-3)</f>
        <v>0</v>
      </c>
      <c r="CU151" s="78">
        <f t="shared" ref="CU151" si="454">ROUND(CH151*N151,-3)</f>
        <v>0</v>
      </c>
      <c r="CV151" s="78">
        <f t="shared" ref="CV151" si="455">ROUND(CI151*O151,-3)</f>
        <v>0</v>
      </c>
      <c r="CW151" s="131">
        <f t="shared" ref="CW151" si="456">ROUND(CJ151*P151,-3)</f>
        <v>0</v>
      </c>
    </row>
    <row r="152" spans="1:101" x14ac:dyDescent="0.2">
      <c r="A152" s="1154" t="s">
        <v>246</v>
      </c>
      <c r="B152" s="2208"/>
      <c r="C152" s="2334"/>
      <c r="D152" s="2330"/>
      <c r="E152" s="186"/>
      <c r="F152" s="33"/>
      <c r="G152" s="33"/>
      <c r="H152" s="33"/>
      <c r="I152" s="76"/>
      <c r="J152" s="76"/>
      <c r="K152" s="76"/>
      <c r="L152" s="33"/>
      <c r="M152" s="142"/>
      <c r="N152" s="33"/>
      <c r="O152" s="33"/>
      <c r="P152" s="102"/>
      <c r="Q152" s="142"/>
      <c r="R152" s="33"/>
      <c r="S152" s="33"/>
      <c r="T152" s="33"/>
      <c r="U152" s="102"/>
      <c r="V152" s="186"/>
      <c r="W152" s="33"/>
      <c r="X152" s="99"/>
      <c r="Y152" s="33"/>
      <c r="Z152" s="102"/>
      <c r="AA152" s="142"/>
      <c r="AB152" s="33"/>
      <c r="AC152" s="33"/>
      <c r="AD152" s="33"/>
      <c r="AE152" s="102"/>
      <c r="AF152" s="142"/>
      <c r="AG152" s="33"/>
      <c r="AH152" s="33"/>
      <c r="AI152" s="33"/>
      <c r="AJ152" s="102"/>
      <c r="AK152" s="142"/>
      <c r="AL152" s="33"/>
      <c r="AM152" s="33"/>
      <c r="AN152" s="33"/>
      <c r="AO152" s="114"/>
      <c r="AP152" s="142"/>
      <c r="AQ152" s="33"/>
      <c r="AR152" s="33"/>
      <c r="AS152" s="33"/>
      <c r="AT152" s="102"/>
      <c r="AV152" s="33"/>
      <c r="AW152" s="33"/>
      <c r="AX152" s="33"/>
      <c r="AY152" s="102"/>
      <c r="AZ152" s="142"/>
      <c r="BA152" s="33"/>
      <c r="BB152" s="33"/>
      <c r="BC152" s="33"/>
      <c r="BD152" s="102"/>
      <c r="BE152" s="142"/>
      <c r="BF152" s="33"/>
      <c r="BG152" s="33"/>
      <c r="BH152" s="33"/>
      <c r="BI152" s="102"/>
      <c r="BJ152" s="142"/>
      <c r="BK152" s="33"/>
      <c r="BL152" s="33"/>
      <c r="BM152" s="33"/>
      <c r="BN152" s="102"/>
      <c r="BO152" s="142"/>
      <c r="BP152" s="33"/>
      <c r="BQ152" s="33"/>
      <c r="BR152" s="33"/>
      <c r="BS152" s="102"/>
      <c r="BT152" s="142"/>
      <c r="BU152" s="33"/>
      <c r="BV152" s="33"/>
      <c r="BW152" s="33"/>
      <c r="BY152" s="2437"/>
      <c r="BZ152" s="740"/>
      <c r="CA152" s="740"/>
      <c r="CB152" s="740"/>
      <c r="CC152" s="740"/>
      <c r="CD152" s="740"/>
      <c r="CE152" s="740"/>
      <c r="CF152" s="740"/>
      <c r="CG152" s="740"/>
      <c r="CH152" s="740"/>
      <c r="CI152" s="740"/>
      <c r="CJ152" s="740"/>
      <c r="CK152" s="740"/>
      <c r="CL152" s="502"/>
      <c r="CM152" s="99"/>
      <c r="CN152" s="99"/>
      <c r="CO152" s="99"/>
      <c r="CP152" s="99"/>
      <c r="CQ152" s="99"/>
      <c r="CR152" s="99"/>
      <c r="CS152" s="99"/>
      <c r="CT152" s="99"/>
      <c r="CU152" s="99"/>
      <c r="CV152" s="99"/>
      <c r="CW152" s="114"/>
    </row>
    <row r="153" spans="1:101" x14ac:dyDescent="0.2">
      <c r="A153" s="410" t="s">
        <v>1670</v>
      </c>
      <c r="B153" s="2360"/>
      <c r="C153" s="2335"/>
      <c r="D153" s="2388"/>
      <c r="E153" s="186"/>
      <c r="F153" s="33"/>
      <c r="G153" s="33"/>
      <c r="H153" s="33"/>
      <c r="I153" s="76"/>
      <c r="J153" s="76"/>
      <c r="K153" s="76"/>
      <c r="L153" s="33"/>
      <c r="M153" s="142"/>
      <c r="N153" s="33"/>
      <c r="O153" s="33"/>
      <c r="P153" s="102"/>
      <c r="Q153" s="142"/>
      <c r="R153" s="33"/>
      <c r="S153" s="33"/>
      <c r="T153" s="33"/>
      <c r="U153" s="102"/>
      <c r="V153" s="186"/>
      <c r="W153" s="33"/>
      <c r="X153" s="99"/>
      <c r="Y153" s="33"/>
      <c r="Z153" s="102"/>
      <c r="AA153" s="142"/>
      <c r="AB153" s="33"/>
      <c r="AC153" s="33"/>
      <c r="AD153" s="33"/>
      <c r="AE153" s="102"/>
      <c r="AF153" s="142"/>
      <c r="AG153" s="33"/>
      <c r="AH153" s="33"/>
      <c r="AI153" s="33"/>
      <c r="AJ153" s="102"/>
      <c r="AK153" s="142"/>
      <c r="AL153" s="33"/>
      <c r="AM153" s="33"/>
      <c r="AN153" s="33"/>
      <c r="AO153" s="114"/>
      <c r="AP153" s="142"/>
      <c r="AQ153" s="33"/>
      <c r="AR153" s="33"/>
      <c r="AS153" s="33"/>
      <c r="AT153" s="102"/>
      <c r="AV153" s="33"/>
      <c r="AW153" s="33"/>
      <c r="AX153" s="33"/>
      <c r="AY153" s="102"/>
      <c r="AZ153" s="142"/>
      <c r="BA153" s="33"/>
      <c r="BB153" s="33"/>
      <c r="BC153" s="33"/>
      <c r="BD153" s="102"/>
      <c r="BE153" s="142"/>
      <c r="BF153" s="33"/>
      <c r="BG153" s="33"/>
      <c r="BH153" s="33"/>
      <c r="BI153" s="102"/>
      <c r="BJ153" s="142"/>
      <c r="BK153" s="33"/>
      <c r="BL153" s="33"/>
      <c r="BM153" s="33"/>
      <c r="BN153" s="102"/>
      <c r="BO153" s="142"/>
      <c r="BP153" s="33"/>
      <c r="BQ153" s="33"/>
      <c r="BR153" s="33"/>
      <c r="BS153" s="102"/>
      <c r="BT153" s="142"/>
      <c r="BU153" s="33"/>
      <c r="BV153" s="33"/>
      <c r="BW153" s="33"/>
      <c r="BY153" s="2437"/>
      <c r="BZ153" s="740"/>
      <c r="CA153" s="740"/>
      <c r="CB153" s="740"/>
      <c r="CC153" s="740"/>
      <c r="CD153" s="740"/>
      <c r="CE153" s="740"/>
      <c r="CF153" s="740"/>
      <c r="CG153" s="740"/>
      <c r="CH153" s="740"/>
      <c r="CI153" s="740"/>
      <c r="CJ153" s="740"/>
      <c r="CK153" s="740"/>
      <c r="CL153" s="502"/>
      <c r="CM153" s="99"/>
      <c r="CN153" s="99"/>
      <c r="CO153" s="99"/>
      <c r="CP153" s="99"/>
      <c r="CQ153" s="99"/>
      <c r="CR153" s="99"/>
      <c r="CS153" s="99"/>
      <c r="CT153" s="99"/>
      <c r="CU153" s="99"/>
      <c r="CV153" s="99"/>
      <c r="CW153" s="114"/>
    </row>
    <row r="154" spans="1:101" x14ac:dyDescent="0.2">
      <c r="A154" s="869" t="s">
        <v>5564</v>
      </c>
      <c r="B154" s="2368" t="s">
        <v>5276</v>
      </c>
      <c r="C154" s="2343" t="s">
        <v>5272</v>
      </c>
      <c r="D154" s="2328" t="s">
        <v>5272</v>
      </c>
      <c r="E154" s="186">
        <v>18700</v>
      </c>
      <c r="F154" s="33">
        <f>258000-32000+55300</f>
        <v>281300</v>
      </c>
      <c r="G154" s="33"/>
      <c r="H154" s="33"/>
      <c r="I154" s="76"/>
      <c r="J154" s="76"/>
      <c r="K154" s="76"/>
      <c r="L154" s="33"/>
      <c r="M154" s="142"/>
      <c r="N154" s="33"/>
      <c r="O154" s="33"/>
      <c r="P154" s="102"/>
      <c r="Q154" s="142">
        <f>'Cap Inc'!B84</f>
        <v>0</v>
      </c>
      <c r="R154" s="33"/>
      <c r="S154" s="33"/>
      <c r="T154" s="33">
        <v>7000</v>
      </c>
      <c r="U154" s="102">
        <f t="shared" ref="U154:U159" si="457">E154-Q154-R154-S154-T154</f>
        <v>11700</v>
      </c>
      <c r="V154" s="186">
        <f>'Cap Inc'!E84</f>
        <v>250000</v>
      </c>
      <c r="W154" s="33"/>
      <c r="X154" s="99"/>
      <c r="Y154" s="33">
        <v>31300</v>
      </c>
      <c r="Z154" s="102">
        <f t="shared" ref="Z154:Z162" si="458">F154-V154-W154-X154-Y154</f>
        <v>0</v>
      </c>
      <c r="AA154" s="142"/>
      <c r="AB154" s="33"/>
      <c r="AC154" s="33"/>
      <c r="AD154" s="33"/>
      <c r="AE154" s="102">
        <f t="shared" ref="AE154:AE162" si="459">G154-AA154-AB154-AC154-AD154</f>
        <v>0</v>
      </c>
      <c r="AF154" s="142"/>
      <c r="AG154" s="33"/>
      <c r="AH154" s="33"/>
      <c r="AI154" s="33"/>
      <c r="AJ154" s="102">
        <f t="shared" ref="AJ154:AJ164" si="460">H154-AF154-AG154-AH154-AI154</f>
        <v>0</v>
      </c>
      <c r="AK154" s="142"/>
      <c r="AL154" s="33"/>
      <c r="AM154" s="33"/>
      <c r="AN154" s="33"/>
      <c r="AO154" s="114">
        <f t="shared" ref="AO154:AO164" si="461">I154-AK154-AL154-AM154-AN154</f>
        <v>0</v>
      </c>
      <c r="AP154" s="142"/>
      <c r="AQ154" s="33"/>
      <c r="AR154" s="33"/>
      <c r="AS154" s="33"/>
      <c r="AT154" s="102">
        <f t="shared" ref="AT154:AT162" si="462">J154-AP154-AQ154-AR154-AS154</f>
        <v>0</v>
      </c>
      <c r="AV154" s="33"/>
      <c r="AW154" s="33"/>
      <c r="AX154" s="33"/>
      <c r="AY154" s="102">
        <f t="shared" ref="AY154:AY162" si="463">K154-AU154-AV154-AW154-AX154</f>
        <v>0</v>
      </c>
      <c r="AZ154" s="142"/>
      <c r="BA154" s="33"/>
      <c r="BB154" s="33"/>
      <c r="BC154" s="33"/>
      <c r="BD154" s="102">
        <f t="shared" ref="BD154:BD162" si="464">L154-AZ154-BA154-BB154-BC154</f>
        <v>0</v>
      </c>
      <c r="BE154" s="142"/>
      <c r="BF154" s="33"/>
      <c r="BG154" s="33"/>
      <c r="BH154" s="33"/>
      <c r="BI154" s="102">
        <f t="shared" ref="BI154:BI162" si="465">M154-BE154-BF154-BG154-BH154</f>
        <v>0</v>
      </c>
      <c r="BJ154" s="142"/>
      <c r="BK154" s="33"/>
      <c r="BL154" s="33"/>
      <c r="BM154" s="33"/>
      <c r="BN154" s="102">
        <f t="shared" ref="BN154:BN162" si="466">N154-BJ154-BK154-BL154-BM154</f>
        <v>0</v>
      </c>
      <c r="BO154" s="142"/>
      <c r="BP154" s="33"/>
      <c r="BQ154" s="33"/>
      <c r="BR154" s="33"/>
      <c r="BS154" s="102">
        <f t="shared" ref="BS154:BS162" si="467">O154-BO154-BP154-BQ154-BR154</f>
        <v>0</v>
      </c>
      <c r="BT154" s="142"/>
      <c r="BU154" s="33"/>
      <c r="BV154" s="33"/>
      <c r="BW154" s="33"/>
      <c r="BX154" s="99">
        <f t="shared" ref="BX154:BX162" si="468">P154-BT154-BU154-BV154-BW154</f>
        <v>0</v>
      </c>
      <c r="BY154" s="2438">
        <v>0</v>
      </c>
      <c r="BZ154" s="1263">
        <f t="shared" ref="BZ154:CH154" si="469">BY154</f>
        <v>0</v>
      </c>
      <c r="CA154" s="1263">
        <f t="shared" si="469"/>
        <v>0</v>
      </c>
      <c r="CB154" s="1263">
        <f t="shared" si="469"/>
        <v>0</v>
      </c>
      <c r="CC154" s="1263">
        <f t="shared" si="469"/>
        <v>0</v>
      </c>
      <c r="CD154" s="1263">
        <f t="shared" si="469"/>
        <v>0</v>
      </c>
      <c r="CE154" s="1263">
        <f t="shared" si="469"/>
        <v>0</v>
      </c>
      <c r="CF154" s="1263">
        <f t="shared" si="469"/>
        <v>0</v>
      </c>
      <c r="CG154" s="1263">
        <f t="shared" si="469"/>
        <v>0</v>
      </c>
      <c r="CH154" s="1263">
        <f t="shared" si="469"/>
        <v>0</v>
      </c>
      <c r="CI154" s="1263">
        <f t="shared" ref="CI154:CJ162" si="470">CH154</f>
        <v>0</v>
      </c>
      <c r="CJ154" s="1263">
        <f t="shared" si="470"/>
        <v>0</v>
      </c>
      <c r="CK154" s="1263"/>
      <c r="CL154" s="1920">
        <f t="shared" ref="CL154:CL162" si="471">ROUND(BY154*E154,-3)</f>
        <v>0</v>
      </c>
      <c r="CM154" s="78">
        <f t="shared" ref="CM154:CM162" si="472">ROUND(BZ154*F154,-3)</f>
        <v>0</v>
      </c>
      <c r="CN154" s="78">
        <f t="shared" ref="CN154:CN162" si="473">ROUND(CA154*G154,-3)</f>
        <v>0</v>
      </c>
      <c r="CO154" s="78">
        <f t="shared" ref="CO154:CO162" si="474">ROUND(CB154*H154,-3)</f>
        <v>0</v>
      </c>
      <c r="CP154" s="78">
        <f t="shared" ref="CP154:CP162" si="475">ROUND(CC154*I154,-3)</f>
        <v>0</v>
      </c>
      <c r="CQ154" s="78">
        <f t="shared" ref="CQ154:CQ162" si="476">ROUND(CD154*J154,-3)</f>
        <v>0</v>
      </c>
      <c r="CR154" s="78">
        <f t="shared" ref="CR154:CR162" si="477">ROUND(CE154*K154,-3)</f>
        <v>0</v>
      </c>
      <c r="CS154" s="78">
        <f t="shared" ref="CS154:CS162" si="478">ROUND(CF154*L154,-3)</f>
        <v>0</v>
      </c>
      <c r="CT154" s="78">
        <f t="shared" ref="CT154:CT162" si="479">ROUND(CG154*M154,-3)</f>
        <v>0</v>
      </c>
      <c r="CU154" s="78">
        <f t="shared" ref="CU154:CU162" si="480">ROUND(CH154*N154,-3)</f>
        <v>0</v>
      </c>
      <c r="CV154" s="78">
        <f t="shared" ref="CV154:CV162" si="481">ROUND(CI154*O154,-3)</f>
        <v>0</v>
      </c>
      <c r="CW154" s="131">
        <f t="shared" ref="CW154:CW162" si="482">ROUND(CJ154*P154,-3)</f>
        <v>0</v>
      </c>
    </row>
    <row r="155" spans="1:101" x14ac:dyDescent="0.2">
      <c r="A155" s="869" t="s">
        <v>5152</v>
      </c>
      <c r="B155" s="2368" t="s">
        <v>5275</v>
      </c>
      <c r="C155" s="2343" t="s">
        <v>5271</v>
      </c>
      <c r="D155" s="2328" t="s">
        <v>5271</v>
      </c>
      <c r="E155" s="186">
        <v>7600</v>
      </c>
      <c r="F155" s="33">
        <f>70000+22400</f>
        <v>92400</v>
      </c>
      <c r="G155" s="33"/>
      <c r="H155" s="33"/>
      <c r="I155" s="76"/>
      <c r="J155" s="76"/>
      <c r="K155" s="76"/>
      <c r="L155" s="33"/>
      <c r="M155" s="142"/>
      <c r="N155" s="33"/>
      <c r="O155" s="33"/>
      <c r="P155" s="102"/>
      <c r="Q155" s="142">
        <f>'Cap Inc'!B83</f>
        <v>0</v>
      </c>
      <c r="R155" s="33"/>
      <c r="S155" s="33"/>
      <c r="T155" s="33">
        <v>25000</v>
      </c>
      <c r="U155" s="102">
        <f t="shared" si="457"/>
        <v>-17400</v>
      </c>
      <c r="V155" s="186">
        <f>'Cap Inc'!E83</f>
        <v>50000</v>
      </c>
      <c r="W155" s="33"/>
      <c r="X155" s="99"/>
      <c r="Y155" s="33">
        <v>42400</v>
      </c>
      <c r="Z155" s="102">
        <f t="shared" si="458"/>
        <v>0</v>
      </c>
      <c r="AA155" s="142"/>
      <c r="AB155" s="33"/>
      <c r="AC155" s="33"/>
      <c r="AD155" s="33"/>
      <c r="AE155" s="102">
        <f t="shared" si="459"/>
        <v>0</v>
      </c>
      <c r="AF155" s="142"/>
      <c r="AG155" s="33"/>
      <c r="AH155" s="33"/>
      <c r="AI155" s="33"/>
      <c r="AJ155" s="102">
        <f t="shared" si="460"/>
        <v>0</v>
      </c>
      <c r="AK155" s="142"/>
      <c r="AL155" s="33"/>
      <c r="AM155" s="33"/>
      <c r="AN155" s="33"/>
      <c r="AO155" s="114">
        <f t="shared" si="461"/>
        <v>0</v>
      </c>
      <c r="AP155" s="142"/>
      <c r="AQ155" s="33"/>
      <c r="AR155" s="33"/>
      <c r="AS155" s="33"/>
      <c r="AT155" s="102">
        <f t="shared" si="462"/>
        <v>0</v>
      </c>
      <c r="AV155" s="33"/>
      <c r="AW155" s="33"/>
      <c r="AX155" s="33"/>
      <c r="AY155" s="102">
        <f t="shared" si="463"/>
        <v>0</v>
      </c>
      <c r="AZ155" s="142"/>
      <c r="BA155" s="33"/>
      <c r="BB155" s="33"/>
      <c r="BC155" s="33"/>
      <c r="BD155" s="102">
        <f t="shared" si="464"/>
        <v>0</v>
      </c>
      <c r="BE155" s="142"/>
      <c r="BF155" s="33"/>
      <c r="BG155" s="33"/>
      <c r="BH155" s="33"/>
      <c r="BI155" s="102">
        <f t="shared" si="465"/>
        <v>0</v>
      </c>
      <c r="BJ155" s="142"/>
      <c r="BK155" s="33"/>
      <c r="BL155" s="33"/>
      <c r="BM155" s="33"/>
      <c r="BN155" s="102">
        <f t="shared" si="466"/>
        <v>0</v>
      </c>
      <c r="BO155" s="142"/>
      <c r="BP155" s="33"/>
      <c r="BQ155" s="33"/>
      <c r="BR155" s="33"/>
      <c r="BS155" s="102">
        <f t="shared" si="467"/>
        <v>0</v>
      </c>
      <c r="BT155" s="142"/>
      <c r="BU155" s="33"/>
      <c r="BV155" s="33"/>
      <c r="BW155" s="33"/>
      <c r="BX155" s="99">
        <f t="shared" si="468"/>
        <v>0</v>
      </c>
      <c r="BY155" s="2438">
        <v>0</v>
      </c>
      <c r="BZ155" s="1263">
        <f t="shared" ref="BZ155:BZ158" si="483">BY155</f>
        <v>0</v>
      </c>
      <c r="CA155" s="1263">
        <f t="shared" ref="CA155:CA158" si="484">BZ155</f>
        <v>0</v>
      </c>
      <c r="CB155" s="1263">
        <f t="shared" ref="CB155:CB158" si="485">CA155</f>
        <v>0</v>
      </c>
      <c r="CC155" s="1263">
        <f t="shared" ref="CC155:CC158" si="486">CB155</f>
        <v>0</v>
      </c>
      <c r="CD155" s="1263">
        <f t="shared" ref="CD155:CD158" si="487">CC155</f>
        <v>0</v>
      </c>
      <c r="CE155" s="1263">
        <f t="shared" ref="CE155:CE158" si="488">CD155</f>
        <v>0</v>
      </c>
      <c r="CF155" s="1263">
        <f t="shared" ref="CF155:CF158" si="489">CE155</f>
        <v>0</v>
      </c>
      <c r="CG155" s="1263">
        <f t="shared" ref="CG155:CG158" si="490">CF155</f>
        <v>0</v>
      </c>
      <c r="CH155" s="1263">
        <f t="shared" ref="CH155:CH158" si="491">CG155</f>
        <v>0</v>
      </c>
      <c r="CI155" s="1263">
        <f t="shared" si="470"/>
        <v>0</v>
      </c>
      <c r="CJ155" s="1263">
        <f t="shared" si="470"/>
        <v>0</v>
      </c>
      <c r="CK155" s="1263"/>
      <c r="CL155" s="1920">
        <f t="shared" si="471"/>
        <v>0</v>
      </c>
      <c r="CM155" s="78">
        <f t="shared" si="472"/>
        <v>0</v>
      </c>
      <c r="CN155" s="78">
        <f t="shared" si="473"/>
        <v>0</v>
      </c>
      <c r="CO155" s="78">
        <f t="shared" si="474"/>
        <v>0</v>
      </c>
      <c r="CP155" s="78">
        <f t="shared" si="475"/>
        <v>0</v>
      </c>
      <c r="CQ155" s="78">
        <f t="shared" si="476"/>
        <v>0</v>
      </c>
      <c r="CR155" s="78">
        <f t="shared" si="477"/>
        <v>0</v>
      </c>
      <c r="CS155" s="78">
        <f t="shared" si="478"/>
        <v>0</v>
      </c>
      <c r="CT155" s="78">
        <f t="shared" si="479"/>
        <v>0</v>
      </c>
      <c r="CU155" s="78">
        <f t="shared" si="480"/>
        <v>0</v>
      </c>
      <c r="CV155" s="78">
        <f t="shared" si="481"/>
        <v>0</v>
      </c>
      <c r="CW155" s="131">
        <f t="shared" si="482"/>
        <v>0</v>
      </c>
    </row>
    <row r="156" spans="1:101" x14ac:dyDescent="0.2">
      <c r="A156" s="869" t="s">
        <v>6236</v>
      </c>
      <c r="B156" s="2368" t="s">
        <v>6303</v>
      </c>
      <c r="C156" s="2343" t="s">
        <v>6304</v>
      </c>
      <c r="D156" s="2328" t="s">
        <v>6304</v>
      </c>
      <c r="E156" s="186"/>
      <c r="F156" s="33">
        <v>40000</v>
      </c>
      <c r="G156" s="33"/>
      <c r="H156" s="33"/>
      <c r="I156" s="76"/>
      <c r="J156" s="76"/>
      <c r="K156" s="76"/>
      <c r="L156" s="33"/>
      <c r="M156" s="142"/>
      <c r="N156" s="33"/>
      <c r="O156" s="33"/>
      <c r="P156" s="102"/>
      <c r="Q156" s="142"/>
      <c r="R156" s="33"/>
      <c r="S156" s="33"/>
      <c r="T156" s="33"/>
      <c r="U156" s="102">
        <f t="shared" si="457"/>
        <v>0</v>
      </c>
      <c r="V156" s="186">
        <f>'Cap Inc'!E87</f>
        <v>40000</v>
      </c>
      <c r="W156" s="33"/>
      <c r="X156" s="99"/>
      <c r="Y156" s="33"/>
      <c r="Z156" s="102">
        <f t="shared" si="458"/>
        <v>0</v>
      </c>
      <c r="AA156" s="142"/>
      <c r="AB156" s="33"/>
      <c r="AC156" s="33"/>
      <c r="AD156" s="33"/>
      <c r="AE156" s="102">
        <f t="shared" si="459"/>
        <v>0</v>
      </c>
      <c r="AF156" s="142"/>
      <c r="AG156" s="33"/>
      <c r="AH156" s="33"/>
      <c r="AI156" s="33"/>
      <c r="AJ156" s="102">
        <f t="shared" si="460"/>
        <v>0</v>
      </c>
      <c r="AK156" s="142"/>
      <c r="AL156" s="33"/>
      <c r="AM156" s="33"/>
      <c r="AN156" s="33"/>
      <c r="AO156" s="114">
        <f t="shared" si="461"/>
        <v>0</v>
      </c>
      <c r="AP156" s="142"/>
      <c r="AQ156" s="33"/>
      <c r="AR156" s="33"/>
      <c r="AS156" s="33"/>
      <c r="AT156" s="102">
        <f t="shared" si="462"/>
        <v>0</v>
      </c>
      <c r="AV156" s="33"/>
      <c r="AW156" s="33"/>
      <c r="AX156" s="33"/>
      <c r="AY156" s="102">
        <f t="shared" si="463"/>
        <v>0</v>
      </c>
      <c r="AZ156" s="142"/>
      <c r="BA156" s="33"/>
      <c r="BB156" s="33"/>
      <c r="BC156" s="33"/>
      <c r="BD156" s="102">
        <f t="shared" si="464"/>
        <v>0</v>
      </c>
      <c r="BE156" s="142"/>
      <c r="BF156" s="33"/>
      <c r="BG156" s="33"/>
      <c r="BH156" s="33"/>
      <c r="BI156" s="102">
        <f t="shared" si="465"/>
        <v>0</v>
      </c>
      <c r="BJ156" s="142"/>
      <c r="BK156" s="33"/>
      <c r="BL156" s="33"/>
      <c r="BM156" s="33"/>
      <c r="BN156" s="102">
        <f t="shared" si="466"/>
        <v>0</v>
      </c>
      <c r="BO156" s="142"/>
      <c r="BP156" s="33"/>
      <c r="BQ156" s="33"/>
      <c r="BR156" s="33"/>
      <c r="BS156" s="102">
        <f t="shared" si="467"/>
        <v>0</v>
      </c>
      <c r="BT156" s="142"/>
      <c r="BU156" s="33"/>
      <c r="BV156" s="33"/>
      <c r="BW156" s="33"/>
      <c r="BX156" s="99">
        <f t="shared" si="468"/>
        <v>0</v>
      </c>
      <c r="BY156" s="2438">
        <v>0</v>
      </c>
      <c r="BZ156" s="1263">
        <f t="shared" ref="BZ156:CH156" si="492">BY156</f>
        <v>0</v>
      </c>
      <c r="CA156" s="1263">
        <f t="shared" si="492"/>
        <v>0</v>
      </c>
      <c r="CB156" s="1263">
        <f t="shared" si="492"/>
        <v>0</v>
      </c>
      <c r="CC156" s="1263">
        <f t="shared" si="492"/>
        <v>0</v>
      </c>
      <c r="CD156" s="1263">
        <f t="shared" si="492"/>
        <v>0</v>
      </c>
      <c r="CE156" s="1263">
        <f t="shared" si="492"/>
        <v>0</v>
      </c>
      <c r="CF156" s="1263">
        <f t="shared" si="492"/>
        <v>0</v>
      </c>
      <c r="CG156" s="1263">
        <f t="shared" si="492"/>
        <v>0</v>
      </c>
      <c r="CH156" s="1263">
        <f t="shared" si="492"/>
        <v>0</v>
      </c>
      <c r="CI156" s="1263">
        <f t="shared" si="470"/>
        <v>0</v>
      </c>
      <c r="CJ156" s="1263">
        <f t="shared" si="470"/>
        <v>0</v>
      </c>
      <c r="CK156" s="1263"/>
      <c r="CL156" s="1920">
        <f t="shared" si="471"/>
        <v>0</v>
      </c>
      <c r="CM156" s="78">
        <f t="shared" si="472"/>
        <v>0</v>
      </c>
      <c r="CN156" s="78">
        <f t="shared" si="473"/>
        <v>0</v>
      </c>
      <c r="CO156" s="78">
        <f t="shared" si="474"/>
        <v>0</v>
      </c>
      <c r="CP156" s="78">
        <f t="shared" si="475"/>
        <v>0</v>
      </c>
      <c r="CQ156" s="78">
        <f t="shared" si="476"/>
        <v>0</v>
      </c>
      <c r="CR156" s="78">
        <f t="shared" si="477"/>
        <v>0</v>
      </c>
      <c r="CS156" s="78">
        <f t="shared" si="478"/>
        <v>0</v>
      </c>
      <c r="CT156" s="78">
        <f t="shared" si="479"/>
        <v>0</v>
      </c>
      <c r="CU156" s="78">
        <f t="shared" si="480"/>
        <v>0</v>
      </c>
      <c r="CV156" s="78">
        <f t="shared" si="481"/>
        <v>0</v>
      </c>
      <c r="CW156" s="131">
        <f t="shared" si="482"/>
        <v>0</v>
      </c>
    </row>
    <row r="157" spans="1:101" x14ac:dyDescent="0.2">
      <c r="A157" s="869" t="s">
        <v>4921</v>
      </c>
      <c r="B157" s="2368" t="s">
        <v>5278</v>
      </c>
      <c r="C157" s="2343" t="s">
        <v>5274</v>
      </c>
      <c r="D157" s="2328" t="s">
        <v>5274</v>
      </c>
      <c r="E157" s="186">
        <v>11400</v>
      </c>
      <c r="F157" s="33">
        <f>147000+16600</f>
        <v>163600</v>
      </c>
      <c r="G157" s="33"/>
      <c r="H157" s="33"/>
      <c r="I157" s="76"/>
      <c r="J157" s="76"/>
      <c r="K157" s="76"/>
      <c r="L157" s="33"/>
      <c r="M157" s="142"/>
      <c r="N157" s="33"/>
      <c r="O157" s="33"/>
      <c r="P157" s="102"/>
      <c r="Q157" s="142">
        <f>'Cap Inc'!B86</f>
        <v>0</v>
      </c>
      <c r="R157" s="33"/>
      <c r="S157" s="33"/>
      <c r="T157" s="33">
        <f>'Res-Gen'!C181</f>
        <v>25000</v>
      </c>
      <c r="U157" s="102">
        <f t="shared" si="457"/>
        <v>-13600</v>
      </c>
      <c r="V157" s="186">
        <f>'Cap Inc'!E86</f>
        <v>100000</v>
      </c>
      <c r="W157" s="33"/>
      <c r="X157" s="99"/>
      <c r="Y157" s="33">
        <v>63600</v>
      </c>
      <c r="Z157" s="102">
        <f t="shared" si="458"/>
        <v>0</v>
      </c>
      <c r="AA157" s="142"/>
      <c r="AB157" s="33"/>
      <c r="AC157" s="33"/>
      <c r="AD157" s="33"/>
      <c r="AE157" s="102">
        <f t="shared" si="459"/>
        <v>0</v>
      </c>
      <c r="AF157" s="142"/>
      <c r="AG157" s="33"/>
      <c r="AH157" s="33"/>
      <c r="AI157" s="33"/>
      <c r="AJ157" s="102">
        <f t="shared" si="460"/>
        <v>0</v>
      </c>
      <c r="AK157" s="142"/>
      <c r="AL157" s="33"/>
      <c r="AM157" s="33"/>
      <c r="AN157" s="33"/>
      <c r="AO157" s="114">
        <f t="shared" si="461"/>
        <v>0</v>
      </c>
      <c r="AP157" s="142"/>
      <c r="AQ157" s="33"/>
      <c r="AR157" s="33"/>
      <c r="AS157" s="33"/>
      <c r="AT157" s="102">
        <f t="shared" si="462"/>
        <v>0</v>
      </c>
      <c r="AV157" s="33"/>
      <c r="AW157" s="33"/>
      <c r="AX157" s="33"/>
      <c r="AY157" s="102">
        <f t="shared" si="463"/>
        <v>0</v>
      </c>
      <c r="AZ157" s="142"/>
      <c r="BA157" s="33"/>
      <c r="BB157" s="33"/>
      <c r="BC157" s="33"/>
      <c r="BD157" s="102">
        <f t="shared" si="464"/>
        <v>0</v>
      </c>
      <c r="BE157" s="142"/>
      <c r="BF157" s="33"/>
      <c r="BG157" s="33"/>
      <c r="BH157" s="33"/>
      <c r="BI157" s="102">
        <f t="shared" si="465"/>
        <v>0</v>
      </c>
      <c r="BJ157" s="142"/>
      <c r="BK157" s="33"/>
      <c r="BL157" s="33"/>
      <c r="BM157" s="33"/>
      <c r="BN157" s="102">
        <f t="shared" si="466"/>
        <v>0</v>
      </c>
      <c r="BO157" s="142"/>
      <c r="BP157" s="33"/>
      <c r="BQ157" s="33"/>
      <c r="BR157" s="33"/>
      <c r="BS157" s="102">
        <f t="shared" si="467"/>
        <v>0</v>
      </c>
      <c r="BT157" s="142"/>
      <c r="BU157" s="33"/>
      <c r="BV157" s="33"/>
      <c r="BW157" s="33"/>
      <c r="BX157" s="99">
        <f t="shared" si="468"/>
        <v>0</v>
      </c>
      <c r="BY157" s="2438">
        <v>0</v>
      </c>
      <c r="BZ157" s="1263">
        <f t="shared" ref="BZ157:CH157" si="493">BY157</f>
        <v>0</v>
      </c>
      <c r="CA157" s="1263">
        <f t="shared" si="493"/>
        <v>0</v>
      </c>
      <c r="CB157" s="1263">
        <f t="shared" si="493"/>
        <v>0</v>
      </c>
      <c r="CC157" s="1263">
        <f t="shared" si="493"/>
        <v>0</v>
      </c>
      <c r="CD157" s="1263">
        <f t="shared" si="493"/>
        <v>0</v>
      </c>
      <c r="CE157" s="1263">
        <f t="shared" si="493"/>
        <v>0</v>
      </c>
      <c r="CF157" s="1263">
        <f t="shared" si="493"/>
        <v>0</v>
      </c>
      <c r="CG157" s="1263">
        <f t="shared" si="493"/>
        <v>0</v>
      </c>
      <c r="CH157" s="1263">
        <f t="shared" si="493"/>
        <v>0</v>
      </c>
      <c r="CI157" s="1263">
        <f t="shared" si="470"/>
        <v>0</v>
      </c>
      <c r="CJ157" s="1263">
        <f t="shared" si="470"/>
        <v>0</v>
      </c>
      <c r="CK157" s="1263"/>
      <c r="CL157" s="1920">
        <f t="shared" si="471"/>
        <v>0</v>
      </c>
      <c r="CM157" s="78">
        <f t="shared" si="472"/>
        <v>0</v>
      </c>
      <c r="CN157" s="78">
        <f t="shared" si="473"/>
        <v>0</v>
      </c>
      <c r="CO157" s="78">
        <f t="shared" si="474"/>
        <v>0</v>
      </c>
      <c r="CP157" s="78">
        <f t="shared" si="475"/>
        <v>0</v>
      </c>
      <c r="CQ157" s="78">
        <f t="shared" si="476"/>
        <v>0</v>
      </c>
      <c r="CR157" s="78">
        <f t="shared" si="477"/>
        <v>0</v>
      </c>
      <c r="CS157" s="78">
        <f t="shared" si="478"/>
        <v>0</v>
      </c>
      <c r="CT157" s="78">
        <f t="shared" si="479"/>
        <v>0</v>
      </c>
      <c r="CU157" s="78">
        <f t="shared" si="480"/>
        <v>0</v>
      </c>
      <c r="CV157" s="78">
        <f t="shared" si="481"/>
        <v>0</v>
      </c>
      <c r="CW157" s="131">
        <f t="shared" si="482"/>
        <v>0</v>
      </c>
    </row>
    <row r="158" spans="1:101" x14ac:dyDescent="0.2">
      <c r="A158" s="869" t="s">
        <v>4920</v>
      </c>
      <c r="B158" s="2368" t="s">
        <v>5277</v>
      </c>
      <c r="C158" s="2343" t="s">
        <v>5273</v>
      </c>
      <c r="D158" s="2328" t="s">
        <v>5273</v>
      </c>
      <c r="E158" s="186">
        <v>12600</v>
      </c>
      <c r="F158" s="33">
        <f>70000+17400</f>
        <v>87400</v>
      </c>
      <c r="G158" s="33"/>
      <c r="H158" s="33"/>
      <c r="I158" s="76"/>
      <c r="J158" s="76"/>
      <c r="K158" s="76"/>
      <c r="L158" s="33"/>
      <c r="M158" s="142"/>
      <c r="N158" s="33"/>
      <c r="O158" s="33"/>
      <c r="P158" s="102"/>
      <c r="Q158" s="142">
        <f>'Cap Inc'!B85</f>
        <v>0</v>
      </c>
      <c r="R158" s="33"/>
      <c r="S158" s="33"/>
      <c r="T158" s="33"/>
      <c r="U158" s="102">
        <f t="shared" si="457"/>
        <v>12600</v>
      </c>
      <c r="V158" s="186">
        <f>'Cap Inc'!E85</f>
        <v>50000</v>
      </c>
      <c r="W158" s="33"/>
      <c r="X158" s="99"/>
      <c r="Y158" s="33">
        <v>37400</v>
      </c>
      <c r="Z158" s="102">
        <f t="shared" si="458"/>
        <v>0</v>
      </c>
      <c r="AA158" s="142"/>
      <c r="AB158" s="33"/>
      <c r="AC158" s="33"/>
      <c r="AD158" s="33"/>
      <c r="AE158" s="102">
        <f t="shared" si="459"/>
        <v>0</v>
      </c>
      <c r="AF158" s="142"/>
      <c r="AG158" s="33"/>
      <c r="AH158" s="33"/>
      <c r="AI158" s="33"/>
      <c r="AJ158" s="102">
        <f t="shared" si="460"/>
        <v>0</v>
      </c>
      <c r="AK158" s="142"/>
      <c r="AL158" s="33"/>
      <c r="AM158" s="33"/>
      <c r="AN158" s="33"/>
      <c r="AO158" s="114">
        <f t="shared" si="461"/>
        <v>0</v>
      </c>
      <c r="AP158" s="142"/>
      <c r="AQ158" s="33"/>
      <c r="AR158" s="33"/>
      <c r="AS158" s="33"/>
      <c r="AT158" s="102">
        <f t="shared" si="462"/>
        <v>0</v>
      </c>
      <c r="AV158" s="33"/>
      <c r="AW158" s="33"/>
      <c r="AX158" s="33"/>
      <c r="AY158" s="102">
        <f t="shared" si="463"/>
        <v>0</v>
      </c>
      <c r="AZ158" s="142"/>
      <c r="BA158" s="33"/>
      <c r="BB158" s="33"/>
      <c r="BC158" s="33"/>
      <c r="BD158" s="102">
        <f t="shared" si="464"/>
        <v>0</v>
      </c>
      <c r="BE158" s="142"/>
      <c r="BF158" s="33"/>
      <c r="BG158" s="33"/>
      <c r="BH158" s="33"/>
      <c r="BI158" s="102">
        <f t="shared" si="465"/>
        <v>0</v>
      </c>
      <c r="BJ158" s="142"/>
      <c r="BK158" s="33"/>
      <c r="BL158" s="33"/>
      <c r="BM158" s="33"/>
      <c r="BN158" s="102">
        <f t="shared" si="466"/>
        <v>0</v>
      </c>
      <c r="BO158" s="142"/>
      <c r="BP158" s="33"/>
      <c r="BQ158" s="33"/>
      <c r="BR158" s="33"/>
      <c r="BS158" s="102">
        <f t="shared" si="467"/>
        <v>0</v>
      </c>
      <c r="BT158" s="142"/>
      <c r="BU158" s="33"/>
      <c r="BV158" s="33"/>
      <c r="BW158" s="33"/>
      <c r="BX158" s="99">
        <f t="shared" si="468"/>
        <v>0</v>
      </c>
      <c r="BY158" s="2438">
        <v>0</v>
      </c>
      <c r="BZ158" s="1263">
        <f t="shared" si="483"/>
        <v>0</v>
      </c>
      <c r="CA158" s="1263">
        <f t="shared" si="484"/>
        <v>0</v>
      </c>
      <c r="CB158" s="1263">
        <f t="shared" si="485"/>
        <v>0</v>
      </c>
      <c r="CC158" s="1263">
        <f t="shared" si="486"/>
        <v>0</v>
      </c>
      <c r="CD158" s="1263">
        <f t="shared" si="487"/>
        <v>0</v>
      </c>
      <c r="CE158" s="1263">
        <f t="shared" si="488"/>
        <v>0</v>
      </c>
      <c r="CF158" s="1263">
        <f t="shared" si="489"/>
        <v>0</v>
      </c>
      <c r="CG158" s="1263">
        <f t="shared" si="490"/>
        <v>0</v>
      </c>
      <c r="CH158" s="1263">
        <f t="shared" si="491"/>
        <v>0</v>
      </c>
      <c r="CI158" s="1263">
        <f t="shared" si="470"/>
        <v>0</v>
      </c>
      <c r="CJ158" s="1263">
        <f t="shared" si="470"/>
        <v>0</v>
      </c>
      <c r="CK158" s="1263"/>
      <c r="CL158" s="1920">
        <f t="shared" si="471"/>
        <v>0</v>
      </c>
      <c r="CM158" s="78">
        <f t="shared" si="472"/>
        <v>0</v>
      </c>
      <c r="CN158" s="78">
        <f t="shared" si="473"/>
        <v>0</v>
      </c>
      <c r="CO158" s="78">
        <f t="shared" si="474"/>
        <v>0</v>
      </c>
      <c r="CP158" s="78">
        <f t="shared" si="475"/>
        <v>0</v>
      </c>
      <c r="CQ158" s="78">
        <f t="shared" si="476"/>
        <v>0</v>
      </c>
      <c r="CR158" s="78">
        <f t="shared" si="477"/>
        <v>0</v>
      </c>
      <c r="CS158" s="78">
        <f t="shared" si="478"/>
        <v>0</v>
      </c>
      <c r="CT158" s="78">
        <f t="shared" si="479"/>
        <v>0</v>
      </c>
      <c r="CU158" s="78">
        <f t="shared" si="480"/>
        <v>0</v>
      </c>
      <c r="CV158" s="78">
        <f t="shared" si="481"/>
        <v>0</v>
      </c>
      <c r="CW158" s="131">
        <f t="shared" si="482"/>
        <v>0</v>
      </c>
    </row>
    <row r="159" spans="1:101" x14ac:dyDescent="0.2">
      <c r="A159" s="869" t="s">
        <v>6785</v>
      </c>
      <c r="B159" s="2368" t="s">
        <v>3991</v>
      </c>
      <c r="C159" s="2343" t="s">
        <v>4116</v>
      </c>
      <c r="D159" s="2328" t="s">
        <v>4116</v>
      </c>
      <c r="E159" s="186">
        <v>23600</v>
      </c>
      <c r="F159" s="33">
        <f>300000-265600</f>
        <v>34400</v>
      </c>
      <c r="G159" s="33"/>
      <c r="H159" s="33"/>
      <c r="I159" s="76"/>
      <c r="J159" s="76"/>
      <c r="K159" s="76"/>
      <c r="L159" s="33"/>
      <c r="M159" s="142"/>
      <c r="N159" s="33"/>
      <c r="O159" s="33"/>
      <c r="P159" s="102"/>
      <c r="Q159" s="142">
        <v>0</v>
      </c>
      <c r="R159" s="33"/>
      <c r="S159" s="33"/>
      <c r="T159" s="33">
        <v>27800</v>
      </c>
      <c r="U159" s="102">
        <f t="shared" si="457"/>
        <v>-4200</v>
      </c>
      <c r="V159" s="186">
        <f>'Cap Inc'!E81</f>
        <v>30000</v>
      </c>
      <c r="W159" s="33"/>
      <c r="X159" s="99"/>
      <c r="Y159" s="33">
        <f>50000-45600</f>
        <v>4400</v>
      </c>
      <c r="Z159" s="102">
        <f t="shared" si="458"/>
        <v>0</v>
      </c>
      <c r="AA159" s="142"/>
      <c r="AB159" s="33"/>
      <c r="AC159" s="33"/>
      <c r="AD159" s="33"/>
      <c r="AE159" s="102">
        <f t="shared" si="459"/>
        <v>0</v>
      </c>
      <c r="AF159" s="142"/>
      <c r="AG159" s="33"/>
      <c r="AH159" s="33"/>
      <c r="AI159" s="33"/>
      <c r="AJ159" s="102">
        <f t="shared" si="460"/>
        <v>0</v>
      </c>
      <c r="AK159" s="142"/>
      <c r="AL159" s="33"/>
      <c r="AM159" s="33"/>
      <c r="AN159" s="33"/>
      <c r="AO159" s="114">
        <f t="shared" si="461"/>
        <v>0</v>
      </c>
      <c r="AP159" s="142"/>
      <c r="AQ159" s="33"/>
      <c r="AR159" s="33"/>
      <c r="AS159" s="33"/>
      <c r="AT159" s="102">
        <f t="shared" si="462"/>
        <v>0</v>
      </c>
      <c r="AV159" s="33"/>
      <c r="AW159" s="33"/>
      <c r="AX159" s="33"/>
      <c r="AY159" s="102">
        <f t="shared" si="463"/>
        <v>0</v>
      </c>
      <c r="AZ159" s="142"/>
      <c r="BA159" s="33"/>
      <c r="BB159" s="33"/>
      <c r="BC159" s="33"/>
      <c r="BD159" s="102">
        <f t="shared" si="464"/>
        <v>0</v>
      </c>
      <c r="BE159" s="142"/>
      <c r="BF159" s="33"/>
      <c r="BG159" s="33"/>
      <c r="BH159" s="33"/>
      <c r="BI159" s="102">
        <f t="shared" si="465"/>
        <v>0</v>
      </c>
      <c r="BJ159" s="142"/>
      <c r="BK159" s="33"/>
      <c r="BL159" s="33"/>
      <c r="BM159" s="33"/>
      <c r="BN159" s="102">
        <f t="shared" si="466"/>
        <v>0</v>
      </c>
      <c r="BO159" s="142"/>
      <c r="BP159" s="33"/>
      <c r="BQ159" s="33"/>
      <c r="BR159" s="33"/>
      <c r="BS159" s="102">
        <f t="shared" si="467"/>
        <v>0</v>
      </c>
      <c r="BT159" s="142"/>
      <c r="BU159" s="33"/>
      <c r="BV159" s="33"/>
      <c r="BW159" s="33"/>
      <c r="BX159" s="99">
        <f t="shared" si="468"/>
        <v>0</v>
      </c>
      <c r="BY159" s="2438">
        <v>0</v>
      </c>
      <c r="BZ159" s="1263">
        <f t="shared" ref="BZ159:CH159" si="494">BY159</f>
        <v>0</v>
      </c>
      <c r="CA159" s="1263">
        <f t="shared" si="494"/>
        <v>0</v>
      </c>
      <c r="CB159" s="1263">
        <f t="shared" si="494"/>
        <v>0</v>
      </c>
      <c r="CC159" s="1263">
        <f t="shared" si="494"/>
        <v>0</v>
      </c>
      <c r="CD159" s="1263">
        <f t="shared" si="494"/>
        <v>0</v>
      </c>
      <c r="CE159" s="1263">
        <f t="shared" si="494"/>
        <v>0</v>
      </c>
      <c r="CF159" s="1263">
        <f t="shared" si="494"/>
        <v>0</v>
      </c>
      <c r="CG159" s="1263">
        <f t="shared" si="494"/>
        <v>0</v>
      </c>
      <c r="CH159" s="1263">
        <f t="shared" si="494"/>
        <v>0</v>
      </c>
      <c r="CI159" s="1263">
        <f t="shared" si="470"/>
        <v>0</v>
      </c>
      <c r="CJ159" s="1263">
        <f t="shared" si="470"/>
        <v>0</v>
      </c>
      <c r="CK159" s="1263"/>
      <c r="CL159" s="1920">
        <f t="shared" si="471"/>
        <v>0</v>
      </c>
      <c r="CM159" s="78">
        <f t="shared" si="472"/>
        <v>0</v>
      </c>
      <c r="CN159" s="78">
        <f t="shared" si="473"/>
        <v>0</v>
      </c>
      <c r="CO159" s="78">
        <f t="shared" si="474"/>
        <v>0</v>
      </c>
      <c r="CP159" s="78">
        <f t="shared" si="475"/>
        <v>0</v>
      </c>
      <c r="CQ159" s="78">
        <f t="shared" si="476"/>
        <v>0</v>
      </c>
      <c r="CR159" s="78">
        <f t="shared" si="477"/>
        <v>0</v>
      </c>
      <c r="CS159" s="78">
        <f t="shared" si="478"/>
        <v>0</v>
      </c>
      <c r="CT159" s="78">
        <f t="shared" si="479"/>
        <v>0</v>
      </c>
      <c r="CU159" s="78">
        <f t="shared" si="480"/>
        <v>0</v>
      </c>
      <c r="CV159" s="78">
        <f t="shared" si="481"/>
        <v>0</v>
      </c>
      <c r="CW159" s="131">
        <f t="shared" si="482"/>
        <v>0</v>
      </c>
    </row>
    <row r="160" spans="1:101" x14ac:dyDescent="0.2">
      <c r="A160" s="869" t="s">
        <v>6786</v>
      </c>
      <c r="B160" s="2368"/>
      <c r="C160" s="2343"/>
      <c r="D160" s="2328"/>
      <c r="E160" s="186"/>
      <c r="F160" s="33">
        <v>300000</v>
      </c>
      <c r="G160" s="33"/>
      <c r="H160" s="33"/>
      <c r="I160" s="76"/>
      <c r="J160" s="76"/>
      <c r="K160" s="76"/>
      <c r="L160" s="33"/>
      <c r="M160" s="142"/>
      <c r="N160" s="33"/>
      <c r="O160" s="33"/>
      <c r="P160" s="102"/>
      <c r="Q160" s="142"/>
      <c r="R160" s="33"/>
      <c r="S160" s="33"/>
      <c r="T160" s="33"/>
      <c r="U160" s="102"/>
      <c r="V160" s="186">
        <f>'Cap Inc'!E80</f>
        <v>225000</v>
      </c>
      <c r="W160" s="33"/>
      <c r="X160" s="99"/>
      <c r="Y160" s="33">
        <f>54400</f>
        <v>54400</v>
      </c>
      <c r="Z160" s="102">
        <f t="shared" si="458"/>
        <v>20600</v>
      </c>
      <c r="AA160" s="142"/>
      <c r="AB160" s="33"/>
      <c r="AC160" s="33"/>
      <c r="AD160" s="33"/>
      <c r="AE160" s="102">
        <f t="shared" si="459"/>
        <v>0</v>
      </c>
      <c r="AF160" s="142"/>
      <c r="AG160" s="33"/>
      <c r="AH160" s="33"/>
      <c r="AI160" s="33"/>
      <c r="AJ160" s="102">
        <f t="shared" si="460"/>
        <v>0</v>
      </c>
      <c r="AK160" s="142"/>
      <c r="AL160" s="33"/>
      <c r="AM160" s="33"/>
      <c r="AN160" s="33"/>
      <c r="AO160" s="114">
        <f t="shared" si="461"/>
        <v>0</v>
      </c>
      <c r="AP160" s="142"/>
      <c r="AQ160" s="33"/>
      <c r="AR160" s="33"/>
      <c r="AS160" s="33"/>
      <c r="AT160" s="102">
        <f t="shared" si="462"/>
        <v>0</v>
      </c>
      <c r="AV160" s="33"/>
      <c r="AW160" s="33"/>
      <c r="AX160" s="33"/>
      <c r="AY160" s="102">
        <f t="shared" si="463"/>
        <v>0</v>
      </c>
      <c r="AZ160" s="142"/>
      <c r="BA160" s="33"/>
      <c r="BB160" s="33"/>
      <c r="BC160" s="33"/>
      <c r="BD160" s="102">
        <f t="shared" si="464"/>
        <v>0</v>
      </c>
      <c r="BE160" s="142"/>
      <c r="BF160" s="33"/>
      <c r="BG160" s="33"/>
      <c r="BH160" s="33"/>
      <c r="BI160" s="102">
        <f t="shared" si="465"/>
        <v>0</v>
      </c>
      <c r="BJ160" s="142"/>
      <c r="BK160" s="33"/>
      <c r="BL160" s="33"/>
      <c r="BM160" s="33"/>
      <c r="BN160" s="102">
        <f t="shared" si="466"/>
        <v>0</v>
      </c>
      <c r="BO160" s="142"/>
      <c r="BP160" s="33"/>
      <c r="BQ160" s="33"/>
      <c r="BR160" s="33"/>
      <c r="BS160" s="102">
        <f t="shared" si="467"/>
        <v>0</v>
      </c>
      <c r="BT160" s="142"/>
      <c r="BU160" s="33"/>
      <c r="BV160" s="33"/>
      <c r="BW160" s="33"/>
      <c r="BX160" s="99">
        <f t="shared" si="468"/>
        <v>0</v>
      </c>
      <c r="BY160" s="2438">
        <v>0</v>
      </c>
      <c r="BZ160" s="1263">
        <f t="shared" ref="BZ160:BZ162" si="495">BY160</f>
        <v>0</v>
      </c>
      <c r="CA160" s="1263">
        <f t="shared" ref="CA160:CA162" si="496">BZ160</f>
        <v>0</v>
      </c>
      <c r="CB160" s="1263">
        <f t="shared" ref="CB160:CB162" si="497">CA160</f>
        <v>0</v>
      </c>
      <c r="CC160" s="1263">
        <f t="shared" ref="CC160:CC162" si="498">CB160</f>
        <v>0</v>
      </c>
      <c r="CD160" s="1263">
        <f t="shared" ref="CD160:CD162" si="499">CC160</f>
        <v>0</v>
      </c>
      <c r="CE160" s="1263">
        <f t="shared" ref="CE160:CE162" si="500">CD160</f>
        <v>0</v>
      </c>
      <c r="CF160" s="1263">
        <f t="shared" ref="CF160:CF162" si="501">CE160</f>
        <v>0</v>
      </c>
      <c r="CG160" s="1263">
        <f t="shared" ref="CG160:CG162" si="502">CF160</f>
        <v>0</v>
      </c>
      <c r="CH160" s="1263">
        <f t="shared" ref="CH160:CH162" si="503">CG160</f>
        <v>0</v>
      </c>
      <c r="CI160" s="1263">
        <f t="shared" si="470"/>
        <v>0</v>
      </c>
      <c r="CJ160" s="1263">
        <f t="shared" si="470"/>
        <v>0</v>
      </c>
      <c r="CK160" s="1263"/>
      <c r="CL160" s="1920">
        <f t="shared" si="471"/>
        <v>0</v>
      </c>
      <c r="CM160" s="78">
        <f t="shared" si="472"/>
        <v>0</v>
      </c>
      <c r="CN160" s="78">
        <f t="shared" si="473"/>
        <v>0</v>
      </c>
      <c r="CO160" s="78">
        <f t="shared" si="474"/>
        <v>0</v>
      </c>
      <c r="CP160" s="78">
        <f t="shared" si="475"/>
        <v>0</v>
      </c>
      <c r="CQ160" s="78">
        <f t="shared" si="476"/>
        <v>0</v>
      </c>
      <c r="CR160" s="78">
        <f t="shared" si="477"/>
        <v>0</v>
      </c>
      <c r="CS160" s="78">
        <f t="shared" si="478"/>
        <v>0</v>
      </c>
      <c r="CT160" s="78">
        <f t="shared" si="479"/>
        <v>0</v>
      </c>
      <c r="CU160" s="78">
        <f t="shared" si="480"/>
        <v>0</v>
      </c>
      <c r="CV160" s="78">
        <f t="shared" si="481"/>
        <v>0</v>
      </c>
      <c r="CW160" s="131">
        <f t="shared" si="482"/>
        <v>0</v>
      </c>
    </row>
    <row r="161" spans="1:101" x14ac:dyDescent="0.2">
      <c r="A161" s="869" t="s">
        <v>4922</v>
      </c>
      <c r="B161" s="2368" t="s">
        <v>6594</v>
      </c>
      <c r="C161" s="2343" t="s">
        <v>6593</v>
      </c>
      <c r="D161" s="2328" t="s">
        <v>6593</v>
      </c>
      <c r="E161" s="186">
        <v>14500</v>
      </c>
      <c r="F161" s="33">
        <f>110000+25500</f>
        <v>135500</v>
      </c>
      <c r="G161" s="33"/>
      <c r="H161" s="33"/>
      <c r="I161" s="76"/>
      <c r="J161" s="76"/>
      <c r="K161" s="76"/>
      <c r="L161" s="33"/>
      <c r="M161" s="142"/>
      <c r="N161" s="33"/>
      <c r="O161" s="33"/>
      <c r="P161" s="102"/>
      <c r="Q161" s="142">
        <f>'Cap Inc'!B88</f>
        <v>0</v>
      </c>
      <c r="R161" s="33"/>
      <c r="S161" s="33"/>
      <c r="T161" s="33"/>
      <c r="U161" s="102">
        <f>E161-Q161-R161-S161-T161</f>
        <v>14500</v>
      </c>
      <c r="V161" s="186">
        <f>'Cap Inc'!E88</f>
        <v>75000</v>
      </c>
      <c r="W161" s="33"/>
      <c r="X161" s="99"/>
      <c r="Y161" s="33">
        <f>60500-50000</f>
        <v>10500</v>
      </c>
      <c r="Z161" s="102">
        <f t="shared" si="458"/>
        <v>50000</v>
      </c>
      <c r="AA161" s="142"/>
      <c r="AB161" s="33"/>
      <c r="AC161" s="33"/>
      <c r="AD161" s="33"/>
      <c r="AE161" s="102">
        <f t="shared" si="459"/>
        <v>0</v>
      </c>
      <c r="AF161" s="142"/>
      <c r="AG161" s="33"/>
      <c r="AH161" s="33"/>
      <c r="AI161" s="33"/>
      <c r="AJ161" s="102">
        <f t="shared" si="460"/>
        <v>0</v>
      </c>
      <c r="AK161" s="142"/>
      <c r="AL161" s="33"/>
      <c r="AM161" s="33"/>
      <c r="AN161" s="33"/>
      <c r="AO161" s="114">
        <f t="shared" si="461"/>
        <v>0</v>
      </c>
      <c r="AP161" s="142"/>
      <c r="AQ161" s="33"/>
      <c r="AR161" s="33"/>
      <c r="AS161" s="33"/>
      <c r="AT161" s="102">
        <f t="shared" si="462"/>
        <v>0</v>
      </c>
      <c r="AV161" s="33"/>
      <c r="AW161" s="33"/>
      <c r="AX161" s="33"/>
      <c r="AY161" s="102">
        <f t="shared" si="463"/>
        <v>0</v>
      </c>
      <c r="AZ161" s="142"/>
      <c r="BA161" s="33"/>
      <c r="BB161" s="33"/>
      <c r="BC161" s="33"/>
      <c r="BD161" s="102">
        <f t="shared" si="464"/>
        <v>0</v>
      </c>
      <c r="BE161" s="142"/>
      <c r="BF161" s="33"/>
      <c r="BG161" s="33"/>
      <c r="BH161" s="33"/>
      <c r="BI161" s="102">
        <f t="shared" si="465"/>
        <v>0</v>
      </c>
      <c r="BJ161" s="142"/>
      <c r="BK161" s="33"/>
      <c r="BL161" s="33"/>
      <c r="BM161" s="33"/>
      <c r="BN161" s="102">
        <f t="shared" si="466"/>
        <v>0</v>
      </c>
      <c r="BO161" s="142"/>
      <c r="BP161" s="33"/>
      <c r="BQ161" s="33"/>
      <c r="BR161" s="33"/>
      <c r="BS161" s="102">
        <f t="shared" si="467"/>
        <v>0</v>
      </c>
      <c r="BT161" s="142"/>
      <c r="BU161" s="33"/>
      <c r="BV161" s="33"/>
      <c r="BW161" s="33"/>
      <c r="BX161" s="99">
        <f t="shared" si="468"/>
        <v>0</v>
      </c>
      <c r="BY161" s="2438">
        <v>0</v>
      </c>
      <c r="BZ161" s="1263">
        <f t="shared" si="495"/>
        <v>0</v>
      </c>
      <c r="CA161" s="1263">
        <f t="shared" si="496"/>
        <v>0</v>
      </c>
      <c r="CB161" s="1263">
        <f t="shared" si="497"/>
        <v>0</v>
      </c>
      <c r="CC161" s="1263">
        <f t="shared" si="498"/>
        <v>0</v>
      </c>
      <c r="CD161" s="1263">
        <f t="shared" si="499"/>
        <v>0</v>
      </c>
      <c r="CE161" s="1263">
        <f t="shared" si="500"/>
        <v>0</v>
      </c>
      <c r="CF161" s="1263">
        <f t="shared" si="501"/>
        <v>0</v>
      </c>
      <c r="CG161" s="1263">
        <f t="shared" si="502"/>
        <v>0</v>
      </c>
      <c r="CH161" s="1263">
        <f t="shared" si="503"/>
        <v>0</v>
      </c>
      <c r="CI161" s="1263">
        <f t="shared" si="470"/>
        <v>0</v>
      </c>
      <c r="CJ161" s="1263">
        <f t="shared" si="470"/>
        <v>0</v>
      </c>
      <c r="CK161" s="1263"/>
      <c r="CL161" s="1920">
        <f t="shared" si="471"/>
        <v>0</v>
      </c>
      <c r="CM161" s="78">
        <f t="shared" si="472"/>
        <v>0</v>
      </c>
      <c r="CN161" s="78">
        <f t="shared" si="473"/>
        <v>0</v>
      </c>
      <c r="CO161" s="78">
        <f t="shared" si="474"/>
        <v>0</v>
      </c>
      <c r="CP161" s="78">
        <f t="shared" si="475"/>
        <v>0</v>
      </c>
      <c r="CQ161" s="78">
        <f t="shared" si="476"/>
        <v>0</v>
      </c>
      <c r="CR161" s="78">
        <f t="shared" si="477"/>
        <v>0</v>
      </c>
      <c r="CS161" s="78">
        <f t="shared" si="478"/>
        <v>0</v>
      </c>
      <c r="CT161" s="78">
        <f t="shared" si="479"/>
        <v>0</v>
      </c>
      <c r="CU161" s="78">
        <f t="shared" si="480"/>
        <v>0</v>
      </c>
      <c r="CV161" s="78">
        <f t="shared" si="481"/>
        <v>0</v>
      </c>
      <c r="CW161" s="131">
        <f t="shared" si="482"/>
        <v>0</v>
      </c>
    </row>
    <row r="162" spans="1:101" x14ac:dyDescent="0.2">
      <c r="A162" s="869" t="s">
        <v>4923</v>
      </c>
      <c r="B162" s="2368"/>
      <c r="C162" s="2343"/>
      <c r="D162" s="2328"/>
      <c r="E162" s="186">
        <v>11100</v>
      </c>
      <c r="F162" s="33"/>
      <c r="G162" s="33">
        <v>200000</v>
      </c>
      <c r="H162" s="33"/>
      <c r="I162" s="76"/>
      <c r="J162" s="76"/>
      <c r="K162" s="76"/>
      <c r="L162" s="33"/>
      <c r="M162" s="142"/>
      <c r="N162" s="33"/>
      <c r="O162" s="33"/>
      <c r="P162" s="102"/>
      <c r="Q162" s="142"/>
      <c r="R162" s="33"/>
      <c r="S162" s="33"/>
      <c r="T162" s="33"/>
      <c r="U162" s="102">
        <f>E162-Q162-R162-S162-T162</f>
        <v>11100</v>
      </c>
      <c r="V162" s="186"/>
      <c r="W162" s="33"/>
      <c r="X162" s="99"/>
      <c r="Y162" s="33"/>
      <c r="Z162" s="102">
        <f t="shared" si="458"/>
        <v>0</v>
      </c>
      <c r="AA162" s="142">
        <f>'Cap Inc'!F89</f>
        <v>125000</v>
      </c>
      <c r="AB162" s="33"/>
      <c r="AC162" s="33"/>
      <c r="AD162" s="33"/>
      <c r="AE162" s="102">
        <f t="shared" si="459"/>
        <v>75000</v>
      </c>
      <c r="AF162" s="142"/>
      <c r="AG162" s="33"/>
      <c r="AH162" s="33"/>
      <c r="AI162" s="33"/>
      <c r="AJ162" s="102">
        <f t="shared" si="460"/>
        <v>0</v>
      </c>
      <c r="AK162" s="142"/>
      <c r="AL162" s="33"/>
      <c r="AM162" s="33"/>
      <c r="AN162" s="33"/>
      <c r="AO162" s="114">
        <f t="shared" si="461"/>
        <v>0</v>
      </c>
      <c r="AP162" s="142"/>
      <c r="AQ162" s="33"/>
      <c r="AR162" s="33"/>
      <c r="AS162" s="33"/>
      <c r="AT162" s="102">
        <f t="shared" si="462"/>
        <v>0</v>
      </c>
      <c r="AV162" s="33"/>
      <c r="AW162" s="33"/>
      <c r="AX162" s="33"/>
      <c r="AY162" s="102">
        <f t="shared" si="463"/>
        <v>0</v>
      </c>
      <c r="AZ162" s="142"/>
      <c r="BA162" s="33"/>
      <c r="BB162" s="33"/>
      <c r="BC162" s="33"/>
      <c r="BD162" s="102">
        <f t="shared" si="464"/>
        <v>0</v>
      </c>
      <c r="BE162" s="142"/>
      <c r="BF162" s="33"/>
      <c r="BG162" s="33"/>
      <c r="BH162" s="33"/>
      <c r="BI162" s="102">
        <f t="shared" si="465"/>
        <v>0</v>
      </c>
      <c r="BJ162" s="142"/>
      <c r="BK162" s="33"/>
      <c r="BL162" s="33"/>
      <c r="BM162" s="33"/>
      <c r="BN162" s="102">
        <f t="shared" si="466"/>
        <v>0</v>
      </c>
      <c r="BO162" s="142"/>
      <c r="BP162" s="33"/>
      <c r="BQ162" s="33"/>
      <c r="BR162" s="33"/>
      <c r="BS162" s="102">
        <f t="shared" si="467"/>
        <v>0</v>
      </c>
      <c r="BT162" s="142"/>
      <c r="BU162" s="33"/>
      <c r="BV162" s="33"/>
      <c r="BW162" s="33"/>
      <c r="BX162" s="99">
        <f t="shared" si="468"/>
        <v>0</v>
      </c>
      <c r="BY162" s="2438">
        <v>0</v>
      </c>
      <c r="BZ162" s="1263">
        <f t="shared" si="495"/>
        <v>0</v>
      </c>
      <c r="CA162" s="1263">
        <f t="shared" si="496"/>
        <v>0</v>
      </c>
      <c r="CB162" s="1263">
        <f t="shared" si="497"/>
        <v>0</v>
      </c>
      <c r="CC162" s="1263">
        <f t="shared" si="498"/>
        <v>0</v>
      </c>
      <c r="CD162" s="1263">
        <f t="shared" si="499"/>
        <v>0</v>
      </c>
      <c r="CE162" s="1263">
        <f t="shared" si="500"/>
        <v>0</v>
      </c>
      <c r="CF162" s="1263">
        <f t="shared" si="501"/>
        <v>0</v>
      </c>
      <c r="CG162" s="1263">
        <f t="shared" si="502"/>
        <v>0</v>
      </c>
      <c r="CH162" s="1263">
        <f t="shared" si="503"/>
        <v>0</v>
      </c>
      <c r="CI162" s="1263">
        <f t="shared" si="470"/>
        <v>0</v>
      </c>
      <c r="CJ162" s="1263">
        <f t="shared" si="470"/>
        <v>0</v>
      </c>
      <c r="CK162" s="1263"/>
      <c r="CL162" s="1920">
        <f t="shared" si="471"/>
        <v>0</v>
      </c>
      <c r="CM162" s="78">
        <f t="shared" si="472"/>
        <v>0</v>
      </c>
      <c r="CN162" s="78">
        <f t="shared" si="473"/>
        <v>0</v>
      </c>
      <c r="CO162" s="78">
        <f t="shared" si="474"/>
        <v>0</v>
      </c>
      <c r="CP162" s="78">
        <f t="shared" si="475"/>
        <v>0</v>
      </c>
      <c r="CQ162" s="78">
        <f t="shared" si="476"/>
        <v>0</v>
      </c>
      <c r="CR162" s="78">
        <f t="shared" si="477"/>
        <v>0</v>
      </c>
      <c r="CS162" s="78">
        <f t="shared" si="478"/>
        <v>0</v>
      </c>
      <c r="CT162" s="78">
        <f t="shared" si="479"/>
        <v>0</v>
      </c>
      <c r="CU162" s="78">
        <f t="shared" si="480"/>
        <v>0</v>
      </c>
      <c r="CV162" s="78">
        <f t="shared" si="481"/>
        <v>0</v>
      </c>
      <c r="CW162" s="131">
        <f t="shared" si="482"/>
        <v>0</v>
      </c>
    </row>
    <row r="163" spans="1:101" s="92" customFormat="1" x14ac:dyDescent="0.2">
      <c r="A163" s="410"/>
      <c r="B163" s="2360"/>
      <c r="C163" s="2335"/>
      <c r="D163" s="2388"/>
      <c r="E163" s="185"/>
      <c r="F163" s="64"/>
      <c r="G163" s="64"/>
      <c r="H163" s="64"/>
      <c r="I163" s="64"/>
      <c r="J163" s="74"/>
      <c r="K163" s="79"/>
      <c r="L163" s="64"/>
      <c r="M163" s="128"/>
      <c r="N163" s="64"/>
      <c r="O163" s="64"/>
      <c r="P163" s="117"/>
      <c r="Q163" s="128"/>
      <c r="R163" s="64"/>
      <c r="S163" s="64"/>
      <c r="T163" s="64"/>
      <c r="U163" s="102"/>
      <c r="V163" s="185"/>
      <c r="W163" s="64"/>
      <c r="X163" s="74"/>
      <c r="Y163" s="64"/>
      <c r="Z163" s="102"/>
      <c r="AA163" s="128"/>
      <c r="AB163" s="64"/>
      <c r="AC163" s="64"/>
      <c r="AD163" s="64"/>
      <c r="AE163" s="117"/>
      <c r="AF163" s="128"/>
      <c r="AG163" s="64"/>
      <c r="AH163" s="64"/>
      <c r="AI163" s="64"/>
      <c r="AJ163" s="102">
        <f t="shared" si="460"/>
        <v>0</v>
      </c>
      <c r="AK163" s="142"/>
      <c r="AL163" s="33"/>
      <c r="AM163" s="33"/>
      <c r="AN163" s="33"/>
      <c r="AO163" s="114">
        <f t="shared" si="461"/>
        <v>0</v>
      </c>
      <c r="AP163" s="128"/>
      <c r="AQ163" s="64"/>
      <c r="AR163" s="64"/>
      <c r="AS163" s="64"/>
      <c r="AT163" s="117"/>
      <c r="AU163" s="74"/>
      <c r="AV163" s="64"/>
      <c r="AW163" s="64"/>
      <c r="AX163" s="64"/>
      <c r="AY163" s="117"/>
      <c r="AZ163" s="128"/>
      <c r="BA163" s="64"/>
      <c r="BB163" s="64"/>
      <c r="BC163" s="64"/>
      <c r="BD163" s="117"/>
      <c r="BE163" s="128"/>
      <c r="BF163" s="64"/>
      <c r="BG163" s="64"/>
      <c r="BH163" s="64"/>
      <c r="BI163" s="117"/>
      <c r="BJ163" s="128"/>
      <c r="BK163" s="64"/>
      <c r="BL163" s="64"/>
      <c r="BM163" s="64"/>
      <c r="BN163" s="117"/>
      <c r="BO163" s="128"/>
      <c r="BP163" s="64"/>
      <c r="BQ163" s="64"/>
      <c r="BR163" s="64"/>
      <c r="BS163" s="117"/>
      <c r="BT163" s="128"/>
      <c r="BU163" s="64"/>
      <c r="BV163" s="64"/>
      <c r="BW163" s="64"/>
      <c r="BX163" s="74"/>
      <c r="BY163" s="2437"/>
      <c r="BZ163" s="740"/>
      <c r="CA163" s="655"/>
      <c r="CB163" s="655"/>
      <c r="CC163" s="655"/>
      <c r="CD163" s="655"/>
      <c r="CE163" s="655"/>
      <c r="CF163" s="655"/>
      <c r="CG163" s="655"/>
      <c r="CH163" s="655"/>
      <c r="CI163" s="655"/>
      <c r="CJ163" s="655"/>
      <c r="CK163" s="655"/>
      <c r="CL163" s="1747"/>
      <c r="CM163" s="74"/>
      <c r="CN163" s="74"/>
      <c r="CO163" s="74"/>
      <c r="CP163" s="74"/>
      <c r="CQ163" s="74"/>
      <c r="CR163" s="74"/>
      <c r="CS163" s="74"/>
      <c r="CT163" s="74"/>
      <c r="CU163" s="74"/>
      <c r="CV163" s="74"/>
      <c r="CW163" s="115"/>
    </row>
    <row r="164" spans="1:101" x14ac:dyDescent="0.2">
      <c r="A164" s="590" t="s">
        <v>3938</v>
      </c>
      <c r="B164" s="2356" t="s">
        <v>1308</v>
      </c>
      <c r="C164" s="2334"/>
      <c r="D164" s="2330"/>
      <c r="E164" s="186">
        <v>158800</v>
      </c>
      <c r="F164" s="33">
        <f>40000+120000-13100+17400</f>
        <v>164300</v>
      </c>
      <c r="G164" s="33"/>
      <c r="H164" s="33"/>
      <c r="I164" s="33"/>
      <c r="J164" s="99"/>
      <c r="K164" s="76"/>
      <c r="L164" s="33"/>
      <c r="M164" s="142"/>
      <c r="N164" s="33"/>
      <c r="O164" s="33"/>
      <c r="P164" s="102"/>
      <c r="Q164" s="142"/>
      <c r="R164" s="33"/>
      <c r="S164" s="33"/>
      <c r="T164" s="33"/>
      <c r="U164" s="102">
        <f>E164-Q164-R164-S164-T164</f>
        <v>158800</v>
      </c>
      <c r="V164" s="186"/>
      <c r="W164" s="33"/>
      <c r="X164" s="99"/>
      <c r="Y164" s="33"/>
      <c r="Z164" s="102">
        <f>F164-V164-W164-X164-Y164</f>
        <v>164300</v>
      </c>
      <c r="AA164" s="142"/>
      <c r="AB164" s="33"/>
      <c r="AC164" s="33"/>
      <c r="AD164" s="33"/>
      <c r="AE164" s="102"/>
      <c r="AF164" s="142"/>
      <c r="AG164" s="33"/>
      <c r="AH164" s="33"/>
      <c r="AI164" s="33"/>
      <c r="AJ164" s="102">
        <f t="shared" si="460"/>
        <v>0</v>
      </c>
      <c r="AK164" s="142"/>
      <c r="AL164" s="33"/>
      <c r="AM164" s="33"/>
      <c r="AN164" s="33"/>
      <c r="AO164" s="114">
        <f t="shared" si="461"/>
        <v>0</v>
      </c>
      <c r="AP164" s="142"/>
      <c r="AQ164" s="33"/>
      <c r="AR164" s="33"/>
      <c r="AS164" s="33"/>
      <c r="AT164" s="102">
        <f>J164-AP164-AQ164-AR164-AS164</f>
        <v>0</v>
      </c>
      <c r="AV164" s="33"/>
      <c r="AW164" s="33"/>
      <c r="AX164" s="33"/>
      <c r="AY164" s="102">
        <f>K164-AU164-AV164-AW164-AX164</f>
        <v>0</v>
      </c>
      <c r="AZ164" s="142"/>
      <c r="BA164" s="33"/>
      <c r="BB164" s="33"/>
      <c r="BC164" s="33"/>
      <c r="BD164" s="102">
        <f>L164-AZ164-BA164-BB164-BC164</f>
        <v>0</v>
      </c>
      <c r="BE164" s="142"/>
      <c r="BF164" s="33"/>
      <c r="BG164" s="33"/>
      <c r="BH164" s="33"/>
      <c r="BI164" s="102">
        <f>M164-BE164-BF164-BG164-BH164</f>
        <v>0</v>
      </c>
      <c r="BJ164" s="142"/>
      <c r="BK164" s="33"/>
      <c r="BL164" s="33"/>
      <c r="BM164" s="33"/>
      <c r="BN164" s="102">
        <f>N164-BJ164-BK164-BL164-BM164</f>
        <v>0</v>
      </c>
      <c r="BO164" s="142"/>
      <c r="BP164" s="33"/>
      <c r="BQ164" s="33"/>
      <c r="BR164" s="33"/>
      <c r="BS164" s="102">
        <f>O164-BO164-BP164-BQ164-BR164</f>
        <v>0</v>
      </c>
      <c r="BT164" s="142"/>
      <c r="BU164" s="33"/>
      <c r="BV164" s="33"/>
      <c r="BW164" s="33"/>
      <c r="BX164" s="99">
        <f t="shared" ref="BX164" si="504">P164-BT164-BU164-BV164-BW164</f>
        <v>0</v>
      </c>
      <c r="BY164" s="2438">
        <v>1</v>
      </c>
      <c r="BZ164" s="1263">
        <f t="shared" ref="BZ164" si="505">BY164</f>
        <v>1</v>
      </c>
      <c r="CA164" s="1263">
        <f t="shared" ref="CA164" si="506">BZ164</f>
        <v>1</v>
      </c>
      <c r="CB164" s="1263">
        <f t="shared" ref="CB164" si="507">CA164</f>
        <v>1</v>
      </c>
      <c r="CC164" s="1263">
        <f t="shared" ref="CC164" si="508">CB164</f>
        <v>1</v>
      </c>
      <c r="CD164" s="1263">
        <f t="shared" ref="CD164" si="509">CC164</f>
        <v>1</v>
      </c>
      <c r="CE164" s="1263">
        <f t="shared" ref="CE164" si="510">CD164</f>
        <v>1</v>
      </c>
      <c r="CF164" s="1263">
        <f t="shared" ref="CF164" si="511">CE164</f>
        <v>1</v>
      </c>
      <c r="CG164" s="1263">
        <f t="shared" ref="CG164:CH164" si="512">CF164</f>
        <v>1</v>
      </c>
      <c r="CH164" s="1263">
        <f t="shared" si="512"/>
        <v>1</v>
      </c>
      <c r="CI164" s="1263">
        <f>CH164</f>
        <v>1</v>
      </c>
      <c r="CJ164" s="1263">
        <f>CI164</f>
        <v>1</v>
      </c>
      <c r="CK164" s="1263"/>
      <c r="CL164" s="1920">
        <f t="shared" ref="CL164:CW164" si="513">ROUND(BY164*E164,-3)</f>
        <v>159000</v>
      </c>
      <c r="CM164" s="78">
        <f t="shared" si="513"/>
        <v>164000</v>
      </c>
      <c r="CN164" s="78">
        <f t="shared" si="513"/>
        <v>0</v>
      </c>
      <c r="CO164" s="78">
        <f t="shared" si="513"/>
        <v>0</v>
      </c>
      <c r="CP164" s="78">
        <f t="shared" si="513"/>
        <v>0</v>
      </c>
      <c r="CQ164" s="78">
        <f t="shared" si="513"/>
        <v>0</v>
      </c>
      <c r="CR164" s="78">
        <f t="shared" si="513"/>
        <v>0</v>
      </c>
      <c r="CS164" s="78">
        <f t="shared" si="513"/>
        <v>0</v>
      </c>
      <c r="CT164" s="78">
        <f t="shared" si="513"/>
        <v>0</v>
      </c>
      <c r="CU164" s="78">
        <f t="shared" si="513"/>
        <v>0</v>
      </c>
      <c r="CV164" s="78">
        <f t="shared" si="513"/>
        <v>0</v>
      </c>
      <c r="CW164" s="131">
        <f t="shared" si="513"/>
        <v>0</v>
      </c>
    </row>
    <row r="165" spans="1:101" ht="13.5" thickBot="1" x14ac:dyDescent="0.25">
      <c r="A165" s="416"/>
      <c r="B165" s="2365"/>
      <c r="C165" s="2340"/>
      <c r="D165" s="2394"/>
      <c r="E165" s="166"/>
      <c r="F165" s="66"/>
      <c r="G165" s="66"/>
      <c r="H165" s="66"/>
      <c r="I165" s="330"/>
      <c r="J165" s="330"/>
      <c r="K165" s="330"/>
      <c r="L165" s="330"/>
      <c r="M165" s="66"/>
      <c r="N165" s="66"/>
      <c r="O165" s="66"/>
      <c r="P165" s="326"/>
      <c r="Q165" s="166"/>
      <c r="R165" s="66"/>
      <c r="S165" s="66"/>
      <c r="T165" s="66"/>
      <c r="U165" s="174"/>
      <c r="V165" s="217"/>
      <c r="W165" s="66"/>
      <c r="X165" s="174"/>
      <c r="Y165" s="66"/>
      <c r="Z165" s="326"/>
      <c r="AA165" s="166"/>
      <c r="AB165" s="66"/>
      <c r="AC165" s="66"/>
      <c r="AD165" s="66"/>
      <c r="AE165" s="326"/>
      <c r="AF165" s="166"/>
      <c r="AG165" s="66"/>
      <c r="AH165" s="66"/>
      <c r="AI165" s="66"/>
      <c r="AJ165" s="326"/>
      <c r="AK165" s="166"/>
      <c r="AL165" s="66"/>
      <c r="AM165" s="66"/>
      <c r="AN165" s="66"/>
      <c r="AO165" s="165"/>
      <c r="AP165" s="166"/>
      <c r="AQ165" s="66"/>
      <c r="AR165" s="66"/>
      <c r="AS165" s="66"/>
      <c r="AT165" s="326"/>
      <c r="AU165" s="174"/>
      <c r="AV165" s="66"/>
      <c r="AW165" s="66"/>
      <c r="AX165" s="66"/>
      <c r="AY165" s="326"/>
      <c r="AZ165" s="166"/>
      <c r="BA165" s="66"/>
      <c r="BB165" s="66"/>
      <c r="BC165" s="66"/>
      <c r="BD165" s="326"/>
      <c r="BE165" s="166"/>
      <c r="BF165" s="66"/>
      <c r="BG165" s="66"/>
      <c r="BH165" s="66"/>
      <c r="BI165" s="326"/>
      <c r="BJ165" s="166"/>
      <c r="BK165" s="66"/>
      <c r="BL165" s="66"/>
      <c r="BM165" s="66"/>
      <c r="BN165" s="326"/>
      <c r="BO165" s="166"/>
      <c r="BP165" s="66"/>
      <c r="BQ165" s="66"/>
      <c r="BR165" s="66"/>
      <c r="BS165" s="326"/>
      <c r="BT165" s="166"/>
      <c r="BU165" s="66"/>
      <c r="BV165" s="66"/>
      <c r="BW165" s="66"/>
      <c r="BX165" s="174"/>
      <c r="BY165" s="2437"/>
      <c r="BZ165" s="740"/>
      <c r="CA165" s="740"/>
      <c r="CB165" s="740"/>
      <c r="CC165" s="740"/>
      <c r="CD165" s="740"/>
      <c r="CE165" s="740"/>
      <c r="CF165" s="740"/>
      <c r="CG165" s="740"/>
      <c r="CH165" s="740"/>
      <c r="CI165" s="740"/>
      <c r="CJ165" s="740"/>
      <c r="CK165" s="740"/>
      <c r="CL165" s="502"/>
      <c r="CM165" s="99"/>
      <c r="CN165" s="99"/>
      <c r="CO165" s="99"/>
      <c r="CP165" s="99"/>
      <c r="CQ165" s="99"/>
      <c r="CR165" s="99"/>
      <c r="CS165" s="99"/>
      <c r="CT165" s="99"/>
      <c r="CU165" s="99"/>
      <c r="CV165" s="99"/>
      <c r="CW165" s="114"/>
    </row>
    <row r="166" spans="1:101" s="99" customFormat="1" ht="14.25" thickTop="1" thickBot="1" x14ac:dyDescent="0.25">
      <c r="A166" s="415"/>
      <c r="B166" s="2366"/>
      <c r="C166" s="2341"/>
      <c r="D166" s="2723"/>
      <c r="BY166" s="2437"/>
      <c r="BZ166" s="740"/>
      <c r="CA166" s="740"/>
      <c r="CB166" s="740"/>
      <c r="CC166" s="740"/>
      <c r="CD166" s="740"/>
      <c r="CE166" s="740"/>
      <c r="CF166" s="740"/>
      <c r="CG166" s="740"/>
      <c r="CH166" s="740"/>
      <c r="CI166" s="740"/>
      <c r="CJ166" s="740"/>
      <c r="CK166" s="740"/>
      <c r="CL166" s="502"/>
      <c r="CW166" s="114"/>
    </row>
    <row r="167" spans="1:101" s="434" customFormat="1" ht="19.5" thickTop="1" thickBot="1" x14ac:dyDescent="0.3">
      <c r="A167" s="2920" t="s">
        <v>5158</v>
      </c>
      <c r="B167" s="2921"/>
      <c r="C167" s="2921"/>
      <c r="D167" s="2921"/>
      <c r="E167" s="2921"/>
      <c r="F167" s="2921"/>
      <c r="G167" s="2921"/>
      <c r="H167" s="2921"/>
      <c r="I167" s="2921"/>
      <c r="J167" s="2921"/>
      <c r="K167" s="2921"/>
      <c r="L167" s="2921"/>
      <c r="M167" s="2921"/>
      <c r="N167" s="2921"/>
      <c r="O167" s="2921"/>
      <c r="P167" s="2921"/>
      <c r="Q167" s="2921"/>
      <c r="R167" s="2921"/>
      <c r="S167" s="2921"/>
      <c r="T167" s="2921"/>
      <c r="U167" s="2921"/>
      <c r="V167" s="2921"/>
      <c r="W167" s="2921"/>
      <c r="X167" s="2921"/>
      <c r="Y167" s="2921"/>
      <c r="Z167" s="2921"/>
      <c r="AA167" s="2921"/>
      <c r="AB167" s="2921"/>
      <c r="AC167" s="2921"/>
      <c r="AD167" s="2921"/>
      <c r="AE167" s="2921"/>
      <c r="AF167" s="2921"/>
      <c r="AG167" s="2921"/>
      <c r="AH167" s="2921"/>
      <c r="AI167" s="2921"/>
      <c r="AJ167" s="2921"/>
      <c r="AK167" s="2921"/>
      <c r="AL167" s="2921"/>
      <c r="AM167" s="2921"/>
      <c r="AN167" s="2921"/>
      <c r="AO167" s="2922"/>
      <c r="AP167" s="559"/>
      <c r="AQ167" s="559"/>
      <c r="AR167" s="559"/>
      <c r="AS167" s="559"/>
      <c r="AT167" s="559"/>
      <c r="AU167" s="559"/>
      <c r="AV167" s="559"/>
      <c r="AW167" s="559"/>
      <c r="AX167" s="559"/>
      <c r="AY167" s="895"/>
      <c r="AZ167" s="559"/>
      <c r="BA167" s="559"/>
      <c r="BB167" s="559"/>
      <c r="BC167" s="559"/>
      <c r="BD167" s="895"/>
      <c r="BE167" s="559"/>
      <c r="BF167" s="559"/>
      <c r="BG167" s="559"/>
      <c r="BH167" s="559"/>
      <c r="BI167" s="895"/>
      <c r="BJ167" s="559"/>
      <c r="BK167" s="559"/>
      <c r="BL167" s="559"/>
      <c r="BM167" s="559"/>
      <c r="BN167" s="895"/>
      <c r="BO167" s="559"/>
      <c r="BP167" s="559"/>
      <c r="BQ167" s="559"/>
      <c r="BR167" s="559"/>
      <c r="BS167" s="559"/>
      <c r="BT167" s="559"/>
      <c r="BU167" s="559"/>
      <c r="BV167" s="559"/>
      <c r="BW167" s="559"/>
      <c r="BX167" s="559"/>
      <c r="BY167" s="2437"/>
      <c r="BZ167" s="740"/>
      <c r="CA167" s="1916"/>
      <c r="CB167" s="1916"/>
      <c r="CC167" s="1916"/>
      <c r="CD167" s="1916"/>
      <c r="CE167" s="1916"/>
      <c r="CF167" s="1916"/>
      <c r="CG167" s="1916"/>
      <c r="CH167" s="1916"/>
      <c r="CI167" s="1916"/>
      <c r="CJ167" s="1916"/>
      <c r="CK167" s="1916"/>
      <c r="CL167" s="875"/>
      <c r="CM167" s="876"/>
      <c r="CN167" s="876"/>
      <c r="CO167" s="876"/>
      <c r="CP167" s="876"/>
      <c r="CQ167" s="876"/>
      <c r="CR167" s="876"/>
      <c r="CS167" s="876"/>
      <c r="CT167" s="876"/>
      <c r="CU167" s="876"/>
      <c r="CV167" s="876"/>
      <c r="CW167" s="1587"/>
    </row>
    <row r="168" spans="1:101" ht="13.5" thickBot="1" x14ac:dyDescent="0.25">
      <c r="A168" s="407"/>
      <c r="B168" s="2350"/>
      <c r="C168" s="2325"/>
      <c r="D168" s="2386"/>
      <c r="E168" s="2917" t="str">
        <f t="shared" ref="E168:V168" si="514">E86</f>
        <v>Expenditue Year</v>
      </c>
      <c r="F168" s="2918">
        <f t="shared" si="514"/>
        <v>0</v>
      </c>
      <c r="G168" s="2918">
        <f t="shared" si="514"/>
        <v>0</v>
      </c>
      <c r="H168" s="2918">
        <f t="shared" si="514"/>
        <v>0</v>
      </c>
      <c r="I168" s="2918">
        <f t="shared" si="514"/>
        <v>0</v>
      </c>
      <c r="J168" s="2918">
        <f t="shared" si="514"/>
        <v>0</v>
      </c>
      <c r="K168" s="2918">
        <f t="shared" si="514"/>
        <v>0</v>
      </c>
      <c r="L168" s="2918">
        <f t="shared" si="514"/>
        <v>0</v>
      </c>
      <c r="M168" s="2918">
        <f t="shared" si="514"/>
        <v>0</v>
      </c>
      <c r="N168" s="2918">
        <f t="shared" si="514"/>
        <v>0</v>
      </c>
      <c r="O168" s="2918">
        <f t="shared" si="514"/>
        <v>0</v>
      </c>
      <c r="P168" s="2919">
        <f t="shared" si="514"/>
        <v>0</v>
      </c>
      <c r="Q168" s="214" t="str">
        <f t="shared" si="514"/>
        <v>Funding Sources</v>
      </c>
      <c r="R168" s="214">
        <f t="shared" si="514"/>
        <v>0</v>
      </c>
      <c r="S168" s="214">
        <f t="shared" si="514"/>
        <v>0</v>
      </c>
      <c r="T168" s="214" t="str">
        <f t="shared" si="514"/>
        <v>2015/16</v>
      </c>
      <c r="U168" s="426">
        <f t="shared" si="514"/>
        <v>0</v>
      </c>
      <c r="V168" s="2642" t="str">
        <f t="shared" si="514"/>
        <v>Funding Sources</v>
      </c>
      <c r="W168" s="214"/>
      <c r="X168" s="214"/>
      <c r="Y168" s="214" t="str">
        <f>Y86</f>
        <v>2016/17</v>
      </c>
      <c r="Z168" s="426"/>
      <c r="AA168" s="214" t="str">
        <f>AA86</f>
        <v>Funding Sources</v>
      </c>
      <c r="AB168" s="214"/>
      <c r="AC168" s="214"/>
      <c r="AD168" s="214" t="str">
        <f>AD86</f>
        <v>2017/18</v>
      </c>
      <c r="AE168" s="426"/>
      <c r="AF168" s="214" t="str">
        <f>AF86</f>
        <v>Funding Sources</v>
      </c>
      <c r="AG168" s="214"/>
      <c r="AH168" s="214"/>
      <c r="AI168" s="214" t="str">
        <f>AI86</f>
        <v>2018/19</v>
      </c>
      <c r="AJ168" s="426"/>
      <c r="AK168" s="214" t="str">
        <f>AK86</f>
        <v>Funding Sources</v>
      </c>
      <c r="AL168" s="214"/>
      <c r="AM168" s="214"/>
      <c r="AN168" s="214" t="str">
        <f>AN86</f>
        <v>2019/20</v>
      </c>
      <c r="AO168" s="427"/>
      <c r="AP168" s="214" t="str">
        <f>AP86</f>
        <v>Funding Sources</v>
      </c>
      <c r="AQ168" s="214"/>
      <c r="AR168" s="214"/>
      <c r="AS168" s="214" t="str">
        <f>AS86</f>
        <v>2020/21</v>
      </c>
      <c r="AT168" s="426"/>
      <c r="AU168" s="214" t="str">
        <f>AU86</f>
        <v>Funding Sources</v>
      </c>
      <c r="AV168" s="214"/>
      <c r="AW168" s="214"/>
      <c r="AX168" s="214" t="str">
        <f>AX86</f>
        <v>2021/22</v>
      </c>
      <c r="AY168" s="426"/>
      <c r="AZ168" s="214" t="str">
        <f>AZ86</f>
        <v>Funding Sources</v>
      </c>
      <c r="BA168" s="214"/>
      <c r="BB168" s="214"/>
      <c r="BC168" s="214" t="str">
        <f>BC86</f>
        <v>2022/23</v>
      </c>
      <c r="BD168" s="426"/>
      <c r="BE168" s="214" t="str">
        <f>BE86</f>
        <v>Funding Sources</v>
      </c>
      <c r="BF168" s="214"/>
      <c r="BG168" s="214"/>
      <c r="BH168" s="214" t="str">
        <f>BH86</f>
        <v>2023/24</v>
      </c>
      <c r="BI168" s="426"/>
      <c r="BJ168" s="214" t="str">
        <f>BJ86</f>
        <v>Funding Sources</v>
      </c>
      <c r="BK168" s="214"/>
      <c r="BL168" s="214"/>
      <c r="BM168" s="214" t="str">
        <f>BM86</f>
        <v>2024/25</v>
      </c>
      <c r="BN168" s="426"/>
      <c r="BO168" s="214" t="str">
        <f>BO86</f>
        <v>Funding Sources</v>
      </c>
      <c r="BP168" s="214"/>
      <c r="BQ168" s="214"/>
      <c r="BR168" s="214" t="str">
        <f>BR86</f>
        <v>2025/26</v>
      </c>
      <c r="BS168" s="426"/>
      <c r="BT168" s="214" t="str">
        <f>BT86</f>
        <v>Funding Sources</v>
      </c>
      <c r="BU168" s="214"/>
      <c r="BV168" s="214"/>
      <c r="BW168" s="214" t="str">
        <f>BW86</f>
        <v>2026/27</v>
      </c>
      <c r="BX168" s="214"/>
      <c r="BY168" s="2437"/>
      <c r="BZ168" s="740"/>
      <c r="CA168" s="740"/>
      <c r="CB168" s="740"/>
      <c r="CC168" s="740"/>
      <c r="CD168" s="740"/>
      <c r="CE168" s="740"/>
      <c r="CF168" s="740"/>
      <c r="CG168" s="740"/>
      <c r="CH168" s="740"/>
      <c r="CI168" s="740"/>
      <c r="CJ168" s="740"/>
      <c r="CK168" s="740"/>
      <c r="CL168" s="502"/>
      <c r="CM168" s="99"/>
      <c r="CN168" s="99"/>
      <c r="CO168" s="99"/>
      <c r="CP168" s="99"/>
      <c r="CQ168" s="99"/>
      <c r="CR168" s="99"/>
      <c r="CS168" s="99"/>
      <c r="CT168" s="99"/>
      <c r="CU168" s="99"/>
      <c r="CV168" s="99"/>
      <c r="CW168" s="114"/>
    </row>
    <row r="169" spans="1:101" s="99" customFormat="1" ht="26.25" thickBot="1" x14ac:dyDescent="0.25">
      <c r="A169" s="408" t="s">
        <v>1209</v>
      </c>
      <c r="B169" s="2367"/>
      <c r="C169" s="2342"/>
      <c r="D169" s="2395"/>
      <c r="E169" s="2721" t="str">
        <f t="shared" ref="E169:V169" si="515">E87</f>
        <v>2015/16</v>
      </c>
      <c r="F169" s="428" t="str">
        <f t="shared" si="515"/>
        <v>2016/17</v>
      </c>
      <c r="G169" s="428" t="str">
        <f t="shared" si="515"/>
        <v>2017/18</v>
      </c>
      <c r="H169" s="428" t="str">
        <f t="shared" si="515"/>
        <v>2018/19</v>
      </c>
      <c r="I169" s="428" t="str">
        <f t="shared" si="515"/>
        <v>2019/20</v>
      </c>
      <c r="J169" s="2797" t="str">
        <f t="shared" si="515"/>
        <v>2020/21</v>
      </c>
      <c r="K169" s="425" t="str">
        <f t="shared" si="515"/>
        <v>2021/22</v>
      </c>
      <c r="L169" s="425" t="str">
        <f t="shared" si="515"/>
        <v>2022/23</v>
      </c>
      <c r="M169" s="428" t="str">
        <f t="shared" si="515"/>
        <v>2023/24</v>
      </c>
      <c r="N169" s="428" t="str">
        <f t="shared" si="515"/>
        <v>2024/25</v>
      </c>
      <c r="O169" s="428" t="str">
        <f t="shared" si="515"/>
        <v>2025/26</v>
      </c>
      <c r="P169" s="2798" t="str">
        <f t="shared" si="515"/>
        <v>2026/27</v>
      </c>
      <c r="Q169" s="430" t="str">
        <f t="shared" si="515"/>
        <v>Grants / Conts</v>
      </c>
      <c r="R169" s="430" t="str">
        <f t="shared" si="515"/>
        <v>Sec 94</v>
      </c>
      <c r="S169" s="430" t="str">
        <f t="shared" si="515"/>
        <v>Loans</v>
      </c>
      <c r="T169" s="430" t="str">
        <f t="shared" si="515"/>
        <v>Reserves</v>
      </c>
      <c r="U169" s="433" t="str">
        <f t="shared" si="515"/>
        <v>General Revenue</v>
      </c>
      <c r="V169" s="2802" t="str">
        <f t="shared" si="515"/>
        <v>Grants / Conts</v>
      </c>
      <c r="W169" s="556" t="str">
        <f>W87</f>
        <v>Sec 94</v>
      </c>
      <c r="X169" s="430" t="str">
        <f>X87</f>
        <v>Loans</v>
      </c>
      <c r="Y169" s="430" t="str">
        <f>Y87</f>
        <v>Reserves</v>
      </c>
      <c r="Z169" s="433" t="str">
        <f>Z87</f>
        <v>General Revenue</v>
      </c>
      <c r="AA169" s="430" t="str">
        <f>AA87</f>
        <v>Grants / Conts</v>
      </c>
      <c r="AB169" s="430" t="str">
        <f>AB87</f>
        <v>Sec 94</v>
      </c>
      <c r="AC169" s="430" t="str">
        <f>AC87</f>
        <v>Loans</v>
      </c>
      <c r="AD169" s="430" t="str">
        <f>AD87</f>
        <v>Reserves</v>
      </c>
      <c r="AE169" s="433" t="str">
        <f>AE87</f>
        <v>General Revenue</v>
      </c>
      <c r="AF169" s="430" t="str">
        <f>AF87</f>
        <v>Grants / Conts</v>
      </c>
      <c r="AG169" s="430" t="str">
        <f>AG87</f>
        <v>Sec 94</v>
      </c>
      <c r="AH169" s="430" t="str">
        <f>AH87</f>
        <v>Loans</v>
      </c>
      <c r="AI169" s="430" t="str">
        <f>AI87</f>
        <v>Reserves</v>
      </c>
      <c r="AJ169" s="433" t="str">
        <f>AJ87</f>
        <v>General Revenue</v>
      </c>
      <c r="AK169" s="430" t="str">
        <f>AK87</f>
        <v>Grants / Conts</v>
      </c>
      <c r="AL169" s="430" t="str">
        <f>AL87</f>
        <v>Sec 94</v>
      </c>
      <c r="AM169" s="430" t="str">
        <f>AM87</f>
        <v>Loans</v>
      </c>
      <c r="AN169" s="430" t="str">
        <f>AN87</f>
        <v>Reserves</v>
      </c>
      <c r="AO169" s="432" t="str">
        <f>AO87</f>
        <v>General Revenue</v>
      </c>
      <c r="AP169" s="430" t="str">
        <f>AP87</f>
        <v>Grants / Conts</v>
      </c>
      <c r="AQ169" s="430" t="str">
        <f>AQ87</f>
        <v>Sec 94</v>
      </c>
      <c r="AR169" s="430" t="str">
        <f>AR87</f>
        <v>Loans</v>
      </c>
      <c r="AS169" s="430" t="str">
        <f>AS87</f>
        <v>Reserves</v>
      </c>
      <c r="AT169" s="433" t="str">
        <f>AT87</f>
        <v>General Revenue</v>
      </c>
      <c r="AU169" s="431" t="str">
        <f>AU87</f>
        <v>Grants / Conts</v>
      </c>
      <c r="AV169" s="430" t="str">
        <f>AV87</f>
        <v>Sec 94</v>
      </c>
      <c r="AW169" s="430" t="str">
        <f>AW87</f>
        <v>Loans</v>
      </c>
      <c r="AX169" s="430" t="str">
        <f>AX87</f>
        <v>Reserves</v>
      </c>
      <c r="AY169" s="433" t="str">
        <f>AY87</f>
        <v>General Revenue</v>
      </c>
      <c r="AZ169" s="430" t="str">
        <f>AZ87</f>
        <v>Grants / Conts</v>
      </c>
      <c r="BA169" s="430" t="str">
        <f>BA87</f>
        <v>Sec 94</v>
      </c>
      <c r="BB169" s="430" t="str">
        <f>BB87</f>
        <v>Loans</v>
      </c>
      <c r="BC169" s="430" t="str">
        <f>BC87</f>
        <v>Reserves</v>
      </c>
      <c r="BD169" s="433" t="str">
        <f>BD87</f>
        <v>General Revenue</v>
      </c>
      <c r="BE169" s="430" t="str">
        <f>BE87</f>
        <v>Grants / Conts</v>
      </c>
      <c r="BF169" s="430" t="str">
        <f>BF87</f>
        <v>Sec 94</v>
      </c>
      <c r="BG169" s="430" t="str">
        <f>BG87</f>
        <v>Loans</v>
      </c>
      <c r="BH169" s="430" t="str">
        <f>BH87</f>
        <v>Reserves</v>
      </c>
      <c r="BI169" s="433" t="str">
        <f>BI87</f>
        <v>General Revenue</v>
      </c>
      <c r="BJ169" s="430" t="str">
        <f>BJ87</f>
        <v>Grants / Conts</v>
      </c>
      <c r="BK169" s="430" t="str">
        <f>BK87</f>
        <v>Sec 94</v>
      </c>
      <c r="BL169" s="430" t="str">
        <f>BL87</f>
        <v>Loans</v>
      </c>
      <c r="BM169" s="430" t="str">
        <f>BM87</f>
        <v>Reserves</v>
      </c>
      <c r="BN169" s="433" t="str">
        <f>BN87</f>
        <v>General Revenue</v>
      </c>
      <c r="BO169" s="430" t="str">
        <f>BO87</f>
        <v>Grants / Conts</v>
      </c>
      <c r="BP169" s="430" t="str">
        <f>BP87</f>
        <v>Sec 94</v>
      </c>
      <c r="BQ169" s="430" t="str">
        <f>BQ87</f>
        <v>Loans</v>
      </c>
      <c r="BR169" s="430" t="str">
        <f>BR87</f>
        <v>Reserves</v>
      </c>
      <c r="BS169" s="433" t="str">
        <f>BS87</f>
        <v>General Revenue</v>
      </c>
      <c r="BT169" s="430" t="str">
        <f>BT87</f>
        <v>Grants / Conts</v>
      </c>
      <c r="BU169" s="430" t="str">
        <f>BU87</f>
        <v>Sec 94</v>
      </c>
      <c r="BV169" s="430" t="str">
        <f>BV87</f>
        <v>Loans</v>
      </c>
      <c r="BW169" s="430" t="str">
        <f>BW87</f>
        <v>Reserves</v>
      </c>
      <c r="BX169" s="1914" t="str">
        <f>BX87</f>
        <v>General Revenue</v>
      </c>
      <c r="BY169" s="2437"/>
      <c r="BZ169" s="740"/>
      <c r="CA169" s="740"/>
      <c r="CB169" s="740"/>
      <c r="CC169" s="740"/>
      <c r="CD169" s="740"/>
      <c r="CE169" s="740"/>
      <c r="CF169" s="740"/>
      <c r="CG169" s="740"/>
      <c r="CH169" s="740"/>
      <c r="CI169" s="740"/>
      <c r="CJ169" s="740"/>
      <c r="CK169" s="740"/>
      <c r="CL169" s="502"/>
      <c r="CW169" s="114"/>
    </row>
    <row r="170" spans="1:101" x14ac:dyDescent="0.2">
      <c r="A170" s="412"/>
      <c r="B170" s="2361"/>
      <c r="C170" s="2336"/>
      <c r="D170" s="2390"/>
      <c r="E170" s="186"/>
      <c r="F170" s="33"/>
      <c r="G170" s="33"/>
      <c r="H170" s="33"/>
      <c r="I170" s="169"/>
      <c r="J170" s="99"/>
      <c r="K170" s="76"/>
      <c r="L170" s="76"/>
      <c r="M170" s="33"/>
      <c r="N170" s="33"/>
      <c r="O170" s="33"/>
      <c r="P170" s="102"/>
      <c r="Q170" s="142"/>
      <c r="R170" s="33"/>
      <c r="S170" s="33"/>
      <c r="T170" s="33"/>
      <c r="U170" s="102"/>
      <c r="V170" s="186"/>
      <c r="W170" s="33"/>
      <c r="X170" s="99"/>
      <c r="Y170" s="33"/>
      <c r="Z170" s="102"/>
      <c r="AA170" s="142"/>
      <c r="AB170" s="33"/>
      <c r="AC170" s="33"/>
      <c r="AD170" s="33"/>
      <c r="AE170" s="102"/>
      <c r="AF170" s="142"/>
      <c r="AG170" s="33"/>
      <c r="AH170" s="33"/>
      <c r="AI170" s="33"/>
      <c r="AJ170" s="102"/>
      <c r="AK170" s="142"/>
      <c r="AL170" s="33"/>
      <c r="AM170" s="33"/>
      <c r="AN170" s="33"/>
      <c r="AO170" s="114"/>
      <c r="AP170" s="142"/>
      <c r="AQ170" s="33"/>
      <c r="AR170" s="33"/>
      <c r="AS170" s="33"/>
      <c r="AT170" s="102"/>
      <c r="AV170" s="33"/>
      <c r="AW170" s="33"/>
      <c r="AX170" s="33"/>
      <c r="AY170" s="102"/>
      <c r="AZ170" s="142"/>
      <c r="BA170" s="33"/>
      <c r="BB170" s="33"/>
      <c r="BC170" s="33"/>
      <c r="BD170" s="102"/>
      <c r="BE170" s="142"/>
      <c r="BF170" s="33"/>
      <c r="BG170" s="33"/>
      <c r="BH170" s="33"/>
      <c r="BI170" s="102"/>
      <c r="BJ170" s="142"/>
      <c r="BK170" s="33"/>
      <c r="BL170" s="33"/>
      <c r="BM170" s="33"/>
      <c r="BN170" s="102"/>
      <c r="BO170" s="142"/>
      <c r="BP170" s="33"/>
      <c r="BQ170" s="33"/>
      <c r="BR170" s="33"/>
      <c r="BS170" s="102"/>
      <c r="BT170" s="142"/>
      <c r="BU170" s="33"/>
      <c r="BV170" s="33"/>
      <c r="BW170" s="33"/>
      <c r="BY170" s="2437"/>
      <c r="BZ170" s="740"/>
      <c r="CA170" s="740"/>
      <c r="CB170" s="740"/>
      <c r="CC170" s="740"/>
      <c r="CD170" s="740"/>
      <c r="CE170" s="740"/>
      <c r="CF170" s="740"/>
      <c r="CG170" s="740"/>
      <c r="CH170" s="740"/>
      <c r="CI170" s="740"/>
      <c r="CJ170" s="740"/>
      <c r="CK170" s="740"/>
      <c r="CL170" s="502"/>
      <c r="CM170" s="99"/>
      <c r="CN170" s="99"/>
      <c r="CO170" s="99"/>
      <c r="CP170" s="99"/>
      <c r="CQ170" s="99"/>
      <c r="CR170" s="99"/>
      <c r="CS170" s="99"/>
      <c r="CT170" s="99"/>
      <c r="CU170" s="99"/>
      <c r="CV170" s="99"/>
      <c r="CW170" s="114"/>
    </row>
    <row r="171" spans="1:101" x14ac:dyDescent="0.2">
      <c r="A171" s="412" t="s">
        <v>4840</v>
      </c>
      <c r="B171" s="2361"/>
      <c r="C171" s="2336"/>
      <c r="D171" s="2390"/>
      <c r="E171" s="186"/>
      <c r="F171" s="33"/>
      <c r="G171" s="33"/>
      <c r="H171" s="33"/>
      <c r="I171" s="33"/>
      <c r="J171" s="33"/>
      <c r="K171" s="33"/>
      <c r="L171" s="99"/>
      <c r="M171" s="33"/>
      <c r="N171" s="33"/>
      <c r="O171" s="33"/>
      <c r="P171" s="102"/>
      <c r="Q171" s="142"/>
      <c r="R171" s="33"/>
      <c r="S171" s="33"/>
      <c r="T171" s="33"/>
      <c r="U171" s="102"/>
      <c r="V171" s="186"/>
      <c r="W171" s="33"/>
      <c r="X171" s="99"/>
      <c r="Y171" s="33"/>
      <c r="Z171" s="102"/>
      <c r="AA171" s="142"/>
      <c r="AB171" s="33"/>
      <c r="AC171" s="33"/>
      <c r="AD171" s="33"/>
      <c r="AE171" s="102"/>
      <c r="AF171" s="142"/>
      <c r="AG171" s="33"/>
      <c r="AH171" s="33"/>
      <c r="AI171" s="33"/>
      <c r="AJ171" s="102"/>
      <c r="AK171" s="142"/>
      <c r="AL171" s="33"/>
      <c r="AM171" s="33"/>
      <c r="AN171" s="33"/>
      <c r="AO171" s="114"/>
      <c r="AP171" s="142"/>
      <c r="AQ171" s="33"/>
      <c r="AR171" s="33"/>
      <c r="AS171" s="33"/>
      <c r="AT171" s="102"/>
      <c r="AV171" s="33"/>
      <c r="AW171" s="33"/>
      <c r="AX171" s="33"/>
      <c r="AY171" s="102"/>
      <c r="AZ171" s="142"/>
      <c r="BA171" s="33"/>
      <c r="BB171" s="33"/>
      <c r="BC171" s="33"/>
      <c r="BD171" s="102"/>
      <c r="BE171" s="142"/>
      <c r="BF171" s="33"/>
      <c r="BG171" s="33"/>
      <c r="BH171" s="33"/>
      <c r="BI171" s="102"/>
      <c r="BJ171" s="142"/>
      <c r="BK171" s="33"/>
      <c r="BL171" s="33"/>
      <c r="BM171" s="33"/>
      <c r="BN171" s="102"/>
      <c r="BO171" s="142"/>
      <c r="BP171" s="33"/>
      <c r="BQ171" s="33"/>
      <c r="BR171" s="33"/>
      <c r="BS171" s="102"/>
      <c r="BT171" s="142"/>
      <c r="BU171" s="33"/>
      <c r="BV171" s="33"/>
      <c r="BW171" s="33"/>
      <c r="BY171" s="2437"/>
      <c r="BZ171" s="740"/>
      <c r="CA171" s="740"/>
      <c r="CB171" s="740"/>
      <c r="CC171" s="740"/>
      <c r="CD171" s="740"/>
      <c r="CE171" s="740"/>
      <c r="CF171" s="740"/>
      <c r="CG171" s="740"/>
      <c r="CH171" s="740"/>
      <c r="CI171" s="740"/>
      <c r="CJ171" s="740"/>
      <c r="CK171" s="740"/>
      <c r="CL171" s="502"/>
      <c r="CM171" s="99"/>
      <c r="CN171" s="99"/>
      <c r="CO171" s="99"/>
      <c r="CP171" s="99"/>
      <c r="CQ171" s="99"/>
      <c r="CR171" s="99"/>
      <c r="CS171" s="99"/>
      <c r="CT171" s="99"/>
      <c r="CU171" s="99"/>
      <c r="CV171" s="99"/>
      <c r="CW171" s="114"/>
    </row>
    <row r="172" spans="1:101" x14ac:dyDescent="0.2">
      <c r="A172" s="413"/>
      <c r="B172" s="2208"/>
      <c r="C172" s="2334"/>
      <c r="D172" s="2330"/>
      <c r="E172" s="186"/>
      <c r="F172" s="33"/>
      <c r="G172" s="33"/>
      <c r="H172" s="33"/>
      <c r="I172" s="76"/>
      <c r="J172" s="76"/>
      <c r="K172" s="76"/>
      <c r="L172" s="33"/>
      <c r="M172" s="142"/>
      <c r="N172" s="33"/>
      <c r="O172" s="33"/>
      <c r="P172" s="102"/>
      <c r="Q172" s="142"/>
      <c r="R172" s="33"/>
      <c r="S172" s="33"/>
      <c r="T172" s="33"/>
      <c r="U172" s="102"/>
      <c r="V172" s="186"/>
      <c r="W172" s="33"/>
      <c r="X172" s="99"/>
      <c r="Y172" s="33"/>
      <c r="Z172" s="102">
        <f>F172-V172-W172-X172-Y172</f>
        <v>0</v>
      </c>
      <c r="AA172" s="142"/>
      <c r="AB172" s="33"/>
      <c r="AC172" s="33"/>
      <c r="AD172" s="33"/>
      <c r="AE172" s="102"/>
      <c r="AF172" s="142"/>
      <c r="AG172" s="33"/>
      <c r="AH172" s="33"/>
      <c r="AI172" s="33"/>
      <c r="AJ172" s="102"/>
      <c r="AK172" s="142"/>
      <c r="AL172" s="33"/>
      <c r="AM172" s="33"/>
      <c r="AN172" s="33"/>
      <c r="AO172" s="114"/>
      <c r="AP172" s="142"/>
      <c r="AQ172" s="33"/>
      <c r="AR172" s="33"/>
      <c r="AS172" s="33"/>
      <c r="AT172" s="102"/>
      <c r="AV172" s="33"/>
      <c r="AW172" s="33"/>
      <c r="AX172" s="33"/>
      <c r="AY172" s="102"/>
      <c r="AZ172" s="142"/>
      <c r="BA172" s="33"/>
      <c r="BB172" s="33"/>
      <c r="BC172" s="33"/>
      <c r="BD172" s="102"/>
      <c r="BE172" s="142"/>
      <c r="BF172" s="33"/>
      <c r="BG172" s="33"/>
      <c r="BH172" s="33"/>
      <c r="BI172" s="102"/>
      <c r="BJ172" s="142"/>
      <c r="BK172" s="33"/>
      <c r="BL172" s="33"/>
      <c r="BM172" s="33"/>
      <c r="BN172" s="102"/>
      <c r="BO172" s="142"/>
      <c r="BP172" s="33"/>
      <c r="BQ172" s="33"/>
      <c r="BR172" s="33"/>
      <c r="BS172" s="102"/>
      <c r="BT172" s="142"/>
      <c r="BU172" s="33"/>
      <c r="BV172" s="33"/>
      <c r="BW172" s="33"/>
      <c r="BY172" s="2438"/>
      <c r="BZ172" s="1263"/>
      <c r="CA172" s="1263"/>
      <c r="CB172" s="1263"/>
      <c r="CC172" s="1263"/>
      <c r="CD172" s="1263"/>
      <c r="CE172" s="1263"/>
      <c r="CF172" s="1263"/>
      <c r="CG172" s="1263"/>
      <c r="CH172" s="1263"/>
      <c r="CI172" s="1263"/>
      <c r="CJ172" s="1263"/>
      <c r="CK172" s="1263"/>
      <c r="CL172" s="502"/>
      <c r="CM172" s="99"/>
      <c r="CN172" s="99"/>
      <c r="CO172" s="99"/>
      <c r="CP172" s="99"/>
      <c r="CQ172" s="99"/>
      <c r="CR172" s="99"/>
      <c r="CS172" s="99"/>
      <c r="CT172" s="99"/>
      <c r="CU172" s="99"/>
      <c r="CV172" s="99"/>
      <c r="CW172" s="114"/>
    </row>
    <row r="173" spans="1:101" x14ac:dyDescent="0.2">
      <c r="A173" s="590" t="s">
        <v>5633</v>
      </c>
      <c r="B173" s="2360"/>
      <c r="C173" s="2335"/>
      <c r="D173" s="2330"/>
      <c r="E173" s="186"/>
      <c r="F173" s="33"/>
      <c r="G173" s="33"/>
      <c r="H173" s="33"/>
      <c r="I173" s="76"/>
      <c r="J173" s="76"/>
      <c r="K173" s="76"/>
      <c r="L173" s="33"/>
      <c r="M173" s="142"/>
      <c r="N173" s="33"/>
      <c r="O173" s="33"/>
      <c r="P173" s="102"/>
      <c r="Q173" s="142"/>
      <c r="R173" s="33"/>
      <c r="S173" s="33"/>
      <c r="T173" s="33"/>
      <c r="U173" s="102"/>
      <c r="V173" s="186"/>
      <c r="W173" s="33"/>
      <c r="X173" s="99"/>
      <c r="Y173" s="33"/>
      <c r="Z173" s="102"/>
      <c r="AA173" s="142"/>
      <c r="AB173" s="33"/>
      <c r="AC173" s="33"/>
      <c r="AD173" s="33"/>
      <c r="AE173" s="102"/>
      <c r="AF173" s="142"/>
      <c r="AG173" s="33"/>
      <c r="AH173" s="33"/>
      <c r="AI173" s="33"/>
      <c r="AJ173" s="102"/>
      <c r="AK173" s="142"/>
      <c r="AL173" s="33"/>
      <c r="AM173" s="33"/>
      <c r="AN173" s="33"/>
      <c r="AO173" s="114"/>
      <c r="AP173" s="142"/>
      <c r="AQ173" s="33"/>
      <c r="AR173" s="33"/>
      <c r="AS173" s="33"/>
      <c r="AT173" s="102"/>
      <c r="AV173" s="33"/>
      <c r="AW173" s="33"/>
      <c r="AX173" s="33"/>
      <c r="AY173" s="102"/>
      <c r="AZ173" s="142"/>
      <c r="BA173" s="33"/>
      <c r="BB173" s="33"/>
      <c r="BC173" s="33"/>
      <c r="BD173" s="102"/>
      <c r="BE173" s="142"/>
      <c r="BF173" s="33"/>
      <c r="BG173" s="33"/>
      <c r="BH173" s="33"/>
      <c r="BI173" s="102"/>
      <c r="BJ173" s="142"/>
      <c r="BK173" s="33"/>
      <c r="BL173" s="33"/>
      <c r="BM173" s="33"/>
      <c r="BN173" s="102"/>
      <c r="BO173" s="142"/>
      <c r="BP173" s="33"/>
      <c r="BQ173" s="33"/>
      <c r="BR173" s="33"/>
      <c r="BS173" s="102"/>
      <c r="BT173" s="142"/>
      <c r="BU173" s="33"/>
      <c r="BV173" s="33"/>
      <c r="BW173" s="33"/>
      <c r="BY173" s="2437"/>
      <c r="BZ173" s="740"/>
      <c r="CA173" s="740"/>
      <c r="CB173" s="740"/>
      <c r="CC173" s="740"/>
      <c r="CD173" s="740"/>
      <c r="CE173" s="740"/>
      <c r="CF173" s="740"/>
      <c r="CG173" s="740"/>
      <c r="CH173" s="740"/>
      <c r="CI173" s="740"/>
      <c r="CJ173" s="740"/>
      <c r="CK173" s="740"/>
      <c r="CL173" s="502"/>
      <c r="CM173" s="99"/>
      <c r="CN173" s="99"/>
      <c r="CO173" s="99"/>
      <c r="CP173" s="99"/>
      <c r="CQ173" s="99"/>
      <c r="CR173" s="99"/>
      <c r="CS173" s="99"/>
      <c r="CT173" s="99"/>
      <c r="CU173" s="99"/>
      <c r="CV173" s="99"/>
      <c r="CW173" s="114"/>
    </row>
    <row r="174" spans="1:101" x14ac:dyDescent="0.2">
      <c r="A174" s="869" t="s">
        <v>6089</v>
      </c>
      <c r="B174" s="2368" t="s">
        <v>1447</v>
      </c>
      <c r="C174" s="2332" t="s">
        <v>5076</v>
      </c>
      <c r="D174" s="2330" t="s">
        <v>1447</v>
      </c>
      <c r="E174" s="502">
        <v>15200</v>
      </c>
      <c r="F174" s="76">
        <v>24000</v>
      </c>
      <c r="G174" s="33">
        <f>ROUND((F174*Assumptions!H$6+F174),-3)</f>
        <v>25000</v>
      </c>
      <c r="H174" s="33">
        <f>ROUND((G174*Assumptions!I$6+G174),-3)</f>
        <v>26000</v>
      </c>
      <c r="I174" s="76">
        <f>ROUND((H174*Assumptions!J$6+H174),-3)</f>
        <v>27000</v>
      </c>
      <c r="J174" s="76">
        <f>ROUND((I174*Assumptions!K$6+I174),-3)</f>
        <v>28000</v>
      </c>
      <c r="K174" s="33">
        <f>ROUND((J174*Assumptions!L$6+J174),-3)</f>
        <v>29000</v>
      </c>
      <c r="L174" s="33">
        <f>ROUND((K174*Assumptions!M$6+K174),-3)</f>
        <v>30000</v>
      </c>
      <c r="M174" s="142">
        <f>ROUND((L174*Assumptions!N$6+L174),-3)</f>
        <v>31000</v>
      </c>
      <c r="N174" s="33">
        <f>ROUND((M174*Assumptions!O$6+M174),-3)</f>
        <v>32000</v>
      </c>
      <c r="O174" s="33">
        <f>ROUND((N174*Assumptions!P$6+N174),-3)</f>
        <v>33000</v>
      </c>
      <c r="P174" s="102">
        <f>ROUND((O174*Assumptions!Q$6+O174),-3)</f>
        <v>34000</v>
      </c>
      <c r="Q174" s="142"/>
      <c r="R174" s="33"/>
      <c r="S174" s="33"/>
      <c r="T174" s="33"/>
      <c r="U174" s="102">
        <f t="shared" ref="U174:U183" si="516">E174-Q174-R174-S174-T174</f>
        <v>15200</v>
      </c>
      <c r="V174" s="186"/>
      <c r="W174" s="33"/>
      <c r="X174" s="99"/>
      <c r="Y174" s="33"/>
      <c r="Z174" s="102">
        <f t="shared" ref="Z174:Z183" si="517">F174-V174-W174-X174-Y174</f>
        <v>24000</v>
      </c>
      <c r="AA174" s="142"/>
      <c r="AB174" s="33"/>
      <c r="AC174" s="33"/>
      <c r="AD174" s="33"/>
      <c r="AE174" s="102">
        <f t="shared" ref="AE174:AE183" si="518">G174-AA174-AB174-AC174-AD174</f>
        <v>25000</v>
      </c>
      <c r="AF174" s="142"/>
      <c r="AG174" s="33"/>
      <c r="AH174" s="33"/>
      <c r="AI174" s="33"/>
      <c r="AJ174" s="102">
        <f t="shared" ref="AJ174:AJ183" si="519">H174-AF174-AG174-AH174-AI174</f>
        <v>26000</v>
      </c>
      <c r="AK174" s="142"/>
      <c r="AL174" s="33"/>
      <c r="AM174" s="33"/>
      <c r="AN174" s="33"/>
      <c r="AO174" s="114">
        <f t="shared" ref="AO174:AO183" si="520">I174-AK174-AL174-AM174-AN174</f>
        <v>27000</v>
      </c>
      <c r="AP174" s="142"/>
      <c r="AQ174" s="33"/>
      <c r="AR174" s="33"/>
      <c r="AS174" s="33"/>
      <c r="AT174" s="102">
        <f t="shared" ref="AT174:AT183" si="521">J174-AP174-AQ174-AR174-AS174</f>
        <v>28000</v>
      </c>
      <c r="AV174" s="33"/>
      <c r="AW174" s="33"/>
      <c r="AX174" s="33"/>
      <c r="AY174" s="102">
        <f>K174-AU174-AV174-AW174-AX174</f>
        <v>29000</v>
      </c>
      <c r="AZ174" s="142"/>
      <c r="BA174" s="33"/>
      <c r="BB174" s="33"/>
      <c r="BC174" s="33"/>
      <c r="BD174" s="102">
        <f>L174-AZ174-BA174-BB174-BC174</f>
        <v>30000</v>
      </c>
      <c r="BE174" s="142"/>
      <c r="BF174" s="33"/>
      <c r="BG174" s="33"/>
      <c r="BH174" s="33"/>
      <c r="BI174" s="102">
        <f>M174-BE174-BF174-BG174-BH174</f>
        <v>31000</v>
      </c>
      <c r="BJ174" s="142"/>
      <c r="BK174" s="33"/>
      <c r="BL174" s="33"/>
      <c r="BM174" s="33"/>
      <c r="BN174" s="102">
        <f>N174-BJ174-BK174-BL174-BM174</f>
        <v>32000</v>
      </c>
      <c r="BO174" s="142"/>
      <c r="BP174" s="33"/>
      <c r="BQ174" s="33"/>
      <c r="BR174" s="33"/>
      <c r="BS174" s="102">
        <f t="shared" ref="BS174:BS183" si="522">O174-BO174-BP174-BQ174-BR174</f>
        <v>33000</v>
      </c>
      <c r="BT174" s="142"/>
      <c r="BU174" s="33"/>
      <c r="BV174" s="33"/>
      <c r="BW174" s="33"/>
      <c r="BX174" s="99">
        <f t="shared" ref="BX174:BX183" si="523">P174-BT174-BU174-BV174-BW174</f>
        <v>34000</v>
      </c>
      <c r="BY174" s="2438">
        <v>1</v>
      </c>
      <c r="BZ174" s="1263">
        <f t="shared" ref="BZ174:CH175" si="524">BY174</f>
        <v>1</v>
      </c>
      <c r="CA174" s="1263">
        <f t="shared" si="524"/>
        <v>1</v>
      </c>
      <c r="CB174" s="1263">
        <f t="shared" si="524"/>
        <v>1</v>
      </c>
      <c r="CC174" s="1263">
        <f t="shared" si="524"/>
        <v>1</v>
      </c>
      <c r="CD174" s="1263">
        <f t="shared" si="524"/>
        <v>1</v>
      </c>
      <c r="CE174" s="1263">
        <f t="shared" si="524"/>
        <v>1</v>
      </c>
      <c r="CF174" s="1263">
        <f t="shared" si="524"/>
        <v>1</v>
      </c>
      <c r="CG174" s="1263">
        <f t="shared" si="524"/>
        <v>1</v>
      </c>
      <c r="CH174" s="1263">
        <f t="shared" si="524"/>
        <v>1</v>
      </c>
      <c r="CI174" s="1263">
        <f t="shared" ref="CI174:CJ178" si="525">CH174</f>
        <v>1</v>
      </c>
      <c r="CJ174" s="1263">
        <f t="shared" si="525"/>
        <v>1</v>
      </c>
      <c r="CK174" s="1263"/>
      <c r="CL174" s="1920">
        <f t="shared" ref="CL174:CL183" si="526">ROUND(BY174*E174,-3)</f>
        <v>15000</v>
      </c>
      <c r="CM174" s="78">
        <f t="shared" ref="CM174:CM183" si="527">ROUND(BZ174*F174,-3)</f>
        <v>24000</v>
      </c>
      <c r="CN174" s="78">
        <f t="shared" ref="CN174:CN183" si="528">ROUND(CA174*G174,-3)</f>
        <v>25000</v>
      </c>
      <c r="CO174" s="78">
        <f t="shared" ref="CO174:CO183" si="529">ROUND(CB174*H174,-3)</f>
        <v>26000</v>
      </c>
      <c r="CP174" s="78">
        <f t="shared" ref="CP174:CP183" si="530">ROUND(CC174*I174,-3)</f>
        <v>27000</v>
      </c>
      <c r="CQ174" s="78">
        <f t="shared" ref="CQ174:CQ183" si="531">ROUND(CD174*J174,-3)</f>
        <v>28000</v>
      </c>
      <c r="CR174" s="78">
        <f t="shared" ref="CR174:CR183" si="532">ROUND(CE174*K174,-3)</f>
        <v>29000</v>
      </c>
      <c r="CS174" s="78">
        <f t="shared" ref="CS174:CS183" si="533">ROUND(CF174*L174,-3)</f>
        <v>30000</v>
      </c>
      <c r="CT174" s="78">
        <f t="shared" ref="CT174:CT183" si="534">ROUND(CG174*M174,-3)</f>
        <v>31000</v>
      </c>
      <c r="CU174" s="78">
        <f t="shared" ref="CU174:CU183" si="535">ROUND(CH174*N174,-3)</f>
        <v>32000</v>
      </c>
      <c r="CV174" s="78">
        <f t="shared" ref="CV174:CV183" si="536">ROUND(CI174*O174,-3)</f>
        <v>33000</v>
      </c>
      <c r="CW174" s="131">
        <f t="shared" ref="CW174:CW183" si="537">ROUND(CJ174*P174,-3)</f>
        <v>34000</v>
      </c>
    </row>
    <row r="175" spans="1:101" s="2821" customFormat="1" x14ac:dyDescent="0.2">
      <c r="A175" s="2806" t="s">
        <v>7019</v>
      </c>
      <c r="B175" s="2807"/>
      <c r="C175" s="2808"/>
      <c r="D175" s="2809" t="s">
        <v>5164</v>
      </c>
      <c r="E175" s="2810"/>
      <c r="F175" s="2811"/>
      <c r="G175" s="2812"/>
      <c r="H175" s="2812">
        <v>270000</v>
      </c>
      <c r="I175" s="2811">
        <v>480000</v>
      </c>
      <c r="J175" s="2811">
        <f>ROUND((I175*Assumptions!K$6+I175),-3)</f>
        <v>492000</v>
      </c>
      <c r="K175" s="2812">
        <f>ROUND((J175*Assumptions!L$6+J175),-3)</f>
        <v>504000</v>
      </c>
      <c r="L175" s="2812">
        <f>ROUND((K175*Assumptions!M$6+K175),-3)</f>
        <v>517000</v>
      </c>
      <c r="M175" s="2813">
        <f>ROUND((L175*Assumptions!N$6+L175),-3)</f>
        <v>530000</v>
      </c>
      <c r="N175" s="2812">
        <f>ROUND((M175*Assumptions!O$6+M175),-3)</f>
        <v>543000</v>
      </c>
      <c r="O175" s="2812">
        <f>ROUND((N175*Assumptions!P$6+N175),-3)</f>
        <v>557000</v>
      </c>
      <c r="P175" s="2814">
        <f>ROUND((O175*Assumptions!Q$6+O175),-3)</f>
        <v>571000</v>
      </c>
      <c r="Q175" s="2813"/>
      <c r="R175" s="2812"/>
      <c r="S175" s="2812"/>
      <c r="T175" s="2812">
        <f>E175</f>
        <v>0</v>
      </c>
      <c r="U175" s="2814">
        <f t="shared" si="516"/>
        <v>0</v>
      </c>
      <c r="V175" s="2815"/>
      <c r="W175" s="2812"/>
      <c r="X175" s="1838"/>
      <c r="Y175" s="2812">
        <f>F175</f>
        <v>0</v>
      </c>
      <c r="Z175" s="2814">
        <f t="shared" si="517"/>
        <v>0</v>
      </c>
      <c r="AA175" s="2813"/>
      <c r="AB175" s="2812"/>
      <c r="AC175" s="2812"/>
      <c r="AD175" s="2812"/>
      <c r="AE175" s="2814">
        <f t="shared" si="518"/>
        <v>0</v>
      </c>
      <c r="AF175" s="2813"/>
      <c r="AG175" s="2812"/>
      <c r="AH175" s="2812"/>
      <c r="AI175" s="2812"/>
      <c r="AJ175" s="2814">
        <f t="shared" si="519"/>
        <v>270000</v>
      </c>
      <c r="AK175" s="2813"/>
      <c r="AL175" s="2812"/>
      <c r="AM175" s="2812"/>
      <c r="AN175" s="2812"/>
      <c r="AO175" s="2816">
        <f t="shared" si="520"/>
        <v>480000</v>
      </c>
      <c r="AP175" s="2813"/>
      <c r="AQ175" s="2812"/>
      <c r="AR175" s="2812"/>
      <c r="AS175" s="2812"/>
      <c r="AT175" s="2814">
        <f t="shared" si="521"/>
        <v>492000</v>
      </c>
      <c r="AU175" s="1838"/>
      <c r="AV175" s="2812"/>
      <c r="AW175" s="2812"/>
      <c r="AX175" s="2812"/>
      <c r="AY175" s="2814">
        <f>K175-AU175-AV175-AW175-AX175</f>
        <v>504000</v>
      </c>
      <c r="AZ175" s="2813"/>
      <c r="BA175" s="2812"/>
      <c r="BB175" s="2812"/>
      <c r="BC175" s="2812"/>
      <c r="BD175" s="2814">
        <f>L175-AZ175-BA175-BB175-BC175</f>
        <v>517000</v>
      </c>
      <c r="BE175" s="2813"/>
      <c r="BF175" s="2812"/>
      <c r="BG175" s="2812"/>
      <c r="BH175" s="2812"/>
      <c r="BI175" s="2814">
        <f>M175-BE175-BF175-BG175-BH175</f>
        <v>530000</v>
      </c>
      <c r="BJ175" s="2813"/>
      <c r="BK175" s="2812"/>
      <c r="BL175" s="2812"/>
      <c r="BM175" s="2812"/>
      <c r="BN175" s="2814">
        <f>N175-BJ175-BK175-BL175-BM175</f>
        <v>543000</v>
      </c>
      <c r="BO175" s="2813"/>
      <c r="BP175" s="2812"/>
      <c r="BQ175" s="2812"/>
      <c r="BR175" s="2812"/>
      <c r="BS175" s="2814">
        <f t="shared" si="522"/>
        <v>557000</v>
      </c>
      <c r="BT175" s="2813"/>
      <c r="BU175" s="2812"/>
      <c r="BV175" s="2812"/>
      <c r="BW175" s="2812"/>
      <c r="BX175" s="1838">
        <f t="shared" si="523"/>
        <v>571000</v>
      </c>
      <c r="BY175" s="2817">
        <v>1</v>
      </c>
      <c r="BZ175" s="2818">
        <f t="shared" si="524"/>
        <v>1</v>
      </c>
      <c r="CA175" s="2818">
        <f t="shared" si="524"/>
        <v>1</v>
      </c>
      <c r="CB175" s="2818">
        <f t="shared" si="524"/>
        <v>1</v>
      </c>
      <c r="CC175" s="2818">
        <f t="shared" si="524"/>
        <v>1</v>
      </c>
      <c r="CD175" s="2818">
        <f t="shared" si="524"/>
        <v>1</v>
      </c>
      <c r="CE175" s="2818">
        <f t="shared" si="524"/>
        <v>1</v>
      </c>
      <c r="CF175" s="2818">
        <f t="shared" si="524"/>
        <v>1</v>
      </c>
      <c r="CG175" s="2818">
        <f t="shared" si="524"/>
        <v>1</v>
      </c>
      <c r="CH175" s="2818">
        <f t="shared" si="524"/>
        <v>1</v>
      </c>
      <c r="CI175" s="2818">
        <f t="shared" si="525"/>
        <v>1</v>
      </c>
      <c r="CJ175" s="2818">
        <f t="shared" si="525"/>
        <v>1</v>
      </c>
      <c r="CK175" s="2818"/>
      <c r="CL175" s="2819">
        <f t="shared" si="526"/>
        <v>0</v>
      </c>
      <c r="CM175" s="2413">
        <f t="shared" si="527"/>
        <v>0</v>
      </c>
      <c r="CN175" s="2413">
        <f t="shared" si="528"/>
        <v>0</v>
      </c>
      <c r="CO175" s="2413">
        <f t="shared" si="529"/>
        <v>270000</v>
      </c>
      <c r="CP175" s="2413">
        <f t="shared" si="530"/>
        <v>480000</v>
      </c>
      <c r="CQ175" s="2413">
        <f t="shared" si="531"/>
        <v>492000</v>
      </c>
      <c r="CR175" s="2413">
        <f t="shared" si="532"/>
        <v>504000</v>
      </c>
      <c r="CS175" s="2413">
        <f t="shared" si="533"/>
        <v>517000</v>
      </c>
      <c r="CT175" s="2413">
        <f t="shared" si="534"/>
        <v>530000</v>
      </c>
      <c r="CU175" s="2413">
        <f t="shared" si="535"/>
        <v>543000</v>
      </c>
      <c r="CV175" s="2413">
        <f t="shared" si="536"/>
        <v>557000</v>
      </c>
      <c r="CW175" s="2820">
        <f t="shared" si="537"/>
        <v>571000</v>
      </c>
    </row>
    <row r="176" spans="1:101" x14ac:dyDescent="0.2">
      <c r="A176" s="869" t="s">
        <v>4490</v>
      </c>
      <c r="B176" s="2354" t="s">
        <v>5167</v>
      </c>
      <c r="C176" s="2328" t="s">
        <v>4915</v>
      </c>
      <c r="D176" s="2330"/>
      <c r="E176" s="186">
        <v>79500</v>
      </c>
      <c r="F176" s="33"/>
      <c r="G176" s="33"/>
      <c r="H176" s="33"/>
      <c r="I176" s="33"/>
      <c r="J176" s="33"/>
      <c r="K176" s="33"/>
      <c r="L176" s="33"/>
      <c r="M176" s="142"/>
      <c r="N176" s="33"/>
      <c r="O176" s="33"/>
      <c r="P176" s="102"/>
      <c r="Q176" s="142"/>
      <c r="R176" s="33"/>
      <c r="S176" s="33"/>
      <c r="T176" s="33">
        <v>66400</v>
      </c>
      <c r="U176" s="102">
        <f t="shared" si="516"/>
        <v>13100</v>
      </c>
      <c r="V176" s="186"/>
      <c r="W176" s="33"/>
      <c r="X176" s="99"/>
      <c r="Y176" s="33"/>
      <c r="Z176" s="102">
        <f t="shared" si="517"/>
        <v>0</v>
      </c>
      <c r="AA176" s="142"/>
      <c r="AB176" s="33"/>
      <c r="AC176" s="33"/>
      <c r="AD176" s="33"/>
      <c r="AE176" s="102">
        <f t="shared" si="518"/>
        <v>0</v>
      </c>
      <c r="AF176" s="142"/>
      <c r="AG176" s="33"/>
      <c r="AH176" s="33"/>
      <c r="AI176" s="33"/>
      <c r="AJ176" s="102">
        <f t="shared" si="519"/>
        <v>0</v>
      </c>
      <c r="AK176" s="142"/>
      <c r="AL176" s="33"/>
      <c r="AM176" s="33"/>
      <c r="AN176" s="33"/>
      <c r="AO176" s="114">
        <f t="shared" si="520"/>
        <v>0</v>
      </c>
      <c r="AP176" s="142"/>
      <c r="AQ176" s="33"/>
      <c r="AR176" s="33"/>
      <c r="AS176" s="33"/>
      <c r="AT176" s="102">
        <f t="shared" si="521"/>
        <v>0</v>
      </c>
      <c r="AV176" s="33"/>
      <c r="AW176" s="33"/>
      <c r="AX176" s="33"/>
      <c r="AY176" s="102"/>
      <c r="AZ176" s="142"/>
      <c r="BA176" s="33"/>
      <c r="BB176" s="33"/>
      <c r="BC176" s="33"/>
      <c r="BD176" s="102"/>
      <c r="BE176" s="142"/>
      <c r="BF176" s="33"/>
      <c r="BG176" s="33"/>
      <c r="BH176" s="33"/>
      <c r="BI176" s="102"/>
      <c r="BJ176" s="142"/>
      <c r="BK176" s="33"/>
      <c r="BL176" s="33"/>
      <c r="BM176" s="33"/>
      <c r="BN176" s="102"/>
      <c r="BO176" s="142"/>
      <c r="BP176" s="33"/>
      <c r="BQ176" s="33"/>
      <c r="BR176" s="33"/>
      <c r="BS176" s="102">
        <f t="shared" si="522"/>
        <v>0</v>
      </c>
      <c r="BT176" s="142"/>
      <c r="BU176" s="33"/>
      <c r="BV176" s="33"/>
      <c r="BW176" s="33"/>
      <c r="BX176" s="99">
        <f t="shared" si="523"/>
        <v>0</v>
      </c>
      <c r="BY176" s="2438">
        <v>0</v>
      </c>
      <c r="BZ176" s="1263">
        <f t="shared" ref="BZ176" si="538">BY176</f>
        <v>0</v>
      </c>
      <c r="CA176" s="1263">
        <f t="shared" ref="CA176" si="539">BZ176</f>
        <v>0</v>
      </c>
      <c r="CB176" s="1263">
        <f t="shared" ref="CB176" si="540">CA176</f>
        <v>0</v>
      </c>
      <c r="CC176" s="1263">
        <f t="shared" ref="CC176" si="541">CB176</f>
        <v>0</v>
      </c>
      <c r="CD176" s="1263">
        <f t="shared" ref="CD176" si="542">CC176</f>
        <v>0</v>
      </c>
      <c r="CE176" s="1263">
        <f t="shared" ref="CE176" si="543">CD176</f>
        <v>0</v>
      </c>
      <c r="CF176" s="1263">
        <f t="shared" ref="CF176" si="544">CE176</f>
        <v>0</v>
      </c>
      <c r="CG176" s="1263">
        <f t="shared" ref="CG176:CH176" si="545">CF176</f>
        <v>0</v>
      </c>
      <c r="CH176" s="1263">
        <f t="shared" si="545"/>
        <v>0</v>
      </c>
      <c r="CI176" s="1263">
        <f t="shared" si="525"/>
        <v>0</v>
      </c>
      <c r="CJ176" s="1263">
        <f t="shared" si="525"/>
        <v>0</v>
      </c>
      <c r="CK176" s="1263"/>
      <c r="CL176" s="1920">
        <f t="shared" si="526"/>
        <v>0</v>
      </c>
      <c r="CM176" s="78">
        <f t="shared" si="527"/>
        <v>0</v>
      </c>
      <c r="CN176" s="78">
        <f t="shared" si="528"/>
        <v>0</v>
      </c>
      <c r="CO176" s="78">
        <f t="shared" si="529"/>
        <v>0</v>
      </c>
      <c r="CP176" s="78">
        <f t="shared" si="530"/>
        <v>0</v>
      </c>
      <c r="CQ176" s="78">
        <f t="shared" si="531"/>
        <v>0</v>
      </c>
      <c r="CR176" s="78">
        <f t="shared" si="532"/>
        <v>0</v>
      </c>
      <c r="CS176" s="78">
        <f t="shared" si="533"/>
        <v>0</v>
      </c>
      <c r="CT176" s="78">
        <f t="shared" si="534"/>
        <v>0</v>
      </c>
      <c r="CU176" s="78">
        <f t="shared" si="535"/>
        <v>0</v>
      </c>
      <c r="CV176" s="78">
        <f t="shared" si="536"/>
        <v>0</v>
      </c>
      <c r="CW176" s="131">
        <f t="shared" si="537"/>
        <v>0</v>
      </c>
    </row>
    <row r="177" spans="1:101" x14ac:dyDescent="0.2">
      <c r="A177" s="869" t="s">
        <v>6090</v>
      </c>
      <c r="B177" s="2356" t="s">
        <v>1308</v>
      </c>
      <c r="C177" s="2334"/>
      <c r="D177" s="2396" t="s">
        <v>5164</v>
      </c>
      <c r="E177" s="1920">
        <f>300400+23800</f>
        <v>324200</v>
      </c>
      <c r="F177" s="33">
        <f>162000+43700</f>
        <v>205700</v>
      </c>
      <c r="G177" s="33">
        <v>168000</v>
      </c>
      <c r="H177" s="33">
        <f>ROUND((G177*Assumptions!I$6+G177),-3)</f>
        <v>175000</v>
      </c>
      <c r="I177" s="76">
        <f>ROUND((H177*Assumptions!J$6+H177),-3)</f>
        <v>182000</v>
      </c>
      <c r="J177" s="76">
        <f>ROUND((I177*Assumptions!K$6+I177),-3)</f>
        <v>187000</v>
      </c>
      <c r="K177" s="33">
        <f>ROUND((J177*Assumptions!L$6+J177),-3)</f>
        <v>192000</v>
      </c>
      <c r="L177" s="33">
        <f>ROUND((K177*Assumptions!M$6+K177),-3)</f>
        <v>197000</v>
      </c>
      <c r="M177" s="142">
        <f>ROUND((L177*Assumptions!N$6+L177),-3)</f>
        <v>202000</v>
      </c>
      <c r="N177" s="33">
        <f>ROUND((M177*Assumptions!O$6+M177),-3)</f>
        <v>207000</v>
      </c>
      <c r="O177" s="33">
        <f>ROUND((N177*Assumptions!P$6+N177),-3)</f>
        <v>212000</v>
      </c>
      <c r="P177" s="102">
        <f>ROUND((O177*Assumptions!Q$6+O177),-3)</f>
        <v>217000</v>
      </c>
      <c r="Q177" s="142"/>
      <c r="R177" s="33"/>
      <c r="S177" s="33"/>
      <c r="T177" s="33">
        <v>166400</v>
      </c>
      <c r="U177" s="102">
        <f t="shared" si="516"/>
        <v>157800</v>
      </c>
      <c r="V177" s="186"/>
      <c r="W177" s="33"/>
      <c r="X177" s="99"/>
      <c r="Y177" s="33">
        <v>43700</v>
      </c>
      <c r="Z177" s="102">
        <f t="shared" si="517"/>
        <v>162000</v>
      </c>
      <c r="AA177" s="142"/>
      <c r="AB177" s="33"/>
      <c r="AC177" s="33"/>
      <c r="AD177" s="33"/>
      <c r="AE177" s="102">
        <f t="shared" si="518"/>
        <v>168000</v>
      </c>
      <c r="AF177" s="142"/>
      <c r="AG177" s="33"/>
      <c r="AH177" s="33"/>
      <c r="AI177" s="33"/>
      <c r="AJ177" s="102">
        <f t="shared" si="519"/>
        <v>175000</v>
      </c>
      <c r="AK177" s="142"/>
      <c r="AL177" s="33"/>
      <c r="AM177" s="33"/>
      <c r="AN177" s="33"/>
      <c r="AO177" s="114">
        <f t="shared" si="520"/>
        <v>182000</v>
      </c>
      <c r="AP177" s="142"/>
      <c r="AQ177" s="33"/>
      <c r="AR177" s="33"/>
      <c r="AS177" s="33"/>
      <c r="AT177" s="102">
        <f t="shared" si="521"/>
        <v>187000</v>
      </c>
      <c r="AV177" s="33"/>
      <c r="AW177" s="33"/>
      <c r="AX177" s="33"/>
      <c r="AY177" s="102">
        <f>K177-AU177-AV177-AW177-AX177</f>
        <v>192000</v>
      </c>
      <c r="AZ177" s="142"/>
      <c r="BA177" s="33"/>
      <c r="BB177" s="33"/>
      <c r="BC177" s="33"/>
      <c r="BD177" s="102">
        <f>L177-AZ177-BA177-BB177-BC177</f>
        <v>197000</v>
      </c>
      <c r="BE177" s="142"/>
      <c r="BF177" s="33"/>
      <c r="BG177" s="33"/>
      <c r="BH177" s="33"/>
      <c r="BI177" s="102">
        <f>M177-BE177-BF177-BG177-BH177</f>
        <v>202000</v>
      </c>
      <c r="BJ177" s="142"/>
      <c r="BK177" s="33"/>
      <c r="BL177" s="33"/>
      <c r="BM177" s="33"/>
      <c r="BN177" s="102">
        <f>N177-BJ177-BK177-BL177-BM177</f>
        <v>207000</v>
      </c>
      <c r="BO177" s="142"/>
      <c r="BP177" s="33"/>
      <c r="BQ177" s="33"/>
      <c r="BR177" s="33"/>
      <c r="BS177" s="102">
        <f t="shared" si="522"/>
        <v>212000</v>
      </c>
      <c r="BT177" s="142"/>
      <c r="BU177" s="33"/>
      <c r="BV177" s="33"/>
      <c r="BW177" s="33"/>
      <c r="BX177" s="99">
        <f t="shared" si="523"/>
        <v>217000</v>
      </c>
      <c r="BY177" s="2438">
        <v>1</v>
      </c>
      <c r="BZ177" s="1263">
        <f t="shared" ref="BZ177:CH177" si="546">BY177</f>
        <v>1</v>
      </c>
      <c r="CA177" s="1263">
        <f t="shared" si="546"/>
        <v>1</v>
      </c>
      <c r="CB177" s="1263">
        <f t="shared" si="546"/>
        <v>1</v>
      </c>
      <c r="CC177" s="1263">
        <f t="shared" si="546"/>
        <v>1</v>
      </c>
      <c r="CD177" s="1263">
        <f t="shared" si="546"/>
        <v>1</v>
      </c>
      <c r="CE177" s="1263">
        <f t="shared" si="546"/>
        <v>1</v>
      </c>
      <c r="CF177" s="1263">
        <f t="shared" si="546"/>
        <v>1</v>
      </c>
      <c r="CG177" s="1263">
        <f t="shared" si="546"/>
        <v>1</v>
      </c>
      <c r="CH177" s="1263">
        <f t="shared" si="546"/>
        <v>1</v>
      </c>
      <c r="CI177" s="1263">
        <f t="shared" si="525"/>
        <v>1</v>
      </c>
      <c r="CJ177" s="1263">
        <f t="shared" si="525"/>
        <v>1</v>
      </c>
      <c r="CK177" s="1263"/>
      <c r="CL177" s="1920">
        <f t="shared" si="526"/>
        <v>324000</v>
      </c>
      <c r="CM177" s="78">
        <f t="shared" si="527"/>
        <v>206000</v>
      </c>
      <c r="CN177" s="78">
        <f t="shared" si="528"/>
        <v>168000</v>
      </c>
      <c r="CO177" s="78">
        <f t="shared" si="529"/>
        <v>175000</v>
      </c>
      <c r="CP177" s="78">
        <f t="shared" si="530"/>
        <v>182000</v>
      </c>
      <c r="CQ177" s="78">
        <f t="shared" si="531"/>
        <v>187000</v>
      </c>
      <c r="CR177" s="78">
        <f t="shared" si="532"/>
        <v>192000</v>
      </c>
      <c r="CS177" s="78">
        <f t="shared" si="533"/>
        <v>197000</v>
      </c>
      <c r="CT177" s="78">
        <f t="shared" si="534"/>
        <v>202000</v>
      </c>
      <c r="CU177" s="78">
        <f t="shared" si="535"/>
        <v>207000</v>
      </c>
      <c r="CV177" s="78">
        <f t="shared" si="536"/>
        <v>212000</v>
      </c>
      <c r="CW177" s="131">
        <f t="shared" si="537"/>
        <v>217000</v>
      </c>
    </row>
    <row r="178" spans="1:101" x14ac:dyDescent="0.2">
      <c r="A178" s="869" t="s">
        <v>6527</v>
      </c>
      <c r="B178" s="2360"/>
      <c r="C178" s="2334"/>
      <c r="D178" s="2396" t="s">
        <v>5164</v>
      </c>
      <c r="E178" s="502"/>
      <c r="F178" s="76">
        <f>Assumptions!G43</f>
        <v>0</v>
      </c>
      <c r="G178" s="33">
        <f>Assumptions!H43</f>
        <v>0</v>
      </c>
      <c r="H178" s="33">
        <f>Assumptions!I43</f>
        <v>0</v>
      </c>
      <c r="I178" s="76">
        <f>Assumptions!J43</f>
        <v>0</v>
      </c>
      <c r="J178" s="76">
        <f>Assumptions!K43</f>
        <v>250000</v>
      </c>
      <c r="K178" s="76">
        <f>Assumptions!L43</f>
        <v>250000</v>
      </c>
      <c r="L178" s="33">
        <f>Assumptions!M43</f>
        <v>250000</v>
      </c>
      <c r="M178" s="142">
        <f>Assumptions!N43</f>
        <v>250000</v>
      </c>
      <c r="N178" s="33">
        <f>Assumptions!O43</f>
        <v>250000</v>
      </c>
      <c r="O178" s="33">
        <f>Assumptions!P43</f>
        <v>250000</v>
      </c>
      <c r="P178" s="102">
        <f>Assumptions!Q43</f>
        <v>250000</v>
      </c>
      <c r="Q178" s="142"/>
      <c r="R178" s="33"/>
      <c r="S178" s="33"/>
      <c r="T178" s="33">
        <f>E178</f>
        <v>0</v>
      </c>
      <c r="U178" s="102">
        <f t="shared" si="516"/>
        <v>0</v>
      </c>
      <c r="V178" s="186"/>
      <c r="W178" s="33"/>
      <c r="X178" s="99"/>
      <c r="Y178" s="33">
        <f>F178</f>
        <v>0</v>
      </c>
      <c r="Z178" s="102">
        <f t="shared" si="517"/>
        <v>0</v>
      </c>
      <c r="AA178" s="142"/>
      <c r="AB178" s="33"/>
      <c r="AC178" s="33"/>
      <c r="AD178" s="33">
        <f>G178</f>
        <v>0</v>
      </c>
      <c r="AE178" s="102">
        <f t="shared" si="518"/>
        <v>0</v>
      </c>
      <c r="AF178" s="142"/>
      <c r="AG178" s="33"/>
      <c r="AH178" s="33"/>
      <c r="AI178" s="33">
        <f>H178</f>
        <v>0</v>
      </c>
      <c r="AJ178" s="102">
        <f t="shared" si="519"/>
        <v>0</v>
      </c>
      <c r="AK178" s="142"/>
      <c r="AL178" s="33"/>
      <c r="AM178" s="33"/>
      <c r="AN178" s="33">
        <f>I178</f>
        <v>0</v>
      </c>
      <c r="AO178" s="114">
        <f t="shared" si="520"/>
        <v>0</v>
      </c>
      <c r="AP178" s="142"/>
      <c r="AQ178" s="33"/>
      <c r="AR178" s="33"/>
      <c r="AS178" s="33">
        <f>J178</f>
        <v>250000</v>
      </c>
      <c r="AT178" s="102">
        <f t="shared" si="521"/>
        <v>0</v>
      </c>
      <c r="AV178" s="33"/>
      <c r="AW178" s="33"/>
      <c r="AX178" s="33">
        <f>K178</f>
        <v>250000</v>
      </c>
      <c r="AY178" s="102">
        <f>K178-AU178-AV178-AW178-AX178</f>
        <v>0</v>
      </c>
      <c r="AZ178" s="142"/>
      <c r="BA178" s="33"/>
      <c r="BB178" s="33"/>
      <c r="BC178" s="33">
        <f>L178</f>
        <v>250000</v>
      </c>
      <c r="BD178" s="102">
        <f>L178-AZ178-BA178-BB178-BC178</f>
        <v>0</v>
      </c>
      <c r="BE178" s="142"/>
      <c r="BF178" s="33"/>
      <c r="BG178" s="33"/>
      <c r="BH178" s="33">
        <f>M178</f>
        <v>250000</v>
      </c>
      <c r="BI178" s="102">
        <f>M178-BE178-BF178-BG178-BH178</f>
        <v>0</v>
      </c>
      <c r="BJ178" s="142"/>
      <c r="BK178" s="33"/>
      <c r="BL178" s="33"/>
      <c r="BM178" s="33">
        <f>N178</f>
        <v>250000</v>
      </c>
      <c r="BN178" s="102">
        <f>N178-BJ178-BK178-BL178-BM178</f>
        <v>0</v>
      </c>
      <c r="BO178" s="142"/>
      <c r="BP178" s="33"/>
      <c r="BQ178" s="33"/>
      <c r="BR178" s="33">
        <f>O178</f>
        <v>250000</v>
      </c>
      <c r="BS178" s="102">
        <f t="shared" si="522"/>
        <v>0</v>
      </c>
      <c r="BT178" s="142"/>
      <c r="BU178" s="33"/>
      <c r="BV178" s="33"/>
      <c r="BW178" s="33">
        <f>P178</f>
        <v>250000</v>
      </c>
      <c r="BX178" s="99">
        <f t="shared" si="523"/>
        <v>0</v>
      </c>
      <c r="BY178" s="2438">
        <v>1</v>
      </c>
      <c r="BZ178" s="1263">
        <f t="shared" ref="BZ178:CH178" si="547">BY178</f>
        <v>1</v>
      </c>
      <c r="CA178" s="1263">
        <f t="shared" si="547"/>
        <v>1</v>
      </c>
      <c r="CB178" s="1263">
        <f t="shared" si="547"/>
        <v>1</v>
      </c>
      <c r="CC178" s="1263">
        <f t="shared" si="547"/>
        <v>1</v>
      </c>
      <c r="CD178" s="1263">
        <f t="shared" si="547"/>
        <v>1</v>
      </c>
      <c r="CE178" s="1263">
        <f t="shared" si="547"/>
        <v>1</v>
      </c>
      <c r="CF178" s="1263">
        <f t="shared" si="547"/>
        <v>1</v>
      </c>
      <c r="CG178" s="1263">
        <f t="shared" si="547"/>
        <v>1</v>
      </c>
      <c r="CH178" s="1263">
        <f t="shared" si="547"/>
        <v>1</v>
      </c>
      <c r="CI178" s="1263">
        <f t="shared" si="525"/>
        <v>1</v>
      </c>
      <c r="CJ178" s="1263">
        <f t="shared" si="525"/>
        <v>1</v>
      </c>
      <c r="CK178" s="1263"/>
      <c r="CL178" s="1920">
        <f t="shared" si="526"/>
        <v>0</v>
      </c>
      <c r="CM178" s="78">
        <f t="shared" si="527"/>
        <v>0</v>
      </c>
      <c r="CN178" s="78">
        <f t="shared" si="528"/>
        <v>0</v>
      </c>
      <c r="CO178" s="78">
        <f t="shared" si="529"/>
        <v>0</v>
      </c>
      <c r="CP178" s="78">
        <f t="shared" si="530"/>
        <v>0</v>
      </c>
      <c r="CQ178" s="78">
        <f t="shared" si="531"/>
        <v>250000</v>
      </c>
      <c r="CR178" s="78">
        <f t="shared" si="532"/>
        <v>250000</v>
      </c>
      <c r="CS178" s="78">
        <f t="shared" si="533"/>
        <v>250000</v>
      </c>
      <c r="CT178" s="78">
        <f t="shared" si="534"/>
        <v>250000</v>
      </c>
      <c r="CU178" s="78">
        <f t="shared" si="535"/>
        <v>250000</v>
      </c>
      <c r="CV178" s="78">
        <f t="shared" si="536"/>
        <v>250000</v>
      </c>
      <c r="CW178" s="131">
        <f t="shared" si="537"/>
        <v>250000</v>
      </c>
    </row>
    <row r="179" spans="1:101" x14ac:dyDescent="0.2">
      <c r="A179" s="869" t="s">
        <v>6528</v>
      </c>
      <c r="B179" s="2208"/>
      <c r="C179" s="2334"/>
      <c r="D179" s="2396" t="s">
        <v>5164</v>
      </c>
      <c r="E179" s="1920">
        <v>41400</v>
      </c>
      <c r="F179" s="76"/>
      <c r="G179" s="33"/>
      <c r="H179" s="33"/>
      <c r="I179" s="76"/>
      <c r="J179" s="76"/>
      <c r="K179" s="33"/>
      <c r="L179" s="142"/>
      <c r="M179" s="142"/>
      <c r="N179" s="33"/>
      <c r="O179" s="33"/>
      <c r="P179" s="102"/>
      <c r="Q179" s="142"/>
      <c r="R179" s="33">
        <v>41500</v>
      </c>
      <c r="S179" s="33"/>
      <c r="T179" s="33"/>
      <c r="U179" s="102">
        <f t="shared" si="516"/>
        <v>-100</v>
      </c>
      <c r="V179" s="186"/>
      <c r="W179" s="33"/>
      <c r="X179" s="99"/>
      <c r="Y179" s="33"/>
      <c r="Z179" s="102">
        <f t="shared" si="517"/>
        <v>0</v>
      </c>
      <c r="AA179" s="142"/>
      <c r="AB179" s="33"/>
      <c r="AC179" s="33"/>
      <c r="AD179" s="33"/>
      <c r="AE179" s="102">
        <f t="shared" si="518"/>
        <v>0</v>
      </c>
      <c r="AF179" s="142"/>
      <c r="AG179" s="33"/>
      <c r="AH179" s="33"/>
      <c r="AI179" s="33"/>
      <c r="AJ179" s="102">
        <f t="shared" si="519"/>
        <v>0</v>
      </c>
      <c r="AK179" s="142"/>
      <c r="AL179" s="33"/>
      <c r="AM179" s="33"/>
      <c r="AN179" s="33"/>
      <c r="AO179" s="114">
        <f t="shared" si="520"/>
        <v>0</v>
      </c>
      <c r="AP179" s="142"/>
      <c r="AQ179" s="33"/>
      <c r="AR179" s="33"/>
      <c r="AS179" s="33"/>
      <c r="AT179" s="102">
        <f t="shared" si="521"/>
        <v>0</v>
      </c>
      <c r="AV179" s="33"/>
      <c r="AW179" s="33"/>
      <c r="AX179" s="33"/>
      <c r="AY179" s="102"/>
      <c r="AZ179" s="142"/>
      <c r="BA179" s="33"/>
      <c r="BB179" s="33"/>
      <c r="BC179" s="33"/>
      <c r="BD179" s="102"/>
      <c r="BE179" s="142"/>
      <c r="BF179" s="33"/>
      <c r="BG179" s="33"/>
      <c r="BH179" s="33"/>
      <c r="BI179" s="102"/>
      <c r="BJ179" s="142"/>
      <c r="BK179" s="33"/>
      <c r="BL179" s="33"/>
      <c r="BM179" s="33"/>
      <c r="BN179" s="102"/>
      <c r="BO179" s="142"/>
      <c r="BP179" s="33"/>
      <c r="BQ179" s="33"/>
      <c r="BR179" s="33"/>
      <c r="BS179" s="102">
        <f t="shared" si="522"/>
        <v>0</v>
      </c>
      <c r="BT179" s="142"/>
      <c r="BU179" s="33"/>
      <c r="BV179" s="33"/>
      <c r="BW179" s="33"/>
      <c r="BX179" s="99">
        <f t="shared" si="523"/>
        <v>0</v>
      </c>
      <c r="BY179" s="2438">
        <v>0</v>
      </c>
      <c r="BZ179" s="1263">
        <v>0</v>
      </c>
      <c r="CA179" s="1263">
        <v>0</v>
      </c>
      <c r="CB179" s="1263">
        <v>0</v>
      </c>
      <c r="CC179" s="1263">
        <v>0</v>
      </c>
      <c r="CD179" s="1263">
        <v>0</v>
      </c>
      <c r="CE179" s="1263">
        <v>0</v>
      </c>
      <c r="CF179" s="1263">
        <v>0</v>
      </c>
      <c r="CG179" s="1263">
        <v>0</v>
      </c>
      <c r="CH179" s="1263">
        <v>0</v>
      </c>
      <c r="CI179" s="1263">
        <v>0</v>
      </c>
      <c r="CJ179" s="1263">
        <v>0</v>
      </c>
      <c r="CK179" s="1263"/>
      <c r="CL179" s="1920">
        <f t="shared" si="526"/>
        <v>0</v>
      </c>
      <c r="CM179" s="78">
        <f t="shared" si="527"/>
        <v>0</v>
      </c>
      <c r="CN179" s="78">
        <f t="shared" si="528"/>
        <v>0</v>
      </c>
      <c r="CO179" s="78">
        <f t="shared" si="529"/>
        <v>0</v>
      </c>
      <c r="CP179" s="78">
        <f t="shared" si="530"/>
        <v>0</v>
      </c>
      <c r="CQ179" s="78">
        <f t="shared" si="531"/>
        <v>0</v>
      </c>
      <c r="CR179" s="78">
        <f t="shared" si="532"/>
        <v>0</v>
      </c>
      <c r="CS179" s="78">
        <f t="shared" si="533"/>
        <v>0</v>
      </c>
      <c r="CT179" s="78">
        <f t="shared" si="534"/>
        <v>0</v>
      </c>
      <c r="CU179" s="78">
        <f t="shared" si="535"/>
        <v>0</v>
      </c>
      <c r="CV179" s="78">
        <f t="shared" si="536"/>
        <v>0</v>
      </c>
      <c r="CW179" s="131">
        <f t="shared" si="537"/>
        <v>0</v>
      </c>
    </row>
    <row r="180" spans="1:101" x14ac:dyDescent="0.2">
      <c r="A180" s="869" t="s">
        <v>4874</v>
      </c>
      <c r="B180" s="2368"/>
      <c r="C180" s="2343"/>
      <c r="D180" s="2396" t="s">
        <v>5164</v>
      </c>
      <c r="E180" s="186"/>
      <c r="F180" s="33">
        <f>140000+60000-50000</f>
        <v>150000</v>
      </c>
      <c r="G180" s="33"/>
      <c r="H180" s="33"/>
      <c r="I180" s="33">
        <v>750000</v>
      </c>
      <c r="J180" s="76">
        <v>900000</v>
      </c>
      <c r="K180" s="33"/>
      <c r="L180" s="142"/>
      <c r="M180" s="33"/>
      <c r="N180" s="33"/>
      <c r="O180" s="33"/>
      <c r="P180" s="102"/>
      <c r="Q180" s="142"/>
      <c r="R180" s="33"/>
      <c r="S180" s="33"/>
      <c r="T180" s="33"/>
      <c r="U180" s="102">
        <f t="shared" si="516"/>
        <v>0</v>
      </c>
      <c r="V180" s="186">
        <f>'Cap Inc'!E92</f>
        <v>60000</v>
      </c>
      <c r="W180" s="33"/>
      <c r="X180" s="99"/>
      <c r="Y180" s="33">
        <f>'Res-Gen'!F77</f>
        <v>90000</v>
      </c>
      <c r="Z180" s="102">
        <f t="shared" si="517"/>
        <v>0</v>
      </c>
      <c r="AA180" s="142"/>
      <c r="AB180" s="33"/>
      <c r="AC180" s="33"/>
      <c r="AD180" s="33">
        <f>'Res-Gen'!I77</f>
        <v>0</v>
      </c>
      <c r="AE180" s="102">
        <f t="shared" si="518"/>
        <v>0</v>
      </c>
      <c r="AF180" s="142"/>
      <c r="AG180" s="33"/>
      <c r="AH180" s="33"/>
      <c r="AI180" s="33">
        <f>'Res-Gen'!L77</f>
        <v>0</v>
      </c>
      <c r="AJ180" s="102">
        <f t="shared" si="519"/>
        <v>0</v>
      </c>
      <c r="AK180" s="142"/>
      <c r="AL180" s="33"/>
      <c r="AM180" s="33"/>
      <c r="AN180" s="33">
        <f>'Res-Gen'!O77</f>
        <v>750000</v>
      </c>
      <c r="AO180" s="114">
        <f t="shared" si="520"/>
        <v>0</v>
      </c>
      <c r="AP180" s="142"/>
      <c r="AQ180" s="33"/>
      <c r="AR180" s="33"/>
      <c r="AS180" s="33">
        <f>J180</f>
        <v>900000</v>
      </c>
      <c r="AT180" s="102">
        <f t="shared" si="521"/>
        <v>0</v>
      </c>
      <c r="AV180" s="33"/>
      <c r="AW180" s="33"/>
      <c r="AX180" s="33"/>
      <c r="AY180" s="102"/>
      <c r="AZ180" s="142"/>
      <c r="BA180" s="33"/>
      <c r="BB180" s="33"/>
      <c r="BC180" s="33"/>
      <c r="BD180" s="102"/>
      <c r="BE180" s="142"/>
      <c r="BF180" s="33"/>
      <c r="BG180" s="33"/>
      <c r="BH180" s="33"/>
      <c r="BI180" s="102"/>
      <c r="BJ180" s="142"/>
      <c r="BK180" s="33"/>
      <c r="BL180" s="33"/>
      <c r="BM180" s="33"/>
      <c r="BN180" s="102"/>
      <c r="BO180" s="142"/>
      <c r="BP180" s="33"/>
      <c r="BQ180" s="33"/>
      <c r="BR180" s="33"/>
      <c r="BS180" s="102">
        <f t="shared" si="522"/>
        <v>0</v>
      </c>
      <c r="BT180" s="142"/>
      <c r="BU180" s="33"/>
      <c r="BV180" s="33"/>
      <c r="BW180" s="33"/>
      <c r="BX180" s="99">
        <f t="shared" si="523"/>
        <v>0</v>
      </c>
      <c r="BY180" s="2438">
        <v>0</v>
      </c>
      <c r="BZ180" s="1263">
        <v>0</v>
      </c>
      <c r="CA180" s="1263">
        <v>0</v>
      </c>
      <c r="CB180" s="1263">
        <v>0</v>
      </c>
      <c r="CC180" s="1263">
        <v>0</v>
      </c>
      <c r="CD180" s="1263">
        <v>0</v>
      </c>
      <c r="CE180" s="1263">
        <v>0</v>
      </c>
      <c r="CF180" s="1263">
        <v>0</v>
      </c>
      <c r="CG180" s="1263">
        <v>0</v>
      </c>
      <c r="CH180" s="1263">
        <v>0</v>
      </c>
      <c r="CI180" s="1263">
        <v>0</v>
      </c>
      <c r="CJ180" s="1263">
        <v>0</v>
      </c>
      <c r="CK180" s="1263"/>
      <c r="CL180" s="1920">
        <f t="shared" si="526"/>
        <v>0</v>
      </c>
      <c r="CM180" s="78">
        <f t="shared" si="527"/>
        <v>0</v>
      </c>
      <c r="CN180" s="78">
        <f t="shared" si="528"/>
        <v>0</v>
      </c>
      <c r="CO180" s="78">
        <f t="shared" si="529"/>
        <v>0</v>
      </c>
      <c r="CP180" s="78">
        <f t="shared" si="530"/>
        <v>0</v>
      </c>
      <c r="CQ180" s="78">
        <f t="shared" si="531"/>
        <v>0</v>
      </c>
      <c r="CR180" s="78">
        <f t="shared" si="532"/>
        <v>0</v>
      </c>
      <c r="CS180" s="78">
        <f t="shared" si="533"/>
        <v>0</v>
      </c>
      <c r="CT180" s="78">
        <f t="shared" si="534"/>
        <v>0</v>
      </c>
      <c r="CU180" s="78">
        <f t="shared" si="535"/>
        <v>0</v>
      </c>
      <c r="CV180" s="78">
        <f t="shared" si="536"/>
        <v>0</v>
      </c>
      <c r="CW180" s="131">
        <f t="shared" si="537"/>
        <v>0</v>
      </c>
    </row>
    <row r="181" spans="1:101" x14ac:dyDescent="0.2">
      <c r="A181" s="869" t="s">
        <v>6030</v>
      </c>
      <c r="B181" s="2368"/>
      <c r="C181" s="2343"/>
      <c r="D181" s="2396" t="s">
        <v>5164</v>
      </c>
      <c r="E181" s="186"/>
      <c r="F181" s="33">
        <v>350000</v>
      </c>
      <c r="G181" s="33"/>
      <c r="H181" s="33"/>
      <c r="I181" s="33"/>
      <c r="J181" s="76"/>
      <c r="K181" s="33"/>
      <c r="L181" s="142"/>
      <c r="M181" s="33"/>
      <c r="N181" s="33"/>
      <c r="O181" s="33"/>
      <c r="P181" s="102"/>
      <c r="Q181" s="142"/>
      <c r="R181" s="33"/>
      <c r="S181" s="33"/>
      <c r="T181" s="33"/>
      <c r="U181" s="102">
        <f t="shared" si="516"/>
        <v>0</v>
      </c>
      <c r="V181" s="186"/>
      <c r="W181" s="33"/>
      <c r="X181" s="99"/>
      <c r="Y181" s="33">
        <f>'Sec 94'!F38</f>
        <v>350000</v>
      </c>
      <c r="Z181" s="102">
        <f t="shared" si="517"/>
        <v>0</v>
      </c>
      <c r="AA181" s="142"/>
      <c r="AB181" s="33"/>
      <c r="AC181" s="33"/>
      <c r="AD181" s="33"/>
      <c r="AE181" s="102">
        <f t="shared" si="518"/>
        <v>0</v>
      </c>
      <c r="AF181" s="142"/>
      <c r="AG181" s="33"/>
      <c r="AH181" s="33"/>
      <c r="AI181" s="33"/>
      <c r="AJ181" s="102">
        <f t="shared" si="519"/>
        <v>0</v>
      </c>
      <c r="AK181" s="142"/>
      <c r="AL181" s="33"/>
      <c r="AM181" s="33"/>
      <c r="AN181" s="33"/>
      <c r="AO181" s="114">
        <f t="shared" si="520"/>
        <v>0</v>
      </c>
      <c r="AP181" s="142"/>
      <c r="AQ181" s="33"/>
      <c r="AR181" s="33"/>
      <c r="AS181" s="33"/>
      <c r="AT181" s="102">
        <f t="shared" si="521"/>
        <v>0</v>
      </c>
      <c r="AV181" s="33"/>
      <c r="AW181" s="33"/>
      <c r="AX181" s="33"/>
      <c r="AY181" s="102"/>
      <c r="AZ181" s="142"/>
      <c r="BA181" s="33"/>
      <c r="BB181" s="33"/>
      <c r="BC181" s="33"/>
      <c r="BD181" s="102"/>
      <c r="BE181" s="142"/>
      <c r="BF181" s="33"/>
      <c r="BG181" s="33"/>
      <c r="BH181" s="33"/>
      <c r="BI181" s="102"/>
      <c r="BJ181" s="142"/>
      <c r="BK181" s="33"/>
      <c r="BL181" s="33"/>
      <c r="BM181" s="33"/>
      <c r="BN181" s="102"/>
      <c r="BO181" s="142"/>
      <c r="BP181" s="33"/>
      <c r="BQ181" s="33"/>
      <c r="BR181" s="33"/>
      <c r="BS181" s="102">
        <f t="shared" si="522"/>
        <v>0</v>
      </c>
      <c r="BT181" s="142"/>
      <c r="BU181" s="33"/>
      <c r="BV181" s="33"/>
      <c r="BW181" s="33"/>
      <c r="BX181" s="99">
        <f t="shared" si="523"/>
        <v>0</v>
      </c>
      <c r="BY181" s="2438">
        <v>0</v>
      </c>
      <c r="BZ181" s="1263">
        <v>0</v>
      </c>
      <c r="CA181" s="1263">
        <v>0</v>
      </c>
      <c r="CB181" s="1263">
        <v>0</v>
      </c>
      <c r="CC181" s="1263">
        <v>0</v>
      </c>
      <c r="CD181" s="1263">
        <v>0</v>
      </c>
      <c r="CE181" s="1263">
        <v>0</v>
      </c>
      <c r="CF181" s="1263">
        <v>0</v>
      </c>
      <c r="CG181" s="1263">
        <v>0</v>
      </c>
      <c r="CH181" s="1263">
        <v>0</v>
      </c>
      <c r="CI181" s="1263">
        <v>0</v>
      </c>
      <c r="CJ181" s="1263">
        <v>0</v>
      </c>
      <c r="CK181" s="1263"/>
      <c r="CL181" s="1920">
        <f t="shared" si="526"/>
        <v>0</v>
      </c>
      <c r="CM181" s="78">
        <f t="shared" si="527"/>
        <v>0</v>
      </c>
      <c r="CN181" s="78">
        <f t="shared" si="528"/>
        <v>0</v>
      </c>
      <c r="CO181" s="78">
        <f t="shared" si="529"/>
        <v>0</v>
      </c>
      <c r="CP181" s="78">
        <f t="shared" si="530"/>
        <v>0</v>
      </c>
      <c r="CQ181" s="78">
        <f t="shared" si="531"/>
        <v>0</v>
      </c>
      <c r="CR181" s="78">
        <f t="shared" si="532"/>
        <v>0</v>
      </c>
      <c r="CS181" s="78">
        <f t="shared" si="533"/>
        <v>0</v>
      </c>
      <c r="CT181" s="78">
        <f t="shared" si="534"/>
        <v>0</v>
      </c>
      <c r="CU181" s="78">
        <f t="shared" si="535"/>
        <v>0</v>
      </c>
      <c r="CV181" s="78">
        <f t="shared" si="536"/>
        <v>0</v>
      </c>
      <c r="CW181" s="131">
        <f t="shared" si="537"/>
        <v>0</v>
      </c>
    </row>
    <row r="182" spans="1:101" x14ac:dyDescent="0.2">
      <c r="A182" s="869" t="s">
        <v>6996</v>
      </c>
      <c r="B182" s="2368"/>
      <c r="C182" s="2343"/>
      <c r="D182" s="2396"/>
      <c r="E182" s="186"/>
      <c r="F182" s="33"/>
      <c r="G182" s="33"/>
      <c r="H182" s="33">
        <f>'Res-Gen'!L78</f>
        <v>800000</v>
      </c>
      <c r="I182" s="33"/>
      <c r="J182" s="76"/>
      <c r="K182" s="33"/>
      <c r="L182" s="142"/>
      <c r="M182" s="33"/>
      <c r="N182" s="33"/>
      <c r="O182" s="33"/>
      <c r="P182" s="102"/>
      <c r="Q182" s="142"/>
      <c r="R182" s="33"/>
      <c r="S182" s="33"/>
      <c r="T182" s="33"/>
      <c r="U182" s="102">
        <f t="shared" ref="U182" si="548">E182-Q182-R182-S182-T182</f>
        <v>0</v>
      </c>
      <c r="V182" s="186"/>
      <c r="W182" s="33"/>
      <c r="X182" s="99"/>
      <c r="Y182" s="33">
        <f>'Sec 94'!F39</f>
        <v>0</v>
      </c>
      <c r="Z182" s="102">
        <f t="shared" si="517"/>
        <v>0</v>
      </c>
      <c r="AA182" s="142"/>
      <c r="AB182" s="33"/>
      <c r="AC182" s="33"/>
      <c r="AD182" s="33"/>
      <c r="AE182" s="102">
        <f t="shared" si="518"/>
        <v>0</v>
      </c>
      <c r="AF182" s="142"/>
      <c r="AG182" s="33"/>
      <c r="AH182" s="33"/>
      <c r="AI182" s="33">
        <f>'Res-Gen'!L78</f>
        <v>800000</v>
      </c>
      <c r="AJ182" s="102">
        <f t="shared" si="519"/>
        <v>0</v>
      </c>
      <c r="AK182" s="142"/>
      <c r="AL182" s="33"/>
      <c r="AM182" s="33"/>
      <c r="AN182" s="33"/>
      <c r="AO182" s="114">
        <f t="shared" si="520"/>
        <v>0</v>
      </c>
      <c r="AP182" s="142"/>
      <c r="AQ182" s="33"/>
      <c r="AR182" s="33"/>
      <c r="AS182" s="33"/>
      <c r="AT182" s="102">
        <f t="shared" si="521"/>
        <v>0</v>
      </c>
      <c r="AV182" s="33"/>
      <c r="AW182" s="33"/>
      <c r="AX182" s="33"/>
      <c r="AY182" s="102"/>
      <c r="AZ182" s="142"/>
      <c r="BA182" s="33"/>
      <c r="BB182" s="33"/>
      <c r="BC182" s="33"/>
      <c r="BD182" s="102"/>
      <c r="BE182" s="142"/>
      <c r="BF182" s="33"/>
      <c r="BG182" s="33"/>
      <c r="BH182" s="33"/>
      <c r="BI182" s="102"/>
      <c r="BJ182" s="142"/>
      <c r="BK182" s="33"/>
      <c r="BL182" s="33"/>
      <c r="BM182" s="33"/>
      <c r="BN182" s="102"/>
      <c r="BO182" s="142"/>
      <c r="BP182" s="33"/>
      <c r="BQ182" s="33"/>
      <c r="BR182" s="33"/>
      <c r="BS182" s="102">
        <f t="shared" si="522"/>
        <v>0</v>
      </c>
      <c r="BT182" s="142"/>
      <c r="BU182" s="33"/>
      <c r="BV182" s="33"/>
      <c r="BW182" s="33"/>
      <c r="BX182" s="99">
        <f t="shared" si="523"/>
        <v>0</v>
      </c>
      <c r="BY182" s="2438">
        <v>0</v>
      </c>
      <c r="BZ182" s="1263">
        <v>0</v>
      </c>
      <c r="CA182" s="1263">
        <v>0</v>
      </c>
      <c r="CB182" s="1263">
        <v>0</v>
      </c>
      <c r="CC182" s="1263">
        <v>0</v>
      </c>
      <c r="CD182" s="1263">
        <v>0</v>
      </c>
      <c r="CE182" s="1263">
        <v>0</v>
      </c>
      <c r="CF182" s="1263">
        <v>0</v>
      </c>
      <c r="CG182" s="1263">
        <v>0</v>
      </c>
      <c r="CH182" s="1263">
        <v>0</v>
      </c>
      <c r="CI182" s="1263">
        <v>0</v>
      </c>
      <c r="CJ182" s="1263">
        <v>0</v>
      </c>
      <c r="CK182" s="1263"/>
      <c r="CL182" s="1920">
        <f t="shared" si="526"/>
        <v>0</v>
      </c>
      <c r="CM182" s="78">
        <f t="shared" si="527"/>
        <v>0</v>
      </c>
      <c r="CN182" s="78">
        <f t="shared" si="528"/>
        <v>0</v>
      </c>
      <c r="CO182" s="78">
        <f t="shared" si="529"/>
        <v>0</v>
      </c>
      <c r="CP182" s="78">
        <f t="shared" si="530"/>
        <v>0</v>
      </c>
      <c r="CQ182" s="78">
        <f t="shared" si="531"/>
        <v>0</v>
      </c>
      <c r="CR182" s="78">
        <f t="shared" si="532"/>
        <v>0</v>
      </c>
      <c r="CS182" s="78">
        <f t="shared" si="533"/>
        <v>0</v>
      </c>
      <c r="CT182" s="78">
        <f t="shared" si="534"/>
        <v>0</v>
      </c>
      <c r="CU182" s="78">
        <f t="shared" si="535"/>
        <v>0</v>
      </c>
      <c r="CV182" s="78">
        <f t="shared" si="536"/>
        <v>0</v>
      </c>
      <c r="CW182" s="131">
        <f t="shared" si="537"/>
        <v>0</v>
      </c>
    </row>
    <row r="183" spans="1:101" x14ac:dyDescent="0.2">
      <c r="A183" s="869" t="s">
        <v>4871</v>
      </c>
      <c r="B183" s="2368" t="s">
        <v>5280</v>
      </c>
      <c r="C183" s="2343" t="s">
        <v>5279</v>
      </c>
      <c r="D183" s="2396" t="s">
        <v>5164</v>
      </c>
      <c r="E183" s="186"/>
      <c r="F183" s="33">
        <f>340000+150000+10000</f>
        <v>500000</v>
      </c>
      <c r="G183" s="33"/>
      <c r="H183" s="33"/>
      <c r="I183" s="33"/>
      <c r="J183" s="76"/>
      <c r="K183" s="33"/>
      <c r="L183" s="33"/>
      <c r="M183" s="33"/>
      <c r="N183" s="33"/>
      <c r="O183" s="33"/>
      <c r="P183" s="102"/>
      <c r="Q183" s="142"/>
      <c r="R183" s="33"/>
      <c r="S183" s="33"/>
      <c r="T183" s="33"/>
      <c r="U183" s="102">
        <f t="shared" si="516"/>
        <v>0</v>
      </c>
      <c r="V183" s="186"/>
      <c r="W183" s="33"/>
      <c r="X183" s="99"/>
      <c r="Y183" s="33">
        <f>'Res-Gen'!F74</f>
        <v>500000</v>
      </c>
      <c r="Z183" s="102">
        <f t="shared" si="517"/>
        <v>0</v>
      </c>
      <c r="AA183" s="142"/>
      <c r="AB183" s="33"/>
      <c r="AC183" s="33"/>
      <c r="AD183" s="33"/>
      <c r="AE183" s="102">
        <f t="shared" si="518"/>
        <v>0</v>
      </c>
      <c r="AF183" s="142"/>
      <c r="AG183" s="33"/>
      <c r="AH183" s="33"/>
      <c r="AI183" s="33"/>
      <c r="AJ183" s="102">
        <f t="shared" si="519"/>
        <v>0</v>
      </c>
      <c r="AK183" s="142"/>
      <c r="AL183" s="33"/>
      <c r="AM183" s="33"/>
      <c r="AN183" s="33"/>
      <c r="AO183" s="114">
        <f t="shared" si="520"/>
        <v>0</v>
      </c>
      <c r="AP183" s="142"/>
      <c r="AQ183" s="33"/>
      <c r="AR183" s="33"/>
      <c r="AS183" s="33"/>
      <c r="AT183" s="102">
        <f t="shared" si="521"/>
        <v>0</v>
      </c>
      <c r="AV183" s="33"/>
      <c r="AW183" s="33"/>
      <c r="AX183" s="33"/>
      <c r="AY183" s="102"/>
      <c r="AZ183" s="142"/>
      <c r="BA183" s="33"/>
      <c r="BB183" s="33"/>
      <c r="BC183" s="33"/>
      <c r="BD183" s="102"/>
      <c r="BE183" s="142"/>
      <c r="BF183" s="33"/>
      <c r="BG183" s="33"/>
      <c r="BH183" s="33"/>
      <c r="BI183" s="102"/>
      <c r="BJ183" s="142"/>
      <c r="BK183" s="33"/>
      <c r="BL183" s="33"/>
      <c r="BM183" s="33"/>
      <c r="BN183" s="102"/>
      <c r="BO183" s="142"/>
      <c r="BP183" s="33"/>
      <c r="BQ183" s="33"/>
      <c r="BR183" s="33"/>
      <c r="BS183" s="102">
        <f t="shared" si="522"/>
        <v>0</v>
      </c>
      <c r="BT183" s="142"/>
      <c r="BU183" s="33"/>
      <c r="BV183" s="33"/>
      <c r="BW183" s="33"/>
      <c r="BX183" s="99">
        <f t="shared" si="523"/>
        <v>0</v>
      </c>
      <c r="BY183" s="2438">
        <v>0</v>
      </c>
      <c r="BZ183" s="1263">
        <v>0</v>
      </c>
      <c r="CA183" s="1263">
        <v>0</v>
      </c>
      <c r="CB183" s="1263">
        <v>0</v>
      </c>
      <c r="CC183" s="1263">
        <v>0</v>
      </c>
      <c r="CD183" s="1263">
        <v>0</v>
      </c>
      <c r="CE183" s="1263">
        <v>0</v>
      </c>
      <c r="CF183" s="1263">
        <v>0</v>
      </c>
      <c r="CG183" s="1263">
        <v>0</v>
      </c>
      <c r="CH183" s="1263">
        <v>0</v>
      </c>
      <c r="CI183" s="1263">
        <v>0</v>
      </c>
      <c r="CJ183" s="1263">
        <v>0</v>
      </c>
      <c r="CK183" s="1263"/>
      <c r="CL183" s="1920">
        <f t="shared" si="526"/>
        <v>0</v>
      </c>
      <c r="CM183" s="78">
        <f t="shared" si="527"/>
        <v>0</v>
      </c>
      <c r="CN183" s="78">
        <f t="shared" si="528"/>
        <v>0</v>
      </c>
      <c r="CO183" s="78">
        <f t="shared" si="529"/>
        <v>0</v>
      </c>
      <c r="CP183" s="78">
        <f t="shared" si="530"/>
        <v>0</v>
      </c>
      <c r="CQ183" s="78">
        <f t="shared" si="531"/>
        <v>0</v>
      </c>
      <c r="CR183" s="78">
        <f t="shared" si="532"/>
        <v>0</v>
      </c>
      <c r="CS183" s="78">
        <f t="shared" si="533"/>
        <v>0</v>
      </c>
      <c r="CT183" s="78">
        <f t="shared" si="534"/>
        <v>0</v>
      </c>
      <c r="CU183" s="78">
        <f t="shared" si="535"/>
        <v>0</v>
      </c>
      <c r="CV183" s="78">
        <f t="shared" si="536"/>
        <v>0</v>
      </c>
      <c r="CW183" s="131">
        <f t="shared" si="537"/>
        <v>0</v>
      </c>
    </row>
    <row r="184" spans="1:101" x14ac:dyDescent="0.2">
      <c r="A184" s="413"/>
      <c r="B184" s="2208"/>
      <c r="C184" s="2334"/>
      <c r="D184" s="2330"/>
      <c r="E184" s="186"/>
      <c r="F184" s="142"/>
      <c r="G184" s="33"/>
      <c r="H184" s="33"/>
      <c r="I184" s="142"/>
      <c r="J184" s="142"/>
      <c r="K184" s="142"/>
      <c r="L184" s="33"/>
      <c r="M184" s="142"/>
      <c r="N184" s="33"/>
      <c r="O184" s="33"/>
      <c r="P184" s="102"/>
      <c r="Q184" s="142"/>
      <c r="R184" s="33"/>
      <c r="S184" s="33"/>
      <c r="T184" s="33"/>
      <c r="U184" s="102"/>
      <c r="V184" s="186"/>
      <c r="W184" s="33"/>
      <c r="X184" s="99"/>
      <c r="Y184" s="33"/>
      <c r="Z184" s="102"/>
      <c r="AA184" s="142"/>
      <c r="AB184" s="33"/>
      <c r="AC184" s="33"/>
      <c r="AD184" s="33"/>
      <c r="AE184" s="102"/>
      <c r="AF184" s="142"/>
      <c r="AG184" s="33"/>
      <c r="AH184" s="33"/>
      <c r="AI184" s="33"/>
      <c r="AJ184" s="102"/>
      <c r="AK184" s="142"/>
      <c r="AL184" s="33"/>
      <c r="AM184" s="33"/>
      <c r="AN184" s="33"/>
      <c r="AO184" s="114"/>
      <c r="AP184" s="142"/>
      <c r="AQ184" s="33"/>
      <c r="AR184" s="33"/>
      <c r="AS184" s="33"/>
      <c r="AT184" s="102"/>
      <c r="AV184" s="33"/>
      <c r="AW184" s="33"/>
      <c r="AX184" s="33"/>
      <c r="AY184" s="102"/>
      <c r="AZ184" s="142"/>
      <c r="BA184" s="33"/>
      <c r="BB184" s="33"/>
      <c r="BC184" s="33"/>
      <c r="BD184" s="102"/>
      <c r="BE184" s="142"/>
      <c r="BF184" s="33"/>
      <c r="BG184" s="33"/>
      <c r="BH184" s="33"/>
      <c r="BI184" s="102"/>
      <c r="BJ184" s="142"/>
      <c r="BK184" s="33"/>
      <c r="BL184" s="33"/>
      <c r="BM184" s="33"/>
      <c r="BN184" s="102"/>
      <c r="BO184" s="142"/>
      <c r="BP184" s="33"/>
      <c r="BQ184" s="33"/>
      <c r="BR184" s="33"/>
      <c r="BS184" s="102"/>
      <c r="BT184" s="142"/>
      <c r="BU184" s="33"/>
      <c r="BV184" s="33"/>
      <c r="BW184" s="33"/>
      <c r="BY184" s="2437"/>
      <c r="BZ184" s="740"/>
      <c r="CA184" s="740"/>
      <c r="CB184" s="740"/>
      <c r="CC184" s="740"/>
      <c r="CD184" s="740"/>
      <c r="CE184" s="740"/>
      <c r="CF184" s="740"/>
      <c r="CG184" s="740"/>
      <c r="CH184" s="740"/>
      <c r="CI184" s="740"/>
      <c r="CJ184" s="740"/>
      <c r="CK184" s="740"/>
      <c r="CL184" s="502"/>
      <c r="CM184" s="99"/>
      <c r="CN184" s="99"/>
      <c r="CO184" s="99"/>
      <c r="CP184" s="99"/>
      <c r="CQ184" s="99"/>
      <c r="CR184" s="99"/>
      <c r="CS184" s="99"/>
      <c r="CT184" s="99"/>
      <c r="CU184" s="99"/>
      <c r="CV184" s="99"/>
      <c r="CW184" s="114"/>
    </row>
    <row r="185" spans="1:101" x14ac:dyDescent="0.2">
      <c r="A185" s="590" t="s">
        <v>5629</v>
      </c>
      <c r="B185" s="2360"/>
      <c r="C185" s="2335"/>
      <c r="D185" s="2388"/>
      <c r="E185" s="186"/>
      <c r="F185" s="142"/>
      <c r="G185" s="33"/>
      <c r="H185" s="33"/>
      <c r="I185" s="142"/>
      <c r="J185" s="142"/>
      <c r="K185" s="142"/>
      <c r="L185" s="33"/>
      <c r="M185" s="142"/>
      <c r="N185" s="33"/>
      <c r="O185" s="33"/>
      <c r="P185" s="102"/>
      <c r="Q185" s="142"/>
      <c r="R185" s="33"/>
      <c r="S185" s="33"/>
      <c r="T185" s="33"/>
      <c r="U185" s="102"/>
      <c r="V185" s="186"/>
      <c r="W185" s="33"/>
      <c r="X185" s="99"/>
      <c r="Y185" s="33"/>
      <c r="Z185" s="102"/>
      <c r="AA185" s="142"/>
      <c r="AB185" s="33"/>
      <c r="AC185" s="33"/>
      <c r="AD185" s="33"/>
      <c r="AE185" s="102"/>
      <c r="AF185" s="142"/>
      <c r="AG185" s="33"/>
      <c r="AH185" s="33"/>
      <c r="AI185" s="33"/>
      <c r="AJ185" s="102"/>
      <c r="AK185" s="142"/>
      <c r="AL185" s="33"/>
      <c r="AM185" s="33"/>
      <c r="AN185" s="33"/>
      <c r="AO185" s="114"/>
      <c r="AP185" s="142"/>
      <c r="AQ185" s="33"/>
      <c r="AR185" s="33"/>
      <c r="AS185" s="33"/>
      <c r="AT185" s="102"/>
      <c r="AV185" s="33"/>
      <c r="AW185" s="33"/>
      <c r="AX185" s="33"/>
      <c r="AY185" s="102"/>
      <c r="AZ185" s="142"/>
      <c r="BA185" s="33"/>
      <c r="BB185" s="33"/>
      <c r="BC185" s="33"/>
      <c r="BD185" s="102"/>
      <c r="BE185" s="142"/>
      <c r="BF185" s="33"/>
      <c r="BG185" s="33"/>
      <c r="BH185" s="33"/>
      <c r="BI185" s="102"/>
      <c r="BJ185" s="142"/>
      <c r="BK185" s="33"/>
      <c r="BL185" s="33"/>
      <c r="BM185" s="33"/>
      <c r="BN185" s="102"/>
      <c r="BO185" s="142"/>
      <c r="BP185" s="33"/>
      <c r="BQ185" s="33"/>
      <c r="BR185" s="33"/>
      <c r="BS185" s="102"/>
      <c r="BT185" s="142"/>
      <c r="BU185" s="33"/>
      <c r="BV185" s="33"/>
      <c r="BW185" s="33"/>
      <c r="BY185" s="2437"/>
      <c r="BZ185" s="740"/>
      <c r="CA185" s="740"/>
      <c r="CB185" s="740"/>
      <c r="CC185" s="740"/>
      <c r="CD185" s="740"/>
      <c r="CE185" s="740"/>
      <c r="CF185" s="740"/>
      <c r="CG185" s="740"/>
      <c r="CH185" s="740"/>
      <c r="CI185" s="740"/>
      <c r="CJ185" s="740"/>
      <c r="CK185" s="740"/>
      <c r="CL185" s="502"/>
      <c r="CM185" s="99"/>
      <c r="CN185" s="99"/>
      <c r="CO185" s="99"/>
      <c r="CP185" s="99"/>
      <c r="CQ185" s="99"/>
      <c r="CR185" s="99"/>
      <c r="CS185" s="99"/>
      <c r="CT185" s="99"/>
      <c r="CU185" s="99"/>
      <c r="CV185" s="99"/>
      <c r="CW185" s="114"/>
    </row>
    <row r="186" spans="1:101" x14ac:dyDescent="0.2">
      <c r="A186" s="869" t="s">
        <v>5578</v>
      </c>
      <c r="B186" s="2368" t="s">
        <v>5282</v>
      </c>
      <c r="C186" s="2343" t="s">
        <v>5281</v>
      </c>
      <c r="D186" s="2328" t="s">
        <v>5281</v>
      </c>
      <c r="E186" s="502"/>
      <c r="F186" s="76">
        <f>162000-55000</f>
        <v>107000</v>
      </c>
      <c r="G186" s="33">
        <f>168000-20000</f>
        <v>148000</v>
      </c>
      <c r="H186" s="33">
        <v>175000</v>
      </c>
      <c r="I186" s="76">
        <f>ROUND((H186*Assumptions!J$6+H186),-3)</f>
        <v>182000</v>
      </c>
      <c r="J186" s="76">
        <f>ROUND((I186*Assumptions!K$6+I186),-3)</f>
        <v>187000</v>
      </c>
      <c r="K186" s="33">
        <f>ROUND((J186*Assumptions!L$6+J186),-3)</f>
        <v>192000</v>
      </c>
      <c r="L186" s="33">
        <f>ROUND((K186*Assumptions!M$6+K186),-3)</f>
        <v>197000</v>
      </c>
      <c r="M186" s="142">
        <f>ROUND((L186*Assumptions!N$6+L186),-3)</f>
        <v>202000</v>
      </c>
      <c r="N186" s="33">
        <f>ROUND((M186*Assumptions!O$6+M186),-3)</f>
        <v>207000</v>
      </c>
      <c r="O186" s="33">
        <f>ROUND((N186*Assumptions!P$6+N186),-3)</f>
        <v>212000</v>
      </c>
      <c r="P186" s="102">
        <f>ROUND((O186*Assumptions!Q$6+O186),-3)</f>
        <v>217000</v>
      </c>
      <c r="Q186" s="142"/>
      <c r="R186" s="33"/>
      <c r="S186" s="33"/>
      <c r="T186" s="33">
        <v>0</v>
      </c>
      <c r="U186" s="102">
        <f>E186-Q186-R186-S186-T186</f>
        <v>0</v>
      </c>
      <c r="V186" s="186"/>
      <c r="W186" s="33"/>
      <c r="X186" s="99"/>
      <c r="Y186" s="33"/>
      <c r="Z186" s="102">
        <f t="shared" ref="Z186:Z191" si="549">F186-V186-W186-X186-Y186</f>
        <v>107000</v>
      </c>
      <c r="AA186" s="142"/>
      <c r="AB186" s="33"/>
      <c r="AC186" s="33"/>
      <c r="AD186" s="33"/>
      <c r="AE186" s="102">
        <f t="shared" ref="AE186:AE191" si="550">G186-AA186-AB186-AC186-AD186</f>
        <v>148000</v>
      </c>
      <c r="AF186" s="142"/>
      <c r="AG186" s="33"/>
      <c r="AH186" s="33"/>
      <c r="AI186" s="33"/>
      <c r="AJ186" s="102">
        <f t="shared" ref="AJ186:AJ191" si="551">H186-AF186-AG186-AH186-AI186</f>
        <v>175000</v>
      </c>
      <c r="AK186" s="142"/>
      <c r="AL186" s="33"/>
      <c r="AM186" s="33"/>
      <c r="AN186" s="33"/>
      <c r="AO186" s="114">
        <f>I186-AK186-AL186-AM186-AN186</f>
        <v>182000</v>
      </c>
      <c r="AP186" s="142"/>
      <c r="AQ186" s="33"/>
      <c r="AR186" s="33"/>
      <c r="AS186" s="33"/>
      <c r="AT186" s="102">
        <f>J186-AP186-AQ186-AR186-AS186</f>
        <v>187000</v>
      </c>
      <c r="AV186" s="33"/>
      <c r="AW186" s="33"/>
      <c r="AX186" s="33"/>
      <c r="AY186" s="102">
        <f>K186-AU186-AV186-AW186-AX186</f>
        <v>192000</v>
      </c>
      <c r="AZ186" s="142"/>
      <c r="BA186" s="33"/>
      <c r="BB186" s="33"/>
      <c r="BC186" s="33"/>
      <c r="BD186" s="102">
        <f>L186-AZ186-BA186-BB186-BC186</f>
        <v>197000</v>
      </c>
      <c r="BE186" s="142"/>
      <c r="BF186" s="33"/>
      <c r="BG186" s="33"/>
      <c r="BH186" s="33"/>
      <c r="BI186" s="102">
        <f>M186-BE186-BF186-BG186-BH186</f>
        <v>202000</v>
      </c>
      <c r="BJ186" s="142"/>
      <c r="BK186" s="33"/>
      <c r="BL186" s="33"/>
      <c r="BM186" s="33"/>
      <c r="BN186" s="102">
        <f>N186-BJ186-BK186-BL186-BM186</f>
        <v>207000</v>
      </c>
      <c r="BO186" s="142"/>
      <c r="BP186" s="33"/>
      <c r="BQ186" s="33"/>
      <c r="BR186" s="33"/>
      <c r="BS186" s="102">
        <f>O186-BO186-BP186-BQ186-BR186</f>
        <v>212000</v>
      </c>
      <c r="BT186" s="142"/>
      <c r="BU186" s="33"/>
      <c r="BV186" s="33"/>
      <c r="BW186" s="33"/>
      <c r="BX186" s="99">
        <f t="shared" ref="BX186:BX193" si="552">P186-BT186-BU186-BV186-BW186</f>
        <v>217000</v>
      </c>
      <c r="BY186" s="2438">
        <v>1</v>
      </c>
      <c r="BZ186" s="1263">
        <f t="shared" ref="BZ186:CH186" si="553">BY186</f>
        <v>1</v>
      </c>
      <c r="CA186" s="1263">
        <f t="shared" si="553"/>
        <v>1</v>
      </c>
      <c r="CB186" s="1263">
        <f t="shared" si="553"/>
        <v>1</v>
      </c>
      <c r="CC186" s="1263">
        <f t="shared" si="553"/>
        <v>1</v>
      </c>
      <c r="CD186" s="1263">
        <f t="shared" si="553"/>
        <v>1</v>
      </c>
      <c r="CE186" s="1263">
        <f t="shared" si="553"/>
        <v>1</v>
      </c>
      <c r="CF186" s="1263">
        <f t="shared" si="553"/>
        <v>1</v>
      </c>
      <c r="CG186" s="1263">
        <f t="shared" si="553"/>
        <v>1</v>
      </c>
      <c r="CH186" s="1263">
        <f t="shared" si="553"/>
        <v>1</v>
      </c>
      <c r="CI186" s="1263">
        <f t="shared" ref="CI186:CJ191" si="554">CH186</f>
        <v>1</v>
      </c>
      <c r="CJ186" s="1263">
        <f t="shared" si="554"/>
        <v>1</v>
      </c>
      <c r="CK186" s="1263"/>
      <c r="CL186" s="1920">
        <f t="shared" ref="CL186:CW191" si="555">ROUND(BY186*E186,-3)</f>
        <v>0</v>
      </c>
      <c r="CM186" s="78">
        <f t="shared" si="555"/>
        <v>107000</v>
      </c>
      <c r="CN186" s="78">
        <f t="shared" si="555"/>
        <v>148000</v>
      </c>
      <c r="CO186" s="78">
        <f t="shared" si="555"/>
        <v>175000</v>
      </c>
      <c r="CP186" s="78">
        <f t="shared" si="555"/>
        <v>182000</v>
      </c>
      <c r="CQ186" s="78">
        <f t="shared" si="555"/>
        <v>187000</v>
      </c>
      <c r="CR186" s="78">
        <f t="shared" si="555"/>
        <v>192000</v>
      </c>
      <c r="CS186" s="78">
        <f t="shared" si="555"/>
        <v>197000</v>
      </c>
      <c r="CT186" s="78">
        <f t="shared" si="555"/>
        <v>202000</v>
      </c>
      <c r="CU186" s="78">
        <f t="shared" si="555"/>
        <v>207000</v>
      </c>
      <c r="CV186" s="78">
        <f t="shared" si="555"/>
        <v>212000</v>
      </c>
      <c r="CW186" s="131">
        <f t="shared" si="555"/>
        <v>217000</v>
      </c>
    </row>
    <row r="187" spans="1:101" x14ac:dyDescent="0.2">
      <c r="A187" s="869" t="s">
        <v>6844</v>
      </c>
      <c r="B187" s="2368"/>
      <c r="C187" s="2343"/>
      <c r="D187" s="2328"/>
      <c r="E187" s="502"/>
      <c r="F187" s="76"/>
      <c r="G187" s="33">
        <v>20000</v>
      </c>
      <c r="H187" s="33"/>
      <c r="I187" s="76"/>
      <c r="J187" s="76"/>
      <c r="K187" s="76"/>
      <c r="L187" s="33"/>
      <c r="M187" s="142"/>
      <c r="N187" s="33"/>
      <c r="O187" s="33"/>
      <c r="P187" s="102"/>
      <c r="Q187" s="142"/>
      <c r="R187" s="33"/>
      <c r="S187" s="33"/>
      <c r="T187" s="33"/>
      <c r="U187" s="102"/>
      <c r="V187" s="186"/>
      <c r="W187" s="33"/>
      <c r="X187" s="99"/>
      <c r="Y187" s="33"/>
      <c r="Z187" s="102">
        <f t="shared" si="549"/>
        <v>0</v>
      </c>
      <c r="AA187" s="142"/>
      <c r="AB187" s="33"/>
      <c r="AC187" s="33"/>
      <c r="AD187" s="33"/>
      <c r="AE187" s="102">
        <f t="shared" si="550"/>
        <v>20000</v>
      </c>
      <c r="AF187" s="142"/>
      <c r="AG187" s="33"/>
      <c r="AH187" s="33"/>
      <c r="AI187" s="33"/>
      <c r="AJ187" s="102">
        <f t="shared" si="551"/>
        <v>0</v>
      </c>
      <c r="AK187" s="142"/>
      <c r="AL187" s="33"/>
      <c r="AM187" s="33"/>
      <c r="AN187" s="33"/>
      <c r="AO187" s="114">
        <f t="shared" ref="AO187:AO191" si="556">I187-AK187-AL187-AM187-AN187</f>
        <v>0</v>
      </c>
      <c r="AP187" s="142"/>
      <c r="AQ187" s="33"/>
      <c r="AR187" s="33"/>
      <c r="AS187" s="33"/>
      <c r="AT187" s="102">
        <f t="shared" ref="AT187:AT191" si="557">J187-AP187-AQ187-AR187-AS187</f>
        <v>0</v>
      </c>
      <c r="AV187" s="33"/>
      <c r="AW187" s="33"/>
      <c r="AX187" s="33"/>
      <c r="AY187" s="102">
        <f t="shared" ref="AY187:AY191" si="558">K187-AU187-AV187-AW187-AX187</f>
        <v>0</v>
      </c>
      <c r="AZ187" s="142"/>
      <c r="BA187" s="33"/>
      <c r="BB187" s="33"/>
      <c r="BC187" s="33"/>
      <c r="BD187" s="102">
        <f t="shared" ref="BD187:BD191" si="559">L187-AZ187-BA187-BB187-BC187</f>
        <v>0</v>
      </c>
      <c r="BE187" s="142"/>
      <c r="BF187" s="33"/>
      <c r="BG187" s="33"/>
      <c r="BH187" s="33"/>
      <c r="BI187" s="102">
        <f t="shared" ref="BI187:BI191" si="560">M187-BE187-BF187-BG187-BH187</f>
        <v>0</v>
      </c>
      <c r="BJ187" s="142"/>
      <c r="BK187" s="33"/>
      <c r="BL187" s="33"/>
      <c r="BM187" s="33"/>
      <c r="BN187" s="102">
        <f t="shared" ref="BN187:BN193" si="561">N187-BJ187-BK187-BL187-BM187</f>
        <v>0</v>
      </c>
      <c r="BO187" s="142"/>
      <c r="BP187" s="33"/>
      <c r="BQ187" s="33"/>
      <c r="BR187" s="33"/>
      <c r="BS187" s="102">
        <f t="shared" ref="BS187:BS193" si="562">O187-BO187-BP187-BQ187-BR187</f>
        <v>0</v>
      </c>
      <c r="BT187" s="142"/>
      <c r="BU187" s="33"/>
      <c r="BV187" s="33"/>
      <c r="BW187" s="33"/>
      <c r="BX187" s="99">
        <f t="shared" si="552"/>
        <v>0</v>
      </c>
      <c r="BY187" s="2438">
        <v>1</v>
      </c>
      <c r="BZ187" s="1263">
        <f t="shared" ref="BZ187:BZ188" si="563">BY187</f>
        <v>1</v>
      </c>
      <c r="CA187" s="1263">
        <f t="shared" ref="CA187:CA188" si="564">BZ187</f>
        <v>1</v>
      </c>
      <c r="CB187" s="1263">
        <f t="shared" ref="CB187:CB188" si="565">CA187</f>
        <v>1</v>
      </c>
      <c r="CC187" s="1263">
        <f t="shared" ref="CC187:CC188" si="566">CB187</f>
        <v>1</v>
      </c>
      <c r="CD187" s="1263">
        <f t="shared" ref="CD187:CD188" si="567">CC187</f>
        <v>1</v>
      </c>
      <c r="CE187" s="1263">
        <f t="shared" ref="CE187:CE188" si="568">CD187</f>
        <v>1</v>
      </c>
      <c r="CF187" s="1263">
        <f t="shared" ref="CF187:CF188" si="569">CE187</f>
        <v>1</v>
      </c>
      <c r="CG187" s="1263">
        <f t="shared" ref="CG187:CG188" si="570">CF187</f>
        <v>1</v>
      </c>
      <c r="CH187" s="1263">
        <f t="shared" ref="CH187:CH188" si="571">CG187</f>
        <v>1</v>
      </c>
      <c r="CI187" s="1263">
        <f t="shared" si="554"/>
        <v>1</v>
      </c>
      <c r="CJ187" s="1263">
        <f t="shared" si="554"/>
        <v>1</v>
      </c>
      <c r="CK187" s="1263"/>
      <c r="CL187" s="1920">
        <f t="shared" si="555"/>
        <v>0</v>
      </c>
      <c r="CM187" s="78">
        <f t="shared" si="555"/>
        <v>0</v>
      </c>
      <c r="CN187" s="78">
        <f t="shared" si="555"/>
        <v>20000</v>
      </c>
      <c r="CO187" s="78">
        <f t="shared" si="555"/>
        <v>0</v>
      </c>
      <c r="CP187" s="78">
        <f t="shared" si="555"/>
        <v>0</v>
      </c>
      <c r="CQ187" s="78">
        <f t="shared" si="555"/>
        <v>0</v>
      </c>
      <c r="CR187" s="78">
        <f t="shared" si="555"/>
        <v>0</v>
      </c>
      <c r="CS187" s="78">
        <f t="shared" si="555"/>
        <v>0</v>
      </c>
      <c r="CT187" s="78">
        <f t="shared" si="555"/>
        <v>0</v>
      </c>
      <c r="CU187" s="78">
        <f t="shared" si="555"/>
        <v>0</v>
      </c>
      <c r="CV187" s="78">
        <f t="shared" si="555"/>
        <v>0</v>
      </c>
      <c r="CW187" s="131">
        <f t="shared" si="555"/>
        <v>0</v>
      </c>
    </row>
    <row r="188" spans="1:101" x14ac:dyDescent="0.2">
      <c r="A188" s="869" t="s">
        <v>6896</v>
      </c>
      <c r="B188" s="2368" t="s">
        <v>6278</v>
      </c>
      <c r="C188" s="2343" t="s">
        <v>6047</v>
      </c>
      <c r="D188" s="2328" t="s">
        <v>6047</v>
      </c>
      <c r="E188" s="502"/>
      <c r="F188" s="76">
        <v>45000</v>
      </c>
      <c r="G188" s="33"/>
      <c r="H188" s="33"/>
      <c r="I188" s="76"/>
      <c r="J188" s="76"/>
      <c r="K188" s="76"/>
      <c r="L188" s="33"/>
      <c r="M188" s="142"/>
      <c r="N188" s="33"/>
      <c r="O188" s="33"/>
      <c r="P188" s="102"/>
      <c r="Q188" s="142"/>
      <c r="R188" s="33"/>
      <c r="S188" s="33"/>
      <c r="T188" s="33"/>
      <c r="U188" s="102"/>
      <c r="V188" s="186"/>
      <c r="W188" s="33"/>
      <c r="X188" s="99"/>
      <c r="Y188" s="33">
        <f>'Res-Gen'!F212</f>
        <v>45000</v>
      </c>
      <c r="Z188" s="102">
        <f t="shared" si="549"/>
        <v>0</v>
      </c>
      <c r="AA188" s="142"/>
      <c r="AB188" s="33"/>
      <c r="AC188" s="33"/>
      <c r="AD188" s="33"/>
      <c r="AE188" s="102">
        <f t="shared" si="550"/>
        <v>0</v>
      </c>
      <c r="AF188" s="142"/>
      <c r="AG188" s="33"/>
      <c r="AH188" s="33"/>
      <c r="AI188" s="33"/>
      <c r="AJ188" s="102">
        <f t="shared" si="551"/>
        <v>0</v>
      </c>
      <c r="AK188" s="142"/>
      <c r="AL188" s="33"/>
      <c r="AM188" s="33"/>
      <c r="AN188" s="33"/>
      <c r="AO188" s="114">
        <f t="shared" si="556"/>
        <v>0</v>
      </c>
      <c r="AP188" s="142"/>
      <c r="AQ188" s="33"/>
      <c r="AR188" s="33"/>
      <c r="AS188" s="33"/>
      <c r="AT188" s="102">
        <f t="shared" si="557"/>
        <v>0</v>
      </c>
      <c r="AV188" s="33"/>
      <c r="AW188" s="33"/>
      <c r="AX188" s="33"/>
      <c r="AY188" s="102">
        <f t="shared" si="558"/>
        <v>0</v>
      </c>
      <c r="AZ188" s="142"/>
      <c r="BA188" s="33"/>
      <c r="BB188" s="33"/>
      <c r="BC188" s="33"/>
      <c r="BD188" s="102">
        <f t="shared" si="559"/>
        <v>0</v>
      </c>
      <c r="BE188" s="142"/>
      <c r="BF188" s="33"/>
      <c r="BG188" s="33"/>
      <c r="BH188" s="33"/>
      <c r="BI188" s="102">
        <f t="shared" si="560"/>
        <v>0</v>
      </c>
      <c r="BJ188" s="142"/>
      <c r="BK188" s="33"/>
      <c r="BL188" s="33"/>
      <c r="BM188" s="33"/>
      <c r="BN188" s="102">
        <f t="shared" si="561"/>
        <v>0</v>
      </c>
      <c r="BO188" s="142"/>
      <c r="BP188" s="33"/>
      <c r="BQ188" s="33"/>
      <c r="BR188" s="33"/>
      <c r="BS188" s="102">
        <f t="shared" si="562"/>
        <v>0</v>
      </c>
      <c r="BT188" s="142"/>
      <c r="BU188" s="33"/>
      <c r="BV188" s="33"/>
      <c r="BW188" s="33"/>
      <c r="BX188" s="99">
        <f t="shared" si="552"/>
        <v>0</v>
      </c>
      <c r="BY188" s="2438">
        <v>1</v>
      </c>
      <c r="BZ188" s="1263">
        <f t="shared" si="563"/>
        <v>1</v>
      </c>
      <c r="CA188" s="1263">
        <f t="shared" si="564"/>
        <v>1</v>
      </c>
      <c r="CB188" s="1263">
        <f t="shared" si="565"/>
        <v>1</v>
      </c>
      <c r="CC188" s="1263">
        <f t="shared" si="566"/>
        <v>1</v>
      </c>
      <c r="CD188" s="1263">
        <f t="shared" si="567"/>
        <v>1</v>
      </c>
      <c r="CE188" s="1263">
        <f t="shared" si="568"/>
        <v>1</v>
      </c>
      <c r="CF188" s="1263">
        <f t="shared" si="569"/>
        <v>1</v>
      </c>
      <c r="CG188" s="1263">
        <f t="shared" si="570"/>
        <v>1</v>
      </c>
      <c r="CH188" s="1263">
        <f t="shared" si="571"/>
        <v>1</v>
      </c>
      <c r="CI188" s="1263">
        <f t="shared" si="554"/>
        <v>1</v>
      </c>
      <c r="CJ188" s="1263">
        <f t="shared" si="554"/>
        <v>1</v>
      </c>
      <c r="CK188" s="1263"/>
      <c r="CL188" s="1920">
        <f t="shared" si="555"/>
        <v>0</v>
      </c>
      <c r="CM188" s="78">
        <f t="shared" si="555"/>
        <v>45000</v>
      </c>
      <c r="CN188" s="78">
        <f t="shared" si="555"/>
        <v>0</v>
      </c>
      <c r="CO188" s="78">
        <f t="shared" si="555"/>
        <v>0</v>
      </c>
      <c r="CP188" s="78">
        <f t="shared" si="555"/>
        <v>0</v>
      </c>
      <c r="CQ188" s="78">
        <f t="shared" si="555"/>
        <v>0</v>
      </c>
      <c r="CR188" s="78">
        <f t="shared" si="555"/>
        <v>0</v>
      </c>
      <c r="CS188" s="78">
        <f t="shared" si="555"/>
        <v>0</v>
      </c>
      <c r="CT188" s="78">
        <f t="shared" si="555"/>
        <v>0</v>
      </c>
      <c r="CU188" s="78">
        <f t="shared" si="555"/>
        <v>0</v>
      </c>
      <c r="CV188" s="78">
        <f t="shared" si="555"/>
        <v>0</v>
      </c>
      <c r="CW188" s="131">
        <f t="shared" si="555"/>
        <v>0</v>
      </c>
    </row>
    <row r="189" spans="1:101" s="133" customFormat="1" x14ac:dyDescent="0.2">
      <c r="A189" s="869" t="s">
        <v>6895</v>
      </c>
      <c r="B189" s="2354" t="s">
        <v>2680</v>
      </c>
      <c r="C189" s="2332" t="s">
        <v>4165</v>
      </c>
      <c r="D189" s="2328" t="s">
        <v>2680</v>
      </c>
      <c r="E189" s="914">
        <v>2695900</v>
      </c>
      <c r="F189" s="132">
        <f>625500+2590300</f>
        <v>3215800</v>
      </c>
      <c r="G189" s="132"/>
      <c r="H189" s="132"/>
      <c r="I189" s="77"/>
      <c r="J189" s="77"/>
      <c r="K189" s="77"/>
      <c r="L189" s="33"/>
      <c r="M189" s="132"/>
      <c r="N189" s="132"/>
      <c r="O189" s="132"/>
      <c r="P189" s="830"/>
      <c r="Q189" s="130"/>
      <c r="R189" s="132"/>
      <c r="S189" s="132"/>
      <c r="T189" s="132">
        <v>2695900</v>
      </c>
      <c r="U189" s="102">
        <f>E189-Q189-R189-S189-T189</f>
        <v>0</v>
      </c>
      <c r="V189" s="914"/>
      <c r="W189" s="132"/>
      <c r="X189" s="78"/>
      <c r="Y189" s="132">
        <f>'Res-Gen'!F216+'Res-Gen'!F214+'Res-Gen'!F215</f>
        <v>3215800</v>
      </c>
      <c r="Z189" s="102">
        <f t="shared" si="549"/>
        <v>0</v>
      </c>
      <c r="AA189" s="130"/>
      <c r="AB189" s="132"/>
      <c r="AC189" s="132"/>
      <c r="AD189" s="132"/>
      <c r="AE189" s="102">
        <f t="shared" si="550"/>
        <v>0</v>
      </c>
      <c r="AF189" s="130"/>
      <c r="AG189" s="132"/>
      <c r="AH189" s="132"/>
      <c r="AI189" s="132"/>
      <c r="AJ189" s="102">
        <f t="shared" si="551"/>
        <v>0</v>
      </c>
      <c r="AK189" s="130"/>
      <c r="AL189" s="132"/>
      <c r="AM189" s="132"/>
      <c r="AN189" s="132"/>
      <c r="AO189" s="114">
        <f t="shared" si="556"/>
        <v>0</v>
      </c>
      <c r="AP189" s="130"/>
      <c r="AQ189" s="132"/>
      <c r="AR189" s="132"/>
      <c r="AS189" s="132"/>
      <c r="AT189" s="102">
        <f t="shared" si="557"/>
        <v>0</v>
      </c>
      <c r="AU189" s="78"/>
      <c r="AV189" s="132"/>
      <c r="AW189" s="132"/>
      <c r="AX189" s="132"/>
      <c r="AY189" s="102">
        <f t="shared" si="558"/>
        <v>0</v>
      </c>
      <c r="AZ189" s="130"/>
      <c r="BA189" s="132"/>
      <c r="BB189" s="132"/>
      <c r="BC189" s="132"/>
      <c r="BD189" s="102">
        <f t="shared" si="559"/>
        <v>0</v>
      </c>
      <c r="BE189" s="130"/>
      <c r="BF189" s="132"/>
      <c r="BG189" s="132"/>
      <c r="BH189" s="132"/>
      <c r="BI189" s="102">
        <f t="shared" si="560"/>
        <v>0</v>
      </c>
      <c r="BJ189" s="130"/>
      <c r="BK189" s="132"/>
      <c r="BL189" s="132"/>
      <c r="BM189" s="132"/>
      <c r="BN189" s="102">
        <f t="shared" si="561"/>
        <v>0</v>
      </c>
      <c r="BO189" s="130"/>
      <c r="BP189" s="132"/>
      <c r="BQ189" s="132"/>
      <c r="BR189" s="132"/>
      <c r="BS189" s="102">
        <f t="shared" si="562"/>
        <v>0</v>
      </c>
      <c r="BT189" s="130"/>
      <c r="BU189" s="132"/>
      <c r="BV189" s="132"/>
      <c r="BW189" s="132"/>
      <c r="BX189" s="99">
        <f t="shared" si="552"/>
        <v>0</v>
      </c>
      <c r="BY189" s="2438">
        <v>0</v>
      </c>
      <c r="BZ189" s="1263">
        <f t="shared" ref="BZ189:CH189" si="572">BY189</f>
        <v>0</v>
      </c>
      <c r="CA189" s="1263">
        <f t="shared" si="572"/>
        <v>0</v>
      </c>
      <c r="CB189" s="1263">
        <f t="shared" si="572"/>
        <v>0</v>
      </c>
      <c r="CC189" s="1263">
        <f t="shared" si="572"/>
        <v>0</v>
      </c>
      <c r="CD189" s="1263">
        <f t="shared" si="572"/>
        <v>0</v>
      </c>
      <c r="CE189" s="1263">
        <f t="shared" si="572"/>
        <v>0</v>
      </c>
      <c r="CF189" s="1263">
        <f t="shared" si="572"/>
        <v>0</v>
      </c>
      <c r="CG189" s="1263">
        <f t="shared" si="572"/>
        <v>0</v>
      </c>
      <c r="CH189" s="1263">
        <f t="shared" si="572"/>
        <v>0</v>
      </c>
      <c r="CI189" s="1263">
        <f t="shared" si="554"/>
        <v>0</v>
      </c>
      <c r="CJ189" s="1263">
        <f t="shared" si="554"/>
        <v>0</v>
      </c>
      <c r="CK189" s="1263"/>
      <c r="CL189" s="1920">
        <f t="shared" si="555"/>
        <v>0</v>
      </c>
      <c r="CM189" s="78">
        <f t="shared" si="555"/>
        <v>0</v>
      </c>
      <c r="CN189" s="78">
        <f t="shared" si="555"/>
        <v>0</v>
      </c>
      <c r="CO189" s="78">
        <f t="shared" si="555"/>
        <v>0</v>
      </c>
      <c r="CP189" s="78">
        <f t="shared" si="555"/>
        <v>0</v>
      </c>
      <c r="CQ189" s="78">
        <f t="shared" si="555"/>
        <v>0</v>
      </c>
      <c r="CR189" s="78">
        <f t="shared" si="555"/>
        <v>0</v>
      </c>
      <c r="CS189" s="78">
        <f t="shared" si="555"/>
        <v>0</v>
      </c>
      <c r="CT189" s="78">
        <f t="shared" si="555"/>
        <v>0</v>
      </c>
      <c r="CU189" s="78">
        <f t="shared" si="555"/>
        <v>0</v>
      </c>
      <c r="CV189" s="78">
        <f t="shared" si="555"/>
        <v>0</v>
      </c>
      <c r="CW189" s="131">
        <f t="shared" si="555"/>
        <v>0</v>
      </c>
    </row>
    <row r="190" spans="1:101" s="133" customFormat="1" x14ac:dyDescent="0.2">
      <c r="A190" s="869" t="s">
        <v>6894</v>
      </c>
      <c r="B190" s="2354"/>
      <c r="C190" s="2332"/>
      <c r="D190" s="2328"/>
      <c r="E190" s="914"/>
      <c r="F190" s="132"/>
      <c r="G190" s="132">
        <v>1300000</v>
      </c>
      <c r="H190" s="132"/>
      <c r="I190" s="77"/>
      <c r="J190" s="77"/>
      <c r="K190" s="77"/>
      <c r="L190" s="33"/>
      <c r="M190" s="132"/>
      <c r="N190" s="132"/>
      <c r="O190" s="132"/>
      <c r="P190" s="830"/>
      <c r="Q190" s="130"/>
      <c r="R190" s="132"/>
      <c r="S190" s="132"/>
      <c r="T190" s="132"/>
      <c r="U190" s="102">
        <f>E190-Q190-R190-S190-T190</f>
        <v>0</v>
      </c>
      <c r="V190" s="914"/>
      <c r="W190" s="132"/>
      <c r="X190" s="78"/>
      <c r="Y190" s="132"/>
      <c r="Z190" s="102">
        <f t="shared" si="549"/>
        <v>0</v>
      </c>
      <c r="AA190" s="130"/>
      <c r="AB190" s="132"/>
      <c r="AC190" s="132"/>
      <c r="AD190" s="132">
        <f>'Res-Gen'!I68+150000</f>
        <v>1300000</v>
      </c>
      <c r="AE190" s="102">
        <f t="shared" si="550"/>
        <v>0</v>
      </c>
      <c r="AF190" s="130"/>
      <c r="AG190" s="132"/>
      <c r="AH190" s="132"/>
      <c r="AI190" s="132"/>
      <c r="AJ190" s="102">
        <f t="shared" si="551"/>
        <v>0</v>
      </c>
      <c r="AK190" s="130"/>
      <c r="AL190" s="132"/>
      <c r="AM190" s="132"/>
      <c r="AN190" s="132"/>
      <c r="AO190" s="114">
        <f t="shared" si="556"/>
        <v>0</v>
      </c>
      <c r="AP190" s="130"/>
      <c r="AQ190" s="132"/>
      <c r="AR190" s="132"/>
      <c r="AS190" s="132"/>
      <c r="AT190" s="102">
        <f t="shared" si="557"/>
        <v>0</v>
      </c>
      <c r="AU190" s="78"/>
      <c r="AV190" s="132"/>
      <c r="AW190" s="132"/>
      <c r="AX190" s="132"/>
      <c r="AY190" s="102">
        <f t="shared" si="558"/>
        <v>0</v>
      </c>
      <c r="AZ190" s="130"/>
      <c r="BA190" s="132"/>
      <c r="BB190" s="132"/>
      <c r="BC190" s="132"/>
      <c r="BD190" s="102">
        <f t="shared" si="559"/>
        <v>0</v>
      </c>
      <c r="BE190" s="130"/>
      <c r="BF190" s="132"/>
      <c r="BG190" s="132"/>
      <c r="BH190" s="132"/>
      <c r="BI190" s="102">
        <f t="shared" si="560"/>
        <v>0</v>
      </c>
      <c r="BJ190" s="130"/>
      <c r="BK190" s="132"/>
      <c r="BL190" s="132"/>
      <c r="BM190" s="132"/>
      <c r="BN190" s="102">
        <f t="shared" si="561"/>
        <v>0</v>
      </c>
      <c r="BO190" s="130"/>
      <c r="BP190" s="132"/>
      <c r="BQ190" s="132"/>
      <c r="BR190" s="132"/>
      <c r="BS190" s="102">
        <f t="shared" si="562"/>
        <v>0</v>
      </c>
      <c r="BT190" s="130"/>
      <c r="BU190" s="132"/>
      <c r="BV190" s="132"/>
      <c r="BW190" s="132"/>
      <c r="BX190" s="99">
        <f t="shared" si="552"/>
        <v>0</v>
      </c>
      <c r="BY190" s="2438">
        <v>0</v>
      </c>
      <c r="BZ190" s="1263">
        <f t="shared" ref="BZ190" si="573">BY190</f>
        <v>0</v>
      </c>
      <c r="CA190" s="1263">
        <f t="shared" ref="CA190" si="574">BZ190</f>
        <v>0</v>
      </c>
      <c r="CB190" s="1263">
        <f t="shared" ref="CB190" si="575">CA190</f>
        <v>0</v>
      </c>
      <c r="CC190" s="1263">
        <f t="shared" ref="CC190" si="576">CB190</f>
        <v>0</v>
      </c>
      <c r="CD190" s="1263">
        <f t="shared" ref="CD190" si="577">CC190</f>
        <v>0</v>
      </c>
      <c r="CE190" s="1263">
        <f t="shared" ref="CE190" si="578">CD190</f>
        <v>0</v>
      </c>
      <c r="CF190" s="1263">
        <f t="shared" ref="CF190" si="579">CE190</f>
        <v>0</v>
      </c>
      <c r="CG190" s="1263">
        <f t="shared" ref="CG190" si="580">CF190</f>
        <v>0</v>
      </c>
      <c r="CH190" s="1263">
        <f t="shared" ref="CH190" si="581">CG190</f>
        <v>0</v>
      </c>
      <c r="CI190" s="1263">
        <f t="shared" si="554"/>
        <v>0</v>
      </c>
      <c r="CJ190" s="1263">
        <f t="shared" si="554"/>
        <v>0</v>
      </c>
      <c r="CK190" s="1263"/>
      <c r="CL190" s="1920">
        <f t="shared" si="555"/>
        <v>0</v>
      </c>
      <c r="CM190" s="78">
        <f t="shared" si="555"/>
        <v>0</v>
      </c>
      <c r="CN190" s="78">
        <f t="shared" si="555"/>
        <v>0</v>
      </c>
      <c r="CO190" s="78">
        <f t="shared" si="555"/>
        <v>0</v>
      </c>
      <c r="CP190" s="78">
        <f t="shared" si="555"/>
        <v>0</v>
      </c>
      <c r="CQ190" s="78">
        <f t="shared" si="555"/>
        <v>0</v>
      </c>
      <c r="CR190" s="78">
        <f t="shared" si="555"/>
        <v>0</v>
      </c>
      <c r="CS190" s="78">
        <f t="shared" si="555"/>
        <v>0</v>
      </c>
      <c r="CT190" s="78">
        <f t="shared" si="555"/>
        <v>0</v>
      </c>
      <c r="CU190" s="78">
        <f t="shared" si="555"/>
        <v>0</v>
      </c>
      <c r="CV190" s="78">
        <f t="shared" si="555"/>
        <v>0</v>
      </c>
      <c r="CW190" s="131">
        <f t="shared" si="555"/>
        <v>0</v>
      </c>
    </row>
    <row r="191" spans="1:101" s="133" customFormat="1" x14ac:dyDescent="0.2">
      <c r="A191" s="869" t="s">
        <v>6091</v>
      </c>
      <c r="B191" s="2368"/>
      <c r="C191" s="2332" t="s">
        <v>5580</v>
      </c>
      <c r="D191" s="2328"/>
      <c r="E191" s="914"/>
      <c r="F191" s="132">
        <f>25000+75000</f>
        <v>100000</v>
      </c>
      <c r="G191" s="132"/>
      <c r="H191" s="132"/>
      <c r="I191" s="77"/>
      <c r="J191" s="77"/>
      <c r="K191" s="77"/>
      <c r="L191" s="33"/>
      <c r="M191" s="132"/>
      <c r="N191" s="132"/>
      <c r="O191" s="132"/>
      <c r="P191" s="830"/>
      <c r="Q191" s="130"/>
      <c r="R191" s="132"/>
      <c r="S191" s="132"/>
      <c r="T191" s="132">
        <v>0</v>
      </c>
      <c r="U191" s="102">
        <f>E191-Q191-R191-S191-T191</f>
        <v>0</v>
      </c>
      <c r="V191" s="914">
        <f>'Cap Inc'!E95</f>
        <v>20000</v>
      </c>
      <c r="W191" s="132"/>
      <c r="X191" s="78"/>
      <c r="Y191" s="132">
        <v>25000</v>
      </c>
      <c r="Z191" s="102">
        <f t="shared" si="549"/>
        <v>55000</v>
      </c>
      <c r="AA191" s="130"/>
      <c r="AB191" s="132"/>
      <c r="AC191" s="132"/>
      <c r="AD191" s="132"/>
      <c r="AE191" s="102">
        <f t="shared" si="550"/>
        <v>0</v>
      </c>
      <c r="AF191" s="130"/>
      <c r="AG191" s="132"/>
      <c r="AH191" s="132"/>
      <c r="AI191" s="132"/>
      <c r="AJ191" s="102">
        <f t="shared" si="551"/>
        <v>0</v>
      </c>
      <c r="AK191" s="130"/>
      <c r="AL191" s="132"/>
      <c r="AM191" s="132"/>
      <c r="AN191" s="132"/>
      <c r="AO191" s="114">
        <f t="shared" si="556"/>
        <v>0</v>
      </c>
      <c r="AP191" s="130"/>
      <c r="AQ191" s="132"/>
      <c r="AR191" s="132"/>
      <c r="AS191" s="132"/>
      <c r="AT191" s="102">
        <f t="shared" si="557"/>
        <v>0</v>
      </c>
      <c r="AU191" s="78"/>
      <c r="AV191" s="132"/>
      <c r="AW191" s="132"/>
      <c r="AX191" s="132"/>
      <c r="AY191" s="102">
        <f t="shared" si="558"/>
        <v>0</v>
      </c>
      <c r="AZ191" s="130"/>
      <c r="BA191" s="132"/>
      <c r="BB191" s="132"/>
      <c r="BC191" s="132"/>
      <c r="BD191" s="102">
        <f t="shared" si="559"/>
        <v>0</v>
      </c>
      <c r="BE191" s="130"/>
      <c r="BF191" s="132"/>
      <c r="BG191" s="132"/>
      <c r="BH191" s="132"/>
      <c r="BI191" s="102">
        <f t="shared" si="560"/>
        <v>0</v>
      </c>
      <c r="BJ191" s="130"/>
      <c r="BK191" s="132"/>
      <c r="BL191" s="132"/>
      <c r="BM191" s="132"/>
      <c r="BN191" s="102">
        <f t="shared" si="561"/>
        <v>0</v>
      </c>
      <c r="BO191" s="130"/>
      <c r="BP191" s="132"/>
      <c r="BQ191" s="132"/>
      <c r="BR191" s="132"/>
      <c r="BS191" s="102">
        <f t="shared" si="562"/>
        <v>0</v>
      </c>
      <c r="BT191" s="130"/>
      <c r="BU191" s="132"/>
      <c r="BV191" s="132"/>
      <c r="BW191" s="132"/>
      <c r="BX191" s="99">
        <f t="shared" si="552"/>
        <v>0</v>
      </c>
      <c r="BY191" s="2438">
        <v>0</v>
      </c>
      <c r="BZ191" s="1263">
        <f t="shared" ref="BZ191" si="582">BY191</f>
        <v>0</v>
      </c>
      <c r="CA191" s="1263">
        <f t="shared" ref="CA191" si="583">BZ191</f>
        <v>0</v>
      </c>
      <c r="CB191" s="1263">
        <f t="shared" ref="CB191" si="584">CA191</f>
        <v>0</v>
      </c>
      <c r="CC191" s="1263">
        <f t="shared" ref="CC191" si="585">CB191</f>
        <v>0</v>
      </c>
      <c r="CD191" s="1263">
        <f t="shared" ref="CD191" si="586">CC191</f>
        <v>0</v>
      </c>
      <c r="CE191" s="1263">
        <f t="shared" ref="CE191" si="587">CD191</f>
        <v>0</v>
      </c>
      <c r="CF191" s="1263">
        <f t="shared" ref="CF191" si="588">CE191</f>
        <v>0</v>
      </c>
      <c r="CG191" s="1263">
        <f t="shared" ref="CG191" si="589">CF191</f>
        <v>0</v>
      </c>
      <c r="CH191" s="1263">
        <f t="shared" ref="CH191" si="590">CG191</f>
        <v>0</v>
      </c>
      <c r="CI191" s="1263">
        <f t="shared" si="554"/>
        <v>0</v>
      </c>
      <c r="CJ191" s="1263">
        <f t="shared" si="554"/>
        <v>0</v>
      </c>
      <c r="CK191" s="1263"/>
      <c r="CL191" s="1920">
        <f t="shared" si="555"/>
        <v>0</v>
      </c>
      <c r="CM191" s="78">
        <f t="shared" si="555"/>
        <v>0</v>
      </c>
      <c r="CN191" s="78">
        <f t="shared" si="555"/>
        <v>0</v>
      </c>
      <c r="CO191" s="78">
        <f t="shared" si="555"/>
        <v>0</v>
      </c>
      <c r="CP191" s="78">
        <f t="shared" si="555"/>
        <v>0</v>
      </c>
      <c r="CQ191" s="78">
        <f t="shared" si="555"/>
        <v>0</v>
      </c>
      <c r="CR191" s="78">
        <f t="shared" si="555"/>
        <v>0</v>
      </c>
      <c r="CS191" s="78">
        <f t="shared" si="555"/>
        <v>0</v>
      </c>
      <c r="CT191" s="78">
        <f t="shared" si="555"/>
        <v>0</v>
      </c>
      <c r="CU191" s="78">
        <f t="shared" si="555"/>
        <v>0</v>
      </c>
      <c r="CV191" s="78">
        <f t="shared" si="555"/>
        <v>0</v>
      </c>
      <c r="CW191" s="131">
        <f t="shared" si="555"/>
        <v>0</v>
      </c>
    </row>
    <row r="192" spans="1:101" x14ac:dyDescent="0.2">
      <c r="A192" s="869"/>
      <c r="B192" s="2368"/>
      <c r="C192" s="2349"/>
      <c r="D192" s="2328"/>
      <c r="E192" s="186"/>
      <c r="F192" s="142"/>
      <c r="G192" s="33"/>
      <c r="H192" s="33"/>
      <c r="I192" s="142"/>
      <c r="J192" s="142"/>
      <c r="K192" s="142"/>
      <c r="L192" s="33"/>
      <c r="M192" s="142"/>
      <c r="N192" s="33"/>
      <c r="O192" s="33"/>
      <c r="P192" s="102"/>
      <c r="Q192" s="142"/>
      <c r="R192" s="33"/>
      <c r="S192" s="33"/>
      <c r="T192" s="33"/>
      <c r="U192" s="102"/>
      <c r="V192" s="186"/>
      <c r="W192" s="33"/>
      <c r="X192" s="99"/>
      <c r="Y192" s="33"/>
      <c r="Z192" s="102"/>
      <c r="AA192" s="142"/>
      <c r="AB192" s="33"/>
      <c r="AC192" s="33"/>
      <c r="AD192" s="33"/>
      <c r="AE192" s="102"/>
      <c r="AF192" s="142"/>
      <c r="AG192" s="33"/>
      <c r="AH192" s="33"/>
      <c r="AI192" s="33"/>
      <c r="AJ192" s="102"/>
      <c r="AK192" s="142"/>
      <c r="AL192" s="33"/>
      <c r="AM192" s="33"/>
      <c r="AN192" s="33"/>
      <c r="AO192" s="114"/>
      <c r="AP192" s="142"/>
      <c r="AQ192" s="33"/>
      <c r="AR192" s="33"/>
      <c r="AS192" s="33"/>
      <c r="AT192" s="102"/>
      <c r="AV192" s="33"/>
      <c r="AW192" s="33"/>
      <c r="AX192" s="33"/>
      <c r="AY192" s="102"/>
      <c r="AZ192" s="142"/>
      <c r="BA192" s="33"/>
      <c r="BB192" s="33"/>
      <c r="BC192" s="33"/>
      <c r="BD192" s="102"/>
      <c r="BE192" s="142"/>
      <c r="BF192" s="33"/>
      <c r="BG192" s="33"/>
      <c r="BH192" s="33"/>
      <c r="BI192" s="102"/>
      <c r="BJ192" s="142"/>
      <c r="BK192" s="33"/>
      <c r="BL192" s="33"/>
      <c r="BM192" s="33"/>
      <c r="BN192" s="102">
        <f t="shared" si="561"/>
        <v>0</v>
      </c>
      <c r="BO192" s="142"/>
      <c r="BP192" s="33"/>
      <c r="BQ192" s="33"/>
      <c r="BR192" s="33"/>
      <c r="BS192" s="102">
        <f t="shared" si="562"/>
        <v>0</v>
      </c>
      <c r="BT192" s="142"/>
      <c r="BU192" s="33"/>
      <c r="BV192" s="33"/>
      <c r="BW192" s="33"/>
      <c r="BX192" s="99">
        <f t="shared" si="552"/>
        <v>0</v>
      </c>
      <c r="BY192" s="2438"/>
      <c r="BZ192" s="1263"/>
      <c r="CA192" s="1263"/>
      <c r="CB192" s="1263"/>
      <c r="CC192" s="1263"/>
      <c r="CD192" s="1263"/>
      <c r="CE192" s="1263"/>
      <c r="CF192" s="1263"/>
      <c r="CG192" s="1263"/>
      <c r="CH192" s="1263"/>
      <c r="CI192" s="1263"/>
      <c r="CJ192" s="1263"/>
      <c r="CK192" s="1263"/>
      <c r="CL192" s="1920"/>
      <c r="CM192" s="78"/>
      <c r="CN192" s="78"/>
      <c r="CO192" s="78"/>
      <c r="CP192" s="78"/>
      <c r="CQ192" s="78"/>
      <c r="CR192" s="78"/>
      <c r="CS192" s="78"/>
      <c r="CT192" s="78"/>
      <c r="CU192" s="78"/>
      <c r="CV192" s="78"/>
      <c r="CW192" s="131"/>
    </row>
    <row r="193" spans="1:101" x14ac:dyDescent="0.2">
      <c r="A193" s="410" t="s">
        <v>367</v>
      </c>
      <c r="B193" s="2356" t="s">
        <v>1350</v>
      </c>
      <c r="C193" s="2332" t="s">
        <v>5076</v>
      </c>
      <c r="D193" s="2328" t="s">
        <v>1350</v>
      </c>
      <c r="E193" s="914">
        <f>1702300-317200</f>
        <v>1385100</v>
      </c>
      <c r="F193" s="76">
        <f>1510000+560000</f>
        <v>2070000</v>
      </c>
      <c r="G193" s="33">
        <v>1094000</v>
      </c>
      <c r="H193" s="33">
        <v>1270000</v>
      </c>
      <c r="I193" s="76">
        <v>744000</v>
      </c>
      <c r="J193" s="76">
        <v>1649000</v>
      </c>
      <c r="K193" s="33">
        <v>1202000</v>
      </c>
      <c r="L193" s="33">
        <v>1623000</v>
      </c>
      <c r="M193" s="142">
        <v>1890000</v>
      </c>
      <c r="N193" s="33">
        <v>1392000</v>
      </c>
      <c r="O193" s="33">
        <v>1300000</v>
      </c>
      <c r="P193" s="102">
        <v>1350000</v>
      </c>
      <c r="Q193" s="142"/>
      <c r="R193" s="33"/>
      <c r="S193" s="33"/>
      <c r="T193" s="33">
        <f>E193</f>
        <v>1385100</v>
      </c>
      <c r="U193" s="102">
        <f>E193-Q193-R193-S193-T193</f>
        <v>0</v>
      </c>
      <c r="V193" s="186"/>
      <c r="W193" s="33"/>
      <c r="X193" s="99"/>
      <c r="Y193" s="33">
        <f>F193</f>
        <v>2070000</v>
      </c>
      <c r="Z193" s="102">
        <f>F193-V193-W193-X193-Y193</f>
        <v>0</v>
      </c>
      <c r="AA193" s="142"/>
      <c r="AB193" s="33"/>
      <c r="AC193" s="33"/>
      <c r="AD193" s="33">
        <f>G193</f>
        <v>1094000</v>
      </c>
      <c r="AE193" s="102">
        <f>G193-AA193-AB193-AC193-AD193</f>
        <v>0</v>
      </c>
      <c r="AF193" s="142"/>
      <c r="AG193" s="33"/>
      <c r="AH193" s="33"/>
      <c r="AI193" s="33">
        <f>H193</f>
        <v>1270000</v>
      </c>
      <c r="AJ193" s="102">
        <f>H193-AF193-AG193-AH193-AI193</f>
        <v>0</v>
      </c>
      <c r="AK193" s="142"/>
      <c r="AL193" s="33"/>
      <c r="AM193" s="33"/>
      <c r="AN193" s="33">
        <f>I193</f>
        <v>744000</v>
      </c>
      <c r="AO193" s="114">
        <f>I193-AK193-AL193-AM193-AN193</f>
        <v>0</v>
      </c>
      <c r="AP193" s="142"/>
      <c r="AQ193" s="33"/>
      <c r="AR193" s="33"/>
      <c r="AS193" s="33">
        <f>J193</f>
        <v>1649000</v>
      </c>
      <c r="AT193" s="102">
        <f>J193-AP193-AQ193-AR193-AS193</f>
        <v>0</v>
      </c>
      <c r="AV193" s="33"/>
      <c r="AW193" s="33"/>
      <c r="AX193" s="33">
        <f>K193</f>
        <v>1202000</v>
      </c>
      <c r="AY193" s="102">
        <f>K193-AU193-AV193-AW193-AX193</f>
        <v>0</v>
      </c>
      <c r="AZ193" s="142"/>
      <c r="BA193" s="33"/>
      <c r="BB193" s="33"/>
      <c r="BC193" s="33">
        <f>L193</f>
        <v>1623000</v>
      </c>
      <c r="BD193" s="102">
        <f>L193-AZ193-BA193-BB193-BC193</f>
        <v>0</v>
      </c>
      <c r="BE193" s="142"/>
      <c r="BF193" s="33"/>
      <c r="BG193" s="33"/>
      <c r="BH193" s="33">
        <f>M193</f>
        <v>1890000</v>
      </c>
      <c r="BI193" s="102">
        <f>M193-BE193-BF193-BG193-BH193</f>
        <v>0</v>
      </c>
      <c r="BJ193" s="142"/>
      <c r="BK193" s="33"/>
      <c r="BL193" s="33"/>
      <c r="BM193" s="33">
        <f>N193</f>
        <v>1392000</v>
      </c>
      <c r="BN193" s="102">
        <f t="shared" si="561"/>
        <v>0</v>
      </c>
      <c r="BO193" s="142"/>
      <c r="BP193" s="33"/>
      <c r="BQ193" s="33"/>
      <c r="BR193" s="33">
        <f>O193</f>
        <v>1300000</v>
      </c>
      <c r="BS193" s="102">
        <f t="shared" si="562"/>
        <v>0</v>
      </c>
      <c r="BT193" s="142"/>
      <c r="BU193" s="33"/>
      <c r="BV193" s="33"/>
      <c r="BW193" s="33">
        <f>P193</f>
        <v>1350000</v>
      </c>
      <c r="BX193" s="99">
        <f t="shared" si="552"/>
        <v>0</v>
      </c>
      <c r="BY193" s="2438">
        <v>0</v>
      </c>
      <c r="BZ193" s="1263">
        <f t="shared" ref="BZ193" si="591">BY193</f>
        <v>0</v>
      </c>
      <c r="CA193" s="1263">
        <f t="shared" ref="CA193" si="592">BZ193</f>
        <v>0</v>
      </c>
      <c r="CB193" s="1263">
        <f t="shared" ref="CB193" si="593">CA193</f>
        <v>0</v>
      </c>
      <c r="CC193" s="1263">
        <f t="shared" ref="CC193" si="594">CB193</f>
        <v>0</v>
      </c>
      <c r="CD193" s="1263">
        <f t="shared" ref="CD193" si="595">CC193</f>
        <v>0</v>
      </c>
      <c r="CE193" s="1263">
        <f t="shared" ref="CE193" si="596">CD193</f>
        <v>0</v>
      </c>
      <c r="CF193" s="1263">
        <f t="shared" ref="CF193" si="597">CE193</f>
        <v>0</v>
      </c>
      <c r="CG193" s="1263">
        <f t="shared" ref="CG193:CH193" si="598">CF193</f>
        <v>0</v>
      </c>
      <c r="CH193" s="1263">
        <f t="shared" si="598"/>
        <v>0</v>
      </c>
      <c r="CI193" s="1263">
        <f>CH193</f>
        <v>0</v>
      </c>
      <c r="CJ193" s="1263">
        <f>CI193</f>
        <v>0</v>
      </c>
      <c r="CK193" s="1263"/>
      <c r="CL193" s="1920">
        <f t="shared" ref="CL193:CW193" si="599">ROUND(BY193*E193,-3)</f>
        <v>0</v>
      </c>
      <c r="CM193" s="78">
        <f t="shared" si="599"/>
        <v>0</v>
      </c>
      <c r="CN193" s="78">
        <f t="shared" si="599"/>
        <v>0</v>
      </c>
      <c r="CO193" s="78">
        <f t="shared" si="599"/>
        <v>0</v>
      </c>
      <c r="CP193" s="78">
        <f t="shared" si="599"/>
        <v>0</v>
      </c>
      <c r="CQ193" s="78">
        <f t="shared" si="599"/>
        <v>0</v>
      </c>
      <c r="CR193" s="78">
        <f t="shared" si="599"/>
        <v>0</v>
      </c>
      <c r="CS193" s="78">
        <f t="shared" si="599"/>
        <v>0</v>
      </c>
      <c r="CT193" s="78">
        <f t="shared" si="599"/>
        <v>0</v>
      </c>
      <c r="CU193" s="78">
        <f t="shared" si="599"/>
        <v>0</v>
      </c>
      <c r="CV193" s="78">
        <f t="shared" si="599"/>
        <v>0</v>
      </c>
      <c r="CW193" s="131">
        <f t="shared" si="599"/>
        <v>0</v>
      </c>
    </row>
    <row r="194" spans="1:101" x14ac:dyDescent="0.2">
      <c r="A194" s="869"/>
      <c r="B194" s="2368"/>
      <c r="C194" s="2332"/>
      <c r="D194" s="2328"/>
      <c r="E194" s="186"/>
      <c r="F194" s="142"/>
      <c r="G194" s="33"/>
      <c r="H194" s="33"/>
      <c r="I194" s="142"/>
      <c r="J194" s="142"/>
      <c r="K194" s="142"/>
      <c r="L194" s="33"/>
      <c r="M194" s="142"/>
      <c r="N194" s="33"/>
      <c r="O194" s="33"/>
      <c r="P194" s="102"/>
      <c r="Q194" s="142"/>
      <c r="R194" s="33"/>
      <c r="S194" s="33"/>
      <c r="T194" s="33"/>
      <c r="U194" s="102"/>
      <c r="V194" s="186"/>
      <c r="W194" s="33"/>
      <c r="X194" s="99"/>
      <c r="Y194" s="33"/>
      <c r="Z194" s="102"/>
      <c r="AA194" s="142"/>
      <c r="AB194" s="33"/>
      <c r="AC194" s="33"/>
      <c r="AD194" s="33"/>
      <c r="AE194" s="102"/>
      <c r="AF194" s="142"/>
      <c r="AG194" s="33"/>
      <c r="AH194" s="33"/>
      <c r="AI194" s="33"/>
      <c r="AJ194" s="102"/>
      <c r="AK194" s="142"/>
      <c r="AL194" s="33"/>
      <c r="AM194" s="33"/>
      <c r="AN194" s="33"/>
      <c r="AO194" s="114"/>
      <c r="AP194" s="142"/>
      <c r="AQ194" s="33"/>
      <c r="AR194" s="33"/>
      <c r="AS194" s="33"/>
      <c r="AT194" s="102"/>
      <c r="AV194" s="33"/>
      <c r="AW194" s="33"/>
      <c r="AX194" s="33"/>
      <c r="AY194" s="102"/>
      <c r="AZ194" s="142"/>
      <c r="BA194" s="33"/>
      <c r="BB194" s="33"/>
      <c r="BC194" s="33"/>
      <c r="BD194" s="102"/>
      <c r="BE194" s="142"/>
      <c r="BF194" s="33"/>
      <c r="BG194" s="33"/>
      <c r="BH194" s="33"/>
      <c r="BI194" s="102"/>
      <c r="BJ194" s="142"/>
      <c r="BK194" s="33"/>
      <c r="BL194" s="33"/>
      <c r="BM194" s="33"/>
      <c r="BN194" s="102"/>
      <c r="BO194" s="142"/>
      <c r="BP194" s="33"/>
      <c r="BQ194" s="33"/>
      <c r="BR194" s="33"/>
      <c r="BS194" s="102"/>
      <c r="BT194" s="142"/>
      <c r="BU194" s="33"/>
      <c r="BV194" s="33"/>
      <c r="BW194" s="33"/>
      <c r="BY194" s="2438"/>
      <c r="BZ194" s="1263"/>
      <c r="CA194" s="1263"/>
      <c r="CB194" s="1263"/>
      <c r="CC194" s="1263"/>
      <c r="CD194" s="1263"/>
      <c r="CE194" s="1263"/>
      <c r="CF194" s="1263"/>
      <c r="CG194" s="1263"/>
      <c r="CH194" s="1263"/>
      <c r="CI194" s="1263"/>
      <c r="CJ194" s="1263"/>
      <c r="CK194" s="1263"/>
      <c r="CL194" s="1920"/>
      <c r="CM194" s="78"/>
      <c r="CN194" s="78"/>
      <c r="CO194" s="78"/>
      <c r="CP194" s="78"/>
      <c r="CQ194" s="78"/>
      <c r="CR194" s="78"/>
      <c r="CS194" s="78"/>
      <c r="CT194" s="78"/>
      <c r="CU194" s="78"/>
      <c r="CV194" s="78"/>
      <c r="CW194" s="131"/>
    </row>
    <row r="195" spans="1:101" x14ac:dyDescent="0.2">
      <c r="A195" s="590" t="s">
        <v>5446</v>
      </c>
      <c r="B195" s="2368"/>
      <c r="C195" s="2332"/>
      <c r="D195" s="2328"/>
      <c r="E195" s="186"/>
      <c r="F195" s="142"/>
      <c r="G195" s="33"/>
      <c r="H195" s="33"/>
      <c r="I195" s="142"/>
      <c r="J195" s="142"/>
      <c r="K195" s="142"/>
      <c r="L195" s="33"/>
      <c r="M195" s="142"/>
      <c r="N195" s="33"/>
      <c r="O195" s="33"/>
      <c r="P195" s="102"/>
      <c r="Q195" s="142"/>
      <c r="R195" s="33"/>
      <c r="S195" s="33"/>
      <c r="T195" s="33"/>
      <c r="U195" s="102"/>
      <c r="V195" s="186"/>
      <c r="W195" s="33"/>
      <c r="X195" s="99"/>
      <c r="Y195" s="33"/>
      <c r="Z195" s="102"/>
      <c r="AA195" s="142"/>
      <c r="AB195" s="33"/>
      <c r="AC195" s="33"/>
      <c r="AD195" s="33"/>
      <c r="AE195" s="102"/>
      <c r="AF195" s="142"/>
      <c r="AG195" s="33"/>
      <c r="AH195" s="33"/>
      <c r="AI195" s="33"/>
      <c r="AJ195" s="102"/>
      <c r="AK195" s="142"/>
      <c r="AL195" s="33"/>
      <c r="AM195" s="33"/>
      <c r="AN195" s="33"/>
      <c r="AO195" s="114"/>
      <c r="AP195" s="142"/>
      <c r="AQ195" s="33"/>
      <c r="AR195" s="33"/>
      <c r="AS195" s="33"/>
      <c r="AT195" s="102"/>
      <c r="AV195" s="33"/>
      <c r="AW195" s="33"/>
      <c r="AX195" s="33"/>
      <c r="AY195" s="102"/>
      <c r="AZ195" s="142"/>
      <c r="BA195" s="33"/>
      <c r="BB195" s="33"/>
      <c r="BC195" s="33"/>
      <c r="BD195" s="102"/>
      <c r="BE195" s="142"/>
      <c r="BF195" s="33"/>
      <c r="BG195" s="33"/>
      <c r="BH195" s="33"/>
      <c r="BI195" s="102"/>
      <c r="BJ195" s="142"/>
      <c r="BK195" s="33"/>
      <c r="BL195" s="33"/>
      <c r="BM195" s="33"/>
      <c r="BN195" s="102"/>
      <c r="BO195" s="142"/>
      <c r="BP195" s="33"/>
      <c r="BQ195" s="33"/>
      <c r="BR195" s="33"/>
      <c r="BS195" s="102"/>
      <c r="BT195" s="142"/>
      <c r="BU195" s="33"/>
      <c r="BV195" s="33"/>
      <c r="BW195" s="33"/>
      <c r="BY195" s="2438"/>
      <c r="BZ195" s="1263"/>
      <c r="CA195" s="1263"/>
      <c r="CB195" s="1263"/>
      <c r="CC195" s="1263"/>
      <c r="CD195" s="1263"/>
      <c r="CE195" s="1263"/>
      <c r="CF195" s="1263"/>
      <c r="CG195" s="1263"/>
      <c r="CH195" s="1263"/>
      <c r="CI195" s="1263"/>
      <c r="CJ195" s="1263"/>
      <c r="CK195" s="1263"/>
      <c r="CL195" s="1920"/>
      <c r="CM195" s="78"/>
      <c r="CN195" s="78"/>
      <c r="CO195" s="78"/>
      <c r="CP195" s="78"/>
      <c r="CQ195" s="78"/>
      <c r="CR195" s="78"/>
      <c r="CS195" s="78"/>
      <c r="CT195" s="78"/>
      <c r="CU195" s="78"/>
      <c r="CV195" s="78"/>
      <c r="CW195" s="131"/>
    </row>
    <row r="196" spans="1:101" x14ac:dyDescent="0.2">
      <c r="A196" s="869" t="s">
        <v>6166</v>
      </c>
      <c r="B196" s="2368"/>
      <c r="C196" s="2332"/>
      <c r="D196" s="2328" t="s">
        <v>6237</v>
      </c>
      <c r="E196" s="186"/>
      <c r="F196" s="142">
        <v>83000</v>
      </c>
      <c r="G196" s="33"/>
      <c r="H196" s="33"/>
      <c r="I196" s="142"/>
      <c r="J196" s="142"/>
      <c r="K196" s="142"/>
      <c r="L196" s="33"/>
      <c r="M196" s="142"/>
      <c r="N196" s="33"/>
      <c r="O196" s="33"/>
      <c r="P196" s="102"/>
      <c r="Q196" s="142"/>
      <c r="R196" s="33"/>
      <c r="S196" s="33"/>
      <c r="T196" s="33"/>
      <c r="U196" s="102"/>
      <c r="V196" s="186"/>
      <c r="W196" s="33"/>
      <c r="X196" s="99"/>
      <c r="Y196" s="33">
        <v>83000</v>
      </c>
      <c r="Z196" s="102">
        <f>F196-V196-W196-X196-Y196</f>
        <v>0</v>
      </c>
      <c r="AA196" s="142"/>
      <c r="AB196" s="33"/>
      <c r="AC196" s="33"/>
      <c r="AD196" s="33"/>
      <c r="AE196" s="102">
        <f>G196-AA196-AB196-AC196-AD196</f>
        <v>0</v>
      </c>
      <c r="AF196" s="142"/>
      <c r="AG196" s="33"/>
      <c r="AH196" s="33"/>
      <c r="AI196" s="33"/>
      <c r="AJ196" s="102">
        <f>H196-AF196-AG196-AH196-AI196</f>
        <v>0</v>
      </c>
      <c r="AK196" s="142"/>
      <c r="AL196" s="33"/>
      <c r="AM196" s="33"/>
      <c r="AN196" s="33"/>
      <c r="AO196" s="114"/>
      <c r="AP196" s="142"/>
      <c r="AQ196" s="33"/>
      <c r="AR196" s="33"/>
      <c r="AS196" s="33"/>
      <c r="AT196" s="102"/>
      <c r="AV196" s="33"/>
      <c r="AW196" s="33"/>
      <c r="AX196" s="33"/>
      <c r="AY196" s="102"/>
      <c r="AZ196" s="142"/>
      <c r="BA196" s="33"/>
      <c r="BB196" s="33"/>
      <c r="BC196" s="33"/>
      <c r="BD196" s="102"/>
      <c r="BE196" s="142"/>
      <c r="BF196" s="33"/>
      <c r="BG196" s="33"/>
      <c r="BH196" s="33"/>
      <c r="BI196" s="102"/>
      <c r="BJ196" s="142"/>
      <c r="BK196" s="33"/>
      <c r="BL196" s="33"/>
      <c r="BM196" s="33"/>
      <c r="BN196" s="102"/>
      <c r="BO196" s="142"/>
      <c r="BP196" s="33"/>
      <c r="BQ196" s="33"/>
      <c r="BR196" s="33"/>
      <c r="BS196" s="102"/>
      <c r="BT196" s="142"/>
      <c r="BU196" s="33"/>
      <c r="BV196" s="33"/>
      <c r="BW196" s="33"/>
      <c r="BY196" s="2438">
        <v>0</v>
      </c>
      <c r="BZ196" s="1263">
        <f t="shared" ref="BZ196" si="600">BY196</f>
        <v>0</v>
      </c>
      <c r="CA196" s="1263">
        <f t="shared" ref="CA196" si="601">BZ196</f>
        <v>0</v>
      </c>
      <c r="CB196" s="1263">
        <f t="shared" ref="CB196" si="602">CA196</f>
        <v>0</v>
      </c>
      <c r="CC196" s="1263">
        <f t="shared" ref="CC196" si="603">CB196</f>
        <v>0</v>
      </c>
      <c r="CD196" s="1263">
        <f t="shared" ref="CD196" si="604">CC196</f>
        <v>0</v>
      </c>
      <c r="CE196" s="1263">
        <f t="shared" ref="CE196" si="605">CD196</f>
        <v>0</v>
      </c>
      <c r="CF196" s="1263">
        <f t="shared" ref="CF196" si="606">CE196</f>
        <v>0</v>
      </c>
      <c r="CG196" s="1263">
        <f t="shared" ref="CG196" si="607">CF196</f>
        <v>0</v>
      </c>
      <c r="CH196" s="1263">
        <f t="shared" ref="CH196" si="608">CG196</f>
        <v>0</v>
      </c>
      <c r="CI196" s="1263">
        <f>CH196</f>
        <v>0</v>
      </c>
      <c r="CJ196" s="1263">
        <f>CI196</f>
        <v>0</v>
      </c>
      <c r="CK196" s="1263"/>
      <c r="CL196" s="1920">
        <f t="shared" ref="CL196:CW196" si="609">ROUND(BY196*E196,-3)</f>
        <v>0</v>
      </c>
      <c r="CM196" s="78">
        <f t="shared" si="609"/>
        <v>0</v>
      </c>
      <c r="CN196" s="78">
        <f t="shared" si="609"/>
        <v>0</v>
      </c>
      <c r="CO196" s="78">
        <f t="shared" si="609"/>
        <v>0</v>
      </c>
      <c r="CP196" s="78">
        <f t="shared" si="609"/>
        <v>0</v>
      </c>
      <c r="CQ196" s="78">
        <f t="shared" si="609"/>
        <v>0</v>
      </c>
      <c r="CR196" s="78">
        <f t="shared" si="609"/>
        <v>0</v>
      </c>
      <c r="CS196" s="78">
        <f t="shared" si="609"/>
        <v>0</v>
      </c>
      <c r="CT196" s="78">
        <f t="shared" si="609"/>
        <v>0</v>
      </c>
      <c r="CU196" s="78">
        <f t="shared" si="609"/>
        <v>0</v>
      </c>
      <c r="CV196" s="78">
        <f t="shared" si="609"/>
        <v>0</v>
      </c>
      <c r="CW196" s="131">
        <f t="shared" si="609"/>
        <v>0</v>
      </c>
    </row>
    <row r="197" spans="1:101" x14ac:dyDescent="0.2">
      <c r="A197" s="413"/>
      <c r="B197" s="2208"/>
      <c r="C197" s="2334"/>
      <c r="D197" s="2330"/>
      <c r="E197" s="186"/>
      <c r="F197" s="33"/>
      <c r="G197" s="33"/>
      <c r="H197" s="33"/>
      <c r="I197" s="33"/>
      <c r="J197" s="142"/>
      <c r="K197" s="33"/>
      <c r="L197" s="33"/>
      <c r="M197" s="142"/>
      <c r="N197" s="33"/>
      <c r="O197" s="33"/>
      <c r="P197" s="102"/>
      <c r="Q197" s="142"/>
      <c r="R197" s="33"/>
      <c r="S197" s="33"/>
      <c r="T197" s="33"/>
      <c r="U197" s="102"/>
      <c r="V197" s="186"/>
      <c r="W197" s="33"/>
      <c r="X197" s="99"/>
      <c r="Y197" s="33"/>
      <c r="Z197" s="102"/>
      <c r="AA197" s="142"/>
      <c r="AB197" s="33"/>
      <c r="AC197" s="33"/>
      <c r="AD197" s="33"/>
      <c r="AE197" s="102"/>
      <c r="AF197" s="142"/>
      <c r="AG197" s="33"/>
      <c r="AH197" s="33"/>
      <c r="AI197" s="33"/>
      <c r="AJ197" s="102"/>
      <c r="AK197" s="142"/>
      <c r="AL197" s="33"/>
      <c r="AM197" s="33"/>
      <c r="AN197" s="33"/>
      <c r="AO197" s="114"/>
      <c r="AP197" s="142"/>
      <c r="AQ197" s="33"/>
      <c r="AR197" s="33"/>
      <c r="AS197" s="33"/>
      <c r="AT197" s="102"/>
      <c r="AV197" s="33"/>
      <c r="AW197" s="33"/>
      <c r="AX197" s="33"/>
      <c r="AY197" s="102"/>
      <c r="AZ197" s="142"/>
      <c r="BA197" s="33"/>
      <c r="BB197" s="33"/>
      <c r="BC197" s="33"/>
      <c r="BD197" s="102"/>
      <c r="BE197" s="142"/>
      <c r="BF197" s="33"/>
      <c r="BG197" s="33"/>
      <c r="BH197" s="33"/>
      <c r="BI197" s="102"/>
      <c r="BJ197" s="142"/>
      <c r="BK197" s="33"/>
      <c r="BL197" s="33"/>
      <c r="BM197" s="33"/>
      <c r="BN197" s="102"/>
      <c r="BO197" s="142"/>
      <c r="BP197" s="33"/>
      <c r="BQ197" s="33"/>
      <c r="BR197" s="33"/>
      <c r="BS197" s="102"/>
      <c r="BT197" s="142"/>
      <c r="BU197" s="33"/>
      <c r="BV197" s="33"/>
      <c r="BW197" s="33"/>
      <c r="BY197" s="2438"/>
      <c r="BZ197" s="1263"/>
      <c r="CA197" s="1263"/>
      <c r="CB197" s="1263"/>
      <c r="CC197" s="1263"/>
      <c r="CD197" s="1263"/>
      <c r="CE197" s="1263"/>
      <c r="CF197" s="1263"/>
      <c r="CG197" s="1263"/>
      <c r="CH197" s="1263"/>
      <c r="CI197" s="1263"/>
      <c r="CJ197" s="1263"/>
      <c r="CK197" s="1263"/>
      <c r="CL197" s="502"/>
      <c r="CM197" s="99"/>
      <c r="CN197" s="99"/>
      <c r="CO197" s="99"/>
      <c r="CP197" s="99"/>
      <c r="CQ197" s="99"/>
      <c r="CR197" s="99"/>
      <c r="CS197" s="99"/>
      <c r="CT197" s="99"/>
      <c r="CU197" s="99"/>
      <c r="CV197" s="99"/>
      <c r="CW197" s="114"/>
    </row>
    <row r="198" spans="1:101" x14ac:dyDescent="0.2">
      <c r="A198" s="410" t="s">
        <v>2138</v>
      </c>
      <c r="B198" s="2360"/>
      <c r="C198" s="2335"/>
      <c r="D198" s="2388"/>
      <c r="E198" s="186"/>
      <c r="F198" s="33"/>
      <c r="G198" s="33"/>
      <c r="H198" s="33"/>
      <c r="I198" s="33"/>
      <c r="J198" s="142"/>
      <c r="K198" s="33"/>
      <c r="L198" s="33"/>
      <c r="M198" s="142"/>
      <c r="N198" s="33"/>
      <c r="O198" s="33"/>
      <c r="P198" s="102"/>
      <c r="Q198" s="142"/>
      <c r="R198" s="33"/>
      <c r="S198" s="33"/>
      <c r="T198" s="33"/>
      <c r="U198" s="102"/>
      <c r="V198" s="186"/>
      <c r="W198" s="33"/>
      <c r="X198" s="99"/>
      <c r="Y198" s="33"/>
      <c r="Z198" s="102"/>
      <c r="AA198" s="142"/>
      <c r="AB198" s="33"/>
      <c r="AC198" s="33"/>
      <c r="AD198" s="33"/>
      <c r="AE198" s="102"/>
      <c r="AF198" s="142"/>
      <c r="AG198" s="33"/>
      <c r="AH198" s="33"/>
      <c r="AI198" s="33"/>
      <c r="AJ198" s="129"/>
      <c r="AK198" s="142"/>
      <c r="AL198" s="33"/>
      <c r="AM198" s="33"/>
      <c r="AN198" s="33"/>
      <c r="AO198" s="114"/>
      <c r="AP198" s="142"/>
      <c r="AQ198" s="33"/>
      <c r="AR198" s="33"/>
      <c r="AS198" s="33"/>
      <c r="AT198" s="102"/>
      <c r="AV198" s="33"/>
      <c r="AW198" s="33"/>
      <c r="AX198" s="33"/>
      <c r="AY198" s="102"/>
      <c r="AZ198" s="142"/>
      <c r="BA198" s="33"/>
      <c r="BB198" s="33"/>
      <c r="BC198" s="33"/>
      <c r="BD198" s="102"/>
      <c r="BE198" s="142"/>
      <c r="BF198" s="33"/>
      <c r="BG198" s="33"/>
      <c r="BH198" s="33"/>
      <c r="BI198" s="102"/>
      <c r="BJ198" s="142"/>
      <c r="BK198" s="33"/>
      <c r="BL198" s="33"/>
      <c r="BM198" s="33"/>
      <c r="BN198" s="102"/>
      <c r="BO198" s="142"/>
      <c r="BP198" s="33"/>
      <c r="BQ198" s="33"/>
      <c r="BR198" s="33"/>
      <c r="BS198" s="102"/>
      <c r="BT198" s="142"/>
      <c r="BU198" s="33"/>
      <c r="BV198" s="33"/>
      <c r="BW198" s="33"/>
      <c r="BY198" s="2437"/>
      <c r="BZ198" s="740"/>
      <c r="CA198" s="740"/>
      <c r="CB198" s="740"/>
      <c r="CC198" s="740"/>
      <c r="CD198" s="740"/>
      <c r="CE198" s="740"/>
      <c r="CF198" s="740"/>
      <c r="CG198" s="740"/>
      <c r="CH198" s="740"/>
      <c r="CI198" s="740"/>
      <c r="CJ198" s="740"/>
      <c r="CK198" s="740"/>
      <c r="CL198" s="502"/>
      <c r="CM198" s="99"/>
      <c r="CN198" s="99"/>
      <c r="CO198" s="99"/>
      <c r="CP198" s="99"/>
      <c r="CQ198" s="99"/>
      <c r="CR198" s="99"/>
      <c r="CS198" s="99"/>
      <c r="CT198" s="99"/>
      <c r="CU198" s="99"/>
      <c r="CV198" s="99"/>
      <c r="CW198" s="114"/>
    </row>
    <row r="199" spans="1:101" x14ac:dyDescent="0.2">
      <c r="A199" s="869" t="s">
        <v>5630</v>
      </c>
      <c r="B199" s="2368" t="s">
        <v>3992</v>
      </c>
      <c r="C199" s="2343" t="s">
        <v>5523</v>
      </c>
      <c r="D199" s="2328" t="s">
        <v>5523</v>
      </c>
      <c r="E199" s="186">
        <v>206300</v>
      </c>
      <c r="F199" s="33">
        <v>105000</v>
      </c>
      <c r="G199" s="33">
        <f>ROUND((F199*Assumptions!H$6+F199),-3)</f>
        <v>109000</v>
      </c>
      <c r="H199" s="33">
        <f>ROUND((G199*Assumptions!I$6+G199),-3)</f>
        <v>113000</v>
      </c>
      <c r="I199" s="76">
        <f>ROUND((H199*Assumptions!J$6+H199),-3)</f>
        <v>118000</v>
      </c>
      <c r="J199" s="76">
        <f>ROUND((I199*Assumptions!K$6+I199),-3)</f>
        <v>121000</v>
      </c>
      <c r="K199" s="33">
        <f>ROUND((J199*Assumptions!L$6+J199),-3)</f>
        <v>124000</v>
      </c>
      <c r="L199" s="33">
        <f>ROUND((K199*Assumptions!M$6+K199),-3)</f>
        <v>127000</v>
      </c>
      <c r="M199" s="142">
        <f>ROUND((L199*Assumptions!N$6+L199),-3)</f>
        <v>130000</v>
      </c>
      <c r="N199" s="33">
        <f>ROUND((M199*Assumptions!O$6+M199),-3)</f>
        <v>133000</v>
      </c>
      <c r="O199" s="33">
        <f>ROUND((N199*Assumptions!P$6+N199),-3)</f>
        <v>136000</v>
      </c>
      <c r="P199" s="102">
        <f>ROUND((O199*Assumptions!Q$6+O199),-3)</f>
        <v>139000</v>
      </c>
      <c r="Q199" s="142"/>
      <c r="R199" s="76"/>
      <c r="S199" s="76"/>
      <c r="T199" s="33">
        <f>E199-110000</f>
        <v>96300</v>
      </c>
      <c r="U199" s="102">
        <f t="shared" ref="U199:U207" si="610">E199-Q199-R199-S199-T199</f>
        <v>110000</v>
      </c>
      <c r="V199" s="186"/>
      <c r="W199" s="33"/>
      <c r="X199" s="99"/>
      <c r="Y199" s="33">
        <f>F199</f>
        <v>105000</v>
      </c>
      <c r="Z199" s="102">
        <f t="shared" ref="Z199:Z207" si="611">F199-V199-W199-X199-Y199</f>
        <v>0</v>
      </c>
      <c r="AA199" s="142"/>
      <c r="AB199" s="76"/>
      <c r="AC199" s="76"/>
      <c r="AD199" s="33">
        <f t="shared" ref="AD199:AD207" si="612">G199</f>
        <v>109000</v>
      </c>
      <c r="AE199" s="102">
        <f t="shared" ref="AE199:AE207" si="613">G199-AA199-AB199-AC199-AD199</f>
        <v>0</v>
      </c>
      <c r="AF199" s="142"/>
      <c r="AG199" s="76"/>
      <c r="AH199" s="76"/>
      <c r="AI199" s="33">
        <f t="shared" ref="AI199:AI207" si="614">H199</f>
        <v>113000</v>
      </c>
      <c r="AJ199" s="102">
        <f t="shared" ref="AJ199:AJ207" si="615">H199-AF199-AG199-AH199-AI199</f>
        <v>0</v>
      </c>
      <c r="AK199" s="142"/>
      <c r="AL199" s="76"/>
      <c r="AM199" s="76"/>
      <c r="AN199" s="76">
        <f>I199</f>
        <v>118000</v>
      </c>
      <c r="AO199" s="100">
        <f>I199-AK199-AL199-AM199-AN199</f>
        <v>0</v>
      </c>
      <c r="AP199" s="142"/>
      <c r="AQ199" s="76"/>
      <c r="AR199" s="76"/>
      <c r="AS199" s="33">
        <f>J199</f>
        <v>121000</v>
      </c>
      <c r="AT199" s="102">
        <f>J199-AP199-AQ199-AR199-AS199</f>
        <v>0</v>
      </c>
      <c r="AV199" s="76"/>
      <c r="AW199" s="76"/>
      <c r="AX199" s="33">
        <f>K199</f>
        <v>124000</v>
      </c>
      <c r="AY199" s="102">
        <f>K199-AU199-AV199-AW199-AX199</f>
        <v>0</v>
      </c>
      <c r="AZ199" s="142"/>
      <c r="BA199" s="76"/>
      <c r="BB199" s="76"/>
      <c r="BC199" s="33">
        <f>L199</f>
        <v>127000</v>
      </c>
      <c r="BD199" s="102">
        <f>L199-AZ199-BA199-BB199-BC199</f>
        <v>0</v>
      </c>
      <c r="BE199" s="142"/>
      <c r="BF199" s="76"/>
      <c r="BG199" s="76"/>
      <c r="BH199" s="33">
        <f>M199</f>
        <v>130000</v>
      </c>
      <c r="BI199" s="102">
        <f>M199-BE199-BF199-BG199-BH199</f>
        <v>0</v>
      </c>
      <c r="BJ199" s="142"/>
      <c r="BK199" s="33"/>
      <c r="BL199" s="33"/>
      <c r="BM199" s="33">
        <f>N199</f>
        <v>133000</v>
      </c>
      <c r="BN199" s="102">
        <f>N199-BJ199-BK199-BL199-BM199</f>
        <v>0</v>
      </c>
      <c r="BO199" s="142"/>
      <c r="BP199" s="33"/>
      <c r="BQ199" s="33"/>
      <c r="BR199" s="33">
        <f>O199</f>
        <v>136000</v>
      </c>
      <c r="BS199" s="102">
        <f>O199-BO199-BP199-BQ199-BR199</f>
        <v>0</v>
      </c>
      <c r="BT199" s="142"/>
      <c r="BU199" s="33"/>
      <c r="BV199" s="33"/>
      <c r="BW199" s="33">
        <f>P199</f>
        <v>139000</v>
      </c>
      <c r="BX199" s="99">
        <f t="shared" ref="BX199:BX207" si="616">P199-BT199-BU199-BV199-BW199</f>
        <v>0</v>
      </c>
      <c r="BY199" s="2438">
        <v>1</v>
      </c>
      <c r="BZ199" s="1263">
        <f t="shared" ref="BZ199" si="617">BY199</f>
        <v>1</v>
      </c>
      <c r="CA199" s="1263">
        <f t="shared" ref="CA199" si="618">BZ199</f>
        <v>1</v>
      </c>
      <c r="CB199" s="1263">
        <f t="shared" ref="CB199" si="619">CA199</f>
        <v>1</v>
      </c>
      <c r="CC199" s="1263">
        <f t="shared" ref="CC199" si="620">CB199</f>
        <v>1</v>
      </c>
      <c r="CD199" s="1263">
        <f t="shared" ref="CD199" si="621">CC199</f>
        <v>1</v>
      </c>
      <c r="CE199" s="1263">
        <f t="shared" ref="CE199" si="622">CD199</f>
        <v>1</v>
      </c>
      <c r="CF199" s="1263">
        <f t="shared" ref="CF199" si="623">CE199</f>
        <v>1</v>
      </c>
      <c r="CG199" s="1263">
        <f t="shared" ref="CG199" si="624">CF199</f>
        <v>1</v>
      </c>
      <c r="CH199" s="1263">
        <f t="shared" ref="CH199" si="625">CG199</f>
        <v>1</v>
      </c>
      <c r="CI199" s="1263">
        <f t="shared" ref="CI199:CJ207" si="626">CH199</f>
        <v>1</v>
      </c>
      <c r="CJ199" s="1263">
        <f t="shared" si="626"/>
        <v>1</v>
      </c>
      <c r="CK199" s="1263"/>
      <c r="CL199" s="1920">
        <f t="shared" ref="CL199:CL207" si="627">ROUND(BY199*E199,-3)</f>
        <v>206000</v>
      </c>
      <c r="CM199" s="78">
        <f t="shared" ref="CM199:CM207" si="628">ROUND(BZ199*F199,-3)</f>
        <v>105000</v>
      </c>
      <c r="CN199" s="78">
        <f t="shared" ref="CN199:CN207" si="629">ROUND(CA199*G199,-3)</f>
        <v>109000</v>
      </c>
      <c r="CO199" s="78">
        <f t="shared" ref="CO199:CO207" si="630">ROUND(CB199*H199,-3)</f>
        <v>113000</v>
      </c>
      <c r="CP199" s="78">
        <f t="shared" ref="CP199:CP207" si="631">ROUND(CC199*I199,-3)</f>
        <v>118000</v>
      </c>
      <c r="CQ199" s="78">
        <f t="shared" ref="CQ199:CQ207" si="632">ROUND(CD199*J199,-3)</f>
        <v>121000</v>
      </c>
      <c r="CR199" s="78">
        <f t="shared" ref="CR199:CR207" si="633">ROUND(CE199*K199,-3)</f>
        <v>124000</v>
      </c>
      <c r="CS199" s="78">
        <f t="shared" ref="CS199:CS207" si="634">ROUND(CF199*L199,-3)</f>
        <v>127000</v>
      </c>
      <c r="CT199" s="78">
        <f t="shared" ref="CT199:CT207" si="635">ROUND(CG199*M199,-3)</f>
        <v>130000</v>
      </c>
      <c r="CU199" s="78">
        <f t="shared" ref="CU199:CU207" si="636">ROUND(CH199*N199,-3)</f>
        <v>133000</v>
      </c>
      <c r="CV199" s="78">
        <f t="shared" ref="CV199:CV207" si="637">ROUND(CI199*O199,-3)</f>
        <v>136000</v>
      </c>
      <c r="CW199" s="131">
        <f t="shared" ref="CW199:CW207" si="638">ROUND(CJ199*P199,-3)</f>
        <v>139000</v>
      </c>
    </row>
    <row r="200" spans="1:101" x14ac:dyDescent="0.2">
      <c r="A200" s="869" t="s">
        <v>4863</v>
      </c>
      <c r="B200" s="2368" t="s">
        <v>3992</v>
      </c>
      <c r="C200" s="2343" t="s">
        <v>4118</v>
      </c>
      <c r="D200" s="2328"/>
      <c r="E200" s="186">
        <f>108600-108600</f>
        <v>0</v>
      </c>
      <c r="F200" s="33">
        <v>0</v>
      </c>
      <c r="G200" s="33">
        <v>0</v>
      </c>
      <c r="H200" s="33">
        <v>0</v>
      </c>
      <c r="I200" s="33">
        <v>0</v>
      </c>
      <c r="J200" s="76">
        <v>0</v>
      </c>
      <c r="K200" s="33">
        <v>0</v>
      </c>
      <c r="L200" s="33">
        <v>0</v>
      </c>
      <c r="M200" s="142">
        <v>0</v>
      </c>
      <c r="N200" s="33">
        <f>ROUND((M200*Assumptions!O$6+M200),-3)</f>
        <v>0</v>
      </c>
      <c r="O200" s="33">
        <f>ROUND((N200*Assumptions!P$6+N200),-3)</f>
        <v>0</v>
      </c>
      <c r="P200" s="102">
        <f>ROUND((O200*Assumptions!Q$6+O200),-3)</f>
        <v>0</v>
      </c>
      <c r="Q200" s="142"/>
      <c r="R200" s="76"/>
      <c r="S200" s="76"/>
      <c r="T200" s="33">
        <f>E200</f>
        <v>0</v>
      </c>
      <c r="U200" s="102">
        <f t="shared" si="610"/>
        <v>0</v>
      </c>
      <c r="V200" s="186"/>
      <c r="W200" s="33"/>
      <c r="X200" s="99"/>
      <c r="Y200" s="33">
        <f>F200</f>
        <v>0</v>
      </c>
      <c r="Z200" s="102">
        <f t="shared" si="611"/>
        <v>0</v>
      </c>
      <c r="AA200" s="142"/>
      <c r="AB200" s="76"/>
      <c r="AC200" s="76"/>
      <c r="AD200" s="33">
        <f t="shared" si="612"/>
        <v>0</v>
      </c>
      <c r="AE200" s="102">
        <f t="shared" si="613"/>
        <v>0</v>
      </c>
      <c r="AF200" s="142"/>
      <c r="AG200" s="76"/>
      <c r="AH200" s="76"/>
      <c r="AI200" s="33">
        <f t="shared" si="614"/>
        <v>0</v>
      </c>
      <c r="AJ200" s="102">
        <f t="shared" si="615"/>
        <v>0</v>
      </c>
      <c r="AK200" s="142"/>
      <c r="AL200" s="76"/>
      <c r="AM200" s="76"/>
      <c r="AN200" s="76">
        <f>I200</f>
        <v>0</v>
      </c>
      <c r="AO200" s="100">
        <f t="shared" ref="AO200:AO207" si="639">I200-AK200-AL200-AM200-AN200</f>
        <v>0</v>
      </c>
      <c r="AP200" s="142"/>
      <c r="AQ200" s="76"/>
      <c r="AR200" s="76"/>
      <c r="AS200" s="33">
        <f>J200</f>
        <v>0</v>
      </c>
      <c r="AT200" s="102">
        <f t="shared" ref="AT200:AT207" si="640">J200-AP200-AQ200-AR200-AS200</f>
        <v>0</v>
      </c>
      <c r="AV200" s="76"/>
      <c r="AW200" s="76"/>
      <c r="AX200" s="33">
        <f>K200</f>
        <v>0</v>
      </c>
      <c r="AY200" s="102">
        <f t="shared" ref="AY200:AY207" si="641">K200-AU200-AV200-AW200-AX200</f>
        <v>0</v>
      </c>
      <c r="AZ200" s="142"/>
      <c r="BA200" s="76"/>
      <c r="BB200" s="76"/>
      <c r="BC200" s="33">
        <f>L200</f>
        <v>0</v>
      </c>
      <c r="BD200" s="102">
        <f t="shared" ref="BD200:BD207" si="642">L200-AZ200-BA200-BB200-BC200</f>
        <v>0</v>
      </c>
      <c r="BE200" s="142"/>
      <c r="BF200" s="76"/>
      <c r="BG200" s="76"/>
      <c r="BH200" s="33">
        <f>M200</f>
        <v>0</v>
      </c>
      <c r="BI200" s="102">
        <f t="shared" ref="BI200:BI207" si="643">M200-BE200-BF200-BG200-BH200</f>
        <v>0</v>
      </c>
      <c r="BJ200" s="142"/>
      <c r="BK200" s="33"/>
      <c r="BL200" s="33"/>
      <c r="BM200" s="33">
        <f>N200</f>
        <v>0</v>
      </c>
      <c r="BN200" s="102">
        <f t="shared" ref="BN200:BN207" si="644">N200-BJ200-BK200-BL200-BM200</f>
        <v>0</v>
      </c>
      <c r="BO200" s="142"/>
      <c r="BP200" s="33"/>
      <c r="BQ200" s="33"/>
      <c r="BR200" s="33">
        <f>O200</f>
        <v>0</v>
      </c>
      <c r="BS200" s="102">
        <f t="shared" ref="BS200:BS207" si="645">O200-BO200-BP200-BQ200-BR200</f>
        <v>0</v>
      </c>
      <c r="BT200" s="142"/>
      <c r="BU200" s="33"/>
      <c r="BV200" s="33"/>
      <c r="BW200" s="33">
        <f>P200</f>
        <v>0</v>
      </c>
      <c r="BX200" s="99">
        <f t="shared" si="616"/>
        <v>0</v>
      </c>
      <c r="BY200" s="2438">
        <v>1</v>
      </c>
      <c r="BZ200" s="1263">
        <f t="shared" ref="BZ200:CH207" si="646">BY200</f>
        <v>1</v>
      </c>
      <c r="CA200" s="1263">
        <f t="shared" si="646"/>
        <v>1</v>
      </c>
      <c r="CB200" s="1263">
        <f t="shared" si="646"/>
        <v>1</v>
      </c>
      <c r="CC200" s="1263">
        <f t="shared" si="646"/>
        <v>1</v>
      </c>
      <c r="CD200" s="1263">
        <f t="shared" si="646"/>
        <v>1</v>
      </c>
      <c r="CE200" s="1263">
        <f t="shared" si="646"/>
        <v>1</v>
      </c>
      <c r="CF200" s="1263">
        <f t="shared" si="646"/>
        <v>1</v>
      </c>
      <c r="CG200" s="1263">
        <f t="shared" si="646"/>
        <v>1</v>
      </c>
      <c r="CH200" s="1263">
        <f t="shared" si="646"/>
        <v>1</v>
      </c>
      <c r="CI200" s="1263">
        <f t="shared" si="626"/>
        <v>1</v>
      </c>
      <c r="CJ200" s="1263">
        <f t="shared" si="626"/>
        <v>1</v>
      </c>
      <c r="CK200" s="1263"/>
      <c r="CL200" s="1920">
        <f t="shared" si="627"/>
        <v>0</v>
      </c>
      <c r="CM200" s="78">
        <f t="shared" si="628"/>
        <v>0</v>
      </c>
      <c r="CN200" s="78">
        <f t="shared" si="629"/>
        <v>0</v>
      </c>
      <c r="CO200" s="78">
        <f t="shared" si="630"/>
        <v>0</v>
      </c>
      <c r="CP200" s="78">
        <f t="shared" si="631"/>
        <v>0</v>
      </c>
      <c r="CQ200" s="78">
        <f t="shared" si="632"/>
        <v>0</v>
      </c>
      <c r="CR200" s="78">
        <f t="shared" si="633"/>
        <v>0</v>
      </c>
      <c r="CS200" s="78">
        <f t="shared" si="634"/>
        <v>0</v>
      </c>
      <c r="CT200" s="78">
        <f t="shared" si="635"/>
        <v>0</v>
      </c>
      <c r="CU200" s="78">
        <f t="shared" si="636"/>
        <v>0</v>
      </c>
      <c r="CV200" s="78">
        <f t="shared" si="637"/>
        <v>0</v>
      </c>
      <c r="CW200" s="131">
        <f t="shared" si="638"/>
        <v>0</v>
      </c>
    </row>
    <row r="201" spans="1:101" x14ac:dyDescent="0.2">
      <c r="A201" s="869" t="s">
        <v>5631</v>
      </c>
      <c r="B201" s="2354" t="s">
        <v>6269</v>
      </c>
      <c r="C201" s="2328" t="s">
        <v>5539</v>
      </c>
      <c r="D201" s="2328"/>
      <c r="E201" s="186">
        <v>8500</v>
      </c>
      <c r="F201" s="33">
        <v>56000</v>
      </c>
      <c r="G201" s="33"/>
      <c r="H201" s="33"/>
      <c r="I201" s="33"/>
      <c r="J201" s="99"/>
      <c r="K201" s="33"/>
      <c r="L201" s="33"/>
      <c r="M201" s="142"/>
      <c r="N201" s="33"/>
      <c r="O201" s="33"/>
      <c r="P201" s="102"/>
      <c r="Q201" s="142"/>
      <c r="R201" s="76"/>
      <c r="S201" s="76"/>
      <c r="T201" s="33">
        <v>65000</v>
      </c>
      <c r="U201" s="102">
        <f t="shared" si="610"/>
        <v>-56500</v>
      </c>
      <c r="V201" s="186"/>
      <c r="W201" s="33"/>
      <c r="X201" s="99"/>
      <c r="Y201" s="33">
        <v>56000</v>
      </c>
      <c r="Z201" s="102">
        <f t="shared" si="611"/>
        <v>0</v>
      </c>
      <c r="AA201" s="142"/>
      <c r="AB201" s="76"/>
      <c r="AC201" s="76"/>
      <c r="AD201" s="33">
        <f t="shared" si="612"/>
        <v>0</v>
      </c>
      <c r="AE201" s="102">
        <f t="shared" si="613"/>
        <v>0</v>
      </c>
      <c r="AF201" s="142"/>
      <c r="AG201" s="76"/>
      <c r="AH201" s="76"/>
      <c r="AI201" s="33">
        <f t="shared" si="614"/>
        <v>0</v>
      </c>
      <c r="AJ201" s="102">
        <f t="shared" si="615"/>
        <v>0</v>
      </c>
      <c r="AK201" s="142"/>
      <c r="AL201" s="76"/>
      <c r="AM201" s="76"/>
      <c r="AN201" s="76"/>
      <c r="AO201" s="100">
        <f t="shared" si="639"/>
        <v>0</v>
      </c>
      <c r="AP201" s="142"/>
      <c r="AQ201" s="76"/>
      <c r="AR201" s="76"/>
      <c r="AS201" s="33"/>
      <c r="AT201" s="102">
        <f t="shared" si="640"/>
        <v>0</v>
      </c>
      <c r="AV201" s="76"/>
      <c r="AW201" s="76"/>
      <c r="AX201" s="33"/>
      <c r="AY201" s="102">
        <f t="shared" si="641"/>
        <v>0</v>
      </c>
      <c r="AZ201" s="142"/>
      <c r="BA201" s="76"/>
      <c r="BB201" s="76"/>
      <c r="BC201" s="33"/>
      <c r="BD201" s="102">
        <f t="shared" si="642"/>
        <v>0</v>
      </c>
      <c r="BE201" s="142"/>
      <c r="BF201" s="76"/>
      <c r="BG201" s="76"/>
      <c r="BH201" s="33"/>
      <c r="BI201" s="102">
        <f t="shared" si="643"/>
        <v>0</v>
      </c>
      <c r="BJ201" s="142"/>
      <c r="BK201" s="76"/>
      <c r="BL201" s="76"/>
      <c r="BM201" s="33"/>
      <c r="BN201" s="102">
        <f t="shared" si="644"/>
        <v>0</v>
      </c>
      <c r="BO201" s="142"/>
      <c r="BP201" s="76"/>
      <c r="BQ201" s="76"/>
      <c r="BR201" s="33"/>
      <c r="BS201" s="102">
        <f t="shared" si="645"/>
        <v>0</v>
      </c>
      <c r="BT201" s="142"/>
      <c r="BU201" s="76"/>
      <c r="BV201" s="76"/>
      <c r="BW201" s="33"/>
      <c r="BX201" s="99">
        <f t="shared" si="616"/>
        <v>0</v>
      </c>
      <c r="BY201" s="2438">
        <v>0</v>
      </c>
      <c r="BZ201" s="1263">
        <f t="shared" ref="BZ201:BZ206" si="647">BY201</f>
        <v>0</v>
      </c>
      <c r="CA201" s="1263">
        <f t="shared" ref="CA201:CA206" si="648">BZ201</f>
        <v>0</v>
      </c>
      <c r="CB201" s="1263">
        <f t="shared" ref="CB201:CB206" si="649">CA201</f>
        <v>0</v>
      </c>
      <c r="CC201" s="1263">
        <f t="shared" ref="CC201:CC206" si="650">CB201</f>
        <v>0</v>
      </c>
      <c r="CD201" s="1263">
        <f t="shared" ref="CD201:CD206" si="651">CC201</f>
        <v>0</v>
      </c>
      <c r="CE201" s="1263">
        <f t="shared" ref="CE201:CE206" si="652">CD201</f>
        <v>0</v>
      </c>
      <c r="CF201" s="1263">
        <f t="shared" ref="CF201:CF206" si="653">CE201</f>
        <v>0</v>
      </c>
      <c r="CG201" s="1263">
        <f t="shared" ref="CG201:CG206" si="654">CF201</f>
        <v>0</v>
      </c>
      <c r="CH201" s="1263">
        <f t="shared" ref="CH201:CH206" si="655">CG201</f>
        <v>0</v>
      </c>
      <c r="CI201" s="1263">
        <f t="shared" si="626"/>
        <v>0</v>
      </c>
      <c r="CJ201" s="1263">
        <f t="shared" si="626"/>
        <v>0</v>
      </c>
      <c r="CK201" s="1263"/>
      <c r="CL201" s="1920">
        <f t="shared" si="627"/>
        <v>0</v>
      </c>
      <c r="CM201" s="78">
        <f t="shared" si="628"/>
        <v>0</v>
      </c>
      <c r="CN201" s="78">
        <f t="shared" si="629"/>
        <v>0</v>
      </c>
      <c r="CO201" s="78">
        <f t="shared" si="630"/>
        <v>0</v>
      </c>
      <c r="CP201" s="78">
        <f t="shared" si="631"/>
        <v>0</v>
      </c>
      <c r="CQ201" s="78">
        <f t="shared" si="632"/>
        <v>0</v>
      </c>
      <c r="CR201" s="78">
        <f t="shared" si="633"/>
        <v>0</v>
      </c>
      <c r="CS201" s="78">
        <f t="shared" si="634"/>
        <v>0</v>
      </c>
      <c r="CT201" s="78">
        <f t="shared" si="635"/>
        <v>0</v>
      </c>
      <c r="CU201" s="78">
        <f t="shared" si="636"/>
        <v>0</v>
      </c>
      <c r="CV201" s="78">
        <f t="shared" si="637"/>
        <v>0</v>
      </c>
      <c r="CW201" s="131">
        <f t="shared" si="638"/>
        <v>0</v>
      </c>
    </row>
    <row r="202" spans="1:101" x14ac:dyDescent="0.2">
      <c r="A202" s="869" t="s">
        <v>5965</v>
      </c>
      <c r="B202" s="2328" t="s">
        <v>5541</v>
      </c>
      <c r="C202" s="2343" t="s">
        <v>5076</v>
      </c>
      <c r="D202" s="2328"/>
      <c r="E202" s="186">
        <v>1900</v>
      </c>
      <c r="F202" s="33">
        <v>14000</v>
      </c>
      <c r="G202" s="33"/>
      <c r="H202" s="33"/>
      <c r="I202" s="33"/>
      <c r="J202" s="99"/>
      <c r="K202" s="33"/>
      <c r="L202" s="33"/>
      <c r="M202" s="142"/>
      <c r="N202" s="33"/>
      <c r="O202" s="33"/>
      <c r="P202" s="102"/>
      <c r="Q202" s="142"/>
      <c r="R202" s="76"/>
      <c r="S202" s="76"/>
      <c r="T202" s="33">
        <v>16000</v>
      </c>
      <c r="U202" s="102">
        <f t="shared" si="610"/>
        <v>-14100</v>
      </c>
      <c r="V202" s="186"/>
      <c r="W202" s="33"/>
      <c r="X202" s="99"/>
      <c r="Y202" s="33">
        <v>14000</v>
      </c>
      <c r="Z202" s="102">
        <f t="shared" si="611"/>
        <v>0</v>
      </c>
      <c r="AA202" s="142"/>
      <c r="AB202" s="76"/>
      <c r="AC202" s="76"/>
      <c r="AD202" s="33">
        <f t="shared" si="612"/>
        <v>0</v>
      </c>
      <c r="AE202" s="102">
        <f t="shared" si="613"/>
        <v>0</v>
      </c>
      <c r="AF202" s="142"/>
      <c r="AG202" s="76"/>
      <c r="AH202" s="76"/>
      <c r="AI202" s="33">
        <f t="shared" si="614"/>
        <v>0</v>
      </c>
      <c r="AJ202" s="102">
        <f t="shared" si="615"/>
        <v>0</v>
      </c>
      <c r="AK202" s="142"/>
      <c r="AL202" s="76"/>
      <c r="AM202" s="76"/>
      <c r="AN202" s="76"/>
      <c r="AO202" s="100">
        <f t="shared" si="639"/>
        <v>0</v>
      </c>
      <c r="AP202" s="142"/>
      <c r="AQ202" s="76"/>
      <c r="AR202" s="76"/>
      <c r="AS202" s="33"/>
      <c r="AT202" s="102">
        <f t="shared" si="640"/>
        <v>0</v>
      </c>
      <c r="AV202" s="76"/>
      <c r="AW202" s="76"/>
      <c r="AX202" s="33"/>
      <c r="AY202" s="102">
        <f t="shared" si="641"/>
        <v>0</v>
      </c>
      <c r="AZ202" s="142"/>
      <c r="BA202" s="76"/>
      <c r="BB202" s="76"/>
      <c r="BC202" s="33"/>
      <c r="BD202" s="102">
        <f t="shared" si="642"/>
        <v>0</v>
      </c>
      <c r="BE202" s="142"/>
      <c r="BF202" s="76"/>
      <c r="BG202" s="76"/>
      <c r="BH202" s="33"/>
      <c r="BI202" s="102">
        <f t="shared" si="643"/>
        <v>0</v>
      </c>
      <c r="BJ202" s="142"/>
      <c r="BK202" s="76"/>
      <c r="BL202" s="76"/>
      <c r="BM202" s="33"/>
      <c r="BN202" s="102">
        <f t="shared" si="644"/>
        <v>0</v>
      </c>
      <c r="BO202" s="142"/>
      <c r="BP202" s="76"/>
      <c r="BQ202" s="76"/>
      <c r="BR202" s="33"/>
      <c r="BS202" s="102">
        <f t="shared" si="645"/>
        <v>0</v>
      </c>
      <c r="BT202" s="142"/>
      <c r="BU202" s="76"/>
      <c r="BV202" s="76"/>
      <c r="BW202" s="33"/>
      <c r="BX202" s="99">
        <f t="shared" si="616"/>
        <v>0</v>
      </c>
      <c r="BY202" s="2438">
        <v>0</v>
      </c>
      <c r="BZ202" s="1263">
        <f t="shared" si="647"/>
        <v>0</v>
      </c>
      <c r="CA202" s="1263">
        <f t="shared" si="648"/>
        <v>0</v>
      </c>
      <c r="CB202" s="1263">
        <f t="shared" si="649"/>
        <v>0</v>
      </c>
      <c r="CC202" s="1263">
        <f t="shared" si="650"/>
        <v>0</v>
      </c>
      <c r="CD202" s="1263">
        <f t="shared" si="651"/>
        <v>0</v>
      </c>
      <c r="CE202" s="1263">
        <f t="shared" si="652"/>
        <v>0</v>
      </c>
      <c r="CF202" s="1263">
        <f t="shared" si="653"/>
        <v>0</v>
      </c>
      <c r="CG202" s="1263">
        <f t="shared" si="654"/>
        <v>0</v>
      </c>
      <c r="CH202" s="1263">
        <f t="shared" si="655"/>
        <v>0</v>
      </c>
      <c r="CI202" s="1263">
        <f t="shared" si="626"/>
        <v>0</v>
      </c>
      <c r="CJ202" s="1263">
        <f t="shared" si="626"/>
        <v>0</v>
      </c>
      <c r="CK202" s="1263"/>
      <c r="CL202" s="1920">
        <f t="shared" si="627"/>
        <v>0</v>
      </c>
      <c r="CM202" s="78">
        <f t="shared" si="628"/>
        <v>0</v>
      </c>
      <c r="CN202" s="78">
        <f t="shared" si="629"/>
        <v>0</v>
      </c>
      <c r="CO202" s="78">
        <f t="shared" si="630"/>
        <v>0</v>
      </c>
      <c r="CP202" s="78">
        <f t="shared" si="631"/>
        <v>0</v>
      </c>
      <c r="CQ202" s="78">
        <f t="shared" si="632"/>
        <v>0</v>
      </c>
      <c r="CR202" s="78">
        <f t="shared" si="633"/>
        <v>0</v>
      </c>
      <c r="CS202" s="78">
        <f t="shared" si="634"/>
        <v>0</v>
      </c>
      <c r="CT202" s="78">
        <f t="shared" si="635"/>
        <v>0</v>
      </c>
      <c r="CU202" s="78">
        <f t="shared" si="636"/>
        <v>0</v>
      </c>
      <c r="CV202" s="78">
        <f t="shared" si="637"/>
        <v>0</v>
      </c>
      <c r="CW202" s="131">
        <f t="shared" si="638"/>
        <v>0</v>
      </c>
    </row>
    <row r="203" spans="1:101" x14ac:dyDescent="0.2">
      <c r="A203" s="869" t="s">
        <v>5540</v>
      </c>
      <c r="B203" s="2368" t="s">
        <v>6270</v>
      </c>
      <c r="C203" s="2343" t="s">
        <v>6271</v>
      </c>
      <c r="D203" s="2328"/>
      <c r="E203" s="186">
        <v>20700</v>
      </c>
      <c r="F203" s="33"/>
      <c r="G203" s="33"/>
      <c r="H203" s="33"/>
      <c r="I203" s="33"/>
      <c r="J203" s="99"/>
      <c r="K203" s="33"/>
      <c r="L203" s="33"/>
      <c r="M203" s="142"/>
      <c r="N203" s="33"/>
      <c r="O203" s="33"/>
      <c r="P203" s="102"/>
      <c r="Q203" s="142"/>
      <c r="R203" s="76"/>
      <c r="S203" s="76"/>
      <c r="T203" s="33">
        <v>21000</v>
      </c>
      <c r="U203" s="102">
        <f t="shared" si="610"/>
        <v>-300</v>
      </c>
      <c r="V203" s="186"/>
      <c r="W203" s="33"/>
      <c r="X203" s="99"/>
      <c r="Y203" s="33"/>
      <c r="Z203" s="102">
        <f t="shared" si="611"/>
        <v>0</v>
      </c>
      <c r="AA203" s="142"/>
      <c r="AB203" s="76"/>
      <c r="AC203" s="76"/>
      <c r="AD203" s="33">
        <f t="shared" si="612"/>
        <v>0</v>
      </c>
      <c r="AE203" s="102">
        <f t="shared" si="613"/>
        <v>0</v>
      </c>
      <c r="AF203" s="142"/>
      <c r="AG203" s="76"/>
      <c r="AH203" s="76"/>
      <c r="AI203" s="33">
        <f t="shared" si="614"/>
        <v>0</v>
      </c>
      <c r="AJ203" s="102">
        <f t="shared" si="615"/>
        <v>0</v>
      </c>
      <c r="AK203" s="142"/>
      <c r="AL203" s="76"/>
      <c r="AM203" s="76"/>
      <c r="AN203" s="76"/>
      <c r="AO203" s="100">
        <f t="shared" si="639"/>
        <v>0</v>
      </c>
      <c r="AP203" s="142"/>
      <c r="AQ203" s="76"/>
      <c r="AR203" s="76"/>
      <c r="AS203" s="33"/>
      <c r="AT203" s="102">
        <f t="shared" si="640"/>
        <v>0</v>
      </c>
      <c r="AV203" s="76"/>
      <c r="AW203" s="76"/>
      <c r="AX203" s="33"/>
      <c r="AY203" s="102">
        <f t="shared" si="641"/>
        <v>0</v>
      </c>
      <c r="AZ203" s="142"/>
      <c r="BA203" s="76"/>
      <c r="BB203" s="76"/>
      <c r="BC203" s="33"/>
      <c r="BD203" s="102">
        <f t="shared" si="642"/>
        <v>0</v>
      </c>
      <c r="BE203" s="142"/>
      <c r="BF203" s="76"/>
      <c r="BG203" s="76"/>
      <c r="BH203" s="33"/>
      <c r="BI203" s="102">
        <f t="shared" si="643"/>
        <v>0</v>
      </c>
      <c r="BJ203" s="142"/>
      <c r="BK203" s="76"/>
      <c r="BL203" s="76"/>
      <c r="BM203" s="33"/>
      <c r="BN203" s="102">
        <f t="shared" si="644"/>
        <v>0</v>
      </c>
      <c r="BO203" s="142"/>
      <c r="BP203" s="76"/>
      <c r="BQ203" s="76"/>
      <c r="BR203" s="33"/>
      <c r="BS203" s="102">
        <f t="shared" si="645"/>
        <v>0</v>
      </c>
      <c r="BT203" s="142"/>
      <c r="BU203" s="76"/>
      <c r="BV203" s="76"/>
      <c r="BW203" s="33"/>
      <c r="BX203" s="99">
        <f t="shared" si="616"/>
        <v>0</v>
      </c>
      <c r="BY203" s="2438">
        <v>0</v>
      </c>
      <c r="BZ203" s="1263">
        <f t="shared" si="647"/>
        <v>0</v>
      </c>
      <c r="CA203" s="1263">
        <f t="shared" si="648"/>
        <v>0</v>
      </c>
      <c r="CB203" s="1263">
        <f t="shared" si="649"/>
        <v>0</v>
      </c>
      <c r="CC203" s="1263">
        <f t="shared" si="650"/>
        <v>0</v>
      </c>
      <c r="CD203" s="1263">
        <f t="shared" si="651"/>
        <v>0</v>
      </c>
      <c r="CE203" s="1263">
        <f t="shared" si="652"/>
        <v>0</v>
      </c>
      <c r="CF203" s="1263">
        <f t="shared" si="653"/>
        <v>0</v>
      </c>
      <c r="CG203" s="1263">
        <f t="shared" si="654"/>
        <v>0</v>
      </c>
      <c r="CH203" s="1263">
        <f t="shared" si="655"/>
        <v>0</v>
      </c>
      <c r="CI203" s="1263">
        <f t="shared" si="626"/>
        <v>0</v>
      </c>
      <c r="CJ203" s="1263">
        <f t="shared" si="626"/>
        <v>0</v>
      </c>
      <c r="CK203" s="1263"/>
      <c r="CL203" s="1920">
        <f t="shared" si="627"/>
        <v>0</v>
      </c>
      <c r="CM203" s="78">
        <f t="shared" si="628"/>
        <v>0</v>
      </c>
      <c r="CN203" s="78">
        <f t="shared" si="629"/>
        <v>0</v>
      </c>
      <c r="CO203" s="78">
        <f t="shared" si="630"/>
        <v>0</v>
      </c>
      <c r="CP203" s="78">
        <f t="shared" si="631"/>
        <v>0</v>
      </c>
      <c r="CQ203" s="78">
        <f t="shared" si="632"/>
        <v>0</v>
      </c>
      <c r="CR203" s="78">
        <f t="shared" si="633"/>
        <v>0</v>
      </c>
      <c r="CS203" s="78">
        <f t="shared" si="634"/>
        <v>0</v>
      </c>
      <c r="CT203" s="78">
        <f t="shared" si="635"/>
        <v>0</v>
      </c>
      <c r="CU203" s="78">
        <f t="shared" si="636"/>
        <v>0</v>
      </c>
      <c r="CV203" s="78">
        <f t="shared" si="637"/>
        <v>0</v>
      </c>
      <c r="CW203" s="131">
        <f t="shared" si="638"/>
        <v>0</v>
      </c>
    </row>
    <row r="204" spans="1:101" x14ac:dyDescent="0.2">
      <c r="A204" s="869" t="s">
        <v>5565</v>
      </c>
      <c r="B204" s="2368" t="s">
        <v>6272</v>
      </c>
      <c r="C204" s="2332" t="s">
        <v>6562</v>
      </c>
      <c r="D204" s="2327"/>
      <c r="E204" s="186">
        <v>82800</v>
      </c>
      <c r="F204" s="33">
        <v>47000</v>
      </c>
      <c r="G204" s="33"/>
      <c r="H204" s="33"/>
      <c r="I204" s="33"/>
      <c r="J204" s="33"/>
      <c r="K204" s="33"/>
      <c r="L204" s="33"/>
      <c r="M204" s="142"/>
      <c r="N204" s="33"/>
      <c r="O204" s="33"/>
      <c r="P204" s="102"/>
      <c r="Q204" s="142"/>
      <c r="R204" s="76"/>
      <c r="S204" s="76"/>
      <c r="T204" s="33">
        <f>E204</f>
        <v>82800</v>
      </c>
      <c r="U204" s="102">
        <f t="shared" si="610"/>
        <v>0</v>
      </c>
      <c r="V204" s="186"/>
      <c r="W204" s="33"/>
      <c r="X204" s="99"/>
      <c r="Y204" s="33">
        <v>47000</v>
      </c>
      <c r="Z204" s="102">
        <f t="shared" si="611"/>
        <v>0</v>
      </c>
      <c r="AA204" s="142"/>
      <c r="AB204" s="76"/>
      <c r="AC204" s="76"/>
      <c r="AD204" s="33">
        <f t="shared" si="612"/>
        <v>0</v>
      </c>
      <c r="AE204" s="102">
        <f t="shared" si="613"/>
        <v>0</v>
      </c>
      <c r="AF204" s="142"/>
      <c r="AG204" s="76"/>
      <c r="AH204" s="76"/>
      <c r="AI204" s="33">
        <f t="shared" si="614"/>
        <v>0</v>
      </c>
      <c r="AJ204" s="102">
        <f t="shared" si="615"/>
        <v>0</v>
      </c>
      <c r="AK204" s="142"/>
      <c r="AL204" s="76"/>
      <c r="AM204" s="76"/>
      <c r="AN204" s="76"/>
      <c r="AO204" s="100">
        <f t="shared" si="639"/>
        <v>0</v>
      </c>
      <c r="AP204" s="142"/>
      <c r="AQ204" s="76"/>
      <c r="AR204" s="76"/>
      <c r="AS204" s="33"/>
      <c r="AT204" s="102">
        <f t="shared" si="640"/>
        <v>0</v>
      </c>
      <c r="AV204" s="76"/>
      <c r="AW204" s="76"/>
      <c r="AX204" s="33"/>
      <c r="AY204" s="102">
        <f t="shared" si="641"/>
        <v>0</v>
      </c>
      <c r="AZ204" s="142"/>
      <c r="BA204" s="76"/>
      <c r="BB204" s="76"/>
      <c r="BC204" s="33"/>
      <c r="BD204" s="102">
        <f t="shared" si="642"/>
        <v>0</v>
      </c>
      <c r="BE204" s="142"/>
      <c r="BF204" s="76"/>
      <c r="BG204" s="76"/>
      <c r="BH204" s="33"/>
      <c r="BI204" s="102">
        <f t="shared" si="643"/>
        <v>0</v>
      </c>
      <c r="BJ204" s="142"/>
      <c r="BK204" s="76"/>
      <c r="BL204" s="76"/>
      <c r="BM204" s="33"/>
      <c r="BN204" s="102">
        <f t="shared" si="644"/>
        <v>0</v>
      </c>
      <c r="BO204" s="142"/>
      <c r="BP204" s="76"/>
      <c r="BQ204" s="76"/>
      <c r="BR204" s="33"/>
      <c r="BS204" s="102">
        <f t="shared" si="645"/>
        <v>0</v>
      </c>
      <c r="BT204" s="142"/>
      <c r="BU204" s="76"/>
      <c r="BV204" s="76"/>
      <c r="BW204" s="33"/>
      <c r="BX204" s="99">
        <f t="shared" si="616"/>
        <v>0</v>
      </c>
      <c r="BY204" s="2438">
        <v>0</v>
      </c>
      <c r="BZ204" s="1263">
        <f t="shared" si="647"/>
        <v>0</v>
      </c>
      <c r="CA204" s="1263">
        <f t="shared" si="648"/>
        <v>0</v>
      </c>
      <c r="CB204" s="1263">
        <f t="shared" si="649"/>
        <v>0</v>
      </c>
      <c r="CC204" s="1263">
        <f t="shared" si="650"/>
        <v>0</v>
      </c>
      <c r="CD204" s="1263">
        <f t="shared" si="651"/>
        <v>0</v>
      </c>
      <c r="CE204" s="1263">
        <f t="shared" si="652"/>
        <v>0</v>
      </c>
      <c r="CF204" s="1263">
        <f t="shared" si="653"/>
        <v>0</v>
      </c>
      <c r="CG204" s="1263">
        <f t="shared" si="654"/>
        <v>0</v>
      </c>
      <c r="CH204" s="1263">
        <f t="shared" si="655"/>
        <v>0</v>
      </c>
      <c r="CI204" s="1263">
        <f t="shared" si="626"/>
        <v>0</v>
      </c>
      <c r="CJ204" s="1263">
        <f t="shared" si="626"/>
        <v>0</v>
      </c>
      <c r="CK204" s="1263"/>
      <c r="CL204" s="1920">
        <f t="shared" si="627"/>
        <v>0</v>
      </c>
      <c r="CM204" s="78">
        <f t="shared" si="628"/>
        <v>0</v>
      </c>
      <c r="CN204" s="78">
        <f t="shared" si="629"/>
        <v>0</v>
      </c>
      <c r="CO204" s="78">
        <f t="shared" si="630"/>
        <v>0</v>
      </c>
      <c r="CP204" s="78">
        <f t="shared" si="631"/>
        <v>0</v>
      </c>
      <c r="CQ204" s="78">
        <f t="shared" si="632"/>
        <v>0</v>
      </c>
      <c r="CR204" s="78">
        <f t="shared" si="633"/>
        <v>0</v>
      </c>
      <c r="CS204" s="78">
        <f t="shared" si="634"/>
        <v>0</v>
      </c>
      <c r="CT204" s="78">
        <f t="shared" si="635"/>
        <v>0</v>
      </c>
      <c r="CU204" s="78">
        <f t="shared" si="636"/>
        <v>0</v>
      </c>
      <c r="CV204" s="78">
        <f t="shared" si="637"/>
        <v>0</v>
      </c>
      <c r="CW204" s="131">
        <f t="shared" si="638"/>
        <v>0</v>
      </c>
    </row>
    <row r="205" spans="1:101" x14ac:dyDescent="0.2">
      <c r="A205" s="869" t="s">
        <v>6106</v>
      </c>
      <c r="B205" s="2368" t="s">
        <v>6107</v>
      </c>
      <c r="C205" s="2332"/>
      <c r="D205" s="2327"/>
      <c r="E205" s="186">
        <v>156300</v>
      </c>
      <c r="F205" s="33"/>
      <c r="G205" s="33"/>
      <c r="H205" s="33"/>
      <c r="I205" s="33"/>
      <c r="J205" s="33"/>
      <c r="K205" s="76"/>
      <c r="L205" s="33"/>
      <c r="M205" s="142"/>
      <c r="N205" s="33"/>
      <c r="O205" s="33"/>
      <c r="P205" s="102"/>
      <c r="Q205" s="142"/>
      <c r="R205" s="76"/>
      <c r="S205" s="76"/>
      <c r="T205" s="33">
        <f>400000-120000</f>
        <v>280000</v>
      </c>
      <c r="U205" s="102">
        <f t="shared" si="610"/>
        <v>-123700</v>
      </c>
      <c r="V205" s="186"/>
      <c r="W205" s="33"/>
      <c r="X205" s="99"/>
      <c r="Y205" s="33"/>
      <c r="Z205" s="102">
        <f t="shared" si="611"/>
        <v>0</v>
      </c>
      <c r="AA205" s="142"/>
      <c r="AB205" s="76"/>
      <c r="AC205" s="76"/>
      <c r="AD205" s="33">
        <f t="shared" si="612"/>
        <v>0</v>
      </c>
      <c r="AE205" s="102">
        <f t="shared" si="613"/>
        <v>0</v>
      </c>
      <c r="AF205" s="142"/>
      <c r="AG205" s="76"/>
      <c r="AH205" s="76"/>
      <c r="AI205" s="33">
        <f t="shared" si="614"/>
        <v>0</v>
      </c>
      <c r="AJ205" s="102">
        <f t="shared" si="615"/>
        <v>0</v>
      </c>
      <c r="AK205" s="142"/>
      <c r="AL205" s="76"/>
      <c r="AM205" s="76"/>
      <c r="AN205" s="76"/>
      <c r="AO205" s="100">
        <f t="shared" si="639"/>
        <v>0</v>
      </c>
      <c r="AP205" s="142"/>
      <c r="AQ205" s="76"/>
      <c r="AR205" s="76"/>
      <c r="AS205" s="33"/>
      <c r="AT205" s="102">
        <f t="shared" si="640"/>
        <v>0</v>
      </c>
      <c r="AV205" s="76"/>
      <c r="AW205" s="76"/>
      <c r="AX205" s="33"/>
      <c r="AY205" s="102">
        <f t="shared" si="641"/>
        <v>0</v>
      </c>
      <c r="AZ205" s="142"/>
      <c r="BA205" s="76"/>
      <c r="BB205" s="76"/>
      <c r="BC205" s="33"/>
      <c r="BD205" s="102">
        <f t="shared" si="642"/>
        <v>0</v>
      </c>
      <c r="BE205" s="142"/>
      <c r="BF205" s="76"/>
      <c r="BG205" s="76"/>
      <c r="BH205" s="33"/>
      <c r="BI205" s="102">
        <f t="shared" si="643"/>
        <v>0</v>
      </c>
      <c r="BJ205" s="142"/>
      <c r="BK205" s="76"/>
      <c r="BL205" s="76"/>
      <c r="BM205" s="33"/>
      <c r="BN205" s="102">
        <f t="shared" si="644"/>
        <v>0</v>
      </c>
      <c r="BO205" s="142"/>
      <c r="BP205" s="76"/>
      <c r="BQ205" s="76"/>
      <c r="BR205" s="33"/>
      <c r="BS205" s="102">
        <f t="shared" si="645"/>
        <v>0</v>
      </c>
      <c r="BT205" s="142"/>
      <c r="BU205" s="76"/>
      <c r="BV205" s="76"/>
      <c r="BW205" s="33"/>
      <c r="BX205" s="99">
        <f t="shared" si="616"/>
        <v>0</v>
      </c>
      <c r="BY205" s="2438">
        <v>0</v>
      </c>
      <c r="BZ205" s="1263">
        <f t="shared" si="647"/>
        <v>0</v>
      </c>
      <c r="CA205" s="1263">
        <f t="shared" si="648"/>
        <v>0</v>
      </c>
      <c r="CB205" s="1263">
        <f t="shared" si="649"/>
        <v>0</v>
      </c>
      <c r="CC205" s="1263">
        <f t="shared" si="650"/>
        <v>0</v>
      </c>
      <c r="CD205" s="1263">
        <f t="shared" si="651"/>
        <v>0</v>
      </c>
      <c r="CE205" s="1263">
        <f t="shared" si="652"/>
        <v>0</v>
      </c>
      <c r="CF205" s="1263">
        <f t="shared" si="653"/>
        <v>0</v>
      </c>
      <c r="CG205" s="1263">
        <f t="shared" si="654"/>
        <v>0</v>
      </c>
      <c r="CH205" s="1263">
        <f t="shared" si="655"/>
        <v>0</v>
      </c>
      <c r="CI205" s="1263">
        <f t="shared" si="626"/>
        <v>0</v>
      </c>
      <c r="CJ205" s="1263">
        <f t="shared" si="626"/>
        <v>0</v>
      </c>
      <c r="CK205" s="1263"/>
      <c r="CL205" s="1920">
        <f t="shared" si="627"/>
        <v>0</v>
      </c>
      <c r="CM205" s="78">
        <f t="shared" si="628"/>
        <v>0</v>
      </c>
      <c r="CN205" s="78">
        <f t="shared" si="629"/>
        <v>0</v>
      </c>
      <c r="CO205" s="78">
        <f t="shared" si="630"/>
        <v>0</v>
      </c>
      <c r="CP205" s="78">
        <f t="shared" si="631"/>
        <v>0</v>
      </c>
      <c r="CQ205" s="78">
        <f t="shared" si="632"/>
        <v>0</v>
      </c>
      <c r="CR205" s="78">
        <f t="shared" si="633"/>
        <v>0</v>
      </c>
      <c r="CS205" s="78">
        <f t="shared" si="634"/>
        <v>0</v>
      </c>
      <c r="CT205" s="78">
        <f t="shared" si="635"/>
        <v>0</v>
      </c>
      <c r="CU205" s="78">
        <f t="shared" si="636"/>
        <v>0</v>
      </c>
      <c r="CV205" s="78">
        <f t="shared" si="637"/>
        <v>0</v>
      </c>
      <c r="CW205" s="131">
        <f t="shared" si="638"/>
        <v>0</v>
      </c>
    </row>
    <row r="206" spans="1:101" x14ac:dyDescent="0.2">
      <c r="A206" s="869" t="s">
        <v>6139</v>
      </c>
      <c r="B206" s="2368" t="s">
        <v>6560</v>
      </c>
      <c r="C206" s="2332" t="s">
        <v>6561</v>
      </c>
      <c r="D206" s="2327"/>
      <c r="E206" s="186"/>
      <c r="F206" s="33">
        <v>315000</v>
      </c>
      <c r="G206" s="33"/>
      <c r="H206" s="33"/>
      <c r="I206" s="33"/>
      <c r="J206" s="33"/>
      <c r="K206" s="76"/>
      <c r="L206" s="33"/>
      <c r="M206" s="142"/>
      <c r="N206" s="33"/>
      <c r="O206" s="33"/>
      <c r="P206" s="102"/>
      <c r="Q206" s="142"/>
      <c r="R206" s="76"/>
      <c r="S206" s="76"/>
      <c r="T206" s="33">
        <v>0</v>
      </c>
      <c r="U206" s="102">
        <f t="shared" si="610"/>
        <v>0</v>
      </c>
      <c r="V206" s="186"/>
      <c r="W206" s="33"/>
      <c r="X206" s="99"/>
      <c r="Y206" s="33">
        <v>315000</v>
      </c>
      <c r="Z206" s="102">
        <f t="shared" si="611"/>
        <v>0</v>
      </c>
      <c r="AA206" s="142"/>
      <c r="AB206" s="76"/>
      <c r="AC206" s="76"/>
      <c r="AD206" s="33">
        <f t="shared" si="612"/>
        <v>0</v>
      </c>
      <c r="AE206" s="102">
        <f t="shared" si="613"/>
        <v>0</v>
      </c>
      <c r="AF206" s="142"/>
      <c r="AG206" s="76"/>
      <c r="AH206" s="76"/>
      <c r="AI206" s="33">
        <f t="shared" si="614"/>
        <v>0</v>
      </c>
      <c r="AJ206" s="102">
        <f t="shared" si="615"/>
        <v>0</v>
      </c>
      <c r="AK206" s="142"/>
      <c r="AL206" s="76"/>
      <c r="AM206" s="76"/>
      <c r="AN206" s="76"/>
      <c r="AO206" s="100">
        <f t="shared" si="639"/>
        <v>0</v>
      </c>
      <c r="AP206" s="142"/>
      <c r="AQ206" s="76"/>
      <c r="AR206" s="76"/>
      <c r="AS206" s="33"/>
      <c r="AT206" s="102">
        <f t="shared" si="640"/>
        <v>0</v>
      </c>
      <c r="AV206" s="76"/>
      <c r="AW206" s="76"/>
      <c r="AX206" s="33"/>
      <c r="AY206" s="102">
        <f t="shared" si="641"/>
        <v>0</v>
      </c>
      <c r="AZ206" s="142"/>
      <c r="BA206" s="76"/>
      <c r="BB206" s="76"/>
      <c r="BC206" s="33"/>
      <c r="BD206" s="102">
        <f t="shared" si="642"/>
        <v>0</v>
      </c>
      <c r="BE206" s="142"/>
      <c r="BF206" s="76"/>
      <c r="BG206" s="76"/>
      <c r="BH206" s="33"/>
      <c r="BI206" s="102">
        <f t="shared" si="643"/>
        <v>0</v>
      </c>
      <c r="BJ206" s="142"/>
      <c r="BK206" s="76"/>
      <c r="BL206" s="76"/>
      <c r="BM206" s="33"/>
      <c r="BN206" s="102">
        <f t="shared" si="644"/>
        <v>0</v>
      </c>
      <c r="BO206" s="142"/>
      <c r="BP206" s="76"/>
      <c r="BQ206" s="76"/>
      <c r="BR206" s="33"/>
      <c r="BS206" s="102">
        <f t="shared" si="645"/>
        <v>0</v>
      </c>
      <c r="BT206" s="142"/>
      <c r="BU206" s="76"/>
      <c r="BV206" s="76"/>
      <c r="BW206" s="33"/>
      <c r="BX206" s="99">
        <f t="shared" si="616"/>
        <v>0</v>
      </c>
      <c r="BY206" s="2438">
        <v>0</v>
      </c>
      <c r="BZ206" s="1263">
        <f t="shared" si="647"/>
        <v>0</v>
      </c>
      <c r="CA206" s="1263">
        <f t="shared" si="648"/>
        <v>0</v>
      </c>
      <c r="CB206" s="1263">
        <f t="shared" si="649"/>
        <v>0</v>
      </c>
      <c r="CC206" s="1263">
        <f t="shared" si="650"/>
        <v>0</v>
      </c>
      <c r="CD206" s="1263">
        <f t="shared" si="651"/>
        <v>0</v>
      </c>
      <c r="CE206" s="1263">
        <f t="shared" si="652"/>
        <v>0</v>
      </c>
      <c r="CF206" s="1263">
        <f t="shared" si="653"/>
        <v>0</v>
      </c>
      <c r="CG206" s="1263">
        <f t="shared" si="654"/>
        <v>0</v>
      </c>
      <c r="CH206" s="1263">
        <f t="shared" si="655"/>
        <v>0</v>
      </c>
      <c r="CI206" s="1263">
        <f t="shared" si="626"/>
        <v>0</v>
      </c>
      <c r="CJ206" s="1263">
        <f t="shared" si="626"/>
        <v>0</v>
      </c>
      <c r="CK206" s="1263"/>
      <c r="CL206" s="1920">
        <f t="shared" si="627"/>
        <v>0</v>
      </c>
      <c r="CM206" s="78">
        <f t="shared" si="628"/>
        <v>0</v>
      </c>
      <c r="CN206" s="78">
        <f t="shared" si="629"/>
        <v>0</v>
      </c>
      <c r="CO206" s="78">
        <f t="shared" si="630"/>
        <v>0</v>
      </c>
      <c r="CP206" s="78">
        <f t="shared" si="631"/>
        <v>0</v>
      </c>
      <c r="CQ206" s="78">
        <f t="shared" si="632"/>
        <v>0</v>
      </c>
      <c r="CR206" s="78">
        <f t="shared" si="633"/>
        <v>0</v>
      </c>
      <c r="CS206" s="78">
        <f t="shared" si="634"/>
        <v>0</v>
      </c>
      <c r="CT206" s="78">
        <f t="shared" si="635"/>
        <v>0</v>
      </c>
      <c r="CU206" s="78">
        <f t="shared" si="636"/>
        <v>0</v>
      </c>
      <c r="CV206" s="78">
        <f t="shared" si="637"/>
        <v>0</v>
      </c>
      <c r="CW206" s="131">
        <f t="shared" si="638"/>
        <v>0</v>
      </c>
    </row>
    <row r="207" spans="1:101" x14ac:dyDescent="0.2">
      <c r="A207" s="869" t="s">
        <v>5632</v>
      </c>
      <c r="B207" s="2356" t="s">
        <v>941</v>
      </c>
      <c r="C207" s="2332" t="s">
        <v>5076</v>
      </c>
      <c r="D207" s="2330"/>
      <c r="E207" s="186">
        <v>379300</v>
      </c>
      <c r="F207" s="33"/>
      <c r="G207" s="33">
        <v>1500000</v>
      </c>
      <c r="H207" s="33"/>
      <c r="I207" s="33"/>
      <c r="J207" s="33">
        <v>1600000</v>
      </c>
      <c r="K207" s="33"/>
      <c r="L207" s="33"/>
      <c r="M207" s="33">
        <v>1700000</v>
      </c>
      <c r="N207" s="33"/>
      <c r="O207" s="33"/>
      <c r="P207" s="102">
        <v>1800000</v>
      </c>
      <c r="Q207" s="142"/>
      <c r="R207" s="76"/>
      <c r="S207" s="76"/>
      <c r="T207" s="33">
        <f>E207</f>
        <v>379300</v>
      </c>
      <c r="U207" s="102">
        <f t="shared" si="610"/>
        <v>0</v>
      </c>
      <c r="V207" s="186"/>
      <c r="W207" s="33"/>
      <c r="X207" s="99"/>
      <c r="Y207" s="33">
        <f>F207</f>
        <v>0</v>
      </c>
      <c r="Z207" s="102">
        <f t="shared" si="611"/>
        <v>0</v>
      </c>
      <c r="AA207" s="142"/>
      <c r="AB207" s="76"/>
      <c r="AC207" s="76"/>
      <c r="AD207" s="33">
        <f t="shared" si="612"/>
        <v>1500000</v>
      </c>
      <c r="AE207" s="102">
        <f t="shared" si="613"/>
        <v>0</v>
      </c>
      <c r="AF207" s="142"/>
      <c r="AG207" s="76"/>
      <c r="AH207" s="76"/>
      <c r="AI207" s="33">
        <f t="shared" si="614"/>
        <v>0</v>
      </c>
      <c r="AJ207" s="129">
        <f t="shared" si="615"/>
        <v>0</v>
      </c>
      <c r="AK207" s="142"/>
      <c r="AL207" s="76"/>
      <c r="AM207" s="76"/>
      <c r="AN207" s="76">
        <f>I207</f>
        <v>0</v>
      </c>
      <c r="AO207" s="100">
        <f t="shared" si="639"/>
        <v>0</v>
      </c>
      <c r="AP207" s="142"/>
      <c r="AQ207" s="76"/>
      <c r="AR207" s="76"/>
      <c r="AS207" s="33">
        <f>J207</f>
        <v>1600000</v>
      </c>
      <c r="AT207" s="102">
        <f t="shared" si="640"/>
        <v>0</v>
      </c>
      <c r="AV207" s="76"/>
      <c r="AW207" s="76"/>
      <c r="AX207" s="33">
        <f>K207</f>
        <v>0</v>
      </c>
      <c r="AY207" s="102">
        <f t="shared" si="641"/>
        <v>0</v>
      </c>
      <c r="AZ207" s="142"/>
      <c r="BA207" s="76"/>
      <c r="BB207" s="76"/>
      <c r="BC207" s="33">
        <f>L207</f>
        <v>0</v>
      </c>
      <c r="BD207" s="102">
        <f t="shared" si="642"/>
        <v>0</v>
      </c>
      <c r="BE207" s="142"/>
      <c r="BF207" s="76"/>
      <c r="BG207" s="76"/>
      <c r="BH207" s="33">
        <f>M207</f>
        <v>1700000</v>
      </c>
      <c r="BI207" s="102">
        <f t="shared" si="643"/>
        <v>0</v>
      </c>
      <c r="BJ207" s="142"/>
      <c r="BK207" s="76"/>
      <c r="BL207" s="76"/>
      <c r="BM207" s="33">
        <f>N207</f>
        <v>0</v>
      </c>
      <c r="BN207" s="102">
        <f t="shared" si="644"/>
        <v>0</v>
      </c>
      <c r="BO207" s="142"/>
      <c r="BP207" s="76"/>
      <c r="BQ207" s="76"/>
      <c r="BR207" s="33">
        <f>O207</f>
        <v>0</v>
      </c>
      <c r="BS207" s="102">
        <f t="shared" si="645"/>
        <v>0</v>
      </c>
      <c r="BT207" s="142"/>
      <c r="BU207" s="76"/>
      <c r="BV207" s="76"/>
      <c r="BW207" s="33">
        <f>P207</f>
        <v>1800000</v>
      </c>
      <c r="BX207" s="99">
        <f t="shared" si="616"/>
        <v>0</v>
      </c>
      <c r="BY207" s="2438">
        <v>0</v>
      </c>
      <c r="BZ207" s="1263">
        <f t="shared" si="646"/>
        <v>0</v>
      </c>
      <c r="CA207" s="1263">
        <f t="shared" si="646"/>
        <v>0</v>
      </c>
      <c r="CB207" s="1263">
        <f t="shared" si="646"/>
        <v>0</v>
      </c>
      <c r="CC207" s="1263">
        <f t="shared" si="646"/>
        <v>0</v>
      </c>
      <c r="CD207" s="1263">
        <f t="shared" si="646"/>
        <v>0</v>
      </c>
      <c r="CE207" s="1263">
        <f t="shared" si="646"/>
        <v>0</v>
      </c>
      <c r="CF207" s="1263">
        <f t="shared" si="646"/>
        <v>0</v>
      </c>
      <c r="CG207" s="1263">
        <f t="shared" si="646"/>
        <v>0</v>
      </c>
      <c r="CH207" s="1263">
        <f t="shared" si="646"/>
        <v>0</v>
      </c>
      <c r="CI207" s="1263">
        <f t="shared" si="626"/>
        <v>0</v>
      </c>
      <c r="CJ207" s="1263">
        <f t="shared" si="626"/>
        <v>0</v>
      </c>
      <c r="CK207" s="1263"/>
      <c r="CL207" s="1920">
        <f t="shared" si="627"/>
        <v>0</v>
      </c>
      <c r="CM207" s="78">
        <f t="shared" si="628"/>
        <v>0</v>
      </c>
      <c r="CN207" s="78">
        <f t="shared" si="629"/>
        <v>0</v>
      </c>
      <c r="CO207" s="78">
        <f t="shared" si="630"/>
        <v>0</v>
      </c>
      <c r="CP207" s="78">
        <f t="shared" si="631"/>
        <v>0</v>
      </c>
      <c r="CQ207" s="78">
        <f t="shared" si="632"/>
        <v>0</v>
      </c>
      <c r="CR207" s="78">
        <f t="shared" si="633"/>
        <v>0</v>
      </c>
      <c r="CS207" s="78">
        <f t="shared" si="634"/>
        <v>0</v>
      </c>
      <c r="CT207" s="78">
        <f t="shared" si="635"/>
        <v>0</v>
      </c>
      <c r="CU207" s="78">
        <f t="shared" si="636"/>
        <v>0</v>
      </c>
      <c r="CV207" s="78">
        <f t="shared" si="637"/>
        <v>0</v>
      </c>
      <c r="CW207" s="131">
        <f t="shared" si="638"/>
        <v>0</v>
      </c>
    </row>
    <row r="208" spans="1:101" ht="13.5" thickBot="1" x14ac:dyDescent="0.25">
      <c r="A208" s="413"/>
      <c r="B208" s="2208"/>
      <c r="C208" s="2334"/>
      <c r="D208" s="2330"/>
      <c r="E208" s="186"/>
      <c r="F208" s="33"/>
      <c r="G208" s="33"/>
      <c r="H208" s="33"/>
      <c r="I208" s="33"/>
      <c r="J208" s="142"/>
      <c r="K208" s="33"/>
      <c r="L208" s="33"/>
      <c r="M208" s="142"/>
      <c r="N208" s="33"/>
      <c r="O208" s="33"/>
      <c r="P208" s="102"/>
      <c r="Q208" s="142"/>
      <c r="R208" s="33"/>
      <c r="S208" s="33"/>
      <c r="T208" s="33"/>
      <c r="U208" s="129"/>
      <c r="V208" s="186"/>
      <c r="W208" s="33"/>
      <c r="X208" s="142"/>
      <c r="Y208" s="33"/>
      <c r="Z208" s="129"/>
      <c r="AA208" s="142"/>
      <c r="AB208" s="33"/>
      <c r="AC208" s="33"/>
      <c r="AD208" s="33"/>
      <c r="AE208" s="129"/>
      <c r="AF208" s="142"/>
      <c r="AG208" s="33"/>
      <c r="AH208" s="33"/>
      <c r="AI208" s="33"/>
      <c r="AJ208" s="136"/>
      <c r="AK208" s="142"/>
      <c r="AL208" s="33"/>
      <c r="AM208" s="33"/>
      <c r="AN208" s="33"/>
      <c r="AO208" s="100"/>
      <c r="AP208" s="142"/>
      <c r="AQ208" s="33"/>
      <c r="AR208" s="33"/>
      <c r="AS208" s="33"/>
      <c r="AT208" s="129"/>
      <c r="AV208" s="33"/>
      <c r="AW208" s="33"/>
      <c r="AX208" s="33"/>
      <c r="AY208" s="129"/>
      <c r="AZ208" s="142"/>
      <c r="BA208" s="33"/>
      <c r="BB208" s="33"/>
      <c r="BC208" s="33"/>
      <c r="BD208" s="129"/>
      <c r="BE208" s="142"/>
      <c r="BF208" s="33"/>
      <c r="BG208" s="33"/>
      <c r="BH208" s="33"/>
      <c r="BI208" s="129"/>
      <c r="BJ208" s="142"/>
      <c r="BK208" s="33"/>
      <c r="BL208" s="33"/>
      <c r="BM208" s="33"/>
      <c r="BN208" s="129"/>
      <c r="BO208" s="142"/>
      <c r="BP208" s="33"/>
      <c r="BQ208" s="33"/>
      <c r="BR208" s="33"/>
      <c r="BS208" s="129"/>
      <c r="BT208" s="142"/>
      <c r="BU208" s="33"/>
      <c r="BV208" s="33"/>
      <c r="BW208" s="33"/>
      <c r="BX208" s="76"/>
      <c r="BY208" s="2437"/>
      <c r="BZ208" s="740"/>
      <c r="CA208" s="740"/>
      <c r="CB208" s="740"/>
      <c r="CC208" s="740"/>
      <c r="CD208" s="740"/>
      <c r="CE208" s="740"/>
      <c r="CF208" s="740"/>
      <c r="CG208" s="740"/>
      <c r="CH208" s="740"/>
      <c r="CI208" s="740"/>
      <c r="CJ208" s="740"/>
      <c r="CK208" s="740"/>
      <c r="CL208" s="502"/>
      <c r="CM208" s="99"/>
      <c r="CN208" s="99"/>
      <c r="CO208" s="99"/>
      <c r="CP208" s="99"/>
      <c r="CQ208" s="99"/>
      <c r="CR208" s="99"/>
      <c r="CS208" s="99"/>
      <c r="CT208" s="99"/>
      <c r="CU208" s="99"/>
      <c r="CV208" s="99"/>
      <c r="CW208" s="114"/>
    </row>
    <row r="209" spans="1:101" s="92" customFormat="1" ht="14.25" thickTop="1" thickBot="1" x14ac:dyDescent="0.25">
      <c r="A209" s="1134" t="s">
        <v>3365</v>
      </c>
      <c r="B209" s="2357"/>
      <c r="C209" s="2331"/>
      <c r="D209" s="2389"/>
      <c r="E209" s="424">
        <f t="shared" ref="E209:AJ209" si="656">SUBTOTAL(9,E76:E208)</f>
        <v>18610300</v>
      </c>
      <c r="F209" s="417">
        <f t="shared" si="656"/>
        <v>29070300</v>
      </c>
      <c r="G209" s="417">
        <f t="shared" si="656"/>
        <v>19919100</v>
      </c>
      <c r="H209" s="417">
        <f t="shared" si="656"/>
        <v>29719100</v>
      </c>
      <c r="I209" s="417">
        <f t="shared" si="656"/>
        <v>9948300</v>
      </c>
      <c r="J209" s="419">
        <f t="shared" si="656"/>
        <v>37303300</v>
      </c>
      <c r="K209" s="417">
        <f t="shared" si="656"/>
        <v>25949900</v>
      </c>
      <c r="L209" s="417">
        <f t="shared" si="656"/>
        <v>12943900</v>
      </c>
      <c r="M209" s="419">
        <f t="shared" si="656"/>
        <v>14746500</v>
      </c>
      <c r="N209" s="417">
        <f t="shared" si="656"/>
        <v>13748700</v>
      </c>
      <c r="O209" s="417">
        <f t="shared" si="656"/>
        <v>14789500</v>
      </c>
      <c r="P209" s="422">
        <f t="shared" si="656"/>
        <v>16937900</v>
      </c>
      <c r="Q209" s="419">
        <f t="shared" si="656"/>
        <v>5946600</v>
      </c>
      <c r="R209" s="417">
        <f t="shared" si="656"/>
        <v>654000</v>
      </c>
      <c r="S209" s="417">
        <f t="shared" si="656"/>
        <v>0</v>
      </c>
      <c r="T209" s="417">
        <f t="shared" si="656"/>
        <v>11768000</v>
      </c>
      <c r="U209" s="418">
        <f t="shared" si="656"/>
        <v>241700</v>
      </c>
      <c r="V209" s="424">
        <f t="shared" si="656"/>
        <v>9864700</v>
      </c>
      <c r="W209" s="417">
        <f t="shared" si="656"/>
        <v>707300</v>
      </c>
      <c r="X209" s="419">
        <f t="shared" si="656"/>
        <v>0</v>
      </c>
      <c r="Y209" s="417">
        <f t="shared" si="656"/>
        <v>13433400</v>
      </c>
      <c r="Z209" s="418">
        <f t="shared" si="656"/>
        <v>5064900</v>
      </c>
      <c r="AA209" s="419">
        <f t="shared" si="656"/>
        <v>5793900</v>
      </c>
      <c r="AB209" s="417">
        <f t="shared" si="656"/>
        <v>201000</v>
      </c>
      <c r="AC209" s="417">
        <f t="shared" si="656"/>
        <v>0</v>
      </c>
      <c r="AD209" s="417">
        <f t="shared" si="656"/>
        <v>8628000</v>
      </c>
      <c r="AE209" s="418">
        <f t="shared" si="656"/>
        <v>5296200</v>
      </c>
      <c r="AF209" s="419">
        <f t="shared" si="656"/>
        <v>1443100</v>
      </c>
      <c r="AG209" s="417">
        <f t="shared" si="656"/>
        <v>16931000</v>
      </c>
      <c r="AH209" s="417">
        <f t="shared" si="656"/>
        <v>2500000</v>
      </c>
      <c r="AI209" s="417">
        <f t="shared" si="656"/>
        <v>2608000</v>
      </c>
      <c r="AJ209" s="418">
        <f t="shared" si="656"/>
        <v>6237000</v>
      </c>
      <c r="AK209" s="419">
        <f t="shared" ref="AK209:BP209" si="657">SUBTOTAL(9,AK76:AK208)</f>
        <v>920300</v>
      </c>
      <c r="AL209" s="417">
        <f t="shared" si="657"/>
        <v>217000</v>
      </c>
      <c r="AM209" s="417">
        <f t="shared" si="657"/>
        <v>0</v>
      </c>
      <c r="AN209" s="417">
        <f t="shared" si="657"/>
        <v>1612000</v>
      </c>
      <c r="AO209" s="420">
        <f t="shared" si="657"/>
        <v>7199000</v>
      </c>
      <c r="AP209" s="419">
        <f t="shared" si="657"/>
        <v>761400</v>
      </c>
      <c r="AQ209" s="417">
        <f t="shared" si="657"/>
        <v>13850000</v>
      </c>
      <c r="AR209" s="417">
        <f t="shared" si="657"/>
        <v>8340000</v>
      </c>
      <c r="AS209" s="417">
        <f t="shared" si="657"/>
        <v>6470000</v>
      </c>
      <c r="AT209" s="418">
        <f t="shared" si="657"/>
        <v>7881900</v>
      </c>
      <c r="AU209" s="419">
        <f t="shared" si="657"/>
        <v>776400</v>
      </c>
      <c r="AV209" s="417">
        <f t="shared" si="657"/>
        <v>13385000</v>
      </c>
      <c r="AW209" s="417">
        <f t="shared" si="657"/>
        <v>0</v>
      </c>
      <c r="AX209" s="417">
        <f t="shared" si="657"/>
        <v>4426000</v>
      </c>
      <c r="AY209" s="418">
        <f t="shared" si="657"/>
        <v>7362500</v>
      </c>
      <c r="AZ209" s="419">
        <f t="shared" si="657"/>
        <v>791600</v>
      </c>
      <c r="BA209" s="417">
        <f t="shared" si="657"/>
        <v>240000</v>
      </c>
      <c r="BB209" s="417">
        <f t="shared" si="657"/>
        <v>0</v>
      </c>
      <c r="BC209" s="417">
        <f t="shared" si="657"/>
        <v>4250000</v>
      </c>
      <c r="BD209" s="418">
        <f t="shared" si="657"/>
        <v>7662300</v>
      </c>
      <c r="BE209" s="419">
        <f t="shared" si="657"/>
        <v>807100</v>
      </c>
      <c r="BF209" s="417">
        <f t="shared" si="657"/>
        <v>247000</v>
      </c>
      <c r="BG209" s="417">
        <f t="shared" si="657"/>
        <v>0</v>
      </c>
      <c r="BH209" s="417">
        <f t="shared" si="657"/>
        <v>5720000</v>
      </c>
      <c r="BI209" s="418">
        <f t="shared" si="657"/>
        <v>7972400</v>
      </c>
      <c r="BJ209" s="419">
        <f t="shared" si="657"/>
        <v>822900</v>
      </c>
      <c r="BK209" s="417">
        <f t="shared" si="657"/>
        <v>255000</v>
      </c>
      <c r="BL209" s="417">
        <f t="shared" si="657"/>
        <v>0</v>
      </c>
      <c r="BM209" s="417">
        <f t="shared" si="657"/>
        <v>4225000</v>
      </c>
      <c r="BN209" s="418">
        <f t="shared" si="657"/>
        <v>8445800</v>
      </c>
      <c r="BO209" s="419">
        <f t="shared" si="657"/>
        <v>839000</v>
      </c>
      <c r="BP209" s="417">
        <f t="shared" si="657"/>
        <v>393000</v>
      </c>
      <c r="BQ209" s="417">
        <f t="shared" ref="BQ209:BX209" si="658">SUBTOTAL(9,BQ76:BQ208)</f>
        <v>0</v>
      </c>
      <c r="BR209" s="417">
        <f t="shared" si="658"/>
        <v>4136000</v>
      </c>
      <c r="BS209" s="418">
        <f t="shared" si="658"/>
        <v>9421500</v>
      </c>
      <c r="BT209" s="419">
        <f t="shared" si="658"/>
        <v>855500</v>
      </c>
      <c r="BU209" s="417">
        <f t="shared" si="658"/>
        <v>401000</v>
      </c>
      <c r="BV209" s="417">
        <f t="shared" si="658"/>
        <v>0</v>
      </c>
      <c r="BW209" s="417">
        <f t="shared" si="658"/>
        <v>5989000</v>
      </c>
      <c r="BX209" s="423">
        <f t="shared" si="658"/>
        <v>9692400</v>
      </c>
      <c r="BY209" s="2437"/>
      <c r="BZ209" s="740"/>
      <c r="CA209" s="655"/>
      <c r="CB209" s="655"/>
      <c r="CC209" s="655"/>
      <c r="CD209" s="655"/>
      <c r="CE209" s="655"/>
      <c r="CF209" s="655"/>
      <c r="CG209" s="655"/>
      <c r="CH209" s="655"/>
      <c r="CI209" s="655"/>
      <c r="CJ209" s="655"/>
      <c r="CK209" s="655"/>
      <c r="CL209" s="1747"/>
      <c r="CM209" s="74"/>
      <c r="CN209" s="74"/>
      <c r="CO209" s="74"/>
      <c r="CP209" s="74"/>
      <c r="CQ209" s="74"/>
      <c r="CR209" s="74"/>
      <c r="CS209" s="74"/>
      <c r="CT209" s="74"/>
      <c r="CU209" s="74"/>
      <c r="CV209" s="74"/>
      <c r="CW209" s="115"/>
    </row>
    <row r="210" spans="1:101" ht="14.25" thickTop="1" thickBot="1" x14ac:dyDescent="0.25">
      <c r="A210" s="409"/>
      <c r="B210" s="2362"/>
      <c r="C210" s="2337"/>
      <c r="D210" s="2392"/>
      <c r="E210" s="186"/>
      <c r="F210" s="33"/>
      <c r="G210" s="33"/>
      <c r="H210" s="33"/>
      <c r="I210" s="33"/>
      <c r="J210" s="142"/>
      <c r="K210" s="33"/>
      <c r="L210" s="33"/>
      <c r="M210" s="142"/>
      <c r="N210" s="33"/>
      <c r="O210" s="33"/>
      <c r="P210" s="102"/>
      <c r="Q210" s="142"/>
      <c r="R210" s="33"/>
      <c r="S210" s="33"/>
      <c r="T210" s="33"/>
      <c r="U210" s="326"/>
      <c r="V210" s="186"/>
      <c r="W210" s="33"/>
      <c r="X210" s="99"/>
      <c r="Y210" s="33"/>
      <c r="Z210" s="326"/>
      <c r="AA210" s="142"/>
      <c r="AB210" s="33"/>
      <c r="AC210" s="33"/>
      <c r="AD210" s="33"/>
      <c r="AE210" s="326"/>
      <c r="AF210" s="142"/>
      <c r="AG210" s="33"/>
      <c r="AH210" s="33"/>
      <c r="AI210" s="33"/>
      <c r="AJ210" s="326"/>
      <c r="AK210" s="142"/>
      <c r="AL210" s="33"/>
      <c r="AM210" s="33"/>
      <c r="AN210" s="33"/>
      <c r="AO210" s="165"/>
      <c r="AP210" s="142"/>
      <c r="AQ210" s="33"/>
      <c r="AR210" s="33"/>
      <c r="AS210" s="33"/>
      <c r="AT210" s="326"/>
      <c r="AU210" s="142"/>
      <c r="AV210" s="33"/>
      <c r="AW210" s="33"/>
      <c r="AX210" s="33"/>
      <c r="AY210" s="326"/>
      <c r="AZ210" s="142"/>
      <c r="BA210" s="33"/>
      <c r="BB210" s="33"/>
      <c r="BC210" s="33"/>
      <c r="BD210" s="326"/>
      <c r="BE210" s="142"/>
      <c r="BF210" s="33"/>
      <c r="BG210" s="33"/>
      <c r="BH210" s="33"/>
      <c r="BI210" s="326"/>
      <c r="BJ210" s="142"/>
      <c r="BK210" s="33"/>
      <c r="BL210" s="33"/>
      <c r="BM210" s="33"/>
      <c r="BN210" s="326"/>
      <c r="BO210" s="142"/>
      <c r="BP210" s="33"/>
      <c r="BQ210" s="33"/>
      <c r="BR210" s="33"/>
      <c r="BS210" s="326"/>
      <c r="BT210" s="142"/>
      <c r="BU210" s="33"/>
      <c r="BV210" s="33"/>
      <c r="BW210" s="33"/>
      <c r="BX210" s="174"/>
      <c r="BY210" s="2437"/>
      <c r="BZ210" s="740"/>
      <c r="CA210" s="740"/>
      <c r="CB210" s="740"/>
      <c r="CC210" s="740"/>
      <c r="CD210" s="740"/>
      <c r="CE210" s="740"/>
      <c r="CF210" s="740"/>
      <c r="CG210" s="740"/>
      <c r="CH210" s="740"/>
      <c r="CI210" s="740"/>
      <c r="CJ210" s="740"/>
      <c r="CK210" s="740"/>
      <c r="CL210" s="502"/>
      <c r="CM210" s="99"/>
      <c r="CN210" s="99"/>
      <c r="CO210" s="99"/>
      <c r="CP210" s="99"/>
      <c r="CQ210" s="99"/>
      <c r="CR210" s="99"/>
      <c r="CS210" s="99"/>
      <c r="CT210" s="99"/>
      <c r="CU210" s="99"/>
      <c r="CV210" s="99"/>
      <c r="CW210" s="114"/>
    </row>
    <row r="211" spans="1:101" s="92" customFormat="1" ht="13.5" thickTop="1" x14ac:dyDescent="0.2">
      <c r="A211" s="411" t="s">
        <v>1935</v>
      </c>
      <c r="B211" s="2359"/>
      <c r="C211" s="2333"/>
      <c r="D211" s="2391"/>
      <c r="E211" s="386">
        <f t="shared" ref="E211:AJ211" si="659">SUBTOTAL(9,E5:E210)</f>
        <v>22896800</v>
      </c>
      <c r="F211" s="162">
        <f t="shared" si="659"/>
        <v>43077900</v>
      </c>
      <c r="G211" s="162">
        <f t="shared" si="659"/>
        <v>34939500</v>
      </c>
      <c r="H211" s="162">
        <f t="shared" si="659"/>
        <v>33552100</v>
      </c>
      <c r="I211" s="162">
        <f t="shared" si="659"/>
        <v>17407300</v>
      </c>
      <c r="J211" s="122">
        <f t="shared" si="659"/>
        <v>42417300</v>
      </c>
      <c r="K211" s="162">
        <f t="shared" si="659"/>
        <v>26118900</v>
      </c>
      <c r="L211" s="162">
        <f t="shared" si="659"/>
        <v>14017900</v>
      </c>
      <c r="M211" s="122">
        <f t="shared" si="659"/>
        <v>17438500</v>
      </c>
      <c r="N211" s="162">
        <f t="shared" si="659"/>
        <v>15458700</v>
      </c>
      <c r="O211" s="162">
        <f t="shared" si="659"/>
        <v>17518500</v>
      </c>
      <c r="P211" s="385">
        <f t="shared" si="659"/>
        <v>19735900</v>
      </c>
      <c r="Q211" s="122">
        <f t="shared" si="659"/>
        <v>8173600</v>
      </c>
      <c r="R211" s="162">
        <f t="shared" si="659"/>
        <v>654000</v>
      </c>
      <c r="S211" s="162">
        <f t="shared" si="659"/>
        <v>500000</v>
      </c>
      <c r="T211" s="162">
        <f t="shared" si="659"/>
        <v>13315500</v>
      </c>
      <c r="U211" s="385">
        <f t="shared" si="659"/>
        <v>253700</v>
      </c>
      <c r="V211" s="386">
        <f t="shared" si="659"/>
        <v>9959700</v>
      </c>
      <c r="W211" s="162">
        <f t="shared" si="659"/>
        <v>707300</v>
      </c>
      <c r="X211" s="122">
        <f t="shared" si="659"/>
        <v>7611700</v>
      </c>
      <c r="Y211" s="162">
        <f t="shared" si="659"/>
        <v>19555200</v>
      </c>
      <c r="Z211" s="385">
        <f t="shared" si="659"/>
        <v>5244000</v>
      </c>
      <c r="AA211" s="122">
        <f t="shared" si="659"/>
        <v>10209500</v>
      </c>
      <c r="AB211" s="162">
        <f t="shared" si="659"/>
        <v>201000</v>
      </c>
      <c r="AC211" s="162">
        <f t="shared" si="659"/>
        <v>5927800</v>
      </c>
      <c r="AD211" s="162">
        <f t="shared" si="659"/>
        <v>13260000</v>
      </c>
      <c r="AE211" s="385">
        <f t="shared" si="659"/>
        <v>5341200</v>
      </c>
      <c r="AF211" s="122">
        <f t="shared" si="659"/>
        <v>1443100</v>
      </c>
      <c r="AG211" s="162">
        <f t="shared" si="659"/>
        <v>16931000</v>
      </c>
      <c r="AH211" s="162">
        <f t="shared" si="659"/>
        <v>2500000</v>
      </c>
      <c r="AI211" s="162">
        <f t="shared" si="659"/>
        <v>6394000</v>
      </c>
      <c r="AJ211" s="385">
        <f t="shared" si="659"/>
        <v>6284000</v>
      </c>
      <c r="AK211" s="122">
        <f t="shared" ref="AK211:BP211" si="660">SUBTOTAL(9,AK5:AK210)</f>
        <v>920300</v>
      </c>
      <c r="AL211" s="162">
        <f t="shared" si="660"/>
        <v>217000</v>
      </c>
      <c r="AM211" s="162">
        <f t="shared" si="660"/>
        <v>0</v>
      </c>
      <c r="AN211" s="162">
        <f t="shared" si="660"/>
        <v>9022000</v>
      </c>
      <c r="AO211" s="126">
        <f t="shared" si="660"/>
        <v>7248000</v>
      </c>
      <c r="AP211" s="122">
        <f t="shared" si="660"/>
        <v>761400</v>
      </c>
      <c r="AQ211" s="162">
        <f t="shared" si="660"/>
        <v>13850000</v>
      </c>
      <c r="AR211" s="162">
        <f t="shared" si="660"/>
        <v>8340000</v>
      </c>
      <c r="AS211" s="162">
        <f t="shared" si="660"/>
        <v>11533000</v>
      </c>
      <c r="AT211" s="385">
        <f t="shared" si="660"/>
        <v>7932900</v>
      </c>
      <c r="AU211" s="122">
        <f t="shared" si="660"/>
        <v>776400</v>
      </c>
      <c r="AV211" s="162">
        <f t="shared" si="660"/>
        <v>13385000</v>
      </c>
      <c r="AW211" s="162">
        <f t="shared" si="660"/>
        <v>0</v>
      </c>
      <c r="AX211" s="162">
        <f t="shared" si="660"/>
        <v>4542000</v>
      </c>
      <c r="AY211" s="385">
        <f t="shared" si="660"/>
        <v>7415500</v>
      </c>
      <c r="AZ211" s="122">
        <f t="shared" si="660"/>
        <v>791600</v>
      </c>
      <c r="BA211" s="162">
        <f t="shared" si="660"/>
        <v>240000</v>
      </c>
      <c r="BB211" s="162">
        <f t="shared" si="660"/>
        <v>0</v>
      </c>
      <c r="BC211" s="162">
        <f t="shared" si="660"/>
        <v>5269000</v>
      </c>
      <c r="BD211" s="385">
        <f t="shared" si="660"/>
        <v>7717300</v>
      </c>
      <c r="BE211" s="122">
        <f t="shared" si="660"/>
        <v>807100</v>
      </c>
      <c r="BF211" s="162">
        <f t="shared" si="660"/>
        <v>247000</v>
      </c>
      <c r="BG211" s="162">
        <f t="shared" si="660"/>
        <v>0</v>
      </c>
      <c r="BH211" s="162">
        <f t="shared" si="660"/>
        <v>8355000</v>
      </c>
      <c r="BI211" s="385">
        <f t="shared" si="660"/>
        <v>8029400</v>
      </c>
      <c r="BJ211" s="122">
        <f t="shared" si="660"/>
        <v>822900</v>
      </c>
      <c r="BK211" s="162">
        <f t="shared" si="660"/>
        <v>255000</v>
      </c>
      <c r="BL211" s="162">
        <f t="shared" si="660"/>
        <v>0</v>
      </c>
      <c r="BM211" s="162">
        <f t="shared" si="660"/>
        <v>5876000</v>
      </c>
      <c r="BN211" s="385">
        <f t="shared" si="660"/>
        <v>8504800</v>
      </c>
      <c r="BO211" s="122">
        <f t="shared" si="660"/>
        <v>839000</v>
      </c>
      <c r="BP211" s="162">
        <f t="shared" si="660"/>
        <v>393000</v>
      </c>
      <c r="BQ211" s="162">
        <f t="shared" ref="BQ211:BX211" si="661">SUBTOTAL(9,BQ5:BQ210)</f>
        <v>0</v>
      </c>
      <c r="BR211" s="162">
        <f t="shared" si="661"/>
        <v>6804000</v>
      </c>
      <c r="BS211" s="385">
        <f t="shared" si="661"/>
        <v>9482500</v>
      </c>
      <c r="BT211" s="122">
        <f t="shared" si="661"/>
        <v>855500</v>
      </c>
      <c r="BU211" s="162">
        <f t="shared" si="661"/>
        <v>401000</v>
      </c>
      <c r="BV211" s="162">
        <f t="shared" si="661"/>
        <v>0</v>
      </c>
      <c r="BW211" s="162">
        <f t="shared" si="661"/>
        <v>8724000</v>
      </c>
      <c r="BX211" s="125">
        <f t="shared" si="661"/>
        <v>9755400</v>
      </c>
      <c r="BY211" s="2437"/>
      <c r="BZ211" s="740"/>
      <c r="CA211" s="655"/>
      <c r="CB211" s="655"/>
      <c r="CC211" s="655"/>
      <c r="CD211" s="655"/>
      <c r="CE211" s="655"/>
      <c r="CF211" s="655"/>
      <c r="CG211" s="655"/>
      <c r="CH211" s="655"/>
      <c r="CI211" s="655"/>
      <c r="CJ211" s="655"/>
      <c r="CK211" s="655"/>
      <c r="CL211" s="1747">
        <f t="shared" ref="CL211:CW211" si="662">SUM(CL6:CL210)</f>
        <v>12270000</v>
      </c>
      <c r="CM211" s="74">
        <f t="shared" si="662"/>
        <v>27900000</v>
      </c>
      <c r="CN211" s="74">
        <f t="shared" si="662"/>
        <v>15000000</v>
      </c>
      <c r="CO211" s="74">
        <f t="shared" si="662"/>
        <v>7405000</v>
      </c>
      <c r="CP211" s="74">
        <f t="shared" si="662"/>
        <v>8275000</v>
      </c>
      <c r="CQ211" s="74">
        <f t="shared" si="662"/>
        <v>26821000</v>
      </c>
      <c r="CR211" s="74">
        <f t="shared" si="662"/>
        <v>21226000</v>
      </c>
      <c r="CS211" s="74">
        <f t="shared" si="662"/>
        <v>11629000</v>
      </c>
      <c r="CT211" s="74">
        <f t="shared" si="662"/>
        <v>11473000</v>
      </c>
      <c r="CU211" s="74">
        <f t="shared" si="662"/>
        <v>12682000</v>
      </c>
      <c r="CV211" s="74">
        <f t="shared" si="662"/>
        <v>15753000</v>
      </c>
      <c r="CW211" s="115">
        <f t="shared" si="662"/>
        <v>16181000</v>
      </c>
    </row>
    <row r="212" spans="1:101" ht="13.5" thickBot="1" x14ac:dyDescent="0.25">
      <c r="A212" s="414"/>
      <c r="B212" s="2397"/>
      <c r="C212" s="2398"/>
      <c r="D212" s="2399"/>
      <c r="E212" s="2722"/>
      <c r="F212" s="66"/>
      <c r="G212" s="66"/>
      <c r="H212" s="66"/>
      <c r="I212" s="66"/>
      <c r="J212" s="166"/>
      <c r="K212" s="121"/>
      <c r="L212" s="121"/>
      <c r="M212" s="95"/>
      <c r="N212" s="121"/>
      <c r="O212" s="121"/>
      <c r="P212" s="2168"/>
      <c r="Q212" s="166"/>
      <c r="R212" s="66"/>
      <c r="S212" s="66"/>
      <c r="T212" s="66"/>
      <c r="U212" s="326"/>
      <c r="V212" s="217"/>
      <c r="W212" s="66"/>
      <c r="X212" s="166"/>
      <c r="Y212" s="66"/>
      <c r="Z212" s="326"/>
      <c r="AA212" s="166"/>
      <c r="AB212" s="66"/>
      <c r="AC212" s="66"/>
      <c r="AD212" s="66"/>
      <c r="AE212" s="326"/>
      <c r="AF212" s="166"/>
      <c r="AG212" s="66"/>
      <c r="AH212" s="66"/>
      <c r="AI212" s="66"/>
      <c r="AJ212" s="326"/>
      <c r="AK212" s="166"/>
      <c r="AL212" s="66"/>
      <c r="AM212" s="66"/>
      <c r="AN212" s="66"/>
      <c r="AO212" s="165"/>
      <c r="AP212" s="166"/>
      <c r="AQ212" s="66"/>
      <c r="AR212" s="66"/>
      <c r="AS212" s="66"/>
      <c r="AT212" s="326"/>
      <c r="AU212" s="174"/>
      <c r="AV212" s="66"/>
      <c r="AW212" s="66"/>
      <c r="AX212" s="66"/>
      <c r="AY212" s="326"/>
      <c r="AZ212" s="166"/>
      <c r="BA212" s="66"/>
      <c r="BB212" s="66"/>
      <c r="BC212" s="66"/>
      <c r="BD212" s="326"/>
      <c r="BE212" s="166"/>
      <c r="BF212" s="66"/>
      <c r="BG212" s="66"/>
      <c r="BH212" s="66"/>
      <c r="BI212" s="326"/>
      <c r="BJ212" s="166"/>
      <c r="BK212" s="66"/>
      <c r="BL212" s="66"/>
      <c r="BM212" s="66"/>
      <c r="BN212" s="326"/>
      <c r="BO212" s="166"/>
      <c r="BP212" s="66"/>
      <c r="BQ212" s="66"/>
      <c r="BR212" s="66"/>
      <c r="BS212" s="326"/>
      <c r="BT212" s="166"/>
      <c r="BU212" s="66"/>
      <c r="BV212" s="66"/>
      <c r="BW212" s="66"/>
      <c r="BX212" s="174"/>
      <c r="BY212" s="2439"/>
      <c r="BZ212" s="1917"/>
      <c r="CA212" s="1917"/>
      <c r="CB212" s="1917"/>
      <c r="CC212" s="1917"/>
      <c r="CD212" s="1917"/>
      <c r="CE212" s="1917"/>
      <c r="CF212" s="1917"/>
      <c r="CG212" s="1917"/>
      <c r="CH212" s="1917"/>
      <c r="CI212" s="1917"/>
      <c r="CJ212" s="1917"/>
      <c r="CK212" s="1917"/>
      <c r="CL212" s="1751"/>
      <c r="CM212" s="174"/>
      <c r="CN212" s="174"/>
      <c r="CO212" s="174"/>
      <c r="CP212" s="174"/>
      <c r="CQ212" s="174"/>
      <c r="CR212" s="174"/>
      <c r="CS212" s="174"/>
      <c r="CT212" s="174"/>
      <c r="CU212" s="174"/>
      <c r="CV212" s="174"/>
      <c r="CW212" s="165"/>
    </row>
    <row r="213" spans="1:101" ht="13.5" thickTop="1" x14ac:dyDescent="0.2">
      <c r="A213" s="99"/>
      <c r="B213" s="198"/>
      <c r="C213" s="108"/>
      <c r="D213" s="108"/>
      <c r="E213" s="99"/>
      <c r="F213" s="99"/>
      <c r="G213" s="99"/>
      <c r="H213" s="99"/>
      <c r="I213" s="99"/>
      <c r="J213" s="99"/>
      <c r="K213" s="99"/>
      <c r="L213" s="99"/>
      <c r="M213" s="99"/>
      <c r="N213" s="99"/>
      <c r="O213" s="99"/>
      <c r="P213" s="99"/>
      <c r="Q213" s="99"/>
      <c r="V213" s="99"/>
      <c r="W213" s="99"/>
      <c r="X213" s="99"/>
      <c r="AA213" s="99"/>
      <c r="AF213" s="99"/>
      <c r="AK213" s="99"/>
      <c r="AP213" s="99"/>
      <c r="AZ213" s="99"/>
      <c r="BE213" s="99"/>
      <c r="BJ213" s="99"/>
      <c r="BO213" s="99"/>
      <c r="BT213" s="99"/>
      <c r="BY213" s="546"/>
      <c r="BZ213" s="546"/>
      <c r="CA213" s="546"/>
      <c r="CB213" s="546"/>
      <c r="CC213" s="546"/>
      <c r="CD213" s="546"/>
      <c r="CE213" s="546"/>
      <c r="CF213" s="546"/>
      <c r="CG213" s="546"/>
      <c r="CH213" s="546"/>
      <c r="CI213" s="546"/>
      <c r="CJ213" s="546"/>
      <c r="CK213" s="546"/>
      <c r="CU213" s="99"/>
    </row>
    <row r="214" spans="1:101" x14ac:dyDescent="0.2">
      <c r="A214" s="74" t="s">
        <v>2472</v>
      </c>
      <c r="B214" s="198"/>
      <c r="C214" s="108"/>
      <c r="D214" s="108"/>
      <c r="E214" s="99">
        <f t="shared" ref="E214:M214" si="663">E211-E215</f>
        <v>14435600</v>
      </c>
      <c r="F214" s="99">
        <f>F211-F215</f>
        <v>32577800</v>
      </c>
      <c r="G214" s="99">
        <f t="shared" si="663"/>
        <v>30661400</v>
      </c>
      <c r="H214" s="99">
        <f t="shared" si="663"/>
        <v>30090100</v>
      </c>
      <c r="I214" s="99">
        <f t="shared" si="663"/>
        <v>13859300</v>
      </c>
      <c r="J214" s="99">
        <f t="shared" si="663"/>
        <v>38517300</v>
      </c>
      <c r="K214" s="99">
        <f t="shared" si="663"/>
        <v>22966900</v>
      </c>
      <c r="L214" s="99">
        <f t="shared" si="663"/>
        <v>10477900</v>
      </c>
      <c r="M214" s="99">
        <f t="shared" si="663"/>
        <v>13691500</v>
      </c>
      <c r="N214" s="99">
        <f t="shared" ref="N214:O214" si="664">N211-N215</f>
        <v>11343700</v>
      </c>
      <c r="O214" s="99">
        <f t="shared" si="664"/>
        <v>12606500</v>
      </c>
      <c r="P214" s="99">
        <f t="shared" ref="P214" si="665">P211-P215</f>
        <v>14593900</v>
      </c>
      <c r="Q214" s="99" t="s">
        <v>2513</v>
      </c>
      <c r="R214" s="84" t="s">
        <v>5153</v>
      </c>
      <c r="S214" s="84" t="s">
        <v>2077</v>
      </c>
      <c r="T214" s="84" t="s">
        <v>2329</v>
      </c>
      <c r="U214" s="99" t="s">
        <v>2732</v>
      </c>
      <c r="V214" s="99"/>
      <c r="W214" s="99"/>
      <c r="X214" s="99"/>
      <c r="AA214" s="99"/>
      <c r="AF214" s="99"/>
      <c r="AK214" s="99"/>
      <c r="AP214" s="99"/>
      <c r="AZ214" s="99"/>
      <c r="BE214" s="99"/>
      <c r="BJ214" s="99"/>
      <c r="BO214" s="99"/>
      <c r="BT214" s="99"/>
      <c r="BY214" s="546"/>
      <c r="BZ214" s="546"/>
      <c r="CA214" s="546"/>
      <c r="CB214" s="546"/>
      <c r="CC214" s="546"/>
      <c r="CD214" s="546"/>
      <c r="CE214" s="546"/>
      <c r="CF214" s="546"/>
      <c r="CG214" s="546"/>
      <c r="CH214" s="546"/>
      <c r="CI214" s="546"/>
      <c r="CJ214" s="546"/>
      <c r="CK214" s="546"/>
      <c r="CU214" s="99"/>
    </row>
    <row r="215" spans="1:101" x14ac:dyDescent="0.2">
      <c r="A215" s="74" t="s">
        <v>2473</v>
      </c>
      <c r="B215" s="198"/>
      <c r="C215" s="108"/>
      <c r="D215" s="108"/>
      <c r="E215" s="99">
        <f t="shared" ref="E215:P215" si="666">E92+E58++E81+E97+E111+E112+E115+E174+E177+E186+E200</f>
        <v>8461200</v>
      </c>
      <c r="F215" s="99">
        <f t="shared" si="666"/>
        <v>10500100</v>
      </c>
      <c r="G215" s="99">
        <f t="shared" si="666"/>
        <v>4278100</v>
      </c>
      <c r="H215" s="99">
        <f t="shared" si="666"/>
        <v>3462000</v>
      </c>
      <c r="I215" s="99">
        <f t="shared" si="666"/>
        <v>3548000</v>
      </c>
      <c r="J215" s="99">
        <f t="shared" si="666"/>
        <v>3900000</v>
      </c>
      <c r="K215" s="99">
        <f t="shared" si="666"/>
        <v>3152000</v>
      </c>
      <c r="L215" s="99">
        <f t="shared" si="666"/>
        <v>3540000</v>
      </c>
      <c r="M215" s="99">
        <f t="shared" si="666"/>
        <v>3747000</v>
      </c>
      <c r="N215" s="99">
        <f t="shared" si="666"/>
        <v>4115000</v>
      </c>
      <c r="O215" s="99">
        <f t="shared" si="666"/>
        <v>4912000</v>
      </c>
      <c r="P215" s="99">
        <f t="shared" si="666"/>
        <v>5142000</v>
      </c>
      <c r="Q215" s="99"/>
      <c r="V215" s="99"/>
      <c r="W215" s="99"/>
      <c r="X215" s="99"/>
      <c r="AA215" s="99"/>
      <c r="AF215" s="99"/>
      <c r="AK215" s="99"/>
      <c r="AP215" s="99"/>
      <c r="AZ215" s="99"/>
      <c r="BE215" s="99"/>
      <c r="BJ215" s="99"/>
      <c r="BO215" s="99"/>
      <c r="BT215" s="99"/>
      <c r="BY215" s="546"/>
      <c r="BZ215" s="546"/>
      <c r="CA215" s="546"/>
      <c r="CB215" s="546"/>
      <c r="CC215" s="546"/>
      <c r="CD215" s="546"/>
      <c r="CE215" s="546"/>
      <c r="CF215" s="546"/>
      <c r="CG215" s="546"/>
      <c r="CH215" s="546"/>
      <c r="CI215" s="546"/>
      <c r="CJ215" s="546"/>
      <c r="CK215" s="546"/>
      <c r="CU215" s="99"/>
    </row>
    <row r="216" spans="1:101" x14ac:dyDescent="0.2">
      <c r="A216" s="74" t="s">
        <v>1530</v>
      </c>
      <c r="B216" s="198"/>
      <c r="C216" s="108"/>
      <c r="D216" s="108"/>
      <c r="E216" s="741">
        <f t="shared" ref="E216:M216" si="667">SUM(E214:E215)</f>
        <v>22896800</v>
      </c>
      <c r="F216" s="741">
        <f t="shared" si="667"/>
        <v>43077900</v>
      </c>
      <c r="G216" s="741">
        <f t="shared" si="667"/>
        <v>34939500</v>
      </c>
      <c r="H216" s="741">
        <f t="shared" si="667"/>
        <v>33552100</v>
      </c>
      <c r="I216" s="741">
        <f t="shared" si="667"/>
        <v>17407300</v>
      </c>
      <c r="J216" s="741">
        <f t="shared" si="667"/>
        <v>42417300</v>
      </c>
      <c r="K216" s="741">
        <f t="shared" si="667"/>
        <v>26118900</v>
      </c>
      <c r="L216" s="741">
        <f t="shared" si="667"/>
        <v>14017900</v>
      </c>
      <c r="M216" s="741">
        <f t="shared" si="667"/>
        <v>17438500</v>
      </c>
      <c r="N216" s="741">
        <f t="shared" ref="N216:O216" si="668">SUM(N214:N215)</f>
        <v>15458700</v>
      </c>
      <c r="O216" s="741">
        <f t="shared" si="668"/>
        <v>17518500</v>
      </c>
      <c r="P216" s="741">
        <f t="shared" ref="P216" si="669">SUM(P214:P215)</f>
        <v>19735900</v>
      </c>
      <c r="Q216" s="99"/>
      <c r="V216" s="99"/>
      <c r="W216" s="99"/>
      <c r="X216" s="99"/>
      <c r="AA216" s="99"/>
      <c r="AF216" s="99"/>
      <c r="AK216" s="99"/>
      <c r="AP216" s="99"/>
      <c r="AZ216" s="99"/>
      <c r="BE216" s="99"/>
      <c r="BJ216" s="99"/>
      <c r="BO216" s="99"/>
      <c r="BT216" s="99"/>
      <c r="BY216" s="546"/>
      <c r="BZ216" s="546"/>
      <c r="CA216" s="546"/>
      <c r="CB216" s="546"/>
      <c r="CC216" s="546"/>
      <c r="CD216" s="546"/>
      <c r="CE216" s="546"/>
      <c r="CF216" s="546"/>
      <c r="CG216" s="546"/>
      <c r="CH216" s="546"/>
      <c r="CI216" s="546"/>
      <c r="CJ216" s="546"/>
      <c r="CK216" s="546"/>
      <c r="CU216" s="99"/>
    </row>
    <row r="217" spans="1:101" x14ac:dyDescent="0.2">
      <c r="A217" s="99"/>
      <c r="B217" s="198"/>
      <c r="C217" s="108"/>
      <c r="D217" s="108"/>
      <c r="E217" s="99"/>
      <c r="F217" s="99"/>
      <c r="G217" s="99"/>
      <c r="H217" s="99"/>
      <c r="I217" s="99"/>
      <c r="J217" s="99"/>
      <c r="K217" s="99"/>
      <c r="L217" s="99"/>
      <c r="M217" s="99"/>
      <c r="N217" s="99"/>
      <c r="O217" s="99"/>
      <c r="P217" s="99"/>
      <c r="Q217" s="99"/>
      <c r="V217" s="99"/>
      <c r="W217" s="99"/>
      <c r="X217" s="99"/>
      <c r="AA217" s="99"/>
      <c r="AF217" s="99"/>
      <c r="AK217" s="99"/>
      <c r="AP217" s="99"/>
      <c r="AZ217" s="99"/>
      <c r="BE217" s="99"/>
      <c r="BJ217" s="99"/>
      <c r="BO217" s="99"/>
      <c r="BT217" s="99"/>
      <c r="BY217" s="546"/>
      <c r="BZ217" s="546"/>
      <c r="CA217" s="546"/>
      <c r="CB217" s="546"/>
      <c r="CC217" s="546"/>
      <c r="CD217" s="546"/>
      <c r="CE217" s="546"/>
      <c r="CF217" s="546"/>
      <c r="CG217" s="546"/>
      <c r="CH217" s="546"/>
      <c r="CI217" s="546"/>
      <c r="CJ217" s="546"/>
      <c r="CK217" s="546"/>
    </row>
    <row r="218" spans="1:101" x14ac:dyDescent="0.2">
      <c r="A218" s="118" t="s">
        <v>408</v>
      </c>
      <c r="B218" s="198"/>
      <c r="C218" s="108"/>
      <c r="D218" s="108"/>
      <c r="Q218" s="99"/>
      <c r="V218" s="99"/>
      <c r="W218" s="99"/>
      <c r="X218" s="99"/>
      <c r="AA218" s="99"/>
      <c r="AF218" s="99"/>
      <c r="AK218" s="99"/>
      <c r="AP218" s="99"/>
      <c r="AZ218" s="99"/>
      <c r="BE218" s="99"/>
      <c r="BJ218" s="99"/>
      <c r="BO218" s="99"/>
      <c r="BT218" s="99"/>
      <c r="BY218" s="546"/>
      <c r="BZ218" s="546"/>
      <c r="CA218" s="546"/>
      <c r="CB218" s="546"/>
      <c r="CC218" s="546"/>
      <c r="CD218" s="546"/>
      <c r="CE218" s="546"/>
      <c r="CF218" s="546"/>
      <c r="CG218" s="546"/>
      <c r="CH218" s="546"/>
      <c r="CI218" s="546"/>
      <c r="CJ218" s="546"/>
      <c r="CK218" s="546"/>
    </row>
    <row r="219" spans="1:101" x14ac:dyDescent="0.2">
      <c r="A219" s="1115" t="s">
        <v>410</v>
      </c>
      <c r="B219" s="198"/>
      <c r="C219" s="108"/>
      <c r="D219" s="108"/>
      <c r="G219"/>
      <c r="H219"/>
      <c r="I219"/>
      <c r="J219"/>
      <c r="K219"/>
      <c r="L219"/>
      <c r="M219"/>
      <c r="N219"/>
      <c r="O219"/>
      <c r="P219"/>
      <c r="Q219"/>
      <c r="R219"/>
      <c r="S219"/>
      <c r="T219"/>
      <c r="U219"/>
      <c r="V219"/>
      <c r="W219" s="99"/>
      <c r="X219" s="99"/>
      <c r="AA219" s="99"/>
      <c r="AF219" s="99"/>
      <c r="AK219" s="99"/>
      <c r="AP219" s="99"/>
      <c r="AZ219" s="99"/>
      <c r="BE219" s="99"/>
      <c r="BJ219" s="99"/>
      <c r="BO219" s="99"/>
      <c r="BT219" s="99"/>
      <c r="BY219" s="546"/>
      <c r="BZ219" s="546"/>
      <c r="CA219" s="546"/>
      <c r="CB219" s="546"/>
      <c r="CC219" s="546"/>
      <c r="CD219" s="546"/>
      <c r="CE219" s="546"/>
      <c r="CF219" s="546"/>
      <c r="CG219" s="546"/>
      <c r="CH219" s="546"/>
      <c r="CI219" s="546"/>
      <c r="CJ219" s="546"/>
      <c r="CK219" s="546"/>
    </row>
    <row r="220" spans="1:101" x14ac:dyDescent="0.2">
      <c r="A220" s="133" t="s">
        <v>3437</v>
      </c>
      <c r="B220" s="1362" t="s">
        <v>3438</v>
      </c>
      <c r="C220" s="2348" t="s">
        <v>5076</v>
      </c>
      <c r="D220" s="111"/>
      <c r="G220"/>
      <c r="H220"/>
      <c r="I220"/>
      <c r="J220"/>
      <c r="K220"/>
      <c r="L220"/>
      <c r="M220"/>
      <c r="N220"/>
      <c r="O220"/>
      <c r="P220"/>
      <c r="Q220"/>
      <c r="R220"/>
      <c r="S220"/>
      <c r="T220"/>
      <c r="U220"/>
      <c r="V220"/>
      <c r="W220" s="99"/>
      <c r="X220" s="99"/>
      <c r="AA220" s="99"/>
      <c r="AF220" s="99"/>
      <c r="AK220" s="99"/>
      <c r="AP220" s="99"/>
      <c r="AZ220" s="99"/>
      <c r="BE220" s="99"/>
      <c r="BJ220" s="99"/>
      <c r="BO220" s="99"/>
      <c r="BT220" s="99"/>
      <c r="BY220" s="546"/>
      <c r="BZ220" s="546"/>
      <c r="CA220" s="546"/>
      <c r="CB220" s="546"/>
      <c r="CC220" s="546"/>
      <c r="CD220" s="546"/>
      <c r="CE220" s="546"/>
      <c r="CF220" s="546"/>
      <c r="CG220" s="546"/>
      <c r="CH220" s="546"/>
      <c r="CI220" s="546"/>
      <c r="CJ220" s="546"/>
      <c r="CK220" s="546"/>
    </row>
    <row r="221" spans="1:101" x14ac:dyDescent="0.2">
      <c r="A221" s="133" t="s">
        <v>5376</v>
      </c>
      <c r="B221" s="1362" t="s">
        <v>5377</v>
      </c>
      <c r="C221" s="111" t="s">
        <v>5548</v>
      </c>
      <c r="D221" s="108"/>
      <c r="E221" s="84">
        <f>10000-6000</f>
        <v>4000</v>
      </c>
      <c r="T221" s="84">
        <f>10000-6000</f>
        <v>4000</v>
      </c>
      <c r="U221" s="84">
        <f>E221-T221</f>
        <v>0</v>
      </c>
      <c r="V221" s="99"/>
      <c r="W221" s="99"/>
      <c r="X221" s="99"/>
      <c r="Z221" s="99">
        <f t="shared" ref="Z221:Z234" si="670">F221-V221-W221-X221-Y221</f>
        <v>0</v>
      </c>
      <c r="AA221" s="99"/>
      <c r="AF221" s="99"/>
      <c r="AK221" s="99"/>
      <c r="AP221" s="99"/>
      <c r="AZ221" s="99"/>
      <c r="BE221" s="99"/>
      <c r="BJ221" s="99"/>
      <c r="BO221" s="99"/>
      <c r="BT221" s="99"/>
      <c r="BY221" s="546"/>
      <c r="BZ221" s="546"/>
      <c r="CA221" s="546"/>
      <c r="CB221" s="546"/>
      <c r="CC221" s="546"/>
      <c r="CD221" s="546"/>
      <c r="CE221" s="546"/>
      <c r="CF221" s="546"/>
      <c r="CG221" s="546"/>
      <c r="CH221" s="546"/>
      <c r="CI221" s="546"/>
      <c r="CJ221" s="546"/>
      <c r="CK221" s="546"/>
    </row>
    <row r="222" spans="1:101" x14ac:dyDescent="0.2">
      <c r="A222" s="133" t="s">
        <v>4229</v>
      </c>
      <c r="B222" s="1362" t="s">
        <v>5169</v>
      </c>
      <c r="C222" s="2348" t="s">
        <v>5076</v>
      </c>
      <c r="D222" s="111"/>
      <c r="E222" s="84">
        <v>100</v>
      </c>
      <c r="T222" s="84">
        <v>100</v>
      </c>
      <c r="U222" s="84">
        <f>E222-T222</f>
        <v>0</v>
      </c>
      <c r="V222" s="99"/>
      <c r="W222" s="99"/>
      <c r="X222" s="99"/>
      <c r="Z222" s="99">
        <f t="shared" si="670"/>
        <v>0</v>
      </c>
      <c r="AA222" s="99"/>
      <c r="AD222" s="2616"/>
      <c r="AE222" s="2381"/>
      <c r="AF222" s="2381"/>
      <c r="AG222" s="2381"/>
      <c r="AH222" s="2381"/>
      <c r="AK222" s="99"/>
      <c r="AP222" s="99"/>
      <c r="AZ222" s="99"/>
      <c r="BE222" s="99"/>
      <c r="BJ222" s="99"/>
      <c r="BO222" s="99"/>
      <c r="BT222" s="99"/>
      <c r="BY222" s="546"/>
      <c r="BZ222" s="546"/>
      <c r="CA222" s="546"/>
      <c r="CB222" s="546"/>
      <c r="CC222" s="546"/>
      <c r="CD222" s="546"/>
      <c r="CE222" s="546"/>
      <c r="CF222" s="546"/>
      <c r="CG222" s="546"/>
      <c r="CH222" s="546"/>
      <c r="CI222" s="546"/>
      <c r="CJ222" s="546"/>
      <c r="CK222" s="546"/>
    </row>
    <row r="223" spans="1:101" x14ac:dyDescent="0.2">
      <c r="A223" s="133" t="s">
        <v>3673</v>
      </c>
      <c r="B223" s="1362" t="s">
        <v>3993</v>
      </c>
      <c r="C223" s="2348" t="s">
        <v>5076</v>
      </c>
      <c r="D223" s="111" t="s">
        <v>3993</v>
      </c>
      <c r="F223" s="84">
        <f>20000-15000</f>
        <v>5000</v>
      </c>
      <c r="U223" s="84">
        <f t="shared" ref="U223:U239" si="671">E223</f>
        <v>0</v>
      </c>
      <c r="V223" s="99"/>
      <c r="W223" s="99"/>
      <c r="X223" s="99"/>
      <c r="Z223" s="99">
        <f t="shared" si="670"/>
        <v>5000</v>
      </c>
      <c r="AA223" s="99"/>
      <c r="AD223" s="2052"/>
      <c r="AE223" s="2382"/>
      <c r="AF223" s="2382"/>
      <c r="AG223" s="2382"/>
      <c r="AH223" s="2382"/>
      <c r="AK223" s="99"/>
      <c r="AP223" s="99"/>
      <c r="AZ223" s="99"/>
      <c r="BE223" s="99"/>
      <c r="BJ223" s="99"/>
      <c r="BO223" s="99"/>
      <c r="BT223" s="99"/>
      <c r="BY223" s="546"/>
      <c r="BZ223" s="546"/>
      <c r="CA223" s="546"/>
      <c r="CB223" s="546"/>
      <c r="CC223" s="546"/>
      <c r="CD223" s="546"/>
      <c r="CE223" s="546"/>
      <c r="CF223" s="546"/>
      <c r="CG223" s="546"/>
      <c r="CH223" s="546"/>
      <c r="CI223" s="546"/>
      <c r="CJ223" s="546"/>
      <c r="CK223" s="546"/>
    </row>
    <row r="224" spans="1:101" x14ac:dyDescent="0.2">
      <c r="A224" s="133" t="s">
        <v>3417</v>
      </c>
      <c r="B224" s="1362" t="s">
        <v>708</v>
      </c>
      <c r="C224" s="2348" t="s">
        <v>5076</v>
      </c>
      <c r="D224" s="111"/>
      <c r="U224" s="84">
        <f t="shared" si="671"/>
        <v>0</v>
      </c>
      <c r="V224" s="99"/>
      <c r="W224" s="99"/>
      <c r="X224" s="99"/>
      <c r="Z224" s="99">
        <f t="shared" si="670"/>
        <v>0</v>
      </c>
      <c r="AA224" s="99"/>
      <c r="AD224" s="2052"/>
      <c r="AE224" s="2382"/>
      <c r="AF224" s="16"/>
      <c r="AG224" s="16"/>
      <c r="AH224" s="16"/>
      <c r="AK224" s="99"/>
      <c r="AP224" s="99"/>
      <c r="AZ224" s="99"/>
      <c r="BE224" s="99"/>
      <c r="BJ224" s="99"/>
      <c r="BO224" s="99"/>
      <c r="BT224" s="99"/>
      <c r="BY224" s="546"/>
      <c r="BZ224" s="546"/>
      <c r="CA224" s="546"/>
      <c r="CB224" s="546"/>
      <c r="CC224" s="546"/>
      <c r="CD224" s="546"/>
      <c r="CE224" s="546"/>
      <c r="CF224" s="546"/>
      <c r="CG224" s="546"/>
      <c r="CH224" s="546"/>
      <c r="CI224" s="546"/>
      <c r="CJ224" s="546"/>
      <c r="CK224" s="546"/>
    </row>
    <row r="225" spans="1:89" x14ac:dyDescent="0.2">
      <c r="A225" s="133" t="s">
        <v>3136</v>
      </c>
      <c r="B225" s="1362" t="s">
        <v>3153</v>
      </c>
      <c r="C225" s="2348" t="s">
        <v>5076</v>
      </c>
      <c r="D225" s="111"/>
      <c r="U225" s="84">
        <f t="shared" si="671"/>
        <v>0</v>
      </c>
      <c r="V225" s="99"/>
      <c r="W225" s="99"/>
      <c r="X225" s="99"/>
      <c r="Z225" s="99">
        <f t="shared" si="670"/>
        <v>0</v>
      </c>
      <c r="AA225" s="99"/>
      <c r="AD225" s="2052"/>
      <c r="AE225" s="2382"/>
      <c r="AF225" s="16"/>
      <c r="AG225" s="16"/>
      <c r="AH225" s="16"/>
      <c r="AK225" s="99"/>
      <c r="AP225" s="99"/>
      <c r="AZ225" s="99"/>
      <c r="BE225" s="99"/>
      <c r="BJ225" s="99"/>
      <c r="BO225" s="99"/>
      <c r="BT225" s="99"/>
      <c r="BY225" s="546"/>
      <c r="BZ225" s="546"/>
      <c r="CA225" s="546"/>
      <c r="CB225" s="546"/>
      <c r="CC225" s="546"/>
      <c r="CD225" s="546"/>
      <c r="CE225" s="546"/>
      <c r="CF225" s="546"/>
      <c r="CG225" s="546"/>
      <c r="CH225" s="546"/>
      <c r="CI225" s="546"/>
      <c r="CJ225" s="546"/>
      <c r="CK225" s="546"/>
    </row>
    <row r="226" spans="1:89" x14ac:dyDescent="0.2">
      <c r="A226" s="133" t="s">
        <v>3138</v>
      </c>
      <c r="B226" s="1362" t="s">
        <v>3154</v>
      </c>
      <c r="C226" s="2348" t="s">
        <v>5076</v>
      </c>
      <c r="D226" s="111"/>
      <c r="U226" s="84">
        <f t="shared" si="671"/>
        <v>0</v>
      </c>
      <c r="V226" s="99"/>
      <c r="W226" s="99"/>
      <c r="X226" s="99"/>
      <c r="Z226" s="99">
        <f t="shared" si="670"/>
        <v>0</v>
      </c>
      <c r="AA226" s="99"/>
      <c r="AD226" s="2052"/>
      <c r="AE226" s="2382"/>
      <c r="AF226" s="2382"/>
      <c r="AG226" s="16"/>
      <c r="AH226" s="16"/>
      <c r="AK226" s="99"/>
      <c r="AP226" s="99"/>
      <c r="AZ226" s="99"/>
      <c r="BE226" s="99"/>
      <c r="BJ226" s="99"/>
      <c r="BO226" s="99"/>
      <c r="BT226" s="99"/>
      <c r="BY226" s="546"/>
      <c r="BZ226" s="546"/>
      <c r="CA226" s="546"/>
      <c r="CB226" s="546"/>
      <c r="CC226" s="546"/>
      <c r="CD226" s="546"/>
      <c r="CE226" s="546"/>
      <c r="CF226" s="546"/>
      <c r="CG226" s="546"/>
      <c r="CH226" s="546"/>
      <c r="CI226" s="546"/>
      <c r="CJ226" s="546"/>
      <c r="CK226" s="546"/>
    </row>
    <row r="227" spans="1:89" x14ac:dyDescent="0.2">
      <c r="A227" s="133" t="s">
        <v>3439</v>
      </c>
      <c r="B227" s="1362" t="s">
        <v>3440</v>
      </c>
      <c r="C227" s="2348" t="s">
        <v>5076</v>
      </c>
      <c r="D227" s="111"/>
      <c r="U227" s="84">
        <f t="shared" si="671"/>
        <v>0</v>
      </c>
      <c r="V227" s="99"/>
      <c r="W227" s="99"/>
      <c r="X227" s="99"/>
      <c r="Z227" s="99">
        <f t="shared" si="670"/>
        <v>0</v>
      </c>
      <c r="AA227" s="99"/>
      <c r="AD227" s="2052"/>
      <c r="AE227" s="2382"/>
      <c r="AF227" s="2382"/>
      <c r="AG227" s="16"/>
      <c r="AH227" s="16"/>
      <c r="AK227" s="99"/>
      <c r="AP227" s="99"/>
      <c r="AZ227" s="99"/>
      <c r="BE227" s="99"/>
      <c r="BJ227" s="99"/>
      <c r="BO227" s="99"/>
      <c r="BT227" s="99"/>
      <c r="BY227" s="546"/>
      <c r="BZ227" s="546"/>
      <c r="CA227" s="546"/>
      <c r="CB227" s="546"/>
      <c r="CC227" s="546"/>
      <c r="CD227" s="546"/>
      <c r="CE227" s="546"/>
      <c r="CF227" s="546"/>
      <c r="CG227" s="546"/>
      <c r="CH227" s="546"/>
      <c r="CI227" s="546"/>
      <c r="CJ227" s="546"/>
      <c r="CK227" s="546"/>
    </row>
    <row r="228" spans="1:89" x14ac:dyDescent="0.2">
      <c r="A228" s="133" t="s">
        <v>3418</v>
      </c>
      <c r="B228" s="1362" t="s">
        <v>598</v>
      </c>
      <c r="C228" s="2348" t="s">
        <v>5076</v>
      </c>
      <c r="D228" s="111"/>
      <c r="U228" s="84">
        <f t="shared" si="671"/>
        <v>0</v>
      </c>
      <c r="V228" s="99"/>
      <c r="W228" s="99"/>
      <c r="X228" s="99"/>
      <c r="Z228" s="99">
        <f t="shared" si="670"/>
        <v>0</v>
      </c>
      <c r="AA228" s="99"/>
      <c r="AD228" s="2052"/>
      <c r="AE228" s="16"/>
      <c r="AF228" s="16"/>
      <c r="AG228" s="2382"/>
      <c r="AH228" s="16"/>
      <c r="AK228" s="99"/>
      <c r="AP228" s="99"/>
      <c r="AZ228" s="99"/>
      <c r="BE228" s="99"/>
      <c r="BJ228" s="99"/>
      <c r="BO228" s="99"/>
      <c r="BT228" s="99"/>
      <c r="BY228" s="546"/>
      <c r="BZ228" s="546"/>
      <c r="CA228" s="546"/>
      <c r="CB228" s="546"/>
      <c r="CC228" s="546"/>
      <c r="CD228" s="546"/>
      <c r="CE228" s="546"/>
      <c r="CF228" s="546"/>
      <c r="CG228" s="546"/>
      <c r="CH228" s="546"/>
      <c r="CI228" s="546"/>
      <c r="CJ228" s="546"/>
      <c r="CK228" s="546"/>
    </row>
    <row r="229" spans="1:89" x14ac:dyDescent="0.2">
      <c r="A229" s="133" t="s">
        <v>6039</v>
      </c>
      <c r="B229" s="1362" t="s">
        <v>6245</v>
      </c>
      <c r="C229" s="111" t="s">
        <v>6040</v>
      </c>
      <c r="D229" s="108"/>
      <c r="E229" s="84">
        <v>1700</v>
      </c>
      <c r="U229" s="84">
        <f t="shared" si="671"/>
        <v>1700</v>
      </c>
      <c r="V229" s="99"/>
      <c r="W229" s="99"/>
      <c r="X229" s="99"/>
      <c r="Z229" s="99">
        <f t="shared" si="670"/>
        <v>0</v>
      </c>
      <c r="AA229" s="99"/>
      <c r="AD229" s="2052"/>
      <c r="AE229" s="16"/>
      <c r="AF229" s="16"/>
      <c r="AG229" s="2382"/>
      <c r="AH229" s="16"/>
      <c r="AK229" s="99"/>
      <c r="AP229" s="99"/>
      <c r="AZ229" s="99"/>
      <c r="BE229" s="99"/>
      <c r="BJ229" s="99"/>
      <c r="BO229" s="99"/>
      <c r="BT229" s="99"/>
      <c r="BY229" s="546"/>
      <c r="BZ229" s="546"/>
      <c r="CA229" s="546"/>
      <c r="CB229" s="546"/>
      <c r="CC229" s="546"/>
      <c r="CD229" s="546"/>
      <c r="CE229" s="546"/>
      <c r="CF229" s="546"/>
      <c r="CG229" s="546"/>
      <c r="CH229" s="546"/>
      <c r="CI229" s="546"/>
      <c r="CJ229" s="546"/>
      <c r="CK229" s="546"/>
    </row>
    <row r="230" spans="1:89" x14ac:dyDescent="0.2">
      <c r="A230" s="133" t="s">
        <v>6180</v>
      </c>
      <c r="B230" s="1362" t="s">
        <v>6305</v>
      </c>
      <c r="C230" s="2348" t="s">
        <v>6306</v>
      </c>
      <c r="D230" s="2348" t="s">
        <v>6306</v>
      </c>
      <c r="F230" s="84">
        <v>50000</v>
      </c>
      <c r="U230" s="84">
        <f t="shared" si="671"/>
        <v>0</v>
      </c>
      <c r="V230" s="99"/>
      <c r="W230" s="99"/>
      <c r="X230" s="99"/>
      <c r="Z230" s="99">
        <f t="shared" si="670"/>
        <v>50000</v>
      </c>
      <c r="AA230" s="99"/>
      <c r="AD230" s="2052"/>
      <c r="AE230" s="16"/>
      <c r="AF230" s="16"/>
      <c r="AG230" s="2382"/>
      <c r="AH230" s="16"/>
      <c r="AK230" s="99"/>
      <c r="AP230" s="99"/>
      <c r="AZ230" s="99"/>
      <c r="BE230" s="99"/>
      <c r="BJ230" s="99"/>
      <c r="BO230" s="99"/>
      <c r="BT230" s="99"/>
      <c r="BY230" s="546"/>
      <c r="BZ230" s="546"/>
      <c r="CA230" s="546"/>
      <c r="CB230" s="546"/>
      <c r="CC230" s="546"/>
      <c r="CD230" s="546"/>
      <c r="CE230" s="546"/>
      <c r="CF230" s="546"/>
      <c r="CG230" s="546"/>
      <c r="CH230" s="546"/>
      <c r="CI230" s="546"/>
      <c r="CJ230" s="546"/>
      <c r="CK230" s="546"/>
    </row>
    <row r="231" spans="1:89" x14ac:dyDescent="0.2">
      <c r="A231" s="133" t="s">
        <v>6041</v>
      </c>
      <c r="B231" s="1362" t="s">
        <v>6244</v>
      </c>
      <c r="C231" s="111" t="s">
        <v>6042</v>
      </c>
      <c r="D231" s="108"/>
      <c r="E231" s="84">
        <v>28200</v>
      </c>
      <c r="U231" s="84">
        <f t="shared" si="671"/>
        <v>28200</v>
      </c>
      <c r="V231" s="99"/>
      <c r="W231" s="99"/>
      <c r="X231" s="99"/>
      <c r="Z231" s="99">
        <f t="shared" si="670"/>
        <v>0</v>
      </c>
      <c r="AA231" s="99"/>
      <c r="AD231" s="2052"/>
      <c r="AE231" s="16"/>
      <c r="AF231" s="16"/>
      <c r="AG231" s="2382"/>
      <c r="AH231" s="16"/>
      <c r="AK231" s="99"/>
      <c r="AP231" s="99"/>
      <c r="AZ231" s="99"/>
      <c r="BE231" s="99"/>
      <c r="BJ231" s="99"/>
      <c r="BO231" s="99"/>
      <c r="BT231" s="99"/>
      <c r="BY231" s="546"/>
      <c r="BZ231" s="546"/>
      <c r="CA231" s="546"/>
      <c r="CB231" s="546"/>
      <c r="CC231" s="546"/>
      <c r="CD231" s="546"/>
      <c r="CE231" s="546"/>
      <c r="CF231" s="546"/>
      <c r="CG231" s="546"/>
      <c r="CH231" s="546"/>
      <c r="CI231" s="546"/>
      <c r="CJ231" s="546"/>
      <c r="CK231" s="546"/>
    </row>
    <row r="232" spans="1:89" x14ac:dyDescent="0.2">
      <c r="A232" s="133" t="s">
        <v>155</v>
      </c>
      <c r="B232" s="1362" t="s">
        <v>1680</v>
      </c>
      <c r="C232" s="2348" t="s">
        <v>5076</v>
      </c>
      <c r="D232" s="111" t="s">
        <v>1680</v>
      </c>
      <c r="E232" s="84">
        <v>6400</v>
      </c>
      <c r="F232" s="84">
        <f>36000+115200</f>
        <v>151200</v>
      </c>
      <c r="U232" s="84">
        <f t="shared" si="671"/>
        <v>6400</v>
      </c>
      <c r="V232" s="99"/>
      <c r="W232" s="99"/>
      <c r="X232" s="99"/>
      <c r="Y232" s="84">
        <v>115200</v>
      </c>
      <c r="Z232" s="99">
        <f t="shared" si="670"/>
        <v>36000</v>
      </c>
      <c r="AA232" s="99"/>
      <c r="AD232" s="2052"/>
      <c r="AE232" s="16"/>
      <c r="AF232" s="16"/>
      <c r="AG232" s="2382"/>
      <c r="AH232" s="16"/>
      <c r="AK232" s="99"/>
      <c r="AP232" s="99"/>
      <c r="AZ232" s="99"/>
      <c r="BE232" s="99"/>
      <c r="BJ232" s="99"/>
      <c r="BO232" s="99"/>
      <c r="BT232" s="99"/>
      <c r="BY232" s="546"/>
      <c r="BZ232" s="546"/>
      <c r="CA232" s="546"/>
      <c r="CB232" s="546"/>
      <c r="CC232" s="546"/>
      <c r="CD232" s="546"/>
      <c r="CE232" s="546"/>
      <c r="CF232" s="546"/>
      <c r="CG232" s="546"/>
      <c r="CH232" s="546"/>
      <c r="CI232" s="546"/>
      <c r="CJ232" s="546"/>
      <c r="CK232" s="546"/>
    </row>
    <row r="233" spans="1:89" x14ac:dyDescent="0.2">
      <c r="A233" s="133" t="s">
        <v>3674</v>
      </c>
      <c r="B233" s="1362" t="s">
        <v>3994</v>
      </c>
      <c r="C233" s="111" t="s">
        <v>4119</v>
      </c>
      <c r="D233" s="111"/>
      <c r="E233" s="84">
        <v>300</v>
      </c>
      <c r="U233" s="84">
        <f t="shared" si="671"/>
        <v>300</v>
      </c>
      <c r="V233" s="99"/>
      <c r="W233" s="99"/>
      <c r="X233" s="99"/>
      <c r="Z233" s="99">
        <f t="shared" si="670"/>
        <v>0</v>
      </c>
      <c r="AA233" s="99"/>
      <c r="AD233" s="2052"/>
      <c r="AE233" s="16"/>
      <c r="AF233" s="16"/>
      <c r="AG233" s="16"/>
      <c r="AH233" s="2382"/>
      <c r="AK233" s="99"/>
      <c r="AP233" s="99"/>
      <c r="AZ233" s="99"/>
      <c r="BE233" s="99"/>
      <c r="BJ233" s="99"/>
      <c r="BO233" s="99"/>
      <c r="BT233" s="99"/>
      <c r="BY233" s="546"/>
      <c r="BZ233" s="546"/>
      <c r="CA233" s="546"/>
      <c r="CB233" s="546"/>
      <c r="CC233" s="546"/>
      <c r="CD233" s="546"/>
      <c r="CE233" s="546"/>
      <c r="CF233" s="546"/>
      <c r="CG233" s="546"/>
      <c r="CH233" s="546"/>
      <c r="CI233" s="546"/>
      <c r="CJ233" s="546"/>
      <c r="CK233" s="546"/>
    </row>
    <row r="234" spans="1:89" x14ac:dyDescent="0.2">
      <c r="A234" s="133" t="s">
        <v>6179</v>
      </c>
      <c r="B234" s="1362" t="s">
        <v>6307</v>
      </c>
      <c r="C234" s="111" t="s">
        <v>6308</v>
      </c>
      <c r="D234" s="111" t="s">
        <v>6308</v>
      </c>
      <c r="F234" s="84">
        <f>70000-34000-36000</f>
        <v>0</v>
      </c>
      <c r="U234" s="84">
        <f t="shared" si="671"/>
        <v>0</v>
      </c>
      <c r="V234" s="99"/>
      <c r="W234" s="99"/>
      <c r="X234" s="99"/>
      <c r="Z234" s="99">
        <f t="shared" si="670"/>
        <v>0</v>
      </c>
      <c r="AA234" s="99"/>
      <c r="AD234" s="2052"/>
      <c r="AE234" s="16"/>
      <c r="AF234" s="16"/>
      <c r="AG234" s="16"/>
      <c r="AH234" s="2382"/>
      <c r="AK234" s="99"/>
      <c r="AP234" s="99"/>
      <c r="AZ234" s="99"/>
      <c r="BE234" s="99"/>
      <c r="BJ234" s="99"/>
      <c r="BO234" s="99"/>
      <c r="BT234" s="99"/>
      <c r="BY234" s="546"/>
      <c r="BZ234" s="546"/>
      <c r="CA234" s="546"/>
      <c r="CB234" s="546"/>
      <c r="CC234" s="546"/>
      <c r="CD234" s="546"/>
      <c r="CE234" s="546"/>
      <c r="CF234" s="546"/>
      <c r="CG234" s="546"/>
      <c r="CH234" s="546"/>
      <c r="CI234" s="546"/>
      <c r="CJ234" s="546"/>
      <c r="CK234" s="546"/>
    </row>
    <row r="235" spans="1:89" x14ac:dyDescent="0.2">
      <c r="A235" s="133" t="s">
        <v>6828</v>
      </c>
      <c r="B235" s="1362" t="s">
        <v>6829</v>
      </c>
      <c r="C235" s="111"/>
      <c r="D235" s="111"/>
      <c r="E235" s="84">
        <v>13100</v>
      </c>
      <c r="U235" s="84">
        <f t="shared" si="671"/>
        <v>13100</v>
      </c>
      <c r="V235" s="99"/>
      <c r="W235" s="99"/>
      <c r="X235" s="99"/>
      <c r="AA235" s="99"/>
      <c r="AD235" s="2052"/>
      <c r="AE235" s="16"/>
      <c r="AF235" s="16"/>
      <c r="AG235" s="16"/>
      <c r="AH235" s="2382"/>
      <c r="AK235" s="99"/>
      <c r="AP235" s="99"/>
      <c r="AZ235" s="99"/>
      <c r="BE235" s="99"/>
      <c r="BJ235" s="99"/>
      <c r="BO235" s="99"/>
      <c r="BT235" s="99"/>
      <c r="BY235" s="546"/>
      <c r="BZ235" s="546"/>
      <c r="CA235" s="546"/>
      <c r="CB235" s="546"/>
      <c r="CC235" s="546"/>
      <c r="CD235" s="546"/>
      <c r="CE235" s="546"/>
      <c r="CF235" s="546"/>
      <c r="CG235" s="546"/>
      <c r="CH235" s="546"/>
      <c r="CI235" s="546"/>
      <c r="CJ235" s="546"/>
      <c r="CK235" s="546"/>
    </row>
    <row r="236" spans="1:89" x14ac:dyDescent="0.2">
      <c r="A236" s="133" t="s">
        <v>3675</v>
      </c>
      <c r="B236" s="1362" t="s">
        <v>3995</v>
      </c>
      <c r="C236" s="111" t="s">
        <v>4120</v>
      </c>
      <c r="D236" s="111"/>
      <c r="U236" s="84">
        <f t="shared" si="671"/>
        <v>0</v>
      </c>
      <c r="V236" s="99"/>
      <c r="W236" s="99"/>
      <c r="X236" s="99"/>
      <c r="Z236" s="99">
        <f t="shared" ref="Z236:Z261" si="672">F236-V236-W236-X236-Y236</f>
        <v>0</v>
      </c>
      <c r="AA236" s="99"/>
      <c r="AD236" s="2052"/>
      <c r="AE236" s="16"/>
      <c r="AF236" s="2382"/>
      <c r="AG236" s="16"/>
      <c r="AH236" s="16"/>
      <c r="AK236" s="99"/>
      <c r="AP236" s="99"/>
      <c r="AZ236" s="99"/>
      <c r="BE236" s="99"/>
      <c r="BJ236" s="99"/>
      <c r="BO236" s="99"/>
      <c r="BT236" s="99"/>
      <c r="BY236" s="546"/>
      <c r="BZ236" s="546"/>
      <c r="CA236" s="546"/>
      <c r="CB236" s="546"/>
      <c r="CC236" s="546"/>
      <c r="CD236" s="546"/>
      <c r="CE236" s="546"/>
      <c r="CF236" s="546"/>
      <c r="CG236" s="546"/>
      <c r="CH236" s="546"/>
      <c r="CI236" s="546"/>
      <c r="CJ236" s="546"/>
      <c r="CK236" s="546"/>
    </row>
    <row r="237" spans="1:89" x14ac:dyDescent="0.2">
      <c r="A237" s="133" t="s">
        <v>3676</v>
      </c>
      <c r="B237" s="1362" t="s">
        <v>3996</v>
      </c>
      <c r="C237" s="111" t="s">
        <v>4121</v>
      </c>
      <c r="D237" s="111"/>
      <c r="U237" s="84">
        <f t="shared" si="671"/>
        <v>0</v>
      </c>
      <c r="V237" s="99"/>
      <c r="W237" s="99"/>
      <c r="X237" s="99"/>
      <c r="Z237" s="99">
        <f t="shared" si="672"/>
        <v>0</v>
      </c>
      <c r="AA237" s="99"/>
      <c r="AD237" s="2052"/>
      <c r="AE237" s="16"/>
      <c r="AF237" s="16"/>
      <c r="AG237" s="16"/>
      <c r="AH237" s="2382"/>
      <c r="AK237" s="99"/>
      <c r="AP237" s="99"/>
      <c r="AZ237" s="99"/>
      <c r="BE237" s="99"/>
      <c r="BJ237" s="99"/>
      <c r="BO237" s="99"/>
      <c r="BT237" s="99"/>
      <c r="BY237" s="546"/>
      <c r="BZ237" s="546"/>
      <c r="CA237" s="546"/>
      <c r="CB237" s="546"/>
      <c r="CC237" s="546"/>
      <c r="CD237" s="546"/>
      <c r="CE237" s="546"/>
      <c r="CF237" s="546"/>
      <c r="CG237" s="546"/>
      <c r="CH237" s="546"/>
      <c r="CI237" s="546"/>
      <c r="CJ237" s="546"/>
      <c r="CK237" s="546"/>
    </row>
    <row r="238" spans="1:89" x14ac:dyDescent="0.2">
      <c r="A238" s="133" t="s">
        <v>5061</v>
      </c>
      <c r="B238" s="1362" t="s">
        <v>5288</v>
      </c>
      <c r="C238" s="111" t="s">
        <v>5287</v>
      </c>
      <c r="D238" s="111"/>
      <c r="F238" s="84">
        <v>16000</v>
      </c>
      <c r="U238" s="84">
        <f t="shared" si="671"/>
        <v>0</v>
      </c>
      <c r="V238" s="99"/>
      <c r="W238" s="99"/>
      <c r="X238" s="99"/>
      <c r="Y238" s="84">
        <v>16000</v>
      </c>
      <c r="Z238" s="99">
        <f t="shared" si="672"/>
        <v>0</v>
      </c>
      <c r="AA238" s="99"/>
      <c r="AD238" s="2052"/>
      <c r="AE238" s="16"/>
      <c r="AF238" s="16"/>
      <c r="AG238" s="16"/>
      <c r="AH238" s="2382"/>
      <c r="AK238" s="99"/>
      <c r="AP238" s="99"/>
      <c r="AZ238" s="99"/>
      <c r="BE238" s="99"/>
      <c r="BJ238" s="99"/>
      <c r="BO238" s="99"/>
      <c r="BT238" s="99"/>
      <c r="BY238" s="546"/>
      <c r="BZ238" s="546"/>
      <c r="CA238" s="546"/>
      <c r="CB238" s="546"/>
      <c r="CC238" s="546"/>
      <c r="CD238" s="546"/>
      <c r="CE238" s="546"/>
      <c r="CF238" s="546"/>
      <c r="CG238" s="546"/>
      <c r="CH238" s="546"/>
      <c r="CI238" s="546"/>
      <c r="CJ238" s="546"/>
      <c r="CK238" s="546"/>
    </row>
    <row r="239" spans="1:89" x14ac:dyDescent="0.2">
      <c r="A239" s="133" t="s">
        <v>6181</v>
      </c>
      <c r="B239" s="1362" t="s">
        <v>6309</v>
      </c>
      <c r="C239" s="111" t="s">
        <v>6310</v>
      </c>
      <c r="D239" s="111" t="s">
        <v>6310</v>
      </c>
      <c r="F239" s="84">
        <v>10000</v>
      </c>
      <c r="U239" s="84">
        <f t="shared" si="671"/>
        <v>0</v>
      </c>
      <c r="V239" s="99"/>
      <c r="W239" s="99"/>
      <c r="X239" s="99"/>
      <c r="Z239" s="99">
        <f t="shared" si="672"/>
        <v>10000</v>
      </c>
      <c r="AA239" s="99"/>
      <c r="AD239" s="2052"/>
      <c r="AE239" s="16"/>
      <c r="AF239" s="16"/>
      <c r="AG239" s="16"/>
      <c r="AH239" s="2382"/>
      <c r="AK239" s="99"/>
      <c r="AP239" s="99"/>
      <c r="AZ239" s="99"/>
      <c r="BE239" s="99"/>
      <c r="BJ239" s="99"/>
      <c r="BO239" s="99"/>
      <c r="BT239" s="99"/>
      <c r="BY239" s="546"/>
      <c r="BZ239" s="546"/>
      <c r="CA239" s="546"/>
      <c r="CB239" s="546"/>
      <c r="CC239" s="546"/>
      <c r="CD239" s="546"/>
      <c r="CE239" s="546"/>
      <c r="CF239" s="546"/>
      <c r="CG239" s="546"/>
      <c r="CH239" s="546"/>
      <c r="CI239" s="546"/>
      <c r="CJ239" s="546"/>
      <c r="CK239" s="546"/>
    </row>
    <row r="240" spans="1:89" x14ac:dyDescent="0.2">
      <c r="A240" s="133" t="s">
        <v>4799</v>
      </c>
      <c r="B240" s="1362" t="s">
        <v>4014</v>
      </c>
      <c r="C240" s="111" t="s">
        <v>4800</v>
      </c>
      <c r="D240" s="108"/>
      <c r="E240" s="84">
        <v>900</v>
      </c>
      <c r="T240" s="84">
        <v>900</v>
      </c>
      <c r="U240" s="84">
        <v>0</v>
      </c>
      <c r="V240" s="99"/>
      <c r="W240" s="99"/>
      <c r="X240" s="99"/>
      <c r="Z240" s="99">
        <f t="shared" si="672"/>
        <v>0</v>
      </c>
      <c r="AA240" s="99"/>
      <c r="AD240" s="2052"/>
      <c r="AE240" s="16"/>
      <c r="AF240" s="16"/>
      <c r="AG240" s="16"/>
      <c r="AH240" s="2382"/>
      <c r="AK240" s="99"/>
      <c r="AP240" s="99"/>
      <c r="AZ240" s="99"/>
      <c r="BE240" s="99"/>
      <c r="BJ240" s="99"/>
      <c r="BO240" s="99"/>
      <c r="BT240" s="99"/>
      <c r="BY240" s="546"/>
      <c r="BZ240" s="546"/>
      <c r="CA240" s="546"/>
      <c r="CB240" s="546"/>
      <c r="CC240" s="546"/>
      <c r="CD240" s="546"/>
      <c r="CE240" s="546"/>
      <c r="CF240" s="546"/>
      <c r="CG240" s="546"/>
      <c r="CH240" s="546"/>
      <c r="CI240" s="546"/>
      <c r="CJ240" s="546"/>
      <c r="CK240" s="546"/>
    </row>
    <row r="241" spans="1:89" x14ac:dyDescent="0.2">
      <c r="A241" s="133" t="s">
        <v>6634</v>
      </c>
      <c r="B241" s="1362"/>
      <c r="C241" s="111"/>
      <c r="D241" s="108"/>
      <c r="F241" s="84">
        <v>34000</v>
      </c>
      <c r="U241" s="84">
        <f>E241</f>
        <v>0</v>
      </c>
      <c r="V241" s="99"/>
      <c r="W241" s="99"/>
      <c r="X241" s="99"/>
      <c r="Z241" s="99">
        <f t="shared" si="672"/>
        <v>34000</v>
      </c>
      <c r="AA241" s="99"/>
      <c r="AD241" s="2052"/>
      <c r="AE241" s="16"/>
      <c r="AF241" s="16"/>
      <c r="AG241" s="16"/>
      <c r="AH241" s="2382"/>
      <c r="AK241" s="99"/>
      <c r="AP241" s="99"/>
      <c r="AZ241" s="99"/>
      <c r="BE241" s="99"/>
      <c r="BJ241" s="99"/>
      <c r="BO241" s="99"/>
      <c r="BT241" s="99"/>
      <c r="BY241" s="546"/>
      <c r="BZ241" s="546"/>
      <c r="CA241" s="546"/>
      <c r="CB241" s="546"/>
      <c r="CC241" s="546"/>
      <c r="CD241" s="546"/>
      <c r="CE241" s="546"/>
      <c r="CF241" s="546"/>
      <c r="CG241" s="546"/>
      <c r="CH241" s="546"/>
      <c r="CI241" s="546"/>
      <c r="CJ241" s="546"/>
      <c r="CK241" s="546"/>
    </row>
    <row r="242" spans="1:89" x14ac:dyDescent="0.2">
      <c r="A242" s="133" t="s">
        <v>6182</v>
      </c>
      <c r="B242" s="1362" t="s">
        <v>6311</v>
      </c>
      <c r="C242" s="111" t="s">
        <v>6312</v>
      </c>
      <c r="D242" s="111" t="s">
        <v>6312</v>
      </c>
      <c r="F242" s="84">
        <f>21000-21000</f>
        <v>0</v>
      </c>
      <c r="U242" s="84">
        <f>E242</f>
        <v>0</v>
      </c>
      <c r="V242" s="99"/>
      <c r="W242" s="99"/>
      <c r="X242" s="99"/>
      <c r="Z242" s="99">
        <f t="shared" si="672"/>
        <v>0</v>
      </c>
      <c r="AA242" s="99"/>
      <c r="AD242" s="2052"/>
      <c r="AE242" s="16"/>
      <c r="AF242" s="16"/>
      <c r="AG242" s="16"/>
      <c r="AH242" s="2382"/>
      <c r="AK242" s="99"/>
      <c r="AP242" s="99"/>
      <c r="AZ242" s="99"/>
      <c r="BE242" s="99"/>
      <c r="BJ242" s="99"/>
      <c r="BO242" s="99"/>
      <c r="BT242" s="99"/>
      <c r="BY242" s="546"/>
      <c r="BZ242" s="546"/>
      <c r="CA242" s="546"/>
      <c r="CB242" s="546"/>
      <c r="CC242" s="546"/>
      <c r="CD242" s="546"/>
      <c r="CE242" s="546"/>
      <c r="CF242" s="546"/>
      <c r="CG242" s="546"/>
      <c r="CH242" s="546"/>
      <c r="CI242" s="546"/>
      <c r="CJ242" s="546"/>
      <c r="CK242" s="546"/>
    </row>
    <row r="243" spans="1:89" x14ac:dyDescent="0.2">
      <c r="A243" s="133" t="s">
        <v>3441</v>
      </c>
      <c r="B243" s="1362" t="s">
        <v>3214</v>
      </c>
      <c r="C243" s="2348" t="s">
        <v>5076</v>
      </c>
      <c r="D243" s="111"/>
      <c r="U243" s="84">
        <f>E243</f>
        <v>0</v>
      </c>
      <c r="V243" s="99"/>
      <c r="W243" s="99"/>
      <c r="X243" s="99"/>
      <c r="Z243" s="99">
        <f t="shared" si="672"/>
        <v>0</v>
      </c>
      <c r="AA243" s="99"/>
      <c r="AD243" s="2052"/>
      <c r="AE243" s="2382"/>
      <c r="AF243" s="2382"/>
      <c r="AG243" s="2382"/>
      <c r="AH243" s="2382"/>
      <c r="AK243" s="99"/>
      <c r="AP243" s="99"/>
      <c r="AZ243" s="99"/>
      <c r="BE243" s="99"/>
      <c r="BJ243" s="99"/>
      <c r="BO243" s="99"/>
      <c r="BT243" s="99"/>
      <c r="BY243" s="546"/>
      <c r="BZ243" s="546"/>
      <c r="CA243" s="546"/>
      <c r="CB243" s="546"/>
      <c r="CC243" s="546"/>
      <c r="CD243" s="546"/>
      <c r="CE243" s="546"/>
      <c r="CF243" s="546"/>
      <c r="CG243" s="546"/>
      <c r="CH243" s="546"/>
      <c r="CI243" s="546"/>
      <c r="CJ243" s="546"/>
      <c r="CK243" s="546"/>
    </row>
    <row r="244" spans="1:89" x14ac:dyDescent="0.2">
      <c r="A244" s="133" t="s">
        <v>3137</v>
      </c>
      <c r="B244" s="1362" t="s">
        <v>6313</v>
      </c>
      <c r="C244" s="2348" t="s">
        <v>6314</v>
      </c>
      <c r="D244" s="2348" t="s">
        <v>6314</v>
      </c>
      <c r="E244" s="84">
        <f>50000-30000-14500-5500</f>
        <v>0</v>
      </c>
      <c r="F244" s="84">
        <v>50000</v>
      </c>
      <c r="U244" s="84">
        <f>E244</f>
        <v>0</v>
      </c>
      <c r="V244" s="99"/>
      <c r="W244" s="99"/>
      <c r="X244" s="99"/>
      <c r="Z244" s="99">
        <f t="shared" si="672"/>
        <v>50000</v>
      </c>
      <c r="AA244" s="99"/>
      <c r="AD244" s="2052"/>
      <c r="AE244" s="2382"/>
      <c r="AF244" s="2382"/>
      <c r="AG244" s="2382"/>
      <c r="AH244" s="2382"/>
      <c r="AK244" s="99"/>
      <c r="AP244" s="99"/>
      <c r="AZ244" s="99"/>
      <c r="BE244" s="99"/>
      <c r="BJ244" s="99"/>
      <c r="BO244" s="99"/>
      <c r="BT244" s="99"/>
      <c r="BY244" s="546"/>
      <c r="BZ244" s="546"/>
      <c r="CA244" s="546"/>
      <c r="CB244" s="546"/>
      <c r="CC244" s="546"/>
      <c r="CD244" s="546"/>
      <c r="CE244" s="546"/>
      <c r="CF244" s="546"/>
      <c r="CG244" s="546"/>
      <c r="CH244" s="546"/>
      <c r="CI244" s="546"/>
      <c r="CJ244" s="546"/>
      <c r="CK244" s="546"/>
    </row>
    <row r="245" spans="1:89" x14ac:dyDescent="0.2">
      <c r="A245" s="133" t="s">
        <v>5182</v>
      </c>
      <c r="B245" s="1362" t="s">
        <v>3155</v>
      </c>
      <c r="C245" s="2348" t="s">
        <v>5076</v>
      </c>
      <c r="D245" s="111"/>
      <c r="T245" s="84">
        <v>0</v>
      </c>
      <c r="U245" s="84">
        <f>E245-T245</f>
        <v>0</v>
      </c>
      <c r="V245" s="78"/>
      <c r="W245" s="99"/>
      <c r="X245" s="99"/>
      <c r="Z245" s="99">
        <f t="shared" si="672"/>
        <v>0</v>
      </c>
      <c r="AA245" s="99"/>
      <c r="AF245" s="99"/>
      <c r="AG245" s="99"/>
      <c r="AH245" s="99"/>
      <c r="AK245" s="99"/>
      <c r="AP245" s="99"/>
      <c r="AZ245" s="99"/>
      <c r="BE245" s="99"/>
      <c r="BJ245" s="99"/>
      <c r="BO245" s="99"/>
      <c r="BT245" s="99"/>
      <c r="BY245" s="546"/>
      <c r="BZ245" s="546"/>
      <c r="CA245" s="546"/>
      <c r="CB245" s="546"/>
      <c r="CC245" s="546"/>
      <c r="CD245" s="546"/>
      <c r="CE245" s="546"/>
      <c r="CF245" s="546"/>
      <c r="CG245" s="546"/>
      <c r="CH245" s="546"/>
      <c r="CI245" s="546"/>
      <c r="CJ245" s="546"/>
      <c r="CK245" s="546"/>
    </row>
    <row r="246" spans="1:89" x14ac:dyDescent="0.2">
      <c r="A246" s="133" t="s">
        <v>3135</v>
      </c>
      <c r="B246" s="1362" t="s">
        <v>3156</v>
      </c>
      <c r="C246" s="2348" t="s">
        <v>5076</v>
      </c>
      <c r="D246" s="111" t="s">
        <v>3156</v>
      </c>
      <c r="E246" s="84">
        <v>36000</v>
      </c>
      <c r="F246" s="84">
        <f>60000-59000</f>
        <v>1000</v>
      </c>
      <c r="U246" s="84">
        <f>E246</f>
        <v>36000</v>
      </c>
      <c r="V246" s="99"/>
      <c r="W246" s="99"/>
      <c r="X246" s="99"/>
      <c r="Z246" s="99">
        <f t="shared" si="672"/>
        <v>1000</v>
      </c>
      <c r="AA246" s="99"/>
      <c r="AF246" s="99"/>
      <c r="AG246" s="99"/>
      <c r="AH246" s="99"/>
      <c r="AK246" s="99"/>
      <c r="AP246" s="99"/>
      <c r="AZ246" s="99"/>
      <c r="BE246" s="99"/>
      <c r="BJ246" s="99"/>
      <c r="BO246" s="99"/>
      <c r="BT246" s="99"/>
      <c r="BY246" s="546"/>
      <c r="BZ246" s="546"/>
      <c r="CA246" s="546"/>
      <c r="CB246" s="546"/>
      <c r="CC246" s="546"/>
      <c r="CD246" s="546"/>
      <c r="CE246" s="546"/>
      <c r="CF246" s="546"/>
      <c r="CG246" s="546"/>
      <c r="CH246" s="546"/>
      <c r="CI246" s="546"/>
      <c r="CJ246" s="546"/>
      <c r="CK246" s="546"/>
    </row>
    <row r="247" spans="1:89" x14ac:dyDescent="0.2">
      <c r="A247" s="133" t="s">
        <v>3638</v>
      </c>
      <c r="B247" s="1362" t="s">
        <v>3639</v>
      </c>
      <c r="C247" s="2348" t="s">
        <v>5076</v>
      </c>
      <c r="D247" s="111"/>
      <c r="U247" s="84">
        <f>E247</f>
        <v>0</v>
      </c>
      <c r="V247" s="99"/>
      <c r="W247" s="99"/>
      <c r="X247" s="99"/>
      <c r="Z247" s="99">
        <f t="shared" si="672"/>
        <v>0</v>
      </c>
      <c r="AA247" s="99"/>
      <c r="AF247" s="99"/>
      <c r="AK247" s="99"/>
      <c r="AP247" s="99"/>
      <c r="AZ247" s="99"/>
      <c r="BE247" s="99"/>
      <c r="BJ247" s="99"/>
      <c r="BO247" s="99"/>
      <c r="BT247" s="99"/>
      <c r="BY247" s="546"/>
      <c r="BZ247" s="546"/>
      <c r="CA247" s="546"/>
      <c r="CB247" s="546"/>
      <c r="CC247" s="546"/>
      <c r="CD247" s="546"/>
      <c r="CE247" s="546"/>
      <c r="CF247" s="546"/>
      <c r="CG247" s="546"/>
      <c r="CH247" s="546"/>
      <c r="CI247" s="546"/>
      <c r="CJ247" s="546"/>
      <c r="CK247" s="546"/>
    </row>
    <row r="248" spans="1:89" x14ac:dyDescent="0.2">
      <c r="A248" s="133" t="s">
        <v>3442</v>
      </c>
      <c r="B248" s="1362" t="s">
        <v>3443</v>
      </c>
      <c r="C248" s="2348" t="s">
        <v>5076</v>
      </c>
      <c r="D248" s="111"/>
      <c r="U248" s="84">
        <f>E248</f>
        <v>0</v>
      </c>
      <c r="V248" s="99"/>
      <c r="W248" s="99"/>
      <c r="X248" s="99"/>
      <c r="Z248" s="99">
        <f t="shared" si="672"/>
        <v>0</v>
      </c>
      <c r="AA248" s="99"/>
      <c r="AF248" s="99"/>
      <c r="AK248" s="99"/>
      <c r="AP248" s="99"/>
      <c r="AZ248" s="99"/>
      <c r="BE248" s="99"/>
      <c r="BJ248" s="99"/>
      <c r="BO248" s="99"/>
      <c r="BT248" s="99"/>
      <c r="BY248" s="546"/>
      <c r="BZ248" s="546"/>
      <c r="CA248" s="546"/>
      <c r="CB248" s="546"/>
      <c r="CC248" s="546"/>
      <c r="CD248" s="546"/>
      <c r="CE248" s="546"/>
      <c r="CF248" s="546"/>
      <c r="CG248" s="546"/>
      <c r="CH248" s="546"/>
      <c r="CI248" s="546"/>
      <c r="CJ248" s="546"/>
      <c r="CK248" s="546"/>
    </row>
    <row r="249" spans="1:89" x14ac:dyDescent="0.2">
      <c r="A249" s="133" t="s">
        <v>3641</v>
      </c>
      <c r="B249" s="1362" t="s">
        <v>3640</v>
      </c>
      <c r="C249" s="2348" t="s">
        <v>5076</v>
      </c>
      <c r="D249" s="111"/>
      <c r="U249" s="84">
        <f>E249</f>
        <v>0</v>
      </c>
      <c r="V249" s="99"/>
      <c r="W249" s="99"/>
      <c r="X249" s="99"/>
      <c r="Z249" s="99">
        <f t="shared" si="672"/>
        <v>0</v>
      </c>
      <c r="AA249" s="99"/>
      <c r="AF249" s="99"/>
      <c r="AK249" s="99"/>
      <c r="AP249" s="99"/>
      <c r="AZ249" s="99"/>
      <c r="BE249" s="99"/>
      <c r="BJ249" s="99"/>
      <c r="BO249" s="99"/>
      <c r="BT249" s="99"/>
      <c r="BY249" s="546"/>
      <c r="BZ249" s="546"/>
      <c r="CA249" s="546"/>
      <c r="CB249" s="546"/>
      <c r="CC249" s="546"/>
      <c r="CD249" s="546"/>
      <c r="CE249" s="546"/>
      <c r="CF249" s="546"/>
      <c r="CG249" s="546"/>
      <c r="CH249" s="546"/>
      <c r="CI249" s="546"/>
      <c r="CJ249" s="546"/>
      <c r="CK249" s="546"/>
    </row>
    <row r="250" spans="1:89" x14ac:dyDescent="0.2">
      <c r="A250" s="133" t="s">
        <v>5378</v>
      </c>
      <c r="B250" s="1362" t="s">
        <v>5379</v>
      </c>
      <c r="C250" s="111" t="s">
        <v>5549</v>
      </c>
      <c r="D250" s="111"/>
      <c r="E250" s="84">
        <v>61800</v>
      </c>
      <c r="T250" s="84">
        <v>61800</v>
      </c>
      <c r="U250" s="84">
        <v>0</v>
      </c>
      <c r="V250" s="99"/>
      <c r="W250" s="99"/>
      <c r="X250" s="99"/>
      <c r="Z250" s="99">
        <f t="shared" si="672"/>
        <v>0</v>
      </c>
      <c r="AA250" s="99"/>
      <c r="AF250" s="99"/>
      <c r="AK250" s="99"/>
      <c r="AP250" s="99"/>
      <c r="AZ250" s="99"/>
      <c r="BE250" s="99"/>
      <c r="BJ250" s="99"/>
      <c r="BO250" s="99"/>
      <c r="BT250" s="99"/>
      <c r="BY250" s="546"/>
      <c r="BZ250" s="546"/>
      <c r="CA250" s="546"/>
      <c r="CB250" s="546"/>
      <c r="CC250" s="546"/>
      <c r="CD250" s="546"/>
      <c r="CE250" s="546"/>
      <c r="CF250" s="546"/>
      <c r="CG250" s="546"/>
      <c r="CH250" s="546"/>
      <c r="CI250" s="546"/>
      <c r="CJ250" s="546"/>
      <c r="CK250" s="546"/>
    </row>
    <row r="251" spans="1:89" x14ac:dyDescent="0.2">
      <c r="A251" s="133" t="s">
        <v>4913</v>
      </c>
      <c r="B251" s="1362" t="s">
        <v>5170</v>
      </c>
      <c r="C251" s="111" t="s">
        <v>4914</v>
      </c>
      <c r="D251" s="108"/>
      <c r="U251" s="84">
        <f t="shared" ref="U251:U256" si="673">E251</f>
        <v>0</v>
      </c>
      <c r="V251" s="99"/>
      <c r="W251" s="99"/>
      <c r="X251" s="99"/>
      <c r="Z251" s="99">
        <f t="shared" si="672"/>
        <v>0</v>
      </c>
      <c r="AA251" s="99"/>
      <c r="AF251" s="99"/>
      <c r="AK251" s="99"/>
      <c r="AP251" s="99"/>
      <c r="AZ251" s="99"/>
      <c r="BE251" s="99"/>
      <c r="BJ251" s="99"/>
      <c r="BO251" s="99"/>
      <c r="BT251" s="99"/>
      <c r="BY251" s="546"/>
      <c r="BZ251" s="546"/>
      <c r="CA251" s="546"/>
      <c r="CB251" s="546"/>
      <c r="CC251" s="546"/>
      <c r="CD251" s="546"/>
      <c r="CE251" s="546"/>
      <c r="CF251" s="546"/>
      <c r="CG251" s="546"/>
      <c r="CH251" s="546"/>
      <c r="CI251" s="546"/>
      <c r="CJ251" s="546"/>
      <c r="CK251" s="546"/>
    </row>
    <row r="252" spans="1:89" x14ac:dyDescent="0.2">
      <c r="A252" s="133" t="s">
        <v>5062</v>
      </c>
      <c r="B252" s="1362" t="s">
        <v>5286</v>
      </c>
      <c r="C252" s="111" t="s">
        <v>5285</v>
      </c>
      <c r="D252" s="111" t="s">
        <v>5285</v>
      </c>
      <c r="E252" s="84">
        <v>1800</v>
      </c>
      <c r="F252" s="84">
        <f>41000+35600-21400</f>
        <v>55200</v>
      </c>
      <c r="U252" s="84">
        <f t="shared" si="673"/>
        <v>1800</v>
      </c>
      <c r="V252" s="99"/>
      <c r="W252" s="99"/>
      <c r="X252" s="99"/>
      <c r="Y252" s="84">
        <v>35600</v>
      </c>
      <c r="Z252" s="99">
        <f t="shared" si="672"/>
        <v>19600</v>
      </c>
      <c r="AA252" s="99"/>
      <c r="AF252" s="99"/>
      <c r="AK252" s="99"/>
      <c r="AP252" s="99"/>
      <c r="AZ252" s="99"/>
      <c r="BE252" s="99"/>
      <c r="BJ252" s="99"/>
      <c r="BO252" s="99"/>
      <c r="BT252" s="99"/>
      <c r="BY252" s="546"/>
      <c r="BZ252" s="546"/>
      <c r="CA252" s="546"/>
      <c r="CB252" s="546"/>
      <c r="CC252" s="546"/>
      <c r="CD252" s="546"/>
      <c r="CE252" s="546"/>
      <c r="CF252" s="546"/>
      <c r="CG252" s="546"/>
      <c r="CH252" s="546"/>
      <c r="CI252" s="546"/>
      <c r="CJ252" s="546"/>
      <c r="CK252" s="546"/>
    </row>
    <row r="253" spans="1:89" x14ac:dyDescent="0.2">
      <c r="A253" s="133" t="s">
        <v>5063</v>
      </c>
      <c r="B253" s="1362" t="s">
        <v>5284</v>
      </c>
      <c r="C253" s="111" t="s">
        <v>5283</v>
      </c>
      <c r="D253" s="111" t="s">
        <v>5283</v>
      </c>
      <c r="E253" s="84">
        <v>77400</v>
      </c>
      <c r="F253" s="84">
        <v>55000</v>
      </c>
      <c r="U253" s="84">
        <f t="shared" si="673"/>
        <v>77400</v>
      </c>
      <c r="V253" s="99"/>
      <c r="W253" s="99"/>
      <c r="X253" s="99"/>
      <c r="Y253" s="84">
        <v>55000</v>
      </c>
      <c r="Z253" s="99">
        <f t="shared" si="672"/>
        <v>0</v>
      </c>
      <c r="AA253" s="99"/>
      <c r="AF253" s="99"/>
      <c r="AK253" s="99"/>
      <c r="AP253" s="99"/>
      <c r="AZ253" s="99"/>
      <c r="BE253" s="99"/>
      <c r="BJ253" s="99"/>
      <c r="BO253" s="99"/>
      <c r="BT253" s="99"/>
      <c r="BY253" s="546"/>
      <c r="BZ253" s="546"/>
      <c r="CA253" s="546"/>
      <c r="CB253" s="546"/>
      <c r="CC253" s="546"/>
      <c r="CD253" s="546"/>
      <c r="CE253" s="546"/>
      <c r="CF253" s="546"/>
      <c r="CG253" s="546"/>
      <c r="CH253" s="546"/>
      <c r="CI253" s="546"/>
      <c r="CJ253" s="546"/>
      <c r="CK253" s="546"/>
    </row>
    <row r="254" spans="1:89" x14ac:dyDescent="0.2">
      <c r="A254" s="133" t="s">
        <v>5491</v>
      </c>
      <c r="B254" s="1362" t="s">
        <v>6273</v>
      </c>
      <c r="C254" s="111" t="s">
        <v>5490</v>
      </c>
      <c r="D254" s="111"/>
      <c r="E254" s="84">
        <f>10000-800</f>
        <v>9200</v>
      </c>
      <c r="U254" s="84">
        <f t="shared" si="673"/>
        <v>9200</v>
      </c>
      <c r="V254" s="99"/>
      <c r="W254" s="99"/>
      <c r="X254" s="99"/>
      <c r="Z254" s="99">
        <f t="shared" si="672"/>
        <v>0</v>
      </c>
      <c r="AA254" s="99"/>
      <c r="AF254" s="99"/>
      <c r="AK254" s="99"/>
      <c r="AP254" s="99"/>
      <c r="AZ254" s="99"/>
      <c r="BE254" s="99"/>
      <c r="BJ254" s="99"/>
      <c r="BO254" s="99"/>
      <c r="BT254" s="99"/>
      <c r="BY254" s="546"/>
      <c r="BZ254" s="546"/>
      <c r="CA254" s="546"/>
      <c r="CB254" s="546"/>
      <c r="CC254" s="546"/>
      <c r="CD254" s="546"/>
      <c r="CE254" s="546"/>
      <c r="CF254" s="546"/>
      <c r="CG254" s="546"/>
      <c r="CH254" s="546"/>
      <c r="CI254" s="546"/>
      <c r="CJ254" s="546"/>
      <c r="CK254" s="546"/>
    </row>
    <row r="255" spans="1:89" x14ac:dyDescent="0.2">
      <c r="A255" s="133" t="s">
        <v>5492</v>
      </c>
      <c r="B255" s="1362" t="s">
        <v>6274</v>
      </c>
      <c r="C255" s="111" t="s">
        <v>5494</v>
      </c>
      <c r="D255" s="111"/>
      <c r="E255" s="84">
        <f>10000-4300</f>
        <v>5700</v>
      </c>
      <c r="U255" s="84">
        <f t="shared" si="673"/>
        <v>5700</v>
      </c>
      <c r="V255" s="99"/>
      <c r="W255" s="99"/>
      <c r="X255" s="99"/>
      <c r="Z255" s="99">
        <f t="shared" si="672"/>
        <v>0</v>
      </c>
      <c r="AA255" s="99"/>
      <c r="AF255" s="99"/>
      <c r="AK255" s="99"/>
      <c r="AP255" s="99"/>
      <c r="AZ255" s="99"/>
      <c r="BE255" s="99"/>
      <c r="BJ255" s="99"/>
      <c r="BO255" s="99"/>
      <c r="BT255" s="99"/>
      <c r="BY255" s="546"/>
      <c r="BZ255" s="546"/>
      <c r="CA255" s="546"/>
      <c r="CB255" s="546"/>
      <c r="CC255" s="546"/>
      <c r="CD255" s="546"/>
      <c r="CE255" s="546"/>
      <c r="CF255" s="546"/>
      <c r="CG255" s="546"/>
      <c r="CH255" s="546"/>
      <c r="CI255" s="546"/>
      <c r="CJ255" s="546"/>
      <c r="CK255" s="546"/>
    </row>
    <row r="256" spans="1:89" x14ac:dyDescent="0.2">
      <c r="A256" s="133" t="s">
        <v>5493</v>
      </c>
      <c r="B256" s="1362" t="s">
        <v>6275</v>
      </c>
      <c r="C256" s="111" t="s">
        <v>5495</v>
      </c>
      <c r="D256" s="111"/>
      <c r="E256" s="84">
        <f>10000-3100</f>
        <v>6900</v>
      </c>
      <c r="U256" s="84">
        <f t="shared" si="673"/>
        <v>6900</v>
      </c>
      <c r="V256" s="99"/>
      <c r="W256" s="99"/>
      <c r="X256" s="99"/>
      <c r="Z256" s="99">
        <f t="shared" si="672"/>
        <v>0</v>
      </c>
      <c r="AA256" s="99"/>
      <c r="AF256" s="99"/>
      <c r="AK256" s="99"/>
      <c r="AP256" s="99"/>
      <c r="AZ256" s="99"/>
      <c r="BE256" s="99"/>
      <c r="BJ256" s="99"/>
      <c r="BO256" s="99"/>
      <c r="BT256" s="99"/>
      <c r="BY256" s="546"/>
      <c r="BZ256" s="546"/>
      <c r="CA256" s="546"/>
      <c r="CB256" s="546"/>
      <c r="CC256" s="546"/>
      <c r="CD256" s="546"/>
      <c r="CE256" s="546"/>
      <c r="CF256" s="546"/>
      <c r="CG256" s="546"/>
      <c r="CH256" s="546"/>
      <c r="CI256" s="546"/>
      <c r="CJ256" s="546"/>
      <c r="CK256" s="546"/>
    </row>
    <row r="257" spans="1:89" x14ac:dyDescent="0.2">
      <c r="A257" s="133" t="s">
        <v>5546</v>
      </c>
      <c r="B257" s="1362" t="s">
        <v>5550</v>
      </c>
      <c r="C257" s="111" t="s">
        <v>5076</v>
      </c>
      <c r="D257" s="111"/>
      <c r="E257" s="84">
        <v>69000</v>
      </c>
      <c r="T257" s="84">
        <v>69000</v>
      </c>
      <c r="U257" s="84">
        <v>0</v>
      </c>
      <c r="V257" s="99"/>
      <c r="W257" s="99"/>
      <c r="X257" s="99"/>
      <c r="Z257" s="99">
        <f t="shared" si="672"/>
        <v>0</v>
      </c>
      <c r="AA257" s="99"/>
      <c r="AF257" s="99"/>
      <c r="AK257" s="99"/>
      <c r="AP257" s="99"/>
      <c r="AZ257" s="99"/>
      <c r="BE257" s="99"/>
      <c r="BJ257" s="99"/>
      <c r="BO257" s="99"/>
      <c r="BT257" s="99"/>
      <c r="BY257" s="546"/>
      <c r="BZ257" s="546"/>
      <c r="CA257" s="546"/>
      <c r="CB257" s="546"/>
      <c r="CC257" s="546"/>
      <c r="CD257" s="546"/>
      <c r="CE257" s="546"/>
      <c r="CF257" s="546"/>
      <c r="CG257" s="546"/>
      <c r="CH257" s="546"/>
      <c r="CI257" s="546"/>
      <c r="CJ257" s="546"/>
      <c r="CK257" s="546"/>
    </row>
    <row r="258" spans="1:89" x14ac:dyDescent="0.2">
      <c r="A258" s="133" t="s">
        <v>5546</v>
      </c>
      <c r="B258" s="1362" t="s">
        <v>5550</v>
      </c>
      <c r="C258" s="111" t="s">
        <v>5076</v>
      </c>
      <c r="D258" s="111"/>
      <c r="E258" s="84">
        <v>-69000</v>
      </c>
      <c r="U258" s="84">
        <f>E258</f>
        <v>-69000</v>
      </c>
      <c r="V258" s="99"/>
      <c r="W258" s="99"/>
      <c r="X258" s="99"/>
      <c r="Z258" s="99">
        <f t="shared" si="672"/>
        <v>0</v>
      </c>
      <c r="AA258" s="99"/>
      <c r="AF258" s="99"/>
      <c r="AK258" s="99"/>
      <c r="AP258" s="99"/>
      <c r="AZ258" s="99"/>
      <c r="BE258" s="99"/>
      <c r="BJ258" s="99"/>
      <c r="BO258" s="99"/>
      <c r="BT258" s="99"/>
      <c r="BY258" s="546"/>
      <c r="BZ258" s="546"/>
      <c r="CA258" s="546"/>
      <c r="CB258" s="546"/>
      <c r="CC258" s="546"/>
      <c r="CD258" s="546"/>
      <c r="CE258" s="546"/>
      <c r="CF258" s="546"/>
      <c r="CG258" s="546"/>
      <c r="CH258" s="546"/>
      <c r="CI258" s="546"/>
      <c r="CJ258" s="546"/>
      <c r="CK258" s="546"/>
    </row>
    <row r="259" spans="1:89" x14ac:dyDescent="0.2">
      <c r="A259" s="133" t="s">
        <v>5583</v>
      </c>
      <c r="B259" s="1362" t="s">
        <v>5585</v>
      </c>
      <c r="C259" s="111" t="s">
        <v>5584</v>
      </c>
      <c r="D259" s="111"/>
      <c r="E259" s="84">
        <v>32800</v>
      </c>
      <c r="U259" s="84">
        <f>E259</f>
        <v>32800</v>
      </c>
      <c r="V259" s="99"/>
      <c r="W259" s="99"/>
      <c r="X259" s="99"/>
      <c r="Z259" s="99">
        <f t="shared" si="672"/>
        <v>0</v>
      </c>
      <c r="AA259" s="99"/>
      <c r="AF259" s="99"/>
      <c r="AK259" s="99"/>
      <c r="AP259" s="99"/>
      <c r="AZ259" s="99"/>
      <c r="BE259" s="99"/>
      <c r="BJ259" s="99"/>
      <c r="BO259" s="99"/>
      <c r="BT259" s="99"/>
      <c r="BY259" s="546"/>
      <c r="BZ259" s="546"/>
      <c r="CA259" s="546"/>
      <c r="CB259" s="546"/>
      <c r="CC259" s="546"/>
      <c r="CD259" s="546"/>
      <c r="CE259" s="546"/>
      <c r="CF259" s="546"/>
      <c r="CG259" s="546"/>
      <c r="CH259" s="546"/>
      <c r="CI259" s="546"/>
      <c r="CJ259" s="546"/>
      <c r="CK259" s="546"/>
    </row>
    <row r="260" spans="1:89" x14ac:dyDescent="0.2">
      <c r="A260" s="133" t="s">
        <v>5587</v>
      </c>
      <c r="B260" s="1362" t="s">
        <v>5588</v>
      </c>
      <c r="C260" s="111" t="s">
        <v>5586</v>
      </c>
      <c r="D260" s="111"/>
      <c r="E260" s="84">
        <v>5700</v>
      </c>
      <c r="U260" s="84">
        <f>E260</f>
        <v>5700</v>
      </c>
      <c r="V260" s="99"/>
      <c r="W260" s="99"/>
      <c r="X260" s="99"/>
      <c r="Z260" s="99">
        <f t="shared" si="672"/>
        <v>0</v>
      </c>
      <c r="AA260" s="99"/>
      <c r="AF260" s="99"/>
      <c r="AK260" s="99"/>
      <c r="AP260" s="99"/>
      <c r="AZ260" s="99"/>
      <c r="BE260" s="99"/>
      <c r="BJ260" s="99"/>
      <c r="BO260" s="99"/>
      <c r="BT260" s="99"/>
      <c r="BY260" s="546"/>
      <c r="BZ260" s="546"/>
      <c r="CA260" s="546"/>
      <c r="CB260" s="546"/>
      <c r="CC260" s="546"/>
      <c r="CD260" s="546"/>
      <c r="CE260" s="546"/>
      <c r="CF260" s="546"/>
      <c r="CG260" s="546"/>
      <c r="CH260" s="546"/>
      <c r="CI260" s="546"/>
      <c r="CJ260" s="546"/>
      <c r="CK260" s="546"/>
    </row>
    <row r="261" spans="1:89" x14ac:dyDescent="0.2">
      <c r="A261" s="133" t="s">
        <v>5652</v>
      </c>
      <c r="B261" s="1362"/>
      <c r="C261" s="111"/>
      <c r="D261" s="111"/>
      <c r="E261" s="84">
        <v>10700</v>
      </c>
      <c r="U261" s="84">
        <f>E261</f>
        <v>10700</v>
      </c>
      <c r="V261" s="99"/>
      <c r="W261" s="99"/>
      <c r="X261" s="99"/>
      <c r="Z261" s="99">
        <f t="shared" si="672"/>
        <v>0</v>
      </c>
      <c r="AA261" s="99"/>
      <c r="AF261" s="99"/>
      <c r="AK261" s="99"/>
      <c r="AP261" s="99"/>
      <c r="AZ261" s="99"/>
      <c r="BE261" s="99"/>
      <c r="BJ261" s="99"/>
      <c r="BO261" s="99"/>
      <c r="BT261" s="99"/>
      <c r="BY261" s="546"/>
      <c r="BZ261" s="546"/>
      <c r="CA261" s="546"/>
      <c r="CB261" s="546"/>
      <c r="CC261" s="546"/>
      <c r="CD261" s="546"/>
      <c r="CE261" s="546"/>
      <c r="CF261" s="546"/>
      <c r="CG261" s="546"/>
      <c r="CH261" s="546"/>
      <c r="CI261" s="546"/>
      <c r="CJ261" s="546"/>
      <c r="CK261" s="546"/>
    </row>
    <row r="262" spans="1:89" s="118" customFormat="1" x14ac:dyDescent="0.2">
      <c r="A262" s="118" t="s">
        <v>2662</v>
      </c>
      <c r="B262" s="1367"/>
      <c r="C262" s="109"/>
      <c r="D262" s="109"/>
      <c r="E262" s="2419">
        <f>SUM(E220:E261)</f>
        <v>302700</v>
      </c>
      <c r="F262" s="2419">
        <f>SUM(F220:F261)</f>
        <v>427400</v>
      </c>
      <c r="Q262" s="2419">
        <f>SUM(Q220:Q258)</f>
        <v>0</v>
      </c>
      <c r="R262" s="2419">
        <f>SUM(R220:R258)</f>
        <v>0</v>
      </c>
      <c r="S262" s="2419">
        <f>SUM(S220:S258)</f>
        <v>0</v>
      </c>
      <c r="T262" s="2419">
        <f>SUM(T220:T258)</f>
        <v>135800</v>
      </c>
      <c r="U262" s="2419">
        <f t="shared" ref="U262:Z262" si="674">SUM(U220:U261)</f>
        <v>166900</v>
      </c>
      <c r="V262" s="2419">
        <f t="shared" si="674"/>
        <v>0</v>
      </c>
      <c r="W262" s="2419">
        <f t="shared" si="674"/>
        <v>0</v>
      </c>
      <c r="X262" s="2419">
        <f t="shared" si="674"/>
        <v>0</v>
      </c>
      <c r="Y262" s="2419">
        <f t="shared" si="674"/>
        <v>221800</v>
      </c>
      <c r="Z262" s="2419">
        <f t="shared" si="674"/>
        <v>205600</v>
      </c>
      <c r="AA262" s="145"/>
      <c r="AE262" s="145"/>
      <c r="AF262" s="145"/>
      <c r="AJ262" s="145"/>
      <c r="AK262" s="145"/>
      <c r="AO262" s="145"/>
      <c r="AP262" s="145"/>
      <c r="AT262" s="145"/>
      <c r="AU262" s="145"/>
      <c r="AY262" s="145"/>
      <c r="AZ262" s="145"/>
      <c r="BD262" s="145"/>
      <c r="BE262" s="145"/>
      <c r="BI262" s="145"/>
      <c r="BJ262" s="145"/>
      <c r="BN262" s="145"/>
      <c r="BO262" s="145"/>
      <c r="BS262" s="145"/>
      <c r="BT262" s="145"/>
      <c r="BX262" s="145"/>
      <c r="BY262" s="1390"/>
      <c r="BZ262" s="1390"/>
      <c r="CA262" s="1390"/>
      <c r="CB262" s="1390"/>
      <c r="CC262" s="1390"/>
      <c r="CD262" s="1390"/>
      <c r="CE262" s="1390"/>
      <c r="CF262" s="1390"/>
      <c r="CG262" s="1390"/>
      <c r="CH262" s="1390"/>
      <c r="CI262" s="1390"/>
      <c r="CJ262" s="1390"/>
      <c r="CK262" s="1390"/>
    </row>
    <row r="263" spans="1:89" s="118" customFormat="1" x14ac:dyDescent="0.2">
      <c r="A263" s="118" t="s">
        <v>89</v>
      </c>
      <c r="B263" s="1367"/>
      <c r="C263" s="109"/>
      <c r="D263" s="109"/>
      <c r="E263" s="118">
        <f>E111+E112-E262</f>
        <v>0</v>
      </c>
      <c r="F263" s="118">
        <f>F111+F112-F262</f>
        <v>0</v>
      </c>
      <c r="Q263" s="118">
        <f t="shared" ref="Q263:Z263" si="675">Q112+Q111-Q262</f>
        <v>0</v>
      </c>
      <c r="R263" s="118">
        <f t="shared" si="675"/>
        <v>0</v>
      </c>
      <c r="S263" s="118">
        <f t="shared" si="675"/>
        <v>0</v>
      </c>
      <c r="T263" s="118">
        <f t="shared" si="675"/>
        <v>85600</v>
      </c>
      <c r="U263" s="118">
        <f t="shared" si="675"/>
        <v>-85600</v>
      </c>
      <c r="V263" s="118">
        <f t="shared" si="675"/>
        <v>0</v>
      </c>
      <c r="W263" s="118">
        <f t="shared" si="675"/>
        <v>0</v>
      </c>
      <c r="X263" s="118">
        <f t="shared" si="675"/>
        <v>0</v>
      </c>
      <c r="Y263" s="118">
        <f t="shared" si="675"/>
        <v>0</v>
      </c>
      <c r="Z263" s="118">
        <f t="shared" si="675"/>
        <v>0</v>
      </c>
      <c r="AA263" s="145"/>
      <c r="AE263" s="145"/>
      <c r="AF263" s="145"/>
      <c r="AJ263" s="145"/>
      <c r="AK263" s="145"/>
      <c r="AO263" s="145"/>
      <c r="AP263" s="145"/>
      <c r="AT263" s="145"/>
      <c r="AU263" s="145"/>
      <c r="AY263" s="145"/>
      <c r="AZ263" s="145"/>
      <c r="BD263" s="145"/>
      <c r="BE263" s="145"/>
      <c r="BI263" s="145"/>
      <c r="BJ263" s="145"/>
      <c r="BN263" s="145"/>
      <c r="BO263" s="145"/>
      <c r="BS263" s="145"/>
      <c r="BT263" s="145"/>
      <c r="BX263" s="145"/>
      <c r="BY263" s="1390"/>
      <c r="BZ263" s="1390"/>
      <c r="CA263" s="1390"/>
      <c r="CB263" s="1390"/>
      <c r="CC263" s="1390"/>
      <c r="CD263" s="1390"/>
      <c r="CE263" s="1390"/>
      <c r="CF263" s="1390"/>
      <c r="CG263" s="1390"/>
      <c r="CH263" s="1390"/>
      <c r="CI263" s="1390"/>
      <c r="CJ263" s="1390"/>
      <c r="CK263" s="1390"/>
    </row>
    <row r="264" spans="1:89" x14ac:dyDescent="0.2">
      <c r="B264" s="198"/>
      <c r="C264" s="108"/>
      <c r="D264" s="108"/>
      <c r="Q264" s="99"/>
      <c r="V264" s="99"/>
      <c r="W264" s="99"/>
      <c r="X264" s="99"/>
      <c r="AA264" s="99"/>
      <c r="AF264" s="99"/>
      <c r="AK264" s="99"/>
      <c r="AP264" s="99"/>
      <c r="AZ264" s="99"/>
      <c r="BE264" s="99"/>
      <c r="BJ264" s="99"/>
      <c r="BO264" s="99"/>
      <c r="BT264" s="99"/>
      <c r="BY264" s="546"/>
      <c r="BZ264" s="546"/>
      <c r="CA264" s="546"/>
      <c r="CB264" s="546"/>
      <c r="CC264" s="546"/>
      <c r="CD264" s="546"/>
      <c r="CE264" s="546"/>
      <c r="CF264" s="546"/>
      <c r="CG264" s="546"/>
      <c r="CH264" s="546"/>
      <c r="CI264" s="546"/>
      <c r="CJ264" s="546"/>
      <c r="CK264" s="546"/>
    </row>
    <row r="265" spans="1:89" x14ac:dyDescent="0.2">
      <c r="A265" s="1115" t="s">
        <v>2134</v>
      </c>
      <c r="B265" s="198"/>
      <c r="C265" s="108"/>
      <c r="D265" s="108"/>
      <c r="Q265" s="99"/>
      <c r="V265" s="99"/>
      <c r="W265" s="99"/>
      <c r="X265" s="99"/>
      <c r="AA265" s="99"/>
      <c r="AF265" s="99"/>
      <c r="AK265" s="99"/>
      <c r="AP265" s="99"/>
      <c r="AZ265" s="99"/>
      <c r="BE265" s="99"/>
      <c r="BJ265" s="99"/>
      <c r="BO265" s="99"/>
      <c r="BT265" s="99"/>
      <c r="BY265" s="546"/>
      <c r="BZ265" s="546"/>
      <c r="CA265" s="546"/>
      <c r="CB265" s="546"/>
      <c r="CC265" s="546"/>
      <c r="CD265" s="546"/>
      <c r="CE265" s="546"/>
      <c r="CF265" s="546"/>
      <c r="CG265" s="546"/>
      <c r="CH265" s="546"/>
      <c r="CI265" s="546"/>
      <c r="CJ265" s="546"/>
      <c r="CK265" s="546"/>
    </row>
    <row r="266" spans="1:89" x14ac:dyDescent="0.2">
      <c r="A266" s="571" t="s">
        <v>826</v>
      </c>
      <c r="B266" s="198"/>
      <c r="C266" s="108"/>
      <c r="D266" s="108"/>
      <c r="Q266" s="99"/>
      <c r="V266" s="99"/>
      <c r="W266" s="99"/>
      <c r="X266" s="99"/>
      <c r="AA266" s="99"/>
      <c r="AF266" s="99"/>
      <c r="AK266" s="99"/>
      <c r="AP266" s="99"/>
      <c r="AZ266" s="99"/>
      <c r="BE266" s="99"/>
      <c r="BJ266" s="99"/>
      <c r="BO266" s="99"/>
      <c r="BT266" s="99"/>
      <c r="BY266" s="546"/>
      <c r="BZ266" s="546"/>
      <c r="CA266" s="546"/>
      <c r="CB266" s="546"/>
      <c r="CC266" s="546"/>
      <c r="CD266" s="546"/>
      <c r="CE266" s="546"/>
      <c r="CF266" s="546"/>
      <c r="CG266" s="546"/>
      <c r="CH266" s="546"/>
      <c r="CI266" s="546"/>
      <c r="CJ266" s="546"/>
      <c r="CK266" s="546"/>
    </row>
    <row r="267" spans="1:89" x14ac:dyDescent="0.2">
      <c r="A267" s="133" t="s">
        <v>3642</v>
      </c>
      <c r="B267" s="2369" t="s">
        <v>3643</v>
      </c>
      <c r="C267" s="2348" t="s">
        <v>5076</v>
      </c>
      <c r="D267" s="2344" t="s">
        <v>3643</v>
      </c>
      <c r="E267" s="84">
        <f>171000+174000-345000</f>
        <v>0</v>
      </c>
      <c r="F267" s="133">
        <f>172000+2500</f>
        <v>174500</v>
      </c>
      <c r="Q267" s="84">
        <f>E267</f>
        <v>0</v>
      </c>
      <c r="U267" s="84">
        <f t="shared" ref="U267:U270" si="676">E267-SUM(Q267:T267)</f>
        <v>0</v>
      </c>
      <c r="V267" s="99">
        <f>'Cap Inc'!E36</f>
        <v>174500</v>
      </c>
      <c r="W267" s="99"/>
      <c r="X267" s="99"/>
      <c r="Z267" s="99">
        <f>F267-V267-W267-X267-Y267</f>
        <v>0</v>
      </c>
      <c r="AA267" s="99"/>
      <c r="AF267" s="99"/>
      <c r="AK267" s="99"/>
      <c r="AP267" s="99"/>
      <c r="AZ267" s="99"/>
      <c r="BE267" s="99"/>
      <c r="BJ267" s="99"/>
      <c r="BO267" s="99"/>
      <c r="BT267" s="99"/>
      <c r="BY267" s="546"/>
      <c r="BZ267" s="546"/>
      <c r="CA267" s="546"/>
      <c r="CB267" s="546"/>
      <c r="CC267" s="546"/>
      <c r="CD267" s="546"/>
      <c r="CE267" s="546"/>
      <c r="CF267" s="546"/>
      <c r="CG267" s="546"/>
      <c r="CH267" s="546"/>
      <c r="CI267" s="546"/>
      <c r="CJ267" s="546"/>
      <c r="CK267" s="546"/>
    </row>
    <row r="268" spans="1:89" x14ac:dyDescent="0.2">
      <c r="A268" s="133" t="s">
        <v>5171</v>
      </c>
      <c r="B268" s="2370" t="s">
        <v>5172</v>
      </c>
      <c r="C268" s="2348" t="s">
        <v>5173</v>
      </c>
      <c r="D268" s="2348" t="s">
        <v>5173</v>
      </c>
      <c r="E268" s="84">
        <v>845500</v>
      </c>
      <c r="F268" s="133">
        <v>1000000</v>
      </c>
      <c r="Q268" s="84">
        <f>1004000-204000</f>
        <v>800000</v>
      </c>
      <c r="U268" s="84">
        <f t="shared" si="676"/>
        <v>45500</v>
      </c>
      <c r="V268" s="99">
        <f>'Cap Inc'!E41</f>
        <v>1000000</v>
      </c>
      <c r="W268" s="99"/>
      <c r="X268" s="99"/>
      <c r="Z268" s="99">
        <f>F268-V268-W268-X268-Y268</f>
        <v>0</v>
      </c>
      <c r="AA268" s="99"/>
      <c r="AF268" s="99"/>
      <c r="AK268" s="99"/>
      <c r="AP268" s="99"/>
      <c r="AZ268" s="99"/>
      <c r="BE268" s="99"/>
      <c r="BJ268" s="99"/>
      <c r="BO268" s="99"/>
      <c r="BT268" s="99"/>
      <c r="BY268" s="546"/>
      <c r="BZ268" s="546"/>
      <c r="CA268" s="546"/>
      <c r="CB268" s="546"/>
      <c r="CC268" s="546"/>
      <c r="CD268" s="546"/>
      <c r="CE268" s="546"/>
      <c r="CF268" s="546"/>
      <c r="CG268" s="546"/>
      <c r="CH268" s="546"/>
      <c r="CI268" s="546"/>
      <c r="CJ268" s="546"/>
      <c r="CK268" s="546"/>
    </row>
    <row r="269" spans="1:89" x14ac:dyDescent="0.2">
      <c r="A269" s="133" t="s">
        <v>6831</v>
      </c>
      <c r="B269" s="2370" t="s">
        <v>5172</v>
      </c>
      <c r="C269" s="2348" t="s">
        <v>6832</v>
      </c>
      <c r="D269" s="2348"/>
      <c r="E269" s="84">
        <v>156100</v>
      </c>
      <c r="F269" s="133"/>
      <c r="U269" s="84">
        <f t="shared" si="676"/>
        <v>156100</v>
      </c>
      <c r="V269" s="99"/>
      <c r="W269" s="99"/>
      <c r="X269" s="99"/>
      <c r="AA269" s="99"/>
      <c r="AF269" s="99"/>
      <c r="AK269" s="99"/>
      <c r="AP269" s="99"/>
      <c r="AZ269" s="99"/>
      <c r="BE269" s="99"/>
      <c r="BJ269" s="99"/>
      <c r="BO269" s="99"/>
      <c r="BT269" s="99"/>
      <c r="BY269" s="546"/>
      <c r="BZ269" s="546"/>
      <c r="CA269" s="546"/>
      <c r="CB269" s="546"/>
      <c r="CC269" s="546"/>
      <c r="CD269" s="546"/>
      <c r="CE269" s="546"/>
      <c r="CF269" s="546"/>
      <c r="CG269" s="546"/>
      <c r="CH269" s="546"/>
      <c r="CI269" s="546"/>
      <c r="CJ269" s="546"/>
      <c r="CK269" s="546"/>
    </row>
    <row r="270" spans="1:89" x14ac:dyDescent="0.2">
      <c r="A270" s="133" t="s">
        <v>3272</v>
      </c>
      <c r="B270" s="2370" t="s">
        <v>3273</v>
      </c>
      <c r="C270" s="2348" t="s">
        <v>5076</v>
      </c>
      <c r="D270" s="2345" t="s">
        <v>3273</v>
      </c>
      <c r="E270" s="84">
        <f>E124</f>
        <v>44700</v>
      </c>
      <c r="F270" s="84">
        <v>20000</v>
      </c>
      <c r="T270" s="84">
        <f>T124</f>
        <v>44700</v>
      </c>
      <c r="U270" s="84">
        <f t="shared" si="676"/>
        <v>0</v>
      </c>
      <c r="V270" s="99"/>
      <c r="W270" s="99"/>
      <c r="X270" s="99"/>
      <c r="Y270" s="84">
        <v>20000</v>
      </c>
      <c r="Z270" s="99">
        <f t="shared" ref="Z270:Z300" si="677">F270-V270-W270-X270-Y270</f>
        <v>0</v>
      </c>
      <c r="AA270" s="99"/>
      <c r="AF270" s="99"/>
      <c r="AK270" s="99"/>
      <c r="AP270" s="99"/>
      <c r="AZ270" s="99"/>
      <c r="BE270" s="99"/>
      <c r="BJ270" s="99"/>
      <c r="BO270" s="99"/>
      <c r="BT270" s="99"/>
      <c r="BY270" s="546"/>
      <c r="BZ270" s="546"/>
      <c r="CA270" s="546"/>
      <c r="CB270" s="546"/>
      <c r="CC270" s="546"/>
      <c r="CD270" s="546"/>
      <c r="CE270" s="546"/>
      <c r="CF270" s="546"/>
      <c r="CG270" s="546"/>
      <c r="CH270" s="546"/>
      <c r="CI270" s="546"/>
      <c r="CJ270" s="546"/>
      <c r="CK270" s="546"/>
    </row>
    <row r="271" spans="1:89" x14ac:dyDescent="0.2">
      <c r="A271" s="133" t="s">
        <v>3275</v>
      </c>
      <c r="B271" s="2383" t="s">
        <v>6474</v>
      </c>
      <c r="C271" s="2348" t="s">
        <v>6473</v>
      </c>
      <c r="D271" s="2348" t="s">
        <v>6473</v>
      </c>
      <c r="F271" s="84">
        <f>633000-573000</f>
        <v>60000</v>
      </c>
      <c r="U271" s="84"/>
      <c r="V271" s="99"/>
      <c r="W271" s="99"/>
      <c r="X271" s="99"/>
      <c r="Y271" s="84">
        <f>633000-573000</f>
        <v>60000</v>
      </c>
      <c r="Z271" s="99">
        <f t="shared" si="677"/>
        <v>0</v>
      </c>
      <c r="AA271" s="99"/>
      <c r="AF271" s="99"/>
      <c r="AK271" s="99"/>
      <c r="AP271" s="99"/>
      <c r="AZ271" s="99"/>
      <c r="BE271" s="99"/>
      <c r="BJ271" s="99"/>
      <c r="BO271" s="99"/>
      <c r="BT271" s="99"/>
      <c r="BY271" s="546"/>
      <c r="BZ271" s="546"/>
      <c r="CA271" s="546"/>
      <c r="CB271" s="546"/>
      <c r="CC271" s="546"/>
      <c r="CD271" s="546"/>
      <c r="CE271" s="546"/>
      <c r="CF271" s="546"/>
      <c r="CG271" s="546"/>
      <c r="CH271" s="546"/>
      <c r="CI271" s="546"/>
      <c r="CJ271" s="546"/>
      <c r="CK271" s="546"/>
    </row>
    <row r="272" spans="1:89" x14ac:dyDescent="0.2">
      <c r="A272" s="133" t="s">
        <v>6279</v>
      </c>
      <c r="B272" s="1362" t="s">
        <v>6315</v>
      </c>
      <c r="C272" s="2348" t="s">
        <v>6320</v>
      </c>
      <c r="D272" s="2348" t="s">
        <v>6320</v>
      </c>
      <c r="F272" s="84">
        <v>74100</v>
      </c>
      <c r="U272" s="84">
        <f t="shared" ref="U272:U274" si="678">E272-SUM(Q272:T272)</f>
        <v>0</v>
      </c>
      <c r="V272" s="99"/>
      <c r="W272" s="99"/>
      <c r="X272" s="99"/>
      <c r="Z272" s="99">
        <f t="shared" si="677"/>
        <v>74100</v>
      </c>
      <c r="AA272" s="99"/>
      <c r="AF272" s="99"/>
      <c r="AK272" s="99"/>
      <c r="AP272" s="99"/>
      <c r="AZ272" s="99"/>
      <c r="BE272" s="99"/>
      <c r="BJ272" s="99"/>
      <c r="BO272" s="99"/>
      <c r="BT272" s="99"/>
      <c r="BY272" s="546"/>
      <c r="BZ272" s="546"/>
      <c r="CA272" s="546"/>
      <c r="CB272" s="546"/>
      <c r="CC272" s="546"/>
      <c r="CD272" s="546"/>
      <c r="CE272" s="546"/>
      <c r="CF272" s="546"/>
      <c r="CG272" s="546"/>
      <c r="CH272" s="546"/>
      <c r="CI272" s="546"/>
      <c r="CJ272" s="546"/>
      <c r="CK272" s="546"/>
    </row>
    <row r="273" spans="1:89" x14ac:dyDescent="0.2">
      <c r="A273" s="133" t="s">
        <v>6280</v>
      </c>
      <c r="B273" s="1362" t="s">
        <v>6830</v>
      </c>
      <c r="C273" s="2348" t="s">
        <v>6636</v>
      </c>
      <c r="D273" s="2348" t="s">
        <v>6636</v>
      </c>
      <c r="E273" s="84">
        <v>86600</v>
      </c>
      <c r="F273" s="84">
        <f>107000-40000</f>
        <v>67000</v>
      </c>
      <c r="U273" s="84">
        <f t="shared" si="678"/>
        <v>86600</v>
      </c>
      <c r="V273" s="99"/>
      <c r="W273" s="99"/>
      <c r="X273" s="99"/>
      <c r="Z273" s="99">
        <f t="shared" si="677"/>
        <v>67000</v>
      </c>
      <c r="AA273" s="99"/>
      <c r="AF273" s="99"/>
      <c r="AK273" s="99"/>
      <c r="AP273" s="99"/>
      <c r="AZ273" s="99"/>
      <c r="BE273" s="99"/>
      <c r="BJ273" s="99"/>
      <c r="BO273" s="99"/>
      <c r="BT273" s="99"/>
      <c r="BY273" s="546"/>
      <c r="BZ273" s="546"/>
      <c r="CA273" s="546"/>
      <c r="CB273" s="546"/>
      <c r="CC273" s="546"/>
      <c r="CD273" s="546"/>
      <c r="CE273" s="546"/>
      <c r="CF273" s="546"/>
      <c r="CG273" s="546"/>
      <c r="CH273" s="546"/>
      <c r="CI273" s="546"/>
      <c r="CJ273" s="546"/>
      <c r="CK273" s="546"/>
    </row>
    <row r="274" spans="1:89" x14ac:dyDescent="0.2">
      <c r="A274" s="133" t="s">
        <v>6585</v>
      </c>
      <c r="B274" s="1362" t="s">
        <v>6474</v>
      </c>
      <c r="C274" s="2348" t="s">
        <v>6689</v>
      </c>
      <c r="D274" s="2348" t="s">
        <v>6689</v>
      </c>
      <c r="F274" s="84">
        <v>34000</v>
      </c>
      <c r="U274" s="84">
        <f t="shared" si="678"/>
        <v>0</v>
      </c>
      <c r="V274" s="99"/>
      <c r="W274" s="99"/>
      <c r="X274" s="99"/>
      <c r="Y274" s="84">
        <v>34000</v>
      </c>
      <c r="Z274" s="99">
        <f t="shared" si="677"/>
        <v>0</v>
      </c>
      <c r="AA274" s="99"/>
      <c r="AF274" s="99"/>
      <c r="AK274" s="99"/>
      <c r="AP274" s="99"/>
      <c r="AZ274" s="99"/>
      <c r="BE274" s="99"/>
      <c r="BJ274" s="99"/>
      <c r="BO274" s="99"/>
      <c r="BT274" s="99"/>
      <c r="BY274" s="546"/>
      <c r="BZ274" s="546"/>
      <c r="CA274" s="546"/>
      <c r="CB274" s="546"/>
      <c r="CC274" s="546"/>
      <c r="CD274" s="546"/>
      <c r="CE274" s="546"/>
      <c r="CF274" s="546"/>
      <c r="CG274" s="546"/>
      <c r="CH274" s="546"/>
      <c r="CI274" s="546"/>
      <c r="CJ274" s="546"/>
      <c r="CK274" s="546"/>
    </row>
    <row r="275" spans="1:89" x14ac:dyDescent="0.2">
      <c r="A275" s="133" t="s">
        <v>6586</v>
      </c>
      <c r="B275" s="1362" t="s">
        <v>6474</v>
      </c>
      <c r="C275" s="2348" t="s">
        <v>6690</v>
      </c>
      <c r="D275" s="2348" t="s">
        <v>6690</v>
      </c>
      <c r="F275" s="84">
        <v>14000</v>
      </c>
      <c r="U275" s="84"/>
      <c r="V275" s="99"/>
      <c r="W275" s="99"/>
      <c r="X275" s="99"/>
      <c r="Y275" s="84">
        <v>14000</v>
      </c>
      <c r="Z275" s="99">
        <f t="shared" si="677"/>
        <v>0</v>
      </c>
      <c r="AA275" s="99"/>
      <c r="AF275" s="99"/>
      <c r="AK275" s="99"/>
      <c r="AP275" s="99"/>
      <c r="AZ275" s="99"/>
      <c r="BE275" s="99"/>
      <c r="BJ275" s="99"/>
      <c r="BO275" s="99"/>
      <c r="BT275" s="99"/>
      <c r="BY275" s="546"/>
      <c r="BZ275" s="546"/>
      <c r="CA275" s="546"/>
      <c r="CB275" s="546"/>
      <c r="CC275" s="546"/>
      <c r="CD275" s="546"/>
      <c r="CE275" s="546"/>
      <c r="CF275" s="546"/>
      <c r="CG275" s="546"/>
      <c r="CH275" s="546"/>
      <c r="CI275" s="546"/>
      <c r="CJ275" s="546"/>
      <c r="CK275" s="546"/>
    </row>
    <row r="276" spans="1:89" x14ac:dyDescent="0.2">
      <c r="A276" s="133" t="s">
        <v>6406</v>
      </c>
      <c r="B276" s="1362" t="s">
        <v>6316</v>
      </c>
      <c r="C276" s="2348" t="s">
        <v>6321</v>
      </c>
      <c r="D276" s="2348" t="s">
        <v>6321</v>
      </c>
      <c r="F276" s="84">
        <f>367000-47000-12000</f>
        <v>308000</v>
      </c>
      <c r="U276" s="84"/>
      <c r="V276" s="99"/>
      <c r="W276" s="99"/>
      <c r="X276" s="99"/>
      <c r="Z276" s="99">
        <f t="shared" si="677"/>
        <v>308000</v>
      </c>
      <c r="AA276" s="99"/>
      <c r="AF276" s="99"/>
      <c r="AK276" s="99"/>
      <c r="AP276" s="99"/>
      <c r="AZ276" s="99"/>
      <c r="BE276" s="99"/>
      <c r="BJ276" s="99"/>
      <c r="BO276" s="99"/>
      <c r="BT276" s="99"/>
      <c r="BY276" s="546"/>
      <c r="BZ276" s="546"/>
      <c r="CA276" s="546"/>
      <c r="CB276" s="546"/>
      <c r="CC276" s="546"/>
      <c r="CD276" s="546"/>
      <c r="CE276" s="546"/>
      <c r="CF276" s="546"/>
      <c r="CG276" s="546"/>
      <c r="CH276" s="546"/>
      <c r="CI276" s="546"/>
      <c r="CJ276" s="546"/>
      <c r="CK276" s="546"/>
    </row>
    <row r="277" spans="1:89" x14ac:dyDescent="0.2">
      <c r="A277" s="133" t="s">
        <v>6281</v>
      </c>
      <c r="B277" s="1362" t="s">
        <v>6317</v>
      </c>
      <c r="C277" s="2348" t="s">
        <v>6322</v>
      </c>
      <c r="D277" s="2348" t="s">
        <v>6322</v>
      </c>
      <c r="F277" s="84">
        <f>140000+172000</f>
        <v>312000</v>
      </c>
      <c r="U277" s="84"/>
      <c r="V277" s="99"/>
      <c r="W277" s="99"/>
      <c r="X277" s="99"/>
      <c r="Z277" s="99">
        <f t="shared" si="677"/>
        <v>312000</v>
      </c>
      <c r="AA277" s="99"/>
      <c r="AF277" s="99"/>
      <c r="AK277" s="99"/>
      <c r="AP277" s="99"/>
      <c r="AZ277" s="99"/>
      <c r="BE277" s="99"/>
      <c r="BJ277" s="99"/>
      <c r="BO277" s="99"/>
      <c r="BT277" s="99"/>
      <c r="BY277" s="546"/>
      <c r="BZ277" s="546"/>
      <c r="CA277" s="546"/>
      <c r="CB277" s="546"/>
      <c r="CC277" s="546"/>
      <c r="CD277" s="546"/>
      <c r="CE277" s="546"/>
      <c r="CF277" s="546"/>
      <c r="CG277" s="546"/>
      <c r="CH277" s="546"/>
      <c r="CI277" s="546"/>
      <c r="CJ277" s="546"/>
      <c r="CK277" s="546"/>
    </row>
    <row r="278" spans="1:89" x14ac:dyDescent="0.2">
      <c r="A278" s="133" t="s">
        <v>6282</v>
      </c>
      <c r="B278" s="1362" t="s">
        <v>6318</v>
      </c>
      <c r="C278" s="2348" t="s">
        <v>6323</v>
      </c>
      <c r="D278" s="2348" t="s">
        <v>6323</v>
      </c>
      <c r="F278" s="84">
        <f>172000-172000</f>
        <v>0</v>
      </c>
      <c r="U278" s="84"/>
      <c r="V278" s="99"/>
      <c r="W278" s="99"/>
      <c r="X278" s="99"/>
      <c r="Z278" s="99">
        <f t="shared" si="677"/>
        <v>0</v>
      </c>
      <c r="AA278" s="99"/>
      <c r="AF278" s="99"/>
      <c r="AK278" s="99"/>
      <c r="AP278" s="99"/>
      <c r="AZ278" s="99"/>
      <c r="BE278" s="99"/>
      <c r="BJ278" s="99"/>
      <c r="BO278" s="99"/>
      <c r="BT278" s="99"/>
      <c r="BY278" s="546"/>
      <c r="BZ278" s="546"/>
      <c r="CA278" s="546"/>
      <c r="CB278" s="546"/>
      <c r="CC278" s="546"/>
      <c r="CD278" s="546"/>
      <c r="CE278" s="546"/>
      <c r="CF278" s="546"/>
      <c r="CG278" s="546"/>
      <c r="CH278" s="546"/>
      <c r="CI278" s="546"/>
      <c r="CJ278" s="546"/>
      <c r="CK278" s="546"/>
    </row>
    <row r="279" spans="1:89" x14ac:dyDescent="0.2">
      <c r="A279" s="133" t="s">
        <v>6283</v>
      </c>
      <c r="B279" s="1362" t="s">
        <v>6319</v>
      </c>
      <c r="C279" s="2348" t="s">
        <v>6324</v>
      </c>
      <c r="D279" s="2348" t="s">
        <v>6324</v>
      </c>
      <c r="F279" s="84">
        <v>313000</v>
      </c>
      <c r="U279" s="84"/>
      <c r="V279" s="99"/>
      <c r="W279" s="99"/>
      <c r="X279" s="99"/>
      <c r="Z279" s="99">
        <f t="shared" si="677"/>
        <v>313000</v>
      </c>
      <c r="AA279" s="99"/>
      <c r="AF279" s="99"/>
      <c r="AK279" s="99"/>
      <c r="AP279" s="99"/>
      <c r="AZ279" s="99"/>
      <c r="BE279" s="99"/>
      <c r="BJ279" s="99"/>
      <c r="BO279" s="99"/>
      <c r="BT279" s="99"/>
      <c r="BY279" s="546"/>
      <c r="BZ279" s="546"/>
      <c r="CA279" s="546"/>
      <c r="CB279" s="546"/>
      <c r="CC279" s="546"/>
      <c r="CD279" s="546"/>
      <c r="CE279" s="546"/>
      <c r="CF279" s="546"/>
      <c r="CG279" s="546"/>
      <c r="CH279" s="546"/>
      <c r="CI279" s="546"/>
      <c r="CJ279" s="546"/>
      <c r="CK279" s="546"/>
    </row>
    <row r="280" spans="1:89" x14ac:dyDescent="0.2">
      <c r="A280" s="133" t="s">
        <v>4426</v>
      </c>
      <c r="B280" s="1362" t="s">
        <v>5174</v>
      </c>
      <c r="C280" s="111" t="s">
        <v>5045</v>
      </c>
      <c r="D280" s="111" t="s">
        <v>5045</v>
      </c>
      <c r="E280" s="84">
        <f>E120</f>
        <v>318600</v>
      </c>
      <c r="F280" s="84">
        <v>312000</v>
      </c>
      <c r="U280" s="84">
        <f t="shared" ref="U280:U287" si="679">E280-SUM(Q280:T280)</f>
        <v>318600</v>
      </c>
      <c r="V280" s="99"/>
      <c r="W280" s="99"/>
      <c r="X280" s="99"/>
      <c r="Z280" s="99">
        <f t="shared" si="677"/>
        <v>312000</v>
      </c>
      <c r="AA280" s="99"/>
      <c r="AF280" s="99"/>
      <c r="AK280" s="99"/>
      <c r="AP280" s="99"/>
      <c r="AZ280" s="99"/>
      <c r="BE280" s="99"/>
      <c r="BJ280" s="99"/>
      <c r="BO280" s="99"/>
      <c r="BT280" s="99"/>
      <c r="BY280" s="546"/>
      <c r="BZ280" s="546"/>
      <c r="CA280" s="546"/>
      <c r="CB280" s="546"/>
      <c r="CC280" s="546"/>
      <c r="CD280" s="546"/>
      <c r="CE280" s="546"/>
      <c r="CF280" s="546"/>
      <c r="CG280" s="546"/>
      <c r="CH280" s="546"/>
      <c r="CI280" s="546"/>
      <c r="CJ280" s="546"/>
      <c r="CK280" s="546"/>
    </row>
    <row r="281" spans="1:89" x14ac:dyDescent="0.2">
      <c r="A281" s="133" t="str">
        <f>A134</f>
        <v>S 94 - Heavy Vehicles</v>
      </c>
      <c r="B281" s="1362"/>
      <c r="C281" s="111"/>
      <c r="D281" s="111"/>
      <c r="U281" s="84">
        <f t="shared" si="679"/>
        <v>0</v>
      </c>
      <c r="V281" s="99"/>
      <c r="W281" s="99"/>
      <c r="X281" s="99"/>
      <c r="Z281" s="99">
        <f t="shared" si="677"/>
        <v>0</v>
      </c>
      <c r="AA281" s="99"/>
      <c r="AF281" s="99"/>
      <c r="AK281" s="99"/>
      <c r="AP281" s="99"/>
      <c r="AZ281" s="99"/>
      <c r="BE281" s="99"/>
      <c r="BJ281" s="99"/>
      <c r="BO281" s="99"/>
      <c r="BT281" s="99"/>
      <c r="BY281" s="546"/>
      <c r="BZ281" s="546"/>
      <c r="CA281" s="546"/>
      <c r="CB281" s="546"/>
      <c r="CC281" s="546"/>
      <c r="CD281" s="546"/>
      <c r="CE281" s="546"/>
      <c r="CF281" s="546"/>
      <c r="CG281" s="546"/>
      <c r="CH281" s="546"/>
      <c r="CI281" s="546"/>
      <c r="CJ281" s="546"/>
      <c r="CK281" s="546"/>
    </row>
    <row r="282" spans="1:89" x14ac:dyDescent="0.2">
      <c r="A282" s="133" t="str">
        <f>A127</f>
        <v>S 94 - River / Moon Sts Roundabout</v>
      </c>
      <c r="B282" s="1362" t="s">
        <v>4036</v>
      </c>
      <c r="C282" s="2348" t="s">
        <v>5076</v>
      </c>
      <c r="D282" s="1362" t="s">
        <v>4036</v>
      </c>
      <c r="E282" s="84">
        <v>473800</v>
      </c>
      <c r="F282" s="84">
        <v>12000</v>
      </c>
      <c r="R282" s="84">
        <v>106200</v>
      </c>
      <c r="T282" s="84">
        <f>119300+220000+30000</f>
        <v>369300</v>
      </c>
      <c r="U282" s="84">
        <f t="shared" si="679"/>
        <v>-1700</v>
      </c>
      <c r="V282" s="99"/>
      <c r="W282" s="99"/>
      <c r="X282" s="99"/>
      <c r="Z282" s="99">
        <f t="shared" si="677"/>
        <v>12000</v>
      </c>
      <c r="AA282" s="99"/>
      <c r="AF282" s="99"/>
      <c r="AK282" s="99"/>
      <c r="AP282" s="99"/>
      <c r="AZ282" s="99"/>
      <c r="BE282" s="99"/>
      <c r="BJ282" s="99"/>
      <c r="BO282" s="99"/>
      <c r="BT282" s="99"/>
      <c r="BY282" s="546"/>
      <c r="BZ282" s="546"/>
      <c r="CA282" s="546"/>
      <c r="CB282" s="546"/>
      <c r="CC282" s="546"/>
      <c r="CD282" s="546"/>
      <c r="CE282" s="546"/>
      <c r="CF282" s="546"/>
      <c r="CG282" s="546"/>
      <c r="CH282" s="546"/>
      <c r="CI282" s="546"/>
      <c r="CJ282" s="546"/>
      <c r="CK282" s="546"/>
    </row>
    <row r="283" spans="1:89" x14ac:dyDescent="0.2">
      <c r="A283" s="133" t="str">
        <f>A128</f>
        <v>S 94 - Hutley Drive</v>
      </c>
      <c r="B283" s="1362" t="s">
        <v>5184</v>
      </c>
      <c r="C283" s="111" t="s">
        <v>5185</v>
      </c>
      <c r="D283" s="111" t="s">
        <v>5185</v>
      </c>
      <c r="E283" s="84">
        <v>0</v>
      </c>
      <c r="F283" s="84">
        <f>70000</f>
        <v>70000</v>
      </c>
      <c r="R283" s="84">
        <f>R128</f>
        <v>0</v>
      </c>
      <c r="T283" s="84">
        <v>0</v>
      </c>
      <c r="U283" s="84">
        <f t="shared" si="679"/>
        <v>0</v>
      </c>
      <c r="V283" s="99"/>
      <c r="W283" s="99">
        <f>F283*0.7</f>
        <v>49000</v>
      </c>
      <c r="X283" s="99"/>
      <c r="Y283" s="84">
        <f>Y128</f>
        <v>21000</v>
      </c>
      <c r="Z283" s="99">
        <f t="shared" si="677"/>
        <v>0</v>
      </c>
      <c r="AA283" s="99"/>
      <c r="AF283" s="99"/>
      <c r="AK283" s="99"/>
      <c r="AP283" s="99"/>
      <c r="AZ283" s="99"/>
      <c r="BE283" s="99"/>
      <c r="BJ283" s="99"/>
      <c r="BO283" s="99"/>
      <c r="BT283" s="99"/>
      <c r="BY283" s="546"/>
      <c r="BZ283" s="546"/>
      <c r="CA283" s="546"/>
      <c r="CB283" s="546"/>
      <c r="CC283" s="546"/>
      <c r="CD283" s="546"/>
      <c r="CE283" s="546"/>
      <c r="CF283" s="546"/>
      <c r="CG283" s="546"/>
      <c r="CH283" s="546"/>
      <c r="CI283" s="546"/>
      <c r="CJ283" s="546"/>
      <c r="CK283" s="546"/>
    </row>
    <row r="284" spans="1:89" x14ac:dyDescent="0.2">
      <c r="A284" s="133" t="s">
        <v>7097</v>
      </c>
      <c r="B284" s="1362" t="s">
        <v>7098</v>
      </c>
      <c r="C284" s="111" t="s">
        <v>7099</v>
      </c>
      <c r="D284" s="111" t="s">
        <v>7099</v>
      </c>
      <c r="F284" s="84">
        <v>239900</v>
      </c>
      <c r="U284" s="84"/>
      <c r="V284" s="99"/>
      <c r="W284" s="99">
        <f>F284</f>
        <v>239900</v>
      </c>
      <c r="X284" s="99"/>
      <c r="Z284" s="99">
        <f t="shared" si="677"/>
        <v>0</v>
      </c>
      <c r="AA284" s="99"/>
      <c r="AF284" s="99"/>
      <c r="AK284" s="99"/>
      <c r="AP284" s="99"/>
      <c r="AZ284" s="99"/>
      <c r="BE284" s="99"/>
      <c r="BJ284" s="99"/>
      <c r="BO284" s="99"/>
      <c r="BT284" s="99"/>
      <c r="BY284" s="546"/>
      <c r="BZ284" s="546"/>
      <c r="CA284" s="546"/>
      <c r="CB284" s="546"/>
      <c r="CC284" s="546"/>
      <c r="CD284" s="546"/>
      <c r="CE284" s="546"/>
      <c r="CF284" s="546"/>
      <c r="CG284" s="546"/>
      <c r="CH284" s="546"/>
      <c r="CI284" s="546"/>
      <c r="CJ284" s="546"/>
      <c r="CK284" s="546"/>
    </row>
    <row r="285" spans="1:89" x14ac:dyDescent="0.2">
      <c r="A285" s="1389" t="s">
        <v>3692</v>
      </c>
      <c r="B285" s="1362" t="s">
        <v>3997</v>
      </c>
      <c r="C285" s="111" t="s">
        <v>4122</v>
      </c>
      <c r="D285" s="111"/>
      <c r="E285" s="84">
        <v>6900</v>
      </c>
      <c r="U285" s="84">
        <f t="shared" si="679"/>
        <v>6900</v>
      </c>
      <c r="W285" s="99"/>
      <c r="Z285" s="99">
        <f t="shared" si="677"/>
        <v>0</v>
      </c>
    </row>
    <row r="286" spans="1:89" x14ac:dyDescent="0.2">
      <c r="A286" s="993" t="s">
        <v>4856</v>
      </c>
      <c r="B286" s="1362" t="s">
        <v>4016</v>
      </c>
      <c r="C286" s="111" t="s">
        <v>4864</v>
      </c>
      <c r="D286" s="111"/>
      <c r="E286" s="84">
        <v>186100</v>
      </c>
      <c r="T286" s="84">
        <v>14800</v>
      </c>
      <c r="U286" s="84">
        <f t="shared" si="679"/>
        <v>171300</v>
      </c>
      <c r="W286" s="99"/>
      <c r="Z286" s="99">
        <f t="shared" si="677"/>
        <v>0</v>
      </c>
      <c r="AE286" s="84"/>
      <c r="AJ286" s="84"/>
      <c r="AO286" s="84"/>
      <c r="AT286" s="84"/>
      <c r="AU286" s="84"/>
      <c r="AY286" s="84"/>
      <c r="BD286" s="84"/>
      <c r="BI286" s="84"/>
      <c r="BN286" s="84"/>
      <c r="BS286" s="84"/>
      <c r="BX286" s="84"/>
    </row>
    <row r="287" spans="1:89" x14ac:dyDescent="0.2">
      <c r="A287" s="993" t="s">
        <v>5188</v>
      </c>
      <c r="B287" s="1362" t="s">
        <v>5186</v>
      </c>
      <c r="C287" s="111" t="s">
        <v>5187</v>
      </c>
      <c r="D287" s="111" t="s">
        <v>5187</v>
      </c>
      <c r="F287" s="84">
        <v>20500</v>
      </c>
      <c r="Q287" s="84">
        <f>E287</f>
        <v>0</v>
      </c>
      <c r="U287" s="84">
        <f t="shared" si="679"/>
        <v>0</v>
      </c>
      <c r="W287" s="99"/>
      <c r="Y287" s="84">
        <v>20500</v>
      </c>
      <c r="Z287" s="99">
        <f t="shared" si="677"/>
        <v>0</v>
      </c>
      <c r="AE287" s="84"/>
      <c r="AJ287" s="84"/>
      <c r="AO287" s="84"/>
      <c r="AT287" s="84"/>
      <c r="AU287" s="84"/>
      <c r="AY287" s="84"/>
      <c r="BD287" s="84"/>
      <c r="BI287" s="84"/>
      <c r="BN287" s="84"/>
      <c r="BS287" s="84"/>
      <c r="BX287" s="84"/>
    </row>
    <row r="288" spans="1:89" x14ac:dyDescent="0.2">
      <c r="A288" s="993" t="s">
        <v>6325</v>
      </c>
      <c r="B288" s="1362" t="s">
        <v>6326</v>
      </c>
      <c r="C288" s="111" t="s">
        <v>6327</v>
      </c>
      <c r="D288" s="111" t="s">
        <v>6327</v>
      </c>
      <c r="F288" s="84">
        <v>286000</v>
      </c>
      <c r="U288" s="84"/>
      <c r="W288" s="99"/>
      <c r="Z288" s="99">
        <f t="shared" si="677"/>
        <v>286000</v>
      </c>
      <c r="AE288" s="84"/>
      <c r="AJ288" s="84"/>
      <c r="AO288" s="84"/>
      <c r="AT288" s="84"/>
      <c r="AU288" s="84"/>
      <c r="AY288" s="84"/>
      <c r="BD288" s="84"/>
      <c r="BI288" s="84"/>
      <c r="BN288" s="84"/>
      <c r="BS288" s="84"/>
      <c r="BX288" s="84"/>
    </row>
    <row r="289" spans="1:89" x14ac:dyDescent="0.2">
      <c r="A289" s="993" t="s">
        <v>5189</v>
      </c>
      <c r="B289" s="1362" t="s">
        <v>5190</v>
      </c>
      <c r="C289" s="111" t="s">
        <v>5191</v>
      </c>
      <c r="D289" s="111"/>
      <c r="E289" s="84">
        <v>436000</v>
      </c>
      <c r="U289" s="84">
        <f t="shared" ref="U289:U298" si="680">E289-SUM(Q289:T289)</f>
        <v>436000</v>
      </c>
      <c r="W289" s="99"/>
      <c r="Z289" s="99">
        <f t="shared" si="677"/>
        <v>0</v>
      </c>
      <c r="AE289" s="84"/>
      <c r="AJ289" s="84"/>
      <c r="AO289" s="84"/>
      <c r="AT289" s="84"/>
      <c r="AU289" s="84"/>
      <c r="AY289" s="84"/>
      <c r="BD289" s="84"/>
      <c r="BI289" s="84"/>
      <c r="BN289" s="84"/>
      <c r="BS289" s="84"/>
      <c r="BX289" s="84"/>
    </row>
    <row r="290" spans="1:89" x14ac:dyDescent="0.2">
      <c r="A290" s="993" t="s">
        <v>5192</v>
      </c>
      <c r="B290" s="1362" t="s">
        <v>5193</v>
      </c>
      <c r="C290" s="111" t="s">
        <v>5310</v>
      </c>
      <c r="D290" s="111"/>
      <c r="E290" s="84">
        <v>169000</v>
      </c>
      <c r="U290" s="84">
        <f t="shared" si="680"/>
        <v>169000</v>
      </c>
      <c r="W290" s="99"/>
      <c r="Z290" s="99">
        <f t="shared" si="677"/>
        <v>0</v>
      </c>
      <c r="AE290" s="84"/>
      <c r="AJ290" s="84"/>
      <c r="AO290" s="84"/>
      <c r="AT290" s="84"/>
      <c r="AU290" s="84"/>
      <c r="AY290" s="84"/>
      <c r="BD290" s="84"/>
      <c r="BI290" s="84"/>
      <c r="BN290" s="84"/>
      <c r="BS290" s="84"/>
      <c r="BX290" s="84"/>
    </row>
    <row r="291" spans="1:89" x14ac:dyDescent="0.2">
      <c r="A291" s="993" t="s">
        <v>5195</v>
      </c>
      <c r="B291" s="1362" t="s">
        <v>5196</v>
      </c>
      <c r="C291" s="111" t="s">
        <v>5197</v>
      </c>
      <c r="D291" s="111"/>
      <c r="E291" s="84">
        <v>243600</v>
      </c>
      <c r="U291" s="84">
        <f t="shared" si="680"/>
        <v>243600</v>
      </c>
      <c r="W291" s="99"/>
      <c r="Z291" s="99">
        <f t="shared" si="677"/>
        <v>0</v>
      </c>
      <c r="AE291" s="84"/>
      <c r="AJ291" s="84"/>
      <c r="AO291" s="84"/>
      <c r="AT291" s="84"/>
      <c r="AU291" s="84"/>
      <c r="AY291" s="84"/>
      <c r="BD291" s="84"/>
      <c r="BI291" s="84"/>
      <c r="BN291" s="84"/>
      <c r="BS291" s="84"/>
      <c r="BX291" s="84"/>
    </row>
    <row r="292" spans="1:89" x14ac:dyDescent="0.2">
      <c r="A292" s="993" t="s">
        <v>6864</v>
      </c>
      <c r="B292" s="1362"/>
      <c r="C292" s="111"/>
      <c r="D292" s="111"/>
      <c r="F292" s="84">
        <v>80000</v>
      </c>
      <c r="U292" s="84"/>
      <c r="W292" s="99"/>
      <c r="Y292" s="84">
        <v>80000</v>
      </c>
      <c r="Z292" s="99">
        <f t="shared" si="677"/>
        <v>0</v>
      </c>
      <c r="AE292" s="84"/>
      <c r="AJ292" s="84"/>
      <c r="AO292" s="84"/>
      <c r="AT292" s="84"/>
      <c r="AU292" s="84"/>
      <c r="AY292" s="84"/>
      <c r="BD292" s="84"/>
      <c r="BI292" s="84"/>
      <c r="BN292" s="84"/>
      <c r="BS292" s="84"/>
      <c r="BX292" s="84"/>
    </row>
    <row r="293" spans="1:89" x14ac:dyDescent="0.2">
      <c r="A293" s="993" t="s">
        <v>425</v>
      </c>
      <c r="B293" s="1362" t="s">
        <v>5175</v>
      </c>
      <c r="C293" s="111" t="s">
        <v>5044</v>
      </c>
      <c r="D293" s="111" t="s">
        <v>5044</v>
      </c>
      <c r="E293" s="84">
        <f>E122</f>
        <v>277000</v>
      </c>
      <c r="F293" s="84">
        <v>329000</v>
      </c>
      <c r="U293" s="84">
        <f t="shared" si="680"/>
        <v>277000</v>
      </c>
      <c r="W293" s="99"/>
      <c r="Z293" s="99">
        <f t="shared" si="677"/>
        <v>329000</v>
      </c>
      <c r="AE293" s="84"/>
      <c r="AJ293" s="84"/>
      <c r="AO293" s="84"/>
      <c r="AT293" s="84"/>
      <c r="AU293" s="84"/>
      <c r="AY293" s="84"/>
      <c r="BD293" s="84"/>
      <c r="BI293" s="84"/>
      <c r="BN293" s="84"/>
      <c r="BS293" s="84"/>
      <c r="BX293" s="84"/>
    </row>
    <row r="294" spans="1:89" x14ac:dyDescent="0.2">
      <c r="A294" s="993" t="s">
        <v>5148</v>
      </c>
      <c r="B294" s="1362" t="s">
        <v>5198</v>
      </c>
      <c r="C294" s="111" t="s">
        <v>5199</v>
      </c>
      <c r="D294" s="111"/>
      <c r="E294" s="84">
        <v>78600</v>
      </c>
      <c r="F294" s="84">
        <v>21500</v>
      </c>
      <c r="T294" s="84">
        <f>50000+50000</f>
        <v>100000</v>
      </c>
      <c r="U294" s="84">
        <f t="shared" si="680"/>
        <v>-21400</v>
      </c>
      <c r="W294" s="99"/>
      <c r="Y294" s="84">
        <v>21500</v>
      </c>
      <c r="Z294" s="99">
        <f t="shared" si="677"/>
        <v>0</v>
      </c>
      <c r="AE294" s="84"/>
      <c r="AJ294" s="84"/>
      <c r="AO294" s="84"/>
      <c r="AT294" s="84"/>
      <c r="AU294" s="84"/>
      <c r="AY294" s="84"/>
      <c r="BD294" s="84"/>
      <c r="BI294" s="84"/>
      <c r="BN294" s="84"/>
      <c r="BS294" s="84"/>
      <c r="BX294" s="84"/>
    </row>
    <row r="295" spans="1:89" x14ac:dyDescent="0.2">
      <c r="A295" s="993" t="s">
        <v>5611</v>
      </c>
      <c r="B295" s="1362" t="s">
        <v>5615</v>
      </c>
      <c r="C295" s="111" t="s">
        <v>5610</v>
      </c>
      <c r="D295" s="111"/>
      <c r="E295" s="84">
        <v>344500</v>
      </c>
      <c r="T295" s="84">
        <v>286000</v>
      </c>
      <c r="U295" s="84">
        <f t="shared" si="680"/>
        <v>58500</v>
      </c>
      <c r="W295" s="99"/>
      <c r="Z295" s="99">
        <f t="shared" si="677"/>
        <v>0</v>
      </c>
      <c r="AE295" s="84"/>
      <c r="AJ295" s="84"/>
      <c r="AO295" s="84"/>
      <c r="AT295" s="84"/>
      <c r="AU295" s="84"/>
      <c r="AY295" s="84"/>
      <c r="BD295" s="84"/>
      <c r="BI295" s="84"/>
      <c r="BN295" s="84"/>
      <c r="BS295" s="84"/>
      <c r="BX295" s="84"/>
    </row>
    <row r="296" spans="1:89" x14ac:dyDescent="0.2">
      <c r="A296" s="993" t="s">
        <v>6328</v>
      </c>
      <c r="B296" s="1362" t="s">
        <v>6330</v>
      </c>
      <c r="C296" s="111" t="s">
        <v>6332</v>
      </c>
      <c r="D296" s="111" t="s">
        <v>6332</v>
      </c>
      <c r="F296" s="84">
        <f>176000+35000+27000</f>
        <v>238000</v>
      </c>
      <c r="U296" s="84">
        <f t="shared" si="680"/>
        <v>0</v>
      </c>
      <c r="W296" s="99"/>
      <c r="Z296" s="99">
        <f t="shared" si="677"/>
        <v>238000</v>
      </c>
      <c r="AE296" s="84"/>
      <c r="AJ296" s="84"/>
      <c r="AO296" s="84"/>
      <c r="AT296" s="84"/>
      <c r="AU296" s="84"/>
      <c r="AY296" s="84"/>
      <c r="BD296" s="84"/>
      <c r="BI296" s="84"/>
      <c r="BN296" s="84"/>
      <c r="BS296" s="84"/>
      <c r="BX296" s="84"/>
    </row>
    <row r="297" spans="1:89" x14ac:dyDescent="0.2">
      <c r="A297" s="993" t="s">
        <v>6329</v>
      </c>
      <c r="B297" s="1362" t="s">
        <v>6331</v>
      </c>
      <c r="C297" s="111" t="s">
        <v>6333</v>
      </c>
      <c r="D297" s="111" t="s">
        <v>6333</v>
      </c>
      <c r="F297" s="84">
        <v>114000</v>
      </c>
      <c r="U297" s="84">
        <f t="shared" si="680"/>
        <v>0</v>
      </c>
      <c r="W297" s="99"/>
      <c r="Z297" s="99">
        <f t="shared" si="677"/>
        <v>114000</v>
      </c>
      <c r="AE297" s="84"/>
      <c r="AJ297" s="84"/>
      <c r="AO297" s="84"/>
      <c r="AT297" s="84"/>
      <c r="AU297" s="84"/>
      <c r="AY297" s="84"/>
      <c r="BD297" s="84"/>
      <c r="BI297" s="84"/>
      <c r="BN297" s="84"/>
      <c r="BS297" s="84"/>
      <c r="BX297" s="84"/>
    </row>
    <row r="298" spans="1:89" x14ac:dyDescent="0.2">
      <c r="A298" s="993" t="s">
        <v>5612</v>
      </c>
      <c r="B298" s="1362" t="s">
        <v>5614</v>
      </c>
      <c r="C298" s="111" t="s">
        <v>5613</v>
      </c>
      <c r="D298" s="111"/>
      <c r="E298" s="84">
        <v>14100</v>
      </c>
      <c r="F298" s="84">
        <f>850900-35000</f>
        <v>815900</v>
      </c>
      <c r="T298" s="84">
        <v>865000</v>
      </c>
      <c r="U298" s="84">
        <f t="shared" si="680"/>
        <v>-850900</v>
      </c>
      <c r="W298" s="99"/>
      <c r="Y298" s="84">
        <f>850900-35000</f>
        <v>815900</v>
      </c>
      <c r="Z298" s="99">
        <f t="shared" si="677"/>
        <v>0</v>
      </c>
      <c r="AE298" s="84"/>
      <c r="AJ298" s="84"/>
      <c r="AO298" s="84"/>
      <c r="AT298" s="84"/>
      <c r="AU298" s="84"/>
      <c r="AY298" s="84"/>
      <c r="BD298" s="84"/>
      <c r="BI298" s="84"/>
      <c r="BN298" s="84"/>
      <c r="BS298" s="84"/>
      <c r="BX298" s="84"/>
    </row>
    <row r="299" spans="1:89" x14ac:dyDescent="0.2">
      <c r="A299" s="993" t="s">
        <v>6517</v>
      </c>
      <c r="B299" s="1362" t="s">
        <v>6520</v>
      </c>
      <c r="C299" s="111" t="s">
        <v>6521</v>
      </c>
      <c r="D299" s="111" t="s">
        <v>6521</v>
      </c>
      <c r="F299" s="84">
        <f>'Cap Inc'!E40</f>
        <v>1997100</v>
      </c>
      <c r="U299" s="84"/>
      <c r="V299" s="84">
        <f>'Cap Inc'!E40</f>
        <v>1997100</v>
      </c>
      <c r="W299" s="99"/>
      <c r="Z299" s="99">
        <f t="shared" si="677"/>
        <v>0</v>
      </c>
      <c r="AE299" s="84"/>
      <c r="AJ299" s="84"/>
      <c r="AO299" s="84"/>
      <c r="AT299" s="84"/>
      <c r="AU299" s="84"/>
      <c r="AY299" s="84"/>
      <c r="BD299" s="84"/>
      <c r="BI299" s="84"/>
      <c r="BN299" s="84"/>
      <c r="BS299" s="84"/>
      <c r="BX299" s="84"/>
    </row>
    <row r="300" spans="1:89" x14ac:dyDescent="0.2">
      <c r="B300" s="2369"/>
      <c r="C300" s="2344"/>
      <c r="D300" s="2344"/>
      <c r="V300" s="99"/>
      <c r="W300" s="99"/>
      <c r="X300" s="99"/>
      <c r="Z300" s="99">
        <f t="shared" si="677"/>
        <v>0</v>
      </c>
      <c r="AA300" s="99"/>
      <c r="AF300" s="99"/>
      <c r="AK300" s="99"/>
      <c r="AP300" s="99"/>
      <c r="AZ300" s="99"/>
      <c r="BE300" s="99"/>
      <c r="BJ300" s="99"/>
      <c r="BO300" s="99"/>
      <c r="BT300" s="99"/>
      <c r="BY300" s="546"/>
      <c r="BZ300" s="546"/>
      <c r="CA300" s="546"/>
      <c r="CB300" s="546"/>
      <c r="CC300" s="546"/>
      <c r="CD300" s="546"/>
      <c r="CE300" s="546"/>
      <c r="CF300" s="546"/>
      <c r="CG300" s="546"/>
      <c r="CH300" s="546"/>
      <c r="CI300" s="546"/>
      <c r="CJ300" s="546"/>
      <c r="CK300" s="546"/>
    </row>
    <row r="301" spans="1:89" s="118" customFormat="1" x14ac:dyDescent="0.2">
      <c r="A301" s="1391" t="s">
        <v>764</v>
      </c>
      <c r="B301" s="1367"/>
      <c r="C301" s="109"/>
      <c r="D301" s="109"/>
      <c r="E301" s="2419">
        <f>SUM(E266:E300)</f>
        <v>3681100</v>
      </c>
      <c r="F301" s="2419">
        <f>SUM(F266:F300)</f>
        <v>6912500</v>
      </c>
      <c r="Q301" s="2419">
        <f t="shared" ref="Q301:Z301" si="681">SUM(Q266:Q300)</f>
        <v>800000</v>
      </c>
      <c r="R301" s="2419">
        <f t="shared" si="681"/>
        <v>106200</v>
      </c>
      <c r="S301" s="2419">
        <f t="shared" si="681"/>
        <v>0</v>
      </c>
      <c r="T301" s="2419">
        <f t="shared" si="681"/>
        <v>1679800</v>
      </c>
      <c r="U301" s="2419">
        <f t="shared" si="681"/>
        <v>1095100</v>
      </c>
      <c r="V301" s="2419">
        <f t="shared" si="681"/>
        <v>3171600</v>
      </c>
      <c r="W301" s="2419">
        <f t="shared" si="681"/>
        <v>288900</v>
      </c>
      <c r="X301" s="2419">
        <f t="shared" si="681"/>
        <v>0</v>
      </c>
      <c r="Y301" s="2419">
        <f t="shared" si="681"/>
        <v>1086900</v>
      </c>
      <c r="Z301" s="2419">
        <f t="shared" si="681"/>
        <v>2365100</v>
      </c>
      <c r="AA301" s="145"/>
      <c r="AE301" s="145"/>
      <c r="AF301" s="145"/>
      <c r="AJ301" s="145"/>
      <c r="AK301" s="145"/>
      <c r="AO301" s="145"/>
      <c r="AP301" s="145"/>
      <c r="AT301" s="145"/>
      <c r="AU301" s="145"/>
      <c r="AY301" s="145"/>
      <c r="AZ301" s="145"/>
      <c r="BD301" s="145"/>
      <c r="BE301" s="145"/>
      <c r="BI301" s="145"/>
      <c r="BJ301" s="145"/>
      <c r="BN301" s="145"/>
      <c r="BO301" s="145"/>
      <c r="BS301" s="145"/>
      <c r="BT301" s="145"/>
      <c r="BX301" s="145"/>
      <c r="BY301" s="1390"/>
      <c r="BZ301" s="1390"/>
      <c r="CA301" s="1390"/>
      <c r="CB301" s="1390"/>
      <c r="CC301" s="1390"/>
      <c r="CD301" s="1390"/>
      <c r="CE301" s="1390"/>
      <c r="CF301" s="1390"/>
      <c r="CG301" s="1390"/>
      <c r="CH301" s="1390"/>
      <c r="CI301" s="1390"/>
      <c r="CJ301" s="1390"/>
      <c r="CK301" s="1390"/>
    </row>
    <row r="302" spans="1:89" x14ac:dyDescent="0.2">
      <c r="A302" s="146"/>
      <c r="B302" s="198"/>
      <c r="C302" s="108"/>
      <c r="D302" s="108"/>
      <c r="Q302" s="99"/>
      <c r="R302" s="99"/>
      <c r="S302" s="99"/>
      <c r="T302" s="99"/>
      <c r="V302" s="99"/>
      <c r="W302" s="99"/>
      <c r="X302" s="99"/>
      <c r="AA302" s="99"/>
      <c r="AF302" s="99"/>
      <c r="AK302" s="99"/>
      <c r="AP302" s="99"/>
      <c r="AZ302" s="99"/>
      <c r="BE302" s="99"/>
      <c r="BJ302" s="99"/>
      <c r="BO302" s="99"/>
      <c r="BT302" s="99"/>
      <c r="BY302" s="546"/>
      <c r="BZ302" s="546"/>
      <c r="CA302" s="546"/>
      <c r="CB302" s="546"/>
      <c r="CC302" s="546"/>
      <c r="CD302" s="546"/>
      <c r="CE302" s="546"/>
      <c r="CF302" s="546"/>
      <c r="CG302" s="546"/>
      <c r="CH302" s="546"/>
      <c r="CI302" s="546"/>
      <c r="CJ302" s="546"/>
      <c r="CK302" s="546"/>
    </row>
    <row r="303" spans="1:89" x14ac:dyDescent="0.2">
      <c r="A303" s="571" t="s">
        <v>4559</v>
      </c>
      <c r="B303" s="198"/>
      <c r="C303" s="108"/>
      <c r="D303" s="108"/>
      <c r="V303" s="99"/>
      <c r="W303" s="99"/>
      <c r="X303" s="99"/>
      <c r="AA303" s="99"/>
      <c r="AF303" s="99"/>
      <c r="AK303" s="99"/>
      <c r="AP303" s="99"/>
      <c r="AZ303" s="99"/>
      <c r="BE303" s="99"/>
      <c r="BJ303" s="99"/>
      <c r="BO303" s="99"/>
      <c r="BT303" s="99"/>
      <c r="BY303" s="546"/>
      <c r="BZ303" s="546"/>
      <c r="CA303" s="546"/>
      <c r="CB303" s="546"/>
      <c r="CC303" s="546"/>
      <c r="CD303" s="546"/>
      <c r="CE303" s="546"/>
      <c r="CF303" s="546"/>
      <c r="CG303" s="546"/>
      <c r="CH303" s="546"/>
      <c r="CI303" s="546"/>
      <c r="CJ303" s="546"/>
      <c r="CK303" s="546"/>
    </row>
    <row r="304" spans="1:89" x14ac:dyDescent="0.2">
      <c r="A304" s="133" t="s">
        <v>6284</v>
      </c>
      <c r="B304" s="1362" t="s">
        <v>6334</v>
      </c>
      <c r="C304" s="2348" t="s">
        <v>6336</v>
      </c>
      <c r="D304" s="2348" t="s">
        <v>6336</v>
      </c>
      <c r="F304" s="133">
        <f>340000-115000+2000</f>
        <v>227000</v>
      </c>
      <c r="U304" s="84"/>
      <c r="V304" s="99"/>
      <c r="W304" s="99"/>
      <c r="X304" s="99"/>
      <c r="Z304" s="99">
        <f t="shared" ref="Z304:Z340" si="682">F304-V304-W304-X304-Y304</f>
        <v>227000</v>
      </c>
      <c r="AA304" s="99"/>
      <c r="AF304" s="99"/>
      <c r="AK304" s="99"/>
      <c r="AP304" s="99"/>
      <c r="AZ304" s="99"/>
      <c r="BE304" s="99"/>
      <c r="BJ304" s="99"/>
      <c r="BO304" s="99"/>
      <c r="BT304" s="99"/>
      <c r="BY304" s="546"/>
      <c r="BZ304" s="546"/>
      <c r="CA304" s="546"/>
      <c r="CB304" s="546"/>
      <c r="CC304" s="546"/>
      <c r="CD304" s="546"/>
      <c r="CE304" s="546"/>
      <c r="CF304" s="546"/>
      <c r="CG304" s="546"/>
      <c r="CH304" s="546"/>
      <c r="CI304" s="546"/>
      <c r="CJ304" s="546"/>
      <c r="CK304" s="546"/>
    </row>
    <row r="305" spans="1:89" x14ac:dyDescent="0.2">
      <c r="A305" s="133" t="s">
        <v>6285</v>
      </c>
      <c r="B305" s="1362" t="s">
        <v>6335</v>
      </c>
      <c r="C305" s="2348" t="s">
        <v>6337</v>
      </c>
      <c r="D305" s="2348" t="s">
        <v>6337</v>
      </c>
      <c r="F305" s="84">
        <f>289000+115000</f>
        <v>404000</v>
      </c>
      <c r="U305" s="84"/>
      <c r="V305" s="99"/>
      <c r="W305" s="99"/>
      <c r="X305" s="99"/>
      <c r="Z305" s="99">
        <f t="shared" si="682"/>
        <v>404000</v>
      </c>
      <c r="AA305" s="99"/>
      <c r="AF305" s="99"/>
      <c r="AK305" s="99"/>
      <c r="AP305" s="99"/>
      <c r="AZ305" s="99"/>
      <c r="BE305" s="99"/>
      <c r="BJ305" s="99"/>
      <c r="BO305" s="99"/>
      <c r="BT305" s="99"/>
      <c r="BY305" s="546"/>
      <c r="BZ305" s="546"/>
      <c r="CA305" s="546"/>
      <c r="CB305" s="546"/>
      <c r="CC305" s="546"/>
      <c r="CD305" s="546"/>
      <c r="CE305" s="546"/>
      <c r="CF305" s="546"/>
      <c r="CG305" s="546"/>
      <c r="CH305" s="546"/>
      <c r="CI305" s="546"/>
      <c r="CJ305" s="546"/>
      <c r="CK305" s="546"/>
    </row>
    <row r="306" spans="1:89" x14ac:dyDescent="0.2">
      <c r="A306" s="133" t="s">
        <v>3419</v>
      </c>
      <c r="B306" s="1362" t="s">
        <v>4230</v>
      </c>
      <c r="C306" s="2348" t="s">
        <v>5076</v>
      </c>
      <c r="D306" s="111"/>
      <c r="E306" s="84">
        <v>24300</v>
      </c>
      <c r="T306" s="84">
        <v>24300</v>
      </c>
      <c r="U306" s="84">
        <f t="shared" ref="U306:U310" si="683">E306-SUM(Q306:T306)</f>
        <v>0</v>
      </c>
      <c r="V306" s="99"/>
      <c r="W306" s="99"/>
      <c r="X306" s="99"/>
      <c r="Z306" s="99">
        <f t="shared" si="682"/>
        <v>0</v>
      </c>
      <c r="AA306" s="99"/>
      <c r="AF306" s="99"/>
      <c r="AK306" s="99"/>
      <c r="AP306" s="99"/>
      <c r="AZ306" s="99"/>
      <c r="BE306" s="99"/>
      <c r="BJ306" s="99"/>
      <c r="BO306" s="99"/>
      <c r="BT306" s="99"/>
      <c r="BY306" s="546"/>
      <c r="BZ306" s="546"/>
      <c r="CA306" s="546"/>
      <c r="CB306" s="546"/>
      <c r="CC306" s="546"/>
      <c r="CD306" s="546"/>
      <c r="CE306" s="546"/>
      <c r="CF306" s="546"/>
      <c r="CG306" s="546"/>
      <c r="CH306" s="546"/>
      <c r="CI306" s="546"/>
      <c r="CJ306" s="546"/>
      <c r="CK306" s="546"/>
    </row>
    <row r="307" spans="1:89" x14ac:dyDescent="0.2">
      <c r="A307" s="133" t="s">
        <v>4290</v>
      </c>
      <c r="B307" s="1362" t="s">
        <v>4291</v>
      </c>
      <c r="C307" s="2348" t="s">
        <v>5076</v>
      </c>
      <c r="D307" s="111"/>
      <c r="E307" s="84">
        <v>6800</v>
      </c>
      <c r="T307" s="84">
        <v>6800</v>
      </c>
      <c r="U307" s="84">
        <f t="shared" si="683"/>
        <v>0</v>
      </c>
      <c r="V307" s="99"/>
      <c r="W307" s="99"/>
      <c r="X307" s="99"/>
      <c r="Z307" s="99">
        <f t="shared" si="682"/>
        <v>0</v>
      </c>
      <c r="AA307" s="99"/>
      <c r="AF307" s="99"/>
      <c r="AK307" s="99"/>
      <c r="AP307" s="99"/>
      <c r="AZ307" s="99"/>
      <c r="BE307" s="99"/>
      <c r="BJ307" s="99"/>
      <c r="BO307" s="99"/>
      <c r="BT307" s="99"/>
      <c r="BY307" s="546"/>
      <c r="BZ307" s="546"/>
      <c r="CA307" s="546"/>
      <c r="CB307" s="546"/>
      <c r="CC307" s="546"/>
      <c r="CD307" s="546"/>
      <c r="CE307" s="546"/>
      <c r="CF307" s="546"/>
      <c r="CG307" s="546"/>
      <c r="CH307" s="546"/>
      <c r="CI307" s="546"/>
      <c r="CJ307" s="546"/>
      <c r="CK307" s="546"/>
    </row>
    <row r="308" spans="1:89" x14ac:dyDescent="0.2">
      <c r="A308" s="133" t="s">
        <v>3642</v>
      </c>
      <c r="B308" s="1362" t="s">
        <v>5172</v>
      </c>
      <c r="C308" s="111" t="s">
        <v>6141</v>
      </c>
      <c r="D308" s="111"/>
      <c r="E308" s="84">
        <v>758300</v>
      </c>
      <c r="F308" s="133"/>
      <c r="Q308" s="84">
        <f>345000+204000</f>
        <v>549000</v>
      </c>
      <c r="U308" s="84">
        <f t="shared" si="683"/>
        <v>209300</v>
      </c>
      <c r="V308" s="99"/>
      <c r="W308" s="99"/>
      <c r="X308" s="99"/>
      <c r="Z308" s="99">
        <f t="shared" si="682"/>
        <v>0</v>
      </c>
      <c r="AA308" s="99"/>
      <c r="AF308" s="99"/>
      <c r="AK308" s="99"/>
      <c r="AP308" s="99"/>
      <c r="AZ308" s="99"/>
      <c r="BE308" s="99"/>
      <c r="BJ308" s="99"/>
      <c r="BO308" s="99"/>
      <c r="BT308" s="99"/>
      <c r="BY308" s="546"/>
      <c r="BZ308" s="546"/>
      <c r="CA308" s="546"/>
      <c r="CB308" s="546"/>
      <c r="CC308" s="546"/>
      <c r="CD308" s="546"/>
      <c r="CE308" s="546"/>
      <c r="CF308" s="546"/>
      <c r="CG308" s="546"/>
      <c r="CH308" s="546"/>
      <c r="CI308" s="546"/>
      <c r="CJ308" s="546"/>
      <c r="CK308" s="546"/>
    </row>
    <row r="309" spans="1:89" x14ac:dyDescent="0.2">
      <c r="A309" s="133" t="s">
        <v>4427</v>
      </c>
      <c r="B309" s="1362" t="s">
        <v>5176</v>
      </c>
      <c r="C309" s="111" t="s">
        <v>5262</v>
      </c>
      <c r="D309" s="111" t="s">
        <v>5262</v>
      </c>
      <c r="E309" s="84">
        <f>E121</f>
        <v>320600</v>
      </c>
      <c r="F309" s="84">
        <v>302000</v>
      </c>
      <c r="T309" s="84">
        <v>56800</v>
      </c>
      <c r="U309" s="84">
        <f t="shared" si="683"/>
        <v>263800</v>
      </c>
      <c r="V309" s="99"/>
      <c r="W309" s="99"/>
      <c r="X309" s="99"/>
      <c r="Z309" s="99">
        <f t="shared" si="682"/>
        <v>302000</v>
      </c>
      <c r="AA309" s="99"/>
      <c r="AF309" s="99"/>
      <c r="AK309" s="99"/>
      <c r="AP309" s="99"/>
      <c r="AZ309" s="99"/>
      <c r="BE309" s="99"/>
      <c r="BJ309" s="99"/>
      <c r="BO309" s="99"/>
      <c r="BT309" s="99"/>
      <c r="BY309" s="546"/>
      <c r="BZ309" s="546"/>
      <c r="CA309" s="546"/>
      <c r="CB309" s="546"/>
      <c r="CC309" s="546"/>
      <c r="CD309" s="546"/>
      <c r="CE309" s="546"/>
      <c r="CF309" s="546"/>
      <c r="CG309" s="546"/>
      <c r="CH309" s="546"/>
      <c r="CI309" s="546"/>
      <c r="CJ309" s="546"/>
      <c r="CK309" s="546"/>
    </row>
    <row r="310" spans="1:89" x14ac:dyDescent="0.2">
      <c r="A310" s="1389" t="s">
        <v>3689</v>
      </c>
      <c r="B310" s="1362" t="s">
        <v>3998</v>
      </c>
      <c r="C310" s="111" t="s">
        <v>4123</v>
      </c>
      <c r="D310" s="111"/>
      <c r="E310" s="84">
        <v>9100</v>
      </c>
      <c r="T310" s="84">
        <v>3500</v>
      </c>
      <c r="U310" s="84">
        <f t="shared" si="683"/>
        <v>5600</v>
      </c>
      <c r="W310" s="99"/>
      <c r="Z310" s="99">
        <f t="shared" si="682"/>
        <v>0</v>
      </c>
    </row>
    <row r="311" spans="1:89" x14ac:dyDescent="0.2">
      <c r="A311" s="1389" t="s">
        <v>6286</v>
      </c>
      <c r="B311" s="1362" t="s">
        <v>6338</v>
      </c>
      <c r="C311" s="111" t="s">
        <v>6339</v>
      </c>
      <c r="D311" s="111" t="s">
        <v>6339</v>
      </c>
      <c r="F311" s="84">
        <f>392000+23000</f>
        <v>415000</v>
      </c>
      <c r="U311" s="84"/>
      <c r="W311" s="99"/>
      <c r="Z311" s="99">
        <f t="shared" si="682"/>
        <v>415000</v>
      </c>
    </row>
    <row r="312" spans="1:89" x14ac:dyDescent="0.2">
      <c r="A312" s="2052" t="s">
        <v>3690</v>
      </c>
      <c r="B312" s="1362" t="s">
        <v>3999</v>
      </c>
      <c r="C312" s="111" t="s">
        <v>4124</v>
      </c>
      <c r="D312" s="111"/>
      <c r="E312" s="84">
        <f>205000+51000</f>
        <v>256000</v>
      </c>
      <c r="T312" s="84">
        <v>51000</v>
      </c>
      <c r="U312" s="84">
        <f t="shared" ref="U312:U320" si="684">E312-SUM(Q312:T312)</f>
        <v>205000</v>
      </c>
      <c r="W312" s="99"/>
      <c r="Z312" s="99">
        <f t="shared" si="682"/>
        <v>0</v>
      </c>
    </row>
    <row r="313" spans="1:89" x14ac:dyDescent="0.2">
      <c r="A313" s="2052" t="s">
        <v>3691</v>
      </c>
      <c r="B313" s="1362" t="s">
        <v>4000</v>
      </c>
      <c r="C313" s="111" t="s">
        <v>4125</v>
      </c>
      <c r="D313" s="111"/>
      <c r="E313" s="84">
        <v>3500</v>
      </c>
      <c r="Q313" s="84">
        <v>296500</v>
      </c>
      <c r="T313" s="84">
        <v>-295000</v>
      </c>
      <c r="U313" s="84">
        <f t="shared" si="684"/>
        <v>2000</v>
      </c>
      <c r="W313" s="99"/>
      <c r="Z313" s="99">
        <f t="shared" si="682"/>
        <v>0</v>
      </c>
    </row>
    <row r="314" spans="1:89" x14ac:dyDescent="0.2">
      <c r="A314" s="2052" t="s">
        <v>5963</v>
      </c>
      <c r="B314" s="1362" t="s">
        <v>6246</v>
      </c>
      <c r="C314" s="111" t="s">
        <v>5964</v>
      </c>
      <c r="D314" s="111"/>
      <c r="E314" s="84">
        <v>2800</v>
      </c>
      <c r="T314" s="84">
        <v>3000</v>
      </c>
      <c r="U314" s="84">
        <f t="shared" si="684"/>
        <v>-200</v>
      </c>
      <c r="W314" s="99"/>
      <c r="Z314" s="99">
        <f t="shared" si="682"/>
        <v>0</v>
      </c>
    </row>
    <row r="315" spans="1:89" x14ac:dyDescent="0.2">
      <c r="A315" s="133" t="s">
        <v>4823</v>
      </c>
      <c r="B315" s="1362" t="s">
        <v>5177</v>
      </c>
      <c r="C315" s="111" t="s">
        <v>5047</v>
      </c>
      <c r="D315" s="111" t="s">
        <v>5047</v>
      </c>
      <c r="E315" s="84">
        <f>E123</f>
        <v>175500</v>
      </c>
      <c r="F315" s="84">
        <v>168000</v>
      </c>
      <c r="U315" s="84">
        <f t="shared" si="684"/>
        <v>175500</v>
      </c>
      <c r="V315" s="99"/>
      <c r="W315" s="99"/>
      <c r="X315" s="99"/>
      <c r="Z315" s="99">
        <f t="shared" si="682"/>
        <v>168000</v>
      </c>
      <c r="AA315" s="99"/>
      <c r="AF315" s="99"/>
      <c r="AK315" s="99"/>
      <c r="AP315" s="99"/>
      <c r="AZ315" s="99"/>
      <c r="BE315" s="99"/>
      <c r="BJ315" s="99"/>
      <c r="BO315" s="99"/>
      <c r="BT315" s="99"/>
      <c r="BY315" s="546"/>
      <c r="BZ315" s="546"/>
      <c r="CA315" s="546"/>
      <c r="CB315" s="546"/>
      <c r="CC315" s="546"/>
      <c r="CD315" s="546"/>
      <c r="CE315" s="546"/>
      <c r="CF315" s="546"/>
      <c r="CG315" s="546"/>
      <c r="CH315" s="546"/>
      <c r="CI315" s="546"/>
      <c r="CJ315" s="546"/>
      <c r="CK315" s="546"/>
    </row>
    <row r="316" spans="1:89" x14ac:dyDescent="0.2">
      <c r="A316" s="133" t="s">
        <v>5049</v>
      </c>
      <c r="B316" s="1362" t="s">
        <v>5178</v>
      </c>
      <c r="C316" s="111" t="s">
        <v>5046</v>
      </c>
      <c r="D316" s="111"/>
      <c r="E316" s="84">
        <v>26000</v>
      </c>
      <c r="R316" s="84">
        <v>26000</v>
      </c>
      <c r="U316" s="84">
        <f t="shared" si="684"/>
        <v>0</v>
      </c>
      <c r="V316" s="99"/>
      <c r="W316" s="99"/>
      <c r="X316" s="99"/>
      <c r="Z316" s="99">
        <f t="shared" si="682"/>
        <v>0</v>
      </c>
      <c r="AA316" s="99"/>
      <c r="AF316" s="99"/>
      <c r="AK316" s="99"/>
      <c r="AP316" s="99"/>
      <c r="AZ316" s="99"/>
      <c r="BE316" s="99"/>
      <c r="BJ316" s="99"/>
      <c r="BO316" s="99"/>
      <c r="BT316" s="99"/>
      <c r="BY316" s="546"/>
      <c r="BZ316" s="546"/>
      <c r="CA316" s="546"/>
      <c r="CB316" s="546"/>
      <c r="CC316" s="546"/>
      <c r="CD316" s="546"/>
      <c r="CE316" s="546"/>
      <c r="CF316" s="546"/>
      <c r="CG316" s="546"/>
      <c r="CH316" s="546"/>
      <c r="CI316" s="546"/>
      <c r="CJ316" s="546"/>
      <c r="CK316" s="546"/>
    </row>
    <row r="317" spans="1:89" x14ac:dyDescent="0.2">
      <c r="A317" s="133" t="s">
        <v>5050</v>
      </c>
      <c r="B317" s="1362" t="s">
        <v>5179</v>
      </c>
      <c r="C317" s="111" t="s">
        <v>5048</v>
      </c>
      <c r="D317" s="111" t="s">
        <v>5048</v>
      </c>
      <c r="E317" s="84">
        <v>84700</v>
      </c>
      <c r="F317" s="84">
        <f>196000+149900</f>
        <v>345900</v>
      </c>
      <c r="R317" s="84">
        <f>84000+80000</f>
        <v>164000</v>
      </c>
      <c r="U317" s="84">
        <f t="shared" si="684"/>
        <v>-79300</v>
      </c>
      <c r="V317" s="99"/>
      <c r="W317" s="99">
        <f>196000+128500</f>
        <v>324500</v>
      </c>
      <c r="X317" s="99"/>
      <c r="Z317" s="99">
        <f t="shared" si="682"/>
        <v>21400</v>
      </c>
      <c r="AA317" s="99"/>
      <c r="AF317" s="99"/>
      <c r="AK317" s="99"/>
      <c r="AP317" s="99"/>
      <c r="AZ317" s="99"/>
      <c r="BE317" s="99"/>
      <c r="BJ317" s="99"/>
      <c r="BO317" s="99"/>
      <c r="BT317" s="99"/>
      <c r="BY317" s="546"/>
      <c r="BZ317" s="546"/>
      <c r="CA317" s="546"/>
      <c r="CB317" s="546"/>
      <c r="CC317" s="546"/>
      <c r="CD317" s="546"/>
      <c r="CE317" s="546"/>
      <c r="CF317" s="546"/>
      <c r="CG317" s="546"/>
      <c r="CH317" s="546"/>
      <c r="CI317" s="546"/>
      <c r="CJ317" s="546"/>
      <c r="CK317" s="546"/>
    </row>
    <row r="318" spans="1:89" x14ac:dyDescent="0.2">
      <c r="A318" s="133" t="s">
        <v>7107</v>
      </c>
      <c r="B318" s="1362"/>
      <c r="C318" s="111" t="s">
        <v>7106</v>
      </c>
      <c r="D318" s="111" t="s">
        <v>7106</v>
      </c>
      <c r="F318" s="84">
        <v>36000</v>
      </c>
      <c r="U318" s="84"/>
      <c r="V318" s="99"/>
      <c r="W318" s="99"/>
      <c r="X318" s="99"/>
      <c r="Z318" s="99">
        <f t="shared" si="682"/>
        <v>36000</v>
      </c>
      <c r="AA318" s="99"/>
      <c r="AF318" s="99"/>
      <c r="AK318" s="99"/>
      <c r="AP318" s="99"/>
      <c r="AZ318" s="99"/>
      <c r="BE318" s="99"/>
      <c r="BJ318" s="99"/>
      <c r="BO318" s="99"/>
      <c r="BT318" s="99"/>
      <c r="BY318" s="546"/>
      <c r="BZ318" s="546"/>
      <c r="CA318" s="546"/>
      <c r="CB318" s="546"/>
      <c r="CC318" s="546"/>
      <c r="CD318" s="546"/>
      <c r="CE318" s="546"/>
      <c r="CF318" s="546"/>
      <c r="CG318" s="546"/>
      <c r="CH318" s="546"/>
      <c r="CI318" s="546"/>
      <c r="CJ318" s="546"/>
      <c r="CK318" s="546"/>
    </row>
    <row r="319" spans="1:89" x14ac:dyDescent="0.2">
      <c r="A319" s="133" t="s">
        <v>6142</v>
      </c>
      <c r="B319" s="1362" t="s">
        <v>6247</v>
      </c>
      <c r="C319" s="111" t="s">
        <v>6143</v>
      </c>
      <c r="D319" s="111"/>
      <c r="E319" s="84">
        <v>16500</v>
      </c>
      <c r="F319" s="84">
        <v>33500</v>
      </c>
      <c r="R319" s="84">
        <v>50000</v>
      </c>
      <c r="U319" s="84">
        <f t="shared" si="684"/>
        <v>-33500</v>
      </c>
      <c r="V319" s="99"/>
      <c r="W319" s="99">
        <v>33500</v>
      </c>
      <c r="X319" s="99"/>
      <c r="Z319" s="99">
        <f t="shared" si="682"/>
        <v>0</v>
      </c>
      <c r="AA319" s="99"/>
      <c r="AF319" s="99"/>
      <c r="AK319" s="99"/>
      <c r="AP319" s="99"/>
      <c r="AZ319" s="99"/>
      <c r="BE319" s="99"/>
      <c r="BJ319" s="99"/>
      <c r="BO319" s="99"/>
      <c r="BT319" s="99"/>
      <c r="BY319" s="546"/>
      <c r="BZ319" s="546"/>
      <c r="CA319" s="546"/>
      <c r="CB319" s="546"/>
      <c r="CC319" s="546"/>
      <c r="CD319" s="546"/>
      <c r="CE319" s="546"/>
      <c r="CF319" s="546"/>
      <c r="CG319" s="546"/>
      <c r="CH319" s="546"/>
      <c r="CI319" s="546"/>
      <c r="CJ319" s="546"/>
      <c r="CK319" s="546"/>
    </row>
    <row r="320" spans="1:89" x14ac:dyDescent="0.2">
      <c r="A320" s="133" t="s">
        <v>5110</v>
      </c>
      <c r="B320" s="1362" t="s">
        <v>5201</v>
      </c>
      <c r="C320" s="111" t="s">
        <v>5202</v>
      </c>
      <c r="D320" s="111"/>
      <c r="E320" s="84">
        <v>284300</v>
      </c>
      <c r="T320" s="84">
        <v>15000</v>
      </c>
      <c r="U320" s="84">
        <f t="shared" si="684"/>
        <v>269300</v>
      </c>
      <c r="V320" s="99"/>
      <c r="W320" s="99"/>
      <c r="X320" s="99"/>
      <c r="Z320" s="99">
        <f t="shared" si="682"/>
        <v>0</v>
      </c>
      <c r="AA320" s="99"/>
      <c r="AF320" s="99"/>
      <c r="AK320" s="99"/>
      <c r="AP320" s="99"/>
      <c r="AZ320" s="99"/>
      <c r="BE320" s="99"/>
      <c r="BJ320" s="99"/>
      <c r="BO320" s="99"/>
      <c r="BT320" s="99"/>
      <c r="BY320" s="546"/>
      <c r="BZ320" s="546"/>
      <c r="CA320" s="546"/>
      <c r="CB320" s="546"/>
      <c r="CC320" s="546"/>
      <c r="CD320" s="546"/>
      <c r="CE320" s="546"/>
      <c r="CF320" s="546"/>
      <c r="CG320" s="546"/>
      <c r="CH320" s="546"/>
      <c r="CI320" s="546"/>
      <c r="CJ320" s="546"/>
      <c r="CK320" s="546"/>
    </row>
    <row r="321" spans="1:89" x14ac:dyDescent="0.2">
      <c r="A321" s="133" t="s">
        <v>6287</v>
      </c>
      <c r="B321" s="1362" t="s">
        <v>6340</v>
      </c>
      <c r="C321" s="111" t="s">
        <v>6342</v>
      </c>
      <c r="D321" s="111" t="s">
        <v>6342</v>
      </c>
      <c r="F321" s="84">
        <v>360000</v>
      </c>
      <c r="U321" s="84"/>
      <c r="V321" s="99"/>
      <c r="W321" s="99"/>
      <c r="X321" s="99"/>
      <c r="Z321" s="99">
        <f t="shared" si="682"/>
        <v>360000</v>
      </c>
      <c r="AA321" s="99"/>
      <c r="AF321" s="99"/>
      <c r="AK321" s="99"/>
      <c r="AP321" s="99"/>
      <c r="AZ321" s="99"/>
      <c r="BE321" s="99"/>
      <c r="BJ321" s="99"/>
      <c r="BO321" s="99"/>
      <c r="BT321" s="99"/>
      <c r="BY321" s="546"/>
      <c r="BZ321" s="546"/>
      <c r="CA321" s="546"/>
      <c r="CB321" s="546"/>
      <c r="CC321" s="546"/>
      <c r="CD321" s="546"/>
      <c r="CE321" s="546"/>
      <c r="CF321" s="546"/>
      <c r="CG321" s="546"/>
      <c r="CH321" s="546"/>
      <c r="CI321" s="546"/>
      <c r="CJ321" s="546"/>
      <c r="CK321" s="546"/>
    </row>
    <row r="322" spans="1:89" x14ac:dyDescent="0.2">
      <c r="A322" s="133" t="s">
        <v>6288</v>
      </c>
      <c r="B322" s="1362" t="s">
        <v>6341</v>
      </c>
      <c r="C322" s="111" t="s">
        <v>6343</v>
      </c>
      <c r="D322" s="111" t="s">
        <v>6343</v>
      </c>
      <c r="F322" s="84">
        <v>488000</v>
      </c>
      <c r="U322" s="84"/>
      <c r="V322" s="99"/>
      <c r="W322" s="99"/>
      <c r="X322" s="99"/>
      <c r="Z322" s="99">
        <f t="shared" si="682"/>
        <v>488000</v>
      </c>
      <c r="AA322" s="99"/>
      <c r="AF322" s="99"/>
      <c r="AK322" s="99"/>
      <c r="AP322" s="99"/>
      <c r="AZ322" s="99"/>
      <c r="BE322" s="99"/>
      <c r="BJ322" s="99"/>
      <c r="BO322" s="99"/>
      <c r="BT322" s="99"/>
      <c r="BY322" s="546"/>
      <c r="BZ322" s="546"/>
      <c r="CA322" s="546"/>
      <c r="CB322" s="546"/>
      <c r="CC322" s="546"/>
      <c r="CD322" s="546"/>
      <c r="CE322" s="546"/>
      <c r="CF322" s="546"/>
      <c r="CG322" s="546"/>
      <c r="CH322" s="546"/>
      <c r="CI322" s="546"/>
      <c r="CJ322" s="546"/>
      <c r="CK322" s="546"/>
    </row>
    <row r="323" spans="1:89" x14ac:dyDescent="0.2">
      <c r="A323" s="133" t="s">
        <v>5203</v>
      </c>
      <c r="B323" s="1362" t="s">
        <v>5204</v>
      </c>
      <c r="C323" s="111" t="s">
        <v>5205</v>
      </c>
      <c r="D323" s="111"/>
      <c r="E323" s="84">
        <v>433800</v>
      </c>
      <c r="U323" s="84">
        <f>E323-SUM(Q323:T323)</f>
        <v>433800</v>
      </c>
      <c r="V323" s="99"/>
      <c r="W323" s="99"/>
      <c r="X323" s="99"/>
      <c r="Z323" s="99">
        <f t="shared" si="682"/>
        <v>0</v>
      </c>
      <c r="AA323" s="99"/>
      <c r="AF323" s="99"/>
      <c r="AK323" s="99"/>
      <c r="AP323" s="99"/>
      <c r="AZ323" s="99"/>
      <c r="BE323" s="99"/>
      <c r="BJ323" s="99"/>
      <c r="BO323" s="99"/>
      <c r="BT323" s="99"/>
      <c r="BY323" s="546"/>
      <c r="BZ323" s="546"/>
      <c r="CA323" s="546"/>
      <c r="CB323" s="546"/>
      <c r="CC323" s="546"/>
      <c r="CD323" s="546"/>
      <c r="CE323" s="546"/>
      <c r="CF323" s="546"/>
      <c r="CG323" s="546"/>
      <c r="CH323" s="546"/>
      <c r="CI323" s="546"/>
      <c r="CJ323" s="546"/>
      <c r="CK323" s="546"/>
    </row>
    <row r="324" spans="1:89" x14ac:dyDescent="0.2">
      <c r="A324" s="133" t="s">
        <v>5111</v>
      </c>
      <c r="B324" s="1362" t="s">
        <v>5206</v>
      </c>
      <c r="C324" s="111" t="s">
        <v>5207</v>
      </c>
      <c r="D324" s="111"/>
      <c r="E324" s="84">
        <v>8100</v>
      </c>
      <c r="F324" s="84">
        <f>211900+233000</f>
        <v>444900</v>
      </c>
      <c r="U324" s="84">
        <f>E324-SUM(Q324:T324)</f>
        <v>8100</v>
      </c>
      <c r="V324" s="99">
        <v>233000</v>
      </c>
      <c r="W324" s="99"/>
      <c r="X324" s="99"/>
      <c r="Y324" s="84">
        <v>211900</v>
      </c>
      <c r="Z324" s="99">
        <f t="shared" si="682"/>
        <v>0</v>
      </c>
      <c r="AA324" s="99"/>
      <c r="AF324" s="99"/>
      <c r="AK324" s="99"/>
      <c r="AP324" s="99"/>
      <c r="AZ324" s="99"/>
      <c r="BE324" s="99"/>
      <c r="BJ324" s="99"/>
      <c r="BO324" s="99"/>
      <c r="BT324" s="99"/>
      <c r="BY324" s="546"/>
      <c r="BZ324" s="546"/>
      <c r="CA324" s="546"/>
      <c r="CB324" s="546"/>
      <c r="CC324" s="546"/>
      <c r="CD324" s="546"/>
      <c r="CE324" s="546"/>
      <c r="CF324" s="546"/>
      <c r="CG324" s="546"/>
      <c r="CH324" s="546"/>
      <c r="CI324" s="546"/>
      <c r="CJ324" s="546"/>
      <c r="CK324" s="546"/>
    </row>
    <row r="325" spans="1:89" x14ac:dyDescent="0.2">
      <c r="A325" s="133" t="s">
        <v>6635</v>
      </c>
      <c r="B325" s="1362" t="s">
        <v>6692</v>
      </c>
      <c r="C325" s="111" t="s">
        <v>6691</v>
      </c>
      <c r="D325" s="111"/>
      <c r="F325" s="84">
        <v>310000</v>
      </c>
      <c r="U325" s="84"/>
      <c r="V325" s="99">
        <v>310000</v>
      </c>
      <c r="W325" s="99"/>
      <c r="X325" s="99"/>
      <c r="Z325" s="99">
        <f t="shared" si="682"/>
        <v>0</v>
      </c>
      <c r="AA325" s="99"/>
      <c r="AF325" s="99"/>
      <c r="AK325" s="99"/>
      <c r="AP325" s="99"/>
      <c r="AZ325" s="99"/>
      <c r="BE325" s="99"/>
      <c r="BJ325" s="99"/>
      <c r="BO325" s="99"/>
      <c r="BT325" s="99"/>
      <c r="BY325" s="546"/>
      <c r="BZ325" s="546"/>
      <c r="CA325" s="546"/>
      <c r="CB325" s="546"/>
      <c r="CC325" s="546"/>
      <c r="CD325" s="546"/>
      <c r="CE325" s="546"/>
      <c r="CF325" s="546"/>
      <c r="CG325" s="546"/>
      <c r="CH325" s="546"/>
      <c r="CI325" s="546"/>
      <c r="CJ325" s="546"/>
      <c r="CK325" s="546"/>
    </row>
    <row r="326" spans="1:89" x14ac:dyDescent="0.2">
      <c r="A326" s="133" t="s">
        <v>1466</v>
      </c>
      <c r="B326" s="1362" t="s">
        <v>5543</v>
      </c>
      <c r="C326" s="111" t="s">
        <v>5076</v>
      </c>
      <c r="D326" s="111"/>
      <c r="E326" s="84">
        <v>62200</v>
      </c>
      <c r="F326" s="84">
        <v>268600</v>
      </c>
      <c r="T326" s="84">
        <v>330800</v>
      </c>
      <c r="U326" s="99">
        <f t="shared" ref="U326:U340" si="685">E326-SUM(Q326:T326)</f>
        <v>-268600</v>
      </c>
      <c r="V326" s="99"/>
      <c r="W326" s="99"/>
      <c r="X326" s="99"/>
      <c r="Y326" s="84">
        <v>268600</v>
      </c>
      <c r="Z326" s="99">
        <f t="shared" si="682"/>
        <v>0</v>
      </c>
      <c r="AA326" s="99"/>
      <c r="AF326" s="99"/>
      <c r="AK326" s="99"/>
      <c r="AP326" s="99"/>
      <c r="AZ326" s="99"/>
      <c r="BE326" s="99"/>
      <c r="BJ326" s="99"/>
      <c r="BO326" s="99"/>
      <c r="BT326" s="99"/>
      <c r="BY326" s="546"/>
      <c r="BZ326" s="546"/>
      <c r="CA326" s="546"/>
      <c r="CB326" s="546"/>
      <c r="CC326" s="546"/>
      <c r="CD326" s="546"/>
      <c r="CE326" s="546"/>
      <c r="CF326" s="546"/>
      <c r="CG326" s="546"/>
      <c r="CH326" s="546"/>
      <c r="CI326" s="546"/>
      <c r="CJ326" s="546"/>
      <c r="CK326" s="546"/>
    </row>
    <row r="327" spans="1:89" x14ac:dyDescent="0.2">
      <c r="A327" s="133" t="s">
        <v>5573</v>
      </c>
      <c r="B327" s="1362" t="s">
        <v>6249</v>
      </c>
      <c r="C327" s="111" t="s">
        <v>5571</v>
      </c>
      <c r="D327" s="111"/>
      <c r="E327" s="84">
        <v>399400</v>
      </c>
      <c r="Q327" s="84">
        <f>200000+200000</f>
        <v>400000</v>
      </c>
      <c r="U327" s="99">
        <f t="shared" si="685"/>
        <v>-600</v>
      </c>
      <c r="V327" s="99"/>
      <c r="W327" s="99"/>
      <c r="X327" s="99"/>
      <c r="Z327" s="99">
        <f t="shared" si="682"/>
        <v>0</v>
      </c>
      <c r="AA327" s="99"/>
      <c r="AF327" s="99"/>
      <c r="AK327" s="99"/>
      <c r="AP327" s="99"/>
      <c r="AZ327" s="99"/>
      <c r="BE327" s="99"/>
      <c r="BJ327" s="99"/>
      <c r="BO327" s="99"/>
      <c r="BT327" s="99"/>
      <c r="BY327" s="546"/>
      <c r="BZ327" s="546"/>
      <c r="CA327" s="546"/>
      <c r="CB327" s="546"/>
      <c r="CC327" s="546"/>
      <c r="CD327" s="546"/>
      <c r="CE327" s="546"/>
      <c r="CF327" s="546"/>
      <c r="CG327" s="546"/>
      <c r="CH327" s="546"/>
      <c r="CI327" s="546"/>
      <c r="CJ327" s="546"/>
      <c r="CK327" s="546"/>
    </row>
    <row r="328" spans="1:89" x14ac:dyDescent="0.2">
      <c r="A328" s="133" t="s">
        <v>5572</v>
      </c>
      <c r="B328" s="1362" t="s">
        <v>6250</v>
      </c>
      <c r="C328" s="111" t="s">
        <v>5200</v>
      </c>
      <c r="D328" s="111"/>
      <c r="E328" s="84">
        <v>419200</v>
      </c>
      <c r="Q328" s="84">
        <v>160000</v>
      </c>
      <c r="T328" s="84">
        <v>30000</v>
      </c>
      <c r="U328" s="99">
        <f t="shared" si="685"/>
        <v>229200</v>
      </c>
      <c r="V328" s="99"/>
      <c r="W328" s="99"/>
      <c r="X328" s="99"/>
      <c r="Z328" s="99">
        <f t="shared" si="682"/>
        <v>0</v>
      </c>
      <c r="AA328" s="99"/>
      <c r="AF328" s="99"/>
      <c r="AK328" s="99"/>
      <c r="AP328" s="99"/>
      <c r="AZ328" s="99"/>
      <c r="BE328" s="99"/>
      <c r="BJ328" s="99"/>
      <c r="BO328" s="99"/>
      <c r="BT328" s="99"/>
      <c r="BY328" s="546"/>
      <c r="BZ328" s="546"/>
      <c r="CA328" s="546"/>
      <c r="CB328" s="546"/>
      <c r="CC328" s="546"/>
      <c r="CD328" s="546"/>
      <c r="CE328" s="546"/>
      <c r="CF328" s="546"/>
      <c r="CG328" s="546"/>
      <c r="CH328" s="546"/>
      <c r="CI328" s="546"/>
      <c r="CJ328" s="546"/>
      <c r="CK328" s="546"/>
    </row>
    <row r="329" spans="1:89" x14ac:dyDescent="0.2">
      <c r="A329" s="133" t="s">
        <v>5574</v>
      </c>
      <c r="B329" s="111" t="s">
        <v>5575</v>
      </c>
      <c r="C329" s="111" t="s">
        <v>5076</v>
      </c>
      <c r="D329" s="111"/>
      <c r="E329" s="84">
        <v>3500</v>
      </c>
      <c r="F329" s="84">
        <v>26500</v>
      </c>
      <c r="U329" s="99">
        <f t="shared" si="685"/>
        <v>3500</v>
      </c>
      <c r="V329" s="99"/>
      <c r="W329" s="99"/>
      <c r="X329" s="99"/>
      <c r="Y329" s="84">
        <v>26500</v>
      </c>
      <c r="Z329" s="99">
        <f t="shared" si="682"/>
        <v>0</v>
      </c>
      <c r="AA329" s="99"/>
      <c r="AF329" s="99"/>
      <c r="AK329" s="99"/>
      <c r="AP329" s="99"/>
      <c r="AZ329" s="99"/>
      <c r="BE329" s="99"/>
      <c r="BJ329" s="99"/>
      <c r="BO329" s="99"/>
      <c r="BT329" s="99"/>
      <c r="BY329" s="546"/>
      <c r="BZ329" s="546"/>
      <c r="CA329" s="546"/>
      <c r="CB329" s="546"/>
      <c r="CC329" s="546"/>
      <c r="CD329" s="546"/>
      <c r="CE329" s="546"/>
      <c r="CF329" s="546"/>
      <c r="CG329" s="546"/>
      <c r="CH329" s="546"/>
      <c r="CI329" s="546"/>
      <c r="CJ329" s="546"/>
      <c r="CK329" s="546"/>
    </row>
    <row r="330" spans="1:89" x14ac:dyDescent="0.2">
      <c r="A330" s="133" t="s">
        <v>5591</v>
      </c>
      <c r="B330" s="1362" t="s">
        <v>6276</v>
      </c>
      <c r="C330" s="111" t="s">
        <v>6277</v>
      </c>
      <c r="D330" s="111"/>
      <c r="E330" s="84">
        <v>963000</v>
      </c>
      <c r="F330" s="84">
        <v>21600</v>
      </c>
      <c r="Q330" s="84">
        <v>889000</v>
      </c>
      <c r="U330" s="99">
        <f t="shared" si="685"/>
        <v>74000</v>
      </c>
      <c r="V330" s="99"/>
      <c r="W330" s="99"/>
      <c r="X330" s="99"/>
      <c r="Y330" s="84">
        <v>21600</v>
      </c>
      <c r="Z330" s="99">
        <f t="shared" si="682"/>
        <v>0</v>
      </c>
      <c r="AA330" s="99"/>
      <c r="AF330" s="99"/>
      <c r="AK330" s="99"/>
      <c r="AP330" s="99"/>
      <c r="AZ330" s="99"/>
      <c r="BE330" s="99"/>
      <c r="BJ330" s="99"/>
      <c r="BO330" s="99"/>
      <c r="BT330" s="99"/>
      <c r="BY330" s="546"/>
      <c r="BZ330" s="546"/>
      <c r="CA330" s="546"/>
      <c r="CB330" s="546"/>
      <c r="CC330" s="546"/>
      <c r="CD330" s="546"/>
      <c r="CE330" s="546"/>
      <c r="CF330" s="546"/>
      <c r="CG330" s="546"/>
      <c r="CH330" s="546"/>
      <c r="CI330" s="546"/>
      <c r="CJ330" s="546"/>
      <c r="CK330" s="546"/>
    </row>
    <row r="331" spans="1:89" x14ac:dyDescent="0.2">
      <c r="A331" s="133" t="s">
        <v>5653</v>
      </c>
      <c r="B331" s="1362" t="s">
        <v>6251</v>
      </c>
      <c r="C331" s="111" t="s">
        <v>5655</v>
      </c>
      <c r="D331" s="111"/>
      <c r="E331" s="84">
        <v>12800</v>
      </c>
      <c r="T331" s="84">
        <f>11000+9000</f>
        <v>20000</v>
      </c>
      <c r="U331" s="99">
        <f t="shared" si="685"/>
        <v>-7200</v>
      </c>
      <c r="V331" s="99"/>
      <c r="W331" s="99"/>
      <c r="X331" s="99"/>
      <c r="Z331" s="99">
        <f t="shared" si="682"/>
        <v>0</v>
      </c>
      <c r="AA331" s="99"/>
      <c r="AF331" s="99"/>
      <c r="AK331" s="99"/>
      <c r="AP331" s="99"/>
      <c r="AZ331" s="99"/>
      <c r="BE331" s="99"/>
      <c r="BJ331" s="99"/>
      <c r="BO331" s="99"/>
      <c r="BT331" s="99"/>
      <c r="BY331" s="546"/>
      <c r="BZ331" s="546"/>
      <c r="CA331" s="546"/>
      <c r="CB331" s="546"/>
      <c r="CC331" s="546"/>
      <c r="CD331" s="546"/>
      <c r="CE331" s="546"/>
      <c r="CF331" s="546"/>
      <c r="CG331" s="546"/>
      <c r="CH331" s="546"/>
      <c r="CI331" s="546"/>
      <c r="CJ331" s="546"/>
      <c r="CK331" s="546"/>
    </row>
    <row r="332" spans="1:89" x14ac:dyDescent="0.2">
      <c r="A332" s="133" t="s">
        <v>5654</v>
      </c>
      <c r="B332" s="1362" t="s">
        <v>6252</v>
      </c>
      <c r="C332" s="111" t="s">
        <v>5656</v>
      </c>
      <c r="D332" s="111"/>
      <c r="E332" s="84">
        <v>186900</v>
      </c>
      <c r="T332" s="84">
        <v>170000</v>
      </c>
      <c r="U332" s="99">
        <f t="shared" si="685"/>
        <v>16900</v>
      </c>
      <c r="V332" s="99"/>
      <c r="W332" s="99"/>
      <c r="X332" s="99"/>
      <c r="Z332" s="99">
        <f t="shared" si="682"/>
        <v>0</v>
      </c>
      <c r="AA332" s="99"/>
      <c r="AF332" s="99"/>
      <c r="AK332" s="99"/>
      <c r="AP332" s="99"/>
      <c r="AZ332" s="99"/>
      <c r="BE332" s="99"/>
      <c r="BJ332" s="99"/>
      <c r="BO332" s="99"/>
      <c r="BT332" s="99"/>
      <c r="BY332" s="546"/>
      <c r="BZ332" s="546"/>
      <c r="CA332" s="546"/>
      <c r="CB332" s="546"/>
      <c r="CC332" s="546"/>
      <c r="CD332" s="546"/>
      <c r="CE332" s="546"/>
      <c r="CF332" s="546"/>
      <c r="CG332" s="546"/>
      <c r="CH332" s="546"/>
      <c r="CI332" s="546"/>
      <c r="CJ332" s="546"/>
      <c r="CK332" s="546"/>
    </row>
    <row r="333" spans="1:89" x14ac:dyDescent="0.2">
      <c r="A333" s="133" t="s">
        <v>5942</v>
      </c>
      <c r="B333" s="1362" t="s">
        <v>6248</v>
      </c>
      <c r="C333" s="111" t="s">
        <v>5941</v>
      </c>
      <c r="D333" s="111"/>
      <c r="Q333" s="84">
        <v>76000</v>
      </c>
      <c r="U333" s="99">
        <f t="shared" si="685"/>
        <v>-76000</v>
      </c>
      <c r="V333" s="99"/>
      <c r="W333" s="99"/>
      <c r="X333" s="99"/>
      <c r="Z333" s="99">
        <f t="shared" si="682"/>
        <v>0</v>
      </c>
      <c r="AA333" s="99"/>
      <c r="AF333" s="99"/>
      <c r="AK333" s="99"/>
      <c r="AP333" s="99"/>
      <c r="AZ333" s="99"/>
      <c r="BE333" s="99"/>
      <c r="BJ333" s="99"/>
      <c r="BO333" s="99"/>
      <c r="BT333" s="99"/>
      <c r="BY333" s="546"/>
      <c r="BZ333" s="546"/>
      <c r="CA333" s="546"/>
      <c r="CB333" s="546"/>
      <c r="CC333" s="546"/>
      <c r="CD333" s="546"/>
      <c r="CE333" s="546"/>
      <c r="CF333" s="546"/>
      <c r="CG333" s="546"/>
      <c r="CH333" s="546"/>
      <c r="CI333" s="546"/>
      <c r="CJ333" s="546"/>
      <c r="CK333" s="546"/>
    </row>
    <row r="334" spans="1:89" x14ac:dyDescent="0.2">
      <c r="A334" s="133" t="s">
        <v>5945</v>
      </c>
      <c r="B334" s="1362" t="s">
        <v>6248</v>
      </c>
      <c r="C334" s="111" t="s">
        <v>5950</v>
      </c>
      <c r="D334" s="111"/>
      <c r="E334" s="84">
        <v>267500</v>
      </c>
      <c r="Q334" s="84">
        <v>15000</v>
      </c>
      <c r="U334" s="99">
        <f t="shared" si="685"/>
        <v>252500</v>
      </c>
      <c r="V334" s="99"/>
      <c r="W334" s="99"/>
      <c r="X334" s="99"/>
      <c r="Z334" s="99">
        <f t="shared" si="682"/>
        <v>0</v>
      </c>
      <c r="AA334" s="99"/>
      <c r="AF334" s="99"/>
      <c r="AK334" s="99"/>
      <c r="AP334" s="99"/>
      <c r="AZ334" s="99"/>
      <c r="BE334" s="99"/>
      <c r="BJ334" s="99"/>
      <c r="BO334" s="99"/>
      <c r="BT334" s="99"/>
      <c r="BY334" s="546"/>
      <c r="BZ334" s="546"/>
      <c r="CA334" s="546"/>
      <c r="CB334" s="546"/>
      <c r="CC334" s="546"/>
      <c r="CD334" s="546"/>
      <c r="CE334" s="546"/>
      <c r="CF334" s="546"/>
      <c r="CG334" s="546"/>
      <c r="CH334" s="546"/>
      <c r="CI334" s="546"/>
      <c r="CJ334" s="546"/>
      <c r="CK334" s="546"/>
    </row>
    <row r="335" spans="1:89" x14ac:dyDescent="0.2">
      <c r="A335" s="133" t="s">
        <v>5944</v>
      </c>
      <c r="B335" s="1362" t="s">
        <v>6248</v>
      </c>
      <c r="C335" s="111" t="s">
        <v>5943</v>
      </c>
      <c r="D335" s="111"/>
      <c r="Q335" s="84">
        <v>17000</v>
      </c>
      <c r="U335" s="99">
        <f t="shared" si="685"/>
        <v>-17000</v>
      </c>
      <c r="V335" s="99"/>
      <c r="W335" s="99"/>
      <c r="X335" s="99"/>
      <c r="Z335" s="99">
        <f t="shared" si="682"/>
        <v>0</v>
      </c>
      <c r="AA335" s="99"/>
      <c r="AF335" s="99"/>
      <c r="AK335" s="99"/>
      <c r="AP335" s="99"/>
      <c r="AZ335" s="99"/>
      <c r="BE335" s="99"/>
      <c r="BJ335" s="99"/>
      <c r="BO335" s="99"/>
      <c r="BT335" s="99"/>
      <c r="BY335" s="546"/>
      <c r="BZ335" s="546"/>
      <c r="CA335" s="546"/>
      <c r="CB335" s="546"/>
      <c r="CC335" s="546"/>
      <c r="CD335" s="546"/>
      <c r="CE335" s="546"/>
      <c r="CF335" s="546"/>
      <c r="CG335" s="546"/>
      <c r="CH335" s="546"/>
      <c r="CI335" s="546"/>
      <c r="CJ335" s="546"/>
      <c r="CK335" s="546"/>
    </row>
    <row r="336" spans="1:89" x14ac:dyDescent="0.2">
      <c r="A336" s="133" t="s">
        <v>5946</v>
      </c>
      <c r="B336" s="1362" t="s">
        <v>6248</v>
      </c>
      <c r="C336" s="111" t="s">
        <v>5951</v>
      </c>
      <c r="D336" s="111"/>
      <c r="Q336" s="84">
        <v>35000</v>
      </c>
      <c r="U336" s="99">
        <f t="shared" si="685"/>
        <v>-35000</v>
      </c>
      <c r="V336" s="99"/>
      <c r="W336" s="99"/>
      <c r="X336" s="99"/>
      <c r="Z336" s="99">
        <f t="shared" si="682"/>
        <v>0</v>
      </c>
      <c r="AA336" s="99"/>
      <c r="AF336" s="99"/>
      <c r="AK336" s="99"/>
      <c r="AP336" s="99"/>
      <c r="AZ336" s="99"/>
      <c r="BE336" s="99"/>
      <c r="BJ336" s="99"/>
      <c r="BO336" s="99"/>
      <c r="BT336" s="99"/>
      <c r="BY336" s="546"/>
      <c r="BZ336" s="546"/>
      <c r="CA336" s="546"/>
      <c r="CB336" s="546"/>
      <c r="CC336" s="546"/>
      <c r="CD336" s="546"/>
      <c r="CE336" s="546"/>
      <c r="CF336" s="546"/>
      <c r="CG336" s="546"/>
      <c r="CH336" s="546"/>
      <c r="CI336" s="546"/>
      <c r="CJ336" s="546"/>
      <c r="CK336" s="546"/>
    </row>
    <row r="337" spans="1:89" x14ac:dyDescent="0.2">
      <c r="A337" s="133" t="s">
        <v>5947</v>
      </c>
      <c r="B337" s="1362" t="s">
        <v>6248</v>
      </c>
      <c r="C337" s="111" t="s">
        <v>5952</v>
      </c>
      <c r="D337" s="111"/>
      <c r="Q337" s="84">
        <v>16000</v>
      </c>
      <c r="U337" s="99">
        <f t="shared" si="685"/>
        <v>-16000</v>
      </c>
      <c r="V337" s="99"/>
      <c r="W337" s="99"/>
      <c r="X337" s="99"/>
      <c r="Z337" s="99">
        <f t="shared" si="682"/>
        <v>0</v>
      </c>
      <c r="AA337" s="99"/>
      <c r="AF337" s="99"/>
      <c r="AK337" s="99"/>
      <c r="AP337" s="99"/>
      <c r="AZ337" s="99"/>
      <c r="BE337" s="99"/>
      <c r="BJ337" s="99"/>
      <c r="BO337" s="99"/>
      <c r="BT337" s="99"/>
      <c r="BY337" s="546"/>
      <c r="BZ337" s="546"/>
      <c r="CA337" s="546"/>
      <c r="CB337" s="546"/>
      <c r="CC337" s="546"/>
      <c r="CD337" s="546"/>
      <c r="CE337" s="546"/>
      <c r="CF337" s="546"/>
      <c r="CG337" s="546"/>
      <c r="CH337" s="546"/>
      <c r="CI337" s="546"/>
      <c r="CJ337" s="546"/>
      <c r="CK337" s="546"/>
    </row>
    <row r="338" spans="1:89" x14ac:dyDescent="0.2">
      <c r="A338" s="133" t="s">
        <v>5948</v>
      </c>
      <c r="B338" s="1362" t="s">
        <v>6248</v>
      </c>
      <c r="C338" s="111" t="s">
        <v>5953</v>
      </c>
      <c r="D338" s="111"/>
      <c r="Q338" s="84">
        <v>30000</v>
      </c>
      <c r="U338" s="99">
        <f t="shared" si="685"/>
        <v>-30000</v>
      </c>
      <c r="V338" s="99"/>
      <c r="W338" s="99"/>
      <c r="X338" s="99"/>
      <c r="Z338" s="99">
        <f t="shared" si="682"/>
        <v>0</v>
      </c>
      <c r="AA338" s="99"/>
      <c r="AF338" s="99"/>
      <c r="AK338" s="99"/>
      <c r="AP338" s="99"/>
      <c r="AZ338" s="99"/>
      <c r="BE338" s="99"/>
      <c r="BJ338" s="99"/>
      <c r="BO338" s="99"/>
      <c r="BT338" s="99"/>
      <c r="BY338" s="546"/>
      <c r="BZ338" s="546"/>
      <c r="CA338" s="546"/>
      <c r="CB338" s="546"/>
      <c r="CC338" s="546"/>
      <c r="CD338" s="546"/>
      <c r="CE338" s="546"/>
      <c r="CF338" s="546"/>
      <c r="CG338" s="546"/>
      <c r="CH338" s="546"/>
      <c r="CI338" s="546"/>
      <c r="CJ338" s="546"/>
      <c r="CK338" s="546"/>
    </row>
    <row r="339" spans="1:89" x14ac:dyDescent="0.2">
      <c r="A339" s="133" t="s">
        <v>5949</v>
      </c>
      <c r="B339" s="1362" t="s">
        <v>6248</v>
      </c>
      <c r="C339" s="111" t="s">
        <v>5954</v>
      </c>
      <c r="D339" s="111"/>
      <c r="Q339" s="84">
        <v>11000</v>
      </c>
      <c r="U339" s="99">
        <f t="shared" si="685"/>
        <v>-11000</v>
      </c>
      <c r="V339" s="99"/>
      <c r="W339" s="99"/>
      <c r="X339" s="99"/>
      <c r="Z339" s="99">
        <f t="shared" si="682"/>
        <v>0</v>
      </c>
      <c r="AA339" s="99"/>
      <c r="AF339" s="99"/>
      <c r="AK339" s="99"/>
      <c r="AP339" s="99"/>
      <c r="AZ339" s="99"/>
      <c r="BE339" s="99"/>
      <c r="BJ339" s="99"/>
      <c r="BO339" s="99"/>
      <c r="BT339" s="99"/>
      <c r="BY339" s="546"/>
      <c r="BZ339" s="546"/>
      <c r="CA339" s="546"/>
      <c r="CB339" s="546"/>
      <c r="CC339" s="546"/>
      <c r="CD339" s="546"/>
      <c r="CE339" s="546"/>
      <c r="CF339" s="546"/>
      <c r="CG339" s="546"/>
      <c r="CH339" s="546"/>
      <c r="CI339" s="546"/>
      <c r="CJ339" s="546"/>
      <c r="CK339" s="546"/>
    </row>
    <row r="340" spans="1:89" x14ac:dyDescent="0.2">
      <c r="A340" s="133" t="s">
        <v>6405</v>
      </c>
      <c r="B340" s="1362" t="s">
        <v>6439</v>
      </c>
      <c r="C340" s="111" t="s">
        <v>6475</v>
      </c>
      <c r="D340" s="111" t="s">
        <v>6475</v>
      </c>
      <c r="F340" s="84">
        <f>'Cap Inc'!E60</f>
        <v>930000</v>
      </c>
      <c r="G340" s="84">
        <f>'Cap Inc'!F60</f>
        <v>1028000</v>
      </c>
      <c r="U340" s="99">
        <f t="shared" si="685"/>
        <v>0</v>
      </c>
      <c r="V340" s="99">
        <f>'Cap Inc'!E60</f>
        <v>930000</v>
      </c>
      <c r="W340" s="99"/>
      <c r="X340" s="99"/>
      <c r="Z340" s="99">
        <f t="shared" si="682"/>
        <v>0</v>
      </c>
      <c r="AA340" s="99">
        <f>'Cap Inc'!F60</f>
        <v>1028000</v>
      </c>
      <c r="AF340" s="99"/>
      <c r="AK340" s="99"/>
      <c r="AP340" s="99"/>
      <c r="AZ340" s="99"/>
      <c r="BE340" s="99"/>
      <c r="BJ340" s="99"/>
      <c r="BO340" s="99"/>
      <c r="BT340" s="99"/>
      <c r="BY340" s="546"/>
      <c r="BZ340" s="546"/>
      <c r="CA340" s="546"/>
      <c r="CB340" s="546"/>
      <c r="CC340" s="546"/>
      <c r="CD340" s="546"/>
      <c r="CE340" s="546"/>
      <c r="CF340" s="546"/>
      <c r="CG340" s="546"/>
      <c r="CH340" s="546"/>
      <c r="CI340" s="546"/>
      <c r="CJ340" s="546"/>
      <c r="CK340" s="546"/>
    </row>
    <row r="341" spans="1:89" x14ac:dyDescent="0.2">
      <c r="A341" s="993" t="s">
        <v>6407</v>
      </c>
      <c r="B341" s="1362" t="s">
        <v>6440</v>
      </c>
      <c r="C341" s="111"/>
      <c r="D341" s="1362" t="s">
        <v>6440</v>
      </c>
      <c r="F341" s="84">
        <f>496000-28000</f>
        <v>468000</v>
      </c>
      <c r="U341" s="84"/>
      <c r="V341" s="84">
        <f>F341</f>
        <v>468000</v>
      </c>
      <c r="W341" s="99"/>
    </row>
    <row r="342" spans="1:89" x14ac:dyDescent="0.2">
      <c r="A342" s="2323" t="s">
        <v>6290</v>
      </c>
      <c r="B342" s="198"/>
      <c r="C342" s="108"/>
      <c r="D342" s="111"/>
      <c r="V342" s="99">
        <v>1484000</v>
      </c>
      <c r="W342" s="99"/>
      <c r="X342" s="99"/>
      <c r="Z342" s="99">
        <f>F342-V342-W342-X342-Y342</f>
        <v>-1484000</v>
      </c>
      <c r="AA342" s="99"/>
      <c r="AF342" s="99"/>
      <c r="AK342" s="99"/>
      <c r="AP342" s="99"/>
      <c r="AZ342" s="99"/>
      <c r="BE342" s="99"/>
      <c r="BJ342" s="99"/>
      <c r="BO342" s="99"/>
      <c r="BT342" s="99"/>
      <c r="BY342" s="546"/>
      <c r="BZ342" s="546"/>
      <c r="CA342" s="546"/>
      <c r="CB342" s="546"/>
      <c r="CC342" s="546"/>
      <c r="CD342" s="546"/>
      <c r="CE342" s="546"/>
      <c r="CF342" s="546"/>
      <c r="CG342" s="546"/>
      <c r="CH342" s="546"/>
      <c r="CI342" s="546"/>
      <c r="CJ342" s="546"/>
      <c r="CK342" s="546"/>
    </row>
    <row r="343" spans="1:89" x14ac:dyDescent="0.2">
      <c r="A343" s="133" t="s">
        <v>6516</v>
      </c>
      <c r="B343" s="1362" t="s">
        <v>6522</v>
      </c>
      <c r="C343" s="111" t="s">
        <v>6523</v>
      </c>
      <c r="D343" s="111" t="s">
        <v>6523</v>
      </c>
      <c r="F343" s="84">
        <f>'Cap Inc'!E59</f>
        <v>787100</v>
      </c>
      <c r="V343" s="99">
        <f>'Cap Inc'!E59</f>
        <v>787100</v>
      </c>
      <c r="W343" s="99"/>
      <c r="X343" s="99"/>
      <c r="AA343" s="99"/>
      <c r="AF343" s="99"/>
      <c r="AK343" s="99"/>
      <c r="AP343" s="99"/>
      <c r="AZ343" s="99"/>
      <c r="BE343" s="99"/>
      <c r="BJ343" s="99"/>
      <c r="BO343" s="99"/>
      <c r="BT343" s="99"/>
      <c r="BY343" s="546"/>
      <c r="BZ343" s="546"/>
      <c r="CA343" s="546"/>
      <c r="CB343" s="546"/>
      <c r="CC343" s="546"/>
      <c r="CD343" s="546"/>
      <c r="CE343" s="546"/>
      <c r="CF343" s="546"/>
      <c r="CG343" s="546"/>
      <c r="CH343" s="546"/>
      <c r="CI343" s="546"/>
      <c r="CJ343" s="546"/>
      <c r="CK343" s="546"/>
    </row>
    <row r="344" spans="1:89" x14ac:dyDescent="0.2">
      <c r="A344" s="133"/>
      <c r="B344" s="198"/>
      <c r="C344" s="108"/>
      <c r="D344" s="111"/>
      <c r="Q344" s="84">
        <v>-192000</v>
      </c>
      <c r="T344" s="84">
        <v>192000</v>
      </c>
      <c r="U344" s="99">
        <v>192000</v>
      </c>
      <c r="V344" s="99"/>
      <c r="W344" s="99"/>
      <c r="X344" s="99"/>
      <c r="AA344" s="99"/>
      <c r="AF344" s="99"/>
      <c r="AK344" s="99"/>
      <c r="AP344" s="99"/>
      <c r="AZ344" s="99"/>
      <c r="BE344" s="99"/>
      <c r="BJ344" s="99"/>
      <c r="BO344" s="99"/>
      <c r="BT344" s="99"/>
      <c r="BY344" s="546"/>
      <c r="BZ344" s="546"/>
      <c r="CA344" s="546"/>
      <c r="CB344" s="546"/>
      <c r="CC344" s="546"/>
      <c r="CD344" s="546"/>
      <c r="CE344" s="546"/>
      <c r="CF344" s="546"/>
      <c r="CG344" s="546"/>
      <c r="CH344" s="546"/>
      <c r="CI344" s="546"/>
      <c r="CJ344" s="546"/>
      <c r="CK344" s="546"/>
    </row>
    <row r="345" spans="1:89" s="118" customFormat="1" ht="13.5" thickBot="1" x14ac:dyDescent="0.25">
      <c r="A345" s="118" t="s">
        <v>764</v>
      </c>
      <c r="B345" s="1367"/>
      <c r="C345" s="109"/>
      <c r="D345" s="109"/>
      <c r="E345" s="2239">
        <f>SUM(E303:E343)</f>
        <v>4724800</v>
      </c>
      <c r="F345" s="2239">
        <f t="shared" ref="F345:Z345" si="686">SUM(F303:F344)</f>
        <v>6036100</v>
      </c>
      <c r="G345" s="2239">
        <f t="shared" si="686"/>
        <v>1028000</v>
      </c>
      <c r="H345" s="2239">
        <f t="shared" si="686"/>
        <v>0</v>
      </c>
      <c r="I345" s="2239">
        <f t="shared" si="686"/>
        <v>0</v>
      </c>
      <c r="J345" s="2239">
        <f t="shared" si="686"/>
        <v>0</v>
      </c>
      <c r="K345" s="2239">
        <f t="shared" si="686"/>
        <v>0</v>
      </c>
      <c r="L345" s="2239">
        <f t="shared" si="686"/>
        <v>0</v>
      </c>
      <c r="M345" s="2239">
        <f t="shared" si="686"/>
        <v>0</v>
      </c>
      <c r="N345" s="2239">
        <f t="shared" si="686"/>
        <v>0</v>
      </c>
      <c r="O345" s="2239">
        <f t="shared" si="686"/>
        <v>0</v>
      </c>
      <c r="P345" s="2239">
        <f t="shared" si="686"/>
        <v>0</v>
      </c>
      <c r="Q345" s="2239">
        <f t="shared" si="686"/>
        <v>2302500</v>
      </c>
      <c r="R345" s="2239">
        <f t="shared" si="686"/>
        <v>240000</v>
      </c>
      <c r="S345" s="2239">
        <f t="shared" si="686"/>
        <v>0</v>
      </c>
      <c r="T345" s="2239">
        <f t="shared" si="686"/>
        <v>608200</v>
      </c>
      <c r="U345" s="2239">
        <f t="shared" si="686"/>
        <v>1766100</v>
      </c>
      <c r="V345" s="2239">
        <f t="shared" si="686"/>
        <v>4212100</v>
      </c>
      <c r="W345" s="2239">
        <f t="shared" si="686"/>
        <v>358000</v>
      </c>
      <c r="X345" s="2239">
        <f t="shared" si="686"/>
        <v>0</v>
      </c>
      <c r="Y345" s="2239">
        <f t="shared" si="686"/>
        <v>528600</v>
      </c>
      <c r="Z345" s="2239">
        <f t="shared" si="686"/>
        <v>937400</v>
      </c>
      <c r="AA345" s="145"/>
      <c r="AE345" s="145"/>
      <c r="AF345" s="145"/>
      <c r="AJ345" s="145"/>
      <c r="AK345" s="145"/>
      <c r="AO345" s="145"/>
      <c r="AP345" s="145"/>
      <c r="AT345" s="145"/>
      <c r="AU345" s="145"/>
      <c r="AY345" s="145"/>
      <c r="AZ345" s="145"/>
      <c r="BD345" s="145"/>
      <c r="BE345" s="145"/>
      <c r="BI345" s="145"/>
      <c r="BJ345" s="145"/>
      <c r="BN345" s="145"/>
      <c r="BO345" s="145"/>
      <c r="BS345" s="145"/>
      <c r="BT345" s="145"/>
      <c r="BX345" s="145"/>
      <c r="BY345" s="1390"/>
      <c r="BZ345" s="1390"/>
      <c r="CA345" s="1390"/>
      <c r="CB345" s="1390"/>
      <c r="CC345" s="1390"/>
      <c r="CD345" s="1390"/>
      <c r="CE345" s="1390"/>
      <c r="CF345" s="1390"/>
      <c r="CG345" s="1390"/>
      <c r="CH345" s="1390"/>
      <c r="CI345" s="1390"/>
      <c r="CJ345" s="1390"/>
      <c r="CK345" s="1390"/>
    </row>
    <row r="346" spans="1:89" s="118" customFormat="1" ht="13.5" thickTop="1" x14ac:dyDescent="0.2">
      <c r="A346" s="118" t="s">
        <v>89</v>
      </c>
      <c r="B346" s="1367"/>
      <c r="C346" s="109"/>
      <c r="D346" s="109"/>
      <c r="E346" s="118">
        <f>IF((E345+E301)=SUM(E138)-E363,0,(E345+E301-SUM(E138)+E363))</f>
        <v>0</v>
      </c>
      <c r="F346" s="118">
        <f>IF((F345+F301)=SUM(F138)-F363,0,(F345+F301-SUM(F138)-F363))</f>
        <v>0</v>
      </c>
      <c r="G346" s="84"/>
      <c r="H346" s="84"/>
      <c r="I346" s="84"/>
      <c r="Q346" s="118">
        <f t="shared" ref="Q346:Z346" si="687">IF((Q345+Q301)=SUM(Q138-Q363),0,(Q345+Q301-SUM(Q138)-Q363))</f>
        <v>-1691200</v>
      </c>
      <c r="R346" s="118">
        <f t="shared" si="687"/>
        <v>0</v>
      </c>
      <c r="S346" s="118">
        <f t="shared" si="687"/>
        <v>0</v>
      </c>
      <c r="T346" s="118">
        <f t="shared" si="687"/>
        <v>302300</v>
      </c>
      <c r="U346" s="118">
        <f t="shared" si="687"/>
        <v>1388900</v>
      </c>
      <c r="V346" s="118">
        <f t="shared" si="687"/>
        <v>0</v>
      </c>
      <c r="W346" s="118">
        <f t="shared" si="687"/>
        <v>0</v>
      </c>
      <c r="X346" s="118">
        <f t="shared" si="687"/>
        <v>0</v>
      </c>
      <c r="Y346" s="118">
        <f t="shared" si="687"/>
        <v>0</v>
      </c>
      <c r="Z346" s="118">
        <f t="shared" si="687"/>
        <v>0</v>
      </c>
      <c r="AA346" s="145"/>
      <c r="AE346" s="145"/>
      <c r="AF346" s="145"/>
      <c r="AJ346" s="145"/>
      <c r="AK346" s="145"/>
      <c r="AO346" s="145"/>
      <c r="AP346" s="145"/>
      <c r="AT346" s="145"/>
      <c r="AU346" s="145"/>
      <c r="AY346" s="145"/>
      <c r="AZ346" s="145"/>
      <c r="BD346" s="145"/>
      <c r="BE346" s="145"/>
      <c r="BI346" s="145"/>
      <c r="BJ346" s="145"/>
      <c r="BN346" s="145"/>
      <c r="BO346" s="145"/>
      <c r="BS346" s="145"/>
      <c r="BT346" s="145"/>
      <c r="BX346" s="145"/>
      <c r="BY346" s="1390"/>
      <c r="BZ346" s="1390"/>
      <c r="CA346" s="1390"/>
      <c r="CB346" s="1390"/>
      <c r="CC346" s="1390"/>
      <c r="CD346" s="1390"/>
      <c r="CE346" s="1390"/>
      <c r="CF346" s="1390"/>
      <c r="CG346" s="1390"/>
      <c r="CH346" s="1390"/>
      <c r="CI346" s="1390"/>
      <c r="CJ346" s="1390"/>
      <c r="CK346" s="1390"/>
    </row>
    <row r="347" spans="1:89" x14ac:dyDescent="0.2">
      <c r="B347" s="198"/>
      <c r="C347" s="108"/>
      <c r="D347" s="108"/>
      <c r="U347" s="84"/>
      <c r="V347" s="99"/>
      <c r="W347" s="99"/>
      <c r="X347" s="99"/>
      <c r="AA347" s="99"/>
      <c r="AF347" s="99"/>
      <c r="AK347" s="99"/>
      <c r="AP347" s="99"/>
      <c r="AZ347" s="99"/>
      <c r="BE347" s="99"/>
      <c r="BJ347" s="99"/>
      <c r="BO347" s="99"/>
      <c r="BT347" s="99"/>
      <c r="BY347" s="546"/>
      <c r="BZ347" s="546"/>
      <c r="CA347" s="546"/>
      <c r="CB347" s="546"/>
      <c r="CC347" s="546"/>
      <c r="CD347" s="546"/>
      <c r="CE347" s="546"/>
      <c r="CF347" s="546"/>
      <c r="CG347" s="546"/>
      <c r="CH347" s="546"/>
      <c r="CI347" s="546"/>
      <c r="CJ347" s="546"/>
      <c r="CK347" s="546"/>
    </row>
    <row r="348" spans="1:89" x14ac:dyDescent="0.2">
      <c r="A348" s="571" t="s">
        <v>1024</v>
      </c>
      <c r="B348" s="198"/>
      <c r="C348" s="108"/>
      <c r="D348" s="108"/>
      <c r="V348" s="99"/>
      <c r="W348" s="99"/>
      <c r="X348" s="99"/>
      <c r="AA348" s="99"/>
      <c r="AF348" s="99"/>
      <c r="AK348" s="99"/>
      <c r="AP348" s="99"/>
      <c r="AZ348" s="99"/>
      <c r="BE348" s="99"/>
      <c r="BJ348" s="99"/>
      <c r="BO348" s="99"/>
      <c r="BT348" s="99"/>
      <c r="BY348" s="546"/>
      <c r="BZ348" s="546"/>
      <c r="CA348" s="546"/>
      <c r="CB348" s="546"/>
      <c r="CC348" s="546"/>
      <c r="CD348" s="546"/>
      <c r="CE348" s="546"/>
      <c r="CF348" s="546"/>
      <c r="CG348" s="546"/>
      <c r="CH348" s="546"/>
      <c r="CI348" s="546"/>
      <c r="CJ348" s="546"/>
      <c r="CK348" s="546"/>
    </row>
    <row r="349" spans="1:89" x14ac:dyDescent="0.2">
      <c r="A349" s="133" t="s">
        <v>3421</v>
      </c>
      <c r="B349" s="1362" t="s">
        <v>2446</v>
      </c>
      <c r="C349" s="111"/>
      <c r="D349" s="111"/>
      <c r="H349" s="84">
        <f>F345+F301</f>
        <v>12948600</v>
      </c>
      <c r="U349" s="99">
        <f>I349-SUM(Q349:T349)</f>
        <v>0</v>
      </c>
      <c r="V349" s="99"/>
      <c r="W349" s="99"/>
      <c r="X349" s="99"/>
      <c r="Z349" s="99">
        <f t="shared" ref="Z349:Z362" si="688">F349-V349-W349-X349-Y349</f>
        <v>0</v>
      </c>
      <c r="AA349" s="99"/>
      <c r="AF349" s="99"/>
      <c r="AK349" s="99"/>
      <c r="AP349" s="99"/>
      <c r="AZ349" s="99"/>
      <c r="BE349" s="99"/>
      <c r="BJ349" s="99"/>
      <c r="BO349" s="99"/>
      <c r="BT349" s="99"/>
      <c r="BY349" s="546"/>
      <c r="BZ349" s="546"/>
      <c r="CA349" s="546"/>
      <c r="CB349" s="546"/>
      <c r="CC349" s="546"/>
      <c r="CD349" s="546"/>
      <c r="CE349" s="546"/>
      <c r="CF349" s="546"/>
      <c r="CG349" s="546"/>
      <c r="CH349" s="546"/>
      <c r="CI349" s="546"/>
      <c r="CJ349" s="546"/>
      <c r="CK349" s="546"/>
    </row>
    <row r="350" spans="1:89" x14ac:dyDescent="0.2">
      <c r="A350" s="133" t="s">
        <v>3421</v>
      </c>
      <c r="B350" s="1362" t="s">
        <v>2448</v>
      </c>
      <c r="C350" s="111"/>
      <c r="D350" s="111"/>
      <c r="U350" s="84">
        <f t="shared" ref="U350:U356" si="689">E350-SUM(Q350:T350)</f>
        <v>0</v>
      </c>
      <c r="V350" s="99"/>
      <c r="W350" s="99"/>
      <c r="X350" s="99"/>
      <c r="Z350" s="99">
        <f t="shared" si="688"/>
        <v>0</v>
      </c>
      <c r="AA350" s="99"/>
      <c r="AF350" s="99"/>
      <c r="AK350" s="99"/>
      <c r="AP350" s="99"/>
      <c r="AZ350" s="99"/>
      <c r="BE350" s="99"/>
      <c r="BJ350" s="99"/>
      <c r="BO350" s="99"/>
      <c r="BT350" s="99"/>
      <c r="BY350" s="546"/>
      <c r="BZ350" s="546"/>
      <c r="CA350" s="546"/>
      <c r="CB350" s="546"/>
      <c r="CC350" s="546"/>
      <c r="CD350" s="546"/>
      <c r="CE350" s="546"/>
      <c r="CF350" s="546"/>
      <c r="CG350" s="546"/>
      <c r="CH350" s="546"/>
      <c r="CI350" s="546"/>
      <c r="CJ350" s="546"/>
      <c r="CK350" s="546"/>
    </row>
    <row r="351" spans="1:89" x14ac:dyDescent="0.2">
      <c r="A351" s="133" t="s">
        <v>3420</v>
      </c>
      <c r="B351" s="1362" t="s">
        <v>2447</v>
      </c>
      <c r="C351" s="111"/>
      <c r="D351" s="111"/>
      <c r="U351" s="84">
        <f t="shared" si="689"/>
        <v>0</v>
      </c>
      <c r="V351" s="99"/>
      <c r="W351" s="99"/>
      <c r="X351" s="99"/>
      <c r="Z351" s="99">
        <f t="shared" si="688"/>
        <v>0</v>
      </c>
      <c r="AA351" s="99"/>
      <c r="AF351" s="99"/>
      <c r="AK351" s="99"/>
      <c r="AP351" s="99"/>
      <c r="AZ351" s="99"/>
      <c r="BE351" s="99"/>
      <c r="BJ351" s="99"/>
      <c r="BO351" s="99"/>
      <c r="BT351" s="99"/>
      <c r="BY351" s="546"/>
      <c r="BZ351" s="546"/>
      <c r="CA351" s="546"/>
      <c r="CB351" s="546"/>
      <c r="CC351" s="546"/>
      <c r="CD351" s="546"/>
      <c r="CE351" s="546"/>
      <c r="CF351" s="546"/>
      <c r="CG351" s="546"/>
      <c r="CH351" s="546"/>
      <c r="CI351" s="546"/>
      <c r="CJ351" s="546"/>
      <c r="CK351" s="546"/>
    </row>
    <row r="352" spans="1:89" x14ac:dyDescent="0.2">
      <c r="A352" s="1389" t="s">
        <v>3693</v>
      </c>
      <c r="B352" s="1362" t="s">
        <v>4001</v>
      </c>
      <c r="C352" s="111" t="s">
        <v>4117</v>
      </c>
      <c r="D352" s="111"/>
      <c r="E352" s="84">
        <v>96000</v>
      </c>
      <c r="F352" s="84">
        <v>54000</v>
      </c>
      <c r="Q352" s="84">
        <v>75000</v>
      </c>
      <c r="T352" s="133">
        <f>75000-54000</f>
        <v>21000</v>
      </c>
      <c r="U352" s="84">
        <f t="shared" si="689"/>
        <v>0</v>
      </c>
      <c r="W352" s="99"/>
      <c r="Y352" s="84">
        <v>54000</v>
      </c>
      <c r="Z352" s="99">
        <f t="shared" si="688"/>
        <v>0</v>
      </c>
    </row>
    <row r="353" spans="1:89" x14ac:dyDescent="0.2">
      <c r="A353" s="1389" t="s">
        <v>3421</v>
      </c>
      <c r="B353" s="1362" t="s">
        <v>2446</v>
      </c>
      <c r="C353" s="111"/>
      <c r="D353" s="111"/>
      <c r="U353" s="84">
        <f t="shared" si="689"/>
        <v>0</v>
      </c>
      <c r="W353" s="99"/>
      <c r="Z353" s="99">
        <f t="shared" si="688"/>
        <v>0</v>
      </c>
    </row>
    <row r="354" spans="1:89" x14ac:dyDescent="0.2">
      <c r="A354" s="133" t="s">
        <v>3694</v>
      </c>
      <c r="B354" s="1362" t="s">
        <v>4002</v>
      </c>
      <c r="C354" s="111" t="s">
        <v>4126</v>
      </c>
      <c r="D354" s="111" t="s">
        <v>4126</v>
      </c>
      <c r="E354" s="84">
        <v>0</v>
      </c>
      <c r="F354" s="84">
        <f>100000-26900</f>
        <v>73100</v>
      </c>
      <c r="U354" s="84">
        <f t="shared" si="689"/>
        <v>0</v>
      </c>
      <c r="V354" s="99"/>
      <c r="W354" s="99"/>
      <c r="X354" s="99"/>
      <c r="Z354" s="99">
        <f t="shared" si="688"/>
        <v>73100</v>
      </c>
      <c r="AA354" s="99"/>
      <c r="AF354" s="99"/>
      <c r="AK354" s="99"/>
      <c r="AP354" s="99"/>
      <c r="AZ354" s="99"/>
      <c r="BE354" s="99"/>
      <c r="BJ354" s="99"/>
      <c r="BO354" s="99"/>
      <c r="BT354" s="99"/>
      <c r="BY354" s="546"/>
      <c r="BZ354" s="546"/>
      <c r="CA354" s="546"/>
      <c r="CB354" s="546"/>
      <c r="CC354" s="546"/>
      <c r="CD354" s="546"/>
      <c r="CE354" s="546"/>
      <c r="CF354" s="546"/>
      <c r="CG354" s="546"/>
      <c r="CH354" s="546"/>
      <c r="CI354" s="546"/>
      <c r="CJ354" s="546"/>
      <c r="CK354" s="546"/>
    </row>
    <row r="355" spans="1:89" x14ac:dyDescent="0.2">
      <c r="A355" s="133" t="s">
        <v>3157</v>
      </c>
      <c r="B355" s="1362" t="s">
        <v>3158</v>
      </c>
      <c r="C355" s="111"/>
      <c r="D355" s="111"/>
      <c r="Q355" s="99"/>
      <c r="R355" s="99"/>
      <c r="S355" s="99"/>
      <c r="T355" s="99"/>
      <c r="U355" s="84">
        <f t="shared" si="689"/>
        <v>0</v>
      </c>
      <c r="V355" s="99"/>
      <c r="W355" s="99"/>
      <c r="X355" s="99"/>
      <c r="Z355" s="99">
        <f t="shared" si="688"/>
        <v>0</v>
      </c>
      <c r="AA355" s="99"/>
      <c r="AF355" s="99"/>
      <c r="AK355" s="99"/>
      <c r="AP355" s="99"/>
      <c r="AZ355" s="99"/>
      <c r="BE355" s="99"/>
      <c r="BJ355" s="99"/>
      <c r="BO355" s="99"/>
      <c r="BT355" s="99"/>
      <c r="BY355" s="546"/>
      <c r="BZ355" s="546"/>
      <c r="CA355" s="546"/>
      <c r="CB355" s="546"/>
      <c r="CC355" s="546"/>
      <c r="CD355" s="546"/>
      <c r="CE355" s="546"/>
      <c r="CF355" s="546"/>
      <c r="CG355" s="546"/>
      <c r="CH355" s="546"/>
      <c r="CI355" s="546"/>
      <c r="CJ355" s="546"/>
      <c r="CK355" s="546"/>
    </row>
    <row r="356" spans="1:89" x14ac:dyDescent="0.2">
      <c r="A356" s="133" t="s">
        <v>3519</v>
      </c>
      <c r="B356" s="1362" t="s">
        <v>3520</v>
      </c>
      <c r="C356" s="111"/>
      <c r="D356" s="111"/>
      <c r="Q356" s="99"/>
      <c r="R356" s="99"/>
      <c r="S356" s="99"/>
      <c r="T356" s="99"/>
      <c r="U356" s="84">
        <f t="shared" si="689"/>
        <v>0</v>
      </c>
      <c r="V356" s="99"/>
      <c r="W356" s="99"/>
      <c r="X356" s="99"/>
      <c r="Z356" s="99">
        <f t="shared" si="688"/>
        <v>0</v>
      </c>
      <c r="AA356" s="99"/>
      <c r="AF356" s="99"/>
      <c r="AK356" s="99"/>
      <c r="AP356" s="99"/>
      <c r="AZ356" s="99"/>
      <c r="BE356" s="99"/>
      <c r="BJ356" s="99"/>
      <c r="BO356" s="99"/>
      <c r="BT356" s="99"/>
      <c r="BY356" s="546"/>
      <c r="BZ356" s="546"/>
      <c r="CA356" s="546"/>
      <c r="CB356" s="546"/>
      <c r="CC356" s="546"/>
      <c r="CD356" s="546"/>
      <c r="CE356" s="546"/>
      <c r="CF356" s="546"/>
      <c r="CG356" s="546"/>
      <c r="CH356" s="546"/>
      <c r="CI356" s="546"/>
      <c r="CJ356" s="546"/>
      <c r="CK356" s="546"/>
    </row>
    <row r="357" spans="1:89" x14ac:dyDescent="0.2">
      <c r="A357" s="133" t="s">
        <v>6579</v>
      </c>
      <c r="B357" s="1362" t="s">
        <v>6581</v>
      </c>
      <c r="C357" s="111" t="s">
        <v>6580</v>
      </c>
      <c r="D357" s="111" t="s">
        <v>6580</v>
      </c>
      <c r="F357" s="84">
        <v>32000</v>
      </c>
      <c r="Q357" s="99"/>
      <c r="R357" s="99"/>
      <c r="S357" s="99"/>
      <c r="T357" s="99"/>
      <c r="U357" s="84"/>
      <c r="V357" s="99"/>
      <c r="W357" s="99"/>
      <c r="X357" s="99"/>
      <c r="Y357" s="84">
        <v>32000</v>
      </c>
      <c r="Z357" s="99">
        <f t="shared" si="688"/>
        <v>0</v>
      </c>
      <c r="AA357" s="99"/>
      <c r="AF357" s="99"/>
      <c r="AK357" s="99"/>
      <c r="AP357" s="99"/>
      <c r="AZ357" s="99"/>
      <c r="BE357" s="99"/>
      <c r="BJ357" s="99"/>
      <c r="BO357" s="99"/>
      <c r="BT357" s="99"/>
      <c r="BY357" s="546"/>
      <c r="BZ357" s="546"/>
      <c r="CA357" s="546"/>
      <c r="CB357" s="546"/>
      <c r="CC357" s="546"/>
      <c r="CD357" s="546"/>
      <c r="CE357" s="546"/>
      <c r="CF357" s="546"/>
      <c r="CG357" s="546"/>
      <c r="CH357" s="546"/>
      <c r="CI357" s="546"/>
      <c r="CJ357" s="546"/>
      <c r="CK357" s="546"/>
    </row>
    <row r="358" spans="1:89" x14ac:dyDescent="0.2">
      <c r="A358" s="133" t="s">
        <v>6584</v>
      </c>
      <c r="B358" s="1362" t="s">
        <v>6583</v>
      </c>
      <c r="C358" s="111" t="s">
        <v>6582</v>
      </c>
      <c r="D358" s="111" t="s">
        <v>6582</v>
      </c>
      <c r="F358" s="84">
        <v>58000</v>
      </c>
      <c r="Q358" s="99"/>
      <c r="R358" s="99"/>
      <c r="S358" s="99"/>
      <c r="T358" s="99"/>
      <c r="U358" s="84"/>
      <c r="V358" s="99"/>
      <c r="W358" s="99"/>
      <c r="X358" s="99"/>
      <c r="Y358" s="84">
        <v>58000</v>
      </c>
      <c r="Z358" s="99">
        <f t="shared" si="688"/>
        <v>0</v>
      </c>
      <c r="AA358" s="99"/>
      <c r="AF358" s="99"/>
      <c r="AK358" s="99"/>
      <c r="AP358" s="99"/>
      <c r="AZ358" s="99"/>
      <c r="BE358" s="99"/>
      <c r="BJ358" s="99"/>
      <c r="BO358" s="99"/>
      <c r="BT358" s="99"/>
      <c r="BY358" s="546"/>
      <c r="BZ358" s="546"/>
      <c r="CA358" s="546"/>
      <c r="CB358" s="546"/>
      <c r="CC358" s="546"/>
      <c r="CD358" s="546"/>
      <c r="CE358" s="546"/>
      <c r="CF358" s="546"/>
      <c r="CG358" s="546"/>
      <c r="CH358" s="546"/>
      <c r="CI358" s="546"/>
      <c r="CJ358" s="546"/>
      <c r="CK358" s="546"/>
    </row>
    <row r="359" spans="1:89" x14ac:dyDescent="0.2">
      <c r="A359" s="133" t="s">
        <v>7131</v>
      </c>
      <c r="B359" s="1362"/>
      <c r="C359" s="111"/>
      <c r="D359" s="111"/>
      <c r="F359" s="84">
        <v>33000</v>
      </c>
      <c r="Q359" s="99"/>
      <c r="R359" s="99"/>
      <c r="S359" s="99"/>
      <c r="T359" s="99"/>
      <c r="U359" s="84"/>
      <c r="V359" s="99"/>
      <c r="W359" s="99"/>
      <c r="X359" s="99"/>
      <c r="Y359" s="84">
        <v>33000</v>
      </c>
      <c r="Z359" s="99">
        <f t="shared" si="688"/>
        <v>0</v>
      </c>
      <c r="AA359" s="99"/>
      <c r="AF359" s="99"/>
      <c r="AK359" s="99"/>
      <c r="AP359" s="99"/>
      <c r="AZ359" s="99"/>
      <c r="BE359" s="99"/>
      <c r="BJ359" s="99"/>
      <c r="BO359" s="99"/>
      <c r="BT359" s="99"/>
      <c r="BY359" s="546"/>
      <c r="BZ359" s="546"/>
      <c r="CA359" s="546"/>
      <c r="CB359" s="546"/>
      <c r="CC359" s="546"/>
      <c r="CD359" s="546"/>
      <c r="CE359" s="546"/>
      <c r="CF359" s="546"/>
      <c r="CG359" s="546"/>
      <c r="CH359" s="546"/>
      <c r="CI359" s="546"/>
      <c r="CJ359" s="546"/>
      <c r="CK359" s="546"/>
    </row>
    <row r="360" spans="1:89" x14ac:dyDescent="0.2">
      <c r="A360" s="133" t="s">
        <v>7101</v>
      </c>
      <c r="B360" s="1362" t="s">
        <v>7102</v>
      </c>
      <c r="C360" s="111" t="s">
        <v>7100</v>
      </c>
      <c r="D360" s="111" t="s">
        <v>7100</v>
      </c>
      <c r="F360" s="84">
        <v>17200</v>
      </c>
      <c r="Q360" s="99"/>
      <c r="R360" s="99"/>
      <c r="S360" s="99"/>
      <c r="T360" s="99"/>
      <c r="U360" s="84"/>
      <c r="V360" s="99"/>
      <c r="W360" s="99"/>
      <c r="X360" s="99"/>
      <c r="Z360" s="99">
        <f t="shared" si="688"/>
        <v>17200</v>
      </c>
      <c r="AA360" s="99"/>
      <c r="AF360" s="99"/>
      <c r="AK360" s="99"/>
      <c r="AP360" s="99"/>
      <c r="AZ360" s="99"/>
      <c r="BE360" s="99"/>
      <c r="BJ360" s="99"/>
      <c r="BO360" s="99"/>
      <c r="BT360" s="99"/>
      <c r="BY360" s="546"/>
      <c r="BZ360" s="546"/>
      <c r="CA360" s="546"/>
      <c r="CB360" s="546"/>
      <c r="CC360" s="546"/>
      <c r="CD360" s="546"/>
      <c r="CE360" s="546"/>
      <c r="CF360" s="546"/>
      <c r="CG360" s="546"/>
      <c r="CH360" s="546"/>
      <c r="CI360" s="546"/>
      <c r="CJ360" s="546"/>
      <c r="CK360" s="546"/>
    </row>
    <row r="361" spans="1:89" x14ac:dyDescent="0.2">
      <c r="A361" s="133" t="s">
        <v>7103</v>
      </c>
      <c r="B361" s="1362" t="s">
        <v>7105</v>
      </c>
      <c r="C361" s="111" t="s">
        <v>7104</v>
      </c>
      <c r="D361" s="111" t="s">
        <v>7104</v>
      </c>
      <c r="F361" s="84">
        <v>19300</v>
      </c>
      <c r="Q361" s="99"/>
      <c r="R361" s="99"/>
      <c r="S361" s="99"/>
      <c r="T361" s="99"/>
      <c r="U361" s="84"/>
      <c r="V361" s="99"/>
      <c r="W361" s="99"/>
      <c r="X361" s="99"/>
      <c r="Z361" s="99">
        <f t="shared" si="688"/>
        <v>19300</v>
      </c>
      <c r="AA361" s="99"/>
      <c r="AF361" s="99"/>
      <c r="AK361" s="99"/>
      <c r="AP361" s="99"/>
      <c r="AZ361" s="99"/>
      <c r="BE361" s="99"/>
      <c r="BJ361" s="99"/>
      <c r="BO361" s="99"/>
      <c r="BT361" s="99"/>
      <c r="BY361" s="546"/>
      <c r="BZ361" s="546"/>
      <c r="CA361" s="546"/>
      <c r="CB361" s="546"/>
      <c r="CC361" s="546"/>
      <c r="CD361" s="546"/>
      <c r="CE361" s="546"/>
      <c r="CF361" s="546"/>
      <c r="CG361" s="546"/>
      <c r="CH361" s="546"/>
      <c r="CI361" s="546"/>
      <c r="CJ361" s="546"/>
      <c r="CK361" s="546"/>
    </row>
    <row r="362" spans="1:89" x14ac:dyDescent="0.2">
      <c r="B362" s="198"/>
      <c r="C362" s="108"/>
      <c r="D362" s="108"/>
      <c r="Q362" s="99"/>
      <c r="R362" s="99"/>
      <c r="S362" s="99"/>
      <c r="T362" s="99"/>
      <c r="U362" s="84">
        <f>E362-SUM(Q362:T362)</f>
        <v>0</v>
      </c>
      <c r="V362" s="99"/>
      <c r="W362" s="99"/>
      <c r="X362" s="99"/>
      <c r="Z362" s="99">
        <f t="shared" si="688"/>
        <v>0</v>
      </c>
      <c r="AA362" s="99"/>
      <c r="AF362" s="99"/>
      <c r="AK362" s="99"/>
      <c r="AP362" s="99"/>
      <c r="AZ362" s="99"/>
      <c r="BE362" s="99"/>
      <c r="BJ362" s="99"/>
      <c r="BO362" s="99"/>
      <c r="BT362" s="99"/>
      <c r="BY362" s="546"/>
      <c r="BZ362" s="546"/>
      <c r="CA362" s="546"/>
      <c r="CB362" s="546"/>
      <c r="CC362" s="546"/>
      <c r="CD362" s="546"/>
      <c r="CE362" s="546"/>
      <c r="CF362" s="546"/>
      <c r="CG362" s="546"/>
      <c r="CH362" s="546"/>
      <c r="CI362" s="546"/>
      <c r="CJ362" s="546"/>
      <c r="CK362" s="546"/>
    </row>
    <row r="363" spans="1:89" ht="13.5" thickBot="1" x14ac:dyDescent="0.25">
      <c r="B363" s="198"/>
      <c r="C363" s="108"/>
      <c r="D363" s="108"/>
      <c r="E363" s="2240">
        <f>SUM(E348:E362)</f>
        <v>96000</v>
      </c>
      <c r="F363" s="2240">
        <f>SUM(F348:F362)</f>
        <v>286600</v>
      </c>
      <c r="Q363" s="2240">
        <f t="shared" ref="Q363:Z363" si="690">SUM(Q348:Q362)</f>
        <v>75000</v>
      </c>
      <c r="R363" s="2240">
        <f t="shared" si="690"/>
        <v>0</v>
      </c>
      <c r="S363" s="2240">
        <f t="shared" si="690"/>
        <v>0</v>
      </c>
      <c r="T363" s="2240">
        <f t="shared" si="690"/>
        <v>21000</v>
      </c>
      <c r="U363" s="2240">
        <f t="shared" si="690"/>
        <v>0</v>
      </c>
      <c r="V363" s="2240">
        <f t="shared" si="690"/>
        <v>0</v>
      </c>
      <c r="W363" s="2240">
        <f t="shared" si="690"/>
        <v>0</v>
      </c>
      <c r="X363" s="2240">
        <f t="shared" si="690"/>
        <v>0</v>
      </c>
      <c r="Y363" s="2240">
        <f>SUM(Y348:Y362)</f>
        <v>177000</v>
      </c>
      <c r="Z363" s="2240">
        <f t="shared" si="690"/>
        <v>109600</v>
      </c>
      <c r="AA363" s="99"/>
      <c r="AF363" s="99"/>
      <c r="AK363" s="99"/>
      <c r="AP363" s="99"/>
      <c r="AZ363" s="99"/>
      <c r="BE363" s="99"/>
      <c r="BJ363" s="99"/>
      <c r="BO363" s="99"/>
      <c r="BT363" s="99"/>
      <c r="BY363" s="546"/>
      <c r="BZ363" s="546"/>
      <c r="CA363" s="546"/>
      <c r="CB363" s="546"/>
      <c r="CC363" s="546"/>
      <c r="CD363" s="546"/>
      <c r="CE363" s="546"/>
      <c r="CF363" s="546"/>
      <c r="CG363" s="546"/>
      <c r="CH363" s="546"/>
      <c r="CI363" s="546"/>
      <c r="CJ363" s="546"/>
      <c r="CK363" s="546"/>
    </row>
    <row r="364" spans="1:89" ht="13.5" thickTop="1" x14ac:dyDescent="0.2">
      <c r="A364" s="84" t="s">
        <v>89</v>
      </c>
      <c r="B364" s="198"/>
      <c r="C364" s="108"/>
      <c r="D364" s="108"/>
      <c r="E364" s="84">
        <f>IF(E363=E136,0,(E363-E136))</f>
        <v>0</v>
      </c>
      <c r="F364" s="84">
        <f>IF(F363=F136,0,(F363-F136))</f>
        <v>0</v>
      </c>
      <c r="Q364" s="84">
        <f t="shared" ref="Q364:Z364" si="691">IF(Q363=Q136,0,(Q363-Q136))</f>
        <v>0</v>
      </c>
      <c r="R364" s="84">
        <f t="shared" si="691"/>
        <v>0</v>
      </c>
      <c r="S364" s="84">
        <f t="shared" si="691"/>
        <v>0</v>
      </c>
      <c r="T364" s="84">
        <f t="shared" si="691"/>
        <v>0</v>
      </c>
      <c r="U364" s="84">
        <f t="shared" si="691"/>
        <v>0</v>
      </c>
      <c r="V364" s="84">
        <f t="shared" si="691"/>
        <v>0</v>
      </c>
      <c r="W364" s="84">
        <f t="shared" si="691"/>
        <v>0</v>
      </c>
      <c r="X364" s="84">
        <f t="shared" si="691"/>
        <v>0</v>
      </c>
      <c r="Y364" s="84">
        <f t="shared" si="691"/>
        <v>0</v>
      </c>
      <c r="Z364" s="84">
        <f t="shared" si="691"/>
        <v>0</v>
      </c>
      <c r="AA364" s="99"/>
      <c r="AF364" s="99"/>
      <c r="AK364" s="99"/>
      <c r="AP364" s="99"/>
      <c r="AZ364" s="99"/>
      <c r="BE364" s="99"/>
      <c r="BJ364" s="99"/>
      <c r="BO364" s="99"/>
      <c r="BT364" s="99"/>
      <c r="BY364" s="546"/>
      <c r="BZ364" s="546"/>
      <c r="CA364" s="546"/>
      <c r="CB364" s="546"/>
      <c r="CC364" s="546"/>
      <c r="CD364" s="546"/>
      <c r="CE364" s="546"/>
      <c r="CF364" s="546"/>
      <c r="CG364" s="546"/>
      <c r="CH364" s="546"/>
      <c r="CI364" s="546"/>
      <c r="CJ364" s="546"/>
      <c r="CK364" s="546"/>
    </row>
    <row r="365" spans="1:89" x14ac:dyDescent="0.2">
      <c r="B365" s="198"/>
      <c r="C365" s="108"/>
      <c r="D365" s="108"/>
      <c r="V365" s="99"/>
      <c r="W365" s="99"/>
      <c r="X365" s="99"/>
      <c r="AA365" s="99"/>
      <c r="AF365" s="99"/>
      <c r="AK365" s="99"/>
      <c r="AP365" s="99"/>
      <c r="AZ365" s="99"/>
      <c r="BE365" s="99"/>
      <c r="BJ365" s="99"/>
      <c r="BO365" s="99"/>
      <c r="BT365" s="99"/>
      <c r="BY365" s="546"/>
      <c r="BZ365" s="546"/>
      <c r="CA365" s="546"/>
      <c r="CB365" s="546"/>
      <c r="CC365" s="546"/>
      <c r="CD365" s="546"/>
      <c r="CE365" s="546"/>
      <c r="CF365" s="546"/>
      <c r="CG365" s="546"/>
      <c r="CH365" s="546"/>
      <c r="CI365" s="546"/>
      <c r="CJ365" s="546"/>
      <c r="CK365" s="546"/>
    </row>
    <row r="366" spans="1:89" x14ac:dyDescent="0.2">
      <c r="A366" s="571" t="s">
        <v>3534</v>
      </c>
      <c r="B366" s="198"/>
      <c r="C366" s="108"/>
      <c r="D366" s="108"/>
      <c r="V366" s="99"/>
      <c r="W366" s="99"/>
      <c r="X366" s="99"/>
      <c r="AA366" s="99"/>
      <c r="AF366" s="99"/>
      <c r="AK366" s="99"/>
      <c r="AP366" s="99"/>
      <c r="AZ366" s="99"/>
      <c r="BE366" s="99"/>
      <c r="BJ366" s="99"/>
      <c r="BO366" s="99"/>
      <c r="BT366" s="99"/>
      <c r="BY366" s="546"/>
      <c r="BZ366" s="546"/>
      <c r="CA366" s="546"/>
      <c r="CB366" s="546"/>
      <c r="CC366" s="546"/>
      <c r="CD366" s="546"/>
      <c r="CE366" s="546"/>
      <c r="CF366" s="546"/>
      <c r="CG366" s="546"/>
      <c r="CH366" s="546"/>
      <c r="CI366" s="546"/>
      <c r="CJ366" s="546"/>
      <c r="CK366" s="546"/>
    </row>
    <row r="367" spans="1:89" x14ac:dyDescent="0.2">
      <c r="A367" s="84" t="s">
        <v>6184</v>
      </c>
      <c r="B367" s="1362" t="s">
        <v>6344</v>
      </c>
      <c r="C367" s="111" t="s">
        <v>6345</v>
      </c>
      <c r="D367" s="111" t="s">
        <v>6345</v>
      </c>
      <c r="F367" s="84">
        <f>55000-10000</f>
        <v>45000</v>
      </c>
      <c r="V367" s="99"/>
      <c r="W367" s="99"/>
      <c r="X367" s="99"/>
      <c r="Z367" s="99">
        <f t="shared" ref="Z367:Z374" si="692">F367-V367-W367-X367-Y367</f>
        <v>45000</v>
      </c>
      <c r="AA367" s="99"/>
      <c r="AF367" s="99"/>
      <c r="AK367" s="99"/>
      <c r="AP367" s="99"/>
      <c r="AZ367" s="99"/>
      <c r="BE367" s="99"/>
      <c r="BJ367" s="99"/>
      <c r="BO367" s="99"/>
      <c r="BT367" s="99"/>
      <c r="BY367" s="546"/>
      <c r="BZ367" s="546"/>
      <c r="CA367" s="546"/>
      <c r="CB367" s="546"/>
      <c r="CC367" s="546"/>
      <c r="CD367" s="546"/>
      <c r="CE367" s="546"/>
      <c r="CF367" s="546"/>
      <c r="CG367" s="546"/>
      <c r="CH367" s="546"/>
      <c r="CI367" s="546"/>
      <c r="CJ367" s="546"/>
      <c r="CK367" s="546"/>
    </row>
    <row r="368" spans="1:89" x14ac:dyDescent="0.2">
      <c r="A368" s="84" t="s">
        <v>2003</v>
      </c>
      <c r="B368" s="198" t="s">
        <v>1555</v>
      </c>
      <c r="C368" s="2348" t="s">
        <v>5076</v>
      </c>
      <c r="D368" s="108"/>
      <c r="U368" s="84">
        <f t="shared" ref="U368:U376" si="693">E368-SUM(Q368:T368)</f>
        <v>0</v>
      </c>
      <c r="V368" s="99"/>
      <c r="W368" s="99"/>
      <c r="X368" s="99"/>
      <c r="Z368" s="99">
        <f t="shared" si="692"/>
        <v>0</v>
      </c>
      <c r="AA368" s="99"/>
      <c r="AF368" s="99"/>
      <c r="AK368" s="99"/>
      <c r="AP368" s="99"/>
      <c r="AZ368" s="99"/>
      <c r="BE368" s="99"/>
      <c r="BJ368" s="99"/>
      <c r="BO368" s="99"/>
      <c r="BT368" s="99"/>
      <c r="BY368" s="546"/>
      <c r="BZ368" s="546"/>
      <c r="CA368" s="546"/>
      <c r="CB368" s="546"/>
      <c r="CC368" s="546"/>
      <c r="CD368" s="546"/>
      <c r="CE368" s="546"/>
      <c r="CF368" s="546"/>
      <c r="CG368" s="546"/>
      <c r="CH368" s="546"/>
      <c r="CI368" s="546"/>
      <c r="CJ368" s="546"/>
      <c r="CK368" s="546"/>
    </row>
    <row r="369" spans="1:89" x14ac:dyDescent="0.2">
      <c r="A369" s="84" t="s">
        <v>1217</v>
      </c>
      <c r="B369" s="198" t="s">
        <v>1556</v>
      </c>
      <c r="C369" s="2348" t="s">
        <v>5076</v>
      </c>
      <c r="D369" s="108"/>
      <c r="U369" s="84">
        <f t="shared" si="693"/>
        <v>0</v>
      </c>
      <c r="V369" s="99"/>
      <c r="W369" s="99"/>
      <c r="X369" s="99"/>
      <c r="Z369" s="99">
        <f t="shared" si="692"/>
        <v>0</v>
      </c>
      <c r="AA369" s="99"/>
      <c r="AF369" s="99"/>
      <c r="AK369" s="99"/>
      <c r="AP369" s="99"/>
      <c r="AZ369" s="99"/>
      <c r="BE369" s="99"/>
      <c r="BJ369" s="99"/>
      <c r="BO369" s="99"/>
      <c r="BT369" s="99"/>
      <c r="BY369" s="546"/>
      <c r="BZ369" s="546"/>
      <c r="CA369" s="546"/>
      <c r="CB369" s="546"/>
      <c r="CC369" s="546"/>
      <c r="CD369" s="546"/>
      <c r="CE369" s="546"/>
      <c r="CF369" s="546"/>
      <c r="CG369" s="546"/>
      <c r="CH369" s="546"/>
      <c r="CI369" s="546"/>
      <c r="CJ369" s="546"/>
      <c r="CK369" s="546"/>
    </row>
    <row r="370" spans="1:89" x14ac:dyDescent="0.2">
      <c r="A370" s="133" t="s">
        <v>4768</v>
      </c>
      <c r="B370" s="1362" t="s">
        <v>3533</v>
      </c>
      <c r="C370" s="2348" t="s">
        <v>5076</v>
      </c>
      <c r="D370" s="111"/>
      <c r="E370" s="84">
        <f>100000-100000</f>
        <v>0</v>
      </c>
      <c r="T370" s="84">
        <v>0</v>
      </c>
      <c r="U370" s="84">
        <f t="shared" si="693"/>
        <v>0</v>
      </c>
      <c r="V370" s="99"/>
      <c r="W370" s="99"/>
      <c r="X370" s="99"/>
      <c r="Z370" s="99">
        <f t="shared" si="692"/>
        <v>0</v>
      </c>
      <c r="AA370" s="99"/>
      <c r="AF370" s="99"/>
      <c r="AK370" s="99"/>
      <c r="AP370" s="99"/>
      <c r="AZ370" s="99"/>
      <c r="BE370" s="99"/>
      <c r="BJ370" s="99"/>
      <c r="BO370" s="99"/>
      <c r="BT370" s="99"/>
      <c r="BY370" s="546"/>
      <c r="BZ370" s="546"/>
      <c r="CA370" s="546"/>
      <c r="CB370" s="546"/>
      <c r="CC370" s="546"/>
      <c r="CD370" s="546"/>
      <c r="CE370" s="546"/>
      <c r="CF370" s="546"/>
      <c r="CG370" s="546"/>
      <c r="CH370" s="546"/>
      <c r="CI370" s="546"/>
      <c r="CJ370" s="546"/>
      <c r="CK370" s="546"/>
    </row>
    <row r="371" spans="1:89" x14ac:dyDescent="0.2">
      <c r="A371" s="133" t="s">
        <v>3445</v>
      </c>
      <c r="B371" s="1362" t="s">
        <v>2270</v>
      </c>
      <c r="C371" s="111"/>
      <c r="D371" s="111"/>
      <c r="U371" s="84">
        <f t="shared" si="693"/>
        <v>0</v>
      </c>
      <c r="V371" s="99"/>
      <c r="W371" s="99"/>
      <c r="X371" s="99"/>
      <c r="Z371" s="99">
        <f t="shared" si="692"/>
        <v>0</v>
      </c>
      <c r="AA371" s="99"/>
      <c r="AF371" s="99"/>
      <c r="AK371" s="99"/>
      <c r="AP371" s="99"/>
      <c r="AZ371" s="99"/>
      <c r="BE371" s="99"/>
      <c r="BJ371" s="99"/>
      <c r="BO371" s="99"/>
      <c r="BT371" s="99"/>
      <c r="BY371" s="546"/>
      <c r="BZ371" s="546"/>
      <c r="CA371" s="546"/>
      <c r="CB371" s="546"/>
      <c r="CC371" s="546"/>
      <c r="CD371" s="546"/>
      <c r="CE371" s="546"/>
      <c r="CF371" s="546"/>
      <c r="CG371" s="546"/>
      <c r="CH371" s="546"/>
      <c r="CI371" s="546"/>
      <c r="CJ371" s="546"/>
      <c r="CK371" s="546"/>
    </row>
    <row r="372" spans="1:89" x14ac:dyDescent="0.2">
      <c r="A372" s="133" t="s">
        <v>5648</v>
      </c>
      <c r="B372" s="198" t="s">
        <v>599</v>
      </c>
      <c r="C372" s="111" t="s">
        <v>5076</v>
      </c>
      <c r="D372" s="198" t="s">
        <v>599</v>
      </c>
      <c r="E372" s="84">
        <v>29800</v>
      </c>
      <c r="F372" s="84">
        <v>62400</v>
      </c>
      <c r="Q372" s="84">
        <f>Q145</f>
        <v>0</v>
      </c>
      <c r="R372" s="84">
        <f>R145</f>
        <v>0</v>
      </c>
      <c r="S372" s="84">
        <f>S145</f>
        <v>0</v>
      </c>
      <c r="T372" s="84">
        <f>98000-7500</f>
        <v>90500</v>
      </c>
      <c r="U372" s="84">
        <f t="shared" si="693"/>
        <v>-60700</v>
      </c>
      <c r="V372" s="99"/>
      <c r="W372" s="99"/>
      <c r="X372" s="99"/>
      <c r="Y372" s="84">
        <v>62400</v>
      </c>
      <c r="Z372" s="99">
        <f t="shared" si="692"/>
        <v>0</v>
      </c>
      <c r="AA372" s="99"/>
      <c r="AF372" s="99"/>
      <c r="AK372" s="99"/>
      <c r="AP372" s="99"/>
      <c r="AZ372" s="99"/>
      <c r="BE372" s="99"/>
      <c r="BJ372" s="99"/>
      <c r="BO372" s="99"/>
      <c r="BT372" s="99"/>
      <c r="BY372" s="546"/>
      <c r="BZ372" s="546"/>
      <c r="CA372" s="546"/>
      <c r="CB372" s="546"/>
      <c r="CC372" s="546"/>
      <c r="CD372" s="546"/>
      <c r="CE372" s="546"/>
      <c r="CF372" s="546"/>
      <c r="CG372" s="546"/>
      <c r="CH372" s="546"/>
      <c r="CI372" s="546"/>
      <c r="CJ372" s="546"/>
      <c r="CK372" s="546"/>
    </row>
    <row r="373" spans="1:89" x14ac:dyDescent="0.2">
      <c r="A373" s="133" t="s">
        <v>5657</v>
      </c>
      <c r="B373" s="1362" t="s">
        <v>6558</v>
      </c>
      <c r="C373" s="111" t="s">
        <v>5658</v>
      </c>
      <c r="D373" s="111"/>
      <c r="E373" s="84">
        <v>1014300</v>
      </c>
      <c r="F373" s="84">
        <f>770700</f>
        <v>770700</v>
      </c>
      <c r="T373" s="84">
        <f>E373</f>
        <v>1014300</v>
      </c>
      <c r="U373" s="84">
        <f t="shared" si="693"/>
        <v>0</v>
      </c>
      <c r="V373" s="99"/>
      <c r="W373" s="99"/>
      <c r="X373" s="99"/>
      <c r="Y373" s="133">
        <f>770700</f>
        <v>770700</v>
      </c>
      <c r="Z373" s="99">
        <f t="shared" si="692"/>
        <v>0</v>
      </c>
      <c r="AA373" s="99"/>
      <c r="AF373" s="99"/>
      <c r="AK373" s="99"/>
      <c r="AP373" s="99"/>
      <c r="AZ373" s="99"/>
      <c r="BE373" s="99"/>
      <c r="BJ373" s="99"/>
      <c r="BO373" s="99"/>
      <c r="BT373" s="99"/>
      <c r="BY373" s="546"/>
      <c r="BZ373" s="546"/>
      <c r="CA373" s="546"/>
      <c r="CB373" s="546"/>
      <c r="CC373" s="546"/>
      <c r="CD373" s="546"/>
      <c r="CE373" s="546"/>
      <c r="CF373" s="546"/>
      <c r="CG373" s="546"/>
      <c r="CH373" s="546"/>
      <c r="CI373" s="546"/>
      <c r="CJ373" s="546"/>
      <c r="CK373" s="546"/>
    </row>
    <row r="374" spans="1:89" x14ac:dyDescent="0.2">
      <c r="A374" s="133" t="s">
        <v>6289</v>
      </c>
      <c r="B374" s="1362" t="s">
        <v>6346</v>
      </c>
      <c r="C374" s="111" t="s">
        <v>6348</v>
      </c>
      <c r="D374" s="111" t="s">
        <v>6348</v>
      </c>
      <c r="F374" s="133">
        <f>1700000-850000-850000</f>
        <v>0</v>
      </c>
      <c r="U374" s="84">
        <f t="shared" si="693"/>
        <v>0</v>
      </c>
      <c r="V374" s="99">
        <v>0</v>
      </c>
      <c r="W374" s="99"/>
      <c r="X374" s="99"/>
      <c r="Z374" s="99">
        <f t="shared" si="692"/>
        <v>0</v>
      </c>
      <c r="AA374" s="99"/>
      <c r="AF374" s="99"/>
      <c r="AK374" s="99"/>
      <c r="AP374" s="99"/>
      <c r="AZ374" s="99"/>
      <c r="BE374" s="99"/>
      <c r="BJ374" s="99"/>
      <c r="BO374" s="99"/>
      <c r="BT374" s="99"/>
      <c r="BY374" s="546"/>
      <c r="BZ374" s="546"/>
      <c r="CA374" s="546"/>
      <c r="CB374" s="546"/>
      <c r="CC374" s="546"/>
      <c r="CD374" s="546"/>
      <c r="CE374" s="546"/>
      <c r="CF374" s="546"/>
      <c r="CG374" s="546"/>
      <c r="CH374" s="546"/>
      <c r="CI374" s="546"/>
      <c r="CJ374" s="546"/>
      <c r="CK374" s="546"/>
    </row>
    <row r="375" spans="1:89" x14ac:dyDescent="0.2">
      <c r="A375" s="133" t="s">
        <v>6833</v>
      </c>
      <c r="B375" s="1362" t="s">
        <v>6834</v>
      </c>
      <c r="C375" s="111"/>
      <c r="D375" s="111"/>
      <c r="E375" s="84">
        <v>1200</v>
      </c>
      <c r="F375" s="133"/>
      <c r="U375" s="84">
        <f t="shared" si="693"/>
        <v>1200</v>
      </c>
      <c r="V375" s="99"/>
      <c r="W375" s="99"/>
      <c r="X375" s="99"/>
      <c r="AA375" s="99"/>
      <c r="AF375" s="99"/>
      <c r="AK375" s="99"/>
      <c r="AP375" s="99"/>
      <c r="AZ375" s="99"/>
      <c r="BE375" s="99"/>
      <c r="BJ375" s="99"/>
      <c r="BO375" s="99"/>
      <c r="BT375" s="99"/>
      <c r="BY375" s="546"/>
      <c r="BZ375" s="546"/>
      <c r="CA375" s="546"/>
      <c r="CB375" s="546"/>
      <c r="CC375" s="546"/>
      <c r="CD375" s="546"/>
      <c r="CE375" s="546"/>
      <c r="CF375" s="546"/>
      <c r="CG375" s="546"/>
      <c r="CH375" s="546"/>
      <c r="CI375" s="546"/>
      <c r="CJ375" s="546"/>
      <c r="CK375" s="546"/>
    </row>
    <row r="376" spans="1:89" x14ac:dyDescent="0.2">
      <c r="A376" s="133" t="s">
        <v>6232</v>
      </c>
      <c r="B376" s="1362" t="s">
        <v>6347</v>
      </c>
      <c r="C376" s="111" t="s">
        <v>6349</v>
      </c>
      <c r="D376" s="111" t="s">
        <v>6349</v>
      </c>
      <c r="F376" s="84">
        <f>80000-4000-40000</f>
        <v>36000</v>
      </c>
      <c r="U376" s="84">
        <f t="shared" si="693"/>
        <v>0</v>
      </c>
      <c r="V376" s="99"/>
      <c r="W376" s="99"/>
      <c r="X376" s="99"/>
      <c r="Z376" s="99">
        <f t="shared" ref="Z376:Z382" si="694">F376-V376-W376-X376-Y376</f>
        <v>36000</v>
      </c>
      <c r="AA376" s="99"/>
      <c r="AF376" s="99"/>
      <c r="AK376" s="99"/>
      <c r="AP376" s="99"/>
      <c r="AZ376" s="99"/>
      <c r="BE376" s="99"/>
      <c r="BJ376" s="99"/>
      <c r="BO376" s="99"/>
      <c r="BT376" s="99"/>
      <c r="BY376" s="546"/>
      <c r="BZ376" s="546"/>
      <c r="CA376" s="546"/>
      <c r="CB376" s="546"/>
      <c r="CC376" s="546"/>
      <c r="CD376" s="546"/>
      <c r="CE376" s="546"/>
      <c r="CF376" s="546"/>
      <c r="CG376" s="546"/>
      <c r="CH376" s="546"/>
      <c r="CI376" s="546"/>
      <c r="CJ376" s="546"/>
      <c r="CK376" s="546"/>
    </row>
    <row r="377" spans="1:89" x14ac:dyDescent="0.2">
      <c r="A377" s="133" t="s">
        <v>6591</v>
      </c>
      <c r="B377" s="1362" t="s">
        <v>6592</v>
      </c>
      <c r="C377" s="111" t="s">
        <v>5076</v>
      </c>
      <c r="D377" s="111" t="str">
        <f>B377</f>
        <v>2024.6596.0401</v>
      </c>
      <c r="F377" s="84">
        <f>80000-80000</f>
        <v>0</v>
      </c>
      <c r="U377" s="84"/>
      <c r="V377" s="99"/>
      <c r="W377" s="99"/>
      <c r="X377" s="99"/>
      <c r="Z377" s="99">
        <f t="shared" si="694"/>
        <v>0</v>
      </c>
      <c r="AA377" s="99"/>
      <c r="AF377" s="99"/>
      <c r="AK377" s="99"/>
      <c r="AP377" s="99"/>
      <c r="AZ377" s="99"/>
      <c r="BE377" s="99"/>
      <c r="BJ377" s="99"/>
      <c r="BO377" s="99"/>
      <c r="BT377" s="99"/>
      <c r="BY377" s="546"/>
      <c r="BZ377" s="546"/>
      <c r="CA377" s="546"/>
      <c r="CB377" s="546"/>
      <c r="CC377" s="546"/>
      <c r="CD377" s="546"/>
      <c r="CE377" s="546"/>
      <c r="CF377" s="546"/>
      <c r="CG377" s="546"/>
      <c r="CH377" s="546"/>
      <c r="CI377" s="546"/>
      <c r="CJ377" s="546"/>
      <c r="CK377" s="546"/>
    </row>
    <row r="378" spans="1:89" x14ac:dyDescent="0.2">
      <c r="A378" s="133" t="s">
        <v>5183</v>
      </c>
      <c r="B378" s="1362" t="s">
        <v>6846</v>
      </c>
      <c r="C378" s="2348" t="s">
        <v>5076</v>
      </c>
      <c r="D378" s="111"/>
      <c r="E378" s="84">
        <v>595100</v>
      </c>
      <c r="F378" s="84">
        <v>0</v>
      </c>
      <c r="Q378" s="84">
        <f>176000+120000</f>
        <v>296000</v>
      </c>
      <c r="R378" s="84">
        <v>0</v>
      </c>
      <c r="S378" s="84">
        <v>0</v>
      </c>
      <c r="T378" s="133">
        <f>T144</f>
        <v>336900</v>
      </c>
      <c r="U378" s="84">
        <f>E378-SUM(Q378:T378)</f>
        <v>-37800</v>
      </c>
      <c r="V378" s="99"/>
      <c r="W378" s="99"/>
      <c r="X378" s="99"/>
      <c r="Z378" s="99">
        <f t="shared" si="694"/>
        <v>0</v>
      </c>
      <c r="AA378" s="99"/>
      <c r="AF378" s="99"/>
      <c r="AK378" s="99"/>
      <c r="AP378" s="99"/>
      <c r="AZ378" s="99"/>
      <c r="BE378" s="99"/>
      <c r="BJ378" s="99"/>
      <c r="BO378" s="99"/>
      <c r="BT378" s="99"/>
      <c r="BY378" s="546"/>
      <c r="BZ378" s="546"/>
      <c r="CA378" s="546"/>
      <c r="CB378" s="546"/>
      <c r="CC378" s="546"/>
      <c r="CD378" s="546"/>
      <c r="CE378" s="546"/>
      <c r="CF378" s="546"/>
      <c r="CG378" s="546"/>
      <c r="CH378" s="546"/>
      <c r="CI378" s="546"/>
      <c r="CJ378" s="546"/>
      <c r="CK378" s="546"/>
    </row>
    <row r="379" spans="1:89" x14ac:dyDescent="0.2">
      <c r="A379" s="133" t="s">
        <v>6557</v>
      </c>
      <c r="B379" s="1362" t="s">
        <v>6556</v>
      </c>
      <c r="C379" s="2348" t="s">
        <v>5076</v>
      </c>
      <c r="D379" s="1362" t="s">
        <v>6556</v>
      </c>
      <c r="F379" s="133">
        <f>37800-35000</f>
        <v>2800</v>
      </c>
      <c r="U379" s="84"/>
      <c r="V379" s="99"/>
      <c r="W379" s="99"/>
      <c r="X379" s="99"/>
      <c r="Y379" s="84">
        <f>37800-35000</f>
        <v>2800</v>
      </c>
      <c r="Z379" s="99">
        <f t="shared" si="694"/>
        <v>0</v>
      </c>
      <c r="AA379" s="99"/>
      <c r="AF379" s="99"/>
      <c r="AK379" s="99"/>
      <c r="AP379" s="99"/>
      <c r="AZ379" s="99"/>
      <c r="BE379" s="99"/>
      <c r="BJ379" s="99"/>
      <c r="BO379" s="99"/>
      <c r="BT379" s="99"/>
      <c r="BY379" s="546"/>
      <c r="BZ379" s="546"/>
      <c r="CA379" s="546"/>
      <c r="CB379" s="546"/>
      <c r="CC379" s="546"/>
      <c r="CD379" s="546"/>
      <c r="CE379" s="546"/>
      <c r="CF379" s="546"/>
      <c r="CG379" s="546"/>
      <c r="CH379" s="546"/>
      <c r="CI379" s="546"/>
      <c r="CJ379" s="546"/>
      <c r="CK379" s="546"/>
    </row>
    <row r="380" spans="1:89" x14ac:dyDescent="0.2">
      <c r="A380" s="133" t="s">
        <v>5647</v>
      </c>
      <c r="B380" s="1362" t="s">
        <v>5052</v>
      </c>
      <c r="C380" s="2348" t="s">
        <v>5076</v>
      </c>
      <c r="D380" s="111"/>
      <c r="E380" s="84">
        <v>93000</v>
      </c>
      <c r="Q380" s="84">
        <f>'Cap Inc'!B69</f>
        <v>46300</v>
      </c>
      <c r="T380" s="84">
        <v>46300</v>
      </c>
      <c r="U380" s="84">
        <f t="shared" ref="U380:U387" si="695">E380-SUM(Q380:T380)</f>
        <v>400</v>
      </c>
      <c r="V380" s="99"/>
      <c r="W380" s="99"/>
      <c r="X380" s="99"/>
      <c r="Z380" s="99">
        <f t="shared" si="694"/>
        <v>0</v>
      </c>
      <c r="AA380" s="99"/>
      <c r="AF380" s="99"/>
      <c r="AK380" s="99"/>
      <c r="AP380" s="99"/>
      <c r="AZ380" s="99"/>
      <c r="BE380" s="99"/>
      <c r="BJ380" s="99"/>
      <c r="BO380" s="99"/>
      <c r="BT380" s="99"/>
      <c r="BY380" s="546"/>
      <c r="BZ380" s="546"/>
      <c r="CA380" s="546"/>
      <c r="CB380" s="546"/>
      <c r="CC380" s="546"/>
      <c r="CD380" s="546"/>
      <c r="CE380" s="546"/>
      <c r="CF380" s="546"/>
      <c r="CG380" s="546"/>
      <c r="CH380" s="546"/>
      <c r="CI380" s="546"/>
      <c r="CJ380" s="546"/>
      <c r="CK380" s="546"/>
    </row>
    <row r="381" spans="1:89" x14ac:dyDescent="0.2">
      <c r="A381" s="84" t="s">
        <v>1218</v>
      </c>
      <c r="B381" s="198" t="s">
        <v>1135</v>
      </c>
      <c r="C381" s="2348" t="s">
        <v>5076</v>
      </c>
      <c r="D381" s="108"/>
      <c r="E381" s="84">
        <v>30100</v>
      </c>
      <c r="T381" s="84">
        <f>E381</f>
        <v>30100</v>
      </c>
      <c r="U381" s="84">
        <f t="shared" si="695"/>
        <v>0</v>
      </c>
      <c r="V381" s="99"/>
      <c r="W381" s="99"/>
      <c r="X381" s="99"/>
      <c r="Z381" s="99">
        <f t="shared" si="694"/>
        <v>0</v>
      </c>
      <c r="AA381" s="99"/>
      <c r="AF381" s="99"/>
      <c r="AK381" s="99"/>
      <c r="AP381" s="99"/>
      <c r="AZ381" s="99"/>
      <c r="BE381" s="99"/>
      <c r="BJ381" s="99"/>
      <c r="BO381" s="99"/>
      <c r="BT381" s="99"/>
      <c r="BY381" s="546"/>
      <c r="BZ381" s="546"/>
      <c r="CA381" s="546"/>
      <c r="CB381" s="546"/>
      <c r="CC381" s="546"/>
      <c r="CD381" s="546"/>
      <c r="CE381" s="546"/>
      <c r="CF381" s="546"/>
      <c r="CG381" s="546"/>
      <c r="CH381" s="546"/>
      <c r="CI381" s="546"/>
      <c r="CJ381" s="546"/>
      <c r="CK381" s="546"/>
    </row>
    <row r="382" spans="1:89" x14ac:dyDescent="0.2">
      <c r="A382" s="133" t="s">
        <v>6102</v>
      </c>
      <c r="B382" s="1362" t="s">
        <v>6254</v>
      </c>
      <c r="C382" s="111" t="s">
        <v>6103</v>
      </c>
      <c r="E382" s="84">
        <v>30300</v>
      </c>
      <c r="Q382" s="84">
        <f>'Cap Inc'!B64</f>
        <v>19900</v>
      </c>
      <c r="T382" s="84">
        <v>7500</v>
      </c>
      <c r="U382" s="84">
        <f t="shared" si="695"/>
        <v>2900</v>
      </c>
      <c r="V382" s="99"/>
      <c r="W382" s="99"/>
      <c r="X382" s="99"/>
      <c r="Z382" s="99">
        <f t="shared" si="694"/>
        <v>0</v>
      </c>
      <c r="AA382" s="99"/>
      <c r="AF382" s="99"/>
      <c r="AK382" s="99"/>
      <c r="AP382" s="99"/>
      <c r="AZ382" s="99"/>
      <c r="BE382" s="99"/>
      <c r="BJ382" s="99"/>
      <c r="BO382" s="99"/>
      <c r="BT382" s="99"/>
      <c r="BY382" s="546"/>
      <c r="BZ382" s="546"/>
      <c r="CA382" s="546"/>
      <c r="CB382" s="546"/>
      <c r="CC382" s="546"/>
      <c r="CD382" s="546"/>
      <c r="CE382" s="546"/>
      <c r="CF382" s="546"/>
      <c r="CG382" s="546"/>
      <c r="CH382" s="546"/>
      <c r="CI382" s="546"/>
      <c r="CJ382" s="546"/>
      <c r="CK382" s="546"/>
    </row>
    <row r="383" spans="1:89" x14ac:dyDescent="0.2">
      <c r="A383" s="133" t="s">
        <v>6835</v>
      </c>
      <c r="B383" s="1362" t="s">
        <v>6836</v>
      </c>
      <c r="C383" s="111"/>
      <c r="E383" s="84">
        <v>1600</v>
      </c>
      <c r="U383" s="84">
        <f t="shared" si="695"/>
        <v>1600</v>
      </c>
      <c r="V383" s="99"/>
      <c r="W383" s="99"/>
      <c r="X383" s="99"/>
      <c r="AA383" s="99"/>
      <c r="AF383" s="99"/>
      <c r="AK383" s="99"/>
      <c r="AP383" s="99"/>
      <c r="AZ383" s="99"/>
      <c r="BE383" s="99"/>
      <c r="BJ383" s="99"/>
      <c r="BO383" s="99"/>
      <c r="BT383" s="99"/>
      <c r="BY383" s="546"/>
      <c r="BZ383" s="546"/>
      <c r="CA383" s="546"/>
      <c r="CB383" s="546"/>
      <c r="CC383" s="546"/>
      <c r="CD383" s="546"/>
      <c r="CE383" s="546"/>
      <c r="CF383" s="546"/>
      <c r="CG383" s="546"/>
      <c r="CH383" s="546"/>
      <c r="CI383" s="546"/>
      <c r="CJ383" s="546"/>
      <c r="CK383" s="546"/>
    </row>
    <row r="384" spans="1:89" x14ac:dyDescent="0.2">
      <c r="A384" s="133" t="s">
        <v>3422</v>
      </c>
      <c r="B384" s="1362" t="s">
        <v>2471</v>
      </c>
      <c r="C384" s="2348" t="s">
        <v>5076</v>
      </c>
      <c r="D384" s="111"/>
      <c r="U384" s="84">
        <f t="shared" si="695"/>
        <v>0</v>
      </c>
      <c r="V384" s="99"/>
      <c r="W384" s="99"/>
      <c r="X384" s="99"/>
      <c r="Z384" s="99">
        <f t="shared" ref="Z384:Z414" si="696">F384-V384-W384-X384-Y384</f>
        <v>0</v>
      </c>
      <c r="AA384" s="99"/>
      <c r="AF384" s="99"/>
      <c r="AK384" s="99"/>
      <c r="AP384" s="99"/>
      <c r="AZ384" s="99"/>
      <c r="BE384" s="99"/>
      <c r="BJ384" s="99"/>
      <c r="BO384" s="99"/>
      <c r="BT384" s="99"/>
      <c r="BY384" s="546"/>
      <c r="BZ384" s="546"/>
      <c r="CA384" s="546"/>
      <c r="CB384" s="546"/>
      <c r="CC384" s="546"/>
      <c r="CD384" s="546"/>
      <c r="CE384" s="546"/>
      <c r="CF384" s="546"/>
      <c r="CG384" s="546"/>
      <c r="CH384" s="546"/>
      <c r="CI384" s="546"/>
      <c r="CJ384" s="546"/>
      <c r="CK384" s="546"/>
    </row>
    <row r="385" spans="1:89" x14ac:dyDescent="0.2">
      <c r="A385" s="133" t="s">
        <v>1014</v>
      </c>
      <c r="B385" s="1362" t="s">
        <v>5290</v>
      </c>
      <c r="C385" s="111" t="s">
        <v>5289</v>
      </c>
      <c r="E385" s="84">
        <v>23700</v>
      </c>
      <c r="F385" s="133"/>
      <c r="U385" s="84">
        <f t="shared" si="695"/>
        <v>23700</v>
      </c>
      <c r="V385" s="99"/>
      <c r="W385" s="99"/>
      <c r="X385" s="99"/>
      <c r="Z385" s="99">
        <f t="shared" si="696"/>
        <v>0</v>
      </c>
      <c r="AA385" s="99"/>
      <c r="AF385" s="99"/>
      <c r="AK385" s="99"/>
      <c r="AP385" s="99"/>
      <c r="AZ385" s="99"/>
      <c r="BE385" s="99"/>
      <c r="BJ385" s="99"/>
      <c r="BO385" s="99"/>
      <c r="BT385" s="99"/>
      <c r="BY385" s="546"/>
      <c r="BZ385" s="546"/>
      <c r="CA385" s="546"/>
      <c r="CB385" s="546"/>
      <c r="CC385" s="546"/>
      <c r="CD385" s="546"/>
      <c r="CE385" s="546"/>
      <c r="CF385" s="546"/>
      <c r="CG385" s="546"/>
      <c r="CH385" s="546"/>
      <c r="CI385" s="546"/>
      <c r="CJ385" s="546"/>
      <c r="CK385" s="546"/>
    </row>
    <row r="386" spans="1:89" ht="12" customHeight="1" x14ac:dyDescent="0.2">
      <c r="A386" s="133" t="s">
        <v>3446</v>
      </c>
      <c r="B386" s="1362" t="s">
        <v>1015</v>
      </c>
      <c r="C386" s="2348" t="s">
        <v>5076</v>
      </c>
      <c r="D386" s="111"/>
      <c r="U386" s="84">
        <f t="shared" si="695"/>
        <v>0</v>
      </c>
      <c r="V386" s="99"/>
      <c r="W386" s="99"/>
      <c r="X386" s="99"/>
      <c r="Z386" s="99">
        <f t="shared" si="696"/>
        <v>0</v>
      </c>
      <c r="AA386" s="99"/>
      <c r="AF386" s="99"/>
      <c r="AK386" s="99"/>
      <c r="AP386" s="99"/>
      <c r="AZ386" s="99"/>
      <c r="BE386" s="99"/>
      <c r="BJ386" s="99"/>
      <c r="BO386" s="99"/>
      <c r="BT386" s="99"/>
      <c r="BY386" s="546"/>
      <c r="BZ386" s="546"/>
      <c r="CA386" s="546"/>
      <c r="CB386" s="546"/>
      <c r="CC386" s="546"/>
      <c r="CD386" s="546"/>
      <c r="CE386" s="546"/>
      <c r="CF386" s="546"/>
      <c r="CG386" s="546"/>
      <c r="CH386" s="546"/>
      <c r="CI386" s="546"/>
      <c r="CJ386" s="546"/>
      <c r="CK386" s="546"/>
    </row>
    <row r="387" spans="1:89" x14ac:dyDescent="0.2">
      <c r="A387" s="133" t="s">
        <v>2244</v>
      </c>
      <c r="B387" s="1362" t="s">
        <v>2449</v>
      </c>
      <c r="C387" s="2348" t="s">
        <v>5076</v>
      </c>
      <c r="D387" s="111"/>
      <c r="U387" s="84">
        <f t="shared" si="695"/>
        <v>0</v>
      </c>
      <c r="V387" s="99"/>
      <c r="W387" s="99"/>
      <c r="X387" s="99"/>
      <c r="Z387" s="99">
        <f t="shared" si="696"/>
        <v>0</v>
      </c>
      <c r="AA387" s="99"/>
      <c r="AF387" s="99"/>
      <c r="AK387" s="99"/>
      <c r="AP387" s="99"/>
      <c r="AZ387" s="99"/>
      <c r="BE387" s="99"/>
      <c r="BJ387" s="99"/>
      <c r="BO387" s="99"/>
      <c r="BT387" s="99"/>
      <c r="BY387" s="546"/>
      <c r="BZ387" s="546"/>
      <c r="CA387" s="546"/>
      <c r="CB387" s="546"/>
      <c r="CC387" s="546"/>
      <c r="CD387" s="546"/>
      <c r="CE387" s="546"/>
      <c r="CF387" s="546"/>
      <c r="CG387" s="546"/>
      <c r="CH387" s="546"/>
      <c r="CI387" s="546"/>
      <c r="CJ387" s="546"/>
      <c r="CK387" s="546"/>
    </row>
    <row r="388" spans="1:89" x14ac:dyDescent="0.2">
      <c r="A388" s="133" t="s">
        <v>6231</v>
      </c>
      <c r="B388" s="1362" t="s">
        <v>6350</v>
      </c>
      <c r="C388" s="2348" t="s">
        <v>6351</v>
      </c>
      <c r="D388" s="2348" t="s">
        <v>6351</v>
      </c>
      <c r="F388" s="84">
        <v>12000</v>
      </c>
      <c r="U388" s="84"/>
      <c r="V388" s="99"/>
      <c r="W388" s="99"/>
      <c r="X388" s="99"/>
      <c r="Z388" s="99">
        <f t="shared" si="696"/>
        <v>12000</v>
      </c>
      <c r="AA388" s="99"/>
      <c r="AF388" s="99"/>
      <c r="AK388" s="99"/>
      <c r="AP388" s="99"/>
      <c r="AZ388" s="99"/>
      <c r="BE388" s="99"/>
      <c r="BJ388" s="99"/>
      <c r="BO388" s="99"/>
      <c r="BT388" s="99"/>
      <c r="BY388" s="546"/>
      <c r="BZ388" s="546"/>
      <c r="CA388" s="546"/>
      <c r="CB388" s="546"/>
      <c r="CC388" s="546"/>
      <c r="CD388" s="546"/>
      <c r="CE388" s="546"/>
      <c r="CF388" s="546"/>
      <c r="CG388" s="546"/>
      <c r="CH388" s="546"/>
      <c r="CI388" s="546"/>
      <c r="CJ388" s="546"/>
      <c r="CK388" s="546"/>
    </row>
    <row r="389" spans="1:89" x14ac:dyDescent="0.2">
      <c r="A389" s="133" t="s">
        <v>3447</v>
      </c>
      <c r="B389" s="1362" t="s">
        <v>3219</v>
      </c>
      <c r="C389" s="2348" t="s">
        <v>5076</v>
      </c>
      <c r="D389" s="111"/>
      <c r="U389" s="84">
        <f t="shared" ref="U389:U396" si="697">E389-SUM(Q389:T389)</f>
        <v>0</v>
      </c>
      <c r="V389" s="99"/>
      <c r="W389" s="99"/>
      <c r="X389" s="99"/>
      <c r="Z389" s="99">
        <f t="shared" si="696"/>
        <v>0</v>
      </c>
      <c r="AA389" s="99"/>
      <c r="AF389" s="99"/>
      <c r="AK389" s="99"/>
      <c r="AP389" s="99"/>
      <c r="AZ389" s="99"/>
      <c r="BE389" s="99"/>
      <c r="BJ389" s="99"/>
      <c r="BO389" s="99"/>
      <c r="BT389" s="99"/>
      <c r="BY389" s="546"/>
      <c r="BZ389" s="546"/>
      <c r="CA389" s="546"/>
      <c r="CB389" s="546"/>
      <c r="CC389" s="546"/>
      <c r="CD389" s="546"/>
      <c r="CE389" s="546"/>
      <c r="CF389" s="546"/>
      <c r="CG389" s="546"/>
      <c r="CH389" s="546"/>
      <c r="CI389" s="546"/>
      <c r="CJ389" s="546"/>
      <c r="CK389" s="546"/>
    </row>
    <row r="390" spans="1:89" x14ac:dyDescent="0.2">
      <c r="A390" s="133" t="s">
        <v>3159</v>
      </c>
      <c r="B390" s="1362" t="s">
        <v>3160</v>
      </c>
      <c r="C390" s="2348" t="s">
        <v>5076</v>
      </c>
      <c r="D390" s="111"/>
      <c r="U390" s="84">
        <f t="shared" si="697"/>
        <v>0</v>
      </c>
      <c r="V390" s="99"/>
      <c r="W390" s="99"/>
      <c r="X390" s="99"/>
      <c r="Z390" s="99">
        <f t="shared" si="696"/>
        <v>0</v>
      </c>
      <c r="AA390" s="99"/>
      <c r="AF390" s="99"/>
      <c r="AK390" s="99"/>
      <c r="AP390" s="99"/>
      <c r="AZ390" s="99"/>
      <c r="BE390" s="99"/>
      <c r="BJ390" s="99"/>
      <c r="BO390" s="99"/>
      <c r="BT390" s="99"/>
      <c r="BY390" s="546"/>
      <c r="BZ390" s="546"/>
      <c r="CA390" s="546"/>
      <c r="CB390" s="546"/>
      <c r="CC390" s="546"/>
      <c r="CD390" s="546"/>
      <c r="CE390" s="546"/>
      <c r="CF390" s="546"/>
      <c r="CG390" s="546"/>
      <c r="CH390" s="546"/>
      <c r="CI390" s="546"/>
      <c r="CJ390" s="546"/>
      <c r="CK390" s="546"/>
    </row>
    <row r="391" spans="1:89" x14ac:dyDescent="0.2">
      <c r="A391" s="133" t="s">
        <v>3525</v>
      </c>
      <c r="B391" s="1362" t="s">
        <v>3526</v>
      </c>
      <c r="C391" s="2348" t="s">
        <v>5076</v>
      </c>
      <c r="D391" s="111"/>
      <c r="U391" s="84">
        <f t="shared" si="697"/>
        <v>0</v>
      </c>
      <c r="V391" s="99"/>
      <c r="W391" s="99"/>
      <c r="X391" s="99"/>
      <c r="Z391" s="99">
        <f t="shared" si="696"/>
        <v>0</v>
      </c>
      <c r="AA391" s="99"/>
      <c r="AF391" s="99"/>
      <c r="AK391" s="99"/>
      <c r="AP391" s="99"/>
      <c r="AZ391" s="99"/>
      <c r="BE391" s="99"/>
      <c r="BJ391" s="99"/>
      <c r="BO391" s="99"/>
      <c r="BT391" s="99"/>
      <c r="BY391" s="546"/>
      <c r="BZ391" s="546"/>
      <c r="CA391" s="546"/>
      <c r="CB391" s="546"/>
      <c r="CC391" s="546"/>
      <c r="CD391" s="546"/>
      <c r="CE391" s="546"/>
      <c r="CF391" s="546"/>
      <c r="CG391" s="546"/>
      <c r="CH391" s="546"/>
      <c r="CI391" s="546"/>
      <c r="CJ391" s="546"/>
      <c r="CK391" s="546"/>
    </row>
    <row r="392" spans="1:89" x14ac:dyDescent="0.2">
      <c r="A392" s="133" t="s">
        <v>3536</v>
      </c>
      <c r="B392" s="1362" t="s">
        <v>3537</v>
      </c>
      <c r="C392" s="2348" t="s">
        <v>5076</v>
      </c>
      <c r="D392" s="111"/>
      <c r="U392" s="84">
        <f t="shared" si="697"/>
        <v>0</v>
      </c>
      <c r="V392" s="99"/>
      <c r="W392" s="99"/>
      <c r="X392" s="99"/>
      <c r="Z392" s="99">
        <f t="shared" si="696"/>
        <v>0</v>
      </c>
      <c r="AA392" s="99"/>
      <c r="AF392" s="99"/>
      <c r="AK392" s="99"/>
      <c r="AP392" s="99"/>
      <c r="AZ392" s="99"/>
      <c r="BE392" s="99"/>
      <c r="BJ392" s="99"/>
      <c r="BO392" s="99"/>
      <c r="BT392" s="99"/>
      <c r="BY392" s="546"/>
      <c r="BZ392" s="546"/>
      <c r="CA392" s="546"/>
      <c r="CB392" s="546"/>
      <c r="CC392" s="546"/>
      <c r="CD392" s="546"/>
      <c r="CE392" s="546"/>
      <c r="CF392" s="546"/>
      <c r="CG392" s="546"/>
      <c r="CH392" s="546"/>
      <c r="CI392" s="546"/>
      <c r="CJ392" s="546"/>
      <c r="CK392" s="546"/>
    </row>
    <row r="393" spans="1:89" x14ac:dyDescent="0.2">
      <c r="A393" s="133" t="s">
        <v>3678</v>
      </c>
      <c r="B393" s="1362" t="s">
        <v>4003</v>
      </c>
      <c r="C393" s="111" t="s">
        <v>4127</v>
      </c>
      <c r="D393" s="111"/>
      <c r="E393" s="84">
        <v>2100</v>
      </c>
      <c r="F393" s="133"/>
      <c r="T393" s="84">
        <f>33000-30000</f>
        <v>3000</v>
      </c>
      <c r="U393" s="84">
        <f t="shared" si="697"/>
        <v>-900</v>
      </c>
      <c r="V393" s="99"/>
      <c r="W393" s="99"/>
      <c r="X393" s="99"/>
      <c r="Z393" s="99">
        <f t="shared" si="696"/>
        <v>0</v>
      </c>
      <c r="AA393" s="99"/>
      <c r="AF393" s="99"/>
      <c r="AK393" s="99"/>
      <c r="AP393" s="99"/>
      <c r="AZ393" s="99"/>
      <c r="BE393" s="99"/>
      <c r="BJ393" s="99"/>
      <c r="BO393" s="99"/>
      <c r="BT393" s="99"/>
      <c r="BY393" s="546"/>
      <c r="BZ393" s="546"/>
      <c r="CA393" s="546"/>
      <c r="CB393" s="546"/>
      <c r="CC393" s="546"/>
      <c r="CD393" s="546"/>
      <c r="CE393" s="546"/>
      <c r="CF393" s="546"/>
      <c r="CG393" s="546"/>
      <c r="CH393" s="546"/>
      <c r="CI393" s="546"/>
      <c r="CJ393" s="546"/>
      <c r="CK393" s="546"/>
    </row>
    <row r="394" spans="1:89" x14ac:dyDescent="0.2">
      <c r="A394" s="133" t="s">
        <v>3679</v>
      </c>
      <c r="B394" s="1362" t="s">
        <v>4004</v>
      </c>
      <c r="C394" s="111" t="s">
        <v>4128</v>
      </c>
      <c r="D394" s="111" t="s">
        <v>4128</v>
      </c>
      <c r="E394" s="84">
        <v>103500</v>
      </c>
      <c r="F394" s="133">
        <f>15000+2000</f>
        <v>17000</v>
      </c>
      <c r="Q394" s="84">
        <f>'Cap Inc'!B71</f>
        <v>49500</v>
      </c>
      <c r="T394" s="84">
        <v>11000</v>
      </c>
      <c r="U394" s="84">
        <f t="shared" si="697"/>
        <v>43000</v>
      </c>
      <c r="V394" s="99"/>
      <c r="W394" s="99"/>
      <c r="X394" s="99"/>
      <c r="Y394" s="84">
        <f>15000+2000</f>
        <v>17000</v>
      </c>
      <c r="Z394" s="99">
        <f t="shared" si="696"/>
        <v>0</v>
      </c>
      <c r="AA394" s="99"/>
      <c r="AC394" s="133"/>
      <c r="AF394" s="99"/>
      <c r="AK394" s="99"/>
      <c r="AP394" s="99"/>
      <c r="AZ394" s="99"/>
      <c r="BE394" s="99"/>
      <c r="BJ394" s="99"/>
      <c r="BO394" s="99"/>
      <c r="BT394" s="99"/>
      <c r="BY394" s="546"/>
      <c r="BZ394" s="546"/>
      <c r="CA394" s="546"/>
      <c r="CB394" s="546"/>
      <c r="CC394" s="546"/>
      <c r="CD394" s="546"/>
      <c r="CE394" s="546"/>
      <c r="CF394" s="546"/>
      <c r="CG394" s="546"/>
      <c r="CH394" s="546"/>
      <c r="CI394" s="546"/>
      <c r="CJ394" s="546"/>
      <c r="CK394" s="546"/>
    </row>
    <row r="395" spans="1:89" x14ac:dyDescent="0.2">
      <c r="A395" s="133" t="s">
        <v>4758</v>
      </c>
      <c r="B395" s="1362" t="s">
        <v>4015</v>
      </c>
      <c r="C395" s="111" t="s">
        <v>4865</v>
      </c>
      <c r="D395" s="111"/>
      <c r="E395" s="84">
        <v>77500</v>
      </c>
      <c r="F395" s="133"/>
      <c r="U395" s="84">
        <f t="shared" si="697"/>
        <v>77500</v>
      </c>
      <c r="V395" s="99"/>
      <c r="W395" s="99"/>
      <c r="X395" s="99"/>
      <c r="Z395" s="99">
        <f t="shared" si="696"/>
        <v>0</v>
      </c>
      <c r="AA395" s="99"/>
      <c r="AF395" s="99"/>
      <c r="AK395" s="99"/>
      <c r="AP395" s="99"/>
      <c r="AZ395" s="99"/>
      <c r="BE395" s="99"/>
      <c r="BJ395" s="99"/>
      <c r="BO395" s="99"/>
      <c r="BT395" s="99"/>
      <c r="BY395" s="546"/>
      <c r="BZ395" s="546"/>
      <c r="CA395" s="546"/>
      <c r="CB395" s="546"/>
      <c r="CC395" s="546"/>
      <c r="CD395" s="546"/>
      <c r="CE395" s="546"/>
      <c r="CF395" s="546"/>
      <c r="CG395" s="546"/>
      <c r="CH395" s="546"/>
      <c r="CI395" s="546"/>
      <c r="CJ395" s="546"/>
      <c r="CK395" s="546"/>
    </row>
    <row r="396" spans="1:89" x14ac:dyDescent="0.2">
      <c r="A396" s="133" t="s">
        <v>3680</v>
      </c>
      <c r="B396" s="1362" t="s">
        <v>4005</v>
      </c>
      <c r="C396" s="111" t="s">
        <v>4129</v>
      </c>
      <c r="D396" s="111"/>
      <c r="E396" s="84">
        <v>21400</v>
      </c>
      <c r="F396" s="133"/>
      <c r="T396" s="84">
        <v>20000</v>
      </c>
      <c r="U396" s="84">
        <f t="shared" si="697"/>
        <v>1400</v>
      </c>
      <c r="V396" s="99"/>
      <c r="W396" s="99"/>
      <c r="X396" s="99"/>
      <c r="Z396" s="99">
        <f t="shared" si="696"/>
        <v>0</v>
      </c>
      <c r="AA396" s="99"/>
      <c r="AF396" s="99"/>
      <c r="AK396" s="99"/>
      <c r="AP396" s="99"/>
      <c r="AZ396" s="99"/>
      <c r="BE396" s="99"/>
      <c r="BJ396" s="99"/>
      <c r="BO396" s="99"/>
      <c r="BT396" s="99"/>
      <c r="BY396" s="546"/>
      <c r="BZ396" s="546"/>
      <c r="CA396" s="546"/>
      <c r="CB396" s="546"/>
      <c r="CC396" s="546"/>
      <c r="CD396" s="546"/>
      <c r="CE396" s="546"/>
      <c r="CF396" s="546"/>
      <c r="CG396" s="546"/>
      <c r="CH396" s="546"/>
      <c r="CI396" s="546"/>
      <c r="CJ396" s="546"/>
      <c r="CK396" s="546"/>
    </row>
    <row r="397" spans="1:89" x14ac:dyDescent="0.2">
      <c r="A397" s="133" t="s">
        <v>6183</v>
      </c>
      <c r="B397" s="1362" t="s">
        <v>6352</v>
      </c>
      <c r="C397" s="111" t="s">
        <v>6353</v>
      </c>
      <c r="D397" s="111" t="s">
        <v>6353</v>
      </c>
      <c r="F397" s="133">
        <f>12000-1000</f>
        <v>11000</v>
      </c>
      <c r="U397" s="84"/>
      <c r="V397" s="99"/>
      <c r="W397" s="99"/>
      <c r="X397" s="99"/>
      <c r="Z397" s="99">
        <f t="shared" si="696"/>
        <v>11000</v>
      </c>
      <c r="AA397" s="99"/>
      <c r="AF397" s="99"/>
      <c r="AK397" s="99"/>
      <c r="AP397" s="99"/>
      <c r="AZ397" s="99"/>
      <c r="BE397" s="99"/>
      <c r="BJ397" s="99"/>
      <c r="BO397" s="99"/>
      <c r="BT397" s="99"/>
      <c r="BY397" s="546"/>
      <c r="BZ397" s="546"/>
      <c r="CA397" s="546"/>
      <c r="CB397" s="546"/>
      <c r="CC397" s="546"/>
      <c r="CD397" s="546"/>
      <c r="CE397" s="546"/>
      <c r="CF397" s="546"/>
      <c r="CG397" s="546"/>
      <c r="CH397" s="546"/>
      <c r="CI397" s="546"/>
      <c r="CJ397" s="546"/>
      <c r="CK397" s="546"/>
    </row>
    <row r="398" spans="1:89" x14ac:dyDescent="0.2">
      <c r="A398" s="133" t="s">
        <v>3681</v>
      </c>
      <c r="B398" s="1362" t="s">
        <v>4006</v>
      </c>
      <c r="C398" s="111" t="s">
        <v>4130</v>
      </c>
      <c r="D398" s="111"/>
      <c r="E398" s="84">
        <v>13100</v>
      </c>
      <c r="F398" s="133"/>
      <c r="T398" s="84">
        <v>10000</v>
      </c>
      <c r="U398" s="84">
        <f>E398-SUM(Q398:T398)</f>
        <v>3100</v>
      </c>
      <c r="V398" s="99"/>
      <c r="W398" s="99"/>
      <c r="X398" s="99"/>
      <c r="Z398" s="99">
        <f t="shared" si="696"/>
        <v>0</v>
      </c>
      <c r="AA398" s="99"/>
      <c r="AF398" s="99"/>
      <c r="AK398" s="99"/>
      <c r="AP398" s="99"/>
      <c r="AZ398" s="99"/>
      <c r="BE398" s="99"/>
      <c r="BJ398" s="99"/>
      <c r="BO398" s="99"/>
      <c r="BT398" s="99"/>
      <c r="BY398" s="546"/>
      <c r="BZ398" s="546"/>
      <c r="CA398" s="546"/>
      <c r="CB398" s="546"/>
      <c r="CC398" s="546"/>
      <c r="CD398" s="546"/>
      <c r="CE398" s="546"/>
      <c r="CF398" s="546"/>
      <c r="CG398" s="546"/>
      <c r="CH398" s="546"/>
      <c r="CI398" s="546"/>
      <c r="CJ398" s="546"/>
      <c r="CK398" s="546"/>
    </row>
    <row r="399" spans="1:89" x14ac:dyDescent="0.2">
      <c r="A399" s="133" t="s">
        <v>3682</v>
      </c>
      <c r="B399" s="1362" t="s">
        <v>4007</v>
      </c>
      <c r="C399" s="111" t="s">
        <v>4131</v>
      </c>
      <c r="D399" s="111"/>
      <c r="E399" s="84">
        <v>15100</v>
      </c>
      <c r="F399" s="133"/>
      <c r="U399" s="84">
        <f>E399-SUM(Q399:T399)</f>
        <v>15100</v>
      </c>
      <c r="V399" s="99"/>
      <c r="W399" s="99"/>
      <c r="X399" s="99"/>
      <c r="Z399" s="99">
        <f t="shared" si="696"/>
        <v>0</v>
      </c>
      <c r="AA399" s="99"/>
      <c r="AF399" s="99"/>
      <c r="AK399" s="99"/>
      <c r="AP399" s="99"/>
      <c r="AZ399" s="99"/>
      <c r="BE399" s="99"/>
      <c r="BJ399" s="99"/>
      <c r="BO399" s="99"/>
      <c r="BT399" s="99"/>
      <c r="BY399" s="546"/>
      <c r="BZ399" s="546"/>
      <c r="CA399" s="546"/>
      <c r="CB399" s="546"/>
      <c r="CC399" s="546"/>
      <c r="CD399" s="546"/>
      <c r="CE399" s="546"/>
      <c r="CF399" s="546"/>
      <c r="CG399" s="546"/>
      <c r="CH399" s="546"/>
      <c r="CI399" s="546"/>
      <c r="CJ399" s="546"/>
      <c r="CK399" s="546"/>
    </row>
    <row r="400" spans="1:89" x14ac:dyDescent="0.2">
      <c r="A400" s="133" t="s">
        <v>6234</v>
      </c>
      <c r="B400" s="1362" t="s">
        <v>6354</v>
      </c>
      <c r="C400" s="111" t="s">
        <v>6355</v>
      </c>
      <c r="D400" s="111" t="s">
        <v>6355</v>
      </c>
      <c r="F400" s="133">
        <v>40000</v>
      </c>
      <c r="U400" s="84"/>
      <c r="V400" s="99"/>
      <c r="W400" s="99"/>
      <c r="X400" s="99"/>
      <c r="Z400" s="99">
        <f t="shared" si="696"/>
        <v>40000</v>
      </c>
      <c r="AA400" s="99"/>
      <c r="AF400" s="99"/>
      <c r="AK400" s="99"/>
      <c r="AP400" s="99"/>
      <c r="AZ400" s="99"/>
      <c r="BE400" s="99"/>
      <c r="BJ400" s="99"/>
      <c r="BO400" s="99"/>
      <c r="BT400" s="99"/>
      <c r="BY400" s="546"/>
      <c r="BZ400" s="546"/>
      <c r="CA400" s="546"/>
      <c r="CB400" s="546"/>
      <c r="CC400" s="546"/>
      <c r="CD400" s="546"/>
      <c r="CE400" s="546"/>
      <c r="CF400" s="546"/>
      <c r="CG400" s="546"/>
      <c r="CH400" s="546"/>
      <c r="CI400" s="546"/>
      <c r="CJ400" s="546"/>
      <c r="CK400" s="546"/>
    </row>
    <row r="401" spans="1:89" x14ac:dyDescent="0.2">
      <c r="A401" s="133" t="s">
        <v>3683</v>
      </c>
      <c r="B401" s="1362" t="s">
        <v>4008</v>
      </c>
      <c r="C401" s="111" t="s">
        <v>4132</v>
      </c>
      <c r="D401" s="111"/>
      <c r="E401" s="84">
        <v>21900</v>
      </c>
      <c r="F401" s="133"/>
      <c r="Q401" s="84">
        <f>'Cap Inc'!B74</f>
        <v>13800</v>
      </c>
      <c r="T401" s="84">
        <v>22400</v>
      </c>
      <c r="U401" s="84">
        <f>E401-SUM(Q401:T401)</f>
        <v>-14300</v>
      </c>
      <c r="V401" s="99"/>
      <c r="W401" s="99"/>
      <c r="X401" s="99"/>
      <c r="Z401" s="99">
        <f t="shared" si="696"/>
        <v>0</v>
      </c>
      <c r="AA401" s="99"/>
      <c r="AF401" s="99"/>
      <c r="AK401" s="99"/>
      <c r="AP401" s="99"/>
      <c r="AZ401" s="99"/>
      <c r="BE401" s="99"/>
      <c r="BJ401" s="99"/>
      <c r="BO401" s="99"/>
      <c r="BT401" s="99"/>
      <c r="BY401" s="546"/>
      <c r="BZ401" s="546"/>
      <c r="CA401" s="546"/>
      <c r="CB401" s="546"/>
      <c r="CC401" s="546"/>
      <c r="CD401" s="546"/>
      <c r="CE401" s="546"/>
      <c r="CF401" s="546"/>
      <c r="CG401" s="546"/>
      <c r="CH401" s="546"/>
      <c r="CI401" s="546"/>
      <c r="CJ401" s="546"/>
      <c r="CK401" s="546"/>
    </row>
    <row r="402" spans="1:89" x14ac:dyDescent="0.2">
      <c r="A402" s="133" t="s">
        <v>5067</v>
      </c>
      <c r="B402" s="1362" t="s">
        <v>5292</v>
      </c>
      <c r="C402" s="111" t="s">
        <v>5291</v>
      </c>
      <c r="D402" s="111"/>
      <c r="E402" s="84">
        <v>7000</v>
      </c>
      <c r="F402" s="133"/>
      <c r="U402" s="84">
        <f>E402-SUM(Q402:T402)</f>
        <v>7000</v>
      </c>
      <c r="V402" s="99"/>
      <c r="W402" s="99"/>
      <c r="X402" s="99"/>
      <c r="Z402" s="99">
        <f t="shared" si="696"/>
        <v>0</v>
      </c>
      <c r="AA402" s="99"/>
      <c r="AF402" s="99"/>
      <c r="AK402" s="99"/>
      <c r="AP402" s="99"/>
      <c r="AZ402" s="99"/>
      <c r="BE402" s="99"/>
      <c r="BJ402" s="99"/>
      <c r="BO402" s="99"/>
      <c r="BT402" s="99"/>
      <c r="BY402" s="546"/>
      <c r="BZ402" s="546"/>
      <c r="CA402" s="546"/>
      <c r="CB402" s="546"/>
      <c r="CC402" s="546"/>
      <c r="CD402" s="546"/>
      <c r="CE402" s="546"/>
      <c r="CF402" s="546"/>
      <c r="CG402" s="546"/>
      <c r="CH402" s="546"/>
      <c r="CI402" s="546"/>
      <c r="CJ402" s="546"/>
      <c r="CK402" s="546"/>
    </row>
    <row r="403" spans="1:89" x14ac:dyDescent="0.2">
      <c r="A403" s="133" t="s">
        <v>5068</v>
      </c>
      <c r="B403" s="1362" t="s">
        <v>5294</v>
      </c>
      <c r="C403" s="111" t="s">
        <v>5293</v>
      </c>
      <c r="D403" s="111"/>
      <c r="E403" s="84">
        <v>60300</v>
      </c>
      <c r="F403" s="133">
        <f>10000+6000</f>
        <v>16000</v>
      </c>
      <c r="U403" s="84">
        <f>E403-SUM(Q403:T403)</f>
        <v>60300</v>
      </c>
      <c r="V403" s="99"/>
      <c r="W403" s="99"/>
      <c r="X403" s="99"/>
      <c r="Z403" s="99">
        <f t="shared" si="696"/>
        <v>16000</v>
      </c>
      <c r="AA403" s="99"/>
      <c r="AF403" s="99"/>
      <c r="AK403" s="99"/>
      <c r="AP403" s="99"/>
      <c r="AZ403" s="99"/>
      <c r="BE403" s="99"/>
      <c r="BJ403" s="99"/>
      <c r="BO403" s="99"/>
      <c r="BT403" s="99"/>
      <c r="BY403" s="546"/>
      <c r="BZ403" s="546"/>
      <c r="CA403" s="546"/>
      <c r="CB403" s="546"/>
      <c r="CC403" s="546"/>
      <c r="CD403" s="546"/>
      <c r="CE403" s="546"/>
      <c r="CF403" s="546"/>
      <c r="CG403" s="546"/>
      <c r="CH403" s="546"/>
      <c r="CI403" s="546"/>
      <c r="CJ403" s="546"/>
      <c r="CK403" s="546"/>
    </row>
    <row r="404" spans="1:89" x14ac:dyDescent="0.2">
      <c r="A404" s="133" t="s">
        <v>6230</v>
      </c>
      <c r="B404" s="1362" t="s">
        <v>6356</v>
      </c>
      <c r="C404" s="111" t="s">
        <v>6358</v>
      </c>
      <c r="D404" s="111" t="s">
        <v>6358</v>
      </c>
      <c r="F404" s="133">
        <f>10000-4000</f>
        <v>6000</v>
      </c>
      <c r="U404" s="84"/>
      <c r="V404" s="99"/>
      <c r="W404" s="99"/>
      <c r="X404" s="99"/>
      <c r="Z404" s="99">
        <f t="shared" si="696"/>
        <v>6000</v>
      </c>
      <c r="AA404" s="99"/>
      <c r="AF404" s="99"/>
      <c r="AK404" s="99"/>
      <c r="AP404" s="99"/>
      <c r="AZ404" s="99"/>
      <c r="BE404" s="99"/>
      <c r="BJ404" s="99"/>
      <c r="BO404" s="99"/>
      <c r="BT404" s="99"/>
      <c r="BY404" s="546"/>
      <c r="BZ404" s="546"/>
      <c r="CA404" s="546"/>
      <c r="CB404" s="546"/>
      <c r="CC404" s="546"/>
      <c r="CD404" s="546"/>
      <c r="CE404" s="546"/>
      <c r="CF404" s="546"/>
      <c r="CG404" s="546"/>
      <c r="CH404" s="546"/>
      <c r="CI404" s="546"/>
      <c r="CJ404" s="546"/>
      <c r="CK404" s="546"/>
    </row>
    <row r="405" spans="1:89" x14ac:dyDescent="0.2">
      <c r="A405" s="133" t="s">
        <v>6235</v>
      </c>
      <c r="B405" s="1362" t="s">
        <v>6357</v>
      </c>
      <c r="C405" s="111" t="s">
        <v>6359</v>
      </c>
      <c r="D405" s="111" t="s">
        <v>6359</v>
      </c>
      <c r="F405" s="133">
        <f>58000+7000</f>
        <v>65000</v>
      </c>
      <c r="U405" s="84"/>
      <c r="V405" s="99"/>
      <c r="W405" s="99"/>
      <c r="X405" s="99"/>
      <c r="Y405" s="84">
        <v>7000</v>
      </c>
      <c r="Z405" s="99">
        <f t="shared" si="696"/>
        <v>58000</v>
      </c>
      <c r="AA405" s="99"/>
      <c r="AC405" s="133"/>
      <c r="AF405" s="99"/>
      <c r="AK405" s="99"/>
      <c r="AP405" s="99"/>
      <c r="AZ405" s="99"/>
      <c r="BE405" s="99"/>
      <c r="BJ405" s="99"/>
      <c r="BO405" s="99"/>
      <c r="BT405" s="99"/>
      <c r="BY405" s="546"/>
      <c r="BZ405" s="546"/>
      <c r="CA405" s="546"/>
      <c r="CB405" s="546"/>
      <c r="CC405" s="546"/>
      <c r="CD405" s="546"/>
      <c r="CE405" s="546"/>
      <c r="CF405" s="546"/>
      <c r="CG405" s="546"/>
      <c r="CH405" s="546"/>
      <c r="CI405" s="546"/>
      <c r="CJ405" s="546"/>
      <c r="CK405" s="546"/>
    </row>
    <row r="406" spans="1:89" x14ac:dyDescent="0.2">
      <c r="A406" s="133" t="s">
        <v>5069</v>
      </c>
      <c r="B406" s="1362" t="s">
        <v>4007</v>
      </c>
      <c r="C406" s="111" t="s">
        <v>5295</v>
      </c>
      <c r="D406" s="111"/>
      <c r="E406" s="84">
        <v>10100</v>
      </c>
      <c r="F406" s="133"/>
      <c r="Q406" s="84">
        <f>'Cap Inc'!B72</f>
        <v>5500</v>
      </c>
      <c r="U406" s="84">
        <f>E406-SUM(Q406:T406)</f>
        <v>4600</v>
      </c>
      <c r="V406" s="99"/>
      <c r="W406" s="99"/>
      <c r="X406" s="99"/>
      <c r="Z406" s="99">
        <f t="shared" si="696"/>
        <v>0</v>
      </c>
      <c r="AA406" s="99"/>
      <c r="AF406" s="99"/>
      <c r="AK406" s="99"/>
      <c r="AP406" s="99"/>
      <c r="AZ406" s="99"/>
      <c r="BE406" s="99"/>
      <c r="BJ406" s="99"/>
      <c r="BO406" s="99"/>
      <c r="BT406" s="99"/>
      <c r="BY406" s="546"/>
      <c r="BZ406" s="546"/>
      <c r="CA406" s="546"/>
      <c r="CB406" s="546"/>
      <c r="CC406" s="546"/>
      <c r="CD406" s="546"/>
      <c r="CE406" s="546"/>
      <c r="CF406" s="546"/>
      <c r="CG406" s="546"/>
      <c r="CH406" s="546"/>
      <c r="CI406" s="546"/>
      <c r="CJ406" s="546"/>
      <c r="CK406" s="546"/>
    </row>
    <row r="407" spans="1:89" x14ac:dyDescent="0.2">
      <c r="A407" s="133" t="s">
        <v>6233</v>
      </c>
      <c r="B407" s="1362" t="s">
        <v>6360</v>
      </c>
      <c r="C407" s="111" t="s">
        <v>6361</v>
      </c>
      <c r="D407" s="111" t="s">
        <v>6361</v>
      </c>
      <c r="F407" s="133">
        <f>10000-1000</f>
        <v>9000</v>
      </c>
      <c r="U407" s="84"/>
      <c r="V407" s="99"/>
      <c r="W407" s="99"/>
      <c r="X407" s="99"/>
      <c r="Z407" s="99">
        <f t="shared" si="696"/>
        <v>9000</v>
      </c>
      <c r="AA407" s="99"/>
      <c r="AF407" s="99"/>
      <c r="AK407" s="99"/>
      <c r="AP407" s="99"/>
      <c r="AZ407" s="99"/>
      <c r="BE407" s="99"/>
      <c r="BJ407" s="99"/>
      <c r="BO407" s="99"/>
      <c r="BT407" s="99"/>
      <c r="BY407" s="546"/>
      <c r="BZ407" s="546"/>
      <c r="CA407" s="546"/>
      <c r="CB407" s="546"/>
      <c r="CC407" s="546"/>
      <c r="CD407" s="546"/>
      <c r="CE407" s="546"/>
      <c r="CF407" s="546"/>
      <c r="CG407" s="546"/>
      <c r="CH407" s="546"/>
      <c r="CI407" s="546"/>
      <c r="CJ407" s="546"/>
      <c r="CK407" s="546"/>
    </row>
    <row r="408" spans="1:89" x14ac:dyDescent="0.2">
      <c r="A408" s="133" t="s">
        <v>5070</v>
      </c>
      <c r="B408" s="1362" t="s">
        <v>5299</v>
      </c>
      <c r="C408" s="111" t="s">
        <v>5296</v>
      </c>
      <c r="D408" s="111" t="s">
        <v>5296</v>
      </c>
      <c r="E408" s="84">
        <v>0</v>
      </c>
      <c r="F408" s="133">
        <f>43000+11000+14000+1000</f>
        <v>69000</v>
      </c>
      <c r="U408" s="84">
        <f>E408-SUM(Q408:T408)</f>
        <v>0</v>
      </c>
      <c r="V408" s="99"/>
      <c r="W408" s="99"/>
      <c r="X408" s="99"/>
      <c r="Y408" s="84">
        <f>11000+1000</f>
        <v>12000</v>
      </c>
      <c r="Z408" s="99">
        <f t="shared" si="696"/>
        <v>57000</v>
      </c>
      <c r="AA408" s="99"/>
      <c r="AC408" s="133"/>
      <c r="AF408" s="99"/>
      <c r="AK408" s="99"/>
      <c r="AP408" s="99"/>
      <c r="AZ408" s="99"/>
      <c r="BE408" s="99"/>
      <c r="BJ408" s="99"/>
      <c r="BO408" s="99"/>
      <c r="BT408" s="99"/>
      <c r="BY408" s="546"/>
      <c r="BZ408" s="546"/>
      <c r="CA408" s="546"/>
      <c r="CB408" s="546"/>
      <c r="CC408" s="546"/>
      <c r="CD408" s="546"/>
      <c r="CE408" s="546"/>
      <c r="CF408" s="546"/>
      <c r="CG408" s="546"/>
      <c r="CH408" s="546"/>
      <c r="CI408" s="546"/>
      <c r="CJ408" s="546"/>
      <c r="CK408" s="546"/>
    </row>
    <row r="409" spans="1:89" x14ac:dyDescent="0.2">
      <c r="A409" s="133" t="s">
        <v>5165</v>
      </c>
      <c r="B409" s="1362" t="s">
        <v>5300</v>
      </c>
      <c r="C409" s="111" t="s">
        <v>5297</v>
      </c>
      <c r="D409" s="111" t="s">
        <v>5297</v>
      </c>
      <c r="E409" s="84">
        <v>0</v>
      </c>
      <c r="F409" s="133">
        <v>41000</v>
      </c>
      <c r="I409" s="133"/>
      <c r="T409" s="84">
        <f>E409</f>
        <v>0</v>
      </c>
      <c r="U409" s="84">
        <f>E409-SUM(Q409:T409)</f>
        <v>0</v>
      </c>
      <c r="V409" s="99"/>
      <c r="W409" s="99"/>
      <c r="X409" s="99"/>
      <c r="Y409" s="84">
        <v>41000</v>
      </c>
      <c r="Z409" s="99">
        <f t="shared" si="696"/>
        <v>0</v>
      </c>
      <c r="AA409" s="99"/>
      <c r="AF409" s="99"/>
      <c r="AK409" s="99"/>
      <c r="AP409" s="99"/>
      <c r="AZ409" s="99"/>
      <c r="BE409" s="99"/>
      <c r="BJ409" s="99"/>
      <c r="BO409" s="99"/>
      <c r="BT409" s="99"/>
      <c r="BY409" s="546"/>
      <c r="BZ409" s="546"/>
      <c r="CA409" s="546"/>
      <c r="CB409" s="546"/>
      <c r="CC409" s="546"/>
      <c r="CD409" s="546"/>
      <c r="CE409" s="546"/>
      <c r="CF409" s="546"/>
      <c r="CG409" s="546"/>
      <c r="CH409" s="546"/>
      <c r="CI409" s="546"/>
      <c r="CJ409" s="546"/>
      <c r="CK409" s="546"/>
    </row>
    <row r="410" spans="1:89" x14ac:dyDescent="0.2">
      <c r="A410" s="133" t="s">
        <v>5166</v>
      </c>
      <c r="B410" s="1362" t="s">
        <v>5301</v>
      </c>
      <c r="C410" s="111" t="s">
        <v>5298</v>
      </c>
      <c r="D410" s="111" t="s">
        <v>5298</v>
      </c>
      <c r="F410" s="133">
        <v>50000</v>
      </c>
      <c r="T410" s="84">
        <f>E410</f>
        <v>0</v>
      </c>
      <c r="U410" s="84">
        <f>E410-SUM(Q410:T410)</f>
        <v>0</v>
      </c>
      <c r="V410" s="99"/>
      <c r="W410" s="99">
        <v>50000</v>
      </c>
      <c r="X410" s="99"/>
      <c r="Z410" s="99">
        <f t="shared" si="696"/>
        <v>0</v>
      </c>
      <c r="AA410" s="99"/>
      <c r="AF410" s="99"/>
      <c r="AK410" s="99"/>
      <c r="AP410" s="99"/>
      <c r="AZ410" s="99"/>
      <c r="BE410" s="99"/>
      <c r="BJ410" s="99"/>
      <c r="BO410" s="99"/>
      <c r="BT410" s="99"/>
      <c r="BY410" s="546"/>
      <c r="BZ410" s="546"/>
      <c r="CA410" s="546"/>
      <c r="CB410" s="546"/>
      <c r="CC410" s="546"/>
      <c r="CD410" s="546"/>
      <c r="CE410" s="546"/>
      <c r="CF410" s="546"/>
      <c r="CG410" s="546"/>
      <c r="CH410" s="546"/>
      <c r="CI410" s="546"/>
      <c r="CJ410" s="546"/>
      <c r="CK410" s="546"/>
    </row>
    <row r="411" spans="1:89" x14ac:dyDescent="0.2">
      <c r="A411" s="133" t="s">
        <v>5532</v>
      </c>
      <c r="B411" s="1362" t="s">
        <v>6554</v>
      </c>
      <c r="C411" s="111" t="s">
        <v>5531</v>
      </c>
      <c r="D411" s="111" t="s">
        <v>5531</v>
      </c>
      <c r="E411" s="84">
        <v>0</v>
      </c>
      <c r="F411" s="133">
        <v>13200</v>
      </c>
      <c r="Q411" s="84">
        <v>6600</v>
      </c>
      <c r="T411" s="84">
        <v>0</v>
      </c>
      <c r="U411" s="84">
        <f>E411-SUM(Q411:T411)</f>
        <v>-6600</v>
      </c>
      <c r="V411" s="99"/>
      <c r="W411" s="99"/>
      <c r="X411" s="99"/>
      <c r="Y411" s="84">
        <v>13200</v>
      </c>
      <c r="Z411" s="99">
        <f t="shared" si="696"/>
        <v>0</v>
      </c>
      <c r="AA411" s="99"/>
      <c r="AF411" s="99"/>
      <c r="AK411" s="99"/>
      <c r="AP411" s="99"/>
      <c r="AZ411" s="99"/>
      <c r="BE411" s="99"/>
      <c r="BJ411" s="99"/>
      <c r="BO411" s="99"/>
      <c r="BT411" s="99"/>
      <c r="BY411" s="546"/>
      <c r="BZ411" s="546"/>
      <c r="CA411" s="546"/>
      <c r="CB411" s="546"/>
      <c r="CC411" s="546"/>
      <c r="CD411" s="546"/>
      <c r="CE411" s="546"/>
      <c r="CF411" s="546"/>
      <c r="CG411" s="546"/>
      <c r="CH411" s="546"/>
      <c r="CI411" s="546"/>
      <c r="CJ411" s="546"/>
      <c r="CK411" s="546"/>
    </row>
    <row r="412" spans="1:89" x14ac:dyDescent="0.2">
      <c r="A412" s="133" t="s">
        <v>5913</v>
      </c>
      <c r="B412" s="1362" t="s">
        <v>6555</v>
      </c>
      <c r="C412" s="111" t="s">
        <v>5912</v>
      </c>
      <c r="D412" s="111" t="s">
        <v>5912</v>
      </c>
      <c r="E412" s="84">
        <v>18100</v>
      </c>
      <c r="F412" s="133">
        <f>17500-10000</f>
        <v>7500</v>
      </c>
      <c r="Q412" s="84">
        <f>'Cap Inc'!B73</f>
        <v>12600</v>
      </c>
      <c r="U412" s="84">
        <f>E412-SUM(Q412:T412)</f>
        <v>5500</v>
      </c>
      <c r="V412" s="99"/>
      <c r="W412" s="99"/>
      <c r="X412" s="99"/>
      <c r="Y412" s="84">
        <f>17500-10000</f>
        <v>7500</v>
      </c>
      <c r="Z412" s="99">
        <f t="shared" si="696"/>
        <v>0</v>
      </c>
      <c r="AA412" s="99"/>
      <c r="AC412" s="133"/>
      <c r="AF412" s="99"/>
      <c r="AK412" s="99"/>
      <c r="AP412" s="99"/>
      <c r="AZ412" s="99"/>
      <c r="BE412" s="99"/>
      <c r="BJ412" s="99"/>
      <c r="BO412" s="99"/>
      <c r="BT412" s="99"/>
      <c r="BY412" s="546"/>
      <c r="BZ412" s="546"/>
      <c r="CA412" s="546"/>
      <c r="CB412" s="546"/>
      <c r="CC412" s="546"/>
      <c r="CD412" s="546"/>
      <c r="CE412" s="546"/>
      <c r="CF412" s="546"/>
      <c r="CG412" s="546"/>
      <c r="CH412" s="546"/>
      <c r="CI412" s="546"/>
      <c r="CJ412" s="546"/>
      <c r="CK412" s="546"/>
    </row>
    <row r="413" spans="1:89" x14ac:dyDescent="0.2">
      <c r="A413" s="993"/>
      <c r="B413" s="1362"/>
      <c r="C413" s="111"/>
      <c r="D413" s="111"/>
      <c r="F413" s="133"/>
      <c r="U413" s="84"/>
      <c r="V413" s="99"/>
      <c r="W413" s="99"/>
      <c r="X413" s="99"/>
      <c r="Z413" s="99">
        <f t="shared" si="696"/>
        <v>0</v>
      </c>
      <c r="AA413" s="99"/>
      <c r="AF413" s="99"/>
      <c r="AK413" s="99"/>
      <c r="AP413" s="99"/>
      <c r="AZ413" s="99"/>
      <c r="BE413" s="99"/>
      <c r="BJ413" s="99"/>
      <c r="BO413" s="99"/>
      <c r="BT413" s="99"/>
      <c r="BY413" s="546"/>
      <c r="BZ413" s="546"/>
      <c r="CA413" s="546"/>
      <c r="CB413" s="546"/>
      <c r="CC413" s="546"/>
      <c r="CD413" s="546"/>
      <c r="CE413" s="546"/>
      <c r="CF413" s="546"/>
      <c r="CG413" s="546"/>
      <c r="CH413" s="546"/>
      <c r="CI413" s="546"/>
      <c r="CJ413" s="546"/>
      <c r="CK413" s="546"/>
    </row>
    <row r="414" spans="1:89" x14ac:dyDescent="0.2">
      <c r="B414" s="198"/>
      <c r="C414" s="108"/>
      <c r="D414" s="108"/>
      <c r="U414" s="84">
        <f>E414-SUM(Q414:T414)</f>
        <v>0</v>
      </c>
      <c r="V414" s="99"/>
      <c r="W414" s="99"/>
      <c r="X414" s="99"/>
      <c r="Z414" s="99">
        <f t="shared" si="696"/>
        <v>0</v>
      </c>
      <c r="AA414" s="99"/>
      <c r="AF414" s="99"/>
      <c r="AK414" s="99"/>
      <c r="AP414" s="99"/>
      <c r="AZ414" s="99"/>
      <c r="BE414" s="99"/>
      <c r="BJ414" s="99"/>
      <c r="BO414" s="99"/>
      <c r="BT414" s="99"/>
      <c r="BY414" s="546"/>
      <c r="BZ414" s="546"/>
      <c r="CA414" s="546"/>
      <c r="CB414" s="546"/>
      <c r="CC414" s="546"/>
      <c r="CD414" s="546"/>
      <c r="CE414" s="546"/>
      <c r="CF414" s="546"/>
      <c r="CG414" s="546"/>
      <c r="CH414" s="546"/>
      <c r="CI414" s="546"/>
      <c r="CJ414" s="546"/>
      <c r="CK414" s="546"/>
    </row>
    <row r="415" spans="1:89" s="118" customFormat="1" ht="13.5" thickBot="1" x14ac:dyDescent="0.25">
      <c r="A415" s="118" t="s">
        <v>2662</v>
      </c>
      <c r="B415" s="1367"/>
      <c r="C415" s="109"/>
      <c r="D415" s="109"/>
      <c r="E415" s="2239">
        <f>SUM(E366:E414)</f>
        <v>2169200</v>
      </c>
      <c r="F415" s="2239">
        <f>SUM(F366:F414)</f>
        <v>1273600</v>
      </c>
      <c r="Q415" s="2239">
        <f t="shared" ref="Q415:Z415" si="698">SUM(Q366:Q414)</f>
        <v>450200</v>
      </c>
      <c r="R415" s="2239">
        <f t="shared" si="698"/>
        <v>0</v>
      </c>
      <c r="S415" s="2239">
        <f t="shared" si="698"/>
        <v>0</v>
      </c>
      <c r="T415" s="2239">
        <f t="shared" si="698"/>
        <v>1592000</v>
      </c>
      <c r="U415" s="2239">
        <f t="shared" si="698"/>
        <v>127000</v>
      </c>
      <c r="V415" s="2239">
        <f t="shared" si="698"/>
        <v>0</v>
      </c>
      <c r="W415" s="2239">
        <f t="shared" si="698"/>
        <v>50000</v>
      </c>
      <c r="X415" s="2239">
        <f t="shared" si="698"/>
        <v>0</v>
      </c>
      <c r="Y415" s="2239">
        <f t="shared" si="698"/>
        <v>933600</v>
      </c>
      <c r="Z415" s="2239">
        <f t="shared" si="698"/>
        <v>290000</v>
      </c>
      <c r="AA415" s="145"/>
      <c r="AE415" s="145"/>
      <c r="AF415" s="145"/>
      <c r="AJ415" s="145"/>
      <c r="AK415" s="145"/>
      <c r="AO415" s="145"/>
      <c r="AP415" s="145"/>
      <c r="AT415" s="145"/>
      <c r="AU415" s="145"/>
      <c r="AY415" s="145"/>
      <c r="AZ415" s="145"/>
      <c r="BD415" s="145"/>
      <c r="BE415" s="145"/>
      <c r="BI415" s="145"/>
      <c r="BJ415" s="145"/>
      <c r="BN415" s="145"/>
      <c r="BO415" s="145"/>
      <c r="BS415" s="145"/>
      <c r="BT415" s="145"/>
      <c r="BX415" s="145"/>
      <c r="BY415" s="1390"/>
      <c r="BZ415" s="1390"/>
      <c r="CA415" s="1390"/>
      <c r="CB415" s="1390"/>
      <c r="CC415" s="1390"/>
      <c r="CD415" s="1390"/>
      <c r="CE415" s="1390"/>
      <c r="CF415" s="1390"/>
      <c r="CG415" s="1390"/>
      <c r="CH415" s="1390"/>
      <c r="CI415" s="1390"/>
      <c r="CJ415" s="1390"/>
      <c r="CK415" s="1390"/>
    </row>
    <row r="416" spans="1:89" s="118" customFormat="1" ht="13.5" thickTop="1" x14ac:dyDescent="0.2">
      <c r="A416" s="118" t="s">
        <v>408</v>
      </c>
      <c r="B416" s="1367"/>
      <c r="C416" s="109"/>
      <c r="D416" s="109"/>
      <c r="E416" s="118">
        <f>SUM(E141:E144)-E415</f>
        <v>-1074300</v>
      </c>
      <c r="F416" s="118">
        <f>SUM(F141:F145)-F415</f>
        <v>0</v>
      </c>
      <c r="G416" s="118">
        <f t="shared" ref="G416:Z416" si="699">SUM(G141:G145)-G415</f>
        <v>1216000</v>
      </c>
      <c r="H416" s="118">
        <f t="shared" si="699"/>
        <v>1309000</v>
      </c>
      <c r="I416" s="118">
        <f t="shared" si="699"/>
        <v>477000</v>
      </c>
      <c r="J416" s="118">
        <f t="shared" si="699"/>
        <v>489000</v>
      </c>
      <c r="K416" s="118">
        <f t="shared" si="699"/>
        <v>501000</v>
      </c>
      <c r="L416" s="118">
        <f t="shared" si="699"/>
        <v>514000</v>
      </c>
      <c r="M416" s="118">
        <f t="shared" si="699"/>
        <v>527000</v>
      </c>
      <c r="N416" s="118">
        <f t="shared" si="699"/>
        <v>540000</v>
      </c>
      <c r="O416" s="118">
        <f t="shared" si="699"/>
        <v>554000</v>
      </c>
      <c r="P416" s="118">
        <f t="shared" si="699"/>
        <v>568000</v>
      </c>
      <c r="Q416" s="118">
        <f t="shared" si="699"/>
        <v>0</v>
      </c>
      <c r="R416" s="118">
        <f t="shared" si="699"/>
        <v>0</v>
      </c>
      <c r="S416" s="118">
        <f t="shared" si="699"/>
        <v>0</v>
      </c>
      <c r="T416" s="118">
        <f t="shared" si="699"/>
        <v>944000</v>
      </c>
      <c r="U416" s="118">
        <f t="shared" si="699"/>
        <v>-944000</v>
      </c>
      <c r="V416" s="118">
        <f t="shared" si="699"/>
        <v>0</v>
      </c>
      <c r="W416" s="118">
        <f t="shared" si="699"/>
        <v>0</v>
      </c>
      <c r="X416" s="118">
        <f t="shared" si="699"/>
        <v>0</v>
      </c>
      <c r="Y416" s="118">
        <f t="shared" si="699"/>
        <v>0</v>
      </c>
      <c r="Z416" s="118">
        <f t="shared" si="699"/>
        <v>0</v>
      </c>
      <c r="AA416" s="145"/>
      <c r="AE416" s="145"/>
      <c r="AF416" s="145"/>
      <c r="AJ416" s="145"/>
      <c r="AK416" s="145"/>
      <c r="AO416" s="145"/>
      <c r="AP416" s="145"/>
      <c r="AT416" s="145"/>
      <c r="AU416" s="145"/>
      <c r="AY416" s="145"/>
      <c r="AZ416" s="145"/>
      <c r="BD416" s="145"/>
      <c r="BE416" s="145"/>
      <c r="BI416" s="145"/>
      <c r="BJ416" s="145"/>
      <c r="BN416" s="145"/>
      <c r="BO416" s="145"/>
      <c r="BS416" s="145"/>
      <c r="BT416" s="145"/>
      <c r="BX416" s="145"/>
      <c r="BY416" s="1390"/>
      <c r="BZ416" s="1390"/>
      <c r="CA416" s="1390"/>
      <c r="CB416" s="1390"/>
      <c r="CC416" s="1390"/>
      <c r="CD416" s="1390"/>
      <c r="CE416" s="1390"/>
      <c r="CF416" s="1390"/>
      <c r="CG416" s="1390"/>
      <c r="CH416" s="1390"/>
      <c r="CI416" s="1390"/>
      <c r="CJ416" s="1390"/>
      <c r="CK416" s="1390"/>
    </row>
    <row r="417" spans="1:89" x14ac:dyDescent="0.2">
      <c r="B417" s="198"/>
      <c r="C417" s="108"/>
      <c r="D417" s="108"/>
      <c r="U417" s="84"/>
      <c r="V417" s="99"/>
      <c r="W417" s="99"/>
      <c r="X417" s="99"/>
      <c r="AA417" s="99"/>
      <c r="AF417" s="99"/>
      <c r="AK417" s="99"/>
      <c r="AP417" s="99"/>
      <c r="AZ417" s="99"/>
      <c r="BE417" s="99"/>
      <c r="BJ417" s="99"/>
      <c r="BO417" s="99"/>
      <c r="BT417" s="99"/>
      <c r="BY417" s="546"/>
      <c r="BZ417" s="546"/>
      <c r="CA417" s="546"/>
      <c r="CB417" s="546"/>
      <c r="CC417" s="546"/>
      <c r="CD417" s="546"/>
      <c r="CE417" s="546"/>
      <c r="CF417" s="546"/>
      <c r="CG417" s="546"/>
      <c r="CH417" s="546"/>
      <c r="CI417" s="546"/>
      <c r="CJ417" s="546"/>
      <c r="CK417" s="546"/>
    </row>
    <row r="418" spans="1:89" x14ac:dyDescent="0.2">
      <c r="A418" s="571" t="s">
        <v>3686</v>
      </c>
      <c r="B418" s="198"/>
      <c r="C418" s="108"/>
      <c r="D418" s="108"/>
      <c r="U418" s="84"/>
      <c r="V418" s="99"/>
      <c r="W418" s="99"/>
      <c r="X418" s="99"/>
      <c r="AA418" s="99"/>
      <c r="AF418" s="99"/>
      <c r="AK418" s="99"/>
      <c r="AP418" s="99"/>
      <c r="AZ418" s="99"/>
      <c r="BE418" s="99"/>
      <c r="BJ418" s="99"/>
      <c r="BO418" s="99"/>
      <c r="BT418" s="99"/>
      <c r="BY418" s="546"/>
      <c r="BZ418" s="546"/>
      <c r="CA418" s="546"/>
      <c r="CB418" s="546"/>
      <c r="CC418" s="546"/>
      <c r="CD418" s="546"/>
      <c r="CE418" s="546"/>
      <c r="CF418" s="546"/>
      <c r="CG418" s="546"/>
      <c r="CH418" s="546"/>
      <c r="CI418" s="546"/>
      <c r="CJ418" s="546"/>
      <c r="CK418" s="546"/>
    </row>
    <row r="419" spans="1:89" x14ac:dyDescent="0.2">
      <c r="A419" s="133" t="s">
        <v>4474</v>
      </c>
      <c r="B419" s="1362" t="s">
        <v>5167</v>
      </c>
      <c r="C419" s="111" t="s">
        <v>4915</v>
      </c>
      <c r="D419" s="108"/>
      <c r="E419" s="84">
        <v>79400</v>
      </c>
      <c r="T419" s="84">
        <v>66400</v>
      </c>
      <c r="U419" s="84">
        <f t="shared" ref="U419:U437" si="700">E419-SUM(Q419:T419)</f>
        <v>13000</v>
      </c>
      <c r="V419" s="99"/>
      <c r="W419" s="99"/>
      <c r="X419" s="99"/>
      <c r="Z419" s="99">
        <f t="shared" ref="Z419:Z436" si="701">F419-V419-W419-X419-Y419</f>
        <v>0</v>
      </c>
      <c r="AA419" s="99"/>
      <c r="AF419" s="99"/>
      <c r="AK419" s="99"/>
      <c r="AP419" s="99"/>
      <c r="AZ419" s="99"/>
      <c r="BE419" s="99"/>
      <c r="BJ419" s="99"/>
      <c r="BO419" s="99"/>
      <c r="BT419" s="99"/>
      <c r="BY419" s="546"/>
      <c r="BZ419" s="546"/>
      <c r="CA419" s="546"/>
      <c r="CB419" s="546"/>
      <c r="CC419" s="546"/>
      <c r="CD419" s="546"/>
      <c r="CE419" s="546"/>
      <c r="CF419" s="546"/>
      <c r="CG419" s="546"/>
      <c r="CH419" s="546"/>
      <c r="CI419" s="546"/>
      <c r="CJ419" s="546"/>
      <c r="CK419" s="546"/>
    </row>
    <row r="420" spans="1:89" x14ac:dyDescent="0.2">
      <c r="A420" s="133" t="s">
        <v>3707</v>
      </c>
      <c r="B420" s="1362" t="s">
        <v>4009</v>
      </c>
      <c r="C420" s="111" t="s">
        <v>4133</v>
      </c>
      <c r="D420" s="111"/>
      <c r="U420" s="84">
        <f t="shared" si="700"/>
        <v>0</v>
      </c>
      <c r="V420" s="99"/>
      <c r="W420" s="99"/>
      <c r="X420" s="99"/>
      <c r="Z420" s="99">
        <f t="shared" si="701"/>
        <v>0</v>
      </c>
      <c r="AA420" s="99"/>
      <c r="AF420" s="99"/>
      <c r="AK420" s="99"/>
      <c r="AP420" s="99"/>
      <c r="AZ420" s="99"/>
      <c r="BE420" s="99"/>
      <c r="BJ420" s="99"/>
      <c r="BO420" s="99"/>
      <c r="BT420" s="99"/>
      <c r="BY420" s="546"/>
      <c r="BZ420" s="546"/>
      <c r="CA420" s="546"/>
      <c r="CB420" s="546"/>
      <c r="CC420" s="546"/>
      <c r="CD420" s="546"/>
      <c r="CE420" s="546"/>
      <c r="CF420" s="546"/>
      <c r="CG420" s="546"/>
      <c r="CH420" s="546"/>
      <c r="CI420" s="546"/>
      <c r="CJ420" s="546"/>
      <c r="CK420" s="546"/>
    </row>
    <row r="421" spans="1:89" x14ac:dyDescent="0.2">
      <c r="A421" s="133" t="s">
        <v>3685</v>
      </c>
      <c r="B421" s="1362" t="s">
        <v>5303</v>
      </c>
      <c r="C421" s="111" t="s">
        <v>5302</v>
      </c>
      <c r="D421" s="111" t="s">
        <v>5302</v>
      </c>
      <c r="E421" s="84">
        <v>0</v>
      </c>
      <c r="F421" s="84">
        <v>43700</v>
      </c>
      <c r="U421" s="84">
        <f t="shared" si="700"/>
        <v>0</v>
      </c>
      <c r="V421" s="99"/>
      <c r="W421" s="99"/>
      <c r="X421" s="99"/>
      <c r="Y421" s="84">
        <v>43700</v>
      </c>
      <c r="Z421" s="99">
        <f t="shared" si="701"/>
        <v>0</v>
      </c>
      <c r="AA421" s="99"/>
      <c r="AF421" s="99"/>
      <c r="AK421" s="99"/>
      <c r="AP421" s="99"/>
      <c r="AZ421" s="99"/>
      <c r="BE421" s="99"/>
      <c r="BJ421" s="99"/>
      <c r="BO421" s="99"/>
      <c r="BT421" s="99"/>
      <c r="BY421" s="546"/>
      <c r="BZ421" s="546"/>
      <c r="CA421" s="546"/>
      <c r="CB421" s="546"/>
      <c r="CC421" s="546"/>
      <c r="CD421" s="546"/>
      <c r="CE421" s="546"/>
      <c r="CF421" s="546"/>
      <c r="CG421" s="546"/>
      <c r="CH421" s="546"/>
      <c r="CI421" s="546"/>
      <c r="CJ421" s="546"/>
      <c r="CK421" s="546"/>
    </row>
    <row r="422" spans="1:89" x14ac:dyDescent="0.2">
      <c r="A422" s="133" t="s">
        <v>5672</v>
      </c>
      <c r="B422" s="1362" t="s">
        <v>6255</v>
      </c>
      <c r="C422" s="111" t="s">
        <v>5675</v>
      </c>
      <c r="D422" s="111"/>
      <c r="E422" s="84">
        <v>119600</v>
      </c>
      <c r="U422" s="84">
        <f t="shared" si="700"/>
        <v>119600</v>
      </c>
      <c r="V422" s="99"/>
      <c r="W422" s="99"/>
      <c r="X422" s="99"/>
      <c r="Z422" s="99">
        <f t="shared" si="701"/>
        <v>0</v>
      </c>
      <c r="AA422" s="99"/>
      <c r="AF422" s="99"/>
      <c r="AK422" s="99"/>
      <c r="AP422" s="99"/>
      <c r="AZ422" s="99"/>
      <c r="BE422" s="99"/>
      <c r="BJ422" s="99"/>
      <c r="BO422" s="99"/>
      <c r="BT422" s="99"/>
      <c r="BY422" s="546"/>
      <c r="BZ422" s="546"/>
      <c r="CA422" s="546"/>
      <c r="CB422" s="546"/>
      <c r="CC422" s="546"/>
      <c r="CD422" s="546"/>
      <c r="CE422" s="546"/>
      <c r="CF422" s="546"/>
      <c r="CG422" s="546"/>
      <c r="CH422" s="546"/>
      <c r="CI422" s="546"/>
      <c r="CJ422" s="546"/>
      <c r="CK422" s="546"/>
    </row>
    <row r="423" spans="1:89" x14ac:dyDescent="0.2">
      <c r="A423" s="133" t="s">
        <v>5673</v>
      </c>
      <c r="B423" s="1362" t="s">
        <v>6256</v>
      </c>
      <c r="C423" s="111" t="s">
        <v>5676</v>
      </c>
      <c r="D423" s="111"/>
      <c r="E423" s="84">
        <v>13300</v>
      </c>
      <c r="U423" s="84">
        <f t="shared" si="700"/>
        <v>13300</v>
      </c>
      <c r="V423" s="99"/>
      <c r="W423" s="99"/>
      <c r="X423" s="99"/>
      <c r="Z423" s="99">
        <f t="shared" si="701"/>
        <v>0</v>
      </c>
      <c r="AA423" s="99"/>
      <c r="AF423" s="99"/>
      <c r="AK423" s="99"/>
      <c r="AP423" s="99"/>
      <c r="AZ423" s="99"/>
      <c r="BE423" s="99"/>
      <c r="BJ423" s="99"/>
      <c r="BO423" s="99"/>
      <c r="BT423" s="99"/>
      <c r="BY423" s="546"/>
      <c r="BZ423" s="546"/>
      <c r="CA423" s="546"/>
      <c r="CB423" s="546"/>
      <c r="CC423" s="546"/>
      <c r="CD423" s="546"/>
      <c r="CE423" s="546"/>
      <c r="CF423" s="546"/>
      <c r="CG423" s="546"/>
      <c r="CH423" s="546"/>
      <c r="CI423" s="546"/>
      <c r="CJ423" s="546"/>
      <c r="CK423" s="546"/>
    </row>
    <row r="424" spans="1:89" x14ac:dyDescent="0.2">
      <c r="A424" s="133" t="s">
        <v>5674</v>
      </c>
      <c r="B424" s="1362" t="s">
        <v>5303</v>
      </c>
      <c r="C424" s="111" t="s">
        <v>5302</v>
      </c>
      <c r="D424" s="111"/>
      <c r="E424" s="84">
        <v>4300</v>
      </c>
      <c r="U424" s="84">
        <f t="shared" si="700"/>
        <v>4300</v>
      </c>
      <c r="V424" s="99"/>
      <c r="W424" s="99"/>
      <c r="X424" s="99"/>
      <c r="Z424" s="99">
        <f t="shared" si="701"/>
        <v>0</v>
      </c>
      <c r="AA424" s="99"/>
      <c r="AF424" s="99"/>
      <c r="AK424" s="99"/>
      <c r="AP424" s="99"/>
      <c r="AZ424" s="99"/>
      <c r="BE424" s="99"/>
      <c r="BJ424" s="99"/>
      <c r="BO424" s="99"/>
      <c r="BT424" s="99"/>
      <c r="BY424" s="546"/>
      <c r="BZ424" s="546"/>
      <c r="CA424" s="546"/>
      <c r="CB424" s="546"/>
      <c r="CC424" s="546"/>
      <c r="CD424" s="546"/>
      <c r="CE424" s="546"/>
      <c r="CF424" s="546"/>
      <c r="CG424" s="546"/>
      <c r="CH424" s="546"/>
      <c r="CI424" s="546"/>
      <c r="CJ424" s="546"/>
      <c r="CK424" s="546"/>
    </row>
    <row r="425" spans="1:89" x14ac:dyDescent="0.2">
      <c r="A425" s="133" t="s">
        <v>3685</v>
      </c>
      <c r="B425" s="111" t="s">
        <v>5581</v>
      </c>
      <c r="C425" s="111" t="s">
        <v>5076</v>
      </c>
      <c r="D425" s="111" t="s">
        <v>5581</v>
      </c>
      <c r="E425" s="84">
        <v>0</v>
      </c>
      <c r="F425" s="84">
        <f>162000</f>
        <v>162000</v>
      </c>
      <c r="T425" s="84">
        <v>0</v>
      </c>
      <c r="U425" s="84">
        <f t="shared" si="700"/>
        <v>0</v>
      </c>
      <c r="V425" s="99"/>
      <c r="W425" s="99"/>
      <c r="X425" s="99"/>
      <c r="Z425" s="99">
        <f t="shared" si="701"/>
        <v>162000</v>
      </c>
      <c r="AA425" s="99"/>
      <c r="AF425" s="99"/>
      <c r="AK425" s="99"/>
      <c r="AP425" s="99"/>
      <c r="AZ425" s="99"/>
      <c r="BE425" s="99"/>
      <c r="BJ425" s="99"/>
      <c r="BO425" s="99"/>
      <c r="BT425" s="99"/>
      <c r="BY425" s="546"/>
      <c r="BZ425" s="546"/>
      <c r="CA425" s="546"/>
      <c r="CB425" s="546"/>
      <c r="CC425" s="546"/>
      <c r="CD425" s="546"/>
      <c r="CE425" s="546"/>
      <c r="CF425" s="546"/>
      <c r="CG425" s="546"/>
      <c r="CH425" s="546"/>
      <c r="CI425" s="546"/>
      <c r="CJ425" s="546"/>
      <c r="CK425" s="546"/>
    </row>
    <row r="426" spans="1:89" x14ac:dyDescent="0.2">
      <c r="A426" s="133" t="s">
        <v>5677</v>
      </c>
      <c r="B426" s="1362" t="s">
        <v>6259</v>
      </c>
      <c r="C426" s="111" t="s">
        <v>6260</v>
      </c>
      <c r="D426" s="111"/>
      <c r="E426" s="84">
        <v>53400</v>
      </c>
      <c r="T426" s="84">
        <v>52000</v>
      </c>
      <c r="U426" s="84">
        <f t="shared" si="700"/>
        <v>1400</v>
      </c>
      <c r="V426" s="99"/>
      <c r="W426" s="99"/>
      <c r="X426" s="99"/>
      <c r="Z426" s="99">
        <f t="shared" si="701"/>
        <v>0</v>
      </c>
      <c r="AA426" s="99"/>
      <c r="AF426" s="99"/>
      <c r="AK426" s="99"/>
      <c r="AP426" s="99"/>
      <c r="AZ426" s="99"/>
      <c r="BE426" s="99"/>
      <c r="BJ426" s="99"/>
      <c r="BO426" s="99"/>
      <c r="BT426" s="99"/>
      <c r="BY426" s="546"/>
      <c r="BZ426" s="546"/>
      <c r="CA426" s="546"/>
      <c r="CB426" s="546"/>
      <c r="CC426" s="546"/>
      <c r="CD426" s="546"/>
      <c r="CE426" s="546"/>
      <c r="CF426" s="546"/>
      <c r="CG426" s="546"/>
      <c r="CH426" s="546"/>
      <c r="CI426" s="546"/>
      <c r="CJ426" s="546"/>
      <c r="CK426" s="546"/>
    </row>
    <row r="427" spans="1:89" x14ac:dyDescent="0.2">
      <c r="A427" s="133" t="s">
        <v>5678</v>
      </c>
      <c r="B427" s="1362" t="s">
        <v>6261</v>
      </c>
      <c r="C427" s="111" t="s">
        <v>6262</v>
      </c>
      <c r="D427" s="111"/>
      <c r="E427" s="84">
        <v>22400</v>
      </c>
      <c r="T427" s="84">
        <f>E427</f>
        <v>22400</v>
      </c>
      <c r="U427" s="84">
        <f t="shared" si="700"/>
        <v>0</v>
      </c>
      <c r="V427" s="99"/>
      <c r="W427" s="99"/>
      <c r="X427" s="99"/>
      <c r="Z427" s="99">
        <f t="shared" si="701"/>
        <v>0</v>
      </c>
      <c r="AA427" s="99"/>
      <c r="AF427" s="99"/>
      <c r="AK427" s="99"/>
      <c r="AP427" s="99"/>
      <c r="AZ427" s="99"/>
      <c r="BE427" s="99"/>
      <c r="BJ427" s="99"/>
      <c r="BO427" s="99"/>
      <c r="BT427" s="99"/>
      <c r="BY427" s="546"/>
      <c r="BZ427" s="546"/>
      <c r="CA427" s="546"/>
      <c r="CB427" s="546"/>
      <c r="CC427" s="546"/>
      <c r="CD427" s="546"/>
      <c r="CE427" s="546"/>
      <c r="CF427" s="546"/>
      <c r="CG427" s="546"/>
      <c r="CH427" s="546"/>
      <c r="CI427" s="546"/>
      <c r="CJ427" s="546"/>
      <c r="CK427" s="546"/>
    </row>
    <row r="428" spans="1:89" x14ac:dyDescent="0.2">
      <c r="A428" s="133" t="s">
        <v>5679</v>
      </c>
      <c r="B428" s="1362" t="s">
        <v>6263</v>
      </c>
      <c r="C428" s="111" t="s">
        <v>6264</v>
      </c>
      <c r="D428" s="111"/>
      <c r="E428" s="84">
        <v>7200</v>
      </c>
      <c r="T428" s="84">
        <v>7000</v>
      </c>
      <c r="U428" s="84">
        <f t="shared" si="700"/>
        <v>200</v>
      </c>
      <c r="V428" s="99"/>
      <c r="W428" s="99"/>
      <c r="X428" s="99"/>
      <c r="Z428" s="99">
        <f t="shared" si="701"/>
        <v>0</v>
      </c>
      <c r="AA428" s="99"/>
      <c r="AF428" s="99"/>
      <c r="AK428" s="99"/>
      <c r="AP428" s="99"/>
      <c r="AZ428" s="99"/>
      <c r="BE428" s="99"/>
      <c r="BJ428" s="99"/>
      <c r="BO428" s="99"/>
      <c r="BT428" s="99"/>
      <c r="BY428" s="546"/>
      <c r="BZ428" s="546"/>
      <c r="CA428" s="546"/>
      <c r="CB428" s="546"/>
      <c r="CC428" s="546"/>
      <c r="CD428" s="546"/>
      <c r="CE428" s="546"/>
      <c r="CF428" s="546"/>
      <c r="CG428" s="546"/>
      <c r="CH428" s="546"/>
      <c r="CI428" s="546"/>
      <c r="CJ428" s="546"/>
      <c r="CK428" s="546"/>
    </row>
    <row r="429" spans="1:89" x14ac:dyDescent="0.2">
      <c r="A429" s="133" t="s">
        <v>5680</v>
      </c>
      <c r="B429" s="1362" t="s">
        <v>6265</v>
      </c>
      <c r="C429" s="111" t="s">
        <v>6266</v>
      </c>
      <c r="D429" s="111"/>
      <c r="E429" s="84">
        <v>40200</v>
      </c>
      <c r="T429" s="84">
        <f>E429</f>
        <v>40200</v>
      </c>
      <c r="U429" s="84">
        <f t="shared" si="700"/>
        <v>0</v>
      </c>
      <c r="V429" s="99"/>
      <c r="W429" s="99"/>
      <c r="X429" s="99"/>
      <c r="Z429" s="99">
        <f t="shared" si="701"/>
        <v>0</v>
      </c>
      <c r="AA429" s="99"/>
      <c r="AF429" s="99"/>
      <c r="AK429" s="99"/>
      <c r="AP429" s="99"/>
      <c r="AZ429" s="99"/>
      <c r="BE429" s="99"/>
      <c r="BJ429" s="99"/>
      <c r="BO429" s="99"/>
      <c r="BT429" s="99"/>
      <c r="BY429" s="546"/>
      <c r="BZ429" s="546"/>
      <c r="CA429" s="546"/>
      <c r="CB429" s="546"/>
      <c r="CC429" s="546"/>
      <c r="CD429" s="546"/>
      <c r="CE429" s="546"/>
      <c r="CF429" s="546"/>
      <c r="CG429" s="546"/>
      <c r="CH429" s="546"/>
      <c r="CI429" s="546"/>
      <c r="CJ429" s="546"/>
      <c r="CK429" s="546"/>
    </row>
    <row r="430" spans="1:89" x14ac:dyDescent="0.2">
      <c r="A430" s="133" t="s">
        <v>5681</v>
      </c>
      <c r="B430" s="1362" t="s">
        <v>6267</v>
      </c>
      <c r="C430" s="111" t="s">
        <v>6268</v>
      </c>
      <c r="D430" s="111"/>
      <c r="E430" s="84">
        <v>35700</v>
      </c>
      <c r="T430" s="84">
        <f>E430</f>
        <v>35700</v>
      </c>
      <c r="U430" s="84">
        <f t="shared" si="700"/>
        <v>0</v>
      </c>
      <c r="V430" s="99"/>
      <c r="W430" s="99"/>
      <c r="X430" s="99"/>
      <c r="Z430" s="99">
        <f t="shared" si="701"/>
        <v>0</v>
      </c>
      <c r="AA430" s="99"/>
      <c r="AF430" s="99"/>
      <c r="AK430" s="99"/>
      <c r="AP430" s="99"/>
      <c r="AZ430" s="99"/>
      <c r="BE430" s="99"/>
      <c r="BJ430" s="99"/>
      <c r="BO430" s="99"/>
      <c r="BT430" s="99"/>
      <c r="BY430" s="546"/>
      <c r="BZ430" s="546"/>
      <c r="CA430" s="546"/>
      <c r="CB430" s="546"/>
      <c r="CC430" s="546"/>
      <c r="CD430" s="546"/>
      <c r="CE430" s="546"/>
      <c r="CF430" s="546"/>
      <c r="CG430" s="546"/>
      <c r="CH430" s="546"/>
      <c r="CI430" s="546"/>
      <c r="CJ430" s="546"/>
      <c r="CK430" s="546"/>
    </row>
    <row r="431" spans="1:89" x14ac:dyDescent="0.2">
      <c r="A431" s="133" t="s">
        <v>5053</v>
      </c>
      <c r="B431" s="1362" t="s">
        <v>5168</v>
      </c>
      <c r="C431" s="111" t="s">
        <v>5054</v>
      </c>
      <c r="D431" s="111"/>
      <c r="U431" s="84">
        <f t="shared" si="700"/>
        <v>0</v>
      </c>
      <c r="V431" s="99"/>
      <c r="W431" s="99"/>
      <c r="X431" s="99"/>
      <c r="Z431" s="99">
        <f t="shared" si="701"/>
        <v>0</v>
      </c>
      <c r="AA431" s="99"/>
      <c r="AF431" s="99"/>
      <c r="AK431" s="99"/>
      <c r="AP431" s="99"/>
      <c r="AZ431" s="99"/>
      <c r="BE431" s="99"/>
      <c r="BJ431" s="99"/>
      <c r="BO431" s="99"/>
      <c r="BT431" s="99"/>
      <c r="BY431" s="546"/>
      <c r="BZ431" s="546"/>
      <c r="CA431" s="546"/>
      <c r="CB431" s="546"/>
      <c r="CC431" s="546"/>
      <c r="CD431" s="546"/>
      <c r="CE431" s="546"/>
      <c r="CF431" s="546"/>
      <c r="CG431" s="546"/>
      <c r="CH431" s="546"/>
      <c r="CI431" s="546"/>
      <c r="CJ431" s="546"/>
      <c r="CK431" s="546"/>
    </row>
    <row r="432" spans="1:89" x14ac:dyDescent="0.2">
      <c r="A432" s="133" t="s">
        <v>4871</v>
      </c>
      <c r="B432" s="1362" t="s">
        <v>5280</v>
      </c>
      <c r="C432" s="111" t="s">
        <v>5279</v>
      </c>
      <c r="D432" s="111" t="s">
        <v>5279</v>
      </c>
      <c r="E432" s="84">
        <v>0</v>
      </c>
      <c r="F432" s="84">
        <f>490000+10000</f>
        <v>500000</v>
      </c>
      <c r="T432" s="84">
        <f>E432</f>
        <v>0</v>
      </c>
      <c r="U432" s="84">
        <f t="shared" si="700"/>
        <v>0</v>
      </c>
      <c r="V432" s="99"/>
      <c r="W432" s="99"/>
      <c r="X432" s="99"/>
      <c r="Y432" s="84">
        <f>490000+10000</f>
        <v>500000</v>
      </c>
      <c r="Z432" s="99">
        <f t="shared" si="701"/>
        <v>0</v>
      </c>
      <c r="AA432" s="99"/>
      <c r="AF432" s="99"/>
      <c r="AK432" s="99"/>
      <c r="AP432" s="99"/>
      <c r="AZ432" s="99"/>
      <c r="BE432" s="99"/>
      <c r="BJ432" s="99"/>
      <c r="BO432" s="99"/>
      <c r="BT432" s="99"/>
      <c r="BY432" s="546"/>
      <c r="BZ432" s="546"/>
      <c r="CA432" s="546"/>
      <c r="CB432" s="546"/>
      <c r="CC432" s="546"/>
      <c r="CD432" s="546"/>
      <c r="CE432" s="546"/>
      <c r="CF432" s="546"/>
      <c r="CG432" s="546"/>
      <c r="CH432" s="546"/>
      <c r="CI432" s="546"/>
      <c r="CJ432" s="546"/>
      <c r="CK432" s="546"/>
    </row>
    <row r="433" spans="1:89" x14ac:dyDescent="0.2">
      <c r="A433" s="133" t="s">
        <v>5659</v>
      </c>
      <c r="B433" s="1362" t="s">
        <v>6257</v>
      </c>
      <c r="C433" s="111" t="s">
        <v>5660</v>
      </c>
      <c r="D433" s="111"/>
      <c r="E433" s="84">
        <v>4300</v>
      </c>
      <c r="U433" s="84">
        <f t="shared" si="700"/>
        <v>4300</v>
      </c>
      <c r="V433" s="99"/>
      <c r="W433" s="99"/>
      <c r="X433" s="99"/>
      <c r="Z433" s="99">
        <f t="shared" si="701"/>
        <v>0</v>
      </c>
      <c r="AA433" s="99"/>
      <c r="AF433" s="99"/>
      <c r="AK433" s="99"/>
      <c r="AP433" s="99"/>
      <c r="AZ433" s="99"/>
      <c r="BE433" s="99"/>
      <c r="BJ433" s="99"/>
      <c r="BO433" s="99"/>
      <c r="BT433" s="99"/>
      <c r="BY433" s="546"/>
      <c r="BZ433" s="546"/>
      <c r="CA433" s="546"/>
      <c r="CB433" s="546"/>
      <c r="CC433" s="546"/>
      <c r="CD433" s="546"/>
      <c r="CE433" s="546"/>
      <c r="CF433" s="546"/>
      <c r="CG433" s="546"/>
      <c r="CH433" s="546"/>
      <c r="CI433" s="546"/>
      <c r="CJ433" s="546"/>
      <c r="CK433" s="546"/>
    </row>
    <row r="434" spans="1:89" x14ac:dyDescent="0.2">
      <c r="A434" s="133" t="s">
        <v>5661</v>
      </c>
      <c r="B434" s="198"/>
      <c r="C434" s="108"/>
      <c r="D434" s="111"/>
      <c r="E434" s="84">
        <v>23700</v>
      </c>
      <c r="U434" s="84">
        <f t="shared" si="700"/>
        <v>23700</v>
      </c>
      <c r="V434" s="99"/>
      <c r="W434" s="99"/>
      <c r="X434" s="99"/>
      <c r="Z434" s="99">
        <f t="shared" si="701"/>
        <v>0</v>
      </c>
      <c r="AA434" s="99"/>
      <c r="AF434" s="99"/>
      <c r="AK434" s="99"/>
      <c r="AP434" s="99"/>
      <c r="AZ434" s="99"/>
      <c r="BE434" s="99"/>
      <c r="BJ434" s="99"/>
      <c r="BO434" s="99"/>
      <c r="BT434" s="99"/>
      <c r="BY434" s="546"/>
      <c r="BZ434" s="546"/>
      <c r="CA434" s="546"/>
      <c r="CB434" s="546"/>
      <c r="CC434" s="546"/>
      <c r="CD434" s="546"/>
      <c r="CE434" s="546"/>
      <c r="CF434" s="546"/>
      <c r="CG434" s="546"/>
      <c r="CH434" s="546"/>
      <c r="CI434" s="546"/>
      <c r="CJ434" s="546"/>
      <c r="CK434" s="546"/>
    </row>
    <row r="435" spans="1:89" x14ac:dyDescent="0.2">
      <c r="A435" s="133" t="s">
        <v>5666</v>
      </c>
      <c r="B435" s="1362" t="s">
        <v>6258</v>
      </c>
      <c r="C435" s="111" t="s">
        <v>5667</v>
      </c>
      <c r="D435" s="111"/>
      <c r="E435" s="84">
        <v>41400</v>
      </c>
      <c r="R435" s="84">
        <v>41500</v>
      </c>
      <c r="U435" s="84">
        <f t="shared" si="700"/>
        <v>-100</v>
      </c>
      <c r="V435" s="99"/>
      <c r="W435" s="99"/>
      <c r="X435" s="99"/>
      <c r="Z435" s="99">
        <f t="shared" si="701"/>
        <v>0</v>
      </c>
      <c r="AA435" s="99"/>
      <c r="AF435" s="99"/>
      <c r="AK435" s="99"/>
      <c r="AP435" s="99"/>
      <c r="AZ435" s="99"/>
      <c r="BE435" s="99"/>
      <c r="BJ435" s="99"/>
      <c r="BO435" s="99"/>
      <c r="BT435" s="99"/>
      <c r="BY435" s="546"/>
      <c r="BZ435" s="546"/>
      <c r="CA435" s="546"/>
      <c r="CB435" s="546"/>
      <c r="CC435" s="546"/>
      <c r="CD435" s="546"/>
      <c r="CE435" s="546"/>
      <c r="CF435" s="546"/>
      <c r="CG435" s="546"/>
      <c r="CH435" s="546"/>
      <c r="CI435" s="546"/>
      <c r="CJ435" s="546"/>
      <c r="CK435" s="546"/>
    </row>
    <row r="436" spans="1:89" x14ac:dyDescent="0.2">
      <c r="A436" s="133" t="s">
        <v>6030</v>
      </c>
      <c r="B436" s="1362" t="s">
        <v>6362</v>
      </c>
      <c r="C436" s="111" t="s">
        <v>6364</v>
      </c>
      <c r="D436" s="111" t="s">
        <v>6364</v>
      </c>
      <c r="F436" s="84">
        <v>350000</v>
      </c>
      <c r="U436" s="84">
        <f t="shared" si="700"/>
        <v>0</v>
      </c>
      <c r="V436" s="99"/>
      <c r="W436" s="99"/>
      <c r="X436" s="99"/>
      <c r="Y436" s="84">
        <v>350000</v>
      </c>
      <c r="Z436" s="99">
        <f t="shared" si="701"/>
        <v>0</v>
      </c>
      <c r="AA436" s="99"/>
      <c r="AF436" s="99"/>
      <c r="AK436" s="99"/>
      <c r="AP436" s="99"/>
      <c r="AZ436" s="99"/>
      <c r="BE436" s="99"/>
      <c r="BJ436" s="99"/>
      <c r="BO436" s="99"/>
      <c r="BT436" s="99"/>
      <c r="BY436" s="546"/>
      <c r="BZ436" s="546"/>
      <c r="CA436" s="546"/>
      <c r="CB436" s="546"/>
      <c r="CC436" s="546"/>
      <c r="CD436" s="546"/>
      <c r="CE436" s="546"/>
      <c r="CF436" s="546"/>
      <c r="CG436" s="546"/>
      <c r="CH436" s="546"/>
      <c r="CI436" s="546"/>
      <c r="CJ436" s="546"/>
      <c r="CK436" s="546"/>
    </row>
    <row r="437" spans="1:89" x14ac:dyDescent="0.2">
      <c r="A437" s="133" t="s">
        <v>6837</v>
      </c>
      <c r="B437" s="1362" t="s">
        <v>3161</v>
      </c>
      <c r="C437" s="111"/>
      <c r="D437" s="111"/>
      <c r="E437" s="84">
        <v>200</v>
      </c>
      <c r="U437" s="84">
        <f t="shared" si="700"/>
        <v>200</v>
      </c>
      <c r="V437" s="99"/>
      <c r="W437" s="99"/>
      <c r="X437" s="99"/>
      <c r="AA437" s="99"/>
      <c r="AF437" s="99"/>
      <c r="AK437" s="99"/>
      <c r="AP437" s="99"/>
      <c r="AZ437" s="99"/>
      <c r="BE437" s="99"/>
      <c r="BJ437" s="99"/>
      <c r="BO437" s="99"/>
      <c r="BT437" s="99"/>
      <c r="BY437" s="546"/>
      <c r="BZ437" s="546"/>
      <c r="CA437" s="546"/>
      <c r="CB437" s="546"/>
      <c r="CC437" s="546"/>
      <c r="CD437" s="546"/>
      <c r="CE437" s="546"/>
      <c r="CF437" s="546"/>
      <c r="CG437" s="546"/>
      <c r="CH437" s="546"/>
      <c r="CI437" s="546"/>
      <c r="CJ437" s="546"/>
      <c r="CK437" s="546"/>
    </row>
    <row r="438" spans="1:89" x14ac:dyDescent="0.2">
      <c r="A438" s="133" t="s">
        <v>4874</v>
      </c>
      <c r="B438" s="1362" t="s">
        <v>6363</v>
      </c>
      <c r="C438" s="111" t="s">
        <v>6365</v>
      </c>
      <c r="D438" s="111" t="s">
        <v>6365</v>
      </c>
      <c r="F438" s="84">
        <f>200000-50000</f>
        <v>150000</v>
      </c>
      <c r="U438" s="84"/>
      <c r="V438" s="99">
        <v>60000</v>
      </c>
      <c r="W438" s="99"/>
      <c r="X438" s="99"/>
      <c r="Y438" s="84">
        <f>140000-50000</f>
        <v>90000</v>
      </c>
      <c r="Z438" s="99">
        <f>F438-V438-W438-X438-Y438</f>
        <v>0</v>
      </c>
      <c r="AA438" s="99"/>
      <c r="AF438" s="99"/>
      <c r="AK438" s="99"/>
      <c r="AP438" s="99"/>
      <c r="AZ438" s="99"/>
      <c r="BE438" s="99"/>
      <c r="BJ438" s="99"/>
      <c r="BO438" s="99"/>
      <c r="BT438" s="99"/>
      <c r="BY438" s="546"/>
      <c r="BZ438" s="546"/>
      <c r="CA438" s="546"/>
      <c r="CB438" s="546"/>
      <c r="CC438" s="546"/>
      <c r="CD438" s="546"/>
      <c r="CE438" s="546"/>
      <c r="CF438" s="546"/>
      <c r="CG438" s="546"/>
      <c r="CH438" s="546"/>
      <c r="CI438" s="546"/>
      <c r="CJ438" s="546"/>
      <c r="CK438" s="546"/>
    </row>
    <row r="439" spans="1:89" ht="13.5" thickBot="1" x14ac:dyDescent="0.25">
      <c r="A439" s="118" t="s">
        <v>2662</v>
      </c>
      <c r="B439" s="198"/>
      <c r="C439" s="108"/>
      <c r="D439" s="108"/>
      <c r="E439" s="2240">
        <f>SUM(E418:E438)</f>
        <v>445100</v>
      </c>
      <c r="F439" s="2240">
        <f>SUM(F418:F438)</f>
        <v>1205700</v>
      </c>
      <c r="G439" s="2240">
        <f t="shared" ref="G439:O439" si="702">SUM(G418:G435)</f>
        <v>0</v>
      </c>
      <c r="H439" s="2240">
        <f t="shared" si="702"/>
        <v>0</v>
      </c>
      <c r="I439" s="2240">
        <f t="shared" si="702"/>
        <v>0</v>
      </c>
      <c r="J439" s="2240">
        <f t="shared" si="702"/>
        <v>0</v>
      </c>
      <c r="K439" s="2240">
        <f t="shared" si="702"/>
        <v>0</v>
      </c>
      <c r="L439" s="2240">
        <f t="shared" si="702"/>
        <v>0</v>
      </c>
      <c r="M439" s="2240">
        <f t="shared" si="702"/>
        <v>0</v>
      </c>
      <c r="N439" s="2240">
        <f t="shared" si="702"/>
        <v>0</v>
      </c>
      <c r="O439" s="2240">
        <f t="shared" si="702"/>
        <v>0</v>
      </c>
      <c r="P439" s="2240">
        <f t="shared" ref="P439" si="703">SUM(P418:P435)</f>
        <v>0</v>
      </c>
      <c r="Q439" s="2240">
        <f t="shared" ref="Q439:W439" si="704">SUM(Q418:Q438)</f>
        <v>0</v>
      </c>
      <c r="R439" s="2240">
        <f t="shared" si="704"/>
        <v>41500</v>
      </c>
      <c r="S439" s="2240">
        <f t="shared" si="704"/>
        <v>0</v>
      </c>
      <c r="T439" s="2240">
        <f t="shared" si="704"/>
        <v>223700</v>
      </c>
      <c r="U439" s="2240">
        <f t="shared" si="704"/>
        <v>179900</v>
      </c>
      <c r="V439" s="2240">
        <f t="shared" si="704"/>
        <v>60000</v>
      </c>
      <c r="W439" s="2240">
        <f t="shared" si="704"/>
        <v>0</v>
      </c>
      <c r="X439" s="2240">
        <f t="shared" ref="X439:Z439" si="705">SUM(X418:X438)</f>
        <v>0</v>
      </c>
      <c r="Y439" s="2240">
        <f t="shared" si="705"/>
        <v>983700</v>
      </c>
      <c r="Z439" s="2240">
        <f t="shared" si="705"/>
        <v>162000</v>
      </c>
      <c r="AA439" s="99"/>
      <c r="AF439" s="99"/>
      <c r="AK439" s="99"/>
      <c r="AP439" s="99"/>
      <c r="AZ439" s="99"/>
      <c r="BE439" s="99"/>
      <c r="BJ439" s="99"/>
      <c r="BO439" s="99"/>
      <c r="BT439" s="99"/>
      <c r="BY439" s="546"/>
      <c r="BZ439" s="546"/>
      <c r="CA439" s="546"/>
      <c r="CB439" s="546"/>
      <c r="CC439" s="546"/>
      <c r="CD439" s="546"/>
      <c r="CE439" s="546"/>
      <c r="CF439" s="546"/>
      <c r="CG439" s="546"/>
      <c r="CH439" s="546"/>
      <c r="CI439" s="546"/>
      <c r="CJ439" s="546"/>
      <c r="CK439" s="546"/>
    </row>
    <row r="440" spans="1:89" ht="13.5" thickTop="1" x14ac:dyDescent="0.2">
      <c r="A440" s="118" t="s">
        <v>408</v>
      </c>
      <c r="B440" s="198"/>
      <c r="C440" s="108"/>
      <c r="D440" s="108"/>
      <c r="E440" s="99">
        <f>IF(E439=SUM(E176:E183),0,(E439-SUM(E176:E183)))</f>
        <v>0</v>
      </c>
      <c r="F440" s="99">
        <f>IF(F439=SUM(F176:F183),0,(F439-SUM(F176:F183)))</f>
        <v>0</v>
      </c>
      <c r="Q440" s="99">
        <f t="shared" ref="Q440:Z440" si="706">IF(Q439=SUM(Q176:Q183),0,(Q439-SUM(Q176:Q183)))</f>
        <v>0</v>
      </c>
      <c r="R440" s="99">
        <f t="shared" si="706"/>
        <v>0</v>
      </c>
      <c r="S440" s="99">
        <f t="shared" si="706"/>
        <v>0</v>
      </c>
      <c r="T440" s="99">
        <f t="shared" si="706"/>
        <v>-9100</v>
      </c>
      <c r="U440" s="99">
        <f t="shared" si="706"/>
        <v>9100</v>
      </c>
      <c r="V440" s="99">
        <f t="shared" si="706"/>
        <v>0</v>
      </c>
      <c r="W440" s="99">
        <f t="shared" si="706"/>
        <v>0</v>
      </c>
      <c r="X440" s="99">
        <f t="shared" si="706"/>
        <v>0</v>
      </c>
      <c r="Y440" s="99">
        <f t="shared" si="706"/>
        <v>0</v>
      </c>
      <c r="Z440" s="99">
        <f t="shared" si="706"/>
        <v>0</v>
      </c>
      <c r="AA440" s="99"/>
      <c r="AF440" s="99"/>
      <c r="AK440" s="99"/>
      <c r="AP440" s="99"/>
      <c r="AZ440" s="99"/>
      <c r="BE440" s="99"/>
      <c r="BJ440" s="99"/>
      <c r="BO440" s="99"/>
      <c r="BT440" s="99"/>
      <c r="BY440" s="546"/>
      <c r="BZ440" s="546"/>
      <c r="CA440" s="546"/>
      <c r="CB440" s="546"/>
      <c r="CC440" s="546"/>
      <c r="CD440" s="546"/>
      <c r="CE440" s="546"/>
      <c r="CF440" s="546"/>
      <c r="CG440" s="546"/>
      <c r="CH440" s="546"/>
      <c r="CI440" s="546"/>
      <c r="CJ440" s="546"/>
      <c r="CK440" s="546"/>
    </row>
    <row r="441" spans="1:89" x14ac:dyDescent="0.2">
      <c r="A441" s="118"/>
      <c r="B441" s="198"/>
      <c r="C441" s="108"/>
      <c r="D441" s="108"/>
      <c r="Q441" s="99"/>
      <c r="R441" s="99"/>
      <c r="S441" s="99"/>
      <c r="T441" s="99"/>
      <c r="V441" s="99"/>
      <c r="W441" s="99"/>
      <c r="X441" s="99"/>
      <c r="AA441" s="99"/>
      <c r="AF441" s="99"/>
      <c r="AK441" s="99"/>
      <c r="AP441" s="99"/>
      <c r="AZ441" s="99"/>
      <c r="BE441" s="99"/>
      <c r="BJ441" s="99"/>
      <c r="BO441" s="99"/>
      <c r="BT441" s="99"/>
      <c r="BY441" s="546"/>
      <c r="BZ441" s="546"/>
      <c r="CA441" s="546"/>
      <c r="CB441" s="546"/>
      <c r="CC441" s="546"/>
      <c r="CD441" s="546"/>
      <c r="CE441" s="546"/>
      <c r="CF441" s="546"/>
      <c r="CG441" s="546"/>
      <c r="CH441" s="546"/>
      <c r="CI441" s="546"/>
      <c r="CJ441" s="546"/>
      <c r="CK441" s="546"/>
    </row>
    <row r="442" spans="1:89" x14ac:dyDescent="0.2">
      <c r="B442" s="198"/>
      <c r="C442" s="108"/>
      <c r="D442" s="108"/>
      <c r="U442" s="84"/>
      <c r="V442" s="99"/>
      <c r="W442" s="99"/>
      <c r="X442" s="99"/>
      <c r="AA442" s="99"/>
      <c r="AF442" s="99"/>
      <c r="AK442" s="99"/>
      <c r="AP442" s="99"/>
      <c r="AZ442" s="99"/>
      <c r="BE442" s="99"/>
      <c r="BJ442" s="99"/>
      <c r="BO442" s="99"/>
      <c r="BT442" s="99"/>
      <c r="BY442" s="546"/>
      <c r="BZ442" s="546"/>
      <c r="CA442" s="546"/>
      <c r="CB442" s="546"/>
      <c r="CC442" s="546"/>
      <c r="CD442" s="546"/>
      <c r="CE442" s="546"/>
      <c r="CF442" s="546"/>
      <c r="CG442" s="546"/>
      <c r="CH442" s="546"/>
      <c r="CI442" s="546"/>
      <c r="CJ442" s="546"/>
      <c r="CK442" s="546"/>
    </row>
    <row r="443" spans="1:89" x14ac:dyDescent="0.2">
      <c r="A443" s="571" t="s">
        <v>3687</v>
      </c>
      <c r="B443" s="198"/>
      <c r="C443" s="108"/>
      <c r="D443" s="108"/>
      <c r="U443" s="84"/>
      <c r="V443" s="99"/>
      <c r="W443" s="99"/>
      <c r="X443" s="99"/>
      <c r="AA443" s="99"/>
      <c r="AF443" s="99"/>
      <c r="AK443" s="99"/>
      <c r="AP443" s="99"/>
      <c r="AZ443" s="99"/>
      <c r="BE443" s="99"/>
      <c r="BJ443" s="99"/>
      <c r="BO443" s="99"/>
      <c r="BT443" s="99"/>
      <c r="BY443" s="546"/>
      <c r="BZ443" s="546"/>
      <c r="CA443" s="546"/>
      <c r="CB443" s="546"/>
      <c r="CC443" s="546"/>
      <c r="CD443" s="546"/>
      <c r="CE443" s="546"/>
      <c r="CF443" s="546"/>
      <c r="CG443" s="546"/>
      <c r="CH443" s="546"/>
      <c r="CI443" s="546"/>
      <c r="CJ443" s="546"/>
      <c r="CK443" s="546"/>
    </row>
    <row r="444" spans="1:89" x14ac:dyDescent="0.2">
      <c r="A444" s="133" t="s">
        <v>767</v>
      </c>
      <c r="B444" s="1362" t="s">
        <v>4010</v>
      </c>
      <c r="C444" s="111" t="s">
        <v>4165</v>
      </c>
      <c r="D444" s="111"/>
      <c r="U444" s="84">
        <f>E444-SUM(Q444:T444)</f>
        <v>0</v>
      </c>
      <c r="V444" s="99"/>
      <c r="W444" s="99"/>
      <c r="X444" s="99"/>
      <c r="Z444" s="99">
        <f>F444-V444-W444-X444-Y444</f>
        <v>0</v>
      </c>
      <c r="AA444" s="99"/>
      <c r="AF444" s="99"/>
      <c r="AK444" s="99"/>
      <c r="AP444" s="99"/>
      <c r="AZ444" s="99"/>
      <c r="BE444" s="99"/>
      <c r="BJ444" s="99"/>
      <c r="BO444" s="99"/>
      <c r="BT444" s="99"/>
      <c r="BY444" s="546"/>
      <c r="BZ444" s="546"/>
      <c r="CA444" s="546"/>
      <c r="CB444" s="546"/>
      <c r="CC444" s="546"/>
      <c r="CD444" s="546"/>
      <c r="CE444" s="546"/>
      <c r="CF444" s="546"/>
      <c r="CG444" s="546"/>
      <c r="CH444" s="546"/>
      <c r="CI444" s="546"/>
      <c r="CJ444" s="546"/>
      <c r="CK444" s="546"/>
    </row>
    <row r="445" spans="1:89" x14ac:dyDescent="0.2">
      <c r="A445" s="84" t="str">
        <f>A189</f>
        <v>Wollongbar Fields</v>
      </c>
      <c r="B445" s="1362" t="s">
        <v>2680</v>
      </c>
      <c r="C445" s="111" t="s">
        <v>5076</v>
      </c>
      <c r="D445" s="111"/>
      <c r="E445" s="84">
        <v>2695900</v>
      </c>
      <c r="F445" s="84">
        <f>625500+2590300</f>
        <v>3215800</v>
      </c>
      <c r="T445" s="84">
        <v>2695900</v>
      </c>
      <c r="U445" s="84">
        <f>E445-SUM(Q445:T445)</f>
        <v>0</v>
      </c>
      <c r="V445" s="99"/>
      <c r="W445" s="99"/>
      <c r="X445" s="99"/>
      <c r="Y445" s="84">
        <f>625500+2590300</f>
        <v>3215800</v>
      </c>
      <c r="Z445" s="99">
        <f>F445-V445-W445-X445-Y445</f>
        <v>0</v>
      </c>
      <c r="AA445" s="99"/>
      <c r="AF445" s="99"/>
      <c r="AK445" s="99"/>
      <c r="AP445" s="99"/>
      <c r="AZ445" s="99"/>
      <c r="BE445" s="99"/>
      <c r="BJ445" s="99"/>
      <c r="BO445" s="99"/>
      <c r="BT445" s="99"/>
      <c r="BY445" s="546"/>
      <c r="BZ445" s="546"/>
      <c r="CA445" s="546"/>
      <c r="CB445" s="546"/>
      <c r="CC445" s="546"/>
      <c r="CD445" s="546"/>
      <c r="CE445" s="546"/>
      <c r="CF445" s="546"/>
      <c r="CG445" s="546"/>
      <c r="CH445" s="546"/>
      <c r="CI445" s="546"/>
      <c r="CJ445" s="546"/>
      <c r="CK445" s="546"/>
    </row>
    <row r="446" spans="1:89" x14ac:dyDescent="0.2">
      <c r="A446" s="133" t="s">
        <v>5578</v>
      </c>
      <c r="B446" s="1362" t="s">
        <v>5282</v>
      </c>
      <c r="C446" s="111" t="s">
        <v>5579</v>
      </c>
      <c r="D446" s="111"/>
      <c r="E446" s="84">
        <v>0</v>
      </c>
      <c r="F446" s="133">
        <f>162000-55000</f>
        <v>107000</v>
      </c>
      <c r="T446" s="84">
        <v>0</v>
      </c>
      <c r="U446" s="84">
        <f>E446-SUM(Q446:T446)</f>
        <v>0</v>
      </c>
      <c r="V446" s="99"/>
      <c r="W446" s="99"/>
      <c r="X446" s="99"/>
      <c r="Z446" s="99">
        <f>F446-V446-W446-X446-Y446</f>
        <v>107000</v>
      </c>
      <c r="AA446" s="99"/>
      <c r="AF446" s="99"/>
      <c r="AK446" s="99"/>
      <c r="AP446" s="99"/>
      <c r="AZ446" s="99"/>
      <c r="BE446" s="99"/>
      <c r="BJ446" s="99"/>
      <c r="BO446" s="99"/>
      <c r="BT446" s="99"/>
      <c r="BY446" s="546"/>
      <c r="BZ446" s="546"/>
      <c r="CA446" s="546"/>
      <c r="CB446" s="546"/>
      <c r="CC446" s="546"/>
      <c r="CD446" s="546"/>
      <c r="CE446" s="546"/>
      <c r="CF446" s="546"/>
      <c r="CG446" s="546"/>
      <c r="CH446" s="546"/>
      <c r="CI446" s="546"/>
      <c r="CJ446" s="546"/>
      <c r="CK446" s="546"/>
    </row>
    <row r="447" spans="1:89" x14ac:dyDescent="0.2">
      <c r="A447" s="133" t="s">
        <v>6048</v>
      </c>
      <c r="B447" s="1362" t="s">
        <v>6278</v>
      </c>
      <c r="C447" s="111" t="s">
        <v>6047</v>
      </c>
      <c r="D447" s="111"/>
      <c r="E447" s="84">
        <v>0</v>
      </c>
      <c r="F447" s="84">
        <v>45000</v>
      </c>
      <c r="U447" s="84">
        <f>E447-SUM(Q447:T447)</f>
        <v>0</v>
      </c>
      <c r="V447" s="99"/>
      <c r="W447" s="99"/>
      <c r="X447" s="99"/>
      <c r="Y447" s="84">
        <v>45000</v>
      </c>
      <c r="Z447" s="99">
        <f>F447-V447-W447-X447-Y447</f>
        <v>0</v>
      </c>
      <c r="AA447" s="99"/>
      <c r="AF447" s="99"/>
      <c r="AK447" s="99"/>
      <c r="AP447" s="99"/>
      <c r="AZ447" s="99"/>
      <c r="BE447" s="99"/>
      <c r="BJ447" s="99"/>
      <c r="BO447" s="99"/>
      <c r="BT447" s="99"/>
      <c r="BY447" s="546"/>
      <c r="BZ447" s="546"/>
      <c r="CA447" s="546"/>
      <c r="CB447" s="546"/>
      <c r="CC447" s="546"/>
      <c r="CD447" s="546"/>
      <c r="CE447" s="546"/>
      <c r="CF447" s="546"/>
      <c r="CG447" s="546"/>
      <c r="CH447" s="546"/>
      <c r="CI447" s="546"/>
      <c r="CJ447" s="546"/>
      <c r="CK447" s="546"/>
    </row>
    <row r="448" spans="1:89" x14ac:dyDescent="0.2">
      <c r="B448" s="198"/>
      <c r="C448" s="108"/>
      <c r="D448" s="108"/>
      <c r="U448" s="84">
        <f>E448-SUM(Q448:T448)</f>
        <v>0</v>
      </c>
      <c r="V448" s="99"/>
      <c r="W448" s="99"/>
      <c r="X448" s="99"/>
      <c r="Z448" s="99">
        <f>F448-V448-W448-X448-Y448</f>
        <v>0</v>
      </c>
      <c r="AA448" s="99"/>
      <c r="AF448" s="99"/>
      <c r="AK448" s="99"/>
      <c r="AP448" s="99"/>
      <c r="AZ448" s="99"/>
      <c r="BE448" s="99"/>
      <c r="BJ448" s="99"/>
      <c r="BO448" s="99"/>
      <c r="BT448" s="99"/>
      <c r="BY448" s="546"/>
      <c r="BZ448" s="546"/>
      <c r="CA448" s="546"/>
      <c r="CB448" s="546"/>
      <c r="CC448" s="546"/>
      <c r="CD448" s="546"/>
      <c r="CE448" s="546"/>
      <c r="CF448" s="546"/>
      <c r="CG448" s="546"/>
      <c r="CH448" s="546"/>
      <c r="CI448" s="546"/>
      <c r="CJ448" s="546"/>
      <c r="CK448" s="546"/>
    </row>
    <row r="449" spans="1:89" ht="13.5" thickBot="1" x14ac:dyDescent="0.25">
      <c r="A449" s="118" t="s">
        <v>2662</v>
      </c>
      <c r="B449" s="198"/>
      <c r="C449" s="108"/>
      <c r="D449" s="108"/>
      <c r="E449" s="2240">
        <f>SUM(E443:E448)</f>
        <v>2695900</v>
      </c>
      <c r="F449" s="2240">
        <f>SUM(F443:F448)</f>
        <v>3367800</v>
      </c>
      <c r="Q449" s="2240">
        <f>SUM(Q443:Q448)</f>
        <v>0</v>
      </c>
      <c r="R449" s="2240">
        <f>SUM(R443:R448)</f>
        <v>0</v>
      </c>
      <c r="S449" s="2240">
        <f>SUM(S443:S448)</f>
        <v>0</v>
      </c>
      <c r="T449" s="2240">
        <f>SUM(T443:T448)</f>
        <v>2695900</v>
      </c>
      <c r="U449" s="2240">
        <f>SUM(U443:U448)</f>
        <v>0</v>
      </c>
      <c r="V449" s="2240">
        <f t="shared" ref="V449:Z449" si="707">SUM(V443:V448)</f>
        <v>0</v>
      </c>
      <c r="W449" s="2240">
        <f t="shared" si="707"/>
        <v>0</v>
      </c>
      <c r="X449" s="2240">
        <f t="shared" si="707"/>
        <v>0</v>
      </c>
      <c r="Y449" s="2240">
        <f t="shared" si="707"/>
        <v>3260800</v>
      </c>
      <c r="Z449" s="2240">
        <f t="shared" si="707"/>
        <v>107000</v>
      </c>
      <c r="AA449" s="99"/>
      <c r="AF449" s="99"/>
      <c r="AK449" s="99"/>
      <c r="AP449" s="99"/>
      <c r="AZ449" s="99"/>
      <c r="BE449" s="99"/>
      <c r="BJ449" s="99"/>
      <c r="BO449" s="99"/>
      <c r="BT449" s="99"/>
      <c r="BY449" s="546"/>
      <c r="BZ449" s="546"/>
      <c r="CA449" s="546"/>
      <c r="CB449" s="546"/>
      <c r="CC449" s="546"/>
      <c r="CD449" s="546"/>
      <c r="CE449" s="546"/>
      <c r="CF449" s="546"/>
      <c r="CG449" s="546"/>
      <c r="CH449" s="546"/>
      <c r="CI449" s="546"/>
      <c r="CJ449" s="546"/>
      <c r="CK449" s="546"/>
    </row>
    <row r="450" spans="1:89" ht="13.5" thickTop="1" x14ac:dyDescent="0.2">
      <c r="A450" s="118" t="s">
        <v>408</v>
      </c>
      <c r="B450" s="198"/>
      <c r="C450" s="108"/>
      <c r="D450" s="108"/>
      <c r="E450" s="99">
        <f>IF(E449=SUM(E186:E189),0,(E449-SUM(E186:E189)))</f>
        <v>0</v>
      </c>
      <c r="Q450" s="99">
        <f t="shared" ref="Q450:Z450" si="708">IF(Q449=SUM(Q186:Q189),0,(Q449-SUM(Q186:Q189)))</f>
        <v>0</v>
      </c>
      <c r="R450" s="99">
        <f t="shared" si="708"/>
        <v>0</v>
      </c>
      <c r="S450" s="99">
        <f t="shared" si="708"/>
        <v>0</v>
      </c>
      <c r="T450" s="99">
        <f t="shared" si="708"/>
        <v>0</v>
      </c>
      <c r="U450" s="99">
        <f t="shared" si="708"/>
        <v>0</v>
      </c>
      <c r="V450" s="99">
        <f t="shared" si="708"/>
        <v>0</v>
      </c>
      <c r="W450" s="99">
        <f t="shared" si="708"/>
        <v>0</v>
      </c>
      <c r="X450" s="99">
        <f t="shared" si="708"/>
        <v>0</v>
      </c>
      <c r="Y450" s="99">
        <f t="shared" si="708"/>
        <v>0</v>
      </c>
      <c r="Z450" s="99">
        <f t="shared" si="708"/>
        <v>0</v>
      </c>
      <c r="AA450" s="99"/>
      <c r="AF450" s="99"/>
      <c r="AK450" s="99"/>
      <c r="AP450" s="99"/>
      <c r="AZ450" s="99"/>
      <c r="BE450" s="99"/>
      <c r="BJ450" s="99"/>
      <c r="BO450" s="99"/>
      <c r="BT450" s="99"/>
      <c r="BY450" s="546"/>
      <c r="BZ450" s="546"/>
      <c r="CA450" s="546"/>
      <c r="CB450" s="546"/>
      <c r="CC450" s="546"/>
      <c r="CD450" s="546"/>
      <c r="CE450" s="546"/>
      <c r="CF450" s="546"/>
      <c r="CG450" s="546"/>
      <c r="CH450" s="546"/>
      <c r="CI450" s="546"/>
      <c r="CJ450" s="546"/>
      <c r="CK450" s="546"/>
    </row>
    <row r="451" spans="1:89" x14ac:dyDescent="0.2">
      <c r="A451" s="118"/>
      <c r="B451" s="198"/>
      <c r="C451" s="108"/>
      <c r="D451" s="108"/>
      <c r="Q451" s="99"/>
      <c r="R451" s="99"/>
      <c r="S451" s="99"/>
      <c r="T451" s="99"/>
      <c r="V451" s="99"/>
      <c r="W451" s="99"/>
      <c r="X451" s="99"/>
      <c r="AA451" s="99"/>
      <c r="AF451" s="99"/>
      <c r="AK451" s="99"/>
      <c r="AP451" s="99"/>
      <c r="AZ451" s="99"/>
      <c r="BE451" s="99"/>
      <c r="BJ451" s="99"/>
      <c r="BO451" s="99"/>
      <c r="BT451" s="99"/>
      <c r="BY451" s="546"/>
      <c r="BZ451" s="546"/>
      <c r="CA451" s="546"/>
      <c r="CB451" s="546"/>
      <c r="CC451" s="546"/>
      <c r="CD451" s="546"/>
      <c r="CE451" s="546"/>
      <c r="CF451" s="546"/>
      <c r="CG451" s="546"/>
      <c r="CH451" s="546"/>
      <c r="CI451" s="546"/>
      <c r="CJ451" s="546"/>
      <c r="CK451" s="546"/>
    </row>
    <row r="452" spans="1:89" x14ac:dyDescent="0.2">
      <c r="A452" s="118" t="s">
        <v>3141</v>
      </c>
      <c r="B452" s="198"/>
      <c r="C452" s="108"/>
      <c r="D452" s="108"/>
      <c r="Q452" s="99"/>
      <c r="R452" s="99"/>
      <c r="S452" s="99"/>
      <c r="T452" s="99"/>
      <c r="V452" s="99"/>
      <c r="W452" s="99"/>
      <c r="X452" s="99"/>
      <c r="AA452" s="99"/>
      <c r="AF452" s="99"/>
      <c r="AK452" s="99"/>
      <c r="AP452" s="99"/>
      <c r="AZ452" s="99"/>
      <c r="BE452" s="99"/>
      <c r="BJ452" s="99"/>
      <c r="BO452" s="99"/>
      <c r="BT452" s="99"/>
      <c r="BY452" s="546"/>
      <c r="BZ452" s="546"/>
      <c r="CA452" s="546"/>
      <c r="CB452" s="546"/>
      <c r="CC452" s="546"/>
      <c r="CD452" s="546"/>
      <c r="CE452" s="546"/>
      <c r="CF452" s="546"/>
      <c r="CG452" s="546"/>
      <c r="CH452" s="546"/>
      <c r="CI452" s="546"/>
      <c r="CJ452" s="546"/>
      <c r="CK452" s="546"/>
    </row>
    <row r="453" spans="1:89" x14ac:dyDescent="0.2">
      <c r="A453" s="133" t="s">
        <v>3685</v>
      </c>
      <c r="B453" s="198"/>
      <c r="C453" s="108"/>
      <c r="D453" s="108"/>
      <c r="Q453" s="99"/>
      <c r="R453" s="99"/>
      <c r="S453" s="99"/>
      <c r="T453" s="99"/>
      <c r="U453" s="84">
        <f>E453-SUM(Q453:T453)</f>
        <v>0</v>
      </c>
      <c r="V453" s="99"/>
      <c r="W453" s="99"/>
      <c r="X453" s="99"/>
      <c r="Z453" s="99">
        <f>F453-V453-W453-X453-Y453</f>
        <v>0</v>
      </c>
      <c r="AA453" s="99"/>
      <c r="AF453" s="99"/>
      <c r="AK453" s="99"/>
      <c r="AP453" s="99"/>
      <c r="AZ453" s="99"/>
      <c r="BE453" s="99"/>
      <c r="BJ453" s="99"/>
      <c r="BO453" s="99"/>
      <c r="BT453" s="99"/>
      <c r="BY453" s="546"/>
      <c r="BZ453" s="546"/>
      <c r="CA453" s="546"/>
      <c r="CB453" s="546"/>
      <c r="CC453" s="546"/>
      <c r="CD453" s="546"/>
      <c r="CE453" s="546"/>
      <c r="CF453" s="546"/>
      <c r="CG453" s="546"/>
      <c r="CH453" s="546"/>
      <c r="CI453" s="546"/>
      <c r="CJ453" s="546"/>
      <c r="CK453" s="546"/>
    </row>
    <row r="454" spans="1:89" x14ac:dyDescent="0.2">
      <c r="A454" s="133" t="s">
        <v>6162</v>
      </c>
      <c r="B454" s="1362" t="s">
        <v>6366</v>
      </c>
      <c r="C454" s="111" t="s">
        <v>6367</v>
      </c>
      <c r="D454" s="111" t="s">
        <v>6367</v>
      </c>
      <c r="F454" s="84">
        <v>151000</v>
      </c>
      <c r="Q454" s="99"/>
      <c r="R454" s="99"/>
      <c r="S454" s="99"/>
      <c r="T454" s="99"/>
      <c r="U454" s="84"/>
      <c r="V454" s="99"/>
      <c r="W454" s="99"/>
      <c r="X454" s="99"/>
      <c r="Y454" s="84">
        <v>51000</v>
      </c>
      <c r="Z454" s="99">
        <f>F454-V454-W454-X454-Y454</f>
        <v>100000</v>
      </c>
      <c r="AA454" s="99"/>
      <c r="AF454" s="99"/>
      <c r="AK454" s="99"/>
      <c r="AP454" s="99"/>
      <c r="AZ454" s="99"/>
      <c r="BE454" s="99"/>
      <c r="BJ454" s="99"/>
      <c r="BO454" s="99"/>
      <c r="BT454" s="99"/>
      <c r="BY454" s="546"/>
      <c r="BZ454" s="546"/>
      <c r="CA454" s="546"/>
      <c r="CB454" s="546"/>
      <c r="CC454" s="546"/>
      <c r="CD454" s="546"/>
      <c r="CE454" s="546"/>
      <c r="CF454" s="546"/>
      <c r="CG454" s="546"/>
      <c r="CH454" s="546"/>
      <c r="CI454" s="546"/>
      <c r="CJ454" s="546"/>
      <c r="CK454" s="546"/>
    </row>
    <row r="455" spans="1:89" x14ac:dyDescent="0.2">
      <c r="A455" s="133" t="s">
        <v>5064</v>
      </c>
      <c r="B455" s="1362" t="s">
        <v>5305</v>
      </c>
      <c r="C455" s="111" t="s">
        <v>5304</v>
      </c>
      <c r="D455" s="111"/>
      <c r="E455" s="84">
        <v>0</v>
      </c>
      <c r="Q455" s="99"/>
      <c r="R455" s="99"/>
      <c r="S455" s="99"/>
      <c r="T455" s="99"/>
      <c r="U455" s="84">
        <f>E455-SUM(Q455:T455)</f>
        <v>0</v>
      </c>
      <c r="V455" s="99"/>
      <c r="W455" s="99"/>
      <c r="X455" s="99"/>
      <c r="Z455" s="99">
        <f>F455-V455-W455-X455-Y455</f>
        <v>0</v>
      </c>
      <c r="AA455" s="99"/>
      <c r="AF455" s="99"/>
      <c r="AK455" s="99"/>
      <c r="AP455" s="99"/>
      <c r="AZ455" s="99"/>
      <c r="BE455" s="99"/>
      <c r="BJ455" s="99"/>
      <c r="BO455" s="99"/>
      <c r="BT455" s="99"/>
      <c r="BY455" s="546"/>
      <c r="BZ455" s="546"/>
      <c r="CA455" s="546"/>
      <c r="CB455" s="546"/>
      <c r="CC455" s="546"/>
      <c r="CD455" s="546"/>
      <c r="CE455" s="546"/>
      <c r="CF455" s="546"/>
      <c r="CG455" s="546"/>
      <c r="CH455" s="546"/>
      <c r="CI455" s="546"/>
      <c r="CJ455" s="546"/>
      <c r="CK455" s="546"/>
    </row>
    <row r="456" spans="1:89" x14ac:dyDescent="0.2">
      <c r="A456" s="133" t="s">
        <v>5065</v>
      </c>
      <c r="B456" s="1362" t="s">
        <v>5307</v>
      </c>
      <c r="C456" s="111" t="s">
        <v>5306</v>
      </c>
      <c r="D456" s="111"/>
      <c r="E456" s="84">
        <v>21000</v>
      </c>
      <c r="Q456" s="99"/>
      <c r="R456" s="99"/>
      <c r="S456" s="99"/>
      <c r="T456" s="99"/>
      <c r="U456" s="84">
        <f>E456-SUM(Q456:T456)</f>
        <v>21000</v>
      </c>
      <c r="V456" s="99"/>
      <c r="W456" s="99"/>
      <c r="X456" s="99"/>
      <c r="Z456" s="99">
        <f>F456-V456-W456-X456-Y456</f>
        <v>0</v>
      </c>
      <c r="AA456" s="99"/>
      <c r="AF456" s="99"/>
      <c r="AK456" s="99"/>
      <c r="AP456" s="99"/>
      <c r="AZ456" s="99"/>
      <c r="BE456" s="99"/>
      <c r="BJ456" s="99"/>
      <c r="BO456" s="99"/>
      <c r="BT456" s="99"/>
      <c r="BY456" s="546"/>
      <c r="BZ456" s="546"/>
      <c r="CA456" s="546"/>
      <c r="CB456" s="546"/>
      <c r="CC456" s="546"/>
      <c r="CD456" s="546"/>
      <c r="CE456" s="546"/>
      <c r="CF456" s="546"/>
      <c r="CG456" s="546"/>
      <c r="CH456" s="546"/>
      <c r="CI456" s="546"/>
      <c r="CJ456" s="546"/>
      <c r="CK456" s="546"/>
    </row>
    <row r="457" spans="1:89" x14ac:dyDescent="0.2">
      <c r="A457" s="133" t="s">
        <v>5066</v>
      </c>
      <c r="B457" s="1362" t="s">
        <v>5309</v>
      </c>
      <c r="C457" s="111" t="s">
        <v>5308</v>
      </c>
      <c r="D457" s="111"/>
      <c r="E457" s="84">
        <v>2000</v>
      </c>
      <c r="Q457" s="99"/>
      <c r="R457" s="99"/>
      <c r="S457" s="99"/>
      <c r="T457" s="99"/>
      <c r="U457" s="84">
        <f>E457-SUM(Q457:T457)</f>
        <v>2000</v>
      </c>
      <c r="V457" s="99"/>
      <c r="W457" s="99"/>
      <c r="X457" s="99"/>
      <c r="Z457" s="99">
        <f>F457-V457-W457-X457-Y457</f>
        <v>0</v>
      </c>
      <c r="AA457" s="99"/>
      <c r="AF457" s="99"/>
      <c r="AK457" s="99"/>
      <c r="AP457" s="99"/>
      <c r="AZ457" s="99"/>
      <c r="BE457" s="99"/>
      <c r="BJ457" s="99"/>
      <c r="BO457" s="99"/>
      <c r="BT457" s="99"/>
      <c r="BY457" s="546"/>
      <c r="BZ457" s="546"/>
      <c r="CA457" s="546"/>
      <c r="CB457" s="546"/>
      <c r="CC457" s="546"/>
      <c r="CD457" s="546"/>
      <c r="CE457" s="546"/>
      <c r="CF457" s="546"/>
      <c r="CG457" s="546"/>
      <c r="CH457" s="546"/>
      <c r="CI457" s="546"/>
      <c r="CJ457" s="546"/>
      <c r="CK457" s="546"/>
    </row>
    <row r="458" spans="1:89" ht="13.5" thickBot="1" x14ac:dyDescent="0.25">
      <c r="A458" s="118" t="s">
        <v>2662</v>
      </c>
      <c r="B458" s="198"/>
      <c r="C458" s="108"/>
      <c r="D458" s="108"/>
      <c r="E458" s="2240">
        <f>SUM(E453:E457)</f>
        <v>23000</v>
      </c>
      <c r="F458" s="2240">
        <f>SUM(F453:F457)</f>
        <v>151000</v>
      </c>
      <c r="Q458" s="2240">
        <f t="shared" ref="Q458:Z458" si="709">SUM(Q453:Q457)</f>
        <v>0</v>
      </c>
      <c r="R458" s="2240">
        <f t="shared" si="709"/>
        <v>0</v>
      </c>
      <c r="S458" s="2240">
        <f t="shared" si="709"/>
        <v>0</v>
      </c>
      <c r="T458" s="2240">
        <f t="shared" si="709"/>
        <v>0</v>
      </c>
      <c r="U458" s="2240">
        <f t="shared" si="709"/>
        <v>23000</v>
      </c>
      <c r="V458" s="2240">
        <f t="shared" si="709"/>
        <v>0</v>
      </c>
      <c r="W458" s="2240">
        <f t="shared" si="709"/>
        <v>0</v>
      </c>
      <c r="X458" s="2240">
        <f t="shared" si="709"/>
        <v>0</v>
      </c>
      <c r="Y458" s="2240">
        <f t="shared" si="709"/>
        <v>51000</v>
      </c>
      <c r="Z458" s="2240">
        <f t="shared" si="709"/>
        <v>100000</v>
      </c>
      <c r="AA458" s="99"/>
      <c r="AF458" s="99"/>
      <c r="AK458" s="99"/>
      <c r="AP458" s="99"/>
      <c r="AZ458" s="99"/>
      <c r="BE458" s="99"/>
      <c r="BJ458" s="99"/>
      <c r="BO458" s="99"/>
      <c r="BT458" s="99"/>
      <c r="BY458" s="546"/>
      <c r="BZ458" s="546"/>
      <c r="CA458" s="546"/>
      <c r="CB458" s="546"/>
      <c r="CC458" s="546"/>
      <c r="CD458" s="546"/>
      <c r="CE458" s="546"/>
      <c r="CF458" s="546"/>
      <c r="CG458" s="546"/>
      <c r="CH458" s="546"/>
      <c r="CI458" s="546"/>
      <c r="CJ458" s="546"/>
      <c r="CK458" s="546"/>
    </row>
    <row r="459" spans="1:89" ht="13.5" thickTop="1" x14ac:dyDescent="0.2">
      <c r="A459" s="118" t="s">
        <v>408</v>
      </c>
      <c r="B459" s="198"/>
      <c r="C459" s="108"/>
      <c r="D459" s="108"/>
      <c r="E459" s="99">
        <f>IF(E458=E108,0,(E458-E108))</f>
        <v>0</v>
      </c>
      <c r="F459" s="99">
        <f>IF(F458=F108,0,(F458-F108))</f>
        <v>0</v>
      </c>
      <c r="Q459" s="99">
        <f t="shared" ref="Q459:Z459" si="710">IF(Q458=Q108,0,(Q458-Q108))</f>
        <v>0</v>
      </c>
      <c r="R459" s="99">
        <f t="shared" si="710"/>
        <v>0</v>
      </c>
      <c r="S459" s="99">
        <f t="shared" si="710"/>
        <v>0</v>
      </c>
      <c r="T459" s="99">
        <f t="shared" si="710"/>
        <v>0</v>
      </c>
      <c r="U459" s="99">
        <f t="shared" si="710"/>
        <v>0</v>
      </c>
      <c r="V459" s="99">
        <f t="shared" si="710"/>
        <v>0</v>
      </c>
      <c r="W459" s="99">
        <f t="shared" si="710"/>
        <v>0</v>
      </c>
      <c r="X459" s="99">
        <f t="shared" si="710"/>
        <v>0</v>
      </c>
      <c r="Y459" s="99">
        <f t="shared" si="710"/>
        <v>0</v>
      </c>
      <c r="Z459" s="99">
        <f t="shared" si="710"/>
        <v>0</v>
      </c>
      <c r="AA459" s="99"/>
      <c r="AF459" s="99"/>
      <c r="AK459" s="99"/>
      <c r="AP459" s="99"/>
      <c r="AZ459" s="99"/>
      <c r="BE459" s="99"/>
      <c r="BJ459" s="99"/>
      <c r="BO459" s="99"/>
      <c r="BT459" s="99"/>
      <c r="BY459" s="546"/>
      <c r="BZ459" s="546"/>
      <c r="CA459" s="546"/>
      <c r="CB459" s="546"/>
      <c r="CC459" s="546"/>
      <c r="CD459" s="546"/>
      <c r="CE459" s="546"/>
      <c r="CF459" s="546"/>
      <c r="CG459" s="546"/>
      <c r="CH459" s="546"/>
      <c r="CI459" s="546"/>
      <c r="CJ459" s="546"/>
      <c r="CK459" s="546"/>
    </row>
    <row r="460" spans="1:89" ht="13.5" thickBot="1" x14ac:dyDescent="0.25">
      <c r="A460" s="94"/>
      <c r="B460" s="2371"/>
      <c r="C460" s="2347"/>
      <c r="D460" s="2347"/>
      <c r="E460" s="94"/>
      <c r="F460" s="94"/>
      <c r="G460" s="94"/>
      <c r="H460" s="94"/>
      <c r="I460" s="94"/>
      <c r="J460" s="94"/>
      <c r="K460" s="94"/>
      <c r="L460" s="94"/>
      <c r="M460" s="94"/>
      <c r="N460" s="94"/>
      <c r="O460" s="94"/>
      <c r="P460" s="94"/>
      <c r="Q460" s="94"/>
      <c r="R460" s="94"/>
      <c r="S460" s="94"/>
      <c r="T460" s="94"/>
      <c r="U460" s="94"/>
      <c r="V460" s="94"/>
      <c r="W460" s="94"/>
      <c r="X460" s="94"/>
      <c r="Y460" s="94"/>
      <c r="Z460" s="94"/>
      <c r="AA460" s="99"/>
      <c r="AF460" s="99"/>
      <c r="AK460" s="99"/>
      <c r="AP460" s="99"/>
      <c r="AZ460" s="99"/>
      <c r="BE460" s="99"/>
      <c r="BJ460" s="99"/>
      <c r="BO460" s="99"/>
      <c r="BT460" s="99"/>
      <c r="BY460" s="546"/>
      <c r="BZ460" s="546"/>
      <c r="CA460" s="546"/>
      <c r="CB460" s="546"/>
      <c r="CC460" s="546"/>
      <c r="CD460" s="546"/>
      <c r="CE460" s="546"/>
      <c r="CF460" s="546"/>
      <c r="CG460" s="546"/>
      <c r="CH460" s="546"/>
      <c r="CI460" s="546"/>
      <c r="CJ460" s="546"/>
      <c r="CK460" s="546"/>
    </row>
  </sheetData>
  <sortState ref="A89:CM98">
    <sortCondition ref="A52:A66"/>
  </sortState>
  <mergeCells count="10">
    <mergeCell ref="BY1:CW1"/>
    <mergeCell ref="A1:AO1"/>
    <mergeCell ref="A85:AO85"/>
    <mergeCell ref="Q2:S2"/>
    <mergeCell ref="E2:P2"/>
    <mergeCell ref="E86:P86"/>
    <mergeCell ref="A167:AO167"/>
    <mergeCell ref="E168:P168"/>
    <mergeCell ref="BY2:CK2"/>
    <mergeCell ref="CL2:CW2"/>
  </mergeCells>
  <phoneticPr fontId="9" type="noConversion"/>
  <printOptions horizontalCentered="1"/>
  <pageMargins left="0.19685039370078741" right="0.19685039370078741" top="0.19685039370078741" bottom="0.19685039370078741" header="0.39370078740157483" footer="0.19685039370078741"/>
  <pageSetup paperSize="8" scale="75" orientation="landscape" r:id="rId1"/>
  <headerFooter alignWithMargins="0"/>
  <rowBreaks count="3" manualBreakCount="3">
    <brk id="83" max="16383" man="1"/>
    <brk id="165" max="16383" man="1"/>
    <brk id="212" max="16383"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66"/>
  <sheetViews>
    <sheetView topLeftCell="A130" workbookViewId="0">
      <selection activeCell="F162" sqref="F162"/>
    </sheetView>
  </sheetViews>
  <sheetFormatPr defaultRowHeight="12.75" x14ac:dyDescent="0.2"/>
  <cols>
    <col min="1" max="1" width="9.140625" style="16" customWidth="1"/>
    <col min="2" max="2" width="9.140625" style="16"/>
    <col min="3" max="3" width="15.28515625" customWidth="1"/>
    <col min="4" max="4" width="40.5703125" bestFit="1" customWidth="1"/>
    <col min="5" max="5" width="10.140625" style="16" bestFit="1" customWidth="1"/>
    <col min="6" max="6" width="10.140625" bestFit="1" customWidth="1"/>
    <col min="7" max="10" width="9.140625" customWidth="1"/>
    <col min="11" max="15" width="7.5703125" customWidth="1"/>
    <col min="16" max="18" width="9.140625" customWidth="1"/>
  </cols>
  <sheetData>
    <row r="1" spans="1:15" s="91" customFormat="1" ht="18.75" customHeight="1" thickTop="1" thickBot="1" x14ac:dyDescent="0.3">
      <c r="A1" s="2873" t="s">
        <v>3132</v>
      </c>
      <c r="B1" s="2874"/>
      <c r="C1" s="2874"/>
      <c r="D1" s="2874"/>
      <c r="E1" s="2874"/>
      <c r="F1" s="2874"/>
      <c r="G1" s="2874"/>
      <c r="H1" s="2874"/>
      <c r="I1" s="2874"/>
      <c r="J1" s="2874"/>
      <c r="K1" s="2874"/>
      <c r="L1" s="2874"/>
      <c r="M1" s="2874"/>
      <c r="N1" s="2874"/>
      <c r="O1" s="2875"/>
    </row>
    <row r="2" spans="1:15" s="44" customFormat="1" x14ac:dyDescent="0.2">
      <c r="A2" s="2888" t="s">
        <v>1856</v>
      </c>
      <c r="B2" s="2890"/>
      <c r="C2" s="2422" t="s">
        <v>2663</v>
      </c>
      <c r="D2" s="369" t="str">
        <f>'Sec 94'!D17</f>
        <v>BUDGET ITEMS</v>
      </c>
      <c r="E2" s="2839" t="s">
        <v>2253</v>
      </c>
      <c r="F2" s="2840"/>
      <c r="G2" s="2840"/>
      <c r="H2" s="2840"/>
      <c r="I2" s="2840"/>
      <c r="J2" s="2840"/>
      <c r="K2" s="2840"/>
      <c r="L2" s="2840"/>
      <c r="M2" s="2840"/>
      <c r="N2" s="2840"/>
      <c r="O2" s="2841"/>
    </row>
    <row r="3" spans="1:15" s="23" customFormat="1" ht="12.75" customHeight="1" thickBot="1" x14ac:dyDescent="0.25">
      <c r="A3" s="2620" t="str">
        <f>'Sec 94'!C18</f>
        <v>2014/15</v>
      </c>
      <c r="B3" s="93" t="str">
        <f>'Sec 94'!E18</f>
        <v>2015/16</v>
      </c>
      <c r="C3" s="2423" t="s">
        <v>2664</v>
      </c>
      <c r="D3" s="34"/>
      <c r="E3" s="2192" t="str">
        <f>'Sec 94'!F18</f>
        <v>2016/17</v>
      </c>
      <c r="F3" s="370" t="str">
        <f>'Sec 94'!G18</f>
        <v>2017/18</v>
      </c>
      <c r="G3" s="370" t="str">
        <f>'Sec 94'!H18</f>
        <v>2018/19</v>
      </c>
      <c r="H3" s="370" t="str">
        <f>'Sec 94'!I18</f>
        <v>2019/20</v>
      </c>
      <c r="I3" s="370" t="str">
        <f>'Sec 94'!J18</f>
        <v>2020/21</v>
      </c>
      <c r="J3" s="370" t="str">
        <f>'Sec 94'!K18</f>
        <v>2021/22</v>
      </c>
      <c r="K3" s="370" t="str">
        <f>'Sec 94'!L18</f>
        <v>2022/23</v>
      </c>
      <c r="L3" s="370" t="str">
        <f>'Sec 94'!M18</f>
        <v>2023/24</v>
      </c>
      <c r="M3" s="381" t="str">
        <f>'Sec 94'!N18</f>
        <v>2024/25</v>
      </c>
      <c r="N3" s="370" t="str">
        <f>'Sec 94'!O18</f>
        <v>2025/26</v>
      </c>
      <c r="O3" s="549" t="str">
        <f>'Sec 94'!P18</f>
        <v>2026/27</v>
      </c>
    </row>
    <row r="4" spans="1:15" s="23" customFormat="1" x14ac:dyDescent="0.2">
      <c r="A4" s="727"/>
      <c r="B4" s="204"/>
      <c r="C4" s="2424"/>
      <c r="D4" s="21"/>
      <c r="E4" s="206"/>
      <c r="F4" s="529"/>
      <c r="G4" s="529"/>
      <c r="H4" s="529"/>
      <c r="I4" s="529"/>
      <c r="J4" s="529"/>
      <c r="K4" s="529"/>
      <c r="L4" s="529"/>
      <c r="M4" s="531"/>
      <c r="N4" s="529"/>
      <c r="O4" s="530"/>
    </row>
    <row r="5" spans="1:15" s="23" customFormat="1" x14ac:dyDescent="0.2">
      <c r="A5" s="727"/>
      <c r="B5" s="204"/>
      <c r="C5" s="2424"/>
      <c r="D5" s="82" t="s">
        <v>3405</v>
      </c>
      <c r="E5" s="206"/>
      <c r="F5" s="529"/>
      <c r="G5" s="529"/>
      <c r="H5" s="529"/>
      <c r="I5" s="529"/>
      <c r="J5" s="529"/>
      <c r="K5" s="529"/>
      <c r="L5" s="529"/>
      <c r="M5" s="531"/>
      <c r="N5" s="529"/>
      <c r="O5" s="530"/>
    </row>
    <row r="6" spans="1:15" s="23" customFormat="1" x14ac:dyDescent="0.2">
      <c r="A6" s="2621"/>
      <c r="B6" s="1224">
        <v>20000</v>
      </c>
      <c r="C6" s="2425" t="s">
        <v>5967</v>
      </c>
      <c r="D6" s="24" t="s">
        <v>5968</v>
      </c>
      <c r="E6" s="206"/>
      <c r="F6" s="529"/>
      <c r="G6" s="529"/>
      <c r="H6" s="33"/>
      <c r="I6" s="529"/>
      <c r="J6" s="529"/>
      <c r="K6" s="529"/>
      <c r="L6" s="529"/>
      <c r="M6" s="531"/>
      <c r="N6" s="529"/>
      <c r="O6" s="530"/>
    </row>
    <row r="7" spans="1:15" s="23" customFormat="1" x14ac:dyDescent="0.2">
      <c r="A7" s="2621"/>
      <c r="B7" s="2619"/>
      <c r="C7" s="2425"/>
      <c r="D7" s="24" t="s">
        <v>6849</v>
      </c>
      <c r="E7" s="206"/>
      <c r="F7" s="529"/>
      <c r="G7" s="529"/>
      <c r="H7" s="33"/>
      <c r="I7" s="529"/>
      <c r="J7" s="529"/>
      <c r="K7" s="529"/>
      <c r="L7" s="529"/>
      <c r="M7" s="531"/>
      <c r="N7" s="529"/>
      <c r="O7" s="530"/>
    </row>
    <row r="8" spans="1:15" s="23" customFormat="1" x14ac:dyDescent="0.2">
      <c r="A8" s="2621">
        <v>180000</v>
      </c>
      <c r="B8" s="204"/>
      <c r="C8" s="2425" t="s">
        <v>5039</v>
      </c>
      <c r="D8" s="24" t="s">
        <v>5641</v>
      </c>
      <c r="E8" s="206"/>
      <c r="F8" s="529"/>
      <c r="G8" s="529"/>
      <c r="H8" s="33"/>
      <c r="I8" s="529"/>
      <c r="J8" s="529"/>
      <c r="K8" s="529"/>
      <c r="L8" s="529"/>
      <c r="M8" s="531"/>
      <c r="N8" s="529"/>
      <c r="O8" s="530"/>
    </row>
    <row r="9" spans="1:15" s="23" customFormat="1" x14ac:dyDescent="0.2">
      <c r="A9" s="2621"/>
      <c r="B9" s="204"/>
      <c r="C9" s="2425"/>
      <c r="D9" s="24"/>
      <c r="E9" s="206"/>
      <c r="F9" s="529"/>
      <c r="G9" s="529"/>
      <c r="H9" s="33"/>
      <c r="I9" s="529"/>
      <c r="J9" s="529"/>
      <c r="K9" s="529"/>
      <c r="L9" s="529"/>
      <c r="M9" s="531"/>
      <c r="N9" s="529"/>
      <c r="O9" s="530"/>
    </row>
    <row r="10" spans="1:15" s="84" customFormat="1" x14ac:dyDescent="0.2">
      <c r="A10" s="2505"/>
      <c r="B10" s="187"/>
      <c r="C10" s="1954"/>
      <c r="D10" s="64" t="s">
        <v>2938</v>
      </c>
      <c r="E10" s="206"/>
      <c r="F10" s="33"/>
      <c r="G10" s="33"/>
      <c r="H10" s="33"/>
      <c r="I10" s="33"/>
      <c r="J10" s="33"/>
      <c r="K10" s="33"/>
      <c r="L10" s="33"/>
      <c r="M10" s="142"/>
      <c r="N10" s="33"/>
      <c r="O10" s="114"/>
    </row>
    <row r="11" spans="1:15" s="84" customFormat="1" x14ac:dyDescent="0.2">
      <c r="A11" s="2505">
        <f>550000+50000</f>
        <v>600000</v>
      </c>
      <c r="B11" s="187"/>
      <c r="C11" s="2219" t="s">
        <v>3467</v>
      </c>
      <c r="D11" s="132" t="s">
        <v>5642</v>
      </c>
      <c r="E11" s="2617"/>
      <c r="F11" s="33"/>
      <c r="G11" s="33"/>
      <c r="H11" s="33"/>
      <c r="I11" s="33"/>
      <c r="J11" s="33"/>
      <c r="K11" s="33"/>
      <c r="L11" s="33"/>
      <c r="M11" s="142"/>
      <c r="N11" s="33"/>
      <c r="O11" s="114"/>
    </row>
    <row r="12" spans="1:15" s="84" customFormat="1" x14ac:dyDescent="0.2">
      <c r="A12" s="2505"/>
      <c r="B12" s="187"/>
      <c r="C12" s="2219"/>
      <c r="D12" s="132"/>
      <c r="E12" s="2617"/>
      <c r="F12" s="33"/>
      <c r="G12" s="33"/>
      <c r="H12" s="33"/>
      <c r="I12" s="33"/>
      <c r="J12" s="33"/>
      <c r="K12" s="33"/>
      <c r="L12" s="33"/>
      <c r="M12" s="142"/>
      <c r="N12" s="33"/>
      <c r="O12" s="114"/>
    </row>
    <row r="13" spans="1:15" s="84" customFormat="1" x14ac:dyDescent="0.2">
      <c r="A13" s="2505"/>
      <c r="B13" s="187"/>
      <c r="C13" s="1954"/>
      <c r="D13" s="64" t="s">
        <v>1418</v>
      </c>
      <c r="E13" s="206"/>
      <c r="F13" s="33"/>
      <c r="G13" s="33"/>
      <c r="H13" s="33"/>
      <c r="I13" s="33"/>
      <c r="J13" s="33"/>
      <c r="K13" s="33"/>
      <c r="L13" s="33"/>
      <c r="M13" s="142"/>
      <c r="N13" s="33"/>
      <c r="O13" s="114"/>
    </row>
    <row r="14" spans="1:15" s="84" customFormat="1" x14ac:dyDescent="0.2">
      <c r="A14" s="2505"/>
      <c r="B14" s="187">
        <v>2207000</v>
      </c>
      <c r="C14" s="2219" t="s">
        <v>6441</v>
      </c>
      <c r="D14" s="132" t="s">
        <v>6529</v>
      </c>
      <c r="E14" s="2617">
        <f>4500000-84400-4415600</f>
        <v>0</v>
      </c>
      <c r="F14" s="33">
        <v>4415600</v>
      </c>
      <c r="G14" s="33"/>
      <c r="H14" s="33"/>
      <c r="I14" s="33"/>
      <c r="J14" s="33"/>
      <c r="K14" s="33"/>
      <c r="L14" s="33"/>
      <c r="M14" s="142"/>
      <c r="N14" s="33"/>
      <c r="O14" s="114"/>
    </row>
    <row r="15" spans="1:15" s="84" customFormat="1" x14ac:dyDescent="0.2">
      <c r="A15" s="2505"/>
      <c r="B15" s="187">
        <v>84400</v>
      </c>
      <c r="C15" s="2219" t="s">
        <v>6827</v>
      </c>
      <c r="D15" s="132" t="s">
        <v>6826</v>
      </c>
      <c r="E15" s="2617"/>
      <c r="F15" s="33"/>
      <c r="G15" s="33"/>
      <c r="H15" s="33"/>
      <c r="I15" s="33"/>
      <c r="J15" s="33"/>
      <c r="K15" s="33"/>
      <c r="L15" s="33"/>
      <c r="M15" s="142"/>
      <c r="N15" s="33"/>
      <c r="O15" s="114"/>
    </row>
    <row r="16" spans="1:15" s="84" customFormat="1" x14ac:dyDescent="0.2">
      <c r="A16" s="2505"/>
      <c r="B16" s="187"/>
      <c r="C16" s="2219"/>
      <c r="D16" s="132"/>
      <c r="E16" s="2617"/>
      <c r="F16" s="33"/>
      <c r="G16" s="33"/>
      <c r="H16" s="33"/>
      <c r="I16" s="33"/>
      <c r="J16" s="33"/>
      <c r="K16" s="33"/>
      <c r="L16" s="33"/>
      <c r="M16" s="142"/>
      <c r="N16" s="33"/>
      <c r="O16" s="114"/>
    </row>
    <row r="17" spans="1:15" s="84" customFormat="1" x14ac:dyDescent="0.2">
      <c r="A17" s="2505"/>
      <c r="B17" s="187"/>
      <c r="C17" s="1954"/>
      <c r="D17" s="116" t="s">
        <v>993</v>
      </c>
      <c r="E17" s="206"/>
      <c r="F17" s="33"/>
      <c r="G17" s="33"/>
      <c r="H17" s="33"/>
      <c r="I17" s="33"/>
      <c r="J17" s="33"/>
      <c r="K17" s="33"/>
      <c r="L17" s="33"/>
      <c r="M17" s="142"/>
      <c r="N17" s="33"/>
      <c r="O17" s="114"/>
    </row>
    <row r="18" spans="1:15" s="84" customFormat="1" x14ac:dyDescent="0.2">
      <c r="A18" s="2505"/>
      <c r="B18" s="187"/>
      <c r="C18" s="2219" t="s">
        <v>5181</v>
      </c>
      <c r="D18" s="132" t="s">
        <v>5640</v>
      </c>
      <c r="E18" s="2617">
        <v>95000</v>
      </c>
      <c r="F18" s="33"/>
      <c r="G18" s="33"/>
      <c r="H18" s="33"/>
      <c r="I18" s="33"/>
      <c r="J18" s="33"/>
      <c r="K18" s="33"/>
      <c r="L18" s="33"/>
      <c r="M18" s="142"/>
      <c r="N18" s="33"/>
      <c r="O18" s="114"/>
    </row>
    <row r="19" spans="1:15" s="84" customFormat="1" x14ac:dyDescent="0.2">
      <c r="A19" s="2505"/>
      <c r="B19" s="187"/>
      <c r="C19" s="2219"/>
      <c r="D19" s="132"/>
      <c r="E19" s="2617"/>
      <c r="F19" s="33"/>
      <c r="G19" s="33"/>
      <c r="H19" s="33"/>
      <c r="I19" s="33"/>
      <c r="J19" s="33"/>
      <c r="K19" s="33"/>
      <c r="L19" s="33"/>
      <c r="M19" s="142"/>
      <c r="N19" s="33"/>
      <c r="O19" s="114"/>
    </row>
    <row r="20" spans="1:15" s="84" customFormat="1" x14ac:dyDescent="0.2">
      <c r="A20" s="2505"/>
      <c r="B20" s="187"/>
      <c r="C20" s="1954"/>
      <c r="D20" s="116" t="s">
        <v>3751</v>
      </c>
      <c r="E20" s="2617"/>
      <c r="F20" s="33"/>
      <c r="G20" s="33"/>
      <c r="H20" s="33"/>
      <c r="I20" s="33"/>
      <c r="J20" s="33"/>
      <c r="K20" s="33"/>
      <c r="L20" s="33"/>
      <c r="M20" s="142"/>
      <c r="N20" s="33"/>
      <c r="O20" s="114"/>
    </row>
    <row r="21" spans="1:15" s="84" customFormat="1" x14ac:dyDescent="0.2">
      <c r="A21" s="2505">
        <v>103800</v>
      </c>
      <c r="B21" s="187">
        <f>'W&amp;W'!D216+'W&amp;W'!D414+CIV!D1989+CIV!D1813</f>
        <v>330000</v>
      </c>
      <c r="C21" s="1360" t="s">
        <v>6442</v>
      </c>
      <c r="D21" s="132" t="s">
        <v>6049</v>
      </c>
      <c r="E21" s="189">
        <f>'W&amp;W'!G216+'W&amp;W'!G414+CIV!G1989+CIV!G1813</f>
        <v>106400</v>
      </c>
      <c r="F21" s="187">
        <f>'W&amp;W'!I216+'W&amp;W'!I414+CIV!I1989+CIV!I1813</f>
        <v>107900</v>
      </c>
      <c r="G21" s="187">
        <f>'W&amp;W'!J216+'W&amp;W'!J414+CIV!J1989+CIV!J1813</f>
        <v>110100</v>
      </c>
      <c r="H21" s="187">
        <f>'W&amp;W'!K216+'W&amp;W'!K414+CIV!K1989+CIV!K1813</f>
        <v>112300</v>
      </c>
      <c r="I21" s="187">
        <f>'W&amp;W'!L216+'W&amp;W'!L414+CIV!L1989+CIV!L1813</f>
        <v>114700</v>
      </c>
      <c r="J21" s="187">
        <f>'W&amp;W'!M216+'W&amp;W'!M414+CIV!M1989+CIV!M1813</f>
        <v>116700</v>
      </c>
      <c r="K21" s="187">
        <f>'W&amp;W'!N216+'W&amp;W'!N414+CIV!N1989+CIV!N1813</f>
        <v>118700</v>
      </c>
      <c r="L21" s="187">
        <f>'W&amp;W'!O216+'W&amp;W'!O414+CIV!O1989+CIV!O1813</f>
        <v>120700</v>
      </c>
      <c r="M21" s="142">
        <f>'W&amp;W'!P216+'W&amp;W'!P414+CIV!P1989+CIV!P1813</f>
        <v>122700</v>
      </c>
      <c r="N21" s="33">
        <f>'W&amp;W'!Q216+'W&amp;W'!Q414+CIV!Q1989+CIV!Q1813</f>
        <v>124700</v>
      </c>
      <c r="O21" s="114">
        <f>'W&amp;W'!R216+'W&amp;W'!R414+CIV!R1989+CIV!R1813</f>
        <v>126900</v>
      </c>
    </row>
    <row r="22" spans="1:15" s="84" customFormat="1" x14ac:dyDescent="0.2">
      <c r="A22" s="2505"/>
      <c r="B22" s="187"/>
      <c r="C22" s="1360" t="s">
        <v>6443</v>
      </c>
      <c r="D22" s="132" t="s">
        <v>6050</v>
      </c>
      <c r="E22" s="189">
        <f>'W&amp;W'!G217+'W&amp;W'!G415++CIV!G1814</f>
        <v>450600</v>
      </c>
      <c r="F22" s="187"/>
      <c r="G22" s="187"/>
      <c r="H22" s="187"/>
      <c r="I22" s="187"/>
      <c r="J22" s="187"/>
      <c r="K22" s="187"/>
      <c r="L22" s="187"/>
      <c r="M22" s="142"/>
      <c r="N22" s="33"/>
      <c r="O22" s="114"/>
    </row>
    <row r="23" spans="1:15" s="84" customFormat="1" x14ac:dyDescent="0.2">
      <c r="A23" s="2505"/>
      <c r="B23" s="187"/>
      <c r="C23" s="1360"/>
      <c r="D23" s="132"/>
      <c r="E23" s="189"/>
      <c r="F23" s="187"/>
      <c r="G23" s="187"/>
      <c r="H23" s="187"/>
      <c r="I23" s="187"/>
      <c r="J23" s="187"/>
      <c r="K23" s="187"/>
      <c r="L23" s="187"/>
      <c r="M23" s="142"/>
      <c r="N23" s="33"/>
      <c r="O23" s="114"/>
    </row>
    <row r="24" spans="1:15" s="84" customFormat="1" x14ac:dyDescent="0.2">
      <c r="A24" s="2505"/>
      <c r="B24" s="187"/>
      <c r="C24" s="1360"/>
      <c r="D24" s="116" t="s">
        <v>3870</v>
      </c>
      <c r="E24" s="189"/>
      <c r="F24" s="33"/>
      <c r="G24" s="33"/>
      <c r="H24" s="33"/>
      <c r="I24" s="33"/>
      <c r="J24" s="33"/>
      <c r="K24" s="33"/>
      <c r="L24" s="33"/>
      <c r="M24" s="142"/>
      <c r="N24" s="33"/>
      <c r="O24" s="114"/>
    </row>
    <row r="25" spans="1:15" s="84" customFormat="1" x14ac:dyDescent="0.2">
      <c r="A25" s="2505">
        <f>318200+31800</f>
        <v>350000</v>
      </c>
      <c r="B25" s="187"/>
      <c r="C25" s="1360" t="s">
        <v>4028</v>
      </c>
      <c r="D25" s="132" t="s">
        <v>4755</v>
      </c>
      <c r="E25" s="189"/>
      <c r="F25" s="33"/>
      <c r="G25" s="33"/>
      <c r="H25" s="33"/>
      <c r="I25" s="33"/>
      <c r="J25" s="33"/>
      <c r="K25" s="33"/>
      <c r="L25" s="33"/>
      <c r="M25" s="142"/>
      <c r="N25" s="33"/>
      <c r="O25" s="114"/>
    </row>
    <row r="26" spans="1:15" s="84" customFormat="1" x14ac:dyDescent="0.2">
      <c r="A26" s="2505"/>
      <c r="B26" s="187">
        <f>1000000-800000</f>
        <v>200000</v>
      </c>
      <c r="C26" s="2219" t="s">
        <v>6524</v>
      </c>
      <c r="D26" s="132" t="s">
        <v>3298</v>
      </c>
      <c r="E26" s="189"/>
      <c r="F26" s="33"/>
      <c r="G26" s="33"/>
      <c r="H26" s="33"/>
      <c r="I26" s="33"/>
      <c r="J26" s="33"/>
      <c r="K26" s="33"/>
      <c r="L26" s="33"/>
      <c r="M26" s="142"/>
      <c r="N26" s="33"/>
      <c r="O26" s="114"/>
    </row>
    <row r="27" spans="1:15" s="84" customFormat="1" x14ac:dyDescent="0.2">
      <c r="A27" s="2505"/>
      <c r="B27" s="187">
        <v>247700</v>
      </c>
      <c r="C27" s="1360" t="s">
        <v>6525</v>
      </c>
      <c r="D27" s="132" t="s">
        <v>5616</v>
      </c>
      <c r="E27" s="189"/>
      <c r="F27" s="33"/>
      <c r="G27" s="33"/>
      <c r="H27" s="33"/>
      <c r="I27" s="33"/>
      <c r="J27" s="33"/>
      <c r="K27" s="33"/>
      <c r="L27" s="33"/>
      <c r="M27" s="142"/>
      <c r="N27" s="33"/>
      <c r="O27" s="114"/>
    </row>
    <row r="28" spans="1:15" s="84" customFormat="1" x14ac:dyDescent="0.2">
      <c r="A28" s="2505"/>
      <c r="B28" s="187"/>
      <c r="C28" s="1360" t="s">
        <v>6553</v>
      </c>
      <c r="D28" s="132" t="s">
        <v>6875</v>
      </c>
      <c r="E28" s="189">
        <v>167000</v>
      </c>
      <c r="F28" s="33"/>
      <c r="G28" s="33"/>
      <c r="H28" s="33"/>
      <c r="I28" s="33"/>
      <c r="J28" s="33"/>
      <c r="K28" s="33"/>
      <c r="L28" s="33"/>
      <c r="M28" s="142"/>
      <c r="N28" s="33"/>
      <c r="O28" s="114"/>
    </row>
    <row r="29" spans="1:15" s="84" customFormat="1" x14ac:dyDescent="0.2">
      <c r="A29" s="2505"/>
      <c r="B29" s="187"/>
      <c r="C29" s="1360" t="s">
        <v>6552</v>
      </c>
      <c r="D29" s="132" t="s">
        <v>6876</v>
      </c>
      <c r="E29" s="189">
        <v>850000</v>
      </c>
      <c r="F29" s="33"/>
      <c r="G29" s="33"/>
      <c r="H29" s="33"/>
      <c r="I29" s="33"/>
      <c r="J29" s="33"/>
      <c r="K29" s="33"/>
      <c r="L29" s="33"/>
      <c r="M29" s="142"/>
      <c r="N29" s="33"/>
      <c r="O29" s="114"/>
    </row>
    <row r="30" spans="1:15" s="84" customFormat="1" x14ac:dyDescent="0.2">
      <c r="A30" s="2505">
        <v>136400</v>
      </c>
      <c r="B30" s="187"/>
      <c r="C30" s="1954"/>
      <c r="D30" s="132" t="s">
        <v>4754</v>
      </c>
      <c r="E30" s="189"/>
      <c r="F30" s="33"/>
      <c r="G30" s="33"/>
      <c r="H30" s="33"/>
      <c r="I30" s="33"/>
      <c r="J30" s="33"/>
      <c r="K30" s="33"/>
      <c r="L30" s="33"/>
      <c r="M30" s="142"/>
      <c r="N30" s="33"/>
      <c r="O30" s="114"/>
    </row>
    <row r="31" spans="1:15" s="84" customFormat="1" x14ac:dyDescent="0.2">
      <c r="A31" s="2505"/>
      <c r="B31" s="187"/>
      <c r="C31" s="1360" t="s">
        <v>7090</v>
      </c>
      <c r="D31" s="132" t="s">
        <v>7089</v>
      </c>
      <c r="E31" s="189">
        <v>7000</v>
      </c>
      <c r="F31" s="33"/>
      <c r="G31" s="33"/>
      <c r="H31" s="33"/>
      <c r="I31" s="33"/>
      <c r="J31" s="33"/>
      <c r="K31" s="33"/>
      <c r="L31" s="33"/>
      <c r="M31" s="142"/>
      <c r="N31" s="33"/>
      <c r="O31" s="114"/>
    </row>
    <row r="32" spans="1:15" s="84" customFormat="1" x14ac:dyDescent="0.2">
      <c r="A32" s="2505"/>
      <c r="B32" s="187"/>
      <c r="C32" s="1954"/>
      <c r="D32" s="132"/>
      <c r="E32" s="189"/>
      <c r="F32" s="33"/>
      <c r="G32" s="33"/>
      <c r="H32" s="33"/>
      <c r="I32" s="33"/>
      <c r="J32" s="33"/>
      <c r="K32" s="33"/>
      <c r="L32" s="33"/>
      <c r="M32" s="142"/>
      <c r="N32" s="33"/>
      <c r="O32" s="114"/>
    </row>
    <row r="33" spans="1:15" s="84" customFormat="1" x14ac:dyDescent="0.2">
      <c r="A33" s="2505"/>
      <c r="B33" s="187"/>
      <c r="C33" s="1958"/>
      <c r="D33" s="64" t="s">
        <v>826</v>
      </c>
      <c r="E33" s="189"/>
      <c r="F33" s="33"/>
      <c r="G33" s="33"/>
      <c r="H33" s="33"/>
      <c r="I33" s="33"/>
      <c r="J33" s="33"/>
      <c r="K33" s="33"/>
      <c r="L33" s="33"/>
      <c r="M33" s="142"/>
      <c r="N33" s="33"/>
      <c r="O33" s="114"/>
    </row>
    <row r="34" spans="1:15" s="84" customFormat="1" x14ac:dyDescent="0.2">
      <c r="A34" s="2505"/>
      <c r="B34" s="187">
        <v>200000</v>
      </c>
      <c r="C34" s="986" t="s">
        <v>5589</v>
      </c>
      <c r="D34" s="132" t="s">
        <v>5590</v>
      </c>
      <c r="E34" s="189"/>
      <c r="F34" s="33"/>
      <c r="G34" s="33"/>
      <c r="H34" s="33"/>
      <c r="I34" s="33"/>
      <c r="J34" s="33"/>
      <c r="K34" s="33"/>
      <c r="L34" s="33"/>
      <c r="M34" s="142"/>
      <c r="N34" s="33"/>
      <c r="O34" s="114"/>
    </row>
    <row r="35" spans="1:15" s="84" customFormat="1" x14ac:dyDescent="0.2">
      <c r="A35" s="2505">
        <v>652000</v>
      </c>
      <c r="B35" s="187">
        <v>1194600</v>
      </c>
      <c r="C35" s="2219" t="s">
        <v>669</v>
      </c>
      <c r="D35" s="132" t="s">
        <v>4883</v>
      </c>
      <c r="E35" s="189"/>
      <c r="F35" s="33"/>
      <c r="G35" s="33"/>
      <c r="H35" s="33"/>
      <c r="I35" s="33"/>
      <c r="J35" s="33"/>
      <c r="K35" s="33"/>
      <c r="L35" s="33"/>
      <c r="M35" s="142"/>
      <c r="N35" s="33"/>
      <c r="O35" s="114"/>
    </row>
    <row r="36" spans="1:15" s="84" customFormat="1" x14ac:dyDescent="0.2">
      <c r="A36" s="2505"/>
      <c r="B36" s="187">
        <v>202300</v>
      </c>
      <c r="C36" s="2219" t="s">
        <v>6444</v>
      </c>
      <c r="D36" s="132" t="s">
        <v>6530</v>
      </c>
      <c r="E36" s="189">
        <f>172000+2500</f>
        <v>174500</v>
      </c>
      <c r="F36" s="33">
        <v>173000</v>
      </c>
      <c r="G36" s="33">
        <v>174000</v>
      </c>
      <c r="H36" s="33">
        <v>174000</v>
      </c>
      <c r="I36" s="33"/>
      <c r="J36" s="33"/>
      <c r="K36" s="33"/>
      <c r="L36" s="33"/>
      <c r="M36" s="142"/>
      <c r="N36" s="33"/>
      <c r="O36" s="114"/>
    </row>
    <row r="37" spans="1:15" s="84" customFormat="1" x14ac:dyDescent="0.2">
      <c r="A37" s="2505">
        <v>46500</v>
      </c>
      <c r="B37" s="187"/>
      <c r="C37" s="2219" t="s">
        <v>4264</v>
      </c>
      <c r="D37" s="132" t="s">
        <v>4500</v>
      </c>
      <c r="E37" s="189"/>
      <c r="F37" s="33"/>
      <c r="G37" s="33"/>
      <c r="H37" s="33"/>
      <c r="I37" s="33"/>
      <c r="J37" s="33"/>
      <c r="K37" s="33"/>
      <c r="L37" s="33"/>
      <c r="M37" s="142"/>
      <c r="N37" s="33"/>
      <c r="O37" s="114"/>
    </row>
    <row r="38" spans="1:15" s="84" customFormat="1" x14ac:dyDescent="0.2">
      <c r="A38" s="2505">
        <v>320000</v>
      </c>
      <c r="B38" s="187"/>
      <c r="C38" s="2219" t="s">
        <v>3523</v>
      </c>
      <c r="D38" s="132" t="s">
        <v>6877</v>
      </c>
      <c r="E38" s="189"/>
      <c r="F38" s="33"/>
      <c r="G38" s="33"/>
      <c r="H38" s="33"/>
      <c r="I38" s="33"/>
      <c r="J38" s="33"/>
      <c r="K38" s="33"/>
      <c r="L38" s="33"/>
      <c r="M38" s="142"/>
      <c r="N38" s="33"/>
      <c r="O38" s="114"/>
    </row>
    <row r="39" spans="1:15" s="84" customFormat="1" x14ac:dyDescent="0.2">
      <c r="A39" s="2505">
        <v>30000</v>
      </c>
      <c r="B39" s="187"/>
      <c r="C39" s="2219"/>
      <c r="D39" s="132" t="s">
        <v>4756</v>
      </c>
      <c r="E39" s="189"/>
      <c r="F39" s="33"/>
      <c r="G39" s="33"/>
      <c r="H39" s="33"/>
      <c r="I39" s="33"/>
      <c r="J39" s="33"/>
      <c r="K39" s="33"/>
      <c r="L39" s="33"/>
      <c r="M39" s="142"/>
      <c r="N39" s="33"/>
      <c r="O39" s="114"/>
    </row>
    <row r="40" spans="1:15" s="84" customFormat="1" x14ac:dyDescent="0.2">
      <c r="A40" s="2505"/>
      <c r="B40" s="187"/>
      <c r="C40" s="2219" t="s">
        <v>6519</v>
      </c>
      <c r="D40" s="132" t="s">
        <v>6515</v>
      </c>
      <c r="E40" s="189">
        <v>1997100</v>
      </c>
      <c r="F40" s="33"/>
      <c r="G40" s="33"/>
      <c r="H40" s="33"/>
      <c r="I40" s="33"/>
      <c r="J40" s="33"/>
      <c r="K40" s="33"/>
      <c r="L40" s="33"/>
      <c r="M40" s="142"/>
      <c r="N40" s="33"/>
      <c r="O40" s="114"/>
    </row>
    <row r="41" spans="1:15" s="84" customFormat="1" x14ac:dyDescent="0.2">
      <c r="A41" s="2505"/>
      <c r="B41" s="187">
        <v>1004000</v>
      </c>
      <c r="C41" s="2219" t="s">
        <v>5594</v>
      </c>
      <c r="D41" s="132" t="s">
        <v>6402</v>
      </c>
      <c r="E41" s="189">
        <v>1000000</v>
      </c>
      <c r="F41" s="33"/>
      <c r="G41" s="33"/>
      <c r="H41" s="33"/>
      <c r="I41" s="33"/>
      <c r="J41" s="33"/>
      <c r="K41" s="33"/>
      <c r="L41" s="33"/>
      <c r="M41" s="142"/>
      <c r="N41" s="33"/>
      <c r="O41" s="114"/>
    </row>
    <row r="42" spans="1:15" s="84" customFormat="1" x14ac:dyDescent="0.2">
      <c r="A42" s="2505"/>
      <c r="B42" s="187"/>
      <c r="C42" s="2414"/>
      <c r="D42" s="132" t="s">
        <v>6892</v>
      </c>
      <c r="E42" s="198"/>
      <c r="F42" s="33">
        <v>3000000</v>
      </c>
      <c r="G42" s="33"/>
      <c r="H42" s="33"/>
      <c r="I42" s="33"/>
      <c r="J42" s="33"/>
      <c r="K42" s="33"/>
      <c r="L42" s="33"/>
      <c r="M42" s="142"/>
      <c r="N42" s="33"/>
      <c r="O42" s="114"/>
    </row>
    <row r="43" spans="1:15" s="84" customFormat="1" x14ac:dyDescent="0.2">
      <c r="A43" s="2505"/>
      <c r="B43" s="187">
        <v>6100</v>
      </c>
      <c r="C43" s="2414" t="s">
        <v>6822</v>
      </c>
      <c r="D43" s="132" t="s">
        <v>6878</v>
      </c>
      <c r="E43" s="198"/>
      <c r="F43" s="33"/>
      <c r="G43" s="33"/>
      <c r="H43" s="33"/>
      <c r="I43" s="33"/>
      <c r="J43" s="33"/>
      <c r="K43" s="33"/>
      <c r="L43" s="33"/>
      <c r="M43" s="142"/>
      <c r="N43" s="33"/>
      <c r="O43" s="114"/>
    </row>
    <row r="44" spans="1:15" s="84" customFormat="1" ht="13.5" thickBot="1" x14ac:dyDescent="0.25">
      <c r="A44" s="2622"/>
      <c r="B44" s="729"/>
      <c r="C44" s="2426"/>
      <c r="D44" s="66"/>
      <c r="E44" s="202"/>
      <c r="F44" s="66"/>
      <c r="G44" s="66"/>
      <c r="H44" s="66"/>
      <c r="I44" s="66"/>
      <c r="J44" s="66"/>
      <c r="K44" s="66"/>
      <c r="L44" s="66"/>
      <c r="M44" s="166"/>
      <c r="N44" s="66"/>
      <c r="O44" s="165"/>
    </row>
    <row r="45" spans="1:15" s="91" customFormat="1" ht="18.75" customHeight="1" thickTop="1" thickBot="1" x14ac:dyDescent="0.3">
      <c r="A45" s="2873" t="s">
        <v>4701</v>
      </c>
      <c r="B45" s="2874"/>
      <c r="C45" s="2874"/>
      <c r="D45" s="2874"/>
      <c r="E45" s="2874"/>
      <c r="F45" s="2874"/>
      <c r="G45" s="2874"/>
      <c r="H45" s="2874"/>
      <c r="I45" s="2874"/>
      <c r="J45" s="2874"/>
      <c r="K45" s="2874"/>
      <c r="L45" s="2874"/>
      <c r="M45" s="2874"/>
      <c r="N45" s="2874"/>
      <c r="O45" s="2875"/>
    </row>
    <row r="46" spans="1:15" s="44" customFormat="1" x14ac:dyDescent="0.2">
      <c r="A46" s="2888" t="s">
        <v>1856</v>
      </c>
      <c r="B46" s="2890"/>
      <c r="C46" s="2008" t="s">
        <v>2663</v>
      </c>
      <c r="D46" s="369" t="str">
        <f>$D$2</f>
        <v>BUDGET ITEMS</v>
      </c>
      <c r="E46" s="2883" t="str">
        <f>E2</f>
        <v>ESTIMATED</v>
      </c>
      <c r="F46" s="2846"/>
      <c r="G46" s="2846"/>
      <c r="H46" s="2846"/>
      <c r="I46" s="2846"/>
      <c r="J46" s="2846"/>
      <c r="K46" s="2846"/>
      <c r="L46" s="2846"/>
      <c r="M46" s="2846"/>
      <c r="N46" s="2846"/>
      <c r="O46" s="2884"/>
    </row>
    <row r="47" spans="1:15" s="23" customFormat="1" ht="12.75" customHeight="1" thickBot="1" x14ac:dyDescent="0.25">
      <c r="A47" s="2620" t="str">
        <f>A3</f>
        <v>2014/15</v>
      </c>
      <c r="B47" s="93" t="str">
        <f>B3</f>
        <v>2015/16</v>
      </c>
      <c r="C47" s="501" t="str">
        <f>C3</f>
        <v>ACCOUNT</v>
      </c>
      <c r="D47" s="2421"/>
      <c r="E47" s="93" t="str">
        <f>E3</f>
        <v>2016/17</v>
      </c>
      <c r="F47" s="370" t="str">
        <f t="shared" ref="F47:N47" si="0">F3</f>
        <v>2017/18</v>
      </c>
      <c r="G47" s="370" t="str">
        <f t="shared" si="0"/>
        <v>2018/19</v>
      </c>
      <c r="H47" s="370" t="str">
        <f t="shared" si="0"/>
        <v>2019/20</v>
      </c>
      <c r="I47" s="370" t="str">
        <f t="shared" si="0"/>
        <v>2020/21</v>
      </c>
      <c r="J47" s="370" t="str">
        <f t="shared" si="0"/>
        <v>2021/22</v>
      </c>
      <c r="K47" s="370" t="str">
        <f t="shared" si="0"/>
        <v>2022/23</v>
      </c>
      <c r="L47" s="370" t="str">
        <f t="shared" si="0"/>
        <v>2023/24</v>
      </c>
      <c r="M47" s="381" t="str">
        <f t="shared" si="0"/>
        <v>2024/25</v>
      </c>
      <c r="N47" s="381" t="str">
        <f t="shared" si="0"/>
        <v>2025/26</v>
      </c>
      <c r="O47" s="549" t="str">
        <f t="shared" ref="O47" si="1">O3</f>
        <v>2026/27</v>
      </c>
    </row>
    <row r="48" spans="1:15" s="84" customFormat="1" x14ac:dyDescent="0.2">
      <c r="A48" s="2505"/>
      <c r="B48" s="187"/>
      <c r="C48" s="138"/>
      <c r="D48" s="128" t="s">
        <v>1323</v>
      </c>
      <c r="E48" s="187"/>
      <c r="F48" s="33"/>
      <c r="G48" s="33"/>
      <c r="H48" s="33"/>
      <c r="I48" s="33"/>
      <c r="J48" s="33"/>
      <c r="K48" s="33"/>
      <c r="L48" s="33"/>
      <c r="M48" s="142"/>
      <c r="N48" s="142"/>
      <c r="O48" s="114"/>
    </row>
    <row r="49" spans="1:15" s="84" customFormat="1" x14ac:dyDescent="0.2">
      <c r="A49" s="2505"/>
      <c r="B49" s="187">
        <v>200000</v>
      </c>
      <c r="C49" s="821" t="s">
        <v>669</v>
      </c>
      <c r="D49" s="130" t="s">
        <v>5568</v>
      </c>
      <c r="E49" s="187"/>
      <c r="F49" s="33"/>
      <c r="G49" s="33"/>
      <c r="H49" s="33"/>
      <c r="I49" s="33"/>
      <c r="J49" s="33"/>
      <c r="K49" s="33"/>
      <c r="L49" s="33"/>
      <c r="M49" s="142"/>
      <c r="N49" s="142"/>
      <c r="O49" s="114"/>
    </row>
    <row r="50" spans="1:15" s="84" customFormat="1" x14ac:dyDescent="0.2">
      <c r="A50" s="2505"/>
      <c r="B50" s="187">
        <v>160000</v>
      </c>
      <c r="C50" s="821" t="s">
        <v>669</v>
      </c>
      <c r="D50" s="130" t="s">
        <v>5569</v>
      </c>
      <c r="E50" s="187"/>
      <c r="F50" s="33"/>
      <c r="G50" s="33"/>
      <c r="H50" s="33"/>
      <c r="I50" s="33"/>
      <c r="J50" s="33"/>
      <c r="K50" s="33"/>
      <c r="L50" s="33"/>
      <c r="M50" s="142"/>
      <c r="N50" s="142"/>
      <c r="O50" s="114"/>
    </row>
    <row r="51" spans="1:15" s="84" customFormat="1" x14ac:dyDescent="0.2">
      <c r="A51" s="2505"/>
      <c r="B51" s="187">
        <v>152000</v>
      </c>
      <c r="C51" s="821" t="s">
        <v>669</v>
      </c>
      <c r="D51" s="130" t="s">
        <v>5570</v>
      </c>
      <c r="E51" s="187"/>
      <c r="F51" s="33"/>
      <c r="G51" s="33"/>
      <c r="H51" s="33"/>
      <c r="I51" s="33"/>
      <c r="J51" s="33"/>
      <c r="K51" s="33"/>
      <c r="L51" s="33"/>
      <c r="M51" s="142"/>
      <c r="N51" s="142"/>
      <c r="O51" s="114"/>
    </row>
    <row r="52" spans="1:15" s="84" customFormat="1" x14ac:dyDescent="0.2">
      <c r="A52" s="2505"/>
      <c r="B52" s="187">
        <v>984600</v>
      </c>
      <c r="C52" s="827" t="s">
        <v>5592</v>
      </c>
      <c r="D52" s="130" t="s">
        <v>5593</v>
      </c>
      <c r="E52" s="187"/>
      <c r="F52" s="33"/>
      <c r="G52" s="33"/>
      <c r="H52" s="33"/>
      <c r="I52" s="33"/>
      <c r="J52" s="33"/>
      <c r="K52" s="33"/>
      <c r="L52" s="33"/>
      <c r="M52" s="142"/>
      <c r="N52" s="142"/>
      <c r="O52" s="114"/>
    </row>
    <row r="53" spans="1:15" s="84" customFormat="1" x14ac:dyDescent="0.2">
      <c r="A53" s="2505">
        <v>192800</v>
      </c>
      <c r="B53" s="187"/>
      <c r="C53" s="827" t="s">
        <v>3403</v>
      </c>
      <c r="D53" s="130" t="s">
        <v>3444</v>
      </c>
      <c r="E53" s="187"/>
      <c r="F53" s="33"/>
      <c r="G53" s="33"/>
      <c r="H53" s="33"/>
      <c r="I53" s="33"/>
      <c r="J53" s="33"/>
      <c r="K53" s="33"/>
      <c r="L53" s="33"/>
      <c r="M53" s="142"/>
      <c r="N53" s="142"/>
      <c r="O53" s="114"/>
    </row>
    <row r="54" spans="1:15" s="84" customFormat="1" x14ac:dyDescent="0.2">
      <c r="A54" s="2505"/>
      <c r="B54" s="187">
        <v>75000</v>
      </c>
      <c r="C54" s="821" t="s">
        <v>4029</v>
      </c>
      <c r="D54" s="130" t="s">
        <v>3669</v>
      </c>
      <c r="E54" s="187"/>
      <c r="F54" s="33"/>
      <c r="G54" s="33"/>
      <c r="H54" s="33"/>
      <c r="I54" s="33"/>
      <c r="J54" s="33"/>
      <c r="K54" s="33"/>
      <c r="L54" s="33"/>
      <c r="M54" s="142"/>
      <c r="N54" s="142"/>
      <c r="O54" s="114"/>
    </row>
    <row r="55" spans="1:15" s="84" customFormat="1" x14ac:dyDescent="0.2">
      <c r="A55" s="2505">
        <v>221700</v>
      </c>
      <c r="B55" s="187"/>
      <c r="C55" s="821" t="s">
        <v>4030</v>
      </c>
      <c r="D55" s="130" t="s">
        <v>520</v>
      </c>
      <c r="E55" s="187"/>
      <c r="F55" s="33"/>
      <c r="G55" s="33"/>
      <c r="H55" s="33"/>
      <c r="I55" s="33"/>
      <c r="J55" s="33"/>
      <c r="K55" s="33"/>
      <c r="L55" s="33"/>
      <c r="M55" s="142"/>
      <c r="N55" s="142"/>
      <c r="O55" s="114"/>
    </row>
    <row r="56" spans="1:15" s="84" customFormat="1" x14ac:dyDescent="0.2">
      <c r="A56" s="2505">
        <v>77000</v>
      </c>
      <c r="B56" s="187">
        <f>77000-5900</f>
        <v>71100</v>
      </c>
      <c r="C56" s="821" t="s">
        <v>4528</v>
      </c>
      <c r="D56" s="130" t="s">
        <v>4757</v>
      </c>
      <c r="E56" s="187"/>
      <c r="F56" s="33"/>
      <c r="G56" s="33"/>
      <c r="H56" s="33"/>
      <c r="I56" s="33"/>
      <c r="J56" s="33"/>
      <c r="K56" s="33"/>
      <c r="L56" s="33"/>
      <c r="M56" s="142"/>
      <c r="N56" s="142"/>
      <c r="O56" s="114"/>
    </row>
    <row r="57" spans="1:15" s="84" customFormat="1" x14ac:dyDescent="0.2">
      <c r="A57" s="2505"/>
      <c r="B57" s="187">
        <v>200000</v>
      </c>
      <c r="C57" s="821" t="s">
        <v>5955</v>
      </c>
      <c r="D57" s="130" t="s">
        <v>6403</v>
      </c>
      <c r="E57" s="187"/>
      <c r="F57" s="33"/>
      <c r="G57" s="33"/>
      <c r="H57" s="33"/>
      <c r="I57" s="33"/>
      <c r="J57" s="33"/>
      <c r="K57" s="33"/>
      <c r="L57" s="33"/>
      <c r="M57" s="142"/>
      <c r="N57" s="142"/>
      <c r="O57" s="114"/>
    </row>
    <row r="58" spans="1:15" s="84" customFormat="1" x14ac:dyDescent="0.2">
      <c r="A58" s="2505"/>
      <c r="B58" s="187">
        <v>269000</v>
      </c>
      <c r="C58" s="821" t="s">
        <v>6823</v>
      </c>
      <c r="D58" s="130" t="s">
        <v>6824</v>
      </c>
      <c r="E58" s="187"/>
      <c r="F58" s="33"/>
      <c r="G58" s="33"/>
      <c r="H58" s="33"/>
      <c r="I58" s="33"/>
      <c r="J58" s="33"/>
      <c r="K58" s="33"/>
      <c r="L58" s="33"/>
      <c r="M58" s="142"/>
      <c r="N58" s="142"/>
      <c r="O58" s="114"/>
    </row>
    <row r="59" spans="1:15" s="84" customFormat="1" x14ac:dyDescent="0.2">
      <c r="A59" s="2505"/>
      <c r="B59" s="187"/>
      <c r="C59" s="821" t="s">
        <v>6518</v>
      </c>
      <c r="D59" s="130" t="s">
        <v>6516</v>
      </c>
      <c r="E59" s="187">
        <v>787100</v>
      </c>
      <c r="F59" s="33"/>
      <c r="G59" s="33"/>
      <c r="H59" s="33"/>
      <c r="I59" s="33"/>
      <c r="J59" s="33"/>
      <c r="K59" s="33"/>
      <c r="L59" s="33"/>
      <c r="M59" s="142"/>
      <c r="N59" s="142"/>
      <c r="O59" s="114"/>
    </row>
    <row r="60" spans="1:15" s="84" customFormat="1" x14ac:dyDescent="0.2">
      <c r="A60" s="2505"/>
      <c r="B60" s="187"/>
      <c r="C60" s="821" t="s">
        <v>6445</v>
      </c>
      <c r="D60" s="130" t="s">
        <v>6514</v>
      </c>
      <c r="E60" s="187">
        <v>930000</v>
      </c>
      <c r="F60" s="33">
        <v>1028000</v>
      </c>
      <c r="G60" s="33"/>
      <c r="H60" s="33"/>
      <c r="I60" s="33"/>
      <c r="J60" s="33"/>
      <c r="K60" s="33"/>
      <c r="L60" s="33"/>
      <c r="M60" s="142"/>
      <c r="N60" s="142"/>
      <c r="O60" s="114"/>
    </row>
    <row r="61" spans="1:15" s="84" customFormat="1" x14ac:dyDescent="0.2">
      <c r="A61" s="2505"/>
      <c r="B61" s="187"/>
      <c r="C61" s="821"/>
      <c r="D61" s="130"/>
      <c r="E61" s="187"/>
      <c r="F61" s="33"/>
      <c r="G61" s="33"/>
      <c r="H61" s="33"/>
      <c r="I61" s="33"/>
      <c r="J61" s="33"/>
      <c r="K61" s="33"/>
      <c r="L61" s="33"/>
      <c r="M61" s="142"/>
      <c r="N61" s="142"/>
      <c r="O61" s="114"/>
    </row>
    <row r="62" spans="1:15" s="84" customFormat="1" x14ac:dyDescent="0.2">
      <c r="A62" s="2505"/>
      <c r="B62" s="187"/>
      <c r="C62" s="138"/>
      <c r="D62" s="160" t="s">
        <v>4557</v>
      </c>
      <c r="E62" s="187"/>
      <c r="F62" s="33"/>
      <c r="G62" s="33"/>
      <c r="H62" s="33"/>
      <c r="I62" s="33"/>
      <c r="J62" s="33"/>
      <c r="K62" s="33"/>
      <c r="L62" s="33"/>
      <c r="M62" s="142"/>
      <c r="N62" s="142"/>
      <c r="O62" s="114"/>
    </row>
    <row r="63" spans="1:15" s="84" customFormat="1" x14ac:dyDescent="0.2">
      <c r="A63" s="2505">
        <v>802000</v>
      </c>
      <c r="B63" s="187"/>
      <c r="C63" s="821" t="s">
        <v>5180</v>
      </c>
      <c r="D63" s="130" t="s">
        <v>5637</v>
      </c>
      <c r="E63" s="187"/>
      <c r="F63" s="33">
        <v>425000</v>
      </c>
      <c r="G63" s="33">
        <v>425000</v>
      </c>
      <c r="H63" s="33"/>
      <c r="I63" s="33"/>
      <c r="J63" s="33"/>
      <c r="K63" s="33"/>
      <c r="L63" s="33"/>
      <c r="M63" s="142"/>
      <c r="N63" s="142"/>
      <c r="O63" s="114"/>
    </row>
    <row r="64" spans="1:15" s="84" customFormat="1" x14ac:dyDescent="0.2">
      <c r="A64" s="2505"/>
      <c r="B64" s="187">
        <v>19900</v>
      </c>
      <c r="C64" s="821" t="s">
        <v>6401</v>
      </c>
      <c r="D64" s="130" t="s">
        <v>6101</v>
      </c>
      <c r="E64" s="187"/>
      <c r="F64" s="33"/>
      <c r="G64" s="33"/>
      <c r="H64" s="33"/>
      <c r="I64" s="33"/>
      <c r="J64" s="33"/>
      <c r="K64" s="33"/>
      <c r="L64" s="33"/>
      <c r="M64" s="142"/>
      <c r="N64" s="142"/>
      <c r="O64" s="114"/>
    </row>
    <row r="65" spans="1:15" s="84" customFormat="1" x14ac:dyDescent="0.2">
      <c r="A65" s="2505">
        <v>270500</v>
      </c>
      <c r="B65" s="187">
        <v>296000</v>
      </c>
      <c r="C65" s="821" t="s">
        <v>4255</v>
      </c>
      <c r="D65" s="130" t="s">
        <v>5620</v>
      </c>
      <c r="E65" s="187"/>
      <c r="F65" s="33"/>
      <c r="G65" s="33"/>
      <c r="H65" s="33"/>
      <c r="I65" s="33"/>
      <c r="J65" s="33"/>
      <c r="K65" s="33"/>
      <c r="L65" s="33"/>
      <c r="M65" s="142"/>
      <c r="N65" s="142"/>
      <c r="O65" s="114"/>
    </row>
    <row r="66" spans="1:15" s="84" customFormat="1" x14ac:dyDescent="0.2">
      <c r="A66" s="2505">
        <v>12100</v>
      </c>
      <c r="B66" s="187"/>
      <c r="C66" s="343"/>
      <c r="D66" s="130" t="s">
        <v>5051</v>
      </c>
      <c r="E66" s="187"/>
      <c r="F66" s="33"/>
      <c r="G66" s="33"/>
      <c r="H66" s="33"/>
      <c r="I66" s="33"/>
      <c r="J66" s="33"/>
      <c r="K66" s="33"/>
      <c r="L66" s="33"/>
      <c r="M66" s="142"/>
      <c r="N66" s="142"/>
      <c r="O66" s="114"/>
    </row>
    <row r="67" spans="1:15" s="84" customFormat="1" x14ac:dyDescent="0.2">
      <c r="A67" s="2505">
        <v>281800</v>
      </c>
      <c r="B67" s="187"/>
      <c r="C67" s="821" t="s">
        <v>3532</v>
      </c>
      <c r="D67" s="130" t="s">
        <v>6879</v>
      </c>
      <c r="E67" s="187"/>
      <c r="F67" s="33"/>
      <c r="G67" s="33"/>
      <c r="H67" s="33"/>
      <c r="I67" s="33"/>
      <c r="J67" s="33"/>
      <c r="K67" s="33"/>
      <c r="L67" s="33"/>
      <c r="M67" s="142"/>
      <c r="N67" s="142"/>
      <c r="O67" s="114"/>
    </row>
    <row r="68" spans="1:15" s="84" customFormat="1" x14ac:dyDescent="0.2">
      <c r="A68" s="2505">
        <v>10000</v>
      </c>
      <c r="B68" s="187"/>
      <c r="C68" s="821" t="s">
        <v>4232</v>
      </c>
      <c r="D68" s="130" t="s">
        <v>6880</v>
      </c>
      <c r="E68" s="187"/>
      <c r="F68" s="33"/>
      <c r="G68" s="33"/>
      <c r="H68" s="33"/>
      <c r="I68" s="33"/>
      <c r="J68" s="33"/>
      <c r="K68" s="33"/>
      <c r="L68" s="33"/>
      <c r="M68" s="142"/>
      <c r="N68" s="142"/>
      <c r="O68" s="114"/>
    </row>
    <row r="69" spans="1:15" s="84" customFormat="1" x14ac:dyDescent="0.2">
      <c r="A69" s="2505">
        <v>22700</v>
      </c>
      <c r="B69" s="187">
        <v>46300</v>
      </c>
      <c r="C69" s="821" t="s">
        <v>5618</v>
      </c>
      <c r="D69" s="130" t="s">
        <v>5639</v>
      </c>
      <c r="E69" s="187"/>
      <c r="F69" s="33"/>
      <c r="G69" s="33"/>
      <c r="H69" s="33"/>
      <c r="I69" s="33"/>
      <c r="J69" s="33"/>
      <c r="K69" s="33"/>
      <c r="L69" s="33"/>
      <c r="M69" s="142"/>
      <c r="N69" s="142"/>
      <c r="O69" s="114"/>
    </row>
    <row r="70" spans="1:15" s="84" customFormat="1" x14ac:dyDescent="0.2">
      <c r="A70" s="2505"/>
      <c r="B70" s="187">
        <v>6600</v>
      </c>
      <c r="C70" s="821" t="s">
        <v>6825</v>
      </c>
      <c r="D70" s="130" t="s">
        <v>6881</v>
      </c>
      <c r="E70" s="187"/>
      <c r="F70" s="33"/>
      <c r="G70" s="33"/>
      <c r="H70" s="33"/>
      <c r="I70" s="33"/>
      <c r="J70" s="33"/>
      <c r="K70" s="33"/>
      <c r="L70" s="33"/>
      <c r="M70" s="142"/>
      <c r="N70" s="142"/>
      <c r="O70" s="114"/>
    </row>
    <row r="71" spans="1:15" s="84" customFormat="1" x14ac:dyDescent="0.2">
      <c r="A71" s="2505"/>
      <c r="B71" s="187">
        <v>49500</v>
      </c>
      <c r="C71" s="821" t="s">
        <v>6146</v>
      </c>
      <c r="D71" s="130" t="s">
        <v>6882</v>
      </c>
      <c r="E71" s="187"/>
      <c r="F71" s="33"/>
      <c r="G71" s="33"/>
      <c r="H71" s="33"/>
      <c r="I71" s="33"/>
      <c r="J71" s="33"/>
      <c r="K71" s="33"/>
      <c r="L71" s="33"/>
      <c r="M71" s="142"/>
      <c r="N71" s="142"/>
      <c r="O71" s="114"/>
    </row>
    <row r="72" spans="1:15" s="84" customFormat="1" x14ac:dyDescent="0.2">
      <c r="A72" s="2505"/>
      <c r="B72" s="187">
        <v>5500</v>
      </c>
      <c r="C72" s="821" t="s">
        <v>6147</v>
      </c>
      <c r="D72" s="130" t="s">
        <v>6149</v>
      </c>
      <c r="E72" s="187"/>
      <c r="F72" s="33"/>
      <c r="G72" s="33"/>
      <c r="H72" s="33"/>
      <c r="I72" s="33"/>
      <c r="J72" s="33"/>
      <c r="K72" s="33"/>
      <c r="L72" s="33"/>
      <c r="M72" s="142"/>
      <c r="N72" s="142"/>
      <c r="O72" s="114"/>
    </row>
    <row r="73" spans="1:15" s="84" customFormat="1" x14ac:dyDescent="0.2">
      <c r="A73" s="2505"/>
      <c r="B73" s="187">
        <v>12600</v>
      </c>
      <c r="C73" s="821" t="s">
        <v>6148</v>
      </c>
      <c r="D73" s="130" t="s">
        <v>6150</v>
      </c>
      <c r="E73" s="187"/>
      <c r="F73" s="33"/>
      <c r="G73" s="33"/>
      <c r="H73" s="33"/>
      <c r="I73" s="33"/>
      <c r="J73" s="33"/>
      <c r="K73" s="33"/>
      <c r="L73" s="33"/>
      <c r="M73" s="142"/>
      <c r="N73" s="142"/>
      <c r="O73" s="114"/>
    </row>
    <row r="74" spans="1:15" s="84" customFormat="1" x14ac:dyDescent="0.2">
      <c r="A74" s="2505"/>
      <c r="B74" s="187">
        <v>13800</v>
      </c>
      <c r="C74" s="821" t="s">
        <v>6144</v>
      </c>
      <c r="D74" s="130" t="s">
        <v>6145</v>
      </c>
      <c r="E74" s="187"/>
      <c r="F74" s="33"/>
      <c r="G74" s="33"/>
      <c r="H74" s="33"/>
      <c r="I74" s="33"/>
      <c r="J74" s="33"/>
      <c r="K74" s="33"/>
      <c r="L74" s="33"/>
      <c r="M74" s="142"/>
      <c r="N74" s="142"/>
      <c r="O74" s="114"/>
    </row>
    <row r="75" spans="1:15" s="84" customFormat="1" x14ac:dyDescent="0.2">
      <c r="A75" s="2505">
        <v>212800</v>
      </c>
      <c r="B75" s="187"/>
      <c r="C75" s="821" t="s">
        <v>3890</v>
      </c>
      <c r="D75" s="130" t="s">
        <v>4216</v>
      </c>
      <c r="E75" s="187"/>
      <c r="F75" s="33"/>
      <c r="G75" s="33"/>
      <c r="H75" s="33"/>
      <c r="I75" s="33"/>
      <c r="J75" s="33"/>
      <c r="K75" s="33"/>
      <c r="L75" s="33"/>
      <c r="M75" s="142"/>
      <c r="N75" s="142"/>
      <c r="O75" s="114"/>
    </row>
    <row r="76" spans="1:15" s="84" customFormat="1" x14ac:dyDescent="0.2">
      <c r="A76" s="2505">
        <v>7900</v>
      </c>
      <c r="B76" s="187"/>
      <c r="C76" s="821" t="s">
        <v>3218</v>
      </c>
      <c r="D76" s="130" t="s">
        <v>4558</v>
      </c>
      <c r="E76" s="187"/>
      <c r="F76" s="33"/>
      <c r="G76" s="33"/>
      <c r="H76" s="33"/>
      <c r="I76" s="33"/>
      <c r="J76" s="33"/>
      <c r="K76" s="33"/>
      <c r="L76" s="33"/>
      <c r="M76" s="142"/>
      <c r="N76" s="142"/>
      <c r="O76" s="114"/>
    </row>
    <row r="77" spans="1:15" s="84" customFormat="1" x14ac:dyDescent="0.2">
      <c r="A77" s="2505"/>
      <c r="B77" s="187"/>
      <c r="C77" s="821"/>
      <c r="D77" s="130"/>
      <c r="E77" s="187"/>
      <c r="F77" s="33"/>
      <c r="G77" s="33"/>
      <c r="H77" s="33"/>
      <c r="I77" s="33"/>
      <c r="J77" s="33"/>
      <c r="K77" s="33"/>
      <c r="L77" s="33"/>
      <c r="M77" s="142"/>
      <c r="N77" s="142"/>
      <c r="O77" s="114"/>
    </row>
    <row r="78" spans="1:15" s="84" customFormat="1" ht="12" customHeight="1" x14ac:dyDescent="0.2">
      <c r="A78" s="2505"/>
      <c r="B78" s="187"/>
      <c r="C78" s="138"/>
      <c r="D78" s="128" t="s">
        <v>2542</v>
      </c>
      <c r="E78" s="187"/>
      <c r="F78" s="33"/>
      <c r="G78" s="33"/>
      <c r="H78" s="33"/>
      <c r="I78" s="33"/>
      <c r="J78" s="33"/>
      <c r="K78" s="33"/>
      <c r="L78" s="33"/>
      <c r="M78" s="142"/>
      <c r="N78" s="142"/>
      <c r="O78" s="114"/>
    </row>
    <row r="79" spans="1:15" s="84" customFormat="1" ht="12.75" customHeight="1" x14ac:dyDescent="0.2">
      <c r="A79" s="2505">
        <v>43500</v>
      </c>
      <c r="B79" s="187"/>
      <c r="C79" s="821" t="s">
        <v>3220</v>
      </c>
      <c r="D79" s="130" t="s">
        <v>3650</v>
      </c>
      <c r="E79" s="187"/>
      <c r="F79" s="33"/>
      <c r="G79" s="33"/>
      <c r="H79" s="33"/>
      <c r="I79" s="33"/>
      <c r="J79" s="33"/>
      <c r="K79" s="33"/>
      <c r="L79" s="33"/>
      <c r="M79" s="142"/>
      <c r="N79" s="142"/>
      <c r="O79" s="114"/>
    </row>
    <row r="80" spans="1:15" s="84" customFormat="1" ht="12.75" customHeight="1" x14ac:dyDescent="0.2">
      <c r="A80" s="2505"/>
      <c r="B80" s="187"/>
      <c r="C80" s="821" t="s">
        <v>6446</v>
      </c>
      <c r="D80" s="130" t="s">
        <v>6847</v>
      </c>
      <c r="E80" s="187">
        <v>225000</v>
      </c>
      <c r="F80" s="33"/>
      <c r="G80" s="33"/>
      <c r="H80" s="33"/>
      <c r="I80" s="33"/>
      <c r="J80" s="33"/>
      <c r="K80" s="33"/>
      <c r="L80" s="33"/>
      <c r="M80" s="142"/>
      <c r="N80" s="142"/>
      <c r="O80" s="114"/>
    </row>
    <row r="81" spans="1:15" s="84" customFormat="1" ht="12.75" customHeight="1" x14ac:dyDescent="0.2">
      <c r="A81" s="2505"/>
      <c r="B81" s="187"/>
      <c r="C81" s="821" t="s">
        <v>6639</v>
      </c>
      <c r="D81" s="130" t="s">
        <v>6640</v>
      </c>
      <c r="E81" s="187">
        <v>30000</v>
      </c>
      <c r="F81" s="33"/>
      <c r="G81" s="33"/>
      <c r="H81" s="33"/>
      <c r="I81" s="33"/>
      <c r="J81" s="33"/>
      <c r="K81" s="33"/>
      <c r="L81" s="33"/>
      <c r="M81" s="142"/>
      <c r="N81" s="142"/>
      <c r="O81" s="114"/>
    </row>
    <row r="82" spans="1:15" s="84" customFormat="1" ht="12.75" customHeight="1" x14ac:dyDescent="0.2">
      <c r="A82" s="2505">
        <v>154500</v>
      </c>
      <c r="B82" s="187"/>
      <c r="C82" s="821" t="s">
        <v>4031</v>
      </c>
      <c r="D82" s="130" t="s">
        <v>3649</v>
      </c>
      <c r="E82" s="187"/>
      <c r="F82" s="33"/>
      <c r="G82" s="33"/>
      <c r="H82" s="33"/>
      <c r="I82" s="33"/>
      <c r="J82" s="33"/>
      <c r="K82" s="33"/>
      <c r="L82" s="33"/>
      <c r="M82" s="142"/>
      <c r="N82" s="142"/>
      <c r="O82" s="114"/>
    </row>
    <row r="83" spans="1:15" s="84" customFormat="1" ht="12.75" customHeight="1" x14ac:dyDescent="0.2">
      <c r="A83" s="2505"/>
      <c r="B83" s="187"/>
      <c r="C83" s="821" t="s">
        <v>6447</v>
      </c>
      <c r="D83" s="130" t="s">
        <v>4924</v>
      </c>
      <c r="E83" s="187">
        <f>35000+15000</f>
        <v>50000</v>
      </c>
      <c r="F83" s="33"/>
      <c r="G83" s="33"/>
      <c r="H83" s="33"/>
      <c r="I83" s="33"/>
      <c r="J83" s="33"/>
      <c r="K83" s="33"/>
      <c r="L83" s="33"/>
      <c r="M83" s="142"/>
      <c r="N83" s="142"/>
      <c r="O83" s="114"/>
    </row>
    <row r="84" spans="1:15" s="84" customFormat="1" ht="12.75" customHeight="1" x14ac:dyDescent="0.2">
      <c r="A84" s="2505"/>
      <c r="B84" s="187"/>
      <c r="C84" s="821" t="s">
        <v>6448</v>
      </c>
      <c r="D84" s="130" t="s">
        <v>4925</v>
      </c>
      <c r="E84" s="187">
        <f>195000+55000</f>
        <v>250000</v>
      </c>
      <c r="F84" s="33"/>
      <c r="G84" s="33"/>
      <c r="H84" s="33"/>
      <c r="I84" s="33"/>
      <c r="J84" s="33"/>
      <c r="K84" s="33"/>
      <c r="L84" s="33"/>
      <c r="M84" s="142"/>
      <c r="N84" s="142"/>
      <c r="O84" s="114"/>
    </row>
    <row r="85" spans="1:15" s="84" customFormat="1" ht="12.75" customHeight="1" x14ac:dyDescent="0.2">
      <c r="A85" s="2505"/>
      <c r="B85" s="187"/>
      <c r="C85" s="821" t="s">
        <v>6449</v>
      </c>
      <c r="D85" s="130" t="s">
        <v>5638</v>
      </c>
      <c r="E85" s="187">
        <f>35000+15000</f>
        <v>50000</v>
      </c>
      <c r="F85" s="33"/>
      <c r="G85" s="33"/>
      <c r="H85" s="33"/>
      <c r="I85" s="33"/>
      <c r="J85" s="33"/>
      <c r="K85" s="33"/>
      <c r="L85" s="33"/>
      <c r="M85" s="142"/>
      <c r="N85" s="142"/>
      <c r="O85" s="114"/>
    </row>
    <row r="86" spans="1:15" s="84" customFormat="1" ht="12.75" customHeight="1" x14ac:dyDescent="0.2">
      <c r="A86" s="2505"/>
      <c r="B86" s="187"/>
      <c r="C86" s="821" t="s">
        <v>6450</v>
      </c>
      <c r="D86" s="130" t="s">
        <v>4926</v>
      </c>
      <c r="E86" s="187">
        <f>84000+16000</f>
        <v>100000</v>
      </c>
      <c r="F86" s="33"/>
      <c r="G86" s="33"/>
      <c r="H86" s="33"/>
      <c r="I86" s="33"/>
      <c r="J86" s="33"/>
      <c r="K86" s="33"/>
      <c r="L86" s="33"/>
      <c r="M86" s="142"/>
      <c r="N86" s="142"/>
      <c r="O86" s="114"/>
    </row>
    <row r="87" spans="1:15" s="84" customFormat="1" ht="12.75" customHeight="1" x14ac:dyDescent="0.2">
      <c r="A87" s="2505"/>
      <c r="B87" s="187"/>
      <c r="C87" s="821" t="s">
        <v>6451</v>
      </c>
      <c r="D87" s="130" t="s">
        <v>4927</v>
      </c>
      <c r="E87" s="187">
        <v>40000</v>
      </c>
      <c r="F87" s="33"/>
      <c r="G87" s="33"/>
      <c r="H87" s="33"/>
      <c r="I87" s="33"/>
      <c r="J87" s="33"/>
      <c r="K87" s="33"/>
      <c r="L87" s="33"/>
      <c r="M87" s="142"/>
      <c r="N87" s="142"/>
      <c r="O87" s="114"/>
    </row>
    <row r="88" spans="1:15" s="84" customFormat="1" ht="12.75" customHeight="1" x14ac:dyDescent="0.2">
      <c r="A88" s="2505"/>
      <c r="B88" s="187"/>
      <c r="C88" s="821" t="s">
        <v>6452</v>
      </c>
      <c r="D88" s="130" t="s">
        <v>4928</v>
      </c>
      <c r="E88" s="187">
        <f>55000+20000</f>
        <v>75000</v>
      </c>
      <c r="F88" s="33"/>
      <c r="G88" s="33"/>
      <c r="H88" s="33"/>
      <c r="I88" s="33"/>
      <c r="J88" s="33"/>
      <c r="K88" s="33"/>
      <c r="L88" s="33"/>
      <c r="M88" s="142"/>
      <c r="N88" s="142"/>
      <c r="O88" s="114"/>
    </row>
    <row r="89" spans="1:15" s="84" customFormat="1" ht="12.75" customHeight="1" x14ac:dyDescent="0.2">
      <c r="A89" s="2505"/>
      <c r="B89" s="187"/>
      <c r="C89" s="821" t="s">
        <v>6152</v>
      </c>
      <c r="D89" s="130" t="s">
        <v>4929</v>
      </c>
      <c r="E89" s="187"/>
      <c r="F89" s="33">
        <v>125000</v>
      </c>
      <c r="G89" s="33"/>
      <c r="H89" s="33"/>
      <c r="I89" s="33"/>
      <c r="J89" s="33"/>
      <c r="K89" s="33"/>
      <c r="L89" s="33"/>
      <c r="M89" s="142"/>
      <c r="N89" s="142"/>
      <c r="O89" s="114"/>
    </row>
    <row r="90" spans="1:15" s="84" customFormat="1" ht="12.75" customHeight="1" x14ac:dyDescent="0.2">
      <c r="A90" s="2505"/>
      <c r="B90" s="187"/>
      <c r="C90" s="821"/>
      <c r="D90" s="130"/>
      <c r="E90" s="187"/>
      <c r="F90" s="33"/>
      <c r="G90" s="33"/>
      <c r="H90" s="33"/>
      <c r="I90" s="33"/>
      <c r="J90" s="33"/>
      <c r="K90" s="33"/>
      <c r="L90" s="33"/>
      <c r="M90" s="142"/>
      <c r="N90" s="142"/>
      <c r="O90" s="114"/>
    </row>
    <row r="91" spans="1:15" s="84" customFormat="1" x14ac:dyDescent="0.2">
      <c r="A91" s="2505"/>
      <c r="B91" s="187"/>
      <c r="C91" s="138"/>
      <c r="D91" s="160" t="s">
        <v>3939</v>
      </c>
      <c r="E91" s="187"/>
      <c r="F91" s="33"/>
      <c r="G91" s="33"/>
      <c r="H91" s="33"/>
      <c r="I91" s="33"/>
      <c r="J91" s="33"/>
      <c r="K91" s="33"/>
      <c r="L91" s="33"/>
      <c r="M91" s="142"/>
      <c r="N91" s="142"/>
      <c r="O91" s="114"/>
    </row>
    <row r="92" spans="1:15" s="84" customFormat="1" ht="12.75" customHeight="1" x14ac:dyDescent="0.2">
      <c r="A92" s="2505"/>
      <c r="B92" s="187"/>
      <c r="C92" s="821" t="s">
        <v>6453</v>
      </c>
      <c r="D92" s="130" t="s">
        <v>6531</v>
      </c>
      <c r="E92" s="187">
        <v>60000</v>
      </c>
      <c r="F92" s="33"/>
      <c r="G92" s="33"/>
      <c r="H92" s="33"/>
      <c r="I92" s="33"/>
      <c r="J92" s="33"/>
      <c r="K92" s="33"/>
      <c r="L92" s="33"/>
      <c r="M92" s="142"/>
      <c r="N92" s="142"/>
      <c r="O92" s="114"/>
    </row>
    <row r="93" spans="1:15" s="84" customFormat="1" ht="12.75" customHeight="1" x14ac:dyDescent="0.2">
      <c r="A93" s="2505"/>
      <c r="B93" s="187"/>
      <c r="C93" s="821"/>
      <c r="D93" s="130"/>
      <c r="E93" s="187"/>
      <c r="F93" s="33"/>
      <c r="G93" s="33"/>
      <c r="H93" s="33"/>
      <c r="I93" s="33"/>
      <c r="J93" s="33"/>
      <c r="K93" s="33"/>
      <c r="L93" s="33"/>
      <c r="M93" s="142"/>
      <c r="N93" s="142"/>
      <c r="O93" s="114"/>
    </row>
    <row r="94" spans="1:15" s="84" customFormat="1" x14ac:dyDescent="0.2">
      <c r="A94" s="2505"/>
      <c r="B94" s="187"/>
      <c r="C94" s="138"/>
      <c r="D94" s="160" t="s">
        <v>3687</v>
      </c>
      <c r="E94" s="187"/>
      <c r="F94" s="33"/>
      <c r="G94" s="33"/>
      <c r="H94" s="33"/>
      <c r="I94" s="33"/>
      <c r="J94" s="33"/>
      <c r="K94" s="33"/>
      <c r="L94" s="33"/>
      <c r="M94" s="142"/>
      <c r="N94" s="142"/>
      <c r="O94" s="114"/>
    </row>
    <row r="95" spans="1:15" s="84" customFormat="1" ht="12.75" customHeight="1" x14ac:dyDescent="0.2">
      <c r="A95" s="2505">
        <v>25000</v>
      </c>
      <c r="B95" s="187"/>
      <c r="C95" s="821" t="s">
        <v>7108</v>
      </c>
      <c r="D95" s="130" t="s">
        <v>7109</v>
      </c>
      <c r="E95" s="187">
        <v>20000</v>
      </c>
      <c r="F95" s="33"/>
      <c r="G95" s="33"/>
      <c r="H95" s="33"/>
      <c r="I95" s="33"/>
      <c r="J95" s="33"/>
      <c r="K95" s="33"/>
      <c r="L95" s="33"/>
      <c r="M95" s="142"/>
      <c r="N95" s="142"/>
      <c r="O95" s="114"/>
    </row>
    <row r="96" spans="1:15" s="84" customFormat="1" ht="12.75" customHeight="1" x14ac:dyDescent="0.2">
      <c r="A96" s="2505"/>
      <c r="B96" s="187"/>
      <c r="C96" s="821"/>
      <c r="D96" s="130"/>
      <c r="E96" s="187"/>
      <c r="F96" s="33"/>
      <c r="G96" s="33"/>
      <c r="H96" s="33"/>
      <c r="I96" s="33"/>
      <c r="J96" s="33"/>
      <c r="K96" s="33"/>
      <c r="L96" s="33"/>
      <c r="M96" s="142"/>
      <c r="N96" s="142"/>
      <c r="O96" s="114"/>
    </row>
    <row r="97" spans="1:15" s="84" customFormat="1" x14ac:dyDescent="0.2">
      <c r="A97" s="2505"/>
      <c r="B97" s="187"/>
      <c r="C97" s="343"/>
      <c r="D97" s="160" t="s">
        <v>541</v>
      </c>
      <c r="E97" s="187"/>
      <c r="F97" s="33"/>
      <c r="G97" s="33"/>
      <c r="H97" s="33"/>
      <c r="I97" s="33"/>
      <c r="J97" s="33"/>
      <c r="K97" s="33"/>
      <c r="L97" s="33"/>
      <c r="M97" s="142"/>
      <c r="N97" s="142"/>
      <c r="O97" s="114"/>
    </row>
    <row r="98" spans="1:15" s="84" customFormat="1" x14ac:dyDescent="0.2">
      <c r="A98" s="2505">
        <v>-500</v>
      </c>
      <c r="B98" s="187"/>
      <c r="C98" s="821" t="s">
        <v>3597</v>
      </c>
      <c r="D98" s="130" t="s">
        <v>4501</v>
      </c>
      <c r="E98" s="187"/>
      <c r="F98" s="33"/>
      <c r="G98" s="33"/>
      <c r="H98" s="33"/>
      <c r="I98" s="33"/>
      <c r="J98" s="33"/>
      <c r="K98" s="33"/>
      <c r="L98" s="33"/>
      <c r="M98" s="142"/>
      <c r="N98" s="142"/>
      <c r="O98" s="114"/>
    </row>
    <row r="99" spans="1:15" s="84" customFormat="1" ht="13.5" thickBot="1" x14ac:dyDescent="0.25">
      <c r="A99" s="2505"/>
      <c r="B99" s="187"/>
      <c r="C99" s="2219"/>
      <c r="D99" s="130"/>
      <c r="E99" s="187"/>
      <c r="F99" s="33"/>
      <c r="G99" s="33"/>
      <c r="H99" s="33"/>
      <c r="I99" s="33"/>
      <c r="J99" s="33"/>
      <c r="K99" s="33"/>
      <c r="L99" s="33"/>
      <c r="M99" s="142"/>
      <c r="N99" s="142"/>
      <c r="O99" s="114"/>
    </row>
    <row r="100" spans="1:15" s="92" customFormat="1" x14ac:dyDescent="0.2">
      <c r="A100" s="2623">
        <f>SUM(A4:A98)</f>
        <v>4752500</v>
      </c>
      <c r="B100" s="199">
        <f>SUM(B4:B98)</f>
        <v>8258000</v>
      </c>
      <c r="C100" s="955"/>
      <c r="D100" s="373" t="s">
        <v>2799</v>
      </c>
      <c r="E100" s="199">
        <f t="shared" ref="E100:O100" si="2">SUM(E4:E98)</f>
        <v>7464700</v>
      </c>
      <c r="F100" s="53">
        <f t="shared" si="2"/>
        <v>9274500</v>
      </c>
      <c r="G100" s="53">
        <f t="shared" si="2"/>
        <v>709100</v>
      </c>
      <c r="H100" s="53">
        <f t="shared" si="2"/>
        <v>286300</v>
      </c>
      <c r="I100" s="53">
        <f t="shared" si="2"/>
        <v>114700</v>
      </c>
      <c r="J100" s="53">
        <f t="shared" si="2"/>
        <v>116700</v>
      </c>
      <c r="K100" s="53">
        <f t="shared" si="2"/>
        <v>118700</v>
      </c>
      <c r="L100" s="53">
        <f t="shared" si="2"/>
        <v>120700</v>
      </c>
      <c r="M100" s="155">
        <f t="shared" si="2"/>
        <v>122700</v>
      </c>
      <c r="N100" s="155">
        <f t="shared" si="2"/>
        <v>124700</v>
      </c>
      <c r="O100" s="113">
        <f t="shared" si="2"/>
        <v>126900</v>
      </c>
    </row>
    <row r="101" spans="1:15" s="84" customFormat="1" ht="13.5" thickBot="1" x14ac:dyDescent="0.25">
      <c r="A101" s="2624"/>
      <c r="B101" s="200"/>
      <c r="C101" s="1975"/>
      <c r="D101" s="368"/>
      <c r="E101" s="200"/>
      <c r="F101" s="66"/>
      <c r="G101" s="66"/>
      <c r="H101" s="66"/>
      <c r="I101" s="66"/>
      <c r="J101" s="66"/>
      <c r="K101" s="66"/>
      <c r="L101" s="66"/>
      <c r="M101" s="166"/>
      <c r="N101" s="166"/>
      <c r="O101" s="165"/>
    </row>
    <row r="102" spans="1:15" s="84" customFormat="1" ht="14.25" thickTop="1" thickBot="1" x14ac:dyDescent="0.25">
      <c r="A102" s="197"/>
      <c r="B102" s="197"/>
      <c r="C102" s="238"/>
      <c r="D102" s="137"/>
      <c r="E102" s="197"/>
      <c r="F102" s="99"/>
      <c r="G102" s="99"/>
      <c r="H102" s="99"/>
      <c r="I102" s="99"/>
      <c r="J102" s="99"/>
      <c r="K102" s="99"/>
      <c r="L102" s="99"/>
      <c r="M102" s="99"/>
      <c r="N102" s="99"/>
      <c r="O102" s="99"/>
    </row>
    <row r="103" spans="1:15" s="91" customFormat="1" ht="18.75" customHeight="1" thickTop="1" thickBot="1" x14ac:dyDescent="0.3">
      <c r="A103" s="2873" t="s">
        <v>261</v>
      </c>
      <c r="B103" s="2874"/>
      <c r="C103" s="2874"/>
      <c r="D103" s="2874"/>
      <c r="E103" s="2874"/>
      <c r="F103" s="2874"/>
      <c r="G103" s="2874"/>
      <c r="H103" s="2874"/>
      <c r="I103" s="2874"/>
      <c r="J103" s="2874"/>
      <c r="K103" s="2874"/>
      <c r="L103" s="2874"/>
      <c r="M103" s="2874"/>
      <c r="N103" s="2874"/>
      <c r="O103" s="2875"/>
    </row>
    <row r="104" spans="1:15" s="44" customFormat="1" x14ac:dyDescent="0.2">
      <c r="A104" s="2888" t="s">
        <v>1856</v>
      </c>
      <c r="B104" s="2890"/>
      <c r="C104" s="1329" t="s">
        <v>2663</v>
      </c>
      <c r="D104" s="369" t="str">
        <f>$D$2</f>
        <v>BUDGET ITEMS</v>
      </c>
      <c r="E104" s="2883" t="str">
        <f>E2</f>
        <v>ESTIMATED</v>
      </c>
      <c r="F104" s="2846"/>
      <c r="G104" s="2846"/>
      <c r="H104" s="2846"/>
      <c r="I104" s="2846"/>
      <c r="J104" s="2846"/>
      <c r="K104" s="2846"/>
      <c r="L104" s="2846"/>
      <c r="M104" s="2846"/>
      <c r="N104" s="2846"/>
      <c r="O104" s="2884"/>
    </row>
    <row r="105" spans="1:15" s="23" customFormat="1" ht="12.75" customHeight="1" thickBot="1" x14ac:dyDescent="0.25">
      <c r="A105" s="2620" t="str">
        <f>A3</f>
        <v>2014/15</v>
      </c>
      <c r="B105" s="93" t="str">
        <f>B3</f>
        <v>2015/16</v>
      </c>
      <c r="C105" s="501" t="str">
        <f>C3</f>
        <v>ACCOUNT</v>
      </c>
      <c r="D105" s="34"/>
      <c r="E105" s="2192" t="str">
        <f>E3</f>
        <v>2016/17</v>
      </c>
      <c r="F105" s="370" t="str">
        <f t="shared" ref="F105:O105" si="3">F3</f>
        <v>2017/18</v>
      </c>
      <c r="G105" s="370" t="str">
        <f t="shared" si="3"/>
        <v>2018/19</v>
      </c>
      <c r="H105" s="370" t="str">
        <f t="shared" si="3"/>
        <v>2019/20</v>
      </c>
      <c r="I105" s="370" t="str">
        <f t="shared" si="3"/>
        <v>2020/21</v>
      </c>
      <c r="J105" s="370" t="str">
        <f t="shared" si="3"/>
        <v>2021/22</v>
      </c>
      <c r="K105" s="370" t="str">
        <f t="shared" si="3"/>
        <v>2022/23</v>
      </c>
      <c r="L105" s="370" t="str">
        <f t="shared" si="3"/>
        <v>2023/24</v>
      </c>
      <c r="M105" s="381" t="str">
        <f t="shared" si="3"/>
        <v>2024/25</v>
      </c>
      <c r="N105" s="218" t="str">
        <f t="shared" si="3"/>
        <v>2025/26</v>
      </c>
      <c r="O105" s="549" t="str">
        <f t="shared" si="3"/>
        <v>2026/27</v>
      </c>
    </row>
    <row r="106" spans="1:15" s="23" customFormat="1" ht="12.75" customHeight="1" x14ac:dyDescent="0.2">
      <c r="A106" s="727"/>
      <c r="B106" s="204"/>
      <c r="C106" s="593"/>
      <c r="D106" s="21"/>
      <c r="E106" s="206"/>
      <c r="F106" s="529"/>
      <c r="G106" s="529"/>
      <c r="H106" s="529"/>
      <c r="I106" s="529"/>
      <c r="J106" s="529"/>
      <c r="K106" s="529"/>
      <c r="L106" s="529"/>
      <c r="M106" s="531"/>
      <c r="N106" s="529"/>
      <c r="O106" s="530"/>
    </row>
    <row r="107" spans="1:15" s="84" customFormat="1" x14ac:dyDescent="0.2">
      <c r="A107" s="2505"/>
      <c r="B107" s="187"/>
      <c r="C107" s="240"/>
      <c r="D107" s="64" t="s">
        <v>2831</v>
      </c>
      <c r="E107" s="189"/>
      <c r="F107" s="33"/>
      <c r="G107" s="33"/>
      <c r="H107" s="33"/>
      <c r="I107" s="33"/>
      <c r="J107" s="33"/>
      <c r="K107" s="33"/>
      <c r="L107" s="33"/>
      <c r="M107" s="142"/>
      <c r="N107" s="33"/>
      <c r="O107" s="114"/>
    </row>
    <row r="108" spans="1:15" s="84" customFormat="1" x14ac:dyDescent="0.2">
      <c r="A108" s="608"/>
      <c r="B108" s="150">
        <v>910100</v>
      </c>
      <c r="C108" s="821" t="s">
        <v>1058</v>
      </c>
      <c r="D108" s="132" t="s">
        <v>4504</v>
      </c>
      <c r="E108" s="152"/>
      <c r="F108" s="150"/>
      <c r="G108" s="150">
        <v>1350000</v>
      </c>
      <c r="H108" s="150">
        <f>G108</f>
        <v>1350000</v>
      </c>
      <c r="I108" s="150"/>
      <c r="J108" s="150"/>
      <c r="K108" s="150"/>
      <c r="L108" s="150"/>
      <c r="M108" s="152"/>
      <c r="N108" s="150"/>
      <c r="O108" s="1058"/>
    </row>
    <row r="109" spans="1:15" s="84" customFormat="1" x14ac:dyDescent="0.2">
      <c r="A109" s="608">
        <v>261800</v>
      </c>
      <c r="B109" s="150">
        <v>750100</v>
      </c>
      <c r="C109" s="821" t="s">
        <v>6454</v>
      </c>
      <c r="D109" s="132" t="s">
        <v>4503</v>
      </c>
      <c r="E109" s="152">
        <v>725000</v>
      </c>
      <c r="F109" s="150"/>
      <c r="G109" s="150">
        <v>1325000</v>
      </c>
      <c r="H109" s="150">
        <f t="shared" ref="H109:O109" si="4">G109</f>
        <v>1325000</v>
      </c>
      <c r="I109" s="150">
        <v>600000</v>
      </c>
      <c r="J109" s="150">
        <f t="shared" si="4"/>
        <v>600000</v>
      </c>
      <c r="K109" s="150">
        <f t="shared" si="4"/>
        <v>600000</v>
      </c>
      <c r="L109" s="150">
        <f t="shared" si="4"/>
        <v>600000</v>
      </c>
      <c r="M109" s="152">
        <f t="shared" si="4"/>
        <v>600000</v>
      </c>
      <c r="N109" s="150">
        <f t="shared" si="4"/>
        <v>600000</v>
      </c>
      <c r="O109" s="1058">
        <f t="shared" si="4"/>
        <v>600000</v>
      </c>
    </row>
    <row r="110" spans="1:15" s="92" customFormat="1" x14ac:dyDescent="0.2">
      <c r="A110" s="2627">
        <f>SUBTOTAL(9,A107:A109)</f>
        <v>261800</v>
      </c>
      <c r="B110" s="880">
        <f>SUBTOTAL(9,B107:B109)</f>
        <v>1660200</v>
      </c>
      <c r="C110" s="532"/>
      <c r="D110" s="397" t="s">
        <v>57</v>
      </c>
      <c r="E110" s="650">
        <f t="shared" ref="E110:N110" si="5">SUBTOTAL(9,E107:E109)</f>
        <v>725000</v>
      </c>
      <c r="F110" s="880">
        <f t="shared" si="5"/>
        <v>0</v>
      </c>
      <c r="G110" s="880">
        <f t="shared" si="5"/>
        <v>2675000</v>
      </c>
      <c r="H110" s="880">
        <f t="shared" si="5"/>
        <v>2675000</v>
      </c>
      <c r="I110" s="880">
        <f t="shared" si="5"/>
        <v>600000</v>
      </c>
      <c r="J110" s="880">
        <f t="shared" si="5"/>
        <v>600000</v>
      </c>
      <c r="K110" s="880">
        <f t="shared" si="5"/>
        <v>600000</v>
      </c>
      <c r="L110" s="880">
        <f t="shared" si="5"/>
        <v>600000</v>
      </c>
      <c r="M110" s="650">
        <f t="shared" si="5"/>
        <v>600000</v>
      </c>
      <c r="N110" s="880">
        <f t="shared" si="5"/>
        <v>600000</v>
      </c>
      <c r="O110" s="1384">
        <f t="shared" ref="O110" si="6">SUBTOTAL(9,O107:O109)</f>
        <v>600000</v>
      </c>
    </row>
    <row r="111" spans="1:15" s="84" customFormat="1" x14ac:dyDescent="0.2">
      <c r="A111" s="608"/>
      <c r="B111" s="150"/>
      <c r="C111" s="343"/>
      <c r="D111" s="33"/>
      <c r="E111" s="152"/>
      <c r="F111" s="150"/>
      <c r="G111" s="150"/>
      <c r="H111" s="150"/>
      <c r="I111" s="150"/>
      <c r="J111" s="150"/>
      <c r="K111" s="150"/>
      <c r="L111" s="150"/>
      <c r="M111" s="152"/>
      <c r="N111" s="150"/>
      <c r="O111" s="1058"/>
    </row>
    <row r="112" spans="1:15" s="84" customFormat="1" x14ac:dyDescent="0.2">
      <c r="A112" s="608"/>
      <c r="B112" s="150"/>
      <c r="C112" s="138"/>
      <c r="D112" s="64" t="s">
        <v>2830</v>
      </c>
      <c r="E112" s="152"/>
      <c r="F112" s="150"/>
      <c r="G112" s="150"/>
      <c r="H112" s="150"/>
      <c r="I112" s="150"/>
      <c r="J112" s="150"/>
      <c r="K112" s="150"/>
      <c r="L112" s="150"/>
      <c r="M112" s="152"/>
      <c r="N112" s="150"/>
      <c r="O112" s="1058"/>
    </row>
    <row r="113" spans="1:15" s="84" customFormat="1" x14ac:dyDescent="0.2">
      <c r="A113" s="608"/>
      <c r="B113" s="150"/>
      <c r="C113" s="343"/>
      <c r="D113" s="132" t="s">
        <v>4504</v>
      </c>
      <c r="E113" s="152"/>
      <c r="F113" s="150">
        <v>1000000</v>
      </c>
      <c r="G113" s="150"/>
      <c r="H113" s="150"/>
      <c r="I113" s="150"/>
      <c r="J113" s="150"/>
      <c r="K113" s="150"/>
      <c r="L113" s="150"/>
      <c r="M113" s="152"/>
      <c r="N113" s="150"/>
      <c r="O113" s="1058"/>
    </row>
    <row r="114" spans="1:15" s="84" customFormat="1" x14ac:dyDescent="0.2">
      <c r="A114" s="608"/>
      <c r="B114" s="150"/>
      <c r="C114" s="821" t="s">
        <v>6641</v>
      </c>
      <c r="D114" s="132" t="s">
        <v>4505</v>
      </c>
      <c r="E114" s="152">
        <v>225000</v>
      </c>
      <c r="F114" s="150"/>
      <c r="G114" s="150"/>
      <c r="H114" s="150">
        <f>G114</f>
        <v>0</v>
      </c>
      <c r="I114" s="150">
        <v>360000</v>
      </c>
      <c r="J114" s="150">
        <f t="shared" ref="J114:O114" si="7">I114</f>
        <v>360000</v>
      </c>
      <c r="K114" s="150">
        <f t="shared" si="7"/>
        <v>360000</v>
      </c>
      <c r="L114" s="150">
        <f t="shared" si="7"/>
        <v>360000</v>
      </c>
      <c r="M114" s="152">
        <f t="shared" si="7"/>
        <v>360000</v>
      </c>
      <c r="N114" s="150">
        <f t="shared" si="7"/>
        <v>360000</v>
      </c>
      <c r="O114" s="1058">
        <f t="shared" si="7"/>
        <v>360000</v>
      </c>
    </row>
    <row r="115" spans="1:15" s="23" customFormat="1" ht="12.75" customHeight="1" x14ac:dyDescent="0.2">
      <c r="A115" s="2621"/>
      <c r="B115" s="1224"/>
      <c r="C115" s="593"/>
      <c r="D115" s="24" t="s">
        <v>5981</v>
      </c>
      <c r="E115" s="2022"/>
      <c r="F115" s="892">
        <v>1300000</v>
      </c>
      <c r="G115" s="1385"/>
      <c r="H115" s="1385"/>
      <c r="I115" s="1385"/>
      <c r="J115" s="1385"/>
      <c r="K115" s="1385"/>
      <c r="L115" s="1385"/>
      <c r="M115" s="2152"/>
      <c r="N115" s="1385"/>
      <c r="O115" s="1386"/>
    </row>
    <row r="116" spans="1:15" s="92" customFormat="1" x14ac:dyDescent="0.2">
      <c r="A116" s="2627">
        <f>SUBTOTAL(9,A112:A115)</f>
        <v>0</v>
      </c>
      <c r="B116" s="880">
        <f>SUBTOTAL(9,B112:B115)</f>
        <v>0</v>
      </c>
      <c r="C116" s="532"/>
      <c r="D116" s="397" t="s">
        <v>58</v>
      </c>
      <c r="E116" s="650">
        <f t="shared" ref="E116:N116" si="8">SUBTOTAL(9,E112:E115)</f>
        <v>225000</v>
      </c>
      <c r="F116" s="880">
        <f t="shared" si="8"/>
        <v>2300000</v>
      </c>
      <c r="G116" s="880">
        <f t="shared" si="8"/>
        <v>0</v>
      </c>
      <c r="H116" s="880">
        <f t="shared" si="8"/>
        <v>0</v>
      </c>
      <c r="I116" s="880">
        <f t="shared" si="8"/>
        <v>360000</v>
      </c>
      <c r="J116" s="880">
        <f t="shared" si="8"/>
        <v>360000</v>
      </c>
      <c r="K116" s="880">
        <f t="shared" si="8"/>
        <v>360000</v>
      </c>
      <c r="L116" s="880">
        <f t="shared" si="8"/>
        <v>360000</v>
      </c>
      <c r="M116" s="650">
        <f t="shared" si="8"/>
        <v>360000</v>
      </c>
      <c r="N116" s="880">
        <f t="shared" si="8"/>
        <v>360000</v>
      </c>
      <c r="O116" s="1384">
        <f t="shared" ref="O116" si="9">SUBTOTAL(9,O112:O115)</f>
        <v>360000</v>
      </c>
    </row>
    <row r="117" spans="1:15" s="92" customFormat="1" x14ac:dyDescent="0.2">
      <c r="A117" s="611"/>
      <c r="B117" s="156"/>
      <c r="C117" s="246"/>
      <c r="D117" s="64"/>
      <c r="E117" s="382"/>
      <c r="F117" s="156"/>
      <c r="G117" s="156"/>
      <c r="H117" s="156"/>
      <c r="I117" s="156"/>
      <c r="J117" s="156"/>
      <c r="K117" s="156"/>
      <c r="L117" s="156"/>
      <c r="M117" s="382"/>
      <c r="N117" s="156"/>
      <c r="O117" s="1023"/>
    </row>
    <row r="118" spans="1:15" s="23" customFormat="1" ht="12.75" customHeight="1" x14ac:dyDescent="0.2">
      <c r="A118" s="2628"/>
      <c r="B118" s="1886"/>
      <c r="C118" s="593"/>
      <c r="D118" s="62" t="s">
        <v>1771</v>
      </c>
      <c r="E118" s="2618"/>
      <c r="F118" s="1385"/>
      <c r="G118" s="1385"/>
      <c r="H118" s="1385"/>
      <c r="I118" s="1385"/>
      <c r="J118" s="1385"/>
      <c r="K118" s="1385"/>
      <c r="L118" s="1385"/>
      <c r="M118" s="2152"/>
      <c r="N118" s="1385"/>
      <c r="O118" s="1386"/>
    </row>
    <row r="119" spans="1:15" s="23" customFormat="1" ht="12.75" customHeight="1" x14ac:dyDescent="0.2">
      <c r="A119" s="2621">
        <v>195300</v>
      </c>
      <c r="B119" s="1224"/>
      <c r="C119" s="1472" t="s">
        <v>4032</v>
      </c>
      <c r="D119" s="24" t="s">
        <v>4502</v>
      </c>
      <c r="E119" s="2022"/>
      <c r="F119" s="892"/>
      <c r="G119" s="1385"/>
      <c r="H119" s="1385"/>
      <c r="I119" s="1385"/>
      <c r="J119" s="1385"/>
      <c r="K119" s="1385"/>
      <c r="L119" s="1385"/>
      <c r="M119" s="2152"/>
      <c r="N119" s="1385"/>
      <c r="O119" s="1386"/>
    </row>
    <row r="120" spans="1:15" s="23" customFormat="1" ht="12.75" customHeight="1" x14ac:dyDescent="0.2">
      <c r="A120" s="2621">
        <v>2249600</v>
      </c>
      <c r="B120" s="1224">
        <v>175600</v>
      </c>
      <c r="C120" s="1472" t="s">
        <v>6455</v>
      </c>
      <c r="D120" s="24" t="s">
        <v>496</v>
      </c>
      <c r="E120" s="2022">
        <v>1800000</v>
      </c>
      <c r="F120" s="1224">
        <f>1800000+416000</f>
        <v>2216000</v>
      </c>
      <c r="G120" s="892">
        <v>1800000</v>
      </c>
      <c r="H120" s="892">
        <v>1800000</v>
      </c>
      <c r="I120" s="892">
        <v>1800000</v>
      </c>
      <c r="J120" s="892">
        <v>400000</v>
      </c>
      <c r="K120" s="892"/>
      <c r="L120" s="892"/>
      <c r="M120" s="2153"/>
      <c r="N120" s="892"/>
      <c r="O120" s="1107"/>
    </row>
    <row r="121" spans="1:15" s="23" customFormat="1" ht="12.75" customHeight="1" x14ac:dyDescent="0.2">
      <c r="A121" s="2621">
        <v>33700</v>
      </c>
      <c r="B121" s="1224"/>
      <c r="C121" s="1472"/>
      <c r="D121" s="24" t="s">
        <v>5643</v>
      </c>
      <c r="E121" s="2022"/>
      <c r="F121" s="892"/>
      <c r="G121" s="892"/>
      <c r="H121" s="892"/>
      <c r="I121" s="892"/>
      <c r="J121" s="892"/>
      <c r="K121" s="892"/>
      <c r="L121" s="892"/>
      <c r="M121" s="2153"/>
      <c r="N121" s="892"/>
      <c r="O121" s="1107"/>
    </row>
    <row r="122" spans="1:15" s="23" customFormat="1" ht="12.75" customHeight="1" x14ac:dyDescent="0.2">
      <c r="A122" s="2621"/>
      <c r="B122" s="1224"/>
      <c r="C122" s="1472"/>
      <c r="D122" s="24" t="s">
        <v>6600</v>
      </c>
      <c r="E122" s="2022">
        <f>200000-17600</f>
        <v>182400</v>
      </c>
      <c r="F122" s="892"/>
      <c r="G122" s="892"/>
      <c r="H122" s="892"/>
      <c r="I122" s="892"/>
      <c r="J122" s="892"/>
      <c r="K122" s="892"/>
      <c r="L122" s="892"/>
      <c r="M122" s="2153"/>
      <c r="N122" s="892"/>
      <c r="O122" s="1107"/>
    </row>
    <row r="123" spans="1:15" s="23" customFormat="1" ht="12.75" customHeight="1" x14ac:dyDescent="0.2">
      <c r="A123" s="2621"/>
      <c r="B123" s="1224"/>
      <c r="C123" s="1472" t="s">
        <v>6456</v>
      </c>
      <c r="D123" s="24" t="s">
        <v>5980</v>
      </c>
      <c r="E123" s="2022">
        <v>2500000</v>
      </c>
      <c r="F123" s="892"/>
      <c r="G123" s="892"/>
      <c r="H123" s="892"/>
      <c r="I123" s="892"/>
      <c r="J123" s="892"/>
      <c r="K123" s="892"/>
      <c r="L123" s="892"/>
      <c r="M123" s="2153"/>
      <c r="N123" s="892"/>
      <c r="O123" s="1107"/>
    </row>
    <row r="124" spans="1:15" s="23" customFormat="1" ht="12.75" customHeight="1" x14ac:dyDescent="0.2">
      <c r="A124" s="2621"/>
      <c r="B124" s="1224"/>
      <c r="C124" s="1472"/>
      <c r="D124" s="24" t="s">
        <v>6890</v>
      </c>
      <c r="E124" s="2022"/>
      <c r="F124" s="892"/>
      <c r="G124" s="892"/>
      <c r="H124" s="892"/>
      <c r="I124" s="892">
        <v>3000000</v>
      </c>
      <c r="J124" s="892"/>
      <c r="K124" s="892"/>
      <c r="L124" s="892"/>
      <c r="M124" s="2153"/>
      <c r="N124" s="892"/>
      <c r="O124" s="1107"/>
    </row>
    <row r="125" spans="1:15" s="23" customFormat="1" ht="12.75" customHeight="1" x14ac:dyDescent="0.2">
      <c r="A125" s="2621"/>
      <c r="B125" s="1224">
        <v>450600</v>
      </c>
      <c r="C125" s="1472" t="s">
        <v>5966</v>
      </c>
      <c r="D125" s="24" t="s">
        <v>5970</v>
      </c>
      <c r="E125" s="2022"/>
      <c r="F125" s="892"/>
      <c r="G125" s="892"/>
      <c r="H125" s="892"/>
      <c r="I125" s="892"/>
      <c r="J125" s="892"/>
      <c r="K125" s="892"/>
      <c r="L125" s="892"/>
      <c r="M125" s="2153"/>
      <c r="N125" s="892"/>
      <c r="O125" s="1107"/>
    </row>
    <row r="126" spans="1:15" s="23" customFormat="1" ht="12.75" customHeight="1" x14ac:dyDescent="0.2">
      <c r="A126" s="2621">
        <v>69400</v>
      </c>
      <c r="B126" s="1224"/>
      <c r="C126" s="1474" t="s">
        <v>4152</v>
      </c>
      <c r="D126" s="132" t="s">
        <v>5971</v>
      </c>
      <c r="E126" s="2022"/>
      <c r="F126" s="1224"/>
      <c r="G126" s="1224"/>
      <c r="H126" s="1224"/>
      <c r="I126" s="1224"/>
      <c r="J126" s="1224"/>
      <c r="K126" s="1224"/>
      <c r="L126" s="1224"/>
      <c r="M126" s="2022"/>
      <c r="N126" s="1224"/>
      <c r="O126" s="1475"/>
    </row>
    <row r="127" spans="1:15" s="92" customFormat="1" x14ac:dyDescent="0.2">
      <c r="A127" s="2627">
        <f>SUBTOTAL(9,A119:A126)</f>
        <v>2548000</v>
      </c>
      <c r="B127" s="880">
        <f>SUBTOTAL(9,B119:B126)</f>
        <v>626200</v>
      </c>
      <c r="C127" s="532"/>
      <c r="D127" s="397" t="s">
        <v>1979</v>
      </c>
      <c r="E127" s="650">
        <f t="shared" ref="E127:N127" si="10">SUBTOTAL(9,E119:E126)</f>
        <v>4482400</v>
      </c>
      <c r="F127" s="880">
        <f t="shared" si="10"/>
        <v>2216000</v>
      </c>
      <c r="G127" s="880">
        <f t="shared" si="10"/>
        <v>1800000</v>
      </c>
      <c r="H127" s="880">
        <f t="shared" si="10"/>
        <v>1800000</v>
      </c>
      <c r="I127" s="880">
        <f t="shared" si="10"/>
        <v>4800000</v>
      </c>
      <c r="J127" s="880">
        <f t="shared" si="10"/>
        <v>400000</v>
      </c>
      <c r="K127" s="880">
        <f t="shared" si="10"/>
        <v>0</v>
      </c>
      <c r="L127" s="880">
        <f t="shared" si="10"/>
        <v>0</v>
      </c>
      <c r="M127" s="650">
        <f t="shared" si="10"/>
        <v>0</v>
      </c>
      <c r="N127" s="880">
        <f t="shared" si="10"/>
        <v>0</v>
      </c>
      <c r="O127" s="1384">
        <f t="shared" ref="O127" si="11">SUBTOTAL(9,O119:O126)</f>
        <v>0</v>
      </c>
    </row>
    <row r="128" spans="1:15" s="84" customFormat="1" ht="13.5" thickBot="1" x14ac:dyDescent="0.25">
      <c r="A128" s="608"/>
      <c r="B128" s="150"/>
      <c r="C128" s="357"/>
      <c r="D128" s="121"/>
      <c r="E128" s="152"/>
      <c r="F128" s="150"/>
      <c r="G128" s="150"/>
      <c r="H128" s="150"/>
      <c r="I128" s="150"/>
      <c r="J128" s="150"/>
      <c r="K128" s="150"/>
      <c r="L128" s="150"/>
      <c r="M128" s="152"/>
      <c r="N128" s="150"/>
      <c r="O128" s="1058"/>
    </row>
    <row r="129" spans="1:15" s="92" customFormat="1" x14ac:dyDescent="0.2">
      <c r="A129" s="610">
        <f>SUBTOTAL(9,A108:A128)</f>
        <v>2809800</v>
      </c>
      <c r="B129" s="153">
        <f>SUBTOTAL(9,B108:B128)</f>
        <v>2286400</v>
      </c>
      <c r="C129" s="1006"/>
      <c r="D129" s="378" t="s">
        <v>1493</v>
      </c>
      <c r="E129" s="154">
        <f t="shared" ref="E129:N129" si="12">SUBTOTAL(9,E108:E128)</f>
        <v>5432400</v>
      </c>
      <c r="F129" s="153">
        <f t="shared" si="12"/>
        <v>4516000</v>
      </c>
      <c r="G129" s="153">
        <f t="shared" si="12"/>
        <v>4475000</v>
      </c>
      <c r="H129" s="153">
        <f t="shared" si="12"/>
        <v>4475000</v>
      </c>
      <c r="I129" s="153">
        <f t="shared" si="12"/>
        <v>5760000</v>
      </c>
      <c r="J129" s="153">
        <f t="shared" si="12"/>
        <v>1360000</v>
      </c>
      <c r="K129" s="153">
        <f t="shared" si="12"/>
        <v>960000</v>
      </c>
      <c r="L129" s="153">
        <f t="shared" si="12"/>
        <v>960000</v>
      </c>
      <c r="M129" s="154">
        <f t="shared" si="12"/>
        <v>960000</v>
      </c>
      <c r="N129" s="153">
        <f t="shared" si="12"/>
        <v>960000</v>
      </c>
      <c r="O129" s="1387">
        <f t="shared" ref="O129" si="13">SUBTOTAL(9,O108:O128)</f>
        <v>960000</v>
      </c>
    </row>
    <row r="130" spans="1:15" s="84" customFormat="1" ht="13.5" thickBot="1" x14ac:dyDescent="0.25">
      <c r="A130" s="2624"/>
      <c r="B130" s="200"/>
      <c r="C130" s="1975"/>
      <c r="D130" s="368"/>
      <c r="E130" s="195"/>
      <c r="F130" s="66"/>
      <c r="G130" s="66"/>
      <c r="H130" s="66"/>
      <c r="I130" s="66"/>
      <c r="J130" s="66"/>
      <c r="K130" s="66"/>
      <c r="L130" s="66"/>
      <c r="M130" s="166"/>
      <c r="N130" s="66"/>
      <c r="O130" s="165"/>
    </row>
    <row r="131" spans="1:15" s="99" customFormat="1" ht="14.25" thickTop="1" thickBot="1" x14ac:dyDescent="0.25">
      <c r="A131" s="197"/>
      <c r="B131" s="197"/>
      <c r="C131" s="238"/>
      <c r="D131" s="137"/>
      <c r="E131" s="197"/>
    </row>
    <row r="132" spans="1:15" s="91" customFormat="1" ht="18.75" customHeight="1" thickTop="1" thickBot="1" x14ac:dyDescent="0.3">
      <c r="A132" s="2865" t="s">
        <v>1422</v>
      </c>
      <c r="B132" s="2866"/>
      <c r="C132" s="2866"/>
      <c r="D132" s="2866"/>
      <c r="E132" s="2866"/>
      <c r="F132" s="2866"/>
      <c r="G132" s="2866"/>
      <c r="H132" s="2866"/>
      <c r="I132" s="2866"/>
      <c r="J132" s="2866"/>
      <c r="K132" s="2866"/>
      <c r="L132" s="2866"/>
      <c r="M132" s="2866"/>
      <c r="N132" s="2866"/>
      <c r="O132" s="2867"/>
    </row>
    <row r="133" spans="1:15" s="44" customFormat="1" x14ac:dyDescent="0.2">
      <c r="A133" s="2888" t="s">
        <v>1856</v>
      </c>
      <c r="B133" s="2890"/>
      <c r="C133" s="2008" t="s">
        <v>2663</v>
      </c>
      <c r="D133" s="369" t="str">
        <f>$D$2</f>
        <v>BUDGET ITEMS</v>
      </c>
      <c r="E133" s="2883" t="str">
        <f>E2</f>
        <v>ESTIMATED</v>
      </c>
      <c r="F133" s="2846"/>
      <c r="G133" s="2846"/>
      <c r="H133" s="2846"/>
      <c r="I133" s="2846"/>
      <c r="J133" s="2846"/>
      <c r="K133" s="2846"/>
      <c r="L133" s="2846"/>
      <c r="M133" s="2846"/>
      <c r="N133" s="2846"/>
      <c r="O133" s="2884"/>
    </row>
    <row r="134" spans="1:15" s="23" customFormat="1" ht="12.75" customHeight="1" thickBot="1" x14ac:dyDescent="0.25">
      <c r="A134" s="2620" t="str">
        <f>A105</f>
        <v>2014/15</v>
      </c>
      <c r="B134" s="93" t="str">
        <f>B105</f>
        <v>2015/16</v>
      </c>
      <c r="C134" s="501" t="str">
        <f>C105</f>
        <v>ACCOUNT</v>
      </c>
      <c r="D134" s="34"/>
      <c r="E134" s="2192" t="str">
        <f t="shared" ref="E134:N134" si="14">E105</f>
        <v>2016/17</v>
      </c>
      <c r="F134" s="370" t="str">
        <f t="shared" si="14"/>
        <v>2017/18</v>
      </c>
      <c r="G134" s="370" t="str">
        <f t="shared" si="14"/>
        <v>2018/19</v>
      </c>
      <c r="H134" s="370" t="str">
        <f t="shared" si="14"/>
        <v>2019/20</v>
      </c>
      <c r="I134" s="370" t="str">
        <f t="shared" si="14"/>
        <v>2020/21</v>
      </c>
      <c r="J134" s="370" t="str">
        <f t="shared" si="14"/>
        <v>2021/22</v>
      </c>
      <c r="K134" s="370" t="str">
        <f t="shared" si="14"/>
        <v>2022/23</v>
      </c>
      <c r="L134" s="370" t="str">
        <f t="shared" si="14"/>
        <v>2023/24</v>
      </c>
      <c r="M134" s="370" t="str">
        <f t="shared" si="14"/>
        <v>2024/25</v>
      </c>
      <c r="N134" s="370" t="str">
        <f t="shared" si="14"/>
        <v>2025/26</v>
      </c>
      <c r="O134" s="549" t="str">
        <f t="shared" ref="O134" si="15">O105</f>
        <v>2026/27</v>
      </c>
    </row>
    <row r="135" spans="1:15" s="23" customFormat="1" ht="12.75" customHeight="1" x14ac:dyDescent="0.2">
      <c r="A135" s="727"/>
      <c r="B135" s="204"/>
      <c r="C135" s="593"/>
      <c r="D135" s="21"/>
      <c r="E135" s="206"/>
      <c r="F135" s="529"/>
      <c r="G135" s="529"/>
      <c r="H135" s="529"/>
      <c r="I135" s="529"/>
      <c r="J135" s="529"/>
      <c r="K135" s="529"/>
      <c r="L135" s="529"/>
      <c r="M135" s="529"/>
      <c r="N135" s="529"/>
      <c r="O135" s="530"/>
    </row>
    <row r="136" spans="1:15" s="23" customFormat="1" ht="12.75" customHeight="1" x14ac:dyDescent="0.2">
      <c r="A136" s="727"/>
      <c r="B136" s="206"/>
      <c r="C136" s="593"/>
      <c r="D136" s="62" t="s">
        <v>1418</v>
      </c>
      <c r="E136" s="206"/>
      <c r="F136" s="529"/>
      <c r="G136" s="529"/>
      <c r="H136" s="529"/>
      <c r="I136" s="529"/>
      <c r="J136" s="529"/>
      <c r="K136" s="529"/>
      <c r="L136" s="529"/>
      <c r="M136" s="529"/>
      <c r="N136" s="529"/>
      <c r="O136" s="530"/>
    </row>
    <row r="137" spans="1:15" s="23" customFormat="1" ht="12.75" customHeight="1" x14ac:dyDescent="0.2">
      <c r="A137" s="2621">
        <v>725000</v>
      </c>
      <c r="B137" s="1932">
        <v>500000</v>
      </c>
      <c r="C137" s="951" t="s">
        <v>6457</v>
      </c>
      <c r="D137" s="24" t="s">
        <v>6164</v>
      </c>
      <c r="E137" s="1932">
        <v>900000</v>
      </c>
      <c r="F137" s="870"/>
      <c r="G137" s="870"/>
      <c r="H137" s="870"/>
      <c r="I137" s="870"/>
      <c r="J137" s="870"/>
      <c r="K137" s="870"/>
      <c r="L137" s="870"/>
      <c r="M137" s="870"/>
      <c r="N137" s="870"/>
      <c r="O137" s="871"/>
    </row>
    <row r="138" spans="1:15" s="23" customFormat="1" ht="12.75" customHeight="1" x14ac:dyDescent="0.2">
      <c r="A138" s="2621"/>
      <c r="B138" s="1932"/>
      <c r="C138" s="653"/>
      <c r="D138" s="21"/>
      <c r="E138" s="1932"/>
      <c r="F138" s="870"/>
      <c r="G138" s="870"/>
      <c r="H138" s="870"/>
      <c r="I138" s="870"/>
      <c r="J138" s="870"/>
      <c r="K138" s="870"/>
      <c r="L138" s="870"/>
      <c r="M138" s="870"/>
      <c r="N138" s="870"/>
      <c r="O138" s="871"/>
    </row>
    <row r="139" spans="1:15" s="84" customFormat="1" x14ac:dyDescent="0.2">
      <c r="A139" s="2621"/>
      <c r="B139" s="1011"/>
      <c r="C139" s="138"/>
      <c r="D139" s="64" t="s">
        <v>590</v>
      </c>
      <c r="E139" s="1012"/>
      <c r="F139" s="132"/>
      <c r="G139" s="132"/>
      <c r="H139" s="132"/>
      <c r="I139" s="132"/>
      <c r="J139" s="132"/>
      <c r="K139" s="132"/>
      <c r="L139" s="132"/>
      <c r="M139" s="132"/>
      <c r="N139" s="132"/>
      <c r="O139" s="131"/>
    </row>
    <row r="140" spans="1:15" s="84" customFormat="1" x14ac:dyDescent="0.2">
      <c r="A140" s="2621"/>
      <c r="B140" s="1011"/>
      <c r="C140" s="138" t="s">
        <v>2625</v>
      </c>
      <c r="D140" s="132" t="s">
        <v>3335</v>
      </c>
      <c r="E140" s="1012"/>
      <c r="F140" s="132"/>
      <c r="G140" s="132"/>
      <c r="H140" s="132"/>
      <c r="I140" s="132"/>
      <c r="J140" s="132"/>
      <c r="K140" s="132"/>
      <c r="L140" s="132"/>
      <c r="M140" s="132"/>
      <c r="N140" s="132"/>
      <c r="O140" s="131"/>
    </row>
    <row r="141" spans="1:15" s="84" customFormat="1" x14ac:dyDescent="0.2">
      <c r="A141" s="2625"/>
      <c r="B141" s="1011"/>
      <c r="C141" s="827" t="s">
        <v>1681</v>
      </c>
      <c r="D141" s="33" t="s">
        <v>1613</v>
      </c>
      <c r="E141" s="1012"/>
      <c r="F141" s="132"/>
      <c r="G141" s="132"/>
      <c r="H141" s="132"/>
      <c r="I141" s="132"/>
      <c r="J141" s="132"/>
      <c r="K141" s="132"/>
      <c r="L141" s="132"/>
      <c r="M141" s="132"/>
      <c r="N141" s="132"/>
      <c r="O141" s="131"/>
    </row>
    <row r="142" spans="1:15" s="84" customFormat="1" x14ac:dyDescent="0.2">
      <c r="A142" s="2621"/>
      <c r="B142" s="1011"/>
      <c r="C142" s="138" t="s">
        <v>2625</v>
      </c>
      <c r="D142" s="132" t="s">
        <v>3336</v>
      </c>
      <c r="E142" s="1012"/>
      <c r="F142" s="132"/>
      <c r="G142" s="132"/>
      <c r="H142" s="132"/>
      <c r="I142" s="132"/>
      <c r="J142" s="132"/>
      <c r="K142" s="132"/>
      <c r="L142" s="132"/>
      <c r="M142" s="132"/>
      <c r="N142" s="132"/>
      <c r="O142" s="131"/>
    </row>
    <row r="143" spans="1:15" s="84" customFormat="1" x14ac:dyDescent="0.2">
      <c r="A143" s="2625"/>
      <c r="B143" s="1011"/>
      <c r="C143" s="179"/>
      <c r="D143" s="132" t="s">
        <v>6848</v>
      </c>
      <c r="E143" s="1012"/>
      <c r="F143" s="132"/>
      <c r="G143" s="132">
        <f>'Cap-Gen'!H126</f>
        <v>2500000</v>
      </c>
      <c r="H143" s="132"/>
      <c r="I143" s="132"/>
      <c r="J143" s="132"/>
      <c r="K143" s="132"/>
      <c r="L143" s="132"/>
      <c r="M143" s="132"/>
      <c r="N143" s="132"/>
      <c r="O143" s="131"/>
    </row>
    <row r="144" spans="1:15" s="84" customFormat="1" x14ac:dyDescent="0.2">
      <c r="A144" s="2625"/>
      <c r="B144" s="1011"/>
      <c r="C144" s="179"/>
      <c r="D144" s="132" t="s">
        <v>6033</v>
      </c>
      <c r="E144" s="1012"/>
      <c r="F144" s="132"/>
      <c r="G144" s="132"/>
      <c r="H144" s="132"/>
      <c r="I144" s="132">
        <f>'Cap-Gen'!AR129</f>
        <v>5176000</v>
      </c>
      <c r="J144" s="132"/>
      <c r="K144" s="132"/>
      <c r="L144" s="132"/>
      <c r="M144" s="132"/>
      <c r="N144" s="132"/>
      <c r="O144" s="131"/>
    </row>
    <row r="145" spans="1:15" s="84" customFormat="1" x14ac:dyDescent="0.2">
      <c r="A145" s="2625"/>
      <c r="B145" s="1011"/>
      <c r="C145" s="179"/>
      <c r="D145" s="132" t="s">
        <v>6034</v>
      </c>
      <c r="E145" s="1012"/>
      <c r="F145" s="132"/>
      <c r="G145" s="132"/>
      <c r="H145" s="132"/>
      <c r="I145" s="132">
        <f>'Cap-Gen'!AR130</f>
        <v>3123000</v>
      </c>
      <c r="J145" s="132"/>
      <c r="K145" s="132"/>
      <c r="L145" s="132"/>
      <c r="M145" s="132"/>
      <c r="N145" s="132"/>
      <c r="O145" s="131"/>
    </row>
    <row r="146" spans="1:15" s="84" customFormat="1" x14ac:dyDescent="0.2">
      <c r="A146" s="2625"/>
      <c r="B146" s="1011"/>
      <c r="C146" s="179"/>
      <c r="D146" s="132" t="s">
        <v>6035</v>
      </c>
      <c r="E146" s="1012"/>
      <c r="F146" s="132"/>
      <c r="G146" s="132"/>
      <c r="H146" s="132"/>
      <c r="I146" s="132">
        <f>'Cap-Gen'!AR131</f>
        <v>41000</v>
      </c>
      <c r="J146" s="132"/>
      <c r="K146" s="132"/>
      <c r="L146" s="132"/>
      <c r="M146" s="132"/>
      <c r="N146" s="132"/>
      <c r="O146" s="131"/>
    </row>
    <row r="147" spans="1:15" s="84" customFormat="1" x14ac:dyDescent="0.2">
      <c r="A147" s="2626"/>
      <c r="B147" s="1011"/>
      <c r="C147" s="138"/>
      <c r="D147" s="132"/>
      <c r="E147" s="1012"/>
      <c r="F147" s="132"/>
      <c r="G147" s="132"/>
      <c r="H147" s="132"/>
      <c r="I147" s="132"/>
      <c r="J147" s="132"/>
      <c r="K147" s="132"/>
      <c r="L147" s="132"/>
      <c r="M147" s="132"/>
      <c r="N147" s="132"/>
      <c r="O147" s="131"/>
    </row>
    <row r="148" spans="1:15" s="84" customFormat="1" x14ac:dyDescent="0.2">
      <c r="A148" s="2626"/>
      <c r="B148" s="1011"/>
      <c r="C148" s="138"/>
      <c r="D148" s="64" t="s">
        <v>389</v>
      </c>
      <c r="E148" s="1012"/>
      <c r="F148" s="132"/>
      <c r="G148" s="132"/>
      <c r="H148" s="132"/>
      <c r="I148" s="132"/>
      <c r="J148" s="132"/>
      <c r="K148" s="132"/>
      <c r="L148" s="132"/>
      <c r="M148" s="132"/>
      <c r="N148" s="132"/>
      <c r="O148" s="131"/>
    </row>
    <row r="149" spans="1:15" s="84" customFormat="1" x14ac:dyDescent="0.2">
      <c r="A149" s="2626"/>
      <c r="B149" s="1011"/>
      <c r="C149" s="827" t="s">
        <v>6458</v>
      </c>
      <c r="D149" s="132" t="s">
        <v>1175</v>
      </c>
      <c r="E149" s="1012">
        <v>3818100</v>
      </c>
      <c r="F149" s="132">
        <f>'Cap-Gen'!G17</f>
        <v>3309500</v>
      </c>
      <c r="G149" s="132"/>
      <c r="H149" s="132"/>
      <c r="I149" s="132"/>
      <c r="J149" s="132"/>
      <c r="K149" s="132"/>
      <c r="L149" s="132"/>
      <c r="M149" s="132"/>
      <c r="N149" s="132"/>
      <c r="O149" s="131"/>
    </row>
    <row r="150" spans="1:15" s="84" customFormat="1" x14ac:dyDescent="0.2">
      <c r="A150" s="2626"/>
      <c r="B150" s="187"/>
      <c r="C150" s="827" t="s">
        <v>6459</v>
      </c>
      <c r="D150" s="132" t="s">
        <v>2015</v>
      </c>
      <c r="E150" s="1012">
        <v>2893600</v>
      </c>
      <c r="F150" s="132">
        <f>'Cap-Gen'!G18</f>
        <v>2618300</v>
      </c>
      <c r="G150" s="33"/>
      <c r="H150" s="33"/>
      <c r="I150" s="33"/>
      <c r="J150" s="33"/>
      <c r="K150" s="33"/>
      <c r="L150" s="33"/>
      <c r="M150" s="33"/>
      <c r="N150" s="33"/>
      <c r="O150" s="114"/>
    </row>
    <row r="151" spans="1:15" s="84" customFormat="1" ht="13.5" thickBot="1" x14ac:dyDescent="0.25">
      <c r="A151" s="2505"/>
      <c r="B151" s="187"/>
      <c r="C151" s="179"/>
      <c r="D151" s="33"/>
      <c r="E151" s="189"/>
      <c r="F151" s="33"/>
      <c r="G151" s="33"/>
      <c r="H151" s="33"/>
      <c r="I151" s="33"/>
      <c r="J151" s="33"/>
      <c r="K151" s="33"/>
      <c r="L151" s="33"/>
      <c r="M151" s="33"/>
      <c r="N151" s="33"/>
      <c r="O151" s="114"/>
    </row>
    <row r="152" spans="1:15" s="92" customFormat="1" x14ac:dyDescent="0.2">
      <c r="A152" s="2623">
        <f>SUM(A136:A151)</f>
        <v>725000</v>
      </c>
      <c r="B152" s="199">
        <f>SUM(B136:B151)</f>
        <v>500000</v>
      </c>
      <c r="C152" s="957"/>
      <c r="D152" s="2427" t="s">
        <v>1494</v>
      </c>
      <c r="E152" s="190">
        <f>SUM(E136:E151)</f>
        <v>7611700</v>
      </c>
      <c r="F152" s="53">
        <f t="shared" ref="F152:L152" si="16">SUM(F136:F151)</f>
        <v>5927800</v>
      </c>
      <c r="G152" s="53">
        <f t="shared" si="16"/>
        <v>2500000</v>
      </c>
      <c r="H152" s="53">
        <f t="shared" si="16"/>
        <v>0</v>
      </c>
      <c r="I152" s="53">
        <f t="shared" si="16"/>
        <v>8340000</v>
      </c>
      <c r="J152" s="53">
        <f t="shared" si="16"/>
        <v>0</v>
      </c>
      <c r="K152" s="53">
        <f t="shared" si="16"/>
        <v>0</v>
      </c>
      <c r="L152" s="53">
        <f t="shared" si="16"/>
        <v>0</v>
      </c>
      <c r="M152" s="53">
        <f t="shared" ref="M152:N152" si="17">SUM(M136:M151)</f>
        <v>0</v>
      </c>
      <c r="N152" s="53">
        <f t="shared" si="17"/>
        <v>0</v>
      </c>
      <c r="O152" s="113">
        <f t="shared" ref="O152" si="18">SUM(O136:O151)</f>
        <v>0</v>
      </c>
    </row>
    <row r="153" spans="1:15" s="84" customFormat="1" ht="13.5" thickBot="1" x14ac:dyDescent="0.25">
      <c r="A153" s="2624"/>
      <c r="B153" s="200"/>
      <c r="C153" s="1975"/>
      <c r="D153" s="2428" t="s">
        <v>246</v>
      </c>
      <c r="E153" s="195"/>
      <c r="F153" s="66"/>
      <c r="G153" s="66"/>
      <c r="H153" s="66"/>
      <c r="I153" s="66"/>
      <c r="J153" s="66"/>
      <c r="K153" s="66"/>
      <c r="L153" s="66"/>
      <c r="M153" s="66"/>
      <c r="N153" s="66"/>
      <c r="O153" s="165"/>
    </row>
    <row r="154" spans="1:15" s="84" customFormat="1" ht="13.5" thickTop="1" x14ac:dyDescent="0.2">
      <c r="C154" s="550"/>
    </row>
    <row r="155" spans="1:15" x14ac:dyDescent="0.2">
      <c r="A155" s="1039"/>
      <c r="D155" s="63"/>
      <c r="G155" s="63"/>
    </row>
    <row r="156" spans="1:15" x14ac:dyDescent="0.2">
      <c r="E156" s="87">
        <f>SUM(E149:E150)</f>
        <v>6711700</v>
      </c>
      <c r="F156" s="63">
        <f>SUM(F149:F150)</f>
        <v>5927800</v>
      </c>
    </row>
    <row r="157" spans="1:15" x14ac:dyDescent="0.2">
      <c r="F157" s="63"/>
    </row>
    <row r="158" spans="1:15" x14ac:dyDescent="0.2">
      <c r="E158" s="87"/>
      <c r="F158" s="63">
        <f>SUM(E149:F150)</f>
        <v>12639500</v>
      </c>
    </row>
    <row r="159" spans="1:15" x14ac:dyDescent="0.2">
      <c r="F159">
        <f>'Res-Gen'!F30</f>
        <v>1379000</v>
      </c>
    </row>
    <row r="160" spans="1:15" x14ac:dyDescent="0.2">
      <c r="F160" s="63">
        <f>F159+F158</f>
        <v>14018500</v>
      </c>
    </row>
    <row r="161" spans="6:6" x14ac:dyDescent="0.2">
      <c r="F161">
        <v>12200000</v>
      </c>
    </row>
    <row r="162" spans="6:6" x14ac:dyDescent="0.2">
      <c r="F162" s="63">
        <f>F158-F161</f>
        <v>439500</v>
      </c>
    </row>
    <row r="163" spans="6:6" x14ac:dyDescent="0.2">
      <c r="F163">
        <v>408000</v>
      </c>
    </row>
    <row r="164" spans="6:6" x14ac:dyDescent="0.2">
      <c r="F164" s="63">
        <f>F162-F163</f>
        <v>31500</v>
      </c>
    </row>
    <row r="165" spans="6:6" x14ac:dyDescent="0.2">
      <c r="F165">
        <f>18500</f>
        <v>18500</v>
      </c>
    </row>
    <row r="166" spans="6:6" x14ac:dyDescent="0.2">
      <c r="F166" s="63">
        <f>F164-F165</f>
        <v>13000</v>
      </c>
    </row>
  </sheetData>
  <mergeCells count="12">
    <mergeCell ref="A1:O1"/>
    <mergeCell ref="A103:O103"/>
    <mergeCell ref="A46:B46"/>
    <mergeCell ref="A2:B2"/>
    <mergeCell ref="E46:O46"/>
    <mergeCell ref="A45:O45"/>
    <mergeCell ref="E2:O2"/>
    <mergeCell ref="A104:B104"/>
    <mergeCell ref="A133:B133"/>
    <mergeCell ref="E104:O104"/>
    <mergeCell ref="A132:O132"/>
    <mergeCell ref="E133:O133"/>
  </mergeCells>
  <phoneticPr fontId="9" type="noConversion"/>
  <printOptions horizontalCentered="1"/>
  <pageMargins left="0.35433070866141736" right="0.39370078740157483" top="0.39370078740157483" bottom="0.39370078740157483" header="0" footer="0"/>
  <pageSetup paperSize="9" scale="60" orientation="landscape" r:id="rId1"/>
  <headerFooter alignWithMargins="0"/>
  <rowBreaks count="2" manualBreakCount="2">
    <brk id="44" max="16383" man="1"/>
    <brk id="101" max="16383"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V404"/>
  <sheetViews>
    <sheetView workbookViewId="0">
      <pane xSplit="1" ySplit="3" topLeftCell="B4" activePane="bottomRight" state="frozen"/>
      <selection pane="topRight" activeCell="B1" sqref="B1"/>
      <selection pane="bottomLeft" activeCell="A4" sqref="A4"/>
      <selection pane="bottomRight" activeCell="A149" sqref="A149"/>
    </sheetView>
  </sheetViews>
  <sheetFormatPr defaultColWidth="9.140625" defaultRowHeight="12.75" x14ac:dyDescent="0.2"/>
  <cols>
    <col min="1" max="1" width="30.7109375" style="84" customWidth="1"/>
    <col min="2" max="2" width="10.28515625" style="84" hidden="1" customWidth="1"/>
    <col min="3" max="3" width="10.140625" style="84" hidden="1" customWidth="1"/>
    <col min="4" max="4" width="11.28515625" style="84" hidden="1" customWidth="1"/>
    <col min="5" max="5" width="10.28515625" style="84" customWidth="1"/>
    <col min="6" max="6" width="9.85546875" style="84" customWidth="1"/>
    <col min="7" max="7" width="11.28515625" style="84" bestFit="1" customWidth="1"/>
    <col min="8" max="9" width="10.140625" style="84" customWidth="1"/>
    <col min="10" max="12" width="10.28515625" style="84" customWidth="1"/>
    <col min="13" max="13" width="11.28515625" style="84" customWidth="1"/>
    <col min="14" max="15" width="10.28515625" style="84" customWidth="1"/>
    <col min="16" max="16" width="11.28515625" style="84" customWidth="1"/>
    <col min="17" max="18" width="10.28515625" style="84" customWidth="1"/>
    <col min="19" max="19" width="11.28515625" style="84" bestFit="1" customWidth="1"/>
    <col min="20" max="30" width="10.28515625" style="84" customWidth="1"/>
    <col min="31" max="31" width="10.28515625" style="84" bestFit="1" customWidth="1"/>
    <col min="32" max="32" width="10.140625" style="84" bestFit="1" customWidth="1"/>
    <col min="33" max="34" width="10.28515625" style="84" customWidth="1"/>
    <col min="35" max="35" width="10.140625" style="84" bestFit="1" customWidth="1"/>
    <col min="36" max="37" width="10.28515625" style="84" customWidth="1"/>
    <col min="38" max="42" width="9.140625" style="84" customWidth="1"/>
    <col min="43" max="16384" width="9.140625" style="84"/>
  </cols>
  <sheetData>
    <row r="1" spans="1:37" ht="18.75" customHeight="1" thickTop="1" thickBot="1" x14ac:dyDescent="0.25">
      <c r="A1" s="2930" t="s">
        <v>6099</v>
      </c>
      <c r="B1" s="2931"/>
      <c r="C1" s="2931"/>
      <c r="D1" s="2931"/>
      <c r="E1" s="2931"/>
      <c r="F1" s="2931"/>
      <c r="G1" s="2931"/>
      <c r="H1" s="2931"/>
      <c r="I1" s="2931"/>
      <c r="J1" s="2931"/>
      <c r="K1" s="2931"/>
      <c r="L1" s="2931"/>
      <c r="M1" s="2931"/>
      <c r="N1" s="2931"/>
      <c r="O1" s="2931"/>
      <c r="P1" s="2931"/>
      <c r="Q1" s="2931"/>
      <c r="R1" s="2931"/>
      <c r="S1" s="2932"/>
      <c r="T1" s="1743"/>
      <c r="U1" s="1743"/>
      <c r="V1" s="893"/>
      <c r="W1" s="1749"/>
      <c r="X1" s="1749"/>
      <c r="Y1" s="893"/>
      <c r="Z1" s="1749"/>
      <c r="AA1" s="1749"/>
      <c r="AB1" s="893"/>
      <c r="AC1" s="1749"/>
      <c r="AD1" s="1749"/>
      <c r="AE1" s="893"/>
      <c r="AF1" s="1743"/>
      <c r="AG1" s="1749"/>
      <c r="AH1" s="893"/>
      <c r="AI1" s="1743"/>
      <c r="AJ1" s="1749"/>
      <c r="AK1" s="1750"/>
    </row>
    <row r="2" spans="1:37" ht="13.5" thickBot="1" x14ac:dyDescent="0.25">
      <c r="A2" s="583" t="s">
        <v>1552</v>
      </c>
      <c r="B2" s="214" t="str">
        <f>SP!D3</f>
        <v>2015/16</v>
      </c>
      <c r="C2" s="2629"/>
      <c r="D2" s="2630"/>
      <c r="E2" s="2642" t="str">
        <f>SP!G3</f>
        <v>2016/17</v>
      </c>
      <c r="F2" s="2631"/>
      <c r="G2" s="2630"/>
      <c r="H2" s="2917" t="str">
        <f>SP!I3</f>
        <v>2017/18</v>
      </c>
      <c r="I2" s="2918"/>
      <c r="J2" s="2919"/>
      <c r="K2" s="2917" t="str">
        <f>SP!J3</f>
        <v>2018/19</v>
      </c>
      <c r="L2" s="2918"/>
      <c r="M2" s="2919"/>
      <c r="N2" s="2933" t="str">
        <f>SP!K3</f>
        <v>2019/20</v>
      </c>
      <c r="O2" s="2934"/>
      <c r="P2" s="2935"/>
      <c r="Q2" s="2933" t="str">
        <f>SP!L3</f>
        <v>2020/21</v>
      </c>
      <c r="R2" s="2934"/>
      <c r="S2" s="2936"/>
      <c r="T2" s="2934" t="str">
        <f>SP!M3</f>
        <v>2021/22</v>
      </c>
      <c r="U2" s="2934"/>
      <c r="V2" s="2934"/>
      <c r="W2" s="2933" t="str">
        <f>SP!N3</f>
        <v>2022/23</v>
      </c>
      <c r="X2" s="2934"/>
      <c r="Y2" s="2935"/>
      <c r="Z2" s="2933" t="str">
        <f>SP!O3</f>
        <v>2023/24</v>
      </c>
      <c r="AA2" s="2934"/>
      <c r="AB2" s="2935"/>
      <c r="AC2" s="2934" t="str">
        <f>SP!P3</f>
        <v>2024/25</v>
      </c>
      <c r="AD2" s="2934"/>
      <c r="AE2" s="2934"/>
      <c r="AF2" s="2933" t="str">
        <f>SP!Q3</f>
        <v>2025/26</v>
      </c>
      <c r="AG2" s="2934"/>
      <c r="AH2" s="2935"/>
      <c r="AI2" s="2934" t="str">
        <f>SP!R3</f>
        <v>2026/27</v>
      </c>
      <c r="AJ2" s="2934"/>
      <c r="AK2" s="2936"/>
    </row>
    <row r="3" spans="1:37" ht="13.5" thickBot="1" x14ac:dyDescent="0.25">
      <c r="A3" s="408"/>
      <c r="B3" s="566" t="s">
        <v>6845</v>
      </c>
      <c r="C3" s="332" t="s">
        <v>2824</v>
      </c>
      <c r="D3" s="325" t="s">
        <v>2825</v>
      </c>
      <c r="E3" s="566" t="str">
        <f>B3</f>
        <v>To</v>
      </c>
      <c r="F3" s="322" t="str">
        <f>C3</f>
        <v>From</v>
      </c>
      <c r="G3" s="325" t="str">
        <f>D3</f>
        <v>Net</v>
      </c>
      <c r="H3" s="332" t="str">
        <f>B3</f>
        <v>To</v>
      </c>
      <c r="I3" s="322" t="str">
        <f>C3</f>
        <v>From</v>
      </c>
      <c r="J3" s="325" t="str">
        <f>D3</f>
        <v>Net</v>
      </c>
      <c r="K3" s="566" t="str">
        <f t="shared" ref="K3:S3" si="0">H3</f>
        <v>To</v>
      </c>
      <c r="L3" s="322" t="str">
        <f t="shared" si="0"/>
        <v>From</v>
      </c>
      <c r="M3" s="325" t="str">
        <f t="shared" si="0"/>
        <v>Net</v>
      </c>
      <c r="N3" s="332" t="str">
        <f t="shared" si="0"/>
        <v>To</v>
      </c>
      <c r="O3" s="322" t="str">
        <f t="shared" si="0"/>
        <v>From</v>
      </c>
      <c r="P3" s="325" t="str">
        <f t="shared" si="0"/>
        <v>Net</v>
      </c>
      <c r="Q3" s="332" t="str">
        <f t="shared" si="0"/>
        <v>To</v>
      </c>
      <c r="R3" s="322" t="str">
        <f t="shared" si="0"/>
        <v>From</v>
      </c>
      <c r="S3" s="333" t="str">
        <f t="shared" si="0"/>
        <v>Net</v>
      </c>
      <c r="T3" s="332" t="str">
        <f>Q3</f>
        <v>To</v>
      </c>
      <c r="U3" s="322" t="str">
        <f>R3</f>
        <v>From</v>
      </c>
      <c r="V3" s="557" t="str">
        <f>S3</f>
        <v>Net</v>
      </c>
      <c r="W3" s="566" t="str">
        <f t="shared" ref="W3:Y3" si="1">T3</f>
        <v>To</v>
      </c>
      <c r="X3" s="322" t="str">
        <f t="shared" si="1"/>
        <v>From</v>
      </c>
      <c r="Y3" s="325" t="str">
        <f t="shared" si="1"/>
        <v>Net</v>
      </c>
      <c r="Z3" s="566" t="str">
        <f t="shared" ref="Z3:AE3" si="2">W3</f>
        <v>To</v>
      </c>
      <c r="AA3" s="322" t="str">
        <f t="shared" si="2"/>
        <v>From</v>
      </c>
      <c r="AB3" s="325" t="str">
        <f t="shared" si="2"/>
        <v>Net</v>
      </c>
      <c r="AC3" s="332" t="str">
        <f t="shared" si="2"/>
        <v>To</v>
      </c>
      <c r="AD3" s="322" t="str">
        <f t="shared" si="2"/>
        <v>From</v>
      </c>
      <c r="AE3" s="557" t="str">
        <f t="shared" si="2"/>
        <v>Net</v>
      </c>
      <c r="AF3" s="566" t="str">
        <f t="shared" ref="AF3" si="3">AC3</f>
        <v>To</v>
      </c>
      <c r="AG3" s="322" t="str">
        <f t="shared" ref="AG3" si="4">AD3</f>
        <v>From</v>
      </c>
      <c r="AH3" s="325" t="str">
        <f t="shared" ref="AH3" si="5">AE3</f>
        <v>Net</v>
      </c>
      <c r="AI3" s="332" t="str">
        <f t="shared" ref="AI3" si="6">AF3</f>
        <v>To</v>
      </c>
      <c r="AJ3" s="322" t="str">
        <f t="shared" ref="AJ3" si="7">AG3</f>
        <v>From</v>
      </c>
      <c r="AK3" s="333" t="str">
        <f t="shared" ref="AK3" si="8">AH3</f>
        <v>Net</v>
      </c>
    </row>
    <row r="4" spans="1:37" x14ac:dyDescent="0.2">
      <c r="A4" s="584"/>
      <c r="B4" s="582"/>
      <c r="C4" s="401"/>
      <c r="D4" s="552"/>
      <c r="E4" s="582"/>
      <c r="F4" s="323"/>
      <c r="G4" s="552"/>
      <c r="H4" s="401"/>
      <c r="I4" s="323"/>
      <c r="J4" s="552"/>
      <c r="K4" s="582"/>
      <c r="L4" s="323"/>
      <c r="M4" s="552"/>
      <c r="N4" s="401"/>
      <c r="O4" s="323"/>
      <c r="P4" s="1792"/>
      <c r="Q4" s="553"/>
      <c r="R4" s="323"/>
      <c r="S4" s="1585"/>
      <c r="T4" s="2202"/>
      <c r="U4" s="560"/>
      <c r="V4" s="2209"/>
      <c r="W4" s="1744"/>
      <c r="X4" s="323"/>
      <c r="Y4" s="339"/>
      <c r="Z4" s="1744"/>
      <c r="AA4" s="323"/>
      <c r="AB4" s="339"/>
      <c r="AC4" s="553"/>
      <c r="AD4" s="323"/>
      <c r="AE4" s="338"/>
      <c r="AF4" s="1744"/>
      <c r="AG4" s="323"/>
      <c r="AH4" s="339"/>
      <c r="AI4" s="553"/>
      <c r="AJ4" s="323"/>
      <c r="AK4" s="1585"/>
    </row>
    <row r="5" spans="1:37" x14ac:dyDescent="0.2">
      <c r="A5" s="587" t="s">
        <v>3255</v>
      </c>
      <c r="B5" s="582"/>
      <c r="C5" s="401"/>
      <c r="D5" s="552"/>
      <c r="E5" s="582"/>
      <c r="F5" s="323"/>
      <c r="G5" s="552"/>
      <c r="H5" s="401"/>
      <c r="I5" s="323"/>
      <c r="J5" s="552"/>
      <c r="K5" s="582"/>
      <c r="L5" s="323"/>
      <c r="M5" s="552"/>
      <c r="N5" s="401"/>
      <c r="O5" s="323"/>
      <c r="P5" s="1792"/>
      <c r="Q5" s="553"/>
      <c r="R5" s="323"/>
      <c r="S5" s="1585"/>
      <c r="T5" s="553"/>
      <c r="U5" s="323"/>
      <c r="V5" s="338"/>
      <c r="W5" s="1744"/>
      <c r="X5" s="323"/>
      <c r="Y5" s="339"/>
      <c r="Z5" s="1744"/>
      <c r="AA5" s="323"/>
      <c r="AB5" s="339"/>
      <c r="AC5" s="553"/>
      <c r="AD5" s="323"/>
      <c r="AE5" s="338"/>
      <c r="AF5" s="1744"/>
      <c r="AG5" s="323"/>
      <c r="AH5" s="339"/>
      <c r="AI5" s="553"/>
      <c r="AJ5" s="323"/>
      <c r="AK5" s="1585"/>
    </row>
    <row r="6" spans="1:37" s="340" customFormat="1" x14ac:dyDescent="0.2">
      <c r="A6" s="1106" t="s">
        <v>218</v>
      </c>
      <c r="B6" s="626"/>
      <c r="C6" s="336"/>
      <c r="D6" s="335"/>
      <c r="E6" s="626"/>
      <c r="F6" s="334"/>
      <c r="G6" s="335"/>
      <c r="H6" s="336"/>
      <c r="I6" s="334"/>
      <c r="J6" s="335"/>
      <c r="K6" s="626"/>
      <c r="L6" s="334"/>
      <c r="M6" s="335"/>
      <c r="N6" s="336"/>
      <c r="O6" s="334"/>
      <c r="P6" s="339"/>
      <c r="Q6" s="338"/>
      <c r="R6" s="334"/>
      <c r="S6" s="1585"/>
      <c r="T6" s="338"/>
      <c r="U6" s="334"/>
      <c r="V6" s="338"/>
      <c r="W6" s="1746"/>
      <c r="X6" s="334"/>
      <c r="Y6" s="339"/>
      <c r="Z6" s="1746"/>
      <c r="AA6" s="334"/>
      <c r="AB6" s="339"/>
      <c r="AC6" s="338"/>
      <c r="AD6" s="334"/>
      <c r="AE6" s="338"/>
      <c r="AF6" s="1746"/>
      <c r="AG6" s="334"/>
      <c r="AH6" s="339"/>
      <c r="AI6" s="338"/>
      <c r="AJ6" s="334"/>
      <c r="AK6" s="1585"/>
    </row>
    <row r="7" spans="1:37" x14ac:dyDescent="0.2">
      <c r="A7" s="585" t="s">
        <v>2184</v>
      </c>
      <c r="B7" s="186">
        <f>'Sec 94'!E28-'Sec 94'!E26+SP!D62+SUM(GM!D886:D887)</f>
        <v>2320300</v>
      </c>
      <c r="C7" s="152">
        <f>'Sec 94'!E96</f>
        <v>1788800</v>
      </c>
      <c r="D7" s="129">
        <f>B7-C7</f>
        <v>531500</v>
      </c>
      <c r="E7" s="186">
        <f>'Sec 94'!F28+SP!G62+SUM(GM!G886:G887)</f>
        <v>3258500</v>
      </c>
      <c r="F7" s="33">
        <f>'Sec 94'!F96</f>
        <v>1807300</v>
      </c>
      <c r="G7" s="129">
        <f>E7-F7</f>
        <v>1451200</v>
      </c>
      <c r="H7" s="142">
        <f>'Sec 94'!G28+SP!I62+SUM(GM!I886:I887)</f>
        <v>7318500</v>
      </c>
      <c r="I7" s="33">
        <f>'Sec 94'!G96</f>
        <v>1091000</v>
      </c>
      <c r="J7" s="129">
        <f>H7-I7</f>
        <v>6227500</v>
      </c>
      <c r="K7" s="186">
        <f>'Sec 94'!H28+SP!J62+SUM(GM!J886:J887)</f>
        <v>8636500</v>
      </c>
      <c r="L7" s="33">
        <f>'Sec 94'!H96</f>
        <v>17621000</v>
      </c>
      <c r="M7" s="129">
        <f>K7-L7</f>
        <v>-8984500</v>
      </c>
      <c r="N7" s="142">
        <f>'Sec 94'!I28+SP!K62+SUM(GM!K886:K887)</f>
        <v>6641500</v>
      </c>
      <c r="O7" s="33">
        <f>'Sec 94'!I96</f>
        <v>852000</v>
      </c>
      <c r="P7" s="102">
        <f>N7-O7</f>
        <v>5789500</v>
      </c>
      <c r="Q7" s="99">
        <f>'Sec 94'!J28+SP!L62+SUM(GM!L886:L887)</f>
        <v>12935000</v>
      </c>
      <c r="R7" s="33">
        <f>'Sec 94'!J96</f>
        <v>14430000</v>
      </c>
      <c r="S7" s="114">
        <f>Q7-R7</f>
        <v>-1495000</v>
      </c>
      <c r="T7" s="99">
        <f>'Sec 94'!K28+SP!M62+SUM(GM!M886:M887)</f>
        <v>13154500</v>
      </c>
      <c r="U7" s="33">
        <f>'Sec 94'!K96</f>
        <v>13965000</v>
      </c>
      <c r="V7" s="99">
        <f>T7-U7</f>
        <v>-810500</v>
      </c>
      <c r="W7" s="502">
        <f>'Sec 94'!L28+SP!N62+SUM(GM!N886:N887)</f>
        <v>3396500</v>
      </c>
      <c r="X7" s="33">
        <f>'Sec 94'!L96</f>
        <v>820000</v>
      </c>
      <c r="Y7" s="102">
        <f>W7-X7</f>
        <v>2576500</v>
      </c>
      <c r="Z7" s="502">
        <f>'Sec 94'!M28+SP!O62+SUM(GM!O886:O887)</f>
        <v>3517000</v>
      </c>
      <c r="AA7" s="33">
        <f>'Sec 94'!M96</f>
        <v>827000</v>
      </c>
      <c r="AB7" s="102">
        <f>Z7-AA7</f>
        <v>2690000</v>
      </c>
      <c r="AC7" s="99">
        <f>'Sec 94'!N28+SP!P62+SUM(GM!P886:P887)</f>
        <v>3643500</v>
      </c>
      <c r="AD7" s="33">
        <f>'Sec 94'!N96</f>
        <v>835000</v>
      </c>
      <c r="AE7" s="99">
        <f>AC7-AD7</f>
        <v>2808500</v>
      </c>
      <c r="AF7" s="502">
        <f>'Sec 94'!O28+SP!Q62+SUM(GM!Q886:Q887)</f>
        <v>3774000</v>
      </c>
      <c r="AG7" s="33">
        <f>'Sec 94'!O96</f>
        <v>843000</v>
      </c>
      <c r="AH7" s="102">
        <f>AF7-AG7</f>
        <v>2931000</v>
      </c>
      <c r="AI7" s="99">
        <f>'Sec 94'!P28+SP!R62+SUM(GM!R886:R887)</f>
        <v>3908000</v>
      </c>
      <c r="AJ7" s="33">
        <f>'Sec 94'!P96</f>
        <v>851000</v>
      </c>
      <c r="AK7" s="114">
        <f>AI7-AJ7</f>
        <v>3057000</v>
      </c>
    </row>
    <row r="8" spans="1:37" s="340" customFormat="1" x14ac:dyDescent="0.2">
      <c r="A8" s="889" t="s">
        <v>3574</v>
      </c>
      <c r="B8" s="186">
        <v>270200</v>
      </c>
      <c r="C8" s="152">
        <f>106200+2000+20600+53200+11000+7600</f>
        <v>200600</v>
      </c>
      <c r="D8" s="129">
        <f>B8-C8</f>
        <v>69600</v>
      </c>
      <c r="E8" s="186"/>
      <c r="F8" s="33">
        <f>4000+3500+13400+22000+17500+10000+21900+10900+15000+8700+14900+33200+4700+20000+15000+15000</f>
        <v>229700</v>
      </c>
      <c r="G8" s="129">
        <f t="shared" ref="G8:G9" si="9">E8-F8</f>
        <v>-229700</v>
      </c>
      <c r="H8" s="142"/>
      <c r="I8" s="334"/>
      <c r="J8" s="129"/>
      <c r="K8" s="186"/>
      <c r="L8" s="99"/>
      <c r="M8" s="129"/>
      <c r="N8" s="142"/>
      <c r="O8" s="334"/>
      <c r="P8" s="102"/>
      <c r="Q8" s="99"/>
      <c r="R8" s="33"/>
      <c r="S8" s="114"/>
      <c r="T8" s="99"/>
      <c r="U8" s="33"/>
      <c r="V8" s="99"/>
      <c r="W8" s="502"/>
      <c r="X8" s="33"/>
      <c r="Y8" s="102"/>
      <c r="Z8" s="502"/>
      <c r="AA8" s="33"/>
      <c r="AB8" s="102"/>
      <c r="AC8" s="99"/>
      <c r="AD8" s="33"/>
      <c r="AE8" s="99"/>
      <c r="AF8" s="502"/>
      <c r="AG8" s="33"/>
      <c r="AH8" s="102"/>
      <c r="AI8" s="99"/>
      <c r="AJ8" s="33"/>
      <c r="AK8" s="114"/>
    </row>
    <row r="9" spans="1:37" s="340" customFormat="1" x14ac:dyDescent="0.2">
      <c r="A9" s="889" t="s">
        <v>3575</v>
      </c>
      <c r="B9" s="186">
        <v>47400</v>
      </c>
      <c r="C9" s="971">
        <f>38500</f>
        <v>38500</v>
      </c>
      <c r="D9" s="129">
        <f>B9-C9</f>
        <v>8900</v>
      </c>
      <c r="E9" s="186"/>
      <c r="F9" s="33">
        <f>19700+27700+26600</f>
        <v>74000</v>
      </c>
      <c r="G9" s="129">
        <f t="shared" si="9"/>
        <v>-74000</v>
      </c>
      <c r="H9" s="142"/>
      <c r="I9" s="334"/>
      <c r="J9" s="129"/>
      <c r="K9" s="186"/>
      <c r="L9" s="99"/>
      <c r="M9" s="129"/>
      <c r="N9" s="142"/>
      <c r="O9" s="334"/>
      <c r="P9" s="102"/>
      <c r="Q9" s="99"/>
      <c r="R9" s="33"/>
      <c r="S9" s="114"/>
      <c r="T9" s="99"/>
      <c r="U9" s="33"/>
      <c r="V9" s="99"/>
      <c r="W9" s="502"/>
      <c r="X9" s="33"/>
      <c r="Y9" s="102"/>
      <c r="Z9" s="502"/>
      <c r="AA9" s="33"/>
      <c r="AB9" s="102"/>
      <c r="AC9" s="99"/>
      <c r="AD9" s="33"/>
      <c r="AE9" s="99"/>
      <c r="AF9" s="502"/>
      <c r="AG9" s="33"/>
      <c r="AH9" s="102"/>
      <c r="AI9" s="99"/>
      <c r="AJ9" s="33"/>
      <c r="AK9" s="114"/>
    </row>
    <row r="10" spans="1:37" s="340" customFormat="1" hidden="1" x14ac:dyDescent="0.2">
      <c r="A10" s="889" t="s">
        <v>3661</v>
      </c>
      <c r="B10" s="186"/>
      <c r="C10" s="152"/>
      <c r="D10" s="129"/>
      <c r="E10" s="186"/>
      <c r="F10" s="33"/>
      <c r="G10" s="129"/>
      <c r="H10" s="142"/>
      <c r="I10" s="334"/>
      <c r="J10" s="129"/>
      <c r="K10" s="186"/>
      <c r="L10" s="99"/>
      <c r="M10" s="129"/>
      <c r="N10" s="142"/>
      <c r="O10" s="334"/>
      <c r="P10" s="102"/>
      <c r="Q10" s="99"/>
      <c r="R10" s="33"/>
      <c r="S10" s="114"/>
      <c r="T10" s="99"/>
      <c r="U10" s="33"/>
      <c r="V10" s="99"/>
      <c r="W10" s="502"/>
      <c r="X10" s="33"/>
      <c r="Y10" s="102"/>
      <c r="Z10" s="502"/>
      <c r="AA10" s="33"/>
      <c r="AB10" s="102"/>
      <c r="AC10" s="99"/>
      <c r="AD10" s="33"/>
      <c r="AE10" s="99"/>
      <c r="AF10" s="502"/>
      <c r="AG10" s="33"/>
      <c r="AH10" s="102"/>
      <c r="AI10" s="99"/>
      <c r="AJ10" s="33"/>
      <c r="AK10" s="114"/>
    </row>
    <row r="11" spans="1:37" s="340" customFormat="1" x14ac:dyDescent="0.2">
      <c r="A11" s="889"/>
      <c r="B11" s="186"/>
      <c r="C11" s="152"/>
      <c r="D11" s="129"/>
      <c r="E11" s="186"/>
      <c r="F11" s="33"/>
      <c r="G11" s="129"/>
      <c r="H11" s="142"/>
      <c r="I11" s="334"/>
      <c r="J11" s="129"/>
      <c r="K11" s="186"/>
      <c r="L11" s="99"/>
      <c r="M11" s="129"/>
      <c r="N11" s="142"/>
      <c r="O11" s="334"/>
      <c r="P11" s="102"/>
      <c r="Q11" s="99"/>
      <c r="R11" s="33"/>
      <c r="S11" s="114"/>
      <c r="T11" s="99"/>
      <c r="U11" s="33"/>
      <c r="V11" s="99"/>
      <c r="W11" s="502"/>
      <c r="X11" s="33"/>
      <c r="Y11" s="102"/>
      <c r="Z11" s="502"/>
      <c r="AA11" s="33"/>
      <c r="AB11" s="102"/>
      <c r="AC11" s="99"/>
      <c r="AD11" s="33"/>
      <c r="AE11" s="99"/>
      <c r="AF11" s="502"/>
      <c r="AG11" s="33"/>
      <c r="AH11" s="102"/>
      <c r="AI11" s="99"/>
      <c r="AJ11" s="33"/>
      <c r="AK11" s="114"/>
    </row>
    <row r="12" spans="1:37" s="340" customFormat="1" x14ac:dyDescent="0.2">
      <c r="A12" s="1106" t="s">
        <v>559</v>
      </c>
      <c r="B12" s="186"/>
      <c r="C12" s="152"/>
      <c r="D12" s="129"/>
      <c r="E12" s="186"/>
      <c r="F12" s="33"/>
      <c r="G12" s="129"/>
      <c r="H12" s="142"/>
      <c r="I12" s="334"/>
      <c r="J12" s="129"/>
      <c r="K12" s="186"/>
      <c r="L12" s="99"/>
      <c r="M12" s="129"/>
      <c r="N12" s="142"/>
      <c r="O12" s="334"/>
      <c r="P12" s="102"/>
      <c r="Q12" s="99"/>
      <c r="R12" s="33"/>
      <c r="S12" s="114"/>
      <c r="T12" s="99"/>
      <c r="U12" s="33"/>
      <c r="V12" s="99"/>
      <c r="W12" s="502"/>
      <c r="X12" s="33"/>
      <c r="Y12" s="102"/>
      <c r="Z12" s="502"/>
      <c r="AA12" s="33"/>
      <c r="AB12" s="102"/>
      <c r="AC12" s="99"/>
      <c r="AD12" s="33"/>
      <c r="AE12" s="99"/>
      <c r="AF12" s="502"/>
      <c r="AG12" s="33"/>
      <c r="AH12" s="102"/>
      <c r="AI12" s="99"/>
      <c r="AJ12" s="33"/>
      <c r="AK12" s="114"/>
    </row>
    <row r="13" spans="1:37" s="340" customFormat="1" x14ac:dyDescent="0.2">
      <c r="A13" s="889" t="s">
        <v>3415</v>
      </c>
      <c r="B13" s="186">
        <v>5300</v>
      </c>
      <c r="C13" s="152">
        <v>7100</v>
      </c>
      <c r="D13" s="129">
        <f t="shared" ref="D13:D18" si="10">B13-C13</f>
        <v>-1800</v>
      </c>
      <c r="E13" s="186"/>
      <c r="F13" s="33">
        <v>5300</v>
      </c>
      <c r="G13" s="129">
        <f>E13-F13</f>
        <v>-5300</v>
      </c>
      <c r="H13" s="142"/>
      <c r="I13" s="334"/>
      <c r="J13" s="129"/>
      <c r="K13" s="186"/>
      <c r="L13" s="99"/>
      <c r="M13" s="129"/>
      <c r="N13" s="142"/>
      <c r="O13" s="334"/>
      <c r="P13" s="102"/>
      <c r="Q13" s="99"/>
      <c r="R13" s="33"/>
      <c r="S13" s="114"/>
      <c r="T13" s="99"/>
      <c r="U13" s="33"/>
      <c r="V13" s="99"/>
      <c r="W13" s="502"/>
      <c r="X13" s="33"/>
      <c r="Y13" s="102"/>
      <c r="Z13" s="502"/>
      <c r="AA13" s="33"/>
      <c r="AB13" s="102"/>
      <c r="AC13" s="99"/>
      <c r="AD13" s="33"/>
      <c r="AE13" s="99"/>
      <c r="AF13" s="502"/>
      <c r="AG13" s="33"/>
      <c r="AH13" s="102"/>
      <c r="AI13" s="99"/>
      <c r="AJ13" s="33"/>
      <c r="AK13" s="114"/>
    </row>
    <row r="14" spans="1:37" s="340" customFormat="1" hidden="1" x14ac:dyDescent="0.2">
      <c r="A14" s="889" t="s">
        <v>3405</v>
      </c>
      <c r="B14" s="186"/>
      <c r="C14" s="152">
        <f>13200</f>
        <v>13200</v>
      </c>
      <c r="D14" s="129">
        <f t="shared" si="10"/>
        <v>-13200</v>
      </c>
      <c r="E14" s="186"/>
      <c r="F14" s="33"/>
      <c r="G14" s="129"/>
      <c r="H14" s="142"/>
      <c r="I14" s="33"/>
      <c r="J14" s="129"/>
      <c r="K14" s="186"/>
      <c r="L14" s="99"/>
      <c r="M14" s="129"/>
      <c r="N14" s="142"/>
      <c r="O14" s="33"/>
      <c r="P14" s="102"/>
      <c r="Q14" s="99"/>
      <c r="R14" s="33"/>
      <c r="S14" s="114"/>
      <c r="T14" s="99"/>
      <c r="U14" s="33"/>
      <c r="V14" s="99"/>
      <c r="W14" s="502"/>
      <c r="X14" s="33"/>
      <c r="Y14" s="102"/>
      <c r="Z14" s="502"/>
      <c r="AA14" s="33"/>
      <c r="AB14" s="102"/>
      <c r="AC14" s="99"/>
      <c r="AD14" s="33"/>
      <c r="AE14" s="99"/>
      <c r="AF14" s="502"/>
      <c r="AG14" s="33"/>
      <c r="AH14" s="102"/>
      <c r="AI14" s="99"/>
      <c r="AJ14" s="33"/>
      <c r="AK14" s="114"/>
    </row>
    <row r="15" spans="1:37" s="340" customFormat="1" x14ac:dyDescent="0.2">
      <c r="A15" s="889" t="s">
        <v>6037</v>
      </c>
      <c r="B15" s="186">
        <v>234400</v>
      </c>
      <c r="C15" s="152">
        <v>0</v>
      </c>
      <c r="D15" s="129">
        <f t="shared" si="10"/>
        <v>234400</v>
      </c>
      <c r="E15" s="186">
        <f>F233</f>
        <v>1000000</v>
      </c>
      <c r="F15" s="33">
        <v>0</v>
      </c>
      <c r="G15" s="129">
        <f t="shared" ref="G15" si="11">E15-F15</f>
        <v>1000000</v>
      </c>
      <c r="H15" s="142">
        <f>I233</f>
        <v>2000000</v>
      </c>
      <c r="I15" s="33">
        <f>'Cap-Gen'!G11</f>
        <v>1257000</v>
      </c>
      <c r="J15" s="129">
        <f t="shared" ref="J15" si="12">H15-I15</f>
        <v>743000</v>
      </c>
      <c r="K15" s="186">
        <f>L233</f>
        <v>1000000</v>
      </c>
      <c r="L15" s="99">
        <f>'Cap-Gen'!H11</f>
        <v>2000000</v>
      </c>
      <c r="M15" s="129">
        <f t="shared" ref="M15" si="13">K15-L15</f>
        <v>-1000000</v>
      </c>
      <c r="N15" s="142">
        <f>O233</f>
        <v>1000000</v>
      </c>
      <c r="O15" s="132">
        <f>'Cap-Gen'!I11</f>
        <v>1000000</v>
      </c>
      <c r="P15" s="102">
        <f t="shared" ref="P15" si="14">N15-O15</f>
        <v>0</v>
      </c>
      <c r="Q15" s="99">
        <f>R233</f>
        <v>0</v>
      </c>
      <c r="R15" s="33">
        <f>'Cap-Gen'!J11-'Cap Inc'!I124</f>
        <v>1000000</v>
      </c>
      <c r="S15" s="114">
        <f t="shared" ref="S15" si="15">Q15-R15</f>
        <v>-1000000</v>
      </c>
      <c r="T15" s="99"/>
      <c r="U15" s="33"/>
      <c r="V15" s="99"/>
      <c r="W15" s="502"/>
      <c r="X15" s="33"/>
      <c r="Y15" s="102"/>
      <c r="Z15" s="502"/>
      <c r="AA15" s="33"/>
      <c r="AB15" s="102"/>
      <c r="AC15" s="99"/>
      <c r="AD15" s="33"/>
      <c r="AE15" s="99"/>
      <c r="AF15" s="502"/>
      <c r="AG15" s="33"/>
      <c r="AH15" s="102"/>
      <c r="AI15" s="99"/>
      <c r="AJ15" s="33"/>
      <c r="AK15" s="114"/>
    </row>
    <row r="16" spans="1:37" x14ac:dyDescent="0.2">
      <c r="A16" s="889" t="s">
        <v>4814</v>
      </c>
      <c r="B16" s="186">
        <v>19000</v>
      </c>
      <c r="C16" s="152">
        <v>170200</v>
      </c>
      <c r="D16" s="129">
        <f t="shared" si="10"/>
        <v>-151200</v>
      </c>
      <c r="E16" s="186"/>
      <c r="F16" s="33">
        <v>19000</v>
      </c>
      <c r="G16" s="129">
        <f>E16-F16</f>
        <v>-19000</v>
      </c>
      <c r="H16" s="142"/>
      <c r="I16" s="33"/>
      <c r="J16" s="129"/>
      <c r="K16" s="186"/>
      <c r="L16" s="99"/>
      <c r="M16" s="129"/>
      <c r="N16" s="142"/>
      <c r="O16" s="33"/>
      <c r="P16" s="102"/>
      <c r="Q16" s="99"/>
      <c r="R16" s="33"/>
      <c r="S16" s="114"/>
      <c r="T16" s="99"/>
      <c r="U16" s="33"/>
      <c r="V16" s="99"/>
      <c r="W16" s="502"/>
      <c r="X16" s="33"/>
      <c r="Y16" s="102"/>
      <c r="Z16" s="502"/>
      <c r="AA16" s="33"/>
      <c r="AB16" s="102"/>
      <c r="AC16" s="99"/>
      <c r="AD16" s="33"/>
      <c r="AE16" s="99"/>
      <c r="AF16" s="502"/>
      <c r="AG16" s="33"/>
      <c r="AH16" s="102"/>
      <c r="AI16" s="99"/>
      <c r="AJ16" s="33"/>
      <c r="AK16" s="114"/>
    </row>
    <row r="17" spans="1:37" x14ac:dyDescent="0.2">
      <c r="A17" s="889" t="s">
        <v>5668</v>
      </c>
      <c r="B17" s="186">
        <v>1300</v>
      </c>
      <c r="C17" s="152">
        <f>35000+7000</f>
        <v>42000</v>
      </c>
      <c r="D17" s="129">
        <f t="shared" si="10"/>
        <v>-40700</v>
      </c>
      <c r="E17" s="186"/>
      <c r="F17" s="33">
        <v>1300</v>
      </c>
      <c r="G17" s="129">
        <f>E17-F17</f>
        <v>-1300</v>
      </c>
      <c r="H17" s="142"/>
      <c r="I17" s="33"/>
      <c r="J17" s="129"/>
      <c r="K17" s="186"/>
      <c r="L17" s="99"/>
      <c r="M17" s="129"/>
      <c r="N17" s="142"/>
      <c r="O17" s="33"/>
      <c r="P17" s="102"/>
      <c r="Q17" s="99"/>
      <c r="R17" s="33"/>
      <c r="S17" s="114"/>
      <c r="T17" s="99"/>
      <c r="U17" s="33"/>
      <c r="V17" s="99"/>
      <c r="W17" s="502"/>
      <c r="X17" s="33"/>
      <c r="Y17" s="102"/>
      <c r="Z17" s="502"/>
      <c r="AA17" s="33"/>
      <c r="AB17" s="102"/>
      <c r="AC17" s="99"/>
      <c r="AD17" s="33"/>
      <c r="AE17" s="99"/>
      <c r="AF17" s="502"/>
      <c r="AG17" s="33"/>
      <c r="AH17" s="102"/>
      <c r="AI17" s="99"/>
      <c r="AJ17" s="33"/>
      <c r="AK17" s="114"/>
    </row>
    <row r="18" spans="1:37" s="340" customFormat="1" hidden="1" x14ac:dyDescent="0.2">
      <c r="A18" s="889" t="s">
        <v>5383</v>
      </c>
      <c r="B18" s="186"/>
      <c r="C18" s="152">
        <f>35000+44000</f>
        <v>79000</v>
      </c>
      <c r="D18" s="129">
        <f t="shared" si="10"/>
        <v>-79000</v>
      </c>
      <c r="E18" s="186"/>
      <c r="F18" s="33"/>
      <c r="G18" s="129"/>
      <c r="H18" s="142"/>
      <c r="I18" s="33"/>
      <c r="J18" s="129"/>
      <c r="K18" s="186"/>
      <c r="L18" s="99"/>
      <c r="M18" s="129"/>
      <c r="N18" s="142"/>
      <c r="O18" s="334"/>
      <c r="P18" s="102"/>
      <c r="Q18" s="99"/>
      <c r="R18" s="33"/>
      <c r="S18" s="114"/>
      <c r="T18" s="99"/>
      <c r="U18" s="33"/>
      <c r="V18" s="99"/>
      <c r="W18" s="502"/>
      <c r="X18" s="33"/>
      <c r="Y18" s="102"/>
      <c r="Z18" s="502"/>
      <c r="AA18" s="33"/>
      <c r="AB18" s="102"/>
      <c r="AC18" s="99"/>
      <c r="AD18" s="33"/>
      <c r="AE18" s="99"/>
      <c r="AF18" s="502"/>
      <c r="AG18" s="33"/>
      <c r="AH18" s="102"/>
      <c r="AI18" s="99"/>
      <c r="AJ18" s="33"/>
      <c r="AK18" s="114"/>
    </row>
    <row r="19" spans="1:37" s="340" customFormat="1" x14ac:dyDescent="0.2">
      <c r="A19" s="889"/>
      <c r="B19" s="186"/>
      <c r="C19" s="152"/>
      <c r="D19" s="129"/>
      <c r="E19" s="186"/>
      <c r="F19" s="33"/>
      <c r="G19" s="129"/>
      <c r="H19" s="142"/>
      <c r="I19" s="334"/>
      <c r="J19" s="129"/>
      <c r="K19" s="186"/>
      <c r="L19" s="99"/>
      <c r="M19" s="129"/>
      <c r="N19" s="142"/>
      <c r="O19" s="334"/>
      <c r="P19" s="102"/>
      <c r="Q19" s="99"/>
      <c r="R19" s="33"/>
      <c r="S19" s="114"/>
      <c r="T19" s="99"/>
      <c r="U19" s="33"/>
      <c r="V19" s="99"/>
      <c r="W19" s="502"/>
      <c r="X19" s="33"/>
      <c r="Y19" s="102"/>
      <c r="Z19" s="502"/>
      <c r="AA19" s="33"/>
      <c r="AB19" s="102"/>
      <c r="AC19" s="99"/>
      <c r="AD19" s="33"/>
      <c r="AE19" s="99"/>
      <c r="AF19" s="502"/>
      <c r="AG19" s="33"/>
      <c r="AH19" s="102"/>
      <c r="AI19" s="99"/>
      <c r="AJ19" s="33"/>
      <c r="AK19" s="114"/>
    </row>
    <row r="20" spans="1:37" x14ac:dyDescent="0.2">
      <c r="A20" s="1106" t="s">
        <v>2921</v>
      </c>
      <c r="B20" s="186"/>
      <c r="C20" s="152"/>
      <c r="D20" s="129"/>
      <c r="E20" s="186"/>
      <c r="F20" s="33"/>
      <c r="G20" s="129"/>
      <c r="H20" s="142"/>
      <c r="I20" s="33"/>
      <c r="J20" s="129"/>
      <c r="K20" s="186"/>
      <c r="L20" s="33"/>
      <c r="M20" s="129"/>
      <c r="N20" s="142"/>
      <c r="O20" s="33"/>
      <c r="P20" s="102"/>
      <c r="Q20" s="99"/>
      <c r="R20" s="33"/>
      <c r="S20" s="114"/>
      <c r="T20" s="99"/>
      <c r="U20" s="33"/>
      <c r="V20" s="99"/>
      <c r="W20" s="502"/>
      <c r="X20" s="33"/>
      <c r="Y20" s="102"/>
      <c r="Z20" s="502"/>
      <c r="AA20" s="33"/>
      <c r="AB20" s="102"/>
      <c r="AC20" s="99"/>
      <c r="AD20" s="33"/>
      <c r="AE20" s="99"/>
      <c r="AF20" s="502"/>
      <c r="AG20" s="33"/>
      <c r="AH20" s="102"/>
      <c r="AI20" s="99"/>
      <c r="AJ20" s="33"/>
      <c r="AK20" s="114"/>
    </row>
    <row r="21" spans="1:37" x14ac:dyDescent="0.2">
      <c r="A21" s="889" t="s">
        <v>3576</v>
      </c>
      <c r="B21" s="186">
        <v>2000</v>
      </c>
      <c r="C21" s="152">
        <v>17300</v>
      </c>
      <c r="D21" s="321">
        <f t="shared" ref="D21:D34" si="16">B21-C21</f>
        <v>-15300</v>
      </c>
      <c r="E21" s="186"/>
      <c r="F21" s="33">
        <v>2000</v>
      </c>
      <c r="G21" s="129">
        <f>E21-F21</f>
        <v>-2000</v>
      </c>
      <c r="H21" s="142"/>
      <c r="I21" s="33"/>
      <c r="J21" s="129"/>
      <c r="K21" s="186"/>
      <c r="L21" s="33"/>
      <c r="M21" s="129"/>
      <c r="N21" s="142"/>
      <c r="O21" s="33"/>
      <c r="P21" s="102"/>
      <c r="Q21" s="99"/>
      <c r="R21" s="33"/>
      <c r="S21" s="114"/>
      <c r="T21" s="99"/>
      <c r="U21" s="33"/>
      <c r="V21" s="99"/>
      <c r="W21" s="502"/>
      <c r="X21" s="33"/>
      <c r="Y21" s="102"/>
      <c r="Z21" s="502"/>
      <c r="AA21" s="33"/>
      <c r="AB21" s="102"/>
      <c r="AC21" s="99"/>
      <c r="AD21" s="33"/>
      <c r="AE21" s="99"/>
      <c r="AF21" s="502"/>
      <c r="AG21" s="33"/>
      <c r="AH21" s="102"/>
      <c r="AI21" s="99"/>
      <c r="AJ21" s="33"/>
      <c r="AK21" s="114"/>
    </row>
    <row r="22" spans="1:37" x14ac:dyDescent="0.2">
      <c r="A22" s="889" t="s">
        <v>6532</v>
      </c>
      <c r="B22" s="186">
        <v>55000</v>
      </c>
      <c r="C22" s="152">
        <f>10000</f>
        <v>10000</v>
      </c>
      <c r="D22" s="321">
        <f t="shared" si="16"/>
        <v>45000</v>
      </c>
      <c r="E22" s="186">
        <v>10000</v>
      </c>
      <c r="F22" s="33">
        <f>SP!G437</f>
        <v>35000</v>
      </c>
      <c r="G22" s="129">
        <f t="shared" ref="G22" si="17">E22-F22</f>
        <v>-25000</v>
      </c>
      <c r="H22" s="142">
        <v>10000</v>
      </c>
      <c r="I22" s="33"/>
      <c r="J22" s="129">
        <f t="shared" ref="J22" si="18">H22-I22</f>
        <v>10000</v>
      </c>
      <c r="K22" s="186">
        <v>10000</v>
      </c>
      <c r="L22" s="33"/>
      <c r="M22" s="129">
        <f t="shared" ref="M22" si="19">K22-L22</f>
        <v>10000</v>
      </c>
      <c r="N22" s="142">
        <v>10000</v>
      </c>
      <c r="O22" s="33"/>
      <c r="P22" s="102">
        <f t="shared" ref="P22" si="20">N22-O22</f>
        <v>10000</v>
      </c>
      <c r="Q22" s="99">
        <v>10000</v>
      </c>
      <c r="R22" s="33"/>
      <c r="S22" s="114">
        <f t="shared" ref="S22" si="21">Q22-R22</f>
        <v>10000</v>
      </c>
      <c r="T22" s="99">
        <v>10000</v>
      </c>
      <c r="U22" s="33"/>
      <c r="V22" s="99">
        <f t="shared" ref="V22" si="22">T22-U22</f>
        <v>10000</v>
      </c>
      <c r="W22" s="502">
        <v>10000</v>
      </c>
      <c r="X22" s="33"/>
      <c r="Y22" s="102">
        <f t="shared" ref="Y22" si="23">W22-X22</f>
        <v>10000</v>
      </c>
      <c r="Z22" s="502">
        <v>10000</v>
      </c>
      <c r="AA22" s="33"/>
      <c r="AB22" s="102">
        <f t="shared" ref="AB22" si="24">Z22-AA22</f>
        <v>10000</v>
      </c>
      <c r="AC22" s="99">
        <v>10000</v>
      </c>
      <c r="AD22" s="33"/>
      <c r="AE22" s="99">
        <f t="shared" ref="AE22" si="25">AC22-AD22</f>
        <v>10000</v>
      </c>
      <c r="AF22" s="502">
        <v>10000</v>
      </c>
      <c r="AG22" s="33"/>
      <c r="AH22" s="102">
        <f t="shared" ref="AH22" si="26">AF22-AG22</f>
        <v>10000</v>
      </c>
      <c r="AI22" s="99">
        <v>10000</v>
      </c>
      <c r="AJ22" s="33"/>
      <c r="AK22" s="114">
        <f t="shared" ref="AK22" si="27">AI22-AJ22</f>
        <v>10000</v>
      </c>
    </row>
    <row r="23" spans="1:37" x14ac:dyDescent="0.2">
      <c r="A23" s="889"/>
      <c r="B23" s="186"/>
      <c r="C23" s="152"/>
      <c r="D23" s="321"/>
      <c r="E23" s="186"/>
      <c r="F23" s="33"/>
      <c r="G23" s="129"/>
      <c r="H23" s="142"/>
      <c r="I23" s="33"/>
      <c r="J23" s="129"/>
      <c r="K23" s="186"/>
      <c r="L23" s="33"/>
      <c r="M23" s="129"/>
      <c r="N23" s="142"/>
      <c r="O23" s="33"/>
      <c r="P23" s="102"/>
      <c r="Q23" s="99"/>
      <c r="R23" s="33"/>
      <c r="S23" s="114"/>
      <c r="T23" s="99"/>
      <c r="U23" s="33"/>
      <c r="V23" s="99"/>
      <c r="W23" s="502"/>
      <c r="X23" s="33"/>
      <c r="Y23" s="102"/>
      <c r="Z23" s="502"/>
      <c r="AA23" s="33"/>
      <c r="AB23" s="102"/>
      <c r="AC23" s="99"/>
      <c r="AD23" s="33"/>
      <c r="AE23" s="99"/>
      <c r="AF23" s="502"/>
      <c r="AG23" s="33"/>
      <c r="AH23" s="102"/>
      <c r="AI23" s="99"/>
      <c r="AJ23" s="33"/>
      <c r="AK23" s="114"/>
    </row>
    <row r="24" spans="1:37" x14ac:dyDescent="0.2">
      <c r="A24" s="1106" t="s">
        <v>2923</v>
      </c>
      <c r="B24" s="186"/>
      <c r="C24" s="152"/>
      <c r="D24" s="321"/>
      <c r="E24" s="186"/>
      <c r="F24" s="33"/>
      <c r="G24" s="129"/>
      <c r="H24" s="142"/>
      <c r="I24" s="33"/>
      <c r="J24" s="129"/>
      <c r="K24" s="186"/>
      <c r="L24" s="33"/>
      <c r="M24" s="129"/>
      <c r="N24" s="142"/>
      <c r="O24" s="33"/>
      <c r="P24" s="102"/>
      <c r="Q24" s="99"/>
      <c r="R24" s="33"/>
      <c r="S24" s="114"/>
      <c r="T24" s="99"/>
      <c r="U24" s="33"/>
      <c r="V24" s="99"/>
      <c r="W24" s="502"/>
      <c r="X24" s="33"/>
      <c r="Y24" s="102"/>
      <c r="Z24" s="502"/>
      <c r="AA24" s="33"/>
      <c r="AB24" s="102"/>
      <c r="AC24" s="99"/>
      <c r="AD24" s="33"/>
      <c r="AE24" s="99"/>
      <c r="AF24" s="502"/>
      <c r="AG24" s="33"/>
      <c r="AH24" s="102"/>
      <c r="AI24" s="99"/>
      <c r="AJ24" s="33"/>
      <c r="AK24" s="114"/>
    </row>
    <row r="25" spans="1:37" x14ac:dyDescent="0.2">
      <c r="A25" s="889" t="s">
        <v>4177</v>
      </c>
      <c r="B25" s="186">
        <v>64200</v>
      </c>
      <c r="C25" s="152">
        <v>54800</v>
      </c>
      <c r="D25" s="321">
        <f t="shared" si="16"/>
        <v>9400</v>
      </c>
      <c r="E25" s="186"/>
      <c r="F25" s="33">
        <v>64200</v>
      </c>
      <c r="G25" s="129">
        <f>E25-F25</f>
        <v>-64200</v>
      </c>
      <c r="H25" s="142"/>
      <c r="I25" s="33"/>
      <c r="J25" s="129"/>
      <c r="K25" s="186"/>
      <c r="L25" s="33"/>
      <c r="M25" s="129"/>
      <c r="N25" s="142"/>
      <c r="O25" s="33"/>
      <c r="P25" s="102"/>
      <c r="Q25" s="99"/>
      <c r="R25" s="33"/>
      <c r="S25" s="114"/>
      <c r="T25" s="99"/>
      <c r="U25" s="33"/>
      <c r="V25" s="99"/>
      <c r="W25" s="502"/>
      <c r="X25" s="33"/>
      <c r="Y25" s="102"/>
      <c r="Z25" s="502"/>
      <c r="AA25" s="33"/>
      <c r="AB25" s="102"/>
      <c r="AC25" s="99"/>
      <c r="AD25" s="33"/>
      <c r="AE25" s="99"/>
      <c r="AF25" s="502"/>
      <c r="AG25" s="33"/>
      <c r="AH25" s="102"/>
      <c r="AI25" s="99"/>
      <c r="AJ25" s="33"/>
      <c r="AK25" s="114"/>
    </row>
    <row r="26" spans="1:37" hidden="1" x14ac:dyDescent="0.2">
      <c r="A26" s="889" t="s">
        <v>6782</v>
      </c>
      <c r="B26" s="186"/>
      <c r="C26" s="152">
        <f>8400+56900</f>
        <v>65300</v>
      </c>
      <c r="D26" s="321">
        <f t="shared" si="16"/>
        <v>-65300</v>
      </c>
      <c r="E26" s="186"/>
      <c r="F26" s="33"/>
      <c r="G26" s="129"/>
      <c r="H26" s="142"/>
      <c r="I26" s="33"/>
      <c r="J26" s="129"/>
      <c r="K26" s="186"/>
      <c r="L26" s="33"/>
      <c r="M26" s="129"/>
      <c r="N26" s="142"/>
      <c r="O26" s="33"/>
      <c r="P26" s="102"/>
      <c r="Q26" s="99"/>
      <c r="R26" s="33"/>
      <c r="S26" s="114"/>
      <c r="T26" s="99"/>
      <c r="U26" s="33"/>
      <c r="V26" s="99"/>
      <c r="W26" s="502"/>
      <c r="X26" s="33"/>
      <c r="Y26" s="102"/>
      <c r="Z26" s="502"/>
      <c r="AA26" s="33"/>
      <c r="AB26" s="102"/>
      <c r="AC26" s="99"/>
      <c r="AD26" s="33"/>
      <c r="AE26" s="99"/>
      <c r="AF26" s="502"/>
      <c r="AG26" s="33"/>
      <c r="AH26" s="102"/>
      <c r="AI26" s="99"/>
      <c r="AJ26" s="33"/>
      <c r="AK26" s="114"/>
    </row>
    <row r="27" spans="1:37" x14ac:dyDescent="0.2">
      <c r="A27" s="889"/>
      <c r="B27" s="186"/>
      <c r="C27" s="152"/>
      <c r="D27" s="321"/>
      <c r="E27" s="186"/>
      <c r="F27" s="33"/>
      <c r="G27" s="129"/>
      <c r="H27" s="142"/>
      <c r="I27" s="33"/>
      <c r="J27" s="129"/>
      <c r="K27" s="186"/>
      <c r="L27" s="33"/>
      <c r="M27" s="129"/>
      <c r="N27" s="142"/>
      <c r="O27" s="33"/>
      <c r="P27" s="102"/>
      <c r="Q27" s="99"/>
      <c r="R27" s="33"/>
      <c r="S27" s="114"/>
      <c r="T27" s="99"/>
      <c r="U27" s="33"/>
      <c r="V27" s="99"/>
      <c r="W27" s="502"/>
      <c r="X27" s="33"/>
      <c r="Y27" s="102"/>
      <c r="Z27" s="502"/>
      <c r="AA27" s="33"/>
      <c r="AB27" s="102"/>
      <c r="AC27" s="99"/>
      <c r="AD27" s="33"/>
      <c r="AE27" s="99"/>
      <c r="AF27" s="502"/>
      <c r="AG27" s="33"/>
      <c r="AH27" s="102"/>
      <c r="AI27" s="99"/>
      <c r="AJ27" s="33"/>
      <c r="AK27" s="114"/>
    </row>
    <row r="28" spans="1:37" x14ac:dyDescent="0.2">
      <c r="A28" s="1106" t="s">
        <v>389</v>
      </c>
      <c r="B28" s="186"/>
      <c r="C28" s="152"/>
      <c r="D28" s="321"/>
      <c r="E28" s="186"/>
      <c r="F28" s="33"/>
      <c r="G28" s="129"/>
      <c r="H28" s="142"/>
      <c r="I28" s="33"/>
      <c r="J28" s="129"/>
      <c r="K28" s="186"/>
      <c r="L28" s="33"/>
      <c r="M28" s="129"/>
      <c r="N28" s="142"/>
      <c r="O28" s="33"/>
      <c r="P28" s="102"/>
      <c r="Q28" s="99"/>
      <c r="R28" s="33"/>
      <c r="S28" s="114"/>
      <c r="T28" s="99"/>
      <c r="U28" s="33"/>
      <c r="V28" s="99"/>
      <c r="W28" s="502"/>
      <c r="X28" s="33"/>
      <c r="Y28" s="102"/>
      <c r="Z28" s="502"/>
      <c r="AA28" s="33"/>
      <c r="AB28" s="102"/>
      <c r="AC28" s="99"/>
      <c r="AD28" s="33"/>
      <c r="AE28" s="99"/>
      <c r="AF28" s="502"/>
      <c r="AG28" s="33"/>
      <c r="AH28" s="102"/>
      <c r="AI28" s="99"/>
      <c r="AJ28" s="33"/>
      <c r="AK28" s="114"/>
    </row>
    <row r="29" spans="1:37" hidden="1" x14ac:dyDescent="0.2">
      <c r="A29" s="889" t="s">
        <v>668</v>
      </c>
      <c r="B29" s="186">
        <v>10500</v>
      </c>
      <c r="C29" s="152"/>
      <c r="D29" s="321">
        <f t="shared" ref="D29" si="28">B29-C29</f>
        <v>10500</v>
      </c>
      <c r="E29" s="186"/>
      <c r="F29" s="33"/>
      <c r="G29" s="129"/>
      <c r="H29" s="142"/>
      <c r="I29" s="33"/>
      <c r="J29" s="129"/>
      <c r="K29" s="186"/>
      <c r="L29" s="33"/>
      <c r="M29" s="129"/>
      <c r="N29" s="142"/>
      <c r="O29" s="33"/>
      <c r="P29" s="102"/>
      <c r="Q29" s="99"/>
      <c r="R29" s="33"/>
      <c r="S29" s="114"/>
      <c r="T29" s="99"/>
      <c r="U29" s="33"/>
      <c r="V29" s="99"/>
      <c r="W29" s="502"/>
      <c r="X29" s="33"/>
      <c r="Y29" s="102"/>
      <c r="Z29" s="502"/>
      <c r="AA29" s="33"/>
      <c r="AB29" s="102"/>
      <c r="AC29" s="99"/>
      <c r="AD29" s="33"/>
      <c r="AE29" s="99"/>
      <c r="AF29" s="502"/>
      <c r="AG29" s="33"/>
      <c r="AH29" s="102"/>
      <c r="AI29" s="99"/>
      <c r="AJ29" s="33"/>
      <c r="AK29" s="114"/>
    </row>
    <row r="30" spans="1:37" x14ac:dyDescent="0.2">
      <c r="A30" s="889" t="s">
        <v>5621</v>
      </c>
      <c r="B30" s="186">
        <v>439000</v>
      </c>
      <c r="C30" s="152">
        <f>'Cap-Gen'!E17</f>
        <v>115400</v>
      </c>
      <c r="D30" s="321">
        <f t="shared" si="16"/>
        <v>323600</v>
      </c>
      <c r="E30" s="186">
        <f>889000-'Debt-Gen'!G125-'Debt-Gen'!G120</f>
        <v>889000</v>
      </c>
      <c r="F30" s="33">
        <f>'Cap-Gen'!Y17+'Cap-Gen'!Y18</f>
        <v>1379000</v>
      </c>
      <c r="G30" s="129">
        <f t="shared" ref="G30" si="29">E30-F30</f>
        <v>-490000</v>
      </c>
      <c r="H30" s="142"/>
      <c r="I30" s="33"/>
      <c r="J30" s="129"/>
      <c r="K30" s="186"/>
      <c r="L30" s="33"/>
      <c r="M30" s="129"/>
      <c r="N30" s="142"/>
      <c r="O30" s="33"/>
      <c r="P30" s="102"/>
      <c r="Q30" s="99"/>
      <c r="R30" s="33"/>
      <c r="S30" s="114"/>
      <c r="T30" s="99"/>
      <c r="U30" s="33"/>
      <c r="V30" s="99"/>
      <c r="W30" s="502"/>
      <c r="X30" s="33"/>
      <c r="Y30" s="102"/>
      <c r="Z30" s="502"/>
      <c r="AA30" s="33"/>
      <c r="AB30" s="102"/>
      <c r="AC30" s="99"/>
      <c r="AD30" s="33"/>
      <c r="AE30" s="99"/>
      <c r="AF30" s="502"/>
      <c r="AG30" s="33"/>
      <c r="AH30" s="102"/>
      <c r="AI30" s="99"/>
      <c r="AJ30" s="33"/>
      <c r="AK30" s="114"/>
    </row>
    <row r="31" spans="1:37" x14ac:dyDescent="0.2">
      <c r="A31" s="889"/>
      <c r="B31" s="186"/>
      <c r="C31" s="152"/>
      <c r="D31" s="321"/>
      <c r="E31" s="186"/>
      <c r="F31" s="33"/>
      <c r="G31" s="129"/>
      <c r="H31" s="142"/>
      <c r="I31" s="33"/>
      <c r="J31" s="129"/>
      <c r="K31" s="186"/>
      <c r="L31" s="33"/>
      <c r="M31" s="129"/>
      <c r="N31" s="142"/>
      <c r="O31" s="33"/>
      <c r="P31" s="102"/>
      <c r="Q31" s="99"/>
      <c r="R31" s="33"/>
      <c r="S31" s="114"/>
      <c r="T31" s="99"/>
      <c r="U31" s="33"/>
      <c r="V31" s="99"/>
      <c r="W31" s="502"/>
      <c r="X31" s="33"/>
      <c r="Y31" s="102"/>
      <c r="Z31" s="502"/>
      <c r="AA31" s="33"/>
      <c r="AB31" s="102"/>
      <c r="AC31" s="99"/>
      <c r="AD31" s="33"/>
      <c r="AE31" s="99"/>
      <c r="AF31" s="502"/>
      <c r="AG31" s="33"/>
      <c r="AH31" s="102"/>
      <c r="AI31" s="99"/>
      <c r="AJ31" s="33"/>
      <c r="AK31" s="114"/>
    </row>
    <row r="32" spans="1:37" x14ac:dyDescent="0.2">
      <c r="A32" s="1106" t="s">
        <v>1586</v>
      </c>
      <c r="B32" s="186"/>
      <c r="C32" s="152"/>
      <c r="D32" s="321"/>
      <c r="E32" s="186"/>
      <c r="F32" s="33"/>
      <c r="G32" s="129"/>
      <c r="H32" s="142"/>
      <c r="I32" s="33"/>
      <c r="J32" s="129"/>
      <c r="K32" s="186"/>
      <c r="L32" s="33"/>
      <c r="M32" s="129"/>
      <c r="N32" s="142"/>
      <c r="O32" s="33"/>
      <c r="P32" s="102"/>
      <c r="Q32" s="99"/>
      <c r="R32" s="33"/>
      <c r="S32" s="114"/>
      <c r="T32" s="99"/>
      <c r="U32" s="33"/>
      <c r="V32" s="99"/>
      <c r="W32" s="502"/>
      <c r="X32" s="33"/>
      <c r="Y32" s="102"/>
      <c r="Z32" s="502"/>
      <c r="AA32" s="33"/>
      <c r="AB32" s="102"/>
      <c r="AC32" s="99"/>
      <c r="AD32" s="33"/>
      <c r="AE32" s="99"/>
      <c r="AF32" s="502"/>
      <c r="AG32" s="33"/>
      <c r="AH32" s="102"/>
      <c r="AI32" s="99"/>
      <c r="AJ32" s="33"/>
      <c r="AK32" s="114"/>
    </row>
    <row r="33" spans="1:37" x14ac:dyDescent="0.2">
      <c r="A33" s="889" t="s">
        <v>6533</v>
      </c>
      <c r="B33" s="186"/>
      <c r="C33" s="152"/>
      <c r="D33" s="321"/>
      <c r="E33" s="186"/>
      <c r="F33" s="33">
        <v>20000</v>
      </c>
      <c r="G33" s="129">
        <f>E33-F33</f>
        <v>-20000</v>
      </c>
      <c r="H33" s="142"/>
      <c r="I33" s="33"/>
      <c r="J33" s="129"/>
      <c r="K33" s="186"/>
      <c r="L33" s="33"/>
      <c r="M33" s="129"/>
      <c r="N33" s="142"/>
      <c r="O33" s="33"/>
      <c r="P33" s="102"/>
      <c r="Q33" s="99"/>
      <c r="R33" s="33"/>
      <c r="S33" s="114"/>
      <c r="T33" s="99"/>
      <c r="U33" s="33"/>
      <c r="V33" s="99"/>
      <c r="W33" s="502"/>
      <c r="X33" s="33"/>
      <c r="Y33" s="102"/>
      <c r="Z33" s="502"/>
      <c r="AA33" s="33"/>
      <c r="AB33" s="102"/>
      <c r="AC33" s="99"/>
      <c r="AD33" s="33"/>
      <c r="AE33" s="99"/>
      <c r="AF33" s="502"/>
      <c r="AG33" s="33"/>
      <c r="AH33" s="102"/>
      <c r="AI33" s="99"/>
      <c r="AJ33" s="33"/>
      <c r="AK33" s="114"/>
    </row>
    <row r="34" spans="1:37" x14ac:dyDescent="0.2">
      <c r="A34" s="889" t="s">
        <v>3295</v>
      </c>
      <c r="B34" s="186">
        <v>84300</v>
      </c>
      <c r="C34" s="152">
        <v>61000</v>
      </c>
      <c r="D34" s="321">
        <f t="shared" si="16"/>
        <v>23300</v>
      </c>
      <c r="E34" s="186"/>
      <c r="F34" s="33">
        <v>84300</v>
      </c>
      <c r="G34" s="129">
        <f>E34-F34</f>
        <v>-84300</v>
      </c>
      <c r="H34" s="142"/>
      <c r="I34" s="33"/>
      <c r="J34" s="129"/>
      <c r="K34" s="186"/>
      <c r="L34" s="33"/>
      <c r="M34" s="129"/>
      <c r="N34" s="142"/>
      <c r="O34" s="33"/>
      <c r="P34" s="102"/>
      <c r="Q34" s="99"/>
      <c r="R34" s="33"/>
      <c r="S34" s="114"/>
      <c r="T34" s="99"/>
      <c r="U34" s="33"/>
      <c r="V34" s="99"/>
      <c r="W34" s="502"/>
      <c r="X34" s="33"/>
      <c r="Y34" s="102"/>
      <c r="Z34" s="502"/>
      <c r="AA34" s="33"/>
      <c r="AB34" s="102"/>
      <c r="AC34" s="99"/>
      <c r="AD34" s="33"/>
      <c r="AE34" s="99"/>
      <c r="AF34" s="502"/>
      <c r="AG34" s="33"/>
      <c r="AH34" s="102"/>
      <c r="AI34" s="99"/>
      <c r="AJ34" s="33"/>
      <c r="AK34" s="114"/>
    </row>
    <row r="35" spans="1:37" ht="13.5" thickBot="1" x14ac:dyDescent="0.25">
      <c r="A35" s="585"/>
      <c r="B35" s="186"/>
      <c r="C35" s="152"/>
      <c r="D35" s="129"/>
      <c r="E35" s="186"/>
      <c r="F35" s="33"/>
      <c r="G35" s="129"/>
      <c r="H35" s="142"/>
      <c r="I35" s="33"/>
      <c r="J35" s="129"/>
      <c r="K35" s="186"/>
      <c r="L35" s="33"/>
      <c r="M35" s="129"/>
      <c r="N35" s="142"/>
      <c r="O35" s="33"/>
      <c r="P35" s="102"/>
      <c r="Q35" s="99"/>
      <c r="R35" s="33"/>
      <c r="S35" s="114"/>
      <c r="T35" s="99"/>
      <c r="U35" s="33"/>
      <c r="V35" s="99"/>
      <c r="W35" s="502"/>
      <c r="X35" s="33"/>
      <c r="Y35" s="102"/>
      <c r="Z35" s="502"/>
      <c r="AA35" s="33"/>
      <c r="AB35" s="102"/>
      <c r="AC35" s="99"/>
      <c r="AD35" s="33"/>
      <c r="AE35" s="99"/>
      <c r="AF35" s="502"/>
      <c r="AG35" s="33"/>
      <c r="AH35" s="102"/>
      <c r="AI35" s="99"/>
      <c r="AJ35" s="33"/>
      <c r="AK35" s="114"/>
    </row>
    <row r="36" spans="1:37" s="92" customFormat="1" ht="14.25" thickTop="1" thickBot="1" x14ac:dyDescent="0.25">
      <c r="A36" s="1135" t="s">
        <v>3256</v>
      </c>
      <c r="B36" s="424">
        <f t="shared" ref="B36:AK36" si="30">SUBTOTAL(9,B4:B34)</f>
        <v>3552900</v>
      </c>
      <c r="C36" s="2632">
        <f t="shared" si="30"/>
        <v>2663200</v>
      </c>
      <c r="D36" s="418">
        <f t="shared" si="30"/>
        <v>889700</v>
      </c>
      <c r="E36" s="424">
        <f t="shared" si="30"/>
        <v>5157500</v>
      </c>
      <c r="F36" s="417">
        <f t="shared" si="30"/>
        <v>3721100</v>
      </c>
      <c r="G36" s="418">
        <f t="shared" si="30"/>
        <v>1436400</v>
      </c>
      <c r="H36" s="419">
        <f t="shared" si="30"/>
        <v>9328500</v>
      </c>
      <c r="I36" s="417">
        <f t="shared" si="30"/>
        <v>2348000</v>
      </c>
      <c r="J36" s="418">
        <f t="shared" si="30"/>
        <v>6980500</v>
      </c>
      <c r="K36" s="424">
        <f t="shared" si="30"/>
        <v>9646500</v>
      </c>
      <c r="L36" s="417">
        <f t="shared" si="30"/>
        <v>19621000</v>
      </c>
      <c r="M36" s="418">
        <f t="shared" si="30"/>
        <v>-9974500</v>
      </c>
      <c r="N36" s="419">
        <f t="shared" si="30"/>
        <v>7651500</v>
      </c>
      <c r="O36" s="417">
        <f t="shared" si="30"/>
        <v>1852000</v>
      </c>
      <c r="P36" s="422">
        <f t="shared" si="30"/>
        <v>5799500</v>
      </c>
      <c r="Q36" s="421">
        <f t="shared" si="30"/>
        <v>12945000</v>
      </c>
      <c r="R36" s="417">
        <f t="shared" si="30"/>
        <v>15430000</v>
      </c>
      <c r="S36" s="1586">
        <f t="shared" si="30"/>
        <v>-2485000</v>
      </c>
      <c r="T36" s="421">
        <f t="shared" si="30"/>
        <v>13164500</v>
      </c>
      <c r="U36" s="417">
        <f t="shared" si="30"/>
        <v>13965000</v>
      </c>
      <c r="V36" s="421">
        <f t="shared" si="30"/>
        <v>-800500</v>
      </c>
      <c r="W36" s="1745">
        <f t="shared" si="30"/>
        <v>3406500</v>
      </c>
      <c r="X36" s="417">
        <f t="shared" si="30"/>
        <v>820000</v>
      </c>
      <c r="Y36" s="422">
        <f t="shared" si="30"/>
        <v>2586500</v>
      </c>
      <c r="Z36" s="1745">
        <f t="shared" si="30"/>
        <v>3527000</v>
      </c>
      <c r="AA36" s="417">
        <f t="shared" si="30"/>
        <v>827000</v>
      </c>
      <c r="AB36" s="422">
        <f t="shared" si="30"/>
        <v>2700000</v>
      </c>
      <c r="AC36" s="421">
        <f t="shared" si="30"/>
        <v>3653500</v>
      </c>
      <c r="AD36" s="417">
        <f t="shared" si="30"/>
        <v>835000</v>
      </c>
      <c r="AE36" s="421">
        <f t="shared" si="30"/>
        <v>2818500</v>
      </c>
      <c r="AF36" s="1745">
        <f t="shared" si="30"/>
        <v>3784000</v>
      </c>
      <c r="AG36" s="417">
        <f t="shared" si="30"/>
        <v>843000</v>
      </c>
      <c r="AH36" s="422">
        <f t="shared" si="30"/>
        <v>2941000</v>
      </c>
      <c r="AI36" s="421">
        <f t="shared" si="30"/>
        <v>3918000</v>
      </c>
      <c r="AJ36" s="417">
        <f t="shared" si="30"/>
        <v>851000</v>
      </c>
      <c r="AK36" s="1586">
        <f t="shared" si="30"/>
        <v>3067000</v>
      </c>
    </row>
    <row r="37" spans="1:37" s="340" customFormat="1" ht="13.5" thickTop="1" x14ac:dyDescent="0.2">
      <c r="A37" s="585"/>
      <c r="B37" s="626"/>
      <c r="C37" s="336"/>
      <c r="D37" s="335"/>
      <c r="E37" s="626"/>
      <c r="F37" s="334"/>
      <c r="G37" s="335"/>
      <c r="H37" s="336"/>
      <c r="I37" s="334"/>
      <c r="J37" s="335"/>
      <c r="K37" s="626"/>
      <c r="L37" s="334"/>
      <c r="M37" s="335"/>
      <c r="N37" s="336"/>
      <c r="O37" s="334"/>
      <c r="P37" s="339"/>
      <c r="Q37" s="338"/>
      <c r="R37" s="334"/>
      <c r="S37" s="1585"/>
      <c r="T37" s="338"/>
      <c r="U37" s="334"/>
      <c r="V37" s="338"/>
      <c r="W37" s="1746"/>
      <c r="X37" s="334"/>
      <c r="Y37" s="339"/>
      <c r="Z37" s="1746"/>
      <c r="AA37" s="334"/>
      <c r="AB37" s="339"/>
      <c r="AC37" s="338"/>
      <c r="AD37" s="334"/>
      <c r="AE37" s="338"/>
      <c r="AF37" s="1746"/>
      <c r="AG37" s="334"/>
      <c r="AH37" s="339"/>
      <c r="AI37" s="338"/>
      <c r="AJ37" s="334"/>
      <c r="AK37" s="1585"/>
    </row>
    <row r="38" spans="1:37" x14ac:dyDescent="0.2">
      <c r="A38" s="587" t="s">
        <v>475</v>
      </c>
      <c r="B38" s="186"/>
      <c r="C38" s="152"/>
      <c r="D38" s="129"/>
      <c r="E38" s="186"/>
      <c r="F38" s="33"/>
      <c r="G38" s="129"/>
      <c r="H38" s="142"/>
      <c r="I38" s="33"/>
      <c r="J38" s="129"/>
      <c r="K38" s="186"/>
      <c r="L38" s="33"/>
      <c r="M38" s="129"/>
      <c r="N38" s="142"/>
      <c r="O38" s="33"/>
      <c r="P38" s="102"/>
      <c r="Q38" s="99"/>
      <c r="R38" s="33"/>
      <c r="S38" s="114"/>
      <c r="T38" s="99"/>
      <c r="U38" s="33"/>
      <c r="V38" s="99"/>
      <c r="W38" s="502"/>
      <c r="X38" s="33"/>
      <c r="Y38" s="102"/>
      <c r="Z38" s="502"/>
      <c r="AA38" s="33"/>
      <c r="AB38" s="102"/>
      <c r="AC38" s="99"/>
      <c r="AD38" s="33"/>
      <c r="AE38" s="99"/>
      <c r="AF38" s="502"/>
      <c r="AG38" s="33"/>
      <c r="AH38" s="102"/>
      <c r="AI38" s="99"/>
      <c r="AJ38" s="33"/>
      <c r="AK38" s="114"/>
    </row>
    <row r="39" spans="1:37" x14ac:dyDescent="0.2">
      <c r="A39" s="584" t="s">
        <v>783</v>
      </c>
      <c r="B39" s="186"/>
      <c r="C39" s="152"/>
      <c r="D39" s="129"/>
      <c r="E39" s="186"/>
      <c r="F39" s="33"/>
      <c r="G39" s="129"/>
      <c r="H39" s="142"/>
      <c r="I39" s="33"/>
      <c r="J39" s="129"/>
      <c r="K39" s="186"/>
      <c r="L39" s="33"/>
      <c r="M39" s="129"/>
      <c r="N39" s="142"/>
      <c r="O39" s="33"/>
      <c r="P39" s="102"/>
      <c r="Q39" s="99"/>
      <c r="R39" s="33"/>
      <c r="S39" s="114"/>
      <c r="T39" s="99"/>
      <c r="U39" s="33"/>
      <c r="V39" s="99"/>
      <c r="W39" s="502"/>
      <c r="X39" s="33"/>
      <c r="Y39" s="102"/>
      <c r="Z39" s="502"/>
      <c r="AA39" s="33"/>
      <c r="AB39" s="102"/>
      <c r="AC39" s="99"/>
      <c r="AD39" s="33"/>
      <c r="AE39" s="99"/>
      <c r="AF39" s="502"/>
      <c r="AG39" s="33"/>
      <c r="AH39" s="102"/>
      <c r="AI39" s="99"/>
      <c r="AJ39" s="33"/>
      <c r="AK39" s="114"/>
    </row>
    <row r="40" spans="1:37" x14ac:dyDescent="0.2">
      <c r="A40" s="585" t="s">
        <v>1133</v>
      </c>
      <c r="B40" s="186">
        <v>14000</v>
      </c>
      <c r="C40" s="152">
        <v>18700</v>
      </c>
      <c r="D40" s="129">
        <f>B40-C40</f>
        <v>-4700</v>
      </c>
      <c r="E40" s="186"/>
      <c r="F40" s="33">
        <v>14000</v>
      </c>
      <c r="G40" s="129">
        <f>E40-F40</f>
        <v>-14000</v>
      </c>
      <c r="H40" s="142"/>
      <c r="I40" s="33"/>
      <c r="J40" s="129"/>
      <c r="K40" s="186"/>
      <c r="L40" s="33"/>
      <c r="M40" s="129"/>
      <c r="N40" s="142"/>
      <c r="O40" s="33"/>
      <c r="P40" s="102"/>
      <c r="Q40" s="99"/>
      <c r="R40" s="33"/>
      <c r="S40" s="114"/>
      <c r="T40" s="99"/>
      <c r="U40" s="33"/>
      <c r="V40" s="99"/>
      <c r="W40" s="502"/>
      <c r="X40" s="33"/>
      <c r="Y40" s="102"/>
      <c r="Z40" s="502"/>
      <c r="AA40" s="33"/>
      <c r="AB40" s="102"/>
      <c r="AC40" s="99"/>
      <c r="AD40" s="33"/>
      <c r="AE40" s="99"/>
      <c r="AF40" s="502"/>
      <c r="AG40" s="33"/>
      <c r="AH40" s="102"/>
      <c r="AI40" s="99"/>
      <c r="AJ40" s="33"/>
      <c r="AK40" s="114"/>
    </row>
    <row r="41" spans="1:37" x14ac:dyDescent="0.2">
      <c r="A41" s="585" t="s">
        <v>2568</v>
      </c>
      <c r="B41" s="186">
        <v>80000</v>
      </c>
      <c r="C41" s="33">
        <f>GM!D515</f>
        <v>0</v>
      </c>
      <c r="D41" s="129">
        <f>B41-C41</f>
        <v>80000</v>
      </c>
      <c r="E41" s="186">
        <v>90000</v>
      </c>
      <c r="F41" s="33">
        <f>GM!G515</f>
        <v>230000</v>
      </c>
      <c r="G41" s="129">
        <f>E41-F41</f>
        <v>-140000</v>
      </c>
      <c r="H41" s="130">
        <v>30000</v>
      </c>
      <c r="I41" s="33">
        <f>GM!I515</f>
        <v>0</v>
      </c>
      <c r="J41" s="129">
        <f>H41-I41</f>
        <v>30000</v>
      </c>
      <c r="K41" s="186">
        <v>35000</v>
      </c>
      <c r="L41" s="33">
        <f>GM!J515</f>
        <v>0</v>
      </c>
      <c r="M41" s="129">
        <f>K41-L41</f>
        <v>35000</v>
      </c>
      <c r="N41" s="142">
        <v>40000</v>
      </c>
      <c r="O41" s="33">
        <f>GM!K515</f>
        <v>0</v>
      </c>
      <c r="P41" s="102">
        <f>N41-O41</f>
        <v>40000</v>
      </c>
      <c r="Q41" s="99">
        <v>55000</v>
      </c>
      <c r="R41" s="33">
        <f>GM!L515</f>
        <v>260000</v>
      </c>
      <c r="S41" s="114">
        <f>Q41-R41</f>
        <v>-205000</v>
      </c>
      <c r="T41" s="99">
        <v>70000</v>
      </c>
      <c r="U41" s="33">
        <f>GM!M515</f>
        <v>0</v>
      </c>
      <c r="V41" s="99">
        <f>T41-U41</f>
        <v>70000</v>
      </c>
      <c r="W41" s="502">
        <f>T41</f>
        <v>70000</v>
      </c>
      <c r="X41" s="33">
        <f>GM!N515</f>
        <v>0</v>
      </c>
      <c r="Y41" s="102">
        <f>W41-X41</f>
        <v>70000</v>
      </c>
      <c r="Z41" s="502">
        <v>75000</v>
      </c>
      <c r="AA41" s="33">
        <f>GM!O515</f>
        <v>0</v>
      </c>
      <c r="AB41" s="102">
        <f>Z41-AA41</f>
        <v>75000</v>
      </c>
      <c r="AC41" s="99">
        <v>75000</v>
      </c>
      <c r="AD41" s="33">
        <f>GM!P515</f>
        <v>290000</v>
      </c>
      <c r="AE41" s="99">
        <f>AC41-AD41</f>
        <v>-215000</v>
      </c>
      <c r="AF41" s="502">
        <f>AC41+5000</f>
        <v>80000</v>
      </c>
      <c r="AG41" s="33">
        <f>GM!Q515</f>
        <v>0</v>
      </c>
      <c r="AH41" s="102">
        <f>AF41-AG41</f>
        <v>80000</v>
      </c>
      <c r="AI41" s="99">
        <f>AF41+5000</f>
        <v>85000</v>
      </c>
      <c r="AJ41" s="33">
        <f>GM!T515</f>
        <v>0</v>
      </c>
      <c r="AK41" s="114">
        <f>AI41-AJ41</f>
        <v>85000</v>
      </c>
    </row>
    <row r="42" spans="1:37" x14ac:dyDescent="0.2">
      <c r="A42" s="585"/>
      <c r="B42" s="186"/>
      <c r="C42" s="142"/>
      <c r="D42" s="129"/>
      <c r="E42" s="186"/>
      <c r="F42" s="33"/>
      <c r="G42" s="129"/>
      <c r="H42" s="130"/>
      <c r="I42" s="33"/>
      <c r="J42" s="129"/>
      <c r="K42" s="186"/>
      <c r="L42" s="33"/>
      <c r="M42" s="129"/>
      <c r="N42" s="142"/>
      <c r="O42" s="33"/>
      <c r="P42" s="102"/>
      <c r="Q42" s="99"/>
      <c r="R42" s="33"/>
      <c r="S42" s="114"/>
      <c r="T42" s="99"/>
      <c r="U42" s="33"/>
      <c r="V42" s="99"/>
      <c r="W42" s="502"/>
      <c r="X42" s="33"/>
      <c r="Y42" s="102"/>
      <c r="Z42" s="502"/>
      <c r="AA42" s="33"/>
      <c r="AB42" s="102"/>
      <c r="AC42" s="99"/>
      <c r="AD42" s="33"/>
      <c r="AE42" s="99"/>
      <c r="AF42" s="502"/>
      <c r="AG42" s="33"/>
      <c r="AH42" s="102"/>
      <c r="AI42" s="99"/>
      <c r="AJ42" s="33"/>
      <c r="AK42" s="114"/>
    </row>
    <row r="43" spans="1:37" x14ac:dyDescent="0.2">
      <c r="A43" s="1106" t="s">
        <v>4194</v>
      </c>
      <c r="B43" s="186"/>
      <c r="C43" s="152"/>
      <c r="D43" s="129"/>
      <c r="E43" s="186"/>
      <c r="F43" s="33"/>
      <c r="G43" s="129"/>
      <c r="H43" s="142"/>
      <c r="I43" s="33"/>
      <c r="J43" s="129"/>
      <c r="K43" s="186"/>
      <c r="L43" s="33"/>
      <c r="M43" s="129"/>
      <c r="N43" s="142"/>
      <c r="O43" s="33"/>
      <c r="P43" s="102"/>
      <c r="Q43" s="99"/>
      <c r="R43" s="33"/>
      <c r="S43" s="114"/>
      <c r="T43" s="99"/>
      <c r="U43" s="33"/>
      <c r="V43" s="99"/>
      <c r="W43" s="502"/>
      <c r="X43" s="33"/>
      <c r="Y43" s="102"/>
      <c r="Z43" s="502"/>
      <c r="AA43" s="33"/>
      <c r="AB43" s="102"/>
      <c r="AC43" s="99"/>
      <c r="AD43" s="33"/>
      <c r="AE43" s="99"/>
      <c r="AF43" s="502"/>
      <c r="AG43" s="33"/>
      <c r="AH43" s="102"/>
      <c r="AI43" s="99"/>
      <c r="AJ43" s="33"/>
      <c r="AK43" s="114"/>
    </row>
    <row r="44" spans="1:37" x14ac:dyDescent="0.2">
      <c r="A44" s="889" t="s">
        <v>5989</v>
      </c>
      <c r="B44" s="186">
        <f>15000+8500+50000+30000</f>
        <v>103500</v>
      </c>
      <c r="C44" s="152"/>
      <c r="D44" s="129">
        <f t="shared" ref="D44:D47" si="31">B44-C44</f>
        <v>103500</v>
      </c>
      <c r="E44" s="186"/>
      <c r="F44" s="33"/>
      <c r="G44" s="129">
        <f t="shared" ref="G44:G53" si="32">E44-F44</f>
        <v>0</v>
      </c>
      <c r="H44" s="142"/>
      <c r="I44" s="33"/>
      <c r="J44" s="129"/>
      <c r="K44" s="186"/>
      <c r="L44" s="33"/>
      <c r="M44" s="129"/>
      <c r="N44" s="142"/>
      <c r="O44" s="33"/>
      <c r="P44" s="102"/>
      <c r="Q44" s="99"/>
      <c r="R44" s="33"/>
      <c r="S44" s="114"/>
      <c r="T44" s="99"/>
      <c r="U44" s="33"/>
      <c r="V44" s="99"/>
      <c r="W44" s="502"/>
      <c r="X44" s="33"/>
      <c r="Y44" s="102"/>
      <c r="Z44" s="502"/>
      <c r="AA44" s="33"/>
      <c r="AB44" s="102"/>
      <c r="AC44" s="99"/>
      <c r="AD44" s="33"/>
      <c r="AE44" s="99"/>
      <c r="AF44" s="502"/>
      <c r="AG44" s="33"/>
      <c r="AH44" s="102"/>
      <c r="AI44" s="99"/>
      <c r="AJ44" s="33"/>
      <c r="AK44" s="114"/>
    </row>
    <row r="45" spans="1:37" x14ac:dyDescent="0.2">
      <c r="A45" s="585"/>
      <c r="B45" s="186"/>
      <c r="C45" s="152"/>
      <c r="D45" s="129"/>
      <c r="E45" s="186"/>
      <c r="F45" s="33"/>
      <c r="G45" s="129"/>
      <c r="H45" s="142"/>
      <c r="I45" s="33"/>
      <c r="J45" s="129"/>
      <c r="K45" s="186"/>
      <c r="L45" s="33"/>
      <c r="M45" s="129"/>
      <c r="N45" s="142"/>
      <c r="O45" s="33"/>
      <c r="P45" s="102"/>
      <c r="Q45" s="99"/>
      <c r="R45" s="33"/>
      <c r="S45" s="114"/>
      <c r="T45" s="99"/>
      <c r="U45" s="33"/>
      <c r="V45" s="99"/>
      <c r="W45" s="502"/>
      <c r="X45" s="33"/>
      <c r="Y45" s="102"/>
      <c r="Z45" s="502"/>
      <c r="AA45" s="33"/>
      <c r="AB45" s="102"/>
      <c r="AC45" s="99"/>
      <c r="AD45" s="33"/>
      <c r="AE45" s="99"/>
      <c r="AF45" s="502"/>
      <c r="AG45" s="33"/>
      <c r="AH45" s="102"/>
      <c r="AI45" s="99"/>
      <c r="AJ45" s="33"/>
      <c r="AK45" s="114"/>
    </row>
    <row r="46" spans="1:37" x14ac:dyDescent="0.2">
      <c r="A46" s="584" t="s">
        <v>362</v>
      </c>
      <c r="B46" s="186"/>
      <c r="C46" s="152"/>
      <c r="D46" s="129"/>
      <c r="E46" s="186"/>
      <c r="F46" s="33"/>
      <c r="G46" s="129"/>
      <c r="H46" s="142"/>
      <c r="I46" s="33"/>
      <c r="J46" s="129"/>
      <c r="K46" s="186"/>
      <c r="L46" s="33"/>
      <c r="M46" s="129"/>
      <c r="N46" s="142"/>
      <c r="O46" s="33"/>
      <c r="P46" s="102"/>
      <c r="Q46" s="99"/>
      <c r="R46" s="33"/>
      <c r="S46" s="114"/>
      <c r="T46" s="99"/>
      <c r="U46" s="33"/>
      <c r="V46" s="99"/>
      <c r="W46" s="502"/>
      <c r="X46" s="33"/>
      <c r="Y46" s="102"/>
      <c r="Z46" s="502"/>
      <c r="AA46" s="33"/>
      <c r="AB46" s="102"/>
      <c r="AC46" s="99"/>
      <c r="AD46" s="33"/>
      <c r="AE46" s="99"/>
      <c r="AF46" s="502"/>
      <c r="AG46" s="33"/>
      <c r="AH46" s="102"/>
      <c r="AI46" s="99"/>
      <c r="AJ46" s="33"/>
      <c r="AK46" s="114"/>
    </row>
    <row r="47" spans="1:37" x14ac:dyDescent="0.2">
      <c r="A47" s="585" t="s">
        <v>795</v>
      </c>
      <c r="B47" s="186">
        <v>284000</v>
      </c>
      <c r="C47" s="152"/>
      <c r="D47" s="129">
        <f t="shared" si="31"/>
        <v>284000</v>
      </c>
      <c r="E47" s="186">
        <v>60000</v>
      </c>
      <c r="F47" s="33"/>
      <c r="G47" s="129">
        <f>E47-F47</f>
        <v>60000</v>
      </c>
      <c r="H47" s="142"/>
      <c r="I47" s="33"/>
      <c r="J47" s="129"/>
      <c r="K47" s="186"/>
      <c r="L47" s="33"/>
      <c r="M47" s="129"/>
      <c r="N47" s="142"/>
      <c r="O47" s="33"/>
      <c r="P47" s="102"/>
      <c r="Q47" s="99"/>
      <c r="R47" s="33"/>
      <c r="S47" s="114"/>
      <c r="T47" s="99"/>
      <c r="U47" s="33"/>
      <c r="V47" s="99"/>
      <c r="W47" s="502"/>
      <c r="X47" s="33"/>
      <c r="Y47" s="102"/>
      <c r="Z47" s="502"/>
      <c r="AA47" s="33"/>
      <c r="AB47" s="102"/>
      <c r="AC47" s="99"/>
      <c r="AD47" s="33"/>
      <c r="AE47" s="99"/>
      <c r="AF47" s="502"/>
      <c r="AG47" s="33"/>
      <c r="AH47" s="102"/>
      <c r="AI47" s="99"/>
      <c r="AJ47" s="33"/>
      <c r="AK47" s="114"/>
    </row>
    <row r="48" spans="1:37" x14ac:dyDescent="0.2">
      <c r="A48" s="585"/>
      <c r="B48" s="186"/>
      <c r="C48" s="152"/>
      <c r="D48" s="129"/>
      <c r="E48" s="186"/>
      <c r="F48" s="33"/>
      <c r="G48" s="129"/>
      <c r="H48" s="142"/>
      <c r="I48" s="33"/>
      <c r="J48" s="129"/>
      <c r="K48" s="186"/>
      <c r="L48" s="33"/>
      <c r="M48" s="129"/>
      <c r="N48" s="142"/>
      <c r="O48" s="33"/>
      <c r="P48" s="102"/>
      <c r="Q48" s="99"/>
      <c r="R48" s="33"/>
      <c r="S48" s="114"/>
      <c r="T48" s="99"/>
      <c r="U48" s="33"/>
      <c r="V48" s="99"/>
      <c r="W48" s="502"/>
      <c r="X48" s="33"/>
      <c r="Y48" s="102"/>
      <c r="Z48" s="502"/>
      <c r="AA48" s="33"/>
      <c r="AB48" s="102"/>
      <c r="AC48" s="99"/>
      <c r="AD48" s="33"/>
      <c r="AE48" s="99"/>
      <c r="AF48" s="502"/>
      <c r="AG48" s="33"/>
      <c r="AH48" s="102"/>
      <c r="AI48" s="99"/>
      <c r="AJ48" s="33"/>
      <c r="AK48" s="114"/>
    </row>
    <row r="49" spans="1:48" x14ac:dyDescent="0.2">
      <c r="A49" s="1106" t="s">
        <v>2311</v>
      </c>
      <c r="B49" s="186"/>
      <c r="C49" s="152"/>
      <c r="D49" s="129"/>
      <c r="E49" s="186"/>
      <c r="F49" s="33"/>
      <c r="G49" s="129"/>
      <c r="H49" s="142"/>
      <c r="I49" s="33"/>
      <c r="J49" s="129"/>
      <c r="K49" s="186"/>
      <c r="L49" s="33"/>
      <c r="M49" s="129"/>
      <c r="N49" s="142"/>
      <c r="O49" s="33"/>
      <c r="P49" s="102"/>
      <c r="Q49" s="99"/>
      <c r="R49" s="33"/>
      <c r="S49" s="114"/>
      <c r="T49" s="99"/>
      <c r="U49" s="33"/>
      <c r="V49" s="99"/>
      <c r="W49" s="502"/>
      <c r="X49" s="33"/>
      <c r="Y49" s="102"/>
      <c r="Z49" s="502"/>
      <c r="AA49" s="33"/>
      <c r="AB49" s="102"/>
      <c r="AC49" s="99"/>
      <c r="AD49" s="33"/>
      <c r="AE49" s="99"/>
      <c r="AF49" s="502"/>
      <c r="AG49" s="33"/>
      <c r="AH49" s="102"/>
      <c r="AI49" s="99"/>
      <c r="AJ49" s="33"/>
      <c r="AK49" s="114"/>
    </row>
    <row r="50" spans="1:48" x14ac:dyDescent="0.2">
      <c r="A50" s="889" t="s">
        <v>5385</v>
      </c>
      <c r="B50" s="186">
        <v>24100</v>
      </c>
      <c r="C50" s="152">
        <v>40000</v>
      </c>
      <c r="D50" s="129">
        <f>B50-C50</f>
        <v>-15900</v>
      </c>
      <c r="E50" s="186"/>
      <c r="F50" s="33">
        <f>2500+21600</f>
        <v>24100</v>
      </c>
      <c r="G50" s="129">
        <f t="shared" si="32"/>
        <v>-24100</v>
      </c>
      <c r="H50" s="142"/>
      <c r="I50" s="33"/>
      <c r="J50" s="129"/>
      <c r="K50" s="186"/>
      <c r="L50" s="33"/>
      <c r="M50" s="129"/>
      <c r="N50" s="142"/>
      <c r="O50" s="33"/>
      <c r="P50" s="102"/>
      <c r="Q50" s="99"/>
      <c r="R50" s="33"/>
      <c r="S50" s="114"/>
      <c r="T50" s="99"/>
      <c r="U50" s="33"/>
      <c r="V50" s="99"/>
      <c r="W50" s="502"/>
      <c r="X50" s="33"/>
      <c r="Y50" s="102"/>
      <c r="Z50" s="502"/>
      <c r="AA50" s="33"/>
      <c r="AB50" s="102"/>
      <c r="AC50" s="99"/>
      <c r="AD50" s="33"/>
      <c r="AE50" s="99"/>
      <c r="AF50" s="502"/>
      <c r="AG50" s="33"/>
      <c r="AH50" s="102"/>
      <c r="AI50" s="99"/>
      <c r="AJ50" s="33"/>
      <c r="AK50" s="114"/>
    </row>
    <row r="51" spans="1:48" x14ac:dyDescent="0.2">
      <c r="A51" s="889" t="s">
        <v>6564</v>
      </c>
      <c r="B51" s="186">
        <v>30000</v>
      </c>
      <c r="C51" s="152"/>
      <c r="D51" s="129">
        <f>B51-C51</f>
        <v>30000</v>
      </c>
      <c r="E51" s="186"/>
      <c r="F51" s="33">
        <v>30000</v>
      </c>
      <c r="G51" s="129">
        <f>E51-F51</f>
        <v>-30000</v>
      </c>
      <c r="H51" s="142"/>
      <c r="I51" s="33"/>
      <c r="J51" s="129"/>
      <c r="K51" s="186"/>
      <c r="L51" s="33"/>
      <c r="M51" s="129"/>
      <c r="N51" s="142"/>
      <c r="O51" s="33"/>
      <c r="P51" s="102"/>
      <c r="Q51" s="99"/>
      <c r="R51" s="33"/>
      <c r="S51" s="114"/>
      <c r="T51" s="99"/>
      <c r="U51" s="33"/>
      <c r="V51" s="99"/>
      <c r="W51" s="567"/>
      <c r="X51" s="33"/>
      <c r="Y51" s="102"/>
      <c r="Z51" s="502"/>
      <c r="AA51" s="33"/>
      <c r="AB51" s="102"/>
      <c r="AC51" s="99"/>
      <c r="AD51" s="33"/>
      <c r="AE51" s="99"/>
      <c r="AF51" s="502"/>
      <c r="AG51" s="33"/>
      <c r="AH51" s="102"/>
      <c r="AI51" s="99"/>
      <c r="AJ51" s="33"/>
      <c r="AK51" s="114"/>
    </row>
    <row r="52" spans="1:48" hidden="1" x14ac:dyDescent="0.2">
      <c r="A52" s="889" t="s">
        <v>4195</v>
      </c>
      <c r="B52" s="186">
        <v>5000</v>
      </c>
      <c r="C52" s="152"/>
      <c r="D52" s="129">
        <f>B52-C52</f>
        <v>5000</v>
      </c>
      <c r="E52" s="186"/>
      <c r="F52" s="33"/>
      <c r="G52" s="129"/>
      <c r="H52" s="142"/>
      <c r="I52" s="33"/>
      <c r="J52" s="129"/>
      <c r="K52" s="186"/>
      <c r="L52" s="33"/>
      <c r="M52" s="129"/>
      <c r="N52" s="142"/>
      <c r="O52" s="33"/>
      <c r="P52" s="102"/>
      <c r="Q52" s="99"/>
      <c r="R52" s="33"/>
      <c r="S52" s="114"/>
      <c r="T52" s="99"/>
      <c r="U52" s="33"/>
      <c r="V52" s="99"/>
      <c r="W52" s="567"/>
      <c r="X52" s="33"/>
      <c r="Y52" s="102"/>
      <c r="Z52" s="502"/>
      <c r="AA52" s="33"/>
      <c r="AB52" s="102"/>
      <c r="AC52" s="99"/>
      <c r="AD52" s="33"/>
      <c r="AE52" s="99"/>
      <c r="AF52" s="502"/>
      <c r="AG52" s="33"/>
      <c r="AH52" s="102"/>
      <c r="AI52" s="99"/>
      <c r="AJ52" s="33"/>
      <c r="AK52" s="114"/>
    </row>
    <row r="53" spans="1:48" x14ac:dyDescent="0.2">
      <c r="A53" s="889" t="s">
        <v>6119</v>
      </c>
      <c r="B53" s="186"/>
      <c r="C53" s="152"/>
      <c r="D53" s="129"/>
      <c r="E53" s="186">
        <f>73000+23700</f>
        <v>96700</v>
      </c>
      <c r="F53" s="33"/>
      <c r="G53" s="129">
        <f t="shared" si="32"/>
        <v>96700</v>
      </c>
      <c r="H53" s="142"/>
      <c r="I53" s="33">
        <f>'Cap-Gen'!G31</f>
        <v>65000</v>
      </c>
      <c r="J53" s="129">
        <f t="shared" ref="J53" si="33">H53-I53</f>
        <v>-65000</v>
      </c>
      <c r="K53" s="142"/>
      <c r="L53" s="33"/>
      <c r="M53" s="129">
        <f t="shared" ref="M53" si="34">K53-L53</f>
        <v>0</v>
      </c>
      <c r="N53" s="142"/>
      <c r="O53" s="33"/>
      <c r="P53" s="102">
        <f t="shared" ref="P53" si="35">N53-O53</f>
        <v>0</v>
      </c>
      <c r="Q53" s="142"/>
      <c r="R53" s="33"/>
      <c r="S53" s="114">
        <f t="shared" ref="S53" si="36">Q53-R53</f>
        <v>0</v>
      </c>
      <c r="T53" s="142"/>
      <c r="U53" s="33"/>
      <c r="V53" s="99">
        <f t="shared" ref="V53" si="37">T53-U53</f>
        <v>0</v>
      </c>
      <c r="W53" s="567"/>
      <c r="X53" s="33"/>
      <c r="Y53" s="102">
        <f t="shared" ref="Y53" si="38">W53-X53</f>
        <v>0</v>
      </c>
      <c r="Z53" s="142"/>
      <c r="AA53" s="33"/>
      <c r="AB53" s="102">
        <f t="shared" ref="AB53" si="39">Z53-AA53</f>
        <v>0</v>
      </c>
      <c r="AC53" s="142"/>
      <c r="AD53" s="33"/>
      <c r="AE53" s="99">
        <f t="shared" ref="AE53" si="40">AC53-AD53</f>
        <v>0</v>
      </c>
      <c r="AF53" s="186"/>
      <c r="AG53" s="33"/>
      <c r="AH53" s="102">
        <f t="shared" ref="AH53" si="41">AF53-AG53</f>
        <v>0</v>
      </c>
      <c r="AI53" s="142"/>
      <c r="AJ53" s="33"/>
      <c r="AK53" s="114">
        <f t="shared" ref="AK53" si="42">AI53-AJ53</f>
        <v>0</v>
      </c>
    </row>
    <row r="54" spans="1:48" x14ac:dyDescent="0.2">
      <c r="A54" s="585"/>
      <c r="B54" s="186"/>
      <c r="C54" s="152"/>
      <c r="D54" s="129"/>
      <c r="E54" s="186"/>
      <c r="F54" s="33"/>
      <c r="G54" s="129"/>
      <c r="H54" s="142"/>
      <c r="I54" s="33"/>
      <c r="J54" s="129"/>
      <c r="K54" s="186"/>
      <c r="L54" s="33"/>
      <c r="M54" s="129"/>
      <c r="N54" s="142"/>
      <c r="O54" s="33"/>
      <c r="P54" s="102"/>
      <c r="Q54" s="99"/>
      <c r="R54" s="33"/>
      <c r="S54" s="114"/>
      <c r="T54" s="99"/>
      <c r="U54" s="33"/>
      <c r="V54" s="99"/>
      <c r="W54" s="567"/>
      <c r="X54" s="33"/>
      <c r="Y54" s="102"/>
      <c r="Z54" s="502"/>
      <c r="AA54" s="33"/>
      <c r="AB54" s="102"/>
      <c r="AC54" s="99"/>
      <c r="AD54" s="33"/>
      <c r="AE54" s="99"/>
      <c r="AF54" s="502"/>
      <c r="AG54" s="33"/>
      <c r="AH54" s="102"/>
      <c r="AI54" s="99"/>
      <c r="AJ54" s="33"/>
      <c r="AK54" s="114"/>
    </row>
    <row r="55" spans="1:48" x14ac:dyDescent="0.2">
      <c r="A55" s="584" t="s">
        <v>2543</v>
      </c>
      <c r="B55" s="186"/>
      <c r="C55" s="152"/>
      <c r="D55" s="321"/>
      <c r="E55" s="567"/>
      <c r="F55" s="150"/>
      <c r="G55" s="321"/>
      <c r="H55" s="142"/>
      <c r="I55" s="33"/>
      <c r="J55" s="129"/>
      <c r="K55" s="186"/>
      <c r="L55" s="33"/>
      <c r="M55" s="129"/>
      <c r="N55" s="142"/>
      <c r="O55" s="33"/>
      <c r="P55" s="102"/>
      <c r="Q55" s="99"/>
      <c r="R55" s="33"/>
      <c r="S55" s="114"/>
      <c r="T55" s="99"/>
      <c r="U55" s="33"/>
      <c r="V55" s="99"/>
      <c r="W55" s="567"/>
      <c r="X55" s="33"/>
      <c r="Y55" s="102"/>
      <c r="Z55" s="502"/>
      <c r="AA55" s="33"/>
      <c r="AB55" s="102"/>
      <c r="AC55" s="99"/>
      <c r="AD55" s="33"/>
      <c r="AE55" s="99"/>
      <c r="AF55" s="502"/>
      <c r="AG55" s="33"/>
      <c r="AH55" s="102"/>
      <c r="AI55" s="99"/>
      <c r="AJ55" s="33"/>
      <c r="AK55" s="114"/>
    </row>
    <row r="56" spans="1:48" x14ac:dyDescent="0.2">
      <c r="A56" s="2270" t="s">
        <v>463</v>
      </c>
      <c r="B56" s="186"/>
      <c r="C56" s="182"/>
      <c r="D56" s="321"/>
      <c r="E56" s="567"/>
      <c r="F56" s="152"/>
      <c r="G56" s="321"/>
      <c r="H56" s="152"/>
      <c r="I56" s="99"/>
      <c r="J56" s="129"/>
      <c r="K56" s="186"/>
      <c r="L56" s="99"/>
      <c r="M56" s="129"/>
      <c r="N56" s="152"/>
      <c r="O56" s="33"/>
      <c r="P56" s="102"/>
      <c r="Q56" s="99"/>
      <c r="R56" s="33"/>
      <c r="S56" s="114"/>
      <c r="T56" s="99"/>
      <c r="U56" s="33"/>
      <c r="V56" s="99"/>
      <c r="W56" s="567"/>
      <c r="X56" s="33"/>
      <c r="Y56" s="102"/>
      <c r="Z56" s="502"/>
      <c r="AA56" s="33"/>
      <c r="AB56" s="102"/>
      <c r="AC56" s="99"/>
      <c r="AD56" s="33"/>
      <c r="AE56" s="99"/>
      <c r="AF56" s="502"/>
      <c r="AG56" s="33"/>
      <c r="AH56" s="102"/>
      <c r="AI56" s="99"/>
      <c r="AJ56" s="33"/>
      <c r="AK56" s="114"/>
    </row>
    <row r="57" spans="1:48" x14ac:dyDescent="0.2">
      <c r="A57" s="585" t="s">
        <v>1338</v>
      </c>
      <c r="B57" s="567">
        <f>GM!D907</f>
        <v>41000</v>
      </c>
      <c r="C57" s="99"/>
      <c r="D57" s="129">
        <f t="shared" ref="D57:D82" si="43">B57-C57</f>
        <v>41000</v>
      </c>
      <c r="E57" s="186">
        <f>GM!G907</f>
        <v>16000</v>
      </c>
      <c r="F57" s="142"/>
      <c r="G57" s="129">
        <f>E57-F57</f>
        <v>16000</v>
      </c>
      <c r="H57" s="152">
        <f>GM!I907</f>
        <v>9000</v>
      </c>
      <c r="I57" s="99"/>
      <c r="J57" s="129">
        <f t="shared" ref="J57:J82" si="44">H57-I57</f>
        <v>9000</v>
      </c>
      <c r="K57" s="186">
        <f>GM!J907</f>
        <v>4000</v>
      </c>
      <c r="L57" s="99"/>
      <c r="M57" s="129">
        <f>K57-L57</f>
        <v>4000</v>
      </c>
      <c r="N57" s="152">
        <f>GM!K907</f>
        <v>8000</v>
      </c>
      <c r="O57" s="33"/>
      <c r="P57" s="102">
        <f>N57-O57</f>
        <v>8000</v>
      </c>
      <c r="Q57" s="152">
        <f>GM!L907</f>
        <v>13000</v>
      </c>
      <c r="R57" s="33"/>
      <c r="S57" s="114">
        <f>Q57-R57</f>
        <v>13000</v>
      </c>
      <c r="T57" s="152">
        <f>GM!M907</f>
        <v>10000</v>
      </c>
      <c r="U57" s="33"/>
      <c r="V57" s="99">
        <f>T57-U57</f>
        <v>10000</v>
      </c>
      <c r="W57" s="567">
        <f>GM!N907</f>
        <v>10000</v>
      </c>
      <c r="X57" s="33"/>
      <c r="Y57" s="102">
        <f>W57-X57</f>
        <v>10000</v>
      </c>
      <c r="Z57" s="567">
        <f>GM!O907</f>
        <v>10000</v>
      </c>
      <c r="AA57" s="33"/>
      <c r="AB57" s="102">
        <f>Z57-AA57</f>
        <v>10000</v>
      </c>
      <c r="AC57" s="152">
        <f>GM!P907</f>
        <v>10000</v>
      </c>
      <c r="AD57" s="33"/>
      <c r="AE57" s="99">
        <f>AC57-AD57</f>
        <v>10000</v>
      </c>
      <c r="AF57" s="567">
        <f>GM!Q907</f>
        <v>12000</v>
      </c>
      <c r="AG57" s="33"/>
      <c r="AH57" s="102">
        <f>AF57-AG57</f>
        <v>12000</v>
      </c>
      <c r="AI57" s="152">
        <f>GM!R907</f>
        <v>13000</v>
      </c>
      <c r="AJ57" s="33"/>
      <c r="AK57" s="114">
        <f>AI57-AJ57</f>
        <v>13000</v>
      </c>
    </row>
    <row r="58" spans="1:48" x14ac:dyDescent="0.2">
      <c r="A58" s="585" t="s">
        <v>338</v>
      </c>
      <c r="B58" s="567">
        <v>703800</v>
      </c>
      <c r="C58" s="150">
        <v>77300</v>
      </c>
      <c r="D58" s="129">
        <f t="shared" si="43"/>
        <v>626500</v>
      </c>
      <c r="E58" s="567">
        <f>(GM!G881)</f>
        <v>702500</v>
      </c>
      <c r="F58" s="150">
        <f>SUM(GM!G952:G956)</f>
        <v>56600</v>
      </c>
      <c r="G58" s="129">
        <f t="shared" ref="G58:G83" si="45">E58-F58</f>
        <v>645900</v>
      </c>
      <c r="H58" s="152">
        <f>(GM!I881)</f>
        <v>703800</v>
      </c>
      <c r="I58" s="150">
        <f>SUM(GM!I952:I956)</f>
        <v>57700</v>
      </c>
      <c r="J58" s="129">
        <f t="shared" si="44"/>
        <v>646100</v>
      </c>
      <c r="K58" s="186">
        <f>(GM!J881)</f>
        <v>703800</v>
      </c>
      <c r="L58" s="150">
        <f>SUM(GM!J952:J956)</f>
        <v>59400</v>
      </c>
      <c r="M58" s="129">
        <f t="shared" ref="M58:M82" si="46">K58-L58</f>
        <v>644400</v>
      </c>
      <c r="N58" s="152">
        <f>(GM!K881)</f>
        <v>714400</v>
      </c>
      <c r="O58" s="150">
        <f>SUM(GM!K952:K956)</f>
        <v>61100</v>
      </c>
      <c r="P58" s="102">
        <f t="shared" ref="P58:P82" si="47">N58-O58</f>
        <v>653300</v>
      </c>
      <c r="Q58" s="182">
        <f>(GM!L881)</f>
        <v>714400</v>
      </c>
      <c r="R58" s="150">
        <f>SUM(GM!L952:L956)</f>
        <v>62800</v>
      </c>
      <c r="S58" s="114">
        <f t="shared" ref="S58:S82" si="48">Q58-R58</f>
        <v>651600</v>
      </c>
      <c r="T58" s="182">
        <f>(GM!M881)</f>
        <v>728700</v>
      </c>
      <c r="U58" s="150">
        <f>SUM(GM!M952:M956)</f>
        <v>64400</v>
      </c>
      <c r="V58" s="99">
        <f t="shared" ref="V58:V82" si="49">T58-U58</f>
        <v>664300</v>
      </c>
      <c r="W58" s="1469">
        <f>(GM!N881)</f>
        <v>743300</v>
      </c>
      <c r="X58" s="150">
        <f>SUM(GM!N952:N956)</f>
        <v>66000</v>
      </c>
      <c r="Y58" s="102">
        <f t="shared" ref="Y58:Y82" si="50">W58-X58</f>
        <v>677300</v>
      </c>
      <c r="Z58" s="1469">
        <f>(GM!O881)</f>
        <v>758200</v>
      </c>
      <c r="AA58" s="150">
        <f>SUM(GM!O952:O956)</f>
        <v>67600</v>
      </c>
      <c r="AB58" s="102">
        <f t="shared" ref="AB58:AB82" si="51">Z58-AA58</f>
        <v>690600</v>
      </c>
      <c r="AC58" s="182">
        <f>(GM!P881)</f>
        <v>773400</v>
      </c>
      <c r="AD58" s="150">
        <f>SUM(GM!P952:P956)</f>
        <v>69200</v>
      </c>
      <c r="AE58" s="99">
        <f t="shared" ref="AE58:AE60" si="52">AC58-AD58</f>
        <v>704200</v>
      </c>
      <c r="AF58" s="1469">
        <f>(GM!Q881)</f>
        <v>788900</v>
      </c>
      <c r="AG58" s="150">
        <f>SUM(GM!Q952:Q956)</f>
        <v>70800</v>
      </c>
      <c r="AH58" s="102">
        <f t="shared" ref="AH58:AH60" si="53">AF58-AG58</f>
        <v>718100</v>
      </c>
      <c r="AI58" s="182">
        <f>(GM!R881)</f>
        <v>804700</v>
      </c>
      <c r="AJ58" s="150">
        <f>SUM(GM!R952:R956)</f>
        <v>72500</v>
      </c>
      <c r="AK58" s="114">
        <f t="shared" ref="AK58:AK60" si="54">AI58-AJ58</f>
        <v>732200</v>
      </c>
      <c r="AL58" s="376"/>
      <c r="AM58" s="376"/>
      <c r="AN58" s="376"/>
      <c r="AO58" s="376"/>
      <c r="AP58" s="376"/>
      <c r="AQ58" s="376"/>
      <c r="AR58" s="376"/>
      <c r="AS58" s="376"/>
      <c r="AT58" s="376"/>
      <c r="AU58" s="376"/>
      <c r="AV58" s="376"/>
    </row>
    <row r="59" spans="1:48" x14ac:dyDescent="0.2">
      <c r="A59" s="585" t="s">
        <v>1947</v>
      </c>
      <c r="B59" s="567">
        <v>129500</v>
      </c>
      <c r="C59" s="152">
        <v>3000</v>
      </c>
      <c r="D59" s="129">
        <f t="shared" si="43"/>
        <v>126500</v>
      </c>
      <c r="E59" s="567">
        <f>ROUND((GM!G885)/2,-2)</f>
        <v>125400</v>
      </c>
      <c r="F59" s="150">
        <f>ROUND(GM!G957/2,-2)</f>
        <v>4600</v>
      </c>
      <c r="G59" s="129">
        <f t="shared" si="45"/>
        <v>120800</v>
      </c>
      <c r="H59" s="152">
        <f>ROUND((GM!I885)/2,-2)</f>
        <v>127300</v>
      </c>
      <c r="I59" s="150">
        <f>ROUND(GM!I957/2,-2)</f>
        <v>4700</v>
      </c>
      <c r="J59" s="129">
        <f t="shared" si="44"/>
        <v>122600</v>
      </c>
      <c r="K59" s="186">
        <f>ROUND((GM!J885)/2,-2)</f>
        <v>129200</v>
      </c>
      <c r="L59" s="150">
        <f>ROUND(GM!J957/2,-2)</f>
        <v>4900</v>
      </c>
      <c r="M59" s="129">
        <f t="shared" si="46"/>
        <v>124300</v>
      </c>
      <c r="N59" s="152">
        <f>ROUND((GM!K885)/2,-2)</f>
        <v>131100</v>
      </c>
      <c r="O59" s="150">
        <f>ROUND(GM!K957/2,-2)</f>
        <v>5000</v>
      </c>
      <c r="P59" s="102">
        <f t="shared" si="47"/>
        <v>126100</v>
      </c>
      <c r="Q59" s="182">
        <f>ROUND((GM!L885)/2,-2)</f>
        <v>134400</v>
      </c>
      <c r="R59" s="150">
        <f>ROUND(GM!L957/2,-2)</f>
        <v>5200</v>
      </c>
      <c r="S59" s="114">
        <f t="shared" si="48"/>
        <v>129200</v>
      </c>
      <c r="T59" s="182">
        <f>ROUND((GM!M885)/2,-2)</f>
        <v>137100</v>
      </c>
      <c r="U59" s="150">
        <f>ROUND(GM!M957/2,-2)</f>
        <v>5300</v>
      </c>
      <c r="V59" s="99">
        <f t="shared" si="49"/>
        <v>131800</v>
      </c>
      <c r="W59" s="1469">
        <f>ROUND((GM!N885)/2,-2)</f>
        <v>139900</v>
      </c>
      <c r="X59" s="150">
        <f>ROUND(GM!N957/2,-2)</f>
        <v>5500</v>
      </c>
      <c r="Y59" s="102">
        <f t="shared" si="50"/>
        <v>134400</v>
      </c>
      <c r="Z59" s="1469">
        <f>ROUND((GM!O885)/2,-2)</f>
        <v>142700</v>
      </c>
      <c r="AA59" s="150">
        <f>ROUND(GM!O957/2,-2)</f>
        <v>5600</v>
      </c>
      <c r="AB59" s="102">
        <f t="shared" si="51"/>
        <v>137100</v>
      </c>
      <c r="AC59" s="182">
        <f>ROUND((GM!P885)/2,-2)</f>
        <v>145600</v>
      </c>
      <c r="AD59" s="150">
        <f>ROUND(GM!P957/2,-2)</f>
        <v>5800</v>
      </c>
      <c r="AE59" s="99">
        <f t="shared" si="52"/>
        <v>139800</v>
      </c>
      <c r="AF59" s="1469">
        <f>ROUND((GM!Q885)/2,-2)</f>
        <v>148500</v>
      </c>
      <c r="AG59" s="150">
        <f>ROUND(GM!Q957/2,-2)</f>
        <v>5900</v>
      </c>
      <c r="AH59" s="102">
        <f t="shared" si="53"/>
        <v>142600</v>
      </c>
      <c r="AI59" s="182">
        <f>ROUND((GM!R885)/2,-2)</f>
        <v>151500</v>
      </c>
      <c r="AJ59" s="150">
        <f>ROUND(GM!R957/2,-2)</f>
        <v>6100</v>
      </c>
      <c r="AK59" s="114">
        <f t="shared" si="54"/>
        <v>145400</v>
      </c>
      <c r="AL59" s="376"/>
      <c r="AM59" s="376"/>
      <c r="AN59" s="376"/>
      <c r="AO59" s="376"/>
      <c r="AP59" s="376"/>
      <c r="AQ59" s="376"/>
      <c r="AR59" s="376"/>
      <c r="AS59" s="376"/>
      <c r="AT59" s="376"/>
      <c r="AU59" s="376"/>
      <c r="AV59" s="376"/>
    </row>
    <row r="60" spans="1:48" x14ac:dyDescent="0.2">
      <c r="A60" s="889" t="s">
        <v>5983</v>
      </c>
      <c r="B60" s="186">
        <f>GM!D880+GM!D883</f>
        <v>67000</v>
      </c>
      <c r="C60" s="152">
        <f>SUM(GM!D958:D960)</f>
        <v>21700</v>
      </c>
      <c r="D60" s="129">
        <f t="shared" si="43"/>
        <v>45300</v>
      </c>
      <c r="E60" s="186">
        <f>GM!G880+GM!G883</f>
        <v>65800</v>
      </c>
      <c r="F60" s="150">
        <f>SUM(GM!G958:G960)</f>
        <v>20600</v>
      </c>
      <c r="G60" s="129">
        <f t="shared" si="45"/>
        <v>45200</v>
      </c>
      <c r="H60" s="186">
        <f>GM!I880+GM!I883</f>
        <v>67000</v>
      </c>
      <c r="I60" s="150">
        <f>SUM(GM!I958:I960)</f>
        <v>21100</v>
      </c>
      <c r="J60" s="129">
        <f t="shared" si="44"/>
        <v>45900</v>
      </c>
      <c r="K60" s="186">
        <f>GM!J880+GM!J883</f>
        <v>68600</v>
      </c>
      <c r="L60" s="150">
        <f>SUM(GM!J958:J960)</f>
        <v>21800</v>
      </c>
      <c r="M60" s="129">
        <f t="shared" si="46"/>
        <v>46800</v>
      </c>
      <c r="N60" s="152">
        <f>GM!K880+GM!K883</f>
        <v>70200</v>
      </c>
      <c r="O60" s="150">
        <f>SUM(GM!K958:K960)</f>
        <v>22500</v>
      </c>
      <c r="P60" s="102">
        <f t="shared" si="47"/>
        <v>47700</v>
      </c>
      <c r="Q60" s="152">
        <f>GM!L880+GM!L883</f>
        <v>72500</v>
      </c>
      <c r="R60" s="150">
        <f>SUM(GM!L958:L960)</f>
        <v>23200</v>
      </c>
      <c r="S60" s="114">
        <f t="shared" si="48"/>
        <v>49300</v>
      </c>
      <c r="T60" s="152">
        <f>GM!M880+GM!M883</f>
        <v>74100</v>
      </c>
      <c r="U60" s="150">
        <f>SUM(GM!M958:M960)</f>
        <v>23900</v>
      </c>
      <c r="V60" s="99">
        <f t="shared" si="49"/>
        <v>50200</v>
      </c>
      <c r="W60" s="567">
        <f>GM!N880+GM!N883</f>
        <v>75700</v>
      </c>
      <c r="X60" s="150">
        <f>SUM(GM!N958:N960)</f>
        <v>24600</v>
      </c>
      <c r="Y60" s="102">
        <f t="shared" si="50"/>
        <v>51100</v>
      </c>
      <c r="Z60" s="567">
        <f>GM!O880+GM!O883</f>
        <v>77300</v>
      </c>
      <c r="AA60" s="150">
        <f>SUM(GM!O958:O960)</f>
        <v>25300</v>
      </c>
      <c r="AB60" s="102">
        <f t="shared" si="51"/>
        <v>52000</v>
      </c>
      <c r="AC60" s="152">
        <f>GM!P880+GM!P883</f>
        <v>78900</v>
      </c>
      <c r="AD60" s="150">
        <f>SUM(GM!P958:P960)</f>
        <v>26000</v>
      </c>
      <c r="AE60" s="99">
        <f t="shared" si="52"/>
        <v>52900</v>
      </c>
      <c r="AF60" s="567">
        <f>GM!Q880+GM!Q883</f>
        <v>80600</v>
      </c>
      <c r="AG60" s="150">
        <f>SUM(GM!Q958:Q960)</f>
        <v>26700</v>
      </c>
      <c r="AH60" s="102">
        <f t="shared" si="53"/>
        <v>53900</v>
      </c>
      <c r="AI60" s="152">
        <f>GM!R880+GM!R883</f>
        <v>82300</v>
      </c>
      <c r="AJ60" s="150">
        <f>SUM(GM!R958:R960)</f>
        <v>27400</v>
      </c>
      <c r="AK60" s="114">
        <f t="shared" si="54"/>
        <v>54900</v>
      </c>
      <c r="AL60" s="376"/>
      <c r="AM60" s="376"/>
      <c r="AN60" s="376"/>
      <c r="AO60" s="376"/>
      <c r="AP60" s="376"/>
      <c r="AQ60" s="376"/>
      <c r="AR60" s="376"/>
      <c r="AS60" s="376"/>
      <c r="AT60" s="376"/>
      <c r="AU60" s="376"/>
      <c r="AV60" s="376"/>
    </row>
    <row r="61" spans="1:48" hidden="1" x14ac:dyDescent="0.2">
      <c r="A61" s="889" t="s">
        <v>5972</v>
      </c>
      <c r="B61" s="567">
        <v>455000</v>
      </c>
      <c r="C61" s="152"/>
      <c r="D61" s="129">
        <f t="shared" si="43"/>
        <v>455000</v>
      </c>
      <c r="E61" s="567"/>
      <c r="F61" s="150"/>
      <c r="G61" s="129"/>
      <c r="H61" s="152"/>
      <c r="I61" s="150"/>
      <c r="J61" s="129"/>
      <c r="K61" s="567"/>
      <c r="L61" s="150"/>
      <c r="M61" s="129"/>
      <c r="N61" s="152"/>
      <c r="O61" s="150"/>
      <c r="P61" s="102"/>
      <c r="Q61" s="152"/>
      <c r="R61" s="150"/>
      <c r="S61" s="114"/>
      <c r="T61" s="152"/>
      <c r="U61" s="150"/>
      <c r="V61" s="99"/>
      <c r="W61" s="567"/>
      <c r="X61" s="150"/>
      <c r="Y61" s="102"/>
      <c r="Z61" s="567"/>
      <c r="AA61" s="150"/>
      <c r="AB61" s="102"/>
      <c r="AC61" s="152"/>
      <c r="AD61" s="150"/>
      <c r="AE61" s="99"/>
      <c r="AF61" s="567"/>
      <c r="AG61" s="150"/>
      <c r="AH61" s="102"/>
      <c r="AI61" s="152"/>
      <c r="AJ61" s="150"/>
      <c r="AK61" s="114"/>
      <c r="AL61" s="376"/>
      <c r="AM61" s="376"/>
      <c r="AN61" s="376"/>
      <c r="AO61" s="376"/>
      <c r="AP61" s="376"/>
      <c r="AQ61" s="376"/>
      <c r="AR61" s="376"/>
      <c r="AS61" s="376"/>
      <c r="AT61" s="376"/>
      <c r="AU61" s="376"/>
      <c r="AV61" s="376"/>
    </row>
    <row r="62" spans="1:48" x14ac:dyDescent="0.2">
      <c r="A62" s="889" t="s">
        <v>6053</v>
      </c>
      <c r="B62" s="152"/>
      <c r="C62" s="152"/>
      <c r="D62" s="129"/>
      <c r="E62" s="567"/>
      <c r="F62" s="150">
        <f>45000+124000</f>
        <v>169000</v>
      </c>
      <c r="G62" s="129">
        <f t="shared" si="45"/>
        <v>-169000</v>
      </c>
      <c r="H62" s="152"/>
      <c r="I62" s="150">
        <v>0</v>
      </c>
      <c r="J62" s="129">
        <f t="shared" si="44"/>
        <v>0</v>
      </c>
      <c r="K62" s="567"/>
      <c r="L62" s="150"/>
      <c r="M62" s="129"/>
      <c r="N62" s="152"/>
      <c r="O62" s="150"/>
      <c r="P62" s="102"/>
      <c r="Q62" s="152"/>
      <c r="R62" s="150"/>
      <c r="S62" s="114"/>
      <c r="T62" s="152"/>
      <c r="U62" s="150"/>
      <c r="V62" s="99"/>
      <c r="W62" s="567"/>
      <c r="X62" s="150"/>
      <c r="Y62" s="102"/>
      <c r="Z62" s="567"/>
      <c r="AA62" s="150"/>
      <c r="AB62" s="102"/>
      <c r="AC62" s="152"/>
      <c r="AD62" s="150"/>
      <c r="AE62" s="99"/>
      <c r="AF62" s="567"/>
      <c r="AG62" s="150"/>
      <c r="AH62" s="102"/>
      <c r="AI62" s="152"/>
      <c r="AJ62" s="150"/>
      <c r="AK62" s="114"/>
      <c r="AL62" s="376"/>
      <c r="AM62" s="376"/>
      <c r="AN62" s="376"/>
      <c r="AO62" s="376"/>
      <c r="AP62" s="376"/>
      <c r="AQ62" s="376"/>
      <c r="AR62" s="376"/>
      <c r="AS62" s="376"/>
      <c r="AT62" s="376"/>
      <c r="AU62" s="376"/>
      <c r="AV62" s="376"/>
    </row>
    <row r="63" spans="1:48" hidden="1" x14ac:dyDescent="0.2">
      <c r="A63" s="889" t="s">
        <v>3931</v>
      </c>
      <c r="B63" s="142"/>
      <c r="C63" s="182">
        <v>119800</v>
      </c>
      <c r="D63" s="129">
        <f t="shared" ref="D63:D65" si="55">B63-C63</f>
        <v>-119800</v>
      </c>
      <c r="E63" s="186"/>
      <c r="F63" s="142"/>
      <c r="G63" s="129"/>
      <c r="H63" s="142"/>
      <c r="I63" s="182"/>
      <c r="J63" s="129"/>
      <c r="K63" s="186"/>
      <c r="L63" s="182"/>
      <c r="M63" s="129"/>
      <c r="N63" s="142"/>
      <c r="O63" s="150"/>
      <c r="P63" s="102"/>
      <c r="Q63" s="99"/>
      <c r="R63" s="150"/>
      <c r="S63" s="114"/>
      <c r="T63" s="99"/>
      <c r="U63" s="150"/>
      <c r="V63" s="99"/>
      <c r="W63" s="502"/>
      <c r="X63" s="150"/>
      <c r="Y63" s="102"/>
      <c r="Z63" s="502"/>
      <c r="AA63" s="150"/>
      <c r="AB63" s="102"/>
      <c r="AC63" s="99"/>
      <c r="AD63" s="150"/>
      <c r="AE63" s="99"/>
      <c r="AF63" s="502"/>
      <c r="AG63" s="150"/>
      <c r="AH63" s="102"/>
      <c r="AI63" s="99"/>
      <c r="AJ63" s="150"/>
      <c r="AK63" s="114"/>
    </row>
    <row r="64" spans="1:48" x14ac:dyDescent="0.2">
      <c r="A64" s="889" t="s">
        <v>6724</v>
      </c>
      <c r="B64" s="142"/>
      <c r="C64" s="182"/>
      <c r="D64" s="129"/>
      <c r="E64" s="186"/>
      <c r="F64" s="142">
        <v>29000</v>
      </c>
      <c r="G64" s="129">
        <f t="shared" si="45"/>
        <v>-29000</v>
      </c>
      <c r="H64" s="142"/>
      <c r="I64" s="182"/>
      <c r="J64" s="129"/>
      <c r="K64" s="186"/>
      <c r="L64" s="182"/>
      <c r="M64" s="129"/>
      <c r="N64" s="142"/>
      <c r="O64" s="150"/>
      <c r="P64" s="102"/>
      <c r="Q64" s="99"/>
      <c r="R64" s="150"/>
      <c r="S64" s="114"/>
      <c r="T64" s="99"/>
      <c r="U64" s="150"/>
      <c r="V64" s="99"/>
      <c r="W64" s="502"/>
      <c r="X64" s="150"/>
      <c r="Y64" s="102"/>
      <c r="Z64" s="502"/>
      <c r="AA64" s="150"/>
      <c r="AB64" s="102"/>
      <c r="AC64" s="99"/>
      <c r="AD64" s="150"/>
      <c r="AE64" s="99"/>
      <c r="AF64" s="502"/>
      <c r="AG64" s="150"/>
      <c r="AH64" s="102"/>
      <c r="AI64" s="99"/>
      <c r="AJ64" s="150"/>
      <c r="AK64" s="114"/>
    </row>
    <row r="65" spans="1:37" hidden="1" x14ac:dyDescent="0.2">
      <c r="A65" s="889" t="s">
        <v>5619</v>
      </c>
      <c r="B65" s="152"/>
      <c r="C65" s="99">
        <f>850000</f>
        <v>850000</v>
      </c>
      <c r="D65" s="129">
        <f t="shared" si="55"/>
        <v>-850000</v>
      </c>
      <c r="E65" s="186"/>
      <c r="F65" s="142"/>
      <c r="G65" s="129"/>
      <c r="H65" s="152"/>
      <c r="I65" s="99"/>
      <c r="J65" s="129"/>
      <c r="K65" s="567"/>
      <c r="L65" s="99"/>
      <c r="M65" s="129"/>
      <c r="N65" s="152"/>
      <c r="O65" s="33"/>
      <c r="P65" s="102"/>
      <c r="Q65" s="182"/>
      <c r="R65" s="33"/>
      <c r="S65" s="114"/>
      <c r="T65" s="182"/>
      <c r="U65" s="33"/>
      <c r="V65" s="99"/>
      <c r="W65" s="1469"/>
      <c r="X65" s="33"/>
      <c r="Y65" s="102"/>
      <c r="Z65" s="1469"/>
      <c r="AA65" s="33"/>
      <c r="AB65" s="102"/>
      <c r="AC65" s="182"/>
      <c r="AD65" s="33"/>
      <c r="AE65" s="99"/>
      <c r="AF65" s="1469"/>
      <c r="AG65" s="33"/>
      <c r="AH65" s="102"/>
      <c r="AI65" s="182"/>
      <c r="AJ65" s="33"/>
      <c r="AK65" s="114"/>
    </row>
    <row r="66" spans="1:37" hidden="1" x14ac:dyDescent="0.2">
      <c r="A66" s="889" t="s">
        <v>3644</v>
      </c>
      <c r="B66" s="142"/>
      <c r="C66" s="150">
        <f>825500+39300-39300-625500</f>
        <v>200000</v>
      </c>
      <c r="D66" s="129">
        <f>B66-C66</f>
        <v>-200000</v>
      </c>
      <c r="E66" s="186"/>
      <c r="F66" s="33"/>
      <c r="G66" s="129"/>
      <c r="H66" s="142"/>
      <c r="I66" s="150"/>
      <c r="J66" s="129"/>
      <c r="K66" s="186"/>
      <c r="L66" s="150"/>
      <c r="M66" s="129"/>
      <c r="N66" s="142"/>
      <c r="O66" s="150"/>
      <c r="P66" s="102"/>
      <c r="Q66" s="99"/>
      <c r="R66" s="150"/>
      <c r="S66" s="114"/>
      <c r="T66" s="99"/>
      <c r="U66" s="150"/>
      <c r="V66" s="99"/>
      <c r="W66" s="502"/>
      <c r="X66" s="150"/>
      <c r="Y66" s="102"/>
      <c r="Z66" s="502"/>
      <c r="AA66" s="150"/>
      <c r="AB66" s="102"/>
      <c r="AC66" s="99"/>
      <c r="AD66" s="150"/>
      <c r="AE66" s="99"/>
      <c r="AF66" s="502"/>
      <c r="AG66" s="150"/>
      <c r="AH66" s="102"/>
      <c r="AI66" s="99"/>
      <c r="AJ66" s="150"/>
      <c r="AK66" s="114"/>
    </row>
    <row r="67" spans="1:37" hidden="1" x14ac:dyDescent="0.2">
      <c r="A67" s="889" t="s">
        <v>3059</v>
      </c>
      <c r="B67" s="142"/>
      <c r="C67" s="150">
        <v>625500</v>
      </c>
      <c r="D67" s="129">
        <f>B67-C67</f>
        <v>-625500</v>
      </c>
      <c r="E67" s="186"/>
      <c r="F67" s="33"/>
      <c r="G67" s="129"/>
      <c r="H67" s="142"/>
      <c r="I67" s="150"/>
      <c r="J67" s="129"/>
      <c r="K67" s="186"/>
      <c r="L67" s="150"/>
      <c r="M67" s="129"/>
      <c r="N67" s="142"/>
      <c r="O67" s="150"/>
      <c r="P67" s="102"/>
      <c r="Q67" s="99"/>
      <c r="R67" s="150"/>
      <c r="S67" s="114"/>
      <c r="T67" s="99"/>
      <c r="U67" s="150"/>
      <c r="V67" s="99"/>
      <c r="W67" s="502"/>
      <c r="X67" s="150"/>
      <c r="Y67" s="102"/>
      <c r="Z67" s="502"/>
      <c r="AA67" s="150"/>
      <c r="AB67" s="102"/>
      <c r="AC67" s="99"/>
      <c r="AD67" s="150"/>
      <c r="AE67" s="99"/>
      <c r="AF67" s="502"/>
      <c r="AG67" s="150"/>
      <c r="AH67" s="102"/>
      <c r="AI67" s="99"/>
      <c r="AJ67" s="150"/>
      <c r="AK67" s="114"/>
    </row>
    <row r="68" spans="1:37" x14ac:dyDescent="0.2">
      <c r="A68" s="889" t="s">
        <v>6897</v>
      </c>
      <c r="B68" s="142"/>
      <c r="C68" s="150"/>
      <c r="D68" s="129"/>
      <c r="E68" s="186"/>
      <c r="F68" s="33"/>
      <c r="G68" s="129"/>
      <c r="H68" s="142"/>
      <c r="I68" s="150">
        <v>1150000</v>
      </c>
      <c r="J68" s="129">
        <f>H68-I68</f>
        <v>-1150000</v>
      </c>
      <c r="K68" s="186"/>
      <c r="L68" s="150"/>
      <c r="M68" s="129"/>
      <c r="N68" s="142"/>
      <c r="O68" s="150"/>
      <c r="P68" s="102"/>
      <c r="Q68" s="99"/>
      <c r="R68" s="150"/>
      <c r="S68" s="114"/>
      <c r="T68" s="99"/>
      <c r="U68" s="150"/>
      <c r="V68" s="99"/>
      <c r="W68" s="502"/>
      <c r="X68" s="150"/>
      <c r="Y68" s="102"/>
      <c r="Z68" s="502"/>
      <c r="AA68" s="150"/>
      <c r="AB68" s="102"/>
      <c r="AC68" s="99"/>
      <c r="AD68" s="150"/>
      <c r="AE68" s="99"/>
      <c r="AF68" s="502"/>
      <c r="AG68" s="150"/>
      <c r="AH68" s="102"/>
      <c r="AI68" s="99"/>
      <c r="AJ68" s="150"/>
      <c r="AK68" s="114"/>
    </row>
    <row r="69" spans="1:37" x14ac:dyDescent="0.2">
      <c r="A69" s="889" t="s">
        <v>6165</v>
      </c>
      <c r="B69" s="142"/>
      <c r="C69" s="182"/>
      <c r="D69" s="129"/>
      <c r="E69" s="186"/>
      <c r="F69" s="142">
        <v>30100</v>
      </c>
      <c r="G69" s="129">
        <f t="shared" si="45"/>
        <v>-30100</v>
      </c>
      <c r="H69" s="142"/>
      <c r="I69" s="182"/>
      <c r="J69" s="129"/>
      <c r="K69" s="186"/>
      <c r="L69" s="182"/>
      <c r="M69" s="129"/>
      <c r="N69" s="142"/>
      <c r="O69" s="150"/>
      <c r="P69" s="102"/>
      <c r="Q69" s="99"/>
      <c r="R69" s="150"/>
      <c r="S69" s="114"/>
      <c r="T69" s="99"/>
      <c r="U69" s="150"/>
      <c r="V69" s="99"/>
      <c r="W69" s="502"/>
      <c r="X69" s="150"/>
      <c r="Y69" s="102"/>
      <c r="Z69" s="502"/>
      <c r="AA69" s="150"/>
      <c r="AB69" s="102"/>
      <c r="AC69" s="99"/>
      <c r="AD69" s="150"/>
      <c r="AE69" s="99"/>
      <c r="AF69" s="502"/>
      <c r="AG69" s="150"/>
      <c r="AH69" s="102"/>
      <c r="AI69" s="99"/>
      <c r="AJ69" s="150"/>
      <c r="AK69" s="114"/>
    </row>
    <row r="70" spans="1:37" x14ac:dyDescent="0.2">
      <c r="A70" s="889" t="s">
        <v>6565</v>
      </c>
      <c r="B70" s="142">
        <v>30000</v>
      </c>
      <c r="C70" s="182"/>
      <c r="D70" s="129">
        <f t="shared" si="43"/>
        <v>30000</v>
      </c>
      <c r="E70" s="186"/>
      <c r="F70" s="142">
        <v>30000</v>
      </c>
      <c r="G70" s="129">
        <f t="shared" si="45"/>
        <v>-30000</v>
      </c>
      <c r="H70" s="142"/>
      <c r="I70" s="182"/>
      <c r="J70" s="129"/>
      <c r="K70" s="186"/>
      <c r="L70" s="182"/>
      <c r="M70" s="129"/>
      <c r="N70" s="142"/>
      <c r="O70" s="150"/>
      <c r="P70" s="102"/>
      <c r="Q70" s="99"/>
      <c r="R70" s="150"/>
      <c r="S70" s="114"/>
      <c r="T70" s="99"/>
      <c r="U70" s="150"/>
      <c r="V70" s="99"/>
      <c r="W70" s="502"/>
      <c r="X70" s="150"/>
      <c r="Y70" s="102"/>
      <c r="Z70" s="502"/>
      <c r="AA70" s="150"/>
      <c r="AB70" s="102"/>
      <c r="AC70" s="99"/>
      <c r="AD70" s="150"/>
      <c r="AE70" s="99"/>
      <c r="AF70" s="502"/>
      <c r="AG70" s="150"/>
      <c r="AH70" s="102"/>
      <c r="AI70" s="99"/>
      <c r="AJ70" s="150"/>
      <c r="AK70" s="114"/>
    </row>
    <row r="71" spans="1:37" x14ac:dyDescent="0.2">
      <c r="A71" s="889" t="s">
        <v>2298</v>
      </c>
      <c r="B71" s="142">
        <v>3000</v>
      </c>
      <c r="C71" s="182">
        <f>12600+234400</f>
        <v>247000</v>
      </c>
      <c r="D71" s="129">
        <f t="shared" si="43"/>
        <v>-244000</v>
      </c>
      <c r="E71" s="186"/>
      <c r="F71" s="142">
        <v>3000</v>
      </c>
      <c r="G71" s="129">
        <f t="shared" si="45"/>
        <v>-3000</v>
      </c>
      <c r="H71" s="142"/>
      <c r="I71" s="182"/>
      <c r="J71" s="129"/>
      <c r="K71" s="186"/>
      <c r="L71" s="182"/>
      <c r="M71" s="129"/>
      <c r="N71" s="142"/>
      <c r="O71" s="150"/>
      <c r="P71" s="102"/>
      <c r="Q71" s="99"/>
      <c r="R71" s="150"/>
      <c r="S71" s="114"/>
      <c r="T71" s="99"/>
      <c r="U71" s="150"/>
      <c r="V71" s="99"/>
      <c r="W71" s="502"/>
      <c r="X71" s="150"/>
      <c r="Y71" s="102"/>
      <c r="Z71" s="502"/>
      <c r="AA71" s="150"/>
      <c r="AB71" s="102"/>
      <c r="AC71" s="99"/>
      <c r="AD71" s="150"/>
      <c r="AE71" s="99"/>
      <c r="AF71" s="502"/>
      <c r="AG71" s="150"/>
      <c r="AH71" s="102"/>
      <c r="AI71" s="99"/>
      <c r="AJ71" s="150"/>
      <c r="AK71" s="114"/>
    </row>
    <row r="72" spans="1:37" x14ac:dyDescent="0.2">
      <c r="A72" s="889" t="s">
        <v>6727</v>
      </c>
      <c r="B72" s="142"/>
      <c r="C72" s="182"/>
      <c r="D72" s="129"/>
      <c r="E72" s="186"/>
      <c r="F72" s="142">
        <v>25000</v>
      </c>
      <c r="G72" s="129">
        <f t="shared" si="45"/>
        <v>-25000</v>
      </c>
      <c r="H72" s="142"/>
      <c r="I72" s="182"/>
      <c r="J72" s="129"/>
      <c r="K72" s="186"/>
      <c r="L72" s="182"/>
      <c r="M72" s="129"/>
      <c r="N72" s="142"/>
      <c r="O72" s="150"/>
      <c r="P72" s="102"/>
      <c r="Q72" s="99"/>
      <c r="R72" s="150"/>
      <c r="S72" s="114"/>
      <c r="T72" s="99"/>
      <c r="U72" s="150"/>
      <c r="V72" s="99"/>
      <c r="W72" s="502"/>
      <c r="X72" s="150"/>
      <c r="Y72" s="102"/>
      <c r="Z72" s="502"/>
      <c r="AA72" s="150"/>
      <c r="AB72" s="102"/>
      <c r="AC72" s="99"/>
      <c r="AD72" s="150"/>
      <c r="AE72" s="99"/>
      <c r="AF72" s="502"/>
      <c r="AG72" s="150"/>
      <c r="AH72" s="102"/>
      <c r="AI72" s="99"/>
      <c r="AJ72" s="150"/>
      <c r="AK72" s="114"/>
    </row>
    <row r="73" spans="1:37" x14ac:dyDescent="0.2">
      <c r="A73" s="889" t="s">
        <v>5622</v>
      </c>
      <c r="B73" s="142"/>
      <c r="C73" s="150"/>
      <c r="D73" s="129"/>
      <c r="E73" s="186"/>
      <c r="F73" s="33">
        <v>75000</v>
      </c>
      <c r="G73" s="129">
        <f>E73-F73</f>
        <v>-75000</v>
      </c>
      <c r="H73" s="142"/>
      <c r="I73" s="150">
        <v>104000</v>
      </c>
      <c r="J73" s="129">
        <f>H73-I73</f>
        <v>-104000</v>
      </c>
      <c r="K73" s="186"/>
      <c r="L73" s="150"/>
      <c r="M73" s="129"/>
      <c r="N73" s="142"/>
      <c r="O73" s="150"/>
      <c r="P73" s="102"/>
      <c r="Q73" s="99"/>
      <c r="R73" s="150"/>
      <c r="S73" s="114"/>
      <c r="T73" s="99"/>
      <c r="U73" s="150"/>
      <c r="V73" s="99"/>
      <c r="W73" s="502"/>
      <c r="X73" s="150"/>
      <c r="Y73" s="102"/>
      <c r="Z73" s="502"/>
      <c r="AA73" s="150"/>
      <c r="AB73" s="102"/>
      <c r="AC73" s="99"/>
      <c r="AD73" s="150"/>
      <c r="AE73" s="99"/>
      <c r="AF73" s="502"/>
      <c r="AG73" s="150"/>
      <c r="AH73" s="102"/>
      <c r="AI73" s="99"/>
      <c r="AJ73" s="150"/>
      <c r="AK73" s="114"/>
    </row>
    <row r="74" spans="1:37" x14ac:dyDescent="0.2">
      <c r="A74" s="889" t="s">
        <v>4871</v>
      </c>
      <c r="B74" s="142"/>
      <c r="C74" s="182"/>
      <c r="D74" s="129"/>
      <c r="E74" s="186"/>
      <c r="F74" s="142">
        <f>340000+150000+10000</f>
        <v>500000</v>
      </c>
      <c r="G74" s="129">
        <f t="shared" ref="G74:G75" si="56">E74-F74</f>
        <v>-500000</v>
      </c>
      <c r="H74" s="142"/>
      <c r="I74" s="182"/>
      <c r="J74" s="129"/>
      <c r="K74" s="186"/>
      <c r="L74" s="182"/>
      <c r="M74" s="129"/>
      <c r="N74" s="142"/>
      <c r="O74" s="150"/>
      <c r="P74" s="102"/>
      <c r="Q74" s="99"/>
      <c r="R74" s="150"/>
      <c r="S74" s="114"/>
      <c r="T74" s="99"/>
      <c r="U74" s="150"/>
      <c r="V74" s="99"/>
      <c r="W74" s="502"/>
      <c r="X74" s="150"/>
      <c r="Y74" s="102"/>
      <c r="Z74" s="502"/>
      <c r="AA74" s="150"/>
      <c r="AB74" s="102"/>
      <c r="AC74" s="99"/>
      <c r="AD74" s="150"/>
      <c r="AE74" s="99"/>
      <c r="AF74" s="502"/>
      <c r="AG74" s="150"/>
      <c r="AH74" s="102"/>
      <c r="AI74" s="99"/>
      <c r="AJ74" s="150"/>
      <c r="AK74" s="114"/>
    </row>
    <row r="75" spans="1:37" x14ac:dyDescent="0.2">
      <c r="A75" s="889" t="s">
        <v>5424</v>
      </c>
      <c r="B75" s="142"/>
      <c r="C75" s="182"/>
      <c r="D75" s="129"/>
      <c r="E75" s="186"/>
      <c r="F75" s="142">
        <v>725000</v>
      </c>
      <c r="G75" s="129">
        <f t="shared" si="56"/>
        <v>-725000</v>
      </c>
      <c r="H75" s="142"/>
      <c r="I75" s="182"/>
      <c r="J75" s="129"/>
      <c r="K75" s="186"/>
      <c r="L75" s="182"/>
      <c r="M75" s="129"/>
      <c r="N75" s="142"/>
      <c r="O75" s="150"/>
      <c r="P75" s="102"/>
      <c r="Q75" s="99"/>
      <c r="R75" s="150"/>
      <c r="S75" s="114"/>
      <c r="T75" s="99"/>
      <c r="U75" s="150"/>
      <c r="V75" s="99"/>
      <c r="W75" s="502"/>
      <c r="X75" s="150"/>
      <c r="Y75" s="102"/>
      <c r="Z75" s="502"/>
      <c r="AA75" s="150"/>
      <c r="AB75" s="102"/>
      <c r="AC75" s="99"/>
      <c r="AD75" s="150"/>
      <c r="AE75" s="99"/>
      <c r="AF75" s="502"/>
      <c r="AG75" s="150"/>
      <c r="AH75" s="102"/>
      <c r="AI75" s="99"/>
      <c r="AJ75" s="150"/>
      <c r="AK75" s="114"/>
    </row>
    <row r="76" spans="1:37" x14ac:dyDescent="0.2">
      <c r="A76" s="889" t="s">
        <v>4872</v>
      </c>
      <c r="B76" s="142"/>
      <c r="C76" s="182"/>
      <c r="D76" s="129"/>
      <c r="E76" s="186"/>
      <c r="F76" s="142">
        <f>150000-70000</f>
        <v>80000</v>
      </c>
      <c r="G76" s="129">
        <f t="shared" ref="G76" si="57">E76-F76</f>
        <v>-80000</v>
      </c>
      <c r="H76" s="142"/>
      <c r="I76" s="182"/>
      <c r="J76" s="129"/>
      <c r="K76" s="186"/>
      <c r="L76" s="182"/>
      <c r="M76" s="129"/>
      <c r="N76" s="142"/>
      <c r="O76" s="150"/>
      <c r="P76" s="102"/>
      <c r="Q76" s="99"/>
      <c r="R76" s="150"/>
      <c r="S76" s="114"/>
      <c r="T76" s="99"/>
      <c r="U76" s="150"/>
      <c r="V76" s="99"/>
      <c r="W76" s="502"/>
      <c r="X76" s="150"/>
      <c r="Y76" s="102"/>
      <c r="Z76" s="502"/>
      <c r="AA76" s="150"/>
      <c r="AB76" s="102"/>
      <c r="AC76" s="99"/>
      <c r="AD76" s="150"/>
      <c r="AE76" s="99"/>
      <c r="AF76" s="502"/>
      <c r="AG76" s="150"/>
      <c r="AH76" s="102"/>
      <c r="AI76" s="99"/>
      <c r="AJ76" s="150"/>
      <c r="AK76" s="100"/>
    </row>
    <row r="77" spans="1:37" x14ac:dyDescent="0.2">
      <c r="A77" s="889" t="s">
        <v>4874</v>
      </c>
      <c r="B77" s="142"/>
      <c r="C77" s="182"/>
      <c r="D77" s="129"/>
      <c r="E77" s="186"/>
      <c r="F77" s="142">
        <f>140000-50000</f>
        <v>90000</v>
      </c>
      <c r="G77" s="129">
        <f t="shared" ref="G77" si="58">E77-F77</f>
        <v>-90000</v>
      </c>
      <c r="H77" s="142"/>
      <c r="I77" s="182"/>
      <c r="J77" s="129"/>
      <c r="K77" s="186"/>
      <c r="L77" s="182"/>
      <c r="M77" s="129">
        <f t="shared" si="46"/>
        <v>0</v>
      </c>
      <c r="N77" s="142"/>
      <c r="O77" s="150">
        <f>'Cap-Gen'!I180</f>
        <v>750000</v>
      </c>
      <c r="P77" s="102">
        <f t="shared" si="47"/>
        <v>-750000</v>
      </c>
      <c r="Q77" s="99"/>
      <c r="R77" s="150">
        <f>'Cap-Gen'!J180</f>
        <v>900000</v>
      </c>
      <c r="S77" s="114">
        <f t="shared" si="48"/>
        <v>-900000</v>
      </c>
      <c r="T77" s="99"/>
      <c r="U77" s="150"/>
      <c r="V77" s="99"/>
      <c r="W77" s="502"/>
      <c r="X77" s="150"/>
      <c r="Y77" s="102"/>
      <c r="Z77" s="502"/>
      <c r="AA77" s="150"/>
      <c r="AB77" s="102"/>
      <c r="AC77" s="99"/>
      <c r="AD77" s="150"/>
      <c r="AE77" s="99"/>
      <c r="AF77" s="502"/>
      <c r="AG77" s="150"/>
      <c r="AH77" s="102"/>
      <c r="AI77" s="99"/>
      <c r="AJ77" s="150"/>
      <c r="AK77" s="100"/>
    </row>
    <row r="78" spans="1:37" x14ac:dyDescent="0.2">
      <c r="A78" s="889" t="s">
        <v>4873</v>
      </c>
      <c r="B78" s="142"/>
      <c r="C78" s="182"/>
      <c r="D78" s="129"/>
      <c r="E78" s="186"/>
      <c r="F78" s="142"/>
      <c r="G78" s="129"/>
      <c r="H78" s="142"/>
      <c r="I78" s="182"/>
      <c r="J78" s="129">
        <f t="shared" si="44"/>
        <v>0</v>
      </c>
      <c r="K78" s="186"/>
      <c r="L78" s="182">
        <v>800000</v>
      </c>
      <c r="M78" s="129">
        <f t="shared" si="46"/>
        <v>-800000</v>
      </c>
      <c r="N78" s="142"/>
      <c r="O78" s="150"/>
      <c r="P78" s="102"/>
      <c r="Q78" s="99"/>
      <c r="R78" s="150"/>
      <c r="S78" s="114"/>
      <c r="T78" s="99"/>
      <c r="U78" s="150"/>
      <c r="V78" s="99"/>
      <c r="W78" s="502"/>
      <c r="X78" s="150"/>
      <c r="Y78" s="102"/>
      <c r="Z78" s="502"/>
      <c r="AA78" s="150"/>
      <c r="AB78" s="102"/>
      <c r="AC78" s="99"/>
      <c r="AD78" s="150"/>
      <c r="AE78" s="99"/>
      <c r="AF78" s="502"/>
      <c r="AG78" s="150"/>
      <c r="AH78" s="102"/>
      <c r="AI78" s="99"/>
      <c r="AJ78" s="150"/>
      <c r="AK78" s="100"/>
    </row>
    <row r="79" spans="1:37" x14ac:dyDescent="0.2">
      <c r="A79" s="889" t="s">
        <v>2517</v>
      </c>
      <c r="B79" s="567">
        <v>669700</v>
      </c>
      <c r="C79" s="99"/>
      <c r="D79" s="129">
        <f t="shared" si="43"/>
        <v>669700</v>
      </c>
      <c r="E79" s="186">
        <f>'Sec 94'!F84</f>
        <v>450000</v>
      </c>
      <c r="F79" s="142"/>
      <c r="G79" s="129">
        <f t="shared" si="45"/>
        <v>450000</v>
      </c>
      <c r="H79" s="152">
        <f>'Sec 94'!G84</f>
        <v>650000</v>
      </c>
      <c r="I79" s="99"/>
      <c r="J79" s="129">
        <f t="shared" si="44"/>
        <v>650000</v>
      </c>
      <c r="K79" s="567">
        <f>'Sec 94'!H84</f>
        <v>450000</v>
      </c>
      <c r="L79" s="99"/>
      <c r="M79" s="76">
        <f t="shared" si="46"/>
        <v>450000</v>
      </c>
      <c r="N79" s="567">
        <f>'Sec 94'!I84</f>
        <v>450000</v>
      </c>
      <c r="O79" s="33"/>
      <c r="P79" s="102">
        <f t="shared" si="47"/>
        <v>450000</v>
      </c>
      <c r="Q79" s="152">
        <f>'Sec 94'!J84</f>
        <v>450000</v>
      </c>
      <c r="R79" s="33"/>
      <c r="S79" s="114">
        <f t="shared" si="48"/>
        <v>450000</v>
      </c>
      <c r="T79" s="152">
        <f>'Sec 94'!K84</f>
        <v>450000</v>
      </c>
      <c r="U79" s="33"/>
      <c r="V79" s="99">
        <f t="shared" si="49"/>
        <v>450000</v>
      </c>
      <c r="W79" s="567">
        <f>'Sec 94'!L84</f>
        <v>450000</v>
      </c>
      <c r="X79" s="33"/>
      <c r="Y79" s="102">
        <f t="shared" si="50"/>
        <v>450000</v>
      </c>
      <c r="Z79" s="567">
        <f>'Sec 94'!M84</f>
        <v>450000</v>
      </c>
      <c r="AA79" s="33"/>
      <c r="AB79" s="102">
        <f t="shared" si="51"/>
        <v>450000</v>
      </c>
      <c r="AC79" s="152">
        <f>'Sec 94'!N84</f>
        <v>450000</v>
      </c>
      <c r="AD79" s="33"/>
      <c r="AE79" s="99">
        <f t="shared" ref="AE79:AE82" si="59">AC79-AD79</f>
        <v>450000</v>
      </c>
      <c r="AF79" s="567">
        <f>'Sec 94'!O84</f>
        <v>450000</v>
      </c>
      <c r="AG79" s="33"/>
      <c r="AH79" s="129">
        <f t="shared" ref="AH79:AH82" si="60">AF79-AG79</f>
        <v>450000</v>
      </c>
      <c r="AI79" s="152">
        <f>'Sec 94'!P84</f>
        <v>450000</v>
      </c>
      <c r="AJ79" s="33"/>
      <c r="AK79" s="100">
        <f t="shared" ref="AK79:AK82" si="61">AI79-AJ79</f>
        <v>450000</v>
      </c>
    </row>
    <row r="80" spans="1:37" x14ac:dyDescent="0.2">
      <c r="A80" s="889" t="s">
        <v>5623</v>
      </c>
      <c r="B80" s="152"/>
      <c r="C80" s="99"/>
      <c r="D80" s="129"/>
      <c r="E80" s="186">
        <f>F101</f>
        <v>0</v>
      </c>
      <c r="F80" s="142"/>
      <c r="G80" s="76">
        <f t="shared" si="45"/>
        <v>0</v>
      </c>
      <c r="H80" s="567">
        <f>I101</f>
        <v>0</v>
      </c>
      <c r="I80" s="99"/>
      <c r="J80" s="76">
        <f t="shared" si="44"/>
        <v>0</v>
      </c>
      <c r="K80" s="567">
        <f>L101</f>
        <v>0</v>
      </c>
      <c r="L80" s="99"/>
      <c r="M80" s="76">
        <f t="shared" si="46"/>
        <v>0</v>
      </c>
      <c r="N80" s="567">
        <f>O101</f>
        <v>0</v>
      </c>
      <c r="O80" s="33"/>
      <c r="P80" s="102">
        <f t="shared" si="47"/>
        <v>0</v>
      </c>
      <c r="Q80" s="182">
        <f>R101</f>
        <v>1000000</v>
      </c>
      <c r="R80" s="33"/>
      <c r="S80" s="114">
        <f t="shared" si="48"/>
        <v>1000000</v>
      </c>
      <c r="T80" s="182">
        <f>U101</f>
        <v>1100000</v>
      </c>
      <c r="U80" s="33"/>
      <c r="V80" s="99">
        <f t="shared" si="49"/>
        <v>1100000</v>
      </c>
      <c r="W80" s="1469">
        <f>X101</f>
        <v>500000</v>
      </c>
      <c r="X80" s="33"/>
      <c r="Y80" s="102">
        <f t="shared" si="50"/>
        <v>500000</v>
      </c>
      <c r="Z80" s="1469">
        <f>AA101</f>
        <v>0</v>
      </c>
      <c r="AA80" s="33"/>
      <c r="AB80" s="102">
        <f t="shared" si="51"/>
        <v>0</v>
      </c>
      <c r="AC80" s="182">
        <f>AD101</f>
        <v>700000</v>
      </c>
      <c r="AD80" s="33"/>
      <c r="AE80" s="99">
        <f t="shared" si="59"/>
        <v>700000</v>
      </c>
      <c r="AF80" s="1469">
        <f>AG101</f>
        <v>700000</v>
      </c>
      <c r="AG80" s="33"/>
      <c r="AH80" s="129">
        <f t="shared" si="60"/>
        <v>700000</v>
      </c>
      <c r="AI80" s="182">
        <f>AJ101</f>
        <v>700000</v>
      </c>
      <c r="AJ80" s="33"/>
      <c r="AK80" s="100">
        <f t="shared" si="61"/>
        <v>700000</v>
      </c>
    </row>
    <row r="81" spans="1:48" x14ac:dyDescent="0.2">
      <c r="A81" s="889" t="s">
        <v>1480</v>
      </c>
      <c r="B81" s="142"/>
      <c r="C81" s="152">
        <f>ROUND(SUM('Debt-Gen'!I10:J13),-2)</f>
        <v>29600</v>
      </c>
      <c r="D81" s="129">
        <f>B81-C81</f>
        <v>-29600</v>
      </c>
      <c r="E81" s="186"/>
      <c r="F81" s="33">
        <f>ROUND(SUM('Debt-Gen'!K10:L13),-2)</f>
        <v>29600</v>
      </c>
      <c r="G81" s="76">
        <f t="shared" si="45"/>
        <v>-29600</v>
      </c>
      <c r="H81" s="186"/>
      <c r="I81" s="150">
        <f>ROUND(SUM('Debt-Gen'!M10:N13),-2)</f>
        <v>29600</v>
      </c>
      <c r="J81" s="76">
        <f t="shared" si="44"/>
        <v>-29600</v>
      </c>
      <c r="K81" s="186"/>
      <c r="L81" s="150">
        <f>ROUND(SUM('Debt-Gen'!O10:P13),-2)</f>
        <v>29600</v>
      </c>
      <c r="M81" s="76">
        <f t="shared" si="46"/>
        <v>-29600</v>
      </c>
      <c r="N81" s="186"/>
      <c r="O81" s="150">
        <f>ROUND(SUM('Debt-Gen'!Q10:R13),-2)</f>
        <v>28100</v>
      </c>
      <c r="P81" s="102">
        <f t="shared" si="47"/>
        <v>-28100</v>
      </c>
      <c r="Q81" s="99"/>
      <c r="R81" s="150">
        <f>ROUND(SUM('Debt-Gen'!S10:T13),-2)</f>
        <v>20600</v>
      </c>
      <c r="S81" s="114">
        <f t="shared" si="48"/>
        <v>-20600</v>
      </c>
      <c r="T81" s="99"/>
      <c r="U81" s="150">
        <f>ROUND(SUM('Debt-Gen'!U10:V13),-2)</f>
        <v>20600</v>
      </c>
      <c r="V81" s="99">
        <f t="shared" si="49"/>
        <v>-20600</v>
      </c>
      <c r="W81" s="502"/>
      <c r="X81" s="150">
        <f>ROUND(SUM('Debt-Gen'!W10:X13),-2)</f>
        <v>20600</v>
      </c>
      <c r="Y81" s="102">
        <f t="shared" si="50"/>
        <v>-20600</v>
      </c>
      <c r="Z81" s="502"/>
      <c r="AA81" s="150">
        <f>ROUND(SUM('Debt-Gen'!Y10:Z13),-2)</f>
        <v>0</v>
      </c>
      <c r="AB81" s="102">
        <f t="shared" si="51"/>
        <v>0</v>
      </c>
      <c r="AC81" s="99"/>
      <c r="AD81" s="150">
        <f>ROUND(SUM('Debt-Gen'!AA10:AB13),-2)</f>
        <v>0</v>
      </c>
      <c r="AE81" s="99">
        <f t="shared" si="59"/>
        <v>0</v>
      </c>
      <c r="AF81" s="502"/>
      <c r="AG81" s="150">
        <f>ROUND(SUM('Debt-Gen'!AC10:AD13),-2)</f>
        <v>0</v>
      </c>
      <c r="AH81" s="129">
        <f t="shared" si="60"/>
        <v>0</v>
      </c>
      <c r="AI81" s="99"/>
      <c r="AJ81" s="150">
        <f>ROUND(SUM('Debt-Gen'!AE10:AF13),-2)</f>
        <v>0</v>
      </c>
      <c r="AK81" s="100">
        <f t="shared" si="61"/>
        <v>0</v>
      </c>
    </row>
    <row r="82" spans="1:48" x14ac:dyDescent="0.2">
      <c r="A82" s="889" t="s">
        <v>260</v>
      </c>
      <c r="B82" s="142"/>
      <c r="C82" s="152">
        <v>537100</v>
      </c>
      <c r="D82" s="129">
        <f t="shared" si="43"/>
        <v>-537100</v>
      </c>
      <c r="E82" s="186"/>
      <c r="F82" s="33">
        <f>ROUND(SUM('Debt-Gen'!K33:L35),-2)-CIV!G1093</f>
        <v>373000</v>
      </c>
      <c r="G82" s="76">
        <f t="shared" si="45"/>
        <v>-373000</v>
      </c>
      <c r="H82" s="186"/>
      <c r="I82" s="150">
        <f>ROUND(SUM('Debt-Gen'!M33:N35),-2)-CIV!I1093</f>
        <v>378100</v>
      </c>
      <c r="J82" s="76">
        <f t="shared" si="44"/>
        <v>-378100</v>
      </c>
      <c r="K82" s="186"/>
      <c r="L82" s="150">
        <f>ROUND(SUM('Debt-Gen'!O33:P35),-2)-CIV!J1093</f>
        <v>300400</v>
      </c>
      <c r="M82" s="76">
        <f t="shared" si="46"/>
        <v>-300400</v>
      </c>
      <c r="N82" s="186"/>
      <c r="O82" s="150">
        <f>ROUND(SUM('Debt-Gen'!Q33:R35),-2)-CIV!K1093</f>
        <v>289500</v>
      </c>
      <c r="P82" s="102">
        <f t="shared" si="47"/>
        <v>-289500</v>
      </c>
      <c r="Q82" s="99"/>
      <c r="R82" s="150">
        <f>ROUND(SUM('Debt-Gen'!S33:T35),-2)-CIV!L1093</f>
        <v>295200</v>
      </c>
      <c r="S82" s="114">
        <f t="shared" si="48"/>
        <v>-295200</v>
      </c>
      <c r="T82" s="99"/>
      <c r="U82" s="150">
        <f>ROUND(SUM('Debt-Gen'!U33:V35),-2)-CIV!M1093</f>
        <v>301100</v>
      </c>
      <c r="V82" s="99">
        <f t="shared" si="49"/>
        <v>-301100</v>
      </c>
      <c r="W82" s="502"/>
      <c r="X82" s="150">
        <f>ROUND(SUM('Debt-Gen'!W33:X35),-2)-CIV!N1093</f>
        <v>306900</v>
      </c>
      <c r="Y82" s="102">
        <f t="shared" si="50"/>
        <v>-306900</v>
      </c>
      <c r="Z82" s="502"/>
      <c r="AA82" s="150">
        <f>ROUND(SUM('Debt-Gen'!Y33:Z35),-2)-CIV!O1093+1100</f>
        <v>309100</v>
      </c>
      <c r="AB82" s="102">
        <f t="shared" si="51"/>
        <v>-309100</v>
      </c>
      <c r="AC82" s="99"/>
      <c r="AD82" s="150">
        <f>ROUND(SUM('Debt-Gen'!AA33:AB35),-2)-CIV!P1093</f>
        <v>308000</v>
      </c>
      <c r="AE82" s="99">
        <f t="shared" si="59"/>
        <v>-308000</v>
      </c>
      <c r="AF82" s="502"/>
      <c r="AG82" s="150">
        <f>ROUND(SUM('Debt-Gen'!AC33:AD35),-2)-CIV!Q1093</f>
        <v>308000</v>
      </c>
      <c r="AH82" s="129">
        <f t="shared" si="60"/>
        <v>-308000</v>
      </c>
      <c r="AI82" s="99"/>
      <c r="AJ82" s="150">
        <f>ROUND(SUM('Debt-Gen'!AE33:AF35),-2)-CIV!R1093</f>
        <v>308000</v>
      </c>
      <c r="AK82" s="100">
        <f t="shared" si="61"/>
        <v>-308000</v>
      </c>
    </row>
    <row r="83" spans="1:48" ht="13.5" thickBot="1" x14ac:dyDescent="0.25">
      <c r="A83" s="889" t="s">
        <v>7027</v>
      </c>
      <c r="B83" s="142"/>
      <c r="C83" s="152"/>
      <c r="D83" s="129"/>
      <c r="E83" s="186">
        <f>'Cap Inc'!E116</f>
        <v>225000</v>
      </c>
      <c r="F83" s="142"/>
      <c r="G83" s="76">
        <f t="shared" si="45"/>
        <v>225000</v>
      </c>
      <c r="H83" s="186"/>
      <c r="I83" s="152"/>
      <c r="J83" s="99"/>
      <c r="K83" s="186"/>
      <c r="L83" s="152"/>
      <c r="M83" s="99"/>
      <c r="N83" s="186"/>
      <c r="O83" s="152"/>
      <c r="P83" s="99"/>
      <c r="Q83" s="186"/>
      <c r="R83" s="152"/>
      <c r="S83" s="99"/>
      <c r="T83" s="186"/>
      <c r="U83" s="152"/>
      <c r="V83" s="99"/>
      <c r="W83" s="186"/>
      <c r="X83" s="152"/>
      <c r="Y83" s="99"/>
      <c r="Z83" s="186"/>
      <c r="AA83" s="152"/>
      <c r="AB83" s="99"/>
      <c r="AC83" s="186"/>
      <c r="AD83" s="152"/>
      <c r="AE83" s="99"/>
      <c r="AF83" s="186"/>
      <c r="AG83" s="152"/>
      <c r="AH83" s="99"/>
      <c r="AI83" s="186"/>
      <c r="AJ83" s="152"/>
      <c r="AK83" s="100"/>
    </row>
    <row r="84" spans="1:48" s="92" customFormat="1" ht="13.5" thickTop="1" x14ac:dyDescent="0.2">
      <c r="A84" s="2271" t="s">
        <v>172</v>
      </c>
      <c r="B84" s="386">
        <f t="shared" ref="B84:AH84" si="62">SUBTOTAL(9,B57:B82)</f>
        <v>2099000</v>
      </c>
      <c r="C84" s="2633">
        <f t="shared" si="62"/>
        <v>2711000</v>
      </c>
      <c r="D84" s="324">
        <f t="shared" si="62"/>
        <v>-612000</v>
      </c>
      <c r="E84" s="386">
        <f>SUBTOTAL(9,E57:E83)</f>
        <v>1584700</v>
      </c>
      <c r="F84" s="386">
        <f>SUBTOTAL(9,F57:F83)</f>
        <v>2240500</v>
      </c>
      <c r="G84" s="561">
        <f>SUBTOTAL(9,G57:G83)</f>
        <v>-655800</v>
      </c>
      <c r="H84" s="386">
        <f t="shared" si="62"/>
        <v>1557100</v>
      </c>
      <c r="I84" s="122">
        <f t="shared" si="62"/>
        <v>1745200</v>
      </c>
      <c r="J84" s="125">
        <f t="shared" si="62"/>
        <v>-188100</v>
      </c>
      <c r="K84" s="386">
        <f t="shared" si="62"/>
        <v>1355600</v>
      </c>
      <c r="L84" s="122">
        <f t="shared" si="62"/>
        <v>1216100</v>
      </c>
      <c r="M84" s="125">
        <f t="shared" si="62"/>
        <v>139500</v>
      </c>
      <c r="N84" s="386">
        <f t="shared" si="62"/>
        <v>1373700</v>
      </c>
      <c r="O84" s="122">
        <f>SUBTOTAL(9,O57:O82)</f>
        <v>1156200</v>
      </c>
      <c r="P84" s="122">
        <f t="shared" si="62"/>
        <v>217500</v>
      </c>
      <c r="Q84" s="386">
        <f t="shared" si="62"/>
        <v>2384300</v>
      </c>
      <c r="R84" s="122">
        <f t="shared" si="62"/>
        <v>1307000</v>
      </c>
      <c r="S84" s="122">
        <f t="shared" si="62"/>
        <v>1077300</v>
      </c>
      <c r="T84" s="386">
        <f t="shared" si="62"/>
        <v>2499900</v>
      </c>
      <c r="U84" s="122">
        <f t="shared" si="62"/>
        <v>415300</v>
      </c>
      <c r="V84" s="122">
        <f t="shared" si="62"/>
        <v>2084600</v>
      </c>
      <c r="W84" s="386">
        <f t="shared" si="62"/>
        <v>1918900</v>
      </c>
      <c r="X84" s="122">
        <f t="shared" si="62"/>
        <v>423600</v>
      </c>
      <c r="Y84" s="122">
        <f t="shared" si="62"/>
        <v>1495300</v>
      </c>
      <c r="Z84" s="386">
        <f t="shared" si="62"/>
        <v>1438200</v>
      </c>
      <c r="AA84" s="122">
        <f t="shared" si="62"/>
        <v>407600</v>
      </c>
      <c r="AB84" s="122">
        <f t="shared" si="62"/>
        <v>1030600</v>
      </c>
      <c r="AC84" s="386">
        <f t="shared" si="62"/>
        <v>2157900</v>
      </c>
      <c r="AD84" s="122">
        <f t="shared" si="62"/>
        <v>409000</v>
      </c>
      <c r="AE84" s="125">
        <f t="shared" si="62"/>
        <v>1748900</v>
      </c>
      <c r="AF84" s="386">
        <f t="shared" si="62"/>
        <v>2180000</v>
      </c>
      <c r="AG84" s="122">
        <f t="shared" si="62"/>
        <v>411400</v>
      </c>
      <c r="AH84" s="324">
        <f t="shared" si="62"/>
        <v>1768600</v>
      </c>
      <c r="AI84" s="122">
        <f t="shared" ref="AI84:AK84" si="63">SUBTOTAL(9,AI57:AI82)</f>
        <v>2201500</v>
      </c>
      <c r="AJ84" s="122">
        <f t="shared" si="63"/>
        <v>414000</v>
      </c>
      <c r="AK84" s="342">
        <f t="shared" si="63"/>
        <v>1787500</v>
      </c>
    </row>
    <row r="85" spans="1:48" x14ac:dyDescent="0.2">
      <c r="A85" s="585"/>
      <c r="B85" s="567"/>
      <c r="C85" s="152"/>
      <c r="D85" s="129"/>
      <c r="E85" s="186"/>
      <c r="F85" s="33"/>
      <c r="G85" s="76"/>
      <c r="H85" s="567"/>
      <c r="I85" s="150"/>
      <c r="J85" s="76"/>
      <c r="K85" s="567"/>
      <c r="L85" s="150"/>
      <c r="M85" s="76"/>
      <c r="N85" s="567"/>
      <c r="O85" s="150"/>
      <c r="P85" s="102"/>
      <c r="Q85" s="182"/>
      <c r="R85" s="150"/>
      <c r="S85" s="114"/>
      <c r="T85" s="182"/>
      <c r="U85" s="150"/>
      <c r="V85" s="99"/>
      <c r="W85" s="1469"/>
      <c r="X85" s="150"/>
      <c r="Y85" s="102"/>
      <c r="Z85" s="1469"/>
      <c r="AA85" s="150"/>
      <c r="AB85" s="102"/>
      <c r="AC85" s="182"/>
      <c r="AD85" s="150"/>
      <c r="AE85" s="99"/>
      <c r="AF85" s="1469"/>
      <c r="AG85" s="150"/>
      <c r="AH85" s="129"/>
      <c r="AI85" s="182"/>
      <c r="AJ85" s="150"/>
      <c r="AK85" s="100"/>
    </row>
    <row r="86" spans="1:48" x14ac:dyDescent="0.2">
      <c r="A86" s="2270" t="s">
        <v>3283</v>
      </c>
      <c r="B86" s="567"/>
      <c r="C86" s="152"/>
      <c r="D86" s="129"/>
      <c r="E86" s="186"/>
      <c r="F86" s="33"/>
      <c r="G86" s="76"/>
      <c r="H86" s="567"/>
      <c r="I86" s="150"/>
      <c r="J86" s="76"/>
      <c r="K86" s="567"/>
      <c r="L86" s="150"/>
      <c r="M86" s="76"/>
      <c r="N86" s="567"/>
      <c r="O86" s="150"/>
      <c r="P86" s="102"/>
      <c r="Q86" s="182"/>
      <c r="R86" s="150"/>
      <c r="S86" s="114"/>
      <c r="T86" s="182"/>
      <c r="U86" s="150"/>
      <c r="V86" s="99"/>
      <c r="W86" s="1469"/>
      <c r="X86" s="150"/>
      <c r="Y86" s="102"/>
      <c r="Z86" s="1469"/>
      <c r="AA86" s="150"/>
      <c r="AB86" s="102"/>
      <c r="AC86" s="182"/>
      <c r="AD86" s="150"/>
      <c r="AE86" s="99"/>
      <c r="AF86" s="1469"/>
      <c r="AG86" s="150"/>
      <c r="AH86" s="129"/>
      <c r="AI86" s="182"/>
      <c r="AJ86" s="150"/>
      <c r="AK86" s="100"/>
    </row>
    <row r="87" spans="1:48" x14ac:dyDescent="0.2">
      <c r="A87" s="585" t="s">
        <v>1338</v>
      </c>
      <c r="B87" s="152">
        <v>87000</v>
      </c>
      <c r="C87" s="152"/>
      <c r="D87" s="321">
        <f>B87-C87</f>
        <v>87000</v>
      </c>
      <c r="E87" s="567">
        <f>GM!G908</f>
        <v>105000</v>
      </c>
      <c r="F87" s="150"/>
      <c r="G87" s="321">
        <f t="shared" ref="G87:G102" si="64">E87-F87</f>
        <v>105000</v>
      </c>
      <c r="H87" s="152">
        <f>GM!I908</f>
        <v>95000</v>
      </c>
      <c r="I87" s="150"/>
      <c r="J87" s="2435">
        <f t="shared" ref="J87:J102" si="65">H87-I87</f>
        <v>95000</v>
      </c>
      <c r="K87" s="567">
        <f>GM!J908</f>
        <v>27000</v>
      </c>
      <c r="L87" s="150"/>
      <c r="M87" s="321">
        <f>K87-L87</f>
        <v>27000</v>
      </c>
      <c r="N87" s="152">
        <f>GM!K908</f>
        <v>89000</v>
      </c>
      <c r="O87" s="150"/>
      <c r="P87" s="321">
        <f>N87-O87</f>
        <v>89000</v>
      </c>
      <c r="Q87" s="182">
        <f>GM!L908</f>
        <v>37000</v>
      </c>
      <c r="R87" s="150"/>
      <c r="S87" s="507">
        <f>Q87-R87</f>
        <v>37000</v>
      </c>
      <c r="T87" s="182">
        <f>GM!M908</f>
        <v>49000</v>
      </c>
      <c r="U87" s="150"/>
      <c r="V87" s="182">
        <f>T87-U87</f>
        <v>49000</v>
      </c>
      <c r="W87" s="1469">
        <f>GM!N908</f>
        <v>48000</v>
      </c>
      <c r="X87" s="150"/>
      <c r="Y87" s="508">
        <f>W87-X87</f>
        <v>48000</v>
      </c>
      <c r="Z87" s="1469">
        <f>GM!O908</f>
        <v>54000</v>
      </c>
      <c r="AA87" s="150"/>
      <c r="AB87" s="508">
        <f>Z87-AA87</f>
        <v>54000</v>
      </c>
      <c r="AC87" s="182">
        <f>GM!P908</f>
        <v>47000</v>
      </c>
      <c r="AD87" s="150"/>
      <c r="AE87" s="182">
        <f>AC87-AD87</f>
        <v>47000</v>
      </c>
      <c r="AF87" s="1469">
        <f>GM!Q908</f>
        <v>47000</v>
      </c>
      <c r="AG87" s="150"/>
      <c r="AH87" s="508">
        <f>AF87-AG87</f>
        <v>47000</v>
      </c>
      <c r="AI87" s="182">
        <f>GM!R908</f>
        <v>47000</v>
      </c>
      <c r="AJ87" s="150"/>
      <c r="AK87" s="507">
        <f>AI87-AJ87</f>
        <v>47000</v>
      </c>
      <c r="AL87" s="376"/>
      <c r="AM87" s="376"/>
      <c r="AN87" s="376"/>
      <c r="AO87" s="376"/>
      <c r="AP87" s="376"/>
      <c r="AQ87" s="376"/>
      <c r="AR87" s="376"/>
      <c r="AS87" s="376"/>
      <c r="AT87" s="376"/>
      <c r="AU87" s="376"/>
      <c r="AV87" s="376"/>
    </row>
    <row r="88" spans="1:48" x14ac:dyDescent="0.2">
      <c r="A88" s="889" t="s">
        <v>5977</v>
      </c>
      <c r="B88" s="567">
        <f>1660000-455000</f>
        <v>1205000</v>
      </c>
      <c r="C88" s="152">
        <v>360000</v>
      </c>
      <c r="D88" s="321">
        <f>B88-C88</f>
        <v>845000</v>
      </c>
      <c r="E88" s="567">
        <f>'Cap Inc'!E109-E61+'Cap Inc'!E108</f>
        <v>725000</v>
      </c>
      <c r="F88" s="150">
        <f>SUM(GM!G929:G932)+GM!G990+'Cap-Gen'!F40</f>
        <v>315300</v>
      </c>
      <c r="G88" s="321">
        <f>E88-F88</f>
        <v>409700</v>
      </c>
      <c r="H88" s="152">
        <f>'Cap Inc'!F109-H61+'Cap Inc'!F108</f>
        <v>0</v>
      </c>
      <c r="I88" s="150">
        <f>SUM(GM!I929:I932)+GM!I990+'Cap-Gen'!G40</f>
        <v>3112300</v>
      </c>
      <c r="J88" s="321">
        <f>H88-I88</f>
        <v>-3112300</v>
      </c>
      <c r="K88" s="567">
        <f>'Cap Inc'!G110</f>
        <v>2675000</v>
      </c>
      <c r="L88" s="150">
        <f>SUM(GM!J929:J932)+GM!J990+'Cap-Gen'!H40</f>
        <v>115000</v>
      </c>
      <c r="M88" s="321">
        <f>K88-L88</f>
        <v>2560000</v>
      </c>
      <c r="N88" s="152">
        <f>'Cap Inc'!H110</f>
        <v>2675000</v>
      </c>
      <c r="O88" s="150">
        <f>SUM(GM!K929:K932)+GM!K990+'Cap-Gen'!I40</f>
        <v>117700</v>
      </c>
      <c r="P88" s="321">
        <f>N88-O88</f>
        <v>2557300</v>
      </c>
      <c r="Q88" s="182">
        <f>'Cap Inc'!I110</f>
        <v>600000</v>
      </c>
      <c r="R88" s="150">
        <f>SUM(GM!L929:L932)+GM!L990+'Cap-Gen'!J40</f>
        <v>1070500</v>
      </c>
      <c r="S88" s="1058">
        <f>Q88-R88</f>
        <v>-470500</v>
      </c>
      <c r="T88" s="182">
        <f>'Cap Inc'!J110</f>
        <v>600000</v>
      </c>
      <c r="U88" s="150">
        <f>SUM(GM!M929:M932)+GM!M990+'Cap-Gen'!K40</f>
        <v>122900</v>
      </c>
      <c r="V88" s="182">
        <f>T88-U88</f>
        <v>477100</v>
      </c>
      <c r="W88" s="1469">
        <f>'Cap Inc'!K110</f>
        <v>600000</v>
      </c>
      <c r="X88" s="150">
        <f>SUM(GM!N929:N932)+GM!N990+'Cap-Gen'!L40</f>
        <v>125300</v>
      </c>
      <c r="Y88" s="508">
        <f>W88-X88</f>
        <v>474700</v>
      </c>
      <c r="Z88" s="1469">
        <f>'Cap Inc'!L110</f>
        <v>600000</v>
      </c>
      <c r="AA88" s="150">
        <f>SUM(GM!O929:O932)+GM!O990+'Cap-Gen'!M40</f>
        <v>1127700</v>
      </c>
      <c r="AB88" s="508">
        <f>Z88-AA88</f>
        <v>-527700</v>
      </c>
      <c r="AC88" s="182">
        <f>'Cap Inc'!M110</f>
        <v>600000</v>
      </c>
      <c r="AD88" s="150">
        <f>SUM(GM!P929:P932)+GM!P990</f>
        <v>130200</v>
      </c>
      <c r="AE88" s="182">
        <f>AC88-AD88</f>
        <v>469800</v>
      </c>
      <c r="AF88" s="1469">
        <f>'Cap Inc'!N110</f>
        <v>600000</v>
      </c>
      <c r="AG88" s="150">
        <f>SUM(GM!Q929:Q932)+GM!Q990</f>
        <v>132700</v>
      </c>
      <c r="AH88" s="508">
        <f>AF88-AG88</f>
        <v>467300</v>
      </c>
      <c r="AI88" s="182">
        <f>'Cap Inc'!O110</f>
        <v>600000</v>
      </c>
      <c r="AJ88" s="150">
        <f>SUM(GM!R929:R932)+GM!R990</f>
        <v>135300</v>
      </c>
      <c r="AK88" s="507">
        <f>AI88-AJ88</f>
        <v>464700</v>
      </c>
      <c r="AL88" s="376"/>
      <c r="AM88" s="376"/>
      <c r="AN88" s="376"/>
      <c r="AO88" s="376"/>
      <c r="AP88" s="376"/>
      <c r="AQ88" s="376"/>
      <c r="AR88" s="376"/>
      <c r="AS88" s="376"/>
      <c r="AT88" s="376"/>
      <c r="AU88" s="376"/>
      <c r="AV88" s="376"/>
    </row>
    <row r="89" spans="1:48" x14ac:dyDescent="0.2">
      <c r="A89" s="889" t="s">
        <v>5978</v>
      </c>
      <c r="B89" s="567">
        <f>'Cap Inc'!B116</f>
        <v>0</v>
      </c>
      <c r="C89" s="152">
        <v>48000</v>
      </c>
      <c r="D89" s="321">
        <f>B89-C89</f>
        <v>-48000</v>
      </c>
      <c r="E89" s="567">
        <v>0</v>
      </c>
      <c r="F89" s="150">
        <f>SUM(GM!G933:G934)+GM!G991+'Cap-Gen'!F39</f>
        <v>158600</v>
      </c>
      <c r="G89" s="321">
        <f>E89-F89</f>
        <v>-158600</v>
      </c>
      <c r="H89" s="567">
        <f>'Cap Inc'!F116</f>
        <v>2300000</v>
      </c>
      <c r="I89" s="150">
        <f>SUM(GM!I933:I934)+GM!I991+'Cap-Gen'!G39</f>
        <v>63100</v>
      </c>
      <c r="J89" s="321">
        <f>H89-I89</f>
        <v>2236900</v>
      </c>
      <c r="K89" s="567">
        <f>'Cap Inc'!G116</f>
        <v>0</v>
      </c>
      <c r="L89" s="150">
        <f>SUM(GM!J933:J934)+GM!J991+'Cap-Gen'!H39</f>
        <v>64700</v>
      </c>
      <c r="M89" s="321">
        <f>K89-L89</f>
        <v>-64700</v>
      </c>
      <c r="N89" s="152">
        <f>'Cap Inc'!H116</f>
        <v>0</v>
      </c>
      <c r="O89" s="150">
        <f>SUM(GM!K933:K934)+GM!K991+'Cap-Gen'!I39</f>
        <v>4566300</v>
      </c>
      <c r="P89" s="321">
        <f>N89-O89</f>
        <v>-4566300</v>
      </c>
      <c r="Q89" s="182">
        <f>'Cap Inc'!I116</f>
        <v>360000</v>
      </c>
      <c r="R89" s="150">
        <f>SUM(GM!L933:L934)+GM!L991+'Cap-Gen'!J39</f>
        <v>68100</v>
      </c>
      <c r="S89" s="1058">
        <f>Q89-R89</f>
        <v>291900</v>
      </c>
      <c r="T89" s="182">
        <f>'Cap Inc'!J116</f>
        <v>360000</v>
      </c>
      <c r="U89" s="150">
        <f>SUM(GM!M933:M934)+GM!M991+'Cap-Gen'!K39</f>
        <v>69600</v>
      </c>
      <c r="V89" s="182">
        <f>T89-U89</f>
        <v>290400</v>
      </c>
      <c r="W89" s="1469">
        <f>'Cap Inc'!K116</f>
        <v>360000</v>
      </c>
      <c r="X89" s="150">
        <f>SUM(GM!N933:N934)+GM!N991+'Cap-Gen'!L39</f>
        <v>71100</v>
      </c>
      <c r="Y89" s="508">
        <f>W89-X89</f>
        <v>288900</v>
      </c>
      <c r="Z89" s="1469">
        <f>'Cap Inc'!L116</f>
        <v>360000</v>
      </c>
      <c r="AA89" s="150">
        <f>SUM(GM!O933:O934)+GM!O991+'Cap-Gen'!M39</f>
        <v>72600</v>
      </c>
      <c r="AB89" s="508">
        <f>Z89-AA89</f>
        <v>287400</v>
      </c>
      <c r="AC89" s="182">
        <f>'Cap Inc'!M116</f>
        <v>360000</v>
      </c>
      <c r="AD89" s="150">
        <f>SUM(GM!P933:P934)+GM!P991</f>
        <v>74100</v>
      </c>
      <c r="AE89" s="182">
        <f>AC89-AD89</f>
        <v>285900</v>
      </c>
      <c r="AF89" s="1469">
        <f>'Cap Inc'!N116</f>
        <v>360000</v>
      </c>
      <c r="AG89" s="150">
        <f>SUM(GM!Q933:Q934)+GM!Q991</f>
        <v>75700</v>
      </c>
      <c r="AH89" s="508">
        <f>AF89-AG89</f>
        <v>284300</v>
      </c>
      <c r="AI89" s="182">
        <f>'Cap Inc'!O116</f>
        <v>360000</v>
      </c>
      <c r="AJ89" s="150">
        <f>SUM(GM!R933:R934)+GM!R991</f>
        <v>77300</v>
      </c>
      <c r="AK89" s="507">
        <f>AI89-AJ89</f>
        <v>282700</v>
      </c>
      <c r="AL89" s="376"/>
      <c r="AM89" s="376"/>
      <c r="AN89" s="376"/>
      <c r="AO89" s="376"/>
      <c r="AP89" s="376"/>
      <c r="AQ89" s="376"/>
      <c r="AR89" s="376"/>
      <c r="AS89" s="376"/>
      <c r="AT89" s="376"/>
      <c r="AU89" s="376"/>
      <c r="AV89" s="376"/>
    </row>
    <row r="90" spans="1:48" x14ac:dyDescent="0.2">
      <c r="A90" s="889" t="s">
        <v>5979</v>
      </c>
      <c r="B90" s="567">
        <f>'Cap Inc'!B120</f>
        <v>175600</v>
      </c>
      <c r="C90" s="152">
        <f>SUM(GM!D926:D928)+GM!D992+'Cap-Gen'!E41</f>
        <v>278000</v>
      </c>
      <c r="D90" s="321">
        <f t="shared" ref="D90:D100" si="66">B90-C90</f>
        <v>-102400</v>
      </c>
      <c r="E90" s="567">
        <f>'Cap Inc'!E120</f>
        <v>1800000</v>
      </c>
      <c r="F90" s="150">
        <f>SUM(GM!G926:G928)+GM!G992+'Cap-Gen'!F41</f>
        <v>2848000</v>
      </c>
      <c r="G90" s="321">
        <f t="shared" si="64"/>
        <v>-1048000</v>
      </c>
      <c r="H90" s="152">
        <f>'Cap Inc'!F120</f>
        <v>2216000</v>
      </c>
      <c r="I90" s="150">
        <f>SUM(GM!I926:I928)+GM!I992+'Cap-Gen'!G41</f>
        <v>88800</v>
      </c>
      <c r="J90" s="321">
        <f t="shared" si="65"/>
        <v>2127200</v>
      </c>
      <c r="K90" s="567">
        <f>'Cap Inc'!G120</f>
        <v>1800000</v>
      </c>
      <c r="L90" s="150">
        <f>SUM(GM!J926:J928)+GM!J992+'Cap-Gen'!H41</f>
        <v>1771200</v>
      </c>
      <c r="M90" s="321">
        <f t="shared" ref="M90:M101" si="67">K90-L90</f>
        <v>28800</v>
      </c>
      <c r="N90" s="152">
        <f>'Cap Inc'!H120</f>
        <v>1800000</v>
      </c>
      <c r="O90" s="150">
        <f>SUM(GM!K926:K928)+GM!K992+'Cap-Gen'!I41</f>
        <v>1893600</v>
      </c>
      <c r="P90" s="321">
        <f t="shared" ref="P90:P101" si="68">N90-O90</f>
        <v>-93600</v>
      </c>
      <c r="Q90" s="182">
        <f>'Cap Inc'!I120</f>
        <v>1800000</v>
      </c>
      <c r="R90" s="150">
        <f>SUM(GM!L926:L928)+GM!L992+'Cap-Gen'!J41</f>
        <v>96000</v>
      </c>
      <c r="S90" s="1058">
        <f t="shared" ref="S90:S101" si="69">Q90-R90</f>
        <v>1704000</v>
      </c>
      <c r="T90" s="182">
        <f>'Cap Inc'!J120</f>
        <v>400000</v>
      </c>
      <c r="U90" s="150">
        <f>SUM(GM!M926:M928)+GM!M992+'Cap-Gen'!K41</f>
        <v>98000</v>
      </c>
      <c r="V90" s="182">
        <f t="shared" ref="V90:V101" si="70">T90-U90</f>
        <v>302000</v>
      </c>
      <c r="W90" s="1469">
        <f>'Cap Inc'!K120</f>
        <v>0</v>
      </c>
      <c r="X90" s="150">
        <f>SUM(GM!N926:N928)+GM!N992</f>
        <v>0</v>
      </c>
      <c r="Y90" s="508">
        <f t="shared" ref="Y90:Y101" si="71">W90-X90</f>
        <v>0</v>
      </c>
      <c r="Z90" s="1469">
        <f>'Cap Inc'!L120</f>
        <v>0</v>
      </c>
      <c r="AA90" s="150">
        <f>SUM(GM!O926:O928)+GM!O992</f>
        <v>0</v>
      </c>
      <c r="AB90" s="508">
        <f t="shared" ref="AB90:AB101" si="72">Z90-AA90</f>
        <v>0</v>
      </c>
      <c r="AC90" s="182">
        <f>'Cap Inc'!M120</f>
        <v>0</v>
      </c>
      <c r="AD90" s="150">
        <f>SUM(GM!P926:P928)+GM!P992</f>
        <v>0</v>
      </c>
      <c r="AE90" s="182">
        <f t="shared" ref="AE90" si="73">AC90-AD90</f>
        <v>0</v>
      </c>
      <c r="AF90" s="1469">
        <f>'Cap Inc'!N120</f>
        <v>0</v>
      </c>
      <c r="AG90" s="150">
        <f>SUM(GM!Q926:Q928)+GM!Q992</f>
        <v>0</v>
      </c>
      <c r="AH90" s="508">
        <f t="shared" ref="AH90:AH92" si="74">AF90-AG90</f>
        <v>0</v>
      </c>
      <c r="AI90" s="182">
        <f>'Cap Inc'!O120</f>
        <v>0</v>
      </c>
      <c r="AJ90" s="150">
        <f>SUM(GM!R926:R928)+GM!R992</f>
        <v>0</v>
      </c>
      <c r="AK90" s="507">
        <f t="shared" ref="AK90:AK92" si="75">AI90-AJ90</f>
        <v>0</v>
      </c>
      <c r="AL90" s="376"/>
      <c r="AM90" s="376"/>
      <c r="AN90" s="376"/>
      <c r="AO90" s="376"/>
      <c r="AP90" s="376"/>
      <c r="AQ90" s="376"/>
      <c r="AR90" s="376"/>
      <c r="AS90" s="376"/>
      <c r="AT90" s="376"/>
      <c r="AU90" s="376"/>
      <c r="AV90" s="376"/>
    </row>
    <row r="91" spans="1:48" x14ac:dyDescent="0.2">
      <c r="A91" s="889" t="s">
        <v>5976</v>
      </c>
      <c r="B91" s="567">
        <v>144500</v>
      </c>
      <c r="C91" s="152"/>
      <c r="D91" s="321">
        <f>B91-C91</f>
        <v>144500</v>
      </c>
      <c r="E91" s="567">
        <f>GM!G878</f>
        <v>147000</v>
      </c>
      <c r="F91" s="150"/>
      <c r="G91" s="321">
        <f>E91-F91</f>
        <v>147000</v>
      </c>
      <c r="H91" s="152">
        <f>GM!I878</f>
        <v>149300</v>
      </c>
      <c r="I91" s="150"/>
      <c r="J91" s="321">
        <f>H91-I91</f>
        <v>149300</v>
      </c>
      <c r="K91" s="567">
        <f>GM!J878</f>
        <v>151500</v>
      </c>
      <c r="L91" s="150"/>
      <c r="M91" s="321">
        <f>K91-L91</f>
        <v>151500</v>
      </c>
      <c r="N91" s="152">
        <f>GM!K878</f>
        <v>153800</v>
      </c>
      <c r="O91" s="150"/>
      <c r="P91" s="321">
        <f>N91-O91</f>
        <v>153800</v>
      </c>
      <c r="Q91" s="182">
        <f>GM!L878</f>
        <v>157700</v>
      </c>
      <c r="R91" s="150"/>
      <c r="S91" s="1058">
        <f>Q91-R91</f>
        <v>157700</v>
      </c>
      <c r="T91" s="182">
        <f>GM!M878</f>
        <v>160900</v>
      </c>
      <c r="U91" s="150"/>
      <c r="V91" s="182">
        <f>T91-U91</f>
        <v>160900</v>
      </c>
      <c r="W91" s="1469">
        <f>GM!N878</f>
        <v>164200</v>
      </c>
      <c r="X91" s="150"/>
      <c r="Y91" s="508">
        <f>W91-X91</f>
        <v>164200</v>
      </c>
      <c r="Z91" s="1469">
        <f>GM!O878</f>
        <v>167500</v>
      </c>
      <c r="AA91" s="150"/>
      <c r="AB91" s="508">
        <f>Z91-AA91</f>
        <v>167500</v>
      </c>
      <c r="AC91" s="182">
        <f>GM!P878</f>
        <v>170900</v>
      </c>
      <c r="AD91" s="150"/>
      <c r="AE91" s="182">
        <f t="shared" ref="AE91:AE92" si="76">AC91-AD91</f>
        <v>170900</v>
      </c>
      <c r="AF91" s="1469">
        <f>GM!Q878</f>
        <v>174400</v>
      </c>
      <c r="AG91" s="150"/>
      <c r="AH91" s="508">
        <f t="shared" si="74"/>
        <v>174400</v>
      </c>
      <c r="AI91" s="182">
        <f>GM!R878</f>
        <v>177900</v>
      </c>
      <c r="AJ91" s="150"/>
      <c r="AK91" s="507">
        <f t="shared" si="75"/>
        <v>177900</v>
      </c>
      <c r="AL91" s="376"/>
      <c r="AM91" s="376"/>
      <c r="AN91" s="376"/>
      <c r="AO91" s="376"/>
      <c r="AP91" s="376"/>
      <c r="AQ91" s="376"/>
      <c r="AR91" s="376"/>
      <c r="AS91" s="376"/>
      <c r="AT91" s="376"/>
      <c r="AU91" s="376"/>
      <c r="AV91" s="376"/>
    </row>
    <row r="92" spans="1:48" x14ac:dyDescent="0.2">
      <c r="A92" s="889" t="s">
        <v>3645</v>
      </c>
      <c r="B92" s="152">
        <f>B59</f>
        <v>129500</v>
      </c>
      <c r="C92" s="152">
        <f>C59</f>
        <v>3000</v>
      </c>
      <c r="D92" s="321">
        <f>B92-C92</f>
        <v>126500</v>
      </c>
      <c r="E92" s="567">
        <f>E59</f>
        <v>125400</v>
      </c>
      <c r="F92" s="150">
        <f>F59</f>
        <v>4600</v>
      </c>
      <c r="G92" s="321">
        <f>E92-F92</f>
        <v>120800</v>
      </c>
      <c r="H92" s="152">
        <f>H59</f>
        <v>127300</v>
      </c>
      <c r="I92" s="150">
        <f>I59</f>
        <v>4700</v>
      </c>
      <c r="J92" s="321">
        <f>H92-I92</f>
        <v>122600</v>
      </c>
      <c r="K92" s="567">
        <f>K59</f>
        <v>129200</v>
      </c>
      <c r="L92" s="150">
        <f>L59</f>
        <v>4900</v>
      </c>
      <c r="M92" s="321">
        <f>K92-L92</f>
        <v>124300</v>
      </c>
      <c r="N92" s="152">
        <f>N59</f>
        <v>131100</v>
      </c>
      <c r="O92" s="150">
        <f>O59</f>
        <v>5000</v>
      </c>
      <c r="P92" s="321">
        <f>N92-O92</f>
        <v>126100</v>
      </c>
      <c r="Q92" s="152">
        <f>Q59</f>
        <v>134400</v>
      </c>
      <c r="R92" s="150">
        <f>R59</f>
        <v>5200</v>
      </c>
      <c r="S92" s="507">
        <f>Q92-R92</f>
        <v>129200</v>
      </c>
      <c r="T92" s="152">
        <f>T59</f>
        <v>137100</v>
      </c>
      <c r="U92" s="150">
        <f>U59</f>
        <v>5300</v>
      </c>
      <c r="V92" s="182">
        <f>T92-U92</f>
        <v>131800</v>
      </c>
      <c r="W92" s="567">
        <f>W59</f>
        <v>139900</v>
      </c>
      <c r="X92" s="150">
        <f>X59</f>
        <v>5500</v>
      </c>
      <c r="Y92" s="508">
        <f>W92-X92</f>
        <v>134400</v>
      </c>
      <c r="Z92" s="567">
        <f>Z59</f>
        <v>142700</v>
      </c>
      <c r="AA92" s="150">
        <f>AA59</f>
        <v>5600</v>
      </c>
      <c r="AB92" s="508">
        <f>Z92-AA92</f>
        <v>137100</v>
      </c>
      <c r="AC92" s="152">
        <f>AC59</f>
        <v>145600</v>
      </c>
      <c r="AD92" s="150">
        <f>AD59</f>
        <v>5800</v>
      </c>
      <c r="AE92" s="182">
        <f t="shared" si="76"/>
        <v>139800</v>
      </c>
      <c r="AF92" s="567">
        <f>AF59</f>
        <v>148500</v>
      </c>
      <c r="AG92" s="150">
        <f>AG59</f>
        <v>5900</v>
      </c>
      <c r="AH92" s="508">
        <f t="shared" si="74"/>
        <v>142600</v>
      </c>
      <c r="AI92" s="152">
        <f>AI59</f>
        <v>151500</v>
      </c>
      <c r="AJ92" s="150">
        <f>AJ59</f>
        <v>6100</v>
      </c>
      <c r="AK92" s="1058">
        <f t="shared" si="75"/>
        <v>145400</v>
      </c>
      <c r="AL92" s="376"/>
      <c r="AM92" s="376"/>
      <c r="AN92" s="376"/>
      <c r="AO92" s="376"/>
      <c r="AP92" s="376"/>
      <c r="AQ92" s="376"/>
      <c r="AR92" s="376"/>
      <c r="AS92" s="376"/>
      <c r="AT92" s="376"/>
      <c r="AU92" s="376"/>
      <c r="AV92" s="376"/>
    </row>
    <row r="93" spans="1:48" x14ac:dyDescent="0.2">
      <c r="A93" s="889" t="s">
        <v>5644</v>
      </c>
      <c r="B93" s="152"/>
      <c r="C93" s="152">
        <v>15700</v>
      </c>
      <c r="D93" s="321">
        <f>B93-C93</f>
        <v>-15700</v>
      </c>
      <c r="E93" s="567">
        <f>'Cap Inc'!E123</f>
        <v>2500000</v>
      </c>
      <c r="F93" s="152">
        <f>'Cap-Gen'!F42</f>
        <v>1020000</v>
      </c>
      <c r="G93" s="321">
        <f>E93-F93</f>
        <v>1480000</v>
      </c>
      <c r="H93" s="152"/>
      <c r="I93" s="150"/>
      <c r="J93" s="321"/>
      <c r="K93" s="567"/>
      <c r="L93" s="150"/>
      <c r="M93" s="321"/>
      <c r="N93" s="152"/>
      <c r="O93" s="150"/>
      <c r="P93" s="321"/>
      <c r="Q93" s="182"/>
      <c r="R93" s="150"/>
      <c r="S93" s="507"/>
      <c r="T93" s="182"/>
      <c r="U93" s="150"/>
      <c r="V93" s="182"/>
      <c r="W93" s="1469"/>
      <c r="X93" s="150"/>
      <c r="Y93" s="508"/>
      <c r="Z93" s="1469"/>
      <c r="AA93" s="150"/>
      <c r="AB93" s="508"/>
      <c r="AC93" s="182"/>
      <c r="AD93" s="150"/>
      <c r="AE93" s="182"/>
      <c r="AF93" s="1469"/>
      <c r="AG93" s="150"/>
      <c r="AH93" s="508"/>
      <c r="AI93" s="182"/>
      <c r="AJ93" s="150"/>
      <c r="AK93" s="1058"/>
      <c r="AL93" s="376"/>
      <c r="AM93" s="376"/>
      <c r="AN93" s="376"/>
      <c r="AO93" s="376"/>
      <c r="AP93" s="376"/>
      <c r="AQ93" s="376"/>
      <c r="AR93" s="376"/>
      <c r="AS93" s="376"/>
      <c r="AT93" s="376"/>
      <c r="AU93" s="376"/>
      <c r="AV93" s="376"/>
    </row>
    <row r="94" spans="1:48" x14ac:dyDescent="0.2">
      <c r="A94" s="889" t="s">
        <v>6726</v>
      </c>
      <c r="B94" s="152"/>
      <c r="C94" s="152"/>
      <c r="D94" s="321"/>
      <c r="E94" s="567"/>
      <c r="F94" s="152">
        <f>'Cap-Gen'!Y51</f>
        <v>80000</v>
      </c>
      <c r="G94" s="321">
        <f>E94-F94</f>
        <v>-80000</v>
      </c>
      <c r="H94" s="152"/>
      <c r="I94" s="150"/>
      <c r="J94" s="321"/>
      <c r="K94" s="567"/>
      <c r="L94" s="150"/>
      <c r="M94" s="321"/>
      <c r="N94" s="152"/>
      <c r="O94" s="150"/>
      <c r="P94" s="321"/>
      <c r="Q94" s="182"/>
      <c r="R94" s="150"/>
      <c r="S94" s="1058"/>
      <c r="T94" s="182"/>
      <c r="U94" s="150"/>
      <c r="V94" s="182"/>
      <c r="W94" s="1469"/>
      <c r="X94" s="150"/>
      <c r="Y94" s="508"/>
      <c r="Z94" s="1469"/>
      <c r="AA94" s="150"/>
      <c r="AB94" s="508"/>
      <c r="AC94" s="182"/>
      <c r="AD94" s="150"/>
      <c r="AE94" s="182"/>
      <c r="AF94" s="1469"/>
      <c r="AG94" s="150"/>
      <c r="AH94" s="508"/>
      <c r="AI94" s="182"/>
      <c r="AJ94" s="150"/>
      <c r="AK94" s="1058"/>
      <c r="AL94" s="376"/>
      <c r="AM94" s="376"/>
      <c r="AN94" s="376"/>
      <c r="AO94" s="376"/>
      <c r="AP94" s="376"/>
      <c r="AQ94" s="376"/>
      <c r="AR94" s="376"/>
      <c r="AS94" s="376"/>
      <c r="AT94" s="376"/>
      <c r="AU94" s="376"/>
      <c r="AV94" s="376"/>
    </row>
    <row r="95" spans="1:48" x14ac:dyDescent="0.2">
      <c r="A95" s="889" t="s">
        <v>5973</v>
      </c>
      <c r="B95" s="567">
        <f>'Cap Inc'!B125-600</f>
        <v>450000</v>
      </c>
      <c r="C95" s="152"/>
      <c r="D95" s="321">
        <f t="shared" ref="D95" si="77">B95-C95</f>
        <v>450000</v>
      </c>
      <c r="E95" s="567">
        <f>'Cap Inc'!E122</f>
        <v>182400</v>
      </c>
      <c r="F95" s="150">
        <f>'Cap-Gen'!Y45+'Cap-Gen'!Y44+15000</f>
        <v>65000</v>
      </c>
      <c r="G95" s="321">
        <f>E95-F95</f>
        <v>117400</v>
      </c>
      <c r="H95" s="152"/>
      <c r="I95" s="150"/>
      <c r="J95" s="321"/>
      <c r="K95" s="567"/>
      <c r="L95" s="150"/>
      <c r="M95" s="321"/>
      <c r="N95" s="152"/>
      <c r="O95" s="150"/>
      <c r="P95" s="321"/>
      <c r="Q95" s="182"/>
      <c r="R95" s="150"/>
      <c r="S95" s="1058"/>
      <c r="T95" s="182"/>
      <c r="U95" s="150"/>
      <c r="V95" s="182"/>
      <c r="W95" s="1469"/>
      <c r="X95" s="150"/>
      <c r="Y95" s="508"/>
      <c r="Z95" s="1469"/>
      <c r="AA95" s="150"/>
      <c r="AB95" s="508"/>
      <c r="AC95" s="182"/>
      <c r="AD95" s="150"/>
      <c r="AE95" s="182"/>
      <c r="AF95" s="1469"/>
      <c r="AG95" s="150"/>
      <c r="AH95" s="508"/>
      <c r="AI95" s="182"/>
      <c r="AJ95" s="150"/>
      <c r="AK95" s="1058"/>
      <c r="AL95" s="376"/>
      <c r="AM95" s="376"/>
      <c r="AN95" s="376"/>
      <c r="AO95" s="376"/>
      <c r="AP95" s="376"/>
      <c r="AQ95" s="376"/>
      <c r="AR95" s="376"/>
      <c r="AS95" s="376"/>
      <c r="AT95" s="376"/>
      <c r="AU95" s="376"/>
      <c r="AV95" s="376"/>
    </row>
    <row r="96" spans="1:48" x14ac:dyDescent="0.2">
      <c r="A96" s="869" t="s">
        <v>6725</v>
      </c>
      <c r="B96" s="567"/>
      <c r="C96" s="152"/>
      <c r="D96" s="321"/>
      <c r="E96" s="567"/>
      <c r="F96" s="150">
        <v>10000</v>
      </c>
      <c r="G96" s="321">
        <f t="shared" ref="G96:G100" si="78">E96-F96</f>
        <v>-10000</v>
      </c>
      <c r="H96" s="152"/>
      <c r="I96" s="150"/>
      <c r="J96" s="321"/>
      <c r="K96" s="567"/>
      <c r="L96" s="150"/>
      <c r="M96" s="321"/>
      <c r="N96" s="152"/>
      <c r="O96" s="150"/>
      <c r="P96" s="508"/>
      <c r="Q96" s="182"/>
      <c r="R96" s="150"/>
      <c r="S96" s="1058"/>
      <c r="T96" s="182"/>
      <c r="U96" s="150"/>
      <c r="V96" s="182"/>
      <c r="W96" s="1469"/>
      <c r="X96" s="150"/>
      <c r="Y96" s="508"/>
      <c r="Z96" s="1469"/>
      <c r="AA96" s="150"/>
      <c r="AB96" s="508"/>
      <c r="AC96" s="182"/>
      <c r="AD96" s="150"/>
      <c r="AE96" s="182"/>
      <c r="AF96" s="1469"/>
      <c r="AG96" s="150"/>
      <c r="AH96" s="508"/>
      <c r="AI96" s="182"/>
      <c r="AJ96" s="150"/>
      <c r="AK96" s="1058"/>
      <c r="AL96" s="376"/>
      <c r="AM96" s="376"/>
      <c r="AN96" s="376"/>
      <c r="AO96" s="376"/>
      <c r="AP96" s="376"/>
      <c r="AQ96" s="376"/>
      <c r="AR96" s="376"/>
      <c r="AS96" s="376"/>
      <c r="AT96" s="376"/>
      <c r="AU96" s="376"/>
      <c r="AV96" s="376"/>
    </row>
    <row r="97" spans="1:48" hidden="1" x14ac:dyDescent="0.2">
      <c r="A97" s="889" t="s">
        <v>6724</v>
      </c>
      <c r="B97" s="567"/>
      <c r="C97" s="152">
        <v>3300</v>
      </c>
      <c r="D97" s="321">
        <f>B97-C97</f>
        <v>-3300</v>
      </c>
      <c r="E97" s="567"/>
      <c r="F97" s="150"/>
      <c r="G97" s="321"/>
      <c r="H97" s="152"/>
      <c r="I97" s="150"/>
      <c r="J97" s="321"/>
      <c r="K97" s="567"/>
      <c r="L97" s="150"/>
      <c r="M97" s="321"/>
      <c r="N97" s="152"/>
      <c r="O97" s="150"/>
      <c r="P97" s="321"/>
      <c r="Q97" s="182"/>
      <c r="R97" s="150"/>
      <c r="S97" s="1058"/>
      <c r="T97" s="182"/>
      <c r="U97" s="150"/>
      <c r="V97" s="182"/>
      <c r="W97" s="1469"/>
      <c r="X97" s="150"/>
      <c r="Y97" s="508"/>
      <c r="Z97" s="1469"/>
      <c r="AA97" s="150"/>
      <c r="AB97" s="508"/>
      <c r="AC97" s="182"/>
      <c r="AD97" s="150"/>
      <c r="AE97" s="182"/>
      <c r="AF97" s="1469"/>
      <c r="AG97" s="150"/>
      <c r="AH97" s="508"/>
      <c r="AI97" s="182"/>
      <c r="AJ97" s="150"/>
      <c r="AK97" s="1058"/>
      <c r="AL97" s="376"/>
      <c r="AM97" s="376"/>
      <c r="AN97" s="376"/>
      <c r="AO97" s="376"/>
      <c r="AP97" s="376"/>
      <c r="AQ97" s="376"/>
      <c r="AR97" s="376"/>
      <c r="AS97" s="376"/>
      <c r="AT97" s="376"/>
      <c r="AU97" s="376"/>
      <c r="AV97" s="376"/>
    </row>
    <row r="98" spans="1:48" hidden="1" x14ac:dyDescent="0.2">
      <c r="A98" s="889" t="s">
        <v>5975</v>
      </c>
      <c r="B98" s="567"/>
      <c r="C98" s="152">
        <v>27000</v>
      </c>
      <c r="D98" s="321">
        <f>B98-C98</f>
        <v>-27000</v>
      </c>
      <c r="E98" s="567"/>
      <c r="F98" s="150"/>
      <c r="G98" s="321"/>
      <c r="H98" s="152"/>
      <c r="I98" s="150"/>
      <c r="J98" s="321"/>
      <c r="K98" s="567"/>
      <c r="L98" s="150"/>
      <c r="M98" s="129"/>
      <c r="N98" s="152"/>
      <c r="O98" s="150"/>
      <c r="P98" s="102"/>
      <c r="Q98" s="182"/>
      <c r="R98" s="150"/>
      <c r="S98" s="114"/>
      <c r="T98" s="182"/>
      <c r="U98" s="150"/>
      <c r="V98" s="99"/>
      <c r="W98" s="1469"/>
      <c r="X98" s="150"/>
      <c r="Y98" s="508"/>
      <c r="Z98" s="1469"/>
      <c r="AA98" s="150"/>
      <c r="AB98" s="508"/>
      <c r="AC98" s="182"/>
      <c r="AD98" s="150"/>
      <c r="AE98" s="182"/>
      <c r="AF98" s="1469"/>
      <c r="AG98" s="150"/>
      <c r="AH98" s="508"/>
      <c r="AI98" s="182"/>
      <c r="AJ98" s="150"/>
      <c r="AK98" s="1058"/>
      <c r="AL98" s="376"/>
      <c r="AM98" s="376"/>
      <c r="AN98" s="376"/>
      <c r="AO98" s="376"/>
      <c r="AP98" s="376"/>
      <c r="AQ98" s="376"/>
      <c r="AR98" s="376"/>
      <c r="AS98" s="376"/>
      <c r="AT98" s="376"/>
      <c r="AU98" s="376"/>
      <c r="AV98" s="376"/>
    </row>
    <row r="99" spans="1:48" x14ac:dyDescent="0.2">
      <c r="A99" s="889" t="s">
        <v>6893</v>
      </c>
      <c r="B99" s="567"/>
      <c r="C99" s="152">
        <v>100000</v>
      </c>
      <c r="D99" s="321">
        <f>B99-C99</f>
        <v>-100000</v>
      </c>
      <c r="E99" s="567"/>
      <c r="F99" s="150"/>
      <c r="G99" s="321"/>
      <c r="H99" s="152"/>
      <c r="I99" s="150">
        <v>4000000</v>
      </c>
      <c r="J99" s="321">
        <f>H99-I99</f>
        <v>-4000000</v>
      </c>
      <c r="K99" s="567"/>
      <c r="L99" s="150"/>
      <c r="M99" s="129"/>
      <c r="N99" s="152"/>
      <c r="O99" s="150"/>
      <c r="P99" s="102"/>
      <c r="Q99" s="182"/>
      <c r="R99" s="150"/>
      <c r="S99" s="114"/>
      <c r="T99" s="182"/>
      <c r="U99" s="150"/>
      <c r="V99" s="99"/>
      <c r="W99" s="1469"/>
      <c r="X99" s="150"/>
      <c r="Y99" s="508"/>
      <c r="Z99" s="1469"/>
      <c r="AA99" s="150"/>
      <c r="AB99" s="508"/>
      <c r="AC99" s="182"/>
      <c r="AD99" s="150"/>
      <c r="AE99" s="182"/>
      <c r="AF99" s="1469"/>
      <c r="AG99" s="150"/>
      <c r="AH99" s="508"/>
      <c r="AI99" s="182"/>
      <c r="AJ99" s="150"/>
      <c r="AK99" s="1058"/>
      <c r="AL99" s="376"/>
      <c r="AM99" s="376"/>
      <c r="AN99" s="376"/>
      <c r="AO99" s="376"/>
      <c r="AP99" s="376"/>
      <c r="AQ99" s="376"/>
      <c r="AR99" s="376"/>
      <c r="AS99" s="376"/>
      <c r="AT99" s="376"/>
      <c r="AU99" s="376"/>
      <c r="AV99" s="376"/>
    </row>
    <row r="100" spans="1:48" x14ac:dyDescent="0.2">
      <c r="A100" s="889" t="s">
        <v>5974</v>
      </c>
      <c r="B100" s="567"/>
      <c r="C100" s="152">
        <v>455500</v>
      </c>
      <c r="D100" s="321">
        <f t="shared" si="66"/>
        <v>-455500</v>
      </c>
      <c r="E100" s="567"/>
      <c r="F100" s="150">
        <v>343000</v>
      </c>
      <c r="G100" s="321">
        <f t="shared" si="78"/>
        <v>-343000</v>
      </c>
      <c r="H100" s="152"/>
      <c r="I100" s="150"/>
      <c r="J100" s="321"/>
      <c r="K100" s="567"/>
      <c r="L100" s="150"/>
      <c r="M100" s="321"/>
      <c r="N100" s="152"/>
      <c r="O100" s="150"/>
      <c r="P100" s="321"/>
      <c r="Q100" s="182"/>
      <c r="R100" s="150"/>
      <c r="S100" s="1058"/>
      <c r="T100" s="182"/>
      <c r="U100" s="150"/>
      <c r="V100" s="182"/>
      <c r="W100" s="1469"/>
      <c r="X100" s="150"/>
      <c r="Y100" s="508"/>
      <c r="Z100" s="1469"/>
      <c r="AA100" s="150"/>
      <c r="AB100" s="508"/>
      <c r="AC100" s="182"/>
      <c r="AD100" s="150"/>
      <c r="AE100" s="182"/>
      <c r="AF100" s="1469"/>
      <c r="AG100" s="150"/>
      <c r="AH100" s="508"/>
      <c r="AI100" s="182"/>
      <c r="AJ100" s="150"/>
      <c r="AK100" s="1058"/>
      <c r="AL100" s="376"/>
      <c r="AM100" s="376"/>
      <c r="AN100" s="376"/>
      <c r="AO100" s="376"/>
      <c r="AP100" s="376"/>
      <c r="AQ100" s="376"/>
      <c r="AR100" s="376"/>
      <c r="AS100" s="376"/>
      <c r="AT100" s="376"/>
      <c r="AU100" s="376"/>
      <c r="AV100" s="376"/>
    </row>
    <row r="101" spans="1:48" x14ac:dyDescent="0.2">
      <c r="A101" s="889" t="s">
        <v>3646</v>
      </c>
      <c r="B101" s="152"/>
      <c r="C101" s="152"/>
      <c r="D101" s="321"/>
      <c r="E101" s="567"/>
      <c r="F101" s="150">
        <v>0</v>
      </c>
      <c r="G101" s="321"/>
      <c r="H101" s="152"/>
      <c r="I101" s="150">
        <v>0</v>
      </c>
      <c r="J101" s="321">
        <f t="shared" si="65"/>
        <v>0</v>
      </c>
      <c r="K101" s="567"/>
      <c r="L101" s="150"/>
      <c r="M101" s="321">
        <f t="shared" si="67"/>
        <v>0</v>
      </c>
      <c r="N101" s="152"/>
      <c r="O101" s="150"/>
      <c r="P101" s="321">
        <f t="shared" si="68"/>
        <v>0</v>
      </c>
      <c r="Q101" s="182"/>
      <c r="R101" s="150">
        <v>1000000</v>
      </c>
      <c r="S101" s="507">
        <f t="shared" si="69"/>
        <v>-1000000</v>
      </c>
      <c r="T101" s="182"/>
      <c r="U101" s="150">
        <v>1100000</v>
      </c>
      <c r="V101" s="182">
        <f t="shared" si="70"/>
        <v>-1100000</v>
      </c>
      <c r="W101" s="1469"/>
      <c r="X101" s="150">
        <v>500000</v>
      </c>
      <c r="Y101" s="508">
        <f t="shared" si="71"/>
        <v>-500000</v>
      </c>
      <c r="Z101" s="1469"/>
      <c r="AA101" s="150"/>
      <c r="AB101" s="508">
        <f t="shared" si="72"/>
        <v>0</v>
      </c>
      <c r="AC101" s="182"/>
      <c r="AD101" s="150">
        <v>700000</v>
      </c>
      <c r="AE101" s="182">
        <f t="shared" ref="AE101" si="79">AC101-AD101</f>
        <v>-700000</v>
      </c>
      <c r="AF101" s="1469"/>
      <c r="AG101" s="150">
        <v>700000</v>
      </c>
      <c r="AH101" s="508">
        <f t="shared" ref="AH101" si="80">AF101-AG101</f>
        <v>-700000</v>
      </c>
      <c r="AI101" s="182"/>
      <c r="AJ101" s="150">
        <v>700000</v>
      </c>
      <c r="AK101" s="1058">
        <f t="shared" ref="AK101" si="81">AI101-AJ101</f>
        <v>-700000</v>
      </c>
      <c r="AL101" s="376"/>
      <c r="AM101" s="376"/>
      <c r="AN101" s="376"/>
      <c r="AO101" s="376"/>
      <c r="AP101" s="376"/>
      <c r="AQ101" s="376"/>
      <c r="AR101" s="376"/>
      <c r="AS101" s="376"/>
      <c r="AT101" s="376"/>
      <c r="AU101" s="376"/>
      <c r="AV101" s="376"/>
    </row>
    <row r="102" spans="1:48" ht="13.5" thickBot="1" x14ac:dyDescent="0.25">
      <c r="A102" s="889" t="s">
        <v>3647</v>
      </c>
      <c r="B102" s="567">
        <v>29000</v>
      </c>
      <c r="C102" s="949">
        <v>246800</v>
      </c>
      <c r="D102" s="321">
        <f>B102-C102</f>
        <v>-217800</v>
      </c>
      <c r="E102" s="567"/>
      <c r="F102" s="150">
        <f>380300-14500-1000-1900+15000+1000-200000</f>
        <v>178900</v>
      </c>
      <c r="G102" s="321">
        <f t="shared" si="64"/>
        <v>-178900</v>
      </c>
      <c r="H102" s="152"/>
      <c r="I102" s="150">
        <f>342200-10400-1000+7800+1000-2000+1000</f>
        <v>338600</v>
      </c>
      <c r="J102" s="321">
        <f t="shared" si="65"/>
        <v>-338600</v>
      </c>
      <c r="K102" s="567"/>
      <c r="L102" s="949">
        <f>342500-10600-1000+7900+1000-2000+2800+1000+100</f>
        <v>341700</v>
      </c>
      <c r="M102" s="321">
        <f>K102-L102</f>
        <v>-341700</v>
      </c>
      <c r="N102" s="152"/>
      <c r="O102" s="949">
        <f>347600-10800-1000+8100+1000-2100+2700+1000+100</f>
        <v>346600</v>
      </c>
      <c r="P102" s="321">
        <f>N102-O102</f>
        <v>-346600</v>
      </c>
      <c r="Q102" s="182"/>
      <c r="R102" s="150">
        <f>358600-11000-1100+8300+1000-2100+2300+1000+200</f>
        <v>357200</v>
      </c>
      <c r="S102" s="1058">
        <f>Q102-R102</f>
        <v>-357200</v>
      </c>
      <c r="T102" s="182"/>
      <c r="U102" s="150">
        <f>361500+1000+300</f>
        <v>362800</v>
      </c>
      <c r="V102" s="182">
        <f>T102-U102</f>
        <v>-362800</v>
      </c>
      <c r="W102" s="1469"/>
      <c r="X102" s="150">
        <f>367100+1000+300</f>
        <v>368400</v>
      </c>
      <c r="Y102" s="508">
        <f>W102-X102</f>
        <v>-368400</v>
      </c>
      <c r="Z102" s="1469"/>
      <c r="AA102" s="150">
        <f>390100-11600-1400+8200+600+1000-2200+1600+7400+1000+300</f>
        <v>395000</v>
      </c>
      <c r="AB102" s="508">
        <f>Z102-AA102</f>
        <v>-395000</v>
      </c>
      <c r="AC102" s="182"/>
      <c r="AD102" s="150">
        <f>394200-11800-1400+8900+1100-2300+900+9900+1000+400</f>
        <v>400900</v>
      </c>
      <c r="AE102" s="182">
        <f>AC102-AD102</f>
        <v>-400900</v>
      </c>
      <c r="AF102" s="1469"/>
      <c r="AG102" s="949">
        <f>398000-12000-1400+9100+1100-2300-100+12900+1000+400</f>
        <v>406700</v>
      </c>
      <c r="AH102" s="508">
        <f>AF102-AG102</f>
        <v>-406700</v>
      </c>
      <c r="AI102" s="182"/>
      <c r="AJ102" s="949">
        <f>398000-12000-1400+9100+1100-2300-100+93400+200+13000+1000+500</f>
        <v>500500</v>
      </c>
      <c r="AK102" s="1058">
        <f>AI102-AJ102</f>
        <v>-500500</v>
      </c>
      <c r="AL102" s="376"/>
      <c r="AM102" s="376"/>
      <c r="AN102" s="376"/>
      <c r="AO102" s="376"/>
      <c r="AP102" s="376"/>
      <c r="AQ102" s="376"/>
      <c r="AR102" s="376"/>
      <c r="AS102" s="376"/>
      <c r="AT102" s="376"/>
      <c r="AU102" s="376"/>
      <c r="AV102" s="376"/>
    </row>
    <row r="103" spans="1:48" s="92" customFormat="1" ht="13.5" thickTop="1" x14ac:dyDescent="0.2">
      <c r="A103" s="2272" t="s">
        <v>4204</v>
      </c>
      <c r="B103" s="386">
        <f t="shared" ref="B103:AH103" si="82">SUBTOTAL(9,B87:B102)</f>
        <v>2220600</v>
      </c>
      <c r="C103" s="2633">
        <f t="shared" si="82"/>
        <v>1537300</v>
      </c>
      <c r="D103" s="324">
        <f t="shared" si="82"/>
        <v>683300</v>
      </c>
      <c r="E103" s="386">
        <f t="shared" si="82"/>
        <v>5584800</v>
      </c>
      <c r="F103" s="162">
        <f t="shared" si="82"/>
        <v>5023400</v>
      </c>
      <c r="G103" s="324">
        <f t="shared" si="82"/>
        <v>561400</v>
      </c>
      <c r="H103" s="386">
        <f t="shared" si="82"/>
        <v>4887600</v>
      </c>
      <c r="I103" s="162">
        <f t="shared" si="82"/>
        <v>7607500</v>
      </c>
      <c r="J103" s="324">
        <f t="shared" si="82"/>
        <v>-2719900</v>
      </c>
      <c r="K103" s="386">
        <f t="shared" si="82"/>
        <v>4782700</v>
      </c>
      <c r="L103" s="162">
        <f t="shared" si="82"/>
        <v>2297500</v>
      </c>
      <c r="M103" s="324">
        <f t="shared" si="82"/>
        <v>2485200</v>
      </c>
      <c r="N103" s="122">
        <f t="shared" si="82"/>
        <v>4848900</v>
      </c>
      <c r="O103" s="162">
        <f t="shared" si="82"/>
        <v>6929200</v>
      </c>
      <c r="P103" s="385">
        <f t="shared" si="82"/>
        <v>-2080300</v>
      </c>
      <c r="Q103" s="125">
        <f t="shared" si="82"/>
        <v>3089100</v>
      </c>
      <c r="R103" s="162">
        <f t="shared" si="82"/>
        <v>2597000</v>
      </c>
      <c r="S103" s="126">
        <f t="shared" si="82"/>
        <v>492100</v>
      </c>
      <c r="T103" s="125">
        <f t="shared" si="82"/>
        <v>1707000</v>
      </c>
      <c r="U103" s="162">
        <f t="shared" si="82"/>
        <v>1758600</v>
      </c>
      <c r="V103" s="125">
        <f t="shared" si="82"/>
        <v>-51600</v>
      </c>
      <c r="W103" s="561">
        <f t="shared" si="82"/>
        <v>1312100</v>
      </c>
      <c r="X103" s="162">
        <f t="shared" si="82"/>
        <v>1070300</v>
      </c>
      <c r="Y103" s="385">
        <f t="shared" si="82"/>
        <v>241800</v>
      </c>
      <c r="Z103" s="561">
        <f t="shared" si="82"/>
        <v>1324200</v>
      </c>
      <c r="AA103" s="162">
        <f t="shared" si="82"/>
        <v>1600900</v>
      </c>
      <c r="AB103" s="385">
        <f t="shared" si="82"/>
        <v>-276700</v>
      </c>
      <c r="AC103" s="125">
        <f t="shared" si="82"/>
        <v>1323500</v>
      </c>
      <c r="AD103" s="162">
        <f t="shared" si="82"/>
        <v>1311000</v>
      </c>
      <c r="AE103" s="125">
        <f t="shared" si="82"/>
        <v>12500</v>
      </c>
      <c r="AF103" s="561">
        <f t="shared" si="82"/>
        <v>1329900</v>
      </c>
      <c r="AG103" s="162">
        <f t="shared" si="82"/>
        <v>1321000</v>
      </c>
      <c r="AH103" s="385">
        <f t="shared" si="82"/>
        <v>8900</v>
      </c>
      <c r="AI103" s="125">
        <f t="shared" ref="AI103:AK103" si="83">SUBTOTAL(9,AI87:AI102)</f>
        <v>1336400</v>
      </c>
      <c r="AJ103" s="162">
        <f t="shared" si="83"/>
        <v>1419200</v>
      </c>
      <c r="AK103" s="126">
        <f t="shared" si="83"/>
        <v>-82800</v>
      </c>
    </row>
    <row r="104" spans="1:48" x14ac:dyDescent="0.2">
      <c r="A104" s="585"/>
      <c r="B104" s="142"/>
      <c r="C104" s="150"/>
      <c r="D104" s="129"/>
      <c r="E104" s="186"/>
      <c r="F104" s="33"/>
      <c r="G104" s="129"/>
      <c r="H104" s="142"/>
      <c r="I104" s="33"/>
      <c r="J104" s="129"/>
      <c r="K104" s="186"/>
      <c r="L104" s="33"/>
      <c r="M104" s="129"/>
      <c r="N104" s="142"/>
      <c r="O104" s="33"/>
      <c r="P104" s="102"/>
      <c r="Q104" s="99"/>
      <c r="R104" s="33"/>
      <c r="S104" s="114"/>
      <c r="T104" s="99"/>
      <c r="U104" s="33"/>
      <c r="V104" s="99"/>
      <c r="W104" s="502"/>
      <c r="X104" s="33"/>
      <c r="Y104" s="102"/>
      <c r="Z104" s="502"/>
      <c r="AA104" s="33"/>
      <c r="AB104" s="102"/>
      <c r="AC104" s="99"/>
      <c r="AD104" s="33"/>
      <c r="AE104" s="99"/>
      <c r="AF104" s="502"/>
      <c r="AG104" s="33"/>
      <c r="AH104" s="102"/>
      <c r="AI104" s="99"/>
      <c r="AJ104" s="33"/>
      <c r="AK104" s="114"/>
    </row>
    <row r="105" spans="1:48" s="74" customFormat="1" x14ac:dyDescent="0.2">
      <c r="A105" s="2927" t="s">
        <v>2623</v>
      </c>
      <c r="B105" s="2928"/>
      <c r="C105" s="2928"/>
      <c r="D105" s="2928"/>
      <c r="E105" s="2928"/>
      <c r="F105" s="2928"/>
      <c r="G105" s="2928"/>
      <c r="H105" s="2928"/>
      <c r="I105" s="2928"/>
      <c r="J105" s="2928"/>
      <c r="K105" s="2928"/>
      <c r="L105" s="2928"/>
      <c r="M105" s="2928"/>
      <c r="N105" s="2928"/>
      <c r="O105" s="2928"/>
      <c r="P105" s="2928"/>
      <c r="Q105" s="2928"/>
      <c r="R105" s="2928"/>
      <c r="S105" s="2929"/>
      <c r="W105" s="1747"/>
      <c r="Y105" s="117"/>
      <c r="Z105" s="1747"/>
      <c r="AB105" s="117"/>
      <c r="AF105" s="1747"/>
      <c r="AH105" s="117"/>
      <c r="AK105" s="115"/>
    </row>
    <row r="106" spans="1:48" s="74" customFormat="1" ht="13.5" thickBot="1" x14ac:dyDescent="0.25">
      <c r="A106" s="404"/>
      <c r="B106" s="120"/>
      <c r="C106" s="2634"/>
      <c r="D106" s="120"/>
      <c r="E106" s="120"/>
      <c r="F106" s="120"/>
      <c r="G106" s="120"/>
      <c r="H106" s="120"/>
      <c r="I106" s="120"/>
      <c r="J106" s="120"/>
      <c r="K106" s="120"/>
      <c r="L106" s="120"/>
      <c r="M106" s="120"/>
      <c r="N106" s="120"/>
      <c r="O106" s="120"/>
      <c r="P106" s="120"/>
      <c r="Q106" s="120"/>
      <c r="R106" s="120"/>
      <c r="S106" s="135"/>
      <c r="T106" s="120"/>
      <c r="U106" s="120"/>
      <c r="V106" s="120"/>
      <c r="W106" s="1748"/>
      <c r="X106" s="120"/>
      <c r="Y106" s="374"/>
      <c r="Z106" s="1748"/>
      <c r="AA106" s="120"/>
      <c r="AB106" s="374"/>
      <c r="AC106" s="120"/>
      <c r="AD106" s="120"/>
      <c r="AE106" s="120"/>
      <c r="AF106" s="1748"/>
      <c r="AG106" s="120"/>
      <c r="AH106" s="374"/>
      <c r="AI106" s="120"/>
      <c r="AJ106" s="120"/>
      <c r="AK106" s="135"/>
    </row>
    <row r="107" spans="1:48" ht="18.75" customHeight="1" thickTop="1" thickBot="1" x14ac:dyDescent="0.25">
      <c r="A107" s="2930" t="s">
        <v>1685</v>
      </c>
      <c r="B107" s="2931"/>
      <c r="C107" s="2931"/>
      <c r="D107" s="2931"/>
      <c r="E107" s="2931"/>
      <c r="F107" s="2931"/>
      <c r="G107" s="2931"/>
      <c r="H107" s="2931"/>
      <c r="I107" s="2931"/>
      <c r="J107" s="2931"/>
      <c r="K107" s="2931"/>
      <c r="L107" s="2931"/>
      <c r="M107" s="2931"/>
      <c r="N107" s="2931"/>
      <c r="O107" s="2931"/>
      <c r="P107" s="2931"/>
      <c r="Q107" s="2931"/>
      <c r="R107" s="2931"/>
      <c r="S107" s="2932"/>
      <c r="T107" s="1743"/>
      <c r="U107" s="1743"/>
      <c r="V107" s="893"/>
      <c r="W107" s="2206"/>
      <c r="X107" s="1749"/>
      <c r="Y107" s="2207"/>
      <c r="Z107" s="2206"/>
      <c r="AA107" s="1749"/>
      <c r="AB107" s="2207"/>
      <c r="AC107" s="1749"/>
      <c r="AD107" s="1749"/>
      <c r="AE107" s="201"/>
      <c r="AF107" s="2206"/>
      <c r="AG107" s="1749"/>
      <c r="AH107" s="2205"/>
      <c r="AI107" s="1749"/>
      <c r="AJ107" s="1749"/>
      <c r="AK107" s="1750"/>
    </row>
    <row r="108" spans="1:48" ht="13.5" thickBot="1" x14ac:dyDescent="0.25">
      <c r="A108" s="2273" t="s">
        <v>1552</v>
      </c>
      <c r="B108" s="2631" t="str">
        <f>B2</f>
        <v>2015/16</v>
      </c>
      <c r="C108" s="214"/>
      <c r="D108" s="2630"/>
      <c r="E108" s="214" t="str">
        <f>E2</f>
        <v>2016/17</v>
      </c>
      <c r="F108" s="214"/>
      <c r="G108" s="2630"/>
      <c r="H108" s="2917" t="str">
        <f t="shared" ref="H108:AK108" si="84">H2</f>
        <v>2017/18</v>
      </c>
      <c r="I108" s="2918">
        <f t="shared" si="84"/>
        <v>0</v>
      </c>
      <c r="J108" s="2919">
        <f t="shared" si="84"/>
        <v>0</v>
      </c>
      <c r="K108" s="2917" t="str">
        <f t="shared" si="84"/>
        <v>2018/19</v>
      </c>
      <c r="L108" s="2918">
        <f t="shared" si="84"/>
        <v>0</v>
      </c>
      <c r="M108" s="2919">
        <f t="shared" si="84"/>
        <v>0</v>
      </c>
      <c r="N108" s="2933" t="str">
        <f t="shared" si="84"/>
        <v>2019/20</v>
      </c>
      <c r="O108" s="2934">
        <f t="shared" si="84"/>
        <v>0</v>
      </c>
      <c r="P108" s="2935">
        <f t="shared" si="84"/>
        <v>0</v>
      </c>
      <c r="Q108" s="2933" t="str">
        <f t="shared" si="84"/>
        <v>2020/21</v>
      </c>
      <c r="R108" s="2934">
        <f t="shared" si="84"/>
        <v>0</v>
      </c>
      <c r="S108" s="2936">
        <f t="shared" si="84"/>
        <v>0</v>
      </c>
      <c r="T108" s="2934" t="str">
        <f t="shared" si="84"/>
        <v>2021/22</v>
      </c>
      <c r="U108" s="2934">
        <f t="shared" si="84"/>
        <v>0</v>
      </c>
      <c r="V108" s="2934">
        <f t="shared" si="84"/>
        <v>0</v>
      </c>
      <c r="W108" s="2933" t="str">
        <f t="shared" si="84"/>
        <v>2022/23</v>
      </c>
      <c r="X108" s="2934">
        <f t="shared" si="84"/>
        <v>0</v>
      </c>
      <c r="Y108" s="2935">
        <f t="shared" si="84"/>
        <v>0</v>
      </c>
      <c r="Z108" s="2933" t="str">
        <f t="shared" si="84"/>
        <v>2023/24</v>
      </c>
      <c r="AA108" s="2934">
        <f t="shared" si="84"/>
        <v>0</v>
      </c>
      <c r="AB108" s="2935">
        <f t="shared" si="84"/>
        <v>0</v>
      </c>
      <c r="AC108" s="2934" t="str">
        <f t="shared" si="84"/>
        <v>2024/25</v>
      </c>
      <c r="AD108" s="2934">
        <f t="shared" si="84"/>
        <v>0</v>
      </c>
      <c r="AE108" s="2934">
        <f t="shared" si="84"/>
        <v>0</v>
      </c>
      <c r="AF108" s="2933" t="str">
        <f t="shared" si="84"/>
        <v>2025/26</v>
      </c>
      <c r="AG108" s="2934">
        <f t="shared" si="84"/>
        <v>0</v>
      </c>
      <c r="AH108" s="2935">
        <f t="shared" si="84"/>
        <v>0</v>
      </c>
      <c r="AI108" s="2934" t="str">
        <f t="shared" si="84"/>
        <v>2026/27</v>
      </c>
      <c r="AJ108" s="2934">
        <f t="shared" si="84"/>
        <v>0</v>
      </c>
      <c r="AK108" s="2936">
        <f t="shared" si="84"/>
        <v>0</v>
      </c>
    </row>
    <row r="109" spans="1:48" ht="13.5" thickBot="1" x14ac:dyDescent="0.25">
      <c r="A109" s="2274"/>
      <c r="B109" s="332" t="str">
        <f>B3</f>
        <v>To</v>
      </c>
      <c r="C109" s="322" t="str">
        <f>C3</f>
        <v>From</v>
      </c>
      <c r="D109" s="322" t="str">
        <f>D3</f>
        <v>Net</v>
      </c>
      <c r="E109" s="322" t="str">
        <f>E3</f>
        <v>To</v>
      </c>
      <c r="F109" s="322" t="str">
        <f>F3</f>
        <v>From</v>
      </c>
      <c r="G109" s="325" t="str">
        <f>G3</f>
        <v>Net</v>
      </c>
      <c r="H109" s="566" t="str">
        <f t="shared" ref="H109:AK109" si="85">H3</f>
        <v>To</v>
      </c>
      <c r="I109" s="322" t="str">
        <f t="shared" si="85"/>
        <v>From</v>
      </c>
      <c r="J109" s="325" t="str">
        <f t="shared" si="85"/>
        <v>Net</v>
      </c>
      <c r="K109" s="566" t="str">
        <f t="shared" si="85"/>
        <v>To</v>
      </c>
      <c r="L109" s="322" t="str">
        <f t="shared" si="85"/>
        <v>From</v>
      </c>
      <c r="M109" s="325" t="str">
        <f t="shared" si="85"/>
        <v>Net</v>
      </c>
      <c r="N109" s="332" t="str">
        <f t="shared" si="85"/>
        <v>To</v>
      </c>
      <c r="O109" s="322" t="str">
        <f t="shared" si="85"/>
        <v>From</v>
      </c>
      <c r="P109" s="325" t="str">
        <f t="shared" si="85"/>
        <v>Net</v>
      </c>
      <c r="Q109" s="332" t="str">
        <f t="shared" si="85"/>
        <v>To</v>
      </c>
      <c r="R109" s="322" t="str">
        <f t="shared" si="85"/>
        <v>From</v>
      </c>
      <c r="S109" s="333" t="str">
        <f t="shared" si="85"/>
        <v>Net</v>
      </c>
      <c r="T109" s="332" t="str">
        <f t="shared" si="85"/>
        <v>To</v>
      </c>
      <c r="U109" s="322" t="str">
        <f t="shared" si="85"/>
        <v>From</v>
      </c>
      <c r="V109" s="557" t="str">
        <f t="shared" si="85"/>
        <v>Net</v>
      </c>
      <c r="W109" s="566" t="str">
        <f t="shared" si="85"/>
        <v>To</v>
      </c>
      <c r="X109" s="322" t="str">
        <f t="shared" si="85"/>
        <v>From</v>
      </c>
      <c r="Y109" s="325" t="str">
        <f t="shared" si="85"/>
        <v>Net</v>
      </c>
      <c r="Z109" s="566" t="str">
        <f t="shared" si="85"/>
        <v>To</v>
      </c>
      <c r="AA109" s="322" t="str">
        <f t="shared" si="85"/>
        <v>From</v>
      </c>
      <c r="AB109" s="325" t="str">
        <f t="shared" si="85"/>
        <v>Net</v>
      </c>
      <c r="AC109" s="332" t="str">
        <f t="shared" si="85"/>
        <v>To</v>
      </c>
      <c r="AD109" s="322" t="str">
        <f t="shared" si="85"/>
        <v>From</v>
      </c>
      <c r="AE109" s="557" t="str">
        <f t="shared" si="85"/>
        <v>Net</v>
      </c>
      <c r="AF109" s="566" t="str">
        <f t="shared" si="85"/>
        <v>To</v>
      </c>
      <c r="AG109" s="322" t="str">
        <f t="shared" si="85"/>
        <v>From</v>
      </c>
      <c r="AH109" s="325" t="str">
        <f t="shared" si="85"/>
        <v>Net</v>
      </c>
      <c r="AI109" s="332" t="str">
        <f t="shared" si="85"/>
        <v>To</v>
      </c>
      <c r="AJ109" s="322" t="str">
        <f t="shared" si="85"/>
        <v>From</v>
      </c>
      <c r="AK109" s="333" t="str">
        <f t="shared" si="85"/>
        <v>Net</v>
      </c>
    </row>
    <row r="110" spans="1:48" x14ac:dyDescent="0.2">
      <c r="A110" s="585"/>
      <c r="B110" s="142"/>
      <c r="C110" s="150"/>
      <c r="D110" s="129"/>
      <c r="E110" s="186"/>
      <c r="F110" s="33"/>
      <c r="G110" s="129"/>
      <c r="H110" s="142"/>
      <c r="I110" s="33"/>
      <c r="J110" s="129"/>
      <c r="K110" s="186"/>
      <c r="L110" s="33"/>
      <c r="M110" s="129"/>
      <c r="N110" s="142"/>
      <c r="O110" s="33"/>
      <c r="P110" s="102"/>
      <c r="Q110" s="99"/>
      <c r="R110" s="33"/>
      <c r="S110" s="114"/>
      <c r="T110" s="99"/>
      <c r="U110" s="33"/>
      <c r="V110" s="99"/>
      <c r="W110" s="502"/>
      <c r="X110" s="33"/>
      <c r="Y110" s="102"/>
      <c r="Z110" s="502"/>
      <c r="AA110" s="33"/>
      <c r="AB110" s="102"/>
      <c r="AC110" s="99"/>
      <c r="AD110" s="33"/>
      <c r="AE110" s="99"/>
      <c r="AF110" s="502"/>
      <c r="AG110" s="33"/>
      <c r="AH110" s="102"/>
      <c r="AI110" s="99"/>
      <c r="AJ110" s="33"/>
      <c r="AK110" s="114"/>
    </row>
    <row r="111" spans="1:48" ht="11.25" customHeight="1" x14ac:dyDescent="0.2">
      <c r="A111" s="2270" t="s">
        <v>1911</v>
      </c>
      <c r="B111" s="567"/>
      <c r="C111" s="152"/>
      <c r="D111" s="321"/>
      <c r="E111" s="567"/>
      <c r="F111" s="150"/>
      <c r="G111" s="321"/>
      <c r="H111" s="152"/>
      <c r="I111" s="150"/>
      <c r="J111" s="321"/>
      <c r="K111" s="567"/>
      <c r="L111" s="150"/>
      <c r="M111" s="321"/>
      <c r="N111" s="152"/>
      <c r="O111" s="150"/>
      <c r="P111" s="508"/>
      <c r="Q111" s="182"/>
      <c r="R111" s="150"/>
      <c r="S111" s="1058"/>
      <c r="T111" s="182"/>
      <c r="U111" s="150"/>
      <c r="V111" s="182"/>
      <c r="W111" s="1469"/>
      <c r="X111" s="150"/>
      <c r="Y111" s="508"/>
      <c r="Z111" s="1469"/>
      <c r="AA111" s="150"/>
      <c r="AB111" s="508"/>
      <c r="AC111" s="182"/>
      <c r="AD111" s="150"/>
      <c r="AE111" s="182"/>
      <c r="AF111" s="1469"/>
      <c r="AG111" s="150"/>
      <c r="AH111" s="508"/>
      <c r="AI111" s="182"/>
      <c r="AJ111" s="150"/>
      <c r="AK111" s="1058"/>
      <c r="AL111" s="376"/>
      <c r="AM111" s="376"/>
      <c r="AN111" s="376"/>
      <c r="AO111" s="376"/>
      <c r="AP111" s="376"/>
      <c r="AQ111" s="376"/>
      <c r="AR111" s="376"/>
      <c r="AS111" s="376"/>
      <c r="AT111" s="376"/>
      <c r="AU111" s="376"/>
      <c r="AV111" s="376"/>
    </row>
    <row r="112" spans="1:48" x14ac:dyDescent="0.2">
      <c r="A112" s="889" t="s">
        <v>3431</v>
      </c>
      <c r="B112" s="186">
        <f>500000-500000</f>
        <v>0</v>
      </c>
      <c r="C112" s="152">
        <v>400000</v>
      </c>
      <c r="D112" s="321">
        <f t="shared" ref="D112:D113" si="86">B112-C112</f>
        <v>-400000</v>
      </c>
      <c r="E112" s="186">
        <v>500000</v>
      </c>
      <c r="F112" s="33">
        <f>1475000-50000</f>
        <v>1425000</v>
      </c>
      <c r="G112" s="321">
        <f>E112-F112</f>
        <v>-925000</v>
      </c>
      <c r="H112" s="142"/>
      <c r="I112" s="33"/>
      <c r="J112" s="129"/>
      <c r="K112" s="186"/>
      <c r="L112" s="33"/>
      <c r="M112" s="129"/>
      <c r="N112" s="142"/>
      <c r="O112" s="33"/>
      <c r="P112" s="102"/>
      <c r="Q112" s="99"/>
      <c r="R112" s="33"/>
      <c r="S112" s="114"/>
      <c r="T112" s="99"/>
      <c r="U112" s="33"/>
      <c r="V112" s="99"/>
      <c r="W112" s="502"/>
      <c r="X112" s="33"/>
      <c r="Y112" s="102"/>
      <c r="Z112" s="502"/>
      <c r="AA112" s="33"/>
      <c r="AB112" s="102"/>
      <c r="AC112" s="99"/>
      <c r="AD112" s="33"/>
      <c r="AE112" s="99"/>
      <c r="AF112" s="502"/>
      <c r="AG112" s="33"/>
      <c r="AH112" s="102"/>
      <c r="AI112" s="99"/>
      <c r="AJ112" s="33"/>
      <c r="AK112" s="114"/>
    </row>
    <row r="113" spans="1:48" x14ac:dyDescent="0.2">
      <c r="A113" s="889" t="s">
        <v>4841</v>
      </c>
      <c r="B113" s="186">
        <f>316600-316600</f>
        <v>0</v>
      </c>
      <c r="C113" s="152">
        <v>225700</v>
      </c>
      <c r="D113" s="321">
        <f t="shared" si="86"/>
        <v>-225700</v>
      </c>
      <c r="E113" s="186"/>
      <c r="F113" s="33">
        <v>25000</v>
      </c>
      <c r="G113" s="321">
        <f>E113-F113</f>
        <v>-25000</v>
      </c>
      <c r="H113" s="142"/>
      <c r="I113" s="33"/>
      <c r="J113" s="129"/>
      <c r="K113" s="186"/>
      <c r="L113" s="33"/>
      <c r="M113" s="129"/>
      <c r="N113" s="142"/>
      <c r="O113" s="33"/>
      <c r="P113" s="102"/>
      <c r="Q113" s="99"/>
      <c r="R113" s="33"/>
      <c r="S113" s="114"/>
      <c r="T113" s="99"/>
      <c r="U113" s="33"/>
      <c r="V113" s="99"/>
      <c r="W113" s="502"/>
      <c r="X113" s="33"/>
      <c r="Y113" s="102"/>
      <c r="Z113" s="502"/>
      <c r="AA113" s="33"/>
      <c r="AB113" s="102"/>
      <c r="AC113" s="99"/>
      <c r="AD113" s="33"/>
      <c r="AE113" s="99"/>
      <c r="AF113" s="502"/>
      <c r="AG113" s="33"/>
      <c r="AH113" s="102"/>
      <c r="AI113" s="99"/>
      <c r="AJ113" s="33"/>
      <c r="AK113" s="114"/>
    </row>
    <row r="114" spans="1:48" x14ac:dyDescent="0.2">
      <c r="A114" s="585" t="s">
        <v>1061</v>
      </c>
      <c r="B114" s="567">
        <v>78100</v>
      </c>
      <c r="C114" s="152">
        <v>65400</v>
      </c>
      <c r="D114" s="321">
        <f>B114-C114</f>
        <v>12700</v>
      </c>
      <c r="E114" s="567">
        <f>SUM(GM!G897:G901)</f>
        <v>62000</v>
      </c>
      <c r="F114" s="150">
        <f>SUM(GM!G980:G988)</f>
        <v>69200</v>
      </c>
      <c r="G114" s="321">
        <f>E114-F114</f>
        <v>-7200</v>
      </c>
      <c r="H114" s="152">
        <f>SUM(GM!I897:I901)</f>
        <v>63000</v>
      </c>
      <c r="I114" s="150">
        <f>SUM(GM!I980:I988)</f>
        <v>70600</v>
      </c>
      <c r="J114" s="321">
        <f>H114-I114</f>
        <v>-7600</v>
      </c>
      <c r="K114" s="567">
        <f>SUM(GM!J897:J901)</f>
        <v>64700</v>
      </c>
      <c r="L114" s="150">
        <f>SUM(GM!J980:J988)</f>
        <v>72700</v>
      </c>
      <c r="M114" s="321">
        <f>K114-L114</f>
        <v>-8000</v>
      </c>
      <c r="N114" s="152">
        <f>SUM(GM!K897:K901)</f>
        <v>66400</v>
      </c>
      <c r="O114" s="150">
        <f>SUM(GM!K980:K988)</f>
        <v>74800</v>
      </c>
      <c r="P114" s="508">
        <f>N114-O114</f>
        <v>-8400</v>
      </c>
      <c r="Q114" s="182">
        <f>SUM(GM!L897:L901)</f>
        <v>68200</v>
      </c>
      <c r="R114" s="150">
        <f>SUM(GM!L980:L988)</f>
        <v>76900</v>
      </c>
      <c r="S114" s="1058">
        <f>Q114-R114</f>
        <v>-8700</v>
      </c>
      <c r="T114" s="182">
        <f>SUM(GM!M897:M901)</f>
        <v>69700</v>
      </c>
      <c r="U114" s="150">
        <f>SUM(GM!M980:M988)</f>
        <v>78700</v>
      </c>
      <c r="V114" s="182">
        <f>T114-U114</f>
        <v>-9000</v>
      </c>
      <c r="W114" s="1469">
        <f>SUM(GM!N897:N901)</f>
        <v>71200</v>
      </c>
      <c r="X114" s="150">
        <f>SUM(GM!N980:N988)</f>
        <v>80500</v>
      </c>
      <c r="Y114" s="508">
        <f>W114-X114</f>
        <v>-9300</v>
      </c>
      <c r="Z114" s="1469">
        <f>SUM(GM!O897:O901)</f>
        <v>72700</v>
      </c>
      <c r="AA114" s="150">
        <f>SUM(GM!O980:O988)</f>
        <v>82400</v>
      </c>
      <c r="AB114" s="508">
        <f>Z114-AA114</f>
        <v>-9700</v>
      </c>
      <c r="AC114" s="182">
        <f>SUM(GM!P897:P901)</f>
        <v>74200</v>
      </c>
      <c r="AD114" s="150">
        <f>SUM(GM!P980:P988)</f>
        <v>84300</v>
      </c>
      <c r="AE114" s="182">
        <f>AC114-AD114</f>
        <v>-10100</v>
      </c>
      <c r="AF114" s="1469">
        <f>SUM(GM!Q897:Q901)</f>
        <v>75700</v>
      </c>
      <c r="AG114" s="150">
        <f>SUM(GM!Q980:Q988)</f>
        <v>86300</v>
      </c>
      <c r="AH114" s="508">
        <f>AF114-AG114</f>
        <v>-10600</v>
      </c>
      <c r="AI114" s="182">
        <f>SUM(GM!R897:R901)</f>
        <v>77300</v>
      </c>
      <c r="AJ114" s="150">
        <f>SUM(GM!T980:T988)</f>
        <v>0</v>
      </c>
      <c r="AK114" s="1058">
        <f>AI114-AJ114</f>
        <v>77300</v>
      </c>
      <c r="AL114" s="376"/>
      <c r="AM114" s="376"/>
      <c r="AN114" s="376"/>
      <c r="AO114" s="376"/>
      <c r="AP114" s="376"/>
      <c r="AQ114" s="376"/>
      <c r="AR114" s="376"/>
      <c r="AS114" s="376"/>
      <c r="AT114" s="376"/>
      <c r="AU114" s="376"/>
      <c r="AV114" s="376"/>
    </row>
    <row r="115" spans="1:48" x14ac:dyDescent="0.2">
      <c r="A115" s="585"/>
      <c r="B115" s="567"/>
      <c r="C115" s="152"/>
      <c r="D115" s="321"/>
      <c r="E115" s="567"/>
      <c r="F115" s="150"/>
      <c r="G115" s="321"/>
      <c r="H115" s="152"/>
      <c r="I115" s="150"/>
      <c r="J115" s="321"/>
      <c r="K115" s="567"/>
      <c r="L115" s="150"/>
      <c r="M115" s="321"/>
      <c r="N115" s="152"/>
      <c r="O115" s="150"/>
      <c r="P115" s="321"/>
      <c r="Q115" s="182"/>
      <c r="R115" s="150"/>
      <c r="S115" s="1058"/>
      <c r="T115" s="182"/>
      <c r="U115" s="150"/>
      <c r="V115" s="182"/>
      <c r="W115" s="1469"/>
      <c r="X115" s="150"/>
      <c r="Y115" s="508"/>
      <c r="Z115" s="1469"/>
      <c r="AA115" s="150"/>
      <c r="AB115" s="508"/>
      <c r="AC115" s="182"/>
      <c r="AD115" s="150"/>
      <c r="AE115" s="182"/>
      <c r="AF115" s="1469"/>
      <c r="AG115" s="150"/>
      <c r="AH115" s="508"/>
      <c r="AI115" s="182"/>
      <c r="AJ115" s="150"/>
      <c r="AK115" s="1058"/>
      <c r="AL115" s="376"/>
      <c r="AM115" s="376"/>
      <c r="AN115" s="376"/>
      <c r="AO115" s="376"/>
      <c r="AP115" s="376"/>
      <c r="AQ115" s="376"/>
      <c r="AR115" s="376"/>
      <c r="AS115" s="376"/>
      <c r="AT115" s="376"/>
      <c r="AU115" s="376"/>
      <c r="AV115" s="376"/>
    </row>
    <row r="116" spans="1:48" x14ac:dyDescent="0.2">
      <c r="A116" s="2270" t="s">
        <v>331</v>
      </c>
      <c r="B116" s="567"/>
      <c r="C116" s="152"/>
      <c r="D116" s="321"/>
      <c r="E116" s="567"/>
      <c r="F116" s="150"/>
      <c r="G116" s="321"/>
      <c r="H116" s="152"/>
      <c r="I116" s="150"/>
      <c r="J116" s="321"/>
      <c r="K116" s="567"/>
      <c r="L116" s="150"/>
      <c r="M116" s="321"/>
      <c r="N116" s="152"/>
      <c r="O116" s="150"/>
      <c r="P116" s="321"/>
      <c r="Q116" s="182"/>
      <c r="R116" s="150"/>
      <c r="S116" s="1058"/>
      <c r="T116" s="182"/>
      <c r="U116" s="150"/>
      <c r="V116" s="182"/>
      <c r="W116" s="1469"/>
      <c r="X116" s="150"/>
      <c r="Y116" s="508"/>
      <c r="Z116" s="1469"/>
      <c r="AA116" s="150"/>
      <c r="AB116" s="508"/>
      <c r="AC116" s="182"/>
      <c r="AD116" s="150"/>
      <c r="AE116" s="182"/>
      <c r="AF116" s="1469"/>
      <c r="AG116" s="150"/>
      <c r="AH116" s="508"/>
      <c r="AI116" s="182"/>
      <c r="AJ116" s="150"/>
      <c r="AK116" s="1058"/>
      <c r="AL116" s="376"/>
      <c r="AM116" s="376"/>
      <c r="AN116" s="376"/>
      <c r="AO116" s="376"/>
      <c r="AP116" s="376"/>
      <c r="AQ116" s="376"/>
      <c r="AR116" s="376"/>
      <c r="AS116" s="376"/>
      <c r="AT116" s="376"/>
      <c r="AU116" s="376"/>
      <c r="AV116" s="376"/>
    </row>
    <row r="117" spans="1:48" x14ac:dyDescent="0.2">
      <c r="A117" s="585" t="s">
        <v>1453</v>
      </c>
      <c r="B117" s="567">
        <v>55100</v>
      </c>
      <c r="C117" s="152"/>
      <c r="D117" s="321">
        <f>B117-C117</f>
        <v>55100</v>
      </c>
      <c r="E117" s="567">
        <f>45000+30000</f>
        <v>75000</v>
      </c>
      <c r="F117" s="150"/>
      <c r="G117" s="321">
        <f>E117-F117</f>
        <v>75000</v>
      </c>
      <c r="H117" s="152">
        <v>50000</v>
      </c>
      <c r="I117" s="150"/>
      <c r="J117" s="321">
        <f>H117-I117</f>
        <v>50000</v>
      </c>
      <c r="K117" s="567">
        <f>H117+5000</f>
        <v>55000</v>
      </c>
      <c r="L117" s="150"/>
      <c r="M117" s="321">
        <f>K117-L117</f>
        <v>55000</v>
      </c>
      <c r="N117" s="152">
        <f t="shared" ref="N117" si="87">K117+5000</f>
        <v>60000</v>
      </c>
      <c r="O117" s="150"/>
      <c r="P117" s="321">
        <f t="shared" ref="P117" si="88">N117-O117</f>
        <v>60000</v>
      </c>
      <c r="Q117" s="182">
        <f t="shared" ref="Q117" si="89">N117+5000</f>
        <v>65000</v>
      </c>
      <c r="R117" s="150"/>
      <c r="S117" s="1058">
        <f t="shared" ref="S117" si="90">Q117-R117</f>
        <v>65000</v>
      </c>
      <c r="T117" s="182">
        <f>Q117+5000</f>
        <v>70000</v>
      </c>
      <c r="U117" s="150"/>
      <c r="V117" s="182">
        <f t="shared" ref="V117" si="91">T117-U117</f>
        <v>70000</v>
      </c>
      <c r="W117" s="1469">
        <f t="shared" ref="W117" si="92">T117+5000</f>
        <v>75000</v>
      </c>
      <c r="X117" s="150"/>
      <c r="Y117" s="508">
        <f t="shared" ref="Y117" si="93">W117-X117</f>
        <v>75000</v>
      </c>
      <c r="Z117" s="1469">
        <f>W117+5000</f>
        <v>80000</v>
      </c>
      <c r="AA117" s="150"/>
      <c r="AB117" s="508">
        <f t="shared" ref="AB117" si="94">Z117-AA117</f>
        <v>80000</v>
      </c>
      <c r="AC117" s="182">
        <f>Z117+5000</f>
        <v>85000</v>
      </c>
      <c r="AD117" s="150"/>
      <c r="AE117" s="182">
        <f t="shared" ref="AE117" si="95">AC117-AD117</f>
        <v>85000</v>
      </c>
      <c r="AF117" s="1469">
        <f>AC117+5000</f>
        <v>90000</v>
      </c>
      <c r="AG117" s="150"/>
      <c r="AH117" s="508">
        <f t="shared" ref="AH117" si="96">AF117-AG117</f>
        <v>90000</v>
      </c>
      <c r="AI117" s="182">
        <f>AF117+5000</f>
        <v>95000</v>
      </c>
      <c r="AJ117" s="150"/>
      <c r="AK117" s="1058">
        <f t="shared" ref="AK117" si="97">AI117-AJ117</f>
        <v>95000</v>
      </c>
      <c r="AL117" s="376"/>
      <c r="AM117" s="376"/>
      <c r="AN117" s="376"/>
      <c r="AO117" s="376"/>
      <c r="AP117" s="376"/>
      <c r="AQ117" s="376"/>
      <c r="AR117" s="376"/>
      <c r="AS117" s="376"/>
      <c r="AT117" s="376"/>
      <c r="AU117" s="376"/>
      <c r="AV117" s="376"/>
    </row>
    <row r="118" spans="1:48" x14ac:dyDescent="0.2">
      <c r="A118" s="889" t="s">
        <v>1417</v>
      </c>
      <c r="B118" s="186">
        <v>171000</v>
      </c>
      <c r="C118" s="142"/>
      <c r="D118" s="129">
        <f>B118-C118</f>
        <v>171000</v>
      </c>
      <c r="E118" s="186">
        <f>IF(GM!G350-GM!G382-GM!G383&gt;0,GM!G350-GM!G382-GM!G383,0)</f>
        <v>148600</v>
      </c>
      <c r="F118" s="33">
        <f>'Cap-Gen'!Y54+GM!G1063-GM!G1059+E118</f>
        <v>20000</v>
      </c>
      <c r="G118" s="129">
        <f>E118-F118</f>
        <v>128600</v>
      </c>
      <c r="H118" s="152">
        <f>IF(GM!I350-GM!I382-GM!I383&gt;0,GM!I350-GM!I382-GM!I383,0)</f>
        <v>149500</v>
      </c>
      <c r="I118" s="33">
        <f>'Cap-Gen'!AD54+GM!I1063-GM!I1059+H118+150000</f>
        <v>171000</v>
      </c>
      <c r="J118" s="129">
        <f>H118-I118</f>
        <v>-21500</v>
      </c>
      <c r="K118" s="567">
        <f>IF(GM!J350-GM!J382-GM!J383&gt;0,GM!J350-GM!J382-GM!J383,0)</f>
        <v>152500</v>
      </c>
      <c r="L118" s="33">
        <f>'Cap-Gen'!AI54+GM!J1063-GM!J1059+K118</f>
        <v>22000</v>
      </c>
      <c r="M118" s="129">
        <f>K118-L118</f>
        <v>130500</v>
      </c>
      <c r="N118" s="152">
        <f>IF(GM!K350-GM!K382-GM!K383&gt;0,GM!K350-GM!K382-GM!K383,0)</f>
        <v>155700</v>
      </c>
      <c r="O118" s="33">
        <f>'Cap-Gen'!AN54+GM!K1063-GM!K1059+N118</f>
        <v>23000</v>
      </c>
      <c r="P118" s="102">
        <f>N118-O118</f>
        <v>132700</v>
      </c>
      <c r="Q118" s="152">
        <f>IF(GM!L350-GM!L382-GM!L383&gt;0,GM!L350-GM!L382-GM!L383,0)</f>
        <v>159000</v>
      </c>
      <c r="R118" s="33">
        <f>'Cap-Gen'!AS54+GM!L1063-GM!L1059+Q118</f>
        <v>24000</v>
      </c>
      <c r="S118" s="114">
        <f>Q118-R118</f>
        <v>135000</v>
      </c>
      <c r="T118" s="152">
        <f>IF(GM!M350-GM!M382-GM!M383&gt;0,GM!M350-GM!M382-GM!M383,0)</f>
        <v>161500</v>
      </c>
      <c r="U118" s="33">
        <f>'Cap-Gen'!AX54-GM!M1059+T118</f>
        <v>25000</v>
      </c>
      <c r="V118" s="99">
        <f>T118-U118</f>
        <v>136500</v>
      </c>
      <c r="W118" s="567">
        <f>IF(GM!N350-GM!N382-GM!N383&gt;0,GM!N350-GM!N382-GM!N383,0)</f>
        <v>164000</v>
      </c>
      <c r="X118" s="33">
        <f>'Cap-Gen'!BC54-GM!N1059+W118</f>
        <v>26000</v>
      </c>
      <c r="Y118" s="102">
        <f>W118-X118</f>
        <v>138000</v>
      </c>
      <c r="Z118" s="567">
        <f>IF(GM!O350-GM!O382-GM!O383&gt;0,GM!O350-GM!O382-GM!O383,0)</f>
        <v>166600</v>
      </c>
      <c r="AA118" s="33">
        <f>'Cap-Gen'!BH54-GM!O1059+Z118</f>
        <v>27000</v>
      </c>
      <c r="AB118" s="102">
        <f>Z118-AA118</f>
        <v>139600</v>
      </c>
      <c r="AC118" s="152">
        <f>IF(GM!P350-GM!P382-GM!P383&gt;0,GM!P350-GM!P382-GM!P383,0)</f>
        <v>169200</v>
      </c>
      <c r="AD118" s="33">
        <f>'Cap-Gen'!BM54-GM!P1059+AC118</f>
        <v>28000</v>
      </c>
      <c r="AE118" s="99">
        <f>AC118-AD118</f>
        <v>141200</v>
      </c>
      <c r="AF118" s="567">
        <f>IF(GM!Q350-GM!Q382-GM!Q383&gt;0,GM!Q350-GM!Q382-GM!Q383,0)</f>
        <v>171900</v>
      </c>
      <c r="AG118" s="33">
        <f>'Cap-Gen'!BR54-GM!Q1059+AF118</f>
        <v>29000</v>
      </c>
      <c r="AH118" s="102">
        <f>AF118-AG118</f>
        <v>142900</v>
      </c>
      <c r="AI118" s="152">
        <f>IF(GM!R350-GM!R382-GM!R383&gt;0,GM!R350-GM!R382-GM!R383,0)</f>
        <v>174600</v>
      </c>
      <c r="AJ118" s="33">
        <f>'Cap-Gen'!BW54-GM!R1059+AI118</f>
        <v>30000</v>
      </c>
      <c r="AK118" s="114">
        <f>AI118-AJ118</f>
        <v>144600</v>
      </c>
    </row>
    <row r="119" spans="1:48" s="92" customFormat="1" x14ac:dyDescent="0.2">
      <c r="A119" s="584"/>
      <c r="B119" s="128"/>
      <c r="C119" s="382"/>
      <c r="D119" s="400"/>
      <c r="E119" s="185"/>
      <c r="F119" s="64"/>
      <c r="G119" s="400"/>
      <c r="H119" s="128"/>
      <c r="I119" s="64"/>
      <c r="J119" s="400"/>
      <c r="K119" s="185"/>
      <c r="L119" s="64"/>
      <c r="M119" s="400"/>
      <c r="N119" s="128"/>
      <c r="O119" s="64"/>
      <c r="P119" s="117"/>
      <c r="Q119" s="74"/>
      <c r="R119" s="64"/>
      <c r="S119" s="115"/>
      <c r="T119" s="74"/>
      <c r="U119" s="64"/>
      <c r="V119" s="74"/>
      <c r="W119" s="1747"/>
      <c r="X119" s="64"/>
      <c r="Y119" s="117"/>
      <c r="Z119" s="1747"/>
      <c r="AA119" s="64"/>
      <c r="AB119" s="117"/>
      <c r="AC119" s="74"/>
      <c r="AD119" s="64"/>
      <c r="AE119" s="74"/>
      <c r="AF119" s="1747"/>
      <c r="AG119" s="64"/>
      <c r="AH119" s="117"/>
      <c r="AI119" s="74"/>
      <c r="AJ119" s="64"/>
      <c r="AK119" s="115"/>
    </row>
    <row r="120" spans="1:48" x14ac:dyDescent="0.2">
      <c r="A120" s="584" t="s">
        <v>1418</v>
      </c>
      <c r="B120" s="142">
        <v>458300</v>
      </c>
      <c r="C120" s="150">
        <v>88000</v>
      </c>
      <c r="D120" s="129">
        <f>B120-C120</f>
        <v>370300</v>
      </c>
      <c r="E120" s="186">
        <f>IF(GM!G459-GM!G464&gt;0,GM!G459-GM!G464,0)</f>
        <v>556200</v>
      </c>
      <c r="F120" s="142">
        <f>SUM('Cap-Gen'!Y56:Y62)</f>
        <v>143000</v>
      </c>
      <c r="G120" s="129">
        <f>E120-F120</f>
        <v>413200</v>
      </c>
      <c r="H120" s="142">
        <f>IF(GM!I459-GM!I464&gt;0,GM!I459-GM!I464,0)</f>
        <v>515100</v>
      </c>
      <c r="I120" s="150">
        <f>SUM('Cap-Gen'!AD56:AD62)</f>
        <v>81000</v>
      </c>
      <c r="J120" s="129">
        <f>H120-I120</f>
        <v>434100</v>
      </c>
      <c r="K120" s="186">
        <f>IF(GM!J459-GM!J464&gt;0,GM!J459-GM!J464,0)</f>
        <v>501000</v>
      </c>
      <c r="L120" s="33">
        <f>SUM('Cap-Gen'!AI56:AI62)</f>
        <v>84000</v>
      </c>
      <c r="M120" s="129">
        <f>K120-L120</f>
        <v>417000</v>
      </c>
      <c r="N120" s="142">
        <f>IF(GM!K459-GM!K464&gt;0,GM!K459-GM!K464,0)</f>
        <v>525200</v>
      </c>
      <c r="O120" s="33">
        <f>SUM('Cap-Gen'!AN56:AN62)</f>
        <v>87000</v>
      </c>
      <c r="P120" s="102">
        <f>N120-O120</f>
        <v>438200</v>
      </c>
      <c r="Q120" s="99">
        <f>IF(GM!L459-GM!L464&gt;0,GM!L459-GM!L464,0)</f>
        <v>549900</v>
      </c>
      <c r="R120" s="150">
        <f>SUM('Cap-Gen'!AS63)</f>
        <v>89000</v>
      </c>
      <c r="S120" s="114">
        <f>Q120-R120</f>
        <v>460900</v>
      </c>
      <c r="T120" s="99">
        <f>IF(GM!M459-GM!M464&gt;0,GM!M459-GM!M464,0)</f>
        <v>658800</v>
      </c>
      <c r="U120" s="150">
        <f>SUM('Cap-Gen'!AX63)</f>
        <v>91000</v>
      </c>
      <c r="V120" s="99">
        <f>T120-U120</f>
        <v>567800</v>
      </c>
      <c r="W120" s="502">
        <f>IF(GM!N459-GM!N464&gt;0,GM!N459-GM!N464,0)</f>
        <v>1136200</v>
      </c>
      <c r="X120" s="150">
        <f>'Cap-Gen'!BC63</f>
        <v>993000</v>
      </c>
      <c r="Y120" s="102">
        <f>W120-X120</f>
        <v>143200</v>
      </c>
      <c r="Z120" s="502">
        <f>IF(GM!O459-GM!O464&gt;0,GM!O459-GM!O464,0)</f>
        <v>1947900</v>
      </c>
      <c r="AA120" s="150">
        <f>'Cap-Gen'!BH63</f>
        <v>1608000</v>
      </c>
      <c r="AB120" s="102">
        <f>Z120-AA120</f>
        <v>339900</v>
      </c>
      <c r="AC120" s="99">
        <f>IF(GM!P459-GM!P464&gt;0,GM!P459-GM!P464,0)</f>
        <v>2101300</v>
      </c>
      <c r="AD120" s="150">
        <f>'Cap-Gen'!BM63</f>
        <v>1623000</v>
      </c>
      <c r="AE120" s="99">
        <f>AC120-AD120</f>
        <v>478300</v>
      </c>
      <c r="AF120" s="502">
        <f>IF(GM!Q459-GM!Q464&gt;0,GM!Q459-GM!Q464,0)</f>
        <v>2144700</v>
      </c>
      <c r="AG120" s="150">
        <f>'Cap-Gen'!BR63</f>
        <v>2639000</v>
      </c>
      <c r="AH120" s="102">
        <f>AF120-AG120</f>
        <v>-494300</v>
      </c>
      <c r="AI120" s="99">
        <f>IF(GM!R459-GM!R464&gt;0,GM!R459-GM!R464,0)</f>
        <v>2237700</v>
      </c>
      <c r="AJ120" s="150">
        <f>'Cap-Gen'!BW63</f>
        <v>2705000</v>
      </c>
      <c r="AK120" s="114">
        <f>AI120-AJ120</f>
        <v>-467300</v>
      </c>
    </row>
    <row r="121" spans="1:48" ht="13.5" thickBot="1" x14ac:dyDescent="0.25">
      <c r="A121" s="585"/>
      <c r="B121" s="186"/>
      <c r="C121" s="152"/>
      <c r="D121" s="129"/>
      <c r="E121" s="186"/>
      <c r="F121" s="33"/>
      <c r="G121" s="129"/>
      <c r="H121" s="142"/>
      <c r="I121" s="33"/>
      <c r="J121" s="129"/>
      <c r="K121" s="186"/>
      <c r="L121" s="33"/>
      <c r="M121" s="129"/>
      <c r="N121" s="142"/>
      <c r="O121" s="33"/>
      <c r="P121" s="102"/>
      <c r="Q121" s="99"/>
      <c r="R121" s="33"/>
      <c r="S121" s="114"/>
      <c r="T121" s="99"/>
      <c r="U121" s="33"/>
      <c r="V121" s="99"/>
      <c r="W121" s="502"/>
      <c r="X121" s="33"/>
      <c r="Y121" s="102"/>
      <c r="Z121" s="502"/>
      <c r="AA121" s="33"/>
      <c r="AB121" s="102"/>
      <c r="AC121" s="99"/>
      <c r="AD121" s="33"/>
      <c r="AE121" s="99"/>
      <c r="AF121" s="502"/>
      <c r="AG121" s="33"/>
      <c r="AH121" s="102"/>
      <c r="AI121" s="99"/>
      <c r="AJ121" s="33"/>
      <c r="AK121" s="114"/>
    </row>
    <row r="122" spans="1:48" s="74" customFormat="1" ht="14.25" thickTop="1" thickBot="1" x14ac:dyDescent="0.25">
      <c r="A122" s="586" t="s">
        <v>2849</v>
      </c>
      <c r="B122" s="424">
        <f t="shared" ref="B122:AK122" si="98">SUBTOTAL(9,B39:B121)</f>
        <v>5622700</v>
      </c>
      <c r="C122" s="2632">
        <f t="shared" si="98"/>
        <v>5086100</v>
      </c>
      <c r="D122" s="418">
        <f t="shared" si="98"/>
        <v>536600</v>
      </c>
      <c r="E122" s="424">
        <f t="shared" si="98"/>
        <v>8758000</v>
      </c>
      <c r="F122" s="417">
        <f t="shared" si="98"/>
        <v>9244200</v>
      </c>
      <c r="G122" s="418">
        <f t="shared" si="98"/>
        <v>-486200</v>
      </c>
      <c r="H122" s="419">
        <f t="shared" si="98"/>
        <v>7252300</v>
      </c>
      <c r="I122" s="417">
        <f t="shared" si="98"/>
        <v>9740300</v>
      </c>
      <c r="J122" s="418">
        <f t="shared" si="98"/>
        <v>-2488000</v>
      </c>
      <c r="K122" s="424">
        <f t="shared" si="98"/>
        <v>6946500</v>
      </c>
      <c r="L122" s="417">
        <f t="shared" si="98"/>
        <v>3692300</v>
      </c>
      <c r="M122" s="418">
        <f t="shared" si="98"/>
        <v>3254200</v>
      </c>
      <c r="N122" s="419">
        <f t="shared" si="98"/>
        <v>7069900</v>
      </c>
      <c r="O122" s="417">
        <f t="shared" si="98"/>
        <v>8270200</v>
      </c>
      <c r="P122" s="422">
        <f t="shared" si="98"/>
        <v>-1200300</v>
      </c>
      <c r="Q122" s="421">
        <f t="shared" si="98"/>
        <v>6370500</v>
      </c>
      <c r="R122" s="417">
        <f t="shared" si="98"/>
        <v>4353900</v>
      </c>
      <c r="S122" s="1586">
        <f t="shared" si="98"/>
        <v>2016600</v>
      </c>
      <c r="T122" s="421">
        <f t="shared" si="98"/>
        <v>5236900</v>
      </c>
      <c r="U122" s="417">
        <f t="shared" si="98"/>
        <v>2368600</v>
      </c>
      <c r="V122" s="421">
        <f t="shared" si="98"/>
        <v>2868300</v>
      </c>
      <c r="W122" s="1745">
        <f t="shared" si="98"/>
        <v>4747400</v>
      </c>
      <c r="X122" s="417">
        <f t="shared" si="98"/>
        <v>2593400</v>
      </c>
      <c r="Y122" s="422">
        <f t="shared" si="98"/>
        <v>2154000</v>
      </c>
      <c r="Z122" s="1745">
        <f t="shared" si="98"/>
        <v>5104600</v>
      </c>
      <c r="AA122" s="417">
        <f t="shared" si="98"/>
        <v>3725900</v>
      </c>
      <c r="AB122" s="422">
        <f t="shared" si="98"/>
        <v>1378700</v>
      </c>
      <c r="AC122" s="421">
        <f t="shared" si="98"/>
        <v>5986100</v>
      </c>
      <c r="AD122" s="417">
        <f t="shared" si="98"/>
        <v>3745300</v>
      </c>
      <c r="AE122" s="421">
        <f t="shared" si="98"/>
        <v>2240800</v>
      </c>
      <c r="AF122" s="1745">
        <f t="shared" si="98"/>
        <v>6072200</v>
      </c>
      <c r="AG122" s="417">
        <f t="shared" si="98"/>
        <v>4486700</v>
      </c>
      <c r="AH122" s="422">
        <f t="shared" si="98"/>
        <v>1585500</v>
      </c>
      <c r="AI122" s="421">
        <f t="shared" si="98"/>
        <v>6207500</v>
      </c>
      <c r="AJ122" s="417">
        <f t="shared" si="98"/>
        <v>4568200</v>
      </c>
      <c r="AK122" s="1586">
        <f t="shared" si="98"/>
        <v>1639300</v>
      </c>
    </row>
    <row r="123" spans="1:48" s="74" customFormat="1" ht="13.5" thickTop="1" x14ac:dyDescent="0.2">
      <c r="A123" s="2275"/>
      <c r="B123" s="128"/>
      <c r="C123" s="382"/>
      <c r="D123" s="400"/>
      <c r="E123" s="128"/>
      <c r="F123" s="64"/>
      <c r="G123" s="400"/>
      <c r="H123" s="185"/>
      <c r="I123" s="64"/>
      <c r="J123" s="400"/>
      <c r="K123" s="185"/>
      <c r="L123" s="64"/>
      <c r="M123" s="400"/>
      <c r="N123" s="128"/>
      <c r="O123" s="64"/>
      <c r="P123" s="117"/>
      <c r="R123" s="64"/>
      <c r="S123" s="115"/>
      <c r="U123" s="64"/>
      <c r="W123" s="1747"/>
      <c r="X123" s="64"/>
      <c r="Y123" s="117"/>
      <c r="Z123" s="1747"/>
      <c r="AA123" s="64"/>
      <c r="AB123" s="117"/>
      <c r="AD123" s="64"/>
      <c r="AF123" s="1747"/>
      <c r="AG123" s="64"/>
      <c r="AH123" s="117"/>
      <c r="AJ123" s="64"/>
      <c r="AK123" s="115"/>
    </row>
    <row r="124" spans="1:48" s="340" customFormat="1" x14ac:dyDescent="0.2">
      <c r="A124" s="2276" t="s">
        <v>3303</v>
      </c>
      <c r="B124" s="336"/>
      <c r="C124" s="152"/>
      <c r="D124" s="335"/>
      <c r="E124" s="336"/>
      <c r="F124" s="334"/>
      <c r="G124" s="335"/>
      <c r="H124" s="626"/>
      <c r="I124" s="334"/>
      <c r="J124" s="335"/>
      <c r="K124" s="626"/>
      <c r="L124" s="334"/>
      <c r="M124" s="335"/>
      <c r="N124" s="336"/>
      <c r="O124" s="334"/>
      <c r="P124" s="339"/>
      <c r="Q124" s="338"/>
      <c r="R124" s="334"/>
      <c r="S124" s="1585"/>
      <c r="T124" s="338"/>
      <c r="U124" s="334"/>
      <c r="V124" s="338"/>
      <c r="W124" s="1746"/>
      <c r="X124" s="334"/>
      <c r="Y124" s="339"/>
      <c r="Z124" s="1746"/>
      <c r="AA124" s="334"/>
      <c r="AB124" s="339"/>
      <c r="AC124" s="338"/>
      <c r="AD124" s="334"/>
      <c r="AE124" s="338"/>
      <c r="AF124" s="1746"/>
      <c r="AG124" s="334"/>
      <c r="AH124" s="339"/>
      <c r="AI124" s="338"/>
      <c r="AJ124" s="334"/>
      <c r="AK124" s="1585"/>
    </row>
    <row r="125" spans="1:48" s="340" customFormat="1" x14ac:dyDescent="0.2">
      <c r="A125" s="2278"/>
      <c r="B125" s="336"/>
      <c r="C125" s="152"/>
      <c r="D125" s="335"/>
      <c r="E125" s="336"/>
      <c r="F125" s="334"/>
      <c r="G125" s="335"/>
      <c r="H125" s="626"/>
      <c r="I125" s="334"/>
      <c r="J125" s="335"/>
      <c r="K125" s="626"/>
      <c r="L125" s="334"/>
      <c r="M125" s="335"/>
      <c r="N125" s="336"/>
      <c r="O125" s="334"/>
      <c r="P125" s="339"/>
      <c r="Q125" s="338"/>
      <c r="R125" s="334"/>
      <c r="S125" s="1585"/>
      <c r="T125" s="338"/>
      <c r="U125" s="334"/>
      <c r="V125" s="338"/>
      <c r="W125" s="1746"/>
      <c r="X125" s="334"/>
      <c r="Y125" s="339"/>
      <c r="Z125" s="1746"/>
      <c r="AA125" s="334"/>
      <c r="AB125" s="339"/>
      <c r="AC125" s="338"/>
      <c r="AD125" s="334"/>
      <c r="AE125" s="338"/>
      <c r="AF125" s="1746"/>
      <c r="AG125" s="334"/>
      <c r="AH125" s="339"/>
      <c r="AI125" s="338"/>
      <c r="AJ125" s="334"/>
      <c r="AK125" s="1585"/>
    </row>
    <row r="126" spans="1:48" s="340" customFormat="1" x14ac:dyDescent="0.2">
      <c r="A126" s="2279" t="s">
        <v>1259</v>
      </c>
      <c r="B126" s="336"/>
      <c r="C126" s="152"/>
      <c r="D126" s="335"/>
      <c r="E126" s="336"/>
      <c r="F126" s="334"/>
      <c r="G126" s="335"/>
      <c r="H126" s="626"/>
      <c r="I126" s="334"/>
      <c r="J126" s="335"/>
      <c r="K126" s="626"/>
      <c r="L126" s="334"/>
      <c r="M126" s="335"/>
      <c r="N126" s="336"/>
      <c r="O126" s="334"/>
      <c r="P126" s="339"/>
      <c r="Q126" s="338"/>
      <c r="R126" s="334"/>
      <c r="S126" s="1585"/>
      <c r="T126" s="338"/>
      <c r="U126" s="334"/>
      <c r="V126" s="338"/>
      <c r="W126" s="1746"/>
      <c r="X126" s="334"/>
      <c r="Y126" s="339"/>
      <c r="Z126" s="1746"/>
      <c r="AA126" s="334"/>
      <c r="AB126" s="339"/>
      <c r="AC126" s="338"/>
      <c r="AD126" s="334"/>
      <c r="AE126" s="338"/>
      <c r="AF126" s="1746"/>
      <c r="AG126" s="334"/>
      <c r="AH126" s="339"/>
      <c r="AI126" s="338"/>
      <c r="AJ126" s="334"/>
      <c r="AK126" s="1585"/>
    </row>
    <row r="127" spans="1:48" s="340" customFormat="1" x14ac:dyDescent="0.2">
      <c r="A127" s="2277" t="s">
        <v>6781</v>
      </c>
      <c r="B127" s="130">
        <v>50000</v>
      </c>
      <c r="C127" s="152"/>
      <c r="D127" s="129">
        <f>B127-C127</f>
        <v>50000</v>
      </c>
      <c r="E127" s="130">
        <f>50000+50000</f>
        <v>100000</v>
      </c>
      <c r="F127" s="334"/>
      <c r="G127" s="825">
        <f>E127-F127</f>
        <v>100000</v>
      </c>
      <c r="H127" s="626"/>
      <c r="I127" s="334"/>
      <c r="J127" s="335"/>
      <c r="K127" s="626"/>
      <c r="L127" s="334"/>
      <c r="M127" s="335"/>
      <c r="N127" s="336"/>
      <c r="O127" s="334"/>
      <c r="P127" s="339"/>
      <c r="Q127" s="338"/>
      <c r="R127" s="334"/>
      <c r="S127" s="1585"/>
      <c r="T127" s="338"/>
      <c r="U127" s="334"/>
      <c r="V127" s="338"/>
      <c r="W127" s="1746"/>
      <c r="X127" s="334"/>
      <c r="Y127" s="339"/>
      <c r="Z127" s="1746"/>
      <c r="AA127" s="334"/>
      <c r="AB127" s="339"/>
      <c r="AC127" s="338"/>
      <c r="AD127" s="334"/>
      <c r="AE127" s="338"/>
      <c r="AF127" s="1746"/>
      <c r="AG127" s="334"/>
      <c r="AH127" s="339"/>
      <c r="AI127" s="338"/>
      <c r="AJ127" s="334"/>
      <c r="AK127" s="1585"/>
    </row>
    <row r="128" spans="1:48" s="340" customFormat="1" x14ac:dyDescent="0.2">
      <c r="A128" s="2278"/>
      <c r="B128" s="336"/>
      <c r="C128" s="152"/>
      <c r="D128" s="335"/>
      <c r="E128" s="336"/>
      <c r="F128" s="334"/>
      <c r="G128" s="335"/>
      <c r="H128" s="626"/>
      <c r="I128" s="334"/>
      <c r="J128" s="335"/>
      <c r="K128" s="626"/>
      <c r="L128" s="334"/>
      <c r="M128" s="335"/>
      <c r="N128" s="336"/>
      <c r="O128" s="334"/>
      <c r="P128" s="339"/>
      <c r="Q128" s="338"/>
      <c r="R128" s="334"/>
      <c r="S128" s="1585"/>
      <c r="T128" s="338"/>
      <c r="U128" s="334"/>
      <c r="V128" s="338"/>
      <c r="W128" s="1746"/>
      <c r="X128" s="334"/>
      <c r="Y128" s="339"/>
      <c r="Z128" s="1746"/>
      <c r="AA128" s="334"/>
      <c r="AB128" s="339"/>
      <c r="AC128" s="338"/>
      <c r="AD128" s="334"/>
      <c r="AE128" s="338"/>
      <c r="AF128" s="1746"/>
      <c r="AG128" s="334"/>
      <c r="AH128" s="339"/>
      <c r="AI128" s="338"/>
      <c r="AJ128" s="334"/>
      <c r="AK128" s="1585"/>
    </row>
    <row r="129" spans="1:37" s="340" customFormat="1" x14ac:dyDescent="0.2">
      <c r="A129" s="2279" t="s">
        <v>3193</v>
      </c>
      <c r="B129" s="336"/>
      <c r="C129" s="152"/>
      <c r="D129" s="335"/>
      <c r="E129" s="336"/>
      <c r="F129" s="334"/>
      <c r="G129" s="335"/>
      <c r="H129" s="626"/>
      <c r="I129" s="334"/>
      <c r="J129" s="335"/>
      <c r="K129" s="626"/>
      <c r="L129" s="334"/>
      <c r="M129" s="335"/>
      <c r="N129" s="336"/>
      <c r="O129" s="334"/>
      <c r="P129" s="339"/>
      <c r="Q129" s="338"/>
      <c r="R129" s="334"/>
      <c r="S129" s="1585"/>
      <c r="T129" s="338"/>
      <c r="U129" s="334"/>
      <c r="V129" s="338"/>
      <c r="W129" s="1746"/>
      <c r="X129" s="334"/>
      <c r="Y129" s="339"/>
      <c r="Z129" s="1746"/>
      <c r="AA129" s="334"/>
      <c r="AB129" s="339"/>
      <c r="AC129" s="338"/>
      <c r="AD129" s="334"/>
      <c r="AE129" s="338"/>
      <c r="AF129" s="1746"/>
      <c r="AG129" s="334"/>
      <c r="AH129" s="339"/>
      <c r="AI129" s="338"/>
      <c r="AJ129" s="334"/>
      <c r="AK129" s="1585"/>
    </row>
    <row r="130" spans="1:37" s="340" customFormat="1" x14ac:dyDescent="0.2">
      <c r="A130" s="2277" t="s">
        <v>4176</v>
      </c>
      <c r="B130" s="130">
        <f>20000+8000</f>
        <v>28000</v>
      </c>
      <c r="C130" s="189">
        <v>15000</v>
      </c>
      <c r="D130" s="129">
        <f>B130-C130</f>
        <v>13000</v>
      </c>
      <c r="E130" s="142"/>
      <c r="F130" s="33">
        <f>19700-15000+8000+20000</f>
        <v>32700</v>
      </c>
      <c r="G130" s="129">
        <f>E130-F130</f>
        <v>-32700</v>
      </c>
      <c r="H130" s="186"/>
      <c r="I130" s="33"/>
      <c r="J130" s="129"/>
      <c r="K130" s="626"/>
      <c r="L130" s="334"/>
      <c r="M130" s="335"/>
      <c r="N130" s="336"/>
      <c r="O130" s="334"/>
      <c r="P130" s="339"/>
      <c r="Q130" s="338"/>
      <c r="R130" s="334"/>
      <c r="S130" s="1585"/>
      <c r="T130" s="338"/>
      <c r="U130" s="334"/>
      <c r="V130" s="338"/>
      <c r="W130" s="1746"/>
      <c r="X130" s="334"/>
      <c r="Y130" s="339"/>
      <c r="Z130" s="1746"/>
      <c r="AA130" s="334"/>
      <c r="AB130" s="339"/>
      <c r="AC130" s="338"/>
      <c r="AD130" s="334"/>
      <c r="AE130" s="338"/>
      <c r="AF130" s="1746"/>
      <c r="AG130" s="334"/>
      <c r="AH130" s="339"/>
      <c r="AI130" s="338"/>
      <c r="AJ130" s="334"/>
      <c r="AK130" s="1585"/>
    </row>
    <row r="131" spans="1:37" hidden="1" x14ac:dyDescent="0.2">
      <c r="A131" s="2277" t="s">
        <v>6791</v>
      </c>
      <c r="B131" s="189"/>
      <c r="C131" s="189">
        <v>27000</v>
      </c>
      <c r="D131" s="129">
        <f t="shared" ref="D131" si="99">B131-C131</f>
        <v>-27000</v>
      </c>
      <c r="E131" s="142"/>
      <c r="F131" s="33"/>
      <c r="G131" s="129"/>
      <c r="H131" s="186"/>
      <c r="I131" s="33"/>
      <c r="J131" s="129"/>
      <c r="K131" s="1841"/>
      <c r="L131" s="187"/>
      <c r="M131" s="375"/>
      <c r="N131" s="189"/>
      <c r="O131" s="187"/>
      <c r="P131" s="2204"/>
      <c r="Q131" s="198"/>
      <c r="R131" s="187"/>
      <c r="S131" s="188"/>
      <c r="T131" s="198"/>
      <c r="U131" s="187"/>
      <c r="V131" s="198"/>
      <c r="W131" s="2208"/>
      <c r="X131" s="187"/>
      <c r="Y131" s="2204"/>
      <c r="Z131" s="2208"/>
      <c r="AA131" s="187"/>
      <c r="AB131" s="2204"/>
      <c r="AC131" s="198"/>
      <c r="AD131" s="187"/>
      <c r="AE131" s="198"/>
      <c r="AF131" s="2208"/>
      <c r="AG131" s="187"/>
      <c r="AH131" s="2204"/>
      <c r="AI131" s="198"/>
      <c r="AJ131" s="187"/>
      <c r="AK131" s="188"/>
    </row>
    <row r="132" spans="1:37" ht="13.5" thickBot="1" x14ac:dyDescent="0.25">
      <c r="A132" s="2278"/>
      <c r="B132" s="142"/>
      <c r="C132" s="152"/>
      <c r="D132" s="129"/>
      <c r="E132" s="142"/>
      <c r="F132" s="33"/>
      <c r="G132" s="129"/>
      <c r="H132" s="186"/>
      <c r="I132" s="33"/>
      <c r="J132" s="129"/>
      <c r="K132" s="186"/>
      <c r="L132" s="33"/>
      <c r="M132" s="129"/>
      <c r="N132" s="142"/>
      <c r="O132" s="33"/>
      <c r="P132" s="102"/>
      <c r="Q132" s="99"/>
      <c r="R132" s="33"/>
      <c r="S132" s="114"/>
      <c r="T132" s="99"/>
      <c r="U132" s="33"/>
      <c r="V132" s="99"/>
      <c r="W132" s="502"/>
      <c r="X132" s="33"/>
      <c r="Y132" s="102"/>
      <c r="Z132" s="502"/>
      <c r="AA132" s="33"/>
      <c r="AB132" s="102"/>
      <c r="AC132" s="99"/>
      <c r="AD132" s="33"/>
      <c r="AE132" s="99"/>
      <c r="AF132" s="502"/>
      <c r="AG132" s="33"/>
      <c r="AH132" s="102"/>
      <c r="AI132" s="99"/>
      <c r="AJ132" s="33"/>
      <c r="AK132" s="114"/>
    </row>
    <row r="133" spans="1:37" s="92" customFormat="1" ht="14.25" thickTop="1" thickBot="1" x14ac:dyDescent="0.25">
      <c r="A133" s="2280" t="s">
        <v>3250</v>
      </c>
      <c r="B133" s="424">
        <f t="shared" ref="B133:AH133" si="100">SUBTOTAL(9,B125:B132)</f>
        <v>78000</v>
      </c>
      <c r="C133" s="2632">
        <f t="shared" si="100"/>
        <v>42000</v>
      </c>
      <c r="D133" s="418">
        <f t="shared" si="100"/>
        <v>36000</v>
      </c>
      <c r="E133" s="419">
        <f t="shared" si="100"/>
        <v>100000</v>
      </c>
      <c r="F133" s="417">
        <f t="shared" si="100"/>
        <v>32700</v>
      </c>
      <c r="G133" s="418">
        <f t="shared" si="100"/>
        <v>67300</v>
      </c>
      <c r="H133" s="424">
        <f t="shared" si="100"/>
        <v>0</v>
      </c>
      <c r="I133" s="417">
        <f t="shared" si="100"/>
        <v>0</v>
      </c>
      <c r="J133" s="418">
        <f t="shared" si="100"/>
        <v>0</v>
      </c>
      <c r="K133" s="424">
        <f t="shared" si="100"/>
        <v>0</v>
      </c>
      <c r="L133" s="417">
        <f t="shared" si="100"/>
        <v>0</v>
      </c>
      <c r="M133" s="418">
        <f t="shared" si="100"/>
        <v>0</v>
      </c>
      <c r="N133" s="419">
        <f t="shared" si="100"/>
        <v>0</v>
      </c>
      <c r="O133" s="417">
        <f t="shared" si="100"/>
        <v>0</v>
      </c>
      <c r="P133" s="422">
        <f t="shared" si="100"/>
        <v>0</v>
      </c>
      <c r="Q133" s="421">
        <f t="shared" si="100"/>
        <v>0</v>
      </c>
      <c r="R133" s="417">
        <f t="shared" si="100"/>
        <v>0</v>
      </c>
      <c r="S133" s="1586">
        <f t="shared" si="100"/>
        <v>0</v>
      </c>
      <c r="T133" s="421">
        <f t="shared" si="100"/>
        <v>0</v>
      </c>
      <c r="U133" s="417">
        <f t="shared" si="100"/>
        <v>0</v>
      </c>
      <c r="V133" s="421">
        <f t="shared" si="100"/>
        <v>0</v>
      </c>
      <c r="W133" s="1745">
        <f t="shared" si="100"/>
        <v>0</v>
      </c>
      <c r="X133" s="417">
        <f t="shared" si="100"/>
        <v>0</v>
      </c>
      <c r="Y133" s="422">
        <f t="shared" si="100"/>
        <v>0</v>
      </c>
      <c r="Z133" s="1745">
        <f t="shared" si="100"/>
        <v>0</v>
      </c>
      <c r="AA133" s="417">
        <f t="shared" si="100"/>
        <v>0</v>
      </c>
      <c r="AB133" s="422">
        <f t="shared" si="100"/>
        <v>0</v>
      </c>
      <c r="AC133" s="421">
        <f t="shared" si="100"/>
        <v>0</v>
      </c>
      <c r="AD133" s="417">
        <f t="shared" si="100"/>
        <v>0</v>
      </c>
      <c r="AE133" s="421">
        <f t="shared" si="100"/>
        <v>0</v>
      </c>
      <c r="AF133" s="1745">
        <f t="shared" si="100"/>
        <v>0</v>
      </c>
      <c r="AG133" s="417">
        <f t="shared" si="100"/>
        <v>0</v>
      </c>
      <c r="AH133" s="422">
        <f t="shared" si="100"/>
        <v>0</v>
      </c>
      <c r="AI133" s="421">
        <f t="shared" ref="AI133:AK133" si="101">SUBTOTAL(9,AI125:AI132)</f>
        <v>0</v>
      </c>
      <c r="AJ133" s="417">
        <f t="shared" si="101"/>
        <v>0</v>
      </c>
      <c r="AK133" s="1586">
        <f t="shared" si="101"/>
        <v>0</v>
      </c>
    </row>
    <row r="134" spans="1:37" s="92" customFormat="1" ht="13.5" thickTop="1" x14ac:dyDescent="0.2">
      <c r="A134" s="2275"/>
      <c r="B134" s="128"/>
      <c r="C134" s="382"/>
      <c r="D134" s="400"/>
      <c r="E134" s="128"/>
      <c r="F134" s="64"/>
      <c r="G134" s="400"/>
      <c r="H134" s="185"/>
      <c r="I134" s="64"/>
      <c r="J134" s="400"/>
      <c r="K134" s="185"/>
      <c r="L134" s="64"/>
      <c r="M134" s="400"/>
      <c r="N134" s="128"/>
      <c r="O134" s="64"/>
      <c r="P134" s="117"/>
      <c r="Q134" s="74"/>
      <c r="R134" s="64"/>
      <c r="S134" s="115"/>
      <c r="T134" s="74"/>
      <c r="U134" s="64"/>
      <c r="V134" s="74"/>
      <c r="W134" s="1747"/>
      <c r="X134" s="64"/>
      <c r="Y134" s="117"/>
      <c r="Z134" s="1747"/>
      <c r="AA134" s="64"/>
      <c r="AB134" s="117"/>
      <c r="AC134" s="74"/>
      <c r="AD134" s="64"/>
      <c r="AE134" s="74"/>
      <c r="AF134" s="1747"/>
      <c r="AG134" s="64"/>
      <c r="AH134" s="117"/>
      <c r="AI134" s="74"/>
      <c r="AJ134" s="64"/>
      <c r="AK134" s="115"/>
    </row>
    <row r="135" spans="1:37" x14ac:dyDescent="0.2">
      <c r="A135" s="2281" t="s">
        <v>143</v>
      </c>
      <c r="B135" s="142"/>
      <c r="C135" s="150"/>
      <c r="D135" s="129"/>
      <c r="E135" s="142"/>
      <c r="F135" s="33"/>
      <c r="G135" s="129"/>
      <c r="H135" s="186"/>
      <c r="I135" s="33"/>
      <c r="J135" s="129"/>
      <c r="K135" s="186"/>
      <c r="L135" s="33"/>
      <c r="M135" s="129"/>
      <c r="N135" s="142"/>
      <c r="O135" s="33"/>
      <c r="P135" s="102"/>
      <c r="Q135" s="99"/>
      <c r="R135" s="33"/>
      <c r="S135" s="114"/>
      <c r="T135" s="99"/>
      <c r="U135" s="33"/>
      <c r="V135" s="99"/>
      <c r="W135" s="502"/>
      <c r="X135" s="33"/>
      <c r="Y135" s="102"/>
      <c r="Z135" s="502"/>
      <c r="AA135" s="33"/>
      <c r="AB135" s="102"/>
      <c r="AC135" s="99"/>
      <c r="AD135" s="33"/>
      <c r="AE135" s="99"/>
      <c r="AF135" s="502"/>
      <c r="AG135" s="33"/>
      <c r="AH135" s="102"/>
      <c r="AI135" s="99"/>
      <c r="AJ135" s="33"/>
      <c r="AK135" s="114"/>
    </row>
    <row r="136" spans="1:37" x14ac:dyDescent="0.2">
      <c r="A136" s="2281"/>
      <c r="B136" s="142"/>
      <c r="C136" s="150"/>
      <c r="D136" s="129"/>
      <c r="E136" s="142"/>
      <c r="F136" s="33"/>
      <c r="G136" s="129"/>
      <c r="H136" s="186"/>
      <c r="I136" s="33"/>
      <c r="J136" s="129"/>
      <c r="K136" s="186"/>
      <c r="L136" s="33"/>
      <c r="M136" s="129"/>
      <c r="N136" s="142"/>
      <c r="O136" s="33"/>
      <c r="P136" s="102"/>
      <c r="Q136" s="99"/>
      <c r="R136" s="33"/>
      <c r="S136" s="114"/>
      <c r="T136" s="99"/>
      <c r="U136" s="33"/>
      <c r="V136" s="99"/>
      <c r="W136" s="502"/>
      <c r="X136" s="33"/>
      <c r="Y136" s="102"/>
      <c r="Z136" s="502"/>
      <c r="AA136" s="33"/>
      <c r="AB136" s="102"/>
      <c r="AC136" s="99"/>
      <c r="AD136" s="33"/>
      <c r="AE136" s="99"/>
      <c r="AF136" s="502"/>
      <c r="AG136" s="33"/>
      <c r="AH136" s="102"/>
      <c r="AI136" s="99"/>
      <c r="AJ136" s="33"/>
      <c r="AK136" s="114"/>
    </row>
    <row r="137" spans="1:37" x14ac:dyDescent="0.2">
      <c r="A137" s="2279" t="s">
        <v>572</v>
      </c>
      <c r="B137" s="142"/>
      <c r="C137" s="150"/>
      <c r="D137" s="129"/>
      <c r="E137" s="142"/>
      <c r="F137" s="33"/>
      <c r="G137" s="129"/>
      <c r="H137" s="186"/>
      <c r="I137" s="33"/>
      <c r="J137" s="129"/>
      <c r="K137" s="186"/>
      <c r="L137" s="33"/>
      <c r="M137" s="129"/>
      <c r="N137" s="142"/>
      <c r="O137" s="33"/>
      <c r="P137" s="102"/>
      <c r="Q137" s="99"/>
      <c r="R137" s="33"/>
      <c r="S137" s="114"/>
      <c r="T137" s="99"/>
      <c r="U137" s="33"/>
      <c r="V137" s="99"/>
      <c r="W137" s="502"/>
      <c r="X137" s="33"/>
      <c r="Y137" s="102"/>
      <c r="Z137" s="502"/>
      <c r="AA137" s="33"/>
      <c r="AB137" s="102"/>
      <c r="AC137" s="99"/>
      <c r="AD137" s="33"/>
      <c r="AE137" s="99"/>
      <c r="AF137" s="502"/>
      <c r="AG137" s="33"/>
      <c r="AH137" s="102"/>
      <c r="AI137" s="99"/>
      <c r="AJ137" s="33"/>
      <c r="AK137" s="114"/>
    </row>
    <row r="138" spans="1:37" hidden="1" x14ac:dyDescent="0.2">
      <c r="A138" s="2277" t="s">
        <v>4021</v>
      </c>
      <c r="B138" s="142">
        <v>19000</v>
      </c>
      <c r="C138" s="150"/>
      <c r="D138" s="129">
        <f>B138-C138</f>
        <v>19000</v>
      </c>
      <c r="E138" s="142"/>
      <c r="F138" s="33"/>
      <c r="G138" s="129"/>
      <c r="H138" s="186"/>
      <c r="I138" s="33"/>
      <c r="J138" s="129"/>
      <c r="K138" s="186"/>
      <c r="L138" s="33"/>
      <c r="M138" s="129"/>
      <c r="N138" s="142"/>
      <c r="O138" s="33"/>
      <c r="P138" s="102"/>
      <c r="Q138" s="99"/>
      <c r="R138" s="33"/>
      <c r="S138" s="114"/>
      <c r="T138" s="99"/>
      <c r="U138" s="33"/>
      <c r="V138" s="99"/>
      <c r="W138" s="502"/>
      <c r="X138" s="33"/>
      <c r="Y138" s="102"/>
      <c r="Z138" s="502"/>
      <c r="AA138" s="33"/>
      <c r="AB138" s="102"/>
      <c r="AC138" s="99"/>
      <c r="AD138" s="33"/>
      <c r="AE138" s="99"/>
      <c r="AF138" s="502"/>
      <c r="AG138" s="33"/>
      <c r="AH138" s="102"/>
      <c r="AI138" s="99"/>
      <c r="AJ138" s="33"/>
      <c r="AK138" s="114"/>
    </row>
    <row r="139" spans="1:37" hidden="1" x14ac:dyDescent="0.2">
      <c r="A139" s="2277" t="s">
        <v>566</v>
      </c>
      <c r="B139" s="186">
        <v>8000</v>
      </c>
      <c r="C139" s="152"/>
      <c r="D139" s="129">
        <f t="shared" ref="D139" si="102">B139-C139</f>
        <v>8000</v>
      </c>
      <c r="E139" s="142"/>
      <c r="F139" s="33"/>
      <c r="G139" s="129"/>
      <c r="H139" s="142"/>
      <c r="I139" s="33"/>
      <c r="J139" s="129"/>
      <c r="K139" s="186"/>
      <c r="L139" s="33"/>
      <c r="M139" s="129"/>
      <c r="N139" s="142"/>
      <c r="O139" s="33"/>
      <c r="P139" s="102"/>
      <c r="Q139" s="99"/>
      <c r="R139" s="33"/>
      <c r="S139" s="114"/>
      <c r="T139" s="99"/>
      <c r="U139" s="33"/>
      <c r="V139" s="99"/>
      <c r="W139" s="502"/>
      <c r="X139" s="33"/>
      <c r="Y139" s="102"/>
      <c r="Z139" s="502"/>
      <c r="AA139" s="33"/>
      <c r="AB139" s="102"/>
      <c r="AC139" s="99"/>
      <c r="AD139" s="33"/>
      <c r="AE139" s="99"/>
      <c r="AF139" s="502"/>
      <c r="AG139" s="33"/>
      <c r="AH139" s="102"/>
      <c r="AI139" s="99"/>
      <c r="AJ139" s="33"/>
      <c r="AK139" s="114"/>
    </row>
    <row r="140" spans="1:37" x14ac:dyDescent="0.2">
      <c r="A140" s="2277" t="s">
        <v>4941</v>
      </c>
      <c r="B140" s="186"/>
      <c r="C140" s="152"/>
      <c r="D140" s="129"/>
      <c r="E140" s="142">
        <v>10000</v>
      </c>
      <c r="F140" s="33"/>
      <c r="G140" s="129">
        <f t="shared" ref="G140:G152" si="103">E140-F140</f>
        <v>10000</v>
      </c>
      <c r="H140" s="142">
        <f>E140</f>
        <v>10000</v>
      </c>
      <c r="I140" s="33"/>
      <c r="J140" s="129">
        <f t="shared" ref="J140" si="104">H140-I140</f>
        <v>10000</v>
      </c>
      <c r="K140" s="186">
        <f>H140</f>
        <v>10000</v>
      </c>
      <c r="L140" s="33"/>
      <c r="M140" s="129">
        <f t="shared" ref="M140" si="105">K140-L140</f>
        <v>10000</v>
      </c>
      <c r="N140" s="142">
        <f>K140</f>
        <v>10000</v>
      </c>
      <c r="O140" s="33"/>
      <c r="P140" s="102">
        <f t="shared" ref="P140" si="106">N140-O140</f>
        <v>10000</v>
      </c>
      <c r="Q140" s="99">
        <f>N140</f>
        <v>10000</v>
      </c>
      <c r="R140" s="33"/>
      <c r="S140" s="114">
        <f t="shared" ref="S140" si="107">Q140-R140</f>
        <v>10000</v>
      </c>
      <c r="T140" s="99">
        <f>Q140</f>
        <v>10000</v>
      </c>
      <c r="U140" s="33">
        <f>'Cap-Gen'!J78</f>
        <v>60000</v>
      </c>
      <c r="V140" s="99">
        <f t="shared" ref="V140" si="108">T140-U140</f>
        <v>-50000</v>
      </c>
      <c r="W140" s="502">
        <f>T140</f>
        <v>10000</v>
      </c>
      <c r="X140" s="33"/>
      <c r="Y140" s="102">
        <f t="shared" ref="Y140" si="109">W140-X140</f>
        <v>10000</v>
      </c>
      <c r="Z140" s="502">
        <f>W140</f>
        <v>10000</v>
      </c>
      <c r="AA140" s="33"/>
      <c r="AB140" s="102">
        <f t="shared" ref="AB140" si="110">Z140-AA140</f>
        <v>10000</v>
      </c>
      <c r="AC140" s="99">
        <f>Z140</f>
        <v>10000</v>
      </c>
      <c r="AD140" s="33"/>
      <c r="AE140" s="99">
        <f t="shared" ref="AE140" si="111">AC140-AD140</f>
        <v>10000</v>
      </c>
      <c r="AF140" s="502">
        <f>AC140</f>
        <v>10000</v>
      </c>
      <c r="AG140" s="33"/>
      <c r="AH140" s="102">
        <f t="shared" ref="AH140" si="112">AF140-AG140</f>
        <v>10000</v>
      </c>
      <c r="AI140" s="99">
        <f>AF140</f>
        <v>10000</v>
      </c>
      <c r="AJ140" s="33"/>
      <c r="AK140" s="114">
        <f t="shared" ref="AK140" si="113">AI140-AJ140</f>
        <v>10000</v>
      </c>
    </row>
    <row r="141" spans="1:37" x14ac:dyDescent="0.2">
      <c r="A141" s="2277"/>
      <c r="B141" s="142"/>
      <c r="C141" s="150"/>
      <c r="D141" s="321"/>
      <c r="E141" s="142"/>
      <c r="F141" s="33"/>
      <c r="G141" s="129"/>
      <c r="H141" s="186"/>
      <c r="I141" s="33"/>
      <c r="J141" s="129"/>
      <c r="K141" s="186"/>
      <c r="L141" s="33"/>
      <c r="M141" s="129"/>
      <c r="N141" s="142"/>
      <c r="O141" s="33"/>
      <c r="P141" s="102"/>
      <c r="Q141" s="99"/>
      <c r="R141" s="33"/>
      <c r="S141" s="114"/>
      <c r="T141" s="99"/>
      <c r="U141" s="33"/>
      <c r="V141" s="99"/>
      <c r="W141" s="502"/>
      <c r="X141" s="33"/>
      <c r="Y141" s="102"/>
      <c r="Z141" s="502"/>
      <c r="AA141" s="33"/>
      <c r="AB141" s="102"/>
      <c r="AC141" s="99"/>
      <c r="AD141" s="33"/>
      <c r="AE141" s="99"/>
      <c r="AF141" s="502"/>
      <c r="AG141" s="33"/>
      <c r="AH141" s="102"/>
      <c r="AI141" s="99"/>
      <c r="AJ141" s="33"/>
      <c r="AK141" s="114"/>
    </row>
    <row r="142" spans="1:37" x14ac:dyDescent="0.2">
      <c r="A142" s="2279" t="s">
        <v>3752</v>
      </c>
      <c r="B142" s="142"/>
      <c r="C142" s="150"/>
      <c r="D142" s="321"/>
      <c r="E142" s="142"/>
      <c r="F142" s="33"/>
      <c r="G142" s="129"/>
      <c r="H142" s="186"/>
      <c r="I142" s="33"/>
      <c r="J142" s="129"/>
      <c r="K142" s="186"/>
      <c r="L142" s="33"/>
      <c r="M142" s="129"/>
      <c r="N142" s="142"/>
      <c r="O142" s="33"/>
      <c r="P142" s="102"/>
      <c r="Q142" s="99"/>
      <c r="R142" s="33"/>
      <c r="S142" s="114"/>
      <c r="T142" s="99"/>
      <c r="U142" s="33"/>
      <c r="V142" s="99"/>
      <c r="W142" s="502"/>
      <c r="X142" s="33"/>
      <c r="Y142" s="102"/>
      <c r="Z142" s="502"/>
      <c r="AA142" s="33"/>
      <c r="AB142" s="102"/>
      <c r="AC142" s="99"/>
      <c r="AD142" s="33"/>
      <c r="AE142" s="99"/>
      <c r="AF142" s="502"/>
      <c r="AG142" s="33"/>
      <c r="AH142" s="102"/>
      <c r="AI142" s="99"/>
      <c r="AJ142" s="33"/>
      <c r="AK142" s="114"/>
    </row>
    <row r="143" spans="1:37" x14ac:dyDescent="0.2">
      <c r="A143" s="2277" t="s">
        <v>1409</v>
      </c>
      <c r="B143" s="142">
        <v>507200</v>
      </c>
      <c r="C143" s="150"/>
      <c r="D143" s="321">
        <f>B143-C143</f>
        <v>507200</v>
      </c>
      <c r="E143" s="142"/>
      <c r="F143" s="33">
        <v>499000</v>
      </c>
      <c r="G143" s="129">
        <f t="shared" si="103"/>
        <v>-499000</v>
      </c>
      <c r="H143" s="186"/>
      <c r="I143" s="33"/>
      <c r="J143" s="129"/>
      <c r="K143" s="186"/>
      <c r="L143" s="33"/>
      <c r="M143" s="129"/>
      <c r="N143" s="142"/>
      <c r="O143" s="33"/>
      <c r="P143" s="102"/>
      <c r="Q143" s="99"/>
      <c r="R143" s="33"/>
      <c r="S143" s="114"/>
      <c r="T143" s="99"/>
      <c r="U143" s="33"/>
      <c r="V143" s="99"/>
      <c r="W143" s="502"/>
      <c r="X143" s="33"/>
      <c r="Y143" s="102"/>
      <c r="Z143" s="502"/>
      <c r="AA143" s="33"/>
      <c r="AB143" s="102"/>
      <c r="AC143" s="99"/>
      <c r="AD143" s="33"/>
      <c r="AE143" s="99"/>
      <c r="AF143" s="502"/>
      <c r="AG143" s="33"/>
      <c r="AH143" s="102"/>
      <c r="AI143" s="99"/>
      <c r="AJ143" s="33"/>
      <c r="AK143" s="114"/>
    </row>
    <row r="144" spans="1:37" hidden="1" x14ac:dyDescent="0.2">
      <c r="A144" s="2277" t="s">
        <v>3140</v>
      </c>
      <c r="B144" s="142"/>
      <c r="C144" s="150">
        <f>15200</f>
        <v>15200</v>
      </c>
      <c r="D144" s="321">
        <f>B144-C144</f>
        <v>-15200</v>
      </c>
      <c r="E144" s="142"/>
      <c r="F144" s="33"/>
      <c r="G144" s="129"/>
      <c r="H144" s="186"/>
      <c r="I144" s="33"/>
      <c r="J144" s="129"/>
      <c r="K144" s="186"/>
      <c r="L144" s="33"/>
      <c r="M144" s="129"/>
      <c r="N144" s="142"/>
      <c r="O144" s="33"/>
      <c r="P144" s="102"/>
      <c r="Q144" s="99"/>
      <c r="R144" s="33"/>
      <c r="S144" s="114"/>
      <c r="T144" s="99"/>
      <c r="U144" s="33"/>
      <c r="V144" s="99"/>
      <c r="W144" s="502"/>
      <c r="X144" s="33"/>
      <c r="Y144" s="102"/>
      <c r="Z144" s="502"/>
      <c r="AA144" s="33"/>
      <c r="AB144" s="102"/>
      <c r="AC144" s="99"/>
      <c r="AD144" s="33"/>
      <c r="AE144" s="99"/>
      <c r="AF144" s="502"/>
      <c r="AG144" s="33"/>
      <c r="AH144" s="102"/>
      <c r="AI144" s="99"/>
      <c r="AJ144" s="33"/>
      <c r="AK144" s="114"/>
    </row>
    <row r="145" spans="1:37" x14ac:dyDescent="0.2">
      <c r="A145" s="2277" t="s">
        <v>4209</v>
      </c>
      <c r="B145" s="142">
        <v>10000</v>
      </c>
      <c r="C145" s="150">
        <f>190500-C144</f>
        <v>175300</v>
      </c>
      <c r="D145" s="321">
        <f t="shared" ref="D145" si="114">B145-C145</f>
        <v>-165300</v>
      </c>
      <c r="E145" s="142"/>
      <c r="F145" s="132">
        <f>10000+11200</f>
        <v>21200</v>
      </c>
      <c r="G145" s="129">
        <f t="shared" si="103"/>
        <v>-21200</v>
      </c>
      <c r="H145" s="186"/>
      <c r="I145" s="33"/>
      <c r="J145" s="129"/>
      <c r="K145" s="186"/>
      <c r="L145" s="33"/>
      <c r="M145" s="129"/>
      <c r="N145" s="142"/>
      <c r="O145" s="33"/>
      <c r="P145" s="102"/>
      <c r="Q145" s="99"/>
      <c r="R145" s="33"/>
      <c r="S145" s="114"/>
      <c r="T145" s="99"/>
      <c r="U145" s="33"/>
      <c r="V145" s="99"/>
      <c r="W145" s="502"/>
      <c r="X145" s="33"/>
      <c r="Y145" s="102"/>
      <c r="Z145" s="502"/>
      <c r="AA145" s="33"/>
      <c r="AB145" s="102"/>
      <c r="AC145" s="99"/>
      <c r="AD145" s="33"/>
      <c r="AE145" s="99"/>
      <c r="AF145" s="502"/>
      <c r="AG145" s="33"/>
      <c r="AH145" s="102"/>
      <c r="AI145" s="99"/>
      <c r="AJ145" s="33"/>
      <c r="AK145" s="114"/>
    </row>
    <row r="146" spans="1:37" x14ac:dyDescent="0.2">
      <c r="A146" s="2277"/>
      <c r="B146" s="142"/>
      <c r="C146" s="150"/>
      <c r="D146" s="129"/>
      <c r="E146" s="142"/>
      <c r="F146" s="33"/>
      <c r="G146" s="129"/>
      <c r="H146" s="186"/>
      <c r="I146" s="33"/>
      <c r="J146" s="129"/>
      <c r="K146" s="186"/>
      <c r="L146" s="33"/>
      <c r="M146" s="129"/>
      <c r="N146" s="142"/>
      <c r="O146" s="33"/>
      <c r="P146" s="102"/>
      <c r="Q146" s="99"/>
      <c r="R146" s="33"/>
      <c r="S146" s="114"/>
      <c r="T146" s="99"/>
      <c r="U146" s="33"/>
      <c r="V146" s="99"/>
      <c r="W146" s="502"/>
      <c r="X146" s="33"/>
      <c r="Y146" s="102"/>
      <c r="Z146" s="502"/>
      <c r="AA146" s="33"/>
      <c r="AB146" s="102"/>
      <c r="AC146" s="99"/>
      <c r="AD146" s="33"/>
      <c r="AE146" s="99"/>
      <c r="AF146" s="502"/>
      <c r="AG146" s="33"/>
      <c r="AH146" s="102"/>
      <c r="AI146" s="99"/>
      <c r="AJ146" s="33"/>
      <c r="AK146" s="114"/>
    </row>
    <row r="147" spans="1:37" x14ac:dyDescent="0.2">
      <c r="A147" s="2279" t="s">
        <v>3895</v>
      </c>
      <c r="B147" s="142"/>
      <c r="C147" s="150"/>
      <c r="D147" s="129"/>
      <c r="E147" s="142"/>
      <c r="F147" s="33"/>
      <c r="G147" s="129"/>
      <c r="H147" s="186"/>
      <c r="I147" s="33"/>
      <c r="J147" s="129"/>
      <c r="K147" s="186"/>
      <c r="L147" s="33"/>
      <c r="M147" s="129"/>
      <c r="N147" s="142"/>
      <c r="O147" s="33"/>
      <c r="P147" s="102"/>
      <c r="Q147" s="99"/>
      <c r="R147" s="33"/>
      <c r="S147" s="114"/>
      <c r="T147" s="99"/>
      <c r="U147" s="33"/>
      <c r="V147" s="99"/>
      <c r="W147" s="502"/>
      <c r="X147" s="33"/>
      <c r="Y147" s="102"/>
      <c r="Z147" s="502"/>
      <c r="AA147" s="33"/>
      <c r="AB147" s="102"/>
      <c r="AC147" s="99"/>
      <c r="AD147" s="33"/>
      <c r="AE147" s="99"/>
      <c r="AF147" s="502"/>
      <c r="AG147" s="33"/>
      <c r="AH147" s="102"/>
      <c r="AI147" s="99"/>
      <c r="AJ147" s="33"/>
      <c r="AK147" s="114"/>
    </row>
    <row r="148" spans="1:37" hidden="1" x14ac:dyDescent="0.2">
      <c r="A148" s="2277" t="s">
        <v>6817</v>
      </c>
      <c r="B148" s="142">
        <v>50000</v>
      </c>
      <c r="C148" s="150">
        <v>20600</v>
      </c>
      <c r="D148" s="321">
        <f>B148-C148</f>
        <v>29400</v>
      </c>
      <c r="E148" s="142"/>
      <c r="F148" s="33"/>
      <c r="G148" s="129"/>
      <c r="H148" s="186"/>
      <c r="I148" s="33"/>
      <c r="J148" s="129"/>
      <c r="K148" s="186"/>
      <c r="L148" s="33"/>
      <c r="M148" s="129"/>
      <c r="N148" s="142"/>
      <c r="O148" s="33"/>
      <c r="P148" s="102"/>
      <c r="Q148" s="99"/>
      <c r="R148" s="33"/>
      <c r="S148" s="114"/>
      <c r="T148" s="99"/>
      <c r="U148" s="33"/>
      <c r="V148" s="99"/>
      <c r="W148" s="502"/>
      <c r="X148" s="33"/>
      <c r="Y148" s="102"/>
      <c r="Z148" s="502"/>
      <c r="AA148" s="33"/>
      <c r="AB148" s="102"/>
      <c r="AC148" s="99"/>
      <c r="AD148" s="33"/>
      <c r="AE148" s="99"/>
      <c r="AF148" s="502"/>
      <c r="AG148" s="33"/>
      <c r="AH148" s="102"/>
      <c r="AI148" s="99"/>
      <c r="AJ148" s="33"/>
      <c r="AK148" s="114"/>
    </row>
    <row r="149" spans="1:37" x14ac:dyDescent="0.2">
      <c r="A149" s="2277" t="s">
        <v>6818</v>
      </c>
      <c r="B149" s="142">
        <v>71000</v>
      </c>
      <c r="C149" s="150"/>
      <c r="D149" s="321">
        <f>B149-C149</f>
        <v>71000</v>
      </c>
      <c r="E149" s="142"/>
      <c r="F149" s="33">
        <v>51000</v>
      </c>
      <c r="G149" s="129">
        <f t="shared" si="103"/>
        <v>-51000</v>
      </c>
      <c r="H149" s="186"/>
      <c r="I149" s="33"/>
      <c r="J149" s="129"/>
      <c r="K149" s="186"/>
      <c r="L149" s="33"/>
      <c r="M149" s="129"/>
      <c r="N149" s="142"/>
      <c r="O149" s="33"/>
      <c r="P149" s="102"/>
      <c r="Q149" s="99"/>
      <c r="R149" s="33"/>
      <c r="S149" s="114"/>
      <c r="T149" s="99"/>
      <c r="U149" s="33"/>
      <c r="V149" s="99"/>
      <c r="W149" s="502"/>
      <c r="X149" s="33"/>
      <c r="Y149" s="102"/>
      <c r="Z149" s="502"/>
      <c r="AA149" s="33"/>
      <c r="AB149" s="102"/>
      <c r="AC149" s="99"/>
      <c r="AD149" s="33"/>
      <c r="AE149" s="99"/>
      <c r="AF149" s="502"/>
      <c r="AG149" s="33"/>
      <c r="AH149" s="102"/>
      <c r="AI149" s="99"/>
      <c r="AJ149" s="33"/>
      <c r="AK149" s="114"/>
    </row>
    <row r="150" spans="1:37" x14ac:dyDescent="0.2">
      <c r="A150" s="2277" t="s">
        <v>5544</v>
      </c>
      <c r="B150" s="186"/>
      <c r="C150" s="150">
        <v>297600</v>
      </c>
      <c r="D150" s="321">
        <f>B150-C150</f>
        <v>-297600</v>
      </c>
      <c r="E150" s="142"/>
      <c r="F150" s="33">
        <f>15000+35000</f>
        <v>50000</v>
      </c>
      <c r="G150" s="129">
        <f t="shared" si="103"/>
        <v>-50000</v>
      </c>
      <c r="H150" s="186"/>
      <c r="I150" s="33"/>
      <c r="J150" s="129"/>
      <c r="K150" s="186"/>
      <c r="L150" s="33"/>
      <c r="M150" s="129"/>
      <c r="N150" s="142"/>
      <c r="O150" s="33"/>
      <c r="P150" s="102"/>
      <c r="Q150" s="99"/>
      <c r="R150" s="33"/>
      <c r="S150" s="114"/>
      <c r="T150" s="99"/>
      <c r="U150" s="33"/>
      <c r="V150" s="99"/>
      <c r="W150" s="502"/>
      <c r="X150" s="33"/>
      <c r="Y150" s="102"/>
      <c r="Z150" s="502"/>
      <c r="AA150" s="33"/>
      <c r="AB150" s="102"/>
      <c r="AC150" s="99"/>
      <c r="AD150" s="33"/>
      <c r="AE150" s="99"/>
      <c r="AF150" s="502"/>
      <c r="AG150" s="33"/>
      <c r="AH150" s="102"/>
      <c r="AI150" s="99"/>
      <c r="AJ150" s="33"/>
      <c r="AK150" s="114"/>
    </row>
    <row r="151" spans="1:37" hidden="1" x14ac:dyDescent="0.2">
      <c r="A151" s="2277" t="s">
        <v>5969</v>
      </c>
      <c r="B151" s="142"/>
      <c r="C151" s="150">
        <f>350000+46500+39300-39300</f>
        <v>396500</v>
      </c>
      <c r="D151" s="321">
        <f>B151-C151</f>
        <v>-396500</v>
      </c>
      <c r="E151" s="142"/>
      <c r="F151" s="33"/>
      <c r="G151" s="129"/>
      <c r="H151" s="186"/>
      <c r="I151" s="33"/>
      <c r="J151" s="129"/>
      <c r="K151" s="186"/>
      <c r="L151" s="33"/>
      <c r="M151" s="129"/>
      <c r="N151" s="142"/>
      <c r="O151" s="33"/>
      <c r="P151" s="102"/>
      <c r="Q151" s="99"/>
      <c r="R151" s="33"/>
      <c r="S151" s="114"/>
      <c r="T151" s="99"/>
      <c r="U151" s="33"/>
      <c r="V151" s="99"/>
      <c r="W151" s="502"/>
      <c r="X151" s="33"/>
      <c r="Y151" s="102"/>
      <c r="Z151" s="502"/>
      <c r="AA151" s="33"/>
      <c r="AB151" s="102"/>
      <c r="AC151" s="99"/>
      <c r="AD151" s="33"/>
      <c r="AE151" s="99"/>
      <c r="AF151" s="502"/>
      <c r="AG151" s="33"/>
      <c r="AH151" s="102"/>
      <c r="AI151" s="99"/>
      <c r="AJ151" s="33"/>
      <c r="AK151" s="114"/>
    </row>
    <row r="152" spans="1:37" x14ac:dyDescent="0.2">
      <c r="A152" s="2277" t="s">
        <v>2299</v>
      </c>
      <c r="B152" s="142">
        <v>60500</v>
      </c>
      <c r="C152" s="150"/>
      <c r="D152" s="321">
        <f>B152-C152</f>
        <v>60500</v>
      </c>
      <c r="E152" s="142"/>
      <c r="F152" s="33">
        <f>'Cap-Gen'!F93</f>
        <v>685500</v>
      </c>
      <c r="G152" s="129">
        <f t="shared" si="103"/>
        <v>-685500</v>
      </c>
      <c r="H152" s="186"/>
      <c r="I152" s="33"/>
      <c r="J152" s="129"/>
      <c r="K152" s="186"/>
      <c r="L152" s="33"/>
      <c r="M152" s="129"/>
      <c r="N152" s="142"/>
      <c r="O152" s="33"/>
      <c r="P152" s="102"/>
      <c r="Q152" s="99"/>
      <c r="R152" s="33"/>
      <c r="S152" s="114"/>
      <c r="T152" s="99"/>
      <c r="U152" s="33"/>
      <c r="V152" s="99"/>
      <c r="W152" s="502"/>
      <c r="X152" s="33"/>
      <c r="Y152" s="102"/>
      <c r="Z152" s="502"/>
      <c r="AA152" s="33"/>
      <c r="AB152" s="102"/>
      <c r="AC152" s="99"/>
      <c r="AD152" s="33"/>
      <c r="AE152" s="99"/>
      <c r="AF152" s="502"/>
      <c r="AG152" s="33"/>
      <c r="AH152" s="102"/>
      <c r="AI152" s="99"/>
      <c r="AJ152" s="33"/>
      <c r="AK152" s="114"/>
    </row>
    <row r="153" spans="1:37" x14ac:dyDescent="0.2">
      <c r="A153" s="2277" t="s">
        <v>3663</v>
      </c>
      <c r="B153" s="142"/>
      <c r="C153" s="150"/>
      <c r="D153" s="129"/>
      <c r="E153" s="142"/>
      <c r="F153" s="33"/>
      <c r="G153" s="129"/>
      <c r="H153" s="186"/>
      <c r="I153" s="33">
        <f>'Cap-Gen'!G95</f>
        <v>0</v>
      </c>
      <c r="J153" s="129">
        <f t="shared" ref="J153" si="115">H153-I153</f>
        <v>0</v>
      </c>
      <c r="K153" s="186"/>
      <c r="L153" s="33">
        <f>'Cap-Gen'!H95</f>
        <v>0</v>
      </c>
      <c r="M153" s="129">
        <f t="shared" ref="M153" si="116">K153-L153</f>
        <v>0</v>
      </c>
      <c r="N153" s="142"/>
      <c r="O153" s="33">
        <f>'Cap-Gen'!I95</f>
        <v>0</v>
      </c>
      <c r="P153" s="102">
        <f t="shared" ref="P153" si="117">N153-O153</f>
        <v>0</v>
      </c>
      <c r="Q153" s="99"/>
      <c r="R153" s="33">
        <f>'Cap-Gen'!J95</f>
        <v>1000000</v>
      </c>
      <c r="S153" s="114">
        <f t="shared" ref="S153" si="118">Q153-R153</f>
        <v>-1000000</v>
      </c>
      <c r="T153" s="99"/>
      <c r="U153" s="33">
        <f>'Cap-Gen'!K95</f>
        <v>1100000</v>
      </c>
      <c r="V153" s="99">
        <f t="shared" ref="V153" si="119">T153-U153</f>
        <v>-1100000</v>
      </c>
      <c r="W153" s="502"/>
      <c r="X153" s="33">
        <f>'Cap-Gen'!L95</f>
        <v>500000</v>
      </c>
      <c r="Y153" s="102">
        <f t="shared" ref="Y153" si="120">W153-X153</f>
        <v>-500000</v>
      </c>
      <c r="Z153" s="502"/>
      <c r="AA153" s="33">
        <f>'Cap-Gen'!M95</f>
        <v>0</v>
      </c>
      <c r="AB153" s="102">
        <f t="shared" ref="AB153" si="121">Z153-AA153</f>
        <v>0</v>
      </c>
      <c r="AC153" s="99"/>
      <c r="AD153" s="33">
        <f>'Cap-Gen'!N95</f>
        <v>700000</v>
      </c>
      <c r="AE153" s="99">
        <f>AC153-AD153</f>
        <v>-700000</v>
      </c>
      <c r="AF153" s="502"/>
      <c r="AG153" s="33">
        <f>'Cap-Gen'!O95</f>
        <v>700000</v>
      </c>
      <c r="AH153" s="102">
        <f>AF153-AG153</f>
        <v>-700000</v>
      </c>
      <c r="AI153" s="99"/>
      <c r="AJ153" s="33">
        <f>'Cap-Gen'!P95</f>
        <v>700000</v>
      </c>
      <c r="AK153" s="114">
        <f>AI153-AJ153</f>
        <v>-700000</v>
      </c>
    </row>
    <row r="154" spans="1:37" x14ac:dyDescent="0.2">
      <c r="A154" s="2277" t="s">
        <v>3663</v>
      </c>
      <c r="B154" s="142"/>
      <c r="C154" s="150"/>
      <c r="D154" s="129"/>
      <c r="E154" s="142"/>
      <c r="F154" s="33"/>
      <c r="G154" s="129"/>
      <c r="H154" s="186"/>
      <c r="I154" s="33">
        <f>'Cap-Gen'!G96</f>
        <v>0</v>
      </c>
      <c r="J154" s="129">
        <f t="shared" ref="J154" si="122">H154-I154</f>
        <v>0</v>
      </c>
      <c r="K154" s="186"/>
      <c r="L154" s="33">
        <f>'Cap-Gen'!H96</f>
        <v>0</v>
      </c>
      <c r="M154" s="129">
        <f t="shared" ref="M154" si="123">K154-L154</f>
        <v>0</v>
      </c>
      <c r="N154" s="142"/>
      <c r="O154" s="33">
        <f>'Cap-Gen'!I96</f>
        <v>0</v>
      </c>
      <c r="P154" s="102">
        <f t="shared" ref="P154" si="124">N154-O154</f>
        <v>0</v>
      </c>
      <c r="Q154" s="99"/>
      <c r="R154" s="33">
        <f>'Cap-Gen'!J96</f>
        <v>200000</v>
      </c>
      <c r="S154" s="114">
        <f t="shared" ref="S154" si="125">Q154-R154</f>
        <v>-200000</v>
      </c>
      <c r="T154" s="99"/>
      <c r="U154" s="33">
        <f>'Cap-Gen'!K96</f>
        <v>1000000</v>
      </c>
      <c r="V154" s="99">
        <f t="shared" ref="V154" si="126">T154-U154</f>
        <v>-1000000</v>
      </c>
      <c r="W154" s="502"/>
      <c r="X154" s="33">
        <f>'Cap-Gen'!L96</f>
        <v>1000000</v>
      </c>
      <c r="Y154" s="102">
        <f t="shared" ref="Y154" si="127">W154-X154</f>
        <v>-1000000</v>
      </c>
      <c r="Z154" s="502"/>
      <c r="AA154" s="33">
        <f>'Cap-Gen'!M96</f>
        <v>1000000</v>
      </c>
      <c r="AB154" s="102">
        <f t="shared" ref="AB154" si="128">Z154-AA154</f>
        <v>-1000000</v>
      </c>
      <c r="AC154" s="99"/>
      <c r="AD154" s="33">
        <f>'Cap-Gen'!N96</f>
        <v>1000000</v>
      </c>
      <c r="AE154" s="99">
        <f>AC154-AD154</f>
        <v>-1000000</v>
      </c>
      <c r="AF154" s="502"/>
      <c r="AG154" s="33">
        <f>'Cap-Gen'!O96</f>
        <v>1000000</v>
      </c>
      <c r="AH154" s="102">
        <f>AF154-AG154</f>
        <v>-1000000</v>
      </c>
      <c r="AI154" s="99"/>
      <c r="AJ154" s="33">
        <f>'Cap-Gen'!P96</f>
        <v>1000000</v>
      </c>
      <c r="AK154" s="114">
        <f>AI154-AJ154</f>
        <v>-1000000</v>
      </c>
    </row>
    <row r="155" spans="1:37" x14ac:dyDescent="0.2">
      <c r="A155" s="2278"/>
      <c r="B155" s="142"/>
      <c r="C155" s="150"/>
      <c r="D155" s="129"/>
      <c r="E155" s="142"/>
      <c r="F155" s="33"/>
      <c r="G155" s="129"/>
      <c r="H155" s="186"/>
      <c r="I155" s="33"/>
      <c r="J155" s="129"/>
      <c r="K155" s="186"/>
      <c r="L155" s="33"/>
      <c r="M155" s="129"/>
      <c r="N155" s="142"/>
      <c r="O155" s="33"/>
      <c r="P155" s="102"/>
      <c r="Q155" s="99"/>
      <c r="R155" s="33"/>
      <c r="S155" s="114"/>
      <c r="T155" s="99"/>
      <c r="U155" s="33"/>
      <c r="V155" s="99"/>
      <c r="W155" s="502"/>
      <c r="X155" s="33"/>
      <c r="Y155" s="102"/>
      <c r="Z155" s="502"/>
      <c r="AA155" s="33"/>
      <c r="AB155" s="102"/>
      <c r="AC155" s="99"/>
      <c r="AD155" s="33"/>
      <c r="AE155" s="99"/>
      <c r="AF155" s="502"/>
      <c r="AG155" s="33"/>
      <c r="AH155" s="102"/>
      <c r="AI155" s="99"/>
      <c r="AJ155" s="33"/>
      <c r="AK155" s="114"/>
    </row>
    <row r="156" spans="1:37" x14ac:dyDescent="0.2">
      <c r="A156" s="2279" t="s">
        <v>410</v>
      </c>
      <c r="B156" s="142"/>
      <c r="C156" s="150"/>
      <c r="D156" s="129"/>
      <c r="E156" s="142"/>
      <c r="F156" s="33"/>
      <c r="G156" s="129"/>
      <c r="H156" s="186"/>
      <c r="I156" s="33"/>
      <c r="J156" s="129"/>
      <c r="K156" s="186"/>
      <c r="L156" s="33"/>
      <c r="M156" s="129"/>
      <c r="N156" s="142"/>
      <c r="O156" s="33"/>
      <c r="P156" s="102"/>
      <c r="Q156" s="99"/>
      <c r="R156" s="33"/>
      <c r="S156" s="114"/>
      <c r="T156" s="99"/>
      <c r="U156" s="33"/>
      <c r="V156" s="99"/>
      <c r="W156" s="502"/>
      <c r="X156" s="33"/>
      <c r="Y156" s="102"/>
      <c r="Z156" s="502"/>
      <c r="AA156" s="33"/>
      <c r="AB156" s="102"/>
      <c r="AC156" s="99"/>
      <c r="AD156" s="33"/>
      <c r="AE156" s="99"/>
      <c r="AF156" s="502"/>
      <c r="AG156" s="33"/>
      <c r="AH156" s="102"/>
      <c r="AI156" s="99"/>
      <c r="AJ156" s="33"/>
      <c r="AK156" s="114"/>
    </row>
    <row r="157" spans="1:37" s="133" customFormat="1" x14ac:dyDescent="0.2">
      <c r="A157" s="2277" t="s">
        <v>3092</v>
      </c>
      <c r="B157" s="130">
        <v>178600</v>
      </c>
      <c r="C157" s="949">
        <f>221400</f>
        <v>221400</v>
      </c>
      <c r="D157" s="129">
        <f t="shared" ref="D157" si="129">B157-C157</f>
        <v>-42800</v>
      </c>
      <c r="E157" s="130"/>
      <c r="F157" s="33">
        <f>11800+'Cap-Gen'!Y232+'Cap-Gen'!Y238+'Cap-Gen'!Y252+'Cap-Gen'!Y253</f>
        <v>233600</v>
      </c>
      <c r="G157" s="825">
        <f>E157-F157</f>
        <v>-233600</v>
      </c>
      <c r="H157" s="914"/>
      <c r="I157" s="132"/>
      <c r="J157" s="825"/>
      <c r="K157" s="914"/>
      <c r="L157" s="132"/>
      <c r="M157" s="825"/>
      <c r="N157" s="130"/>
      <c r="O157" s="132"/>
      <c r="P157" s="830"/>
      <c r="Q157" s="78"/>
      <c r="R157" s="132"/>
      <c r="S157" s="131"/>
      <c r="T157" s="78"/>
      <c r="U157" s="132"/>
      <c r="V157" s="78"/>
      <c r="W157" s="1920"/>
      <c r="X157" s="132"/>
      <c r="Y157" s="830"/>
      <c r="Z157" s="1920"/>
      <c r="AA157" s="132"/>
      <c r="AB157" s="830"/>
      <c r="AC157" s="78"/>
      <c r="AD157" s="132"/>
      <c r="AE157" s="78"/>
      <c r="AF157" s="1920"/>
      <c r="AG157" s="132"/>
      <c r="AH157" s="830"/>
      <c r="AI157" s="78"/>
      <c r="AJ157" s="132"/>
      <c r="AK157" s="131"/>
    </row>
    <row r="158" spans="1:37" s="133" customFormat="1" hidden="1" x14ac:dyDescent="0.2">
      <c r="A158" s="2277" t="s">
        <v>3093</v>
      </c>
      <c r="B158" s="130"/>
      <c r="C158" s="949">
        <f>CIV!D983-15000</f>
        <v>25000</v>
      </c>
      <c r="D158" s="825">
        <f>B158-C158</f>
        <v>-25000</v>
      </c>
      <c r="E158" s="130"/>
      <c r="F158" s="132"/>
      <c r="G158" s="825"/>
      <c r="H158" s="914"/>
      <c r="I158" s="132"/>
      <c r="J158" s="825"/>
      <c r="K158" s="914"/>
      <c r="L158" s="132"/>
      <c r="M158" s="825"/>
      <c r="N158" s="130"/>
      <c r="O158" s="132"/>
      <c r="P158" s="830"/>
      <c r="Q158" s="78"/>
      <c r="R158" s="132"/>
      <c r="S158" s="131"/>
      <c r="T158" s="78"/>
      <c r="U158" s="132"/>
      <c r="V158" s="78"/>
      <c r="W158" s="1920"/>
      <c r="X158" s="132"/>
      <c r="Y158" s="830"/>
      <c r="Z158" s="1920"/>
      <c r="AA158" s="132"/>
      <c r="AB158" s="830"/>
      <c r="AC158" s="78"/>
      <c r="AD158" s="132"/>
      <c r="AE158" s="78"/>
      <c r="AF158" s="1920"/>
      <c r="AG158" s="132"/>
      <c r="AH158" s="830"/>
      <c r="AI158" s="78"/>
      <c r="AJ158" s="132"/>
      <c r="AK158" s="131"/>
    </row>
    <row r="159" spans="1:37" x14ac:dyDescent="0.2">
      <c r="A159" s="2278"/>
      <c r="B159" s="142"/>
      <c r="C159" s="150"/>
      <c r="D159" s="129"/>
      <c r="E159" s="142"/>
      <c r="F159" s="33"/>
      <c r="G159" s="129"/>
      <c r="H159" s="186"/>
      <c r="I159" s="33"/>
      <c r="J159" s="129"/>
      <c r="K159" s="186"/>
      <c r="L159" s="33"/>
      <c r="M159" s="129"/>
      <c r="N159" s="142"/>
      <c r="O159" s="33"/>
      <c r="P159" s="102"/>
      <c r="Q159" s="99"/>
      <c r="R159" s="33"/>
      <c r="S159" s="114"/>
      <c r="T159" s="99"/>
      <c r="U159" s="33"/>
      <c r="V159" s="99"/>
      <c r="W159" s="502"/>
      <c r="X159" s="33"/>
      <c r="Y159" s="102"/>
      <c r="Z159" s="502"/>
      <c r="AA159" s="33"/>
      <c r="AB159" s="102"/>
      <c r="AC159" s="99"/>
      <c r="AD159" s="33"/>
      <c r="AE159" s="99"/>
      <c r="AF159" s="502"/>
      <c r="AG159" s="33"/>
      <c r="AH159" s="102"/>
      <c r="AI159" s="99"/>
      <c r="AJ159" s="33"/>
      <c r="AK159" s="114"/>
    </row>
    <row r="160" spans="1:37" x14ac:dyDescent="0.2">
      <c r="A160" s="2275" t="s">
        <v>1899</v>
      </c>
      <c r="B160" s="142"/>
      <c r="C160" s="150"/>
      <c r="D160" s="129"/>
      <c r="E160" s="142"/>
      <c r="F160" s="33"/>
      <c r="G160" s="129"/>
      <c r="H160" s="186"/>
      <c r="I160" s="33"/>
      <c r="J160" s="129"/>
      <c r="K160" s="186"/>
      <c r="L160" s="33"/>
      <c r="M160" s="129"/>
      <c r="N160" s="142"/>
      <c r="O160" s="33"/>
      <c r="P160" s="102"/>
      <c r="Q160" s="99"/>
      <c r="R160" s="33"/>
      <c r="S160" s="114"/>
      <c r="T160" s="99"/>
      <c r="U160" s="33"/>
      <c r="V160" s="99"/>
      <c r="W160" s="502"/>
      <c r="X160" s="33"/>
      <c r="Y160" s="102"/>
      <c r="Z160" s="502"/>
      <c r="AA160" s="33"/>
      <c r="AB160" s="102"/>
      <c r="AC160" s="99"/>
      <c r="AD160" s="33"/>
      <c r="AE160" s="99"/>
      <c r="AF160" s="502"/>
      <c r="AG160" s="33"/>
      <c r="AH160" s="102"/>
      <c r="AI160" s="99"/>
      <c r="AJ160" s="33"/>
      <c r="AK160" s="114"/>
    </row>
    <row r="161" spans="1:37" x14ac:dyDescent="0.2">
      <c r="A161" s="2277" t="s">
        <v>5382</v>
      </c>
      <c r="B161" s="142">
        <v>328400</v>
      </c>
      <c r="C161" s="150">
        <v>305700</v>
      </c>
      <c r="D161" s="825">
        <f>B161-C161</f>
        <v>22700</v>
      </c>
      <c r="E161" s="142">
        <f>120000+140000+41600</f>
        <v>301600</v>
      </c>
      <c r="F161" s="33">
        <f>123400+35000+130500</f>
        <v>288900</v>
      </c>
      <c r="G161" s="129">
        <f>E161-F161</f>
        <v>12700</v>
      </c>
      <c r="H161" s="186"/>
      <c r="I161" s="33"/>
      <c r="J161" s="129"/>
      <c r="K161" s="186"/>
      <c r="L161" s="33"/>
      <c r="M161" s="129"/>
      <c r="N161" s="142"/>
      <c r="O161" s="33"/>
      <c r="P161" s="102"/>
      <c r="Q161" s="99"/>
      <c r="R161" s="33"/>
      <c r="S161" s="114"/>
      <c r="T161" s="99"/>
      <c r="U161" s="33"/>
      <c r="V161" s="99"/>
      <c r="W161" s="502"/>
      <c r="X161" s="33"/>
      <c r="Y161" s="102"/>
      <c r="Z161" s="502"/>
      <c r="AA161" s="33"/>
      <c r="AB161" s="102"/>
      <c r="AC161" s="99"/>
      <c r="AD161" s="33"/>
      <c r="AE161" s="99"/>
      <c r="AF161" s="502"/>
      <c r="AG161" s="33"/>
      <c r="AH161" s="102"/>
      <c r="AI161" s="99"/>
      <c r="AJ161" s="33"/>
      <c r="AK161" s="114"/>
    </row>
    <row r="162" spans="1:37" x14ac:dyDescent="0.2">
      <c r="A162" s="2278"/>
      <c r="B162" s="142"/>
      <c r="C162" s="150"/>
      <c r="D162" s="825"/>
      <c r="E162" s="142"/>
      <c r="F162" s="33"/>
      <c r="G162" s="129"/>
      <c r="H162" s="186"/>
      <c r="I162" s="33"/>
      <c r="J162" s="129"/>
      <c r="K162" s="186"/>
      <c r="L162" s="33"/>
      <c r="M162" s="129"/>
      <c r="N162" s="142"/>
      <c r="O162" s="33"/>
      <c r="P162" s="102"/>
      <c r="Q162" s="99"/>
      <c r="R162" s="33"/>
      <c r="S162" s="114"/>
      <c r="T162" s="99"/>
      <c r="U162" s="33"/>
      <c r="V162" s="99"/>
      <c r="W162" s="502"/>
      <c r="X162" s="33"/>
      <c r="Y162" s="102"/>
      <c r="Z162" s="502"/>
      <c r="AA162" s="33"/>
      <c r="AB162" s="102"/>
      <c r="AC162" s="99"/>
      <c r="AD162" s="33"/>
      <c r="AE162" s="99"/>
      <c r="AF162" s="502"/>
      <c r="AG162" s="33"/>
      <c r="AH162" s="102"/>
      <c r="AI162" s="99"/>
      <c r="AJ162" s="33"/>
      <c r="AK162" s="114"/>
    </row>
    <row r="163" spans="1:37" x14ac:dyDescent="0.2">
      <c r="A163" s="2275" t="s">
        <v>728</v>
      </c>
      <c r="B163" s="142"/>
      <c r="C163" s="150"/>
      <c r="D163" s="825"/>
      <c r="E163" s="142"/>
      <c r="F163" s="33"/>
      <c r="G163" s="129"/>
      <c r="H163" s="186"/>
      <c r="I163" s="33"/>
      <c r="J163" s="129"/>
      <c r="K163" s="186"/>
      <c r="L163" s="33"/>
      <c r="M163" s="129"/>
      <c r="N163" s="142"/>
      <c r="O163" s="33"/>
      <c r="P163" s="102"/>
      <c r="Q163" s="99"/>
      <c r="R163" s="33"/>
      <c r="S163" s="114"/>
      <c r="T163" s="99"/>
      <c r="U163" s="33"/>
      <c r="V163" s="99"/>
      <c r="W163" s="502"/>
      <c r="X163" s="33"/>
      <c r="Y163" s="102"/>
      <c r="Z163" s="502"/>
      <c r="AA163" s="33"/>
      <c r="AB163" s="102"/>
      <c r="AC163" s="99"/>
      <c r="AD163" s="33"/>
      <c r="AE163" s="99"/>
      <c r="AF163" s="502"/>
      <c r="AG163" s="33"/>
      <c r="AH163" s="102"/>
      <c r="AI163" s="99"/>
      <c r="AJ163" s="33"/>
      <c r="AK163" s="114"/>
    </row>
    <row r="164" spans="1:37" x14ac:dyDescent="0.2">
      <c r="A164" s="2277" t="s">
        <v>3652</v>
      </c>
      <c r="B164" s="142">
        <v>867600</v>
      </c>
      <c r="C164" s="150">
        <v>1182800</v>
      </c>
      <c r="D164" s="825">
        <f t="shared" ref="D164" si="130">B164-C164</f>
        <v>-315200</v>
      </c>
      <c r="E164" s="142">
        <v>25100</v>
      </c>
      <c r="F164" s="33">
        <f>'Cap-Gen'!Y326+'Cap-Gen'!Y330+'Cap-Gen'!Y329+'Cap-Gen'!Y324+'Cap-Gen'!Y294+'Cap-Gen'!Y287+'Cap-Gen'!Y352+'Cap-Gen'!Y292+'Cap-Gen'!Y151</f>
        <v>734600</v>
      </c>
      <c r="G164" s="129">
        <f t="shared" ref="G164:G216" si="131">E164-F164</f>
        <v>-709500</v>
      </c>
      <c r="H164" s="186"/>
      <c r="I164" s="33"/>
      <c r="J164" s="129"/>
      <c r="K164" s="186"/>
      <c r="L164" s="33"/>
      <c r="M164" s="129"/>
      <c r="N164" s="142"/>
      <c r="O164" s="33"/>
      <c r="P164" s="102"/>
      <c r="Q164" s="99"/>
      <c r="R164" s="33"/>
      <c r="S164" s="114"/>
      <c r="T164" s="99"/>
      <c r="U164" s="33"/>
      <c r="V164" s="99"/>
      <c r="W164" s="502"/>
      <c r="X164" s="33"/>
      <c r="Y164" s="102"/>
      <c r="Z164" s="502"/>
      <c r="AA164" s="33"/>
      <c r="AB164" s="102"/>
      <c r="AC164" s="99"/>
      <c r="AD164" s="33"/>
      <c r="AE164" s="99"/>
      <c r="AF164" s="502"/>
      <c r="AG164" s="33"/>
      <c r="AH164" s="102"/>
      <c r="AI164" s="99"/>
      <c r="AJ164" s="33"/>
      <c r="AK164" s="114"/>
    </row>
    <row r="165" spans="1:37" x14ac:dyDescent="0.2">
      <c r="A165" s="2277" t="s">
        <v>4218</v>
      </c>
      <c r="B165" s="142">
        <v>70300</v>
      </c>
      <c r="C165" s="150">
        <v>135000</v>
      </c>
      <c r="D165" s="129">
        <f t="shared" ref="D165:D172" si="132">B165-C165</f>
        <v>-64700</v>
      </c>
      <c r="E165" s="142"/>
      <c r="F165" s="33">
        <v>21000</v>
      </c>
      <c r="G165" s="129">
        <f t="shared" si="131"/>
        <v>-21000</v>
      </c>
      <c r="H165" s="186"/>
      <c r="I165" s="33"/>
      <c r="J165" s="129"/>
      <c r="K165" s="186"/>
      <c r="L165" s="33"/>
      <c r="M165" s="129"/>
      <c r="N165" s="142"/>
      <c r="O165" s="33"/>
      <c r="P165" s="102"/>
      <c r="Q165" s="99"/>
      <c r="R165" s="33"/>
      <c r="S165" s="114"/>
      <c r="T165" s="99"/>
      <c r="U165" s="33"/>
      <c r="V165" s="99"/>
      <c r="W165" s="502"/>
      <c r="X165" s="33"/>
      <c r="Y165" s="102"/>
      <c r="Z165" s="502"/>
      <c r="AA165" s="33"/>
      <c r="AB165" s="102"/>
      <c r="AC165" s="99"/>
      <c r="AD165" s="33"/>
      <c r="AE165" s="99"/>
      <c r="AF165" s="502"/>
      <c r="AG165" s="33"/>
      <c r="AH165" s="102"/>
      <c r="AI165" s="99"/>
      <c r="AJ165" s="33"/>
      <c r="AK165" s="114"/>
    </row>
    <row r="166" spans="1:37" x14ac:dyDescent="0.2">
      <c r="A166" s="2277" t="s">
        <v>3091</v>
      </c>
      <c r="B166" s="142">
        <v>26700</v>
      </c>
      <c r="C166" s="150">
        <v>45000</v>
      </c>
      <c r="D166" s="129">
        <f t="shared" si="132"/>
        <v>-18300</v>
      </c>
      <c r="E166" s="142"/>
      <c r="F166" s="33">
        <f>'Cap-Gen'!F124</f>
        <v>20000</v>
      </c>
      <c r="G166" s="129">
        <f t="shared" si="131"/>
        <v>-20000</v>
      </c>
      <c r="H166" s="186"/>
      <c r="I166" s="33">
        <f>'Cap-Gen'!G124</f>
        <v>0</v>
      </c>
      <c r="J166" s="129">
        <f t="shared" ref="J166:J167" si="133">H166-I166</f>
        <v>0</v>
      </c>
      <c r="K166" s="186"/>
      <c r="L166" s="33">
        <f>'Cap-Gen'!H124</f>
        <v>0</v>
      </c>
      <c r="M166" s="129">
        <f t="shared" ref="M166:M167" si="134">K166-L166</f>
        <v>0</v>
      </c>
      <c r="N166" s="142"/>
      <c r="O166" s="33">
        <f>'Cap-Gen'!I124</f>
        <v>0</v>
      </c>
      <c r="P166" s="102">
        <f t="shared" ref="P166:P167" si="135">N166-O166</f>
        <v>0</v>
      </c>
      <c r="Q166" s="99"/>
      <c r="R166" s="33">
        <f>'Cap-Gen'!J124</f>
        <v>0</v>
      </c>
      <c r="S166" s="114">
        <f t="shared" ref="S166:S167" si="136">Q166-R166</f>
        <v>0</v>
      </c>
      <c r="T166" s="99"/>
      <c r="U166" s="33">
        <f>'Cap-Gen'!K124</f>
        <v>0</v>
      </c>
      <c r="V166" s="99">
        <f t="shared" ref="V166:V167" si="137">T166-U166</f>
        <v>0</v>
      </c>
      <c r="W166" s="502"/>
      <c r="X166" s="33">
        <f>'Cap-Gen'!L124</f>
        <v>0</v>
      </c>
      <c r="Y166" s="102">
        <f t="shared" ref="Y166:Y167" si="138">W166-X166</f>
        <v>0</v>
      </c>
      <c r="Z166" s="502"/>
      <c r="AA166" s="33">
        <f>'Cap-Gen'!M124</f>
        <v>0</v>
      </c>
      <c r="AB166" s="102">
        <f t="shared" ref="AB166:AB167" si="139">Z166-AA166</f>
        <v>0</v>
      </c>
      <c r="AC166" s="99"/>
      <c r="AD166" s="33">
        <f>'Cap-Gen'!N124</f>
        <v>0</v>
      </c>
      <c r="AE166" s="99">
        <f t="shared" ref="AE166:AE167" si="140">AC166-AD166</f>
        <v>0</v>
      </c>
      <c r="AF166" s="502"/>
      <c r="AG166" s="33">
        <f>'Cap-Gen'!O124</f>
        <v>0</v>
      </c>
      <c r="AH166" s="102">
        <f t="shared" ref="AH166:AH167" si="141">AF166-AG166</f>
        <v>0</v>
      </c>
      <c r="AI166" s="99"/>
      <c r="AJ166" s="33">
        <f>'Cap-Gen'!Q124</f>
        <v>0</v>
      </c>
      <c r="AK166" s="114">
        <f t="shared" ref="AK166:AK167" si="142">AI166-AJ166</f>
        <v>0</v>
      </c>
    </row>
    <row r="167" spans="1:37" x14ac:dyDescent="0.2">
      <c r="A167" s="2277" t="s">
        <v>3217</v>
      </c>
      <c r="B167" s="142">
        <v>47000</v>
      </c>
      <c r="C167" s="150">
        <v>199000</v>
      </c>
      <c r="D167" s="129">
        <f t="shared" si="132"/>
        <v>-152000</v>
      </c>
      <c r="E167" s="142"/>
      <c r="F167" s="33">
        <f>'Cap-Gen'!F125+'Cap-Gen'!Y357+'Cap-Gen'!Y358+'Cap-Gen'!Y274+'Cap-Gen'!Y275+'Cap-Gen'!Y359</f>
        <v>231000</v>
      </c>
      <c r="G167" s="129">
        <f t="shared" si="131"/>
        <v>-231000</v>
      </c>
      <c r="H167" s="186"/>
      <c r="I167" s="33">
        <f>'Cap-Gen'!G125</f>
        <v>200000</v>
      </c>
      <c r="J167" s="129">
        <f t="shared" si="133"/>
        <v>-200000</v>
      </c>
      <c r="K167" s="186"/>
      <c r="L167" s="33">
        <f>'Cap-Gen'!H125</f>
        <v>0</v>
      </c>
      <c r="M167" s="129">
        <f t="shared" si="134"/>
        <v>0</v>
      </c>
      <c r="N167" s="142"/>
      <c r="O167" s="33">
        <f>'Cap-Gen'!I125</f>
        <v>0</v>
      </c>
      <c r="P167" s="102">
        <f t="shared" si="135"/>
        <v>0</v>
      </c>
      <c r="Q167" s="99"/>
      <c r="R167" s="33">
        <f>'Cap-Gen'!J125</f>
        <v>0</v>
      </c>
      <c r="S167" s="114">
        <f t="shared" si="136"/>
        <v>0</v>
      </c>
      <c r="T167" s="99"/>
      <c r="U167" s="33">
        <f>'Cap-Gen'!K125</f>
        <v>0</v>
      </c>
      <c r="V167" s="99">
        <f t="shared" si="137"/>
        <v>0</v>
      </c>
      <c r="W167" s="502"/>
      <c r="X167" s="33">
        <f>'Cap-Gen'!L125</f>
        <v>0</v>
      </c>
      <c r="Y167" s="102">
        <f t="shared" si="138"/>
        <v>0</v>
      </c>
      <c r="Z167" s="502"/>
      <c r="AA167" s="33">
        <f>'Cap-Gen'!M125</f>
        <v>0</v>
      </c>
      <c r="AB167" s="102">
        <f t="shared" si="139"/>
        <v>0</v>
      </c>
      <c r="AC167" s="99"/>
      <c r="AD167" s="33">
        <f>'Cap-Gen'!N125</f>
        <v>0</v>
      </c>
      <c r="AE167" s="99">
        <f t="shared" si="140"/>
        <v>0</v>
      </c>
      <c r="AF167" s="502"/>
      <c r="AG167" s="33">
        <f>'Cap-Gen'!O125</f>
        <v>0</v>
      </c>
      <c r="AH167" s="102">
        <f t="shared" si="141"/>
        <v>0</v>
      </c>
      <c r="AI167" s="99"/>
      <c r="AJ167" s="33">
        <f>'Cap-Gen'!Q125</f>
        <v>0</v>
      </c>
      <c r="AK167" s="114">
        <f t="shared" si="142"/>
        <v>0</v>
      </c>
    </row>
    <row r="168" spans="1:37" hidden="1" x14ac:dyDescent="0.2">
      <c r="A168" s="2277" t="s">
        <v>6780</v>
      </c>
      <c r="B168" s="142"/>
      <c r="C168" s="150">
        <f>286300-1200</f>
        <v>285100</v>
      </c>
      <c r="D168" s="129">
        <f>B168-C168</f>
        <v>-285100</v>
      </c>
      <c r="E168" s="142"/>
      <c r="F168" s="33"/>
      <c r="G168" s="129"/>
      <c r="H168" s="186"/>
      <c r="I168" s="33"/>
      <c r="J168" s="129"/>
      <c r="K168" s="186"/>
      <c r="L168" s="33"/>
      <c r="M168" s="129"/>
      <c r="N168" s="142"/>
      <c r="O168" s="33"/>
      <c r="P168" s="102"/>
      <c r="Q168" s="99"/>
      <c r="R168" s="33"/>
      <c r="S168" s="114"/>
      <c r="T168" s="99"/>
      <c r="U168" s="33"/>
      <c r="V168" s="99"/>
      <c r="W168" s="502"/>
      <c r="X168" s="33"/>
      <c r="Y168" s="102"/>
      <c r="Z168" s="502"/>
      <c r="AA168" s="33"/>
      <c r="AB168" s="102"/>
      <c r="AC168" s="99"/>
      <c r="AD168" s="33"/>
      <c r="AE168" s="99"/>
      <c r="AF168" s="502"/>
      <c r="AG168" s="33"/>
      <c r="AH168" s="102"/>
      <c r="AI168" s="99"/>
      <c r="AJ168" s="33"/>
      <c r="AK168" s="114"/>
    </row>
    <row r="169" spans="1:37" x14ac:dyDescent="0.2">
      <c r="A169" s="2277" t="s">
        <v>5624</v>
      </c>
      <c r="B169" s="142"/>
      <c r="C169" s="150"/>
      <c r="D169" s="129"/>
      <c r="E169" s="142"/>
      <c r="F169" s="33">
        <f>850900-35000</f>
        <v>815900</v>
      </c>
      <c r="G169" s="129">
        <f>E169-F169</f>
        <v>-815900</v>
      </c>
      <c r="H169" s="186"/>
      <c r="I169" s="33"/>
      <c r="J169" s="129"/>
      <c r="K169" s="186"/>
      <c r="L169" s="33"/>
      <c r="M169" s="129"/>
      <c r="N169" s="142"/>
      <c r="O169" s="33"/>
      <c r="P169" s="102"/>
      <c r="Q169" s="99"/>
      <c r="R169" s="33"/>
      <c r="S169" s="114"/>
      <c r="T169" s="99"/>
      <c r="U169" s="33"/>
      <c r="V169" s="99"/>
      <c r="W169" s="502"/>
      <c r="X169" s="33"/>
      <c r="Y169" s="102"/>
      <c r="Z169" s="502"/>
      <c r="AA169" s="33"/>
      <c r="AB169" s="102"/>
      <c r="AC169" s="99"/>
      <c r="AD169" s="33"/>
      <c r="AE169" s="99"/>
      <c r="AF169" s="502"/>
      <c r="AG169" s="33"/>
      <c r="AH169" s="102"/>
      <c r="AI169" s="99"/>
      <c r="AJ169" s="33"/>
      <c r="AK169" s="114"/>
    </row>
    <row r="170" spans="1:37" x14ac:dyDescent="0.2">
      <c r="A170" s="2278"/>
      <c r="B170" s="142"/>
      <c r="C170" s="150"/>
      <c r="D170" s="825"/>
      <c r="E170" s="142"/>
      <c r="F170" s="33"/>
      <c r="G170" s="129"/>
      <c r="H170" s="186"/>
      <c r="I170" s="33"/>
      <c r="J170" s="129"/>
      <c r="K170" s="186"/>
      <c r="L170" s="33"/>
      <c r="M170" s="129"/>
      <c r="N170" s="142"/>
      <c r="O170" s="33"/>
      <c r="P170" s="129"/>
      <c r="Q170" s="99"/>
      <c r="R170" s="33"/>
      <c r="S170" s="100"/>
      <c r="T170" s="99"/>
      <c r="U170" s="33"/>
      <c r="V170" s="76"/>
      <c r="W170" s="502"/>
      <c r="X170" s="33"/>
      <c r="Y170" s="102"/>
      <c r="Z170" s="502"/>
      <c r="AA170" s="33"/>
      <c r="AB170" s="102"/>
      <c r="AC170" s="99"/>
      <c r="AD170" s="33"/>
      <c r="AE170" s="99"/>
      <c r="AF170" s="502"/>
      <c r="AG170" s="33"/>
      <c r="AH170" s="102"/>
      <c r="AI170" s="99"/>
      <c r="AJ170" s="33"/>
      <c r="AK170" s="114"/>
    </row>
    <row r="171" spans="1:37" x14ac:dyDescent="0.2">
      <c r="A171" s="2275" t="s">
        <v>2352</v>
      </c>
      <c r="B171" s="142"/>
      <c r="C171" s="150"/>
      <c r="D171" s="129"/>
      <c r="E171" s="142"/>
      <c r="F171" s="33"/>
      <c r="G171" s="129"/>
      <c r="H171" s="186"/>
      <c r="I171" s="33"/>
      <c r="J171" s="129"/>
      <c r="K171" s="186"/>
      <c r="L171" s="33"/>
      <c r="M171" s="129"/>
      <c r="N171" s="142"/>
      <c r="O171" s="33"/>
      <c r="P171" s="129"/>
      <c r="Q171" s="99"/>
      <c r="R171" s="33"/>
      <c r="S171" s="100"/>
      <c r="T171" s="99"/>
      <c r="U171" s="33"/>
      <c r="V171" s="76"/>
      <c r="W171" s="502"/>
      <c r="X171" s="33"/>
      <c r="Y171" s="102"/>
      <c r="Z171" s="502"/>
      <c r="AA171" s="33"/>
      <c r="AB171" s="102"/>
      <c r="AC171" s="99"/>
      <c r="AD171" s="33"/>
      <c r="AE171" s="99"/>
      <c r="AF171" s="502"/>
      <c r="AG171" s="33"/>
      <c r="AH171" s="102"/>
      <c r="AI171" s="99"/>
      <c r="AJ171" s="33"/>
      <c r="AK171" s="114"/>
    </row>
    <row r="172" spans="1:37" x14ac:dyDescent="0.2">
      <c r="A172" s="2277" t="s">
        <v>3121</v>
      </c>
      <c r="B172" s="142"/>
      <c r="C172" s="150">
        <f>412500-173600</f>
        <v>238900</v>
      </c>
      <c r="D172" s="129">
        <f t="shared" si="132"/>
        <v>-238900</v>
      </c>
      <c r="E172" s="142"/>
      <c r="F172" s="33">
        <f>6800+13200+15000+11000+41000+17500+44000+25100-10000+2000+7000+1000</f>
        <v>173600</v>
      </c>
      <c r="G172" s="129">
        <f t="shared" si="131"/>
        <v>-173600</v>
      </c>
      <c r="H172" s="186"/>
      <c r="I172" s="33"/>
      <c r="J172" s="129"/>
      <c r="K172" s="186"/>
      <c r="L172" s="33"/>
      <c r="M172" s="129"/>
      <c r="N172" s="142"/>
      <c r="O172" s="33"/>
      <c r="P172" s="129"/>
      <c r="Q172" s="99"/>
      <c r="R172" s="33"/>
      <c r="S172" s="100"/>
      <c r="T172" s="99"/>
      <c r="U172" s="33"/>
      <c r="V172" s="76"/>
      <c r="W172" s="502"/>
      <c r="X172" s="33"/>
      <c r="Y172" s="102"/>
      <c r="Z172" s="502"/>
      <c r="AA172" s="33"/>
      <c r="AB172" s="102"/>
      <c r="AC172" s="99"/>
      <c r="AD172" s="33"/>
      <c r="AE172" s="99"/>
      <c r="AF172" s="502"/>
      <c r="AG172" s="33"/>
      <c r="AH172" s="102"/>
      <c r="AI172" s="99"/>
      <c r="AJ172" s="33"/>
      <c r="AK172" s="114"/>
    </row>
    <row r="173" spans="1:37" x14ac:dyDescent="0.2">
      <c r="A173" s="2277" t="s">
        <v>5387</v>
      </c>
      <c r="B173" s="142">
        <v>1994500</v>
      </c>
      <c r="C173" s="150">
        <f>1625500+173600</f>
        <v>1799100</v>
      </c>
      <c r="D173" s="129">
        <f t="shared" ref="D173:D175" si="143">B173-C173</f>
        <v>195400</v>
      </c>
      <c r="E173" s="142"/>
      <c r="F173" s="33">
        <f>850000+62400+37800+770700-30000-850000</f>
        <v>840900</v>
      </c>
      <c r="G173" s="129">
        <f t="shared" si="131"/>
        <v>-840900</v>
      </c>
      <c r="H173" s="186"/>
      <c r="I173" s="33">
        <v>425000</v>
      </c>
      <c r="J173" s="129">
        <f t="shared" ref="J173" si="144">H173-I173</f>
        <v>-425000</v>
      </c>
      <c r="K173" s="186"/>
      <c r="L173" s="33">
        <v>425000</v>
      </c>
      <c r="M173" s="129">
        <f t="shared" ref="M173" si="145">K173-L173</f>
        <v>-425000</v>
      </c>
      <c r="N173" s="142"/>
      <c r="O173" s="33"/>
      <c r="P173" s="129"/>
      <c r="Q173" s="99"/>
      <c r="R173" s="33"/>
      <c r="S173" s="100"/>
      <c r="T173" s="99"/>
      <c r="U173" s="33"/>
      <c r="V173" s="76"/>
      <c r="W173" s="502"/>
      <c r="X173" s="33"/>
      <c r="Y173" s="102"/>
      <c r="Z173" s="502"/>
      <c r="AA173" s="33"/>
      <c r="AB173" s="102"/>
      <c r="AC173" s="99"/>
      <c r="AD173" s="33"/>
      <c r="AE173" s="99"/>
      <c r="AF173" s="502"/>
      <c r="AG173" s="33"/>
      <c r="AH173" s="102"/>
      <c r="AI173" s="99"/>
      <c r="AJ173" s="33"/>
      <c r="AK173" s="114"/>
    </row>
    <row r="174" spans="1:37" hidden="1" x14ac:dyDescent="0.2">
      <c r="A174" s="2277" t="s">
        <v>4217</v>
      </c>
      <c r="B174" s="142"/>
      <c r="C174" s="150">
        <f>25000+38000-4800</f>
        <v>58200</v>
      </c>
      <c r="D174" s="129">
        <f t="shared" si="143"/>
        <v>-58200</v>
      </c>
      <c r="E174" s="142"/>
      <c r="F174" s="33"/>
      <c r="G174" s="129"/>
      <c r="H174" s="186"/>
      <c r="I174" s="33"/>
      <c r="J174" s="129"/>
      <c r="K174" s="186"/>
      <c r="L174" s="33"/>
      <c r="M174" s="129"/>
      <c r="N174" s="142"/>
      <c r="O174" s="33"/>
      <c r="P174" s="102"/>
      <c r="Q174" s="99"/>
      <c r="R174" s="33"/>
      <c r="S174" s="114"/>
      <c r="T174" s="99"/>
      <c r="U174" s="33"/>
      <c r="V174" s="99"/>
      <c r="W174" s="502"/>
      <c r="X174" s="33"/>
      <c r="Y174" s="102"/>
      <c r="Z174" s="502"/>
      <c r="AA174" s="33"/>
      <c r="AB174" s="102"/>
      <c r="AC174" s="99"/>
      <c r="AD174" s="33"/>
      <c r="AE174" s="99"/>
      <c r="AF174" s="502"/>
      <c r="AG174" s="33"/>
      <c r="AH174" s="102"/>
      <c r="AI174" s="99"/>
      <c r="AJ174" s="33"/>
      <c r="AK174" s="114"/>
    </row>
    <row r="175" spans="1:37" hidden="1" x14ac:dyDescent="0.2">
      <c r="A175" s="2277" t="s">
        <v>2093</v>
      </c>
      <c r="B175" s="142"/>
      <c r="C175" s="150">
        <v>14800</v>
      </c>
      <c r="D175" s="129">
        <f t="shared" si="143"/>
        <v>-14800</v>
      </c>
      <c r="E175" s="142"/>
      <c r="F175" s="33"/>
      <c r="G175" s="129"/>
      <c r="H175" s="186"/>
      <c r="I175" s="33"/>
      <c r="J175" s="129"/>
      <c r="K175" s="186"/>
      <c r="L175" s="33"/>
      <c r="M175" s="129"/>
      <c r="N175" s="142"/>
      <c r="O175" s="33"/>
      <c r="P175" s="102"/>
      <c r="Q175" s="99"/>
      <c r="R175" s="33"/>
      <c r="S175" s="114"/>
      <c r="T175" s="99"/>
      <c r="U175" s="33"/>
      <c r="V175" s="99"/>
      <c r="W175" s="502"/>
      <c r="X175" s="33"/>
      <c r="Y175" s="102"/>
      <c r="Z175" s="502"/>
      <c r="AA175" s="33"/>
      <c r="AB175" s="102"/>
      <c r="AC175" s="99"/>
      <c r="AD175" s="33"/>
      <c r="AE175" s="99"/>
      <c r="AF175" s="502"/>
      <c r="AG175" s="33"/>
      <c r="AH175" s="102"/>
      <c r="AI175" s="99"/>
      <c r="AJ175" s="33"/>
      <c r="AK175" s="114"/>
    </row>
    <row r="176" spans="1:37" hidden="1" x14ac:dyDescent="0.2">
      <c r="A176" s="2277" t="s">
        <v>889</v>
      </c>
      <c r="B176" s="142">
        <v>60000</v>
      </c>
      <c r="C176" s="150"/>
      <c r="D176" s="129">
        <f>B176-C176</f>
        <v>60000</v>
      </c>
      <c r="E176" s="142"/>
      <c r="F176" s="33"/>
      <c r="G176" s="129"/>
      <c r="H176" s="186"/>
      <c r="I176" s="33"/>
      <c r="J176" s="129"/>
      <c r="K176" s="186"/>
      <c r="L176" s="33"/>
      <c r="M176" s="129"/>
      <c r="N176" s="142"/>
      <c r="O176" s="33"/>
      <c r="P176" s="102"/>
      <c r="Q176" s="99"/>
      <c r="R176" s="33"/>
      <c r="S176" s="114"/>
      <c r="T176" s="99"/>
      <c r="U176" s="33"/>
      <c r="V176" s="99"/>
      <c r="W176" s="502"/>
      <c r="X176" s="33"/>
      <c r="Y176" s="102"/>
      <c r="Z176" s="502"/>
      <c r="AA176" s="33"/>
      <c r="AB176" s="102"/>
      <c r="AC176" s="99"/>
      <c r="AD176" s="33"/>
      <c r="AE176" s="99"/>
      <c r="AF176" s="502"/>
      <c r="AG176" s="33"/>
      <c r="AH176" s="102"/>
      <c r="AI176" s="99"/>
      <c r="AJ176" s="33"/>
      <c r="AK176" s="114"/>
    </row>
    <row r="177" spans="1:37" x14ac:dyDescent="0.2">
      <c r="A177" s="2277" t="s">
        <v>1854</v>
      </c>
      <c r="B177" s="142">
        <v>510500</v>
      </c>
      <c r="C177" s="150">
        <v>486300</v>
      </c>
      <c r="D177" s="129">
        <f>B177-C177</f>
        <v>24200</v>
      </c>
      <c r="E177" s="142"/>
      <c r="F177" s="33">
        <f>510500</f>
        <v>510500</v>
      </c>
      <c r="G177" s="129">
        <f t="shared" si="131"/>
        <v>-510500</v>
      </c>
      <c r="H177" s="186"/>
      <c r="I177" s="33"/>
      <c r="J177" s="129"/>
      <c r="K177" s="186"/>
      <c r="L177" s="33"/>
      <c r="M177" s="129"/>
      <c r="N177" s="142"/>
      <c r="O177" s="33"/>
      <c r="P177" s="102"/>
      <c r="Q177" s="99"/>
      <c r="R177" s="33"/>
      <c r="S177" s="114"/>
      <c r="T177" s="99"/>
      <c r="U177" s="33"/>
      <c r="V177" s="99"/>
      <c r="W177" s="502"/>
      <c r="X177" s="33"/>
      <c r="Y177" s="102"/>
      <c r="Z177" s="502"/>
      <c r="AA177" s="33"/>
      <c r="AB177" s="102"/>
      <c r="AC177" s="99"/>
      <c r="AD177" s="33"/>
      <c r="AE177" s="99"/>
      <c r="AF177" s="502"/>
      <c r="AG177" s="33"/>
      <c r="AH177" s="102"/>
      <c r="AI177" s="99"/>
      <c r="AJ177" s="33"/>
      <c r="AK177" s="114"/>
    </row>
    <row r="178" spans="1:37" x14ac:dyDescent="0.2">
      <c r="A178" s="2278"/>
      <c r="B178" s="142"/>
      <c r="C178" s="150"/>
      <c r="D178" s="129"/>
      <c r="E178" s="142"/>
      <c r="F178" s="33"/>
      <c r="G178" s="129"/>
      <c r="H178" s="186"/>
      <c r="I178" s="33"/>
      <c r="J178" s="129"/>
      <c r="K178" s="186"/>
      <c r="L178" s="33"/>
      <c r="M178" s="129"/>
      <c r="N178" s="142"/>
      <c r="O178" s="33"/>
      <c r="P178" s="102"/>
      <c r="Q178" s="99"/>
      <c r="R178" s="33"/>
      <c r="S178" s="114"/>
      <c r="T178" s="99"/>
      <c r="U178" s="33"/>
      <c r="V178" s="99"/>
      <c r="W178" s="502"/>
      <c r="X178" s="33"/>
      <c r="Y178" s="102"/>
      <c r="Z178" s="502"/>
      <c r="AA178" s="33"/>
      <c r="AB178" s="102"/>
      <c r="AC178" s="99"/>
      <c r="AD178" s="33"/>
      <c r="AE178" s="99"/>
      <c r="AF178" s="502"/>
      <c r="AG178" s="33"/>
      <c r="AH178" s="102"/>
      <c r="AI178" s="99"/>
      <c r="AJ178" s="33"/>
      <c r="AK178" s="114"/>
    </row>
    <row r="179" spans="1:37" x14ac:dyDescent="0.2">
      <c r="A179" s="2279" t="s">
        <v>3304</v>
      </c>
      <c r="B179" s="142"/>
      <c r="C179" s="150"/>
      <c r="D179" s="129"/>
      <c r="E179" s="142"/>
      <c r="F179" s="33"/>
      <c r="G179" s="129"/>
      <c r="H179" s="186"/>
      <c r="I179" s="33"/>
      <c r="J179" s="129"/>
      <c r="K179" s="186"/>
      <c r="L179" s="33"/>
      <c r="M179" s="129"/>
      <c r="N179" s="142"/>
      <c r="O179" s="33"/>
      <c r="P179" s="102"/>
      <c r="Q179" s="99"/>
      <c r="R179" s="33"/>
      <c r="S179" s="114"/>
      <c r="T179" s="99"/>
      <c r="U179" s="33"/>
      <c r="V179" s="99"/>
      <c r="W179" s="502"/>
      <c r="X179" s="33"/>
      <c r="Y179" s="102"/>
      <c r="Z179" s="502"/>
      <c r="AA179" s="33"/>
      <c r="AB179" s="102"/>
      <c r="AC179" s="99"/>
      <c r="AD179" s="33"/>
      <c r="AE179" s="99"/>
      <c r="AF179" s="502"/>
      <c r="AG179" s="33"/>
      <c r="AH179" s="102"/>
      <c r="AI179" s="99"/>
      <c r="AJ179" s="33"/>
      <c r="AK179" s="114"/>
    </row>
    <row r="180" spans="1:37" x14ac:dyDescent="0.2">
      <c r="A180" s="2277" t="s">
        <v>4875</v>
      </c>
      <c r="B180" s="142"/>
      <c r="C180" s="150"/>
      <c r="D180" s="129"/>
      <c r="E180" s="142"/>
      <c r="F180" s="33">
        <v>15000</v>
      </c>
      <c r="G180" s="129">
        <f t="shared" si="131"/>
        <v>-15000</v>
      </c>
      <c r="H180" s="186"/>
      <c r="I180" s="33"/>
      <c r="J180" s="129"/>
      <c r="K180" s="186"/>
      <c r="L180" s="33"/>
      <c r="M180" s="129"/>
      <c r="N180" s="142"/>
      <c r="O180" s="33"/>
      <c r="P180" s="102"/>
      <c r="Q180" s="99"/>
      <c r="R180" s="33"/>
      <c r="S180" s="114"/>
      <c r="T180" s="99"/>
      <c r="U180" s="33"/>
      <c r="V180" s="99"/>
      <c r="W180" s="502"/>
      <c r="X180" s="33"/>
      <c r="Y180" s="102"/>
      <c r="Z180" s="502"/>
      <c r="AA180" s="33"/>
      <c r="AB180" s="102"/>
      <c r="AC180" s="99"/>
      <c r="AD180" s="33"/>
      <c r="AE180" s="99"/>
      <c r="AF180" s="502"/>
      <c r="AG180" s="33"/>
      <c r="AH180" s="102"/>
      <c r="AI180" s="99"/>
      <c r="AJ180" s="33"/>
      <c r="AK180" s="114"/>
    </row>
    <row r="181" spans="1:37" hidden="1" x14ac:dyDescent="0.2">
      <c r="A181" s="2277" t="s">
        <v>6779</v>
      </c>
      <c r="B181" s="142"/>
      <c r="C181" s="150">
        <v>25000</v>
      </c>
      <c r="D181" s="129">
        <f>B181-C181</f>
        <v>-25000</v>
      </c>
      <c r="E181" s="142"/>
      <c r="F181" s="33"/>
      <c r="G181" s="129"/>
      <c r="H181" s="186"/>
      <c r="I181" s="33"/>
      <c r="J181" s="129"/>
      <c r="K181" s="186"/>
      <c r="L181" s="33"/>
      <c r="M181" s="129"/>
      <c r="N181" s="142"/>
      <c r="O181" s="33"/>
      <c r="P181" s="102"/>
      <c r="Q181" s="99"/>
      <c r="R181" s="33"/>
      <c r="S181" s="114"/>
      <c r="T181" s="99"/>
      <c r="U181" s="33"/>
      <c r="V181" s="99"/>
      <c r="W181" s="502"/>
      <c r="X181" s="33"/>
      <c r="Y181" s="102"/>
      <c r="Z181" s="502"/>
      <c r="AA181" s="33"/>
      <c r="AB181" s="102"/>
      <c r="AC181" s="99"/>
      <c r="AD181" s="33"/>
      <c r="AE181" s="99"/>
      <c r="AF181" s="502"/>
      <c r="AG181" s="33"/>
      <c r="AH181" s="102"/>
      <c r="AI181" s="99"/>
      <c r="AJ181" s="33"/>
      <c r="AK181" s="114"/>
    </row>
    <row r="182" spans="1:37" x14ac:dyDescent="0.2">
      <c r="A182" s="2277" t="s">
        <v>6178</v>
      </c>
      <c r="B182" s="142"/>
      <c r="C182" s="150"/>
      <c r="D182" s="129"/>
      <c r="E182" s="142"/>
      <c r="F182" s="33">
        <f>63000</f>
        <v>63000</v>
      </c>
      <c r="G182" s="129">
        <f t="shared" si="131"/>
        <v>-63000</v>
      </c>
      <c r="H182" s="186"/>
      <c r="I182" s="33"/>
      <c r="J182" s="129"/>
      <c r="K182" s="186"/>
      <c r="L182" s="33"/>
      <c r="M182" s="129"/>
      <c r="N182" s="142"/>
      <c r="O182" s="33"/>
      <c r="P182" s="102"/>
      <c r="Q182" s="99"/>
      <c r="R182" s="33"/>
      <c r="S182" s="114"/>
      <c r="T182" s="99"/>
      <c r="U182" s="33"/>
      <c r="V182" s="99"/>
      <c r="W182" s="502"/>
      <c r="X182" s="33"/>
      <c r="Y182" s="102"/>
      <c r="Z182" s="502"/>
      <c r="AA182" s="33"/>
      <c r="AB182" s="102"/>
      <c r="AC182" s="99"/>
      <c r="AD182" s="33"/>
      <c r="AE182" s="99"/>
      <c r="AF182" s="502"/>
      <c r="AG182" s="33"/>
      <c r="AH182" s="102"/>
      <c r="AI182" s="99"/>
      <c r="AJ182" s="33"/>
      <c r="AK182" s="114"/>
    </row>
    <row r="183" spans="1:37" hidden="1" x14ac:dyDescent="0.2">
      <c r="A183" s="2277" t="s">
        <v>6788</v>
      </c>
      <c r="B183" s="142"/>
      <c r="C183" s="150">
        <v>27800</v>
      </c>
      <c r="D183" s="129">
        <f>B183-C183</f>
        <v>-27800</v>
      </c>
      <c r="E183" s="142"/>
      <c r="F183" s="33"/>
      <c r="G183" s="129"/>
      <c r="H183" s="186"/>
      <c r="I183" s="33"/>
      <c r="J183" s="129"/>
      <c r="K183" s="186"/>
      <c r="L183" s="33"/>
      <c r="M183" s="129"/>
      <c r="N183" s="142"/>
      <c r="O183" s="33"/>
      <c r="P183" s="102"/>
      <c r="Q183" s="99"/>
      <c r="R183" s="33"/>
      <c r="S183" s="114"/>
      <c r="T183" s="99"/>
      <c r="U183" s="33"/>
      <c r="V183" s="99"/>
      <c r="W183" s="502"/>
      <c r="X183" s="33"/>
      <c r="Y183" s="102"/>
      <c r="Z183" s="502"/>
      <c r="AA183" s="33"/>
      <c r="AB183" s="102"/>
      <c r="AC183" s="99"/>
      <c r="AD183" s="33"/>
      <c r="AE183" s="99"/>
      <c r="AF183" s="502"/>
      <c r="AG183" s="33"/>
      <c r="AH183" s="102"/>
      <c r="AI183" s="99"/>
      <c r="AJ183" s="33"/>
      <c r="AK183" s="114"/>
    </row>
    <row r="184" spans="1:37" hidden="1" x14ac:dyDescent="0.2">
      <c r="A184" s="2277" t="s">
        <v>5388</v>
      </c>
      <c r="B184" s="142"/>
      <c r="C184" s="150">
        <v>23200</v>
      </c>
      <c r="D184" s="129">
        <f t="shared" ref="D184:D216" si="146">B184-C184</f>
        <v>-23200</v>
      </c>
      <c r="E184" s="142"/>
      <c r="F184" s="33"/>
      <c r="G184" s="129"/>
      <c r="H184" s="186"/>
      <c r="I184" s="33"/>
      <c r="J184" s="129"/>
      <c r="K184" s="186"/>
      <c r="L184" s="33"/>
      <c r="M184" s="129"/>
      <c r="N184" s="142"/>
      <c r="O184" s="33"/>
      <c r="P184" s="102"/>
      <c r="Q184" s="99"/>
      <c r="R184" s="33"/>
      <c r="S184" s="114"/>
      <c r="T184" s="99"/>
      <c r="U184" s="33"/>
      <c r="V184" s="99"/>
      <c r="W184" s="502"/>
      <c r="X184" s="33"/>
      <c r="Y184" s="102"/>
      <c r="Z184" s="502"/>
      <c r="AA184" s="33"/>
      <c r="AB184" s="102"/>
      <c r="AC184" s="99"/>
      <c r="AD184" s="33"/>
      <c r="AE184" s="99"/>
      <c r="AF184" s="502"/>
      <c r="AG184" s="33"/>
      <c r="AH184" s="102"/>
      <c r="AI184" s="99"/>
      <c r="AJ184" s="33"/>
      <c r="AK184" s="114"/>
    </row>
    <row r="185" spans="1:37" x14ac:dyDescent="0.2">
      <c r="A185" s="2277" t="s">
        <v>5389</v>
      </c>
      <c r="B185" s="142">
        <f>119000-50000</f>
        <v>69000</v>
      </c>
      <c r="C185" s="150"/>
      <c r="D185" s="129">
        <f t="shared" si="146"/>
        <v>69000</v>
      </c>
      <c r="E185" s="142">
        <v>11600</v>
      </c>
      <c r="F185" s="33"/>
      <c r="G185" s="129">
        <f t="shared" si="131"/>
        <v>11600</v>
      </c>
      <c r="H185" s="186"/>
      <c r="I185" s="33"/>
      <c r="J185" s="129"/>
      <c r="K185" s="186"/>
      <c r="L185" s="33"/>
      <c r="M185" s="129"/>
      <c r="N185" s="142"/>
      <c r="O185" s="33"/>
      <c r="P185" s="102"/>
      <c r="Q185" s="99"/>
      <c r="R185" s="33"/>
      <c r="S185" s="114"/>
      <c r="T185" s="99"/>
      <c r="U185" s="33"/>
      <c r="V185" s="99"/>
      <c r="W185" s="502"/>
      <c r="X185" s="33"/>
      <c r="Y185" s="102"/>
      <c r="Z185" s="502"/>
      <c r="AA185" s="33"/>
      <c r="AB185" s="102"/>
      <c r="AC185" s="99"/>
      <c r="AD185" s="33"/>
      <c r="AE185" s="99"/>
      <c r="AF185" s="502"/>
      <c r="AG185" s="33"/>
      <c r="AH185" s="102"/>
      <c r="AI185" s="99"/>
      <c r="AJ185" s="33"/>
      <c r="AK185" s="114"/>
    </row>
    <row r="186" spans="1:37" hidden="1" x14ac:dyDescent="0.2">
      <c r="A186" s="2277" t="s">
        <v>6819</v>
      </c>
      <c r="B186" s="142"/>
      <c r="C186" s="150">
        <v>40000</v>
      </c>
      <c r="D186" s="129">
        <f t="shared" si="146"/>
        <v>-40000</v>
      </c>
      <c r="E186" s="142"/>
      <c r="F186" s="33"/>
      <c r="G186" s="129"/>
      <c r="H186" s="186"/>
      <c r="I186" s="33"/>
      <c r="J186" s="129"/>
      <c r="K186" s="186"/>
      <c r="L186" s="33"/>
      <c r="M186" s="129"/>
      <c r="N186" s="142"/>
      <c r="O186" s="33"/>
      <c r="P186" s="102"/>
      <c r="Q186" s="99"/>
      <c r="R186" s="33"/>
      <c r="S186" s="114"/>
      <c r="T186" s="99"/>
      <c r="U186" s="33"/>
      <c r="V186" s="99"/>
      <c r="W186" s="502"/>
      <c r="X186" s="33"/>
      <c r="Y186" s="102"/>
      <c r="Z186" s="502"/>
      <c r="AA186" s="33"/>
      <c r="AB186" s="102"/>
      <c r="AC186" s="99"/>
      <c r="AD186" s="33"/>
      <c r="AE186" s="99"/>
      <c r="AF186" s="502"/>
      <c r="AG186" s="33"/>
      <c r="AH186" s="102"/>
      <c r="AI186" s="99"/>
      <c r="AJ186" s="33"/>
      <c r="AK186" s="114"/>
    </row>
    <row r="187" spans="1:37" x14ac:dyDescent="0.2">
      <c r="A187" s="2277" t="s">
        <v>6784</v>
      </c>
      <c r="B187" s="142"/>
      <c r="C187" s="150"/>
      <c r="D187" s="129"/>
      <c r="E187" s="142"/>
      <c r="F187" s="33">
        <v>6000</v>
      </c>
      <c r="G187" s="129">
        <f t="shared" si="131"/>
        <v>-6000</v>
      </c>
      <c r="H187" s="186"/>
      <c r="I187" s="33"/>
      <c r="J187" s="129"/>
      <c r="K187" s="186"/>
      <c r="L187" s="33"/>
      <c r="M187" s="129"/>
      <c r="N187" s="142"/>
      <c r="O187" s="33"/>
      <c r="P187" s="102"/>
      <c r="Q187" s="99"/>
      <c r="R187" s="33"/>
      <c r="S187" s="114"/>
      <c r="T187" s="99"/>
      <c r="U187" s="33"/>
      <c r="V187" s="99"/>
      <c r="W187" s="502"/>
      <c r="X187" s="33"/>
      <c r="Y187" s="102"/>
      <c r="Z187" s="502"/>
      <c r="AA187" s="33"/>
      <c r="AB187" s="102"/>
      <c r="AC187" s="99"/>
      <c r="AD187" s="33"/>
      <c r="AE187" s="99"/>
      <c r="AF187" s="502"/>
      <c r="AG187" s="33"/>
      <c r="AH187" s="102"/>
      <c r="AI187" s="99"/>
      <c r="AJ187" s="33"/>
      <c r="AK187" s="114"/>
    </row>
    <row r="188" spans="1:37" x14ac:dyDescent="0.2">
      <c r="A188" s="2277" t="s">
        <v>6177</v>
      </c>
      <c r="B188" s="142"/>
      <c r="C188" s="150"/>
      <c r="D188" s="129"/>
      <c r="E188" s="142"/>
      <c r="F188" s="33">
        <v>35000</v>
      </c>
      <c r="G188" s="129">
        <f t="shared" si="131"/>
        <v>-35000</v>
      </c>
      <c r="H188" s="186"/>
      <c r="I188" s="33"/>
      <c r="J188" s="129"/>
      <c r="K188" s="186"/>
      <c r="L188" s="33"/>
      <c r="M188" s="129"/>
      <c r="N188" s="142"/>
      <c r="O188" s="33"/>
      <c r="P188" s="102"/>
      <c r="Q188" s="99"/>
      <c r="R188" s="33"/>
      <c r="S188" s="114"/>
      <c r="T188" s="99"/>
      <c r="U188" s="33"/>
      <c r="V188" s="99"/>
      <c r="W188" s="502"/>
      <c r="X188" s="33"/>
      <c r="Y188" s="102"/>
      <c r="Z188" s="502"/>
      <c r="AA188" s="33"/>
      <c r="AB188" s="102"/>
      <c r="AC188" s="99"/>
      <c r="AD188" s="33"/>
      <c r="AE188" s="99"/>
      <c r="AF188" s="502"/>
      <c r="AG188" s="33"/>
      <c r="AH188" s="102"/>
      <c r="AI188" s="99"/>
      <c r="AJ188" s="33"/>
      <c r="AK188" s="114"/>
    </row>
    <row r="189" spans="1:37" x14ac:dyDescent="0.2">
      <c r="A189" s="2277" t="s">
        <v>6856</v>
      </c>
      <c r="B189" s="142"/>
      <c r="C189" s="150"/>
      <c r="D189" s="129"/>
      <c r="E189" s="142"/>
      <c r="F189" s="33">
        <v>50000</v>
      </c>
      <c r="G189" s="129">
        <f t="shared" ref="G189" si="147">E189-F189</f>
        <v>-50000</v>
      </c>
      <c r="H189" s="186"/>
      <c r="I189" s="33"/>
      <c r="J189" s="129"/>
      <c r="K189" s="186"/>
      <c r="L189" s="33"/>
      <c r="M189" s="129"/>
      <c r="N189" s="142"/>
      <c r="O189" s="33"/>
      <c r="P189" s="102"/>
      <c r="Q189" s="99"/>
      <c r="R189" s="33"/>
      <c r="S189" s="114"/>
      <c r="T189" s="99"/>
      <c r="U189" s="33"/>
      <c r="V189" s="99"/>
      <c r="W189" s="502"/>
      <c r="X189" s="33"/>
      <c r="Y189" s="102"/>
      <c r="Z189" s="502"/>
      <c r="AA189" s="33"/>
      <c r="AB189" s="102"/>
      <c r="AC189" s="99"/>
      <c r="AD189" s="33"/>
      <c r="AE189" s="99"/>
      <c r="AF189" s="502"/>
      <c r="AG189" s="33"/>
      <c r="AH189" s="102"/>
      <c r="AI189" s="99"/>
      <c r="AJ189" s="33"/>
      <c r="AK189" s="114"/>
    </row>
    <row r="190" spans="1:37" x14ac:dyDescent="0.2">
      <c r="A190" s="2277" t="s">
        <v>6854</v>
      </c>
      <c r="B190" s="142"/>
      <c r="C190" s="150"/>
      <c r="D190" s="129"/>
      <c r="E190" s="142"/>
      <c r="F190" s="33">
        <v>50000</v>
      </c>
      <c r="G190" s="129">
        <f>E190-F190</f>
        <v>-50000</v>
      </c>
      <c r="H190" s="186"/>
      <c r="I190" s="33"/>
      <c r="J190" s="129"/>
      <c r="K190" s="186"/>
      <c r="L190" s="33"/>
      <c r="M190" s="129"/>
      <c r="N190" s="142"/>
      <c r="O190" s="33"/>
      <c r="P190" s="102"/>
      <c r="Q190" s="99"/>
      <c r="R190" s="33"/>
      <c r="S190" s="114"/>
      <c r="T190" s="99"/>
      <c r="U190" s="33"/>
      <c r="V190" s="99"/>
      <c r="W190" s="502"/>
      <c r="X190" s="33"/>
      <c r="Y190" s="102"/>
      <c r="Z190" s="502"/>
      <c r="AA190" s="33"/>
      <c r="AB190" s="102"/>
      <c r="AC190" s="99"/>
      <c r="AD190" s="33"/>
      <c r="AE190" s="99"/>
      <c r="AF190" s="502"/>
      <c r="AG190" s="33"/>
      <c r="AH190" s="102"/>
      <c r="AI190" s="99"/>
      <c r="AJ190" s="33"/>
      <c r="AK190" s="114"/>
    </row>
    <row r="191" spans="1:37" x14ac:dyDescent="0.2">
      <c r="A191" s="2277" t="s">
        <v>6855</v>
      </c>
      <c r="B191" s="142"/>
      <c r="C191" s="150"/>
      <c r="D191" s="129"/>
      <c r="E191" s="142"/>
      <c r="F191" s="33">
        <v>25000</v>
      </c>
      <c r="G191" s="129">
        <f>E191-F191</f>
        <v>-25000</v>
      </c>
      <c r="H191" s="186"/>
      <c r="I191" s="33"/>
      <c r="J191" s="129"/>
      <c r="K191" s="186"/>
      <c r="L191" s="33"/>
      <c r="M191" s="129"/>
      <c r="N191" s="142"/>
      <c r="O191" s="33"/>
      <c r="P191" s="102"/>
      <c r="Q191" s="99"/>
      <c r="R191" s="33"/>
      <c r="S191" s="114"/>
      <c r="T191" s="99"/>
      <c r="U191" s="33"/>
      <c r="V191" s="99"/>
      <c r="W191" s="502"/>
      <c r="X191" s="33"/>
      <c r="Y191" s="102"/>
      <c r="Z191" s="502"/>
      <c r="AA191" s="33"/>
      <c r="AB191" s="102"/>
      <c r="AC191" s="99"/>
      <c r="AD191" s="33"/>
      <c r="AE191" s="99"/>
      <c r="AF191" s="502"/>
      <c r="AG191" s="33"/>
      <c r="AH191" s="102"/>
      <c r="AI191" s="99"/>
      <c r="AJ191" s="33"/>
      <c r="AK191" s="114"/>
    </row>
    <row r="192" spans="1:37" x14ac:dyDescent="0.2">
      <c r="A192" s="2277" t="s">
        <v>7047</v>
      </c>
      <c r="B192" s="142"/>
      <c r="C192" s="150"/>
      <c r="D192" s="129"/>
      <c r="E192" s="142"/>
      <c r="F192" s="33"/>
      <c r="G192" s="129"/>
      <c r="H192" s="186"/>
      <c r="I192" s="33"/>
      <c r="J192" s="129"/>
      <c r="K192" s="186">
        <v>50000</v>
      </c>
      <c r="L192" s="33"/>
      <c r="M192" s="129">
        <f t="shared" ref="M192" si="148">K192-L192</f>
        <v>50000</v>
      </c>
      <c r="N192" s="142">
        <f>K192</f>
        <v>50000</v>
      </c>
      <c r="O192" s="33">
        <v>100000</v>
      </c>
      <c r="P192" s="102">
        <f t="shared" ref="P192" si="149">N192-O192</f>
        <v>-50000</v>
      </c>
      <c r="Q192" s="99">
        <f>N192</f>
        <v>50000</v>
      </c>
      <c r="R192" s="33"/>
      <c r="S192" s="114">
        <f t="shared" ref="S192" si="150">Q192-R192</f>
        <v>50000</v>
      </c>
      <c r="T192" s="99">
        <f>Q192</f>
        <v>50000</v>
      </c>
      <c r="U192" s="33">
        <v>100000</v>
      </c>
      <c r="V192" s="99">
        <f t="shared" ref="V192" si="151">T192-U192</f>
        <v>-50000</v>
      </c>
      <c r="W192" s="502">
        <f>T192</f>
        <v>50000</v>
      </c>
      <c r="X192" s="33"/>
      <c r="Y192" s="102">
        <f t="shared" ref="Y192" si="152">W192-X192</f>
        <v>50000</v>
      </c>
      <c r="Z192" s="502">
        <f>W192</f>
        <v>50000</v>
      </c>
      <c r="AA192" s="33">
        <v>100000</v>
      </c>
      <c r="AB192" s="102">
        <f t="shared" ref="AB192" si="153">Z192-AA192</f>
        <v>-50000</v>
      </c>
      <c r="AC192" s="99">
        <f>Z192</f>
        <v>50000</v>
      </c>
      <c r="AD192" s="33"/>
      <c r="AE192" s="99">
        <f t="shared" ref="AE192" si="154">AC192-AD192</f>
        <v>50000</v>
      </c>
      <c r="AF192" s="502">
        <f>AC192</f>
        <v>50000</v>
      </c>
      <c r="AG192" s="33">
        <v>100000</v>
      </c>
      <c r="AH192" s="102">
        <f t="shared" ref="AH192" si="155">AF192-AG192</f>
        <v>-50000</v>
      </c>
      <c r="AI192" s="99">
        <f>AF192</f>
        <v>50000</v>
      </c>
      <c r="AJ192" s="33"/>
      <c r="AK192" s="114">
        <f t="shared" ref="AK192" si="156">AI192-AJ192</f>
        <v>50000</v>
      </c>
    </row>
    <row r="193" spans="1:37" x14ac:dyDescent="0.2">
      <c r="A193" s="2278"/>
      <c r="B193" s="142"/>
      <c r="C193" s="150"/>
      <c r="D193" s="129"/>
      <c r="E193" s="142"/>
      <c r="F193" s="33"/>
      <c r="G193" s="129"/>
      <c r="H193" s="186"/>
      <c r="I193" s="33"/>
      <c r="J193" s="129"/>
      <c r="K193" s="186"/>
      <c r="L193" s="33"/>
      <c r="M193" s="129"/>
      <c r="N193" s="142"/>
      <c r="O193" s="33"/>
      <c r="P193" s="102"/>
      <c r="Q193" s="99"/>
      <c r="R193" s="33"/>
      <c r="S193" s="114"/>
      <c r="T193" s="99"/>
      <c r="U193" s="33"/>
      <c r="V193" s="99"/>
      <c r="W193" s="502"/>
      <c r="X193" s="33"/>
      <c r="Y193" s="102"/>
      <c r="Z193" s="502"/>
      <c r="AA193" s="33"/>
      <c r="AB193" s="102"/>
      <c r="AC193" s="99"/>
      <c r="AD193" s="33"/>
      <c r="AE193" s="99"/>
      <c r="AF193" s="502"/>
      <c r="AG193" s="33"/>
      <c r="AH193" s="102"/>
      <c r="AI193" s="99"/>
      <c r="AJ193" s="33"/>
      <c r="AK193" s="114"/>
    </row>
    <row r="194" spans="1:37" x14ac:dyDescent="0.2">
      <c r="A194" s="2279" t="s">
        <v>3078</v>
      </c>
      <c r="B194" s="142"/>
      <c r="C194" s="150"/>
      <c r="D194" s="129"/>
      <c r="E194" s="142"/>
      <c r="F194" s="33"/>
      <c r="G194" s="129"/>
      <c r="H194" s="186"/>
      <c r="I194" s="33"/>
      <c r="J194" s="129"/>
      <c r="K194" s="186"/>
      <c r="L194" s="33"/>
      <c r="M194" s="129"/>
      <c r="N194" s="142"/>
      <c r="O194" s="33"/>
      <c r="P194" s="102"/>
      <c r="Q194" s="99"/>
      <c r="R194" s="33"/>
      <c r="S194" s="114"/>
      <c r="T194" s="99"/>
      <c r="U194" s="33"/>
      <c r="V194" s="99"/>
      <c r="W194" s="502"/>
      <c r="X194" s="33"/>
      <c r="Y194" s="102"/>
      <c r="Z194" s="502"/>
      <c r="AA194" s="33"/>
      <c r="AB194" s="102"/>
      <c r="AC194" s="99"/>
      <c r="AD194" s="33"/>
      <c r="AE194" s="99"/>
      <c r="AF194" s="502"/>
      <c r="AG194" s="33"/>
      <c r="AH194" s="102"/>
      <c r="AI194" s="99"/>
      <c r="AJ194" s="33"/>
      <c r="AK194" s="114"/>
    </row>
    <row r="195" spans="1:37" x14ac:dyDescent="0.2">
      <c r="A195" s="2277" t="s">
        <v>3078</v>
      </c>
      <c r="B195" s="142">
        <v>103100</v>
      </c>
      <c r="C195" s="150">
        <v>146900</v>
      </c>
      <c r="D195" s="129">
        <f t="shared" si="146"/>
        <v>-43800</v>
      </c>
      <c r="E195" s="142"/>
      <c r="F195" s="33">
        <v>103100</v>
      </c>
      <c r="G195" s="129">
        <f t="shared" si="131"/>
        <v>-103100</v>
      </c>
      <c r="H195" s="186"/>
      <c r="I195" s="33"/>
      <c r="J195" s="129"/>
      <c r="K195" s="186"/>
      <c r="L195" s="33"/>
      <c r="M195" s="129"/>
      <c r="N195" s="142"/>
      <c r="O195" s="33"/>
      <c r="P195" s="102"/>
      <c r="Q195" s="99"/>
      <c r="R195" s="33"/>
      <c r="S195" s="114"/>
      <c r="T195" s="99"/>
      <c r="U195" s="33"/>
      <c r="V195" s="99"/>
      <c r="W195" s="502"/>
      <c r="X195" s="33"/>
      <c r="Y195" s="102"/>
      <c r="Z195" s="502"/>
      <c r="AA195" s="33"/>
      <c r="AB195" s="102"/>
      <c r="AC195" s="99"/>
      <c r="AD195" s="33"/>
      <c r="AE195" s="99"/>
      <c r="AF195" s="502"/>
      <c r="AG195" s="33"/>
      <c r="AH195" s="102"/>
      <c r="AI195" s="99"/>
      <c r="AJ195" s="33"/>
      <c r="AK195" s="114"/>
    </row>
    <row r="196" spans="1:37" x14ac:dyDescent="0.2">
      <c r="A196" s="585"/>
      <c r="B196" s="142"/>
      <c r="C196" s="150"/>
      <c r="D196" s="129"/>
      <c r="E196" s="186"/>
      <c r="F196" s="33"/>
      <c r="G196" s="129"/>
      <c r="H196" s="142"/>
      <c r="I196" s="33"/>
      <c r="J196" s="129"/>
      <c r="K196" s="186"/>
      <c r="L196" s="33"/>
      <c r="M196" s="129"/>
      <c r="N196" s="142"/>
      <c r="O196" s="33"/>
      <c r="P196" s="102"/>
      <c r="Q196" s="99"/>
      <c r="R196" s="33"/>
      <c r="S196" s="114"/>
      <c r="T196" s="99"/>
      <c r="U196" s="33"/>
      <c r="V196" s="99"/>
      <c r="W196" s="502"/>
      <c r="X196" s="33"/>
      <c r="Y196" s="102"/>
      <c r="Z196" s="502"/>
      <c r="AA196" s="33"/>
      <c r="AB196" s="102"/>
      <c r="AC196" s="99"/>
      <c r="AD196" s="33"/>
      <c r="AE196" s="99"/>
      <c r="AF196" s="502"/>
      <c r="AG196" s="33"/>
      <c r="AH196" s="102"/>
      <c r="AI196" s="99"/>
      <c r="AJ196" s="33"/>
      <c r="AK196" s="114"/>
    </row>
    <row r="197" spans="1:37" s="74" customFormat="1" x14ac:dyDescent="0.2">
      <c r="A197" s="2927" t="s">
        <v>2623</v>
      </c>
      <c r="B197" s="2928"/>
      <c r="C197" s="2928"/>
      <c r="D197" s="2928"/>
      <c r="E197" s="2928"/>
      <c r="F197" s="2928"/>
      <c r="G197" s="2928"/>
      <c r="H197" s="2928"/>
      <c r="I197" s="2928"/>
      <c r="J197" s="2928"/>
      <c r="K197" s="2928"/>
      <c r="L197" s="2928"/>
      <c r="M197" s="2928"/>
      <c r="N197" s="2928"/>
      <c r="O197" s="2928"/>
      <c r="P197" s="2928"/>
      <c r="Q197" s="2928"/>
      <c r="R197" s="2928"/>
      <c r="S197" s="2929"/>
      <c r="W197" s="1747"/>
      <c r="Y197" s="117"/>
      <c r="Z197" s="1747"/>
      <c r="AB197" s="117"/>
      <c r="AF197" s="1747"/>
      <c r="AH197" s="117"/>
      <c r="AK197" s="115"/>
    </row>
    <row r="198" spans="1:37" s="74" customFormat="1" ht="13.5" thickBot="1" x14ac:dyDescent="0.25">
      <c r="A198" s="404"/>
      <c r="B198" s="120"/>
      <c r="C198" s="2634"/>
      <c r="D198" s="120"/>
      <c r="E198" s="120"/>
      <c r="F198" s="120"/>
      <c r="G198" s="120"/>
      <c r="H198" s="120"/>
      <c r="I198" s="120"/>
      <c r="J198" s="120"/>
      <c r="K198" s="120"/>
      <c r="L198" s="120"/>
      <c r="M198" s="120"/>
      <c r="N198" s="120"/>
      <c r="O198" s="120"/>
      <c r="P198" s="120"/>
      <c r="Q198" s="120"/>
      <c r="R198" s="120"/>
      <c r="S198" s="135"/>
      <c r="T198" s="120"/>
      <c r="U198" s="120"/>
      <c r="V198" s="120"/>
      <c r="W198" s="1748"/>
      <c r="X198" s="120"/>
      <c r="Y198" s="374"/>
      <c r="Z198" s="1748"/>
      <c r="AA198" s="120"/>
      <c r="AB198" s="374"/>
      <c r="AC198" s="120"/>
      <c r="AD198" s="120"/>
      <c r="AE198" s="120"/>
      <c r="AF198" s="1748"/>
      <c r="AG198" s="120"/>
      <c r="AH198" s="374"/>
      <c r="AI198" s="120"/>
      <c r="AJ198" s="120"/>
      <c r="AK198" s="135"/>
    </row>
    <row r="199" spans="1:37" ht="18.75" customHeight="1" thickTop="1" thickBot="1" x14ac:dyDescent="0.25">
      <c r="A199" s="2930" t="s">
        <v>1685</v>
      </c>
      <c r="B199" s="2931"/>
      <c r="C199" s="2931"/>
      <c r="D199" s="2931"/>
      <c r="E199" s="2931"/>
      <c r="F199" s="2931"/>
      <c r="G199" s="2931"/>
      <c r="H199" s="2931"/>
      <c r="I199" s="2931"/>
      <c r="J199" s="2931"/>
      <c r="K199" s="2931"/>
      <c r="L199" s="2931"/>
      <c r="M199" s="2931"/>
      <c r="N199" s="2931"/>
      <c r="O199" s="2931"/>
      <c r="P199" s="2931"/>
      <c r="Q199" s="2931"/>
      <c r="R199" s="2931"/>
      <c r="S199" s="2932"/>
      <c r="T199" s="1743"/>
      <c r="U199" s="1743"/>
      <c r="V199" s="893"/>
      <c r="W199" s="2206"/>
      <c r="X199" s="1749"/>
      <c r="Y199" s="2207"/>
      <c r="Z199" s="2206"/>
      <c r="AA199" s="1749"/>
      <c r="AB199" s="2207"/>
      <c r="AC199" s="1749"/>
      <c r="AD199" s="1749"/>
      <c r="AE199" s="201"/>
      <c r="AF199" s="2206"/>
      <c r="AG199" s="1749"/>
      <c r="AH199" s="2205"/>
      <c r="AI199" s="1749"/>
      <c r="AJ199" s="1749"/>
      <c r="AK199" s="1750"/>
    </row>
    <row r="200" spans="1:37" ht="13.5" thickBot="1" x14ac:dyDescent="0.25">
      <c r="A200" s="2273" t="s">
        <v>1552</v>
      </c>
      <c r="B200" s="2631">
        <f>B93</f>
        <v>0</v>
      </c>
      <c r="C200" s="214"/>
      <c r="D200" s="2630"/>
      <c r="E200" s="214" t="str">
        <f>E108</f>
        <v>2016/17</v>
      </c>
      <c r="F200" s="214"/>
      <c r="G200" s="2630"/>
      <c r="H200" s="2917" t="str">
        <f t="shared" ref="H200" si="157">H108</f>
        <v>2017/18</v>
      </c>
      <c r="I200" s="2918"/>
      <c r="J200" s="2919"/>
      <c r="K200" s="2917" t="str">
        <f t="shared" ref="K200" si="158">K108</f>
        <v>2018/19</v>
      </c>
      <c r="L200" s="2918"/>
      <c r="M200" s="2919"/>
      <c r="N200" s="2933" t="str">
        <f t="shared" ref="N200" si="159">N108</f>
        <v>2019/20</v>
      </c>
      <c r="O200" s="2934"/>
      <c r="P200" s="2935"/>
      <c r="Q200" s="2933" t="str">
        <f t="shared" ref="Q200" si="160">Q108</f>
        <v>2020/21</v>
      </c>
      <c r="R200" s="2934"/>
      <c r="S200" s="2936"/>
      <c r="T200" s="2934" t="str">
        <f t="shared" ref="T200" si="161">T108</f>
        <v>2021/22</v>
      </c>
      <c r="U200" s="2934"/>
      <c r="V200" s="2934"/>
      <c r="W200" s="2933" t="str">
        <f t="shared" ref="W200" si="162">W108</f>
        <v>2022/23</v>
      </c>
      <c r="X200" s="2934"/>
      <c r="Y200" s="2935"/>
      <c r="Z200" s="2933" t="str">
        <f t="shared" ref="Z200" si="163">Z108</f>
        <v>2023/24</v>
      </c>
      <c r="AA200" s="2934"/>
      <c r="AB200" s="2935"/>
      <c r="AC200" s="2934" t="str">
        <f t="shared" ref="AC200" si="164">AC108</f>
        <v>2024/25</v>
      </c>
      <c r="AD200" s="2934"/>
      <c r="AE200" s="2934"/>
      <c r="AF200" s="2933" t="str">
        <f t="shared" ref="AF200" si="165">AF108</f>
        <v>2025/26</v>
      </c>
      <c r="AG200" s="2934"/>
      <c r="AH200" s="2935"/>
      <c r="AI200" s="2934" t="str">
        <f t="shared" ref="AI200" si="166">AI108</f>
        <v>2026/27</v>
      </c>
      <c r="AJ200" s="2934"/>
      <c r="AK200" s="2936"/>
    </row>
    <row r="201" spans="1:37" ht="13.5" thickBot="1" x14ac:dyDescent="0.25">
      <c r="A201" s="2274"/>
      <c r="B201" s="332">
        <f>B94</f>
        <v>0</v>
      </c>
      <c r="C201" s="322">
        <f>C94</f>
        <v>0</v>
      </c>
      <c r="D201" s="322">
        <f>D94</f>
        <v>0</v>
      </c>
      <c r="E201" s="322" t="str">
        <f>E109</f>
        <v>To</v>
      </c>
      <c r="F201" s="322" t="str">
        <f t="shared" ref="F201:H201" si="167">F109</f>
        <v>From</v>
      </c>
      <c r="G201" s="325" t="str">
        <f t="shared" si="167"/>
        <v>Net</v>
      </c>
      <c r="H201" s="566" t="str">
        <f t="shared" si="167"/>
        <v>To</v>
      </c>
      <c r="I201" s="322" t="str">
        <f t="shared" ref="I201:AK201" si="168">I109</f>
        <v>From</v>
      </c>
      <c r="J201" s="325" t="str">
        <f t="shared" si="168"/>
        <v>Net</v>
      </c>
      <c r="K201" s="566" t="str">
        <f t="shared" si="168"/>
        <v>To</v>
      </c>
      <c r="L201" s="322" t="str">
        <f t="shared" si="168"/>
        <v>From</v>
      </c>
      <c r="M201" s="325" t="str">
        <f t="shared" si="168"/>
        <v>Net</v>
      </c>
      <c r="N201" s="332" t="str">
        <f t="shared" si="168"/>
        <v>To</v>
      </c>
      <c r="O201" s="322" t="str">
        <f t="shared" si="168"/>
        <v>From</v>
      </c>
      <c r="P201" s="325" t="str">
        <f t="shared" si="168"/>
        <v>Net</v>
      </c>
      <c r="Q201" s="332" t="str">
        <f t="shared" si="168"/>
        <v>To</v>
      </c>
      <c r="R201" s="322" t="str">
        <f t="shared" si="168"/>
        <v>From</v>
      </c>
      <c r="S201" s="333" t="str">
        <f t="shared" si="168"/>
        <v>Net</v>
      </c>
      <c r="T201" s="332" t="str">
        <f t="shared" si="168"/>
        <v>To</v>
      </c>
      <c r="U201" s="322" t="str">
        <f t="shared" si="168"/>
        <v>From</v>
      </c>
      <c r="V201" s="557" t="str">
        <f t="shared" si="168"/>
        <v>Net</v>
      </c>
      <c r="W201" s="566" t="str">
        <f t="shared" si="168"/>
        <v>To</v>
      </c>
      <c r="X201" s="322" t="str">
        <f t="shared" si="168"/>
        <v>From</v>
      </c>
      <c r="Y201" s="325" t="str">
        <f t="shared" si="168"/>
        <v>Net</v>
      </c>
      <c r="Z201" s="566" t="str">
        <f t="shared" si="168"/>
        <v>To</v>
      </c>
      <c r="AA201" s="322" t="str">
        <f t="shared" si="168"/>
        <v>From</v>
      </c>
      <c r="AB201" s="325" t="str">
        <f t="shared" si="168"/>
        <v>Net</v>
      </c>
      <c r="AC201" s="332" t="str">
        <f t="shared" si="168"/>
        <v>To</v>
      </c>
      <c r="AD201" s="322" t="str">
        <f t="shared" si="168"/>
        <v>From</v>
      </c>
      <c r="AE201" s="557" t="str">
        <f t="shared" si="168"/>
        <v>Net</v>
      </c>
      <c r="AF201" s="566" t="str">
        <f t="shared" si="168"/>
        <v>To</v>
      </c>
      <c r="AG201" s="322" t="str">
        <f t="shared" si="168"/>
        <v>From</v>
      </c>
      <c r="AH201" s="325" t="str">
        <f t="shared" si="168"/>
        <v>Net</v>
      </c>
      <c r="AI201" s="332" t="str">
        <f t="shared" si="168"/>
        <v>To</v>
      </c>
      <c r="AJ201" s="322" t="str">
        <f t="shared" si="168"/>
        <v>From</v>
      </c>
      <c r="AK201" s="333" t="str">
        <f t="shared" si="168"/>
        <v>Net</v>
      </c>
    </row>
    <row r="202" spans="1:37" x14ac:dyDescent="0.2">
      <c r="A202" s="585"/>
      <c r="B202" s="142"/>
      <c r="C202" s="150"/>
      <c r="D202" s="129"/>
      <c r="E202" s="186"/>
      <c r="F202" s="33"/>
      <c r="G202" s="129"/>
      <c r="H202" s="142"/>
      <c r="I202" s="33"/>
      <c r="J202" s="129"/>
      <c r="K202" s="186"/>
      <c r="L202" s="33"/>
      <c r="M202" s="129"/>
      <c r="N202" s="142"/>
      <c r="O202" s="33"/>
      <c r="P202" s="102"/>
      <c r="Q202" s="99"/>
      <c r="R202" s="33"/>
      <c r="S202" s="114"/>
      <c r="T202" s="99"/>
      <c r="U202" s="33"/>
      <c r="V202" s="99"/>
      <c r="W202" s="502"/>
      <c r="X202" s="33"/>
      <c r="Y202" s="102"/>
      <c r="Z202" s="502"/>
      <c r="AA202" s="33"/>
      <c r="AB202" s="102"/>
      <c r="AC202" s="99"/>
      <c r="AD202" s="33"/>
      <c r="AE202" s="99"/>
      <c r="AF202" s="502"/>
      <c r="AG202" s="33"/>
      <c r="AH202" s="102"/>
      <c r="AI202" s="99"/>
      <c r="AJ202" s="33"/>
      <c r="AK202" s="114"/>
    </row>
    <row r="203" spans="1:37" x14ac:dyDescent="0.2">
      <c r="A203" s="2278"/>
      <c r="B203" s="142"/>
      <c r="C203" s="33"/>
      <c r="D203" s="129"/>
      <c r="E203" s="142"/>
      <c r="F203" s="33"/>
      <c r="G203" s="129"/>
      <c r="H203" s="186"/>
      <c r="I203" s="33"/>
      <c r="J203" s="129"/>
      <c r="K203" s="186"/>
      <c r="L203" s="33"/>
      <c r="M203" s="129"/>
      <c r="N203" s="142"/>
      <c r="O203" s="33"/>
      <c r="P203" s="102"/>
      <c r="Q203" s="99"/>
      <c r="R203" s="33"/>
      <c r="S203" s="114"/>
      <c r="T203" s="99"/>
      <c r="U203" s="33"/>
      <c r="V203" s="99"/>
      <c r="W203" s="502"/>
      <c r="X203" s="33"/>
      <c r="Y203" s="102"/>
      <c r="Z203" s="502"/>
      <c r="AA203" s="33"/>
      <c r="AB203" s="102"/>
      <c r="AC203" s="99"/>
      <c r="AD203" s="33"/>
      <c r="AE203" s="99"/>
      <c r="AF203" s="502"/>
      <c r="AG203" s="33"/>
      <c r="AH203" s="102"/>
      <c r="AI203" s="99"/>
      <c r="AJ203" s="33"/>
      <c r="AK203" s="114"/>
    </row>
    <row r="204" spans="1:37" ht="12" customHeight="1" x14ac:dyDescent="0.2">
      <c r="A204" s="2275" t="s">
        <v>282</v>
      </c>
      <c r="B204" s="142"/>
      <c r="C204" s="150"/>
      <c r="D204" s="129"/>
      <c r="E204" s="142"/>
      <c r="F204" s="33"/>
      <c r="G204" s="129"/>
      <c r="H204" s="186"/>
      <c r="I204" s="33"/>
      <c r="J204" s="129"/>
      <c r="K204" s="186"/>
      <c r="L204" s="33"/>
      <c r="M204" s="129"/>
      <c r="N204" s="142"/>
      <c r="O204" s="33"/>
      <c r="P204" s="102"/>
      <c r="Q204" s="99"/>
      <c r="R204" s="33"/>
      <c r="S204" s="114"/>
      <c r="T204" s="99"/>
      <c r="U204" s="33"/>
      <c r="V204" s="99"/>
      <c r="W204" s="502"/>
      <c r="X204" s="33"/>
      <c r="Y204" s="102"/>
      <c r="Z204" s="502"/>
      <c r="AA204" s="33"/>
      <c r="AB204" s="102"/>
      <c r="AC204" s="99"/>
      <c r="AD204" s="33"/>
      <c r="AE204" s="99"/>
      <c r="AF204" s="502"/>
      <c r="AG204" s="33"/>
      <c r="AH204" s="102"/>
      <c r="AI204" s="99"/>
      <c r="AJ204" s="33"/>
      <c r="AK204" s="114"/>
    </row>
    <row r="205" spans="1:37" x14ac:dyDescent="0.2">
      <c r="A205" s="2277" t="s">
        <v>3122</v>
      </c>
      <c r="B205" s="142">
        <v>153300</v>
      </c>
      <c r="C205" s="150">
        <v>401600</v>
      </c>
      <c r="D205" s="129">
        <f t="shared" si="146"/>
        <v>-248300</v>
      </c>
      <c r="E205" s="142"/>
      <c r="F205" s="33">
        <f>8100+43000+48500+10000</f>
        <v>109600</v>
      </c>
      <c r="G205" s="129">
        <f t="shared" si="131"/>
        <v>-109600</v>
      </c>
      <c r="H205" s="186"/>
      <c r="I205" s="33"/>
      <c r="J205" s="129"/>
      <c r="K205" s="186"/>
      <c r="L205" s="33"/>
      <c r="M205" s="129"/>
      <c r="N205" s="142"/>
      <c r="O205" s="33"/>
      <c r="P205" s="102"/>
      <c r="Q205" s="99"/>
      <c r="R205" s="33"/>
      <c r="S205" s="114"/>
      <c r="T205" s="99"/>
      <c r="U205" s="33"/>
      <c r="V205" s="99"/>
      <c r="W205" s="502"/>
      <c r="X205" s="33"/>
      <c r="Y205" s="102"/>
      <c r="Z205" s="502"/>
      <c r="AA205" s="33"/>
      <c r="AB205" s="102"/>
      <c r="AC205" s="99"/>
      <c r="AD205" s="33"/>
      <c r="AE205" s="99"/>
      <c r="AF205" s="502"/>
      <c r="AG205" s="33"/>
      <c r="AH205" s="102"/>
      <c r="AI205" s="99"/>
      <c r="AJ205" s="33"/>
      <c r="AK205" s="114"/>
    </row>
    <row r="206" spans="1:37" x14ac:dyDescent="0.2">
      <c r="A206" s="2277" t="s">
        <v>3686</v>
      </c>
      <c r="B206" s="142"/>
      <c r="C206" s="150"/>
      <c r="D206" s="129"/>
      <c r="E206" s="142"/>
      <c r="F206" s="33">
        <f>'Cap-Gen'!Y421</f>
        <v>43700</v>
      </c>
      <c r="G206" s="129">
        <f>E206-F206</f>
        <v>-43700</v>
      </c>
      <c r="H206" s="186"/>
      <c r="I206" s="33"/>
      <c r="J206" s="129"/>
      <c r="K206" s="186"/>
      <c r="L206" s="33"/>
      <c r="M206" s="129"/>
      <c r="N206" s="142"/>
      <c r="O206" s="33"/>
      <c r="P206" s="102"/>
      <c r="Q206" s="99"/>
      <c r="R206" s="33"/>
      <c r="S206" s="114"/>
      <c r="T206" s="99"/>
      <c r="U206" s="33"/>
      <c r="V206" s="99"/>
      <c r="W206" s="502"/>
      <c r="X206" s="33"/>
      <c r="Y206" s="102"/>
      <c r="Z206" s="502"/>
      <c r="AA206" s="33"/>
      <c r="AB206" s="102"/>
      <c r="AC206" s="99"/>
      <c r="AD206" s="33"/>
      <c r="AE206" s="99"/>
      <c r="AF206" s="502"/>
      <c r="AG206" s="33"/>
      <c r="AH206" s="102"/>
      <c r="AI206" s="99"/>
      <c r="AJ206" s="33"/>
      <c r="AK206" s="114"/>
    </row>
    <row r="207" spans="1:37" x14ac:dyDescent="0.2">
      <c r="A207" s="2278"/>
      <c r="B207" s="142"/>
      <c r="C207" s="150"/>
      <c r="D207" s="129"/>
      <c r="E207" s="142"/>
      <c r="F207" s="33"/>
      <c r="G207" s="129"/>
      <c r="H207" s="186"/>
      <c r="I207" s="33"/>
      <c r="J207" s="129"/>
      <c r="K207" s="186"/>
      <c r="L207" s="33"/>
      <c r="M207" s="129"/>
      <c r="N207" s="142"/>
      <c r="O207" s="33"/>
      <c r="P207" s="102"/>
      <c r="Q207" s="99"/>
      <c r="R207" s="33"/>
      <c r="S207" s="114"/>
      <c r="T207" s="99"/>
      <c r="U207" s="33"/>
      <c r="V207" s="99"/>
      <c r="W207" s="502"/>
      <c r="X207" s="33"/>
      <c r="Y207" s="102"/>
      <c r="Z207" s="502"/>
      <c r="AA207" s="33"/>
      <c r="AB207" s="102"/>
      <c r="AC207" s="99"/>
      <c r="AD207" s="33"/>
      <c r="AE207" s="99"/>
      <c r="AF207" s="502"/>
      <c r="AG207" s="33"/>
      <c r="AH207" s="102"/>
      <c r="AI207" s="99"/>
      <c r="AJ207" s="33"/>
      <c r="AK207" s="114"/>
    </row>
    <row r="208" spans="1:37" x14ac:dyDescent="0.2">
      <c r="A208" s="2279" t="s">
        <v>167</v>
      </c>
      <c r="B208" s="142"/>
      <c r="C208" s="150"/>
      <c r="D208" s="129"/>
      <c r="E208" s="142"/>
      <c r="F208" s="33"/>
      <c r="G208" s="129"/>
      <c r="H208" s="186"/>
      <c r="I208" s="33"/>
      <c r="J208" s="129"/>
      <c r="K208" s="186"/>
      <c r="L208" s="33"/>
      <c r="M208" s="129"/>
      <c r="N208" s="142"/>
      <c r="O208" s="33"/>
      <c r="P208" s="102"/>
      <c r="Q208" s="99"/>
      <c r="R208" s="33"/>
      <c r="S208" s="114"/>
      <c r="T208" s="99"/>
      <c r="U208" s="33"/>
      <c r="V208" s="99"/>
      <c r="W208" s="502"/>
      <c r="X208" s="33"/>
      <c r="Y208" s="102"/>
      <c r="Z208" s="502"/>
      <c r="AA208" s="33"/>
      <c r="AB208" s="102"/>
      <c r="AC208" s="99"/>
      <c r="AD208" s="33"/>
      <c r="AE208" s="99"/>
      <c r="AF208" s="502"/>
      <c r="AG208" s="33"/>
      <c r="AH208" s="102"/>
      <c r="AI208" s="99"/>
      <c r="AJ208" s="33"/>
      <c r="AK208" s="114"/>
    </row>
    <row r="209" spans="1:46" x14ac:dyDescent="0.2">
      <c r="A209" s="2277" t="s">
        <v>5625</v>
      </c>
      <c r="B209" s="142">
        <v>158900</v>
      </c>
      <c r="C209" s="150">
        <v>178000</v>
      </c>
      <c r="D209" s="129">
        <f t="shared" si="146"/>
        <v>-19100</v>
      </c>
      <c r="E209" s="142"/>
      <c r="F209" s="33">
        <f>146100+CIV!G1425+CIV!G1426</f>
        <v>158900</v>
      </c>
      <c r="G209" s="129">
        <f t="shared" si="131"/>
        <v>-158900</v>
      </c>
      <c r="H209" s="186"/>
      <c r="I209" s="33"/>
      <c r="J209" s="129"/>
      <c r="K209" s="186"/>
      <c r="L209" s="33"/>
      <c r="M209" s="129"/>
      <c r="N209" s="142"/>
      <c r="O209" s="33"/>
      <c r="P209" s="102"/>
      <c r="Q209" s="99"/>
      <c r="R209" s="33"/>
      <c r="S209" s="114"/>
      <c r="T209" s="99"/>
      <c r="U209" s="33"/>
      <c r="V209" s="99"/>
      <c r="W209" s="502"/>
      <c r="X209" s="33"/>
      <c r="Y209" s="102"/>
      <c r="Z209" s="502"/>
      <c r="AA209" s="33"/>
      <c r="AB209" s="102"/>
      <c r="AC209" s="99"/>
      <c r="AD209" s="33"/>
      <c r="AE209" s="99"/>
      <c r="AF209" s="502"/>
      <c r="AG209" s="33"/>
      <c r="AH209" s="102"/>
      <c r="AI209" s="99"/>
      <c r="AJ209" s="33"/>
      <c r="AK209" s="114"/>
    </row>
    <row r="210" spans="1:46" x14ac:dyDescent="0.2">
      <c r="A210" s="2278"/>
      <c r="B210" s="142"/>
      <c r="C210" s="150"/>
      <c r="D210" s="129"/>
      <c r="E210" s="142"/>
      <c r="F210" s="33"/>
      <c r="G210" s="129"/>
      <c r="H210" s="186"/>
      <c r="I210" s="33"/>
      <c r="J210" s="129"/>
      <c r="K210" s="186"/>
      <c r="L210" s="33"/>
      <c r="M210" s="129"/>
      <c r="N210" s="142"/>
      <c r="O210" s="33"/>
      <c r="P210" s="102"/>
      <c r="Q210" s="99"/>
      <c r="R210" s="33"/>
      <c r="S210" s="114"/>
      <c r="T210" s="99"/>
      <c r="U210" s="33"/>
      <c r="V210" s="99"/>
      <c r="W210" s="502"/>
      <c r="X210" s="33"/>
      <c r="Y210" s="102"/>
      <c r="Z210" s="502"/>
      <c r="AA210" s="33"/>
      <c r="AB210" s="102"/>
      <c r="AC210" s="99"/>
      <c r="AD210" s="33"/>
      <c r="AE210" s="99"/>
      <c r="AF210" s="502"/>
      <c r="AG210" s="33"/>
      <c r="AH210" s="102"/>
      <c r="AI210" s="99"/>
      <c r="AJ210" s="33"/>
      <c r="AK210" s="114"/>
    </row>
    <row r="211" spans="1:46" x14ac:dyDescent="0.2">
      <c r="A211" s="2279" t="s">
        <v>3687</v>
      </c>
      <c r="B211" s="142"/>
      <c r="C211" s="150"/>
      <c r="D211" s="129"/>
      <c r="E211" s="142"/>
      <c r="F211" s="33"/>
      <c r="G211" s="129"/>
      <c r="H211" s="186"/>
      <c r="I211" s="33"/>
      <c r="J211" s="129"/>
      <c r="K211" s="186"/>
      <c r="L211" s="33"/>
      <c r="M211" s="129"/>
      <c r="N211" s="142"/>
      <c r="O211" s="33"/>
      <c r="P211" s="102"/>
      <c r="Q211" s="99"/>
      <c r="R211" s="33"/>
      <c r="S211" s="114"/>
      <c r="T211" s="99"/>
      <c r="U211" s="33"/>
      <c r="V211" s="99"/>
      <c r="W211" s="502"/>
      <c r="X211" s="33"/>
      <c r="Y211" s="102"/>
      <c r="Z211" s="502"/>
      <c r="AA211" s="33"/>
      <c r="AB211" s="102"/>
      <c r="AC211" s="99"/>
      <c r="AD211" s="33"/>
      <c r="AE211" s="99"/>
      <c r="AF211" s="502"/>
      <c r="AG211" s="33"/>
      <c r="AH211" s="102"/>
      <c r="AI211" s="99"/>
      <c r="AJ211" s="33"/>
      <c r="AK211" s="114"/>
    </row>
    <row r="212" spans="1:46" x14ac:dyDescent="0.2">
      <c r="A212" s="2277" t="s">
        <v>4903</v>
      </c>
      <c r="B212" s="142"/>
      <c r="C212" s="150"/>
      <c r="D212" s="129"/>
      <c r="E212" s="142"/>
      <c r="F212" s="33">
        <v>45000</v>
      </c>
      <c r="G212" s="129">
        <f t="shared" si="131"/>
        <v>-45000</v>
      </c>
      <c r="H212" s="186"/>
      <c r="I212" s="33"/>
      <c r="J212" s="129"/>
      <c r="K212" s="186"/>
      <c r="L212" s="33"/>
      <c r="M212" s="129"/>
      <c r="N212" s="142"/>
      <c r="O212" s="33"/>
      <c r="P212" s="102"/>
      <c r="Q212" s="99"/>
      <c r="R212" s="33"/>
      <c r="S212" s="114"/>
      <c r="T212" s="99"/>
      <c r="U212" s="33"/>
      <c r="V212" s="99"/>
      <c r="W212" s="502"/>
      <c r="X212" s="33"/>
      <c r="Y212" s="102"/>
      <c r="Z212" s="502"/>
      <c r="AA212" s="33"/>
      <c r="AB212" s="102"/>
      <c r="AC212" s="99"/>
      <c r="AD212" s="33"/>
      <c r="AE212" s="99"/>
      <c r="AF212" s="502"/>
      <c r="AG212" s="33"/>
      <c r="AH212" s="102"/>
      <c r="AI212" s="99"/>
      <c r="AJ212" s="33"/>
      <c r="AK212" s="114"/>
    </row>
    <row r="213" spans="1:46" x14ac:dyDescent="0.2">
      <c r="A213" s="2277" t="s">
        <v>5041</v>
      </c>
      <c r="B213" s="142"/>
      <c r="C213" s="150"/>
      <c r="D213" s="129"/>
      <c r="E213" s="142"/>
      <c r="F213" s="33">
        <v>25000</v>
      </c>
      <c r="G213" s="129">
        <f t="shared" si="131"/>
        <v>-25000</v>
      </c>
      <c r="H213" s="186"/>
      <c r="I213" s="33"/>
      <c r="J213" s="129"/>
      <c r="K213" s="186"/>
      <c r="L213" s="33"/>
      <c r="M213" s="129"/>
      <c r="N213" s="142"/>
      <c r="O213" s="33"/>
      <c r="P213" s="102"/>
      <c r="Q213" s="99"/>
      <c r="R213" s="33"/>
      <c r="S213" s="114"/>
      <c r="T213" s="99"/>
      <c r="U213" s="33"/>
      <c r="V213" s="99"/>
      <c r="W213" s="502"/>
      <c r="X213" s="33"/>
      <c r="Y213" s="102"/>
      <c r="Z213" s="502"/>
      <c r="AA213" s="33"/>
      <c r="AB213" s="102"/>
      <c r="AC213" s="99"/>
      <c r="AD213" s="33"/>
      <c r="AE213" s="99"/>
      <c r="AF213" s="502"/>
      <c r="AG213" s="33"/>
      <c r="AH213" s="102"/>
      <c r="AI213" s="99"/>
      <c r="AJ213" s="33"/>
      <c r="AK213" s="114"/>
    </row>
    <row r="214" spans="1:46" x14ac:dyDescent="0.2">
      <c r="A214" s="2277" t="s">
        <v>6814</v>
      </c>
      <c r="B214" s="186"/>
      <c r="C214" s="152">
        <v>1347000</v>
      </c>
      <c r="D214" s="129">
        <f t="shared" si="146"/>
        <v>-1347000</v>
      </c>
      <c r="E214" s="142"/>
      <c r="F214" s="33">
        <v>1309100</v>
      </c>
      <c r="G214" s="129">
        <f t="shared" si="131"/>
        <v>-1309100</v>
      </c>
      <c r="H214" s="186"/>
      <c r="I214" s="33"/>
      <c r="J214" s="129"/>
      <c r="K214" s="186"/>
      <c r="L214" s="33"/>
      <c r="M214" s="129"/>
      <c r="N214" s="142"/>
      <c r="O214" s="33"/>
      <c r="P214" s="102"/>
      <c r="Q214" s="99"/>
      <c r="R214" s="33"/>
      <c r="S214" s="114"/>
      <c r="T214" s="99"/>
      <c r="U214" s="33"/>
      <c r="V214" s="99"/>
      <c r="W214" s="502"/>
      <c r="X214" s="33"/>
      <c r="Y214" s="102"/>
      <c r="Z214" s="502"/>
      <c r="AA214" s="33"/>
      <c r="AB214" s="102"/>
      <c r="AC214" s="99"/>
      <c r="AD214" s="33"/>
      <c r="AE214" s="99"/>
      <c r="AF214" s="502"/>
      <c r="AG214" s="33"/>
      <c r="AH214" s="102"/>
      <c r="AI214" s="99"/>
      <c r="AJ214" s="33"/>
      <c r="AK214" s="114"/>
    </row>
    <row r="215" spans="1:46" x14ac:dyDescent="0.2">
      <c r="A215" s="2277" t="s">
        <v>6815</v>
      </c>
      <c r="B215" s="142">
        <v>1412700</v>
      </c>
      <c r="C215" s="152">
        <v>2375200</v>
      </c>
      <c r="D215" s="129">
        <f t="shared" si="146"/>
        <v>-962500</v>
      </c>
      <c r="E215" s="142"/>
      <c r="F215" s="33">
        <v>1281200</v>
      </c>
      <c r="G215" s="129">
        <f t="shared" si="131"/>
        <v>-1281200</v>
      </c>
      <c r="H215" s="186"/>
      <c r="I215" s="33"/>
      <c r="J215" s="129"/>
      <c r="K215" s="186"/>
      <c r="L215" s="33"/>
      <c r="M215" s="129"/>
      <c r="N215" s="142"/>
      <c r="O215" s="33"/>
      <c r="P215" s="102"/>
      <c r="Q215" s="99"/>
      <c r="R215" s="33"/>
      <c r="S215" s="114"/>
      <c r="T215" s="99"/>
      <c r="U215" s="33"/>
      <c r="V215" s="99"/>
      <c r="W215" s="502"/>
      <c r="X215" s="33"/>
      <c r="Y215" s="102"/>
      <c r="Z215" s="502"/>
      <c r="AA215" s="33"/>
      <c r="AB215" s="102"/>
      <c r="AC215" s="99"/>
      <c r="AD215" s="33"/>
      <c r="AE215" s="99"/>
      <c r="AF215" s="502"/>
      <c r="AG215" s="33"/>
      <c r="AH215" s="102"/>
      <c r="AI215" s="99"/>
      <c r="AJ215" s="33"/>
      <c r="AK215" s="114"/>
    </row>
    <row r="216" spans="1:46" x14ac:dyDescent="0.2">
      <c r="A216" s="2277" t="s">
        <v>6708</v>
      </c>
      <c r="B216" s="142">
        <f>C67</f>
        <v>625500</v>
      </c>
      <c r="C216" s="152"/>
      <c r="D216" s="129">
        <f t="shared" si="146"/>
        <v>625500</v>
      </c>
      <c r="E216" s="142"/>
      <c r="F216" s="33">
        <v>625500</v>
      </c>
      <c r="G216" s="129">
        <f t="shared" si="131"/>
        <v>-625500</v>
      </c>
      <c r="H216" s="186"/>
      <c r="I216" s="33"/>
      <c r="J216" s="129"/>
      <c r="K216" s="186"/>
      <c r="L216" s="33"/>
      <c r="M216" s="129"/>
      <c r="N216" s="142"/>
      <c r="O216" s="33"/>
      <c r="P216" s="102"/>
      <c r="Q216" s="99"/>
      <c r="R216" s="33"/>
      <c r="S216" s="114"/>
      <c r="T216" s="99"/>
      <c r="U216" s="33"/>
      <c r="V216" s="99"/>
      <c r="W216" s="502"/>
      <c r="X216" s="33"/>
      <c r="Y216" s="102"/>
      <c r="Z216" s="502"/>
      <c r="AA216" s="33"/>
      <c r="AB216" s="102"/>
      <c r="AC216" s="99"/>
      <c r="AD216" s="33"/>
      <c r="AE216" s="99"/>
      <c r="AF216" s="502"/>
      <c r="AG216" s="33"/>
      <c r="AH216" s="102"/>
      <c r="AI216" s="99"/>
      <c r="AJ216" s="33"/>
      <c r="AK216" s="114"/>
    </row>
    <row r="217" spans="1:46" x14ac:dyDescent="0.2">
      <c r="A217" s="2277" t="s">
        <v>5155</v>
      </c>
      <c r="B217" s="142">
        <v>6500</v>
      </c>
      <c r="C217" s="152"/>
      <c r="D217" s="129">
        <f t="shared" ref="D217" si="169">B217-C217</f>
        <v>6500</v>
      </c>
      <c r="E217" s="142">
        <f>SP!G625</f>
        <v>6700</v>
      </c>
      <c r="F217" s="33"/>
      <c r="G217" s="129">
        <f t="shared" ref="G217" si="170">E217-F217</f>
        <v>6700</v>
      </c>
      <c r="H217" s="186">
        <f>SP!I625</f>
        <v>6900</v>
      </c>
      <c r="I217" s="33">
        <f t="shared" ref="I217" si="171">F217</f>
        <v>0</v>
      </c>
      <c r="J217" s="129">
        <f t="shared" ref="J217" si="172">H217-I217</f>
        <v>6900</v>
      </c>
      <c r="K217" s="186">
        <f>SP!J625</f>
        <v>7100</v>
      </c>
      <c r="L217" s="33">
        <f t="shared" ref="L217" si="173">I217</f>
        <v>0</v>
      </c>
      <c r="M217" s="129">
        <f t="shared" ref="M217" si="174">K217-L217</f>
        <v>7100</v>
      </c>
      <c r="N217" s="142">
        <f>SP!K625</f>
        <v>7300</v>
      </c>
      <c r="O217" s="33">
        <f t="shared" ref="O217" si="175">L217</f>
        <v>0</v>
      </c>
      <c r="P217" s="102">
        <f t="shared" ref="P217" si="176">N217-O217</f>
        <v>7300</v>
      </c>
      <c r="Q217" s="99">
        <f>SP!L625</f>
        <v>7500</v>
      </c>
      <c r="R217" s="33">
        <f t="shared" ref="R217" si="177">O217</f>
        <v>0</v>
      </c>
      <c r="S217" s="114">
        <f t="shared" ref="S217" si="178">Q217-R217</f>
        <v>7500</v>
      </c>
      <c r="T217" s="99">
        <f>SP!M625</f>
        <v>7700</v>
      </c>
      <c r="U217" s="33">
        <f>R217</f>
        <v>0</v>
      </c>
      <c r="V217" s="99">
        <f t="shared" ref="V217" si="179">T217-U217</f>
        <v>7700</v>
      </c>
      <c r="W217" s="502">
        <f>SP!N625</f>
        <v>7900</v>
      </c>
      <c r="X217" s="33">
        <f t="shared" ref="X217" si="180">U217</f>
        <v>0</v>
      </c>
      <c r="Y217" s="102">
        <f t="shared" ref="Y217" si="181">W217-X217</f>
        <v>7900</v>
      </c>
      <c r="Z217" s="502">
        <f>SP!O625</f>
        <v>8100</v>
      </c>
      <c r="AA217" s="33">
        <f t="shared" ref="AA217" si="182">X217</f>
        <v>0</v>
      </c>
      <c r="AB217" s="102">
        <f t="shared" ref="AB217" si="183">Z217-AA217</f>
        <v>8100</v>
      </c>
      <c r="AC217" s="99">
        <f>SP!P625</f>
        <v>8300</v>
      </c>
      <c r="AD217" s="33">
        <f t="shared" ref="AD217" si="184">AA217</f>
        <v>0</v>
      </c>
      <c r="AE217" s="99">
        <f t="shared" ref="AE217" si="185">AC217-AD217</f>
        <v>8300</v>
      </c>
      <c r="AF217" s="502">
        <f>SP!Q625</f>
        <v>8500</v>
      </c>
      <c r="AG217" s="33">
        <f>AD217</f>
        <v>0</v>
      </c>
      <c r="AH217" s="102">
        <f t="shared" ref="AH217" si="186">AF217-AG217</f>
        <v>8500</v>
      </c>
      <c r="AI217" s="99">
        <f>SP!R625</f>
        <v>8700</v>
      </c>
      <c r="AJ217" s="33">
        <f>AG217</f>
        <v>0</v>
      </c>
      <c r="AK217" s="114">
        <f t="shared" ref="AK217" si="187">AI217-AJ217</f>
        <v>8700</v>
      </c>
    </row>
    <row r="218" spans="1:46" x14ac:dyDescent="0.2">
      <c r="A218" s="2277"/>
      <c r="B218" s="142"/>
      <c r="C218" s="152"/>
      <c r="D218" s="129"/>
      <c r="E218" s="142"/>
      <c r="F218" s="33"/>
      <c r="G218" s="129"/>
      <c r="H218" s="186"/>
      <c r="I218" s="33"/>
      <c r="J218" s="129"/>
      <c r="K218" s="186"/>
      <c r="L218" s="33"/>
      <c r="M218" s="129"/>
      <c r="N218" s="142"/>
      <c r="O218" s="33"/>
      <c r="P218" s="102"/>
      <c r="Q218" s="99"/>
      <c r="R218" s="33"/>
      <c r="S218" s="114"/>
      <c r="T218" s="99"/>
      <c r="U218" s="33"/>
      <c r="V218" s="99"/>
      <c r="W218" s="502"/>
      <c r="X218" s="33"/>
      <c r="Y218" s="102"/>
      <c r="Z218" s="502"/>
      <c r="AA218" s="33"/>
      <c r="AB218" s="102"/>
      <c r="AC218" s="99"/>
      <c r="AD218" s="33"/>
      <c r="AE218" s="99"/>
      <c r="AF218" s="502"/>
      <c r="AG218" s="33"/>
      <c r="AH218" s="102"/>
      <c r="AI218" s="99"/>
      <c r="AJ218" s="33"/>
      <c r="AK218" s="114"/>
    </row>
    <row r="219" spans="1:46" x14ac:dyDescent="0.2">
      <c r="A219" s="2279" t="s">
        <v>1236</v>
      </c>
      <c r="B219" s="142"/>
      <c r="C219" s="152"/>
      <c r="D219" s="129"/>
      <c r="E219" s="142"/>
      <c r="F219" s="33"/>
      <c r="G219" s="129"/>
      <c r="H219" s="186"/>
      <c r="I219" s="33"/>
      <c r="J219" s="129"/>
      <c r="K219" s="186"/>
      <c r="L219" s="33"/>
      <c r="M219" s="129"/>
      <c r="N219" s="142"/>
      <c r="O219" s="33"/>
      <c r="P219" s="102"/>
      <c r="Q219" s="99"/>
      <c r="R219" s="33"/>
      <c r="S219" s="114"/>
      <c r="T219" s="99"/>
      <c r="U219" s="33"/>
      <c r="V219" s="99"/>
      <c r="W219" s="502"/>
      <c r="X219" s="33"/>
      <c r="Y219" s="102"/>
      <c r="Z219" s="502"/>
      <c r="AA219" s="33"/>
      <c r="AB219" s="102"/>
      <c r="AC219" s="99"/>
      <c r="AD219" s="33"/>
      <c r="AE219" s="99"/>
      <c r="AF219" s="502"/>
      <c r="AG219" s="33"/>
      <c r="AH219" s="102"/>
      <c r="AI219" s="99"/>
      <c r="AJ219" s="33"/>
      <c r="AK219" s="114"/>
    </row>
    <row r="220" spans="1:46" x14ac:dyDescent="0.2">
      <c r="A220" s="2277" t="s">
        <v>2482</v>
      </c>
      <c r="B220" s="142">
        <v>109100</v>
      </c>
      <c r="C220" s="150">
        <v>50000</v>
      </c>
      <c r="D220" s="129">
        <f>B220-C220</f>
        <v>59100</v>
      </c>
      <c r="E220" s="142">
        <f>IF(CIV!G1498-CIV!G1503&gt;0,CIV!G1498-CIV!G1503,0)</f>
        <v>113600</v>
      </c>
      <c r="F220" s="33">
        <f>C220</f>
        <v>50000</v>
      </c>
      <c r="G220" s="129">
        <f>E220-F220</f>
        <v>63600</v>
      </c>
      <c r="H220" s="186">
        <f>IF(CIV!I1498-CIV!I1503&gt;0,CIV!I1498-CIV!I1503,0)</f>
        <v>115000</v>
      </c>
      <c r="I220" s="33">
        <f>F220</f>
        <v>50000</v>
      </c>
      <c r="J220" s="129">
        <f>H220-I220</f>
        <v>65000</v>
      </c>
      <c r="K220" s="186">
        <f>IF(CIV!J1498-CIV!J1503&gt;0,CIV!J1498-CIV!J1503,0)</f>
        <v>117600</v>
      </c>
      <c r="L220" s="33">
        <f>I220</f>
        <v>50000</v>
      </c>
      <c r="M220" s="129">
        <f>K220-L220</f>
        <v>67600</v>
      </c>
      <c r="N220" s="142">
        <f>IF(CIV!K1498-CIV!K1503&gt;0,CIV!K1498-CIV!K1503,0)</f>
        <v>120200</v>
      </c>
      <c r="O220" s="33">
        <f>L220</f>
        <v>50000</v>
      </c>
      <c r="P220" s="102">
        <f>N220-O220</f>
        <v>70200</v>
      </c>
      <c r="Q220" s="99">
        <f>IF(CIV!L1498-CIV!L1503&gt;0,CIV!L1498-CIV!L1503,0)</f>
        <v>122900</v>
      </c>
      <c r="R220" s="33">
        <f>O220</f>
        <v>50000</v>
      </c>
      <c r="S220" s="114">
        <f>Q220-R220</f>
        <v>72900</v>
      </c>
      <c r="T220" s="99">
        <f>IF(CIV!M1498-CIV!M1503&gt;0,CIV!M1498-CIV!M1503,0)</f>
        <v>125000</v>
      </c>
      <c r="U220" s="33">
        <f>R220</f>
        <v>50000</v>
      </c>
      <c r="V220" s="99">
        <f>T220-U220</f>
        <v>75000</v>
      </c>
      <c r="W220" s="502">
        <f>IF(CIV!N1498-CIV!N1503&gt;0,CIV!N1498-CIV!N1503,0)</f>
        <v>127300</v>
      </c>
      <c r="X220" s="33">
        <f>U220</f>
        <v>50000</v>
      </c>
      <c r="Y220" s="102">
        <f>W220-X220</f>
        <v>77300</v>
      </c>
      <c r="Z220" s="502">
        <f>IF(CIV!O1498-CIV!O1503&gt;0,CIV!O1498-CIV!O1503,0)</f>
        <v>129600</v>
      </c>
      <c r="AA220" s="33">
        <f>X220</f>
        <v>50000</v>
      </c>
      <c r="AB220" s="102">
        <f>Z220-AA220</f>
        <v>79600</v>
      </c>
      <c r="AC220" s="99">
        <f>IF(CIV!P1498-CIV!P1503&gt;0,CIV!P1498-CIV!P1503,0)</f>
        <v>131900</v>
      </c>
      <c r="AD220" s="33">
        <f>AA220</f>
        <v>50000</v>
      </c>
      <c r="AE220" s="99">
        <f>AC220-AD220</f>
        <v>81900</v>
      </c>
      <c r="AF220" s="502">
        <f>IF(CIV!Q1498-CIV!Q1503&gt;0,CIV!Q1498-CIV!Q1503,0)</f>
        <v>134200</v>
      </c>
      <c r="AG220" s="33">
        <f>AD220</f>
        <v>50000</v>
      </c>
      <c r="AH220" s="102">
        <f>AF220-AG220</f>
        <v>84200</v>
      </c>
      <c r="AI220" s="99">
        <f>IF(CIV!R1498-CIV!R1503&gt;0,CIV!R1498-CIV!R1503,0)</f>
        <v>136600</v>
      </c>
      <c r="AJ220" s="33">
        <f>AG220</f>
        <v>50000</v>
      </c>
      <c r="AK220" s="114">
        <f>AI220-AJ220</f>
        <v>86600</v>
      </c>
    </row>
    <row r="221" spans="1:46" x14ac:dyDescent="0.2">
      <c r="A221" s="2278"/>
      <c r="B221" s="142"/>
      <c r="C221" s="150"/>
      <c r="D221" s="129"/>
      <c r="E221" s="142"/>
      <c r="F221" s="33"/>
      <c r="G221" s="129"/>
      <c r="H221" s="186"/>
      <c r="I221" s="33"/>
      <c r="J221" s="129"/>
      <c r="K221" s="186"/>
      <c r="L221" s="33"/>
      <c r="M221" s="129"/>
      <c r="N221" s="142"/>
      <c r="O221" s="33"/>
      <c r="P221" s="102"/>
      <c r="Q221" s="99"/>
      <c r="R221" s="33"/>
      <c r="S221" s="114"/>
      <c r="T221" s="99"/>
      <c r="U221" s="33"/>
      <c r="V221" s="99"/>
      <c r="W221" s="502"/>
      <c r="X221" s="33"/>
      <c r="Y221" s="102"/>
      <c r="Z221" s="502"/>
      <c r="AA221" s="33"/>
      <c r="AB221" s="102"/>
      <c r="AC221" s="99"/>
      <c r="AD221" s="33"/>
      <c r="AE221" s="99"/>
      <c r="AF221" s="502"/>
      <c r="AG221" s="33"/>
      <c r="AH221" s="102"/>
      <c r="AI221" s="99"/>
      <c r="AJ221" s="33"/>
      <c r="AK221" s="114"/>
    </row>
    <row r="222" spans="1:46" x14ac:dyDescent="0.2">
      <c r="A222" s="2275" t="s">
        <v>1478</v>
      </c>
      <c r="B222" s="142">
        <v>1423800</v>
      </c>
      <c r="C222" s="33">
        <v>1385100</v>
      </c>
      <c r="D222" s="129">
        <f>B222-C222</f>
        <v>38700</v>
      </c>
      <c r="E222" s="142">
        <f>CIV!G513-CIV!G518</f>
        <v>1132700</v>
      </c>
      <c r="F222" s="33">
        <f>'Cap-Gen'!Y193</f>
        <v>2070000</v>
      </c>
      <c r="G222" s="129">
        <f>E222-F222</f>
        <v>-937300</v>
      </c>
      <c r="H222" s="186">
        <f>CIV!I513-CIV!I518</f>
        <v>1317300</v>
      </c>
      <c r="I222" s="33">
        <f>'Cap-Gen'!AD193</f>
        <v>1094000</v>
      </c>
      <c r="J222" s="129">
        <f>H222-I222</f>
        <v>223300</v>
      </c>
      <c r="K222" s="186">
        <f>CIV!J513-CIV!J518</f>
        <v>1356400</v>
      </c>
      <c r="L222" s="33">
        <f>'Cap-Gen'!AI193</f>
        <v>1270000</v>
      </c>
      <c r="M222" s="129">
        <f>K222-L222</f>
        <v>86400</v>
      </c>
      <c r="N222" s="142">
        <f>CIV!K513-CIV!K518</f>
        <v>1391400</v>
      </c>
      <c r="O222" s="33">
        <f>'Cap-Gen'!AN193</f>
        <v>744000</v>
      </c>
      <c r="P222" s="102">
        <f>N222-O222</f>
        <v>647400</v>
      </c>
      <c r="Q222" s="99">
        <f>CIV!L513-CIV!L518</f>
        <v>1441000</v>
      </c>
      <c r="R222" s="33">
        <f>'Cap-Gen'!AS193</f>
        <v>1649000</v>
      </c>
      <c r="S222" s="114">
        <f>Q222-R222</f>
        <v>-208000</v>
      </c>
      <c r="T222" s="99">
        <f>CIV!M513-CIV!M518</f>
        <v>1464300</v>
      </c>
      <c r="U222" s="33">
        <f>'Cap-Gen'!AX193</f>
        <v>1202000</v>
      </c>
      <c r="V222" s="99">
        <f>T222-U222</f>
        <v>262300</v>
      </c>
      <c r="W222" s="502">
        <f>CIV!N513-CIV!N518</f>
        <v>1499500</v>
      </c>
      <c r="X222" s="33">
        <f>'Cap-Gen'!BC193</f>
        <v>1623000</v>
      </c>
      <c r="Y222" s="102">
        <f>W222-X222</f>
        <v>-123500</v>
      </c>
      <c r="Z222" s="502">
        <f>CIV!O513-CIV!O518</f>
        <v>1526000</v>
      </c>
      <c r="AA222" s="33">
        <f>'Cap-Gen'!BH193</f>
        <v>1890000</v>
      </c>
      <c r="AB222" s="102">
        <f>Z222-AA222</f>
        <v>-364000</v>
      </c>
      <c r="AC222" s="99">
        <f>CIV!P513-CIV!P518</f>
        <v>1556400</v>
      </c>
      <c r="AD222" s="33">
        <f>'Cap-Gen'!BM193</f>
        <v>1392000</v>
      </c>
      <c r="AE222" s="99">
        <f>AC222-AD222</f>
        <v>164400</v>
      </c>
      <c r="AF222" s="502">
        <f>CIV!Q513-CIV!Q518</f>
        <v>1558500</v>
      </c>
      <c r="AG222" s="33">
        <f>'Cap-Gen'!BR193</f>
        <v>1300000</v>
      </c>
      <c r="AH222" s="102">
        <f>AF222-AG222</f>
        <v>258500</v>
      </c>
      <c r="AI222" s="99">
        <f>CIV!R513-CIV!R518</f>
        <v>1611100</v>
      </c>
      <c r="AJ222" s="33">
        <f>'Cap-Gen'!BW193</f>
        <v>1350000</v>
      </c>
      <c r="AK222" s="114">
        <f>AI222-AJ222</f>
        <v>261100</v>
      </c>
    </row>
    <row r="223" spans="1:46" hidden="1" x14ac:dyDescent="0.2">
      <c r="A223" s="2278"/>
      <c r="B223" s="142"/>
      <c r="C223" s="33"/>
      <c r="D223" s="129"/>
      <c r="E223" s="142"/>
      <c r="F223" s="33"/>
      <c r="G223" s="129"/>
      <c r="H223" s="186"/>
      <c r="I223" s="33"/>
      <c r="J223" s="129"/>
      <c r="K223" s="186"/>
      <c r="L223" s="33"/>
      <c r="M223" s="129"/>
      <c r="N223" s="142"/>
      <c r="O223" s="33"/>
      <c r="P223" s="102"/>
      <c r="Q223" s="99"/>
      <c r="R223" s="33"/>
      <c r="S223" s="114"/>
      <c r="T223" s="99"/>
      <c r="U223" s="33"/>
      <c r="V223" s="99"/>
      <c r="W223" s="502"/>
      <c r="X223" s="33"/>
      <c r="Y223" s="102"/>
      <c r="Z223" s="502"/>
      <c r="AA223" s="33"/>
      <c r="AB223" s="102"/>
      <c r="AC223" s="99"/>
      <c r="AD223" s="33"/>
      <c r="AE223" s="99"/>
      <c r="AF223" s="502"/>
      <c r="AG223" s="33"/>
      <c r="AH223" s="102"/>
      <c r="AI223" s="99"/>
      <c r="AJ223" s="33"/>
      <c r="AK223" s="114"/>
    </row>
    <row r="224" spans="1:46" hidden="1" x14ac:dyDescent="0.2">
      <c r="A224" s="2275" t="s">
        <v>541</v>
      </c>
      <c r="B224" s="152"/>
      <c r="C224" s="150">
        <v>19000</v>
      </c>
      <c r="D224" s="129">
        <f t="shared" ref="D224" si="188">B224-C224</f>
        <v>-19000</v>
      </c>
      <c r="E224" s="142"/>
      <c r="F224" s="33"/>
      <c r="G224" s="129"/>
      <c r="H224" s="186"/>
      <c r="I224" s="33"/>
      <c r="J224" s="129"/>
      <c r="K224" s="567"/>
      <c r="L224" s="150"/>
      <c r="M224" s="321"/>
      <c r="N224" s="152"/>
      <c r="O224" s="150"/>
      <c r="P224" s="508"/>
      <c r="Q224" s="182"/>
      <c r="R224" s="150"/>
      <c r="S224" s="1058"/>
      <c r="T224" s="182"/>
      <c r="U224" s="150"/>
      <c r="V224" s="182"/>
      <c r="W224" s="1469"/>
      <c r="X224" s="150"/>
      <c r="Y224" s="508"/>
      <c r="Z224" s="1469"/>
      <c r="AA224" s="150"/>
      <c r="AB224" s="508"/>
      <c r="AC224" s="182"/>
      <c r="AD224" s="150"/>
      <c r="AE224" s="182"/>
      <c r="AF224" s="1469"/>
      <c r="AG224" s="150"/>
      <c r="AH224" s="508"/>
      <c r="AI224" s="182"/>
      <c r="AJ224" s="150"/>
      <c r="AK224" s="1058"/>
      <c r="AL224" s="376"/>
      <c r="AM224" s="376"/>
      <c r="AN224" s="376"/>
      <c r="AO224" s="376"/>
      <c r="AP224" s="376"/>
      <c r="AQ224" s="376"/>
      <c r="AR224" s="376"/>
      <c r="AS224" s="376"/>
      <c r="AT224" s="376"/>
    </row>
    <row r="225" spans="1:37" x14ac:dyDescent="0.2">
      <c r="A225" s="2278"/>
      <c r="B225" s="142"/>
      <c r="C225" s="33"/>
      <c r="D225" s="129"/>
      <c r="E225" s="142"/>
      <c r="F225" s="33"/>
      <c r="G225" s="129"/>
      <c r="H225" s="186"/>
      <c r="I225" s="33"/>
      <c r="J225" s="129"/>
      <c r="K225" s="186"/>
      <c r="L225" s="33"/>
      <c r="M225" s="129"/>
      <c r="N225" s="142"/>
      <c r="O225" s="33"/>
      <c r="P225" s="102"/>
      <c r="Q225" s="99"/>
      <c r="R225" s="33"/>
      <c r="S225" s="114"/>
      <c r="T225" s="99"/>
      <c r="U225" s="33"/>
      <c r="V225" s="99"/>
      <c r="W225" s="502"/>
      <c r="X225" s="33"/>
      <c r="Y225" s="102"/>
      <c r="Z225" s="502"/>
      <c r="AA225" s="33"/>
      <c r="AB225" s="102"/>
      <c r="AC225" s="99"/>
      <c r="AD225" s="33"/>
      <c r="AE225" s="99"/>
      <c r="AF225" s="502"/>
      <c r="AG225" s="33"/>
      <c r="AH225" s="102"/>
      <c r="AI225" s="99"/>
      <c r="AJ225" s="33"/>
      <c r="AK225" s="114"/>
    </row>
    <row r="226" spans="1:37" x14ac:dyDescent="0.2">
      <c r="A226" s="2275" t="s">
        <v>1965</v>
      </c>
      <c r="B226" s="142"/>
      <c r="C226" s="150"/>
      <c r="D226" s="129"/>
      <c r="E226" s="142"/>
      <c r="F226" s="33"/>
      <c r="G226" s="129"/>
      <c r="H226" s="186"/>
      <c r="I226" s="33"/>
      <c r="J226" s="129"/>
      <c r="K226" s="186"/>
      <c r="L226" s="33"/>
      <c r="M226" s="129"/>
      <c r="N226" s="142"/>
      <c r="O226" s="33"/>
      <c r="P226" s="102"/>
      <c r="Q226" s="99"/>
      <c r="R226" s="33"/>
      <c r="S226" s="114"/>
      <c r="T226" s="99"/>
      <c r="U226" s="33"/>
      <c r="V226" s="99"/>
      <c r="W226" s="502"/>
      <c r="X226" s="33"/>
      <c r="Y226" s="102"/>
      <c r="Z226" s="502"/>
      <c r="AA226" s="33"/>
      <c r="AB226" s="102"/>
      <c r="AC226" s="99"/>
      <c r="AD226" s="33"/>
      <c r="AE226" s="99"/>
      <c r="AF226" s="502"/>
      <c r="AG226" s="33"/>
      <c r="AH226" s="102"/>
      <c r="AI226" s="99"/>
      <c r="AJ226" s="33"/>
      <c r="AK226" s="114"/>
    </row>
    <row r="227" spans="1:37" x14ac:dyDescent="0.2">
      <c r="A227" s="2278" t="s">
        <v>1062</v>
      </c>
      <c r="B227" s="142">
        <v>265900</v>
      </c>
      <c r="C227" s="142">
        <v>192900</v>
      </c>
      <c r="D227" s="129">
        <f>B227-C227</f>
        <v>73000</v>
      </c>
      <c r="E227" s="142">
        <f>IF(CIV!G1757&gt;0,CIV!G1757,0)</f>
        <v>0</v>
      </c>
      <c r="F227" s="150">
        <f>200000+21200+30000+1000+140000+90000-16800+120000+250000-17000</f>
        <v>818400</v>
      </c>
      <c r="G227" s="129">
        <f>E227-F227</f>
        <v>-818400</v>
      </c>
      <c r="H227" s="186">
        <f>IF(CIV!I1757&gt;0,CIV!I1757,0)</f>
        <v>29000</v>
      </c>
      <c r="I227" s="33">
        <f>IF(CIV!I1757&lt;0,-CIV!I1757,0)</f>
        <v>0</v>
      </c>
      <c r="J227" s="129">
        <f>H227-I227</f>
        <v>29000</v>
      </c>
      <c r="K227" s="186">
        <f>IF(CIV!J1757&gt;0,CIV!J1757,0)</f>
        <v>29500</v>
      </c>
      <c r="L227" s="33">
        <f>IF(CIV!J1757&lt;0,-CIV!J1757,0)</f>
        <v>0</v>
      </c>
      <c r="M227" s="129">
        <f>K227-L227</f>
        <v>29500</v>
      </c>
      <c r="N227" s="142">
        <f>IF(CIV!K1757&gt;0,CIV!K1757,0)</f>
        <v>30100</v>
      </c>
      <c r="O227" s="33">
        <f>IF(CIV!K1757&lt;0,-CIV!K1757,0)</f>
        <v>0</v>
      </c>
      <c r="P227" s="102">
        <f>N227-O227</f>
        <v>30100</v>
      </c>
      <c r="Q227" s="99">
        <f>IF(CIV!L1757&gt;0,CIV!L1757,0)</f>
        <v>30700</v>
      </c>
      <c r="R227" s="33">
        <f>IF(CIV!L1757&lt;0,-CIV!L1757,0)</f>
        <v>0</v>
      </c>
      <c r="S227" s="114">
        <f>Q227-R227</f>
        <v>30700</v>
      </c>
      <c r="T227" s="99">
        <f>IF(CIV!M1757&gt;0,CIV!M1757,0)</f>
        <v>31200</v>
      </c>
      <c r="U227" s="33">
        <f>IF(CIV!M1757&lt;0,-CIV!M1757,0)</f>
        <v>0</v>
      </c>
      <c r="V227" s="99">
        <f>T227-U227</f>
        <v>31200</v>
      </c>
      <c r="W227" s="502">
        <f>IF(CIV!N1757&gt;0,CIV!N1757,0)</f>
        <v>31700</v>
      </c>
      <c r="X227" s="33">
        <f>IF(CIV!N1757&lt;0,-CIV!N1757,0)</f>
        <v>0</v>
      </c>
      <c r="Y227" s="102">
        <f>W227-X227</f>
        <v>31700</v>
      </c>
      <c r="Z227" s="502">
        <f>IF(CIV!O1757&gt;0,CIV!O1757,0)</f>
        <v>32100</v>
      </c>
      <c r="AA227" s="33">
        <f>IF(CIV!O1757&lt;0,-CIV!O1757,0)</f>
        <v>0</v>
      </c>
      <c r="AB227" s="102">
        <f>Z227-AA227</f>
        <v>32100</v>
      </c>
      <c r="AC227" s="99">
        <f>IF(CIV!P1757&gt;0,CIV!P1757,0)</f>
        <v>32600</v>
      </c>
      <c r="AD227" s="33">
        <f>IF(CIV!P1757&lt;0,-CIV!P1757,0)</f>
        <v>0</v>
      </c>
      <c r="AE227" s="99">
        <f>AC227-AD227</f>
        <v>32600</v>
      </c>
      <c r="AF227" s="502">
        <f>IF(CIV!Q1757&gt;0,CIV!Q1757,0)</f>
        <v>33100</v>
      </c>
      <c r="AG227" s="33">
        <f>IF(CIV!Q1757&lt;0,-CIV!Q1757,0)</f>
        <v>0</v>
      </c>
      <c r="AH227" s="102">
        <f>AF227-AG227</f>
        <v>33100</v>
      </c>
      <c r="AI227" s="99">
        <f>IF(CIV!R1757&gt;0,CIV!R1757,0)</f>
        <v>33600</v>
      </c>
      <c r="AJ227" s="33">
        <f>IF(CIV!R1757&lt;0,-CIV!R1757,0)</f>
        <v>0</v>
      </c>
      <c r="AK227" s="114">
        <f>AI227-AJ227</f>
        <v>33600</v>
      </c>
    </row>
    <row r="228" spans="1:37" x14ac:dyDescent="0.2">
      <c r="A228" s="2277" t="s">
        <v>6116</v>
      </c>
      <c r="B228" s="142"/>
      <c r="C228" s="150"/>
      <c r="D228" s="129"/>
      <c r="E228" s="142"/>
      <c r="F228" s="33">
        <v>77000</v>
      </c>
      <c r="G228" s="129">
        <f>E228-F228</f>
        <v>-77000</v>
      </c>
      <c r="H228" s="186"/>
      <c r="I228" s="33">
        <v>104000</v>
      </c>
      <c r="J228" s="129">
        <f>H228-I228</f>
        <v>-104000</v>
      </c>
      <c r="K228" s="186"/>
      <c r="L228" s="33"/>
      <c r="M228" s="129"/>
      <c r="N228" s="142"/>
      <c r="O228" s="33"/>
      <c r="P228" s="102"/>
      <c r="Q228" s="99"/>
      <c r="R228" s="33"/>
      <c r="S228" s="114"/>
      <c r="T228" s="99"/>
      <c r="U228" s="33"/>
      <c r="V228" s="99"/>
      <c r="W228" s="502"/>
      <c r="X228" s="33"/>
      <c r="Y228" s="102"/>
      <c r="Z228" s="502"/>
      <c r="AA228" s="33"/>
      <c r="AB228" s="102"/>
      <c r="AC228" s="99"/>
      <c r="AD228" s="33"/>
      <c r="AE228" s="99"/>
      <c r="AF228" s="502"/>
      <c r="AG228" s="33"/>
      <c r="AH228" s="102"/>
      <c r="AI228" s="99"/>
      <c r="AJ228" s="33"/>
      <c r="AK228" s="114"/>
    </row>
    <row r="229" spans="1:37" x14ac:dyDescent="0.2">
      <c r="A229" s="2277"/>
      <c r="B229" s="142"/>
      <c r="C229" s="150"/>
      <c r="D229" s="129"/>
      <c r="E229" s="142"/>
      <c r="F229" s="33"/>
      <c r="G229" s="129"/>
      <c r="H229" s="186"/>
      <c r="I229" s="33"/>
      <c r="J229" s="129"/>
      <c r="K229" s="186"/>
      <c r="L229" s="33"/>
      <c r="M229" s="129"/>
      <c r="N229" s="142"/>
      <c r="O229" s="33"/>
      <c r="P229" s="102"/>
      <c r="Q229" s="99"/>
      <c r="R229" s="33"/>
      <c r="S229" s="114"/>
      <c r="T229" s="99"/>
      <c r="U229" s="33"/>
      <c r="V229" s="99"/>
      <c r="W229" s="502"/>
      <c r="X229" s="33"/>
      <c r="Y229" s="102"/>
      <c r="Z229" s="502"/>
      <c r="AA229" s="33"/>
      <c r="AB229" s="102"/>
      <c r="AC229" s="99"/>
      <c r="AD229" s="33"/>
      <c r="AE229" s="99"/>
      <c r="AF229" s="502"/>
      <c r="AG229" s="33"/>
      <c r="AH229" s="102"/>
      <c r="AI229" s="99"/>
      <c r="AJ229" s="33"/>
      <c r="AK229" s="114"/>
    </row>
    <row r="230" spans="1:37" x14ac:dyDescent="0.2">
      <c r="A230" s="2275" t="s">
        <v>1479</v>
      </c>
      <c r="B230" s="142"/>
      <c r="C230" s="150"/>
      <c r="D230" s="129"/>
      <c r="E230" s="142"/>
      <c r="F230" s="33"/>
      <c r="G230" s="129"/>
      <c r="H230" s="186"/>
      <c r="I230" s="33"/>
      <c r="J230" s="129"/>
      <c r="K230" s="186"/>
      <c r="L230" s="33"/>
      <c r="M230" s="129"/>
      <c r="N230" s="142"/>
      <c r="O230" s="33"/>
      <c r="P230" s="102"/>
      <c r="Q230" s="99"/>
      <c r="R230" s="33"/>
      <c r="S230" s="114"/>
      <c r="T230" s="99"/>
      <c r="U230" s="33"/>
      <c r="V230" s="99"/>
      <c r="W230" s="502"/>
      <c r="X230" s="33"/>
      <c r="Y230" s="102"/>
      <c r="Z230" s="502"/>
      <c r="AA230" s="33"/>
      <c r="AB230" s="102"/>
      <c r="AC230" s="99"/>
      <c r="AD230" s="33"/>
      <c r="AE230" s="99"/>
      <c r="AF230" s="502"/>
      <c r="AG230" s="33"/>
      <c r="AH230" s="102"/>
      <c r="AI230" s="99"/>
      <c r="AJ230" s="33"/>
      <c r="AK230" s="114"/>
    </row>
    <row r="231" spans="1:37" x14ac:dyDescent="0.2">
      <c r="A231" s="2277" t="s">
        <v>4562</v>
      </c>
      <c r="B231" s="142">
        <v>1940400</v>
      </c>
      <c r="C231" s="150">
        <f>1292300-C236</f>
        <v>1012300</v>
      </c>
      <c r="D231" s="129">
        <f t="shared" ref="D231:D232" si="189">B231-C231</f>
        <v>928100</v>
      </c>
      <c r="E231" s="142">
        <f>IF(CIV!G682-CIV!G685+CIV!G688&gt;0,CIV!G682-CIV!G685+CIV!G688,0)-E234+CIV!G1897+CIV!G1898+CIV!G1822+7000</f>
        <v>841300</v>
      </c>
      <c r="F231" s="33">
        <f>'Cap-Gen'!F199+Assumptions!G45+250000+47000+62000</f>
        <v>464000</v>
      </c>
      <c r="G231" s="129">
        <f t="shared" ref="G231:G232" si="190">E231-F231</f>
        <v>377300</v>
      </c>
      <c r="H231" s="186">
        <f>IF(CIV!I682-CIV!I685+CIV!I688&gt;0,CIV!I682-CIV!I685+CIV!I688,0)-H234</f>
        <v>846700</v>
      </c>
      <c r="I231" s="150">
        <f>'Cap-Gen'!G199++Assumptions!H45</f>
        <v>109000</v>
      </c>
      <c r="J231" s="129">
        <f t="shared" ref="J231" si="191">H231-I231</f>
        <v>737700</v>
      </c>
      <c r="K231" s="186">
        <f>IF(CIV!J682-CIV!J685+CIV!J688&gt;0,CIV!J682-CIV!J685+CIV!J688,0)-K234</f>
        <v>1155400</v>
      </c>
      <c r="L231" s="150">
        <f>'Cap-Gen'!H199++Assumptions!I45</f>
        <v>113000</v>
      </c>
      <c r="M231" s="129">
        <f t="shared" ref="M231" si="192">K231-L231</f>
        <v>1042400</v>
      </c>
      <c r="N231" s="142">
        <f>IF(CIV!K682-CIV!K685+CIV!K688&gt;0,CIV!K682-CIV!K685+CIV!K688,0)-N234</f>
        <v>1231800</v>
      </c>
      <c r="O231" s="150">
        <f>'Cap-Gen'!I199++Assumptions!J45</f>
        <v>118000</v>
      </c>
      <c r="P231" s="102">
        <f t="shared" ref="P231" si="193">N231-O231</f>
        <v>1113800</v>
      </c>
      <c r="Q231" s="99">
        <f>IF(CIV!L682-CIV!L685+CIV!L688&gt;0,CIV!L682-CIV!L685+CIV!L688,0)-Q234</f>
        <v>1255200</v>
      </c>
      <c r="R231" s="150">
        <f>'Cap-Gen'!J199+Assumptions!K45</f>
        <v>1121000</v>
      </c>
      <c r="S231" s="114">
        <f t="shared" ref="S231" si="194">Q231-R231</f>
        <v>134200</v>
      </c>
      <c r="T231" s="99">
        <f>IF(CIV!M682-CIV!M685+CIV!M688&gt;0,CIV!M682-CIV!M685+CIV!M688,0)-T234</f>
        <v>1301600</v>
      </c>
      <c r="U231" s="150">
        <f>'Cap-Gen'!K199++Assumptions!L45</f>
        <v>1124000</v>
      </c>
      <c r="V231" s="99">
        <f t="shared" ref="V231" si="195">T231-U231</f>
        <v>177600</v>
      </c>
      <c r="W231" s="502">
        <f>IF(CIV!N682-CIV!N685+CIV!N688&gt;0,CIV!N682-CIV!N685+CIV!N688,0)-W234</f>
        <v>1348000</v>
      </c>
      <c r="X231" s="150">
        <f>'Cap-Gen'!L199++Assumptions!M45</f>
        <v>1127000</v>
      </c>
      <c r="Y231" s="102">
        <f t="shared" ref="Y231" si="196">W231-X231</f>
        <v>221000</v>
      </c>
      <c r="Z231" s="502">
        <f>IF(CIV!O682-CIV!O685+CIV!O688&gt;0,CIV!O682-CIV!O685+CIV!O688,0)-Z234</f>
        <v>1393400</v>
      </c>
      <c r="AA231" s="150">
        <f>'Cap-Gen'!M199++Assumptions!N45</f>
        <v>1130000</v>
      </c>
      <c r="AB231" s="102">
        <f t="shared" ref="AB231" si="197">Z231-AA231</f>
        <v>263400</v>
      </c>
      <c r="AC231" s="99">
        <f>IF(CIV!P682-CIV!P685+CIV!P688&gt;0,CIV!P682-CIV!P685+CIV!P688,0)-AC234</f>
        <v>1452800</v>
      </c>
      <c r="AD231" s="150">
        <f>'Cap-Gen'!N199+Assumptions!O45</f>
        <v>1133000</v>
      </c>
      <c r="AE231" s="99">
        <f t="shared" ref="AE231" si="198">AC231-AD231</f>
        <v>319800</v>
      </c>
      <c r="AF231" s="502">
        <f>IF(CIV!Q682-CIV!Q685+CIV!Q688&gt;0,CIV!Q682-CIV!Q685+CIV!Q688,0)-AF234</f>
        <v>1516200</v>
      </c>
      <c r="AG231" s="150">
        <f>'Cap-Gen'!O199++Assumptions!P45</f>
        <v>1136000</v>
      </c>
      <c r="AH231" s="102">
        <f t="shared" ref="AH231:AH234" si="199">AF231-AG231</f>
        <v>380200</v>
      </c>
      <c r="AI231" s="99">
        <f>IF(CIV!R682-CIV!R685+CIV!R688&gt;0,CIV!R682-CIV!R685+CIV!R688,0)-AI234</f>
        <v>1579600</v>
      </c>
      <c r="AJ231" s="150">
        <f>'Cap-Gen'!P199++Assumptions!Q45</f>
        <v>1139000</v>
      </c>
      <c r="AK231" s="114">
        <f t="shared" ref="AK231:AK234" si="200">AI231-AJ231</f>
        <v>440600</v>
      </c>
    </row>
    <row r="232" spans="1:37" x14ac:dyDescent="0.2">
      <c r="A232" s="2277" t="s">
        <v>6052</v>
      </c>
      <c r="B232" s="142">
        <v>0</v>
      </c>
      <c r="C232" s="150">
        <v>0</v>
      </c>
      <c r="D232" s="129">
        <f t="shared" si="189"/>
        <v>0</v>
      </c>
      <c r="E232" s="142">
        <v>0</v>
      </c>
      <c r="F232" s="33">
        <f>200000+200000</f>
        <v>400000</v>
      </c>
      <c r="G232" s="129">
        <f t="shared" si="190"/>
        <v>-400000</v>
      </c>
      <c r="H232" s="186"/>
      <c r="I232" s="150"/>
      <c r="J232" s="129"/>
      <c r="K232" s="186"/>
      <c r="L232" s="150"/>
      <c r="M232" s="129"/>
      <c r="N232" s="142"/>
      <c r="O232" s="150"/>
      <c r="P232" s="102"/>
      <c r="Q232" s="99"/>
      <c r="R232" s="150"/>
      <c r="S232" s="114"/>
      <c r="T232" s="99"/>
      <c r="U232" s="150"/>
      <c r="V232" s="99"/>
      <c r="W232" s="502"/>
      <c r="X232" s="150"/>
      <c r="Y232" s="102"/>
      <c r="Z232" s="502"/>
      <c r="AA232" s="150"/>
      <c r="AB232" s="102"/>
      <c r="AC232" s="99"/>
      <c r="AD232" s="150"/>
      <c r="AE232" s="99"/>
      <c r="AF232" s="502"/>
      <c r="AG232" s="150"/>
      <c r="AH232" s="102"/>
      <c r="AI232" s="99"/>
      <c r="AJ232" s="150"/>
      <c r="AK232" s="114"/>
    </row>
    <row r="233" spans="1:37" x14ac:dyDescent="0.2">
      <c r="A233" s="2277" t="s">
        <v>6038</v>
      </c>
      <c r="B233" s="142">
        <v>0</v>
      </c>
      <c r="C233" s="150">
        <v>0</v>
      </c>
      <c r="D233" s="129">
        <f t="shared" ref="D233" si="201">B233-C233</f>
        <v>0</v>
      </c>
      <c r="E233" s="142">
        <v>0</v>
      </c>
      <c r="F233" s="33">
        <v>1000000</v>
      </c>
      <c r="G233" s="129">
        <f t="shared" ref="G233" si="202">E233-F233</f>
        <v>-1000000</v>
      </c>
      <c r="H233" s="186">
        <v>0</v>
      </c>
      <c r="I233" s="150">
        <v>2000000</v>
      </c>
      <c r="J233" s="129">
        <f t="shared" ref="J233" si="203">H233-I233</f>
        <v>-2000000</v>
      </c>
      <c r="K233" s="186">
        <v>0</v>
      </c>
      <c r="L233" s="150">
        <v>1000000</v>
      </c>
      <c r="M233" s="129">
        <f t="shared" ref="M233" si="204">K233-L233</f>
        <v>-1000000</v>
      </c>
      <c r="N233" s="142">
        <v>0</v>
      </c>
      <c r="O233" s="150">
        <v>1000000</v>
      </c>
      <c r="P233" s="102">
        <f t="shared" ref="P233" si="205">N233-O233</f>
        <v>-1000000</v>
      </c>
      <c r="Q233" s="99"/>
      <c r="R233" s="150"/>
      <c r="S233" s="114"/>
      <c r="T233" s="99"/>
      <c r="U233" s="150"/>
      <c r="V233" s="99"/>
      <c r="W233" s="502"/>
      <c r="X233" s="150"/>
      <c r="Y233" s="102"/>
      <c r="Z233" s="502"/>
      <c r="AA233" s="150"/>
      <c r="AB233" s="102"/>
      <c r="AC233" s="99"/>
      <c r="AD233" s="150"/>
      <c r="AE233" s="99"/>
      <c r="AF233" s="502"/>
      <c r="AG233" s="150"/>
      <c r="AH233" s="102"/>
      <c r="AI233" s="99"/>
      <c r="AJ233" s="150"/>
      <c r="AK233" s="114"/>
    </row>
    <row r="234" spans="1:37" s="133" customFormat="1" x14ac:dyDescent="0.2">
      <c r="A234" s="2277" t="s">
        <v>4862</v>
      </c>
      <c r="B234" s="130">
        <f>CIV!D1784</f>
        <v>125500</v>
      </c>
      <c r="C234" s="949">
        <v>167100</v>
      </c>
      <c r="D234" s="825">
        <f t="shared" ref="D234:D236" si="206">B234-C234</f>
        <v>-41600</v>
      </c>
      <c r="E234" s="130">
        <f>CIV!G1784</f>
        <v>125000</v>
      </c>
      <c r="F234" s="33">
        <f>'Cap-Gen'!F200+65000+56000+14000+CIV!G1897+CIV!G1898</f>
        <v>259800</v>
      </c>
      <c r="G234" s="825">
        <f t="shared" ref="G234:G235" si="207">E234-F234</f>
        <v>-134800</v>
      </c>
      <c r="H234" s="914">
        <f>CIV!I1784</f>
        <v>21000</v>
      </c>
      <c r="I234" s="949">
        <f>'Cap-Gen'!G200</f>
        <v>0</v>
      </c>
      <c r="J234" s="825">
        <f t="shared" ref="J234" si="208">H234-I234</f>
        <v>21000</v>
      </c>
      <c r="K234" s="914">
        <f>CIV!J1784</f>
        <v>22000</v>
      </c>
      <c r="L234" s="949">
        <f>'Cap-Gen'!H200</f>
        <v>0</v>
      </c>
      <c r="M234" s="825">
        <f t="shared" ref="M234" si="209">K234-L234</f>
        <v>22000</v>
      </c>
      <c r="N234" s="130">
        <f>CIV!K1784</f>
        <v>23000</v>
      </c>
      <c r="O234" s="949">
        <f>'Cap-Gen'!I200</f>
        <v>0</v>
      </c>
      <c r="P234" s="830">
        <f t="shared" ref="P234" si="210">N234-O234</f>
        <v>23000</v>
      </c>
      <c r="Q234" s="78">
        <f>CIV!L1784</f>
        <v>24000</v>
      </c>
      <c r="R234" s="949">
        <f>'Cap-Gen'!J200</f>
        <v>0</v>
      </c>
      <c r="S234" s="131">
        <f t="shared" ref="S234" si="211">Q234-R234</f>
        <v>24000</v>
      </c>
      <c r="T234" s="78">
        <f>CIV!M1784</f>
        <v>24000</v>
      </c>
      <c r="U234" s="949">
        <f>'Cap-Gen'!K200</f>
        <v>0</v>
      </c>
      <c r="V234" s="78">
        <f t="shared" ref="V234" si="212">T234-U234</f>
        <v>24000</v>
      </c>
      <c r="W234" s="1920">
        <f>CIV!N1784</f>
        <v>24000</v>
      </c>
      <c r="X234" s="949">
        <f>'Cap-Gen'!L200</f>
        <v>0</v>
      </c>
      <c r="Y234" s="830">
        <f t="shared" ref="Y234" si="213">W234-X234</f>
        <v>24000</v>
      </c>
      <c r="Z234" s="1920">
        <f>CIV!O1784</f>
        <v>24000</v>
      </c>
      <c r="AA234" s="949">
        <f>'Cap-Gen'!M200</f>
        <v>0</v>
      </c>
      <c r="AB234" s="830">
        <f t="shared" ref="AB234" si="214">Z234-AA234</f>
        <v>24000</v>
      </c>
      <c r="AC234" s="78">
        <f>CIV!P1784</f>
        <v>24000</v>
      </c>
      <c r="AD234" s="949">
        <f>'Cap-Gen'!N200</f>
        <v>0</v>
      </c>
      <c r="AE234" s="78">
        <f t="shared" ref="AE234" si="215">AC234-AD234</f>
        <v>24000</v>
      </c>
      <c r="AF234" s="1920">
        <f>CIV!Q1784</f>
        <v>24000</v>
      </c>
      <c r="AG234" s="949">
        <f>'Cap-Gen'!O200</f>
        <v>0</v>
      </c>
      <c r="AH234" s="830">
        <f t="shared" si="199"/>
        <v>24000</v>
      </c>
      <c r="AI234" s="78">
        <f>CIV!R1784</f>
        <v>24000</v>
      </c>
      <c r="AJ234" s="949">
        <f>'Cap-Gen'!Q200</f>
        <v>0</v>
      </c>
      <c r="AK234" s="131">
        <f t="shared" si="200"/>
        <v>24000</v>
      </c>
    </row>
    <row r="235" spans="1:37" s="133" customFormat="1" x14ac:dyDescent="0.2">
      <c r="A235" s="2277" t="s">
        <v>6778</v>
      </c>
      <c r="B235" s="130"/>
      <c r="C235" s="949"/>
      <c r="D235" s="825"/>
      <c r="E235" s="130"/>
      <c r="F235" s="132">
        <v>83000</v>
      </c>
      <c r="G235" s="825">
        <f t="shared" si="207"/>
        <v>-83000</v>
      </c>
      <c r="H235" s="914"/>
      <c r="I235" s="949"/>
      <c r="J235" s="825"/>
      <c r="K235" s="914"/>
      <c r="L235" s="949"/>
      <c r="M235" s="825"/>
      <c r="N235" s="130"/>
      <c r="O235" s="949"/>
      <c r="P235" s="830"/>
      <c r="Q235" s="78"/>
      <c r="R235" s="949"/>
      <c r="S235" s="131"/>
      <c r="T235" s="78"/>
      <c r="U235" s="949"/>
      <c r="V235" s="78"/>
      <c r="W235" s="1920"/>
      <c r="X235" s="949"/>
      <c r="Y235" s="830"/>
      <c r="Z235" s="1920"/>
      <c r="AA235" s="949"/>
      <c r="AB235" s="830"/>
      <c r="AC235" s="78"/>
      <c r="AD235" s="949"/>
      <c r="AE235" s="78"/>
      <c r="AF235" s="1920"/>
      <c r="AG235" s="949"/>
      <c r="AH235" s="830"/>
      <c r="AI235" s="78"/>
      <c r="AJ235" s="949"/>
      <c r="AK235" s="131"/>
    </row>
    <row r="236" spans="1:37" s="133" customFormat="1" x14ac:dyDescent="0.2">
      <c r="A236" s="2277" t="s">
        <v>6108</v>
      </c>
      <c r="B236" s="130"/>
      <c r="C236" s="949">
        <f>'Cap-Gen'!T205</f>
        <v>280000</v>
      </c>
      <c r="D236" s="825">
        <f t="shared" si="206"/>
        <v>-280000</v>
      </c>
      <c r="E236" s="130"/>
      <c r="F236" s="132"/>
      <c r="G236" s="825"/>
      <c r="H236" s="914"/>
      <c r="I236" s="949"/>
      <c r="J236" s="825"/>
      <c r="K236" s="914"/>
      <c r="L236" s="949"/>
      <c r="M236" s="825"/>
      <c r="N236" s="130"/>
      <c r="O236" s="949"/>
      <c r="P236" s="830"/>
      <c r="Q236" s="78"/>
      <c r="R236" s="949"/>
      <c r="S236" s="131"/>
      <c r="T236" s="78"/>
      <c r="U236" s="949"/>
      <c r="V236" s="78"/>
      <c r="W236" s="1920"/>
      <c r="X236" s="949"/>
      <c r="Y236" s="830"/>
      <c r="Z236" s="1920"/>
      <c r="AA236" s="949"/>
      <c r="AB236" s="830"/>
      <c r="AC236" s="78"/>
      <c r="AD236" s="949"/>
      <c r="AE236" s="78"/>
      <c r="AF236" s="1920"/>
      <c r="AG236" s="949"/>
      <c r="AH236" s="830"/>
      <c r="AI236" s="78"/>
      <c r="AJ236" s="949"/>
      <c r="AK236" s="131"/>
    </row>
    <row r="237" spans="1:37" x14ac:dyDescent="0.2">
      <c r="A237" s="2278"/>
      <c r="B237" s="142"/>
      <c r="C237" s="33"/>
      <c r="D237" s="129"/>
      <c r="E237" s="142"/>
      <c r="F237" s="33"/>
      <c r="G237" s="129"/>
      <c r="H237" s="186"/>
      <c r="I237" s="33"/>
      <c r="J237" s="129"/>
      <c r="K237" s="186"/>
      <c r="L237" s="33"/>
      <c r="M237" s="129"/>
      <c r="N237" s="142"/>
      <c r="O237" s="33"/>
      <c r="P237" s="102"/>
      <c r="Q237" s="99"/>
      <c r="R237" s="33"/>
      <c r="S237" s="114"/>
      <c r="T237" s="99"/>
      <c r="U237" s="33"/>
      <c r="V237" s="99"/>
      <c r="W237" s="502"/>
      <c r="X237" s="33"/>
      <c r="Y237" s="102"/>
      <c r="Z237" s="502"/>
      <c r="AA237" s="33"/>
      <c r="AB237" s="102"/>
      <c r="AC237" s="99"/>
      <c r="AD237" s="33"/>
      <c r="AE237" s="99"/>
      <c r="AF237" s="502"/>
      <c r="AG237" s="33"/>
      <c r="AH237" s="102"/>
      <c r="AI237" s="99"/>
      <c r="AJ237" s="33"/>
      <c r="AK237" s="114"/>
    </row>
    <row r="238" spans="1:37" x14ac:dyDescent="0.2">
      <c r="A238" s="2275" t="s">
        <v>1944</v>
      </c>
      <c r="B238" s="142">
        <v>339900</v>
      </c>
      <c r="C238" s="150">
        <v>541900</v>
      </c>
      <c r="D238" s="129">
        <f>B238-C238</f>
        <v>-202000</v>
      </c>
      <c r="E238" s="142">
        <f>CIV!G736-CIV!G741</f>
        <v>628500</v>
      </c>
      <c r="F238" s="33">
        <f>'Cap-Gen'!Y207</f>
        <v>0</v>
      </c>
      <c r="G238" s="129">
        <f>E238-F238</f>
        <v>628500</v>
      </c>
      <c r="H238" s="186">
        <f>CIV!I736-CIV!I741</f>
        <v>591900</v>
      </c>
      <c r="I238" s="150">
        <f>'Cap-Gen'!AD207</f>
        <v>1500000</v>
      </c>
      <c r="J238" s="129">
        <f>H238-I238</f>
        <v>-908100</v>
      </c>
      <c r="K238" s="186">
        <f>CIV!J736-CIV!J741</f>
        <v>588400</v>
      </c>
      <c r="L238" s="150">
        <f>'Cap-Gen'!AI207</f>
        <v>0</v>
      </c>
      <c r="M238" s="129">
        <f>K238-L238</f>
        <v>588400</v>
      </c>
      <c r="N238" s="142">
        <f>CIV!K736-CIV!K741</f>
        <v>621000</v>
      </c>
      <c r="O238" s="150">
        <f>'Cap-Gen'!AN207</f>
        <v>0</v>
      </c>
      <c r="P238" s="102">
        <f>N238-O238</f>
        <v>621000</v>
      </c>
      <c r="Q238" s="99">
        <f>CIV!L736-CIV!L741</f>
        <v>654700</v>
      </c>
      <c r="R238" s="150">
        <f>'Cap-Gen'!AS207</f>
        <v>1600000</v>
      </c>
      <c r="S238" s="114">
        <f>Q238-R238</f>
        <v>-945300</v>
      </c>
      <c r="T238" s="99">
        <f>CIV!M736-CIV!M741</f>
        <v>664800</v>
      </c>
      <c r="U238" s="150">
        <f>'Cap-Gen'!AX207</f>
        <v>0</v>
      </c>
      <c r="V238" s="99">
        <f>T238-U238</f>
        <v>664800</v>
      </c>
      <c r="W238" s="502">
        <f>CIV!N736-CIV!N741</f>
        <v>716200</v>
      </c>
      <c r="X238" s="150">
        <f>'Cap-Gen'!BC207</f>
        <v>0</v>
      </c>
      <c r="Y238" s="102">
        <f>W238-X238</f>
        <v>716200</v>
      </c>
      <c r="Z238" s="502">
        <f>CIV!O736-CIV!O741</f>
        <v>771100</v>
      </c>
      <c r="AA238" s="150">
        <f>'Cap-Gen'!BH207</f>
        <v>1700000</v>
      </c>
      <c r="AB238" s="102">
        <f>Z238-AA238</f>
        <v>-928900</v>
      </c>
      <c r="AC238" s="99">
        <f>CIV!P736-CIV!P741</f>
        <v>784600</v>
      </c>
      <c r="AD238" s="150">
        <f>'Cap-Gen'!BM207</f>
        <v>0</v>
      </c>
      <c r="AE238" s="99">
        <f>AC238-AD238</f>
        <v>784600</v>
      </c>
      <c r="AF238" s="502">
        <f>CIV!Q736-CIV!Q741</f>
        <v>842800</v>
      </c>
      <c r="AG238" s="150">
        <f>'Cap-Gen'!BR207</f>
        <v>0</v>
      </c>
      <c r="AH238" s="102">
        <f>AF238-AG238</f>
        <v>842800</v>
      </c>
      <c r="AI238" s="99">
        <f>CIV!R736-CIV!R741</f>
        <v>881900</v>
      </c>
      <c r="AJ238" s="150">
        <f>'Cap-Gen'!BW207</f>
        <v>1800000</v>
      </c>
      <c r="AK238" s="114">
        <f>AI238-AJ238</f>
        <v>-918100</v>
      </c>
    </row>
    <row r="239" spans="1:37" ht="13.5" thickBot="1" x14ac:dyDescent="0.25">
      <c r="A239" s="2278"/>
      <c r="B239" s="142"/>
      <c r="C239" s="150"/>
      <c r="D239" s="129"/>
      <c r="E239" s="142"/>
      <c r="F239" s="33"/>
      <c r="G239" s="129"/>
      <c r="H239" s="186"/>
      <c r="I239" s="33"/>
      <c r="J239" s="129"/>
      <c r="K239" s="186"/>
      <c r="L239" s="33"/>
      <c r="M239" s="129"/>
      <c r="N239" s="142"/>
      <c r="O239" s="33"/>
      <c r="P239" s="102"/>
      <c r="Q239" s="99"/>
      <c r="R239" s="33"/>
      <c r="S239" s="114"/>
      <c r="T239" s="99"/>
      <c r="U239" s="33"/>
      <c r="V239" s="99"/>
      <c r="W239" s="502"/>
      <c r="X239" s="33"/>
      <c r="Y239" s="102"/>
      <c r="Z239" s="502"/>
      <c r="AA239" s="33"/>
      <c r="AB239" s="102"/>
      <c r="AC239" s="99"/>
      <c r="AD239" s="33"/>
      <c r="AE239" s="99"/>
      <c r="AF239" s="502"/>
      <c r="AG239" s="33"/>
      <c r="AH239" s="102"/>
      <c r="AI239" s="99"/>
      <c r="AJ239" s="33"/>
      <c r="AK239" s="114"/>
    </row>
    <row r="240" spans="1:37" s="92" customFormat="1" ht="14.25" thickTop="1" thickBot="1" x14ac:dyDescent="0.25">
      <c r="A240" s="2282" t="s">
        <v>242</v>
      </c>
      <c r="B240" s="419">
        <f t="shared" ref="B240:AK240" si="216">SUBTOTAL(9,B135:B239)</f>
        <v>11542900</v>
      </c>
      <c r="C240" s="2635">
        <f t="shared" si="216"/>
        <v>14114500</v>
      </c>
      <c r="D240" s="418">
        <f t="shared" si="216"/>
        <v>-2571600</v>
      </c>
      <c r="E240" s="421">
        <f t="shared" si="216"/>
        <v>3196100</v>
      </c>
      <c r="F240" s="417">
        <f t="shared" si="216"/>
        <v>14344000</v>
      </c>
      <c r="G240" s="422">
        <f t="shared" si="216"/>
        <v>-11147900</v>
      </c>
      <c r="H240" s="424">
        <f t="shared" si="216"/>
        <v>2937800</v>
      </c>
      <c r="I240" s="417">
        <f t="shared" si="216"/>
        <v>5482000</v>
      </c>
      <c r="J240" s="418">
        <f t="shared" si="216"/>
        <v>-2544200</v>
      </c>
      <c r="K240" s="424">
        <f t="shared" si="216"/>
        <v>3336400</v>
      </c>
      <c r="L240" s="417">
        <f t="shared" si="216"/>
        <v>2858000</v>
      </c>
      <c r="M240" s="418">
        <f t="shared" si="216"/>
        <v>478400</v>
      </c>
      <c r="N240" s="419">
        <f t="shared" si="216"/>
        <v>3484800</v>
      </c>
      <c r="O240" s="417">
        <f t="shared" si="216"/>
        <v>2012000</v>
      </c>
      <c r="P240" s="422">
        <f t="shared" si="216"/>
        <v>1472800</v>
      </c>
      <c r="Q240" s="421">
        <f t="shared" si="216"/>
        <v>3596000</v>
      </c>
      <c r="R240" s="417">
        <f t="shared" si="216"/>
        <v>5620000</v>
      </c>
      <c r="S240" s="1586">
        <f t="shared" si="216"/>
        <v>-2024000</v>
      </c>
      <c r="T240" s="421">
        <f t="shared" si="216"/>
        <v>3678600</v>
      </c>
      <c r="U240" s="417">
        <f t="shared" si="216"/>
        <v>4636000</v>
      </c>
      <c r="V240" s="421">
        <f t="shared" si="216"/>
        <v>-957400</v>
      </c>
      <c r="W240" s="1745">
        <f t="shared" si="216"/>
        <v>3814600</v>
      </c>
      <c r="X240" s="417">
        <f t="shared" si="216"/>
        <v>4300000</v>
      </c>
      <c r="Y240" s="422">
        <f t="shared" si="216"/>
        <v>-485400</v>
      </c>
      <c r="Z240" s="1745">
        <f t="shared" si="216"/>
        <v>3944300</v>
      </c>
      <c r="AA240" s="417">
        <f t="shared" si="216"/>
        <v>5870000</v>
      </c>
      <c r="AB240" s="422">
        <f t="shared" si="216"/>
        <v>-1925700</v>
      </c>
      <c r="AC240" s="421">
        <f t="shared" si="216"/>
        <v>4050600</v>
      </c>
      <c r="AD240" s="417">
        <f t="shared" si="216"/>
        <v>4275000</v>
      </c>
      <c r="AE240" s="421">
        <f t="shared" si="216"/>
        <v>-224400</v>
      </c>
      <c r="AF240" s="1745">
        <f t="shared" si="216"/>
        <v>4177300</v>
      </c>
      <c r="AG240" s="417">
        <f t="shared" si="216"/>
        <v>4286000</v>
      </c>
      <c r="AH240" s="422">
        <f t="shared" si="216"/>
        <v>-108700</v>
      </c>
      <c r="AI240" s="421">
        <f t="shared" si="216"/>
        <v>4335500</v>
      </c>
      <c r="AJ240" s="417">
        <f t="shared" si="216"/>
        <v>6039000</v>
      </c>
      <c r="AK240" s="1586">
        <f t="shared" si="216"/>
        <v>-1703500</v>
      </c>
    </row>
    <row r="241" spans="1:37" ht="14.25" thickTop="1" thickBot="1" x14ac:dyDescent="0.25">
      <c r="A241" s="2283"/>
      <c r="B241" s="142"/>
      <c r="C241" s="33"/>
      <c r="D241" s="129"/>
      <c r="E241" s="99"/>
      <c r="F241" s="33"/>
      <c r="G241" s="102"/>
      <c r="H241" s="186"/>
      <c r="I241" s="33"/>
      <c r="J241" s="129"/>
      <c r="K241" s="186"/>
      <c r="L241" s="33"/>
      <c r="M241" s="129"/>
      <c r="N241" s="142"/>
      <c r="O241" s="33"/>
      <c r="P241" s="129"/>
      <c r="Q241" s="142"/>
      <c r="R241" s="33"/>
      <c r="S241" s="114"/>
      <c r="T241" s="142"/>
      <c r="U241" s="33"/>
      <c r="V241" s="99"/>
      <c r="W241" s="186"/>
      <c r="X241" s="33"/>
      <c r="Y241" s="102"/>
      <c r="Z241" s="186"/>
      <c r="AA241" s="33"/>
      <c r="AB241" s="102"/>
      <c r="AC241" s="142"/>
      <c r="AD241" s="33"/>
      <c r="AE241" s="99"/>
      <c r="AF241" s="186"/>
      <c r="AG241" s="33"/>
      <c r="AH241" s="102"/>
      <c r="AI241" s="142"/>
      <c r="AJ241" s="33"/>
      <c r="AK241" s="114"/>
    </row>
    <row r="242" spans="1:37" ht="13.5" thickTop="1" x14ac:dyDescent="0.2">
      <c r="A242" s="2284" t="s">
        <v>1426</v>
      </c>
      <c r="B242" s="122">
        <f t="shared" ref="B242:AH242" si="217">SUBTOTAL(9,B4:B241)</f>
        <v>20796500</v>
      </c>
      <c r="C242" s="162">
        <f t="shared" si="217"/>
        <v>21905800</v>
      </c>
      <c r="D242" s="324">
        <f t="shared" si="217"/>
        <v>-1109300</v>
      </c>
      <c r="E242" s="125">
        <f t="shared" si="217"/>
        <v>17211600</v>
      </c>
      <c r="F242" s="162">
        <f t="shared" si="217"/>
        <v>27342000</v>
      </c>
      <c r="G242" s="385">
        <f t="shared" si="217"/>
        <v>-10130400</v>
      </c>
      <c r="H242" s="386">
        <f t="shared" si="217"/>
        <v>19518600</v>
      </c>
      <c r="I242" s="162">
        <f t="shared" si="217"/>
        <v>17570300</v>
      </c>
      <c r="J242" s="324">
        <f t="shared" si="217"/>
        <v>1948300</v>
      </c>
      <c r="K242" s="386">
        <f t="shared" si="217"/>
        <v>19929400</v>
      </c>
      <c r="L242" s="162">
        <f t="shared" si="217"/>
        <v>26171300</v>
      </c>
      <c r="M242" s="324">
        <f t="shared" si="217"/>
        <v>-6241900</v>
      </c>
      <c r="N242" s="122">
        <f t="shared" si="217"/>
        <v>18206200</v>
      </c>
      <c r="O242" s="162">
        <f t="shared" si="217"/>
        <v>12134200</v>
      </c>
      <c r="P242" s="324">
        <f t="shared" si="217"/>
        <v>6072000</v>
      </c>
      <c r="Q242" s="122">
        <f t="shared" si="217"/>
        <v>22911500</v>
      </c>
      <c r="R242" s="162">
        <f t="shared" si="217"/>
        <v>25403900</v>
      </c>
      <c r="S242" s="2203">
        <f t="shared" si="217"/>
        <v>-2492400</v>
      </c>
      <c r="T242" s="122">
        <f t="shared" si="217"/>
        <v>22080000</v>
      </c>
      <c r="U242" s="387">
        <f t="shared" si="217"/>
        <v>20969600</v>
      </c>
      <c r="V242" s="387">
        <f t="shared" si="217"/>
        <v>1110400</v>
      </c>
      <c r="W242" s="386">
        <f t="shared" si="217"/>
        <v>11968500</v>
      </c>
      <c r="X242" s="387">
        <f t="shared" si="217"/>
        <v>7713400</v>
      </c>
      <c r="Y242" s="324">
        <f t="shared" si="217"/>
        <v>4255100</v>
      </c>
      <c r="Z242" s="386">
        <f t="shared" si="217"/>
        <v>12575900</v>
      </c>
      <c r="AA242" s="387">
        <f t="shared" si="217"/>
        <v>10422900</v>
      </c>
      <c r="AB242" s="324">
        <f t="shared" si="217"/>
        <v>2153000</v>
      </c>
      <c r="AC242" s="122">
        <f t="shared" si="217"/>
        <v>13690200</v>
      </c>
      <c r="AD242" s="387">
        <f t="shared" si="217"/>
        <v>8855300</v>
      </c>
      <c r="AE242" s="387">
        <f t="shared" si="217"/>
        <v>4834900</v>
      </c>
      <c r="AF242" s="386">
        <f t="shared" si="217"/>
        <v>14033500</v>
      </c>
      <c r="AG242" s="387">
        <f t="shared" si="217"/>
        <v>9615700</v>
      </c>
      <c r="AH242" s="324">
        <f t="shared" si="217"/>
        <v>4417800</v>
      </c>
      <c r="AI242" s="122">
        <f t="shared" ref="AI242:AK242" si="218">SUBTOTAL(9,AI4:AI241)</f>
        <v>14461000</v>
      </c>
      <c r="AJ242" s="387">
        <f t="shared" si="218"/>
        <v>11458200</v>
      </c>
      <c r="AK242" s="342">
        <f t="shared" si="218"/>
        <v>3002800</v>
      </c>
    </row>
    <row r="243" spans="1:37" ht="13.5" thickBot="1" x14ac:dyDescent="0.25">
      <c r="A243" s="2285"/>
      <c r="B243" s="166"/>
      <c r="C243" s="66"/>
      <c r="D243" s="136"/>
      <c r="E243" s="174"/>
      <c r="F243" s="66"/>
      <c r="G243" s="326"/>
      <c r="H243" s="217"/>
      <c r="I243" s="66"/>
      <c r="J243" s="136"/>
      <c r="K243" s="217"/>
      <c r="L243" s="66"/>
      <c r="M243" s="136"/>
      <c r="N243" s="166"/>
      <c r="O243" s="66"/>
      <c r="P243" s="136"/>
      <c r="Q243" s="166"/>
      <c r="R243" s="66"/>
      <c r="S243" s="2161"/>
      <c r="T243" s="166"/>
      <c r="U243" s="330"/>
      <c r="V243" s="330"/>
      <c r="W243" s="217"/>
      <c r="X243" s="330"/>
      <c r="Y243" s="136"/>
      <c r="Z243" s="217"/>
      <c r="AA243" s="330"/>
      <c r="AB243" s="136"/>
      <c r="AC243" s="166"/>
      <c r="AD243" s="330"/>
      <c r="AE243" s="330"/>
      <c r="AF243" s="217"/>
      <c r="AG243" s="330"/>
      <c r="AH243" s="136"/>
      <c r="AI243" s="166"/>
      <c r="AJ243" s="330"/>
      <c r="AK243" s="167"/>
    </row>
    <row r="244" spans="1:37" ht="13.5" thickTop="1" x14ac:dyDescent="0.2"/>
    <row r="245" spans="1:37" x14ac:dyDescent="0.2">
      <c r="A245" s="84" t="s">
        <v>408</v>
      </c>
      <c r="B245" s="84">
        <f>B242-C242-D242</f>
        <v>0</v>
      </c>
      <c r="E245" s="92">
        <f>E242-F242-G242</f>
        <v>0</v>
      </c>
      <c r="H245" s="84">
        <f>H242-I242-J242</f>
        <v>0</v>
      </c>
      <c r="K245" s="84">
        <f>K242-L242-M242</f>
        <v>0</v>
      </c>
      <c r="N245" s="84">
        <f>N242-O242-P242</f>
        <v>0</v>
      </c>
      <c r="Q245" s="84">
        <f>Q242-R242-S242</f>
        <v>0</v>
      </c>
      <c r="T245" s="84">
        <f>T242-U242-V242</f>
        <v>0</v>
      </c>
      <c r="W245" s="84">
        <f>W242-X242-Y242</f>
        <v>0</v>
      </c>
      <c r="Z245" s="84">
        <f>Z242-AA242-AB242</f>
        <v>0</v>
      </c>
      <c r="AC245" s="84">
        <f>AC242-AD242-AE242</f>
        <v>0</v>
      </c>
      <c r="AF245" s="84">
        <f>AF242-AG242-AH242</f>
        <v>0</v>
      </c>
      <c r="AI245" s="84">
        <f>AI242-AJ242-AK242</f>
        <v>0</v>
      </c>
    </row>
    <row r="246" spans="1:37" s="92" customFormat="1" x14ac:dyDescent="0.2">
      <c r="A246" s="92" t="s">
        <v>1933</v>
      </c>
    </row>
    <row r="248" spans="1:37" s="92" customFormat="1" x14ac:dyDescent="0.2">
      <c r="A248" s="84" t="s">
        <v>2838</v>
      </c>
    </row>
    <row r="249" spans="1:37" x14ac:dyDescent="0.2">
      <c r="A249" s="133" t="s">
        <v>3432</v>
      </c>
    </row>
    <row r="250" spans="1:37" x14ac:dyDescent="0.2">
      <c r="A250" s="133" t="s">
        <v>1375</v>
      </c>
    </row>
    <row r="251" spans="1:37" s="92" customFormat="1" x14ac:dyDescent="0.2">
      <c r="A251" s="84" t="s">
        <v>839</v>
      </c>
    </row>
    <row r="252" spans="1:37" x14ac:dyDescent="0.2">
      <c r="A252" s="133" t="s">
        <v>3984</v>
      </c>
    </row>
    <row r="402" spans="12:12" x14ac:dyDescent="0.2">
      <c r="L402" s="84">
        <f>334800+3907800</f>
        <v>4242600</v>
      </c>
    </row>
    <row r="403" spans="12:12" x14ac:dyDescent="0.2">
      <c r="L403" s="84">
        <f>4378200</f>
        <v>4378200</v>
      </c>
    </row>
    <row r="404" spans="12:12" x14ac:dyDescent="0.2">
      <c r="L404" s="84">
        <f>L402-L403</f>
        <v>-135600</v>
      </c>
    </row>
  </sheetData>
  <mergeCells count="35">
    <mergeCell ref="H108:J108"/>
    <mergeCell ref="Q2:S2"/>
    <mergeCell ref="N2:P2"/>
    <mergeCell ref="K108:M108"/>
    <mergeCell ref="A107:S107"/>
    <mergeCell ref="Q108:S108"/>
    <mergeCell ref="N108:P108"/>
    <mergeCell ref="A105:S105"/>
    <mergeCell ref="AI200:AK200"/>
    <mergeCell ref="AI2:AK2"/>
    <mergeCell ref="AI108:AK108"/>
    <mergeCell ref="A1:S1"/>
    <mergeCell ref="AF2:AH2"/>
    <mergeCell ref="AF108:AH108"/>
    <mergeCell ref="AC2:AE2"/>
    <mergeCell ref="AC108:AE108"/>
    <mergeCell ref="Z2:AB2"/>
    <mergeCell ref="Z108:AB108"/>
    <mergeCell ref="T108:V108"/>
    <mergeCell ref="W108:Y108"/>
    <mergeCell ref="W2:Y2"/>
    <mergeCell ref="T2:V2"/>
    <mergeCell ref="H2:J2"/>
    <mergeCell ref="K2:M2"/>
    <mergeCell ref="T200:V200"/>
    <mergeCell ref="W200:Y200"/>
    <mergeCell ref="Z200:AB200"/>
    <mergeCell ref="AC200:AE200"/>
    <mergeCell ref="AF200:AH200"/>
    <mergeCell ref="A197:S197"/>
    <mergeCell ref="A199:S199"/>
    <mergeCell ref="H200:J200"/>
    <mergeCell ref="K200:M200"/>
    <mergeCell ref="N200:P200"/>
    <mergeCell ref="Q200:S200"/>
  </mergeCells>
  <phoneticPr fontId="9" type="noConversion"/>
  <printOptions horizontalCentered="1"/>
  <pageMargins left="0" right="0" top="0.59055118110236227" bottom="0" header="0" footer="0"/>
  <pageSetup paperSize="8" scale="70" orientation="landscape" r:id="rId1"/>
  <headerFooter alignWithMargins="0"/>
  <rowBreaks count="2" manualBreakCount="2">
    <brk id="106" max="16383" man="1"/>
    <brk id="198" max="16383" man="1"/>
  </rowBreaks>
  <colBreaks count="1" manualBreakCount="1">
    <brk id="20" max="1048575" man="1"/>
  </col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176"/>
  <sheetViews>
    <sheetView workbookViewId="0">
      <pane xSplit="1" ySplit="3" topLeftCell="E157" activePane="bottomRight" state="frozen"/>
      <selection pane="topRight" activeCell="B1" sqref="B1"/>
      <selection pane="bottomLeft" activeCell="A4" sqref="A4"/>
      <selection pane="bottomRight" activeCell="F169" sqref="F169"/>
    </sheetView>
  </sheetViews>
  <sheetFormatPr defaultColWidth="9.140625" defaultRowHeight="12.75" x14ac:dyDescent="0.2"/>
  <cols>
    <col min="1" max="1" width="30.7109375" style="84" customWidth="1"/>
    <col min="2" max="2" width="10.140625" style="84" hidden="1" customWidth="1"/>
    <col min="3" max="3" width="12.42578125" style="84" hidden="1" customWidth="1"/>
    <col min="4" max="4" width="12.140625" style="84" hidden="1" customWidth="1"/>
    <col min="5" max="5" width="10.140625" style="84" bestFit="1" customWidth="1"/>
    <col min="6" max="6" width="12.5703125" style="84" customWidth="1"/>
    <col min="7" max="7" width="13.42578125" style="84" customWidth="1"/>
    <col min="8" max="8" width="10.140625" style="84" bestFit="1" customWidth="1"/>
    <col min="9" max="9" width="10.42578125" style="84" bestFit="1" customWidth="1"/>
    <col min="10" max="11" width="10.140625" style="84" bestFit="1" customWidth="1"/>
    <col min="12" max="12" width="11.28515625" style="84" bestFit="1" customWidth="1"/>
    <col min="13" max="13" width="10.140625" style="84" bestFit="1" customWidth="1"/>
    <col min="14" max="17" width="10.28515625" style="84" customWidth="1"/>
    <col min="18" max="18" width="11.28515625" style="84" bestFit="1" customWidth="1"/>
    <col min="19" max="21" width="10.28515625" style="84" customWidth="1"/>
    <col min="22" max="23" width="11.28515625" style="84" bestFit="1" customWidth="1"/>
    <col min="24" max="24" width="10.42578125" style="84" bestFit="1" customWidth="1"/>
    <col min="25" max="26" width="11.28515625" style="84" bestFit="1" customWidth="1"/>
    <col min="27" max="37" width="10.28515625" style="84" customWidth="1"/>
    <col min="38" max="16384" width="9.140625" style="84"/>
  </cols>
  <sheetData>
    <row r="1" spans="1:43" ht="18.75" customHeight="1" thickTop="1" thickBot="1" x14ac:dyDescent="0.25">
      <c r="A1" s="2930" t="s">
        <v>7049</v>
      </c>
      <c r="B1" s="2931"/>
      <c r="C1" s="2931"/>
      <c r="D1" s="2931"/>
      <c r="E1" s="2931"/>
      <c r="F1" s="2931"/>
      <c r="G1" s="2931"/>
      <c r="H1" s="2931"/>
      <c r="I1" s="2931"/>
      <c r="J1" s="2931"/>
      <c r="K1" s="2931"/>
      <c r="L1" s="2931"/>
      <c r="M1" s="2931"/>
      <c r="N1" s="2931"/>
      <c r="O1" s="2931"/>
      <c r="P1" s="2932"/>
      <c r="Q1" s="1743"/>
      <c r="R1" s="1743"/>
      <c r="S1" s="1743"/>
      <c r="T1" s="1743"/>
      <c r="U1" s="1743"/>
      <c r="V1" s="1743"/>
      <c r="W1" s="1743"/>
      <c r="X1" s="1743"/>
      <c r="Y1" s="1743"/>
      <c r="Z1" s="1743"/>
      <c r="AA1" s="1743"/>
      <c r="AB1" s="1743"/>
      <c r="AC1" s="1743"/>
      <c r="AD1" s="1743"/>
      <c r="AE1" s="1743"/>
      <c r="AF1" s="1743"/>
      <c r="AG1" s="1743"/>
      <c r="AH1" s="1743"/>
      <c r="AI1" s="1743"/>
      <c r="AJ1" s="1743"/>
      <c r="AK1" s="1842"/>
    </row>
    <row r="2" spans="1:43" ht="13.5" thickBot="1" x14ac:dyDescent="0.25">
      <c r="A2" s="583" t="s">
        <v>1552</v>
      </c>
      <c r="B2" s="2918" t="str">
        <f>SP!D3</f>
        <v>2015/16</v>
      </c>
      <c r="C2" s="2918"/>
      <c r="D2" s="2919"/>
      <c r="E2" s="2917" t="str">
        <f>SP!G3</f>
        <v>2016/17</v>
      </c>
      <c r="F2" s="2918"/>
      <c r="G2" s="2919"/>
      <c r="H2" s="2918" t="str">
        <f>SP!I3</f>
        <v>2017/18</v>
      </c>
      <c r="I2" s="2918"/>
      <c r="J2" s="2919"/>
      <c r="K2" s="2934" t="str">
        <f>SP!J3</f>
        <v>2018/19</v>
      </c>
      <c r="L2" s="2934"/>
      <c r="M2" s="2934"/>
      <c r="N2" s="2933" t="str">
        <f>SP!K3</f>
        <v>2019/20</v>
      </c>
      <c r="O2" s="2934"/>
      <c r="P2" s="2936"/>
      <c r="Q2" s="2934" t="str">
        <f>SP!L3</f>
        <v>2020/21</v>
      </c>
      <c r="R2" s="2934"/>
      <c r="S2" s="2935"/>
      <c r="T2" s="2934" t="str">
        <f>SP!M3</f>
        <v>2021/22</v>
      </c>
      <c r="U2" s="2934"/>
      <c r="V2" s="2935"/>
      <c r="W2" s="2934" t="str">
        <f>SP!N3</f>
        <v>2022/23</v>
      </c>
      <c r="X2" s="2934"/>
      <c r="Y2" s="2935"/>
      <c r="Z2" s="2933" t="str">
        <f>SP!O3</f>
        <v>2023/24</v>
      </c>
      <c r="AA2" s="2934"/>
      <c r="AB2" s="2935"/>
      <c r="AC2" s="2933" t="str">
        <f>SP!P3</f>
        <v>2024/25</v>
      </c>
      <c r="AD2" s="2934"/>
      <c r="AE2" s="2935"/>
      <c r="AF2" s="2933" t="str">
        <f>SP!Q3</f>
        <v>2025/26</v>
      </c>
      <c r="AG2" s="2934"/>
      <c r="AH2" s="2935"/>
      <c r="AI2" s="2934" t="str">
        <f>SP!R3</f>
        <v>2026/27</v>
      </c>
      <c r="AJ2" s="2934"/>
      <c r="AK2" s="2936"/>
    </row>
    <row r="3" spans="1:43" ht="13.5" thickBot="1" x14ac:dyDescent="0.25">
      <c r="A3" s="408"/>
      <c r="B3" s="332" t="s">
        <v>735</v>
      </c>
      <c r="C3" s="322" t="s">
        <v>199</v>
      </c>
      <c r="D3" s="325" t="s">
        <v>200</v>
      </c>
      <c r="E3" s="566" t="str">
        <f t="shared" ref="E3:P3" si="0">B3</f>
        <v>Opening</v>
      </c>
      <c r="F3" s="322" t="str">
        <f t="shared" si="0"/>
        <v>Movement</v>
      </c>
      <c r="G3" s="325" t="str">
        <f t="shared" si="0"/>
        <v>Closing</v>
      </c>
      <c r="H3" s="332" t="str">
        <f>E3</f>
        <v>Opening</v>
      </c>
      <c r="I3" s="322" t="str">
        <f>F3</f>
        <v>Movement</v>
      </c>
      <c r="J3" s="325" t="str">
        <f>G3</f>
        <v>Closing</v>
      </c>
      <c r="K3" s="332" t="str">
        <f>E3</f>
        <v>Opening</v>
      </c>
      <c r="L3" s="322" t="str">
        <f>F3</f>
        <v>Movement</v>
      </c>
      <c r="M3" s="557" t="str">
        <f>G3</f>
        <v>Closing</v>
      </c>
      <c r="N3" s="566" t="str">
        <f t="shared" si="0"/>
        <v>Opening</v>
      </c>
      <c r="O3" s="322" t="str">
        <f t="shared" si="0"/>
        <v>Movement</v>
      </c>
      <c r="P3" s="333" t="str">
        <f t="shared" si="0"/>
        <v>Closing</v>
      </c>
      <c r="Q3" s="332" t="str">
        <f t="shared" ref="Q3:Y3" si="1">N3</f>
        <v>Opening</v>
      </c>
      <c r="R3" s="322" t="str">
        <f t="shared" si="1"/>
        <v>Movement</v>
      </c>
      <c r="S3" s="325" t="str">
        <f t="shared" si="1"/>
        <v>Closing</v>
      </c>
      <c r="T3" s="322" t="str">
        <f t="shared" si="1"/>
        <v>Opening</v>
      </c>
      <c r="U3" s="322" t="str">
        <f t="shared" si="1"/>
        <v>Movement</v>
      </c>
      <c r="V3" s="325" t="str">
        <f t="shared" si="1"/>
        <v>Closing</v>
      </c>
      <c r="W3" s="322" t="str">
        <f t="shared" si="1"/>
        <v>Opening</v>
      </c>
      <c r="X3" s="322" t="str">
        <f t="shared" si="1"/>
        <v>Movement</v>
      </c>
      <c r="Y3" s="325" t="str">
        <f t="shared" si="1"/>
        <v>Closing</v>
      </c>
      <c r="Z3" s="566" t="str">
        <f t="shared" ref="Z3:AE3" si="2">W3</f>
        <v>Opening</v>
      </c>
      <c r="AA3" s="322" t="str">
        <f t="shared" si="2"/>
        <v>Movement</v>
      </c>
      <c r="AB3" s="325" t="str">
        <f t="shared" si="2"/>
        <v>Closing</v>
      </c>
      <c r="AC3" s="566" t="str">
        <f t="shared" si="2"/>
        <v>Opening</v>
      </c>
      <c r="AD3" s="322" t="str">
        <f t="shared" si="2"/>
        <v>Movement</v>
      </c>
      <c r="AE3" s="325" t="str">
        <f t="shared" si="2"/>
        <v>Closing</v>
      </c>
      <c r="AF3" s="566" t="str">
        <f t="shared" ref="AF3" si="3">AC3</f>
        <v>Opening</v>
      </c>
      <c r="AG3" s="322" t="str">
        <f t="shared" ref="AG3" si="4">AD3</f>
        <v>Movement</v>
      </c>
      <c r="AH3" s="325" t="str">
        <f t="shared" ref="AH3" si="5">AE3</f>
        <v>Closing</v>
      </c>
      <c r="AI3" s="332" t="str">
        <f t="shared" ref="AI3" si="6">AF3</f>
        <v>Opening</v>
      </c>
      <c r="AJ3" s="322" t="str">
        <f t="shared" ref="AJ3" si="7">AG3</f>
        <v>Movement</v>
      </c>
      <c r="AK3" s="333" t="str">
        <f t="shared" ref="AK3" si="8">AH3</f>
        <v>Closing</v>
      </c>
    </row>
    <row r="4" spans="1:43" ht="15" customHeight="1" x14ac:dyDescent="0.2">
      <c r="A4" s="584"/>
      <c r="B4" s="401"/>
      <c r="C4" s="323"/>
      <c r="D4" s="552"/>
      <c r="E4" s="582"/>
      <c r="F4" s="323"/>
      <c r="G4" s="552"/>
      <c r="H4" s="401"/>
      <c r="I4" s="323"/>
      <c r="J4" s="552"/>
      <c r="K4" s="401"/>
      <c r="L4" s="323"/>
      <c r="M4" s="553"/>
      <c r="N4" s="1744"/>
      <c r="O4" s="323"/>
      <c r="P4" s="2154"/>
      <c r="Q4" s="553"/>
      <c r="R4" s="323"/>
      <c r="S4" s="339"/>
      <c r="T4" s="553"/>
      <c r="U4" s="323"/>
      <c r="V4" s="339"/>
      <c r="W4" s="553"/>
      <c r="X4" s="323"/>
      <c r="Y4" s="339"/>
      <c r="Z4" s="1744"/>
      <c r="AA4" s="323"/>
      <c r="AB4" s="339"/>
      <c r="AC4" s="1744"/>
      <c r="AD4" s="323"/>
      <c r="AE4" s="339"/>
      <c r="AF4" s="1744"/>
      <c r="AG4" s="323"/>
      <c r="AH4" s="339"/>
      <c r="AI4" s="553"/>
      <c r="AJ4" s="323"/>
      <c r="AK4" s="1585"/>
    </row>
    <row r="5" spans="1:43" s="340" customFormat="1" x14ac:dyDescent="0.2">
      <c r="A5" s="587" t="str">
        <f>'Res-Gen'!A5</f>
        <v>Strategic and Community Facilities Group</v>
      </c>
      <c r="B5" s="142"/>
      <c r="C5" s="33"/>
      <c r="D5" s="129"/>
      <c r="E5" s="502"/>
      <c r="F5" s="33"/>
      <c r="G5" s="129"/>
      <c r="H5" s="99"/>
      <c r="I5" s="33"/>
      <c r="J5" s="129"/>
      <c r="K5" s="142"/>
      <c r="L5" s="33"/>
      <c r="M5" s="99"/>
      <c r="N5" s="502"/>
      <c r="O5" s="33"/>
      <c r="P5" s="100"/>
      <c r="Q5" s="99"/>
      <c r="R5" s="33"/>
      <c r="S5" s="102"/>
      <c r="T5" s="99"/>
      <c r="U5" s="33"/>
      <c r="V5" s="102"/>
      <c r="W5" s="99"/>
      <c r="X5" s="33"/>
      <c r="Y5" s="102"/>
      <c r="Z5" s="502"/>
      <c r="AA5" s="33"/>
      <c r="AB5" s="102"/>
      <c r="AC5" s="502"/>
      <c r="AD5" s="33"/>
      <c r="AE5" s="102"/>
      <c r="AF5" s="502"/>
      <c r="AG5" s="33"/>
      <c r="AH5" s="102"/>
      <c r="AI5" s="99"/>
      <c r="AJ5" s="33"/>
      <c r="AK5" s="114"/>
    </row>
    <row r="6" spans="1:43" x14ac:dyDescent="0.2">
      <c r="A6" s="889" t="s">
        <v>5380</v>
      </c>
      <c r="B6" s="142">
        <v>4660100</v>
      </c>
      <c r="C6" s="33">
        <f>'Res-Gen'!D7</f>
        <v>531500</v>
      </c>
      <c r="D6" s="129">
        <f t="shared" ref="D6:D14" si="9">B6+C6</f>
        <v>5191600</v>
      </c>
      <c r="E6" s="502">
        <f t="shared" ref="E6:E15" si="10">D6</f>
        <v>5191600</v>
      </c>
      <c r="F6" s="33">
        <f>'Res-Gen'!G7</f>
        <v>1451200</v>
      </c>
      <c r="G6" s="129">
        <f t="shared" ref="G6:G15" si="11">E6+F6</f>
        <v>6642800</v>
      </c>
      <c r="H6" s="99">
        <f t="shared" ref="H6:H15" si="12">G6</f>
        <v>6642800</v>
      </c>
      <c r="I6" s="33">
        <f>'Res-Gen'!J7</f>
        <v>6227500</v>
      </c>
      <c r="J6" s="129">
        <f t="shared" ref="J6:J15" si="13">H6+I6</f>
        <v>12870300</v>
      </c>
      <c r="K6" s="142">
        <f t="shared" ref="K6:K15" si="14">J6</f>
        <v>12870300</v>
      </c>
      <c r="L6" s="33">
        <f>'Res-Gen'!M7</f>
        <v>-8984500</v>
      </c>
      <c r="M6" s="99">
        <f t="shared" ref="M6:M15" si="15">K6+L6</f>
        <v>3885800</v>
      </c>
      <c r="N6" s="502">
        <f t="shared" ref="N6:N15" si="16">M6</f>
        <v>3885800</v>
      </c>
      <c r="O6" s="33">
        <f>'Res-Gen'!P7</f>
        <v>5789500</v>
      </c>
      <c r="P6" s="100">
        <f t="shared" ref="P6:P15" si="17">N6+O6</f>
        <v>9675300</v>
      </c>
      <c r="Q6" s="99">
        <f t="shared" ref="Q6:Q15" si="18">P6</f>
        <v>9675300</v>
      </c>
      <c r="R6" s="33">
        <f>'Res-Gen'!S7</f>
        <v>-1495000</v>
      </c>
      <c r="S6" s="102">
        <f t="shared" ref="S6:S15" si="19">Q6+R6</f>
        <v>8180300</v>
      </c>
      <c r="T6" s="99">
        <f t="shared" ref="T6:T15" si="20">S6</f>
        <v>8180300</v>
      </c>
      <c r="U6" s="33">
        <f>'Res-Gen'!V7</f>
        <v>-810500</v>
      </c>
      <c r="V6" s="102">
        <f t="shared" ref="V6:V15" si="21">T6+U6</f>
        <v>7369800</v>
      </c>
      <c r="W6" s="99">
        <f t="shared" ref="W6:W15" si="22">V6</f>
        <v>7369800</v>
      </c>
      <c r="X6" s="33">
        <f>'Res-Gen'!Y7</f>
        <v>2576500</v>
      </c>
      <c r="Y6" s="102">
        <f t="shared" ref="Y6:Y15" si="23">W6+X6</f>
        <v>9946300</v>
      </c>
      <c r="Z6" s="502">
        <f t="shared" ref="Z6:Z15" si="24">Y6</f>
        <v>9946300</v>
      </c>
      <c r="AA6" s="33">
        <f>'Res-Gen'!AB7</f>
        <v>2690000</v>
      </c>
      <c r="AB6" s="102">
        <f t="shared" ref="AB6:AB15" si="25">Z6+AA6</f>
        <v>12636300</v>
      </c>
      <c r="AC6" s="502">
        <f t="shared" ref="AC6:AC9" si="26">AB6</f>
        <v>12636300</v>
      </c>
      <c r="AD6" s="33">
        <f>'Res-Gen'!AE7</f>
        <v>2808500</v>
      </c>
      <c r="AE6" s="102">
        <f t="shared" ref="AE6:AE9" si="27">AC6+AD6</f>
        <v>15444800</v>
      </c>
      <c r="AF6" s="502">
        <f t="shared" ref="AF6:AF9" si="28">AE6</f>
        <v>15444800</v>
      </c>
      <c r="AG6" s="33">
        <f>'Res-Gen'!AH7</f>
        <v>2931000</v>
      </c>
      <c r="AH6" s="102">
        <f t="shared" ref="AH6:AH9" si="29">AF6+AG6</f>
        <v>18375800</v>
      </c>
      <c r="AI6" s="99">
        <f t="shared" ref="AI6:AI12" si="30">AH6</f>
        <v>18375800</v>
      </c>
      <c r="AJ6" s="33">
        <f>'Res-Gen'!AK7</f>
        <v>3057000</v>
      </c>
      <c r="AK6" s="114">
        <f t="shared" ref="AK6:AK12" si="31">AI6+AJ6</f>
        <v>21432800</v>
      </c>
      <c r="AL6" s="376"/>
      <c r="AM6" s="376"/>
      <c r="AN6" s="376"/>
      <c r="AO6" s="376"/>
      <c r="AP6" s="376"/>
      <c r="AQ6" s="376"/>
    </row>
    <row r="7" spans="1:43" s="340" customFormat="1" x14ac:dyDescent="0.2">
      <c r="A7" s="585" t="str">
        <f>'Res-Gen'!A8</f>
        <v>Strategic Planning Studies</v>
      </c>
      <c r="B7" s="142">
        <v>401100</v>
      </c>
      <c r="C7" s="33">
        <f>'Res-Gen'!D8</f>
        <v>69600</v>
      </c>
      <c r="D7" s="129">
        <f t="shared" si="9"/>
        <v>470700</v>
      </c>
      <c r="E7" s="502">
        <f t="shared" si="10"/>
        <v>470700</v>
      </c>
      <c r="F7" s="33">
        <f>'Res-Gen'!G8</f>
        <v>-229700</v>
      </c>
      <c r="G7" s="129">
        <f t="shared" si="11"/>
        <v>241000</v>
      </c>
      <c r="H7" s="99">
        <f t="shared" si="12"/>
        <v>241000</v>
      </c>
      <c r="I7" s="33">
        <f>'Res-Gen'!J8</f>
        <v>0</v>
      </c>
      <c r="J7" s="129">
        <f t="shared" si="13"/>
        <v>241000</v>
      </c>
      <c r="K7" s="142">
        <f t="shared" si="14"/>
        <v>241000</v>
      </c>
      <c r="L7" s="33">
        <f>'Res-Gen'!M8</f>
        <v>0</v>
      </c>
      <c r="M7" s="99">
        <f t="shared" si="15"/>
        <v>241000</v>
      </c>
      <c r="N7" s="502">
        <f t="shared" si="16"/>
        <v>241000</v>
      </c>
      <c r="O7" s="33">
        <f>'Res-Gen'!P8</f>
        <v>0</v>
      </c>
      <c r="P7" s="100">
        <f t="shared" si="17"/>
        <v>241000</v>
      </c>
      <c r="Q7" s="99">
        <f t="shared" si="18"/>
        <v>241000</v>
      </c>
      <c r="R7" s="33">
        <f>'Res-Gen'!S8</f>
        <v>0</v>
      </c>
      <c r="S7" s="102">
        <f t="shared" si="19"/>
        <v>241000</v>
      </c>
      <c r="T7" s="99">
        <f t="shared" si="20"/>
        <v>241000</v>
      </c>
      <c r="U7" s="33">
        <f>'Res-Gen'!V8</f>
        <v>0</v>
      </c>
      <c r="V7" s="102">
        <f t="shared" si="21"/>
        <v>241000</v>
      </c>
      <c r="W7" s="99">
        <f t="shared" si="22"/>
        <v>241000</v>
      </c>
      <c r="X7" s="33">
        <f>'Res-Gen'!Y8</f>
        <v>0</v>
      </c>
      <c r="Y7" s="102">
        <f t="shared" si="23"/>
        <v>241000</v>
      </c>
      <c r="Z7" s="502">
        <f t="shared" si="24"/>
        <v>241000</v>
      </c>
      <c r="AA7" s="33">
        <f>'Res-Gen'!AB8</f>
        <v>0</v>
      </c>
      <c r="AB7" s="102">
        <f t="shared" si="25"/>
        <v>241000</v>
      </c>
      <c r="AC7" s="502">
        <f t="shared" si="26"/>
        <v>241000</v>
      </c>
      <c r="AD7" s="33">
        <f>'Res-Gen'!AE8</f>
        <v>0</v>
      </c>
      <c r="AE7" s="102">
        <f t="shared" si="27"/>
        <v>241000</v>
      </c>
      <c r="AF7" s="502">
        <f t="shared" si="28"/>
        <v>241000</v>
      </c>
      <c r="AG7" s="33">
        <f>'Res-Gen'!AH8</f>
        <v>0</v>
      </c>
      <c r="AH7" s="102">
        <f t="shared" si="29"/>
        <v>241000</v>
      </c>
      <c r="AI7" s="99">
        <f t="shared" si="30"/>
        <v>241000</v>
      </c>
      <c r="AJ7" s="33">
        <f>'Res-Gen'!AK8</f>
        <v>0</v>
      </c>
      <c r="AK7" s="114">
        <f t="shared" si="31"/>
        <v>241000</v>
      </c>
    </row>
    <row r="8" spans="1:43" s="340" customFormat="1" x14ac:dyDescent="0.2">
      <c r="A8" s="889" t="s">
        <v>3575</v>
      </c>
      <c r="B8" s="142">
        <f>50500+27700</f>
        <v>78200</v>
      </c>
      <c r="C8" s="33">
        <f>'Res-Gen'!D9+'Res-Gen'!D138</f>
        <v>27900</v>
      </c>
      <c r="D8" s="129">
        <f t="shared" ref="D8" si="32">B8+C8</f>
        <v>106100</v>
      </c>
      <c r="E8" s="502">
        <f t="shared" ref="E8" si="33">D8</f>
        <v>106100</v>
      </c>
      <c r="F8" s="33">
        <f>'Res-Gen'!G9</f>
        <v>-74000</v>
      </c>
      <c r="G8" s="129">
        <f t="shared" ref="G8" si="34">E8+F8</f>
        <v>32100</v>
      </c>
      <c r="H8" s="99">
        <f t="shared" ref="H8" si="35">G8</f>
        <v>32100</v>
      </c>
      <c r="I8" s="33">
        <f>'Res-Gen'!J9</f>
        <v>0</v>
      </c>
      <c r="J8" s="129">
        <f t="shared" ref="J8" si="36">H8+I8</f>
        <v>32100</v>
      </c>
      <c r="K8" s="142">
        <f t="shared" ref="K8" si="37">J8</f>
        <v>32100</v>
      </c>
      <c r="L8" s="33">
        <f>'Res-Gen'!M9</f>
        <v>0</v>
      </c>
      <c r="M8" s="99">
        <f t="shared" ref="M8" si="38">K8+L8</f>
        <v>32100</v>
      </c>
      <c r="N8" s="502">
        <f t="shared" ref="N8" si="39">M8</f>
        <v>32100</v>
      </c>
      <c r="O8" s="33">
        <f>'Res-Gen'!P9</f>
        <v>0</v>
      </c>
      <c r="P8" s="100">
        <f t="shared" ref="P8" si="40">N8+O8</f>
        <v>32100</v>
      </c>
      <c r="Q8" s="99">
        <f t="shared" ref="Q8" si="41">P8</f>
        <v>32100</v>
      </c>
      <c r="R8" s="33">
        <f>'Res-Gen'!S9</f>
        <v>0</v>
      </c>
      <c r="S8" s="102">
        <f t="shared" ref="S8" si="42">Q8+R8</f>
        <v>32100</v>
      </c>
      <c r="T8" s="99">
        <f t="shared" ref="T8" si="43">S8</f>
        <v>32100</v>
      </c>
      <c r="U8" s="33">
        <f>'Res-Gen'!V9</f>
        <v>0</v>
      </c>
      <c r="V8" s="102">
        <f t="shared" ref="V8" si="44">T8+U8</f>
        <v>32100</v>
      </c>
      <c r="W8" s="99">
        <f t="shared" ref="W8" si="45">V8</f>
        <v>32100</v>
      </c>
      <c r="X8" s="33">
        <f>'Res-Gen'!Y9</f>
        <v>0</v>
      </c>
      <c r="Y8" s="102">
        <f t="shared" ref="Y8" si="46">W8+X8</f>
        <v>32100</v>
      </c>
      <c r="Z8" s="502">
        <f t="shared" ref="Z8" si="47">Y8</f>
        <v>32100</v>
      </c>
      <c r="AA8" s="33">
        <f>'Res-Gen'!AB9</f>
        <v>0</v>
      </c>
      <c r="AB8" s="102">
        <f t="shared" ref="AB8" si="48">Z8+AA8</f>
        <v>32100</v>
      </c>
      <c r="AC8" s="502">
        <f t="shared" si="26"/>
        <v>32100</v>
      </c>
      <c r="AD8" s="33">
        <f>'Res-Gen'!AE9</f>
        <v>0</v>
      </c>
      <c r="AE8" s="102">
        <f t="shared" si="27"/>
        <v>32100</v>
      </c>
      <c r="AF8" s="502">
        <f t="shared" si="28"/>
        <v>32100</v>
      </c>
      <c r="AG8" s="33">
        <f>'Res-Gen'!AH9</f>
        <v>0</v>
      </c>
      <c r="AH8" s="102">
        <f t="shared" si="29"/>
        <v>32100</v>
      </c>
      <c r="AI8" s="99">
        <f t="shared" si="30"/>
        <v>32100</v>
      </c>
      <c r="AJ8" s="33">
        <f>'Res-Gen'!AK9</f>
        <v>0</v>
      </c>
      <c r="AK8" s="114">
        <f t="shared" si="31"/>
        <v>32100</v>
      </c>
    </row>
    <row r="9" spans="1:43" s="340" customFormat="1" x14ac:dyDescent="0.2">
      <c r="A9" s="889" t="s">
        <v>3661</v>
      </c>
      <c r="B9" s="142">
        <v>26600</v>
      </c>
      <c r="C9" s="33">
        <f>'Res-Gen'!D10</f>
        <v>0</v>
      </c>
      <c r="D9" s="129">
        <f t="shared" si="9"/>
        <v>26600</v>
      </c>
      <c r="E9" s="502">
        <f t="shared" si="10"/>
        <v>26600</v>
      </c>
      <c r="F9" s="33">
        <f>'Res-Gen'!G10</f>
        <v>0</v>
      </c>
      <c r="G9" s="129">
        <f t="shared" si="11"/>
        <v>26600</v>
      </c>
      <c r="H9" s="99">
        <f t="shared" si="12"/>
        <v>26600</v>
      </c>
      <c r="I9" s="33">
        <f>'Res-Gen'!J10</f>
        <v>0</v>
      </c>
      <c r="J9" s="129">
        <f t="shared" si="13"/>
        <v>26600</v>
      </c>
      <c r="K9" s="142">
        <f t="shared" si="14"/>
        <v>26600</v>
      </c>
      <c r="L9" s="33">
        <f>'Res-Gen'!M10</f>
        <v>0</v>
      </c>
      <c r="M9" s="99">
        <f t="shared" si="15"/>
        <v>26600</v>
      </c>
      <c r="N9" s="502">
        <f t="shared" si="16"/>
        <v>26600</v>
      </c>
      <c r="O9" s="33">
        <f>'Res-Gen'!P10</f>
        <v>0</v>
      </c>
      <c r="P9" s="100">
        <f t="shared" si="17"/>
        <v>26600</v>
      </c>
      <c r="Q9" s="99">
        <f t="shared" si="18"/>
        <v>26600</v>
      </c>
      <c r="R9" s="33">
        <f>'Res-Gen'!S10</f>
        <v>0</v>
      </c>
      <c r="S9" s="102">
        <f t="shared" si="19"/>
        <v>26600</v>
      </c>
      <c r="T9" s="99">
        <f t="shared" si="20"/>
        <v>26600</v>
      </c>
      <c r="U9" s="33">
        <f>'Res-Gen'!V10</f>
        <v>0</v>
      </c>
      <c r="V9" s="102">
        <f t="shared" si="21"/>
        <v>26600</v>
      </c>
      <c r="W9" s="99">
        <f t="shared" si="22"/>
        <v>26600</v>
      </c>
      <c r="X9" s="33">
        <f>'Res-Gen'!Y10</f>
        <v>0</v>
      </c>
      <c r="Y9" s="102">
        <f t="shared" si="23"/>
        <v>26600</v>
      </c>
      <c r="Z9" s="502">
        <f t="shared" si="24"/>
        <v>26600</v>
      </c>
      <c r="AA9" s="33">
        <f>'Res-Gen'!AB10</f>
        <v>0</v>
      </c>
      <c r="AB9" s="102">
        <f t="shared" si="25"/>
        <v>26600</v>
      </c>
      <c r="AC9" s="502">
        <f t="shared" si="26"/>
        <v>26600</v>
      </c>
      <c r="AD9" s="33">
        <f>'Res-Gen'!AE10</f>
        <v>0</v>
      </c>
      <c r="AE9" s="102">
        <f t="shared" si="27"/>
        <v>26600</v>
      </c>
      <c r="AF9" s="502">
        <f t="shared" si="28"/>
        <v>26600</v>
      </c>
      <c r="AG9" s="33">
        <f>'Res-Gen'!AH10</f>
        <v>0</v>
      </c>
      <c r="AH9" s="102">
        <f t="shared" si="29"/>
        <v>26600</v>
      </c>
      <c r="AI9" s="99">
        <f t="shared" si="30"/>
        <v>26600</v>
      </c>
      <c r="AJ9" s="33">
        <f>'Res-Gen'!AK10</f>
        <v>0</v>
      </c>
      <c r="AK9" s="114">
        <f t="shared" si="31"/>
        <v>26600</v>
      </c>
    </row>
    <row r="10" spans="1:43" s="340" customFormat="1" x14ac:dyDescent="0.2">
      <c r="A10" s="889" t="s">
        <v>4213</v>
      </c>
      <c r="B10" s="142">
        <v>7100</v>
      </c>
      <c r="C10" s="33">
        <f>'Res-Gen'!D13</f>
        <v>-1800</v>
      </c>
      <c r="D10" s="129">
        <f t="shared" ref="D10" si="49">B10+C10</f>
        <v>5300</v>
      </c>
      <c r="E10" s="502">
        <f t="shared" ref="E10" si="50">D10</f>
        <v>5300</v>
      </c>
      <c r="F10" s="33">
        <f>'Res-Gen'!G13</f>
        <v>-5300</v>
      </c>
      <c r="G10" s="129">
        <f t="shared" ref="G10" si="51">E10+F10</f>
        <v>0</v>
      </c>
      <c r="H10" s="99">
        <f t="shared" ref="H10" si="52">G10</f>
        <v>0</v>
      </c>
      <c r="I10" s="33">
        <f>'Res-Gen'!J13</f>
        <v>0</v>
      </c>
      <c r="J10" s="129">
        <f t="shared" ref="J10" si="53">H10+I10</f>
        <v>0</v>
      </c>
      <c r="K10" s="142">
        <f t="shared" ref="K10" si="54">J10</f>
        <v>0</v>
      </c>
      <c r="L10" s="33">
        <f>'Res-Gen'!M13</f>
        <v>0</v>
      </c>
      <c r="M10" s="99">
        <f t="shared" ref="M10" si="55">K10+L10</f>
        <v>0</v>
      </c>
      <c r="N10" s="502">
        <f t="shared" ref="N10" si="56">M10</f>
        <v>0</v>
      </c>
      <c r="O10" s="33">
        <f>'Res-Gen'!P13</f>
        <v>0</v>
      </c>
      <c r="P10" s="100">
        <f t="shared" ref="P10" si="57">N10+O10</f>
        <v>0</v>
      </c>
      <c r="Q10" s="99">
        <f t="shared" ref="Q10" si="58">P10</f>
        <v>0</v>
      </c>
      <c r="R10" s="33">
        <f>'Res-Gen'!S13</f>
        <v>0</v>
      </c>
      <c r="S10" s="102">
        <f t="shared" ref="S10" si="59">Q10+R10</f>
        <v>0</v>
      </c>
      <c r="T10" s="99">
        <f t="shared" ref="T10" si="60">S10</f>
        <v>0</v>
      </c>
      <c r="U10" s="33">
        <f>'Res-Gen'!V13</f>
        <v>0</v>
      </c>
      <c r="V10" s="102">
        <f t="shared" ref="V10" si="61">T10+U10</f>
        <v>0</v>
      </c>
      <c r="W10" s="99">
        <f t="shared" ref="W10" si="62">V10</f>
        <v>0</v>
      </c>
      <c r="X10" s="33">
        <f>'Res-Gen'!Y13</f>
        <v>0</v>
      </c>
      <c r="Y10" s="102">
        <f t="shared" ref="Y10" si="63">W10+X10</f>
        <v>0</v>
      </c>
      <c r="Z10" s="502">
        <f t="shared" ref="Z10" si="64">Y10</f>
        <v>0</v>
      </c>
      <c r="AA10" s="33">
        <f>'Res-Gen'!AB13</f>
        <v>0</v>
      </c>
      <c r="AB10" s="102">
        <f t="shared" ref="AB10" si="65">Z10+AA10</f>
        <v>0</v>
      </c>
      <c r="AC10" s="502">
        <f t="shared" ref="AC10:AC15" si="66">AB10</f>
        <v>0</v>
      </c>
      <c r="AD10" s="33">
        <f>'Res-Gen'!AE13</f>
        <v>0</v>
      </c>
      <c r="AE10" s="102">
        <f t="shared" ref="AE10:AE15" si="67">AC10+AD10</f>
        <v>0</v>
      </c>
      <c r="AF10" s="502">
        <f t="shared" ref="AF10:AF15" si="68">AE10</f>
        <v>0</v>
      </c>
      <c r="AG10" s="33">
        <f>'Res-Gen'!AH13</f>
        <v>0</v>
      </c>
      <c r="AH10" s="102">
        <f t="shared" ref="AH10:AH15" si="69">AF10+AG10</f>
        <v>0</v>
      </c>
      <c r="AI10" s="99">
        <f t="shared" si="30"/>
        <v>0</v>
      </c>
      <c r="AJ10" s="33">
        <f>'Res-Gen'!AK13</f>
        <v>0</v>
      </c>
      <c r="AK10" s="114">
        <f t="shared" si="31"/>
        <v>0</v>
      </c>
    </row>
    <row r="11" spans="1:43" s="340" customFormat="1" x14ac:dyDescent="0.2">
      <c r="A11" s="889" t="s">
        <v>4214</v>
      </c>
      <c r="B11" s="142">
        <v>273900</v>
      </c>
      <c r="C11" s="33">
        <f>'Res-Gen'!D14+'Res-Gen'!D16+'Res-Gen'!D17</f>
        <v>-205100</v>
      </c>
      <c r="D11" s="129">
        <f>B11+C11</f>
        <v>68800</v>
      </c>
      <c r="E11" s="502">
        <f t="shared" ref="E11" si="70">D11</f>
        <v>68800</v>
      </c>
      <c r="F11" s="33">
        <f>'Res-Gen'!G14+'Res-Gen'!G17+'Res-Gen'!G16</f>
        <v>-20300</v>
      </c>
      <c r="G11" s="129">
        <f t="shared" ref="G11" si="71">E11+F11</f>
        <v>48500</v>
      </c>
      <c r="H11" s="99">
        <f t="shared" ref="H11" si="72">G11</f>
        <v>48500</v>
      </c>
      <c r="I11" s="33">
        <f>'Res-Gen'!J14</f>
        <v>0</v>
      </c>
      <c r="J11" s="129">
        <f t="shared" ref="J11" si="73">H11+I11</f>
        <v>48500</v>
      </c>
      <c r="K11" s="142">
        <f t="shared" ref="K11" si="74">J11</f>
        <v>48500</v>
      </c>
      <c r="L11" s="33">
        <f>'Res-Gen'!M14</f>
        <v>0</v>
      </c>
      <c r="M11" s="99">
        <f t="shared" ref="M11" si="75">K11+L11</f>
        <v>48500</v>
      </c>
      <c r="N11" s="502">
        <f t="shared" ref="N11" si="76">M11</f>
        <v>48500</v>
      </c>
      <c r="O11" s="33">
        <f>'Res-Gen'!P14</f>
        <v>0</v>
      </c>
      <c r="P11" s="100">
        <f t="shared" ref="P11" si="77">N11+O11</f>
        <v>48500</v>
      </c>
      <c r="Q11" s="99">
        <f t="shared" ref="Q11" si="78">P11</f>
        <v>48500</v>
      </c>
      <c r="R11" s="33">
        <f>'Res-Gen'!S14</f>
        <v>0</v>
      </c>
      <c r="S11" s="102">
        <f t="shared" ref="S11" si="79">Q11+R11</f>
        <v>48500</v>
      </c>
      <c r="T11" s="99">
        <f t="shared" ref="T11" si="80">S11</f>
        <v>48500</v>
      </c>
      <c r="U11" s="33">
        <f>'Res-Gen'!V14</f>
        <v>0</v>
      </c>
      <c r="V11" s="102">
        <f t="shared" ref="V11" si="81">T11+U11</f>
        <v>48500</v>
      </c>
      <c r="W11" s="99">
        <f t="shared" ref="W11" si="82">V11</f>
        <v>48500</v>
      </c>
      <c r="X11" s="33">
        <f>'Res-Gen'!Y14</f>
        <v>0</v>
      </c>
      <c r="Y11" s="102">
        <f t="shared" ref="Y11" si="83">W11+X11</f>
        <v>48500</v>
      </c>
      <c r="Z11" s="502">
        <f t="shared" ref="Z11" si="84">Y11</f>
        <v>48500</v>
      </c>
      <c r="AA11" s="33">
        <f>'Res-Gen'!AB14</f>
        <v>0</v>
      </c>
      <c r="AB11" s="102">
        <f t="shared" ref="AB11" si="85">Z11+AA11</f>
        <v>48500</v>
      </c>
      <c r="AC11" s="502">
        <f t="shared" si="66"/>
        <v>48500</v>
      </c>
      <c r="AD11" s="33">
        <f>'Res-Gen'!AE14</f>
        <v>0</v>
      </c>
      <c r="AE11" s="102">
        <f t="shared" si="67"/>
        <v>48500</v>
      </c>
      <c r="AF11" s="502">
        <f t="shared" si="68"/>
        <v>48500</v>
      </c>
      <c r="AG11" s="33">
        <f>'Res-Gen'!AH14</f>
        <v>0</v>
      </c>
      <c r="AH11" s="102">
        <f t="shared" si="69"/>
        <v>48500</v>
      </c>
      <c r="AI11" s="99">
        <f t="shared" si="30"/>
        <v>48500</v>
      </c>
      <c r="AJ11" s="33">
        <f>'Res-Gen'!AK14</f>
        <v>0</v>
      </c>
      <c r="AK11" s="114">
        <f t="shared" si="31"/>
        <v>48500</v>
      </c>
    </row>
    <row r="12" spans="1:43" s="340" customFormat="1" x14ac:dyDescent="0.2">
      <c r="A12" s="889" t="s">
        <v>6037</v>
      </c>
      <c r="B12" s="142">
        <v>22600</v>
      </c>
      <c r="C12" s="33">
        <f>'Res-Gen'!D15</f>
        <v>234400</v>
      </c>
      <c r="D12" s="129">
        <f>B12+C12</f>
        <v>257000</v>
      </c>
      <c r="E12" s="502">
        <f t="shared" ref="E12" si="86">D12</f>
        <v>257000</v>
      </c>
      <c r="F12" s="33">
        <f>'Res-Gen'!G15</f>
        <v>1000000</v>
      </c>
      <c r="G12" s="129">
        <f t="shared" ref="G12" si="87">E12+F12</f>
        <v>1257000</v>
      </c>
      <c r="H12" s="99">
        <f t="shared" ref="H12" si="88">G12</f>
        <v>1257000</v>
      </c>
      <c r="I12" s="33">
        <f>'Res-Gen'!J15</f>
        <v>743000</v>
      </c>
      <c r="J12" s="129">
        <f t="shared" ref="J12" si="89">H12+I12</f>
        <v>2000000</v>
      </c>
      <c r="K12" s="142">
        <f t="shared" ref="K12" si="90">J12</f>
        <v>2000000</v>
      </c>
      <c r="L12" s="33">
        <f>'Res-Gen'!M15</f>
        <v>-1000000</v>
      </c>
      <c r="M12" s="99">
        <f t="shared" ref="M12" si="91">K12+L12</f>
        <v>1000000</v>
      </c>
      <c r="N12" s="502">
        <f t="shared" ref="N12" si="92">M12</f>
        <v>1000000</v>
      </c>
      <c r="O12" s="33">
        <f>'Res-Gen'!P15</f>
        <v>0</v>
      </c>
      <c r="P12" s="100">
        <f t="shared" ref="P12" si="93">N12+O12</f>
        <v>1000000</v>
      </c>
      <c r="Q12" s="99">
        <f t="shared" ref="Q12" si="94">P12</f>
        <v>1000000</v>
      </c>
      <c r="R12" s="33">
        <f>'Res-Gen'!S15</f>
        <v>-1000000</v>
      </c>
      <c r="S12" s="102">
        <f t="shared" ref="S12" si="95">Q12+R12</f>
        <v>0</v>
      </c>
      <c r="T12" s="99">
        <f t="shared" ref="T12" si="96">S12</f>
        <v>0</v>
      </c>
      <c r="U12" s="33">
        <f>'Res-Gen'!V15</f>
        <v>0</v>
      </c>
      <c r="V12" s="102">
        <f t="shared" ref="V12" si="97">T12+U12</f>
        <v>0</v>
      </c>
      <c r="W12" s="99">
        <f t="shared" ref="W12" si="98">V12</f>
        <v>0</v>
      </c>
      <c r="X12" s="33">
        <f>'Res-Gen'!Y15</f>
        <v>0</v>
      </c>
      <c r="Y12" s="102">
        <f t="shared" ref="Y12" si="99">W12+X12</f>
        <v>0</v>
      </c>
      <c r="Z12" s="502">
        <f t="shared" ref="Z12" si="100">Y12</f>
        <v>0</v>
      </c>
      <c r="AA12" s="33">
        <f>'Res-Gen'!AB15</f>
        <v>0</v>
      </c>
      <c r="AB12" s="102">
        <f t="shared" ref="AB12" si="101">Z12+AA12</f>
        <v>0</v>
      </c>
      <c r="AC12" s="502">
        <f t="shared" ref="AC12" si="102">AB12</f>
        <v>0</v>
      </c>
      <c r="AD12" s="33">
        <f>'Res-Gen'!AE15</f>
        <v>0</v>
      </c>
      <c r="AE12" s="102">
        <f t="shared" ref="AE12" si="103">AC12+AD12</f>
        <v>0</v>
      </c>
      <c r="AF12" s="502">
        <f t="shared" si="68"/>
        <v>0</v>
      </c>
      <c r="AG12" s="33">
        <f>'Res-Gen'!AH15</f>
        <v>0</v>
      </c>
      <c r="AH12" s="102">
        <f t="shared" si="69"/>
        <v>0</v>
      </c>
      <c r="AI12" s="99">
        <f t="shared" si="30"/>
        <v>0</v>
      </c>
      <c r="AJ12" s="33">
        <f>'Res-Gen'!AK15</f>
        <v>0</v>
      </c>
      <c r="AK12" s="114">
        <f t="shared" si="31"/>
        <v>0</v>
      </c>
    </row>
    <row r="13" spans="1:43" s="340" customFormat="1" x14ac:dyDescent="0.2">
      <c r="A13" s="889" t="s">
        <v>5384</v>
      </c>
      <c r="B13" s="142">
        <v>79000</v>
      </c>
      <c r="C13" s="33">
        <f>'Res-Gen'!D18</f>
        <v>-79000</v>
      </c>
      <c r="D13" s="129">
        <f t="shared" ref="D13" si="104">B13+C13</f>
        <v>0</v>
      </c>
      <c r="E13" s="502"/>
      <c r="F13" s="33"/>
      <c r="G13" s="129"/>
      <c r="H13" s="99"/>
      <c r="I13" s="33"/>
      <c r="J13" s="129"/>
      <c r="K13" s="142"/>
      <c r="L13" s="33"/>
      <c r="M13" s="99"/>
      <c r="N13" s="502"/>
      <c r="O13" s="33"/>
      <c r="P13" s="100"/>
      <c r="Q13" s="99"/>
      <c r="R13" s="33"/>
      <c r="S13" s="102"/>
      <c r="T13" s="99"/>
      <c r="U13" s="33"/>
      <c r="V13" s="102"/>
      <c r="W13" s="99"/>
      <c r="X13" s="33"/>
      <c r="Y13" s="102"/>
      <c r="Z13" s="502"/>
      <c r="AA13" s="33"/>
      <c r="AB13" s="102"/>
      <c r="AC13" s="502"/>
      <c r="AD13" s="33"/>
      <c r="AE13" s="102"/>
      <c r="AF13" s="502"/>
      <c r="AG13" s="33"/>
      <c r="AH13" s="102"/>
      <c r="AI13" s="99"/>
      <c r="AJ13" s="33"/>
      <c r="AK13" s="114"/>
    </row>
    <row r="14" spans="1:43" x14ac:dyDescent="0.2">
      <c r="A14" s="889" t="s">
        <v>2921</v>
      </c>
      <c r="B14" s="142">
        <v>25000</v>
      </c>
      <c r="C14" s="33">
        <f>'Res-Gen'!D21</f>
        <v>-15300</v>
      </c>
      <c r="D14" s="129">
        <f t="shared" si="9"/>
        <v>9700</v>
      </c>
      <c r="E14" s="502">
        <f t="shared" si="10"/>
        <v>9700</v>
      </c>
      <c r="F14" s="33">
        <f>'Res-Gen'!G21</f>
        <v>-2000</v>
      </c>
      <c r="G14" s="129">
        <f t="shared" si="11"/>
        <v>7700</v>
      </c>
      <c r="H14" s="99">
        <f t="shared" si="12"/>
        <v>7700</v>
      </c>
      <c r="I14" s="33"/>
      <c r="J14" s="129">
        <f t="shared" si="13"/>
        <v>7700</v>
      </c>
      <c r="K14" s="142">
        <f t="shared" si="14"/>
        <v>7700</v>
      </c>
      <c r="L14" s="33"/>
      <c r="M14" s="99">
        <f t="shared" si="15"/>
        <v>7700</v>
      </c>
      <c r="N14" s="502">
        <f t="shared" si="16"/>
        <v>7700</v>
      </c>
      <c r="O14" s="33"/>
      <c r="P14" s="100">
        <f t="shared" si="17"/>
        <v>7700</v>
      </c>
      <c r="Q14" s="99">
        <f t="shared" si="18"/>
        <v>7700</v>
      </c>
      <c r="R14" s="33"/>
      <c r="S14" s="102">
        <f t="shared" si="19"/>
        <v>7700</v>
      </c>
      <c r="T14" s="99">
        <f t="shared" si="20"/>
        <v>7700</v>
      </c>
      <c r="U14" s="33"/>
      <c r="V14" s="102">
        <f t="shared" si="21"/>
        <v>7700</v>
      </c>
      <c r="W14" s="99">
        <f t="shared" si="22"/>
        <v>7700</v>
      </c>
      <c r="X14" s="33"/>
      <c r="Y14" s="102">
        <f t="shared" si="23"/>
        <v>7700</v>
      </c>
      <c r="Z14" s="502">
        <f t="shared" si="24"/>
        <v>7700</v>
      </c>
      <c r="AA14" s="33"/>
      <c r="AB14" s="102">
        <f t="shared" si="25"/>
        <v>7700</v>
      </c>
      <c r="AC14" s="502">
        <f t="shared" si="66"/>
        <v>7700</v>
      </c>
      <c r="AD14" s="33"/>
      <c r="AE14" s="102">
        <f t="shared" si="67"/>
        <v>7700</v>
      </c>
      <c r="AF14" s="502">
        <f t="shared" si="68"/>
        <v>7700</v>
      </c>
      <c r="AG14" s="33"/>
      <c r="AH14" s="102">
        <f t="shared" si="69"/>
        <v>7700</v>
      </c>
      <c r="AI14" s="99">
        <f t="shared" ref="AI14:AI15" si="105">AH14</f>
        <v>7700</v>
      </c>
      <c r="AJ14" s="33"/>
      <c r="AK14" s="114">
        <f t="shared" ref="AK14:AK15" si="106">AI14+AJ14</f>
        <v>7700</v>
      </c>
      <c r="AL14" s="376"/>
      <c r="AM14" s="376"/>
      <c r="AN14" s="376"/>
      <c r="AO14" s="376"/>
      <c r="AP14" s="376"/>
      <c r="AQ14" s="376"/>
    </row>
    <row r="15" spans="1:43" x14ac:dyDescent="0.2">
      <c r="A15" s="889" t="s">
        <v>4166</v>
      </c>
      <c r="B15" s="142">
        <v>20000</v>
      </c>
      <c r="C15" s="33">
        <f>'Res-Gen'!D22</f>
        <v>45000</v>
      </c>
      <c r="D15" s="129">
        <f t="shared" ref="D15" si="107">B15+C15</f>
        <v>65000</v>
      </c>
      <c r="E15" s="502">
        <f t="shared" si="10"/>
        <v>65000</v>
      </c>
      <c r="F15" s="33">
        <f>'Res-Gen'!G22</f>
        <v>-25000</v>
      </c>
      <c r="G15" s="129">
        <f t="shared" si="11"/>
        <v>40000</v>
      </c>
      <c r="H15" s="99">
        <f t="shared" si="12"/>
        <v>40000</v>
      </c>
      <c r="I15" s="33">
        <f>'Res-Gen'!J22</f>
        <v>10000</v>
      </c>
      <c r="J15" s="129">
        <f t="shared" si="13"/>
        <v>50000</v>
      </c>
      <c r="K15" s="142">
        <f t="shared" si="14"/>
        <v>50000</v>
      </c>
      <c r="L15" s="33">
        <f>'Res-Gen'!M22</f>
        <v>10000</v>
      </c>
      <c r="M15" s="99">
        <f t="shared" si="15"/>
        <v>60000</v>
      </c>
      <c r="N15" s="502">
        <f t="shared" si="16"/>
        <v>60000</v>
      </c>
      <c r="O15" s="33">
        <f>'Res-Gen'!P22</f>
        <v>10000</v>
      </c>
      <c r="P15" s="100">
        <f t="shared" si="17"/>
        <v>70000</v>
      </c>
      <c r="Q15" s="99">
        <f t="shared" si="18"/>
        <v>70000</v>
      </c>
      <c r="R15" s="33">
        <f>'Res-Gen'!S22</f>
        <v>10000</v>
      </c>
      <c r="S15" s="102">
        <f t="shared" si="19"/>
        <v>80000</v>
      </c>
      <c r="T15" s="99">
        <f t="shared" si="20"/>
        <v>80000</v>
      </c>
      <c r="U15" s="33">
        <f>'Res-Gen'!V22</f>
        <v>10000</v>
      </c>
      <c r="V15" s="102">
        <f t="shared" si="21"/>
        <v>90000</v>
      </c>
      <c r="W15" s="99">
        <f t="shared" si="22"/>
        <v>90000</v>
      </c>
      <c r="X15" s="33">
        <f>'Res-Gen'!Y22</f>
        <v>10000</v>
      </c>
      <c r="Y15" s="102">
        <f t="shared" si="23"/>
        <v>100000</v>
      </c>
      <c r="Z15" s="502">
        <f t="shared" si="24"/>
        <v>100000</v>
      </c>
      <c r="AA15" s="33">
        <f>'Res-Gen'!AB22</f>
        <v>10000</v>
      </c>
      <c r="AB15" s="102">
        <f t="shared" si="25"/>
        <v>110000</v>
      </c>
      <c r="AC15" s="502">
        <f t="shared" si="66"/>
        <v>110000</v>
      </c>
      <c r="AD15" s="33">
        <f>'Res-Gen'!AE22</f>
        <v>10000</v>
      </c>
      <c r="AE15" s="102">
        <f t="shared" si="67"/>
        <v>120000</v>
      </c>
      <c r="AF15" s="502">
        <f t="shared" si="68"/>
        <v>120000</v>
      </c>
      <c r="AG15" s="33">
        <f>'Res-Gen'!AH22</f>
        <v>10000</v>
      </c>
      <c r="AH15" s="102">
        <f t="shared" si="69"/>
        <v>130000</v>
      </c>
      <c r="AI15" s="99">
        <f t="shared" si="105"/>
        <v>130000</v>
      </c>
      <c r="AJ15" s="33">
        <f>'Res-Gen'!AK22</f>
        <v>10000</v>
      </c>
      <c r="AK15" s="114">
        <f t="shared" si="106"/>
        <v>140000</v>
      </c>
      <c r="AL15" s="376"/>
      <c r="AM15" s="376"/>
      <c r="AN15" s="376"/>
      <c r="AO15" s="376"/>
      <c r="AP15" s="376"/>
      <c r="AQ15" s="376"/>
    </row>
    <row r="16" spans="1:43" x14ac:dyDescent="0.2">
      <c r="A16" s="889" t="s">
        <v>2923</v>
      </c>
      <c r="B16" s="142">
        <v>120100</v>
      </c>
      <c r="C16" s="33">
        <f>'Res-Gen'!D25+'Res-Gen'!D26</f>
        <v>-55900</v>
      </c>
      <c r="D16" s="129">
        <f>B16+C16</f>
        <v>64200</v>
      </c>
      <c r="E16" s="502">
        <f>D16</f>
        <v>64200</v>
      </c>
      <c r="F16" s="33">
        <f>'Res-Gen'!G25</f>
        <v>-64200</v>
      </c>
      <c r="G16" s="129">
        <f>E16+F16</f>
        <v>0</v>
      </c>
      <c r="H16" s="99">
        <f>G16</f>
        <v>0</v>
      </c>
      <c r="I16" s="33">
        <f>'Res-Gen'!J25</f>
        <v>0</v>
      </c>
      <c r="J16" s="129">
        <f>H16+I16</f>
        <v>0</v>
      </c>
      <c r="K16" s="142">
        <f>J16</f>
        <v>0</v>
      </c>
      <c r="L16" s="33">
        <f>'Res-Gen'!M25</f>
        <v>0</v>
      </c>
      <c r="M16" s="99">
        <f>K16+L16</f>
        <v>0</v>
      </c>
      <c r="N16" s="502">
        <f>M16</f>
        <v>0</v>
      </c>
      <c r="O16" s="33">
        <f>'Res-Gen'!P25</f>
        <v>0</v>
      </c>
      <c r="P16" s="100">
        <f>N16+O16</f>
        <v>0</v>
      </c>
      <c r="Q16" s="99">
        <f>P16</f>
        <v>0</v>
      </c>
      <c r="R16" s="33">
        <f>'Res-Gen'!S25</f>
        <v>0</v>
      </c>
      <c r="S16" s="102">
        <f>Q16+R16</f>
        <v>0</v>
      </c>
      <c r="T16" s="99">
        <f>S16</f>
        <v>0</v>
      </c>
      <c r="U16" s="33">
        <f>'Res-Gen'!V25</f>
        <v>0</v>
      </c>
      <c r="V16" s="102">
        <f>T16+U16</f>
        <v>0</v>
      </c>
      <c r="W16" s="99">
        <f>V16</f>
        <v>0</v>
      </c>
      <c r="X16" s="33">
        <f>'Res-Gen'!Y25</f>
        <v>0</v>
      </c>
      <c r="Y16" s="102">
        <f>W16+X16</f>
        <v>0</v>
      </c>
      <c r="Z16" s="502">
        <f>Y16</f>
        <v>0</v>
      </c>
      <c r="AA16" s="33">
        <f>'Res-Gen'!AB25</f>
        <v>0</v>
      </c>
      <c r="AB16" s="102">
        <f>Z16+AA16</f>
        <v>0</v>
      </c>
      <c r="AC16" s="502">
        <f>AB16</f>
        <v>0</v>
      </c>
      <c r="AD16" s="33">
        <f>'Res-Gen'!AE25</f>
        <v>0</v>
      </c>
      <c r="AE16" s="102">
        <f>AC16+AD16</f>
        <v>0</v>
      </c>
      <c r="AF16" s="502">
        <f>AE16</f>
        <v>0</v>
      </c>
      <c r="AG16" s="33">
        <f>'Res-Gen'!AH25</f>
        <v>0</v>
      </c>
      <c r="AH16" s="102">
        <f>AF16+AG16</f>
        <v>0</v>
      </c>
      <c r="AI16" s="99">
        <f>AH16</f>
        <v>0</v>
      </c>
      <c r="AJ16" s="33">
        <f>'Res-Gen'!AK25</f>
        <v>0</v>
      </c>
      <c r="AK16" s="114">
        <f>AI16+AJ16</f>
        <v>0</v>
      </c>
    </row>
    <row r="17" spans="1:43" x14ac:dyDescent="0.2">
      <c r="A17" s="889" t="s">
        <v>6821</v>
      </c>
      <c r="B17" s="142">
        <v>0</v>
      </c>
      <c r="C17" s="33">
        <f>'Res-Gen'!D29</f>
        <v>10500</v>
      </c>
      <c r="D17" s="129">
        <f>B17+C17</f>
        <v>10500</v>
      </c>
      <c r="E17" s="502">
        <f t="shared" ref="E17" si="108">D17</f>
        <v>10500</v>
      </c>
      <c r="F17" s="33">
        <f>'Res-Gen'!G29</f>
        <v>0</v>
      </c>
      <c r="G17" s="129">
        <f t="shared" ref="G17" si="109">E17+F17</f>
        <v>10500</v>
      </c>
      <c r="H17" s="99">
        <f t="shared" ref="H17" si="110">G17</f>
        <v>10500</v>
      </c>
      <c r="I17" s="33">
        <f>'Res-Gen'!J29</f>
        <v>0</v>
      </c>
      <c r="J17" s="129">
        <f t="shared" ref="J17" si="111">H17+I17</f>
        <v>10500</v>
      </c>
      <c r="K17" s="142">
        <f t="shared" ref="K17" si="112">J17</f>
        <v>10500</v>
      </c>
      <c r="L17" s="33">
        <f>'Res-Gen'!M29</f>
        <v>0</v>
      </c>
      <c r="M17" s="99">
        <f t="shared" ref="M17" si="113">K17+L17</f>
        <v>10500</v>
      </c>
      <c r="N17" s="502">
        <f t="shared" ref="N17" si="114">M17</f>
        <v>10500</v>
      </c>
      <c r="O17" s="33">
        <f>'Res-Gen'!P29</f>
        <v>0</v>
      </c>
      <c r="P17" s="100">
        <f t="shared" ref="P17" si="115">N17+O17</f>
        <v>10500</v>
      </c>
      <c r="Q17" s="99">
        <f t="shared" ref="Q17" si="116">P17</f>
        <v>10500</v>
      </c>
      <c r="R17" s="33">
        <f>'Res-Gen'!S29</f>
        <v>0</v>
      </c>
      <c r="S17" s="102">
        <f t="shared" ref="S17" si="117">Q17+R17</f>
        <v>10500</v>
      </c>
      <c r="T17" s="99">
        <f t="shared" ref="T17" si="118">S17</f>
        <v>10500</v>
      </c>
      <c r="U17" s="33">
        <f>'Res-Gen'!V29</f>
        <v>0</v>
      </c>
      <c r="V17" s="102">
        <f t="shared" ref="V17" si="119">T17+U17</f>
        <v>10500</v>
      </c>
      <c r="W17" s="99">
        <f t="shared" ref="W17" si="120">V17</f>
        <v>10500</v>
      </c>
      <c r="X17" s="33">
        <f>'Res-Gen'!Y29</f>
        <v>0</v>
      </c>
      <c r="Y17" s="102">
        <f t="shared" ref="Y17" si="121">W17+X17</f>
        <v>10500</v>
      </c>
      <c r="Z17" s="502">
        <f t="shared" ref="Z17" si="122">Y17</f>
        <v>10500</v>
      </c>
      <c r="AA17" s="33">
        <f>'Res-Gen'!AB29</f>
        <v>0</v>
      </c>
      <c r="AB17" s="102">
        <f t="shared" ref="AB17" si="123">Z17+AA17</f>
        <v>10500</v>
      </c>
      <c r="AC17" s="502">
        <f t="shared" ref="AC17" si="124">AB17</f>
        <v>10500</v>
      </c>
      <c r="AD17" s="33">
        <f>'Res-Gen'!AE29</f>
        <v>0</v>
      </c>
      <c r="AE17" s="102">
        <f t="shared" ref="AE17" si="125">AC17+AD17</f>
        <v>10500</v>
      </c>
      <c r="AF17" s="502">
        <f t="shared" ref="AF17" si="126">AE17</f>
        <v>10500</v>
      </c>
      <c r="AG17" s="33">
        <f>'Res-Gen'!AH29</f>
        <v>0</v>
      </c>
      <c r="AH17" s="102">
        <f t="shared" ref="AH17" si="127">AF17+AG17</f>
        <v>10500</v>
      </c>
      <c r="AI17" s="99">
        <f t="shared" ref="AI17:AI19" si="128">AH17</f>
        <v>10500</v>
      </c>
      <c r="AJ17" s="33">
        <f>'Res-Gen'!AK29</f>
        <v>0</v>
      </c>
      <c r="AK17" s="114">
        <f t="shared" ref="AK17:AK19" si="129">AI17+AJ17</f>
        <v>10500</v>
      </c>
      <c r="AL17" s="376"/>
      <c r="AM17" s="376"/>
      <c r="AN17" s="376"/>
      <c r="AO17" s="376"/>
      <c r="AP17" s="376"/>
      <c r="AQ17" s="376"/>
    </row>
    <row r="18" spans="1:43" x14ac:dyDescent="0.2">
      <c r="A18" s="889" t="s">
        <v>6820</v>
      </c>
      <c r="B18" s="142">
        <v>166400</v>
      </c>
      <c r="C18" s="33">
        <f>'Res-Gen'!D30</f>
        <v>323600</v>
      </c>
      <c r="D18" s="129">
        <f>B18+C18</f>
        <v>490000</v>
      </c>
      <c r="E18" s="502">
        <f t="shared" ref="E18" si="130">D18</f>
        <v>490000</v>
      </c>
      <c r="F18" s="33">
        <f>'Res-Gen'!G30</f>
        <v>-490000</v>
      </c>
      <c r="G18" s="129">
        <f t="shared" ref="G18:G19" si="131">E18+F18</f>
        <v>0</v>
      </c>
      <c r="H18" s="99">
        <f t="shared" ref="H18:H19" si="132">G18</f>
        <v>0</v>
      </c>
      <c r="I18" s="33">
        <f>'Res-Gen'!J30</f>
        <v>0</v>
      </c>
      <c r="J18" s="129">
        <f t="shared" ref="J18:J19" si="133">H18+I18</f>
        <v>0</v>
      </c>
      <c r="K18" s="142">
        <f t="shared" ref="K18:K19" si="134">J18</f>
        <v>0</v>
      </c>
      <c r="L18" s="33">
        <f>'Res-Gen'!M30</f>
        <v>0</v>
      </c>
      <c r="M18" s="99">
        <f t="shared" ref="M18:M19" si="135">K18+L18</f>
        <v>0</v>
      </c>
      <c r="N18" s="502">
        <f t="shared" ref="N18:N19" si="136">M18</f>
        <v>0</v>
      </c>
      <c r="O18" s="33">
        <f>'Res-Gen'!P30</f>
        <v>0</v>
      </c>
      <c r="P18" s="100">
        <f t="shared" ref="P18:P19" si="137">N18+O18</f>
        <v>0</v>
      </c>
      <c r="Q18" s="99">
        <f t="shared" ref="Q18:Q19" si="138">P18</f>
        <v>0</v>
      </c>
      <c r="R18" s="33">
        <f>'Res-Gen'!S30</f>
        <v>0</v>
      </c>
      <c r="S18" s="102">
        <f t="shared" ref="S18:S19" si="139">Q18+R18</f>
        <v>0</v>
      </c>
      <c r="T18" s="99">
        <f t="shared" ref="T18:T19" si="140">S18</f>
        <v>0</v>
      </c>
      <c r="U18" s="33">
        <f>'Res-Gen'!V30</f>
        <v>0</v>
      </c>
      <c r="V18" s="102">
        <f t="shared" ref="V18:V19" si="141">T18+U18</f>
        <v>0</v>
      </c>
      <c r="W18" s="99">
        <f t="shared" ref="W18:W19" si="142">V18</f>
        <v>0</v>
      </c>
      <c r="X18" s="33">
        <f>'Res-Gen'!Y30</f>
        <v>0</v>
      </c>
      <c r="Y18" s="102">
        <f t="shared" ref="Y18:Y19" si="143">W18+X18</f>
        <v>0</v>
      </c>
      <c r="Z18" s="502">
        <f t="shared" ref="Z18:Z19" si="144">Y18</f>
        <v>0</v>
      </c>
      <c r="AA18" s="33">
        <f>'Res-Gen'!AB30</f>
        <v>0</v>
      </c>
      <c r="AB18" s="102">
        <f t="shared" ref="AB18:AB19" si="145">Z18+AA18</f>
        <v>0</v>
      </c>
      <c r="AC18" s="502">
        <f t="shared" ref="AC18:AC19" si="146">AB18</f>
        <v>0</v>
      </c>
      <c r="AD18" s="33">
        <f>'Res-Gen'!AE30</f>
        <v>0</v>
      </c>
      <c r="AE18" s="102">
        <f t="shared" ref="AE18:AE19" si="147">AC18+AD18</f>
        <v>0</v>
      </c>
      <c r="AF18" s="502">
        <f t="shared" ref="AF18:AF19" si="148">AE18</f>
        <v>0</v>
      </c>
      <c r="AG18" s="33">
        <f>'Res-Gen'!AH30</f>
        <v>0</v>
      </c>
      <c r="AH18" s="102">
        <f t="shared" ref="AH18:AH19" si="149">AF18+AG18</f>
        <v>0</v>
      </c>
      <c r="AI18" s="99">
        <f t="shared" si="128"/>
        <v>0</v>
      </c>
      <c r="AJ18" s="33">
        <f>'Res-Gen'!AK30</f>
        <v>0</v>
      </c>
      <c r="AK18" s="114">
        <f t="shared" si="129"/>
        <v>0</v>
      </c>
      <c r="AL18" s="376"/>
      <c r="AM18" s="376"/>
      <c r="AN18" s="376"/>
      <c r="AO18" s="376"/>
      <c r="AP18" s="376"/>
      <c r="AQ18" s="376"/>
    </row>
    <row r="19" spans="1:43" x14ac:dyDescent="0.2">
      <c r="A19" s="889" t="s">
        <v>3295</v>
      </c>
      <c r="B19" s="142">
        <v>76600</v>
      </c>
      <c r="C19" s="33">
        <f>'Res-Gen'!D34</f>
        <v>23300</v>
      </c>
      <c r="D19" s="129">
        <f>B19+C19</f>
        <v>99900</v>
      </c>
      <c r="E19" s="502">
        <f>D19</f>
        <v>99900</v>
      </c>
      <c r="F19" s="33">
        <f>'Res-Gen'!G34</f>
        <v>-84300</v>
      </c>
      <c r="G19" s="129">
        <f t="shared" si="131"/>
        <v>15600</v>
      </c>
      <c r="H19" s="99">
        <f t="shared" si="132"/>
        <v>15600</v>
      </c>
      <c r="I19" s="33">
        <f>'Res-Gen'!J34</f>
        <v>0</v>
      </c>
      <c r="J19" s="129">
        <f t="shared" si="133"/>
        <v>15600</v>
      </c>
      <c r="K19" s="142">
        <f t="shared" si="134"/>
        <v>15600</v>
      </c>
      <c r="L19" s="33">
        <f>'Res-Gen'!M34</f>
        <v>0</v>
      </c>
      <c r="M19" s="99">
        <f t="shared" si="135"/>
        <v>15600</v>
      </c>
      <c r="N19" s="502">
        <f t="shared" si="136"/>
        <v>15600</v>
      </c>
      <c r="O19" s="33">
        <f>'Res-Gen'!P34</f>
        <v>0</v>
      </c>
      <c r="P19" s="100">
        <f t="shared" si="137"/>
        <v>15600</v>
      </c>
      <c r="Q19" s="99">
        <f t="shared" si="138"/>
        <v>15600</v>
      </c>
      <c r="R19" s="33">
        <f>'Res-Gen'!S34</f>
        <v>0</v>
      </c>
      <c r="S19" s="102">
        <f t="shared" si="139"/>
        <v>15600</v>
      </c>
      <c r="T19" s="99">
        <f t="shared" si="140"/>
        <v>15600</v>
      </c>
      <c r="U19" s="33">
        <f>'Res-Gen'!V34</f>
        <v>0</v>
      </c>
      <c r="V19" s="102">
        <f t="shared" si="141"/>
        <v>15600</v>
      </c>
      <c r="W19" s="99">
        <f t="shared" si="142"/>
        <v>15600</v>
      </c>
      <c r="X19" s="33">
        <f>'Res-Gen'!Y34</f>
        <v>0</v>
      </c>
      <c r="Y19" s="102">
        <f t="shared" si="143"/>
        <v>15600</v>
      </c>
      <c r="Z19" s="502">
        <f t="shared" si="144"/>
        <v>15600</v>
      </c>
      <c r="AA19" s="33">
        <f>'Res-Gen'!AB34</f>
        <v>0</v>
      </c>
      <c r="AB19" s="102">
        <f t="shared" si="145"/>
        <v>15600</v>
      </c>
      <c r="AC19" s="502">
        <f t="shared" si="146"/>
        <v>15600</v>
      </c>
      <c r="AD19" s="33">
        <f>'Res-Gen'!AE34</f>
        <v>0</v>
      </c>
      <c r="AE19" s="102">
        <f t="shared" si="147"/>
        <v>15600</v>
      </c>
      <c r="AF19" s="502">
        <f t="shared" si="148"/>
        <v>15600</v>
      </c>
      <c r="AG19" s="33">
        <f>'Res-Gen'!AH34</f>
        <v>0</v>
      </c>
      <c r="AH19" s="102">
        <f t="shared" si="149"/>
        <v>15600</v>
      </c>
      <c r="AI19" s="99">
        <f t="shared" si="128"/>
        <v>15600</v>
      </c>
      <c r="AJ19" s="33">
        <f>'Res-Gen'!AK34</f>
        <v>0</v>
      </c>
      <c r="AK19" s="114">
        <f t="shared" si="129"/>
        <v>15600</v>
      </c>
      <c r="AL19" s="376"/>
      <c r="AM19" s="376"/>
      <c r="AN19" s="376"/>
      <c r="AO19" s="376"/>
      <c r="AP19" s="376"/>
      <c r="AQ19" s="376"/>
    </row>
    <row r="20" spans="1:43" ht="13.5" thickBot="1" x14ac:dyDescent="0.25">
      <c r="A20" s="585"/>
      <c r="B20" s="142"/>
      <c r="C20" s="33"/>
      <c r="D20" s="129"/>
      <c r="E20" s="186"/>
      <c r="F20" s="33"/>
      <c r="G20" s="129"/>
      <c r="H20" s="142"/>
      <c r="I20" s="33"/>
      <c r="J20" s="129"/>
      <c r="K20" s="142"/>
      <c r="L20" s="33"/>
      <c r="M20" s="99"/>
      <c r="N20" s="502"/>
      <c r="O20" s="33"/>
      <c r="P20" s="100"/>
      <c r="Q20" s="99"/>
      <c r="R20" s="33"/>
      <c r="S20" s="102"/>
      <c r="T20" s="99"/>
      <c r="U20" s="33"/>
      <c r="V20" s="102"/>
      <c r="W20" s="99"/>
      <c r="X20" s="33"/>
      <c r="Y20" s="102"/>
      <c r="Z20" s="502"/>
      <c r="AA20" s="33"/>
      <c r="AB20" s="102"/>
      <c r="AC20" s="502"/>
      <c r="AD20" s="33"/>
      <c r="AE20" s="102"/>
      <c r="AF20" s="502"/>
      <c r="AG20" s="33"/>
      <c r="AH20" s="102"/>
      <c r="AI20" s="99"/>
      <c r="AJ20" s="33"/>
      <c r="AK20" s="114"/>
    </row>
    <row r="21" spans="1:43" s="92" customFormat="1" ht="14.25" thickTop="1" thickBot="1" x14ac:dyDescent="0.25">
      <c r="A21" s="1135" t="s">
        <v>3365</v>
      </c>
      <c r="B21" s="419">
        <f t="shared" ref="B21:J21" si="150">SUBTOTAL(9,B4:B20)</f>
        <v>5956700</v>
      </c>
      <c r="C21" s="417">
        <f t="shared" si="150"/>
        <v>908700</v>
      </c>
      <c r="D21" s="418">
        <f t="shared" si="150"/>
        <v>6865400</v>
      </c>
      <c r="E21" s="424">
        <f t="shared" si="150"/>
        <v>6865400</v>
      </c>
      <c r="F21" s="417">
        <f t="shared" si="150"/>
        <v>1456400</v>
      </c>
      <c r="G21" s="418">
        <f t="shared" si="150"/>
        <v>8321800</v>
      </c>
      <c r="H21" s="419">
        <f t="shared" si="150"/>
        <v>8321800</v>
      </c>
      <c r="I21" s="417">
        <f t="shared" si="150"/>
        <v>6980500</v>
      </c>
      <c r="J21" s="418">
        <f t="shared" si="150"/>
        <v>15302300</v>
      </c>
      <c r="K21" s="419">
        <f>J21</f>
        <v>15302300</v>
      </c>
      <c r="L21" s="417">
        <f t="shared" ref="L21:AH21" si="151">SUBTOTAL(9,L4:L20)</f>
        <v>-9974500</v>
      </c>
      <c r="M21" s="421">
        <f t="shared" si="151"/>
        <v>5327800</v>
      </c>
      <c r="N21" s="1745">
        <f t="shared" si="151"/>
        <v>5327800</v>
      </c>
      <c r="O21" s="417">
        <f t="shared" si="151"/>
        <v>5799500</v>
      </c>
      <c r="P21" s="420">
        <f t="shared" si="151"/>
        <v>11127300</v>
      </c>
      <c r="Q21" s="421">
        <f t="shared" si="151"/>
        <v>11127300</v>
      </c>
      <c r="R21" s="417">
        <f t="shared" si="151"/>
        <v>-2485000</v>
      </c>
      <c r="S21" s="422">
        <f t="shared" si="151"/>
        <v>8642300</v>
      </c>
      <c r="T21" s="421">
        <f t="shared" si="151"/>
        <v>8642300</v>
      </c>
      <c r="U21" s="417">
        <f t="shared" si="151"/>
        <v>-800500</v>
      </c>
      <c r="V21" s="422">
        <f t="shared" si="151"/>
        <v>7841800</v>
      </c>
      <c r="W21" s="421">
        <f t="shared" si="151"/>
        <v>7841800</v>
      </c>
      <c r="X21" s="417">
        <f t="shared" si="151"/>
        <v>2586500</v>
      </c>
      <c r="Y21" s="422">
        <f t="shared" si="151"/>
        <v>10428300</v>
      </c>
      <c r="Z21" s="1745">
        <f t="shared" si="151"/>
        <v>10428300</v>
      </c>
      <c r="AA21" s="417">
        <f t="shared" si="151"/>
        <v>2700000</v>
      </c>
      <c r="AB21" s="422">
        <f t="shared" si="151"/>
        <v>13128300</v>
      </c>
      <c r="AC21" s="1745">
        <f t="shared" si="151"/>
        <v>13128300</v>
      </c>
      <c r="AD21" s="417">
        <f t="shared" si="151"/>
        <v>2818500</v>
      </c>
      <c r="AE21" s="422">
        <f t="shared" si="151"/>
        <v>15946800</v>
      </c>
      <c r="AF21" s="1745">
        <f t="shared" si="151"/>
        <v>15946800</v>
      </c>
      <c r="AG21" s="417">
        <f t="shared" si="151"/>
        <v>2941000</v>
      </c>
      <c r="AH21" s="422">
        <f t="shared" si="151"/>
        <v>18887800</v>
      </c>
      <c r="AI21" s="421">
        <f t="shared" ref="AI21:AK21" si="152">SUBTOTAL(9,AI4:AI20)</f>
        <v>18887800</v>
      </c>
      <c r="AJ21" s="417">
        <f t="shared" si="152"/>
        <v>3067000</v>
      </c>
      <c r="AK21" s="1586">
        <f t="shared" si="152"/>
        <v>21954800</v>
      </c>
    </row>
    <row r="22" spans="1:43" s="340" customFormat="1" ht="13.5" thickTop="1" x14ac:dyDescent="0.2">
      <c r="A22" s="585"/>
      <c r="B22" s="336"/>
      <c r="C22" s="334"/>
      <c r="D22" s="335"/>
      <c r="E22" s="626"/>
      <c r="F22" s="334"/>
      <c r="G22" s="335"/>
      <c r="H22" s="336"/>
      <c r="I22" s="334"/>
      <c r="J22" s="335"/>
      <c r="K22" s="336"/>
      <c r="L22" s="334"/>
      <c r="M22" s="338"/>
      <c r="N22" s="1746"/>
      <c r="O22" s="334"/>
      <c r="P22" s="337"/>
      <c r="Q22" s="338"/>
      <c r="R22" s="334"/>
      <c r="S22" s="339"/>
      <c r="T22" s="338"/>
      <c r="U22" s="334"/>
      <c r="V22" s="339"/>
      <c r="W22" s="338"/>
      <c r="X22" s="334"/>
      <c r="Y22" s="339"/>
      <c r="Z22" s="1746"/>
      <c r="AA22" s="334"/>
      <c r="AB22" s="339"/>
      <c r="AC22" s="1746"/>
      <c r="AD22" s="334"/>
      <c r="AE22" s="339"/>
      <c r="AF22" s="1746"/>
      <c r="AG22" s="334"/>
      <c r="AH22" s="339"/>
      <c r="AI22" s="338"/>
      <c r="AJ22" s="334"/>
      <c r="AK22" s="1585"/>
    </row>
    <row r="23" spans="1:43" x14ac:dyDescent="0.2">
      <c r="A23" s="587" t="s">
        <v>475</v>
      </c>
      <c r="B23" s="142"/>
      <c r="C23" s="33"/>
      <c r="D23" s="129"/>
      <c r="E23" s="186"/>
      <c r="F23" s="33"/>
      <c r="G23" s="129"/>
      <c r="H23" s="142"/>
      <c r="I23" s="33"/>
      <c r="J23" s="129"/>
      <c r="K23" s="142"/>
      <c r="L23" s="33"/>
      <c r="M23" s="99"/>
      <c r="N23" s="502"/>
      <c r="O23" s="33"/>
      <c r="P23" s="100"/>
      <c r="Q23" s="99"/>
      <c r="R23" s="33"/>
      <c r="S23" s="102"/>
      <c r="T23" s="99"/>
      <c r="U23" s="33"/>
      <c r="V23" s="102"/>
      <c r="W23" s="99"/>
      <c r="X23" s="33"/>
      <c r="Y23" s="102"/>
      <c r="Z23" s="502"/>
      <c r="AA23" s="33"/>
      <c r="AB23" s="102"/>
      <c r="AC23" s="502"/>
      <c r="AD23" s="33"/>
      <c r="AE23" s="102"/>
      <c r="AF23" s="502"/>
      <c r="AG23" s="33"/>
      <c r="AH23" s="102"/>
      <c r="AI23" s="99"/>
      <c r="AJ23" s="33"/>
      <c r="AK23" s="114"/>
    </row>
    <row r="24" spans="1:43" x14ac:dyDescent="0.2">
      <c r="A24" s="584" t="s">
        <v>783</v>
      </c>
      <c r="B24" s="142"/>
      <c r="C24" s="33"/>
      <c r="D24" s="129"/>
      <c r="E24" s="186"/>
      <c r="F24" s="33"/>
      <c r="G24" s="129"/>
      <c r="H24" s="142"/>
      <c r="I24" s="33"/>
      <c r="J24" s="129"/>
      <c r="K24" s="142"/>
      <c r="L24" s="33"/>
      <c r="M24" s="99"/>
      <c r="N24" s="502"/>
      <c r="O24" s="33"/>
      <c r="P24" s="100"/>
      <c r="Q24" s="99"/>
      <c r="R24" s="33"/>
      <c r="S24" s="102"/>
      <c r="T24" s="99"/>
      <c r="U24" s="33"/>
      <c r="V24" s="102"/>
      <c r="W24" s="99"/>
      <c r="X24" s="33"/>
      <c r="Y24" s="102"/>
      <c r="Z24" s="502"/>
      <c r="AA24" s="33"/>
      <c r="AB24" s="102"/>
      <c r="AC24" s="502"/>
      <c r="AD24" s="33"/>
      <c r="AE24" s="102"/>
      <c r="AF24" s="502"/>
      <c r="AG24" s="33"/>
      <c r="AH24" s="102"/>
      <c r="AI24" s="99"/>
      <c r="AJ24" s="33"/>
      <c r="AK24" s="114"/>
    </row>
    <row r="25" spans="1:43" x14ac:dyDescent="0.2">
      <c r="A25" s="585" t="s">
        <v>198</v>
      </c>
      <c r="B25" s="142">
        <v>18700</v>
      </c>
      <c r="C25" s="33">
        <f>'Res-Gen'!D40</f>
        <v>-4700</v>
      </c>
      <c r="D25" s="129">
        <f>B25+C25</f>
        <v>14000</v>
      </c>
      <c r="E25" s="502">
        <f>D25</f>
        <v>14000</v>
      </c>
      <c r="F25" s="33">
        <f>'Res-Gen'!G40</f>
        <v>-14000</v>
      </c>
      <c r="G25" s="129">
        <f>E25+F25</f>
        <v>0</v>
      </c>
      <c r="H25" s="99">
        <f>G25</f>
        <v>0</v>
      </c>
      <c r="I25" s="33"/>
      <c r="J25" s="129">
        <f>H25+I25</f>
        <v>0</v>
      </c>
      <c r="K25" s="142">
        <f>J25</f>
        <v>0</v>
      </c>
      <c r="L25" s="33"/>
      <c r="M25" s="99">
        <f>K25+L25</f>
        <v>0</v>
      </c>
      <c r="N25" s="502">
        <f>M25</f>
        <v>0</v>
      </c>
      <c r="O25" s="33"/>
      <c r="P25" s="100">
        <f>N25+O25</f>
        <v>0</v>
      </c>
      <c r="Q25" s="99">
        <f>P25</f>
        <v>0</v>
      </c>
      <c r="R25" s="33"/>
      <c r="S25" s="102">
        <f>Q25+R25</f>
        <v>0</v>
      </c>
      <c r="T25" s="99">
        <f>S25</f>
        <v>0</v>
      </c>
      <c r="U25" s="33"/>
      <c r="V25" s="102">
        <f>T25+U25</f>
        <v>0</v>
      </c>
      <c r="W25" s="99">
        <f>V25</f>
        <v>0</v>
      </c>
      <c r="X25" s="33"/>
      <c r="Y25" s="102">
        <f>W25+X25</f>
        <v>0</v>
      </c>
      <c r="Z25" s="502">
        <f>Y25</f>
        <v>0</v>
      </c>
      <c r="AA25" s="33"/>
      <c r="AB25" s="102">
        <f>Z25+AA25</f>
        <v>0</v>
      </c>
      <c r="AC25" s="502">
        <f>AB25</f>
        <v>0</v>
      </c>
      <c r="AD25" s="33"/>
      <c r="AE25" s="102">
        <f>AC25+AD25</f>
        <v>0</v>
      </c>
      <c r="AF25" s="502">
        <f>AE25</f>
        <v>0</v>
      </c>
      <c r="AG25" s="33"/>
      <c r="AH25" s="102">
        <f>AF25+AG25</f>
        <v>0</v>
      </c>
      <c r="AI25" s="99">
        <f>AH25</f>
        <v>0</v>
      </c>
      <c r="AJ25" s="33"/>
      <c r="AK25" s="114">
        <f>AI25+AJ25</f>
        <v>0</v>
      </c>
    </row>
    <row r="26" spans="1:43" x14ac:dyDescent="0.2">
      <c r="A26" s="585" t="s">
        <v>2568</v>
      </c>
      <c r="B26" s="142">
        <v>160000</v>
      </c>
      <c r="C26" s="33">
        <f>'Res-Gen'!D41</f>
        <v>80000</v>
      </c>
      <c r="D26" s="129">
        <f>B26+C26</f>
        <v>240000</v>
      </c>
      <c r="E26" s="502">
        <f>D26</f>
        <v>240000</v>
      </c>
      <c r="F26" s="33">
        <f>'Res-Gen'!G41</f>
        <v>-140000</v>
      </c>
      <c r="G26" s="129">
        <f>E26+F26</f>
        <v>100000</v>
      </c>
      <c r="H26" s="99">
        <f>G26</f>
        <v>100000</v>
      </c>
      <c r="I26" s="33">
        <f>'Res-Gen'!J41</f>
        <v>30000</v>
      </c>
      <c r="J26" s="129">
        <f>H26+I26</f>
        <v>130000</v>
      </c>
      <c r="K26" s="142">
        <f>J26</f>
        <v>130000</v>
      </c>
      <c r="L26" s="33">
        <f>'Res-Gen'!M41</f>
        <v>35000</v>
      </c>
      <c r="M26" s="99">
        <f>K26+L26</f>
        <v>165000</v>
      </c>
      <c r="N26" s="502">
        <f>M26</f>
        <v>165000</v>
      </c>
      <c r="O26" s="33">
        <f>'Res-Gen'!P41</f>
        <v>40000</v>
      </c>
      <c r="P26" s="100">
        <f>N26+O26</f>
        <v>205000</v>
      </c>
      <c r="Q26" s="99">
        <f>P26</f>
        <v>205000</v>
      </c>
      <c r="R26" s="33">
        <f>'Res-Gen'!S41</f>
        <v>-205000</v>
      </c>
      <c r="S26" s="102">
        <f>Q26+R26</f>
        <v>0</v>
      </c>
      <c r="T26" s="99">
        <f>S26</f>
        <v>0</v>
      </c>
      <c r="U26" s="33">
        <f>'Res-Gen'!V41</f>
        <v>70000</v>
      </c>
      <c r="V26" s="102">
        <f>T26+U26</f>
        <v>70000</v>
      </c>
      <c r="W26" s="99">
        <f>V26</f>
        <v>70000</v>
      </c>
      <c r="X26" s="33">
        <f>'Res-Gen'!Y41</f>
        <v>70000</v>
      </c>
      <c r="Y26" s="102">
        <f>W26+X26</f>
        <v>140000</v>
      </c>
      <c r="Z26" s="502">
        <f>Y26</f>
        <v>140000</v>
      </c>
      <c r="AA26" s="33">
        <f>'Res-Gen'!AB41</f>
        <v>75000</v>
      </c>
      <c r="AB26" s="102">
        <f>Z26+AA26</f>
        <v>215000</v>
      </c>
      <c r="AC26" s="502">
        <f>AB26</f>
        <v>215000</v>
      </c>
      <c r="AD26" s="33">
        <f>'Res-Gen'!AE41</f>
        <v>-215000</v>
      </c>
      <c r="AE26" s="102">
        <f>AC26+AD26</f>
        <v>0</v>
      </c>
      <c r="AF26" s="502">
        <f>AE26</f>
        <v>0</v>
      </c>
      <c r="AG26" s="33">
        <f>'Res-Gen'!AH41</f>
        <v>80000</v>
      </c>
      <c r="AH26" s="102">
        <f>AF26+AG26</f>
        <v>80000</v>
      </c>
      <c r="AI26" s="99">
        <f>AH26</f>
        <v>80000</v>
      </c>
      <c r="AJ26" s="33">
        <f>'Res-Gen'!AK41</f>
        <v>85000</v>
      </c>
      <c r="AK26" s="114">
        <f>AI26+AJ26</f>
        <v>165000</v>
      </c>
    </row>
    <row r="27" spans="1:43" x14ac:dyDescent="0.2">
      <c r="A27" s="585"/>
      <c r="B27" s="142"/>
      <c r="C27" s="33"/>
      <c r="D27" s="129"/>
      <c r="E27" s="502"/>
      <c r="F27" s="33"/>
      <c r="G27" s="129"/>
      <c r="H27" s="99"/>
      <c r="I27" s="33"/>
      <c r="J27" s="129"/>
      <c r="K27" s="142"/>
      <c r="L27" s="33"/>
      <c r="M27" s="99"/>
      <c r="N27" s="502"/>
      <c r="O27" s="33"/>
      <c r="P27" s="100"/>
      <c r="Q27" s="99"/>
      <c r="R27" s="33"/>
      <c r="S27" s="102"/>
      <c r="T27" s="99"/>
      <c r="U27" s="33"/>
      <c r="V27" s="102"/>
      <c r="W27" s="99"/>
      <c r="X27" s="33"/>
      <c r="Y27" s="102"/>
      <c r="Z27" s="502"/>
      <c r="AA27" s="33"/>
      <c r="AB27" s="102"/>
      <c r="AC27" s="502"/>
      <c r="AD27" s="33"/>
      <c r="AE27" s="102"/>
      <c r="AF27" s="502"/>
      <c r="AG27" s="33"/>
      <c r="AH27" s="102"/>
      <c r="AI27" s="99"/>
      <c r="AJ27" s="33"/>
      <c r="AK27" s="114"/>
    </row>
    <row r="28" spans="1:43" x14ac:dyDescent="0.2">
      <c r="A28" s="1223" t="s">
        <v>2311</v>
      </c>
      <c r="B28" s="142"/>
      <c r="C28" s="33"/>
      <c r="D28" s="129"/>
      <c r="E28" s="502"/>
      <c r="F28" s="33"/>
      <c r="G28" s="129"/>
      <c r="H28" s="99"/>
      <c r="I28" s="33"/>
      <c r="J28" s="129"/>
      <c r="K28" s="142"/>
      <c r="L28" s="33"/>
      <c r="M28" s="99"/>
      <c r="N28" s="502"/>
      <c r="O28" s="33"/>
      <c r="P28" s="100"/>
      <c r="Q28" s="99"/>
      <c r="R28" s="33"/>
      <c r="S28" s="102"/>
      <c r="T28" s="99"/>
      <c r="U28" s="33"/>
      <c r="V28" s="102"/>
      <c r="W28" s="99"/>
      <c r="X28" s="33"/>
      <c r="Y28" s="102"/>
      <c r="Z28" s="502"/>
      <c r="AA28" s="33"/>
      <c r="AB28" s="102"/>
      <c r="AC28" s="502"/>
      <c r="AD28" s="33"/>
      <c r="AE28" s="102"/>
      <c r="AF28" s="502"/>
      <c r="AG28" s="33"/>
      <c r="AH28" s="102"/>
      <c r="AI28" s="99"/>
      <c r="AJ28" s="33"/>
      <c r="AK28" s="114"/>
    </row>
    <row r="29" spans="1:43" x14ac:dyDescent="0.2">
      <c r="A29" s="889" t="s">
        <v>6119</v>
      </c>
      <c r="B29" s="142"/>
      <c r="C29" s="33"/>
      <c r="D29" s="129"/>
      <c r="E29" s="502">
        <v>0</v>
      </c>
      <c r="F29" s="33">
        <f>'Res-Gen'!G53</f>
        <v>96700</v>
      </c>
      <c r="G29" s="129">
        <f t="shared" ref="G29" si="153">E29+F29</f>
        <v>96700</v>
      </c>
      <c r="H29" s="99">
        <f>G29</f>
        <v>96700</v>
      </c>
      <c r="I29" s="33">
        <f>'Res-Gen'!J53</f>
        <v>-65000</v>
      </c>
      <c r="J29" s="129">
        <f t="shared" ref="J29" si="154">H29+I29</f>
        <v>31700</v>
      </c>
      <c r="K29" s="99">
        <f>J29</f>
        <v>31700</v>
      </c>
      <c r="L29" s="33">
        <f>'Res-Gen'!M53</f>
        <v>0</v>
      </c>
      <c r="M29" s="99">
        <f t="shared" ref="M29" si="155">K29+L29</f>
        <v>31700</v>
      </c>
      <c r="N29" s="502">
        <f t="shared" ref="N29" si="156">M29</f>
        <v>31700</v>
      </c>
      <c r="O29" s="33">
        <f>'Res-Gen'!P53</f>
        <v>0</v>
      </c>
      <c r="P29" s="100">
        <f t="shared" ref="P29" si="157">N29+O29</f>
        <v>31700</v>
      </c>
      <c r="Q29" s="99">
        <f t="shared" ref="Q29" si="158">P29</f>
        <v>31700</v>
      </c>
      <c r="R29" s="33">
        <f>'Res-Gen'!S53</f>
        <v>0</v>
      </c>
      <c r="S29" s="102">
        <f t="shared" ref="S29" si="159">Q29+R29</f>
        <v>31700</v>
      </c>
      <c r="T29" s="99">
        <f t="shared" ref="T29" si="160">S29</f>
        <v>31700</v>
      </c>
      <c r="U29" s="33">
        <f>'Res-Gen'!V53</f>
        <v>0</v>
      </c>
      <c r="V29" s="102">
        <f t="shared" ref="V29" si="161">T29+U29</f>
        <v>31700</v>
      </c>
      <c r="W29" s="99">
        <f t="shared" ref="W29" si="162">V29</f>
        <v>31700</v>
      </c>
      <c r="X29" s="33">
        <f>'Res-Gen'!Y53</f>
        <v>0</v>
      </c>
      <c r="Y29" s="102">
        <f t="shared" ref="Y29" si="163">W29+X29</f>
        <v>31700</v>
      </c>
      <c r="Z29" s="502">
        <f t="shared" ref="Z29" si="164">Y29</f>
        <v>31700</v>
      </c>
      <c r="AA29" s="33">
        <f>'Res-Gen'!AB53</f>
        <v>0</v>
      </c>
      <c r="AB29" s="102">
        <f t="shared" ref="AB29" si="165">Z29+AA29</f>
        <v>31700</v>
      </c>
      <c r="AC29" s="502">
        <f t="shared" ref="AC29" si="166">AB29</f>
        <v>31700</v>
      </c>
      <c r="AD29" s="33">
        <f>'Res-Gen'!AE53</f>
        <v>0</v>
      </c>
      <c r="AE29" s="102">
        <f t="shared" ref="AE29" si="167">AC29+AD29</f>
        <v>31700</v>
      </c>
      <c r="AF29" s="502">
        <f t="shared" ref="AF29" si="168">AE29</f>
        <v>31700</v>
      </c>
      <c r="AG29" s="33">
        <f>'Res-Gen'!AH53</f>
        <v>0</v>
      </c>
      <c r="AH29" s="102">
        <f t="shared" ref="AH29" si="169">AF29+AG29</f>
        <v>31700</v>
      </c>
      <c r="AI29" s="99">
        <f t="shared" ref="AI29" si="170">AH29</f>
        <v>31700</v>
      </c>
      <c r="AJ29" s="33">
        <f>'Res-Gen'!AK53</f>
        <v>0</v>
      </c>
      <c r="AK29" s="114">
        <f t="shared" ref="AK29" si="171">AI29+AJ29</f>
        <v>31700</v>
      </c>
    </row>
    <row r="30" spans="1:43" x14ac:dyDescent="0.2">
      <c r="A30" s="585"/>
      <c r="B30" s="142"/>
      <c r="C30" s="33"/>
      <c r="D30" s="129"/>
      <c r="E30" s="502"/>
      <c r="F30" s="33"/>
      <c r="G30" s="129"/>
      <c r="H30" s="99"/>
      <c r="I30" s="33"/>
      <c r="J30" s="129"/>
      <c r="K30" s="142"/>
      <c r="L30" s="33"/>
      <c r="M30" s="99"/>
      <c r="N30" s="502"/>
      <c r="O30" s="33"/>
      <c r="P30" s="100"/>
      <c r="Q30" s="99"/>
      <c r="R30" s="33"/>
      <c r="S30" s="102"/>
      <c r="T30" s="99"/>
      <c r="U30" s="33"/>
      <c r="V30" s="102"/>
      <c r="W30" s="99"/>
      <c r="X30" s="33"/>
      <c r="Y30" s="102"/>
      <c r="Z30" s="502"/>
      <c r="AA30" s="33"/>
      <c r="AB30" s="102"/>
      <c r="AC30" s="502"/>
      <c r="AD30" s="33"/>
      <c r="AE30" s="102"/>
      <c r="AF30" s="502"/>
      <c r="AG30" s="33"/>
      <c r="AH30" s="102"/>
      <c r="AI30" s="99"/>
      <c r="AJ30" s="33"/>
      <c r="AK30" s="114"/>
    </row>
    <row r="31" spans="1:43" x14ac:dyDescent="0.2">
      <c r="A31" s="1106" t="s">
        <v>6792</v>
      </c>
      <c r="B31" s="142"/>
      <c r="C31" s="33"/>
      <c r="D31" s="129"/>
      <c r="E31" s="186"/>
      <c r="F31" s="33"/>
      <c r="G31" s="129"/>
      <c r="H31" s="142"/>
      <c r="I31" s="33"/>
      <c r="J31" s="129"/>
      <c r="K31" s="142"/>
      <c r="L31" s="33"/>
      <c r="M31" s="99"/>
      <c r="N31" s="502"/>
      <c r="O31" s="33"/>
      <c r="P31" s="100"/>
      <c r="Q31" s="99"/>
      <c r="R31" s="33"/>
      <c r="S31" s="102"/>
      <c r="T31" s="99"/>
      <c r="U31" s="33"/>
      <c r="V31" s="102"/>
      <c r="W31" s="99"/>
      <c r="X31" s="33"/>
      <c r="Y31" s="102"/>
      <c r="Z31" s="502"/>
      <c r="AA31" s="33"/>
      <c r="AB31" s="102"/>
      <c r="AC31" s="502"/>
      <c r="AD31" s="33"/>
      <c r="AE31" s="102"/>
      <c r="AF31" s="502"/>
      <c r="AG31" s="33"/>
      <c r="AH31" s="102"/>
      <c r="AI31" s="99"/>
      <c r="AJ31" s="33"/>
      <c r="AK31" s="114"/>
    </row>
    <row r="32" spans="1:43" x14ac:dyDescent="0.2">
      <c r="A32" s="889" t="s">
        <v>5386</v>
      </c>
      <c r="B32" s="142">
        <v>81000</v>
      </c>
      <c r="C32" s="33">
        <f>'Res-Gen'!D44</f>
        <v>103500</v>
      </c>
      <c r="D32" s="129">
        <f t="shared" ref="D32" si="172">B32+C32</f>
        <v>184500</v>
      </c>
      <c r="E32" s="502">
        <f>D32</f>
        <v>184500</v>
      </c>
      <c r="F32" s="33">
        <v>0</v>
      </c>
      <c r="G32" s="129">
        <f>E32+F32</f>
        <v>184500</v>
      </c>
      <c r="H32" s="99">
        <f>G32</f>
        <v>184500</v>
      </c>
      <c r="I32" s="33">
        <v>0</v>
      </c>
      <c r="J32" s="129">
        <f>H32+I32</f>
        <v>184500</v>
      </c>
      <c r="K32" s="142">
        <f>J32</f>
        <v>184500</v>
      </c>
      <c r="L32" s="33">
        <v>0</v>
      </c>
      <c r="M32" s="99">
        <f>K32+L32</f>
        <v>184500</v>
      </c>
      <c r="N32" s="502">
        <f>M32</f>
        <v>184500</v>
      </c>
      <c r="O32" s="33">
        <v>0</v>
      </c>
      <c r="P32" s="100">
        <f>N32+O32</f>
        <v>184500</v>
      </c>
      <c r="Q32" s="99">
        <f>P32</f>
        <v>184500</v>
      </c>
      <c r="R32" s="33">
        <v>0</v>
      </c>
      <c r="S32" s="102">
        <f>Q32+R32</f>
        <v>184500</v>
      </c>
      <c r="T32" s="99">
        <f>S32</f>
        <v>184500</v>
      </c>
      <c r="U32" s="33">
        <v>0</v>
      </c>
      <c r="V32" s="102">
        <f>T32+U32</f>
        <v>184500</v>
      </c>
      <c r="W32" s="99">
        <f>V32</f>
        <v>184500</v>
      </c>
      <c r="X32" s="33">
        <v>0</v>
      </c>
      <c r="Y32" s="102">
        <f>W32+X32</f>
        <v>184500</v>
      </c>
      <c r="Z32" s="502">
        <f>Y32</f>
        <v>184500</v>
      </c>
      <c r="AA32" s="33">
        <v>0</v>
      </c>
      <c r="AB32" s="102">
        <f>Z32+AA32</f>
        <v>184500</v>
      </c>
      <c r="AC32" s="502">
        <f>AB32</f>
        <v>184500</v>
      </c>
      <c r="AD32" s="33">
        <v>0</v>
      </c>
      <c r="AE32" s="102">
        <f>AC32+AD32</f>
        <v>184500</v>
      </c>
      <c r="AF32" s="502">
        <f>AE32</f>
        <v>184500</v>
      </c>
      <c r="AG32" s="33">
        <v>0</v>
      </c>
      <c r="AH32" s="102">
        <f>AF32+AG32</f>
        <v>184500</v>
      </c>
      <c r="AI32" s="99">
        <f>AH32</f>
        <v>184500</v>
      </c>
      <c r="AJ32" s="33">
        <v>0</v>
      </c>
      <c r="AK32" s="114">
        <f>AI32+AJ32</f>
        <v>184500</v>
      </c>
    </row>
    <row r="33" spans="1:43" x14ac:dyDescent="0.2">
      <c r="A33" s="585"/>
      <c r="B33" s="152"/>
      <c r="C33" s="150"/>
      <c r="D33" s="129"/>
      <c r="E33" s="567"/>
      <c r="F33" s="150"/>
      <c r="G33" s="129"/>
      <c r="H33" s="152"/>
      <c r="I33" s="150"/>
      <c r="J33" s="129"/>
      <c r="K33" s="152"/>
      <c r="L33" s="150"/>
      <c r="M33" s="99"/>
      <c r="N33" s="1469"/>
      <c r="O33" s="150"/>
      <c r="P33" s="100"/>
      <c r="Q33" s="182"/>
      <c r="R33" s="150"/>
      <c r="S33" s="102"/>
      <c r="T33" s="182"/>
      <c r="U33" s="150"/>
      <c r="V33" s="102"/>
      <c r="W33" s="182"/>
      <c r="X33" s="150"/>
      <c r="Y33" s="102"/>
      <c r="Z33" s="1469"/>
      <c r="AA33" s="150"/>
      <c r="AB33" s="102"/>
      <c r="AC33" s="1469"/>
      <c r="AD33" s="150"/>
      <c r="AE33" s="102"/>
      <c r="AF33" s="1469"/>
      <c r="AG33" s="150"/>
      <c r="AH33" s="102"/>
      <c r="AI33" s="182"/>
      <c r="AJ33" s="150"/>
      <c r="AK33" s="114"/>
    </row>
    <row r="34" spans="1:43" x14ac:dyDescent="0.2">
      <c r="A34" s="584" t="s">
        <v>362</v>
      </c>
      <c r="B34" s="142"/>
      <c r="C34" s="33"/>
      <c r="D34" s="129"/>
      <c r="E34" s="186"/>
      <c r="F34" s="33"/>
      <c r="G34" s="129"/>
      <c r="H34" s="142"/>
      <c r="I34" s="33"/>
      <c r="J34" s="129"/>
      <c r="K34" s="142"/>
      <c r="L34" s="33"/>
      <c r="M34" s="99"/>
      <c r="N34" s="502"/>
      <c r="O34" s="33"/>
      <c r="P34" s="100"/>
      <c r="Q34" s="99"/>
      <c r="R34" s="33"/>
      <c r="S34" s="102"/>
      <c r="T34" s="99"/>
      <c r="U34" s="33"/>
      <c r="V34" s="102"/>
      <c r="W34" s="99"/>
      <c r="X34" s="33"/>
      <c r="Y34" s="102"/>
      <c r="Z34" s="502"/>
      <c r="AA34" s="33"/>
      <c r="AB34" s="102"/>
      <c r="AC34" s="502"/>
      <c r="AD34" s="33"/>
      <c r="AE34" s="102"/>
      <c r="AF34" s="502"/>
      <c r="AG34" s="33"/>
      <c r="AH34" s="102"/>
      <c r="AI34" s="99"/>
      <c r="AJ34" s="33"/>
      <c r="AK34" s="114"/>
    </row>
    <row r="35" spans="1:43" x14ac:dyDescent="0.2">
      <c r="A35" s="889" t="s">
        <v>3338</v>
      </c>
      <c r="B35" s="142">
        <v>2508700</v>
      </c>
      <c r="C35" s="33">
        <f>'Res-Gen'!D47</f>
        <v>284000</v>
      </c>
      <c r="D35" s="129">
        <f>B35+C35</f>
        <v>2792700</v>
      </c>
      <c r="E35" s="502">
        <f>D35</f>
        <v>2792700</v>
      </c>
      <c r="F35" s="33">
        <f>'Res-Gen'!G47</f>
        <v>60000</v>
      </c>
      <c r="G35" s="129">
        <f>E35+F35</f>
        <v>2852700</v>
      </c>
      <c r="H35" s="99">
        <f>G35</f>
        <v>2852700</v>
      </c>
      <c r="I35" s="33">
        <f>'Res-Gen'!J47</f>
        <v>0</v>
      </c>
      <c r="J35" s="129">
        <f>H35+I35</f>
        <v>2852700</v>
      </c>
      <c r="K35" s="142">
        <f>J35</f>
        <v>2852700</v>
      </c>
      <c r="L35" s="33">
        <f>'Res-Gen'!M47</f>
        <v>0</v>
      </c>
      <c r="M35" s="99">
        <f>K35+L35</f>
        <v>2852700</v>
      </c>
      <c r="N35" s="502">
        <f>M35</f>
        <v>2852700</v>
      </c>
      <c r="O35" s="33">
        <f>'Res-Gen'!P47</f>
        <v>0</v>
      </c>
      <c r="P35" s="100">
        <f>N35+O35</f>
        <v>2852700</v>
      </c>
      <c r="Q35" s="99">
        <f>P35</f>
        <v>2852700</v>
      </c>
      <c r="R35" s="33">
        <f>'Res-Gen'!S47</f>
        <v>0</v>
      </c>
      <c r="S35" s="102">
        <f>Q35+R35</f>
        <v>2852700</v>
      </c>
      <c r="T35" s="99">
        <f>S35</f>
        <v>2852700</v>
      </c>
      <c r="U35" s="33">
        <f>'Res-Gen'!V47</f>
        <v>0</v>
      </c>
      <c r="V35" s="102">
        <f>T35+U35</f>
        <v>2852700</v>
      </c>
      <c r="W35" s="99">
        <f>V35</f>
        <v>2852700</v>
      </c>
      <c r="X35" s="33">
        <f>'Res-Gen'!Y47</f>
        <v>0</v>
      </c>
      <c r="Y35" s="102">
        <f>W35+X35</f>
        <v>2852700</v>
      </c>
      <c r="Z35" s="502">
        <f>Y35</f>
        <v>2852700</v>
      </c>
      <c r="AA35" s="33">
        <f>'Res-Gen'!AB47</f>
        <v>0</v>
      </c>
      <c r="AB35" s="102">
        <f>Z35+AA35</f>
        <v>2852700</v>
      </c>
      <c r="AC35" s="502">
        <f>AB35</f>
        <v>2852700</v>
      </c>
      <c r="AD35" s="33">
        <f>'Res-Gen'!AE47</f>
        <v>0</v>
      </c>
      <c r="AE35" s="102">
        <f>AC35+AD35</f>
        <v>2852700</v>
      </c>
      <c r="AF35" s="502">
        <f>AE35</f>
        <v>2852700</v>
      </c>
      <c r="AG35" s="33">
        <f>'Res-Gen'!AH47</f>
        <v>0</v>
      </c>
      <c r="AH35" s="102">
        <f>AF35+AG35</f>
        <v>2852700</v>
      </c>
      <c r="AI35" s="99">
        <f>AH35</f>
        <v>2852700</v>
      </c>
      <c r="AJ35" s="33">
        <f>'Res-Gen'!AK47</f>
        <v>0</v>
      </c>
      <c r="AK35" s="114">
        <f>AI35+AJ35</f>
        <v>2852700</v>
      </c>
    </row>
    <row r="36" spans="1:43" x14ac:dyDescent="0.2">
      <c r="A36" s="585"/>
      <c r="B36" s="152"/>
      <c r="C36" s="150"/>
      <c r="D36" s="129"/>
      <c r="E36" s="567"/>
      <c r="F36" s="150"/>
      <c r="G36" s="129"/>
      <c r="H36" s="152"/>
      <c r="I36" s="150"/>
      <c r="J36" s="129"/>
      <c r="K36" s="152"/>
      <c r="L36" s="150"/>
      <c r="M36" s="99"/>
      <c r="N36" s="1469"/>
      <c r="O36" s="150"/>
      <c r="P36" s="100"/>
      <c r="Q36" s="182"/>
      <c r="R36" s="150"/>
      <c r="S36" s="102"/>
      <c r="T36" s="182"/>
      <c r="U36" s="150"/>
      <c r="V36" s="102"/>
      <c r="W36" s="182"/>
      <c r="X36" s="150"/>
      <c r="Y36" s="102"/>
      <c r="Z36" s="1469"/>
      <c r="AA36" s="150"/>
      <c r="AB36" s="102"/>
      <c r="AC36" s="1469"/>
      <c r="AD36" s="150"/>
      <c r="AE36" s="102"/>
      <c r="AF36" s="1469"/>
      <c r="AG36" s="150"/>
      <c r="AH36" s="102"/>
      <c r="AI36" s="182"/>
      <c r="AJ36" s="150"/>
      <c r="AK36" s="114"/>
    </row>
    <row r="37" spans="1:43" x14ac:dyDescent="0.2">
      <c r="A37" s="584" t="s">
        <v>2311</v>
      </c>
      <c r="B37" s="142"/>
      <c r="C37" s="33"/>
      <c r="D37" s="129"/>
      <c r="E37" s="186"/>
      <c r="F37" s="33"/>
      <c r="G37" s="129"/>
      <c r="H37" s="142"/>
      <c r="I37" s="33"/>
      <c r="J37" s="129"/>
      <c r="K37" s="142"/>
      <c r="L37" s="33"/>
      <c r="M37" s="99"/>
      <c r="N37" s="502"/>
      <c r="O37" s="33"/>
      <c r="P37" s="100"/>
      <c r="Q37" s="99"/>
      <c r="R37" s="33"/>
      <c r="S37" s="102"/>
      <c r="T37" s="99"/>
      <c r="U37" s="33"/>
      <c r="V37" s="102"/>
      <c r="W37" s="99"/>
      <c r="X37" s="33"/>
      <c r="Y37" s="102"/>
      <c r="Z37" s="502"/>
      <c r="AA37" s="33"/>
      <c r="AB37" s="102"/>
      <c r="AC37" s="502"/>
      <c r="AD37" s="33"/>
      <c r="AE37" s="102"/>
      <c r="AF37" s="502"/>
      <c r="AG37" s="33"/>
      <c r="AH37" s="102"/>
      <c r="AI37" s="99"/>
      <c r="AJ37" s="33"/>
      <c r="AK37" s="114"/>
    </row>
    <row r="38" spans="1:43" x14ac:dyDescent="0.2">
      <c r="A38" s="889" t="s">
        <v>4195</v>
      </c>
      <c r="B38" s="142">
        <v>10000</v>
      </c>
      <c r="C38" s="33">
        <f>'Res-Gen'!D52</f>
        <v>5000</v>
      </c>
      <c r="D38" s="129">
        <f>B38+C38</f>
        <v>15000</v>
      </c>
      <c r="E38" s="502">
        <f>D38</f>
        <v>15000</v>
      </c>
      <c r="F38" s="33">
        <f>'Res-Gen'!G52</f>
        <v>0</v>
      </c>
      <c r="G38" s="129">
        <f>E38+F38</f>
        <v>15000</v>
      </c>
      <c r="H38" s="99">
        <f>G38</f>
        <v>15000</v>
      </c>
      <c r="I38" s="33">
        <f>'Res-Gen'!J52</f>
        <v>0</v>
      </c>
      <c r="J38" s="129">
        <f>H38+I38</f>
        <v>15000</v>
      </c>
      <c r="K38" s="142">
        <f>J38</f>
        <v>15000</v>
      </c>
      <c r="L38" s="33">
        <f>'Res-Gen'!M52</f>
        <v>0</v>
      </c>
      <c r="M38" s="99">
        <f>K38+L38</f>
        <v>15000</v>
      </c>
      <c r="N38" s="502">
        <f>M38</f>
        <v>15000</v>
      </c>
      <c r="O38" s="33">
        <f>'Res-Gen'!P52</f>
        <v>0</v>
      </c>
      <c r="P38" s="100">
        <f>N38+O38</f>
        <v>15000</v>
      </c>
      <c r="Q38" s="99">
        <f>P38</f>
        <v>15000</v>
      </c>
      <c r="R38" s="33">
        <f>'Res-Gen'!S52</f>
        <v>0</v>
      </c>
      <c r="S38" s="102">
        <f>Q38+R38</f>
        <v>15000</v>
      </c>
      <c r="T38" s="99">
        <f>S38</f>
        <v>15000</v>
      </c>
      <c r="U38" s="33">
        <f>'Res-Gen'!V52</f>
        <v>0</v>
      </c>
      <c r="V38" s="102">
        <f>T38+U38</f>
        <v>15000</v>
      </c>
      <c r="W38" s="99">
        <f>V38</f>
        <v>15000</v>
      </c>
      <c r="X38" s="33">
        <f>'Res-Gen'!Y52</f>
        <v>0</v>
      </c>
      <c r="Y38" s="102">
        <f>W38+X38</f>
        <v>15000</v>
      </c>
      <c r="Z38" s="502">
        <f>Y38</f>
        <v>15000</v>
      </c>
      <c r="AA38" s="33">
        <f>'Res-Gen'!AB52</f>
        <v>0</v>
      </c>
      <c r="AB38" s="102">
        <f>Z38+AA38</f>
        <v>15000</v>
      </c>
      <c r="AC38" s="502">
        <f>AB38</f>
        <v>15000</v>
      </c>
      <c r="AD38" s="33">
        <f>'Res-Gen'!AE52</f>
        <v>0</v>
      </c>
      <c r="AE38" s="102">
        <f>AC38+AD38</f>
        <v>15000</v>
      </c>
      <c r="AF38" s="502">
        <f>AE38</f>
        <v>15000</v>
      </c>
      <c r="AG38" s="33">
        <f>'Res-Gen'!AH52</f>
        <v>0</v>
      </c>
      <c r="AH38" s="102">
        <f>AF38+AG38</f>
        <v>15000</v>
      </c>
      <c r="AI38" s="99">
        <f>AH38</f>
        <v>15000</v>
      </c>
      <c r="AJ38" s="33">
        <f>'Res-Gen'!AK52</f>
        <v>0</v>
      </c>
      <c r="AK38" s="114">
        <f>AI38+AJ38</f>
        <v>15000</v>
      </c>
    </row>
    <row r="39" spans="1:43" x14ac:dyDescent="0.2">
      <c r="A39" s="889" t="s">
        <v>6564</v>
      </c>
      <c r="B39" s="142">
        <v>0</v>
      </c>
      <c r="C39" s="33">
        <f>'Res-Gen'!D51</f>
        <v>30000</v>
      </c>
      <c r="D39" s="129">
        <f>B39+C39</f>
        <v>30000</v>
      </c>
      <c r="E39" s="502">
        <f>D39</f>
        <v>30000</v>
      </c>
      <c r="F39" s="33">
        <f>'Res-Gen'!G51</f>
        <v>-30000</v>
      </c>
      <c r="G39" s="129">
        <f>E39+F39</f>
        <v>0</v>
      </c>
      <c r="H39" s="99">
        <f>G39</f>
        <v>0</v>
      </c>
      <c r="I39" s="33">
        <f>'Res-Gen'!J51</f>
        <v>0</v>
      </c>
      <c r="J39" s="129">
        <f>H39+I39</f>
        <v>0</v>
      </c>
      <c r="K39" s="142">
        <f>J39</f>
        <v>0</v>
      </c>
      <c r="L39" s="33">
        <f>'Res-Gen'!M51</f>
        <v>0</v>
      </c>
      <c r="M39" s="99">
        <f>K39+L39</f>
        <v>0</v>
      </c>
      <c r="N39" s="502">
        <f>M39</f>
        <v>0</v>
      </c>
      <c r="O39" s="33">
        <f>'Res-Gen'!P51</f>
        <v>0</v>
      </c>
      <c r="P39" s="100">
        <f>N39+O39</f>
        <v>0</v>
      </c>
      <c r="Q39" s="99">
        <f>P39</f>
        <v>0</v>
      </c>
      <c r="R39" s="33">
        <f>'Res-Gen'!S51</f>
        <v>0</v>
      </c>
      <c r="S39" s="102">
        <f>Q39+R39</f>
        <v>0</v>
      </c>
      <c r="T39" s="99">
        <f>S39</f>
        <v>0</v>
      </c>
      <c r="U39" s="33">
        <f>'Res-Gen'!V51</f>
        <v>0</v>
      </c>
      <c r="V39" s="102">
        <f>T39+U39</f>
        <v>0</v>
      </c>
      <c r="W39" s="99">
        <f>V39</f>
        <v>0</v>
      </c>
      <c r="X39" s="33">
        <f>'Res-Gen'!Y51</f>
        <v>0</v>
      </c>
      <c r="Y39" s="102">
        <f>W39+X39</f>
        <v>0</v>
      </c>
      <c r="Z39" s="502">
        <f>Y39</f>
        <v>0</v>
      </c>
      <c r="AA39" s="33">
        <f>'Res-Gen'!AB51</f>
        <v>0</v>
      </c>
      <c r="AB39" s="102">
        <f>Z39+AA39</f>
        <v>0</v>
      </c>
      <c r="AC39" s="502">
        <f>AB39</f>
        <v>0</v>
      </c>
      <c r="AD39" s="33">
        <f>'Res-Gen'!AE51</f>
        <v>0</v>
      </c>
      <c r="AE39" s="102">
        <f>AC39+AD39</f>
        <v>0</v>
      </c>
      <c r="AF39" s="502">
        <f>AE39</f>
        <v>0</v>
      </c>
      <c r="AG39" s="33">
        <f>'Res-Gen'!AH51</f>
        <v>0</v>
      </c>
      <c r="AH39" s="102">
        <f>AF39+AG39</f>
        <v>0</v>
      </c>
      <c r="AI39" s="99">
        <f>AH39</f>
        <v>0</v>
      </c>
      <c r="AJ39" s="33">
        <f>'Res-Gen'!AK51</f>
        <v>0</v>
      </c>
      <c r="AK39" s="114">
        <f>AI39+AJ39</f>
        <v>0</v>
      </c>
    </row>
    <row r="40" spans="1:43" x14ac:dyDescent="0.2">
      <c r="A40" s="889" t="s">
        <v>5385</v>
      </c>
      <c r="B40" s="142">
        <v>40000</v>
      </c>
      <c r="C40" s="33">
        <f>'Res-Gen'!D50</f>
        <v>-15900</v>
      </c>
      <c r="D40" s="129">
        <f>B40+C40</f>
        <v>24100</v>
      </c>
      <c r="E40" s="502">
        <f>D40</f>
        <v>24100</v>
      </c>
      <c r="F40" s="33">
        <f>'Res-Gen'!G50</f>
        <v>-24100</v>
      </c>
      <c r="G40" s="129">
        <f>E40+F40</f>
        <v>0</v>
      </c>
      <c r="H40" s="99">
        <f>G40</f>
        <v>0</v>
      </c>
      <c r="I40" s="33">
        <f>'Res-Gen'!J50</f>
        <v>0</v>
      </c>
      <c r="J40" s="129">
        <f>H40+I40</f>
        <v>0</v>
      </c>
      <c r="K40" s="142">
        <f>J40</f>
        <v>0</v>
      </c>
      <c r="L40" s="33">
        <f>'Res-Gen'!M50</f>
        <v>0</v>
      </c>
      <c r="M40" s="99">
        <f>K40+L40</f>
        <v>0</v>
      </c>
      <c r="N40" s="502">
        <f>M40</f>
        <v>0</v>
      </c>
      <c r="O40" s="33">
        <f>'Res-Gen'!P50</f>
        <v>0</v>
      </c>
      <c r="P40" s="100">
        <f>N40+O40</f>
        <v>0</v>
      </c>
      <c r="Q40" s="99">
        <f>P40</f>
        <v>0</v>
      </c>
      <c r="R40" s="33">
        <f>'Res-Gen'!S50</f>
        <v>0</v>
      </c>
      <c r="S40" s="102">
        <f>Q40+R40</f>
        <v>0</v>
      </c>
      <c r="T40" s="99">
        <f>S40</f>
        <v>0</v>
      </c>
      <c r="U40" s="33">
        <f>'Res-Gen'!V50</f>
        <v>0</v>
      </c>
      <c r="V40" s="102">
        <f>T40+U40</f>
        <v>0</v>
      </c>
      <c r="W40" s="99">
        <f>V40</f>
        <v>0</v>
      </c>
      <c r="X40" s="33">
        <f>'Res-Gen'!Y50</f>
        <v>0</v>
      </c>
      <c r="Y40" s="102">
        <f>W40+X40</f>
        <v>0</v>
      </c>
      <c r="Z40" s="502">
        <f>Y40</f>
        <v>0</v>
      </c>
      <c r="AA40" s="33">
        <f>'Res-Gen'!AB50</f>
        <v>0</v>
      </c>
      <c r="AB40" s="102">
        <f>Z40+AA40</f>
        <v>0</v>
      </c>
      <c r="AC40" s="502">
        <f>AB40</f>
        <v>0</v>
      </c>
      <c r="AD40" s="33">
        <f>'Res-Gen'!AE50</f>
        <v>0</v>
      </c>
      <c r="AE40" s="102">
        <f>AC40+AD40</f>
        <v>0</v>
      </c>
      <c r="AF40" s="502">
        <f>AE40</f>
        <v>0</v>
      </c>
      <c r="AG40" s="33">
        <f>'Res-Gen'!AH50</f>
        <v>0</v>
      </c>
      <c r="AH40" s="102">
        <f>AF40+AG40</f>
        <v>0</v>
      </c>
      <c r="AI40" s="99">
        <f>AH40</f>
        <v>0</v>
      </c>
      <c r="AJ40" s="33">
        <f>'Res-Gen'!AK50</f>
        <v>0</v>
      </c>
      <c r="AK40" s="114">
        <f>AI40+AJ40</f>
        <v>0</v>
      </c>
    </row>
    <row r="41" spans="1:43" x14ac:dyDescent="0.2">
      <c r="A41" s="585"/>
      <c r="B41" s="142"/>
      <c r="C41" s="33"/>
      <c r="D41" s="129"/>
      <c r="E41" s="186"/>
      <c r="F41" s="33"/>
      <c r="G41" s="129"/>
      <c r="H41" s="142"/>
      <c r="I41" s="33"/>
      <c r="J41" s="129"/>
      <c r="K41" s="142"/>
      <c r="L41" s="33"/>
      <c r="M41" s="99"/>
      <c r="N41" s="502"/>
      <c r="O41" s="33"/>
      <c r="P41" s="100"/>
      <c r="Q41" s="99"/>
      <c r="R41" s="33"/>
      <c r="S41" s="102"/>
      <c r="T41" s="99"/>
      <c r="U41" s="33"/>
      <c r="V41" s="102"/>
      <c r="W41" s="99"/>
      <c r="X41" s="33"/>
      <c r="Y41" s="102"/>
      <c r="Z41" s="502"/>
      <c r="AA41" s="33"/>
      <c r="AB41" s="102"/>
      <c r="AC41" s="502"/>
      <c r="AD41" s="33"/>
      <c r="AE41" s="102"/>
      <c r="AF41" s="502"/>
      <c r="AG41" s="33"/>
      <c r="AH41" s="102"/>
      <c r="AI41" s="99"/>
      <c r="AJ41" s="33"/>
      <c r="AK41" s="114"/>
    </row>
    <row r="42" spans="1:43" x14ac:dyDescent="0.2">
      <c r="A42" s="584" t="s">
        <v>2543</v>
      </c>
      <c r="B42" s="142"/>
      <c r="C42" s="33"/>
      <c r="D42" s="129"/>
      <c r="E42" s="186"/>
      <c r="F42" s="33"/>
      <c r="G42" s="129"/>
      <c r="H42" s="142"/>
      <c r="I42" s="33"/>
      <c r="J42" s="129"/>
      <c r="K42" s="142"/>
      <c r="L42" s="33"/>
      <c r="M42" s="99"/>
      <c r="N42" s="502"/>
      <c r="O42" s="33"/>
      <c r="P42" s="100"/>
      <c r="Q42" s="99"/>
      <c r="R42" s="33"/>
      <c r="S42" s="102"/>
      <c r="T42" s="99"/>
      <c r="U42" s="33"/>
      <c r="V42" s="102"/>
      <c r="W42" s="99"/>
      <c r="X42" s="33"/>
      <c r="Y42" s="102"/>
      <c r="Z42" s="502"/>
      <c r="AA42" s="33"/>
      <c r="AB42" s="102"/>
      <c r="AC42" s="502"/>
      <c r="AD42" s="33"/>
      <c r="AE42" s="102"/>
      <c r="AF42" s="502"/>
      <c r="AG42" s="33"/>
      <c r="AH42" s="102"/>
      <c r="AI42" s="99"/>
      <c r="AJ42" s="33"/>
      <c r="AK42" s="114"/>
    </row>
    <row r="43" spans="1:43" s="434" customFormat="1" x14ac:dyDescent="0.2">
      <c r="A43" s="878" t="s">
        <v>3366</v>
      </c>
      <c r="B43" s="873"/>
      <c r="C43" s="742"/>
      <c r="D43" s="874"/>
      <c r="E43" s="875"/>
      <c r="F43" s="742"/>
      <c r="G43" s="874"/>
      <c r="H43" s="876"/>
      <c r="I43" s="742"/>
      <c r="J43" s="874"/>
      <c r="K43" s="873"/>
      <c r="L43" s="742"/>
      <c r="M43" s="876"/>
      <c r="N43" s="875"/>
      <c r="O43" s="742"/>
      <c r="P43" s="2155"/>
      <c r="Q43" s="876"/>
      <c r="R43" s="742"/>
      <c r="S43" s="877"/>
      <c r="T43" s="876"/>
      <c r="U43" s="742"/>
      <c r="V43" s="877"/>
      <c r="W43" s="876"/>
      <c r="X43" s="742"/>
      <c r="Y43" s="877"/>
      <c r="Z43" s="875"/>
      <c r="AA43" s="742"/>
      <c r="AB43" s="877"/>
      <c r="AC43" s="875"/>
      <c r="AD43" s="742"/>
      <c r="AE43" s="877"/>
      <c r="AF43" s="875"/>
      <c r="AG43" s="742"/>
      <c r="AH43" s="877"/>
      <c r="AI43" s="876"/>
      <c r="AJ43" s="742"/>
      <c r="AK43" s="1587"/>
    </row>
    <row r="44" spans="1:43" x14ac:dyDescent="0.2">
      <c r="A44" s="585" t="s">
        <v>524</v>
      </c>
      <c r="B44" s="142">
        <v>1778800</v>
      </c>
      <c r="C44" s="150">
        <f>'Res-Gen'!D84++'Res-Gen'!D181</f>
        <v>-637000</v>
      </c>
      <c r="D44" s="129">
        <f>B44+C44</f>
        <v>1141800</v>
      </c>
      <c r="E44" s="502">
        <f>D44</f>
        <v>1141800</v>
      </c>
      <c r="F44" s="150">
        <f>'Res-Gen'!G84++'Res-Gen'!G191+'Res-Gen'!G190+'Res-Gen'!G189</f>
        <v>-780800</v>
      </c>
      <c r="G44" s="129">
        <f>E44+F44</f>
        <v>361000</v>
      </c>
      <c r="H44" s="99">
        <f>G44</f>
        <v>361000</v>
      </c>
      <c r="I44" s="150">
        <f>'Res-Gen'!J84+'Res-Gen'!J153</f>
        <v>-188100</v>
      </c>
      <c r="J44" s="129">
        <f>H44+I44</f>
        <v>172900</v>
      </c>
      <c r="K44" s="142">
        <f>J44</f>
        <v>172900</v>
      </c>
      <c r="L44" s="150">
        <f>'Res-Gen'!M84+'Res-Gen'!M153</f>
        <v>139500</v>
      </c>
      <c r="M44" s="99">
        <f>K44+L44</f>
        <v>312400</v>
      </c>
      <c r="N44" s="502">
        <f>M44</f>
        <v>312400</v>
      </c>
      <c r="O44" s="150">
        <f>'Res-Gen'!P84+'Res-Gen'!P153</f>
        <v>217500</v>
      </c>
      <c r="P44" s="100">
        <f>N44+O44</f>
        <v>529900</v>
      </c>
      <c r="Q44" s="99">
        <f>P44</f>
        <v>529900</v>
      </c>
      <c r="R44" s="150">
        <f>'Res-Gen'!S84+'Res-Gen'!S153+'Res-Gen'!S154</f>
        <v>-122700</v>
      </c>
      <c r="S44" s="102">
        <f>Q44+R44</f>
        <v>407200</v>
      </c>
      <c r="T44" s="99">
        <f>S44</f>
        <v>407200</v>
      </c>
      <c r="U44" s="150">
        <f>'Res-Gen'!V84+'Res-Gen'!V153+'Res-Gen'!V154</f>
        <v>-15400</v>
      </c>
      <c r="V44" s="102">
        <f>T44+U44</f>
        <v>391800</v>
      </c>
      <c r="W44" s="99">
        <f>V44</f>
        <v>391800</v>
      </c>
      <c r="X44" s="150">
        <f>'Res-Gen'!Y84+'Res-Gen'!Y153+'Res-Gen'!Y154</f>
        <v>-4700</v>
      </c>
      <c r="Y44" s="102">
        <f>W44+X44</f>
        <v>387100</v>
      </c>
      <c r="Z44" s="502">
        <f>Y44</f>
        <v>387100</v>
      </c>
      <c r="AA44" s="150">
        <f>'Res-Gen'!AB84+'Res-Gen'!AB153+'Res-Gen'!AB154</f>
        <v>30600</v>
      </c>
      <c r="AB44" s="102">
        <f>Z44+AA44</f>
        <v>417700</v>
      </c>
      <c r="AC44" s="502">
        <f>AB44</f>
        <v>417700</v>
      </c>
      <c r="AD44" s="150">
        <f>'Res-Gen'!AE84+'Res-Gen'!AE153+'Res-Gen'!AE154</f>
        <v>48900</v>
      </c>
      <c r="AE44" s="102">
        <f>AC44+AD44</f>
        <v>466600</v>
      </c>
      <c r="AF44" s="502">
        <f>AE44</f>
        <v>466600</v>
      </c>
      <c r="AG44" s="150">
        <f>'Res-Gen'!AH84+'Res-Gen'!AH153+'Res-Gen'!AH154</f>
        <v>68600</v>
      </c>
      <c r="AH44" s="102">
        <f>AF44+AG44</f>
        <v>535200</v>
      </c>
      <c r="AI44" s="99">
        <f>AH44</f>
        <v>535200</v>
      </c>
      <c r="AJ44" s="150">
        <f>'Res-Gen'!AK84+'Res-Gen'!AK153+'Res-Gen'!AK154</f>
        <v>87500</v>
      </c>
      <c r="AK44" s="114">
        <f>AI44+AJ44</f>
        <v>622700</v>
      </c>
    </row>
    <row r="45" spans="1:43" x14ac:dyDescent="0.2">
      <c r="A45" s="889" t="s">
        <v>3284</v>
      </c>
      <c r="B45" s="142">
        <v>2536800</v>
      </c>
      <c r="C45" s="33">
        <f>'Res-Gen'!D103</f>
        <v>683300</v>
      </c>
      <c r="D45" s="129">
        <f>B45+C45</f>
        <v>3220100</v>
      </c>
      <c r="E45" s="502">
        <f t="shared" ref="E45:E50" si="173">D45</f>
        <v>3220100</v>
      </c>
      <c r="F45" s="33">
        <f>'Res-Gen'!G103</f>
        <v>561400</v>
      </c>
      <c r="G45" s="129">
        <f>E45+F45</f>
        <v>3781500</v>
      </c>
      <c r="H45" s="99">
        <f t="shared" ref="H45:H50" si="174">G45</f>
        <v>3781500</v>
      </c>
      <c r="I45" s="33">
        <f>'Res-Gen'!J103</f>
        <v>-2719900</v>
      </c>
      <c r="J45" s="129">
        <f>H45+I45</f>
        <v>1061600</v>
      </c>
      <c r="K45" s="142">
        <f t="shared" ref="K45:K50" si="175">J45</f>
        <v>1061600</v>
      </c>
      <c r="L45" s="33">
        <f>'Res-Gen'!M103</f>
        <v>2485200</v>
      </c>
      <c r="M45" s="99">
        <f>K45+L45</f>
        <v>3546800</v>
      </c>
      <c r="N45" s="502">
        <f t="shared" ref="N45:N50" si="176">M45</f>
        <v>3546800</v>
      </c>
      <c r="O45" s="33">
        <f>'Res-Gen'!P103</f>
        <v>-2080300</v>
      </c>
      <c r="P45" s="100">
        <f>N45+O45</f>
        <v>1466500</v>
      </c>
      <c r="Q45" s="99">
        <f t="shared" ref="Q45:Q50" si="177">P45</f>
        <v>1466500</v>
      </c>
      <c r="R45" s="33">
        <f>'Res-Gen'!S103</f>
        <v>492100</v>
      </c>
      <c r="S45" s="102">
        <f>Q45+R45</f>
        <v>1958600</v>
      </c>
      <c r="T45" s="99">
        <f t="shared" ref="T45:T53" si="178">S45</f>
        <v>1958600</v>
      </c>
      <c r="U45" s="33">
        <f>'Res-Gen'!V103</f>
        <v>-51600</v>
      </c>
      <c r="V45" s="102">
        <f>T45+U45</f>
        <v>1907000</v>
      </c>
      <c r="W45" s="99">
        <f t="shared" ref="W45:W50" si="179">V45</f>
        <v>1907000</v>
      </c>
      <c r="X45" s="33">
        <f>'Res-Gen'!Y103</f>
        <v>241800</v>
      </c>
      <c r="Y45" s="102">
        <f>W45+X45</f>
        <v>2148800</v>
      </c>
      <c r="Z45" s="502">
        <f t="shared" ref="Z45:Z50" si="180">Y45</f>
        <v>2148800</v>
      </c>
      <c r="AA45" s="33">
        <f>'Res-Gen'!AB103</f>
        <v>-276700</v>
      </c>
      <c r="AB45" s="102">
        <f>Z45+AA45</f>
        <v>1872100</v>
      </c>
      <c r="AC45" s="502">
        <f t="shared" ref="AC45" si="181">AB45</f>
        <v>1872100</v>
      </c>
      <c r="AD45" s="33">
        <f>'Res-Gen'!AE103</f>
        <v>12500</v>
      </c>
      <c r="AE45" s="102">
        <f>AC45+AD45</f>
        <v>1884600</v>
      </c>
      <c r="AF45" s="502">
        <f t="shared" ref="AF45" si="182">AE45</f>
        <v>1884600</v>
      </c>
      <c r="AG45" s="33">
        <f>'Res-Gen'!AH103</f>
        <v>8900</v>
      </c>
      <c r="AH45" s="102">
        <f>AF45+AG45</f>
        <v>1893500</v>
      </c>
      <c r="AI45" s="99">
        <f t="shared" ref="AI45" si="183">AH45</f>
        <v>1893500</v>
      </c>
      <c r="AJ45" s="33">
        <f>'Res-Gen'!AK103</f>
        <v>-82800</v>
      </c>
      <c r="AK45" s="114">
        <f>AI45+AJ45</f>
        <v>1810700</v>
      </c>
      <c r="AL45" s="376"/>
      <c r="AM45" s="376"/>
      <c r="AN45" s="376"/>
      <c r="AO45" s="376"/>
      <c r="AP45" s="376"/>
      <c r="AQ45" s="376"/>
    </row>
    <row r="46" spans="1:43" s="92" customFormat="1" x14ac:dyDescent="0.2">
      <c r="A46" s="879" t="s">
        <v>2300</v>
      </c>
      <c r="B46" s="377">
        <f t="shared" ref="B46:AB46" si="184">SUBTOTAL(9,B44:B45)</f>
        <v>4315600</v>
      </c>
      <c r="C46" s="397">
        <f t="shared" si="184"/>
        <v>46300</v>
      </c>
      <c r="D46" s="519">
        <f t="shared" si="184"/>
        <v>4361900</v>
      </c>
      <c r="E46" s="881">
        <f t="shared" si="184"/>
        <v>4361900</v>
      </c>
      <c r="F46" s="397">
        <f t="shared" si="184"/>
        <v>-219400</v>
      </c>
      <c r="G46" s="519">
        <f t="shared" si="184"/>
        <v>4142500</v>
      </c>
      <c r="H46" s="704">
        <f t="shared" si="184"/>
        <v>4142500</v>
      </c>
      <c r="I46" s="397">
        <f t="shared" si="184"/>
        <v>-2908000</v>
      </c>
      <c r="J46" s="519">
        <f t="shared" si="184"/>
        <v>1234500</v>
      </c>
      <c r="K46" s="377">
        <f t="shared" si="184"/>
        <v>1234500</v>
      </c>
      <c r="L46" s="397">
        <f t="shared" si="184"/>
        <v>2624700</v>
      </c>
      <c r="M46" s="704">
        <f t="shared" si="184"/>
        <v>3859200</v>
      </c>
      <c r="N46" s="881">
        <f t="shared" si="184"/>
        <v>3859200</v>
      </c>
      <c r="O46" s="397">
        <f t="shared" si="184"/>
        <v>-1862800</v>
      </c>
      <c r="P46" s="2156">
        <f t="shared" si="184"/>
        <v>1996400</v>
      </c>
      <c r="Q46" s="704">
        <f t="shared" si="184"/>
        <v>1996400</v>
      </c>
      <c r="R46" s="397">
        <f t="shared" si="184"/>
        <v>369400</v>
      </c>
      <c r="S46" s="510">
        <f t="shared" si="184"/>
        <v>2365800</v>
      </c>
      <c r="T46" s="704">
        <f t="shared" si="184"/>
        <v>2365800</v>
      </c>
      <c r="U46" s="397">
        <f t="shared" si="184"/>
        <v>-67000</v>
      </c>
      <c r="V46" s="510">
        <f t="shared" si="184"/>
        <v>2298800</v>
      </c>
      <c r="W46" s="704">
        <f t="shared" si="184"/>
        <v>2298800</v>
      </c>
      <c r="X46" s="397">
        <f t="shared" si="184"/>
        <v>237100</v>
      </c>
      <c r="Y46" s="510">
        <f t="shared" si="184"/>
        <v>2535900</v>
      </c>
      <c r="Z46" s="881">
        <f t="shared" si="184"/>
        <v>2535900</v>
      </c>
      <c r="AA46" s="397">
        <f t="shared" si="184"/>
        <v>-246100</v>
      </c>
      <c r="AB46" s="510">
        <f t="shared" si="184"/>
        <v>2289800</v>
      </c>
      <c r="AC46" s="881">
        <f t="shared" ref="AC46:AE46" si="185">SUBTOTAL(9,AC44:AC45)</f>
        <v>2289800</v>
      </c>
      <c r="AD46" s="397">
        <f t="shared" si="185"/>
        <v>61400</v>
      </c>
      <c r="AE46" s="510">
        <f t="shared" si="185"/>
        <v>2351200</v>
      </c>
      <c r="AF46" s="881">
        <f t="shared" ref="AF46:AH46" si="186">SUBTOTAL(9,AF44:AF45)</f>
        <v>2351200</v>
      </c>
      <c r="AG46" s="397">
        <f t="shared" si="186"/>
        <v>77500</v>
      </c>
      <c r="AH46" s="510">
        <f t="shared" si="186"/>
        <v>2428700</v>
      </c>
      <c r="AI46" s="704">
        <f t="shared" ref="AI46:AK46" si="187">SUBTOTAL(9,AI44:AI45)</f>
        <v>2428700</v>
      </c>
      <c r="AJ46" s="397">
        <f t="shared" si="187"/>
        <v>4700</v>
      </c>
      <c r="AK46" s="399">
        <f t="shared" si="187"/>
        <v>2433400</v>
      </c>
      <c r="AL46" s="882"/>
      <c r="AM46" s="882"/>
      <c r="AN46" s="882"/>
      <c r="AO46" s="882"/>
      <c r="AP46" s="882"/>
      <c r="AQ46" s="882"/>
    </row>
    <row r="47" spans="1:43" x14ac:dyDescent="0.2">
      <c r="A47" s="585"/>
      <c r="B47" s="142"/>
      <c r="C47" s="33"/>
      <c r="D47" s="129"/>
      <c r="E47" s="502"/>
      <c r="F47" s="33"/>
      <c r="G47" s="129"/>
      <c r="H47" s="99"/>
      <c r="I47" s="33"/>
      <c r="J47" s="129"/>
      <c r="K47" s="142"/>
      <c r="L47" s="33"/>
      <c r="M47" s="99"/>
      <c r="N47" s="502"/>
      <c r="O47" s="33"/>
      <c r="P47" s="100"/>
      <c r="Q47" s="99"/>
      <c r="R47" s="33"/>
      <c r="S47" s="102"/>
      <c r="T47" s="99"/>
      <c r="U47" s="33"/>
      <c r="V47" s="102"/>
      <c r="W47" s="99"/>
      <c r="X47" s="33"/>
      <c r="Y47" s="102"/>
      <c r="Z47" s="502"/>
      <c r="AA47" s="33"/>
      <c r="AB47" s="102"/>
      <c r="AC47" s="502"/>
      <c r="AD47" s="33"/>
      <c r="AE47" s="102"/>
      <c r="AF47" s="502"/>
      <c r="AG47" s="33"/>
      <c r="AH47" s="102"/>
      <c r="AI47" s="99"/>
      <c r="AJ47" s="33"/>
      <c r="AK47" s="114"/>
      <c r="AL47" s="376"/>
      <c r="AM47" s="376"/>
      <c r="AN47" s="376"/>
      <c r="AO47" s="376"/>
      <c r="AP47" s="376"/>
      <c r="AQ47" s="376"/>
    </row>
    <row r="48" spans="1:43" s="884" customFormat="1" x14ac:dyDescent="0.2">
      <c r="A48" s="878" t="s">
        <v>3367</v>
      </c>
      <c r="B48" s="886"/>
      <c r="C48" s="365"/>
      <c r="D48" s="885"/>
      <c r="E48" s="887"/>
      <c r="F48" s="365"/>
      <c r="G48" s="885"/>
      <c r="H48" s="144"/>
      <c r="I48" s="365"/>
      <c r="J48" s="885"/>
      <c r="K48" s="886"/>
      <c r="L48" s="365"/>
      <c r="M48" s="144"/>
      <c r="N48" s="887"/>
      <c r="O48" s="365"/>
      <c r="P48" s="2157"/>
      <c r="Q48" s="144"/>
      <c r="R48" s="365"/>
      <c r="S48" s="888"/>
      <c r="T48" s="144"/>
      <c r="U48" s="365"/>
      <c r="V48" s="888"/>
      <c r="W48" s="144"/>
      <c r="X48" s="365"/>
      <c r="Y48" s="888"/>
      <c r="Z48" s="887"/>
      <c r="AA48" s="365"/>
      <c r="AB48" s="888"/>
      <c r="AC48" s="887"/>
      <c r="AD48" s="365"/>
      <c r="AE48" s="888"/>
      <c r="AF48" s="887"/>
      <c r="AG48" s="365"/>
      <c r="AH48" s="888"/>
      <c r="AI48" s="144"/>
      <c r="AJ48" s="365"/>
      <c r="AK48" s="1588"/>
      <c r="AL48" s="883"/>
      <c r="AM48" s="883"/>
      <c r="AN48" s="883"/>
      <c r="AO48" s="883"/>
      <c r="AP48" s="883"/>
      <c r="AQ48" s="883"/>
    </row>
    <row r="49" spans="1:43" x14ac:dyDescent="0.2">
      <c r="A49" s="889" t="s">
        <v>1453</v>
      </c>
      <c r="B49" s="142">
        <v>68000</v>
      </c>
      <c r="C49" s="33">
        <f>'Res-Gen'!D117</f>
        <v>55100</v>
      </c>
      <c r="D49" s="129">
        <f t="shared" ref="D49:D53" si="188">B49+C49</f>
        <v>123100</v>
      </c>
      <c r="E49" s="502">
        <f t="shared" si="173"/>
        <v>123100</v>
      </c>
      <c r="F49" s="33">
        <f>'Res-Gen'!G117</f>
        <v>75000</v>
      </c>
      <c r="G49" s="129">
        <f t="shared" ref="G49:G53" si="189">E49+F49</f>
        <v>198100</v>
      </c>
      <c r="H49" s="99">
        <f t="shared" si="174"/>
        <v>198100</v>
      </c>
      <c r="I49" s="33">
        <f>'Res-Gen'!J117</f>
        <v>50000</v>
      </c>
      <c r="J49" s="129">
        <f t="shared" ref="J49:J53" si="190">H49+I49</f>
        <v>248100</v>
      </c>
      <c r="K49" s="142">
        <f t="shared" si="175"/>
        <v>248100</v>
      </c>
      <c r="L49" s="33">
        <f>'Res-Gen'!M117</f>
        <v>55000</v>
      </c>
      <c r="M49" s="99">
        <f t="shared" ref="M49:M53" si="191">K49+L49</f>
        <v>303100</v>
      </c>
      <c r="N49" s="502">
        <f t="shared" si="176"/>
        <v>303100</v>
      </c>
      <c r="O49" s="33">
        <f>'Res-Gen'!P117</f>
        <v>60000</v>
      </c>
      <c r="P49" s="100">
        <f t="shared" ref="P49:P53" si="192">N49+O49</f>
        <v>363100</v>
      </c>
      <c r="Q49" s="99">
        <f t="shared" si="177"/>
        <v>363100</v>
      </c>
      <c r="R49" s="33">
        <f>'Res-Gen'!S117</f>
        <v>65000</v>
      </c>
      <c r="S49" s="102">
        <f t="shared" ref="S49:S53" si="193">Q49+R49</f>
        <v>428100</v>
      </c>
      <c r="T49" s="99">
        <f t="shared" si="178"/>
        <v>428100</v>
      </c>
      <c r="U49" s="33">
        <f>'Res-Gen'!V117</f>
        <v>70000</v>
      </c>
      <c r="V49" s="102">
        <f t="shared" ref="V49:V53" si="194">T49+U49</f>
        <v>498100</v>
      </c>
      <c r="W49" s="99">
        <f t="shared" si="179"/>
        <v>498100</v>
      </c>
      <c r="X49" s="33">
        <f>'Res-Gen'!Y117</f>
        <v>75000</v>
      </c>
      <c r="Y49" s="102">
        <f t="shared" ref="Y49:Y53" si="195">W49+X49</f>
        <v>573100</v>
      </c>
      <c r="Z49" s="502">
        <f t="shared" si="180"/>
        <v>573100</v>
      </c>
      <c r="AA49" s="33">
        <f>'Res-Gen'!AB117</f>
        <v>80000</v>
      </c>
      <c r="AB49" s="102">
        <f t="shared" ref="AB49:AB53" si="196">Z49+AA49</f>
        <v>653100</v>
      </c>
      <c r="AC49" s="502">
        <f t="shared" ref="AC49:AC52" si="197">AB49</f>
        <v>653100</v>
      </c>
      <c r="AD49" s="33">
        <f>'Res-Gen'!AE117</f>
        <v>85000</v>
      </c>
      <c r="AE49" s="102">
        <f t="shared" ref="AE49:AE53" si="198">AC49+AD49</f>
        <v>738100</v>
      </c>
      <c r="AF49" s="502">
        <f t="shared" ref="AF49:AF52" si="199">AE49</f>
        <v>738100</v>
      </c>
      <c r="AG49" s="33">
        <f>'Res-Gen'!AH117</f>
        <v>90000</v>
      </c>
      <c r="AH49" s="102">
        <f t="shared" ref="AH49:AH53" si="200">AF49+AG49</f>
        <v>828100</v>
      </c>
      <c r="AI49" s="99">
        <f t="shared" ref="AI49:AI52" si="201">AH49</f>
        <v>828100</v>
      </c>
      <c r="AJ49" s="33">
        <f>'Res-Gen'!AK117</f>
        <v>95000</v>
      </c>
      <c r="AK49" s="114">
        <f t="shared" ref="AK49:AK53" si="202">AI49+AJ49</f>
        <v>923100</v>
      </c>
      <c r="AL49" s="376"/>
      <c r="AM49" s="376"/>
      <c r="AN49" s="376"/>
      <c r="AO49" s="376"/>
      <c r="AP49" s="376"/>
      <c r="AQ49" s="376"/>
    </row>
    <row r="50" spans="1:43" x14ac:dyDescent="0.2">
      <c r="A50" s="889" t="s">
        <v>2848</v>
      </c>
      <c r="B50" s="142">
        <v>8100</v>
      </c>
      <c r="C50" s="33"/>
      <c r="D50" s="129">
        <f t="shared" si="188"/>
        <v>8100</v>
      </c>
      <c r="E50" s="502">
        <f t="shared" si="173"/>
        <v>8100</v>
      </c>
      <c r="F50" s="33"/>
      <c r="G50" s="129">
        <f t="shared" si="189"/>
        <v>8100</v>
      </c>
      <c r="H50" s="99">
        <f t="shared" si="174"/>
        <v>8100</v>
      </c>
      <c r="I50" s="33"/>
      <c r="J50" s="129">
        <f t="shared" si="190"/>
        <v>8100</v>
      </c>
      <c r="K50" s="142">
        <f t="shared" si="175"/>
        <v>8100</v>
      </c>
      <c r="L50" s="33"/>
      <c r="M50" s="99">
        <f t="shared" si="191"/>
        <v>8100</v>
      </c>
      <c r="N50" s="502">
        <f t="shared" si="176"/>
        <v>8100</v>
      </c>
      <c r="O50" s="33"/>
      <c r="P50" s="100">
        <f t="shared" si="192"/>
        <v>8100</v>
      </c>
      <c r="Q50" s="99">
        <f t="shared" si="177"/>
        <v>8100</v>
      </c>
      <c r="R50" s="33"/>
      <c r="S50" s="102">
        <f t="shared" si="193"/>
        <v>8100</v>
      </c>
      <c r="T50" s="99">
        <f t="shared" si="178"/>
        <v>8100</v>
      </c>
      <c r="U50" s="33"/>
      <c r="V50" s="102">
        <f t="shared" si="194"/>
        <v>8100</v>
      </c>
      <c r="W50" s="99">
        <f t="shared" si="179"/>
        <v>8100</v>
      </c>
      <c r="X50" s="33"/>
      <c r="Y50" s="102">
        <f t="shared" si="195"/>
        <v>8100</v>
      </c>
      <c r="Z50" s="502">
        <f t="shared" si="180"/>
        <v>8100</v>
      </c>
      <c r="AA50" s="33"/>
      <c r="AB50" s="102">
        <f t="shared" si="196"/>
        <v>8100</v>
      </c>
      <c r="AC50" s="502">
        <f t="shared" si="197"/>
        <v>8100</v>
      </c>
      <c r="AD50" s="33"/>
      <c r="AE50" s="102">
        <f t="shared" si="198"/>
        <v>8100</v>
      </c>
      <c r="AF50" s="502">
        <f t="shared" si="199"/>
        <v>8100</v>
      </c>
      <c r="AG50" s="33"/>
      <c r="AH50" s="102">
        <f t="shared" si="200"/>
        <v>8100</v>
      </c>
      <c r="AI50" s="99">
        <f t="shared" si="201"/>
        <v>8100</v>
      </c>
      <c r="AJ50" s="33"/>
      <c r="AK50" s="114">
        <f t="shared" si="202"/>
        <v>8100</v>
      </c>
      <c r="AL50" s="376"/>
      <c r="AM50" s="376"/>
      <c r="AN50" s="376"/>
      <c r="AO50" s="376"/>
      <c r="AP50" s="376"/>
      <c r="AQ50" s="376"/>
    </row>
    <row r="51" spans="1:43" x14ac:dyDescent="0.2">
      <c r="A51" s="889" t="s">
        <v>3431</v>
      </c>
      <c r="B51" s="142">
        <v>1325000</v>
      </c>
      <c r="C51" s="150">
        <f>'Res-Gen'!D112</f>
        <v>-400000</v>
      </c>
      <c r="D51" s="129">
        <f t="shared" ref="D51:D52" si="203">B51+C51</f>
        <v>925000</v>
      </c>
      <c r="E51" s="502">
        <f t="shared" ref="E51:E52" si="204">D51</f>
        <v>925000</v>
      </c>
      <c r="F51" s="150">
        <f>'Res-Gen'!G112</f>
        <v>-925000</v>
      </c>
      <c r="G51" s="129">
        <f t="shared" ref="G51:G52" si="205">E51+F51</f>
        <v>0</v>
      </c>
      <c r="H51" s="99">
        <f t="shared" ref="H51:H52" si="206">G51</f>
        <v>0</v>
      </c>
      <c r="I51" s="33"/>
      <c r="J51" s="129">
        <f t="shared" ref="J51:J52" si="207">H51+I51</f>
        <v>0</v>
      </c>
      <c r="K51" s="142">
        <f t="shared" ref="K51:K52" si="208">J51</f>
        <v>0</v>
      </c>
      <c r="L51" s="33"/>
      <c r="M51" s="99">
        <f t="shared" ref="M51:M52" si="209">K51+L51</f>
        <v>0</v>
      </c>
      <c r="N51" s="502">
        <f t="shared" ref="N51:N52" si="210">M51</f>
        <v>0</v>
      </c>
      <c r="O51" s="33"/>
      <c r="P51" s="100">
        <f t="shared" ref="P51:P52" si="211">N51+O51</f>
        <v>0</v>
      </c>
      <c r="Q51" s="99">
        <f t="shared" ref="Q51:Q52" si="212">P51</f>
        <v>0</v>
      </c>
      <c r="R51" s="33"/>
      <c r="S51" s="102">
        <f t="shared" ref="S51:S52" si="213">Q51+R51</f>
        <v>0</v>
      </c>
      <c r="T51" s="99">
        <f t="shared" ref="T51:T52" si="214">S51</f>
        <v>0</v>
      </c>
      <c r="U51" s="33"/>
      <c r="V51" s="102">
        <f t="shared" ref="V51:V52" si="215">T51+U51</f>
        <v>0</v>
      </c>
      <c r="W51" s="99">
        <f t="shared" ref="W51:W52" si="216">V51</f>
        <v>0</v>
      </c>
      <c r="X51" s="33"/>
      <c r="Y51" s="102">
        <f t="shared" ref="Y51:Y52" si="217">W51+X51</f>
        <v>0</v>
      </c>
      <c r="Z51" s="502">
        <f t="shared" ref="Z51:Z52" si="218">Y51</f>
        <v>0</v>
      </c>
      <c r="AA51" s="33"/>
      <c r="AB51" s="102">
        <f t="shared" ref="AB51:AB52" si="219">Z51+AA51</f>
        <v>0</v>
      </c>
      <c r="AC51" s="502">
        <f t="shared" si="197"/>
        <v>0</v>
      </c>
      <c r="AD51" s="33"/>
      <c r="AE51" s="102">
        <f t="shared" si="198"/>
        <v>0</v>
      </c>
      <c r="AF51" s="502">
        <f t="shared" si="199"/>
        <v>0</v>
      </c>
      <c r="AG51" s="33"/>
      <c r="AH51" s="102">
        <f t="shared" si="200"/>
        <v>0</v>
      </c>
      <c r="AI51" s="99">
        <f t="shared" si="201"/>
        <v>0</v>
      </c>
      <c r="AJ51" s="33"/>
      <c r="AK51" s="114">
        <f t="shared" si="202"/>
        <v>0</v>
      </c>
      <c r="AL51" s="376"/>
      <c r="AM51" s="376"/>
      <c r="AN51" s="376"/>
      <c r="AO51" s="376"/>
      <c r="AP51" s="376"/>
      <c r="AQ51" s="376"/>
    </row>
    <row r="52" spans="1:43" x14ac:dyDescent="0.2">
      <c r="A52" s="889" t="s">
        <v>4841</v>
      </c>
      <c r="B52" s="142">
        <v>250700</v>
      </c>
      <c r="C52" s="150">
        <f>'Res-Gen'!D113</f>
        <v>-225700</v>
      </c>
      <c r="D52" s="129">
        <f t="shared" si="203"/>
        <v>25000</v>
      </c>
      <c r="E52" s="502">
        <f t="shared" si="204"/>
        <v>25000</v>
      </c>
      <c r="F52" s="150">
        <f>'Res-Gen'!G113</f>
        <v>-25000</v>
      </c>
      <c r="G52" s="129">
        <f t="shared" si="205"/>
        <v>0</v>
      </c>
      <c r="H52" s="99">
        <f t="shared" si="206"/>
        <v>0</v>
      </c>
      <c r="I52" s="33"/>
      <c r="J52" s="129">
        <f t="shared" si="207"/>
        <v>0</v>
      </c>
      <c r="K52" s="142">
        <f t="shared" si="208"/>
        <v>0</v>
      </c>
      <c r="L52" s="33"/>
      <c r="M52" s="99">
        <f t="shared" si="209"/>
        <v>0</v>
      </c>
      <c r="N52" s="502">
        <f t="shared" si="210"/>
        <v>0</v>
      </c>
      <c r="O52" s="33"/>
      <c r="P52" s="100">
        <f t="shared" si="211"/>
        <v>0</v>
      </c>
      <c r="Q52" s="99">
        <f t="shared" si="212"/>
        <v>0</v>
      </c>
      <c r="R52" s="33"/>
      <c r="S52" s="102">
        <f t="shared" si="213"/>
        <v>0</v>
      </c>
      <c r="T52" s="99">
        <f t="shared" si="214"/>
        <v>0</v>
      </c>
      <c r="U52" s="33"/>
      <c r="V52" s="102">
        <f t="shared" si="215"/>
        <v>0</v>
      </c>
      <c r="W52" s="99">
        <f t="shared" si="216"/>
        <v>0</v>
      </c>
      <c r="X52" s="33"/>
      <c r="Y52" s="102">
        <f t="shared" si="217"/>
        <v>0</v>
      </c>
      <c r="Z52" s="502">
        <f t="shared" si="218"/>
        <v>0</v>
      </c>
      <c r="AA52" s="33"/>
      <c r="AB52" s="102">
        <f t="shared" si="219"/>
        <v>0</v>
      </c>
      <c r="AC52" s="502">
        <f t="shared" si="197"/>
        <v>0</v>
      </c>
      <c r="AD52" s="33"/>
      <c r="AE52" s="102">
        <f t="shared" si="198"/>
        <v>0</v>
      </c>
      <c r="AF52" s="502">
        <f t="shared" si="199"/>
        <v>0</v>
      </c>
      <c r="AG52" s="33"/>
      <c r="AH52" s="102">
        <f t="shared" si="200"/>
        <v>0</v>
      </c>
      <c r="AI52" s="99">
        <f t="shared" si="201"/>
        <v>0</v>
      </c>
      <c r="AJ52" s="33"/>
      <c r="AK52" s="114">
        <f t="shared" si="202"/>
        <v>0</v>
      </c>
      <c r="AL52" s="376"/>
      <c r="AM52" s="376"/>
      <c r="AN52" s="376"/>
      <c r="AO52" s="376"/>
      <c r="AP52" s="376"/>
      <c r="AQ52" s="376"/>
    </row>
    <row r="53" spans="1:43" x14ac:dyDescent="0.2">
      <c r="A53" s="889" t="s">
        <v>1646</v>
      </c>
      <c r="B53" s="142">
        <v>104600</v>
      </c>
      <c r="C53" s="33">
        <f>'Res-Gen'!D114</f>
        <v>12700</v>
      </c>
      <c r="D53" s="129">
        <f t="shared" si="188"/>
        <v>117300</v>
      </c>
      <c r="E53" s="502">
        <f>D53</f>
        <v>117300</v>
      </c>
      <c r="F53" s="33">
        <f>'Res-Gen'!G114</f>
        <v>-7200</v>
      </c>
      <c r="G53" s="129">
        <f t="shared" si="189"/>
        <v>110100</v>
      </c>
      <c r="H53" s="99">
        <f>G53</f>
        <v>110100</v>
      </c>
      <c r="I53" s="33">
        <f>'Res-Gen'!J114</f>
        <v>-7600</v>
      </c>
      <c r="J53" s="129">
        <f t="shared" si="190"/>
        <v>102500</v>
      </c>
      <c r="K53" s="142">
        <f>J53</f>
        <v>102500</v>
      </c>
      <c r="L53" s="33">
        <f>'Res-Gen'!M114</f>
        <v>-8000</v>
      </c>
      <c r="M53" s="99">
        <f t="shared" si="191"/>
        <v>94500</v>
      </c>
      <c r="N53" s="502">
        <f>M53</f>
        <v>94500</v>
      </c>
      <c r="O53" s="33">
        <f>'Res-Gen'!P114</f>
        <v>-8400</v>
      </c>
      <c r="P53" s="100">
        <f t="shared" si="192"/>
        <v>86100</v>
      </c>
      <c r="Q53" s="99">
        <f>P53</f>
        <v>86100</v>
      </c>
      <c r="R53" s="33">
        <f>'Res-Gen'!S114</f>
        <v>-8700</v>
      </c>
      <c r="S53" s="102">
        <f t="shared" si="193"/>
        <v>77400</v>
      </c>
      <c r="T53" s="99">
        <f t="shared" si="178"/>
        <v>77400</v>
      </c>
      <c r="U53" s="33">
        <f>'Res-Gen'!V114</f>
        <v>-9000</v>
      </c>
      <c r="V53" s="102">
        <f t="shared" si="194"/>
        <v>68400</v>
      </c>
      <c r="W53" s="99">
        <f>V53</f>
        <v>68400</v>
      </c>
      <c r="X53" s="33">
        <f>'Res-Gen'!Y114</f>
        <v>-9300</v>
      </c>
      <c r="Y53" s="102">
        <f t="shared" si="195"/>
        <v>59100</v>
      </c>
      <c r="Z53" s="502">
        <f>Y53</f>
        <v>59100</v>
      </c>
      <c r="AA53" s="33">
        <f>'Res-Gen'!AB114</f>
        <v>-9700</v>
      </c>
      <c r="AB53" s="102">
        <f t="shared" si="196"/>
        <v>49400</v>
      </c>
      <c r="AC53" s="502">
        <f>AB53</f>
        <v>49400</v>
      </c>
      <c r="AD53" s="33">
        <f>'Res-Gen'!AE114</f>
        <v>-10100</v>
      </c>
      <c r="AE53" s="102">
        <f t="shared" si="198"/>
        <v>39300</v>
      </c>
      <c r="AF53" s="502">
        <f>AE53</f>
        <v>39300</v>
      </c>
      <c r="AG53" s="33">
        <f>'Res-Gen'!AH114</f>
        <v>-10600</v>
      </c>
      <c r="AH53" s="102">
        <f t="shared" si="200"/>
        <v>28700</v>
      </c>
      <c r="AI53" s="99">
        <f>AH53</f>
        <v>28700</v>
      </c>
      <c r="AJ53" s="33">
        <f>'Res-Gen'!AK114</f>
        <v>77300</v>
      </c>
      <c r="AK53" s="114">
        <f t="shared" si="202"/>
        <v>106000</v>
      </c>
      <c r="AL53" s="376"/>
      <c r="AM53" s="376"/>
      <c r="AN53" s="376"/>
      <c r="AO53" s="376"/>
      <c r="AP53" s="376"/>
      <c r="AQ53" s="376"/>
    </row>
    <row r="54" spans="1:43" x14ac:dyDescent="0.2">
      <c r="A54" s="889"/>
      <c r="B54" s="142"/>
      <c r="C54" s="33"/>
      <c r="D54" s="129"/>
      <c r="E54" s="502"/>
      <c r="F54" s="33"/>
      <c r="G54" s="129"/>
      <c r="H54" s="99"/>
      <c r="I54" s="33"/>
      <c r="J54" s="129"/>
      <c r="K54" s="142"/>
      <c r="L54" s="33"/>
      <c r="M54" s="99"/>
      <c r="N54" s="502"/>
      <c r="O54" s="33"/>
      <c r="P54" s="100"/>
      <c r="Q54" s="99"/>
      <c r="R54" s="33"/>
      <c r="S54" s="102"/>
      <c r="T54" s="99"/>
      <c r="U54" s="33"/>
      <c r="V54" s="102"/>
      <c r="W54" s="99"/>
      <c r="X54" s="33"/>
      <c r="Y54" s="102"/>
      <c r="Z54" s="502"/>
      <c r="AA54" s="33"/>
      <c r="AB54" s="102"/>
      <c r="AC54" s="502"/>
      <c r="AD54" s="33"/>
      <c r="AE54" s="102"/>
      <c r="AF54" s="502"/>
      <c r="AG54" s="33"/>
      <c r="AH54" s="102"/>
      <c r="AI54" s="99"/>
      <c r="AJ54" s="33"/>
      <c r="AK54" s="114"/>
      <c r="AL54" s="376"/>
      <c r="AM54" s="376"/>
      <c r="AN54" s="376"/>
      <c r="AO54" s="376"/>
      <c r="AP54" s="376"/>
      <c r="AQ54" s="376"/>
    </row>
    <row r="55" spans="1:43" x14ac:dyDescent="0.2">
      <c r="A55" s="584" t="s">
        <v>1095</v>
      </c>
      <c r="B55" s="142"/>
      <c r="C55" s="33"/>
      <c r="D55" s="129"/>
      <c r="E55" s="186"/>
      <c r="F55" s="33"/>
      <c r="G55" s="129"/>
      <c r="H55" s="142"/>
      <c r="I55" s="33"/>
      <c r="J55" s="129"/>
      <c r="K55" s="142"/>
      <c r="L55" s="33"/>
      <c r="M55" s="99"/>
      <c r="N55" s="502"/>
      <c r="O55" s="33"/>
      <c r="P55" s="100"/>
      <c r="Q55" s="99"/>
      <c r="R55" s="33"/>
      <c r="S55" s="102"/>
      <c r="T55" s="99"/>
      <c r="U55" s="33"/>
      <c r="V55" s="102"/>
      <c r="W55" s="99"/>
      <c r="X55" s="33"/>
      <c r="Y55" s="102"/>
      <c r="Z55" s="502"/>
      <c r="AA55" s="33"/>
      <c r="AB55" s="102"/>
      <c r="AC55" s="502"/>
      <c r="AD55" s="33"/>
      <c r="AE55" s="102"/>
      <c r="AF55" s="502"/>
      <c r="AG55" s="33"/>
      <c r="AH55" s="102"/>
      <c r="AI55" s="99"/>
      <c r="AJ55" s="33"/>
      <c r="AK55" s="114"/>
    </row>
    <row r="56" spans="1:43" x14ac:dyDescent="0.2">
      <c r="A56" s="889" t="s">
        <v>1417</v>
      </c>
      <c r="B56" s="152">
        <v>326000</v>
      </c>
      <c r="C56" s="33">
        <f>'Res-Gen'!D118</f>
        <v>171000</v>
      </c>
      <c r="D56" s="129">
        <f>B56+C56</f>
        <v>497000</v>
      </c>
      <c r="E56" s="567">
        <f>D56</f>
        <v>497000</v>
      </c>
      <c r="F56" s="33">
        <f>'Res-Gen'!G118</f>
        <v>128600</v>
      </c>
      <c r="G56" s="129">
        <f>E56+F56</f>
        <v>625600</v>
      </c>
      <c r="H56" s="152">
        <f>G56</f>
        <v>625600</v>
      </c>
      <c r="I56" s="33">
        <f>'Res-Gen'!J118</f>
        <v>-21500</v>
      </c>
      <c r="J56" s="129">
        <f>H56+I56</f>
        <v>604100</v>
      </c>
      <c r="K56" s="152">
        <f>J56</f>
        <v>604100</v>
      </c>
      <c r="L56" s="33">
        <f>'Res-Gen'!M118</f>
        <v>130500</v>
      </c>
      <c r="M56" s="99">
        <f>K56+L56</f>
        <v>734600</v>
      </c>
      <c r="N56" s="567">
        <f>M56</f>
        <v>734600</v>
      </c>
      <c r="O56" s="33">
        <f>'Res-Gen'!P118</f>
        <v>132700</v>
      </c>
      <c r="P56" s="100">
        <f>N56+O56</f>
        <v>867300</v>
      </c>
      <c r="Q56" s="152">
        <f>P56</f>
        <v>867300</v>
      </c>
      <c r="R56" s="33">
        <f>'Res-Gen'!S118</f>
        <v>135000</v>
      </c>
      <c r="S56" s="102">
        <f>Q56+R56</f>
        <v>1002300</v>
      </c>
      <c r="T56" s="152">
        <f>S56</f>
        <v>1002300</v>
      </c>
      <c r="U56" s="33">
        <f>'Res-Gen'!V118</f>
        <v>136500</v>
      </c>
      <c r="V56" s="102">
        <f>T56+U56</f>
        <v>1138800</v>
      </c>
      <c r="W56" s="152">
        <f>V56</f>
        <v>1138800</v>
      </c>
      <c r="X56" s="33">
        <f>'Res-Gen'!Y118</f>
        <v>138000</v>
      </c>
      <c r="Y56" s="102">
        <f>W56+X56</f>
        <v>1276800</v>
      </c>
      <c r="Z56" s="567">
        <f>Y56</f>
        <v>1276800</v>
      </c>
      <c r="AA56" s="33">
        <f>'Res-Gen'!AB118</f>
        <v>139600</v>
      </c>
      <c r="AB56" s="102">
        <f>Z56+AA56</f>
        <v>1416400</v>
      </c>
      <c r="AC56" s="567">
        <f>AB56</f>
        <v>1416400</v>
      </c>
      <c r="AD56" s="33">
        <f>'Res-Gen'!AE118</f>
        <v>141200</v>
      </c>
      <c r="AE56" s="102">
        <f>AC56+AD56</f>
        <v>1557600</v>
      </c>
      <c r="AF56" s="567">
        <f>AE56</f>
        <v>1557600</v>
      </c>
      <c r="AG56" s="33">
        <f>'Res-Gen'!AH118</f>
        <v>142900</v>
      </c>
      <c r="AH56" s="102">
        <f>AF56+AG56</f>
        <v>1700500</v>
      </c>
      <c r="AI56" s="152">
        <f>AH56</f>
        <v>1700500</v>
      </c>
      <c r="AJ56" s="33">
        <f>'Res-Gen'!AK118</f>
        <v>144600</v>
      </c>
      <c r="AK56" s="114">
        <f>AI56+AJ56</f>
        <v>1845100</v>
      </c>
    </row>
    <row r="57" spans="1:43" x14ac:dyDescent="0.2">
      <c r="A57" s="585"/>
      <c r="B57" s="152"/>
      <c r="C57" s="33"/>
      <c r="D57" s="129"/>
      <c r="E57" s="567"/>
      <c r="F57" s="33"/>
      <c r="G57" s="129"/>
      <c r="H57" s="152"/>
      <c r="I57" s="33"/>
      <c r="J57" s="129"/>
      <c r="K57" s="152"/>
      <c r="L57" s="33"/>
      <c r="M57" s="99"/>
      <c r="N57" s="1469"/>
      <c r="O57" s="33"/>
      <c r="P57" s="100"/>
      <c r="Q57" s="182"/>
      <c r="R57" s="33"/>
      <c r="S57" s="102"/>
      <c r="T57" s="182"/>
      <c r="U57" s="33"/>
      <c r="V57" s="102"/>
      <c r="W57" s="182"/>
      <c r="X57" s="33"/>
      <c r="Y57" s="102"/>
      <c r="Z57" s="1469"/>
      <c r="AA57" s="33"/>
      <c r="AB57" s="102"/>
      <c r="AC57" s="1469"/>
      <c r="AD57" s="33"/>
      <c r="AE57" s="102"/>
      <c r="AF57" s="1469"/>
      <c r="AG57" s="33"/>
      <c r="AH57" s="102"/>
      <c r="AI57" s="182"/>
      <c r="AJ57" s="33"/>
      <c r="AK57" s="114"/>
    </row>
    <row r="58" spans="1:43" x14ac:dyDescent="0.2">
      <c r="A58" s="584" t="s">
        <v>1418</v>
      </c>
      <c r="B58" s="142"/>
      <c r="C58" s="33"/>
      <c r="D58" s="129"/>
      <c r="E58" s="186"/>
      <c r="F58" s="33"/>
      <c r="G58" s="129"/>
      <c r="H58" s="142"/>
      <c r="I58" s="33"/>
      <c r="J58" s="129"/>
      <c r="K58" s="142"/>
      <c r="L58" s="33"/>
      <c r="M58" s="99"/>
      <c r="N58" s="502"/>
      <c r="O58" s="33"/>
      <c r="P58" s="100"/>
      <c r="Q58" s="99"/>
      <c r="R58" s="33"/>
      <c r="S58" s="102"/>
      <c r="T58" s="99"/>
      <c r="U58" s="33"/>
      <c r="V58" s="102"/>
      <c r="W58" s="99"/>
      <c r="X58" s="33"/>
      <c r="Y58" s="102"/>
      <c r="Z58" s="502"/>
      <c r="AA58" s="33"/>
      <c r="AB58" s="102"/>
      <c r="AC58" s="502"/>
      <c r="AD58" s="33"/>
      <c r="AE58" s="102"/>
      <c r="AF58" s="502"/>
      <c r="AG58" s="33"/>
      <c r="AH58" s="102"/>
      <c r="AI58" s="99"/>
      <c r="AJ58" s="33"/>
      <c r="AK58" s="114"/>
    </row>
    <row r="59" spans="1:43" x14ac:dyDescent="0.2">
      <c r="A59" s="889" t="s">
        <v>6974</v>
      </c>
      <c r="B59" s="142">
        <v>-724300</v>
      </c>
      <c r="C59" s="33">
        <f>'Res-Gen'!D120</f>
        <v>370300</v>
      </c>
      <c r="D59" s="129">
        <f>B59+C59</f>
        <v>-354000</v>
      </c>
      <c r="E59" s="502">
        <f>D59</f>
        <v>-354000</v>
      </c>
      <c r="F59" s="33">
        <f>'Res-Gen'!G120</f>
        <v>413200</v>
      </c>
      <c r="G59" s="129">
        <f>E59+F59</f>
        <v>59200</v>
      </c>
      <c r="H59" s="99">
        <f>G59</f>
        <v>59200</v>
      </c>
      <c r="I59" s="33">
        <f>'Res-Gen'!J120</f>
        <v>434100</v>
      </c>
      <c r="J59" s="129">
        <f>H59+I59</f>
        <v>493300</v>
      </c>
      <c r="K59" s="142">
        <f>J59</f>
        <v>493300</v>
      </c>
      <c r="L59" s="33">
        <f>'Res-Gen'!M120</f>
        <v>417000</v>
      </c>
      <c r="M59" s="99">
        <f>K59+L59</f>
        <v>910300</v>
      </c>
      <c r="N59" s="502">
        <f>M59</f>
        <v>910300</v>
      </c>
      <c r="O59" s="33">
        <f>'Res-Gen'!P120</f>
        <v>438200</v>
      </c>
      <c r="P59" s="100">
        <f>N59+O59</f>
        <v>1348500</v>
      </c>
      <c r="Q59" s="99">
        <f>P59</f>
        <v>1348500</v>
      </c>
      <c r="R59" s="33">
        <f>'Res-Gen'!S120</f>
        <v>460900</v>
      </c>
      <c r="S59" s="102">
        <f>Q59+R59</f>
        <v>1809400</v>
      </c>
      <c r="T59" s="99">
        <f>S59</f>
        <v>1809400</v>
      </c>
      <c r="U59" s="33">
        <f>'Res-Gen'!V120</f>
        <v>567800</v>
      </c>
      <c r="V59" s="102">
        <f>T59+U59</f>
        <v>2377200</v>
      </c>
      <c r="W59" s="99">
        <f>V59</f>
        <v>2377200</v>
      </c>
      <c r="X59" s="33">
        <f>'Res-Gen'!Y120</f>
        <v>143200</v>
      </c>
      <c r="Y59" s="102">
        <f>W59+X59</f>
        <v>2520400</v>
      </c>
      <c r="Z59" s="502">
        <f>Y59</f>
        <v>2520400</v>
      </c>
      <c r="AA59" s="33">
        <f>'Res-Gen'!AB120</f>
        <v>339900</v>
      </c>
      <c r="AB59" s="102">
        <f>Z59+AA59</f>
        <v>2860300</v>
      </c>
      <c r="AC59" s="502">
        <f>AB59</f>
        <v>2860300</v>
      </c>
      <c r="AD59" s="33">
        <f>'Res-Gen'!AE120</f>
        <v>478300</v>
      </c>
      <c r="AE59" s="102">
        <f>AC59+AD59</f>
        <v>3338600</v>
      </c>
      <c r="AF59" s="502">
        <f>AE59</f>
        <v>3338600</v>
      </c>
      <c r="AG59" s="33">
        <f>'Res-Gen'!AH120</f>
        <v>-494300</v>
      </c>
      <c r="AH59" s="102">
        <f>AF59+AG59</f>
        <v>2844300</v>
      </c>
      <c r="AI59" s="99">
        <f>AH59</f>
        <v>2844300</v>
      </c>
      <c r="AJ59" s="33">
        <f>'Res-Gen'!AK120</f>
        <v>-467300</v>
      </c>
      <c r="AK59" s="114">
        <f>AI59+AJ59</f>
        <v>2377000</v>
      </c>
    </row>
    <row r="60" spans="1:43" ht="13.5" thickBot="1" x14ac:dyDescent="0.25">
      <c r="A60" s="585"/>
      <c r="B60" s="142"/>
      <c r="C60" s="33"/>
      <c r="D60" s="129"/>
      <c r="E60" s="186"/>
      <c r="F60" s="33"/>
      <c r="G60" s="129"/>
      <c r="H60" s="142"/>
      <c r="I60" s="33"/>
      <c r="J60" s="129"/>
      <c r="K60" s="142"/>
      <c r="L60" s="33"/>
      <c r="M60" s="99"/>
      <c r="N60" s="502"/>
      <c r="O60" s="33"/>
      <c r="P60" s="100"/>
      <c r="Q60" s="99"/>
      <c r="R60" s="33"/>
      <c r="S60" s="102"/>
      <c r="T60" s="99"/>
      <c r="U60" s="33"/>
      <c r="V60" s="102"/>
      <c r="W60" s="99"/>
      <c r="X60" s="33"/>
      <c r="Y60" s="102"/>
      <c r="Z60" s="502"/>
      <c r="AA60" s="33"/>
      <c r="AB60" s="102"/>
      <c r="AC60" s="502"/>
      <c r="AD60" s="33"/>
      <c r="AE60" s="102"/>
      <c r="AF60" s="502"/>
      <c r="AG60" s="33"/>
      <c r="AH60" s="102"/>
      <c r="AI60" s="99"/>
      <c r="AJ60" s="33"/>
      <c r="AK60" s="114"/>
    </row>
    <row r="61" spans="1:43" s="74" customFormat="1" ht="14.25" thickTop="1" thickBot="1" x14ac:dyDescent="0.25">
      <c r="A61" s="1135" t="s">
        <v>3872</v>
      </c>
      <c r="B61" s="419">
        <f t="shared" ref="B61:AH61" si="220">SUBTOTAL(9,B24:B60)</f>
        <v>8492100</v>
      </c>
      <c r="C61" s="417">
        <f t="shared" si="220"/>
        <v>511600</v>
      </c>
      <c r="D61" s="418">
        <f t="shared" si="220"/>
        <v>9003700</v>
      </c>
      <c r="E61" s="424">
        <f t="shared" si="220"/>
        <v>9003700</v>
      </c>
      <c r="F61" s="417">
        <f t="shared" si="220"/>
        <v>-611200</v>
      </c>
      <c r="G61" s="418">
        <f t="shared" si="220"/>
        <v>8392500</v>
      </c>
      <c r="H61" s="419">
        <f t="shared" si="220"/>
        <v>8392500</v>
      </c>
      <c r="I61" s="417">
        <f t="shared" si="220"/>
        <v>-2488000</v>
      </c>
      <c r="J61" s="418">
        <f t="shared" si="220"/>
        <v>5904500</v>
      </c>
      <c r="K61" s="419">
        <f t="shared" si="220"/>
        <v>5904500</v>
      </c>
      <c r="L61" s="417">
        <f t="shared" si="220"/>
        <v>3254200</v>
      </c>
      <c r="M61" s="421">
        <f t="shared" si="220"/>
        <v>9158700</v>
      </c>
      <c r="N61" s="1745">
        <f t="shared" si="220"/>
        <v>9158700</v>
      </c>
      <c r="O61" s="417">
        <f t="shared" si="220"/>
        <v>-1200300</v>
      </c>
      <c r="P61" s="420">
        <f t="shared" si="220"/>
        <v>7958400</v>
      </c>
      <c r="Q61" s="421">
        <f t="shared" si="220"/>
        <v>7958400</v>
      </c>
      <c r="R61" s="417">
        <f t="shared" si="220"/>
        <v>816600</v>
      </c>
      <c r="S61" s="422">
        <f t="shared" si="220"/>
        <v>8775000</v>
      </c>
      <c r="T61" s="421">
        <f t="shared" si="220"/>
        <v>8775000</v>
      </c>
      <c r="U61" s="417">
        <f t="shared" si="220"/>
        <v>768300</v>
      </c>
      <c r="V61" s="422">
        <f t="shared" si="220"/>
        <v>9543300</v>
      </c>
      <c r="W61" s="421">
        <f t="shared" si="220"/>
        <v>9543300</v>
      </c>
      <c r="X61" s="417">
        <f t="shared" si="220"/>
        <v>654000</v>
      </c>
      <c r="Y61" s="422">
        <f t="shared" si="220"/>
        <v>10197300</v>
      </c>
      <c r="Z61" s="1745">
        <f t="shared" si="220"/>
        <v>10197300</v>
      </c>
      <c r="AA61" s="417">
        <f t="shared" si="220"/>
        <v>378700</v>
      </c>
      <c r="AB61" s="422">
        <f t="shared" si="220"/>
        <v>10576000</v>
      </c>
      <c r="AC61" s="1745">
        <f t="shared" si="220"/>
        <v>10576000</v>
      </c>
      <c r="AD61" s="417">
        <f t="shared" si="220"/>
        <v>540800</v>
      </c>
      <c r="AE61" s="422">
        <f t="shared" si="220"/>
        <v>11116800</v>
      </c>
      <c r="AF61" s="1745">
        <f t="shared" si="220"/>
        <v>11116800</v>
      </c>
      <c r="AG61" s="417">
        <f t="shared" si="220"/>
        <v>-114500</v>
      </c>
      <c r="AH61" s="422">
        <f t="shared" si="220"/>
        <v>11002300</v>
      </c>
      <c r="AI61" s="421">
        <f t="shared" ref="AI61:AK61" si="221">SUBTOTAL(9,AI24:AI60)</f>
        <v>11002300</v>
      </c>
      <c r="AJ61" s="417">
        <f t="shared" si="221"/>
        <v>-60700</v>
      </c>
      <c r="AK61" s="1586">
        <f t="shared" si="221"/>
        <v>10941600</v>
      </c>
    </row>
    <row r="62" spans="1:43" s="74" customFormat="1" ht="13.5" thickTop="1" x14ac:dyDescent="0.2">
      <c r="A62" s="584"/>
      <c r="B62" s="128"/>
      <c r="C62" s="64"/>
      <c r="D62" s="400"/>
      <c r="E62" s="185"/>
      <c r="F62" s="64"/>
      <c r="G62" s="400"/>
      <c r="H62" s="128"/>
      <c r="I62" s="64"/>
      <c r="J62" s="400"/>
      <c r="K62" s="128"/>
      <c r="L62" s="64"/>
      <c r="N62" s="1747"/>
      <c r="O62" s="64"/>
      <c r="P62" s="139"/>
      <c r="R62" s="64"/>
      <c r="S62" s="117"/>
      <c r="U62" s="64"/>
      <c r="V62" s="117"/>
      <c r="X62" s="64"/>
      <c r="Y62" s="117"/>
      <c r="Z62" s="1747"/>
      <c r="AA62" s="64"/>
      <c r="AB62" s="117"/>
      <c r="AC62" s="1747"/>
      <c r="AD62" s="64"/>
      <c r="AE62" s="117"/>
      <c r="AF62" s="1747"/>
      <c r="AG62" s="64"/>
      <c r="AH62" s="117"/>
      <c r="AJ62" s="64"/>
      <c r="AK62" s="115"/>
    </row>
    <row r="63" spans="1:43" s="340" customFormat="1" x14ac:dyDescent="0.2">
      <c r="A63" s="587" t="str">
        <f>'Res-Gen'!A124</f>
        <v>Development and Env Health Group</v>
      </c>
      <c r="B63" s="336"/>
      <c r="C63" s="334"/>
      <c r="D63" s="335"/>
      <c r="E63" s="626"/>
      <c r="F63" s="334"/>
      <c r="G63" s="335"/>
      <c r="H63" s="336"/>
      <c r="I63" s="334"/>
      <c r="J63" s="335"/>
      <c r="K63" s="336"/>
      <c r="L63" s="334"/>
      <c r="M63" s="338"/>
      <c r="N63" s="1746"/>
      <c r="O63" s="334"/>
      <c r="P63" s="337"/>
      <c r="Q63" s="338"/>
      <c r="R63" s="334"/>
      <c r="S63" s="339"/>
      <c r="T63" s="338"/>
      <c r="U63" s="334"/>
      <c r="V63" s="339"/>
      <c r="W63" s="338"/>
      <c r="X63" s="334"/>
      <c r="Y63" s="339"/>
      <c r="Z63" s="1746"/>
      <c r="AA63" s="334"/>
      <c r="AB63" s="339"/>
      <c r="AC63" s="1746"/>
      <c r="AD63" s="334"/>
      <c r="AE63" s="339"/>
      <c r="AF63" s="1746"/>
      <c r="AG63" s="334"/>
      <c r="AH63" s="339"/>
      <c r="AI63" s="338"/>
      <c r="AJ63" s="334"/>
      <c r="AK63" s="1585"/>
    </row>
    <row r="64" spans="1:43" s="340" customFormat="1" x14ac:dyDescent="0.2">
      <c r="A64" s="588"/>
      <c r="B64" s="142"/>
      <c r="C64" s="33"/>
      <c r="D64" s="129"/>
      <c r="E64" s="502"/>
      <c r="F64" s="33"/>
      <c r="G64" s="129"/>
      <c r="H64" s="99"/>
      <c r="I64" s="33"/>
      <c r="J64" s="129"/>
      <c r="K64" s="142"/>
      <c r="L64" s="33"/>
      <c r="M64" s="99"/>
      <c r="N64" s="502"/>
      <c r="O64" s="33"/>
      <c r="P64" s="100"/>
      <c r="Q64" s="99"/>
      <c r="R64" s="33"/>
      <c r="S64" s="102"/>
      <c r="T64" s="99"/>
      <c r="U64" s="33"/>
      <c r="V64" s="102"/>
      <c r="W64" s="99"/>
      <c r="X64" s="33"/>
      <c r="Y64" s="102"/>
      <c r="Z64" s="502"/>
      <c r="AA64" s="33"/>
      <c r="AB64" s="102"/>
      <c r="AC64" s="502"/>
      <c r="AD64" s="33"/>
      <c r="AE64" s="102"/>
      <c r="AF64" s="502"/>
      <c r="AG64" s="33"/>
      <c r="AH64" s="102"/>
      <c r="AI64" s="99"/>
      <c r="AJ64" s="33"/>
      <c r="AK64" s="114"/>
    </row>
    <row r="65" spans="1:37" s="340" customFormat="1" x14ac:dyDescent="0.2">
      <c r="A65" s="1106" t="s">
        <v>1259</v>
      </c>
      <c r="B65" s="142"/>
      <c r="C65" s="33"/>
      <c r="D65" s="129"/>
      <c r="E65" s="502"/>
      <c r="F65" s="33"/>
      <c r="G65" s="129"/>
      <c r="H65" s="99"/>
      <c r="I65" s="33"/>
      <c r="J65" s="129"/>
      <c r="K65" s="142"/>
      <c r="L65" s="33"/>
      <c r="M65" s="99"/>
      <c r="N65" s="502"/>
      <c r="O65" s="33"/>
      <c r="P65" s="100"/>
      <c r="Q65" s="99"/>
      <c r="R65" s="33"/>
      <c r="S65" s="102"/>
      <c r="T65" s="99"/>
      <c r="U65" s="33"/>
      <c r="V65" s="102"/>
      <c r="W65" s="99"/>
      <c r="X65" s="33"/>
      <c r="Y65" s="102"/>
      <c r="Z65" s="502"/>
      <c r="AA65" s="33"/>
      <c r="AB65" s="102"/>
      <c r="AC65" s="502"/>
      <c r="AD65" s="33"/>
      <c r="AE65" s="102"/>
      <c r="AF65" s="502"/>
      <c r="AG65" s="33"/>
      <c r="AH65" s="102"/>
      <c r="AI65" s="99"/>
      <c r="AJ65" s="33"/>
      <c r="AK65" s="114"/>
    </row>
    <row r="66" spans="1:37" s="340" customFormat="1" x14ac:dyDescent="0.2">
      <c r="A66" s="889" t="s">
        <v>6781</v>
      </c>
      <c r="B66" s="142">
        <v>0</v>
      </c>
      <c r="C66" s="33">
        <f>'Res-Gen'!D127</f>
        <v>50000</v>
      </c>
      <c r="D66" s="129">
        <f>B66+C66</f>
        <v>50000</v>
      </c>
      <c r="E66" s="502">
        <f>D66</f>
        <v>50000</v>
      </c>
      <c r="F66" s="33">
        <f>'Res-Gen'!G127</f>
        <v>100000</v>
      </c>
      <c r="G66" s="129">
        <f>E66+F66</f>
        <v>150000</v>
      </c>
      <c r="H66" s="99">
        <f>G66</f>
        <v>150000</v>
      </c>
      <c r="I66" s="33"/>
      <c r="J66" s="129">
        <f>H66+I66</f>
        <v>150000</v>
      </c>
      <c r="K66" s="142">
        <f>J66</f>
        <v>150000</v>
      </c>
      <c r="L66" s="33"/>
      <c r="M66" s="99">
        <f>K66+L66</f>
        <v>150000</v>
      </c>
      <c r="N66" s="502">
        <f>M66</f>
        <v>150000</v>
      </c>
      <c r="O66" s="33"/>
      <c r="P66" s="100">
        <f>N66+O66</f>
        <v>150000</v>
      </c>
      <c r="Q66" s="99">
        <f>P66</f>
        <v>150000</v>
      </c>
      <c r="R66" s="33"/>
      <c r="S66" s="102">
        <f>Q66+R66</f>
        <v>150000</v>
      </c>
      <c r="T66" s="99">
        <f>S66</f>
        <v>150000</v>
      </c>
      <c r="U66" s="33"/>
      <c r="V66" s="102">
        <f>T66+U66</f>
        <v>150000</v>
      </c>
      <c r="W66" s="99">
        <f>V66</f>
        <v>150000</v>
      </c>
      <c r="X66" s="33"/>
      <c r="Y66" s="102">
        <f>W66+X66</f>
        <v>150000</v>
      </c>
      <c r="Z66" s="502">
        <f>Y66</f>
        <v>150000</v>
      </c>
      <c r="AA66" s="33"/>
      <c r="AB66" s="102">
        <f>Z66+AA66</f>
        <v>150000</v>
      </c>
      <c r="AC66" s="502">
        <f>AB66</f>
        <v>150000</v>
      </c>
      <c r="AD66" s="33"/>
      <c r="AE66" s="102">
        <f>AC66+AD66</f>
        <v>150000</v>
      </c>
      <c r="AF66" s="502">
        <f>AE66</f>
        <v>150000</v>
      </c>
      <c r="AG66" s="33"/>
      <c r="AH66" s="102">
        <f>AF66+AG66</f>
        <v>150000</v>
      </c>
      <c r="AI66" s="99">
        <f>AH66</f>
        <v>150000</v>
      </c>
      <c r="AJ66" s="33"/>
      <c r="AK66" s="114">
        <f>AI66+AJ66</f>
        <v>150000</v>
      </c>
    </row>
    <row r="67" spans="1:37" s="340" customFormat="1" x14ac:dyDescent="0.2">
      <c r="A67" s="588"/>
      <c r="B67" s="142"/>
      <c r="C67" s="33"/>
      <c r="D67" s="129"/>
      <c r="E67" s="502"/>
      <c r="F67" s="33"/>
      <c r="G67" s="129"/>
      <c r="H67" s="99"/>
      <c r="I67" s="33"/>
      <c r="J67" s="129"/>
      <c r="K67" s="142"/>
      <c r="L67" s="33"/>
      <c r="M67" s="99"/>
      <c r="N67" s="502"/>
      <c r="O67" s="33"/>
      <c r="P67" s="100"/>
      <c r="Q67" s="99"/>
      <c r="R67" s="33"/>
      <c r="S67" s="102"/>
      <c r="T67" s="99"/>
      <c r="U67" s="33"/>
      <c r="V67" s="102"/>
      <c r="W67" s="99"/>
      <c r="X67" s="33"/>
      <c r="Y67" s="102"/>
      <c r="Z67" s="502"/>
      <c r="AA67" s="33"/>
      <c r="AB67" s="102"/>
      <c r="AC67" s="502"/>
      <c r="AD67" s="33"/>
      <c r="AE67" s="102"/>
      <c r="AF67" s="502"/>
      <c r="AG67" s="33"/>
      <c r="AH67" s="102"/>
      <c r="AI67" s="99"/>
      <c r="AJ67" s="33"/>
      <c r="AK67" s="114"/>
    </row>
    <row r="68" spans="1:37" s="340" customFormat="1" x14ac:dyDescent="0.2">
      <c r="A68" s="1106" t="s">
        <v>4174</v>
      </c>
      <c r="B68" s="142"/>
      <c r="C68" s="33"/>
      <c r="D68" s="129"/>
      <c r="E68" s="502"/>
      <c r="F68" s="33"/>
      <c r="G68" s="129"/>
      <c r="H68" s="99"/>
      <c r="I68" s="33"/>
      <c r="J68" s="129"/>
      <c r="K68" s="142"/>
      <c r="L68" s="33"/>
      <c r="M68" s="99"/>
      <c r="N68" s="502"/>
      <c r="O68" s="33"/>
      <c r="P68" s="100"/>
      <c r="Q68" s="99"/>
      <c r="R68" s="33"/>
      <c r="S68" s="102"/>
      <c r="T68" s="99"/>
      <c r="U68" s="33"/>
      <c r="V68" s="102"/>
      <c r="W68" s="99"/>
      <c r="X68" s="33"/>
      <c r="Y68" s="102"/>
      <c r="Z68" s="502"/>
      <c r="AA68" s="33"/>
      <c r="AB68" s="102"/>
      <c r="AC68" s="502"/>
      <c r="AD68" s="33"/>
      <c r="AE68" s="102"/>
      <c r="AF68" s="502"/>
      <c r="AG68" s="33"/>
      <c r="AH68" s="102"/>
      <c r="AI68" s="99"/>
      <c r="AJ68" s="33"/>
      <c r="AK68" s="114"/>
    </row>
    <row r="69" spans="1:37" x14ac:dyDescent="0.2">
      <c r="A69" s="889" t="s">
        <v>245</v>
      </c>
      <c r="B69" s="142">
        <v>34500</v>
      </c>
      <c r="C69" s="33"/>
      <c r="D69" s="129">
        <f>B69+C69</f>
        <v>34500</v>
      </c>
      <c r="E69" s="502">
        <f>D69</f>
        <v>34500</v>
      </c>
      <c r="F69" s="33"/>
      <c r="G69" s="129">
        <f>E69+F69</f>
        <v>34500</v>
      </c>
      <c r="H69" s="99">
        <f>G69</f>
        <v>34500</v>
      </c>
      <c r="I69" s="33"/>
      <c r="J69" s="129">
        <f>H69+I69</f>
        <v>34500</v>
      </c>
      <c r="K69" s="142">
        <f>J69</f>
        <v>34500</v>
      </c>
      <c r="L69" s="33"/>
      <c r="M69" s="99">
        <f>K69+L69</f>
        <v>34500</v>
      </c>
      <c r="N69" s="502">
        <f>M69</f>
        <v>34500</v>
      </c>
      <c r="O69" s="33"/>
      <c r="P69" s="100">
        <f>N69+O69</f>
        <v>34500</v>
      </c>
      <c r="Q69" s="99">
        <f>P69</f>
        <v>34500</v>
      </c>
      <c r="R69" s="33"/>
      <c r="S69" s="102">
        <f>Q69+R69</f>
        <v>34500</v>
      </c>
      <c r="T69" s="99">
        <f>S69</f>
        <v>34500</v>
      </c>
      <c r="U69" s="33"/>
      <c r="V69" s="102">
        <f>T69+U69</f>
        <v>34500</v>
      </c>
      <c r="W69" s="99">
        <f>V69</f>
        <v>34500</v>
      </c>
      <c r="X69" s="33"/>
      <c r="Y69" s="102">
        <f>W69+X69</f>
        <v>34500</v>
      </c>
      <c r="Z69" s="502">
        <f>Y69</f>
        <v>34500</v>
      </c>
      <c r="AA69" s="33"/>
      <c r="AB69" s="102">
        <f>Z69+AA69</f>
        <v>34500</v>
      </c>
      <c r="AC69" s="502">
        <f>AB69</f>
        <v>34500</v>
      </c>
      <c r="AD69" s="33"/>
      <c r="AE69" s="102">
        <f>AC69+AD69</f>
        <v>34500</v>
      </c>
      <c r="AF69" s="502">
        <f>AE69</f>
        <v>34500</v>
      </c>
      <c r="AG69" s="33"/>
      <c r="AH69" s="102">
        <f>AF69+AG69</f>
        <v>34500</v>
      </c>
      <c r="AI69" s="99">
        <f>AH69</f>
        <v>34500</v>
      </c>
      <c r="AJ69" s="33"/>
      <c r="AK69" s="114">
        <f>AI69+AJ69</f>
        <v>34500</v>
      </c>
    </row>
    <row r="70" spans="1:37" x14ac:dyDescent="0.2">
      <c r="A70" s="889" t="s">
        <v>6783</v>
      </c>
      <c r="B70" s="142">
        <v>172400</v>
      </c>
      <c r="C70" s="150">
        <f>'Res-Gen'!D130</f>
        <v>13000</v>
      </c>
      <c r="D70" s="129">
        <f>B70+C70</f>
        <v>185400</v>
      </c>
      <c r="E70" s="502">
        <f>D70</f>
        <v>185400</v>
      </c>
      <c r="F70" s="150">
        <f>'Res-Gen'!G130</f>
        <v>-32700</v>
      </c>
      <c r="G70" s="129">
        <f>E70+F70</f>
        <v>152700</v>
      </c>
      <c r="H70" s="99">
        <f>G70</f>
        <v>152700</v>
      </c>
      <c r="I70" s="33"/>
      <c r="J70" s="129">
        <f>H70+I70</f>
        <v>152700</v>
      </c>
      <c r="K70" s="142">
        <f>J70</f>
        <v>152700</v>
      </c>
      <c r="L70" s="33"/>
      <c r="M70" s="99">
        <f>K70+L70</f>
        <v>152700</v>
      </c>
      <c r="N70" s="502">
        <f>M70</f>
        <v>152700</v>
      </c>
      <c r="O70" s="33"/>
      <c r="P70" s="100">
        <f>N70+O70</f>
        <v>152700</v>
      </c>
      <c r="Q70" s="99">
        <f>P70</f>
        <v>152700</v>
      </c>
      <c r="R70" s="33"/>
      <c r="S70" s="102">
        <f>Q70+R70</f>
        <v>152700</v>
      </c>
      <c r="T70" s="99">
        <f>S70</f>
        <v>152700</v>
      </c>
      <c r="U70" s="33"/>
      <c r="V70" s="102">
        <f>T70+U70</f>
        <v>152700</v>
      </c>
      <c r="W70" s="99">
        <f>V70</f>
        <v>152700</v>
      </c>
      <c r="X70" s="33"/>
      <c r="Y70" s="102">
        <f>W70+X70</f>
        <v>152700</v>
      </c>
      <c r="Z70" s="502">
        <f>Y70</f>
        <v>152700</v>
      </c>
      <c r="AA70" s="33"/>
      <c r="AB70" s="102">
        <f>Z70+AA70</f>
        <v>152700</v>
      </c>
      <c r="AC70" s="502">
        <f>AB70</f>
        <v>152700</v>
      </c>
      <c r="AD70" s="33"/>
      <c r="AE70" s="102">
        <f>AC70+AD70</f>
        <v>152700</v>
      </c>
      <c r="AF70" s="502">
        <f>AE70</f>
        <v>152700</v>
      </c>
      <c r="AG70" s="33"/>
      <c r="AH70" s="102">
        <f>AF70+AG70</f>
        <v>152700</v>
      </c>
      <c r="AI70" s="99">
        <f>AH70</f>
        <v>152700</v>
      </c>
      <c r="AJ70" s="33"/>
      <c r="AK70" s="114">
        <f>AI70+AJ70</f>
        <v>152700</v>
      </c>
    </row>
    <row r="71" spans="1:37" x14ac:dyDescent="0.2">
      <c r="A71" s="889" t="s">
        <v>6791</v>
      </c>
      <c r="B71" s="142">
        <v>27000</v>
      </c>
      <c r="C71" s="33">
        <f>'Res-Gen'!D131</f>
        <v>-27000</v>
      </c>
      <c r="D71" s="129">
        <f t="shared" ref="D71" si="222">B71+C71</f>
        <v>0</v>
      </c>
      <c r="E71" s="502"/>
      <c r="F71" s="33"/>
      <c r="G71" s="129"/>
      <c r="H71" s="99"/>
      <c r="I71" s="33"/>
      <c r="J71" s="129"/>
      <c r="K71" s="142"/>
      <c r="L71" s="33"/>
      <c r="M71" s="99"/>
      <c r="N71" s="502"/>
      <c r="O71" s="33"/>
      <c r="P71" s="100"/>
      <c r="Q71" s="99"/>
      <c r="R71" s="33"/>
      <c r="S71" s="102"/>
      <c r="T71" s="99"/>
      <c r="U71" s="33"/>
      <c r="V71" s="102"/>
      <c r="W71" s="99"/>
      <c r="X71" s="33"/>
      <c r="Y71" s="102"/>
      <c r="Z71" s="502"/>
      <c r="AA71" s="33"/>
      <c r="AB71" s="102"/>
      <c r="AC71" s="502"/>
      <c r="AD71" s="33"/>
      <c r="AE71" s="102"/>
      <c r="AF71" s="502"/>
      <c r="AG71" s="33"/>
      <c r="AH71" s="102"/>
      <c r="AI71" s="99"/>
      <c r="AJ71" s="33"/>
      <c r="AK71" s="114"/>
    </row>
    <row r="72" spans="1:37" x14ac:dyDescent="0.2">
      <c r="A72" s="585"/>
      <c r="B72" s="142"/>
      <c r="C72" s="33"/>
      <c r="D72" s="129"/>
      <c r="E72" s="502"/>
      <c r="F72" s="33"/>
      <c r="G72" s="129"/>
      <c r="H72" s="99"/>
      <c r="I72" s="33"/>
      <c r="J72" s="129"/>
      <c r="K72" s="142"/>
      <c r="L72" s="33"/>
      <c r="M72" s="99"/>
      <c r="N72" s="502"/>
      <c r="O72" s="33"/>
      <c r="P72" s="100"/>
      <c r="Q72" s="99"/>
      <c r="R72" s="33"/>
      <c r="S72" s="102"/>
      <c r="T72" s="99"/>
      <c r="U72" s="33"/>
      <c r="V72" s="102"/>
      <c r="W72" s="99"/>
      <c r="X72" s="33"/>
      <c r="Y72" s="102"/>
      <c r="Z72" s="502"/>
      <c r="AA72" s="33"/>
      <c r="AB72" s="102"/>
      <c r="AC72" s="502"/>
      <c r="AD72" s="33"/>
      <c r="AE72" s="102"/>
      <c r="AF72" s="502"/>
      <c r="AG72" s="33"/>
      <c r="AH72" s="102"/>
      <c r="AI72" s="99"/>
      <c r="AJ72" s="33"/>
      <c r="AK72" s="114"/>
    </row>
    <row r="73" spans="1:37" x14ac:dyDescent="0.2">
      <c r="A73" s="1106" t="s">
        <v>4175</v>
      </c>
      <c r="B73" s="142"/>
      <c r="C73" s="33"/>
      <c r="D73" s="129"/>
      <c r="E73" s="502"/>
      <c r="F73" s="33"/>
      <c r="G73" s="129"/>
      <c r="H73" s="99"/>
      <c r="I73" s="33"/>
      <c r="J73" s="129"/>
      <c r="K73" s="142"/>
      <c r="L73" s="33"/>
      <c r="M73" s="99"/>
      <c r="N73" s="502"/>
      <c r="O73" s="33"/>
      <c r="P73" s="100"/>
      <c r="Q73" s="99"/>
      <c r="R73" s="33"/>
      <c r="S73" s="102"/>
      <c r="T73" s="99"/>
      <c r="U73" s="33"/>
      <c r="V73" s="102"/>
      <c r="W73" s="99"/>
      <c r="X73" s="33"/>
      <c r="Y73" s="102"/>
      <c r="Z73" s="502"/>
      <c r="AA73" s="33"/>
      <c r="AB73" s="102"/>
      <c r="AC73" s="502"/>
      <c r="AD73" s="33"/>
      <c r="AE73" s="102"/>
      <c r="AF73" s="502"/>
      <c r="AG73" s="33"/>
      <c r="AH73" s="102"/>
      <c r="AI73" s="99"/>
      <c r="AJ73" s="33"/>
      <c r="AK73" s="114"/>
    </row>
    <row r="74" spans="1:37" x14ac:dyDescent="0.2">
      <c r="A74" s="889" t="s">
        <v>262</v>
      </c>
      <c r="B74" s="142">
        <v>0</v>
      </c>
      <c r="C74" s="33"/>
      <c r="D74" s="129">
        <f>B74+C74</f>
        <v>0</v>
      </c>
      <c r="E74" s="502">
        <f>D74</f>
        <v>0</v>
      </c>
      <c r="F74" s="33"/>
      <c r="G74" s="129">
        <f>E74+F74</f>
        <v>0</v>
      </c>
      <c r="H74" s="99">
        <f>G74</f>
        <v>0</v>
      </c>
      <c r="I74" s="33"/>
      <c r="J74" s="129">
        <f>H74+I74</f>
        <v>0</v>
      </c>
      <c r="K74" s="142">
        <f>J74</f>
        <v>0</v>
      </c>
      <c r="L74" s="33"/>
      <c r="M74" s="99">
        <f>K74+L74</f>
        <v>0</v>
      </c>
      <c r="N74" s="502">
        <f>M74</f>
        <v>0</v>
      </c>
      <c r="O74" s="33"/>
      <c r="P74" s="100">
        <f>N74+O74</f>
        <v>0</v>
      </c>
      <c r="Q74" s="99">
        <f>P74</f>
        <v>0</v>
      </c>
      <c r="R74" s="33"/>
      <c r="S74" s="102">
        <f>Q74+R74</f>
        <v>0</v>
      </c>
      <c r="T74" s="99">
        <f>S74</f>
        <v>0</v>
      </c>
      <c r="U74" s="33"/>
      <c r="V74" s="102">
        <f>T74+U74</f>
        <v>0</v>
      </c>
      <c r="W74" s="99">
        <f>V74</f>
        <v>0</v>
      </c>
      <c r="X74" s="33"/>
      <c r="Y74" s="102">
        <f>W74+X74</f>
        <v>0</v>
      </c>
      <c r="Z74" s="502">
        <f>Y74</f>
        <v>0</v>
      </c>
      <c r="AA74" s="33"/>
      <c r="AB74" s="102">
        <f>Z74+AA74</f>
        <v>0</v>
      </c>
      <c r="AC74" s="502">
        <f>AB74</f>
        <v>0</v>
      </c>
      <c r="AD74" s="33"/>
      <c r="AE74" s="102">
        <f>AC74+AD74</f>
        <v>0</v>
      </c>
      <c r="AF74" s="502">
        <f>AE74</f>
        <v>0</v>
      </c>
      <c r="AG74" s="33"/>
      <c r="AH74" s="102">
        <f>AF74+AG74</f>
        <v>0</v>
      </c>
      <c r="AI74" s="99">
        <f>AH74</f>
        <v>0</v>
      </c>
      <c r="AJ74" s="33"/>
      <c r="AK74" s="114">
        <f>AI74+AJ74</f>
        <v>0</v>
      </c>
    </row>
    <row r="75" spans="1:37" ht="13.5" thickBot="1" x14ac:dyDescent="0.25">
      <c r="A75" s="585"/>
      <c r="B75" s="142"/>
      <c r="C75" s="33"/>
      <c r="D75" s="129"/>
      <c r="E75" s="186"/>
      <c r="F75" s="33"/>
      <c r="G75" s="129"/>
      <c r="H75" s="142"/>
      <c r="I75" s="33"/>
      <c r="J75" s="129"/>
      <c r="K75" s="142"/>
      <c r="L75" s="33"/>
      <c r="M75" s="99"/>
      <c r="N75" s="502"/>
      <c r="O75" s="33"/>
      <c r="P75" s="100"/>
      <c r="Q75" s="99"/>
      <c r="R75" s="33"/>
      <c r="S75" s="102"/>
      <c r="T75" s="99"/>
      <c r="U75" s="33"/>
      <c r="V75" s="102"/>
      <c r="W75" s="99"/>
      <c r="X75" s="33"/>
      <c r="Y75" s="102"/>
      <c r="Z75" s="502"/>
      <c r="AA75" s="33"/>
      <c r="AB75" s="102"/>
      <c r="AC75" s="502"/>
      <c r="AD75" s="33"/>
      <c r="AE75" s="102"/>
      <c r="AF75" s="502"/>
      <c r="AG75" s="33"/>
      <c r="AH75" s="102"/>
      <c r="AI75" s="99"/>
      <c r="AJ75" s="33"/>
      <c r="AK75" s="114"/>
    </row>
    <row r="76" spans="1:37" s="92" customFormat="1" ht="14.25" thickTop="1" thickBot="1" x14ac:dyDescent="0.25">
      <c r="A76" s="1135" t="s">
        <v>3365</v>
      </c>
      <c r="B76" s="419">
        <f t="shared" ref="B76:AH76" si="223">SUBTOTAL(9,B64:B75)</f>
        <v>233900</v>
      </c>
      <c r="C76" s="417">
        <f t="shared" si="223"/>
        <v>36000</v>
      </c>
      <c r="D76" s="418">
        <f t="shared" si="223"/>
        <v>269900</v>
      </c>
      <c r="E76" s="424">
        <f t="shared" si="223"/>
        <v>269900</v>
      </c>
      <c r="F76" s="417">
        <f t="shared" si="223"/>
        <v>67300</v>
      </c>
      <c r="G76" s="418">
        <f t="shared" si="223"/>
        <v>337200</v>
      </c>
      <c r="H76" s="419">
        <f t="shared" si="223"/>
        <v>337200</v>
      </c>
      <c r="I76" s="417">
        <f t="shared" si="223"/>
        <v>0</v>
      </c>
      <c r="J76" s="418">
        <f t="shared" si="223"/>
        <v>337200</v>
      </c>
      <c r="K76" s="419">
        <f t="shared" si="223"/>
        <v>337200</v>
      </c>
      <c r="L76" s="417">
        <f t="shared" si="223"/>
        <v>0</v>
      </c>
      <c r="M76" s="421">
        <f t="shared" si="223"/>
        <v>337200</v>
      </c>
      <c r="N76" s="1745">
        <f t="shared" si="223"/>
        <v>337200</v>
      </c>
      <c r="O76" s="417">
        <f t="shared" si="223"/>
        <v>0</v>
      </c>
      <c r="P76" s="420">
        <f t="shared" si="223"/>
        <v>337200</v>
      </c>
      <c r="Q76" s="421">
        <f t="shared" si="223"/>
        <v>337200</v>
      </c>
      <c r="R76" s="417">
        <f t="shared" si="223"/>
        <v>0</v>
      </c>
      <c r="S76" s="422">
        <f t="shared" si="223"/>
        <v>337200</v>
      </c>
      <c r="T76" s="421">
        <f t="shared" si="223"/>
        <v>337200</v>
      </c>
      <c r="U76" s="417">
        <f t="shared" si="223"/>
        <v>0</v>
      </c>
      <c r="V76" s="422">
        <f t="shared" si="223"/>
        <v>337200</v>
      </c>
      <c r="W76" s="421">
        <f t="shared" si="223"/>
        <v>337200</v>
      </c>
      <c r="X76" s="417">
        <f t="shared" si="223"/>
        <v>0</v>
      </c>
      <c r="Y76" s="422">
        <f t="shared" si="223"/>
        <v>337200</v>
      </c>
      <c r="Z76" s="1745">
        <f t="shared" si="223"/>
        <v>337200</v>
      </c>
      <c r="AA76" s="417">
        <f t="shared" si="223"/>
        <v>0</v>
      </c>
      <c r="AB76" s="422">
        <f t="shared" si="223"/>
        <v>337200</v>
      </c>
      <c r="AC76" s="1745">
        <f t="shared" si="223"/>
        <v>337200</v>
      </c>
      <c r="AD76" s="417">
        <f t="shared" si="223"/>
        <v>0</v>
      </c>
      <c r="AE76" s="422">
        <f t="shared" si="223"/>
        <v>337200</v>
      </c>
      <c r="AF76" s="1745">
        <f t="shared" si="223"/>
        <v>337200</v>
      </c>
      <c r="AG76" s="417">
        <f t="shared" si="223"/>
        <v>0</v>
      </c>
      <c r="AH76" s="422">
        <f t="shared" si="223"/>
        <v>337200</v>
      </c>
      <c r="AI76" s="421">
        <f t="shared" ref="AI76:AK76" si="224">SUBTOTAL(9,AI64:AI75)</f>
        <v>337200</v>
      </c>
      <c r="AJ76" s="417">
        <f t="shared" si="224"/>
        <v>0</v>
      </c>
      <c r="AK76" s="1586">
        <f t="shared" si="224"/>
        <v>337200</v>
      </c>
    </row>
    <row r="77" spans="1:37" ht="13.5" thickTop="1" x14ac:dyDescent="0.2">
      <c r="A77" s="585"/>
      <c r="B77" s="142"/>
      <c r="C77" s="33"/>
      <c r="D77" s="129"/>
      <c r="E77" s="186"/>
      <c r="F77" s="33"/>
      <c r="G77" s="129"/>
      <c r="H77" s="142"/>
      <c r="I77" s="33"/>
      <c r="J77" s="129"/>
      <c r="K77" s="142"/>
      <c r="L77" s="33"/>
      <c r="M77" s="99"/>
      <c r="N77" s="502"/>
      <c r="O77" s="33"/>
      <c r="P77" s="100"/>
      <c r="Q77" s="99"/>
      <c r="R77" s="33"/>
      <c r="S77" s="102"/>
      <c r="T77" s="99"/>
      <c r="U77" s="33"/>
      <c r="V77" s="102"/>
      <c r="W77" s="99"/>
      <c r="X77" s="33"/>
      <c r="Y77" s="102"/>
      <c r="Z77" s="502"/>
      <c r="AA77" s="33"/>
      <c r="AB77" s="102"/>
      <c r="AC77" s="502"/>
      <c r="AD77" s="33"/>
      <c r="AE77" s="102"/>
      <c r="AF77" s="502"/>
      <c r="AG77" s="33"/>
      <c r="AH77" s="102"/>
      <c r="AI77" s="99"/>
      <c r="AJ77" s="33"/>
      <c r="AK77" s="114"/>
    </row>
    <row r="78" spans="1:37" s="74" customFormat="1" x14ac:dyDescent="0.2">
      <c r="A78" s="584"/>
      <c r="B78" s="128"/>
      <c r="C78" s="64"/>
      <c r="D78" s="400"/>
      <c r="E78" s="185"/>
      <c r="F78" s="64"/>
      <c r="G78" s="400"/>
      <c r="H78" s="128"/>
      <c r="I78" s="64"/>
      <c r="J78" s="400"/>
      <c r="K78" s="128"/>
      <c r="L78" s="64"/>
      <c r="N78" s="1747"/>
      <c r="O78" s="64"/>
      <c r="P78" s="139"/>
      <c r="R78" s="64"/>
      <c r="S78" s="117"/>
      <c r="U78" s="64"/>
      <c r="V78" s="117"/>
      <c r="X78" s="64"/>
      <c r="Y78" s="117"/>
      <c r="Z78" s="1747"/>
      <c r="AA78" s="64"/>
      <c r="AB78" s="117"/>
      <c r="AC78" s="1747"/>
      <c r="AD78" s="64"/>
      <c r="AE78" s="117"/>
      <c r="AF78" s="1747"/>
      <c r="AG78" s="64"/>
      <c r="AH78" s="117"/>
      <c r="AJ78" s="64"/>
      <c r="AK78" s="115"/>
    </row>
    <row r="79" spans="1:37" s="74" customFormat="1" x14ac:dyDescent="0.2">
      <c r="A79" s="2927" t="s">
        <v>1331</v>
      </c>
      <c r="B79" s="2928"/>
      <c r="C79" s="2928"/>
      <c r="D79" s="2928"/>
      <c r="E79" s="2928"/>
      <c r="F79" s="2928"/>
      <c r="G79" s="2928"/>
      <c r="H79" s="2928"/>
      <c r="I79" s="2928"/>
      <c r="J79" s="2928"/>
      <c r="K79" s="2928"/>
      <c r="L79" s="2928"/>
      <c r="M79" s="2928"/>
      <c r="N79" s="1747"/>
      <c r="O79" s="64"/>
      <c r="P79" s="139"/>
      <c r="R79" s="64"/>
      <c r="S79" s="117"/>
      <c r="U79" s="64"/>
      <c r="V79" s="117"/>
      <c r="X79" s="64"/>
      <c r="Y79" s="117"/>
      <c r="Z79" s="1747"/>
      <c r="AA79" s="64"/>
      <c r="AB79" s="117"/>
      <c r="AC79" s="1747"/>
      <c r="AD79" s="64"/>
      <c r="AE79" s="117"/>
      <c r="AF79" s="1747"/>
      <c r="AG79" s="64"/>
      <c r="AH79" s="117"/>
      <c r="AJ79" s="64"/>
      <c r="AK79" s="115"/>
    </row>
    <row r="80" spans="1:37" s="92" customFormat="1" ht="13.5" thickBot="1" x14ac:dyDescent="0.25">
      <c r="A80" s="589"/>
      <c r="B80" s="134"/>
      <c r="C80" s="90"/>
      <c r="D80" s="406"/>
      <c r="E80" s="2636"/>
      <c r="F80" s="90"/>
      <c r="G80" s="406"/>
      <c r="H80" s="134"/>
      <c r="I80" s="90"/>
      <c r="J80" s="406"/>
      <c r="K80" s="134"/>
      <c r="L80" s="90"/>
      <c r="M80" s="120"/>
      <c r="N80" s="1748"/>
      <c r="O80" s="90"/>
      <c r="P80" s="2158"/>
      <c r="Q80" s="120"/>
      <c r="R80" s="90"/>
      <c r="S80" s="374"/>
      <c r="T80" s="120"/>
      <c r="U80" s="90"/>
      <c r="V80" s="374"/>
      <c r="W80" s="120"/>
      <c r="X80" s="90"/>
      <c r="Y80" s="374"/>
      <c r="Z80" s="1748"/>
      <c r="AA80" s="90"/>
      <c r="AB80" s="374"/>
      <c r="AC80" s="1748"/>
      <c r="AD80" s="90"/>
      <c r="AE80" s="374"/>
      <c r="AF80" s="1748"/>
      <c r="AG80" s="90"/>
      <c r="AH80" s="374"/>
      <c r="AI80" s="120"/>
      <c r="AJ80" s="90"/>
      <c r="AK80" s="135"/>
    </row>
    <row r="81" spans="1:43" s="74" customFormat="1" ht="14.25" thickTop="1" thickBot="1" x14ac:dyDescent="0.25">
      <c r="A81" s="137"/>
    </row>
    <row r="82" spans="1:43" ht="18.75" customHeight="1" thickTop="1" thickBot="1" x14ac:dyDescent="0.25">
      <c r="A82" s="2930" t="s">
        <v>2395</v>
      </c>
      <c r="B82" s="2931"/>
      <c r="C82" s="2931"/>
      <c r="D82" s="2931"/>
      <c r="E82" s="2931"/>
      <c r="F82" s="2931"/>
      <c r="G82" s="2931"/>
      <c r="H82" s="2931"/>
      <c r="I82" s="2931"/>
      <c r="J82" s="2931"/>
      <c r="K82" s="2931"/>
      <c r="L82" s="2931"/>
      <c r="M82" s="2931"/>
      <c r="N82" s="2931"/>
      <c r="O82" s="2931"/>
      <c r="P82" s="2932"/>
      <c r="Q82" s="1743"/>
      <c r="R82" s="1743"/>
      <c r="S82" s="1743"/>
      <c r="T82" s="1743"/>
      <c r="U82" s="1743"/>
      <c r="V82" s="1743"/>
      <c r="W82" s="1743"/>
      <c r="X82" s="1743"/>
      <c r="Y82" s="1743"/>
      <c r="Z82" s="1743"/>
      <c r="AA82" s="1743"/>
      <c r="AB82" s="1743"/>
      <c r="AC82" s="1743"/>
      <c r="AD82" s="1743"/>
      <c r="AE82" s="1743"/>
      <c r="AF82" s="1743"/>
      <c r="AG82" s="1743"/>
      <c r="AH82" s="1743"/>
      <c r="AI82" s="1743"/>
      <c r="AJ82" s="1743"/>
      <c r="AK82" s="1842"/>
    </row>
    <row r="83" spans="1:43" ht="13.5" thickBot="1" x14ac:dyDescent="0.25">
      <c r="A83" s="583" t="s">
        <v>1552</v>
      </c>
      <c r="B83" s="2918" t="str">
        <f t="shared" ref="B83:AK83" si="225">B2</f>
        <v>2015/16</v>
      </c>
      <c r="C83" s="2918">
        <f t="shared" si="225"/>
        <v>0</v>
      </c>
      <c r="D83" s="2919">
        <f t="shared" si="225"/>
        <v>0</v>
      </c>
      <c r="E83" s="2917" t="str">
        <f t="shared" si="225"/>
        <v>2016/17</v>
      </c>
      <c r="F83" s="2918">
        <f t="shared" si="225"/>
        <v>0</v>
      </c>
      <c r="G83" s="2919">
        <f t="shared" si="225"/>
        <v>0</v>
      </c>
      <c r="H83" s="2917" t="str">
        <f t="shared" si="225"/>
        <v>2017/18</v>
      </c>
      <c r="I83" s="2918">
        <f t="shared" si="225"/>
        <v>0</v>
      </c>
      <c r="J83" s="2919">
        <f t="shared" si="225"/>
        <v>0</v>
      </c>
      <c r="K83" s="2933" t="str">
        <f t="shared" si="225"/>
        <v>2018/19</v>
      </c>
      <c r="L83" s="2934">
        <f t="shared" si="225"/>
        <v>0</v>
      </c>
      <c r="M83" s="2935">
        <f t="shared" si="225"/>
        <v>0</v>
      </c>
      <c r="N83" s="2934" t="str">
        <f t="shared" si="225"/>
        <v>2019/20</v>
      </c>
      <c r="O83" s="2934">
        <f t="shared" si="225"/>
        <v>0</v>
      </c>
      <c r="P83" s="2936">
        <f t="shared" si="225"/>
        <v>0</v>
      </c>
      <c r="Q83" s="2934" t="str">
        <f t="shared" si="225"/>
        <v>2020/21</v>
      </c>
      <c r="R83" s="2934">
        <f t="shared" si="225"/>
        <v>0</v>
      </c>
      <c r="S83" s="2935">
        <f t="shared" si="225"/>
        <v>0</v>
      </c>
      <c r="T83" s="2934" t="str">
        <f t="shared" si="225"/>
        <v>2021/22</v>
      </c>
      <c r="U83" s="2934">
        <f t="shared" si="225"/>
        <v>0</v>
      </c>
      <c r="V83" s="2935">
        <f t="shared" si="225"/>
        <v>0</v>
      </c>
      <c r="W83" s="2934" t="str">
        <f t="shared" si="225"/>
        <v>2022/23</v>
      </c>
      <c r="X83" s="2934">
        <f t="shared" si="225"/>
        <v>0</v>
      </c>
      <c r="Y83" s="2935">
        <f t="shared" si="225"/>
        <v>0</v>
      </c>
      <c r="Z83" s="2934" t="str">
        <f t="shared" si="225"/>
        <v>2023/24</v>
      </c>
      <c r="AA83" s="2934">
        <f t="shared" si="225"/>
        <v>0</v>
      </c>
      <c r="AB83" s="2935">
        <f t="shared" si="225"/>
        <v>0</v>
      </c>
      <c r="AC83" s="2933" t="str">
        <f t="shared" si="225"/>
        <v>2024/25</v>
      </c>
      <c r="AD83" s="2934">
        <f t="shared" si="225"/>
        <v>0</v>
      </c>
      <c r="AE83" s="2935">
        <f t="shared" si="225"/>
        <v>0</v>
      </c>
      <c r="AF83" s="2934" t="str">
        <f t="shared" si="225"/>
        <v>2025/26</v>
      </c>
      <c r="AG83" s="2934">
        <f t="shared" si="225"/>
        <v>0</v>
      </c>
      <c r="AH83" s="2935">
        <f t="shared" si="225"/>
        <v>0</v>
      </c>
      <c r="AI83" s="2934" t="str">
        <f t="shared" si="225"/>
        <v>2026/27</v>
      </c>
      <c r="AJ83" s="2934">
        <f t="shared" si="225"/>
        <v>0</v>
      </c>
      <c r="AK83" s="2936">
        <f t="shared" si="225"/>
        <v>0</v>
      </c>
    </row>
    <row r="84" spans="1:43" ht="13.5" thickBot="1" x14ac:dyDescent="0.25">
      <c r="A84" s="408"/>
      <c r="B84" s="332" t="str">
        <f t="shared" ref="B84:AK84" si="226">B3</f>
        <v>Opening</v>
      </c>
      <c r="C84" s="322" t="str">
        <f t="shared" si="226"/>
        <v>Movement</v>
      </c>
      <c r="D84" s="325" t="str">
        <f t="shared" si="226"/>
        <v>Closing</v>
      </c>
      <c r="E84" s="566" t="str">
        <f t="shared" si="226"/>
        <v>Opening</v>
      </c>
      <c r="F84" s="322" t="str">
        <f t="shared" si="226"/>
        <v>Movement</v>
      </c>
      <c r="G84" s="325" t="str">
        <f t="shared" si="226"/>
        <v>Closing</v>
      </c>
      <c r="H84" s="566" t="str">
        <f t="shared" si="226"/>
        <v>Opening</v>
      </c>
      <c r="I84" s="322" t="str">
        <f t="shared" si="226"/>
        <v>Movement</v>
      </c>
      <c r="J84" s="325" t="str">
        <f t="shared" si="226"/>
        <v>Closing</v>
      </c>
      <c r="K84" s="566" t="str">
        <f t="shared" si="226"/>
        <v>Opening</v>
      </c>
      <c r="L84" s="322" t="str">
        <f t="shared" si="226"/>
        <v>Movement</v>
      </c>
      <c r="M84" s="325" t="str">
        <f t="shared" si="226"/>
        <v>Closing</v>
      </c>
      <c r="N84" s="332" t="str">
        <f t="shared" si="226"/>
        <v>Opening</v>
      </c>
      <c r="O84" s="322" t="str">
        <f t="shared" si="226"/>
        <v>Movement</v>
      </c>
      <c r="P84" s="333" t="str">
        <f t="shared" si="226"/>
        <v>Closing</v>
      </c>
      <c r="Q84" s="332" t="str">
        <f t="shared" si="226"/>
        <v>Opening</v>
      </c>
      <c r="R84" s="322" t="str">
        <f t="shared" si="226"/>
        <v>Movement</v>
      </c>
      <c r="S84" s="333" t="str">
        <f t="shared" si="226"/>
        <v>Closing</v>
      </c>
      <c r="T84" s="332" t="str">
        <f t="shared" si="226"/>
        <v>Opening</v>
      </c>
      <c r="U84" s="322" t="str">
        <f t="shared" si="226"/>
        <v>Movement</v>
      </c>
      <c r="V84" s="333" t="str">
        <f t="shared" si="226"/>
        <v>Closing</v>
      </c>
      <c r="W84" s="332" t="str">
        <f t="shared" si="226"/>
        <v>Opening</v>
      </c>
      <c r="X84" s="322" t="str">
        <f t="shared" si="226"/>
        <v>Movement</v>
      </c>
      <c r="Y84" s="333" t="str">
        <f t="shared" si="226"/>
        <v>Closing</v>
      </c>
      <c r="Z84" s="332" t="str">
        <f t="shared" si="226"/>
        <v>Opening</v>
      </c>
      <c r="AA84" s="322" t="str">
        <f t="shared" si="226"/>
        <v>Movement</v>
      </c>
      <c r="AB84" s="325" t="str">
        <f t="shared" si="226"/>
        <v>Closing</v>
      </c>
      <c r="AC84" s="566" t="str">
        <f t="shared" si="226"/>
        <v>Opening</v>
      </c>
      <c r="AD84" s="322" t="str">
        <f t="shared" si="226"/>
        <v>Movement</v>
      </c>
      <c r="AE84" s="325" t="str">
        <f t="shared" si="226"/>
        <v>Closing</v>
      </c>
      <c r="AF84" s="332" t="str">
        <f t="shared" si="226"/>
        <v>Opening</v>
      </c>
      <c r="AG84" s="322" t="str">
        <f t="shared" si="226"/>
        <v>Movement</v>
      </c>
      <c r="AH84" s="325" t="str">
        <f t="shared" si="226"/>
        <v>Closing</v>
      </c>
      <c r="AI84" s="332" t="str">
        <f t="shared" si="226"/>
        <v>Opening</v>
      </c>
      <c r="AJ84" s="322" t="str">
        <f t="shared" si="226"/>
        <v>Movement</v>
      </c>
      <c r="AK84" s="333" t="str">
        <f t="shared" si="226"/>
        <v>Closing</v>
      </c>
    </row>
    <row r="85" spans="1:43" x14ac:dyDescent="0.2">
      <c r="A85" s="585"/>
      <c r="B85" s="142"/>
      <c r="C85" s="33"/>
      <c r="D85" s="129"/>
      <c r="E85" s="186"/>
      <c r="F85" s="33"/>
      <c r="G85" s="129"/>
      <c r="H85" s="186"/>
      <c r="I85" s="33"/>
      <c r="J85" s="129"/>
      <c r="K85" s="186"/>
      <c r="L85" s="33"/>
      <c r="M85" s="102"/>
      <c r="N85" s="99"/>
      <c r="O85" s="33"/>
      <c r="P85" s="114"/>
      <c r="Q85" s="99"/>
      <c r="R85" s="33"/>
      <c r="S85" s="102"/>
      <c r="T85" s="99"/>
      <c r="U85" s="33"/>
      <c r="V85" s="102"/>
      <c r="W85" s="99"/>
      <c r="X85" s="33"/>
      <c r="Y85" s="102"/>
      <c r="Z85" s="99"/>
      <c r="AA85" s="33"/>
      <c r="AB85" s="102"/>
      <c r="AC85" s="502"/>
      <c r="AD85" s="33"/>
      <c r="AE85" s="102"/>
      <c r="AF85" s="99"/>
      <c r="AG85" s="33"/>
      <c r="AH85" s="102"/>
      <c r="AI85" s="99"/>
      <c r="AJ85" s="33"/>
      <c r="AK85" s="114"/>
    </row>
    <row r="86" spans="1:43" x14ac:dyDescent="0.2">
      <c r="A86" s="412" t="s">
        <v>143</v>
      </c>
      <c r="B86" s="142"/>
      <c r="C86" s="33"/>
      <c r="D86" s="129"/>
      <c r="E86" s="186"/>
      <c r="F86" s="33"/>
      <c r="G86" s="129"/>
      <c r="H86" s="186"/>
      <c r="I86" s="33"/>
      <c r="J86" s="129"/>
      <c r="K86" s="186"/>
      <c r="L86" s="33"/>
      <c r="M86" s="102"/>
      <c r="N86" s="99"/>
      <c r="O86" s="33"/>
      <c r="P86" s="114"/>
      <c r="Q86" s="99"/>
      <c r="R86" s="33"/>
      <c r="S86" s="102"/>
      <c r="T86" s="99"/>
      <c r="U86" s="33"/>
      <c r="V86" s="102"/>
      <c r="W86" s="99"/>
      <c r="X86" s="33"/>
      <c r="Y86" s="102"/>
      <c r="Z86" s="99"/>
      <c r="AA86" s="33"/>
      <c r="AB86" s="102"/>
      <c r="AC86" s="502"/>
      <c r="AD86" s="33"/>
      <c r="AE86" s="102"/>
      <c r="AF86" s="99"/>
      <c r="AG86" s="33"/>
      <c r="AH86" s="102"/>
      <c r="AI86" s="99"/>
      <c r="AJ86" s="33"/>
      <c r="AK86" s="114"/>
    </row>
    <row r="87" spans="1:43" x14ac:dyDescent="0.2">
      <c r="A87" s="1106" t="s">
        <v>572</v>
      </c>
      <c r="B87" s="142"/>
      <c r="C87" s="33"/>
      <c r="D87" s="129"/>
      <c r="E87" s="186"/>
      <c r="F87" s="33"/>
      <c r="G87" s="129"/>
      <c r="H87" s="186"/>
      <c r="I87" s="33"/>
      <c r="J87" s="129"/>
      <c r="K87" s="186"/>
      <c r="L87" s="33"/>
      <c r="M87" s="102"/>
      <c r="N87" s="99"/>
      <c r="O87" s="33"/>
      <c r="P87" s="114"/>
      <c r="Q87" s="99"/>
      <c r="R87" s="33"/>
      <c r="S87" s="102"/>
      <c r="T87" s="99"/>
      <c r="U87" s="33"/>
      <c r="V87" s="102"/>
      <c r="W87" s="99"/>
      <c r="X87" s="33"/>
      <c r="Y87" s="102"/>
      <c r="Z87" s="99"/>
      <c r="AA87" s="33"/>
      <c r="AB87" s="102"/>
      <c r="AC87" s="502"/>
      <c r="AD87" s="33"/>
      <c r="AE87" s="102"/>
      <c r="AF87" s="99"/>
      <c r="AG87" s="33"/>
      <c r="AH87" s="102"/>
      <c r="AI87" s="99"/>
      <c r="AJ87" s="33"/>
      <c r="AK87" s="114"/>
    </row>
    <row r="88" spans="1:43" x14ac:dyDescent="0.2">
      <c r="A88" s="585" t="s">
        <v>566</v>
      </c>
      <c r="B88" s="142">
        <v>15000</v>
      </c>
      <c r="C88" s="33">
        <f>'Res-Gen'!D139</f>
        <v>8000</v>
      </c>
      <c r="D88" s="129">
        <f t="shared" ref="D88" si="227">B88+C88</f>
        <v>23000</v>
      </c>
      <c r="E88" s="502">
        <f>D88</f>
        <v>23000</v>
      </c>
      <c r="F88" s="33">
        <f>'Res-Gen'!G139</f>
        <v>0</v>
      </c>
      <c r="G88" s="129">
        <f t="shared" ref="G88" si="228">E88+F88</f>
        <v>23000</v>
      </c>
      <c r="H88" s="502">
        <f>G88</f>
        <v>23000</v>
      </c>
      <c r="I88" s="33">
        <f>'Res-Gen'!J139</f>
        <v>0</v>
      </c>
      <c r="J88" s="129">
        <f t="shared" ref="J88" si="229">H88+I88</f>
        <v>23000</v>
      </c>
      <c r="K88" s="186">
        <f>J88</f>
        <v>23000</v>
      </c>
      <c r="L88" s="33">
        <f>'Res-Gen'!M139</f>
        <v>0</v>
      </c>
      <c r="M88" s="102">
        <f t="shared" ref="M88" si="230">K88+L88</f>
        <v>23000</v>
      </c>
      <c r="N88" s="99">
        <f>M88</f>
        <v>23000</v>
      </c>
      <c r="O88" s="33">
        <f>'Res-Gen'!P139</f>
        <v>0</v>
      </c>
      <c r="P88" s="114">
        <f t="shared" ref="P88" si="231">N88+O88</f>
        <v>23000</v>
      </c>
      <c r="Q88" s="99">
        <f>P88</f>
        <v>23000</v>
      </c>
      <c r="R88" s="33"/>
      <c r="S88" s="102">
        <f t="shared" ref="S88" si="232">Q88+R88</f>
        <v>23000</v>
      </c>
      <c r="T88" s="99">
        <f>S88</f>
        <v>23000</v>
      </c>
      <c r="U88" s="33"/>
      <c r="V88" s="102">
        <f t="shared" ref="V88" si="233">T88+U88</f>
        <v>23000</v>
      </c>
      <c r="W88" s="99">
        <f>V88</f>
        <v>23000</v>
      </c>
      <c r="X88" s="33"/>
      <c r="Y88" s="102">
        <f t="shared" ref="Y88" si="234">W88+X88</f>
        <v>23000</v>
      </c>
      <c r="Z88" s="99">
        <f>Y88</f>
        <v>23000</v>
      </c>
      <c r="AA88" s="33"/>
      <c r="AB88" s="102">
        <f t="shared" ref="AB88" si="235">Z88+AA88</f>
        <v>23000</v>
      </c>
      <c r="AC88" s="502">
        <f>AB88</f>
        <v>23000</v>
      </c>
      <c r="AD88" s="33"/>
      <c r="AE88" s="102">
        <f t="shared" ref="AE88" si="236">AC88+AD88</f>
        <v>23000</v>
      </c>
      <c r="AF88" s="99">
        <f>AE88</f>
        <v>23000</v>
      </c>
      <c r="AG88" s="33"/>
      <c r="AH88" s="102">
        <f>AF88+AG88</f>
        <v>23000</v>
      </c>
      <c r="AI88" s="99">
        <f>AH88</f>
        <v>23000</v>
      </c>
      <c r="AJ88" s="33"/>
      <c r="AK88" s="114">
        <f>AI88+AJ88</f>
        <v>23000</v>
      </c>
    </row>
    <row r="89" spans="1:43" s="340" customFormat="1" x14ac:dyDescent="0.2">
      <c r="A89" s="889" t="s">
        <v>4941</v>
      </c>
      <c r="B89" s="142">
        <v>0</v>
      </c>
      <c r="C89" s="33">
        <f>'Res-Gen'!D140</f>
        <v>0</v>
      </c>
      <c r="D89" s="129">
        <f t="shared" ref="D89" si="237">B89+C89</f>
        <v>0</v>
      </c>
      <c r="E89" s="502">
        <f t="shared" ref="E89" si="238">D89</f>
        <v>0</v>
      </c>
      <c r="F89" s="33">
        <f>'Res-Gen'!G140</f>
        <v>10000</v>
      </c>
      <c r="G89" s="129">
        <f t="shared" ref="G89" si="239">E89+F89</f>
        <v>10000</v>
      </c>
      <c r="H89" s="502">
        <f t="shared" ref="H89" si="240">G89</f>
        <v>10000</v>
      </c>
      <c r="I89" s="33">
        <f>'Res-Gen'!J140</f>
        <v>10000</v>
      </c>
      <c r="J89" s="129">
        <f t="shared" ref="J89" si="241">H89+I89</f>
        <v>20000</v>
      </c>
      <c r="K89" s="186">
        <f t="shared" ref="K89" si="242">J89</f>
        <v>20000</v>
      </c>
      <c r="L89" s="33">
        <f>'Res-Gen'!M140</f>
        <v>10000</v>
      </c>
      <c r="M89" s="102">
        <f t="shared" ref="M89" si="243">K89+L89</f>
        <v>30000</v>
      </c>
      <c r="N89" s="99">
        <f t="shared" ref="N89" si="244">M89</f>
        <v>30000</v>
      </c>
      <c r="O89" s="33">
        <f>'Res-Gen'!P140</f>
        <v>10000</v>
      </c>
      <c r="P89" s="114">
        <f t="shared" ref="P89" si="245">N89+O89</f>
        <v>40000</v>
      </c>
      <c r="Q89" s="99">
        <f t="shared" ref="Q89" si="246">P89</f>
        <v>40000</v>
      </c>
      <c r="R89" s="33">
        <f>'Res-Gen'!S140</f>
        <v>10000</v>
      </c>
      <c r="S89" s="102">
        <f t="shared" ref="S89" si="247">Q89+R89</f>
        <v>50000</v>
      </c>
      <c r="T89" s="99">
        <f t="shared" ref="T89" si="248">S89</f>
        <v>50000</v>
      </c>
      <c r="U89" s="33">
        <f>'Res-Gen'!V140</f>
        <v>-50000</v>
      </c>
      <c r="V89" s="102">
        <f t="shared" ref="V89" si="249">T89+U89</f>
        <v>0</v>
      </c>
      <c r="W89" s="99">
        <f t="shared" ref="W89" si="250">V89</f>
        <v>0</v>
      </c>
      <c r="X89" s="33">
        <f>'Res-Gen'!Y140</f>
        <v>10000</v>
      </c>
      <c r="Y89" s="102">
        <f t="shared" ref="Y89" si="251">W89+X89</f>
        <v>10000</v>
      </c>
      <c r="Z89" s="99">
        <f t="shared" ref="Z89" si="252">Y89</f>
        <v>10000</v>
      </c>
      <c r="AA89" s="33">
        <f>'Res-Gen'!AB140</f>
        <v>10000</v>
      </c>
      <c r="AB89" s="102">
        <f t="shared" ref="AB89" si="253">Z89+AA89</f>
        <v>20000</v>
      </c>
      <c r="AC89" s="502">
        <f t="shared" ref="AC89" si="254">AB89</f>
        <v>20000</v>
      </c>
      <c r="AD89" s="33">
        <f>'Res-Gen'!AE140</f>
        <v>10000</v>
      </c>
      <c r="AE89" s="102">
        <f t="shared" ref="AE89" si="255">AC89+AD89</f>
        <v>30000</v>
      </c>
      <c r="AF89" s="99">
        <f t="shared" ref="AF89" si="256">AE89</f>
        <v>30000</v>
      </c>
      <c r="AG89" s="33">
        <f>'Res-Gen'!AH140</f>
        <v>10000</v>
      </c>
      <c r="AH89" s="102">
        <f t="shared" ref="AH89" si="257">AF89+AG89</f>
        <v>40000</v>
      </c>
      <c r="AI89" s="99">
        <f t="shared" ref="AI89" si="258">AH89</f>
        <v>40000</v>
      </c>
      <c r="AJ89" s="33">
        <f>'Res-Gen'!AK140</f>
        <v>10000</v>
      </c>
      <c r="AK89" s="114">
        <f t="shared" ref="AK89" si="259">AI89+AJ89</f>
        <v>50000</v>
      </c>
    </row>
    <row r="90" spans="1:43" x14ac:dyDescent="0.2">
      <c r="A90" s="889"/>
      <c r="B90" s="142"/>
      <c r="C90" s="33"/>
      <c r="D90" s="129"/>
      <c r="E90" s="502"/>
      <c r="F90" s="33"/>
      <c r="G90" s="129"/>
      <c r="H90" s="502"/>
      <c r="I90" s="33"/>
      <c r="J90" s="129"/>
      <c r="K90" s="186"/>
      <c r="L90" s="33"/>
      <c r="M90" s="102"/>
      <c r="N90" s="99"/>
      <c r="O90" s="33"/>
      <c r="P90" s="114"/>
      <c r="Q90" s="99"/>
      <c r="R90" s="33"/>
      <c r="S90" s="102"/>
      <c r="T90" s="99"/>
      <c r="U90" s="33"/>
      <c r="V90" s="102"/>
      <c r="W90" s="99"/>
      <c r="X90" s="33"/>
      <c r="Y90" s="102"/>
      <c r="Z90" s="99"/>
      <c r="AA90" s="33"/>
      <c r="AB90" s="102"/>
      <c r="AC90" s="502"/>
      <c r="AD90" s="33"/>
      <c r="AE90" s="102"/>
      <c r="AF90" s="99"/>
      <c r="AG90" s="33"/>
      <c r="AH90" s="102"/>
      <c r="AI90" s="99"/>
      <c r="AJ90" s="33"/>
      <c r="AK90" s="114"/>
    </row>
    <row r="91" spans="1:43" x14ac:dyDescent="0.2">
      <c r="A91" s="1106" t="s">
        <v>4210</v>
      </c>
      <c r="B91" s="142"/>
      <c r="C91" s="33"/>
      <c r="D91" s="129"/>
      <c r="E91" s="502"/>
      <c r="F91" s="33"/>
      <c r="G91" s="129"/>
      <c r="H91" s="502"/>
      <c r="I91" s="33"/>
      <c r="J91" s="129"/>
      <c r="K91" s="186"/>
      <c r="L91" s="33"/>
      <c r="M91" s="102"/>
      <c r="N91" s="99"/>
      <c r="O91" s="33"/>
      <c r="P91" s="114"/>
      <c r="Q91" s="99"/>
      <c r="R91" s="33"/>
      <c r="S91" s="102"/>
      <c r="T91" s="99"/>
      <c r="U91" s="33"/>
      <c r="V91" s="102"/>
      <c r="W91" s="99"/>
      <c r="X91" s="33"/>
      <c r="Y91" s="102"/>
      <c r="Z91" s="99"/>
      <c r="AA91" s="33"/>
      <c r="AB91" s="102"/>
      <c r="AC91" s="502"/>
      <c r="AD91" s="33"/>
      <c r="AE91" s="102"/>
      <c r="AF91" s="99"/>
      <c r="AG91" s="33"/>
      <c r="AH91" s="102"/>
      <c r="AI91" s="99"/>
      <c r="AJ91" s="33"/>
      <c r="AK91" s="114"/>
    </row>
    <row r="92" spans="1:43" s="340" customFormat="1" x14ac:dyDescent="0.2">
      <c r="A92" s="889" t="s">
        <v>4215</v>
      </c>
      <c r="B92" s="142">
        <v>200500</v>
      </c>
      <c r="C92" s="33">
        <f>SUM('Res-Gen'!D143:D145)</f>
        <v>326700</v>
      </c>
      <c r="D92" s="129">
        <f t="shared" ref="D92" si="260">B92+C92</f>
        <v>527200</v>
      </c>
      <c r="E92" s="502">
        <f t="shared" ref="E92" si="261">D92</f>
        <v>527200</v>
      </c>
      <c r="F92" s="33">
        <f>SUM('Res-Gen'!G143:G145)</f>
        <v>-520200</v>
      </c>
      <c r="G92" s="129">
        <f t="shared" ref="G92" si="262">E92+F92</f>
        <v>7000</v>
      </c>
      <c r="H92" s="502">
        <f t="shared" ref="H92" si="263">G92</f>
        <v>7000</v>
      </c>
      <c r="I92" s="33"/>
      <c r="J92" s="129">
        <f t="shared" ref="J92" si="264">H92+I92</f>
        <v>7000</v>
      </c>
      <c r="K92" s="186">
        <f t="shared" ref="K92" si="265">J92</f>
        <v>7000</v>
      </c>
      <c r="L92" s="33"/>
      <c r="M92" s="102">
        <f t="shared" ref="M92" si="266">K92+L92</f>
        <v>7000</v>
      </c>
      <c r="N92" s="99">
        <f t="shared" ref="N92" si="267">M92</f>
        <v>7000</v>
      </c>
      <c r="O92" s="33"/>
      <c r="P92" s="114">
        <f t="shared" ref="P92" si="268">N92+O92</f>
        <v>7000</v>
      </c>
      <c r="Q92" s="99">
        <f t="shared" ref="Q92" si="269">P92</f>
        <v>7000</v>
      </c>
      <c r="R92" s="33"/>
      <c r="S92" s="102">
        <f t="shared" ref="S92" si="270">Q92+R92</f>
        <v>7000</v>
      </c>
      <c r="T92" s="99">
        <f t="shared" ref="T92" si="271">S92</f>
        <v>7000</v>
      </c>
      <c r="U92" s="33"/>
      <c r="V92" s="102">
        <f t="shared" ref="V92" si="272">T92+U92</f>
        <v>7000</v>
      </c>
      <c r="W92" s="99">
        <f t="shared" ref="W92" si="273">V92</f>
        <v>7000</v>
      </c>
      <c r="X92" s="33"/>
      <c r="Y92" s="102">
        <f t="shared" ref="Y92" si="274">W92+X92</f>
        <v>7000</v>
      </c>
      <c r="Z92" s="99">
        <f t="shared" ref="Z92" si="275">Y92</f>
        <v>7000</v>
      </c>
      <c r="AA92" s="33"/>
      <c r="AB92" s="102">
        <f t="shared" ref="AB92" si="276">Z92+AA92</f>
        <v>7000</v>
      </c>
      <c r="AC92" s="502">
        <f t="shared" ref="AC92" si="277">AB92</f>
        <v>7000</v>
      </c>
      <c r="AD92" s="33"/>
      <c r="AE92" s="102">
        <f t="shared" ref="AE92" si="278">AC92+AD92</f>
        <v>7000</v>
      </c>
      <c r="AF92" s="99">
        <f t="shared" ref="AF92" si="279">AE92</f>
        <v>7000</v>
      </c>
      <c r="AG92" s="33"/>
      <c r="AH92" s="102">
        <f t="shared" ref="AH92" si="280">AF92+AG92</f>
        <v>7000</v>
      </c>
      <c r="AI92" s="99">
        <f t="shared" ref="AI92" si="281">AH92</f>
        <v>7000</v>
      </c>
      <c r="AJ92" s="33"/>
      <c r="AK92" s="114">
        <f t="shared" ref="AK92" si="282">AI92+AJ92</f>
        <v>7000</v>
      </c>
    </row>
    <row r="93" spans="1:43" x14ac:dyDescent="0.2">
      <c r="A93" s="889"/>
      <c r="B93" s="142"/>
      <c r="C93" s="33"/>
      <c r="D93" s="129"/>
      <c r="E93" s="186"/>
      <c r="F93" s="33"/>
      <c r="G93" s="129"/>
      <c r="H93" s="186"/>
      <c r="I93" s="33"/>
      <c r="J93" s="129"/>
      <c r="K93" s="186"/>
      <c r="L93" s="33"/>
      <c r="M93" s="102"/>
      <c r="N93" s="99"/>
      <c r="O93" s="33"/>
      <c r="P93" s="114"/>
      <c r="Q93" s="99"/>
      <c r="R93" s="33"/>
      <c r="S93" s="102"/>
      <c r="T93" s="99"/>
      <c r="U93" s="33"/>
      <c r="V93" s="102"/>
      <c r="W93" s="99"/>
      <c r="X93" s="33"/>
      <c r="Y93" s="102"/>
      <c r="Z93" s="99"/>
      <c r="AA93" s="33"/>
      <c r="AB93" s="102"/>
      <c r="AC93" s="502"/>
      <c r="AD93" s="33"/>
      <c r="AE93" s="102"/>
      <c r="AF93" s="99"/>
      <c r="AG93" s="33"/>
      <c r="AH93" s="102"/>
      <c r="AI93" s="99"/>
      <c r="AJ93" s="33"/>
      <c r="AK93" s="114"/>
    </row>
    <row r="94" spans="1:43" x14ac:dyDescent="0.2">
      <c r="A94" s="1106" t="s">
        <v>3895</v>
      </c>
      <c r="B94" s="142"/>
      <c r="C94" s="33"/>
      <c r="D94" s="129"/>
      <c r="E94" s="186"/>
      <c r="F94" s="33"/>
      <c r="G94" s="129"/>
      <c r="H94" s="186"/>
      <c r="I94" s="33"/>
      <c r="J94" s="129"/>
      <c r="K94" s="186"/>
      <c r="L94" s="33"/>
      <c r="M94" s="102"/>
      <c r="N94" s="99"/>
      <c r="O94" s="33"/>
      <c r="P94" s="114"/>
      <c r="Q94" s="99"/>
      <c r="R94" s="33"/>
      <c r="S94" s="102"/>
      <c r="T94" s="99"/>
      <c r="U94" s="33"/>
      <c r="V94" s="102"/>
      <c r="W94" s="99"/>
      <c r="X94" s="33"/>
      <c r="Y94" s="102"/>
      <c r="Z94" s="99"/>
      <c r="AA94" s="33"/>
      <c r="AB94" s="102"/>
      <c r="AC94" s="502"/>
      <c r="AD94" s="33"/>
      <c r="AE94" s="102"/>
      <c r="AF94" s="99"/>
      <c r="AG94" s="33"/>
      <c r="AH94" s="102"/>
      <c r="AI94" s="99"/>
      <c r="AJ94" s="33"/>
      <c r="AK94" s="114"/>
    </row>
    <row r="95" spans="1:43" x14ac:dyDescent="0.2">
      <c r="A95" s="889" t="s">
        <v>5624</v>
      </c>
      <c r="B95" s="142">
        <v>1448600</v>
      </c>
      <c r="C95" s="150">
        <f>'Res-Gen'!D150+'Res-Gen'!D168+'Res-Gen'!D169</f>
        <v>-582700</v>
      </c>
      <c r="D95" s="129">
        <f>B95+C95</f>
        <v>865900</v>
      </c>
      <c r="E95" s="502">
        <f>D95</f>
        <v>865900</v>
      </c>
      <c r="F95" s="33">
        <f>'Res-Gen'!G150+'Res-Gen'!G169</f>
        <v>-865900</v>
      </c>
      <c r="G95" s="129">
        <f>E95+F95</f>
        <v>0</v>
      </c>
      <c r="H95" s="502">
        <f>G95</f>
        <v>0</v>
      </c>
      <c r="I95" s="33"/>
      <c r="J95" s="129">
        <f>H95+I95</f>
        <v>0</v>
      </c>
      <c r="K95" s="186">
        <f>J95</f>
        <v>0</v>
      </c>
      <c r="L95" s="33"/>
      <c r="M95" s="102">
        <f>K95+L95</f>
        <v>0</v>
      </c>
      <c r="N95" s="99">
        <f>M95</f>
        <v>0</v>
      </c>
      <c r="O95" s="33"/>
      <c r="P95" s="114">
        <f>N95+O95</f>
        <v>0</v>
      </c>
      <c r="Q95" s="99">
        <f>P95</f>
        <v>0</v>
      </c>
      <c r="R95" s="33"/>
      <c r="S95" s="102">
        <f>Q95+R95</f>
        <v>0</v>
      </c>
      <c r="T95" s="99">
        <f>S95</f>
        <v>0</v>
      </c>
      <c r="U95" s="33"/>
      <c r="V95" s="102">
        <f>T95+U95</f>
        <v>0</v>
      </c>
      <c r="W95" s="99">
        <f>V95</f>
        <v>0</v>
      </c>
      <c r="X95" s="33"/>
      <c r="Y95" s="102">
        <f>W95+X95</f>
        <v>0</v>
      </c>
      <c r="Z95" s="99">
        <f>Y95</f>
        <v>0</v>
      </c>
      <c r="AA95" s="33"/>
      <c r="AB95" s="102">
        <f t="shared" ref="AB95" si="283">Z95+AA95</f>
        <v>0</v>
      </c>
      <c r="AC95" s="502">
        <f>AB95</f>
        <v>0</v>
      </c>
      <c r="AD95" s="33"/>
      <c r="AE95" s="102">
        <f t="shared" ref="AE95:AE96" si="284">AC95+AD95</f>
        <v>0</v>
      </c>
      <c r="AF95" s="99">
        <f>AE95</f>
        <v>0</v>
      </c>
      <c r="AG95" s="33"/>
      <c r="AH95" s="102">
        <f t="shared" ref="AH95:AH96" si="285">AF95+AG95</f>
        <v>0</v>
      </c>
      <c r="AI95" s="99">
        <f>AH95</f>
        <v>0</v>
      </c>
      <c r="AJ95" s="33"/>
      <c r="AK95" s="114">
        <f t="shared" ref="AK95:AK96" si="286">AI95+AJ95</f>
        <v>0</v>
      </c>
      <c r="AL95" s="376"/>
      <c r="AM95" s="376"/>
      <c r="AN95" s="376"/>
      <c r="AO95" s="376"/>
      <c r="AP95" s="376"/>
      <c r="AQ95" s="376"/>
    </row>
    <row r="96" spans="1:43" x14ac:dyDescent="0.2">
      <c r="A96" s="889" t="s">
        <v>2299</v>
      </c>
      <c r="B96" s="142">
        <v>744800</v>
      </c>
      <c r="C96" s="150">
        <f>'Res-Gen'!D152</f>
        <v>60500</v>
      </c>
      <c r="D96" s="129">
        <f>B96+C96</f>
        <v>805300</v>
      </c>
      <c r="E96" s="502">
        <f>D96</f>
        <v>805300</v>
      </c>
      <c r="F96" s="33">
        <f>'Res-Gen'!G152</f>
        <v>-685500</v>
      </c>
      <c r="G96" s="129">
        <f>E96+F96</f>
        <v>119800</v>
      </c>
      <c r="H96" s="502">
        <f>G96</f>
        <v>119800</v>
      </c>
      <c r="I96" s="33"/>
      <c r="J96" s="129">
        <f>H96+I96</f>
        <v>119800</v>
      </c>
      <c r="K96" s="186">
        <f>J96</f>
        <v>119800</v>
      </c>
      <c r="L96" s="33"/>
      <c r="M96" s="102">
        <f>K96+L96</f>
        <v>119800</v>
      </c>
      <c r="N96" s="99">
        <f>M96</f>
        <v>119800</v>
      </c>
      <c r="O96" s="33"/>
      <c r="P96" s="114">
        <f>N96+O96</f>
        <v>119800</v>
      </c>
      <c r="Q96" s="99">
        <f>P96</f>
        <v>119800</v>
      </c>
      <c r="R96" s="33"/>
      <c r="S96" s="102">
        <f>Q96+R96</f>
        <v>119800</v>
      </c>
      <c r="T96" s="99">
        <f>S96</f>
        <v>119800</v>
      </c>
      <c r="U96" s="33"/>
      <c r="V96" s="102">
        <f>T96+U96</f>
        <v>119800</v>
      </c>
      <c r="W96" s="99">
        <f>V96</f>
        <v>119800</v>
      </c>
      <c r="X96" s="33"/>
      <c r="Y96" s="102">
        <f>W96+X96</f>
        <v>119800</v>
      </c>
      <c r="Z96" s="99">
        <f>Y96</f>
        <v>119800</v>
      </c>
      <c r="AA96" s="33"/>
      <c r="AB96" s="102">
        <f t="shared" ref="AB96" si="287">Z96+AA96</f>
        <v>119800</v>
      </c>
      <c r="AC96" s="502">
        <f>AB96</f>
        <v>119800</v>
      </c>
      <c r="AD96" s="33"/>
      <c r="AE96" s="102">
        <f t="shared" si="284"/>
        <v>119800</v>
      </c>
      <c r="AF96" s="99">
        <f>AE96</f>
        <v>119800</v>
      </c>
      <c r="AG96" s="33"/>
      <c r="AH96" s="102">
        <f t="shared" si="285"/>
        <v>119800</v>
      </c>
      <c r="AI96" s="99">
        <f>AH96</f>
        <v>119800</v>
      </c>
      <c r="AJ96" s="33"/>
      <c r="AK96" s="114">
        <f t="shared" si="286"/>
        <v>119800</v>
      </c>
      <c r="AL96" s="376"/>
      <c r="AM96" s="376"/>
      <c r="AN96" s="376"/>
      <c r="AO96" s="376"/>
      <c r="AP96" s="376"/>
      <c r="AQ96" s="376"/>
    </row>
    <row r="97" spans="1:43" x14ac:dyDescent="0.2">
      <c r="A97" s="889" t="s">
        <v>3644</v>
      </c>
      <c r="B97" s="142">
        <v>435800</v>
      </c>
      <c r="C97" s="150">
        <f>'Res-Gen'!D151</f>
        <v>-396500</v>
      </c>
      <c r="D97" s="129">
        <f>B97+C97</f>
        <v>39300</v>
      </c>
      <c r="E97" s="502">
        <f>D97</f>
        <v>39300</v>
      </c>
      <c r="F97" s="33"/>
      <c r="G97" s="129">
        <f>E97+F97</f>
        <v>39300</v>
      </c>
      <c r="H97" s="502">
        <f>G97</f>
        <v>39300</v>
      </c>
      <c r="I97" s="33"/>
      <c r="J97" s="129">
        <f>H97+I97</f>
        <v>39300</v>
      </c>
      <c r="K97" s="186">
        <f>J97</f>
        <v>39300</v>
      </c>
      <c r="L97" s="33"/>
      <c r="M97" s="102">
        <f>K97+L97</f>
        <v>39300</v>
      </c>
      <c r="N97" s="99">
        <f>M97</f>
        <v>39300</v>
      </c>
      <c r="O97" s="33"/>
      <c r="P97" s="114">
        <f>N97+O97</f>
        <v>39300</v>
      </c>
      <c r="Q97" s="99">
        <f>P97</f>
        <v>39300</v>
      </c>
      <c r="R97" s="33"/>
      <c r="S97" s="102">
        <f>Q97+R97</f>
        <v>39300</v>
      </c>
      <c r="T97" s="99">
        <f>S97</f>
        <v>39300</v>
      </c>
      <c r="U97" s="33"/>
      <c r="V97" s="102">
        <f>T97+U97</f>
        <v>39300</v>
      </c>
      <c r="W97" s="99">
        <f>V97</f>
        <v>39300</v>
      </c>
      <c r="X97" s="33"/>
      <c r="Y97" s="102">
        <f>W97+X97</f>
        <v>39300</v>
      </c>
      <c r="Z97" s="99">
        <f>Y97</f>
        <v>39300</v>
      </c>
      <c r="AA97" s="33"/>
      <c r="AB97" s="102">
        <f>Z97+AA97</f>
        <v>39300</v>
      </c>
      <c r="AC97" s="502">
        <f>AB97</f>
        <v>39300</v>
      </c>
      <c r="AD97" s="33"/>
      <c r="AE97" s="102">
        <f>AC97+AD97</f>
        <v>39300</v>
      </c>
      <c r="AF97" s="99">
        <f>AE97</f>
        <v>39300</v>
      </c>
      <c r="AG97" s="33"/>
      <c r="AH97" s="102">
        <f>AF97+AG97</f>
        <v>39300</v>
      </c>
      <c r="AI97" s="99">
        <f>AH97</f>
        <v>39300</v>
      </c>
      <c r="AJ97" s="33"/>
      <c r="AK97" s="114">
        <f>AI97+AJ97</f>
        <v>39300</v>
      </c>
      <c r="AL97" s="376"/>
      <c r="AM97" s="376"/>
      <c r="AN97" s="376"/>
      <c r="AO97" s="376"/>
      <c r="AP97" s="376"/>
      <c r="AQ97" s="376"/>
    </row>
    <row r="98" spans="1:43" x14ac:dyDescent="0.2">
      <c r="A98" s="889" t="s">
        <v>6816</v>
      </c>
      <c r="B98" s="142">
        <v>20600</v>
      </c>
      <c r="C98" s="33">
        <f>'Res-Gen'!D148+'Res-Gen'!D149</f>
        <v>100400</v>
      </c>
      <c r="D98" s="129">
        <f t="shared" ref="D98" si="288">B98+C98</f>
        <v>121000</v>
      </c>
      <c r="E98" s="502">
        <f t="shared" ref="E98" si="289">D98</f>
        <v>121000</v>
      </c>
      <c r="F98" s="33">
        <f>'Res-Gen'!G149+'Res-Gen'!G33</f>
        <v>-71000</v>
      </c>
      <c r="G98" s="129">
        <f t="shared" ref="G98" si="290">E98+F98</f>
        <v>50000</v>
      </c>
      <c r="H98" s="502">
        <f t="shared" ref="H98" si="291">G98</f>
        <v>50000</v>
      </c>
      <c r="I98" s="33"/>
      <c r="J98" s="129">
        <f t="shared" ref="J98" si="292">H98+I98</f>
        <v>50000</v>
      </c>
      <c r="K98" s="186">
        <f t="shared" ref="K98" si="293">J98</f>
        <v>50000</v>
      </c>
      <c r="L98" s="33"/>
      <c r="M98" s="102">
        <f t="shared" ref="M98" si="294">K98+L98</f>
        <v>50000</v>
      </c>
      <c r="N98" s="99">
        <f t="shared" ref="N98" si="295">M98</f>
        <v>50000</v>
      </c>
      <c r="O98" s="33"/>
      <c r="P98" s="114">
        <f t="shared" ref="P98" si="296">N98+O98</f>
        <v>50000</v>
      </c>
      <c r="Q98" s="99">
        <f t="shared" ref="Q98" si="297">P98</f>
        <v>50000</v>
      </c>
      <c r="R98" s="33"/>
      <c r="S98" s="102">
        <f t="shared" ref="S98" si="298">Q98+R98</f>
        <v>50000</v>
      </c>
      <c r="T98" s="99">
        <f t="shared" ref="T98" si="299">S98</f>
        <v>50000</v>
      </c>
      <c r="U98" s="33"/>
      <c r="V98" s="102">
        <f t="shared" ref="V98" si="300">T98+U98</f>
        <v>50000</v>
      </c>
      <c r="W98" s="99">
        <f t="shared" ref="W98" si="301">V98</f>
        <v>50000</v>
      </c>
      <c r="X98" s="33"/>
      <c r="Y98" s="102">
        <f t="shared" ref="Y98" si="302">W98+X98</f>
        <v>50000</v>
      </c>
      <c r="Z98" s="99">
        <f t="shared" ref="Z98" si="303">Y98</f>
        <v>50000</v>
      </c>
      <c r="AA98" s="33"/>
      <c r="AB98" s="102">
        <f t="shared" ref="AB98" si="304">Z98+AA98</f>
        <v>50000</v>
      </c>
      <c r="AC98" s="502">
        <f t="shared" ref="AC98" si="305">AB98</f>
        <v>50000</v>
      </c>
      <c r="AD98" s="33"/>
      <c r="AE98" s="102">
        <f t="shared" ref="AE98" si="306">AC98+AD98</f>
        <v>50000</v>
      </c>
      <c r="AF98" s="99">
        <f t="shared" ref="AF98" si="307">AE98</f>
        <v>50000</v>
      </c>
      <c r="AG98" s="33"/>
      <c r="AH98" s="102">
        <f t="shared" ref="AH98" si="308">AF98+AG98</f>
        <v>50000</v>
      </c>
      <c r="AI98" s="99">
        <f t="shared" ref="AI98" si="309">AH98</f>
        <v>50000</v>
      </c>
      <c r="AJ98" s="33"/>
      <c r="AK98" s="114">
        <f t="shared" ref="AK98" si="310">AI98+AJ98</f>
        <v>50000</v>
      </c>
    </row>
    <row r="99" spans="1:43" x14ac:dyDescent="0.2">
      <c r="A99" s="585"/>
      <c r="B99" s="142"/>
      <c r="C99" s="33"/>
      <c r="D99" s="129"/>
      <c r="E99" s="186"/>
      <c r="F99" s="33"/>
      <c r="G99" s="129"/>
      <c r="H99" s="186"/>
      <c r="I99" s="33"/>
      <c r="J99" s="129"/>
      <c r="K99" s="186"/>
      <c r="L99" s="33"/>
      <c r="M99" s="102"/>
      <c r="N99" s="99"/>
      <c r="O99" s="33"/>
      <c r="P99" s="114"/>
      <c r="Q99" s="99"/>
      <c r="R99" s="33"/>
      <c r="S99" s="102"/>
      <c r="T99" s="99"/>
      <c r="U99" s="33"/>
      <c r="V99" s="102"/>
      <c r="W99" s="99"/>
      <c r="X99" s="33"/>
      <c r="Y99" s="102"/>
      <c r="Z99" s="99"/>
      <c r="AA99" s="33"/>
      <c r="AB99" s="102"/>
      <c r="AC99" s="502"/>
      <c r="AD99" s="33"/>
      <c r="AE99" s="102"/>
      <c r="AF99" s="99"/>
      <c r="AG99" s="33"/>
      <c r="AH99" s="102"/>
      <c r="AI99" s="99"/>
      <c r="AJ99" s="33"/>
      <c r="AK99" s="114"/>
    </row>
    <row r="100" spans="1:43" x14ac:dyDescent="0.2">
      <c r="A100" s="584" t="s">
        <v>1262</v>
      </c>
      <c r="B100" s="142"/>
      <c r="C100" s="33"/>
      <c r="D100" s="129"/>
      <c r="E100" s="186"/>
      <c r="F100" s="33"/>
      <c r="G100" s="129"/>
      <c r="H100" s="186"/>
      <c r="I100" s="33"/>
      <c r="J100" s="129"/>
      <c r="K100" s="186"/>
      <c r="L100" s="33"/>
      <c r="M100" s="102"/>
      <c r="N100" s="99"/>
      <c r="O100" s="33"/>
      <c r="P100" s="114"/>
      <c r="Q100" s="99"/>
      <c r="R100" s="33"/>
      <c r="S100" s="102"/>
      <c r="T100" s="99"/>
      <c r="U100" s="33"/>
      <c r="V100" s="102"/>
      <c r="W100" s="99"/>
      <c r="X100" s="33"/>
      <c r="Y100" s="102"/>
      <c r="Z100" s="99"/>
      <c r="AA100" s="33"/>
      <c r="AB100" s="102"/>
      <c r="AC100" s="502"/>
      <c r="AD100" s="33"/>
      <c r="AE100" s="102"/>
      <c r="AF100" s="99"/>
      <c r="AG100" s="33"/>
      <c r="AH100" s="102"/>
      <c r="AI100" s="99"/>
      <c r="AJ100" s="33"/>
      <c r="AK100" s="114"/>
    </row>
    <row r="101" spans="1:43" x14ac:dyDescent="0.2">
      <c r="A101" s="889" t="s">
        <v>410</v>
      </c>
      <c r="B101" s="142">
        <v>286400</v>
      </c>
      <c r="C101" s="33">
        <f>SUM('Res-Gen'!D156:'Res-Gen'!D158)</f>
        <v>-67800</v>
      </c>
      <c r="D101" s="129">
        <f>B101+C101</f>
        <v>218600</v>
      </c>
      <c r="E101" s="502">
        <f>D101</f>
        <v>218600</v>
      </c>
      <c r="F101" s="33">
        <f>SUM('Res-Gen'!G156:'Res-Gen'!G158)</f>
        <v>-233600</v>
      </c>
      <c r="G101" s="129">
        <f>E101+F101</f>
        <v>-15000</v>
      </c>
      <c r="H101" s="502">
        <f>G101</f>
        <v>-15000</v>
      </c>
      <c r="I101" s="33">
        <f>SUM('Res-Gen'!J156:'Res-Gen'!J158)</f>
        <v>0</v>
      </c>
      <c r="J101" s="129">
        <f>H101+I101</f>
        <v>-15000</v>
      </c>
      <c r="K101" s="186">
        <f>J101</f>
        <v>-15000</v>
      </c>
      <c r="L101" s="33">
        <f>SUM('Res-Gen'!M156:'Res-Gen'!M158)</f>
        <v>0</v>
      </c>
      <c r="M101" s="102">
        <f>K101+L101</f>
        <v>-15000</v>
      </c>
      <c r="N101" s="99">
        <f>M101</f>
        <v>-15000</v>
      </c>
      <c r="O101" s="33">
        <f>SUM('Res-Gen'!P156:'Res-Gen'!P158)</f>
        <v>0</v>
      </c>
      <c r="P101" s="114">
        <f>N101+O101</f>
        <v>-15000</v>
      </c>
      <c r="Q101" s="99">
        <f>P101</f>
        <v>-15000</v>
      </c>
      <c r="R101" s="33">
        <f>SUM('Res-Gen'!S156:'Res-Gen'!S158)</f>
        <v>0</v>
      </c>
      <c r="S101" s="102">
        <f>Q101+R101</f>
        <v>-15000</v>
      </c>
      <c r="T101" s="99">
        <f>S101</f>
        <v>-15000</v>
      </c>
      <c r="U101" s="33">
        <f>SUM('Res-Gen'!V156:'Res-Gen'!V158)</f>
        <v>0</v>
      </c>
      <c r="V101" s="102">
        <f>T101+U101</f>
        <v>-15000</v>
      </c>
      <c r="W101" s="99">
        <f>V101</f>
        <v>-15000</v>
      </c>
      <c r="X101" s="33">
        <f>SUM('Res-Gen'!Y156:'Res-Gen'!Y158)</f>
        <v>0</v>
      </c>
      <c r="Y101" s="102">
        <f>W101+X101</f>
        <v>-15000</v>
      </c>
      <c r="Z101" s="99">
        <f>Y101</f>
        <v>-15000</v>
      </c>
      <c r="AA101" s="33">
        <f>SUM('Res-Gen'!AB156:'Res-Gen'!AB158)</f>
        <v>0</v>
      </c>
      <c r="AB101" s="102">
        <f>Z101+AA101</f>
        <v>-15000</v>
      </c>
      <c r="AC101" s="502">
        <f>AB101</f>
        <v>-15000</v>
      </c>
      <c r="AD101" s="33">
        <f>SUM('Res-Gen'!AE156:'Res-Gen'!AE158)</f>
        <v>0</v>
      </c>
      <c r="AE101" s="102">
        <f>AC101+AD101</f>
        <v>-15000</v>
      </c>
      <c r="AF101" s="99">
        <f>AE101</f>
        <v>-15000</v>
      </c>
      <c r="AG101" s="33">
        <f>SUM('Res-Gen'!AH156:'Res-Gen'!AH158)</f>
        <v>0</v>
      </c>
      <c r="AH101" s="102">
        <f>AF101+AG101</f>
        <v>-15000</v>
      </c>
      <c r="AI101" s="99">
        <f>AH101</f>
        <v>-15000</v>
      </c>
      <c r="AJ101" s="33">
        <f>SUM('Res-Gen'!AK156:'Res-Gen'!AK158)</f>
        <v>0</v>
      </c>
      <c r="AK101" s="114">
        <f>AI101+AJ101</f>
        <v>-15000</v>
      </c>
    </row>
    <row r="102" spans="1:43" x14ac:dyDescent="0.2">
      <c r="A102" s="585" t="s">
        <v>145</v>
      </c>
      <c r="B102" s="142">
        <v>382200</v>
      </c>
      <c r="C102" s="33">
        <f>'Res-Gen'!D161</f>
        <v>22700</v>
      </c>
      <c r="D102" s="129">
        <f>B102+C102</f>
        <v>404900</v>
      </c>
      <c r="E102" s="502">
        <f>D102</f>
        <v>404900</v>
      </c>
      <c r="F102" s="33">
        <f>'Res-Gen'!G161</f>
        <v>12700</v>
      </c>
      <c r="G102" s="129">
        <f>E102+F102</f>
        <v>417600</v>
      </c>
      <c r="H102" s="502">
        <f>G102</f>
        <v>417600</v>
      </c>
      <c r="I102" s="33">
        <f>'Res-Gen'!J161</f>
        <v>0</v>
      </c>
      <c r="J102" s="129">
        <f>H102+I102</f>
        <v>417600</v>
      </c>
      <c r="K102" s="186">
        <f>J102</f>
        <v>417600</v>
      </c>
      <c r="L102" s="33">
        <f>'Res-Gen'!M161</f>
        <v>0</v>
      </c>
      <c r="M102" s="102">
        <f>K102+L102</f>
        <v>417600</v>
      </c>
      <c r="N102" s="99">
        <f>M102</f>
        <v>417600</v>
      </c>
      <c r="O102" s="33">
        <f>'Res-Gen'!P161</f>
        <v>0</v>
      </c>
      <c r="P102" s="114">
        <f>N102+O102</f>
        <v>417600</v>
      </c>
      <c r="Q102" s="99">
        <f>P102</f>
        <v>417600</v>
      </c>
      <c r="R102" s="33">
        <f>'Res-Gen'!S161</f>
        <v>0</v>
      </c>
      <c r="S102" s="102">
        <f>Q102+R102</f>
        <v>417600</v>
      </c>
      <c r="T102" s="99">
        <f>S102</f>
        <v>417600</v>
      </c>
      <c r="U102" s="33">
        <f>'Res-Gen'!V161</f>
        <v>0</v>
      </c>
      <c r="V102" s="102">
        <f>T102+U102</f>
        <v>417600</v>
      </c>
      <c r="W102" s="99">
        <f>V102</f>
        <v>417600</v>
      </c>
      <c r="X102" s="33">
        <f>'Res-Gen'!Y161</f>
        <v>0</v>
      </c>
      <c r="Y102" s="102">
        <f>W102+X102</f>
        <v>417600</v>
      </c>
      <c r="Z102" s="99">
        <f>Y102</f>
        <v>417600</v>
      </c>
      <c r="AA102" s="33">
        <f>'Res-Gen'!AB161</f>
        <v>0</v>
      </c>
      <c r="AB102" s="102">
        <f>Z102+AA102</f>
        <v>417600</v>
      </c>
      <c r="AC102" s="502">
        <f>AB102</f>
        <v>417600</v>
      </c>
      <c r="AD102" s="33">
        <f>'Res-Gen'!AE161</f>
        <v>0</v>
      </c>
      <c r="AE102" s="102">
        <f>AC102+AD102</f>
        <v>417600</v>
      </c>
      <c r="AF102" s="99">
        <f>AE102</f>
        <v>417600</v>
      </c>
      <c r="AG102" s="33">
        <f>'Res-Gen'!AH161</f>
        <v>0</v>
      </c>
      <c r="AH102" s="102">
        <f>AF102+AG102</f>
        <v>417600</v>
      </c>
      <c r="AI102" s="99">
        <f>AH102</f>
        <v>417600</v>
      </c>
      <c r="AJ102" s="33">
        <f>'Res-Gen'!AK161</f>
        <v>0</v>
      </c>
      <c r="AK102" s="114">
        <f>AI102+AJ102</f>
        <v>417600</v>
      </c>
    </row>
    <row r="103" spans="1:43" x14ac:dyDescent="0.2">
      <c r="A103" s="585"/>
      <c r="B103" s="142"/>
      <c r="C103" s="33"/>
      <c r="D103" s="129"/>
      <c r="E103" s="186"/>
      <c r="F103" s="33"/>
      <c r="G103" s="129"/>
      <c r="H103" s="186"/>
      <c r="I103" s="33"/>
      <c r="J103" s="129"/>
      <c r="K103" s="186"/>
      <c r="L103" s="33"/>
      <c r="M103" s="102"/>
      <c r="N103" s="99"/>
      <c r="O103" s="33"/>
      <c r="P103" s="114"/>
      <c r="Q103" s="99"/>
      <c r="R103" s="33"/>
      <c r="S103" s="102"/>
      <c r="T103" s="99"/>
      <c r="U103" s="33"/>
      <c r="V103" s="102"/>
      <c r="W103" s="99"/>
      <c r="X103" s="33"/>
      <c r="Y103" s="102"/>
      <c r="Z103" s="99"/>
      <c r="AA103" s="33"/>
      <c r="AB103" s="102"/>
      <c r="AC103" s="502"/>
      <c r="AD103" s="33"/>
      <c r="AE103" s="102"/>
      <c r="AF103" s="99"/>
      <c r="AG103" s="33"/>
      <c r="AH103" s="102"/>
      <c r="AI103" s="99"/>
      <c r="AJ103" s="33"/>
      <c r="AK103" s="114"/>
    </row>
    <row r="104" spans="1:43" x14ac:dyDescent="0.2">
      <c r="A104" s="584" t="s">
        <v>728</v>
      </c>
      <c r="B104" s="142"/>
      <c r="C104" s="33"/>
      <c r="D104" s="129"/>
      <c r="E104" s="186"/>
      <c r="F104" s="33"/>
      <c r="G104" s="129"/>
      <c r="H104" s="186"/>
      <c r="I104" s="33"/>
      <c r="J104" s="129"/>
      <c r="K104" s="186"/>
      <c r="L104" s="33"/>
      <c r="M104" s="102"/>
      <c r="N104" s="99"/>
      <c r="O104" s="33"/>
      <c r="P104" s="114"/>
      <c r="Q104" s="99"/>
      <c r="R104" s="33"/>
      <c r="S104" s="102"/>
      <c r="T104" s="99"/>
      <c r="U104" s="33"/>
      <c r="V104" s="102"/>
      <c r="W104" s="99"/>
      <c r="X104" s="33"/>
      <c r="Y104" s="102"/>
      <c r="Z104" s="99"/>
      <c r="AA104" s="33"/>
      <c r="AB104" s="102"/>
      <c r="AC104" s="502"/>
      <c r="AD104" s="33"/>
      <c r="AE104" s="102"/>
      <c r="AF104" s="99"/>
      <c r="AG104" s="33"/>
      <c r="AH104" s="102"/>
      <c r="AI104" s="99"/>
      <c r="AJ104" s="33"/>
      <c r="AK104" s="114"/>
    </row>
    <row r="105" spans="1:43" x14ac:dyDescent="0.2">
      <c r="A105" s="889" t="s">
        <v>3083</v>
      </c>
      <c r="B105" s="142">
        <v>883700</v>
      </c>
      <c r="C105" s="33">
        <f>'Res-Gen'!D166</f>
        <v>-18300</v>
      </c>
      <c r="D105" s="129">
        <f>B105+C105</f>
        <v>865400</v>
      </c>
      <c r="E105" s="502">
        <f>D105</f>
        <v>865400</v>
      </c>
      <c r="F105" s="33">
        <f>'Res-Gen'!G166</f>
        <v>-20000</v>
      </c>
      <c r="G105" s="129">
        <f>E105+F105</f>
        <v>845400</v>
      </c>
      <c r="H105" s="502">
        <f>G105</f>
        <v>845400</v>
      </c>
      <c r="I105" s="33">
        <f>'Res-Gen'!J166</f>
        <v>0</v>
      </c>
      <c r="J105" s="129">
        <f>H105+I105</f>
        <v>845400</v>
      </c>
      <c r="K105" s="186">
        <f>J105</f>
        <v>845400</v>
      </c>
      <c r="L105" s="33">
        <f>'Res-Gen'!M166</f>
        <v>0</v>
      </c>
      <c r="M105" s="102">
        <f>K105+L105</f>
        <v>845400</v>
      </c>
      <c r="N105" s="99">
        <f>M105</f>
        <v>845400</v>
      </c>
      <c r="O105" s="33">
        <f>'Res-Gen'!P166</f>
        <v>0</v>
      </c>
      <c r="P105" s="114">
        <f>N105+O105</f>
        <v>845400</v>
      </c>
      <c r="Q105" s="99">
        <f>P105</f>
        <v>845400</v>
      </c>
      <c r="R105" s="33">
        <f>'Res-Gen'!S166</f>
        <v>0</v>
      </c>
      <c r="S105" s="102">
        <f>Q105+R105</f>
        <v>845400</v>
      </c>
      <c r="T105" s="99">
        <f>S105</f>
        <v>845400</v>
      </c>
      <c r="U105" s="33">
        <f>'Res-Gen'!V166</f>
        <v>0</v>
      </c>
      <c r="V105" s="102">
        <f>T105+U105</f>
        <v>845400</v>
      </c>
      <c r="W105" s="99">
        <f>V105</f>
        <v>845400</v>
      </c>
      <c r="X105" s="33">
        <f>'Res-Gen'!Y166</f>
        <v>0</v>
      </c>
      <c r="Y105" s="102">
        <f>W105+X105</f>
        <v>845400</v>
      </c>
      <c r="Z105" s="99">
        <f>Y105</f>
        <v>845400</v>
      </c>
      <c r="AA105" s="33">
        <f>'Res-Gen'!AB166</f>
        <v>0</v>
      </c>
      <c r="AB105" s="102">
        <f>Z105+AA105</f>
        <v>845400</v>
      </c>
      <c r="AC105" s="502">
        <f>AB105</f>
        <v>845400</v>
      </c>
      <c r="AD105" s="33">
        <f>'Res-Gen'!AE166</f>
        <v>0</v>
      </c>
      <c r="AE105" s="102">
        <f>AC105+AD105</f>
        <v>845400</v>
      </c>
      <c r="AF105" s="99">
        <f>AE105</f>
        <v>845400</v>
      </c>
      <c r="AG105" s="33">
        <f>'Res-Gen'!AH166</f>
        <v>0</v>
      </c>
      <c r="AH105" s="102">
        <f>AF105+AG105</f>
        <v>845400</v>
      </c>
      <c r="AI105" s="99">
        <f>AH105</f>
        <v>845400</v>
      </c>
      <c r="AJ105" s="33">
        <f>'Res-Gen'!AK166</f>
        <v>0</v>
      </c>
      <c r="AK105" s="114">
        <f>AI105+AJ105</f>
        <v>845400</v>
      </c>
    </row>
    <row r="106" spans="1:43" x14ac:dyDescent="0.2">
      <c r="A106" s="889" t="s">
        <v>3217</v>
      </c>
      <c r="B106" s="142">
        <v>1610700</v>
      </c>
      <c r="C106" s="33">
        <f>'Res-Gen'!D167</f>
        <v>-152000</v>
      </c>
      <c r="D106" s="129">
        <f>B106+C106</f>
        <v>1458700</v>
      </c>
      <c r="E106" s="502">
        <f>D106</f>
        <v>1458700</v>
      </c>
      <c r="F106" s="33">
        <f>'Res-Gen'!G167</f>
        <v>-231000</v>
      </c>
      <c r="G106" s="129">
        <f>E106+F106</f>
        <v>1227700</v>
      </c>
      <c r="H106" s="502">
        <f>G106</f>
        <v>1227700</v>
      </c>
      <c r="I106" s="33">
        <f>'Res-Gen'!J167</f>
        <v>-200000</v>
      </c>
      <c r="J106" s="129">
        <f>H106+I106</f>
        <v>1027700</v>
      </c>
      <c r="K106" s="186">
        <f>J106</f>
        <v>1027700</v>
      </c>
      <c r="L106" s="33">
        <f>'Res-Gen'!M167</f>
        <v>0</v>
      </c>
      <c r="M106" s="102">
        <f>K106+L106</f>
        <v>1027700</v>
      </c>
      <c r="N106" s="99">
        <f>M106</f>
        <v>1027700</v>
      </c>
      <c r="O106" s="33">
        <f>'Res-Gen'!P167</f>
        <v>0</v>
      </c>
      <c r="P106" s="114">
        <f>N106+O106</f>
        <v>1027700</v>
      </c>
      <c r="Q106" s="99">
        <f>P106</f>
        <v>1027700</v>
      </c>
      <c r="R106" s="33">
        <f>'Res-Gen'!S167</f>
        <v>0</v>
      </c>
      <c r="S106" s="102">
        <f>Q106+R106</f>
        <v>1027700</v>
      </c>
      <c r="T106" s="99">
        <f>S106</f>
        <v>1027700</v>
      </c>
      <c r="U106" s="33">
        <f>'Res-Gen'!V167</f>
        <v>0</v>
      </c>
      <c r="V106" s="102">
        <f>T106+U106</f>
        <v>1027700</v>
      </c>
      <c r="W106" s="99">
        <f>V106</f>
        <v>1027700</v>
      </c>
      <c r="X106" s="33">
        <f>'Res-Gen'!Y167</f>
        <v>0</v>
      </c>
      <c r="Y106" s="102">
        <f>W106+X106</f>
        <v>1027700</v>
      </c>
      <c r="Z106" s="99">
        <f>Y106</f>
        <v>1027700</v>
      </c>
      <c r="AA106" s="33">
        <f>'Res-Gen'!AB167</f>
        <v>0</v>
      </c>
      <c r="AB106" s="102">
        <f>Z106+AA106</f>
        <v>1027700</v>
      </c>
      <c r="AC106" s="502">
        <f>AB106</f>
        <v>1027700</v>
      </c>
      <c r="AD106" s="33">
        <f>'Res-Gen'!AE167</f>
        <v>0</v>
      </c>
      <c r="AE106" s="102">
        <f>AC106+AD106</f>
        <v>1027700</v>
      </c>
      <c r="AF106" s="99">
        <f>AE106</f>
        <v>1027700</v>
      </c>
      <c r="AG106" s="33">
        <f>'Res-Gen'!AH167</f>
        <v>0</v>
      </c>
      <c r="AH106" s="102">
        <f>AF106+AG106</f>
        <v>1027700</v>
      </c>
      <c r="AI106" s="99">
        <f>AH106</f>
        <v>1027700</v>
      </c>
      <c r="AJ106" s="33">
        <f>'Res-Gen'!AK167</f>
        <v>0</v>
      </c>
      <c r="AK106" s="114">
        <f>AI106+AJ106</f>
        <v>1027700</v>
      </c>
    </row>
    <row r="107" spans="1:43" x14ac:dyDescent="0.2">
      <c r="A107" s="889" t="s">
        <v>6812</v>
      </c>
      <c r="B107" s="142">
        <v>77300</v>
      </c>
      <c r="C107" s="33">
        <v>0</v>
      </c>
      <c r="D107" s="129">
        <f>B107+C107</f>
        <v>77300</v>
      </c>
      <c r="E107" s="502">
        <f>D107</f>
        <v>77300</v>
      </c>
      <c r="F107" s="33"/>
      <c r="G107" s="129">
        <f>E107+F107</f>
        <v>77300</v>
      </c>
      <c r="H107" s="502">
        <f>G107</f>
        <v>77300</v>
      </c>
      <c r="I107" s="33"/>
      <c r="J107" s="129">
        <f>H107+I107</f>
        <v>77300</v>
      </c>
      <c r="K107" s="186">
        <f>J107</f>
        <v>77300</v>
      </c>
      <c r="L107" s="33"/>
      <c r="M107" s="102">
        <f>K107+L107</f>
        <v>77300</v>
      </c>
      <c r="N107" s="99">
        <f>M107</f>
        <v>77300</v>
      </c>
      <c r="O107" s="33"/>
      <c r="P107" s="114">
        <f>N107+O107</f>
        <v>77300</v>
      </c>
      <c r="Q107" s="99">
        <f>P107</f>
        <v>77300</v>
      </c>
      <c r="R107" s="33"/>
      <c r="S107" s="102">
        <f>Q107+R107</f>
        <v>77300</v>
      </c>
      <c r="T107" s="99">
        <f>S107</f>
        <v>77300</v>
      </c>
      <c r="U107" s="33"/>
      <c r="V107" s="102">
        <f>T107+U107</f>
        <v>77300</v>
      </c>
      <c r="W107" s="99">
        <f>V107</f>
        <v>77300</v>
      </c>
      <c r="X107" s="33"/>
      <c r="Y107" s="102">
        <f>W107+X107</f>
        <v>77300</v>
      </c>
      <c r="Z107" s="99">
        <f>Y107</f>
        <v>77300</v>
      </c>
      <c r="AA107" s="33"/>
      <c r="AB107" s="102">
        <f>Z107+AA107</f>
        <v>77300</v>
      </c>
      <c r="AC107" s="502">
        <f>AB107</f>
        <v>77300</v>
      </c>
      <c r="AD107" s="33"/>
      <c r="AE107" s="102">
        <f>AC107+AD107</f>
        <v>77300</v>
      </c>
      <c r="AF107" s="99">
        <f>AE107</f>
        <v>77300</v>
      </c>
      <c r="AG107" s="33"/>
      <c r="AH107" s="102">
        <f>AF107+AG107</f>
        <v>77300</v>
      </c>
      <c r="AI107" s="99">
        <f>AH107</f>
        <v>77300</v>
      </c>
      <c r="AJ107" s="33"/>
      <c r="AK107" s="114">
        <f>AI107+AJ107</f>
        <v>77300</v>
      </c>
    </row>
    <row r="108" spans="1:43" x14ac:dyDescent="0.2">
      <c r="A108" s="889" t="s">
        <v>1466</v>
      </c>
      <c r="B108" s="142">
        <v>5100</v>
      </c>
      <c r="C108" s="33"/>
      <c r="D108" s="129">
        <f>B108+C108</f>
        <v>5100</v>
      </c>
      <c r="E108" s="502">
        <f t="shared" ref="E108" si="311">D108</f>
        <v>5100</v>
      </c>
      <c r="F108" s="33"/>
      <c r="G108" s="129">
        <f>E108+F108</f>
        <v>5100</v>
      </c>
      <c r="H108" s="502">
        <f t="shared" ref="H108" si="312">G108</f>
        <v>5100</v>
      </c>
      <c r="I108" s="33"/>
      <c r="J108" s="129">
        <f>H108+I108</f>
        <v>5100</v>
      </c>
      <c r="K108" s="186">
        <f>J108</f>
        <v>5100</v>
      </c>
      <c r="L108" s="33"/>
      <c r="M108" s="102">
        <f>K108+L108</f>
        <v>5100</v>
      </c>
      <c r="N108" s="99">
        <f t="shared" ref="N108" si="313">M108</f>
        <v>5100</v>
      </c>
      <c r="O108" s="33"/>
      <c r="P108" s="114">
        <f>N108+O108</f>
        <v>5100</v>
      </c>
      <c r="Q108" s="99">
        <f t="shared" ref="Q108" si="314">P108</f>
        <v>5100</v>
      </c>
      <c r="R108" s="33"/>
      <c r="S108" s="102">
        <f>Q108+R108</f>
        <v>5100</v>
      </c>
      <c r="T108" s="99">
        <f t="shared" ref="T108" si="315">S108</f>
        <v>5100</v>
      </c>
      <c r="U108" s="33"/>
      <c r="V108" s="102">
        <f>T108+U108</f>
        <v>5100</v>
      </c>
      <c r="W108" s="99">
        <f t="shared" ref="W108" si="316">V108</f>
        <v>5100</v>
      </c>
      <c r="X108" s="33"/>
      <c r="Y108" s="102">
        <f>W108+X108</f>
        <v>5100</v>
      </c>
      <c r="Z108" s="99">
        <f t="shared" ref="Z108" si="317">Y108</f>
        <v>5100</v>
      </c>
      <c r="AA108" s="33"/>
      <c r="AB108" s="102">
        <f>Z108+AA108</f>
        <v>5100</v>
      </c>
      <c r="AC108" s="502">
        <f t="shared" ref="AC108" si="318">AB108</f>
        <v>5100</v>
      </c>
      <c r="AD108" s="33"/>
      <c r="AE108" s="102">
        <f>AC108+AD108</f>
        <v>5100</v>
      </c>
      <c r="AF108" s="99">
        <f t="shared" ref="AF108" si="319">AE108</f>
        <v>5100</v>
      </c>
      <c r="AG108" s="33"/>
      <c r="AH108" s="102">
        <f>AF108+AG108</f>
        <v>5100</v>
      </c>
      <c r="AI108" s="99">
        <f t="shared" ref="AI108" si="320">AH108</f>
        <v>5100</v>
      </c>
      <c r="AJ108" s="33"/>
      <c r="AK108" s="114">
        <f>AI108+AJ108</f>
        <v>5100</v>
      </c>
    </row>
    <row r="109" spans="1:43" x14ac:dyDescent="0.2">
      <c r="A109" s="889" t="s">
        <v>3351</v>
      </c>
      <c r="B109" s="142">
        <v>1185300</v>
      </c>
      <c r="C109" s="33">
        <f>'Res-Gen'!D164</f>
        <v>-315200</v>
      </c>
      <c r="D109" s="129">
        <f t="shared" ref="D109" si="321">B109+C109</f>
        <v>870100</v>
      </c>
      <c r="E109" s="502">
        <f>D109</f>
        <v>870100</v>
      </c>
      <c r="F109" s="33">
        <f>'Res-Gen'!G164</f>
        <v>-709500</v>
      </c>
      <c r="G109" s="129">
        <f t="shared" ref="G109" si="322">E109+F109</f>
        <v>160600</v>
      </c>
      <c r="H109" s="502">
        <f>G109</f>
        <v>160600</v>
      </c>
      <c r="I109" s="33">
        <f>'Res-Gen'!J164</f>
        <v>0</v>
      </c>
      <c r="J109" s="129">
        <f t="shared" ref="J109" si="323">H109+I109</f>
        <v>160600</v>
      </c>
      <c r="K109" s="186">
        <f t="shared" ref="K109" si="324">J109</f>
        <v>160600</v>
      </c>
      <c r="L109" s="33">
        <f>'Res-Gen'!M164</f>
        <v>0</v>
      </c>
      <c r="M109" s="102">
        <f t="shared" ref="M109" si="325">K109+L109</f>
        <v>160600</v>
      </c>
      <c r="N109" s="99">
        <f>M109</f>
        <v>160600</v>
      </c>
      <c r="O109" s="33">
        <f>'Res-Gen'!P164</f>
        <v>0</v>
      </c>
      <c r="P109" s="114">
        <f t="shared" ref="P109" si="326">N109+O109</f>
        <v>160600</v>
      </c>
      <c r="Q109" s="99">
        <f>P109</f>
        <v>160600</v>
      </c>
      <c r="R109" s="33">
        <f>'Res-Gen'!S164</f>
        <v>0</v>
      </c>
      <c r="S109" s="102">
        <f t="shared" ref="S109" si="327">Q109+R109</f>
        <v>160600</v>
      </c>
      <c r="T109" s="99">
        <f>S109</f>
        <v>160600</v>
      </c>
      <c r="U109" s="33">
        <f>'Res-Gen'!V164</f>
        <v>0</v>
      </c>
      <c r="V109" s="102">
        <f t="shared" ref="V109" si="328">T109+U109</f>
        <v>160600</v>
      </c>
      <c r="W109" s="99">
        <f>V109</f>
        <v>160600</v>
      </c>
      <c r="X109" s="33">
        <f>'Res-Gen'!Y164</f>
        <v>0</v>
      </c>
      <c r="Y109" s="102">
        <f t="shared" ref="Y109" si="329">W109+X109</f>
        <v>160600</v>
      </c>
      <c r="Z109" s="99">
        <f>Y109</f>
        <v>160600</v>
      </c>
      <c r="AA109" s="33">
        <f>'Res-Gen'!AB164</f>
        <v>0</v>
      </c>
      <c r="AB109" s="102">
        <f t="shared" ref="AB109" si="330">Z109+AA109</f>
        <v>160600</v>
      </c>
      <c r="AC109" s="502">
        <f>AB109</f>
        <v>160600</v>
      </c>
      <c r="AD109" s="33">
        <f>'Res-Gen'!AE164</f>
        <v>0</v>
      </c>
      <c r="AE109" s="102">
        <f t="shared" ref="AE109:AE110" si="331">AC109+AD109</f>
        <v>160600</v>
      </c>
      <c r="AF109" s="99">
        <f>AE109</f>
        <v>160600</v>
      </c>
      <c r="AG109" s="33">
        <f>'Res-Gen'!AH164</f>
        <v>0</v>
      </c>
      <c r="AH109" s="102">
        <f t="shared" ref="AH109:AH110" si="332">AF109+AG109</f>
        <v>160600</v>
      </c>
      <c r="AI109" s="99">
        <f>AH109</f>
        <v>160600</v>
      </c>
      <c r="AJ109" s="33">
        <f>'Res-Gen'!AK164</f>
        <v>0</v>
      </c>
      <c r="AK109" s="114">
        <f t="shared" ref="AK109:AK110" si="333">AI109+AJ109</f>
        <v>160600</v>
      </c>
    </row>
    <row r="110" spans="1:43" x14ac:dyDescent="0.2">
      <c r="A110" s="889" t="s">
        <v>4218</v>
      </c>
      <c r="B110" s="142">
        <v>245500</v>
      </c>
      <c r="C110" s="33">
        <f>'Res-Gen'!D165</f>
        <v>-64700</v>
      </c>
      <c r="D110" s="129">
        <f t="shared" ref="D110" si="334">B110+C110</f>
        <v>180800</v>
      </c>
      <c r="E110" s="502">
        <f>D110</f>
        <v>180800</v>
      </c>
      <c r="F110" s="33">
        <f>'Res-Gen'!G165</f>
        <v>-21000</v>
      </c>
      <c r="G110" s="129">
        <f t="shared" ref="G110" si="335">E110+F110</f>
        <v>159800</v>
      </c>
      <c r="H110" s="502">
        <f>G110</f>
        <v>159800</v>
      </c>
      <c r="I110" s="33">
        <f>'Res-Gen'!J165</f>
        <v>0</v>
      </c>
      <c r="J110" s="129">
        <f t="shared" ref="J110" si="336">H110+I110</f>
        <v>159800</v>
      </c>
      <c r="K110" s="186">
        <f t="shared" ref="K110" si="337">J110</f>
        <v>159800</v>
      </c>
      <c r="L110" s="33">
        <f>'Res-Gen'!M165</f>
        <v>0</v>
      </c>
      <c r="M110" s="102">
        <f t="shared" ref="M110" si="338">K110+L110</f>
        <v>159800</v>
      </c>
      <c r="N110" s="99">
        <f>M110</f>
        <v>159800</v>
      </c>
      <c r="O110" s="33">
        <f>'Res-Gen'!P165</f>
        <v>0</v>
      </c>
      <c r="P110" s="114">
        <f t="shared" ref="P110" si="339">N110+O110</f>
        <v>159800</v>
      </c>
      <c r="Q110" s="99">
        <f>P110</f>
        <v>159800</v>
      </c>
      <c r="R110" s="33">
        <f>'Res-Gen'!S165</f>
        <v>0</v>
      </c>
      <c r="S110" s="102">
        <f t="shared" ref="S110" si="340">Q110+R110</f>
        <v>159800</v>
      </c>
      <c r="T110" s="99">
        <f>S110</f>
        <v>159800</v>
      </c>
      <c r="U110" s="33">
        <f>'Res-Gen'!V165</f>
        <v>0</v>
      </c>
      <c r="V110" s="102">
        <f t="shared" ref="V110" si="341">T110+U110</f>
        <v>159800</v>
      </c>
      <c r="W110" s="99">
        <f>V110</f>
        <v>159800</v>
      </c>
      <c r="X110" s="33">
        <f>'Res-Gen'!Y165</f>
        <v>0</v>
      </c>
      <c r="Y110" s="102">
        <f t="shared" ref="Y110" si="342">W110+X110</f>
        <v>159800</v>
      </c>
      <c r="Z110" s="99">
        <f>Y110</f>
        <v>159800</v>
      </c>
      <c r="AA110" s="33">
        <f>'Res-Gen'!AB165</f>
        <v>0</v>
      </c>
      <c r="AB110" s="102">
        <f t="shared" ref="AB110" si="343">Z110+AA110</f>
        <v>159800</v>
      </c>
      <c r="AC110" s="502">
        <f>AB110</f>
        <v>159800</v>
      </c>
      <c r="AD110" s="33">
        <f>'Res-Gen'!AE165</f>
        <v>0</v>
      </c>
      <c r="AE110" s="102">
        <f t="shared" si="331"/>
        <v>159800</v>
      </c>
      <c r="AF110" s="99">
        <f>AE110</f>
        <v>159800</v>
      </c>
      <c r="AG110" s="33">
        <f>'Res-Gen'!AH165</f>
        <v>0</v>
      </c>
      <c r="AH110" s="102">
        <f t="shared" si="332"/>
        <v>159800</v>
      </c>
      <c r="AI110" s="99">
        <f>AH110</f>
        <v>159800</v>
      </c>
      <c r="AJ110" s="33">
        <f>'Res-Gen'!AK165</f>
        <v>0</v>
      </c>
      <c r="AK110" s="114">
        <f t="shared" si="333"/>
        <v>159800</v>
      </c>
    </row>
    <row r="111" spans="1:43" x14ac:dyDescent="0.2">
      <c r="A111" s="585"/>
      <c r="B111" s="142"/>
      <c r="C111" s="33"/>
      <c r="D111" s="129"/>
      <c r="E111" s="186"/>
      <c r="F111" s="33"/>
      <c r="G111" s="129"/>
      <c r="H111" s="186"/>
      <c r="I111" s="33"/>
      <c r="J111" s="129"/>
      <c r="K111" s="186"/>
      <c r="L111" s="33"/>
      <c r="M111" s="102"/>
      <c r="N111" s="99"/>
      <c r="O111" s="33"/>
      <c r="P111" s="114"/>
      <c r="Q111" s="99"/>
      <c r="R111" s="33"/>
      <c r="S111" s="102"/>
      <c r="T111" s="99"/>
      <c r="U111" s="33"/>
      <c r="V111" s="102"/>
      <c r="W111" s="99"/>
      <c r="X111" s="33"/>
      <c r="Y111" s="102"/>
      <c r="Z111" s="99"/>
      <c r="AA111" s="33"/>
      <c r="AB111" s="102"/>
      <c r="AC111" s="502"/>
      <c r="AD111" s="33"/>
      <c r="AE111" s="102"/>
      <c r="AF111" s="99"/>
      <c r="AG111" s="33"/>
      <c r="AH111" s="102"/>
      <c r="AI111" s="99"/>
      <c r="AJ111" s="33"/>
      <c r="AK111" s="114"/>
    </row>
    <row r="112" spans="1:43" x14ac:dyDescent="0.2">
      <c r="A112" s="584" t="s">
        <v>2352</v>
      </c>
      <c r="B112" s="142"/>
      <c r="C112" s="33"/>
      <c r="D112" s="129"/>
      <c r="E112" s="186"/>
      <c r="F112" s="33"/>
      <c r="G112" s="129"/>
      <c r="H112" s="186"/>
      <c r="I112" s="33"/>
      <c r="J112" s="129"/>
      <c r="K112" s="186"/>
      <c r="L112" s="33"/>
      <c r="M112" s="102"/>
      <c r="N112" s="99"/>
      <c r="O112" s="33"/>
      <c r="P112" s="114"/>
      <c r="Q112" s="99"/>
      <c r="R112" s="33"/>
      <c r="S112" s="102"/>
      <c r="T112" s="99"/>
      <c r="U112" s="33"/>
      <c r="V112" s="102"/>
      <c r="W112" s="99"/>
      <c r="X112" s="33"/>
      <c r="Y112" s="102"/>
      <c r="Z112" s="99"/>
      <c r="AA112" s="33"/>
      <c r="AB112" s="102"/>
      <c r="AC112" s="502"/>
      <c r="AD112" s="33"/>
      <c r="AE112" s="102"/>
      <c r="AF112" s="99"/>
      <c r="AG112" s="33"/>
      <c r="AH112" s="102"/>
      <c r="AI112" s="99"/>
      <c r="AJ112" s="33"/>
      <c r="AK112" s="114"/>
    </row>
    <row r="113" spans="1:37" x14ac:dyDescent="0.2">
      <c r="A113" s="585" t="s">
        <v>164</v>
      </c>
      <c r="B113" s="142">
        <v>412500</v>
      </c>
      <c r="C113" s="33">
        <f>'Res-Gen'!D172</f>
        <v>-238900</v>
      </c>
      <c r="D113" s="129">
        <f t="shared" ref="D113:D118" si="344">B113+C113</f>
        <v>173600</v>
      </c>
      <c r="E113" s="502">
        <f t="shared" ref="E113" si="345">D113</f>
        <v>173600</v>
      </c>
      <c r="F113" s="33">
        <f>'Res-Gen'!G172</f>
        <v>-173600</v>
      </c>
      <c r="G113" s="129">
        <f t="shared" ref="G113:G118" si="346">E113+F113</f>
        <v>0</v>
      </c>
      <c r="H113" s="502">
        <f t="shared" ref="H113" si="347">G113</f>
        <v>0</v>
      </c>
      <c r="I113" s="33">
        <f>'Res-Gen'!J172</f>
        <v>0</v>
      </c>
      <c r="J113" s="129">
        <f t="shared" ref="J113:J118" si="348">H113+I113</f>
        <v>0</v>
      </c>
      <c r="K113" s="186">
        <f t="shared" ref="K113:K118" si="349">J113</f>
        <v>0</v>
      </c>
      <c r="L113" s="33">
        <f>'Res-Gen'!M172</f>
        <v>0</v>
      </c>
      <c r="M113" s="102">
        <f t="shared" ref="M113:M118" si="350">K113+L113</f>
        <v>0</v>
      </c>
      <c r="N113" s="99">
        <f t="shared" ref="N113" si="351">M113</f>
        <v>0</v>
      </c>
      <c r="O113" s="33">
        <f>'Res-Gen'!P172</f>
        <v>0</v>
      </c>
      <c r="P113" s="114">
        <f t="shared" ref="P113:P118" si="352">N113+O113</f>
        <v>0</v>
      </c>
      <c r="Q113" s="99">
        <f t="shared" ref="Q113" si="353">P113</f>
        <v>0</v>
      </c>
      <c r="R113" s="33">
        <f>'Res-Gen'!S172</f>
        <v>0</v>
      </c>
      <c r="S113" s="102">
        <f t="shared" ref="S113:S118" si="354">Q113+R113</f>
        <v>0</v>
      </c>
      <c r="T113" s="99">
        <f t="shared" ref="T113" si="355">S113</f>
        <v>0</v>
      </c>
      <c r="U113" s="33">
        <f>'Res-Gen'!V172</f>
        <v>0</v>
      </c>
      <c r="V113" s="102">
        <f t="shared" ref="V113:V118" si="356">T113+U113</f>
        <v>0</v>
      </c>
      <c r="W113" s="99">
        <f t="shared" ref="W113" si="357">V113</f>
        <v>0</v>
      </c>
      <c r="X113" s="33">
        <f>'Res-Gen'!Y172</f>
        <v>0</v>
      </c>
      <c r="Y113" s="102">
        <f t="shared" ref="Y113:Y118" si="358">W113+X113</f>
        <v>0</v>
      </c>
      <c r="Z113" s="99">
        <f t="shared" ref="Z113" si="359">Y113</f>
        <v>0</v>
      </c>
      <c r="AA113" s="33">
        <f>'Res-Gen'!AB172</f>
        <v>0</v>
      </c>
      <c r="AB113" s="102">
        <f t="shared" ref="AB113:AB118" si="360">Z113+AA113</f>
        <v>0</v>
      </c>
      <c r="AC113" s="502">
        <f t="shared" ref="AC113" si="361">AB113</f>
        <v>0</v>
      </c>
      <c r="AD113" s="33">
        <f>'Res-Gen'!AE172</f>
        <v>0</v>
      </c>
      <c r="AE113" s="102">
        <f t="shared" ref="AE113" si="362">AC113+AD113</f>
        <v>0</v>
      </c>
      <c r="AF113" s="99">
        <f t="shared" ref="AF113:AF114" si="363">AE113</f>
        <v>0</v>
      </c>
      <c r="AG113" s="33">
        <f>'Res-Gen'!AH172</f>
        <v>0</v>
      </c>
      <c r="AH113" s="102">
        <f t="shared" ref="AH113:AH114" si="364">AF113+AG113</f>
        <v>0</v>
      </c>
      <c r="AI113" s="99">
        <f t="shared" ref="AI113:AI114" si="365">AH113</f>
        <v>0</v>
      </c>
      <c r="AJ113" s="33">
        <f>'Res-Gen'!AK172</f>
        <v>0</v>
      </c>
      <c r="AK113" s="114">
        <f t="shared" ref="AK113:AK114" si="366">AI113+AJ113</f>
        <v>0</v>
      </c>
    </row>
    <row r="114" spans="1:37" x14ac:dyDescent="0.2">
      <c r="A114" s="889" t="s">
        <v>4768</v>
      </c>
      <c r="B114" s="142">
        <v>1525500</v>
      </c>
      <c r="C114" s="33">
        <f>'Res-Gen'!D173</f>
        <v>195400</v>
      </c>
      <c r="D114" s="129">
        <f t="shared" ref="D114" si="367">B114+C114</f>
        <v>1720900</v>
      </c>
      <c r="E114" s="502">
        <f t="shared" ref="E114" si="368">D114</f>
        <v>1720900</v>
      </c>
      <c r="F114" s="33">
        <f>'Res-Gen'!G173</f>
        <v>-840900</v>
      </c>
      <c r="G114" s="129">
        <f t="shared" ref="G114" si="369">E114+F114</f>
        <v>880000</v>
      </c>
      <c r="H114" s="502">
        <f t="shared" ref="H114" si="370">G114</f>
        <v>880000</v>
      </c>
      <c r="I114" s="33">
        <f>'Res-Gen'!J173</f>
        <v>-425000</v>
      </c>
      <c r="J114" s="129">
        <f t="shared" ref="J114" si="371">H114+I114</f>
        <v>455000</v>
      </c>
      <c r="K114" s="186">
        <f t="shared" ref="K114" si="372">J114</f>
        <v>455000</v>
      </c>
      <c r="L114" s="33">
        <f>'Res-Gen'!M173</f>
        <v>-425000</v>
      </c>
      <c r="M114" s="102">
        <f t="shared" ref="M114" si="373">K114+L114</f>
        <v>30000</v>
      </c>
      <c r="N114" s="99">
        <f t="shared" ref="N114" si="374">M114</f>
        <v>30000</v>
      </c>
      <c r="O114" s="33">
        <f>'Res-Gen'!P173</f>
        <v>0</v>
      </c>
      <c r="P114" s="114">
        <f t="shared" ref="P114" si="375">N114+O114</f>
        <v>30000</v>
      </c>
      <c r="Q114" s="99">
        <f t="shared" ref="Q114" si="376">P114</f>
        <v>30000</v>
      </c>
      <c r="R114" s="33">
        <f>'Res-Gen'!S173</f>
        <v>0</v>
      </c>
      <c r="S114" s="102">
        <f t="shared" ref="S114" si="377">Q114+R114</f>
        <v>30000</v>
      </c>
      <c r="T114" s="99">
        <f t="shared" ref="T114" si="378">S114</f>
        <v>30000</v>
      </c>
      <c r="U114" s="33">
        <f>'Res-Gen'!V173</f>
        <v>0</v>
      </c>
      <c r="V114" s="102">
        <f t="shared" ref="V114" si="379">T114+U114</f>
        <v>30000</v>
      </c>
      <c r="W114" s="99">
        <f t="shared" ref="W114" si="380">V114</f>
        <v>30000</v>
      </c>
      <c r="X114" s="33">
        <f>'Res-Gen'!Y173</f>
        <v>0</v>
      </c>
      <c r="Y114" s="102">
        <f t="shared" ref="Y114" si="381">W114+X114</f>
        <v>30000</v>
      </c>
      <c r="Z114" s="99">
        <f t="shared" ref="Z114" si="382">Y114</f>
        <v>30000</v>
      </c>
      <c r="AA114" s="33">
        <f>'Res-Gen'!AB173</f>
        <v>0</v>
      </c>
      <c r="AB114" s="102">
        <f t="shared" ref="AB114" si="383">Z114+AA114</f>
        <v>30000</v>
      </c>
      <c r="AC114" s="502">
        <f t="shared" ref="AC114" si="384">AB114</f>
        <v>30000</v>
      </c>
      <c r="AD114" s="33">
        <f>'Res-Gen'!AE173</f>
        <v>0</v>
      </c>
      <c r="AE114" s="102">
        <f t="shared" ref="AE114" si="385">AC114+AD114</f>
        <v>30000</v>
      </c>
      <c r="AF114" s="99">
        <f t="shared" si="363"/>
        <v>30000</v>
      </c>
      <c r="AG114" s="33">
        <f>'Res-Gen'!AH173</f>
        <v>0</v>
      </c>
      <c r="AH114" s="102">
        <f t="shared" si="364"/>
        <v>30000</v>
      </c>
      <c r="AI114" s="99">
        <f t="shared" si="365"/>
        <v>30000</v>
      </c>
      <c r="AJ114" s="33">
        <f>'Res-Gen'!AK173</f>
        <v>0</v>
      </c>
      <c r="AK114" s="114">
        <f t="shared" si="366"/>
        <v>30000</v>
      </c>
    </row>
    <row r="115" spans="1:37" x14ac:dyDescent="0.2">
      <c r="A115" s="889" t="s">
        <v>4217</v>
      </c>
      <c r="B115" s="142">
        <v>58200</v>
      </c>
      <c r="C115" s="33">
        <f>'Res-Gen'!D174</f>
        <v>-58200</v>
      </c>
      <c r="D115" s="129">
        <f t="shared" si="344"/>
        <v>0</v>
      </c>
      <c r="E115" s="502"/>
      <c r="F115" s="33"/>
      <c r="G115" s="129"/>
      <c r="H115" s="502"/>
      <c r="I115" s="33"/>
      <c r="J115" s="129"/>
      <c r="K115" s="186">
        <f t="shared" si="349"/>
        <v>0</v>
      </c>
      <c r="L115" s="33"/>
      <c r="M115" s="102"/>
      <c r="N115" s="99"/>
      <c r="O115" s="33"/>
      <c r="P115" s="114"/>
      <c r="Q115" s="99"/>
      <c r="R115" s="33"/>
      <c r="S115" s="102"/>
      <c r="T115" s="99"/>
      <c r="U115" s="33"/>
      <c r="V115" s="102"/>
      <c r="W115" s="99"/>
      <c r="X115" s="33"/>
      <c r="Y115" s="102"/>
      <c r="Z115" s="99"/>
      <c r="AA115" s="33"/>
      <c r="AB115" s="102"/>
      <c r="AC115" s="502"/>
      <c r="AD115" s="33"/>
      <c r="AE115" s="102"/>
      <c r="AF115" s="99"/>
      <c r="AG115" s="33"/>
      <c r="AH115" s="102"/>
      <c r="AI115" s="99"/>
      <c r="AJ115" s="33"/>
      <c r="AK115" s="114"/>
    </row>
    <row r="116" spans="1:37" x14ac:dyDescent="0.2">
      <c r="A116" s="585" t="s">
        <v>2093</v>
      </c>
      <c r="B116" s="142">
        <v>14800</v>
      </c>
      <c r="C116" s="33">
        <f>'Res-Gen'!D175</f>
        <v>-14800</v>
      </c>
      <c r="D116" s="129">
        <f t="shared" si="344"/>
        <v>0</v>
      </c>
      <c r="E116" s="502"/>
      <c r="F116" s="33"/>
      <c r="G116" s="129"/>
      <c r="H116" s="502"/>
      <c r="I116" s="33"/>
      <c r="J116" s="129"/>
      <c r="K116" s="186"/>
      <c r="L116" s="33"/>
      <c r="M116" s="102"/>
      <c r="N116" s="99"/>
      <c r="O116" s="33"/>
      <c r="P116" s="114"/>
      <c r="Q116" s="99"/>
      <c r="R116" s="33"/>
      <c r="S116" s="102"/>
      <c r="T116" s="99"/>
      <c r="U116" s="33"/>
      <c r="V116" s="102"/>
      <c r="W116" s="99"/>
      <c r="X116" s="33"/>
      <c r="Y116" s="102"/>
      <c r="Z116" s="99"/>
      <c r="AA116" s="33"/>
      <c r="AB116" s="102"/>
      <c r="AC116" s="502"/>
      <c r="AD116" s="33"/>
      <c r="AE116" s="102"/>
      <c r="AF116" s="99"/>
      <c r="AG116" s="33"/>
      <c r="AH116" s="102"/>
      <c r="AI116" s="99"/>
      <c r="AJ116" s="33"/>
      <c r="AK116" s="114"/>
    </row>
    <row r="117" spans="1:37" x14ac:dyDescent="0.2">
      <c r="A117" s="889" t="s">
        <v>6813</v>
      </c>
      <c r="B117" s="142">
        <v>0</v>
      </c>
      <c r="C117" s="150">
        <f>SUM('Res-Gen'!D176)</f>
        <v>60000</v>
      </c>
      <c r="D117" s="129">
        <f t="shared" ref="D117" si="386">B117+C117</f>
        <v>60000</v>
      </c>
      <c r="E117" s="502">
        <f t="shared" ref="E117" si="387">D117</f>
        <v>60000</v>
      </c>
      <c r="F117" s="33">
        <f>'Res-Gen'!G176</f>
        <v>0</v>
      </c>
      <c r="G117" s="129">
        <f t="shared" ref="G117" si="388">E117+F117</f>
        <v>60000</v>
      </c>
      <c r="H117" s="502">
        <f t="shared" ref="H117" si="389">G117</f>
        <v>60000</v>
      </c>
      <c r="I117" s="33"/>
      <c r="J117" s="129">
        <f t="shared" ref="J117" si="390">H117+I117</f>
        <v>60000</v>
      </c>
      <c r="K117" s="186">
        <f t="shared" ref="K117" si="391">J117</f>
        <v>60000</v>
      </c>
      <c r="L117" s="33"/>
      <c r="M117" s="102">
        <f t="shared" ref="M117" si="392">K117+L117</f>
        <v>60000</v>
      </c>
      <c r="N117" s="99">
        <f t="shared" ref="N117" si="393">M117</f>
        <v>60000</v>
      </c>
      <c r="O117" s="33"/>
      <c r="P117" s="114">
        <f t="shared" ref="P117" si="394">N117+O117</f>
        <v>60000</v>
      </c>
      <c r="Q117" s="99">
        <f t="shared" ref="Q117" si="395">P117</f>
        <v>60000</v>
      </c>
      <c r="R117" s="33"/>
      <c r="S117" s="102">
        <f t="shared" ref="S117" si="396">Q117+R117</f>
        <v>60000</v>
      </c>
      <c r="T117" s="99">
        <f t="shared" ref="T117" si="397">S117</f>
        <v>60000</v>
      </c>
      <c r="U117" s="33"/>
      <c r="V117" s="102">
        <f t="shared" ref="V117" si="398">T117+U117</f>
        <v>60000</v>
      </c>
      <c r="W117" s="99">
        <f t="shared" ref="W117" si="399">V117</f>
        <v>60000</v>
      </c>
      <c r="X117" s="33"/>
      <c r="Y117" s="102">
        <f t="shared" ref="Y117" si="400">W117+X117</f>
        <v>60000</v>
      </c>
      <c r="Z117" s="99">
        <f t="shared" ref="Z117" si="401">Y117</f>
        <v>60000</v>
      </c>
      <c r="AA117" s="33"/>
      <c r="AB117" s="102">
        <f t="shared" ref="AB117" si="402">Z117+AA117</f>
        <v>60000</v>
      </c>
      <c r="AC117" s="502">
        <f t="shared" ref="AC117" si="403">AB117</f>
        <v>60000</v>
      </c>
      <c r="AD117" s="33"/>
      <c r="AE117" s="102">
        <f t="shared" ref="AE117" si="404">AC117+AD117</f>
        <v>60000</v>
      </c>
      <c r="AF117" s="99">
        <f t="shared" ref="AF117" si="405">AE117</f>
        <v>60000</v>
      </c>
      <c r="AG117" s="33"/>
      <c r="AH117" s="102">
        <f t="shared" ref="AH117" si="406">AF117+AG117</f>
        <v>60000</v>
      </c>
      <c r="AI117" s="99">
        <f t="shared" ref="AI117:AI118" si="407">AH117</f>
        <v>60000</v>
      </c>
      <c r="AJ117" s="33"/>
      <c r="AK117" s="114">
        <f t="shared" ref="AK117:AK118" si="408">AI117+AJ117</f>
        <v>60000</v>
      </c>
    </row>
    <row r="118" spans="1:37" x14ac:dyDescent="0.2">
      <c r="A118" s="585" t="s">
        <v>1248</v>
      </c>
      <c r="B118" s="142">
        <v>486300</v>
      </c>
      <c r="C118" s="150">
        <f>SUM('Res-Gen'!D177)</f>
        <v>24200</v>
      </c>
      <c r="D118" s="129">
        <f t="shared" si="344"/>
        <v>510500</v>
      </c>
      <c r="E118" s="502">
        <f t="shared" ref="E118" si="409">D118</f>
        <v>510500</v>
      </c>
      <c r="F118" s="33">
        <f>'Res-Gen'!G177</f>
        <v>-510500</v>
      </c>
      <c r="G118" s="129">
        <f t="shared" si="346"/>
        <v>0</v>
      </c>
      <c r="H118" s="502">
        <f t="shared" ref="H118" si="410">G118</f>
        <v>0</v>
      </c>
      <c r="I118" s="33"/>
      <c r="J118" s="129">
        <f t="shared" si="348"/>
        <v>0</v>
      </c>
      <c r="K118" s="186">
        <f t="shared" si="349"/>
        <v>0</v>
      </c>
      <c r="L118" s="33"/>
      <c r="M118" s="102">
        <f t="shared" si="350"/>
        <v>0</v>
      </c>
      <c r="N118" s="99">
        <f t="shared" ref="N118" si="411">M118</f>
        <v>0</v>
      </c>
      <c r="O118" s="33"/>
      <c r="P118" s="114">
        <f t="shared" si="352"/>
        <v>0</v>
      </c>
      <c r="Q118" s="99">
        <f t="shared" ref="Q118" si="412">P118</f>
        <v>0</v>
      </c>
      <c r="R118" s="33"/>
      <c r="S118" s="102">
        <f t="shared" si="354"/>
        <v>0</v>
      </c>
      <c r="T118" s="99">
        <f t="shared" ref="T118" si="413">S118</f>
        <v>0</v>
      </c>
      <c r="U118" s="33"/>
      <c r="V118" s="102">
        <f t="shared" si="356"/>
        <v>0</v>
      </c>
      <c r="W118" s="99">
        <f t="shared" ref="W118" si="414">V118</f>
        <v>0</v>
      </c>
      <c r="X118" s="33"/>
      <c r="Y118" s="102">
        <f t="shared" si="358"/>
        <v>0</v>
      </c>
      <c r="Z118" s="99">
        <f t="shared" ref="Z118" si="415">Y118</f>
        <v>0</v>
      </c>
      <c r="AA118" s="33"/>
      <c r="AB118" s="102">
        <f t="shared" si="360"/>
        <v>0</v>
      </c>
      <c r="AC118" s="502">
        <f t="shared" ref="AC118" si="416">AB118</f>
        <v>0</v>
      </c>
      <c r="AD118" s="33"/>
      <c r="AE118" s="102">
        <f t="shared" ref="AE118" si="417">AC118+AD118</f>
        <v>0</v>
      </c>
      <c r="AF118" s="99">
        <f t="shared" ref="AF118" si="418">AE118</f>
        <v>0</v>
      </c>
      <c r="AG118" s="33"/>
      <c r="AH118" s="102">
        <f t="shared" ref="AH118" si="419">AF118+AG118</f>
        <v>0</v>
      </c>
      <c r="AI118" s="99">
        <f t="shared" si="407"/>
        <v>0</v>
      </c>
      <c r="AJ118" s="33"/>
      <c r="AK118" s="114">
        <f t="shared" si="408"/>
        <v>0</v>
      </c>
    </row>
    <row r="119" spans="1:37" x14ac:dyDescent="0.2">
      <c r="A119" s="585"/>
      <c r="B119" s="142"/>
      <c r="C119" s="33"/>
      <c r="D119" s="129"/>
      <c r="E119" s="502"/>
      <c r="F119" s="33"/>
      <c r="G119" s="129"/>
      <c r="H119" s="502"/>
      <c r="I119" s="33"/>
      <c r="J119" s="129"/>
      <c r="K119" s="186"/>
      <c r="L119" s="33"/>
      <c r="M119" s="102"/>
      <c r="N119" s="99"/>
      <c r="O119" s="33"/>
      <c r="P119" s="114"/>
      <c r="Q119" s="99"/>
      <c r="R119" s="33"/>
      <c r="S119" s="102"/>
      <c r="T119" s="99"/>
      <c r="U119" s="33"/>
      <c r="V119" s="102"/>
      <c r="W119" s="99"/>
      <c r="X119" s="33"/>
      <c r="Y119" s="102"/>
      <c r="Z119" s="99"/>
      <c r="AA119" s="33"/>
      <c r="AB119" s="102"/>
      <c r="AC119" s="502"/>
      <c r="AD119" s="33"/>
      <c r="AE119" s="102"/>
      <c r="AF119" s="99"/>
      <c r="AG119" s="33"/>
      <c r="AH119" s="102"/>
      <c r="AI119" s="99"/>
      <c r="AJ119" s="33"/>
      <c r="AK119" s="114"/>
    </row>
    <row r="120" spans="1:37" x14ac:dyDescent="0.2">
      <c r="A120" s="1106" t="s">
        <v>460</v>
      </c>
      <c r="B120" s="142"/>
      <c r="C120" s="33"/>
      <c r="D120" s="129"/>
      <c r="E120" s="502"/>
      <c r="F120" s="33"/>
      <c r="G120" s="129"/>
      <c r="H120" s="502"/>
      <c r="I120" s="33"/>
      <c r="J120" s="129"/>
      <c r="K120" s="186"/>
      <c r="L120" s="33"/>
      <c r="M120" s="102"/>
      <c r="N120" s="99"/>
      <c r="O120" s="33"/>
      <c r="P120" s="114"/>
      <c r="Q120" s="99"/>
      <c r="R120" s="33"/>
      <c r="S120" s="102"/>
      <c r="T120" s="99"/>
      <c r="U120" s="33"/>
      <c r="V120" s="102"/>
      <c r="W120" s="99"/>
      <c r="X120" s="33"/>
      <c r="Y120" s="102"/>
      <c r="Z120" s="99"/>
      <c r="AA120" s="33"/>
      <c r="AB120" s="102"/>
      <c r="AC120" s="502"/>
      <c r="AD120" s="33"/>
      <c r="AE120" s="102"/>
      <c r="AF120" s="99"/>
      <c r="AG120" s="33"/>
      <c r="AH120" s="102"/>
      <c r="AI120" s="99"/>
      <c r="AJ120" s="33"/>
      <c r="AK120" s="114"/>
    </row>
    <row r="121" spans="1:37" x14ac:dyDescent="0.2">
      <c r="A121" s="889" t="s">
        <v>5389</v>
      </c>
      <c r="B121" s="142">
        <f>80900+63200</f>
        <v>144100</v>
      </c>
      <c r="C121" s="33">
        <f>'Res-Gen'!D185+'Res-Gen'!D183+'Res-Gen'!D180++'Res-Gen'!D187+'Res-Gen'!D186+'Res-Gen'!D184</f>
        <v>-22000</v>
      </c>
      <c r="D121" s="129">
        <f>B121+C121</f>
        <v>122100</v>
      </c>
      <c r="E121" s="502">
        <f t="shared" ref="E121" si="420">D121</f>
        <v>122100</v>
      </c>
      <c r="F121" s="33">
        <f>SUM('Res-Gen'!G180:G188)</f>
        <v>-107400</v>
      </c>
      <c r="G121" s="129">
        <f>E121+F121</f>
        <v>14700</v>
      </c>
      <c r="H121" s="502">
        <f t="shared" ref="H121" si="421">G121</f>
        <v>14700</v>
      </c>
      <c r="I121" s="33"/>
      <c r="J121" s="129">
        <f>H121+I121</f>
        <v>14700</v>
      </c>
      <c r="K121" s="186">
        <f>J121</f>
        <v>14700</v>
      </c>
      <c r="L121" s="33"/>
      <c r="M121" s="102">
        <f>K121+L121</f>
        <v>14700</v>
      </c>
      <c r="N121" s="99">
        <f t="shared" ref="N121" si="422">M121</f>
        <v>14700</v>
      </c>
      <c r="O121" s="33"/>
      <c r="P121" s="114">
        <f>N121+O121</f>
        <v>14700</v>
      </c>
      <c r="Q121" s="99">
        <f t="shared" ref="Q121" si="423">P121</f>
        <v>14700</v>
      </c>
      <c r="R121" s="33"/>
      <c r="S121" s="102">
        <f>Q121+R121</f>
        <v>14700</v>
      </c>
      <c r="T121" s="99">
        <f t="shared" ref="T121" si="424">S121</f>
        <v>14700</v>
      </c>
      <c r="U121" s="33"/>
      <c r="V121" s="102">
        <f>T121+U121</f>
        <v>14700</v>
      </c>
      <c r="W121" s="99">
        <f t="shared" ref="W121" si="425">V121</f>
        <v>14700</v>
      </c>
      <c r="X121" s="33"/>
      <c r="Y121" s="102">
        <f>W121+X121</f>
        <v>14700</v>
      </c>
      <c r="Z121" s="99">
        <f t="shared" ref="Z121" si="426">Y121</f>
        <v>14700</v>
      </c>
      <c r="AA121" s="33"/>
      <c r="AB121" s="102">
        <f>Z121+AA121</f>
        <v>14700</v>
      </c>
      <c r="AC121" s="502">
        <f t="shared" ref="AC121" si="427">AB121</f>
        <v>14700</v>
      </c>
      <c r="AD121" s="33"/>
      <c r="AE121" s="102">
        <f>AC121+AD121</f>
        <v>14700</v>
      </c>
      <c r="AF121" s="99">
        <f t="shared" ref="AF121" si="428">AE121</f>
        <v>14700</v>
      </c>
      <c r="AG121" s="33"/>
      <c r="AH121" s="102">
        <f>AF121+AG121</f>
        <v>14700</v>
      </c>
      <c r="AI121" s="99">
        <f t="shared" ref="AI121" si="429">AH121</f>
        <v>14700</v>
      </c>
      <c r="AJ121" s="33"/>
      <c r="AK121" s="114">
        <f>AI121+AJ121</f>
        <v>14700</v>
      </c>
    </row>
    <row r="122" spans="1:37" x14ac:dyDescent="0.2">
      <c r="A122" s="889" t="s">
        <v>7047</v>
      </c>
      <c r="B122" s="142">
        <v>0</v>
      </c>
      <c r="C122" s="33">
        <f>'Res-Gen'!D192</f>
        <v>0</v>
      </c>
      <c r="D122" s="129">
        <f>B122+C122</f>
        <v>0</v>
      </c>
      <c r="E122" s="502">
        <f t="shared" ref="E122" si="430">D122</f>
        <v>0</v>
      </c>
      <c r="F122" s="33">
        <f>'Res-Gen'!G192</f>
        <v>0</v>
      </c>
      <c r="G122" s="129">
        <f>E122+F122</f>
        <v>0</v>
      </c>
      <c r="H122" s="502">
        <f t="shared" ref="H122" si="431">G122</f>
        <v>0</v>
      </c>
      <c r="I122" s="33">
        <f>'Res-Gen'!J192</f>
        <v>0</v>
      </c>
      <c r="J122" s="129">
        <f>H122+I122</f>
        <v>0</v>
      </c>
      <c r="K122" s="186">
        <f>J122</f>
        <v>0</v>
      </c>
      <c r="L122" s="33">
        <f>'Res-Gen'!M192</f>
        <v>50000</v>
      </c>
      <c r="M122" s="102">
        <f>K122+L122</f>
        <v>50000</v>
      </c>
      <c r="N122" s="99">
        <f t="shared" ref="N122" si="432">M122</f>
        <v>50000</v>
      </c>
      <c r="O122" s="33">
        <f>'Res-Gen'!P192</f>
        <v>-50000</v>
      </c>
      <c r="P122" s="114">
        <f>N122+O122</f>
        <v>0</v>
      </c>
      <c r="Q122" s="99">
        <f t="shared" ref="Q122" si="433">P122</f>
        <v>0</v>
      </c>
      <c r="R122" s="33">
        <f>'Res-Gen'!S192</f>
        <v>50000</v>
      </c>
      <c r="S122" s="102">
        <f>Q122+R122</f>
        <v>50000</v>
      </c>
      <c r="T122" s="99">
        <f t="shared" ref="T122" si="434">S122</f>
        <v>50000</v>
      </c>
      <c r="U122" s="33">
        <f>'Res-Gen'!V192</f>
        <v>-50000</v>
      </c>
      <c r="V122" s="102">
        <f>T122+U122</f>
        <v>0</v>
      </c>
      <c r="W122" s="99">
        <f t="shared" ref="W122" si="435">V122</f>
        <v>0</v>
      </c>
      <c r="X122" s="33">
        <f>'Res-Gen'!Y192</f>
        <v>50000</v>
      </c>
      <c r="Y122" s="102">
        <f>W122+X122</f>
        <v>50000</v>
      </c>
      <c r="Z122" s="99">
        <f t="shared" ref="Z122" si="436">Y122</f>
        <v>50000</v>
      </c>
      <c r="AA122" s="33">
        <f>'Res-Gen'!AB192</f>
        <v>-50000</v>
      </c>
      <c r="AB122" s="102">
        <f>Z122+AA122</f>
        <v>0</v>
      </c>
      <c r="AC122" s="502">
        <f t="shared" ref="AC122" si="437">AB122</f>
        <v>0</v>
      </c>
      <c r="AD122" s="33">
        <f>'Res-Gen'!AE192</f>
        <v>50000</v>
      </c>
      <c r="AE122" s="102">
        <f>AC122+AD122</f>
        <v>50000</v>
      </c>
      <c r="AF122" s="99">
        <f t="shared" ref="AF122" si="438">AE122</f>
        <v>50000</v>
      </c>
      <c r="AG122" s="33">
        <f>'Res-Gen'!AH192</f>
        <v>-50000</v>
      </c>
      <c r="AH122" s="102">
        <f>AF122+AG122</f>
        <v>0</v>
      </c>
      <c r="AI122" s="99">
        <f t="shared" ref="AI122" si="439">AH122</f>
        <v>0</v>
      </c>
      <c r="AJ122" s="33">
        <f>'Res-Gen'!AK192</f>
        <v>50000</v>
      </c>
      <c r="AK122" s="114">
        <f>AI122+AJ122</f>
        <v>50000</v>
      </c>
    </row>
    <row r="123" spans="1:37" x14ac:dyDescent="0.2">
      <c r="A123" s="585"/>
      <c r="B123" s="142"/>
      <c r="C123" s="33"/>
      <c r="D123" s="129"/>
      <c r="E123" s="502"/>
      <c r="F123" s="33"/>
      <c r="G123" s="129"/>
      <c r="H123" s="502"/>
      <c r="I123" s="33"/>
      <c r="J123" s="129"/>
      <c r="K123" s="186"/>
      <c r="L123" s="33"/>
      <c r="M123" s="102"/>
      <c r="N123" s="99"/>
      <c r="O123" s="33"/>
      <c r="P123" s="114"/>
      <c r="Q123" s="99"/>
      <c r="R123" s="33"/>
      <c r="S123" s="102"/>
      <c r="T123" s="99"/>
      <c r="U123" s="33"/>
      <c r="V123" s="102"/>
      <c r="W123" s="99"/>
      <c r="X123" s="33"/>
      <c r="Y123" s="102"/>
      <c r="Z123" s="99"/>
      <c r="AA123" s="33"/>
      <c r="AB123" s="102"/>
      <c r="AC123" s="502"/>
      <c r="AD123" s="33"/>
      <c r="AE123" s="102"/>
      <c r="AF123" s="99"/>
      <c r="AG123" s="33"/>
      <c r="AH123" s="102"/>
      <c r="AI123" s="99"/>
      <c r="AJ123" s="33"/>
      <c r="AK123" s="114"/>
    </row>
    <row r="124" spans="1:37" x14ac:dyDescent="0.2">
      <c r="A124" s="1106" t="s">
        <v>3078</v>
      </c>
      <c r="B124" s="142"/>
      <c r="C124" s="33"/>
      <c r="D124" s="129"/>
      <c r="E124" s="502"/>
      <c r="F124" s="33"/>
      <c r="G124" s="129"/>
      <c r="H124" s="502"/>
      <c r="I124" s="33"/>
      <c r="J124" s="129"/>
      <c r="K124" s="186"/>
      <c r="L124" s="33"/>
      <c r="M124" s="102"/>
      <c r="N124" s="99"/>
      <c r="O124" s="33"/>
      <c r="P124" s="114"/>
      <c r="Q124" s="99"/>
      <c r="R124" s="33"/>
      <c r="S124" s="102"/>
      <c r="T124" s="99"/>
      <c r="U124" s="33"/>
      <c r="V124" s="102"/>
      <c r="W124" s="99"/>
      <c r="X124" s="33"/>
      <c r="Y124" s="102"/>
      <c r="Z124" s="99"/>
      <c r="AA124" s="33"/>
      <c r="AB124" s="102"/>
      <c r="AC124" s="502"/>
      <c r="AD124" s="33"/>
      <c r="AE124" s="102"/>
      <c r="AF124" s="99"/>
      <c r="AG124" s="33"/>
      <c r="AH124" s="102"/>
      <c r="AI124" s="99"/>
      <c r="AJ124" s="33"/>
      <c r="AK124" s="114"/>
    </row>
    <row r="125" spans="1:37" x14ac:dyDescent="0.2">
      <c r="A125" s="889" t="s">
        <v>3078</v>
      </c>
      <c r="B125" s="142">
        <v>146900</v>
      </c>
      <c r="C125" s="33">
        <f>'Res-Gen'!D195</f>
        <v>-43800</v>
      </c>
      <c r="D125" s="129">
        <f>B125+C125</f>
        <v>103100</v>
      </c>
      <c r="E125" s="502">
        <f>D125</f>
        <v>103100</v>
      </c>
      <c r="F125" s="33">
        <f>'Res-Gen'!G195</f>
        <v>-103100</v>
      </c>
      <c r="G125" s="129">
        <f>E125+F125</f>
        <v>0</v>
      </c>
      <c r="H125" s="502">
        <f>G125</f>
        <v>0</v>
      </c>
      <c r="I125" s="33">
        <f>'Res-Gen'!J203</f>
        <v>0</v>
      </c>
      <c r="J125" s="129">
        <f>H125+I125</f>
        <v>0</v>
      </c>
      <c r="K125" s="186">
        <f>J125</f>
        <v>0</v>
      </c>
      <c r="L125" s="33">
        <f>'Res-Gen'!M203</f>
        <v>0</v>
      </c>
      <c r="M125" s="102">
        <f>K125+L125</f>
        <v>0</v>
      </c>
      <c r="N125" s="99">
        <f>M125</f>
        <v>0</v>
      </c>
      <c r="O125" s="33">
        <f>'Res-Gen'!P203</f>
        <v>0</v>
      </c>
      <c r="P125" s="114">
        <f>N125+O125</f>
        <v>0</v>
      </c>
      <c r="Q125" s="99">
        <f>P125</f>
        <v>0</v>
      </c>
      <c r="R125" s="33">
        <f>'Res-Gen'!S203</f>
        <v>0</v>
      </c>
      <c r="S125" s="102">
        <f>Q125+R125</f>
        <v>0</v>
      </c>
      <c r="T125" s="99">
        <f>S125</f>
        <v>0</v>
      </c>
      <c r="U125" s="33">
        <f>'Res-Gen'!V203</f>
        <v>0</v>
      </c>
      <c r="V125" s="102">
        <f>T125+U125</f>
        <v>0</v>
      </c>
      <c r="W125" s="99">
        <f>V125</f>
        <v>0</v>
      </c>
      <c r="X125" s="33">
        <f>'Res-Gen'!Y203</f>
        <v>0</v>
      </c>
      <c r="Y125" s="102">
        <f>W125+X125</f>
        <v>0</v>
      </c>
      <c r="Z125" s="99">
        <f>Y125</f>
        <v>0</v>
      </c>
      <c r="AA125" s="33">
        <f>'Res-Gen'!AB203</f>
        <v>0</v>
      </c>
      <c r="AB125" s="102">
        <f>Z125+AA125</f>
        <v>0</v>
      </c>
      <c r="AC125" s="502">
        <f>AB125</f>
        <v>0</v>
      </c>
      <c r="AD125" s="33">
        <f>'Res-Gen'!AE203</f>
        <v>0</v>
      </c>
      <c r="AE125" s="102">
        <f>AC125+AD125</f>
        <v>0</v>
      </c>
      <c r="AF125" s="99">
        <f>AE125</f>
        <v>0</v>
      </c>
      <c r="AG125" s="33">
        <f>'Res-Gen'!AH203</f>
        <v>0</v>
      </c>
      <c r="AH125" s="102">
        <f>AF125+AG125</f>
        <v>0</v>
      </c>
      <c r="AI125" s="99">
        <f>AH125</f>
        <v>0</v>
      </c>
      <c r="AJ125" s="33">
        <f>'Res-Gen'!AK203</f>
        <v>0</v>
      </c>
      <c r="AK125" s="114">
        <f>AI125+AJ125</f>
        <v>0</v>
      </c>
    </row>
    <row r="126" spans="1:37" x14ac:dyDescent="0.2">
      <c r="A126" s="585"/>
      <c r="B126" s="142"/>
      <c r="C126" s="33"/>
      <c r="D126" s="129"/>
      <c r="E126" s="186"/>
      <c r="F126" s="33"/>
      <c r="G126" s="129"/>
      <c r="H126" s="186"/>
      <c r="I126" s="33"/>
      <c r="J126" s="129"/>
      <c r="K126" s="186"/>
      <c r="L126" s="33"/>
      <c r="M126" s="102"/>
      <c r="N126" s="99"/>
      <c r="O126" s="33"/>
      <c r="P126" s="114"/>
      <c r="Q126" s="99"/>
      <c r="R126" s="33"/>
      <c r="S126" s="102"/>
      <c r="T126" s="99"/>
      <c r="U126" s="33"/>
      <c r="V126" s="102"/>
      <c r="W126" s="99"/>
      <c r="X126" s="33"/>
      <c r="Y126" s="102"/>
      <c r="Z126" s="99"/>
      <c r="AA126" s="33"/>
      <c r="AB126" s="102"/>
      <c r="AC126" s="502"/>
      <c r="AD126" s="33"/>
      <c r="AE126" s="102"/>
      <c r="AF126" s="99"/>
      <c r="AG126" s="33"/>
      <c r="AH126" s="102"/>
      <c r="AI126" s="99"/>
      <c r="AJ126" s="33"/>
      <c r="AK126" s="114"/>
    </row>
    <row r="127" spans="1:37" x14ac:dyDescent="0.2">
      <c r="A127" s="1106" t="s">
        <v>500</v>
      </c>
      <c r="B127" s="142"/>
      <c r="C127" s="33"/>
      <c r="D127" s="129"/>
      <c r="E127" s="186"/>
      <c r="F127" s="33"/>
      <c r="G127" s="129"/>
      <c r="H127" s="186"/>
      <c r="I127" s="33"/>
      <c r="J127" s="129"/>
      <c r="K127" s="186"/>
      <c r="L127" s="33"/>
      <c r="M127" s="102"/>
      <c r="N127" s="99"/>
      <c r="O127" s="33"/>
      <c r="P127" s="114"/>
      <c r="Q127" s="99"/>
      <c r="R127" s="33"/>
      <c r="S127" s="102"/>
      <c r="T127" s="99"/>
      <c r="U127" s="33"/>
      <c r="V127" s="102"/>
      <c r="W127" s="99"/>
      <c r="X127" s="33"/>
      <c r="Y127" s="102"/>
      <c r="Z127" s="99"/>
      <c r="AA127" s="33"/>
      <c r="AB127" s="102"/>
      <c r="AC127" s="502"/>
      <c r="AD127" s="33"/>
      <c r="AE127" s="102"/>
      <c r="AF127" s="99"/>
      <c r="AG127" s="33"/>
      <c r="AH127" s="102"/>
      <c r="AI127" s="99"/>
      <c r="AJ127" s="33"/>
      <c r="AK127" s="114"/>
    </row>
    <row r="128" spans="1:37" x14ac:dyDescent="0.2">
      <c r="A128" s="889" t="s">
        <v>3122</v>
      </c>
      <c r="B128" s="142">
        <v>501600</v>
      </c>
      <c r="C128" s="33">
        <f>+'Res-Gen'!D205+'Res-Gen'!D212</f>
        <v>-248300</v>
      </c>
      <c r="D128" s="129">
        <f t="shared" ref="D128:D135" si="440">B128+C128</f>
        <v>253300</v>
      </c>
      <c r="E128" s="502">
        <f>D128</f>
        <v>253300</v>
      </c>
      <c r="F128" s="33">
        <f>SUM('Res-Gen'!G204:G207)</f>
        <v>-153300</v>
      </c>
      <c r="G128" s="129">
        <f t="shared" ref="G128:G135" si="441">E128+F128</f>
        <v>100000</v>
      </c>
      <c r="H128" s="502">
        <f t="shared" ref="H128:H135" si="442">G128</f>
        <v>100000</v>
      </c>
      <c r="I128" s="33"/>
      <c r="J128" s="129">
        <f t="shared" ref="J128:J135" si="443">H128+I128</f>
        <v>100000</v>
      </c>
      <c r="K128" s="186">
        <f t="shared" ref="K128:K135" si="444">J128</f>
        <v>100000</v>
      </c>
      <c r="L128" s="33"/>
      <c r="M128" s="102">
        <f t="shared" ref="M128:M135" si="445">K128+L128</f>
        <v>100000</v>
      </c>
      <c r="N128" s="99">
        <f t="shared" ref="N128:N135" si="446">M128</f>
        <v>100000</v>
      </c>
      <c r="O128" s="33"/>
      <c r="P128" s="114">
        <f t="shared" ref="P128:P135" si="447">N128+O128</f>
        <v>100000</v>
      </c>
      <c r="Q128" s="99">
        <f t="shared" ref="Q128:Q135" si="448">P128</f>
        <v>100000</v>
      </c>
      <c r="R128" s="33"/>
      <c r="S128" s="102">
        <f t="shared" ref="S128:S135" si="449">Q128+R128</f>
        <v>100000</v>
      </c>
      <c r="T128" s="99">
        <f t="shared" ref="T128:T135" si="450">S128</f>
        <v>100000</v>
      </c>
      <c r="U128" s="33"/>
      <c r="V128" s="102">
        <f t="shared" ref="V128:V135" si="451">T128+U128</f>
        <v>100000</v>
      </c>
      <c r="W128" s="99">
        <f t="shared" ref="W128:W135" si="452">V128</f>
        <v>100000</v>
      </c>
      <c r="X128" s="33"/>
      <c r="Y128" s="102">
        <f t="shared" ref="Y128:Y135" si="453">W128+X128</f>
        <v>100000</v>
      </c>
      <c r="Z128" s="99">
        <f t="shared" ref="Z128:Z135" si="454">Y128</f>
        <v>100000</v>
      </c>
      <c r="AA128" s="33"/>
      <c r="AB128" s="102">
        <f t="shared" ref="AB128:AB135" si="455">Z128+AA128</f>
        <v>100000</v>
      </c>
      <c r="AC128" s="502">
        <f t="shared" ref="AC128" si="456">AB128</f>
        <v>100000</v>
      </c>
      <c r="AD128" s="33"/>
      <c r="AE128" s="102">
        <f t="shared" ref="AE128" si="457">AC128+AD128</f>
        <v>100000</v>
      </c>
      <c r="AF128" s="99">
        <f t="shared" ref="AF128" si="458">AE128</f>
        <v>100000</v>
      </c>
      <c r="AG128" s="33"/>
      <c r="AH128" s="102">
        <f t="shared" ref="AH128" si="459">AF128+AG128</f>
        <v>100000</v>
      </c>
      <c r="AI128" s="99">
        <f t="shared" ref="AI128" si="460">AH128</f>
        <v>100000</v>
      </c>
      <c r="AJ128" s="33"/>
      <c r="AK128" s="114">
        <f t="shared" ref="AK128" si="461">AI128+AJ128</f>
        <v>100000</v>
      </c>
    </row>
    <row r="129" spans="1:43" x14ac:dyDescent="0.2">
      <c r="A129" s="585" t="s">
        <v>167</v>
      </c>
      <c r="B129" s="142">
        <v>178000</v>
      </c>
      <c r="C129" s="33">
        <f>'Res-Gen'!D209</f>
        <v>-19100</v>
      </c>
      <c r="D129" s="129">
        <f>B129+C129</f>
        <v>158900</v>
      </c>
      <c r="E129" s="502">
        <f>D129</f>
        <v>158900</v>
      </c>
      <c r="F129" s="33">
        <f>'Res-Gen'!G209</f>
        <v>-158900</v>
      </c>
      <c r="G129" s="129">
        <f>E129+F129</f>
        <v>0</v>
      </c>
      <c r="H129" s="502">
        <f>G129</f>
        <v>0</v>
      </c>
      <c r="I129" s="33">
        <f>'Res-Gen'!J209</f>
        <v>0</v>
      </c>
      <c r="J129" s="129">
        <f>H129+I129</f>
        <v>0</v>
      </c>
      <c r="K129" s="186">
        <f>J129</f>
        <v>0</v>
      </c>
      <c r="L129" s="33">
        <f>'Res-Gen'!M209</f>
        <v>0</v>
      </c>
      <c r="M129" s="102">
        <f>K129+L129</f>
        <v>0</v>
      </c>
      <c r="N129" s="99">
        <f>M129</f>
        <v>0</v>
      </c>
      <c r="O129" s="33">
        <f>'Res-Gen'!P209</f>
        <v>0</v>
      </c>
      <c r="P129" s="114">
        <f>N129+O129</f>
        <v>0</v>
      </c>
      <c r="Q129" s="99">
        <f>P129</f>
        <v>0</v>
      </c>
      <c r="R129" s="33">
        <f>'Res-Gen'!S209</f>
        <v>0</v>
      </c>
      <c r="S129" s="102">
        <f>Q129+R129</f>
        <v>0</v>
      </c>
      <c r="T129" s="99">
        <f>S129</f>
        <v>0</v>
      </c>
      <c r="U129" s="33">
        <f>'Res-Gen'!V209</f>
        <v>0</v>
      </c>
      <c r="V129" s="102">
        <f>T129+U129</f>
        <v>0</v>
      </c>
      <c r="W129" s="99">
        <f>V129</f>
        <v>0</v>
      </c>
      <c r="X129" s="33">
        <f>'Res-Gen'!Y209</f>
        <v>0</v>
      </c>
      <c r="Y129" s="102">
        <f>W129+X129</f>
        <v>0</v>
      </c>
      <c r="Z129" s="99">
        <f>Y129</f>
        <v>0</v>
      </c>
      <c r="AA129" s="33">
        <f>'Res-Gen'!AB209</f>
        <v>0</v>
      </c>
      <c r="AB129" s="102">
        <f>Z129+AA129</f>
        <v>0</v>
      </c>
      <c r="AC129" s="502">
        <f>AB129</f>
        <v>0</v>
      </c>
      <c r="AD129" s="33">
        <f>'Res-Gen'!AE209</f>
        <v>0</v>
      </c>
      <c r="AE129" s="102">
        <f>AC129+AD129</f>
        <v>0</v>
      </c>
      <c r="AF129" s="99">
        <f>AE129</f>
        <v>0</v>
      </c>
      <c r="AG129" s="33">
        <f>'Res-Gen'!AH209</f>
        <v>0</v>
      </c>
      <c r="AH129" s="102">
        <f>AF129+AG129</f>
        <v>0</v>
      </c>
      <c r="AI129" s="99">
        <f>AH129</f>
        <v>0</v>
      </c>
      <c r="AJ129" s="33">
        <f>'Res-Gen'!AK209</f>
        <v>0</v>
      </c>
      <c r="AK129" s="114">
        <f>AI129+AJ129</f>
        <v>0</v>
      </c>
    </row>
    <row r="130" spans="1:43" x14ac:dyDescent="0.2">
      <c r="A130" s="585"/>
      <c r="B130" s="142"/>
      <c r="C130" s="33"/>
      <c r="D130" s="129"/>
      <c r="E130" s="502"/>
      <c r="F130" s="33"/>
      <c r="G130" s="129"/>
      <c r="H130" s="502"/>
      <c r="I130" s="33"/>
      <c r="J130" s="129"/>
      <c r="K130" s="186"/>
      <c r="L130" s="33"/>
      <c r="M130" s="102"/>
      <c r="N130" s="99"/>
      <c r="O130" s="33"/>
      <c r="P130" s="114"/>
      <c r="Q130" s="99"/>
      <c r="R130" s="33"/>
      <c r="S130" s="102"/>
      <c r="T130" s="99"/>
      <c r="U130" s="33"/>
      <c r="V130" s="102"/>
      <c r="W130" s="99"/>
      <c r="X130" s="33"/>
      <c r="Y130" s="102"/>
      <c r="Z130" s="99"/>
      <c r="AA130" s="33"/>
      <c r="AB130" s="102"/>
      <c r="AC130" s="502"/>
      <c r="AD130" s="33"/>
      <c r="AE130" s="102"/>
      <c r="AF130" s="99"/>
      <c r="AG130" s="33"/>
      <c r="AH130" s="102"/>
      <c r="AI130" s="99"/>
      <c r="AJ130" s="33"/>
      <c r="AK130" s="114"/>
    </row>
    <row r="131" spans="1:43" x14ac:dyDescent="0.2">
      <c r="A131" s="1106" t="s">
        <v>3687</v>
      </c>
      <c r="B131" s="142"/>
      <c r="C131" s="33"/>
      <c r="D131" s="129"/>
      <c r="E131" s="502"/>
      <c r="F131" s="33"/>
      <c r="G131" s="129"/>
      <c r="H131" s="502"/>
      <c r="I131" s="33"/>
      <c r="J131" s="129"/>
      <c r="K131" s="186"/>
      <c r="L131" s="33"/>
      <c r="M131" s="102"/>
      <c r="N131" s="99"/>
      <c r="O131" s="33"/>
      <c r="P131" s="114"/>
      <c r="Q131" s="99"/>
      <c r="R131" s="33"/>
      <c r="S131" s="102"/>
      <c r="T131" s="99"/>
      <c r="U131" s="33"/>
      <c r="V131" s="102"/>
      <c r="W131" s="99"/>
      <c r="X131" s="33"/>
      <c r="Y131" s="102"/>
      <c r="Z131" s="99"/>
      <c r="AA131" s="33"/>
      <c r="AB131" s="102"/>
      <c r="AC131" s="502"/>
      <c r="AD131" s="33"/>
      <c r="AE131" s="102"/>
      <c r="AF131" s="99"/>
      <c r="AG131" s="33"/>
      <c r="AH131" s="102"/>
      <c r="AI131" s="99"/>
      <c r="AJ131" s="33"/>
      <c r="AK131" s="114"/>
    </row>
    <row r="132" spans="1:43" x14ac:dyDescent="0.2">
      <c r="A132" s="889" t="s">
        <v>6814</v>
      </c>
      <c r="B132" s="142">
        <v>2656100</v>
      </c>
      <c r="C132" s="33">
        <f>'Res-Gen'!D214</f>
        <v>-1347000</v>
      </c>
      <c r="D132" s="129">
        <f>B132+C132</f>
        <v>1309100</v>
      </c>
      <c r="E132" s="502">
        <f>D132</f>
        <v>1309100</v>
      </c>
      <c r="F132" s="33">
        <f>'Res-Gen'!G214</f>
        <v>-1309100</v>
      </c>
      <c r="G132" s="129">
        <f>E132+F132</f>
        <v>0</v>
      </c>
      <c r="H132" s="502">
        <f>G132</f>
        <v>0</v>
      </c>
      <c r="I132" s="33"/>
      <c r="J132" s="129">
        <f>H132+I132</f>
        <v>0</v>
      </c>
      <c r="K132" s="186">
        <f>J132</f>
        <v>0</v>
      </c>
      <c r="L132" s="33"/>
      <c r="M132" s="102">
        <f>K132+L132</f>
        <v>0</v>
      </c>
      <c r="N132" s="99">
        <f>M132</f>
        <v>0</v>
      </c>
      <c r="O132" s="33"/>
      <c r="P132" s="114">
        <f>N132+O132</f>
        <v>0</v>
      </c>
      <c r="Q132" s="99">
        <f>P132</f>
        <v>0</v>
      </c>
      <c r="R132" s="33"/>
      <c r="S132" s="102">
        <f>Q132+R132</f>
        <v>0</v>
      </c>
      <c r="T132" s="99">
        <f>S132</f>
        <v>0</v>
      </c>
      <c r="U132" s="33"/>
      <c r="V132" s="102">
        <f>T132+U132</f>
        <v>0</v>
      </c>
      <c r="W132" s="99">
        <f>V132</f>
        <v>0</v>
      </c>
      <c r="X132" s="33"/>
      <c r="Y132" s="102">
        <f>W132+X132</f>
        <v>0</v>
      </c>
      <c r="Z132" s="99">
        <f>Y132</f>
        <v>0</v>
      </c>
      <c r="AA132" s="33"/>
      <c r="AB132" s="102">
        <f>Z132+AA132</f>
        <v>0</v>
      </c>
      <c r="AC132" s="502">
        <f>AB132</f>
        <v>0</v>
      </c>
      <c r="AD132" s="33"/>
      <c r="AE132" s="102">
        <f>AC132+AD132</f>
        <v>0</v>
      </c>
      <c r="AF132" s="99">
        <f>AE132</f>
        <v>0</v>
      </c>
      <c r="AG132" s="33"/>
      <c r="AH132" s="102">
        <f>AF132+AG132</f>
        <v>0</v>
      </c>
      <c r="AI132" s="99">
        <f>AH132</f>
        <v>0</v>
      </c>
      <c r="AJ132" s="33"/>
      <c r="AK132" s="114">
        <f>AI132+AJ132</f>
        <v>0</v>
      </c>
      <c r="AL132" s="376"/>
      <c r="AM132" s="376"/>
      <c r="AN132" s="376"/>
      <c r="AO132" s="376"/>
      <c r="AP132" s="376"/>
      <c r="AQ132" s="376"/>
    </row>
    <row r="133" spans="1:43" x14ac:dyDescent="0.2">
      <c r="A133" s="889" t="s">
        <v>6815</v>
      </c>
      <c r="B133" s="142">
        <v>2398600</v>
      </c>
      <c r="C133" s="33">
        <f>'Res-Gen'!D215</f>
        <v>-962500</v>
      </c>
      <c r="D133" s="129">
        <f>B133+C133</f>
        <v>1436100</v>
      </c>
      <c r="E133" s="502">
        <f>D133</f>
        <v>1436100</v>
      </c>
      <c r="F133" s="33">
        <f>'Res-Gen'!G212+'Res-Gen'!G215</f>
        <v>-1326200</v>
      </c>
      <c r="G133" s="129">
        <f>E133+F133</f>
        <v>109900</v>
      </c>
      <c r="H133" s="502">
        <f>G133</f>
        <v>109900</v>
      </c>
      <c r="I133" s="33">
        <v>0</v>
      </c>
      <c r="J133" s="129">
        <f>H133+I133</f>
        <v>109900</v>
      </c>
      <c r="K133" s="186">
        <f>J133</f>
        <v>109900</v>
      </c>
      <c r="L133" s="33">
        <v>0</v>
      </c>
      <c r="M133" s="102">
        <f>K133+L133</f>
        <v>109900</v>
      </c>
      <c r="N133" s="99">
        <f>M133</f>
        <v>109900</v>
      </c>
      <c r="O133" s="33">
        <v>0</v>
      </c>
      <c r="P133" s="114">
        <f>N133+O133</f>
        <v>109900</v>
      </c>
      <c r="Q133" s="99">
        <f>P133</f>
        <v>109900</v>
      </c>
      <c r="R133" s="33">
        <v>0</v>
      </c>
      <c r="S133" s="102">
        <f>Q133+R133</f>
        <v>109900</v>
      </c>
      <c r="T133" s="99">
        <f>S133</f>
        <v>109900</v>
      </c>
      <c r="U133" s="33">
        <v>0</v>
      </c>
      <c r="V133" s="102">
        <f>T133+U133</f>
        <v>109900</v>
      </c>
      <c r="W133" s="99">
        <f>V133</f>
        <v>109900</v>
      </c>
      <c r="X133" s="33">
        <v>0</v>
      </c>
      <c r="Y133" s="102">
        <f>W133+X133</f>
        <v>109900</v>
      </c>
      <c r="Z133" s="99">
        <f>Y133</f>
        <v>109900</v>
      </c>
      <c r="AA133" s="33">
        <v>0</v>
      </c>
      <c r="AB133" s="102">
        <f>Z133+AA133</f>
        <v>109900</v>
      </c>
      <c r="AC133" s="502">
        <f>AB133</f>
        <v>109900</v>
      </c>
      <c r="AD133" s="33">
        <v>0</v>
      </c>
      <c r="AE133" s="102">
        <f>AC133+AD133</f>
        <v>109900</v>
      </c>
      <c r="AF133" s="99">
        <f>AE133</f>
        <v>109900</v>
      </c>
      <c r="AG133" s="33">
        <v>0</v>
      </c>
      <c r="AH133" s="102">
        <f>AF133+AG133</f>
        <v>109900</v>
      </c>
      <c r="AI133" s="99">
        <f>AH133</f>
        <v>109900</v>
      </c>
      <c r="AJ133" s="33">
        <v>0</v>
      </c>
      <c r="AK133" s="114">
        <f>AI133+AJ133</f>
        <v>109900</v>
      </c>
    </row>
    <row r="134" spans="1:43" x14ac:dyDescent="0.2">
      <c r="A134" s="889" t="s">
        <v>6708</v>
      </c>
      <c r="B134" s="142">
        <v>0</v>
      </c>
      <c r="C134" s="33">
        <f>'Res-Gen'!D216</f>
        <v>625500</v>
      </c>
      <c r="D134" s="129">
        <f>B134+C134</f>
        <v>625500</v>
      </c>
      <c r="E134" s="502">
        <f t="shared" ref="E134" si="462">D134</f>
        <v>625500</v>
      </c>
      <c r="F134" s="33">
        <f>'Res-Gen'!G216</f>
        <v>-625500</v>
      </c>
      <c r="G134" s="129">
        <f t="shared" ref="G134" si="463">E134+F134</f>
        <v>0</v>
      </c>
      <c r="H134" s="502">
        <f t="shared" ref="H134" si="464">G134</f>
        <v>0</v>
      </c>
      <c r="I134" s="33">
        <v>0</v>
      </c>
      <c r="J134" s="129">
        <f t="shared" ref="J134" si="465">H134+I134</f>
        <v>0</v>
      </c>
      <c r="K134" s="186">
        <f t="shared" ref="K134" si="466">J134</f>
        <v>0</v>
      </c>
      <c r="L134" s="33">
        <v>0</v>
      </c>
      <c r="M134" s="102">
        <f t="shared" ref="M134" si="467">K134+L134</f>
        <v>0</v>
      </c>
      <c r="N134" s="99">
        <f t="shared" ref="N134" si="468">M134</f>
        <v>0</v>
      </c>
      <c r="O134" s="33">
        <v>0</v>
      </c>
      <c r="P134" s="114">
        <f t="shared" ref="P134" si="469">N134+O134</f>
        <v>0</v>
      </c>
      <c r="Q134" s="99">
        <f t="shared" ref="Q134" si="470">P134</f>
        <v>0</v>
      </c>
      <c r="R134" s="33">
        <v>0</v>
      </c>
      <c r="S134" s="102">
        <f t="shared" ref="S134" si="471">Q134+R134</f>
        <v>0</v>
      </c>
      <c r="T134" s="99">
        <f t="shared" ref="T134" si="472">S134</f>
        <v>0</v>
      </c>
      <c r="U134" s="33">
        <v>0</v>
      </c>
      <c r="V134" s="102">
        <f t="shared" ref="V134" si="473">T134+U134</f>
        <v>0</v>
      </c>
      <c r="W134" s="99">
        <f t="shared" ref="W134" si="474">V134</f>
        <v>0</v>
      </c>
      <c r="X134" s="33">
        <v>0</v>
      </c>
      <c r="Y134" s="102">
        <f t="shared" ref="Y134" si="475">W134+X134</f>
        <v>0</v>
      </c>
      <c r="Z134" s="99">
        <f t="shared" ref="Z134" si="476">Y134</f>
        <v>0</v>
      </c>
      <c r="AA134" s="33">
        <v>0</v>
      </c>
      <c r="AB134" s="102">
        <f t="shared" ref="AB134" si="477">Z134+AA134</f>
        <v>0</v>
      </c>
      <c r="AC134" s="502">
        <f t="shared" ref="AC134" si="478">AB134</f>
        <v>0</v>
      </c>
      <c r="AD134" s="33">
        <v>0</v>
      </c>
      <c r="AE134" s="102">
        <f t="shared" ref="AE134" si="479">AC134+AD134</f>
        <v>0</v>
      </c>
      <c r="AF134" s="99">
        <f t="shared" ref="AF134" si="480">AE134</f>
        <v>0</v>
      </c>
      <c r="AG134" s="33">
        <v>0</v>
      </c>
      <c r="AH134" s="102">
        <f t="shared" ref="AH134" si="481">AF134+AG134</f>
        <v>0</v>
      </c>
      <c r="AI134" s="99">
        <f t="shared" ref="AI134:AI135" si="482">AH134</f>
        <v>0</v>
      </c>
      <c r="AJ134" s="33">
        <v>0</v>
      </c>
      <c r="AK134" s="114">
        <f t="shared" ref="AK134:AK135" si="483">AI134+AJ134</f>
        <v>0</v>
      </c>
    </row>
    <row r="135" spans="1:43" x14ac:dyDescent="0.2">
      <c r="A135" s="889" t="s">
        <v>6973</v>
      </c>
      <c r="B135" s="142">
        <v>25000</v>
      </c>
      <c r="C135" s="33">
        <f>'Res-Gen'!D213</f>
        <v>0</v>
      </c>
      <c r="D135" s="129">
        <f t="shared" si="440"/>
        <v>25000</v>
      </c>
      <c r="E135" s="502">
        <f t="shared" ref="E135" si="484">D135</f>
        <v>25000</v>
      </c>
      <c r="F135" s="33">
        <f>'Res-Gen'!G213</f>
        <v>-25000</v>
      </c>
      <c r="G135" s="129">
        <f t="shared" si="441"/>
        <v>0</v>
      </c>
      <c r="H135" s="502">
        <f t="shared" si="442"/>
        <v>0</v>
      </c>
      <c r="I135" s="33"/>
      <c r="J135" s="129">
        <f t="shared" si="443"/>
        <v>0</v>
      </c>
      <c r="K135" s="186">
        <f t="shared" si="444"/>
        <v>0</v>
      </c>
      <c r="L135" s="33"/>
      <c r="M135" s="102">
        <f t="shared" si="445"/>
        <v>0</v>
      </c>
      <c r="N135" s="99">
        <f t="shared" si="446"/>
        <v>0</v>
      </c>
      <c r="O135" s="33"/>
      <c r="P135" s="114">
        <f t="shared" si="447"/>
        <v>0</v>
      </c>
      <c r="Q135" s="99">
        <f t="shared" si="448"/>
        <v>0</v>
      </c>
      <c r="R135" s="33"/>
      <c r="S135" s="102">
        <f t="shared" si="449"/>
        <v>0</v>
      </c>
      <c r="T135" s="99">
        <f t="shared" si="450"/>
        <v>0</v>
      </c>
      <c r="U135" s="33"/>
      <c r="V135" s="102">
        <f t="shared" si="451"/>
        <v>0</v>
      </c>
      <c r="W135" s="99">
        <f t="shared" si="452"/>
        <v>0</v>
      </c>
      <c r="X135" s="33"/>
      <c r="Y135" s="102">
        <f t="shared" si="453"/>
        <v>0</v>
      </c>
      <c r="Z135" s="99">
        <f t="shared" si="454"/>
        <v>0</v>
      </c>
      <c r="AA135" s="33"/>
      <c r="AB135" s="102">
        <f t="shared" si="455"/>
        <v>0</v>
      </c>
      <c r="AC135" s="502">
        <f t="shared" ref="AC135" si="485">AB135</f>
        <v>0</v>
      </c>
      <c r="AD135" s="33"/>
      <c r="AE135" s="102">
        <f t="shared" ref="AE135" si="486">AC135+AD135</f>
        <v>0</v>
      </c>
      <c r="AF135" s="99">
        <f t="shared" ref="AF135" si="487">AE135</f>
        <v>0</v>
      </c>
      <c r="AG135" s="33"/>
      <c r="AH135" s="102">
        <f t="shared" ref="AH135" si="488">AF135+AG135</f>
        <v>0</v>
      </c>
      <c r="AI135" s="99">
        <f t="shared" si="482"/>
        <v>0</v>
      </c>
      <c r="AJ135" s="33"/>
      <c r="AK135" s="114">
        <f t="shared" si="483"/>
        <v>0</v>
      </c>
    </row>
    <row r="136" spans="1:43" x14ac:dyDescent="0.2">
      <c r="A136" s="889" t="s">
        <v>6972</v>
      </c>
      <c r="B136" s="142">
        <v>0</v>
      </c>
      <c r="C136" s="33">
        <f>'Res-Gen'!D217</f>
        <v>6500</v>
      </c>
      <c r="D136" s="129">
        <f>B136+C136</f>
        <v>6500</v>
      </c>
      <c r="E136" s="502">
        <f>D136</f>
        <v>6500</v>
      </c>
      <c r="F136" s="33">
        <f>'Res-Gen'!G217</f>
        <v>6700</v>
      </c>
      <c r="G136" s="129">
        <f>E136+F136</f>
        <v>13200</v>
      </c>
      <c r="H136" s="502">
        <f>G136</f>
        <v>13200</v>
      </c>
      <c r="I136" s="33">
        <f>'Res-Gen'!J217</f>
        <v>6900</v>
      </c>
      <c r="J136" s="129">
        <f>H136+I136</f>
        <v>20100</v>
      </c>
      <c r="K136" s="502">
        <f>J136</f>
        <v>20100</v>
      </c>
      <c r="L136" s="33">
        <f>'Res-Gen'!M217</f>
        <v>7100</v>
      </c>
      <c r="M136" s="129">
        <f>K136+L136</f>
        <v>27200</v>
      </c>
      <c r="N136" s="99">
        <f>M136</f>
        <v>27200</v>
      </c>
      <c r="O136" s="33">
        <f>'Res-Gen'!P217</f>
        <v>7300</v>
      </c>
      <c r="P136" s="100">
        <f>N136+O136</f>
        <v>34500</v>
      </c>
      <c r="Q136" s="99">
        <f>P136</f>
        <v>34500</v>
      </c>
      <c r="R136" s="33">
        <f>'Res-Gen'!S217</f>
        <v>7500</v>
      </c>
      <c r="S136" s="129">
        <f>Q136+R136</f>
        <v>42000</v>
      </c>
      <c r="T136" s="502">
        <f>S136</f>
        <v>42000</v>
      </c>
      <c r="U136" s="33">
        <f>'Res-Gen'!V217</f>
        <v>7700</v>
      </c>
      <c r="V136" s="129">
        <f>T136+U136</f>
        <v>49700</v>
      </c>
      <c r="W136" s="502">
        <f>V136</f>
        <v>49700</v>
      </c>
      <c r="X136" s="33">
        <f>'Res-Gen'!Y217</f>
        <v>7900</v>
      </c>
      <c r="Y136" s="129">
        <f>W136+X136</f>
        <v>57600</v>
      </c>
      <c r="Z136" s="502">
        <f>Y136</f>
        <v>57600</v>
      </c>
      <c r="AA136" s="33">
        <f>'Res-Gen'!AB217</f>
        <v>8100</v>
      </c>
      <c r="AB136" s="129">
        <f>Z136+AA136</f>
        <v>65700</v>
      </c>
      <c r="AC136" s="502">
        <f>AB136</f>
        <v>65700</v>
      </c>
      <c r="AD136" s="33">
        <f>'Res-Gen'!AE217</f>
        <v>8300</v>
      </c>
      <c r="AE136" s="129">
        <f>AC136+AD136</f>
        <v>74000</v>
      </c>
      <c r="AF136" s="99">
        <f>AE136</f>
        <v>74000</v>
      </c>
      <c r="AG136" s="33">
        <f>'Res-Gen'!AH217</f>
        <v>8500</v>
      </c>
      <c r="AH136" s="129">
        <f>AF136+AG136</f>
        <v>82500</v>
      </c>
      <c r="AI136" s="99">
        <f>AH136</f>
        <v>82500</v>
      </c>
      <c r="AJ136" s="33">
        <f>'Res-Gen'!AK217</f>
        <v>8700</v>
      </c>
      <c r="AK136" s="100">
        <f>AI136+AJ136</f>
        <v>91200</v>
      </c>
    </row>
    <row r="137" spans="1:43" x14ac:dyDescent="0.2">
      <c r="A137" s="889"/>
      <c r="B137" s="142"/>
      <c r="C137" s="33"/>
      <c r="D137" s="129"/>
      <c r="E137" s="502"/>
      <c r="F137" s="33"/>
      <c r="G137" s="129"/>
      <c r="H137" s="502"/>
      <c r="I137" s="33"/>
      <c r="J137" s="129"/>
      <c r="K137" s="502"/>
      <c r="L137" s="33"/>
      <c r="M137" s="102"/>
      <c r="N137" s="99"/>
      <c r="O137" s="33"/>
      <c r="P137" s="114"/>
      <c r="Q137" s="99"/>
      <c r="R137" s="33"/>
      <c r="S137" s="102"/>
      <c r="T137" s="99"/>
      <c r="U137" s="33"/>
      <c r="V137" s="102"/>
      <c r="W137" s="99"/>
      <c r="X137" s="33"/>
      <c r="Y137" s="102"/>
      <c r="Z137" s="99"/>
      <c r="AA137" s="33"/>
      <c r="AB137" s="102"/>
      <c r="AC137" s="502"/>
      <c r="AD137" s="33"/>
      <c r="AE137" s="102"/>
      <c r="AF137" s="99"/>
      <c r="AG137" s="33"/>
      <c r="AH137" s="102"/>
      <c r="AI137" s="99"/>
      <c r="AJ137" s="33"/>
      <c r="AK137" s="114"/>
    </row>
    <row r="138" spans="1:43" x14ac:dyDescent="0.2">
      <c r="A138" s="1106" t="s">
        <v>1236</v>
      </c>
      <c r="B138" s="142"/>
      <c r="C138" s="33"/>
      <c r="D138" s="129"/>
      <c r="E138" s="502"/>
      <c r="F138" s="33"/>
      <c r="G138" s="129"/>
      <c r="H138" s="502"/>
      <c r="I138" s="33"/>
      <c r="J138" s="129"/>
      <c r="K138" s="502"/>
      <c r="L138" s="33"/>
      <c r="M138" s="102"/>
      <c r="N138" s="99"/>
      <c r="O138" s="33"/>
      <c r="P138" s="114"/>
      <c r="Q138" s="99"/>
      <c r="R138" s="33"/>
      <c r="S138" s="102"/>
      <c r="T138" s="99"/>
      <c r="U138" s="33"/>
      <c r="V138" s="102"/>
      <c r="W138" s="99"/>
      <c r="X138" s="33"/>
      <c r="Y138" s="102"/>
      <c r="Z138" s="99"/>
      <c r="AA138" s="33"/>
      <c r="AB138" s="102"/>
      <c r="AC138" s="502"/>
      <c r="AD138" s="33"/>
      <c r="AE138" s="102"/>
      <c r="AF138" s="99"/>
      <c r="AG138" s="33"/>
      <c r="AH138" s="102"/>
      <c r="AI138" s="99"/>
      <c r="AJ138" s="33"/>
      <c r="AK138" s="114"/>
    </row>
    <row r="139" spans="1:43" x14ac:dyDescent="0.2">
      <c r="A139" s="889" t="s">
        <v>668</v>
      </c>
      <c r="B139" s="142">
        <v>188300</v>
      </c>
      <c r="C139" s="33">
        <f>'Res-Gen'!D220</f>
        <v>59100</v>
      </c>
      <c r="D139" s="129">
        <f>B139+C139</f>
        <v>247400</v>
      </c>
      <c r="E139" s="502">
        <f>D139</f>
        <v>247400</v>
      </c>
      <c r="F139" s="33">
        <f>'Res-Gen'!G220</f>
        <v>63600</v>
      </c>
      <c r="G139" s="129">
        <f>E139+F139</f>
        <v>311000</v>
      </c>
      <c r="H139" s="502">
        <f>G139</f>
        <v>311000</v>
      </c>
      <c r="I139" s="33">
        <f>'Res-Gen'!J220</f>
        <v>65000</v>
      </c>
      <c r="J139" s="129">
        <f>H139+I139</f>
        <v>376000</v>
      </c>
      <c r="K139" s="186">
        <f>J139</f>
        <v>376000</v>
      </c>
      <c r="L139" s="33">
        <f>'Res-Gen'!M220</f>
        <v>67600</v>
      </c>
      <c r="M139" s="102">
        <f>K139+L139</f>
        <v>443600</v>
      </c>
      <c r="N139" s="99">
        <f>M139</f>
        <v>443600</v>
      </c>
      <c r="O139" s="33">
        <f>'Res-Gen'!P220</f>
        <v>70200</v>
      </c>
      <c r="P139" s="114">
        <f>N139+O139</f>
        <v>513800</v>
      </c>
      <c r="Q139" s="99">
        <f>P139</f>
        <v>513800</v>
      </c>
      <c r="R139" s="33">
        <f>'Res-Gen'!S220</f>
        <v>72900</v>
      </c>
      <c r="S139" s="102">
        <f>Q139+R139</f>
        <v>586700</v>
      </c>
      <c r="T139" s="99">
        <f>S139</f>
        <v>586700</v>
      </c>
      <c r="U139" s="33">
        <f>'Res-Gen'!V220</f>
        <v>75000</v>
      </c>
      <c r="V139" s="102">
        <f>T139+U139</f>
        <v>661700</v>
      </c>
      <c r="W139" s="99">
        <f>V139</f>
        <v>661700</v>
      </c>
      <c r="X139" s="33">
        <f>'Res-Gen'!Y220</f>
        <v>77300</v>
      </c>
      <c r="Y139" s="102">
        <f>W139+X139</f>
        <v>739000</v>
      </c>
      <c r="Z139" s="99">
        <f>Y139</f>
        <v>739000</v>
      </c>
      <c r="AA139" s="33">
        <f>'Res-Gen'!AB220</f>
        <v>79600</v>
      </c>
      <c r="AB139" s="102">
        <f>Z139+AA139</f>
        <v>818600</v>
      </c>
      <c r="AC139" s="502">
        <f>AB139</f>
        <v>818600</v>
      </c>
      <c r="AD139" s="33">
        <f>'Res-Gen'!AE220</f>
        <v>81900</v>
      </c>
      <c r="AE139" s="102">
        <f>AC139+AD139</f>
        <v>900500</v>
      </c>
      <c r="AF139" s="99">
        <f>AE139</f>
        <v>900500</v>
      </c>
      <c r="AG139" s="33">
        <f>'Res-Gen'!AH220</f>
        <v>84200</v>
      </c>
      <c r="AH139" s="102">
        <f>AF139+AG139</f>
        <v>984700</v>
      </c>
      <c r="AI139" s="99">
        <f>AH139</f>
        <v>984700</v>
      </c>
      <c r="AJ139" s="33">
        <f>'Res-Gen'!AK220</f>
        <v>86600</v>
      </c>
      <c r="AK139" s="114">
        <f>AI139+AJ139</f>
        <v>1071300</v>
      </c>
    </row>
    <row r="140" spans="1:43" x14ac:dyDescent="0.2">
      <c r="A140" s="585"/>
      <c r="B140" s="142"/>
      <c r="C140" s="33"/>
      <c r="D140" s="129"/>
      <c r="E140" s="502">
        <f>D140</f>
        <v>0</v>
      </c>
      <c r="F140" s="33"/>
      <c r="G140" s="129"/>
      <c r="H140" s="502"/>
      <c r="I140" s="33"/>
      <c r="J140" s="129"/>
      <c r="K140" s="186"/>
      <c r="L140" s="33"/>
      <c r="M140" s="102"/>
      <c r="N140" s="99"/>
      <c r="O140" s="33"/>
      <c r="P140" s="114"/>
      <c r="Q140" s="99"/>
      <c r="R140" s="33"/>
      <c r="S140" s="102"/>
      <c r="T140" s="99"/>
      <c r="U140" s="33"/>
      <c r="V140" s="102"/>
      <c r="W140" s="99"/>
      <c r="X140" s="33"/>
      <c r="Y140" s="102"/>
      <c r="Z140" s="99"/>
      <c r="AA140" s="33"/>
      <c r="AB140" s="102"/>
      <c r="AC140" s="502"/>
      <c r="AD140" s="33"/>
      <c r="AE140" s="102"/>
      <c r="AF140" s="99"/>
      <c r="AG140" s="33"/>
      <c r="AH140" s="102"/>
      <c r="AI140" s="99"/>
      <c r="AJ140" s="33"/>
      <c r="AK140" s="114"/>
    </row>
    <row r="141" spans="1:43" x14ac:dyDescent="0.2">
      <c r="A141" s="1106" t="s">
        <v>1478</v>
      </c>
      <c r="B141" s="142"/>
      <c r="C141" s="33"/>
      <c r="D141" s="129"/>
      <c r="E141" s="186"/>
      <c r="F141" s="33"/>
      <c r="G141" s="129"/>
      <c r="H141" s="186"/>
      <c r="I141" s="33"/>
      <c r="J141" s="129"/>
      <c r="K141" s="186"/>
      <c r="L141" s="33"/>
      <c r="M141" s="102"/>
      <c r="N141" s="99"/>
      <c r="O141" s="33"/>
      <c r="P141" s="114"/>
      <c r="Q141" s="99"/>
      <c r="R141" s="33"/>
      <c r="S141" s="102"/>
      <c r="T141" s="99"/>
      <c r="U141" s="33"/>
      <c r="V141" s="102"/>
      <c r="W141" s="99"/>
      <c r="X141" s="33"/>
      <c r="Y141" s="102"/>
      <c r="Z141" s="99"/>
      <c r="AA141" s="33"/>
      <c r="AB141" s="102"/>
      <c r="AC141" s="502"/>
      <c r="AD141" s="33"/>
      <c r="AE141" s="102"/>
      <c r="AF141" s="99"/>
      <c r="AG141" s="33"/>
      <c r="AH141" s="102"/>
      <c r="AI141" s="99"/>
      <c r="AJ141" s="33"/>
      <c r="AK141" s="114"/>
    </row>
    <row r="142" spans="1:43" x14ac:dyDescent="0.2">
      <c r="A142" s="889" t="s">
        <v>6971</v>
      </c>
      <c r="B142" s="142">
        <v>965000</v>
      </c>
      <c r="C142" s="33">
        <f>'Res-Gen'!D222</f>
        <v>38700</v>
      </c>
      <c r="D142" s="129">
        <f>B142+C142</f>
        <v>1003700</v>
      </c>
      <c r="E142" s="502">
        <f>D142</f>
        <v>1003700</v>
      </c>
      <c r="F142" s="33">
        <f>'Res-Gen'!G222</f>
        <v>-937300</v>
      </c>
      <c r="G142" s="129">
        <f>E142+F142</f>
        <v>66400</v>
      </c>
      <c r="H142" s="502">
        <f>G142</f>
        <v>66400</v>
      </c>
      <c r="I142" s="33">
        <f>'Res-Gen'!J222</f>
        <v>223300</v>
      </c>
      <c r="J142" s="129">
        <f>H142+I142</f>
        <v>289700</v>
      </c>
      <c r="K142" s="186">
        <f>J142</f>
        <v>289700</v>
      </c>
      <c r="L142" s="33">
        <f>'Res-Gen'!M222</f>
        <v>86400</v>
      </c>
      <c r="M142" s="102">
        <f>K142+L142</f>
        <v>376100</v>
      </c>
      <c r="N142" s="99">
        <f>M142</f>
        <v>376100</v>
      </c>
      <c r="O142" s="33">
        <f>'Res-Gen'!P222</f>
        <v>647400</v>
      </c>
      <c r="P142" s="114">
        <f>N142+O142</f>
        <v>1023500</v>
      </c>
      <c r="Q142" s="99">
        <f>P142</f>
        <v>1023500</v>
      </c>
      <c r="R142" s="33">
        <f>'Res-Gen'!S222</f>
        <v>-208000</v>
      </c>
      <c r="S142" s="102">
        <f>Q142+R142</f>
        <v>815500</v>
      </c>
      <c r="T142" s="99">
        <f>S142</f>
        <v>815500</v>
      </c>
      <c r="U142" s="33">
        <f>'Res-Gen'!V222</f>
        <v>262300</v>
      </c>
      <c r="V142" s="102">
        <f>T142+U142</f>
        <v>1077800</v>
      </c>
      <c r="W142" s="99">
        <f>V142</f>
        <v>1077800</v>
      </c>
      <c r="X142" s="33">
        <f>'Res-Gen'!Y222</f>
        <v>-123500</v>
      </c>
      <c r="Y142" s="102">
        <f>W142+X142</f>
        <v>954300</v>
      </c>
      <c r="Z142" s="99">
        <f>Y142</f>
        <v>954300</v>
      </c>
      <c r="AA142" s="33">
        <f>'Res-Gen'!AB222</f>
        <v>-364000</v>
      </c>
      <c r="AB142" s="102">
        <f>Z142+AA142</f>
        <v>590300</v>
      </c>
      <c r="AC142" s="502">
        <f>AB142</f>
        <v>590300</v>
      </c>
      <c r="AD142" s="33">
        <f>'Res-Gen'!AE222</f>
        <v>164400</v>
      </c>
      <c r="AE142" s="102">
        <f>AC142+AD142</f>
        <v>754700</v>
      </c>
      <c r="AF142" s="99">
        <f>AE142</f>
        <v>754700</v>
      </c>
      <c r="AG142" s="33">
        <f>'Res-Gen'!AH222</f>
        <v>258500</v>
      </c>
      <c r="AH142" s="102">
        <f>AF142+AG142</f>
        <v>1013200</v>
      </c>
      <c r="AI142" s="99">
        <f>AH142</f>
        <v>1013200</v>
      </c>
      <c r="AJ142" s="33">
        <f>'Res-Gen'!AK222</f>
        <v>261100</v>
      </c>
      <c r="AK142" s="114">
        <f>AI142+AJ142</f>
        <v>1274300</v>
      </c>
    </row>
    <row r="143" spans="1:43" x14ac:dyDescent="0.2">
      <c r="A143" s="585"/>
      <c r="B143" s="142"/>
      <c r="C143" s="33"/>
      <c r="D143" s="129"/>
      <c r="E143" s="502"/>
      <c r="F143" s="33"/>
      <c r="G143" s="129"/>
      <c r="H143" s="502"/>
      <c r="I143" s="33"/>
      <c r="J143" s="129"/>
      <c r="K143" s="186"/>
      <c r="L143" s="33"/>
      <c r="M143" s="102"/>
      <c r="N143" s="99"/>
      <c r="O143" s="33"/>
      <c r="P143" s="114"/>
      <c r="Q143" s="99"/>
      <c r="R143" s="33"/>
      <c r="S143" s="102"/>
      <c r="T143" s="99"/>
      <c r="U143" s="33"/>
      <c r="V143" s="102"/>
      <c r="W143" s="99"/>
      <c r="X143" s="33"/>
      <c r="Y143" s="102"/>
      <c r="Z143" s="99"/>
      <c r="AA143" s="33"/>
      <c r="AB143" s="102"/>
      <c r="AC143" s="502"/>
      <c r="AD143" s="33"/>
      <c r="AE143" s="102"/>
      <c r="AF143" s="99"/>
      <c r="AG143" s="33"/>
      <c r="AH143" s="102"/>
      <c r="AI143" s="99"/>
      <c r="AJ143" s="33"/>
      <c r="AK143" s="114"/>
    </row>
    <row r="144" spans="1:43" x14ac:dyDescent="0.2">
      <c r="A144" s="584" t="s">
        <v>541</v>
      </c>
      <c r="B144" s="142"/>
      <c r="C144" s="33"/>
      <c r="D144" s="129"/>
      <c r="E144" s="502"/>
      <c r="F144" s="33"/>
      <c r="G144" s="129"/>
      <c r="H144" s="502"/>
      <c r="I144" s="33"/>
      <c r="J144" s="129"/>
      <c r="K144" s="186"/>
      <c r="L144" s="33"/>
      <c r="M144" s="102"/>
      <c r="N144" s="99"/>
      <c r="O144" s="33"/>
      <c r="P144" s="114"/>
      <c r="Q144" s="99"/>
      <c r="R144" s="33"/>
      <c r="S144" s="102"/>
      <c r="T144" s="99"/>
      <c r="U144" s="33"/>
      <c r="V144" s="102"/>
      <c r="W144" s="99"/>
      <c r="X144" s="33"/>
      <c r="Y144" s="102"/>
      <c r="Z144" s="99"/>
      <c r="AA144" s="33"/>
      <c r="AB144" s="102"/>
      <c r="AC144" s="502"/>
      <c r="AD144" s="33"/>
      <c r="AE144" s="102"/>
      <c r="AF144" s="99"/>
      <c r="AG144" s="33"/>
      <c r="AH144" s="102"/>
      <c r="AI144" s="99"/>
      <c r="AJ144" s="33"/>
      <c r="AK144" s="114"/>
    </row>
    <row r="145" spans="1:37" x14ac:dyDescent="0.2">
      <c r="A145" s="889" t="s">
        <v>6852</v>
      </c>
      <c r="B145" s="142">
        <v>64800</v>
      </c>
      <c r="C145" s="33">
        <f>'Res-Gen'!D224</f>
        <v>-19000</v>
      </c>
      <c r="D145" s="129">
        <f>B145+C145</f>
        <v>45800</v>
      </c>
      <c r="E145" s="502">
        <f>D145</f>
        <v>45800</v>
      </c>
      <c r="F145" s="33"/>
      <c r="G145" s="129">
        <f>E145+F145</f>
        <v>45800</v>
      </c>
      <c r="H145" s="502">
        <f>G145</f>
        <v>45800</v>
      </c>
      <c r="I145" s="33"/>
      <c r="J145" s="129">
        <f>H145+I145</f>
        <v>45800</v>
      </c>
      <c r="K145" s="186">
        <f>J145</f>
        <v>45800</v>
      </c>
      <c r="L145" s="33"/>
      <c r="M145" s="102">
        <f>K145+L145</f>
        <v>45800</v>
      </c>
      <c r="N145" s="99">
        <f>M145</f>
        <v>45800</v>
      </c>
      <c r="O145" s="33"/>
      <c r="P145" s="114">
        <f>N145+O145</f>
        <v>45800</v>
      </c>
      <c r="Q145" s="99">
        <f>P145</f>
        <v>45800</v>
      </c>
      <c r="R145" s="33"/>
      <c r="S145" s="102">
        <f>Q145+R145</f>
        <v>45800</v>
      </c>
      <c r="T145" s="99">
        <f>S145</f>
        <v>45800</v>
      </c>
      <c r="U145" s="33"/>
      <c r="V145" s="102">
        <f>T145+U145</f>
        <v>45800</v>
      </c>
      <c r="W145" s="99">
        <f>V145</f>
        <v>45800</v>
      </c>
      <c r="X145" s="33"/>
      <c r="Y145" s="102">
        <f>W145+X145</f>
        <v>45800</v>
      </c>
      <c r="Z145" s="99">
        <f>Y145</f>
        <v>45800</v>
      </c>
      <c r="AA145" s="33"/>
      <c r="AB145" s="102">
        <f>Z145+AA145</f>
        <v>45800</v>
      </c>
      <c r="AC145" s="502">
        <f>AB145</f>
        <v>45800</v>
      </c>
      <c r="AD145" s="33"/>
      <c r="AE145" s="102">
        <f>AC145+AD145</f>
        <v>45800</v>
      </c>
      <c r="AF145" s="99">
        <f>AE145</f>
        <v>45800</v>
      </c>
      <c r="AG145" s="33"/>
      <c r="AH145" s="102">
        <f>AF145+AG145</f>
        <v>45800</v>
      </c>
      <c r="AI145" s="99">
        <f>AH145</f>
        <v>45800</v>
      </c>
      <c r="AJ145" s="33"/>
      <c r="AK145" s="114">
        <f>AI145+AJ145</f>
        <v>45800</v>
      </c>
    </row>
    <row r="146" spans="1:37" x14ac:dyDescent="0.2">
      <c r="A146" s="585"/>
      <c r="B146" s="142"/>
      <c r="C146" s="33"/>
      <c r="D146" s="129"/>
      <c r="E146" s="502"/>
      <c r="F146" s="33"/>
      <c r="G146" s="129"/>
      <c r="H146" s="502"/>
      <c r="I146" s="33"/>
      <c r="J146" s="129"/>
      <c r="K146" s="186"/>
      <c r="L146" s="33"/>
      <c r="M146" s="102"/>
      <c r="N146" s="99"/>
      <c r="O146" s="33"/>
      <c r="P146" s="114"/>
      <c r="Q146" s="99"/>
      <c r="R146" s="33"/>
      <c r="S146" s="102"/>
      <c r="T146" s="99"/>
      <c r="U146" s="33"/>
      <c r="V146" s="102"/>
      <c r="W146" s="99"/>
      <c r="X146" s="33"/>
      <c r="Y146" s="102"/>
      <c r="Z146" s="99"/>
      <c r="AA146" s="33"/>
      <c r="AB146" s="102"/>
      <c r="AC146" s="502"/>
      <c r="AD146" s="33"/>
      <c r="AE146" s="102"/>
      <c r="AF146" s="99"/>
      <c r="AG146" s="33"/>
      <c r="AH146" s="102"/>
      <c r="AI146" s="99"/>
      <c r="AJ146" s="33"/>
      <c r="AK146" s="114"/>
    </row>
    <row r="147" spans="1:37" x14ac:dyDescent="0.2">
      <c r="A147" s="584" t="s">
        <v>1965</v>
      </c>
      <c r="B147" s="142"/>
      <c r="C147" s="33"/>
      <c r="D147" s="129"/>
      <c r="E147" s="186"/>
      <c r="F147" s="33"/>
      <c r="G147" s="129"/>
      <c r="H147" s="186"/>
      <c r="I147" s="33"/>
      <c r="J147" s="129"/>
      <c r="K147" s="186"/>
      <c r="L147" s="33"/>
      <c r="M147" s="102"/>
      <c r="N147" s="99"/>
      <c r="O147" s="33"/>
      <c r="P147" s="114"/>
      <c r="Q147" s="99"/>
      <c r="R147" s="33"/>
      <c r="S147" s="102"/>
      <c r="T147" s="99"/>
      <c r="U147" s="33"/>
      <c r="V147" s="102"/>
      <c r="W147" s="99"/>
      <c r="X147" s="33"/>
      <c r="Y147" s="102"/>
      <c r="Z147" s="99"/>
      <c r="AA147" s="33"/>
      <c r="AB147" s="102"/>
      <c r="AC147" s="502"/>
      <c r="AD147" s="33"/>
      <c r="AE147" s="102"/>
      <c r="AF147" s="99"/>
      <c r="AG147" s="33"/>
      <c r="AH147" s="102"/>
      <c r="AI147" s="99"/>
      <c r="AJ147" s="33"/>
      <c r="AK147" s="114"/>
    </row>
    <row r="148" spans="1:37" x14ac:dyDescent="0.2">
      <c r="A148" s="889" t="s">
        <v>1062</v>
      </c>
      <c r="B148" s="142">
        <v>1263100</v>
      </c>
      <c r="C148" s="33">
        <f>'Res-Gen'!D227</f>
        <v>73000</v>
      </c>
      <c r="D148" s="129">
        <f>B148+C148</f>
        <v>1336100</v>
      </c>
      <c r="E148" s="502">
        <f>D148</f>
        <v>1336100</v>
      </c>
      <c r="F148" s="33">
        <f>'Res-Gen'!G227+'Res-Gen'!G228</f>
        <v>-895400</v>
      </c>
      <c r="G148" s="129">
        <f>E148+F148</f>
        <v>440700</v>
      </c>
      <c r="H148" s="502">
        <f>G148</f>
        <v>440700</v>
      </c>
      <c r="I148" s="33">
        <f>'Res-Gen'!J227+'Res-Gen'!J228</f>
        <v>-75000</v>
      </c>
      <c r="J148" s="129">
        <f>H148+I148</f>
        <v>365700</v>
      </c>
      <c r="K148" s="186">
        <f>J148</f>
        <v>365700</v>
      </c>
      <c r="L148" s="33">
        <f>'Res-Gen'!M227</f>
        <v>29500</v>
      </c>
      <c r="M148" s="102">
        <f>K148+L148</f>
        <v>395200</v>
      </c>
      <c r="N148" s="99">
        <f>M148</f>
        <v>395200</v>
      </c>
      <c r="O148" s="33">
        <f>'Res-Gen'!P227</f>
        <v>30100</v>
      </c>
      <c r="P148" s="114">
        <f>N148+O148</f>
        <v>425300</v>
      </c>
      <c r="Q148" s="99">
        <f>P148</f>
        <v>425300</v>
      </c>
      <c r="R148" s="33">
        <f>'Res-Gen'!S227</f>
        <v>30700</v>
      </c>
      <c r="S148" s="102">
        <f>Q148+R148</f>
        <v>456000</v>
      </c>
      <c r="T148" s="99">
        <f>S148</f>
        <v>456000</v>
      </c>
      <c r="U148" s="33">
        <f>'Res-Gen'!V227</f>
        <v>31200</v>
      </c>
      <c r="V148" s="102">
        <f>T148+U148</f>
        <v>487200</v>
      </c>
      <c r="W148" s="99">
        <f>V148</f>
        <v>487200</v>
      </c>
      <c r="X148" s="33">
        <f>'Res-Gen'!Y227</f>
        <v>31700</v>
      </c>
      <c r="Y148" s="102">
        <f>W148+X148</f>
        <v>518900</v>
      </c>
      <c r="Z148" s="99">
        <f>Y148</f>
        <v>518900</v>
      </c>
      <c r="AA148" s="33">
        <f>'Res-Gen'!AB227</f>
        <v>32100</v>
      </c>
      <c r="AB148" s="102">
        <f>Z148+AA148</f>
        <v>551000</v>
      </c>
      <c r="AC148" s="502">
        <f>AB148</f>
        <v>551000</v>
      </c>
      <c r="AD148" s="33">
        <f>'Res-Gen'!AE227</f>
        <v>32600</v>
      </c>
      <c r="AE148" s="102">
        <f>AC148+AD148</f>
        <v>583600</v>
      </c>
      <c r="AF148" s="99">
        <f>AE148</f>
        <v>583600</v>
      </c>
      <c r="AG148" s="33">
        <f>'Res-Gen'!AH227</f>
        <v>33100</v>
      </c>
      <c r="AH148" s="102">
        <f>AF148+AG148</f>
        <v>616700</v>
      </c>
      <c r="AI148" s="99">
        <f>AH148</f>
        <v>616700</v>
      </c>
      <c r="AJ148" s="33">
        <f>'Res-Gen'!AK227</f>
        <v>33600</v>
      </c>
      <c r="AK148" s="114">
        <f>AI148+AJ148</f>
        <v>650300</v>
      </c>
    </row>
    <row r="149" spans="1:37" x14ac:dyDescent="0.2">
      <c r="A149" s="585"/>
      <c r="B149" s="142"/>
      <c r="C149" s="33"/>
      <c r="D149" s="129"/>
      <c r="E149" s="186"/>
      <c r="F149" s="33"/>
      <c r="G149" s="129"/>
      <c r="H149" s="186"/>
      <c r="I149" s="33"/>
      <c r="J149" s="129"/>
      <c r="K149" s="186"/>
      <c r="L149" s="33"/>
      <c r="M149" s="102"/>
      <c r="N149" s="99"/>
      <c r="O149" s="33"/>
      <c r="P149" s="114"/>
      <c r="Q149" s="99"/>
      <c r="R149" s="33"/>
      <c r="S149" s="102"/>
      <c r="T149" s="99"/>
      <c r="U149" s="33"/>
      <c r="V149" s="102"/>
      <c r="W149" s="99"/>
      <c r="X149" s="33"/>
      <c r="Y149" s="102"/>
      <c r="Z149" s="99"/>
      <c r="AA149" s="33"/>
      <c r="AB149" s="102"/>
      <c r="AC149" s="502"/>
      <c r="AD149" s="33"/>
      <c r="AE149" s="102"/>
      <c r="AF149" s="99"/>
      <c r="AG149" s="33"/>
      <c r="AH149" s="102"/>
      <c r="AI149" s="99"/>
      <c r="AJ149" s="33"/>
      <c r="AK149" s="114"/>
    </row>
    <row r="150" spans="1:37" x14ac:dyDescent="0.2">
      <c r="A150" s="584" t="s">
        <v>1754</v>
      </c>
      <c r="B150" s="142"/>
      <c r="C150" s="33"/>
      <c r="D150" s="129"/>
      <c r="E150" s="186"/>
      <c r="F150" s="33"/>
      <c r="G150" s="129"/>
      <c r="H150" s="186"/>
      <c r="I150" s="33"/>
      <c r="J150" s="129"/>
      <c r="K150" s="186"/>
      <c r="L150" s="33"/>
      <c r="M150" s="102"/>
      <c r="N150" s="99"/>
      <c r="O150" s="33"/>
      <c r="P150" s="114"/>
      <c r="Q150" s="99"/>
      <c r="R150" s="33"/>
      <c r="S150" s="102"/>
      <c r="T150" s="99"/>
      <c r="U150" s="33"/>
      <c r="V150" s="102"/>
      <c r="W150" s="99"/>
      <c r="X150" s="33"/>
      <c r="Y150" s="102"/>
      <c r="Z150" s="99"/>
      <c r="AA150" s="33"/>
      <c r="AB150" s="102"/>
      <c r="AC150" s="502"/>
      <c r="AD150" s="33"/>
      <c r="AE150" s="102"/>
      <c r="AF150" s="99"/>
      <c r="AG150" s="33"/>
      <c r="AH150" s="102"/>
      <c r="AI150" s="99"/>
      <c r="AJ150" s="33"/>
      <c r="AK150" s="114"/>
    </row>
    <row r="151" spans="1:37" x14ac:dyDescent="0.2">
      <c r="A151" s="889" t="s">
        <v>4563</v>
      </c>
      <c r="B151" s="142">
        <v>2878300</v>
      </c>
      <c r="C151" s="33">
        <f>SUM('Res-Gen'!D231:'Res-Gen'!D233)+'Res-Gen'!D236</f>
        <v>648100</v>
      </c>
      <c r="D151" s="129">
        <f>B151+C151</f>
        <v>3526400</v>
      </c>
      <c r="E151" s="502">
        <f>D151</f>
        <v>3526400</v>
      </c>
      <c r="F151" s="33">
        <f>SUM('Res-Gen'!G231:'Res-Gen'!G233)+'Res-Gen'!G235</f>
        <v>-1105700</v>
      </c>
      <c r="G151" s="129">
        <f>E151+F151</f>
        <v>2420700</v>
      </c>
      <c r="H151" s="502">
        <f>G151</f>
        <v>2420700</v>
      </c>
      <c r="I151" s="33">
        <f>SUM('Res-Gen'!J231:'Res-Gen'!J233)</f>
        <v>-1262300</v>
      </c>
      <c r="J151" s="129">
        <f>H151+I151</f>
        <v>1158400</v>
      </c>
      <c r="K151" s="186">
        <f>J151</f>
        <v>1158400</v>
      </c>
      <c r="L151" s="33">
        <f>SUM('Res-Gen'!M231:'Res-Gen'!M233)</f>
        <v>42400</v>
      </c>
      <c r="M151" s="102">
        <f>K151+L151</f>
        <v>1200800</v>
      </c>
      <c r="N151" s="99">
        <f>M151</f>
        <v>1200800</v>
      </c>
      <c r="O151" s="33">
        <f>SUM('Res-Gen'!P231:'Res-Gen'!P233)</f>
        <v>113800</v>
      </c>
      <c r="P151" s="114">
        <f>N151+O151</f>
        <v>1314600</v>
      </c>
      <c r="Q151" s="99">
        <f>P151</f>
        <v>1314600</v>
      </c>
      <c r="R151" s="33">
        <f>SUM('Res-Gen'!S231:'Res-Gen'!S233)</f>
        <v>134200</v>
      </c>
      <c r="S151" s="102">
        <f>Q151+R151</f>
        <v>1448800</v>
      </c>
      <c r="T151" s="99">
        <f>S151</f>
        <v>1448800</v>
      </c>
      <c r="U151" s="33">
        <f>SUM('Res-Gen'!V231:'Res-Gen'!V233)</f>
        <v>177600</v>
      </c>
      <c r="V151" s="102">
        <f>T151+U151</f>
        <v>1626400</v>
      </c>
      <c r="W151" s="99">
        <f>V151</f>
        <v>1626400</v>
      </c>
      <c r="X151" s="33">
        <f>SUM('Res-Gen'!Y231:'Res-Gen'!Y233)</f>
        <v>221000</v>
      </c>
      <c r="Y151" s="102">
        <f>W151+X151</f>
        <v>1847400</v>
      </c>
      <c r="Z151" s="99">
        <f>Y151</f>
        <v>1847400</v>
      </c>
      <c r="AA151" s="33">
        <f>SUM('Res-Gen'!AB231:'Res-Gen'!AB233)</f>
        <v>263400</v>
      </c>
      <c r="AB151" s="102">
        <f>Z151+AA151</f>
        <v>2110800</v>
      </c>
      <c r="AC151" s="502">
        <f>AB151</f>
        <v>2110800</v>
      </c>
      <c r="AD151" s="33">
        <f>SUM('Res-Gen'!AE231:'Res-Gen'!AE233)</f>
        <v>319800</v>
      </c>
      <c r="AE151" s="102">
        <f>AC151+AD151</f>
        <v>2430600</v>
      </c>
      <c r="AF151" s="99">
        <f>AE151</f>
        <v>2430600</v>
      </c>
      <c r="AG151" s="33">
        <f>SUM('Res-Gen'!AH231:'Res-Gen'!AH233)</f>
        <v>380200</v>
      </c>
      <c r="AH151" s="102">
        <f>AF151+AG151</f>
        <v>2810800</v>
      </c>
      <c r="AI151" s="99">
        <f>AH151</f>
        <v>2810800</v>
      </c>
      <c r="AJ151" s="33">
        <f>SUM('Res-Gen'!AK231:'Res-Gen'!AK233)</f>
        <v>440600</v>
      </c>
      <c r="AK151" s="114">
        <f>AI151+AJ151</f>
        <v>3251400</v>
      </c>
    </row>
    <row r="152" spans="1:37" x14ac:dyDescent="0.2">
      <c r="A152" s="889" t="s">
        <v>5381</v>
      </c>
      <c r="B152" s="142">
        <v>684900</v>
      </c>
      <c r="C152" s="33">
        <f>'Res-Gen'!D234</f>
        <v>-41600</v>
      </c>
      <c r="D152" s="129">
        <f t="shared" ref="D152" si="489">B152+C152</f>
        <v>643300</v>
      </c>
      <c r="E152" s="502">
        <f t="shared" ref="E152" si="490">D152</f>
        <v>643300</v>
      </c>
      <c r="F152" s="33">
        <f>'Res-Gen'!G234</f>
        <v>-134800</v>
      </c>
      <c r="G152" s="129">
        <f t="shared" ref="G152" si="491">E152+F152</f>
        <v>508500</v>
      </c>
      <c r="H152" s="502">
        <f t="shared" ref="H152" si="492">G152</f>
        <v>508500</v>
      </c>
      <c r="I152" s="33">
        <f>'Res-Gen'!J234</f>
        <v>21000</v>
      </c>
      <c r="J152" s="129">
        <f t="shared" ref="J152" si="493">H152+I152</f>
        <v>529500</v>
      </c>
      <c r="K152" s="186">
        <f t="shared" ref="K152" si="494">J152</f>
        <v>529500</v>
      </c>
      <c r="L152" s="33">
        <f>'Res-Gen'!M234</f>
        <v>22000</v>
      </c>
      <c r="M152" s="102">
        <f t="shared" ref="M152" si="495">K152+L152</f>
        <v>551500</v>
      </c>
      <c r="N152" s="99">
        <f t="shared" ref="N152" si="496">M152</f>
        <v>551500</v>
      </c>
      <c r="O152" s="33">
        <f>'Res-Gen'!P234</f>
        <v>23000</v>
      </c>
      <c r="P152" s="114">
        <f t="shared" ref="P152" si="497">N152+O152</f>
        <v>574500</v>
      </c>
      <c r="Q152" s="99">
        <f t="shared" ref="Q152" si="498">P152</f>
        <v>574500</v>
      </c>
      <c r="R152" s="33">
        <f>'Res-Gen'!S234</f>
        <v>24000</v>
      </c>
      <c r="S152" s="102">
        <f t="shared" ref="S152" si="499">Q152+R152</f>
        <v>598500</v>
      </c>
      <c r="T152" s="99">
        <f t="shared" ref="T152" si="500">S152</f>
        <v>598500</v>
      </c>
      <c r="U152" s="33">
        <f>'Res-Gen'!V234</f>
        <v>24000</v>
      </c>
      <c r="V152" s="102">
        <f t="shared" ref="V152" si="501">T152+U152</f>
        <v>622500</v>
      </c>
      <c r="W152" s="99">
        <f t="shared" ref="W152" si="502">V152</f>
        <v>622500</v>
      </c>
      <c r="X152" s="33">
        <f>'Res-Gen'!Y234</f>
        <v>24000</v>
      </c>
      <c r="Y152" s="102">
        <f t="shared" ref="Y152" si="503">W152+X152</f>
        <v>646500</v>
      </c>
      <c r="Z152" s="99">
        <f t="shared" ref="Z152" si="504">Y152</f>
        <v>646500</v>
      </c>
      <c r="AA152" s="33">
        <f>'Res-Gen'!AB234</f>
        <v>24000</v>
      </c>
      <c r="AB152" s="102">
        <f t="shared" ref="AB152" si="505">Z152+AA152</f>
        <v>670500</v>
      </c>
      <c r="AC152" s="502">
        <f t="shared" ref="AC152" si="506">AB152</f>
        <v>670500</v>
      </c>
      <c r="AD152" s="33">
        <f>'Res-Gen'!AE234</f>
        <v>24000</v>
      </c>
      <c r="AE152" s="102">
        <f t="shared" ref="AE152" si="507">AC152+AD152</f>
        <v>694500</v>
      </c>
      <c r="AF152" s="99">
        <f t="shared" ref="AF152" si="508">AE152</f>
        <v>694500</v>
      </c>
      <c r="AG152" s="33">
        <f>'Res-Gen'!AH234</f>
        <v>24000</v>
      </c>
      <c r="AH152" s="102">
        <f t="shared" ref="AH152" si="509">AF152+AG152</f>
        <v>718500</v>
      </c>
      <c r="AI152" s="99">
        <f t="shared" ref="AI152" si="510">AH152</f>
        <v>718500</v>
      </c>
      <c r="AJ152" s="33">
        <f>'Res-Gen'!AK234</f>
        <v>24000</v>
      </c>
      <c r="AK152" s="114">
        <f t="shared" ref="AK152" si="511">AI152+AJ152</f>
        <v>742500</v>
      </c>
    </row>
    <row r="153" spans="1:37" x14ac:dyDescent="0.2">
      <c r="A153" s="585"/>
      <c r="B153" s="142"/>
      <c r="C153" s="33"/>
      <c r="D153" s="129"/>
      <c r="E153" s="186"/>
      <c r="F153" s="33"/>
      <c r="G153" s="129"/>
      <c r="H153" s="186"/>
      <c r="I153" s="33"/>
      <c r="J153" s="129"/>
      <c r="K153" s="186"/>
      <c r="L153" s="33"/>
      <c r="M153" s="102"/>
      <c r="N153" s="99"/>
      <c r="O153" s="33"/>
      <c r="P153" s="114"/>
      <c r="Q153" s="99"/>
      <c r="R153" s="33"/>
      <c r="S153" s="102"/>
      <c r="T153" s="99"/>
      <c r="U153" s="33"/>
      <c r="V153" s="102"/>
      <c r="W153" s="99"/>
      <c r="X153" s="33"/>
      <c r="Y153" s="102"/>
      <c r="Z153" s="99"/>
      <c r="AA153" s="33"/>
      <c r="AB153" s="102"/>
      <c r="AC153" s="502"/>
      <c r="AD153" s="33"/>
      <c r="AE153" s="102"/>
      <c r="AF153" s="99"/>
      <c r="AG153" s="33"/>
      <c r="AH153" s="102"/>
      <c r="AI153" s="99"/>
      <c r="AJ153" s="33"/>
      <c r="AK153" s="114"/>
    </row>
    <row r="154" spans="1:37" x14ac:dyDescent="0.2">
      <c r="A154" s="1106" t="s">
        <v>6853</v>
      </c>
      <c r="B154" s="142"/>
      <c r="C154" s="33"/>
      <c r="D154" s="129"/>
      <c r="E154" s="186"/>
      <c r="F154" s="33"/>
      <c r="G154" s="129"/>
      <c r="H154" s="186"/>
      <c r="I154" s="33"/>
      <c r="J154" s="129"/>
      <c r="K154" s="186"/>
      <c r="L154" s="33"/>
      <c r="M154" s="102"/>
      <c r="N154" s="99"/>
      <c r="O154" s="33"/>
      <c r="P154" s="114"/>
      <c r="Q154" s="99"/>
      <c r="R154" s="33"/>
      <c r="S154" s="102"/>
      <c r="T154" s="99"/>
      <c r="U154" s="33"/>
      <c r="V154" s="102"/>
      <c r="W154" s="99"/>
      <c r="X154" s="33"/>
      <c r="Y154" s="102"/>
      <c r="Z154" s="99"/>
      <c r="AA154" s="33"/>
      <c r="AB154" s="102"/>
      <c r="AC154" s="502"/>
      <c r="AD154" s="33"/>
      <c r="AE154" s="102"/>
      <c r="AF154" s="99"/>
      <c r="AG154" s="33"/>
      <c r="AH154" s="102"/>
      <c r="AI154" s="99"/>
      <c r="AJ154" s="33"/>
      <c r="AK154" s="114"/>
    </row>
    <row r="155" spans="1:37" x14ac:dyDescent="0.2">
      <c r="A155" s="889" t="s">
        <v>6970</v>
      </c>
      <c r="B155" s="142">
        <v>1586400</v>
      </c>
      <c r="C155" s="33">
        <f>'Res-Gen'!D238</f>
        <v>-202000</v>
      </c>
      <c r="D155" s="129">
        <f>B155+C155</f>
        <v>1384400</v>
      </c>
      <c r="E155" s="502">
        <f>D155</f>
        <v>1384400</v>
      </c>
      <c r="F155" s="33">
        <f>'Res-Gen'!G238</f>
        <v>628500</v>
      </c>
      <c r="G155" s="129">
        <f>E155+F155</f>
        <v>2012900</v>
      </c>
      <c r="H155" s="502">
        <f>G155</f>
        <v>2012900</v>
      </c>
      <c r="I155" s="33">
        <f>'Res-Gen'!J238</f>
        <v>-908100</v>
      </c>
      <c r="J155" s="129">
        <f>H155+I155</f>
        <v>1104800</v>
      </c>
      <c r="K155" s="186">
        <f>J155</f>
        <v>1104800</v>
      </c>
      <c r="L155" s="33">
        <f>'Res-Gen'!M238</f>
        <v>588400</v>
      </c>
      <c r="M155" s="102">
        <f>K155+L155</f>
        <v>1693200</v>
      </c>
      <c r="N155" s="99">
        <f>M155</f>
        <v>1693200</v>
      </c>
      <c r="O155" s="33">
        <f>'Res-Gen'!P238</f>
        <v>621000</v>
      </c>
      <c r="P155" s="114">
        <f>N155+O155</f>
        <v>2314200</v>
      </c>
      <c r="Q155" s="99">
        <f>P155</f>
        <v>2314200</v>
      </c>
      <c r="R155" s="33">
        <f>'Res-Gen'!S238</f>
        <v>-945300</v>
      </c>
      <c r="S155" s="102">
        <f>Q155+R155</f>
        <v>1368900</v>
      </c>
      <c r="T155" s="99">
        <f>S155</f>
        <v>1368900</v>
      </c>
      <c r="U155" s="33">
        <f>'Res-Gen'!V238</f>
        <v>664800</v>
      </c>
      <c r="V155" s="102">
        <f>T155+U155</f>
        <v>2033700</v>
      </c>
      <c r="W155" s="99">
        <f>V155</f>
        <v>2033700</v>
      </c>
      <c r="X155" s="33">
        <f>'Res-Gen'!Y238</f>
        <v>716200</v>
      </c>
      <c r="Y155" s="102">
        <f>W155+X155</f>
        <v>2749900</v>
      </c>
      <c r="Z155" s="99">
        <f>Y155</f>
        <v>2749900</v>
      </c>
      <c r="AA155" s="33">
        <f>'Res-Gen'!AB238</f>
        <v>-928900</v>
      </c>
      <c r="AB155" s="102">
        <f>Z155+AA155</f>
        <v>1821000</v>
      </c>
      <c r="AC155" s="502">
        <f>AB155</f>
        <v>1821000</v>
      </c>
      <c r="AD155" s="33">
        <f>'Res-Gen'!AE238</f>
        <v>784600</v>
      </c>
      <c r="AE155" s="102">
        <f>AC155+AD155</f>
        <v>2605600</v>
      </c>
      <c r="AF155" s="99">
        <f>AE155</f>
        <v>2605600</v>
      </c>
      <c r="AG155" s="33">
        <f>'Res-Gen'!AH238</f>
        <v>842800</v>
      </c>
      <c r="AH155" s="102">
        <f>AF155+AG155</f>
        <v>3448400</v>
      </c>
      <c r="AI155" s="99">
        <f>AH155</f>
        <v>3448400</v>
      </c>
      <c r="AJ155" s="33">
        <f>'Res-Gen'!AK238</f>
        <v>-918100</v>
      </c>
      <c r="AK155" s="114">
        <f>AI155+AJ155</f>
        <v>2530300</v>
      </c>
    </row>
    <row r="156" spans="1:37" ht="13.5" thickBot="1" x14ac:dyDescent="0.25">
      <c r="A156" s="585"/>
      <c r="B156" s="142"/>
      <c r="C156" s="33"/>
      <c r="D156" s="129"/>
      <c r="E156" s="186"/>
      <c r="F156" s="33"/>
      <c r="G156" s="129"/>
      <c r="H156" s="186"/>
      <c r="I156" s="33"/>
      <c r="J156" s="129"/>
      <c r="K156" s="186"/>
      <c r="L156" s="33"/>
      <c r="M156" s="102"/>
      <c r="N156" s="99"/>
      <c r="O156" s="33"/>
      <c r="P156" s="114"/>
      <c r="Q156" s="99"/>
      <c r="R156" s="33"/>
      <c r="S156" s="102"/>
      <c r="T156" s="99"/>
      <c r="U156" s="33"/>
      <c r="V156" s="102"/>
      <c r="W156" s="99"/>
      <c r="X156" s="33"/>
      <c r="Y156" s="102"/>
      <c r="Z156" s="99"/>
      <c r="AA156" s="33"/>
      <c r="AB156" s="102"/>
      <c r="AC156" s="502"/>
      <c r="AD156" s="33"/>
      <c r="AE156" s="102"/>
      <c r="AF156" s="99"/>
      <c r="AG156" s="33"/>
      <c r="AH156" s="102"/>
      <c r="AI156" s="99"/>
      <c r="AJ156" s="33"/>
      <c r="AK156" s="114"/>
    </row>
    <row r="157" spans="1:37" s="92" customFormat="1" ht="14.25" thickTop="1" thickBot="1" x14ac:dyDescent="0.25">
      <c r="A157" s="1135" t="s">
        <v>3365</v>
      </c>
      <c r="B157" s="419">
        <f t="shared" ref="B157:AH157" si="512">SUBTOTAL(9,B86:B156)</f>
        <v>23719900</v>
      </c>
      <c r="C157" s="417">
        <f t="shared" si="512"/>
        <v>-2565600</v>
      </c>
      <c r="D157" s="418">
        <f t="shared" si="512"/>
        <v>21154300</v>
      </c>
      <c r="E157" s="424">
        <f t="shared" si="512"/>
        <v>21154300</v>
      </c>
      <c r="F157" s="417">
        <f t="shared" si="512"/>
        <v>-11042900</v>
      </c>
      <c r="G157" s="418">
        <f t="shared" si="512"/>
        <v>10111400</v>
      </c>
      <c r="H157" s="424">
        <f t="shared" si="512"/>
        <v>10111400</v>
      </c>
      <c r="I157" s="417">
        <f t="shared" si="512"/>
        <v>-2544200</v>
      </c>
      <c r="J157" s="418">
        <f t="shared" si="512"/>
        <v>7567200</v>
      </c>
      <c r="K157" s="424">
        <f t="shared" si="512"/>
        <v>7567200</v>
      </c>
      <c r="L157" s="417">
        <f t="shared" si="512"/>
        <v>478400</v>
      </c>
      <c r="M157" s="422">
        <f t="shared" si="512"/>
        <v>8045600</v>
      </c>
      <c r="N157" s="421">
        <f t="shared" si="512"/>
        <v>8045600</v>
      </c>
      <c r="O157" s="417">
        <f t="shared" si="512"/>
        <v>1472800</v>
      </c>
      <c r="P157" s="1586">
        <f t="shared" si="512"/>
        <v>9518400</v>
      </c>
      <c r="Q157" s="421">
        <f t="shared" si="512"/>
        <v>9518400</v>
      </c>
      <c r="R157" s="417">
        <f t="shared" si="512"/>
        <v>-824000</v>
      </c>
      <c r="S157" s="422">
        <f t="shared" si="512"/>
        <v>8694400</v>
      </c>
      <c r="T157" s="421">
        <f t="shared" si="512"/>
        <v>8694400</v>
      </c>
      <c r="U157" s="417">
        <f t="shared" si="512"/>
        <v>1142600</v>
      </c>
      <c r="V157" s="422">
        <f t="shared" si="512"/>
        <v>9837000</v>
      </c>
      <c r="W157" s="421">
        <f t="shared" si="512"/>
        <v>9837000</v>
      </c>
      <c r="X157" s="417">
        <f t="shared" si="512"/>
        <v>1014600</v>
      </c>
      <c r="Y157" s="422">
        <f t="shared" si="512"/>
        <v>10851600</v>
      </c>
      <c r="Z157" s="421">
        <f t="shared" si="512"/>
        <v>10851600</v>
      </c>
      <c r="AA157" s="417">
        <f t="shared" si="512"/>
        <v>-925700</v>
      </c>
      <c r="AB157" s="422">
        <f t="shared" si="512"/>
        <v>9925900</v>
      </c>
      <c r="AC157" s="1745">
        <f t="shared" si="512"/>
        <v>9925900</v>
      </c>
      <c r="AD157" s="417">
        <f t="shared" si="512"/>
        <v>1475600</v>
      </c>
      <c r="AE157" s="422">
        <f t="shared" si="512"/>
        <v>11401500</v>
      </c>
      <c r="AF157" s="421">
        <f t="shared" si="512"/>
        <v>11401500</v>
      </c>
      <c r="AG157" s="417">
        <f t="shared" si="512"/>
        <v>1591300</v>
      </c>
      <c r="AH157" s="422">
        <f t="shared" si="512"/>
        <v>12992800</v>
      </c>
      <c r="AI157" s="421">
        <f t="shared" ref="AI157:AK157" si="513">SUBTOTAL(9,AI86:AI156)</f>
        <v>12992800</v>
      </c>
      <c r="AJ157" s="417">
        <f t="shared" si="513"/>
        <v>-3500</v>
      </c>
      <c r="AK157" s="1586">
        <f t="shared" si="513"/>
        <v>12989300</v>
      </c>
    </row>
    <row r="158" spans="1:37" ht="14.25" thickTop="1" thickBot="1" x14ac:dyDescent="0.25">
      <c r="A158" s="413"/>
      <c r="B158" s="142"/>
      <c r="C158" s="33"/>
      <c r="D158" s="129"/>
      <c r="E158" s="186"/>
      <c r="F158" s="33"/>
      <c r="G158" s="129"/>
      <c r="H158" s="186"/>
      <c r="I158" s="33"/>
      <c r="J158" s="129"/>
      <c r="K158" s="186"/>
      <c r="L158" s="33"/>
      <c r="M158" s="129"/>
      <c r="N158" s="142"/>
      <c r="O158" s="33"/>
      <c r="P158" s="114"/>
      <c r="Q158" s="142"/>
      <c r="R158" s="33"/>
      <c r="S158" s="102"/>
      <c r="T158" s="142"/>
      <c r="U158" s="33"/>
      <c r="V158" s="102"/>
      <c r="W158" s="142"/>
      <c r="X158" s="33"/>
      <c r="Y158" s="102"/>
      <c r="Z158" s="142"/>
      <c r="AA158" s="33"/>
      <c r="AB158" s="102"/>
      <c r="AC158" s="186"/>
      <c r="AD158" s="33"/>
      <c r="AE158" s="102"/>
      <c r="AF158" s="142"/>
      <c r="AG158" s="33"/>
      <c r="AH158" s="102"/>
      <c r="AI158" s="142"/>
      <c r="AJ158" s="33"/>
      <c r="AK158" s="114"/>
    </row>
    <row r="159" spans="1:37" ht="14.25" thickTop="1" thickBot="1" x14ac:dyDescent="0.25">
      <c r="A159" s="720" t="s">
        <v>1426</v>
      </c>
      <c r="B159" s="721">
        <f t="shared" ref="B159:AK159" si="514">SUBTOTAL(9,B4:B158)</f>
        <v>38402600</v>
      </c>
      <c r="C159" s="723">
        <f t="shared" si="514"/>
        <v>-1109300</v>
      </c>
      <c r="D159" s="722">
        <f t="shared" si="514"/>
        <v>37293300</v>
      </c>
      <c r="E159" s="724">
        <f t="shared" si="514"/>
        <v>37293300</v>
      </c>
      <c r="F159" s="723">
        <f t="shared" si="514"/>
        <v>-10130400</v>
      </c>
      <c r="G159" s="722">
        <f t="shared" si="514"/>
        <v>27162900</v>
      </c>
      <c r="H159" s="724">
        <f t="shared" si="514"/>
        <v>27162900</v>
      </c>
      <c r="I159" s="723">
        <f t="shared" si="514"/>
        <v>1948300</v>
      </c>
      <c r="J159" s="722">
        <f t="shared" si="514"/>
        <v>29111200</v>
      </c>
      <c r="K159" s="724">
        <f t="shared" si="514"/>
        <v>44413500</v>
      </c>
      <c r="L159" s="723">
        <f t="shared" si="514"/>
        <v>-6241900</v>
      </c>
      <c r="M159" s="722">
        <f t="shared" si="514"/>
        <v>22869300</v>
      </c>
      <c r="N159" s="721">
        <f t="shared" si="514"/>
        <v>22869300</v>
      </c>
      <c r="O159" s="723">
        <f t="shared" si="514"/>
        <v>6072000</v>
      </c>
      <c r="P159" s="2159">
        <f t="shared" si="514"/>
        <v>28941300</v>
      </c>
      <c r="Q159" s="721">
        <f t="shared" si="514"/>
        <v>28941300</v>
      </c>
      <c r="R159" s="723">
        <f t="shared" si="514"/>
        <v>-2492400</v>
      </c>
      <c r="S159" s="725">
        <f t="shared" si="514"/>
        <v>26448900</v>
      </c>
      <c r="T159" s="721">
        <f t="shared" si="514"/>
        <v>26448900</v>
      </c>
      <c r="U159" s="723">
        <f t="shared" si="514"/>
        <v>1110400</v>
      </c>
      <c r="V159" s="725">
        <f t="shared" si="514"/>
        <v>27559300</v>
      </c>
      <c r="W159" s="721">
        <f t="shared" si="514"/>
        <v>27559300</v>
      </c>
      <c r="X159" s="723">
        <f t="shared" si="514"/>
        <v>4255100</v>
      </c>
      <c r="Y159" s="725">
        <f t="shared" si="514"/>
        <v>31814400</v>
      </c>
      <c r="Z159" s="721">
        <f t="shared" si="514"/>
        <v>31814400</v>
      </c>
      <c r="AA159" s="723">
        <f t="shared" si="514"/>
        <v>2153000</v>
      </c>
      <c r="AB159" s="725">
        <f t="shared" si="514"/>
        <v>33967400</v>
      </c>
      <c r="AC159" s="724">
        <f t="shared" si="514"/>
        <v>33967400</v>
      </c>
      <c r="AD159" s="723">
        <f t="shared" si="514"/>
        <v>4834900</v>
      </c>
      <c r="AE159" s="725">
        <f t="shared" si="514"/>
        <v>38802300</v>
      </c>
      <c r="AF159" s="721">
        <f t="shared" si="514"/>
        <v>38802300</v>
      </c>
      <c r="AG159" s="723">
        <f t="shared" si="514"/>
        <v>4417800</v>
      </c>
      <c r="AH159" s="725">
        <f t="shared" si="514"/>
        <v>43220100</v>
      </c>
      <c r="AI159" s="721">
        <f t="shared" si="514"/>
        <v>43220100</v>
      </c>
      <c r="AJ159" s="723">
        <f t="shared" si="514"/>
        <v>3002800</v>
      </c>
      <c r="AK159" s="1589">
        <f t="shared" si="514"/>
        <v>46222900</v>
      </c>
    </row>
    <row r="160" spans="1:37" ht="13.5" thickTop="1" x14ac:dyDescent="0.2">
      <c r="A160" s="590"/>
      <c r="B160" s="128"/>
      <c r="C160" s="64"/>
      <c r="D160" s="400"/>
      <c r="E160" s="185"/>
      <c r="F160" s="64"/>
      <c r="G160" s="400"/>
      <c r="H160" s="185"/>
      <c r="I160" s="64"/>
      <c r="J160" s="400"/>
      <c r="K160" s="185"/>
      <c r="L160" s="64"/>
      <c r="M160" s="400"/>
      <c r="N160" s="128"/>
      <c r="O160" s="64"/>
      <c r="P160" s="1109"/>
      <c r="Q160" s="128"/>
      <c r="R160" s="64"/>
      <c r="S160" s="117"/>
      <c r="T160" s="128"/>
      <c r="U160" s="64"/>
      <c r="V160" s="117"/>
      <c r="W160" s="128"/>
      <c r="X160" s="64"/>
      <c r="Y160" s="117"/>
      <c r="Z160" s="128"/>
      <c r="AA160" s="64"/>
      <c r="AB160" s="117"/>
      <c r="AC160" s="128"/>
      <c r="AD160" s="64"/>
      <c r="AE160" s="115"/>
      <c r="AF160" s="128"/>
      <c r="AG160" s="64"/>
      <c r="AH160" s="117"/>
      <c r="AI160" s="128"/>
      <c r="AJ160" s="64"/>
      <c r="AK160" s="115"/>
    </row>
    <row r="161" spans="1:37" x14ac:dyDescent="0.2">
      <c r="A161" s="590" t="s">
        <v>2792</v>
      </c>
      <c r="B161" s="128"/>
      <c r="C161" s="64"/>
      <c r="D161" s="400"/>
      <c r="E161" s="185"/>
      <c r="F161" s="64"/>
      <c r="G161" s="400"/>
      <c r="H161" s="185"/>
      <c r="I161" s="64"/>
      <c r="J161" s="400"/>
      <c r="K161" s="185"/>
      <c r="L161" s="64"/>
      <c r="M161" s="400"/>
      <c r="N161" s="128"/>
      <c r="O161" s="64"/>
      <c r="P161" s="1109"/>
      <c r="Q161" s="128"/>
      <c r="R161" s="64"/>
      <c r="S161" s="117"/>
      <c r="T161" s="128"/>
      <c r="U161" s="64"/>
      <c r="V161" s="117"/>
      <c r="W161" s="128"/>
      <c r="X161" s="64"/>
      <c r="Y161" s="117"/>
      <c r="Z161" s="128"/>
      <c r="AA161" s="64"/>
      <c r="AB161" s="117"/>
      <c r="AC161" s="128"/>
      <c r="AD161" s="64"/>
      <c r="AE161" s="115"/>
      <c r="AF161" s="128"/>
      <c r="AG161" s="64"/>
      <c r="AH161" s="117"/>
      <c r="AI161" s="128"/>
      <c r="AJ161" s="64"/>
      <c r="AK161" s="115"/>
    </row>
    <row r="162" spans="1:37" x14ac:dyDescent="0.2">
      <c r="A162" s="413" t="s">
        <v>2589</v>
      </c>
      <c r="B162" s="142">
        <f>B159-B163</f>
        <v>27819700</v>
      </c>
      <c r="C162" s="33">
        <f>D162-B162</f>
        <v>521200</v>
      </c>
      <c r="D162" s="129">
        <f t="shared" ref="D162:E162" si="515">D159-D163</f>
        <v>28340900</v>
      </c>
      <c r="E162" s="186">
        <f t="shared" si="515"/>
        <v>28340900</v>
      </c>
      <c r="F162" s="33">
        <f t="shared" ref="F162" si="516">G162-E162</f>
        <v>-9943800</v>
      </c>
      <c r="G162" s="129">
        <f t="shared" ref="G162:H162" si="517">G159-G163</f>
        <v>18397100</v>
      </c>
      <c r="H162" s="186">
        <f t="shared" si="517"/>
        <v>18397100</v>
      </c>
      <c r="I162" s="33">
        <f t="shared" ref="I162" si="518">J162-H162</f>
        <v>-3363500</v>
      </c>
      <c r="J162" s="129">
        <f t="shared" ref="J162:K162" si="519">J159-J163</f>
        <v>15033600</v>
      </c>
      <c r="K162" s="186">
        <f t="shared" si="519"/>
        <v>30335900</v>
      </c>
      <c r="L162" s="33">
        <f t="shared" ref="L162" si="520">M162-K162</f>
        <v>-13140100</v>
      </c>
      <c r="M162" s="129">
        <f t="shared" ref="M162:N162" si="521">M159-M163</f>
        <v>17195800</v>
      </c>
      <c r="N162" s="142">
        <f t="shared" si="521"/>
        <v>17195800</v>
      </c>
      <c r="O162" s="33">
        <f t="shared" ref="O162" si="522">P162-N162</f>
        <v>-330100</v>
      </c>
      <c r="P162" s="2160">
        <f t="shared" ref="P162:Q162" si="523">P159-P163</f>
        <v>16865700</v>
      </c>
      <c r="Q162" s="142">
        <f t="shared" si="523"/>
        <v>16865700</v>
      </c>
      <c r="R162" s="33">
        <f t="shared" ref="R162" si="524">S162-Q162</f>
        <v>-43400</v>
      </c>
      <c r="S162" s="102">
        <f t="shared" ref="S162:T162" si="525">S159-S163</f>
        <v>16822300</v>
      </c>
      <c r="T162" s="142">
        <f t="shared" si="525"/>
        <v>16822300</v>
      </c>
      <c r="U162" s="33">
        <f t="shared" ref="U162" si="526">V162-T162</f>
        <v>1265100</v>
      </c>
      <c r="V162" s="102">
        <f t="shared" ref="V162:W162" si="527">V159-V163</f>
        <v>18087400</v>
      </c>
      <c r="W162" s="142">
        <f t="shared" si="527"/>
        <v>18087400</v>
      </c>
      <c r="X162" s="33">
        <f t="shared" ref="X162" si="528">Y162-W162</f>
        <v>971700</v>
      </c>
      <c r="Y162" s="102">
        <f t="shared" ref="Y162:Z162" si="529">Y159-Y163</f>
        <v>19059100</v>
      </c>
      <c r="Z162" s="142">
        <f t="shared" si="529"/>
        <v>19059100</v>
      </c>
      <c r="AA162" s="33">
        <f t="shared" ref="AA162" si="530">AB162-Z162</f>
        <v>401600</v>
      </c>
      <c r="AB162" s="102">
        <f t="shared" ref="AB162:AC162" si="531">AB159-AB163</f>
        <v>19460700</v>
      </c>
      <c r="AC162" s="142">
        <f t="shared" si="531"/>
        <v>19460700</v>
      </c>
      <c r="AD162" s="33">
        <f t="shared" ref="AD162" si="532">AE162-AC162</f>
        <v>1251900</v>
      </c>
      <c r="AE162" s="114">
        <f t="shared" ref="AE162:AF162" si="533">AE159-AE163</f>
        <v>20712600</v>
      </c>
      <c r="AF162" s="142">
        <f t="shared" si="533"/>
        <v>20712600</v>
      </c>
      <c r="AG162" s="33">
        <f t="shared" ref="AG162" si="534">AH162-AF162</f>
        <v>654600</v>
      </c>
      <c r="AH162" s="102">
        <f t="shared" ref="AH162:AI162" si="535">AH159-AH163</f>
        <v>21367200</v>
      </c>
      <c r="AI162" s="142">
        <f t="shared" si="535"/>
        <v>21367200</v>
      </c>
      <c r="AJ162" s="33">
        <f t="shared" ref="AJ162" si="536">AK162-AI162</f>
        <v>786600</v>
      </c>
      <c r="AK162" s="114">
        <f t="shared" ref="AK162" si="537">AK159-AK163</f>
        <v>22153800</v>
      </c>
    </row>
    <row r="163" spans="1:37" x14ac:dyDescent="0.2">
      <c r="A163" s="413" t="s">
        <v>1334</v>
      </c>
      <c r="B163" s="142">
        <f t="shared" ref="B163:AK163" si="538">B155+B6+B53+B51+B52++B132</f>
        <v>10582900</v>
      </c>
      <c r="C163" s="33">
        <f t="shared" si="538"/>
        <v>-1630500</v>
      </c>
      <c r="D163" s="129">
        <f t="shared" si="538"/>
        <v>8952400</v>
      </c>
      <c r="E163" s="186">
        <f t="shared" si="538"/>
        <v>8952400</v>
      </c>
      <c r="F163" s="33">
        <f t="shared" si="538"/>
        <v>-186600</v>
      </c>
      <c r="G163" s="129">
        <f t="shared" si="538"/>
        <v>8765800</v>
      </c>
      <c r="H163" s="186">
        <f t="shared" si="538"/>
        <v>8765800</v>
      </c>
      <c r="I163" s="33">
        <f t="shared" si="538"/>
        <v>5311800</v>
      </c>
      <c r="J163" s="129">
        <f t="shared" si="538"/>
        <v>14077600</v>
      </c>
      <c r="K163" s="186">
        <f t="shared" si="538"/>
        <v>14077600</v>
      </c>
      <c r="L163" s="33">
        <f t="shared" si="538"/>
        <v>-8404100</v>
      </c>
      <c r="M163" s="129">
        <f t="shared" si="538"/>
        <v>5673500</v>
      </c>
      <c r="N163" s="142">
        <f t="shared" si="538"/>
        <v>5673500</v>
      </c>
      <c r="O163" s="33">
        <f t="shared" si="538"/>
        <v>6402100</v>
      </c>
      <c r="P163" s="2160">
        <f t="shared" si="538"/>
        <v>12075600</v>
      </c>
      <c r="Q163" s="142">
        <f t="shared" si="538"/>
        <v>12075600</v>
      </c>
      <c r="R163" s="33">
        <f t="shared" si="538"/>
        <v>-2449000</v>
      </c>
      <c r="S163" s="102">
        <f t="shared" si="538"/>
        <v>9626600</v>
      </c>
      <c r="T163" s="142">
        <f t="shared" si="538"/>
        <v>9626600</v>
      </c>
      <c r="U163" s="33">
        <f t="shared" si="538"/>
        <v>-154700</v>
      </c>
      <c r="V163" s="102">
        <f t="shared" si="538"/>
        <v>9471900</v>
      </c>
      <c r="W163" s="142">
        <f t="shared" si="538"/>
        <v>9471900</v>
      </c>
      <c r="X163" s="33">
        <f t="shared" si="538"/>
        <v>3283400</v>
      </c>
      <c r="Y163" s="102">
        <f t="shared" si="538"/>
        <v>12755300</v>
      </c>
      <c r="Z163" s="142">
        <f t="shared" si="538"/>
        <v>12755300</v>
      </c>
      <c r="AA163" s="33">
        <f t="shared" si="538"/>
        <v>1751400</v>
      </c>
      <c r="AB163" s="102">
        <f t="shared" si="538"/>
        <v>14506700</v>
      </c>
      <c r="AC163" s="142">
        <f t="shared" si="538"/>
        <v>14506700</v>
      </c>
      <c r="AD163" s="33">
        <f t="shared" si="538"/>
        <v>3583000</v>
      </c>
      <c r="AE163" s="114">
        <f t="shared" si="538"/>
        <v>18089700</v>
      </c>
      <c r="AF163" s="142">
        <f t="shared" si="538"/>
        <v>18089700</v>
      </c>
      <c r="AG163" s="33">
        <f t="shared" si="538"/>
        <v>3763200</v>
      </c>
      <c r="AH163" s="102">
        <f t="shared" si="538"/>
        <v>21852900</v>
      </c>
      <c r="AI163" s="142">
        <f t="shared" si="538"/>
        <v>21852900</v>
      </c>
      <c r="AJ163" s="33">
        <f t="shared" si="538"/>
        <v>2216200</v>
      </c>
      <c r="AK163" s="114">
        <f t="shared" si="538"/>
        <v>24069100</v>
      </c>
    </row>
    <row r="164" spans="1:37" ht="13.5" thickBot="1" x14ac:dyDescent="0.25">
      <c r="A164" s="414"/>
      <c r="B164" s="166"/>
      <c r="C164" s="66"/>
      <c r="D164" s="136"/>
      <c r="E164" s="217"/>
      <c r="F164" s="66"/>
      <c r="G164" s="136"/>
      <c r="H164" s="217"/>
      <c r="I164" s="66"/>
      <c r="J164" s="136"/>
      <c r="K164" s="217"/>
      <c r="L164" s="66"/>
      <c r="M164" s="136"/>
      <c r="N164" s="166"/>
      <c r="O164" s="66"/>
      <c r="P164" s="2161"/>
      <c r="Q164" s="166"/>
      <c r="R164" s="66"/>
      <c r="S164" s="326"/>
      <c r="T164" s="166"/>
      <c r="U164" s="66"/>
      <c r="V164" s="326"/>
      <c r="W164" s="166"/>
      <c r="X164" s="66"/>
      <c r="Y164" s="326"/>
      <c r="Z164" s="166"/>
      <c r="AA164" s="66"/>
      <c r="AB164" s="326"/>
      <c r="AC164" s="166"/>
      <c r="AD164" s="66"/>
      <c r="AE164" s="165"/>
      <c r="AF164" s="166"/>
      <c r="AG164" s="66"/>
      <c r="AH164" s="326"/>
      <c r="AI164" s="166"/>
      <c r="AJ164" s="66"/>
      <c r="AK164" s="165"/>
    </row>
    <row r="165" spans="1:37" ht="13.5" thickTop="1" x14ac:dyDescent="0.2"/>
    <row r="166" spans="1:37" ht="13.5" thickBot="1" x14ac:dyDescent="0.25">
      <c r="A166" s="92" t="s">
        <v>1933</v>
      </c>
      <c r="D166" s="2637">
        <f>D159-D168+D172</f>
        <v>0</v>
      </c>
      <c r="G166" s="2637">
        <f>G159-G168+G172</f>
        <v>0</v>
      </c>
    </row>
    <row r="167" spans="1:37" ht="13.5" thickTop="1" x14ac:dyDescent="0.2"/>
    <row r="168" spans="1:37" x14ac:dyDescent="0.2">
      <c r="A168" s="92" t="s">
        <v>2838</v>
      </c>
      <c r="C168" s="2638" t="s">
        <v>6838</v>
      </c>
      <c r="D168" s="84">
        <v>36775150</v>
      </c>
      <c r="F168" s="2792">
        <v>42779</v>
      </c>
      <c r="G168" s="84">
        <v>26644810</v>
      </c>
    </row>
    <row r="169" spans="1:37" x14ac:dyDescent="0.2">
      <c r="A169" s="84" t="s">
        <v>2839</v>
      </c>
    </row>
    <row r="170" spans="1:37" x14ac:dyDescent="0.2">
      <c r="A170" s="84" t="s">
        <v>1800</v>
      </c>
      <c r="D170" s="84">
        <v>-518000</v>
      </c>
      <c r="G170" s="84">
        <v>-518000</v>
      </c>
    </row>
    <row r="171" spans="1:37" x14ac:dyDescent="0.2">
      <c r="A171" s="84" t="s">
        <v>1375</v>
      </c>
      <c r="D171" s="555">
        <v>-150</v>
      </c>
      <c r="G171" s="555">
        <v>-90</v>
      </c>
    </row>
    <row r="172" spans="1:37" s="92" customFormat="1" x14ac:dyDescent="0.2">
      <c r="A172" s="92" t="s">
        <v>839</v>
      </c>
      <c r="D172" s="92">
        <f>SUM(D170:D171)</f>
        <v>-518150</v>
      </c>
      <c r="G172" s="92">
        <f>SUM(G170:G171)</f>
        <v>-518090</v>
      </c>
    </row>
    <row r="173" spans="1:37" x14ac:dyDescent="0.2">
      <c r="A173" s="133"/>
    </row>
    <row r="175" spans="1:37" x14ac:dyDescent="0.2">
      <c r="A175" s="133"/>
    </row>
    <row r="176" spans="1:37" ht="12" customHeight="1" x14ac:dyDescent="0.2">
      <c r="A176" s="133"/>
    </row>
  </sheetData>
  <mergeCells count="27">
    <mergeCell ref="A1:P1"/>
    <mergeCell ref="H83:J83"/>
    <mergeCell ref="AF2:AH2"/>
    <mergeCell ref="AF83:AH83"/>
    <mergeCell ref="B83:D83"/>
    <mergeCell ref="E83:G83"/>
    <mergeCell ref="Z83:AB83"/>
    <mergeCell ref="K83:M83"/>
    <mergeCell ref="T83:V83"/>
    <mergeCell ref="W83:Y83"/>
    <mergeCell ref="N83:P83"/>
    <mergeCell ref="Q83:S83"/>
    <mergeCell ref="AI2:AK2"/>
    <mergeCell ref="AI83:AK83"/>
    <mergeCell ref="A82:P82"/>
    <mergeCell ref="A79:M79"/>
    <mergeCell ref="AC2:AE2"/>
    <mergeCell ref="AC83:AE83"/>
    <mergeCell ref="B2:D2"/>
    <mergeCell ref="T2:V2"/>
    <mergeCell ref="N2:P2"/>
    <mergeCell ref="H2:J2"/>
    <mergeCell ref="W2:Y2"/>
    <mergeCell ref="Z2:AB2"/>
    <mergeCell ref="E2:G2"/>
    <mergeCell ref="K2:M2"/>
    <mergeCell ref="Q2:S2"/>
  </mergeCells>
  <phoneticPr fontId="9" type="noConversion"/>
  <printOptions horizontalCentered="1"/>
  <pageMargins left="0" right="0" top="0.98425196850393704" bottom="0.39370078740157483" header="0" footer="0"/>
  <pageSetup paperSize="8" scale="70" orientation="landscape" r:id="rId1"/>
  <headerFooter alignWithMargins="0"/>
  <rowBreaks count="2" manualBreakCount="2">
    <brk id="80" max="16383" man="1"/>
    <brk id="164" max="16383"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A1:BC213"/>
  <sheetViews>
    <sheetView workbookViewId="0">
      <pane xSplit="3" ySplit="4" topLeftCell="D104" activePane="bottomRight" state="frozen"/>
      <selection pane="topRight" activeCell="D1" sqref="D1"/>
      <selection pane="bottomLeft" activeCell="A5" sqref="A5"/>
      <selection pane="bottomRight" activeCell="G145" sqref="G145"/>
    </sheetView>
  </sheetViews>
  <sheetFormatPr defaultColWidth="9.140625" defaultRowHeight="12.75" x14ac:dyDescent="0.2"/>
  <cols>
    <col min="1" max="1" width="33" style="1036" customWidth="1"/>
    <col min="2" max="2" width="14.28515625" style="1037" customWidth="1"/>
    <col min="3" max="3" width="9.85546875" style="573" customWidth="1"/>
    <col min="4" max="4" width="10.140625" style="1037" customWidth="1"/>
    <col min="5" max="5" width="9.85546875" style="573" customWidth="1"/>
    <col min="6" max="8" width="10.140625" style="573" customWidth="1"/>
    <col min="9" max="9" width="12.85546875" style="573" customWidth="1"/>
    <col min="10" max="10" width="11.7109375" style="573" customWidth="1"/>
    <col min="11" max="12" width="10.140625" style="573" customWidth="1"/>
    <col min="13" max="19" width="10.140625" style="573" bestFit="1" customWidth="1"/>
    <col min="20" max="20" width="9.140625" style="504" bestFit="1" customWidth="1"/>
    <col min="21" max="21" width="10.140625" style="504" bestFit="1" customWidth="1"/>
    <col min="22" max="22" width="9.140625" style="504" bestFit="1" customWidth="1"/>
    <col min="23" max="23" width="10.140625" style="504" bestFit="1" customWidth="1"/>
    <col min="24" max="24" width="9.140625" style="573" bestFit="1" customWidth="1"/>
    <col min="25" max="25" width="10.140625" style="573" bestFit="1" customWidth="1"/>
    <col min="26" max="26" width="9.140625" style="504" bestFit="1" customWidth="1"/>
    <col min="27" max="27" width="10.140625" style="504" bestFit="1" customWidth="1"/>
    <col min="28" max="28" width="10.140625" style="253" bestFit="1" customWidth="1"/>
    <col min="29" max="29" width="10.140625" style="504" bestFit="1" customWidth="1"/>
    <col min="30" max="30" width="10.140625" style="253" bestFit="1" customWidth="1"/>
    <col min="31" max="31" width="10.140625" style="504" bestFit="1" customWidth="1"/>
    <col min="32" max="32" width="10.140625" style="253" bestFit="1" customWidth="1"/>
    <col min="33" max="16384" width="9.140625" style="253"/>
  </cols>
  <sheetData>
    <row r="1" spans="1:33" ht="13.5" thickTop="1" x14ac:dyDescent="0.2">
      <c r="A1" s="2687"/>
      <c r="B1" s="2688"/>
      <c r="C1" s="2688"/>
      <c r="D1" s="2688"/>
      <c r="E1" s="2688"/>
      <c r="F1" s="2688"/>
      <c r="G1" s="2688"/>
      <c r="H1" s="2688"/>
      <c r="I1" s="2688"/>
      <c r="J1" s="2688"/>
      <c r="K1" s="2688"/>
      <c r="L1" s="2688"/>
      <c r="M1" s="2688"/>
      <c r="N1" s="2688"/>
      <c r="O1" s="2688"/>
      <c r="P1" s="2688"/>
      <c r="Q1" s="2688"/>
      <c r="R1" s="2688"/>
      <c r="S1" s="2688"/>
      <c r="T1" s="2688"/>
      <c r="U1" s="2688"/>
      <c r="V1" s="2688"/>
      <c r="W1" s="2688"/>
      <c r="X1" s="2688"/>
      <c r="Y1" s="2688"/>
      <c r="Z1" s="2688"/>
      <c r="AA1" s="2688"/>
      <c r="AB1" s="2688"/>
      <c r="AC1" s="2688"/>
      <c r="AD1" s="2688"/>
      <c r="AE1" s="2688"/>
      <c r="AF1" s="2689"/>
    </row>
    <row r="2" spans="1:33" s="311" customFormat="1" ht="15.75" x14ac:dyDescent="0.25">
      <c r="A2" s="2945" t="s">
        <v>5160</v>
      </c>
      <c r="B2" s="2946"/>
      <c r="C2" s="2946"/>
      <c r="D2" s="2946"/>
      <c r="E2" s="2946"/>
      <c r="F2" s="2946"/>
      <c r="G2" s="2946"/>
      <c r="H2" s="2946"/>
      <c r="I2" s="2946"/>
      <c r="J2" s="2946"/>
      <c r="K2" s="2946"/>
      <c r="L2" s="2946"/>
      <c r="M2" s="2946"/>
      <c r="N2" s="2946"/>
      <c r="O2" s="2946"/>
      <c r="P2" s="2946"/>
      <c r="Q2" s="2946"/>
      <c r="R2" s="2946"/>
      <c r="S2" s="2946"/>
      <c r="T2" s="2946"/>
      <c r="U2" s="2946"/>
      <c r="V2" s="2946"/>
      <c r="W2" s="2946"/>
      <c r="X2" s="2946"/>
      <c r="Y2" s="2946"/>
      <c r="Z2" s="2946"/>
      <c r="AA2" s="2946"/>
      <c r="AB2" s="2946"/>
      <c r="AC2" s="2946"/>
      <c r="AD2" s="2946"/>
      <c r="AE2" s="2946"/>
      <c r="AF2" s="2947"/>
    </row>
    <row r="3" spans="1:33" x14ac:dyDescent="0.2">
      <c r="A3" s="1018"/>
      <c r="B3" s="1019" t="s">
        <v>2604</v>
      </c>
      <c r="C3" s="1807" t="s">
        <v>2671</v>
      </c>
      <c r="D3" s="1019" t="s">
        <v>4705</v>
      </c>
      <c r="E3" s="2948" t="s">
        <v>943</v>
      </c>
      <c r="F3" s="2949"/>
      <c r="G3" s="2948" t="s">
        <v>897</v>
      </c>
      <c r="H3" s="2949"/>
      <c r="I3" s="2948" t="s">
        <v>2072</v>
      </c>
      <c r="J3" s="2949"/>
      <c r="K3" s="2948" t="s">
        <v>1614</v>
      </c>
      <c r="L3" s="2949"/>
      <c r="M3" s="2948" t="s">
        <v>2180</v>
      </c>
      <c r="N3" s="2949"/>
      <c r="O3" s="2948" t="s">
        <v>2177</v>
      </c>
      <c r="P3" s="2949"/>
      <c r="Q3" s="2950" t="s">
        <v>1547</v>
      </c>
      <c r="R3" s="2951"/>
      <c r="S3" s="2950" t="s">
        <v>1188</v>
      </c>
      <c r="T3" s="2951"/>
      <c r="U3" s="2950" t="s">
        <v>1328</v>
      </c>
      <c r="V3" s="2951"/>
      <c r="W3" s="2950" t="s">
        <v>2946</v>
      </c>
      <c r="X3" s="2952"/>
      <c r="Y3" s="2943" t="s">
        <v>3529</v>
      </c>
      <c r="Z3" s="2952"/>
      <c r="AA3" s="2950" t="s">
        <v>4299</v>
      </c>
      <c r="AB3" s="2951"/>
      <c r="AC3" s="2950" t="s">
        <v>6056</v>
      </c>
      <c r="AD3" s="2951"/>
      <c r="AE3" s="2943" t="s">
        <v>7037</v>
      </c>
      <c r="AF3" s="2944"/>
    </row>
    <row r="4" spans="1:33" x14ac:dyDescent="0.2">
      <c r="A4" s="1020" t="s">
        <v>1929</v>
      </c>
      <c r="B4" s="1021" t="s">
        <v>800</v>
      </c>
      <c r="C4" s="1808" t="s">
        <v>2268</v>
      </c>
      <c r="D4" s="1021" t="s">
        <v>4706</v>
      </c>
      <c r="E4" s="1079" t="s">
        <v>349</v>
      </c>
      <c r="F4" s="1080" t="s">
        <v>399</v>
      </c>
      <c r="G4" s="1079" t="s">
        <v>349</v>
      </c>
      <c r="H4" s="1080" t="s">
        <v>399</v>
      </c>
      <c r="I4" s="1079" t="s">
        <v>349</v>
      </c>
      <c r="J4" s="1080" t="s">
        <v>399</v>
      </c>
      <c r="K4" s="1079" t="s">
        <v>349</v>
      </c>
      <c r="L4" s="1080" t="s">
        <v>399</v>
      </c>
      <c r="M4" s="1079" t="s">
        <v>349</v>
      </c>
      <c r="N4" s="1080" t="s">
        <v>399</v>
      </c>
      <c r="O4" s="1079" t="s">
        <v>349</v>
      </c>
      <c r="P4" s="1080" t="s">
        <v>399</v>
      </c>
      <c r="Q4" s="1079" t="s">
        <v>349</v>
      </c>
      <c r="R4" s="1080" t="s">
        <v>399</v>
      </c>
      <c r="S4" s="1079" t="s">
        <v>349</v>
      </c>
      <c r="T4" s="1080" t="s">
        <v>399</v>
      </c>
      <c r="U4" s="1081" t="s">
        <v>349</v>
      </c>
      <c r="V4" s="1082" t="s">
        <v>399</v>
      </c>
      <c r="W4" s="1081" t="s">
        <v>349</v>
      </c>
      <c r="X4" s="1082" t="s">
        <v>399</v>
      </c>
      <c r="Y4" s="1081" t="s">
        <v>349</v>
      </c>
      <c r="Z4" s="1082" t="s">
        <v>399</v>
      </c>
      <c r="AA4" s="1081" t="s">
        <v>349</v>
      </c>
      <c r="AB4" s="1082" t="s">
        <v>399</v>
      </c>
      <c r="AC4" s="1081" t="s">
        <v>349</v>
      </c>
      <c r="AD4" s="1082" t="s">
        <v>399</v>
      </c>
      <c r="AE4" s="1082" t="s">
        <v>349</v>
      </c>
      <c r="AF4" s="1083" t="s">
        <v>399</v>
      </c>
    </row>
    <row r="5" spans="1:33" x14ac:dyDescent="0.2">
      <c r="A5" s="921"/>
      <c r="B5" s="1042"/>
      <c r="C5" s="1809"/>
      <c r="D5" s="1022"/>
      <c r="E5" s="920"/>
      <c r="F5" s="920"/>
      <c r="G5" s="928"/>
      <c r="H5" s="929"/>
      <c r="I5" s="928"/>
      <c r="J5" s="929"/>
      <c r="K5" s="928"/>
      <c r="L5" s="929"/>
      <c r="M5" s="928"/>
      <c r="N5" s="929"/>
      <c r="O5" s="928"/>
      <c r="P5" s="929"/>
      <c r="Q5" s="928"/>
      <c r="R5" s="929"/>
      <c r="S5" s="928"/>
      <c r="T5" s="929"/>
      <c r="U5" s="925"/>
      <c r="V5" s="926"/>
      <c r="W5" s="925"/>
      <c r="X5" s="926"/>
      <c r="Y5" s="928"/>
      <c r="Z5" s="929"/>
      <c r="AA5" s="925"/>
      <c r="AB5" s="926"/>
      <c r="AC5" s="925"/>
      <c r="AD5" s="926"/>
      <c r="AE5" s="926"/>
      <c r="AF5" s="927"/>
    </row>
    <row r="6" spans="1:33" x14ac:dyDescent="0.2">
      <c r="A6" s="778" t="s">
        <v>828</v>
      </c>
      <c r="B6" s="1043"/>
      <c r="C6" s="1810"/>
      <c r="D6" s="897"/>
      <c r="E6" s="765"/>
      <c r="F6" s="765"/>
      <c r="G6" s="925"/>
      <c r="H6" s="926"/>
      <c r="I6" s="925"/>
      <c r="J6" s="926"/>
      <c r="K6" s="928"/>
      <c r="L6" s="929"/>
      <c r="M6" s="928"/>
      <c r="N6" s="929"/>
      <c r="O6" s="928"/>
      <c r="P6" s="929"/>
      <c r="Q6" s="928"/>
      <c r="R6" s="929"/>
      <c r="S6" s="928"/>
      <c r="T6" s="929"/>
      <c r="U6" s="925"/>
      <c r="V6" s="926"/>
      <c r="W6" s="925"/>
      <c r="X6" s="926"/>
      <c r="Y6" s="928"/>
      <c r="Z6" s="929"/>
      <c r="AA6" s="925"/>
      <c r="AB6" s="926"/>
      <c r="AC6" s="925"/>
      <c r="AD6" s="926"/>
      <c r="AE6" s="926"/>
      <c r="AF6" s="927"/>
    </row>
    <row r="7" spans="1:33" x14ac:dyDescent="0.2">
      <c r="A7" s="781" t="s">
        <v>2876</v>
      </c>
      <c r="B7" s="152" t="s">
        <v>2658</v>
      </c>
      <c r="C7" s="1753">
        <v>6.2E-2</v>
      </c>
      <c r="D7" s="897">
        <v>43921</v>
      </c>
      <c r="E7" s="765">
        <v>6107</v>
      </c>
      <c r="F7" s="765">
        <v>3022</v>
      </c>
      <c r="G7" s="925">
        <v>6491</v>
      </c>
      <c r="H7" s="926">
        <v>2637</v>
      </c>
      <c r="I7" s="925">
        <v>6894</v>
      </c>
      <c r="J7" s="926">
        <v>2234</v>
      </c>
      <c r="K7" s="925">
        <v>7334</v>
      </c>
      <c r="L7" s="926">
        <v>1794</v>
      </c>
      <c r="M7" s="925">
        <v>7796</v>
      </c>
      <c r="N7" s="926">
        <v>1333</v>
      </c>
      <c r="O7" s="925">
        <v>8286</v>
      </c>
      <c r="P7" s="926">
        <v>842</v>
      </c>
      <c r="Q7" s="925">
        <v>7324</v>
      </c>
      <c r="R7" s="926">
        <v>320</v>
      </c>
      <c r="S7" s="925"/>
      <c r="T7" s="926"/>
      <c r="U7" s="925"/>
      <c r="V7" s="926"/>
      <c r="W7" s="925"/>
      <c r="X7" s="926"/>
      <c r="Y7" s="925"/>
      <c r="Z7" s="926"/>
      <c r="AA7" s="925"/>
      <c r="AB7" s="926"/>
      <c r="AC7" s="925"/>
      <c r="AD7" s="926"/>
      <c r="AE7" s="926"/>
      <c r="AF7" s="927"/>
    </row>
    <row r="8" spans="1:33" x14ac:dyDescent="0.2">
      <c r="A8" s="781"/>
      <c r="B8" s="1132"/>
      <c r="C8" s="978"/>
      <c r="D8" s="897"/>
      <c r="E8" s="765"/>
      <c r="F8" s="765"/>
      <c r="G8" s="925"/>
      <c r="H8" s="926"/>
      <c r="I8" s="928"/>
      <c r="J8" s="929"/>
      <c r="K8" s="928"/>
      <c r="L8" s="929"/>
      <c r="M8" s="928"/>
      <c r="N8" s="929"/>
      <c r="O8" s="928"/>
      <c r="P8" s="929"/>
      <c r="Q8" s="928"/>
      <c r="R8" s="929"/>
      <c r="S8" s="925"/>
      <c r="T8" s="926"/>
      <c r="U8" s="925"/>
      <c r="V8" s="926"/>
      <c r="W8" s="928"/>
      <c r="X8" s="929"/>
      <c r="Y8" s="928"/>
      <c r="Z8" s="929"/>
      <c r="AA8" s="928"/>
      <c r="AB8" s="929"/>
      <c r="AC8" s="928"/>
      <c r="AD8" s="929"/>
      <c r="AE8" s="929"/>
      <c r="AF8" s="930"/>
    </row>
    <row r="9" spans="1:33" x14ac:dyDescent="0.2">
      <c r="A9" s="778" t="s">
        <v>825</v>
      </c>
      <c r="B9" s="1805"/>
      <c r="C9" s="1812"/>
      <c r="D9" s="770"/>
      <c r="E9" s="770"/>
      <c r="F9" s="770"/>
      <c r="G9" s="928"/>
      <c r="H9" s="929"/>
      <c r="I9" s="928"/>
      <c r="J9" s="929"/>
      <c r="K9" s="928"/>
      <c r="L9" s="929"/>
      <c r="M9" s="928"/>
      <c r="N9" s="929"/>
      <c r="O9" s="928"/>
      <c r="P9" s="929"/>
      <c r="Q9" s="928"/>
      <c r="R9" s="929"/>
      <c r="S9" s="925"/>
      <c r="T9" s="926"/>
      <c r="U9" s="925"/>
      <c r="V9" s="926"/>
      <c r="W9" s="928"/>
      <c r="X9" s="929"/>
      <c r="Y9" s="928"/>
      <c r="Z9" s="929"/>
      <c r="AA9" s="928"/>
      <c r="AB9" s="929"/>
      <c r="AC9" s="928"/>
      <c r="AD9" s="929"/>
      <c r="AE9" s="929"/>
      <c r="AF9" s="930"/>
    </row>
    <row r="10" spans="1:33" x14ac:dyDescent="0.2">
      <c r="A10" s="781" t="s">
        <v>2401</v>
      </c>
      <c r="B10" s="971" t="s">
        <v>581</v>
      </c>
      <c r="C10" s="978">
        <v>6.2E-2</v>
      </c>
      <c r="D10" s="897">
        <v>43921</v>
      </c>
      <c r="E10" s="765">
        <v>6038</v>
      </c>
      <c r="F10" s="765">
        <v>2987</v>
      </c>
      <c r="G10" s="925">
        <v>6418</v>
      </c>
      <c r="H10" s="926">
        <v>2607</v>
      </c>
      <c r="I10" s="925">
        <v>6817</v>
      </c>
      <c r="J10" s="926">
        <v>2209</v>
      </c>
      <c r="K10" s="925">
        <v>7252</v>
      </c>
      <c r="L10" s="926">
        <v>1774</v>
      </c>
      <c r="M10" s="925">
        <v>7708</v>
      </c>
      <c r="N10" s="926">
        <v>1318</v>
      </c>
      <c r="O10" s="925">
        <v>8193</v>
      </c>
      <c r="P10" s="926">
        <v>832</v>
      </c>
      <c r="Q10" s="925">
        <v>7242</v>
      </c>
      <c r="R10" s="926">
        <v>317</v>
      </c>
      <c r="S10" s="925"/>
      <c r="T10" s="926"/>
      <c r="U10" s="925"/>
      <c r="V10" s="926"/>
      <c r="W10" s="925"/>
      <c r="X10" s="926"/>
      <c r="Y10" s="925"/>
      <c r="Z10" s="926"/>
      <c r="AA10" s="925"/>
      <c r="AB10" s="926"/>
      <c r="AC10" s="925"/>
      <c r="AD10" s="926"/>
      <c r="AE10" s="926"/>
      <c r="AF10" s="927"/>
    </row>
    <row r="11" spans="1:33" x14ac:dyDescent="0.2">
      <c r="A11" s="781"/>
      <c r="B11" s="971"/>
      <c r="C11" s="978"/>
      <c r="D11" s="897"/>
      <c r="E11" s="765"/>
      <c r="F11" s="765"/>
      <c r="G11" s="925"/>
      <c r="H11" s="926"/>
      <c r="I11" s="925"/>
      <c r="J11" s="926"/>
      <c r="K11" s="925"/>
      <c r="L11" s="926"/>
      <c r="M11" s="925"/>
      <c r="N11" s="926"/>
      <c r="O11" s="925"/>
      <c r="P11" s="926"/>
      <c r="Q11" s="925"/>
      <c r="R11" s="926"/>
      <c r="S11" s="925"/>
      <c r="T11" s="926"/>
      <c r="U11" s="925"/>
      <c r="V11" s="926"/>
      <c r="W11" s="925"/>
      <c r="X11" s="926"/>
      <c r="Y11" s="925"/>
      <c r="Z11" s="926"/>
      <c r="AA11" s="925"/>
      <c r="AB11" s="926"/>
      <c r="AC11" s="925"/>
      <c r="AD11" s="926"/>
      <c r="AE11" s="926"/>
      <c r="AF11" s="927"/>
    </row>
    <row r="12" spans="1:33" x14ac:dyDescent="0.2">
      <c r="A12" s="778" t="s">
        <v>1546</v>
      </c>
      <c r="B12" s="971"/>
      <c r="C12" s="978"/>
      <c r="D12" s="897"/>
      <c r="E12" s="765"/>
      <c r="F12" s="765"/>
      <c r="G12" s="925"/>
      <c r="H12" s="926"/>
      <c r="I12" s="925"/>
      <c r="J12" s="926"/>
      <c r="K12" s="925"/>
      <c r="L12" s="926"/>
      <c r="M12" s="925"/>
      <c r="N12" s="926"/>
      <c r="O12" s="925"/>
      <c r="P12" s="926"/>
      <c r="Q12" s="925"/>
      <c r="R12" s="926"/>
      <c r="S12" s="925"/>
      <c r="T12" s="926"/>
      <c r="U12" s="925"/>
      <c r="V12" s="926"/>
      <c r="W12" s="925"/>
      <c r="X12" s="926"/>
      <c r="Y12" s="925"/>
      <c r="Z12" s="926"/>
      <c r="AA12" s="925"/>
      <c r="AB12" s="926"/>
      <c r="AC12" s="925"/>
      <c r="AD12" s="926"/>
      <c r="AE12" s="926"/>
      <c r="AF12" s="927"/>
    </row>
    <row r="13" spans="1:33" s="573" customFormat="1" x14ac:dyDescent="0.2">
      <c r="A13" s="781" t="s">
        <v>2877</v>
      </c>
      <c r="B13" s="971" t="s">
        <v>650</v>
      </c>
      <c r="C13" s="978">
        <v>7.3999999999999996E-2</v>
      </c>
      <c r="D13" s="897">
        <v>45107</v>
      </c>
      <c r="E13" s="766">
        <v>10160</v>
      </c>
      <c r="F13" s="766">
        <v>10409</v>
      </c>
      <c r="G13" s="101">
        <v>10924</v>
      </c>
      <c r="H13" s="234">
        <v>9646</v>
      </c>
      <c r="I13" s="101">
        <v>11696</v>
      </c>
      <c r="J13" s="234">
        <v>8873</v>
      </c>
      <c r="K13" s="101">
        <v>12601</v>
      </c>
      <c r="L13" s="234">
        <v>7969</v>
      </c>
      <c r="M13" s="101">
        <v>13550</v>
      </c>
      <c r="N13" s="234">
        <v>7019</v>
      </c>
      <c r="O13" s="101">
        <v>14536</v>
      </c>
      <c r="P13" s="234">
        <v>6033</v>
      </c>
      <c r="Q13" s="101">
        <v>15582</v>
      </c>
      <c r="R13" s="234">
        <v>4987</v>
      </c>
      <c r="S13" s="925">
        <v>16850</v>
      </c>
      <c r="T13" s="926">
        <v>3720</v>
      </c>
      <c r="U13" s="925">
        <v>18119</v>
      </c>
      <c r="V13" s="926">
        <v>2456</v>
      </c>
      <c r="W13" s="925">
        <v>19495</v>
      </c>
      <c r="X13" s="926">
        <v>1075</v>
      </c>
      <c r="Y13" s="925">
        <v>0</v>
      </c>
      <c r="Z13" s="926">
        <v>0</v>
      </c>
      <c r="AA13" s="925"/>
      <c r="AB13" s="926"/>
      <c r="AC13" s="925"/>
      <c r="AD13" s="926"/>
      <c r="AE13" s="926"/>
      <c r="AF13" s="927"/>
    </row>
    <row r="14" spans="1:33" s="573" customFormat="1" x14ac:dyDescent="0.2">
      <c r="A14" s="781"/>
      <c r="B14" s="1132"/>
      <c r="C14" s="978"/>
      <c r="D14" s="897"/>
      <c r="E14" s="766"/>
      <c r="F14" s="766"/>
      <c r="G14" s="101"/>
      <c r="H14" s="926"/>
      <c r="I14" s="929"/>
      <c r="J14" s="928"/>
      <c r="K14" s="929"/>
      <c r="L14" s="928"/>
      <c r="M14" s="929"/>
      <c r="N14" s="929"/>
      <c r="O14" s="929"/>
      <c r="P14" s="929"/>
      <c r="Q14" s="929"/>
      <c r="R14" s="929"/>
      <c r="S14" s="929"/>
      <c r="T14" s="929"/>
      <c r="U14" s="929"/>
      <c r="V14" s="929"/>
      <c r="W14" s="928"/>
      <c r="X14" s="929"/>
      <c r="Y14" s="928"/>
      <c r="Z14" s="929"/>
      <c r="AA14" s="928"/>
      <c r="AB14" s="929"/>
      <c r="AC14" s="928"/>
      <c r="AD14" s="929"/>
      <c r="AE14" s="929"/>
      <c r="AF14" s="930"/>
    </row>
    <row r="15" spans="1:33" s="573" customFormat="1" x14ac:dyDescent="0.2">
      <c r="A15" s="778" t="s">
        <v>389</v>
      </c>
      <c r="B15" s="1805"/>
      <c r="C15" s="1812"/>
      <c r="D15" s="897"/>
      <c r="E15" s="765"/>
      <c r="F15" s="765"/>
      <c r="G15" s="925"/>
      <c r="H15" s="926"/>
      <c r="I15" s="928"/>
      <c r="J15" s="929"/>
      <c r="K15" s="928"/>
      <c r="L15" s="929"/>
      <c r="M15" s="928"/>
      <c r="N15" s="929"/>
      <c r="O15" s="928"/>
      <c r="P15" s="929"/>
      <c r="Q15" s="928"/>
      <c r="R15" s="929"/>
      <c r="S15" s="925"/>
      <c r="T15" s="926"/>
      <c r="U15" s="925"/>
      <c r="V15" s="926"/>
      <c r="W15" s="928"/>
      <c r="X15" s="929"/>
      <c r="Y15" s="928"/>
      <c r="Z15" s="929"/>
      <c r="AA15" s="928"/>
      <c r="AB15" s="929"/>
      <c r="AC15" s="928"/>
      <c r="AD15" s="929"/>
      <c r="AE15" s="929"/>
      <c r="AF15" s="930"/>
      <c r="AG15" s="1036"/>
    </row>
    <row r="16" spans="1:33" s="573" customFormat="1" x14ac:dyDescent="0.2">
      <c r="A16" s="781" t="s">
        <v>7145</v>
      </c>
      <c r="B16" s="971" t="s">
        <v>1068</v>
      </c>
      <c r="C16" s="978">
        <f>C85</f>
        <v>3.5000000000000003E-2</v>
      </c>
      <c r="D16" s="1516" t="s">
        <v>4303</v>
      </c>
      <c r="E16" s="765">
        <v>8054</v>
      </c>
      <c r="F16" s="765">
        <v>394</v>
      </c>
      <c r="G16" s="925"/>
      <c r="H16" s="926"/>
      <c r="I16" s="925">
        <f>F119</f>
        <v>0</v>
      </c>
      <c r="J16" s="926">
        <f>F120</f>
        <v>0</v>
      </c>
      <c r="K16" s="932">
        <f>G119</f>
        <v>0</v>
      </c>
      <c r="L16" s="933">
        <f>G120</f>
        <v>0</v>
      </c>
      <c r="M16" s="932">
        <f>H119</f>
        <v>135000</v>
      </c>
      <c r="N16" s="933">
        <f>H120</f>
        <v>134000</v>
      </c>
      <c r="O16" s="932">
        <f>I119</f>
        <v>140000</v>
      </c>
      <c r="P16" s="933">
        <f>I120</f>
        <v>129000</v>
      </c>
      <c r="Q16" s="932">
        <f>J119</f>
        <v>145000</v>
      </c>
      <c r="R16" s="933">
        <f>J120</f>
        <v>124000</v>
      </c>
      <c r="S16" s="932">
        <f>K119</f>
        <v>150000</v>
      </c>
      <c r="T16" s="933">
        <f>K120</f>
        <v>119000</v>
      </c>
      <c r="U16" s="932">
        <f>L119</f>
        <v>155000</v>
      </c>
      <c r="V16" s="933">
        <f>L120</f>
        <v>114000</v>
      </c>
      <c r="W16" s="932">
        <f>M119</f>
        <v>161000</v>
      </c>
      <c r="X16" s="933">
        <f>M120</f>
        <v>108000</v>
      </c>
      <c r="Y16" s="932">
        <f>N119</f>
        <v>166000</v>
      </c>
      <c r="Z16" s="933">
        <f>N120</f>
        <v>103000</v>
      </c>
      <c r="AA16" s="932">
        <f>O119</f>
        <v>172000</v>
      </c>
      <c r="AB16" s="933">
        <f>O120</f>
        <v>97000</v>
      </c>
      <c r="AC16" s="932">
        <f>P119</f>
        <v>178000</v>
      </c>
      <c r="AD16" s="933">
        <f>P120</f>
        <v>91000</v>
      </c>
      <c r="AE16" s="932">
        <f>Q119</f>
        <v>184000</v>
      </c>
      <c r="AF16" s="934">
        <f>Q120</f>
        <v>85000</v>
      </c>
      <c r="AG16" s="1048"/>
    </row>
    <row r="17" spans="1:55" s="573" customFormat="1" x14ac:dyDescent="0.2">
      <c r="A17" s="781" t="s">
        <v>7146</v>
      </c>
      <c r="B17" s="971" t="s">
        <v>1068</v>
      </c>
      <c r="C17" s="978">
        <f>C87</f>
        <v>0.04</v>
      </c>
      <c r="D17" s="1516" t="s">
        <v>4303</v>
      </c>
      <c r="E17" s="765"/>
      <c r="F17" s="765"/>
      <c r="G17" s="925"/>
      <c r="H17" s="926"/>
      <c r="I17" s="925">
        <f>F124</f>
        <v>0</v>
      </c>
      <c r="J17" s="926">
        <f>F125</f>
        <v>0</v>
      </c>
      <c r="K17" s="932">
        <f>G124</f>
        <v>0</v>
      </c>
      <c r="L17" s="933">
        <f>G125</f>
        <v>0</v>
      </c>
      <c r="M17" s="932">
        <f>H124</f>
        <v>103000</v>
      </c>
      <c r="N17" s="933">
        <f>H125</f>
        <v>101000</v>
      </c>
      <c r="O17" s="932">
        <f>I124</f>
        <v>106000</v>
      </c>
      <c r="P17" s="933">
        <f>I125</f>
        <v>98000</v>
      </c>
      <c r="Q17" s="932">
        <f>J124</f>
        <v>110000</v>
      </c>
      <c r="R17" s="933">
        <f>J125</f>
        <v>94000</v>
      </c>
      <c r="S17" s="932">
        <f>K124</f>
        <v>114000</v>
      </c>
      <c r="T17" s="933">
        <f>K125</f>
        <v>90000</v>
      </c>
      <c r="U17" s="932">
        <f>L124</f>
        <v>118000</v>
      </c>
      <c r="V17" s="933">
        <f>L125</f>
        <v>86000</v>
      </c>
      <c r="W17" s="932">
        <f>M124</f>
        <v>122000</v>
      </c>
      <c r="X17" s="933">
        <f>M125</f>
        <v>82000</v>
      </c>
      <c r="Y17" s="932">
        <f>N124</f>
        <v>126000</v>
      </c>
      <c r="Z17" s="933">
        <f>N125</f>
        <v>78000</v>
      </c>
      <c r="AA17" s="932">
        <f>O124</f>
        <v>131000</v>
      </c>
      <c r="AB17" s="933">
        <f>O125</f>
        <v>73000</v>
      </c>
      <c r="AC17" s="932">
        <f>P124</f>
        <v>135000</v>
      </c>
      <c r="AD17" s="933">
        <f>P125</f>
        <v>69000</v>
      </c>
      <c r="AE17" s="932">
        <f>Q124</f>
        <v>140000</v>
      </c>
      <c r="AF17" s="934">
        <f>Q125</f>
        <v>64000</v>
      </c>
      <c r="AG17" s="1048"/>
    </row>
    <row r="18" spans="1:55" s="573" customFormat="1" x14ac:dyDescent="0.2">
      <c r="A18" s="781" t="s">
        <v>7147</v>
      </c>
      <c r="B18" s="971"/>
      <c r="C18" s="978">
        <f>C86</f>
        <v>3.5000000000000003E-2</v>
      </c>
      <c r="D18" s="1516" t="s">
        <v>4303</v>
      </c>
      <c r="E18" s="765"/>
      <c r="F18" s="765"/>
      <c r="G18" s="925"/>
      <c r="H18" s="926"/>
      <c r="I18" s="925">
        <f>F129</f>
        <v>0</v>
      </c>
      <c r="J18" s="926">
        <f>F130</f>
        <v>0</v>
      </c>
      <c r="K18" s="932">
        <f>G129</f>
        <v>0</v>
      </c>
      <c r="L18" s="933">
        <f>G130</f>
        <v>0</v>
      </c>
      <c r="M18" s="932">
        <f>H129</f>
        <v>72500</v>
      </c>
      <c r="N18" s="933">
        <f>H130</f>
        <v>99000</v>
      </c>
      <c r="O18" s="932">
        <f>I129</f>
        <v>115000</v>
      </c>
      <c r="P18" s="933">
        <f>I130</f>
        <v>129000</v>
      </c>
      <c r="Q18" s="932">
        <f>J129</f>
        <v>119000</v>
      </c>
      <c r="R18" s="933">
        <f>J130</f>
        <v>125000</v>
      </c>
      <c r="S18" s="932">
        <f>K129</f>
        <v>124000</v>
      </c>
      <c r="T18" s="933">
        <f>K130</f>
        <v>120000</v>
      </c>
      <c r="U18" s="932">
        <f>L129</f>
        <v>129000</v>
      </c>
      <c r="V18" s="933">
        <f>L130</f>
        <v>115000</v>
      </c>
      <c r="W18" s="932">
        <f>M129</f>
        <v>134000</v>
      </c>
      <c r="X18" s="933">
        <f>M130</f>
        <v>110000</v>
      </c>
      <c r="Y18" s="932">
        <f>N129</f>
        <v>139000</v>
      </c>
      <c r="Z18" s="933">
        <f>N130</f>
        <v>105000</v>
      </c>
      <c r="AA18" s="932">
        <f>O129</f>
        <v>145000</v>
      </c>
      <c r="AB18" s="933">
        <f>O130</f>
        <v>99000</v>
      </c>
      <c r="AC18" s="932">
        <f>P129</f>
        <v>151000</v>
      </c>
      <c r="AD18" s="933">
        <f>P130</f>
        <v>93000</v>
      </c>
      <c r="AE18" s="932">
        <f>Q129</f>
        <v>157000</v>
      </c>
      <c r="AF18" s="934">
        <f>Q130</f>
        <v>87000</v>
      </c>
      <c r="AG18" s="1048"/>
    </row>
    <row r="19" spans="1:55" s="573" customFormat="1" x14ac:dyDescent="0.2">
      <c r="A19" s="781" t="s">
        <v>7148</v>
      </c>
      <c r="B19" s="971"/>
      <c r="C19" s="978">
        <f>C88</f>
        <v>0.04</v>
      </c>
      <c r="D19" s="1516" t="s">
        <v>4303</v>
      </c>
      <c r="E19" s="765"/>
      <c r="F19" s="765"/>
      <c r="G19" s="925"/>
      <c r="H19" s="926"/>
      <c r="I19" s="925">
        <f>F134</f>
        <v>0</v>
      </c>
      <c r="J19" s="926">
        <f>F135</f>
        <v>0</v>
      </c>
      <c r="K19" s="932">
        <f>G134</f>
        <v>0</v>
      </c>
      <c r="L19" s="933">
        <f>G135</f>
        <v>0</v>
      </c>
      <c r="M19" s="932">
        <f>H134</f>
        <v>57000</v>
      </c>
      <c r="N19" s="933">
        <f>H135</f>
        <v>79000</v>
      </c>
      <c r="O19" s="932">
        <f>I134</f>
        <v>91000</v>
      </c>
      <c r="P19" s="933">
        <f>I135</f>
        <v>102000</v>
      </c>
      <c r="Q19" s="932">
        <f>J134</f>
        <v>94000</v>
      </c>
      <c r="R19" s="933">
        <f>J135</f>
        <v>99000</v>
      </c>
      <c r="S19" s="932">
        <f>K134</f>
        <v>98000</v>
      </c>
      <c r="T19" s="933">
        <f>K135</f>
        <v>95000</v>
      </c>
      <c r="U19" s="932">
        <f>L134</f>
        <v>102000</v>
      </c>
      <c r="V19" s="933">
        <f>L135</f>
        <v>91000</v>
      </c>
      <c r="W19" s="932">
        <f>M134</f>
        <v>106000</v>
      </c>
      <c r="X19" s="933">
        <f>M135</f>
        <v>87000</v>
      </c>
      <c r="Y19" s="932">
        <f>N134</f>
        <v>110000</v>
      </c>
      <c r="Z19" s="933">
        <f>N135</f>
        <v>83000</v>
      </c>
      <c r="AA19" s="932">
        <f>O134</f>
        <v>115000</v>
      </c>
      <c r="AB19" s="933">
        <f>O135</f>
        <v>78000</v>
      </c>
      <c r="AC19" s="932">
        <f>P134</f>
        <v>119000</v>
      </c>
      <c r="AD19" s="933">
        <f>P135</f>
        <v>74000</v>
      </c>
      <c r="AE19" s="932">
        <f>Q134</f>
        <v>124000</v>
      </c>
      <c r="AF19" s="934">
        <f>Q135</f>
        <v>69000</v>
      </c>
      <c r="AG19" s="1048"/>
    </row>
    <row r="20" spans="1:55" x14ac:dyDescent="0.2">
      <c r="A20" s="781"/>
      <c r="B20" s="1132"/>
      <c r="C20" s="978"/>
      <c r="D20" s="897"/>
      <c r="E20" s="766"/>
      <c r="F20" s="766"/>
      <c r="G20" s="101"/>
      <c r="H20" s="234"/>
      <c r="I20" s="101"/>
      <c r="J20" s="234"/>
      <c r="K20" s="101"/>
      <c r="L20" s="234"/>
      <c r="M20" s="101"/>
      <c r="N20" s="234"/>
      <c r="O20" s="101"/>
      <c r="P20" s="234"/>
      <c r="Q20" s="101"/>
      <c r="R20" s="234"/>
      <c r="S20" s="101"/>
      <c r="T20" s="234"/>
      <c r="U20" s="101"/>
      <c r="V20" s="234"/>
      <c r="W20" s="101"/>
      <c r="X20" s="234"/>
      <c r="Y20" s="101"/>
      <c r="Z20" s="234"/>
      <c r="AA20" s="101"/>
      <c r="AB20" s="234"/>
      <c r="AC20" s="101"/>
      <c r="AD20" s="234"/>
      <c r="AE20" s="234"/>
      <c r="AF20" s="104"/>
      <c r="AG20" s="353"/>
      <c r="AH20" s="353"/>
      <c r="AI20" s="353"/>
      <c r="AJ20" s="353"/>
      <c r="AK20" s="353"/>
      <c r="AL20" s="353"/>
      <c r="AM20" s="353"/>
      <c r="AN20" s="353"/>
      <c r="AO20" s="353"/>
      <c r="AP20" s="353"/>
      <c r="AQ20" s="353"/>
      <c r="AR20" s="353"/>
      <c r="AS20" s="353"/>
      <c r="AT20" s="353"/>
      <c r="AU20" s="353"/>
      <c r="AV20" s="353"/>
      <c r="AW20" s="353"/>
      <c r="AX20" s="353"/>
      <c r="AY20" s="353"/>
      <c r="AZ20" s="353"/>
      <c r="BA20" s="353"/>
      <c r="BB20" s="353"/>
      <c r="BC20" s="353"/>
    </row>
    <row r="21" spans="1:55" x14ac:dyDescent="0.2">
      <c r="A21" s="778" t="s">
        <v>827</v>
      </c>
      <c r="B21" s="1805"/>
      <c r="C21" s="1812"/>
      <c r="D21" s="897"/>
      <c r="E21" s="765"/>
      <c r="F21" s="765"/>
      <c r="G21" s="925"/>
      <c r="H21" s="926"/>
      <c r="I21" s="928"/>
      <c r="J21" s="929"/>
      <c r="K21" s="928"/>
      <c r="L21" s="929"/>
      <c r="M21" s="101"/>
      <c r="N21" s="929"/>
      <c r="O21" s="928"/>
      <c r="P21" s="929"/>
      <c r="Q21" s="928"/>
      <c r="R21" s="929"/>
      <c r="S21" s="925"/>
      <c r="T21" s="926"/>
      <c r="U21" s="925"/>
      <c r="V21" s="926"/>
      <c r="W21" s="928"/>
      <c r="X21" s="929"/>
      <c r="Y21" s="928"/>
      <c r="Z21" s="929"/>
      <c r="AA21" s="928"/>
      <c r="AB21" s="929"/>
      <c r="AC21" s="928"/>
      <c r="AD21" s="929"/>
      <c r="AE21" s="929"/>
      <c r="AF21" s="930"/>
    </row>
    <row r="22" spans="1:55" s="573" customFormat="1" x14ac:dyDescent="0.2">
      <c r="A22" s="781" t="s">
        <v>4711</v>
      </c>
      <c r="B22" s="1805"/>
      <c r="C22" s="978">
        <v>7.0099999999999996E-2</v>
      </c>
      <c r="D22" s="897">
        <v>42916</v>
      </c>
      <c r="E22" s="765">
        <v>635708</v>
      </c>
      <c r="F22" s="765">
        <f>186523-7100</f>
        <v>179423</v>
      </c>
      <c r="G22" s="925">
        <v>680925</v>
      </c>
      <c r="H22" s="926">
        <v>141306</v>
      </c>
      <c r="I22" s="925">
        <v>728839</v>
      </c>
      <c r="J22" s="926">
        <v>93392</v>
      </c>
      <c r="K22" s="925">
        <v>778847</v>
      </c>
      <c r="L22" s="926">
        <v>43384</v>
      </c>
      <c r="M22" s="101"/>
      <c r="N22" s="926"/>
      <c r="O22" s="925"/>
      <c r="P22" s="926"/>
      <c r="Q22" s="925"/>
      <c r="R22" s="926"/>
      <c r="S22" s="925"/>
      <c r="T22" s="926"/>
      <c r="U22" s="925"/>
      <c r="V22" s="926"/>
      <c r="W22" s="928"/>
      <c r="X22" s="929"/>
      <c r="Y22" s="928"/>
      <c r="Z22" s="929"/>
      <c r="AA22" s="928"/>
      <c r="AB22" s="929"/>
      <c r="AC22" s="928"/>
      <c r="AD22" s="929"/>
      <c r="AE22" s="929"/>
      <c r="AF22" s="930"/>
    </row>
    <row r="23" spans="1:55" s="573" customFormat="1" x14ac:dyDescent="0.2">
      <c r="A23" s="781" t="s">
        <v>1997</v>
      </c>
      <c r="B23" s="1805"/>
      <c r="C23" s="978">
        <v>6.6799999999999998E-2</v>
      </c>
      <c r="D23" s="897">
        <v>42740</v>
      </c>
      <c r="E23" s="765">
        <v>130261</v>
      </c>
      <c r="F23" s="765">
        <v>36205</v>
      </c>
      <c r="G23" s="925">
        <v>139037</v>
      </c>
      <c r="H23" s="926">
        <v>27428</v>
      </c>
      <c r="I23" s="925">
        <v>148411</v>
      </c>
      <c r="J23" s="926">
        <v>18055</v>
      </c>
      <c r="K23" s="925">
        <v>158476</v>
      </c>
      <c r="L23" s="926">
        <v>7990</v>
      </c>
      <c r="M23" s="101"/>
      <c r="N23" s="926"/>
      <c r="O23" s="925"/>
      <c r="P23" s="926"/>
      <c r="Q23" s="925"/>
      <c r="R23" s="926"/>
      <c r="S23" s="925"/>
      <c r="T23" s="926"/>
      <c r="U23" s="925"/>
      <c r="V23" s="926"/>
      <c r="W23" s="928"/>
      <c r="X23" s="929"/>
      <c r="Y23" s="928"/>
      <c r="Z23" s="929"/>
      <c r="AA23" s="928"/>
      <c r="AB23" s="929"/>
      <c r="AC23" s="928"/>
      <c r="AD23" s="929"/>
      <c r="AE23" s="929"/>
      <c r="AF23" s="930"/>
    </row>
    <row r="24" spans="1:55" s="573" customFormat="1" x14ac:dyDescent="0.2">
      <c r="A24" s="781" t="s">
        <v>1998</v>
      </c>
      <c r="B24" s="1805"/>
      <c r="C24" s="978"/>
      <c r="D24" s="897">
        <v>43281</v>
      </c>
      <c r="E24" s="765">
        <v>141424</v>
      </c>
      <c r="F24" s="765">
        <v>55605</v>
      </c>
      <c r="G24" s="925">
        <v>159700</v>
      </c>
      <c r="H24" s="926">
        <v>20753</v>
      </c>
      <c r="I24" s="925">
        <v>162600</v>
      </c>
      <c r="J24" s="926">
        <v>34400</v>
      </c>
      <c r="K24" s="925">
        <v>174200</v>
      </c>
      <c r="L24" s="926">
        <v>22800</v>
      </c>
      <c r="M24" s="925">
        <v>193893</v>
      </c>
      <c r="N24" s="926">
        <v>10400</v>
      </c>
      <c r="O24" s="925"/>
      <c r="P24" s="926"/>
      <c r="Q24" s="925"/>
      <c r="R24" s="926"/>
      <c r="S24" s="925"/>
      <c r="T24" s="926"/>
      <c r="U24" s="925"/>
      <c r="V24" s="926"/>
      <c r="W24" s="925"/>
      <c r="X24" s="926"/>
      <c r="Y24" s="928"/>
      <c r="Z24" s="929"/>
      <c r="AA24" s="925"/>
      <c r="AB24" s="926"/>
      <c r="AC24" s="925"/>
      <c r="AD24" s="926"/>
      <c r="AE24" s="926"/>
      <c r="AF24" s="927"/>
    </row>
    <row r="25" spans="1:55" s="573" customFormat="1" x14ac:dyDescent="0.2">
      <c r="A25" s="781" t="s">
        <v>1998</v>
      </c>
      <c r="B25" s="1805"/>
      <c r="C25" s="978">
        <v>6.54E-2</v>
      </c>
      <c r="D25" s="897">
        <v>42550</v>
      </c>
      <c r="E25" s="768">
        <v>145592</v>
      </c>
      <c r="F25" s="769">
        <v>28364</v>
      </c>
      <c r="G25" s="1007">
        <v>155442</v>
      </c>
      <c r="H25" s="1008">
        <v>18513</v>
      </c>
      <c r="I25" s="1007">
        <v>165758</v>
      </c>
      <c r="J25" s="1008">
        <v>8197</v>
      </c>
      <c r="K25" s="1007"/>
      <c r="L25" s="1008"/>
      <c r="M25" s="1007"/>
      <c r="N25" s="1008"/>
      <c r="O25" s="1007"/>
      <c r="P25" s="1008"/>
      <c r="Q25" s="1007"/>
      <c r="R25" s="1008"/>
      <c r="S25" s="1007"/>
      <c r="T25" s="1008"/>
      <c r="U25" s="1007"/>
      <c r="V25" s="1008"/>
      <c r="W25" s="1076"/>
      <c r="X25" s="1295"/>
      <c r="Y25" s="1076"/>
      <c r="Z25" s="1295"/>
      <c r="AA25" s="1076"/>
      <c r="AB25" s="1295"/>
      <c r="AC25" s="1076"/>
      <c r="AD25" s="1295"/>
      <c r="AE25" s="1295"/>
      <c r="AF25" s="1296"/>
    </row>
    <row r="26" spans="1:55" s="390" customFormat="1" x14ac:dyDescent="0.2">
      <c r="A26" s="792" t="s">
        <v>764</v>
      </c>
      <c r="B26" s="949" t="s">
        <v>1063</v>
      </c>
      <c r="C26" s="978"/>
      <c r="D26" s="922"/>
      <c r="E26" s="923">
        <f>SUBTOTAL(9,E21:E25)</f>
        <v>1052985</v>
      </c>
      <c r="F26" s="923">
        <f t="shared" ref="F26:X26" si="0">SUBTOTAL(9,F21:F25)</f>
        <v>299597</v>
      </c>
      <c r="G26" s="128">
        <f t="shared" si="0"/>
        <v>1135104</v>
      </c>
      <c r="H26" s="128">
        <f t="shared" si="0"/>
        <v>208000</v>
      </c>
      <c r="I26" s="128">
        <f t="shared" si="0"/>
        <v>1205608</v>
      </c>
      <c r="J26" s="128">
        <f>SUBTOTAL(9,J21:J25)</f>
        <v>154044</v>
      </c>
      <c r="K26" s="128">
        <f t="shared" si="0"/>
        <v>1111523</v>
      </c>
      <c r="L26" s="128">
        <f t="shared" si="0"/>
        <v>74174</v>
      </c>
      <c r="M26" s="128">
        <f t="shared" si="0"/>
        <v>193893</v>
      </c>
      <c r="N26" s="128">
        <f t="shared" si="0"/>
        <v>10400</v>
      </c>
      <c r="O26" s="128">
        <f t="shared" si="0"/>
        <v>0</v>
      </c>
      <c r="P26" s="128">
        <f t="shared" si="0"/>
        <v>0</v>
      </c>
      <c r="Q26" s="128">
        <f t="shared" si="0"/>
        <v>0</v>
      </c>
      <c r="R26" s="128">
        <f t="shared" si="0"/>
        <v>0</v>
      </c>
      <c r="S26" s="128">
        <f t="shared" si="0"/>
        <v>0</v>
      </c>
      <c r="T26" s="128">
        <f t="shared" si="0"/>
        <v>0</v>
      </c>
      <c r="U26" s="128">
        <f t="shared" si="0"/>
        <v>0</v>
      </c>
      <c r="V26" s="128">
        <f t="shared" si="0"/>
        <v>0</v>
      </c>
      <c r="W26" s="128">
        <f t="shared" si="0"/>
        <v>0</v>
      </c>
      <c r="X26" s="128">
        <f t="shared" si="0"/>
        <v>0</v>
      </c>
      <c r="Y26" s="128">
        <f t="shared" ref="Y26:AD26" si="1">SUBTOTAL(9,Y21:Y25)</f>
        <v>0</v>
      </c>
      <c r="Z26" s="382">
        <f t="shared" si="1"/>
        <v>0</v>
      </c>
      <c r="AA26" s="64">
        <f t="shared" si="1"/>
        <v>0</v>
      </c>
      <c r="AB26" s="128">
        <f t="shared" si="1"/>
        <v>0</v>
      </c>
      <c r="AC26" s="64">
        <f t="shared" si="1"/>
        <v>0</v>
      </c>
      <c r="AD26" s="128">
        <f t="shared" si="1"/>
        <v>0</v>
      </c>
      <c r="AE26" s="128">
        <f t="shared" ref="AE26:AF26" si="2">SUBTOTAL(9,AE21:AE25)</f>
        <v>0</v>
      </c>
      <c r="AF26" s="115">
        <f t="shared" si="2"/>
        <v>0</v>
      </c>
    </row>
    <row r="27" spans="1:55" hidden="1" x14ac:dyDescent="0.2">
      <c r="A27" s="781"/>
      <c r="B27" s="1132"/>
      <c r="C27" s="978"/>
      <c r="D27" s="897"/>
      <c r="E27" s="765"/>
      <c r="F27" s="765"/>
      <c r="G27" s="925"/>
      <c r="H27" s="925"/>
      <c r="I27" s="925"/>
      <c r="J27" s="925"/>
      <c r="K27" s="925"/>
      <c r="L27" s="925"/>
      <c r="M27" s="928"/>
      <c r="N27" s="929"/>
      <c r="O27" s="928"/>
      <c r="P27" s="929"/>
      <c r="Q27" s="928"/>
      <c r="R27" s="929"/>
      <c r="S27" s="925"/>
      <c r="T27" s="926"/>
      <c r="U27" s="925"/>
      <c r="V27" s="926"/>
      <c r="W27" s="928"/>
      <c r="X27" s="929"/>
      <c r="Y27" s="928"/>
      <c r="Z27" s="929"/>
      <c r="AA27" s="928"/>
      <c r="AB27" s="929"/>
      <c r="AC27" s="928"/>
      <c r="AD27" s="929"/>
      <c r="AE27" s="929"/>
      <c r="AF27" s="930"/>
    </row>
    <row r="28" spans="1:55" hidden="1" x14ac:dyDescent="0.2">
      <c r="A28" s="778" t="s">
        <v>900</v>
      </c>
      <c r="B28" s="1805"/>
      <c r="C28" s="978"/>
      <c r="D28" s="897"/>
      <c r="E28" s="765"/>
      <c r="F28" s="765"/>
      <c r="G28" s="925"/>
      <c r="H28" s="925"/>
      <c r="I28" s="925"/>
      <c r="J28" s="925"/>
      <c r="K28" s="925"/>
      <c r="L28" s="925"/>
      <c r="M28" s="928"/>
      <c r="N28" s="929"/>
      <c r="O28" s="928"/>
      <c r="P28" s="929"/>
      <c r="Q28" s="928"/>
      <c r="R28" s="929"/>
      <c r="S28" s="925"/>
      <c r="T28" s="926"/>
      <c r="U28" s="925"/>
      <c r="V28" s="926"/>
      <c r="W28" s="928"/>
      <c r="X28" s="929"/>
      <c r="Y28" s="928"/>
      <c r="Z28" s="929"/>
      <c r="AA28" s="928"/>
      <c r="AB28" s="929"/>
      <c r="AC28" s="928"/>
      <c r="AD28" s="929"/>
      <c r="AE28" s="929"/>
      <c r="AF28" s="930"/>
    </row>
    <row r="29" spans="1:55" hidden="1" x14ac:dyDescent="0.2">
      <c r="A29" s="781" t="s">
        <v>1998</v>
      </c>
      <c r="B29" s="971" t="s">
        <v>1064</v>
      </c>
      <c r="C29" s="978">
        <v>6.54E-2</v>
      </c>
      <c r="D29" s="897">
        <v>42550</v>
      </c>
      <c r="E29" s="765">
        <v>142822</v>
      </c>
      <c r="F29" s="765">
        <v>27824</v>
      </c>
      <c r="G29" s="925">
        <v>152486</v>
      </c>
      <c r="H29" s="926">
        <v>18161</v>
      </c>
      <c r="I29" s="925">
        <v>162606</v>
      </c>
      <c r="J29" s="926">
        <v>8041</v>
      </c>
      <c r="K29" s="925"/>
      <c r="L29" s="926"/>
      <c r="M29" s="925"/>
      <c r="N29" s="926"/>
      <c r="O29" s="925"/>
      <c r="P29" s="926"/>
      <c r="Q29" s="925"/>
      <c r="R29" s="926"/>
      <c r="S29" s="925"/>
      <c r="T29" s="926"/>
      <c r="U29" s="925"/>
      <c r="V29" s="926"/>
      <c r="W29" s="928"/>
      <c r="X29" s="929"/>
      <c r="Y29" s="928"/>
      <c r="Z29" s="929"/>
      <c r="AA29" s="928"/>
      <c r="AB29" s="929"/>
      <c r="AC29" s="928"/>
      <c r="AD29" s="929"/>
      <c r="AE29" s="929"/>
      <c r="AF29" s="930"/>
      <c r="AG29" s="573"/>
      <c r="AH29" s="573"/>
      <c r="AI29" s="573"/>
      <c r="AJ29" s="573"/>
      <c r="AK29" s="573"/>
      <c r="AL29" s="573"/>
      <c r="AM29" s="573"/>
      <c r="AN29" s="573"/>
      <c r="AO29" s="573"/>
      <c r="AP29" s="573"/>
      <c r="AQ29" s="573"/>
      <c r="AR29" s="573"/>
      <c r="AS29" s="573"/>
      <c r="AT29" s="573"/>
      <c r="AU29" s="573"/>
      <c r="AV29" s="573"/>
    </row>
    <row r="30" spans="1:55" x14ac:dyDescent="0.2">
      <c r="A30" s="781"/>
      <c r="B30" s="1132"/>
      <c r="C30" s="978"/>
      <c r="D30" s="897"/>
      <c r="E30" s="765"/>
      <c r="F30" s="765"/>
      <c r="G30" s="925"/>
      <c r="H30" s="926"/>
      <c r="I30" s="928"/>
      <c r="J30" s="929"/>
      <c r="K30" s="928"/>
      <c r="L30" s="929"/>
      <c r="M30" s="928"/>
      <c r="N30" s="929"/>
      <c r="O30" s="928"/>
      <c r="P30" s="929"/>
      <c r="Q30" s="928"/>
      <c r="R30" s="929"/>
      <c r="S30" s="925"/>
      <c r="T30" s="926"/>
      <c r="U30" s="925"/>
      <c r="V30" s="926"/>
      <c r="W30" s="928"/>
      <c r="X30" s="929"/>
      <c r="Y30" s="928"/>
      <c r="Z30" s="929"/>
      <c r="AA30" s="928"/>
      <c r="AB30" s="929"/>
      <c r="AC30" s="928"/>
      <c r="AD30" s="929"/>
      <c r="AE30" s="929"/>
      <c r="AF30" s="930"/>
    </row>
    <row r="31" spans="1:55" x14ac:dyDescent="0.2">
      <c r="A31" s="778" t="s">
        <v>2327</v>
      </c>
      <c r="B31" s="1805"/>
      <c r="C31" s="978"/>
      <c r="D31" s="897"/>
      <c r="E31" s="765"/>
      <c r="F31" s="765"/>
      <c r="G31" s="925"/>
      <c r="H31" s="926"/>
      <c r="I31" s="928"/>
      <c r="J31" s="929"/>
      <c r="K31" s="928"/>
      <c r="L31" s="929"/>
      <c r="M31" s="928"/>
      <c r="N31" s="929"/>
      <c r="O31" s="928"/>
      <c r="P31" s="929"/>
      <c r="Q31" s="928"/>
      <c r="R31" s="929"/>
      <c r="S31" s="925"/>
      <c r="T31" s="926"/>
      <c r="U31" s="925"/>
      <c r="V31" s="926"/>
      <c r="W31" s="928"/>
      <c r="X31" s="929"/>
      <c r="Y31" s="928"/>
      <c r="Z31" s="929"/>
      <c r="AA31" s="928"/>
      <c r="AB31" s="929"/>
      <c r="AC31" s="928"/>
      <c r="AD31" s="929"/>
      <c r="AE31" s="929"/>
      <c r="AF31" s="930"/>
    </row>
    <row r="32" spans="1:55" x14ac:dyDescent="0.2">
      <c r="A32" s="781" t="s">
        <v>4712</v>
      </c>
      <c r="B32" s="971"/>
      <c r="C32" s="978">
        <v>6.4199999999999993E-2</v>
      </c>
      <c r="D32" s="897">
        <v>41818</v>
      </c>
      <c r="E32" s="765">
        <v>57528</v>
      </c>
      <c r="F32" s="765">
        <v>2813</v>
      </c>
      <c r="G32" s="925"/>
      <c r="H32" s="926"/>
      <c r="I32" s="925"/>
      <c r="J32" s="926"/>
      <c r="K32" s="925"/>
      <c r="L32" s="926"/>
      <c r="M32" s="925"/>
      <c r="N32" s="926"/>
      <c r="O32" s="925"/>
      <c r="P32" s="926"/>
      <c r="Q32" s="925"/>
      <c r="R32" s="926"/>
      <c r="S32" s="925"/>
      <c r="T32" s="926"/>
      <c r="U32" s="925"/>
      <c r="V32" s="926"/>
      <c r="W32" s="928"/>
      <c r="X32" s="929"/>
      <c r="Y32" s="928"/>
      <c r="Z32" s="929"/>
      <c r="AA32" s="928"/>
      <c r="AB32" s="929"/>
      <c r="AC32" s="928"/>
      <c r="AD32" s="929"/>
      <c r="AE32" s="929"/>
      <c r="AF32" s="930"/>
    </row>
    <row r="33" spans="1:34" x14ac:dyDescent="0.2">
      <c r="A33" s="781" t="s">
        <v>4713</v>
      </c>
      <c r="B33" s="971"/>
      <c r="C33" s="978">
        <v>5.6000000000000001E-2</v>
      </c>
      <c r="D33" s="897">
        <v>45105</v>
      </c>
      <c r="E33" s="765">
        <v>63665</v>
      </c>
      <c r="F33" s="765">
        <v>19088</v>
      </c>
      <c r="G33" s="925">
        <v>67188</v>
      </c>
      <c r="H33" s="926">
        <v>15566</v>
      </c>
      <c r="I33" s="925">
        <v>71125</v>
      </c>
      <c r="J33" s="926">
        <v>11629</v>
      </c>
      <c r="K33" s="925">
        <v>75128</v>
      </c>
      <c r="L33" s="926">
        <v>7626</v>
      </c>
      <c r="M33" s="925">
        <v>79401</v>
      </c>
      <c r="N33" s="926">
        <v>3353</v>
      </c>
      <c r="O33" s="925"/>
      <c r="P33" s="926"/>
      <c r="Q33" s="925"/>
      <c r="R33" s="926"/>
      <c r="S33" s="925"/>
      <c r="T33" s="926"/>
      <c r="U33" s="925"/>
      <c r="V33" s="926"/>
      <c r="W33" s="925"/>
      <c r="X33" s="926"/>
      <c r="Y33" s="928"/>
      <c r="Z33" s="929"/>
      <c r="AA33" s="925"/>
      <c r="AB33" s="926"/>
      <c r="AC33" s="925"/>
      <c r="AD33" s="926"/>
      <c r="AE33" s="926"/>
      <c r="AF33" s="927"/>
    </row>
    <row r="34" spans="1:34" x14ac:dyDescent="0.2">
      <c r="A34" s="781" t="s">
        <v>4714</v>
      </c>
      <c r="B34" s="1132"/>
      <c r="C34" s="978">
        <v>6.4899999999999999E-2</v>
      </c>
      <c r="D34" s="897">
        <v>43644</v>
      </c>
      <c r="E34" s="766">
        <v>224163</v>
      </c>
      <c r="F34" s="766">
        <v>100258</v>
      </c>
      <c r="G34" s="101">
        <v>239782</v>
      </c>
      <c r="H34" s="234">
        <v>84639</v>
      </c>
      <c r="I34" s="925">
        <v>255345</v>
      </c>
      <c r="J34" s="926">
        <v>69078</v>
      </c>
      <c r="K34" s="925">
        <v>272186</v>
      </c>
      <c r="L34" s="926">
        <v>52235</v>
      </c>
      <c r="M34" s="925">
        <v>290138</v>
      </c>
      <c r="N34" s="926">
        <v>34384</v>
      </c>
      <c r="O34" s="925">
        <v>309273</v>
      </c>
      <c r="P34" s="926">
        <v>15148</v>
      </c>
      <c r="Q34" s="925"/>
      <c r="R34" s="926"/>
      <c r="S34" s="925"/>
      <c r="T34" s="926"/>
      <c r="U34" s="925"/>
      <c r="V34" s="926"/>
      <c r="W34" s="925"/>
      <c r="X34" s="926"/>
      <c r="Y34" s="925"/>
      <c r="Z34" s="926"/>
      <c r="AA34" s="925"/>
      <c r="AB34" s="926"/>
      <c r="AC34" s="925"/>
      <c r="AD34" s="926"/>
      <c r="AE34" s="926"/>
      <c r="AF34" s="927"/>
    </row>
    <row r="35" spans="1:34" x14ac:dyDescent="0.2">
      <c r="A35" s="781" t="s">
        <v>6029</v>
      </c>
      <c r="B35" s="1132"/>
      <c r="C35" s="978"/>
      <c r="D35" s="897"/>
      <c r="E35" s="766"/>
      <c r="F35" s="766"/>
      <c r="G35" s="101"/>
      <c r="H35" s="234"/>
      <c r="I35" s="925"/>
      <c r="J35" s="926"/>
      <c r="K35" s="925"/>
      <c r="L35" s="926"/>
      <c r="M35" s="925"/>
      <c r="N35" s="926"/>
      <c r="O35" s="925"/>
      <c r="P35" s="926"/>
      <c r="Q35" s="925">
        <f>J139</f>
        <v>208000</v>
      </c>
      <c r="R35" s="926">
        <f>J140</f>
        <v>100000</v>
      </c>
      <c r="S35" s="925">
        <f>K139</f>
        <v>216000</v>
      </c>
      <c r="T35" s="926">
        <f>K140</f>
        <v>92000</v>
      </c>
      <c r="U35" s="925">
        <f>L139</f>
        <v>225000</v>
      </c>
      <c r="V35" s="926">
        <f>L140</f>
        <v>83000</v>
      </c>
      <c r="W35" s="925">
        <f>M139</f>
        <v>234000</v>
      </c>
      <c r="X35" s="926">
        <f>M140</f>
        <v>74000</v>
      </c>
      <c r="Y35" s="925">
        <f>N139</f>
        <v>243000</v>
      </c>
      <c r="Z35" s="926">
        <f>N140</f>
        <v>65000</v>
      </c>
      <c r="AA35" s="925">
        <f>O139</f>
        <v>253000</v>
      </c>
      <c r="AB35" s="926">
        <f>O140</f>
        <v>55000</v>
      </c>
      <c r="AC35" s="925">
        <f>P139</f>
        <v>263000</v>
      </c>
      <c r="AD35" s="926">
        <f>P140</f>
        <v>45000</v>
      </c>
      <c r="AE35" s="926">
        <v>274000</v>
      </c>
      <c r="AF35" s="927">
        <v>34000</v>
      </c>
      <c r="AH35" s="2768"/>
    </row>
    <row r="36" spans="1:34" s="573" customFormat="1" x14ac:dyDescent="0.2">
      <c r="A36" s="781" t="s">
        <v>4715</v>
      </c>
      <c r="B36" s="1132"/>
      <c r="C36" s="978">
        <v>5.3900000000000003E-2</v>
      </c>
      <c r="D36" s="897">
        <v>44916</v>
      </c>
      <c r="E36" s="1297">
        <v>103352</v>
      </c>
      <c r="F36" s="1297">
        <v>62100</v>
      </c>
      <c r="G36" s="931">
        <v>109578</v>
      </c>
      <c r="H36" s="931">
        <v>59447</v>
      </c>
      <c r="I36" s="1007">
        <v>115447</v>
      </c>
      <c r="J36" s="1007">
        <v>53577</v>
      </c>
      <c r="K36" s="1007">
        <v>121784</v>
      </c>
      <c r="L36" s="1007">
        <v>47240</v>
      </c>
      <c r="M36" s="1007">
        <v>128482</v>
      </c>
      <c r="N36" s="1007">
        <v>40542</v>
      </c>
      <c r="O36" s="1007">
        <v>135548</v>
      </c>
      <c r="P36" s="1007">
        <v>33476</v>
      </c>
      <c r="Q36" s="1007">
        <v>142833</v>
      </c>
      <c r="R36" s="1007">
        <v>26192</v>
      </c>
      <c r="S36" s="1007">
        <v>150913</v>
      </c>
      <c r="T36" s="1007">
        <v>18111</v>
      </c>
      <c r="U36" s="1007">
        <v>159159</v>
      </c>
      <c r="V36" s="1007">
        <v>9865</v>
      </c>
      <c r="W36" s="1007">
        <v>82987</v>
      </c>
      <c r="X36" s="1007">
        <v>1686</v>
      </c>
      <c r="Y36" s="1007">
        <v>0</v>
      </c>
      <c r="Z36" s="1007">
        <v>0</v>
      </c>
      <c r="AA36" s="1007">
        <v>0</v>
      </c>
      <c r="AB36" s="1007">
        <v>0</v>
      </c>
      <c r="AC36" s="1007">
        <v>0</v>
      </c>
      <c r="AD36" s="1007">
        <v>0</v>
      </c>
      <c r="AE36" s="1008">
        <v>0</v>
      </c>
      <c r="AF36" s="1298">
        <v>0</v>
      </c>
      <c r="AH36" s="1048"/>
    </row>
    <row r="37" spans="1:34" s="1041" customFormat="1" x14ac:dyDescent="0.2">
      <c r="A37" s="792" t="s">
        <v>764</v>
      </c>
      <c r="B37" s="971" t="s">
        <v>1065</v>
      </c>
      <c r="C37" s="978"/>
      <c r="D37" s="922"/>
      <c r="E37" s="923">
        <f t="shared" ref="E37:X37" si="3">SUBTOTAL(9,E31:E36)</f>
        <v>448708</v>
      </c>
      <c r="F37" s="923">
        <f t="shared" si="3"/>
        <v>184259</v>
      </c>
      <c r="G37" s="128">
        <f t="shared" si="3"/>
        <v>416548</v>
      </c>
      <c r="H37" s="128">
        <f t="shared" si="3"/>
        <v>159652</v>
      </c>
      <c r="I37" s="128">
        <f t="shared" si="3"/>
        <v>441917</v>
      </c>
      <c r="J37" s="128">
        <f t="shared" si="3"/>
        <v>134284</v>
      </c>
      <c r="K37" s="128">
        <f t="shared" si="3"/>
        <v>469098</v>
      </c>
      <c r="L37" s="128">
        <f t="shared" si="3"/>
        <v>107101</v>
      </c>
      <c r="M37" s="128">
        <f t="shared" si="3"/>
        <v>498021</v>
      </c>
      <c r="N37" s="128">
        <f t="shared" si="3"/>
        <v>78279</v>
      </c>
      <c r="O37" s="128">
        <f t="shared" si="3"/>
        <v>444821</v>
      </c>
      <c r="P37" s="128">
        <f t="shared" si="3"/>
        <v>48624</v>
      </c>
      <c r="Q37" s="128">
        <f t="shared" si="3"/>
        <v>350833</v>
      </c>
      <c r="R37" s="128">
        <f t="shared" si="3"/>
        <v>126192</v>
      </c>
      <c r="S37" s="128">
        <f t="shared" si="3"/>
        <v>366913</v>
      </c>
      <c r="T37" s="128">
        <f t="shared" si="3"/>
        <v>110111</v>
      </c>
      <c r="U37" s="128">
        <f t="shared" si="3"/>
        <v>384159</v>
      </c>
      <c r="V37" s="128">
        <f t="shared" si="3"/>
        <v>92865</v>
      </c>
      <c r="W37" s="128">
        <f t="shared" si="3"/>
        <v>316987</v>
      </c>
      <c r="X37" s="128">
        <f t="shared" si="3"/>
        <v>75686</v>
      </c>
      <c r="Y37" s="128">
        <f t="shared" ref="Y37:AD37" si="4">SUBTOTAL(9,Y31:Y36)</f>
        <v>243000</v>
      </c>
      <c r="Z37" s="382">
        <f t="shared" si="4"/>
        <v>65000</v>
      </c>
      <c r="AA37" s="64">
        <f t="shared" si="4"/>
        <v>253000</v>
      </c>
      <c r="AB37" s="128">
        <f t="shared" si="4"/>
        <v>55000</v>
      </c>
      <c r="AC37" s="64">
        <f t="shared" si="4"/>
        <v>263000</v>
      </c>
      <c r="AD37" s="128">
        <f t="shared" si="4"/>
        <v>45000</v>
      </c>
      <c r="AE37" s="128">
        <f t="shared" ref="AE37:AF37" si="5">SUBTOTAL(9,AE31:AE36)</f>
        <v>274000</v>
      </c>
      <c r="AF37" s="115">
        <f t="shared" si="5"/>
        <v>34000</v>
      </c>
      <c r="AH37" s="551"/>
    </row>
    <row r="38" spans="1:34" x14ac:dyDescent="0.2">
      <c r="A38" s="781"/>
      <c r="B38" s="1132"/>
      <c r="C38" s="978"/>
      <c r="D38" s="897"/>
      <c r="E38" s="765"/>
      <c r="F38" s="765"/>
      <c r="G38" s="925"/>
      <c r="H38" s="926"/>
      <c r="I38" s="928"/>
      <c r="J38" s="929"/>
      <c r="K38" s="928"/>
      <c r="L38" s="929"/>
      <c r="M38" s="928"/>
      <c r="N38" s="929"/>
      <c r="O38" s="928"/>
      <c r="P38" s="929"/>
      <c r="Q38" s="928"/>
      <c r="R38" s="929"/>
      <c r="S38" s="925"/>
      <c r="T38" s="926"/>
      <c r="U38" s="925"/>
      <c r="V38" s="926"/>
      <c r="W38" s="928"/>
      <c r="X38" s="929"/>
      <c r="Y38" s="928"/>
      <c r="Z38" s="926"/>
      <c r="AA38" s="928"/>
      <c r="AB38" s="929"/>
      <c r="AC38" s="928"/>
      <c r="AD38" s="929"/>
      <c r="AE38" s="929"/>
      <c r="AF38" s="930"/>
    </row>
    <row r="39" spans="1:34" x14ac:dyDescent="0.2">
      <c r="A39" s="778" t="s">
        <v>2326</v>
      </c>
      <c r="B39" s="1805"/>
      <c r="C39" s="1812"/>
      <c r="D39" s="897"/>
      <c r="E39" s="765"/>
      <c r="F39" s="765"/>
      <c r="G39" s="925"/>
      <c r="H39" s="926"/>
      <c r="I39" s="928"/>
      <c r="J39" s="929"/>
      <c r="K39" s="928"/>
      <c r="L39" s="929"/>
      <c r="M39" s="928"/>
      <c r="N39" s="929"/>
      <c r="O39" s="928"/>
      <c r="P39" s="929"/>
      <c r="Q39" s="928"/>
      <c r="R39" s="929"/>
      <c r="S39" s="925"/>
      <c r="T39" s="926"/>
      <c r="U39" s="925"/>
      <c r="V39" s="926"/>
      <c r="W39" s="928"/>
      <c r="X39" s="929"/>
      <c r="Y39" s="928"/>
      <c r="Z39" s="929"/>
      <c r="AA39" s="928"/>
      <c r="AB39" s="929"/>
      <c r="AC39" s="928"/>
      <c r="AD39" s="929"/>
      <c r="AE39" s="929"/>
      <c r="AF39" s="930"/>
    </row>
    <row r="40" spans="1:34" s="573" customFormat="1" x14ac:dyDescent="0.2">
      <c r="A40" s="781" t="s">
        <v>50</v>
      </c>
      <c r="B40" s="1806"/>
      <c r="C40" s="978">
        <v>6.2E-2</v>
      </c>
      <c r="D40" s="897">
        <v>43921</v>
      </c>
      <c r="E40" s="764">
        <v>2950</v>
      </c>
      <c r="F40" s="766">
        <v>1460</v>
      </c>
      <c r="G40" s="766">
        <v>3136</v>
      </c>
      <c r="H40" s="766">
        <v>1274</v>
      </c>
      <c r="I40" s="766">
        <v>3331</v>
      </c>
      <c r="J40" s="766">
        <v>1079</v>
      </c>
      <c r="K40" s="766">
        <v>3543</v>
      </c>
      <c r="L40" s="766">
        <v>867</v>
      </c>
      <c r="M40" s="766">
        <v>3767</v>
      </c>
      <c r="N40" s="766">
        <v>644</v>
      </c>
      <c r="O40" s="766">
        <v>4003</v>
      </c>
      <c r="P40" s="766">
        <v>407</v>
      </c>
      <c r="Q40" s="766">
        <v>3539</v>
      </c>
      <c r="R40" s="766">
        <v>155</v>
      </c>
      <c r="S40" s="766"/>
      <c r="T40" s="766"/>
      <c r="U40" s="766"/>
      <c r="V40" s="766"/>
      <c r="W40" s="766"/>
      <c r="X40" s="766"/>
      <c r="Y40" s="766"/>
      <c r="Z40" s="929"/>
      <c r="AA40" s="764"/>
      <c r="AB40" s="766"/>
      <c r="AC40" s="764"/>
      <c r="AD40" s="766"/>
      <c r="AE40" s="766"/>
      <c r="AF40" s="1265"/>
    </row>
    <row r="41" spans="1:34" s="573" customFormat="1" x14ac:dyDescent="0.2">
      <c r="A41" s="781" t="s">
        <v>4716</v>
      </c>
      <c r="B41" s="971"/>
      <c r="C41" s="978">
        <v>5.3900000000000003E-2</v>
      </c>
      <c r="D41" s="897">
        <v>44916</v>
      </c>
      <c r="E41" s="766">
        <v>79537</v>
      </c>
      <c r="F41" s="766">
        <v>50540</v>
      </c>
      <c r="G41" s="101">
        <v>84328</v>
      </c>
      <c r="H41" s="234">
        <v>45748</v>
      </c>
      <c r="I41" s="101">
        <v>88845</v>
      </c>
      <c r="J41" s="234">
        <v>41232</v>
      </c>
      <c r="K41" s="101">
        <v>93722</v>
      </c>
      <c r="L41" s="234">
        <v>36355</v>
      </c>
      <c r="M41" s="101">
        <v>98876</v>
      </c>
      <c r="N41" s="234">
        <v>31200</v>
      </c>
      <c r="O41" s="101">
        <v>104314</v>
      </c>
      <c r="P41" s="234">
        <v>25762</v>
      </c>
      <c r="Q41" s="101">
        <v>109920</v>
      </c>
      <c r="R41" s="234">
        <v>20157</v>
      </c>
      <c r="S41" s="925">
        <v>116139</v>
      </c>
      <c r="T41" s="926">
        <v>13938</v>
      </c>
      <c r="U41" s="925">
        <v>122484</v>
      </c>
      <c r="V41" s="926">
        <v>7592</v>
      </c>
      <c r="W41" s="925">
        <v>63420</v>
      </c>
      <c r="X41" s="926">
        <v>1297</v>
      </c>
      <c r="Y41" s="925"/>
      <c r="Z41" s="926"/>
      <c r="AA41" s="925"/>
      <c r="AB41" s="926"/>
      <c r="AC41" s="925"/>
      <c r="AD41" s="926"/>
      <c r="AE41" s="926"/>
      <c r="AF41" s="927"/>
    </row>
    <row r="42" spans="1:34" s="573" customFormat="1" x14ac:dyDescent="0.2">
      <c r="A42" s="1005" t="s">
        <v>3124</v>
      </c>
      <c r="B42" s="1806"/>
      <c r="C42" s="978"/>
      <c r="D42" s="897"/>
      <c r="E42" s="766"/>
      <c r="F42" s="766"/>
      <c r="G42" s="766"/>
      <c r="H42" s="766"/>
      <c r="I42" s="766"/>
      <c r="J42" s="766"/>
      <c r="K42" s="766"/>
      <c r="L42" s="766"/>
      <c r="M42" s="766"/>
      <c r="N42" s="766"/>
      <c r="O42" s="766"/>
      <c r="P42" s="766"/>
      <c r="Q42" s="766"/>
      <c r="R42" s="766"/>
      <c r="S42" s="766"/>
      <c r="T42" s="766"/>
      <c r="U42" s="766"/>
      <c r="V42" s="766"/>
      <c r="W42" s="766"/>
      <c r="X42" s="766"/>
      <c r="Y42" s="766"/>
      <c r="Z42" s="929"/>
      <c r="AA42" s="764"/>
      <c r="AB42" s="766"/>
      <c r="AC42" s="764"/>
      <c r="AD42" s="766"/>
      <c r="AE42" s="766"/>
      <c r="AF42" s="1265"/>
    </row>
    <row r="43" spans="1:34" s="573" customFormat="1" x14ac:dyDescent="0.2">
      <c r="A43" s="781" t="s">
        <v>2399</v>
      </c>
      <c r="B43" s="971"/>
      <c r="C43" s="978">
        <v>0</v>
      </c>
      <c r="D43" s="897">
        <v>43830</v>
      </c>
      <c r="E43" s="766">
        <v>300000</v>
      </c>
      <c r="F43" s="766"/>
      <c r="G43" s="101">
        <v>300000</v>
      </c>
      <c r="H43" s="234"/>
      <c r="I43" s="101">
        <v>350000</v>
      </c>
      <c r="J43" s="234"/>
      <c r="K43" s="101">
        <v>350000</v>
      </c>
      <c r="L43" s="234"/>
      <c r="M43" s="101">
        <v>350000</v>
      </c>
      <c r="N43" s="234"/>
      <c r="O43" s="101">
        <v>350000</v>
      </c>
      <c r="P43" s="234"/>
      <c r="Q43" s="101">
        <v>400000</v>
      </c>
      <c r="R43" s="234"/>
      <c r="S43" s="925"/>
      <c r="T43" s="926"/>
      <c r="U43" s="925"/>
      <c r="V43" s="926"/>
      <c r="W43" s="925"/>
      <c r="X43" s="929"/>
      <c r="Y43" s="925"/>
      <c r="Z43" s="929"/>
      <c r="AA43" s="928"/>
      <c r="AB43" s="929"/>
      <c r="AC43" s="928"/>
      <c r="AD43" s="929"/>
      <c r="AE43" s="929"/>
      <c r="AF43" s="930"/>
    </row>
    <row r="44" spans="1:34" s="573" customFormat="1" x14ac:dyDescent="0.2">
      <c r="A44" s="781" t="s">
        <v>4022</v>
      </c>
      <c r="B44" s="971"/>
      <c r="C44" s="978"/>
      <c r="D44" s="897">
        <v>45454</v>
      </c>
      <c r="E44" s="766"/>
      <c r="F44" s="766"/>
      <c r="G44" s="101">
        <v>94700</v>
      </c>
      <c r="H44" s="234">
        <v>59000</v>
      </c>
      <c r="I44" s="101">
        <v>99500</v>
      </c>
      <c r="J44" s="234">
        <v>54200</v>
      </c>
      <c r="K44" s="101">
        <v>104400</v>
      </c>
      <c r="L44" s="234">
        <v>49300</v>
      </c>
      <c r="M44" s="101">
        <v>110300</v>
      </c>
      <c r="N44" s="234">
        <v>43400</v>
      </c>
      <c r="O44" s="101">
        <v>115900</v>
      </c>
      <c r="P44" s="234">
        <v>37800</v>
      </c>
      <c r="Q44" s="925">
        <v>121800</v>
      </c>
      <c r="R44" s="926">
        <v>31900</v>
      </c>
      <c r="S44" s="925">
        <v>128100</v>
      </c>
      <c r="T44" s="926">
        <v>25600</v>
      </c>
      <c r="U44" s="925">
        <v>134700</v>
      </c>
      <c r="V44" s="926">
        <v>19000</v>
      </c>
      <c r="W44" s="925">
        <v>141600</v>
      </c>
      <c r="X44" s="926">
        <v>12100</v>
      </c>
      <c r="Y44" s="925">
        <v>149000</v>
      </c>
      <c r="Z44" s="926">
        <v>4700</v>
      </c>
      <c r="AA44" s="925"/>
      <c r="AB44" s="926"/>
      <c r="AC44" s="925"/>
      <c r="AD44" s="926"/>
      <c r="AE44" s="926"/>
      <c r="AF44" s="927"/>
    </row>
    <row r="45" spans="1:34" s="573" customFormat="1" x14ac:dyDescent="0.2">
      <c r="A45" s="781" t="s">
        <v>3485</v>
      </c>
      <c r="B45" s="971"/>
      <c r="C45" s="978">
        <v>5.6099999999999997E-2</v>
      </c>
      <c r="D45" s="897">
        <v>45673</v>
      </c>
      <c r="E45" s="766">
        <v>94814</v>
      </c>
      <c r="F45" s="766">
        <v>87154</v>
      </c>
      <c r="G45" s="101">
        <v>100207</v>
      </c>
      <c r="H45" s="234">
        <v>81352</v>
      </c>
      <c r="I45" s="101">
        <v>105500</v>
      </c>
      <c r="J45" s="234">
        <v>76060</v>
      </c>
      <c r="K45" s="101">
        <v>112082</v>
      </c>
      <c r="L45" s="234">
        <v>69478</v>
      </c>
      <c r="M45" s="101">
        <v>118270</v>
      </c>
      <c r="N45" s="234">
        <v>63290</v>
      </c>
      <c r="O45" s="101">
        <v>125014</v>
      </c>
      <c r="P45" s="234">
        <v>56547</v>
      </c>
      <c r="Q45" s="101">
        <v>132124</v>
      </c>
      <c r="R45" s="234">
        <v>49436</v>
      </c>
      <c r="S45" s="925">
        <v>139300</v>
      </c>
      <c r="T45" s="926">
        <v>46260</v>
      </c>
      <c r="U45" s="925">
        <v>147680</v>
      </c>
      <c r="V45" s="926">
        <v>33880</v>
      </c>
      <c r="W45" s="925">
        <v>156017</v>
      </c>
      <c r="X45" s="926">
        <v>25543</v>
      </c>
      <c r="Y45" s="925">
        <v>164828</v>
      </c>
      <c r="Z45" s="926">
        <v>16731</v>
      </c>
      <c r="AA45" s="925">
        <v>174161</v>
      </c>
      <c r="AB45" s="926">
        <f>Y45+Z45-AA45</f>
        <v>7398</v>
      </c>
      <c r="AC45" s="949">
        <v>0</v>
      </c>
      <c r="AD45" s="971">
        <v>0</v>
      </c>
      <c r="AE45" s="971">
        <v>0</v>
      </c>
      <c r="AF45" s="950">
        <v>0</v>
      </c>
    </row>
    <row r="46" spans="1:34" s="573" customFormat="1" x14ac:dyDescent="0.2">
      <c r="A46" s="781" t="s">
        <v>259</v>
      </c>
      <c r="B46" s="971"/>
      <c r="C46" s="978">
        <v>5.6099999999999997E-2</v>
      </c>
      <c r="D46" s="897">
        <v>45673</v>
      </c>
      <c r="E46" s="766">
        <v>137687</v>
      </c>
      <c r="F46" s="766">
        <f>125564-3000</f>
        <v>122564</v>
      </c>
      <c r="G46" s="101">
        <v>145520</v>
      </c>
      <c r="H46" s="101">
        <v>118140</v>
      </c>
      <c r="I46" s="101">
        <v>153208</v>
      </c>
      <c r="J46" s="101">
        <v>110451</v>
      </c>
      <c r="K46" s="101">
        <v>162764</v>
      </c>
      <c r="L46" s="101">
        <v>100895</v>
      </c>
      <c r="M46" s="101">
        <v>171753</v>
      </c>
      <c r="N46" s="101">
        <v>91906</v>
      </c>
      <c r="O46" s="101">
        <v>181542</v>
      </c>
      <c r="P46" s="101">
        <v>82116</v>
      </c>
      <c r="Q46" s="101">
        <v>191870</v>
      </c>
      <c r="R46" s="101">
        <v>71789</v>
      </c>
      <c r="S46" s="101">
        <v>202286</v>
      </c>
      <c r="T46" s="101">
        <v>57373</v>
      </c>
      <c r="U46" s="101">
        <v>214461</v>
      </c>
      <c r="V46" s="101">
        <v>49198</v>
      </c>
      <c r="W46" s="101">
        <v>226565</v>
      </c>
      <c r="X46" s="101">
        <v>37094</v>
      </c>
      <c r="Y46" s="101">
        <v>239360</v>
      </c>
      <c r="Z46" s="926">
        <v>24300</v>
      </c>
      <c r="AA46" s="101">
        <v>252984</v>
      </c>
      <c r="AB46" s="101">
        <f>Y46+Z46-AA46</f>
        <v>10676</v>
      </c>
      <c r="AC46" s="132">
        <v>0</v>
      </c>
      <c r="AD46" s="132">
        <v>0</v>
      </c>
      <c r="AE46" s="130">
        <v>0</v>
      </c>
      <c r="AF46" s="1112">
        <v>0</v>
      </c>
    </row>
    <row r="47" spans="1:34" s="573" customFormat="1" x14ac:dyDescent="0.2">
      <c r="A47" s="781" t="s">
        <v>2400</v>
      </c>
      <c r="B47" s="971"/>
      <c r="C47" s="978">
        <f>C83</f>
        <v>7.0000000000000007E-2</v>
      </c>
      <c r="D47" s="1516" t="s">
        <v>4302</v>
      </c>
      <c r="E47" s="764"/>
      <c r="F47" s="766"/>
      <c r="G47" s="101"/>
      <c r="H47" s="234">
        <v>-6600</v>
      </c>
      <c r="I47" s="101"/>
      <c r="J47" s="234"/>
      <c r="K47" s="101"/>
      <c r="L47" s="234"/>
      <c r="M47" s="101">
        <v>0</v>
      </c>
      <c r="N47" s="234">
        <v>0</v>
      </c>
      <c r="O47" s="101">
        <v>0</v>
      </c>
      <c r="P47" s="234">
        <v>0</v>
      </c>
      <c r="Q47" s="101">
        <f>J109</f>
        <v>0</v>
      </c>
      <c r="R47" s="234">
        <f>J110</f>
        <v>0</v>
      </c>
      <c r="S47" s="101">
        <f>K109</f>
        <v>0</v>
      </c>
      <c r="T47" s="234">
        <f>K110</f>
        <v>0</v>
      </c>
      <c r="U47" s="925">
        <f>L109</f>
        <v>0</v>
      </c>
      <c r="V47" s="926">
        <f>L110</f>
        <v>0</v>
      </c>
      <c r="W47" s="925">
        <f>M109</f>
        <v>0</v>
      </c>
      <c r="X47" s="926">
        <f>M110</f>
        <v>0</v>
      </c>
      <c r="Y47" s="925">
        <f>N109</f>
        <v>0</v>
      </c>
      <c r="Z47" s="926">
        <f>N110</f>
        <v>0</v>
      </c>
      <c r="AA47" s="925">
        <f>O109</f>
        <v>0</v>
      </c>
      <c r="AB47" s="926">
        <f>O110</f>
        <v>0</v>
      </c>
      <c r="AC47" s="925">
        <f>S109</f>
        <v>0</v>
      </c>
      <c r="AD47" s="926">
        <f>S110</f>
        <v>0</v>
      </c>
      <c r="AE47" s="926">
        <f>U109</f>
        <v>0</v>
      </c>
      <c r="AF47" s="927">
        <f>U110</f>
        <v>0</v>
      </c>
    </row>
    <row r="48" spans="1:34" s="573" customFormat="1" x14ac:dyDescent="0.2">
      <c r="A48" s="781" t="s">
        <v>6036</v>
      </c>
      <c r="B48" s="971"/>
      <c r="C48" s="978">
        <f>C84</f>
        <v>3.5099999999999999E-2</v>
      </c>
      <c r="D48" s="1516" t="s">
        <v>4302</v>
      </c>
      <c r="E48" s="1297"/>
      <c r="F48" s="1299"/>
      <c r="G48" s="931"/>
      <c r="H48" s="1152"/>
      <c r="I48" s="931"/>
      <c r="J48" s="1152"/>
      <c r="K48" s="931"/>
      <c r="L48" s="1152"/>
      <c r="M48" s="931"/>
      <c r="N48" s="1152"/>
      <c r="O48" s="931"/>
      <c r="P48" s="1152"/>
      <c r="Q48" s="931"/>
      <c r="R48" s="1152"/>
      <c r="S48" s="931">
        <f>K144</f>
        <v>0</v>
      </c>
      <c r="T48" s="1152">
        <f>K145</f>
        <v>0</v>
      </c>
      <c r="U48" s="1007">
        <f>L144</f>
        <v>416000</v>
      </c>
      <c r="V48" s="1008">
        <f>L145</f>
        <v>334000</v>
      </c>
      <c r="W48" s="1007">
        <f>M144</f>
        <v>433000</v>
      </c>
      <c r="X48" s="1008">
        <f>M145</f>
        <v>317000</v>
      </c>
      <c r="Y48" s="1007">
        <f>N144</f>
        <v>450000</v>
      </c>
      <c r="Z48" s="1008">
        <f>N145</f>
        <v>300000</v>
      </c>
      <c r="AA48" s="1007">
        <f>O144</f>
        <v>468000</v>
      </c>
      <c r="AB48" s="1008">
        <f>O145</f>
        <v>282000</v>
      </c>
      <c r="AC48" s="1007">
        <f>P144</f>
        <v>487000</v>
      </c>
      <c r="AD48" s="1008">
        <f>P145</f>
        <v>263000</v>
      </c>
      <c r="AE48" s="1008">
        <f>Q144</f>
        <v>507000</v>
      </c>
      <c r="AF48" s="1512">
        <f>Q145</f>
        <v>243000</v>
      </c>
    </row>
    <row r="49" spans="1:52" s="924" customFormat="1" x14ac:dyDescent="0.2">
      <c r="A49" s="792" t="s">
        <v>764</v>
      </c>
      <c r="B49" s="971" t="s">
        <v>1066</v>
      </c>
      <c r="C49" s="978"/>
      <c r="D49" s="922"/>
      <c r="E49" s="923">
        <f>SUBTOTAL(9,E39:E48)</f>
        <v>614988</v>
      </c>
      <c r="F49" s="923">
        <f t="shared" ref="F49:AB49" si="6">SUBTOTAL(9,F39:F48)</f>
        <v>261718</v>
      </c>
      <c r="G49" s="64">
        <f t="shared" si="6"/>
        <v>727891</v>
      </c>
      <c r="H49" s="128">
        <f t="shared" si="6"/>
        <v>298914</v>
      </c>
      <c r="I49" s="64">
        <f t="shared" si="6"/>
        <v>800384</v>
      </c>
      <c r="J49" s="128">
        <f t="shared" si="6"/>
        <v>283022</v>
      </c>
      <c r="K49" s="64">
        <f t="shared" si="6"/>
        <v>826511</v>
      </c>
      <c r="L49" s="128">
        <f t="shared" si="6"/>
        <v>256895</v>
      </c>
      <c r="M49" s="64">
        <f t="shared" si="6"/>
        <v>852966</v>
      </c>
      <c r="N49" s="128">
        <f t="shared" si="6"/>
        <v>230440</v>
      </c>
      <c r="O49" s="64">
        <f t="shared" si="6"/>
        <v>880773</v>
      </c>
      <c r="P49" s="128">
        <f t="shared" si="6"/>
        <v>202632</v>
      </c>
      <c r="Q49" s="64">
        <f t="shared" si="6"/>
        <v>959253</v>
      </c>
      <c r="R49" s="128">
        <f t="shared" si="6"/>
        <v>173437</v>
      </c>
      <c r="S49" s="64">
        <f t="shared" si="6"/>
        <v>585825</v>
      </c>
      <c r="T49" s="128">
        <f t="shared" si="6"/>
        <v>143171</v>
      </c>
      <c r="U49" s="64">
        <f t="shared" si="6"/>
        <v>1035325</v>
      </c>
      <c r="V49" s="128">
        <f>SUBTOTAL(9,V39:V48)</f>
        <v>443670</v>
      </c>
      <c r="W49" s="64">
        <f t="shared" si="6"/>
        <v>1020602</v>
      </c>
      <c r="X49" s="128">
        <f t="shared" si="6"/>
        <v>393034</v>
      </c>
      <c r="Y49" s="64">
        <f t="shared" si="6"/>
        <v>1003188</v>
      </c>
      <c r="Z49" s="128">
        <f t="shared" si="6"/>
        <v>345731</v>
      </c>
      <c r="AA49" s="64">
        <f t="shared" si="6"/>
        <v>895145</v>
      </c>
      <c r="AB49" s="128">
        <f t="shared" si="6"/>
        <v>300074</v>
      </c>
      <c r="AC49" s="64">
        <f t="shared" ref="AC49:AD49" si="7">SUBTOTAL(9,AC39:AC48)</f>
        <v>487000</v>
      </c>
      <c r="AD49" s="128">
        <f t="shared" si="7"/>
        <v>263000</v>
      </c>
      <c r="AE49" s="128">
        <f t="shared" ref="AE49:AF49" si="8">SUBTOTAL(9,AE39:AE48)</f>
        <v>507000</v>
      </c>
      <c r="AF49" s="115">
        <f t="shared" si="8"/>
        <v>243000</v>
      </c>
    </row>
    <row r="50" spans="1:52" s="573" customFormat="1" x14ac:dyDescent="0.2">
      <c r="A50" s="781"/>
      <c r="B50" s="1132"/>
      <c r="C50" s="978"/>
      <c r="D50" s="897"/>
      <c r="E50" s="766"/>
      <c r="F50" s="766"/>
      <c r="G50" s="101"/>
      <c r="H50" s="234"/>
      <c r="I50" s="101"/>
      <c r="J50" s="234"/>
      <c r="K50" s="101"/>
      <c r="L50" s="234"/>
      <c r="M50" s="101"/>
      <c r="N50" s="234"/>
      <c r="O50" s="101"/>
      <c r="P50" s="234"/>
      <c r="Q50" s="101"/>
      <c r="R50" s="234"/>
      <c r="S50" s="925"/>
      <c r="T50" s="926"/>
      <c r="U50" s="925"/>
      <c r="V50" s="926"/>
      <c r="W50" s="928"/>
      <c r="X50" s="929"/>
      <c r="Y50" s="928"/>
      <c r="Z50" s="929"/>
      <c r="AA50" s="928"/>
      <c r="AB50" s="929"/>
      <c r="AC50" s="928"/>
      <c r="AD50" s="929"/>
      <c r="AE50" s="929"/>
      <c r="AF50" s="930"/>
    </row>
    <row r="51" spans="1:52" s="573" customFormat="1" x14ac:dyDescent="0.2">
      <c r="A51" s="781" t="s">
        <v>6059</v>
      </c>
      <c r="B51" s="971" t="s">
        <v>1066</v>
      </c>
      <c r="C51" s="978">
        <v>3.6799999999999999E-2</v>
      </c>
      <c r="D51" s="1516">
        <v>44975</v>
      </c>
      <c r="E51" s="765">
        <v>87583</v>
      </c>
      <c r="F51" s="765">
        <v>166000</v>
      </c>
      <c r="G51" s="101">
        <v>94073</v>
      </c>
      <c r="H51" s="234">
        <v>131400</v>
      </c>
      <c r="I51" s="101">
        <v>182385</v>
      </c>
      <c r="J51" s="234">
        <v>77854</v>
      </c>
      <c r="K51" s="101">
        <v>188576</v>
      </c>
      <c r="L51" s="234">
        <v>71664</v>
      </c>
      <c r="M51" s="101">
        <v>196359</v>
      </c>
      <c r="N51" s="234">
        <v>63880</v>
      </c>
      <c r="O51" s="101">
        <v>203592</v>
      </c>
      <c r="P51" s="234">
        <v>56647</v>
      </c>
      <c r="Q51" s="101">
        <v>211003</v>
      </c>
      <c r="R51" s="234">
        <v>49236</v>
      </c>
      <c r="S51" s="925">
        <v>218731</v>
      </c>
      <c r="T51" s="926">
        <v>41508</v>
      </c>
      <c r="U51" s="925">
        <v>226976</v>
      </c>
      <c r="V51" s="926">
        <v>33263</v>
      </c>
      <c r="W51" s="925">
        <v>235281</v>
      </c>
      <c r="X51" s="926">
        <v>24958</v>
      </c>
      <c r="Y51" s="925">
        <v>244656</v>
      </c>
      <c r="Z51" s="926">
        <v>15583</v>
      </c>
      <c r="AA51" s="925">
        <v>253742</v>
      </c>
      <c r="AB51" s="926">
        <v>6497</v>
      </c>
      <c r="AC51" s="949"/>
      <c r="AD51" s="971"/>
      <c r="AE51" s="971"/>
      <c r="AF51" s="950"/>
    </row>
    <row r="52" spans="1:52" s="573" customFormat="1" x14ac:dyDescent="0.2">
      <c r="A52" s="921"/>
      <c r="B52" s="1132"/>
      <c r="C52" s="978"/>
      <c r="D52" s="770"/>
      <c r="E52" s="920"/>
      <c r="F52" s="770"/>
      <c r="G52" s="928"/>
      <c r="H52" s="929"/>
      <c r="I52" s="928"/>
      <c r="J52" s="929"/>
      <c r="K52" s="928"/>
      <c r="L52" s="929"/>
      <c r="M52" s="928"/>
      <c r="N52" s="929"/>
      <c r="O52" s="928"/>
      <c r="P52" s="929"/>
      <c r="Q52" s="928"/>
      <c r="R52" s="929"/>
      <c r="S52" s="925"/>
      <c r="T52" s="926"/>
      <c r="U52" s="925"/>
      <c r="V52" s="926"/>
      <c r="W52" s="928"/>
      <c r="X52" s="929"/>
      <c r="Y52" s="928"/>
      <c r="Z52" s="929"/>
      <c r="AA52" s="928"/>
      <c r="AB52" s="929"/>
      <c r="AC52" s="928"/>
      <c r="AD52" s="929"/>
      <c r="AE52" s="929"/>
      <c r="AF52" s="930"/>
    </row>
    <row r="53" spans="1:52" s="573" customFormat="1" x14ac:dyDescent="0.2">
      <c r="A53" s="778" t="s">
        <v>1418</v>
      </c>
      <c r="B53" s="1805"/>
      <c r="C53" s="1812"/>
      <c r="D53" s="897"/>
      <c r="E53" s="765"/>
      <c r="F53" s="765"/>
      <c r="G53" s="925"/>
      <c r="H53" s="926"/>
      <c r="I53" s="928"/>
      <c r="J53" s="929"/>
      <c r="K53" s="928"/>
      <c r="L53" s="929"/>
      <c r="M53" s="928"/>
      <c r="N53" s="929"/>
      <c r="O53" s="928"/>
      <c r="P53" s="929"/>
      <c r="Q53" s="928"/>
      <c r="R53" s="929"/>
      <c r="S53" s="925"/>
      <c r="T53" s="926"/>
      <c r="U53" s="925"/>
      <c r="V53" s="926"/>
      <c r="W53" s="928"/>
      <c r="X53" s="929"/>
      <c r="Y53" s="928"/>
      <c r="Z53" s="929"/>
      <c r="AA53" s="928"/>
      <c r="AB53" s="929"/>
      <c r="AC53" s="928"/>
      <c r="AD53" s="929"/>
      <c r="AE53" s="929"/>
      <c r="AF53" s="930"/>
    </row>
    <row r="54" spans="1:52" s="573" customFormat="1" x14ac:dyDescent="0.2">
      <c r="A54" s="781" t="s">
        <v>51</v>
      </c>
      <c r="B54" s="1132"/>
      <c r="C54" s="978">
        <v>7.3999999999999996E-2</v>
      </c>
      <c r="D54" s="897">
        <v>45107</v>
      </c>
      <c r="E54" s="765">
        <v>50790</v>
      </c>
      <c r="F54" s="765">
        <v>52033</v>
      </c>
      <c r="G54" s="925">
        <v>54607</v>
      </c>
      <c r="H54" s="926">
        <v>48216</v>
      </c>
      <c r="I54" s="925">
        <v>58464</v>
      </c>
      <c r="J54" s="926">
        <v>44359</v>
      </c>
      <c r="K54" s="925">
        <v>62989</v>
      </c>
      <c r="L54" s="926">
        <v>39834</v>
      </c>
      <c r="M54" s="925">
        <v>67737</v>
      </c>
      <c r="N54" s="926">
        <v>35087</v>
      </c>
      <c r="O54" s="925">
        <v>72664</v>
      </c>
      <c r="P54" s="926">
        <v>30160</v>
      </c>
      <c r="Q54" s="925">
        <v>78492</v>
      </c>
      <c r="R54" s="926">
        <v>24331</v>
      </c>
      <c r="S54" s="925">
        <v>84227</v>
      </c>
      <c r="T54" s="926">
        <v>18597</v>
      </c>
      <c r="U54" s="925">
        <v>90574</v>
      </c>
      <c r="V54" s="926">
        <v>12243</v>
      </c>
      <c r="W54" s="925">
        <v>97045</v>
      </c>
      <c r="X54" s="926">
        <v>5779</v>
      </c>
      <c r="Y54" s="925"/>
      <c r="Z54" s="926"/>
      <c r="AA54" s="925"/>
      <c r="AB54" s="926"/>
      <c r="AC54" s="925"/>
      <c r="AD54" s="926"/>
      <c r="AE54" s="926"/>
      <c r="AF54" s="927"/>
    </row>
    <row r="55" spans="1:52" s="573" customFormat="1" x14ac:dyDescent="0.2">
      <c r="A55" s="781" t="s">
        <v>51</v>
      </c>
      <c r="B55" s="1132"/>
      <c r="C55" s="978">
        <v>6.8599999999999994E-2</v>
      </c>
      <c r="D55" s="897">
        <v>45427</v>
      </c>
      <c r="E55" s="765">
        <v>166670</v>
      </c>
      <c r="F55" s="765">
        <v>122931</v>
      </c>
      <c r="G55" s="925">
        <v>131492</v>
      </c>
      <c r="H55" s="926">
        <v>83782</v>
      </c>
      <c r="I55" s="925">
        <v>137890</v>
      </c>
      <c r="J55" s="926">
        <v>77384</v>
      </c>
      <c r="K55" s="925">
        <v>145275</v>
      </c>
      <c r="L55" s="926">
        <v>69999</v>
      </c>
      <c r="M55" s="925">
        <v>152808</v>
      </c>
      <c r="N55" s="926">
        <v>62466</v>
      </c>
      <c r="O55" s="925">
        <v>160491</v>
      </c>
      <c r="P55" s="926">
        <v>54783</v>
      </c>
      <c r="Q55" s="926">
        <v>169300</v>
      </c>
      <c r="R55" s="926">
        <v>45975</v>
      </c>
      <c r="S55" s="926">
        <v>177963</v>
      </c>
      <c r="T55" s="926">
        <v>37311</v>
      </c>
      <c r="U55" s="926">
        <v>187228</v>
      </c>
      <c r="V55" s="926">
        <v>28047</v>
      </c>
      <c r="W55" s="926">
        <v>196975</v>
      </c>
      <c r="X55" s="926">
        <v>18299</v>
      </c>
      <c r="Y55" s="926">
        <v>207229</v>
      </c>
      <c r="Z55" s="926">
        <v>8046</v>
      </c>
      <c r="AA55" s="925"/>
      <c r="AB55" s="926"/>
      <c r="AC55" s="925"/>
      <c r="AD55" s="926"/>
      <c r="AE55" s="926"/>
      <c r="AF55" s="927"/>
      <c r="AG55" s="504"/>
      <c r="AH55" s="504"/>
      <c r="AI55" s="504"/>
      <c r="AJ55" s="504"/>
      <c r="AK55" s="504"/>
      <c r="AL55" s="504"/>
      <c r="AM55" s="504"/>
      <c r="AN55" s="504"/>
      <c r="AO55" s="504"/>
      <c r="AP55" s="504"/>
      <c r="AQ55" s="504"/>
    </row>
    <row r="56" spans="1:52" s="573" customFormat="1" x14ac:dyDescent="0.2">
      <c r="A56" s="781" t="s">
        <v>51</v>
      </c>
      <c r="B56" s="1132"/>
      <c r="C56" s="978">
        <v>2.9000000000000001E-2</v>
      </c>
      <c r="D56" s="897">
        <v>44368</v>
      </c>
      <c r="E56" s="765">
        <v>40864</v>
      </c>
      <c r="F56" s="765">
        <v>29161</v>
      </c>
      <c r="G56" s="925">
        <v>44006</v>
      </c>
      <c r="H56" s="926">
        <v>26018</v>
      </c>
      <c r="I56" s="925">
        <v>47000</v>
      </c>
      <c r="J56" s="926">
        <v>23000</v>
      </c>
      <c r="K56" s="925">
        <v>56600</v>
      </c>
      <c r="L56" s="926">
        <v>8300</v>
      </c>
      <c r="M56" s="925">
        <v>58300</v>
      </c>
      <c r="N56" s="926">
        <v>6600</v>
      </c>
      <c r="O56" s="925">
        <v>60000</v>
      </c>
      <c r="P56" s="926">
        <v>4900</v>
      </c>
      <c r="Q56" s="926">
        <v>61700</v>
      </c>
      <c r="R56" s="926">
        <v>3200</v>
      </c>
      <c r="S56" s="926">
        <v>63400</v>
      </c>
      <c r="T56" s="926">
        <v>1400</v>
      </c>
      <c r="U56" s="926">
        <v>0</v>
      </c>
      <c r="V56" s="926">
        <v>0</v>
      </c>
      <c r="W56" s="926"/>
      <c r="X56" s="926"/>
      <c r="Y56" s="926"/>
      <c r="Z56" s="926"/>
      <c r="AA56" s="925"/>
      <c r="AB56" s="926"/>
      <c r="AC56" s="925"/>
      <c r="AD56" s="926"/>
      <c r="AE56" s="926"/>
      <c r="AF56" s="927"/>
      <c r="AG56" s="504"/>
      <c r="AH56" s="504"/>
      <c r="AI56" s="504"/>
      <c r="AJ56" s="504"/>
      <c r="AK56" s="504"/>
      <c r="AL56" s="504"/>
      <c r="AM56" s="504"/>
      <c r="AN56" s="504"/>
      <c r="AO56" s="504"/>
      <c r="AP56" s="504"/>
      <c r="AQ56" s="504"/>
    </row>
    <row r="57" spans="1:52" s="573" customFormat="1" x14ac:dyDescent="0.2">
      <c r="A57" s="781" t="s">
        <v>2933</v>
      </c>
      <c r="B57" s="1132"/>
      <c r="C57" s="978">
        <v>5.3900000000000003E-2</v>
      </c>
      <c r="D57" s="897">
        <v>44916</v>
      </c>
      <c r="E57" s="765">
        <v>580420</v>
      </c>
      <c r="F57" s="765">
        <f>368813-18813</f>
        <v>350000</v>
      </c>
      <c r="G57" s="925">
        <v>615383</v>
      </c>
      <c r="H57" s="926">
        <v>333850</v>
      </c>
      <c r="I57" s="925">
        <v>648346</v>
      </c>
      <c r="J57" s="926">
        <v>300887</v>
      </c>
      <c r="K57" s="925">
        <v>683933</v>
      </c>
      <c r="L57" s="926">
        <v>265300</v>
      </c>
      <c r="M57" s="925">
        <v>721549</v>
      </c>
      <c r="N57" s="926">
        <v>227684</v>
      </c>
      <c r="O57" s="925">
        <v>761234</v>
      </c>
      <c r="P57" s="926">
        <v>188000</v>
      </c>
      <c r="Q57" s="926">
        <v>802141</v>
      </c>
      <c r="R57" s="926">
        <v>147092</v>
      </c>
      <c r="S57" s="926">
        <v>847522</v>
      </c>
      <c r="T57" s="926">
        <v>101711</v>
      </c>
      <c r="U57" s="926">
        <v>893831</v>
      </c>
      <c r="V57" s="926">
        <v>55402</v>
      </c>
      <c r="W57" s="926">
        <v>465310</v>
      </c>
      <c r="X57" s="926">
        <v>9466</v>
      </c>
      <c r="Y57" s="926"/>
      <c r="Z57" s="926"/>
      <c r="AA57" s="925"/>
      <c r="AB57" s="926"/>
      <c r="AC57" s="925"/>
      <c r="AD57" s="926"/>
      <c r="AE57" s="926"/>
      <c r="AF57" s="927"/>
      <c r="AG57" s="504"/>
      <c r="AH57" s="504"/>
      <c r="AI57" s="504"/>
      <c r="AJ57" s="504"/>
      <c r="AK57" s="504"/>
      <c r="AL57" s="504"/>
      <c r="AM57" s="504"/>
      <c r="AN57" s="504"/>
      <c r="AO57" s="504"/>
      <c r="AP57" s="504"/>
      <c r="AQ57" s="504"/>
    </row>
    <row r="58" spans="1:52" s="573" customFormat="1" x14ac:dyDescent="0.2">
      <c r="A58" s="781" t="s">
        <v>3716</v>
      </c>
      <c r="B58" s="1132"/>
      <c r="C58" s="978">
        <v>3.8899999999999997E-2</v>
      </c>
      <c r="D58" s="1516"/>
      <c r="E58" s="765"/>
      <c r="F58" s="765"/>
      <c r="G58" s="925"/>
      <c r="H58" s="926">
        <f>E100</f>
        <v>0</v>
      </c>
      <c r="I58" s="925">
        <f>F99</f>
        <v>78900</v>
      </c>
      <c r="J58" s="926">
        <f>F100</f>
        <v>27400</v>
      </c>
      <c r="K58" s="925">
        <f>G99</f>
        <v>82000</v>
      </c>
      <c r="L58" s="926">
        <f>G100</f>
        <v>24300</v>
      </c>
      <c r="M58" s="925">
        <f>H99</f>
        <v>85300</v>
      </c>
      <c r="N58" s="926">
        <f>H100</f>
        <v>21100</v>
      </c>
      <c r="O58" s="925">
        <f>I99</f>
        <v>88600</v>
      </c>
      <c r="P58" s="926">
        <f>I100</f>
        <v>17800</v>
      </c>
      <c r="Q58" s="926">
        <f>J99</f>
        <v>92100</v>
      </c>
      <c r="R58" s="926">
        <f>J100</f>
        <v>14300</v>
      </c>
      <c r="S58" s="926">
        <f>K99</f>
        <v>95700</v>
      </c>
      <c r="T58" s="926">
        <f>K100</f>
        <v>10700</v>
      </c>
      <c r="U58" s="926">
        <f>L99</f>
        <v>99400</v>
      </c>
      <c r="V58" s="926">
        <f>L100</f>
        <v>6900</v>
      </c>
      <c r="W58" s="926">
        <f>M99</f>
        <v>103000</v>
      </c>
      <c r="X58" s="926">
        <f>M100</f>
        <v>3000</v>
      </c>
      <c r="Y58" s="926">
        <f>N99</f>
        <v>0</v>
      </c>
      <c r="Z58" s="926">
        <f>N100</f>
        <v>0</v>
      </c>
      <c r="AA58" s="925">
        <f>O99</f>
        <v>0</v>
      </c>
      <c r="AB58" s="926">
        <f>O100</f>
        <v>0</v>
      </c>
      <c r="AC58" s="925">
        <f>S99</f>
        <v>0</v>
      </c>
      <c r="AD58" s="926">
        <f>S100</f>
        <v>0</v>
      </c>
      <c r="AE58" s="926">
        <f>U99</f>
        <v>0</v>
      </c>
      <c r="AF58" s="927">
        <f>U100</f>
        <v>0</v>
      </c>
      <c r="AG58" s="504"/>
      <c r="AH58" s="504"/>
      <c r="AI58" s="504"/>
      <c r="AJ58" s="504"/>
      <c r="AK58" s="504"/>
      <c r="AL58" s="504"/>
      <c r="AM58" s="504"/>
      <c r="AN58" s="504"/>
      <c r="AO58" s="504"/>
      <c r="AP58" s="504"/>
      <c r="AQ58" s="504"/>
    </row>
    <row r="59" spans="1:52" s="573" customFormat="1" x14ac:dyDescent="0.2">
      <c r="A59" s="781" t="s">
        <v>6061</v>
      </c>
      <c r="B59" s="1132"/>
      <c r="C59" s="978">
        <f>C113</f>
        <v>3.5099999999999999E-2</v>
      </c>
      <c r="D59" s="1516">
        <v>46194</v>
      </c>
      <c r="E59" s="2324"/>
      <c r="F59" s="765"/>
      <c r="G59" s="925"/>
      <c r="H59" s="926">
        <f>-491866+502300</f>
        <v>10434</v>
      </c>
      <c r="I59" s="925">
        <v>0</v>
      </c>
      <c r="J59" s="926">
        <v>0</v>
      </c>
      <c r="K59" s="925">
        <v>42500</v>
      </c>
      <c r="L59" s="926">
        <v>17100</v>
      </c>
      <c r="M59" s="925">
        <v>44100</v>
      </c>
      <c r="N59" s="926">
        <v>15600</v>
      </c>
      <c r="O59" s="925">
        <v>45600</v>
      </c>
      <c r="P59" s="926">
        <v>14100</v>
      </c>
      <c r="Q59" s="925">
        <v>47200</v>
      </c>
      <c r="R59" s="926">
        <v>12500</v>
      </c>
      <c r="S59" s="925">
        <v>49200</v>
      </c>
      <c r="T59" s="926">
        <v>10800</v>
      </c>
      <c r="U59" s="925">
        <v>50600</v>
      </c>
      <c r="V59" s="926">
        <v>9100</v>
      </c>
      <c r="W59" s="925">
        <v>52400</v>
      </c>
      <c r="X59" s="926">
        <v>7300</v>
      </c>
      <c r="Y59" s="925">
        <v>54200</v>
      </c>
      <c r="Z59" s="926">
        <v>5500</v>
      </c>
      <c r="AA59" s="925">
        <v>56100</v>
      </c>
      <c r="AB59" s="926">
        <v>3500</v>
      </c>
      <c r="AC59" s="925">
        <v>58100</v>
      </c>
      <c r="AD59" s="926">
        <v>1500</v>
      </c>
      <c r="AE59" s="926">
        <v>0</v>
      </c>
      <c r="AF59" s="927">
        <v>0</v>
      </c>
      <c r="AG59" s="504"/>
      <c r="AH59" s="504"/>
      <c r="AI59" s="504"/>
      <c r="AJ59" s="504"/>
      <c r="AK59" s="504"/>
      <c r="AL59" s="504"/>
      <c r="AM59" s="504"/>
      <c r="AN59" s="504"/>
      <c r="AO59" s="504"/>
      <c r="AP59" s="504"/>
      <c r="AQ59" s="504"/>
      <c r="AR59" s="504"/>
      <c r="AS59" s="504"/>
      <c r="AT59" s="504"/>
      <c r="AU59" s="504"/>
      <c r="AV59" s="504"/>
      <c r="AW59" s="504"/>
      <c r="AX59" s="504"/>
      <c r="AY59" s="504"/>
      <c r="AZ59" s="504"/>
    </row>
    <row r="60" spans="1:52" s="573" customFormat="1" x14ac:dyDescent="0.2">
      <c r="A60" s="781" t="s">
        <v>6163</v>
      </c>
      <c r="B60" s="1132"/>
      <c r="C60" s="978">
        <v>3.8899999999999997E-2</v>
      </c>
      <c r="D60" s="1516">
        <v>48385</v>
      </c>
      <c r="E60" s="768"/>
      <c r="F60" s="769"/>
      <c r="G60" s="1007"/>
      <c r="H60" s="1008"/>
      <c r="I60" s="1007"/>
      <c r="J60" s="1008"/>
      <c r="K60" s="1007"/>
      <c r="L60" s="1008"/>
      <c r="M60" s="1007">
        <v>45200</v>
      </c>
      <c r="N60" s="1008">
        <v>34600</v>
      </c>
      <c r="O60" s="1007">
        <v>47000</v>
      </c>
      <c r="P60" s="1008">
        <v>32800</v>
      </c>
      <c r="Q60" s="1007">
        <v>48800</v>
      </c>
      <c r="R60" s="1008">
        <v>31000</v>
      </c>
      <c r="S60" s="1007">
        <v>50700</v>
      </c>
      <c r="T60" s="1008">
        <v>29000</v>
      </c>
      <c r="U60" s="1007">
        <v>52700</v>
      </c>
      <c r="V60" s="1008">
        <v>27000</v>
      </c>
      <c r="W60" s="1007">
        <v>54800</v>
      </c>
      <c r="X60" s="1008">
        <v>25000</v>
      </c>
      <c r="Y60" s="1007">
        <v>57000</v>
      </c>
      <c r="Z60" s="1008">
        <v>22800</v>
      </c>
      <c r="AA60" s="1007">
        <v>59100</v>
      </c>
      <c r="AB60" s="1008">
        <v>20600</v>
      </c>
      <c r="AC60" s="1007">
        <v>61500</v>
      </c>
      <c r="AD60" s="1008">
        <v>18300</v>
      </c>
      <c r="AE60" s="1008">
        <v>63900</v>
      </c>
      <c r="AF60" s="1512">
        <v>16000</v>
      </c>
      <c r="AG60" s="504"/>
      <c r="AH60" s="504"/>
      <c r="AI60" s="504"/>
      <c r="AJ60" s="504"/>
      <c r="AK60" s="504"/>
      <c r="AL60" s="504"/>
      <c r="AM60" s="504"/>
      <c r="AN60" s="504"/>
      <c r="AO60" s="504"/>
      <c r="AP60" s="504"/>
      <c r="AQ60" s="504"/>
      <c r="AR60" s="504"/>
      <c r="AS60" s="504"/>
      <c r="AT60" s="504"/>
      <c r="AU60" s="504"/>
      <c r="AV60" s="504"/>
      <c r="AW60" s="504"/>
      <c r="AX60" s="504"/>
      <c r="AY60" s="504"/>
      <c r="AZ60" s="504"/>
    </row>
    <row r="61" spans="1:52" s="924" customFormat="1" x14ac:dyDescent="0.2">
      <c r="A61" s="792"/>
      <c r="B61" s="971" t="s">
        <v>1067</v>
      </c>
      <c r="C61" s="978"/>
      <c r="D61" s="922"/>
      <c r="E61" s="923">
        <f>SUBTOTAL(9,E53:E60)</f>
        <v>838744</v>
      </c>
      <c r="F61" s="923">
        <f t="shared" ref="F61:AD61" si="9">SUBTOTAL(9,F53:F60)</f>
        <v>554125</v>
      </c>
      <c r="G61" s="923">
        <f t="shared" si="9"/>
        <v>845488</v>
      </c>
      <c r="H61" s="923">
        <f t="shared" si="9"/>
        <v>502300</v>
      </c>
      <c r="I61" s="923">
        <f>SUBTOTAL(9,I53:I60)</f>
        <v>970600</v>
      </c>
      <c r="J61" s="923">
        <f t="shared" si="9"/>
        <v>473030</v>
      </c>
      <c r="K61" s="923">
        <f t="shared" si="9"/>
        <v>1073297</v>
      </c>
      <c r="L61" s="923">
        <f t="shared" si="9"/>
        <v>424833</v>
      </c>
      <c r="M61" s="923">
        <f t="shared" si="9"/>
        <v>1174994</v>
      </c>
      <c r="N61" s="923">
        <f t="shared" si="9"/>
        <v>403137</v>
      </c>
      <c r="O61" s="923">
        <f t="shared" si="9"/>
        <v>1235589</v>
      </c>
      <c r="P61" s="923">
        <f t="shared" si="9"/>
        <v>342543</v>
      </c>
      <c r="Q61" s="923">
        <f t="shared" si="9"/>
        <v>1299733</v>
      </c>
      <c r="R61" s="923">
        <f t="shared" si="9"/>
        <v>278398</v>
      </c>
      <c r="S61" s="923">
        <f t="shared" si="9"/>
        <v>1368712</v>
      </c>
      <c r="T61" s="923">
        <f t="shared" si="9"/>
        <v>209519</v>
      </c>
      <c r="U61" s="923">
        <f t="shared" si="9"/>
        <v>1374333</v>
      </c>
      <c r="V61" s="923">
        <f t="shared" si="9"/>
        <v>138692</v>
      </c>
      <c r="W61" s="923">
        <f t="shared" si="9"/>
        <v>969530</v>
      </c>
      <c r="X61" s="923">
        <f t="shared" si="9"/>
        <v>68844</v>
      </c>
      <c r="Y61" s="923">
        <f t="shared" si="9"/>
        <v>318429</v>
      </c>
      <c r="Z61" s="923">
        <f t="shared" si="9"/>
        <v>36346</v>
      </c>
      <c r="AA61" s="923">
        <f t="shared" si="9"/>
        <v>115200</v>
      </c>
      <c r="AB61" s="923">
        <f t="shared" si="9"/>
        <v>24100</v>
      </c>
      <c r="AC61" s="2690">
        <f t="shared" si="9"/>
        <v>119600</v>
      </c>
      <c r="AD61" s="923">
        <f t="shared" si="9"/>
        <v>19800</v>
      </c>
      <c r="AE61" s="923">
        <f t="shared" ref="AE61:AF61" si="10">SUBTOTAL(9,AE53:AE60)</f>
        <v>63900</v>
      </c>
      <c r="AF61" s="2686">
        <f t="shared" si="10"/>
        <v>16000</v>
      </c>
    </row>
    <row r="62" spans="1:52" s="573" customFormat="1" x14ac:dyDescent="0.2">
      <c r="A62" s="781"/>
      <c r="B62" s="1132"/>
      <c r="C62" s="978"/>
      <c r="D62" s="897"/>
      <c r="E62" s="765"/>
      <c r="F62" s="765"/>
      <c r="G62" s="925"/>
      <c r="H62" s="926"/>
      <c r="I62" s="928"/>
      <c r="J62" s="929"/>
      <c r="K62" s="928"/>
      <c r="L62" s="929"/>
      <c r="M62" s="928"/>
      <c r="N62" s="929"/>
      <c r="O62" s="928"/>
      <c r="P62" s="929"/>
      <c r="Q62" s="928"/>
      <c r="R62" s="929"/>
      <c r="S62" s="925"/>
      <c r="T62" s="926"/>
      <c r="U62" s="925"/>
      <c r="V62" s="926"/>
      <c r="W62" s="928"/>
      <c r="X62" s="929"/>
      <c r="Y62" s="928"/>
      <c r="Z62" s="929"/>
      <c r="AA62" s="928"/>
      <c r="AB62" s="929"/>
      <c r="AC62" s="928"/>
      <c r="AD62" s="929"/>
      <c r="AE62" s="929"/>
      <c r="AF62" s="930"/>
    </row>
    <row r="63" spans="1:52" x14ac:dyDescent="0.2">
      <c r="A63" s="921"/>
      <c r="B63" s="1132"/>
      <c r="C63" s="978"/>
      <c r="D63" s="770"/>
      <c r="E63" s="770"/>
      <c r="F63" s="770"/>
      <c r="G63" s="928"/>
      <c r="H63" s="929"/>
      <c r="I63" s="928"/>
      <c r="J63" s="929"/>
      <c r="K63" s="928"/>
      <c r="L63" s="929"/>
      <c r="M63" s="928"/>
      <c r="N63" s="929"/>
      <c r="O63" s="928"/>
      <c r="P63" s="929"/>
      <c r="Q63" s="928"/>
      <c r="R63" s="929"/>
      <c r="S63" s="925"/>
      <c r="T63" s="926"/>
      <c r="U63" s="925"/>
      <c r="V63" s="926"/>
      <c r="W63" s="928"/>
      <c r="X63" s="929"/>
      <c r="Y63" s="928"/>
      <c r="Z63" s="929"/>
      <c r="AA63" s="928"/>
      <c r="AB63" s="929"/>
      <c r="AC63" s="928"/>
      <c r="AD63" s="929"/>
      <c r="AE63" s="929"/>
      <c r="AF63" s="930"/>
    </row>
    <row r="64" spans="1:52" s="390" customFormat="1" ht="13.5" thickBot="1" x14ac:dyDescent="0.25">
      <c r="A64" s="778" t="s">
        <v>54</v>
      </c>
      <c r="B64" s="1803"/>
      <c r="C64" s="978"/>
      <c r="D64" s="1024"/>
      <c r="E64" s="1025">
        <f t="shared" ref="E64:AF64" si="11">ROUND(SUBTOTAL(9,(E5:E63)),-2)</f>
        <v>3216200</v>
      </c>
      <c r="F64" s="1025">
        <f t="shared" si="11"/>
        <v>1510300</v>
      </c>
      <c r="G64" s="696">
        <f t="shared" si="11"/>
        <v>3395400</v>
      </c>
      <c r="H64" s="1026">
        <f t="shared" si="11"/>
        <v>1333300</v>
      </c>
      <c r="I64" s="696">
        <f t="shared" si="11"/>
        <v>3788900</v>
      </c>
      <c r="J64" s="1026">
        <f t="shared" si="11"/>
        <v>1143600</v>
      </c>
      <c r="K64" s="696">
        <f t="shared" si="11"/>
        <v>3696200</v>
      </c>
      <c r="L64" s="1026">
        <f t="shared" si="11"/>
        <v>946200</v>
      </c>
      <c r="M64" s="696">
        <f t="shared" si="11"/>
        <v>3312800</v>
      </c>
      <c r="N64" s="1026">
        <f t="shared" si="11"/>
        <v>1208800</v>
      </c>
      <c r="O64" s="696">
        <f t="shared" si="11"/>
        <v>3247800</v>
      </c>
      <c r="P64" s="1026">
        <f t="shared" si="11"/>
        <v>1116200</v>
      </c>
      <c r="Q64" s="696">
        <f t="shared" si="11"/>
        <v>3319000</v>
      </c>
      <c r="R64" s="1026">
        <f t="shared" si="11"/>
        <v>1074900</v>
      </c>
      <c r="S64" s="696">
        <f t="shared" si="11"/>
        <v>3043000</v>
      </c>
      <c r="T64" s="1026">
        <f t="shared" si="11"/>
        <v>932000</v>
      </c>
      <c r="U64" s="696">
        <f t="shared" si="11"/>
        <v>3542900</v>
      </c>
      <c r="V64" s="1026">
        <f t="shared" si="11"/>
        <v>1116900</v>
      </c>
      <c r="W64" s="696">
        <f t="shared" si="11"/>
        <v>3084900</v>
      </c>
      <c r="X64" s="1026">
        <f t="shared" si="11"/>
        <v>950600</v>
      </c>
      <c r="Y64" s="696">
        <f t="shared" si="11"/>
        <v>2350300</v>
      </c>
      <c r="Z64" s="1026">
        <f t="shared" si="11"/>
        <v>831700</v>
      </c>
      <c r="AA64" s="696">
        <f t="shared" si="11"/>
        <v>2080100</v>
      </c>
      <c r="AB64" s="1026">
        <f t="shared" si="11"/>
        <v>732700</v>
      </c>
      <c r="AC64" s="696">
        <f t="shared" si="11"/>
        <v>1452600</v>
      </c>
      <c r="AD64" s="1026">
        <f t="shared" si="11"/>
        <v>654800</v>
      </c>
      <c r="AE64" s="1026">
        <f t="shared" si="11"/>
        <v>1449900</v>
      </c>
      <c r="AF64" s="1027">
        <f t="shared" si="11"/>
        <v>598000</v>
      </c>
    </row>
    <row r="65" spans="1:32" ht="13.5" thickTop="1" x14ac:dyDescent="0.2">
      <c r="A65" s="1028"/>
      <c r="B65" s="1132"/>
      <c r="C65" s="978"/>
      <c r="D65" s="770"/>
      <c r="E65" s="920"/>
      <c r="F65" s="920"/>
      <c r="G65" s="928"/>
      <c r="H65" s="929"/>
      <c r="I65" s="928"/>
      <c r="J65" s="929"/>
      <c r="K65" s="928"/>
      <c r="L65" s="929"/>
      <c r="M65" s="928"/>
      <c r="N65" s="929"/>
      <c r="O65" s="928"/>
      <c r="P65" s="929"/>
      <c r="Q65" s="928"/>
      <c r="R65" s="929"/>
      <c r="S65" s="928"/>
      <c r="T65" s="929"/>
      <c r="U65" s="925"/>
      <c r="V65" s="926"/>
      <c r="W65" s="925"/>
      <c r="X65" s="926"/>
      <c r="Y65" s="925"/>
      <c r="Z65" s="926"/>
      <c r="AA65" s="925"/>
      <c r="AB65" s="926"/>
      <c r="AC65" s="925"/>
      <c r="AD65" s="926"/>
      <c r="AE65" s="926"/>
      <c r="AF65" s="927"/>
    </row>
    <row r="66" spans="1:32" x14ac:dyDescent="0.2">
      <c r="A66" s="1028"/>
      <c r="B66" s="1132"/>
      <c r="C66" s="978"/>
      <c r="D66" s="1024"/>
      <c r="E66" s="623"/>
      <c r="F66" s="623"/>
      <c r="G66" s="179"/>
      <c r="H66" s="1990"/>
      <c r="I66" s="179"/>
      <c r="J66" s="1990"/>
      <c r="K66" s="179"/>
      <c r="L66" s="929"/>
      <c r="M66" s="179"/>
      <c r="N66" s="929"/>
      <c r="O66" s="179"/>
      <c r="P66" s="929"/>
      <c r="Q66" s="179"/>
      <c r="R66" s="929"/>
      <c r="S66" s="179"/>
      <c r="T66" s="929"/>
      <c r="U66" s="925"/>
      <c r="V66" s="926"/>
      <c r="W66" s="925"/>
      <c r="X66" s="926"/>
      <c r="Y66" s="928"/>
      <c r="Z66" s="929"/>
      <c r="AA66" s="925"/>
      <c r="AB66" s="926"/>
      <c r="AC66" s="925"/>
      <c r="AD66" s="926"/>
      <c r="AE66" s="926"/>
      <c r="AF66" s="927"/>
    </row>
    <row r="67" spans="1:32" s="390" customFormat="1" ht="13.5" thickBot="1" x14ac:dyDescent="0.25">
      <c r="A67" s="778" t="s">
        <v>55</v>
      </c>
      <c r="B67" s="1132"/>
      <c r="C67" s="978"/>
      <c r="D67" s="1024"/>
      <c r="E67" s="1025">
        <f>E64</f>
        <v>3216200</v>
      </c>
      <c r="F67" s="1025">
        <f t="shared" ref="F67:AB67" si="12">F64</f>
        <v>1510300</v>
      </c>
      <c r="G67" s="696">
        <f t="shared" si="12"/>
        <v>3395400</v>
      </c>
      <c r="H67" s="1026">
        <f t="shared" si="12"/>
        <v>1333300</v>
      </c>
      <c r="I67" s="696">
        <f>I64</f>
        <v>3788900</v>
      </c>
      <c r="J67" s="1026">
        <f t="shared" si="12"/>
        <v>1143600</v>
      </c>
      <c r="K67" s="696">
        <f t="shared" si="12"/>
        <v>3696200</v>
      </c>
      <c r="L67" s="1026">
        <f t="shared" si="12"/>
        <v>946200</v>
      </c>
      <c r="M67" s="696">
        <f t="shared" si="12"/>
        <v>3312800</v>
      </c>
      <c r="N67" s="1026">
        <f t="shared" si="12"/>
        <v>1208800</v>
      </c>
      <c r="O67" s="696">
        <f t="shared" si="12"/>
        <v>3247800</v>
      </c>
      <c r="P67" s="1026">
        <f t="shared" si="12"/>
        <v>1116200</v>
      </c>
      <c r="Q67" s="696">
        <f t="shared" si="12"/>
        <v>3319000</v>
      </c>
      <c r="R67" s="1026">
        <f t="shared" si="12"/>
        <v>1074900</v>
      </c>
      <c r="S67" s="696">
        <f t="shared" si="12"/>
        <v>3043000</v>
      </c>
      <c r="T67" s="1026">
        <f t="shared" si="12"/>
        <v>932000</v>
      </c>
      <c r="U67" s="696">
        <f t="shared" si="12"/>
        <v>3542900</v>
      </c>
      <c r="V67" s="1026">
        <f t="shared" si="12"/>
        <v>1116900</v>
      </c>
      <c r="W67" s="696">
        <f t="shared" si="12"/>
        <v>3084900</v>
      </c>
      <c r="X67" s="1026">
        <f t="shared" si="12"/>
        <v>950600</v>
      </c>
      <c r="Y67" s="696">
        <f t="shared" si="12"/>
        <v>2350300</v>
      </c>
      <c r="Z67" s="1026">
        <f t="shared" si="12"/>
        <v>831700</v>
      </c>
      <c r="AA67" s="696">
        <f t="shared" si="12"/>
        <v>2080100</v>
      </c>
      <c r="AB67" s="1026">
        <f t="shared" si="12"/>
        <v>732700</v>
      </c>
      <c r="AC67" s="696">
        <f t="shared" ref="AC67:AD67" si="13">AC64</f>
        <v>1452600</v>
      </c>
      <c r="AD67" s="1026">
        <f t="shared" si="13"/>
        <v>654800</v>
      </c>
      <c r="AE67" s="1026">
        <f t="shared" ref="AE67:AF67" si="14">AE64</f>
        <v>1449900</v>
      </c>
      <c r="AF67" s="1027">
        <f t="shared" si="14"/>
        <v>598000</v>
      </c>
    </row>
    <row r="68" spans="1:32" ht="13.5" thickTop="1" x14ac:dyDescent="0.2">
      <c r="A68" s="921"/>
      <c r="B68" s="1132"/>
      <c r="C68" s="1443"/>
      <c r="D68" s="770"/>
      <c r="E68" s="770"/>
      <c r="F68" s="920"/>
      <c r="G68" s="928"/>
      <c r="H68" s="929"/>
      <c r="I68" s="928"/>
      <c r="J68" s="929"/>
      <c r="K68" s="928"/>
      <c r="L68" s="929"/>
      <c r="M68" s="928"/>
      <c r="N68" s="929"/>
      <c r="O68" s="928"/>
      <c r="P68" s="929"/>
      <c r="Q68" s="928"/>
      <c r="R68" s="929"/>
      <c r="S68" s="928"/>
      <c r="T68" s="929"/>
      <c r="U68" s="925"/>
      <c r="V68" s="926"/>
      <c r="W68" s="925"/>
      <c r="X68" s="926"/>
      <c r="Y68" s="928"/>
      <c r="Z68" s="929"/>
      <c r="AA68" s="925"/>
      <c r="AB68" s="926"/>
      <c r="AC68" s="925"/>
      <c r="AD68" s="926"/>
      <c r="AE68" s="926"/>
      <c r="AF68" s="927"/>
    </row>
    <row r="69" spans="1:32" x14ac:dyDescent="0.2">
      <c r="A69" s="778" t="s">
        <v>2768</v>
      </c>
      <c r="B69" s="1132"/>
      <c r="C69" s="1443"/>
      <c r="D69" s="770"/>
      <c r="E69" s="770"/>
      <c r="F69" s="770"/>
      <c r="G69" s="928"/>
      <c r="H69" s="929"/>
      <c r="I69" s="928"/>
      <c r="J69" s="929"/>
      <c r="K69" s="928"/>
      <c r="L69" s="929"/>
      <c r="M69" s="928"/>
      <c r="N69" s="929"/>
      <c r="O69" s="928"/>
      <c r="P69" s="929"/>
      <c r="Q69" s="928"/>
      <c r="R69" s="929"/>
      <c r="S69" s="928"/>
      <c r="T69" s="929"/>
      <c r="U69" s="925"/>
      <c r="V69" s="926"/>
      <c r="W69" s="925"/>
      <c r="X69" s="926"/>
      <c r="Y69" s="928"/>
      <c r="Z69" s="929"/>
      <c r="AA69" s="925"/>
      <c r="AB69" s="926"/>
      <c r="AC69" s="925"/>
      <c r="AD69" s="926"/>
      <c r="AE69" s="926"/>
      <c r="AF69" s="927"/>
    </row>
    <row r="70" spans="1:32" x14ac:dyDescent="0.2">
      <c r="A70" s="921" t="s">
        <v>52</v>
      </c>
      <c r="B70" s="1132"/>
      <c r="C70" s="1443"/>
      <c r="D70" s="770"/>
      <c r="E70" s="767">
        <v>28231200</v>
      </c>
      <c r="F70" s="767"/>
      <c r="G70" s="932">
        <f>E74</f>
        <v>26215000</v>
      </c>
      <c r="H70" s="933"/>
      <c r="I70" s="932">
        <f>G74</f>
        <v>23544600</v>
      </c>
      <c r="J70" s="933"/>
      <c r="K70" s="932">
        <f>I74</f>
        <v>20255700</v>
      </c>
      <c r="L70" s="933"/>
      <c r="M70" s="932">
        <f>K74</f>
        <v>24171200</v>
      </c>
      <c r="N70" s="933"/>
      <c r="O70" s="932">
        <f>M74</f>
        <v>26786200</v>
      </c>
      <c r="P70" s="933"/>
      <c r="Q70" s="932">
        <f>O74</f>
        <v>26038400</v>
      </c>
      <c r="R70" s="933"/>
      <c r="S70" s="932">
        <f>Q74</f>
        <v>22719400</v>
      </c>
      <c r="T70" s="933"/>
      <c r="U70" s="932">
        <f>S74</f>
        <v>28016400</v>
      </c>
      <c r="V70" s="933"/>
      <c r="W70" s="932">
        <f>U74</f>
        <v>24473500</v>
      </c>
      <c r="X70" s="933"/>
      <c r="Y70" s="932">
        <f>W74</f>
        <v>21388600</v>
      </c>
      <c r="Z70" s="933"/>
      <c r="AA70" s="932">
        <f>Y74</f>
        <v>19038300</v>
      </c>
      <c r="AB70" s="933"/>
      <c r="AC70" s="932">
        <f>AA74</f>
        <v>16958200</v>
      </c>
      <c r="AD70" s="933"/>
      <c r="AE70" s="933">
        <f>AC74</f>
        <v>15505600</v>
      </c>
      <c r="AF70" s="934"/>
    </row>
    <row r="71" spans="1:32" x14ac:dyDescent="0.2">
      <c r="A71" s="921" t="s">
        <v>753</v>
      </c>
      <c r="B71" s="1042"/>
      <c r="C71" s="1811"/>
      <c r="D71" s="770"/>
      <c r="E71" s="767">
        <f t="shared" ref="E71:W71" si="15">ROUND(E67,-2)</f>
        <v>3216200</v>
      </c>
      <c r="F71" s="767"/>
      <c r="G71" s="932">
        <f t="shared" si="15"/>
        <v>3395400</v>
      </c>
      <c r="H71" s="933"/>
      <c r="I71" s="932">
        <f>ROUND(I67,-2)</f>
        <v>3788900</v>
      </c>
      <c r="J71" s="933"/>
      <c r="K71" s="932">
        <f t="shared" si="15"/>
        <v>3696200</v>
      </c>
      <c r="L71" s="933"/>
      <c r="M71" s="932">
        <f t="shared" si="15"/>
        <v>3312800</v>
      </c>
      <c r="N71" s="933"/>
      <c r="O71" s="932">
        <f t="shared" si="15"/>
        <v>3247800</v>
      </c>
      <c r="P71" s="933"/>
      <c r="Q71" s="932">
        <f t="shared" si="15"/>
        <v>3319000</v>
      </c>
      <c r="R71" s="933"/>
      <c r="S71" s="932">
        <f t="shared" si="15"/>
        <v>3043000</v>
      </c>
      <c r="T71" s="933"/>
      <c r="U71" s="932">
        <f t="shared" si="15"/>
        <v>3542900</v>
      </c>
      <c r="V71" s="933"/>
      <c r="W71" s="932">
        <f t="shared" si="15"/>
        <v>3084900</v>
      </c>
      <c r="X71" s="933"/>
      <c r="Y71" s="932">
        <f>ROUND(Y67,-2)</f>
        <v>2350300</v>
      </c>
      <c r="Z71" s="933"/>
      <c r="AA71" s="932">
        <f>ROUND(AA67,-2)</f>
        <v>2080100</v>
      </c>
      <c r="AB71" s="933"/>
      <c r="AC71" s="932">
        <f>ROUND(AC67,-2)</f>
        <v>1452600</v>
      </c>
      <c r="AD71" s="933"/>
      <c r="AE71" s="933">
        <f>ROUND(AE67,-2)</f>
        <v>1449900</v>
      </c>
      <c r="AF71" s="934"/>
    </row>
    <row r="72" spans="1:32" x14ac:dyDescent="0.2">
      <c r="A72" s="921" t="s">
        <v>754</v>
      </c>
      <c r="B72" s="1042"/>
      <c r="C72" s="1811"/>
      <c r="D72" s="770"/>
      <c r="E72" s="767">
        <v>1200000</v>
      </c>
      <c r="F72" s="767"/>
      <c r="G72" s="932">
        <f>'Cash-Gen'!B75</f>
        <v>725000</v>
      </c>
      <c r="H72" s="933"/>
      <c r="I72" s="932">
        <f>'Cash-Gen'!C75</f>
        <v>500000</v>
      </c>
      <c r="J72" s="933"/>
      <c r="K72" s="932">
        <f>'Cash-Gen'!E75</f>
        <v>7611700</v>
      </c>
      <c r="L72" s="933"/>
      <c r="M72" s="932">
        <f>'Cash-Gen'!F75</f>
        <v>5927800</v>
      </c>
      <c r="N72" s="933"/>
      <c r="O72" s="932">
        <f>'Cash-Gen'!G75</f>
        <v>2500000</v>
      </c>
      <c r="P72" s="933"/>
      <c r="Q72" s="932">
        <f>'Cash-Gen'!H75</f>
        <v>0</v>
      </c>
      <c r="R72" s="933"/>
      <c r="S72" s="932">
        <f>'Cash-Gen'!I75</f>
        <v>8340000</v>
      </c>
      <c r="T72" s="933"/>
      <c r="U72" s="932">
        <f>'Cash-Gen'!J75</f>
        <v>0</v>
      </c>
      <c r="V72" s="933"/>
      <c r="W72" s="932">
        <f>'Cash-Gen'!K75</f>
        <v>0</v>
      </c>
      <c r="X72" s="933"/>
      <c r="Y72" s="932">
        <f>'Cash-Gen'!L75</f>
        <v>0</v>
      </c>
      <c r="Z72" s="933"/>
      <c r="AA72" s="932">
        <f>'Cash-Gen'!M75</f>
        <v>0</v>
      </c>
      <c r="AB72" s="933"/>
      <c r="AC72" s="932">
        <f>'Cash-Gen'!O75</f>
        <v>0</v>
      </c>
      <c r="AD72" s="933"/>
      <c r="AE72" s="933">
        <f>'Cash-Gen'!Q75</f>
        <v>0</v>
      </c>
      <c r="AF72" s="934"/>
    </row>
    <row r="73" spans="1:32" x14ac:dyDescent="0.2">
      <c r="A73" s="921"/>
      <c r="B73" s="1042"/>
      <c r="C73" s="1811"/>
      <c r="D73" s="770"/>
      <c r="E73" s="767"/>
      <c r="F73" s="767"/>
      <c r="G73" s="932"/>
      <c r="H73" s="933"/>
      <c r="I73" s="932"/>
      <c r="J73" s="933"/>
      <c r="K73" s="932"/>
      <c r="L73" s="933"/>
      <c r="M73" s="932"/>
      <c r="N73" s="933"/>
      <c r="O73" s="932"/>
      <c r="P73" s="933"/>
      <c r="Q73" s="932"/>
      <c r="R73" s="933"/>
      <c r="S73" s="932"/>
      <c r="T73" s="933"/>
      <c r="U73" s="932"/>
      <c r="V73" s="933"/>
      <c r="W73" s="932"/>
      <c r="X73" s="933"/>
      <c r="Y73" s="932"/>
      <c r="Z73" s="933"/>
      <c r="AA73" s="932"/>
      <c r="AB73" s="933"/>
      <c r="AC73" s="932"/>
      <c r="AD73" s="933"/>
      <c r="AE73" s="933"/>
      <c r="AF73" s="934"/>
    </row>
    <row r="74" spans="1:32" s="390" customFormat="1" ht="13.5" thickBot="1" x14ac:dyDescent="0.25">
      <c r="A74" s="778" t="s">
        <v>53</v>
      </c>
      <c r="B74" s="623"/>
      <c r="C74" s="1444"/>
      <c r="D74" s="1024"/>
      <c r="E74" s="1029">
        <f>E70-E71+E72</f>
        <v>26215000</v>
      </c>
      <c r="F74" s="1029"/>
      <c r="G74" s="1030">
        <f t="shared" ref="G74:W74" si="16">G70-G71+G72</f>
        <v>23544600</v>
      </c>
      <c r="H74" s="1031"/>
      <c r="I74" s="1030">
        <f t="shared" si="16"/>
        <v>20255700</v>
      </c>
      <c r="J74" s="1031"/>
      <c r="K74" s="1030">
        <f t="shared" si="16"/>
        <v>24171200</v>
      </c>
      <c r="L74" s="1031"/>
      <c r="M74" s="1030">
        <f t="shared" si="16"/>
        <v>26786200</v>
      </c>
      <c r="N74" s="1031"/>
      <c r="O74" s="1030">
        <f t="shared" si="16"/>
        <v>26038400</v>
      </c>
      <c r="P74" s="1031"/>
      <c r="Q74" s="1030">
        <f t="shared" si="16"/>
        <v>22719400</v>
      </c>
      <c r="R74" s="1031"/>
      <c r="S74" s="1030">
        <f t="shared" si="16"/>
        <v>28016400</v>
      </c>
      <c r="T74" s="1031"/>
      <c r="U74" s="1030">
        <f t="shared" si="16"/>
        <v>24473500</v>
      </c>
      <c r="V74" s="1031"/>
      <c r="W74" s="1030">
        <f t="shared" si="16"/>
        <v>21388600</v>
      </c>
      <c r="X74" s="1031"/>
      <c r="Y74" s="1030">
        <f>Y70-Y71+Y72</f>
        <v>19038300</v>
      </c>
      <c r="Z74" s="1031"/>
      <c r="AA74" s="1030">
        <f>AA70-AA71+AA72</f>
        <v>16958200</v>
      </c>
      <c r="AB74" s="1031"/>
      <c r="AC74" s="1030">
        <f>AC70-AC71+AC72</f>
        <v>15505600</v>
      </c>
      <c r="AD74" s="1031"/>
      <c r="AE74" s="1031">
        <f>AE70-AE71+AE72</f>
        <v>14055700</v>
      </c>
      <c r="AF74" s="1032"/>
    </row>
    <row r="75" spans="1:32" ht="13.5" thickBot="1" x14ac:dyDescent="0.25">
      <c r="A75" s="1033"/>
      <c r="B75" s="1045"/>
      <c r="C75" s="1045"/>
      <c r="D75" s="1034"/>
      <c r="E75" s="1034"/>
      <c r="F75" s="1034"/>
      <c r="G75" s="1034"/>
      <c r="H75" s="1034"/>
      <c r="I75" s="1034"/>
      <c r="J75" s="1034"/>
      <c r="K75" s="1034"/>
      <c r="L75" s="1034"/>
      <c r="M75" s="1034"/>
      <c r="N75" s="1034"/>
      <c r="O75" s="1034"/>
      <c r="P75" s="1034"/>
      <c r="Q75" s="1034"/>
      <c r="R75" s="1034"/>
      <c r="S75" s="1034"/>
      <c r="T75" s="1034"/>
      <c r="U75" s="1035"/>
      <c r="V75" s="1035"/>
      <c r="W75" s="1035"/>
      <c r="X75" s="1035"/>
      <c r="Y75" s="1034"/>
      <c r="Z75" s="1511"/>
      <c r="AA75" s="1035"/>
      <c r="AB75" s="2162"/>
      <c r="AC75" s="1035"/>
      <c r="AD75" s="2162"/>
      <c r="AE75" s="1035"/>
      <c r="AF75" s="1513"/>
    </row>
    <row r="76" spans="1:32" ht="13.5" thickTop="1" x14ac:dyDescent="0.2"/>
    <row r="77" spans="1:32" s="850" customFormat="1" ht="13.5" thickBot="1" x14ac:dyDescent="0.25">
      <c r="A77" s="1036"/>
      <c r="B77" s="1036"/>
      <c r="C77" s="1036"/>
      <c r="D77" s="1084"/>
      <c r="E77" s="1036"/>
      <c r="F77" s="1036"/>
      <c r="G77" s="1036"/>
      <c r="H77" s="1036"/>
      <c r="I77" s="1036"/>
      <c r="J77" s="1036"/>
      <c r="K77" s="1036"/>
      <c r="L77" s="1036"/>
      <c r="M77" s="1036"/>
      <c r="N77" s="1036"/>
      <c r="O77" s="1036"/>
      <c r="P77" s="1036"/>
      <c r="Q77" s="1036"/>
      <c r="R77" s="1036"/>
      <c r="S77" s="1036"/>
      <c r="T77" s="1036"/>
      <c r="U77" s="1036"/>
      <c r="V77" s="1036"/>
      <c r="W77" s="1036"/>
      <c r="X77" s="1036"/>
      <c r="Y77" s="1036"/>
      <c r="Z77" s="1036"/>
      <c r="AA77" s="1036"/>
      <c r="AC77" s="1036"/>
      <c r="AE77" s="1036"/>
    </row>
    <row r="78" spans="1:32" s="133" customFormat="1" ht="18.75" customHeight="1" thickTop="1" thickBot="1" x14ac:dyDescent="0.25">
      <c r="A78" s="2691" t="s">
        <v>1469</v>
      </c>
      <c r="B78" s="2692"/>
      <c r="C78" s="2692"/>
      <c r="D78" s="2692"/>
      <c r="E78" s="2692"/>
      <c r="F78" s="2692"/>
      <c r="G78" s="2692"/>
      <c r="H78" s="2692"/>
      <c r="I78" s="2692"/>
      <c r="J78" s="2692"/>
      <c r="K78" s="2692"/>
      <c r="L78" s="2692"/>
      <c r="M78" s="2692"/>
      <c r="N78" s="2692"/>
      <c r="O78" s="2692"/>
      <c r="P78" s="2692"/>
      <c r="Q78" s="2692"/>
      <c r="R78" s="2693"/>
    </row>
    <row r="79" spans="1:32" s="133" customFormat="1" ht="14.25" thickTop="1" thickBot="1" x14ac:dyDescent="0.25">
      <c r="A79" s="980" t="s">
        <v>422</v>
      </c>
      <c r="B79" s="981" t="s">
        <v>2267</v>
      </c>
      <c r="C79" s="981" t="s">
        <v>2268</v>
      </c>
      <c r="D79" s="982" t="s">
        <v>2269</v>
      </c>
      <c r="E79" s="989" t="str">
        <f>G3</f>
        <v>2014/15</v>
      </c>
      <c r="F79" s="985" t="str">
        <f>I3</f>
        <v>2015/16</v>
      </c>
      <c r="G79" s="983" t="str">
        <f>K3</f>
        <v>2016/17</v>
      </c>
      <c r="H79" s="983" t="str">
        <f>M3</f>
        <v>2017/18</v>
      </c>
      <c r="I79" s="983" t="str">
        <f>O3</f>
        <v>2018/19</v>
      </c>
      <c r="J79" s="983" t="str">
        <f>Q3</f>
        <v>2019/20</v>
      </c>
      <c r="K79" s="983" t="str">
        <f>S3</f>
        <v>2020/21</v>
      </c>
      <c r="L79" s="983" t="str">
        <f>U3</f>
        <v>2021/22</v>
      </c>
      <c r="M79" s="983" t="str">
        <f>W3</f>
        <v>2022/23</v>
      </c>
      <c r="N79" s="1108" t="str">
        <f>Y3</f>
        <v>2023/24</v>
      </c>
      <c r="O79" s="983" t="str">
        <f>AA3</f>
        <v>2024/25</v>
      </c>
      <c r="P79" s="983" t="str">
        <f>AC3</f>
        <v>2025/26</v>
      </c>
      <c r="Q79" s="2163" t="str">
        <f>AE3</f>
        <v>2026/27</v>
      </c>
      <c r="R79" s="984" t="s">
        <v>1530</v>
      </c>
    </row>
    <row r="80" spans="1:32" s="133" customFormat="1" x14ac:dyDescent="0.2">
      <c r="A80" s="824"/>
      <c r="B80" s="132"/>
      <c r="C80" s="132"/>
      <c r="D80" s="829"/>
      <c r="E80" s="914"/>
      <c r="F80" s="130"/>
      <c r="G80" s="132"/>
      <c r="H80" s="130"/>
      <c r="I80" s="132"/>
      <c r="J80" s="132"/>
      <c r="K80" s="132"/>
      <c r="L80" s="132"/>
      <c r="M80" s="132"/>
      <c r="N80" s="77"/>
      <c r="O80" s="132"/>
      <c r="P80" s="132"/>
      <c r="Q80" s="830"/>
      <c r="R80" s="131"/>
    </row>
    <row r="81" spans="1:31" s="133" customFormat="1" x14ac:dyDescent="0.2">
      <c r="A81" s="998" t="s">
        <v>4300</v>
      </c>
      <c r="B81" s="827">
        <v>8</v>
      </c>
      <c r="C81" s="1443">
        <v>3.5999999999999997E-2</v>
      </c>
      <c r="D81" s="829">
        <f>D154</f>
        <v>725000</v>
      </c>
      <c r="E81" s="987"/>
      <c r="F81" s="132">
        <f>IF(E172=0,0,ROUND(-PMT($C81,$B81,$D81),-3))</f>
        <v>106000</v>
      </c>
      <c r="G81" s="130">
        <f>IF(F172=0,0,ROUND(-PMT($C81,$B81,$D81),-3))</f>
        <v>106000</v>
      </c>
      <c r="H81" s="132">
        <f t="shared" ref="H81:Q81" si="17">IF(G172=0,0,ROUND(-PMT($C81,$B81,$D81),-3))</f>
        <v>106000</v>
      </c>
      <c r="I81" s="132">
        <f t="shared" si="17"/>
        <v>106000</v>
      </c>
      <c r="J81" s="132">
        <f t="shared" si="17"/>
        <v>106000</v>
      </c>
      <c r="K81" s="132">
        <f t="shared" si="17"/>
        <v>106000</v>
      </c>
      <c r="L81" s="132">
        <f t="shared" si="17"/>
        <v>106000</v>
      </c>
      <c r="M81" s="132">
        <f t="shared" si="17"/>
        <v>106000</v>
      </c>
      <c r="N81" s="77">
        <f t="shared" si="17"/>
        <v>0</v>
      </c>
      <c r="O81" s="132">
        <f t="shared" si="17"/>
        <v>0</v>
      </c>
      <c r="P81" s="132">
        <f t="shared" si="17"/>
        <v>0</v>
      </c>
      <c r="Q81" s="830">
        <f t="shared" si="17"/>
        <v>0</v>
      </c>
      <c r="R81" s="131">
        <f>SUM(E81:Q81)</f>
        <v>848000</v>
      </c>
    </row>
    <row r="82" spans="1:31" s="133" customFormat="1" x14ac:dyDescent="0.2">
      <c r="A82" s="998" t="s">
        <v>6297</v>
      </c>
      <c r="B82" s="827">
        <v>15</v>
      </c>
      <c r="C82" s="1443">
        <v>3.8899999999999997E-2</v>
      </c>
      <c r="D82" s="829">
        <v>900000</v>
      </c>
      <c r="E82" s="987"/>
      <c r="F82" s="132">
        <f t="shared" ref="F82:Q82" si="18">IF(E173=0,0,ROUND(-PMT($C82,$B82,$D82),-3))</f>
        <v>0</v>
      </c>
      <c r="G82" s="130">
        <f t="shared" si="18"/>
        <v>0</v>
      </c>
      <c r="H82" s="132">
        <f t="shared" si="18"/>
        <v>80000</v>
      </c>
      <c r="I82" s="132">
        <f t="shared" si="18"/>
        <v>80000</v>
      </c>
      <c r="J82" s="132">
        <f t="shared" si="18"/>
        <v>80000</v>
      </c>
      <c r="K82" s="132">
        <f t="shared" si="18"/>
        <v>80000</v>
      </c>
      <c r="L82" s="132">
        <f t="shared" si="18"/>
        <v>80000</v>
      </c>
      <c r="M82" s="132">
        <f t="shared" si="18"/>
        <v>80000</v>
      </c>
      <c r="N82" s="77">
        <f t="shared" si="18"/>
        <v>80000</v>
      </c>
      <c r="O82" s="132">
        <f t="shared" si="18"/>
        <v>80000</v>
      </c>
      <c r="P82" s="132">
        <f t="shared" si="18"/>
        <v>80000</v>
      </c>
      <c r="Q82" s="830">
        <f t="shared" si="18"/>
        <v>80000</v>
      </c>
      <c r="R82" s="131">
        <f t="shared" ref="R82:R86" si="19">SUM(E82:Q82)</f>
        <v>800000</v>
      </c>
    </row>
    <row r="83" spans="1:31" s="133" customFormat="1" x14ac:dyDescent="0.2">
      <c r="A83" s="998" t="s">
        <v>1410</v>
      </c>
      <c r="B83" s="827">
        <v>15</v>
      </c>
      <c r="C83" s="1443">
        <v>7.0000000000000007E-2</v>
      </c>
      <c r="D83" s="829">
        <f>D156</f>
        <v>0</v>
      </c>
      <c r="E83" s="987"/>
      <c r="F83" s="132">
        <f t="shared" ref="F83:Q83" si="20">IF(E174=0,0,ROUND(-PMT($C83,$B83,$D83),-3))</f>
        <v>0</v>
      </c>
      <c r="G83" s="130">
        <f t="shared" si="20"/>
        <v>0</v>
      </c>
      <c r="H83" s="132">
        <f t="shared" si="20"/>
        <v>0</v>
      </c>
      <c r="I83" s="132">
        <f t="shared" si="20"/>
        <v>0</v>
      </c>
      <c r="J83" s="132">
        <f t="shared" si="20"/>
        <v>0</v>
      </c>
      <c r="K83" s="132">
        <f t="shared" si="20"/>
        <v>0</v>
      </c>
      <c r="L83" s="132">
        <f t="shared" si="20"/>
        <v>0</v>
      </c>
      <c r="M83" s="132">
        <f t="shared" si="20"/>
        <v>0</v>
      </c>
      <c r="N83" s="77">
        <f t="shared" si="20"/>
        <v>0</v>
      </c>
      <c r="O83" s="132">
        <f t="shared" si="20"/>
        <v>0</v>
      </c>
      <c r="P83" s="132">
        <f t="shared" si="20"/>
        <v>0</v>
      </c>
      <c r="Q83" s="830">
        <f t="shared" si="20"/>
        <v>0</v>
      </c>
      <c r="R83" s="131">
        <f t="shared" si="19"/>
        <v>0</v>
      </c>
    </row>
    <row r="84" spans="1:31" s="133" customFormat="1" x14ac:dyDescent="0.2">
      <c r="A84" s="998" t="s">
        <v>6061</v>
      </c>
      <c r="B84" s="827">
        <v>10</v>
      </c>
      <c r="C84" s="1443">
        <v>3.5099999999999999E-2</v>
      </c>
      <c r="D84" s="829">
        <f>D157</f>
        <v>500000</v>
      </c>
      <c r="E84" s="987"/>
      <c r="F84" s="132">
        <f t="shared" ref="F84:Q84" si="21">IF(E175=0,0,ROUND(-PMT($C84,$B84,$D84),-3))</f>
        <v>0</v>
      </c>
      <c r="G84" s="130">
        <f t="shared" si="21"/>
        <v>60000</v>
      </c>
      <c r="H84" s="132">
        <f t="shared" si="21"/>
        <v>60000</v>
      </c>
      <c r="I84" s="132">
        <f t="shared" si="21"/>
        <v>60000</v>
      </c>
      <c r="J84" s="132">
        <f t="shared" si="21"/>
        <v>60000</v>
      </c>
      <c r="K84" s="132">
        <f t="shared" si="21"/>
        <v>60000</v>
      </c>
      <c r="L84" s="132">
        <f t="shared" si="21"/>
        <v>60000</v>
      </c>
      <c r="M84" s="132">
        <f t="shared" si="21"/>
        <v>60000</v>
      </c>
      <c r="N84" s="77">
        <f t="shared" si="21"/>
        <v>60000</v>
      </c>
      <c r="O84" s="132">
        <f t="shared" si="21"/>
        <v>60000</v>
      </c>
      <c r="P84" s="132">
        <f t="shared" si="21"/>
        <v>60000</v>
      </c>
      <c r="Q84" s="830">
        <f t="shared" si="21"/>
        <v>0</v>
      </c>
      <c r="R84" s="131">
        <f t="shared" si="19"/>
        <v>600000</v>
      </c>
    </row>
    <row r="85" spans="1:31" s="133" customFormat="1" x14ac:dyDescent="0.2">
      <c r="A85" s="998" t="s">
        <v>7141</v>
      </c>
      <c r="B85" s="827">
        <v>20</v>
      </c>
      <c r="C85" s="1443">
        <v>3.5000000000000003E-2</v>
      </c>
      <c r="D85" s="829">
        <f>'Cap Inc'!E149</f>
        <v>3818100</v>
      </c>
      <c r="E85" s="987"/>
      <c r="F85" s="132">
        <f t="shared" ref="F85:Q85" si="22">IF(E176=0,0,ROUND(-PMT($C85,$B85,$D85),-3))</f>
        <v>0</v>
      </c>
      <c r="G85" s="130">
        <f t="shared" si="22"/>
        <v>0</v>
      </c>
      <c r="H85" s="132">
        <f t="shared" si="22"/>
        <v>269000</v>
      </c>
      <c r="I85" s="132">
        <f t="shared" si="22"/>
        <v>269000</v>
      </c>
      <c r="J85" s="132">
        <f t="shared" si="22"/>
        <v>269000</v>
      </c>
      <c r="K85" s="132">
        <f t="shared" si="22"/>
        <v>269000</v>
      </c>
      <c r="L85" s="132">
        <f t="shared" si="22"/>
        <v>269000</v>
      </c>
      <c r="M85" s="132">
        <f t="shared" si="22"/>
        <v>269000</v>
      </c>
      <c r="N85" s="77">
        <f t="shared" si="22"/>
        <v>269000</v>
      </c>
      <c r="O85" s="132">
        <f t="shared" si="22"/>
        <v>269000</v>
      </c>
      <c r="P85" s="132">
        <f t="shared" si="22"/>
        <v>269000</v>
      </c>
      <c r="Q85" s="830">
        <f t="shared" si="22"/>
        <v>269000</v>
      </c>
      <c r="R85" s="131">
        <f t="shared" ref="R85" si="23">SUM(E85:Q85)</f>
        <v>2690000</v>
      </c>
    </row>
    <row r="86" spans="1:31" s="133" customFormat="1" x14ac:dyDescent="0.2">
      <c r="A86" s="998" t="s">
        <v>7143</v>
      </c>
      <c r="B86" s="827">
        <v>20</v>
      </c>
      <c r="C86" s="1443">
        <v>3.5000000000000003E-2</v>
      </c>
      <c r="D86" s="829">
        <f>'Cap Inc'!E150</f>
        <v>2893600</v>
      </c>
      <c r="E86" s="987"/>
      <c r="F86" s="132">
        <f t="shared" ref="F86:Q86" si="24">IF(E177=0,0,ROUND(-PMT($C86,$B86,$D86),-3))</f>
        <v>0</v>
      </c>
      <c r="G86" s="130">
        <f t="shared" si="24"/>
        <v>0</v>
      </c>
      <c r="H86" s="132">
        <f>IF(G177=0,0,ROUND(-PMT($C86,$B86,$D86),-3))</f>
        <v>204000</v>
      </c>
      <c r="I86" s="132">
        <f t="shared" si="24"/>
        <v>204000</v>
      </c>
      <c r="J86" s="132">
        <f t="shared" si="24"/>
        <v>204000</v>
      </c>
      <c r="K86" s="132">
        <f t="shared" si="24"/>
        <v>204000</v>
      </c>
      <c r="L86" s="132">
        <f t="shared" si="24"/>
        <v>204000</v>
      </c>
      <c r="M86" s="132">
        <f t="shared" si="24"/>
        <v>204000</v>
      </c>
      <c r="N86" s="77">
        <f t="shared" si="24"/>
        <v>204000</v>
      </c>
      <c r="O86" s="132">
        <f t="shared" si="24"/>
        <v>204000</v>
      </c>
      <c r="P86" s="132">
        <f t="shared" si="24"/>
        <v>204000</v>
      </c>
      <c r="Q86" s="830">
        <f t="shared" si="24"/>
        <v>204000</v>
      </c>
      <c r="R86" s="131">
        <f t="shared" si="19"/>
        <v>2040000</v>
      </c>
    </row>
    <row r="87" spans="1:31" s="133" customFormat="1" x14ac:dyDescent="0.2">
      <c r="A87" s="998" t="s">
        <v>7144</v>
      </c>
      <c r="B87" s="827">
        <v>20</v>
      </c>
      <c r="C87" s="1443">
        <v>0.04</v>
      </c>
      <c r="D87" s="829">
        <f>'Cap Inc'!F149</f>
        <v>3309500</v>
      </c>
      <c r="E87" s="987"/>
      <c r="F87" s="132">
        <f t="shared" ref="F87:Q87" si="25">IF(E178=0,0,ROUND(-PMT($C87,$B87,$D87),-3))</f>
        <v>0</v>
      </c>
      <c r="G87" s="130">
        <f t="shared" si="25"/>
        <v>0</v>
      </c>
      <c r="H87" s="132">
        <f>IF(G178=0,0,ROUND(-PMT($C87,$B87,$D87),-3))</f>
        <v>0</v>
      </c>
      <c r="I87" s="132">
        <f t="shared" si="25"/>
        <v>244000</v>
      </c>
      <c r="J87" s="132">
        <f t="shared" si="25"/>
        <v>244000</v>
      </c>
      <c r="K87" s="132">
        <f t="shared" si="25"/>
        <v>244000</v>
      </c>
      <c r="L87" s="132">
        <f t="shared" si="25"/>
        <v>244000</v>
      </c>
      <c r="M87" s="132">
        <f t="shared" si="25"/>
        <v>244000</v>
      </c>
      <c r="N87" s="77">
        <f t="shared" si="25"/>
        <v>244000</v>
      </c>
      <c r="O87" s="132">
        <f t="shared" si="25"/>
        <v>244000</v>
      </c>
      <c r="P87" s="132">
        <f t="shared" si="25"/>
        <v>244000</v>
      </c>
      <c r="Q87" s="830">
        <f t="shared" si="25"/>
        <v>244000</v>
      </c>
      <c r="R87" s="131">
        <f t="shared" ref="R87:R90" si="26">SUM(E87:Q87)</f>
        <v>2196000</v>
      </c>
    </row>
    <row r="88" spans="1:31" s="133" customFormat="1" x14ac:dyDescent="0.2">
      <c r="A88" s="998" t="s">
        <v>7142</v>
      </c>
      <c r="B88" s="827">
        <v>20</v>
      </c>
      <c r="C88" s="1443">
        <v>0.04</v>
      </c>
      <c r="D88" s="829">
        <f>'Cap Inc'!F150</f>
        <v>2618300</v>
      </c>
      <c r="E88" s="987"/>
      <c r="F88" s="132">
        <f t="shared" ref="F88:Q88" si="27">IF(E179=0,0,ROUND(-PMT($C88,$B88,$D88),-3))</f>
        <v>0</v>
      </c>
      <c r="G88" s="130">
        <f t="shared" si="27"/>
        <v>0</v>
      </c>
      <c r="H88" s="132">
        <f t="shared" si="27"/>
        <v>0</v>
      </c>
      <c r="I88" s="132">
        <f t="shared" si="27"/>
        <v>193000</v>
      </c>
      <c r="J88" s="132">
        <f t="shared" si="27"/>
        <v>193000</v>
      </c>
      <c r="K88" s="132">
        <f t="shared" si="27"/>
        <v>193000</v>
      </c>
      <c r="L88" s="132">
        <f t="shared" si="27"/>
        <v>193000</v>
      </c>
      <c r="M88" s="132">
        <f t="shared" si="27"/>
        <v>193000</v>
      </c>
      <c r="N88" s="77">
        <f t="shared" si="27"/>
        <v>193000</v>
      </c>
      <c r="O88" s="132">
        <f t="shared" si="27"/>
        <v>193000</v>
      </c>
      <c r="P88" s="132">
        <f t="shared" si="27"/>
        <v>193000</v>
      </c>
      <c r="Q88" s="830">
        <f t="shared" si="27"/>
        <v>193000</v>
      </c>
      <c r="R88" s="131">
        <f t="shared" si="26"/>
        <v>1737000</v>
      </c>
    </row>
    <row r="89" spans="1:31" s="133" customFormat="1" x14ac:dyDescent="0.2">
      <c r="A89" s="998" t="s">
        <v>6027</v>
      </c>
      <c r="B89" s="827">
        <v>10</v>
      </c>
      <c r="C89" s="1443">
        <v>0.04</v>
      </c>
      <c r="D89" s="829">
        <f>'Cap Inc'!G143</f>
        <v>2500000</v>
      </c>
      <c r="E89" s="987"/>
      <c r="F89" s="132">
        <f t="shared" ref="F89:Q89" si="28">IF(E180=0,0,ROUND(-PMT($C89,$B89,$D89),-3))</f>
        <v>0</v>
      </c>
      <c r="G89" s="130">
        <f t="shared" si="28"/>
        <v>0</v>
      </c>
      <c r="H89" s="132">
        <f t="shared" si="28"/>
        <v>0</v>
      </c>
      <c r="I89" s="132">
        <f t="shared" si="28"/>
        <v>0</v>
      </c>
      <c r="J89" s="132">
        <f t="shared" si="28"/>
        <v>308000</v>
      </c>
      <c r="K89" s="132">
        <f t="shared" si="28"/>
        <v>308000</v>
      </c>
      <c r="L89" s="132">
        <f t="shared" si="28"/>
        <v>308000</v>
      </c>
      <c r="M89" s="132">
        <f t="shared" si="28"/>
        <v>308000</v>
      </c>
      <c r="N89" s="77">
        <f t="shared" si="28"/>
        <v>308000</v>
      </c>
      <c r="O89" s="132">
        <f t="shared" si="28"/>
        <v>308000</v>
      </c>
      <c r="P89" s="132">
        <f t="shared" si="28"/>
        <v>308000</v>
      </c>
      <c r="Q89" s="830">
        <f t="shared" si="28"/>
        <v>308000</v>
      </c>
      <c r="R89" s="131">
        <f t="shared" si="26"/>
        <v>2464000</v>
      </c>
    </row>
    <row r="90" spans="1:31" s="133" customFormat="1" x14ac:dyDescent="0.2">
      <c r="A90" s="998" t="s">
        <v>6036</v>
      </c>
      <c r="B90" s="827">
        <v>15</v>
      </c>
      <c r="C90" s="1443">
        <v>0.04</v>
      </c>
      <c r="D90" s="829">
        <f>'Cap Inc'!I144+'Cap Inc'!I145+'Cap Inc'!I146</f>
        <v>8340000</v>
      </c>
      <c r="E90" s="987"/>
      <c r="F90" s="132">
        <f t="shared" ref="F90:Q90" si="29">IF(E181=0,0,ROUND(-PMT($C90,$B90,$D90),-3))</f>
        <v>0</v>
      </c>
      <c r="G90" s="130">
        <f t="shared" si="29"/>
        <v>0</v>
      </c>
      <c r="H90" s="132">
        <f t="shared" si="29"/>
        <v>0</v>
      </c>
      <c r="I90" s="132">
        <f t="shared" si="29"/>
        <v>0</v>
      </c>
      <c r="J90" s="132">
        <f t="shared" si="29"/>
        <v>0</v>
      </c>
      <c r="K90" s="132">
        <f t="shared" si="29"/>
        <v>0</v>
      </c>
      <c r="L90" s="132">
        <f>IF(K181=0,0,ROUND(-PMT($C90,$B90,$D90),-3))</f>
        <v>750000</v>
      </c>
      <c r="M90" s="132">
        <f t="shared" si="29"/>
        <v>750000</v>
      </c>
      <c r="N90" s="77">
        <f t="shared" si="29"/>
        <v>750000</v>
      </c>
      <c r="O90" s="132">
        <f t="shared" si="29"/>
        <v>750000</v>
      </c>
      <c r="P90" s="132">
        <f t="shared" si="29"/>
        <v>750000</v>
      </c>
      <c r="Q90" s="830">
        <f t="shared" si="29"/>
        <v>750000</v>
      </c>
      <c r="R90" s="131">
        <f t="shared" si="26"/>
        <v>4500000</v>
      </c>
    </row>
    <row r="91" spans="1:31" s="133" customFormat="1" ht="13.5" thickBot="1" x14ac:dyDescent="0.25">
      <c r="A91" s="826"/>
      <c r="B91" s="827"/>
      <c r="C91" s="828"/>
      <c r="D91" s="829"/>
      <c r="E91" s="987"/>
      <c r="F91" s="130"/>
      <c r="G91" s="132"/>
      <c r="H91" s="130"/>
      <c r="I91" s="132"/>
      <c r="J91" s="132"/>
      <c r="K91" s="132"/>
      <c r="L91" s="132"/>
      <c r="M91" s="132"/>
      <c r="N91" s="331"/>
      <c r="O91" s="835"/>
      <c r="P91" s="835"/>
      <c r="Q91" s="849"/>
      <c r="R91" s="131"/>
    </row>
    <row r="92" spans="1:31" s="92" customFormat="1" ht="13.5" thickTop="1" x14ac:dyDescent="0.2">
      <c r="A92" s="1040" t="s">
        <v>1530</v>
      </c>
      <c r="B92" s="505"/>
      <c r="C92" s="832"/>
      <c r="D92" s="833">
        <f>SUM(D83:D86)</f>
        <v>7211700</v>
      </c>
      <c r="E92" s="1488">
        <f t="shared" ref="E92:F92" si="30">SUM(E81:E91)</f>
        <v>0</v>
      </c>
      <c r="F92" s="122">
        <f t="shared" si="30"/>
        <v>106000</v>
      </c>
      <c r="G92" s="162">
        <f>SUM(G81:G91)</f>
        <v>166000</v>
      </c>
      <c r="H92" s="122">
        <f t="shared" ref="H92:R92" si="31">SUM(H81:H91)</f>
        <v>719000</v>
      </c>
      <c r="I92" s="162">
        <f t="shared" si="31"/>
        <v>1156000</v>
      </c>
      <c r="J92" s="162">
        <f t="shared" si="31"/>
        <v>1464000</v>
      </c>
      <c r="K92" s="162">
        <f t="shared" si="31"/>
        <v>1464000</v>
      </c>
      <c r="L92" s="162">
        <f t="shared" si="31"/>
        <v>2214000</v>
      </c>
      <c r="M92" s="162">
        <f t="shared" si="31"/>
        <v>2214000</v>
      </c>
      <c r="N92" s="387">
        <f t="shared" si="31"/>
        <v>2108000</v>
      </c>
      <c r="O92" s="162">
        <f t="shared" si="31"/>
        <v>2108000</v>
      </c>
      <c r="P92" s="162">
        <f t="shared" si="31"/>
        <v>2108000</v>
      </c>
      <c r="Q92" s="385">
        <f t="shared" si="31"/>
        <v>2048000</v>
      </c>
      <c r="R92" s="126">
        <f t="shared" si="31"/>
        <v>17875000</v>
      </c>
    </row>
    <row r="93" spans="1:31" s="133" customFormat="1" ht="13.5" thickBot="1" x14ac:dyDescent="0.25">
      <c r="A93" s="834"/>
      <c r="B93" s="835"/>
      <c r="C93" s="835"/>
      <c r="D93" s="1070"/>
      <c r="E93" s="988"/>
      <c r="F93" s="836"/>
      <c r="G93" s="835"/>
      <c r="H93" s="836"/>
      <c r="I93" s="835"/>
      <c r="J93" s="835"/>
      <c r="K93" s="835"/>
      <c r="L93" s="835"/>
      <c r="M93" s="835"/>
      <c r="N93" s="331"/>
      <c r="O93" s="835"/>
      <c r="P93" s="835"/>
      <c r="Q93" s="849"/>
      <c r="R93" s="837"/>
    </row>
    <row r="94" spans="1:31" s="779" customFormat="1" ht="14.25" thickTop="1" thickBot="1" x14ac:dyDescent="0.25">
      <c r="A94" s="1039"/>
      <c r="B94" s="1039"/>
      <c r="C94" s="1039"/>
      <c r="D94" s="1084"/>
      <c r="E94" s="1039"/>
      <c r="F94" s="1039"/>
      <c r="G94" s="1039"/>
      <c r="H94" s="1039"/>
      <c r="I94" s="1039"/>
      <c r="J94" s="1039"/>
      <c r="K94" s="1039"/>
      <c r="L94" s="1039"/>
      <c r="M94" s="1039"/>
      <c r="N94" s="1039"/>
      <c r="O94" s="1039"/>
      <c r="P94" s="1039"/>
      <c r="Q94" s="1039"/>
      <c r="R94" s="1039"/>
      <c r="S94" s="1039"/>
      <c r="T94" s="1039"/>
      <c r="U94" s="1039"/>
      <c r="V94" s="1039"/>
      <c r="W94" s="1039"/>
      <c r="X94" s="1039"/>
      <c r="Y94" s="1039"/>
      <c r="Z94" s="1039"/>
      <c r="AA94" s="1039"/>
      <c r="AC94" s="1039"/>
      <c r="AE94" s="1039"/>
    </row>
    <row r="95" spans="1:31" s="133" customFormat="1" ht="18" customHeight="1" thickTop="1" thickBot="1" x14ac:dyDescent="0.25">
      <c r="A95" s="2691" t="s">
        <v>488</v>
      </c>
      <c r="B95" s="2692"/>
      <c r="C95" s="2692"/>
      <c r="D95" s="2692"/>
      <c r="E95" s="2692"/>
      <c r="F95" s="2692"/>
      <c r="G95" s="2692"/>
      <c r="H95" s="2692"/>
      <c r="I95" s="2692"/>
      <c r="J95" s="2692"/>
      <c r="K95" s="2692"/>
      <c r="L95" s="2692"/>
      <c r="M95" s="2692"/>
      <c r="N95" s="2692"/>
      <c r="O95" s="2692"/>
      <c r="P95" s="2692"/>
      <c r="Q95" s="2692"/>
      <c r="R95" s="2693"/>
    </row>
    <row r="96" spans="1:31" s="133" customFormat="1" ht="14.25" thickTop="1" thickBot="1" x14ac:dyDescent="0.25">
      <c r="A96" s="980" t="s">
        <v>1273</v>
      </c>
      <c r="B96" s="981" t="str">
        <f>B79</f>
        <v>Term</v>
      </c>
      <c r="C96" s="981" t="str">
        <f>C79</f>
        <v>Rate</v>
      </c>
      <c r="D96" s="982" t="s">
        <v>2487</v>
      </c>
      <c r="E96" s="1418" t="s">
        <v>897</v>
      </c>
      <c r="F96" s="985" t="str">
        <f t="shared" ref="F96:N96" si="32">F79</f>
        <v>2015/16</v>
      </c>
      <c r="G96" s="985" t="str">
        <f t="shared" si="32"/>
        <v>2016/17</v>
      </c>
      <c r="H96" s="985" t="str">
        <f t="shared" si="32"/>
        <v>2017/18</v>
      </c>
      <c r="I96" s="985" t="str">
        <f t="shared" si="32"/>
        <v>2018/19</v>
      </c>
      <c r="J96" s="985" t="str">
        <f t="shared" si="32"/>
        <v>2019/20</v>
      </c>
      <c r="K96" s="985" t="str">
        <f t="shared" si="32"/>
        <v>2020/21</v>
      </c>
      <c r="L96" s="985" t="str">
        <f t="shared" si="32"/>
        <v>2021/22</v>
      </c>
      <c r="M96" s="985" t="str">
        <f t="shared" si="32"/>
        <v>2022/23</v>
      </c>
      <c r="N96" s="983" t="str">
        <f t="shared" si="32"/>
        <v>2023/24</v>
      </c>
      <c r="O96" s="1739" t="s">
        <v>4299</v>
      </c>
      <c r="P96" s="1739" t="s">
        <v>6056</v>
      </c>
      <c r="Q96" s="2694" t="s">
        <v>7037</v>
      </c>
      <c r="R96" s="984" t="str">
        <f>R79</f>
        <v>Total</v>
      </c>
    </row>
    <row r="97" spans="1:18" s="133" customFormat="1" x14ac:dyDescent="0.2">
      <c r="A97" s="998"/>
      <c r="B97" s="132"/>
      <c r="C97" s="132"/>
      <c r="D97" s="829"/>
      <c r="E97" s="914"/>
      <c r="F97" s="130"/>
      <c r="G97" s="132"/>
      <c r="H97" s="130"/>
      <c r="I97" s="132"/>
      <c r="J97" s="132"/>
      <c r="K97" s="132"/>
      <c r="L97" s="132"/>
      <c r="M97" s="132"/>
      <c r="N97" s="132"/>
      <c r="O97" s="132"/>
      <c r="P97" s="132"/>
      <c r="Q97" s="830"/>
      <c r="R97" s="131"/>
    </row>
    <row r="98" spans="1:18" s="133" customFormat="1" x14ac:dyDescent="0.2">
      <c r="A98" s="998" t="s">
        <v>4300</v>
      </c>
      <c r="B98" s="827"/>
      <c r="C98" s="978">
        <v>3.8899999999999997E-2</v>
      </c>
      <c r="D98" s="829">
        <f>D81</f>
        <v>725000</v>
      </c>
      <c r="E98" s="987"/>
      <c r="F98" s="130"/>
      <c r="G98" s="132"/>
      <c r="H98" s="132"/>
      <c r="I98" s="132"/>
      <c r="J98" s="132"/>
      <c r="K98" s="132"/>
      <c r="L98" s="132"/>
      <c r="M98" s="132"/>
      <c r="N98" s="132"/>
      <c r="O98" s="132"/>
      <c r="P98" s="132"/>
      <c r="Q98" s="830"/>
      <c r="R98" s="131"/>
    </row>
    <row r="99" spans="1:18" s="133" customFormat="1" x14ac:dyDescent="0.2">
      <c r="A99" s="935"/>
      <c r="B99" s="827"/>
      <c r="C99" s="1443"/>
      <c r="D99" s="829" t="s">
        <v>2604</v>
      </c>
      <c r="E99" s="894"/>
      <c r="F99" s="132">
        <v>78900</v>
      </c>
      <c r="G99" s="132">
        <v>82000</v>
      </c>
      <c r="H99" s="132">
        <v>85300</v>
      </c>
      <c r="I99" s="132">
        <v>88600</v>
      </c>
      <c r="J99" s="132">
        <v>92100</v>
      </c>
      <c r="K99" s="132">
        <v>95700</v>
      </c>
      <c r="L99" s="132">
        <v>99400</v>
      </c>
      <c r="M99" s="132">
        <v>103000</v>
      </c>
      <c r="N99" s="132">
        <v>0</v>
      </c>
      <c r="O99" s="132"/>
      <c r="P99" s="132"/>
      <c r="Q99" s="830"/>
      <c r="R99" s="131">
        <f>SUM(E99:Q99)</f>
        <v>725000</v>
      </c>
    </row>
    <row r="100" spans="1:18" s="133" customFormat="1" x14ac:dyDescent="0.2">
      <c r="A100" s="935"/>
      <c r="B100" s="827"/>
      <c r="C100" s="1443"/>
      <c r="D100" s="829" t="s">
        <v>2671</v>
      </c>
      <c r="E100" s="894"/>
      <c r="F100" s="130">
        <v>27400</v>
      </c>
      <c r="G100" s="130">
        <v>24300</v>
      </c>
      <c r="H100" s="130">
        <v>21100</v>
      </c>
      <c r="I100" s="130">
        <v>17800</v>
      </c>
      <c r="J100" s="130">
        <v>14300</v>
      </c>
      <c r="K100" s="130">
        <v>10700</v>
      </c>
      <c r="L100" s="130">
        <v>6900</v>
      </c>
      <c r="M100" s="130">
        <v>3000</v>
      </c>
      <c r="N100" s="130">
        <f t="shared" ref="N100" si="33">IF(N81&gt;0,ROUND(M101*$C$81,-3),0)</f>
        <v>0</v>
      </c>
      <c r="O100" s="132"/>
      <c r="P100" s="132"/>
      <c r="Q100" s="830"/>
      <c r="R100" s="131">
        <f>SUM(E100:Q100)</f>
        <v>125500</v>
      </c>
    </row>
    <row r="101" spans="1:18" s="92" customFormat="1" x14ac:dyDescent="0.2">
      <c r="A101" s="943"/>
      <c r="B101" s="179"/>
      <c r="C101" s="1443"/>
      <c r="D101" s="839" t="s">
        <v>1275</v>
      </c>
      <c r="E101" s="1515">
        <f>IF(E172=0,0,$D98-SUM($E99:E99))</f>
        <v>725000</v>
      </c>
      <c r="F101" s="128">
        <f>IF(F172=0,0,$D98-SUM($E99:F99))</f>
        <v>646100</v>
      </c>
      <c r="G101" s="64">
        <f>IF(G172=0,0,$D98-SUM($E99:G99))</f>
        <v>564100</v>
      </c>
      <c r="H101" s="128">
        <f>IF(H172=0,0,$D98-SUM($E99:H99))</f>
        <v>478800</v>
      </c>
      <c r="I101" s="128">
        <f>IF(I172=0,0,$D98-SUM($E99:I99))</f>
        <v>390200</v>
      </c>
      <c r="J101" s="128">
        <f>IF(J172=0,0,$D98-SUM($E99:J99))</f>
        <v>298100</v>
      </c>
      <c r="K101" s="128">
        <f>IF(K172=0,0,$D98-SUM($E99:K99))</f>
        <v>202400</v>
      </c>
      <c r="L101" s="128">
        <f>IF(L172=0,0,$D98-SUM($E99:L99))</f>
        <v>103000</v>
      </c>
      <c r="M101" s="128">
        <f>IF(M172=0,0,$D98-SUM($E99:M99))</f>
        <v>0</v>
      </c>
      <c r="N101" s="64">
        <f>IF(N172=0,0,$D98-SUM($E99:N99))</f>
        <v>0</v>
      </c>
      <c r="O101" s="64">
        <f>IF(O172=0,0,$D98-SUM($E99:O99))</f>
        <v>0</v>
      </c>
      <c r="P101" s="64">
        <f>IF(Q172=0,0,$D98-SUM($E99:P99))</f>
        <v>0</v>
      </c>
      <c r="Q101" s="117">
        <f>IF(R172=0,0,$D98-SUM($E99:Q99))</f>
        <v>0</v>
      </c>
      <c r="R101" s="115"/>
    </row>
    <row r="102" spans="1:18" s="92" customFormat="1" x14ac:dyDescent="0.2">
      <c r="A102" s="943"/>
      <c r="B102" s="179"/>
      <c r="C102" s="1443"/>
      <c r="D102" s="839"/>
      <c r="E102" s="1515"/>
      <c r="F102" s="128"/>
      <c r="G102" s="64"/>
      <c r="H102" s="128"/>
      <c r="I102" s="128"/>
      <c r="J102" s="128"/>
      <c r="K102" s="128"/>
      <c r="L102" s="128"/>
      <c r="M102" s="128"/>
      <c r="N102" s="64"/>
      <c r="O102" s="64"/>
      <c r="P102" s="64"/>
      <c r="Q102" s="117"/>
      <c r="R102" s="115"/>
    </row>
    <row r="103" spans="1:18" s="92" customFormat="1" x14ac:dyDescent="0.2">
      <c r="A103" s="998" t="s">
        <v>6297</v>
      </c>
      <c r="B103" s="827"/>
      <c r="C103" s="978">
        <v>3.8899999999999997E-2</v>
      </c>
      <c r="D103" s="829">
        <v>900000</v>
      </c>
      <c r="E103" s="987"/>
      <c r="F103" s="130"/>
      <c r="G103" s="132"/>
      <c r="H103" s="132"/>
      <c r="I103" s="132"/>
      <c r="J103" s="132"/>
      <c r="K103" s="132"/>
      <c r="L103" s="132"/>
      <c r="M103" s="132"/>
      <c r="N103" s="132"/>
      <c r="O103" s="132"/>
      <c r="P103" s="132"/>
      <c r="Q103" s="830"/>
      <c r="R103" s="131"/>
    </row>
    <row r="104" spans="1:18" s="92" customFormat="1" x14ac:dyDescent="0.2">
      <c r="A104" s="935"/>
      <c r="B104" s="827"/>
      <c r="C104" s="1443"/>
      <c r="D104" s="829" t="s">
        <v>2604</v>
      </c>
      <c r="E104" s="894"/>
      <c r="F104" s="132"/>
      <c r="G104" s="132"/>
      <c r="H104" s="132">
        <v>45200</v>
      </c>
      <c r="I104" s="132">
        <v>47000</v>
      </c>
      <c r="J104" s="132">
        <v>48800</v>
      </c>
      <c r="K104" s="132">
        <v>50700</v>
      </c>
      <c r="L104" s="132">
        <v>52700</v>
      </c>
      <c r="M104" s="132">
        <v>54800</v>
      </c>
      <c r="N104" s="132">
        <v>57000</v>
      </c>
      <c r="O104" s="132">
        <v>59100</v>
      </c>
      <c r="P104" s="132">
        <v>61500</v>
      </c>
      <c r="Q104" s="830">
        <v>64000</v>
      </c>
      <c r="R104" s="131">
        <f>SUM(E104:Q104)</f>
        <v>540800</v>
      </c>
    </row>
    <row r="105" spans="1:18" s="92" customFormat="1" x14ac:dyDescent="0.2">
      <c r="A105" s="935"/>
      <c r="B105" s="827"/>
      <c r="C105" s="1443"/>
      <c r="D105" s="829" t="s">
        <v>2671</v>
      </c>
      <c r="E105" s="894"/>
      <c r="F105" s="130"/>
      <c r="G105" s="130"/>
      <c r="H105" s="130">
        <v>34600</v>
      </c>
      <c r="I105" s="130">
        <v>32800</v>
      </c>
      <c r="J105" s="130">
        <v>31000</v>
      </c>
      <c r="K105" s="130">
        <v>29000</v>
      </c>
      <c r="L105" s="130">
        <v>27000</v>
      </c>
      <c r="M105" s="130">
        <v>25000</v>
      </c>
      <c r="N105" s="130">
        <v>22800</v>
      </c>
      <c r="O105" s="132">
        <v>20600</v>
      </c>
      <c r="P105" s="132">
        <v>18300</v>
      </c>
      <c r="Q105" s="830">
        <f>P104+P105-Q104</f>
        <v>15800</v>
      </c>
      <c r="R105" s="131">
        <f>SUM(E105:Q105)</f>
        <v>256900</v>
      </c>
    </row>
    <row r="106" spans="1:18" s="92" customFormat="1" x14ac:dyDescent="0.2">
      <c r="A106" s="943"/>
      <c r="B106" s="179"/>
      <c r="C106" s="1443"/>
      <c r="D106" s="839" t="s">
        <v>1275</v>
      </c>
      <c r="E106" s="1515">
        <f>IF(E177=0,0,$D103-SUM($E104:E104))</f>
        <v>0</v>
      </c>
      <c r="F106" s="128">
        <f>IF(F177=0,0,$D103-SUM($E104:F104))</f>
        <v>0</v>
      </c>
      <c r="G106" s="64">
        <f>IF(G177=0,0,$D103-SUM($E104:G104))</f>
        <v>900000</v>
      </c>
      <c r="H106" s="128">
        <f>IF(H177=0,0,$D103-SUM($E104:H104))</f>
        <v>854800</v>
      </c>
      <c r="I106" s="128">
        <f>IF(I177=0,0,$D103-SUM($E104:I104))</f>
        <v>807800</v>
      </c>
      <c r="J106" s="128">
        <f>IF(J177=0,0,$D103-SUM($E104:J104))</f>
        <v>759000</v>
      </c>
      <c r="K106" s="128">
        <f>IF(K177=0,0,$D103-SUM($E104:K104))</f>
        <v>708300</v>
      </c>
      <c r="L106" s="128">
        <f>IF(L177=0,0,$D103-SUM($E104:L104))</f>
        <v>655600</v>
      </c>
      <c r="M106" s="128">
        <f>IF(M177=0,0,$D103-SUM($E104:M104))</f>
        <v>600800</v>
      </c>
      <c r="N106" s="64">
        <f>IF(N177=0,0,$D103-SUM($E104:N104))</f>
        <v>543800</v>
      </c>
      <c r="O106" s="64">
        <f>IF(O177=0,0,$D103-SUM($E104:O104))</f>
        <v>484700</v>
      </c>
      <c r="P106" s="64">
        <f>IF(P177=0,0,$D103-SUM($E104:P104))</f>
        <v>423200</v>
      </c>
      <c r="Q106" s="117">
        <f>IF(Q177=0,0,$D103-SUM($E104:Q104))</f>
        <v>359200</v>
      </c>
      <c r="R106" s="115"/>
    </row>
    <row r="107" spans="1:18" s="92" customFormat="1" x14ac:dyDescent="0.2">
      <c r="A107" s="943"/>
      <c r="B107" s="179"/>
      <c r="C107" s="1443"/>
      <c r="D107" s="839"/>
      <c r="E107" s="1515"/>
      <c r="F107" s="128"/>
      <c r="G107" s="64"/>
      <c r="H107" s="128"/>
      <c r="I107" s="128"/>
      <c r="J107" s="128"/>
      <c r="K107" s="128"/>
      <c r="L107" s="128"/>
      <c r="M107" s="128"/>
      <c r="N107" s="64"/>
      <c r="O107" s="64"/>
      <c r="P107" s="64"/>
      <c r="Q107" s="117"/>
      <c r="R107" s="115"/>
    </row>
    <row r="108" spans="1:18" s="133" customFormat="1" x14ac:dyDescent="0.2">
      <c r="A108" s="935" t="str">
        <f>A83</f>
        <v>Hutley Drive</v>
      </c>
      <c r="B108" s="827"/>
      <c r="C108" s="1443">
        <f>C83</f>
        <v>7.0000000000000007E-2</v>
      </c>
      <c r="D108" s="829">
        <f>D83</f>
        <v>0</v>
      </c>
      <c r="E108" s="987"/>
      <c r="F108" s="130"/>
      <c r="G108" s="132"/>
      <c r="H108" s="132"/>
      <c r="I108" s="132"/>
      <c r="J108" s="132"/>
      <c r="K108" s="132"/>
      <c r="L108" s="132"/>
      <c r="M108" s="132"/>
      <c r="N108" s="132"/>
      <c r="O108" s="132"/>
      <c r="P108" s="132"/>
      <c r="Q108" s="830"/>
      <c r="R108" s="131"/>
    </row>
    <row r="109" spans="1:18" s="133" customFormat="1" x14ac:dyDescent="0.2">
      <c r="A109" s="935"/>
      <c r="B109" s="827"/>
      <c r="C109" s="1443"/>
      <c r="D109" s="829" t="s">
        <v>2604</v>
      </c>
      <c r="E109" s="987"/>
      <c r="F109" s="132">
        <f t="shared" ref="F109:Q109" si="34">IF(F83=0,0,-ROUND(PMT($C$83,$B$83,$D$83),-3)-F110)</f>
        <v>0</v>
      </c>
      <c r="G109" s="132">
        <f t="shared" si="34"/>
        <v>0</v>
      </c>
      <c r="H109" s="132">
        <f t="shared" si="34"/>
        <v>0</v>
      </c>
      <c r="I109" s="132">
        <f t="shared" si="34"/>
        <v>0</v>
      </c>
      <c r="J109" s="132">
        <f t="shared" si="34"/>
        <v>0</v>
      </c>
      <c r="K109" s="132">
        <f t="shared" si="34"/>
        <v>0</v>
      </c>
      <c r="L109" s="132">
        <f t="shared" si="34"/>
        <v>0</v>
      </c>
      <c r="M109" s="132">
        <f t="shared" si="34"/>
        <v>0</v>
      </c>
      <c r="N109" s="132">
        <f t="shared" si="34"/>
        <v>0</v>
      </c>
      <c r="O109" s="132">
        <f t="shared" si="34"/>
        <v>0</v>
      </c>
      <c r="P109" s="132">
        <f t="shared" si="34"/>
        <v>0</v>
      </c>
      <c r="Q109" s="830">
        <f t="shared" si="34"/>
        <v>0</v>
      </c>
      <c r="R109" s="131">
        <f>SUM(E109:Q109)</f>
        <v>0</v>
      </c>
    </row>
    <row r="110" spans="1:18" s="133" customFormat="1" x14ac:dyDescent="0.2">
      <c r="A110" s="935"/>
      <c r="B110" s="827"/>
      <c r="C110" s="1443"/>
      <c r="D110" s="829" t="s">
        <v>2671</v>
      </c>
      <c r="E110" s="987"/>
      <c r="F110" s="130">
        <f t="shared" ref="F110:Q110" si="35">IF(F83&gt;0,ROUND(E111*$C$83,-3),0)</f>
        <v>0</v>
      </c>
      <c r="G110" s="132">
        <f t="shared" si="35"/>
        <v>0</v>
      </c>
      <c r="H110" s="132">
        <f t="shared" si="35"/>
        <v>0</v>
      </c>
      <c r="I110" s="132">
        <f t="shared" si="35"/>
        <v>0</v>
      </c>
      <c r="J110" s="132">
        <f t="shared" si="35"/>
        <v>0</v>
      </c>
      <c r="K110" s="132">
        <f t="shared" si="35"/>
        <v>0</v>
      </c>
      <c r="L110" s="132">
        <f t="shared" si="35"/>
        <v>0</v>
      </c>
      <c r="M110" s="132">
        <f t="shared" si="35"/>
        <v>0</v>
      </c>
      <c r="N110" s="132">
        <f t="shared" si="35"/>
        <v>0</v>
      </c>
      <c r="O110" s="132">
        <f t="shared" si="35"/>
        <v>0</v>
      </c>
      <c r="P110" s="132">
        <f t="shared" si="35"/>
        <v>0</v>
      </c>
      <c r="Q110" s="830">
        <f t="shared" si="35"/>
        <v>0</v>
      </c>
      <c r="R110" s="131">
        <f>SUM(E110:Q110)</f>
        <v>0</v>
      </c>
    </row>
    <row r="111" spans="1:18" s="92" customFormat="1" x14ac:dyDescent="0.2">
      <c r="A111" s="943"/>
      <c r="B111" s="179"/>
      <c r="C111" s="1444"/>
      <c r="D111" s="839" t="s">
        <v>1275</v>
      </c>
      <c r="E111" s="796">
        <f>IF(E192=0,0,$D108-E109)</f>
        <v>0</v>
      </c>
      <c r="F111" s="128">
        <f>IF(F192=0,0,$D108-SUM($E109:F109))</f>
        <v>0</v>
      </c>
      <c r="G111" s="128">
        <f>IF(G192=0,0,$D108-SUM($E109:G109))</f>
        <v>0</v>
      </c>
      <c r="H111" s="128">
        <f>IF(H192=0,0,$D108-SUM($E109:H109))</f>
        <v>0</v>
      </c>
      <c r="I111" s="128">
        <f>IF(I192=0,0,$D108-SUM($E109:I109))</f>
        <v>0</v>
      </c>
      <c r="J111" s="128">
        <f>IF(J192=0,0,$D108-SUM($E109:J109))</f>
        <v>0</v>
      </c>
      <c r="K111" s="128">
        <f>IF(K192=0,0,$D108-SUM($E109:K109))</f>
        <v>0</v>
      </c>
      <c r="L111" s="128">
        <f>IF(L192=0,0,$D108-SUM($E109:L109))</f>
        <v>0</v>
      </c>
      <c r="M111" s="128">
        <f>IF(M192=0,0,$D108-SUM($E109:M109))</f>
        <v>0</v>
      </c>
      <c r="N111" s="64">
        <f>IF(N192=0,0,$D108-SUM($E109:N109))</f>
        <v>0</v>
      </c>
      <c r="O111" s="64">
        <f>IF(O192=0,0,$D108-SUM($E109:O109))</f>
        <v>0</v>
      </c>
      <c r="P111" s="64">
        <f>IF(P192=0,0,$D108-SUM($E109:P109))</f>
        <v>0</v>
      </c>
      <c r="Q111" s="117">
        <f>IF(Q192=0,0,$D108-SUM($E109:Q109))</f>
        <v>0</v>
      </c>
      <c r="R111" s="115"/>
    </row>
    <row r="112" spans="1:18" s="133" customFormat="1" x14ac:dyDescent="0.2">
      <c r="A112" s="935"/>
      <c r="B112" s="827"/>
      <c r="C112" s="1443"/>
      <c r="D112" s="829"/>
      <c r="E112" s="987"/>
      <c r="F112" s="130"/>
      <c r="G112" s="132"/>
      <c r="H112" s="130"/>
      <c r="I112" s="132"/>
      <c r="J112" s="132"/>
      <c r="K112" s="132"/>
      <c r="L112" s="132"/>
      <c r="M112" s="132"/>
      <c r="N112" s="132"/>
      <c r="O112" s="132"/>
      <c r="P112" s="132"/>
      <c r="Q112" s="830"/>
      <c r="R112" s="131"/>
    </row>
    <row r="113" spans="1:18" s="133" customFormat="1" x14ac:dyDescent="0.2">
      <c r="A113" s="998" t="s">
        <v>6061</v>
      </c>
      <c r="B113" s="827"/>
      <c r="C113" s="978">
        <v>3.5099999999999999E-2</v>
      </c>
      <c r="D113" s="829">
        <f>D84</f>
        <v>500000</v>
      </c>
      <c r="E113" s="987"/>
      <c r="F113" s="130"/>
      <c r="G113" s="132"/>
      <c r="H113" s="132"/>
      <c r="I113" s="132"/>
      <c r="J113" s="132"/>
      <c r="K113" s="132"/>
      <c r="L113" s="132"/>
      <c r="M113" s="132"/>
      <c r="N113" s="132"/>
      <c r="O113" s="132"/>
      <c r="P113" s="132"/>
      <c r="Q113" s="830"/>
      <c r="R113" s="131"/>
    </row>
    <row r="114" spans="1:18" s="133" customFormat="1" x14ac:dyDescent="0.2">
      <c r="A114" s="935"/>
      <c r="B114" s="827"/>
      <c r="C114" s="1443"/>
      <c r="D114" s="829" t="s">
        <v>2604</v>
      </c>
      <c r="E114" s="987"/>
      <c r="F114" s="132">
        <f>IF(F84=0,0,-ROUND(PMT(#REF!,#REF!,#REF!),-3)-F115)</f>
        <v>0</v>
      </c>
      <c r="G114" s="132">
        <v>42500</v>
      </c>
      <c r="H114" s="132">
        <v>44100</v>
      </c>
      <c r="I114" s="132">
        <v>45600</v>
      </c>
      <c r="J114" s="132">
        <v>47200</v>
      </c>
      <c r="K114" s="132">
        <f>IF(K84=0,0,-ROUND(PMT($C$84,$B$84,$D$84),-3)-K115)</f>
        <v>49200</v>
      </c>
      <c r="L114" s="132">
        <v>50600</v>
      </c>
      <c r="M114" s="132">
        <v>52400</v>
      </c>
      <c r="N114" s="132">
        <v>54200</v>
      </c>
      <c r="O114" s="132">
        <v>56100</v>
      </c>
      <c r="P114" s="132">
        <v>58100</v>
      </c>
      <c r="Q114" s="830">
        <v>0</v>
      </c>
      <c r="R114" s="131">
        <f>SUM(E114:Q114)</f>
        <v>500000</v>
      </c>
    </row>
    <row r="115" spans="1:18" s="133" customFormat="1" x14ac:dyDescent="0.2">
      <c r="A115" s="935"/>
      <c r="B115" s="827"/>
      <c r="C115" s="1443"/>
      <c r="D115" s="829" t="s">
        <v>2671</v>
      </c>
      <c r="E115" s="987"/>
      <c r="F115" s="130">
        <f>IF(F84&gt;0,ROUND(E116*#REF!,-3),0)</f>
        <v>0</v>
      </c>
      <c r="G115" s="132">
        <v>17100</v>
      </c>
      <c r="H115" s="132">
        <v>15600</v>
      </c>
      <c r="I115" s="132">
        <v>14100</v>
      </c>
      <c r="J115" s="132">
        <v>12500</v>
      </c>
      <c r="K115" s="132">
        <v>10800</v>
      </c>
      <c r="L115" s="132">
        <v>9100</v>
      </c>
      <c r="M115" s="132">
        <v>7300</v>
      </c>
      <c r="N115" s="132">
        <v>5500</v>
      </c>
      <c r="O115" s="132">
        <v>3500</v>
      </c>
      <c r="P115" s="132">
        <v>1500</v>
      </c>
      <c r="Q115" s="830">
        <v>0</v>
      </c>
      <c r="R115" s="131">
        <f>SUM(E115:Q115)</f>
        <v>97000</v>
      </c>
    </row>
    <row r="116" spans="1:18" s="92" customFormat="1" x14ac:dyDescent="0.2">
      <c r="A116" s="943"/>
      <c r="B116" s="179"/>
      <c r="C116" s="1444"/>
      <c r="D116" s="839" t="s">
        <v>1275</v>
      </c>
      <c r="E116" s="796">
        <f>IF(E193=0,0,$D113-E114)</f>
        <v>0</v>
      </c>
      <c r="F116" s="128">
        <f>IF(F193=0,0,$D113-SUM($E114:F114))</f>
        <v>500000</v>
      </c>
      <c r="G116" s="128">
        <f>IF(G193=0,0,$D113-SUM($E114:G114))</f>
        <v>457500</v>
      </c>
      <c r="H116" s="128">
        <f>IF(H193=0,0,$D113-SUM($E114:H114))</f>
        <v>413400</v>
      </c>
      <c r="I116" s="64">
        <f>IF(I193=0,0,$D113-SUM($E114:I114))</f>
        <v>367800</v>
      </c>
      <c r="J116" s="64">
        <f>IF(J193=0,0,$D113-SUM($E114:J114))</f>
        <v>320600</v>
      </c>
      <c r="K116" s="64">
        <f>IF(K193=0,0,$D113-SUM($E114:K114))</f>
        <v>271400</v>
      </c>
      <c r="L116" s="64">
        <f>IF(L193=0,0,$D113-SUM($E114:L114))</f>
        <v>220800</v>
      </c>
      <c r="M116" s="64">
        <f>IF(M193=0,0,$D113-SUM($E114:M114))</f>
        <v>168400</v>
      </c>
      <c r="N116" s="64">
        <f>IF(N193=0,0,$D113-SUM($E114:N114))</f>
        <v>114200</v>
      </c>
      <c r="O116" s="64">
        <f>IF(O193=0,0,$D113-SUM($E114:O114))</f>
        <v>58100</v>
      </c>
      <c r="P116" s="64">
        <f>IF(P193=0,0,$D113-SUM($E114:P114))</f>
        <v>0</v>
      </c>
      <c r="Q116" s="117">
        <f>IF(Q193=0,0,$D113-SUM($E114:Q114))</f>
        <v>0</v>
      </c>
      <c r="R116" s="115"/>
    </row>
    <row r="117" spans="1:18" s="92" customFormat="1" x14ac:dyDescent="0.2">
      <c r="A117" s="943"/>
      <c r="B117" s="179"/>
      <c r="C117" s="1444"/>
      <c r="D117" s="839"/>
      <c r="E117" s="796"/>
      <c r="F117" s="128"/>
      <c r="G117" s="64"/>
      <c r="H117" s="128"/>
      <c r="I117" s="64"/>
      <c r="J117" s="64"/>
      <c r="K117" s="64"/>
      <c r="L117" s="64"/>
      <c r="M117" s="64"/>
      <c r="N117" s="64"/>
      <c r="O117" s="64"/>
      <c r="P117" s="64"/>
      <c r="Q117" s="117"/>
      <c r="R117" s="115"/>
    </row>
    <row r="118" spans="1:18" s="133" customFormat="1" x14ac:dyDescent="0.2">
      <c r="A118" s="935" t="str">
        <f>A85</f>
        <v>Ballina Swimming Pool - Stage One</v>
      </c>
      <c r="B118" s="827"/>
      <c r="C118" s="1443">
        <f>C85</f>
        <v>3.5000000000000003E-2</v>
      </c>
      <c r="D118" s="829">
        <f>D85</f>
        <v>3818100</v>
      </c>
      <c r="E118" s="987"/>
      <c r="F118" s="130"/>
      <c r="G118" s="132"/>
      <c r="H118" s="132"/>
      <c r="I118" s="132"/>
      <c r="J118" s="132"/>
      <c r="K118" s="132"/>
      <c r="L118" s="132"/>
      <c r="M118" s="132"/>
      <c r="N118" s="132"/>
      <c r="O118" s="132"/>
      <c r="P118" s="132"/>
      <c r="Q118" s="830"/>
      <c r="R118" s="131"/>
    </row>
    <row r="119" spans="1:18" s="133" customFormat="1" x14ac:dyDescent="0.2">
      <c r="A119" s="935"/>
      <c r="B119" s="827"/>
      <c r="C119" s="1443"/>
      <c r="D119" s="829" t="s">
        <v>2604</v>
      </c>
      <c r="E119" s="987"/>
      <c r="F119" s="132"/>
      <c r="G119" s="132"/>
      <c r="H119" s="132">
        <f t="shared" ref="H119:Q119" si="36">IF(H85=0,0,-ROUND(PMT($C$85,$B$85,$D$85),-3)-H120)</f>
        <v>135000</v>
      </c>
      <c r="I119" s="132">
        <f t="shared" si="36"/>
        <v>140000</v>
      </c>
      <c r="J119" s="132">
        <f t="shared" si="36"/>
        <v>145000</v>
      </c>
      <c r="K119" s="132">
        <f t="shared" si="36"/>
        <v>150000</v>
      </c>
      <c r="L119" s="132">
        <f t="shared" si="36"/>
        <v>155000</v>
      </c>
      <c r="M119" s="132">
        <f t="shared" si="36"/>
        <v>161000</v>
      </c>
      <c r="N119" s="132">
        <f t="shared" si="36"/>
        <v>166000</v>
      </c>
      <c r="O119" s="132">
        <f t="shared" si="36"/>
        <v>172000</v>
      </c>
      <c r="P119" s="132">
        <f t="shared" si="36"/>
        <v>178000</v>
      </c>
      <c r="Q119" s="830">
        <f t="shared" si="36"/>
        <v>184000</v>
      </c>
      <c r="R119" s="131">
        <f>SUM(E119:Q119)</f>
        <v>1586000</v>
      </c>
    </row>
    <row r="120" spans="1:18" s="133" customFormat="1" x14ac:dyDescent="0.2">
      <c r="A120" s="935"/>
      <c r="B120" s="827"/>
      <c r="C120" s="1443"/>
      <c r="D120" s="829" t="s">
        <v>2671</v>
      </c>
      <c r="E120" s="987"/>
      <c r="F120" s="130"/>
      <c r="G120" s="132">
        <v>0</v>
      </c>
      <c r="H120" s="132">
        <f t="shared" ref="H120:N120" si="37">IF(H85&gt;0,ROUND(G121*$C$85,-3),0)</f>
        <v>134000</v>
      </c>
      <c r="I120" s="132">
        <f t="shared" si="37"/>
        <v>129000</v>
      </c>
      <c r="J120" s="132">
        <f t="shared" si="37"/>
        <v>124000</v>
      </c>
      <c r="K120" s="132">
        <f t="shared" si="37"/>
        <v>119000</v>
      </c>
      <c r="L120" s="132">
        <f t="shared" si="37"/>
        <v>114000</v>
      </c>
      <c r="M120" s="132">
        <f t="shared" si="37"/>
        <v>108000</v>
      </c>
      <c r="N120" s="132">
        <f t="shared" si="37"/>
        <v>103000</v>
      </c>
      <c r="O120" s="132">
        <f t="shared" ref="O120:Q120" si="38">IF(O85&gt;0,ROUND(N121*$C$85,-3),0)</f>
        <v>97000</v>
      </c>
      <c r="P120" s="132">
        <f t="shared" si="38"/>
        <v>91000</v>
      </c>
      <c r="Q120" s="830">
        <f t="shared" si="38"/>
        <v>85000</v>
      </c>
      <c r="R120" s="131">
        <f>SUM(E120:Q120)</f>
        <v>1104000</v>
      </c>
    </row>
    <row r="121" spans="1:18" s="92" customFormat="1" x14ac:dyDescent="0.2">
      <c r="A121" s="943"/>
      <c r="B121" s="179"/>
      <c r="C121" s="1444"/>
      <c r="D121" s="839" t="s">
        <v>1275</v>
      </c>
      <c r="E121" s="796">
        <v>0</v>
      </c>
      <c r="F121" s="128"/>
      <c r="G121" s="64">
        <f>D118</f>
        <v>3818100</v>
      </c>
      <c r="H121" s="128">
        <f>IF(H194=0,0,$D118-SUM($E119:H119))</f>
        <v>3683100</v>
      </c>
      <c r="I121" s="64">
        <f>IF(I194=0,0,$D118-SUM($E119:I119))</f>
        <v>3543100</v>
      </c>
      <c r="J121" s="64">
        <f>IF(J194=0,0,$D118-SUM($E119:J119))</f>
        <v>3398100</v>
      </c>
      <c r="K121" s="64">
        <f>IF(K194=0,0,$D118-SUM($E119:K119))</f>
        <v>3248100</v>
      </c>
      <c r="L121" s="64">
        <f>IF(L194=0,0,$D118-SUM($E119:L119))</f>
        <v>3093100</v>
      </c>
      <c r="M121" s="64">
        <f>IF(M194=0,0,$D118-SUM($E119:M119))</f>
        <v>2932100</v>
      </c>
      <c r="N121" s="64">
        <f>IF(N194=0,0,$D118-SUM($E119:N119))</f>
        <v>2766100</v>
      </c>
      <c r="O121" s="64">
        <f>IF(O194=0,0,$D118-SUM($E119:O119))</f>
        <v>2594100</v>
      </c>
      <c r="P121" s="64">
        <f>IF(P194=0,0,$D118-SUM($E119:P119))</f>
        <v>2416100</v>
      </c>
      <c r="Q121" s="117">
        <f>IF(Q194=0,0,$D118-SUM($E119:Q119))</f>
        <v>2232100</v>
      </c>
      <c r="R121" s="115"/>
    </row>
    <row r="122" spans="1:18" s="92" customFormat="1" x14ac:dyDescent="0.2">
      <c r="A122" s="943"/>
      <c r="B122" s="179"/>
      <c r="C122" s="1444"/>
      <c r="D122" s="839"/>
      <c r="E122" s="796"/>
      <c r="F122" s="128"/>
      <c r="G122" s="128"/>
      <c r="H122" s="128"/>
      <c r="I122" s="128"/>
      <c r="J122" s="128"/>
      <c r="K122" s="128"/>
      <c r="L122" s="128"/>
      <c r="M122" s="128"/>
      <c r="N122" s="64"/>
      <c r="O122" s="64"/>
      <c r="P122" s="64"/>
      <c r="Q122" s="117"/>
      <c r="R122" s="115"/>
    </row>
    <row r="123" spans="1:18" s="133" customFormat="1" x14ac:dyDescent="0.2">
      <c r="A123" s="935" t="str">
        <f>A86</f>
        <v>Alstonville Swimming Pool - Stage One</v>
      </c>
      <c r="B123" s="827"/>
      <c r="C123" s="1443">
        <f>C86</f>
        <v>3.5000000000000003E-2</v>
      </c>
      <c r="D123" s="829">
        <f>D86</f>
        <v>2893600</v>
      </c>
      <c r="E123" s="987"/>
      <c r="F123" s="130"/>
      <c r="G123" s="132"/>
      <c r="H123" s="132"/>
      <c r="I123" s="132"/>
      <c r="J123" s="132"/>
      <c r="K123" s="132"/>
      <c r="L123" s="132"/>
      <c r="M123" s="132"/>
      <c r="N123" s="132"/>
      <c r="O123" s="132"/>
      <c r="P123" s="132"/>
      <c r="Q123" s="830"/>
      <c r="R123" s="131"/>
    </row>
    <row r="124" spans="1:18" s="133" customFormat="1" x14ac:dyDescent="0.2">
      <c r="A124" s="935"/>
      <c r="B124" s="827"/>
      <c r="C124" s="1443"/>
      <c r="D124" s="829" t="s">
        <v>2604</v>
      </c>
      <c r="E124" s="987"/>
      <c r="F124" s="132"/>
      <c r="G124" s="132"/>
      <c r="H124" s="132">
        <f t="shared" ref="H124:Q124" si="39">IF(H86=0,0,-ROUND(PMT($C$86,$B$86,$D$86),-3)-H125)</f>
        <v>103000</v>
      </c>
      <c r="I124" s="132">
        <f t="shared" si="39"/>
        <v>106000</v>
      </c>
      <c r="J124" s="132">
        <f t="shared" si="39"/>
        <v>110000</v>
      </c>
      <c r="K124" s="132">
        <f t="shared" si="39"/>
        <v>114000</v>
      </c>
      <c r="L124" s="132">
        <f t="shared" si="39"/>
        <v>118000</v>
      </c>
      <c r="M124" s="132">
        <f t="shared" si="39"/>
        <v>122000</v>
      </c>
      <c r="N124" s="132">
        <f t="shared" si="39"/>
        <v>126000</v>
      </c>
      <c r="O124" s="132">
        <f t="shared" si="39"/>
        <v>131000</v>
      </c>
      <c r="P124" s="132">
        <f t="shared" si="39"/>
        <v>135000</v>
      </c>
      <c r="Q124" s="830">
        <f t="shared" si="39"/>
        <v>140000</v>
      </c>
      <c r="R124" s="131">
        <f>SUM(E124:Q124)</f>
        <v>1205000</v>
      </c>
    </row>
    <row r="125" spans="1:18" s="133" customFormat="1" x14ac:dyDescent="0.2">
      <c r="A125" s="935"/>
      <c r="B125" s="827"/>
      <c r="C125" s="1443"/>
      <c r="D125" s="829" t="s">
        <v>2671</v>
      </c>
      <c r="E125" s="987"/>
      <c r="F125" s="130"/>
      <c r="G125" s="132">
        <v>0</v>
      </c>
      <c r="H125" s="132">
        <f t="shared" ref="H125:Q125" si="40">IF(H86&gt;0,ROUND(G126*$C$86,-3),0)</f>
        <v>101000</v>
      </c>
      <c r="I125" s="132">
        <f t="shared" si="40"/>
        <v>98000</v>
      </c>
      <c r="J125" s="132">
        <f t="shared" si="40"/>
        <v>94000</v>
      </c>
      <c r="K125" s="132">
        <f t="shared" si="40"/>
        <v>90000</v>
      </c>
      <c r="L125" s="132">
        <f t="shared" si="40"/>
        <v>86000</v>
      </c>
      <c r="M125" s="132">
        <f t="shared" si="40"/>
        <v>82000</v>
      </c>
      <c r="N125" s="132">
        <f t="shared" si="40"/>
        <v>78000</v>
      </c>
      <c r="O125" s="132">
        <f t="shared" si="40"/>
        <v>73000</v>
      </c>
      <c r="P125" s="132">
        <f t="shared" si="40"/>
        <v>69000</v>
      </c>
      <c r="Q125" s="830">
        <f t="shared" si="40"/>
        <v>64000</v>
      </c>
      <c r="R125" s="131">
        <f>SUM(E125:Q125)</f>
        <v>835000</v>
      </c>
    </row>
    <row r="126" spans="1:18" s="92" customFormat="1" x14ac:dyDescent="0.2">
      <c r="A126" s="943"/>
      <c r="B126" s="179"/>
      <c r="C126" s="1444"/>
      <c r="D126" s="839" t="s">
        <v>1275</v>
      </c>
      <c r="E126" s="796">
        <f>IF(E195=0,0,$D123-E124)</f>
        <v>0</v>
      </c>
      <c r="F126" s="128"/>
      <c r="G126" s="64">
        <f>D123</f>
        <v>2893600</v>
      </c>
      <c r="H126" s="128">
        <f>IF(H195=0,0,$D123-SUM($E124:H124))</f>
        <v>2790600</v>
      </c>
      <c r="I126" s="64">
        <f>IF(I195=0,0,$D123-SUM($E124:I124))</f>
        <v>2684600</v>
      </c>
      <c r="J126" s="64">
        <f>IF(J195=0,0,$D123-SUM($E124:J124))</f>
        <v>2574600</v>
      </c>
      <c r="K126" s="64">
        <f>IF(K195=0,0,$D123-SUM($E124:K124))</f>
        <v>2460600</v>
      </c>
      <c r="L126" s="64">
        <f>IF(L195=0,0,$D123-SUM($E124:L124))</f>
        <v>2342600</v>
      </c>
      <c r="M126" s="64">
        <f>IF(M195=0,0,$D123-SUM($E124:M124))</f>
        <v>2220600</v>
      </c>
      <c r="N126" s="64">
        <f>IF(N195=0,0,$D123-SUM($E124:N124))</f>
        <v>2094600</v>
      </c>
      <c r="O126" s="64">
        <f>IF(O195=0,0,$D123-SUM($E124:O124))</f>
        <v>1963600</v>
      </c>
      <c r="P126" s="64">
        <f>IF(P195=0,0,$D123-SUM($E124:P124))</f>
        <v>1828600</v>
      </c>
      <c r="Q126" s="117">
        <f>IF(Q195=0,0,$D123-SUM($E124:Q124))</f>
        <v>1688600</v>
      </c>
      <c r="R126" s="115"/>
    </row>
    <row r="127" spans="1:18" s="92" customFormat="1" x14ac:dyDescent="0.2">
      <c r="A127" s="943"/>
      <c r="B127" s="179"/>
      <c r="C127" s="1444"/>
      <c r="D127" s="839"/>
      <c r="E127" s="796"/>
      <c r="F127" s="128"/>
      <c r="G127" s="64"/>
      <c r="H127" s="128"/>
      <c r="I127" s="64"/>
      <c r="J127" s="64"/>
      <c r="K127" s="64"/>
      <c r="L127" s="64"/>
      <c r="M127" s="64"/>
      <c r="N127" s="64"/>
      <c r="O127" s="64"/>
      <c r="P127" s="64"/>
      <c r="Q127" s="117"/>
      <c r="R127" s="115"/>
    </row>
    <row r="128" spans="1:18" s="133" customFormat="1" x14ac:dyDescent="0.2">
      <c r="A128" s="998" t="str">
        <f>A87</f>
        <v>Ballina Swimming Pool - Stage Two</v>
      </c>
      <c r="B128" s="827"/>
      <c r="C128" s="1443">
        <f>C87</f>
        <v>0.04</v>
      </c>
      <c r="D128" s="829">
        <f>D87</f>
        <v>3309500</v>
      </c>
      <c r="E128" s="987"/>
      <c r="F128" s="130"/>
      <c r="G128" s="132"/>
      <c r="H128" s="132"/>
      <c r="I128" s="132"/>
      <c r="J128" s="132"/>
      <c r="K128" s="132"/>
      <c r="L128" s="132"/>
      <c r="M128" s="132"/>
      <c r="N128" s="132"/>
      <c r="O128" s="132"/>
      <c r="P128" s="132"/>
      <c r="Q128" s="830"/>
      <c r="R128" s="131"/>
    </row>
    <row r="129" spans="1:18" s="133" customFormat="1" x14ac:dyDescent="0.2">
      <c r="A129" s="935" t="s">
        <v>7149</v>
      </c>
      <c r="B129" s="827"/>
      <c r="C129" s="1443"/>
      <c r="D129" s="829" t="s">
        <v>2604</v>
      </c>
      <c r="E129" s="987"/>
      <c r="F129" s="132"/>
      <c r="G129" s="132"/>
      <c r="H129" s="132">
        <f>(-ROUND(PMT($C$87,$B$87,$D$87),-3)-H130)/2</f>
        <v>72500</v>
      </c>
      <c r="I129" s="132">
        <f>IF(I87=0,0,-ROUND(PMT($C$87,$B$87,$D$87),-3)-I130)</f>
        <v>115000</v>
      </c>
      <c r="J129" s="132">
        <f>IF(J87=0,0,-ROUND(PMT($C$87,$B$87,$D$87),-3)-J130)</f>
        <v>119000</v>
      </c>
      <c r="K129" s="132">
        <f t="shared" ref="K129:O129" si="41">IF(K87=0,0,-ROUND(PMT($C$87,$B$87,$D$87),-3)-K130)</f>
        <v>124000</v>
      </c>
      <c r="L129" s="132">
        <f t="shared" si="41"/>
        <v>129000</v>
      </c>
      <c r="M129" s="132">
        <f t="shared" si="41"/>
        <v>134000</v>
      </c>
      <c r="N129" s="132">
        <f t="shared" si="41"/>
        <v>139000</v>
      </c>
      <c r="O129" s="132">
        <f t="shared" si="41"/>
        <v>145000</v>
      </c>
      <c r="P129" s="132">
        <f>IF(P87=0,0,-ROUND(PMT($C$87,$B$87,$D$87),-3)-P130)</f>
        <v>151000</v>
      </c>
      <c r="Q129" s="830">
        <f>IF(Q87=0,0,-ROUND(PMT($C$87,$B$87,$D$87),-3)-Q130)</f>
        <v>157000</v>
      </c>
      <c r="R129" s="131">
        <f>SUM(E129:Q129)</f>
        <v>1285500</v>
      </c>
    </row>
    <row r="130" spans="1:18" s="133" customFormat="1" x14ac:dyDescent="0.2">
      <c r="A130" s="935"/>
      <c r="B130" s="827"/>
      <c r="C130" s="1443"/>
      <c r="D130" s="829" t="s">
        <v>2671</v>
      </c>
      <c r="E130" s="987"/>
      <c r="F130" s="130"/>
      <c r="G130" s="132"/>
      <c r="H130" s="132">
        <f>ROUND(D128*C128*0.75,-3)</f>
        <v>99000</v>
      </c>
      <c r="I130" s="132">
        <f>IF(I87&gt;0,ROUND(H131*$C$87,-3),0)</f>
        <v>129000</v>
      </c>
      <c r="J130" s="132">
        <f>IF(J87&gt;0,ROUND(I131*$C$87,-3),0)</f>
        <v>125000</v>
      </c>
      <c r="K130" s="132">
        <f t="shared" ref="K130:Q130" si="42">IF(K87&gt;0,ROUND(J131*$C$87,-3),0)</f>
        <v>120000</v>
      </c>
      <c r="L130" s="132">
        <f>IF(L87&gt;0,ROUND(K131*$C$87,-3),0)</f>
        <v>115000</v>
      </c>
      <c r="M130" s="132">
        <f t="shared" si="42"/>
        <v>110000</v>
      </c>
      <c r="N130" s="132">
        <f t="shared" si="42"/>
        <v>105000</v>
      </c>
      <c r="O130" s="132">
        <f t="shared" si="42"/>
        <v>99000</v>
      </c>
      <c r="P130" s="132">
        <f t="shared" si="42"/>
        <v>93000</v>
      </c>
      <c r="Q130" s="830">
        <f t="shared" si="42"/>
        <v>87000</v>
      </c>
      <c r="R130" s="131">
        <f>SUM(E130:Q130)</f>
        <v>1082000</v>
      </c>
    </row>
    <row r="131" spans="1:18" s="92" customFormat="1" x14ac:dyDescent="0.2">
      <c r="A131" s="943"/>
      <c r="B131" s="179"/>
      <c r="C131" s="1444"/>
      <c r="D131" s="839" t="s">
        <v>1275</v>
      </c>
      <c r="E131" s="796">
        <v>0</v>
      </c>
      <c r="F131" s="128"/>
      <c r="G131" s="128"/>
      <c r="H131" s="64">
        <f>IF(H196=0,0,$D128-SUM($E129:H129))</f>
        <v>3237000</v>
      </c>
      <c r="I131" s="64">
        <f>IF(I196=0,0,$D128-SUM($E129:I129))</f>
        <v>3122000</v>
      </c>
      <c r="J131" s="64">
        <f>IF(J196=0,0,$D128-SUM($E129:J129))</f>
        <v>3003000</v>
      </c>
      <c r="K131" s="64">
        <f>IF(K196=0,0,$D128-SUM($E129:K129))</f>
        <v>2879000</v>
      </c>
      <c r="L131" s="64">
        <f>IF(L196=0,0,$D128-SUM($E129:L129))</f>
        <v>2750000</v>
      </c>
      <c r="M131" s="64">
        <f>IF(M196=0,0,$D128-SUM($E129:M129))</f>
        <v>2616000</v>
      </c>
      <c r="N131" s="64">
        <f>IF(N196=0,0,$D128-SUM($E129:N129))</f>
        <v>2477000</v>
      </c>
      <c r="O131" s="64">
        <f>IF(O196=0,0,$D128-SUM($E129:O129))</f>
        <v>2332000</v>
      </c>
      <c r="P131" s="64">
        <f>IF(P196=0,0,$D128-SUM($E129:P129))</f>
        <v>2181000</v>
      </c>
      <c r="Q131" s="117">
        <f>IF(Q196=0,0,$D128-SUM($E129:Q129))</f>
        <v>2024000</v>
      </c>
      <c r="R131" s="115"/>
    </row>
    <row r="132" spans="1:18" s="92" customFormat="1" x14ac:dyDescent="0.2">
      <c r="A132" s="943"/>
      <c r="B132" s="179"/>
      <c r="C132" s="1444"/>
      <c r="D132" s="839"/>
      <c r="E132" s="796"/>
      <c r="F132" s="128"/>
      <c r="G132" s="128"/>
      <c r="H132" s="128"/>
      <c r="I132" s="128"/>
      <c r="J132" s="128"/>
      <c r="K132" s="128"/>
      <c r="L132" s="128"/>
      <c r="M132" s="128"/>
      <c r="N132" s="64"/>
      <c r="O132" s="64"/>
      <c r="P132" s="64"/>
      <c r="Q132" s="117"/>
      <c r="R132" s="115"/>
    </row>
    <row r="133" spans="1:18" s="133" customFormat="1" x14ac:dyDescent="0.2">
      <c r="A133" s="998" t="str">
        <f>A88</f>
        <v>Alstonville Swimming Pool - Stage Two</v>
      </c>
      <c r="B133" s="827"/>
      <c r="C133" s="1443">
        <f>C88</f>
        <v>0.04</v>
      </c>
      <c r="D133" s="829">
        <f>D88</f>
        <v>2618300</v>
      </c>
      <c r="E133" s="987"/>
      <c r="F133" s="130"/>
      <c r="G133" s="132"/>
      <c r="H133" s="132"/>
      <c r="I133" s="132"/>
      <c r="J133" s="132"/>
      <c r="K133" s="132"/>
      <c r="L133" s="132"/>
      <c r="M133" s="132"/>
      <c r="N133" s="132"/>
      <c r="O133" s="132"/>
      <c r="P133" s="132"/>
      <c r="Q133" s="830"/>
      <c r="R133" s="131"/>
    </row>
    <row r="134" spans="1:18" s="133" customFormat="1" x14ac:dyDescent="0.2">
      <c r="A134" s="935" t="s">
        <v>7149</v>
      </c>
      <c r="B134" s="827"/>
      <c r="C134" s="1443"/>
      <c r="D134" s="829" t="s">
        <v>2604</v>
      </c>
      <c r="E134" s="987"/>
      <c r="F134" s="132"/>
      <c r="G134" s="132"/>
      <c r="H134" s="132">
        <f>(-ROUND(PMT($C$88,$B$88,$D$88),-3)-H135)/2</f>
        <v>57000</v>
      </c>
      <c r="I134" s="132">
        <f>IF(I88=0,0,-ROUND(PMT($C$88,$B$88,$D$88),-3)-I135)</f>
        <v>91000</v>
      </c>
      <c r="J134" s="132">
        <f>IF(J88=0,0,-ROUND(PMT($C$88,$B$88,$D$88),-3)-J135)</f>
        <v>94000</v>
      </c>
      <c r="K134" s="132">
        <f t="shared" ref="K134:Q134" si="43">IF(K88=0,0,-ROUND(PMT($C$88,$B$88,$D$88),-3)-K135)</f>
        <v>98000</v>
      </c>
      <c r="L134" s="132">
        <f t="shared" si="43"/>
        <v>102000</v>
      </c>
      <c r="M134" s="132">
        <f t="shared" si="43"/>
        <v>106000</v>
      </c>
      <c r="N134" s="132">
        <f t="shared" si="43"/>
        <v>110000</v>
      </c>
      <c r="O134" s="132">
        <f t="shared" si="43"/>
        <v>115000</v>
      </c>
      <c r="P134" s="132">
        <f t="shared" si="43"/>
        <v>119000</v>
      </c>
      <c r="Q134" s="830">
        <f t="shared" si="43"/>
        <v>124000</v>
      </c>
      <c r="R134" s="131">
        <f>SUM(E134:Q134)</f>
        <v>1016000</v>
      </c>
    </row>
    <row r="135" spans="1:18" s="133" customFormat="1" x14ac:dyDescent="0.2">
      <c r="A135" s="935"/>
      <c r="B135" s="827"/>
      <c r="C135" s="1443"/>
      <c r="D135" s="829" t="s">
        <v>2671</v>
      </c>
      <c r="E135" s="987"/>
      <c r="F135" s="130"/>
      <c r="G135" s="132"/>
      <c r="H135" s="132">
        <f>ROUND(D133*C133*0.75,-3)</f>
        <v>79000</v>
      </c>
      <c r="I135" s="132">
        <f>IF(I88&gt;0,ROUND(H136*$C$88,-3),0)</f>
        <v>102000</v>
      </c>
      <c r="J135" s="132">
        <f>IF(J88&gt;0,ROUND(I136*$C$88,-3),0)</f>
        <v>99000</v>
      </c>
      <c r="K135" s="132">
        <f t="shared" ref="K135:Q135" si="44">IF(K88&gt;0,ROUND(J136*$C$88,-3),0)</f>
        <v>95000</v>
      </c>
      <c r="L135" s="132">
        <f t="shared" si="44"/>
        <v>91000</v>
      </c>
      <c r="M135" s="132">
        <f t="shared" si="44"/>
        <v>87000</v>
      </c>
      <c r="N135" s="132">
        <f t="shared" si="44"/>
        <v>83000</v>
      </c>
      <c r="O135" s="132">
        <f t="shared" si="44"/>
        <v>78000</v>
      </c>
      <c r="P135" s="132">
        <f t="shared" si="44"/>
        <v>74000</v>
      </c>
      <c r="Q135" s="830">
        <f t="shared" si="44"/>
        <v>69000</v>
      </c>
      <c r="R135" s="131">
        <f>SUM(E135:Q135)</f>
        <v>857000</v>
      </c>
    </row>
    <row r="136" spans="1:18" s="92" customFormat="1" x14ac:dyDescent="0.2">
      <c r="A136" s="943"/>
      <c r="B136" s="179"/>
      <c r="C136" s="1444"/>
      <c r="D136" s="839" t="s">
        <v>1275</v>
      </c>
      <c r="E136" s="796">
        <f>IF(E207=0,0,$D133-E134)</f>
        <v>0</v>
      </c>
      <c r="F136" s="128"/>
      <c r="G136" s="128"/>
      <c r="H136" s="64">
        <f>IF(H197=0,0,$D133-SUM($E134:H134))</f>
        <v>2561300</v>
      </c>
      <c r="I136" s="64">
        <f>IF(I197=0,0,$D133-SUM($E134:I134))</f>
        <v>2470300</v>
      </c>
      <c r="J136" s="64">
        <f>IF(J197=0,0,$D133-SUM($E134:J134))</f>
        <v>2376300</v>
      </c>
      <c r="K136" s="64">
        <f>IF(K197=0,0,$D133-SUM($E134:K134))</f>
        <v>2278300</v>
      </c>
      <c r="L136" s="64">
        <f>IF(L197=0,0,$D133-SUM($E134:L134))</f>
        <v>2176300</v>
      </c>
      <c r="M136" s="64">
        <f>IF(M197=0,0,$D133-SUM($E134:M134))</f>
        <v>2070300</v>
      </c>
      <c r="N136" s="64">
        <f>IF(N197=0,0,$D133-SUM($E134:N134))</f>
        <v>1960300</v>
      </c>
      <c r="O136" s="64">
        <f>IF(O197=0,0,$D133-SUM($E134:O134))</f>
        <v>1845300</v>
      </c>
      <c r="P136" s="64">
        <f>IF(P197=0,0,$D133-SUM($E134:P134))</f>
        <v>1726300</v>
      </c>
      <c r="Q136" s="400">
        <f>IF(Q197=0,0,$D133-SUM($E134:Q134))</f>
        <v>1602300</v>
      </c>
      <c r="R136" s="115"/>
    </row>
    <row r="137" spans="1:18" s="133" customFormat="1" x14ac:dyDescent="0.2">
      <c r="A137" s="935"/>
      <c r="B137" s="827"/>
      <c r="C137" s="1443"/>
      <c r="D137" s="829"/>
      <c r="E137" s="987"/>
      <c r="F137" s="130"/>
      <c r="G137" s="132"/>
      <c r="H137" s="130"/>
      <c r="I137" s="132"/>
      <c r="J137" s="132"/>
      <c r="K137" s="132"/>
      <c r="L137" s="132"/>
      <c r="M137" s="132"/>
      <c r="N137" s="132"/>
      <c r="O137" s="132"/>
      <c r="P137" s="132"/>
      <c r="Q137" s="825"/>
      <c r="R137" s="131"/>
    </row>
    <row r="138" spans="1:18" s="133" customFormat="1" x14ac:dyDescent="0.2">
      <c r="A138" s="998" t="str">
        <f>A89</f>
        <v>River St Upgrade - Moon to Grant</v>
      </c>
      <c r="B138" s="827"/>
      <c r="C138" s="1443">
        <f>C89</f>
        <v>0.04</v>
      </c>
      <c r="D138" s="829">
        <f>D89</f>
        <v>2500000</v>
      </c>
      <c r="E138" s="987"/>
      <c r="F138" s="130"/>
      <c r="G138" s="132"/>
      <c r="H138" s="132"/>
      <c r="I138" s="132"/>
      <c r="J138" s="132"/>
      <c r="K138" s="132"/>
      <c r="L138" s="132"/>
      <c r="M138" s="132"/>
      <c r="N138" s="132"/>
      <c r="O138" s="132"/>
      <c r="P138" s="132"/>
      <c r="Q138" s="825"/>
      <c r="R138" s="131"/>
    </row>
    <row r="139" spans="1:18" s="133" customFormat="1" x14ac:dyDescent="0.2">
      <c r="A139" s="935"/>
      <c r="B139" s="827"/>
      <c r="C139" s="1443"/>
      <c r="D139" s="829" t="s">
        <v>2604</v>
      </c>
      <c r="E139" s="987"/>
      <c r="F139" s="132"/>
      <c r="G139" s="132"/>
      <c r="H139" s="132"/>
      <c r="I139" s="132"/>
      <c r="J139" s="132">
        <f>IF(J89=0,0,-ROUND(PMT($C$89,$B$89,$D$89),-3)-J140)</f>
        <v>208000</v>
      </c>
      <c r="K139" s="132">
        <f t="shared" ref="K139:Q139" si="45">IF(K89=0,0,-ROUND(PMT($C$89,$B$89,$D$89),-3)-K140)</f>
        <v>216000</v>
      </c>
      <c r="L139" s="132">
        <f>IF(L89=0,0,-ROUND(PMT($C$89,$B$89,$D$89),-3)-L140)</f>
        <v>225000</v>
      </c>
      <c r="M139" s="132">
        <f t="shared" si="45"/>
        <v>234000</v>
      </c>
      <c r="N139" s="132">
        <f t="shared" si="45"/>
        <v>243000</v>
      </c>
      <c r="O139" s="132">
        <f t="shared" si="45"/>
        <v>253000</v>
      </c>
      <c r="P139" s="132">
        <f t="shared" si="45"/>
        <v>263000</v>
      </c>
      <c r="Q139" s="825">
        <f t="shared" si="45"/>
        <v>274000</v>
      </c>
      <c r="R139" s="131">
        <f>SUM(E139:Q139)</f>
        <v>1916000</v>
      </c>
    </row>
    <row r="140" spans="1:18" s="133" customFormat="1" x14ac:dyDescent="0.2">
      <c r="A140" s="935"/>
      <c r="B140" s="827"/>
      <c r="C140" s="1443"/>
      <c r="D140" s="829" t="s">
        <v>2671</v>
      </c>
      <c r="E140" s="987"/>
      <c r="F140" s="130"/>
      <c r="G140" s="132"/>
      <c r="H140" s="132"/>
      <c r="I140" s="132"/>
      <c r="J140" s="132">
        <f>IF(J89&gt;0,ROUND(I141*$C$89,-3),0)</f>
        <v>100000</v>
      </c>
      <c r="K140" s="132">
        <f t="shared" ref="K140:Q140" si="46">IF(K89&gt;0,ROUND(J141*$C$89,-3),0)</f>
        <v>92000</v>
      </c>
      <c r="L140" s="132">
        <f>IF(L89&gt;0,ROUND(K141*$C$89,-3),0)</f>
        <v>83000</v>
      </c>
      <c r="M140" s="132">
        <f t="shared" si="46"/>
        <v>74000</v>
      </c>
      <c r="N140" s="132">
        <f t="shared" si="46"/>
        <v>65000</v>
      </c>
      <c r="O140" s="132">
        <f t="shared" si="46"/>
        <v>55000</v>
      </c>
      <c r="P140" s="132">
        <f t="shared" si="46"/>
        <v>45000</v>
      </c>
      <c r="Q140" s="825">
        <f t="shared" si="46"/>
        <v>34000</v>
      </c>
      <c r="R140" s="131">
        <f>SUM(E140:Q140)</f>
        <v>548000</v>
      </c>
    </row>
    <row r="141" spans="1:18" s="92" customFormat="1" x14ac:dyDescent="0.2">
      <c r="A141" s="943"/>
      <c r="B141" s="179"/>
      <c r="C141" s="1444"/>
      <c r="D141" s="839" t="s">
        <v>1275</v>
      </c>
      <c r="E141" s="796">
        <f>IF(E216=0,0,$D138-E139)</f>
        <v>0</v>
      </c>
      <c r="F141" s="128"/>
      <c r="G141" s="128"/>
      <c r="H141" s="128"/>
      <c r="I141" s="128">
        <f>D138</f>
        <v>2500000</v>
      </c>
      <c r="J141" s="128">
        <f>IF(J198=0,0,$D138-SUM($E139:J139))</f>
        <v>2292000</v>
      </c>
      <c r="K141" s="128">
        <f>IF(K198=0,0,$D138-SUM($E139:K139))</f>
        <v>2076000</v>
      </c>
      <c r="L141" s="128">
        <f>IF(L198=0,0,$D138-SUM($E139:L139))</f>
        <v>1851000</v>
      </c>
      <c r="M141" s="128">
        <f>IF(M198=0,0,$D138-SUM($E139:M139))</f>
        <v>1617000</v>
      </c>
      <c r="N141" s="64">
        <f>IF(N198=0,0,$D138-SUM($E139:N139))</f>
        <v>1374000</v>
      </c>
      <c r="O141" s="64">
        <f>IF(O198=0,0,$D138-SUM($E139:O139))</f>
        <v>1121000</v>
      </c>
      <c r="P141" s="64">
        <f>IF(P198=0,0,$D138-SUM($E139:P139))</f>
        <v>858000</v>
      </c>
      <c r="Q141" s="400">
        <f>IF(Q198=0,0,$D138-SUM($E139:Q139))</f>
        <v>584000</v>
      </c>
      <c r="R141" s="115"/>
    </row>
    <row r="142" spans="1:18" s="133" customFormat="1" x14ac:dyDescent="0.2">
      <c r="A142" s="935"/>
      <c r="B142" s="827"/>
      <c r="C142" s="1443"/>
      <c r="D142" s="829"/>
      <c r="E142" s="987"/>
      <c r="F142" s="130"/>
      <c r="G142" s="132"/>
      <c r="H142" s="130"/>
      <c r="I142" s="132"/>
      <c r="J142" s="132"/>
      <c r="K142" s="132"/>
      <c r="L142" s="132"/>
      <c r="M142" s="132"/>
      <c r="N142" s="132"/>
      <c r="O142" s="132"/>
      <c r="P142" s="132"/>
      <c r="Q142" s="825"/>
      <c r="R142" s="131"/>
    </row>
    <row r="143" spans="1:18" s="133" customFormat="1" x14ac:dyDescent="0.2">
      <c r="A143" s="998" t="s">
        <v>6036</v>
      </c>
      <c r="B143" s="827"/>
      <c r="C143" s="1443">
        <f>C90</f>
        <v>0.04</v>
      </c>
      <c r="D143" s="829">
        <f>D90</f>
        <v>8340000</v>
      </c>
      <c r="E143" s="987"/>
      <c r="F143" s="130"/>
      <c r="G143" s="132"/>
      <c r="H143" s="132"/>
      <c r="I143" s="132"/>
      <c r="J143" s="132"/>
      <c r="K143" s="132"/>
      <c r="L143" s="132"/>
      <c r="M143" s="132"/>
      <c r="N143" s="132"/>
      <c r="O143" s="132"/>
      <c r="P143" s="132"/>
      <c r="Q143" s="825"/>
      <c r="R143" s="131"/>
    </row>
    <row r="144" spans="1:18" s="133" customFormat="1" x14ac:dyDescent="0.2">
      <c r="A144" s="935"/>
      <c r="B144" s="827"/>
      <c r="C144" s="1443"/>
      <c r="D144" s="829" t="s">
        <v>2604</v>
      </c>
      <c r="E144" s="987"/>
      <c r="F144" s="132"/>
      <c r="G144" s="132"/>
      <c r="H144" s="132"/>
      <c r="I144" s="132"/>
      <c r="J144" s="132"/>
      <c r="K144" s="132"/>
      <c r="L144" s="132">
        <f>IF(L90=0,0,-ROUND(PMT($C$90,$B$90,$D$90),-3)-L145)</f>
        <v>416000</v>
      </c>
      <c r="M144" s="132">
        <f t="shared" ref="M144:Q144" si="47">IF(M90=0,0,-ROUND(PMT($C$90,$B$90,$D$90),-3)-M145)</f>
        <v>433000</v>
      </c>
      <c r="N144" s="132">
        <f t="shared" si="47"/>
        <v>450000</v>
      </c>
      <c r="O144" s="132">
        <f t="shared" si="47"/>
        <v>468000</v>
      </c>
      <c r="P144" s="132">
        <f t="shared" si="47"/>
        <v>487000</v>
      </c>
      <c r="Q144" s="825">
        <f t="shared" si="47"/>
        <v>507000</v>
      </c>
      <c r="R144" s="131">
        <f>SUM(E144:Q144)</f>
        <v>2761000</v>
      </c>
    </row>
    <row r="145" spans="1:48" s="133" customFormat="1" x14ac:dyDescent="0.2">
      <c r="A145" s="935"/>
      <c r="B145" s="827"/>
      <c r="C145" s="1443"/>
      <c r="D145" s="829" t="s">
        <v>2671</v>
      </c>
      <c r="E145" s="987"/>
      <c r="F145" s="130"/>
      <c r="G145" s="132"/>
      <c r="H145" s="132"/>
      <c r="I145" s="132"/>
      <c r="J145" s="132"/>
      <c r="K145" s="132"/>
      <c r="L145" s="132">
        <f>IF(L90&gt;0,ROUND(K146*$C$90,-3),0)</f>
        <v>334000</v>
      </c>
      <c r="M145" s="132">
        <f t="shared" ref="M145:Q145" si="48">IF(M90&gt;0,ROUND(L146*$C$90,-3),0)</f>
        <v>317000</v>
      </c>
      <c r="N145" s="132">
        <f t="shared" si="48"/>
        <v>300000</v>
      </c>
      <c r="O145" s="132">
        <f t="shared" si="48"/>
        <v>282000</v>
      </c>
      <c r="P145" s="132">
        <f t="shared" si="48"/>
        <v>263000</v>
      </c>
      <c r="Q145" s="825">
        <f t="shared" si="48"/>
        <v>243000</v>
      </c>
      <c r="R145" s="131">
        <f>SUM(E145:Q145)</f>
        <v>1739000</v>
      </c>
    </row>
    <row r="146" spans="1:48" s="92" customFormat="1" x14ac:dyDescent="0.2">
      <c r="A146" s="943"/>
      <c r="B146" s="179"/>
      <c r="C146" s="1444"/>
      <c r="D146" s="839" t="s">
        <v>1275</v>
      </c>
      <c r="E146" s="796">
        <f>IF(E221=0,0,$D143-E144)</f>
        <v>0</v>
      </c>
      <c r="F146" s="128"/>
      <c r="G146" s="128"/>
      <c r="H146" s="128"/>
      <c r="I146" s="128"/>
      <c r="J146" s="128"/>
      <c r="K146" s="128">
        <f>D143</f>
        <v>8340000</v>
      </c>
      <c r="L146" s="128">
        <f>IF(L199=0,0,$D143-SUM($E144:L144))</f>
        <v>7924000</v>
      </c>
      <c r="M146" s="128">
        <f>IF(M199=0,0,$D143-SUM($E144:M144))</f>
        <v>7491000</v>
      </c>
      <c r="N146" s="64">
        <f>IF(N199=0,0,$D143-SUM($E144:N144))</f>
        <v>7041000</v>
      </c>
      <c r="O146" s="64">
        <f>IF(O199=0,0,$D143-SUM($E144:O144))</f>
        <v>6573000</v>
      </c>
      <c r="P146" s="64">
        <f>IF(P199=0,0,$D143-SUM($E144:P144))</f>
        <v>6086000</v>
      </c>
      <c r="Q146" s="400">
        <f>IF(Q199=0,0,$D143-SUM($E144:Q144))</f>
        <v>5579000</v>
      </c>
      <c r="R146" s="115"/>
    </row>
    <row r="147" spans="1:48" s="92" customFormat="1" x14ac:dyDescent="0.2">
      <c r="A147" s="943"/>
      <c r="B147" s="179"/>
      <c r="C147" s="1444"/>
      <c r="D147" s="839"/>
      <c r="E147" s="796"/>
      <c r="F147" s="128"/>
      <c r="G147" s="128"/>
      <c r="H147" s="128"/>
      <c r="I147" s="128"/>
      <c r="J147" s="128"/>
      <c r="K147" s="128"/>
      <c r="L147" s="128"/>
      <c r="M147" s="128"/>
      <c r="N147" s="64"/>
      <c r="O147" s="64"/>
      <c r="P147" s="64"/>
      <c r="Q147" s="117"/>
      <c r="R147" s="115"/>
    </row>
    <row r="148" spans="1:48" s="133" customFormat="1" ht="13.5" thickBot="1" x14ac:dyDescent="0.25">
      <c r="A148" s="1033"/>
      <c r="B148" s="1068"/>
      <c r="C148" s="1069"/>
      <c r="D148" s="1070"/>
      <c r="E148" s="1071"/>
      <c r="F148" s="836"/>
      <c r="G148" s="835"/>
      <c r="H148" s="836"/>
      <c r="I148" s="835"/>
      <c r="J148" s="835"/>
      <c r="K148" s="835"/>
      <c r="L148" s="835"/>
      <c r="M148" s="835"/>
      <c r="N148" s="835"/>
      <c r="O148" s="835"/>
      <c r="P148" s="835"/>
      <c r="Q148" s="849"/>
      <c r="R148" s="837"/>
    </row>
    <row r="149" spans="1:48" ht="13.5" thickTop="1" x14ac:dyDescent="0.2">
      <c r="A149" s="573"/>
      <c r="B149" s="573"/>
      <c r="O149" s="572"/>
      <c r="T149" s="573"/>
      <c r="U149" s="573"/>
      <c r="V149" s="573"/>
      <c r="W149" s="573"/>
      <c r="Z149" s="573"/>
      <c r="AA149" s="573"/>
      <c r="AC149" s="573"/>
      <c r="AE149" s="573"/>
      <c r="AU149" s="310"/>
      <c r="AV149" s="310"/>
    </row>
    <row r="150" spans="1:48" s="850" customFormat="1" ht="13.5" thickBot="1" x14ac:dyDescent="0.25">
      <c r="A150" s="1036"/>
      <c r="B150" s="1036"/>
      <c r="C150" s="1036"/>
      <c r="D150" s="1084"/>
      <c r="E150" s="1036"/>
      <c r="F150" s="1036"/>
      <c r="G150" s="1036"/>
      <c r="H150" s="1036"/>
      <c r="I150" s="1036"/>
      <c r="J150" s="1036"/>
      <c r="K150" s="1036"/>
      <c r="L150" s="1036"/>
      <c r="M150" s="1036"/>
      <c r="N150" s="1036"/>
      <c r="O150" s="1036"/>
      <c r="P150" s="1036"/>
      <c r="Q150" s="1036"/>
      <c r="R150" s="1036"/>
      <c r="S150" s="1036"/>
      <c r="T150" s="1036"/>
      <c r="U150" s="1036"/>
      <c r="V150" s="1036"/>
      <c r="W150" s="1036"/>
      <c r="X150" s="1036"/>
      <c r="Y150" s="1036"/>
      <c r="Z150" s="1036"/>
      <c r="AA150" s="1036"/>
      <c r="AC150" s="1036"/>
      <c r="AE150" s="1036"/>
    </row>
    <row r="151" spans="1:48" s="133" customFormat="1" ht="18.75" customHeight="1" thickTop="1" thickBot="1" x14ac:dyDescent="0.25">
      <c r="A151" s="2937" t="s">
        <v>93</v>
      </c>
      <c r="B151" s="2938"/>
      <c r="C151" s="2938"/>
      <c r="D151" s="2938"/>
      <c r="E151" s="2938"/>
      <c r="F151" s="2938"/>
      <c r="G151" s="2938"/>
      <c r="H151" s="2938"/>
      <c r="I151" s="2938"/>
      <c r="J151" s="2938"/>
      <c r="K151" s="2938"/>
      <c r="L151" s="2938"/>
      <c r="M151" s="2938"/>
      <c r="N151" s="2938"/>
      <c r="O151" s="2938"/>
      <c r="P151" s="2938"/>
      <c r="Q151" s="2938"/>
      <c r="R151" s="2939"/>
    </row>
    <row r="152" spans="1:48" s="133" customFormat="1" ht="14.25" thickTop="1" thickBot="1" x14ac:dyDescent="0.25">
      <c r="A152" s="980" t="s">
        <v>422</v>
      </c>
      <c r="B152" s="981"/>
      <c r="C152" s="981"/>
      <c r="D152" s="982" t="s">
        <v>1530</v>
      </c>
      <c r="E152" s="983" t="str">
        <f t="shared" ref="E152:R152" si="49">E96</f>
        <v>2014/15</v>
      </c>
      <c r="F152" s="983" t="str">
        <f t="shared" si="49"/>
        <v>2015/16</v>
      </c>
      <c r="G152" s="983" t="str">
        <f t="shared" si="49"/>
        <v>2016/17</v>
      </c>
      <c r="H152" s="983" t="str">
        <f t="shared" si="49"/>
        <v>2017/18</v>
      </c>
      <c r="I152" s="983" t="str">
        <f t="shared" si="49"/>
        <v>2018/19</v>
      </c>
      <c r="J152" s="983" t="str">
        <f t="shared" si="49"/>
        <v>2019/20</v>
      </c>
      <c r="K152" s="983" t="str">
        <f t="shared" si="49"/>
        <v>2020/21</v>
      </c>
      <c r="L152" s="983" t="str">
        <f t="shared" si="49"/>
        <v>2021/22</v>
      </c>
      <c r="M152" s="983" t="str">
        <f t="shared" si="49"/>
        <v>2022/23</v>
      </c>
      <c r="N152" s="981" t="str">
        <f t="shared" si="49"/>
        <v>2023/24</v>
      </c>
      <c r="O152" s="981" t="str">
        <f t="shared" si="49"/>
        <v>2024/25</v>
      </c>
      <c r="P152" s="981" t="str">
        <f t="shared" si="49"/>
        <v>2025/26</v>
      </c>
      <c r="Q152" s="981" t="str">
        <f t="shared" si="49"/>
        <v>2026/27</v>
      </c>
      <c r="R152" s="984" t="str">
        <f t="shared" si="49"/>
        <v>Total</v>
      </c>
    </row>
    <row r="153" spans="1:48" s="133" customFormat="1" x14ac:dyDescent="0.2">
      <c r="A153" s="998"/>
      <c r="B153" s="132"/>
      <c r="C153" s="132"/>
      <c r="D153" s="829"/>
      <c r="E153" s="130"/>
      <c r="F153" s="132"/>
      <c r="G153" s="130"/>
      <c r="H153" s="132"/>
      <c r="I153" s="132"/>
      <c r="J153" s="132"/>
      <c r="K153" s="132"/>
      <c r="L153" s="132"/>
      <c r="M153" s="132"/>
      <c r="N153" s="132"/>
      <c r="O153" s="132"/>
      <c r="P153" s="132"/>
      <c r="Q153" s="132"/>
      <c r="R153" s="131"/>
    </row>
    <row r="154" spans="1:48" s="133" customFormat="1" x14ac:dyDescent="0.2">
      <c r="A154" s="998" t="s">
        <v>6028</v>
      </c>
      <c r="B154" s="827"/>
      <c r="C154" s="828"/>
      <c r="D154" s="829">
        <f t="shared" ref="D154:D157" si="50">SUM(E154:N154)</f>
        <v>725000</v>
      </c>
      <c r="E154" s="132">
        <f>'Cap Inc'!A137</f>
        <v>725000</v>
      </c>
      <c r="F154" s="130"/>
      <c r="G154" s="132"/>
      <c r="H154" s="132"/>
      <c r="I154" s="132"/>
      <c r="J154" s="132"/>
      <c r="K154" s="132"/>
      <c r="L154" s="132"/>
      <c r="M154" s="132"/>
      <c r="N154" s="132"/>
      <c r="O154" s="132"/>
      <c r="P154" s="132"/>
      <c r="Q154" s="132"/>
      <c r="R154" s="131"/>
    </row>
    <row r="155" spans="1:48" s="133" customFormat="1" x14ac:dyDescent="0.2">
      <c r="A155" s="998" t="s">
        <v>6297</v>
      </c>
      <c r="B155" s="827"/>
      <c r="C155" s="828"/>
      <c r="D155" s="829">
        <f t="shared" si="50"/>
        <v>900000</v>
      </c>
      <c r="E155" s="132"/>
      <c r="F155" s="130"/>
      <c r="G155" s="132">
        <f>'Cap Inc'!E137</f>
        <v>900000</v>
      </c>
      <c r="H155" s="132"/>
      <c r="I155" s="132"/>
      <c r="J155" s="132"/>
      <c r="K155" s="132"/>
      <c r="L155" s="132"/>
      <c r="M155" s="132"/>
      <c r="N155" s="132"/>
      <c r="O155" s="132"/>
      <c r="P155" s="132"/>
      <c r="Q155" s="132"/>
      <c r="R155" s="131"/>
    </row>
    <row r="156" spans="1:48" s="133" customFormat="1" x14ac:dyDescent="0.2">
      <c r="A156" s="998" t="s">
        <v>1410</v>
      </c>
      <c r="B156" s="827"/>
      <c r="C156" s="828"/>
      <c r="D156" s="829">
        <f t="shared" si="50"/>
        <v>0</v>
      </c>
      <c r="E156" s="132"/>
      <c r="F156" s="130"/>
      <c r="G156" s="132"/>
      <c r="H156" s="132"/>
      <c r="I156" s="132"/>
      <c r="J156" s="132"/>
      <c r="K156" s="132"/>
      <c r="L156" s="132"/>
      <c r="M156" s="132"/>
      <c r="N156" s="132"/>
      <c r="O156" s="132"/>
      <c r="P156" s="132"/>
      <c r="Q156" s="132"/>
      <c r="R156" s="131"/>
    </row>
    <row r="157" spans="1:48" s="133" customFormat="1" x14ac:dyDescent="0.2">
      <c r="A157" s="998" t="s">
        <v>6061</v>
      </c>
      <c r="B157" s="827"/>
      <c r="C157" s="828"/>
      <c r="D157" s="829">
        <f t="shared" si="50"/>
        <v>500000</v>
      </c>
      <c r="E157" s="132"/>
      <c r="F157" s="130">
        <v>500000</v>
      </c>
      <c r="G157" s="132"/>
      <c r="H157" s="132"/>
      <c r="I157" s="132"/>
      <c r="J157" s="132"/>
      <c r="K157" s="132"/>
      <c r="L157" s="132"/>
      <c r="M157" s="132"/>
      <c r="N157" s="132"/>
      <c r="O157" s="132"/>
      <c r="P157" s="132"/>
      <c r="Q157" s="132"/>
      <c r="R157" s="131"/>
    </row>
    <row r="158" spans="1:48" s="133" customFormat="1" x14ac:dyDescent="0.2">
      <c r="A158" s="998" t="s">
        <v>7141</v>
      </c>
      <c r="B158" s="827"/>
      <c r="C158" s="828"/>
      <c r="D158" s="829">
        <f>'Cap Inc'!E149</f>
        <v>3818100</v>
      </c>
      <c r="E158" s="132"/>
      <c r="F158" s="132"/>
      <c r="G158" s="132">
        <f>'Cap Inc'!E149</f>
        <v>3818100</v>
      </c>
      <c r="H158" s="132"/>
      <c r="I158" s="78"/>
      <c r="J158" s="132"/>
      <c r="K158" s="132"/>
      <c r="L158" s="132"/>
      <c r="M158" s="132"/>
      <c r="N158" s="132"/>
      <c r="O158" s="132"/>
      <c r="P158" s="132"/>
      <c r="Q158" s="132"/>
      <c r="R158" s="131"/>
    </row>
    <row r="159" spans="1:48" s="133" customFormat="1" x14ac:dyDescent="0.2">
      <c r="A159" s="998" t="s">
        <v>7143</v>
      </c>
      <c r="B159" s="827"/>
      <c r="C159" s="828"/>
      <c r="D159" s="829">
        <f>'Cap Inc'!E150</f>
        <v>2893600</v>
      </c>
      <c r="E159" s="132"/>
      <c r="F159" s="132"/>
      <c r="G159" s="132">
        <f>'Cap Inc'!E150</f>
        <v>2893600</v>
      </c>
      <c r="H159" s="132"/>
      <c r="I159" s="132"/>
      <c r="J159" s="78"/>
      <c r="K159" s="132"/>
      <c r="L159" s="132"/>
      <c r="M159" s="132"/>
      <c r="N159" s="132"/>
      <c r="O159" s="132"/>
      <c r="P159" s="132"/>
      <c r="Q159" s="132"/>
      <c r="R159" s="131"/>
    </row>
    <row r="160" spans="1:48" s="133" customFormat="1" x14ac:dyDescent="0.2">
      <c r="A160" s="998" t="s">
        <v>7144</v>
      </c>
      <c r="B160" s="827"/>
      <c r="C160" s="828"/>
      <c r="D160" s="829">
        <f>'Cap Inc'!F149</f>
        <v>3309500</v>
      </c>
      <c r="E160" s="132"/>
      <c r="F160" s="132"/>
      <c r="G160" s="132"/>
      <c r="H160" s="132">
        <f>'Cap Inc'!F149</f>
        <v>3309500</v>
      </c>
      <c r="I160" s="78"/>
      <c r="J160" s="132"/>
      <c r="K160" s="132"/>
      <c r="L160" s="132"/>
      <c r="M160" s="132"/>
      <c r="N160" s="132"/>
      <c r="O160" s="132"/>
      <c r="P160" s="132"/>
      <c r="Q160" s="132"/>
      <c r="R160" s="131"/>
    </row>
    <row r="161" spans="1:48" s="133" customFormat="1" x14ac:dyDescent="0.2">
      <c r="A161" s="998" t="s">
        <v>7142</v>
      </c>
      <c r="B161" s="827"/>
      <c r="C161" s="828"/>
      <c r="D161" s="829">
        <f>'Cap Inc'!F150</f>
        <v>2618300</v>
      </c>
      <c r="E161" s="132"/>
      <c r="F161" s="132"/>
      <c r="G161" s="132"/>
      <c r="H161" s="132">
        <f>'Cap Inc'!F150</f>
        <v>2618300</v>
      </c>
      <c r="I161" s="132"/>
      <c r="J161" s="78"/>
      <c r="K161" s="132"/>
      <c r="L161" s="132"/>
      <c r="M161" s="132"/>
      <c r="N161" s="132"/>
      <c r="O161" s="132"/>
      <c r="P161" s="132"/>
      <c r="Q161" s="132"/>
      <c r="R161" s="131"/>
    </row>
    <row r="162" spans="1:48" s="133" customFormat="1" x14ac:dyDescent="0.2">
      <c r="A162" s="998" t="s">
        <v>6027</v>
      </c>
      <c r="B162" s="827"/>
      <c r="C162" s="828"/>
      <c r="D162" s="829">
        <f>I162</f>
        <v>2500000</v>
      </c>
      <c r="E162" s="132"/>
      <c r="F162" s="132"/>
      <c r="G162" s="132"/>
      <c r="H162" s="132"/>
      <c r="I162" s="132">
        <f>'Cap-Gen'!H126</f>
        <v>2500000</v>
      </c>
      <c r="J162" s="78"/>
      <c r="K162" s="132"/>
      <c r="L162" s="132"/>
      <c r="M162" s="132"/>
      <c r="N162" s="132"/>
      <c r="O162" s="132"/>
      <c r="P162" s="132"/>
      <c r="Q162" s="132"/>
      <c r="R162" s="131"/>
    </row>
    <row r="163" spans="1:48" s="133" customFormat="1" x14ac:dyDescent="0.2">
      <c r="A163" s="998" t="s">
        <v>6036</v>
      </c>
      <c r="B163" s="827"/>
      <c r="C163" s="828"/>
      <c r="D163" s="829">
        <f>K163</f>
        <v>8340000</v>
      </c>
      <c r="E163" s="132"/>
      <c r="F163" s="132"/>
      <c r="G163" s="132"/>
      <c r="H163" s="132"/>
      <c r="I163" s="132"/>
      <c r="J163" s="78"/>
      <c r="K163" s="132">
        <f>'Cap-Gen'!AR129+'Cap-Gen'!AR130+'Cap-Gen'!AR131</f>
        <v>8340000</v>
      </c>
      <c r="L163" s="132"/>
      <c r="M163" s="132"/>
      <c r="N163" s="132"/>
      <c r="O163" s="132"/>
      <c r="P163" s="132"/>
      <c r="Q163" s="132"/>
      <c r="R163" s="131"/>
    </row>
    <row r="164" spans="1:48" s="133" customFormat="1" ht="13.5" thickBot="1" x14ac:dyDescent="0.25">
      <c r="A164" s="998"/>
      <c r="B164" s="827"/>
      <c r="C164" s="828"/>
      <c r="D164" s="829"/>
      <c r="E164" s="130"/>
      <c r="F164" s="132"/>
      <c r="G164" s="130"/>
      <c r="H164" s="132"/>
      <c r="I164" s="132"/>
      <c r="J164" s="132"/>
      <c r="K164" s="132"/>
      <c r="L164" s="132"/>
      <c r="M164" s="835"/>
      <c r="N164" s="132"/>
      <c r="O164" s="132"/>
      <c r="P164" s="132"/>
      <c r="Q164" s="132"/>
      <c r="R164" s="131"/>
    </row>
    <row r="165" spans="1:48" s="92" customFormat="1" ht="13.5" thickTop="1" x14ac:dyDescent="0.2">
      <c r="A165" s="1040" t="s">
        <v>1530</v>
      </c>
      <c r="B165" s="505"/>
      <c r="C165" s="832"/>
      <c r="D165" s="833">
        <f>SUM(D154:D164)</f>
        <v>25604500</v>
      </c>
      <c r="E165" s="122">
        <f>SUM(E154:E164)</f>
        <v>725000</v>
      </c>
      <c r="F165" s="162">
        <f t="shared" ref="F165:O165" si="51">SUM(F154:F164)</f>
        <v>500000</v>
      </c>
      <c r="G165" s="122">
        <f>SUM(G154:G164)</f>
        <v>7611700</v>
      </c>
      <c r="H165" s="162">
        <f t="shared" si="51"/>
        <v>5927800</v>
      </c>
      <c r="I165" s="162">
        <f t="shared" si="51"/>
        <v>2500000</v>
      </c>
      <c r="J165" s="162">
        <f t="shared" si="51"/>
        <v>0</v>
      </c>
      <c r="K165" s="162">
        <f t="shared" si="51"/>
        <v>8340000</v>
      </c>
      <c r="L165" s="162">
        <f t="shared" si="51"/>
        <v>0</v>
      </c>
      <c r="M165" s="162">
        <f t="shared" si="51"/>
        <v>0</v>
      </c>
      <c r="N165" s="162">
        <f t="shared" si="51"/>
        <v>0</v>
      </c>
      <c r="O165" s="162">
        <f t="shared" si="51"/>
        <v>0</v>
      </c>
      <c r="P165" s="162">
        <f t="shared" ref="P165:R165" si="52">SUM(P154:P164)</f>
        <v>0</v>
      </c>
      <c r="Q165" s="162">
        <f t="shared" ref="Q165" si="53">SUM(Q154:Q164)</f>
        <v>0</v>
      </c>
      <c r="R165" s="126">
        <f t="shared" si="52"/>
        <v>0</v>
      </c>
    </row>
    <row r="166" spans="1:48" s="133" customFormat="1" ht="13.5" thickBot="1" x14ac:dyDescent="0.25">
      <c r="A166" s="834"/>
      <c r="B166" s="835"/>
      <c r="C166" s="835"/>
      <c r="D166" s="1070"/>
      <c r="E166" s="836"/>
      <c r="F166" s="835"/>
      <c r="G166" s="836"/>
      <c r="H166" s="835"/>
      <c r="I166" s="835"/>
      <c r="J166" s="835"/>
      <c r="K166" s="835"/>
      <c r="L166" s="835"/>
      <c r="M166" s="835"/>
      <c r="N166" s="835"/>
      <c r="O166" s="835"/>
      <c r="P166" s="835"/>
      <c r="Q166" s="835"/>
      <c r="R166" s="837"/>
    </row>
    <row r="167" spans="1:48" ht="13.5" thickTop="1" x14ac:dyDescent="0.2">
      <c r="A167" s="573"/>
      <c r="B167" s="573"/>
      <c r="T167" s="573"/>
      <c r="U167" s="573"/>
      <c r="V167" s="573"/>
      <c r="W167" s="573"/>
      <c r="Z167" s="573"/>
      <c r="AA167" s="573"/>
      <c r="AC167" s="573"/>
      <c r="AE167" s="573"/>
      <c r="AU167" s="310"/>
      <c r="AV167" s="310"/>
    </row>
    <row r="168" spans="1:48" ht="13.5" thickBot="1" x14ac:dyDescent="0.25">
      <c r="A168" s="573"/>
      <c r="B168" s="573"/>
      <c r="T168" s="573"/>
      <c r="U168" s="573"/>
      <c r="V168" s="573"/>
      <c r="W168" s="573"/>
      <c r="Z168" s="573"/>
      <c r="AA168" s="573"/>
      <c r="AC168" s="573"/>
      <c r="AE168" s="573"/>
      <c r="AU168" s="310"/>
      <c r="AV168" s="310"/>
    </row>
    <row r="169" spans="1:48" s="133" customFormat="1" ht="18.75" customHeight="1" thickTop="1" thickBot="1" x14ac:dyDescent="0.25">
      <c r="A169" s="2940" t="s">
        <v>4301</v>
      </c>
      <c r="B169" s="2941"/>
      <c r="C169" s="2941"/>
      <c r="D169" s="2941"/>
      <c r="E169" s="2941"/>
      <c r="F169" s="2941"/>
      <c r="G169" s="2941"/>
      <c r="H169" s="2941"/>
      <c r="I169" s="2941"/>
      <c r="J169" s="2941"/>
      <c r="K169" s="2941"/>
      <c r="L169" s="2941"/>
      <c r="M169" s="2941"/>
      <c r="N169" s="2941"/>
      <c r="O169" s="2941"/>
      <c r="P169" s="2941"/>
      <c r="Q169" s="2942"/>
    </row>
    <row r="170" spans="1:48" s="133" customFormat="1" ht="14.25" thickTop="1" thickBot="1" x14ac:dyDescent="0.25">
      <c r="A170" s="1514" t="s">
        <v>422</v>
      </c>
      <c r="B170" s="981"/>
      <c r="C170" s="981"/>
      <c r="D170" s="982" t="s">
        <v>1530</v>
      </c>
      <c r="E170" s="983" t="str">
        <f t="shared" ref="E170:N170" si="54">E152</f>
        <v>2014/15</v>
      </c>
      <c r="F170" s="983" t="str">
        <f t="shared" si="54"/>
        <v>2015/16</v>
      </c>
      <c r="G170" s="983" t="str">
        <f t="shared" si="54"/>
        <v>2016/17</v>
      </c>
      <c r="H170" s="983" t="str">
        <f t="shared" si="54"/>
        <v>2017/18</v>
      </c>
      <c r="I170" s="983" t="str">
        <f t="shared" si="54"/>
        <v>2018/19</v>
      </c>
      <c r="J170" s="983" t="str">
        <f t="shared" si="54"/>
        <v>2019/20</v>
      </c>
      <c r="K170" s="983" t="str">
        <f t="shared" si="54"/>
        <v>2020/21</v>
      </c>
      <c r="L170" s="983" t="str">
        <f t="shared" si="54"/>
        <v>2021/22</v>
      </c>
      <c r="M170" s="983" t="str">
        <f t="shared" si="54"/>
        <v>2022/23</v>
      </c>
      <c r="N170" s="981" t="str">
        <f t="shared" si="54"/>
        <v>2023/24</v>
      </c>
      <c r="O170" s="981" t="str">
        <f>O152</f>
        <v>2024/25</v>
      </c>
      <c r="P170" s="981" t="str">
        <f>P152</f>
        <v>2025/26</v>
      </c>
      <c r="Q170" s="984" t="str">
        <f>Q152</f>
        <v>2026/27</v>
      </c>
    </row>
    <row r="171" spans="1:48" s="133" customFormat="1" x14ac:dyDescent="0.2">
      <c r="A171" s="998"/>
      <c r="B171" s="132"/>
      <c r="C171" s="132"/>
      <c r="D171" s="829"/>
      <c r="E171" s="130"/>
      <c r="F171" s="132"/>
      <c r="G171" s="130"/>
      <c r="H171" s="132"/>
      <c r="I171" s="132"/>
      <c r="J171" s="132"/>
      <c r="K171" s="132"/>
      <c r="L171" s="132"/>
      <c r="M171" s="132"/>
      <c r="N171" s="132"/>
      <c r="O171" s="132"/>
      <c r="P171" s="132"/>
      <c r="Q171" s="131"/>
    </row>
    <row r="172" spans="1:48" s="133" customFormat="1" x14ac:dyDescent="0.2">
      <c r="A172" s="998" t="str">
        <f>A154</f>
        <v>Airport  - Car Park</v>
      </c>
      <c r="B172" s="827"/>
      <c r="C172" s="828"/>
      <c r="D172" s="829">
        <f t="shared" ref="D172:D179" si="55">D154</f>
        <v>725000</v>
      </c>
      <c r="E172" s="132">
        <f>IF(E190&gt;0,$D172,0)</f>
        <v>725000</v>
      </c>
      <c r="F172" s="130">
        <f t="shared" ref="F172:Q172" si="56">IF(F190&gt;0,$D172,0)</f>
        <v>725000</v>
      </c>
      <c r="G172" s="132">
        <f t="shared" si="56"/>
        <v>725000</v>
      </c>
      <c r="H172" s="132">
        <f t="shared" si="56"/>
        <v>725000</v>
      </c>
      <c r="I172" s="132">
        <f t="shared" si="56"/>
        <v>725000</v>
      </c>
      <c r="J172" s="132">
        <f t="shared" si="56"/>
        <v>725000</v>
      </c>
      <c r="K172" s="132">
        <f t="shared" si="56"/>
        <v>725000</v>
      </c>
      <c r="L172" s="132">
        <f t="shared" si="56"/>
        <v>725000</v>
      </c>
      <c r="M172" s="132">
        <f t="shared" si="56"/>
        <v>0</v>
      </c>
      <c r="N172" s="132">
        <f t="shared" si="56"/>
        <v>0</v>
      </c>
      <c r="O172" s="132">
        <f t="shared" si="56"/>
        <v>0</v>
      </c>
      <c r="P172" s="132">
        <f t="shared" si="56"/>
        <v>0</v>
      </c>
      <c r="Q172" s="131">
        <f t="shared" si="56"/>
        <v>0</v>
      </c>
    </row>
    <row r="173" spans="1:48" s="133" customFormat="1" x14ac:dyDescent="0.2">
      <c r="A173" s="998" t="s">
        <v>6297</v>
      </c>
      <c r="B173" s="827"/>
      <c r="C173" s="828"/>
      <c r="D173" s="829">
        <f t="shared" si="55"/>
        <v>900000</v>
      </c>
      <c r="E173" s="132">
        <f t="shared" ref="E173:Q181" si="57">IF(E191&gt;0,$D173,0)</f>
        <v>0</v>
      </c>
      <c r="F173" s="130">
        <f t="shared" si="57"/>
        <v>0</v>
      </c>
      <c r="G173" s="132">
        <f t="shared" si="57"/>
        <v>900000</v>
      </c>
      <c r="H173" s="132">
        <f t="shared" si="57"/>
        <v>900000</v>
      </c>
      <c r="I173" s="132">
        <f t="shared" si="57"/>
        <v>900000</v>
      </c>
      <c r="J173" s="132">
        <f t="shared" si="57"/>
        <v>900000</v>
      </c>
      <c r="K173" s="132">
        <f t="shared" si="57"/>
        <v>900000</v>
      </c>
      <c r="L173" s="132">
        <f t="shared" si="57"/>
        <v>900000</v>
      </c>
      <c r="M173" s="132">
        <f t="shared" si="57"/>
        <v>900000</v>
      </c>
      <c r="N173" s="132">
        <f t="shared" si="57"/>
        <v>900000</v>
      </c>
      <c r="O173" s="132">
        <f t="shared" si="57"/>
        <v>900000</v>
      </c>
      <c r="P173" s="132">
        <f t="shared" si="57"/>
        <v>900000</v>
      </c>
      <c r="Q173" s="131">
        <f t="shared" si="57"/>
        <v>900000</v>
      </c>
    </row>
    <row r="174" spans="1:48" s="133" customFormat="1" x14ac:dyDescent="0.2">
      <c r="A174" s="998" t="str">
        <f t="shared" ref="A174:A181" si="58">A156</f>
        <v>Hutley Drive</v>
      </c>
      <c r="B174" s="827"/>
      <c r="C174" s="828"/>
      <c r="D174" s="829">
        <f t="shared" si="55"/>
        <v>0</v>
      </c>
      <c r="E174" s="132">
        <f t="shared" si="57"/>
        <v>0</v>
      </c>
      <c r="F174" s="130">
        <f t="shared" si="57"/>
        <v>0</v>
      </c>
      <c r="G174" s="132">
        <f t="shared" si="57"/>
        <v>0</v>
      </c>
      <c r="H174" s="132">
        <f t="shared" si="57"/>
        <v>0</v>
      </c>
      <c r="I174" s="132">
        <f t="shared" si="57"/>
        <v>0</v>
      </c>
      <c r="J174" s="132">
        <f t="shared" si="57"/>
        <v>0</v>
      </c>
      <c r="K174" s="132">
        <f t="shared" si="57"/>
        <v>0</v>
      </c>
      <c r="L174" s="132">
        <f t="shared" si="57"/>
        <v>0</v>
      </c>
      <c r="M174" s="132">
        <f t="shared" si="57"/>
        <v>0</v>
      </c>
      <c r="N174" s="132">
        <f t="shared" si="57"/>
        <v>0</v>
      </c>
      <c r="O174" s="132">
        <f t="shared" si="57"/>
        <v>0</v>
      </c>
      <c r="P174" s="132">
        <f t="shared" si="57"/>
        <v>0</v>
      </c>
      <c r="Q174" s="131">
        <f t="shared" si="57"/>
        <v>0</v>
      </c>
    </row>
    <row r="175" spans="1:48" s="133" customFormat="1" x14ac:dyDescent="0.2">
      <c r="A175" s="998" t="str">
        <f t="shared" si="58"/>
        <v>Airport - Apron</v>
      </c>
      <c r="B175" s="827"/>
      <c r="C175" s="828"/>
      <c r="D175" s="829">
        <f t="shared" si="55"/>
        <v>500000</v>
      </c>
      <c r="E175" s="132">
        <f t="shared" si="57"/>
        <v>0</v>
      </c>
      <c r="F175" s="130">
        <f t="shared" si="57"/>
        <v>500000</v>
      </c>
      <c r="G175" s="132">
        <f>IF(G193&gt;0,$D175,0)</f>
        <v>500000</v>
      </c>
      <c r="H175" s="132">
        <f>IF(H193&gt;0,$D175,0)</f>
        <v>500000</v>
      </c>
      <c r="I175" s="132">
        <f t="shared" si="57"/>
        <v>500000</v>
      </c>
      <c r="J175" s="132">
        <f t="shared" si="57"/>
        <v>500000</v>
      </c>
      <c r="K175" s="132">
        <f t="shared" si="57"/>
        <v>500000</v>
      </c>
      <c r="L175" s="132">
        <f t="shared" si="57"/>
        <v>500000</v>
      </c>
      <c r="M175" s="132">
        <f t="shared" si="57"/>
        <v>500000</v>
      </c>
      <c r="N175" s="132">
        <f t="shared" si="57"/>
        <v>500000</v>
      </c>
      <c r="O175" s="132">
        <f t="shared" si="57"/>
        <v>500000</v>
      </c>
      <c r="P175" s="132">
        <f t="shared" si="57"/>
        <v>0</v>
      </c>
      <c r="Q175" s="131">
        <f t="shared" si="57"/>
        <v>0</v>
      </c>
    </row>
    <row r="176" spans="1:48" s="133" customFormat="1" x14ac:dyDescent="0.2">
      <c r="A176" s="998" t="str">
        <f t="shared" si="58"/>
        <v>Ballina Swimming Pool - Stage One</v>
      </c>
      <c r="B176" s="827"/>
      <c r="C176" s="828"/>
      <c r="D176" s="829">
        <f t="shared" si="55"/>
        <v>3818100</v>
      </c>
      <c r="E176" s="132">
        <f t="shared" si="57"/>
        <v>0</v>
      </c>
      <c r="F176" s="130">
        <f t="shared" si="57"/>
        <v>0</v>
      </c>
      <c r="G176" s="132">
        <f t="shared" si="57"/>
        <v>3818100</v>
      </c>
      <c r="H176" s="132">
        <f>IF(H194&gt;0,$D176,0)</f>
        <v>3818100</v>
      </c>
      <c r="I176" s="132">
        <f t="shared" si="57"/>
        <v>3818100</v>
      </c>
      <c r="J176" s="132">
        <f t="shared" si="57"/>
        <v>3818100</v>
      </c>
      <c r="K176" s="132">
        <f t="shared" si="57"/>
        <v>3818100</v>
      </c>
      <c r="L176" s="132">
        <f t="shared" si="57"/>
        <v>3818100</v>
      </c>
      <c r="M176" s="132">
        <f t="shared" si="57"/>
        <v>3818100</v>
      </c>
      <c r="N176" s="132">
        <f t="shared" si="57"/>
        <v>3818100</v>
      </c>
      <c r="O176" s="132">
        <f t="shared" si="57"/>
        <v>3818100</v>
      </c>
      <c r="P176" s="132">
        <f t="shared" si="57"/>
        <v>3818100</v>
      </c>
      <c r="Q176" s="131">
        <f t="shared" si="57"/>
        <v>3818100</v>
      </c>
    </row>
    <row r="177" spans="1:48" s="133" customFormat="1" x14ac:dyDescent="0.2">
      <c r="A177" s="998" t="str">
        <f t="shared" si="58"/>
        <v>Alstonville Swimming Pool - Stage One</v>
      </c>
      <c r="B177" s="827"/>
      <c r="C177" s="828"/>
      <c r="D177" s="829">
        <f t="shared" si="55"/>
        <v>2893600</v>
      </c>
      <c r="E177" s="132">
        <f t="shared" si="57"/>
        <v>0</v>
      </c>
      <c r="F177" s="130">
        <f t="shared" si="57"/>
        <v>0</v>
      </c>
      <c r="G177" s="132">
        <f t="shared" si="57"/>
        <v>2893600</v>
      </c>
      <c r="H177" s="132">
        <f t="shared" si="57"/>
        <v>2893600</v>
      </c>
      <c r="I177" s="132">
        <f t="shared" si="57"/>
        <v>2893600</v>
      </c>
      <c r="J177" s="132">
        <f t="shared" si="57"/>
        <v>2893600</v>
      </c>
      <c r="K177" s="132">
        <f t="shared" si="57"/>
        <v>2893600</v>
      </c>
      <c r="L177" s="132">
        <f t="shared" si="57"/>
        <v>2893600</v>
      </c>
      <c r="M177" s="132">
        <f t="shared" si="57"/>
        <v>2893600</v>
      </c>
      <c r="N177" s="132">
        <f t="shared" si="57"/>
        <v>2893600</v>
      </c>
      <c r="O177" s="132">
        <f t="shared" si="57"/>
        <v>2893600</v>
      </c>
      <c r="P177" s="132">
        <f t="shared" si="57"/>
        <v>2893600</v>
      </c>
      <c r="Q177" s="131">
        <f t="shared" si="57"/>
        <v>2893600</v>
      </c>
    </row>
    <row r="178" spans="1:48" s="133" customFormat="1" x14ac:dyDescent="0.2">
      <c r="A178" s="998" t="str">
        <f t="shared" si="58"/>
        <v>Ballina Swimming Pool - Stage Two</v>
      </c>
      <c r="B178" s="827"/>
      <c r="C178" s="828"/>
      <c r="D178" s="829">
        <f t="shared" si="55"/>
        <v>3309500</v>
      </c>
      <c r="E178" s="132">
        <f t="shared" si="57"/>
        <v>0</v>
      </c>
      <c r="F178" s="130">
        <f t="shared" si="57"/>
        <v>0</v>
      </c>
      <c r="G178" s="132">
        <f t="shared" si="57"/>
        <v>0</v>
      </c>
      <c r="H178" s="132">
        <f t="shared" si="57"/>
        <v>3309500</v>
      </c>
      <c r="I178" s="132">
        <f t="shared" si="57"/>
        <v>3309500</v>
      </c>
      <c r="J178" s="132">
        <f t="shared" si="57"/>
        <v>3309500</v>
      </c>
      <c r="K178" s="132">
        <f t="shared" si="57"/>
        <v>3309500</v>
      </c>
      <c r="L178" s="132">
        <f t="shared" si="57"/>
        <v>3309500</v>
      </c>
      <c r="M178" s="132">
        <f t="shared" si="57"/>
        <v>3309500</v>
      </c>
      <c r="N178" s="132">
        <f t="shared" si="57"/>
        <v>3309500</v>
      </c>
      <c r="O178" s="132">
        <f t="shared" si="57"/>
        <v>3309500</v>
      </c>
      <c r="P178" s="132">
        <f t="shared" si="57"/>
        <v>3309500</v>
      </c>
      <c r="Q178" s="131">
        <f t="shared" si="57"/>
        <v>3309500</v>
      </c>
    </row>
    <row r="179" spans="1:48" s="133" customFormat="1" x14ac:dyDescent="0.2">
      <c r="A179" s="998" t="str">
        <f t="shared" si="58"/>
        <v>Alstonville Swimming Pool - Stage Two</v>
      </c>
      <c r="B179" s="827"/>
      <c r="C179" s="828"/>
      <c r="D179" s="829">
        <f t="shared" si="55"/>
        <v>2618300</v>
      </c>
      <c r="E179" s="132">
        <f t="shared" si="57"/>
        <v>0</v>
      </c>
      <c r="F179" s="130">
        <f t="shared" si="57"/>
        <v>0</v>
      </c>
      <c r="G179" s="132">
        <f t="shared" si="57"/>
        <v>0</v>
      </c>
      <c r="H179" s="132">
        <f t="shared" si="57"/>
        <v>2618300</v>
      </c>
      <c r="I179" s="132">
        <f t="shared" si="57"/>
        <v>2618300</v>
      </c>
      <c r="J179" s="132">
        <f t="shared" si="57"/>
        <v>2618300</v>
      </c>
      <c r="K179" s="132">
        <f t="shared" si="57"/>
        <v>2618300</v>
      </c>
      <c r="L179" s="132">
        <f t="shared" si="57"/>
        <v>2618300</v>
      </c>
      <c r="M179" s="132">
        <f t="shared" si="57"/>
        <v>2618300</v>
      </c>
      <c r="N179" s="132">
        <f t="shared" si="57"/>
        <v>2618300</v>
      </c>
      <c r="O179" s="132">
        <f t="shared" si="57"/>
        <v>2618300</v>
      </c>
      <c r="P179" s="132">
        <f t="shared" si="57"/>
        <v>2618300</v>
      </c>
      <c r="Q179" s="131">
        <f t="shared" si="57"/>
        <v>2618300</v>
      </c>
    </row>
    <row r="180" spans="1:48" s="133" customFormat="1" x14ac:dyDescent="0.2">
      <c r="A180" s="998" t="str">
        <f t="shared" si="58"/>
        <v>River St Upgrade - Moon to Grant</v>
      </c>
      <c r="B180" s="827"/>
      <c r="C180" s="828"/>
      <c r="D180" s="829">
        <f t="shared" ref="D180" si="59">D162</f>
        <v>2500000</v>
      </c>
      <c r="E180" s="132">
        <f t="shared" si="57"/>
        <v>0</v>
      </c>
      <c r="F180" s="130">
        <f t="shared" si="57"/>
        <v>0</v>
      </c>
      <c r="G180" s="132">
        <f t="shared" si="57"/>
        <v>0</v>
      </c>
      <c r="H180" s="132">
        <f t="shared" si="57"/>
        <v>0</v>
      </c>
      <c r="I180" s="132">
        <f t="shared" si="57"/>
        <v>2500000</v>
      </c>
      <c r="J180" s="132">
        <f t="shared" si="57"/>
        <v>2500000</v>
      </c>
      <c r="K180" s="132">
        <f t="shared" si="57"/>
        <v>2500000</v>
      </c>
      <c r="L180" s="132">
        <f t="shared" si="57"/>
        <v>2500000</v>
      </c>
      <c r="M180" s="132">
        <f t="shared" si="57"/>
        <v>2500000</v>
      </c>
      <c r="N180" s="132">
        <f t="shared" si="57"/>
        <v>2500000</v>
      </c>
      <c r="O180" s="132">
        <f t="shared" si="57"/>
        <v>2500000</v>
      </c>
      <c r="P180" s="132">
        <f t="shared" si="57"/>
        <v>2500000</v>
      </c>
      <c r="Q180" s="131">
        <f t="shared" si="57"/>
        <v>2500000</v>
      </c>
    </row>
    <row r="181" spans="1:48" s="133" customFormat="1" x14ac:dyDescent="0.2">
      <c r="A181" s="998" t="str">
        <f t="shared" si="58"/>
        <v xml:space="preserve">River St - Four Laning - Section 94 </v>
      </c>
      <c r="B181" s="827"/>
      <c r="C181" s="828"/>
      <c r="D181" s="829">
        <f t="shared" ref="D181" si="60">D163</f>
        <v>8340000</v>
      </c>
      <c r="E181" s="132">
        <f t="shared" si="57"/>
        <v>0</v>
      </c>
      <c r="F181" s="130">
        <f t="shared" si="57"/>
        <v>0</v>
      </c>
      <c r="G181" s="132">
        <f t="shared" si="57"/>
        <v>0</v>
      </c>
      <c r="H181" s="132">
        <f t="shared" si="57"/>
        <v>0</v>
      </c>
      <c r="I181" s="132">
        <f t="shared" si="57"/>
        <v>0</v>
      </c>
      <c r="J181" s="132">
        <f t="shared" si="57"/>
        <v>0</v>
      </c>
      <c r="K181" s="132">
        <f t="shared" si="57"/>
        <v>8340000</v>
      </c>
      <c r="L181" s="132">
        <f t="shared" si="57"/>
        <v>8340000</v>
      </c>
      <c r="M181" s="132">
        <f t="shared" si="57"/>
        <v>8340000</v>
      </c>
      <c r="N181" s="132">
        <f t="shared" si="57"/>
        <v>8340000</v>
      </c>
      <c r="O181" s="132">
        <f t="shared" si="57"/>
        <v>8340000</v>
      </c>
      <c r="P181" s="132">
        <f t="shared" si="57"/>
        <v>8340000</v>
      </c>
      <c r="Q181" s="131">
        <f t="shared" si="57"/>
        <v>8340000</v>
      </c>
    </row>
    <row r="182" spans="1:48" s="133" customFormat="1" ht="13.5" thickBot="1" x14ac:dyDescent="0.25">
      <c r="A182" s="998"/>
      <c r="B182" s="827"/>
      <c r="C182" s="828"/>
      <c r="D182" s="829"/>
      <c r="E182" s="130"/>
      <c r="F182" s="132"/>
      <c r="G182" s="130"/>
      <c r="H182" s="132"/>
      <c r="I182" s="132"/>
      <c r="J182" s="132"/>
      <c r="K182" s="132"/>
      <c r="L182" s="132"/>
      <c r="M182" s="835"/>
      <c r="N182" s="132"/>
      <c r="O182" s="132"/>
      <c r="P182" s="132"/>
      <c r="Q182" s="131"/>
    </row>
    <row r="183" spans="1:48" s="92" customFormat="1" ht="13.5" thickTop="1" x14ac:dyDescent="0.2">
      <c r="A183" s="1040" t="s">
        <v>1530</v>
      </c>
      <c r="B183" s="505"/>
      <c r="C183" s="832"/>
      <c r="D183" s="833">
        <f t="shared" ref="D183:Q183" si="61">SUM(D172:D182)</f>
        <v>25604500</v>
      </c>
      <c r="E183" s="122">
        <f t="shared" si="61"/>
        <v>725000</v>
      </c>
      <c r="F183" s="122">
        <f t="shared" si="61"/>
        <v>1225000</v>
      </c>
      <c r="G183" s="122">
        <f t="shared" si="61"/>
        <v>8836700</v>
      </c>
      <c r="H183" s="122">
        <f t="shared" si="61"/>
        <v>14764500</v>
      </c>
      <c r="I183" s="122">
        <f t="shared" si="61"/>
        <v>17264500</v>
      </c>
      <c r="J183" s="122">
        <f t="shared" si="61"/>
        <v>17264500</v>
      </c>
      <c r="K183" s="122">
        <f t="shared" si="61"/>
        <v>25604500</v>
      </c>
      <c r="L183" s="122">
        <f t="shared" si="61"/>
        <v>25604500</v>
      </c>
      <c r="M183" s="122">
        <f t="shared" si="61"/>
        <v>24879500</v>
      </c>
      <c r="N183" s="122">
        <f t="shared" si="61"/>
        <v>24879500</v>
      </c>
      <c r="O183" s="122">
        <f t="shared" si="61"/>
        <v>24879500</v>
      </c>
      <c r="P183" s="162">
        <f t="shared" si="61"/>
        <v>24379500</v>
      </c>
      <c r="Q183" s="126">
        <f t="shared" si="61"/>
        <v>24379500</v>
      </c>
    </row>
    <row r="184" spans="1:48" s="133" customFormat="1" ht="13.5" thickBot="1" x14ac:dyDescent="0.25">
      <c r="A184" s="834"/>
      <c r="B184" s="835"/>
      <c r="C184" s="835"/>
      <c r="D184" s="1070"/>
      <c r="E184" s="836"/>
      <c r="F184" s="835"/>
      <c r="G184" s="836"/>
      <c r="H184" s="835"/>
      <c r="I184" s="835"/>
      <c r="J184" s="835"/>
      <c r="K184" s="835"/>
      <c r="L184" s="835"/>
      <c r="M184" s="835"/>
      <c r="N184" s="835"/>
      <c r="O184" s="835"/>
      <c r="P184" s="835"/>
      <c r="Q184" s="837"/>
    </row>
    <row r="185" spans="1:48" ht="13.5" thickTop="1" x14ac:dyDescent="0.2"/>
    <row r="186" spans="1:48" ht="13.5" thickBot="1" x14ac:dyDescent="0.25">
      <c r="A186" s="573"/>
      <c r="B186" s="573"/>
      <c r="T186" s="573"/>
      <c r="U186" s="573"/>
      <c r="V186" s="573"/>
      <c r="W186" s="573"/>
      <c r="Z186" s="573"/>
      <c r="AA186" s="573"/>
      <c r="AC186" s="573"/>
      <c r="AE186" s="573"/>
      <c r="AU186" s="310"/>
      <c r="AV186" s="310"/>
    </row>
    <row r="187" spans="1:48" s="133" customFormat="1" ht="18.75" customHeight="1" thickTop="1" thickBot="1" x14ac:dyDescent="0.25">
      <c r="A187" s="2937" t="s">
        <v>94</v>
      </c>
      <c r="B187" s="2938"/>
      <c r="C187" s="2938"/>
      <c r="D187" s="2938"/>
      <c r="E187" s="2938"/>
      <c r="F187" s="2938"/>
      <c r="G187" s="2938"/>
      <c r="H187" s="2938"/>
      <c r="I187" s="2938"/>
      <c r="J187" s="2938"/>
      <c r="K187" s="2938"/>
      <c r="L187" s="2938"/>
      <c r="M187" s="2938"/>
      <c r="N187" s="2938"/>
      <c r="O187" s="2938"/>
      <c r="P187" s="2938"/>
      <c r="Q187" s="2939"/>
    </row>
    <row r="188" spans="1:48" s="133" customFormat="1" ht="14.25" thickTop="1" thickBot="1" x14ac:dyDescent="0.25">
      <c r="A188" s="980" t="s">
        <v>422</v>
      </c>
      <c r="B188" s="981"/>
      <c r="C188" s="981"/>
      <c r="D188" s="982"/>
      <c r="E188" s="983" t="str">
        <f t="shared" ref="E188:O188" si="62">E152</f>
        <v>2014/15</v>
      </c>
      <c r="F188" s="983" t="str">
        <f t="shared" si="62"/>
        <v>2015/16</v>
      </c>
      <c r="G188" s="983" t="str">
        <f t="shared" si="62"/>
        <v>2016/17</v>
      </c>
      <c r="H188" s="983" t="str">
        <f t="shared" si="62"/>
        <v>2017/18</v>
      </c>
      <c r="I188" s="983" t="str">
        <f t="shared" si="62"/>
        <v>2018/19</v>
      </c>
      <c r="J188" s="983" t="str">
        <f t="shared" si="62"/>
        <v>2019/20</v>
      </c>
      <c r="K188" s="983" t="str">
        <f t="shared" si="62"/>
        <v>2020/21</v>
      </c>
      <c r="L188" s="983" t="str">
        <f t="shared" si="62"/>
        <v>2021/22</v>
      </c>
      <c r="M188" s="983" t="str">
        <f t="shared" si="62"/>
        <v>2022/23</v>
      </c>
      <c r="N188" s="981" t="str">
        <f t="shared" si="62"/>
        <v>2023/24</v>
      </c>
      <c r="O188" s="981" t="str">
        <f t="shared" si="62"/>
        <v>2024/25</v>
      </c>
      <c r="P188" s="981" t="str">
        <f t="shared" ref="P188:Q188" si="63">P152</f>
        <v>2025/26</v>
      </c>
      <c r="Q188" s="984" t="str">
        <f t="shared" si="63"/>
        <v>2026/27</v>
      </c>
    </row>
    <row r="189" spans="1:48" s="133" customFormat="1" x14ac:dyDescent="0.2">
      <c r="A189" s="824"/>
      <c r="B189" s="132"/>
      <c r="C189" s="132"/>
      <c r="D189" s="829"/>
      <c r="E189" s="130"/>
      <c r="F189" s="132"/>
      <c r="G189" s="130"/>
      <c r="H189" s="132"/>
      <c r="I189" s="132"/>
      <c r="J189" s="132"/>
      <c r="K189" s="132"/>
      <c r="L189" s="132"/>
      <c r="M189" s="132"/>
      <c r="N189" s="132"/>
      <c r="O189" s="132"/>
      <c r="P189" s="132"/>
      <c r="Q189" s="131"/>
    </row>
    <row r="190" spans="1:48" s="133" customFormat="1" x14ac:dyDescent="0.2">
      <c r="A190" s="998" t="str">
        <f t="shared" ref="A190:A197" si="64">A172</f>
        <v>Airport  - Car Park</v>
      </c>
      <c r="B190" s="827"/>
      <c r="C190" s="828"/>
      <c r="D190" s="829"/>
      <c r="E190" s="132">
        <f>IF(D190&gt;0,D190-E99,E154)</f>
        <v>725000</v>
      </c>
      <c r="F190" s="130">
        <f t="shared" ref="F190:P190" si="65">IF(E190&gt;0,E190-F99,F154)</f>
        <v>646100</v>
      </c>
      <c r="G190" s="132">
        <f t="shared" si="65"/>
        <v>564100</v>
      </c>
      <c r="H190" s="132">
        <f>IF(G190&gt;0,G190-H99,H154)</f>
        <v>478800</v>
      </c>
      <c r="I190" s="132">
        <f t="shared" si="65"/>
        <v>390200</v>
      </c>
      <c r="J190" s="132">
        <f t="shared" si="65"/>
        <v>298100</v>
      </c>
      <c r="K190" s="132">
        <f t="shared" si="65"/>
        <v>202400</v>
      </c>
      <c r="L190" s="132">
        <f t="shared" si="65"/>
        <v>103000</v>
      </c>
      <c r="M190" s="132">
        <f t="shared" si="65"/>
        <v>0</v>
      </c>
      <c r="N190" s="132">
        <f t="shared" si="65"/>
        <v>0</v>
      </c>
      <c r="O190" s="132">
        <f t="shared" si="65"/>
        <v>0</v>
      </c>
      <c r="P190" s="132">
        <f t="shared" si="65"/>
        <v>0</v>
      </c>
      <c r="Q190" s="131">
        <f t="shared" ref="Q190" si="66">IF(P190&gt;0,P190-Q99,Q154)</f>
        <v>0</v>
      </c>
    </row>
    <row r="191" spans="1:48" s="133" customFormat="1" x14ac:dyDescent="0.2">
      <c r="A191" s="998" t="str">
        <f t="shared" si="64"/>
        <v>Airport - Terminal</v>
      </c>
      <c r="B191" s="827"/>
      <c r="C191" s="828"/>
      <c r="D191" s="829"/>
      <c r="E191" s="132">
        <f>IF(D191&gt;0,D191-E104,E155)</f>
        <v>0</v>
      </c>
      <c r="F191" s="130">
        <f t="shared" ref="F191:P191" si="67">IF(E191&gt;0,E191-F104,F155)</f>
        <v>0</v>
      </c>
      <c r="G191" s="132">
        <f t="shared" si="67"/>
        <v>900000</v>
      </c>
      <c r="H191" s="132">
        <f t="shared" si="67"/>
        <v>854800</v>
      </c>
      <c r="I191" s="132">
        <f t="shared" si="67"/>
        <v>807800</v>
      </c>
      <c r="J191" s="132">
        <f t="shared" si="67"/>
        <v>759000</v>
      </c>
      <c r="K191" s="132">
        <f t="shared" si="67"/>
        <v>708300</v>
      </c>
      <c r="L191" s="132">
        <f t="shared" si="67"/>
        <v>655600</v>
      </c>
      <c r="M191" s="132">
        <f t="shared" si="67"/>
        <v>600800</v>
      </c>
      <c r="N191" s="132">
        <f t="shared" si="67"/>
        <v>543800</v>
      </c>
      <c r="O191" s="132">
        <f t="shared" si="67"/>
        <v>484700</v>
      </c>
      <c r="P191" s="132">
        <f t="shared" si="67"/>
        <v>423200</v>
      </c>
      <c r="Q191" s="131">
        <f t="shared" ref="Q191" si="68">IF(P191&gt;0,P191-Q104,Q155)</f>
        <v>359200</v>
      </c>
    </row>
    <row r="192" spans="1:48" s="133" customFormat="1" x14ac:dyDescent="0.2">
      <c r="A192" s="998" t="str">
        <f t="shared" si="64"/>
        <v>Hutley Drive</v>
      </c>
      <c r="B192" s="827"/>
      <c r="C192" s="828"/>
      <c r="D192" s="829"/>
      <c r="E192" s="132">
        <f>IF(D192&gt;0,D192-E109,E156)</f>
        <v>0</v>
      </c>
      <c r="F192" s="130">
        <f t="shared" ref="F192:P192" si="69">IF(E192&gt;0,E192-F109,F156)</f>
        <v>0</v>
      </c>
      <c r="G192" s="132">
        <f t="shared" si="69"/>
        <v>0</v>
      </c>
      <c r="H192" s="132">
        <f t="shared" si="69"/>
        <v>0</v>
      </c>
      <c r="I192" s="132">
        <f t="shared" si="69"/>
        <v>0</v>
      </c>
      <c r="J192" s="132">
        <f t="shared" si="69"/>
        <v>0</v>
      </c>
      <c r="K192" s="132">
        <f t="shared" si="69"/>
        <v>0</v>
      </c>
      <c r="L192" s="132">
        <f t="shared" si="69"/>
        <v>0</v>
      </c>
      <c r="M192" s="132">
        <f t="shared" si="69"/>
        <v>0</v>
      </c>
      <c r="N192" s="132">
        <f t="shared" si="69"/>
        <v>0</v>
      </c>
      <c r="O192" s="132">
        <f t="shared" si="69"/>
        <v>0</v>
      </c>
      <c r="P192" s="132">
        <f t="shared" si="69"/>
        <v>0</v>
      </c>
      <c r="Q192" s="131">
        <f t="shared" ref="Q192" si="70">IF(P192&gt;0,P192-Q109,Q156)</f>
        <v>0</v>
      </c>
    </row>
    <row r="193" spans="1:17" s="133" customFormat="1" x14ac:dyDescent="0.2">
      <c r="A193" s="998" t="str">
        <f t="shared" si="64"/>
        <v>Airport - Apron</v>
      </c>
      <c r="B193" s="827"/>
      <c r="C193" s="828"/>
      <c r="D193" s="829"/>
      <c r="E193" s="132">
        <f>IF(D193&gt;0,D193-E114,E157)</f>
        <v>0</v>
      </c>
      <c r="F193" s="130">
        <f t="shared" ref="F193:P193" si="71">IF(E193&gt;0,E193-F114,F157)</f>
        <v>500000</v>
      </c>
      <c r="G193" s="130">
        <f t="shared" si="71"/>
        <v>457500</v>
      </c>
      <c r="H193" s="132">
        <f>IF(G193&gt;0,G193-H114,H157)</f>
        <v>413400</v>
      </c>
      <c r="I193" s="132">
        <f t="shared" si="71"/>
        <v>367800</v>
      </c>
      <c r="J193" s="132">
        <f t="shared" si="71"/>
        <v>320600</v>
      </c>
      <c r="K193" s="132">
        <f t="shared" si="71"/>
        <v>271400</v>
      </c>
      <c r="L193" s="132">
        <f t="shared" si="71"/>
        <v>220800</v>
      </c>
      <c r="M193" s="132">
        <f t="shared" si="71"/>
        <v>168400</v>
      </c>
      <c r="N193" s="132">
        <f t="shared" si="71"/>
        <v>114200</v>
      </c>
      <c r="O193" s="132">
        <f t="shared" si="71"/>
        <v>58100</v>
      </c>
      <c r="P193" s="132">
        <f t="shared" si="71"/>
        <v>0</v>
      </c>
      <c r="Q193" s="131">
        <f t="shared" ref="Q193" si="72">IF(P193&gt;0,P193-Q114,Q157)</f>
        <v>0</v>
      </c>
    </row>
    <row r="194" spans="1:17" s="133" customFormat="1" x14ac:dyDescent="0.2">
      <c r="A194" s="998" t="str">
        <f t="shared" si="64"/>
        <v>Ballina Swimming Pool - Stage One</v>
      </c>
      <c r="B194" s="827"/>
      <c r="C194" s="828"/>
      <c r="D194" s="829"/>
      <c r="E194" s="132">
        <f>IF(D194&gt;0,D194-E119,E158)</f>
        <v>0</v>
      </c>
      <c r="F194" s="130">
        <f t="shared" ref="F194:G194" si="73">IF(E194&gt;0,E194-F119,F158)</f>
        <v>0</v>
      </c>
      <c r="G194" s="132">
        <f t="shared" si="73"/>
        <v>3818100</v>
      </c>
      <c r="H194" s="132">
        <f>IF(G194&gt;0,G194-H119,H158)</f>
        <v>3683100</v>
      </c>
      <c r="I194" s="132">
        <f t="shared" ref="I194:P194" si="74">IF(H194&gt;0,H194-I119,I158)</f>
        <v>3543100</v>
      </c>
      <c r="J194" s="132">
        <f t="shared" si="74"/>
        <v>3398100</v>
      </c>
      <c r="K194" s="132">
        <f t="shared" si="74"/>
        <v>3248100</v>
      </c>
      <c r="L194" s="132">
        <f t="shared" si="74"/>
        <v>3093100</v>
      </c>
      <c r="M194" s="132">
        <f t="shared" si="74"/>
        <v>2932100</v>
      </c>
      <c r="N194" s="132">
        <f t="shared" si="74"/>
        <v>2766100</v>
      </c>
      <c r="O194" s="132">
        <f t="shared" si="74"/>
        <v>2594100</v>
      </c>
      <c r="P194" s="132">
        <f t="shared" si="74"/>
        <v>2416100</v>
      </c>
      <c r="Q194" s="131">
        <f t="shared" ref="Q194" si="75">IF(P194&gt;0,P194-Q119,Q158)</f>
        <v>2232100</v>
      </c>
    </row>
    <row r="195" spans="1:17" s="133" customFormat="1" x14ac:dyDescent="0.2">
      <c r="A195" s="998" t="str">
        <f t="shared" si="64"/>
        <v>Alstonville Swimming Pool - Stage One</v>
      </c>
      <c r="B195" s="827"/>
      <c r="C195" s="828"/>
      <c r="D195" s="829"/>
      <c r="E195" s="132">
        <f>IF(D195&gt;0,D195-E124,E159)</f>
        <v>0</v>
      </c>
      <c r="F195" s="130">
        <f t="shared" ref="F195:O195" si="76">IF(E195&gt;0,E195-F124,F159)</f>
        <v>0</v>
      </c>
      <c r="G195" s="132">
        <f t="shared" si="76"/>
        <v>2893600</v>
      </c>
      <c r="H195" s="132">
        <f>IF(G195&gt;0,G195-H124,H159)</f>
        <v>2790600</v>
      </c>
      <c r="I195" s="132">
        <f t="shared" si="76"/>
        <v>2684600</v>
      </c>
      <c r="J195" s="132">
        <f t="shared" si="76"/>
        <v>2574600</v>
      </c>
      <c r="K195" s="132">
        <f t="shared" si="76"/>
        <v>2460600</v>
      </c>
      <c r="L195" s="132">
        <f t="shared" si="76"/>
        <v>2342600</v>
      </c>
      <c r="M195" s="132">
        <f t="shared" si="76"/>
        <v>2220600</v>
      </c>
      <c r="N195" s="132">
        <f t="shared" si="76"/>
        <v>2094600</v>
      </c>
      <c r="O195" s="132">
        <f t="shared" si="76"/>
        <v>1963600</v>
      </c>
      <c r="P195" s="132">
        <f>IF(O195&gt;0,O195-P124,P159)</f>
        <v>1828600</v>
      </c>
      <c r="Q195" s="131">
        <f>IF(P195&gt;0,P195-Q124,Q159)</f>
        <v>1688600</v>
      </c>
    </row>
    <row r="196" spans="1:17" s="133" customFormat="1" x14ac:dyDescent="0.2">
      <c r="A196" s="998" t="str">
        <f t="shared" si="64"/>
        <v>Ballina Swimming Pool - Stage Two</v>
      </c>
      <c r="B196" s="827"/>
      <c r="C196" s="828"/>
      <c r="D196" s="829"/>
      <c r="E196" s="132">
        <f>IF(D196&gt;0,D196-E129,E160)</f>
        <v>0</v>
      </c>
      <c r="F196" s="130">
        <f t="shared" ref="F196:P196" si="77">IF(E196&gt;0,E196-F129,F160)</f>
        <v>0</v>
      </c>
      <c r="G196" s="132">
        <f t="shared" si="77"/>
        <v>0</v>
      </c>
      <c r="H196" s="132">
        <f>IF(G196&gt;0,G196-H129,H160)</f>
        <v>3309500</v>
      </c>
      <c r="I196" s="132">
        <f t="shared" si="77"/>
        <v>3194500</v>
      </c>
      <c r="J196" s="132">
        <f t="shared" si="77"/>
        <v>3075500</v>
      </c>
      <c r="K196" s="132">
        <f t="shared" si="77"/>
        <v>2951500</v>
      </c>
      <c r="L196" s="132">
        <f t="shared" si="77"/>
        <v>2822500</v>
      </c>
      <c r="M196" s="132">
        <f t="shared" si="77"/>
        <v>2688500</v>
      </c>
      <c r="N196" s="132">
        <f t="shared" si="77"/>
        <v>2549500</v>
      </c>
      <c r="O196" s="132">
        <f t="shared" si="77"/>
        <v>2404500</v>
      </c>
      <c r="P196" s="132">
        <f t="shared" si="77"/>
        <v>2253500</v>
      </c>
      <c r="Q196" s="131">
        <f t="shared" ref="Q196" si="78">IF(P196&gt;0,P196-Q129,Q160)</f>
        <v>2096500</v>
      </c>
    </row>
    <row r="197" spans="1:17" s="133" customFormat="1" x14ac:dyDescent="0.2">
      <c r="A197" s="998" t="str">
        <f t="shared" si="64"/>
        <v>Alstonville Swimming Pool - Stage Two</v>
      </c>
      <c r="B197" s="827"/>
      <c r="C197" s="828"/>
      <c r="D197" s="829"/>
      <c r="E197" s="132">
        <f>IF(D197&gt;0,D197-E134,E161)</f>
        <v>0</v>
      </c>
      <c r="F197" s="130">
        <f t="shared" ref="F197:P197" si="79">IF(E197&gt;0,E197-F134,F161)</f>
        <v>0</v>
      </c>
      <c r="G197" s="132">
        <f t="shared" si="79"/>
        <v>0</v>
      </c>
      <c r="H197" s="132">
        <f>IF(G197&gt;0,G197-H134,H161)</f>
        <v>2618300</v>
      </c>
      <c r="I197" s="132">
        <f t="shared" si="79"/>
        <v>2527300</v>
      </c>
      <c r="J197" s="132">
        <f t="shared" si="79"/>
        <v>2433300</v>
      </c>
      <c r="K197" s="132">
        <f t="shared" si="79"/>
        <v>2335300</v>
      </c>
      <c r="L197" s="132">
        <f t="shared" si="79"/>
        <v>2233300</v>
      </c>
      <c r="M197" s="132">
        <f t="shared" si="79"/>
        <v>2127300</v>
      </c>
      <c r="N197" s="132">
        <f t="shared" si="79"/>
        <v>2017300</v>
      </c>
      <c r="O197" s="132">
        <f t="shared" si="79"/>
        <v>1902300</v>
      </c>
      <c r="P197" s="132">
        <f t="shared" si="79"/>
        <v>1783300</v>
      </c>
      <c r="Q197" s="131">
        <f t="shared" ref="Q197" si="80">IF(P197&gt;0,P197-Q134,Q161)</f>
        <v>1659300</v>
      </c>
    </row>
    <row r="198" spans="1:17" s="133" customFormat="1" x14ac:dyDescent="0.2">
      <c r="A198" s="998" t="str">
        <f t="shared" ref="A198:A199" si="81">A180</f>
        <v>River St Upgrade - Moon to Grant</v>
      </c>
      <c r="B198" s="827"/>
      <c r="C198" s="828"/>
      <c r="D198" s="829"/>
      <c r="E198" s="132">
        <f>IF(D198&gt;0,D198-E139,E162)</f>
        <v>0</v>
      </c>
      <c r="F198" s="130">
        <f t="shared" ref="F198:Q198" si="82">IF(E198&gt;0,E198-F139,F162)</f>
        <v>0</v>
      </c>
      <c r="G198" s="132">
        <f t="shared" si="82"/>
        <v>0</v>
      </c>
      <c r="H198" s="132">
        <f t="shared" si="82"/>
        <v>0</v>
      </c>
      <c r="I198" s="132">
        <f t="shared" si="82"/>
        <v>2500000</v>
      </c>
      <c r="J198" s="132">
        <f t="shared" si="82"/>
        <v>2292000</v>
      </c>
      <c r="K198" s="132">
        <f t="shared" si="82"/>
        <v>2076000</v>
      </c>
      <c r="L198" s="132">
        <f t="shared" si="82"/>
        <v>1851000</v>
      </c>
      <c r="M198" s="132">
        <f t="shared" si="82"/>
        <v>1617000</v>
      </c>
      <c r="N198" s="132">
        <f t="shared" si="82"/>
        <v>1374000</v>
      </c>
      <c r="O198" s="132">
        <f t="shared" si="82"/>
        <v>1121000</v>
      </c>
      <c r="P198" s="132">
        <f t="shared" si="82"/>
        <v>858000</v>
      </c>
      <c r="Q198" s="131">
        <f t="shared" si="82"/>
        <v>584000</v>
      </c>
    </row>
    <row r="199" spans="1:17" s="133" customFormat="1" x14ac:dyDescent="0.2">
      <c r="A199" s="998" t="str">
        <f t="shared" si="81"/>
        <v xml:space="preserve">River St - Four Laning - Section 94 </v>
      </c>
      <c r="B199" s="827"/>
      <c r="C199" s="828"/>
      <c r="D199" s="829"/>
      <c r="E199" s="132">
        <f>IF(D199&gt;0,D199-E144,E163)</f>
        <v>0</v>
      </c>
      <c r="F199" s="130">
        <f t="shared" ref="F199:Q199" si="83">IF(E199&gt;0,E199-F144,F163)</f>
        <v>0</v>
      </c>
      <c r="G199" s="132">
        <f t="shared" si="83"/>
        <v>0</v>
      </c>
      <c r="H199" s="132">
        <f t="shared" si="83"/>
        <v>0</v>
      </c>
      <c r="I199" s="132">
        <f t="shared" si="83"/>
        <v>0</v>
      </c>
      <c r="J199" s="132">
        <f t="shared" si="83"/>
        <v>0</v>
      </c>
      <c r="K199" s="132">
        <f t="shared" si="83"/>
        <v>8340000</v>
      </c>
      <c r="L199" s="132">
        <f t="shared" si="83"/>
        <v>7924000</v>
      </c>
      <c r="M199" s="132">
        <f t="shared" si="83"/>
        <v>7491000</v>
      </c>
      <c r="N199" s="132">
        <f t="shared" si="83"/>
        <v>7041000</v>
      </c>
      <c r="O199" s="132">
        <f t="shared" si="83"/>
        <v>6573000</v>
      </c>
      <c r="P199" s="132">
        <f t="shared" si="83"/>
        <v>6086000</v>
      </c>
      <c r="Q199" s="131">
        <f t="shared" si="83"/>
        <v>5579000</v>
      </c>
    </row>
    <row r="200" spans="1:17" s="133" customFormat="1" ht="13.5" thickBot="1" x14ac:dyDescent="0.25">
      <c r="A200" s="826"/>
      <c r="B200" s="827"/>
      <c r="C200" s="828"/>
      <c r="D200" s="829"/>
      <c r="E200" s="130"/>
      <c r="F200" s="132"/>
      <c r="G200" s="130"/>
      <c r="H200" s="132"/>
      <c r="I200" s="132"/>
      <c r="J200" s="132"/>
      <c r="K200" s="132"/>
      <c r="L200" s="132"/>
      <c r="M200" s="835"/>
      <c r="N200" s="132"/>
      <c r="O200" s="132"/>
      <c r="P200" s="132"/>
      <c r="Q200" s="131"/>
    </row>
    <row r="201" spans="1:17" s="92" customFormat="1" ht="13.5" thickTop="1" x14ac:dyDescent="0.2">
      <c r="A201" s="1038" t="s">
        <v>1530</v>
      </c>
      <c r="B201" s="505"/>
      <c r="C201" s="832"/>
      <c r="D201" s="833"/>
      <c r="E201" s="122">
        <f>SUM(E190:E200)</f>
        <v>725000</v>
      </c>
      <c r="F201" s="162">
        <f>SUM(F190:F200)</f>
        <v>1146100</v>
      </c>
      <c r="G201" s="122">
        <f t="shared" ref="G201:O201" si="84">SUM(G190:G200)</f>
        <v>8633300</v>
      </c>
      <c r="H201" s="162">
        <f t="shared" si="84"/>
        <v>14148500</v>
      </c>
      <c r="I201" s="162">
        <f t="shared" si="84"/>
        <v>16015300</v>
      </c>
      <c r="J201" s="162">
        <f t="shared" si="84"/>
        <v>15151200</v>
      </c>
      <c r="K201" s="162">
        <f t="shared" si="84"/>
        <v>22593600</v>
      </c>
      <c r="L201" s="162">
        <f>SUM(L190:L200)</f>
        <v>21245900</v>
      </c>
      <c r="M201" s="162">
        <f t="shared" si="84"/>
        <v>19845700</v>
      </c>
      <c r="N201" s="162">
        <f t="shared" si="84"/>
        <v>18500500</v>
      </c>
      <c r="O201" s="162">
        <f t="shared" si="84"/>
        <v>17101300</v>
      </c>
      <c r="P201" s="162">
        <f t="shared" ref="P201:Q201" si="85">SUM(P190:P200)</f>
        <v>15648700</v>
      </c>
      <c r="Q201" s="126">
        <f t="shared" si="85"/>
        <v>14198700</v>
      </c>
    </row>
    <row r="202" spans="1:17" s="133" customFormat="1" ht="13.5" thickBot="1" x14ac:dyDescent="0.25">
      <c r="A202" s="834"/>
      <c r="B202" s="835"/>
      <c r="C202" s="835"/>
      <c r="D202" s="1070"/>
      <c r="E202" s="836"/>
      <c r="F202" s="835"/>
      <c r="G202" s="836"/>
      <c r="H202" s="835"/>
      <c r="I202" s="835"/>
      <c r="J202" s="835"/>
      <c r="K202" s="835"/>
      <c r="L202" s="835"/>
      <c r="M202" s="835"/>
      <c r="N202" s="835"/>
      <c r="O202" s="835"/>
      <c r="P202" s="835"/>
      <c r="Q202" s="837"/>
    </row>
    <row r="203" spans="1:17" ht="13.5" thickTop="1" x14ac:dyDescent="0.2"/>
    <row r="210" spans="9:10" x14ac:dyDescent="0.2">
      <c r="I210" s="1843"/>
      <c r="J210" s="1843"/>
    </row>
    <row r="211" spans="9:10" x14ac:dyDescent="0.2">
      <c r="J211" s="1845"/>
    </row>
    <row r="213" spans="9:10" x14ac:dyDescent="0.2">
      <c r="J213" s="1844"/>
    </row>
  </sheetData>
  <mergeCells count="18">
    <mergeCell ref="Q3:R3"/>
    <mergeCell ref="M3:N3"/>
    <mergeCell ref="A151:R151"/>
    <mergeCell ref="A169:Q169"/>
    <mergeCell ref="A187:Q187"/>
    <mergeCell ref="AE3:AF3"/>
    <mergeCell ref="A2:AF2"/>
    <mergeCell ref="O3:P3"/>
    <mergeCell ref="AC3:AD3"/>
    <mergeCell ref="S3:T3"/>
    <mergeCell ref="W3:X3"/>
    <mergeCell ref="E3:F3"/>
    <mergeCell ref="G3:H3"/>
    <mergeCell ref="I3:J3"/>
    <mergeCell ref="U3:V3"/>
    <mergeCell ref="AA3:AB3"/>
    <mergeCell ref="Y3:Z3"/>
    <mergeCell ref="K3:L3"/>
  </mergeCells>
  <phoneticPr fontId="9" type="noConversion"/>
  <printOptions horizontalCentered="1"/>
  <pageMargins left="0.19685039370078741" right="0.15748031496062992" top="0.39370078740157483" bottom="0.39370078740157483" header="0.51181102362204722" footer="0.51181102362204722"/>
  <pageSetup paperSize="8" scale="59" orientation="landscape" blackAndWhite="1" verticalDpi="360"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T97"/>
  <sheetViews>
    <sheetView topLeftCell="A40" zoomScaleNormal="100" workbookViewId="0">
      <selection activeCell="D58" sqref="D58"/>
    </sheetView>
  </sheetViews>
  <sheetFormatPr defaultColWidth="9.140625" defaultRowHeight="12.75" x14ac:dyDescent="0.2"/>
  <cols>
    <col min="1" max="1" width="10.140625" style="84" customWidth="1"/>
    <col min="2" max="2" width="14.5703125" style="550" customWidth="1"/>
    <col min="3" max="3" width="9.140625" style="84" bestFit="1" customWidth="1"/>
    <col min="4" max="4" width="37.5703125" style="84" bestFit="1" customWidth="1"/>
    <col min="5" max="5" width="9.140625" style="84" bestFit="1" customWidth="1"/>
    <col min="6" max="7" width="10.140625" style="84" bestFit="1" customWidth="1"/>
    <col min="8" max="9" width="10.28515625" style="84" bestFit="1" customWidth="1"/>
    <col min="10" max="16" width="11.28515625" style="84" bestFit="1" customWidth="1"/>
    <col min="17" max="16384" width="9.140625" style="84"/>
  </cols>
  <sheetData>
    <row r="1" spans="1:16" s="91" customFormat="1" ht="18.75" customHeight="1" thickTop="1" thickBot="1" x14ac:dyDescent="0.3">
      <c r="A1" s="2865" t="s">
        <v>3131</v>
      </c>
      <c r="B1" s="2866"/>
      <c r="C1" s="2866"/>
      <c r="D1" s="2866"/>
      <c r="E1" s="2866"/>
      <c r="F1" s="2866"/>
      <c r="G1" s="2866"/>
      <c r="H1" s="2866"/>
      <c r="I1" s="2866"/>
      <c r="J1" s="2866"/>
      <c r="K1" s="2866"/>
      <c r="L1" s="2866"/>
      <c r="M1" s="2866"/>
      <c r="N1" s="2866"/>
      <c r="O1" s="2866"/>
      <c r="P1" s="2867"/>
    </row>
    <row r="2" spans="1:16" s="44" customFormat="1" x14ac:dyDescent="0.2">
      <c r="A2" s="2888" t="s">
        <v>1856</v>
      </c>
      <c r="B2" s="2889"/>
      <c r="C2" s="2890"/>
      <c r="D2" s="2649" t="str">
        <f>D17</f>
        <v>BUDGET ITEMS</v>
      </c>
      <c r="E2" s="2839" t="s">
        <v>2253</v>
      </c>
      <c r="F2" s="2840"/>
      <c r="G2" s="2840"/>
      <c r="H2" s="2840"/>
      <c r="I2" s="2840"/>
      <c r="J2" s="2840"/>
      <c r="K2" s="2840"/>
      <c r="L2" s="2840"/>
      <c r="M2" s="2840"/>
      <c r="N2" s="2840"/>
      <c r="O2" s="2840"/>
      <c r="P2" s="2841"/>
    </row>
    <row r="3" spans="1:16" s="23" customFormat="1" ht="12.75" customHeight="1" thickBot="1" x14ac:dyDescent="0.25">
      <c r="A3" s="45" t="str">
        <f>A18</f>
        <v>2013/14</v>
      </c>
      <c r="B3" s="501"/>
      <c r="C3" s="93" t="str">
        <f>C18</f>
        <v>2014/15</v>
      </c>
      <c r="D3" s="42"/>
      <c r="E3" s="93" t="str">
        <f t="shared" ref="E3:N3" si="0">E18</f>
        <v>2015/16</v>
      </c>
      <c r="F3" s="93" t="str">
        <f t="shared" si="0"/>
        <v>2016/17</v>
      </c>
      <c r="G3" s="370" t="str">
        <f t="shared" si="0"/>
        <v>2017/18</v>
      </c>
      <c r="H3" s="370" t="str">
        <f t="shared" si="0"/>
        <v>2018/19</v>
      </c>
      <c r="I3" s="370" t="str">
        <f t="shared" si="0"/>
        <v>2019/20</v>
      </c>
      <c r="J3" s="370" t="str">
        <f t="shared" si="0"/>
        <v>2020/21</v>
      </c>
      <c r="K3" s="370" t="str">
        <f t="shared" si="0"/>
        <v>2021/22</v>
      </c>
      <c r="L3" s="370" t="str">
        <f t="shared" si="0"/>
        <v>2022/23</v>
      </c>
      <c r="M3" s="370" t="str">
        <f t="shared" si="0"/>
        <v>2023/24</v>
      </c>
      <c r="N3" s="370" t="str">
        <f t="shared" si="0"/>
        <v>2024/25</v>
      </c>
      <c r="O3" s="218" t="str">
        <f t="shared" ref="O3:P3" si="1">O18</f>
        <v>2025/26</v>
      </c>
      <c r="P3" s="549" t="str">
        <f t="shared" si="1"/>
        <v>2026/27</v>
      </c>
    </row>
    <row r="4" spans="1:16" x14ac:dyDescent="0.2">
      <c r="A4" s="107">
        <v>209700</v>
      </c>
      <c r="B4" s="658"/>
      <c r="C4" s="187">
        <f>C20-C42+A4+SP!C399-C80-C86</f>
        <v>552200</v>
      </c>
      <c r="D4" s="33" t="s">
        <v>202</v>
      </c>
      <c r="E4" s="187">
        <f>E20-E42++C4+SP!D399-E80-E86</f>
        <v>548700</v>
      </c>
      <c r="F4" s="187">
        <f>F20-F42++E4+SP!G399-F80-F86</f>
        <v>328700</v>
      </c>
      <c r="G4" s="187">
        <f>G20-G42++F4+SP!I399-G80-G86</f>
        <v>457200</v>
      </c>
      <c r="H4" s="187">
        <f>H20-H42++G4+SP!J399-H80-H86</f>
        <v>596700</v>
      </c>
      <c r="I4" s="187">
        <f>I20-I42++H4+SP!K399-I80-I86</f>
        <v>747200</v>
      </c>
      <c r="J4" s="187">
        <f>J20-J42++I4+SP!L399-J80-J86</f>
        <v>909200</v>
      </c>
      <c r="K4" s="187">
        <f>K20-K42++J4+SP!M399-K80-K86</f>
        <v>1081700</v>
      </c>
      <c r="L4" s="187">
        <f>L20-L42++K4+SP!N399-L80-L86</f>
        <v>1265200</v>
      </c>
      <c r="M4" s="187">
        <f>M20-M42++L4+SP!O399-M80-M86</f>
        <v>1459700</v>
      </c>
      <c r="N4" s="187">
        <f>N20-N42++M4+SP!P399-N80-N86</f>
        <v>1665700</v>
      </c>
      <c r="O4" s="187">
        <f>O20-O42++N4+SP!Q399-O80-O86</f>
        <v>1883200</v>
      </c>
      <c r="P4" s="188">
        <f>P20-P42++O4+SP!R399-P80-P86</f>
        <v>2113700</v>
      </c>
    </row>
    <row r="5" spans="1:16" x14ac:dyDescent="0.2">
      <c r="A5" s="107">
        <v>290700</v>
      </c>
      <c r="B5" s="658"/>
      <c r="C5" s="187">
        <f>C21-C48++A5+SP!C400-C81-C87-C88</f>
        <v>518300</v>
      </c>
      <c r="D5" s="366" t="s">
        <v>559</v>
      </c>
      <c r="E5" s="187">
        <f>E21-E48++C5+SP!D400-E81-E87-E88</f>
        <v>616200</v>
      </c>
      <c r="F5" s="187">
        <f>F21-F48++E5+SP!G400-F81-F87-F88</f>
        <v>869200</v>
      </c>
      <c r="G5" s="187">
        <f>G21-G48++F5+SP!I400-G81</f>
        <v>1038700</v>
      </c>
      <c r="H5" s="187">
        <f>H21-H48++G5+SP!J400-H81</f>
        <v>1427200</v>
      </c>
      <c r="I5" s="187">
        <f>I21-I48++H5+SP!K400-I81</f>
        <v>1839200</v>
      </c>
      <c r="J5" s="187">
        <f>J21-J48++I5+SP!L400-J81</f>
        <v>2276700</v>
      </c>
      <c r="K5" s="187">
        <f>K21-K48++J5+SP!M400-K81</f>
        <v>2736700</v>
      </c>
      <c r="L5" s="187">
        <f>L21-L48++K5+SP!N400-L81</f>
        <v>3220200</v>
      </c>
      <c r="M5" s="187">
        <f>M21-M48++L5+SP!O400-M81</f>
        <v>3727700</v>
      </c>
      <c r="N5" s="187">
        <f>N21-N48++M5+SP!P400-N81</f>
        <v>4260700</v>
      </c>
      <c r="O5" s="187">
        <f>O21-O48++N5+SP!Q400-O81</f>
        <v>4819700</v>
      </c>
      <c r="P5" s="188">
        <f>P21-P48++O5+SP!R400-P81</f>
        <v>5405200</v>
      </c>
    </row>
    <row r="6" spans="1:16" x14ac:dyDescent="0.2">
      <c r="A6" s="107">
        <v>194300</v>
      </c>
      <c r="B6" s="658"/>
      <c r="C6" s="187">
        <f>C22++-C57+A6+SP!C401</f>
        <v>328200</v>
      </c>
      <c r="D6" s="366" t="s">
        <v>321</v>
      </c>
      <c r="E6" s="187">
        <f>E22++-E57+C6+SP!D401</f>
        <v>228600</v>
      </c>
      <c r="F6" s="187">
        <f>F22++-F57+E6+SP!G401</f>
        <v>155600</v>
      </c>
      <c r="G6" s="187">
        <f>G22++-G57+F6+SP!I401</f>
        <v>99100</v>
      </c>
      <c r="H6" s="187">
        <f>H22++-H57+G6+SP!J401</f>
        <v>42100</v>
      </c>
      <c r="I6" s="187">
        <f>I22++-I57+H6+SP!K401</f>
        <v>40100</v>
      </c>
      <c r="J6" s="187">
        <f>J22++-J57+I6+SP!L401</f>
        <v>94100</v>
      </c>
      <c r="K6" s="187">
        <f>K22++-K57+J6+SP!M401</f>
        <v>150100</v>
      </c>
      <c r="L6" s="187">
        <f>L22++-L57+K6+SP!N401</f>
        <v>208600</v>
      </c>
      <c r="M6" s="187">
        <f>M22++-M57+L6+SP!O401</f>
        <v>269100</v>
      </c>
      <c r="N6" s="187">
        <f>N22++-N57+M6+SP!P401</f>
        <v>332100</v>
      </c>
      <c r="O6" s="187">
        <f>O22++-O57+N6+SP!Q401</f>
        <v>397600</v>
      </c>
      <c r="P6" s="188">
        <f>P22++-P57+O6+SP!R401</f>
        <v>465600</v>
      </c>
    </row>
    <row r="7" spans="1:16" x14ac:dyDescent="0.2">
      <c r="A7" s="107">
        <v>332500</v>
      </c>
      <c r="B7" s="658"/>
      <c r="C7" s="187">
        <f>A7+C23-C53+SP!C402</f>
        <v>374600</v>
      </c>
      <c r="D7" s="33" t="s">
        <v>1318</v>
      </c>
      <c r="E7" s="187">
        <f>C7+E23-E53+SP!D402+SUM(GM!D886:D887)</f>
        <v>228100</v>
      </c>
      <c r="F7" s="187">
        <f>E7+F23-F53+SP!G402+SUM(GM!G886:G887)</f>
        <v>314200</v>
      </c>
      <c r="G7" s="187">
        <f>F7+G23-G53+SP!I402+SUM(GM!I886:I887)</f>
        <v>414200</v>
      </c>
      <c r="H7" s="187">
        <f>G7+H23-H53+SP!J402+SUM(GM!J886:J887)</f>
        <v>518700</v>
      </c>
      <c r="I7" s="187">
        <f>H7+I23-I53+SP!K402+SUM(GM!K886:K887)</f>
        <v>627200</v>
      </c>
      <c r="J7" s="187">
        <f>I7+J23-J53+SP!L402+SUM(GM!L886:L887)</f>
        <v>740200</v>
      </c>
      <c r="K7" s="187">
        <f>J7+K23-K53+SP!M402+SUM(GM!M886:M887)</f>
        <v>857700</v>
      </c>
      <c r="L7" s="187">
        <f>K7+L23-L53+SP!N402+SUM(GM!N886:N887)</f>
        <v>980200</v>
      </c>
      <c r="M7" s="187">
        <f>L7+M23-M53+SP!O402+SUM(GM!O886:O887)</f>
        <v>1107200</v>
      </c>
      <c r="N7" s="187">
        <f>M7+N23-N53+SP!P402+SUM(GM!P886:P887)</f>
        <v>1239200</v>
      </c>
      <c r="O7" s="187">
        <f>N7+O23-O53+SP!Q402+SUM(GM!Q886:Q887)</f>
        <v>1376200</v>
      </c>
      <c r="P7" s="188">
        <f>O7+P23-P53+SP!R402+SUM(GM!R886:R887)</f>
        <v>1518200</v>
      </c>
    </row>
    <row r="8" spans="1:16" x14ac:dyDescent="0.2">
      <c r="A8" s="107">
        <v>680600</v>
      </c>
      <c r="B8" s="658"/>
      <c r="C8" s="187">
        <f>C24-C64+A8+SP!C403</f>
        <v>614100</v>
      </c>
      <c r="D8" s="366" t="s">
        <v>409</v>
      </c>
      <c r="E8" s="187">
        <f>E24-E64++C8+SP!D403</f>
        <v>710700</v>
      </c>
      <c r="F8" s="187">
        <f>F24-F64++E8+SP!G403</f>
        <v>594700</v>
      </c>
      <c r="G8" s="187">
        <f>G24-G64++F8+SP!I403</f>
        <v>608200</v>
      </c>
      <c r="H8" s="187">
        <f>H24-H64++G8+SP!J403</f>
        <v>621700</v>
      </c>
      <c r="I8" s="187">
        <f>I24-I64++H8+SP!K403</f>
        <v>635700</v>
      </c>
      <c r="J8" s="187">
        <f>J24-J64++I8+SP!L403</f>
        <v>650200</v>
      </c>
      <c r="K8" s="187">
        <f>K24-K64++J8+SP!M403</f>
        <v>664700</v>
      </c>
      <c r="L8" s="187">
        <f>L24-L64++K8+SP!N403</f>
        <v>679700</v>
      </c>
      <c r="M8" s="187">
        <f>M24-M64++L8+SP!O403</f>
        <v>695200</v>
      </c>
      <c r="N8" s="187">
        <f>N24-N64++M8+SP!P403</f>
        <v>710700</v>
      </c>
      <c r="O8" s="187">
        <f>O24-O64++N8+SP!Q403</f>
        <v>726700</v>
      </c>
      <c r="P8" s="188">
        <f>P24-P64++O8+SP!R403</f>
        <v>743200</v>
      </c>
    </row>
    <row r="9" spans="1:16" x14ac:dyDescent="0.2">
      <c r="A9" s="107">
        <v>2675100</v>
      </c>
      <c r="B9" s="658"/>
      <c r="C9" s="187">
        <f>C25+C26-C77+A9+SP!C404+SP!C405-C83-C90-C94</f>
        <v>2272700</v>
      </c>
      <c r="D9" s="891" t="s">
        <v>17</v>
      </c>
      <c r="E9" s="187">
        <f>E25+-E77+C9+SP!D404+SP!D405-E83-E90-E94</f>
        <v>2859300</v>
      </c>
      <c r="F9" s="187">
        <f>F25+F26+-F77+E9+SP!G404+SP!G405-F83-F90-F94</f>
        <v>4380400</v>
      </c>
      <c r="G9" s="187">
        <f>G25+G26+-G77+F9+SP!I404+SP!I405-G83-G90-G94</f>
        <v>10252900</v>
      </c>
      <c r="H9" s="187">
        <f>H25+H26+-H77+G9+SP!J404+SP!J405-H83-H90-H94</f>
        <v>679400</v>
      </c>
      <c r="I9" s="187">
        <f>I25+I26+-I77+H9+SP!K404+SP!K405-I83-I90-I94</f>
        <v>5785900</v>
      </c>
      <c r="J9" s="187">
        <f>J25+J26+-J77+I9+SP!L404+SP!L405-J83-J90-J94</f>
        <v>3509900</v>
      </c>
      <c r="K9" s="187">
        <f>K25+K26+-K77+J9+SP!M404+SP!M405-K83-K90-K94</f>
        <v>1878900</v>
      </c>
      <c r="L9" s="187">
        <f>L25+L26+-L77+K9+SP!N404+SP!N405-L83-L90-L94</f>
        <v>3592400</v>
      </c>
      <c r="M9" s="187">
        <f>M25+M26+-M77+L9+SP!O404+SP!O405-M83-M90-M94</f>
        <v>5377400</v>
      </c>
      <c r="N9" s="187">
        <f>N25+N26+-N77+M9+SP!P404+SP!P405-N83-N90-N94</f>
        <v>7236400</v>
      </c>
      <c r="O9" s="187">
        <f>O25+O26+-O77+N9+SP!Q404+SP!Q405-O83-O90-O94</f>
        <v>9172400</v>
      </c>
      <c r="P9" s="188">
        <f>P25+P26+-P77+O9+SP!R404+SP!R405-P83-P90-P94</f>
        <v>11186900</v>
      </c>
    </row>
    <row r="10" spans="1:16" ht="13.5" thickBot="1" x14ac:dyDescent="0.25">
      <c r="A10" s="107"/>
      <c r="B10" s="688"/>
      <c r="C10" s="187"/>
      <c r="D10" s="891"/>
      <c r="E10" s="187"/>
      <c r="F10" s="187"/>
      <c r="G10" s="187"/>
      <c r="H10" s="187"/>
      <c r="I10" s="187"/>
      <c r="J10" s="187"/>
      <c r="K10" s="187"/>
      <c r="L10" s="187"/>
      <c r="M10" s="187"/>
      <c r="N10" s="187"/>
      <c r="O10" s="187"/>
      <c r="P10" s="188"/>
    </row>
    <row r="11" spans="1:16" s="92" customFormat="1" ht="13.5" thickBot="1" x14ac:dyDescent="0.25">
      <c r="A11" s="1145">
        <f>SUM(A4:A9)</f>
        <v>4382900</v>
      </c>
      <c r="B11" s="1146"/>
      <c r="C11" s="1148">
        <f>SUM(C4:C9)</f>
        <v>4660100</v>
      </c>
      <c r="D11" s="1147" t="s">
        <v>1402</v>
      </c>
      <c r="E11" s="1148">
        <f t="shared" ref="E11:M11" si="2">SUM(E4:E9)</f>
        <v>5191600</v>
      </c>
      <c r="F11" s="1148">
        <f t="shared" si="2"/>
        <v>6642800</v>
      </c>
      <c r="G11" s="1141">
        <f t="shared" si="2"/>
        <v>12870300</v>
      </c>
      <c r="H11" s="1141">
        <f t="shared" si="2"/>
        <v>3885800</v>
      </c>
      <c r="I11" s="1141">
        <f t="shared" si="2"/>
        <v>9675300</v>
      </c>
      <c r="J11" s="1141">
        <f t="shared" si="2"/>
        <v>8180300</v>
      </c>
      <c r="K11" s="1141">
        <f t="shared" si="2"/>
        <v>7369800</v>
      </c>
      <c r="L11" s="1141">
        <f t="shared" si="2"/>
        <v>9946300</v>
      </c>
      <c r="M11" s="1141">
        <f t="shared" si="2"/>
        <v>12636300</v>
      </c>
      <c r="N11" s="1141">
        <f t="shared" ref="N11:O11" si="3">SUM(N4:N9)</f>
        <v>15444800</v>
      </c>
      <c r="O11" s="1141">
        <f t="shared" si="3"/>
        <v>18375800</v>
      </c>
      <c r="P11" s="1144">
        <f t="shared" ref="P11" si="4">SUM(P4:P9)</f>
        <v>21432800</v>
      </c>
    </row>
    <row r="12" spans="1:16" s="92" customFormat="1" ht="13.5" thickTop="1" x14ac:dyDescent="0.2">
      <c r="A12" s="74"/>
      <c r="B12" s="244"/>
      <c r="C12" s="197"/>
      <c r="D12" s="112"/>
      <c r="E12" s="197"/>
      <c r="F12" s="197"/>
      <c r="G12" s="74"/>
      <c r="H12" s="74"/>
      <c r="I12" s="74"/>
      <c r="J12" s="74"/>
      <c r="K12" s="74"/>
      <c r="L12" s="74"/>
      <c r="M12" s="74"/>
      <c r="N12" s="74"/>
      <c r="O12" s="74"/>
      <c r="P12" s="74"/>
    </row>
    <row r="13" spans="1:16" s="92" customFormat="1" x14ac:dyDescent="0.2">
      <c r="A13" s="74"/>
      <c r="B13" s="244"/>
      <c r="C13" s="197"/>
      <c r="D13" s="112"/>
      <c r="E13" s="197"/>
      <c r="F13" s="197"/>
      <c r="G13" s="74"/>
      <c r="H13" s="74"/>
      <c r="I13" s="74"/>
      <c r="J13" s="74"/>
      <c r="K13" s="74"/>
      <c r="L13" s="74"/>
      <c r="M13" s="74"/>
      <c r="N13" s="74"/>
      <c r="O13" s="74"/>
      <c r="P13" s="74"/>
    </row>
    <row r="14" spans="1:16" s="92" customFormat="1" x14ac:dyDescent="0.2">
      <c r="A14" s="74"/>
      <c r="B14" s="244"/>
      <c r="C14" s="197"/>
      <c r="D14" s="112"/>
      <c r="E14" s="197"/>
      <c r="F14" s="197"/>
      <c r="G14" s="74"/>
      <c r="H14" s="74"/>
      <c r="I14" s="74"/>
      <c r="J14" s="74"/>
      <c r="K14" s="74"/>
      <c r="L14" s="74"/>
      <c r="M14" s="74"/>
      <c r="N14" s="74"/>
      <c r="O14" s="74"/>
      <c r="P14" s="74"/>
    </row>
    <row r="15" spans="1:16" ht="13.5" thickBot="1" x14ac:dyDescent="0.25">
      <c r="A15" s="74"/>
      <c r="B15" s="238"/>
      <c r="C15" s="197"/>
      <c r="D15" s="137"/>
      <c r="E15" s="197"/>
      <c r="F15" s="197"/>
      <c r="G15" s="99"/>
      <c r="H15" s="99"/>
      <c r="I15" s="99"/>
      <c r="J15" s="99"/>
      <c r="K15" s="99"/>
      <c r="L15" s="99"/>
      <c r="M15" s="99"/>
      <c r="N15" s="99"/>
      <c r="O15" s="99"/>
      <c r="P15" s="99"/>
    </row>
    <row r="16" spans="1:16" s="91" customFormat="1" ht="18.75" customHeight="1" thickTop="1" thickBot="1" x14ac:dyDescent="0.3">
      <c r="A16" s="2865" t="s">
        <v>3129</v>
      </c>
      <c r="B16" s="2866"/>
      <c r="C16" s="2866"/>
      <c r="D16" s="2866"/>
      <c r="E16" s="2866"/>
      <c r="F16" s="2866"/>
      <c r="G16" s="2866"/>
      <c r="H16" s="2866"/>
      <c r="I16" s="2866"/>
      <c r="J16" s="2866"/>
      <c r="K16" s="2866"/>
      <c r="L16" s="2866"/>
      <c r="M16" s="2866"/>
      <c r="N16" s="2866"/>
      <c r="O16" s="2866"/>
      <c r="P16" s="2867"/>
    </row>
    <row r="17" spans="1:16" s="44" customFormat="1" x14ac:dyDescent="0.2">
      <c r="A17" s="2546" t="s">
        <v>1856</v>
      </c>
      <c r="B17" s="2695"/>
      <c r="C17" s="2696"/>
      <c r="D17" s="2649" t="s">
        <v>2251</v>
      </c>
      <c r="E17" s="2883" t="str">
        <f>$E$2</f>
        <v>ESTIMATED</v>
      </c>
      <c r="F17" s="2846"/>
      <c r="G17" s="2846"/>
      <c r="H17" s="2846"/>
      <c r="I17" s="2846"/>
      <c r="J17" s="2846"/>
      <c r="K17" s="2846"/>
      <c r="L17" s="2846"/>
      <c r="M17" s="2846"/>
      <c r="N17" s="2846"/>
      <c r="O17" s="2846"/>
      <c r="P17" s="2884"/>
    </row>
    <row r="18" spans="1:16" s="23" customFormat="1" ht="12.75" customHeight="1" thickBot="1" x14ac:dyDescent="0.25">
      <c r="A18" s="45" t="str">
        <f>DEH!B3</f>
        <v>2013/14</v>
      </c>
      <c r="B18" s="1965" t="s">
        <v>2664</v>
      </c>
      <c r="C18" s="93" t="str">
        <f>DEH!C3</f>
        <v>2014/15</v>
      </c>
      <c r="D18" s="42"/>
      <c r="E18" s="93" t="str">
        <f>DEH!D3</f>
        <v>2015/16</v>
      </c>
      <c r="F18" s="93" t="str">
        <f>DEH!G3</f>
        <v>2016/17</v>
      </c>
      <c r="G18" s="370" t="str">
        <f>DEH!I3</f>
        <v>2017/18</v>
      </c>
      <c r="H18" s="370" t="str">
        <f>DEH!J3</f>
        <v>2018/19</v>
      </c>
      <c r="I18" s="370" t="str">
        <f>DEH!K3</f>
        <v>2019/20</v>
      </c>
      <c r="J18" s="370" t="str">
        <f>DEH!L3</f>
        <v>2020/21</v>
      </c>
      <c r="K18" s="370" t="str">
        <f>DEH!M3</f>
        <v>2021/22</v>
      </c>
      <c r="L18" s="370" t="str">
        <f>DEH!N3</f>
        <v>2022/23</v>
      </c>
      <c r="M18" s="370" t="str">
        <f>DEH!O3</f>
        <v>2023/24</v>
      </c>
      <c r="N18" s="370" t="str">
        <f>DEH!P3</f>
        <v>2024/25</v>
      </c>
      <c r="O18" s="218" t="str">
        <f>DEH!Q3</f>
        <v>2025/26</v>
      </c>
      <c r="P18" s="549" t="str">
        <f>DEH!R3</f>
        <v>2026/27</v>
      </c>
    </row>
    <row r="19" spans="1:16" s="23" customFormat="1" x14ac:dyDescent="0.2">
      <c r="A19" s="268"/>
      <c r="B19" s="391"/>
      <c r="C19" s="204"/>
      <c r="D19" s="22"/>
      <c r="E19" s="204"/>
      <c r="F19" s="204"/>
      <c r="G19" s="529"/>
      <c r="H19" s="529"/>
      <c r="I19" s="529"/>
      <c r="J19" s="529"/>
      <c r="K19" s="529"/>
      <c r="L19" s="529"/>
      <c r="M19" s="513"/>
      <c r="N19" s="513"/>
      <c r="O19" s="513"/>
      <c r="P19" s="1710"/>
    </row>
    <row r="20" spans="1:16" x14ac:dyDescent="0.2">
      <c r="A20" s="107">
        <v>517800</v>
      </c>
      <c r="B20" s="1092">
        <v>22031.260300000002</v>
      </c>
      <c r="C20" s="187">
        <f>585300+16300</f>
        <v>601600</v>
      </c>
      <c r="D20" s="33" t="s">
        <v>202</v>
      </c>
      <c r="E20" s="142">
        <f>51333+206254+13</f>
        <v>257600</v>
      </c>
      <c r="F20" s="187">
        <v>316000</v>
      </c>
      <c r="G20" s="33">
        <f>ROUND(F20+F20*Assumptions!H$5,-3)</f>
        <v>321000</v>
      </c>
      <c r="H20" s="33">
        <f>ROUND(G20+G20*Assumptions!I$5,-3)</f>
        <v>329000</v>
      </c>
      <c r="I20" s="33">
        <f>ROUND(H20+H20*Assumptions!J$5,-3)</f>
        <v>337000</v>
      </c>
      <c r="J20" s="33">
        <f>ROUND(I20+I20*Assumptions!K$5,-3)</f>
        <v>345000</v>
      </c>
      <c r="K20" s="33">
        <f>ROUND(J20+J20*Assumptions!L$5,-3)</f>
        <v>352000</v>
      </c>
      <c r="L20" s="33">
        <f>ROUND(K20+K20*Assumptions!M$5,-3)</f>
        <v>359000</v>
      </c>
      <c r="M20" s="33">
        <f>ROUND(L20+L20*Assumptions!N$5,-3)</f>
        <v>366000</v>
      </c>
      <c r="N20" s="33">
        <f>ROUND(M20+M20*Assumptions!O$5,-3)</f>
        <v>373000</v>
      </c>
      <c r="O20" s="33">
        <f>ROUND(N20+N20*Assumptions!P$5,-3)</f>
        <v>380000</v>
      </c>
      <c r="P20" s="114">
        <f>ROUND(O20+O20*Assumptions!Q$5,-3)</f>
        <v>388000</v>
      </c>
    </row>
    <row r="21" spans="1:16" x14ac:dyDescent="0.2">
      <c r="A21" s="107">
        <v>648100</v>
      </c>
      <c r="B21" s="1092">
        <v>22031.260399999999</v>
      </c>
      <c r="C21" s="187">
        <f>128000+665600</f>
        <v>793600</v>
      </c>
      <c r="D21" s="366" t="s">
        <v>559</v>
      </c>
      <c r="E21" s="142">
        <f>156036+530604-40</f>
        <v>686600</v>
      </c>
      <c r="F21" s="187">
        <f>571000+20000</f>
        <v>591000</v>
      </c>
      <c r="G21" s="33">
        <f>ROUND(F21+F21*Assumptions!H$5,-3)</f>
        <v>600000</v>
      </c>
      <c r="H21" s="33">
        <f>ROUND(G21+G21*Assumptions!I$5,-3)</f>
        <v>615000</v>
      </c>
      <c r="I21" s="33">
        <f>ROUND(H21+H21*Assumptions!J$5,-3)</f>
        <v>630000</v>
      </c>
      <c r="J21" s="33">
        <f>ROUND(I21+I21*Assumptions!K$5,-3)</f>
        <v>646000</v>
      </c>
      <c r="K21" s="33">
        <f>ROUND(J21+J21*Assumptions!L$5,-3)</f>
        <v>659000</v>
      </c>
      <c r="L21" s="33">
        <f>ROUND(K21+K21*Assumptions!M$5,-3)</f>
        <v>672000</v>
      </c>
      <c r="M21" s="33">
        <f>ROUND(L21+L21*Assumptions!N$5,-3)</f>
        <v>685000</v>
      </c>
      <c r="N21" s="33">
        <f>ROUND(M21+M21*Assumptions!O$5,-3)</f>
        <v>699000</v>
      </c>
      <c r="O21" s="33">
        <f>ROUND(N21+N21*Assumptions!P$5,-3)</f>
        <v>713000</v>
      </c>
      <c r="P21" s="114">
        <f>ROUND(O21+O21*Assumptions!Q$5,-3)</f>
        <v>727000</v>
      </c>
    </row>
    <row r="22" spans="1:16" x14ac:dyDescent="0.2">
      <c r="A22" s="107">
        <v>265900</v>
      </c>
      <c r="B22" s="1092">
        <v>22031.2605</v>
      </c>
      <c r="C22" s="187">
        <v>249500</v>
      </c>
      <c r="D22" s="891" t="s">
        <v>2254</v>
      </c>
      <c r="E22" s="142">
        <v>300</v>
      </c>
      <c r="F22" s="187">
        <v>31000</v>
      </c>
      <c r="G22" s="33">
        <v>50000</v>
      </c>
      <c r="H22" s="33">
        <f>ROUND(G22+G22*Assumptions!I$5,-3)</f>
        <v>51000</v>
      </c>
      <c r="I22" s="33">
        <f>ROUND(H22+H22*Assumptions!J$5,-3)</f>
        <v>52000</v>
      </c>
      <c r="J22" s="33">
        <f>ROUND(I22+I22*Assumptions!K$5,-3)</f>
        <v>53000</v>
      </c>
      <c r="K22" s="33">
        <f>ROUND(J22+J22*Assumptions!L$5,-3)</f>
        <v>54000</v>
      </c>
      <c r="L22" s="33">
        <f>ROUND(K22+K22*Assumptions!M$5,-3)</f>
        <v>55000</v>
      </c>
      <c r="M22" s="33">
        <f>ROUND(L22+L22*Assumptions!N$5,-3)</f>
        <v>56000</v>
      </c>
      <c r="N22" s="33">
        <f>ROUND(M22+M22*Assumptions!O$5,-3)</f>
        <v>57000</v>
      </c>
      <c r="O22" s="33">
        <f>ROUND(N22+N22*Assumptions!P$5,-3)</f>
        <v>58000</v>
      </c>
      <c r="P22" s="114">
        <f>ROUND(O22+O22*Assumptions!Q$5,-3)</f>
        <v>59000</v>
      </c>
    </row>
    <row r="23" spans="1:16" x14ac:dyDescent="0.2">
      <c r="A23" s="71">
        <v>0</v>
      </c>
      <c r="B23" s="1092">
        <v>22031.260900000001</v>
      </c>
      <c r="C23" s="187">
        <v>43800</v>
      </c>
      <c r="D23" s="33" t="s">
        <v>1318</v>
      </c>
      <c r="E23" s="142">
        <f>51606+12129-35</f>
        <v>63700</v>
      </c>
      <c r="F23" s="187">
        <v>92000</v>
      </c>
      <c r="G23" s="33">
        <f>ROUND(F23+F23*Assumptions!H$5,-3)</f>
        <v>93000</v>
      </c>
      <c r="H23" s="33">
        <f>ROUND(G23+G23*Assumptions!I$5,-3)</f>
        <v>95000</v>
      </c>
      <c r="I23" s="33">
        <f>ROUND(H23+H23*Assumptions!J$5,-3)</f>
        <v>97000</v>
      </c>
      <c r="J23" s="33">
        <f>ROUND(I23+I23*Assumptions!K$5,-3)</f>
        <v>99000</v>
      </c>
      <c r="K23" s="33">
        <f>ROUND(J23+J23*Assumptions!L$5,-3)</f>
        <v>101000</v>
      </c>
      <c r="L23" s="33">
        <f>ROUND(K23+K23*Assumptions!M$5,-3)</f>
        <v>103000</v>
      </c>
      <c r="M23" s="33">
        <f>ROUND(L23+L23*Assumptions!N$5,-3)</f>
        <v>105000</v>
      </c>
      <c r="N23" s="33">
        <f>ROUND(M23+M23*Assumptions!O$5,-3)</f>
        <v>107000</v>
      </c>
      <c r="O23" s="33">
        <f>ROUND(N23+N23*Assumptions!P$5,-3)</f>
        <v>109000</v>
      </c>
      <c r="P23" s="114">
        <f>ROUND(O23+O23*Assumptions!Q$5,-3)</f>
        <v>111000</v>
      </c>
    </row>
    <row r="24" spans="1:16" x14ac:dyDescent="0.2">
      <c r="A24" s="107">
        <v>244200</v>
      </c>
      <c r="B24" s="1092">
        <v>22031.260600000001</v>
      </c>
      <c r="C24" s="187">
        <v>318500</v>
      </c>
      <c r="D24" s="366" t="s">
        <v>409</v>
      </c>
      <c r="E24" s="142">
        <v>379300</v>
      </c>
      <c r="F24" s="187">
        <v>326000</v>
      </c>
      <c r="G24" s="33">
        <f>ROUND(F24+F24*Assumptions!H$5,-3)</f>
        <v>331000</v>
      </c>
      <c r="H24" s="33">
        <f>ROUND(G24+G24*Assumptions!I$5,-3)</f>
        <v>339000</v>
      </c>
      <c r="I24" s="33">
        <f>ROUND(H24+H24*Assumptions!J$5,-3)</f>
        <v>347000</v>
      </c>
      <c r="J24" s="33">
        <f>ROUND(I24+I24*Assumptions!K$5,-3)</f>
        <v>356000</v>
      </c>
      <c r="K24" s="33">
        <f>ROUND(J24+J24*Assumptions!L$5,-3)</f>
        <v>363000</v>
      </c>
      <c r="L24" s="33">
        <f>ROUND(K24+K24*Assumptions!M$5,-3)</f>
        <v>370000</v>
      </c>
      <c r="M24" s="33">
        <f>ROUND(L24+L24*Assumptions!N$5,-3)</f>
        <v>377000</v>
      </c>
      <c r="N24" s="33">
        <f>ROUND(M24+M24*Assumptions!O$5,-3)</f>
        <v>385000</v>
      </c>
      <c r="O24" s="33">
        <f>ROUND(N24+N24*Assumptions!P$5,-3)</f>
        <v>393000</v>
      </c>
      <c r="P24" s="114">
        <f>ROUND(O24+O24*Assumptions!Q$5,-3)</f>
        <v>401000</v>
      </c>
    </row>
    <row r="25" spans="1:16" x14ac:dyDescent="0.2">
      <c r="A25" s="107">
        <v>523700</v>
      </c>
      <c r="B25" s="1092">
        <v>22031.261699999999</v>
      </c>
      <c r="C25" s="187">
        <f>719300+143700</f>
        <v>863000</v>
      </c>
      <c r="D25" s="891" t="s">
        <v>6021</v>
      </c>
      <c r="E25" s="142">
        <f>187100+581200</f>
        <v>768300</v>
      </c>
      <c r="F25" s="187">
        <f>1898000-150000</f>
        <v>1748000</v>
      </c>
      <c r="G25" s="33">
        <f>ROUND(F25+F25*Assumptions!H$5,-3)+4000000</f>
        <v>5774000</v>
      </c>
      <c r="H25" s="33">
        <f>ROUND(G25+G25*Assumptions!I$5,-3)+1000000</f>
        <v>6918000</v>
      </c>
      <c r="I25" s="33">
        <f>ROUND(H25+H25*Assumptions!J$5,-3)-2000000</f>
        <v>5091000</v>
      </c>
      <c r="J25" s="33">
        <f>ROUND(I25+I25*Assumptions!K$5,-3)+6000000</f>
        <v>11218000</v>
      </c>
      <c r="K25" s="33">
        <f>ROUND(J25+J25*Assumptions!L$5,-3)</f>
        <v>11442000</v>
      </c>
      <c r="L25" s="33">
        <f>ROUND(K25+K25*Assumptions!M$5,-3)-10000000</f>
        <v>1671000</v>
      </c>
      <c r="M25" s="33">
        <f>ROUND(L25+L25*Assumptions!N$5,-3)</f>
        <v>1704000</v>
      </c>
      <c r="N25" s="33">
        <f>ROUND(M25+M25*Assumptions!O$5,-3)</f>
        <v>1738000</v>
      </c>
      <c r="O25" s="33">
        <f>ROUND(N25+N25*Assumptions!P$5,-3)</f>
        <v>1773000</v>
      </c>
      <c r="P25" s="114">
        <f>ROUND(O25+O25*Assumptions!Q$5,-3)</f>
        <v>1808000</v>
      </c>
    </row>
    <row r="26" spans="1:16" x14ac:dyDescent="0.2">
      <c r="A26" s="107">
        <f>69100</f>
        <v>69100</v>
      </c>
      <c r="B26" s="1092">
        <v>22031.260699999999</v>
      </c>
      <c r="C26" s="187">
        <v>54000</v>
      </c>
      <c r="D26" s="891" t="s">
        <v>5330</v>
      </c>
      <c r="E26" s="142">
        <v>70300</v>
      </c>
      <c r="F26" s="187">
        <v>0</v>
      </c>
      <c r="G26" s="33">
        <f>ROUND(F26+F26*Assumptions!H$5,-3)</f>
        <v>0</v>
      </c>
      <c r="H26" s="33">
        <f>ROUND(G26+G26*Assumptions!I$5,-3)</f>
        <v>0</v>
      </c>
      <c r="I26" s="33">
        <f>ROUND(H26+H26*Assumptions!J$5,-3)</f>
        <v>0</v>
      </c>
      <c r="J26" s="33">
        <f>ROUND(I26+I26*Assumptions!K$5,-3)</f>
        <v>0</v>
      </c>
      <c r="K26" s="33">
        <f>ROUND(J26+J26*Assumptions!L$5,-3)</f>
        <v>0</v>
      </c>
      <c r="L26" s="33">
        <f>ROUND(K26+K26*Assumptions!M$5,-3)</f>
        <v>0</v>
      </c>
      <c r="M26" s="33">
        <f>ROUND(L26+L26*Assumptions!N$5,-3)</f>
        <v>0</v>
      </c>
      <c r="N26" s="33">
        <f>ROUND(M26+M26*Assumptions!O$5,-3)</f>
        <v>0</v>
      </c>
      <c r="O26" s="33">
        <f>ROUND(N26+N26*Assumptions!P$5,-3)</f>
        <v>0</v>
      </c>
      <c r="P26" s="114">
        <f>ROUND(O26+O26*Assumptions!Q$5,-3)</f>
        <v>0</v>
      </c>
    </row>
    <row r="27" spans="1:16" ht="13.5" thickBot="1" x14ac:dyDescent="0.25">
      <c r="A27" s="107"/>
      <c r="B27" s="1304"/>
      <c r="C27" s="187"/>
      <c r="D27" s="1952"/>
      <c r="E27" s="142"/>
      <c r="F27" s="187"/>
      <c r="G27" s="33"/>
      <c r="H27" s="33"/>
      <c r="I27" s="33"/>
      <c r="J27" s="33"/>
      <c r="K27" s="33"/>
      <c r="L27" s="33"/>
      <c r="M27" s="33"/>
      <c r="N27" s="33"/>
      <c r="O27" s="33"/>
      <c r="P27" s="114"/>
    </row>
    <row r="28" spans="1:16" s="92" customFormat="1" x14ac:dyDescent="0.2">
      <c r="A28" s="105">
        <f>SUM(A20:A26)</f>
        <v>2268800</v>
      </c>
      <c r="B28" s="955"/>
      <c r="C28" s="199">
        <f>SUM(C20:C26)</f>
        <v>2924000</v>
      </c>
      <c r="D28" s="956" t="s">
        <v>1269</v>
      </c>
      <c r="E28" s="199">
        <f>SUM(E20:E26)</f>
        <v>2226100</v>
      </c>
      <c r="F28" s="199">
        <f t="shared" ref="F28:N28" si="5">SUM(F20:F26)</f>
        <v>3104000</v>
      </c>
      <c r="G28" s="53">
        <f t="shared" si="5"/>
        <v>7169000</v>
      </c>
      <c r="H28" s="53">
        <f t="shared" si="5"/>
        <v>8347000</v>
      </c>
      <c r="I28" s="53">
        <f t="shared" si="5"/>
        <v>6554000</v>
      </c>
      <c r="J28" s="53">
        <f t="shared" si="5"/>
        <v>12717000</v>
      </c>
      <c r="K28" s="53">
        <f t="shared" si="5"/>
        <v>12971000</v>
      </c>
      <c r="L28" s="53">
        <f t="shared" si="5"/>
        <v>3230000</v>
      </c>
      <c r="M28" s="53">
        <f t="shared" si="5"/>
        <v>3293000</v>
      </c>
      <c r="N28" s="53">
        <f t="shared" si="5"/>
        <v>3359000</v>
      </c>
      <c r="O28" s="53">
        <f t="shared" ref="O28:P28" si="6">SUM(O20:O26)</f>
        <v>3426000</v>
      </c>
      <c r="P28" s="113">
        <f t="shared" si="6"/>
        <v>3494000</v>
      </c>
    </row>
    <row r="29" spans="1:16" ht="13.5" thickBot="1" x14ac:dyDescent="0.25">
      <c r="A29" s="73"/>
      <c r="B29" s="1975"/>
      <c r="C29" s="200"/>
      <c r="D29" s="368"/>
      <c r="E29" s="200"/>
      <c r="F29" s="200"/>
      <c r="G29" s="66"/>
      <c r="H29" s="66"/>
      <c r="I29" s="66"/>
      <c r="J29" s="66"/>
      <c r="K29" s="66"/>
      <c r="L29" s="66"/>
      <c r="M29" s="66"/>
      <c r="N29" s="66"/>
      <c r="O29" s="66"/>
      <c r="P29" s="165"/>
    </row>
    <row r="30" spans="1:16" ht="13.5" thickTop="1" x14ac:dyDescent="0.2">
      <c r="A30" s="74"/>
      <c r="B30" s="238"/>
      <c r="C30" s="197"/>
      <c r="D30" s="137"/>
      <c r="E30" s="197"/>
      <c r="F30" s="197"/>
      <c r="G30" s="99"/>
      <c r="H30" s="99"/>
      <c r="I30" s="99"/>
      <c r="J30" s="99"/>
      <c r="K30" s="99"/>
      <c r="L30" s="99"/>
      <c r="M30" s="99"/>
      <c r="N30" s="99"/>
      <c r="O30" s="99"/>
      <c r="P30" s="99"/>
    </row>
    <row r="31" spans="1:16" ht="13.5" thickBot="1" x14ac:dyDescent="0.25"/>
    <row r="32" spans="1:16" s="91" customFormat="1" ht="18.75" customHeight="1" thickTop="1" thickBot="1" x14ac:dyDescent="0.3">
      <c r="A32" s="2865" t="s">
        <v>3130</v>
      </c>
      <c r="B32" s="2866"/>
      <c r="C32" s="2866"/>
      <c r="D32" s="2866"/>
      <c r="E32" s="2866"/>
      <c r="F32" s="2866"/>
      <c r="G32" s="2866"/>
      <c r="H32" s="2866"/>
      <c r="I32" s="2866"/>
      <c r="J32" s="2866"/>
      <c r="K32" s="2866"/>
      <c r="L32" s="2866"/>
      <c r="M32" s="2866"/>
      <c r="N32" s="2866"/>
      <c r="O32" s="2866"/>
      <c r="P32" s="2867"/>
    </row>
    <row r="33" spans="1:16" s="44" customFormat="1" x14ac:dyDescent="0.2">
      <c r="A33" s="2888" t="s">
        <v>1856</v>
      </c>
      <c r="B33" s="2953"/>
      <c r="C33" s="2954"/>
      <c r="D33" s="2649" t="s">
        <v>2251</v>
      </c>
      <c r="E33" s="2883" t="str">
        <f>$E$2</f>
        <v>ESTIMATED</v>
      </c>
      <c r="F33" s="2846"/>
      <c r="G33" s="2846"/>
      <c r="H33" s="2846"/>
      <c r="I33" s="2846"/>
      <c r="J33" s="2846"/>
      <c r="K33" s="2846"/>
      <c r="L33" s="2846"/>
      <c r="M33" s="2846"/>
      <c r="N33" s="2846"/>
      <c r="O33" s="2846"/>
      <c r="P33" s="2884"/>
    </row>
    <row r="34" spans="1:16" s="23" customFormat="1" ht="12.75" customHeight="1" thickBot="1" x14ac:dyDescent="0.25">
      <c r="A34" s="45" t="str">
        <f>A18</f>
        <v>2013/14</v>
      </c>
      <c r="B34" s="1965" t="s">
        <v>2664</v>
      </c>
      <c r="C34" s="93" t="str">
        <f>C18</f>
        <v>2014/15</v>
      </c>
      <c r="D34" s="42"/>
      <c r="E34" s="93" t="str">
        <f t="shared" ref="E34:N34" si="7">E18</f>
        <v>2015/16</v>
      </c>
      <c r="F34" s="93" t="str">
        <f t="shared" si="7"/>
        <v>2016/17</v>
      </c>
      <c r="G34" s="370" t="str">
        <f t="shared" si="7"/>
        <v>2017/18</v>
      </c>
      <c r="H34" s="370" t="str">
        <f t="shared" si="7"/>
        <v>2018/19</v>
      </c>
      <c r="I34" s="370" t="str">
        <f t="shared" si="7"/>
        <v>2019/20</v>
      </c>
      <c r="J34" s="370" t="str">
        <f t="shared" si="7"/>
        <v>2020/21</v>
      </c>
      <c r="K34" s="370" t="str">
        <f t="shared" si="7"/>
        <v>2021/22</v>
      </c>
      <c r="L34" s="370" t="str">
        <f t="shared" si="7"/>
        <v>2022/23</v>
      </c>
      <c r="M34" s="370" t="str">
        <f t="shared" si="7"/>
        <v>2023/24</v>
      </c>
      <c r="N34" s="370" t="str">
        <f t="shared" si="7"/>
        <v>2024/25</v>
      </c>
      <c r="O34" s="218" t="str">
        <f t="shared" ref="O34:P34" si="8">O18</f>
        <v>2025/26</v>
      </c>
      <c r="P34" s="549" t="str">
        <f t="shared" si="8"/>
        <v>2026/27</v>
      </c>
    </row>
    <row r="35" spans="1:16" s="23" customFormat="1" x14ac:dyDescent="0.2">
      <c r="A35" s="268"/>
      <c r="B35" s="391"/>
      <c r="C35" s="204"/>
      <c r="D35" s="22"/>
      <c r="E35" s="204"/>
      <c r="F35" s="206"/>
      <c r="G35" s="529"/>
      <c r="H35" s="529"/>
      <c r="I35" s="529"/>
      <c r="J35" s="529"/>
      <c r="K35" s="529"/>
      <c r="L35" s="529"/>
      <c r="M35" s="513"/>
      <c r="N35" s="513"/>
      <c r="O35" s="513"/>
      <c r="P35" s="1710"/>
    </row>
    <row r="36" spans="1:16" s="23" customFormat="1" x14ac:dyDescent="0.2">
      <c r="A36" s="268"/>
      <c r="B36" s="593"/>
      <c r="C36" s="204"/>
      <c r="D36" s="64" t="s">
        <v>1270</v>
      </c>
      <c r="E36" s="204"/>
      <c r="F36" s="206"/>
      <c r="G36" s="529"/>
      <c r="H36" s="529"/>
      <c r="I36" s="529"/>
      <c r="J36" s="529"/>
      <c r="K36" s="529"/>
      <c r="L36" s="529"/>
      <c r="M36" s="529"/>
      <c r="N36" s="529"/>
      <c r="O36" s="529"/>
      <c r="P36" s="530"/>
    </row>
    <row r="37" spans="1:16" x14ac:dyDescent="0.2">
      <c r="A37" s="107">
        <f>5900+1800</f>
        <v>7700</v>
      </c>
      <c r="B37" s="150" t="s">
        <v>2702</v>
      </c>
      <c r="C37" s="33"/>
      <c r="D37" s="132" t="s">
        <v>4220</v>
      </c>
      <c r="E37" s="142">
        <v>11300</v>
      </c>
      <c r="F37" s="33"/>
      <c r="G37" s="33"/>
      <c r="H37" s="33"/>
      <c r="I37" s="33"/>
      <c r="J37" s="33"/>
      <c r="K37" s="33"/>
      <c r="L37" s="33"/>
      <c r="M37" s="33"/>
      <c r="N37" s="33"/>
      <c r="O37" s="33"/>
      <c r="P37" s="114"/>
    </row>
    <row r="38" spans="1:16" x14ac:dyDescent="0.2">
      <c r="A38" s="107"/>
      <c r="B38" s="150"/>
      <c r="C38" s="33"/>
      <c r="D38" s="132" t="s">
        <v>6030</v>
      </c>
      <c r="E38" s="142"/>
      <c r="F38" s="33">
        <v>350000</v>
      </c>
      <c r="G38" s="33"/>
      <c r="H38" s="33"/>
      <c r="I38" s="33"/>
      <c r="J38" s="33"/>
      <c r="K38" s="33"/>
      <c r="L38" s="33"/>
      <c r="M38" s="33"/>
      <c r="N38" s="33"/>
      <c r="O38" s="33"/>
      <c r="P38" s="114"/>
    </row>
    <row r="39" spans="1:16" x14ac:dyDescent="0.2">
      <c r="A39" s="107">
        <f>9500+24000</f>
        <v>33500</v>
      </c>
      <c r="B39" s="150" t="s">
        <v>942</v>
      </c>
      <c r="C39" s="187"/>
      <c r="D39" s="33" t="s">
        <v>2846</v>
      </c>
      <c r="E39" s="189"/>
      <c r="F39" s="187"/>
      <c r="G39" s="33"/>
      <c r="H39" s="33"/>
      <c r="I39" s="33"/>
      <c r="J39" s="33"/>
      <c r="K39" s="33"/>
      <c r="L39" s="33"/>
      <c r="M39" s="33"/>
      <c r="N39" s="33"/>
      <c r="O39" s="33"/>
      <c r="P39" s="114"/>
    </row>
    <row r="40" spans="1:16" x14ac:dyDescent="0.2">
      <c r="A40" s="107"/>
      <c r="B40" s="150"/>
      <c r="C40" s="187"/>
      <c r="D40" s="132" t="s">
        <v>6031</v>
      </c>
      <c r="E40" s="189"/>
      <c r="F40" s="187"/>
      <c r="G40" s="33"/>
      <c r="H40" s="33"/>
      <c r="I40" s="33"/>
      <c r="J40" s="33">
        <v>0</v>
      </c>
      <c r="K40" s="33">
        <v>0</v>
      </c>
      <c r="L40" s="33">
        <v>0</v>
      </c>
      <c r="M40" s="33">
        <v>0</v>
      </c>
      <c r="N40" s="33">
        <v>0</v>
      </c>
      <c r="O40" s="33">
        <v>0</v>
      </c>
      <c r="P40" s="114">
        <v>0</v>
      </c>
    </row>
    <row r="41" spans="1:16" x14ac:dyDescent="0.2">
      <c r="A41" s="107"/>
      <c r="B41" s="150"/>
      <c r="C41" s="187"/>
      <c r="D41" s="132" t="s">
        <v>6032</v>
      </c>
      <c r="E41" s="189">
        <v>41500</v>
      </c>
      <c r="F41" s="187"/>
      <c r="G41" s="33"/>
      <c r="H41" s="33"/>
      <c r="I41" s="33"/>
      <c r="J41" s="33"/>
      <c r="K41" s="33"/>
      <c r="L41" s="33"/>
      <c r="M41" s="33"/>
      <c r="N41" s="33"/>
      <c r="O41" s="33"/>
      <c r="P41" s="114"/>
    </row>
    <row r="42" spans="1:16" s="92" customFormat="1" x14ac:dyDescent="0.2">
      <c r="A42" s="181">
        <f>SUBTOTAL(9,A36:A40)</f>
        <v>41200</v>
      </c>
      <c r="B42" s="532"/>
      <c r="C42" s="728">
        <f>SUBTOTAL(9,C37:C40)</f>
        <v>0</v>
      </c>
      <c r="D42" s="397" t="s">
        <v>2689</v>
      </c>
      <c r="E42" s="398">
        <f>SUBTOTAL(9,E37:E41)</f>
        <v>52800</v>
      </c>
      <c r="F42" s="398">
        <f t="shared" ref="F42:N42" si="9">SUBTOTAL(9,F37:F41)</f>
        <v>350000</v>
      </c>
      <c r="G42" s="398">
        <f t="shared" si="9"/>
        <v>0</v>
      </c>
      <c r="H42" s="398">
        <f t="shared" si="9"/>
        <v>0</v>
      </c>
      <c r="I42" s="398">
        <f t="shared" si="9"/>
        <v>0</v>
      </c>
      <c r="J42" s="398">
        <f t="shared" si="9"/>
        <v>0</v>
      </c>
      <c r="K42" s="398">
        <f t="shared" si="9"/>
        <v>0</v>
      </c>
      <c r="L42" s="398">
        <f t="shared" si="9"/>
        <v>0</v>
      </c>
      <c r="M42" s="398">
        <f t="shared" si="9"/>
        <v>0</v>
      </c>
      <c r="N42" s="728">
        <f t="shared" si="9"/>
        <v>0</v>
      </c>
      <c r="O42" s="728">
        <f t="shared" ref="O42:P42" si="10">SUBTOTAL(9,O37:O41)</f>
        <v>0</v>
      </c>
      <c r="P42" s="1716">
        <f t="shared" si="10"/>
        <v>0</v>
      </c>
    </row>
    <row r="43" spans="1:16" x14ac:dyDescent="0.2">
      <c r="A43" s="107"/>
      <c r="B43" s="240"/>
      <c r="C43" s="187"/>
      <c r="D43" s="33"/>
      <c r="E43" s="189"/>
      <c r="F43" s="187"/>
      <c r="G43" s="33"/>
      <c r="H43" s="33"/>
      <c r="I43" s="33"/>
      <c r="J43" s="33"/>
      <c r="K43" s="33"/>
      <c r="L43" s="33"/>
      <c r="M43" s="33"/>
      <c r="N43" s="33"/>
      <c r="O43" s="33"/>
      <c r="P43" s="114"/>
    </row>
    <row r="44" spans="1:16" x14ac:dyDescent="0.2">
      <c r="A44" s="107"/>
      <c r="B44" s="240"/>
      <c r="C44" s="187"/>
      <c r="D44" s="64" t="s">
        <v>1271</v>
      </c>
      <c r="E44" s="189"/>
      <c r="F44" s="187"/>
      <c r="G44" s="33"/>
      <c r="H44" s="33"/>
      <c r="I44" s="33"/>
      <c r="J44" s="33"/>
      <c r="K44" s="33"/>
      <c r="L44" s="33"/>
      <c r="M44" s="33"/>
      <c r="N44" s="33"/>
      <c r="O44" s="33"/>
      <c r="P44" s="114"/>
    </row>
    <row r="45" spans="1:16" x14ac:dyDescent="0.2">
      <c r="A45" s="107">
        <v>6500</v>
      </c>
      <c r="B45" s="240"/>
      <c r="C45" s="187">
        <v>900</v>
      </c>
      <c r="D45" s="132" t="s">
        <v>4178</v>
      </c>
      <c r="E45" s="189">
        <f>184900+800</f>
        <v>185700</v>
      </c>
      <c r="F45" s="187"/>
      <c r="G45" s="33"/>
      <c r="H45" s="33"/>
      <c r="I45" s="33"/>
      <c r="J45" s="33"/>
      <c r="K45" s="33"/>
      <c r="L45" s="33"/>
      <c r="M45" s="33"/>
      <c r="N45" s="33"/>
      <c r="O45" s="33"/>
      <c r="P45" s="114"/>
    </row>
    <row r="46" spans="1:16" x14ac:dyDescent="0.2">
      <c r="A46" s="107"/>
      <c r="B46" s="240"/>
      <c r="C46" s="187"/>
      <c r="D46" s="132" t="s">
        <v>6438</v>
      </c>
      <c r="E46" s="189"/>
      <c r="F46" s="187">
        <v>50000</v>
      </c>
      <c r="G46" s="33"/>
      <c r="H46" s="33"/>
      <c r="I46" s="33"/>
      <c r="J46" s="33"/>
      <c r="K46" s="33"/>
      <c r="L46" s="33"/>
      <c r="M46" s="33"/>
      <c r="N46" s="33"/>
      <c r="O46" s="33"/>
      <c r="P46" s="114"/>
    </row>
    <row r="47" spans="1:16" x14ac:dyDescent="0.2">
      <c r="A47" s="107"/>
      <c r="B47" s="240"/>
      <c r="C47" s="187"/>
      <c r="D47" s="132" t="s">
        <v>1854</v>
      </c>
      <c r="E47" s="189"/>
      <c r="F47" s="187"/>
      <c r="G47" s="33"/>
      <c r="H47" s="33"/>
      <c r="I47" s="33"/>
      <c r="J47" s="33"/>
      <c r="K47" s="33"/>
      <c r="L47" s="33"/>
      <c r="M47" s="33"/>
      <c r="N47" s="33"/>
      <c r="O47" s="33"/>
      <c r="P47" s="114"/>
    </row>
    <row r="48" spans="1:16" s="92" customFormat="1" x14ac:dyDescent="0.2">
      <c r="A48" s="181">
        <f>SUBTOTAL(9,A44:A47)</f>
        <v>6500</v>
      </c>
      <c r="B48" s="532"/>
      <c r="C48" s="728">
        <f>SUBTOTAL(9,C44:C47)</f>
        <v>900</v>
      </c>
      <c r="D48" s="397" t="s">
        <v>2688</v>
      </c>
      <c r="E48" s="398">
        <f t="shared" ref="E48:O48" si="11">SUBTOTAL(9,E44:E47)</f>
        <v>185700</v>
      </c>
      <c r="F48" s="728">
        <f t="shared" si="11"/>
        <v>50000</v>
      </c>
      <c r="G48" s="397">
        <f t="shared" si="11"/>
        <v>0</v>
      </c>
      <c r="H48" s="397">
        <f t="shared" si="11"/>
        <v>0</v>
      </c>
      <c r="I48" s="397">
        <f t="shared" si="11"/>
        <v>0</v>
      </c>
      <c r="J48" s="397">
        <f t="shared" si="11"/>
        <v>0</v>
      </c>
      <c r="K48" s="397">
        <f t="shared" si="11"/>
        <v>0</v>
      </c>
      <c r="L48" s="397">
        <f t="shared" si="11"/>
        <v>0</v>
      </c>
      <c r="M48" s="397">
        <f t="shared" si="11"/>
        <v>0</v>
      </c>
      <c r="N48" s="397">
        <f t="shared" si="11"/>
        <v>0</v>
      </c>
      <c r="O48" s="397">
        <f t="shared" si="11"/>
        <v>0</v>
      </c>
      <c r="P48" s="399">
        <f t="shared" ref="P48" si="12">SUBTOTAL(9,P44:P47)</f>
        <v>0</v>
      </c>
    </row>
    <row r="49" spans="1:20" x14ac:dyDescent="0.2">
      <c r="A49" s="107"/>
      <c r="B49" s="150"/>
      <c r="C49" s="187"/>
      <c r="D49" s="33"/>
      <c r="E49" s="189"/>
      <c r="F49" s="187"/>
      <c r="G49" s="33"/>
      <c r="H49" s="33"/>
      <c r="I49" s="33"/>
      <c r="J49" s="33"/>
      <c r="K49" s="33"/>
      <c r="L49" s="33"/>
      <c r="M49" s="33"/>
      <c r="N49" s="33"/>
      <c r="O49" s="33"/>
      <c r="P49" s="114"/>
    </row>
    <row r="50" spans="1:20" x14ac:dyDescent="0.2">
      <c r="A50" s="107"/>
      <c r="B50" s="150"/>
      <c r="C50" s="187"/>
      <c r="D50" s="64" t="s">
        <v>1318</v>
      </c>
      <c r="E50" s="189"/>
      <c r="F50" s="187"/>
      <c r="G50" s="33"/>
      <c r="H50" s="33"/>
      <c r="I50" s="33"/>
      <c r="J50" s="33"/>
      <c r="K50" s="33"/>
      <c r="L50" s="33"/>
      <c r="M50" s="33"/>
      <c r="N50" s="33"/>
      <c r="O50" s="33"/>
      <c r="P50" s="114"/>
    </row>
    <row r="51" spans="1:20" x14ac:dyDescent="0.2">
      <c r="A51" s="107">
        <v>12300</v>
      </c>
      <c r="B51" s="949" t="s">
        <v>3030</v>
      </c>
      <c r="C51" s="187"/>
      <c r="D51" s="132" t="s">
        <v>3871</v>
      </c>
      <c r="E51" s="189"/>
      <c r="F51" s="187"/>
      <c r="G51" s="33"/>
      <c r="H51" s="33"/>
      <c r="I51" s="33"/>
      <c r="J51" s="33"/>
      <c r="K51" s="33"/>
      <c r="L51" s="33"/>
      <c r="M51" s="33"/>
      <c r="N51" s="33"/>
      <c r="O51" s="33"/>
      <c r="P51" s="114"/>
    </row>
    <row r="52" spans="1:20" x14ac:dyDescent="0.2">
      <c r="A52" s="107">
        <v>842100</v>
      </c>
      <c r="B52" s="1102" t="s">
        <v>3031</v>
      </c>
      <c r="C52" s="187">
        <v>14200</v>
      </c>
      <c r="D52" s="132" t="s">
        <v>3299</v>
      </c>
      <c r="E52" s="189">
        <v>221400</v>
      </c>
      <c r="F52" s="187">
        <f>42000-31600</f>
        <v>10400</v>
      </c>
      <c r="G52" s="33"/>
      <c r="H52" s="33"/>
      <c r="I52" s="33"/>
      <c r="J52" s="33"/>
      <c r="K52" s="33"/>
      <c r="L52" s="33"/>
      <c r="M52" s="33"/>
      <c r="N52" s="33"/>
      <c r="O52" s="33"/>
      <c r="P52" s="114"/>
    </row>
    <row r="53" spans="1:20" s="92" customFormat="1" x14ac:dyDescent="0.2">
      <c r="A53" s="181">
        <f>SUBTOTAL(9,A50:A52)</f>
        <v>854400</v>
      </c>
      <c r="B53" s="532"/>
      <c r="C53" s="728">
        <f>SUBTOTAL(9,C50:C52)</f>
        <v>14200</v>
      </c>
      <c r="D53" s="397" t="s">
        <v>170</v>
      </c>
      <c r="E53" s="398">
        <f t="shared" ref="E53:O53" si="13">SUBTOTAL(9,E50:E52)</f>
        <v>221400</v>
      </c>
      <c r="F53" s="728">
        <f t="shared" si="13"/>
        <v>10400</v>
      </c>
      <c r="G53" s="397">
        <f t="shared" si="13"/>
        <v>0</v>
      </c>
      <c r="H53" s="397">
        <f t="shared" si="13"/>
        <v>0</v>
      </c>
      <c r="I53" s="397">
        <f t="shared" si="13"/>
        <v>0</v>
      </c>
      <c r="J53" s="397">
        <f t="shared" si="13"/>
        <v>0</v>
      </c>
      <c r="K53" s="397">
        <f t="shared" si="13"/>
        <v>0</v>
      </c>
      <c r="L53" s="397">
        <f t="shared" si="13"/>
        <v>0</v>
      </c>
      <c r="M53" s="397">
        <f t="shared" si="13"/>
        <v>0</v>
      </c>
      <c r="N53" s="397">
        <f t="shared" si="13"/>
        <v>0</v>
      </c>
      <c r="O53" s="397">
        <f t="shared" si="13"/>
        <v>0</v>
      </c>
      <c r="P53" s="399">
        <f t="shared" ref="P53" si="14">SUBTOTAL(9,P50:P52)</f>
        <v>0</v>
      </c>
    </row>
    <row r="54" spans="1:20" s="92" customFormat="1" x14ac:dyDescent="0.2">
      <c r="A54" s="70"/>
      <c r="B54" s="246"/>
      <c r="C54" s="192"/>
      <c r="D54" s="64"/>
      <c r="E54" s="193"/>
      <c r="F54" s="192"/>
      <c r="G54" s="64"/>
      <c r="H54" s="64"/>
      <c r="I54" s="64"/>
      <c r="J54" s="64"/>
      <c r="K54" s="64"/>
      <c r="L54" s="64"/>
      <c r="M54" s="64"/>
      <c r="N54" s="64"/>
      <c r="O54" s="64"/>
      <c r="P54" s="115"/>
      <c r="Q54" s="84"/>
      <c r="R54" s="84"/>
      <c r="S54" s="84"/>
      <c r="T54" s="84"/>
    </row>
    <row r="55" spans="1:20" x14ac:dyDescent="0.2">
      <c r="A55" s="107"/>
      <c r="B55" s="150"/>
      <c r="C55" s="187"/>
      <c r="D55" s="64" t="s">
        <v>321</v>
      </c>
      <c r="E55" s="189"/>
      <c r="F55" s="187"/>
      <c r="G55" s="33"/>
      <c r="H55" s="33"/>
      <c r="I55" s="33"/>
      <c r="J55" s="33"/>
      <c r="K55" s="33"/>
      <c r="L55" s="33"/>
      <c r="M55" s="33"/>
      <c r="N55" s="33"/>
      <c r="O55" s="33"/>
      <c r="P55" s="114"/>
    </row>
    <row r="56" spans="1:20" x14ac:dyDescent="0.2">
      <c r="A56" s="107">
        <v>121500</v>
      </c>
      <c r="B56" s="150" t="s">
        <v>2693</v>
      </c>
      <c r="C56" s="187">
        <v>127700</v>
      </c>
      <c r="D56" s="132" t="s">
        <v>2255</v>
      </c>
      <c r="E56" s="187">
        <v>110000</v>
      </c>
      <c r="F56" s="187">
        <f>E56</f>
        <v>110000</v>
      </c>
      <c r="G56" s="33">
        <f>F56</f>
        <v>110000</v>
      </c>
      <c r="H56" s="33">
        <f>G56</f>
        <v>110000</v>
      </c>
      <c r="I56" s="33">
        <v>55000</v>
      </c>
      <c r="J56" s="33"/>
      <c r="K56" s="33">
        <v>0</v>
      </c>
      <c r="L56" s="33">
        <v>0</v>
      </c>
      <c r="M56" s="33">
        <f>'Debt-Gen'!Y43</f>
        <v>0</v>
      </c>
      <c r="N56" s="33">
        <f>'Debt-Gen'!Z43</f>
        <v>0</v>
      </c>
      <c r="O56" s="33">
        <f>'Debt-Gen'!AA43</f>
        <v>0</v>
      </c>
      <c r="P56" s="114">
        <f>'Debt-Gen'!AB43</f>
        <v>0</v>
      </c>
    </row>
    <row r="57" spans="1:20" s="92" customFormat="1" x14ac:dyDescent="0.2">
      <c r="A57" s="181">
        <f>SUBTOTAL(9,A55:A56)</f>
        <v>121500</v>
      </c>
      <c r="B57" s="532"/>
      <c r="C57" s="728">
        <f>SUBTOTAL(9,C55:C56)</f>
        <v>127700</v>
      </c>
      <c r="D57" s="397" t="s">
        <v>698</v>
      </c>
      <c r="E57" s="398">
        <f t="shared" ref="E57:M57" si="15">SUBTOTAL(9,E55:E56)</f>
        <v>110000</v>
      </c>
      <c r="F57" s="728">
        <f t="shared" si="15"/>
        <v>110000</v>
      </c>
      <c r="G57" s="397">
        <f t="shared" si="15"/>
        <v>110000</v>
      </c>
      <c r="H57" s="397">
        <f t="shared" si="15"/>
        <v>110000</v>
      </c>
      <c r="I57" s="397">
        <f t="shared" si="15"/>
        <v>55000</v>
      </c>
      <c r="J57" s="397">
        <f t="shared" si="15"/>
        <v>0</v>
      </c>
      <c r="K57" s="397">
        <f t="shared" si="15"/>
        <v>0</v>
      </c>
      <c r="L57" s="397">
        <f t="shared" si="15"/>
        <v>0</v>
      </c>
      <c r="M57" s="397">
        <f t="shared" si="15"/>
        <v>0</v>
      </c>
      <c r="N57" s="397">
        <f t="shared" ref="N57:O57" si="16">SUBTOTAL(9,N55:N56)</f>
        <v>0</v>
      </c>
      <c r="O57" s="397">
        <f t="shared" si="16"/>
        <v>0</v>
      </c>
      <c r="P57" s="399">
        <f t="shared" ref="P57" si="17">SUBTOTAL(9,P55:P56)</f>
        <v>0</v>
      </c>
      <c r="Q57" s="84"/>
      <c r="R57" s="84"/>
      <c r="S57" s="84"/>
      <c r="T57" s="84"/>
    </row>
    <row r="58" spans="1:20" x14ac:dyDescent="0.2">
      <c r="A58" s="107"/>
      <c r="B58" s="240"/>
      <c r="C58" s="33"/>
      <c r="D58" s="366"/>
      <c r="E58" s="142"/>
      <c r="F58" s="33"/>
      <c r="G58" s="33"/>
      <c r="H58" s="33"/>
      <c r="I58" s="33"/>
      <c r="J58" s="33"/>
      <c r="K58" s="33"/>
      <c r="L58" s="33"/>
      <c r="M58" s="33"/>
      <c r="N58" s="33"/>
      <c r="O58" s="33"/>
      <c r="P58" s="114"/>
    </row>
    <row r="59" spans="1:20" x14ac:dyDescent="0.2">
      <c r="A59" s="107"/>
      <c r="B59" s="240"/>
      <c r="C59" s="33"/>
      <c r="D59" s="371" t="s">
        <v>530</v>
      </c>
      <c r="E59" s="142"/>
      <c r="F59" s="33"/>
      <c r="G59" s="33"/>
      <c r="H59" s="33"/>
      <c r="I59" s="33"/>
      <c r="J59" s="33"/>
      <c r="K59" s="33"/>
      <c r="L59" s="33"/>
      <c r="M59" s="33"/>
      <c r="N59" s="33"/>
      <c r="O59" s="33"/>
      <c r="P59" s="114"/>
    </row>
    <row r="60" spans="1:20" x14ac:dyDescent="0.2">
      <c r="A60" s="107">
        <v>192000</v>
      </c>
      <c r="B60" s="150" t="s">
        <v>2701</v>
      </c>
      <c r="C60" s="142">
        <v>192000</v>
      </c>
      <c r="D60" s="891" t="s">
        <v>2307</v>
      </c>
      <c r="E60" s="142">
        <f>ROUND(SUM('Debt-Gen'!I51:J51)*0.75,-3)</f>
        <v>195000</v>
      </c>
      <c r="F60" s="189">
        <f>ROUND(SUM('Debt-Gen'!K51:L51)*0.5,-3)</f>
        <v>130000</v>
      </c>
      <c r="G60" s="33">
        <f>ROUND(SUM('Debt-Gen'!M51:N51)*0.5,-3)</f>
        <v>130000</v>
      </c>
      <c r="H60" s="33">
        <f>ROUND(SUM('Debt-Gen'!O51:P51)*0.5,-3)</f>
        <v>130000</v>
      </c>
      <c r="I60" s="33">
        <f>ROUND(SUM('Debt-Gen'!Q51:R51)*0.5,-3)</f>
        <v>130000</v>
      </c>
      <c r="J60" s="33">
        <f>ROUND(SUM('Debt-Gen'!S51:T51)*0.5,-3)</f>
        <v>130000</v>
      </c>
      <c r="K60" s="33">
        <f>ROUND(SUM('Debt-Gen'!U51:V51)*0.5,-3)</f>
        <v>130000</v>
      </c>
      <c r="L60" s="33">
        <f>ROUND(SUM('Debt-Gen'!W51:X51)*0.5,-3)</f>
        <v>130000</v>
      </c>
      <c r="M60" s="33">
        <f>ROUND(SUM('Debt-Gen'!Y51:Z51)*0.5,-3)</f>
        <v>130000</v>
      </c>
      <c r="N60" s="33">
        <f>ROUND(SUM('Debt-Gen'!AA51:AB51)*0.5,-3)</f>
        <v>130000</v>
      </c>
      <c r="O60" s="33">
        <f>ROUND(SUM('Debt-Gen'!AC51:AD51)*0.5,-3)</f>
        <v>0</v>
      </c>
      <c r="P60" s="114"/>
    </row>
    <row r="61" spans="1:20" x14ac:dyDescent="0.2">
      <c r="A61" s="107"/>
      <c r="B61" s="240"/>
      <c r="C61" s="33"/>
      <c r="D61" s="366"/>
      <c r="E61" s="33"/>
      <c r="F61" s="33"/>
      <c r="G61" s="33"/>
      <c r="H61" s="33"/>
      <c r="I61" s="33"/>
      <c r="J61" s="33"/>
      <c r="K61" s="33"/>
      <c r="L61" s="33"/>
      <c r="M61" s="33"/>
      <c r="N61" s="33"/>
      <c r="O61" s="33"/>
      <c r="P61" s="114"/>
    </row>
    <row r="62" spans="1:20" x14ac:dyDescent="0.2">
      <c r="A62" s="107"/>
      <c r="B62" s="240"/>
      <c r="C62" s="33"/>
      <c r="D62" s="175" t="s">
        <v>531</v>
      </c>
      <c r="E62" s="33"/>
      <c r="F62" s="33"/>
      <c r="G62" s="33"/>
      <c r="H62" s="33"/>
      <c r="I62" s="33"/>
      <c r="J62" s="33"/>
      <c r="K62" s="33"/>
      <c r="L62" s="33"/>
      <c r="M62" s="33"/>
      <c r="N62" s="33"/>
      <c r="O62" s="33"/>
      <c r="P62" s="114"/>
    </row>
    <row r="63" spans="1:20" x14ac:dyDescent="0.2">
      <c r="A63" s="107">
        <f>39500+17200</f>
        <v>56700</v>
      </c>
      <c r="B63" s="150" t="s">
        <v>1404</v>
      </c>
      <c r="C63" s="187">
        <v>213500</v>
      </c>
      <c r="D63" s="891" t="s">
        <v>3125</v>
      </c>
      <c r="E63" s="189">
        <v>110600</v>
      </c>
      <c r="F63" s="189">
        <f>196000+128500</f>
        <v>324500</v>
      </c>
      <c r="G63" s="33">
        <f t="shared" ref="G63:N63" si="18">G24-G60</f>
        <v>201000</v>
      </c>
      <c r="H63" s="33">
        <f t="shared" si="18"/>
        <v>209000</v>
      </c>
      <c r="I63" s="33">
        <f t="shared" si="18"/>
        <v>217000</v>
      </c>
      <c r="J63" s="33">
        <f t="shared" si="18"/>
        <v>226000</v>
      </c>
      <c r="K63" s="33">
        <f t="shared" si="18"/>
        <v>233000</v>
      </c>
      <c r="L63" s="33">
        <f t="shared" si="18"/>
        <v>240000</v>
      </c>
      <c r="M63" s="33">
        <f t="shared" si="18"/>
        <v>247000</v>
      </c>
      <c r="N63" s="33">
        <f t="shared" si="18"/>
        <v>255000</v>
      </c>
      <c r="O63" s="33">
        <f>O24-O60</f>
        <v>393000</v>
      </c>
      <c r="P63" s="114">
        <f t="shared" ref="P63" si="19">P24-P60</f>
        <v>401000</v>
      </c>
    </row>
    <row r="64" spans="1:20" s="92" customFormat="1" x14ac:dyDescent="0.2">
      <c r="A64" s="181">
        <f>SUBTOTAL(9,A59:A63)</f>
        <v>248700</v>
      </c>
      <c r="B64" s="532"/>
      <c r="C64" s="728">
        <f>SUBTOTAL(9,C59:C63)</f>
        <v>405500</v>
      </c>
      <c r="D64" s="397" t="s">
        <v>2344</v>
      </c>
      <c r="E64" s="398">
        <f t="shared" ref="E64:O64" si="20">SUBTOTAL(9,E59:E63)</f>
        <v>305600</v>
      </c>
      <c r="F64" s="728">
        <f t="shared" si="20"/>
        <v>454500</v>
      </c>
      <c r="G64" s="397">
        <f t="shared" si="20"/>
        <v>331000</v>
      </c>
      <c r="H64" s="397">
        <f t="shared" si="20"/>
        <v>339000</v>
      </c>
      <c r="I64" s="397">
        <f t="shared" si="20"/>
        <v>347000</v>
      </c>
      <c r="J64" s="397">
        <f t="shared" si="20"/>
        <v>356000</v>
      </c>
      <c r="K64" s="397">
        <f t="shared" si="20"/>
        <v>363000</v>
      </c>
      <c r="L64" s="397">
        <f t="shared" si="20"/>
        <v>370000</v>
      </c>
      <c r="M64" s="397">
        <f t="shared" si="20"/>
        <v>377000</v>
      </c>
      <c r="N64" s="397">
        <f t="shared" si="20"/>
        <v>385000</v>
      </c>
      <c r="O64" s="397">
        <f t="shared" si="20"/>
        <v>393000</v>
      </c>
      <c r="P64" s="399">
        <f t="shared" ref="P64" si="21">SUBTOTAL(9,P59:P63)</f>
        <v>401000</v>
      </c>
      <c r="Q64" s="84"/>
      <c r="R64" s="84"/>
      <c r="S64" s="84"/>
      <c r="T64" s="84"/>
    </row>
    <row r="65" spans="1:20" s="92" customFormat="1" x14ac:dyDescent="0.2">
      <c r="A65" s="70"/>
      <c r="B65" s="246"/>
      <c r="C65" s="192"/>
      <c r="D65" s="64"/>
      <c r="E65" s="193"/>
      <c r="F65" s="192"/>
      <c r="G65" s="64"/>
      <c r="H65" s="64"/>
      <c r="I65" s="64"/>
      <c r="J65" s="64"/>
      <c r="K65" s="64"/>
      <c r="L65" s="64"/>
      <c r="M65" s="64"/>
      <c r="N65" s="64"/>
      <c r="O65" s="64"/>
      <c r="P65" s="115"/>
      <c r="Q65" s="84"/>
      <c r="R65" s="84"/>
      <c r="S65" s="84"/>
      <c r="T65" s="84"/>
    </row>
    <row r="66" spans="1:20" x14ac:dyDescent="0.2">
      <c r="A66" s="107"/>
      <c r="B66" s="240"/>
      <c r="C66" s="33"/>
      <c r="D66" s="371" t="s">
        <v>2256</v>
      </c>
      <c r="E66" s="33"/>
      <c r="F66" s="33"/>
      <c r="G66" s="33"/>
      <c r="H66" s="33"/>
      <c r="I66" s="33"/>
      <c r="J66" s="33"/>
      <c r="K66" s="33"/>
      <c r="L66" s="33"/>
      <c r="M66" s="33"/>
      <c r="N66" s="33"/>
      <c r="O66" s="33"/>
      <c r="P66" s="114"/>
    </row>
    <row r="67" spans="1:20" x14ac:dyDescent="0.2">
      <c r="A67" s="107">
        <v>1139200</v>
      </c>
      <c r="B67" s="150" t="s">
        <v>2700</v>
      </c>
      <c r="C67" s="33">
        <f>55800+313300</f>
        <v>369100</v>
      </c>
      <c r="D67" s="111" t="s">
        <v>1466</v>
      </c>
      <c r="E67" s="33"/>
      <c r="F67" s="33"/>
      <c r="G67" s="33"/>
      <c r="H67" s="33"/>
      <c r="I67" s="33"/>
      <c r="J67" s="33"/>
      <c r="K67" s="33"/>
      <c r="L67" s="33"/>
      <c r="M67" s="33"/>
      <c r="N67" s="33"/>
      <c r="O67" s="33"/>
      <c r="P67" s="114"/>
    </row>
    <row r="68" spans="1:20" x14ac:dyDescent="0.2">
      <c r="A68" s="107">
        <v>30700</v>
      </c>
      <c r="B68" s="949" t="s">
        <v>3522</v>
      </c>
      <c r="C68" s="33">
        <v>730700</v>
      </c>
      <c r="D68" s="111" t="s">
        <v>3521</v>
      </c>
      <c r="E68" s="33">
        <v>106200</v>
      </c>
      <c r="F68" s="33"/>
      <c r="G68" s="33"/>
      <c r="H68" s="33"/>
      <c r="I68" s="33"/>
      <c r="J68" s="33"/>
      <c r="K68" s="33"/>
      <c r="L68" s="33"/>
      <c r="M68" s="33"/>
      <c r="N68" s="33"/>
      <c r="O68" s="33"/>
      <c r="P68" s="114"/>
    </row>
    <row r="69" spans="1:20" x14ac:dyDescent="0.2">
      <c r="A69" s="107"/>
      <c r="B69" s="240"/>
      <c r="C69" s="33">
        <v>130100</v>
      </c>
      <c r="D69" s="111" t="s">
        <v>3479</v>
      </c>
      <c r="E69" s="33">
        <v>10000</v>
      </c>
      <c r="F69" s="33"/>
      <c r="G69" s="33"/>
      <c r="H69" s="33"/>
      <c r="I69" s="33"/>
      <c r="J69" s="33"/>
      <c r="K69" s="33"/>
      <c r="L69" s="33"/>
      <c r="M69" s="33"/>
      <c r="N69" s="33"/>
      <c r="O69" s="33"/>
      <c r="P69" s="114"/>
    </row>
    <row r="70" spans="1:20" x14ac:dyDescent="0.2">
      <c r="A70" s="107">
        <v>13000</v>
      </c>
      <c r="B70" s="150" t="s">
        <v>2699</v>
      </c>
      <c r="C70" s="33"/>
      <c r="D70" s="111" t="s">
        <v>1410</v>
      </c>
      <c r="E70" s="33"/>
      <c r="F70" s="33">
        <f>'Cap-Gen'!W128</f>
        <v>288900</v>
      </c>
      <c r="G70" s="33"/>
      <c r="H70" s="33">
        <f>'Cap-Gen'!AG128</f>
        <v>16722000</v>
      </c>
      <c r="I70" s="33"/>
      <c r="J70" s="33"/>
      <c r="K70" s="33"/>
      <c r="L70" s="33"/>
      <c r="M70" s="33"/>
      <c r="N70" s="33"/>
      <c r="O70" s="33"/>
      <c r="P70" s="114"/>
    </row>
    <row r="71" spans="1:20" x14ac:dyDescent="0.2">
      <c r="A71" s="107"/>
      <c r="B71" s="240"/>
      <c r="C71" s="33"/>
      <c r="D71" s="111" t="s">
        <v>6790</v>
      </c>
      <c r="E71" s="33">
        <v>16300</v>
      </c>
      <c r="F71" s="33">
        <v>33500</v>
      </c>
      <c r="G71" s="33"/>
      <c r="H71" s="33"/>
      <c r="I71" s="33"/>
      <c r="J71" s="33"/>
      <c r="K71" s="33"/>
      <c r="L71" s="33"/>
      <c r="M71" s="33"/>
      <c r="N71" s="33"/>
      <c r="O71" s="33"/>
      <c r="P71" s="114"/>
    </row>
    <row r="72" spans="1:20" x14ac:dyDescent="0.2">
      <c r="A72" s="107"/>
      <c r="B72" s="240"/>
      <c r="C72" s="33"/>
      <c r="D72" s="111" t="s">
        <v>6022</v>
      </c>
      <c r="E72" s="33"/>
      <c r="F72" s="33"/>
      <c r="G72" s="33"/>
      <c r="H72" s="33"/>
      <c r="I72" s="33"/>
      <c r="J72" s="33">
        <f>'Cap-Gen'!AQ129</f>
        <v>10438000</v>
      </c>
      <c r="K72" s="33"/>
      <c r="L72" s="33"/>
      <c r="M72" s="33"/>
      <c r="N72" s="33"/>
      <c r="O72" s="33"/>
      <c r="P72" s="114"/>
    </row>
    <row r="73" spans="1:20" x14ac:dyDescent="0.2">
      <c r="A73" s="107"/>
      <c r="B73" s="240"/>
      <c r="C73" s="33"/>
      <c r="D73" s="111" t="s">
        <v>6023</v>
      </c>
      <c r="E73" s="33"/>
      <c r="F73" s="33"/>
      <c r="G73" s="33"/>
      <c r="H73" s="33"/>
      <c r="I73" s="33"/>
      <c r="J73" s="33">
        <f>'Cap-Gen'!AQ130</f>
        <v>3072000</v>
      </c>
      <c r="K73" s="33"/>
      <c r="L73" s="33"/>
      <c r="M73" s="33"/>
      <c r="N73" s="33"/>
      <c r="O73" s="33"/>
      <c r="P73" s="114"/>
    </row>
    <row r="74" spans="1:20" x14ac:dyDescent="0.2">
      <c r="A74" s="107"/>
      <c r="B74" s="240"/>
      <c r="C74" s="33"/>
      <c r="D74" s="111" t="s">
        <v>6024</v>
      </c>
      <c r="E74" s="33"/>
      <c r="F74" s="33"/>
      <c r="G74" s="33"/>
      <c r="H74" s="33"/>
      <c r="I74" s="33"/>
      <c r="J74" s="33">
        <f>'Cap-Gen'!AQ131</f>
        <v>114000</v>
      </c>
      <c r="K74" s="33"/>
      <c r="L74" s="33"/>
      <c r="M74" s="33"/>
      <c r="N74" s="33"/>
      <c r="O74" s="33"/>
      <c r="P74" s="114"/>
    </row>
    <row r="75" spans="1:20" x14ac:dyDescent="0.2">
      <c r="A75" s="107"/>
      <c r="B75" s="240"/>
      <c r="C75" s="33"/>
      <c r="D75" s="111" t="s">
        <v>6025</v>
      </c>
      <c r="E75" s="33"/>
      <c r="F75" s="33"/>
      <c r="G75" s="33"/>
      <c r="H75" s="33"/>
      <c r="I75" s="33"/>
      <c r="J75" s="33"/>
      <c r="K75" s="33">
        <f>'Cap-Gen'!AV132</f>
        <v>8434000</v>
      </c>
      <c r="L75" s="33"/>
      <c r="M75" s="33"/>
      <c r="N75" s="33"/>
      <c r="O75" s="33"/>
      <c r="P75" s="114"/>
    </row>
    <row r="76" spans="1:20" x14ac:dyDescent="0.2">
      <c r="A76" s="107"/>
      <c r="B76" s="240"/>
      <c r="C76" s="33"/>
      <c r="D76" s="111" t="s">
        <v>6026</v>
      </c>
      <c r="E76" s="33"/>
      <c r="F76" s="33"/>
      <c r="G76" s="33"/>
      <c r="H76" s="33"/>
      <c r="I76" s="33"/>
      <c r="J76" s="33"/>
      <c r="K76" s="33">
        <f>'Cap-Gen'!AV133</f>
        <v>4718000</v>
      </c>
      <c r="L76" s="33"/>
      <c r="M76" s="33"/>
      <c r="N76" s="33"/>
      <c r="O76" s="33"/>
      <c r="P76" s="114"/>
    </row>
    <row r="77" spans="1:20" s="92" customFormat="1" x14ac:dyDescent="0.2">
      <c r="A77" s="181">
        <f>SUBTOTAL(9,A66:A76)</f>
        <v>1182900</v>
      </c>
      <c r="B77" s="532"/>
      <c r="C77" s="728">
        <f>SUBTOTAL(9,C66:C76)</f>
        <v>1229900</v>
      </c>
      <c r="D77" s="397" t="s">
        <v>2343</v>
      </c>
      <c r="E77" s="398">
        <f t="shared" ref="E77:O77" si="22">SUBTOTAL(9,E66:E76)</f>
        <v>132500</v>
      </c>
      <c r="F77" s="398">
        <f t="shared" si="22"/>
        <v>322400</v>
      </c>
      <c r="G77" s="398">
        <f t="shared" si="22"/>
        <v>0</v>
      </c>
      <c r="H77" s="398">
        <f t="shared" si="22"/>
        <v>16722000</v>
      </c>
      <c r="I77" s="398">
        <f t="shared" si="22"/>
        <v>0</v>
      </c>
      <c r="J77" s="398">
        <f t="shared" si="22"/>
        <v>13624000</v>
      </c>
      <c r="K77" s="398">
        <f t="shared" si="22"/>
        <v>13152000</v>
      </c>
      <c r="L77" s="398">
        <f t="shared" si="22"/>
        <v>0</v>
      </c>
      <c r="M77" s="398">
        <f t="shared" si="22"/>
        <v>0</v>
      </c>
      <c r="N77" s="398">
        <f t="shared" si="22"/>
        <v>0</v>
      </c>
      <c r="O77" s="728">
        <f t="shared" si="22"/>
        <v>0</v>
      </c>
      <c r="P77" s="1716">
        <f t="shared" ref="P77" si="23">SUBTOTAL(9,P66:P76)</f>
        <v>0</v>
      </c>
      <c r="Q77" s="84"/>
      <c r="R77" s="84"/>
      <c r="S77" s="84"/>
      <c r="T77" s="84"/>
    </row>
    <row r="78" spans="1:20" x14ac:dyDescent="0.2">
      <c r="A78" s="107"/>
      <c r="B78" s="150"/>
      <c r="C78" s="33"/>
      <c r="D78" s="33"/>
      <c r="E78" s="142"/>
      <c r="F78" s="189"/>
      <c r="G78" s="33"/>
      <c r="H78" s="33"/>
      <c r="I78" s="33"/>
      <c r="J78" s="33"/>
      <c r="K78" s="33"/>
      <c r="L78" s="33"/>
      <c r="M78" s="33"/>
      <c r="N78" s="33"/>
      <c r="O78" s="33"/>
      <c r="P78" s="114"/>
    </row>
    <row r="79" spans="1:20" s="92" customFormat="1" x14ac:dyDescent="0.2">
      <c r="A79" s="70"/>
      <c r="B79" s="156"/>
      <c r="C79" s="64"/>
      <c r="D79" s="116" t="s">
        <v>4894</v>
      </c>
      <c r="E79" s="128"/>
      <c r="F79" s="193"/>
      <c r="G79" s="64"/>
      <c r="H79" s="64"/>
      <c r="I79" s="64"/>
      <c r="J79" s="64"/>
      <c r="K79" s="64"/>
      <c r="L79" s="64"/>
      <c r="M79" s="64"/>
      <c r="N79" s="64"/>
      <c r="O79" s="64"/>
      <c r="P79" s="115"/>
    </row>
    <row r="80" spans="1:20" x14ac:dyDescent="0.2">
      <c r="A80" s="71">
        <f>56800+210800+101700</f>
        <v>369300</v>
      </c>
      <c r="B80" s="152" t="s">
        <v>616</v>
      </c>
      <c r="C80" s="33">
        <v>202700</v>
      </c>
      <c r="D80" s="132" t="s">
        <v>3939</v>
      </c>
      <c r="E80" s="142">
        <v>72500</v>
      </c>
      <c r="F80" s="189">
        <v>200000</v>
      </c>
      <c r="G80" s="33">
        <f>F80</f>
        <v>200000</v>
      </c>
      <c r="H80" s="33">
        <f t="shared" ref="H80:P80" si="24">G80</f>
        <v>200000</v>
      </c>
      <c r="I80" s="33">
        <f t="shared" si="24"/>
        <v>200000</v>
      </c>
      <c r="J80" s="33">
        <f t="shared" si="24"/>
        <v>200000</v>
      </c>
      <c r="K80" s="33">
        <f t="shared" si="24"/>
        <v>200000</v>
      </c>
      <c r="L80" s="33">
        <f t="shared" si="24"/>
        <v>200000</v>
      </c>
      <c r="M80" s="33">
        <f t="shared" si="24"/>
        <v>200000</v>
      </c>
      <c r="N80" s="33">
        <f t="shared" si="24"/>
        <v>200000</v>
      </c>
      <c r="O80" s="33">
        <f t="shared" si="24"/>
        <v>200000</v>
      </c>
      <c r="P80" s="114">
        <f t="shared" si="24"/>
        <v>200000</v>
      </c>
    </row>
    <row r="81" spans="1:16" x14ac:dyDescent="0.2">
      <c r="A81" s="107">
        <f>36000+58900+25800+345700+9500</f>
        <v>475900</v>
      </c>
      <c r="B81" s="150" t="s">
        <v>616</v>
      </c>
      <c r="C81" s="33">
        <f>299000+138000+91000-900</f>
        <v>527100</v>
      </c>
      <c r="D81" s="132" t="s">
        <v>559</v>
      </c>
      <c r="E81" s="142">
        <v>401000</v>
      </c>
      <c r="F81" s="189">
        <v>250000</v>
      </c>
      <c r="G81" s="33">
        <v>450000</v>
      </c>
      <c r="H81" s="33">
        <v>250000</v>
      </c>
      <c r="I81" s="33">
        <f t="shared" ref="I81:P81" si="25">H81</f>
        <v>250000</v>
      </c>
      <c r="J81" s="33">
        <f t="shared" si="25"/>
        <v>250000</v>
      </c>
      <c r="K81" s="33">
        <f t="shared" si="25"/>
        <v>250000</v>
      </c>
      <c r="L81" s="33">
        <f t="shared" si="25"/>
        <v>250000</v>
      </c>
      <c r="M81" s="33">
        <f t="shared" si="25"/>
        <v>250000</v>
      </c>
      <c r="N81" s="33">
        <f t="shared" si="25"/>
        <v>250000</v>
      </c>
      <c r="O81" s="33">
        <f t="shared" si="25"/>
        <v>250000</v>
      </c>
      <c r="P81" s="114">
        <f t="shared" si="25"/>
        <v>250000</v>
      </c>
    </row>
    <row r="82" spans="1:16" x14ac:dyDescent="0.2">
      <c r="A82" s="107"/>
      <c r="B82" s="152" t="s">
        <v>616</v>
      </c>
      <c r="C82" s="33"/>
      <c r="D82" s="132" t="s">
        <v>4895</v>
      </c>
      <c r="E82" s="142"/>
      <c r="F82" s="189"/>
      <c r="G82" s="33"/>
      <c r="H82" s="33"/>
      <c r="I82" s="33"/>
      <c r="J82" s="33"/>
      <c r="K82" s="33"/>
      <c r="L82" s="33"/>
      <c r="M82" s="33"/>
      <c r="N82" s="33"/>
      <c r="O82" s="33"/>
      <c r="P82" s="114"/>
    </row>
    <row r="83" spans="1:16" x14ac:dyDescent="0.2">
      <c r="A83" s="107"/>
      <c r="B83" s="150" t="s">
        <v>616</v>
      </c>
      <c r="C83" s="33"/>
      <c r="D83" s="132" t="s">
        <v>3080</v>
      </c>
      <c r="E83" s="142"/>
      <c r="F83" s="189"/>
      <c r="G83" s="33"/>
      <c r="H83" s="33"/>
      <c r="I83" s="33"/>
      <c r="J83" s="33"/>
      <c r="K83" s="33"/>
      <c r="L83" s="33"/>
      <c r="M83" s="33"/>
      <c r="N83" s="33"/>
      <c r="O83" s="33"/>
      <c r="P83" s="114"/>
    </row>
    <row r="84" spans="1:16" s="92" customFormat="1" x14ac:dyDescent="0.2">
      <c r="A84" s="181">
        <f>SUBTOTAL(9,A79:A83)</f>
        <v>845200</v>
      </c>
      <c r="B84" s="532"/>
      <c r="C84" s="728">
        <f>SUBTOTAL(9,C79:C83)</f>
        <v>729800</v>
      </c>
      <c r="D84" s="1122" t="s">
        <v>4224</v>
      </c>
      <c r="E84" s="398">
        <f t="shared" ref="E84:M84" si="26">SUBTOTAL(9,E79:E83)</f>
        <v>473500</v>
      </c>
      <c r="F84" s="728">
        <f t="shared" si="26"/>
        <v>450000</v>
      </c>
      <c r="G84" s="397">
        <f t="shared" si="26"/>
        <v>650000</v>
      </c>
      <c r="H84" s="397">
        <f t="shared" si="26"/>
        <v>450000</v>
      </c>
      <c r="I84" s="397">
        <f t="shared" si="26"/>
        <v>450000</v>
      </c>
      <c r="J84" s="397">
        <f t="shared" si="26"/>
        <v>450000</v>
      </c>
      <c r="K84" s="397">
        <f t="shared" si="26"/>
        <v>450000</v>
      </c>
      <c r="L84" s="397">
        <f t="shared" si="26"/>
        <v>450000</v>
      </c>
      <c r="M84" s="397">
        <f t="shared" si="26"/>
        <v>450000</v>
      </c>
      <c r="N84" s="397">
        <f t="shared" ref="N84:O84" si="27">SUBTOTAL(9,N79:N83)</f>
        <v>450000</v>
      </c>
      <c r="O84" s="397">
        <f t="shared" si="27"/>
        <v>450000</v>
      </c>
      <c r="P84" s="399">
        <f t="shared" ref="P84" si="28">SUBTOTAL(9,P79:P83)</f>
        <v>450000</v>
      </c>
    </row>
    <row r="85" spans="1:16" s="92" customFormat="1" x14ac:dyDescent="0.2">
      <c r="A85" s="70"/>
      <c r="B85" s="246"/>
      <c r="C85" s="192"/>
      <c r="D85" s="64"/>
      <c r="E85" s="193"/>
      <c r="F85" s="192"/>
      <c r="G85" s="64"/>
      <c r="H85" s="64"/>
      <c r="I85" s="64"/>
      <c r="J85" s="64"/>
      <c r="K85" s="64"/>
      <c r="L85" s="64"/>
      <c r="M85" s="64"/>
      <c r="N85" s="64"/>
      <c r="O85" s="64"/>
      <c r="P85" s="115"/>
    </row>
    <row r="86" spans="1:16" s="92" customFormat="1" x14ac:dyDescent="0.2">
      <c r="A86" s="71">
        <v>101300</v>
      </c>
      <c r="B86" s="246"/>
      <c r="C86" s="1011">
        <v>72600</v>
      </c>
      <c r="D86" s="132" t="s">
        <v>3205</v>
      </c>
      <c r="E86" s="1012">
        <f>72600+82700</f>
        <v>155300</v>
      </c>
      <c r="F86" s="1011"/>
      <c r="G86" s="132"/>
      <c r="H86" s="64"/>
      <c r="I86" s="64"/>
      <c r="J86" s="64"/>
      <c r="K86" s="64"/>
      <c r="L86" s="64"/>
      <c r="M86" s="64"/>
      <c r="N86" s="64"/>
      <c r="O86" s="64"/>
      <c r="P86" s="115"/>
    </row>
    <row r="87" spans="1:16" s="92" customFormat="1" x14ac:dyDescent="0.2">
      <c r="A87" s="71">
        <f>37800+2700</f>
        <v>40500</v>
      </c>
      <c r="B87" s="246"/>
      <c r="C87" s="1011">
        <v>0</v>
      </c>
      <c r="D87" s="132" t="s">
        <v>3207</v>
      </c>
      <c r="E87" s="1012">
        <v>24600</v>
      </c>
      <c r="F87" s="1011"/>
      <c r="G87" s="132"/>
      <c r="H87" s="64"/>
      <c r="I87" s="64"/>
      <c r="J87" s="64"/>
      <c r="K87" s="64"/>
      <c r="L87" s="64"/>
      <c r="M87" s="64"/>
      <c r="N87" s="64"/>
      <c r="O87" s="64"/>
      <c r="P87" s="115"/>
    </row>
    <row r="88" spans="1:16" s="92" customFormat="1" x14ac:dyDescent="0.2">
      <c r="A88" s="71">
        <v>60000</v>
      </c>
      <c r="B88" s="246"/>
      <c r="C88" s="1011">
        <v>60000</v>
      </c>
      <c r="D88" s="132" t="s">
        <v>6534</v>
      </c>
      <c r="E88" s="1012"/>
      <c r="F88" s="1011">
        <v>60000</v>
      </c>
      <c r="G88" s="132"/>
      <c r="H88" s="64"/>
      <c r="I88" s="64"/>
      <c r="J88" s="64"/>
      <c r="K88" s="64"/>
      <c r="L88" s="64"/>
      <c r="M88" s="64"/>
      <c r="N88" s="64"/>
      <c r="O88" s="64"/>
      <c r="P88" s="115"/>
    </row>
    <row r="89" spans="1:16" s="92" customFormat="1" hidden="1" x14ac:dyDescent="0.2">
      <c r="A89" s="71"/>
      <c r="B89" s="246"/>
      <c r="C89" s="1011"/>
      <c r="D89" s="132" t="s">
        <v>3430</v>
      </c>
      <c r="E89" s="1012"/>
      <c r="F89" s="1011"/>
      <c r="G89" s="132"/>
      <c r="H89" s="64"/>
      <c r="I89" s="64"/>
      <c r="J89" s="64"/>
      <c r="K89" s="64"/>
      <c r="L89" s="64"/>
      <c r="M89" s="64"/>
      <c r="N89" s="64"/>
      <c r="O89" s="64"/>
      <c r="P89" s="115"/>
    </row>
    <row r="90" spans="1:16" s="92" customFormat="1" x14ac:dyDescent="0.2">
      <c r="A90" s="2220">
        <v>193100</v>
      </c>
      <c r="B90" s="1121"/>
      <c r="C90" s="1123">
        <v>127300</v>
      </c>
      <c r="D90" s="1091" t="s">
        <v>3208</v>
      </c>
      <c r="E90" s="1127">
        <v>127400</v>
      </c>
      <c r="F90" s="1123"/>
      <c r="G90" s="1091"/>
      <c r="H90" s="1120"/>
      <c r="I90" s="1120"/>
      <c r="J90" s="1120"/>
      <c r="K90" s="1120"/>
      <c r="L90" s="1120"/>
      <c r="M90" s="1120"/>
      <c r="N90" s="1120"/>
      <c r="O90" s="1120"/>
      <c r="P90" s="1718"/>
    </row>
    <row r="91" spans="1:16" s="92" customFormat="1" x14ac:dyDescent="0.2">
      <c r="A91" s="70">
        <f>SUBTOTAL(9,A85:A90)</f>
        <v>394900</v>
      </c>
      <c r="B91" s="246"/>
      <c r="C91" s="728">
        <f>SUBTOTAL(9,C85:C90)</f>
        <v>259900</v>
      </c>
      <c r="D91" s="1122" t="s">
        <v>3206</v>
      </c>
      <c r="E91" s="193">
        <f t="shared" ref="E91:M91" si="29">SUBTOTAL(9,E85:E90)</f>
        <v>307300</v>
      </c>
      <c r="F91" s="192">
        <f t="shared" si="29"/>
        <v>60000</v>
      </c>
      <c r="G91" s="64">
        <f t="shared" si="29"/>
        <v>0</v>
      </c>
      <c r="H91" s="64">
        <f t="shared" si="29"/>
        <v>0</v>
      </c>
      <c r="I91" s="64">
        <f t="shared" si="29"/>
        <v>0</v>
      </c>
      <c r="J91" s="64">
        <f t="shared" si="29"/>
        <v>0</v>
      </c>
      <c r="K91" s="64">
        <f t="shared" si="29"/>
        <v>0</v>
      </c>
      <c r="L91" s="64">
        <f t="shared" si="29"/>
        <v>0</v>
      </c>
      <c r="M91" s="64">
        <f t="shared" si="29"/>
        <v>0</v>
      </c>
      <c r="N91" s="64">
        <f t="shared" ref="N91:O91" si="30">SUBTOTAL(9,N85:N90)</f>
        <v>0</v>
      </c>
      <c r="O91" s="64">
        <f t="shared" si="30"/>
        <v>0</v>
      </c>
      <c r="P91" s="115">
        <f t="shared" ref="P91" si="31">SUBTOTAL(9,P85:P90)</f>
        <v>0</v>
      </c>
    </row>
    <row r="92" spans="1:16" s="92" customFormat="1" x14ac:dyDescent="0.2">
      <c r="A92" s="70"/>
      <c r="B92" s="246"/>
      <c r="C92" s="192"/>
      <c r="D92" s="64"/>
      <c r="E92" s="193"/>
      <c r="F92" s="192"/>
      <c r="G92" s="64"/>
      <c r="H92" s="64"/>
      <c r="I92" s="64"/>
      <c r="J92" s="64"/>
      <c r="K92" s="64"/>
      <c r="L92" s="64"/>
      <c r="M92" s="64"/>
      <c r="N92" s="64"/>
      <c r="O92" s="64"/>
      <c r="P92" s="115"/>
    </row>
    <row r="93" spans="1:16" s="92" customFormat="1" x14ac:dyDescent="0.2">
      <c r="A93" s="2220"/>
      <c r="B93" s="1121"/>
      <c r="C93" s="1123">
        <v>54000</v>
      </c>
      <c r="D93" s="1091" t="s">
        <v>5464</v>
      </c>
      <c r="E93" s="1127"/>
      <c r="F93" s="1123"/>
      <c r="G93" s="1091"/>
      <c r="H93" s="1120"/>
      <c r="I93" s="1120"/>
      <c r="J93" s="1120"/>
      <c r="K93" s="1120"/>
      <c r="L93" s="1120"/>
      <c r="M93" s="1120"/>
      <c r="N93" s="1120"/>
      <c r="O93" s="1120"/>
      <c r="P93" s="1718"/>
    </row>
    <row r="94" spans="1:16" s="92" customFormat="1" x14ac:dyDescent="0.2">
      <c r="A94" s="70">
        <f>SUBTOTAL(9,A92:A93)</f>
        <v>0</v>
      </c>
      <c r="B94" s="64">
        <f t="shared" ref="B94:C94" si="32">SUBTOTAL(9,B92:B93)</f>
        <v>0</v>
      </c>
      <c r="C94" s="64">
        <f t="shared" si="32"/>
        <v>54000</v>
      </c>
      <c r="D94" s="1122" t="s">
        <v>5331</v>
      </c>
      <c r="E94" s="193">
        <f t="shared" ref="E94:N94" si="33">SUBTOTAL(9,E92:E93)</f>
        <v>0</v>
      </c>
      <c r="F94" s="192">
        <f t="shared" si="33"/>
        <v>0</v>
      </c>
      <c r="G94" s="64">
        <f t="shared" si="33"/>
        <v>0</v>
      </c>
      <c r="H94" s="64">
        <f t="shared" si="33"/>
        <v>0</v>
      </c>
      <c r="I94" s="64">
        <f t="shared" si="33"/>
        <v>0</v>
      </c>
      <c r="J94" s="64">
        <f t="shared" si="33"/>
        <v>0</v>
      </c>
      <c r="K94" s="64">
        <f t="shared" si="33"/>
        <v>0</v>
      </c>
      <c r="L94" s="64">
        <f t="shared" si="33"/>
        <v>0</v>
      </c>
      <c r="M94" s="64">
        <f t="shared" si="33"/>
        <v>0</v>
      </c>
      <c r="N94" s="64">
        <f t="shared" si="33"/>
        <v>0</v>
      </c>
      <c r="O94" s="64">
        <f t="shared" ref="O94:P94" si="34">SUBTOTAL(9,O92:O93)</f>
        <v>0</v>
      </c>
      <c r="P94" s="115">
        <f t="shared" si="34"/>
        <v>0</v>
      </c>
    </row>
    <row r="95" spans="1:16" ht="13.5" thickBot="1" x14ac:dyDescent="0.25">
      <c r="A95" s="107"/>
      <c r="B95" s="240"/>
      <c r="C95" s="187"/>
      <c r="D95" s="366"/>
      <c r="E95" s="189"/>
      <c r="F95" s="2604"/>
      <c r="G95" s="33"/>
      <c r="H95" s="33"/>
      <c r="I95" s="33"/>
      <c r="J95" s="33"/>
      <c r="K95" s="33"/>
      <c r="L95" s="33"/>
      <c r="M95" s="33"/>
      <c r="N95" s="33"/>
      <c r="O95" s="33"/>
      <c r="P95" s="114"/>
    </row>
    <row r="96" spans="1:16" s="92" customFormat="1" ht="13.5" thickBot="1" x14ac:dyDescent="0.25">
      <c r="A96" s="1145">
        <f>SUBTOTAL(9,A36:A95)</f>
        <v>3695300</v>
      </c>
      <c r="B96" s="1142"/>
      <c r="C96" s="1141">
        <f>SUBTOTAL(9,C37:C95)</f>
        <v>2821900</v>
      </c>
      <c r="D96" s="1143" t="s">
        <v>1790</v>
      </c>
      <c r="E96" s="1141">
        <f t="shared" ref="E96:O96" si="35">SUBTOTAL(9,E37:E95)</f>
        <v>1788800</v>
      </c>
      <c r="F96" s="1141">
        <f t="shared" si="35"/>
        <v>1807300</v>
      </c>
      <c r="G96" s="1141">
        <f t="shared" si="35"/>
        <v>1091000</v>
      </c>
      <c r="H96" s="1141">
        <f t="shared" si="35"/>
        <v>17621000</v>
      </c>
      <c r="I96" s="1141">
        <f t="shared" si="35"/>
        <v>852000</v>
      </c>
      <c r="J96" s="1141">
        <f t="shared" si="35"/>
        <v>14430000</v>
      </c>
      <c r="K96" s="1141">
        <f t="shared" si="35"/>
        <v>13965000</v>
      </c>
      <c r="L96" s="1141">
        <f t="shared" si="35"/>
        <v>820000</v>
      </c>
      <c r="M96" s="1141">
        <f t="shared" si="35"/>
        <v>827000</v>
      </c>
      <c r="N96" s="1141">
        <f t="shared" si="35"/>
        <v>835000</v>
      </c>
      <c r="O96" s="1141">
        <f t="shared" si="35"/>
        <v>843000</v>
      </c>
      <c r="P96" s="1144">
        <f t="shared" ref="P96" si="36">SUBTOTAL(9,P37:P95)</f>
        <v>851000</v>
      </c>
    </row>
    <row r="97" spans="1:16" ht="13.5" thickTop="1" x14ac:dyDescent="0.2">
      <c r="A97" s="74"/>
      <c r="B97" s="238"/>
      <c r="C97" s="197"/>
      <c r="D97" s="137"/>
      <c r="E97" s="197"/>
      <c r="F97" s="197"/>
      <c r="G97" s="99"/>
      <c r="H97" s="99"/>
      <c r="I97" s="99"/>
      <c r="J97" s="99"/>
      <c r="K97" s="99"/>
      <c r="L97" s="99"/>
      <c r="M97" s="99"/>
      <c r="N97" s="99"/>
      <c r="O97" s="99"/>
      <c r="P97" s="99"/>
    </row>
  </sheetData>
  <mergeCells count="8">
    <mergeCell ref="A33:C33"/>
    <mergeCell ref="A2:C2"/>
    <mergeCell ref="A1:P1"/>
    <mergeCell ref="E2:P2"/>
    <mergeCell ref="A16:P16"/>
    <mergeCell ref="E17:P17"/>
    <mergeCell ref="A32:P32"/>
    <mergeCell ref="E33:P33"/>
  </mergeCells>
  <phoneticPr fontId="9" type="noConversion"/>
  <printOptions horizontalCentered="1"/>
  <pageMargins left="0.39370078740157483" right="0.39370078740157483" top="0.19685039370078741" bottom="0.19685039370078741" header="0.39370078740157483" footer="0.39370078740157483"/>
  <pageSetup paperSize="9" scale="70" orientation="landscape" r:id="rId1"/>
  <headerFooter alignWithMargins="0"/>
  <rowBreaks count="2" manualBreakCount="2">
    <brk id="31" max="16383" man="1"/>
    <brk id="97"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CR2133"/>
  <sheetViews>
    <sheetView workbookViewId="0">
      <pane xSplit="1" ySplit="1" topLeftCell="B2" activePane="bottomRight" state="frozen"/>
      <selection pane="topRight" activeCell="B1" sqref="B1"/>
      <selection pane="bottomLeft" activeCell="A2" sqref="A2"/>
      <selection pane="bottomRight" activeCell="F15" sqref="F15"/>
    </sheetView>
  </sheetViews>
  <sheetFormatPr defaultColWidth="9.140625" defaultRowHeight="12.75" x14ac:dyDescent="0.2"/>
  <cols>
    <col min="1" max="1" width="32.28515625" style="16" customWidth="1"/>
    <col min="2" max="3" width="14.28515625" style="16" hidden="1" customWidth="1"/>
    <col min="4" max="4" width="15.5703125" style="16" hidden="1" customWidth="1"/>
    <col min="5" max="5" width="9.42578125" style="16" hidden="1" customWidth="1"/>
    <col min="6" max="6" width="9.140625" style="16" bestFit="1" customWidth="1"/>
    <col min="7" max="16" width="9.140625" style="16" customWidth="1"/>
    <col min="17" max="17" width="6.85546875" style="16" hidden="1" customWidth="1"/>
    <col min="18" max="18" width="9.140625" style="16" hidden="1" customWidth="1"/>
    <col min="19" max="19" width="6.42578125" style="16" hidden="1" customWidth="1"/>
    <col min="20" max="20" width="9.140625" style="16" hidden="1" customWidth="1"/>
    <col min="21" max="21" width="6.85546875" style="16" customWidth="1"/>
    <col min="22" max="22" width="9.140625" style="16" customWidth="1"/>
    <col min="23" max="23" width="6.42578125" style="16" customWidth="1"/>
    <col min="24" max="24" width="9.140625" style="16" customWidth="1"/>
    <col min="25" max="25" width="6.85546875" style="16" customWidth="1"/>
    <col min="26" max="26" width="9.140625" style="16" customWidth="1"/>
    <col min="27" max="27" width="6.42578125" style="16" customWidth="1"/>
    <col min="28" max="28" width="9.140625" style="16" customWidth="1"/>
    <col min="29" max="29" width="6.85546875" style="16" customWidth="1"/>
    <col min="30" max="30" width="9.5703125" style="16" customWidth="1"/>
    <col min="31" max="31" width="6.42578125" style="16" customWidth="1"/>
    <col min="32" max="32" width="9.140625" style="16" customWidth="1"/>
    <col min="33" max="33" width="6.85546875" style="16" customWidth="1"/>
    <col min="34" max="34" width="9.140625" style="16" customWidth="1"/>
    <col min="35" max="35" width="6.42578125" style="16" customWidth="1"/>
    <col min="36" max="36" width="9.140625" style="16" customWidth="1"/>
    <col min="37" max="37" width="6.85546875" style="16" customWidth="1"/>
    <col min="38" max="38" width="7.5703125" style="16" customWidth="1"/>
    <col min="39" max="39" width="6.42578125" style="16" customWidth="1"/>
    <col min="40" max="40" width="9.140625" style="16" customWidth="1"/>
    <col min="41" max="41" width="6.85546875" style="16" customWidth="1"/>
    <col min="42" max="42" width="10" style="16" customWidth="1"/>
    <col min="43" max="43" width="6.42578125" style="16" customWidth="1"/>
    <col min="44" max="44" width="9.140625" style="16" customWidth="1"/>
    <col min="45" max="45" width="6.85546875" style="16" customWidth="1"/>
    <col min="46" max="46" width="9.140625" style="16" customWidth="1"/>
    <col min="47" max="47" width="6.42578125" style="16" customWidth="1"/>
    <col min="48" max="48" width="10.28515625" style="16" customWidth="1"/>
    <col min="49" max="49" width="6.85546875" style="16" customWidth="1"/>
    <col min="50" max="50" width="10.140625" style="16" customWidth="1"/>
    <col min="51" max="51" width="6.42578125" style="16" customWidth="1"/>
    <col min="52" max="52" width="9.140625" style="16" customWidth="1"/>
    <col min="53" max="53" width="6.85546875" style="16" customWidth="1"/>
    <col min="54" max="54" width="7.5703125" style="16" customWidth="1"/>
    <col min="55" max="55" width="6.42578125" style="16" customWidth="1"/>
    <col min="56" max="56" width="9.140625" style="16" customWidth="1"/>
    <col min="57" max="57" width="6.85546875" style="16" customWidth="1"/>
    <col min="58" max="58" width="7.5703125" style="16" customWidth="1"/>
    <col min="59" max="59" width="6.42578125" style="16" customWidth="1"/>
    <col min="60" max="60" width="9.140625" style="16" customWidth="1"/>
    <col min="61" max="61" width="6.85546875" style="16" customWidth="1"/>
    <col min="62" max="62" width="7.5703125" style="16" customWidth="1"/>
    <col min="63" max="63" width="6.42578125" style="16" customWidth="1"/>
    <col min="64" max="65" width="9.140625" style="16" customWidth="1"/>
    <col min="66" max="81" width="9.140625" style="84" customWidth="1"/>
    <col min="82" max="82" width="10.140625" style="84" customWidth="1"/>
    <col min="83" max="90" width="9.140625" style="84" customWidth="1"/>
    <col min="91" max="16384" width="9.140625" style="16"/>
  </cols>
  <sheetData>
    <row r="1" spans="1:96" s="2251" customFormat="1" ht="21" customHeight="1" thickTop="1" thickBot="1" x14ac:dyDescent="0.35">
      <c r="A1" s="2955" t="s">
        <v>4186</v>
      </c>
      <c r="B1" s="2956"/>
      <c r="C1" s="2956"/>
      <c r="D1" s="2956"/>
      <c r="E1" s="2956"/>
      <c r="F1" s="2956"/>
      <c r="G1" s="2956"/>
      <c r="H1" s="2956"/>
      <c r="I1" s="2956"/>
      <c r="J1" s="2956"/>
      <c r="K1" s="2956"/>
      <c r="L1" s="2956"/>
      <c r="M1" s="2956"/>
      <c r="N1" s="2956"/>
      <c r="O1" s="2956"/>
      <c r="P1" s="2956"/>
      <c r="Q1" s="2956"/>
      <c r="R1" s="2956"/>
      <c r="S1" s="2956"/>
      <c r="T1" s="2956"/>
      <c r="U1" s="2956"/>
      <c r="V1" s="2956"/>
      <c r="W1" s="2956"/>
      <c r="X1" s="2956"/>
      <c r="Y1" s="2956"/>
      <c r="Z1" s="2956"/>
      <c r="AA1" s="2956"/>
      <c r="AB1" s="2956"/>
      <c r="AC1" s="2956"/>
      <c r="AD1" s="2956"/>
      <c r="AE1" s="2956"/>
      <c r="AF1" s="2956"/>
      <c r="AG1" s="2956"/>
      <c r="AH1" s="2956"/>
      <c r="AI1" s="2956"/>
      <c r="AJ1" s="2957"/>
      <c r="AK1" s="2958"/>
      <c r="AL1" s="2959"/>
      <c r="AM1" s="2959"/>
      <c r="AN1" s="2959"/>
      <c r="AO1" s="2959"/>
      <c r="AP1" s="2959"/>
      <c r="AQ1" s="2959"/>
      <c r="AR1" s="2959"/>
      <c r="AS1" s="2959"/>
      <c r="AT1" s="2959"/>
      <c r="AU1" s="2959"/>
      <c r="AV1" s="2959"/>
      <c r="AW1" s="2959"/>
      <c r="AX1" s="2959"/>
      <c r="AY1" s="2959"/>
      <c r="AZ1" s="2959"/>
      <c r="BA1" s="2959"/>
      <c r="BB1" s="2959"/>
      <c r="BC1" s="2959"/>
      <c r="BD1" s="2959"/>
      <c r="BE1" s="2959"/>
      <c r="BF1" s="2959"/>
      <c r="BG1" s="2959"/>
      <c r="BH1" s="2960"/>
      <c r="BI1" s="2727"/>
      <c r="BJ1" s="2727"/>
      <c r="BK1" s="2727"/>
      <c r="BL1" s="2728"/>
      <c r="BN1" s="434"/>
      <c r="BO1" s="434"/>
      <c r="BP1" s="434"/>
      <c r="BQ1" s="434"/>
      <c r="BR1" s="434"/>
      <c r="BS1" s="434"/>
      <c r="BT1" s="434"/>
      <c r="BU1" s="434"/>
      <c r="BV1" s="434"/>
      <c r="BW1" s="434"/>
      <c r="BX1" s="434"/>
      <c r="BY1" s="434"/>
      <c r="BZ1" s="434"/>
      <c r="CA1" s="434"/>
      <c r="CB1" s="434"/>
      <c r="CC1" s="434"/>
      <c r="CD1" s="434"/>
      <c r="CE1" s="434"/>
      <c r="CF1" s="434"/>
      <c r="CG1" s="434"/>
      <c r="CH1" s="434"/>
      <c r="CI1" s="434"/>
      <c r="CJ1" s="434"/>
      <c r="CK1" s="434"/>
      <c r="CL1" s="434"/>
    </row>
    <row r="2" spans="1:96" s="354" customFormat="1" ht="21" customHeight="1" thickBot="1" x14ac:dyDescent="0.25">
      <c r="A2" s="2252" t="s">
        <v>1506</v>
      </c>
      <c r="B2" s="2255" t="s">
        <v>3497</v>
      </c>
      <c r="C2" s="2255" t="s">
        <v>3497</v>
      </c>
      <c r="D2" s="2255"/>
      <c r="E2" s="2966" t="s">
        <v>7041</v>
      </c>
      <c r="F2" s="2967"/>
      <c r="G2" s="2967"/>
      <c r="H2" s="2967"/>
      <c r="I2" s="2967"/>
      <c r="J2" s="2967"/>
      <c r="K2" s="2967"/>
      <c r="L2" s="2967"/>
      <c r="M2" s="2967"/>
      <c r="N2" s="2967"/>
      <c r="O2" s="2967"/>
      <c r="P2" s="2968"/>
      <c r="Q2" s="2961" t="s">
        <v>1992</v>
      </c>
      <c r="R2" s="2962"/>
      <c r="S2" s="2962"/>
      <c r="T2" s="2963"/>
      <c r="U2" s="2961" t="s">
        <v>2947</v>
      </c>
      <c r="V2" s="2962"/>
      <c r="W2" s="2962"/>
      <c r="X2" s="2963"/>
      <c r="Y2" s="2961" t="s">
        <v>3527</v>
      </c>
      <c r="Z2" s="2962"/>
      <c r="AA2" s="2962"/>
      <c r="AB2" s="2963"/>
      <c r="AC2" s="2961" t="s">
        <v>1501</v>
      </c>
      <c r="AD2" s="2962"/>
      <c r="AE2" s="2962"/>
      <c r="AF2" s="2963"/>
      <c r="AG2" s="2964" t="s">
        <v>1373</v>
      </c>
      <c r="AH2" s="2962"/>
      <c r="AI2" s="2962"/>
      <c r="AJ2" s="2965"/>
      <c r="AK2" s="2964" t="s">
        <v>872</v>
      </c>
      <c r="AL2" s="2962"/>
      <c r="AM2" s="2962"/>
      <c r="AN2" s="2963"/>
      <c r="AO2" s="2961" t="s">
        <v>2775</v>
      </c>
      <c r="AP2" s="2962"/>
      <c r="AQ2" s="2962"/>
      <c r="AR2" s="2963"/>
      <c r="AS2" s="2961" t="s">
        <v>2948</v>
      </c>
      <c r="AT2" s="2962"/>
      <c r="AU2" s="2962"/>
      <c r="AV2" s="2963"/>
      <c r="AW2" s="2961" t="s">
        <v>3528</v>
      </c>
      <c r="AX2" s="2962"/>
      <c r="AY2" s="2962"/>
      <c r="AZ2" s="2963"/>
      <c r="BA2" s="2961" t="s">
        <v>4656</v>
      </c>
      <c r="BB2" s="2962"/>
      <c r="BC2" s="2962"/>
      <c r="BD2" s="2963"/>
      <c r="BE2" s="2961" t="s">
        <v>6060</v>
      </c>
      <c r="BF2" s="2962"/>
      <c r="BG2" s="2962"/>
      <c r="BH2" s="2963"/>
      <c r="BI2" s="2961" t="s">
        <v>6060</v>
      </c>
      <c r="BJ2" s="2962"/>
      <c r="BK2" s="2962"/>
      <c r="BL2" s="2965"/>
      <c r="BN2" s="2420" t="s">
        <v>3464</v>
      </c>
      <c r="BO2" s="2420"/>
      <c r="BP2" s="2420"/>
      <c r="BQ2" s="2420"/>
      <c r="BR2" s="2420"/>
      <c r="BS2" s="2420"/>
      <c r="BT2" s="2420"/>
      <c r="BU2" s="2420"/>
      <c r="BV2" s="2420"/>
      <c r="BW2" s="84"/>
      <c r="BX2" s="84"/>
      <c r="BY2" s="84"/>
      <c r="BZ2" s="84"/>
      <c r="CA2" s="2969"/>
      <c r="CB2" s="2969"/>
      <c r="CC2" s="2969"/>
      <c r="CD2" s="2969"/>
      <c r="CE2" s="2969"/>
      <c r="CF2" s="2969"/>
      <c r="CG2" s="2969"/>
      <c r="CH2" s="2969"/>
      <c r="CI2" s="2969"/>
    </row>
    <row r="3" spans="1:96" s="354" customFormat="1" ht="15" customHeight="1" thickBot="1" x14ac:dyDescent="0.25">
      <c r="A3" s="974"/>
      <c r="B3" s="2256" t="s">
        <v>5074</v>
      </c>
      <c r="C3" s="2256" t="s">
        <v>5075</v>
      </c>
      <c r="D3" s="2257" t="s">
        <v>4109</v>
      </c>
      <c r="E3" s="290" t="str">
        <f>'Cap-Gen'!E3</f>
        <v>2015/16</v>
      </c>
      <c r="F3" s="358" t="str">
        <f>'Cap-Gen'!F3</f>
        <v>2016/17</v>
      </c>
      <c r="G3" s="702" t="str">
        <f>'Cap-Gen'!G3</f>
        <v>2017/18</v>
      </c>
      <c r="H3" s="702" t="str">
        <f>'Cap-Gen'!H3</f>
        <v>2018/19</v>
      </c>
      <c r="I3" s="702" t="str">
        <f>'Cap-Gen'!I3</f>
        <v>2019/20</v>
      </c>
      <c r="J3" s="702" t="str">
        <f>'Cap-Gen'!J3</f>
        <v>2020/21</v>
      </c>
      <c r="K3" s="702" t="str">
        <f>'Cap-Gen'!K3</f>
        <v>2021/22</v>
      </c>
      <c r="L3" s="702" t="str">
        <f>'Cap-Gen'!L3</f>
        <v>2022/23</v>
      </c>
      <c r="M3" s="702" t="str">
        <f>'Cap-Gen'!M3</f>
        <v>2023/24</v>
      </c>
      <c r="N3" s="702" t="str">
        <f>'Cap-Gen'!N3</f>
        <v>2024/25</v>
      </c>
      <c r="O3" s="702" t="str">
        <f>'Cap-Gen'!O3</f>
        <v>2025/26</v>
      </c>
      <c r="P3" s="1767" t="str">
        <f>'Cap-Gen'!P3</f>
        <v>2026/27</v>
      </c>
      <c r="Q3" s="348" t="s">
        <v>2289</v>
      </c>
      <c r="R3" s="290" t="s">
        <v>861</v>
      </c>
      <c r="S3" s="290" t="s">
        <v>2077</v>
      </c>
      <c r="T3" s="2652" t="s">
        <v>2329</v>
      </c>
      <c r="U3" s="348" t="str">
        <f t="shared" ref="U3:AF3" si="0">Q3</f>
        <v>Grants</v>
      </c>
      <c r="V3" s="358" t="str">
        <f t="shared" si="0"/>
        <v>Sect 64</v>
      </c>
      <c r="W3" s="358" t="str">
        <f t="shared" si="0"/>
        <v>Loans</v>
      </c>
      <c r="X3" s="2652" t="str">
        <f t="shared" si="0"/>
        <v>Reserves</v>
      </c>
      <c r="Y3" s="348" t="str">
        <f t="shared" si="0"/>
        <v>Grants</v>
      </c>
      <c r="Z3" s="358" t="str">
        <f t="shared" si="0"/>
        <v>Sect 64</v>
      </c>
      <c r="AA3" s="358" t="str">
        <f t="shared" si="0"/>
        <v>Loans</v>
      </c>
      <c r="AB3" s="2652" t="str">
        <f t="shared" si="0"/>
        <v>Reserves</v>
      </c>
      <c r="AC3" s="348" t="str">
        <f t="shared" si="0"/>
        <v>Grants</v>
      </c>
      <c r="AD3" s="290" t="str">
        <f t="shared" si="0"/>
        <v>Sect 64</v>
      </c>
      <c r="AE3" s="290" t="str">
        <f t="shared" si="0"/>
        <v>Loans</v>
      </c>
      <c r="AF3" s="2652" t="str">
        <f t="shared" si="0"/>
        <v>Reserves</v>
      </c>
      <c r="AG3" s="358" t="str">
        <f t="shared" ref="AG3:AR3" si="1">AC3</f>
        <v>Grants</v>
      </c>
      <c r="AH3" s="358" t="str">
        <f t="shared" si="1"/>
        <v>Sect 64</v>
      </c>
      <c r="AI3" s="358" t="str">
        <f t="shared" si="1"/>
        <v>Loans</v>
      </c>
      <c r="AJ3" s="291" t="str">
        <f t="shared" si="1"/>
        <v>Reserves</v>
      </c>
      <c r="AK3" s="358" t="str">
        <f t="shared" si="1"/>
        <v>Grants</v>
      </c>
      <c r="AL3" s="358" t="str">
        <f t="shared" si="1"/>
        <v>Sect 64</v>
      </c>
      <c r="AM3" s="358" t="str">
        <f t="shared" si="1"/>
        <v>Loans</v>
      </c>
      <c r="AN3" s="2652" t="str">
        <f t="shared" si="1"/>
        <v>Reserves</v>
      </c>
      <c r="AO3" s="348" t="str">
        <f t="shared" si="1"/>
        <v>Grants</v>
      </c>
      <c r="AP3" s="358" t="str">
        <f t="shared" si="1"/>
        <v>Sect 64</v>
      </c>
      <c r="AQ3" s="358" t="str">
        <f t="shared" si="1"/>
        <v>Loans</v>
      </c>
      <c r="AR3" s="2652" t="str">
        <f t="shared" si="1"/>
        <v>Reserves</v>
      </c>
      <c r="AS3" s="348" t="str">
        <f t="shared" ref="AS3:AZ3" si="2">AO3</f>
        <v>Grants</v>
      </c>
      <c r="AT3" s="358" t="str">
        <f t="shared" si="2"/>
        <v>Sect 64</v>
      </c>
      <c r="AU3" s="358" t="str">
        <f t="shared" si="2"/>
        <v>Loans</v>
      </c>
      <c r="AV3" s="2652" t="str">
        <f t="shared" si="2"/>
        <v>Reserves</v>
      </c>
      <c r="AW3" s="348" t="str">
        <f t="shared" si="2"/>
        <v>Grants</v>
      </c>
      <c r="AX3" s="358" t="str">
        <f t="shared" si="2"/>
        <v>Sect 64</v>
      </c>
      <c r="AY3" s="358" t="str">
        <f t="shared" si="2"/>
        <v>Loans</v>
      </c>
      <c r="AZ3" s="2652" t="str">
        <f t="shared" si="2"/>
        <v>Reserves</v>
      </c>
      <c r="BA3" s="348" t="str">
        <f t="shared" ref="BA3" si="3">AW3</f>
        <v>Grants</v>
      </c>
      <c r="BB3" s="358" t="str">
        <f t="shared" ref="BB3" si="4">AX3</f>
        <v>Sect 64</v>
      </c>
      <c r="BC3" s="358" t="str">
        <f t="shared" ref="BC3" si="5">AY3</f>
        <v>Loans</v>
      </c>
      <c r="BD3" s="2652" t="str">
        <f t="shared" ref="BD3" si="6">AZ3</f>
        <v>Reserves</v>
      </c>
      <c r="BE3" s="348" t="str">
        <f t="shared" ref="BE3" si="7">BA3</f>
        <v>Grants</v>
      </c>
      <c r="BF3" s="358" t="str">
        <f t="shared" ref="BF3" si="8">BB3</f>
        <v>Sect 64</v>
      </c>
      <c r="BG3" s="358" t="str">
        <f t="shared" ref="BG3" si="9">BC3</f>
        <v>Loans</v>
      </c>
      <c r="BH3" s="2652" t="str">
        <f t="shared" ref="BH3" si="10">BD3</f>
        <v>Reserves</v>
      </c>
      <c r="BI3" s="348" t="str">
        <f t="shared" ref="BI3" si="11">BE3</f>
        <v>Grants</v>
      </c>
      <c r="BJ3" s="358" t="str">
        <f t="shared" ref="BJ3" si="12">BF3</f>
        <v>Sect 64</v>
      </c>
      <c r="BK3" s="358" t="str">
        <f t="shared" ref="BK3" si="13">BG3</f>
        <v>Loans</v>
      </c>
      <c r="BL3" s="291" t="str">
        <f t="shared" ref="BL3" si="14">BH3</f>
        <v>Reserves</v>
      </c>
      <c r="BN3" s="2248" t="str">
        <f t="shared" ref="BN3:BY3" si="15">E3</f>
        <v>2015/16</v>
      </c>
      <c r="BO3" s="2248" t="str">
        <f t="shared" si="15"/>
        <v>2016/17</v>
      </c>
      <c r="BP3" s="2248" t="str">
        <f t="shared" si="15"/>
        <v>2017/18</v>
      </c>
      <c r="BQ3" s="2248" t="str">
        <f t="shared" si="15"/>
        <v>2018/19</v>
      </c>
      <c r="BR3" s="2248" t="str">
        <f t="shared" si="15"/>
        <v>2019/20</v>
      </c>
      <c r="BS3" s="2248" t="str">
        <f t="shared" si="15"/>
        <v>2020/21</v>
      </c>
      <c r="BT3" s="2248" t="str">
        <f t="shared" si="15"/>
        <v>2021/22</v>
      </c>
      <c r="BU3" s="2248" t="str">
        <f t="shared" si="15"/>
        <v>2022/23</v>
      </c>
      <c r="BV3" s="2248" t="str">
        <f t="shared" si="15"/>
        <v>2023/24</v>
      </c>
      <c r="BW3" s="2248" t="str">
        <f t="shared" si="15"/>
        <v>2024/25</v>
      </c>
      <c r="BX3" s="2248" t="str">
        <f t="shared" si="15"/>
        <v>2025/26</v>
      </c>
      <c r="BY3" s="2653" t="str">
        <f t="shared" si="15"/>
        <v>2026/27</v>
      </c>
      <c r="BZ3" s="2248"/>
      <c r="CA3" s="2248" t="str">
        <f t="shared" ref="CA3:CL3" si="16">BN3</f>
        <v>2015/16</v>
      </c>
      <c r="CB3" s="2248" t="str">
        <f t="shared" si="16"/>
        <v>2016/17</v>
      </c>
      <c r="CC3" s="2248" t="str">
        <f t="shared" si="16"/>
        <v>2017/18</v>
      </c>
      <c r="CD3" s="2248" t="str">
        <f t="shared" si="16"/>
        <v>2018/19</v>
      </c>
      <c r="CE3" s="2248" t="str">
        <f t="shared" si="16"/>
        <v>2019/20</v>
      </c>
      <c r="CF3" s="2248" t="str">
        <f t="shared" si="16"/>
        <v>2020/21</v>
      </c>
      <c r="CG3" s="2248" t="str">
        <f t="shared" si="16"/>
        <v>2021/22</v>
      </c>
      <c r="CH3" s="2248" t="str">
        <f t="shared" si="16"/>
        <v>2022/23</v>
      </c>
      <c r="CI3" s="2248" t="str">
        <f t="shared" si="16"/>
        <v>2023/24</v>
      </c>
      <c r="CJ3" s="2248" t="str">
        <f t="shared" si="16"/>
        <v>2024/25</v>
      </c>
      <c r="CK3" s="2248" t="str">
        <f t="shared" si="16"/>
        <v>2025/26</v>
      </c>
      <c r="CL3" s="2653" t="str">
        <f t="shared" si="16"/>
        <v>2026/27</v>
      </c>
    </row>
    <row r="4" spans="1:96" s="354" customFormat="1" ht="15" customHeight="1" x14ac:dyDescent="0.2">
      <c r="A4" s="1507"/>
      <c r="B4" s="623"/>
      <c r="C4" s="623"/>
      <c r="D4" s="623"/>
      <c r="E4" s="179"/>
      <c r="F4" s="1990"/>
      <c r="G4" s="204"/>
      <c r="H4" s="204"/>
      <c r="I4" s="206"/>
      <c r="J4" s="206"/>
      <c r="K4" s="206"/>
      <c r="L4" s="206"/>
      <c r="M4" s="204"/>
      <c r="N4" s="204"/>
      <c r="O4" s="204"/>
      <c r="P4" s="2258"/>
      <c r="Q4" s="624"/>
      <c r="R4" s="309"/>
      <c r="S4" s="309"/>
      <c r="T4" s="289"/>
      <c r="U4" s="624"/>
      <c r="V4" s="623"/>
      <c r="W4" s="623"/>
      <c r="X4" s="289"/>
      <c r="Y4" s="624"/>
      <c r="Z4" s="623"/>
      <c r="AA4" s="623"/>
      <c r="AB4" s="289"/>
      <c r="AC4" s="624"/>
      <c r="AD4" s="309"/>
      <c r="AE4" s="309"/>
      <c r="AF4" s="289"/>
      <c r="AG4" s="623"/>
      <c r="AH4" s="623"/>
      <c r="AI4" s="623"/>
      <c r="AJ4" s="435"/>
      <c r="AK4" s="623"/>
      <c r="AL4" s="623"/>
      <c r="AM4" s="625"/>
      <c r="AN4" s="289"/>
      <c r="AO4" s="624"/>
      <c r="AP4" s="623"/>
      <c r="AQ4" s="623"/>
      <c r="AR4" s="289"/>
      <c r="AS4" s="624"/>
      <c r="AT4" s="623"/>
      <c r="AU4" s="623"/>
      <c r="AV4" s="289"/>
      <c r="AW4" s="624"/>
      <c r="AX4" s="623"/>
      <c r="AY4" s="623"/>
      <c r="AZ4" s="289"/>
      <c r="BA4" s="624"/>
      <c r="BB4" s="623"/>
      <c r="BC4" s="623"/>
      <c r="BD4" s="289"/>
      <c r="BE4" s="624"/>
      <c r="BF4" s="623"/>
      <c r="BG4" s="623"/>
      <c r="BH4" s="289"/>
      <c r="BI4" s="624"/>
      <c r="BJ4" s="623"/>
      <c r="BK4" s="623"/>
      <c r="BL4" s="435"/>
      <c r="BN4" s="99"/>
      <c r="BO4" s="99"/>
      <c r="BP4" s="99"/>
      <c r="BQ4" s="99"/>
      <c r="BR4" s="99"/>
      <c r="BS4" s="99"/>
      <c r="BT4" s="99"/>
      <c r="BU4" s="99"/>
      <c r="BV4" s="99"/>
      <c r="BW4" s="99"/>
      <c r="BX4" s="99"/>
      <c r="BY4" s="99"/>
      <c r="BZ4" s="99"/>
      <c r="CA4" s="99"/>
      <c r="CB4" s="99"/>
      <c r="CC4" s="99"/>
      <c r="CD4" s="99"/>
      <c r="CE4" s="99"/>
      <c r="CF4" s="99"/>
      <c r="CG4" s="99"/>
      <c r="CH4" s="99"/>
      <c r="CI4" s="99"/>
      <c r="CJ4" s="99"/>
      <c r="CK4" s="99"/>
      <c r="CL4" s="99"/>
    </row>
    <row r="5" spans="1:96" s="1099" customFormat="1" x14ac:dyDescent="0.2">
      <c r="A5" s="958"/>
      <c r="B5" s="528"/>
      <c r="C5" s="528"/>
      <c r="D5" s="528"/>
      <c r="E5" s="2018"/>
      <c r="F5" s="2018"/>
      <c r="G5" s="2019"/>
      <c r="H5" s="2018"/>
      <c r="I5" s="2018"/>
      <c r="J5" s="2018"/>
      <c r="K5" s="2018"/>
      <c r="L5" s="2018"/>
      <c r="M5" s="2019"/>
      <c r="N5" s="2019"/>
      <c r="O5" s="2019"/>
      <c r="P5" s="2245"/>
      <c r="Q5" s="2243"/>
      <c r="R5" s="617"/>
      <c r="S5" s="617"/>
      <c r="T5" s="863"/>
      <c r="U5" s="2243"/>
      <c r="V5" s="617"/>
      <c r="W5" s="619"/>
      <c r="X5" s="620"/>
      <c r="Y5" s="2243"/>
      <c r="Z5" s="617"/>
      <c r="AA5" s="619"/>
      <c r="AB5" s="620"/>
      <c r="AC5" s="861"/>
      <c r="AD5" s="617"/>
      <c r="AE5" s="617"/>
      <c r="AF5" s="620"/>
      <c r="AG5" s="619"/>
      <c r="AH5" s="617"/>
      <c r="AI5" s="619"/>
      <c r="AJ5" s="1927"/>
      <c r="AK5" s="619"/>
      <c r="AL5" s="617"/>
      <c r="AM5" s="619"/>
      <c r="AN5" s="620"/>
      <c r="AO5" s="2243"/>
      <c r="AP5" s="617"/>
      <c r="AQ5" s="619"/>
      <c r="AR5" s="620"/>
      <c r="AS5" s="2243"/>
      <c r="AT5" s="617"/>
      <c r="AU5" s="619"/>
      <c r="AV5" s="620"/>
      <c r="AW5" s="2243"/>
      <c r="AX5" s="617"/>
      <c r="AY5" s="619"/>
      <c r="AZ5" s="620"/>
      <c r="BA5" s="2243"/>
      <c r="BB5" s="617"/>
      <c r="BC5" s="619"/>
      <c r="BD5" s="620"/>
      <c r="BE5" s="2243"/>
      <c r="BF5" s="617"/>
      <c r="BG5" s="619"/>
      <c r="BH5" s="620"/>
      <c r="BI5" s="2243"/>
      <c r="BJ5" s="617"/>
      <c r="BK5" s="619"/>
      <c r="BL5" s="1927"/>
      <c r="BM5" s="2260"/>
      <c r="BN5" s="1263"/>
      <c r="BO5" s="1263"/>
      <c r="BP5" s="1263"/>
      <c r="BQ5" s="1263"/>
      <c r="BR5" s="1263"/>
      <c r="BS5" s="1263"/>
      <c r="BT5" s="1263"/>
      <c r="BU5" s="1263"/>
      <c r="BV5" s="1263"/>
      <c r="BW5" s="1263"/>
      <c r="BX5" s="1263"/>
      <c r="BY5" s="1263"/>
      <c r="BZ5" s="1263"/>
      <c r="CA5" s="99"/>
      <c r="CB5" s="99"/>
      <c r="CC5" s="99"/>
      <c r="CD5" s="99"/>
      <c r="CE5" s="99"/>
      <c r="CF5" s="99"/>
      <c r="CG5" s="99"/>
      <c r="CH5" s="99"/>
      <c r="CI5" s="99"/>
      <c r="CJ5" s="99"/>
      <c r="CK5" s="99"/>
      <c r="CL5" s="99"/>
      <c r="CM5" s="2260"/>
      <c r="CN5" s="2260"/>
      <c r="CO5" s="2260"/>
      <c r="CP5" s="2260"/>
      <c r="CQ5" s="2260"/>
      <c r="CR5" s="2260"/>
    </row>
    <row r="6" spans="1:96" s="1099" customFormat="1" x14ac:dyDescent="0.2">
      <c r="A6" s="1104" t="s">
        <v>4691</v>
      </c>
      <c r="B6" s="528"/>
      <c r="C6" s="528"/>
      <c r="D6" s="528"/>
      <c r="E6" s="2018"/>
      <c r="F6" s="2018"/>
      <c r="G6" s="2019"/>
      <c r="H6" s="2018"/>
      <c r="I6" s="2018"/>
      <c r="J6" s="2018"/>
      <c r="K6" s="2018"/>
      <c r="L6" s="2018"/>
      <c r="M6" s="2019"/>
      <c r="N6" s="2019"/>
      <c r="O6" s="2019"/>
      <c r="P6" s="2245"/>
      <c r="Q6" s="2243"/>
      <c r="R6" s="617"/>
      <c r="S6" s="617"/>
      <c r="T6" s="863"/>
      <c r="U6" s="2243"/>
      <c r="V6" s="617"/>
      <c r="W6" s="619"/>
      <c r="X6" s="620"/>
      <c r="Y6" s="2243"/>
      <c r="Z6" s="617"/>
      <c r="AA6" s="619"/>
      <c r="AB6" s="620"/>
      <c r="AC6" s="861"/>
      <c r="AD6" s="617"/>
      <c r="AE6" s="617"/>
      <c r="AF6" s="620"/>
      <c r="AG6" s="619"/>
      <c r="AH6" s="617"/>
      <c r="AI6" s="619"/>
      <c r="AJ6" s="1927"/>
      <c r="AK6" s="619"/>
      <c r="AL6" s="617"/>
      <c r="AM6" s="619"/>
      <c r="AN6" s="620"/>
      <c r="AO6" s="2243"/>
      <c r="AP6" s="617"/>
      <c r="AQ6" s="619"/>
      <c r="AR6" s="620"/>
      <c r="AS6" s="2243"/>
      <c r="AT6" s="617"/>
      <c r="AU6" s="619"/>
      <c r="AV6" s="620"/>
      <c r="AW6" s="2243"/>
      <c r="AX6" s="617"/>
      <c r="AY6" s="619"/>
      <c r="AZ6" s="620"/>
      <c r="BA6" s="2243"/>
      <c r="BB6" s="617"/>
      <c r="BC6" s="619"/>
      <c r="BD6" s="620"/>
      <c r="BE6" s="2243"/>
      <c r="BF6" s="617"/>
      <c r="BG6" s="619"/>
      <c r="BH6" s="620"/>
      <c r="BI6" s="2243"/>
      <c r="BJ6" s="617"/>
      <c r="BK6" s="619"/>
      <c r="BL6" s="1927"/>
      <c r="BM6" s="2260"/>
      <c r="BN6" s="1263"/>
      <c r="BO6" s="1263"/>
      <c r="BP6" s="1263"/>
      <c r="BQ6" s="1263"/>
      <c r="BR6" s="1263"/>
      <c r="BS6" s="1263"/>
      <c r="BT6" s="1263"/>
      <c r="BU6" s="1263"/>
      <c r="BV6" s="1263"/>
      <c r="BW6" s="1263"/>
      <c r="BX6" s="1263"/>
      <c r="BY6" s="1263"/>
      <c r="BZ6" s="1263"/>
      <c r="CA6" s="99"/>
      <c r="CB6" s="99"/>
      <c r="CC6" s="99"/>
      <c r="CD6" s="99"/>
      <c r="CE6" s="99"/>
      <c r="CF6" s="99"/>
      <c r="CG6" s="99"/>
      <c r="CH6" s="99"/>
      <c r="CI6" s="99"/>
      <c r="CJ6" s="99"/>
      <c r="CK6" s="99"/>
      <c r="CL6" s="99"/>
      <c r="CM6" s="2260"/>
      <c r="CN6" s="2260"/>
      <c r="CO6" s="2260"/>
      <c r="CP6" s="2260"/>
      <c r="CQ6" s="2260"/>
      <c r="CR6" s="2260"/>
    </row>
    <row r="7" spans="1:96" s="355" customFormat="1" x14ac:dyDescent="0.2">
      <c r="A7" s="958" t="s">
        <v>5349</v>
      </c>
      <c r="B7" s="1132" t="s">
        <v>5027</v>
      </c>
      <c r="C7" s="1132" t="s">
        <v>5076</v>
      </c>
      <c r="D7" s="1132"/>
      <c r="E7" s="2017">
        <v>48500</v>
      </c>
      <c r="F7" s="2017"/>
      <c r="G7" s="2017"/>
      <c r="H7" s="2017"/>
      <c r="I7" s="2017"/>
      <c r="J7" s="2017"/>
      <c r="K7" s="2009"/>
      <c r="L7" s="2009"/>
      <c r="M7" s="2017"/>
      <c r="N7" s="2017"/>
      <c r="O7" s="2017"/>
      <c r="P7" s="2259"/>
      <c r="Q7" s="2243"/>
      <c r="R7" s="617"/>
      <c r="S7" s="617"/>
      <c r="T7" s="863">
        <f t="shared" ref="T7:T11" si="17">$E7-Q7-R7-S7</f>
        <v>48500</v>
      </c>
      <c r="U7" s="2243"/>
      <c r="V7" s="617"/>
      <c r="W7" s="619"/>
      <c r="X7" s="620"/>
      <c r="Y7" s="2243"/>
      <c r="Z7" s="617"/>
      <c r="AA7" s="619"/>
      <c r="AB7" s="620">
        <f t="shared" ref="AB7" si="18">$G7-Y7-Z7-AA7</f>
        <v>0</v>
      </c>
      <c r="AC7" s="2243"/>
      <c r="AD7" s="617"/>
      <c r="AE7" s="617"/>
      <c r="AF7" s="620">
        <f t="shared" ref="AF7" si="19">$H7-AC7-AD7-AE7</f>
        <v>0</v>
      </c>
      <c r="AG7" s="619"/>
      <c r="AH7" s="617"/>
      <c r="AI7" s="619"/>
      <c r="AJ7" s="1927">
        <f t="shared" ref="AJ7" si="20">$I7-AG7-AH7-AI7</f>
        <v>0</v>
      </c>
      <c r="AK7" s="619"/>
      <c r="AL7" s="617"/>
      <c r="AM7" s="619"/>
      <c r="AN7" s="620">
        <f t="shared" ref="AN7" si="21">$J7-AK7-AL7-AM7</f>
        <v>0</v>
      </c>
      <c r="AO7" s="2243"/>
      <c r="AP7" s="617"/>
      <c r="AQ7" s="619"/>
      <c r="AR7" s="620">
        <f t="shared" ref="AR7" si="22">$K7-AO7-AP7-AQ7</f>
        <v>0</v>
      </c>
      <c r="AS7" s="2243"/>
      <c r="AT7" s="617"/>
      <c r="AU7" s="619"/>
      <c r="AV7" s="620">
        <f t="shared" ref="AV7" si="23">$L7-AS7-AT7-AU7</f>
        <v>0</v>
      </c>
      <c r="AW7" s="2243"/>
      <c r="AX7" s="617"/>
      <c r="AY7" s="619"/>
      <c r="AZ7" s="620">
        <f t="shared" ref="AZ7" si="24">$M7-AW7-AX7-AY7</f>
        <v>0</v>
      </c>
      <c r="BA7" s="2243"/>
      <c r="BB7" s="617"/>
      <c r="BC7" s="619"/>
      <c r="BD7" s="620">
        <f t="shared" ref="BD7" si="25">$N7-BA7-BB7-BC7</f>
        <v>0</v>
      </c>
      <c r="BE7" s="2243"/>
      <c r="BF7" s="617"/>
      <c r="BG7" s="619"/>
      <c r="BH7" s="620">
        <f t="shared" ref="BH7" si="26">$O7-BE7-BF7-BG7</f>
        <v>0</v>
      </c>
      <c r="BI7" s="2243"/>
      <c r="BJ7" s="617"/>
      <c r="BK7" s="619"/>
      <c r="BL7" s="1927">
        <f t="shared" ref="BL7" si="27">$P7-BI7-BJ7-BK7</f>
        <v>0</v>
      </c>
      <c r="BM7" s="2261"/>
      <c r="BN7" s="1263">
        <v>1</v>
      </c>
      <c r="BO7" s="1263">
        <f t="shared" ref="BO7" si="28">BN7</f>
        <v>1</v>
      </c>
      <c r="BP7" s="1263">
        <f t="shared" ref="BP7" si="29">BO7</f>
        <v>1</v>
      </c>
      <c r="BQ7" s="1263">
        <f t="shared" ref="BQ7" si="30">BP7</f>
        <v>1</v>
      </c>
      <c r="BR7" s="1263">
        <f t="shared" ref="BR7" si="31">BQ7</f>
        <v>1</v>
      </c>
      <c r="BS7" s="1263">
        <f t="shared" ref="BS7" si="32">BR7</f>
        <v>1</v>
      </c>
      <c r="BT7" s="1263">
        <f t="shared" ref="BT7" si="33">BS7</f>
        <v>1</v>
      </c>
      <c r="BU7" s="1263">
        <f t="shared" ref="BU7" si="34">BT7</f>
        <v>1</v>
      </c>
      <c r="BV7" s="1263">
        <f t="shared" ref="BV7" si="35">BU7</f>
        <v>1</v>
      </c>
      <c r="BW7" s="1263">
        <f t="shared" ref="BW7:BY7" si="36">BV7</f>
        <v>1</v>
      </c>
      <c r="BX7" s="1263">
        <f t="shared" si="36"/>
        <v>1</v>
      </c>
      <c r="BY7" s="1263">
        <f t="shared" si="36"/>
        <v>1</v>
      </c>
      <c r="BZ7" s="1263"/>
      <c r="CA7" s="99">
        <f t="shared" ref="CA7:CL9" si="37">ROUND(BN7*E7,-3)</f>
        <v>49000</v>
      </c>
      <c r="CB7" s="99">
        <f t="shared" si="37"/>
        <v>0</v>
      </c>
      <c r="CC7" s="99">
        <f t="shared" si="37"/>
        <v>0</v>
      </c>
      <c r="CD7" s="99">
        <f t="shared" si="37"/>
        <v>0</v>
      </c>
      <c r="CE7" s="99">
        <f t="shared" si="37"/>
        <v>0</v>
      </c>
      <c r="CF7" s="99">
        <f t="shared" si="37"/>
        <v>0</v>
      </c>
      <c r="CG7" s="99">
        <f t="shared" si="37"/>
        <v>0</v>
      </c>
      <c r="CH7" s="99">
        <f t="shared" si="37"/>
        <v>0</v>
      </c>
      <c r="CI7" s="99">
        <f t="shared" si="37"/>
        <v>0</v>
      </c>
      <c r="CJ7" s="99">
        <f t="shared" si="37"/>
        <v>0</v>
      </c>
      <c r="CK7" s="99">
        <f t="shared" si="37"/>
        <v>0</v>
      </c>
      <c r="CL7" s="99">
        <f t="shared" si="37"/>
        <v>0</v>
      </c>
      <c r="CM7" s="2261"/>
      <c r="CN7" s="2261"/>
      <c r="CO7" s="2261"/>
      <c r="CP7" s="2261"/>
      <c r="CQ7" s="2261"/>
      <c r="CR7" s="2261"/>
    </row>
    <row r="8" spans="1:96" s="355" customFormat="1" x14ac:dyDescent="0.2">
      <c r="A8" s="958" t="s">
        <v>4944</v>
      </c>
      <c r="B8" s="1132" t="s">
        <v>4013</v>
      </c>
      <c r="C8" s="1132" t="s">
        <v>4137</v>
      </c>
      <c r="D8" s="1132"/>
      <c r="E8" s="2017">
        <v>606100</v>
      </c>
      <c r="F8" s="2017"/>
      <c r="G8" s="2017"/>
      <c r="H8" s="2017"/>
      <c r="I8" s="2017"/>
      <c r="J8" s="2017"/>
      <c r="K8" s="2009"/>
      <c r="L8" s="2009"/>
      <c r="M8" s="2017"/>
      <c r="N8" s="2017"/>
      <c r="O8" s="2017"/>
      <c r="P8" s="2259"/>
      <c r="Q8" s="2243"/>
      <c r="R8" s="617"/>
      <c r="S8" s="617"/>
      <c r="T8" s="863">
        <f t="shared" si="17"/>
        <v>606100</v>
      </c>
      <c r="U8" s="2243"/>
      <c r="V8" s="617"/>
      <c r="W8" s="619"/>
      <c r="X8" s="620">
        <f t="shared" ref="X8:X11" si="38">$F8-U8-V8-W8</f>
        <v>0</v>
      </c>
      <c r="Y8" s="2243"/>
      <c r="Z8" s="617"/>
      <c r="AA8" s="619"/>
      <c r="AB8" s="620">
        <f t="shared" ref="AB8" si="39">$G8-Y8-Z8-AA8</f>
        <v>0</v>
      </c>
      <c r="AC8" s="2243"/>
      <c r="AD8" s="617"/>
      <c r="AE8" s="617"/>
      <c r="AF8" s="620">
        <f t="shared" ref="AF8" si="40">$H8-AC8-AD8-AE8</f>
        <v>0</v>
      </c>
      <c r="AG8" s="619"/>
      <c r="AH8" s="617"/>
      <c r="AI8" s="619"/>
      <c r="AJ8" s="1927">
        <f t="shared" ref="AJ8" si="41">$I8-AG8-AH8-AI8</f>
        <v>0</v>
      </c>
      <c r="AK8" s="619"/>
      <c r="AL8" s="617"/>
      <c r="AM8" s="619"/>
      <c r="AN8" s="620">
        <f t="shared" ref="AN8" si="42">$J8-AK8-AL8-AM8</f>
        <v>0</v>
      </c>
      <c r="AO8" s="2243"/>
      <c r="AP8" s="617"/>
      <c r="AQ8" s="619"/>
      <c r="AR8" s="620">
        <f t="shared" ref="AR8" si="43">$K8-AO8-AP8-AQ8</f>
        <v>0</v>
      </c>
      <c r="AS8" s="2243"/>
      <c r="AT8" s="617"/>
      <c r="AU8" s="619"/>
      <c r="AV8" s="620">
        <f t="shared" ref="AV8" si="44">$L8-AS8-AT8-AU8</f>
        <v>0</v>
      </c>
      <c r="AW8" s="2243"/>
      <c r="AX8" s="617"/>
      <c r="AY8" s="619"/>
      <c r="AZ8" s="620">
        <f t="shared" ref="AZ8" si="45">$M8-AW8-AX8-AY8</f>
        <v>0</v>
      </c>
      <c r="BA8" s="2243"/>
      <c r="BB8" s="617"/>
      <c r="BC8" s="619"/>
      <c r="BD8" s="620">
        <f t="shared" ref="BD8" si="46">$N8-BA8-BB8-BC8</f>
        <v>0</v>
      </c>
      <c r="BE8" s="2243"/>
      <c r="BF8" s="617"/>
      <c r="BG8" s="619"/>
      <c r="BH8" s="620">
        <f t="shared" ref="BH8" si="47">$O8-BE8-BF8-BG8</f>
        <v>0</v>
      </c>
      <c r="BI8" s="2243"/>
      <c r="BJ8" s="617"/>
      <c r="BK8" s="619"/>
      <c r="BL8" s="1927">
        <f>$P8-BI8-BJ8-BK8</f>
        <v>0</v>
      </c>
      <c r="BM8" s="2261"/>
      <c r="BN8" s="1263">
        <v>1</v>
      </c>
      <c r="BO8" s="1263">
        <f t="shared" ref="BO8:BY8" si="48">BN8</f>
        <v>1</v>
      </c>
      <c r="BP8" s="1263">
        <f t="shared" si="48"/>
        <v>1</v>
      </c>
      <c r="BQ8" s="1263">
        <f t="shared" si="48"/>
        <v>1</v>
      </c>
      <c r="BR8" s="1263">
        <f t="shared" si="48"/>
        <v>1</v>
      </c>
      <c r="BS8" s="1263">
        <f t="shared" si="48"/>
        <v>1</v>
      </c>
      <c r="BT8" s="1263">
        <f t="shared" si="48"/>
        <v>1</v>
      </c>
      <c r="BU8" s="1263">
        <f t="shared" si="48"/>
        <v>1</v>
      </c>
      <c r="BV8" s="1263">
        <f t="shared" si="48"/>
        <v>1</v>
      </c>
      <c r="BW8" s="1263">
        <f t="shared" si="48"/>
        <v>1</v>
      </c>
      <c r="BX8" s="1263">
        <f t="shared" si="48"/>
        <v>1</v>
      </c>
      <c r="BY8" s="1263">
        <f t="shared" si="48"/>
        <v>1</v>
      </c>
      <c r="BZ8" s="1263"/>
      <c r="CA8" s="99">
        <f t="shared" si="37"/>
        <v>606000</v>
      </c>
      <c r="CB8" s="99">
        <f t="shared" si="37"/>
        <v>0</v>
      </c>
      <c r="CC8" s="99">
        <f t="shared" si="37"/>
        <v>0</v>
      </c>
      <c r="CD8" s="99">
        <f t="shared" si="37"/>
        <v>0</v>
      </c>
      <c r="CE8" s="99">
        <f t="shared" si="37"/>
        <v>0</v>
      </c>
      <c r="CF8" s="99">
        <f t="shared" si="37"/>
        <v>0</v>
      </c>
      <c r="CG8" s="99">
        <f t="shared" si="37"/>
        <v>0</v>
      </c>
      <c r="CH8" s="99">
        <f t="shared" si="37"/>
        <v>0</v>
      </c>
      <c r="CI8" s="99">
        <f t="shared" si="37"/>
        <v>0</v>
      </c>
      <c r="CJ8" s="99">
        <f t="shared" si="37"/>
        <v>0</v>
      </c>
      <c r="CK8" s="99">
        <f t="shared" si="37"/>
        <v>0</v>
      </c>
      <c r="CL8" s="99">
        <f t="shared" si="37"/>
        <v>0</v>
      </c>
      <c r="CM8" s="2261"/>
      <c r="CN8" s="2261"/>
      <c r="CO8" s="2261"/>
      <c r="CP8" s="2261"/>
      <c r="CQ8" s="2261"/>
      <c r="CR8" s="2261"/>
    </row>
    <row r="9" spans="1:96" s="355" customFormat="1" x14ac:dyDescent="0.2">
      <c r="A9" s="1893" t="s">
        <v>5033</v>
      </c>
      <c r="B9" s="1132" t="s">
        <v>5112</v>
      </c>
      <c r="C9" s="1132" t="s">
        <v>5113</v>
      </c>
      <c r="D9" s="1132" t="s">
        <v>5113</v>
      </c>
      <c r="E9" s="2017"/>
      <c r="F9" s="2019">
        <f>400000-30000-50000</f>
        <v>320000</v>
      </c>
      <c r="G9" s="2017">
        <v>634000</v>
      </c>
      <c r="H9" s="2017">
        <v>706000</v>
      </c>
      <c r="I9" s="2017">
        <v>784000</v>
      </c>
      <c r="J9" s="2017">
        <v>937000</v>
      </c>
      <c r="K9" s="2017">
        <v>958000</v>
      </c>
      <c r="L9" s="2017">
        <v>1053000</v>
      </c>
      <c r="M9" s="2017">
        <v>1154000</v>
      </c>
      <c r="N9" s="2017">
        <v>1260000</v>
      </c>
      <c r="O9" s="2017">
        <f>ROUND((N9*Assumptions!P$6+N9),-3)</f>
        <v>1292000</v>
      </c>
      <c r="P9" s="2009">
        <f>ROUND((O9*Assumptions!Q$6+O9),-3)</f>
        <v>1324000</v>
      </c>
      <c r="Q9" s="2243"/>
      <c r="R9" s="617"/>
      <c r="S9" s="617"/>
      <c r="T9" s="863">
        <f t="shared" si="17"/>
        <v>0</v>
      </c>
      <c r="U9" s="2243"/>
      <c r="V9" s="617"/>
      <c r="W9" s="619"/>
      <c r="X9" s="620">
        <f t="shared" si="38"/>
        <v>320000</v>
      </c>
      <c r="Y9" s="2243"/>
      <c r="Z9" s="617"/>
      <c r="AA9" s="619"/>
      <c r="AB9" s="620">
        <f t="shared" ref="AB9:AB11" si="49">$G9-Y9-Z9-AA9</f>
        <v>634000</v>
      </c>
      <c r="AC9" s="2243"/>
      <c r="AD9" s="617"/>
      <c r="AE9" s="617"/>
      <c r="AF9" s="620">
        <f t="shared" ref="AF9:AF11" si="50">$H9-AC9-AD9-AE9</f>
        <v>706000</v>
      </c>
      <c r="AG9" s="619"/>
      <c r="AH9" s="617"/>
      <c r="AI9" s="619"/>
      <c r="AJ9" s="1927">
        <f t="shared" ref="AJ9:AJ11" si="51">$I9-AG9-AH9-AI9</f>
        <v>784000</v>
      </c>
      <c r="AK9" s="619"/>
      <c r="AL9" s="617"/>
      <c r="AM9" s="619"/>
      <c r="AN9" s="620">
        <f t="shared" ref="AN9:AN11" si="52">$J9-AK9-AL9-AM9</f>
        <v>937000</v>
      </c>
      <c r="AO9" s="2243"/>
      <c r="AP9" s="617"/>
      <c r="AQ9" s="619"/>
      <c r="AR9" s="620">
        <f t="shared" ref="AR9:AR11" si="53">$K9-AO9-AP9-AQ9</f>
        <v>958000</v>
      </c>
      <c r="AS9" s="2243"/>
      <c r="AT9" s="617"/>
      <c r="AU9" s="619"/>
      <c r="AV9" s="620">
        <f t="shared" ref="AV9:AV11" si="54">$L9-AS9-AT9-AU9</f>
        <v>1053000</v>
      </c>
      <c r="AW9" s="2243"/>
      <c r="AX9" s="617"/>
      <c r="AY9" s="619"/>
      <c r="AZ9" s="620">
        <f t="shared" ref="AZ9:AZ11" si="55">$M9-AW9-AX9-AY9</f>
        <v>1154000</v>
      </c>
      <c r="BA9" s="2243"/>
      <c r="BB9" s="617"/>
      <c r="BC9" s="619"/>
      <c r="BD9" s="620">
        <f t="shared" ref="BD9:BD11" si="56">$N9-BA9-BB9-BC9</f>
        <v>1260000</v>
      </c>
      <c r="BE9" s="2243"/>
      <c r="BF9" s="617"/>
      <c r="BG9" s="619"/>
      <c r="BH9" s="620">
        <f t="shared" ref="BH9:BH11" si="57">$O9-BE9-BF9-BG9</f>
        <v>1292000</v>
      </c>
      <c r="BI9" s="2243"/>
      <c r="BJ9" s="617"/>
      <c r="BK9" s="619"/>
      <c r="BL9" s="1927">
        <f t="shared" ref="BL9:BL11" si="58">$P9-BI9-BJ9-BK9</f>
        <v>1324000</v>
      </c>
      <c r="BM9" s="2261"/>
      <c r="BN9" s="1263">
        <v>1</v>
      </c>
      <c r="BO9" s="1263">
        <f t="shared" ref="BO9:BY9" si="59">BN9</f>
        <v>1</v>
      </c>
      <c r="BP9" s="1263">
        <f t="shared" si="59"/>
        <v>1</v>
      </c>
      <c r="BQ9" s="1263">
        <f t="shared" si="59"/>
        <v>1</v>
      </c>
      <c r="BR9" s="1263">
        <f t="shared" si="59"/>
        <v>1</v>
      </c>
      <c r="BS9" s="1263">
        <f t="shared" si="59"/>
        <v>1</v>
      </c>
      <c r="BT9" s="1263">
        <f t="shared" si="59"/>
        <v>1</v>
      </c>
      <c r="BU9" s="1263">
        <f t="shared" si="59"/>
        <v>1</v>
      </c>
      <c r="BV9" s="1263">
        <f t="shared" si="59"/>
        <v>1</v>
      </c>
      <c r="BW9" s="1263">
        <f t="shared" si="59"/>
        <v>1</v>
      </c>
      <c r="BX9" s="1263">
        <f t="shared" si="59"/>
        <v>1</v>
      </c>
      <c r="BY9" s="1263">
        <f t="shared" si="59"/>
        <v>1</v>
      </c>
      <c r="BZ9" s="1263"/>
      <c r="CA9" s="99">
        <f t="shared" si="37"/>
        <v>0</v>
      </c>
      <c r="CB9" s="99">
        <f t="shared" si="37"/>
        <v>320000</v>
      </c>
      <c r="CC9" s="99">
        <f t="shared" si="37"/>
        <v>634000</v>
      </c>
      <c r="CD9" s="99">
        <f t="shared" si="37"/>
        <v>706000</v>
      </c>
      <c r="CE9" s="99">
        <f t="shared" si="37"/>
        <v>784000</v>
      </c>
      <c r="CF9" s="99">
        <f t="shared" si="37"/>
        <v>937000</v>
      </c>
      <c r="CG9" s="99">
        <f t="shared" si="37"/>
        <v>958000</v>
      </c>
      <c r="CH9" s="99">
        <f t="shared" si="37"/>
        <v>1053000</v>
      </c>
      <c r="CI9" s="99">
        <f t="shared" si="37"/>
        <v>1154000</v>
      </c>
      <c r="CJ9" s="99">
        <f t="shared" si="37"/>
        <v>1260000</v>
      </c>
      <c r="CK9" s="99">
        <f t="shared" si="37"/>
        <v>1292000</v>
      </c>
      <c r="CL9" s="99">
        <f t="shared" si="37"/>
        <v>1324000</v>
      </c>
      <c r="CM9" s="2261"/>
      <c r="CN9" s="2261"/>
      <c r="CO9" s="2261"/>
      <c r="CP9" s="2261"/>
      <c r="CQ9" s="2261"/>
      <c r="CR9" s="2261"/>
    </row>
    <row r="10" spans="1:96" s="355" customFormat="1" x14ac:dyDescent="0.2">
      <c r="A10" s="1893" t="s">
        <v>7050</v>
      </c>
      <c r="B10" s="1132" t="s">
        <v>6603</v>
      </c>
      <c r="C10" s="1132" t="s">
        <v>6604</v>
      </c>
      <c r="D10" s="1132" t="s">
        <v>6604</v>
      </c>
      <c r="E10" s="2017"/>
      <c r="F10" s="2017">
        <v>30000</v>
      </c>
      <c r="G10" s="2017"/>
      <c r="H10" s="2017"/>
      <c r="I10" s="2017"/>
      <c r="J10" s="2017"/>
      <c r="K10" s="2009"/>
      <c r="L10" s="2009"/>
      <c r="M10" s="2017"/>
      <c r="N10" s="2017"/>
      <c r="O10" s="2017"/>
      <c r="P10" s="2010"/>
      <c r="Q10" s="2243"/>
      <c r="R10" s="617"/>
      <c r="S10" s="617"/>
      <c r="T10" s="863"/>
      <c r="U10" s="2243"/>
      <c r="V10" s="617"/>
      <c r="W10" s="619"/>
      <c r="X10" s="620">
        <f t="shared" si="38"/>
        <v>30000</v>
      </c>
      <c r="Y10" s="2243"/>
      <c r="Z10" s="617"/>
      <c r="AA10" s="619"/>
      <c r="AB10" s="620">
        <f t="shared" si="49"/>
        <v>0</v>
      </c>
      <c r="AC10" s="2243"/>
      <c r="AD10" s="617"/>
      <c r="AE10" s="617"/>
      <c r="AF10" s="620">
        <f t="shared" si="50"/>
        <v>0</v>
      </c>
      <c r="AG10" s="619"/>
      <c r="AH10" s="617"/>
      <c r="AI10" s="619"/>
      <c r="AJ10" s="1927">
        <f t="shared" si="51"/>
        <v>0</v>
      </c>
      <c r="AK10" s="619"/>
      <c r="AL10" s="617"/>
      <c r="AM10" s="619"/>
      <c r="AN10" s="620">
        <f t="shared" si="52"/>
        <v>0</v>
      </c>
      <c r="AO10" s="2243"/>
      <c r="AP10" s="617"/>
      <c r="AQ10" s="619"/>
      <c r="AR10" s="620">
        <f t="shared" si="53"/>
        <v>0</v>
      </c>
      <c r="AS10" s="2243"/>
      <c r="AT10" s="617"/>
      <c r="AU10" s="619"/>
      <c r="AV10" s="620">
        <f t="shared" si="54"/>
        <v>0</v>
      </c>
      <c r="AW10" s="2243"/>
      <c r="AX10" s="617"/>
      <c r="AY10" s="619"/>
      <c r="AZ10" s="620">
        <f t="shared" si="55"/>
        <v>0</v>
      </c>
      <c r="BA10" s="2243"/>
      <c r="BB10" s="617"/>
      <c r="BC10" s="619"/>
      <c r="BD10" s="620">
        <f t="shared" si="56"/>
        <v>0</v>
      </c>
      <c r="BE10" s="2243"/>
      <c r="BF10" s="617"/>
      <c r="BG10" s="619"/>
      <c r="BH10" s="620">
        <f t="shared" si="57"/>
        <v>0</v>
      </c>
      <c r="BI10" s="2243"/>
      <c r="BJ10" s="617"/>
      <c r="BK10" s="619"/>
      <c r="BL10" s="1927">
        <f t="shared" si="58"/>
        <v>0</v>
      </c>
      <c r="BM10" s="2261"/>
      <c r="BN10" s="1263"/>
      <c r="BO10" s="1263"/>
      <c r="BP10" s="1263"/>
      <c r="BQ10" s="1263"/>
      <c r="BR10" s="1263"/>
      <c r="BS10" s="1263"/>
      <c r="BT10" s="1263"/>
      <c r="BU10" s="1263"/>
      <c r="BV10" s="1263"/>
      <c r="BW10" s="1263"/>
      <c r="BX10" s="1263"/>
      <c r="BY10" s="1263"/>
      <c r="BZ10" s="1263"/>
      <c r="CA10" s="99"/>
      <c r="CB10" s="99"/>
      <c r="CC10" s="99"/>
      <c r="CD10" s="99"/>
      <c r="CE10" s="99"/>
      <c r="CF10" s="99"/>
      <c r="CG10" s="99"/>
      <c r="CH10" s="99"/>
      <c r="CI10" s="99"/>
      <c r="CJ10" s="99"/>
      <c r="CK10" s="99"/>
      <c r="CL10" s="99"/>
      <c r="CM10" s="2261"/>
      <c r="CN10" s="2261"/>
      <c r="CO10" s="2261"/>
      <c r="CP10" s="2261"/>
      <c r="CQ10" s="2261"/>
      <c r="CR10" s="2261"/>
    </row>
    <row r="11" spans="1:96" s="355" customFormat="1" x14ac:dyDescent="0.2">
      <c r="A11" s="958" t="s">
        <v>4943</v>
      </c>
      <c r="B11" s="1132" t="s">
        <v>5077</v>
      </c>
      <c r="C11" s="1132" t="s">
        <v>5081</v>
      </c>
      <c r="D11" s="1132" t="s">
        <v>5081</v>
      </c>
      <c r="E11" s="2017">
        <v>27800</v>
      </c>
      <c r="F11" s="2017">
        <f>10000+30000</f>
        <v>40000</v>
      </c>
      <c r="G11" s="2017"/>
      <c r="H11" s="2017"/>
      <c r="I11" s="2017"/>
      <c r="J11" s="2017"/>
      <c r="K11" s="2009"/>
      <c r="L11" s="2009"/>
      <c r="M11" s="2017"/>
      <c r="N11" s="2017"/>
      <c r="O11" s="2017"/>
      <c r="P11" s="2259"/>
      <c r="Q11" s="2243"/>
      <c r="R11" s="617">
        <f>E11</f>
        <v>27800</v>
      </c>
      <c r="S11" s="617"/>
      <c r="T11" s="863">
        <f t="shared" si="17"/>
        <v>0</v>
      </c>
      <c r="U11" s="2243"/>
      <c r="V11" s="617">
        <v>24000</v>
      </c>
      <c r="W11" s="619"/>
      <c r="X11" s="620">
        <f t="shared" si="38"/>
        <v>16000</v>
      </c>
      <c r="Y11" s="2243"/>
      <c r="Z11" s="617"/>
      <c r="AA11" s="619"/>
      <c r="AB11" s="620">
        <f t="shared" si="49"/>
        <v>0</v>
      </c>
      <c r="AC11" s="2243"/>
      <c r="AD11" s="617"/>
      <c r="AE11" s="617"/>
      <c r="AF11" s="620">
        <f t="shared" si="50"/>
        <v>0</v>
      </c>
      <c r="AG11" s="619"/>
      <c r="AH11" s="617"/>
      <c r="AI11" s="619"/>
      <c r="AJ11" s="1927">
        <f t="shared" si="51"/>
        <v>0</v>
      </c>
      <c r="AK11" s="619"/>
      <c r="AL11" s="617"/>
      <c r="AM11" s="619"/>
      <c r="AN11" s="620">
        <f t="shared" si="52"/>
        <v>0</v>
      </c>
      <c r="AO11" s="2243"/>
      <c r="AP11" s="617"/>
      <c r="AQ11" s="619"/>
      <c r="AR11" s="620">
        <f t="shared" si="53"/>
        <v>0</v>
      </c>
      <c r="AS11" s="2243"/>
      <c r="AT11" s="617"/>
      <c r="AU11" s="619"/>
      <c r="AV11" s="620">
        <f t="shared" si="54"/>
        <v>0</v>
      </c>
      <c r="AW11" s="2243"/>
      <c r="AX11" s="617"/>
      <c r="AY11" s="619"/>
      <c r="AZ11" s="620">
        <f t="shared" si="55"/>
        <v>0</v>
      </c>
      <c r="BA11" s="2243"/>
      <c r="BB11" s="617"/>
      <c r="BC11" s="619"/>
      <c r="BD11" s="620">
        <f t="shared" si="56"/>
        <v>0</v>
      </c>
      <c r="BE11" s="2243"/>
      <c r="BF11" s="617"/>
      <c r="BG11" s="619"/>
      <c r="BH11" s="620">
        <f t="shared" si="57"/>
        <v>0</v>
      </c>
      <c r="BI11" s="2243"/>
      <c r="BJ11" s="617"/>
      <c r="BK11" s="619"/>
      <c r="BL11" s="1927">
        <f t="shared" si="58"/>
        <v>0</v>
      </c>
      <c r="BM11" s="2261"/>
      <c r="BN11" s="1263">
        <v>1</v>
      </c>
      <c r="BO11" s="1263">
        <f t="shared" ref="BO11" si="60">BN11</f>
        <v>1</v>
      </c>
      <c r="BP11" s="1263">
        <f t="shared" ref="BP11" si="61">BO11</f>
        <v>1</v>
      </c>
      <c r="BQ11" s="1263">
        <f t="shared" ref="BQ11" si="62">BP11</f>
        <v>1</v>
      </c>
      <c r="BR11" s="1263">
        <f t="shared" ref="BR11" si="63">BQ11</f>
        <v>1</v>
      </c>
      <c r="BS11" s="1263">
        <f t="shared" ref="BS11" si="64">BR11</f>
        <v>1</v>
      </c>
      <c r="BT11" s="1263">
        <f t="shared" ref="BT11" si="65">BS11</f>
        <v>1</v>
      </c>
      <c r="BU11" s="1263">
        <f t="shared" ref="BU11" si="66">BT11</f>
        <v>1</v>
      </c>
      <c r="BV11" s="1263">
        <f t="shared" ref="BV11" si="67">BU11</f>
        <v>1</v>
      </c>
      <c r="BW11" s="1263">
        <f t="shared" ref="BW11:BY11" si="68">BV11</f>
        <v>1</v>
      </c>
      <c r="BX11" s="1263">
        <f t="shared" si="68"/>
        <v>1</v>
      </c>
      <c r="BY11" s="1263">
        <f t="shared" si="68"/>
        <v>1</v>
      </c>
      <c r="BZ11" s="1263"/>
      <c r="CA11" s="99">
        <f t="shared" ref="CA11:CL11" si="69">ROUND(BN11*E11,-3)</f>
        <v>28000</v>
      </c>
      <c r="CB11" s="99">
        <f t="shared" si="69"/>
        <v>40000</v>
      </c>
      <c r="CC11" s="99">
        <f t="shared" si="69"/>
        <v>0</v>
      </c>
      <c r="CD11" s="99">
        <f t="shared" si="69"/>
        <v>0</v>
      </c>
      <c r="CE11" s="99">
        <f t="shared" si="69"/>
        <v>0</v>
      </c>
      <c r="CF11" s="99">
        <f t="shared" si="69"/>
        <v>0</v>
      </c>
      <c r="CG11" s="99">
        <f t="shared" si="69"/>
        <v>0</v>
      </c>
      <c r="CH11" s="99">
        <f t="shared" si="69"/>
        <v>0</v>
      </c>
      <c r="CI11" s="99">
        <f t="shared" si="69"/>
        <v>0</v>
      </c>
      <c r="CJ11" s="99">
        <f t="shared" si="69"/>
        <v>0</v>
      </c>
      <c r="CK11" s="99">
        <f t="shared" si="69"/>
        <v>0</v>
      </c>
      <c r="CL11" s="99">
        <f t="shared" si="69"/>
        <v>0</v>
      </c>
      <c r="CM11" s="2261"/>
      <c r="CN11" s="2261"/>
      <c r="CO11" s="2261"/>
      <c r="CP11" s="2261"/>
      <c r="CQ11" s="2261"/>
      <c r="CR11" s="2261"/>
    </row>
    <row r="12" spans="1:96" s="355" customFormat="1" x14ac:dyDescent="0.2">
      <c r="A12" s="958"/>
      <c r="B12" s="1132"/>
      <c r="C12" s="1132"/>
      <c r="D12" s="1132"/>
      <c r="E12" s="2017"/>
      <c r="F12" s="2009"/>
      <c r="G12" s="2017"/>
      <c r="H12" s="2017"/>
      <c r="I12" s="2009"/>
      <c r="J12" s="2009"/>
      <c r="K12" s="2009"/>
      <c r="L12" s="2009"/>
      <c r="M12" s="2017"/>
      <c r="N12" s="2017"/>
      <c r="O12" s="2017"/>
      <c r="P12" s="2259"/>
      <c r="Q12" s="2243"/>
      <c r="R12" s="617"/>
      <c r="S12" s="617"/>
      <c r="T12" s="863"/>
      <c r="U12" s="2243"/>
      <c r="V12" s="619"/>
      <c r="W12" s="619"/>
      <c r="X12" s="620"/>
      <c r="Y12" s="2243"/>
      <c r="Z12" s="619"/>
      <c r="AA12" s="619"/>
      <c r="AB12" s="620"/>
      <c r="AC12" s="2243"/>
      <c r="AD12" s="617"/>
      <c r="AE12" s="617"/>
      <c r="AF12" s="620"/>
      <c r="AG12" s="619"/>
      <c r="AH12" s="619"/>
      <c r="AI12" s="619"/>
      <c r="AJ12" s="1927"/>
      <c r="AK12" s="619"/>
      <c r="AL12" s="619"/>
      <c r="AM12" s="619"/>
      <c r="AN12" s="620"/>
      <c r="AO12" s="2243"/>
      <c r="AP12" s="619"/>
      <c r="AQ12" s="619"/>
      <c r="AR12" s="620"/>
      <c r="AS12" s="2243"/>
      <c r="AT12" s="619"/>
      <c r="AU12" s="619"/>
      <c r="AV12" s="620"/>
      <c r="AW12" s="2243"/>
      <c r="AX12" s="619"/>
      <c r="AY12" s="619"/>
      <c r="AZ12" s="620"/>
      <c r="BA12" s="2243"/>
      <c r="BB12" s="619"/>
      <c r="BC12" s="619"/>
      <c r="BD12" s="620"/>
      <c r="BE12" s="2243"/>
      <c r="BF12" s="619"/>
      <c r="BG12" s="619"/>
      <c r="BH12" s="620"/>
      <c r="BI12" s="2243"/>
      <c r="BJ12" s="619"/>
      <c r="BK12" s="619"/>
      <c r="BL12" s="1927"/>
      <c r="BM12" s="2261"/>
      <c r="BN12" s="1263"/>
      <c r="BO12" s="1263"/>
      <c r="BP12" s="1263"/>
      <c r="BQ12" s="1263"/>
      <c r="BR12" s="1263"/>
      <c r="BS12" s="1263"/>
      <c r="BT12" s="1263"/>
      <c r="BU12" s="1263"/>
      <c r="BV12" s="1263"/>
      <c r="BW12" s="1263"/>
      <c r="BX12" s="1263"/>
      <c r="BY12" s="1263"/>
      <c r="BZ12" s="1263"/>
      <c r="CA12" s="99"/>
      <c r="CB12" s="99"/>
      <c r="CC12" s="99"/>
      <c r="CD12" s="99"/>
      <c r="CE12" s="99"/>
      <c r="CF12" s="99"/>
      <c r="CG12" s="99"/>
      <c r="CH12" s="99"/>
      <c r="CI12" s="99"/>
      <c r="CJ12" s="99"/>
      <c r="CK12" s="99"/>
      <c r="CL12" s="99"/>
      <c r="CM12" s="2261"/>
      <c r="CN12" s="2261"/>
      <c r="CO12" s="2261"/>
      <c r="CP12" s="2261"/>
      <c r="CQ12" s="2261"/>
      <c r="CR12" s="2261"/>
    </row>
    <row r="13" spans="1:96" s="355" customFormat="1" x14ac:dyDescent="0.2">
      <c r="A13" s="1104" t="s">
        <v>4942</v>
      </c>
      <c r="B13" s="528"/>
      <c r="C13" s="528"/>
      <c r="D13" s="528"/>
      <c r="E13" s="2017"/>
      <c r="F13" s="2009"/>
      <c r="G13" s="2017"/>
      <c r="H13" s="2017"/>
      <c r="I13" s="2009"/>
      <c r="J13" s="2009"/>
      <c r="K13" s="2009"/>
      <c r="L13" s="2009"/>
      <c r="M13" s="2017"/>
      <c r="N13" s="2017"/>
      <c r="O13" s="2017"/>
      <c r="P13" s="2259"/>
      <c r="Q13" s="2243"/>
      <c r="R13" s="617"/>
      <c r="S13" s="617"/>
      <c r="T13" s="620"/>
      <c r="U13" s="2243"/>
      <c r="V13" s="619"/>
      <c r="W13" s="619"/>
      <c r="X13" s="620"/>
      <c r="Y13" s="2243"/>
      <c r="Z13" s="619"/>
      <c r="AA13" s="619"/>
      <c r="AB13" s="620"/>
      <c r="AC13" s="2243"/>
      <c r="AD13" s="617"/>
      <c r="AE13" s="617"/>
      <c r="AF13" s="620"/>
      <c r="AG13" s="619"/>
      <c r="AH13" s="619"/>
      <c r="AI13" s="619"/>
      <c r="AJ13" s="1927"/>
      <c r="AK13" s="619"/>
      <c r="AL13" s="619"/>
      <c r="AM13" s="619"/>
      <c r="AN13" s="620"/>
      <c r="AO13" s="2243"/>
      <c r="AP13" s="619"/>
      <c r="AQ13" s="619"/>
      <c r="AR13" s="620"/>
      <c r="AS13" s="2243"/>
      <c r="AT13" s="619"/>
      <c r="AU13" s="619"/>
      <c r="AV13" s="620"/>
      <c r="AW13" s="2243"/>
      <c r="AX13" s="619"/>
      <c r="AY13" s="619"/>
      <c r="AZ13" s="620"/>
      <c r="BA13" s="2243"/>
      <c r="BB13" s="619"/>
      <c r="BC13" s="619"/>
      <c r="BD13" s="620"/>
      <c r="BE13" s="2243"/>
      <c r="BF13" s="619"/>
      <c r="BG13" s="619"/>
      <c r="BH13" s="620"/>
      <c r="BI13" s="2243"/>
      <c r="BJ13" s="619"/>
      <c r="BK13" s="619"/>
      <c r="BL13" s="1927"/>
      <c r="BM13" s="2261"/>
      <c r="BN13" s="99"/>
      <c r="BO13" s="99"/>
      <c r="BP13" s="99"/>
      <c r="BQ13" s="99"/>
      <c r="BR13" s="99"/>
      <c r="BS13" s="99"/>
      <c r="BT13" s="99"/>
      <c r="BU13" s="99"/>
      <c r="BV13" s="99"/>
      <c r="BW13" s="99"/>
      <c r="BX13" s="99"/>
      <c r="BY13" s="99"/>
      <c r="BZ13" s="99"/>
      <c r="CA13" s="99"/>
      <c r="CB13" s="99"/>
      <c r="CC13" s="99"/>
      <c r="CD13" s="99"/>
      <c r="CE13" s="99"/>
      <c r="CF13" s="99"/>
      <c r="CG13" s="99"/>
      <c r="CH13" s="99"/>
      <c r="CI13" s="99"/>
      <c r="CJ13" s="99"/>
      <c r="CK13" s="99"/>
      <c r="CL13" s="99"/>
      <c r="CM13" s="2261"/>
      <c r="CN13" s="2261"/>
      <c r="CO13" s="2261"/>
      <c r="CP13" s="2261"/>
      <c r="CQ13" s="2261"/>
      <c r="CR13" s="2261"/>
    </row>
    <row r="14" spans="1:96" s="355" customFormat="1" x14ac:dyDescent="0.2">
      <c r="A14" s="958" t="s">
        <v>5635</v>
      </c>
      <c r="B14" s="1132" t="s">
        <v>5078</v>
      </c>
      <c r="C14" s="1132" t="s">
        <v>5076</v>
      </c>
      <c r="D14" s="1132"/>
      <c r="E14" s="2017">
        <v>6700</v>
      </c>
      <c r="F14" s="2009"/>
      <c r="G14" s="2017"/>
      <c r="H14" s="2017"/>
      <c r="I14" s="2009"/>
      <c r="J14" s="2009"/>
      <c r="K14" s="2009"/>
      <c r="L14" s="2009"/>
      <c r="M14" s="2017"/>
      <c r="N14" s="2017"/>
      <c r="O14" s="2017"/>
      <c r="P14" s="2259"/>
      <c r="Q14" s="2243"/>
      <c r="R14" s="617">
        <f>E14</f>
        <v>6700</v>
      </c>
      <c r="S14" s="617"/>
      <c r="T14" s="863">
        <f>$E14-Q14-R14-S14</f>
        <v>0</v>
      </c>
      <c r="U14" s="2243"/>
      <c r="V14" s="617">
        <f>F14</f>
        <v>0</v>
      </c>
      <c r="W14" s="619"/>
      <c r="X14" s="620">
        <f>$F14-U14-V14-W14</f>
        <v>0</v>
      </c>
      <c r="Y14" s="2243"/>
      <c r="Z14" s="617">
        <f>G14</f>
        <v>0</v>
      </c>
      <c r="AA14" s="619"/>
      <c r="AB14" s="620">
        <f t="shared" ref="AB14" si="70">$G14-Y14-Z14-AA14</f>
        <v>0</v>
      </c>
      <c r="AC14" s="2243"/>
      <c r="AD14" s="617">
        <f>ROUND(H14,-2)</f>
        <v>0</v>
      </c>
      <c r="AE14" s="617"/>
      <c r="AF14" s="620">
        <f t="shared" ref="AF14:AF16" si="71">$H14-AC14-AD14-AE14</f>
        <v>0</v>
      </c>
      <c r="AG14" s="619"/>
      <c r="AH14" s="617">
        <f>ROUND(I14,-2)</f>
        <v>0</v>
      </c>
      <c r="AI14" s="619"/>
      <c r="AJ14" s="1927">
        <f t="shared" ref="AJ14:AJ16" si="72">$I14-AG14-AH14-AI14</f>
        <v>0</v>
      </c>
      <c r="AK14" s="619"/>
      <c r="AL14" s="617">
        <f>ROUND(J14,-2)</f>
        <v>0</v>
      </c>
      <c r="AM14" s="619"/>
      <c r="AN14" s="620">
        <f t="shared" ref="AN14:AN16" si="73">$J14-AK14-AL14-AM14</f>
        <v>0</v>
      </c>
      <c r="AO14" s="2243"/>
      <c r="AP14" s="617">
        <f>ROUND(K14,-2)</f>
        <v>0</v>
      </c>
      <c r="AQ14" s="619"/>
      <c r="AR14" s="620">
        <f t="shared" ref="AR14:AR16" si="74">$K14-AO14-AP14-AQ14</f>
        <v>0</v>
      </c>
      <c r="AS14" s="2243"/>
      <c r="AT14" s="617">
        <f>ROUND(L14,-2)</f>
        <v>0</v>
      </c>
      <c r="AU14" s="619"/>
      <c r="AV14" s="620">
        <f t="shared" ref="AV14:AV16" si="75">$L14-AS14-AT14-AU14</f>
        <v>0</v>
      </c>
      <c r="AW14" s="2243"/>
      <c r="AX14" s="617">
        <f>ROUND(M14,-2)</f>
        <v>0</v>
      </c>
      <c r="AY14" s="619"/>
      <c r="AZ14" s="620">
        <f t="shared" ref="AZ14:AZ16" si="76">$M14-AW14-AX14-AY14</f>
        <v>0</v>
      </c>
      <c r="BA14" s="2243"/>
      <c r="BB14" s="617">
        <f>ROUND(N14,-2)</f>
        <v>0</v>
      </c>
      <c r="BC14" s="619"/>
      <c r="BD14" s="620">
        <f>$N14-BA14-BB14-BC14</f>
        <v>0</v>
      </c>
      <c r="BE14" s="2243"/>
      <c r="BF14" s="617"/>
      <c r="BG14" s="619"/>
      <c r="BH14" s="620">
        <f t="shared" ref="BH14:BH18" si="77">$O14-BE14-BF14-BG14</f>
        <v>0</v>
      </c>
      <c r="BI14" s="2243"/>
      <c r="BJ14" s="617"/>
      <c r="BK14" s="619"/>
      <c r="BL14" s="1927">
        <f t="shared" ref="BL14:BL18" si="78">$P14-BI14-BJ14-BK14</f>
        <v>0</v>
      </c>
      <c r="BM14" s="2261"/>
      <c r="BN14" s="1263">
        <v>0</v>
      </c>
      <c r="BO14" s="1263">
        <f t="shared" ref="BO14:BY14" si="79">BN14</f>
        <v>0</v>
      </c>
      <c r="BP14" s="1263">
        <f t="shared" si="79"/>
        <v>0</v>
      </c>
      <c r="BQ14" s="1263">
        <f t="shared" si="79"/>
        <v>0</v>
      </c>
      <c r="BR14" s="1263">
        <f t="shared" si="79"/>
        <v>0</v>
      </c>
      <c r="BS14" s="1263">
        <f t="shared" si="79"/>
        <v>0</v>
      </c>
      <c r="BT14" s="1263">
        <f t="shared" si="79"/>
        <v>0</v>
      </c>
      <c r="BU14" s="1263">
        <f t="shared" si="79"/>
        <v>0</v>
      </c>
      <c r="BV14" s="1263">
        <f t="shared" si="79"/>
        <v>0</v>
      </c>
      <c r="BW14" s="1263">
        <f t="shared" si="79"/>
        <v>0</v>
      </c>
      <c r="BX14" s="1263">
        <f t="shared" si="79"/>
        <v>0</v>
      </c>
      <c r="BY14" s="1263">
        <f t="shared" si="79"/>
        <v>0</v>
      </c>
      <c r="BZ14" s="1263"/>
      <c r="CA14" s="99">
        <f t="shared" ref="CA14:CL18" si="80">ROUND(BN14*E14,-3)</f>
        <v>0</v>
      </c>
      <c r="CB14" s="99">
        <f t="shared" si="80"/>
        <v>0</v>
      </c>
      <c r="CC14" s="99">
        <f t="shared" si="80"/>
        <v>0</v>
      </c>
      <c r="CD14" s="99">
        <f t="shared" si="80"/>
        <v>0</v>
      </c>
      <c r="CE14" s="99">
        <f t="shared" si="80"/>
        <v>0</v>
      </c>
      <c r="CF14" s="99">
        <f t="shared" si="80"/>
        <v>0</v>
      </c>
      <c r="CG14" s="99">
        <f t="shared" si="80"/>
        <v>0</v>
      </c>
      <c r="CH14" s="99">
        <f t="shared" si="80"/>
        <v>0</v>
      </c>
      <c r="CI14" s="99">
        <f t="shared" si="80"/>
        <v>0</v>
      </c>
      <c r="CJ14" s="99">
        <f t="shared" si="80"/>
        <v>0</v>
      </c>
      <c r="CK14" s="99">
        <f t="shared" si="80"/>
        <v>0</v>
      </c>
      <c r="CL14" s="99">
        <f t="shared" si="80"/>
        <v>0</v>
      </c>
      <c r="CM14" s="2261"/>
      <c r="CN14" s="2261"/>
      <c r="CO14" s="2261"/>
      <c r="CP14" s="2261"/>
      <c r="CQ14" s="2261"/>
      <c r="CR14" s="2261"/>
    </row>
    <row r="15" spans="1:96" s="355" customFormat="1" x14ac:dyDescent="0.2">
      <c r="A15" s="958" t="s">
        <v>3006</v>
      </c>
      <c r="B15" s="1132" t="s">
        <v>4012</v>
      </c>
      <c r="C15" s="1132" t="s">
        <v>6498</v>
      </c>
      <c r="D15" s="1132" t="s">
        <v>6498</v>
      </c>
      <c r="E15" s="2017"/>
      <c r="F15" s="2009">
        <v>500000</v>
      </c>
      <c r="G15" s="2017"/>
      <c r="H15" s="2017"/>
      <c r="I15" s="2009"/>
      <c r="J15" s="2009"/>
      <c r="K15" s="2009"/>
      <c r="L15" s="2009">
        <v>3211000</v>
      </c>
      <c r="M15" s="2017"/>
      <c r="N15" s="2017"/>
      <c r="O15" s="2017"/>
      <c r="P15" s="2259"/>
      <c r="Q15" s="2243"/>
      <c r="R15" s="617">
        <f>E15</f>
        <v>0</v>
      </c>
      <c r="S15" s="617"/>
      <c r="T15" s="863">
        <f>$E15-Q15-R15-S15</f>
        <v>0</v>
      </c>
      <c r="U15" s="2243"/>
      <c r="V15" s="617">
        <f>F15</f>
        <v>500000</v>
      </c>
      <c r="W15" s="619"/>
      <c r="X15" s="620">
        <f>$F15-U15-V15-W15</f>
        <v>0</v>
      </c>
      <c r="Y15" s="2243"/>
      <c r="Z15" s="617">
        <f>G15</f>
        <v>0</v>
      </c>
      <c r="AA15" s="619"/>
      <c r="AB15" s="620">
        <f>$G15-Y15-Z15-AA15</f>
        <v>0</v>
      </c>
      <c r="AC15" s="2243"/>
      <c r="AD15" s="617">
        <f>ROUND(H15,-2)</f>
        <v>0</v>
      </c>
      <c r="AE15" s="617"/>
      <c r="AF15" s="620">
        <f>$H15-AC15-AD15-AE15</f>
        <v>0</v>
      </c>
      <c r="AG15" s="619"/>
      <c r="AH15" s="617">
        <f>ROUND(I15,-2)</f>
        <v>0</v>
      </c>
      <c r="AI15" s="619"/>
      <c r="AJ15" s="1927">
        <f>$I15-AG15-AH15-AI15</f>
        <v>0</v>
      </c>
      <c r="AK15" s="619"/>
      <c r="AL15" s="617">
        <f>ROUND(J15/4,-3)</f>
        <v>0</v>
      </c>
      <c r="AM15" s="619"/>
      <c r="AN15" s="620">
        <f>$J15-AK15-AL15-AM15</f>
        <v>0</v>
      </c>
      <c r="AO15" s="2243"/>
      <c r="AP15" s="617">
        <f>ROUND(K15,-2)</f>
        <v>0</v>
      </c>
      <c r="AQ15" s="619"/>
      <c r="AR15" s="620">
        <f>$K15-AO15-AP15-AQ15</f>
        <v>0</v>
      </c>
      <c r="AS15" s="2243"/>
      <c r="AT15" s="617">
        <f>ROUND(L15,-2)</f>
        <v>3211000</v>
      </c>
      <c r="AU15" s="619"/>
      <c r="AV15" s="620">
        <f>$L15-AS15-AT15-AU15</f>
        <v>0</v>
      </c>
      <c r="AW15" s="2243"/>
      <c r="AX15" s="617">
        <f>ROUND(M15,-2)</f>
        <v>0</v>
      </c>
      <c r="AY15" s="619"/>
      <c r="AZ15" s="620">
        <f>$M15-AW15-AX15-AY15</f>
        <v>0</v>
      </c>
      <c r="BA15" s="2243"/>
      <c r="BB15" s="617">
        <f>ROUND(N15,-2)</f>
        <v>0</v>
      </c>
      <c r="BC15" s="619"/>
      <c r="BD15" s="620">
        <f>$N15-BA15-BB15-BC15</f>
        <v>0</v>
      </c>
      <c r="BE15" s="2243"/>
      <c r="BF15" s="617"/>
      <c r="BG15" s="619"/>
      <c r="BH15" s="620">
        <f t="shared" si="77"/>
        <v>0</v>
      </c>
      <c r="BI15" s="2243"/>
      <c r="BJ15" s="617"/>
      <c r="BK15" s="619"/>
      <c r="BL15" s="1927">
        <f t="shared" si="78"/>
        <v>0</v>
      </c>
      <c r="BM15" s="2261"/>
      <c r="BN15" s="1263">
        <v>0</v>
      </c>
      <c r="BO15" s="1263">
        <f t="shared" ref="BO15:BY15" si="81">BN15</f>
        <v>0</v>
      </c>
      <c r="BP15" s="1263">
        <f t="shared" si="81"/>
        <v>0</v>
      </c>
      <c r="BQ15" s="1263">
        <f t="shared" si="81"/>
        <v>0</v>
      </c>
      <c r="BR15" s="1263">
        <f t="shared" si="81"/>
        <v>0</v>
      </c>
      <c r="BS15" s="1263">
        <f t="shared" si="81"/>
        <v>0</v>
      </c>
      <c r="BT15" s="1263">
        <f t="shared" si="81"/>
        <v>0</v>
      </c>
      <c r="BU15" s="1263">
        <f t="shared" si="81"/>
        <v>0</v>
      </c>
      <c r="BV15" s="1263">
        <f t="shared" si="81"/>
        <v>0</v>
      </c>
      <c r="BW15" s="1263">
        <f t="shared" si="81"/>
        <v>0</v>
      </c>
      <c r="BX15" s="1263">
        <f t="shared" si="81"/>
        <v>0</v>
      </c>
      <c r="BY15" s="1263">
        <f t="shared" si="81"/>
        <v>0</v>
      </c>
      <c r="BZ15" s="1263"/>
      <c r="CA15" s="99">
        <f t="shared" si="80"/>
        <v>0</v>
      </c>
      <c r="CB15" s="99">
        <f t="shared" si="80"/>
        <v>0</v>
      </c>
      <c r="CC15" s="99">
        <f t="shared" si="80"/>
        <v>0</v>
      </c>
      <c r="CD15" s="99">
        <f t="shared" si="80"/>
        <v>0</v>
      </c>
      <c r="CE15" s="99">
        <f t="shared" si="80"/>
        <v>0</v>
      </c>
      <c r="CF15" s="99">
        <f t="shared" si="80"/>
        <v>0</v>
      </c>
      <c r="CG15" s="99">
        <f t="shared" si="80"/>
        <v>0</v>
      </c>
      <c r="CH15" s="99">
        <f t="shared" si="80"/>
        <v>0</v>
      </c>
      <c r="CI15" s="99">
        <f t="shared" si="80"/>
        <v>0</v>
      </c>
      <c r="CJ15" s="99">
        <f t="shared" si="80"/>
        <v>0</v>
      </c>
      <c r="CK15" s="99">
        <f t="shared" si="80"/>
        <v>0</v>
      </c>
      <c r="CL15" s="99">
        <f t="shared" si="80"/>
        <v>0</v>
      </c>
      <c r="CM15" s="2261"/>
      <c r="CN15" s="2261"/>
      <c r="CO15" s="2261"/>
      <c r="CP15" s="2261"/>
      <c r="CQ15" s="2261"/>
      <c r="CR15" s="2261"/>
    </row>
    <row r="16" spans="1:96" s="355" customFormat="1" x14ac:dyDescent="0.2">
      <c r="A16" s="958" t="s">
        <v>2420</v>
      </c>
      <c r="B16" s="1132" t="s">
        <v>5079</v>
      </c>
      <c r="C16" s="1132" t="s">
        <v>5076</v>
      </c>
      <c r="D16" s="1132"/>
      <c r="E16" s="2017"/>
      <c r="F16" s="2009"/>
      <c r="G16" s="2017"/>
      <c r="H16" s="2017"/>
      <c r="I16" s="2009"/>
      <c r="J16" s="2009"/>
      <c r="K16" s="2009">
        <v>1077000</v>
      </c>
      <c r="L16" s="2009"/>
      <c r="M16" s="2017"/>
      <c r="N16" s="2017"/>
      <c r="O16" s="2017"/>
      <c r="P16" s="2259"/>
      <c r="Q16" s="2243"/>
      <c r="R16" s="617"/>
      <c r="S16" s="617"/>
      <c r="T16" s="863">
        <f t="shared" ref="T16:T53" si="82">$E16-Q16-R16-S16</f>
        <v>0</v>
      </c>
      <c r="U16" s="2243"/>
      <c r="V16" s="617"/>
      <c r="W16" s="617"/>
      <c r="X16" s="620">
        <f>$F16-U16-V16-W16</f>
        <v>0</v>
      </c>
      <c r="Y16" s="2243"/>
      <c r="Z16" s="617"/>
      <c r="AA16" s="617"/>
      <c r="AB16" s="620">
        <f t="shared" ref="AB16" si="83">$G16-Y16-Z16-AA16</f>
        <v>0</v>
      </c>
      <c r="AC16" s="2243"/>
      <c r="AD16" s="617">
        <f>ROUND(H16,-2)</f>
        <v>0</v>
      </c>
      <c r="AE16" s="617"/>
      <c r="AF16" s="620">
        <f t="shared" si="71"/>
        <v>0</v>
      </c>
      <c r="AG16" s="619"/>
      <c r="AH16" s="617">
        <f>ROUND(I16/2,-2)</f>
        <v>0</v>
      </c>
      <c r="AI16" s="619"/>
      <c r="AJ16" s="1927">
        <f t="shared" si="72"/>
        <v>0</v>
      </c>
      <c r="AK16" s="619"/>
      <c r="AL16" s="617">
        <f>ROUND(J16,-2)</f>
        <v>0</v>
      </c>
      <c r="AM16" s="619"/>
      <c r="AN16" s="620">
        <f t="shared" si="73"/>
        <v>0</v>
      </c>
      <c r="AO16" s="2243"/>
      <c r="AP16" s="617">
        <f>ROUND(K16,-2)</f>
        <v>1077000</v>
      </c>
      <c r="AQ16" s="619"/>
      <c r="AR16" s="620">
        <f t="shared" si="74"/>
        <v>0</v>
      </c>
      <c r="AS16" s="2243"/>
      <c r="AT16" s="617">
        <f>ROUND(L16,-2)</f>
        <v>0</v>
      </c>
      <c r="AU16" s="619"/>
      <c r="AV16" s="620">
        <f t="shared" si="75"/>
        <v>0</v>
      </c>
      <c r="AW16" s="2243"/>
      <c r="AX16" s="617">
        <f>ROUND(M16,-2)</f>
        <v>0</v>
      </c>
      <c r="AY16" s="619"/>
      <c r="AZ16" s="620">
        <f t="shared" si="76"/>
        <v>0</v>
      </c>
      <c r="BA16" s="2243"/>
      <c r="BB16" s="617">
        <f>ROUND(N16,-2)</f>
        <v>0</v>
      </c>
      <c r="BC16" s="619"/>
      <c r="BD16" s="620">
        <f t="shared" ref="BD16" si="84">$N16-BA16-BB16-BC16</f>
        <v>0</v>
      </c>
      <c r="BE16" s="2243"/>
      <c r="BF16" s="617"/>
      <c r="BG16" s="619"/>
      <c r="BH16" s="620">
        <f t="shared" si="77"/>
        <v>0</v>
      </c>
      <c r="BI16" s="2243"/>
      <c r="BJ16" s="617"/>
      <c r="BK16" s="619"/>
      <c r="BL16" s="1927">
        <f t="shared" si="78"/>
        <v>0</v>
      </c>
      <c r="BM16" s="2261"/>
      <c r="BN16" s="1263">
        <v>0</v>
      </c>
      <c r="BO16" s="1263">
        <f t="shared" ref="BO16:BY17" si="85">BN16</f>
        <v>0</v>
      </c>
      <c r="BP16" s="1263">
        <f t="shared" si="85"/>
        <v>0</v>
      </c>
      <c r="BQ16" s="1263">
        <f t="shared" si="85"/>
        <v>0</v>
      </c>
      <c r="BR16" s="1263">
        <f t="shared" si="85"/>
        <v>0</v>
      </c>
      <c r="BS16" s="1263">
        <f t="shared" si="85"/>
        <v>0</v>
      </c>
      <c r="BT16" s="1263">
        <f t="shared" si="85"/>
        <v>0</v>
      </c>
      <c r="BU16" s="1263">
        <f t="shared" si="85"/>
        <v>0</v>
      </c>
      <c r="BV16" s="1263">
        <f t="shared" si="85"/>
        <v>0</v>
      </c>
      <c r="BW16" s="1263">
        <f t="shared" si="85"/>
        <v>0</v>
      </c>
      <c r="BX16" s="1263">
        <f t="shared" si="85"/>
        <v>0</v>
      </c>
      <c r="BY16" s="1263">
        <f t="shared" si="85"/>
        <v>0</v>
      </c>
      <c r="BZ16" s="1263"/>
      <c r="CA16" s="99">
        <f t="shared" si="80"/>
        <v>0</v>
      </c>
      <c r="CB16" s="99">
        <f t="shared" si="80"/>
        <v>0</v>
      </c>
      <c r="CC16" s="99">
        <f t="shared" si="80"/>
        <v>0</v>
      </c>
      <c r="CD16" s="99">
        <f t="shared" si="80"/>
        <v>0</v>
      </c>
      <c r="CE16" s="99">
        <f t="shared" si="80"/>
        <v>0</v>
      </c>
      <c r="CF16" s="99">
        <f t="shared" si="80"/>
        <v>0</v>
      </c>
      <c r="CG16" s="99">
        <f t="shared" si="80"/>
        <v>0</v>
      </c>
      <c r="CH16" s="99">
        <f t="shared" si="80"/>
        <v>0</v>
      </c>
      <c r="CI16" s="99">
        <f t="shared" si="80"/>
        <v>0</v>
      </c>
      <c r="CJ16" s="99">
        <f t="shared" si="80"/>
        <v>0</v>
      </c>
      <c r="CK16" s="99">
        <f t="shared" si="80"/>
        <v>0</v>
      </c>
      <c r="CL16" s="99">
        <f t="shared" si="80"/>
        <v>0</v>
      </c>
      <c r="CM16" s="2261"/>
      <c r="CN16" s="2261"/>
      <c r="CO16" s="2261"/>
      <c r="CP16" s="2261"/>
      <c r="CQ16" s="2261"/>
      <c r="CR16" s="2261"/>
    </row>
    <row r="17" spans="1:96" s="355" customFormat="1" x14ac:dyDescent="0.2">
      <c r="A17" s="958" t="s">
        <v>5034</v>
      </c>
      <c r="B17" s="1132" t="s">
        <v>5114</v>
      </c>
      <c r="C17" s="1132" t="s">
        <v>5115</v>
      </c>
      <c r="D17" s="1132" t="s">
        <v>5115</v>
      </c>
      <c r="E17" s="2017">
        <v>400</v>
      </c>
      <c r="F17" s="2009">
        <v>500000</v>
      </c>
      <c r="G17" s="2017"/>
      <c r="H17" s="2017"/>
      <c r="I17" s="2009"/>
      <c r="J17" s="2009"/>
      <c r="K17" s="2009"/>
      <c r="L17" s="2009"/>
      <c r="M17" s="2017"/>
      <c r="N17" s="2017"/>
      <c r="O17" s="2017"/>
      <c r="P17" s="2259"/>
      <c r="Q17" s="2243"/>
      <c r="R17" s="617">
        <f>E17</f>
        <v>400</v>
      </c>
      <c r="S17" s="617"/>
      <c r="T17" s="863">
        <f>$E17-Q17-R17-S17</f>
        <v>0</v>
      </c>
      <c r="U17" s="2243"/>
      <c r="V17" s="617"/>
      <c r="W17" s="619"/>
      <c r="X17" s="620">
        <f>$F17-U17-V17-W17</f>
        <v>500000</v>
      </c>
      <c r="Y17" s="2243"/>
      <c r="Z17" s="617"/>
      <c r="AA17" s="619"/>
      <c r="AB17" s="620">
        <f>$G17-Y17-Z17-AA17</f>
        <v>0</v>
      </c>
      <c r="AC17" s="2243"/>
      <c r="AD17" s="617"/>
      <c r="AE17" s="617"/>
      <c r="AF17" s="620">
        <f>$H17-AC17-AD17-AE17</f>
        <v>0</v>
      </c>
      <c r="AG17" s="619"/>
      <c r="AH17" s="617">
        <f>ROUND(I17,-2)</f>
        <v>0</v>
      </c>
      <c r="AI17" s="619"/>
      <c r="AJ17" s="1927">
        <f>$I17-AG17-AH17-AI17</f>
        <v>0</v>
      </c>
      <c r="AK17" s="619"/>
      <c r="AL17" s="617">
        <v>0</v>
      </c>
      <c r="AM17" s="619"/>
      <c r="AN17" s="620">
        <f>$J17-AK17-AL17-AM17</f>
        <v>0</v>
      </c>
      <c r="AO17" s="2243"/>
      <c r="AP17" s="617">
        <f>ROUND(K17,-2)</f>
        <v>0</v>
      </c>
      <c r="AQ17" s="619"/>
      <c r="AR17" s="620">
        <f>$K17-AO17-AP17-AQ17</f>
        <v>0</v>
      </c>
      <c r="AS17" s="2243"/>
      <c r="AT17" s="617">
        <f>ROUND(L17,-2)</f>
        <v>0</v>
      </c>
      <c r="AU17" s="619"/>
      <c r="AV17" s="620">
        <f>$L17-AS17-AT17-AU17</f>
        <v>0</v>
      </c>
      <c r="AW17" s="2243"/>
      <c r="AX17" s="617">
        <f>ROUND(M17,-2)</f>
        <v>0</v>
      </c>
      <c r="AY17" s="619"/>
      <c r="AZ17" s="620">
        <f>$M17-AW17-AX17-AY17</f>
        <v>0</v>
      </c>
      <c r="BA17" s="2243"/>
      <c r="BB17" s="617">
        <f>ROUND(N17,-2)</f>
        <v>0</v>
      </c>
      <c r="BC17" s="619"/>
      <c r="BD17" s="620">
        <f>$N17-BA17-BB17-BC17</f>
        <v>0</v>
      </c>
      <c r="BE17" s="2243"/>
      <c r="BF17" s="617"/>
      <c r="BG17" s="619"/>
      <c r="BH17" s="620">
        <f t="shared" si="77"/>
        <v>0</v>
      </c>
      <c r="BI17" s="2243"/>
      <c r="BJ17" s="617"/>
      <c r="BK17" s="619"/>
      <c r="BL17" s="1927">
        <f t="shared" si="78"/>
        <v>0</v>
      </c>
      <c r="BM17" s="2261"/>
      <c r="BN17" s="1263">
        <v>1</v>
      </c>
      <c r="BO17" s="1263">
        <f t="shared" si="85"/>
        <v>1</v>
      </c>
      <c r="BP17" s="1263">
        <f t="shared" si="85"/>
        <v>1</v>
      </c>
      <c r="BQ17" s="1263">
        <f t="shared" si="85"/>
        <v>1</v>
      </c>
      <c r="BR17" s="1263">
        <f t="shared" si="85"/>
        <v>1</v>
      </c>
      <c r="BS17" s="1263">
        <f t="shared" si="85"/>
        <v>1</v>
      </c>
      <c r="BT17" s="1263">
        <f t="shared" si="85"/>
        <v>1</v>
      </c>
      <c r="BU17" s="1263">
        <f t="shared" si="85"/>
        <v>1</v>
      </c>
      <c r="BV17" s="1263">
        <f t="shared" si="85"/>
        <v>1</v>
      </c>
      <c r="BW17" s="1263">
        <f t="shared" si="85"/>
        <v>1</v>
      </c>
      <c r="BX17" s="1263">
        <f t="shared" si="85"/>
        <v>1</v>
      </c>
      <c r="BY17" s="1263">
        <f t="shared" si="85"/>
        <v>1</v>
      </c>
      <c r="BZ17" s="1263"/>
      <c r="CA17" s="99">
        <f t="shared" si="80"/>
        <v>0</v>
      </c>
      <c r="CB17" s="99">
        <f t="shared" si="80"/>
        <v>500000</v>
      </c>
      <c r="CC17" s="99">
        <f t="shared" si="80"/>
        <v>0</v>
      </c>
      <c r="CD17" s="99">
        <f t="shared" si="80"/>
        <v>0</v>
      </c>
      <c r="CE17" s="99">
        <f t="shared" si="80"/>
        <v>0</v>
      </c>
      <c r="CF17" s="99">
        <f t="shared" si="80"/>
        <v>0</v>
      </c>
      <c r="CG17" s="99">
        <f t="shared" si="80"/>
        <v>0</v>
      </c>
      <c r="CH17" s="99">
        <f t="shared" si="80"/>
        <v>0</v>
      </c>
      <c r="CI17" s="99">
        <f t="shared" si="80"/>
        <v>0</v>
      </c>
      <c r="CJ17" s="99">
        <f t="shared" si="80"/>
        <v>0</v>
      </c>
      <c r="CK17" s="99">
        <f t="shared" si="80"/>
        <v>0</v>
      </c>
      <c r="CL17" s="99">
        <f t="shared" si="80"/>
        <v>0</v>
      </c>
      <c r="CM17" s="2261"/>
      <c r="CN17" s="2261"/>
      <c r="CO17" s="2261"/>
      <c r="CP17" s="2261"/>
      <c r="CQ17" s="2261"/>
      <c r="CR17" s="2261"/>
    </row>
    <row r="18" spans="1:96" s="355" customFormat="1" x14ac:dyDescent="0.2">
      <c r="A18" s="958" t="s">
        <v>5636</v>
      </c>
      <c r="B18" s="1132" t="s">
        <v>5116</v>
      </c>
      <c r="C18" s="1132" t="s">
        <v>5117</v>
      </c>
      <c r="D18" s="1132" t="s">
        <v>5117</v>
      </c>
      <c r="E18" s="2017">
        <v>300</v>
      </c>
      <c r="F18" s="2009">
        <v>19000</v>
      </c>
      <c r="G18" s="2017"/>
      <c r="H18" s="2017"/>
      <c r="I18" s="2009"/>
      <c r="J18" s="2009"/>
      <c r="K18" s="2009"/>
      <c r="L18" s="2009"/>
      <c r="M18" s="2017"/>
      <c r="N18" s="2017"/>
      <c r="O18" s="2017"/>
      <c r="P18" s="2259"/>
      <c r="Q18" s="2243"/>
      <c r="R18" s="617">
        <f>E18</f>
        <v>300</v>
      </c>
      <c r="S18" s="617"/>
      <c r="T18" s="863">
        <f t="shared" ref="T18" si="86">$E18-Q18-R18-S18</f>
        <v>0</v>
      </c>
      <c r="U18" s="2243"/>
      <c r="V18" s="617"/>
      <c r="W18" s="617"/>
      <c r="X18" s="620">
        <f>$F18-U18-V18-W18</f>
        <v>19000</v>
      </c>
      <c r="Y18" s="2243"/>
      <c r="Z18" s="617"/>
      <c r="AA18" s="617"/>
      <c r="AB18" s="620">
        <f t="shared" ref="AB18" si="87">$G18-Y18-Z18-AA18</f>
        <v>0</v>
      </c>
      <c r="AC18" s="2243"/>
      <c r="AD18" s="617">
        <f>ROUND(H18,-2)</f>
        <v>0</v>
      </c>
      <c r="AE18" s="617"/>
      <c r="AF18" s="620">
        <f t="shared" ref="AF18" si="88">$H18-AC18-AD18-AE18</f>
        <v>0</v>
      </c>
      <c r="AG18" s="619"/>
      <c r="AH18" s="617">
        <f>ROUND(I18/2,-2)</f>
        <v>0</v>
      </c>
      <c r="AI18" s="619"/>
      <c r="AJ18" s="1927">
        <f t="shared" ref="AJ18" si="89">$I18-AG18-AH18-AI18</f>
        <v>0</v>
      </c>
      <c r="AK18" s="619"/>
      <c r="AL18" s="617">
        <f>ROUND(J18,-2)</f>
        <v>0</v>
      </c>
      <c r="AM18" s="619"/>
      <c r="AN18" s="620">
        <f t="shared" ref="AN18" si="90">$J18-AK18-AL18-AM18</f>
        <v>0</v>
      </c>
      <c r="AO18" s="2243"/>
      <c r="AP18" s="617">
        <f>ROUND(K18,-2)</f>
        <v>0</v>
      </c>
      <c r="AQ18" s="619"/>
      <c r="AR18" s="620">
        <f t="shared" ref="AR18" si="91">$K18-AO18-AP18-AQ18</f>
        <v>0</v>
      </c>
      <c r="AS18" s="2243"/>
      <c r="AT18" s="617">
        <f>ROUND(L18,-2)</f>
        <v>0</v>
      </c>
      <c r="AU18" s="619"/>
      <c r="AV18" s="620">
        <f t="shared" ref="AV18" si="92">$L18-AS18-AT18-AU18</f>
        <v>0</v>
      </c>
      <c r="AW18" s="2243"/>
      <c r="AX18" s="617">
        <f>ROUND(M18,-2)</f>
        <v>0</v>
      </c>
      <c r="AY18" s="619"/>
      <c r="AZ18" s="620">
        <f t="shared" ref="AZ18" si="93">$M18-AW18-AX18-AY18</f>
        <v>0</v>
      </c>
      <c r="BA18" s="2243"/>
      <c r="BB18" s="617">
        <f>ROUND(N18,-2)</f>
        <v>0</v>
      </c>
      <c r="BC18" s="619"/>
      <c r="BD18" s="620">
        <f t="shared" ref="BD18" si="94">$N18-BA18-BB18-BC18</f>
        <v>0</v>
      </c>
      <c r="BE18" s="2243"/>
      <c r="BF18" s="617"/>
      <c r="BG18" s="619"/>
      <c r="BH18" s="620">
        <f t="shared" si="77"/>
        <v>0</v>
      </c>
      <c r="BI18" s="2243"/>
      <c r="BJ18" s="617"/>
      <c r="BK18" s="619"/>
      <c r="BL18" s="1927">
        <f t="shared" si="78"/>
        <v>0</v>
      </c>
      <c r="BM18" s="2261"/>
      <c r="BN18" s="1263">
        <v>1</v>
      </c>
      <c r="BO18" s="1263">
        <f t="shared" ref="BO18" si="95">BN18</f>
        <v>1</v>
      </c>
      <c r="BP18" s="1263">
        <f t="shared" ref="BP18" si="96">BO18</f>
        <v>1</v>
      </c>
      <c r="BQ18" s="1263">
        <f t="shared" ref="BQ18" si="97">BP18</f>
        <v>1</v>
      </c>
      <c r="BR18" s="1263">
        <f t="shared" ref="BR18" si="98">BQ18</f>
        <v>1</v>
      </c>
      <c r="BS18" s="1263">
        <f t="shared" ref="BS18" si="99">BR18</f>
        <v>1</v>
      </c>
      <c r="BT18" s="1263">
        <f t="shared" ref="BT18" si="100">BS18</f>
        <v>1</v>
      </c>
      <c r="BU18" s="1263">
        <f t="shared" ref="BU18" si="101">BT18</f>
        <v>1</v>
      </c>
      <c r="BV18" s="1263">
        <f t="shared" ref="BV18" si="102">BU18</f>
        <v>1</v>
      </c>
      <c r="BW18" s="1263">
        <f t="shared" ref="BW18:BY18" si="103">BV18</f>
        <v>1</v>
      </c>
      <c r="BX18" s="1263">
        <f t="shared" si="103"/>
        <v>1</v>
      </c>
      <c r="BY18" s="1263">
        <f t="shared" si="103"/>
        <v>1</v>
      </c>
      <c r="BZ18" s="1263"/>
      <c r="CA18" s="99">
        <f t="shared" si="80"/>
        <v>0</v>
      </c>
      <c r="CB18" s="99">
        <f t="shared" si="80"/>
        <v>19000</v>
      </c>
      <c r="CC18" s="99">
        <f t="shared" si="80"/>
        <v>0</v>
      </c>
      <c r="CD18" s="99">
        <f t="shared" si="80"/>
        <v>0</v>
      </c>
      <c r="CE18" s="99">
        <f t="shared" si="80"/>
        <v>0</v>
      </c>
      <c r="CF18" s="99">
        <f t="shared" si="80"/>
        <v>0</v>
      </c>
      <c r="CG18" s="99">
        <f t="shared" si="80"/>
        <v>0</v>
      </c>
      <c r="CH18" s="99">
        <f t="shared" si="80"/>
        <v>0</v>
      </c>
      <c r="CI18" s="99">
        <f t="shared" si="80"/>
        <v>0</v>
      </c>
      <c r="CJ18" s="99">
        <f t="shared" si="80"/>
        <v>0</v>
      </c>
      <c r="CK18" s="99">
        <f t="shared" si="80"/>
        <v>0</v>
      </c>
      <c r="CL18" s="99">
        <f t="shared" si="80"/>
        <v>0</v>
      </c>
      <c r="CM18" s="2261"/>
      <c r="CN18" s="2261"/>
      <c r="CO18" s="2261"/>
      <c r="CP18" s="2261"/>
      <c r="CQ18" s="2261"/>
      <c r="CR18" s="2261"/>
    </row>
    <row r="19" spans="1:96" s="355" customFormat="1" x14ac:dyDescent="0.2">
      <c r="A19" s="958"/>
      <c r="B19" s="528"/>
      <c r="C19" s="528"/>
      <c r="D19" s="528"/>
      <c r="E19" s="2017"/>
      <c r="F19" s="2017"/>
      <c r="G19" s="2017"/>
      <c r="H19" s="2017"/>
      <c r="I19" s="2017"/>
      <c r="J19" s="2017"/>
      <c r="K19" s="2009"/>
      <c r="L19" s="2009"/>
      <c r="M19" s="2017"/>
      <c r="N19" s="2017"/>
      <c r="O19" s="2017"/>
      <c r="P19" s="2010"/>
      <c r="Q19" s="2243"/>
      <c r="R19" s="617"/>
      <c r="S19" s="617"/>
      <c r="T19" s="863"/>
      <c r="U19" s="2243"/>
      <c r="V19" s="617"/>
      <c r="W19" s="619"/>
      <c r="X19" s="620"/>
      <c r="Y19" s="2243"/>
      <c r="Z19" s="617"/>
      <c r="AA19" s="619"/>
      <c r="AB19" s="620"/>
      <c r="AC19" s="2243"/>
      <c r="AD19" s="617"/>
      <c r="AE19" s="617"/>
      <c r="AF19" s="620"/>
      <c r="AG19" s="619"/>
      <c r="AH19" s="617"/>
      <c r="AI19" s="619"/>
      <c r="AJ19" s="1927"/>
      <c r="AK19" s="619"/>
      <c r="AL19" s="617"/>
      <c r="AM19" s="619"/>
      <c r="AN19" s="620"/>
      <c r="AO19" s="2243"/>
      <c r="AP19" s="617"/>
      <c r="AQ19" s="619"/>
      <c r="AR19" s="620"/>
      <c r="AS19" s="2243"/>
      <c r="AT19" s="617"/>
      <c r="AU19" s="619"/>
      <c r="AV19" s="620"/>
      <c r="AW19" s="2243"/>
      <c r="AX19" s="617"/>
      <c r="AY19" s="619"/>
      <c r="AZ19" s="620"/>
      <c r="BA19" s="2243"/>
      <c r="BB19" s="617"/>
      <c r="BC19" s="619"/>
      <c r="BD19" s="620"/>
      <c r="BE19" s="2243"/>
      <c r="BF19" s="617"/>
      <c r="BG19" s="619"/>
      <c r="BH19" s="620"/>
      <c r="BI19" s="2243"/>
      <c r="BJ19" s="617"/>
      <c r="BK19" s="619"/>
      <c r="BL19" s="1927"/>
      <c r="BM19" s="2261"/>
      <c r="BN19" s="1263"/>
      <c r="BO19" s="1263"/>
      <c r="BP19" s="1263"/>
      <c r="BQ19" s="1263"/>
      <c r="BR19" s="1263"/>
      <c r="BS19" s="1263"/>
      <c r="BT19" s="1263"/>
      <c r="BU19" s="1263"/>
      <c r="BV19" s="1263"/>
      <c r="BW19" s="1263"/>
      <c r="BX19" s="1263"/>
      <c r="BY19" s="1263"/>
      <c r="BZ19" s="1263"/>
      <c r="CA19" s="99"/>
      <c r="CB19" s="99"/>
      <c r="CC19" s="99"/>
      <c r="CD19" s="99"/>
      <c r="CE19" s="99"/>
      <c r="CF19" s="99"/>
      <c r="CG19" s="99"/>
      <c r="CH19" s="99"/>
      <c r="CI19" s="99"/>
      <c r="CJ19" s="99"/>
      <c r="CK19" s="99"/>
      <c r="CL19" s="99"/>
      <c r="CM19" s="2261"/>
      <c r="CN19" s="2261"/>
      <c r="CO19" s="2261"/>
      <c r="CP19" s="2261"/>
      <c r="CQ19" s="2261"/>
      <c r="CR19" s="2261"/>
    </row>
    <row r="20" spans="1:96" s="355" customFormat="1" x14ac:dyDescent="0.2">
      <c r="A20" s="1104" t="s">
        <v>685</v>
      </c>
      <c r="B20" s="528"/>
      <c r="C20" s="528"/>
      <c r="D20" s="528"/>
      <c r="E20" s="2017"/>
      <c r="F20" s="2017"/>
      <c r="G20" s="2017"/>
      <c r="H20" s="2017"/>
      <c r="I20" s="2017"/>
      <c r="J20" s="2017"/>
      <c r="K20" s="2009"/>
      <c r="L20" s="2009"/>
      <c r="M20" s="2017"/>
      <c r="N20" s="2017"/>
      <c r="O20" s="2017"/>
      <c r="P20" s="2010"/>
      <c r="Q20" s="2243"/>
      <c r="R20" s="617"/>
      <c r="S20" s="617"/>
      <c r="T20" s="863"/>
      <c r="U20" s="2243"/>
      <c r="V20" s="617"/>
      <c r="W20" s="619"/>
      <c r="X20" s="620"/>
      <c r="Y20" s="2243"/>
      <c r="Z20" s="617"/>
      <c r="AA20" s="619"/>
      <c r="AB20" s="620"/>
      <c r="AC20" s="2243"/>
      <c r="AD20" s="617"/>
      <c r="AE20" s="617"/>
      <c r="AF20" s="620"/>
      <c r="AG20" s="619"/>
      <c r="AH20" s="617"/>
      <c r="AI20" s="619"/>
      <c r="AJ20" s="1927"/>
      <c r="AK20" s="619"/>
      <c r="AL20" s="617"/>
      <c r="AM20" s="619"/>
      <c r="AN20" s="620"/>
      <c r="AO20" s="2243"/>
      <c r="AP20" s="617"/>
      <c r="AQ20" s="619"/>
      <c r="AR20" s="620"/>
      <c r="AS20" s="2243"/>
      <c r="AT20" s="617"/>
      <c r="AU20" s="619"/>
      <c r="AV20" s="620"/>
      <c r="AW20" s="2243"/>
      <c r="AX20" s="617"/>
      <c r="AY20" s="619"/>
      <c r="AZ20" s="620"/>
      <c r="BA20" s="2243"/>
      <c r="BB20" s="617"/>
      <c r="BC20" s="619"/>
      <c r="BD20" s="620"/>
      <c r="BE20" s="2243"/>
      <c r="BF20" s="617"/>
      <c r="BG20" s="619"/>
      <c r="BH20" s="620"/>
      <c r="BI20" s="2243"/>
      <c r="BJ20" s="617"/>
      <c r="BK20" s="619"/>
      <c r="BL20" s="1927"/>
      <c r="BM20" s="2261"/>
      <c r="BN20" s="1263"/>
      <c r="BO20" s="1263"/>
      <c r="BP20" s="1263"/>
      <c r="BQ20" s="1263"/>
      <c r="BR20" s="1263"/>
      <c r="BS20" s="1263"/>
      <c r="BT20" s="1263"/>
      <c r="BU20" s="1263"/>
      <c r="BV20" s="1263"/>
      <c r="BW20" s="1263"/>
      <c r="BX20" s="1263"/>
      <c r="BY20" s="1263"/>
      <c r="BZ20" s="1263"/>
      <c r="CA20" s="99"/>
      <c r="CB20" s="99"/>
      <c r="CC20" s="99"/>
      <c r="CD20" s="99"/>
      <c r="CE20" s="99"/>
      <c r="CF20" s="99"/>
      <c r="CG20" s="99"/>
      <c r="CH20" s="99"/>
      <c r="CI20" s="99"/>
      <c r="CJ20" s="99"/>
      <c r="CK20" s="99"/>
      <c r="CL20" s="99"/>
      <c r="CM20" s="2261"/>
      <c r="CN20" s="2261"/>
      <c r="CO20" s="2261"/>
      <c r="CP20" s="2261"/>
      <c r="CQ20" s="2261"/>
      <c r="CR20" s="2261"/>
    </row>
    <row r="21" spans="1:96" s="355" customFormat="1" x14ac:dyDescent="0.2">
      <c r="A21" s="958" t="s">
        <v>3475</v>
      </c>
      <c r="B21" s="1132" t="s">
        <v>5080</v>
      </c>
      <c r="C21" s="1132" t="s">
        <v>5118</v>
      </c>
      <c r="D21" s="1132" t="s">
        <v>5118</v>
      </c>
      <c r="E21" s="2017">
        <v>500</v>
      </c>
      <c r="F21" s="2017">
        <v>6000</v>
      </c>
      <c r="G21" s="2017">
        <v>7000</v>
      </c>
      <c r="H21" s="2017">
        <v>9000</v>
      </c>
      <c r="I21" s="2017">
        <v>10000</v>
      </c>
      <c r="J21" s="2017">
        <v>12000</v>
      </c>
      <c r="K21" s="2017">
        <v>13000</v>
      </c>
      <c r="L21" s="2017">
        <v>15000</v>
      </c>
      <c r="M21" s="2017">
        <v>16000</v>
      </c>
      <c r="N21" s="2017">
        <v>18000</v>
      </c>
      <c r="O21" s="2017">
        <f>ROUND((N21*Assumptions!P$6+N21),-3)</f>
        <v>18000</v>
      </c>
      <c r="P21" s="2009">
        <f>ROUND((O21*Assumptions!Q$6+O21),-3)</f>
        <v>18000</v>
      </c>
      <c r="Q21" s="2244"/>
      <c r="R21" s="617">
        <f>E21</f>
        <v>500</v>
      </c>
      <c r="S21" s="2017"/>
      <c r="T21" s="2245">
        <f>$E21-Q21-R21-S21</f>
        <v>0</v>
      </c>
      <c r="U21" s="2244"/>
      <c r="V21" s="2017"/>
      <c r="W21" s="2009"/>
      <c r="X21" s="2259">
        <f>$F21-U21-V21-W21</f>
        <v>6000</v>
      </c>
      <c r="Y21" s="2244"/>
      <c r="Z21" s="2017"/>
      <c r="AA21" s="2009"/>
      <c r="AB21" s="2259">
        <f>$G21-Y21-Z21-AA21</f>
        <v>7000</v>
      </c>
      <c r="AC21" s="2244"/>
      <c r="AD21" s="2017"/>
      <c r="AE21" s="2017"/>
      <c r="AF21" s="2259">
        <f>$H21-AC21-AD21-AE21</f>
        <v>9000</v>
      </c>
      <c r="AG21" s="2009"/>
      <c r="AH21" s="2017"/>
      <c r="AI21" s="2009"/>
      <c r="AJ21" s="2262">
        <f>$I21-AG21-AH21-AI21</f>
        <v>10000</v>
      </c>
      <c r="AK21" s="2009"/>
      <c r="AL21" s="2017"/>
      <c r="AM21" s="2009"/>
      <c r="AN21" s="2259">
        <f>$J21-AK21-AL21-AM21</f>
        <v>12000</v>
      </c>
      <c r="AO21" s="2244"/>
      <c r="AP21" s="2017"/>
      <c r="AQ21" s="2009"/>
      <c r="AR21" s="2259">
        <f>$K21-AO21-AP21-AQ21</f>
        <v>13000</v>
      </c>
      <c r="AS21" s="2244"/>
      <c r="AT21" s="2017"/>
      <c r="AU21" s="2009"/>
      <c r="AV21" s="2259">
        <f>$L21-AS21-AT21-AU21</f>
        <v>15000</v>
      </c>
      <c r="AW21" s="2244"/>
      <c r="AX21" s="2017"/>
      <c r="AY21" s="2009"/>
      <c r="AZ21" s="2259">
        <f>$M21-AW21-AX21-AY21</f>
        <v>16000</v>
      </c>
      <c r="BA21" s="2244"/>
      <c r="BB21" s="2017"/>
      <c r="BC21" s="2009"/>
      <c r="BD21" s="2259">
        <f>$N21-BA21-BB21-BC21</f>
        <v>18000</v>
      </c>
      <c r="BE21" s="2244"/>
      <c r="BF21" s="2017"/>
      <c r="BG21" s="2009"/>
      <c r="BH21" s="620">
        <f t="shared" ref="BH21:BH22" si="104">$O21-BE21-BF21-BG21</f>
        <v>18000</v>
      </c>
      <c r="BI21" s="2244"/>
      <c r="BJ21" s="2017"/>
      <c r="BK21" s="2009"/>
      <c r="BL21" s="1927">
        <f t="shared" ref="BL21:BL22" si="105">$P21-BI21-BJ21-BK21</f>
        <v>18000</v>
      </c>
      <c r="BM21" s="2261"/>
      <c r="BN21" s="1263">
        <v>0</v>
      </c>
      <c r="BO21" s="1263">
        <f t="shared" ref="BO21" si="106">BN21</f>
        <v>0</v>
      </c>
      <c r="BP21" s="1263">
        <f t="shared" ref="BP21" si="107">BO21</f>
        <v>0</v>
      </c>
      <c r="BQ21" s="1263">
        <f t="shared" ref="BQ21" si="108">BP21</f>
        <v>0</v>
      </c>
      <c r="BR21" s="1263">
        <f t="shared" ref="BR21" si="109">BQ21</f>
        <v>0</v>
      </c>
      <c r="BS21" s="1263">
        <f t="shared" ref="BS21" si="110">BR21</f>
        <v>0</v>
      </c>
      <c r="BT21" s="1263">
        <f t="shared" ref="BT21" si="111">BS21</f>
        <v>0</v>
      </c>
      <c r="BU21" s="1263">
        <f t="shared" ref="BU21" si="112">BT21</f>
        <v>0</v>
      </c>
      <c r="BV21" s="1263">
        <f t="shared" ref="BV21:BY21" si="113">BU21</f>
        <v>0</v>
      </c>
      <c r="BW21" s="1263">
        <f t="shared" si="113"/>
        <v>0</v>
      </c>
      <c r="BX21" s="1263">
        <f t="shared" si="113"/>
        <v>0</v>
      </c>
      <c r="BY21" s="1263">
        <f t="shared" si="113"/>
        <v>0</v>
      </c>
      <c r="BZ21" s="1263"/>
      <c r="CA21" s="99">
        <f t="shared" ref="CA21:CL21" si="114">ROUND(BN21*E21,-3)</f>
        <v>0</v>
      </c>
      <c r="CB21" s="99">
        <f t="shared" si="114"/>
        <v>0</v>
      </c>
      <c r="CC21" s="99">
        <f t="shared" si="114"/>
        <v>0</v>
      </c>
      <c r="CD21" s="99">
        <f t="shared" si="114"/>
        <v>0</v>
      </c>
      <c r="CE21" s="99">
        <f t="shared" si="114"/>
        <v>0</v>
      </c>
      <c r="CF21" s="99">
        <f t="shared" si="114"/>
        <v>0</v>
      </c>
      <c r="CG21" s="99">
        <f t="shared" si="114"/>
        <v>0</v>
      </c>
      <c r="CH21" s="99">
        <f t="shared" si="114"/>
        <v>0</v>
      </c>
      <c r="CI21" s="99">
        <f t="shared" si="114"/>
        <v>0</v>
      </c>
      <c r="CJ21" s="99">
        <f t="shared" si="114"/>
        <v>0</v>
      </c>
      <c r="CK21" s="99">
        <f t="shared" si="114"/>
        <v>0</v>
      </c>
      <c r="CL21" s="99">
        <f t="shared" si="114"/>
        <v>0</v>
      </c>
      <c r="CM21" s="2261"/>
      <c r="CN21" s="2261"/>
      <c r="CO21" s="2261"/>
      <c r="CP21" s="2261"/>
      <c r="CQ21" s="2261"/>
      <c r="CR21" s="2261"/>
    </row>
    <row r="22" spans="1:96" s="355" customFormat="1" x14ac:dyDescent="0.2">
      <c r="A22" s="958" t="s">
        <v>6092</v>
      </c>
      <c r="B22" s="1132" t="s">
        <v>6476</v>
      </c>
      <c r="C22" s="1132" t="s">
        <v>6477</v>
      </c>
      <c r="D22" s="1132" t="s">
        <v>6477</v>
      </c>
      <c r="E22" s="2017"/>
      <c r="F22" s="2009">
        <v>100000</v>
      </c>
      <c r="G22" s="2017">
        <v>50000</v>
      </c>
      <c r="H22" s="2017"/>
      <c r="I22" s="2009"/>
      <c r="J22" s="2009"/>
      <c r="K22" s="2009"/>
      <c r="L22" s="2009"/>
      <c r="M22" s="2017"/>
      <c r="N22" s="2017"/>
      <c r="O22" s="2017"/>
      <c r="P22" s="2010"/>
      <c r="Q22" s="2244"/>
      <c r="R22" s="2017"/>
      <c r="S22" s="2017"/>
      <c r="T22" s="2245"/>
      <c r="U22" s="2244"/>
      <c r="V22" s="2017"/>
      <c r="W22" s="2009"/>
      <c r="X22" s="2259">
        <f>$F22-U22-V22-W22</f>
        <v>100000</v>
      </c>
      <c r="Y22" s="2244"/>
      <c r="Z22" s="2017"/>
      <c r="AA22" s="2009"/>
      <c r="AB22" s="2259">
        <f>$G22-Y22-Z22-AA22</f>
        <v>50000</v>
      </c>
      <c r="AC22" s="2244"/>
      <c r="AD22" s="2017"/>
      <c r="AE22" s="2017"/>
      <c r="AF22" s="2259">
        <f>$H22-AC22-AD22-AE22</f>
        <v>0</v>
      </c>
      <c r="AG22" s="2009"/>
      <c r="AH22" s="2017"/>
      <c r="AI22" s="2009"/>
      <c r="AJ22" s="2262">
        <f>$I22-AG22-AH22-AI22</f>
        <v>0</v>
      </c>
      <c r="AK22" s="2009"/>
      <c r="AL22" s="2017"/>
      <c r="AM22" s="2009"/>
      <c r="AN22" s="2259">
        <f>$J22-AK22-AL22-AM22</f>
        <v>0</v>
      </c>
      <c r="AO22" s="2244"/>
      <c r="AP22" s="2017"/>
      <c r="AQ22" s="2009"/>
      <c r="AR22" s="2259">
        <f>$K22-AO22-AP22-AQ22</f>
        <v>0</v>
      </c>
      <c r="AS22" s="2244"/>
      <c r="AT22" s="2017"/>
      <c r="AU22" s="2009"/>
      <c r="AV22" s="2259">
        <f>$L22-AS22-AT22-AU22</f>
        <v>0</v>
      </c>
      <c r="AW22" s="2244"/>
      <c r="AX22" s="2017"/>
      <c r="AY22" s="2009"/>
      <c r="AZ22" s="2259">
        <f>$M22-AW22-AX22-AY22</f>
        <v>0</v>
      </c>
      <c r="BA22" s="2244"/>
      <c r="BB22" s="2017"/>
      <c r="BC22" s="2009"/>
      <c r="BD22" s="2259">
        <f>$N22-BA22-BB22-BC22</f>
        <v>0</v>
      </c>
      <c r="BE22" s="2244"/>
      <c r="BF22" s="2017"/>
      <c r="BG22" s="2009"/>
      <c r="BH22" s="620">
        <f t="shared" si="104"/>
        <v>0</v>
      </c>
      <c r="BI22" s="2244"/>
      <c r="BJ22" s="2017"/>
      <c r="BK22" s="2009"/>
      <c r="BL22" s="1927">
        <f t="shared" si="105"/>
        <v>0</v>
      </c>
      <c r="BM22" s="2261"/>
      <c r="BN22" s="1263">
        <v>0</v>
      </c>
      <c r="BO22" s="1263">
        <f t="shared" ref="BO22" si="115">BN22</f>
        <v>0</v>
      </c>
      <c r="BP22" s="1263">
        <f t="shared" ref="BP22" si="116">BO22</f>
        <v>0</v>
      </c>
      <c r="BQ22" s="1263">
        <f t="shared" ref="BQ22" si="117">BP22</f>
        <v>0</v>
      </c>
      <c r="BR22" s="1263">
        <f t="shared" ref="BR22" si="118">BQ22</f>
        <v>0</v>
      </c>
      <c r="BS22" s="1263">
        <f t="shared" ref="BS22" si="119">BR22</f>
        <v>0</v>
      </c>
      <c r="BT22" s="1263">
        <f t="shared" ref="BT22" si="120">BS22</f>
        <v>0</v>
      </c>
      <c r="BU22" s="1263">
        <f t="shared" ref="BU22" si="121">BT22</f>
        <v>0</v>
      </c>
      <c r="BV22" s="1263">
        <f t="shared" ref="BV22" si="122">BU22</f>
        <v>0</v>
      </c>
      <c r="BW22" s="1263">
        <f t="shared" ref="BW22" si="123">BV22</f>
        <v>0</v>
      </c>
      <c r="BX22" s="1263">
        <f t="shared" ref="BX22:BY22" si="124">BW22</f>
        <v>0</v>
      </c>
      <c r="BY22" s="1263">
        <f t="shared" si="124"/>
        <v>0</v>
      </c>
      <c r="BZ22" s="1263"/>
      <c r="CA22" s="99"/>
      <c r="CB22" s="99"/>
      <c r="CC22" s="99"/>
      <c r="CD22" s="99"/>
      <c r="CE22" s="99"/>
      <c r="CF22" s="99"/>
      <c r="CG22" s="99"/>
      <c r="CH22" s="99"/>
      <c r="CI22" s="99"/>
      <c r="CJ22" s="99"/>
      <c r="CK22" s="99"/>
      <c r="CL22" s="99"/>
      <c r="CM22" s="2261"/>
      <c r="CN22" s="2261"/>
      <c r="CO22" s="2261"/>
      <c r="CP22" s="2261"/>
      <c r="CQ22" s="2261"/>
      <c r="CR22" s="2261"/>
    </row>
    <row r="23" spans="1:96" s="355" customFormat="1" x14ac:dyDescent="0.2">
      <c r="A23" s="958"/>
      <c r="B23" s="1132"/>
      <c r="C23" s="1132"/>
      <c r="D23" s="1132"/>
      <c r="E23" s="2017"/>
      <c r="F23" s="2009"/>
      <c r="G23" s="2017"/>
      <c r="H23" s="2017"/>
      <c r="I23" s="2009"/>
      <c r="J23" s="2009"/>
      <c r="K23" s="2009"/>
      <c r="L23" s="2009"/>
      <c r="M23" s="2017"/>
      <c r="N23" s="2017"/>
      <c r="O23" s="2017"/>
      <c r="P23" s="2259"/>
      <c r="Q23" s="2244"/>
      <c r="R23" s="2017"/>
      <c r="S23" s="2017"/>
      <c r="T23" s="2245"/>
      <c r="U23" s="2244"/>
      <c r="V23" s="2017"/>
      <c r="W23" s="2009"/>
      <c r="X23" s="2259"/>
      <c r="Y23" s="2244"/>
      <c r="Z23" s="2017"/>
      <c r="AA23" s="2009"/>
      <c r="AB23" s="2259"/>
      <c r="AC23" s="2244"/>
      <c r="AD23" s="2017"/>
      <c r="AE23" s="2017"/>
      <c r="AF23" s="2259"/>
      <c r="AG23" s="2009"/>
      <c r="AH23" s="2017"/>
      <c r="AI23" s="2009"/>
      <c r="AJ23" s="2262"/>
      <c r="AK23" s="2009"/>
      <c r="AL23" s="2017"/>
      <c r="AM23" s="2009"/>
      <c r="AN23" s="2259"/>
      <c r="AO23" s="2244"/>
      <c r="AP23" s="2017"/>
      <c r="AQ23" s="2009"/>
      <c r="AR23" s="2259"/>
      <c r="AS23" s="2244"/>
      <c r="AT23" s="2017"/>
      <c r="AU23" s="2009"/>
      <c r="AV23" s="2259"/>
      <c r="AW23" s="2244"/>
      <c r="AX23" s="2017"/>
      <c r="AY23" s="2009"/>
      <c r="AZ23" s="2259"/>
      <c r="BA23" s="2244"/>
      <c r="BB23" s="2017"/>
      <c r="BC23" s="2009"/>
      <c r="BD23" s="2259"/>
      <c r="BE23" s="2244"/>
      <c r="BF23" s="2017"/>
      <c r="BG23" s="2009"/>
      <c r="BH23" s="2259"/>
      <c r="BI23" s="2244"/>
      <c r="BJ23" s="2017"/>
      <c r="BK23" s="2009"/>
      <c r="BL23" s="2262"/>
      <c r="BM23" s="2261"/>
      <c r="BN23" s="546"/>
      <c r="BO23" s="546"/>
      <c r="BP23" s="546"/>
      <c r="BQ23" s="546"/>
      <c r="BR23" s="546"/>
      <c r="BS23" s="546"/>
      <c r="BT23" s="546"/>
      <c r="BU23" s="546"/>
      <c r="BV23" s="546"/>
      <c r="BW23" s="546"/>
      <c r="BX23" s="546"/>
      <c r="BY23" s="546"/>
      <c r="BZ23" s="546"/>
      <c r="CA23" s="99"/>
      <c r="CB23" s="99"/>
      <c r="CC23" s="99"/>
      <c r="CD23" s="99"/>
      <c r="CE23" s="99"/>
      <c r="CF23" s="99"/>
      <c r="CG23" s="99"/>
      <c r="CH23" s="99"/>
      <c r="CI23" s="99"/>
      <c r="CJ23" s="99"/>
      <c r="CK23" s="99"/>
      <c r="CL23" s="99"/>
      <c r="CM23" s="2261"/>
      <c r="CN23" s="2261"/>
      <c r="CO23" s="2261"/>
      <c r="CP23" s="2261"/>
      <c r="CQ23" s="2261"/>
      <c r="CR23" s="2261"/>
    </row>
    <row r="24" spans="1:96" s="1099" customFormat="1" x14ac:dyDescent="0.2">
      <c r="A24" s="1104" t="s">
        <v>3855</v>
      </c>
      <c r="B24" s="1132"/>
      <c r="C24" s="1132"/>
      <c r="D24" s="1132"/>
      <c r="E24" s="2017"/>
      <c r="F24" s="2018"/>
      <c r="G24" s="2019"/>
      <c r="H24" s="2019"/>
      <c r="I24" s="2018"/>
      <c r="J24" s="2018"/>
      <c r="K24" s="2018"/>
      <c r="L24" s="2018"/>
      <c r="M24" s="2019"/>
      <c r="N24" s="2019"/>
      <c r="O24" s="2019"/>
      <c r="P24" s="2245"/>
      <c r="Q24" s="2246"/>
      <c r="R24" s="2019"/>
      <c r="S24" s="2019"/>
      <c r="T24" s="2245"/>
      <c r="U24" s="2246"/>
      <c r="V24" s="2019"/>
      <c r="W24" s="2018"/>
      <c r="X24" s="2245"/>
      <c r="Y24" s="2246"/>
      <c r="Z24" s="2019"/>
      <c r="AA24" s="2018"/>
      <c r="AB24" s="2245"/>
      <c r="AC24" s="2246"/>
      <c r="AD24" s="2019"/>
      <c r="AE24" s="2019"/>
      <c r="AF24" s="2245"/>
      <c r="AG24" s="2018"/>
      <c r="AH24" s="2019"/>
      <c r="AI24" s="2018"/>
      <c r="AJ24" s="2263"/>
      <c r="AK24" s="2018"/>
      <c r="AL24" s="2019"/>
      <c r="AM24" s="2018"/>
      <c r="AN24" s="2245"/>
      <c r="AO24" s="2246"/>
      <c r="AP24" s="2019"/>
      <c r="AQ24" s="2018"/>
      <c r="AR24" s="2245"/>
      <c r="AS24" s="2246"/>
      <c r="AT24" s="2019"/>
      <c r="AU24" s="2018"/>
      <c r="AV24" s="2245"/>
      <c r="AW24" s="2246"/>
      <c r="AX24" s="2019"/>
      <c r="AY24" s="2018"/>
      <c r="AZ24" s="2245"/>
      <c r="BA24" s="2246"/>
      <c r="BB24" s="2019"/>
      <c r="BC24" s="2018"/>
      <c r="BD24" s="2245"/>
      <c r="BE24" s="2246"/>
      <c r="BF24" s="2019"/>
      <c r="BG24" s="2018"/>
      <c r="BH24" s="2245"/>
      <c r="BI24" s="2246"/>
      <c r="BJ24" s="2019"/>
      <c r="BK24" s="2018"/>
      <c r="BL24" s="2263"/>
      <c r="BM24" s="2260"/>
      <c r="BN24" s="546"/>
      <c r="BO24" s="546"/>
      <c r="BP24" s="546"/>
      <c r="BQ24" s="546"/>
      <c r="BR24" s="546"/>
      <c r="BS24" s="546"/>
      <c r="BT24" s="546"/>
      <c r="BU24" s="546"/>
      <c r="BV24" s="546"/>
      <c r="BW24" s="546"/>
      <c r="BX24" s="546"/>
      <c r="BY24" s="546"/>
      <c r="BZ24" s="546"/>
      <c r="CA24" s="99"/>
      <c r="CB24" s="99"/>
      <c r="CC24" s="99"/>
      <c r="CD24" s="99"/>
      <c r="CE24" s="99"/>
      <c r="CF24" s="99"/>
      <c r="CG24" s="99"/>
      <c r="CH24" s="99"/>
      <c r="CI24" s="99"/>
      <c r="CJ24" s="99"/>
      <c r="CK24" s="99"/>
      <c r="CL24" s="99"/>
      <c r="CM24" s="2260"/>
      <c r="CN24" s="2260"/>
      <c r="CO24" s="2260"/>
      <c r="CP24" s="2260"/>
      <c r="CQ24" s="2260"/>
      <c r="CR24" s="2260"/>
    </row>
    <row r="25" spans="1:96" s="1099" customFormat="1" x14ac:dyDescent="0.2">
      <c r="A25" s="958" t="s">
        <v>3051</v>
      </c>
      <c r="B25" s="1132" t="s">
        <v>3189</v>
      </c>
      <c r="C25" s="1132" t="s">
        <v>4134</v>
      </c>
      <c r="D25" s="1132"/>
      <c r="E25" s="2017">
        <v>69700</v>
      </c>
      <c r="F25" s="2019"/>
      <c r="G25" s="2019"/>
      <c r="H25" s="2019"/>
      <c r="I25" s="2018"/>
      <c r="J25" s="2018"/>
      <c r="K25" s="2018"/>
      <c r="L25" s="2018"/>
      <c r="M25" s="2019"/>
      <c r="N25" s="2019"/>
      <c r="O25" s="2019"/>
      <c r="P25" s="2245"/>
      <c r="Q25" s="2244"/>
      <c r="R25" s="2017">
        <f>E25-58000</f>
        <v>11700</v>
      </c>
      <c r="S25" s="2017"/>
      <c r="T25" s="2245">
        <f t="shared" ref="T25:T26" si="125">$E25-Q25-R25-S25</f>
        <v>58000</v>
      </c>
      <c r="U25" s="2244"/>
      <c r="V25" s="2017">
        <f>F25</f>
        <v>0</v>
      </c>
      <c r="W25" s="2009"/>
      <c r="X25" s="2259">
        <f>$F25-U25-V25-W25</f>
        <v>0</v>
      </c>
      <c r="Y25" s="2244"/>
      <c r="Z25" s="2017">
        <f>G25</f>
        <v>0</v>
      </c>
      <c r="AA25" s="2009"/>
      <c r="AB25" s="2259">
        <f>$G25-Y25-Z25-AA25</f>
        <v>0</v>
      </c>
      <c r="AC25" s="2246"/>
      <c r="AD25" s="2017">
        <f>ROUND(H25,-2)</f>
        <v>0</v>
      </c>
      <c r="AE25" s="2017"/>
      <c r="AF25" s="2259">
        <f>$H25-AC25-AD25-AE25</f>
        <v>0</v>
      </c>
      <c r="AG25" s="2009"/>
      <c r="AH25" s="2017">
        <f>ROUND(I25,-2)</f>
        <v>0</v>
      </c>
      <c r="AI25" s="2009"/>
      <c r="AJ25" s="2262">
        <f>$I25-AG25-AH25-AI25</f>
        <v>0</v>
      </c>
      <c r="AK25" s="2009">
        <v>0</v>
      </c>
      <c r="AL25" s="2017">
        <f>ROUND(J25,-2)</f>
        <v>0</v>
      </c>
      <c r="AM25" s="2009"/>
      <c r="AN25" s="2259">
        <f>$J25-AK25-AL25-AM25</f>
        <v>0</v>
      </c>
      <c r="AO25" s="2244"/>
      <c r="AP25" s="2017">
        <f>ROUND(K25,-2)</f>
        <v>0</v>
      </c>
      <c r="AQ25" s="2009"/>
      <c r="AR25" s="2259">
        <f>$K25-AO25-AP25-AQ25</f>
        <v>0</v>
      </c>
      <c r="AS25" s="2244"/>
      <c r="AT25" s="2017">
        <f>ROUND(L25,-2)</f>
        <v>0</v>
      </c>
      <c r="AU25" s="2009"/>
      <c r="AV25" s="2259">
        <f>$L25-AS25-AT25-AU25</f>
        <v>0</v>
      </c>
      <c r="AW25" s="2244"/>
      <c r="AX25" s="2017">
        <f>ROUND(M25,-2)</f>
        <v>0</v>
      </c>
      <c r="AY25" s="2009"/>
      <c r="AZ25" s="2259">
        <f>$M25-AW25-AX25-AY25</f>
        <v>0</v>
      </c>
      <c r="BA25" s="2244"/>
      <c r="BB25" s="2017">
        <f>ROUND(N25,-2)</f>
        <v>0</v>
      </c>
      <c r="BC25" s="2009"/>
      <c r="BD25" s="2259">
        <f t="shared" ref="BD25:BD27" si="126">$N25-BA25-BB25-BC25</f>
        <v>0</v>
      </c>
      <c r="BE25" s="2244"/>
      <c r="BF25" s="2017"/>
      <c r="BG25" s="2009"/>
      <c r="BH25" s="620">
        <f t="shared" ref="BH25:BH27" si="127">$O25-BE25-BF25-BG25</f>
        <v>0</v>
      </c>
      <c r="BI25" s="2244"/>
      <c r="BJ25" s="2017"/>
      <c r="BK25" s="2009"/>
      <c r="BL25" s="1927">
        <f t="shared" ref="BL25:BL27" si="128">$P25-BI25-BJ25-BK25</f>
        <v>0</v>
      </c>
      <c r="BM25" s="2260"/>
      <c r="BN25" s="1263">
        <v>0</v>
      </c>
      <c r="BO25" s="1263">
        <f t="shared" ref="BO25:BY25" si="129">BN25</f>
        <v>0</v>
      </c>
      <c r="BP25" s="1263">
        <f t="shared" si="129"/>
        <v>0</v>
      </c>
      <c r="BQ25" s="1263">
        <f t="shared" si="129"/>
        <v>0</v>
      </c>
      <c r="BR25" s="1263">
        <f t="shared" si="129"/>
        <v>0</v>
      </c>
      <c r="BS25" s="1263">
        <f t="shared" si="129"/>
        <v>0</v>
      </c>
      <c r="BT25" s="1263">
        <f t="shared" si="129"/>
        <v>0</v>
      </c>
      <c r="BU25" s="1263">
        <f t="shared" si="129"/>
        <v>0</v>
      </c>
      <c r="BV25" s="1263">
        <f t="shared" si="129"/>
        <v>0</v>
      </c>
      <c r="BW25" s="1263">
        <f t="shared" si="129"/>
        <v>0</v>
      </c>
      <c r="BX25" s="1263">
        <f t="shared" si="129"/>
        <v>0</v>
      </c>
      <c r="BY25" s="1263">
        <f t="shared" si="129"/>
        <v>0</v>
      </c>
      <c r="BZ25" s="1263"/>
      <c r="CA25" s="99">
        <f t="shared" ref="CA25:CL26" si="130">ROUND(BN25*E25,-3)</f>
        <v>0</v>
      </c>
      <c r="CB25" s="99">
        <f t="shared" si="130"/>
        <v>0</v>
      </c>
      <c r="CC25" s="99">
        <f t="shared" si="130"/>
        <v>0</v>
      </c>
      <c r="CD25" s="99">
        <f t="shared" si="130"/>
        <v>0</v>
      </c>
      <c r="CE25" s="99">
        <f t="shared" si="130"/>
        <v>0</v>
      </c>
      <c r="CF25" s="99">
        <f t="shared" si="130"/>
        <v>0</v>
      </c>
      <c r="CG25" s="99">
        <f t="shared" si="130"/>
        <v>0</v>
      </c>
      <c r="CH25" s="99">
        <f t="shared" si="130"/>
        <v>0</v>
      </c>
      <c r="CI25" s="99">
        <f t="shared" si="130"/>
        <v>0</v>
      </c>
      <c r="CJ25" s="99">
        <f t="shared" si="130"/>
        <v>0</v>
      </c>
      <c r="CK25" s="99">
        <f t="shared" si="130"/>
        <v>0</v>
      </c>
      <c r="CL25" s="99">
        <f t="shared" si="130"/>
        <v>0</v>
      </c>
      <c r="CM25" s="2260"/>
      <c r="CN25" s="2260"/>
      <c r="CO25" s="2260"/>
      <c r="CP25" s="2260"/>
      <c r="CQ25" s="2260"/>
      <c r="CR25" s="2260"/>
    </row>
    <row r="26" spans="1:96" s="1099" customFormat="1" x14ac:dyDescent="0.2">
      <c r="A26" s="958" t="s">
        <v>4187</v>
      </c>
      <c r="B26" s="1132" t="s">
        <v>3190</v>
      </c>
      <c r="C26" s="1132" t="s">
        <v>4135</v>
      </c>
      <c r="D26" s="1132" t="s">
        <v>4135</v>
      </c>
      <c r="E26" s="2017"/>
      <c r="F26" s="2018">
        <v>134000</v>
      </c>
      <c r="G26" s="2019"/>
      <c r="H26" s="2019"/>
      <c r="I26" s="2018"/>
      <c r="J26" s="2018"/>
      <c r="K26" s="2018"/>
      <c r="L26" s="2018"/>
      <c r="M26" s="2019"/>
      <c r="N26" s="2019"/>
      <c r="O26" s="2019"/>
      <c r="P26" s="2245"/>
      <c r="Q26" s="2244"/>
      <c r="R26" s="2017">
        <f>E26</f>
        <v>0</v>
      </c>
      <c r="S26" s="2017"/>
      <c r="T26" s="2245">
        <f t="shared" si="125"/>
        <v>0</v>
      </c>
      <c r="U26" s="2244"/>
      <c r="V26" s="2017">
        <f>F26</f>
        <v>134000</v>
      </c>
      <c r="W26" s="2009"/>
      <c r="X26" s="2259">
        <f t="shared" ref="X26" si="131">$F26-U26-V26-W26</f>
        <v>0</v>
      </c>
      <c r="Y26" s="2244"/>
      <c r="Z26" s="2017">
        <f>G26</f>
        <v>0</v>
      </c>
      <c r="AA26" s="2009"/>
      <c r="AB26" s="2259">
        <f t="shared" ref="AB26:AB27" si="132">$G26-Y26-Z26-AA26</f>
        <v>0</v>
      </c>
      <c r="AC26" s="2246"/>
      <c r="AD26" s="2017">
        <f>ROUND(H26,-2)</f>
        <v>0</v>
      </c>
      <c r="AE26" s="2017"/>
      <c r="AF26" s="2259">
        <f t="shared" ref="AF26:AF27" si="133">$H26-AC26-AD26-AE26</f>
        <v>0</v>
      </c>
      <c r="AG26" s="2009"/>
      <c r="AH26" s="2017">
        <f>ROUND(I26,-2)</f>
        <v>0</v>
      </c>
      <c r="AI26" s="2009"/>
      <c r="AJ26" s="2262">
        <f t="shared" ref="AJ26:AJ27" si="134">$I26-AG26-AH26-AI26</f>
        <v>0</v>
      </c>
      <c r="AK26" s="2009">
        <v>0</v>
      </c>
      <c r="AL26" s="2017">
        <f>ROUND(J26,-2)</f>
        <v>0</v>
      </c>
      <c r="AM26" s="2009"/>
      <c r="AN26" s="2259">
        <f t="shared" ref="AN26:AN27" si="135">$J26-AK26-AL26-AM26</f>
        <v>0</v>
      </c>
      <c r="AO26" s="2244"/>
      <c r="AP26" s="2017">
        <f>ROUND(K26,-2)</f>
        <v>0</v>
      </c>
      <c r="AQ26" s="2009"/>
      <c r="AR26" s="2259">
        <f t="shared" ref="AR26:AR27" si="136">$K26-AO26-AP26-AQ26</f>
        <v>0</v>
      </c>
      <c r="AS26" s="2244"/>
      <c r="AT26" s="2017">
        <f>ROUND(L26,-2)</f>
        <v>0</v>
      </c>
      <c r="AU26" s="2009"/>
      <c r="AV26" s="2259">
        <f t="shared" ref="AV26:AV27" si="137">$L26-AS26-AT26-AU26</f>
        <v>0</v>
      </c>
      <c r="AW26" s="2244"/>
      <c r="AX26" s="2017">
        <f>ROUND(M26,-2)</f>
        <v>0</v>
      </c>
      <c r="AY26" s="2009"/>
      <c r="AZ26" s="2259">
        <f t="shared" ref="AZ26:AZ27" si="138">$M26-AW26-AX26-AY26</f>
        <v>0</v>
      </c>
      <c r="BA26" s="2244"/>
      <c r="BB26" s="2017">
        <f>ROUND(N26,-2)</f>
        <v>0</v>
      </c>
      <c r="BC26" s="2009"/>
      <c r="BD26" s="2259">
        <f t="shared" si="126"/>
        <v>0</v>
      </c>
      <c r="BE26" s="2244"/>
      <c r="BF26" s="2017"/>
      <c r="BG26" s="2009"/>
      <c r="BH26" s="620">
        <f t="shared" si="127"/>
        <v>0</v>
      </c>
      <c r="BI26" s="2244"/>
      <c r="BJ26" s="2017"/>
      <c r="BK26" s="2009"/>
      <c r="BL26" s="1927">
        <f t="shared" si="128"/>
        <v>0</v>
      </c>
      <c r="BM26" s="2260"/>
      <c r="BN26" s="1263">
        <v>0</v>
      </c>
      <c r="BO26" s="1263">
        <f t="shared" ref="BO26:BY26" si="139">BN26</f>
        <v>0</v>
      </c>
      <c r="BP26" s="1263">
        <f t="shared" si="139"/>
        <v>0</v>
      </c>
      <c r="BQ26" s="1263">
        <f t="shared" si="139"/>
        <v>0</v>
      </c>
      <c r="BR26" s="1263">
        <f t="shared" si="139"/>
        <v>0</v>
      </c>
      <c r="BS26" s="1263">
        <f t="shared" si="139"/>
        <v>0</v>
      </c>
      <c r="BT26" s="1263">
        <f t="shared" si="139"/>
        <v>0</v>
      </c>
      <c r="BU26" s="1263">
        <f t="shared" si="139"/>
        <v>0</v>
      </c>
      <c r="BV26" s="1263">
        <f t="shared" si="139"/>
        <v>0</v>
      </c>
      <c r="BW26" s="1263">
        <f t="shared" si="139"/>
        <v>0</v>
      </c>
      <c r="BX26" s="1263">
        <f t="shared" si="139"/>
        <v>0</v>
      </c>
      <c r="BY26" s="1263">
        <f t="shared" si="139"/>
        <v>0</v>
      </c>
      <c r="BZ26" s="1263"/>
      <c r="CA26" s="99">
        <f t="shared" si="130"/>
        <v>0</v>
      </c>
      <c r="CB26" s="99">
        <f t="shared" si="130"/>
        <v>0</v>
      </c>
      <c r="CC26" s="99">
        <f t="shared" si="130"/>
        <v>0</v>
      </c>
      <c r="CD26" s="99">
        <f t="shared" si="130"/>
        <v>0</v>
      </c>
      <c r="CE26" s="99">
        <f t="shared" si="130"/>
        <v>0</v>
      </c>
      <c r="CF26" s="99">
        <f t="shared" si="130"/>
        <v>0</v>
      </c>
      <c r="CG26" s="99">
        <f t="shared" si="130"/>
        <v>0</v>
      </c>
      <c r="CH26" s="99">
        <f t="shared" si="130"/>
        <v>0</v>
      </c>
      <c r="CI26" s="99">
        <f t="shared" si="130"/>
        <v>0</v>
      </c>
      <c r="CJ26" s="99">
        <f t="shared" si="130"/>
        <v>0</v>
      </c>
      <c r="CK26" s="99">
        <f t="shared" si="130"/>
        <v>0</v>
      </c>
      <c r="CL26" s="99">
        <f t="shared" si="130"/>
        <v>0</v>
      </c>
      <c r="CM26" s="2260"/>
      <c r="CN26" s="2260"/>
      <c r="CO26" s="2260"/>
      <c r="CP26" s="2260"/>
      <c r="CQ26" s="2260"/>
      <c r="CR26" s="2260"/>
    </row>
    <row r="27" spans="1:96" s="1099" customFormat="1" x14ac:dyDescent="0.2">
      <c r="A27" s="958" t="s">
        <v>6097</v>
      </c>
      <c r="B27" s="1132" t="s">
        <v>6478</v>
      </c>
      <c r="C27" s="953" t="s">
        <v>6479</v>
      </c>
      <c r="D27" s="953" t="s">
        <v>6479</v>
      </c>
      <c r="E27" s="2017"/>
      <c r="F27" s="2018">
        <v>100000</v>
      </c>
      <c r="G27" s="2019">
        <v>500000</v>
      </c>
      <c r="H27" s="2019"/>
      <c r="I27" s="2018"/>
      <c r="J27" s="2018"/>
      <c r="K27" s="2018"/>
      <c r="L27" s="2018"/>
      <c r="M27" s="2018"/>
      <c r="N27" s="2018"/>
      <c r="O27" s="2019"/>
      <c r="P27" s="2245"/>
      <c r="Q27" s="2244"/>
      <c r="R27" s="2017"/>
      <c r="S27" s="2017"/>
      <c r="T27" s="2245"/>
      <c r="U27" s="2244"/>
      <c r="V27" s="2017"/>
      <c r="W27" s="2009"/>
      <c r="X27" s="2259">
        <f t="shared" ref="X27" si="140">$F27-U27-V27-W27</f>
        <v>100000</v>
      </c>
      <c r="Y27" s="2244"/>
      <c r="Z27" s="2017">
        <v>500000</v>
      </c>
      <c r="AA27" s="2009"/>
      <c r="AB27" s="2259">
        <f t="shared" si="132"/>
        <v>0</v>
      </c>
      <c r="AC27" s="2246"/>
      <c r="AD27" s="2017"/>
      <c r="AE27" s="2017"/>
      <c r="AF27" s="2259">
        <f t="shared" si="133"/>
        <v>0</v>
      </c>
      <c r="AG27" s="2009"/>
      <c r="AH27" s="2017"/>
      <c r="AI27" s="2009"/>
      <c r="AJ27" s="2262">
        <f t="shared" si="134"/>
        <v>0</v>
      </c>
      <c r="AK27" s="2009"/>
      <c r="AL27" s="2017"/>
      <c r="AM27" s="2009"/>
      <c r="AN27" s="2259">
        <f t="shared" si="135"/>
        <v>0</v>
      </c>
      <c r="AO27" s="2244"/>
      <c r="AP27" s="2017"/>
      <c r="AQ27" s="2009"/>
      <c r="AR27" s="2259">
        <f t="shared" si="136"/>
        <v>0</v>
      </c>
      <c r="AS27" s="2244"/>
      <c r="AT27" s="2017"/>
      <c r="AU27" s="2009"/>
      <c r="AV27" s="2259">
        <f t="shared" si="137"/>
        <v>0</v>
      </c>
      <c r="AW27" s="2244"/>
      <c r="AX27" s="2017"/>
      <c r="AY27" s="2009"/>
      <c r="AZ27" s="2259">
        <f t="shared" si="138"/>
        <v>0</v>
      </c>
      <c r="BA27" s="2244"/>
      <c r="BB27" s="2017"/>
      <c r="BC27" s="2009"/>
      <c r="BD27" s="2259">
        <f t="shared" si="126"/>
        <v>0</v>
      </c>
      <c r="BE27" s="2244"/>
      <c r="BF27" s="2017"/>
      <c r="BG27" s="2009"/>
      <c r="BH27" s="620">
        <f t="shared" si="127"/>
        <v>0</v>
      </c>
      <c r="BI27" s="2244"/>
      <c r="BJ27" s="2017"/>
      <c r="BK27" s="2009"/>
      <c r="BL27" s="1927">
        <f t="shared" si="128"/>
        <v>0</v>
      </c>
      <c r="BM27" s="2260"/>
      <c r="BN27" s="1263">
        <v>0</v>
      </c>
      <c r="BO27" s="1263">
        <f t="shared" ref="BO27" si="141">BN27</f>
        <v>0</v>
      </c>
      <c r="BP27" s="1263">
        <f t="shared" ref="BP27" si="142">BO27</f>
        <v>0</v>
      </c>
      <c r="BQ27" s="1263">
        <f t="shared" ref="BQ27" si="143">BP27</f>
        <v>0</v>
      </c>
      <c r="BR27" s="1263">
        <f t="shared" ref="BR27" si="144">BQ27</f>
        <v>0</v>
      </c>
      <c r="BS27" s="1263">
        <f t="shared" ref="BS27" si="145">BR27</f>
        <v>0</v>
      </c>
      <c r="BT27" s="1263">
        <f t="shared" ref="BT27" si="146">BS27</f>
        <v>0</v>
      </c>
      <c r="BU27" s="1263">
        <f t="shared" ref="BU27" si="147">BT27</f>
        <v>0</v>
      </c>
      <c r="BV27" s="1263">
        <f t="shared" ref="BV27" si="148">BU27</f>
        <v>0</v>
      </c>
      <c r="BW27" s="1263">
        <f t="shared" ref="BW27" si="149">BV27</f>
        <v>0</v>
      </c>
      <c r="BX27" s="1263">
        <f t="shared" ref="BX27:BY27" si="150">BW27</f>
        <v>0</v>
      </c>
      <c r="BY27" s="1263">
        <f t="shared" si="150"/>
        <v>0</v>
      </c>
      <c r="BZ27" s="1263"/>
      <c r="CA27" s="99"/>
      <c r="CB27" s="99"/>
      <c r="CC27" s="99"/>
      <c r="CD27" s="99"/>
      <c r="CE27" s="99"/>
      <c r="CF27" s="99"/>
      <c r="CG27" s="99"/>
      <c r="CH27" s="99"/>
      <c r="CI27" s="99"/>
      <c r="CJ27" s="99"/>
      <c r="CK27" s="99"/>
      <c r="CL27" s="99"/>
      <c r="CM27" s="2260"/>
      <c r="CN27" s="2260"/>
      <c r="CO27" s="2260"/>
      <c r="CP27" s="2260"/>
      <c r="CQ27" s="2260"/>
      <c r="CR27" s="2260"/>
    </row>
    <row r="28" spans="1:96" s="1099" customFormat="1" x14ac:dyDescent="0.2">
      <c r="A28" s="958"/>
      <c r="B28" s="953"/>
      <c r="C28" s="953"/>
      <c r="D28" s="953"/>
      <c r="E28" s="2017"/>
      <c r="F28" s="2018"/>
      <c r="G28" s="2019"/>
      <c r="H28" s="2019"/>
      <c r="I28" s="2018"/>
      <c r="J28" s="2018"/>
      <c r="K28" s="2018"/>
      <c r="L28" s="2018"/>
      <c r="M28" s="2018"/>
      <c r="N28" s="2018"/>
      <c r="O28" s="2019"/>
      <c r="P28" s="2245"/>
      <c r="Q28" s="2246"/>
      <c r="R28" s="2019"/>
      <c r="S28" s="2019"/>
      <c r="T28" s="2245"/>
      <c r="U28" s="2246"/>
      <c r="V28" s="2019"/>
      <c r="W28" s="2018"/>
      <c r="X28" s="2245"/>
      <c r="Y28" s="2246"/>
      <c r="Z28" s="2019"/>
      <c r="AA28" s="2018"/>
      <c r="AB28" s="2245"/>
      <c r="AC28" s="2246"/>
      <c r="AD28" s="2019"/>
      <c r="AE28" s="2019"/>
      <c r="AF28" s="2245"/>
      <c r="AG28" s="2018"/>
      <c r="AH28" s="2019"/>
      <c r="AI28" s="2018"/>
      <c r="AJ28" s="2263"/>
      <c r="AK28" s="2018"/>
      <c r="AL28" s="2019"/>
      <c r="AM28" s="2018"/>
      <c r="AN28" s="2245"/>
      <c r="AO28" s="2246"/>
      <c r="AP28" s="2019"/>
      <c r="AQ28" s="2018"/>
      <c r="AR28" s="2245"/>
      <c r="AS28" s="2246"/>
      <c r="AT28" s="2019"/>
      <c r="AU28" s="2018"/>
      <c r="AV28" s="2245"/>
      <c r="AW28" s="2246"/>
      <c r="AX28" s="2019"/>
      <c r="AY28" s="2018"/>
      <c r="AZ28" s="2245"/>
      <c r="BA28" s="2246"/>
      <c r="BB28" s="2019"/>
      <c r="BC28" s="2018"/>
      <c r="BD28" s="2245"/>
      <c r="BE28" s="2246"/>
      <c r="BF28" s="2019"/>
      <c r="BG28" s="2018"/>
      <c r="BH28" s="2245"/>
      <c r="BI28" s="2246"/>
      <c r="BJ28" s="2019"/>
      <c r="BK28" s="2018"/>
      <c r="BL28" s="2263"/>
      <c r="BM28" s="2260"/>
      <c r="BN28" s="1263"/>
      <c r="BO28" s="1263"/>
      <c r="BP28" s="1263"/>
      <c r="BQ28" s="1263"/>
      <c r="BR28" s="1263"/>
      <c r="BS28" s="1263"/>
      <c r="BT28" s="1263"/>
      <c r="BU28" s="1263"/>
      <c r="BV28" s="1263"/>
      <c r="BW28" s="1263"/>
      <c r="BX28" s="1263"/>
      <c r="BY28" s="1263"/>
      <c r="BZ28" s="1263"/>
      <c r="CA28" s="99"/>
      <c r="CB28" s="99"/>
      <c r="CC28" s="99"/>
      <c r="CD28" s="99"/>
      <c r="CE28" s="99"/>
      <c r="CF28" s="99"/>
      <c r="CG28" s="99"/>
      <c r="CH28" s="99"/>
      <c r="CI28" s="99"/>
      <c r="CJ28" s="99"/>
      <c r="CK28" s="99"/>
      <c r="CL28" s="99"/>
      <c r="CM28" s="2260"/>
      <c r="CN28" s="2260"/>
      <c r="CO28" s="2260"/>
      <c r="CP28" s="2260"/>
      <c r="CQ28" s="2260"/>
      <c r="CR28" s="2260"/>
    </row>
    <row r="29" spans="1:96" s="355" customFormat="1" x14ac:dyDescent="0.2">
      <c r="A29" s="1104" t="s">
        <v>3616</v>
      </c>
      <c r="B29" s="528"/>
      <c r="C29" s="528"/>
      <c r="D29" s="528"/>
      <c r="E29" s="2017"/>
      <c r="F29" s="2009"/>
      <c r="G29" s="2017"/>
      <c r="H29" s="2017"/>
      <c r="I29" s="2018"/>
      <c r="J29" s="2018"/>
      <c r="K29" s="2018"/>
      <c r="L29" s="2018"/>
      <c r="M29" s="2018"/>
      <c r="N29" s="2018"/>
      <c r="O29" s="2019"/>
      <c r="P29" s="2245"/>
      <c r="Q29" s="2244"/>
      <c r="R29" s="2017"/>
      <c r="S29" s="2017"/>
      <c r="T29" s="2245"/>
      <c r="U29" s="2244"/>
      <c r="V29" s="2017"/>
      <c r="W29" s="2009"/>
      <c r="X29" s="2259"/>
      <c r="Y29" s="2244"/>
      <c r="Z29" s="2017"/>
      <c r="AA29" s="2009"/>
      <c r="AB29" s="2259"/>
      <c r="AC29" s="2244"/>
      <c r="AD29" s="2017"/>
      <c r="AE29" s="2017"/>
      <c r="AF29" s="2259"/>
      <c r="AG29" s="2009"/>
      <c r="AH29" s="2017"/>
      <c r="AI29" s="2009"/>
      <c r="AJ29" s="2262"/>
      <c r="AK29" s="2009"/>
      <c r="AL29" s="2017"/>
      <c r="AM29" s="2009"/>
      <c r="AN29" s="2259"/>
      <c r="AO29" s="2244"/>
      <c r="AP29" s="2017"/>
      <c r="AQ29" s="2009"/>
      <c r="AR29" s="2259"/>
      <c r="AS29" s="2244"/>
      <c r="AT29" s="2017"/>
      <c r="AU29" s="2009"/>
      <c r="AV29" s="2259"/>
      <c r="AW29" s="2244"/>
      <c r="AX29" s="2017"/>
      <c r="AY29" s="2009"/>
      <c r="AZ29" s="2259"/>
      <c r="BA29" s="2244"/>
      <c r="BB29" s="2017"/>
      <c r="BC29" s="2009"/>
      <c r="BD29" s="2259"/>
      <c r="BE29" s="2244"/>
      <c r="BF29" s="2017"/>
      <c r="BG29" s="2009"/>
      <c r="BH29" s="2259"/>
      <c r="BI29" s="2244"/>
      <c r="BJ29" s="2017"/>
      <c r="BK29" s="2009"/>
      <c r="BL29" s="2262"/>
      <c r="BM29" s="2261"/>
      <c r="BN29" s="1263"/>
      <c r="BO29" s="1263"/>
      <c r="BP29" s="1263"/>
      <c r="BQ29" s="1263"/>
      <c r="BR29" s="1263"/>
      <c r="BS29" s="1263"/>
      <c r="BT29" s="1263"/>
      <c r="BU29" s="1263"/>
      <c r="BV29" s="1263"/>
      <c r="BW29" s="1263"/>
      <c r="BX29" s="1263"/>
      <c r="BY29" s="1263"/>
      <c r="BZ29" s="1263"/>
      <c r="CA29" s="99"/>
      <c r="CB29" s="99"/>
      <c r="CC29" s="99"/>
      <c r="CD29" s="99"/>
      <c r="CE29" s="99"/>
      <c r="CF29" s="99"/>
      <c r="CG29" s="99"/>
      <c r="CH29" s="99"/>
      <c r="CI29" s="99"/>
      <c r="CJ29" s="99"/>
      <c r="CK29" s="99"/>
      <c r="CL29" s="99"/>
      <c r="CM29" s="2261"/>
      <c r="CN29" s="2261"/>
      <c r="CO29" s="2261"/>
      <c r="CP29" s="2261"/>
      <c r="CQ29" s="2261"/>
      <c r="CR29" s="2261"/>
    </row>
    <row r="30" spans="1:96" s="355" customFormat="1" x14ac:dyDescent="0.2">
      <c r="A30" s="958" t="s">
        <v>3856</v>
      </c>
      <c r="B30" s="953" t="s">
        <v>1525</v>
      </c>
      <c r="C30" s="953" t="s">
        <v>5082</v>
      </c>
      <c r="D30" s="953"/>
      <c r="E30" s="2017">
        <v>139300</v>
      </c>
      <c r="F30" s="2009"/>
      <c r="G30" s="2017"/>
      <c r="H30" s="2017"/>
      <c r="I30" s="2009"/>
      <c r="J30" s="2009"/>
      <c r="K30" s="2009"/>
      <c r="L30" s="2009"/>
      <c r="M30" s="2017"/>
      <c r="N30" s="2017"/>
      <c r="O30" s="2019"/>
      <c r="P30" s="2245"/>
      <c r="Q30" s="2244"/>
      <c r="R30" s="2017">
        <v>46000</v>
      </c>
      <c r="S30" s="2017"/>
      <c r="T30" s="2245">
        <f t="shared" si="82"/>
        <v>93300</v>
      </c>
      <c r="U30" s="2244"/>
      <c r="V30" s="2017">
        <f>F30</f>
        <v>0</v>
      </c>
      <c r="W30" s="2009"/>
      <c r="X30" s="2259">
        <f t="shared" ref="X30:X34" si="151">$F30-U30-V30-W30</f>
        <v>0</v>
      </c>
      <c r="Y30" s="2244"/>
      <c r="Z30" s="2017">
        <f>G30</f>
        <v>0</v>
      </c>
      <c r="AA30" s="2009"/>
      <c r="AB30" s="2259">
        <f t="shared" ref="AB30:AB34" si="152">$G30-Y30-Z30-AA30</f>
        <v>0</v>
      </c>
      <c r="AC30" s="2244"/>
      <c r="AD30" s="2017">
        <f>ROUND(H30,-2)</f>
        <v>0</v>
      </c>
      <c r="AE30" s="2017"/>
      <c r="AF30" s="2259">
        <f t="shared" ref="AF30:AF34" si="153">$H30-AC30-AD30-AE30</f>
        <v>0</v>
      </c>
      <c r="AG30" s="2009"/>
      <c r="AH30" s="2017">
        <f>ROUND(I30,-2)</f>
        <v>0</v>
      </c>
      <c r="AI30" s="2009"/>
      <c r="AJ30" s="2262">
        <f t="shared" ref="AJ30:AJ34" si="154">$I30-AG30-AH30-AI30</f>
        <v>0</v>
      </c>
      <c r="AK30" s="2009">
        <v>0</v>
      </c>
      <c r="AL30" s="2017">
        <f>ROUND(J30,-2)</f>
        <v>0</v>
      </c>
      <c r="AM30" s="2009"/>
      <c r="AN30" s="2259">
        <f t="shared" ref="AN30:AN34" si="155">$J30-AK30-AL30-AM30</f>
        <v>0</v>
      </c>
      <c r="AO30" s="2244"/>
      <c r="AP30" s="2017">
        <f>ROUND(K30,-2)</f>
        <v>0</v>
      </c>
      <c r="AQ30" s="2009"/>
      <c r="AR30" s="2259">
        <f t="shared" ref="AR30:AR34" si="156">$K30-AO30-AP30-AQ30</f>
        <v>0</v>
      </c>
      <c r="AS30" s="2244"/>
      <c r="AT30" s="2017">
        <f>ROUND(L30,-2)</f>
        <v>0</v>
      </c>
      <c r="AU30" s="2009"/>
      <c r="AV30" s="2259">
        <f t="shared" ref="AV30:AV34" si="157">$L30-AS30-AT30-AU30</f>
        <v>0</v>
      </c>
      <c r="AW30" s="2244"/>
      <c r="AX30" s="2017">
        <f>ROUND(M30,-2)</f>
        <v>0</v>
      </c>
      <c r="AY30" s="2009"/>
      <c r="AZ30" s="2259">
        <f t="shared" ref="AZ30:AZ34" si="158">$M30-AW30-AX30-AY30</f>
        <v>0</v>
      </c>
      <c r="BA30" s="2244"/>
      <c r="BB30" s="2017">
        <f>ROUND(N30,-2)</f>
        <v>0</v>
      </c>
      <c r="BC30" s="2009"/>
      <c r="BD30" s="2259">
        <f t="shared" ref="BD30:BD34" si="159">$N30-BA30-BB30-BC30</f>
        <v>0</v>
      </c>
      <c r="BE30" s="2244"/>
      <c r="BF30" s="2017"/>
      <c r="BG30" s="2009"/>
      <c r="BH30" s="620">
        <f t="shared" ref="BH30:BH34" si="160">$O30-BE30-BF30-BG30</f>
        <v>0</v>
      </c>
      <c r="BI30" s="2244"/>
      <c r="BJ30" s="2017"/>
      <c r="BK30" s="2009"/>
      <c r="BL30" s="1927">
        <f t="shared" ref="BL30:BL34" si="161">$P30-BI30-BJ30-BK30</f>
        <v>0</v>
      </c>
      <c r="BM30" s="2261"/>
      <c r="BN30" s="1263">
        <v>1</v>
      </c>
      <c r="BO30" s="1263">
        <f t="shared" ref="BO30:BY30" si="162">BN30</f>
        <v>1</v>
      </c>
      <c r="BP30" s="1263">
        <f t="shared" si="162"/>
        <v>1</v>
      </c>
      <c r="BQ30" s="1263">
        <f t="shared" si="162"/>
        <v>1</v>
      </c>
      <c r="BR30" s="1263">
        <f t="shared" si="162"/>
        <v>1</v>
      </c>
      <c r="BS30" s="1263">
        <f t="shared" si="162"/>
        <v>1</v>
      </c>
      <c r="BT30" s="1263">
        <f t="shared" si="162"/>
        <v>1</v>
      </c>
      <c r="BU30" s="1263">
        <f t="shared" si="162"/>
        <v>1</v>
      </c>
      <c r="BV30" s="1263">
        <f t="shared" si="162"/>
        <v>1</v>
      </c>
      <c r="BW30" s="1263">
        <f t="shared" si="162"/>
        <v>1</v>
      </c>
      <c r="BX30" s="1263">
        <f t="shared" si="162"/>
        <v>1</v>
      </c>
      <c r="BY30" s="1263">
        <f t="shared" si="162"/>
        <v>1</v>
      </c>
      <c r="BZ30" s="1263"/>
      <c r="CA30" s="99">
        <f t="shared" ref="CA30:CL34" si="163">ROUND(BN30*E30,-3)</f>
        <v>139000</v>
      </c>
      <c r="CB30" s="99">
        <f t="shared" si="163"/>
        <v>0</v>
      </c>
      <c r="CC30" s="99">
        <f t="shared" si="163"/>
        <v>0</v>
      </c>
      <c r="CD30" s="99">
        <f t="shared" si="163"/>
        <v>0</v>
      </c>
      <c r="CE30" s="99">
        <f t="shared" si="163"/>
        <v>0</v>
      </c>
      <c r="CF30" s="99">
        <f t="shared" si="163"/>
        <v>0</v>
      </c>
      <c r="CG30" s="99">
        <f t="shared" si="163"/>
        <v>0</v>
      </c>
      <c r="CH30" s="99">
        <f t="shared" si="163"/>
        <v>0</v>
      </c>
      <c r="CI30" s="99">
        <f t="shared" si="163"/>
        <v>0</v>
      </c>
      <c r="CJ30" s="99">
        <f t="shared" si="163"/>
        <v>0</v>
      </c>
      <c r="CK30" s="99">
        <f t="shared" si="163"/>
        <v>0</v>
      </c>
      <c r="CL30" s="99">
        <f t="shared" si="163"/>
        <v>0</v>
      </c>
      <c r="CM30" s="2261"/>
      <c r="CN30" s="2261"/>
      <c r="CO30" s="2261"/>
      <c r="CP30" s="2261"/>
      <c r="CQ30" s="2261"/>
      <c r="CR30" s="2261"/>
    </row>
    <row r="31" spans="1:96" s="355" customFormat="1" x14ac:dyDescent="0.2">
      <c r="A31" s="958" t="s">
        <v>3857</v>
      </c>
      <c r="B31" s="1132" t="s">
        <v>924</v>
      </c>
      <c r="C31" s="1132" t="s">
        <v>5076</v>
      </c>
      <c r="D31" s="1132" t="s">
        <v>924</v>
      </c>
      <c r="E31" s="2017">
        <v>10000</v>
      </c>
      <c r="F31" s="2009">
        <f>170000+40000</f>
        <v>210000</v>
      </c>
      <c r="G31" s="2017"/>
      <c r="H31" s="2017"/>
      <c r="I31" s="2009"/>
      <c r="J31" s="2009"/>
      <c r="K31" s="2009"/>
      <c r="L31" s="2009"/>
      <c r="M31" s="2017"/>
      <c r="N31" s="2017"/>
      <c r="O31" s="2017"/>
      <c r="P31" s="2259"/>
      <c r="Q31" s="2244"/>
      <c r="R31" s="2017">
        <f>E31</f>
        <v>10000</v>
      </c>
      <c r="S31" s="2017"/>
      <c r="T31" s="2245">
        <f t="shared" si="82"/>
        <v>0</v>
      </c>
      <c r="U31" s="2244"/>
      <c r="V31" s="2017">
        <f>F31</f>
        <v>210000</v>
      </c>
      <c r="W31" s="2009"/>
      <c r="X31" s="2259">
        <f t="shared" si="151"/>
        <v>0</v>
      </c>
      <c r="Y31" s="2244"/>
      <c r="Z31" s="2017">
        <f>G31</f>
        <v>0</v>
      </c>
      <c r="AA31" s="2009"/>
      <c r="AB31" s="2259">
        <f t="shared" si="152"/>
        <v>0</v>
      </c>
      <c r="AC31" s="2244"/>
      <c r="AD31" s="2017">
        <f>ROUND(H31,-2)</f>
        <v>0</v>
      </c>
      <c r="AE31" s="2017"/>
      <c r="AF31" s="2259">
        <f t="shared" si="153"/>
        <v>0</v>
      </c>
      <c r="AG31" s="2009"/>
      <c r="AH31" s="2017">
        <f>ROUND(I31,-2)</f>
        <v>0</v>
      </c>
      <c r="AI31" s="2009"/>
      <c r="AJ31" s="2262">
        <f t="shared" si="154"/>
        <v>0</v>
      </c>
      <c r="AK31" s="2009">
        <v>0</v>
      </c>
      <c r="AL31" s="2017">
        <f>ROUND(J31,-2)</f>
        <v>0</v>
      </c>
      <c r="AM31" s="2009"/>
      <c r="AN31" s="2259">
        <f t="shared" si="155"/>
        <v>0</v>
      </c>
      <c r="AO31" s="2244"/>
      <c r="AP31" s="2017">
        <f>ROUND(K31,-2)</f>
        <v>0</v>
      </c>
      <c r="AQ31" s="2009"/>
      <c r="AR31" s="2259">
        <f t="shared" si="156"/>
        <v>0</v>
      </c>
      <c r="AS31" s="2244"/>
      <c r="AT31" s="2017">
        <f>ROUND(L31,-2)</f>
        <v>0</v>
      </c>
      <c r="AU31" s="2009"/>
      <c r="AV31" s="2259">
        <f t="shared" si="157"/>
        <v>0</v>
      </c>
      <c r="AW31" s="2244"/>
      <c r="AX31" s="2017">
        <f>ROUND(M31,-2)</f>
        <v>0</v>
      </c>
      <c r="AY31" s="2009"/>
      <c r="AZ31" s="2259">
        <f t="shared" si="158"/>
        <v>0</v>
      </c>
      <c r="BA31" s="2244"/>
      <c r="BB31" s="2017">
        <f>ROUND(N31,-2)</f>
        <v>0</v>
      </c>
      <c r="BC31" s="2009"/>
      <c r="BD31" s="2259">
        <f t="shared" si="159"/>
        <v>0</v>
      </c>
      <c r="BE31" s="2244"/>
      <c r="BF31" s="2017"/>
      <c r="BG31" s="2009"/>
      <c r="BH31" s="620">
        <f t="shared" si="160"/>
        <v>0</v>
      </c>
      <c r="BI31" s="2244"/>
      <c r="BJ31" s="2017"/>
      <c r="BK31" s="2009"/>
      <c r="BL31" s="1927">
        <f t="shared" si="161"/>
        <v>0</v>
      </c>
      <c r="BM31" s="2261"/>
      <c r="BN31" s="1263">
        <v>1</v>
      </c>
      <c r="BO31" s="1263">
        <f t="shared" ref="BO31:BY31" si="164">BN31</f>
        <v>1</v>
      </c>
      <c r="BP31" s="1263">
        <f t="shared" si="164"/>
        <v>1</v>
      </c>
      <c r="BQ31" s="1263">
        <f t="shared" si="164"/>
        <v>1</v>
      </c>
      <c r="BR31" s="1263">
        <f t="shared" si="164"/>
        <v>1</v>
      </c>
      <c r="BS31" s="1263">
        <f t="shared" si="164"/>
        <v>1</v>
      </c>
      <c r="BT31" s="1263">
        <f t="shared" si="164"/>
        <v>1</v>
      </c>
      <c r="BU31" s="1263">
        <f t="shared" si="164"/>
        <v>1</v>
      </c>
      <c r="BV31" s="1263">
        <f t="shared" si="164"/>
        <v>1</v>
      </c>
      <c r="BW31" s="1263">
        <f t="shared" si="164"/>
        <v>1</v>
      </c>
      <c r="BX31" s="1263">
        <f t="shared" si="164"/>
        <v>1</v>
      </c>
      <c r="BY31" s="1263">
        <f t="shared" si="164"/>
        <v>1</v>
      </c>
      <c r="BZ31" s="1263"/>
      <c r="CA31" s="99">
        <f t="shared" si="163"/>
        <v>10000</v>
      </c>
      <c r="CB31" s="99">
        <f t="shared" si="163"/>
        <v>210000</v>
      </c>
      <c r="CC31" s="99">
        <f t="shared" si="163"/>
        <v>0</v>
      </c>
      <c r="CD31" s="99">
        <f t="shared" si="163"/>
        <v>0</v>
      </c>
      <c r="CE31" s="99">
        <f t="shared" si="163"/>
        <v>0</v>
      </c>
      <c r="CF31" s="99">
        <f t="shared" si="163"/>
        <v>0</v>
      </c>
      <c r="CG31" s="99">
        <f t="shared" si="163"/>
        <v>0</v>
      </c>
      <c r="CH31" s="99">
        <f t="shared" si="163"/>
        <v>0</v>
      </c>
      <c r="CI31" s="99">
        <f t="shared" si="163"/>
        <v>0</v>
      </c>
      <c r="CJ31" s="99">
        <f t="shared" si="163"/>
        <v>0</v>
      </c>
      <c r="CK31" s="99">
        <f t="shared" si="163"/>
        <v>0</v>
      </c>
      <c r="CL31" s="99">
        <f t="shared" si="163"/>
        <v>0</v>
      </c>
      <c r="CM31" s="2261"/>
      <c r="CN31" s="2261"/>
      <c r="CO31" s="2261"/>
      <c r="CP31" s="2261"/>
      <c r="CQ31" s="2261"/>
      <c r="CR31" s="2261"/>
    </row>
    <row r="32" spans="1:96" s="355" customFormat="1" x14ac:dyDescent="0.2">
      <c r="A32" s="958" t="s">
        <v>3858</v>
      </c>
      <c r="B32" s="1132" t="s">
        <v>3187</v>
      </c>
      <c r="C32" s="1132" t="s">
        <v>5076</v>
      </c>
      <c r="D32" s="1132" t="s">
        <v>3187</v>
      </c>
      <c r="E32" s="2017">
        <v>82500</v>
      </c>
      <c r="F32" s="2009">
        <v>192000</v>
      </c>
      <c r="G32" s="2017"/>
      <c r="H32" s="2017"/>
      <c r="I32" s="2009"/>
      <c r="J32" s="2009"/>
      <c r="K32" s="2009"/>
      <c r="L32" s="2009"/>
      <c r="M32" s="2017"/>
      <c r="N32" s="2017"/>
      <c r="O32" s="2017"/>
      <c r="P32" s="2259"/>
      <c r="Q32" s="2244"/>
      <c r="R32" s="2017">
        <f>E32</f>
        <v>82500</v>
      </c>
      <c r="S32" s="2017"/>
      <c r="T32" s="2245">
        <f t="shared" si="82"/>
        <v>0</v>
      </c>
      <c r="U32" s="2244"/>
      <c r="V32" s="2017">
        <f>F32</f>
        <v>192000</v>
      </c>
      <c r="W32" s="2009"/>
      <c r="X32" s="2259">
        <f t="shared" si="151"/>
        <v>0</v>
      </c>
      <c r="Y32" s="2244"/>
      <c r="Z32" s="2017">
        <f>G32</f>
        <v>0</v>
      </c>
      <c r="AA32" s="2009"/>
      <c r="AB32" s="2259">
        <f t="shared" si="152"/>
        <v>0</v>
      </c>
      <c r="AC32" s="2244"/>
      <c r="AD32" s="2017">
        <f>ROUND(H32,-2)</f>
        <v>0</v>
      </c>
      <c r="AE32" s="2017"/>
      <c r="AF32" s="2259">
        <f t="shared" si="153"/>
        <v>0</v>
      </c>
      <c r="AG32" s="2009"/>
      <c r="AH32" s="2017">
        <f>ROUND(I32,-2)</f>
        <v>0</v>
      </c>
      <c r="AI32" s="2009"/>
      <c r="AJ32" s="2262">
        <f t="shared" si="154"/>
        <v>0</v>
      </c>
      <c r="AK32" s="2009">
        <v>0</v>
      </c>
      <c r="AL32" s="2017">
        <f>ROUND(J32,-2)</f>
        <v>0</v>
      </c>
      <c r="AM32" s="2009"/>
      <c r="AN32" s="2259">
        <f t="shared" si="155"/>
        <v>0</v>
      </c>
      <c r="AO32" s="2244"/>
      <c r="AP32" s="2017">
        <f>ROUND(K32,-2)</f>
        <v>0</v>
      </c>
      <c r="AQ32" s="2009"/>
      <c r="AR32" s="2259">
        <f t="shared" si="156"/>
        <v>0</v>
      </c>
      <c r="AS32" s="2244"/>
      <c r="AT32" s="2017">
        <f>ROUND(L32,-2)</f>
        <v>0</v>
      </c>
      <c r="AU32" s="2009"/>
      <c r="AV32" s="2259">
        <f t="shared" si="157"/>
        <v>0</v>
      </c>
      <c r="AW32" s="2244"/>
      <c r="AX32" s="2017">
        <f>ROUND(M32,-2)</f>
        <v>0</v>
      </c>
      <c r="AY32" s="2009"/>
      <c r="AZ32" s="2259">
        <f t="shared" si="158"/>
        <v>0</v>
      </c>
      <c r="BA32" s="2244"/>
      <c r="BB32" s="2017">
        <f>ROUND(N32,-2)</f>
        <v>0</v>
      </c>
      <c r="BC32" s="2009"/>
      <c r="BD32" s="2259">
        <f t="shared" si="159"/>
        <v>0</v>
      </c>
      <c r="BE32" s="2244"/>
      <c r="BF32" s="2017"/>
      <c r="BG32" s="2009"/>
      <c r="BH32" s="620">
        <f t="shared" si="160"/>
        <v>0</v>
      </c>
      <c r="BI32" s="2244"/>
      <c r="BJ32" s="2017"/>
      <c r="BK32" s="2009"/>
      <c r="BL32" s="1927">
        <f t="shared" si="161"/>
        <v>0</v>
      </c>
      <c r="BM32" s="2261"/>
      <c r="BN32" s="1263">
        <v>1</v>
      </c>
      <c r="BO32" s="1263">
        <f t="shared" ref="BO32:BY32" si="165">BN32</f>
        <v>1</v>
      </c>
      <c r="BP32" s="1263">
        <f t="shared" si="165"/>
        <v>1</v>
      </c>
      <c r="BQ32" s="1263">
        <f t="shared" si="165"/>
        <v>1</v>
      </c>
      <c r="BR32" s="1263">
        <f t="shared" si="165"/>
        <v>1</v>
      </c>
      <c r="BS32" s="1263">
        <f t="shared" si="165"/>
        <v>1</v>
      </c>
      <c r="BT32" s="1263">
        <f t="shared" si="165"/>
        <v>1</v>
      </c>
      <c r="BU32" s="1263">
        <f t="shared" si="165"/>
        <v>1</v>
      </c>
      <c r="BV32" s="1263">
        <f t="shared" si="165"/>
        <v>1</v>
      </c>
      <c r="BW32" s="1263">
        <f t="shared" si="165"/>
        <v>1</v>
      </c>
      <c r="BX32" s="1263">
        <f t="shared" si="165"/>
        <v>1</v>
      </c>
      <c r="BY32" s="1263">
        <f t="shared" si="165"/>
        <v>1</v>
      </c>
      <c r="BZ32" s="1263"/>
      <c r="CA32" s="99">
        <f t="shared" si="163"/>
        <v>83000</v>
      </c>
      <c r="CB32" s="99">
        <f t="shared" si="163"/>
        <v>192000</v>
      </c>
      <c r="CC32" s="99">
        <f t="shared" si="163"/>
        <v>0</v>
      </c>
      <c r="CD32" s="99">
        <f t="shared" si="163"/>
        <v>0</v>
      </c>
      <c r="CE32" s="99">
        <f t="shared" si="163"/>
        <v>0</v>
      </c>
      <c r="CF32" s="99">
        <f t="shared" si="163"/>
        <v>0</v>
      </c>
      <c r="CG32" s="99">
        <f t="shared" si="163"/>
        <v>0</v>
      </c>
      <c r="CH32" s="99">
        <f t="shared" si="163"/>
        <v>0</v>
      </c>
      <c r="CI32" s="99">
        <f t="shared" si="163"/>
        <v>0</v>
      </c>
      <c r="CJ32" s="99">
        <f t="shared" si="163"/>
        <v>0</v>
      </c>
      <c r="CK32" s="99">
        <f t="shared" si="163"/>
        <v>0</v>
      </c>
      <c r="CL32" s="99">
        <f t="shared" si="163"/>
        <v>0</v>
      </c>
      <c r="CM32" s="2261"/>
      <c r="CN32" s="2261"/>
      <c r="CO32" s="2261"/>
      <c r="CP32" s="2261"/>
      <c r="CQ32" s="2261"/>
      <c r="CR32" s="2261"/>
    </row>
    <row r="33" spans="1:96" s="355" customFormat="1" x14ac:dyDescent="0.2">
      <c r="A33" s="958" t="s">
        <v>3859</v>
      </c>
      <c r="B33" s="1132" t="s">
        <v>3188</v>
      </c>
      <c r="C33" s="1132" t="s">
        <v>5076</v>
      </c>
      <c r="D33" s="1132"/>
      <c r="E33" s="2017"/>
      <c r="F33" s="2009"/>
      <c r="G33" s="2017"/>
      <c r="H33" s="2017"/>
      <c r="I33" s="2009">
        <v>446000</v>
      </c>
      <c r="J33" s="2009"/>
      <c r="K33" s="2009"/>
      <c r="L33" s="2009"/>
      <c r="M33" s="2017"/>
      <c r="N33" s="2017"/>
      <c r="O33" s="2017"/>
      <c r="P33" s="2259"/>
      <c r="Q33" s="2244"/>
      <c r="R33" s="2017">
        <f>E33</f>
        <v>0</v>
      </c>
      <c r="S33" s="2017"/>
      <c r="T33" s="2245">
        <f t="shared" si="82"/>
        <v>0</v>
      </c>
      <c r="U33" s="2244"/>
      <c r="V33" s="2017">
        <f>F33</f>
        <v>0</v>
      </c>
      <c r="W33" s="2009"/>
      <c r="X33" s="2259">
        <f t="shared" si="151"/>
        <v>0</v>
      </c>
      <c r="Y33" s="2244"/>
      <c r="Z33" s="2017">
        <f>G33</f>
        <v>0</v>
      </c>
      <c r="AA33" s="2009"/>
      <c r="AB33" s="2259">
        <f t="shared" si="152"/>
        <v>0</v>
      </c>
      <c r="AC33" s="2244"/>
      <c r="AD33" s="2017">
        <f>ROUND(H33,-2)</f>
        <v>0</v>
      </c>
      <c r="AE33" s="2017"/>
      <c r="AF33" s="2259">
        <f t="shared" si="153"/>
        <v>0</v>
      </c>
      <c r="AG33" s="2009"/>
      <c r="AH33" s="2017">
        <f>ROUND(I33,-2)</f>
        <v>446000</v>
      </c>
      <c r="AI33" s="2009"/>
      <c r="AJ33" s="2262">
        <f t="shared" si="154"/>
        <v>0</v>
      </c>
      <c r="AK33" s="2009">
        <v>0</v>
      </c>
      <c r="AL33" s="2017">
        <f>ROUND(J33,-2)</f>
        <v>0</v>
      </c>
      <c r="AM33" s="2009"/>
      <c r="AN33" s="2259">
        <f t="shared" si="155"/>
        <v>0</v>
      </c>
      <c r="AO33" s="2244"/>
      <c r="AP33" s="2017">
        <f>ROUND(K33,-2)</f>
        <v>0</v>
      </c>
      <c r="AQ33" s="2009"/>
      <c r="AR33" s="2259">
        <f t="shared" si="156"/>
        <v>0</v>
      </c>
      <c r="AS33" s="2244"/>
      <c r="AT33" s="2017">
        <f>ROUND(L33,-2)</f>
        <v>0</v>
      </c>
      <c r="AU33" s="2009"/>
      <c r="AV33" s="2259">
        <f t="shared" si="157"/>
        <v>0</v>
      </c>
      <c r="AW33" s="2244"/>
      <c r="AX33" s="2017">
        <f>ROUND(M33,-2)</f>
        <v>0</v>
      </c>
      <c r="AY33" s="2009"/>
      <c r="AZ33" s="2259">
        <f t="shared" si="158"/>
        <v>0</v>
      </c>
      <c r="BA33" s="2244"/>
      <c r="BB33" s="2017">
        <f>ROUND(N33,-2)</f>
        <v>0</v>
      </c>
      <c r="BC33" s="2009"/>
      <c r="BD33" s="2259">
        <f t="shared" si="159"/>
        <v>0</v>
      </c>
      <c r="BE33" s="2244"/>
      <c r="BF33" s="2017"/>
      <c r="BG33" s="2009"/>
      <c r="BH33" s="620">
        <f t="shared" si="160"/>
        <v>0</v>
      </c>
      <c r="BI33" s="2244"/>
      <c r="BJ33" s="2017"/>
      <c r="BK33" s="2009"/>
      <c r="BL33" s="1927">
        <f t="shared" si="161"/>
        <v>0</v>
      </c>
      <c r="BM33" s="2261"/>
      <c r="BN33" s="1263">
        <v>1</v>
      </c>
      <c r="BO33" s="1263">
        <f t="shared" ref="BO33:BY33" si="166">BN33</f>
        <v>1</v>
      </c>
      <c r="BP33" s="1263">
        <f t="shared" si="166"/>
        <v>1</v>
      </c>
      <c r="BQ33" s="1263">
        <f t="shared" si="166"/>
        <v>1</v>
      </c>
      <c r="BR33" s="1263">
        <f t="shared" si="166"/>
        <v>1</v>
      </c>
      <c r="BS33" s="1263">
        <f t="shared" si="166"/>
        <v>1</v>
      </c>
      <c r="BT33" s="1263">
        <f t="shared" si="166"/>
        <v>1</v>
      </c>
      <c r="BU33" s="1263">
        <f t="shared" si="166"/>
        <v>1</v>
      </c>
      <c r="BV33" s="1263">
        <f t="shared" si="166"/>
        <v>1</v>
      </c>
      <c r="BW33" s="1263">
        <f t="shared" si="166"/>
        <v>1</v>
      </c>
      <c r="BX33" s="1263">
        <f t="shared" si="166"/>
        <v>1</v>
      </c>
      <c r="BY33" s="1263">
        <f t="shared" si="166"/>
        <v>1</v>
      </c>
      <c r="BZ33" s="1263"/>
      <c r="CA33" s="99">
        <f t="shared" si="163"/>
        <v>0</v>
      </c>
      <c r="CB33" s="99">
        <f t="shared" si="163"/>
        <v>0</v>
      </c>
      <c r="CC33" s="99">
        <f t="shared" si="163"/>
        <v>0</v>
      </c>
      <c r="CD33" s="99">
        <f t="shared" si="163"/>
        <v>0</v>
      </c>
      <c r="CE33" s="99">
        <f t="shared" si="163"/>
        <v>446000</v>
      </c>
      <c r="CF33" s="99">
        <f t="shared" si="163"/>
        <v>0</v>
      </c>
      <c r="CG33" s="99">
        <f t="shared" si="163"/>
        <v>0</v>
      </c>
      <c r="CH33" s="99">
        <f t="shared" si="163"/>
        <v>0</v>
      </c>
      <c r="CI33" s="99">
        <f t="shared" si="163"/>
        <v>0</v>
      </c>
      <c r="CJ33" s="99">
        <f t="shared" si="163"/>
        <v>0</v>
      </c>
      <c r="CK33" s="99">
        <f t="shared" si="163"/>
        <v>0</v>
      </c>
      <c r="CL33" s="99">
        <f t="shared" si="163"/>
        <v>0</v>
      </c>
      <c r="CM33" s="2261"/>
      <c r="CN33" s="2261"/>
      <c r="CO33" s="2261"/>
      <c r="CP33" s="2261"/>
      <c r="CQ33" s="2261"/>
      <c r="CR33" s="2261"/>
    </row>
    <row r="34" spans="1:96" s="355" customFormat="1" x14ac:dyDescent="0.2">
      <c r="A34" s="958" t="s">
        <v>3860</v>
      </c>
      <c r="B34" s="1044"/>
      <c r="C34" s="1044"/>
      <c r="D34" s="1044"/>
      <c r="E34" s="2017"/>
      <c r="F34" s="2009"/>
      <c r="G34" s="2017">
        <v>662000</v>
      </c>
      <c r="H34" s="2017"/>
      <c r="I34" s="2009"/>
      <c r="J34" s="2009"/>
      <c r="K34" s="2009"/>
      <c r="L34" s="2009"/>
      <c r="M34" s="2017"/>
      <c r="N34" s="2017"/>
      <c r="O34" s="2017"/>
      <c r="P34" s="2259"/>
      <c r="Q34" s="2244"/>
      <c r="R34" s="2017">
        <f>E34</f>
        <v>0</v>
      </c>
      <c r="S34" s="2017"/>
      <c r="T34" s="2245">
        <f t="shared" si="82"/>
        <v>0</v>
      </c>
      <c r="U34" s="2244"/>
      <c r="V34" s="2017">
        <f>F34</f>
        <v>0</v>
      </c>
      <c r="W34" s="2009"/>
      <c r="X34" s="2259">
        <f t="shared" si="151"/>
        <v>0</v>
      </c>
      <c r="Y34" s="2244"/>
      <c r="Z34" s="2017">
        <f>G34</f>
        <v>662000</v>
      </c>
      <c r="AA34" s="2009"/>
      <c r="AB34" s="2259">
        <f t="shared" si="152"/>
        <v>0</v>
      </c>
      <c r="AC34" s="2244"/>
      <c r="AD34" s="2017">
        <f>ROUND(H34,-2)</f>
        <v>0</v>
      </c>
      <c r="AE34" s="2017"/>
      <c r="AF34" s="2259">
        <f t="shared" si="153"/>
        <v>0</v>
      </c>
      <c r="AG34" s="2009"/>
      <c r="AH34" s="2017">
        <f>ROUND(I34,-2)</f>
        <v>0</v>
      </c>
      <c r="AI34" s="2009"/>
      <c r="AJ34" s="2262">
        <f t="shared" si="154"/>
        <v>0</v>
      </c>
      <c r="AK34" s="2009">
        <v>0</v>
      </c>
      <c r="AL34" s="2017">
        <f>ROUND(J34,-2)</f>
        <v>0</v>
      </c>
      <c r="AM34" s="2009"/>
      <c r="AN34" s="2259">
        <f t="shared" si="155"/>
        <v>0</v>
      </c>
      <c r="AO34" s="2244"/>
      <c r="AP34" s="2017">
        <f>ROUND(K34,-2)</f>
        <v>0</v>
      </c>
      <c r="AQ34" s="2009"/>
      <c r="AR34" s="2259">
        <f t="shared" si="156"/>
        <v>0</v>
      </c>
      <c r="AS34" s="2244"/>
      <c r="AT34" s="2017">
        <f>ROUND(L34,-2)</f>
        <v>0</v>
      </c>
      <c r="AU34" s="2009"/>
      <c r="AV34" s="2259">
        <f t="shared" si="157"/>
        <v>0</v>
      </c>
      <c r="AW34" s="2244"/>
      <c r="AX34" s="2017">
        <f>ROUND(M34,-2)</f>
        <v>0</v>
      </c>
      <c r="AY34" s="2009"/>
      <c r="AZ34" s="2259">
        <f t="shared" si="158"/>
        <v>0</v>
      </c>
      <c r="BA34" s="2244"/>
      <c r="BB34" s="2017">
        <f>ROUND(N34,-2)</f>
        <v>0</v>
      </c>
      <c r="BC34" s="2009"/>
      <c r="BD34" s="2259">
        <f t="shared" si="159"/>
        <v>0</v>
      </c>
      <c r="BE34" s="2244"/>
      <c r="BF34" s="2017"/>
      <c r="BG34" s="2009"/>
      <c r="BH34" s="620">
        <f t="shared" si="160"/>
        <v>0</v>
      </c>
      <c r="BI34" s="2244"/>
      <c r="BJ34" s="2017"/>
      <c r="BK34" s="2009"/>
      <c r="BL34" s="1927">
        <f t="shared" si="161"/>
        <v>0</v>
      </c>
      <c r="BM34" s="2261"/>
      <c r="BN34" s="1263">
        <v>1</v>
      </c>
      <c r="BO34" s="1263">
        <f t="shared" ref="BO34:BY34" si="167">BN34</f>
        <v>1</v>
      </c>
      <c r="BP34" s="1263">
        <f t="shared" si="167"/>
        <v>1</v>
      </c>
      <c r="BQ34" s="1263">
        <f t="shared" si="167"/>
        <v>1</v>
      </c>
      <c r="BR34" s="1263">
        <f t="shared" si="167"/>
        <v>1</v>
      </c>
      <c r="BS34" s="1263">
        <f t="shared" si="167"/>
        <v>1</v>
      </c>
      <c r="BT34" s="1263">
        <f t="shared" si="167"/>
        <v>1</v>
      </c>
      <c r="BU34" s="1263">
        <f t="shared" si="167"/>
        <v>1</v>
      </c>
      <c r="BV34" s="1263">
        <f t="shared" si="167"/>
        <v>1</v>
      </c>
      <c r="BW34" s="1263">
        <f t="shared" si="167"/>
        <v>1</v>
      </c>
      <c r="BX34" s="1263">
        <f t="shared" si="167"/>
        <v>1</v>
      </c>
      <c r="BY34" s="1263">
        <f t="shared" si="167"/>
        <v>1</v>
      </c>
      <c r="BZ34" s="1263"/>
      <c r="CA34" s="99">
        <f t="shared" si="163"/>
        <v>0</v>
      </c>
      <c r="CB34" s="99">
        <f t="shared" si="163"/>
        <v>0</v>
      </c>
      <c r="CC34" s="99">
        <f t="shared" si="163"/>
        <v>662000</v>
      </c>
      <c r="CD34" s="99">
        <f t="shared" si="163"/>
        <v>0</v>
      </c>
      <c r="CE34" s="99">
        <f t="shared" si="163"/>
        <v>0</v>
      </c>
      <c r="CF34" s="99">
        <f t="shared" si="163"/>
        <v>0</v>
      </c>
      <c r="CG34" s="99">
        <f t="shared" si="163"/>
        <v>0</v>
      </c>
      <c r="CH34" s="99">
        <f t="shared" si="163"/>
        <v>0</v>
      </c>
      <c r="CI34" s="99">
        <f t="shared" si="163"/>
        <v>0</v>
      </c>
      <c r="CJ34" s="99">
        <f t="shared" si="163"/>
        <v>0</v>
      </c>
      <c r="CK34" s="99">
        <f t="shared" si="163"/>
        <v>0</v>
      </c>
      <c r="CL34" s="99">
        <f t="shared" si="163"/>
        <v>0</v>
      </c>
      <c r="CM34" s="2261"/>
      <c r="CN34" s="2261"/>
      <c r="CO34" s="2261"/>
      <c r="CP34" s="2261"/>
      <c r="CQ34" s="2261"/>
      <c r="CR34" s="2261"/>
    </row>
    <row r="35" spans="1:96" s="355" customFormat="1" x14ac:dyDescent="0.2">
      <c r="A35" s="958"/>
      <c r="B35" s="1044"/>
      <c r="C35" s="1044"/>
      <c r="D35" s="1044"/>
      <c r="E35" s="2017"/>
      <c r="F35" s="2009"/>
      <c r="G35" s="2017"/>
      <c r="H35" s="2017"/>
      <c r="I35" s="2009"/>
      <c r="J35" s="2009"/>
      <c r="K35" s="2009"/>
      <c r="L35" s="2009"/>
      <c r="M35" s="2009"/>
      <c r="N35" s="2017"/>
      <c r="O35" s="2017"/>
      <c r="P35" s="2010"/>
      <c r="Q35" s="2244"/>
      <c r="R35" s="2017"/>
      <c r="S35" s="2017"/>
      <c r="T35" s="2245"/>
      <c r="U35" s="2244"/>
      <c r="V35" s="2017"/>
      <c r="W35" s="2009"/>
      <c r="X35" s="2259"/>
      <c r="Y35" s="2244"/>
      <c r="Z35" s="2017"/>
      <c r="AA35" s="2009"/>
      <c r="AB35" s="2259"/>
      <c r="AC35" s="2244"/>
      <c r="AD35" s="2017"/>
      <c r="AE35" s="2017"/>
      <c r="AF35" s="2259"/>
      <c r="AG35" s="2009"/>
      <c r="AH35" s="2017"/>
      <c r="AI35" s="2009"/>
      <c r="AJ35" s="2262"/>
      <c r="AK35" s="2009"/>
      <c r="AL35" s="2017"/>
      <c r="AM35" s="2009"/>
      <c r="AN35" s="2259"/>
      <c r="AO35" s="2244"/>
      <c r="AP35" s="2017"/>
      <c r="AQ35" s="2009"/>
      <c r="AR35" s="2259"/>
      <c r="AS35" s="2244"/>
      <c r="AT35" s="2017"/>
      <c r="AU35" s="2009"/>
      <c r="AV35" s="2259"/>
      <c r="AW35" s="2244"/>
      <c r="AX35" s="2017"/>
      <c r="AY35" s="2009"/>
      <c r="AZ35" s="2259"/>
      <c r="BA35" s="2244"/>
      <c r="BB35" s="2017"/>
      <c r="BC35" s="2009"/>
      <c r="BD35" s="2259"/>
      <c r="BE35" s="2244"/>
      <c r="BF35" s="2017"/>
      <c r="BG35" s="2009"/>
      <c r="BH35" s="2259"/>
      <c r="BI35" s="2244"/>
      <c r="BJ35" s="2017"/>
      <c r="BK35" s="2009"/>
      <c r="BL35" s="2262"/>
      <c r="BM35" s="2261"/>
      <c r="BN35" s="1263"/>
      <c r="BO35" s="1263"/>
      <c r="BP35" s="1263"/>
      <c r="BQ35" s="1263"/>
      <c r="BR35" s="1263"/>
      <c r="BS35" s="1263"/>
      <c r="BT35" s="1263"/>
      <c r="BU35" s="1263"/>
      <c r="BV35" s="1263"/>
      <c r="BW35" s="1263"/>
      <c r="BX35" s="1263"/>
      <c r="BY35" s="1263"/>
      <c r="BZ35" s="1263"/>
      <c r="CA35" s="99"/>
      <c r="CB35" s="99"/>
      <c r="CC35" s="99"/>
      <c r="CD35" s="99"/>
      <c r="CE35" s="99"/>
      <c r="CF35" s="99"/>
      <c r="CG35" s="99"/>
      <c r="CH35" s="99"/>
      <c r="CI35" s="99"/>
      <c r="CJ35" s="99"/>
      <c r="CK35" s="99"/>
      <c r="CL35" s="99"/>
      <c r="CM35" s="2261"/>
      <c r="CN35" s="2261"/>
      <c r="CO35" s="2261"/>
      <c r="CP35" s="2261"/>
      <c r="CQ35" s="2261"/>
      <c r="CR35" s="2261"/>
    </row>
    <row r="36" spans="1:96" s="355" customFormat="1" x14ac:dyDescent="0.2">
      <c r="A36" s="1104" t="s">
        <v>2351</v>
      </c>
      <c r="B36" s="528"/>
      <c r="C36" s="528"/>
      <c r="D36" s="528"/>
      <c r="E36" s="2017"/>
      <c r="F36" s="2009"/>
      <c r="G36" s="2017"/>
      <c r="H36" s="2017"/>
      <c r="I36" s="2009"/>
      <c r="J36" s="2009"/>
      <c r="K36" s="2009"/>
      <c r="L36" s="2009"/>
      <c r="M36" s="2017"/>
      <c r="N36" s="2017"/>
      <c r="O36" s="2017"/>
      <c r="P36" s="2259"/>
      <c r="Q36" s="2244"/>
      <c r="R36" s="2017"/>
      <c r="S36" s="2017"/>
      <c r="T36" s="2245"/>
      <c r="U36" s="2244"/>
      <c r="V36" s="2017"/>
      <c r="W36" s="2009"/>
      <c r="X36" s="2259"/>
      <c r="Y36" s="2244"/>
      <c r="Z36" s="2017"/>
      <c r="AA36" s="2009"/>
      <c r="AB36" s="2259"/>
      <c r="AC36" s="2244"/>
      <c r="AD36" s="2017"/>
      <c r="AE36" s="2017"/>
      <c r="AF36" s="2259"/>
      <c r="AG36" s="2009"/>
      <c r="AH36" s="2017"/>
      <c r="AI36" s="2009"/>
      <c r="AJ36" s="2262"/>
      <c r="AK36" s="2009"/>
      <c r="AL36" s="2017"/>
      <c r="AM36" s="2009"/>
      <c r="AN36" s="2259"/>
      <c r="AO36" s="2244"/>
      <c r="AP36" s="2017"/>
      <c r="AQ36" s="2009"/>
      <c r="AR36" s="2259"/>
      <c r="AS36" s="2244"/>
      <c r="AT36" s="2017"/>
      <c r="AU36" s="2009"/>
      <c r="AV36" s="2259"/>
      <c r="AW36" s="2244"/>
      <c r="AX36" s="2017"/>
      <c r="AY36" s="2009"/>
      <c r="AZ36" s="2259"/>
      <c r="BA36" s="2244"/>
      <c r="BB36" s="2017"/>
      <c r="BC36" s="2009"/>
      <c r="BD36" s="2259"/>
      <c r="BE36" s="2244"/>
      <c r="BF36" s="2017"/>
      <c r="BG36" s="2009"/>
      <c r="BH36" s="2259"/>
      <c r="BI36" s="2244"/>
      <c r="BJ36" s="2017"/>
      <c r="BK36" s="2009"/>
      <c r="BL36" s="2262"/>
      <c r="BM36" s="2261"/>
      <c r="BN36" s="1263"/>
      <c r="BO36" s="1263"/>
      <c r="BP36" s="1263"/>
      <c r="BQ36" s="1263"/>
      <c r="BR36" s="1263"/>
      <c r="BS36" s="1263"/>
      <c r="BT36" s="1263"/>
      <c r="BU36" s="1263"/>
      <c r="BV36" s="1263"/>
      <c r="BW36" s="1263"/>
      <c r="BX36" s="1263"/>
      <c r="BY36" s="1263"/>
      <c r="BZ36" s="1263"/>
      <c r="CA36" s="99"/>
      <c r="CB36" s="99"/>
      <c r="CC36" s="99"/>
      <c r="CD36" s="99"/>
      <c r="CE36" s="99"/>
      <c r="CF36" s="99"/>
      <c r="CG36" s="99"/>
      <c r="CH36" s="99"/>
      <c r="CI36" s="99"/>
      <c r="CJ36" s="99"/>
      <c r="CK36" s="99"/>
      <c r="CL36" s="99"/>
      <c r="CM36" s="2261"/>
      <c r="CN36" s="2261"/>
      <c r="CO36" s="2261"/>
      <c r="CP36" s="2261"/>
      <c r="CQ36" s="2261"/>
      <c r="CR36" s="2261"/>
    </row>
    <row r="37" spans="1:96" s="1099" customFormat="1" x14ac:dyDescent="0.2">
      <c r="A37" s="958" t="s">
        <v>4945</v>
      </c>
      <c r="B37" s="953" t="s">
        <v>6480</v>
      </c>
      <c r="C37" s="1132" t="s">
        <v>6481</v>
      </c>
      <c r="D37" s="1132" t="s">
        <v>6481</v>
      </c>
      <c r="E37" s="2018"/>
      <c r="F37" s="2018">
        <v>800000</v>
      </c>
      <c r="G37" s="2019"/>
      <c r="H37" s="2018"/>
      <c r="I37" s="2018"/>
      <c r="J37" s="2018"/>
      <c r="K37" s="2018"/>
      <c r="L37" s="2018"/>
      <c r="M37" s="2019"/>
      <c r="N37" s="2019"/>
      <c r="O37" s="2019"/>
      <c r="P37" s="2245"/>
      <c r="Q37" s="2244"/>
      <c r="R37" s="2017">
        <f t="shared" ref="R37:R48" si="168">E37</f>
        <v>0</v>
      </c>
      <c r="S37" s="2017"/>
      <c r="T37" s="2245">
        <f>$E37-Q37-R37-S37</f>
        <v>0</v>
      </c>
      <c r="U37" s="2244"/>
      <c r="V37" s="2017">
        <f>F37</f>
        <v>800000</v>
      </c>
      <c r="W37" s="2009"/>
      <c r="X37" s="2259">
        <f>$F37-U37-V37-W37</f>
        <v>0</v>
      </c>
      <c r="Y37" s="2244"/>
      <c r="Z37" s="2017">
        <f t="shared" ref="Z37:Z48" si="169">ROUND(G37/2,-2)</f>
        <v>0</v>
      </c>
      <c r="AA37" s="2009"/>
      <c r="AB37" s="2259">
        <f>$G37-Y37-Z37-AA37</f>
        <v>0</v>
      </c>
      <c r="AC37" s="2246"/>
      <c r="AD37" s="2017">
        <f t="shared" ref="AD37:AD48" si="170">ROUND(H37/2,-2)</f>
        <v>0</v>
      </c>
      <c r="AE37" s="2017"/>
      <c r="AF37" s="2259">
        <f>$H37-AC37-AD37-AE37</f>
        <v>0</v>
      </c>
      <c r="AG37" s="2009"/>
      <c r="AH37" s="2017">
        <f t="shared" ref="AH37:AH48" si="171">ROUND(I37/2,-2)</f>
        <v>0</v>
      </c>
      <c r="AI37" s="2009"/>
      <c r="AJ37" s="2262">
        <f>$I37-AG37-AH37-AI37</f>
        <v>0</v>
      </c>
      <c r="AK37" s="2009">
        <v>0</v>
      </c>
      <c r="AL37" s="2017">
        <v>0</v>
      </c>
      <c r="AM37" s="2009"/>
      <c r="AN37" s="2259">
        <f>$J37-AK37-AL37-AM37</f>
        <v>0</v>
      </c>
      <c r="AO37" s="2244"/>
      <c r="AP37" s="2017">
        <f>ROUND(K37,-2)</f>
        <v>0</v>
      </c>
      <c r="AQ37" s="2009"/>
      <c r="AR37" s="2259">
        <f>$K37-AO37-AP37-AQ37</f>
        <v>0</v>
      </c>
      <c r="AS37" s="2244"/>
      <c r="AT37" s="2017">
        <f>ROUND(L37,-2)</f>
        <v>0</v>
      </c>
      <c r="AU37" s="2009"/>
      <c r="AV37" s="2259">
        <f>$L37-AS37-AT37-AU37</f>
        <v>0</v>
      </c>
      <c r="AW37" s="2244"/>
      <c r="AX37" s="2017">
        <f t="shared" ref="AX37:AX48" si="172">ROUND(M37,-2)</f>
        <v>0</v>
      </c>
      <c r="AY37" s="2009"/>
      <c r="AZ37" s="2259">
        <f>$M37-AW37-AX37-AY37</f>
        <v>0</v>
      </c>
      <c r="BA37" s="2244"/>
      <c r="BB37" s="2017">
        <f t="shared" ref="BB37:BB45" si="173">ROUND(N37,-2)</f>
        <v>0</v>
      </c>
      <c r="BC37" s="2009"/>
      <c r="BD37" s="2259">
        <f>$N37-BA37-BB37-BC37</f>
        <v>0</v>
      </c>
      <c r="BE37" s="2244"/>
      <c r="BF37" s="2017"/>
      <c r="BG37" s="2009"/>
      <c r="BH37" s="620">
        <f t="shared" ref="BH37:BH50" si="174">$O37-BE37-BF37-BG37</f>
        <v>0</v>
      </c>
      <c r="BI37" s="2244"/>
      <c r="BJ37" s="2017"/>
      <c r="BK37" s="2009"/>
      <c r="BL37" s="1927">
        <f t="shared" ref="BL37:BL50" si="175">$P37-BI37-BJ37-BK37</f>
        <v>0</v>
      </c>
      <c r="BM37" s="2260"/>
      <c r="BN37" s="1263">
        <v>0</v>
      </c>
      <c r="BO37" s="1263">
        <f t="shared" ref="BO37:BY37" si="176">BN37</f>
        <v>0</v>
      </c>
      <c r="BP37" s="1263">
        <f t="shared" si="176"/>
        <v>0</v>
      </c>
      <c r="BQ37" s="1263">
        <f t="shared" si="176"/>
        <v>0</v>
      </c>
      <c r="BR37" s="1263">
        <f t="shared" si="176"/>
        <v>0</v>
      </c>
      <c r="BS37" s="1263">
        <f t="shared" si="176"/>
        <v>0</v>
      </c>
      <c r="BT37" s="1263">
        <f t="shared" si="176"/>
        <v>0</v>
      </c>
      <c r="BU37" s="1263">
        <f t="shared" si="176"/>
        <v>0</v>
      </c>
      <c r="BV37" s="1263">
        <f t="shared" si="176"/>
        <v>0</v>
      </c>
      <c r="BW37" s="1263">
        <f t="shared" si="176"/>
        <v>0</v>
      </c>
      <c r="BX37" s="1263">
        <f t="shared" si="176"/>
        <v>0</v>
      </c>
      <c r="BY37" s="1263">
        <f t="shared" si="176"/>
        <v>0</v>
      </c>
      <c r="BZ37" s="1263"/>
      <c r="CA37" s="99">
        <f t="shared" ref="CA37:CA48" si="177">ROUND(BN37*E37,-3)</f>
        <v>0</v>
      </c>
      <c r="CB37" s="99">
        <f t="shared" ref="CB37:CB48" si="178">ROUND(BO37*F37,-3)</f>
        <v>0</v>
      </c>
      <c r="CC37" s="99">
        <f t="shared" ref="CC37:CC48" si="179">ROUND(BP37*G37,-3)</f>
        <v>0</v>
      </c>
      <c r="CD37" s="99">
        <f t="shared" ref="CD37:CD48" si="180">ROUND(BQ37*H37,-3)</f>
        <v>0</v>
      </c>
      <c r="CE37" s="99">
        <f t="shared" ref="CE37:CE48" si="181">ROUND(BR37*I37,-3)</f>
        <v>0</v>
      </c>
      <c r="CF37" s="99">
        <f t="shared" ref="CF37:CF48" si="182">ROUND(BS37*J37,-3)</f>
        <v>0</v>
      </c>
      <c r="CG37" s="99">
        <f t="shared" ref="CG37:CG48" si="183">ROUND(BT37*K37,-3)</f>
        <v>0</v>
      </c>
      <c r="CH37" s="99">
        <f t="shared" ref="CH37:CH48" si="184">ROUND(BU37*L37,-3)</f>
        <v>0</v>
      </c>
      <c r="CI37" s="99">
        <f t="shared" ref="CI37:CI48" si="185">ROUND(BV37*M37,-3)</f>
        <v>0</v>
      </c>
      <c r="CJ37" s="99">
        <f t="shared" ref="CJ37:CJ48" si="186">ROUND(BW37*N37,-3)</f>
        <v>0</v>
      </c>
      <c r="CK37" s="99">
        <f t="shared" ref="CK37:CL48" si="187">ROUND(BX37*O37,-3)</f>
        <v>0</v>
      </c>
      <c r="CL37" s="99">
        <f t="shared" si="187"/>
        <v>0</v>
      </c>
      <c r="CM37" s="2260"/>
      <c r="CN37" s="2260"/>
      <c r="CO37" s="2260"/>
      <c r="CP37" s="2260"/>
      <c r="CQ37" s="2260"/>
      <c r="CR37" s="2260"/>
    </row>
    <row r="38" spans="1:96" s="1099" customFormat="1" x14ac:dyDescent="0.2">
      <c r="A38" s="958" t="s">
        <v>4946</v>
      </c>
      <c r="B38" s="528"/>
      <c r="C38" s="528"/>
      <c r="D38" s="528"/>
      <c r="E38" s="2018"/>
      <c r="F38" s="2018"/>
      <c r="G38" s="2019"/>
      <c r="H38" s="2018"/>
      <c r="I38" s="2018"/>
      <c r="J38" s="2018">
        <v>282000</v>
      </c>
      <c r="K38" s="2018"/>
      <c r="L38" s="2018"/>
      <c r="M38" s="2019"/>
      <c r="N38" s="2019"/>
      <c r="O38" s="2019"/>
      <c r="P38" s="2245"/>
      <c r="Q38" s="2244"/>
      <c r="R38" s="2017">
        <f t="shared" si="168"/>
        <v>0</v>
      </c>
      <c r="S38" s="2017"/>
      <c r="T38" s="2245">
        <f>$E38-Q38-R38-S38</f>
        <v>0</v>
      </c>
      <c r="U38" s="2244"/>
      <c r="V38" s="2017">
        <f>ROUND(F38/2,-2)</f>
        <v>0</v>
      </c>
      <c r="W38" s="2009"/>
      <c r="X38" s="2259">
        <f>$F38-U38-V38-W38</f>
        <v>0</v>
      </c>
      <c r="Y38" s="2244"/>
      <c r="Z38" s="2017">
        <f t="shared" si="169"/>
        <v>0</v>
      </c>
      <c r="AA38" s="2009"/>
      <c r="AB38" s="2259">
        <f>$G38-Y38-Z38-AA38</f>
        <v>0</v>
      </c>
      <c r="AC38" s="2246"/>
      <c r="AD38" s="2017">
        <f t="shared" si="170"/>
        <v>0</v>
      </c>
      <c r="AE38" s="2017"/>
      <c r="AF38" s="2259">
        <f>$H38-AC38-AD38-AE38</f>
        <v>0</v>
      </c>
      <c r="AG38" s="2009"/>
      <c r="AH38" s="2017">
        <f t="shared" si="171"/>
        <v>0</v>
      </c>
      <c r="AI38" s="2009"/>
      <c r="AJ38" s="2262">
        <f>$I38-AG38-AH38-AI38</f>
        <v>0</v>
      </c>
      <c r="AK38" s="2009">
        <v>0</v>
      </c>
      <c r="AL38" s="2017">
        <v>0</v>
      </c>
      <c r="AM38" s="2009"/>
      <c r="AN38" s="2259">
        <f>$J38-AK38-AL38-AM38</f>
        <v>282000</v>
      </c>
      <c r="AO38" s="2244"/>
      <c r="AP38" s="2017">
        <f>ROUND(K38,-2)</f>
        <v>0</v>
      </c>
      <c r="AQ38" s="2009"/>
      <c r="AR38" s="2259">
        <f>$K38-AO38-AP38-AQ38</f>
        <v>0</v>
      </c>
      <c r="AS38" s="2244"/>
      <c r="AT38" s="2017">
        <f>ROUND(L38,-2)</f>
        <v>0</v>
      </c>
      <c r="AU38" s="2009"/>
      <c r="AV38" s="2259">
        <f>$L38-AS38-AT38-AU38</f>
        <v>0</v>
      </c>
      <c r="AW38" s="2244"/>
      <c r="AX38" s="2017">
        <f t="shared" si="172"/>
        <v>0</v>
      </c>
      <c r="AY38" s="2009"/>
      <c r="AZ38" s="2259">
        <f>$M38-AW38-AX38-AY38</f>
        <v>0</v>
      </c>
      <c r="BA38" s="2244"/>
      <c r="BB38" s="2017">
        <f t="shared" si="173"/>
        <v>0</v>
      </c>
      <c r="BC38" s="2009"/>
      <c r="BD38" s="2259">
        <f>$N38-BA38-BB38-BC38</f>
        <v>0</v>
      </c>
      <c r="BE38" s="2244"/>
      <c r="BF38" s="2017"/>
      <c r="BG38" s="2009"/>
      <c r="BH38" s="620">
        <f t="shared" si="174"/>
        <v>0</v>
      </c>
      <c r="BI38" s="2244"/>
      <c r="BJ38" s="2017"/>
      <c r="BK38" s="2009"/>
      <c r="BL38" s="1927">
        <f t="shared" si="175"/>
        <v>0</v>
      </c>
      <c r="BM38" s="2260"/>
      <c r="BN38" s="1263">
        <v>1</v>
      </c>
      <c r="BO38" s="1263">
        <f t="shared" ref="BO38:BY38" si="188">BN38</f>
        <v>1</v>
      </c>
      <c r="BP38" s="1263">
        <f t="shared" si="188"/>
        <v>1</v>
      </c>
      <c r="BQ38" s="1263">
        <f t="shared" si="188"/>
        <v>1</v>
      </c>
      <c r="BR38" s="1263">
        <f t="shared" si="188"/>
        <v>1</v>
      </c>
      <c r="BS38" s="1263">
        <f t="shared" si="188"/>
        <v>1</v>
      </c>
      <c r="BT38" s="1263">
        <f t="shared" si="188"/>
        <v>1</v>
      </c>
      <c r="BU38" s="1263">
        <f t="shared" si="188"/>
        <v>1</v>
      </c>
      <c r="BV38" s="1263">
        <f t="shared" si="188"/>
        <v>1</v>
      </c>
      <c r="BW38" s="1263">
        <f t="shared" si="188"/>
        <v>1</v>
      </c>
      <c r="BX38" s="1263">
        <f t="shared" si="188"/>
        <v>1</v>
      </c>
      <c r="BY38" s="1263">
        <f t="shared" si="188"/>
        <v>1</v>
      </c>
      <c r="BZ38" s="1263"/>
      <c r="CA38" s="99">
        <f t="shared" si="177"/>
        <v>0</v>
      </c>
      <c r="CB38" s="99">
        <f t="shared" si="178"/>
        <v>0</v>
      </c>
      <c r="CC38" s="99">
        <f t="shared" si="179"/>
        <v>0</v>
      </c>
      <c r="CD38" s="99">
        <f t="shared" si="180"/>
        <v>0</v>
      </c>
      <c r="CE38" s="99">
        <f t="shared" si="181"/>
        <v>0</v>
      </c>
      <c r="CF38" s="99">
        <f t="shared" si="182"/>
        <v>282000</v>
      </c>
      <c r="CG38" s="99">
        <f t="shared" si="183"/>
        <v>0</v>
      </c>
      <c r="CH38" s="99">
        <f t="shared" si="184"/>
        <v>0</v>
      </c>
      <c r="CI38" s="99">
        <f t="shared" si="185"/>
        <v>0</v>
      </c>
      <c r="CJ38" s="99">
        <f t="shared" si="186"/>
        <v>0</v>
      </c>
      <c r="CK38" s="99">
        <f t="shared" si="187"/>
        <v>0</v>
      </c>
      <c r="CL38" s="99">
        <f t="shared" si="187"/>
        <v>0</v>
      </c>
      <c r="CM38" s="2260"/>
      <c r="CN38" s="2260"/>
      <c r="CO38" s="2260"/>
      <c r="CP38" s="2260"/>
      <c r="CQ38" s="2260"/>
      <c r="CR38" s="2260"/>
    </row>
    <row r="39" spans="1:96" s="1099" customFormat="1" x14ac:dyDescent="0.2">
      <c r="A39" s="958" t="s">
        <v>4947</v>
      </c>
      <c r="B39" s="953" t="s">
        <v>3191</v>
      </c>
      <c r="C39" s="953" t="s">
        <v>4136</v>
      </c>
      <c r="D39" s="953"/>
      <c r="E39" s="2018"/>
      <c r="F39" s="2017"/>
      <c r="G39" s="2018"/>
      <c r="H39" s="2018"/>
      <c r="I39" s="2018"/>
      <c r="J39" s="2018"/>
      <c r="K39" s="2018">
        <v>712000</v>
      </c>
      <c r="L39" s="2018"/>
      <c r="M39" s="2019"/>
      <c r="N39" s="2019"/>
      <c r="O39" s="2019"/>
      <c r="P39" s="2245"/>
      <c r="Q39" s="2244"/>
      <c r="R39" s="2017">
        <f t="shared" si="168"/>
        <v>0</v>
      </c>
      <c r="S39" s="2017"/>
      <c r="T39" s="2245">
        <f>$E39-Q39-R39-S39</f>
        <v>0</v>
      </c>
      <c r="U39" s="2244"/>
      <c r="V39" s="2017">
        <f>ROUND(F39/2,-2)</f>
        <v>0</v>
      </c>
      <c r="W39" s="2009"/>
      <c r="X39" s="2259">
        <f>$F39-U39-V39-W39</f>
        <v>0</v>
      </c>
      <c r="Y39" s="2244"/>
      <c r="Z39" s="2017">
        <f t="shared" si="169"/>
        <v>0</v>
      </c>
      <c r="AA39" s="2009"/>
      <c r="AB39" s="2259">
        <f>$G39-Y39-Z39-AA39</f>
        <v>0</v>
      </c>
      <c r="AC39" s="2246"/>
      <c r="AD39" s="2017">
        <f t="shared" si="170"/>
        <v>0</v>
      </c>
      <c r="AE39" s="2017"/>
      <c r="AF39" s="2259">
        <f>$H39-AC39-AD39-AE39</f>
        <v>0</v>
      </c>
      <c r="AG39" s="2009"/>
      <c r="AH39" s="2017">
        <f t="shared" si="171"/>
        <v>0</v>
      </c>
      <c r="AI39" s="2009"/>
      <c r="AJ39" s="2262">
        <f>$I39-AG39-AH39-AI39</f>
        <v>0</v>
      </c>
      <c r="AK39" s="2009">
        <v>0</v>
      </c>
      <c r="AL39" s="2017">
        <v>0</v>
      </c>
      <c r="AM39" s="2009"/>
      <c r="AN39" s="2259">
        <f>$J39-AK39-AL39-AM39</f>
        <v>0</v>
      </c>
      <c r="AO39" s="2244"/>
      <c r="AP39" s="2017">
        <v>0</v>
      </c>
      <c r="AQ39" s="2009"/>
      <c r="AR39" s="2259">
        <f>$K39-AO39-AP39-AQ39</f>
        <v>712000</v>
      </c>
      <c r="AS39" s="2244"/>
      <c r="AT39" s="2017">
        <f>ROUND(L39,-2)</f>
        <v>0</v>
      </c>
      <c r="AU39" s="2009"/>
      <c r="AV39" s="2259">
        <f>$L39-AS39-AT39-AU39</f>
        <v>0</v>
      </c>
      <c r="AW39" s="2244"/>
      <c r="AX39" s="2017">
        <f t="shared" si="172"/>
        <v>0</v>
      </c>
      <c r="AY39" s="2009"/>
      <c r="AZ39" s="2259">
        <f>$M39-AW39-AX39-AY39</f>
        <v>0</v>
      </c>
      <c r="BA39" s="2244"/>
      <c r="BB39" s="2017">
        <f t="shared" si="173"/>
        <v>0</v>
      </c>
      <c r="BC39" s="2009"/>
      <c r="BD39" s="2259">
        <f>$N39-BA39-BB39-BC39</f>
        <v>0</v>
      </c>
      <c r="BE39" s="2244"/>
      <c r="BF39" s="2017"/>
      <c r="BG39" s="2009"/>
      <c r="BH39" s="620">
        <f t="shared" si="174"/>
        <v>0</v>
      </c>
      <c r="BI39" s="2244"/>
      <c r="BJ39" s="2017"/>
      <c r="BK39" s="2009"/>
      <c r="BL39" s="1927">
        <f t="shared" si="175"/>
        <v>0</v>
      </c>
      <c r="BM39" s="2260"/>
      <c r="BN39" s="1263">
        <v>1</v>
      </c>
      <c r="BO39" s="1263">
        <f t="shared" ref="BO39:BY39" si="189">BN39</f>
        <v>1</v>
      </c>
      <c r="BP39" s="1263">
        <f t="shared" si="189"/>
        <v>1</v>
      </c>
      <c r="BQ39" s="1263">
        <f t="shared" si="189"/>
        <v>1</v>
      </c>
      <c r="BR39" s="1263">
        <f t="shared" si="189"/>
        <v>1</v>
      </c>
      <c r="BS39" s="1263">
        <f t="shared" si="189"/>
        <v>1</v>
      </c>
      <c r="BT39" s="1263">
        <f t="shared" si="189"/>
        <v>1</v>
      </c>
      <c r="BU39" s="1263">
        <f t="shared" si="189"/>
        <v>1</v>
      </c>
      <c r="BV39" s="1263">
        <f t="shared" si="189"/>
        <v>1</v>
      </c>
      <c r="BW39" s="1263">
        <f t="shared" si="189"/>
        <v>1</v>
      </c>
      <c r="BX39" s="1263">
        <f t="shared" si="189"/>
        <v>1</v>
      </c>
      <c r="BY39" s="1263">
        <f t="shared" si="189"/>
        <v>1</v>
      </c>
      <c r="BZ39" s="1263"/>
      <c r="CA39" s="99">
        <f t="shared" si="177"/>
        <v>0</v>
      </c>
      <c r="CB39" s="99">
        <f t="shared" si="178"/>
        <v>0</v>
      </c>
      <c r="CC39" s="99">
        <f t="shared" si="179"/>
        <v>0</v>
      </c>
      <c r="CD39" s="99">
        <f t="shared" si="180"/>
        <v>0</v>
      </c>
      <c r="CE39" s="99">
        <f t="shared" si="181"/>
        <v>0</v>
      </c>
      <c r="CF39" s="99">
        <f t="shared" si="182"/>
        <v>0</v>
      </c>
      <c r="CG39" s="99">
        <f t="shared" si="183"/>
        <v>712000</v>
      </c>
      <c r="CH39" s="99">
        <f t="shared" si="184"/>
        <v>0</v>
      </c>
      <c r="CI39" s="99">
        <f t="shared" si="185"/>
        <v>0</v>
      </c>
      <c r="CJ39" s="99">
        <f t="shared" si="186"/>
        <v>0</v>
      </c>
      <c r="CK39" s="99">
        <f t="shared" si="187"/>
        <v>0</v>
      </c>
      <c r="CL39" s="99">
        <f t="shared" si="187"/>
        <v>0</v>
      </c>
      <c r="CM39" s="2260"/>
      <c r="CN39" s="2260"/>
      <c r="CO39" s="2260"/>
      <c r="CP39" s="2260"/>
      <c r="CQ39" s="2260"/>
      <c r="CR39" s="2260"/>
    </row>
    <row r="40" spans="1:96" s="1099" customFormat="1" x14ac:dyDescent="0.2">
      <c r="A40" s="958" t="s">
        <v>4948</v>
      </c>
      <c r="B40" s="953"/>
      <c r="C40" s="953"/>
      <c r="D40" s="953"/>
      <c r="E40" s="2018"/>
      <c r="F40" s="2017"/>
      <c r="G40" s="2018"/>
      <c r="H40" s="2018"/>
      <c r="I40" s="2018">
        <v>2078000</v>
      </c>
      <c r="J40" s="2018"/>
      <c r="K40" s="2018">
        <v>2343000</v>
      </c>
      <c r="L40" s="2018"/>
      <c r="M40" s="2019"/>
      <c r="N40" s="2019"/>
      <c r="O40" s="2019"/>
      <c r="P40" s="2245"/>
      <c r="Q40" s="2244"/>
      <c r="R40" s="2017">
        <f t="shared" si="168"/>
        <v>0</v>
      </c>
      <c r="S40" s="2017"/>
      <c r="T40" s="2245">
        <f>$E40-Q40-R40-S40</f>
        <v>0</v>
      </c>
      <c r="U40" s="2244"/>
      <c r="V40" s="2017">
        <f>ROUND(F40/2,-2)</f>
        <v>0</v>
      </c>
      <c r="W40" s="2009"/>
      <c r="X40" s="2259">
        <f>$F40-U40-V40-W40</f>
        <v>0</v>
      </c>
      <c r="Y40" s="2244"/>
      <c r="Z40" s="2017">
        <f t="shared" si="169"/>
        <v>0</v>
      </c>
      <c r="AA40" s="2009"/>
      <c r="AB40" s="2259">
        <f>$G40-Y40-Z40-AA40</f>
        <v>0</v>
      </c>
      <c r="AC40" s="2246"/>
      <c r="AD40" s="2017">
        <f t="shared" si="170"/>
        <v>0</v>
      </c>
      <c r="AE40" s="2017"/>
      <c r="AF40" s="2259">
        <f>$H40-AC40-AD40-AE40</f>
        <v>0</v>
      </c>
      <c r="AG40" s="2009"/>
      <c r="AH40" s="2017">
        <f t="shared" si="171"/>
        <v>1039000</v>
      </c>
      <c r="AI40" s="2009"/>
      <c r="AJ40" s="2262">
        <f>$I40-AG40-AH40-AI40</f>
        <v>1039000</v>
      </c>
      <c r="AK40" s="2009">
        <v>0</v>
      </c>
      <c r="AL40" s="2017">
        <v>0</v>
      </c>
      <c r="AM40" s="2009"/>
      <c r="AN40" s="2259">
        <f>$J40-AK40-AL40-AM40</f>
        <v>0</v>
      </c>
      <c r="AO40" s="2244"/>
      <c r="AP40" s="2017">
        <f>ROUND(K40/4,-3)</f>
        <v>586000</v>
      </c>
      <c r="AQ40" s="2009"/>
      <c r="AR40" s="2259">
        <f>$K40-AO40-AP40-AQ40</f>
        <v>1757000</v>
      </c>
      <c r="AS40" s="2244"/>
      <c r="AT40" s="2017">
        <f>ROUND(L40,-2)</f>
        <v>0</v>
      </c>
      <c r="AU40" s="2009"/>
      <c r="AV40" s="2259">
        <f>$L40-AS40-AT40-AU40</f>
        <v>0</v>
      </c>
      <c r="AW40" s="2244"/>
      <c r="AX40" s="2017">
        <f t="shared" si="172"/>
        <v>0</v>
      </c>
      <c r="AY40" s="2009"/>
      <c r="AZ40" s="2259">
        <f>$M40-AW40-AX40-AY40</f>
        <v>0</v>
      </c>
      <c r="BA40" s="2244"/>
      <c r="BB40" s="2017">
        <f t="shared" si="173"/>
        <v>0</v>
      </c>
      <c r="BC40" s="2009"/>
      <c r="BD40" s="2259">
        <f>$N40-BA40-BB40-BC40</f>
        <v>0</v>
      </c>
      <c r="BE40" s="2244"/>
      <c r="BF40" s="2017"/>
      <c r="BG40" s="2009"/>
      <c r="BH40" s="620">
        <f t="shared" si="174"/>
        <v>0</v>
      </c>
      <c r="BI40" s="2244"/>
      <c r="BJ40" s="2017"/>
      <c r="BK40" s="2009"/>
      <c r="BL40" s="1927">
        <f t="shared" si="175"/>
        <v>0</v>
      </c>
      <c r="BM40" s="2260"/>
      <c r="BN40" s="1263">
        <v>1</v>
      </c>
      <c r="BO40" s="1263">
        <f t="shared" ref="BO40" si="190">BN40</f>
        <v>1</v>
      </c>
      <c r="BP40" s="1263">
        <f t="shared" ref="BP40" si="191">BO40</f>
        <v>1</v>
      </c>
      <c r="BQ40" s="1263">
        <f t="shared" ref="BQ40" si="192">BP40</f>
        <v>1</v>
      </c>
      <c r="BR40" s="1263">
        <f t="shared" ref="BR40" si="193">BQ40</f>
        <v>1</v>
      </c>
      <c r="BS40" s="1263">
        <f t="shared" ref="BS40" si="194">BR40</f>
        <v>1</v>
      </c>
      <c r="BT40" s="1263">
        <f t="shared" ref="BT40" si="195">BS40</f>
        <v>1</v>
      </c>
      <c r="BU40" s="1263">
        <f t="shared" ref="BU40" si="196">BT40</f>
        <v>1</v>
      </c>
      <c r="BV40" s="1263">
        <f t="shared" ref="BV40" si="197">BU40</f>
        <v>1</v>
      </c>
      <c r="BW40" s="1263">
        <f t="shared" ref="BW40:BY40" si="198">BV40</f>
        <v>1</v>
      </c>
      <c r="BX40" s="1263">
        <f t="shared" si="198"/>
        <v>1</v>
      </c>
      <c r="BY40" s="1263">
        <f t="shared" si="198"/>
        <v>1</v>
      </c>
      <c r="BZ40" s="1263"/>
      <c r="CA40" s="99">
        <f t="shared" si="177"/>
        <v>0</v>
      </c>
      <c r="CB40" s="99">
        <f t="shared" si="178"/>
        <v>0</v>
      </c>
      <c r="CC40" s="99">
        <f t="shared" si="179"/>
        <v>0</v>
      </c>
      <c r="CD40" s="99">
        <f t="shared" si="180"/>
        <v>0</v>
      </c>
      <c r="CE40" s="99">
        <f t="shared" si="181"/>
        <v>2078000</v>
      </c>
      <c r="CF40" s="99">
        <f t="shared" si="182"/>
        <v>0</v>
      </c>
      <c r="CG40" s="99">
        <f t="shared" si="183"/>
        <v>2343000</v>
      </c>
      <c r="CH40" s="99">
        <f t="shared" si="184"/>
        <v>0</v>
      </c>
      <c r="CI40" s="99">
        <f t="shared" si="185"/>
        <v>0</v>
      </c>
      <c r="CJ40" s="99">
        <f t="shared" si="186"/>
        <v>0</v>
      </c>
      <c r="CK40" s="99">
        <f t="shared" si="187"/>
        <v>0</v>
      </c>
      <c r="CL40" s="99">
        <f t="shared" si="187"/>
        <v>0</v>
      </c>
      <c r="CM40" s="2260"/>
      <c r="CN40" s="2260"/>
      <c r="CO40" s="2260"/>
      <c r="CP40" s="2260"/>
      <c r="CQ40" s="2260"/>
      <c r="CR40" s="2260"/>
    </row>
    <row r="41" spans="1:96" s="1099" customFormat="1" x14ac:dyDescent="0.2">
      <c r="A41" s="958" t="s">
        <v>4949</v>
      </c>
      <c r="B41" s="953" t="s">
        <v>5083</v>
      </c>
      <c r="C41" s="953" t="s">
        <v>5119</v>
      </c>
      <c r="D41" s="953"/>
      <c r="E41" s="2018"/>
      <c r="F41" s="2017"/>
      <c r="G41" s="2018"/>
      <c r="H41" s="2018">
        <v>2614000</v>
      </c>
      <c r="I41" s="2018"/>
      <c r="J41" s="2018"/>
      <c r="K41" s="2018"/>
      <c r="L41" s="2018"/>
      <c r="M41" s="2019"/>
      <c r="N41" s="2019"/>
      <c r="O41" s="2019"/>
      <c r="P41" s="2245"/>
      <c r="Q41" s="2244"/>
      <c r="R41" s="2017">
        <f t="shared" si="168"/>
        <v>0</v>
      </c>
      <c r="S41" s="2017"/>
      <c r="T41" s="2245">
        <f>$E41-Q41-R41-S41</f>
        <v>0</v>
      </c>
      <c r="U41" s="2244"/>
      <c r="V41" s="2017">
        <f>ROUND(F41,-2)</f>
        <v>0</v>
      </c>
      <c r="W41" s="2009"/>
      <c r="X41" s="2259">
        <f>$F41-U41-V41-W41</f>
        <v>0</v>
      </c>
      <c r="Y41" s="2244"/>
      <c r="Z41" s="2017">
        <f t="shared" si="169"/>
        <v>0</v>
      </c>
      <c r="AA41" s="2009"/>
      <c r="AB41" s="2259">
        <f>$G41-Y41-Z41-AA41</f>
        <v>0</v>
      </c>
      <c r="AC41" s="2246"/>
      <c r="AD41" s="2017">
        <f>ROUND(H41,-2)</f>
        <v>2614000</v>
      </c>
      <c r="AE41" s="2017"/>
      <c r="AF41" s="2259">
        <f>$H41-AC41-AD41-AE41</f>
        <v>0</v>
      </c>
      <c r="AG41" s="2009"/>
      <c r="AH41" s="2017">
        <f t="shared" si="171"/>
        <v>0</v>
      </c>
      <c r="AI41" s="2009"/>
      <c r="AJ41" s="2262">
        <f>$I41-AG41-AH41-AI41</f>
        <v>0</v>
      </c>
      <c r="AK41" s="2009">
        <v>0</v>
      </c>
      <c r="AL41" s="2017">
        <v>0</v>
      </c>
      <c r="AM41" s="2009"/>
      <c r="AN41" s="2259">
        <f>$J41-AK41-AL41-AM41</f>
        <v>0</v>
      </c>
      <c r="AO41" s="2244"/>
      <c r="AP41" s="2017">
        <f t="shared" ref="AP41:AP46" si="199">ROUND(K41,-2)</f>
        <v>0</v>
      </c>
      <c r="AQ41" s="2009"/>
      <c r="AR41" s="2259">
        <f>$K41-AO41-AP41-AQ41</f>
        <v>0</v>
      </c>
      <c r="AS41" s="2244"/>
      <c r="AT41" s="2017">
        <f>ROUND(L41,-2)</f>
        <v>0</v>
      </c>
      <c r="AU41" s="2009"/>
      <c r="AV41" s="2259">
        <f>$L41-AS41-AT41-AU41</f>
        <v>0</v>
      </c>
      <c r="AW41" s="2244"/>
      <c r="AX41" s="2017">
        <f t="shared" si="172"/>
        <v>0</v>
      </c>
      <c r="AY41" s="2009"/>
      <c r="AZ41" s="2259">
        <f>$M41-AW41-AX41-AY41</f>
        <v>0</v>
      </c>
      <c r="BA41" s="2244"/>
      <c r="BB41" s="2017">
        <f t="shared" si="173"/>
        <v>0</v>
      </c>
      <c r="BC41" s="2009"/>
      <c r="BD41" s="2259">
        <f>$N41-BA41-BB41-BC41</f>
        <v>0</v>
      </c>
      <c r="BE41" s="2244"/>
      <c r="BF41" s="2017"/>
      <c r="BG41" s="2009"/>
      <c r="BH41" s="620">
        <f t="shared" si="174"/>
        <v>0</v>
      </c>
      <c r="BI41" s="2244"/>
      <c r="BJ41" s="2017"/>
      <c r="BK41" s="2009"/>
      <c r="BL41" s="1927">
        <f t="shared" si="175"/>
        <v>0</v>
      </c>
      <c r="BM41" s="2260"/>
      <c r="BN41" s="1263">
        <v>1</v>
      </c>
      <c r="BO41" s="1263">
        <f t="shared" ref="BO41" si="200">BN41</f>
        <v>1</v>
      </c>
      <c r="BP41" s="1263">
        <f t="shared" ref="BP41" si="201">BO41</f>
        <v>1</v>
      </c>
      <c r="BQ41" s="1263">
        <f t="shared" ref="BQ41" si="202">BP41</f>
        <v>1</v>
      </c>
      <c r="BR41" s="1263">
        <f t="shared" ref="BR41" si="203">BQ41</f>
        <v>1</v>
      </c>
      <c r="BS41" s="1263">
        <f t="shared" ref="BS41" si="204">BR41</f>
        <v>1</v>
      </c>
      <c r="BT41" s="1263">
        <f t="shared" ref="BT41" si="205">BS41</f>
        <v>1</v>
      </c>
      <c r="BU41" s="1263">
        <f t="shared" ref="BU41" si="206">BT41</f>
        <v>1</v>
      </c>
      <c r="BV41" s="1263">
        <f t="shared" ref="BV41" si="207">BU41</f>
        <v>1</v>
      </c>
      <c r="BW41" s="1263">
        <f t="shared" ref="BW41:BY41" si="208">BV41</f>
        <v>1</v>
      </c>
      <c r="BX41" s="1263">
        <f t="shared" si="208"/>
        <v>1</v>
      </c>
      <c r="BY41" s="1263">
        <f t="shared" si="208"/>
        <v>1</v>
      </c>
      <c r="BZ41" s="1263"/>
      <c r="CA41" s="99">
        <f t="shared" si="177"/>
        <v>0</v>
      </c>
      <c r="CB41" s="99">
        <f t="shared" si="178"/>
        <v>0</v>
      </c>
      <c r="CC41" s="99">
        <f t="shared" si="179"/>
        <v>0</v>
      </c>
      <c r="CD41" s="99">
        <f t="shared" si="180"/>
        <v>2614000</v>
      </c>
      <c r="CE41" s="99">
        <f t="shared" si="181"/>
        <v>0</v>
      </c>
      <c r="CF41" s="99">
        <f t="shared" si="182"/>
        <v>0</v>
      </c>
      <c r="CG41" s="99">
        <f t="shared" si="183"/>
        <v>0</v>
      </c>
      <c r="CH41" s="99">
        <f t="shared" si="184"/>
        <v>0</v>
      </c>
      <c r="CI41" s="99">
        <f t="shared" si="185"/>
        <v>0</v>
      </c>
      <c r="CJ41" s="99">
        <f t="shared" si="186"/>
        <v>0</v>
      </c>
      <c r="CK41" s="99">
        <f t="shared" si="187"/>
        <v>0</v>
      </c>
      <c r="CL41" s="99">
        <f t="shared" si="187"/>
        <v>0</v>
      </c>
      <c r="CM41" s="2260"/>
      <c r="CN41" s="2260"/>
      <c r="CO41" s="2260"/>
      <c r="CP41" s="2260"/>
      <c r="CQ41" s="2260"/>
      <c r="CR41" s="2260"/>
    </row>
    <row r="42" spans="1:96" s="1099" customFormat="1" x14ac:dyDescent="0.2">
      <c r="A42" s="958" t="s">
        <v>4950</v>
      </c>
      <c r="B42" s="953"/>
      <c r="C42" s="953"/>
      <c r="D42" s="953"/>
      <c r="E42" s="2018"/>
      <c r="F42" s="2017"/>
      <c r="G42" s="2018"/>
      <c r="H42" s="2018"/>
      <c r="I42" s="2018"/>
      <c r="J42" s="2018"/>
      <c r="K42" s="2018"/>
      <c r="L42" s="2018"/>
      <c r="M42" s="2019">
        <v>1175000</v>
      </c>
      <c r="N42" s="2019"/>
      <c r="O42" s="2019"/>
      <c r="P42" s="2245"/>
      <c r="Q42" s="2244"/>
      <c r="R42" s="2017">
        <f t="shared" si="168"/>
        <v>0</v>
      </c>
      <c r="S42" s="2017"/>
      <c r="T42" s="2245">
        <f t="shared" si="82"/>
        <v>0</v>
      </c>
      <c r="U42" s="2244"/>
      <c r="V42" s="2017">
        <f t="shared" ref="V42:V48" si="209">ROUND(F42/2,-2)</f>
        <v>0</v>
      </c>
      <c r="W42" s="2009"/>
      <c r="X42" s="2259">
        <f t="shared" ref="X42:X50" si="210">$F42-U42-V42-W42</f>
        <v>0</v>
      </c>
      <c r="Y42" s="2244"/>
      <c r="Z42" s="2017">
        <f t="shared" si="169"/>
        <v>0</v>
      </c>
      <c r="AA42" s="2009"/>
      <c r="AB42" s="2259">
        <f t="shared" ref="AB42:AB50" si="211">$G42-Y42-Z42-AA42</f>
        <v>0</v>
      </c>
      <c r="AC42" s="2246"/>
      <c r="AD42" s="2017">
        <f t="shared" si="170"/>
        <v>0</v>
      </c>
      <c r="AE42" s="2017"/>
      <c r="AF42" s="2259">
        <f t="shared" ref="AF42:AF50" si="212">$H42-AC42-AD42-AE42</f>
        <v>0</v>
      </c>
      <c r="AG42" s="2009"/>
      <c r="AH42" s="2017">
        <f t="shared" si="171"/>
        <v>0</v>
      </c>
      <c r="AI42" s="2009"/>
      <c r="AJ42" s="2262">
        <f t="shared" ref="AJ42:AJ50" si="213">$I42-AG42-AH42-AI42</f>
        <v>0</v>
      </c>
      <c r="AK42" s="2009">
        <v>0</v>
      </c>
      <c r="AL42" s="2017">
        <v>0</v>
      </c>
      <c r="AM42" s="2009"/>
      <c r="AN42" s="2259">
        <f t="shared" ref="AN42:AN50" si="214">$J42-AK42-AL42-AM42</f>
        <v>0</v>
      </c>
      <c r="AO42" s="2244"/>
      <c r="AP42" s="2017">
        <f t="shared" si="199"/>
        <v>0</v>
      </c>
      <c r="AQ42" s="2009"/>
      <c r="AR42" s="2259">
        <f t="shared" ref="AR42:AR50" si="215">$K42-AO42-AP42-AQ42</f>
        <v>0</v>
      </c>
      <c r="AS42" s="2244"/>
      <c r="AT42" s="2017"/>
      <c r="AU42" s="2009"/>
      <c r="AV42" s="2259">
        <f t="shared" ref="AV42:AV50" si="216">$L42-AS42-AT42-AU42</f>
        <v>0</v>
      </c>
      <c r="AW42" s="2244"/>
      <c r="AX42" s="2017">
        <f>ROUND(M42/2,-2)</f>
        <v>587500</v>
      </c>
      <c r="AY42" s="2009"/>
      <c r="AZ42" s="2259">
        <f t="shared" ref="AZ42:AZ50" si="217">$M42-AW42-AX42-AY42</f>
        <v>587500</v>
      </c>
      <c r="BA42" s="2244"/>
      <c r="BB42" s="2017">
        <f t="shared" si="173"/>
        <v>0</v>
      </c>
      <c r="BC42" s="2009"/>
      <c r="BD42" s="2259">
        <f t="shared" ref="BD42:BD50" si="218">$N42-BA42-BB42-BC42</f>
        <v>0</v>
      </c>
      <c r="BE42" s="2244"/>
      <c r="BF42" s="2017"/>
      <c r="BG42" s="2009"/>
      <c r="BH42" s="620">
        <f t="shared" si="174"/>
        <v>0</v>
      </c>
      <c r="BI42" s="2244"/>
      <c r="BJ42" s="2017"/>
      <c r="BK42" s="2009"/>
      <c r="BL42" s="1927">
        <f t="shared" si="175"/>
        <v>0</v>
      </c>
      <c r="BM42" s="2260"/>
      <c r="BN42" s="1263">
        <v>1</v>
      </c>
      <c r="BO42" s="1263">
        <f t="shared" ref="BO42:BY42" si="219">BN42</f>
        <v>1</v>
      </c>
      <c r="BP42" s="1263">
        <f t="shared" si="219"/>
        <v>1</v>
      </c>
      <c r="BQ42" s="1263">
        <f t="shared" si="219"/>
        <v>1</v>
      </c>
      <c r="BR42" s="1263">
        <f t="shared" si="219"/>
        <v>1</v>
      </c>
      <c r="BS42" s="1263">
        <f t="shared" si="219"/>
        <v>1</v>
      </c>
      <c r="BT42" s="1263">
        <f t="shared" si="219"/>
        <v>1</v>
      </c>
      <c r="BU42" s="1263">
        <f t="shared" si="219"/>
        <v>1</v>
      </c>
      <c r="BV42" s="1263">
        <f t="shared" si="219"/>
        <v>1</v>
      </c>
      <c r="BW42" s="1263">
        <f t="shared" si="219"/>
        <v>1</v>
      </c>
      <c r="BX42" s="1263">
        <f t="shared" si="219"/>
        <v>1</v>
      </c>
      <c r="BY42" s="1263">
        <f t="shared" si="219"/>
        <v>1</v>
      </c>
      <c r="BZ42" s="1263"/>
      <c r="CA42" s="99">
        <f t="shared" si="177"/>
        <v>0</v>
      </c>
      <c r="CB42" s="99">
        <f t="shared" si="178"/>
        <v>0</v>
      </c>
      <c r="CC42" s="99">
        <f t="shared" si="179"/>
        <v>0</v>
      </c>
      <c r="CD42" s="99">
        <f t="shared" si="180"/>
        <v>0</v>
      </c>
      <c r="CE42" s="99">
        <f t="shared" si="181"/>
        <v>0</v>
      </c>
      <c r="CF42" s="99">
        <f t="shared" si="182"/>
        <v>0</v>
      </c>
      <c r="CG42" s="99">
        <f t="shared" si="183"/>
        <v>0</v>
      </c>
      <c r="CH42" s="99">
        <f t="shared" si="184"/>
        <v>0</v>
      </c>
      <c r="CI42" s="99">
        <f t="shared" si="185"/>
        <v>1175000</v>
      </c>
      <c r="CJ42" s="99">
        <f t="shared" si="186"/>
        <v>0</v>
      </c>
      <c r="CK42" s="99">
        <f t="shared" si="187"/>
        <v>0</v>
      </c>
      <c r="CL42" s="99">
        <f t="shared" si="187"/>
        <v>0</v>
      </c>
      <c r="CM42" s="2260"/>
      <c r="CN42" s="2260"/>
      <c r="CO42" s="2260"/>
      <c r="CP42" s="2260"/>
      <c r="CQ42" s="2260"/>
      <c r="CR42" s="2260"/>
    </row>
    <row r="43" spans="1:96" s="1099" customFormat="1" x14ac:dyDescent="0.2">
      <c r="A43" s="958" t="s">
        <v>4951</v>
      </c>
      <c r="B43" s="953" t="s">
        <v>5084</v>
      </c>
      <c r="C43" s="953" t="s">
        <v>5120</v>
      </c>
      <c r="D43" s="953"/>
      <c r="E43" s="2018"/>
      <c r="F43" s="2017"/>
      <c r="G43" s="2019"/>
      <c r="H43" s="2018"/>
      <c r="I43" s="2018"/>
      <c r="J43" s="2018"/>
      <c r="K43" s="2018"/>
      <c r="L43" s="2018"/>
      <c r="M43" s="2019">
        <v>1274000</v>
      </c>
      <c r="N43" s="2019"/>
      <c r="O43" s="2019"/>
      <c r="P43" s="2245"/>
      <c r="Q43" s="2244"/>
      <c r="R43" s="2017">
        <f t="shared" si="168"/>
        <v>0</v>
      </c>
      <c r="S43" s="2017"/>
      <c r="T43" s="2245">
        <f>$E43-Q43-R43-S43</f>
        <v>0</v>
      </c>
      <c r="U43" s="2244"/>
      <c r="V43" s="2017">
        <f t="shared" si="209"/>
        <v>0</v>
      </c>
      <c r="W43" s="2009"/>
      <c r="X43" s="2259">
        <f>$F43-U43-V43-W43</f>
        <v>0</v>
      </c>
      <c r="Y43" s="2244"/>
      <c r="Z43" s="2017">
        <f t="shared" si="169"/>
        <v>0</v>
      </c>
      <c r="AA43" s="2009"/>
      <c r="AB43" s="2259">
        <f>$G43-Y43-Z43-AA43</f>
        <v>0</v>
      </c>
      <c r="AC43" s="2246"/>
      <c r="AD43" s="2017">
        <f t="shared" si="170"/>
        <v>0</v>
      </c>
      <c r="AE43" s="2017"/>
      <c r="AF43" s="2259">
        <f>$H43-AC43-AD43-AE43</f>
        <v>0</v>
      </c>
      <c r="AG43" s="2009"/>
      <c r="AH43" s="2017">
        <f t="shared" si="171"/>
        <v>0</v>
      </c>
      <c r="AI43" s="2009"/>
      <c r="AJ43" s="2262">
        <f>$I43-AG43-AH43-AI43</f>
        <v>0</v>
      </c>
      <c r="AK43" s="2009">
        <v>0</v>
      </c>
      <c r="AL43" s="2017">
        <v>0</v>
      </c>
      <c r="AM43" s="2009"/>
      <c r="AN43" s="2259">
        <f>$J43-AK43-AL43-AM43</f>
        <v>0</v>
      </c>
      <c r="AO43" s="2244"/>
      <c r="AP43" s="2017">
        <f t="shared" si="199"/>
        <v>0</v>
      </c>
      <c r="AQ43" s="2009"/>
      <c r="AR43" s="2259">
        <f>$K43-AO43-AP43-AQ43</f>
        <v>0</v>
      </c>
      <c r="AS43" s="2244"/>
      <c r="AT43" s="2017">
        <f t="shared" ref="AT43:AT48" si="220">ROUND(L43,-2)</f>
        <v>0</v>
      </c>
      <c r="AU43" s="2009"/>
      <c r="AV43" s="2259">
        <f>$L43-AS43-AT43-AU43</f>
        <v>0</v>
      </c>
      <c r="AW43" s="2244"/>
      <c r="AX43" s="2017"/>
      <c r="AY43" s="2009"/>
      <c r="AZ43" s="2259">
        <f>$M43-AW43-AX43-AY43</f>
        <v>1274000</v>
      </c>
      <c r="BA43" s="2244"/>
      <c r="BB43" s="2017">
        <f t="shared" si="173"/>
        <v>0</v>
      </c>
      <c r="BC43" s="2009"/>
      <c r="BD43" s="2259">
        <f>$N43-BA43-BB43-BC43</f>
        <v>0</v>
      </c>
      <c r="BE43" s="2244"/>
      <c r="BF43" s="2017"/>
      <c r="BG43" s="2009"/>
      <c r="BH43" s="620">
        <f t="shared" si="174"/>
        <v>0</v>
      </c>
      <c r="BI43" s="2244"/>
      <c r="BJ43" s="2017"/>
      <c r="BK43" s="2009"/>
      <c r="BL43" s="1927">
        <f t="shared" si="175"/>
        <v>0</v>
      </c>
      <c r="BM43" s="2260"/>
      <c r="BN43" s="1263">
        <v>1</v>
      </c>
      <c r="BO43" s="1263">
        <f t="shared" ref="BO43:BY43" si="221">BN43</f>
        <v>1</v>
      </c>
      <c r="BP43" s="1263">
        <f t="shared" si="221"/>
        <v>1</v>
      </c>
      <c r="BQ43" s="1263">
        <f t="shared" si="221"/>
        <v>1</v>
      </c>
      <c r="BR43" s="1263">
        <f t="shared" si="221"/>
        <v>1</v>
      </c>
      <c r="BS43" s="1263">
        <f t="shared" si="221"/>
        <v>1</v>
      </c>
      <c r="BT43" s="1263">
        <f t="shared" si="221"/>
        <v>1</v>
      </c>
      <c r="BU43" s="1263">
        <f t="shared" si="221"/>
        <v>1</v>
      </c>
      <c r="BV43" s="1263">
        <f t="shared" si="221"/>
        <v>1</v>
      </c>
      <c r="BW43" s="1263">
        <f t="shared" si="221"/>
        <v>1</v>
      </c>
      <c r="BX43" s="1263">
        <f t="shared" si="221"/>
        <v>1</v>
      </c>
      <c r="BY43" s="1263">
        <f t="shared" si="221"/>
        <v>1</v>
      </c>
      <c r="BZ43" s="1263"/>
      <c r="CA43" s="99">
        <f t="shared" si="177"/>
        <v>0</v>
      </c>
      <c r="CB43" s="99">
        <f t="shared" si="178"/>
        <v>0</v>
      </c>
      <c r="CC43" s="99">
        <f t="shared" si="179"/>
        <v>0</v>
      </c>
      <c r="CD43" s="99">
        <f t="shared" si="180"/>
        <v>0</v>
      </c>
      <c r="CE43" s="99">
        <f t="shared" si="181"/>
        <v>0</v>
      </c>
      <c r="CF43" s="99">
        <f t="shared" si="182"/>
        <v>0</v>
      </c>
      <c r="CG43" s="99">
        <f t="shared" si="183"/>
        <v>0</v>
      </c>
      <c r="CH43" s="99">
        <f t="shared" si="184"/>
        <v>0</v>
      </c>
      <c r="CI43" s="99">
        <f t="shared" si="185"/>
        <v>1274000</v>
      </c>
      <c r="CJ43" s="99">
        <f t="shared" si="186"/>
        <v>0</v>
      </c>
      <c r="CK43" s="99">
        <f t="shared" si="187"/>
        <v>0</v>
      </c>
      <c r="CL43" s="99">
        <f t="shared" si="187"/>
        <v>0</v>
      </c>
      <c r="CM43" s="2260"/>
      <c r="CN43" s="2260"/>
      <c r="CO43" s="2260"/>
      <c r="CP43" s="2260"/>
      <c r="CQ43" s="2260"/>
      <c r="CR43" s="2260"/>
    </row>
    <row r="44" spans="1:96" s="1099" customFormat="1" x14ac:dyDescent="0.2">
      <c r="A44" s="958" t="s">
        <v>4960</v>
      </c>
      <c r="B44" s="953"/>
      <c r="C44" s="953"/>
      <c r="D44" s="953"/>
      <c r="E44" s="2018"/>
      <c r="F44" s="2017"/>
      <c r="G44" s="2019"/>
      <c r="H44" s="2018"/>
      <c r="I44" s="2018"/>
      <c r="J44" s="2018">
        <v>330000</v>
      </c>
      <c r="K44" s="2018"/>
      <c r="L44" s="2018"/>
      <c r="M44" s="2019"/>
      <c r="N44" s="2019"/>
      <c r="O44" s="2019"/>
      <c r="P44" s="2245"/>
      <c r="Q44" s="2244"/>
      <c r="R44" s="2017">
        <f t="shared" si="168"/>
        <v>0</v>
      </c>
      <c r="S44" s="2017"/>
      <c r="T44" s="2245">
        <f>$E44-Q44-R44-S44</f>
        <v>0</v>
      </c>
      <c r="U44" s="2244"/>
      <c r="V44" s="2017">
        <f t="shared" si="209"/>
        <v>0</v>
      </c>
      <c r="W44" s="2009"/>
      <c r="X44" s="2259">
        <f>$F44-U44-V44-W44</f>
        <v>0</v>
      </c>
      <c r="Y44" s="2244"/>
      <c r="Z44" s="2017">
        <f t="shared" si="169"/>
        <v>0</v>
      </c>
      <c r="AA44" s="2009"/>
      <c r="AB44" s="2259">
        <f>$G44-Y44-Z44-AA44</f>
        <v>0</v>
      </c>
      <c r="AC44" s="2246"/>
      <c r="AD44" s="2017">
        <f t="shared" si="170"/>
        <v>0</v>
      </c>
      <c r="AE44" s="2017"/>
      <c r="AF44" s="2259">
        <f>$H44-AC44-AD44-AE44</f>
        <v>0</v>
      </c>
      <c r="AG44" s="2009"/>
      <c r="AH44" s="2017">
        <f t="shared" si="171"/>
        <v>0</v>
      </c>
      <c r="AI44" s="2009"/>
      <c r="AJ44" s="2262">
        <f>$I44-AG44-AH44-AI44</f>
        <v>0</v>
      </c>
      <c r="AK44" s="2009">
        <v>0</v>
      </c>
      <c r="AL44" s="2017">
        <v>0</v>
      </c>
      <c r="AM44" s="2009"/>
      <c r="AN44" s="2259">
        <f>$J44-AK44-AL44-AM44</f>
        <v>330000</v>
      </c>
      <c r="AO44" s="2244"/>
      <c r="AP44" s="2017">
        <f t="shared" si="199"/>
        <v>0</v>
      </c>
      <c r="AQ44" s="2009"/>
      <c r="AR44" s="2259">
        <f>$K44-AO44-AP44-AQ44</f>
        <v>0</v>
      </c>
      <c r="AS44" s="2244"/>
      <c r="AT44" s="2017">
        <f t="shared" si="220"/>
        <v>0</v>
      </c>
      <c r="AU44" s="2009"/>
      <c r="AV44" s="2259">
        <f>$L44-AS44-AT44-AU44</f>
        <v>0</v>
      </c>
      <c r="AW44" s="2244"/>
      <c r="AX44" s="2017">
        <f t="shared" si="172"/>
        <v>0</v>
      </c>
      <c r="AY44" s="2009"/>
      <c r="AZ44" s="2259">
        <f>$M44-AW44-AX44-AY44</f>
        <v>0</v>
      </c>
      <c r="BA44" s="2244"/>
      <c r="BB44" s="2017">
        <f t="shared" si="173"/>
        <v>0</v>
      </c>
      <c r="BC44" s="2009"/>
      <c r="BD44" s="2259">
        <f>$N44-BA44-BB44-BC44</f>
        <v>0</v>
      </c>
      <c r="BE44" s="2244"/>
      <c r="BF44" s="2017"/>
      <c r="BG44" s="2009"/>
      <c r="BH44" s="620">
        <f t="shared" si="174"/>
        <v>0</v>
      </c>
      <c r="BI44" s="2244"/>
      <c r="BJ44" s="2017"/>
      <c r="BK44" s="2009"/>
      <c r="BL44" s="1927">
        <f t="shared" si="175"/>
        <v>0</v>
      </c>
      <c r="BM44" s="2260"/>
      <c r="BN44" s="1263">
        <v>1</v>
      </c>
      <c r="BO44" s="1263">
        <f t="shared" ref="BO44" si="222">BN44</f>
        <v>1</v>
      </c>
      <c r="BP44" s="1263">
        <f t="shared" ref="BP44" si="223">BO44</f>
        <v>1</v>
      </c>
      <c r="BQ44" s="1263">
        <f t="shared" ref="BQ44" si="224">BP44</f>
        <v>1</v>
      </c>
      <c r="BR44" s="1263">
        <f t="shared" ref="BR44" si="225">BQ44</f>
        <v>1</v>
      </c>
      <c r="BS44" s="1263">
        <f t="shared" ref="BS44" si="226">BR44</f>
        <v>1</v>
      </c>
      <c r="BT44" s="1263">
        <f t="shared" ref="BT44" si="227">BS44</f>
        <v>1</v>
      </c>
      <c r="BU44" s="1263">
        <f t="shared" ref="BU44" si="228">BT44</f>
        <v>1</v>
      </c>
      <c r="BV44" s="1263">
        <f t="shared" ref="BV44" si="229">BU44</f>
        <v>1</v>
      </c>
      <c r="BW44" s="1263">
        <f t="shared" ref="BW44:BY44" si="230">BV44</f>
        <v>1</v>
      </c>
      <c r="BX44" s="1263">
        <f t="shared" si="230"/>
        <v>1</v>
      </c>
      <c r="BY44" s="1263">
        <f t="shared" si="230"/>
        <v>1</v>
      </c>
      <c r="BZ44" s="1263"/>
      <c r="CA44" s="99">
        <f t="shared" si="177"/>
        <v>0</v>
      </c>
      <c r="CB44" s="99">
        <f t="shared" si="178"/>
        <v>0</v>
      </c>
      <c r="CC44" s="99">
        <f t="shared" si="179"/>
        <v>0</v>
      </c>
      <c r="CD44" s="99">
        <f t="shared" si="180"/>
        <v>0</v>
      </c>
      <c r="CE44" s="99">
        <f t="shared" si="181"/>
        <v>0</v>
      </c>
      <c r="CF44" s="99">
        <f t="shared" si="182"/>
        <v>330000</v>
      </c>
      <c r="CG44" s="99">
        <f t="shared" si="183"/>
        <v>0</v>
      </c>
      <c r="CH44" s="99">
        <f t="shared" si="184"/>
        <v>0</v>
      </c>
      <c r="CI44" s="99">
        <f t="shared" si="185"/>
        <v>0</v>
      </c>
      <c r="CJ44" s="99">
        <f t="shared" si="186"/>
        <v>0</v>
      </c>
      <c r="CK44" s="99">
        <f t="shared" si="187"/>
        <v>0</v>
      </c>
      <c r="CL44" s="99">
        <f t="shared" si="187"/>
        <v>0</v>
      </c>
      <c r="CM44" s="2260"/>
      <c r="CN44" s="2260"/>
      <c r="CO44" s="2260"/>
      <c r="CP44" s="2260"/>
      <c r="CQ44" s="2260"/>
      <c r="CR44" s="2260"/>
    </row>
    <row r="45" spans="1:96" s="1099" customFormat="1" x14ac:dyDescent="0.2">
      <c r="A45" s="958" t="s">
        <v>4952</v>
      </c>
      <c r="B45" s="528"/>
      <c r="C45" s="528"/>
      <c r="D45" s="528"/>
      <c r="E45" s="2018"/>
      <c r="F45" s="2018"/>
      <c r="G45" s="2019">
        <v>160000</v>
      </c>
      <c r="H45" s="2018"/>
      <c r="I45" s="2018"/>
      <c r="J45" s="2018"/>
      <c r="K45" s="2018"/>
      <c r="L45" s="2018"/>
      <c r="M45" s="2019"/>
      <c r="N45" s="2019"/>
      <c r="O45" s="2019"/>
      <c r="P45" s="2245"/>
      <c r="Q45" s="2244"/>
      <c r="R45" s="2017">
        <f t="shared" si="168"/>
        <v>0</v>
      </c>
      <c r="S45" s="2017"/>
      <c r="T45" s="2245">
        <f>$E45-Q45-R45-S45</f>
        <v>0</v>
      </c>
      <c r="U45" s="2244"/>
      <c r="V45" s="2017">
        <f t="shared" si="209"/>
        <v>0</v>
      </c>
      <c r="W45" s="2009"/>
      <c r="X45" s="2259">
        <f>$F45-U45-V45-W45</f>
        <v>0</v>
      </c>
      <c r="Y45" s="2244"/>
      <c r="Z45" s="2017">
        <f t="shared" si="169"/>
        <v>80000</v>
      </c>
      <c r="AA45" s="2009"/>
      <c r="AB45" s="2259">
        <f>$G45-Y45-Z45-AA45</f>
        <v>80000</v>
      </c>
      <c r="AC45" s="2246"/>
      <c r="AD45" s="2017">
        <f t="shared" si="170"/>
        <v>0</v>
      </c>
      <c r="AE45" s="2017"/>
      <c r="AF45" s="2259">
        <f>$H45-AC45-AD45-AE45</f>
        <v>0</v>
      </c>
      <c r="AG45" s="2009"/>
      <c r="AH45" s="2017">
        <f t="shared" si="171"/>
        <v>0</v>
      </c>
      <c r="AI45" s="2009"/>
      <c r="AJ45" s="2262">
        <f>$I45-AG45-AH45-AI45</f>
        <v>0</v>
      </c>
      <c r="AK45" s="2009">
        <v>0</v>
      </c>
      <c r="AL45" s="2017">
        <v>0</v>
      </c>
      <c r="AM45" s="2009"/>
      <c r="AN45" s="2259">
        <f>$J45-AK45-AL45-AM45</f>
        <v>0</v>
      </c>
      <c r="AO45" s="2244"/>
      <c r="AP45" s="2017">
        <f t="shared" si="199"/>
        <v>0</v>
      </c>
      <c r="AQ45" s="2009"/>
      <c r="AR45" s="2259">
        <f>$K45-AO45-AP45-AQ45</f>
        <v>0</v>
      </c>
      <c r="AS45" s="2244"/>
      <c r="AT45" s="2017">
        <f t="shared" si="220"/>
        <v>0</v>
      </c>
      <c r="AU45" s="2009"/>
      <c r="AV45" s="2259">
        <f>$L45-AS45-AT45-AU45</f>
        <v>0</v>
      </c>
      <c r="AW45" s="2244"/>
      <c r="AX45" s="2017">
        <f t="shared" si="172"/>
        <v>0</v>
      </c>
      <c r="AY45" s="2009"/>
      <c r="AZ45" s="2259">
        <f>$M45-AW45-AX45-AY45</f>
        <v>0</v>
      </c>
      <c r="BA45" s="2244"/>
      <c r="BB45" s="2017">
        <f t="shared" si="173"/>
        <v>0</v>
      </c>
      <c r="BC45" s="2009"/>
      <c r="BD45" s="2259">
        <f>$N45-BA45-BB45-BC45</f>
        <v>0</v>
      </c>
      <c r="BE45" s="2244"/>
      <c r="BF45" s="2017"/>
      <c r="BG45" s="2009"/>
      <c r="BH45" s="620">
        <f t="shared" si="174"/>
        <v>0</v>
      </c>
      <c r="BI45" s="2244"/>
      <c r="BJ45" s="2017"/>
      <c r="BK45" s="2009"/>
      <c r="BL45" s="1927">
        <f t="shared" si="175"/>
        <v>0</v>
      </c>
      <c r="BM45" s="2260"/>
      <c r="BN45" s="1263">
        <v>1</v>
      </c>
      <c r="BO45" s="1263">
        <f t="shared" ref="BO45:BY45" si="231">BN45</f>
        <v>1</v>
      </c>
      <c r="BP45" s="1263">
        <f t="shared" si="231"/>
        <v>1</v>
      </c>
      <c r="BQ45" s="1263">
        <f t="shared" si="231"/>
        <v>1</v>
      </c>
      <c r="BR45" s="1263">
        <f t="shared" si="231"/>
        <v>1</v>
      </c>
      <c r="BS45" s="1263">
        <f t="shared" si="231"/>
        <v>1</v>
      </c>
      <c r="BT45" s="1263">
        <f t="shared" si="231"/>
        <v>1</v>
      </c>
      <c r="BU45" s="1263">
        <f t="shared" si="231"/>
        <v>1</v>
      </c>
      <c r="BV45" s="1263">
        <f t="shared" si="231"/>
        <v>1</v>
      </c>
      <c r="BW45" s="1263">
        <f t="shared" si="231"/>
        <v>1</v>
      </c>
      <c r="BX45" s="1263">
        <f t="shared" si="231"/>
        <v>1</v>
      </c>
      <c r="BY45" s="1263">
        <f t="shared" si="231"/>
        <v>1</v>
      </c>
      <c r="BZ45" s="1263"/>
      <c r="CA45" s="99">
        <f t="shared" si="177"/>
        <v>0</v>
      </c>
      <c r="CB45" s="99">
        <f t="shared" si="178"/>
        <v>0</v>
      </c>
      <c r="CC45" s="99">
        <f t="shared" si="179"/>
        <v>160000</v>
      </c>
      <c r="CD45" s="99">
        <f t="shared" si="180"/>
        <v>0</v>
      </c>
      <c r="CE45" s="99">
        <f t="shared" si="181"/>
        <v>0</v>
      </c>
      <c r="CF45" s="99">
        <f t="shared" si="182"/>
        <v>0</v>
      </c>
      <c r="CG45" s="99">
        <f t="shared" si="183"/>
        <v>0</v>
      </c>
      <c r="CH45" s="99">
        <f t="shared" si="184"/>
        <v>0</v>
      </c>
      <c r="CI45" s="99">
        <f t="shared" si="185"/>
        <v>0</v>
      </c>
      <c r="CJ45" s="99">
        <f t="shared" si="186"/>
        <v>0</v>
      </c>
      <c r="CK45" s="99">
        <f t="shared" si="187"/>
        <v>0</v>
      </c>
      <c r="CL45" s="99">
        <f t="shared" si="187"/>
        <v>0</v>
      </c>
      <c r="CM45" s="2260"/>
      <c r="CN45" s="2260"/>
      <c r="CO45" s="2260"/>
      <c r="CP45" s="2260"/>
      <c r="CQ45" s="2260"/>
      <c r="CR45" s="2260"/>
    </row>
    <row r="46" spans="1:96" s="1099" customFormat="1" x14ac:dyDescent="0.2">
      <c r="A46" s="958" t="s">
        <v>4954</v>
      </c>
      <c r="B46" s="528"/>
      <c r="C46" s="528"/>
      <c r="D46" s="528"/>
      <c r="E46" s="2018"/>
      <c r="F46" s="2017"/>
      <c r="G46" s="2018"/>
      <c r="H46" s="2018"/>
      <c r="I46" s="2018"/>
      <c r="J46" s="2018"/>
      <c r="K46" s="2018"/>
      <c r="L46" s="2018"/>
      <c r="M46" s="2019"/>
      <c r="N46" s="2019">
        <v>2428000</v>
      </c>
      <c r="O46" s="2019"/>
      <c r="P46" s="2245"/>
      <c r="Q46" s="2244"/>
      <c r="R46" s="2017">
        <f t="shared" si="168"/>
        <v>0</v>
      </c>
      <c r="S46" s="2017"/>
      <c r="T46" s="2245">
        <f t="shared" si="82"/>
        <v>0</v>
      </c>
      <c r="U46" s="2244"/>
      <c r="V46" s="2017">
        <f t="shared" si="209"/>
        <v>0</v>
      </c>
      <c r="W46" s="2009"/>
      <c r="X46" s="2259">
        <f t="shared" si="210"/>
        <v>0</v>
      </c>
      <c r="Y46" s="2244"/>
      <c r="Z46" s="2017">
        <f t="shared" si="169"/>
        <v>0</v>
      </c>
      <c r="AA46" s="2009"/>
      <c r="AB46" s="2259">
        <f t="shared" si="211"/>
        <v>0</v>
      </c>
      <c r="AC46" s="2246"/>
      <c r="AD46" s="2017">
        <f t="shared" si="170"/>
        <v>0</v>
      </c>
      <c r="AE46" s="2017"/>
      <c r="AF46" s="2259">
        <f t="shared" si="212"/>
        <v>0</v>
      </c>
      <c r="AG46" s="2009"/>
      <c r="AH46" s="2017">
        <f t="shared" si="171"/>
        <v>0</v>
      </c>
      <c r="AI46" s="2009"/>
      <c r="AJ46" s="2262">
        <f t="shared" si="213"/>
        <v>0</v>
      </c>
      <c r="AK46" s="2009">
        <v>0</v>
      </c>
      <c r="AL46" s="2017">
        <v>0</v>
      </c>
      <c r="AM46" s="2009"/>
      <c r="AN46" s="2259">
        <f t="shared" si="214"/>
        <v>0</v>
      </c>
      <c r="AO46" s="2244"/>
      <c r="AP46" s="2017">
        <f t="shared" si="199"/>
        <v>0</v>
      </c>
      <c r="AQ46" s="2009"/>
      <c r="AR46" s="2259">
        <f t="shared" si="215"/>
        <v>0</v>
      </c>
      <c r="AS46" s="2244"/>
      <c r="AT46" s="2017">
        <f t="shared" si="220"/>
        <v>0</v>
      </c>
      <c r="AU46" s="2009"/>
      <c r="AV46" s="2259">
        <f t="shared" si="216"/>
        <v>0</v>
      </c>
      <c r="AW46" s="2244"/>
      <c r="AX46" s="2017">
        <f t="shared" si="172"/>
        <v>0</v>
      </c>
      <c r="AY46" s="2009"/>
      <c r="AZ46" s="2259">
        <f t="shared" si="217"/>
        <v>0</v>
      </c>
      <c r="BA46" s="2244"/>
      <c r="BB46" s="2017">
        <f>ROUND(N46/3,-2)</f>
        <v>809300</v>
      </c>
      <c r="BC46" s="2009"/>
      <c r="BD46" s="2259">
        <f t="shared" si="218"/>
        <v>1618700</v>
      </c>
      <c r="BE46" s="2244"/>
      <c r="BF46" s="2017"/>
      <c r="BG46" s="2009"/>
      <c r="BH46" s="620">
        <f t="shared" si="174"/>
        <v>0</v>
      </c>
      <c r="BI46" s="2244"/>
      <c r="BJ46" s="2017"/>
      <c r="BK46" s="2009"/>
      <c r="BL46" s="1927">
        <f t="shared" si="175"/>
        <v>0</v>
      </c>
      <c r="BM46" s="2260"/>
      <c r="BN46" s="1263">
        <v>1</v>
      </c>
      <c r="BO46" s="1263">
        <f t="shared" ref="BO46:BY46" si="232">BN46</f>
        <v>1</v>
      </c>
      <c r="BP46" s="1263">
        <f t="shared" si="232"/>
        <v>1</v>
      </c>
      <c r="BQ46" s="1263">
        <f t="shared" si="232"/>
        <v>1</v>
      </c>
      <c r="BR46" s="1263">
        <f t="shared" si="232"/>
        <v>1</v>
      </c>
      <c r="BS46" s="1263">
        <f t="shared" si="232"/>
        <v>1</v>
      </c>
      <c r="BT46" s="1263">
        <f t="shared" si="232"/>
        <v>1</v>
      </c>
      <c r="BU46" s="1263">
        <f t="shared" si="232"/>
        <v>1</v>
      </c>
      <c r="BV46" s="1263">
        <f t="shared" si="232"/>
        <v>1</v>
      </c>
      <c r="BW46" s="1263">
        <f t="shared" si="232"/>
        <v>1</v>
      </c>
      <c r="BX46" s="1263">
        <f t="shared" si="232"/>
        <v>1</v>
      </c>
      <c r="BY46" s="1263">
        <f t="shared" si="232"/>
        <v>1</v>
      </c>
      <c r="BZ46" s="1263"/>
      <c r="CA46" s="99">
        <f t="shared" si="177"/>
        <v>0</v>
      </c>
      <c r="CB46" s="99">
        <f t="shared" si="178"/>
        <v>0</v>
      </c>
      <c r="CC46" s="99">
        <f t="shared" si="179"/>
        <v>0</v>
      </c>
      <c r="CD46" s="99">
        <f t="shared" si="180"/>
        <v>0</v>
      </c>
      <c r="CE46" s="99">
        <f t="shared" si="181"/>
        <v>0</v>
      </c>
      <c r="CF46" s="99">
        <f t="shared" si="182"/>
        <v>0</v>
      </c>
      <c r="CG46" s="99">
        <f t="shared" si="183"/>
        <v>0</v>
      </c>
      <c r="CH46" s="99">
        <f t="shared" si="184"/>
        <v>0</v>
      </c>
      <c r="CI46" s="99">
        <f t="shared" si="185"/>
        <v>0</v>
      </c>
      <c r="CJ46" s="99">
        <f t="shared" si="186"/>
        <v>2428000</v>
      </c>
      <c r="CK46" s="99">
        <f t="shared" si="187"/>
        <v>0</v>
      </c>
      <c r="CL46" s="99">
        <f t="shared" si="187"/>
        <v>0</v>
      </c>
      <c r="CM46" s="2260"/>
      <c r="CN46" s="2260"/>
      <c r="CO46" s="2260"/>
      <c r="CP46" s="2260"/>
      <c r="CQ46" s="2260"/>
      <c r="CR46" s="2260"/>
    </row>
    <row r="47" spans="1:96" s="1099" customFormat="1" x14ac:dyDescent="0.2">
      <c r="A47" s="958" t="s">
        <v>4955</v>
      </c>
      <c r="B47" s="528"/>
      <c r="C47" s="528"/>
      <c r="D47" s="528"/>
      <c r="E47" s="2018"/>
      <c r="F47" s="2018"/>
      <c r="G47" s="2019"/>
      <c r="H47" s="2018">
        <v>345000</v>
      </c>
      <c r="I47" s="2018"/>
      <c r="J47" s="2018"/>
      <c r="K47" s="2018">
        <v>388000</v>
      </c>
      <c r="L47" s="2018"/>
      <c r="M47" s="2019"/>
      <c r="N47" s="2019"/>
      <c r="O47" s="2019"/>
      <c r="P47" s="2245"/>
      <c r="Q47" s="2244"/>
      <c r="R47" s="2017">
        <f t="shared" si="168"/>
        <v>0</v>
      </c>
      <c r="S47" s="2017"/>
      <c r="T47" s="2245">
        <f t="shared" si="82"/>
        <v>0</v>
      </c>
      <c r="U47" s="2244"/>
      <c r="V47" s="2017">
        <f t="shared" si="209"/>
        <v>0</v>
      </c>
      <c r="W47" s="2009"/>
      <c r="X47" s="2259">
        <f t="shared" si="210"/>
        <v>0</v>
      </c>
      <c r="Y47" s="2244"/>
      <c r="Z47" s="2017">
        <f t="shared" si="169"/>
        <v>0</v>
      </c>
      <c r="AA47" s="2009"/>
      <c r="AB47" s="2259">
        <f t="shared" si="211"/>
        <v>0</v>
      </c>
      <c r="AC47" s="2246"/>
      <c r="AD47" s="2017">
        <f>ROUND(H47,-2)</f>
        <v>345000</v>
      </c>
      <c r="AE47" s="2017"/>
      <c r="AF47" s="2259">
        <f t="shared" si="212"/>
        <v>0</v>
      </c>
      <c r="AG47" s="2009"/>
      <c r="AH47" s="2017">
        <f t="shared" si="171"/>
        <v>0</v>
      </c>
      <c r="AI47" s="2009"/>
      <c r="AJ47" s="2262">
        <f t="shared" si="213"/>
        <v>0</v>
      </c>
      <c r="AK47" s="2009">
        <v>0</v>
      </c>
      <c r="AL47" s="2017">
        <f>ROUND(J47,-2)</f>
        <v>0</v>
      </c>
      <c r="AM47" s="2009"/>
      <c r="AN47" s="2259">
        <f t="shared" si="214"/>
        <v>0</v>
      </c>
      <c r="AO47" s="2244"/>
      <c r="AP47" s="2017">
        <v>0</v>
      </c>
      <c r="AQ47" s="2009"/>
      <c r="AR47" s="2259">
        <f t="shared" si="215"/>
        <v>388000</v>
      </c>
      <c r="AS47" s="2244"/>
      <c r="AT47" s="2017">
        <f t="shared" si="220"/>
        <v>0</v>
      </c>
      <c r="AU47" s="2009"/>
      <c r="AV47" s="2259">
        <f t="shared" si="216"/>
        <v>0</v>
      </c>
      <c r="AW47" s="2244"/>
      <c r="AX47" s="2017">
        <f t="shared" si="172"/>
        <v>0</v>
      </c>
      <c r="AY47" s="2009"/>
      <c r="AZ47" s="2259">
        <f t="shared" si="217"/>
        <v>0</v>
      </c>
      <c r="BA47" s="2244"/>
      <c r="BB47" s="2017">
        <f>ROUND(N47,-2)</f>
        <v>0</v>
      </c>
      <c r="BC47" s="2009"/>
      <c r="BD47" s="2259">
        <f t="shared" si="218"/>
        <v>0</v>
      </c>
      <c r="BE47" s="2244"/>
      <c r="BF47" s="2017"/>
      <c r="BG47" s="2009"/>
      <c r="BH47" s="620">
        <f t="shared" si="174"/>
        <v>0</v>
      </c>
      <c r="BI47" s="2244"/>
      <c r="BJ47" s="2017"/>
      <c r="BK47" s="2009"/>
      <c r="BL47" s="1927">
        <f t="shared" si="175"/>
        <v>0</v>
      </c>
      <c r="BM47" s="2260"/>
      <c r="BN47" s="1263">
        <v>1</v>
      </c>
      <c r="BO47" s="1263">
        <f t="shared" ref="BO47:BY47" si="233">BN47</f>
        <v>1</v>
      </c>
      <c r="BP47" s="1263">
        <f t="shared" si="233"/>
        <v>1</v>
      </c>
      <c r="BQ47" s="1263">
        <f t="shared" si="233"/>
        <v>1</v>
      </c>
      <c r="BR47" s="1263">
        <f t="shared" si="233"/>
        <v>1</v>
      </c>
      <c r="BS47" s="1263">
        <f t="shared" si="233"/>
        <v>1</v>
      </c>
      <c r="BT47" s="1263">
        <f t="shared" si="233"/>
        <v>1</v>
      </c>
      <c r="BU47" s="1263">
        <f t="shared" si="233"/>
        <v>1</v>
      </c>
      <c r="BV47" s="1263">
        <f t="shared" si="233"/>
        <v>1</v>
      </c>
      <c r="BW47" s="1263">
        <f t="shared" si="233"/>
        <v>1</v>
      </c>
      <c r="BX47" s="1263">
        <f t="shared" si="233"/>
        <v>1</v>
      </c>
      <c r="BY47" s="1263">
        <f t="shared" si="233"/>
        <v>1</v>
      </c>
      <c r="BZ47" s="1263"/>
      <c r="CA47" s="99">
        <f t="shared" si="177"/>
        <v>0</v>
      </c>
      <c r="CB47" s="99">
        <f t="shared" si="178"/>
        <v>0</v>
      </c>
      <c r="CC47" s="99">
        <f t="shared" si="179"/>
        <v>0</v>
      </c>
      <c r="CD47" s="99">
        <f t="shared" si="180"/>
        <v>345000</v>
      </c>
      <c r="CE47" s="99">
        <f t="shared" si="181"/>
        <v>0</v>
      </c>
      <c r="CF47" s="99">
        <f t="shared" si="182"/>
        <v>0</v>
      </c>
      <c r="CG47" s="99">
        <f t="shared" si="183"/>
        <v>388000</v>
      </c>
      <c r="CH47" s="99">
        <f t="shared" si="184"/>
        <v>0</v>
      </c>
      <c r="CI47" s="99">
        <f t="shared" si="185"/>
        <v>0</v>
      </c>
      <c r="CJ47" s="99">
        <f t="shared" si="186"/>
        <v>0</v>
      </c>
      <c r="CK47" s="99">
        <f t="shared" si="187"/>
        <v>0</v>
      </c>
      <c r="CL47" s="99">
        <f t="shared" si="187"/>
        <v>0</v>
      </c>
      <c r="CM47" s="2260"/>
      <c r="CN47" s="2260"/>
      <c r="CO47" s="2260"/>
      <c r="CP47" s="2260"/>
      <c r="CQ47" s="2260"/>
      <c r="CR47" s="2260"/>
    </row>
    <row r="48" spans="1:96" s="1099" customFormat="1" x14ac:dyDescent="0.2">
      <c r="A48" s="958" t="s">
        <v>4953</v>
      </c>
      <c r="B48" s="528"/>
      <c r="C48" s="528"/>
      <c r="D48" s="528"/>
      <c r="E48" s="2018"/>
      <c r="F48" s="2018"/>
      <c r="G48" s="2019"/>
      <c r="H48" s="2018"/>
      <c r="I48" s="2018"/>
      <c r="J48" s="2018">
        <v>238000</v>
      </c>
      <c r="K48" s="2018"/>
      <c r="L48" s="2018"/>
      <c r="M48" s="2019"/>
      <c r="N48" s="2019"/>
      <c r="O48" s="2019"/>
      <c r="P48" s="2245"/>
      <c r="Q48" s="2244"/>
      <c r="R48" s="2017">
        <f t="shared" si="168"/>
        <v>0</v>
      </c>
      <c r="S48" s="2017"/>
      <c r="T48" s="2245">
        <f t="shared" si="82"/>
        <v>0</v>
      </c>
      <c r="U48" s="2244"/>
      <c r="V48" s="2017">
        <f t="shared" si="209"/>
        <v>0</v>
      </c>
      <c r="W48" s="2009"/>
      <c r="X48" s="2259">
        <f t="shared" si="210"/>
        <v>0</v>
      </c>
      <c r="Y48" s="2244"/>
      <c r="Z48" s="2017">
        <f t="shared" si="169"/>
        <v>0</v>
      </c>
      <c r="AA48" s="2009"/>
      <c r="AB48" s="2259">
        <f t="shared" si="211"/>
        <v>0</v>
      </c>
      <c r="AC48" s="2246"/>
      <c r="AD48" s="2017">
        <f t="shared" si="170"/>
        <v>0</v>
      </c>
      <c r="AE48" s="2017"/>
      <c r="AF48" s="2259">
        <f t="shared" si="212"/>
        <v>0</v>
      </c>
      <c r="AG48" s="2009"/>
      <c r="AH48" s="2017">
        <f t="shared" si="171"/>
        <v>0</v>
      </c>
      <c r="AI48" s="2009"/>
      <c r="AJ48" s="2262">
        <f t="shared" si="213"/>
        <v>0</v>
      </c>
      <c r="AK48" s="2009">
        <v>0</v>
      </c>
      <c r="AL48" s="2017">
        <f>ROUND(J48,-2)</f>
        <v>238000</v>
      </c>
      <c r="AM48" s="2009"/>
      <c r="AN48" s="2259">
        <f t="shared" si="214"/>
        <v>0</v>
      </c>
      <c r="AO48" s="2244"/>
      <c r="AP48" s="2017">
        <f>ROUND(K48,-2)</f>
        <v>0</v>
      </c>
      <c r="AQ48" s="2009"/>
      <c r="AR48" s="2259">
        <f t="shared" si="215"/>
        <v>0</v>
      </c>
      <c r="AS48" s="2244"/>
      <c r="AT48" s="2017">
        <f t="shared" si="220"/>
        <v>0</v>
      </c>
      <c r="AU48" s="2009"/>
      <c r="AV48" s="2259">
        <f t="shared" si="216"/>
        <v>0</v>
      </c>
      <c r="AW48" s="2244"/>
      <c r="AX48" s="2017">
        <f t="shared" si="172"/>
        <v>0</v>
      </c>
      <c r="AY48" s="2009"/>
      <c r="AZ48" s="2259">
        <f t="shared" si="217"/>
        <v>0</v>
      </c>
      <c r="BA48" s="2244"/>
      <c r="BB48" s="2017">
        <f>ROUND(N48,-2)</f>
        <v>0</v>
      </c>
      <c r="BC48" s="2009"/>
      <c r="BD48" s="2259">
        <f t="shared" si="218"/>
        <v>0</v>
      </c>
      <c r="BE48" s="2244"/>
      <c r="BF48" s="2017"/>
      <c r="BG48" s="2009"/>
      <c r="BH48" s="620">
        <f t="shared" si="174"/>
        <v>0</v>
      </c>
      <c r="BI48" s="2244"/>
      <c r="BJ48" s="2017"/>
      <c r="BK48" s="2009"/>
      <c r="BL48" s="1927">
        <f t="shared" si="175"/>
        <v>0</v>
      </c>
      <c r="BM48" s="2260"/>
      <c r="BN48" s="1263">
        <v>1</v>
      </c>
      <c r="BO48" s="1263">
        <f t="shared" ref="BO48:BY48" si="234">BN48</f>
        <v>1</v>
      </c>
      <c r="BP48" s="1263">
        <f t="shared" si="234"/>
        <v>1</v>
      </c>
      <c r="BQ48" s="1263">
        <f t="shared" si="234"/>
        <v>1</v>
      </c>
      <c r="BR48" s="1263">
        <f t="shared" si="234"/>
        <v>1</v>
      </c>
      <c r="BS48" s="1263">
        <f t="shared" si="234"/>
        <v>1</v>
      </c>
      <c r="BT48" s="1263">
        <f t="shared" si="234"/>
        <v>1</v>
      </c>
      <c r="BU48" s="1263">
        <f t="shared" si="234"/>
        <v>1</v>
      </c>
      <c r="BV48" s="1263">
        <f t="shared" si="234"/>
        <v>1</v>
      </c>
      <c r="BW48" s="1263">
        <f t="shared" si="234"/>
        <v>1</v>
      </c>
      <c r="BX48" s="1263">
        <f t="shared" si="234"/>
        <v>1</v>
      </c>
      <c r="BY48" s="1263">
        <f t="shared" si="234"/>
        <v>1</v>
      </c>
      <c r="BZ48" s="1263"/>
      <c r="CA48" s="99">
        <f t="shared" si="177"/>
        <v>0</v>
      </c>
      <c r="CB48" s="99">
        <f t="shared" si="178"/>
        <v>0</v>
      </c>
      <c r="CC48" s="99">
        <f t="shared" si="179"/>
        <v>0</v>
      </c>
      <c r="CD48" s="99">
        <f t="shared" si="180"/>
        <v>0</v>
      </c>
      <c r="CE48" s="99">
        <f t="shared" si="181"/>
        <v>0</v>
      </c>
      <c r="CF48" s="99">
        <f t="shared" si="182"/>
        <v>238000</v>
      </c>
      <c r="CG48" s="99">
        <f t="shared" si="183"/>
        <v>0</v>
      </c>
      <c r="CH48" s="99">
        <f t="shared" si="184"/>
        <v>0</v>
      </c>
      <c r="CI48" s="99">
        <f t="shared" si="185"/>
        <v>0</v>
      </c>
      <c r="CJ48" s="99">
        <f t="shared" si="186"/>
        <v>0</v>
      </c>
      <c r="CK48" s="99">
        <f t="shared" si="187"/>
        <v>0</v>
      </c>
      <c r="CL48" s="99">
        <f t="shared" si="187"/>
        <v>0</v>
      </c>
      <c r="CM48" s="2260"/>
      <c r="CN48" s="2260"/>
      <c r="CO48" s="2260"/>
      <c r="CP48" s="2260"/>
      <c r="CQ48" s="2260"/>
      <c r="CR48" s="2260"/>
    </row>
    <row r="49" spans="1:96" s="1099" customFormat="1" x14ac:dyDescent="0.2">
      <c r="A49" s="958" t="s">
        <v>6535</v>
      </c>
      <c r="B49" s="528"/>
      <c r="C49" s="528"/>
      <c r="D49" s="528"/>
      <c r="E49" s="2018"/>
      <c r="F49" s="2018"/>
      <c r="G49" s="2019">
        <v>80000</v>
      </c>
      <c r="H49" s="2018"/>
      <c r="I49" s="2018"/>
      <c r="J49" s="2018"/>
      <c r="K49" s="2018"/>
      <c r="L49" s="2018"/>
      <c r="M49" s="2019"/>
      <c r="N49" s="2019"/>
      <c r="O49" s="2019"/>
      <c r="P49" s="2245"/>
      <c r="Q49" s="2244"/>
      <c r="R49" s="2017"/>
      <c r="S49" s="2017"/>
      <c r="T49" s="2245"/>
      <c r="U49" s="2244"/>
      <c r="V49" s="2017"/>
      <c r="W49" s="2009"/>
      <c r="X49" s="2259">
        <f t="shared" si="210"/>
        <v>0</v>
      </c>
      <c r="Y49" s="2244"/>
      <c r="Z49" s="2017">
        <v>80000</v>
      </c>
      <c r="AA49" s="2009"/>
      <c r="AB49" s="2259">
        <f t="shared" si="211"/>
        <v>0</v>
      </c>
      <c r="AC49" s="2246"/>
      <c r="AD49" s="2017"/>
      <c r="AE49" s="2017"/>
      <c r="AF49" s="2259">
        <f t="shared" si="212"/>
        <v>0</v>
      </c>
      <c r="AG49" s="2009"/>
      <c r="AH49" s="2017"/>
      <c r="AI49" s="2009"/>
      <c r="AJ49" s="2262">
        <f t="shared" si="213"/>
        <v>0</v>
      </c>
      <c r="AK49" s="2009"/>
      <c r="AL49" s="2017"/>
      <c r="AM49" s="2009"/>
      <c r="AN49" s="2259">
        <f t="shared" si="214"/>
        <v>0</v>
      </c>
      <c r="AO49" s="2244"/>
      <c r="AP49" s="2017"/>
      <c r="AQ49" s="2009"/>
      <c r="AR49" s="2259">
        <f t="shared" si="215"/>
        <v>0</v>
      </c>
      <c r="AS49" s="2244"/>
      <c r="AT49" s="2017"/>
      <c r="AU49" s="2009"/>
      <c r="AV49" s="2259">
        <f t="shared" si="216"/>
        <v>0</v>
      </c>
      <c r="AW49" s="2244"/>
      <c r="AX49" s="2017"/>
      <c r="AY49" s="2009"/>
      <c r="AZ49" s="2259">
        <f t="shared" si="217"/>
        <v>0</v>
      </c>
      <c r="BA49" s="2244"/>
      <c r="BB49" s="2017"/>
      <c r="BC49" s="2009"/>
      <c r="BD49" s="2259">
        <f t="shared" si="218"/>
        <v>0</v>
      </c>
      <c r="BE49" s="2244"/>
      <c r="BF49" s="2017"/>
      <c r="BG49" s="2009"/>
      <c r="BH49" s="620">
        <f t="shared" si="174"/>
        <v>0</v>
      </c>
      <c r="BI49" s="2244"/>
      <c r="BJ49" s="2017"/>
      <c r="BK49" s="2009"/>
      <c r="BL49" s="1927">
        <f t="shared" si="175"/>
        <v>0</v>
      </c>
      <c r="BM49" s="2260"/>
      <c r="BN49" s="1263">
        <v>1</v>
      </c>
      <c r="BO49" s="1263">
        <f t="shared" ref="BO49:BO50" si="235">BN49</f>
        <v>1</v>
      </c>
      <c r="BP49" s="1263">
        <f t="shared" ref="BP49:BP50" si="236">BO49</f>
        <v>1</v>
      </c>
      <c r="BQ49" s="1263">
        <f t="shared" ref="BQ49:BQ50" si="237">BP49</f>
        <v>1</v>
      </c>
      <c r="BR49" s="1263">
        <f t="shared" ref="BR49:BR50" si="238">BQ49</f>
        <v>1</v>
      </c>
      <c r="BS49" s="1263">
        <f t="shared" ref="BS49:BS50" si="239">BR49</f>
        <v>1</v>
      </c>
      <c r="BT49" s="1263">
        <f t="shared" ref="BT49:BT50" si="240">BS49</f>
        <v>1</v>
      </c>
      <c r="BU49" s="1263">
        <f t="shared" ref="BU49:BU50" si="241">BT49</f>
        <v>1</v>
      </c>
      <c r="BV49" s="1263">
        <f t="shared" ref="BV49:BV50" si="242">BU49</f>
        <v>1</v>
      </c>
      <c r="BW49" s="1263">
        <f t="shared" ref="BW49:BW50" si="243">BV49</f>
        <v>1</v>
      </c>
      <c r="BX49" s="1263">
        <f t="shared" ref="BX49:BY50" si="244">BW49</f>
        <v>1</v>
      </c>
      <c r="BY49" s="1263">
        <f t="shared" si="244"/>
        <v>1</v>
      </c>
      <c r="BZ49" s="1263"/>
      <c r="CA49" s="99"/>
      <c r="CB49" s="99"/>
      <c r="CC49" s="99"/>
      <c r="CD49" s="99"/>
      <c r="CE49" s="99"/>
      <c r="CF49" s="99"/>
      <c r="CG49" s="99"/>
      <c r="CH49" s="99"/>
      <c r="CI49" s="99"/>
      <c r="CJ49" s="99"/>
      <c r="CK49" s="99"/>
      <c r="CL49" s="99"/>
      <c r="CM49" s="2260"/>
      <c r="CN49" s="2260"/>
      <c r="CO49" s="2260"/>
      <c r="CP49" s="2260"/>
      <c r="CQ49" s="2260"/>
      <c r="CR49" s="2260"/>
    </row>
    <row r="50" spans="1:96" s="1099" customFormat="1" x14ac:dyDescent="0.2">
      <c r="A50" s="958" t="s">
        <v>7051</v>
      </c>
      <c r="B50" s="528"/>
      <c r="C50" s="528"/>
      <c r="D50" s="528"/>
      <c r="E50" s="2018"/>
      <c r="F50" s="2018"/>
      <c r="G50" s="2019">
        <v>150000</v>
      </c>
      <c r="H50" s="2018"/>
      <c r="I50" s="2018"/>
      <c r="J50" s="2018"/>
      <c r="K50" s="2018"/>
      <c r="L50" s="2018"/>
      <c r="M50" s="2019"/>
      <c r="N50" s="2019"/>
      <c r="O50" s="2019"/>
      <c r="P50" s="2245"/>
      <c r="Q50" s="2244"/>
      <c r="R50" s="2017"/>
      <c r="S50" s="2017"/>
      <c r="T50" s="2245"/>
      <c r="U50" s="2244"/>
      <c r="V50" s="2017"/>
      <c r="W50" s="2009"/>
      <c r="X50" s="2259">
        <f t="shared" si="210"/>
        <v>0</v>
      </c>
      <c r="Y50" s="2244"/>
      <c r="Z50" s="2017"/>
      <c r="AA50" s="2009"/>
      <c r="AB50" s="2259">
        <f t="shared" si="211"/>
        <v>150000</v>
      </c>
      <c r="AC50" s="2246"/>
      <c r="AD50" s="2017"/>
      <c r="AE50" s="2017"/>
      <c r="AF50" s="2259">
        <f t="shared" si="212"/>
        <v>0</v>
      </c>
      <c r="AG50" s="2009"/>
      <c r="AH50" s="2017"/>
      <c r="AI50" s="2009"/>
      <c r="AJ50" s="2262">
        <f t="shared" si="213"/>
        <v>0</v>
      </c>
      <c r="AK50" s="2009"/>
      <c r="AL50" s="2017"/>
      <c r="AM50" s="2009"/>
      <c r="AN50" s="2259">
        <f t="shared" si="214"/>
        <v>0</v>
      </c>
      <c r="AO50" s="2244"/>
      <c r="AP50" s="2017"/>
      <c r="AQ50" s="2009"/>
      <c r="AR50" s="2259">
        <f t="shared" si="215"/>
        <v>0</v>
      </c>
      <c r="AS50" s="2244"/>
      <c r="AT50" s="2017"/>
      <c r="AU50" s="2009"/>
      <c r="AV50" s="2259">
        <f t="shared" si="216"/>
        <v>0</v>
      </c>
      <c r="AW50" s="2244"/>
      <c r="AX50" s="2017"/>
      <c r="AY50" s="2009"/>
      <c r="AZ50" s="2259">
        <f t="shared" si="217"/>
        <v>0</v>
      </c>
      <c r="BA50" s="2244"/>
      <c r="BB50" s="2017"/>
      <c r="BC50" s="2009"/>
      <c r="BD50" s="2259">
        <f t="shared" si="218"/>
        <v>0</v>
      </c>
      <c r="BE50" s="2244"/>
      <c r="BF50" s="2017"/>
      <c r="BG50" s="2009"/>
      <c r="BH50" s="620">
        <f t="shared" si="174"/>
        <v>0</v>
      </c>
      <c r="BI50" s="2244"/>
      <c r="BJ50" s="2017"/>
      <c r="BK50" s="2009"/>
      <c r="BL50" s="1927">
        <f t="shared" si="175"/>
        <v>0</v>
      </c>
      <c r="BM50" s="2260"/>
      <c r="BN50" s="1263">
        <v>1</v>
      </c>
      <c r="BO50" s="1263">
        <f t="shared" si="235"/>
        <v>1</v>
      </c>
      <c r="BP50" s="1263">
        <f t="shared" si="236"/>
        <v>1</v>
      </c>
      <c r="BQ50" s="1263">
        <f t="shared" si="237"/>
        <v>1</v>
      </c>
      <c r="BR50" s="1263">
        <f t="shared" si="238"/>
        <v>1</v>
      </c>
      <c r="BS50" s="1263">
        <f t="shared" si="239"/>
        <v>1</v>
      </c>
      <c r="BT50" s="1263">
        <f t="shared" si="240"/>
        <v>1</v>
      </c>
      <c r="BU50" s="1263">
        <f t="shared" si="241"/>
        <v>1</v>
      </c>
      <c r="BV50" s="1263">
        <f t="shared" si="242"/>
        <v>1</v>
      </c>
      <c r="BW50" s="1263">
        <f t="shared" si="243"/>
        <v>1</v>
      </c>
      <c r="BX50" s="1263">
        <f t="shared" si="244"/>
        <v>1</v>
      </c>
      <c r="BY50" s="1263">
        <f t="shared" si="244"/>
        <v>1</v>
      </c>
      <c r="BZ50" s="1263"/>
      <c r="CA50" s="99"/>
      <c r="CB50" s="99"/>
      <c r="CC50" s="99"/>
      <c r="CD50" s="99"/>
      <c r="CE50" s="99"/>
      <c r="CF50" s="99"/>
      <c r="CG50" s="99"/>
      <c r="CH50" s="99"/>
      <c r="CI50" s="99"/>
      <c r="CJ50" s="99"/>
      <c r="CK50" s="99"/>
      <c r="CL50" s="99"/>
      <c r="CM50" s="2260"/>
      <c r="CN50" s="2260"/>
      <c r="CO50" s="2260"/>
      <c r="CP50" s="2260"/>
      <c r="CQ50" s="2260"/>
      <c r="CR50" s="2260"/>
    </row>
    <row r="51" spans="1:96" s="1099" customFormat="1" x14ac:dyDescent="0.2">
      <c r="A51" s="958"/>
      <c r="B51" s="528"/>
      <c r="C51" s="528"/>
      <c r="D51" s="528"/>
      <c r="E51" s="2018"/>
      <c r="F51" s="2018"/>
      <c r="G51" s="2019"/>
      <c r="H51" s="2018"/>
      <c r="I51" s="2018"/>
      <c r="J51" s="2018"/>
      <c r="K51" s="2018"/>
      <c r="L51" s="2018"/>
      <c r="M51" s="2019"/>
      <c r="N51" s="2019"/>
      <c r="O51" s="2019"/>
      <c r="P51" s="2245"/>
      <c r="Q51" s="2244"/>
      <c r="R51" s="2017"/>
      <c r="S51" s="2017"/>
      <c r="T51" s="2245"/>
      <c r="U51" s="2244"/>
      <c r="V51" s="2017"/>
      <c r="W51" s="2009"/>
      <c r="X51" s="2259"/>
      <c r="Y51" s="2244"/>
      <c r="Z51" s="2017"/>
      <c r="AA51" s="2009"/>
      <c r="AB51" s="2259"/>
      <c r="AC51" s="2246"/>
      <c r="AD51" s="2017"/>
      <c r="AE51" s="2017"/>
      <c r="AF51" s="2259"/>
      <c r="AG51" s="2009"/>
      <c r="AH51" s="2017"/>
      <c r="AI51" s="2009"/>
      <c r="AJ51" s="2262"/>
      <c r="AK51" s="2009"/>
      <c r="AL51" s="2017"/>
      <c r="AM51" s="2009"/>
      <c r="AN51" s="2259"/>
      <c r="AO51" s="2244"/>
      <c r="AP51" s="2017"/>
      <c r="AQ51" s="2009"/>
      <c r="AR51" s="2259"/>
      <c r="AS51" s="2244"/>
      <c r="AT51" s="2017"/>
      <c r="AU51" s="2009"/>
      <c r="AV51" s="2259"/>
      <c r="AW51" s="2244"/>
      <c r="AX51" s="2017"/>
      <c r="AY51" s="2009"/>
      <c r="AZ51" s="2259"/>
      <c r="BA51" s="2244"/>
      <c r="BB51" s="2017"/>
      <c r="BC51" s="2009"/>
      <c r="BD51" s="2259"/>
      <c r="BE51" s="2244"/>
      <c r="BF51" s="2017"/>
      <c r="BG51" s="2009"/>
      <c r="BH51" s="2259"/>
      <c r="BI51" s="2244"/>
      <c r="BJ51" s="2017"/>
      <c r="BK51" s="2009"/>
      <c r="BL51" s="2262"/>
      <c r="BM51" s="2260"/>
      <c r="BN51" s="1263"/>
      <c r="BO51" s="1263"/>
      <c r="BP51" s="1263"/>
      <c r="BQ51" s="1263"/>
      <c r="BR51" s="1263"/>
      <c r="BS51" s="1263"/>
      <c r="BT51" s="1263"/>
      <c r="BU51" s="1263"/>
      <c r="BV51" s="1263"/>
      <c r="BW51" s="1263"/>
      <c r="BX51" s="1263"/>
      <c r="BY51" s="1263"/>
      <c r="BZ51" s="1263"/>
      <c r="CA51" s="99"/>
      <c r="CB51" s="99"/>
      <c r="CC51" s="99"/>
      <c r="CD51" s="99"/>
      <c r="CE51" s="99"/>
      <c r="CF51" s="99"/>
      <c r="CG51" s="99"/>
      <c r="CH51" s="99"/>
      <c r="CI51" s="99"/>
      <c r="CJ51" s="99"/>
      <c r="CK51" s="99"/>
      <c r="CL51" s="99"/>
      <c r="CM51" s="2260"/>
      <c r="CN51" s="2260"/>
      <c r="CO51" s="2260"/>
      <c r="CP51" s="2260"/>
      <c r="CQ51" s="2260"/>
      <c r="CR51" s="2260"/>
    </row>
    <row r="52" spans="1:96" s="1099" customFormat="1" x14ac:dyDescent="0.2">
      <c r="A52" s="1104" t="s">
        <v>4690</v>
      </c>
      <c r="B52" s="528"/>
      <c r="C52" s="528"/>
      <c r="D52" s="528"/>
      <c r="E52" s="2018"/>
      <c r="F52" s="2018"/>
      <c r="G52" s="2019"/>
      <c r="H52" s="2018"/>
      <c r="I52" s="2018"/>
      <c r="J52" s="2018"/>
      <c r="K52" s="2018"/>
      <c r="L52" s="2018"/>
      <c r="M52" s="2019"/>
      <c r="N52" s="2019"/>
      <c r="O52" s="2019"/>
      <c r="P52" s="2245"/>
      <c r="Q52" s="2244"/>
      <c r="R52" s="2017"/>
      <c r="S52" s="2017"/>
      <c r="T52" s="2245"/>
      <c r="U52" s="2244"/>
      <c r="V52" s="2017"/>
      <c r="W52" s="2009"/>
      <c r="X52" s="2259"/>
      <c r="Y52" s="2244"/>
      <c r="Z52" s="2017"/>
      <c r="AA52" s="2009"/>
      <c r="AB52" s="2259"/>
      <c r="AC52" s="2246"/>
      <c r="AD52" s="2017"/>
      <c r="AE52" s="2017"/>
      <c r="AF52" s="2259"/>
      <c r="AG52" s="2009"/>
      <c r="AH52" s="2017"/>
      <c r="AI52" s="2009"/>
      <c r="AJ52" s="2262"/>
      <c r="AK52" s="2009"/>
      <c r="AL52" s="2017"/>
      <c r="AM52" s="2009"/>
      <c r="AN52" s="2259"/>
      <c r="AO52" s="2244"/>
      <c r="AP52" s="2017"/>
      <c r="AQ52" s="2009"/>
      <c r="AR52" s="2259"/>
      <c r="AS52" s="2244"/>
      <c r="AT52" s="2017"/>
      <c r="AU52" s="2009"/>
      <c r="AV52" s="2259"/>
      <c r="AW52" s="2244"/>
      <c r="AX52" s="2017"/>
      <c r="AY52" s="2009"/>
      <c r="AZ52" s="2259"/>
      <c r="BA52" s="2244"/>
      <c r="BB52" s="2017"/>
      <c r="BC52" s="2009"/>
      <c r="BD52" s="2259"/>
      <c r="BE52" s="2244"/>
      <c r="BF52" s="2017"/>
      <c r="BG52" s="2009"/>
      <c r="BH52" s="2259"/>
      <c r="BI52" s="2244"/>
      <c r="BJ52" s="2017"/>
      <c r="BK52" s="2009"/>
      <c r="BL52" s="2262"/>
      <c r="BM52" s="2260"/>
      <c r="BN52" s="1263"/>
      <c r="BO52" s="1263"/>
      <c r="BP52" s="1263"/>
      <c r="BQ52" s="1263"/>
      <c r="BR52" s="1263"/>
      <c r="BS52" s="1263"/>
      <c r="BT52" s="1263"/>
      <c r="BU52" s="1263"/>
      <c r="BV52" s="1263"/>
      <c r="BW52" s="1263"/>
      <c r="BX52" s="1263"/>
      <c r="BY52" s="1263"/>
      <c r="BZ52" s="1263"/>
      <c r="CA52" s="99"/>
      <c r="CB52" s="99"/>
      <c r="CC52" s="99"/>
      <c r="CD52" s="99"/>
      <c r="CE52" s="99"/>
      <c r="CF52" s="99"/>
      <c r="CG52" s="99"/>
      <c r="CH52" s="99"/>
      <c r="CI52" s="99"/>
      <c r="CJ52" s="99"/>
      <c r="CK52" s="99"/>
      <c r="CL52" s="99"/>
      <c r="CM52" s="2260"/>
      <c r="CN52" s="2260"/>
      <c r="CO52" s="2260"/>
      <c r="CP52" s="2260"/>
      <c r="CQ52" s="2260"/>
      <c r="CR52" s="2260"/>
    </row>
    <row r="53" spans="1:96" s="1099" customFormat="1" x14ac:dyDescent="0.2">
      <c r="A53" s="958" t="s">
        <v>4956</v>
      </c>
      <c r="B53" s="953" t="s">
        <v>5121</v>
      </c>
      <c r="C53" s="953" t="s">
        <v>5122</v>
      </c>
      <c r="D53" s="953"/>
      <c r="E53" s="2018"/>
      <c r="F53" s="2018"/>
      <c r="G53" s="2019">
        <v>100000</v>
      </c>
      <c r="H53" s="2018"/>
      <c r="I53" s="2018"/>
      <c r="J53" s="2018"/>
      <c r="K53" s="2018"/>
      <c r="L53" s="2018"/>
      <c r="M53" s="2019"/>
      <c r="N53" s="2019"/>
      <c r="O53" s="2019"/>
      <c r="P53" s="2245"/>
      <c r="Q53" s="2244"/>
      <c r="R53" s="2017"/>
      <c r="S53" s="2017"/>
      <c r="T53" s="2245">
        <f t="shared" si="82"/>
        <v>0</v>
      </c>
      <c r="U53" s="2244"/>
      <c r="V53" s="2017"/>
      <c r="W53" s="2009"/>
      <c r="X53" s="2259">
        <f t="shared" ref="X53:X57" si="245">$F53-U53-V53-W53</f>
        <v>0</v>
      </c>
      <c r="Y53" s="2244"/>
      <c r="Z53" s="2017"/>
      <c r="AA53" s="2009"/>
      <c r="AB53" s="2259">
        <f t="shared" ref="AB53:AB57" si="246">$G53-Y53-Z53-AA53</f>
        <v>100000</v>
      </c>
      <c r="AC53" s="2244"/>
      <c r="AD53" s="2017"/>
      <c r="AE53" s="2017"/>
      <c r="AF53" s="2259">
        <f t="shared" ref="AF53:AF57" si="247">$H53-AC53-AD53-AE53</f>
        <v>0</v>
      </c>
      <c r="AG53" s="2009"/>
      <c r="AH53" s="2017"/>
      <c r="AI53" s="2009"/>
      <c r="AJ53" s="2262">
        <f t="shared" ref="AJ53:AJ57" si="248">$I53-AG53-AH53-AI53</f>
        <v>0</v>
      </c>
      <c r="AK53" s="2009"/>
      <c r="AL53" s="2017"/>
      <c r="AM53" s="2009"/>
      <c r="AN53" s="2259">
        <f t="shared" ref="AN53:AN57" si="249">$J53-AK53-AL53-AM53</f>
        <v>0</v>
      </c>
      <c r="AO53" s="2244"/>
      <c r="AP53" s="2017"/>
      <c r="AQ53" s="2009"/>
      <c r="AR53" s="2259">
        <f t="shared" ref="AR53:AR57" si="250">$K53-AO53-AP53-AQ53</f>
        <v>0</v>
      </c>
      <c r="AS53" s="2244"/>
      <c r="AT53" s="2017"/>
      <c r="AU53" s="2009"/>
      <c r="AV53" s="2259">
        <f t="shared" ref="AV53:AV57" si="251">$L53-AS53-AT53-AU53</f>
        <v>0</v>
      </c>
      <c r="AW53" s="2244"/>
      <c r="AX53" s="2017"/>
      <c r="AY53" s="2009"/>
      <c r="AZ53" s="2259">
        <f t="shared" ref="AZ53:AZ57" si="252">$M53-AW53-AX53-AY53</f>
        <v>0</v>
      </c>
      <c r="BA53" s="2244"/>
      <c r="BB53" s="2017"/>
      <c r="BC53" s="2009"/>
      <c r="BD53" s="2259">
        <f t="shared" ref="BD53:BD57" si="253">$N53-BA53-BB53-BC53</f>
        <v>0</v>
      </c>
      <c r="BE53" s="2244"/>
      <c r="BF53" s="2017"/>
      <c r="BG53" s="2009"/>
      <c r="BH53" s="620">
        <f t="shared" ref="BH53:BH57" si="254">$O53-BE53-BF53-BG53</f>
        <v>0</v>
      </c>
      <c r="BI53" s="2244"/>
      <c r="BJ53" s="2017"/>
      <c r="BK53" s="2009"/>
      <c r="BL53" s="1927">
        <f t="shared" ref="BL53:BL57" si="255">$P53-BI53-BJ53-BK53</f>
        <v>0</v>
      </c>
      <c r="BM53" s="2260"/>
      <c r="BN53" s="1263">
        <v>1</v>
      </c>
      <c r="BO53" s="1263">
        <f t="shared" ref="BO53:BO57" si="256">BN53</f>
        <v>1</v>
      </c>
      <c r="BP53" s="1263">
        <f t="shared" ref="BP53:BP57" si="257">BO53</f>
        <v>1</v>
      </c>
      <c r="BQ53" s="1263">
        <f t="shared" ref="BQ53:BQ57" si="258">BP53</f>
        <v>1</v>
      </c>
      <c r="BR53" s="1263">
        <f t="shared" ref="BR53:BR57" si="259">BQ53</f>
        <v>1</v>
      </c>
      <c r="BS53" s="1263">
        <f t="shared" ref="BS53:BS57" si="260">BR53</f>
        <v>1</v>
      </c>
      <c r="BT53" s="1263">
        <f t="shared" ref="BT53:BT57" si="261">BS53</f>
        <v>1</v>
      </c>
      <c r="BU53" s="1263">
        <f t="shared" ref="BU53:BU57" si="262">BT53</f>
        <v>1</v>
      </c>
      <c r="BV53" s="1263">
        <f t="shared" ref="BV53:BV57" si="263">BU53</f>
        <v>1</v>
      </c>
      <c r="BW53" s="1263">
        <f t="shared" ref="BW53:BY57" si="264">BV53</f>
        <v>1</v>
      </c>
      <c r="BX53" s="1263">
        <f t="shared" si="264"/>
        <v>1</v>
      </c>
      <c r="BY53" s="1263">
        <f t="shared" si="264"/>
        <v>1</v>
      </c>
      <c r="BZ53" s="1263"/>
      <c r="CA53" s="99">
        <f t="shared" ref="CA53:CL55" si="265">ROUND(BN53*E53,-3)</f>
        <v>0</v>
      </c>
      <c r="CB53" s="99">
        <f t="shared" si="265"/>
        <v>0</v>
      </c>
      <c r="CC53" s="99">
        <f t="shared" si="265"/>
        <v>100000</v>
      </c>
      <c r="CD53" s="99">
        <f t="shared" si="265"/>
        <v>0</v>
      </c>
      <c r="CE53" s="99">
        <f t="shared" si="265"/>
        <v>0</v>
      </c>
      <c r="CF53" s="99">
        <f t="shared" si="265"/>
        <v>0</v>
      </c>
      <c r="CG53" s="99">
        <f t="shared" si="265"/>
        <v>0</v>
      </c>
      <c r="CH53" s="99">
        <f t="shared" si="265"/>
        <v>0</v>
      </c>
      <c r="CI53" s="99">
        <f t="shared" si="265"/>
        <v>0</v>
      </c>
      <c r="CJ53" s="99">
        <f t="shared" si="265"/>
        <v>0</v>
      </c>
      <c r="CK53" s="99">
        <f t="shared" si="265"/>
        <v>0</v>
      </c>
      <c r="CL53" s="99">
        <f t="shared" si="265"/>
        <v>0</v>
      </c>
      <c r="CM53" s="2260"/>
      <c r="CN53" s="2260"/>
      <c r="CO53" s="2260"/>
      <c r="CP53" s="2260"/>
      <c r="CQ53" s="2260"/>
      <c r="CR53" s="2260"/>
    </row>
    <row r="54" spans="1:96" s="1099" customFormat="1" x14ac:dyDescent="0.2">
      <c r="A54" s="958" t="s">
        <v>4957</v>
      </c>
      <c r="B54" s="953" t="s">
        <v>5123</v>
      </c>
      <c r="C54" s="953" t="s">
        <v>5124</v>
      </c>
      <c r="D54" s="953"/>
      <c r="E54" s="2018"/>
      <c r="F54" s="2018"/>
      <c r="G54" s="2019">
        <v>250000</v>
      </c>
      <c r="H54" s="2018"/>
      <c r="I54" s="2018"/>
      <c r="J54" s="2018"/>
      <c r="K54" s="2018"/>
      <c r="L54" s="2018"/>
      <c r="M54" s="2019"/>
      <c r="N54" s="2019"/>
      <c r="O54" s="2019"/>
      <c r="P54" s="2245"/>
      <c r="Q54" s="2244"/>
      <c r="R54" s="2017"/>
      <c r="S54" s="2017"/>
      <c r="T54" s="2245">
        <f t="shared" ref="T54:T56" si="266">$E54-Q54-R54-S54</f>
        <v>0</v>
      </c>
      <c r="U54" s="2244"/>
      <c r="V54" s="2017"/>
      <c r="W54" s="2009"/>
      <c r="X54" s="2259">
        <f t="shared" si="245"/>
        <v>0</v>
      </c>
      <c r="Y54" s="2244"/>
      <c r="Z54" s="2017"/>
      <c r="AA54" s="2009"/>
      <c r="AB54" s="2259">
        <f t="shared" si="246"/>
        <v>250000</v>
      </c>
      <c r="AC54" s="2244"/>
      <c r="AD54" s="2017"/>
      <c r="AE54" s="2017"/>
      <c r="AF54" s="2259">
        <f t="shared" si="247"/>
        <v>0</v>
      </c>
      <c r="AG54" s="2009"/>
      <c r="AH54" s="2017"/>
      <c r="AI54" s="2009"/>
      <c r="AJ54" s="2262">
        <f t="shared" si="248"/>
        <v>0</v>
      </c>
      <c r="AK54" s="2009"/>
      <c r="AL54" s="2017"/>
      <c r="AM54" s="2009"/>
      <c r="AN54" s="2259">
        <f t="shared" si="249"/>
        <v>0</v>
      </c>
      <c r="AO54" s="2244"/>
      <c r="AP54" s="2017"/>
      <c r="AQ54" s="2009"/>
      <c r="AR54" s="2259">
        <f t="shared" si="250"/>
        <v>0</v>
      </c>
      <c r="AS54" s="2244"/>
      <c r="AT54" s="2017"/>
      <c r="AU54" s="2009"/>
      <c r="AV54" s="2259">
        <f t="shared" si="251"/>
        <v>0</v>
      </c>
      <c r="AW54" s="2244"/>
      <c r="AX54" s="2017"/>
      <c r="AY54" s="2009"/>
      <c r="AZ54" s="2259">
        <f t="shared" si="252"/>
        <v>0</v>
      </c>
      <c r="BA54" s="2244"/>
      <c r="BB54" s="2017"/>
      <c r="BC54" s="2009"/>
      <c r="BD54" s="2259">
        <f t="shared" si="253"/>
        <v>0</v>
      </c>
      <c r="BE54" s="2244"/>
      <c r="BF54" s="2017"/>
      <c r="BG54" s="2009"/>
      <c r="BH54" s="620">
        <f t="shared" si="254"/>
        <v>0</v>
      </c>
      <c r="BI54" s="2244"/>
      <c r="BJ54" s="2017"/>
      <c r="BK54" s="2009"/>
      <c r="BL54" s="1927">
        <f t="shared" si="255"/>
        <v>0</v>
      </c>
      <c r="BM54" s="2260"/>
      <c r="BN54" s="1263">
        <v>1</v>
      </c>
      <c r="BO54" s="1263">
        <f t="shared" si="256"/>
        <v>1</v>
      </c>
      <c r="BP54" s="1263">
        <f t="shared" si="257"/>
        <v>1</v>
      </c>
      <c r="BQ54" s="1263">
        <f t="shared" si="258"/>
        <v>1</v>
      </c>
      <c r="BR54" s="1263">
        <f t="shared" si="259"/>
        <v>1</v>
      </c>
      <c r="BS54" s="1263">
        <f t="shared" si="260"/>
        <v>1</v>
      </c>
      <c r="BT54" s="1263">
        <f t="shared" si="261"/>
        <v>1</v>
      </c>
      <c r="BU54" s="1263">
        <f t="shared" si="262"/>
        <v>1</v>
      </c>
      <c r="BV54" s="1263">
        <f t="shared" si="263"/>
        <v>1</v>
      </c>
      <c r="BW54" s="1263">
        <f t="shared" si="264"/>
        <v>1</v>
      </c>
      <c r="BX54" s="1263">
        <f t="shared" si="264"/>
        <v>1</v>
      </c>
      <c r="BY54" s="1263">
        <f t="shared" si="264"/>
        <v>1</v>
      </c>
      <c r="BZ54" s="1263"/>
      <c r="CA54" s="99">
        <f t="shared" si="265"/>
        <v>0</v>
      </c>
      <c r="CB54" s="99">
        <f t="shared" si="265"/>
        <v>0</v>
      </c>
      <c r="CC54" s="99">
        <f t="shared" si="265"/>
        <v>250000</v>
      </c>
      <c r="CD54" s="99">
        <f t="shared" si="265"/>
        <v>0</v>
      </c>
      <c r="CE54" s="99">
        <f t="shared" si="265"/>
        <v>0</v>
      </c>
      <c r="CF54" s="99">
        <f t="shared" si="265"/>
        <v>0</v>
      </c>
      <c r="CG54" s="99">
        <f t="shared" si="265"/>
        <v>0</v>
      </c>
      <c r="CH54" s="99">
        <f t="shared" si="265"/>
        <v>0</v>
      </c>
      <c r="CI54" s="99">
        <f t="shared" si="265"/>
        <v>0</v>
      </c>
      <c r="CJ54" s="99">
        <f t="shared" si="265"/>
        <v>0</v>
      </c>
      <c r="CK54" s="99">
        <f t="shared" si="265"/>
        <v>0</v>
      </c>
      <c r="CL54" s="99">
        <f t="shared" si="265"/>
        <v>0</v>
      </c>
      <c r="CM54" s="2260"/>
      <c r="CN54" s="2260"/>
      <c r="CO54" s="2260"/>
      <c r="CP54" s="2260"/>
      <c r="CQ54" s="2260"/>
      <c r="CR54" s="2260"/>
    </row>
    <row r="55" spans="1:96" s="1099" customFormat="1" x14ac:dyDescent="0.2">
      <c r="A55" s="958" t="s">
        <v>4958</v>
      </c>
      <c r="B55" s="528"/>
      <c r="C55" s="528"/>
      <c r="D55" s="528"/>
      <c r="E55" s="2017"/>
      <c r="F55" s="2017"/>
      <c r="G55" s="2017">
        <v>318000</v>
      </c>
      <c r="H55" s="2017"/>
      <c r="I55" s="2017"/>
      <c r="J55" s="2017"/>
      <c r="K55" s="2017"/>
      <c r="L55" s="2017"/>
      <c r="M55" s="2017"/>
      <c r="N55" s="2017"/>
      <c r="O55" s="2017"/>
      <c r="P55" s="2009"/>
      <c r="Q55" s="2244"/>
      <c r="R55" s="2017"/>
      <c r="S55" s="2017"/>
      <c r="T55" s="2245">
        <f t="shared" si="266"/>
        <v>0</v>
      </c>
      <c r="U55" s="2244"/>
      <c r="V55" s="2017"/>
      <c r="W55" s="2009"/>
      <c r="X55" s="2259">
        <f t="shared" si="245"/>
        <v>0</v>
      </c>
      <c r="Y55" s="2244"/>
      <c r="Z55" s="2017"/>
      <c r="AA55" s="2009"/>
      <c r="AB55" s="2259">
        <f t="shared" si="246"/>
        <v>318000</v>
      </c>
      <c r="AC55" s="2244"/>
      <c r="AD55" s="2017"/>
      <c r="AE55" s="2017"/>
      <c r="AF55" s="2259">
        <f t="shared" si="247"/>
        <v>0</v>
      </c>
      <c r="AG55" s="2009"/>
      <c r="AH55" s="2017"/>
      <c r="AI55" s="2009"/>
      <c r="AJ55" s="2262">
        <f t="shared" si="248"/>
        <v>0</v>
      </c>
      <c r="AK55" s="2009"/>
      <c r="AL55" s="2017"/>
      <c r="AM55" s="2009"/>
      <c r="AN55" s="2259">
        <f t="shared" si="249"/>
        <v>0</v>
      </c>
      <c r="AO55" s="2244"/>
      <c r="AP55" s="2017"/>
      <c r="AQ55" s="2009"/>
      <c r="AR55" s="2259">
        <f t="shared" si="250"/>
        <v>0</v>
      </c>
      <c r="AS55" s="2244"/>
      <c r="AT55" s="2017"/>
      <c r="AU55" s="2009"/>
      <c r="AV55" s="2259">
        <f t="shared" si="251"/>
        <v>0</v>
      </c>
      <c r="AW55" s="2244"/>
      <c r="AX55" s="2017"/>
      <c r="AY55" s="2009"/>
      <c r="AZ55" s="2259">
        <f t="shared" si="252"/>
        <v>0</v>
      </c>
      <c r="BA55" s="2244"/>
      <c r="BB55" s="2017"/>
      <c r="BC55" s="2009"/>
      <c r="BD55" s="2259">
        <f t="shared" si="253"/>
        <v>0</v>
      </c>
      <c r="BE55" s="2244"/>
      <c r="BF55" s="2017"/>
      <c r="BG55" s="2009"/>
      <c r="BH55" s="620">
        <f t="shared" si="254"/>
        <v>0</v>
      </c>
      <c r="BI55" s="2244"/>
      <c r="BJ55" s="2017"/>
      <c r="BK55" s="2009"/>
      <c r="BL55" s="1927">
        <f t="shared" si="255"/>
        <v>0</v>
      </c>
      <c r="BM55" s="2260"/>
      <c r="BN55" s="1263">
        <v>1</v>
      </c>
      <c r="BO55" s="1263">
        <f t="shared" si="256"/>
        <v>1</v>
      </c>
      <c r="BP55" s="1263">
        <f t="shared" si="257"/>
        <v>1</v>
      </c>
      <c r="BQ55" s="1263">
        <f t="shared" si="258"/>
        <v>1</v>
      </c>
      <c r="BR55" s="1263">
        <f t="shared" si="259"/>
        <v>1</v>
      </c>
      <c r="BS55" s="1263">
        <f t="shared" si="260"/>
        <v>1</v>
      </c>
      <c r="BT55" s="1263">
        <f t="shared" si="261"/>
        <v>1</v>
      </c>
      <c r="BU55" s="1263">
        <f t="shared" si="262"/>
        <v>1</v>
      </c>
      <c r="BV55" s="1263">
        <f t="shared" si="263"/>
        <v>1</v>
      </c>
      <c r="BW55" s="1263">
        <f t="shared" si="264"/>
        <v>1</v>
      </c>
      <c r="BX55" s="1263">
        <f t="shared" si="264"/>
        <v>1</v>
      </c>
      <c r="BY55" s="1263">
        <f t="shared" si="264"/>
        <v>1</v>
      </c>
      <c r="BZ55" s="1263"/>
      <c r="CA55" s="99">
        <f t="shared" si="265"/>
        <v>0</v>
      </c>
      <c r="CB55" s="99">
        <f t="shared" si="265"/>
        <v>0</v>
      </c>
      <c r="CC55" s="99">
        <f t="shared" si="265"/>
        <v>318000</v>
      </c>
      <c r="CD55" s="99">
        <f t="shared" si="265"/>
        <v>0</v>
      </c>
      <c r="CE55" s="99">
        <f t="shared" si="265"/>
        <v>0</v>
      </c>
      <c r="CF55" s="99">
        <f t="shared" si="265"/>
        <v>0</v>
      </c>
      <c r="CG55" s="99">
        <f t="shared" si="265"/>
        <v>0</v>
      </c>
      <c r="CH55" s="99">
        <f t="shared" si="265"/>
        <v>0</v>
      </c>
      <c r="CI55" s="99">
        <f t="shared" si="265"/>
        <v>0</v>
      </c>
      <c r="CJ55" s="99">
        <f t="shared" si="265"/>
        <v>0</v>
      </c>
      <c r="CK55" s="99">
        <f t="shared" si="265"/>
        <v>0</v>
      </c>
      <c r="CL55" s="99">
        <f t="shared" si="265"/>
        <v>0</v>
      </c>
      <c r="CM55" s="2260"/>
      <c r="CN55" s="2260"/>
      <c r="CO55" s="2260"/>
      <c r="CP55" s="2260"/>
      <c r="CQ55" s="2260"/>
      <c r="CR55" s="2260"/>
    </row>
    <row r="56" spans="1:96" s="1099" customFormat="1" x14ac:dyDescent="0.2">
      <c r="A56" s="958" t="s">
        <v>6153</v>
      </c>
      <c r="B56" s="528"/>
      <c r="C56" s="953" t="s">
        <v>6154</v>
      </c>
      <c r="D56" s="953" t="s">
        <v>6154</v>
      </c>
      <c r="E56" s="2017">
        <v>22600</v>
      </c>
      <c r="F56" s="2017">
        <v>150000</v>
      </c>
      <c r="G56" s="2017"/>
      <c r="H56" s="2017"/>
      <c r="I56" s="2017"/>
      <c r="J56" s="2017"/>
      <c r="K56" s="2017"/>
      <c r="L56" s="2017"/>
      <c r="M56" s="2017"/>
      <c r="N56" s="2017"/>
      <c r="O56" s="2017"/>
      <c r="P56" s="2009"/>
      <c r="Q56" s="2244"/>
      <c r="R56" s="2017"/>
      <c r="S56" s="2017"/>
      <c r="T56" s="2245">
        <f t="shared" si="266"/>
        <v>22600</v>
      </c>
      <c r="U56" s="2244"/>
      <c r="V56" s="2017"/>
      <c r="W56" s="2009"/>
      <c r="X56" s="2259">
        <f t="shared" si="245"/>
        <v>150000</v>
      </c>
      <c r="Y56" s="2244"/>
      <c r="Z56" s="2017"/>
      <c r="AA56" s="2009"/>
      <c r="AB56" s="2259">
        <f t="shared" si="246"/>
        <v>0</v>
      </c>
      <c r="AC56" s="2244"/>
      <c r="AD56" s="2017"/>
      <c r="AE56" s="2017"/>
      <c r="AF56" s="2259">
        <f t="shared" si="247"/>
        <v>0</v>
      </c>
      <c r="AG56" s="2009"/>
      <c r="AH56" s="2017"/>
      <c r="AI56" s="2009"/>
      <c r="AJ56" s="2262">
        <f t="shared" si="248"/>
        <v>0</v>
      </c>
      <c r="AK56" s="2009"/>
      <c r="AL56" s="2017"/>
      <c r="AM56" s="2009"/>
      <c r="AN56" s="2259">
        <f t="shared" si="249"/>
        <v>0</v>
      </c>
      <c r="AO56" s="2244"/>
      <c r="AP56" s="2017"/>
      <c r="AQ56" s="2009"/>
      <c r="AR56" s="2259">
        <f t="shared" si="250"/>
        <v>0</v>
      </c>
      <c r="AS56" s="2244"/>
      <c r="AT56" s="2017"/>
      <c r="AU56" s="2009"/>
      <c r="AV56" s="2259">
        <f t="shared" si="251"/>
        <v>0</v>
      </c>
      <c r="AW56" s="2244"/>
      <c r="AX56" s="2017"/>
      <c r="AY56" s="2009"/>
      <c r="AZ56" s="2259">
        <f t="shared" si="252"/>
        <v>0</v>
      </c>
      <c r="BA56" s="2244"/>
      <c r="BB56" s="2017"/>
      <c r="BC56" s="2009"/>
      <c r="BD56" s="2259">
        <f t="shared" si="253"/>
        <v>0</v>
      </c>
      <c r="BE56" s="2244"/>
      <c r="BF56" s="2017"/>
      <c r="BG56" s="2009"/>
      <c r="BH56" s="620">
        <f t="shared" si="254"/>
        <v>0</v>
      </c>
      <c r="BI56" s="2244"/>
      <c r="BJ56" s="2017"/>
      <c r="BK56" s="2009"/>
      <c r="BL56" s="1927">
        <f t="shared" si="255"/>
        <v>0</v>
      </c>
      <c r="BM56" s="2260"/>
      <c r="BN56" s="1263">
        <v>1</v>
      </c>
      <c r="BO56" s="1263">
        <f t="shared" ref="BO56" si="267">BN56</f>
        <v>1</v>
      </c>
      <c r="BP56" s="1263">
        <f t="shared" ref="BP56" si="268">BO56</f>
        <v>1</v>
      </c>
      <c r="BQ56" s="1263">
        <f t="shared" ref="BQ56" si="269">BP56</f>
        <v>1</v>
      </c>
      <c r="BR56" s="1263">
        <f t="shared" ref="BR56" si="270">BQ56</f>
        <v>1</v>
      </c>
      <c r="BS56" s="1263">
        <f t="shared" ref="BS56" si="271">BR56</f>
        <v>1</v>
      </c>
      <c r="BT56" s="1263">
        <f t="shared" ref="BT56" si="272">BS56</f>
        <v>1</v>
      </c>
      <c r="BU56" s="1263">
        <f t="shared" ref="BU56" si="273">BT56</f>
        <v>1</v>
      </c>
      <c r="BV56" s="1263">
        <f t="shared" ref="BV56" si="274">BU56</f>
        <v>1</v>
      </c>
      <c r="BW56" s="1263">
        <f t="shared" ref="BW56" si="275">BV56</f>
        <v>1</v>
      </c>
      <c r="BX56" s="1263">
        <f t="shared" ref="BX56:BY56" si="276">BW56</f>
        <v>1</v>
      </c>
      <c r="BY56" s="1263">
        <f t="shared" si="276"/>
        <v>1</v>
      </c>
      <c r="BZ56" s="1263"/>
      <c r="CA56" s="99"/>
      <c r="CB56" s="99"/>
      <c r="CC56" s="99"/>
      <c r="CD56" s="99"/>
      <c r="CE56" s="99"/>
      <c r="CF56" s="99"/>
      <c r="CG56" s="99"/>
      <c r="CH56" s="99"/>
      <c r="CI56" s="99"/>
      <c r="CJ56" s="99"/>
      <c r="CK56" s="99"/>
      <c r="CL56" s="99"/>
      <c r="CM56" s="2260"/>
      <c r="CN56" s="2260"/>
      <c r="CO56" s="2260"/>
      <c r="CP56" s="2260"/>
      <c r="CQ56" s="2260"/>
      <c r="CR56" s="2260"/>
    </row>
    <row r="57" spans="1:96" s="1099" customFormat="1" x14ac:dyDescent="0.2">
      <c r="A57" s="958" t="s">
        <v>4959</v>
      </c>
      <c r="B57" s="953" t="s">
        <v>5125</v>
      </c>
      <c r="C57" s="953" t="s">
        <v>5126</v>
      </c>
      <c r="D57" s="953" t="s">
        <v>5126</v>
      </c>
      <c r="E57" s="2017">
        <v>500</v>
      </c>
      <c r="F57" s="2017">
        <v>23000</v>
      </c>
      <c r="G57" s="2017">
        <v>24000</v>
      </c>
      <c r="H57" s="2017">
        <v>26000</v>
      </c>
      <c r="I57" s="2017">
        <v>28000</v>
      </c>
      <c r="J57" s="2017">
        <v>30000</v>
      </c>
      <c r="K57" s="2017">
        <v>32000</v>
      </c>
      <c r="L57" s="2017">
        <v>34000</v>
      </c>
      <c r="M57" s="2017">
        <v>37000</v>
      </c>
      <c r="N57" s="2017">
        <v>39000</v>
      </c>
      <c r="O57" s="2017">
        <f>ROUND((N57*Assumptions!P$6+N57),-3)</f>
        <v>40000</v>
      </c>
      <c r="P57" s="2009">
        <f>ROUND((O57*Assumptions!Q$6+O57),-3)</f>
        <v>41000</v>
      </c>
      <c r="Q57" s="2244"/>
      <c r="R57" s="2017">
        <f>E57</f>
        <v>500</v>
      </c>
      <c r="S57" s="2017"/>
      <c r="T57" s="2245">
        <f t="shared" ref="T57" si="277">$E57-Q57-R57-S57</f>
        <v>0</v>
      </c>
      <c r="U57" s="2244"/>
      <c r="V57" s="2017"/>
      <c r="W57" s="2009"/>
      <c r="X57" s="2259">
        <f t="shared" si="245"/>
        <v>23000</v>
      </c>
      <c r="Y57" s="2244"/>
      <c r="Z57" s="2017"/>
      <c r="AA57" s="2009"/>
      <c r="AB57" s="2259">
        <f t="shared" si="246"/>
        <v>24000</v>
      </c>
      <c r="AC57" s="2244"/>
      <c r="AD57" s="2017"/>
      <c r="AE57" s="2017"/>
      <c r="AF57" s="2259">
        <f t="shared" si="247"/>
        <v>26000</v>
      </c>
      <c r="AG57" s="2009"/>
      <c r="AH57" s="2017"/>
      <c r="AI57" s="2009"/>
      <c r="AJ57" s="2262">
        <f t="shared" si="248"/>
        <v>28000</v>
      </c>
      <c r="AK57" s="2009"/>
      <c r="AL57" s="2017"/>
      <c r="AM57" s="2009"/>
      <c r="AN57" s="2259">
        <f t="shared" si="249"/>
        <v>30000</v>
      </c>
      <c r="AO57" s="2244"/>
      <c r="AP57" s="2017"/>
      <c r="AQ57" s="2009"/>
      <c r="AR57" s="2259">
        <f t="shared" si="250"/>
        <v>32000</v>
      </c>
      <c r="AS57" s="2244"/>
      <c r="AT57" s="2017"/>
      <c r="AU57" s="2009"/>
      <c r="AV57" s="2259">
        <f t="shared" si="251"/>
        <v>34000</v>
      </c>
      <c r="AW57" s="2244"/>
      <c r="AX57" s="2017"/>
      <c r="AY57" s="2009"/>
      <c r="AZ57" s="2259">
        <f t="shared" si="252"/>
        <v>37000</v>
      </c>
      <c r="BA57" s="2244"/>
      <c r="BB57" s="2017"/>
      <c r="BC57" s="2009"/>
      <c r="BD57" s="2259">
        <f t="shared" si="253"/>
        <v>39000</v>
      </c>
      <c r="BE57" s="2244"/>
      <c r="BF57" s="2017"/>
      <c r="BG57" s="2009"/>
      <c r="BH57" s="620">
        <f t="shared" si="254"/>
        <v>40000</v>
      </c>
      <c r="BI57" s="2244"/>
      <c r="BJ57" s="2017"/>
      <c r="BK57" s="2009"/>
      <c r="BL57" s="1927">
        <f t="shared" si="255"/>
        <v>41000</v>
      </c>
      <c r="BM57" s="2260"/>
      <c r="BN57" s="1263">
        <v>1</v>
      </c>
      <c r="BO57" s="1263">
        <f t="shared" si="256"/>
        <v>1</v>
      </c>
      <c r="BP57" s="1263">
        <f t="shared" si="257"/>
        <v>1</v>
      </c>
      <c r="BQ57" s="1263">
        <f t="shared" si="258"/>
        <v>1</v>
      </c>
      <c r="BR57" s="1263">
        <f t="shared" si="259"/>
        <v>1</v>
      </c>
      <c r="BS57" s="1263">
        <f t="shared" si="260"/>
        <v>1</v>
      </c>
      <c r="BT57" s="1263">
        <f t="shared" si="261"/>
        <v>1</v>
      </c>
      <c r="BU57" s="1263">
        <f t="shared" si="262"/>
        <v>1</v>
      </c>
      <c r="BV57" s="1263">
        <f t="shared" si="263"/>
        <v>1</v>
      </c>
      <c r="BW57" s="1263">
        <f t="shared" si="264"/>
        <v>1</v>
      </c>
      <c r="BX57" s="1263">
        <f t="shared" si="264"/>
        <v>1</v>
      </c>
      <c r="BY57" s="1263">
        <f t="shared" si="264"/>
        <v>1</v>
      </c>
      <c r="BZ57" s="1263"/>
      <c r="CA57" s="99">
        <f t="shared" ref="CA57:CL57" si="278">ROUND(BN57*E57,-3)</f>
        <v>1000</v>
      </c>
      <c r="CB57" s="99">
        <f t="shared" si="278"/>
        <v>23000</v>
      </c>
      <c r="CC57" s="99">
        <f t="shared" si="278"/>
        <v>24000</v>
      </c>
      <c r="CD57" s="99">
        <f t="shared" si="278"/>
        <v>26000</v>
      </c>
      <c r="CE57" s="99">
        <f t="shared" si="278"/>
        <v>28000</v>
      </c>
      <c r="CF57" s="99">
        <f t="shared" si="278"/>
        <v>30000</v>
      </c>
      <c r="CG57" s="99">
        <f t="shared" si="278"/>
        <v>32000</v>
      </c>
      <c r="CH57" s="99">
        <f t="shared" si="278"/>
        <v>34000</v>
      </c>
      <c r="CI57" s="99">
        <f t="shared" si="278"/>
        <v>37000</v>
      </c>
      <c r="CJ57" s="99">
        <f t="shared" si="278"/>
        <v>39000</v>
      </c>
      <c r="CK57" s="99">
        <f t="shared" si="278"/>
        <v>40000</v>
      </c>
      <c r="CL57" s="99">
        <f t="shared" si="278"/>
        <v>41000</v>
      </c>
      <c r="CM57" s="2260"/>
      <c r="CN57" s="2260"/>
      <c r="CO57" s="2260"/>
      <c r="CP57" s="2260"/>
      <c r="CQ57" s="2260"/>
      <c r="CR57" s="2260"/>
    </row>
    <row r="58" spans="1:96" s="355" customFormat="1" x14ac:dyDescent="0.2">
      <c r="A58" s="959"/>
      <c r="B58" s="528"/>
      <c r="C58" s="528"/>
      <c r="D58" s="528"/>
      <c r="E58" s="2009"/>
      <c r="F58" s="2017"/>
      <c r="G58" s="2017"/>
      <c r="H58" s="2009"/>
      <c r="I58" s="2009"/>
      <c r="J58" s="2009"/>
      <c r="K58" s="2009"/>
      <c r="L58" s="2009"/>
      <c r="M58" s="33"/>
      <c r="N58" s="33"/>
      <c r="O58" s="33"/>
      <c r="P58" s="102"/>
      <c r="Q58" s="2244"/>
      <c r="R58" s="2017"/>
      <c r="S58" s="2017"/>
      <c r="T58" s="2245"/>
      <c r="U58" s="2244"/>
      <c r="V58" s="2017"/>
      <c r="W58" s="2017"/>
      <c r="X58" s="2259"/>
      <c r="Y58" s="2244"/>
      <c r="Z58" s="2017"/>
      <c r="AA58" s="2017"/>
      <c r="AB58" s="2259"/>
      <c r="AC58" s="2244"/>
      <c r="AD58" s="2017"/>
      <c r="AE58" s="2017"/>
      <c r="AF58" s="2259"/>
      <c r="AG58" s="2009"/>
      <c r="AH58" s="2017"/>
      <c r="AI58" s="2009"/>
      <c r="AJ58" s="2262"/>
      <c r="AK58" s="2009"/>
      <c r="AL58" s="2017"/>
      <c r="AM58" s="2009"/>
      <c r="AN58" s="2259"/>
      <c r="AO58" s="2244"/>
      <c r="AP58" s="2017"/>
      <c r="AQ58" s="2009"/>
      <c r="AR58" s="2259"/>
      <c r="AS58" s="2244"/>
      <c r="AT58" s="2017"/>
      <c r="AU58" s="2009"/>
      <c r="AV58" s="2259"/>
      <c r="AW58" s="2244"/>
      <c r="AX58" s="2017"/>
      <c r="AY58" s="2009"/>
      <c r="AZ58" s="2259"/>
      <c r="BA58" s="2244"/>
      <c r="BB58" s="2017"/>
      <c r="BC58" s="2009"/>
      <c r="BD58" s="2259"/>
      <c r="BE58" s="2244"/>
      <c r="BF58" s="2017"/>
      <c r="BG58" s="2009"/>
      <c r="BH58" s="2259"/>
      <c r="BI58" s="2244"/>
      <c r="BJ58" s="2017"/>
      <c r="BK58" s="2009"/>
      <c r="BL58" s="2262"/>
      <c r="BM58" s="2261"/>
      <c r="BN58" s="1263"/>
      <c r="BO58" s="1263"/>
      <c r="BP58" s="1263"/>
      <c r="BQ58" s="1263"/>
      <c r="BR58" s="1263"/>
      <c r="BS58" s="1263"/>
      <c r="BT58" s="1263"/>
      <c r="BU58" s="1263"/>
      <c r="BV58" s="1263"/>
      <c r="BW58" s="1263"/>
      <c r="BX58" s="1263"/>
      <c r="BY58" s="1263"/>
      <c r="BZ58" s="1263"/>
      <c r="CA58" s="99"/>
      <c r="CB58" s="99"/>
      <c r="CC58" s="99"/>
      <c r="CD58" s="99"/>
      <c r="CE58" s="99"/>
      <c r="CF58" s="99"/>
      <c r="CG58" s="99"/>
      <c r="CH58" s="99"/>
      <c r="CI58" s="99"/>
      <c r="CJ58" s="99"/>
      <c r="CK58" s="99"/>
      <c r="CL58" s="99"/>
      <c r="CM58" s="2261"/>
      <c r="CN58" s="2261"/>
      <c r="CO58" s="2261"/>
      <c r="CP58" s="2261"/>
      <c r="CQ58" s="2261"/>
      <c r="CR58" s="2261"/>
    </row>
    <row r="59" spans="1:96" s="355" customFormat="1" x14ac:dyDescent="0.2">
      <c r="A59" s="1894" t="s">
        <v>1374</v>
      </c>
      <c r="B59" s="528"/>
      <c r="C59" s="528"/>
      <c r="D59" s="528"/>
      <c r="E59" s="2017"/>
      <c r="F59" s="2009"/>
      <c r="G59" s="2017"/>
      <c r="H59" s="2017"/>
      <c r="I59" s="2009"/>
      <c r="J59" s="2009"/>
      <c r="K59" s="2009"/>
      <c r="L59" s="2009"/>
      <c r="M59" s="2017"/>
      <c r="N59" s="2017"/>
      <c r="O59" s="2017"/>
      <c r="P59" s="2259"/>
      <c r="Q59" s="2244"/>
      <c r="R59" s="2017"/>
      <c r="S59" s="2017"/>
      <c r="T59" s="2245"/>
      <c r="U59" s="2244"/>
      <c r="V59" s="2017"/>
      <c r="W59" s="2009"/>
      <c r="X59" s="2259"/>
      <c r="Y59" s="2244"/>
      <c r="Z59" s="2017"/>
      <c r="AA59" s="2009"/>
      <c r="AB59" s="2259"/>
      <c r="AC59" s="2244"/>
      <c r="AD59" s="2017"/>
      <c r="AE59" s="2017"/>
      <c r="AF59" s="2259"/>
      <c r="AG59" s="2009"/>
      <c r="AH59" s="2017"/>
      <c r="AI59" s="2009"/>
      <c r="AJ59" s="2262"/>
      <c r="AK59" s="2009"/>
      <c r="AL59" s="2017"/>
      <c r="AM59" s="2009"/>
      <c r="AN59" s="2259"/>
      <c r="AO59" s="2244"/>
      <c r="AP59" s="2017"/>
      <c r="AQ59" s="2009"/>
      <c r="AR59" s="2259"/>
      <c r="AS59" s="2244"/>
      <c r="AT59" s="2017"/>
      <c r="AU59" s="2009"/>
      <c r="AV59" s="2259"/>
      <c r="AW59" s="2244"/>
      <c r="AX59" s="2017"/>
      <c r="AY59" s="2009"/>
      <c r="AZ59" s="2259"/>
      <c r="BA59" s="2244"/>
      <c r="BB59" s="2017"/>
      <c r="BC59" s="2009"/>
      <c r="BD59" s="2259"/>
      <c r="BE59" s="2244"/>
      <c r="BF59" s="2017"/>
      <c r="BG59" s="2009"/>
      <c r="BH59" s="2259"/>
      <c r="BI59" s="2244"/>
      <c r="BJ59" s="2017"/>
      <c r="BK59" s="2009"/>
      <c r="BL59" s="2262"/>
      <c r="BM59" s="2261"/>
      <c r="BN59" s="1263"/>
      <c r="BO59" s="1263"/>
      <c r="BP59" s="1263"/>
      <c r="BQ59" s="1263"/>
      <c r="BR59" s="1263"/>
      <c r="BS59" s="1263"/>
      <c r="BT59" s="1263"/>
      <c r="BU59" s="1263"/>
      <c r="BV59" s="1263"/>
      <c r="BW59" s="1263"/>
      <c r="BX59" s="1263"/>
      <c r="BY59" s="1263"/>
      <c r="BZ59" s="1263"/>
      <c r="CA59" s="99"/>
      <c r="CB59" s="99"/>
      <c r="CC59" s="99"/>
      <c r="CD59" s="99"/>
      <c r="CE59" s="99"/>
      <c r="CF59" s="99"/>
      <c r="CG59" s="99"/>
      <c r="CH59" s="99"/>
      <c r="CI59" s="99"/>
      <c r="CJ59" s="99"/>
      <c r="CK59" s="99"/>
      <c r="CL59" s="99"/>
      <c r="CM59" s="2261"/>
      <c r="CN59" s="2261"/>
      <c r="CO59" s="2261"/>
      <c r="CP59" s="2261"/>
      <c r="CQ59" s="2261"/>
      <c r="CR59" s="2261"/>
    </row>
    <row r="60" spans="1:96" s="355" customFormat="1" x14ac:dyDescent="0.2">
      <c r="A60" s="958" t="s">
        <v>1574</v>
      </c>
      <c r="B60" s="953" t="s">
        <v>498</v>
      </c>
      <c r="C60" s="1132" t="s">
        <v>5076</v>
      </c>
      <c r="D60" s="953" t="s">
        <v>498</v>
      </c>
      <c r="E60" s="2017">
        <v>64800</v>
      </c>
      <c r="F60" s="2017">
        <v>140000</v>
      </c>
      <c r="G60" s="2017"/>
      <c r="H60" s="2017"/>
      <c r="I60" s="2017"/>
      <c r="J60" s="2017">
        <v>130000</v>
      </c>
      <c r="K60" s="2017">
        <v>106400</v>
      </c>
      <c r="L60" s="2017"/>
      <c r="M60" s="2017">
        <v>105000</v>
      </c>
      <c r="N60" s="2017"/>
      <c r="O60" s="2017">
        <v>200000</v>
      </c>
      <c r="P60" s="2009"/>
      <c r="Q60" s="2244"/>
      <c r="R60" s="2017"/>
      <c r="S60" s="2017"/>
      <c r="T60" s="2245">
        <f>$E60-Q60-R60-S60</f>
        <v>64800</v>
      </c>
      <c r="U60" s="2244"/>
      <c r="V60" s="2017"/>
      <c r="W60" s="2009"/>
      <c r="X60" s="2259">
        <f>$F60-U60-V60-W60</f>
        <v>140000</v>
      </c>
      <c r="Y60" s="2244"/>
      <c r="Z60" s="2017"/>
      <c r="AA60" s="2009"/>
      <c r="AB60" s="2259">
        <f>$G60-Y60-Z60-AA60</f>
        <v>0</v>
      </c>
      <c r="AC60" s="2244"/>
      <c r="AD60" s="2017"/>
      <c r="AE60" s="2017"/>
      <c r="AF60" s="2259">
        <f>$H60-AC60-AD60-AE60</f>
        <v>0</v>
      </c>
      <c r="AG60" s="2009"/>
      <c r="AH60" s="2017"/>
      <c r="AI60" s="2009"/>
      <c r="AJ60" s="2262">
        <f>$I60-AG60-AH60-AI60</f>
        <v>0</v>
      </c>
      <c r="AK60" s="2009"/>
      <c r="AL60" s="2017"/>
      <c r="AM60" s="2009"/>
      <c r="AN60" s="2259">
        <f>$J60-AK60-AL60-AM60</f>
        <v>130000</v>
      </c>
      <c r="AO60" s="2244"/>
      <c r="AP60" s="2017"/>
      <c r="AQ60" s="2009"/>
      <c r="AR60" s="2259">
        <f>$K60-AO60-AP60-AQ60</f>
        <v>106400</v>
      </c>
      <c r="AS60" s="2244"/>
      <c r="AT60" s="2017"/>
      <c r="AU60" s="2009"/>
      <c r="AV60" s="2259">
        <f>$L60-AS60-AT60-AU60</f>
        <v>0</v>
      </c>
      <c r="AW60" s="2244"/>
      <c r="AX60" s="2017"/>
      <c r="AY60" s="2009"/>
      <c r="AZ60" s="2259">
        <f>$M60-AW60-AX60-AY60</f>
        <v>105000</v>
      </c>
      <c r="BA60" s="2244"/>
      <c r="BB60" s="2017"/>
      <c r="BC60" s="2009"/>
      <c r="BD60" s="2259">
        <f>$N60-BA60-BB60-BC60</f>
        <v>0</v>
      </c>
      <c r="BE60" s="2244"/>
      <c r="BF60" s="2017"/>
      <c r="BG60" s="2009"/>
      <c r="BH60" s="620">
        <f t="shared" ref="BH60:BH61" si="279">$O60-BE60-BF60-BG60</f>
        <v>200000</v>
      </c>
      <c r="BI60" s="2244"/>
      <c r="BJ60" s="2017"/>
      <c r="BK60" s="2009"/>
      <c r="BL60" s="1927">
        <f t="shared" ref="BL60:BL61" si="280">$P60-BI60-BJ60-BK60</f>
        <v>0</v>
      </c>
      <c r="BM60" s="2261"/>
      <c r="BN60" s="1263">
        <v>0</v>
      </c>
      <c r="BO60" s="1263">
        <f t="shared" ref="BO60:BY60" si="281">BN60</f>
        <v>0</v>
      </c>
      <c r="BP60" s="1263">
        <f t="shared" si="281"/>
        <v>0</v>
      </c>
      <c r="BQ60" s="1263">
        <f t="shared" si="281"/>
        <v>0</v>
      </c>
      <c r="BR60" s="1263">
        <f t="shared" si="281"/>
        <v>0</v>
      </c>
      <c r="BS60" s="1263">
        <f t="shared" si="281"/>
        <v>0</v>
      </c>
      <c r="BT60" s="1263">
        <f t="shared" si="281"/>
        <v>0</v>
      </c>
      <c r="BU60" s="1263">
        <f t="shared" si="281"/>
        <v>0</v>
      </c>
      <c r="BV60" s="1263">
        <f t="shared" si="281"/>
        <v>0</v>
      </c>
      <c r="BW60" s="1263">
        <f t="shared" si="281"/>
        <v>0</v>
      </c>
      <c r="BX60" s="1263">
        <f t="shared" si="281"/>
        <v>0</v>
      </c>
      <c r="BY60" s="1263">
        <f t="shared" si="281"/>
        <v>0</v>
      </c>
      <c r="BZ60" s="1263"/>
      <c r="CA60" s="99">
        <f t="shared" ref="CA60:CL60" si="282">ROUND(BN60*E60,-3)</f>
        <v>0</v>
      </c>
      <c r="CB60" s="99">
        <f t="shared" si="282"/>
        <v>0</v>
      </c>
      <c r="CC60" s="99">
        <f t="shared" si="282"/>
        <v>0</v>
      </c>
      <c r="CD60" s="99">
        <f t="shared" si="282"/>
        <v>0</v>
      </c>
      <c r="CE60" s="99">
        <f t="shared" si="282"/>
        <v>0</v>
      </c>
      <c r="CF60" s="99">
        <f t="shared" si="282"/>
        <v>0</v>
      </c>
      <c r="CG60" s="99">
        <f t="shared" si="282"/>
        <v>0</v>
      </c>
      <c r="CH60" s="99">
        <f t="shared" si="282"/>
        <v>0</v>
      </c>
      <c r="CI60" s="99">
        <f t="shared" si="282"/>
        <v>0</v>
      </c>
      <c r="CJ60" s="99">
        <f t="shared" si="282"/>
        <v>0</v>
      </c>
      <c r="CK60" s="99">
        <f t="shared" si="282"/>
        <v>0</v>
      </c>
      <c r="CL60" s="99">
        <f t="shared" si="282"/>
        <v>0</v>
      </c>
      <c r="CM60" s="2261"/>
      <c r="CN60" s="2261"/>
      <c r="CO60" s="2261"/>
      <c r="CP60" s="2261"/>
      <c r="CQ60" s="2261"/>
      <c r="CR60" s="2261"/>
    </row>
    <row r="61" spans="1:96" s="355" customFormat="1" x14ac:dyDescent="0.2">
      <c r="A61" s="958" t="s">
        <v>6536</v>
      </c>
      <c r="B61" s="953"/>
      <c r="C61" s="1132"/>
      <c r="D61" s="953"/>
      <c r="E61" s="2017"/>
      <c r="F61" s="2017"/>
      <c r="G61" s="2017">
        <v>200000</v>
      </c>
      <c r="H61" s="2017"/>
      <c r="I61" s="2017"/>
      <c r="J61" s="2017"/>
      <c r="K61" s="2017"/>
      <c r="L61" s="2017"/>
      <c r="M61" s="2017"/>
      <c r="N61" s="2017"/>
      <c r="O61" s="2017"/>
      <c r="P61" s="2009"/>
      <c r="Q61" s="2244"/>
      <c r="R61" s="2017"/>
      <c r="S61" s="2017"/>
      <c r="T61" s="2245"/>
      <c r="U61" s="2244"/>
      <c r="V61" s="2017"/>
      <c r="W61" s="2009"/>
      <c r="X61" s="2259">
        <f>$F61-U61-V61-W61</f>
        <v>0</v>
      </c>
      <c r="Y61" s="2244"/>
      <c r="Z61" s="2017"/>
      <c r="AA61" s="2009"/>
      <c r="AB61" s="2259">
        <f>$G61-Y61-Z61-AA61</f>
        <v>200000</v>
      </c>
      <c r="AC61" s="2244"/>
      <c r="AD61" s="2017"/>
      <c r="AE61" s="2017"/>
      <c r="AF61" s="2259">
        <f>$H61-AC61-AD61-AE61</f>
        <v>0</v>
      </c>
      <c r="AG61" s="2009"/>
      <c r="AH61" s="2017"/>
      <c r="AI61" s="2009"/>
      <c r="AJ61" s="2262">
        <f>$I61-AG61-AH61-AI61</f>
        <v>0</v>
      </c>
      <c r="AK61" s="2009"/>
      <c r="AL61" s="2017"/>
      <c r="AM61" s="2009"/>
      <c r="AN61" s="2259">
        <f>$J61-AK61-AL61-AM61</f>
        <v>0</v>
      </c>
      <c r="AO61" s="2244"/>
      <c r="AP61" s="2017"/>
      <c r="AQ61" s="2009"/>
      <c r="AR61" s="2259">
        <f>$K61-AO61-AP61-AQ61</f>
        <v>0</v>
      </c>
      <c r="AS61" s="2244"/>
      <c r="AT61" s="2017"/>
      <c r="AU61" s="2009"/>
      <c r="AV61" s="2259">
        <f>$L61-AS61-AT61-AU61</f>
        <v>0</v>
      </c>
      <c r="AW61" s="2244"/>
      <c r="AX61" s="2017"/>
      <c r="AY61" s="2009"/>
      <c r="AZ61" s="2259">
        <f>$M61-AW61-AX61-AY61</f>
        <v>0</v>
      </c>
      <c r="BA61" s="2244"/>
      <c r="BB61" s="2017"/>
      <c r="BC61" s="2009"/>
      <c r="BD61" s="2259">
        <f>$N61-BA61-BB61-BC61</f>
        <v>0</v>
      </c>
      <c r="BE61" s="2244"/>
      <c r="BF61" s="2017"/>
      <c r="BG61" s="2009"/>
      <c r="BH61" s="620">
        <f t="shared" si="279"/>
        <v>0</v>
      </c>
      <c r="BI61" s="2244"/>
      <c r="BJ61" s="2017"/>
      <c r="BK61" s="2009"/>
      <c r="BL61" s="1927">
        <f t="shared" si="280"/>
        <v>0</v>
      </c>
      <c r="BM61" s="2261"/>
      <c r="BN61" s="1263">
        <v>0</v>
      </c>
      <c r="BO61" s="1263">
        <f t="shared" ref="BO61" si="283">BN61</f>
        <v>0</v>
      </c>
      <c r="BP61" s="1263">
        <f t="shared" ref="BP61" si="284">BO61</f>
        <v>0</v>
      </c>
      <c r="BQ61" s="1263">
        <f t="shared" ref="BQ61" si="285">BP61</f>
        <v>0</v>
      </c>
      <c r="BR61" s="1263">
        <f t="shared" ref="BR61" si="286">BQ61</f>
        <v>0</v>
      </c>
      <c r="BS61" s="1263">
        <f t="shared" ref="BS61" si="287">BR61</f>
        <v>0</v>
      </c>
      <c r="BT61" s="1263">
        <f t="shared" ref="BT61" si="288">BS61</f>
        <v>0</v>
      </c>
      <c r="BU61" s="1263">
        <f t="shared" ref="BU61" si="289">BT61</f>
        <v>0</v>
      </c>
      <c r="BV61" s="1263">
        <f t="shared" ref="BV61" si="290">BU61</f>
        <v>0</v>
      </c>
      <c r="BW61" s="1263">
        <f t="shared" ref="BW61" si="291">BV61</f>
        <v>0</v>
      </c>
      <c r="BX61" s="1263">
        <f t="shared" ref="BX61:BY61" si="292">BW61</f>
        <v>0</v>
      </c>
      <c r="BY61" s="1263">
        <f t="shared" si="292"/>
        <v>0</v>
      </c>
      <c r="BZ61" s="1263"/>
      <c r="CA61" s="99"/>
      <c r="CB61" s="99"/>
      <c r="CC61" s="99"/>
      <c r="CD61" s="99"/>
      <c r="CE61" s="99"/>
      <c r="CF61" s="99"/>
      <c r="CG61" s="99"/>
      <c r="CH61" s="99"/>
      <c r="CI61" s="99"/>
      <c r="CJ61" s="99"/>
      <c r="CK61" s="99"/>
      <c r="CL61" s="99"/>
      <c r="CM61" s="2261"/>
      <c r="CN61" s="2261"/>
      <c r="CO61" s="2261"/>
      <c r="CP61" s="2261"/>
      <c r="CQ61" s="2261"/>
      <c r="CR61" s="2261"/>
    </row>
    <row r="62" spans="1:96" s="355" customFormat="1" x14ac:dyDescent="0.2">
      <c r="A62" s="958"/>
      <c r="B62" s="953"/>
      <c r="C62" s="1132"/>
      <c r="D62" s="953"/>
      <c r="E62" s="2017"/>
      <c r="F62" s="2017"/>
      <c r="G62" s="2017"/>
      <c r="H62" s="2017"/>
      <c r="I62" s="2017"/>
      <c r="J62" s="2017"/>
      <c r="K62" s="2017"/>
      <c r="L62" s="2017"/>
      <c r="M62" s="2017"/>
      <c r="N62" s="2017"/>
      <c r="O62" s="2017"/>
      <c r="P62" s="2009"/>
      <c r="Q62" s="2244"/>
      <c r="R62" s="2017"/>
      <c r="S62" s="2017"/>
      <c r="T62" s="2245"/>
      <c r="U62" s="2244"/>
      <c r="V62" s="2017"/>
      <c r="W62" s="2009"/>
      <c r="X62" s="2259"/>
      <c r="Y62" s="2244"/>
      <c r="Z62" s="2017"/>
      <c r="AA62" s="2009"/>
      <c r="AB62" s="2259"/>
      <c r="AC62" s="2244"/>
      <c r="AD62" s="2017"/>
      <c r="AE62" s="2017"/>
      <c r="AF62" s="2259"/>
      <c r="AG62" s="2009"/>
      <c r="AH62" s="2017"/>
      <c r="AI62" s="2009"/>
      <c r="AJ62" s="2262"/>
      <c r="AK62" s="2009"/>
      <c r="AL62" s="2017"/>
      <c r="AM62" s="2009"/>
      <c r="AN62" s="2259"/>
      <c r="AO62" s="2244"/>
      <c r="AP62" s="2017"/>
      <c r="AQ62" s="2009"/>
      <c r="AR62" s="2259"/>
      <c r="AS62" s="2244"/>
      <c r="AT62" s="2017"/>
      <c r="AU62" s="2009"/>
      <c r="AV62" s="2259"/>
      <c r="AW62" s="2244"/>
      <c r="AX62" s="2017"/>
      <c r="AY62" s="2009"/>
      <c r="AZ62" s="2259"/>
      <c r="BA62" s="2244"/>
      <c r="BB62" s="2017"/>
      <c r="BC62" s="2009"/>
      <c r="BD62" s="2259"/>
      <c r="BE62" s="2244"/>
      <c r="BF62" s="2017"/>
      <c r="BG62" s="2009"/>
      <c r="BH62" s="2259"/>
      <c r="BI62" s="2244"/>
      <c r="BJ62" s="2017"/>
      <c r="BK62" s="2009"/>
      <c r="BL62" s="2262"/>
      <c r="BM62" s="2261"/>
      <c r="BN62" s="1263"/>
      <c r="BO62" s="1263"/>
      <c r="BP62" s="1263"/>
      <c r="BQ62" s="1263"/>
      <c r="BR62" s="1263"/>
      <c r="BS62" s="1263"/>
      <c r="BT62" s="1263"/>
      <c r="BU62" s="1263"/>
      <c r="BV62" s="1263"/>
      <c r="BW62" s="1263"/>
      <c r="BX62" s="1263"/>
      <c r="BY62" s="1263"/>
      <c r="BZ62" s="1263"/>
      <c r="CA62" s="99"/>
      <c r="CB62" s="99"/>
      <c r="CC62" s="99"/>
      <c r="CD62" s="99"/>
      <c r="CE62" s="99"/>
      <c r="CF62" s="99"/>
      <c r="CG62" s="99"/>
      <c r="CH62" s="99"/>
      <c r="CI62" s="99"/>
      <c r="CJ62" s="99"/>
      <c r="CK62" s="99"/>
      <c r="CL62" s="99"/>
      <c r="CM62" s="2261"/>
      <c r="CN62" s="2261"/>
      <c r="CO62" s="2261"/>
      <c r="CP62" s="2261"/>
      <c r="CQ62" s="2261"/>
      <c r="CR62" s="2261"/>
    </row>
    <row r="63" spans="1:96" s="355" customFormat="1" x14ac:dyDescent="0.2">
      <c r="A63" s="1104" t="s">
        <v>5161</v>
      </c>
      <c r="B63" s="953"/>
      <c r="C63" s="1132"/>
      <c r="D63" s="953"/>
      <c r="E63" s="2017"/>
      <c r="F63" s="2017"/>
      <c r="G63" s="2017"/>
      <c r="H63" s="2017"/>
      <c r="I63" s="2017"/>
      <c r="J63" s="2017"/>
      <c r="K63" s="2017"/>
      <c r="L63" s="2017"/>
      <c r="M63" s="2017"/>
      <c r="N63" s="2017"/>
      <c r="O63" s="2017"/>
      <c r="P63" s="2009"/>
      <c r="Q63" s="2244"/>
      <c r="R63" s="2017"/>
      <c r="S63" s="2017"/>
      <c r="T63" s="2245"/>
      <c r="U63" s="2244"/>
      <c r="V63" s="2017"/>
      <c r="W63" s="2009"/>
      <c r="X63" s="2259"/>
      <c r="Y63" s="2244"/>
      <c r="Z63" s="2017"/>
      <c r="AA63" s="2009"/>
      <c r="AB63" s="2259"/>
      <c r="AC63" s="2244"/>
      <c r="AD63" s="2017"/>
      <c r="AE63" s="2017"/>
      <c r="AF63" s="2259"/>
      <c r="AG63" s="2009"/>
      <c r="AH63" s="2017"/>
      <c r="AI63" s="2009"/>
      <c r="AJ63" s="2262"/>
      <c r="AK63" s="2009"/>
      <c r="AL63" s="2017"/>
      <c r="AM63" s="2009"/>
      <c r="AN63" s="2259"/>
      <c r="AO63" s="2244"/>
      <c r="AP63" s="2017"/>
      <c r="AQ63" s="2009"/>
      <c r="AR63" s="2259"/>
      <c r="AS63" s="2244"/>
      <c r="AT63" s="2017"/>
      <c r="AU63" s="2009"/>
      <c r="AV63" s="2259"/>
      <c r="AW63" s="2244"/>
      <c r="AX63" s="2017"/>
      <c r="AY63" s="2009"/>
      <c r="AZ63" s="2259"/>
      <c r="BA63" s="2244"/>
      <c r="BB63" s="2017"/>
      <c r="BC63" s="2009"/>
      <c r="BD63" s="2259"/>
      <c r="BE63" s="2244"/>
      <c r="BF63" s="2017"/>
      <c r="BG63" s="2009"/>
      <c r="BH63" s="2259"/>
      <c r="BI63" s="2244"/>
      <c r="BJ63" s="2017"/>
      <c r="BK63" s="2009"/>
      <c r="BL63" s="2262"/>
      <c r="BM63" s="2261"/>
      <c r="BN63" s="1263"/>
      <c r="BO63" s="1263"/>
      <c r="BP63" s="1263"/>
      <c r="BQ63" s="1263"/>
      <c r="BR63" s="1263"/>
      <c r="BS63" s="1263"/>
      <c r="BT63" s="1263"/>
      <c r="BU63" s="1263"/>
      <c r="BV63" s="1263"/>
      <c r="BW63" s="1263"/>
      <c r="BX63" s="1263"/>
      <c r="BY63" s="1263"/>
      <c r="BZ63" s="1263"/>
      <c r="CA63" s="99"/>
      <c r="CB63" s="99"/>
      <c r="CC63" s="99"/>
      <c r="CD63" s="99"/>
      <c r="CE63" s="99"/>
      <c r="CF63" s="99"/>
      <c r="CG63" s="99"/>
      <c r="CH63" s="99"/>
      <c r="CI63" s="99"/>
      <c r="CJ63" s="99"/>
      <c r="CK63" s="99"/>
      <c r="CL63" s="99"/>
      <c r="CM63" s="2261"/>
      <c r="CN63" s="2261"/>
      <c r="CO63" s="2261"/>
      <c r="CP63" s="2261"/>
      <c r="CQ63" s="2261"/>
      <c r="CR63" s="2261"/>
    </row>
    <row r="64" spans="1:96" s="355" customFormat="1" x14ac:dyDescent="0.2">
      <c r="A64" s="958" t="s">
        <v>5127</v>
      </c>
      <c r="B64" s="953" t="s">
        <v>5128</v>
      </c>
      <c r="C64" s="953" t="s">
        <v>5129</v>
      </c>
      <c r="D64" s="953" t="s">
        <v>5129</v>
      </c>
      <c r="E64" s="2017">
        <v>300900</v>
      </c>
      <c r="F64" s="2017">
        <v>206000</v>
      </c>
      <c r="G64" s="2017">
        <v>212000</v>
      </c>
      <c r="H64" s="2017">
        <v>219000</v>
      </c>
      <c r="I64" s="2017">
        <v>225000</v>
      </c>
      <c r="J64" s="76">
        <v>232000</v>
      </c>
      <c r="K64" s="2017">
        <v>239000</v>
      </c>
      <c r="L64" s="2017">
        <v>246000</v>
      </c>
      <c r="M64" s="2017">
        <v>253000</v>
      </c>
      <c r="N64" s="2017">
        <v>261000</v>
      </c>
      <c r="O64" s="2017">
        <f>ROUND((N64*Assumptions!P$6+N64),-3)</f>
        <v>268000</v>
      </c>
      <c r="P64" s="2009">
        <f>ROUND((O64*Assumptions!Q$6+O64),-3)</f>
        <v>275000</v>
      </c>
      <c r="Q64" s="2244"/>
      <c r="R64" s="2017"/>
      <c r="S64" s="2017"/>
      <c r="T64" s="2245">
        <f>$E64-Q64-R64-S64</f>
        <v>300900</v>
      </c>
      <c r="U64" s="2244"/>
      <c r="V64" s="2017"/>
      <c r="W64" s="2009"/>
      <c r="X64" s="2259">
        <f>$F64-U64-V64-W64</f>
        <v>206000</v>
      </c>
      <c r="Y64" s="2244"/>
      <c r="Z64" s="2017"/>
      <c r="AA64" s="2009"/>
      <c r="AB64" s="2259">
        <f>$G64-Y64-Z64-AA64</f>
        <v>212000</v>
      </c>
      <c r="AC64" s="2244"/>
      <c r="AD64" s="2017"/>
      <c r="AE64" s="2017"/>
      <c r="AF64" s="2259">
        <f>$H64-AC64-AD64-AE64</f>
        <v>219000</v>
      </c>
      <c r="AG64" s="2009"/>
      <c r="AH64" s="2017"/>
      <c r="AI64" s="2009"/>
      <c r="AJ64" s="2262">
        <f>$I64-AG64-AH64-AI64</f>
        <v>225000</v>
      </c>
      <c r="AK64" s="2009"/>
      <c r="AL64" s="2017"/>
      <c r="AM64" s="2009"/>
      <c r="AN64" s="2259">
        <f>$J64-AK64-AL64-AM64</f>
        <v>232000</v>
      </c>
      <c r="AO64" s="2244"/>
      <c r="AP64" s="2017"/>
      <c r="AQ64" s="2009"/>
      <c r="AR64" s="2259">
        <f>$K64-AO64-AP64-AQ64</f>
        <v>239000</v>
      </c>
      <c r="AS64" s="2244"/>
      <c r="AT64" s="2017"/>
      <c r="AU64" s="2009"/>
      <c r="AV64" s="2259">
        <f>$L64-AS64-AT64-AU64</f>
        <v>246000</v>
      </c>
      <c r="AW64" s="2244"/>
      <c r="AX64" s="2017"/>
      <c r="AY64" s="2009"/>
      <c r="AZ64" s="2259">
        <f>$M64-AW64-AX64-AY64</f>
        <v>253000</v>
      </c>
      <c r="BA64" s="2244"/>
      <c r="BB64" s="2017"/>
      <c r="BC64" s="2009"/>
      <c r="BD64" s="2259">
        <f>$N64-BA64-BB64-BC64</f>
        <v>261000</v>
      </c>
      <c r="BE64" s="2244"/>
      <c r="BF64" s="2017"/>
      <c r="BG64" s="2009"/>
      <c r="BH64" s="620">
        <f t="shared" ref="BH64:BH66" si="293">$O64-BE64-BF64-BG64</f>
        <v>268000</v>
      </c>
      <c r="BI64" s="2244"/>
      <c r="BJ64" s="2017"/>
      <c r="BK64" s="2009"/>
      <c r="BL64" s="1927">
        <f t="shared" ref="BL64:BL66" si="294">$P64-BI64-BJ64-BK64</f>
        <v>275000</v>
      </c>
      <c r="BM64" s="2261"/>
      <c r="BN64" s="1263">
        <v>0</v>
      </c>
      <c r="BO64" s="1263">
        <f t="shared" ref="BO64" si="295">BN64</f>
        <v>0</v>
      </c>
      <c r="BP64" s="1263">
        <f t="shared" ref="BP64" si="296">BO64</f>
        <v>0</v>
      </c>
      <c r="BQ64" s="1263">
        <f t="shared" ref="BQ64" si="297">BP64</f>
        <v>0</v>
      </c>
      <c r="BR64" s="1263">
        <f t="shared" ref="BR64" si="298">BQ64</f>
        <v>0</v>
      </c>
      <c r="BS64" s="1263">
        <f t="shared" ref="BS64" si="299">BR64</f>
        <v>0</v>
      </c>
      <c r="BT64" s="1263">
        <f t="shared" ref="BT64" si="300">BS64</f>
        <v>0</v>
      </c>
      <c r="BU64" s="1263">
        <f t="shared" ref="BU64" si="301">BT64</f>
        <v>0</v>
      </c>
      <c r="BV64" s="1263">
        <f t="shared" ref="BV64" si="302">BU64</f>
        <v>0</v>
      </c>
      <c r="BW64" s="1263">
        <f t="shared" ref="BW64:BY64" si="303">BV64</f>
        <v>0</v>
      </c>
      <c r="BX64" s="1263">
        <f t="shared" si="303"/>
        <v>0</v>
      </c>
      <c r="BY64" s="1263">
        <f t="shared" si="303"/>
        <v>0</v>
      </c>
      <c r="BZ64" s="1263"/>
      <c r="CA64" s="99">
        <f t="shared" ref="CA64:CL64" si="304">ROUND(BN64*E64,-3)</f>
        <v>0</v>
      </c>
      <c r="CB64" s="99">
        <f t="shared" si="304"/>
        <v>0</v>
      </c>
      <c r="CC64" s="99">
        <f t="shared" si="304"/>
        <v>0</v>
      </c>
      <c r="CD64" s="99">
        <f t="shared" si="304"/>
        <v>0</v>
      </c>
      <c r="CE64" s="99">
        <f t="shared" si="304"/>
        <v>0</v>
      </c>
      <c r="CF64" s="99">
        <f t="shared" si="304"/>
        <v>0</v>
      </c>
      <c r="CG64" s="99">
        <f t="shared" si="304"/>
        <v>0</v>
      </c>
      <c r="CH64" s="99">
        <f t="shared" si="304"/>
        <v>0</v>
      </c>
      <c r="CI64" s="99">
        <f t="shared" si="304"/>
        <v>0</v>
      </c>
      <c r="CJ64" s="99">
        <f t="shared" si="304"/>
        <v>0</v>
      </c>
      <c r="CK64" s="99">
        <f t="shared" si="304"/>
        <v>0</v>
      </c>
      <c r="CL64" s="99">
        <f t="shared" si="304"/>
        <v>0</v>
      </c>
      <c r="CM64" s="2261"/>
      <c r="CN64" s="2261"/>
      <c r="CO64" s="2261"/>
      <c r="CP64" s="2261"/>
      <c r="CQ64" s="2261"/>
      <c r="CR64" s="2261"/>
    </row>
    <row r="65" spans="1:96" s="355" customFormat="1" x14ac:dyDescent="0.2">
      <c r="A65" s="958" t="s">
        <v>5130</v>
      </c>
      <c r="B65" s="953" t="s">
        <v>5128</v>
      </c>
      <c r="C65" s="953" t="s">
        <v>5131</v>
      </c>
      <c r="D65" s="953"/>
      <c r="E65" s="2017"/>
      <c r="F65" s="2017"/>
      <c r="G65" s="2017"/>
      <c r="H65" s="2017"/>
      <c r="I65" s="2017">
        <f>ROUND((H65*Assumptions!J$6+H65),-3)</f>
        <v>0</v>
      </c>
      <c r="J65" s="2017">
        <f>ROUND((I65*Assumptions!K$6+I65),-3)</f>
        <v>0</v>
      </c>
      <c r="K65" s="2017">
        <f>ROUND((J65*Assumptions!L$6+J65),-3)</f>
        <v>0</v>
      </c>
      <c r="L65" s="2017">
        <f>ROUND((K65*Assumptions!M$6+K65),-3)</f>
        <v>0</v>
      </c>
      <c r="M65" s="2017">
        <f>ROUND((L65*Assumptions!N$6+L65),-3)</f>
        <v>0</v>
      </c>
      <c r="N65" s="2017">
        <f>ROUND((M65*Assumptions!O$6+M65),-3)</f>
        <v>0</v>
      </c>
      <c r="O65" s="2017">
        <f>ROUND((N65*Assumptions!P$6+N65),-3)</f>
        <v>0</v>
      </c>
      <c r="P65" s="2009">
        <f>ROUND((O65*Assumptions!Q$6+O65),-3)</f>
        <v>0</v>
      </c>
      <c r="Q65" s="2244"/>
      <c r="R65" s="2017"/>
      <c r="S65" s="2017"/>
      <c r="T65" s="2245">
        <f>$E65-Q65-R65-S65</f>
        <v>0</v>
      </c>
      <c r="U65" s="2244"/>
      <c r="V65" s="2017"/>
      <c r="W65" s="2009"/>
      <c r="X65" s="2259">
        <f t="shared" ref="X65:X66" si="305">$F65-U65-V65-W65</f>
        <v>0</v>
      </c>
      <c r="Y65" s="2244"/>
      <c r="Z65" s="2017"/>
      <c r="AA65" s="2009"/>
      <c r="AB65" s="2259">
        <f t="shared" ref="AB65:AB66" si="306">$G65-Y65-Z65-AA65</f>
        <v>0</v>
      </c>
      <c r="AC65" s="2244"/>
      <c r="AD65" s="2017"/>
      <c r="AE65" s="2017"/>
      <c r="AF65" s="2259">
        <f t="shared" ref="AF65:AF66" si="307">$H65-AC65-AD65-AE65</f>
        <v>0</v>
      </c>
      <c r="AG65" s="2009"/>
      <c r="AH65" s="2017"/>
      <c r="AI65" s="2009"/>
      <c r="AJ65" s="2262">
        <f t="shared" ref="AJ65:AJ66" si="308">$I65-AG65-AH65-AI65</f>
        <v>0</v>
      </c>
      <c r="AK65" s="2009"/>
      <c r="AL65" s="2017"/>
      <c r="AM65" s="2009"/>
      <c r="AN65" s="2259">
        <f t="shared" ref="AN65:AN66" si="309">$J65-AK65-AL65-AM65</f>
        <v>0</v>
      </c>
      <c r="AO65" s="2244"/>
      <c r="AP65" s="2017"/>
      <c r="AQ65" s="2009"/>
      <c r="AR65" s="2259">
        <f t="shared" ref="AR65:AR66" si="310">$K65-AO65-AP65-AQ65</f>
        <v>0</v>
      </c>
      <c r="AS65" s="2244"/>
      <c r="AT65" s="2017"/>
      <c r="AU65" s="2009"/>
      <c r="AV65" s="2259">
        <f t="shared" ref="AV65:AV66" si="311">$L65-AS65-AT65-AU65</f>
        <v>0</v>
      </c>
      <c r="AW65" s="2244"/>
      <c r="AX65" s="2017"/>
      <c r="AY65" s="2009"/>
      <c r="AZ65" s="2259">
        <f t="shared" ref="AZ65:AZ66" si="312">$M65-AW65-AX65-AY65</f>
        <v>0</v>
      </c>
      <c r="BA65" s="2244"/>
      <c r="BB65" s="2017"/>
      <c r="BC65" s="2009"/>
      <c r="BD65" s="2259">
        <f t="shared" ref="BD65:BD66" si="313">$N65-BA65-BB65-BC65</f>
        <v>0</v>
      </c>
      <c r="BE65" s="2244"/>
      <c r="BF65" s="2017"/>
      <c r="BG65" s="2009"/>
      <c r="BH65" s="620">
        <f t="shared" si="293"/>
        <v>0</v>
      </c>
      <c r="BI65" s="2244"/>
      <c r="BJ65" s="2017"/>
      <c r="BK65" s="2009"/>
      <c r="BL65" s="1927">
        <f t="shared" si="294"/>
        <v>0</v>
      </c>
      <c r="BM65" s="2261"/>
      <c r="BN65" s="1263">
        <v>0</v>
      </c>
      <c r="BO65" s="1263">
        <f t="shared" ref="BO65" si="314">BN65</f>
        <v>0</v>
      </c>
      <c r="BP65" s="1263">
        <f t="shared" ref="BP65" si="315">BO65</f>
        <v>0</v>
      </c>
      <c r="BQ65" s="1263">
        <f t="shared" ref="BQ65" si="316">BP65</f>
        <v>0</v>
      </c>
      <c r="BR65" s="1263">
        <f t="shared" ref="BR65" si="317">BQ65</f>
        <v>0</v>
      </c>
      <c r="BS65" s="1263">
        <f t="shared" ref="BS65" si="318">BR65</f>
        <v>0</v>
      </c>
      <c r="BT65" s="1263">
        <f t="shared" ref="BT65" si="319">BS65</f>
        <v>0</v>
      </c>
      <c r="BU65" s="1263">
        <f t="shared" ref="BU65" si="320">BT65</f>
        <v>0</v>
      </c>
      <c r="BV65" s="1263">
        <f t="shared" ref="BV65" si="321">BU65</f>
        <v>0</v>
      </c>
      <c r="BW65" s="1263">
        <f t="shared" ref="BW65:BY65" si="322">BV65</f>
        <v>0</v>
      </c>
      <c r="BX65" s="1263">
        <f t="shared" si="322"/>
        <v>0</v>
      </c>
      <c r="BY65" s="1263">
        <f t="shared" si="322"/>
        <v>0</v>
      </c>
      <c r="BZ65" s="1263"/>
      <c r="CA65" s="99"/>
      <c r="CB65" s="99"/>
      <c r="CC65" s="99"/>
      <c r="CD65" s="99"/>
      <c r="CE65" s="99"/>
      <c r="CF65" s="99"/>
      <c r="CG65" s="99"/>
      <c r="CH65" s="99"/>
      <c r="CI65" s="99"/>
      <c r="CJ65" s="99"/>
      <c r="CK65" s="99"/>
      <c r="CL65" s="99"/>
      <c r="CM65" s="2261"/>
      <c r="CN65" s="2261"/>
      <c r="CO65" s="2261"/>
      <c r="CP65" s="2261"/>
      <c r="CQ65" s="2261"/>
      <c r="CR65" s="2261"/>
    </row>
    <row r="66" spans="1:96" s="355" customFormat="1" x14ac:dyDescent="0.2">
      <c r="A66" s="958" t="s">
        <v>4692</v>
      </c>
      <c r="B66" s="953" t="s">
        <v>5132</v>
      </c>
      <c r="C66" s="953" t="s">
        <v>5133</v>
      </c>
      <c r="D66" s="953" t="s">
        <v>5133</v>
      </c>
      <c r="E66" s="2017">
        <v>46400</v>
      </c>
      <c r="F66" s="2017">
        <v>54000</v>
      </c>
      <c r="G66" s="2017">
        <v>57000</v>
      </c>
      <c r="H66" s="2017">
        <v>61000</v>
      </c>
      <c r="I66" s="2017">
        <v>65000</v>
      </c>
      <c r="J66" s="2017">
        <v>70000</v>
      </c>
      <c r="K66" s="2017">
        <v>74000</v>
      </c>
      <c r="L66" s="2017">
        <v>79000</v>
      </c>
      <c r="M66" s="2017">
        <v>84000</v>
      </c>
      <c r="N66" s="2017">
        <v>89000</v>
      </c>
      <c r="O66" s="2017">
        <f>ROUND((N66*Assumptions!P$6+N66),-3)</f>
        <v>91000</v>
      </c>
      <c r="P66" s="2009">
        <f>ROUND((O66*Assumptions!Q$6+O66),-3)</f>
        <v>93000</v>
      </c>
      <c r="Q66" s="2244"/>
      <c r="R66" s="2017"/>
      <c r="S66" s="2017"/>
      <c r="T66" s="2245">
        <f>$E66-Q66-R66-S66</f>
        <v>46400</v>
      </c>
      <c r="U66" s="2244"/>
      <c r="V66" s="2017"/>
      <c r="W66" s="2009"/>
      <c r="X66" s="2259">
        <f t="shared" si="305"/>
        <v>54000</v>
      </c>
      <c r="Y66" s="2244"/>
      <c r="Z66" s="2017"/>
      <c r="AA66" s="2009"/>
      <c r="AB66" s="2259">
        <f t="shared" si="306"/>
        <v>57000</v>
      </c>
      <c r="AC66" s="2244"/>
      <c r="AD66" s="2017"/>
      <c r="AE66" s="2017"/>
      <c r="AF66" s="2259">
        <f t="shared" si="307"/>
        <v>61000</v>
      </c>
      <c r="AG66" s="2009"/>
      <c r="AH66" s="2017"/>
      <c r="AI66" s="2009"/>
      <c r="AJ66" s="2262">
        <f t="shared" si="308"/>
        <v>65000</v>
      </c>
      <c r="AK66" s="2009"/>
      <c r="AL66" s="2017"/>
      <c r="AM66" s="2009"/>
      <c r="AN66" s="2259">
        <f t="shared" si="309"/>
        <v>70000</v>
      </c>
      <c r="AO66" s="2244"/>
      <c r="AP66" s="2017"/>
      <c r="AQ66" s="2009"/>
      <c r="AR66" s="2259">
        <f t="shared" si="310"/>
        <v>74000</v>
      </c>
      <c r="AS66" s="2244"/>
      <c r="AT66" s="2017"/>
      <c r="AU66" s="2009"/>
      <c r="AV66" s="2259">
        <f t="shared" si="311"/>
        <v>79000</v>
      </c>
      <c r="AW66" s="2244"/>
      <c r="AX66" s="2017"/>
      <c r="AY66" s="2009"/>
      <c r="AZ66" s="2259">
        <f t="shared" si="312"/>
        <v>84000</v>
      </c>
      <c r="BA66" s="2244"/>
      <c r="BB66" s="2017"/>
      <c r="BC66" s="2009"/>
      <c r="BD66" s="2259">
        <f t="shared" si="313"/>
        <v>89000</v>
      </c>
      <c r="BE66" s="2244"/>
      <c r="BF66" s="2017"/>
      <c r="BG66" s="2009"/>
      <c r="BH66" s="620">
        <f t="shared" si="293"/>
        <v>91000</v>
      </c>
      <c r="BI66" s="2244"/>
      <c r="BJ66" s="2017"/>
      <c r="BK66" s="2009"/>
      <c r="BL66" s="1927">
        <f t="shared" si="294"/>
        <v>93000</v>
      </c>
      <c r="BM66" s="2261"/>
      <c r="BN66" s="1263">
        <v>1</v>
      </c>
      <c r="BO66" s="1263">
        <f t="shared" ref="BO66" si="323">BN66</f>
        <v>1</v>
      </c>
      <c r="BP66" s="1263">
        <f t="shared" ref="BP66" si="324">BO66</f>
        <v>1</v>
      </c>
      <c r="BQ66" s="1263">
        <f t="shared" ref="BQ66" si="325">BP66</f>
        <v>1</v>
      </c>
      <c r="BR66" s="1263">
        <f t="shared" ref="BR66" si="326">BQ66</f>
        <v>1</v>
      </c>
      <c r="BS66" s="1263">
        <f t="shared" ref="BS66" si="327">BR66</f>
        <v>1</v>
      </c>
      <c r="BT66" s="1263">
        <f t="shared" ref="BT66" si="328">BS66</f>
        <v>1</v>
      </c>
      <c r="BU66" s="1263">
        <f t="shared" ref="BU66" si="329">BT66</f>
        <v>1</v>
      </c>
      <c r="BV66" s="1263">
        <f t="shared" ref="BV66" si="330">BU66</f>
        <v>1</v>
      </c>
      <c r="BW66" s="1263">
        <f t="shared" ref="BW66:BY66" si="331">BV66</f>
        <v>1</v>
      </c>
      <c r="BX66" s="1263">
        <f t="shared" si="331"/>
        <v>1</v>
      </c>
      <c r="BY66" s="1263">
        <f t="shared" si="331"/>
        <v>1</v>
      </c>
      <c r="BZ66" s="1263"/>
      <c r="CA66" s="99">
        <f t="shared" ref="CA66:CL66" si="332">ROUND(BN66*E66,-3)</f>
        <v>46000</v>
      </c>
      <c r="CB66" s="99">
        <f t="shared" si="332"/>
        <v>54000</v>
      </c>
      <c r="CC66" s="99">
        <f t="shared" si="332"/>
        <v>57000</v>
      </c>
      <c r="CD66" s="99">
        <f t="shared" si="332"/>
        <v>61000</v>
      </c>
      <c r="CE66" s="99">
        <f t="shared" si="332"/>
        <v>65000</v>
      </c>
      <c r="CF66" s="99">
        <f t="shared" si="332"/>
        <v>70000</v>
      </c>
      <c r="CG66" s="99">
        <f t="shared" si="332"/>
        <v>74000</v>
      </c>
      <c r="CH66" s="99">
        <f t="shared" si="332"/>
        <v>79000</v>
      </c>
      <c r="CI66" s="99">
        <f t="shared" si="332"/>
        <v>84000</v>
      </c>
      <c r="CJ66" s="99">
        <f t="shared" si="332"/>
        <v>89000</v>
      </c>
      <c r="CK66" s="99">
        <f t="shared" si="332"/>
        <v>91000</v>
      </c>
      <c r="CL66" s="99">
        <f t="shared" si="332"/>
        <v>93000</v>
      </c>
      <c r="CM66" s="2261"/>
      <c r="CN66" s="2261"/>
      <c r="CO66" s="2261"/>
      <c r="CP66" s="2261"/>
      <c r="CQ66" s="2261"/>
      <c r="CR66" s="2261"/>
    </row>
    <row r="67" spans="1:96" s="84" customFormat="1" x14ac:dyDescent="0.2">
      <c r="A67" s="2264"/>
      <c r="B67" s="142"/>
      <c r="C67" s="142"/>
      <c r="D67" s="142"/>
      <c r="E67" s="33"/>
      <c r="F67" s="142"/>
      <c r="G67" s="33"/>
      <c r="H67" s="33"/>
      <c r="I67" s="142"/>
      <c r="J67" s="142"/>
      <c r="K67" s="142"/>
      <c r="L67" s="142"/>
      <c r="M67" s="33"/>
      <c r="N67" s="33"/>
      <c r="O67" s="33"/>
      <c r="P67" s="102"/>
      <c r="Q67" s="186"/>
      <c r="R67" s="455"/>
      <c r="S67" s="33"/>
      <c r="T67" s="102"/>
      <c r="U67" s="2265"/>
      <c r="V67" s="455"/>
      <c r="W67" s="455"/>
      <c r="X67" s="102"/>
      <c r="Y67" s="186"/>
      <c r="Z67" s="33"/>
      <c r="AA67" s="33"/>
      <c r="AB67" s="102"/>
      <c r="AC67" s="2265"/>
      <c r="AD67" s="455"/>
      <c r="AE67" s="455"/>
      <c r="AF67" s="102"/>
      <c r="AG67" s="142"/>
      <c r="AH67" s="642"/>
      <c r="AI67" s="142"/>
      <c r="AJ67" s="114"/>
      <c r="AK67" s="642"/>
      <c r="AL67" s="642"/>
      <c r="AM67" s="642"/>
      <c r="AN67" s="102"/>
      <c r="AO67" s="2265"/>
      <c r="AP67" s="142"/>
      <c r="AQ67" s="642"/>
      <c r="AR67" s="102"/>
      <c r="AS67" s="2265"/>
      <c r="AT67" s="642"/>
      <c r="AU67" s="142"/>
      <c r="AV67" s="102"/>
      <c r="AW67" s="2265"/>
      <c r="AX67" s="642"/>
      <c r="AY67" s="642"/>
      <c r="AZ67" s="102"/>
      <c r="BA67" s="2265"/>
      <c r="BB67" s="642"/>
      <c r="BC67" s="642"/>
      <c r="BD67" s="102"/>
      <c r="BE67" s="2265"/>
      <c r="BF67" s="642"/>
      <c r="BG67" s="642"/>
      <c r="BH67" s="102"/>
      <c r="BI67" s="2265"/>
      <c r="BJ67" s="642"/>
      <c r="BK67" s="642"/>
      <c r="BL67" s="114"/>
      <c r="BM67" s="315"/>
      <c r="BN67" s="546"/>
      <c r="BO67" s="546"/>
      <c r="BP67" s="546"/>
      <c r="BQ67" s="546"/>
      <c r="BR67" s="546"/>
      <c r="BS67" s="546"/>
      <c r="BT67" s="546"/>
      <c r="BU67" s="546"/>
      <c r="BV67" s="546"/>
      <c r="BW67" s="546"/>
      <c r="BX67" s="546"/>
      <c r="BY67" s="546"/>
      <c r="BZ67" s="546"/>
      <c r="CM67" s="315"/>
      <c r="CN67" s="315"/>
      <c r="CO67" s="315"/>
      <c r="CP67" s="315"/>
      <c r="CQ67" s="315"/>
      <c r="CR67" s="315"/>
    </row>
    <row r="68" spans="1:96" s="84" customFormat="1" x14ac:dyDescent="0.2">
      <c r="A68" s="2266" t="s">
        <v>2607</v>
      </c>
      <c r="B68" s="142"/>
      <c r="C68" s="142"/>
      <c r="D68" s="142"/>
      <c r="E68" s="312">
        <f t="shared" ref="E68:AK68" si="333">SUBTOTAL(9,E6:E67)</f>
        <v>1427000</v>
      </c>
      <c r="F68" s="312">
        <f t="shared" si="333"/>
        <v>3524000</v>
      </c>
      <c r="G68" s="312">
        <f t="shared" si="333"/>
        <v>3404000</v>
      </c>
      <c r="H68" s="312">
        <f t="shared" si="333"/>
        <v>3980000</v>
      </c>
      <c r="I68" s="312">
        <f t="shared" si="333"/>
        <v>3636000</v>
      </c>
      <c r="J68" s="312">
        <f t="shared" si="333"/>
        <v>2261000</v>
      </c>
      <c r="K68" s="312">
        <f t="shared" si="333"/>
        <v>5942400</v>
      </c>
      <c r="L68" s="312">
        <f t="shared" si="333"/>
        <v>4638000</v>
      </c>
      <c r="M68" s="2011">
        <f t="shared" si="333"/>
        <v>4098000</v>
      </c>
      <c r="N68" s="2011">
        <f t="shared" si="333"/>
        <v>4095000</v>
      </c>
      <c r="O68" s="2011">
        <f t="shared" si="333"/>
        <v>1909000</v>
      </c>
      <c r="P68" s="2014">
        <f t="shared" ref="P68" si="334">SUBTOTAL(9,P6:P67)</f>
        <v>1751000</v>
      </c>
      <c r="Q68" s="2013">
        <f t="shared" si="333"/>
        <v>0</v>
      </c>
      <c r="R68" s="2014">
        <f t="shared" si="333"/>
        <v>186400</v>
      </c>
      <c r="S68" s="2011">
        <f t="shared" si="333"/>
        <v>0</v>
      </c>
      <c r="T68" s="2012">
        <f t="shared" si="333"/>
        <v>1240600</v>
      </c>
      <c r="U68" s="2013">
        <f t="shared" si="333"/>
        <v>0</v>
      </c>
      <c r="V68" s="2011">
        <f t="shared" si="333"/>
        <v>1860000</v>
      </c>
      <c r="W68" s="2011">
        <f t="shared" si="333"/>
        <v>0</v>
      </c>
      <c r="X68" s="2015">
        <f t="shared" si="333"/>
        <v>1664000</v>
      </c>
      <c r="Y68" s="2013">
        <f t="shared" si="333"/>
        <v>0</v>
      </c>
      <c r="Z68" s="2011">
        <f t="shared" si="333"/>
        <v>1322000</v>
      </c>
      <c r="AA68" s="2011">
        <f t="shared" si="333"/>
        <v>0</v>
      </c>
      <c r="AB68" s="2012">
        <f t="shared" si="333"/>
        <v>2082000</v>
      </c>
      <c r="AC68" s="2013">
        <f t="shared" si="333"/>
        <v>0</v>
      </c>
      <c r="AD68" s="2011">
        <f t="shared" si="333"/>
        <v>2959000</v>
      </c>
      <c r="AE68" s="2011">
        <f t="shared" si="333"/>
        <v>0</v>
      </c>
      <c r="AF68" s="2015">
        <f t="shared" si="333"/>
        <v>1021000</v>
      </c>
      <c r="AG68" s="2014">
        <f t="shared" si="333"/>
        <v>0</v>
      </c>
      <c r="AH68" s="2014">
        <f t="shared" si="333"/>
        <v>1485000</v>
      </c>
      <c r="AI68" s="2011">
        <f t="shared" si="333"/>
        <v>0</v>
      </c>
      <c r="AJ68" s="2194">
        <f t="shared" si="333"/>
        <v>2151000</v>
      </c>
      <c r="AK68" s="2014">
        <f t="shared" si="333"/>
        <v>0</v>
      </c>
      <c r="AL68" s="2011">
        <f t="shared" ref="AL68:BH68" si="335">SUBTOTAL(9,AL6:AL67)</f>
        <v>238000</v>
      </c>
      <c r="AM68" s="2011">
        <f t="shared" si="335"/>
        <v>0</v>
      </c>
      <c r="AN68" s="2015">
        <f t="shared" si="335"/>
        <v>2023000</v>
      </c>
      <c r="AO68" s="2013">
        <f t="shared" si="335"/>
        <v>0</v>
      </c>
      <c r="AP68" s="2011">
        <f t="shared" si="335"/>
        <v>1663000</v>
      </c>
      <c r="AQ68" s="2014">
        <f t="shared" si="335"/>
        <v>0</v>
      </c>
      <c r="AR68" s="2015">
        <f t="shared" si="335"/>
        <v>4279400</v>
      </c>
      <c r="AS68" s="2013">
        <f t="shared" si="335"/>
        <v>0</v>
      </c>
      <c r="AT68" s="2011">
        <f t="shared" si="335"/>
        <v>3211000</v>
      </c>
      <c r="AU68" s="2011">
        <f t="shared" si="335"/>
        <v>0</v>
      </c>
      <c r="AV68" s="2012">
        <f t="shared" si="335"/>
        <v>1427000</v>
      </c>
      <c r="AW68" s="2013">
        <f t="shared" si="335"/>
        <v>0</v>
      </c>
      <c r="AX68" s="2011">
        <f t="shared" si="335"/>
        <v>587500</v>
      </c>
      <c r="AY68" s="2011">
        <f t="shared" si="335"/>
        <v>0</v>
      </c>
      <c r="AZ68" s="2015">
        <f t="shared" si="335"/>
        <v>3510500</v>
      </c>
      <c r="BA68" s="2013">
        <f t="shared" si="335"/>
        <v>0</v>
      </c>
      <c r="BB68" s="2011">
        <f t="shared" si="335"/>
        <v>809300</v>
      </c>
      <c r="BC68" s="2011">
        <f t="shared" si="335"/>
        <v>0</v>
      </c>
      <c r="BD68" s="2015">
        <f t="shared" si="335"/>
        <v>3285700</v>
      </c>
      <c r="BE68" s="2013">
        <f t="shared" si="335"/>
        <v>0</v>
      </c>
      <c r="BF68" s="2011">
        <f t="shared" si="335"/>
        <v>0</v>
      </c>
      <c r="BG68" s="2011">
        <f t="shared" si="335"/>
        <v>0</v>
      </c>
      <c r="BH68" s="2015">
        <f t="shared" si="335"/>
        <v>1909000</v>
      </c>
      <c r="BI68" s="2013">
        <f t="shared" ref="BI68:BL68" si="336">SUBTOTAL(9,BI6:BI67)</f>
        <v>0</v>
      </c>
      <c r="BJ68" s="2011">
        <f t="shared" si="336"/>
        <v>0</v>
      </c>
      <c r="BK68" s="2011">
        <f t="shared" si="336"/>
        <v>0</v>
      </c>
      <c r="BL68" s="2729">
        <f t="shared" si="336"/>
        <v>1751000</v>
      </c>
      <c r="BM68" s="315"/>
      <c r="BN68" s="546"/>
      <c r="BO68" s="546"/>
      <c r="BP68" s="546"/>
      <c r="BQ68" s="546"/>
      <c r="BR68" s="546"/>
      <c r="BS68" s="546"/>
      <c r="BT68" s="546"/>
      <c r="BU68" s="546"/>
      <c r="BV68" s="546"/>
      <c r="BW68" s="546"/>
      <c r="BX68" s="546"/>
      <c r="BY68" s="546"/>
      <c r="BZ68" s="1390" t="s">
        <v>4705</v>
      </c>
      <c r="CA68" s="133">
        <f t="shared" ref="CA68:CK68" si="337">SUM(CA6:CA67)</f>
        <v>962000</v>
      </c>
      <c r="CB68" s="133">
        <f t="shared" si="337"/>
        <v>1358000</v>
      </c>
      <c r="CC68" s="133">
        <f t="shared" si="337"/>
        <v>2205000</v>
      </c>
      <c r="CD68" s="133">
        <f t="shared" si="337"/>
        <v>3752000</v>
      </c>
      <c r="CE68" s="133">
        <f t="shared" si="337"/>
        <v>3401000</v>
      </c>
      <c r="CF68" s="133">
        <f t="shared" si="337"/>
        <v>1887000</v>
      </c>
      <c r="CG68" s="133">
        <f t="shared" si="337"/>
        <v>4507000</v>
      </c>
      <c r="CH68" s="133">
        <f t="shared" si="337"/>
        <v>1166000</v>
      </c>
      <c r="CI68" s="133">
        <f t="shared" si="337"/>
        <v>3724000</v>
      </c>
      <c r="CJ68" s="133">
        <f t="shared" si="337"/>
        <v>3816000</v>
      </c>
      <c r="CK68" s="133">
        <f t="shared" si="337"/>
        <v>1423000</v>
      </c>
      <c r="CL68" s="133">
        <f t="shared" ref="CL68" si="338">SUM(CL6:CL67)</f>
        <v>1458000</v>
      </c>
      <c r="CM68" s="315"/>
      <c r="CN68" s="315"/>
      <c r="CO68" s="315"/>
      <c r="CP68" s="315"/>
      <c r="CQ68" s="315"/>
      <c r="CR68" s="315"/>
    </row>
    <row r="69" spans="1:96" s="84" customFormat="1" ht="13.5" thickBot="1" x14ac:dyDescent="0.25">
      <c r="A69" s="2267"/>
      <c r="B69" s="166"/>
      <c r="C69" s="166"/>
      <c r="D69" s="166"/>
      <c r="E69" s="591"/>
      <c r="F69" s="701"/>
      <c r="G69" s="591"/>
      <c r="H69" s="591"/>
      <c r="I69" s="701"/>
      <c r="J69" s="701"/>
      <c r="K69" s="701"/>
      <c r="L69" s="701"/>
      <c r="M69" s="66"/>
      <c r="N69" s="66"/>
      <c r="O69" s="66"/>
      <c r="P69" s="326"/>
      <c r="Q69" s="1751"/>
      <c r="R69" s="174"/>
      <c r="S69" s="174"/>
      <c r="T69" s="326"/>
      <c r="U69" s="1751"/>
      <c r="V69" s="174"/>
      <c r="W69" s="174"/>
      <c r="X69" s="326"/>
      <c r="Y69" s="1751"/>
      <c r="Z69" s="174"/>
      <c r="AA69" s="174"/>
      <c r="AB69" s="326"/>
      <c r="AC69" s="1751"/>
      <c r="AD69" s="174"/>
      <c r="AE69" s="174"/>
      <c r="AF69" s="326"/>
      <c r="AG69" s="174"/>
      <c r="AH69" s="174"/>
      <c r="AI69" s="174"/>
      <c r="AJ69" s="165"/>
      <c r="AK69" s="174"/>
      <c r="AL69" s="174"/>
      <c r="AM69" s="174"/>
      <c r="AN69" s="326"/>
      <c r="AO69" s="1751"/>
      <c r="AP69" s="174"/>
      <c r="AQ69" s="174"/>
      <c r="AR69" s="326"/>
      <c r="AS69" s="1751"/>
      <c r="AT69" s="174"/>
      <c r="AU69" s="174"/>
      <c r="AV69" s="326"/>
      <c r="AW69" s="1751"/>
      <c r="AX69" s="174"/>
      <c r="AY69" s="174"/>
      <c r="AZ69" s="326"/>
      <c r="BA69" s="1751"/>
      <c r="BB69" s="174"/>
      <c r="BC69" s="174"/>
      <c r="BD69" s="326"/>
      <c r="BE69" s="1751"/>
      <c r="BF69" s="174"/>
      <c r="BG69" s="174"/>
      <c r="BH69" s="326"/>
      <c r="BI69" s="1751"/>
      <c r="BJ69" s="174"/>
      <c r="BK69" s="174"/>
      <c r="BL69" s="165"/>
      <c r="BM69" s="315"/>
      <c r="BN69" s="546"/>
      <c r="BO69" s="546"/>
      <c r="BP69" s="546"/>
      <c r="BQ69" s="546"/>
      <c r="BR69" s="546"/>
      <c r="BS69" s="546"/>
      <c r="BT69" s="546"/>
      <c r="BU69" s="546"/>
      <c r="BV69" s="546"/>
      <c r="BW69" s="546"/>
      <c r="BX69" s="546"/>
      <c r="BY69" s="546"/>
      <c r="BZ69" s="1390" t="s">
        <v>4303</v>
      </c>
      <c r="CA69" s="84">
        <f t="shared" ref="CA69:CL69" si="339">E68-CA68</f>
        <v>465000</v>
      </c>
      <c r="CB69" s="84">
        <f t="shared" si="339"/>
        <v>2166000</v>
      </c>
      <c r="CC69" s="84">
        <f t="shared" si="339"/>
        <v>1199000</v>
      </c>
      <c r="CD69" s="84">
        <f t="shared" si="339"/>
        <v>228000</v>
      </c>
      <c r="CE69" s="84">
        <f t="shared" si="339"/>
        <v>235000</v>
      </c>
      <c r="CF69" s="84">
        <f t="shared" si="339"/>
        <v>374000</v>
      </c>
      <c r="CG69" s="84">
        <f t="shared" si="339"/>
        <v>1435400</v>
      </c>
      <c r="CH69" s="84">
        <f t="shared" si="339"/>
        <v>3472000</v>
      </c>
      <c r="CI69" s="84">
        <f t="shared" si="339"/>
        <v>374000</v>
      </c>
      <c r="CJ69" s="84">
        <f t="shared" si="339"/>
        <v>279000</v>
      </c>
      <c r="CK69" s="84">
        <f t="shared" si="339"/>
        <v>486000</v>
      </c>
      <c r="CL69" s="84">
        <f t="shared" si="339"/>
        <v>293000</v>
      </c>
      <c r="CM69" s="315"/>
      <c r="CN69" s="315"/>
      <c r="CO69" s="315"/>
      <c r="CP69" s="315"/>
      <c r="CQ69" s="315"/>
      <c r="CR69" s="315"/>
    </row>
    <row r="70" spans="1:96" s="354" customFormat="1" ht="13.5" thickTop="1" x14ac:dyDescent="0.2">
      <c r="E70" s="315"/>
      <c r="F70" s="315"/>
      <c r="G70" s="315"/>
      <c r="H70" s="315"/>
      <c r="I70" s="315"/>
      <c r="J70" s="315"/>
      <c r="K70" s="315"/>
      <c r="L70" s="315"/>
      <c r="M70" s="84"/>
      <c r="N70" s="84"/>
      <c r="O70" s="84"/>
      <c r="P70" s="84"/>
      <c r="Q70" s="84"/>
      <c r="R70" s="84"/>
      <c r="S70" s="84"/>
      <c r="T70" s="84"/>
      <c r="U70" s="84"/>
      <c r="V70" s="84"/>
      <c r="W70" s="84"/>
      <c r="X70" s="84"/>
      <c r="Y70" s="84"/>
      <c r="Z70" s="84"/>
      <c r="AA70" s="84"/>
      <c r="AB70" s="84"/>
      <c r="AC70" s="84"/>
      <c r="AD70" s="84"/>
      <c r="AE70" s="84"/>
      <c r="AF70" s="84"/>
      <c r="AG70" s="84"/>
      <c r="AH70" s="84"/>
      <c r="AI70" s="84"/>
      <c r="AJ70" s="84"/>
      <c r="AK70" s="84"/>
      <c r="AL70" s="84"/>
      <c r="AM70" s="84"/>
      <c r="AN70" s="84"/>
      <c r="AO70" s="84"/>
      <c r="AP70" s="84"/>
      <c r="AQ70" s="84"/>
      <c r="AR70" s="84"/>
      <c r="AS70" s="84"/>
      <c r="AT70" s="84"/>
      <c r="AU70" s="84"/>
      <c r="AV70" s="84"/>
      <c r="AW70" s="84"/>
      <c r="AX70" s="84"/>
      <c r="AY70" s="84"/>
      <c r="AZ70" s="84"/>
      <c r="BA70" s="84"/>
      <c r="BB70" s="84"/>
      <c r="BC70" s="84"/>
      <c r="BD70" s="84"/>
      <c r="BE70" s="84"/>
      <c r="BF70" s="84"/>
      <c r="BG70" s="84"/>
      <c r="BH70" s="84"/>
      <c r="BI70" s="84"/>
      <c r="BJ70" s="84"/>
      <c r="BK70" s="84"/>
      <c r="BL70" s="84"/>
      <c r="BM70" s="315"/>
      <c r="BN70" s="1263"/>
      <c r="BO70" s="1263"/>
      <c r="BP70" s="1263"/>
      <c r="BQ70" s="1263"/>
      <c r="BR70" s="1263"/>
      <c r="BS70" s="1263"/>
      <c r="BT70" s="1263"/>
      <c r="BU70" s="1263"/>
      <c r="BV70" s="1263"/>
      <c r="BW70" s="1263"/>
      <c r="BX70" s="1263"/>
      <c r="BY70" s="1263"/>
      <c r="BZ70" s="1263"/>
      <c r="CA70" s="78"/>
      <c r="CB70" s="78"/>
      <c r="CC70" s="78"/>
      <c r="CD70" s="78"/>
      <c r="CE70" s="78"/>
      <c r="CF70" s="78"/>
      <c r="CG70" s="78"/>
      <c r="CH70" s="78"/>
      <c r="CI70" s="78"/>
      <c r="CJ70" s="78"/>
      <c r="CK70" s="78"/>
      <c r="CL70" s="78"/>
      <c r="CM70" s="315"/>
      <c r="CN70" s="315"/>
      <c r="CO70" s="315"/>
      <c r="CP70" s="315"/>
      <c r="CQ70" s="315"/>
    </row>
    <row r="71" spans="1:96" s="354" customFormat="1" x14ac:dyDescent="0.2">
      <c r="E71" s="315"/>
      <c r="F71" s="315"/>
      <c r="G71" s="315"/>
      <c r="H71" s="315"/>
      <c r="I71" s="315"/>
      <c r="J71" s="315"/>
      <c r="K71" s="315"/>
      <c r="L71" s="315"/>
      <c r="M71" s="84"/>
      <c r="N71" s="84"/>
      <c r="O71" s="84"/>
      <c r="P71" s="84"/>
      <c r="Q71" s="84"/>
      <c r="R71" s="84"/>
      <c r="S71" s="84"/>
      <c r="T71" s="84"/>
      <c r="U71" s="84"/>
      <c r="V71" s="84"/>
      <c r="W71" s="84"/>
      <c r="X71" s="84"/>
      <c r="Y71" s="84"/>
      <c r="Z71" s="84"/>
      <c r="AA71" s="84"/>
      <c r="AB71" s="84"/>
      <c r="AC71" s="84"/>
      <c r="AD71" s="84"/>
      <c r="AE71" s="84"/>
      <c r="AF71" s="84"/>
      <c r="AG71" s="84"/>
      <c r="AH71" s="84"/>
      <c r="AI71" s="84"/>
      <c r="AJ71" s="84"/>
      <c r="AK71" s="84"/>
      <c r="AL71" s="84"/>
      <c r="AM71" s="84"/>
      <c r="AN71" s="84"/>
      <c r="AO71" s="84"/>
      <c r="AP71" s="84"/>
      <c r="AQ71" s="84"/>
      <c r="AR71" s="84"/>
      <c r="AS71" s="84"/>
      <c r="AT71" s="84"/>
      <c r="AU71" s="84"/>
      <c r="AV71" s="84"/>
      <c r="AW71" s="84"/>
      <c r="AX71" s="84"/>
      <c r="AY71" s="84"/>
      <c r="AZ71" s="84"/>
      <c r="BA71" s="84"/>
      <c r="BB71" s="84"/>
      <c r="BC71" s="84"/>
      <c r="BD71" s="84"/>
      <c r="BE71" s="84"/>
      <c r="BF71" s="84"/>
      <c r="BG71" s="84"/>
      <c r="BH71" s="84"/>
      <c r="BI71" s="84"/>
      <c r="BJ71" s="84"/>
      <c r="BK71" s="84"/>
      <c r="BL71" s="84"/>
      <c r="BM71" s="315"/>
      <c r="BN71" s="1263"/>
      <c r="BO71" s="1263"/>
      <c r="BP71" s="1263"/>
      <c r="BQ71" s="1263"/>
      <c r="BR71" s="1263"/>
      <c r="BS71" s="1263"/>
      <c r="BT71" s="1263"/>
      <c r="BU71" s="1263"/>
      <c r="BV71" s="1263"/>
      <c r="BW71" s="1263"/>
      <c r="BX71" s="1263"/>
      <c r="BY71" s="1263"/>
      <c r="BZ71" s="1263"/>
      <c r="CA71" s="78"/>
      <c r="CB71" s="78"/>
      <c r="CC71" s="78"/>
      <c r="CD71" s="78"/>
      <c r="CE71" s="78"/>
      <c r="CF71" s="78"/>
      <c r="CG71" s="78"/>
      <c r="CH71" s="78"/>
      <c r="CI71" s="78"/>
      <c r="CJ71" s="78"/>
      <c r="CK71" s="78"/>
      <c r="CL71" s="78"/>
      <c r="CM71" s="315"/>
      <c r="CN71" s="315"/>
      <c r="CO71" s="315"/>
      <c r="CP71" s="315"/>
      <c r="CQ71" s="315"/>
    </row>
    <row r="72" spans="1:96" s="84" customFormat="1" x14ac:dyDescent="0.2">
      <c r="A72" s="303" t="s">
        <v>1264</v>
      </c>
      <c r="B72" s="303"/>
      <c r="C72" s="303"/>
      <c r="D72" s="303"/>
      <c r="E72" s="146" t="str">
        <f t="shared" ref="E72:O72" si="340">E3</f>
        <v>2015/16</v>
      </c>
      <c r="F72" s="146" t="str">
        <f t="shared" si="340"/>
        <v>2016/17</v>
      </c>
      <c r="G72" s="146" t="str">
        <f t="shared" si="340"/>
        <v>2017/18</v>
      </c>
      <c r="H72" s="146" t="str">
        <f t="shared" si="340"/>
        <v>2018/19</v>
      </c>
      <c r="I72" s="146" t="str">
        <f t="shared" si="340"/>
        <v>2019/20</v>
      </c>
      <c r="J72" s="146" t="str">
        <f t="shared" si="340"/>
        <v>2020/21</v>
      </c>
      <c r="K72" s="146" t="str">
        <f t="shared" si="340"/>
        <v>2021/22</v>
      </c>
      <c r="L72" s="146" t="str">
        <f t="shared" si="340"/>
        <v>2022/23</v>
      </c>
      <c r="M72" s="146" t="str">
        <f t="shared" si="340"/>
        <v>2023/24</v>
      </c>
      <c r="N72" s="146" t="str">
        <f t="shared" si="340"/>
        <v>2024/25</v>
      </c>
      <c r="O72" s="146" t="str">
        <f t="shared" si="340"/>
        <v>2025/26</v>
      </c>
      <c r="P72" s="146" t="str">
        <f t="shared" ref="P72" si="341">P3</f>
        <v>2026/27</v>
      </c>
      <c r="BN72" s="546"/>
      <c r="BO72" s="546"/>
      <c r="BP72" s="546"/>
      <c r="BQ72" s="546"/>
      <c r="BR72" s="546"/>
      <c r="BS72" s="546"/>
      <c r="BT72" s="546"/>
      <c r="BU72" s="546"/>
      <c r="BV72" s="546"/>
      <c r="BW72" s="546"/>
      <c r="BX72" s="546"/>
      <c r="BY72" s="546"/>
      <c r="BZ72" s="546"/>
    </row>
    <row r="73" spans="1:96" s="84" customFormat="1" x14ac:dyDescent="0.2">
      <c r="A73" s="315" t="s">
        <v>2289</v>
      </c>
      <c r="B73" s="315"/>
      <c r="C73" s="315"/>
      <c r="D73" s="315"/>
      <c r="E73" s="315">
        <f>Q68</f>
        <v>0</v>
      </c>
      <c r="F73" s="315">
        <f>U68</f>
        <v>0</v>
      </c>
      <c r="G73" s="315">
        <f>Y68</f>
        <v>0</v>
      </c>
      <c r="H73" s="315">
        <f>AC68</f>
        <v>0</v>
      </c>
      <c r="I73" s="315">
        <f>AG68</f>
        <v>0</v>
      </c>
      <c r="J73" s="315">
        <f>AK68</f>
        <v>0</v>
      </c>
      <c r="K73" s="315">
        <f>AO68</f>
        <v>0</v>
      </c>
      <c r="L73" s="315">
        <f>AS68</f>
        <v>0</v>
      </c>
      <c r="M73" s="84">
        <f>AW68</f>
        <v>0</v>
      </c>
      <c r="N73" s="84">
        <f>BA68</f>
        <v>0</v>
      </c>
      <c r="O73" s="84">
        <f>BE68</f>
        <v>0</v>
      </c>
      <c r="P73" s="84">
        <f>BI68</f>
        <v>0</v>
      </c>
      <c r="BN73" s="546"/>
      <c r="BO73" s="546"/>
      <c r="BP73" s="867"/>
      <c r="BQ73" s="867"/>
      <c r="BR73" s="867"/>
      <c r="BS73" s="867"/>
      <c r="BT73" s="867"/>
      <c r="BU73" s="867"/>
      <c r="BV73" s="867"/>
      <c r="BW73" s="867"/>
      <c r="BX73" s="867"/>
      <c r="BY73" s="867"/>
      <c r="BZ73" s="867"/>
      <c r="CA73" s="92"/>
      <c r="CB73" s="92"/>
      <c r="CC73" s="92"/>
      <c r="CD73" s="92"/>
      <c r="CE73" s="92"/>
      <c r="CF73" s="92"/>
      <c r="CG73" s="92"/>
      <c r="CH73" s="92"/>
      <c r="CI73" s="92"/>
      <c r="CJ73" s="92"/>
      <c r="CK73" s="92"/>
      <c r="CL73" s="92"/>
    </row>
    <row r="74" spans="1:96" s="84" customFormat="1" x14ac:dyDescent="0.2">
      <c r="A74" s="315" t="s">
        <v>645</v>
      </c>
      <c r="B74" s="315"/>
      <c r="C74" s="315"/>
      <c r="D74" s="315"/>
      <c r="E74" s="315">
        <f>R68</f>
        <v>186400</v>
      </c>
      <c r="F74" s="315">
        <f>V68</f>
        <v>1860000</v>
      </c>
      <c r="G74" s="315">
        <f>Z68</f>
        <v>1322000</v>
      </c>
      <c r="H74" s="315">
        <f>AD68</f>
        <v>2959000</v>
      </c>
      <c r="I74" s="315">
        <f>AH68</f>
        <v>1485000</v>
      </c>
      <c r="J74" s="315">
        <f>AL68</f>
        <v>238000</v>
      </c>
      <c r="K74" s="315">
        <f>AP68</f>
        <v>1663000</v>
      </c>
      <c r="L74" s="315">
        <f>AT68</f>
        <v>3211000</v>
      </c>
      <c r="M74" s="84">
        <f>AX68</f>
        <v>587500</v>
      </c>
      <c r="N74" s="84">
        <f>BB68</f>
        <v>809300</v>
      </c>
      <c r="O74" s="84">
        <f>BF68</f>
        <v>0</v>
      </c>
      <c r="P74" s="84">
        <f>BJ68</f>
        <v>0</v>
      </c>
      <c r="BN74" s="546"/>
      <c r="BO74" s="546"/>
      <c r="BP74" s="546"/>
      <c r="BQ74" s="546"/>
      <c r="BR74" s="546"/>
      <c r="BS74" s="546"/>
      <c r="BT74" s="546"/>
      <c r="BU74" s="546"/>
      <c r="BV74" s="546"/>
      <c r="BW74" s="546"/>
      <c r="BX74" s="546"/>
      <c r="BY74" s="546"/>
      <c r="BZ74" s="546"/>
    </row>
    <row r="75" spans="1:96" s="354" customFormat="1" x14ac:dyDescent="0.2">
      <c r="A75" s="315" t="s">
        <v>2077</v>
      </c>
      <c r="B75" s="315"/>
      <c r="C75" s="315"/>
      <c r="D75" s="315"/>
      <c r="E75" s="315">
        <f>S68</f>
        <v>0</v>
      </c>
      <c r="F75" s="315">
        <f>W68</f>
        <v>0</v>
      </c>
      <c r="G75" s="315">
        <f>AA68</f>
        <v>0</v>
      </c>
      <c r="H75" s="315">
        <f>AE68</f>
        <v>0</v>
      </c>
      <c r="I75" s="315">
        <f>AI68</f>
        <v>0</v>
      </c>
      <c r="J75" s="315">
        <f>AM68</f>
        <v>0</v>
      </c>
      <c r="K75" s="315">
        <f>AQ68</f>
        <v>0</v>
      </c>
      <c r="L75" s="315">
        <f>AU68</f>
        <v>0</v>
      </c>
      <c r="M75" s="84">
        <f>AY68</f>
        <v>0</v>
      </c>
      <c r="N75" s="84">
        <f>BC68</f>
        <v>0</v>
      </c>
      <c r="O75" s="84">
        <f>BG68</f>
        <v>0</v>
      </c>
      <c r="P75" s="84">
        <f>BK68</f>
        <v>0</v>
      </c>
      <c r="Q75" s="84"/>
      <c r="R75" s="84"/>
      <c r="S75" s="84"/>
      <c r="T75" s="84"/>
      <c r="U75" s="84"/>
      <c r="V75" s="84"/>
      <c r="W75" s="84"/>
      <c r="X75" s="84"/>
      <c r="Y75" s="84"/>
      <c r="Z75" s="84"/>
      <c r="AA75" s="84"/>
      <c r="AB75" s="84"/>
      <c r="AC75" s="84"/>
      <c r="AD75" s="84"/>
      <c r="AE75" s="84"/>
      <c r="AF75" s="84"/>
      <c r="AG75" s="84"/>
      <c r="AH75" s="84"/>
      <c r="AI75" s="84"/>
      <c r="AJ75" s="84"/>
      <c r="AK75" s="84"/>
      <c r="AL75" s="84"/>
      <c r="AM75" s="84"/>
      <c r="AN75" s="84"/>
      <c r="AO75" s="84"/>
      <c r="AP75" s="84"/>
      <c r="AQ75" s="84"/>
      <c r="AR75" s="84"/>
      <c r="AS75" s="84"/>
      <c r="AT75" s="84"/>
      <c r="AU75" s="84"/>
      <c r="AV75" s="84"/>
      <c r="AW75" s="84"/>
      <c r="AX75" s="84"/>
      <c r="AY75" s="84"/>
      <c r="AZ75" s="84"/>
      <c r="BA75" s="84"/>
      <c r="BB75" s="84"/>
      <c r="BC75" s="84"/>
      <c r="BD75" s="84"/>
      <c r="BE75" s="84"/>
      <c r="BF75" s="84"/>
      <c r="BG75" s="84"/>
      <c r="BH75" s="84"/>
      <c r="BI75" s="84"/>
      <c r="BJ75" s="84"/>
      <c r="BK75" s="84"/>
      <c r="BL75" s="84"/>
      <c r="BN75" s="546"/>
      <c r="BO75" s="546"/>
      <c r="BP75" s="740"/>
      <c r="BQ75" s="740"/>
      <c r="BR75" s="740"/>
      <c r="BS75" s="740"/>
      <c r="BT75" s="740"/>
      <c r="BU75" s="740"/>
      <c r="BV75" s="740"/>
      <c r="BW75" s="740"/>
      <c r="BX75" s="740"/>
      <c r="BY75" s="740"/>
      <c r="BZ75" s="740"/>
      <c r="CA75" s="99"/>
      <c r="CB75" s="99"/>
      <c r="CC75" s="99"/>
      <c r="CD75" s="99"/>
      <c r="CE75" s="99"/>
      <c r="CF75" s="99"/>
      <c r="CG75" s="99"/>
      <c r="CH75" s="99"/>
      <c r="CI75" s="99"/>
      <c r="CJ75" s="99"/>
      <c r="CK75" s="99"/>
      <c r="CL75" s="99"/>
    </row>
    <row r="76" spans="1:96" s="354" customFormat="1" x14ac:dyDescent="0.2">
      <c r="A76" s="315" t="s">
        <v>2329</v>
      </c>
      <c r="B76" s="315"/>
      <c r="C76" s="315"/>
      <c r="D76" s="315"/>
      <c r="E76" s="315">
        <f>T68</f>
        <v>1240600</v>
      </c>
      <c r="F76" s="315">
        <f>X68</f>
        <v>1664000</v>
      </c>
      <c r="G76" s="315">
        <f>AB68</f>
        <v>2082000</v>
      </c>
      <c r="H76" s="315">
        <f>AF68</f>
        <v>1021000</v>
      </c>
      <c r="I76" s="315">
        <f>AJ68</f>
        <v>2151000</v>
      </c>
      <c r="J76" s="315">
        <f>AN68</f>
        <v>2023000</v>
      </c>
      <c r="K76" s="315">
        <f>AR68</f>
        <v>4279400</v>
      </c>
      <c r="L76" s="315">
        <f>AV68</f>
        <v>1427000</v>
      </c>
      <c r="M76" s="84">
        <f>AZ68</f>
        <v>3510500</v>
      </c>
      <c r="N76" s="84">
        <f>BD68</f>
        <v>3285700</v>
      </c>
      <c r="O76" s="84">
        <f>BH68</f>
        <v>1909000</v>
      </c>
      <c r="P76" s="84">
        <f>BL68</f>
        <v>1751000</v>
      </c>
      <c r="Q76" s="84"/>
      <c r="R76" s="84"/>
      <c r="S76" s="84"/>
      <c r="T76" s="84"/>
      <c r="U76" s="84"/>
      <c r="V76" s="84"/>
      <c r="W76" s="84"/>
      <c r="X76" s="84"/>
      <c r="Y76" s="84"/>
      <c r="Z76" s="84"/>
      <c r="AA76" s="84"/>
      <c r="AB76" s="84"/>
      <c r="AC76" s="84"/>
      <c r="AD76" s="84"/>
      <c r="AE76" s="84"/>
      <c r="AF76" s="84"/>
      <c r="AG76" s="84"/>
      <c r="AH76" s="84"/>
      <c r="AI76" s="84"/>
      <c r="AJ76" s="84"/>
      <c r="AK76" s="84"/>
      <c r="AL76" s="84"/>
      <c r="AM76" s="84"/>
      <c r="AN76" s="84"/>
      <c r="AO76" s="84"/>
      <c r="AP76" s="84"/>
      <c r="AQ76" s="84"/>
      <c r="AR76" s="84"/>
      <c r="AS76" s="84"/>
      <c r="AT76" s="84"/>
      <c r="AU76" s="84"/>
      <c r="AV76" s="84"/>
      <c r="AW76" s="84"/>
      <c r="AX76" s="84"/>
      <c r="AY76" s="84"/>
      <c r="AZ76" s="84"/>
      <c r="BA76" s="84"/>
      <c r="BB76" s="84"/>
      <c r="BC76" s="84"/>
      <c r="BD76" s="84"/>
      <c r="BE76" s="84"/>
      <c r="BF76" s="84"/>
      <c r="BG76" s="84"/>
      <c r="BH76" s="84"/>
      <c r="BI76" s="84"/>
      <c r="BJ76" s="84"/>
      <c r="BK76" s="84"/>
      <c r="BL76" s="84"/>
      <c r="BN76" s="546"/>
      <c r="BO76" s="546"/>
      <c r="BP76" s="1264"/>
      <c r="BQ76" s="1264"/>
      <c r="BR76" s="1264"/>
      <c r="BS76" s="1264"/>
      <c r="BT76" s="1264"/>
      <c r="BU76" s="1264"/>
      <c r="BV76" s="1264"/>
      <c r="BW76" s="1264"/>
      <c r="BX76" s="1264"/>
      <c r="BY76" s="1264"/>
      <c r="BZ76" s="1264"/>
      <c r="CA76" s="434"/>
      <c r="CB76" s="434"/>
      <c r="CC76" s="434"/>
      <c r="CD76" s="434"/>
      <c r="CE76" s="434"/>
      <c r="CF76" s="434"/>
      <c r="CG76" s="434"/>
      <c r="CH76" s="434"/>
      <c r="CI76" s="434"/>
      <c r="CJ76" s="434"/>
      <c r="CK76" s="434"/>
      <c r="CL76" s="434"/>
    </row>
    <row r="77" spans="1:96" s="354" customFormat="1" x14ac:dyDescent="0.2">
      <c r="A77" s="315"/>
      <c r="B77" s="315"/>
      <c r="C77" s="315"/>
      <c r="D77" s="315"/>
      <c r="E77" s="315"/>
      <c r="F77" s="315"/>
      <c r="G77" s="315"/>
      <c r="H77" s="315"/>
      <c r="I77" s="315"/>
      <c r="J77" s="315"/>
      <c r="K77" s="315"/>
      <c r="L77" s="315"/>
      <c r="M77" s="84"/>
      <c r="N77" s="84"/>
      <c r="O77" s="84"/>
      <c r="P77" s="84"/>
      <c r="Q77" s="84"/>
      <c r="R77" s="84"/>
      <c r="S77" s="84"/>
      <c r="T77" s="84"/>
      <c r="U77" s="84"/>
      <c r="V77" s="84"/>
      <c r="W77" s="84"/>
      <c r="X77" s="84"/>
      <c r="Y77" s="84"/>
      <c r="Z77" s="84"/>
      <c r="AA77" s="84"/>
      <c r="AB77" s="84"/>
      <c r="AC77" s="84"/>
      <c r="AD77" s="84"/>
      <c r="AE77" s="84"/>
      <c r="AF77" s="84"/>
      <c r="AG77" s="84"/>
      <c r="AH77" s="84"/>
      <c r="AI77" s="84"/>
      <c r="AJ77" s="84"/>
      <c r="AK77" s="84"/>
      <c r="AL77" s="84"/>
      <c r="AM77" s="84"/>
      <c r="AN77" s="84"/>
      <c r="AO77" s="84"/>
      <c r="AP77" s="84"/>
      <c r="AQ77" s="84"/>
      <c r="AR77" s="84"/>
      <c r="AS77" s="84"/>
      <c r="AT77" s="84"/>
      <c r="AU77" s="84"/>
      <c r="AV77" s="84"/>
      <c r="AW77" s="84"/>
      <c r="AX77" s="84"/>
      <c r="AY77" s="84"/>
      <c r="AZ77" s="84"/>
      <c r="BA77" s="84"/>
      <c r="BB77" s="84"/>
      <c r="BC77" s="84"/>
      <c r="BD77" s="84"/>
      <c r="BE77" s="84"/>
      <c r="BF77" s="84"/>
      <c r="BG77" s="84"/>
      <c r="BH77" s="84"/>
      <c r="BI77" s="84"/>
      <c r="BJ77" s="84"/>
      <c r="BK77" s="84"/>
      <c r="BL77" s="84"/>
      <c r="BN77" s="546"/>
      <c r="BO77" s="546"/>
      <c r="BP77" s="546"/>
      <c r="BQ77" s="546"/>
      <c r="BR77" s="546"/>
      <c r="BS77" s="546"/>
      <c r="BT77" s="546"/>
      <c r="BU77" s="546"/>
      <c r="BV77" s="546"/>
      <c r="BW77" s="546"/>
      <c r="BX77" s="546"/>
      <c r="BY77" s="546"/>
      <c r="BZ77" s="546"/>
      <c r="CA77" s="84"/>
      <c r="CB77" s="84"/>
      <c r="CC77" s="84"/>
      <c r="CD77" s="84"/>
      <c r="CE77" s="84"/>
      <c r="CF77" s="84"/>
      <c r="CG77" s="84"/>
      <c r="CH77" s="84"/>
      <c r="CI77" s="84"/>
      <c r="CJ77" s="84"/>
      <c r="CK77" s="84"/>
      <c r="CL77" s="84"/>
    </row>
    <row r="78" spans="1:96" s="805" customFormat="1" x14ac:dyDescent="0.2">
      <c r="A78" s="1414" t="s">
        <v>89</v>
      </c>
      <c r="B78" s="1414"/>
      <c r="C78" s="1414"/>
      <c r="D78" s="1414"/>
      <c r="E78" s="1414">
        <f>E68-E73-E74-E75-E76</f>
        <v>0</v>
      </c>
      <c r="F78" s="1414">
        <f t="shared" ref="F78:M78" si="342">F68-F73-F74-F75-F76</f>
        <v>0</v>
      </c>
      <c r="G78" s="1414">
        <f t="shared" si="342"/>
        <v>0</v>
      </c>
      <c r="H78" s="1414">
        <f t="shared" si="342"/>
        <v>0</v>
      </c>
      <c r="I78" s="1414">
        <f t="shared" si="342"/>
        <v>0</v>
      </c>
      <c r="J78" s="1414">
        <f t="shared" si="342"/>
        <v>0</v>
      </c>
      <c r="K78" s="1414">
        <f t="shared" si="342"/>
        <v>0</v>
      </c>
      <c r="L78" s="1414">
        <f t="shared" si="342"/>
        <v>0</v>
      </c>
      <c r="M78" s="118">
        <f t="shared" si="342"/>
        <v>0</v>
      </c>
      <c r="N78" s="118">
        <f>N68-N73-N74-N75-N76</f>
        <v>0</v>
      </c>
      <c r="O78" s="118">
        <f>O68-O73-O74-O75-O76</f>
        <v>0</v>
      </c>
      <c r="P78" s="118">
        <f>P68-P73-P74-P75-P76</f>
        <v>0</v>
      </c>
      <c r="Q78" s="118"/>
      <c r="R78" s="118"/>
      <c r="S78" s="118"/>
      <c r="T78" s="118"/>
      <c r="U78" s="118"/>
      <c r="V78" s="118"/>
      <c r="W78" s="118"/>
      <c r="X78" s="118"/>
      <c r="Y78" s="118"/>
      <c r="Z78" s="118"/>
      <c r="AA78" s="118"/>
      <c r="AB78" s="118"/>
      <c r="AC78" s="118"/>
      <c r="AD78" s="118"/>
      <c r="AE78" s="118"/>
      <c r="AF78" s="118"/>
      <c r="AG78" s="118"/>
      <c r="AH78" s="118"/>
      <c r="AI78" s="118"/>
      <c r="AJ78" s="118"/>
      <c r="AK78" s="118"/>
      <c r="AL78" s="118"/>
      <c r="AM78" s="118"/>
      <c r="AN78" s="118"/>
      <c r="AO78" s="118"/>
      <c r="AP78" s="118"/>
      <c r="AQ78" s="118"/>
      <c r="AR78" s="118"/>
      <c r="AS78" s="118"/>
      <c r="AT78" s="118"/>
      <c r="AU78" s="118"/>
      <c r="AV78" s="118"/>
      <c r="AW78" s="118"/>
      <c r="AX78" s="118"/>
      <c r="AY78" s="118"/>
      <c r="AZ78" s="118"/>
      <c r="BA78" s="118"/>
      <c r="BB78" s="118"/>
      <c r="BC78" s="118"/>
      <c r="BD78" s="118"/>
      <c r="BE78" s="118"/>
      <c r="BF78" s="118"/>
      <c r="BG78" s="118"/>
      <c r="BH78" s="118"/>
      <c r="BI78" s="118"/>
      <c r="BJ78" s="118"/>
      <c r="BK78" s="118"/>
      <c r="BL78" s="118"/>
      <c r="BN78" s="1390"/>
      <c r="BO78" s="1390"/>
      <c r="BP78" s="1415"/>
      <c r="BQ78" s="1415"/>
      <c r="BR78" s="1415"/>
      <c r="BS78" s="1415"/>
      <c r="BT78" s="1415"/>
      <c r="BU78" s="1415"/>
      <c r="BV78" s="1415"/>
      <c r="BW78" s="1415"/>
      <c r="BX78" s="1415"/>
      <c r="BY78" s="1415"/>
      <c r="BZ78" s="1415"/>
      <c r="CA78" s="145"/>
      <c r="CB78" s="145"/>
      <c r="CC78" s="145"/>
      <c r="CD78" s="145"/>
      <c r="CE78" s="145"/>
      <c r="CF78" s="145"/>
      <c r="CG78" s="145"/>
      <c r="CH78" s="145"/>
      <c r="CI78" s="145"/>
      <c r="CJ78" s="145"/>
      <c r="CK78" s="145"/>
      <c r="CL78" s="145"/>
    </row>
    <row r="79" spans="1:96" s="354" customFormat="1" x14ac:dyDescent="0.2">
      <c r="A79" s="315"/>
      <c r="B79" s="315"/>
      <c r="C79" s="315"/>
      <c r="D79" s="315"/>
      <c r="E79" s="315"/>
      <c r="F79" s="315"/>
      <c r="G79" s="315"/>
      <c r="H79" s="315"/>
      <c r="I79" s="315"/>
      <c r="J79" s="315"/>
      <c r="K79" s="315"/>
      <c r="L79" s="315"/>
      <c r="M79" s="84"/>
      <c r="N79" s="84"/>
      <c r="O79" s="84"/>
      <c r="P79" s="84"/>
      <c r="Q79" s="84"/>
      <c r="R79" s="84"/>
      <c r="S79" s="84"/>
      <c r="T79" s="84"/>
      <c r="U79" s="84"/>
      <c r="V79" s="84"/>
      <c r="W79" s="84"/>
      <c r="X79" s="84"/>
      <c r="Y79" s="84"/>
      <c r="Z79" s="84"/>
      <c r="AA79" s="84"/>
      <c r="AB79" s="84"/>
      <c r="AC79" s="84"/>
      <c r="AD79" s="84"/>
      <c r="AE79" s="84"/>
      <c r="AF79" s="84"/>
      <c r="AG79" s="84"/>
      <c r="AH79" s="84"/>
      <c r="AI79" s="84"/>
      <c r="AJ79" s="84"/>
      <c r="AK79" s="84"/>
      <c r="AL79" s="84"/>
      <c r="AM79" s="84"/>
      <c r="AN79" s="84"/>
      <c r="AO79" s="84"/>
      <c r="AP79" s="84"/>
      <c r="AQ79" s="84"/>
      <c r="AR79" s="84"/>
      <c r="AS79" s="84"/>
      <c r="AT79" s="84"/>
      <c r="AU79" s="84"/>
      <c r="AV79" s="84"/>
      <c r="AW79" s="84"/>
      <c r="AX79" s="84"/>
      <c r="AY79" s="84"/>
      <c r="AZ79" s="84"/>
      <c r="BA79" s="84"/>
      <c r="BB79" s="84"/>
      <c r="BC79" s="84"/>
      <c r="BD79" s="84"/>
      <c r="BE79" s="84"/>
      <c r="BF79" s="84"/>
      <c r="BG79" s="84"/>
      <c r="BH79" s="84"/>
      <c r="BI79" s="84"/>
      <c r="BJ79" s="84"/>
      <c r="BK79" s="84"/>
      <c r="BL79" s="84"/>
      <c r="BN79" s="546"/>
      <c r="BO79" s="546"/>
      <c r="BP79" s="546"/>
      <c r="BQ79" s="546"/>
      <c r="BR79" s="546"/>
      <c r="BS79" s="546"/>
      <c r="BT79" s="546"/>
      <c r="BU79" s="546"/>
      <c r="BV79" s="546"/>
      <c r="BW79" s="546"/>
      <c r="BX79" s="546"/>
      <c r="BY79" s="546"/>
      <c r="BZ79" s="546"/>
      <c r="CA79" s="84"/>
      <c r="CB79" s="84"/>
      <c r="CC79" s="84"/>
      <c r="CD79" s="84"/>
      <c r="CE79" s="84"/>
      <c r="CF79" s="84"/>
      <c r="CG79" s="84"/>
      <c r="CH79" s="84"/>
      <c r="CI79" s="84"/>
      <c r="CJ79" s="84"/>
      <c r="CK79" s="84"/>
      <c r="CL79" s="84"/>
    </row>
    <row r="80" spans="1:96" s="354" customFormat="1" x14ac:dyDescent="0.2">
      <c r="E80" s="315"/>
      <c r="F80" s="315"/>
      <c r="G80" s="315"/>
      <c r="H80" s="315"/>
      <c r="I80" s="315"/>
      <c r="J80" s="315"/>
      <c r="K80" s="315"/>
      <c r="L80" s="315"/>
      <c r="M80" s="315"/>
      <c r="N80" s="315"/>
      <c r="O80" s="315"/>
      <c r="P80" s="315"/>
      <c r="BN80" s="546"/>
      <c r="BO80" s="546"/>
      <c r="BP80" s="546"/>
      <c r="BQ80" s="546"/>
      <c r="BR80" s="546"/>
      <c r="BS80" s="546"/>
      <c r="BT80" s="546"/>
      <c r="BU80" s="546"/>
      <c r="BV80" s="546"/>
      <c r="BW80" s="546"/>
      <c r="BX80" s="546"/>
      <c r="BY80" s="546"/>
      <c r="BZ80" s="546"/>
      <c r="CA80" s="84"/>
      <c r="CB80" s="84"/>
      <c r="CC80" s="84"/>
      <c r="CD80" s="84"/>
      <c r="CE80" s="84"/>
      <c r="CF80" s="84"/>
      <c r="CG80" s="84"/>
      <c r="CH80" s="84"/>
      <c r="CI80" s="84"/>
      <c r="CJ80" s="84"/>
      <c r="CK80" s="84"/>
      <c r="CL80" s="84"/>
    </row>
    <row r="81" spans="1:90" s="354" customFormat="1" x14ac:dyDescent="0.2">
      <c r="A81" s="315" t="str">
        <f>A73</f>
        <v>Grants</v>
      </c>
      <c r="B81" s="315"/>
      <c r="C81" s="315"/>
      <c r="D81" s="315"/>
      <c r="E81" s="315">
        <f>E73-'Cash-W'!G64</f>
        <v>0</v>
      </c>
      <c r="F81" s="315">
        <f>F73-'Cash-W'!H64</f>
        <v>0</v>
      </c>
      <c r="G81" s="315">
        <f>G73-'Cash-W'!I64</f>
        <v>0</v>
      </c>
      <c r="H81" s="315">
        <f>H73-'Cash-W'!J64</f>
        <v>0</v>
      </c>
      <c r="I81" s="315">
        <f>I73-'Cash-W'!K64</f>
        <v>0</v>
      </c>
      <c r="J81" s="315">
        <f>J73-'Cash-W'!L64</f>
        <v>0</v>
      </c>
      <c r="K81" s="315">
        <f>K73-'Cash-W'!M64</f>
        <v>0</v>
      </c>
      <c r="L81" s="315">
        <f>L73-'Cash-W'!N64</f>
        <v>0</v>
      </c>
      <c r="M81" s="315">
        <f>M73-'Cash-W'!M64</f>
        <v>0</v>
      </c>
      <c r="N81" s="315">
        <f>N73-'Cash-W'!N64</f>
        <v>0</v>
      </c>
      <c r="O81" s="315">
        <f>O73-'Cash-W'!O64</f>
        <v>0</v>
      </c>
      <c r="P81" s="315">
        <f>P73-'Cash-W'!P64</f>
        <v>0</v>
      </c>
      <c r="BN81" s="546"/>
      <c r="BO81" s="546"/>
      <c r="BP81" s="546"/>
      <c r="BQ81" s="546"/>
      <c r="BR81" s="546"/>
      <c r="BS81" s="546"/>
      <c r="BT81" s="546"/>
      <c r="BU81" s="546"/>
      <c r="BV81" s="546"/>
      <c r="BW81" s="546"/>
      <c r="BX81" s="546"/>
      <c r="BY81" s="546"/>
      <c r="BZ81" s="546"/>
      <c r="CA81" s="84"/>
      <c r="CB81" s="84"/>
      <c r="CC81" s="84"/>
      <c r="CD81" s="84"/>
      <c r="CE81" s="84"/>
      <c r="CF81" s="84"/>
      <c r="CG81" s="84"/>
      <c r="CH81" s="84"/>
      <c r="CI81" s="84"/>
      <c r="CJ81" s="84"/>
      <c r="CK81" s="84"/>
      <c r="CL81" s="84"/>
    </row>
    <row r="82" spans="1:90" s="354" customFormat="1" x14ac:dyDescent="0.2">
      <c r="A82" s="315" t="str">
        <f>A74</f>
        <v>Section 64</v>
      </c>
      <c r="B82" s="315"/>
      <c r="C82" s="315"/>
      <c r="D82" s="315"/>
      <c r="E82" s="315">
        <f>E74-'Cash-W'!C75</f>
        <v>0</v>
      </c>
      <c r="F82" s="315">
        <f>F74-'Cash-W'!F75</f>
        <v>0</v>
      </c>
      <c r="G82" s="315">
        <f>G74-'Cash-W'!G75</f>
        <v>0</v>
      </c>
      <c r="H82" s="315">
        <f>H74-'Cash-W'!H75</f>
        <v>0</v>
      </c>
      <c r="I82" s="315">
        <f>I74-'Cash-W'!I75</f>
        <v>0</v>
      </c>
      <c r="J82" s="315">
        <f>J74-'Cash-W'!J75</f>
        <v>0</v>
      </c>
      <c r="K82" s="315">
        <f>K74-'Cash-W'!K75</f>
        <v>0</v>
      </c>
      <c r="L82" s="315">
        <f>L74-'Cash-W'!L75</f>
        <v>0</v>
      </c>
      <c r="M82" s="315">
        <f>M74-'Cash-W'!M75</f>
        <v>0</v>
      </c>
      <c r="N82" s="315">
        <f>N74-'Cash-W'!N75</f>
        <v>0</v>
      </c>
      <c r="O82" s="315">
        <f>O74-'Cash-W'!O75</f>
        <v>0</v>
      </c>
      <c r="P82" s="315">
        <f>P74-'Cash-W'!P75</f>
        <v>0</v>
      </c>
      <c r="BN82" s="546"/>
      <c r="BO82" s="546"/>
      <c r="BP82" s="546"/>
      <c r="BQ82" s="546"/>
      <c r="BR82" s="546"/>
      <c r="BS82" s="546"/>
      <c r="BT82" s="546"/>
      <c r="BU82" s="546"/>
      <c r="BV82" s="546"/>
      <c r="BW82" s="546"/>
      <c r="BX82" s="546"/>
      <c r="BY82" s="546"/>
      <c r="BZ82" s="546"/>
      <c r="CA82" s="84"/>
      <c r="CB82" s="84"/>
      <c r="CC82" s="84"/>
      <c r="CD82" s="84"/>
      <c r="CE82" s="84"/>
      <c r="CF82" s="84"/>
      <c r="CG82" s="84"/>
      <c r="CH82" s="84"/>
      <c r="CI82" s="84"/>
      <c r="CJ82" s="84"/>
      <c r="CK82" s="84"/>
      <c r="CL82" s="84"/>
    </row>
    <row r="83" spans="1:90" s="354" customFormat="1" x14ac:dyDescent="0.2">
      <c r="A83" s="315" t="str">
        <f>A75</f>
        <v>Loans</v>
      </c>
      <c r="B83" s="315"/>
      <c r="C83" s="315"/>
      <c r="D83" s="315"/>
      <c r="E83" s="315">
        <f>E75-'Cash-W'!C37</f>
        <v>0</v>
      </c>
      <c r="F83" s="315">
        <f>F75-'Cash-W'!F37</f>
        <v>0</v>
      </c>
      <c r="G83" s="315">
        <f>G75-'Cash-W'!G37</f>
        <v>0</v>
      </c>
      <c r="H83" s="315">
        <f>H75-'Cash-W'!H37</f>
        <v>0</v>
      </c>
      <c r="I83" s="315">
        <f>I75-'Cash-W'!I37</f>
        <v>0</v>
      </c>
      <c r="J83" s="315">
        <f>J75-'Cash-W'!J37</f>
        <v>0</v>
      </c>
      <c r="K83" s="315">
        <f>K75-'Cash-W'!K37</f>
        <v>0</v>
      </c>
      <c r="L83" s="315">
        <f>L75-'Cash-W'!L37</f>
        <v>0</v>
      </c>
      <c r="M83" s="315">
        <f>M75-'Cash-W'!M37</f>
        <v>0</v>
      </c>
      <c r="N83" s="315">
        <f>N75-'Cash-W'!N37</f>
        <v>0</v>
      </c>
      <c r="O83" s="315">
        <f>O75-'Cash-W'!O37</f>
        <v>0</v>
      </c>
      <c r="P83" s="315">
        <f>P75-'Cash-W'!P37</f>
        <v>0</v>
      </c>
      <c r="BN83" s="1263"/>
      <c r="BO83" s="1263"/>
      <c r="BP83" s="1263"/>
      <c r="BQ83" s="1263"/>
      <c r="BR83" s="1263"/>
      <c r="BS83" s="1263"/>
      <c r="BT83" s="1263"/>
      <c r="BU83" s="1263"/>
      <c r="BV83" s="1263"/>
      <c r="BW83" s="1263"/>
      <c r="BX83" s="1263"/>
      <c r="BY83" s="1263"/>
      <c r="BZ83" s="1263"/>
      <c r="CA83" s="78"/>
      <c r="CB83" s="78"/>
      <c r="CC83" s="78"/>
      <c r="CD83" s="78"/>
      <c r="CE83" s="78"/>
      <c r="CF83" s="78"/>
      <c r="CG83" s="78"/>
      <c r="CH83" s="78"/>
      <c r="CI83" s="78"/>
      <c r="CJ83" s="78"/>
      <c r="CK83" s="78"/>
      <c r="CL83" s="78"/>
    </row>
    <row r="84" spans="1:90" s="354" customFormat="1" x14ac:dyDescent="0.2">
      <c r="BN84" s="1263"/>
      <c r="BO84" s="1263"/>
      <c r="BP84" s="1263"/>
      <c r="BQ84" s="1263"/>
      <c r="BR84" s="1263"/>
      <c r="BS84" s="1263"/>
      <c r="BT84" s="1263"/>
      <c r="BU84" s="1263"/>
      <c r="BV84" s="1263"/>
      <c r="BW84" s="1263"/>
      <c r="BX84" s="1263"/>
      <c r="BY84" s="1263"/>
      <c r="BZ84" s="1263"/>
      <c r="CA84" s="78"/>
      <c r="CB84" s="78"/>
      <c r="CC84" s="78"/>
      <c r="CD84" s="78"/>
      <c r="CE84" s="78"/>
      <c r="CF84" s="78"/>
      <c r="CG84" s="78"/>
      <c r="CH84" s="78"/>
      <c r="CI84" s="78"/>
      <c r="CJ84" s="78"/>
      <c r="CK84" s="78"/>
      <c r="CL84" s="78"/>
    </row>
    <row r="85" spans="1:90" s="354" customFormat="1" x14ac:dyDescent="0.2">
      <c r="A85" s="403" t="s">
        <v>89</v>
      </c>
      <c r="B85" s="403"/>
      <c r="C85" s="403"/>
      <c r="D85" s="403"/>
      <c r="E85" s="403">
        <f t="shared" ref="E85:I85" si="343">SUM(E81:E84)</f>
        <v>0</v>
      </c>
      <c r="F85" s="403">
        <f t="shared" si="343"/>
        <v>0</v>
      </c>
      <c r="G85" s="403">
        <f t="shared" si="343"/>
        <v>0</v>
      </c>
      <c r="H85" s="403">
        <f t="shared" si="343"/>
        <v>0</v>
      </c>
      <c r="I85" s="403">
        <f t="shared" si="343"/>
        <v>0</v>
      </c>
      <c r="J85" s="403">
        <f t="shared" ref="J85:O85" si="344">SUM(J81:J84)</f>
        <v>0</v>
      </c>
      <c r="K85" s="403">
        <f t="shared" si="344"/>
        <v>0</v>
      </c>
      <c r="L85" s="403">
        <f t="shared" si="344"/>
        <v>0</v>
      </c>
      <c r="M85" s="403">
        <f t="shared" si="344"/>
        <v>0</v>
      </c>
      <c r="N85" s="403">
        <f t="shared" si="344"/>
        <v>0</v>
      </c>
      <c r="O85" s="403">
        <f t="shared" si="344"/>
        <v>0</v>
      </c>
      <c r="P85" s="403">
        <f>SUM(P81:P84)</f>
        <v>0</v>
      </c>
      <c r="BN85" s="1263"/>
      <c r="BO85" s="1263"/>
      <c r="BP85" s="1263"/>
      <c r="BQ85" s="1263"/>
      <c r="BR85" s="1263"/>
      <c r="BS85" s="1263"/>
      <c r="BT85" s="1263"/>
      <c r="BU85" s="1263"/>
      <c r="BV85" s="1263"/>
      <c r="BW85" s="1263"/>
      <c r="BX85" s="1263"/>
      <c r="BY85" s="1263"/>
      <c r="BZ85" s="1263"/>
      <c r="CA85" s="78"/>
      <c r="CB85" s="78"/>
      <c r="CC85" s="78"/>
      <c r="CD85" s="78"/>
      <c r="CE85" s="78"/>
      <c r="CF85" s="78"/>
      <c r="CG85" s="78"/>
      <c r="CH85" s="78"/>
      <c r="CI85" s="78"/>
      <c r="CJ85" s="78"/>
      <c r="CK85" s="78"/>
      <c r="CL85" s="78"/>
    </row>
    <row r="86" spans="1:90" s="354" customFormat="1" x14ac:dyDescent="0.2">
      <c r="BN86" s="1263"/>
      <c r="BO86" s="1263"/>
      <c r="BP86" s="1263"/>
      <c r="BQ86" s="1263"/>
      <c r="BR86" s="1263"/>
      <c r="BS86" s="1263"/>
      <c r="BT86" s="1263"/>
      <c r="BU86" s="1263"/>
      <c r="BV86" s="1263"/>
      <c r="BW86" s="1263"/>
      <c r="BX86" s="1263"/>
      <c r="BY86" s="1263"/>
      <c r="BZ86" s="1263"/>
      <c r="CA86" s="78"/>
      <c r="CB86" s="78"/>
      <c r="CC86" s="78"/>
      <c r="CD86" s="78"/>
      <c r="CE86" s="78"/>
      <c r="CF86" s="78"/>
      <c r="CG86" s="78"/>
      <c r="CH86" s="78"/>
      <c r="CI86" s="78"/>
      <c r="CJ86" s="78"/>
      <c r="CK86" s="78"/>
      <c r="CL86" s="78"/>
    </row>
    <row r="87" spans="1:90" s="354" customFormat="1" x14ac:dyDescent="0.2">
      <c r="BN87" s="1263"/>
      <c r="BO87" s="1263"/>
      <c r="BP87" s="1263"/>
      <c r="BQ87" s="1263"/>
      <c r="BR87" s="1263"/>
      <c r="BS87" s="1263"/>
      <c r="BT87" s="1263"/>
      <c r="BU87" s="1263"/>
      <c r="BV87" s="1263"/>
      <c r="BW87" s="1263"/>
      <c r="BX87" s="1263"/>
      <c r="BY87" s="1263"/>
      <c r="BZ87" s="1263"/>
      <c r="CA87" s="78"/>
      <c r="CB87" s="78"/>
      <c r="CC87" s="78"/>
      <c r="CD87" s="78"/>
      <c r="CE87" s="78"/>
      <c r="CF87" s="78"/>
      <c r="CG87" s="78"/>
      <c r="CH87" s="78"/>
      <c r="CI87" s="78"/>
      <c r="CJ87" s="78"/>
      <c r="CK87" s="78"/>
      <c r="CL87" s="78"/>
    </row>
    <row r="88" spans="1:90" s="354" customFormat="1" x14ac:dyDescent="0.2">
      <c r="BN88" s="1263"/>
      <c r="BO88" s="1263"/>
      <c r="BP88" s="1263"/>
      <c r="BQ88" s="1263"/>
      <c r="BR88" s="1263"/>
      <c r="BS88" s="1263"/>
      <c r="BT88" s="1263"/>
      <c r="BU88" s="1263"/>
      <c r="BV88" s="1263"/>
      <c r="BW88" s="1263"/>
      <c r="BX88" s="1263"/>
      <c r="BY88" s="1263"/>
      <c r="BZ88" s="1263"/>
      <c r="CA88" s="78"/>
      <c r="CB88" s="78"/>
      <c r="CC88" s="78"/>
      <c r="CD88" s="78"/>
      <c r="CE88" s="78"/>
      <c r="CF88" s="78"/>
      <c r="CG88" s="78"/>
      <c r="CH88" s="78"/>
      <c r="CI88" s="78"/>
      <c r="CJ88" s="78"/>
      <c r="CK88" s="78"/>
      <c r="CL88" s="78"/>
    </row>
    <row r="89" spans="1:90" s="354" customFormat="1" x14ac:dyDescent="0.2">
      <c r="BN89" s="1263"/>
      <c r="BO89" s="1263"/>
      <c r="BP89" s="1263"/>
      <c r="BQ89" s="1263"/>
      <c r="BR89" s="1263"/>
      <c r="BS89" s="1263"/>
      <c r="BT89" s="1263"/>
      <c r="BU89" s="1263"/>
      <c r="BV89" s="1263"/>
      <c r="BW89" s="1263"/>
      <c r="BX89" s="1263"/>
      <c r="BY89" s="1263"/>
      <c r="BZ89" s="1263"/>
      <c r="CA89" s="78"/>
      <c r="CB89" s="78"/>
      <c r="CC89" s="78"/>
      <c r="CD89" s="78"/>
      <c r="CE89" s="78"/>
      <c r="CF89" s="78"/>
      <c r="CG89" s="78"/>
      <c r="CH89" s="78"/>
      <c r="CI89" s="78"/>
      <c r="CJ89" s="78"/>
      <c r="CK89" s="78"/>
      <c r="CL89" s="78"/>
    </row>
    <row r="90" spans="1:90" s="354" customFormat="1" x14ac:dyDescent="0.2">
      <c r="BN90" s="1263"/>
      <c r="BO90" s="1263"/>
      <c r="BP90" s="1263"/>
      <c r="BQ90" s="1263"/>
      <c r="BR90" s="1263"/>
      <c r="BS90" s="1263"/>
      <c r="BT90" s="1263"/>
      <c r="BU90" s="1263"/>
      <c r="BV90" s="1263"/>
      <c r="BW90" s="1263"/>
      <c r="BX90" s="1263"/>
      <c r="BY90" s="1263"/>
      <c r="BZ90" s="1263"/>
      <c r="CA90" s="78"/>
      <c r="CB90" s="78"/>
      <c r="CC90" s="78"/>
      <c r="CD90" s="78"/>
      <c r="CE90" s="78"/>
      <c r="CF90" s="78"/>
      <c r="CG90" s="78"/>
      <c r="CH90" s="78"/>
      <c r="CI90" s="78"/>
      <c r="CJ90" s="78"/>
      <c r="CK90" s="78"/>
      <c r="CL90" s="78"/>
    </row>
    <row r="91" spans="1:90" s="354" customFormat="1" x14ac:dyDescent="0.2">
      <c r="BN91" s="546"/>
      <c r="BO91" s="546"/>
      <c r="BP91" s="546"/>
      <c r="BQ91" s="546"/>
      <c r="BR91" s="546"/>
      <c r="BS91" s="546"/>
      <c r="BT91" s="546"/>
      <c r="BU91" s="546"/>
      <c r="BV91" s="546"/>
      <c r="BW91" s="546"/>
      <c r="BX91" s="546"/>
      <c r="BY91" s="546"/>
      <c r="BZ91" s="546"/>
      <c r="CA91" s="84"/>
      <c r="CB91" s="84"/>
      <c r="CC91" s="84"/>
      <c r="CD91" s="84"/>
      <c r="CE91" s="84"/>
      <c r="CF91" s="84"/>
      <c r="CG91" s="84"/>
      <c r="CH91" s="84"/>
      <c r="CI91" s="84"/>
      <c r="CJ91" s="84"/>
      <c r="CK91" s="84"/>
      <c r="CL91" s="84"/>
    </row>
    <row r="92" spans="1:90" s="354" customFormat="1" x14ac:dyDescent="0.2">
      <c r="BN92" s="546"/>
      <c r="BO92" s="546"/>
      <c r="BP92" s="546"/>
      <c r="BQ92" s="546"/>
      <c r="BR92" s="546"/>
      <c r="BS92" s="546"/>
      <c r="BT92" s="546"/>
      <c r="BU92" s="546"/>
      <c r="BV92" s="546"/>
      <c r="BW92" s="546"/>
      <c r="BX92" s="546"/>
      <c r="BY92" s="546"/>
      <c r="BZ92" s="546"/>
      <c r="CA92" s="84"/>
      <c r="CB92" s="84"/>
      <c r="CC92" s="84"/>
      <c r="CD92" s="84"/>
      <c r="CE92" s="84"/>
      <c r="CF92" s="84"/>
      <c r="CG92" s="84"/>
      <c r="CH92" s="84"/>
      <c r="CI92" s="84"/>
      <c r="CJ92" s="84"/>
      <c r="CK92" s="84"/>
      <c r="CL92" s="84"/>
    </row>
    <row r="93" spans="1:90" s="354" customFormat="1" x14ac:dyDescent="0.2">
      <c r="E93" s="1877"/>
      <c r="F93" s="1877"/>
      <c r="G93" s="1877"/>
      <c r="H93" s="1877"/>
      <c r="I93" s="1877"/>
      <c r="J93" s="1877"/>
      <c r="K93" s="1877"/>
      <c r="L93" s="1877"/>
      <c r="M93" s="1877"/>
      <c r="N93" s="1877"/>
      <c r="O93" s="1877"/>
      <c r="P93" s="1877"/>
      <c r="BN93" s="1263"/>
      <c r="BO93" s="1263"/>
      <c r="BP93" s="1263"/>
      <c r="BQ93" s="1263"/>
      <c r="BR93" s="1263"/>
      <c r="BS93" s="1263"/>
      <c r="BT93" s="1263"/>
      <c r="BU93" s="1263"/>
      <c r="BV93" s="1263"/>
      <c r="BW93" s="1263"/>
      <c r="BX93" s="1263"/>
      <c r="BY93" s="1263"/>
      <c r="BZ93" s="1263"/>
      <c r="CA93" s="78"/>
      <c r="CB93" s="78"/>
      <c r="CC93" s="78"/>
      <c r="CD93" s="78"/>
      <c r="CE93" s="78"/>
      <c r="CF93" s="78"/>
      <c r="CG93" s="78"/>
      <c r="CH93" s="78"/>
      <c r="CI93" s="78"/>
      <c r="CJ93" s="78"/>
      <c r="CK93" s="78"/>
      <c r="CL93" s="78"/>
    </row>
    <row r="94" spans="1:90" s="354" customFormat="1" x14ac:dyDescent="0.2">
      <c r="E94" s="1877"/>
      <c r="F94" s="1877"/>
      <c r="G94" s="1877"/>
      <c r="H94" s="1877"/>
      <c r="I94" s="1877"/>
      <c r="J94" s="1877"/>
      <c r="K94" s="1877"/>
      <c r="L94" s="1877"/>
      <c r="M94" s="1877"/>
      <c r="N94" s="1877"/>
      <c r="O94" s="1877"/>
      <c r="P94" s="1877"/>
      <c r="BN94" s="1263"/>
      <c r="BO94" s="1263"/>
      <c r="BP94" s="1263"/>
      <c r="BQ94" s="1263"/>
      <c r="BR94" s="1263"/>
      <c r="BS94" s="1263"/>
      <c r="BT94" s="1263"/>
      <c r="BU94" s="1263"/>
      <c r="BV94" s="1263"/>
      <c r="BW94" s="1263"/>
      <c r="BX94" s="1263"/>
      <c r="BY94" s="1263"/>
      <c r="BZ94" s="1263"/>
      <c r="CA94" s="78"/>
      <c r="CB94" s="78"/>
      <c r="CC94" s="78"/>
      <c r="CD94" s="78"/>
      <c r="CE94" s="78"/>
      <c r="CF94" s="78"/>
      <c r="CG94" s="78"/>
      <c r="CH94" s="78"/>
      <c r="CI94" s="78"/>
      <c r="CJ94" s="78"/>
      <c r="CK94" s="78"/>
      <c r="CL94" s="78"/>
    </row>
    <row r="95" spans="1:90" s="354" customFormat="1" x14ac:dyDescent="0.2">
      <c r="E95" s="1877"/>
      <c r="F95" s="1877"/>
      <c r="G95" s="1877"/>
      <c r="H95" s="1877"/>
      <c r="I95" s="1877"/>
      <c r="J95" s="1877"/>
      <c r="K95" s="1877"/>
      <c r="L95" s="1877"/>
      <c r="M95" s="1877"/>
      <c r="N95" s="1877"/>
      <c r="O95" s="1877"/>
      <c r="P95" s="1877"/>
      <c r="BN95" s="546"/>
      <c r="BO95" s="546"/>
      <c r="BP95" s="546"/>
      <c r="BQ95" s="546"/>
      <c r="BR95" s="546"/>
      <c r="BS95" s="546"/>
      <c r="BT95" s="546"/>
      <c r="BU95" s="546"/>
      <c r="BV95" s="546"/>
      <c r="BW95" s="546"/>
      <c r="BX95" s="546"/>
      <c r="BY95" s="546"/>
      <c r="BZ95" s="546"/>
      <c r="CA95" s="84"/>
      <c r="CB95" s="84"/>
      <c r="CC95" s="84"/>
      <c r="CD95" s="84"/>
      <c r="CE95" s="84"/>
      <c r="CF95" s="84"/>
      <c r="CG95" s="84"/>
      <c r="CH95" s="84"/>
      <c r="CI95" s="84"/>
      <c r="CJ95" s="84"/>
      <c r="CK95" s="84"/>
      <c r="CL95" s="84"/>
    </row>
    <row r="96" spans="1:90" s="354" customFormat="1" x14ac:dyDescent="0.2">
      <c r="E96" s="1877"/>
      <c r="F96" s="1877"/>
      <c r="G96" s="1877"/>
      <c r="H96" s="1877"/>
      <c r="I96" s="1877"/>
      <c r="J96" s="1877"/>
      <c r="K96" s="1877"/>
      <c r="L96" s="1877"/>
      <c r="M96" s="1877"/>
      <c r="N96" s="1877"/>
      <c r="O96" s="1877"/>
      <c r="P96" s="1877"/>
      <c r="BN96" s="546"/>
      <c r="BO96" s="546"/>
      <c r="BP96" s="546"/>
      <c r="BQ96" s="546"/>
      <c r="BR96" s="546"/>
      <c r="BS96" s="546"/>
      <c r="BT96" s="546"/>
      <c r="BU96" s="546"/>
      <c r="BV96" s="546"/>
      <c r="BW96" s="546"/>
      <c r="BX96" s="546"/>
      <c r="BY96" s="546"/>
      <c r="BZ96" s="546"/>
      <c r="CA96" s="84"/>
      <c r="CB96" s="84"/>
      <c r="CC96" s="84"/>
      <c r="CD96" s="84"/>
      <c r="CE96" s="84"/>
      <c r="CF96" s="84"/>
      <c r="CG96" s="84"/>
      <c r="CH96" s="84"/>
      <c r="CI96" s="84"/>
      <c r="CJ96" s="84"/>
      <c r="CK96" s="84"/>
      <c r="CL96" s="84"/>
    </row>
    <row r="97" spans="5:90" s="354" customFormat="1" x14ac:dyDescent="0.2">
      <c r="E97" s="1877"/>
      <c r="F97" s="1877"/>
      <c r="G97" s="1877"/>
      <c r="H97" s="1877"/>
      <c r="I97" s="1877"/>
      <c r="J97" s="1877"/>
      <c r="K97" s="1877"/>
      <c r="L97" s="1877"/>
      <c r="M97" s="1877"/>
      <c r="N97" s="1877"/>
      <c r="O97" s="1877"/>
      <c r="P97" s="1877"/>
      <c r="BN97" s="1263"/>
      <c r="BO97" s="1263"/>
      <c r="BP97" s="1263"/>
      <c r="BQ97" s="1263"/>
      <c r="BR97" s="1263"/>
      <c r="BS97" s="1263"/>
      <c r="BT97" s="1263"/>
      <c r="BU97" s="1263"/>
      <c r="BV97" s="1263"/>
      <c r="BW97" s="1263"/>
      <c r="BX97" s="1263"/>
      <c r="BY97" s="1263"/>
      <c r="BZ97" s="1263"/>
      <c r="CA97" s="78"/>
      <c r="CB97" s="78"/>
      <c r="CC97" s="78"/>
      <c r="CD97" s="78"/>
      <c r="CE97" s="78"/>
      <c r="CF97" s="78"/>
      <c r="CG97" s="78"/>
      <c r="CH97" s="78"/>
      <c r="CI97" s="78"/>
      <c r="CJ97" s="78"/>
      <c r="CK97" s="78"/>
      <c r="CL97" s="78"/>
    </row>
    <row r="98" spans="5:90" s="354" customFormat="1" x14ac:dyDescent="0.2">
      <c r="E98" s="1877"/>
      <c r="F98" s="1877"/>
      <c r="G98" s="1877"/>
      <c r="H98" s="1877"/>
      <c r="I98" s="1877"/>
      <c r="J98" s="1877"/>
      <c r="K98" s="1877"/>
      <c r="L98" s="1877"/>
      <c r="M98" s="1877"/>
      <c r="N98" s="1877"/>
      <c r="O98" s="1877"/>
      <c r="P98" s="1877"/>
      <c r="BN98" s="1263"/>
      <c r="BO98" s="1263"/>
      <c r="BP98" s="1263"/>
      <c r="BQ98" s="1263"/>
      <c r="BR98" s="1263"/>
      <c r="BS98" s="1263"/>
      <c r="BT98" s="1263"/>
      <c r="BU98" s="1263"/>
      <c r="BV98" s="1263"/>
      <c r="BW98" s="1263"/>
      <c r="BX98" s="1263"/>
      <c r="BY98" s="1263"/>
      <c r="BZ98" s="1263"/>
      <c r="CA98" s="78"/>
      <c r="CB98" s="78"/>
      <c r="CC98" s="78"/>
      <c r="CD98" s="78"/>
      <c r="CE98" s="78"/>
      <c r="CF98" s="78"/>
      <c r="CG98" s="78"/>
      <c r="CH98" s="78"/>
      <c r="CI98" s="78"/>
      <c r="CJ98" s="78"/>
      <c r="CK98" s="78"/>
      <c r="CL98" s="78"/>
    </row>
    <row r="99" spans="5:90" s="354" customFormat="1" x14ac:dyDescent="0.2">
      <c r="E99" s="1877"/>
      <c r="F99" s="1877"/>
      <c r="G99" s="1877"/>
      <c r="H99" s="1877"/>
      <c r="I99" s="1877"/>
      <c r="J99" s="1877"/>
      <c r="K99" s="1877"/>
      <c r="L99" s="1877"/>
      <c r="M99" s="1877"/>
      <c r="N99" s="1877"/>
      <c r="O99" s="1877"/>
      <c r="P99" s="1877"/>
      <c r="BN99" s="1263"/>
      <c r="BO99" s="1263"/>
      <c r="BP99" s="1263"/>
      <c r="BQ99" s="1263"/>
      <c r="BR99" s="1263"/>
      <c r="BS99" s="1263"/>
      <c r="BT99" s="1263"/>
      <c r="BU99" s="1263"/>
      <c r="BV99" s="1263"/>
      <c r="BW99" s="1263"/>
      <c r="BX99" s="1263"/>
      <c r="BY99" s="1263"/>
      <c r="BZ99" s="1263"/>
      <c r="CA99" s="78"/>
      <c r="CB99" s="78"/>
      <c r="CC99" s="78"/>
      <c r="CD99" s="78"/>
      <c r="CE99" s="78"/>
      <c r="CF99" s="78"/>
      <c r="CG99" s="78"/>
      <c r="CH99" s="78"/>
      <c r="CI99" s="78"/>
      <c r="CJ99" s="78"/>
      <c r="CK99" s="78"/>
      <c r="CL99" s="78"/>
    </row>
    <row r="100" spans="5:90" s="354" customFormat="1" x14ac:dyDescent="0.2">
      <c r="E100" s="1877"/>
      <c r="F100" s="1877"/>
      <c r="G100" s="1877"/>
      <c r="H100" s="1877"/>
      <c r="I100" s="1877"/>
      <c r="J100" s="1877"/>
      <c r="K100" s="1877"/>
      <c r="L100" s="1877"/>
      <c r="M100" s="1877"/>
      <c r="N100" s="1877"/>
      <c r="O100" s="1877"/>
      <c r="P100" s="1877"/>
      <c r="BN100" s="1263"/>
      <c r="BO100" s="1263"/>
      <c r="BP100" s="1263"/>
      <c r="BQ100" s="1263"/>
      <c r="BR100" s="1263"/>
      <c r="BS100" s="1263"/>
      <c r="BT100" s="1263"/>
      <c r="BU100" s="1263"/>
      <c r="BV100" s="1263"/>
      <c r="BW100" s="1263"/>
      <c r="BX100" s="1263"/>
      <c r="BY100" s="1263"/>
      <c r="BZ100" s="1263"/>
      <c r="CA100" s="78"/>
      <c r="CB100" s="78"/>
      <c r="CC100" s="78"/>
      <c r="CD100" s="78"/>
      <c r="CE100" s="78"/>
      <c r="CF100" s="78"/>
      <c r="CG100" s="78"/>
      <c r="CH100" s="78"/>
      <c r="CI100" s="78"/>
      <c r="CJ100" s="78"/>
      <c r="CK100" s="78"/>
      <c r="CL100" s="78"/>
    </row>
    <row r="101" spans="5:90" s="354" customFormat="1" x14ac:dyDescent="0.2">
      <c r="E101" s="1877"/>
      <c r="F101" s="1877"/>
      <c r="G101" s="1877"/>
      <c r="H101" s="1877"/>
      <c r="I101" s="1877"/>
      <c r="J101" s="1877"/>
      <c r="K101" s="1877"/>
      <c r="L101" s="1877"/>
      <c r="M101" s="1877"/>
      <c r="N101" s="1877"/>
      <c r="O101" s="1877"/>
      <c r="P101" s="1877"/>
      <c r="BN101" s="1263"/>
      <c r="BO101" s="1263"/>
      <c r="BP101" s="1263"/>
      <c r="BQ101" s="1263"/>
      <c r="BR101" s="1263"/>
      <c r="BS101" s="1263"/>
      <c r="BT101" s="1263"/>
      <c r="BU101" s="1263"/>
      <c r="BV101" s="1263"/>
      <c r="BW101" s="1263"/>
      <c r="BX101" s="1263"/>
      <c r="BY101" s="1263"/>
      <c r="BZ101" s="1263"/>
      <c r="CA101" s="78"/>
      <c r="CB101" s="78"/>
      <c r="CC101" s="78"/>
      <c r="CD101" s="78"/>
      <c r="CE101" s="78"/>
      <c r="CF101" s="78"/>
      <c r="CG101" s="78"/>
      <c r="CH101" s="78"/>
      <c r="CI101" s="78"/>
      <c r="CJ101" s="78"/>
      <c r="CK101" s="78"/>
      <c r="CL101" s="78"/>
    </row>
    <row r="102" spans="5:90" s="354" customFormat="1" x14ac:dyDescent="0.2">
      <c r="E102" s="1877"/>
      <c r="F102" s="1877"/>
      <c r="G102" s="1877"/>
      <c r="H102" s="1877"/>
      <c r="I102" s="1877"/>
      <c r="J102" s="1877"/>
      <c r="K102" s="1877"/>
      <c r="L102" s="1877"/>
      <c r="M102" s="1877"/>
      <c r="N102" s="1877"/>
      <c r="O102" s="1877"/>
      <c r="P102" s="1877"/>
      <c r="BN102" s="1263"/>
      <c r="BO102" s="1263"/>
      <c r="BP102" s="1263"/>
      <c r="BQ102" s="1263"/>
      <c r="BR102" s="1263"/>
      <c r="BS102" s="1263"/>
      <c r="BT102" s="1263"/>
      <c r="BU102" s="1263"/>
      <c r="BV102" s="1263"/>
      <c r="BW102" s="1263"/>
      <c r="BX102" s="1263"/>
      <c r="BY102" s="1263"/>
      <c r="BZ102" s="1263"/>
      <c r="CA102" s="78"/>
      <c r="CB102" s="78"/>
      <c r="CC102" s="78"/>
      <c r="CD102" s="78"/>
      <c r="CE102" s="78"/>
      <c r="CF102" s="78"/>
      <c r="CG102" s="78"/>
      <c r="CH102" s="78"/>
      <c r="CI102" s="78"/>
      <c r="CJ102" s="78"/>
      <c r="CK102" s="78"/>
      <c r="CL102" s="78"/>
    </row>
    <row r="103" spans="5:90" s="354" customFormat="1" x14ac:dyDescent="0.2">
      <c r="E103" s="1877"/>
      <c r="F103" s="1877"/>
      <c r="G103" s="1877"/>
      <c r="H103" s="1877"/>
      <c r="I103" s="1877"/>
      <c r="J103" s="1877"/>
      <c r="K103" s="1877"/>
      <c r="L103" s="1877"/>
      <c r="M103" s="1877"/>
      <c r="N103" s="1877"/>
      <c r="O103" s="1877"/>
      <c r="P103" s="1877"/>
      <c r="BN103" s="1263"/>
      <c r="BO103" s="1263"/>
      <c r="BP103" s="1263"/>
      <c r="BQ103" s="1263"/>
      <c r="BR103" s="1263"/>
      <c r="BS103" s="1263"/>
      <c r="BT103" s="1263"/>
      <c r="BU103" s="1263"/>
      <c r="BV103" s="1263"/>
      <c r="BW103" s="1263"/>
      <c r="BX103" s="1263"/>
      <c r="BY103" s="1263"/>
      <c r="BZ103" s="1263"/>
      <c r="CA103" s="78"/>
      <c r="CB103" s="78"/>
      <c r="CC103" s="78"/>
      <c r="CD103" s="78"/>
      <c r="CE103" s="78"/>
      <c r="CF103" s="78"/>
      <c r="CG103" s="78"/>
      <c r="CH103" s="78"/>
      <c r="CI103" s="78"/>
      <c r="CJ103" s="78"/>
      <c r="CK103" s="78"/>
      <c r="CL103" s="78"/>
    </row>
    <row r="104" spans="5:90" s="354" customFormat="1" x14ac:dyDescent="0.2">
      <c r="E104" s="1877"/>
      <c r="F104" s="1877"/>
      <c r="G104" s="1877"/>
      <c r="H104" s="1877"/>
      <c r="I104" s="1877"/>
      <c r="J104" s="1877"/>
      <c r="K104" s="1877"/>
      <c r="L104" s="1877"/>
      <c r="M104" s="1877"/>
      <c r="N104" s="1877"/>
      <c r="O104" s="1877"/>
      <c r="P104" s="1877"/>
      <c r="BN104" s="1263"/>
      <c r="BO104" s="1263"/>
      <c r="BP104" s="1263"/>
      <c r="BQ104" s="1263"/>
      <c r="BR104" s="1263"/>
      <c r="BS104" s="1263"/>
      <c r="BT104" s="1263"/>
      <c r="BU104" s="1263"/>
      <c r="BV104" s="1263"/>
      <c r="BW104" s="1263"/>
      <c r="BX104" s="1263"/>
      <c r="BY104" s="1263"/>
      <c r="BZ104" s="1263"/>
      <c r="CA104" s="78"/>
      <c r="CB104" s="78"/>
      <c r="CC104" s="78"/>
      <c r="CD104" s="78"/>
      <c r="CE104" s="78"/>
      <c r="CF104" s="78"/>
      <c r="CG104" s="78"/>
      <c r="CH104" s="78"/>
      <c r="CI104" s="78"/>
      <c r="CJ104" s="78"/>
      <c r="CK104" s="78"/>
      <c r="CL104" s="78"/>
    </row>
    <row r="105" spans="5:90" s="354" customFormat="1" x14ac:dyDescent="0.2">
      <c r="E105" s="1877"/>
      <c r="F105" s="1877"/>
      <c r="G105" s="1877"/>
      <c r="H105" s="1877"/>
      <c r="I105" s="1877"/>
      <c r="J105" s="1877"/>
      <c r="K105" s="1877"/>
      <c r="L105" s="1877"/>
      <c r="M105" s="1877"/>
      <c r="N105" s="1877"/>
      <c r="O105" s="1877"/>
      <c r="P105" s="1877"/>
      <c r="BN105" s="1263"/>
      <c r="BO105" s="1263"/>
      <c r="BP105" s="1263"/>
      <c r="BQ105" s="1263"/>
      <c r="BR105" s="1263"/>
      <c r="BS105" s="1263"/>
      <c r="BT105" s="1263"/>
      <c r="BU105" s="1263"/>
      <c r="BV105" s="1263"/>
      <c r="BW105" s="1263"/>
      <c r="BX105" s="1263"/>
      <c r="BY105" s="1263"/>
      <c r="BZ105" s="1263"/>
      <c r="CA105" s="78"/>
      <c r="CB105" s="78"/>
      <c r="CC105" s="78"/>
      <c r="CD105" s="78"/>
      <c r="CE105" s="78"/>
      <c r="CF105" s="78"/>
      <c r="CG105" s="78"/>
      <c r="CH105" s="78"/>
      <c r="CI105" s="78"/>
      <c r="CJ105" s="78"/>
      <c r="CK105" s="78"/>
      <c r="CL105" s="78"/>
    </row>
    <row r="106" spans="5:90" s="354" customFormat="1" x14ac:dyDescent="0.2">
      <c r="E106" s="1877"/>
      <c r="F106" s="1877"/>
      <c r="G106" s="1877"/>
      <c r="H106" s="1877"/>
      <c r="I106" s="1877"/>
      <c r="J106" s="1877"/>
      <c r="K106" s="1877"/>
      <c r="L106" s="1877"/>
      <c r="M106" s="1877"/>
      <c r="N106" s="1877"/>
      <c r="O106" s="1877"/>
      <c r="P106" s="1877"/>
      <c r="BN106" s="1263"/>
      <c r="BO106" s="1263"/>
      <c r="BP106" s="1263"/>
      <c r="BQ106" s="1263"/>
      <c r="BR106" s="1263"/>
      <c r="BS106" s="1263"/>
      <c r="BT106" s="1263"/>
      <c r="BU106" s="1263"/>
      <c r="BV106" s="1263"/>
      <c r="BW106" s="1263"/>
      <c r="BX106" s="1263"/>
      <c r="BY106" s="1263"/>
      <c r="BZ106" s="1263"/>
      <c r="CA106" s="78"/>
      <c r="CB106" s="78"/>
      <c r="CC106" s="78"/>
      <c r="CD106" s="78"/>
      <c r="CE106" s="78"/>
      <c r="CF106" s="78"/>
      <c r="CG106" s="78"/>
      <c r="CH106" s="78"/>
      <c r="CI106" s="78"/>
      <c r="CJ106" s="78"/>
      <c r="CK106" s="78"/>
      <c r="CL106" s="78"/>
    </row>
    <row r="107" spans="5:90" s="354" customFormat="1" x14ac:dyDescent="0.2">
      <c r="E107" s="1877"/>
      <c r="F107" s="1877"/>
      <c r="G107" s="1877"/>
      <c r="H107" s="1877"/>
      <c r="I107" s="1877"/>
      <c r="J107" s="1877"/>
      <c r="K107" s="1877"/>
      <c r="L107" s="1877"/>
      <c r="M107" s="1877"/>
      <c r="N107" s="1877"/>
      <c r="O107" s="1877"/>
      <c r="P107" s="1877"/>
      <c r="BN107" s="1263"/>
      <c r="BO107" s="1263"/>
      <c r="BP107" s="1263"/>
      <c r="BQ107" s="1263"/>
      <c r="BR107" s="1263"/>
      <c r="BS107" s="1263"/>
      <c r="BT107" s="1263"/>
      <c r="BU107" s="1263"/>
      <c r="BV107" s="1263"/>
      <c r="BW107" s="1263"/>
      <c r="BX107" s="1263"/>
      <c r="BY107" s="1263"/>
      <c r="BZ107" s="1263"/>
      <c r="CA107" s="78"/>
      <c r="CB107" s="78"/>
      <c r="CC107" s="78"/>
      <c r="CD107" s="78"/>
      <c r="CE107" s="78"/>
      <c r="CF107" s="78"/>
      <c r="CG107" s="78"/>
      <c r="CH107" s="78"/>
      <c r="CI107" s="78"/>
      <c r="CJ107" s="78"/>
      <c r="CK107" s="78"/>
      <c r="CL107" s="78"/>
    </row>
    <row r="108" spans="5:90" s="354" customFormat="1" x14ac:dyDescent="0.2">
      <c r="E108" s="1877"/>
      <c r="F108" s="1877"/>
      <c r="G108" s="1877"/>
      <c r="H108" s="1877"/>
      <c r="I108" s="1877"/>
      <c r="J108" s="1877"/>
      <c r="K108" s="1877"/>
      <c r="L108" s="1877"/>
      <c r="M108" s="1877"/>
      <c r="N108" s="1877"/>
      <c r="O108" s="1877"/>
      <c r="P108" s="1877"/>
      <c r="BN108" s="1263"/>
      <c r="BO108" s="1263"/>
      <c r="BP108" s="1263"/>
      <c r="BQ108" s="1263"/>
      <c r="BR108" s="1263"/>
      <c r="BS108" s="1263"/>
      <c r="BT108" s="1263"/>
      <c r="BU108" s="1263"/>
      <c r="BV108" s="1263"/>
      <c r="BW108" s="1263"/>
      <c r="BX108" s="1263"/>
      <c r="BY108" s="1263"/>
      <c r="BZ108" s="1263"/>
      <c r="CA108" s="78"/>
      <c r="CB108" s="78"/>
      <c r="CC108" s="78"/>
      <c r="CD108" s="78"/>
      <c r="CE108" s="78"/>
      <c r="CF108" s="78"/>
      <c r="CG108" s="78"/>
      <c r="CH108" s="78"/>
      <c r="CI108" s="78"/>
      <c r="CJ108" s="78"/>
      <c r="CK108" s="78"/>
      <c r="CL108" s="78"/>
    </row>
    <row r="109" spans="5:90" s="354" customFormat="1" x14ac:dyDescent="0.2">
      <c r="E109" s="1877"/>
      <c r="F109" s="1877"/>
      <c r="G109" s="1877"/>
      <c r="H109" s="1877"/>
      <c r="I109" s="1877"/>
      <c r="J109" s="1877"/>
      <c r="K109" s="1877"/>
      <c r="L109" s="1877"/>
      <c r="M109" s="1877"/>
      <c r="N109" s="1877"/>
      <c r="O109" s="1877"/>
      <c r="P109" s="1877"/>
      <c r="BN109" s="1263"/>
      <c r="BO109" s="1263"/>
      <c r="BP109" s="1263"/>
      <c r="BQ109" s="1263"/>
      <c r="BR109" s="1263"/>
      <c r="BS109" s="1263"/>
      <c r="BT109" s="1263"/>
      <c r="BU109" s="1263"/>
      <c r="BV109" s="1263"/>
      <c r="BW109" s="1263"/>
      <c r="BX109" s="1263"/>
      <c r="BY109" s="1263"/>
      <c r="BZ109" s="1263"/>
      <c r="CA109" s="78"/>
      <c r="CB109" s="78"/>
      <c r="CC109" s="78"/>
      <c r="CD109" s="78"/>
      <c r="CE109" s="78"/>
      <c r="CF109" s="78"/>
      <c r="CG109" s="78"/>
      <c r="CH109" s="78"/>
      <c r="CI109" s="78"/>
      <c r="CJ109" s="78"/>
      <c r="CK109" s="78"/>
      <c r="CL109" s="78"/>
    </row>
    <row r="110" spans="5:90" s="354" customFormat="1" x14ac:dyDescent="0.2">
      <c r="E110" s="1877"/>
      <c r="F110" s="1877"/>
      <c r="G110" s="1877"/>
      <c r="H110" s="1877"/>
      <c r="I110" s="1877"/>
      <c r="J110" s="1877"/>
      <c r="K110" s="1877"/>
      <c r="L110" s="1877"/>
      <c r="M110" s="1877"/>
      <c r="N110" s="1877"/>
      <c r="O110" s="1877"/>
      <c r="P110" s="1877"/>
      <c r="BN110" s="1263"/>
      <c r="BO110" s="1263"/>
      <c r="BP110" s="1263"/>
      <c r="BQ110" s="1263"/>
      <c r="BR110" s="1263"/>
      <c r="BS110" s="1263"/>
      <c r="BT110" s="1263"/>
      <c r="BU110" s="1263"/>
      <c r="BV110" s="1263"/>
      <c r="BW110" s="1263"/>
      <c r="BX110" s="1263"/>
      <c r="BY110" s="1263"/>
      <c r="BZ110" s="1263"/>
      <c r="CA110" s="78"/>
      <c r="CB110" s="78"/>
      <c r="CC110" s="78"/>
      <c r="CD110" s="78"/>
      <c r="CE110" s="78"/>
      <c r="CF110" s="78"/>
      <c r="CG110" s="78"/>
      <c r="CH110" s="78"/>
      <c r="CI110" s="78"/>
      <c r="CJ110" s="78"/>
      <c r="CK110" s="78"/>
      <c r="CL110" s="78"/>
    </row>
    <row r="111" spans="5:90" s="354" customFormat="1" x14ac:dyDescent="0.2">
      <c r="E111" s="1877"/>
      <c r="F111" s="1877"/>
      <c r="G111" s="1877"/>
      <c r="H111" s="1877"/>
      <c r="I111" s="1877"/>
      <c r="J111" s="1877"/>
      <c r="K111" s="1877"/>
      <c r="L111" s="1877"/>
      <c r="M111" s="1877"/>
      <c r="N111" s="1877"/>
      <c r="O111" s="1877"/>
      <c r="P111" s="1877"/>
      <c r="BN111" s="1263"/>
      <c r="BO111" s="1263"/>
      <c r="BP111" s="1263"/>
      <c r="BQ111" s="1263"/>
      <c r="BR111" s="1263"/>
      <c r="BS111" s="1263"/>
      <c r="BT111" s="1263"/>
      <c r="BU111" s="1263"/>
      <c r="BV111" s="1263"/>
      <c r="BW111" s="1263"/>
      <c r="BX111" s="1263"/>
      <c r="BY111" s="1263"/>
      <c r="BZ111" s="1263"/>
      <c r="CA111" s="78"/>
      <c r="CB111" s="78"/>
      <c r="CC111" s="78"/>
      <c r="CD111" s="78"/>
      <c r="CE111" s="78"/>
      <c r="CF111" s="78"/>
      <c r="CG111" s="78"/>
      <c r="CH111" s="78"/>
      <c r="CI111" s="78"/>
      <c r="CJ111" s="78"/>
      <c r="CK111" s="78"/>
      <c r="CL111" s="78"/>
    </row>
    <row r="112" spans="5:90" s="354" customFormat="1" x14ac:dyDescent="0.2">
      <c r="E112" s="1877"/>
      <c r="F112" s="1877"/>
      <c r="G112" s="1877"/>
      <c r="H112" s="1877"/>
      <c r="I112" s="1877"/>
      <c r="J112" s="1877"/>
      <c r="K112" s="1877"/>
      <c r="L112" s="1877"/>
      <c r="M112" s="1877"/>
      <c r="N112" s="1877"/>
      <c r="O112" s="1877"/>
      <c r="P112" s="1877"/>
      <c r="BN112" s="1263"/>
      <c r="BO112" s="1263"/>
      <c r="BP112" s="1263"/>
      <c r="BQ112" s="1263"/>
      <c r="BR112" s="1263"/>
      <c r="BS112" s="1263"/>
      <c r="BT112" s="1263"/>
      <c r="BU112" s="1263"/>
      <c r="BV112" s="1263"/>
      <c r="BW112" s="1263"/>
      <c r="BX112" s="1263"/>
      <c r="BY112" s="1263"/>
      <c r="BZ112" s="1263"/>
      <c r="CA112" s="78"/>
      <c r="CB112" s="78"/>
      <c r="CC112" s="78"/>
      <c r="CD112" s="78"/>
      <c r="CE112" s="78"/>
      <c r="CF112" s="78"/>
      <c r="CG112" s="78"/>
      <c r="CH112" s="78"/>
      <c r="CI112" s="78"/>
      <c r="CJ112" s="78"/>
      <c r="CK112" s="78"/>
      <c r="CL112" s="78"/>
    </row>
    <row r="113" spans="5:90" s="354" customFormat="1" x14ac:dyDescent="0.2">
      <c r="E113" s="1877"/>
      <c r="F113" s="1877"/>
      <c r="G113" s="1877"/>
      <c r="H113" s="1877"/>
      <c r="I113" s="1877"/>
      <c r="J113" s="1877"/>
      <c r="K113" s="1877"/>
      <c r="L113" s="1877"/>
      <c r="M113" s="1877"/>
      <c r="N113" s="1877"/>
      <c r="O113" s="1877"/>
      <c r="P113" s="1877"/>
      <c r="BN113" s="546"/>
      <c r="BO113" s="546"/>
      <c r="BP113" s="546"/>
      <c r="BQ113" s="546"/>
      <c r="BR113" s="546"/>
      <c r="BS113" s="546"/>
      <c r="BT113" s="546"/>
      <c r="BU113" s="546"/>
      <c r="BV113" s="546"/>
      <c r="BW113" s="546"/>
      <c r="BX113" s="546"/>
      <c r="BY113" s="546"/>
      <c r="BZ113" s="546"/>
      <c r="CA113" s="84"/>
      <c r="CB113" s="84"/>
      <c r="CC113" s="84"/>
      <c r="CD113" s="84"/>
      <c r="CE113" s="84"/>
      <c r="CF113" s="84"/>
      <c r="CG113" s="84"/>
      <c r="CH113" s="84"/>
      <c r="CI113" s="84"/>
      <c r="CJ113" s="84"/>
      <c r="CK113" s="84"/>
      <c r="CL113" s="84"/>
    </row>
    <row r="114" spans="5:90" s="354" customFormat="1" x14ac:dyDescent="0.2">
      <c r="E114" s="1877"/>
      <c r="F114" s="1877"/>
      <c r="G114" s="1877"/>
      <c r="H114" s="1877"/>
      <c r="I114" s="1877"/>
      <c r="J114" s="1877"/>
      <c r="K114" s="1877"/>
      <c r="L114" s="1877"/>
      <c r="M114" s="1877"/>
      <c r="N114" s="1877"/>
      <c r="O114" s="1877"/>
      <c r="P114" s="1877"/>
      <c r="BN114" s="546"/>
      <c r="BO114" s="546"/>
      <c r="BP114" s="867"/>
      <c r="BQ114" s="867"/>
      <c r="BR114" s="867"/>
      <c r="BS114" s="867"/>
      <c r="BT114" s="867"/>
      <c r="BU114" s="867"/>
      <c r="BV114" s="867"/>
      <c r="BW114" s="867"/>
      <c r="BX114" s="867"/>
      <c r="BY114" s="867"/>
      <c r="BZ114" s="867"/>
      <c r="CA114" s="92"/>
      <c r="CB114" s="92"/>
      <c r="CC114" s="92"/>
      <c r="CD114" s="92"/>
      <c r="CE114" s="92"/>
      <c r="CF114" s="92"/>
      <c r="CG114" s="92"/>
      <c r="CH114" s="92"/>
      <c r="CI114" s="92"/>
      <c r="CJ114" s="92"/>
      <c r="CK114" s="92"/>
      <c r="CL114" s="92"/>
    </row>
    <row r="115" spans="5:90" s="354" customFormat="1" x14ac:dyDescent="0.2">
      <c r="E115" s="1877"/>
      <c r="F115" s="1877"/>
      <c r="G115" s="1877"/>
      <c r="H115" s="1877"/>
      <c r="I115" s="1877"/>
      <c r="J115" s="1877"/>
      <c r="K115" s="1877"/>
      <c r="L115" s="1877"/>
      <c r="M115" s="1877"/>
      <c r="N115" s="1877"/>
      <c r="O115" s="1877"/>
      <c r="P115" s="1877"/>
      <c r="BN115" s="546"/>
      <c r="BO115" s="546"/>
      <c r="BP115" s="867"/>
      <c r="BQ115" s="867"/>
      <c r="BR115" s="867"/>
      <c r="BS115" s="867"/>
      <c r="BT115" s="867"/>
      <c r="BU115" s="867"/>
      <c r="BV115" s="867"/>
      <c r="BW115" s="867"/>
      <c r="BX115" s="867"/>
      <c r="BY115" s="867"/>
      <c r="BZ115" s="867"/>
      <c r="CA115" s="92"/>
      <c r="CB115" s="92"/>
      <c r="CC115" s="92"/>
      <c r="CD115" s="92"/>
      <c r="CE115" s="92"/>
      <c r="CF115" s="92"/>
      <c r="CG115" s="92"/>
      <c r="CH115" s="92"/>
      <c r="CI115" s="92"/>
      <c r="CJ115" s="92"/>
      <c r="CK115" s="92"/>
      <c r="CL115" s="92"/>
    </row>
    <row r="116" spans="5:90" s="354" customFormat="1" x14ac:dyDescent="0.2">
      <c r="E116" s="1877"/>
      <c r="F116" s="1877"/>
      <c r="G116" s="1877"/>
      <c r="H116" s="1877"/>
      <c r="I116" s="1877"/>
      <c r="J116" s="1877"/>
      <c r="K116" s="1877"/>
      <c r="L116" s="1877"/>
      <c r="M116" s="1877"/>
      <c r="N116" s="1877"/>
      <c r="O116" s="1877"/>
      <c r="P116" s="1877"/>
      <c r="BN116" s="546"/>
      <c r="BO116" s="546"/>
      <c r="BP116" s="546"/>
      <c r="BQ116" s="546"/>
      <c r="BR116" s="546"/>
      <c r="BS116" s="546"/>
      <c r="BT116" s="546"/>
      <c r="BU116" s="546"/>
      <c r="BV116" s="546"/>
      <c r="BW116" s="546"/>
      <c r="BX116" s="546"/>
      <c r="BY116" s="546"/>
      <c r="BZ116" s="546"/>
      <c r="CA116" s="84"/>
      <c r="CB116" s="84"/>
      <c r="CC116" s="84"/>
      <c r="CD116" s="84"/>
      <c r="CE116" s="84"/>
      <c r="CF116" s="84"/>
      <c r="CG116" s="84"/>
      <c r="CH116" s="84"/>
      <c r="CI116" s="84"/>
      <c r="CJ116" s="84"/>
      <c r="CK116" s="84"/>
      <c r="CL116" s="84"/>
    </row>
    <row r="117" spans="5:90" s="354" customFormat="1" x14ac:dyDescent="0.2">
      <c r="E117" s="1877"/>
      <c r="F117" s="1877"/>
      <c r="G117" s="1877"/>
      <c r="H117" s="1877"/>
      <c r="I117" s="1877"/>
      <c r="J117" s="1877"/>
      <c r="K117" s="1877"/>
      <c r="L117" s="1877"/>
      <c r="M117" s="1877"/>
      <c r="N117" s="1877"/>
      <c r="O117" s="1877"/>
      <c r="P117" s="1877"/>
      <c r="BN117" s="1263"/>
      <c r="BO117" s="1263"/>
      <c r="BP117" s="1263"/>
      <c r="BQ117" s="1263"/>
      <c r="BR117" s="1263"/>
      <c r="BS117" s="1263"/>
      <c r="BT117" s="1263"/>
      <c r="BU117" s="1263"/>
      <c r="BV117" s="1263"/>
      <c r="BW117" s="1263"/>
      <c r="BX117" s="1263"/>
      <c r="BY117" s="1263"/>
      <c r="BZ117" s="1263"/>
      <c r="CA117" s="78"/>
      <c r="CB117" s="78"/>
      <c r="CC117" s="78"/>
      <c r="CD117" s="78"/>
      <c r="CE117" s="78"/>
      <c r="CF117" s="78"/>
      <c r="CG117" s="78"/>
      <c r="CH117" s="78"/>
      <c r="CI117" s="78"/>
      <c r="CJ117" s="78"/>
      <c r="CK117" s="78"/>
      <c r="CL117" s="78"/>
    </row>
    <row r="118" spans="5:90" s="354" customFormat="1" x14ac:dyDescent="0.2">
      <c r="E118" s="1877"/>
      <c r="F118" s="1877"/>
      <c r="G118" s="1877"/>
      <c r="H118" s="1877"/>
      <c r="I118" s="1877"/>
      <c r="J118" s="1877"/>
      <c r="K118" s="1877"/>
      <c r="L118" s="1877"/>
      <c r="M118" s="1877"/>
      <c r="N118" s="1877"/>
      <c r="O118" s="1877"/>
      <c r="P118" s="1877"/>
      <c r="BN118" s="1263"/>
      <c r="BO118" s="1263"/>
      <c r="BP118" s="1263"/>
      <c r="BQ118" s="1263"/>
      <c r="BR118" s="1263"/>
      <c r="BS118" s="1263"/>
      <c r="BT118" s="1263"/>
      <c r="BU118" s="1263"/>
      <c r="BV118" s="1263"/>
      <c r="BW118" s="1263"/>
      <c r="BX118" s="1263"/>
      <c r="BY118" s="1263"/>
      <c r="BZ118" s="1263"/>
      <c r="CA118" s="84"/>
      <c r="CB118" s="84"/>
      <c r="CC118" s="84"/>
      <c r="CD118" s="84"/>
      <c r="CE118" s="84"/>
      <c r="CF118" s="84"/>
      <c r="CG118" s="84"/>
      <c r="CH118" s="84"/>
      <c r="CI118" s="84"/>
      <c r="CJ118" s="84"/>
      <c r="CK118" s="84"/>
      <c r="CL118" s="84"/>
    </row>
    <row r="119" spans="5:90" s="354" customFormat="1" x14ac:dyDescent="0.2">
      <c r="E119" s="1877"/>
      <c r="F119" s="1877"/>
      <c r="G119" s="1877"/>
      <c r="H119" s="1877"/>
      <c r="I119" s="1877"/>
      <c r="J119" s="1877"/>
      <c r="K119" s="1877"/>
      <c r="L119" s="1877"/>
      <c r="M119" s="1877"/>
      <c r="N119" s="1877"/>
      <c r="O119" s="1877"/>
      <c r="P119" s="1877"/>
      <c r="BN119" s="546"/>
      <c r="BO119" s="546"/>
      <c r="BP119" s="546"/>
      <c r="BQ119" s="546"/>
      <c r="BR119" s="546"/>
      <c r="BS119" s="546"/>
      <c r="BT119" s="546"/>
      <c r="BU119" s="546"/>
      <c r="BV119" s="546"/>
      <c r="BW119" s="546"/>
      <c r="BX119" s="546"/>
      <c r="BY119" s="546"/>
      <c r="BZ119" s="546"/>
      <c r="CA119" s="84"/>
      <c r="CB119" s="84"/>
      <c r="CC119" s="84"/>
      <c r="CD119" s="84"/>
      <c r="CE119" s="84"/>
      <c r="CF119" s="84"/>
      <c r="CG119" s="84"/>
      <c r="CH119" s="84"/>
      <c r="CI119" s="84"/>
      <c r="CJ119" s="84"/>
      <c r="CK119" s="84"/>
      <c r="CL119" s="84"/>
    </row>
    <row r="120" spans="5:90" s="354" customFormat="1" x14ac:dyDescent="0.2">
      <c r="E120" s="1877"/>
      <c r="F120" s="1877"/>
      <c r="G120" s="1877"/>
      <c r="H120" s="1877"/>
      <c r="I120" s="1877"/>
      <c r="J120" s="1877"/>
      <c r="K120" s="1877"/>
      <c r="L120" s="1877"/>
      <c r="M120" s="1877"/>
      <c r="N120" s="1877"/>
      <c r="O120" s="1877"/>
      <c r="P120" s="1877"/>
      <c r="BN120" s="1263"/>
      <c r="BO120" s="1263"/>
      <c r="BP120" s="1263"/>
      <c r="BQ120" s="1263"/>
      <c r="BR120" s="1263"/>
      <c r="BS120" s="1263"/>
      <c r="BT120" s="1263"/>
      <c r="BU120" s="1263"/>
      <c r="BV120" s="1263"/>
      <c r="BW120" s="1263"/>
      <c r="BX120" s="1263"/>
      <c r="BY120" s="1263"/>
      <c r="BZ120" s="1263"/>
      <c r="CA120" s="78"/>
      <c r="CB120" s="78"/>
      <c r="CC120" s="78"/>
      <c r="CD120" s="78"/>
      <c r="CE120" s="78"/>
      <c r="CF120" s="78"/>
      <c r="CG120" s="78"/>
      <c r="CH120" s="78"/>
      <c r="CI120" s="78"/>
      <c r="CJ120" s="78"/>
      <c r="CK120" s="78"/>
      <c r="CL120" s="78"/>
    </row>
    <row r="121" spans="5:90" s="354" customFormat="1" x14ac:dyDescent="0.2">
      <c r="E121" s="1877"/>
      <c r="F121" s="1877"/>
      <c r="G121" s="1877"/>
      <c r="H121" s="1877"/>
      <c r="I121" s="1877"/>
      <c r="J121" s="1877"/>
      <c r="K121" s="1877"/>
      <c r="L121" s="1877"/>
      <c r="M121" s="1877"/>
      <c r="N121" s="1877"/>
      <c r="O121" s="1877"/>
      <c r="P121" s="1877"/>
      <c r="BN121" s="1263"/>
      <c r="BO121" s="1263"/>
      <c r="BP121" s="1263"/>
      <c r="BQ121" s="1263"/>
      <c r="BR121" s="1263"/>
      <c r="BS121" s="1263"/>
      <c r="BT121" s="1263"/>
      <c r="BU121" s="1263"/>
      <c r="BV121" s="1263"/>
      <c r="BW121" s="1263"/>
      <c r="BX121" s="1263"/>
      <c r="BY121" s="1263"/>
      <c r="BZ121" s="1263"/>
      <c r="CA121" s="78"/>
      <c r="CB121" s="78"/>
      <c r="CC121" s="78"/>
      <c r="CD121" s="78"/>
      <c r="CE121" s="78"/>
      <c r="CF121" s="78"/>
      <c r="CG121" s="78"/>
      <c r="CH121" s="78"/>
      <c r="CI121" s="78"/>
      <c r="CJ121" s="78"/>
      <c r="CK121" s="78"/>
      <c r="CL121" s="78"/>
    </row>
    <row r="122" spans="5:90" s="354" customFormat="1" x14ac:dyDescent="0.2">
      <c r="E122" s="1877"/>
      <c r="F122" s="1877"/>
      <c r="G122" s="1877"/>
      <c r="H122" s="1877"/>
      <c r="I122" s="1877"/>
      <c r="J122" s="1877"/>
      <c r="K122" s="1877"/>
      <c r="L122" s="1877"/>
      <c r="M122" s="1877"/>
      <c r="N122" s="1877"/>
      <c r="O122" s="1877"/>
      <c r="P122" s="1877"/>
      <c r="BN122" s="1263"/>
      <c r="BO122" s="1263"/>
      <c r="BP122" s="1263"/>
      <c r="BQ122" s="1263"/>
      <c r="BR122" s="1263"/>
      <c r="BS122" s="1263"/>
      <c r="BT122" s="1263"/>
      <c r="BU122" s="1263"/>
      <c r="BV122" s="1263"/>
      <c r="BW122" s="1263"/>
      <c r="BX122" s="1263"/>
      <c r="BY122" s="1263"/>
      <c r="BZ122" s="1263"/>
      <c r="CA122" s="78"/>
      <c r="CB122" s="78"/>
      <c r="CC122" s="78"/>
      <c r="CD122" s="78"/>
      <c r="CE122" s="78"/>
      <c r="CF122" s="78"/>
      <c r="CG122" s="78"/>
      <c r="CH122" s="78"/>
      <c r="CI122" s="78"/>
      <c r="CJ122" s="78"/>
      <c r="CK122" s="78"/>
      <c r="CL122" s="78"/>
    </row>
    <row r="123" spans="5:90" s="354" customFormat="1" x14ac:dyDescent="0.2">
      <c r="E123" s="1877"/>
      <c r="F123" s="1877"/>
      <c r="G123" s="1877"/>
      <c r="H123" s="1877"/>
      <c r="I123" s="1877"/>
      <c r="J123" s="1877"/>
      <c r="K123" s="1877"/>
      <c r="L123" s="1877"/>
      <c r="M123" s="1877"/>
      <c r="N123" s="1877"/>
      <c r="O123" s="1877"/>
      <c r="P123" s="1877"/>
      <c r="BN123" s="1263"/>
      <c r="BO123" s="1263"/>
      <c r="BP123" s="1263"/>
      <c r="BQ123" s="1263"/>
      <c r="BR123" s="1263"/>
      <c r="BS123" s="1263"/>
      <c r="BT123" s="1263"/>
      <c r="BU123" s="1263"/>
      <c r="BV123" s="1263"/>
      <c r="BW123" s="1263"/>
      <c r="BX123" s="1263"/>
      <c r="BY123" s="1263"/>
      <c r="BZ123" s="1263"/>
      <c r="CA123" s="78"/>
      <c r="CB123" s="78"/>
      <c r="CC123" s="78"/>
      <c r="CD123" s="78"/>
      <c r="CE123" s="78"/>
      <c r="CF123" s="78"/>
      <c r="CG123" s="78"/>
      <c r="CH123" s="78"/>
      <c r="CI123" s="78"/>
      <c r="CJ123" s="78"/>
      <c r="CK123" s="78"/>
      <c r="CL123" s="78"/>
    </row>
    <row r="124" spans="5:90" s="354" customFormat="1" x14ac:dyDescent="0.2">
      <c r="E124" s="1877"/>
      <c r="F124" s="1877"/>
      <c r="G124" s="1877"/>
      <c r="H124" s="1877"/>
      <c r="I124" s="1877"/>
      <c r="J124" s="1877"/>
      <c r="K124" s="1877"/>
      <c r="L124" s="1877"/>
      <c r="M124" s="1877"/>
      <c r="N124" s="1877"/>
      <c r="O124" s="1877"/>
      <c r="P124" s="1877"/>
      <c r="BN124" s="1263"/>
      <c r="BO124" s="1263"/>
      <c r="BP124" s="1263"/>
      <c r="BQ124" s="1263"/>
      <c r="BR124" s="1263"/>
      <c r="BS124" s="1263"/>
      <c r="BT124" s="1263"/>
      <c r="BU124" s="1263"/>
      <c r="BV124" s="1263"/>
      <c r="BW124" s="1263"/>
      <c r="BX124" s="1263"/>
      <c r="BY124" s="1263"/>
      <c r="BZ124" s="1263"/>
      <c r="CA124" s="78"/>
      <c r="CB124" s="78"/>
      <c r="CC124" s="78"/>
      <c r="CD124" s="78"/>
      <c r="CE124" s="78"/>
      <c r="CF124" s="78"/>
      <c r="CG124" s="78"/>
      <c r="CH124" s="78"/>
      <c r="CI124" s="78"/>
      <c r="CJ124" s="78"/>
      <c r="CK124" s="78"/>
      <c r="CL124" s="78"/>
    </row>
    <row r="125" spans="5:90" s="354" customFormat="1" x14ac:dyDescent="0.2">
      <c r="E125" s="1877"/>
      <c r="F125" s="1877"/>
      <c r="G125" s="1877"/>
      <c r="H125" s="1877"/>
      <c r="I125" s="1877"/>
      <c r="J125" s="1877"/>
      <c r="K125" s="1877"/>
      <c r="L125" s="1877"/>
      <c r="M125" s="1877"/>
      <c r="N125" s="1877"/>
      <c r="O125" s="1877"/>
      <c r="P125" s="1877"/>
      <c r="BN125" s="1263"/>
      <c r="BO125" s="1263"/>
      <c r="BP125" s="1263"/>
      <c r="BQ125" s="1263"/>
      <c r="BR125" s="1263"/>
      <c r="BS125" s="1263"/>
      <c r="BT125" s="1263"/>
      <c r="BU125" s="1263"/>
      <c r="BV125" s="1263"/>
      <c r="BW125" s="1263"/>
      <c r="BX125" s="1263"/>
      <c r="BY125" s="1263"/>
      <c r="BZ125" s="1263"/>
      <c r="CA125" s="78"/>
      <c r="CB125" s="78"/>
      <c r="CC125" s="78"/>
      <c r="CD125" s="78"/>
      <c r="CE125" s="78"/>
      <c r="CF125" s="78"/>
      <c r="CG125" s="78"/>
      <c r="CH125" s="78"/>
      <c r="CI125" s="78"/>
      <c r="CJ125" s="78"/>
      <c r="CK125" s="78"/>
      <c r="CL125" s="78"/>
    </row>
    <row r="126" spans="5:90" s="354" customFormat="1" x14ac:dyDescent="0.2">
      <c r="E126" s="1877"/>
      <c r="F126" s="1877"/>
      <c r="G126" s="1877"/>
      <c r="H126" s="1877"/>
      <c r="I126" s="1877"/>
      <c r="J126" s="1877"/>
      <c r="K126" s="1877"/>
      <c r="L126" s="1877"/>
      <c r="M126" s="1877"/>
      <c r="N126" s="1877"/>
      <c r="O126" s="1877"/>
      <c r="P126" s="1877"/>
      <c r="BN126" s="1263"/>
      <c r="BO126" s="1263"/>
      <c r="BP126" s="1263"/>
      <c r="BQ126" s="1263"/>
      <c r="BR126" s="1263"/>
      <c r="BS126" s="1263"/>
      <c r="BT126" s="1263"/>
      <c r="BU126" s="1263"/>
      <c r="BV126" s="1263"/>
      <c r="BW126" s="1263"/>
      <c r="BX126" s="1263"/>
      <c r="BY126" s="1263"/>
      <c r="BZ126" s="1263"/>
      <c r="CA126" s="78"/>
      <c r="CB126" s="78"/>
      <c r="CC126" s="78"/>
      <c r="CD126" s="78"/>
      <c r="CE126" s="78"/>
      <c r="CF126" s="78"/>
      <c r="CG126" s="78"/>
      <c r="CH126" s="78"/>
      <c r="CI126" s="78"/>
      <c r="CJ126" s="78"/>
      <c r="CK126" s="78"/>
      <c r="CL126" s="78"/>
    </row>
    <row r="127" spans="5:90" s="354" customFormat="1" x14ac:dyDescent="0.2">
      <c r="E127" s="1877"/>
      <c r="F127" s="1877"/>
      <c r="G127" s="1877"/>
      <c r="H127" s="1877"/>
      <c r="I127" s="1877"/>
      <c r="J127" s="1877"/>
      <c r="K127" s="1877"/>
      <c r="L127" s="1877"/>
      <c r="M127" s="1877"/>
      <c r="N127" s="1877"/>
      <c r="O127" s="1877"/>
      <c r="P127" s="1877"/>
      <c r="BN127" s="1263"/>
      <c r="BO127" s="1263"/>
      <c r="BP127" s="1263"/>
      <c r="BQ127" s="1263"/>
      <c r="BR127" s="1263"/>
      <c r="BS127" s="1263"/>
      <c r="BT127" s="1263"/>
      <c r="BU127" s="1263"/>
      <c r="BV127" s="1263"/>
      <c r="BW127" s="1263"/>
      <c r="BX127" s="1263"/>
      <c r="BY127" s="1263"/>
      <c r="BZ127" s="1263"/>
      <c r="CA127" s="78"/>
      <c r="CB127" s="78"/>
      <c r="CC127" s="78"/>
      <c r="CD127" s="78"/>
      <c r="CE127" s="78"/>
      <c r="CF127" s="78"/>
      <c r="CG127" s="78"/>
      <c r="CH127" s="78"/>
      <c r="CI127" s="78"/>
      <c r="CJ127" s="78"/>
      <c r="CK127" s="78"/>
      <c r="CL127" s="78"/>
    </row>
    <row r="128" spans="5:90" s="354" customFormat="1" x14ac:dyDescent="0.2">
      <c r="E128" s="1877"/>
      <c r="F128" s="1877"/>
      <c r="G128" s="1877"/>
      <c r="H128" s="1877"/>
      <c r="I128" s="1877"/>
      <c r="J128" s="1877"/>
      <c r="K128" s="1877"/>
      <c r="L128" s="1877"/>
      <c r="M128" s="1877"/>
      <c r="N128" s="1877"/>
      <c r="O128" s="1877"/>
      <c r="P128" s="1877"/>
      <c r="BN128" s="1263"/>
      <c r="BO128" s="1263"/>
      <c r="BP128" s="1263"/>
      <c r="BQ128" s="1263"/>
      <c r="BR128" s="1263"/>
      <c r="BS128" s="1263"/>
      <c r="BT128" s="1263"/>
      <c r="BU128" s="1263"/>
      <c r="BV128" s="1263"/>
      <c r="BW128" s="1263"/>
      <c r="BX128" s="1263"/>
      <c r="BY128" s="1263"/>
      <c r="BZ128" s="1263"/>
      <c r="CA128" s="78"/>
      <c r="CB128" s="78"/>
      <c r="CC128" s="78"/>
      <c r="CD128" s="78"/>
      <c r="CE128" s="78"/>
      <c r="CF128" s="78"/>
      <c r="CG128" s="78"/>
      <c r="CH128" s="78"/>
      <c r="CI128" s="78"/>
      <c r="CJ128" s="78"/>
      <c r="CK128" s="78"/>
      <c r="CL128" s="78"/>
    </row>
    <row r="129" spans="5:90" s="354" customFormat="1" x14ac:dyDescent="0.2">
      <c r="E129" s="1877"/>
      <c r="F129" s="1877"/>
      <c r="G129" s="1877"/>
      <c r="H129" s="1877"/>
      <c r="I129" s="1877"/>
      <c r="J129" s="1877"/>
      <c r="K129" s="1877"/>
      <c r="L129" s="1877"/>
      <c r="M129" s="1877"/>
      <c r="N129" s="1877"/>
      <c r="O129" s="1877"/>
      <c r="P129" s="1877"/>
      <c r="BN129" s="1263"/>
      <c r="BO129" s="1263"/>
      <c r="BP129" s="1263"/>
      <c r="BQ129" s="1263"/>
      <c r="BR129" s="1263"/>
      <c r="BS129" s="1263"/>
      <c r="BT129" s="1263"/>
      <c r="BU129" s="1263"/>
      <c r="BV129" s="1263"/>
      <c r="BW129" s="1263"/>
      <c r="BX129" s="1263"/>
      <c r="BY129" s="1263"/>
      <c r="BZ129" s="1263"/>
      <c r="CA129" s="78"/>
      <c r="CB129" s="78"/>
      <c r="CC129" s="78"/>
      <c r="CD129" s="78"/>
      <c r="CE129" s="78"/>
      <c r="CF129" s="78"/>
      <c r="CG129" s="78"/>
      <c r="CH129" s="78"/>
      <c r="CI129" s="78"/>
      <c r="CJ129" s="78"/>
      <c r="CK129" s="78"/>
      <c r="CL129" s="78"/>
    </row>
    <row r="130" spans="5:90" s="354" customFormat="1" x14ac:dyDescent="0.2">
      <c r="E130" s="1877"/>
      <c r="F130" s="1877"/>
      <c r="G130" s="1877"/>
      <c r="H130" s="1877"/>
      <c r="I130" s="1877"/>
      <c r="J130" s="1877"/>
      <c r="K130" s="1877"/>
      <c r="L130" s="1877"/>
      <c r="M130" s="1877"/>
      <c r="N130" s="1877"/>
      <c r="O130" s="1877"/>
      <c r="P130" s="1877"/>
      <c r="BN130" s="546"/>
      <c r="BO130" s="546"/>
      <c r="BP130" s="546"/>
      <c r="BQ130" s="546"/>
      <c r="BR130" s="546"/>
      <c r="BS130" s="546"/>
      <c r="BT130" s="546"/>
      <c r="BU130" s="546"/>
      <c r="BV130" s="546"/>
      <c r="BW130" s="546"/>
      <c r="BX130" s="546"/>
      <c r="BY130" s="546"/>
      <c r="BZ130" s="546"/>
      <c r="CA130" s="84"/>
      <c r="CB130" s="84"/>
      <c r="CC130" s="84"/>
      <c r="CD130" s="84"/>
      <c r="CE130" s="84"/>
      <c r="CF130" s="84"/>
      <c r="CG130" s="84"/>
      <c r="CH130" s="84"/>
      <c r="CI130" s="84"/>
      <c r="CJ130" s="84"/>
      <c r="CK130" s="84"/>
      <c r="CL130" s="84"/>
    </row>
    <row r="131" spans="5:90" s="354" customFormat="1" x14ac:dyDescent="0.2">
      <c r="E131" s="1877"/>
      <c r="F131" s="1877"/>
      <c r="G131" s="1877"/>
      <c r="H131" s="1877"/>
      <c r="I131" s="1877"/>
      <c r="J131" s="1877"/>
      <c r="K131" s="1877"/>
      <c r="L131" s="1877"/>
      <c r="M131" s="1877"/>
      <c r="N131" s="1877"/>
      <c r="O131" s="1877"/>
      <c r="P131" s="1877"/>
      <c r="BN131" s="546"/>
      <c r="BO131" s="546"/>
      <c r="BP131" s="546"/>
      <c r="BQ131" s="546"/>
      <c r="BR131" s="546"/>
      <c r="BS131" s="546"/>
      <c r="BT131" s="546"/>
      <c r="BU131" s="546"/>
      <c r="BV131" s="546"/>
      <c r="BW131" s="546"/>
      <c r="BX131" s="546"/>
      <c r="BY131" s="546"/>
      <c r="BZ131" s="546"/>
      <c r="CA131" s="84"/>
      <c r="CB131" s="84"/>
      <c r="CC131" s="84"/>
      <c r="CD131" s="84"/>
      <c r="CE131" s="84"/>
      <c r="CF131" s="84"/>
      <c r="CG131" s="84"/>
      <c r="CH131" s="84"/>
      <c r="CI131" s="84"/>
      <c r="CJ131" s="84"/>
      <c r="CK131" s="84"/>
      <c r="CL131" s="84"/>
    </row>
    <row r="132" spans="5:90" s="354" customFormat="1" x14ac:dyDescent="0.2">
      <c r="E132" s="1877"/>
      <c r="F132" s="1877"/>
      <c r="G132" s="1877"/>
      <c r="H132" s="1877"/>
      <c r="I132" s="1877"/>
      <c r="J132" s="1877"/>
      <c r="K132" s="1877"/>
      <c r="L132" s="1877"/>
      <c r="M132" s="1877"/>
      <c r="N132" s="1877"/>
      <c r="O132" s="1877"/>
      <c r="P132" s="1877"/>
      <c r="BN132" s="1263"/>
      <c r="BO132" s="1263"/>
      <c r="BP132" s="1263"/>
      <c r="BQ132" s="1263"/>
      <c r="BR132" s="1263"/>
      <c r="BS132" s="1263"/>
      <c r="BT132" s="1263"/>
      <c r="BU132" s="1263"/>
      <c r="BV132" s="1263"/>
      <c r="BW132" s="1263"/>
      <c r="BX132" s="1263"/>
      <c r="BY132" s="1263"/>
      <c r="BZ132" s="1263"/>
      <c r="CA132" s="78"/>
      <c r="CB132" s="78"/>
      <c r="CC132" s="78"/>
      <c r="CD132" s="78"/>
      <c r="CE132" s="78"/>
      <c r="CF132" s="78"/>
      <c r="CG132" s="78"/>
      <c r="CH132" s="78"/>
      <c r="CI132" s="78"/>
      <c r="CJ132" s="78"/>
      <c r="CK132" s="78"/>
      <c r="CL132" s="78"/>
    </row>
    <row r="133" spans="5:90" s="354" customFormat="1" x14ac:dyDescent="0.2">
      <c r="E133" s="1877"/>
      <c r="F133" s="1877"/>
      <c r="G133" s="1877"/>
      <c r="H133" s="1877"/>
      <c r="I133" s="1877"/>
      <c r="J133" s="1877"/>
      <c r="K133" s="1877"/>
      <c r="L133" s="1877"/>
      <c r="M133" s="1877"/>
      <c r="N133" s="1877"/>
      <c r="O133" s="1877"/>
      <c r="P133" s="1877"/>
      <c r="BN133" s="1263"/>
      <c r="BO133" s="1263"/>
      <c r="BP133" s="1263"/>
      <c r="BQ133" s="1263"/>
      <c r="BR133" s="1263"/>
      <c r="BS133" s="1263"/>
      <c r="BT133" s="1263"/>
      <c r="BU133" s="1263"/>
      <c r="BV133" s="1263"/>
      <c r="BW133" s="1263"/>
      <c r="BX133" s="1263"/>
      <c r="BY133" s="1263"/>
      <c r="BZ133" s="1263"/>
      <c r="CA133" s="78"/>
      <c r="CB133" s="78"/>
      <c r="CC133" s="78"/>
      <c r="CD133" s="78"/>
      <c r="CE133" s="78"/>
      <c r="CF133" s="78"/>
      <c r="CG133" s="78"/>
      <c r="CH133" s="78"/>
      <c r="CI133" s="78"/>
      <c r="CJ133" s="78"/>
      <c r="CK133" s="78"/>
      <c r="CL133" s="78"/>
    </row>
    <row r="134" spans="5:90" s="354" customFormat="1" x14ac:dyDescent="0.2">
      <c r="E134" s="1877"/>
      <c r="F134" s="1877"/>
      <c r="G134" s="1877"/>
      <c r="H134" s="1877"/>
      <c r="I134" s="1877"/>
      <c r="J134" s="1877"/>
      <c r="K134" s="1877"/>
      <c r="L134" s="1877"/>
      <c r="M134" s="1877"/>
      <c r="N134" s="1877"/>
      <c r="O134" s="1877"/>
      <c r="P134" s="1877"/>
      <c r="BN134" s="1263"/>
      <c r="BO134" s="1263"/>
      <c r="BP134" s="1263"/>
      <c r="BQ134" s="1263"/>
      <c r="BR134" s="1263"/>
      <c r="BS134" s="1263"/>
      <c r="BT134" s="1263"/>
      <c r="BU134" s="1263"/>
      <c r="BV134" s="1263"/>
      <c r="BW134" s="1263"/>
      <c r="BX134" s="1263"/>
      <c r="BY134" s="1263"/>
      <c r="BZ134" s="1263"/>
      <c r="CA134" s="78"/>
      <c r="CB134" s="78"/>
      <c r="CC134" s="78"/>
      <c r="CD134" s="78"/>
      <c r="CE134" s="78"/>
      <c r="CF134" s="78"/>
      <c r="CG134" s="78"/>
      <c r="CH134" s="78"/>
      <c r="CI134" s="78"/>
      <c r="CJ134" s="78"/>
      <c r="CK134" s="78"/>
      <c r="CL134" s="78"/>
    </row>
    <row r="135" spans="5:90" s="354" customFormat="1" x14ac:dyDescent="0.2">
      <c r="E135" s="1877"/>
      <c r="F135" s="1877"/>
      <c r="G135" s="1877"/>
      <c r="H135" s="1877"/>
      <c r="I135" s="1877"/>
      <c r="J135" s="1877"/>
      <c r="K135" s="1877"/>
      <c r="L135" s="1877"/>
      <c r="M135" s="1877"/>
      <c r="N135" s="1877"/>
      <c r="O135" s="1877"/>
      <c r="P135" s="1877"/>
      <c r="BN135" s="1263"/>
      <c r="BO135" s="1263"/>
      <c r="BP135" s="1263"/>
      <c r="BQ135" s="1263"/>
      <c r="BR135" s="1263"/>
      <c r="BS135" s="1263"/>
      <c r="BT135" s="1263"/>
      <c r="BU135" s="1263"/>
      <c r="BV135" s="1263"/>
      <c r="BW135" s="1263"/>
      <c r="BX135" s="1263"/>
      <c r="BY135" s="1263"/>
      <c r="BZ135" s="1263"/>
      <c r="CA135" s="78"/>
      <c r="CB135" s="78"/>
      <c r="CC135" s="78"/>
      <c r="CD135" s="78"/>
      <c r="CE135" s="78"/>
      <c r="CF135" s="78"/>
      <c r="CG135" s="78"/>
      <c r="CH135" s="78"/>
      <c r="CI135" s="78"/>
      <c r="CJ135" s="78"/>
      <c r="CK135" s="78"/>
      <c r="CL135" s="78"/>
    </row>
    <row r="136" spans="5:90" s="354" customFormat="1" x14ac:dyDescent="0.2">
      <c r="E136" s="1877"/>
      <c r="F136" s="1877"/>
      <c r="G136" s="1877"/>
      <c r="H136" s="1877"/>
      <c r="I136" s="1877"/>
      <c r="J136" s="1877"/>
      <c r="K136" s="1877"/>
      <c r="L136" s="1877"/>
      <c r="M136" s="1877"/>
      <c r="N136" s="1877"/>
      <c r="O136" s="1877"/>
      <c r="P136" s="1877"/>
      <c r="BN136" s="1263"/>
      <c r="BO136" s="1263"/>
      <c r="BP136" s="1263"/>
      <c r="BQ136" s="1263"/>
      <c r="BR136" s="1263"/>
      <c r="BS136" s="1263"/>
      <c r="BT136" s="1263"/>
      <c r="BU136" s="1263"/>
      <c r="BV136" s="1263"/>
      <c r="BW136" s="1263"/>
      <c r="BX136" s="1263"/>
      <c r="BY136" s="1263"/>
      <c r="BZ136" s="1263"/>
      <c r="CA136" s="78"/>
      <c r="CB136" s="78"/>
      <c r="CC136" s="78"/>
      <c r="CD136" s="78"/>
      <c r="CE136" s="78"/>
      <c r="CF136" s="78"/>
      <c r="CG136" s="78"/>
      <c r="CH136" s="78"/>
      <c r="CI136" s="78"/>
      <c r="CJ136" s="78"/>
      <c r="CK136" s="78"/>
      <c r="CL136" s="78"/>
    </row>
    <row r="137" spans="5:90" s="354" customFormat="1" x14ac:dyDescent="0.2">
      <c r="E137" s="1877"/>
      <c r="F137" s="1877"/>
      <c r="G137" s="1877"/>
      <c r="H137" s="1877"/>
      <c r="I137" s="1877"/>
      <c r="J137" s="1877"/>
      <c r="K137" s="1877"/>
      <c r="L137" s="1877"/>
      <c r="M137" s="1877"/>
      <c r="N137" s="1877"/>
      <c r="O137" s="1877"/>
      <c r="P137" s="1877"/>
      <c r="BN137" s="1263"/>
      <c r="BO137" s="1263"/>
      <c r="BP137" s="1263"/>
      <c r="BQ137" s="1263"/>
      <c r="BR137" s="1263"/>
      <c r="BS137" s="1263"/>
      <c r="BT137" s="1263"/>
      <c r="BU137" s="1263"/>
      <c r="BV137" s="1263"/>
      <c r="BW137" s="1263"/>
      <c r="BX137" s="1263"/>
      <c r="BY137" s="1263"/>
      <c r="BZ137" s="1263"/>
      <c r="CA137" s="84"/>
      <c r="CB137" s="84"/>
      <c r="CC137" s="84"/>
      <c r="CD137" s="84"/>
      <c r="CE137" s="84"/>
      <c r="CF137" s="84"/>
      <c r="CG137" s="84"/>
      <c r="CH137" s="84"/>
      <c r="CI137" s="84"/>
      <c r="CJ137" s="84"/>
      <c r="CK137" s="84"/>
      <c r="CL137" s="84"/>
    </row>
    <row r="138" spans="5:90" s="354" customFormat="1" x14ac:dyDescent="0.2">
      <c r="E138" s="1877"/>
      <c r="F138" s="1877"/>
      <c r="G138" s="1877"/>
      <c r="H138" s="1877"/>
      <c r="I138" s="1877"/>
      <c r="J138" s="1877"/>
      <c r="K138" s="1877"/>
      <c r="L138" s="1877"/>
      <c r="M138" s="1877"/>
      <c r="N138" s="1877"/>
      <c r="O138" s="1877"/>
      <c r="P138" s="1877"/>
      <c r="BN138" s="546"/>
      <c r="BO138" s="546"/>
      <c r="BP138" s="546"/>
      <c r="BQ138" s="546"/>
      <c r="BR138" s="546"/>
      <c r="BS138" s="546"/>
      <c r="BT138" s="546"/>
      <c r="BU138" s="546"/>
      <c r="BV138" s="546"/>
      <c r="BW138" s="546"/>
      <c r="BX138" s="546"/>
      <c r="BY138" s="546"/>
      <c r="BZ138" s="546"/>
      <c r="CA138" s="84"/>
      <c r="CB138" s="84"/>
      <c r="CC138" s="84"/>
      <c r="CD138" s="84"/>
      <c r="CE138" s="84"/>
      <c r="CF138" s="84"/>
      <c r="CG138" s="84"/>
      <c r="CH138" s="84"/>
      <c r="CI138" s="84"/>
      <c r="CJ138" s="84"/>
      <c r="CK138" s="84"/>
      <c r="CL138" s="84"/>
    </row>
    <row r="139" spans="5:90" s="354" customFormat="1" x14ac:dyDescent="0.2">
      <c r="E139" s="1877"/>
      <c r="F139" s="1877"/>
      <c r="G139" s="1877"/>
      <c r="H139" s="1877"/>
      <c r="I139" s="1877"/>
      <c r="J139" s="1877"/>
      <c r="K139" s="1877"/>
      <c r="L139" s="1877"/>
      <c r="M139" s="1877"/>
      <c r="N139" s="1877"/>
      <c r="O139" s="1877"/>
      <c r="P139" s="1877"/>
      <c r="BN139" s="1263"/>
      <c r="BO139" s="1263"/>
      <c r="BP139" s="1263"/>
      <c r="BQ139" s="1263"/>
      <c r="BR139" s="1263"/>
      <c r="BS139" s="1263"/>
      <c r="BT139" s="1263"/>
      <c r="BU139" s="1263"/>
      <c r="BV139" s="1263"/>
      <c r="BW139" s="1263"/>
      <c r="BX139" s="1263"/>
      <c r="BY139" s="1263"/>
      <c r="BZ139" s="1263"/>
      <c r="CA139" s="78"/>
      <c r="CB139" s="78"/>
      <c r="CC139" s="78"/>
      <c r="CD139" s="78"/>
      <c r="CE139" s="78"/>
      <c r="CF139" s="78"/>
      <c r="CG139" s="78"/>
      <c r="CH139" s="78"/>
      <c r="CI139" s="78"/>
      <c r="CJ139" s="78"/>
      <c r="CK139" s="78"/>
      <c r="CL139" s="78"/>
    </row>
    <row r="140" spans="5:90" s="354" customFormat="1" x14ac:dyDescent="0.2">
      <c r="E140" s="1877"/>
      <c r="F140" s="1877"/>
      <c r="G140" s="1877"/>
      <c r="H140" s="1877"/>
      <c r="I140" s="1877"/>
      <c r="J140" s="1877"/>
      <c r="K140" s="1877"/>
      <c r="L140" s="1877"/>
      <c r="M140" s="1877"/>
      <c r="N140" s="1877"/>
      <c r="O140" s="1877"/>
      <c r="P140" s="1877"/>
      <c r="BN140" s="1263"/>
      <c r="BO140" s="1263"/>
      <c r="BP140" s="1263"/>
      <c r="BQ140" s="1263"/>
      <c r="BR140" s="1263"/>
      <c r="BS140" s="1263"/>
      <c r="BT140" s="1263"/>
      <c r="BU140" s="1263"/>
      <c r="BV140" s="1263"/>
      <c r="BW140" s="1263"/>
      <c r="BX140" s="1263"/>
      <c r="BY140" s="1263"/>
      <c r="BZ140" s="1263"/>
      <c r="CA140" s="78"/>
      <c r="CB140" s="78"/>
      <c r="CC140" s="78"/>
      <c r="CD140" s="78"/>
      <c r="CE140" s="78"/>
      <c r="CF140" s="78"/>
      <c r="CG140" s="78"/>
      <c r="CH140" s="78"/>
      <c r="CI140" s="78"/>
      <c r="CJ140" s="78"/>
      <c r="CK140" s="78"/>
      <c r="CL140" s="78"/>
    </row>
    <row r="141" spans="5:90" s="354" customFormat="1" x14ac:dyDescent="0.2">
      <c r="E141" s="1877"/>
      <c r="F141" s="1877"/>
      <c r="G141" s="1877"/>
      <c r="H141" s="1877"/>
      <c r="I141" s="1877"/>
      <c r="J141" s="1877"/>
      <c r="K141" s="1877"/>
      <c r="L141" s="1877"/>
      <c r="M141" s="1877"/>
      <c r="N141" s="1877"/>
      <c r="O141" s="1877"/>
      <c r="P141" s="1877"/>
      <c r="BN141" s="1263"/>
      <c r="BO141" s="1263"/>
      <c r="BP141" s="1263"/>
      <c r="BQ141" s="1263"/>
      <c r="BR141" s="1263"/>
      <c r="BS141" s="1263"/>
      <c r="BT141" s="1263"/>
      <c r="BU141" s="1263"/>
      <c r="BV141" s="1263"/>
      <c r="BW141" s="1263"/>
      <c r="BX141" s="1263"/>
      <c r="BY141" s="1263"/>
      <c r="BZ141" s="1263"/>
      <c r="CA141" s="78"/>
      <c r="CB141" s="78"/>
      <c r="CC141" s="78"/>
      <c r="CD141" s="78"/>
      <c r="CE141" s="78"/>
      <c r="CF141" s="78"/>
      <c r="CG141" s="78"/>
      <c r="CH141" s="78"/>
      <c r="CI141" s="78"/>
      <c r="CJ141" s="78"/>
      <c r="CK141" s="78"/>
      <c r="CL141" s="78"/>
    </row>
    <row r="142" spans="5:90" s="354" customFormat="1" x14ac:dyDescent="0.2">
      <c r="E142" s="1877"/>
      <c r="F142" s="1877"/>
      <c r="G142" s="1877"/>
      <c r="H142" s="1877"/>
      <c r="I142" s="1877"/>
      <c r="J142" s="1877"/>
      <c r="K142" s="1877"/>
      <c r="L142" s="1877"/>
      <c r="M142" s="1877"/>
      <c r="N142" s="1877"/>
      <c r="O142" s="1877"/>
      <c r="P142" s="1877"/>
      <c r="BN142" s="1263"/>
      <c r="BO142" s="1263"/>
      <c r="BP142" s="1263"/>
      <c r="BQ142" s="1263"/>
      <c r="BR142" s="1263"/>
      <c r="BS142" s="1263"/>
      <c r="BT142" s="1263"/>
      <c r="BU142" s="1263"/>
      <c r="BV142" s="1263"/>
      <c r="BW142" s="1263"/>
      <c r="BX142" s="1263"/>
      <c r="BY142" s="1263"/>
      <c r="BZ142" s="1263"/>
      <c r="CA142" s="78"/>
      <c r="CB142" s="78"/>
      <c r="CC142" s="78"/>
      <c r="CD142" s="78"/>
      <c r="CE142" s="78"/>
      <c r="CF142" s="78"/>
      <c r="CG142" s="78"/>
      <c r="CH142" s="78"/>
      <c r="CI142" s="78"/>
      <c r="CJ142" s="78"/>
      <c r="CK142" s="78"/>
      <c r="CL142" s="78"/>
    </row>
    <row r="143" spans="5:90" s="354" customFormat="1" x14ac:dyDescent="0.2">
      <c r="E143" s="1877"/>
      <c r="F143" s="1877"/>
      <c r="G143" s="1877"/>
      <c r="H143" s="1877"/>
      <c r="I143" s="1877"/>
      <c r="J143" s="1877"/>
      <c r="K143" s="1877"/>
      <c r="L143" s="1877"/>
      <c r="M143" s="1877"/>
      <c r="N143" s="1877"/>
      <c r="O143" s="1877"/>
      <c r="P143" s="1877"/>
      <c r="BN143" s="546"/>
      <c r="BO143" s="546"/>
      <c r="BP143" s="546"/>
      <c r="BQ143" s="546"/>
      <c r="BR143" s="546"/>
      <c r="BS143" s="546"/>
      <c r="BT143" s="546"/>
      <c r="BU143" s="546"/>
      <c r="BV143" s="546"/>
      <c r="BW143" s="546"/>
      <c r="BX143" s="546"/>
      <c r="BY143" s="546"/>
      <c r="BZ143" s="546"/>
      <c r="CA143" s="84"/>
      <c r="CB143" s="84"/>
      <c r="CC143" s="84"/>
      <c r="CD143" s="84"/>
      <c r="CE143" s="84"/>
      <c r="CF143" s="84"/>
      <c r="CG143" s="84"/>
      <c r="CH143" s="84"/>
      <c r="CI143" s="84"/>
      <c r="CJ143" s="84"/>
      <c r="CK143" s="84"/>
      <c r="CL143" s="84"/>
    </row>
    <row r="144" spans="5:90" s="354" customFormat="1" x14ac:dyDescent="0.2">
      <c r="E144" s="1877"/>
      <c r="F144" s="1877"/>
      <c r="G144" s="1877"/>
      <c r="H144" s="1877"/>
      <c r="I144" s="1877"/>
      <c r="J144" s="1877"/>
      <c r="K144" s="1877"/>
      <c r="L144" s="1877"/>
      <c r="M144" s="1877"/>
      <c r="N144" s="1877"/>
      <c r="O144" s="1877"/>
      <c r="P144" s="1877"/>
      <c r="BN144" s="546"/>
      <c r="BO144" s="546"/>
      <c r="BP144" s="546"/>
      <c r="BQ144" s="546"/>
      <c r="BR144" s="546"/>
      <c r="BS144" s="546"/>
      <c r="BT144" s="546"/>
      <c r="BU144" s="546"/>
      <c r="BV144" s="546"/>
      <c r="BW144" s="546"/>
      <c r="BX144" s="546"/>
      <c r="BY144" s="546"/>
      <c r="BZ144" s="546"/>
      <c r="CA144" s="84"/>
      <c r="CB144" s="84"/>
      <c r="CC144" s="84"/>
      <c r="CD144" s="84"/>
      <c r="CE144" s="84"/>
      <c r="CF144" s="84"/>
      <c r="CG144" s="84"/>
      <c r="CH144" s="84"/>
      <c r="CI144" s="84"/>
      <c r="CJ144" s="84"/>
      <c r="CK144" s="84"/>
      <c r="CL144" s="84"/>
    </row>
    <row r="145" spans="5:90" s="354" customFormat="1" x14ac:dyDescent="0.2">
      <c r="E145" s="1877"/>
      <c r="F145" s="1877"/>
      <c r="G145" s="1877"/>
      <c r="H145" s="1877"/>
      <c r="I145" s="1877"/>
      <c r="J145" s="1877"/>
      <c r="K145" s="1877"/>
      <c r="L145" s="1877"/>
      <c r="M145" s="1877"/>
      <c r="N145" s="1877"/>
      <c r="O145" s="1877"/>
      <c r="P145" s="1877"/>
      <c r="BN145" s="1263"/>
      <c r="BO145" s="1263"/>
      <c r="BP145" s="1263"/>
      <c r="BQ145" s="1263"/>
      <c r="BR145" s="1263"/>
      <c r="BS145" s="1263"/>
      <c r="BT145" s="1263"/>
      <c r="BU145" s="1263"/>
      <c r="BV145" s="1263"/>
      <c r="BW145" s="1263"/>
      <c r="BX145" s="1263"/>
      <c r="BY145" s="1263"/>
      <c r="BZ145" s="1263"/>
      <c r="CA145" s="78"/>
      <c r="CB145" s="78"/>
      <c r="CC145" s="78"/>
      <c r="CD145" s="78"/>
      <c r="CE145" s="78"/>
      <c r="CF145" s="78"/>
      <c r="CG145" s="78"/>
      <c r="CH145" s="78"/>
      <c r="CI145" s="78"/>
      <c r="CJ145" s="78"/>
      <c r="CK145" s="78"/>
      <c r="CL145" s="78"/>
    </row>
    <row r="146" spans="5:90" s="354" customFormat="1" x14ac:dyDescent="0.2">
      <c r="E146" s="1877"/>
      <c r="F146" s="1877"/>
      <c r="G146" s="1877"/>
      <c r="H146" s="1877"/>
      <c r="I146" s="1877"/>
      <c r="J146" s="1877"/>
      <c r="K146" s="1877"/>
      <c r="L146" s="1877"/>
      <c r="M146" s="1877"/>
      <c r="N146" s="1877"/>
      <c r="O146" s="1877"/>
      <c r="P146" s="1877"/>
      <c r="BN146" s="1263"/>
      <c r="BO146" s="1263"/>
      <c r="BP146" s="1263"/>
      <c r="BQ146" s="1263"/>
      <c r="BR146" s="1263"/>
      <c r="BS146" s="1263"/>
      <c r="BT146" s="1263"/>
      <c r="BU146" s="1263"/>
      <c r="BV146" s="1263"/>
      <c r="BW146" s="1263"/>
      <c r="BX146" s="1263"/>
      <c r="BY146" s="1263"/>
      <c r="BZ146" s="1263"/>
      <c r="CA146" s="78"/>
      <c r="CB146" s="78"/>
      <c r="CC146" s="78"/>
      <c r="CD146" s="78"/>
      <c r="CE146" s="78"/>
      <c r="CF146" s="78"/>
      <c r="CG146" s="78"/>
      <c r="CH146" s="78"/>
      <c r="CI146" s="78"/>
      <c r="CJ146" s="78"/>
      <c r="CK146" s="78"/>
      <c r="CL146" s="78"/>
    </row>
    <row r="147" spans="5:90" s="354" customFormat="1" x14ac:dyDescent="0.2">
      <c r="E147" s="1877"/>
      <c r="F147" s="1877"/>
      <c r="G147" s="1877"/>
      <c r="H147" s="1877"/>
      <c r="I147" s="1877"/>
      <c r="J147" s="1877"/>
      <c r="K147" s="1877"/>
      <c r="L147" s="1877"/>
      <c r="M147" s="1877"/>
      <c r="N147" s="1877"/>
      <c r="O147" s="1877"/>
      <c r="P147" s="1877"/>
      <c r="BN147" s="546"/>
      <c r="BO147" s="546"/>
      <c r="BP147" s="546"/>
      <c r="BQ147" s="546"/>
      <c r="BR147" s="546"/>
      <c r="BS147" s="546"/>
      <c r="BT147" s="546"/>
      <c r="BU147" s="546"/>
      <c r="BV147" s="546"/>
      <c r="BW147" s="546"/>
      <c r="BX147" s="546"/>
      <c r="BY147" s="546"/>
      <c r="BZ147" s="546"/>
      <c r="CA147" s="84"/>
      <c r="CB147" s="84"/>
      <c r="CC147" s="84"/>
      <c r="CD147" s="84"/>
      <c r="CE147" s="84"/>
      <c r="CF147" s="84"/>
      <c r="CG147" s="84"/>
      <c r="CH147" s="84"/>
      <c r="CI147" s="84"/>
      <c r="CJ147" s="84"/>
      <c r="CK147" s="84"/>
      <c r="CL147" s="84"/>
    </row>
    <row r="148" spans="5:90" s="354" customFormat="1" x14ac:dyDescent="0.2">
      <c r="E148" s="1877"/>
      <c r="F148" s="1877"/>
      <c r="G148" s="1877"/>
      <c r="H148" s="1877"/>
      <c r="I148" s="1877"/>
      <c r="J148" s="1877"/>
      <c r="K148" s="1877"/>
      <c r="L148" s="1877"/>
      <c r="M148" s="1877"/>
      <c r="N148" s="1877"/>
      <c r="O148" s="1877"/>
      <c r="P148" s="1877"/>
      <c r="BN148" s="546"/>
      <c r="BO148" s="546"/>
      <c r="BP148" s="546"/>
      <c r="BQ148" s="546"/>
      <c r="BR148" s="546"/>
      <c r="BS148" s="546"/>
      <c r="BT148" s="546"/>
      <c r="BU148" s="546"/>
      <c r="BV148" s="546"/>
      <c r="BW148" s="546"/>
      <c r="BX148" s="546"/>
      <c r="BY148" s="546"/>
      <c r="BZ148" s="546"/>
      <c r="CA148" s="84"/>
      <c r="CB148" s="84"/>
      <c r="CC148" s="84"/>
      <c r="CD148" s="84"/>
      <c r="CE148" s="84"/>
      <c r="CF148" s="84"/>
      <c r="CG148" s="84"/>
      <c r="CH148" s="84"/>
      <c r="CI148" s="84"/>
      <c r="CJ148" s="84"/>
      <c r="CK148" s="84"/>
      <c r="CL148" s="84"/>
    </row>
    <row r="149" spans="5:90" s="354" customFormat="1" x14ac:dyDescent="0.2">
      <c r="E149" s="1877"/>
      <c r="F149" s="1877"/>
      <c r="G149" s="1877"/>
      <c r="H149" s="1877"/>
      <c r="I149" s="1877"/>
      <c r="J149" s="1877"/>
      <c r="K149" s="1877"/>
      <c r="L149" s="1877"/>
      <c r="M149" s="1877"/>
      <c r="N149" s="1877"/>
      <c r="O149" s="1877"/>
      <c r="P149" s="1877"/>
      <c r="BN149" s="1263"/>
      <c r="BO149" s="1263"/>
      <c r="BP149" s="1263"/>
      <c r="BQ149" s="1263"/>
      <c r="BR149" s="1263"/>
      <c r="BS149" s="1263"/>
      <c r="BT149" s="1263"/>
      <c r="BU149" s="1263"/>
      <c r="BV149" s="1263"/>
      <c r="BW149" s="1263"/>
      <c r="BX149" s="1263"/>
      <c r="BY149" s="1263"/>
      <c r="BZ149" s="1263"/>
      <c r="CA149" s="78"/>
      <c r="CB149" s="78"/>
      <c r="CC149" s="78"/>
      <c r="CD149" s="78"/>
      <c r="CE149" s="78"/>
      <c r="CF149" s="78"/>
      <c r="CG149" s="78"/>
      <c r="CH149" s="78"/>
      <c r="CI149" s="78"/>
      <c r="CJ149" s="78"/>
      <c r="CK149" s="78"/>
      <c r="CL149" s="78"/>
    </row>
    <row r="150" spans="5:90" s="354" customFormat="1" x14ac:dyDescent="0.2">
      <c r="E150" s="1877"/>
      <c r="F150" s="1877"/>
      <c r="G150" s="1877"/>
      <c r="H150" s="1877"/>
      <c r="I150" s="1877"/>
      <c r="J150" s="1877"/>
      <c r="K150" s="1877"/>
      <c r="L150" s="1877"/>
      <c r="M150" s="1877"/>
      <c r="N150" s="1877"/>
      <c r="O150" s="1877"/>
      <c r="P150" s="1877"/>
      <c r="BN150" s="1263"/>
      <c r="BO150" s="1263"/>
      <c r="BP150" s="1263"/>
      <c r="BQ150" s="1263"/>
      <c r="BR150" s="1263"/>
      <c r="BS150" s="1263"/>
      <c r="BT150" s="1263"/>
      <c r="BU150" s="1263"/>
      <c r="BV150" s="1263"/>
      <c r="BW150" s="1263"/>
      <c r="BX150" s="1263"/>
      <c r="BY150" s="1263"/>
      <c r="BZ150" s="1263"/>
      <c r="CA150" s="78"/>
      <c r="CB150" s="78"/>
      <c r="CC150" s="78"/>
      <c r="CD150" s="78"/>
      <c r="CE150" s="78"/>
      <c r="CF150" s="78"/>
      <c r="CG150" s="78"/>
      <c r="CH150" s="78"/>
      <c r="CI150" s="78"/>
      <c r="CJ150" s="78"/>
      <c r="CK150" s="78"/>
      <c r="CL150" s="78"/>
    </row>
    <row r="151" spans="5:90" s="354" customFormat="1" x14ac:dyDescent="0.2">
      <c r="E151" s="1877"/>
      <c r="F151" s="1877"/>
      <c r="G151" s="1877"/>
      <c r="H151" s="1877"/>
      <c r="I151" s="1877"/>
      <c r="J151" s="1877"/>
      <c r="K151" s="1877"/>
      <c r="L151" s="1877"/>
      <c r="M151" s="1877"/>
      <c r="N151" s="1877"/>
      <c r="O151" s="1877"/>
      <c r="P151" s="1877"/>
      <c r="BN151" s="1263"/>
      <c r="BO151" s="1263"/>
      <c r="BP151" s="1263"/>
      <c r="BQ151" s="1263"/>
      <c r="BR151" s="1263"/>
      <c r="BS151" s="1263"/>
      <c r="BT151" s="1263"/>
      <c r="BU151" s="1263"/>
      <c r="BV151" s="1263"/>
      <c r="BW151" s="1263"/>
      <c r="BX151" s="1263"/>
      <c r="BY151" s="1263"/>
      <c r="BZ151" s="1263"/>
      <c r="CA151" s="78"/>
      <c r="CB151" s="78"/>
      <c r="CC151" s="78"/>
      <c r="CD151" s="78"/>
      <c r="CE151" s="78"/>
      <c r="CF151" s="78"/>
      <c r="CG151" s="78"/>
      <c r="CH151" s="78"/>
      <c r="CI151" s="78"/>
      <c r="CJ151" s="78"/>
      <c r="CK151" s="78"/>
      <c r="CL151" s="78"/>
    </row>
    <row r="152" spans="5:90" s="354" customFormat="1" x14ac:dyDescent="0.2">
      <c r="E152" s="1877"/>
      <c r="F152" s="1877"/>
      <c r="G152" s="1877"/>
      <c r="H152" s="1877"/>
      <c r="I152" s="1877"/>
      <c r="J152" s="1877"/>
      <c r="K152" s="1877"/>
      <c r="L152" s="1877"/>
      <c r="M152" s="1877"/>
      <c r="N152" s="1877"/>
      <c r="O152" s="1877"/>
      <c r="P152" s="1877"/>
      <c r="BN152" s="1263"/>
      <c r="BO152" s="1263"/>
      <c r="BP152" s="1263"/>
      <c r="BQ152" s="1263"/>
      <c r="BR152" s="1263"/>
      <c r="BS152" s="1263"/>
      <c r="BT152" s="1263"/>
      <c r="BU152" s="1263"/>
      <c r="BV152" s="1263"/>
      <c r="BW152" s="1263"/>
      <c r="BX152" s="1263"/>
      <c r="BY152" s="1263"/>
      <c r="BZ152" s="1263"/>
      <c r="CA152" s="78"/>
      <c r="CB152" s="78"/>
      <c r="CC152" s="78"/>
      <c r="CD152" s="78"/>
      <c r="CE152" s="78"/>
      <c r="CF152" s="78"/>
      <c r="CG152" s="78"/>
      <c r="CH152" s="78"/>
      <c r="CI152" s="78"/>
      <c r="CJ152" s="78"/>
      <c r="CK152" s="78"/>
      <c r="CL152" s="78"/>
    </row>
    <row r="153" spans="5:90" s="354" customFormat="1" x14ac:dyDescent="0.2">
      <c r="E153" s="1877"/>
      <c r="F153" s="1877"/>
      <c r="G153" s="1877"/>
      <c r="H153" s="1877"/>
      <c r="I153" s="1877"/>
      <c r="J153" s="1877"/>
      <c r="K153" s="1877"/>
      <c r="L153" s="1877"/>
      <c r="M153" s="1877"/>
      <c r="N153" s="1877"/>
      <c r="O153" s="1877"/>
      <c r="P153" s="1877"/>
      <c r="BN153" s="1263"/>
      <c r="BO153" s="1263"/>
      <c r="BP153" s="1263"/>
      <c r="BQ153" s="1263"/>
      <c r="BR153" s="1263"/>
      <c r="BS153" s="1263"/>
      <c r="BT153" s="1263"/>
      <c r="BU153" s="1263"/>
      <c r="BV153" s="1263"/>
      <c r="BW153" s="1263"/>
      <c r="BX153" s="1263"/>
      <c r="BY153" s="1263"/>
      <c r="BZ153" s="1263"/>
      <c r="CA153" s="78"/>
      <c r="CB153" s="78"/>
      <c r="CC153" s="78"/>
      <c r="CD153" s="78"/>
      <c r="CE153" s="78"/>
      <c r="CF153" s="78"/>
      <c r="CG153" s="78"/>
      <c r="CH153" s="78"/>
      <c r="CI153" s="78"/>
      <c r="CJ153" s="78"/>
      <c r="CK153" s="78"/>
      <c r="CL153" s="78"/>
    </row>
    <row r="154" spans="5:90" s="354" customFormat="1" x14ac:dyDescent="0.2">
      <c r="E154" s="1877"/>
      <c r="F154" s="1877"/>
      <c r="G154" s="1877"/>
      <c r="H154" s="1877"/>
      <c r="I154" s="1877"/>
      <c r="J154" s="1877"/>
      <c r="K154" s="1877"/>
      <c r="L154" s="1877"/>
      <c r="M154" s="1877"/>
      <c r="N154" s="1877"/>
      <c r="O154" s="1877"/>
      <c r="P154" s="1877"/>
      <c r="BN154" s="1263"/>
      <c r="BO154" s="1263"/>
      <c r="BP154" s="1263"/>
      <c r="BQ154" s="1263"/>
      <c r="BR154" s="1263"/>
      <c r="BS154" s="1263"/>
      <c r="BT154" s="1263"/>
      <c r="BU154" s="1263"/>
      <c r="BV154" s="1263"/>
      <c r="BW154" s="1263"/>
      <c r="BX154" s="1263"/>
      <c r="BY154" s="1263"/>
      <c r="BZ154" s="1263"/>
      <c r="CA154" s="78"/>
      <c r="CB154" s="78"/>
      <c r="CC154" s="78"/>
      <c r="CD154" s="78"/>
      <c r="CE154" s="78"/>
      <c r="CF154" s="78"/>
      <c r="CG154" s="78"/>
      <c r="CH154" s="78"/>
      <c r="CI154" s="78"/>
      <c r="CJ154" s="78"/>
      <c r="CK154" s="78"/>
      <c r="CL154" s="78"/>
    </row>
    <row r="155" spans="5:90" s="354" customFormat="1" x14ac:dyDescent="0.2">
      <c r="E155" s="1877"/>
      <c r="F155" s="1877"/>
      <c r="G155" s="1877"/>
      <c r="H155" s="1877"/>
      <c r="I155" s="1877"/>
      <c r="J155" s="1877"/>
      <c r="K155" s="1877"/>
      <c r="L155" s="1877"/>
      <c r="M155" s="1877"/>
      <c r="N155" s="1877"/>
      <c r="O155" s="1877"/>
      <c r="P155" s="1877"/>
      <c r="BN155" s="1263"/>
      <c r="BO155" s="1263"/>
      <c r="BP155" s="1263"/>
      <c r="BQ155" s="1263"/>
      <c r="BR155" s="1263"/>
      <c r="BS155" s="1263"/>
      <c r="BT155" s="1263"/>
      <c r="BU155" s="1263"/>
      <c r="BV155" s="1263"/>
      <c r="BW155" s="1263"/>
      <c r="BX155" s="1263"/>
      <c r="BY155" s="1263"/>
      <c r="BZ155" s="1263"/>
      <c r="CA155" s="78"/>
      <c r="CB155" s="78"/>
      <c r="CC155" s="78"/>
      <c r="CD155" s="78"/>
      <c r="CE155" s="78"/>
      <c r="CF155" s="78"/>
      <c r="CG155" s="78"/>
      <c r="CH155" s="78"/>
      <c r="CI155" s="78"/>
      <c r="CJ155" s="78"/>
      <c r="CK155" s="78"/>
      <c r="CL155" s="78"/>
    </row>
    <row r="156" spans="5:90" s="354" customFormat="1" x14ac:dyDescent="0.2">
      <c r="E156" s="1877"/>
      <c r="F156" s="1877"/>
      <c r="G156" s="1877"/>
      <c r="H156" s="1877"/>
      <c r="I156" s="1877"/>
      <c r="J156" s="1877"/>
      <c r="K156" s="1877"/>
      <c r="L156" s="1877"/>
      <c r="M156" s="1877"/>
      <c r="N156" s="1877"/>
      <c r="O156" s="1877"/>
      <c r="P156" s="1877"/>
      <c r="BN156" s="1263"/>
      <c r="BO156" s="1263"/>
      <c r="BP156" s="1263"/>
      <c r="BQ156" s="1263"/>
      <c r="BR156" s="1263"/>
      <c r="BS156" s="1263"/>
      <c r="BT156" s="1263"/>
      <c r="BU156" s="1263"/>
      <c r="BV156" s="1263"/>
      <c r="BW156" s="1263"/>
      <c r="BX156" s="1263"/>
      <c r="BY156" s="1263"/>
      <c r="BZ156" s="1263"/>
      <c r="CA156" s="84"/>
      <c r="CB156" s="84"/>
      <c r="CC156" s="84"/>
      <c r="CD156" s="84"/>
      <c r="CE156" s="84"/>
      <c r="CF156" s="84"/>
      <c r="CG156" s="84"/>
      <c r="CH156" s="84"/>
      <c r="CI156" s="84"/>
      <c r="CJ156" s="84"/>
      <c r="CK156" s="84"/>
      <c r="CL156" s="84"/>
    </row>
    <row r="157" spans="5:90" s="354" customFormat="1" x14ac:dyDescent="0.2">
      <c r="E157" s="1877"/>
      <c r="F157" s="1877"/>
      <c r="G157" s="1877"/>
      <c r="H157" s="1877"/>
      <c r="I157" s="1877"/>
      <c r="J157" s="1877"/>
      <c r="K157" s="1877"/>
      <c r="L157" s="1877"/>
      <c r="M157" s="1877"/>
      <c r="N157" s="1877"/>
      <c r="O157" s="1877"/>
      <c r="P157" s="1877"/>
      <c r="BN157" s="546"/>
      <c r="BO157" s="546"/>
      <c r="BP157" s="546"/>
      <c r="BQ157" s="546"/>
      <c r="BR157" s="546"/>
      <c r="BS157" s="546"/>
      <c r="BT157" s="546"/>
      <c r="BU157" s="546"/>
      <c r="BV157" s="546"/>
      <c r="BW157" s="546"/>
      <c r="BX157" s="546"/>
      <c r="BY157" s="546"/>
      <c r="BZ157" s="546"/>
      <c r="CA157" s="84"/>
      <c r="CB157" s="84"/>
      <c r="CC157" s="84"/>
      <c r="CD157" s="84"/>
      <c r="CE157" s="84"/>
      <c r="CF157" s="84"/>
      <c r="CG157" s="84"/>
      <c r="CH157" s="84"/>
      <c r="CI157" s="84"/>
      <c r="CJ157" s="84"/>
      <c r="CK157" s="84"/>
      <c r="CL157" s="84"/>
    </row>
    <row r="158" spans="5:90" s="354" customFormat="1" x14ac:dyDescent="0.2">
      <c r="E158" s="1877"/>
      <c r="F158" s="1877"/>
      <c r="G158" s="1877"/>
      <c r="H158" s="1877"/>
      <c r="I158" s="1877"/>
      <c r="J158" s="1877"/>
      <c r="K158" s="1877"/>
      <c r="L158" s="1877"/>
      <c r="M158" s="1877"/>
      <c r="N158" s="1877"/>
      <c r="O158" s="1877"/>
      <c r="P158" s="1877"/>
      <c r="BN158" s="546"/>
      <c r="BO158" s="546"/>
      <c r="BP158" s="546"/>
      <c r="BQ158" s="546"/>
      <c r="BR158" s="546"/>
      <c r="BS158" s="546"/>
      <c r="BT158" s="546"/>
      <c r="BU158" s="546"/>
      <c r="BV158" s="546"/>
      <c r="BW158" s="546"/>
      <c r="BX158" s="546"/>
      <c r="BY158" s="546"/>
      <c r="BZ158" s="546"/>
      <c r="CA158" s="84"/>
      <c r="CB158" s="84"/>
      <c r="CC158" s="84"/>
      <c r="CD158" s="84"/>
      <c r="CE158" s="84"/>
      <c r="CF158" s="84"/>
      <c r="CG158" s="84"/>
      <c r="CH158" s="84"/>
      <c r="CI158" s="84"/>
      <c r="CJ158" s="84"/>
      <c r="CK158" s="84"/>
      <c r="CL158" s="84"/>
    </row>
    <row r="159" spans="5:90" s="354" customFormat="1" x14ac:dyDescent="0.2">
      <c r="E159" s="1877"/>
      <c r="F159" s="1877"/>
      <c r="G159" s="1877"/>
      <c r="H159" s="1877"/>
      <c r="I159" s="1877"/>
      <c r="J159" s="1877"/>
      <c r="K159" s="1877"/>
      <c r="L159" s="1877"/>
      <c r="M159" s="1877"/>
      <c r="N159" s="1877"/>
      <c r="O159" s="1877"/>
      <c r="P159" s="1877"/>
      <c r="BN159" s="1263"/>
      <c r="BO159" s="1263"/>
      <c r="BP159" s="1263"/>
      <c r="BQ159" s="1263"/>
      <c r="BR159" s="1263"/>
      <c r="BS159" s="1263"/>
      <c r="BT159" s="1263"/>
      <c r="BU159" s="1263"/>
      <c r="BV159" s="1263"/>
      <c r="BW159" s="1263"/>
      <c r="BX159" s="1263"/>
      <c r="BY159" s="1263"/>
      <c r="BZ159" s="1263"/>
      <c r="CA159" s="78"/>
      <c r="CB159" s="78"/>
      <c r="CC159" s="78"/>
      <c r="CD159" s="78"/>
      <c r="CE159" s="78"/>
      <c r="CF159" s="78"/>
      <c r="CG159" s="78"/>
      <c r="CH159" s="78"/>
      <c r="CI159" s="78"/>
      <c r="CJ159" s="78"/>
      <c r="CK159" s="78"/>
      <c r="CL159" s="78"/>
    </row>
    <row r="160" spans="5:90" s="354" customFormat="1" x14ac:dyDescent="0.2">
      <c r="E160" s="1877"/>
      <c r="F160" s="1877"/>
      <c r="G160" s="1877"/>
      <c r="H160" s="1877"/>
      <c r="I160" s="1877"/>
      <c r="J160" s="1877"/>
      <c r="K160" s="1877"/>
      <c r="L160" s="1877"/>
      <c r="M160" s="1877"/>
      <c r="N160" s="1877"/>
      <c r="O160" s="1877"/>
      <c r="P160" s="1877"/>
      <c r="BN160" s="1263"/>
      <c r="BO160" s="1263"/>
      <c r="BP160" s="1263"/>
      <c r="BQ160" s="1263"/>
      <c r="BR160" s="1263"/>
      <c r="BS160" s="1263"/>
      <c r="BT160" s="1263"/>
      <c r="BU160" s="1263"/>
      <c r="BV160" s="1263"/>
      <c r="BW160" s="1263"/>
      <c r="BX160" s="1263"/>
      <c r="BY160" s="1263"/>
      <c r="BZ160" s="1263"/>
      <c r="CA160" s="78"/>
      <c r="CB160" s="78"/>
      <c r="CC160" s="78"/>
      <c r="CD160" s="78"/>
      <c r="CE160" s="78"/>
      <c r="CF160" s="78"/>
      <c r="CG160" s="78"/>
      <c r="CH160" s="78"/>
      <c r="CI160" s="78"/>
      <c r="CJ160" s="78"/>
      <c r="CK160" s="78"/>
      <c r="CL160" s="78"/>
    </row>
    <row r="161" spans="5:90" s="354" customFormat="1" x14ac:dyDescent="0.2">
      <c r="E161" s="1877"/>
      <c r="F161" s="1877"/>
      <c r="G161" s="1877"/>
      <c r="H161" s="1877"/>
      <c r="I161" s="1877"/>
      <c r="J161" s="1877"/>
      <c r="K161" s="1877"/>
      <c r="L161" s="1877"/>
      <c r="M161" s="1877"/>
      <c r="N161" s="1877"/>
      <c r="O161" s="1877"/>
      <c r="P161" s="1877"/>
      <c r="BN161" s="546"/>
      <c r="BO161" s="546"/>
      <c r="BP161" s="546"/>
      <c r="BQ161" s="546"/>
      <c r="BR161" s="546"/>
      <c r="BS161" s="546"/>
      <c r="BT161" s="546"/>
      <c r="BU161" s="546"/>
      <c r="BV161" s="546"/>
      <c r="BW161" s="546"/>
      <c r="BX161" s="546"/>
      <c r="BY161" s="546"/>
      <c r="BZ161" s="546"/>
      <c r="CA161" s="84"/>
      <c r="CB161" s="84"/>
      <c r="CC161" s="84"/>
      <c r="CD161" s="84"/>
      <c r="CE161" s="84"/>
      <c r="CF161" s="84"/>
      <c r="CG161" s="84"/>
      <c r="CH161" s="84"/>
      <c r="CI161" s="84"/>
      <c r="CJ161" s="84"/>
      <c r="CK161" s="84"/>
      <c r="CL161" s="84"/>
    </row>
    <row r="162" spans="5:90" s="354" customFormat="1" x14ac:dyDescent="0.2">
      <c r="E162" s="1877"/>
      <c r="F162" s="1877"/>
      <c r="G162" s="1877"/>
      <c r="H162" s="1877"/>
      <c r="I162" s="1877"/>
      <c r="J162" s="1877"/>
      <c r="K162" s="1877"/>
      <c r="L162" s="1877"/>
      <c r="M162" s="1877"/>
      <c r="N162" s="1877"/>
      <c r="O162" s="1877"/>
      <c r="P162" s="1877"/>
      <c r="BN162" s="1263"/>
      <c r="BO162" s="1263"/>
      <c r="BP162" s="1263"/>
      <c r="BQ162" s="1263"/>
      <c r="BR162" s="1263"/>
      <c r="BS162" s="1263"/>
      <c r="BT162" s="1263"/>
      <c r="BU162" s="1263"/>
      <c r="BV162" s="1263"/>
      <c r="BW162" s="1263"/>
      <c r="BX162" s="1263"/>
      <c r="BY162" s="1263"/>
      <c r="BZ162" s="1263"/>
      <c r="CA162" s="84"/>
      <c r="CB162" s="84"/>
      <c r="CC162" s="84"/>
      <c r="CD162" s="84"/>
      <c r="CE162" s="84"/>
      <c r="CF162" s="84"/>
      <c r="CG162" s="84"/>
      <c r="CH162" s="84"/>
      <c r="CI162" s="84"/>
      <c r="CJ162" s="84"/>
      <c r="CK162" s="84"/>
      <c r="CL162" s="84"/>
    </row>
    <row r="163" spans="5:90" s="354" customFormat="1" x14ac:dyDescent="0.2">
      <c r="E163" s="1877"/>
      <c r="F163" s="1877"/>
      <c r="G163" s="1877"/>
      <c r="H163" s="1877"/>
      <c r="I163" s="1877"/>
      <c r="J163" s="1877"/>
      <c r="K163" s="1877"/>
      <c r="L163" s="1877"/>
      <c r="M163" s="1877"/>
      <c r="N163" s="1877"/>
      <c r="O163" s="1877"/>
      <c r="P163" s="1877"/>
      <c r="BN163" s="1263"/>
      <c r="BO163" s="1263"/>
      <c r="BP163" s="1263"/>
      <c r="BQ163" s="1263"/>
      <c r="BR163" s="1263"/>
      <c r="BS163" s="1263"/>
      <c r="BT163" s="1263"/>
      <c r="BU163" s="1263"/>
      <c r="BV163" s="1263"/>
      <c r="BW163" s="1263"/>
      <c r="BX163" s="1263"/>
      <c r="BY163" s="1263"/>
      <c r="BZ163" s="1263"/>
      <c r="CA163" s="84"/>
      <c r="CB163" s="84"/>
      <c r="CC163" s="84"/>
      <c r="CD163" s="84"/>
      <c r="CE163" s="84"/>
      <c r="CF163" s="84"/>
      <c r="CG163" s="84"/>
      <c r="CH163" s="84"/>
      <c r="CI163" s="84"/>
      <c r="CJ163" s="84"/>
      <c r="CK163" s="84"/>
      <c r="CL163" s="84"/>
    </row>
    <row r="164" spans="5:90" s="354" customFormat="1" x14ac:dyDescent="0.2">
      <c r="BN164" s="546"/>
      <c r="BO164" s="546"/>
      <c r="BP164" s="546"/>
      <c r="BQ164" s="546"/>
      <c r="BR164" s="546"/>
      <c r="BS164" s="546"/>
      <c r="BT164" s="546"/>
      <c r="BU164" s="546"/>
      <c r="BV164" s="546"/>
      <c r="BW164" s="546"/>
      <c r="BX164" s="546"/>
      <c r="BY164" s="546"/>
      <c r="BZ164" s="546"/>
      <c r="CA164" s="84"/>
      <c r="CB164" s="84"/>
      <c r="CC164" s="84"/>
      <c r="CD164" s="84"/>
      <c r="CE164" s="84"/>
      <c r="CF164" s="84"/>
      <c r="CG164" s="84"/>
      <c r="CH164" s="84"/>
      <c r="CI164" s="84"/>
      <c r="CJ164" s="84"/>
      <c r="CK164" s="84"/>
      <c r="CL164" s="84"/>
    </row>
    <row r="165" spans="5:90" s="354" customFormat="1" x14ac:dyDescent="0.2">
      <c r="BN165" s="1263"/>
      <c r="BO165" s="1263"/>
      <c r="BP165" s="1263"/>
      <c r="BQ165" s="1263"/>
      <c r="BR165" s="1263"/>
      <c r="BS165" s="1263"/>
      <c r="BT165" s="1263"/>
      <c r="BU165" s="1263"/>
      <c r="BV165" s="1263"/>
      <c r="BW165" s="1263"/>
      <c r="BX165" s="1263"/>
      <c r="BY165" s="1263"/>
      <c r="BZ165" s="1263"/>
      <c r="CA165" s="78"/>
      <c r="CB165" s="78"/>
      <c r="CC165" s="78"/>
      <c r="CD165" s="78"/>
      <c r="CE165" s="78"/>
      <c r="CF165" s="78"/>
      <c r="CG165" s="78"/>
      <c r="CH165" s="78"/>
      <c r="CI165" s="78"/>
      <c r="CJ165" s="78"/>
      <c r="CK165" s="78"/>
      <c r="CL165" s="78"/>
    </row>
    <row r="166" spans="5:90" s="354" customFormat="1" x14ac:dyDescent="0.2">
      <c r="E166" s="2247"/>
      <c r="F166" s="2247"/>
      <c r="G166" s="2247"/>
      <c r="H166" s="2247"/>
      <c r="I166" s="2247"/>
      <c r="J166" s="2247"/>
      <c r="K166" s="2247"/>
      <c r="L166" s="2247"/>
      <c r="M166" s="2247"/>
      <c r="N166" s="2247"/>
      <c r="O166" s="2247"/>
      <c r="P166" s="2247"/>
      <c r="BN166" s="1263"/>
      <c r="BO166" s="1263"/>
      <c r="BP166" s="1263"/>
      <c r="BQ166" s="1263"/>
      <c r="BR166" s="1263"/>
      <c r="BS166" s="1263"/>
      <c r="BT166" s="1263"/>
      <c r="BU166" s="1263"/>
      <c r="BV166" s="1263"/>
      <c r="BW166" s="1263"/>
      <c r="BX166" s="1263"/>
      <c r="BY166" s="1263"/>
      <c r="BZ166" s="1263"/>
      <c r="CA166" s="84"/>
      <c r="CB166" s="84"/>
      <c r="CC166" s="84"/>
      <c r="CD166" s="84"/>
      <c r="CE166" s="84"/>
      <c r="CF166" s="84"/>
      <c r="CG166" s="84"/>
      <c r="CH166" s="84"/>
      <c r="CI166" s="84"/>
      <c r="CJ166" s="84"/>
      <c r="CK166" s="84"/>
      <c r="CL166" s="84"/>
    </row>
    <row r="167" spans="5:90" s="354" customFormat="1" x14ac:dyDescent="0.2">
      <c r="BN167" s="546"/>
      <c r="BO167" s="546"/>
      <c r="BP167" s="546"/>
      <c r="BQ167" s="546"/>
      <c r="BR167" s="546"/>
      <c r="BS167" s="546"/>
      <c r="BT167" s="546"/>
      <c r="BU167" s="546"/>
      <c r="BV167" s="546"/>
      <c r="BW167" s="546"/>
      <c r="BX167" s="546"/>
      <c r="BY167" s="546"/>
      <c r="BZ167" s="546"/>
      <c r="CA167" s="84"/>
      <c r="CB167" s="84"/>
      <c r="CC167" s="84"/>
      <c r="CD167" s="84"/>
      <c r="CE167" s="84"/>
      <c r="CF167" s="84"/>
      <c r="CG167" s="84"/>
      <c r="CH167" s="84"/>
      <c r="CI167" s="84"/>
      <c r="CJ167" s="84"/>
      <c r="CK167" s="84"/>
      <c r="CL167" s="84"/>
    </row>
    <row r="168" spans="5:90" s="354" customFormat="1" x14ac:dyDescent="0.2">
      <c r="E168" s="1878"/>
      <c r="F168" s="1878"/>
      <c r="G168" s="1878"/>
      <c r="H168" s="1878"/>
      <c r="I168" s="1878"/>
      <c r="J168" s="1878"/>
      <c r="K168" s="1878"/>
      <c r="L168" s="1878"/>
      <c r="M168" s="1878"/>
      <c r="N168" s="1878"/>
      <c r="O168" s="1878"/>
      <c r="P168" s="1878"/>
      <c r="BN168" s="1263"/>
      <c r="BO168" s="1263"/>
      <c r="BP168" s="1263"/>
      <c r="BQ168" s="1263"/>
      <c r="BR168" s="1263"/>
      <c r="BS168" s="1263"/>
      <c r="BT168" s="1263"/>
      <c r="BU168" s="1263"/>
      <c r="BV168" s="1263"/>
      <c r="BW168" s="1263"/>
      <c r="BX168" s="1263"/>
      <c r="BY168" s="1263"/>
      <c r="BZ168" s="1263"/>
      <c r="CA168" s="78"/>
      <c r="CB168" s="78"/>
      <c r="CC168" s="78"/>
      <c r="CD168" s="78"/>
      <c r="CE168" s="78"/>
      <c r="CF168" s="78"/>
      <c r="CG168" s="78"/>
      <c r="CH168" s="78"/>
      <c r="CI168" s="78"/>
      <c r="CJ168" s="78"/>
      <c r="CK168" s="78"/>
      <c r="CL168" s="78"/>
    </row>
    <row r="169" spans="5:90" s="354" customFormat="1" x14ac:dyDescent="0.2">
      <c r="E169" s="1878"/>
      <c r="F169" s="1878"/>
      <c r="G169" s="1878"/>
      <c r="H169" s="1878"/>
      <c r="I169" s="1878"/>
      <c r="J169" s="1878"/>
      <c r="K169" s="1878"/>
      <c r="L169" s="1878"/>
      <c r="M169" s="1878"/>
      <c r="N169" s="1878"/>
      <c r="O169" s="1878"/>
      <c r="P169" s="1878"/>
      <c r="BN169" s="1263"/>
      <c r="BO169" s="1263"/>
      <c r="BP169" s="1263"/>
      <c r="BQ169" s="1263"/>
      <c r="BR169" s="1263"/>
      <c r="BS169" s="1263"/>
      <c r="BT169" s="1263"/>
      <c r="BU169" s="1263"/>
      <c r="BV169" s="1263"/>
      <c r="BW169" s="1263"/>
      <c r="BX169" s="1263"/>
      <c r="BY169" s="1263"/>
      <c r="BZ169" s="1263"/>
      <c r="CA169" s="78"/>
      <c r="CB169" s="78"/>
      <c r="CC169" s="78"/>
      <c r="CD169" s="78"/>
      <c r="CE169" s="78"/>
      <c r="CF169" s="78"/>
      <c r="CG169" s="78"/>
      <c r="CH169" s="78"/>
      <c r="CI169" s="78"/>
      <c r="CJ169" s="78"/>
      <c r="CK169" s="78"/>
      <c r="CL169" s="78"/>
    </row>
    <row r="170" spans="5:90" s="354" customFormat="1" x14ac:dyDescent="0.2">
      <c r="E170" s="1878"/>
      <c r="F170" s="1878"/>
      <c r="G170" s="1878"/>
      <c r="H170" s="1878"/>
      <c r="I170" s="1878"/>
      <c r="J170" s="1878"/>
      <c r="K170" s="1878"/>
      <c r="L170" s="1878"/>
      <c r="M170" s="1878"/>
      <c r="N170" s="1878"/>
      <c r="O170" s="1878"/>
      <c r="P170" s="1878"/>
      <c r="BN170" s="1263"/>
      <c r="BO170" s="1263"/>
      <c r="BP170" s="1263"/>
      <c r="BQ170" s="1263"/>
      <c r="BR170" s="1263"/>
      <c r="BS170" s="1263"/>
      <c r="BT170" s="1263"/>
      <c r="BU170" s="1263"/>
      <c r="BV170" s="1263"/>
      <c r="BW170" s="1263"/>
      <c r="BX170" s="1263"/>
      <c r="BY170" s="1263"/>
      <c r="BZ170" s="1263"/>
      <c r="CA170" s="84"/>
      <c r="CB170" s="84"/>
      <c r="CC170" s="84"/>
      <c r="CD170" s="84"/>
      <c r="CE170" s="84"/>
      <c r="CF170" s="84"/>
      <c r="CG170" s="84"/>
      <c r="CH170" s="84"/>
      <c r="CI170" s="84"/>
      <c r="CJ170" s="84"/>
      <c r="CK170" s="84"/>
      <c r="CL170" s="84"/>
    </row>
    <row r="171" spans="5:90" s="354" customFormat="1" x14ac:dyDescent="0.2">
      <c r="E171" s="1878"/>
      <c r="F171" s="1878"/>
      <c r="G171" s="1878"/>
      <c r="H171" s="1878"/>
      <c r="I171" s="1878"/>
      <c r="J171" s="1878"/>
      <c r="K171" s="1878"/>
      <c r="L171" s="1878"/>
      <c r="M171" s="1878"/>
      <c r="N171" s="1878"/>
      <c r="O171" s="1878"/>
      <c r="P171" s="1878"/>
      <c r="BN171" s="546"/>
      <c r="BO171" s="546"/>
      <c r="BP171" s="546"/>
      <c r="BQ171" s="546"/>
      <c r="BR171" s="546"/>
      <c r="BS171" s="546"/>
      <c r="BT171" s="546"/>
      <c r="BU171" s="546"/>
      <c r="BV171" s="546"/>
      <c r="BW171" s="546"/>
      <c r="BX171" s="546"/>
      <c r="BY171" s="546"/>
      <c r="BZ171" s="546"/>
      <c r="CA171" s="84"/>
      <c r="CB171" s="84"/>
      <c r="CC171" s="84"/>
      <c r="CD171" s="84"/>
      <c r="CE171" s="84"/>
      <c r="CF171" s="84"/>
      <c r="CG171" s="84"/>
      <c r="CH171" s="84"/>
      <c r="CI171" s="84"/>
      <c r="CJ171" s="84"/>
      <c r="CK171" s="84"/>
      <c r="CL171" s="84"/>
    </row>
    <row r="172" spans="5:90" s="354" customFormat="1" x14ac:dyDescent="0.2">
      <c r="E172" s="1878"/>
      <c r="F172" s="1878"/>
      <c r="G172" s="1878"/>
      <c r="H172" s="1878"/>
      <c r="I172" s="1878"/>
      <c r="J172" s="1878"/>
      <c r="K172" s="1878"/>
      <c r="L172" s="1878"/>
      <c r="M172" s="1878"/>
      <c r="N172" s="1878"/>
      <c r="O172" s="1878"/>
      <c r="P172" s="1878"/>
      <c r="BN172" s="1263"/>
      <c r="BO172" s="1263"/>
      <c r="BP172" s="1263"/>
      <c r="BQ172" s="1263"/>
      <c r="BR172" s="1263"/>
      <c r="BS172" s="1263"/>
      <c r="BT172" s="1263"/>
      <c r="BU172" s="1263"/>
      <c r="BV172" s="1263"/>
      <c r="BW172" s="1263"/>
      <c r="BX172" s="1263"/>
      <c r="BY172" s="1263"/>
      <c r="BZ172" s="1263"/>
      <c r="CA172" s="78"/>
      <c r="CB172" s="78"/>
      <c r="CC172" s="78"/>
      <c r="CD172" s="78"/>
      <c r="CE172" s="78"/>
      <c r="CF172" s="78"/>
      <c r="CG172" s="78"/>
      <c r="CH172" s="78"/>
      <c r="CI172" s="78"/>
      <c r="CJ172" s="78"/>
      <c r="CK172" s="78"/>
      <c r="CL172" s="78"/>
    </row>
    <row r="173" spans="5:90" s="354" customFormat="1" x14ac:dyDescent="0.2">
      <c r="E173" s="1878"/>
      <c r="F173" s="1878"/>
      <c r="G173" s="1878"/>
      <c r="H173" s="1878"/>
      <c r="I173" s="1878"/>
      <c r="J173" s="1878"/>
      <c r="K173" s="1878"/>
      <c r="L173" s="1878"/>
      <c r="M173" s="1878"/>
      <c r="N173" s="1878"/>
      <c r="O173" s="1878"/>
      <c r="P173" s="1878"/>
      <c r="BN173" s="1263"/>
      <c r="BO173" s="1263"/>
      <c r="BP173" s="1263"/>
      <c r="BQ173" s="1263"/>
      <c r="BR173" s="1263"/>
      <c r="BS173" s="1263"/>
      <c r="BT173" s="1263"/>
      <c r="BU173" s="1263"/>
      <c r="BV173" s="1263"/>
      <c r="BW173" s="1263"/>
      <c r="BX173" s="1263"/>
      <c r="BY173" s="1263"/>
      <c r="BZ173" s="1263"/>
      <c r="CA173" s="84"/>
      <c r="CB173" s="84"/>
      <c r="CC173" s="84"/>
      <c r="CD173" s="84"/>
      <c r="CE173" s="84"/>
      <c r="CF173" s="84"/>
      <c r="CG173" s="84"/>
      <c r="CH173" s="84"/>
      <c r="CI173" s="84"/>
      <c r="CJ173" s="84"/>
      <c r="CK173" s="84"/>
      <c r="CL173" s="84"/>
    </row>
    <row r="174" spans="5:90" s="354" customFormat="1" x14ac:dyDescent="0.2">
      <c r="E174" s="1878"/>
      <c r="F174" s="1878"/>
      <c r="G174" s="1878"/>
      <c r="H174" s="1878"/>
      <c r="I174" s="1878"/>
      <c r="J174" s="1878"/>
      <c r="K174" s="1878"/>
      <c r="L174" s="1878"/>
      <c r="M174" s="1878"/>
      <c r="N174" s="1878"/>
      <c r="O174" s="1878"/>
      <c r="P174" s="1878"/>
      <c r="BN174" s="1263"/>
      <c r="BO174" s="1263"/>
      <c r="BP174" s="1263"/>
      <c r="BQ174" s="1263"/>
      <c r="BR174" s="1263"/>
      <c r="BS174" s="1263"/>
      <c r="BT174" s="1263"/>
      <c r="BU174" s="1263"/>
      <c r="BV174" s="1263"/>
      <c r="BW174" s="1263"/>
      <c r="BX174" s="1263"/>
      <c r="BY174" s="1263"/>
      <c r="BZ174" s="1263"/>
      <c r="CA174" s="84"/>
      <c r="CB174" s="84"/>
      <c r="CC174" s="84"/>
      <c r="CD174" s="84"/>
      <c r="CE174" s="84"/>
      <c r="CF174" s="84"/>
      <c r="CG174" s="84"/>
      <c r="CH174" s="84"/>
      <c r="CI174" s="84"/>
      <c r="CJ174" s="84"/>
      <c r="CK174" s="84"/>
      <c r="CL174" s="84"/>
    </row>
    <row r="175" spans="5:90" s="354" customFormat="1" x14ac:dyDescent="0.2">
      <c r="E175" s="1878"/>
      <c r="F175" s="1878"/>
      <c r="G175" s="1878"/>
      <c r="H175" s="1878"/>
      <c r="I175" s="1878"/>
      <c r="J175" s="1878"/>
      <c r="K175" s="1878"/>
      <c r="L175" s="1878"/>
      <c r="M175" s="1878"/>
      <c r="N175" s="1878"/>
      <c r="O175" s="1878"/>
      <c r="P175" s="1878"/>
      <c r="BN175" s="546"/>
      <c r="BO175" s="546"/>
      <c r="BP175" s="546"/>
      <c r="BQ175" s="546"/>
      <c r="BR175" s="546"/>
      <c r="BS175" s="546"/>
      <c r="BT175" s="546"/>
      <c r="BU175" s="546"/>
      <c r="BV175" s="546"/>
      <c r="BW175" s="546"/>
      <c r="BX175" s="546"/>
      <c r="BY175" s="546"/>
      <c r="BZ175" s="546"/>
      <c r="CA175" s="84"/>
      <c r="CB175" s="84"/>
      <c r="CC175" s="84"/>
      <c r="CD175" s="84"/>
      <c r="CE175" s="84"/>
      <c r="CF175" s="84"/>
      <c r="CG175" s="84"/>
      <c r="CH175" s="84"/>
      <c r="CI175" s="84"/>
      <c r="CJ175" s="84"/>
      <c r="CK175" s="84"/>
      <c r="CL175" s="84"/>
    </row>
    <row r="176" spans="5:90" s="354" customFormat="1" x14ac:dyDescent="0.2">
      <c r="E176" s="1878"/>
      <c r="F176" s="1878"/>
      <c r="G176" s="1878"/>
      <c r="H176" s="1878"/>
      <c r="I176" s="1878"/>
      <c r="J176" s="1878"/>
      <c r="K176" s="1878"/>
      <c r="L176" s="1878"/>
      <c r="M176" s="1878"/>
      <c r="N176" s="1878"/>
      <c r="O176" s="1878"/>
      <c r="P176" s="1878"/>
      <c r="BN176" s="546"/>
      <c r="BO176" s="546"/>
      <c r="BP176" s="867"/>
      <c r="BQ176" s="867"/>
      <c r="BR176" s="867"/>
      <c r="BS176" s="867"/>
      <c r="BT176" s="867"/>
      <c r="BU176" s="867"/>
      <c r="BV176" s="867"/>
      <c r="BW176" s="867"/>
      <c r="BX176" s="867"/>
      <c r="BY176" s="867"/>
      <c r="BZ176" s="867"/>
      <c r="CA176" s="92"/>
      <c r="CB176" s="92"/>
      <c r="CC176" s="92"/>
      <c r="CD176" s="92"/>
      <c r="CE176" s="92"/>
      <c r="CF176" s="92"/>
      <c r="CG176" s="92"/>
      <c r="CH176" s="92"/>
      <c r="CI176" s="92"/>
      <c r="CJ176" s="92"/>
      <c r="CK176" s="92"/>
      <c r="CL176" s="92"/>
    </row>
    <row r="177" spans="5:90" s="354" customFormat="1" x14ac:dyDescent="0.2">
      <c r="E177" s="1878"/>
      <c r="F177" s="1878"/>
      <c r="G177" s="1878"/>
      <c r="H177" s="1878"/>
      <c r="I177" s="1878"/>
      <c r="J177" s="1878"/>
      <c r="K177" s="1878"/>
      <c r="L177" s="1878"/>
      <c r="M177" s="1878"/>
      <c r="N177" s="1878"/>
      <c r="O177" s="1878"/>
      <c r="P177" s="1878"/>
      <c r="BN177" s="546"/>
      <c r="BO177" s="546"/>
      <c r="BP177" s="546"/>
      <c r="BQ177" s="546"/>
      <c r="BR177" s="546"/>
      <c r="BS177" s="546"/>
      <c r="BT177" s="546"/>
      <c r="BU177" s="546"/>
      <c r="BV177" s="546"/>
      <c r="BW177" s="546"/>
      <c r="BX177" s="546"/>
      <c r="BY177" s="546"/>
      <c r="BZ177" s="546"/>
      <c r="CA177" s="84"/>
      <c r="CB177" s="84"/>
      <c r="CC177" s="84"/>
      <c r="CD177" s="84"/>
      <c r="CE177" s="84"/>
      <c r="CF177" s="84"/>
      <c r="CG177" s="84"/>
      <c r="CH177" s="84"/>
      <c r="CI177" s="84"/>
      <c r="CJ177" s="84"/>
      <c r="CK177" s="84"/>
      <c r="CL177" s="84"/>
    </row>
    <row r="178" spans="5:90" s="354" customFormat="1" x14ac:dyDescent="0.2">
      <c r="E178" s="1878"/>
      <c r="F178" s="1878"/>
      <c r="G178" s="1878"/>
      <c r="H178" s="1878"/>
      <c r="I178" s="1878"/>
      <c r="J178" s="1878"/>
      <c r="K178" s="1878"/>
      <c r="L178" s="1878"/>
      <c r="M178" s="1878"/>
      <c r="N178" s="1878"/>
      <c r="O178" s="1878"/>
      <c r="P178" s="1878"/>
      <c r="BN178" s="546"/>
      <c r="BO178" s="546"/>
      <c r="BP178" s="867"/>
      <c r="BQ178" s="867"/>
      <c r="BR178" s="867"/>
      <c r="BS178" s="867"/>
      <c r="BT178" s="867"/>
      <c r="BU178" s="867"/>
      <c r="BV178" s="867"/>
      <c r="BW178" s="867"/>
      <c r="BX178" s="867"/>
      <c r="BY178" s="867"/>
      <c r="BZ178" s="867"/>
      <c r="CA178" s="92"/>
      <c r="CB178" s="92"/>
      <c r="CC178" s="92"/>
      <c r="CD178" s="92"/>
      <c r="CE178" s="92"/>
      <c r="CF178" s="92"/>
      <c r="CG178" s="92"/>
      <c r="CH178" s="92"/>
      <c r="CI178" s="92"/>
      <c r="CJ178" s="92"/>
      <c r="CK178" s="92"/>
      <c r="CL178" s="92"/>
    </row>
    <row r="179" spans="5:90" s="354" customFormat="1" x14ac:dyDescent="0.2">
      <c r="E179" s="1878"/>
      <c r="F179" s="1878"/>
      <c r="G179" s="1878"/>
      <c r="H179" s="1878"/>
      <c r="I179" s="1878"/>
      <c r="J179" s="1878"/>
      <c r="K179" s="1878"/>
      <c r="L179" s="1878"/>
      <c r="M179" s="1878"/>
      <c r="N179" s="1878"/>
      <c r="O179" s="1878"/>
      <c r="P179" s="1878"/>
      <c r="BN179" s="546"/>
      <c r="BO179" s="546"/>
      <c r="BP179" s="546"/>
      <c r="BQ179" s="546"/>
      <c r="BR179" s="546"/>
      <c r="BS179" s="546"/>
      <c r="BT179" s="546"/>
      <c r="BU179" s="546"/>
      <c r="BV179" s="546"/>
      <c r="BW179" s="546"/>
      <c r="BX179" s="546"/>
      <c r="BY179" s="546"/>
      <c r="BZ179" s="546"/>
      <c r="CA179" s="84"/>
      <c r="CB179" s="84"/>
      <c r="CC179" s="84"/>
      <c r="CD179" s="84"/>
      <c r="CE179" s="84"/>
      <c r="CF179" s="84"/>
      <c r="CG179" s="84"/>
      <c r="CH179" s="84"/>
      <c r="CI179" s="84"/>
      <c r="CJ179" s="84"/>
      <c r="CK179" s="84"/>
      <c r="CL179" s="84"/>
    </row>
    <row r="180" spans="5:90" s="354" customFormat="1" x14ac:dyDescent="0.2">
      <c r="E180" s="1878"/>
      <c r="F180" s="1878"/>
      <c r="G180" s="1878"/>
      <c r="H180" s="1878"/>
      <c r="I180" s="1878"/>
      <c r="J180" s="1878"/>
      <c r="K180" s="1878"/>
      <c r="L180" s="1878"/>
      <c r="M180" s="1878"/>
      <c r="N180" s="1878"/>
      <c r="O180" s="1878"/>
      <c r="P180" s="1878"/>
      <c r="BN180" s="546"/>
      <c r="BO180" s="546"/>
      <c r="BP180" s="546"/>
      <c r="BQ180" s="546"/>
      <c r="BR180" s="546"/>
      <c r="BS180" s="546"/>
      <c r="BT180" s="546"/>
      <c r="BU180" s="546"/>
      <c r="BV180" s="546"/>
      <c r="BW180" s="546"/>
      <c r="BX180" s="546"/>
      <c r="BY180" s="546"/>
      <c r="BZ180" s="546"/>
      <c r="CA180" s="84"/>
      <c r="CB180" s="84"/>
      <c r="CC180" s="84"/>
      <c r="CD180" s="84"/>
      <c r="CE180" s="84"/>
      <c r="CF180" s="84"/>
      <c r="CG180" s="84"/>
      <c r="CH180" s="84"/>
      <c r="CI180" s="84"/>
      <c r="CJ180" s="84"/>
      <c r="CK180" s="84"/>
      <c r="CL180" s="84"/>
    </row>
    <row r="181" spans="5:90" s="354" customFormat="1" x14ac:dyDescent="0.2">
      <c r="E181" s="1878"/>
      <c r="F181" s="1878"/>
      <c r="G181" s="1878"/>
      <c r="H181" s="1878"/>
      <c r="I181" s="1878"/>
      <c r="J181" s="1878"/>
      <c r="K181" s="1878"/>
      <c r="L181" s="1878"/>
      <c r="M181" s="1878"/>
      <c r="N181" s="1878"/>
      <c r="O181" s="1878"/>
      <c r="P181" s="1878"/>
      <c r="BN181" s="546"/>
      <c r="BO181" s="546"/>
      <c r="BP181" s="546"/>
      <c r="BQ181" s="546"/>
      <c r="BR181" s="546"/>
      <c r="BS181" s="546"/>
      <c r="BT181" s="546"/>
      <c r="BU181" s="546"/>
      <c r="BV181" s="546"/>
      <c r="BW181" s="546"/>
      <c r="BX181" s="546"/>
      <c r="BY181" s="546"/>
      <c r="BZ181" s="546"/>
      <c r="CA181" s="84"/>
      <c r="CB181" s="84"/>
      <c r="CC181" s="84"/>
      <c r="CD181" s="84"/>
      <c r="CE181" s="84"/>
      <c r="CF181" s="84"/>
      <c r="CG181" s="84"/>
      <c r="CH181" s="84"/>
      <c r="CI181" s="84"/>
      <c r="CJ181" s="84"/>
      <c r="CK181" s="84"/>
      <c r="CL181" s="84"/>
    </row>
    <row r="182" spans="5:90" s="354" customFormat="1" x14ac:dyDescent="0.2">
      <c r="E182" s="1878"/>
      <c r="F182" s="1878"/>
      <c r="G182" s="1878"/>
      <c r="H182" s="1878"/>
      <c r="I182" s="1878"/>
      <c r="J182" s="1878"/>
      <c r="K182" s="1878"/>
      <c r="L182" s="1878"/>
      <c r="M182" s="1878"/>
      <c r="N182" s="1878"/>
      <c r="O182" s="1878"/>
      <c r="P182" s="1878"/>
      <c r="BN182" s="546"/>
      <c r="BO182" s="546"/>
      <c r="BP182" s="546"/>
      <c r="BQ182" s="546"/>
      <c r="BR182" s="546"/>
      <c r="BS182" s="546"/>
      <c r="BT182" s="546"/>
      <c r="BU182" s="546"/>
      <c r="BV182" s="546"/>
      <c r="BW182" s="546"/>
      <c r="BX182" s="546"/>
      <c r="BY182" s="546"/>
      <c r="BZ182" s="546"/>
      <c r="CA182" s="84"/>
      <c r="CB182" s="84"/>
      <c r="CC182" s="84"/>
      <c r="CD182" s="84"/>
      <c r="CE182" s="84"/>
      <c r="CF182" s="84"/>
      <c r="CG182" s="84"/>
      <c r="CH182" s="84"/>
      <c r="CI182" s="84"/>
      <c r="CJ182" s="84"/>
      <c r="CK182" s="84"/>
      <c r="CL182" s="84"/>
    </row>
    <row r="183" spans="5:90" s="354" customFormat="1" x14ac:dyDescent="0.2">
      <c r="E183" s="1878"/>
      <c r="F183" s="1878"/>
      <c r="G183" s="1878"/>
      <c r="H183" s="1878"/>
      <c r="I183" s="1878"/>
      <c r="J183" s="1878"/>
      <c r="K183" s="1878"/>
      <c r="L183" s="1878"/>
      <c r="M183" s="1878"/>
      <c r="N183" s="1878"/>
      <c r="O183" s="1878"/>
      <c r="P183" s="1878"/>
      <c r="BN183" s="546"/>
      <c r="BO183" s="546"/>
      <c r="BP183" s="546"/>
      <c r="BQ183" s="546"/>
      <c r="BR183" s="546"/>
      <c r="BS183" s="546"/>
      <c r="BT183" s="546"/>
      <c r="BU183" s="546"/>
      <c r="BV183" s="546"/>
      <c r="BW183" s="546"/>
      <c r="BX183" s="546"/>
      <c r="BY183" s="546"/>
      <c r="BZ183" s="546"/>
      <c r="CA183" s="84"/>
      <c r="CB183" s="84"/>
      <c r="CC183" s="84"/>
      <c r="CD183" s="84"/>
      <c r="CE183" s="84"/>
      <c r="CF183" s="84"/>
      <c r="CG183" s="84"/>
      <c r="CH183" s="84"/>
      <c r="CI183" s="84"/>
      <c r="CJ183" s="84"/>
      <c r="CK183" s="84"/>
      <c r="CL183" s="84"/>
    </row>
    <row r="184" spans="5:90" s="354" customFormat="1" x14ac:dyDescent="0.2">
      <c r="E184" s="1878"/>
      <c r="F184" s="1878"/>
      <c r="G184" s="1878"/>
      <c r="H184" s="1878"/>
      <c r="I184" s="1878"/>
      <c r="J184" s="1878"/>
      <c r="K184" s="1878"/>
      <c r="L184" s="1878"/>
      <c r="M184" s="1878"/>
      <c r="N184" s="1878"/>
      <c r="O184" s="1878"/>
      <c r="P184" s="1878"/>
      <c r="BN184" s="546"/>
      <c r="BO184" s="546"/>
      <c r="BP184" s="546"/>
      <c r="BQ184" s="546"/>
      <c r="BR184" s="546"/>
      <c r="BS184" s="546"/>
      <c r="BT184" s="546"/>
      <c r="BU184" s="546"/>
      <c r="BV184" s="546"/>
      <c r="BW184" s="546"/>
      <c r="BX184" s="546"/>
      <c r="BY184" s="546"/>
      <c r="BZ184" s="546"/>
      <c r="CA184" s="84"/>
      <c r="CB184" s="84"/>
      <c r="CC184" s="84"/>
      <c r="CD184" s="84"/>
      <c r="CE184" s="84"/>
      <c r="CF184" s="84"/>
      <c r="CG184" s="84"/>
      <c r="CH184" s="84"/>
      <c r="CI184" s="84"/>
      <c r="CJ184" s="84"/>
      <c r="CK184" s="84"/>
      <c r="CL184" s="84"/>
    </row>
    <row r="185" spans="5:90" s="354" customFormat="1" x14ac:dyDescent="0.2">
      <c r="E185" s="1878"/>
      <c r="F185" s="1878"/>
      <c r="G185" s="1878"/>
      <c r="H185" s="1878"/>
      <c r="I185" s="1878"/>
      <c r="J185" s="1878"/>
      <c r="K185" s="1878"/>
      <c r="L185" s="1878"/>
      <c r="M185" s="1878"/>
      <c r="N185" s="1878"/>
      <c r="O185" s="1878"/>
      <c r="P185" s="1878"/>
      <c r="BN185" s="546"/>
      <c r="BO185" s="546"/>
      <c r="BP185" s="546"/>
      <c r="BQ185" s="546"/>
      <c r="BR185" s="546"/>
      <c r="BS185" s="546"/>
      <c r="BT185" s="546"/>
      <c r="BU185" s="546"/>
      <c r="BV185" s="546"/>
      <c r="BW185" s="546"/>
      <c r="BX185" s="546"/>
      <c r="BY185" s="546"/>
      <c r="BZ185" s="546"/>
      <c r="CA185" s="84"/>
      <c r="CB185" s="84"/>
      <c r="CC185" s="84"/>
      <c r="CD185" s="84"/>
      <c r="CE185" s="84"/>
      <c r="CF185" s="84"/>
      <c r="CG185" s="84"/>
      <c r="CH185" s="84"/>
      <c r="CI185" s="84"/>
      <c r="CJ185" s="84"/>
      <c r="CK185" s="84"/>
      <c r="CL185" s="84"/>
    </row>
    <row r="186" spans="5:90" s="354" customFormat="1" x14ac:dyDescent="0.2">
      <c r="E186" s="1878"/>
      <c r="F186" s="1878"/>
      <c r="G186" s="1878"/>
      <c r="H186" s="1878"/>
      <c r="I186" s="1878"/>
      <c r="J186" s="1878"/>
      <c r="K186" s="1878"/>
      <c r="L186" s="1878"/>
      <c r="M186" s="1878"/>
      <c r="N186" s="1878"/>
      <c r="O186" s="1878"/>
      <c r="P186" s="1878"/>
      <c r="BN186" s="546"/>
      <c r="BO186" s="546"/>
      <c r="BP186" s="546"/>
      <c r="BQ186" s="546"/>
      <c r="BR186" s="546"/>
      <c r="BS186" s="546"/>
      <c r="BT186" s="546"/>
      <c r="BU186" s="546"/>
      <c r="BV186" s="546"/>
      <c r="BW186" s="546"/>
      <c r="BX186" s="546"/>
      <c r="BY186" s="546"/>
      <c r="BZ186" s="546"/>
      <c r="CA186" s="84"/>
      <c r="CB186" s="84"/>
      <c r="CC186" s="84"/>
      <c r="CD186" s="84"/>
      <c r="CE186" s="84"/>
      <c r="CF186" s="84"/>
      <c r="CG186" s="84"/>
      <c r="CH186" s="84"/>
      <c r="CI186" s="84"/>
      <c r="CJ186" s="84"/>
      <c r="CK186" s="84"/>
      <c r="CL186" s="84"/>
    </row>
    <row r="187" spans="5:90" s="354" customFormat="1" x14ac:dyDescent="0.2">
      <c r="E187" s="1878"/>
      <c r="F187" s="1878"/>
      <c r="G187" s="1878"/>
      <c r="H187" s="1878"/>
      <c r="I187" s="1878"/>
      <c r="J187" s="1878"/>
      <c r="K187" s="1878"/>
      <c r="L187" s="1878"/>
      <c r="M187" s="1878"/>
      <c r="N187" s="1878"/>
      <c r="O187" s="1878"/>
      <c r="P187" s="1878"/>
      <c r="BN187" s="546"/>
      <c r="BO187" s="546"/>
      <c r="BP187" s="546"/>
      <c r="BQ187" s="546"/>
      <c r="BR187" s="546"/>
      <c r="BS187" s="546"/>
      <c r="BT187" s="546"/>
      <c r="BU187" s="546"/>
      <c r="BV187" s="546"/>
      <c r="BW187" s="546"/>
      <c r="BX187" s="546"/>
      <c r="BY187" s="546"/>
      <c r="BZ187" s="546"/>
      <c r="CA187" s="84"/>
      <c r="CB187" s="84"/>
      <c r="CC187" s="84"/>
      <c r="CD187" s="84"/>
      <c r="CE187" s="84"/>
      <c r="CF187" s="84"/>
      <c r="CG187" s="84"/>
      <c r="CH187" s="84"/>
      <c r="CI187" s="84"/>
      <c r="CJ187" s="84"/>
      <c r="CK187" s="84"/>
      <c r="CL187" s="84"/>
    </row>
    <row r="188" spans="5:90" s="354" customFormat="1" x14ac:dyDescent="0.2">
      <c r="E188" s="1878"/>
      <c r="F188" s="1878"/>
      <c r="G188" s="1878"/>
      <c r="H188" s="1878"/>
      <c r="I188" s="1878"/>
      <c r="J188" s="1878"/>
      <c r="K188" s="1878"/>
      <c r="L188" s="1878"/>
      <c r="M188" s="1878"/>
      <c r="N188" s="1878"/>
      <c r="O188" s="1878"/>
      <c r="P188" s="1878"/>
      <c r="BN188" s="546"/>
      <c r="BO188" s="546"/>
      <c r="BP188" s="546"/>
      <c r="BQ188" s="546"/>
      <c r="BR188" s="546"/>
      <c r="BS188" s="546"/>
      <c r="BT188" s="546"/>
      <c r="BU188" s="546"/>
      <c r="BV188" s="546"/>
      <c r="BW188" s="546"/>
      <c r="BX188" s="546"/>
      <c r="BY188" s="546"/>
      <c r="BZ188" s="546"/>
      <c r="CA188" s="84"/>
      <c r="CB188" s="84"/>
      <c r="CC188" s="84"/>
      <c r="CD188" s="84"/>
      <c r="CE188" s="84"/>
      <c r="CF188" s="84"/>
      <c r="CG188" s="84"/>
      <c r="CH188" s="84"/>
      <c r="CI188" s="84"/>
      <c r="CJ188" s="84"/>
      <c r="CK188" s="84"/>
      <c r="CL188" s="84"/>
    </row>
    <row r="189" spans="5:90" s="354" customFormat="1" x14ac:dyDescent="0.2">
      <c r="E189" s="1878"/>
      <c r="F189" s="1878"/>
      <c r="G189" s="1878"/>
      <c r="H189" s="1878"/>
      <c r="I189" s="1878"/>
      <c r="J189" s="1878"/>
      <c r="K189" s="1878"/>
      <c r="L189" s="1878"/>
      <c r="M189" s="1878"/>
      <c r="N189" s="1878"/>
      <c r="O189" s="1878"/>
      <c r="P189" s="1878"/>
      <c r="BN189" s="546"/>
      <c r="BO189" s="546"/>
      <c r="BP189" s="546"/>
      <c r="BQ189" s="546"/>
      <c r="BR189" s="546"/>
      <c r="BS189" s="546"/>
      <c r="BT189" s="546"/>
      <c r="BU189" s="546"/>
      <c r="BV189" s="546"/>
      <c r="BW189" s="546"/>
      <c r="BX189" s="546"/>
      <c r="BY189" s="546"/>
      <c r="BZ189" s="546"/>
      <c r="CA189" s="84"/>
      <c r="CB189" s="84"/>
      <c r="CC189" s="84"/>
      <c r="CD189" s="84"/>
      <c r="CE189" s="84"/>
      <c r="CF189" s="84"/>
      <c r="CG189" s="84"/>
      <c r="CH189" s="84"/>
      <c r="CI189" s="84"/>
      <c r="CJ189" s="84"/>
      <c r="CK189" s="84"/>
      <c r="CL189" s="84"/>
    </row>
    <row r="190" spans="5:90" s="354" customFormat="1" x14ac:dyDescent="0.2">
      <c r="E190" s="1878"/>
      <c r="F190" s="1878"/>
      <c r="G190" s="1878"/>
      <c r="H190" s="1878"/>
      <c r="I190" s="1878"/>
      <c r="J190" s="1878"/>
      <c r="K190" s="1878"/>
      <c r="L190" s="1878"/>
      <c r="M190" s="1878"/>
      <c r="N190" s="1878"/>
      <c r="O190" s="1878"/>
      <c r="P190" s="1878"/>
      <c r="BN190" s="546"/>
      <c r="BO190" s="546"/>
      <c r="BP190" s="546"/>
      <c r="BQ190" s="546"/>
      <c r="BR190" s="546"/>
      <c r="BS190" s="546"/>
      <c r="BT190" s="546"/>
      <c r="BU190" s="546"/>
      <c r="BV190" s="546"/>
      <c r="BW190" s="546"/>
      <c r="BX190" s="546"/>
      <c r="BY190" s="546"/>
      <c r="BZ190" s="546"/>
      <c r="CA190" s="84"/>
      <c r="CB190" s="84"/>
      <c r="CC190" s="84"/>
      <c r="CD190" s="84"/>
      <c r="CE190" s="84"/>
      <c r="CF190" s="84"/>
      <c r="CG190" s="84"/>
      <c r="CH190" s="84"/>
      <c r="CI190" s="84"/>
      <c r="CJ190" s="84"/>
      <c r="CK190" s="84"/>
      <c r="CL190" s="84"/>
    </row>
    <row r="191" spans="5:90" s="354" customFormat="1" x14ac:dyDescent="0.2">
      <c r="E191" s="1878"/>
      <c r="F191" s="1878"/>
      <c r="G191" s="1878"/>
      <c r="H191" s="1878"/>
      <c r="I191" s="1878"/>
      <c r="J191" s="1878"/>
      <c r="K191" s="1878"/>
      <c r="L191" s="1878"/>
      <c r="M191" s="1878"/>
      <c r="N191" s="1878"/>
      <c r="O191" s="1878"/>
      <c r="P191" s="1878"/>
      <c r="BN191" s="546"/>
      <c r="BO191" s="546"/>
      <c r="BP191" s="546"/>
      <c r="BQ191" s="546"/>
      <c r="BR191" s="546"/>
      <c r="BS191" s="546"/>
      <c r="BT191" s="546"/>
      <c r="BU191" s="546"/>
      <c r="BV191" s="546"/>
      <c r="BW191" s="546"/>
      <c r="BX191" s="546"/>
      <c r="BY191" s="546"/>
      <c r="BZ191" s="546"/>
      <c r="CA191" s="84"/>
      <c r="CB191" s="84"/>
      <c r="CC191" s="84"/>
      <c r="CD191" s="84"/>
      <c r="CE191" s="84"/>
      <c r="CF191" s="84"/>
      <c r="CG191" s="84"/>
      <c r="CH191" s="84"/>
      <c r="CI191" s="84"/>
      <c r="CJ191" s="84"/>
      <c r="CK191" s="84"/>
      <c r="CL191" s="84"/>
    </row>
    <row r="192" spans="5:90" s="354" customFormat="1" x14ac:dyDescent="0.2">
      <c r="E192" s="1878"/>
      <c r="F192" s="1878"/>
      <c r="G192" s="1878"/>
      <c r="H192" s="1878"/>
      <c r="I192" s="1878"/>
      <c r="J192" s="1878"/>
      <c r="K192" s="1878"/>
      <c r="L192" s="1878"/>
      <c r="M192" s="1878"/>
      <c r="N192" s="1878"/>
      <c r="O192" s="1878"/>
      <c r="P192" s="1878"/>
      <c r="BN192" s="546"/>
      <c r="BO192" s="546"/>
      <c r="BP192" s="546"/>
      <c r="BQ192" s="546"/>
      <c r="BR192" s="546"/>
      <c r="BS192" s="546"/>
      <c r="BT192" s="546"/>
      <c r="BU192" s="546"/>
      <c r="BV192" s="546"/>
      <c r="BW192" s="546"/>
      <c r="BX192" s="546"/>
      <c r="BY192" s="546"/>
      <c r="BZ192" s="546"/>
      <c r="CA192" s="84"/>
      <c r="CB192" s="84"/>
      <c r="CC192" s="84"/>
      <c r="CD192" s="84"/>
      <c r="CE192" s="84"/>
      <c r="CF192" s="84"/>
      <c r="CG192" s="84"/>
      <c r="CH192" s="84"/>
      <c r="CI192" s="84"/>
      <c r="CJ192" s="84"/>
      <c r="CK192" s="84"/>
      <c r="CL192" s="84"/>
    </row>
    <row r="193" spans="5:90" s="354" customFormat="1" x14ac:dyDescent="0.2">
      <c r="E193" s="1878"/>
      <c r="F193" s="1878"/>
      <c r="G193" s="1878"/>
      <c r="H193" s="1878"/>
      <c r="I193" s="1878"/>
      <c r="J193" s="1878"/>
      <c r="K193" s="1878"/>
      <c r="L193" s="1878"/>
      <c r="M193" s="1878"/>
      <c r="N193" s="1878"/>
      <c r="O193" s="1878"/>
      <c r="P193" s="1878"/>
      <c r="BN193" s="546"/>
      <c r="BO193" s="546"/>
      <c r="BP193" s="546"/>
      <c r="BQ193" s="546"/>
      <c r="BR193" s="546"/>
      <c r="BS193" s="546"/>
      <c r="BT193" s="546"/>
      <c r="BU193" s="546"/>
      <c r="BV193" s="546"/>
      <c r="BW193" s="546"/>
      <c r="BX193" s="546"/>
      <c r="BY193" s="546"/>
      <c r="BZ193" s="546"/>
      <c r="CA193" s="84"/>
      <c r="CB193" s="84"/>
      <c r="CC193" s="84"/>
      <c r="CD193" s="84"/>
      <c r="CE193" s="84"/>
      <c r="CF193" s="84"/>
      <c r="CG193" s="84"/>
      <c r="CH193" s="84"/>
      <c r="CI193" s="84"/>
      <c r="CJ193" s="84"/>
      <c r="CK193" s="84"/>
      <c r="CL193" s="84"/>
    </row>
    <row r="194" spans="5:90" s="354" customFormat="1" x14ac:dyDescent="0.2">
      <c r="E194" s="1878"/>
      <c r="F194" s="1878"/>
      <c r="G194" s="1878"/>
      <c r="H194" s="1878"/>
      <c r="I194" s="1878"/>
      <c r="J194" s="1878"/>
      <c r="K194" s="1878"/>
      <c r="L194" s="1878"/>
      <c r="M194" s="1878"/>
      <c r="N194" s="1878"/>
      <c r="O194" s="1878"/>
      <c r="P194" s="1878"/>
      <c r="BN194" s="546"/>
      <c r="BO194" s="546"/>
      <c r="BP194" s="546"/>
      <c r="BQ194" s="546"/>
      <c r="BR194" s="546"/>
      <c r="BS194" s="546"/>
      <c r="BT194" s="546"/>
      <c r="BU194" s="546"/>
      <c r="BV194" s="546"/>
      <c r="BW194" s="546"/>
      <c r="BX194" s="546"/>
      <c r="BY194" s="546"/>
      <c r="BZ194" s="546"/>
      <c r="CA194" s="84"/>
      <c r="CB194" s="84"/>
      <c r="CC194" s="84"/>
      <c r="CD194" s="84"/>
      <c r="CE194" s="84"/>
      <c r="CF194" s="84"/>
      <c r="CG194" s="84"/>
      <c r="CH194" s="84"/>
      <c r="CI194" s="84"/>
      <c r="CJ194" s="84"/>
      <c r="CK194" s="84"/>
      <c r="CL194" s="84"/>
    </row>
    <row r="195" spans="5:90" s="354" customFormat="1" x14ac:dyDescent="0.2">
      <c r="E195" s="1878"/>
      <c r="F195" s="1878"/>
      <c r="G195" s="1878"/>
      <c r="H195" s="1878"/>
      <c r="I195" s="1878"/>
      <c r="J195" s="1878"/>
      <c r="K195" s="1878"/>
      <c r="L195" s="1878"/>
      <c r="M195" s="1878"/>
      <c r="N195" s="1878"/>
      <c r="O195" s="1878"/>
      <c r="P195" s="1878"/>
      <c r="BN195" s="546"/>
      <c r="BO195" s="546"/>
      <c r="BP195" s="546"/>
      <c r="BQ195" s="546"/>
      <c r="BR195" s="546"/>
      <c r="BS195" s="546"/>
      <c r="BT195" s="546"/>
      <c r="BU195" s="546"/>
      <c r="BV195" s="546"/>
      <c r="BW195" s="546"/>
      <c r="BX195" s="546"/>
      <c r="BY195" s="546"/>
      <c r="BZ195" s="546"/>
      <c r="CA195" s="84"/>
      <c r="CB195" s="84"/>
      <c r="CC195" s="84"/>
      <c r="CD195" s="84"/>
      <c r="CE195" s="84"/>
      <c r="CF195" s="84"/>
      <c r="CG195" s="84"/>
      <c r="CH195" s="84"/>
      <c r="CI195" s="84"/>
      <c r="CJ195" s="84"/>
      <c r="CK195" s="84"/>
      <c r="CL195" s="84"/>
    </row>
    <row r="196" spans="5:90" s="354" customFormat="1" x14ac:dyDescent="0.2">
      <c r="E196" s="1878"/>
      <c r="F196" s="1878"/>
      <c r="G196" s="1878"/>
      <c r="H196" s="1878"/>
      <c r="I196" s="1878"/>
      <c r="J196" s="1878"/>
      <c r="K196" s="1878"/>
      <c r="L196" s="1878"/>
      <c r="M196" s="1878"/>
      <c r="N196" s="1878"/>
      <c r="O196" s="1878"/>
      <c r="P196" s="1878"/>
      <c r="BN196" s="546"/>
      <c r="BO196" s="546"/>
      <c r="BP196" s="546"/>
      <c r="BQ196" s="546"/>
      <c r="BR196" s="546"/>
      <c r="BS196" s="546"/>
      <c r="BT196" s="546"/>
      <c r="BU196" s="546"/>
      <c r="BV196" s="546"/>
      <c r="BW196" s="546"/>
      <c r="BX196" s="546"/>
      <c r="BY196" s="546"/>
      <c r="BZ196" s="546"/>
      <c r="CA196" s="84"/>
      <c r="CB196" s="84"/>
      <c r="CC196" s="84"/>
      <c r="CD196" s="84"/>
      <c r="CE196" s="84"/>
      <c r="CF196" s="84"/>
      <c r="CG196" s="84"/>
      <c r="CH196" s="84"/>
      <c r="CI196" s="84"/>
      <c r="CJ196" s="84"/>
      <c r="CK196" s="84"/>
      <c r="CL196" s="84"/>
    </row>
    <row r="197" spans="5:90" s="354" customFormat="1" x14ac:dyDescent="0.2">
      <c r="E197" s="1878"/>
      <c r="F197" s="1878"/>
      <c r="G197" s="1878"/>
      <c r="H197" s="1878"/>
      <c r="I197" s="1878"/>
      <c r="J197" s="1878"/>
      <c r="K197" s="1878"/>
      <c r="L197" s="1878"/>
      <c r="M197" s="1878"/>
      <c r="N197" s="1878"/>
      <c r="O197" s="1878"/>
      <c r="P197" s="1878"/>
      <c r="BN197" s="546"/>
      <c r="BO197" s="546"/>
      <c r="BP197" s="546"/>
      <c r="BQ197" s="546"/>
      <c r="BR197" s="546"/>
      <c r="BS197" s="546"/>
      <c r="BT197" s="546"/>
      <c r="BU197" s="546"/>
      <c r="BV197" s="546"/>
      <c r="BW197" s="546"/>
      <c r="BX197" s="546"/>
      <c r="BY197" s="546"/>
      <c r="BZ197" s="546"/>
      <c r="CA197" s="84"/>
      <c r="CB197" s="84"/>
      <c r="CC197" s="84"/>
      <c r="CD197" s="84"/>
      <c r="CE197" s="84"/>
      <c r="CF197" s="84"/>
      <c r="CG197" s="84"/>
      <c r="CH197" s="84"/>
      <c r="CI197" s="84"/>
      <c r="CJ197" s="84"/>
      <c r="CK197" s="84"/>
      <c r="CL197" s="84"/>
    </row>
    <row r="198" spans="5:90" s="354" customFormat="1" x14ac:dyDescent="0.2">
      <c r="E198" s="1878"/>
      <c r="F198" s="1878"/>
      <c r="G198" s="1878"/>
      <c r="H198" s="1878"/>
      <c r="I198" s="1878"/>
      <c r="J198" s="1878"/>
      <c r="K198" s="1878"/>
      <c r="L198" s="1878"/>
      <c r="M198" s="1878"/>
      <c r="N198" s="1878"/>
      <c r="O198" s="1878"/>
      <c r="P198" s="1878"/>
      <c r="BN198" s="546"/>
      <c r="BO198" s="546"/>
      <c r="BP198" s="546"/>
      <c r="BQ198" s="546"/>
      <c r="BR198" s="546"/>
      <c r="BS198" s="546"/>
      <c r="BT198" s="546"/>
      <c r="BU198" s="546"/>
      <c r="BV198" s="546"/>
      <c r="BW198" s="546"/>
      <c r="BX198" s="546"/>
      <c r="BY198" s="546"/>
      <c r="BZ198" s="546"/>
      <c r="CA198" s="84"/>
      <c r="CB198" s="84"/>
      <c r="CC198" s="84"/>
      <c r="CD198" s="84"/>
      <c r="CE198" s="84"/>
      <c r="CF198" s="84"/>
      <c r="CG198" s="84"/>
      <c r="CH198" s="84"/>
      <c r="CI198" s="84"/>
      <c r="CJ198" s="84"/>
      <c r="CK198" s="84"/>
      <c r="CL198" s="84"/>
    </row>
    <row r="199" spans="5:90" s="354" customFormat="1" x14ac:dyDescent="0.2">
      <c r="E199" s="1878"/>
      <c r="F199" s="1878"/>
      <c r="G199" s="1878"/>
      <c r="H199" s="1878"/>
      <c r="I199" s="1878"/>
      <c r="J199" s="1878"/>
      <c r="K199" s="1878"/>
      <c r="L199" s="1878"/>
      <c r="M199" s="1878"/>
      <c r="N199" s="1878"/>
      <c r="O199" s="1878"/>
      <c r="P199" s="1878"/>
      <c r="BN199" s="546"/>
      <c r="BO199" s="546"/>
      <c r="BP199" s="546"/>
      <c r="BQ199" s="546"/>
      <c r="BR199" s="546"/>
      <c r="BS199" s="546"/>
      <c r="BT199" s="546"/>
      <c r="BU199" s="546"/>
      <c r="BV199" s="546"/>
      <c r="BW199" s="546"/>
      <c r="BX199" s="546"/>
      <c r="BY199" s="546"/>
      <c r="BZ199" s="546"/>
      <c r="CA199" s="84"/>
      <c r="CB199" s="84"/>
      <c r="CC199" s="84"/>
      <c r="CD199" s="84"/>
      <c r="CE199" s="84"/>
      <c r="CF199" s="84"/>
      <c r="CG199" s="84"/>
      <c r="CH199" s="84"/>
      <c r="CI199" s="84"/>
      <c r="CJ199" s="84"/>
      <c r="CK199" s="84"/>
      <c r="CL199" s="84"/>
    </row>
    <row r="200" spans="5:90" s="354" customFormat="1" x14ac:dyDescent="0.2">
      <c r="E200" s="1878"/>
      <c r="F200" s="1878"/>
      <c r="G200" s="1878"/>
      <c r="H200" s="1878"/>
      <c r="I200" s="1878"/>
      <c r="J200" s="1878"/>
      <c r="K200" s="1878"/>
      <c r="L200" s="1878"/>
      <c r="M200" s="1878"/>
      <c r="N200" s="1878"/>
      <c r="O200" s="1878"/>
      <c r="P200" s="1878"/>
      <c r="BN200" s="546"/>
      <c r="BO200" s="546"/>
      <c r="BP200" s="546"/>
      <c r="BQ200" s="546"/>
      <c r="BR200" s="546"/>
      <c r="BS200" s="546"/>
      <c r="BT200" s="546"/>
      <c r="BU200" s="546"/>
      <c r="BV200" s="546"/>
      <c r="BW200" s="546"/>
      <c r="BX200" s="546"/>
      <c r="BY200" s="546"/>
      <c r="BZ200" s="546"/>
      <c r="CA200" s="84"/>
      <c r="CB200" s="84"/>
      <c r="CC200" s="84"/>
      <c r="CD200" s="84"/>
      <c r="CE200" s="84"/>
      <c r="CF200" s="84"/>
      <c r="CG200" s="84"/>
      <c r="CH200" s="84"/>
      <c r="CI200" s="84"/>
      <c r="CJ200" s="84"/>
      <c r="CK200" s="84"/>
      <c r="CL200" s="84"/>
    </row>
    <row r="201" spans="5:90" s="354" customFormat="1" x14ac:dyDescent="0.2">
      <c r="E201" s="1878"/>
      <c r="F201" s="1878"/>
      <c r="G201" s="1878"/>
      <c r="H201" s="1878"/>
      <c r="I201" s="1878"/>
      <c r="J201" s="1878"/>
      <c r="K201" s="1878"/>
      <c r="L201" s="1878"/>
      <c r="M201" s="1878"/>
      <c r="N201" s="1878"/>
      <c r="O201" s="1878"/>
      <c r="P201" s="1878"/>
      <c r="BN201" s="546"/>
      <c r="BO201" s="546"/>
      <c r="BP201" s="546"/>
      <c r="BQ201" s="546"/>
      <c r="BR201" s="546"/>
      <c r="BS201" s="546"/>
      <c r="BT201" s="546"/>
      <c r="BU201" s="546"/>
      <c r="BV201" s="546"/>
      <c r="BW201" s="546"/>
      <c r="BX201" s="546"/>
      <c r="BY201" s="546"/>
      <c r="BZ201" s="546"/>
      <c r="CA201" s="84"/>
      <c r="CB201" s="84"/>
      <c r="CC201" s="84"/>
      <c r="CD201" s="84"/>
      <c r="CE201" s="84"/>
      <c r="CF201" s="84"/>
      <c r="CG201" s="84"/>
      <c r="CH201" s="84"/>
      <c r="CI201" s="84"/>
      <c r="CJ201" s="84"/>
      <c r="CK201" s="84"/>
      <c r="CL201" s="84"/>
    </row>
    <row r="202" spans="5:90" s="354" customFormat="1" x14ac:dyDescent="0.2">
      <c r="E202" s="1878"/>
      <c r="F202" s="1878"/>
      <c r="G202" s="1878"/>
      <c r="H202" s="1878"/>
      <c r="I202" s="1878"/>
      <c r="J202" s="1878"/>
      <c r="K202" s="1878"/>
      <c r="L202" s="1878"/>
      <c r="M202" s="1878"/>
      <c r="N202" s="1878"/>
      <c r="O202" s="1878"/>
      <c r="P202" s="1878"/>
      <c r="BN202" s="546"/>
      <c r="BO202" s="546"/>
      <c r="BP202" s="546"/>
      <c r="BQ202" s="546"/>
      <c r="BR202" s="546"/>
      <c r="BS202" s="546"/>
      <c r="BT202" s="546"/>
      <c r="BU202" s="546"/>
      <c r="BV202" s="546"/>
      <c r="BW202" s="546"/>
      <c r="BX202" s="546"/>
      <c r="BY202" s="546"/>
      <c r="BZ202" s="546"/>
      <c r="CA202" s="84"/>
      <c r="CB202" s="84"/>
      <c r="CC202" s="84"/>
      <c r="CD202" s="84"/>
      <c r="CE202" s="84"/>
      <c r="CF202" s="84"/>
      <c r="CG202" s="84"/>
      <c r="CH202" s="84"/>
      <c r="CI202" s="84"/>
      <c r="CJ202" s="84"/>
      <c r="CK202" s="84"/>
      <c r="CL202" s="84"/>
    </row>
    <row r="203" spans="5:90" s="354" customFormat="1" x14ac:dyDescent="0.2">
      <c r="E203" s="1878"/>
      <c r="F203" s="1878"/>
      <c r="G203" s="1878"/>
      <c r="H203" s="1878"/>
      <c r="I203" s="1878"/>
      <c r="J203" s="1878"/>
      <c r="K203" s="1878"/>
      <c r="L203" s="1878"/>
      <c r="M203" s="1878"/>
      <c r="N203" s="1878"/>
      <c r="O203" s="1878"/>
      <c r="P203" s="1878"/>
      <c r="BN203" s="546"/>
      <c r="BO203" s="546"/>
      <c r="BP203" s="546"/>
      <c r="BQ203" s="546"/>
      <c r="BR203" s="546"/>
      <c r="BS203" s="546"/>
      <c r="BT203" s="546"/>
      <c r="BU203" s="546"/>
      <c r="BV203" s="546"/>
      <c r="BW203" s="546"/>
      <c r="BX203" s="546"/>
      <c r="BY203" s="546"/>
      <c r="BZ203" s="546"/>
      <c r="CA203" s="84"/>
      <c r="CB203" s="84"/>
      <c r="CC203" s="84"/>
      <c r="CD203" s="84"/>
      <c r="CE203" s="84"/>
      <c r="CF203" s="84"/>
      <c r="CG203" s="84"/>
      <c r="CH203" s="84"/>
      <c r="CI203" s="84"/>
      <c r="CJ203" s="84"/>
      <c r="CK203" s="84"/>
      <c r="CL203" s="84"/>
    </row>
    <row r="204" spans="5:90" s="354" customFormat="1" x14ac:dyDescent="0.2">
      <c r="E204" s="1878"/>
      <c r="F204" s="1878"/>
      <c r="G204" s="1878"/>
      <c r="H204" s="1878"/>
      <c r="I204" s="1878"/>
      <c r="J204" s="1878"/>
      <c r="K204" s="1878"/>
      <c r="L204" s="1878"/>
      <c r="M204" s="1878"/>
      <c r="N204" s="1878"/>
      <c r="O204" s="1878"/>
      <c r="P204" s="1878"/>
      <c r="BN204" s="546"/>
      <c r="BO204" s="546"/>
      <c r="BP204" s="546"/>
      <c r="BQ204" s="546"/>
      <c r="BR204" s="546"/>
      <c r="BS204" s="546"/>
      <c r="BT204" s="546"/>
      <c r="BU204" s="546"/>
      <c r="BV204" s="546"/>
      <c r="BW204" s="546"/>
      <c r="BX204" s="546"/>
      <c r="BY204" s="546"/>
      <c r="BZ204" s="546"/>
      <c r="CA204" s="84"/>
      <c r="CB204" s="84"/>
      <c r="CC204" s="84"/>
      <c r="CD204" s="84"/>
      <c r="CE204" s="84"/>
      <c r="CF204" s="84"/>
      <c r="CG204" s="84"/>
      <c r="CH204" s="84"/>
      <c r="CI204" s="84"/>
      <c r="CJ204" s="84"/>
      <c r="CK204" s="84"/>
      <c r="CL204" s="84"/>
    </row>
    <row r="205" spans="5:90" s="354" customFormat="1" x14ac:dyDescent="0.2">
      <c r="E205" s="1878"/>
      <c r="F205" s="1878"/>
      <c r="G205" s="1878"/>
      <c r="H205" s="1878"/>
      <c r="I205" s="1878"/>
      <c r="J205" s="1878"/>
      <c r="K205" s="1878"/>
      <c r="L205" s="1878"/>
      <c r="M205" s="1878"/>
      <c r="N205" s="1878"/>
      <c r="O205" s="1878"/>
      <c r="P205" s="1878"/>
      <c r="BN205" s="546"/>
      <c r="BO205" s="546"/>
      <c r="BP205" s="546"/>
      <c r="BQ205" s="546"/>
      <c r="BR205" s="546"/>
      <c r="BS205" s="546"/>
      <c r="BT205" s="546"/>
      <c r="BU205" s="546"/>
      <c r="BV205" s="546"/>
      <c r="BW205" s="546"/>
      <c r="BX205" s="546"/>
      <c r="BY205" s="546"/>
      <c r="BZ205" s="546"/>
      <c r="CA205" s="84"/>
      <c r="CB205" s="84"/>
      <c r="CC205" s="84"/>
      <c r="CD205" s="84"/>
      <c r="CE205" s="84"/>
      <c r="CF205" s="84"/>
      <c r="CG205" s="84"/>
      <c r="CH205" s="84"/>
      <c r="CI205" s="84"/>
      <c r="CJ205" s="84"/>
      <c r="CK205" s="84"/>
      <c r="CL205" s="84"/>
    </row>
    <row r="206" spans="5:90" s="354" customFormat="1" x14ac:dyDescent="0.2">
      <c r="E206" s="1878"/>
      <c r="F206" s="1878"/>
      <c r="G206" s="1878"/>
      <c r="H206" s="1878"/>
      <c r="I206" s="1878"/>
      <c r="J206" s="1878"/>
      <c r="K206" s="1878"/>
      <c r="L206" s="1878"/>
      <c r="M206" s="1878"/>
      <c r="N206" s="1878"/>
      <c r="O206" s="1878"/>
      <c r="P206" s="1878"/>
      <c r="BN206" s="546"/>
      <c r="BO206" s="546"/>
      <c r="BP206" s="546"/>
      <c r="BQ206" s="546"/>
      <c r="BR206" s="546"/>
      <c r="BS206" s="546"/>
      <c r="BT206" s="546"/>
      <c r="BU206" s="546"/>
      <c r="BV206" s="546"/>
      <c r="BW206" s="546"/>
      <c r="BX206" s="546"/>
      <c r="BY206" s="546"/>
      <c r="BZ206" s="546"/>
      <c r="CA206" s="84"/>
      <c r="CB206" s="84"/>
      <c r="CC206" s="84"/>
      <c r="CD206" s="84"/>
      <c r="CE206" s="84"/>
      <c r="CF206" s="84"/>
      <c r="CG206" s="84"/>
      <c r="CH206" s="84"/>
      <c r="CI206" s="84"/>
      <c r="CJ206" s="84"/>
      <c r="CK206" s="84"/>
      <c r="CL206" s="84"/>
    </row>
    <row r="207" spans="5:90" s="354" customFormat="1" x14ac:dyDescent="0.2">
      <c r="E207" s="1878"/>
      <c r="F207" s="1878"/>
      <c r="G207" s="1878"/>
      <c r="H207" s="1878"/>
      <c r="I207" s="1878"/>
      <c r="J207" s="1878"/>
      <c r="K207" s="1878"/>
      <c r="L207" s="1878"/>
      <c r="M207" s="1878"/>
      <c r="N207" s="1878"/>
      <c r="O207" s="1878"/>
      <c r="P207" s="1878"/>
      <c r="BN207" s="546"/>
      <c r="BO207" s="546"/>
      <c r="BP207" s="546"/>
      <c r="BQ207" s="546"/>
      <c r="BR207" s="546"/>
      <c r="BS207" s="546"/>
      <c r="BT207" s="546"/>
      <c r="BU207" s="546"/>
      <c r="BV207" s="546"/>
      <c r="BW207" s="546"/>
      <c r="BX207" s="546"/>
      <c r="BY207" s="546"/>
      <c r="BZ207" s="546"/>
      <c r="CA207" s="84"/>
      <c r="CB207" s="84"/>
      <c r="CC207" s="84"/>
      <c r="CD207" s="84"/>
      <c r="CE207" s="84"/>
      <c r="CF207" s="84"/>
      <c r="CG207" s="84"/>
      <c r="CH207" s="84"/>
      <c r="CI207" s="84"/>
      <c r="CJ207" s="84"/>
      <c r="CK207" s="84"/>
      <c r="CL207" s="84"/>
    </row>
    <row r="208" spans="5:90" s="354" customFormat="1" x14ac:dyDescent="0.2">
      <c r="E208" s="1878"/>
      <c r="F208" s="1878"/>
      <c r="G208" s="1878"/>
      <c r="H208" s="1878"/>
      <c r="I208" s="1878"/>
      <c r="J208" s="1878"/>
      <c r="K208" s="1878"/>
      <c r="L208" s="1878"/>
      <c r="M208" s="1878"/>
      <c r="N208" s="1878"/>
      <c r="O208" s="1878"/>
      <c r="P208" s="1878"/>
      <c r="BN208" s="546"/>
      <c r="BO208" s="546"/>
      <c r="BP208" s="546"/>
      <c r="BQ208" s="546"/>
      <c r="BR208" s="546"/>
      <c r="BS208" s="546"/>
      <c r="BT208" s="546"/>
      <c r="BU208" s="546"/>
      <c r="BV208" s="546"/>
      <c r="BW208" s="546"/>
      <c r="BX208" s="546"/>
      <c r="BY208" s="546"/>
      <c r="BZ208" s="546"/>
      <c r="CA208" s="84"/>
      <c r="CB208" s="84"/>
      <c r="CC208" s="84"/>
      <c r="CD208" s="84"/>
      <c r="CE208" s="84"/>
      <c r="CF208" s="84"/>
      <c r="CG208" s="84"/>
      <c r="CH208" s="84"/>
      <c r="CI208" s="84"/>
      <c r="CJ208" s="84"/>
      <c r="CK208" s="84"/>
      <c r="CL208" s="84"/>
    </row>
    <row r="209" spans="5:90" s="354" customFormat="1" x14ac:dyDescent="0.2">
      <c r="E209" s="1878"/>
      <c r="F209" s="1878"/>
      <c r="G209" s="1878"/>
      <c r="H209" s="1878"/>
      <c r="I209" s="1878"/>
      <c r="J209" s="1878"/>
      <c r="K209" s="1878"/>
      <c r="L209" s="1878"/>
      <c r="M209" s="1878"/>
      <c r="N209" s="1878"/>
      <c r="O209" s="1878"/>
      <c r="P209" s="1878"/>
      <c r="BN209" s="546"/>
      <c r="BO209" s="546"/>
      <c r="BP209" s="546"/>
      <c r="BQ209" s="546"/>
      <c r="BR209" s="546"/>
      <c r="BS209" s="546"/>
      <c r="BT209" s="546"/>
      <c r="BU209" s="546"/>
      <c r="BV209" s="546"/>
      <c r="BW209" s="546"/>
      <c r="BX209" s="546"/>
      <c r="BY209" s="546"/>
      <c r="BZ209" s="546"/>
      <c r="CA209" s="84"/>
      <c r="CB209" s="84"/>
      <c r="CC209" s="84"/>
      <c r="CD209" s="84"/>
      <c r="CE209" s="84"/>
      <c r="CF209" s="84"/>
      <c r="CG209" s="84"/>
      <c r="CH209" s="84"/>
      <c r="CI209" s="84"/>
      <c r="CJ209" s="84"/>
      <c r="CK209" s="84"/>
      <c r="CL209" s="84"/>
    </row>
    <row r="210" spans="5:90" s="354" customFormat="1" x14ac:dyDescent="0.2">
      <c r="E210" s="1878"/>
      <c r="F210" s="1878"/>
      <c r="G210" s="1878"/>
      <c r="H210" s="1878"/>
      <c r="I210" s="1878"/>
      <c r="J210" s="1878"/>
      <c r="K210" s="1878"/>
      <c r="L210" s="1878"/>
      <c r="M210" s="1878"/>
      <c r="N210" s="1878"/>
      <c r="O210" s="1878"/>
      <c r="P210" s="1878"/>
      <c r="BN210" s="546"/>
      <c r="BO210" s="546"/>
      <c r="BP210" s="546"/>
      <c r="BQ210" s="546"/>
      <c r="BR210" s="546"/>
      <c r="BS210" s="546"/>
      <c r="BT210" s="546"/>
      <c r="BU210" s="546"/>
      <c r="BV210" s="546"/>
      <c r="BW210" s="546"/>
      <c r="BX210" s="546"/>
      <c r="BY210" s="546"/>
      <c r="BZ210" s="546"/>
      <c r="CA210" s="84"/>
      <c r="CB210" s="84"/>
      <c r="CC210" s="84"/>
      <c r="CD210" s="84"/>
      <c r="CE210" s="84"/>
      <c r="CF210" s="84"/>
      <c r="CG210" s="84"/>
      <c r="CH210" s="84"/>
      <c r="CI210" s="84"/>
      <c r="CJ210" s="84"/>
      <c r="CK210" s="84"/>
      <c r="CL210" s="84"/>
    </row>
    <row r="211" spans="5:90" s="354" customFormat="1" x14ac:dyDescent="0.2">
      <c r="E211" s="1878"/>
      <c r="F211" s="1878"/>
      <c r="G211" s="1878"/>
      <c r="H211" s="1878"/>
      <c r="I211" s="1878"/>
      <c r="J211" s="1878"/>
      <c r="K211" s="1878"/>
      <c r="L211" s="1878"/>
      <c r="M211" s="1878"/>
      <c r="N211" s="1878"/>
      <c r="O211" s="1878"/>
      <c r="P211" s="1878"/>
      <c r="BN211" s="546"/>
      <c r="BO211" s="546"/>
      <c r="BP211" s="546"/>
      <c r="BQ211" s="546"/>
      <c r="BR211" s="546"/>
      <c r="BS211" s="546"/>
      <c r="BT211" s="546"/>
      <c r="BU211" s="546"/>
      <c r="BV211" s="546"/>
      <c r="BW211" s="546"/>
      <c r="BX211" s="546"/>
      <c r="BY211" s="546"/>
      <c r="BZ211" s="546"/>
      <c r="CA211" s="84"/>
      <c r="CB211" s="84"/>
      <c r="CC211" s="84"/>
      <c r="CD211" s="84"/>
      <c r="CE211" s="84"/>
      <c r="CF211" s="84"/>
      <c r="CG211" s="84"/>
      <c r="CH211" s="84"/>
      <c r="CI211" s="84"/>
      <c r="CJ211" s="84"/>
      <c r="CK211" s="84"/>
      <c r="CL211" s="84"/>
    </row>
    <row r="212" spans="5:90" s="354" customFormat="1" x14ac:dyDescent="0.2">
      <c r="E212" s="1878"/>
      <c r="F212" s="1878"/>
      <c r="G212" s="1878"/>
      <c r="H212" s="1878"/>
      <c r="I212" s="1878"/>
      <c r="J212" s="1878"/>
      <c r="K212" s="1878"/>
      <c r="L212" s="1878"/>
      <c r="M212" s="1878"/>
      <c r="N212" s="1878"/>
      <c r="O212" s="1878"/>
      <c r="P212" s="1878"/>
      <c r="BN212" s="546"/>
      <c r="BO212" s="546"/>
      <c r="BP212" s="546"/>
      <c r="BQ212" s="546"/>
      <c r="BR212" s="546"/>
      <c r="BS212" s="546"/>
      <c r="BT212" s="546"/>
      <c r="BU212" s="546"/>
      <c r="BV212" s="546"/>
      <c r="BW212" s="546"/>
      <c r="BX212" s="546"/>
      <c r="BY212" s="546"/>
      <c r="BZ212" s="546"/>
      <c r="CA212" s="84"/>
      <c r="CB212" s="84"/>
      <c r="CC212" s="84"/>
      <c r="CD212" s="84"/>
      <c r="CE212" s="84"/>
      <c r="CF212" s="84"/>
      <c r="CG212" s="84"/>
      <c r="CH212" s="84"/>
      <c r="CI212" s="84"/>
      <c r="CJ212" s="84"/>
      <c r="CK212" s="84"/>
      <c r="CL212" s="84"/>
    </row>
    <row r="213" spans="5:90" s="354" customFormat="1" x14ac:dyDescent="0.2">
      <c r="E213" s="1878"/>
      <c r="F213" s="1878"/>
      <c r="G213" s="1878"/>
      <c r="H213" s="1878"/>
      <c r="I213" s="1878"/>
      <c r="J213" s="1878"/>
      <c r="K213" s="1878"/>
      <c r="L213" s="1878"/>
      <c r="M213" s="1878"/>
      <c r="N213" s="1878"/>
      <c r="O213" s="1878"/>
      <c r="P213" s="1878"/>
      <c r="BN213" s="546"/>
      <c r="BO213" s="546"/>
      <c r="BP213" s="546"/>
      <c r="BQ213" s="546"/>
      <c r="BR213" s="546"/>
      <c r="BS213" s="546"/>
      <c r="BT213" s="546"/>
      <c r="BU213" s="546"/>
      <c r="BV213" s="546"/>
      <c r="BW213" s="546"/>
      <c r="BX213" s="546"/>
      <c r="BY213" s="546"/>
      <c r="BZ213" s="546"/>
      <c r="CA213" s="84"/>
      <c r="CB213" s="84"/>
      <c r="CC213" s="84"/>
      <c r="CD213" s="84"/>
      <c r="CE213" s="84"/>
      <c r="CF213" s="84"/>
      <c r="CG213" s="84"/>
      <c r="CH213" s="84"/>
      <c r="CI213" s="84"/>
      <c r="CJ213" s="84"/>
      <c r="CK213" s="84"/>
      <c r="CL213" s="84"/>
    </row>
    <row r="214" spans="5:90" s="354" customFormat="1" x14ac:dyDescent="0.2">
      <c r="E214" s="1878"/>
      <c r="F214" s="1878"/>
      <c r="G214" s="1878"/>
      <c r="H214" s="1878"/>
      <c r="I214" s="1878"/>
      <c r="J214" s="1878"/>
      <c r="K214" s="1878"/>
      <c r="L214" s="1878"/>
      <c r="M214" s="1878"/>
      <c r="N214" s="1878"/>
      <c r="O214" s="1878"/>
      <c r="P214" s="1878"/>
      <c r="BN214" s="546"/>
      <c r="BO214" s="546"/>
      <c r="BP214" s="546"/>
      <c r="BQ214" s="546"/>
      <c r="BR214" s="546"/>
      <c r="BS214" s="546"/>
      <c r="BT214" s="546"/>
      <c r="BU214" s="546"/>
      <c r="BV214" s="546"/>
      <c r="BW214" s="546"/>
      <c r="BX214" s="546"/>
      <c r="BY214" s="546"/>
      <c r="BZ214" s="546"/>
      <c r="CA214" s="84"/>
      <c r="CB214" s="84"/>
      <c r="CC214" s="84"/>
      <c r="CD214" s="84"/>
      <c r="CE214" s="84"/>
      <c r="CF214" s="84"/>
      <c r="CG214" s="84"/>
      <c r="CH214" s="84"/>
      <c r="CI214" s="84"/>
      <c r="CJ214" s="84"/>
      <c r="CK214" s="84"/>
      <c r="CL214" s="84"/>
    </row>
    <row r="215" spans="5:90" s="354" customFormat="1" x14ac:dyDescent="0.2">
      <c r="E215" s="1878"/>
      <c r="F215" s="1878"/>
      <c r="G215" s="1878"/>
      <c r="H215" s="1878"/>
      <c r="I215" s="1878"/>
      <c r="J215" s="1878"/>
      <c r="K215" s="1878"/>
      <c r="L215" s="1878"/>
      <c r="M215" s="1878"/>
      <c r="N215" s="1878"/>
      <c r="O215" s="1878"/>
      <c r="P215" s="1878"/>
      <c r="BN215" s="546"/>
      <c r="BO215" s="546"/>
      <c r="BP215" s="546"/>
      <c r="BQ215" s="546"/>
      <c r="BR215" s="546"/>
      <c r="BS215" s="546"/>
      <c r="BT215" s="546"/>
      <c r="BU215" s="546"/>
      <c r="BV215" s="546"/>
      <c r="BW215" s="546"/>
      <c r="BX215" s="546"/>
      <c r="BY215" s="546"/>
      <c r="BZ215" s="546"/>
      <c r="CA215" s="84"/>
      <c r="CB215" s="84"/>
      <c r="CC215" s="84"/>
      <c r="CD215" s="84"/>
      <c r="CE215" s="84"/>
      <c r="CF215" s="84"/>
      <c r="CG215" s="84"/>
      <c r="CH215" s="84"/>
      <c r="CI215" s="84"/>
      <c r="CJ215" s="84"/>
      <c r="CK215" s="84"/>
      <c r="CL215" s="84"/>
    </row>
    <row r="216" spans="5:90" s="354" customFormat="1" x14ac:dyDescent="0.2">
      <c r="E216" s="1878"/>
      <c r="F216" s="1878"/>
      <c r="G216" s="1878"/>
      <c r="H216" s="1878"/>
      <c r="I216" s="1878"/>
      <c r="J216" s="1878"/>
      <c r="K216" s="1878"/>
      <c r="L216" s="1878"/>
      <c r="M216" s="1878"/>
      <c r="N216" s="1878"/>
      <c r="O216" s="1878"/>
      <c r="P216" s="1878"/>
      <c r="BN216" s="546"/>
      <c r="BO216" s="546"/>
      <c r="BP216" s="546"/>
      <c r="BQ216" s="546"/>
      <c r="BR216" s="546"/>
      <c r="BS216" s="546"/>
      <c r="BT216" s="546"/>
      <c r="BU216" s="546"/>
      <c r="BV216" s="546"/>
      <c r="BW216" s="546"/>
      <c r="BX216" s="546"/>
      <c r="BY216" s="546"/>
      <c r="BZ216" s="546"/>
      <c r="CA216" s="84"/>
      <c r="CB216" s="84"/>
      <c r="CC216" s="84"/>
      <c r="CD216" s="84"/>
      <c r="CE216" s="84"/>
      <c r="CF216" s="84"/>
      <c r="CG216" s="84"/>
      <c r="CH216" s="84"/>
      <c r="CI216" s="84"/>
      <c r="CJ216" s="84"/>
      <c r="CK216" s="84"/>
      <c r="CL216" s="84"/>
    </row>
    <row r="217" spans="5:90" s="354" customFormat="1" x14ac:dyDescent="0.2">
      <c r="E217" s="1878"/>
      <c r="F217" s="1878"/>
      <c r="G217" s="1878"/>
      <c r="H217" s="1878"/>
      <c r="I217" s="1878"/>
      <c r="J217" s="1878"/>
      <c r="K217" s="1878"/>
      <c r="L217" s="1878"/>
      <c r="M217" s="1878"/>
      <c r="N217" s="1878"/>
      <c r="O217" s="1878"/>
      <c r="P217" s="1878"/>
      <c r="BN217" s="546"/>
      <c r="BO217" s="546"/>
      <c r="BP217" s="546"/>
      <c r="BQ217" s="546"/>
      <c r="BR217" s="546"/>
      <c r="BS217" s="546"/>
      <c r="BT217" s="546"/>
      <c r="BU217" s="546"/>
      <c r="BV217" s="546"/>
      <c r="BW217" s="546"/>
      <c r="BX217" s="546"/>
      <c r="BY217" s="546"/>
      <c r="BZ217" s="546"/>
      <c r="CA217" s="84"/>
      <c r="CB217" s="84"/>
      <c r="CC217" s="84"/>
      <c r="CD217" s="84"/>
      <c r="CE217" s="84"/>
      <c r="CF217" s="84"/>
      <c r="CG217" s="84"/>
      <c r="CH217" s="84"/>
      <c r="CI217" s="84"/>
      <c r="CJ217" s="84"/>
      <c r="CK217" s="84"/>
      <c r="CL217" s="84"/>
    </row>
    <row r="218" spans="5:90" s="354" customFormat="1" x14ac:dyDescent="0.2">
      <c r="E218" s="1878"/>
      <c r="F218" s="1878"/>
      <c r="G218" s="1878"/>
      <c r="H218" s="1878"/>
      <c r="I218" s="1878"/>
      <c r="J218" s="1878"/>
      <c r="K218" s="1878"/>
      <c r="L218" s="1878"/>
      <c r="M218" s="1878"/>
      <c r="N218" s="1878"/>
      <c r="O218" s="1878"/>
      <c r="P218" s="1878"/>
      <c r="BN218" s="546"/>
      <c r="BO218" s="546"/>
      <c r="BP218" s="546"/>
      <c r="BQ218" s="546"/>
      <c r="BR218" s="546"/>
      <c r="BS218" s="546"/>
      <c r="BT218" s="546"/>
      <c r="BU218" s="546"/>
      <c r="BV218" s="546"/>
      <c r="BW218" s="546"/>
      <c r="BX218" s="546"/>
      <c r="BY218" s="546"/>
      <c r="BZ218" s="546"/>
      <c r="CA218" s="84"/>
      <c r="CB218" s="84"/>
      <c r="CC218" s="84"/>
      <c r="CD218" s="84"/>
      <c r="CE218" s="84"/>
      <c r="CF218" s="84"/>
      <c r="CG218" s="84"/>
      <c r="CH218" s="84"/>
      <c r="CI218" s="84"/>
      <c r="CJ218" s="84"/>
      <c r="CK218" s="84"/>
      <c r="CL218" s="84"/>
    </row>
    <row r="219" spans="5:90" s="354" customFormat="1" x14ac:dyDescent="0.2">
      <c r="E219" s="1878"/>
      <c r="F219" s="1878"/>
      <c r="G219" s="1878"/>
      <c r="H219" s="1878"/>
      <c r="I219" s="1878"/>
      <c r="J219" s="1878"/>
      <c r="K219" s="1878"/>
      <c r="L219" s="1878"/>
      <c r="M219" s="1878"/>
      <c r="N219" s="1878"/>
      <c r="O219" s="1878"/>
      <c r="P219" s="1878"/>
      <c r="BN219" s="546"/>
      <c r="BO219" s="546"/>
      <c r="BP219" s="546"/>
      <c r="BQ219" s="546"/>
      <c r="BR219" s="546"/>
      <c r="BS219" s="546"/>
      <c r="BT219" s="546"/>
      <c r="BU219" s="546"/>
      <c r="BV219" s="546"/>
      <c r="BW219" s="546"/>
      <c r="BX219" s="546"/>
      <c r="BY219" s="546"/>
      <c r="BZ219" s="546"/>
      <c r="CA219" s="84"/>
      <c r="CB219" s="84"/>
      <c r="CC219" s="84"/>
      <c r="CD219" s="84"/>
      <c r="CE219" s="84"/>
      <c r="CF219" s="84"/>
      <c r="CG219" s="84"/>
      <c r="CH219" s="84"/>
      <c r="CI219" s="84"/>
      <c r="CJ219" s="84"/>
      <c r="CK219" s="84"/>
      <c r="CL219" s="84"/>
    </row>
    <row r="220" spans="5:90" s="354" customFormat="1" x14ac:dyDescent="0.2">
      <c r="E220" s="1878"/>
      <c r="F220" s="1878"/>
      <c r="G220" s="1878"/>
      <c r="H220" s="1878"/>
      <c r="I220" s="1878"/>
      <c r="J220" s="1878"/>
      <c r="K220" s="1878"/>
      <c r="L220" s="1878"/>
      <c r="M220" s="1878"/>
      <c r="N220" s="1878"/>
      <c r="O220" s="1878"/>
      <c r="P220" s="1878"/>
      <c r="BN220" s="546"/>
      <c r="BO220" s="546"/>
      <c r="BP220" s="546"/>
      <c r="BQ220" s="546"/>
      <c r="BR220" s="546"/>
      <c r="BS220" s="546"/>
      <c r="BT220" s="546"/>
      <c r="BU220" s="546"/>
      <c r="BV220" s="546"/>
      <c r="BW220" s="546"/>
      <c r="BX220" s="546"/>
      <c r="BY220" s="546"/>
      <c r="BZ220" s="546"/>
      <c r="CA220" s="84"/>
      <c r="CB220" s="84"/>
      <c r="CC220" s="84"/>
      <c r="CD220" s="84"/>
      <c r="CE220" s="84"/>
      <c r="CF220" s="84"/>
      <c r="CG220" s="84"/>
      <c r="CH220" s="84"/>
      <c r="CI220" s="84"/>
      <c r="CJ220" s="84"/>
      <c r="CK220" s="84"/>
      <c r="CL220" s="84"/>
    </row>
    <row r="221" spans="5:90" s="354" customFormat="1" x14ac:dyDescent="0.2">
      <c r="E221" s="1878"/>
      <c r="F221" s="1878"/>
      <c r="G221" s="1878"/>
      <c r="H221" s="1878"/>
      <c r="I221" s="1878"/>
      <c r="J221" s="1878"/>
      <c r="K221" s="1878"/>
      <c r="L221" s="1878"/>
      <c r="M221" s="1878"/>
      <c r="N221" s="1878"/>
      <c r="O221" s="1878"/>
      <c r="P221" s="1878"/>
      <c r="BN221" s="546"/>
      <c r="BO221" s="546"/>
      <c r="BP221" s="546"/>
      <c r="BQ221" s="546"/>
      <c r="BR221" s="546"/>
      <c r="BS221" s="546"/>
      <c r="BT221" s="546"/>
      <c r="BU221" s="546"/>
      <c r="BV221" s="546"/>
      <c r="BW221" s="546"/>
      <c r="BX221" s="546"/>
      <c r="BY221" s="546"/>
      <c r="BZ221" s="546"/>
      <c r="CA221" s="84"/>
      <c r="CB221" s="84"/>
      <c r="CC221" s="84"/>
      <c r="CD221" s="84"/>
      <c r="CE221" s="84"/>
      <c r="CF221" s="84"/>
      <c r="CG221" s="84"/>
      <c r="CH221" s="84"/>
      <c r="CI221" s="84"/>
      <c r="CJ221" s="84"/>
      <c r="CK221" s="84"/>
      <c r="CL221" s="84"/>
    </row>
    <row r="222" spans="5:90" s="354" customFormat="1" x14ac:dyDescent="0.2">
      <c r="E222" s="1878"/>
      <c r="F222" s="1878"/>
      <c r="G222" s="1878"/>
      <c r="H222" s="1878"/>
      <c r="I222" s="1878"/>
      <c r="J222" s="1878"/>
      <c r="K222" s="1878"/>
      <c r="L222" s="1878"/>
      <c r="M222" s="1878"/>
      <c r="N222" s="1878"/>
      <c r="O222" s="1878"/>
      <c r="P222" s="1878"/>
      <c r="BN222" s="546"/>
      <c r="BO222" s="546"/>
      <c r="BP222" s="546"/>
      <c r="BQ222" s="546"/>
      <c r="BR222" s="546"/>
      <c r="BS222" s="546"/>
      <c r="BT222" s="546"/>
      <c r="BU222" s="546"/>
      <c r="BV222" s="546"/>
      <c r="BW222" s="546"/>
      <c r="BX222" s="546"/>
      <c r="BY222" s="546"/>
      <c r="BZ222" s="546"/>
      <c r="CA222" s="84"/>
      <c r="CB222" s="84"/>
      <c r="CC222" s="84"/>
      <c r="CD222" s="84"/>
      <c r="CE222" s="84"/>
      <c r="CF222" s="84"/>
      <c r="CG222" s="84"/>
      <c r="CH222" s="84"/>
      <c r="CI222" s="84"/>
      <c r="CJ222" s="84"/>
      <c r="CK222" s="84"/>
      <c r="CL222" s="84"/>
    </row>
    <row r="223" spans="5:90" s="354" customFormat="1" x14ac:dyDescent="0.2">
      <c r="E223" s="1878"/>
      <c r="F223" s="1878"/>
      <c r="G223" s="1878"/>
      <c r="H223" s="1878"/>
      <c r="I223" s="1878"/>
      <c r="J223" s="1878"/>
      <c r="K223" s="1878"/>
      <c r="L223" s="1878"/>
      <c r="M223" s="1878"/>
      <c r="N223" s="1878"/>
      <c r="O223" s="1878"/>
      <c r="P223" s="1878"/>
      <c r="BN223" s="546"/>
      <c r="BO223" s="546"/>
      <c r="BP223" s="546"/>
      <c r="BQ223" s="546"/>
      <c r="BR223" s="546"/>
      <c r="BS223" s="546"/>
      <c r="BT223" s="546"/>
      <c r="BU223" s="546"/>
      <c r="BV223" s="546"/>
      <c r="BW223" s="546"/>
      <c r="BX223" s="546"/>
      <c r="BY223" s="546"/>
      <c r="BZ223" s="546"/>
      <c r="CA223" s="84"/>
      <c r="CB223" s="84"/>
      <c r="CC223" s="84"/>
      <c r="CD223" s="84"/>
      <c r="CE223" s="84"/>
      <c r="CF223" s="84"/>
      <c r="CG223" s="84"/>
      <c r="CH223" s="84"/>
      <c r="CI223" s="84"/>
      <c r="CJ223" s="84"/>
      <c r="CK223" s="84"/>
      <c r="CL223" s="84"/>
    </row>
    <row r="224" spans="5:90" s="354" customFormat="1" x14ac:dyDescent="0.2">
      <c r="E224" s="1878"/>
      <c r="F224" s="1878"/>
      <c r="G224" s="1878"/>
      <c r="H224" s="1878"/>
      <c r="I224" s="1878"/>
      <c r="J224" s="1878"/>
      <c r="K224" s="1878"/>
      <c r="L224" s="1878"/>
      <c r="M224" s="1878"/>
      <c r="N224" s="1878"/>
      <c r="O224" s="1878"/>
      <c r="P224" s="1878"/>
      <c r="BN224" s="546"/>
      <c r="BO224" s="546"/>
      <c r="BP224" s="546"/>
      <c r="BQ224" s="546"/>
      <c r="BR224" s="546"/>
      <c r="BS224" s="546"/>
      <c r="BT224" s="546"/>
      <c r="BU224" s="546"/>
      <c r="BV224" s="546"/>
      <c r="BW224" s="546"/>
      <c r="BX224" s="546"/>
      <c r="BY224" s="546"/>
      <c r="BZ224" s="546"/>
      <c r="CA224" s="84"/>
      <c r="CB224" s="84"/>
      <c r="CC224" s="84"/>
      <c r="CD224" s="84"/>
      <c r="CE224" s="84"/>
      <c r="CF224" s="84"/>
      <c r="CG224" s="84"/>
      <c r="CH224" s="84"/>
      <c r="CI224" s="84"/>
      <c r="CJ224" s="84"/>
      <c r="CK224" s="84"/>
      <c r="CL224" s="84"/>
    </row>
    <row r="225" spans="5:90" s="354" customFormat="1" x14ac:dyDescent="0.2">
      <c r="E225" s="1878"/>
      <c r="F225" s="1878"/>
      <c r="G225" s="1878"/>
      <c r="H225" s="1878"/>
      <c r="I225" s="1878"/>
      <c r="J225" s="1878"/>
      <c r="K225" s="1878"/>
      <c r="L225" s="1878"/>
      <c r="M225" s="1878"/>
      <c r="N225" s="1878"/>
      <c r="O225" s="1878"/>
      <c r="P225" s="1878"/>
      <c r="BN225" s="546"/>
      <c r="BO225" s="546"/>
      <c r="BP225" s="546"/>
      <c r="BQ225" s="546"/>
      <c r="BR225" s="546"/>
      <c r="BS225" s="546"/>
      <c r="BT225" s="546"/>
      <c r="BU225" s="546"/>
      <c r="BV225" s="546"/>
      <c r="BW225" s="546"/>
      <c r="BX225" s="546"/>
      <c r="BY225" s="546"/>
      <c r="BZ225" s="546"/>
      <c r="CA225" s="84"/>
      <c r="CB225" s="84"/>
      <c r="CC225" s="84"/>
      <c r="CD225" s="84"/>
      <c r="CE225" s="84"/>
      <c r="CF225" s="84"/>
      <c r="CG225" s="84"/>
      <c r="CH225" s="84"/>
      <c r="CI225" s="84"/>
      <c r="CJ225" s="84"/>
      <c r="CK225" s="84"/>
      <c r="CL225" s="84"/>
    </row>
    <row r="226" spans="5:90" s="354" customFormat="1" x14ac:dyDescent="0.2">
      <c r="E226" s="1878"/>
      <c r="F226" s="1878"/>
      <c r="G226" s="1878"/>
      <c r="H226" s="1878"/>
      <c r="I226" s="1878"/>
      <c r="J226" s="1878"/>
      <c r="K226" s="1878"/>
      <c r="L226" s="1878"/>
      <c r="M226" s="1878"/>
      <c r="N226" s="1878"/>
      <c r="O226" s="1878"/>
      <c r="P226" s="1878"/>
      <c r="BN226" s="546"/>
      <c r="BO226" s="546"/>
      <c r="BP226" s="546"/>
      <c r="BQ226" s="546"/>
      <c r="BR226" s="546"/>
      <c r="BS226" s="546"/>
      <c r="BT226" s="546"/>
      <c r="BU226" s="546"/>
      <c r="BV226" s="546"/>
      <c r="BW226" s="546"/>
      <c r="BX226" s="546"/>
      <c r="BY226" s="546"/>
      <c r="BZ226" s="546"/>
      <c r="CA226" s="84"/>
      <c r="CB226" s="84"/>
      <c r="CC226" s="84"/>
      <c r="CD226" s="84"/>
      <c r="CE226" s="84"/>
      <c r="CF226" s="84"/>
      <c r="CG226" s="84"/>
      <c r="CH226" s="84"/>
      <c r="CI226" s="84"/>
      <c r="CJ226" s="84"/>
      <c r="CK226" s="84"/>
      <c r="CL226" s="84"/>
    </row>
    <row r="227" spans="5:90" s="354" customFormat="1" x14ac:dyDescent="0.2">
      <c r="E227" s="1878"/>
      <c r="F227" s="1878"/>
      <c r="G227" s="1878"/>
      <c r="H227" s="1878"/>
      <c r="I227" s="1878"/>
      <c r="J227" s="1878"/>
      <c r="K227" s="1878"/>
      <c r="L227" s="1878"/>
      <c r="M227" s="1878"/>
      <c r="N227" s="1878"/>
      <c r="O227" s="1878"/>
      <c r="P227" s="1878"/>
      <c r="BN227" s="546"/>
      <c r="BO227" s="546"/>
      <c r="BP227" s="546"/>
      <c r="BQ227" s="546"/>
      <c r="BR227" s="546"/>
      <c r="BS227" s="546"/>
      <c r="BT227" s="546"/>
      <c r="BU227" s="546"/>
      <c r="BV227" s="546"/>
      <c r="BW227" s="546"/>
      <c r="BX227" s="546"/>
      <c r="BY227" s="546"/>
      <c r="BZ227" s="546"/>
      <c r="CA227" s="84"/>
      <c r="CB227" s="84"/>
      <c r="CC227" s="84"/>
      <c r="CD227" s="84"/>
      <c r="CE227" s="84"/>
      <c r="CF227" s="84"/>
      <c r="CG227" s="84"/>
      <c r="CH227" s="84"/>
      <c r="CI227" s="84"/>
      <c r="CJ227" s="84"/>
      <c r="CK227" s="84"/>
      <c r="CL227" s="84"/>
    </row>
    <row r="228" spans="5:90" s="354" customFormat="1" x14ac:dyDescent="0.2">
      <c r="E228" s="1878"/>
      <c r="F228" s="1878"/>
      <c r="G228" s="1878"/>
      <c r="H228" s="1878"/>
      <c r="I228" s="1878"/>
      <c r="J228" s="1878"/>
      <c r="K228" s="1878"/>
      <c r="L228" s="1878"/>
      <c r="M228" s="1878"/>
      <c r="N228" s="1878"/>
      <c r="O228" s="1878"/>
      <c r="P228" s="1878"/>
      <c r="BN228" s="546"/>
      <c r="BO228" s="546"/>
      <c r="BP228" s="546"/>
      <c r="BQ228" s="546"/>
      <c r="BR228" s="546"/>
      <c r="BS228" s="546"/>
      <c r="BT228" s="546"/>
      <c r="BU228" s="546"/>
      <c r="BV228" s="546"/>
      <c r="BW228" s="546"/>
      <c r="BX228" s="546"/>
      <c r="BY228" s="546"/>
      <c r="BZ228" s="546"/>
      <c r="CA228" s="84"/>
      <c r="CB228" s="84"/>
      <c r="CC228" s="84"/>
      <c r="CD228" s="84"/>
      <c r="CE228" s="84"/>
      <c r="CF228" s="84"/>
      <c r="CG228" s="84"/>
      <c r="CH228" s="84"/>
      <c r="CI228" s="84"/>
      <c r="CJ228" s="84"/>
      <c r="CK228" s="84"/>
      <c r="CL228" s="84"/>
    </row>
    <row r="229" spans="5:90" s="354" customFormat="1" x14ac:dyDescent="0.2">
      <c r="E229" s="1878"/>
      <c r="F229" s="1878"/>
      <c r="G229" s="1878"/>
      <c r="H229" s="1878"/>
      <c r="I229" s="1878"/>
      <c r="J229" s="1878"/>
      <c r="K229" s="1878"/>
      <c r="L229" s="1878"/>
      <c r="M229" s="1878"/>
      <c r="N229" s="1878"/>
      <c r="O229" s="1878"/>
      <c r="P229" s="1878"/>
      <c r="BN229" s="546"/>
      <c r="BO229" s="546"/>
      <c r="BP229" s="546"/>
      <c r="BQ229" s="546"/>
      <c r="BR229" s="546"/>
      <c r="BS229" s="546"/>
      <c r="BT229" s="546"/>
      <c r="BU229" s="546"/>
      <c r="BV229" s="546"/>
      <c r="BW229" s="546"/>
      <c r="BX229" s="546"/>
      <c r="BY229" s="546"/>
      <c r="BZ229" s="546"/>
      <c r="CA229" s="84"/>
      <c r="CB229" s="84"/>
      <c r="CC229" s="84"/>
      <c r="CD229" s="84"/>
      <c r="CE229" s="84"/>
      <c r="CF229" s="84"/>
      <c r="CG229" s="84"/>
      <c r="CH229" s="84"/>
      <c r="CI229" s="84"/>
      <c r="CJ229" s="84"/>
      <c r="CK229" s="84"/>
      <c r="CL229" s="84"/>
    </row>
    <row r="230" spans="5:90" s="354" customFormat="1" x14ac:dyDescent="0.2">
      <c r="E230" s="1878"/>
      <c r="F230" s="1878"/>
      <c r="G230" s="1878"/>
      <c r="H230" s="1878"/>
      <c r="I230" s="1878"/>
      <c r="J230" s="1878"/>
      <c r="K230" s="1878"/>
      <c r="L230" s="1878"/>
      <c r="M230" s="1878"/>
      <c r="N230" s="1878"/>
      <c r="O230" s="1878"/>
      <c r="P230" s="1878"/>
      <c r="BN230" s="546"/>
      <c r="BO230" s="546"/>
      <c r="BP230" s="546"/>
      <c r="BQ230" s="546"/>
      <c r="BR230" s="546"/>
      <c r="BS230" s="546"/>
      <c r="BT230" s="546"/>
      <c r="BU230" s="546"/>
      <c r="BV230" s="546"/>
      <c r="BW230" s="546"/>
      <c r="BX230" s="546"/>
      <c r="BY230" s="546"/>
      <c r="BZ230" s="546"/>
      <c r="CA230" s="84"/>
      <c r="CB230" s="84"/>
      <c r="CC230" s="84"/>
      <c r="CD230" s="84"/>
      <c r="CE230" s="84"/>
      <c r="CF230" s="84"/>
      <c r="CG230" s="84"/>
      <c r="CH230" s="84"/>
      <c r="CI230" s="84"/>
      <c r="CJ230" s="84"/>
      <c r="CK230" s="84"/>
      <c r="CL230" s="84"/>
    </row>
    <row r="231" spans="5:90" s="354" customFormat="1" x14ac:dyDescent="0.2">
      <c r="E231" s="1878"/>
      <c r="F231" s="1878"/>
      <c r="G231" s="1878"/>
      <c r="H231" s="1878"/>
      <c r="I231" s="1878"/>
      <c r="J231" s="1878"/>
      <c r="K231" s="1878"/>
      <c r="L231" s="1878"/>
      <c r="M231" s="1878"/>
      <c r="N231" s="1878"/>
      <c r="O231" s="1878"/>
      <c r="P231" s="1878"/>
      <c r="BN231" s="546"/>
      <c r="BO231" s="546"/>
      <c r="BP231" s="546"/>
      <c r="BQ231" s="546"/>
      <c r="BR231" s="546"/>
      <c r="BS231" s="546"/>
      <c r="BT231" s="546"/>
      <c r="BU231" s="546"/>
      <c r="BV231" s="546"/>
      <c r="BW231" s="546"/>
      <c r="BX231" s="546"/>
      <c r="BY231" s="546"/>
      <c r="BZ231" s="546"/>
      <c r="CA231" s="84"/>
      <c r="CB231" s="84"/>
      <c r="CC231" s="84"/>
      <c r="CD231" s="84"/>
      <c r="CE231" s="84"/>
      <c r="CF231" s="84"/>
      <c r="CG231" s="84"/>
      <c r="CH231" s="84"/>
      <c r="CI231" s="84"/>
      <c r="CJ231" s="84"/>
      <c r="CK231" s="84"/>
      <c r="CL231" s="84"/>
    </row>
    <row r="232" spans="5:90" s="354" customFormat="1" x14ac:dyDescent="0.2">
      <c r="E232" s="1878"/>
      <c r="F232" s="1878"/>
      <c r="G232" s="1878"/>
      <c r="H232" s="1878"/>
      <c r="I232" s="1878"/>
      <c r="J232" s="1878"/>
      <c r="K232" s="1878"/>
      <c r="L232" s="1878"/>
      <c r="M232" s="1878"/>
      <c r="N232" s="1878"/>
      <c r="O232" s="1878"/>
      <c r="P232" s="1878"/>
      <c r="BN232" s="546"/>
      <c r="BO232" s="546"/>
      <c r="BP232" s="546"/>
      <c r="BQ232" s="546"/>
      <c r="BR232" s="546"/>
      <c r="BS232" s="546"/>
      <c r="BT232" s="546"/>
      <c r="BU232" s="546"/>
      <c r="BV232" s="546"/>
      <c r="BW232" s="546"/>
      <c r="BX232" s="546"/>
      <c r="BY232" s="546"/>
      <c r="BZ232" s="546"/>
      <c r="CA232" s="84"/>
      <c r="CB232" s="84"/>
      <c r="CC232" s="84"/>
      <c r="CD232" s="84"/>
      <c r="CE232" s="84"/>
      <c r="CF232" s="84"/>
      <c r="CG232" s="84"/>
      <c r="CH232" s="84"/>
      <c r="CI232" s="84"/>
      <c r="CJ232" s="84"/>
      <c r="CK232" s="84"/>
      <c r="CL232" s="84"/>
    </row>
    <row r="233" spans="5:90" s="354" customFormat="1" x14ac:dyDescent="0.2">
      <c r="E233" s="1878"/>
      <c r="F233" s="1878"/>
      <c r="G233" s="1878"/>
      <c r="H233" s="1878"/>
      <c r="I233" s="1878"/>
      <c r="J233" s="1878"/>
      <c r="K233" s="1878"/>
      <c r="L233" s="1878"/>
      <c r="M233" s="1878"/>
      <c r="N233" s="1878"/>
      <c r="O233" s="1878"/>
      <c r="P233" s="1878"/>
      <c r="BN233" s="546"/>
      <c r="BO233" s="546"/>
      <c r="BP233" s="546"/>
      <c r="BQ233" s="546"/>
      <c r="BR233" s="546"/>
      <c r="BS233" s="546"/>
      <c r="BT233" s="546"/>
      <c r="BU233" s="546"/>
      <c r="BV233" s="546"/>
      <c r="BW233" s="546"/>
      <c r="BX233" s="546"/>
      <c r="BY233" s="546"/>
      <c r="BZ233" s="546"/>
      <c r="CA233" s="84"/>
      <c r="CB233" s="84"/>
      <c r="CC233" s="84"/>
      <c r="CD233" s="84"/>
      <c r="CE233" s="84"/>
      <c r="CF233" s="84"/>
      <c r="CG233" s="84"/>
      <c r="CH233" s="84"/>
      <c r="CI233" s="84"/>
      <c r="CJ233" s="84"/>
      <c r="CK233" s="84"/>
      <c r="CL233" s="84"/>
    </row>
    <row r="234" spans="5:90" s="354" customFormat="1" x14ac:dyDescent="0.2">
      <c r="E234" s="1878"/>
      <c r="F234" s="1878"/>
      <c r="G234" s="1878"/>
      <c r="H234" s="1878"/>
      <c r="I234" s="1878"/>
      <c r="J234" s="1878"/>
      <c r="K234" s="1878"/>
      <c r="L234" s="1878"/>
      <c r="M234" s="1878"/>
      <c r="N234" s="1878"/>
      <c r="O234" s="1878"/>
      <c r="P234" s="1878"/>
      <c r="BN234" s="546"/>
      <c r="BO234" s="546"/>
      <c r="BP234" s="546"/>
      <c r="BQ234" s="546"/>
      <c r="BR234" s="546"/>
      <c r="BS234" s="546"/>
      <c r="BT234" s="546"/>
      <c r="BU234" s="546"/>
      <c r="BV234" s="546"/>
      <c r="BW234" s="546"/>
      <c r="BX234" s="546"/>
      <c r="BY234" s="546"/>
      <c r="BZ234" s="546"/>
      <c r="CA234" s="84"/>
      <c r="CB234" s="84"/>
      <c r="CC234" s="84"/>
      <c r="CD234" s="84"/>
      <c r="CE234" s="84"/>
      <c r="CF234" s="84"/>
      <c r="CG234" s="84"/>
      <c r="CH234" s="84"/>
      <c r="CI234" s="84"/>
      <c r="CJ234" s="84"/>
      <c r="CK234" s="84"/>
      <c r="CL234" s="84"/>
    </row>
    <row r="235" spans="5:90" s="354" customFormat="1" x14ac:dyDescent="0.2">
      <c r="E235" s="1878"/>
      <c r="F235" s="1878"/>
      <c r="G235" s="1878"/>
      <c r="H235" s="1878"/>
      <c r="I235" s="1878"/>
      <c r="J235" s="1878"/>
      <c r="K235" s="1878"/>
      <c r="L235" s="1878"/>
      <c r="M235" s="1878"/>
      <c r="N235" s="1878"/>
      <c r="O235" s="1878"/>
      <c r="P235" s="1878"/>
      <c r="BN235" s="546"/>
      <c r="BO235" s="546"/>
      <c r="BP235" s="546"/>
      <c r="BQ235" s="546"/>
      <c r="BR235" s="546"/>
      <c r="BS235" s="546"/>
      <c r="BT235" s="546"/>
      <c r="BU235" s="546"/>
      <c r="BV235" s="546"/>
      <c r="BW235" s="546"/>
      <c r="BX235" s="546"/>
      <c r="BY235" s="546"/>
      <c r="BZ235" s="546"/>
      <c r="CA235" s="84"/>
      <c r="CB235" s="84"/>
      <c r="CC235" s="84"/>
      <c r="CD235" s="84"/>
      <c r="CE235" s="84"/>
      <c r="CF235" s="84"/>
      <c r="CG235" s="84"/>
      <c r="CH235" s="84"/>
      <c r="CI235" s="84"/>
      <c r="CJ235" s="84"/>
      <c r="CK235" s="84"/>
      <c r="CL235" s="84"/>
    </row>
    <row r="236" spans="5:90" s="354" customFormat="1" x14ac:dyDescent="0.2">
      <c r="E236" s="1878"/>
      <c r="F236" s="1878"/>
      <c r="G236" s="1878"/>
      <c r="H236" s="1878"/>
      <c r="I236" s="1878"/>
      <c r="J236" s="1878"/>
      <c r="K236" s="1878"/>
      <c r="L236" s="1878"/>
      <c r="M236" s="1878"/>
      <c r="N236" s="1878"/>
      <c r="O236" s="1878"/>
      <c r="P236" s="1878"/>
      <c r="BN236" s="546"/>
      <c r="BO236" s="546"/>
      <c r="BP236" s="546"/>
      <c r="BQ236" s="546"/>
      <c r="BR236" s="546"/>
      <c r="BS236" s="546"/>
      <c r="BT236" s="546"/>
      <c r="BU236" s="546"/>
      <c r="BV236" s="546"/>
      <c r="BW236" s="546"/>
      <c r="BX236" s="546"/>
      <c r="BY236" s="546"/>
      <c r="BZ236" s="546"/>
      <c r="CA236" s="84"/>
      <c r="CB236" s="84"/>
      <c r="CC236" s="84"/>
      <c r="CD236" s="84"/>
      <c r="CE236" s="84"/>
      <c r="CF236" s="84"/>
      <c r="CG236" s="84"/>
      <c r="CH236" s="84"/>
      <c r="CI236" s="84"/>
      <c r="CJ236" s="84"/>
      <c r="CK236" s="84"/>
      <c r="CL236" s="84"/>
    </row>
    <row r="237" spans="5:90" s="354" customFormat="1" x14ac:dyDescent="0.2">
      <c r="E237" s="1878"/>
      <c r="F237" s="1878"/>
      <c r="G237" s="1878"/>
      <c r="H237" s="1878"/>
      <c r="I237" s="1878"/>
      <c r="J237" s="1878"/>
      <c r="K237" s="1878"/>
      <c r="L237" s="1878"/>
      <c r="M237" s="1878"/>
      <c r="N237" s="1878"/>
      <c r="O237" s="1878"/>
      <c r="P237" s="1878"/>
      <c r="BN237" s="546"/>
      <c r="BO237" s="546"/>
      <c r="BP237" s="546"/>
      <c r="BQ237" s="546"/>
      <c r="BR237" s="546"/>
      <c r="BS237" s="546"/>
      <c r="BT237" s="546"/>
      <c r="BU237" s="546"/>
      <c r="BV237" s="546"/>
      <c r="BW237" s="546"/>
      <c r="BX237" s="546"/>
      <c r="BY237" s="546"/>
      <c r="BZ237" s="546"/>
      <c r="CA237" s="84"/>
      <c r="CB237" s="84"/>
      <c r="CC237" s="84"/>
      <c r="CD237" s="84"/>
      <c r="CE237" s="84"/>
      <c r="CF237" s="84"/>
      <c r="CG237" s="84"/>
      <c r="CH237" s="84"/>
      <c r="CI237" s="84"/>
      <c r="CJ237" s="84"/>
      <c r="CK237" s="84"/>
      <c r="CL237" s="84"/>
    </row>
    <row r="238" spans="5:90" s="354" customFormat="1" x14ac:dyDescent="0.2">
      <c r="F238" s="1878"/>
      <c r="G238" s="1878"/>
      <c r="H238" s="1878"/>
      <c r="I238" s="1878"/>
      <c r="J238" s="1878"/>
      <c r="K238" s="1878"/>
      <c r="L238" s="1878"/>
      <c r="M238" s="1878"/>
      <c r="N238" s="1878"/>
      <c r="O238" s="1878"/>
      <c r="P238" s="1878"/>
      <c r="BN238" s="546"/>
      <c r="BO238" s="546"/>
      <c r="BP238" s="546"/>
      <c r="BQ238" s="546"/>
      <c r="BR238" s="546"/>
      <c r="BS238" s="546"/>
      <c r="BT238" s="546"/>
      <c r="BU238" s="546"/>
      <c r="BV238" s="546"/>
      <c r="BW238" s="546"/>
      <c r="BX238" s="546"/>
      <c r="BY238" s="546"/>
      <c r="BZ238" s="546"/>
      <c r="CA238" s="84"/>
      <c r="CB238" s="84"/>
      <c r="CC238" s="84"/>
      <c r="CD238" s="84"/>
      <c r="CE238" s="84"/>
      <c r="CF238" s="84"/>
      <c r="CG238" s="84"/>
      <c r="CH238" s="84"/>
      <c r="CI238" s="84"/>
      <c r="CJ238" s="84"/>
      <c r="CK238" s="84"/>
      <c r="CL238" s="84"/>
    </row>
    <row r="239" spans="5:90" s="354" customFormat="1" x14ac:dyDescent="0.2">
      <c r="F239" s="1878"/>
      <c r="G239" s="1878"/>
      <c r="H239" s="1878"/>
      <c r="I239" s="1878"/>
      <c r="J239" s="1878"/>
      <c r="K239" s="1878"/>
      <c r="L239" s="1878"/>
      <c r="M239" s="1878"/>
      <c r="N239" s="1878"/>
      <c r="O239" s="1878"/>
      <c r="P239" s="1878"/>
      <c r="BN239" s="546"/>
      <c r="BO239" s="546"/>
      <c r="BP239" s="546"/>
      <c r="BQ239" s="546"/>
      <c r="BR239" s="546"/>
      <c r="BS239" s="546"/>
      <c r="BT239" s="546"/>
      <c r="BU239" s="546"/>
      <c r="BV239" s="546"/>
      <c r="BW239" s="546"/>
      <c r="BX239" s="546"/>
      <c r="BY239" s="546"/>
      <c r="BZ239" s="546"/>
      <c r="CA239" s="84"/>
      <c r="CB239" s="84"/>
      <c r="CC239" s="84"/>
      <c r="CD239" s="84"/>
      <c r="CE239" s="84"/>
      <c r="CF239" s="84"/>
      <c r="CG239" s="84"/>
      <c r="CH239" s="84"/>
      <c r="CI239" s="84"/>
      <c r="CJ239" s="84"/>
      <c r="CK239" s="84"/>
      <c r="CL239" s="84"/>
    </row>
    <row r="240" spans="5:90" s="354" customFormat="1" x14ac:dyDescent="0.2">
      <c r="F240" s="1878"/>
      <c r="G240" s="1878"/>
      <c r="H240" s="1878"/>
      <c r="I240" s="1878"/>
      <c r="J240" s="1878"/>
      <c r="K240" s="1878"/>
      <c r="L240" s="1878"/>
      <c r="M240" s="1878"/>
      <c r="N240" s="1878"/>
      <c r="O240" s="1878"/>
      <c r="P240" s="1878"/>
      <c r="BN240" s="546"/>
      <c r="BO240" s="546"/>
      <c r="BP240" s="546"/>
      <c r="BQ240" s="546"/>
      <c r="BR240" s="546"/>
      <c r="BS240" s="546"/>
      <c r="BT240" s="546"/>
      <c r="BU240" s="546"/>
      <c r="BV240" s="546"/>
      <c r="BW240" s="546"/>
      <c r="BX240" s="546"/>
      <c r="BY240" s="546"/>
      <c r="BZ240" s="546"/>
      <c r="CA240" s="84"/>
      <c r="CB240" s="84"/>
      <c r="CC240" s="84"/>
      <c r="CD240" s="84"/>
      <c r="CE240" s="84"/>
      <c r="CF240" s="84"/>
      <c r="CG240" s="84"/>
      <c r="CH240" s="84"/>
      <c r="CI240" s="84"/>
      <c r="CJ240" s="84"/>
      <c r="CK240" s="84"/>
      <c r="CL240" s="84"/>
    </row>
    <row r="241" spans="6:90" s="354" customFormat="1" x14ac:dyDescent="0.2">
      <c r="F241" s="1878"/>
      <c r="G241" s="1878"/>
      <c r="H241" s="1878"/>
      <c r="I241" s="1878"/>
      <c r="J241" s="1878"/>
      <c r="K241" s="1878"/>
      <c r="L241" s="1878"/>
      <c r="M241" s="1878"/>
      <c r="N241" s="1878"/>
      <c r="O241" s="1878"/>
      <c r="P241" s="1878"/>
      <c r="BN241" s="546"/>
      <c r="BO241" s="546"/>
      <c r="BP241" s="546"/>
      <c r="BQ241" s="546"/>
      <c r="BR241" s="546"/>
      <c r="BS241" s="546"/>
      <c r="BT241" s="546"/>
      <c r="BU241" s="546"/>
      <c r="BV241" s="546"/>
      <c r="BW241" s="546"/>
      <c r="BX241" s="546"/>
      <c r="BY241" s="546"/>
      <c r="BZ241" s="546"/>
      <c r="CA241" s="84"/>
      <c r="CB241" s="84"/>
      <c r="CC241" s="84"/>
      <c r="CD241" s="84"/>
      <c r="CE241" s="84"/>
      <c r="CF241" s="84"/>
      <c r="CG241" s="84"/>
      <c r="CH241" s="84"/>
      <c r="CI241" s="84"/>
      <c r="CJ241" s="84"/>
      <c r="CK241" s="84"/>
      <c r="CL241" s="84"/>
    </row>
    <row r="242" spans="6:90" s="354" customFormat="1" x14ac:dyDescent="0.2">
      <c r="BN242" s="546"/>
      <c r="BO242" s="546"/>
      <c r="BP242" s="546"/>
      <c r="BQ242" s="546"/>
      <c r="BR242" s="546"/>
      <c r="BS242" s="546"/>
      <c r="BT242" s="546"/>
      <c r="BU242" s="546"/>
      <c r="BV242" s="546"/>
      <c r="BW242" s="546"/>
      <c r="BX242" s="546"/>
      <c r="BY242" s="546"/>
      <c r="BZ242" s="546"/>
      <c r="CA242" s="84"/>
      <c r="CB242" s="84"/>
      <c r="CC242" s="84"/>
      <c r="CD242" s="84"/>
      <c r="CE242" s="84"/>
      <c r="CF242" s="84"/>
      <c r="CG242" s="84"/>
      <c r="CH242" s="84"/>
      <c r="CI242" s="84"/>
      <c r="CJ242" s="84"/>
      <c r="CK242" s="84"/>
      <c r="CL242" s="84"/>
    </row>
    <row r="243" spans="6:90" s="354" customFormat="1" x14ac:dyDescent="0.2">
      <c r="BN243" s="546"/>
      <c r="BO243" s="546"/>
      <c r="BP243" s="546"/>
      <c r="BQ243" s="546"/>
      <c r="BR243" s="546"/>
      <c r="BS243" s="546"/>
      <c r="BT243" s="546"/>
      <c r="BU243" s="546"/>
      <c r="BV243" s="546"/>
      <c r="BW243" s="546"/>
      <c r="BX243" s="546"/>
      <c r="BY243" s="546"/>
      <c r="BZ243" s="546"/>
      <c r="CA243" s="84"/>
      <c r="CB243" s="84"/>
      <c r="CC243" s="84"/>
      <c r="CD243" s="84"/>
      <c r="CE243" s="84"/>
      <c r="CF243" s="84"/>
      <c r="CG243" s="84"/>
      <c r="CH243" s="84"/>
      <c r="CI243" s="84"/>
      <c r="CJ243" s="84"/>
      <c r="CK243" s="84"/>
      <c r="CL243" s="84"/>
    </row>
    <row r="244" spans="6:90" s="354" customFormat="1" x14ac:dyDescent="0.2">
      <c r="BN244" s="546"/>
      <c r="BO244" s="546"/>
      <c r="BP244" s="546"/>
      <c r="BQ244" s="546"/>
      <c r="BR244" s="546"/>
      <c r="BS244" s="546"/>
      <c r="BT244" s="546"/>
      <c r="BU244" s="546"/>
      <c r="BV244" s="546"/>
      <c r="BW244" s="546"/>
      <c r="BX244" s="546"/>
      <c r="BY244" s="546"/>
      <c r="BZ244" s="546"/>
      <c r="CA244" s="84"/>
      <c r="CB244" s="84"/>
      <c r="CC244" s="84"/>
      <c r="CD244" s="84"/>
      <c r="CE244" s="84"/>
      <c r="CF244" s="84"/>
      <c r="CG244" s="84"/>
      <c r="CH244" s="84"/>
      <c r="CI244" s="84"/>
      <c r="CJ244" s="84"/>
      <c r="CK244" s="84"/>
      <c r="CL244" s="84"/>
    </row>
    <row r="245" spans="6:90" s="354" customFormat="1" x14ac:dyDescent="0.2">
      <c r="BN245" s="546"/>
      <c r="BO245" s="546"/>
      <c r="BP245" s="546"/>
      <c r="BQ245" s="546"/>
      <c r="BR245" s="546"/>
      <c r="BS245" s="546"/>
      <c r="BT245" s="546"/>
      <c r="BU245" s="546"/>
      <c r="BV245" s="546"/>
      <c r="BW245" s="546"/>
      <c r="BX245" s="546"/>
      <c r="BY245" s="546"/>
      <c r="BZ245" s="546"/>
      <c r="CA245" s="84"/>
      <c r="CB245" s="84"/>
      <c r="CC245" s="84"/>
      <c r="CD245" s="84"/>
      <c r="CE245" s="84"/>
      <c r="CF245" s="84"/>
      <c r="CG245" s="84"/>
      <c r="CH245" s="84"/>
      <c r="CI245" s="84"/>
      <c r="CJ245" s="84"/>
      <c r="CK245" s="84"/>
      <c r="CL245" s="84"/>
    </row>
    <row r="246" spans="6:90" s="354" customFormat="1" x14ac:dyDescent="0.2">
      <c r="BN246" s="546"/>
      <c r="BO246" s="546"/>
      <c r="BP246" s="546"/>
      <c r="BQ246" s="546"/>
      <c r="BR246" s="546"/>
      <c r="BS246" s="546"/>
      <c r="BT246" s="546"/>
      <c r="BU246" s="546"/>
      <c r="BV246" s="546"/>
      <c r="BW246" s="546"/>
      <c r="BX246" s="546"/>
      <c r="BY246" s="546"/>
      <c r="BZ246" s="546"/>
      <c r="CA246" s="84"/>
      <c r="CB246" s="84"/>
      <c r="CC246" s="84"/>
      <c r="CD246" s="84"/>
      <c r="CE246" s="84"/>
      <c r="CF246" s="84"/>
      <c r="CG246" s="84"/>
      <c r="CH246" s="84"/>
      <c r="CI246" s="84"/>
      <c r="CJ246" s="84"/>
      <c r="CK246" s="84"/>
      <c r="CL246" s="84"/>
    </row>
    <row r="247" spans="6:90" s="354" customFormat="1" x14ac:dyDescent="0.2">
      <c r="BN247" s="546"/>
      <c r="BO247" s="546"/>
      <c r="BP247" s="546"/>
      <c r="BQ247" s="546"/>
      <c r="BR247" s="546"/>
      <c r="BS247" s="546"/>
      <c r="BT247" s="546"/>
      <c r="BU247" s="546"/>
      <c r="BV247" s="546"/>
      <c r="BW247" s="546"/>
      <c r="BX247" s="546"/>
      <c r="BY247" s="546"/>
      <c r="BZ247" s="546"/>
      <c r="CA247" s="84"/>
      <c r="CB247" s="84"/>
      <c r="CC247" s="84"/>
      <c r="CD247" s="84"/>
      <c r="CE247" s="84"/>
      <c r="CF247" s="84"/>
      <c r="CG247" s="84"/>
      <c r="CH247" s="84"/>
      <c r="CI247" s="84"/>
      <c r="CJ247" s="84"/>
      <c r="CK247" s="84"/>
      <c r="CL247" s="84"/>
    </row>
    <row r="248" spans="6:90" s="354" customFormat="1" x14ac:dyDescent="0.2">
      <c r="BN248" s="546"/>
      <c r="BO248" s="546"/>
      <c r="BP248" s="546"/>
      <c r="BQ248" s="546"/>
      <c r="BR248" s="546"/>
      <c r="BS248" s="546"/>
      <c r="BT248" s="546"/>
      <c r="BU248" s="546"/>
      <c r="BV248" s="546"/>
      <c r="BW248" s="546"/>
      <c r="BX248" s="546"/>
      <c r="BY248" s="546"/>
      <c r="BZ248" s="546"/>
      <c r="CA248" s="84"/>
      <c r="CB248" s="84"/>
      <c r="CC248" s="84"/>
      <c r="CD248" s="84"/>
      <c r="CE248" s="84"/>
      <c r="CF248" s="84"/>
      <c r="CG248" s="84"/>
      <c r="CH248" s="84"/>
      <c r="CI248" s="84"/>
      <c r="CJ248" s="84"/>
      <c r="CK248" s="84"/>
      <c r="CL248" s="84"/>
    </row>
    <row r="249" spans="6:90" s="354" customFormat="1" x14ac:dyDescent="0.2">
      <c r="BN249" s="546"/>
      <c r="BO249" s="546"/>
      <c r="BP249" s="546"/>
      <c r="BQ249" s="546"/>
      <c r="BR249" s="546"/>
      <c r="BS249" s="546"/>
      <c r="BT249" s="546"/>
      <c r="BU249" s="546"/>
      <c r="BV249" s="546"/>
      <c r="BW249" s="546"/>
      <c r="BX249" s="546"/>
      <c r="BY249" s="546"/>
      <c r="BZ249" s="546"/>
      <c r="CA249" s="84"/>
      <c r="CB249" s="84"/>
      <c r="CC249" s="84"/>
      <c r="CD249" s="84"/>
      <c r="CE249" s="84"/>
      <c r="CF249" s="84"/>
      <c r="CG249" s="84"/>
      <c r="CH249" s="84"/>
      <c r="CI249" s="84"/>
      <c r="CJ249" s="84"/>
      <c r="CK249" s="84"/>
      <c r="CL249" s="84"/>
    </row>
    <row r="250" spans="6:90" s="354" customFormat="1" x14ac:dyDescent="0.2">
      <c r="BN250" s="546"/>
      <c r="BO250" s="546"/>
      <c r="BP250" s="546"/>
      <c r="BQ250" s="546"/>
      <c r="BR250" s="546"/>
      <c r="BS250" s="546"/>
      <c r="BT250" s="546"/>
      <c r="BU250" s="546"/>
      <c r="BV250" s="546"/>
      <c r="BW250" s="546"/>
      <c r="BX250" s="546"/>
      <c r="BY250" s="546"/>
      <c r="BZ250" s="546"/>
      <c r="CA250" s="84"/>
      <c r="CB250" s="84"/>
      <c r="CC250" s="84"/>
      <c r="CD250" s="84"/>
      <c r="CE250" s="84"/>
      <c r="CF250" s="84"/>
      <c r="CG250" s="84"/>
      <c r="CH250" s="84"/>
      <c r="CI250" s="84"/>
      <c r="CJ250" s="84"/>
      <c r="CK250" s="84"/>
      <c r="CL250" s="84"/>
    </row>
    <row r="251" spans="6:90" s="354" customFormat="1" x14ac:dyDescent="0.2">
      <c r="BN251" s="546"/>
      <c r="BO251" s="546"/>
      <c r="BP251" s="546"/>
      <c r="BQ251" s="546"/>
      <c r="BR251" s="546"/>
      <c r="BS251" s="546"/>
      <c r="BT251" s="546"/>
      <c r="BU251" s="546"/>
      <c r="BV251" s="546"/>
      <c r="BW251" s="546"/>
      <c r="BX251" s="546"/>
      <c r="BY251" s="546"/>
      <c r="BZ251" s="546"/>
      <c r="CA251" s="84"/>
      <c r="CB251" s="84"/>
      <c r="CC251" s="84"/>
      <c r="CD251" s="84"/>
      <c r="CE251" s="84"/>
      <c r="CF251" s="84"/>
      <c r="CG251" s="84"/>
      <c r="CH251" s="84"/>
      <c r="CI251" s="84"/>
      <c r="CJ251" s="84"/>
      <c r="CK251" s="84"/>
      <c r="CL251" s="84"/>
    </row>
    <row r="252" spans="6:90" s="354" customFormat="1" x14ac:dyDescent="0.2">
      <c r="BN252" s="546"/>
      <c r="BO252" s="546"/>
      <c r="BP252" s="546"/>
      <c r="BQ252" s="546"/>
      <c r="BR252" s="546"/>
      <c r="BS252" s="546"/>
      <c r="BT252" s="546"/>
      <c r="BU252" s="546"/>
      <c r="BV252" s="546"/>
      <c r="BW252" s="546"/>
      <c r="BX252" s="546"/>
      <c r="BY252" s="546"/>
      <c r="BZ252" s="546"/>
      <c r="CA252" s="84"/>
      <c r="CB252" s="84"/>
      <c r="CC252" s="84"/>
      <c r="CD252" s="84"/>
      <c r="CE252" s="84"/>
      <c r="CF252" s="84"/>
      <c r="CG252" s="84"/>
      <c r="CH252" s="84"/>
      <c r="CI252" s="84"/>
      <c r="CJ252" s="84"/>
      <c r="CK252" s="84"/>
      <c r="CL252" s="84"/>
    </row>
    <row r="253" spans="6:90" s="354" customFormat="1" x14ac:dyDescent="0.2">
      <c r="BN253" s="546"/>
      <c r="BO253" s="546"/>
      <c r="BP253" s="546"/>
      <c r="BQ253" s="546"/>
      <c r="BR253" s="546"/>
      <c r="BS253" s="546"/>
      <c r="BT253" s="546"/>
      <c r="BU253" s="546"/>
      <c r="BV253" s="546"/>
      <c r="BW253" s="546"/>
      <c r="BX253" s="546"/>
      <c r="BY253" s="546"/>
      <c r="BZ253" s="546"/>
      <c r="CA253" s="84"/>
      <c r="CB253" s="84"/>
      <c r="CC253" s="84"/>
      <c r="CD253" s="84"/>
      <c r="CE253" s="84"/>
      <c r="CF253" s="84"/>
      <c r="CG253" s="84"/>
      <c r="CH253" s="84"/>
      <c r="CI253" s="84"/>
      <c r="CJ253" s="84"/>
      <c r="CK253" s="84"/>
      <c r="CL253" s="84"/>
    </row>
    <row r="254" spans="6:90" s="354" customFormat="1" x14ac:dyDescent="0.2">
      <c r="BN254" s="546"/>
      <c r="BO254" s="546"/>
      <c r="BP254" s="546"/>
      <c r="BQ254" s="546"/>
      <c r="BR254" s="546"/>
      <c r="BS254" s="546"/>
      <c r="BT254" s="546"/>
      <c r="BU254" s="546"/>
      <c r="BV254" s="546"/>
      <c r="BW254" s="546"/>
      <c r="BX254" s="546"/>
      <c r="BY254" s="546"/>
      <c r="BZ254" s="546"/>
      <c r="CA254" s="84"/>
      <c r="CB254" s="84"/>
      <c r="CC254" s="84"/>
      <c r="CD254" s="84"/>
      <c r="CE254" s="84"/>
      <c r="CF254" s="84"/>
      <c r="CG254" s="84"/>
      <c r="CH254" s="84"/>
      <c r="CI254" s="84"/>
      <c r="CJ254" s="84"/>
      <c r="CK254" s="84"/>
      <c r="CL254" s="84"/>
    </row>
    <row r="255" spans="6:90" s="354" customFormat="1" x14ac:dyDescent="0.2">
      <c r="BN255" s="546"/>
      <c r="BO255" s="546"/>
      <c r="BP255" s="546"/>
      <c r="BQ255" s="546"/>
      <c r="BR255" s="546"/>
      <c r="BS255" s="546"/>
      <c r="BT255" s="546"/>
      <c r="BU255" s="546"/>
      <c r="BV255" s="546"/>
      <c r="BW255" s="546"/>
      <c r="BX255" s="546"/>
      <c r="BY255" s="546"/>
      <c r="BZ255" s="546"/>
      <c r="CA255" s="84"/>
      <c r="CB255" s="84"/>
      <c r="CC255" s="84"/>
      <c r="CD255" s="84"/>
      <c r="CE255" s="84"/>
      <c r="CF255" s="84"/>
      <c r="CG255" s="84"/>
      <c r="CH255" s="84"/>
      <c r="CI255" s="84"/>
      <c r="CJ255" s="84"/>
      <c r="CK255" s="84"/>
      <c r="CL255" s="84"/>
    </row>
    <row r="256" spans="6:90" s="354" customFormat="1" x14ac:dyDescent="0.2">
      <c r="BN256" s="546"/>
      <c r="BO256" s="546"/>
      <c r="BP256" s="546"/>
      <c r="BQ256" s="546"/>
      <c r="BR256" s="546"/>
      <c r="BS256" s="546"/>
      <c r="BT256" s="546"/>
      <c r="BU256" s="546"/>
      <c r="BV256" s="546"/>
      <c r="BW256" s="546"/>
      <c r="BX256" s="546"/>
      <c r="BY256" s="546"/>
      <c r="BZ256" s="546"/>
      <c r="CA256" s="84"/>
      <c r="CB256" s="84"/>
      <c r="CC256" s="84"/>
      <c r="CD256" s="84"/>
      <c r="CE256" s="84"/>
      <c r="CF256" s="84"/>
      <c r="CG256" s="84"/>
      <c r="CH256" s="84"/>
      <c r="CI256" s="84"/>
      <c r="CJ256" s="84"/>
      <c r="CK256" s="84"/>
      <c r="CL256" s="84"/>
    </row>
    <row r="257" spans="66:90" s="354" customFormat="1" x14ac:dyDescent="0.2">
      <c r="BN257" s="546"/>
      <c r="BO257" s="546"/>
      <c r="BP257" s="546"/>
      <c r="BQ257" s="546"/>
      <c r="BR257" s="546"/>
      <c r="BS257" s="546"/>
      <c r="BT257" s="546"/>
      <c r="BU257" s="546"/>
      <c r="BV257" s="546"/>
      <c r="BW257" s="546"/>
      <c r="BX257" s="546"/>
      <c r="BY257" s="546"/>
      <c r="BZ257" s="546"/>
      <c r="CA257" s="84"/>
      <c r="CB257" s="84"/>
      <c r="CC257" s="84"/>
      <c r="CD257" s="84"/>
      <c r="CE257" s="84"/>
      <c r="CF257" s="84"/>
      <c r="CG257" s="84"/>
      <c r="CH257" s="84"/>
      <c r="CI257" s="84"/>
      <c r="CJ257" s="84"/>
      <c r="CK257" s="84"/>
      <c r="CL257" s="84"/>
    </row>
    <row r="258" spans="66:90" s="354" customFormat="1" x14ac:dyDescent="0.2">
      <c r="BN258" s="546"/>
      <c r="BO258" s="546"/>
      <c r="BP258" s="546"/>
      <c r="BQ258" s="546"/>
      <c r="BR258" s="546"/>
      <c r="BS258" s="546"/>
      <c r="BT258" s="546"/>
      <c r="BU258" s="546"/>
      <c r="BV258" s="546"/>
      <c r="BW258" s="546"/>
      <c r="BX258" s="546"/>
      <c r="BY258" s="546"/>
      <c r="BZ258" s="546"/>
      <c r="CA258" s="84"/>
      <c r="CB258" s="84"/>
      <c r="CC258" s="84"/>
      <c r="CD258" s="84"/>
      <c r="CE258" s="84"/>
      <c r="CF258" s="84"/>
      <c r="CG258" s="84"/>
      <c r="CH258" s="84"/>
      <c r="CI258" s="84"/>
      <c r="CJ258" s="84"/>
      <c r="CK258" s="84"/>
      <c r="CL258" s="84"/>
    </row>
    <row r="259" spans="66:90" s="354" customFormat="1" x14ac:dyDescent="0.2">
      <c r="BN259" s="546"/>
      <c r="BO259" s="546"/>
      <c r="BP259" s="546"/>
      <c r="BQ259" s="546"/>
      <c r="BR259" s="546"/>
      <c r="BS259" s="546"/>
      <c r="BT259" s="546"/>
      <c r="BU259" s="546"/>
      <c r="BV259" s="546"/>
      <c r="BW259" s="546"/>
      <c r="BX259" s="546"/>
      <c r="BY259" s="546"/>
      <c r="BZ259" s="546"/>
      <c r="CA259" s="84"/>
      <c r="CB259" s="84"/>
      <c r="CC259" s="84"/>
      <c r="CD259" s="84"/>
      <c r="CE259" s="84"/>
      <c r="CF259" s="84"/>
      <c r="CG259" s="84"/>
      <c r="CH259" s="84"/>
      <c r="CI259" s="84"/>
      <c r="CJ259" s="84"/>
      <c r="CK259" s="84"/>
      <c r="CL259" s="84"/>
    </row>
    <row r="260" spans="66:90" s="354" customFormat="1" x14ac:dyDescent="0.2">
      <c r="BN260" s="546"/>
      <c r="BO260" s="546"/>
      <c r="BP260" s="546"/>
      <c r="BQ260" s="546"/>
      <c r="BR260" s="546"/>
      <c r="BS260" s="546"/>
      <c r="BT260" s="546"/>
      <c r="BU260" s="546"/>
      <c r="BV260" s="546"/>
      <c r="BW260" s="546"/>
      <c r="BX260" s="546"/>
      <c r="BY260" s="546"/>
      <c r="BZ260" s="546"/>
      <c r="CA260" s="84"/>
      <c r="CB260" s="84"/>
      <c r="CC260" s="84"/>
      <c r="CD260" s="84"/>
      <c r="CE260" s="84"/>
      <c r="CF260" s="84"/>
      <c r="CG260" s="84"/>
      <c r="CH260" s="84"/>
      <c r="CI260" s="84"/>
      <c r="CJ260" s="84"/>
      <c r="CK260" s="84"/>
      <c r="CL260" s="84"/>
    </row>
    <row r="261" spans="66:90" s="354" customFormat="1" x14ac:dyDescent="0.2">
      <c r="BN261" s="546"/>
      <c r="BO261" s="546"/>
      <c r="BP261" s="546"/>
      <c r="BQ261" s="546"/>
      <c r="BR261" s="546"/>
      <c r="BS261" s="546"/>
      <c r="BT261" s="546"/>
      <c r="BU261" s="546"/>
      <c r="BV261" s="546"/>
      <c r="BW261" s="546"/>
      <c r="BX261" s="546"/>
      <c r="BY261" s="546"/>
      <c r="BZ261" s="546"/>
      <c r="CA261" s="84"/>
      <c r="CB261" s="84"/>
      <c r="CC261" s="84"/>
      <c r="CD261" s="84"/>
      <c r="CE261" s="84"/>
      <c r="CF261" s="84"/>
      <c r="CG261" s="84"/>
      <c r="CH261" s="84"/>
      <c r="CI261" s="84"/>
      <c r="CJ261" s="84"/>
      <c r="CK261" s="84"/>
      <c r="CL261" s="84"/>
    </row>
    <row r="262" spans="66:90" s="354" customFormat="1" x14ac:dyDescent="0.2">
      <c r="BN262" s="546"/>
      <c r="BO262" s="546"/>
      <c r="BP262" s="546"/>
      <c r="BQ262" s="546"/>
      <c r="BR262" s="546"/>
      <c r="BS262" s="546"/>
      <c r="BT262" s="546"/>
      <c r="BU262" s="546"/>
      <c r="BV262" s="546"/>
      <c r="BW262" s="546"/>
      <c r="BX262" s="546"/>
      <c r="BY262" s="546"/>
      <c r="BZ262" s="546"/>
      <c r="CA262" s="84"/>
      <c r="CB262" s="84"/>
      <c r="CC262" s="84"/>
      <c r="CD262" s="84"/>
      <c r="CE262" s="84"/>
      <c r="CF262" s="84"/>
      <c r="CG262" s="84"/>
      <c r="CH262" s="84"/>
      <c r="CI262" s="84"/>
      <c r="CJ262" s="84"/>
      <c r="CK262" s="84"/>
      <c r="CL262" s="84"/>
    </row>
    <row r="263" spans="66:90" s="354" customFormat="1" x14ac:dyDescent="0.2">
      <c r="BN263" s="546"/>
      <c r="BO263" s="546"/>
      <c r="BP263" s="546"/>
      <c r="BQ263" s="546"/>
      <c r="BR263" s="546"/>
      <c r="BS263" s="546"/>
      <c r="BT263" s="546"/>
      <c r="BU263" s="546"/>
      <c r="BV263" s="546"/>
      <c r="BW263" s="546"/>
      <c r="BX263" s="546"/>
      <c r="BY263" s="546"/>
      <c r="BZ263" s="546"/>
      <c r="CA263" s="84"/>
      <c r="CB263" s="84"/>
      <c r="CC263" s="84"/>
      <c r="CD263" s="84"/>
      <c r="CE263" s="84"/>
      <c r="CF263" s="84"/>
      <c r="CG263" s="84"/>
      <c r="CH263" s="84"/>
      <c r="CI263" s="84"/>
      <c r="CJ263" s="84"/>
      <c r="CK263" s="84"/>
      <c r="CL263" s="84"/>
    </row>
    <row r="264" spans="66:90" s="354" customFormat="1" x14ac:dyDescent="0.2">
      <c r="BN264" s="546"/>
      <c r="BO264" s="546"/>
      <c r="BP264" s="546"/>
      <c r="BQ264" s="546"/>
      <c r="BR264" s="546"/>
      <c r="BS264" s="546"/>
      <c r="BT264" s="546"/>
      <c r="BU264" s="546"/>
      <c r="BV264" s="546"/>
      <c r="BW264" s="546"/>
      <c r="BX264" s="546"/>
      <c r="BY264" s="546"/>
      <c r="BZ264" s="546"/>
      <c r="CA264" s="84"/>
      <c r="CB264" s="84"/>
      <c r="CC264" s="84"/>
      <c r="CD264" s="84"/>
      <c r="CE264" s="84"/>
      <c r="CF264" s="84"/>
      <c r="CG264" s="84"/>
      <c r="CH264" s="84"/>
      <c r="CI264" s="84"/>
      <c r="CJ264" s="84"/>
      <c r="CK264" s="84"/>
      <c r="CL264" s="84"/>
    </row>
    <row r="265" spans="66:90" s="354" customFormat="1" x14ac:dyDescent="0.2">
      <c r="BN265" s="546"/>
      <c r="BO265" s="546"/>
      <c r="BP265" s="546"/>
      <c r="BQ265" s="546"/>
      <c r="BR265" s="546"/>
      <c r="BS265" s="546"/>
      <c r="BT265" s="546"/>
      <c r="BU265" s="546"/>
      <c r="BV265" s="546"/>
      <c r="BW265" s="546"/>
      <c r="BX265" s="546"/>
      <c r="BY265" s="546"/>
      <c r="BZ265" s="546"/>
      <c r="CA265" s="84"/>
      <c r="CB265" s="84"/>
      <c r="CC265" s="84"/>
      <c r="CD265" s="84"/>
      <c r="CE265" s="84"/>
      <c r="CF265" s="84"/>
      <c r="CG265" s="84"/>
      <c r="CH265" s="84"/>
      <c r="CI265" s="84"/>
      <c r="CJ265" s="84"/>
      <c r="CK265" s="84"/>
      <c r="CL265" s="84"/>
    </row>
    <row r="266" spans="66:90" s="354" customFormat="1" x14ac:dyDescent="0.2">
      <c r="BN266" s="546"/>
      <c r="BO266" s="546"/>
      <c r="BP266" s="546"/>
      <c r="BQ266" s="546"/>
      <c r="BR266" s="546"/>
      <c r="BS266" s="546"/>
      <c r="BT266" s="546"/>
      <c r="BU266" s="546"/>
      <c r="BV266" s="546"/>
      <c r="BW266" s="546"/>
      <c r="BX266" s="546"/>
      <c r="BY266" s="546"/>
      <c r="BZ266" s="546"/>
      <c r="CA266" s="84"/>
      <c r="CB266" s="84"/>
      <c r="CC266" s="84"/>
      <c r="CD266" s="84"/>
      <c r="CE266" s="84"/>
      <c r="CF266" s="84"/>
      <c r="CG266" s="84"/>
      <c r="CH266" s="84"/>
      <c r="CI266" s="84"/>
      <c r="CJ266" s="84"/>
      <c r="CK266" s="84"/>
      <c r="CL266" s="84"/>
    </row>
    <row r="267" spans="66:90" s="354" customFormat="1" x14ac:dyDescent="0.2">
      <c r="BN267" s="546"/>
      <c r="BO267" s="546"/>
      <c r="BP267" s="546"/>
      <c r="BQ267" s="546"/>
      <c r="BR267" s="546"/>
      <c r="BS267" s="546"/>
      <c r="BT267" s="546"/>
      <c r="BU267" s="546"/>
      <c r="BV267" s="546"/>
      <c r="BW267" s="546"/>
      <c r="BX267" s="546"/>
      <c r="BY267" s="546"/>
      <c r="BZ267" s="546"/>
      <c r="CA267" s="84"/>
      <c r="CB267" s="84"/>
      <c r="CC267" s="84"/>
      <c r="CD267" s="84"/>
      <c r="CE267" s="84"/>
      <c r="CF267" s="84"/>
      <c r="CG267" s="84"/>
      <c r="CH267" s="84"/>
      <c r="CI267" s="84"/>
      <c r="CJ267" s="84"/>
      <c r="CK267" s="84"/>
      <c r="CL267" s="84"/>
    </row>
    <row r="268" spans="66:90" s="354" customFormat="1" x14ac:dyDescent="0.2">
      <c r="BN268" s="546"/>
      <c r="BO268" s="546"/>
      <c r="BP268" s="546"/>
      <c r="BQ268" s="546"/>
      <c r="BR268" s="546"/>
      <c r="BS268" s="546"/>
      <c r="BT268" s="546"/>
      <c r="BU268" s="546"/>
      <c r="BV268" s="546"/>
      <c r="BW268" s="546"/>
      <c r="BX268" s="546"/>
      <c r="BY268" s="546"/>
      <c r="BZ268" s="546"/>
      <c r="CA268" s="84"/>
      <c r="CB268" s="84"/>
      <c r="CC268" s="84"/>
      <c r="CD268" s="84"/>
      <c r="CE268" s="84"/>
      <c r="CF268" s="84"/>
      <c r="CG268" s="84"/>
      <c r="CH268" s="84"/>
      <c r="CI268" s="84"/>
      <c r="CJ268" s="84"/>
      <c r="CK268" s="84"/>
      <c r="CL268" s="84"/>
    </row>
    <row r="269" spans="66:90" s="354" customFormat="1" x14ac:dyDescent="0.2">
      <c r="BN269" s="546"/>
      <c r="BO269" s="546"/>
      <c r="BP269" s="546"/>
      <c r="BQ269" s="546"/>
      <c r="BR269" s="546"/>
      <c r="BS269" s="546"/>
      <c r="BT269" s="546"/>
      <c r="BU269" s="546"/>
      <c r="BV269" s="546"/>
      <c r="BW269" s="546"/>
      <c r="BX269" s="546"/>
      <c r="BY269" s="546"/>
      <c r="BZ269" s="546"/>
      <c r="CA269" s="84"/>
      <c r="CB269" s="84"/>
      <c r="CC269" s="84"/>
      <c r="CD269" s="84"/>
      <c r="CE269" s="84"/>
      <c r="CF269" s="84"/>
      <c r="CG269" s="84"/>
      <c r="CH269" s="84"/>
      <c r="CI269" s="84"/>
      <c r="CJ269" s="84"/>
      <c r="CK269" s="84"/>
      <c r="CL269" s="84"/>
    </row>
    <row r="270" spans="66:90" s="354" customFormat="1" x14ac:dyDescent="0.2">
      <c r="BN270" s="546"/>
      <c r="BO270" s="546"/>
      <c r="BP270" s="546"/>
      <c r="BQ270" s="546"/>
      <c r="BR270" s="546"/>
      <c r="BS270" s="546"/>
      <c r="BT270" s="546"/>
      <c r="BU270" s="546"/>
      <c r="BV270" s="546"/>
      <c r="BW270" s="546"/>
      <c r="BX270" s="546"/>
      <c r="BY270" s="546"/>
      <c r="BZ270" s="546"/>
      <c r="CA270" s="84"/>
      <c r="CB270" s="84"/>
      <c r="CC270" s="84"/>
      <c r="CD270" s="84"/>
      <c r="CE270" s="84"/>
      <c r="CF270" s="84"/>
      <c r="CG270" s="84"/>
      <c r="CH270" s="84"/>
      <c r="CI270" s="84"/>
      <c r="CJ270" s="84"/>
      <c r="CK270" s="84"/>
      <c r="CL270" s="84"/>
    </row>
    <row r="271" spans="66:90" s="354" customFormat="1" x14ac:dyDescent="0.2">
      <c r="BN271" s="546"/>
      <c r="BO271" s="546"/>
      <c r="BP271" s="546"/>
      <c r="BQ271" s="546"/>
      <c r="BR271" s="546"/>
      <c r="BS271" s="546"/>
      <c r="BT271" s="546"/>
      <c r="BU271" s="546"/>
      <c r="BV271" s="546"/>
      <c r="BW271" s="546"/>
      <c r="BX271" s="546"/>
      <c r="BY271" s="546"/>
      <c r="BZ271" s="546"/>
      <c r="CA271" s="84"/>
      <c r="CB271" s="84"/>
      <c r="CC271" s="84"/>
      <c r="CD271" s="84"/>
      <c r="CE271" s="84"/>
      <c r="CF271" s="84"/>
      <c r="CG271" s="84"/>
      <c r="CH271" s="84"/>
      <c r="CI271" s="84"/>
      <c r="CJ271" s="84"/>
      <c r="CK271" s="84"/>
      <c r="CL271" s="84"/>
    </row>
    <row r="272" spans="66:90" s="354" customFormat="1" x14ac:dyDescent="0.2">
      <c r="BN272" s="546"/>
      <c r="BO272" s="546"/>
      <c r="BP272" s="546"/>
      <c r="BQ272" s="546"/>
      <c r="BR272" s="546"/>
      <c r="BS272" s="546"/>
      <c r="BT272" s="546"/>
      <c r="BU272" s="546"/>
      <c r="BV272" s="546"/>
      <c r="BW272" s="546"/>
      <c r="BX272" s="546"/>
      <c r="BY272" s="546"/>
      <c r="BZ272" s="546"/>
      <c r="CA272" s="84"/>
      <c r="CB272" s="84"/>
      <c r="CC272" s="84"/>
      <c r="CD272" s="84"/>
      <c r="CE272" s="84"/>
      <c r="CF272" s="84"/>
      <c r="CG272" s="84"/>
      <c r="CH272" s="84"/>
      <c r="CI272" s="84"/>
      <c r="CJ272" s="84"/>
      <c r="CK272" s="84"/>
      <c r="CL272" s="84"/>
    </row>
    <row r="273" spans="66:90" s="354" customFormat="1" x14ac:dyDescent="0.2">
      <c r="BN273" s="546"/>
      <c r="BO273" s="546"/>
      <c r="BP273" s="546"/>
      <c r="BQ273" s="546"/>
      <c r="BR273" s="546"/>
      <c r="BS273" s="546"/>
      <c r="BT273" s="546"/>
      <c r="BU273" s="546"/>
      <c r="BV273" s="546"/>
      <c r="BW273" s="546"/>
      <c r="BX273" s="546"/>
      <c r="BY273" s="546"/>
      <c r="BZ273" s="546"/>
      <c r="CA273" s="84"/>
      <c r="CB273" s="84"/>
      <c r="CC273" s="84"/>
      <c r="CD273" s="84"/>
      <c r="CE273" s="84"/>
      <c r="CF273" s="84"/>
      <c r="CG273" s="84"/>
      <c r="CH273" s="84"/>
      <c r="CI273" s="84"/>
      <c r="CJ273" s="84"/>
      <c r="CK273" s="84"/>
      <c r="CL273" s="84"/>
    </row>
    <row r="274" spans="66:90" s="354" customFormat="1" x14ac:dyDescent="0.2">
      <c r="BN274" s="546"/>
      <c r="BO274" s="546"/>
      <c r="BP274" s="546"/>
      <c r="BQ274" s="546"/>
      <c r="BR274" s="546"/>
      <c r="BS274" s="546"/>
      <c r="BT274" s="546"/>
      <c r="BU274" s="546"/>
      <c r="BV274" s="546"/>
      <c r="BW274" s="546"/>
      <c r="BX274" s="546"/>
      <c r="BY274" s="546"/>
      <c r="BZ274" s="546"/>
      <c r="CA274" s="84"/>
      <c r="CB274" s="84"/>
      <c r="CC274" s="84"/>
      <c r="CD274" s="84"/>
      <c r="CE274" s="84"/>
      <c r="CF274" s="84"/>
      <c r="CG274" s="84"/>
      <c r="CH274" s="84"/>
      <c r="CI274" s="84"/>
      <c r="CJ274" s="84"/>
      <c r="CK274" s="84"/>
      <c r="CL274" s="84"/>
    </row>
    <row r="275" spans="66:90" s="354" customFormat="1" x14ac:dyDescent="0.2">
      <c r="BN275" s="546"/>
      <c r="BO275" s="546"/>
      <c r="BP275" s="546"/>
      <c r="BQ275" s="546"/>
      <c r="BR275" s="546"/>
      <c r="BS275" s="546"/>
      <c r="BT275" s="546"/>
      <c r="BU275" s="546"/>
      <c r="BV275" s="546"/>
      <c r="BW275" s="546"/>
      <c r="BX275" s="546"/>
      <c r="BY275" s="546"/>
      <c r="BZ275" s="546"/>
      <c r="CA275" s="84"/>
      <c r="CB275" s="84"/>
      <c r="CC275" s="84"/>
      <c r="CD275" s="84"/>
      <c r="CE275" s="84"/>
      <c r="CF275" s="84"/>
      <c r="CG275" s="84"/>
      <c r="CH275" s="84"/>
      <c r="CI275" s="84"/>
      <c r="CJ275" s="84"/>
      <c r="CK275" s="84"/>
      <c r="CL275" s="84"/>
    </row>
    <row r="276" spans="66:90" s="354" customFormat="1" x14ac:dyDescent="0.2">
      <c r="BN276" s="546"/>
      <c r="BO276" s="546"/>
      <c r="BP276" s="546"/>
      <c r="BQ276" s="546"/>
      <c r="BR276" s="546"/>
      <c r="BS276" s="546"/>
      <c r="BT276" s="546"/>
      <c r="BU276" s="546"/>
      <c r="BV276" s="546"/>
      <c r="BW276" s="546"/>
      <c r="BX276" s="546"/>
      <c r="BY276" s="546"/>
      <c r="BZ276" s="546"/>
      <c r="CA276" s="84"/>
      <c r="CB276" s="84"/>
      <c r="CC276" s="84"/>
      <c r="CD276" s="84"/>
      <c r="CE276" s="84"/>
      <c r="CF276" s="84"/>
      <c r="CG276" s="84"/>
      <c r="CH276" s="84"/>
      <c r="CI276" s="84"/>
      <c r="CJ276" s="84"/>
      <c r="CK276" s="84"/>
      <c r="CL276" s="84"/>
    </row>
    <row r="277" spans="66:90" s="354" customFormat="1" x14ac:dyDescent="0.2">
      <c r="BN277" s="546"/>
      <c r="BO277" s="546"/>
      <c r="BP277" s="546"/>
      <c r="BQ277" s="546"/>
      <c r="BR277" s="546"/>
      <c r="BS277" s="546"/>
      <c r="BT277" s="546"/>
      <c r="BU277" s="546"/>
      <c r="BV277" s="546"/>
      <c r="BW277" s="546"/>
      <c r="BX277" s="546"/>
      <c r="BY277" s="546"/>
      <c r="BZ277" s="546"/>
      <c r="CA277" s="84"/>
      <c r="CB277" s="84"/>
      <c r="CC277" s="84"/>
      <c r="CD277" s="84"/>
      <c r="CE277" s="84"/>
      <c r="CF277" s="84"/>
      <c r="CG277" s="84"/>
      <c r="CH277" s="84"/>
      <c r="CI277" s="84"/>
      <c r="CJ277" s="84"/>
      <c r="CK277" s="84"/>
      <c r="CL277" s="84"/>
    </row>
    <row r="278" spans="66:90" s="354" customFormat="1" x14ac:dyDescent="0.2">
      <c r="BN278" s="546"/>
      <c r="BO278" s="546"/>
      <c r="BP278" s="546"/>
      <c r="BQ278" s="546"/>
      <c r="BR278" s="546"/>
      <c r="BS278" s="546"/>
      <c r="BT278" s="546"/>
      <c r="BU278" s="546"/>
      <c r="BV278" s="546"/>
      <c r="BW278" s="546"/>
      <c r="BX278" s="546"/>
      <c r="BY278" s="546"/>
      <c r="BZ278" s="546"/>
      <c r="CA278" s="84"/>
      <c r="CB278" s="84"/>
      <c r="CC278" s="84"/>
      <c r="CD278" s="84"/>
      <c r="CE278" s="84"/>
      <c r="CF278" s="84"/>
      <c r="CG278" s="84"/>
      <c r="CH278" s="84"/>
      <c r="CI278" s="84"/>
      <c r="CJ278" s="84"/>
      <c r="CK278" s="84"/>
      <c r="CL278" s="84"/>
    </row>
    <row r="279" spans="66:90" s="354" customFormat="1" x14ac:dyDescent="0.2">
      <c r="BN279" s="546"/>
      <c r="BO279" s="546"/>
      <c r="BP279" s="546"/>
      <c r="BQ279" s="546"/>
      <c r="BR279" s="546"/>
      <c r="BS279" s="546"/>
      <c r="BT279" s="546"/>
      <c r="BU279" s="546"/>
      <c r="BV279" s="546"/>
      <c r="BW279" s="546"/>
      <c r="BX279" s="546"/>
      <c r="BY279" s="546"/>
      <c r="BZ279" s="546"/>
      <c r="CA279" s="84"/>
      <c r="CB279" s="84"/>
      <c r="CC279" s="84"/>
      <c r="CD279" s="84"/>
      <c r="CE279" s="84"/>
      <c r="CF279" s="84"/>
      <c r="CG279" s="84"/>
      <c r="CH279" s="84"/>
      <c r="CI279" s="84"/>
      <c r="CJ279" s="84"/>
      <c r="CK279" s="84"/>
      <c r="CL279" s="84"/>
    </row>
    <row r="280" spans="66:90" s="354" customFormat="1" x14ac:dyDescent="0.2">
      <c r="BN280" s="546"/>
      <c r="BO280" s="546"/>
      <c r="BP280" s="546"/>
      <c r="BQ280" s="546"/>
      <c r="BR280" s="546"/>
      <c r="BS280" s="546"/>
      <c r="BT280" s="546"/>
      <c r="BU280" s="546"/>
      <c r="BV280" s="546"/>
      <c r="BW280" s="546"/>
      <c r="BX280" s="546"/>
      <c r="BY280" s="546"/>
      <c r="BZ280" s="546"/>
      <c r="CA280" s="84"/>
      <c r="CB280" s="84"/>
      <c r="CC280" s="84"/>
      <c r="CD280" s="84"/>
      <c r="CE280" s="84"/>
      <c r="CF280" s="84"/>
      <c r="CG280" s="84"/>
      <c r="CH280" s="84"/>
      <c r="CI280" s="84"/>
      <c r="CJ280" s="84"/>
      <c r="CK280" s="84"/>
      <c r="CL280" s="84"/>
    </row>
    <row r="281" spans="66:90" s="354" customFormat="1" x14ac:dyDescent="0.2">
      <c r="BN281" s="546"/>
      <c r="BO281" s="546"/>
      <c r="BP281" s="546"/>
      <c r="BQ281" s="546"/>
      <c r="BR281" s="546"/>
      <c r="BS281" s="546"/>
      <c r="BT281" s="546"/>
      <c r="BU281" s="546"/>
      <c r="BV281" s="546"/>
      <c r="BW281" s="546"/>
      <c r="BX281" s="546"/>
      <c r="BY281" s="546"/>
      <c r="BZ281" s="546"/>
      <c r="CA281" s="84"/>
      <c r="CB281" s="84"/>
      <c r="CC281" s="84"/>
      <c r="CD281" s="84"/>
      <c r="CE281" s="84"/>
      <c r="CF281" s="84"/>
      <c r="CG281" s="84"/>
      <c r="CH281" s="84"/>
      <c r="CI281" s="84"/>
      <c r="CJ281" s="84"/>
      <c r="CK281" s="84"/>
      <c r="CL281" s="84"/>
    </row>
    <row r="282" spans="66:90" s="354" customFormat="1" x14ac:dyDescent="0.2">
      <c r="BN282" s="546"/>
      <c r="BO282" s="546"/>
      <c r="BP282" s="546"/>
      <c r="BQ282" s="546"/>
      <c r="BR282" s="546"/>
      <c r="BS282" s="546"/>
      <c r="BT282" s="546"/>
      <c r="BU282" s="546"/>
      <c r="BV282" s="546"/>
      <c r="BW282" s="546"/>
      <c r="BX282" s="546"/>
      <c r="BY282" s="546"/>
      <c r="BZ282" s="546"/>
      <c r="CA282" s="84"/>
      <c r="CB282" s="84"/>
      <c r="CC282" s="84"/>
      <c r="CD282" s="84"/>
      <c r="CE282" s="84"/>
      <c r="CF282" s="84"/>
      <c r="CG282" s="84"/>
      <c r="CH282" s="84"/>
      <c r="CI282" s="84"/>
      <c r="CJ282" s="84"/>
      <c r="CK282" s="84"/>
      <c r="CL282" s="84"/>
    </row>
    <row r="283" spans="66:90" s="354" customFormat="1" x14ac:dyDescent="0.2">
      <c r="BN283" s="546"/>
      <c r="BO283" s="546"/>
      <c r="BP283" s="546"/>
      <c r="BQ283" s="546"/>
      <c r="BR283" s="546"/>
      <c r="BS283" s="546"/>
      <c r="BT283" s="546"/>
      <c r="BU283" s="546"/>
      <c r="BV283" s="546"/>
      <c r="BW283" s="546"/>
      <c r="BX283" s="546"/>
      <c r="BY283" s="546"/>
      <c r="BZ283" s="546"/>
      <c r="CA283" s="84"/>
      <c r="CB283" s="84"/>
      <c r="CC283" s="84"/>
      <c r="CD283" s="84"/>
      <c r="CE283" s="84"/>
      <c r="CF283" s="84"/>
      <c r="CG283" s="84"/>
      <c r="CH283" s="84"/>
      <c r="CI283" s="84"/>
      <c r="CJ283" s="84"/>
      <c r="CK283" s="84"/>
      <c r="CL283" s="84"/>
    </row>
    <row r="284" spans="66:90" s="354" customFormat="1" x14ac:dyDescent="0.2">
      <c r="BN284" s="546"/>
      <c r="BO284" s="546"/>
      <c r="BP284" s="546"/>
      <c r="BQ284" s="546"/>
      <c r="BR284" s="546"/>
      <c r="BS284" s="546"/>
      <c r="BT284" s="546"/>
      <c r="BU284" s="546"/>
      <c r="BV284" s="546"/>
      <c r="BW284" s="546"/>
      <c r="BX284" s="546"/>
      <c r="BY284" s="546"/>
      <c r="BZ284" s="546"/>
      <c r="CA284" s="84"/>
      <c r="CB284" s="84"/>
      <c r="CC284" s="84"/>
      <c r="CD284" s="84"/>
      <c r="CE284" s="84"/>
      <c r="CF284" s="84"/>
      <c r="CG284" s="84"/>
      <c r="CH284" s="84"/>
      <c r="CI284" s="84"/>
      <c r="CJ284" s="84"/>
      <c r="CK284" s="84"/>
      <c r="CL284" s="84"/>
    </row>
    <row r="285" spans="66:90" s="354" customFormat="1" x14ac:dyDescent="0.2">
      <c r="BN285" s="546"/>
      <c r="BO285" s="546"/>
      <c r="BP285" s="546"/>
      <c r="BQ285" s="546"/>
      <c r="BR285" s="546"/>
      <c r="BS285" s="546"/>
      <c r="BT285" s="546"/>
      <c r="BU285" s="546"/>
      <c r="BV285" s="546"/>
      <c r="BW285" s="546"/>
      <c r="BX285" s="546"/>
      <c r="BY285" s="546"/>
      <c r="BZ285" s="546"/>
      <c r="CA285" s="84"/>
      <c r="CB285" s="84"/>
      <c r="CC285" s="84"/>
      <c r="CD285" s="84"/>
      <c r="CE285" s="84"/>
      <c r="CF285" s="84"/>
      <c r="CG285" s="84"/>
      <c r="CH285" s="84"/>
      <c r="CI285" s="84"/>
      <c r="CJ285" s="84"/>
      <c r="CK285" s="84"/>
      <c r="CL285" s="84"/>
    </row>
    <row r="286" spans="66:90" s="354" customFormat="1" x14ac:dyDescent="0.2">
      <c r="BN286" s="546"/>
      <c r="BO286" s="546"/>
      <c r="BP286" s="546"/>
      <c r="BQ286" s="546"/>
      <c r="BR286" s="546"/>
      <c r="BS286" s="546"/>
      <c r="BT286" s="546"/>
      <c r="BU286" s="546"/>
      <c r="BV286" s="546"/>
      <c r="BW286" s="546"/>
      <c r="BX286" s="546"/>
      <c r="BY286" s="546"/>
      <c r="BZ286" s="546"/>
      <c r="CA286" s="84"/>
      <c r="CB286" s="84"/>
      <c r="CC286" s="84"/>
      <c r="CD286" s="84"/>
      <c r="CE286" s="84"/>
      <c r="CF286" s="84"/>
      <c r="CG286" s="84"/>
      <c r="CH286" s="84"/>
      <c r="CI286" s="84"/>
      <c r="CJ286" s="84"/>
      <c r="CK286" s="84"/>
      <c r="CL286" s="84"/>
    </row>
    <row r="287" spans="66:90" s="354" customFormat="1" x14ac:dyDescent="0.2">
      <c r="BN287" s="546"/>
      <c r="BO287" s="546"/>
      <c r="BP287" s="546"/>
      <c r="BQ287" s="546"/>
      <c r="BR287" s="546"/>
      <c r="BS287" s="546"/>
      <c r="BT287" s="546"/>
      <c r="BU287" s="546"/>
      <c r="BV287" s="546"/>
      <c r="BW287" s="546"/>
      <c r="BX287" s="546"/>
      <c r="BY287" s="546"/>
      <c r="BZ287" s="546"/>
      <c r="CA287" s="84"/>
      <c r="CB287" s="84"/>
      <c r="CC287" s="84"/>
      <c r="CD287" s="84"/>
      <c r="CE287" s="84"/>
      <c r="CF287" s="84"/>
      <c r="CG287" s="84"/>
      <c r="CH287" s="84"/>
      <c r="CI287" s="84"/>
      <c r="CJ287" s="84"/>
      <c r="CK287" s="84"/>
      <c r="CL287" s="84"/>
    </row>
    <row r="288" spans="66:90" s="354" customFormat="1" x14ac:dyDescent="0.2">
      <c r="BN288" s="546"/>
      <c r="BO288" s="546"/>
      <c r="BP288" s="546"/>
      <c r="BQ288" s="546"/>
      <c r="BR288" s="546"/>
      <c r="BS288" s="546"/>
      <c r="BT288" s="546"/>
      <c r="BU288" s="546"/>
      <c r="BV288" s="546"/>
      <c r="BW288" s="546"/>
      <c r="BX288" s="546"/>
      <c r="BY288" s="546"/>
      <c r="BZ288" s="546"/>
      <c r="CA288" s="84"/>
      <c r="CB288" s="84"/>
      <c r="CC288" s="84"/>
      <c r="CD288" s="84"/>
      <c r="CE288" s="84"/>
      <c r="CF288" s="84"/>
      <c r="CG288" s="84"/>
      <c r="CH288" s="84"/>
      <c r="CI288" s="84"/>
      <c r="CJ288" s="84"/>
      <c r="CK288" s="84"/>
      <c r="CL288" s="84"/>
    </row>
    <row r="289" spans="66:90" s="354" customFormat="1" x14ac:dyDescent="0.2">
      <c r="BN289" s="546"/>
      <c r="BO289" s="546"/>
      <c r="BP289" s="546"/>
      <c r="BQ289" s="546"/>
      <c r="BR289" s="546"/>
      <c r="BS289" s="546"/>
      <c r="BT289" s="546"/>
      <c r="BU289" s="546"/>
      <c r="BV289" s="546"/>
      <c r="BW289" s="546"/>
      <c r="BX289" s="546"/>
      <c r="BY289" s="546"/>
      <c r="BZ289" s="546"/>
      <c r="CA289" s="84"/>
      <c r="CB289" s="84"/>
      <c r="CC289" s="84"/>
      <c r="CD289" s="84"/>
      <c r="CE289" s="84"/>
      <c r="CF289" s="84"/>
      <c r="CG289" s="84"/>
      <c r="CH289" s="84"/>
      <c r="CI289" s="84"/>
      <c r="CJ289" s="84"/>
      <c r="CK289" s="84"/>
      <c r="CL289" s="84"/>
    </row>
    <row r="290" spans="66:90" s="354" customFormat="1" x14ac:dyDescent="0.2">
      <c r="BN290" s="546"/>
      <c r="BO290" s="546"/>
      <c r="BP290" s="546"/>
      <c r="BQ290" s="546"/>
      <c r="BR290" s="546"/>
      <c r="BS290" s="546"/>
      <c r="BT290" s="546"/>
      <c r="BU290" s="546"/>
      <c r="BV290" s="546"/>
      <c r="BW290" s="546"/>
      <c r="BX290" s="546"/>
      <c r="BY290" s="546"/>
      <c r="BZ290" s="546"/>
      <c r="CA290" s="84"/>
      <c r="CB290" s="84"/>
      <c r="CC290" s="84"/>
      <c r="CD290" s="84"/>
      <c r="CE290" s="84"/>
      <c r="CF290" s="84"/>
      <c r="CG290" s="84"/>
      <c r="CH290" s="84"/>
      <c r="CI290" s="84"/>
      <c r="CJ290" s="84"/>
      <c r="CK290" s="84"/>
      <c r="CL290" s="84"/>
    </row>
    <row r="291" spans="66:90" s="354" customFormat="1" x14ac:dyDescent="0.2">
      <c r="BN291" s="546"/>
      <c r="BO291" s="546"/>
      <c r="BP291" s="546"/>
      <c r="BQ291" s="546"/>
      <c r="BR291" s="546"/>
      <c r="BS291" s="546"/>
      <c r="BT291" s="546"/>
      <c r="BU291" s="546"/>
      <c r="BV291" s="546"/>
      <c r="BW291" s="546"/>
      <c r="BX291" s="546"/>
      <c r="BY291" s="546"/>
      <c r="BZ291" s="546"/>
      <c r="CA291" s="84"/>
      <c r="CB291" s="84"/>
      <c r="CC291" s="84"/>
      <c r="CD291" s="84"/>
      <c r="CE291" s="84"/>
      <c r="CF291" s="84"/>
      <c r="CG291" s="84"/>
      <c r="CH291" s="84"/>
      <c r="CI291" s="84"/>
      <c r="CJ291" s="84"/>
      <c r="CK291" s="84"/>
      <c r="CL291" s="84"/>
    </row>
    <row r="292" spans="66:90" s="354" customFormat="1" x14ac:dyDescent="0.2">
      <c r="BN292" s="546"/>
      <c r="BO292" s="546"/>
      <c r="BP292" s="546"/>
      <c r="BQ292" s="546"/>
      <c r="BR292" s="546"/>
      <c r="BS292" s="546"/>
      <c r="BT292" s="546"/>
      <c r="BU292" s="546"/>
      <c r="BV292" s="546"/>
      <c r="BW292" s="546"/>
      <c r="BX292" s="546"/>
      <c r="BY292" s="546"/>
      <c r="BZ292" s="546"/>
      <c r="CA292" s="84"/>
      <c r="CB292" s="84"/>
      <c r="CC292" s="84"/>
      <c r="CD292" s="84"/>
      <c r="CE292" s="84"/>
      <c r="CF292" s="84"/>
      <c r="CG292" s="84"/>
      <c r="CH292" s="84"/>
      <c r="CI292" s="84"/>
      <c r="CJ292" s="84"/>
      <c r="CK292" s="84"/>
      <c r="CL292" s="84"/>
    </row>
    <row r="293" spans="66:90" s="354" customFormat="1" x14ac:dyDescent="0.2">
      <c r="BN293" s="546"/>
      <c r="BO293" s="546"/>
      <c r="BP293" s="546"/>
      <c r="BQ293" s="546"/>
      <c r="BR293" s="546"/>
      <c r="BS293" s="546"/>
      <c r="BT293" s="546"/>
      <c r="BU293" s="546"/>
      <c r="BV293" s="546"/>
      <c r="BW293" s="546"/>
      <c r="BX293" s="546"/>
      <c r="BY293" s="546"/>
      <c r="BZ293" s="546"/>
      <c r="CA293" s="84"/>
      <c r="CB293" s="84"/>
      <c r="CC293" s="84"/>
      <c r="CD293" s="84"/>
      <c r="CE293" s="84"/>
      <c r="CF293" s="84"/>
      <c r="CG293" s="84"/>
      <c r="CH293" s="84"/>
      <c r="CI293" s="84"/>
      <c r="CJ293" s="84"/>
      <c r="CK293" s="84"/>
      <c r="CL293" s="84"/>
    </row>
    <row r="294" spans="66:90" s="354" customFormat="1" x14ac:dyDescent="0.2">
      <c r="BN294" s="546"/>
      <c r="BO294" s="546"/>
      <c r="BP294" s="546"/>
      <c r="BQ294" s="546"/>
      <c r="BR294" s="546"/>
      <c r="BS294" s="546"/>
      <c r="BT294" s="546"/>
      <c r="BU294" s="546"/>
      <c r="BV294" s="546"/>
      <c r="BW294" s="546"/>
      <c r="BX294" s="546"/>
      <c r="BY294" s="546"/>
      <c r="BZ294" s="546"/>
      <c r="CA294" s="84"/>
      <c r="CB294" s="84"/>
      <c r="CC294" s="84"/>
      <c r="CD294" s="84"/>
      <c r="CE294" s="84"/>
      <c r="CF294" s="84"/>
      <c r="CG294" s="84"/>
      <c r="CH294" s="84"/>
      <c r="CI294" s="84"/>
      <c r="CJ294" s="84"/>
      <c r="CK294" s="84"/>
      <c r="CL294" s="84"/>
    </row>
    <row r="295" spans="66:90" s="354" customFormat="1" x14ac:dyDescent="0.2">
      <c r="BN295" s="546"/>
      <c r="BO295" s="546"/>
      <c r="BP295" s="546"/>
      <c r="BQ295" s="546"/>
      <c r="BR295" s="546"/>
      <c r="BS295" s="546"/>
      <c r="BT295" s="546"/>
      <c r="BU295" s="546"/>
      <c r="BV295" s="546"/>
      <c r="BW295" s="546"/>
      <c r="BX295" s="546"/>
      <c r="BY295" s="546"/>
      <c r="BZ295" s="546"/>
      <c r="CA295" s="84"/>
      <c r="CB295" s="84"/>
      <c r="CC295" s="84"/>
      <c r="CD295" s="84"/>
      <c r="CE295" s="84"/>
      <c r="CF295" s="84"/>
      <c r="CG295" s="84"/>
      <c r="CH295" s="84"/>
      <c r="CI295" s="84"/>
      <c r="CJ295" s="84"/>
      <c r="CK295" s="84"/>
      <c r="CL295" s="84"/>
    </row>
    <row r="296" spans="66:90" s="354" customFormat="1" x14ac:dyDescent="0.2">
      <c r="BN296" s="546"/>
      <c r="BO296" s="546"/>
      <c r="BP296" s="546"/>
      <c r="BQ296" s="546"/>
      <c r="BR296" s="546"/>
      <c r="BS296" s="546"/>
      <c r="BT296" s="546"/>
      <c r="BU296" s="546"/>
      <c r="BV296" s="546"/>
      <c r="BW296" s="546"/>
      <c r="BX296" s="546"/>
      <c r="BY296" s="546"/>
      <c r="BZ296" s="546"/>
      <c r="CA296" s="84"/>
      <c r="CB296" s="84"/>
      <c r="CC296" s="84"/>
      <c r="CD296" s="84"/>
      <c r="CE296" s="84"/>
      <c r="CF296" s="84"/>
      <c r="CG296" s="84"/>
      <c r="CH296" s="84"/>
      <c r="CI296" s="84"/>
      <c r="CJ296" s="84"/>
      <c r="CK296" s="84"/>
      <c r="CL296" s="84"/>
    </row>
    <row r="297" spans="66:90" s="354" customFormat="1" x14ac:dyDescent="0.2">
      <c r="BN297" s="546"/>
      <c r="BO297" s="546"/>
      <c r="BP297" s="546"/>
      <c r="BQ297" s="546"/>
      <c r="BR297" s="546"/>
      <c r="BS297" s="546"/>
      <c r="BT297" s="546"/>
      <c r="BU297" s="546"/>
      <c r="BV297" s="546"/>
      <c r="BW297" s="546"/>
      <c r="BX297" s="546"/>
      <c r="BY297" s="546"/>
      <c r="BZ297" s="546"/>
      <c r="CA297" s="84"/>
      <c r="CB297" s="84"/>
      <c r="CC297" s="84"/>
      <c r="CD297" s="84"/>
      <c r="CE297" s="84"/>
      <c r="CF297" s="84"/>
      <c r="CG297" s="84"/>
      <c r="CH297" s="84"/>
      <c r="CI297" s="84"/>
      <c r="CJ297" s="84"/>
      <c r="CK297" s="84"/>
      <c r="CL297" s="84"/>
    </row>
    <row r="298" spans="66:90" s="354" customFormat="1" x14ac:dyDescent="0.2">
      <c r="BN298" s="546"/>
      <c r="BO298" s="546"/>
      <c r="BP298" s="546"/>
      <c r="BQ298" s="546"/>
      <c r="BR298" s="546"/>
      <c r="BS298" s="546"/>
      <c r="BT298" s="546"/>
      <c r="BU298" s="546"/>
      <c r="BV298" s="546"/>
      <c r="BW298" s="546"/>
      <c r="BX298" s="546"/>
      <c r="BY298" s="546"/>
      <c r="BZ298" s="546"/>
      <c r="CA298" s="84"/>
      <c r="CB298" s="84"/>
      <c r="CC298" s="84"/>
      <c r="CD298" s="84"/>
      <c r="CE298" s="84"/>
      <c r="CF298" s="84"/>
      <c r="CG298" s="84"/>
      <c r="CH298" s="84"/>
      <c r="CI298" s="84"/>
      <c r="CJ298" s="84"/>
      <c r="CK298" s="84"/>
      <c r="CL298" s="84"/>
    </row>
    <row r="299" spans="66:90" s="354" customFormat="1" x14ac:dyDescent="0.2">
      <c r="BN299" s="546"/>
      <c r="BO299" s="546"/>
      <c r="BP299" s="546"/>
      <c r="BQ299" s="546"/>
      <c r="BR299" s="546"/>
      <c r="BS299" s="546"/>
      <c r="BT299" s="546"/>
      <c r="BU299" s="546"/>
      <c r="BV299" s="546"/>
      <c r="BW299" s="546"/>
      <c r="BX299" s="546"/>
      <c r="BY299" s="546"/>
      <c r="BZ299" s="546"/>
      <c r="CA299" s="84"/>
      <c r="CB299" s="84"/>
      <c r="CC299" s="84"/>
      <c r="CD299" s="84"/>
      <c r="CE299" s="84"/>
      <c r="CF299" s="84"/>
      <c r="CG299" s="84"/>
      <c r="CH299" s="84"/>
      <c r="CI299" s="84"/>
      <c r="CJ299" s="84"/>
      <c r="CK299" s="84"/>
      <c r="CL299" s="84"/>
    </row>
    <row r="300" spans="66:90" s="354" customFormat="1" x14ac:dyDescent="0.2">
      <c r="BN300" s="546"/>
      <c r="BO300" s="546"/>
      <c r="BP300" s="546"/>
      <c r="BQ300" s="546"/>
      <c r="BR300" s="546"/>
      <c r="BS300" s="546"/>
      <c r="BT300" s="546"/>
      <c r="BU300" s="546"/>
      <c r="BV300" s="546"/>
      <c r="BW300" s="546"/>
      <c r="BX300" s="546"/>
      <c r="BY300" s="546"/>
      <c r="BZ300" s="546"/>
      <c r="CA300" s="84"/>
      <c r="CB300" s="84"/>
      <c r="CC300" s="84"/>
      <c r="CD300" s="84"/>
      <c r="CE300" s="84"/>
      <c r="CF300" s="84"/>
      <c r="CG300" s="84"/>
      <c r="CH300" s="84"/>
      <c r="CI300" s="84"/>
      <c r="CJ300" s="84"/>
      <c r="CK300" s="84"/>
      <c r="CL300" s="84"/>
    </row>
    <row r="301" spans="66:90" s="354" customFormat="1" x14ac:dyDescent="0.2">
      <c r="BN301" s="546"/>
      <c r="BO301" s="546"/>
      <c r="BP301" s="546"/>
      <c r="BQ301" s="546"/>
      <c r="BR301" s="546"/>
      <c r="BS301" s="546"/>
      <c r="BT301" s="546"/>
      <c r="BU301" s="546"/>
      <c r="BV301" s="546"/>
      <c r="BW301" s="546"/>
      <c r="BX301" s="546"/>
      <c r="BY301" s="546"/>
      <c r="BZ301" s="546"/>
      <c r="CA301" s="84"/>
      <c r="CB301" s="84"/>
      <c r="CC301" s="84"/>
      <c r="CD301" s="84"/>
      <c r="CE301" s="84"/>
      <c r="CF301" s="84"/>
      <c r="CG301" s="84"/>
      <c r="CH301" s="84"/>
      <c r="CI301" s="84"/>
      <c r="CJ301" s="84"/>
      <c r="CK301" s="84"/>
      <c r="CL301" s="84"/>
    </row>
    <row r="302" spans="66:90" s="354" customFormat="1" x14ac:dyDescent="0.2">
      <c r="BN302" s="546"/>
      <c r="BO302" s="546"/>
      <c r="BP302" s="546"/>
      <c r="BQ302" s="546"/>
      <c r="BR302" s="546"/>
      <c r="BS302" s="546"/>
      <c r="BT302" s="546"/>
      <c r="BU302" s="546"/>
      <c r="BV302" s="546"/>
      <c r="BW302" s="546"/>
      <c r="BX302" s="546"/>
      <c r="BY302" s="546"/>
      <c r="BZ302" s="546"/>
      <c r="CA302" s="84"/>
      <c r="CB302" s="84"/>
      <c r="CC302" s="84"/>
      <c r="CD302" s="84"/>
      <c r="CE302" s="84"/>
      <c r="CF302" s="84"/>
      <c r="CG302" s="84"/>
      <c r="CH302" s="84"/>
      <c r="CI302" s="84"/>
      <c r="CJ302" s="84"/>
      <c r="CK302" s="84"/>
      <c r="CL302" s="84"/>
    </row>
    <row r="303" spans="66:90" s="354" customFormat="1" x14ac:dyDescent="0.2">
      <c r="BN303" s="546"/>
      <c r="BO303" s="546"/>
      <c r="BP303" s="546"/>
      <c r="BQ303" s="546"/>
      <c r="BR303" s="546"/>
      <c r="BS303" s="546"/>
      <c r="BT303" s="546"/>
      <c r="BU303" s="546"/>
      <c r="BV303" s="546"/>
      <c r="BW303" s="546"/>
      <c r="BX303" s="546"/>
      <c r="BY303" s="546"/>
      <c r="BZ303" s="546"/>
      <c r="CA303" s="84"/>
      <c r="CB303" s="84"/>
      <c r="CC303" s="84"/>
      <c r="CD303" s="84"/>
      <c r="CE303" s="84"/>
      <c r="CF303" s="84"/>
      <c r="CG303" s="84"/>
      <c r="CH303" s="84"/>
      <c r="CI303" s="84"/>
      <c r="CJ303" s="84"/>
      <c r="CK303" s="84"/>
      <c r="CL303" s="84"/>
    </row>
    <row r="304" spans="66:90" s="354" customFormat="1" x14ac:dyDescent="0.2">
      <c r="BN304" s="546"/>
      <c r="BO304" s="546"/>
      <c r="BP304" s="546"/>
      <c r="BQ304" s="546"/>
      <c r="BR304" s="546"/>
      <c r="BS304" s="546"/>
      <c r="BT304" s="546"/>
      <c r="BU304" s="546"/>
      <c r="BV304" s="546"/>
      <c r="BW304" s="546"/>
      <c r="BX304" s="546"/>
      <c r="BY304" s="546"/>
      <c r="BZ304" s="546"/>
      <c r="CA304" s="84"/>
      <c r="CB304" s="84"/>
      <c r="CC304" s="84"/>
      <c r="CD304" s="84"/>
      <c r="CE304" s="84"/>
      <c r="CF304" s="84"/>
      <c r="CG304" s="84"/>
      <c r="CH304" s="84"/>
      <c r="CI304" s="84"/>
      <c r="CJ304" s="84"/>
      <c r="CK304" s="84"/>
      <c r="CL304" s="84"/>
    </row>
    <row r="305" spans="66:90" s="354" customFormat="1" x14ac:dyDescent="0.2">
      <c r="BN305" s="546"/>
      <c r="BO305" s="546"/>
      <c r="BP305" s="546"/>
      <c r="BQ305" s="546"/>
      <c r="BR305" s="546"/>
      <c r="BS305" s="546"/>
      <c r="BT305" s="546"/>
      <c r="BU305" s="546"/>
      <c r="BV305" s="546"/>
      <c r="BW305" s="546"/>
      <c r="BX305" s="546"/>
      <c r="BY305" s="546"/>
      <c r="BZ305" s="546"/>
      <c r="CA305" s="84"/>
      <c r="CB305" s="84"/>
      <c r="CC305" s="84"/>
      <c r="CD305" s="84"/>
      <c r="CE305" s="84"/>
      <c r="CF305" s="84"/>
      <c r="CG305" s="84"/>
      <c r="CH305" s="84"/>
      <c r="CI305" s="84"/>
      <c r="CJ305" s="84"/>
      <c r="CK305" s="84"/>
      <c r="CL305" s="84"/>
    </row>
    <row r="306" spans="66:90" s="354" customFormat="1" x14ac:dyDescent="0.2">
      <c r="BN306" s="546"/>
      <c r="BO306" s="546"/>
      <c r="BP306" s="546"/>
      <c r="BQ306" s="546"/>
      <c r="BR306" s="546"/>
      <c r="BS306" s="546"/>
      <c r="BT306" s="546"/>
      <c r="BU306" s="546"/>
      <c r="BV306" s="546"/>
      <c r="BW306" s="546"/>
      <c r="BX306" s="546"/>
      <c r="BY306" s="546"/>
      <c r="BZ306" s="546"/>
      <c r="CA306" s="84"/>
      <c r="CB306" s="84"/>
      <c r="CC306" s="84"/>
      <c r="CD306" s="84"/>
      <c r="CE306" s="84"/>
      <c r="CF306" s="84"/>
      <c r="CG306" s="84"/>
      <c r="CH306" s="84"/>
      <c r="CI306" s="84"/>
      <c r="CJ306" s="84"/>
      <c r="CK306" s="84"/>
      <c r="CL306" s="84"/>
    </row>
    <row r="307" spans="66:90" s="354" customFormat="1" x14ac:dyDescent="0.2">
      <c r="BN307" s="546"/>
      <c r="BO307" s="546"/>
      <c r="BP307" s="546"/>
      <c r="BQ307" s="546"/>
      <c r="BR307" s="546"/>
      <c r="BS307" s="546"/>
      <c r="BT307" s="546"/>
      <c r="BU307" s="546"/>
      <c r="BV307" s="546"/>
      <c r="BW307" s="546"/>
      <c r="BX307" s="546"/>
      <c r="BY307" s="546"/>
      <c r="BZ307" s="546"/>
      <c r="CA307" s="84"/>
      <c r="CB307" s="84"/>
      <c r="CC307" s="84"/>
      <c r="CD307" s="84"/>
      <c r="CE307" s="84"/>
      <c r="CF307" s="84"/>
      <c r="CG307" s="84"/>
      <c r="CH307" s="84"/>
      <c r="CI307" s="84"/>
      <c r="CJ307" s="84"/>
      <c r="CK307" s="84"/>
      <c r="CL307" s="84"/>
    </row>
    <row r="308" spans="66:90" s="354" customFormat="1" x14ac:dyDescent="0.2">
      <c r="BN308" s="546"/>
      <c r="BO308" s="546"/>
      <c r="BP308" s="546"/>
      <c r="BQ308" s="546"/>
      <c r="BR308" s="546"/>
      <c r="BS308" s="546"/>
      <c r="BT308" s="546"/>
      <c r="BU308" s="546"/>
      <c r="BV308" s="546"/>
      <c r="BW308" s="546"/>
      <c r="BX308" s="546"/>
      <c r="BY308" s="546"/>
      <c r="BZ308" s="546"/>
      <c r="CA308" s="84"/>
      <c r="CB308" s="84"/>
      <c r="CC308" s="84"/>
      <c r="CD308" s="84"/>
      <c r="CE308" s="84"/>
      <c r="CF308" s="84"/>
      <c r="CG308" s="84"/>
      <c r="CH308" s="84"/>
      <c r="CI308" s="84"/>
      <c r="CJ308" s="84"/>
      <c r="CK308" s="84"/>
      <c r="CL308" s="84"/>
    </row>
    <row r="309" spans="66:90" s="354" customFormat="1" x14ac:dyDescent="0.2">
      <c r="BN309" s="546"/>
      <c r="BO309" s="546"/>
      <c r="BP309" s="546"/>
      <c r="BQ309" s="546"/>
      <c r="BR309" s="546"/>
      <c r="BS309" s="546"/>
      <c r="BT309" s="546"/>
      <c r="BU309" s="546"/>
      <c r="BV309" s="546"/>
      <c r="BW309" s="546"/>
      <c r="BX309" s="546"/>
      <c r="BY309" s="546"/>
      <c r="BZ309" s="546"/>
      <c r="CA309" s="84"/>
      <c r="CB309" s="84"/>
      <c r="CC309" s="84"/>
      <c r="CD309" s="84"/>
      <c r="CE309" s="84"/>
      <c r="CF309" s="84"/>
      <c r="CG309" s="84"/>
      <c r="CH309" s="84"/>
      <c r="CI309" s="84"/>
      <c r="CJ309" s="84"/>
      <c r="CK309" s="84"/>
      <c r="CL309" s="84"/>
    </row>
    <row r="310" spans="66:90" s="354" customFormat="1" x14ac:dyDescent="0.2">
      <c r="BN310" s="546"/>
      <c r="BO310" s="546"/>
      <c r="BP310" s="546"/>
      <c r="BQ310" s="546"/>
      <c r="BR310" s="546"/>
      <c r="BS310" s="546"/>
      <c r="BT310" s="546"/>
      <c r="BU310" s="546"/>
      <c r="BV310" s="546"/>
      <c r="BW310" s="546"/>
      <c r="BX310" s="546"/>
      <c r="BY310" s="546"/>
      <c r="BZ310" s="546"/>
      <c r="CA310" s="84"/>
      <c r="CB310" s="84"/>
      <c r="CC310" s="84"/>
      <c r="CD310" s="84"/>
      <c r="CE310" s="84"/>
      <c r="CF310" s="84"/>
      <c r="CG310" s="84"/>
      <c r="CH310" s="84"/>
      <c r="CI310" s="84"/>
      <c r="CJ310" s="84"/>
      <c r="CK310" s="84"/>
      <c r="CL310" s="84"/>
    </row>
    <row r="311" spans="66:90" s="354" customFormat="1" x14ac:dyDescent="0.2">
      <c r="BN311" s="546"/>
      <c r="BO311" s="546"/>
      <c r="BP311" s="546"/>
      <c r="BQ311" s="546"/>
      <c r="BR311" s="546"/>
      <c r="BS311" s="546"/>
      <c r="BT311" s="546"/>
      <c r="BU311" s="546"/>
      <c r="BV311" s="546"/>
      <c r="BW311" s="546"/>
      <c r="BX311" s="546"/>
      <c r="BY311" s="546"/>
      <c r="BZ311" s="546"/>
      <c r="CA311" s="84"/>
      <c r="CB311" s="84"/>
      <c r="CC311" s="84"/>
      <c r="CD311" s="84"/>
      <c r="CE311" s="84"/>
      <c r="CF311" s="84"/>
      <c r="CG311" s="84"/>
      <c r="CH311" s="84"/>
      <c r="CI311" s="84"/>
      <c r="CJ311" s="84"/>
      <c r="CK311" s="84"/>
      <c r="CL311" s="84"/>
    </row>
    <row r="312" spans="66:90" s="354" customFormat="1" x14ac:dyDescent="0.2">
      <c r="BN312" s="546"/>
      <c r="BO312" s="546"/>
      <c r="BP312" s="546"/>
      <c r="BQ312" s="546"/>
      <c r="BR312" s="546"/>
      <c r="BS312" s="546"/>
      <c r="BT312" s="546"/>
      <c r="BU312" s="546"/>
      <c r="BV312" s="546"/>
      <c r="BW312" s="546"/>
      <c r="BX312" s="546"/>
      <c r="BY312" s="546"/>
      <c r="BZ312" s="546"/>
      <c r="CA312" s="84"/>
      <c r="CB312" s="84"/>
      <c r="CC312" s="84"/>
      <c r="CD312" s="84"/>
      <c r="CE312" s="84"/>
      <c r="CF312" s="84"/>
      <c r="CG312" s="84"/>
      <c r="CH312" s="84"/>
      <c r="CI312" s="84"/>
      <c r="CJ312" s="84"/>
      <c r="CK312" s="84"/>
      <c r="CL312" s="84"/>
    </row>
    <row r="313" spans="66:90" s="354" customFormat="1" x14ac:dyDescent="0.2">
      <c r="BN313" s="546"/>
      <c r="BO313" s="546"/>
      <c r="BP313" s="546"/>
      <c r="BQ313" s="546"/>
      <c r="BR313" s="546"/>
      <c r="BS313" s="546"/>
      <c r="BT313" s="546"/>
      <c r="BU313" s="546"/>
      <c r="BV313" s="546"/>
      <c r="BW313" s="546"/>
      <c r="BX313" s="546"/>
      <c r="BY313" s="546"/>
      <c r="BZ313" s="546"/>
      <c r="CA313" s="84"/>
      <c r="CB313" s="84"/>
      <c r="CC313" s="84"/>
      <c r="CD313" s="84"/>
      <c r="CE313" s="84"/>
      <c r="CF313" s="84"/>
      <c r="CG313" s="84"/>
      <c r="CH313" s="84"/>
      <c r="CI313" s="84"/>
      <c r="CJ313" s="84"/>
      <c r="CK313" s="84"/>
      <c r="CL313" s="84"/>
    </row>
    <row r="314" spans="66:90" s="354" customFormat="1" x14ac:dyDescent="0.2">
      <c r="BN314" s="546"/>
      <c r="BO314" s="546"/>
      <c r="BP314" s="546"/>
      <c r="BQ314" s="546"/>
      <c r="BR314" s="546"/>
      <c r="BS314" s="546"/>
      <c r="BT314" s="546"/>
      <c r="BU314" s="546"/>
      <c r="BV314" s="546"/>
      <c r="BW314" s="546"/>
      <c r="BX314" s="546"/>
      <c r="BY314" s="546"/>
      <c r="BZ314" s="546"/>
      <c r="CA314" s="84"/>
      <c r="CB314" s="84"/>
      <c r="CC314" s="84"/>
      <c r="CD314" s="84"/>
      <c r="CE314" s="84"/>
      <c r="CF314" s="84"/>
      <c r="CG314" s="84"/>
      <c r="CH314" s="84"/>
      <c r="CI314" s="84"/>
      <c r="CJ314" s="84"/>
      <c r="CK314" s="84"/>
      <c r="CL314" s="84"/>
    </row>
    <row r="315" spans="66:90" s="354" customFormat="1" x14ac:dyDescent="0.2">
      <c r="BN315" s="546"/>
      <c r="BO315" s="546"/>
      <c r="BP315" s="546"/>
      <c r="BQ315" s="546"/>
      <c r="BR315" s="546"/>
      <c r="BS315" s="546"/>
      <c r="BT315" s="546"/>
      <c r="BU315" s="546"/>
      <c r="BV315" s="546"/>
      <c r="BW315" s="546"/>
      <c r="BX315" s="546"/>
      <c r="BY315" s="546"/>
      <c r="BZ315" s="546"/>
      <c r="CA315" s="84"/>
      <c r="CB315" s="84"/>
      <c r="CC315" s="84"/>
      <c r="CD315" s="84"/>
      <c r="CE315" s="84"/>
      <c r="CF315" s="84"/>
      <c r="CG315" s="84"/>
      <c r="CH315" s="84"/>
      <c r="CI315" s="84"/>
      <c r="CJ315" s="84"/>
      <c r="CK315" s="84"/>
      <c r="CL315" s="84"/>
    </row>
    <row r="316" spans="66:90" s="354" customFormat="1" x14ac:dyDescent="0.2">
      <c r="BN316" s="546"/>
      <c r="BO316" s="546"/>
      <c r="BP316" s="546"/>
      <c r="BQ316" s="546"/>
      <c r="BR316" s="546"/>
      <c r="BS316" s="546"/>
      <c r="BT316" s="546"/>
      <c r="BU316" s="546"/>
      <c r="BV316" s="546"/>
      <c r="BW316" s="546"/>
      <c r="BX316" s="546"/>
      <c r="BY316" s="546"/>
      <c r="BZ316" s="546"/>
      <c r="CA316" s="84"/>
      <c r="CB316" s="84"/>
      <c r="CC316" s="84"/>
      <c r="CD316" s="84"/>
      <c r="CE316" s="84"/>
      <c r="CF316" s="84"/>
      <c r="CG316" s="84"/>
      <c r="CH316" s="84"/>
      <c r="CI316" s="84"/>
      <c r="CJ316" s="84"/>
      <c r="CK316" s="84"/>
      <c r="CL316" s="84"/>
    </row>
    <row r="317" spans="66:90" s="354" customFormat="1" x14ac:dyDescent="0.2">
      <c r="BN317" s="546"/>
      <c r="BO317" s="546"/>
      <c r="BP317" s="546"/>
      <c r="BQ317" s="546"/>
      <c r="BR317" s="546"/>
      <c r="BS317" s="546"/>
      <c r="BT317" s="546"/>
      <c r="BU317" s="546"/>
      <c r="BV317" s="546"/>
      <c r="BW317" s="546"/>
      <c r="BX317" s="546"/>
      <c r="BY317" s="546"/>
      <c r="BZ317" s="546"/>
      <c r="CA317" s="84"/>
      <c r="CB317" s="84"/>
      <c r="CC317" s="84"/>
      <c r="CD317" s="84"/>
      <c r="CE317" s="84"/>
      <c r="CF317" s="84"/>
      <c r="CG317" s="84"/>
      <c r="CH317" s="84"/>
      <c r="CI317" s="84"/>
      <c r="CJ317" s="84"/>
      <c r="CK317" s="84"/>
      <c r="CL317" s="84"/>
    </row>
    <row r="318" spans="66:90" s="354" customFormat="1" x14ac:dyDescent="0.2">
      <c r="BN318" s="546"/>
      <c r="BO318" s="546"/>
      <c r="BP318" s="546"/>
      <c r="BQ318" s="546"/>
      <c r="BR318" s="546"/>
      <c r="BS318" s="546"/>
      <c r="BT318" s="546"/>
      <c r="BU318" s="546"/>
      <c r="BV318" s="546"/>
      <c r="BW318" s="546"/>
      <c r="BX318" s="546"/>
      <c r="BY318" s="546"/>
      <c r="BZ318" s="546"/>
      <c r="CA318" s="84"/>
      <c r="CB318" s="84"/>
      <c r="CC318" s="84"/>
      <c r="CD318" s="84"/>
      <c r="CE318" s="84"/>
      <c r="CF318" s="84"/>
      <c r="CG318" s="84"/>
      <c r="CH318" s="84"/>
      <c r="CI318" s="84"/>
      <c r="CJ318" s="84"/>
      <c r="CK318" s="84"/>
      <c r="CL318" s="84"/>
    </row>
    <row r="319" spans="66:90" s="354" customFormat="1" x14ac:dyDescent="0.2">
      <c r="BN319" s="546"/>
      <c r="BO319" s="546"/>
      <c r="BP319" s="546"/>
      <c r="BQ319" s="546"/>
      <c r="BR319" s="546"/>
      <c r="BS319" s="546"/>
      <c r="BT319" s="546"/>
      <c r="BU319" s="546"/>
      <c r="BV319" s="546"/>
      <c r="BW319" s="546"/>
      <c r="BX319" s="546"/>
      <c r="BY319" s="546"/>
      <c r="BZ319" s="546"/>
      <c r="CA319" s="84"/>
      <c r="CB319" s="84"/>
      <c r="CC319" s="84"/>
      <c r="CD319" s="84"/>
      <c r="CE319" s="84"/>
      <c r="CF319" s="84"/>
      <c r="CG319" s="84"/>
      <c r="CH319" s="84"/>
      <c r="CI319" s="84"/>
      <c r="CJ319" s="84"/>
      <c r="CK319" s="84"/>
      <c r="CL319" s="84"/>
    </row>
    <row r="320" spans="66:90" s="354" customFormat="1" x14ac:dyDescent="0.2">
      <c r="BN320" s="546"/>
      <c r="BO320" s="546"/>
      <c r="BP320" s="546"/>
      <c r="BQ320" s="546"/>
      <c r="BR320" s="546"/>
      <c r="BS320" s="546"/>
      <c r="BT320" s="546"/>
      <c r="BU320" s="546"/>
      <c r="BV320" s="546"/>
      <c r="BW320" s="546"/>
      <c r="BX320" s="546"/>
      <c r="BY320" s="546"/>
      <c r="BZ320" s="546"/>
      <c r="CA320" s="84"/>
      <c r="CB320" s="84"/>
      <c r="CC320" s="84"/>
      <c r="CD320" s="84"/>
      <c r="CE320" s="84"/>
      <c r="CF320" s="84"/>
      <c r="CG320" s="84"/>
      <c r="CH320" s="84"/>
      <c r="CI320" s="84"/>
      <c r="CJ320" s="84"/>
      <c r="CK320" s="84"/>
      <c r="CL320" s="84"/>
    </row>
    <row r="321" spans="66:90" s="354" customFormat="1" x14ac:dyDescent="0.2">
      <c r="BN321" s="546"/>
      <c r="BO321" s="546"/>
      <c r="BP321" s="546"/>
      <c r="BQ321" s="546"/>
      <c r="BR321" s="546"/>
      <c r="BS321" s="546"/>
      <c r="BT321" s="546"/>
      <c r="BU321" s="546"/>
      <c r="BV321" s="546"/>
      <c r="BW321" s="546"/>
      <c r="BX321" s="546"/>
      <c r="BY321" s="546"/>
      <c r="BZ321" s="546"/>
      <c r="CA321" s="84"/>
      <c r="CB321" s="84"/>
      <c r="CC321" s="84"/>
      <c r="CD321" s="84"/>
      <c r="CE321" s="84"/>
      <c r="CF321" s="84"/>
      <c r="CG321" s="84"/>
      <c r="CH321" s="84"/>
      <c r="CI321" s="84"/>
      <c r="CJ321" s="84"/>
      <c r="CK321" s="84"/>
      <c r="CL321" s="84"/>
    </row>
    <row r="322" spans="66:90" s="354" customFormat="1" x14ac:dyDescent="0.2">
      <c r="BN322" s="546"/>
      <c r="BO322" s="546"/>
      <c r="BP322" s="546"/>
      <c r="BQ322" s="546"/>
      <c r="BR322" s="546"/>
      <c r="BS322" s="546"/>
      <c r="BT322" s="546"/>
      <c r="BU322" s="546"/>
      <c r="BV322" s="546"/>
      <c r="BW322" s="546"/>
      <c r="BX322" s="546"/>
      <c r="BY322" s="546"/>
      <c r="BZ322" s="546"/>
      <c r="CA322" s="84"/>
      <c r="CB322" s="84"/>
      <c r="CC322" s="84"/>
      <c r="CD322" s="84"/>
      <c r="CE322" s="84"/>
      <c r="CF322" s="84"/>
      <c r="CG322" s="84"/>
      <c r="CH322" s="84"/>
      <c r="CI322" s="84"/>
      <c r="CJ322" s="84"/>
      <c r="CK322" s="84"/>
      <c r="CL322" s="84"/>
    </row>
    <row r="323" spans="66:90" s="354" customFormat="1" x14ac:dyDescent="0.2">
      <c r="BN323" s="546"/>
      <c r="BO323" s="546"/>
      <c r="BP323" s="546"/>
      <c r="BQ323" s="546"/>
      <c r="BR323" s="546"/>
      <c r="BS323" s="546"/>
      <c r="BT323" s="546"/>
      <c r="BU323" s="546"/>
      <c r="BV323" s="546"/>
      <c r="BW323" s="546"/>
      <c r="BX323" s="546"/>
      <c r="BY323" s="546"/>
      <c r="BZ323" s="546"/>
      <c r="CA323" s="84"/>
      <c r="CB323" s="84"/>
      <c r="CC323" s="84"/>
      <c r="CD323" s="84"/>
      <c r="CE323" s="84"/>
      <c r="CF323" s="84"/>
      <c r="CG323" s="84"/>
      <c r="CH323" s="84"/>
      <c r="CI323" s="84"/>
      <c r="CJ323" s="84"/>
      <c r="CK323" s="84"/>
      <c r="CL323" s="84"/>
    </row>
    <row r="324" spans="66:90" s="354" customFormat="1" x14ac:dyDescent="0.2">
      <c r="BN324" s="546"/>
      <c r="BO324" s="546"/>
      <c r="BP324" s="546"/>
      <c r="BQ324" s="546"/>
      <c r="BR324" s="546"/>
      <c r="BS324" s="546"/>
      <c r="BT324" s="546"/>
      <c r="BU324" s="546"/>
      <c r="BV324" s="546"/>
      <c r="BW324" s="546"/>
      <c r="BX324" s="546"/>
      <c r="BY324" s="546"/>
      <c r="BZ324" s="546"/>
      <c r="CA324" s="84"/>
      <c r="CB324" s="84"/>
      <c r="CC324" s="84"/>
      <c r="CD324" s="84"/>
      <c r="CE324" s="84"/>
      <c r="CF324" s="84"/>
      <c r="CG324" s="84"/>
      <c r="CH324" s="84"/>
      <c r="CI324" s="84"/>
      <c r="CJ324" s="84"/>
      <c r="CK324" s="84"/>
      <c r="CL324" s="84"/>
    </row>
    <row r="325" spans="66:90" s="354" customFormat="1" x14ac:dyDescent="0.2">
      <c r="BN325" s="546"/>
      <c r="BO325" s="546"/>
      <c r="BP325" s="546"/>
      <c r="BQ325" s="546"/>
      <c r="BR325" s="546"/>
      <c r="BS325" s="546"/>
      <c r="BT325" s="546"/>
      <c r="BU325" s="546"/>
      <c r="BV325" s="546"/>
      <c r="BW325" s="546"/>
      <c r="BX325" s="546"/>
      <c r="BY325" s="546"/>
      <c r="BZ325" s="546"/>
      <c r="CA325" s="84"/>
      <c r="CB325" s="84"/>
      <c r="CC325" s="84"/>
      <c r="CD325" s="84"/>
      <c r="CE325" s="84"/>
      <c r="CF325" s="84"/>
      <c r="CG325" s="84"/>
      <c r="CH325" s="84"/>
      <c r="CI325" s="84"/>
      <c r="CJ325" s="84"/>
      <c r="CK325" s="84"/>
      <c r="CL325" s="84"/>
    </row>
    <row r="326" spans="66:90" s="354" customFormat="1" x14ac:dyDescent="0.2">
      <c r="BN326" s="546"/>
      <c r="BO326" s="546"/>
      <c r="BP326" s="546"/>
      <c r="BQ326" s="546"/>
      <c r="BR326" s="546"/>
      <c r="BS326" s="546"/>
      <c r="BT326" s="546"/>
      <c r="BU326" s="546"/>
      <c r="BV326" s="546"/>
      <c r="BW326" s="546"/>
      <c r="BX326" s="546"/>
      <c r="BY326" s="546"/>
      <c r="BZ326" s="546"/>
      <c r="CA326" s="84"/>
      <c r="CB326" s="84"/>
      <c r="CC326" s="84"/>
      <c r="CD326" s="84"/>
      <c r="CE326" s="84"/>
      <c r="CF326" s="84"/>
      <c r="CG326" s="84"/>
      <c r="CH326" s="84"/>
      <c r="CI326" s="84"/>
      <c r="CJ326" s="84"/>
      <c r="CK326" s="84"/>
      <c r="CL326" s="84"/>
    </row>
    <row r="327" spans="66:90" s="354" customFormat="1" x14ac:dyDescent="0.2">
      <c r="BN327" s="84"/>
      <c r="BO327" s="84"/>
      <c r="BP327" s="84"/>
      <c r="BQ327" s="84"/>
      <c r="BR327" s="84"/>
      <c r="BS327" s="84"/>
      <c r="BT327" s="84"/>
      <c r="BU327" s="84"/>
      <c r="BV327" s="84"/>
      <c r="BW327" s="84"/>
      <c r="BX327" s="84"/>
      <c r="BY327" s="84"/>
      <c r="BZ327" s="84"/>
      <c r="CA327" s="84"/>
      <c r="CB327" s="84"/>
      <c r="CC327" s="84"/>
      <c r="CD327" s="84"/>
      <c r="CE327" s="84"/>
      <c r="CF327" s="84"/>
      <c r="CG327" s="84"/>
      <c r="CH327" s="84"/>
      <c r="CI327" s="84"/>
      <c r="CJ327" s="84"/>
      <c r="CK327" s="84"/>
      <c r="CL327" s="84"/>
    </row>
    <row r="328" spans="66:90" s="354" customFormat="1" x14ac:dyDescent="0.2">
      <c r="BN328" s="84"/>
      <c r="BO328" s="84"/>
      <c r="BP328" s="84"/>
      <c r="BQ328" s="84"/>
      <c r="BR328" s="84"/>
      <c r="BS328" s="84"/>
      <c r="BT328" s="84"/>
      <c r="BU328" s="84"/>
      <c r="BV328" s="84"/>
      <c r="BW328" s="84"/>
      <c r="BX328" s="84"/>
      <c r="BY328" s="84"/>
      <c r="BZ328" s="84"/>
      <c r="CA328" s="84"/>
      <c r="CB328" s="84"/>
      <c r="CC328" s="84"/>
      <c r="CD328" s="84"/>
      <c r="CE328" s="84"/>
      <c r="CF328" s="84"/>
      <c r="CG328" s="84"/>
      <c r="CH328" s="84"/>
      <c r="CI328" s="84"/>
      <c r="CJ328" s="84"/>
      <c r="CK328" s="84"/>
      <c r="CL328" s="84"/>
    </row>
    <row r="329" spans="66:90" s="354" customFormat="1" x14ac:dyDescent="0.2">
      <c r="BN329" s="84"/>
      <c r="BO329" s="84"/>
      <c r="BP329" s="84"/>
      <c r="BQ329" s="84"/>
      <c r="BR329" s="84"/>
      <c r="BS329" s="84"/>
      <c r="BT329" s="84"/>
      <c r="BU329" s="84"/>
      <c r="BV329" s="84"/>
      <c r="BW329" s="84"/>
      <c r="BX329" s="84"/>
      <c r="BY329" s="84"/>
      <c r="BZ329" s="84"/>
      <c r="CA329" s="84"/>
      <c r="CB329" s="84"/>
      <c r="CC329" s="84"/>
      <c r="CD329" s="84"/>
      <c r="CE329" s="84"/>
      <c r="CF329" s="84"/>
      <c r="CG329" s="84"/>
      <c r="CH329" s="84"/>
      <c r="CI329" s="84"/>
      <c r="CJ329" s="84"/>
      <c r="CK329" s="84"/>
      <c r="CL329" s="84"/>
    </row>
    <row r="330" spans="66:90" s="354" customFormat="1" x14ac:dyDescent="0.2">
      <c r="BN330" s="84"/>
      <c r="BO330" s="84"/>
      <c r="BP330" s="84"/>
      <c r="BQ330" s="84"/>
      <c r="BR330" s="84"/>
      <c r="BS330" s="84"/>
      <c r="BT330" s="84"/>
      <c r="BU330" s="84"/>
      <c r="BV330" s="84"/>
      <c r="BW330" s="84"/>
      <c r="BX330" s="84"/>
      <c r="BY330" s="84"/>
      <c r="BZ330" s="84"/>
      <c r="CA330" s="84"/>
      <c r="CB330" s="84"/>
      <c r="CC330" s="84"/>
      <c r="CD330" s="84"/>
      <c r="CE330" s="84"/>
      <c r="CF330" s="84"/>
      <c r="CG330" s="84"/>
      <c r="CH330" s="84"/>
      <c r="CI330" s="84"/>
      <c r="CJ330" s="84"/>
      <c r="CK330" s="84"/>
      <c r="CL330" s="84"/>
    </row>
    <row r="331" spans="66:90" s="354" customFormat="1" x14ac:dyDescent="0.2">
      <c r="BN331" s="84"/>
      <c r="BO331" s="84"/>
      <c r="BP331" s="84"/>
      <c r="BQ331" s="84"/>
      <c r="BR331" s="84"/>
      <c r="BS331" s="84"/>
      <c r="BT331" s="84"/>
      <c r="BU331" s="84"/>
      <c r="BV331" s="84"/>
      <c r="BW331" s="84"/>
      <c r="BX331" s="84"/>
      <c r="BY331" s="84"/>
      <c r="BZ331" s="84"/>
      <c r="CA331" s="84"/>
      <c r="CB331" s="84"/>
      <c r="CC331" s="84"/>
      <c r="CD331" s="84"/>
      <c r="CE331" s="84"/>
      <c r="CF331" s="84"/>
      <c r="CG331" s="84"/>
      <c r="CH331" s="84"/>
      <c r="CI331" s="84"/>
      <c r="CJ331" s="84"/>
      <c r="CK331" s="84"/>
      <c r="CL331" s="84"/>
    </row>
    <row r="332" spans="66:90" s="354" customFormat="1" x14ac:dyDescent="0.2">
      <c r="BN332" s="84"/>
      <c r="BO332" s="84"/>
      <c r="BP332" s="84"/>
      <c r="BQ332" s="84"/>
      <c r="BR332" s="84"/>
      <c r="BS332" s="84"/>
      <c r="BT332" s="84"/>
      <c r="BU332" s="84"/>
      <c r="BV332" s="84"/>
      <c r="BW332" s="84"/>
      <c r="BX332" s="84"/>
      <c r="BY332" s="84"/>
      <c r="BZ332" s="84"/>
      <c r="CA332" s="84"/>
      <c r="CB332" s="84"/>
      <c r="CC332" s="84"/>
      <c r="CD332" s="84"/>
      <c r="CE332" s="84"/>
      <c r="CF332" s="84"/>
      <c r="CG332" s="84"/>
      <c r="CH332" s="84"/>
      <c r="CI332" s="84"/>
      <c r="CJ332" s="84"/>
      <c r="CK332" s="84"/>
      <c r="CL332" s="84"/>
    </row>
    <row r="333" spans="66:90" s="354" customFormat="1" x14ac:dyDescent="0.2">
      <c r="BN333" s="84"/>
      <c r="BO333" s="84"/>
      <c r="BP333" s="84"/>
      <c r="BQ333" s="84"/>
      <c r="BR333" s="84"/>
      <c r="BS333" s="84"/>
      <c r="BT333" s="84"/>
      <c r="BU333" s="84"/>
      <c r="BV333" s="84"/>
      <c r="BW333" s="84"/>
      <c r="BX333" s="84"/>
      <c r="BY333" s="84"/>
      <c r="BZ333" s="84"/>
      <c r="CA333" s="84"/>
      <c r="CB333" s="84"/>
      <c r="CC333" s="84"/>
      <c r="CD333" s="84"/>
      <c r="CE333" s="84"/>
      <c r="CF333" s="84"/>
      <c r="CG333" s="84"/>
      <c r="CH333" s="84"/>
      <c r="CI333" s="84"/>
      <c r="CJ333" s="84"/>
      <c r="CK333" s="84"/>
      <c r="CL333" s="84"/>
    </row>
    <row r="334" spans="66:90" s="354" customFormat="1" x14ac:dyDescent="0.2">
      <c r="BN334" s="84"/>
      <c r="BO334" s="84"/>
      <c r="BP334" s="84"/>
      <c r="BQ334" s="84"/>
      <c r="BR334" s="84"/>
      <c r="BS334" s="84"/>
      <c r="BT334" s="84"/>
      <c r="BU334" s="84"/>
      <c r="BV334" s="84"/>
      <c r="BW334" s="84"/>
      <c r="BX334" s="84"/>
      <c r="BY334" s="84"/>
      <c r="BZ334" s="84"/>
      <c r="CA334" s="84"/>
      <c r="CB334" s="84"/>
      <c r="CC334" s="84"/>
      <c r="CD334" s="84"/>
      <c r="CE334" s="84"/>
      <c r="CF334" s="84"/>
      <c r="CG334" s="84"/>
      <c r="CH334" s="84"/>
      <c r="CI334" s="84"/>
      <c r="CJ334" s="84"/>
      <c r="CK334" s="84"/>
      <c r="CL334" s="84"/>
    </row>
    <row r="335" spans="66:90" s="354" customFormat="1" x14ac:dyDescent="0.2">
      <c r="BN335" s="84"/>
      <c r="BO335" s="84"/>
      <c r="BP335" s="84"/>
      <c r="BQ335" s="84"/>
      <c r="BR335" s="84"/>
      <c r="BS335" s="84"/>
      <c r="BT335" s="84"/>
      <c r="BU335" s="84"/>
      <c r="BV335" s="84"/>
      <c r="BW335" s="84"/>
      <c r="BX335" s="84"/>
      <c r="BY335" s="84"/>
      <c r="BZ335" s="84"/>
      <c r="CA335" s="84"/>
      <c r="CB335" s="84"/>
      <c r="CC335" s="84"/>
      <c r="CD335" s="84"/>
      <c r="CE335" s="84"/>
      <c r="CF335" s="84"/>
      <c r="CG335" s="84"/>
      <c r="CH335" s="84"/>
      <c r="CI335" s="84"/>
      <c r="CJ335" s="84"/>
      <c r="CK335" s="84"/>
      <c r="CL335" s="84"/>
    </row>
    <row r="336" spans="66:90" s="354" customFormat="1" x14ac:dyDescent="0.2">
      <c r="BN336" s="84"/>
      <c r="BO336" s="84"/>
      <c r="BP336" s="84"/>
      <c r="BQ336" s="84"/>
      <c r="BR336" s="84"/>
      <c r="BS336" s="84"/>
      <c r="BT336" s="84"/>
      <c r="BU336" s="84"/>
      <c r="BV336" s="84"/>
      <c r="BW336" s="84"/>
      <c r="BX336" s="84"/>
      <c r="BY336" s="84"/>
      <c r="BZ336" s="84"/>
      <c r="CA336" s="84"/>
      <c r="CB336" s="84"/>
      <c r="CC336" s="84"/>
      <c r="CD336" s="84"/>
      <c r="CE336" s="84"/>
      <c r="CF336" s="84"/>
      <c r="CG336" s="84"/>
      <c r="CH336" s="84"/>
      <c r="CI336" s="84"/>
      <c r="CJ336" s="84"/>
      <c r="CK336" s="84"/>
      <c r="CL336" s="84"/>
    </row>
    <row r="337" spans="66:90" s="354" customFormat="1" x14ac:dyDescent="0.2">
      <c r="BN337" s="84"/>
      <c r="BO337" s="84"/>
      <c r="BP337" s="84"/>
      <c r="BQ337" s="84"/>
      <c r="BR337" s="84"/>
      <c r="BS337" s="84"/>
      <c r="BT337" s="84"/>
      <c r="BU337" s="84"/>
      <c r="BV337" s="84"/>
      <c r="BW337" s="84"/>
      <c r="BX337" s="84"/>
      <c r="BY337" s="84"/>
      <c r="BZ337" s="84"/>
      <c r="CA337" s="84"/>
      <c r="CB337" s="84"/>
      <c r="CC337" s="84"/>
      <c r="CD337" s="84"/>
      <c r="CE337" s="84"/>
      <c r="CF337" s="84"/>
      <c r="CG337" s="84"/>
      <c r="CH337" s="84"/>
      <c r="CI337" s="84"/>
      <c r="CJ337" s="84"/>
      <c r="CK337" s="84"/>
      <c r="CL337" s="84"/>
    </row>
    <row r="338" spans="66:90" s="354" customFormat="1" x14ac:dyDescent="0.2">
      <c r="BN338" s="84"/>
      <c r="BO338" s="84"/>
      <c r="BP338" s="84"/>
      <c r="BQ338" s="84"/>
      <c r="BR338" s="84"/>
      <c r="BS338" s="84"/>
      <c r="BT338" s="84"/>
      <c r="BU338" s="84"/>
      <c r="BV338" s="84"/>
      <c r="BW338" s="84"/>
      <c r="BX338" s="84"/>
      <c r="BY338" s="84"/>
      <c r="BZ338" s="84"/>
      <c r="CA338" s="84"/>
      <c r="CB338" s="84"/>
      <c r="CC338" s="84"/>
      <c r="CD338" s="84"/>
      <c r="CE338" s="84"/>
      <c r="CF338" s="84"/>
      <c r="CG338" s="84"/>
      <c r="CH338" s="84"/>
      <c r="CI338" s="84"/>
      <c r="CJ338" s="84"/>
      <c r="CK338" s="84"/>
      <c r="CL338" s="84"/>
    </row>
    <row r="339" spans="66:90" s="354" customFormat="1" x14ac:dyDescent="0.2">
      <c r="BN339" s="84"/>
      <c r="BO339" s="84"/>
      <c r="BP339" s="84"/>
      <c r="BQ339" s="84"/>
      <c r="BR339" s="84"/>
      <c r="BS339" s="84"/>
      <c r="BT339" s="84"/>
      <c r="BU339" s="84"/>
      <c r="BV339" s="84"/>
      <c r="BW339" s="84"/>
      <c r="BX339" s="84"/>
      <c r="BY339" s="84"/>
      <c r="BZ339" s="84"/>
      <c r="CA339" s="84"/>
      <c r="CB339" s="84"/>
      <c r="CC339" s="84"/>
      <c r="CD339" s="84"/>
      <c r="CE339" s="84"/>
      <c r="CF339" s="84"/>
      <c r="CG339" s="84"/>
      <c r="CH339" s="84"/>
      <c r="CI339" s="84"/>
      <c r="CJ339" s="84"/>
      <c r="CK339" s="84"/>
      <c r="CL339" s="84"/>
    </row>
    <row r="340" spans="66:90" s="354" customFormat="1" x14ac:dyDescent="0.2">
      <c r="BN340" s="84"/>
      <c r="BO340" s="84"/>
      <c r="BP340" s="84"/>
      <c r="BQ340" s="84"/>
      <c r="BR340" s="84"/>
      <c r="BS340" s="84"/>
      <c r="BT340" s="84"/>
      <c r="BU340" s="84"/>
      <c r="BV340" s="84"/>
      <c r="BW340" s="84"/>
      <c r="BX340" s="84"/>
      <c r="BY340" s="84"/>
      <c r="BZ340" s="84"/>
      <c r="CA340" s="84"/>
      <c r="CB340" s="84"/>
      <c r="CC340" s="84"/>
      <c r="CD340" s="84"/>
      <c r="CE340" s="84"/>
      <c r="CF340" s="84"/>
      <c r="CG340" s="84"/>
      <c r="CH340" s="84"/>
      <c r="CI340" s="84"/>
      <c r="CJ340" s="84"/>
      <c r="CK340" s="84"/>
      <c r="CL340" s="84"/>
    </row>
    <row r="341" spans="66:90" s="354" customFormat="1" x14ac:dyDescent="0.2">
      <c r="BN341" s="84"/>
      <c r="BO341" s="84"/>
      <c r="BP341" s="84"/>
      <c r="BQ341" s="84"/>
      <c r="BR341" s="84"/>
      <c r="BS341" s="84"/>
      <c r="BT341" s="84"/>
      <c r="BU341" s="84"/>
      <c r="BV341" s="84"/>
      <c r="BW341" s="84"/>
      <c r="BX341" s="84"/>
      <c r="BY341" s="84"/>
      <c r="BZ341" s="84"/>
      <c r="CA341" s="84"/>
      <c r="CB341" s="84"/>
      <c r="CC341" s="84"/>
      <c r="CD341" s="84"/>
      <c r="CE341" s="84"/>
      <c r="CF341" s="84"/>
      <c r="CG341" s="84"/>
      <c r="CH341" s="84"/>
      <c r="CI341" s="84"/>
      <c r="CJ341" s="84"/>
      <c r="CK341" s="84"/>
      <c r="CL341" s="84"/>
    </row>
    <row r="342" spans="66:90" s="354" customFormat="1" x14ac:dyDescent="0.2">
      <c r="BN342" s="84"/>
      <c r="BO342" s="84"/>
      <c r="BP342" s="84"/>
      <c r="BQ342" s="84"/>
      <c r="BR342" s="84"/>
      <c r="BS342" s="84"/>
      <c r="BT342" s="84"/>
      <c r="BU342" s="84"/>
      <c r="BV342" s="84"/>
      <c r="BW342" s="84"/>
      <c r="BX342" s="84"/>
      <c r="BY342" s="84"/>
      <c r="BZ342" s="84"/>
      <c r="CA342" s="84"/>
      <c r="CB342" s="84"/>
      <c r="CC342" s="84"/>
      <c r="CD342" s="84"/>
      <c r="CE342" s="84"/>
      <c r="CF342" s="84"/>
      <c r="CG342" s="84"/>
      <c r="CH342" s="84"/>
      <c r="CI342" s="84"/>
      <c r="CJ342" s="84"/>
      <c r="CK342" s="84"/>
      <c r="CL342" s="84"/>
    </row>
    <row r="343" spans="66:90" s="354" customFormat="1" x14ac:dyDescent="0.2">
      <c r="BN343" s="84"/>
      <c r="BO343" s="84"/>
      <c r="BP343" s="84"/>
      <c r="BQ343" s="84"/>
      <c r="BR343" s="84"/>
      <c r="BS343" s="84"/>
      <c r="BT343" s="84"/>
      <c r="BU343" s="84"/>
      <c r="BV343" s="84"/>
      <c r="BW343" s="84"/>
      <c r="BX343" s="84"/>
      <c r="BY343" s="84"/>
      <c r="BZ343" s="84"/>
      <c r="CA343" s="84"/>
      <c r="CB343" s="84"/>
      <c r="CC343" s="84"/>
      <c r="CD343" s="84"/>
      <c r="CE343" s="84"/>
      <c r="CF343" s="84"/>
      <c r="CG343" s="84"/>
      <c r="CH343" s="84"/>
      <c r="CI343" s="84"/>
      <c r="CJ343" s="84"/>
      <c r="CK343" s="84"/>
      <c r="CL343" s="84"/>
    </row>
    <row r="344" spans="66:90" s="354" customFormat="1" x14ac:dyDescent="0.2">
      <c r="BN344" s="84"/>
      <c r="BO344" s="84"/>
      <c r="BP344" s="84"/>
      <c r="BQ344" s="84"/>
      <c r="BR344" s="84"/>
      <c r="BS344" s="84"/>
      <c r="BT344" s="84"/>
      <c r="BU344" s="84"/>
      <c r="BV344" s="84"/>
      <c r="BW344" s="84"/>
      <c r="BX344" s="84"/>
      <c r="BY344" s="84"/>
      <c r="BZ344" s="84"/>
      <c r="CA344" s="84"/>
      <c r="CB344" s="84"/>
      <c r="CC344" s="84"/>
      <c r="CD344" s="84"/>
      <c r="CE344" s="84"/>
      <c r="CF344" s="84"/>
      <c r="CG344" s="84"/>
      <c r="CH344" s="84"/>
      <c r="CI344" s="84"/>
      <c r="CJ344" s="84"/>
      <c r="CK344" s="84"/>
      <c r="CL344" s="84"/>
    </row>
    <row r="345" spans="66:90" s="354" customFormat="1" x14ac:dyDescent="0.2">
      <c r="BN345" s="84"/>
      <c r="BO345" s="84"/>
      <c r="BP345" s="84"/>
      <c r="BQ345" s="84"/>
      <c r="BR345" s="84"/>
      <c r="BS345" s="84"/>
      <c r="BT345" s="84"/>
      <c r="BU345" s="84"/>
      <c r="BV345" s="84"/>
      <c r="BW345" s="84"/>
      <c r="BX345" s="84"/>
      <c r="BY345" s="84"/>
      <c r="BZ345" s="84"/>
      <c r="CA345" s="84"/>
      <c r="CB345" s="84"/>
      <c r="CC345" s="84"/>
      <c r="CD345" s="84"/>
      <c r="CE345" s="84"/>
      <c r="CF345" s="84"/>
      <c r="CG345" s="84"/>
      <c r="CH345" s="84"/>
      <c r="CI345" s="84"/>
      <c r="CJ345" s="84"/>
      <c r="CK345" s="84"/>
      <c r="CL345" s="84"/>
    </row>
    <row r="346" spans="66:90" s="354" customFormat="1" x14ac:dyDescent="0.2">
      <c r="BN346" s="84"/>
      <c r="BO346" s="84"/>
      <c r="BP346" s="84"/>
      <c r="BQ346" s="84"/>
      <c r="BR346" s="84"/>
      <c r="BS346" s="84"/>
      <c r="BT346" s="84"/>
      <c r="BU346" s="84"/>
      <c r="BV346" s="84"/>
      <c r="BW346" s="84"/>
      <c r="BX346" s="84"/>
      <c r="BY346" s="84"/>
      <c r="BZ346" s="84"/>
      <c r="CA346" s="84"/>
      <c r="CB346" s="84"/>
      <c r="CC346" s="84"/>
      <c r="CD346" s="84"/>
      <c r="CE346" s="84"/>
      <c r="CF346" s="84"/>
      <c r="CG346" s="84"/>
      <c r="CH346" s="84"/>
      <c r="CI346" s="84"/>
      <c r="CJ346" s="84"/>
      <c r="CK346" s="84"/>
      <c r="CL346" s="84"/>
    </row>
    <row r="347" spans="66:90" s="354" customFormat="1" x14ac:dyDescent="0.2">
      <c r="BN347" s="84"/>
      <c r="BO347" s="84"/>
      <c r="BP347" s="84"/>
      <c r="BQ347" s="84"/>
      <c r="BR347" s="84"/>
      <c r="BS347" s="84"/>
      <c r="BT347" s="84"/>
      <c r="BU347" s="84"/>
      <c r="BV347" s="84"/>
      <c r="BW347" s="84"/>
      <c r="BX347" s="84"/>
      <c r="BY347" s="84"/>
      <c r="BZ347" s="84"/>
      <c r="CA347" s="84"/>
      <c r="CB347" s="84"/>
      <c r="CC347" s="84"/>
      <c r="CD347" s="84"/>
      <c r="CE347" s="84"/>
      <c r="CF347" s="84"/>
      <c r="CG347" s="84"/>
      <c r="CH347" s="84"/>
      <c r="CI347" s="84"/>
      <c r="CJ347" s="84"/>
      <c r="CK347" s="84"/>
      <c r="CL347" s="84"/>
    </row>
    <row r="348" spans="66:90" s="354" customFormat="1" x14ac:dyDescent="0.2">
      <c r="BN348" s="84"/>
      <c r="BO348" s="84"/>
      <c r="BP348" s="84"/>
      <c r="BQ348" s="84"/>
      <c r="BR348" s="84"/>
      <c r="BS348" s="84"/>
      <c r="BT348" s="84"/>
      <c r="BU348" s="84"/>
      <c r="BV348" s="84"/>
      <c r="BW348" s="84"/>
      <c r="BX348" s="84"/>
      <c r="BY348" s="84"/>
      <c r="BZ348" s="84"/>
      <c r="CA348" s="84"/>
      <c r="CB348" s="84"/>
      <c r="CC348" s="84"/>
      <c r="CD348" s="84"/>
      <c r="CE348" s="84"/>
      <c r="CF348" s="84"/>
      <c r="CG348" s="84"/>
      <c r="CH348" s="84"/>
      <c r="CI348" s="84"/>
      <c r="CJ348" s="84"/>
      <c r="CK348" s="84"/>
      <c r="CL348" s="84"/>
    </row>
    <row r="349" spans="66:90" s="354" customFormat="1" x14ac:dyDescent="0.2">
      <c r="BN349" s="84"/>
      <c r="BO349" s="84"/>
      <c r="BP349" s="84"/>
      <c r="BQ349" s="84"/>
      <c r="BR349" s="84"/>
      <c r="BS349" s="84"/>
      <c r="BT349" s="84"/>
      <c r="BU349" s="84"/>
      <c r="BV349" s="84"/>
      <c r="BW349" s="84"/>
      <c r="BX349" s="84"/>
      <c r="BY349" s="84"/>
      <c r="BZ349" s="84"/>
      <c r="CA349" s="84"/>
      <c r="CB349" s="84"/>
      <c r="CC349" s="84"/>
      <c r="CD349" s="84"/>
      <c r="CE349" s="84"/>
      <c r="CF349" s="84"/>
      <c r="CG349" s="84"/>
      <c r="CH349" s="84"/>
      <c r="CI349" s="84"/>
      <c r="CJ349" s="84"/>
      <c r="CK349" s="84"/>
      <c r="CL349" s="84"/>
    </row>
    <row r="350" spans="66:90" s="354" customFormat="1" x14ac:dyDescent="0.2">
      <c r="BN350" s="84"/>
      <c r="BO350" s="84"/>
      <c r="BP350" s="84"/>
      <c r="BQ350" s="84"/>
      <c r="BR350" s="84"/>
      <c r="BS350" s="84"/>
      <c r="BT350" s="84"/>
      <c r="BU350" s="84"/>
      <c r="BV350" s="84"/>
      <c r="BW350" s="84"/>
      <c r="BX350" s="84"/>
      <c r="BY350" s="84"/>
      <c r="BZ350" s="84"/>
      <c r="CA350" s="84"/>
      <c r="CB350" s="84"/>
      <c r="CC350" s="84"/>
      <c r="CD350" s="84"/>
      <c r="CE350" s="84"/>
      <c r="CF350" s="84"/>
      <c r="CG350" s="84"/>
      <c r="CH350" s="84"/>
      <c r="CI350" s="84"/>
      <c r="CJ350" s="84"/>
      <c r="CK350" s="84"/>
      <c r="CL350" s="84"/>
    </row>
    <row r="351" spans="66:90" s="354" customFormat="1" x14ac:dyDescent="0.2">
      <c r="BN351" s="84"/>
      <c r="BO351" s="84"/>
      <c r="BP351" s="84"/>
      <c r="BQ351" s="84"/>
      <c r="BR351" s="84"/>
      <c r="BS351" s="84"/>
      <c r="BT351" s="84"/>
      <c r="BU351" s="84"/>
      <c r="BV351" s="84"/>
      <c r="BW351" s="84"/>
      <c r="BX351" s="84"/>
      <c r="BY351" s="84"/>
      <c r="BZ351" s="84"/>
      <c r="CA351" s="84"/>
      <c r="CB351" s="84"/>
      <c r="CC351" s="84"/>
      <c r="CD351" s="84"/>
      <c r="CE351" s="84"/>
      <c r="CF351" s="84"/>
      <c r="CG351" s="84"/>
      <c r="CH351" s="84"/>
      <c r="CI351" s="84"/>
      <c r="CJ351" s="84"/>
      <c r="CK351" s="84"/>
      <c r="CL351" s="84"/>
    </row>
    <row r="352" spans="66:90" s="354" customFormat="1" x14ac:dyDescent="0.2">
      <c r="BN352" s="84"/>
      <c r="BO352" s="84"/>
      <c r="BP352" s="84"/>
      <c r="BQ352" s="84"/>
      <c r="BR352" s="84"/>
      <c r="BS352" s="84"/>
      <c r="BT352" s="84"/>
      <c r="BU352" s="84"/>
      <c r="BV352" s="84"/>
      <c r="BW352" s="84"/>
      <c r="BX352" s="84"/>
      <c r="BY352" s="84"/>
      <c r="BZ352" s="84"/>
      <c r="CA352" s="84"/>
      <c r="CB352" s="84"/>
      <c r="CC352" s="84"/>
      <c r="CD352" s="84"/>
      <c r="CE352" s="84"/>
      <c r="CF352" s="84"/>
      <c r="CG352" s="84"/>
      <c r="CH352" s="84"/>
      <c r="CI352" s="84"/>
      <c r="CJ352" s="84"/>
      <c r="CK352" s="84"/>
      <c r="CL352" s="84"/>
    </row>
    <row r="353" spans="66:90" s="354" customFormat="1" x14ac:dyDescent="0.2">
      <c r="BN353" s="84"/>
      <c r="BO353" s="84"/>
      <c r="BP353" s="84"/>
      <c r="BQ353" s="84"/>
      <c r="BR353" s="84"/>
      <c r="BS353" s="84"/>
      <c r="BT353" s="84"/>
      <c r="BU353" s="84"/>
      <c r="BV353" s="84"/>
      <c r="BW353" s="84"/>
      <c r="BX353" s="84"/>
      <c r="BY353" s="84"/>
      <c r="BZ353" s="84"/>
      <c r="CA353" s="84"/>
      <c r="CB353" s="84"/>
      <c r="CC353" s="84"/>
      <c r="CD353" s="84"/>
      <c r="CE353" s="84"/>
      <c r="CF353" s="84"/>
      <c r="CG353" s="84"/>
      <c r="CH353" s="84"/>
      <c r="CI353" s="84"/>
      <c r="CJ353" s="84"/>
      <c r="CK353" s="84"/>
      <c r="CL353" s="84"/>
    </row>
    <row r="354" spans="66:90" s="354" customFormat="1" x14ac:dyDescent="0.2">
      <c r="BN354" s="84"/>
      <c r="BO354" s="84"/>
      <c r="BP354" s="84"/>
      <c r="BQ354" s="84"/>
      <c r="BR354" s="84"/>
      <c r="BS354" s="84"/>
      <c r="BT354" s="84"/>
      <c r="BU354" s="84"/>
      <c r="BV354" s="84"/>
      <c r="BW354" s="84"/>
      <c r="BX354" s="84"/>
      <c r="BY354" s="84"/>
      <c r="BZ354" s="84"/>
      <c r="CA354" s="84"/>
      <c r="CB354" s="84"/>
      <c r="CC354" s="84"/>
      <c r="CD354" s="84"/>
      <c r="CE354" s="84"/>
      <c r="CF354" s="84"/>
      <c r="CG354" s="84"/>
      <c r="CH354" s="84"/>
      <c r="CI354" s="84"/>
      <c r="CJ354" s="84"/>
      <c r="CK354" s="84"/>
      <c r="CL354" s="84"/>
    </row>
    <row r="355" spans="66:90" s="354" customFormat="1" x14ac:dyDescent="0.2">
      <c r="BN355" s="84"/>
      <c r="BO355" s="84"/>
      <c r="BP355" s="84"/>
      <c r="BQ355" s="84"/>
      <c r="BR355" s="84"/>
      <c r="BS355" s="84"/>
      <c r="BT355" s="84"/>
      <c r="BU355" s="84"/>
      <c r="BV355" s="84"/>
      <c r="BW355" s="84"/>
      <c r="BX355" s="84"/>
      <c r="BY355" s="84"/>
      <c r="BZ355" s="84"/>
      <c r="CA355" s="84"/>
      <c r="CB355" s="84"/>
      <c r="CC355" s="84"/>
      <c r="CD355" s="84"/>
      <c r="CE355" s="84"/>
      <c r="CF355" s="84"/>
      <c r="CG355" s="84"/>
      <c r="CH355" s="84"/>
      <c r="CI355" s="84"/>
      <c r="CJ355" s="84"/>
      <c r="CK355" s="84"/>
      <c r="CL355" s="84"/>
    </row>
    <row r="356" spans="66:90" s="354" customFormat="1" x14ac:dyDescent="0.2">
      <c r="BN356" s="84"/>
      <c r="BO356" s="84"/>
      <c r="BP356" s="84"/>
      <c r="BQ356" s="84"/>
      <c r="BR356" s="84"/>
      <c r="BS356" s="84"/>
      <c r="BT356" s="84"/>
      <c r="BU356" s="84"/>
      <c r="BV356" s="84"/>
      <c r="BW356" s="84"/>
      <c r="BX356" s="84"/>
      <c r="BY356" s="84"/>
      <c r="BZ356" s="84"/>
      <c r="CA356" s="84"/>
      <c r="CB356" s="84"/>
      <c r="CC356" s="84"/>
      <c r="CD356" s="84"/>
      <c r="CE356" s="84"/>
      <c r="CF356" s="84"/>
      <c r="CG356" s="84"/>
      <c r="CH356" s="84"/>
      <c r="CI356" s="84"/>
      <c r="CJ356" s="84"/>
      <c r="CK356" s="84"/>
      <c r="CL356" s="84"/>
    </row>
    <row r="357" spans="66:90" s="354" customFormat="1" x14ac:dyDescent="0.2">
      <c r="BN357" s="84"/>
      <c r="BO357" s="84"/>
      <c r="BP357" s="84"/>
      <c r="BQ357" s="84"/>
      <c r="BR357" s="84"/>
      <c r="BS357" s="84"/>
      <c r="BT357" s="84"/>
      <c r="BU357" s="84"/>
      <c r="BV357" s="84"/>
      <c r="BW357" s="84"/>
      <c r="BX357" s="84"/>
      <c r="BY357" s="84"/>
      <c r="BZ357" s="84"/>
      <c r="CA357" s="84"/>
      <c r="CB357" s="84"/>
      <c r="CC357" s="84"/>
      <c r="CD357" s="84"/>
      <c r="CE357" s="84"/>
      <c r="CF357" s="84"/>
      <c r="CG357" s="84"/>
      <c r="CH357" s="84"/>
      <c r="CI357" s="84"/>
      <c r="CJ357" s="84"/>
      <c r="CK357" s="84"/>
      <c r="CL357" s="84"/>
    </row>
    <row r="358" spans="66:90" s="354" customFormat="1" x14ac:dyDescent="0.2">
      <c r="BN358" s="84"/>
      <c r="BO358" s="84"/>
      <c r="BP358" s="84"/>
      <c r="BQ358" s="84"/>
      <c r="BR358" s="84"/>
      <c r="BS358" s="84"/>
      <c r="BT358" s="84"/>
      <c r="BU358" s="84"/>
      <c r="BV358" s="84"/>
      <c r="BW358" s="84"/>
      <c r="BX358" s="84"/>
      <c r="BY358" s="84"/>
      <c r="BZ358" s="84"/>
      <c r="CA358" s="84"/>
      <c r="CB358" s="84"/>
      <c r="CC358" s="84"/>
      <c r="CD358" s="84"/>
      <c r="CE358" s="84"/>
      <c r="CF358" s="84"/>
      <c r="CG358" s="84"/>
      <c r="CH358" s="84"/>
      <c r="CI358" s="84"/>
      <c r="CJ358" s="84"/>
      <c r="CK358" s="84"/>
      <c r="CL358" s="84"/>
    </row>
    <row r="359" spans="66:90" s="354" customFormat="1" x14ac:dyDescent="0.2">
      <c r="BN359" s="84"/>
      <c r="BO359" s="84"/>
      <c r="BP359" s="84"/>
      <c r="BQ359" s="84"/>
      <c r="BR359" s="84"/>
      <c r="BS359" s="84"/>
      <c r="BT359" s="84"/>
      <c r="BU359" s="84"/>
      <c r="BV359" s="84"/>
      <c r="BW359" s="84"/>
      <c r="BX359" s="84"/>
      <c r="BY359" s="84"/>
      <c r="BZ359" s="84"/>
      <c r="CA359" s="84"/>
      <c r="CB359" s="84"/>
      <c r="CC359" s="84"/>
      <c r="CD359" s="84"/>
      <c r="CE359" s="84"/>
      <c r="CF359" s="84"/>
      <c r="CG359" s="84"/>
      <c r="CH359" s="84"/>
      <c r="CI359" s="84"/>
      <c r="CJ359" s="84"/>
      <c r="CK359" s="84"/>
      <c r="CL359" s="84"/>
    </row>
    <row r="360" spans="66:90" s="354" customFormat="1" x14ac:dyDescent="0.2">
      <c r="BN360" s="84"/>
      <c r="BO360" s="84"/>
      <c r="BP360" s="84"/>
      <c r="BQ360" s="84"/>
      <c r="BR360" s="84"/>
      <c r="BS360" s="84"/>
      <c r="BT360" s="84"/>
      <c r="BU360" s="84"/>
      <c r="BV360" s="84"/>
      <c r="BW360" s="84"/>
      <c r="BX360" s="84"/>
      <c r="BY360" s="84"/>
      <c r="BZ360" s="84"/>
      <c r="CA360" s="84"/>
      <c r="CB360" s="84"/>
      <c r="CC360" s="84"/>
      <c r="CD360" s="84"/>
      <c r="CE360" s="84"/>
      <c r="CF360" s="84"/>
      <c r="CG360" s="84"/>
      <c r="CH360" s="84"/>
      <c r="CI360" s="84"/>
      <c r="CJ360" s="84"/>
      <c r="CK360" s="84"/>
      <c r="CL360" s="84"/>
    </row>
    <row r="361" spans="66:90" s="354" customFormat="1" x14ac:dyDescent="0.2">
      <c r="BN361" s="84"/>
      <c r="BO361" s="84"/>
      <c r="BP361" s="84"/>
      <c r="BQ361" s="84"/>
      <c r="BR361" s="84"/>
      <c r="BS361" s="84"/>
      <c r="BT361" s="84"/>
      <c r="BU361" s="84"/>
      <c r="BV361" s="84"/>
      <c r="BW361" s="84"/>
      <c r="BX361" s="84"/>
      <c r="BY361" s="84"/>
      <c r="BZ361" s="84"/>
      <c r="CA361" s="84"/>
      <c r="CB361" s="84"/>
      <c r="CC361" s="84"/>
      <c r="CD361" s="84"/>
      <c r="CE361" s="84"/>
      <c r="CF361" s="84"/>
      <c r="CG361" s="84"/>
      <c r="CH361" s="84"/>
      <c r="CI361" s="84"/>
      <c r="CJ361" s="84"/>
      <c r="CK361" s="84"/>
      <c r="CL361" s="84"/>
    </row>
    <row r="362" spans="66:90" s="354" customFormat="1" x14ac:dyDescent="0.2">
      <c r="BN362" s="84"/>
      <c r="BO362" s="84"/>
      <c r="BP362" s="84"/>
      <c r="BQ362" s="84"/>
      <c r="BR362" s="84"/>
      <c r="BS362" s="84"/>
      <c r="BT362" s="84"/>
      <c r="BU362" s="84"/>
      <c r="BV362" s="84"/>
      <c r="BW362" s="84"/>
      <c r="BX362" s="84"/>
      <c r="BY362" s="84"/>
      <c r="BZ362" s="84"/>
      <c r="CA362" s="84"/>
      <c r="CB362" s="84"/>
      <c r="CC362" s="84"/>
      <c r="CD362" s="84"/>
      <c r="CE362" s="84"/>
      <c r="CF362" s="84"/>
      <c r="CG362" s="84"/>
      <c r="CH362" s="84"/>
      <c r="CI362" s="84"/>
      <c r="CJ362" s="84"/>
      <c r="CK362" s="84"/>
      <c r="CL362" s="84"/>
    </row>
    <row r="363" spans="66:90" s="354" customFormat="1" x14ac:dyDescent="0.2">
      <c r="BN363" s="84"/>
      <c r="BO363" s="84"/>
      <c r="BP363" s="84"/>
      <c r="BQ363" s="84"/>
      <c r="BR363" s="84"/>
      <c r="BS363" s="84"/>
      <c r="BT363" s="84"/>
      <c r="BU363" s="84"/>
      <c r="BV363" s="84"/>
      <c r="BW363" s="84"/>
      <c r="BX363" s="84"/>
      <c r="BY363" s="84"/>
      <c r="BZ363" s="84"/>
      <c r="CA363" s="84"/>
      <c r="CB363" s="84"/>
      <c r="CC363" s="84"/>
      <c r="CD363" s="84"/>
      <c r="CE363" s="84"/>
      <c r="CF363" s="84"/>
      <c r="CG363" s="84"/>
      <c r="CH363" s="84"/>
      <c r="CI363" s="84"/>
      <c r="CJ363" s="84"/>
      <c r="CK363" s="84"/>
      <c r="CL363" s="84"/>
    </row>
    <row r="364" spans="66:90" s="354" customFormat="1" x14ac:dyDescent="0.2">
      <c r="BN364" s="84"/>
      <c r="BO364" s="84"/>
      <c r="BP364" s="84"/>
      <c r="BQ364" s="84"/>
      <c r="BR364" s="84"/>
      <c r="BS364" s="84"/>
      <c r="BT364" s="84"/>
      <c r="BU364" s="84"/>
      <c r="BV364" s="84"/>
      <c r="BW364" s="84"/>
      <c r="BX364" s="84"/>
      <c r="BY364" s="84"/>
      <c r="BZ364" s="84"/>
      <c r="CA364" s="84"/>
      <c r="CB364" s="84"/>
      <c r="CC364" s="84"/>
      <c r="CD364" s="84"/>
      <c r="CE364" s="84"/>
      <c r="CF364" s="84"/>
      <c r="CG364" s="84"/>
      <c r="CH364" s="84"/>
      <c r="CI364" s="84"/>
      <c r="CJ364" s="84"/>
      <c r="CK364" s="84"/>
      <c r="CL364" s="84"/>
    </row>
    <row r="365" spans="66:90" s="354" customFormat="1" x14ac:dyDescent="0.2">
      <c r="BN365" s="84"/>
      <c r="BO365" s="84"/>
      <c r="BP365" s="84"/>
      <c r="BQ365" s="84"/>
      <c r="BR365" s="84"/>
      <c r="BS365" s="84"/>
      <c r="BT365" s="84"/>
      <c r="BU365" s="84"/>
      <c r="BV365" s="84"/>
      <c r="BW365" s="84"/>
      <c r="BX365" s="84"/>
      <c r="BY365" s="84"/>
      <c r="BZ365" s="84"/>
      <c r="CA365" s="84"/>
      <c r="CB365" s="84"/>
      <c r="CC365" s="84"/>
      <c r="CD365" s="84"/>
      <c r="CE365" s="84"/>
      <c r="CF365" s="84"/>
      <c r="CG365" s="84"/>
      <c r="CH365" s="84"/>
      <c r="CI365" s="84"/>
      <c r="CJ365" s="84"/>
      <c r="CK365" s="84"/>
      <c r="CL365" s="84"/>
    </row>
    <row r="366" spans="66:90" s="354" customFormat="1" x14ac:dyDescent="0.2">
      <c r="BN366" s="84"/>
      <c r="BO366" s="84"/>
      <c r="BP366" s="84"/>
      <c r="BQ366" s="84"/>
      <c r="BR366" s="84"/>
      <c r="BS366" s="84"/>
      <c r="BT366" s="84"/>
      <c r="BU366" s="84"/>
      <c r="BV366" s="84"/>
      <c r="BW366" s="84"/>
      <c r="BX366" s="84"/>
      <c r="BY366" s="84"/>
      <c r="BZ366" s="84"/>
      <c r="CA366" s="84"/>
      <c r="CB366" s="84"/>
      <c r="CC366" s="84"/>
      <c r="CD366" s="84"/>
      <c r="CE366" s="84"/>
      <c r="CF366" s="84"/>
      <c r="CG366" s="84"/>
      <c r="CH366" s="84"/>
      <c r="CI366" s="84"/>
      <c r="CJ366" s="84"/>
      <c r="CK366" s="84"/>
      <c r="CL366" s="84"/>
    </row>
    <row r="367" spans="66:90" s="354" customFormat="1" x14ac:dyDescent="0.2">
      <c r="BN367" s="84"/>
      <c r="BO367" s="84"/>
      <c r="BP367" s="84"/>
      <c r="BQ367" s="84"/>
      <c r="BR367" s="84"/>
      <c r="BS367" s="84"/>
      <c r="BT367" s="84"/>
      <c r="BU367" s="84"/>
      <c r="BV367" s="84"/>
      <c r="BW367" s="84"/>
      <c r="BX367" s="84"/>
      <c r="BY367" s="84"/>
      <c r="BZ367" s="84"/>
      <c r="CA367" s="84"/>
      <c r="CB367" s="84"/>
      <c r="CC367" s="84"/>
      <c r="CD367" s="84"/>
      <c r="CE367" s="84"/>
      <c r="CF367" s="84"/>
      <c r="CG367" s="84"/>
      <c r="CH367" s="84"/>
      <c r="CI367" s="84"/>
      <c r="CJ367" s="84"/>
      <c r="CK367" s="84"/>
      <c r="CL367" s="84"/>
    </row>
    <row r="368" spans="66:90" s="354" customFormat="1" x14ac:dyDescent="0.2">
      <c r="BN368" s="84"/>
      <c r="BO368" s="84"/>
      <c r="BP368" s="84"/>
      <c r="BQ368" s="84"/>
      <c r="BR368" s="84"/>
      <c r="BS368" s="84"/>
      <c r="BT368" s="84"/>
      <c r="BU368" s="84"/>
      <c r="BV368" s="84"/>
      <c r="BW368" s="84"/>
      <c r="BX368" s="84"/>
      <c r="BY368" s="84"/>
      <c r="BZ368" s="84"/>
      <c r="CA368" s="84"/>
      <c r="CB368" s="84"/>
      <c r="CC368" s="84"/>
      <c r="CD368" s="84"/>
      <c r="CE368" s="84"/>
      <c r="CF368" s="84"/>
      <c r="CG368" s="84"/>
      <c r="CH368" s="84"/>
      <c r="CI368" s="84"/>
      <c r="CJ368" s="84"/>
      <c r="CK368" s="84"/>
      <c r="CL368" s="84"/>
    </row>
    <row r="369" spans="66:90" s="354" customFormat="1" x14ac:dyDescent="0.2">
      <c r="BN369" s="84"/>
      <c r="BO369" s="84"/>
      <c r="BP369" s="84"/>
      <c r="BQ369" s="84"/>
      <c r="BR369" s="84"/>
      <c r="BS369" s="84"/>
      <c r="BT369" s="84"/>
      <c r="BU369" s="84"/>
      <c r="BV369" s="84"/>
      <c r="BW369" s="84"/>
      <c r="BX369" s="84"/>
      <c r="BY369" s="84"/>
      <c r="BZ369" s="84"/>
      <c r="CA369" s="84"/>
      <c r="CB369" s="84"/>
      <c r="CC369" s="84"/>
      <c r="CD369" s="84"/>
      <c r="CE369" s="84"/>
      <c r="CF369" s="84"/>
      <c r="CG369" s="84"/>
      <c r="CH369" s="84"/>
      <c r="CI369" s="84"/>
      <c r="CJ369" s="84"/>
      <c r="CK369" s="84"/>
      <c r="CL369" s="84"/>
    </row>
    <row r="370" spans="66:90" s="354" customFormat="1" x14ac:dyDescent="0.2">
      <c r="BN370" s="84"/>
      <c r="BO370" s="84"/>
      <c r="BP370" s="84"/>
      <c r="BQ370" s="84"/>
      <c r="BR370" s="84"/>
      <c r="BS370" s="84"/>
      <c r="BT370" s="84"/>
      <c r="BU370" s="84"/>
      <c r="BV370" s="84"/>
      <c r="BW370" s="84"/>
      <c r="BX370" s="84"/>
      <c r="BY370" s="84"/>
      <c r="BZ370" s="84"/>
      <c r="CA370" s="84"/>
      <c r="CB370" s="84"/>
      <c r="CC370" s="84"/>
      <c r="CD370" s="84"/>
      <c r="CE370" s="84"/>
      <c r="CF370" s="84"/>
      <c r="CG370" s="84"/>
      <c r="CH370" s="84"/>
      <c r="CI370" s="84"/>
      <c r="CJ370" s="84"/>
      <c r="CK370" s="84"/>
      <c r="CL370" s="84"/>
    </row>
    <row r="371" spans="66:90" s="354" customFormat="1" x14ac:dyDescent="0.2">
      <c r="BN371" s="84"/>
      <c r="BO371" s="84"/>
      <c r="BP371" s="84"/>
      <c r="BQ371" s="84"/>
      <c r="BR371" s="84"/>
      <c r="BS371" s="84"/>
      <c r="BT371" s="84"/>
      <c r="BU371" s="84"/>
      <c r="BV371" s="84"/>
      <c r="BW371" s="84"/>
      <c r="BX371" s="84"/>
      <c r="BY371" s="84"/>
      <c r="BZ371" s="84"/>
      <c r="CA371" s="84"/>
      <c r="CB371" s="84"/>
      <c r="CC371" s="84"/>
      <c r="CD371" s="84"/>
      <c r="CE371" s="84"/>
      <c r="CF371" s="84"/>
      <c r="CG371" s="84"/>
      <c r="CH371" s="84"/>
      <c r="CI371" s="84"/>
      <c r="CJ371" s="84"/>
      <c r="CK371" s="84"/>
      <c r="CL371" s="84"/>
    </row>
    <row r="372" spans="66:90" s="354" customFormat="1" x14ac:dyDescent="0.2">
      <c r="BN372" s="84"/>
      <c r="BO372" s="84"/>
      <c r="BP372" s="84"/>
      <c r="BQ372" s="84"/>
      <c r="BR372" s="84"/>
      <c r="BS372" s="84"/>
      <c r="BT372" s="84"/>
      <c r="BU372" s="84"/>
      <c r="BV372" s="84"/>
      <c r="BW372" s="84"/>
      <c r="BX372" s="84"/>
      <c r="BY372" s="84"/>
      <c r="BZ372" s="84"/>
      <c r="CA372" s="84"/>
      <c r="CB372" s="84"/>
      <c r="CC372" s="84"/>
      <c r="CD372" s="84"/>
      <c r="CE372" s="84"/>
      <c r="CF372" s="84"/>
      <c r="CG372" s="84"/>
      <c r="CH372" s="84"/>
      <c r="CI372" s="84"/>
      <c r="CJ372" s="84"/>
      <c r="CK372" s="84"/>
      <c r="CL372" s="84"/>
    </row>
    <row r="373" spans="66:90" s="354" customFormat="1" x14ac:dyDescent="0.2">
      <c r="BN373" s="84"/>
      <c r="BO373" s="84"/>
      <c r="BP373" s="84"/>
      <c r="BQ373" s="84"/>
      <c r="BR373" s="84"/>
      <c r="BS373" s="84"/>
      <c r="BT373" s="84"/>
      <c r="BU373" s="84"/>
      <c r="BV373" s="84"/>
      <c r="BW373" s="84"/>
      <c r="BX373" s="84"/>
      <c r="BY373" s="84"/>
      <c r="BZ373" s="84"/>
      <c r="CA373" s="84"/>
      <c r="CB373" s="84"/>
      <c r="CC373" s="84"/>
      <c r="CD373" s="84"/>
      <c r="CE373" s="84"/>
      <c r="CF373" s="84"/>
      <c r="CG373" s="84"/>
      <c r="CH373" s="84"/>
      <c r="CI373" s="84"/>
      <c r="CJ373" s="84"/>
      <c r="CK373" s="84"/>
      <c r="CL373" s="84"/>
    </row>
    <row r="374" spans="66:90" s="354" customFormat="1" x14ac:dyDescent="0.2">
      <c r="BN374" s="84"/>
      <c r="BO374" s="84"/>
      <c r="BP374" s="84"/>
      <c r="BQ374" s="84"/>
      <c r="BR374" s="84"/>
      <c r="BS374" s="84"/>
      <c r="BT374" s="84"/>
      <c r="BU374" s="84"/>
      <c r="BV374" s="84"/>
      <c r="BW374" s="84"/>
      <c r="BX374" s="84"/>
      <c r="BY374" s="84"/>
      <c r="BZ374" s="84"/>
      <c r="CA374" s="84"/>
      <c r="CB374" s="84"/>
      <c r="CC374" s="84"/>
      <c r="CD374" s="84"/>
      <c r="CE374" s="84"/>
      <c r="CF374" s="84"/>
      <c r="CG374" s="84"/>
      <c r="CH374" s="84"/>
      <c r="CI374" s="84"/>
      <c r="CJ374" s="84"/>
      <c r="CK374" s="84"/>
      <c r="CL374" s="84"/>
    </row>
    <row r="375" spans="66:90" s="354" customFormat="1" x14ac:dyDescent="0.2">
      <c r="BN375" s="84"/>
      <c r="BO375" s="84"/>
      <c r="BP375" s="84"/>
      <c r="BQ375" s="84"/>
      <c r="BR375" s="84"/>
      <c r="BS375" s="84"/>
      <c r="BT375" s="84"/>
      <c r="BU375" s="84"/>
      <c r="BV375" s="84"/>
      <c r="BW375" s="84"/>
      <c r="BX375" s="84"/>
      <c r="BY375" s="84"/>
      <c r="BZ375" s="84"/>
      <c r="CA375" s="84"/>
      <c r="CB375" s="84"/>
      <c r="CC375" s="84"/>
      <c r="CD375" s="84"/>
      <c r="CE375" s="84"/>
      <c r="CF375" s="84"/>
      <c r="CG375" s="84"/>
      <c r="CH375" s="84"/>
      <c r="CI375" s="84"/>
      <c r="CJ375" s="84"/>
      <c r="CK375" s="84"/>
      <c r="CL375" s="84"/>
    </row>
    <row r="376" spans="66:90" s="354" customFormat="1" x14ac:dyDescent="0.2">
      <c r="BN376" s="84"/>
      <c r="BO376" s="84"/>
      <c r="BP376" s="84"/>
      <c r="BQ376" s="84"/>
      <c r="BR376" s="84"/>
      <c r="BS376" s="84"/>
      <c r="BT376" s="84"/>
      <c r="BU376" s="84"/>
      <c r="BV376" s="84"/>
      <c r="BW376" s="84"/>
      <c r="BX376" s="84"/>
      <c r="BY376" s="84"/>
      <c r="BZ376" s="84"/>
      <c r="CA376" s="84"/>
      <c r="CB376" s="84"/>
      <c r="CC376" s="84"/>
      <c r="CD376" s="84"/>
      <c r="CE376" s="84"/>
      <c r="CF376" s="84"/>
      <c r="CG376" s="84"/>
      <c r="CH376" s="84"/>
      <c r="CI376" s="84"/>
      <c r="CJ376" s="84"/>
      <c r="CK376" s="84"/>
      <c r="CL376" s="84"/>
    </row>
    <row r="377" spans="66:90" s="354" customFormat="1" x14ac:dyDescent="0.2">
      <c r="BN377" s="84"/>
      <c r="BO377" s="84"/>
      <c r="BP377" s="84"/>
      <c r="BQ377" s="84"/>
      <c r="BR377" s="84"/>
      <c r="BS377" s="84"/>
      <c r="BT377" s="84"/>
      <c r="BU377" s="84"/>
      <c r="BV377" s="84"/>
      <c r="BW377" s="84"/>
      <c r="BX377" s="84"/>
      <c r="BY377" s="84"/>
      <c r="BZ377" s="84"/>
      <c r="CA377" s="84"/>
      <c r="CB377" s="84"/>
      <c r="CC377" s="84"/>
      <c r="CD377" s="84"/>
      <c r="CE377" s="84"/>
      <c r="CF377" s="84"/>
      <c r="CG377" s="84"/>
      <c r="CH377" s="84"/>
      <c r="CI377" s="84"/>
      <c r="CJ377" s="84"/>
      <c r="CK377" s="84"/>
      <c r="CL377" s="84"/>
    </row>
    <row r="378" spans="66:90" s="354" customFormat="1" x14ac:dyDescent="0.2">
      <c r="BN378" s="84"/>
      <c r="BO378" s="84"/>
      <c r="BP378" s="84"/>
      <c r="BQ378" s="84"/>
      <c r="BR378" s="84"/>
      <c r="BS378" s="84"/>
      <c r="BT378" s="84"/>
      <c r="BU378" s="84"/>
      <c r="BV378" s="84"/>
      <c r="BW378" s="84"/>
      <c r="BX378" s="84"/>
      <c r="BY378" s="84"/>
      <c r="BZ378" s="84"/>
      <c r="CA378" s="84"/>
      <c r="CB378" s="84"/>
      <c r="CC378" s="84"/>
      <c r="CD378" s="84"/>
      <c r="CE378" s="84"/>
      <c r="CF378" s="84"/>
      <c r="CG378" s="84"/>
      <c r="CH378" s="84"/>
      <c r="CI378" s="84"/>
      <c r="CJ378" s="84"/>
      <c r="CK378" s="84"/>
      <c r="CL378" s="84"/>
    </row>
    <row r="379" spans="66:90" s="354" customFormat="1" x14ac:dyDescent="0.2">
      <c r="BN379" s="84"/>
      <c r="BO379" s="84"/>
      <c r="BP379" s="84"/>
      <c r="BQ379" s="84"/>
      <c r="BR379" s="84"/>
      <c r="BS379" s="84"/>
      <c r="BT379" s="84"/>
      <c r="BU379" s="84"/>
      <c r="BV379" s="84"/>
      <c r="BW379" s="84"/>
      <c r="BX379" s="84"/>
      <c r="BY379" s="84"/>
      <c r="BZ379" s="84"/>
      <c r="CA379" s="84"/>
      <c r="CB379" s="84"/>
      <c r="CC379" s="84"/>
      <c r="CD379" s="84"/>
      <c r="CE379" s="84"/>
      <c r="CF379" s="84"/>
      <c r="CG379" s="84"/>
      <c r="CH379" s="84"/>
      <c r="CI379" s="84"/>
      <c r="CJ379" s="84"/>
      <c r="CK379" s="84"/>
      <c r="CL379" s="84"/>
    </row>
    <row r="380" spans="66:90" s="354" customFormat="1" x14ac:dyDescent="0.2">
      <c r="BN380" s="84"/>
      <c r="BO380" s="84"/>
      <c r="BP380" s="84"/>
      <c r="BQ380" s="84"/>
      <c r="BR380" s="84"/>
      <c r="BS380" s="84"/>
      <c r="BT380" s="84"/>
      <c r="BU380" s="84"/>
      <c r="BV380" s="84"/>
      <c r="BW380" s="84"/>
      <c r="BX380" s="84"/>
      <c r="BY380" s="84"/>
      <c r="BZ380" s="84"/>
      <c r="CA380" s="84"/>
      <c r="CB380" s="84"/>
      <c r="CC380" s="84"/>
      <c r="CD380" s="84"/>
      <c r="CE380" s="84"/>
      <c r="CF380" s="84"/>
      <c r="CG380" s="84"/>
      <c r="CH380" s="84"/>
      <c r="CI380" s="84"/>
      <c r="CJ380" s="84"/>
      <c r="CK380" s="84"/>
      <c r="CL380" s="84"/>
    </row>
    <row r="381" spans="66:90" s="354" customFormat="1" x14ac:dyDescent="0.2">
      <c r="BN381" s="84"/>
      <c r="BO381" s="84"/>
      <c r="BP381" s="84"/>
      <c r="BQ381" s="84"/>
      <c r="BR381" s="84"/>
      <c r="BS381" s="84"/>
      <c r="BT381" s="84"/>
      <c r="BU381" s="84"/>
      <c r="BV381" s="84"/>
      <c r="BW381" s="84"/>
      <c r="BX381" s="84"/>
      <c r="BY381" s="84"/>
      <c r="BZ381" s="84"/>
      <c r="CA381" s="84"/>
      <c r="CB381" s="84"/>
      <c r="CC381" s="84"/>
      <c r="CD381" s="84"/>
      <c r="CE381" s="84"/>
      <c r="CF381" s="84"/>
      <c r="CG381" s="84"/>
      <c r="CH381" s="84"/>
      <c r="CI381" s="84"/>
      <c r="CJ381" s="84"/>
      <c r="CK381" s="84"/>
      <c r="CL381" s="84"/>
    </row>
    <row r="382" spans="66:90" s="354" customFormat="1" x14ac:dyDescent="0.2">
      <c r="BN382" s="84"/>
      <c r="BO382" s="84"/>
      <c r="BP382" s="84"/>
      <c r="BQ382" s="84"/>
      <c r="BR382" s="84"/>
      <c r="BS382" s="84"/>
      <c r="BT382" s="84"/>
      <c r="BU382" s="84"/>
      <c r="BV382" s="84"/>
      <c r="BW382" s="84"/>
      <c r="BX382" s="84"/>
      <c r="BY382" s="84"/>
      <c r="BZ382" s="84"/>
      <c r="CA382" s="84"/>
      <c r="CB382" s="84"/>
      <c r="CC382" s="84"/>
      <c r="CD382" s="84"/>
      <c r="CE382" s="84"/>
      <c r="CF382" s="84"/>
      <c r="CG382" s="84"/>
      <c r="CH382" s="84"/>
      <c r="CI382" s="84"/>
      <c r="CJ382" s="84"/>
      <c r="CK382" s="84"/>
      <c r="CL382" s="84"/>
    </row>
    <row r="383" spans="66:90" s="354" customFormat="1" x14ac:dyDescent="0.2">
      <c r="BN383" s="84"/>
      <c r="BO383" s="84"/>
      <c r="BP383" s="84"/>
      <c r="BQ383" s="84"/>
      <c r="BR383" s="84"/>
      <c r="BS383" s="84"/>
      <c r="BT383" s="84"/>
      <c r="BU383" s="84"/>
      <c r="BV383" s="84"/>
      <c r="BW383" s="84"/>
      <c r="BX383" s="84"/>
      <c r="BY383" s="84"/>
      <c r="BZ383" s="84"/>
      <c r="CA383" s="84"/>
      <c r="CB383" s="84"/>
      <c r="CC383" s="84"/>
      <c r="CD383" s="84"/>
      <c r="CE383" s="84"/>
      <c r="CF383" s="84"/>
      <c r="CG383" s="84"/>
      <c r="CH383" s="84"/>
      <c r="CI383" s="84"/>
      <c r="CJ383" s="84"/>
      <c r="CK383" s="84"/>
      <c r="CL383" s="84"/>
    </row>
    <row r="384" spans="66:90" s="354" customFormat="1" x14ac:dyDescent="0.2">
      <c r="BN384" s="84"/>
      <c r="BO384" s="84"/>
      <c r="BP384" s="84"/>
      <c r="BQ384" s="84"/>
      <c r="BR384" s="84"/>
      <c r="BS384" s="84"/>
      <c r="BT384" s="84"/>
      <c r="BU384" s="84"/>
      <c r="BV384" s="84"/>
      <c r="BW384" s="84"/>
      <c r="BX384" s="84"/>
      <c r="BY384" s="84"/>
      <c r="BZ384" s="84"/>
      <c r="CA384" s="84"/>
      <c r="CB384" s="84"/>
      <c r="CC384" s="84"/>
      <c r="CD384" s="84"/>
      <c r="CE384" s="84"/>
      <c r="CF384" s="84"/>
      <c r="CG384" s="84"/>
      <c r="CH384" s="84"/>
      <c r="CI384" s="84"/>
      <c r="CJ384" s="84"/>
      <c r="CK384" s="84"/>
      <c r="CL384" s="84"/>
    </row>
    <row r="385" spans="66:90" s="354" customFormat="1" x14ac:dyDescent="0.2">
      <c r="BN385" s="84"/>
      <c r="BO385" s="84"/>
      <c r="BP385" s="84"/>
      <c r="BQ385" s="84"/>
      <c r="BR385" s="84"/>
      <c r="BS385" s="84"/>
      <c r="BT385" s="84"/>
      <c r="BU385" s="84"/>
      <c r="BV385" s="84"/>
      <c r="BW385" s="84"/>
      <c r="BX385" s="84"/>
      <c r="BY385" s="84"/>
      <c r="BZ385" s="84"/>
      <c r="CA385" s="84"/>
      <c r="CB385" s="84"/>
      <c r="CC385" s="84"/>
      <c r="CD385" s="84"/>
      <c r="CE385" s="84"/>
      <c r="CF385" s="84"/>
      <c r="CG385" s="84"/>
      <c r="CH385" s="84"/>
      <c r="CI385" s="84"/>
      <c r="CJ385" s="84"/>
      <c r="CK385" s="84"/>
      <c r="CL385" s="84"/>
    </row>
    <row r="386" spans="66:90" s="354" customFormat="1" x14ac:dyDescent="0.2">
      <c r="BN386" s="84"/>
      <c r="BO386" s="84"/>
      <c r="BP386" s="84"/>
      <c r="BQ386" s="84"/>
      <c r="BR386" s="84"/>
      <c r="BS386" s="84"/>
      <c r="BT386" s="84"/>
      <c r="BU386" s="84"/>
      <c r="BV386" s="84"/>
      <c r="BW386" s="84"/>
      <c r="BX386" s="84"/>
      <c r="BY386" s="84"/>
      <c r="BZ386" s="84"/>
      <c r="CA386" s="84"/>
      <c r="CB386" s="84"/>
      <c r="CC386" s="84"/>
      <c r="CD386" s="84"/>
      <c r="CE386" s="84"/>
      <c r="CF386" s="84"/>
      <c r="CG386" s="84"/>
      <c r="CH386" s="84"/>
      <c r="CI386" s="84"/>
      <c r="CJ386" s="84"/>
      <c r="CK386" s="84"/>
      <c r="CL386" s="84"/>
    </row>
    <row r="387" spans="66:90" s="354" customFormat="1" x14ac:dyDescent="0.2">
      <c r="BN387" s="84"/>
      <c r="BO387" s="84"/>
      <c r="BP387" s="84"/>
      <c r="BQ387" s="84"/>
      <c r="BR387" s="84"/>
      <c r="BS387" s="84"/>
      <c r="BT387" s="84"/>
      <c r="BU387" s="84"/>
      <c r="BV387" s="84"/>
      <c r="BW387" s="84"/>
      <c r="BX387" s="84"/>
      <c r="BY387" s="84"/>
      <c r="BZ387" s="84"/>
      <c r="CA387" s="84"/>
      <c r="CB387" s="84"/>
      <c r="CC387" s="84"/>
      <c r="CD387" s="84"/>
      <c r="CE387" s="84"/>
      <c r="CF387" s="84"/>
      <c r="CG387" s="84"/>
      <c r="CH387" s="84"/>
      <c r="CI387" s="84"/>
      <c r="CJ387" s="84"/>
      <c r="CK387" s="84"/>
      <c r="CL387" s="84"/>
    </row>
    <row r="388" spans="66:90" s="354" customFormat="1" x14ac:dyDescent="0.2">
      <c r="BN388" s="84"/>
      <c r="BO388" s="84"/>
      <c r="BP388" s="84"/>
      <c r="BQ388" s="84"/>
      <c r="BR388" s="84"/>
      <c r="BS388" s="84"/>
      <c r="BT388" s="84"/>
      <c r="BU388" s="84"/>
      <c r="BV388" s="84"/>
      <c r="BW388" s="84"/>
      <c r="BX388" s="84"/>
      <c r="BY388" s="84"/>
      <c r="BZ388" s="84"/>
      <c r="CA388" s="84"/>
      <c r="CB388" s="84"/>
      <c r="CC388" s="84"/>
      <c r="CD388" s="84"/>
      <c r="CE388" s="84"/>
      <c r="CF388" s="84"/>
      <c r="CG388" s="84"/>
      <c r="CH388" s="84"/>
      <c r="CI388" s="84"/>
      <c r="CJ388" s="84"/>
      <c r="CK388" s="84"/>
      <c r="CL388" s="84"/>
    </row>
    <row r="389" spans="66:90" s="354" customFormat="1" x14ac:dyDescent="0.2">
      <c r="BN389" s="84"/>
      <c r="BO389" s="84"/>
      <c r="BP389" s="84"/>
      <c r="BQ389" s="84"/>
      <c r="BR389" s="84"/>
      <c r="BS389" s="84"/>
      <c r="BT389" s="84"/>
      <c r="BU389" s="84"/>
      <c r="BV389" s="84"/>
      <c r="BW389" s="84"/>
      <c r="BX389" s="84"/>
      <c r="BY389" s="84"/>
      <c r="BZ389" s="84"/>
      <c r="CA389" s="84"/>
      <c r="CB389" s="84"/>
      <c r="CC389" s="84"/>
      <c r="CD389" s="84"/>
      <c r="CE389" s="84"/>
      <c r="CF389" s="84"/>
      <c r="CG389" s="84"/>
      <c r="CH389" s="84"/>
      <c r="CI389" s="84"/>
      <c r="CJ389" s="84"/>
      <c r="CK389" s="84"/>
      <c r="CL389" s="84"/>
    </row>
    <row r="390" spans="66:90" s="354" customFormat="1" x14ac:dyDescent="0.2">
      <c r="BN390" s="84"/>
      <c r="BO390" s="84"/>
      <c r="BP390" s="84"/>
      <c r="BQ390" s="84"/>
      <c r="BR390" s="84"/>
      <c r="BS390" s="84"/>
      <c r="BT390" s="84"/>
      <c r="BU390" s="84"/>
      <c r="BV390" s="84"/>
      <c r="BW390" s="84"/>
      <c r="BX390" s="84"/>
      <c r="BY390" s="84"/>
      <c r="BZ390" s="84"/>
      <c r="CA390" s="84"/>
      <c r="CB390" s="84"/>
      <c r="CC390" s="84"/>
      <c r="CD390" s="84"/>
      <c r="CE390" s="84"/>
      <c r="CF390" s="84"/>
      <c r="CG390" s="84"/>
      <c r="CH390" s="84"/>
      <c r="CI390" s="84"/>
      <c r="CJ390" s="84"/>
      <c r="CK390" s="84"/>
      <c r="CL390" s="84"/>
    </row>
    <row r="391" spans="66:90" s="354" customFormat="1" x14ac:dyDescent="0.2">
      <c r="BN391" s="84"/>
      <c r="BO391" s="84"/>
      <c r="BP391" s="84"/>
      <c r="BQ391" s="84"/>
      <c r="BR391" s="84"/>
      <c r="BS391" s="84"/>
      <c r="BT391" s="84"/>
      <c r="BU391" s="84"/>
      <c r="BV391" s="84"/>
      <c r="BW391" s="84"/>
      <c r="BX391" s="84"/>
      <c r="BY391" s="84"/>
      <c r="BZ391" s="84"/>
      <c r="CA391" s="84"/>
      <c r="CB391" s="84"/>
      <c r="CC391" s="84"/>
      <c r="CD391" s="84"/>
      <c r="CE391" s="84"/>
      <c r="CF391" s="84"/>
      <c r="CG391" s="84"/>
      <c r="CH391" s="84"/>
      <c r="CI391" s="84"/>
      <c r="CJ391" s="84"/>
      <c r="CK391" s="84"/>
      <c r="CL391" s="84"/>
    </row>
    <row r="392" spans="66:90" s="354" customFormat="1" x14ac:dyDescent="0.2">
      <c r="BN392" s="84"/>
      <c r="BO392" s="84"/>
      <c r="BP392" s="84"/>
      <c r="BQ392" s="84"/>
      <c r="BR392" s="84"/>
      <c r="BS392" s="84"/>
      <c r="BT392" s="84"/>
      <c r="BU392" s="84"/>
      <c r="BV392" s="84"/>
      <c r="BW392" s="84"/>
      <c r="BX392" s="84"/>
      <c r="BY392" s="84"/>
      <c r="BZ392" s="84"/>
      <c r="CA392" s="84"/>
      <c r="CB392" s="84"/>
      <c r="CC392" s="84"/>
      <c r="CD392" s="84"/>
      <c r="CE392" s="84"/>
      <c r="CF392" s="84"/>
      <c r="CG392" s="84"/>
      <c r="CH392" s="84"/>
      <c r="CI392" s="84"/>
      <c r="CJ392" s="84"/>
      <c r="CK392" s="84"/>
      <c r="CL392" s="84"/>
    </row>
    <row r="393" spans="66:90" s="354" customFormat="1" x14ac:dyDescent="0.2">
      <c r="BN393" s="84"/>
      <c r="BO393" s="84"/>
      <c r="BP393" s="84"/>
      <c r="BQ393" s="84"/>
      <c r="BR393" s="84"/>
      <c r="BS393" s="84"/>
      <c r="BT393" s="84"/>
      <c r="BU393" s="84"/>
      <c r="BV393" s="84"/>
      <c r="BW393" s="84"/>
      <c r="BX393" s="84"/>
      <c r="BY393" s="84"/>
      <c r="BZ393" s="84"/>
      <c r="CA393" s="84"/>
      <c r="CB393" s="84"/>
      <c r="CC393" s="84"/>
      <c r="CD393" s="84"/>
      <c r="CE393" s="84"/>
      <c r="CF393" s="84"/>
      <c r="CG393" s="84"/>
      <c r="CH393" s="84"/>
      <c r="CI393" s="84"/>
      <c r="CJ393" s="84"/>
      <c r="CK393" s="84"/>
      <c r="CL393" s="84"/>
    </row>
    <row r="394" spans="66:90" s="354" customFormat="1" x14ac:dyDescent="0.2">
      <c r="BN394" s="84"/>
      <c r="BO394" s="84"/>
      <c r="BP394" s="84"/>
      <c r="BQ394" s="84"/>
      <c r="BR394" s="84"/>
      <c r="BS394" s="84"/>
      <c r="BT394" s="84"/>
      <c r="BU394" s="84"/>
      <c r="BV394" s="84"/>
      <c r="BW394" s="84"/>
      <c r="BX394" s="84"/>
      <c r="BY394" s="84"/>
      <c r="BZ394" s="84"/>
      <c r="CA394" s="84"/>
      <c r="CB394" s="84"/>
      <c r="CC394" s="84"/>
      <c r="CD394" s="84"/>
      <c r="CE394" s="84"/>
      <c r="CF394" s="84"/>
      <c r="CG394" s="84"/>
      <c r="CH394" s="84"/>
      <c r="CI394" s="84"/>
      <c r="CJ394" s="84"/>
      <c r="CK394" s="84"/>
      <c r="CL394" s="84"/>
    </row>
    <row r="395" spans="66:90" s="354" customFormat="1" x14ac:dyDescent="0.2">
      <c r="BN395" s="84"/>
      <c r="BO395" s="84"/>
      <c r="BP395" s="84"/>
      <c r="BQ395" s="84"/>
      <c r="BR395" s="84"/>
      <c r="BS395" s="84"/>
      <c r="BT395" s="84"/>
      <c r="BU395" s="84"/>
      <c r="BV395" s="84"/>
      <c r="BW395" s="84"/>
      <c r="BX395" s="84"/>
      <c r="BY395" s="84"/>
      <c r="BZ395" s="84"/>
      <c r="CA395" s="84"/>
      <c r="CB395" s="84"/>
      <c r="CC395" s="84"/>
      <c r="CD395" s="84"/>
      <c r="CE395" s="84"/>
      <c r="CF395" s="84"/>
      <c r="CG395" s="84"/>
      <c r="CH395" s="84"/>
      <c r="CI395" s="84"/>
      <c r="CJ395" s="84"/>
      <c r="CK395" s="84"/>
      <c r="CL395" s="84"/>
    </row>
    <row r="396" spans="66:90" s="354" customFormat="1" x14ac:dyDescent="0.2">
      <c r="BN396" s="84"/>
      <c r="BO396" s="84"/>
      <c r="BP396" s="84"/>
      <c r="BQ396" s="84"/>
      <c r="BR396" s="84"/>
      <c r="BS396" s="84"/>
      <c r="BT396" s="84"/>
      <c r="BU396" s="84"/>
      <c r="BV396" s="84"/>
      <c r="BW396" s="84"/>
      <c r="BX396" s="84"/>
      <c r="BY396" s="84"/>
      <c r="BZ396" s="84"/>
      <c r="CA396" s="84"/>
      <c r="CB396" s="84"/>
      <c r="CC396" s="84"/>
      <c r="CD396" s="84"/>
      <c r="CE396" s="84"/>
      <c r="CF396" s="84"/>
      <c r="CG396" s="84"/>
      <c r="CH396" s="84"/>
      <c r="CI396" s="84"/>
      <c r="CJ396" s="84"/>
      <c r="CK396" s="84"/>
      <c r="CL396" s="84"/>
    </row>
    <row r="397" spans="66:90" s="354" customFormat="1" x14ac:dyDescent="0.2">
      <c r="BN397" s="84"/>
      <c r="BO397" s="84"/>
      <c r="BP397" s="84"/>
      <c r="BQ397" s="84"/>
      <c r="BR397" s="84"/>
      <c r="BS397" s="84"/>
      <c r="BT397" s="84"/>
      <c r="BU397" s="84"/>
      <c r="BV397" s="84"/>
      <c r="BW397" s="84"/>
      <c r="BX397" s="84"/>
      <c r="BY397" s="84"/>
      <c r="BZ397" s="84"/>
      <c r="CA397" s="84"/>
      <c r="CB397" s="84"/>
      <c r="CC397" s="84"/>
      <c r="CD397" s="84"/>
      <c r="CE397" s="84"/>
      <c r="CF397" s="84"/>
      <c r="CG397" s="84"/>
      <c r="CH397" s="84"/>
      <c r="CI397" s="84"/>
      <c r="CJ397" s="84"/>
      <c r="CK397" s="84"/>
      <c r="CL397" s="84"/>
    </row>
    <row r="398" spans="66:90" s="354" customFormat="1" x14ac:dyDescent="0.2">
      <c r="BN398" s="84"/>
      <c r="BO398" s="84"/>
      <c r="BP398" s="84"/>
      <c r="BQ398" s="84"/>
      <c r="BR398" s="84"/>
      <c r="BS398" s="84"/>
      <c r="BT398" s="84"/>
      <c r="BU398" s="84"/>
      <c r="BV398" s="84"/>
      <c r="BW398" s="84"/>
      <c r="BX398" s="84"/>
      <c r="BY398" s="84"/>
      <c r="BZ398" s="84"/>
      <c r="CA398" s="84"/>
      <c r="CB398" s="84"/>
      <c r="CC398" s="84"/>
      <c r="CD398" s="84"/>
      <c r="CE398" s="84"/>
      <c r="CF398" s="84"/>
      <c r="CG398" s="84"/>
      <c r="CH398" s="84"/>
      <c r="CI398" s="84"/>
      <c r="CJ398" s="84"/>
      <c r="CK398" s="84"/>
      <c r="CL398" s="84"/>
    </row>
    <row r="399" spans="66:90" s="354" customFormat="1" x14ac:dyDescent="0.2">
      <c r="BN399" s="84"/>
      <c r="BO399" s="84"/>
      <c r="BP399" s="84"/>
      <c r="BQ399" s="84"/>
      <c r="BR399" s="84"/>
      <c r="BS399" s="84"/>
      <c r="BT399" s="84"/>
      <c r="BU399" s="84"/>
      <c r="BV399" s="84"/>
      <c r="BW399" s="84"/>
      <c r="BX399" s="84"/>
      <c r="BY399" s="84"/>
      <c r="BZ399" s="84"/>
      <c r="CA399" s="84"/>
      <c r="CB399" s="84"/>
      <c r="CC399" s="84"/>
      <c r="CD399" s="84"/>
      <c r="CE399" s="84"/>
      <c r="CF399" s="84"/>
      <c r="CG399" s="84"/>
      <c r="CH399" s="84"/>
      <c r="CI399" s="84"/>
      <c r="CJ399" s="84"/>
      <c r="CK399" s="84"/>
      <c r="CL399" s="84"/>
    </row>
    <row r="400" spans="66:90" s="354" customFormat="1" x14ac:dyDescent="0.2">
      <c r="BN400" s="84"/>
      <c r="BO400" s="84"/>
      <c r="BP400" s="84"/>
      <c r="BQ400" s="84"/>
      <c r="BR400" s="84"/>
      <c r="BS400" s="84"/>
      <c r="BT400" s="84"/>
      <c r="BU400" s="84"/>
      <c r="BV400" s="84"/>
      <c r="BW400" s="84"/>
      <c r="BX400" s="84"/>
      <c r="BY400" s="84"/>
      <c r="BZ400" s="84"/>
      <c r="CA400" s="84"/>
      <c r="CB400" s="84"/>
      <c r="CC400" s="84"/>
      <c r="CD400" s="84"/>
      <c r="CE400" s="84"/>
      <c r="CF400" s="84"/>
      <c r="CG400" s="84"/>
      <c r="CH400" s="84"/>
      <c r="CI400" s="84"/>
      <c r="CJ400" s="84"/>
      <c r="CK400" s="84"/>
      <c r="CL400" s="84"/>
    </row>
    <row r="401" spans="66:90" s="354" customFormat="1" x14ac:dyDescent="0.2">
      <c r="BN401" s="84"/>
      <c r="BO401" s="84"/>
      <c r="BP401" s="84"/>
      <c r="BQ401" s="84"/>
      <c r="BR401" s="84"/>
      <c r="BS401" s="84"/>
      <c r="BT401" s="84"/>
      <c r="BU401" s="84"/>
      <c r="BV401" s="84"/>
      <c r="BW401" s="84"/>
      <c r="BX401" s="84"/>
      <c r="BY401" s="84"/>
      <c r="BZ401" s="84"/>
      <c r="CA401" s="84"/>
      <c r="CB401" s="84"/>
      <c r="CC401" s="84"/>
      <c r="CD401" s="84"/>
      <c r="CE401" s="84"/>
      <c r="CF401" s="84"/>
      <c r="CG401" s="84"/>
      <c r="CH401" s="84"/>
      <c r="CI401" s="84"/>
      <c r="CJ401" s="84"/>
      <c r="CK401" s="84"/>
      <c r="CL401" s="84"/>
    </row>
    <row r="402" spans="66:90" s="354" customFormat="1" x14ac:dyDescent="0.2">
      <c r="BN402" s="84"/>
      <c r="BO402" s="84"/>
      <c r="BP402" s="84"/>
      <c r="BQ402" s="84"/>
      <c r="BR402" s="84"/>
      <c r="BS402" s="84"/>
      <c r="BT402" s="84"/>
      <c r="BU402" s="84"/>
      <c r="BV402" s="84"/>
      <c r="BW402" s="84"/>
      <c r="BX402" s="84"/>
      <c r="BY402" s="84"/>
      <c r="BZ402" s="84"/>
      <c r="CA402" s="84"/>
      <c r="CB402" s="84"/>
      <c r="CC402" s="84"/>
      <c r="CD402" s="84"/>
      <c r="CE402" s="84"/>
      <c r="CF402" s="84"/>
      <c r="CG402" s="84"/>
      <c r="CH402" s="84"/>
      <c r="CI402" s="84"/>
      <c r="CJ402" s="84"/>
      <c r="CK402" s="84"/>
      <c r="CL402" s="84"/>
    </row>
    <row r="403" spans="66:90" s="354" customFormat="1" x14ac:dyDescent="0.2">
      <c r="BN403" s="84"/>
      <c r="BO403" s="84"/>
      <c r="BP403" s="84"/>
      <c r="BQ403" s="84"/>
      <c r="BR403" s="84"/>
      <c r="BS403" s="84"/>
      <c r="BT403" s="84"/>
      <c r="BU403" s="84"/>
      <c r="BV403" s="84"/>
      <c r="BW403" s="84"/>
      <c r="BX403" s="84"/>
      <c r="BY403" s="84"/>
      <c r="BZ403" s="84"/>
      <c r="CA403" s="84"/>
      <c r="CB403" s="84"/>
      <c r="CC403" s="84"/>
      <c r="CD403" s="84"/>
      <c r="CE403" s="84"/>
      <c r="CF403" s="84"/>
      <c r="CG403" s="84"/>
      <c r="CH403" s="84"/>
      <c r="CI403" s="84"/>
      <c r="CJ403" s="84"/>
      <c r="CK403" s="84"/>
      <c r="CL403" s="84"/>
    </row>
    <row r="404" spans="66:90" s="354" customFormat="1" x14ac:dyDescent="0.2">
      <c r="BN404" s="84"/>
      <c r="BO404" s="84"/>
      <c r="BP404" s="84"/>
      <c r="BQ404" s="84"/>
      <c r="BR404" s="84"/>
      <c r="BS404" s="84"/>
      <c r="BT404" s="84"/>
      <c r="BU404" s="84"/>
      <c r="BV404" s="84"/>
      <c r="BW404" s="84"/>
      <c r="BX404" s="84"/>
      <c r="BY404" s="84"/>
      <c r="BZ404" s="84"/>
      <c r="CA404" s="84"/>
      <c r="CB404" s="84"/>
      <c r="CC404" s="84"/>
      <c r="CD404" s="84"/>
      <c r="CE404" s="84"/>
      <c r="CF404" s="84"/>
      <c r="CG404" s="84"/>
      <c r="CH404" s="84"/>
      <c r="CI404" s="84"/>
      <c r="CJ404" s="84"/>
      <c r="CK404" s="84"/>
      <c r="CL404" s="84"/>
    </row>
    <row r="405" spans="66:90" s="354" customFormat="1" x14ac:dyDescent="0.2">
      <c r="BN405" s="84"/>
      <c r="BO405" s="84"/>
      <c r="BP405" s="84"/>
      <c r="BQ405" s="84"/>
      <c r="BR405" s="84"/>
      <c r="BS405" s="84"/>
      <c r="BT405" s="84"/>
      <c r="BU405" s="84"/>
      <c r="BV405" s="84"/>
      <c r="BW405" s="84"/>
      <c r="BX405" s="84"/>
      <c r="BY405" s="84"/>
      <c r="BZ405" s="84"/>
      <c r="CA405" s="84"/>
      <c r="CB405" s="84"/>
      <c r="CC405" s="84"/>
      <c r="CD405" s="84"/>
      <c r="CE405" s="84"/>
      <c r="CF405" s="84"/>
      <c r="CG405" s="84"/>
      <c r="CH405" s="84"/>
      <c r="CI405" s="84"/>
      <c r="CJ405" s="84"/>
      <c r="CK405" s="84"/>
      <c r="CL405" s="84"/>
    </row>
    <row r="406" spans="66:90" s="354" customFormat="1" x14ac:dyDescent="0.2">
      <c r="BN406" s="84"/>
      <c r="BO406" s="84"/>
      <c r="BP406" s="84"/>
      <c r="BQ406" s="84"/>
      <c r="BR406" s="84"/>
      <c r="BS406" s="84"/>
      <c r="BT406" s="84"/>
      <c r="BU406" s="84"/>
      <c r="BV406" s="84"/>
      <c r="BW406" s="84"/>
      <c r="BX406" s="84"/>
      <c r="BY406" s="84"/>
      <c r="BZ406" s="84"/>
      <c r="CA406" s="84"/>
      <c r="CB406" s="84"/>
      <c r="CC406" s="84"/>
      <c r="CD406" s="84"/>
      <c r="CE406" s="84"/>
      <c r="CF406" s="84"/>
      <c r="CG406" s="84"/>
      <c r="CH406" s="84"/>
      <c r="CI406" s="84"/>
      <c r="CJ406" s="84"/>
      <c r="CK406" s="84"/>
      <c r="CL406" s="84"/>
    </row>
    <row r="407" spans="66:90" s="354" customFormat="1" x14ac:dyDescent="0.2">
      <c r="BN407" s="84"/>
      <c r="BO407" s="84"/>
      <c r="BP407" s="84"/>
      <c r="BQ407" s="84"/>
      <c r="BR407" s="84"/>
      <c r="BS407" s="84"/>
      <c r="BT407" s="84"/>
      <c r="BU407" s="84"/>
      <c r="BV407" s="84"/>
      <c r="BW407" s="84"/>
      <c r="BX407" s="84"/>
      <c r="BY407" s="84"/>
      <c r="BZ407" s="84"/>
      <c r="CA407" s="84"/>
      <c r="CB407" s="84"/>
      <c r="CC407" s="84"/>
      <c r="CD407" s="84"/>
      <c r="CE407" s="84"/>
      <c r="CF407" s="84"/>
      <c r="CG407" s="84"/>
      <c r="CH407" s="84"/>
      <c r="CI407" s="84"/>
      <c r="CJ407" s="84"/>
      <c r="CK407" s="84"/>
      <c r="CL407" s="84"/>
    </row>
    <row r="408" spans="66:90" s="354" customFormat="1" x14ac:dyDescent="0.2">
      <c r="BN408" s="84"/>
      <c r="BO408" s="84"/>
      <c r="BP408" s="84"/>
      <c r="BQ408" s="84"/>
      <c r="BR408" s="84"/>
      <c r="BS408" s="84"/>
      <c r="BT408" s="84"/>
      <c r="BU408" s="84"/>
      <c r="BV408" s="84"/>
      <c r="BW408" s="84"/>
      <c r="BX408" s="84"/>
      <c r="BY408" s="84"/>
      <c r="BZ408" s="84"/>
      <c r="CA408" s="84"/>
      <c r="CB408" s="84"/>
      <c r="CC408" s="84"/>
      <c r="CD408" s="84"/>
      <c r="CE408" s="84"/>
      <c r="CF408" s="84"/>
      <c r="CG408" s="84"/>
      <c r="CH408" s="84"/>
      <c r="CI408" s="84"/>
      <c r="CJ408" s="84"/>
      <c r="CK408" s="84"/>
      <c r="CL408" s="84"/>
    </row>
    <row r="409" spans="66:90" s="354" customFormat="1" x14ac:dyDescent="0.2">
      <c r="BN409" s="84"/>
      <c r="BO409" s="84"/>
      <c r="BP409" s="84"/>
      <c r="BQ409" s="84"/>
      <c r="BR409" s="84"/>
      <c r="BS409" s="84"/>
      <c r="BT409" s="84"/>
      <c r="BU409" s="84"/>
      <c r="BV409" s="84"/>
      <c r="BW409" s="84"/>
      <c r="BX409" s="84"/>
      <c r="BY409" s="84"/>
      <c r="BZ409" s="84"/>
      <c r="CA409" s="84"/>
      <c r="CB409" s="84"/>
      <c r="CC409" s="84"/>
      <c r="CD409" s="84"/>
      <c r="CE409" s="84"/>
      <c r="CF409" s="84"/>
      <c r="CG409" s="84"/>
      <c r="CH409" s="84"/>
      <c r="CI409" s="84"/>
      <c r="CJ409" s="84"/>
      <c r="CK409" s="84"/>
      <c r="CL409" s="84"/>
    </row>
    <row r="410" spans="66:90" s="354" customFormat="1" x14ac:dyDescent="0.2">
      <c r="BN410" s="84"/>
      <c r="BO410" s="84"/>
      <c r="BP410" s="84"/>
      <c r="BQ410" s="84"/>
      <c r="BR410" s="84"/>
      <c r="BS410" s="84"/>
      <c r="BT410" s="84"/>
      <c r="BU410" s="84"/>
      <c r="BV410" s="84"/>
      <c r="BW410" s="84"/>
      <c r="BX410" s="84"/>
      <c r="BY410" s="84"/>
      <c r="BZ410" s="84"/>
      <c r="CA410" s="84"/>
      <c r="CB410" s="84"/>
      <c r="CC410" s="84"/>
      <c r="CD410" s="84"/>
      <c r="CE410" s="84"/>
      <c r="CF410" s="84"/>
      <c r="CG410" s="84"/>
      <c r="CH410" s="84"/>
      <c r="CI410" s="84"/>
      <c r="CJ410" s="84"/>
      <c r="CK410" s="84"/>
      <c r="CL410" s="84"/>
    </row>
    <row r="411" spans="66:90" s="354" customFormat="1" x14ac:dyDescent="0.2">
      <c r="BN411" s="84"/>
      <c r="BO411" s="84"/>
      <c r="BP411" s="84"/>
      <c r="BQ411" s="84"/>
      <c r="BR411" s="84"/>
      <c r="BS411" s="84"/>
      <c r="BT411" s="84"/>
      <c r="BU411" s="84"/>
      <c r="BV411" s="84"/>
      <c r="BW411" s="84"/>
      <c r="BX411" s="84"/>
      <c r="BY411" s="84"/>
      <c r="BZ411" s="84"/>
      <c r="CA411" s="84"/>
      <c r="CB411" s="84"/>
      <c r="CC411" s="84"/>
      <c r="CD411" s="84"/>
      <c r="CE411" s="84"/>
      <c r="CF411" s="84"/>
      <c r="CG411" s="84"/>
      <c r="CH411" s="84"/>
      <c r="CI411" s="84"/>
      <c r="CJ411" s="84"/>
      <c r="CK411" s="84"/>
      <c r="CL411" s="84"/>
    </row>
    <row r="412" spans="66:90" s="354" customFormat="1" x14ac:dyDescent="0.2">
      <c r="BN412" s="84"/>
      <c r="BO412" s="84"/>
      <c r="BP412" s="84"/>
      <c r="BQ412" s="84"/>
      <c r="BR412" s="84"/>
      <c r="BS412" s="84"/>
      <c r="BT412" s="84"/>
      <c r="BU412" s="84"/>
      <c r="BV412" s="84"/>
      <c r="BW412" s="84"/>
      <c r="BX412" s="84"/>
      <c r="BY412" s="84"/>
      <c r="BZ412" s="84"/>
      <c r="CA412" s="84"/>
      <c r="CB412" s="84"/>
      <c r="CC412" s="84"/>
      <c r="CD412" s="84"/>
      <c r="CE412" s="84"/>
      <c r="CF412" s="84"/>
      <c r="CG412" s="84"/>
      <c r="CH412" s="84"/>
      <c r="CI412" s="84"/>
      <c r="CJ412" s="84"/>
      <c r="CK412" s="84"/>
      <c r="CL412" s="84"/>
    </row>
    <row r="413" spans="66:90" s="354" customFormat="1" x14ac:dyDescent="0.2">
      <c r="BN413" s="84"/>
      <c r="BO413" s="84"/>
      <c r="BP413" s="84"/>
      <c r="BQ413" s="84"/>
      <c r="BR413" s="84"/>
      <c r="BS413" s="84"/>
      <c r="BT413" s="84"/>
      <c r="BU413" s="84"/>
      <c r="BV413" s="84"/>
      <c r="BW413" s="84"/>
      <c r="BX413" s="84"/>
      <c r="BY413" s="84"/>
      <c r="BZ413" s="84"/>
      <c r="CA413" s="84"/>
      <c r="CB413" s="84"/>
      <c r="CC413" s="84"/>
      <c r="CD413" s="84"/>
      <c r="CE413" s="84"/>
      <c r="CF413" s="84"/>
      <c r="CG413" s="84"/>
      <c r="CH413" s="84"/>
      <c r="CI413" s="84"/>
      <c r="CJ413" s="84"/>
      <c r="CK413" s="84"/>
      <c r="CL413" s="84"/>
    </row>
    <row r="414" spans="66:90" s="354" customFormat="1" x14ac:dyDescent="0.2">
      <c r="BN414" s="84"/>
      <c r="BO414" s="84"/>
      <c r="BP414" s="84"/>
      <c r="BQ414" s="84"/>
      <c r="BR414" s="84"/>
      <c r="BS414" s="84"/>
      <c r="BT414" s="84"/>
      <c r="BU414" s="84"/>
      <c r="BV414" s="84"/>
      <c r="BW414" s="84"/>
      <c r="BX414" s="84"/>
      <c r="BY414" s="84"/>
      <c r="BZ414" s="84"/>
      <c r="CA414" s="84"/>
      <c r="CB414" s="84"/>
      <c r="CC414" s="84"/>
      <c r="CD414" s="84"/>
      <c r="CE414" s="84"/>
      <c r="CF414" s="84"/>
      <c r="CG414" s="84"/>
      <c r="CH414" s="84"/>
      <c r="CI414" s="84"/>
      <c r="CJ414" s="84"/>
      <c r="CK414" s="84"/>
      <c r="CL414" s="84"/>
    </row>
    <row r="415" spans="66:90" s="354" customFormat="1" x14ac:dyDescent="0.2">
      <c r="BN415" s="84"/>
      <c r="BO415" s="84"/>
      <c r="BP415" s="84"/>
      <c r="BQ415" s="84"/>
      <c r="BR415" s="84"/>
      <c r="BS415" s="84"/>
      <c r="BT415" s="84"/>
      <c r="BU415" s="84"/>
      <c r="BV415" s="84"/>
      <c r="BW415" s="84"/>
      <c r="BX415" s="84"/>
      <c r="BY415" s="84"/>
      <c r="BZ415" s="84"/>
      <c r="CA415" s="84"/>
      <c r="CB415" s="84"/>
      <c r="CC415" s="84"/>
      <c r="CD415" s="84"/>
      <c r="CE415" s="84"/>
      <c r="CF415" s="84"/>
      <c r="CG415" s="84"/>
      <c r="CH415" s="84"/>
      <c r="CI415" s="84"/>
      <c r="CJ415" s="84"/>
      <c r="CK415" s="84"/>
      <c r="CL415" s="84"/>
    </row>
    <row r="416" spans="66:90" s="354" customFormat="1" x14ac:dyDescent="0.2">
      <c r="BN416" s="84"/>
      <c r="BO416" s="84"/>
      <c r="BP416" s="84"/>
      <c r="BQ416" s="84"/>
      <c r="BR416" s="84"/>
      <c r="BS416" s="84"/>
      <c r="BT416" s="84"/>
      <c r="BU416" s="84"/>
      <c r="BV416" s="84"/>
      <c r="BW416" s="84"/>
      <c r="BX416" s="84"/>
      <c r="BY416" s="84"/>
      <c r="BZ416" s="84"/>
      <c r="CA416" s="84"/>
      <c r="CB416" s="84"/>
      <c r="CC416" s="84"/>
      <c r="CD416" s="84"/>
      <c r="CE416" s="84"/>
      <c r="CF416" s="84"/>
      <c r="CG416" s="84"/>
      <c r="CH416" s="84"/>
      <c r="CI416" s="84"/>
      <c r="CJ416" s="84"/>
      <c r="CK416" s="84"/>
      <c r="CL416" s="84"/>
    </row>
    <row r="417" spans="66:90" s="354" customFormat="1" x14ac:dyDescent="0.2">
      <c r="BN417" s="84"/>
      <c r="BO417" s="84"/>
      <c r="BP417" s="84"/>
      <c r="BQ417" s="84"/>
      <c r="BR417" s="84"/>
      <c r="BS417" s="84"/>
      <c r="BT417" s="84"/>
      <c r="BU417" s="84"/>
      <c r="BV417" s="84"/>
      <c r="BW417" s="84"/>
      <c r="BX417" s="84"/>
      <c r="BY417" s="84"/>
      <c r="BZ417" s="84"/>
      <c r="CA417" s="84"/>
      <c r="CB417" s="84"/>
      <c r="CC417" s="84"/>
      <c r="CD417" s="84"/>
      <c r="CE417" s="84"/>
      <c r="CF417" s="84"/>
      <c r="CG417" s="84"/>
      <c r="CH417" s="84"/>
      <c r="CI417" s="84"/>
      <c r="CJ417" s="84"/>
      <c r="CK417" s="84"/>
      <c r="CL417" s="84"/>
    </row>
    <row r="418" spans="66:90" s="354" customFormat="1" x14ac:dyDescent="0.2">
      <c r="BN418" s="84"/>
      <c r="BO418" s="84"/>
      <c r="BP418" s="84"/>
      <c r="BQ418" s="84"/>
      <c r="BR418" s="84"/>
      <c r="BS418" s="84"/>
      <c r="BT418" s="84"/>
      <c r="BU418" s="84"/>
      <c r="BV418" s="84"/>
      <c r="BW418" s="84"/>
      <c r="BX418" s="84"/>
      <c r="BY418" s="84"/>
      <c r="BZ418" s="84"/>
      <c r="CA418" s="84"/>
      <c r="CB418" s="84"/>
      <c r="CC418" s="84"/>
      <c r="CD418" s="84"/>
      <c r="CE418" s="84"/>
      <c r="CF418" s="84"/>
      <c r="CG418" s="84"/>
      <c r="CH418" s="84"/>
      <c r="CI418" s="84"/>
      <c r="CJ418" s="84"/>
      <c r="CK418" s="84"/>
      <c r="CL418" s="84"/>
    </row>
    <row r="419" spans="66:90" s="354" customFormat="1" x14ac:dyDescent="0.2">
      <c r="BN419" s="84"/>
      <c r="BO419" s="84"/>
      <c r="BP419" s="84"/>
      <c r="BQ419" s="84"/>
      <c r="BR419" s="84"/>
      <c r="BS419" s="84"/>
      <c r="BT419" s="84"/>
      <c r="BU419" s="84"/>
      <c r="BV419" s="84"/>
      <c r="BW419" s="84"/>
      <c r="BX419" s="84"/>
      <c r="BY419" s="84"/>
      <c r="BZ419" s="84"/>
      <c r="CA419" s="84"/>
      <c r="CB419" s="84"/>
      <c r="CC419" s="84"/>
      <c r="CD419" s="84"/>
      <c r="CE419" s="84"/>
      <c r="CF419" s="84"/>
      <c r="CG419" s="84"/>
      <c r="CH419" s="84"/>
      <c r="CI419" s="84"/>
      <c r="CJ419" s="84"/>
      <c r="CK419" s="84"/>
      <c r="CL419" s="84"/>
    </row>
    <row r="420" spans="66:90" s="354" customFormat="1" x14ac:dyDescent="0.2">
      <c r="BN420" s="84"/>
      <c r="BO420" s="84"/>
      <c r="BP420" s="84"/>
      <c r="BQ420" s="84"/>
      <c r="BR420" s="84"/>
      <c r="BS420" s="84"/>
      <c r="BT420" s="84"/>
      <c r="BU420" s="84"/>
      <c r="BV420" s="84"/>
      <c r="BW420" s="84"/>
      <c r="BX420" s="84"/>
      <c r="BY420" s="84"/>
      <c r="BZ420" s="84"/>
      <c r="CA420" s="84"/>
      <c r="CB420" s="84"/>
      <c r="CC420" s="84"/>
      <c r="CD420" s="84"/>
      <c r="CE420" s="84"/>
      <c r="CF420" s="84"/>
      <c r="CG420" s="84"/>
      <c r="CH420" s="84"/>
      <c r="CI420" s="84"/>
      <c r="CJ420" s="84"/>
      <c r="CK420" s="84"/>
      <c r="CL420" s="84"/>
    </row>
    <row r="421" spans="66:90" s="354" customFormat="1" x14ac:dyDescent="0.2">
      <c r="BN421" s="84"/>
      <c r="BO421" s="84"/>
      <c r="BP421" s="84"/>
      <c r="BQ421" s="84"/>
      <c r="BR421" s="84"/>
      <c r="BS421" s="84"/>
      <c r="BT421" s="84"/>
      <c r="BU421" s="84"/>
      <c r="BV421" s="84"/>
      <c r="BW421" s="84"/>
      <c r="BX421" s="84"/>
      <c r="BY421" s="84"/>
      <c r="BZ421" s="84"/>
      <c r="CA421" s="84"/>
      <c r="CB421" s="84"/>
      <c r="CC421" s="84"/>
      <c r="CD421" s="84"/>
      <c r="CE421" s="84"/>
      <c r="CF421" s="84"/>
      <c r="CG421" s="84"/>
      <c r="CH421" s="84"/>
      <c r="CI421" s="84"/>
      <c r="CJ421" s="84"/>
      <c r="CK421" s="84"/>
      <c r="CL421" s="84"/>
    </row>
    <row r="422" spans="66:90" s="354" customFormat="1" x14ac:dyDescent="0.2">
      <c r="BN422" s="84"/>
      <c r="BO422" s="84"/>
      <c r="BP422" s="84"/>
      <c r="BQ422" s="84"/>
      <c r="BR422" s="84"/>
      <c r="BS422" s="84"/>
      <c r="BT422" s="84"/>
      <c r="BU422" s="84"/>
      <c r="BV422" s="84"/>
      <c r="BW422" s="84"/>
      <c r="BX422" s="84"/>
      <c r="BY422" s="84"/>
      <c r="BZ422" s="84"/>
      <c r="CA422" s="84"/>
      <c r="CB422" s="84"/>
      <c r="CC422" s="84"/>
      <c r="CD422" s="84"/>
      <c r="CE422" s="84"/>
      <c r="CF422" s="84"/>
      <c r="CG422" s="84"/>
      <c r="CH422" s="84"/>
      <c r="CI422" s="84"/>
      <c r="CJ422" s="84"/>
      <c r="CK422" s="84"/>
      <c r="CL422" s="84"/>
    </row>
    <row r="423" spans="66:90" s="354" customFormat="1" x14ac:dyDescent="0.2">
      <c r="BN423" s="84"/>
      <c r="BO423" s="84"/>
      <c r="BP423" s="84"/>
      <c r="BQ423" s="84"/>
      <c r="BR423" s="84"/>
      <c r="BS423" s="84"/>
      <c r="BT423" s="84"/>
      <c r="BU423" s="84"/>
      <c r="BV423" s="84"/>
      <c r="BW423" s="84"/>
      <c r="BX423" s="84"/>
      <c r="BY423" s="84"/>
      <c r="BZ423" s="84"/>
      <c r="CA423" s="84"/>
      <c r="CB423" s="84"/>
      <c r="CC423" s="84"/>
      <c r="CD423" s="84"/>
      <c r="CE423" s="84"/>
      <c r="CF423" s="84"/>
      <c r="CG423" s="84"/>
      <c r="CH423" s="84"/>
      <c r="CI423" s="84"/>
      <c r="CJ423" s="84"/>
      <c r="CK423" s="84"/>
      <c r="CL423" s="84"/>
    </row>
    <row r="424" spans="66:90" s="354" customFormat="1" x14ac:dyDescent="0.2">
      <c r="BN424" s="84"/>
      <c r="BO424" s="84"/>
      <c r="BP424" s="84"/>
      <c r="BQ424" s="84"/>
      <c r="BR424" s="84"/>
      <c r="BS424" s="84"/>
      <c r="BT424" s="84"/>
      <c r="BU424" s="84"/>
      <c r="BV424" s="84"/>
      <c r="BW424" s="84"/>
      <c r="BX424" s="84"/>
      <c r="BY424" s="84"/>
      <c r="BZ424" s="84"/>
      <c r="CA424" s="84"/>
      <c r="CB424" s="84"/>
      <c r="CC424" s="84"/>
      <c r="CD424" s="84"/>
      <c r="CE424" s="84"/>
      <c r="CF424" s="84"/>
      <c r="CG424" s="84"/>
      <c r="CH424" s="84"/>
      <c r="CI424" s="84"/>
      <c r="CJ424" s="84"/>
      <c r="CK424" s="84"/>
      <c r="CL424" s="84"/>
    </row>
    <row r="425" spans="66:90" s="354" customFormat="1" x14ac:dyDescent="0.2">
      <c r="BN425" s="84"/>
      <c r="BO425" s="84"/>
      <c r="BP425" s="84"/>
      <c r="BQ425" s="84"/>
      <c r="BR425" s="84"/>
      <c r="BS425" s="84"/>
      <c r="BT425" s="84"/>
      <c r="BU425" s="84"/>
      <c r="BV425" s="84"/>
      <c r="BW425" s="84"/>
      <c r="BX425" s="84"/>
      <c r="BY425" s="84"/>
      <c r="BZ425" s="84"/>
      <c r="CA425" s="84"/>
      <c r="CB425" s="84"/>
      <c r="CC425" s="84"/>
      <c r="CD425" s="84"/>
      <c r="CE425" s="84"/>
      <c r="CF425" s="84"/>
      <c r="CG425" s="84"/>
      <c r="CH425" s="84"/>
      <c r="CI425" s="84"/>
      <c r="CJ425" s="84"/>
      <c r="CK425" s="84"/>
      <c r="CL425" s="84"/>
    </row>
    <row r="426" spans="66:90" s="354" customFormat="1" x14ac:dyDescent="0.2">
      <c r="BN426" s="84"/>
      <c r="BO426" s="84"/>
      <c r="BP426" s="84"/>
      <c r="BQ426" s="84"/>
      <c r="BR426" s="84"/>
      <c r="BS426" s="84"/>
      <c r="BT426" s="84"/>
      <c r="BU426" s="84"/>
      <c r="BV426" s="84"/>
      <c r="BW426" s="84"/>
      <c r="BX426" s="84"/>
      <c r="BY426" s="84"/>
      <c r="BZ426" s="84"/>
      <c r="CA426" s="84"/>
      <c r="CB426" s="84"/>
      <c r="CC426" s="84"/>
      <c r="CD426" s="84"/>
      <c r="CE426" s="84"/>
      <c r="CF426" s="84"/>
      <c r="CG426" s="84"/>
      <c r="CH426" s="84"/>
      <c r="CI426" s="84"/>
      <c r="CJ426" s="84"/>
      <c r="CK426" s="84"/>
      <c r="CL426" s="84"/>
    </row>
    <row r="427" spans="66:90" s="354" customFormat="1" x14ac:dyDescent="0.2">
      <c r="BN427" s="84"/>
      <c r="BO427" s="84"/>
      <c r="BP427" s="84"/>
      <c r="BQ427" s="84"/>
      <c r="BR427" s="84"/>
      <c r="BS427" s="84"/>
      <c r="BT427" s="84"/>
      <c r="BU427" s="84"/>
      <c r="BV427" s="84"/>
      <c r="BW427" s="84"/>
      <c r="BX427" s="84"/>
      <c r="BY427" s="84"/>
      <c r="BZ427" s="84"/>
      <c r="CA427" s="84"/>
      <c r="CB427" s="84"/>
      <c r="CC427" s="84"/>
      <c r="CD427" s="84"/>
      <c r="CE427" s="84"/>
      <c r="CF427" s="84"/>
      <c r="CG427" s="84"/>
      <c r="CH427" s="84"/>
      <c r="CI427" s="84"/>
      <c r="CJ427" s="84"/>
      <c r="CK427" s="84"/>
      <c r="CL427" s="84"/>
    </row>
    <row r="428" spans="66:90" s="354" customFormat="1" x14ac:dyDescent="0.2">
      <c r="BN428" s="84"/>
      <c r="BO428" s="84"/>
      <c r="BP428" s="84"/>
      <c r="BQ428" s="84"/>
      <c r="BR428" s="84"/>
      <c r="BS428" s="84"/>
      <c r="BT428" s="84"/>
      <c r="BU428" s="84"/>
      <c r="BV428" s="84"/>
      <c r="BW428" s="84"/>
      <c r="BX428" s="84"/>
      <c r="BY428" s="84"/>
      <c r="BZ428" s="84"/>
      <c r="CA428" s="84"/>
      <c r="CB428" s="84"/>
      <c r="CC428" s="84"/>
      <c r="CD428" s="84"/>
      <c r="CE428" s="84"/>
      <c r="CF428" s="84"/>
      <c r="CG428" s="84"/>
      <c r="CH428" s="84"/>
      <c r="CI428" s="84"/>
      <c r="CJ428" s="84"/>
      <c r="CK428" s="84"/>
      <c r="CL428" s="84"/>
    </row>
    <row r="429" spans="66:90" s="354" customFormat="1" x14ac:dyDescent="0.2">
      <c r="BN429" s="84"/>
      <c r="BO429" s="84"/>
      <c r="BP429" s="84"/>
      <c r="BQ429" s="84"/>
      <c r="BR429" s="84"/>
      <c r="BS429" s="84"/>
      <c r="BT429" s="84"/>
      <c r="BU429" s="84"/>
      <c r="BV429" s="84"/>
      <c r="BW429" s="84"/>
      <c r="BX429" s="84"/>
      <c r="BY429" s="84"/>
      <c r="BZ429" s="84"/>
      <c r="CA429" s="84"/>
      <c r="CB429" s="84"/>
      <c r="CC429" s="84"/>
      <c r="CD429" s="84"/>
      <c r="CE429" s="84"/>
      <c r="CF429" s="84"/>
      <c r="CG429" s="84"/>
      <c r="CH429" s="84"/>
      <c r="CI429" s="84"/>
      <c r="CJ429" s="84"/>
      <c r="CK429" s="84"/>
      <c r="CL429" s="84"/>
    </row>
    <row r="430" spans="66:90" s="354" customFormat="1" x14ac:dyDescent="0.2">
      <c r="BN430" s="84"/>
      <c r="BO430" s="84"/>
      <c r="BP430" s="84"/>
      <c r="BQ430" s="84"/>
      <c r="BR430" s="84"/>
      <c r="BS430" s="84"/>
      <c r="BT430" s="84"/>
      <c r="BU430" s="84"/>
      <c r="BV430" s="84"/>
      <c r="BW430" s="84"/>
      <c r="BX430" s="84"/>
      <c r="BY430" s="84"/>
      <c r="BZ430" s="84"/>
      <c r="CA430" s="84"/>
      <c r="CB430" s="84"/>
      <c r="CC430" s="84"/>
      <c r="CD430" s="84"/>
      <c r="CE430" s="84"/>
      <c r="CF430" s="84"/>
      <c r="CG430" s="84"/>
      <c r="CH430" s="84"/>
      <c r="CI430" s="84"/>
      <c r="CJ430" s="84"/>
      <c r="CK430" s="84"/>
      <c r="CL430" s="84"/>
    </row>
    <row r="431" spans="66:90" s="354" customFormat="1" x14ac:dyDescent="0.2">
      <c r="BN431" s="84"/>
      <c r="BO431" s="84"/>
      <c r="BP431" s="84"/>
      <c r="BQ431" s="84"/>
      <c r="BR431" s="84"/>
      <c r="BS431" s="84"/>
      <c r="BT431" s="84"/>
      <c r="BU431" s="84"/>
      <c r="BV431" s="84"/>
      <c r="BW431" s="84"/>
      <c r="BX431" s="84"/>
      <c r="BY431" s="84"/>
      <c r="BZ431" s="84"/>
      <c r="CA431" s="84"/>
      <c r="CB431" s="84"/>
      <c r="CC431" s="84"/>
      <c r="CD431" s="84"/>
      <c r="CE431" s="84"/>
      <c r="CF431" s="84"/>
      <c r="CG431" s="84"/>
      <c r="CH431" s="84"/>
      <c r="CI431" s="84"/>
      <c r="CJ431" s="84"/>
      <c r="CK431" s="84"/>
      <c r="CL431" s="84"/>
    </row>
    <row r="432" spans="66:90" s="354" customFormat="1" x14ac:dyDescent="0.2">
      <c r="BN432" s="84"/>
      <c r="BO432" s="84"/>
      <c r="BP432" s="84"/>
      <c r="BQ432" s="84"/>
      <c r="BR432" s="84"/>
      <c r="BS432" s="84"/>
      <c r="BT432" s="84"/>
      <c r="BU432" s="84"/>
      <c r="BV432" s="84"/>
      <c r="BW432" s="84"/>
      <c r="BX432" s="84"/>
      <c r="BY432" s="84"/>
      <c r="BZ432" s="84"/>
      <c r="CA432" s="84"/>
      <c r="CB432" s="84"/>
      <c r="CC432" s="84"/>
      <c r="CD432" s="84"/>
      <c r="CE432" s="84"/>
      <c r="CF432" s="84"/>
      <c r="CG432" s="84"/>
      <c r="CH432" s="84"/>
      <c r="CI432" s="84"/>
      <c r="CJ432" s="84"/>
      <c r="CK432" s="84"/>
      <c r="CL432" s="84"/>
    </row>
    <row r="433" spans="66:90" s="354" customFormat="1" x14ac:dyDescent="0.2">
      <c r="BN433" s="84"/>
      <c r="BO433" s="84"/>
      <c r="BP433" s="84"/>
      <c r="BQ433" s="84"/>
      <c r="BR433" s="84"/>
      <c r="BS433" s="84"/>
      <c r="BT433" s="84"/>
      <c r="BU433" s="84"/>
      <c r="BV433" s="84"/>
      <c r="BW433" s="84"/>
      <c r="BX433" s="84"/>
      <c r="BY433" s="84"/>
      <c r="BZ433" s="84"/>
      <c r="CA433" s="84"/>
      <c r="CB433" s="84"/>
      <c r="CC433" s="84"/>
      <c r="CD433" s="84"/>
      <c r="CE433" s="84"/>
      <c r="CF433" s="84"/>
      <c r="CG433" s="84"/>
      <c r="CH433" s="84"/>
      <c r="CI433" s="84"/>
      <c r="CJ433" s="84"/>
      <c r="CK433" s="84"/>
      <c r="CL433" s="84"/>
    </row>
    <row r="434" spans="66:90" s="354" customFormat="1" x14ac:dyDescent="0.2">
      <c r="BN434" s="84"/>
      <c r="BO434" s="84"/>
      <c r="BP434" s="84"/>
      <c r="BQ434" s="84"/>
      <c r="BR434" s="84"/>
      <c r="BS434" s="84"/>
      <c r="BT434" s="84"/>
      <c r="BU434" s="84"/>
      <c r="BV434" s="84"/>
      <c r="BW434" s="84"/>
      <c r="BX434" s="84"/>
      <c r="BY434" s="84"/>
      <c r="BZ434" s="84"/>
      <c r="CA434" s="84"/>
      <c r="CB434" s="84"/>
      <c r="CC434" s="84"/>
      <c r="CD434" s="84"/>
      <c r="CE434" s="84"/>
      <c r="CF434" s="84"/>
      <c r="CG434" s="84"/>
      <c r="CH434" s="84"/>
      <c r="CI434" s="84"/>
      <c r="CJ434" s="84"/>
      <c r="CK434" s="84"/>
      <c r="CL434" s="84"/>
    </row>
    <row r="435" spans="66:90" s="354" customFormat="1" x14ac:dyDescent="0.2">
      <c r="BN435" s="84"/>
      <c r="BO435" s="84"/>
      <c r="BP435" s="84"/>
      <c r="BQ435" s="84"/>
      <c r="BR435" s="84"/>
      <c r="BS435" s="84"/>
      <c r="BT435" s="84"/>
      <c r="BU435" s="84"/>
      <c r="BV435" s="84"/>
      <c r="BW435" s="84"/>
      <c r="BX435" s="84"/>
      <c r="BY435" s="84"/>
      <c r="BZ435" s="84"/>
      <c r="CA435" s="84"/>
      <c r="CB435" s="84"/>
      <c r="CC435" s="84"/>
      <c r="CD435" s="84"/>
      <c r="CE435" s="84"/>
      <c r="CF435" s="84"/>
      <c r="CG435" s="84"/>
      <c r="CH435" s="84"/>
      <c r="CI435" s="84"/>
      <c r="CJ435" s="84"/>
      <c r="CK435" s="84"/>
      <c r="CL435" s="84"/>
    </row>
    <row r="436" spans="66:90" s="354" customFormat="1" x14ac:dyDescent="0.2">
      <c r="BN436" s="84"/>
      <c r="BO436" s="84"/>
      <c r="BP436" s="84"/>
      <c r="BQ436" s="84"/>
      <c r="BR436" s="84"/>
      <c r="BS436" s="84"/>
      <c r="BT436" s="84"/>
      <c r="BU436" s="84"/>
      <c r="BV436" s="84"/>
      <c r="BW436" s="84"/>
      <c r="BX436" s="84"/>
      <c r="BY436" s="84"/>
      <c r="BZ436" s="84"/>
      <c r="CA436" s="84"/>
      <c r="CB436" s="84"/>
      <c r="CC436" s="84"/>
      <c r="CD436" s="84"/>
      <c r="CE436" s="84"/>
      <c r="CF436" s="84"/>
      <c r="CG436" s="84"/>
      <c r="CH436" s="84"/>
      <c r="CI436" s="84"/>
      <c r="CJ436" s="84"/>
      <c r="CK436" s="84"/>
      <c r="CL436" s="84"/>
    </row>
    <row r="437" spans="66:90" s="354" customFormat="1" x14ac:dyDescent="0.2">
      <c r="BN437" s="84"/>
      <c r="BO437" s="84"/>
      <c r="BP437" s="84"/>
      <c r="BQ437" s="84"/>
      <c r="BR437" s="84"/>
      <c r="BS437" s="84"/>
      <c r="BT437" s="84"/>
      <c r="BU437" s="84"/>
      <c r="BV437" s="84"/>
      <c r="BW437" s="84"/>
      <c r="BX437" s="84"/>
      <c r="BY437" s="84"/>
      <c r="BZ437" s="84"/>
      <c r="CA437" s="84"/>
      <c r="CB437" s="84"/>
      <c r="CC437" s="84"/>
      <c r="CD437" s="84"/>
      <c r="CE437" s="84"/>
      <c r="CF437" s="84"/>
      <c r="CG437" s="84"/>
      <c r="CH437" s="84"/>
      <c r="CI437" s="84"/>
      <c r="CJ437" s="84"/>
      <c r="CK437" s="84"/>
      <c r="CL437" s="84"/>
    </row>
    <row r="438" spans="66:90" s="354" customFormat="1" x14ac:dyDescent="0.2">
      <c r="BN438" s="84"/>
      <c r="BO438" s="84"/>
      <c r="BP438" s="84"/>
      <c r="BQ438" s="84"/>
      <c r="BR438" s="84"/>
      <c r="BS438" s="84"/>
      <c r="BT438" s="84"/>
      <c r="BU438" s="84"/>
      <c r="BV438" s="84"/>
      <c r="BW438" s="84"/>
      <c r="BX438" s="84"/>
      <c r="BY438" s="84"/>
      <c r="BZ438" s="84"/>
      <c r="CA438" s="84"/>
      <c r="CB438" s="84"/>
      <c r="CC438" s="84"/>
      <c r="CD438" s="84"/>
      <c r="CE438" s="84"/>
      <c r="CF438" s="84"/>
      <c r="CG438" s="84"/>
      <c r="CH438" s="84"/>
      <c r="CI438" s="84"/>
      <c r="CJ438" s="84"/>
      <c r="CK438" s="84"/>
      <c r="CL438" s="84"/>
    </row>
    <row r="439" spans="66:90" s="354" customFormat="1" x14ac:dyDescent="0.2">
      <c r="BN439" s="84"/>
      <c r="BO439" s="84"/>
      <c r="BP439" s="84"/>
      <c r="BQ439" s="84"/>
      <c r="BR439" s="84"/>
      <c r="BS439" s="84"/>
      <c r="BT439" s="84"/>
      <c r="BU439" s="84"/>
      <c r="BV439" s="84"/>
      <c r="BW439" s="84"/>
      <c r="BX439" s="84"/>
      <c r="BY439" s="84"/>
      <c r="BZ439" s="84"/>
      <c r="CA439" s="84"/>
      <c r="CB439" s="84"/>
      <c r="CC439" s="84"/>
      <c r="CD439" s="84"/>
      <c r="CE439" s="84"/>
      <c r="CF439" s="84"/>
      <c r="CG439" s="84"/>
      <c r="CH439" s="84"/>
      <c r="CI439" s="84"/>
      <c r="CJ439" s="84"/>
      <c r="CK439" s="84"/>
      <c r="CL439" s="84"/>
    </row>
    <row r="440" spans="66:90" s="354" customFormat="1" x14ac:dyDescent="0.2">
      <c r="BN440" s="84"/>
      <c r="BO440" s="84"/>
      <c r="BP440" s="84"/>
      <c r="BQ440" s="84"/>
      <c r="BR440" s="84"/>
      <c r="BS440" s="84"/>
      <c r="BT440" s="84"/>
      <c r="BU440" s="84"/>
      <c r="BV440" s="84"/>
      <c r="BW440" s="84"/>
      <c r="BX440" s="84"/>
      <c r="BY440" s="84"/>
      <c r="BZ440" s="84"/>
      <c r="CA440" s="84"/>
      <c r="CB440" s="84"/>
      <c r="CC440" s="84"/>
      <c r="CD440" s="84"/>
      <c r="CE440" s="84"/>
      <c r="CF440" s="84"/>
      <c r="CG440" s="84"/>
      <c r="CH440" s="84"/>
      <c r="CI440" s="84"/>
      <c r="CJ440" s="84"/>
      <c r="CK440" s="84"/>
      <c r="CL440" s="84"/>
    </row>
    <row r="441" spans="66:90" s="354" customFormat="1" x14ac:dyDescent="0.2">
      <c r="BN441" s="84"/>
      <c r="BO441" s="84"/>
      <c r="BP441" s="84"/>
      <c r="BQ441" s="84"/>
      <c r="BR441" s="84"/>
      <c r="BS441" s="84"/>
      <c r="BT441" s="84"/>
      <c r="BU441" s="84"/>
      <c r="BV441" s="84"/>
      <c r="BW441" s="84"/>
      <c r="BX441" s="84"/>
      <c r="BY441" s="84"/>
      <c r="BZ441" s="84"/>
      <c r="CA441" s="84"/>
      <c r="CB441" s="84"/>
      <c r="CC441" s="84"/>
      <c r="CD441" s="84"/>
      <c r="CE441" s="84"/>
      <c r="CF441" s="84"/>
      <c r="CG441" s="84"/>
      <c r="CH441" s="84"/>
      <c r="CI441" s="84"/>
      <c r="CJ441" s="84"/>
      <c r="CK441" s="84"/>
      <c r="CL441" s="84"/>
    </row>
    <row r="442" spans="66:90" s="354" customFormat="1" x14ac:dyDescent="0.2">
      <c r="BN442" s="84"/>
      <c r="BO442" s="84"/>
      <c r="BP442" s="84"/>
      <c r="BQ442" s="84"/>
      <c r="BR442" s="84"/>
      <c r="BS442" s="84"/>
      <c r="BT442" s="84"/>
      <c r="BU442" s="84"/>
      <c r="BV442" s="84"/>
      <c r="BW442" s="84"/>
      <c r="BX442" s="84"/>
      <c r="BY442" s="84"/>
      <c r="BZ442" s="84"/>
      <c r="CA442" s="84"/>
      <c r="CB442" s="84"/>
      <c r="CC442" s="84"/>
      <c r="CD442" s="84"/>
      <c r="CE442" s="84"/>
      <c r="CF442" s="84"/>
      <c r="CG442" s="84"/>
      <c r="CH442" s="84"/>
      <c r="CI442" s="84"/>
      <c r="CJ442" s="84"/>
      <c r="CK442" s="84"/>
      <c r="CL442" s="84"/>
    </row>
    <row r="443" spans="66:90" s="354" customFormat="1" x14ac:dyDescent="0.2">
      <c r="BN443" s="84"/>
      <c r="BO443" s="84"/>
      <c r="BP443" s="84"/>
      <c r="BQ443" s="84"/>
      <c r="BR443" s="84"/>
      <c r="BS443" s="84"/>
      <c r="BT443" s="84"/>
      <c r="BU443" s="84"/>
      <c r="BV443" s="84"/>
      <c r="BW443" s="84"/>
      <c r="BX443" s="84"/>
      <c r="BY443" s="84"/>
      <c r="BZ443" s="84"/>
      <c r="CA443" s="84"/>
      <c r="CB443" s="84"/>
      <c r="CC443" s="84"/>
      <c r="CD443" s="84"/>
      <c r="CE443" s="84"/>
      <c r="CF443" s="84"/>
      <c r="CG443" s="84"/>
      <c r="CH443" s="84"/>
      <c r="CI443" s="84"/>
      <c r="CJ443" s="84"/>
      <c r="CK443" s="84"/>
      <c r="CL443" s="84"/>
    </row>
    <row r="444" spans="66:90" s="354" customFormat="1" x14ac:dyDescent="0.2">
      <c r="BN444" s="84"/>
      <c r="BO444" s="84"/>
      <c r="BP444" s="84"/>
      <c r="BQ444" s="84"/>
      <c r="BR444" s="84"/>
      <c r="BS444" s="84"/>
      <c r="BT444" s="84"/>
      <c r="BU444" s="84"/>
      <c r="BV444" s="84"/>
      <c r="BW444" s="84"/>
      <c r="BX444" s="84"/>
      <c r="BY444" s="84"/>
      <c r="BZ444" s="84"/>
      <c r="CA444" s="84"/>
      <c r="CB444" s="84"/>
      <c r="CC444" s="84"/>
      <c r="CD444" s="84"/>
      <c r="CE444" s="84"/>
      <c r="CF444" s="84"/>
      <c r="CG444" s="84"/>
      <c r="CH444" s="84"/>
      <c r="CI444" s="84"/>
      <c r="CJ444" s="84"/>
      <c r="CK444" s="84"/>
      <c r="CL444" s="84"/>
    </row>
    <row r="445" spans="66:90" s="354" customFormat="1" x14ac:dyDescent="0.2">
      <c r="BN445" s="84"/>
      <c r="BO445" s="84"/>
      <c r="BP445" s="84"/>
      <c r="BQ445" s="84"/>
      <c r="BR445" s="84"/>
      <c r="BS445" s="84"/>
      <c r="BT445" s="84"/>
      <c r="BU445" s="84"/>
      <c r="BV445" s="84"/>
      <c r="BW445" s="84"/>
      <c r="BX445" s="84"/>
      <c r="BY445" s="84"/>
      <c r="BZ445" s="84"/>
      <c r="CA445" s="84"/>
      <c r="CB445" s="84"/>
      <c r="CC445" s="84"/>
      <c r="CD445" s="84"/>
      <c r="CE445" s="84"/>
      <c r="CF445" s="84"/>
      <c r="CG445" s="84"/>
      <c r="CH445" s="84"/>
      <c r="CI445" s="84"/>
      <c r="CJ445" s="84"/>
      <c r="CK445" s="84"/>
      <c r="CL445" s="84"/>
    </row>
    <row r="446" spans="66:90" s="354" customFormat="1" x14ac:dyDescent="0.2">
      <c r="BN446" s="84"/>
      <c r="BO446" s="84"/>
      <c r="BP446" s="84"/>
      <c r="BQ446" s="84"/>
      <c r="BR446" s="84"/>
      <c r="BS446" s="84"/>
      <c r="BT446" s="84"/>
      <c r="BU446" s="84"/>
      <c r="BV446" s="84"/>
      <c r="BW446" s="84"/>
      <c r="BX446" s="84"/>
      <c r="BY446" s="84"/>
      <c r="BZ446" s="84"/>
      <c r="CA446" s="84"/>
      <c r="CB446" s="84"/>
      <c r="CC446" s="84"/>
      <c r="CD446" s="84"/>
      <c r="CE446" s="84"/>
      <c r="CF446" s="84"/>
      <c r="CG446" s="84"/>
      <c r="CH446" s="84"/>
      <c r="CI446" s="84"/>
      <c r="CJ446" s="84"/>
      <c r="CK446" s="84"/>
      <c r="CL446" s="84"/>
    </row>
    <row r="447" spans="66:90" s="354" customFormat="1" x14ac:dyDescent="0.2">
      <c r="BN447" s="84"/>
      <c r="BO447" s="84"/>
      <c r="BP447" s="84"/>
      <c r="BQ447" s="84"/>
      <c r="BR447" s="84"/>
      <c r="BS447" s="84"/>
      <c r="BT447" s="84"/>
      <c r="BU447" s="84"/>
      <c r="BV447" s="84"/>
      <c r="BW447" s="84"/>
      <c r="BX447" s="84"/>
      <c r="BY447" s="84"/>
      <c r="BZ447" s="84"/>
      <c r="CA447" s="84"/>
      <c r="CB447" s="84"/>
      <c r="CC447" s="84"/>
      <c r="CD447" s="84"/>
      <c r="CE447" s="84"/>
      <c r="CF447" s="84"/>
      <c r="CG447" s="84"/>
      <c r="CH447" s="84"/>
      <c r="CI447" s="84"/>
      <c r="CJ447" s="84"/>
      <c r="CK447" s="84"/>
      <c r="CL447" s="84"/>
    </row>
    <row r="448" spans="66:90" s="354" customFormat="1" x14ac:dyDescent="0.2">
      <c r="BN448" s="84"/>
      <c r="BO448" s="84"/>
      <c r="BP448" s="84"/>
      <c r="BQ448" s="84"/>
      <c r="BR448" s="84"/>
      <c r="BS448" s="84"/>
      <c r="BT448" s="84"/>
      <c r="BU448" s="84"/>
      <c r="BV448" s="84"/>
      <c r="BW448" s="84"/>
      <c r="BX448" s="84"/>
      <c r="BY448" s="84"/>
      <c r="BZ448" s="84"/>
      <c r="CA448" s="84"/>
      <c r="CB448" s="84"/>
      <c r="CC448" s="84"/>
      <c r="CD448" s="84"/>
      <c r="CE448" s="84"/>
      <c r="CF448" s="84"/>
      <c r="CG448" s="84"/>
      <c r="CH448" s="84"/>
      <c r="CI448" s="84"/>
      <c r="CJ448" s="84"/>
      <c r="CK448" s="84"/>
      <c r="CL448" s="84"/>
    </row>
    <row r="449" spans="66:90" s="354" customFormat="1" x14ac:dyDescent="0.2">
      <c r="BN449" s="84"/>
      <c r="BO449" s="84"/>
      <c r="BP449" s="84"/>
      <c r="BQ449" s="84"/>
      <c r="BR449" s="84"/>
      <c r="BS449" s="84"/>
      <c r="BT449" s="84"/>
      <c r="BU449" s="84"/>
      <c r="BV449" s="84"/>
      <c r="BW449" s="84"/>
      <c r="BX449" s="84"/>
      <c r="BY449" s="84"/>
      <c r="BZ449" s="84"/>
      <c r="CA449" s="84"/>
      <c r="CB449" s="84"/>
      <c r="CC449" s="84"/>
      <c r="CD449" s="84"/>
      <c r="CE449" s="84"/>
      <c r="CF449" s="84"/>
      <c r="CG449" s="84"/>
      <c r="CH449" s="84"/>
      <c r="CI449" s="84"/>
      <c r="CJ449" s="84"/>
      <c r="CK449" s="84"/>
      <c r="CL449" s="84"/>
    </row>
    <row r="450" spans="66:90" s="354" customFormat="1" x14ac:dyDescent="0.2">
      <c r="BN450" s="84"/>
      <c r="BO450" s="84"/>
      <c r="BP450" s="84"/>
      <c r="BQ450" s="84"/>
      <c r="BR450" s="84"/>
      <c r="BS450" s="84"/>
      <c r="BT450" s="84"/>
      <c r="BU450" s="84"/>
      <c r="BV450" s="84"/>
      <c r="BW450" s="84"/>
      <c r="BX450" s="84"/>
      <c r="BY450" s="84"/>
      <c r="BZ450" s="84"/>
      <c r="CA450" s="84"/>
      <c r="CB450" s="84"/>
      <c r="CC450" s="84"/>
      <c r="CD450" s="84"/>
      <c r="CE450" s="84"/>
      <c r="CF450" s="84"/>
      <c r="CG450" s="84"/>
      <c r="CH450" s="84"/>
      <c r="CI450" s="84"/>
      <c r="CJ450" s="84"/>
      <c r="CK450" s="84"/>
      <c r="CL450" s="84"/>
    </row>
    <row r="451" spans="66:90" s="354" customFormat="1" x14ac:dyDescent="0.2">
      <c r="BN451" s="84"/>
      <c r="BO451" s="84"/>
      <c r="BP451" s="84"/>
      <c r="BQ451" s="84"/>
      <c r="BR451" s="84"/>
      <c r="BS451" s="84"/>
      <c r="BT451" s="84"/>
      <c r="BU451" s="84"/>
      <c r="BV451" s="84"/>
      <c r="BW451" s="84"/>
      <c r="BX451" s="84"/>
      <c r="BY451" s="84"/>
      <c r="BZ451" s="84"/>
      <c r="CA451" s="84"/>
      <c r="CB451" s="84"/>
      <c r="CC451" s="84"/>
      <c r="CD451" s="84"/>
      <c r="CE451" s="84"/>
      <c r="CF451" s="84"/>
      <c r="CG451" s="84"/>
      <c r="CH451" s="84"/>
      <c r="CI451" s="84"/>
      <c r="CJ451" s="84"/>
      <c r="CK451" s="84"/>
      <c r="CL451" s="84"/>
    </row>
    <row r="452" spans="66:90" s="354" customFormat="1" x14ac:dyDescent="0.2">
      <c r="BN452" s="84"/>
      <c r="BO452" s="84"/>
      <c r="BP452" s="84"/>
      <c r="BQ452" s="84"/>
      <c r="BR452" s="84"/>
      <c r="BS452" s="84"/>
      <c r="BT452" s="84"/>
      <c r="BU452" s="84"/>
      <c r="BV452" s="84"/>
      <c r="BW452" s="84"/>
      <c r="BX452" s="84"/>
      <c r="BY452" s="84"/>
      <c r="BZ452" s="84"/>
      <c r="CA452" s="84"/>
      <c r="CB452" s="84"/>
      <c r="CC452" s="84"/>
      <c r="CD452" s="84"/>
      <c r="CE452" s="84"/>
      <c r="CF452" s="84"/>
      <c r="CG452" s="84"/>
      <c r="CH452" s="84"/>
      <c r="CI452" s="84"/>
      <c r="CJ452" s="84"/>
      <c r="CK452" s="84"/>
      <c r="CL452" s="84"/>
    </row>
    <row r="453" spans="66:90" s="354" customFormat="1" x14ac:dyDescent="0.2">
      <c r="BN453" s="84"/>
      <c r="BO453" s="84"/>
      <c r="BP453" s="84"/>
      <c r="BQ453" s="84"/>
      <c r="BR453" s="84"/>
      <c r="BS453" s="84"/>
      <c r="BT453" s="84"/>
      <c r="BU453" s="84"/>
      <c r="BV453" s="84"/>
      <c r="BW453" s="84"/>
      <c r="BX453" s="84"/>
      <c r="BY453" s="84"/>
      <c r="BZ453" s="84"/>
      <c r="CA453" s="84"/>
      <c r="CB453" s="84"/>
      <c r="CC453" s="84"/>
      <c r="CD453" s="84"/>
      <c r="CE453" s="84"/>
      <c r="CF453" s="84"/>
      <c r="CG453" s="84"/>
      <c r="CH453" s="84"/>
      <c r="CI453" s="84"/>
      <c r="CJ453" s="84"/>
      <c r="CK453" s="84"/>
      <c r="CL453" s="84"/>
    </row>
    <row r="454" spans="66:90" s="354" customFormat="1" x14ac:dyDescent="0.2">
      <c r="BN454" s="84"/>
      <c r="BO454" s="84"/>
      <c r="BP454" s="84"/>
      <c r="BQ454" s="84"/>
      <c r="BR454" s="84"/>
      <c r="BS454" s="84"/>
      <c r="BT454" s="84"/>
      <c r="BU454" s="84"/>
      <c r="BV454" s="84"/>
      <c r="BW454" s="84"/>
      <c r="BX454" s="84"/>
      <c r="BY454" s="84"/>
      <c r="BZ454" s="84"/>
      <c r="CA454" s="84"/>
      <c r="CB454" s="84"/>
      <c r="CC454" s="84"/>
      <c r="CD454" s="84"/>
      <c r="CE454" s="84"/>
      <c r="CF454" s="84"/>
      <c r="CG454" s="84"/>
      <c r="CH454" s="84"/>
      <c r="CI454" s="84"/>
      <c r="CJ454" s="84"/>
      <c r="CK454" s="84"/>
      <c r="CL454" s="84"/>
    </row>
    <row r="455" spans="66:90" s="354" customFormat="1" x14ac:dyDescent="0.2">
      <c r="BN455" s="84"/>
      <c r="BO455" s="84"/>
      <c r="BP455" s="84"/>
      <c r="BQ455" s="84"/>
      <c r="BR455" s="84"/>
      <c r="BS455" s="84"/>
      <c r="BT455" s="84"/>
      <c r="BU455" s="84"/>
      <c r="BV455" s="84"/>
      <c r="BW455" s="84"/>
      <c r="BX455" s="84"/>
      <c r="BY455" s="84"/>
      <c r="BZ455" s="84"/>
      <c r="CA455" s="84"/>
      <c r="CB455" s="84"/>
      <c r="CC455" s="84"/>
      <c r="CD455" s="84"/>
      <c r="CE455" s="84"/>
      <c r="CF455" s="84"/>
      <c r="CG455" s="84"/>
      <c r="CH455" s="84"/>
      <c r="CI455" s="84"/>
      <c r="CJ455" s="84"/>
      <c r="CK455" s="84"/>
      <c r="CL455" s="84"/>
    </row>
    <row r="456" spans="66:90" s="354" customFormat="1" x14ac:dyDescent="0.2">
      <c r="BN456" s="84"/>
      <c r="BO456" s="84"/>
      <c r="BP456" s="84"/>
      <c r="BQ456" s="84"/>
      <c r="BR456" s="84"/>
      <c r="BS456" s="84"/>
      <c r="BT456" s="84"/>
      <c r="BU456" s="84"/>
      <c r="BV456" s="84"/>
      <c r="BW456" s="84"/>
      <c r="BX456" s="84"/>
      <c r="BY456" s="84"/>
      <c r="BZ456" s="84"/>
      <c r="CA456" s="84"/>
      <c r="CB456" s="84"/>
      <c r="CC456" s="84"/>
      <c r="CD456" s="84"/>
      <c r="CE456" s="84"/>
      <c r="CF456" s="84"/>
      <c r="CG456" s="84"/>
      <c r="CH456" s="84"/>
      <c r="CI456" s="84"/>
      <c r="CJ456" s="84"/>
      <c r="CK456" s="84"/>
      <c r="CL456" s="84"/>
    </row>
    <row r="457" spans="66:90" s="354" customFormat="1" x14ac:dyDescent="0.2">
      <c r="BN457" s="84"/>
      <c r="BO457" s="84"/>
      <c r="BP457" s="84"/>
      <c r="BQ457" s="84"/>
      <c r="BR457" s="84"/>
      <c r="BS457" s="84"/>
      <c r="BT457" s="84"/>
      <c r="BU457" s="84"/>
      <c r="BV457" s="84"/>
      <c r="BW457" s="84"/>
      <c r="BX457" s="84"/>
      <c r="BY457" s="84"/>
      <c r="BZ457" s="84"/>
      <c r="CA457" s="84"/>
      <c r="CB457" s="84"/>
      <c r="CC457" s="84"/>
      <c r="CD457" s="84"/>
      <c r="CE457" s="84"/>
      <c r="CF457" s="84"/>
      <c r="CG457" s="84"/>
      <c r="CH457" s="84"/>
      <c r="CI457" s="84"/>
      <c r="CJ457" s="84"/>
      <c r="CK457" s="84"/>
      <c r="CL457" s="84"/>
    </row>
    <row r="458" spans="66:90" s="354" customFormat="1" x14ac:dyDescent="0.2">
      <c r="BN458" s="84"/>
      <c r="BO458" s="84"/>
      <c r="BP458" s="84"/>
      <c r="BQ458" s="84"/>
      <c r="BR458" s="84"/>
      <c r="BS458" s="84"/>
      <c r="BT458" s="84"/>
      <c r="BU458" s="84"/>
      <c r="BV458" s="84"/>
      <c r="BW458" s="84"/>
      <c r="BX458" s="84"/>
      <c r="BY458" s="84"/>
      <c r="BZ458" s="84"/>
      <c r="CA458" s="84"/>
      <c r="CB458" s="84"/>
      <c r="CC458" s="84"/>
      <c r="CD458" s="84"/>
      <c r="CE458" s="84"/>
      <c r="CF458" s="84"/>
      <c r="CG458" s="84"/>
      <c r="CH458" s="84"/>
      <c r="CI458" s="84"/>
      <c r="CJ458" s="84"/>
      <c r="CK458" s="84"/>
      <c r="CL458" s="84"/>
    </row>
    <row r="459" spans="66:90" s="354" customFormat="1" x14ac:dyDescent="0.2">
      <c r="BN459" s="84"/>
      <c r="BO459" s="84"/>
      <c r="BP459" s="84"/>
      <c r="BQ459" s="84"/>
      <c r="BR459" s="84"/>
      <c r="BS459" s="84"/>
      <c r="BT459" s="84"/>
      <c r="BU459" s="84"/>
      <c r="BV459" s="84"/>
      <c r="BW459" s="84"/>
      <c r="BX459" s="84"/>
      <c r="BY459" s="84"/>
      <c r="BZ459" s="84"/>
      <c r="CA459" s="84"/>
      <c r="CB459" s="84"/>
      <c r="CC459" s="84"/>
      <c r="CD459" s="84"/>
      <c r="CE459" s="84"/>
      <c r="CF459" s="84"/>
      <c r="CG459" s="84"/>
      <c r="CH459" s="84"/>
      <c r="CI459" s="84"/>
      <c r="CJ459" s="84"/>
      <c r="CK459" s="84"/>
      <c r="CL459" s="84"/>
    </row>
    <row r="460" spans="66:90" s="354" customFormat="1" x14ac:dyDescent="0.2">
      <c r="BN460" s="84"/>
      <c r="BO460" s="84"/>
      <c r="BP460" s="84"/>
      <c r="BQ460" s="84"/>
      <c r="BR460" s="84"/>
      <c r="BS460" s="84"/>
      <c r="BT460" s="84"/>
      <c r="BU460" s="84"/>
      <c r="BV460" s="84"/>
      <c r="BW460" s="84"/>
      <c r="BX460" s="84"/>
      <c r="BY460" s="84"/>
      <c r="BZ460" s="84"/>
      <c r="CA460" s="84"/>
      <c r="CB460" s="84"/>
      <c r="CC460" s="84"/>
      <c r="CD460" s="84"/>
      <c r="CE460" s="84"/>
      <c r="CF460" s="84"/>
      <c r="CG460" s="84"/>
      <c r="CH460" s="84"/>
      <c r="CI460" s="84"/>
      <c r="CJ460" s="84"/>
      <c r="CK460" s="84"/>
      <c r="CL460" s="84"/>
    </row>
    <row r="461" spans="66:90" s="354" customFormat="1" x14ac:dyDescent="0.2">
      <c r="BN461" s="84"/>
      <c r="BO461" s="84"/>
      <c r="BP461" s="84"/>
      <c r="BQ461" s="84"/>
      <c r="BR461" s="84"/>
      <c r="BS461" s="84"/>
      <c r="BT461" s="84"/>
      <c r="BU461" s="84"/>
      <c r="BV461" s="84"/>
      <c r="BW461" s="84"/>
      <c r="BX461" s="84"/>
      <c r="BY461" s="84"/>
      <c r="BZ461" s="84"/>
      <c r="CA461" s="84"/>
      <c r="CB461" s="84"/>
      <c r="CC461" s="84"/>
      <c r="CD461" s="84"/>
      <c r="CE461" s="84"/>
      <c r="CF461" s="84"/>
      <c r="CG461" s="84"/>
      <c r="CH461" s="84"/>
      <c r="CI461" s="84"/>
      <c r="CJ461" s="84"/>
      <c r="CK461" s="84"/>
      <c r="CL461" s="84"/>
    </row>
    <row r="462" spans="66:90" s="354" customFormat="1" x14ac:dyDescent="0.2">
      <c r="BN462" s="84"/>
      <c r="BO462" s="84"/>
      <c r="BP462" s="84"/>
      <c r="BQ462" s="84"/>
      <c r="BR462" s="84"/>
      <c r="BS462" s="84"/>
      <c r="BT462" s="84"/>
      <c r="BU462" s="84"/>
      <c r="BV462" s="84"/>
      <c r="BW462" s="84"/>
      <c r="BX462" s="84"/>
      <c r="BY462" s="84"/>
      <c r="BZ462" s="84"/>
      <c r="CA462" s="84"/>
      <c r="CB462" s="84"/>
      <c r="CC462" s="84"/>
      <c r="CD462" s="84"/>
      <c r="CE462" s="84"/>
      <c r="CF462" s="84"/>
      <c r="CG462" s="84"/>
      <c r="CH462" s="84"/>
      <c r="CI462" s="84"/>
      <c r="CJ462" s="84"/>
      <c r="CK462" s="84"/>
      <c r="CL462" s="84"/>
    </row>
    <row r="463" spans="66:90" s="354" customFormat="1" x14ac:dyDescent="0.2">
      <c r="BN463" s="84"/>
      <c r="BO463" s="84"/>
      <c r="BP463" s="84"/>
      <c r="BQ463" s="84"/>
      <c r="BR463" s="84"/>
      <c r="BS463" s="84"/>
      <c r="BT463" s="84"/>
      <c r="BU463" s="84"/>
      <c r="BV463" s="84"/>
      <c r="BW463" s="84"/>
      <c r="BX463" s="84"/>
      <c r="BY463" s="84"/>
      <c r="BZ463" s="84"/>
      <c r="CA463" s="84"/>
      <c r="CB463" s="84"/>
      <c r="CC463" s="84"/>
      <c r="CD463" s="84"/>
      <c r="CE463" s="84"/>
      <c r="CF463" s="84"/>
      <c r="CG463" s="84"/>
      <c r="CH463" s="84"/>
      <c r="CI463" s="84"/>
      <c r="CJ463" s="84"/>
      <c r="CK463" s="84"/>
      <c r="CL463" s="84"/>
    </row>
    <row r="464" spans="66:90" s="354" customFormat="1" x14ac:dyDescent="0.2">
      <c r="BN464" s="84"/>
      <c r="BO464" s="84"/>
      <c r="BP464" s="84"/>
      <c r="BQ464" s="84"/>
      <c r="BR464" s="84"/>
      <c r="BS464" s="84"/>
      <c r="BT464" s="84"/>
      <c r="BU464" s="84"/>
      <c r="BV464" s="84"/>
      <c r="BW464" s="84"/>
      <c r="BX464" s="84"/>
      <c r="BY464" s="84"/>
      <c r="BZ464" s="84"/>
      <c r="CA464" s="84"/>
      <c r="CB464" s="84"/>
      <c r="CC464" s="84"/>
      <c r="CD464" s="84"/>
      <c r="CE464" s="84"/>
      <c r="CF464" s="84"/>
      <c r="CG464" s="84"/>
      <c r="CH464" s="84"/>
      <c r="CI464" s="84"/>
      <c r="CJ464" s="84"/>
      <c r="CK464" s="84"/>
      <c r="CL464" s="84"/>
    </row>
    <row r="465" spans="66:90" s="354" customFormat="1" x14ac:dyDescent="0.2">
      <c r="BN465" s="84"/>
      <c r="BO465" s="84"/>
      <c r="BP465" s="84"/>
      <c r="BQ465" s="84"/>
      <c r="BR465" s="84"/>
      <c r="BS465" s="84"/>
      <c r="BT465" s="84"/>
      <c r="BU465" s="84"/>
      <c r="BV465" s="84"/>
      <c r="BW465" s="84"/>
      <c r="BX465" s="84"/>
      <c r="BY465" s="84"/>
      <c r="BZ465" s="84"/>
      <c r="CA465" s="84"/>
      <c r="CB465" s="84"/>
      <c r="CC465" s="84"/>
      <c r="CD465" s="84"/>
      <c r="CE465" s="84"/>
      <c r="CF465" s="84"/>
      <c r="CG465" s="84"/>
      <c r="CH465" s="84"/>
      <c r="CI465" s="84"/>
      <c r="CJ465" s="84"/>
      <c r="CK465" s="84"/>
      <c r="CL465" s="84"/>
    </row>
    <row r="466" spans="66:90" s="354" customFormat="1" x14ac:dyDescent="0.2">
      <c r="BN466" s="84"/>
      <c r="BO466" s="84"/>
      <c r="BP466" s="84"/>
      <c r="BQ466" s="84"/>
      <c r="BR466" s="84"/>
      <c r="BS466" s="84"/>
      <c r="BT466" s="84"/>
      <c r="BU466" s="84"/>
      <c r="BV466" s="84"/>
      <c r="BW466" s="84"/>
      <c r="BX466" s="84"/>
      <c r="BY466" s="84"/>
      <c r="BZ466" s="84"/>
      <c r="CA466" s="84"/>
      <c r="CB466" s="84"/>
      <c r="CC466" s="84"/>
      <c r="CD466" s="84"/>
      <c r="CE466" s="84"/>
      <c r="CF466" s="84"/>
      <c r="CG466" s="84"/>
      <c r="CH466" s="84"/>
      <c r="CI466" s="84"/>
      <c r="CJ466" s="84"/>
      <c r="CK466" s="84"/>
      <c r="CL466" s="84"/>
    </row>
    <row r="467" spans="66:90" s="354" customFormat="1" x14ac:dyDescent="0.2">
      <c r="BN467" s="84"/>
      <c r="BO467" s="84"/>
      <c r="BP467" s="84"/>
      <c r="BQ467" s="84"/>
      <c r="BR467" s="84"/>
      <c r="BS467" s="84"/>
      <c r="BT467" s="84"/>
      <c r="BU467" s="84"/>
      <c r="BV467" s="84"/>
      <c r="BW467" s="84"/>
      <c r="BX467" s="84"/>
      <c r="BY467" s="84"/>
      <c r="BZ467" s="84"/>
      <c r="CA467" s="84"/>
      <c r="CB467" s="84"/>
      <c r="CC467" s="84"/>
      <c r="CD467" s="84"/>
      <c r="CE467" s="84"/>
      <c r="CF467" s="84"/>
      <c r="CG467" s="84"/>
      <c r="CH467" s="84"/>
      <c r="CI467" s="84"/>
      <c r="CJ467" s="84"/>
      <c r="CK467" s="84"/>
      <c r="CL467" s="84"/>
    </row>
    <row r="468" spans="66:90" s="354" customFormat="1" x14ac:dyDescent="0.2">
      <c r="BN468" s="84"/>
      <c r="BO468" s="84"/>
      <c r="BP468" s="84"/>
      <c r="BQ468" s="84"/>
      <c r="BR468" s="84"/>
      <c r="BS468" s="84"/>
      <c r="BT468" s="84"/>
      <c r="BU468" s="84"/>
      <c r="BV468" s="84"/>
      <c r="BW468" s="84"/>
      <c r="BX468" s="84"/>
      <c r="BY468" s="84"/>
      <c r="BZ468" s="84"/>
      <c r="CA468" s="84"/>
      <c r="CB468" s="84"/>
      <c r="CC468" s="84"/>
      <c r="CD468" s="84"/>
      <c r="CE468" s="84"/>
      <c r="CF468" s="84"/>
      <c r="CG468" s="84"/>
      <c r="CH468" s="84"/>
      <c r="CI468" s="84"/>
      <c r="CJ468" s="84"/>
      <c r="CK468" s="84"/>
      <c r="CL468" s="84"/>
    </row>
    <row r="469" spans="66:90" s="354" customFormat="1" x14ac:dyDescent="0.2">
      <c r="BN469" s="84"/>
      <c r="BO469" s="84"/>
      <c r="BP469" s="84"/>
      <c r="BQ469" s="84"/>
      <c r="BR469" s="84"/>
      <c r="BS469" s="84"/>
      <c r="BT469" s="84"/>
      <c r="BU469" s="84"/>
      <c r="BV469" s="84"/>
      <c r="BW469" s="84"/>
      <c r="BX469" s="84"/>
      <c r="BY469" s="84"/>
      <c r="BZ469" s="84"/>
      <c r="CA469" s="84"/>
      <c r="CB469" s="84"/>
      <c r="CC469" s="84"/>
      <c r="CD469" s="84"/>
      <c r="CE469" s="84"/>
      <c r="CF469" s="84"/>
      <c r="CG469" s="84"/>
      <c r="CH469" s="84"/>
      <c r="CI469" s="84"/>
      <c r="CJ469" s="84"/>
      <c r="CK469" s="84"/>
      <c r="CL469" s="84"/>
    </row>
    <row r="470" spans="66:90" s="354" customFormat="1" x14ac:dyDescent="0.2">
      <c r="BN470" s="84"/>
      <c r="BO470" s="84"/>
      <c r="BP470" s="84"/>
      <c r="BQ470" s="84"/>
      <c r="BR470" s="84"/>
      <c r="BS470" s="84"/>
      <c r="BT470" s="84"/>
      <c r="BU470" s="84"/>
      <c r="BV470" s="84"/>
      <c r="BW470" s="84"/>
      <c r="BX470" s="84"/>
      <c r="BY470" s="84"/>
      <c r="BZ470" s="84"/>
      <c r="CA470" s="84"/>
      <c r="CB470" s="84"/>
      <c r="CC470" s="84"/>
      <c r="CD470" s="84"/>
      <c r="CE470" s="84"/>
      <c r="CF470" s="84"/>
      <c r="CG470" s="84"/>
      <c r="CH470" s="84"/>
      <c r="CI470" s="84"/>
      <c r="CJ470" s="84"/>
      <c r="CK470" s="84"/>
      <c r="CL470" s="84"/>
    </row>
    <row r="471" spans="66:90" s="354" customFormat="1" x14ac:dyDescent="0.2">
      <c r="BN471" s="84"/>
      <c r="BO471" s="84"/>
      <c r="BP471" s="84"/>
      <c r="BQ471" s="84"/>
      <c r="BR471" s="84"/>
      <c r="BS471" s="84"/>
      <c r="BT471" s="84"/>
      <c r="BU471" s="84"/>
      <c r="BV471" s="84"/>
      <c r="BW471" s="84"/>
      <c r="BX471" s="84"/>
      <c r="BY471" s="84"/>
      <c r="BZ471" s="84"/>
      <c r="CA471" s="84"/>
      <c r="CB471" s="84"/>
      <c r="CC471" s="84"/>
      <c r="CD471" s="84"/>
      <c r="CE471" s="84"/>
      <c r="CF471" s="84"/>
      <c r="CG471" s="84"/>
      <c r="CH471" s="84"/>
      <c r="CI471" s="84"/>
      <c r="CJ471" s="84"/>
      <c r="CK471" s="84"/>
      <c r="CL471" s="84"/>
    </row>
    <row r="472" spans="66:90" s="354" customFormat="1" x14ac:dyDescent="0.2">
      <c r="BN472" s="84"/>
      <c r="BO472" s="84"/>
      <c r="BP472" s="84"/>
      <c r="BQ472" s="84"/>
      <c r="BR472" s="84"/>
      <c r="BS472" s="84"/>
      <c r="BT472" s="84"/>
      <c r="BU472" s="84"/>
      <c r="BV472" s="84"/>
      <c r="BW472" s="84"/>
      <c r="BX472" s="84"/>
      <c r="BY472" s="84"/>
      <c r="BZ472" s="84"/>
      <c r="CA472" s="84"/>
      <c r="CB472" s="84"/>
      <c r="CC472" s="84"/>
      <c r="CD472" s="84"/>
      <c r="CE472" s="84"/>
      <c r="CF472" s="84"/>
      <c r="CG472" s="84"/>
      <c r="CH472" s="84"/>
      <c r="CI472" s="84"/>
      <c r="CJ472" s="84"/>
      <c r="CK472" s="84"/>
      <c r="CL472" s="84"/>
    </row>
    <row r="473" spans="66:90" s="354" customFormat="1" x14ac:dyDescent="0.2">
      <c r="BN473" s="84"/>
      <c r="BO473" s="84"/>
      <c r="BP473" s="84"/>
      <c r="BQ473" s="84"/>
      <c r="BR473" s="84"/>
      <c r="BS473" s="84"/>
      <c r="BT473" s="84"/>
      <c r="BU473" s="84"/>
      <c r="BV473" s="84"/>
      <c r="BW473" s="84"/>
      <c r="BX473" s="84"/>
      <c r="BY473" s="84"/>
      <c r="BZ473" s="84"/>
      <c r="CA473" s="84"/>
      <c r="CB473" s="84"/>
      <c r="CC473" s="84"/>
      <c r="CD473" s="84"/>
      <c r="CE473" s="84"/>
      <c r="CF473" s="84"/>
      <c r="CG473" s="84"/>
      <c r="CH473" s="84"/>
      <c r="CI473" s="84"/>
      <c r="CJ473" s="84"/>
      <c r="CK473" s="84"/>
      <c r="CL473" s="84"/>
    </row>
    <row r="474" spans="66:90" s="354" customFormat="1" x14ac:dyDescent="0.2">
      <c r="BN474" s="84"/>
      <c r="BO474" s="84"/>
      <c r="BP474" s="84"/>
      <c r="BQ474" s="84"/>
      <c r="BR474" s="84"/>
      <c r="BS474" s="84"/>
      <c r="BT474" s="84"/>
      <c r="BU474" s="84"/>
      <c r="BV474" s="84"/>
      <c r="BW474" s="84"/>
      <c r="BX474" s="84"/>
      <c r="BY474" s="84"/>
      <c r="BZ474" s="84"/>
      <c r="CA474" s="84"/>
      <c r="CB474" s="84"/>
      <c r="CC474" s="84"/>
      <c r="CD474" s="84"/>
      <c r="CE474" s="84"/>
      <c r="CF474" s="84"/>
      <c r="CG474" s="84"/>
      <c r="CH474" s="84"/>
      <c r="CI474" s="84"/>
      <c r="CJ474" s="84"/>
      <c r="CK474" s="84"/>
      <c r="CL474" s="84"/>
    </row>
    <row r="475" spans="66:90" s="354" customFormat="1" x14ac:dyDescent="0.2">
      <c r="BN475" s="84"/>
      <c r="BO475" s="84"/>
      <c r="BP475" s="84"/>
      <c r="BQ475" s="84"/>
      <c r="BR475" s="84"/>
      <c r="BS475" s="84"/>
      <c r="BT475" s="84"/>
      <c r="BU475" s="84"/>
      <c r="BV475" s="84"/>
      <c r="BW475" s="84"/>
      <c r="BX475" s="84"/>
      <c r="BY475" s="84"/>
      <c r="BZ475" s="84"/>
      <c r="CA475" s="84"/>
      <c r="CB475" s="84"/>
      <c r="CC475" s="84"/>
      <c r="CD475" s="84"/>
      <c r="CE475" s="84"/>
      <c r="CF475" s="84"/>
      <c r="CG475" s="84"/>
      <c r="CH475" s="84"/>
      <c r="CI475" s="84"/>
      <c r="CJ475" s="84"/>
      <c r="CK475" s="84"/>
      <c r="CL475" s="84"/>
    </row>
    <row r="476" spans="66:90" s="354" customFormat="1" x14ac:dyDescent="0.2">
      <c r="BN476" s="84"/>
      <c r="BO476" s="84"/>
      <c r="BP476" s="84"/>
      <c r="BQ476" s="84"/>
      <c r="BR476" s="84"/>
      <c r="BS476" s="84"/>
      <c r="BT476" s="84"/>
      <c r="BU476" s="84"/>
      <c r="BV476" s="84"/>
      <c r="BW476" s="84"/>
      <c r="BX476" s="84"/>
      <c r="BY476" s="84"/>
      <c r="BZ476" s="84"/>
      <c r="CA476" s="84"/>
      <c r="CB476" s="84"/>
      <c r="CC476" s="84"/>
      <c r="CD476" s="84"/>
      <c r="CE476" s="84"/>
      <c r="CF476" s="84"/>
      <c r="CG476" s="84"/>
      <c r="CH476" s="84"/>
      <c r="CI476" s="84"/>
      <c r="CJ476" s="84"/>
      <c r="CK476" s="84"/>
      <c r="CL476" s="84"/>
    </row>
    <row r="477" spans="66:90" s="354" customFormat="1" x14ac:dyDescent="0.2">
      <c r="BN477" s="84"/>
      <c r="BO477" s="84"/>
      <c r="BP477" s="84"/>
      <c r="BQ477" s="84"/>
      <c r="BR477" s="84"/>
      <c r="BS477" s="84"/>
      <c r="BT477" s="84"/>
      <c r="BU477" s="84"/>
      <c r="BV477" s="84"/>
      <c r="BW477" s="84"/>
      <c r="BX477" s="84"/>
      <c r="BY477" s="84"/>
      <c r="BZ477" s="84"/>
      <c r="CA477" s="84"/>
      <c r="CB477" s="84"/>
      <c r="CC477" s="84"/>
      <c r="CD477" s="84"/>
      <c r="CE477" s="84"/>
      <c r="CF477" s="84"/>
      <c r="CG477" s="84"/>
      <c r="CH477" s="84"/>
      <c r="CI477" s="84"/>
      <c r="CJ477" s="84"/>
      <c r="CK477" s="84"/>
      <c r="CL477" s="84"/>
    </row>
    <row r="478" spans="66:90" s="354" customFormat="1" x14ac:dyDescent="0.2">
      <c r="BN478" s="84"/>
      <c r="BO478" s="84"/>
      <c r="BP478" s="84"/>
      <c r="BQ478" s="84"/>
      <c r="BR478" s="84"/>
      <c r="BS478" s="84"/>
      <c r="BT478" s="84"/>
      <c r="BU478" s="84"/>
      <c r="BV478" s="84"/>
      <c r="BW478" s="84"/>
      <c r="BX478" s="84"/>
      <c r="BY478" s="84"/>
      <c r="BZ478" s="84"/>
      <c r="CA478" s="84"/>
      <c r="CB478" s="84"/>
      <c r="CC478" s="84"/>
      <c r="CD478" s="84"/>
      <c r="CE478" s="84"/>
      <c r="CF478" s="84"/>
      <c r="CG478" s="84"/>
      <c r="CH478" s="84"/>
      <c r="CI478" s="84"/>
      <c r="CJ478" s="84"/>
      <c r="CK478" s="84"/>
      <c r="CL478" s="84"/>
    </row>
    <row r="479" spans="66:90" s="354" customFormat="1" x14ac:dyDescent="0.2">
      <c r="BN479" s="84"/>
      <c r="BO479" s="84"/>
      <c r="BP479" s="84"/>
      <c r="BQ479" s="84"/>
      <c r="BR479" s="84"/>
      <c r="BS479" s="84"/>
      <c r="BT479" s="84"/>
      <c r="BU479" s="84"/>
      <c r="BV479" s="84"/>
      <c r="BW479" s="84"/>
      <c r="BX479" s="84"/>
      <c r="BY479" s="84"/>
      <c r="BZ479" s="84"/>
      <c r="CA479" s="84"/>
      <c r="CB479" s="84"/>
      <c r="CC479" s="84"/>
      <c r="CD479" s="84"/>
      <c r="CE479" s="84"/>
      <c r="CF479" s="84"/>
      <c r="CG479" s="84"/>
      <c r="CH479" s="84"/>
      <c r="CI479" s="84"/>
      <c r="CJ479" s="84"/>
      <c r="CK479" s="84"/>
      <c r="CL479" s="84"/>
    </row>
    <row r="480" spans="66:90" s="354" customFormat="1" x14ac:dyDescent="0.2">
      <c r="BN480" s="84"/>
      <c r="BO480" s="84"/>
      <c r="BP480" s="84"/>
      <c r="BQ480" s="84"/>
      <c r="BR480" s="84"/>
      <c r="BS480" s="84"/>
      <c r="BT480" s="84"/>
      <c r="BU480" s="84"/>
      <c r="BV480" s="84"/>
      <c r="BW480" s="84"/>
      <c r="BX480" s="84"/>
      <c r="BY480" s="84"/>
      <c r="BZ480" s="84"/>
      <c r="CA480" s="84"/>
      <c r="CB480" s="84"/>
      <c r="CC480" s="84"/>
      <c r="CD480" s="84"/>
      <c r="CE480" s="84"/>
      <c r="CF480" s="84"/>
      <c r="CG480" s="84"/>
      <c r="CH480" s="84"/>
      <c r="CI480" s="84"/>
      <c r="CJ480" s="84"/>
      <c r="CK480" s="84"/>
      <c r="CL480" s="84"/>
    </row>
    <row r="481" spans="66:90" s="354" customFormat="1" x14ac:dyDescent="0.2">
      <c r="BN481" s="84"/>
      <c r="BO481" s="84"/>
      <c r="BP481" s="84"/>
      <c r="BQ481" s="84"/>
      <c r="BR481" s="84"/>
      <c r="BS481" s="84"/>
      <c r="BT481" s="84"/>
      <c r="BU481" s="84"/>
      <c r="BV481" s="84"/>
      <c r="BW481" s="84"/>
      <c r="BX481" s="84"/>
      <c r="BY481" s="84"/>
      <c r="BZ481" s="84"/>
      <c r="CA481" s="84"/>
      <c r="CB481" s="84"/>
      <c r="CC481" s="84"/>
      <c r="CD481" s="84"/>
      <c r="CE481" s="84"/>
      <c r="CF481" s="84"/>
      <c r="CG481" s="84"/>
      <c r="CH481" s="84"/>
      <c r="CI481" s="84"/>
      <c r="CJ481" s="84"/>
      <c r="CK481" s="84"/>
      <c r="CL481" s="84"/>
    </row>
    <row r="482" spans="66:90" s="354" customFormat="1" x14ac:dyDescent="0.2">
      <c r="BN482" s="84"/>
      <c r="BO482" s="84"/>
      <c r="BP482" s="84"/>
      <c r="BQ482" s="84"/>
      <c r="BR482" s="84"/>
      <c r="BS482" s="84"/>
      <c r="BT482" s="84"/>
      <c r="BU482" s="84"/>
      <c r="BV482" s="84"/>
      <c r="BW482" s="84"/>
      <c r="BX482" s="84"/>
      <c r="BY482" s="84"/>
      <c r="BZ482" s="84"/>
      <c r="CA482" s="84"/>
      <c r="CB482" s="84"/>
      <c r="CC482" s="84"/>
      <c r="CD482" s="84"/>
      <c r="CE482" s="84"/>
      <c r="CF482" s="84"/>
      <c r="CG482" s="84"/>
      <c r="CH482" s="84"/>
      <c r="CI482" s="84"/>
      <c r="CJ482" s="84"/>
      <c r="CK482" s="84"/>
      <c r="CL482" s="84"/>
    </row>
    <row r="483" spans="66:90" s="354" customFormat="1" x14ac:dyDescent="0.2">
      <c r="BN483" s="84"/>
      <c r="BO483" s="84"/>
      <c r="BP483" s="84"/>
      <c r="BQ483" s="84"/>
      <c r="BR483" s="84"/>
      <c r="BS483" s="84"/>
      <c r="BT483" s="84"/>
      <c r="BU483" s="84"/>
      <c r="BV483" s="84"/>
      <c r="BW483" s="84"/>
      <c r="BX483" s="84"/>
      <c r="BY483" s="84"/>
      <c r="BZ483" s="84"/>
      <c r="CA483" s="84"/>
      <c r="CB483" s="84"/>
      <c r="CC483" s="84"/>
      <c r="CD483" s="84"/>
      <c r="CE483" s="84"/>
      <c r="CF483" s="84"/>
      <c r="CG483" s="84"/>
      <c r="CH483" s="84"/>
      <c r="CI483" s="84"/>
      <c r="CJ483" s="84"/>
      <c r="CK483" s="84"/>
      <c r="CL483" s="84"/>
    </row>
    <row r="484" spans="66:90" s="354" customFormat="1" x14ac:dyDescent="0.2">
      <c r="BN484" s="84"/>
      <c r="BO484" s="84"/>
      <c r="BP484" s="84"/>
      <c r="BQ484" s="84"/>
      <c r="BR484" s="84"/>
      <c r="BS484" s="84"/>
      <c r="BT484" s="84"/>
      <c r="BU484" s="84"/>
      <c r="BV484" s="84"/>
      <c r="BW484" s="84"/>
      <c r="BX484" s="84"/>
      <c r="BY484" s="84"/>
      <c r="BZ484" s="84"/>
      <c r="CA484" s="84"/>
      <c r="CB484" s="84"/>
      <c r="CC484" s="84"/>
      <c r="CD484" s="84"/>
      <c r="CE484" s="84"/>
      <c r="CF484" s="84"/>
      <c r="CG484" s="84"/>
      <c r="CH484" s="84"/>
      <c r="CI484" s="84"/>
      <c r="CJ484" s="84"/>
      <c r="CK484" s="84"/>
      <c r="CL484" s="84"/>
    </row>
    <row r="485" spans="66:90" s="354" customFormat="1" x14ac:dyDescent="0.2">
      <c r="BN485" s="84"/>
      <c r="BO485" s="84"/>
      <c r="BP485" s="84"/>
      <c r="BQ485" s="84"/>
      <c r="BR485" s="84"/>
      <c r="BS485" s="84"/>
      <c r="BT485" s="84"/>
      <c r="BU485" s="84"/>
      <c r="BV485" s="84"/>
      <c r="BW485" s="84"/>
      <c r="BX485" s="84"/>
      <c r="BY485" s="84"/>
      <c r="BZ485" s="84"/>
      <c r="CA485" s="84"/>
      <c r="CB485" s="84"/>
      <c r="CC485" s="84"/>
      <c r="CD485" s="84"/>
      <c r="CE485" s="84"/>
      <c r="CF485" s="84"/>
      <c r="CG485" s="84"/>
      <c r="CH485" s="84"/>
      <c r="CI485" s="84"/>
      <c r="CJ485" s="84"/>
      <c r="CK485" s="84"/>
      <c r="CL485" s="84"/>
    </row>
    <row r="486" spans="66:90" s="354" customFormat="1" x14ac:dyDescent="0.2">
      <c r="BN486" s="84"/>
      <c r="BO486" s="84"/>
      <c r="BP486" s="84"/>
      <c r="BQ486" s="84"/>
      <c r="BR486" s="84"/>
      <c r="BS486" s="84"/>
      <c r="BT486" s="84"/>
      <c r="BU486" s="84"/>
      <c r="BV486" s="84"/>
      <c r="BW486" s="84"/>
      <c r="BX486" s="84"/>
      <c r="BY486" s="84"/>
      <c r="BZ486" s="84"/>
      <c r="CA486" s="84"/>
      <c r="CB486" s="84"/>
      <c r="CC486" s="84"/>
      <c r="CD486" s="84"/>
      <c r="CE486" s="84"/>
      <c r="CF486" s="84"/>
      <c r="CG486" s="84"/>
      <c r="CH486" s="84"/>
      <c r="CI486" s="84"/>
      <c r="CJ486" s="84"/>
      <c r="CK486" s="84"/>
      <c r="CL486" s="84"/>
    </row>
    <row r="487" spans="66:90" s="354" customFormat="1" x14ac:dyDescent="0.2">
      <c r="BN487" s="84"/>
      <c r="BO487" s="84"/>
      <c r="BP487" s="84"/>
      <c r="BQ487" s="84"/>
      <c r="BR487" s="84"/>
      <c r="BS487" s="84"/>
      <c r="BT487" s="84"/>
      <c r="BU487" s="84"/>
      <c r="BV487" s="84"/>
      <c r="BW487" s="84"/>
      <c r="BX487" s="84"/>
      <c r="BY487" s="84"/>
      <c r="BZ487" s="84"/>
      <c r="CA487" s="84"/>
      <c r="CB487" s="84"/>
      <c r="CC487" s="84"/>
      <c r="CD487" s="84"/>
      <c r="CE487" s="84"/>
      <c r="CF487" s="84"/>
      <c r="CG487" s="84"/>
      <c r="CH487" s="84"/>
      <c r="CI487" s="84"/>
      <c r="CJ487" s="84"/>
      <c r="CK487" s="84"/>
      <c r="CL487" s="84"/>
    </row>
    <row r="488" spans="66:90" s="354" customFormat="1" x14ac:dyDescent="0.2">
      <c r="BN488" s="84"/>
      <c r="BO488" s="84"/>
      <c r="BP488" s="84"/>
      <c r="BQ488" s="84"/>
      <c r="BR488" s="84"/>
      <c r="BS488" s="84"/>
      <c r="BT488" s="84"/>
      <c r="BU488" s="84"/>
      <c r="BV488" s="84"/>
      <c r="BW488" s="84"/>
      <c r="BX488" s="84"/>
      <c r="BY488" s="84"/>
      <c r="BZ488" s="84"/>
      <c r="CA488" s="84"/>
      <c r="CB488" s="84"/>
      <c r="CC488" s="84"/>
      <c r="CD488" s="84"/>
      <c r="CE488" s="84"/>
      <c r="CF488" s="84"/>
      <c r="CG488" s="84"/>
      <c r="CH488" s="84"/>
      <c r="CI488" s="84"/>
      <c r="CJ488" s="84"/>
      <c r="CK488" s="84"/>
      <c r="CL488" s="84"/>
    </row>
    <row r="489" spans="66:90" s="354" customFormat="1" x14ac:dyDescent="0.2">
      <c r="BN489" s="84"/>
      <c r="BO489" s="84"/>
      <c r="BP489" s="84"/>
      <c r="BQ489" s="84"/>
      <c r="BR489" s="84"/>
      <c r="BS489" s="84"/>
      <c r="BT489" s="84"/>
      <c r="BU489" s="84"/>
      <c r="BV489" s="84"/>
      <c r="BW489" s="84"/>
      <c r="BX489" s="84"/>
      <c r="BY489" s="84"/>
      <c r="BZ489" s="84"/>
      <c r="CA489" s="84"/>
      <c r="CB489" s="84"/>
      <c r="CC489" s="84"/>
      <c r="CD489" s="84"/>
      <c r="CE489" s="84"/>
      <c r="CF489" s="84"/>
      <c r="CG489" s="84"/>
      <c r="CH489" s="84"/>
      <c r="CI489" s="84"/>
      <c r="CJ489" s="84"/>
      <c r="CK489" s="84"/>
      <c r="CL489" s="84"/>
    </row>
    <row r="490" spans="66:90" s="354" customFormat="1" x14ac:dyDescent="0.2">
      <c r="BN490" s="84"/>
      <c r="BO490" s="84"/>
      <c r="BP490" s="84"/>
      <c r="BQ490" s="84"/>
      <c r="BR490" s="84"/>
      <c r="BS490" s="84"/>
      <c r="BT490" s="84"/>
      <c r="BU490" s="84"/>
      <c r="BV490" s="84"/>
      <c r="BW490" s="84"/>
      <c r="BX490" s="84"/>
      <c r="BY490" s="84"/>
      <c r="BZ490" s="84"/>
      <c r="CA490" s="84"/>
      <c r="CB490" s="84"/>
      <c r="CC490" s="84"/>
      <c r="CD490" s="84"/>
      <c r="CE490" s="84"/>
      <c r="CF490" s="84"/>
      <c r="CG490" s="84"/>
      <c r="CH490" s="84"/>
      <c r="CI490" s="84"/>
      <c r="CJ490" s="84"/>
      <c r="CK490" s="84"/>
      <c r="CL490" s="84"/>
    </row>
    <row r="491" spans="66:90" s="354" customFormat="1" x14ac:dyDescent="0.2">
      <c r="BN491" s="84"/>
      <c r="BO491" s="84"/>
      <c r="BP491" s="84"/>
      <c r="BQ491" s="84"/>
      <c r="BR491" s="84"/>
      <c r="BS491" s="84"/>
      <c r="BT491" s="84"/>
      <c r="BU491" s="84"/>
      <c r="BV491" s="84"/>
      <c r="BW491" s="84"/>
      <c r="BX491" s="84"/>
      <c r="BY491" s="84"/>
      <c r="BZ491" s="84"/>
      <c r="CA491" s="84"/>
      <c r="CB491" s="84"/>
      <c r="CC491" s="84"/>
      <c r="CD491" s="84"/>
      <c r="CE491" s="84"/>
      <c r="CF491" s="84"/>
      <c r="CG491" s="84"/>
      <c r="CH491" s="84"/>
      <c r="CI491" s="84"/>
      <c r="CJ491" s="84"/>
      <c r="CK491" s="84"/>
      <c r="CL491" s="84"/>
    </row>
    <row r="492" spans="66:90" s="354" customFormat="1" x14ac:dyDescent="0.2">
      <c r="BN492" s="84"/>
      <c r="BO492" s="84"/>
      <c r="BP492" s="84"/>
      <c r="BQ492" s="84"/>
      <c r="BR492" s="84"/>
      <c r="BS492" s="84"/>
      <c r="BT492" s="84"/>
      <c r="BU492" s="84"/>
      <c r="BV492" s="84"/>
      <c r="BW492" s="84"/>
      <c r="BX492" s="84"/>
      <c r="BY492" s="84"/>
      <c r="BZ492" s="84"/>
      <c r="CA492" s="84"/>
      <c r="CB492" s="84"/>
      <c r="CC492" s="84"/>
      <c r="CD492" s="84"/>
      <c r="CE492" s="84"/>
      <c r="CF492" s="84"/>
      <c r="CG492" s="84"/>
      <c r="CH492" s="84"/>
      <c r="CI492" s="84"/>
      <c r="CJ492" s="84"/>
      <c r="CK492" s="84"/>
      <c r="CL492" s="84"/>
    </row>
    <row r="493" spans="66:90" s="354" customFormat="1" x14ac:dyDescent="0.2">
      <c r="BN493" s="84"/>
      <c r="BO493" s="84"/>
      <c r="BP493" s="84"/>
      <c r="BQ493" s="84"/>
      <c r="BR493" s="84"/>
      <c r="BS493" s="84"/>
      <c r="BT493" s="84"/>
      <c r="BU493" s="84"/>
      <c r="BV493" s="84"/>
      <c r="BW493" s="84"/>
      <c r="BX493" s="84"/>
      <c r="BY493" s="84"/>
      <c r="BZ493" s="84"/>
      <c r="CA493" s="84"/>
      <c r="CB493" s="84"/>
      <c r="CC493" s="84"/>
      <c r="CD493" s="84"/>
      <c r="CE493" s="84"/>
      <c r="CF493" s="84"/>
      <c r="CG493" s="84"/>
      <c r="CH493" s="84"/>
      <c r="CI493" s="84"/>
      <c r="CJ493" s="84"/>
      <c r="CK493" s="84"/>
      <c r="CL493" s="84"/>
    </row>
    <row r="494" spans="66:90" s="354" customFormat="1" x14ac:dyDescent="0.2">
      <c r="BN494" s="84"/>
      <c r="BO494" s="84"/>
      <c r="BP494" s="84"/>
      <c r="BQ494" s="84"/>
      <c r="BR494" s="84"/>
      <c r="BS494" s="84"/>
      <c r="BT494" s="84"/>
      <c r="BU494" s="84"/>
      <c r="BV494" s="84"/>
      <c r="BW494" s="84"/>
      <c r="BX494" s="84"/>
      <c r="BY494" s="84"/>
      <c r="BZ494" s="84"/>
      <c r="CA494" s="84"/>
      <c r="CB494" s="84"/>
      <c r="CC494" s="84"/>
      <c r="CD494" s="84"/>
      <c r="CE494" s="84"/>
      <c r="CF494" s="84"/>
      <c r="CG494" s="84"/>
      <c r="CH494" s="84"/>
      <c r="CI494" s="84"/>
      <c r="CJ494" s="84"/>
      <c r="CK494" s="84"/>
      <c r="CL494" s="84"/>
    </row>
    <row r="495" spans="66:90" s="354" customFormat="1" x14ac:dyDescent="0.2">
      <c r="BN495" s="84"/>
      <c r="BO495" s="84"/>
      <c r="BP495" s="84"/>
      <c r="BQ495" s="84"/>
      <c r="BR495" s="84"/>
      <c r="BS495" s="84"/>
      <c r="BT495" s="84"/>
      <c r="BU495" s="84"/>
      <c r="BV495" s="84"/>
      <c r="BW495" s="84"/>
      <c r="BX495" s="84"/>
      <c r="BY495" s="84"/>
      <c r="BZ495" s="84"/>
      <c r="CA495" s="84"/>
      <c r="CB495" s="84"/>
      <c r="CC495" s="84"/>
      <c r="CD495" s="84"/>
      <c r="CE495" s="84"/>
      <c r="CF495" s="84"/>
      <c r="CG495" s="84"/>
      <c r="CH495" s="84"/>
      <c r="CI495" s="84"/>
      <c r="CJ495" s="84"/>
      <c r="CK495" s="84"/>
      <c r="CL495" s="84"/>
    </row>
    <row r="496" spans="66:90" s="354" customFormat="1" x14ac:dyDescent="0.2">
      <c r="BN496" s="84"/>
      <c r="BO496" s="84"/>
      <c r="BP496" s="84"/>
      <c r="BQ496" s="84"/>
      <c r="BR496" s="84"/>
      <c r="BS496" s="84"/>
      <c r="BT496" s="84"/>
      <c r="BU496" s="84"/>
      <c r="BV496" s="84"/>
      <c r="BW496" s="84"/>
      <c r="BX496" s="84"/>
      <c r="BY496" s="84"/>
      <c r="BZ496" s="84"/>
      <c r="CA496" s="84"/>
      <c r="CB496" s="84"/>
      <c r="CC496" s="84"/>
      <c r="CD496" s="84"/>
      <c r="CE496" s="84"/>
      <c r="CF496" s="84"/>
      <c r="CG496" s="84"/>
      <c r="CH496" s="84"/>
      <c r="CI496" s="84"/>
      <c r="CJ496" s="84"/>
      <c r="CK496" s="84"/>
      <c r="CL496" s="84"/>
    </row>
    <row r="497" spans="66:90" s="354" customFormat="1" x14ac:dyDescent="0.2">
      <c r="BN497" s="84"/>
      <c r="BO497" s="84"/>
      <c r="BP497" s="84"/>
      <c r="BQ497" s="84"/>
      <c r="BR497" s="84"/>
      <c r="BS497" s="84"/>
      <c r="BT497" s="84"/>
      <c r="BU497" s="84"/>
      <c r="BV497" s="84"/>
      <c r="BW497" s="84"/>
      <c r="BX497" s="84"/>
      <c r="BY497" s="84"/>
      <c r="BZ497" s="84"/>
      <c r="CA497" s="84"/>
      <c r="CB497" s="84"/>
      <c r="CC497" s="84"/>
      <c r="CD497" s="84"/>
      <c r="CE497" s="84"/>
      <c r="CF497" s="84"/>
      <c r="CG497" s="84"/>
      <c r="CH497" s="84"/>
      <c r="CI497" s="84"/>
      <c r="CJ497" s="84"/>
      <c r="CK497" s="84"/>
      <c r="CL497" s="84"/>
    </row>
    <row r="498" spans="66:90" s="354" customFormat="1" x14ac:dyDescent="0.2">
      <c r="BN498" s="84"/>
      <c r="BO498" s="84"/>
      <c r="BP498" s="84"/>
      <c r="BQ498" s="84"/>
      <c r="BR498" s="84"/>
      <c r="BS498" s="84"/>
      <c r="BT498" s="84"/>
      <c r="BU498" s="84"/>
      <c r="BV498" s="84"/>
      <c r="BW498" s="84"/>
      <c r="BX498" s="84"/>
      <c r="BY498" s="84"/>
      <c r="BZ498" s="84"/>
      <c r="CA498" s="84"/>
      <c r="CB498" s="84"/>
      <c r="CC498" s="84"/>
      <c r="CD498" s="84"/>
      <c r="CE498" s="84"/>
      <c r="CF498" s="84"/>
      <c r="CG498" s="84"/>
      <c r="CH498" s="84"/>
      <c r="CI498" s="84"/>
      <c r="CJ498" s="84"/>
      <c r="CK498" s="84"/>
      <c r="CL498" s="84"/>
    </row>
    <row r="499" spans="66:90" s="354" customFormat="1" x14ac:dyDescent="0.2">
      <c r="BN499" s="84"/>
      <c r="BO499" s="84"/>
      <c r="BP499" s="84"/>
      <c r="BQ499" s="84"/>
      <c r="BR499" s="84"/>
      <c r="BS499" s="84"/>
      <c r="BT499" s="84"/>
      <c r="BU499" s="84"/>
      <c r="BV499" s="84"/>
      <c r="BW499" s="84"/>
      <c r="BX499" s="84"/>
      <c r="BY499" s="84"/>
      <c r="BZ499" s="84"/>
      <c r="CA499" s="84"/>
      <c r="CB499" s="84"/>
      <c r="CC499" s="84"/>
      <c r="CD499" s="84"/>
      <c r="CE499" s="84"/>
      <c r="CF499" s="84"/>
      <c r="CG499" s="84"/>
      <c r="CH499" s="84"/>
      <c r="CI499" s="84"/>
      <c r="CJ499" s="84"/>
      <c r="CK499" s="84"/>
      <c r="CL499" s="84"/>
    </row>
    <row r="500" spans="66:90" s="354" customFormat="1" x14ac:dyDescent="0.2">
      <c r="BN500" s="84"/>
      <c r="BO500" s="84"/>
      <c r="BP500" s="84"/>
      <c r="BQ500" s="84"/>
      <c r="BR500" s="84"/>
      <c r="BS500" s="84"/>
      <c r="BT500" s="84"/>
      <c r="BU500" s="84"/>
      <c r="BV500" s="84"/>
      <c r="BW500" s="84"/>
      <c r="BX500" s="84"/>
      <c r="BY500" s="84"/>
      <c r="BZ500" s="84"/>
      <c r="CA500" s="84"/>
      <c r="CB500" s="84"/>
      <c r="CC500" s="84"/>
      <c r="CD500" s="84"/>
      <c r="CE500" s="84"/>
      <c r="CF500" s="84"/>
      <c r="CG500" s="84"/>
      <c r="CH500" s="84"/>
      <c r="CI500" s="84"/>
      <c r="CJ500" s="84"/>
      <c r="CK500" s="84"/>
      <c r="CL500" s="84"/>
    </row>
    <row r="501" spans="66:90" s="354" customFormat="1" x14ac:dyDescent="0.2">
      <c r="BN501" s="84"/>
      <c r="BO501" s="84"/>
      <c r="BP501" s="84"/>
      <c r="BQ501" s="84"/>
      <c r="BR501" s="84"/>
      <c r="BS501" s="84"/>
      <c r="BT501" s="84"/>
      <c r="BU501" s="84"/>
      <c r="BV501" s="84"/>
      <c r="BW501" s="84"/>
      <c r="BX501" s="84"/>
      <c r="BY501" s="84"/>
      <c r="BZ501" s="84"/>
      <c r="CA501" s="84"/>
      <c r="CB501" s="84"/>
      <c r="CC501" s="84"/>
      <c r="CD501" s="84"/>
      <c r="CE501" s="84"/>
      <c r="CF501" s="84"/>
      <c r="CG501" s="84"/>
      <c r="CH501" s="84"/>
      <c r="CI501" s="84"/>
      <c r="CJ501" s="84"/>
      <c r="CK501" s="84"/>
      <c r="CL501" s="84"/>
    </row>
    <row r="502" spans="66:90" s="354" customFormat="1" x14ac:dyDescent="0.2">
      <c r="BN502" s="84"/>
      <c r="BO502" s="84"/>
      <c r="BP502" s="84"/>
      <c r="BQ502" s="84"/>
      <c r="BR502" s="84"/>
      <c r="BS502" s="84"/>
      <c r="BT502" s="84"/>
      <c r="BU502" s="84"/>
      <c r="BV502" s="84"/>
      <c r="BW502" s="84"/>
      <c r="BX502" s="84"/>
      <c r="BY502" s="84"/>
      <c r="BZ502" s="84"/>
      <c r="CA502" s="84"/>
      <c r="CB502" s="84"/>
      <c r="CC502" s="84"/>
      <c r="CD502" s="84"/>
      <c r="CE502" s="84"/>
      <c r="CF502" s="84"/>
      <c r="CG502" s="84"/>
      <c r="CH502" s="84"/>
      <c r="CI502" s="84"/>
      <c r="CJ502" s="84"/>
      <c r="CK502" s="84"/>
      <c r="CL502" s="84"/>
    </row>
    <row r="503" spans="66:90" s="354" customFormat="1" x14ac:dyDescent="0.2">
      <c r="BN503" s="84"/>
      <c r="BO503" s="84"/>
      <c r="BP503" s="84"/>
      <c r="BQ503" s="84"/>
      <c r="BR503" s="84"/>
      <c r="BS503" s="84"/>
      <c r="BT503" s="84"/>
      <c r="BU503" s="84"/>
      <c r="BV503" s="84"/>
      <c r="BW503" s="84"/>
      <c r="BX503" s="84"/>
      <c r="BY503" s="84"/>
      <c r="BZ503" s="84"/>
      <c r="CA503" s="84"/>
      <c r="CB503" s="84"/>
      <c r="CC503" s="84"/>
      <c r="CD503" s="84"/>
      <c r="CE503" s="84"/>
      <c r="CF503" s="84"/>
      <c r="CG503" s="84"/>
      <c r="CH503" s="84"/>
      <c r="CI503" s="84"/>
      <c r="CJ503" s="84"/>
      <c r="CK503" s="84"/>
      <c r="CL503" s="84"/>
    </row>
    <row r="504" spans="66:90" s="354" customFormat="1" x14ac:dyDescent="0.2">
      <c r="BN504" s="84"/>
      <c r="BO504" s="84"/>
      <c r="BP504" s="84"/>
      <c r="BQ504" s="84"/>
      <c r="BR504" s="84"/>
      <c r="BS504" s="84"/>
      <c r="BT504" s="84"/>
      <c r="BU504" s="84"/>
      <c r="BV504" s="84"/>
      <c r="BW504" s="84"/>
      <c r="BX504" s="84"/>
      <c r="BY504" s="84"/>
      <c r="BZ504" s="84"/>
      <c r="CA504" s="84"/>
      <c r="CB504" s="84"/>
      <c r="CC504" s="84"/>
      <c r="CD504" s="84"/>
      <c r="CE504" s="84"/>
      <c r="CF504" s="84"/>
      <c r="CG504" s="84"/>
      <c r="CH504" s="84"/>
      <c r="CI504" s="84"/>
      <c r="CJ504" s="84"/>
      <c r="CK504" s="84"/>
      <c r="CL504" s="84"/>
    </row>
    <row r="505" spans="66:90" s="354" customFormat="1" x14ac:dyDescent="0.2">
      <c r="BN505" s="84"/>
      <c r="BO505" s="84"/>
      <c r="BP505" s="84"/>
      <c r="BQ505" s="84"/>
      <c r="BR505" s="84"/>
      <c r="BS505" s="84"/>
      <c r="BT505" s="84"/>
      <c r="BU505" s="84"/>
      <c r="BV505" s="84"/>
      <c r="BW505" s="84"/>
      <c r="BX505" s="84"/>
      <c r="BY505" s="84"/>
      <c r="BZ505" s="84"/>
      <c r="CA505" s="84"/>
      <c r="CB505" s="84"/>
      <c r="CC505" s="84"/>
      <c r="CD505" s="84"/>
      <c r="CE505" s="84"/>
      <c r="CF505" s="84"/>
      <c r="CG505" s="84"/>
      <c r="CH505" s="84"/>
      <c r="CI505" s="84"/>
      <c r="CJ505" s="84"/>
      <c r="CK505" s="84"/>
      <c r="CL505" s="84"/>
    </row>
    <row r="506" spans="66:90" s="354" customFormat="1" x14ac:dyDescent="0.2">
      <c r="BN506" s="84"/>
      <c r="BO506" s="84"/>
      <c r="BP506" s="84"/>
      <c r="BQ506" s="84"/>
      <c r="BR506" s="84"/>
      <c r="BS506" s="84"/>
      <c r="BT506" s="84"/>
      <c r="BU506" s="84"/>
      <c r="BV506" s="84"/>
      <c r="BW506" s="84"/>
      <c r="BX506" s="84"/>
      <c r="BY506" s="84"/>
      <c r="BZ506" s="84"/>
      <c r="CA506" s="84"/>
      <c r="CB506" s="84"/>
      <c r="CC506" s="84"/>
      <c r="CD506" s="84"/>
      <c r="CE506" s="84"/>
      <c r="CF506" s="84"/>
      <c r="CG506" s="84"/>
      <c r="CH506" s="84"/>
      <c r="CI506" s="84"/>
      <c r="CJ506" s="84"/>
      <c r="CK506" s="84"/>
      <c r="CL506" s="84"/>
    </row>
    <row r="507" spans="66:90" s="354" customFormat="1" x14ac:dyDescent="0.2">
      <c r="BN507" s="84"/>
      <c r="BO507" s="84"/>
      <c r="BP507" s="84"/>
      <c r="BQ507" s="84"/>
      <c r="BR507" s="84"/>
      <c r="BS507" s="84"/>
      <c r="BT507" s="84"/>
      <c r="BU507" s="84"/>
      <c r="BV507" s="84"/>
      <c r="BW507" s="84"/>
      <c r="BX507" s="84"/>
      <c r="BY507" s="84"/>
      <c r="BZ507" s="84"/>
      <c r="CA507" s="84"/>
      <c r="CB507" s="84"/>
      <c r="CC507" s="84"/>
      <c r="CD507" s="84"/>
      <c r="CE507" s="84"/>
      <c r="CF507" s="84"/>
      <c r="CG507" s="84"/>
      <c r="CH507" s="84"/>
      <c r="CI507" s="84"/>
      <c r="CJ507" s="84"/>
      <c r="CK507" s="84"/>
      <c r="CL507" s="84"/>
    </row>
    <row r="508" spans="66:90" s="354" customFormat="1" x14ac:dyDescent="0.2">
      <c r="BN508" s="84"/>
      <c r="BO508" s="84"/>
      <c r="BP508" s="84"/>
      <c r="BQ508" s="84"/>
      <c r="BR508" s="84"/>
      <c r="BS508" s="84"/>
      <c r="BT508" s="84"/>
      <c r="BU508" s="84"/>
      <c r="BV508" s="84"/>
      <c r="BW508" s="84"/>
      <c r="BX508" s="84"/>
      <c r="BY508" s="84"/>
      <c r="BZ508" s="84"/>
      <c r="CA508" s="84"/>
      <c r="CB508" s="84"/>
      <c r="CC508" s="84"/>
      <c r="CD508" s="84"/>
      <c r="CE508" s="84"/>
      <c r="CF508" s="84"/>
      <c r="CG508" s="84"/>
      <c r="CH508" s="84"/>
      <c r="CI508" s="84"/>
      <c r="CJ508" s="84"/>
      <c r="CK508" s="84"/>
      <c r="CL508" s="84"/>
    </row>
    <row r="509" spans="66:90" s="354" customFormat="1" x14ac:dyDescent="0.2">
      <c r="BN509" s="84"/>
      <c r="BO509" s="84"/>
      <c r="BP509" s="84"/>
      <c r="BQ509" s="84"/>
      <c r="BR509" s="84"/>
      <c r="BS509" s="84"/>
      <c r="BT509" s="84"/>
      <c r="BU509" s="84"/>
      <c r="BV509" s="84"/>
      <c r="BW509" s="84"/>
      <c r="BX509" s="84"/>
      <c r="BY509" s="84"/>
      <c r="BZ509" s="84"/>
      <c r="CA509" s="84"/>
      <c r="CB509" s="84"/>
      <c r="CC509" s="84"/>
      <c r="CD509" s="84"/>
      <c r="CE509" s="84"/>
      <c r="CF509" s="84"/>
      <c r="CG509" s="84"/>
      <c r="CH509" s="84"/>
      <c r="CI509" s="84"/>
      <c r="CJ509" s="84"/>
      <c r="CK509" s="84"/>
      <c r="CL509" s="84"/>
    </row>
    <row r="510" spans="66:90" s="354" customFormat="1" x14ac:dyDescent="0.2">
      <c r="BN510" s="84"/>
      <c r="BO510" s="84"/>
      <c r="BP510" s="84"/>
      <c r="BQ510" s="84"/>
      <c r="BR510" s="84"/>
      <c r="BS510" s="84"/>
      <c r="BT510" s="84"/>
      <c r="BU510" s="84"/>
      <c r="BV510" s="84"/>
      <c r="BW510" s="84"/>
      <c r="BX510" s="84"/>
      <c r="BY510" s="84"/>
      <c r="BZ510" s="84"/>
      <c r="CA510" s="84"/>
      <c r="CB510" s="84"/>
      <c r="CC510" s="84"/>
      <c r="CD510" s="84"/>
      <c r="CE510" s="84"/>
      <c r="CF510" s="84"/>
      <c r="CG510" s="84"/>
      <c r="CH510" s="84"/>
      <c r="CI510" s="84"/>
      <c r="CJ510" s="84"/>
      <c r="CK510" s="84"/>
      <c r="CL510" s="84"/>
    </row>
    <row r="511" spans="66:90" s="354" customFormat="1" x14ac:dyDescent="0.2">
      <c r="BN511" s="84"/>
      <c r="BO511" s="84"/>
      <c r="BP511" s="84"/>
      <c r="BQ511" s="84"/>
      <c r="BR511" s="84"/>
      <c r="BS511" s="84"/>
      <c r="BT511" s="84"/>
      <c r="BU511" s="84"/>
      <c r="BV511" s="84"/>
      <c r="BW511" s="84"/>
      <c r="BX511" s="84"/>
      <c r="BY511" s="84"/>
      <c r="BZ511" s="84"/>
      <c r="CA511" s="84"/>
      <c r="CB511" s="84"/>
      <c r="CC511" s="84"/>
      <c r="CD511" s="84"/>
      <c r="CE511" s="84"/>
      <c r="CF511" s="84"/>
      <c r="CG511" s="84"/>
      <c r="CH511" s="84"/>
      <c r="CI511" s="84"/>
      <c r="CJ511" s="84"/>
      <c r="CK511" s="84"/>
      <c r="CL511" s="84"/>
    </row>
    <row r="512" spans="66:90" s="354" customFormat="1" x14ac:dyDescent="0.2">
      <c r="BN512" s="84"/>
      <c r="BO512" s="84"/>
      <c r="BP512" s="84"/>
      <c r="BQ512" s="84"/>
      <c r="BR512" s="84"/>
      <c r="BS512" s="84"/>
      <c r="BT512" s="84"/>
      <c r="BU512" s="84"/>
      <c r="BV512" s="84"/>
      <c r="BW512" s="84"/>
      <c r="BX512" s="84"/>
      <c r="BY512" s="84"/>
      <c r="BZ512" s="84"/>
      <c r="CA512" s="84"/>
      <c r="CB512" s="84"/>
      <c r="CC512" s="84"/>
      <c r="CD512" s="84"/>
      <c r="CE512" s="84"/>
      <c r="CF512" s="84"/>
      <c r="CG512" s="84"/>
      <c r="CH512" s="84"/>
      <c r="CI512" s="84"/>
      <c r="CJ512" s="84"/>
      <c r="CK512" s="84"/>
      <c r="CL512" s="84"/>
    </row>
    <row r="513" spans="66:90" s="354" customFormat="1" x14ac:dyDescent="0.2">
      <c r="BN513" s="84"/>
      <c r="BO513" s="84"/>
      <c r="BP513" s="84"/>
      <c r="BQ513" s="84"/>
      <c r="BR513" s="84"/>
      <c r="BS513" s="84"/>
      <c r="BT513" s="84"/>
      <c r="BU513" s="84"/>
      <c r="BV513" s="84"/>
      <c r="BW513" s="84"/>
      <c r="BX513" s="84"/>
      <c r="BY513" s="84"/>
      <c r="BZ513" s="84"/>
      <c r="CA513" s="84"/>
      <c r="CB513" s="84"/>
      <c r="CC513" s="84"/>
      <c r="CD513" s="84"/>
      <c r="CE513" s="84"/>
      <c r="CF513" s="84"/>
      <c r="CG513" s="84"/>
      <c r="CH513" s="84"/>
      <c r="CI513" s="84"/>
      <c r="CJ513" s="84"/>
      <c r="CK513" s="84"/>
      <c r="CL513" s="84"/>
    </row>
    <row r="514" spans="66:90" s="354" customFormat="1" x14ac:dyDescent="0.2">
      <c r="BN514" s="84"/>
      <c r="BO514" s="84"/>
      <c r="BP514" s="84"/>
      <c r="BQ514" s="84"/>
      <c r="BR514" s="84"/>
      <c r="BS514" s="84"/>
      <c r="BT514" s="84"/>
      <c r="BU514" s="84"/>
      <c r="BV514" s="84"/>
      <c r="BW514" s="84"/>
      <c r="BX514" s="84"/>
      <c r="BY514" s="84"/>
      <c r="BZ514" s="84"/>
      <c r="CA514" s="84"/>
      <c r="CB514" s="84"/>
      <c r="CC514" s="84"/>
      <c r="CD514" s="84"/>
      <c r="CE514" s="84"/>
      <c r="CF514" s="84"/>
      <c r="CG514" s="84"/>
      <c r="CH514" s="84"/>
      <c r="CI514" s="84"/>
      <c r="CJ514" s="84"/>
      <c r="CK514" s="84"/>
      <c r="CL514" s="84"/>
    </row>
    <row r="515" spans="66:90" s="354" customFormat="1" x14ac:dyDescent="0.2">
      <c r="BN515" s="84"/>
      <c r="BO515" s="84"/>
      <c r="BP515" s="84"/>
      <c r="BQ515" s="84"/>
      <c r="BR515" s="84"/>
      <c r="BS515" s="84"/>
      <c r="BT515" s="84"/>
      <c r="BU515" s="84"/>
      <c r="BV515" s="84"/>
      <c r="BW515" s="84"/>
      <c r="BX515" s="84"/>
      <c r="BY515" s="84"/>
      <c r="BZ515" s="84"/>
      <c r="CA515" s="84"/>
      <c r="CB515" s="84"/>
      <c r="CC515" s="84"/>
      <c r="CD515" s="84"/>
      <c r="CE515" s="84"/>
      <c r="CF515" s="84"/>
      <c r="CG515" s="84"/>
      <c r="CH515" s="84"/>
      <c r="CI515" s="84"/>
      <c r="CJ515" s="84"/>
      <c r="CK515" s="84"/>
      <c r="CL515" s="84"/>
    </row>
    <row r="516" spans="66:90" s="354" customFormat="1" x14ac:dyDescent="0.2">
      <c r="BN516" s="84"/>
      <c r="BO516" s="84"/>
      <c r="BP516" s="84"/>
      <c r="BQ516" s="84"/>
      <c r="BR516" s="84"/>
      <c r="BS516" s="84"/>
      <c r="BT516" s="84"/>
      <c r="BU516" s="84"/>
      <c r="BV516" s="84"/>
      <c r="BW516" s="84"/>
      <c r="BX516" s="84"/>
      <c r="BY516" s="84"/>
      <c r="BZ516" s="84"/>
      <c r="CA516" s="84"/>
      <c r="CB516" s="84"/>
      <c r="CC516" s="84"/>
      <c r="CD516" s="84"/>
      <c r="CE516" s="84"/>
      <c r="CF516" s="84"/>
      <c r="CG516" s="84"/>
      <c r="CH516" s="84"/>
      <c r="CI516" s="84"/>
      <c r="CJ516" s="84"/>
      <c r="CK516" s="84"/>
      <c r="CL516" s="84"/>
    </row>
    <row r="517" spans="66:90" s="354" customFormat="1" x14ac:dyDescent="0.2">
      <c r="BN517" s="84"/>
      <c r="BO517" s="84"/>
      <c r="BP517" s="84"/>
      <c r="BQ517" s="84"/>
      <c r="BR517" s="84"/>
      <c r="BS517" s="84"/>
      <c r="BT517" s="84"/>
      <c r="BU517" s="84"/>
      <c r="BV517" s="84"/>
      <c r="BW517" s="84"/>
      <c r="BX517" s="84"/>
      <c r="BY517" s="84"/>
      <c r="BZ517" s="84"/>
      <c r="CA517" s="84"/>
      <c r="CB517" s="84"/>
      <c r="CC517" s="84"/>
      <c r="CD517" s="84"/>
      <c r="CE517" s="84"/>
      <c r="CF517" s="84"/>
      <c r="CG517" s="84"/>
      <c r="CH517" s="84"/>
      <c r="CI517" s="84"/>
      <c r="CJ517" s="84"/>
      <c r="CK517" s="84"/>
      <c r="CL517" s="84"/>
    </row>
    <row r="518" spans="66:90" s="354" customFormat="1" x14ac:dyDescent="0.2">
      <c r="BN518" s="84"/>
      <c r="BO518" s="84"/>
      <c r="BP518" s="84"/>
      <c r="BQ518" s="84"/>
      <c r="BR518" s="84"/>
      <c r="BS518" s="84"/>
      <c r="BT518" s="84"/>
      <c r="BU518" s="84"/>
      <c r="BV518" s="84"/>
      <c r="BW518" s="84"/>
      <c r="BX518" s="84"/>
      <c r="BY518" s="84"/>
      <c r="BZ518" s="84"/>
      <c r="CA518" s="84"/>
      <c r="CB518" s="84"/>
      <c r="CC518" s="84"/>
      <c r="CD518" s="84"/>
      <c r="CE518" s="84"/>
      <c r="CF518" s="84"/>
      <c r="CG518" s="84"/>
      <c r="CH518" s="84"/>
      <c r="CI518" s="84"/>
      <c r="CJ518" s="84"/>
      <c r="CK518" s="84"/>
      <c r="CL518" s="84"/>
    </row>
    <row r="519" spans="66:90" s="354" customFormat="1" x14ac:dyDescent="0.2">
      <c r="BN519" s="84"/>
      <c r="BO519" s="84"/>
      <c r="BP519" s="84"/>
      <c r="BQ519" s="84"/>
      <c r="BR519" s="84"/>
      <c r="BS519" s="84"/>
      <c r="BT519" s="84"/>
      <c r="BU519" s="84"/>
      <c r="BV519" s="84"/>
      <c r="BW519" s="84"/>
      <c r="BX519" s="84"/>
      <c r="BY519" s="84"/>
      <c r="BZ519" s="84"/>
      <c r="CA519" s="84"/>
      <c r="CB519" s="84"/>
      <c r="CC519" s="84"/>
      <c r="CD519" s="84"/>
      <c r="CE519" s="84"/>
      <c r="CF519" s="84"/>
      <c r="CG519" s="84"/>
      <c r="CH519" s="84"/>
      <c r="CI519" s="84"/>
      <c r="CJ519" s="84"/>
      <c r="CK519" s="84"/>
      <c r="CL519" s="84"/>
    </row>
    <row r="520" spans="66:90" s="354" customFormat="1" x14ac:dyDescent="0.2">
      <c r="BN520" s="84"/>
      <c r="BO520" s="84"/>
      <c r="BP520" s="84"/>
      <c r="BQ520" s="84"/>
      <c r="BR520" s="84"/>
      <c r="BS520" s="84"/>
      <c r="BT520" s="84"/>
      <c r="BU520" s="84"/>
      <c r="BV520" s="84"/>
      <c r="BW520" s="84"/>
      <c r="BX520" s="84"/>
      <c r="BY520" s="84"/>
      <c r="BZ520" s="84"/>
      <c r="CA520" s="84"/>
      <c r="CB520" s="84"/>
      <c r="CC520" s="84"/>
      <c r="CD520" s="84"/>
      <c r="CE520" s="84"/>
      <c r="CF520" s="84"/>
      <c r="CG520" s="84"/>
      <c r="CH520" s="84"/>
      <c r="CI520" s="84"/>
      <c r="CJ520" s="84"/>
      <c r="CK520" s="84"/>
      <c r="CL520" s="84"/>
    </row>
    <row r="521" spans="66:90" s="354" customFormat="1" x14ac:dyDescent="0.2">
      <c r="BN521" s="84"/>
      <c r="BO521" s="84"/>
      <c r="BP521" s="84"/>
      <c r="BQ521" s="84"/>
      <c r="BR521" s="84"/>
      <c r="BS521" s="84"/>
      <c r="BT521" s="84"/>
      <c r="BU521" s="84"/>
      <c r="BV521" s="84"/>
      <c r="BW521" s="84"/>
      <c r="BX521" s="84"/>
      <c r="BY521" s="84"/>
      <c r="BZ521" s="84"/>
      <c r="CA521" s="84"/>
      <c r="CB521" s="84"/>
      <c r="CC521" s="84"/>
      <c r="CD521" s="84"/>
      <c r="CE521" s="84"/>
      <c r="CF521" s="84"/>
      <c r="CG521" s="84"/>
      <c r="CH521" s="84"/>
      <c r="CI521" s="84"/>
      <c r="CJ521" s="84"/>
      <c r="CK521" s="84"/>
      <c r="CL521" s="84"/>
    </row>
    <row r="522" spans="66:90" s="354" customFormat="1" x14ac:dyDescent="0.2">
      <c r="BN522" s="84"/>
      <c r="BO522" s="84"/>
      <c r="BP522" s="84"/>
      <c r="BQ522" s="84"/>
      <c r="BR522" s="84"/>
      <c r="BS522" s="84"/>
      <c r="BT522" s="84"/>
      <c r="BU522" s="84"/>
      <c r="BV522" s="84"/>
      <c r="BW522" s="84"/>
      <c r="BX522" s="84"/>
      <c r="BY522" s="84"/>
      <c r="BZ522" s="84"/>
      <c r="CA522" s="84"/>
      <c r="CB522" s="84"/>
      <c r="CC522" s="84"/>
      <c r="CD522" s="84"/>
      <c r="CE522" s="84"/>
      <c r="CF522" s="84"/>
      <c r="CG522" s="84"/>
      <c r="CH522" s="84"/>
      <c r="CI522" s="84"/>
      <c r="CJ522" s="84"/>
      <c r="CK522" s="84"/>
      <c r="CL522" s="84"/>
    </row>
    <row r="523" spans="66:90" s="354" customFormat="1" x14ac:dyDescent="0.2">
      <c r="BN523" s="84"/>
      <c r="BO523" s="84"/>
      <c r="BP523" s="84"/>
      <c r="BQ523" s="84"/>
      <c r="BR523" s="84"/>
      <c r="BS523" s="84"/>
      <c r="BT523" s="84"/>
      <c r="BU523" s="84"/>
      <c r="BV523" s="84"/>
      <c r="BW523" s="84"/>
      <c r="BX523" s="84"/>
      <c r="BY523" s="84"/>
      <c r="BZ523" s="84"/>
      <c r="CA523" s="84"/>
      <c r="CB523" s="84"/>
      <c r="CC523" s="84"/>
      <c r="CD523" s="84"/>
      <c r="CE523" s="84"/>
      <c r="CF523" s="84"/>
      <c r="CG523" s="84"/>
      <c r="CH523" s="84"/>
      <c r="CI523" s="84"/>
      <c r="CJ523" s="84"/>
      <c r="CK523" s="84"/>
      <c r="CL523" s="84"/>
    </row>
    <row r="524" spans="66:90" s="354" customFormat="1" x14ac:dyDescent="0.2">
      <c r="BN524" s="84"/>
      <c r="BO524" s="84"/>
      <c r="BP524" s="84"/>
      <c r="BQ524" s="84"/>
      <c r="BR524" s="84"/>
      <c r="BS524" s="84"/>
      <c r="BT524" s="84"/>
      <c r="BU524" s="84"/>
      <c r="BV524" s="84"/>
      <c r="BW524" s="84"/>
      <c r="BX524" s="84"/>
      <c r="BY524" s="84"/>
      <c r="BZ524" s="84"/>
      <c r="CA524" s="84"/>
      <c r="CB524" s="84"/>
      <c r="CC524" s="84"/>
      <c r="CD524" s="84"/>
      <c r="CE524" s="84"/>
      <c r="CF524" s="84"/>
      <c r="CG524" s="84"/>
      <c r="CH524" s="84"/>
      <c r="CI524" s="84"/>
      <c r="CJ524" s="84"/>
      <c r="CK524" s="84"/>
      <c r="CL524" s="84"/>
    </row>
    <row r="525" spans="66:90" s="354" customFormat="1" x14ac:dyDescent="0.2">
      <c r="BN525" s="84"/>
      <c r="BO525" s="84"/>
      <c r="BP525" s="84"/>
      <c r="BQ525" s="84"/>
      <c r="BR525" s="84"/>
      <c r="BS525" s="84"/>
      <c r="BT525" s="84"/>
      <c r="BU525" s="84"/>
      <c r="BV525" s="84"/>
      <c r="BW525" s="84"/>
      <c r="BX525" s="84"/>
      <c r="BY525" s="84"/>
      <c r="BZ525" s="84"/>
      <c r="CA525" s="84"/>
      <c r="CB525" s="84"/>
      <c r="CC525" s="84"/>
      <c r="CD525" s="84"/>
      <c r="CE525" s="84"/>
      <c r="CF525" s="84"/>
      <c r="CG525" s="84"/>
      <c r="CH525" s="84"/>
      <c r="CI525" s="84"/>
      <c r="CJ525" s="84"/>
      <c r="CK525" s="84"/>
      <c r="CL525" s="84"/>
    </row>
    <row r="526" spans="66:90" s="354" customFormat="1" x14ac:dyDescent="0.2">
      <c r="BN526" s="84"/>
      <c r="BO526" s="84"/>
      <c r="BP526" s="84"/>
      <c r="BQ526" s="84"/>
      <c r="BR526" s="84"/>
      <c r="BS526" s="84"/>
      <c r="BT526" s="84"/>
      <c r="BU526" s="84"/>
      <c r="BV526" s="84"/>
      <c r="BW526" s="84"/>
      <c r="BX526" s="84"/>
      <c r="BY526" s="84"/>
      <c r="BZ526" s="84"/>
      <c r="CA526" s="84"/>
      <c r="CB526" s="84"/>
      <c r="CC526" s="84"/>
      <c r="CD526" s="84"/>
      <c r="CE526" s="84"/>
      <c r="CF526" s="84"/>
      <c r="CG526" s="84"/>
      <c r="CH526" s="84"/>
      <c r="CI526" s="84"/>
      <c r="CJ526" s="84"/>
      <c r="CK526" s="84"/>
      <c r="CL526" s="84"/>
    </row>
    <row r="527" spans="66:90" s="354" customFormat="1" x14ac:dyDescent="0.2">
      <c r="BN527" s="84"/>
      <c r="BO527" s="84"/>
      <c r="BP527" s="84"/>
      <c r="BQ527" s="84"/>
      <c r="BR527" s="84"/>
      <c r="BS527" s="84"/>
      <c r="BT527" s="84"/>
      <c r="BU527" s="84"/>
      <c r="BV527" s="84"/>
      <c r="BW527" s="84"/>
      <c r="BX527" s="84"/>
      <c r="BY527" s="84"/>
      <c r="BZ527" s="84"/>
      <c r="CA527" s="84"/>
      <c r="CB527" s="84"/>
      <c r="CC527" s="84"/>
      <c r="CD527" s="84"/>
      <c r="CE527" s="84"/>
      <c r="CF527" s="84"/>
      <c r="CG527" s="84"/>
      <c r="CH527" s="84"/>
      <c r="CI527" s="84"/>
      <c r="CJ527" s="84"/>
      <c r="CK527" s="84"/>
      <c r="CL527" s="84"/>
    </row>
    <row r="528" spans="66:90" s="354" customFormat="1" x14ac:dyDescent="0.2">
      <c r="BN528" s="84"/>
      <c r="BO528" s="84"/>
      <c r="BP528" s="84"/>
      <c r="BQ528" s="84"/>
      <c r="BR528" s="84"/>
      <c r="BS528" s="84"/>
      <c r="BT528" s="84"/>
      <c r="BU528" s="84"/>
      <c r="BV528" s="84"/>
      <c r="BW528" s="84"/>
      <c r="BX528" s="84"/>
      <c r="BY528" s="84"/>
      <c r="BZ528" s="84"/>
      <c r="CA528" s="84"/>
      <c r="CB528" s="84"/>
      <c r="CC528" s="84"/>
      <c r="CD528" s="84"/>
      <c r="CE528" s="84"/>
      <c r="CF528" s="84"/>
      <c r="CG528" s="84"/>
      <c r="CH528" s="84"/>
      <c r="CI528" s="84"/>
      <c r="CJ528" s="84"/>
      <c r="CK528" s="84"/>
      <c r="CL528" s="84"/>
    </row>
    <row r="529" spans="66:90" s="354" customFormat="1" x14ac:dyDescent="0.2">
      <c r="BN529" s="84"/>
      <c r="BO529" s="84"/>
      <c r="BP529" s="84"/>
      <c r="BQ529" s="84"/>
      <c r="BR529" s="84"/>
      <c r="BS529" s="84"/>
      <c r="BT529" s="84"/>
      <c r="BU529" s="84"/>
      <c r="BV529" s="84"/>
      <c r="BW529" s="84"/>
      <c r="BX529" s="84"/>
      <c r="BY529" s="84"/>
      <c r="BZ529" s="84"/>
      <c r="CA529" s="84"/>
      <c r="CB529" s="84"/>
      <c r="CC529" s="84"/>
      <c r="CD529" s="84"/>
      <c r="CE529" s="84"/>
      <c r="CF529" s="84"/>
      <c r="CG529" s="84"/>
      <c r="CH529" s="84"/>
      <c r="CI529" s="84"/>
      <c r="CJ529" s="84"/>
      <c r="CK529" s="84"/>
      <c r="CL529" s="84"/>
    </row>
    <row r="530" spans="66:90" s="354" customFormat="1" x14ac:dyDescent="0.2">
      <c r="BN530" s="84"/>
      <c r="BO530" s="84"/>
      <c r="BP530" s="84"/>
      <c r="BQ530" s="84"/>
      <c r="BR530" s="84"/>
      <c r="BS530" s="84"/>
      <c r="BT530" s="84"/>
      <c r="BU530" s="84"/>
      <c r="BV530" s="84"/>
      <c r="BW530" s="84"/>
      <c r="BX530" s="84"/>
      <c r="BY530" s="84"/>
      <c r="BZ530" s="84"/>
      <c r="CA530" s="84"/>
      <c r="CB530" s="84"/>
      <c r="CC530" s="84"/>
      <c r="CD530" s="84"/>
      <c r="CE530" s="84"/>
      <c r="CF530" s="84"/>
      <c r="CG530" s="84"/>
      <c r="CH530" s="84"/>
      <c r="CI530" s="84"/>
      <c r="CJ530" s="84"/>
      <c r="CK530" s="84"/>
      <c r="CL530" s="84"/>
    </row>
    <row r="531" spans="66:90" s="354" customFormat="1" x14ac:dyDescent="0.2">
      <c r="BN531" s="84"/>
      <c r="BO531" s="84"/>
      <c r="BP531" s="84"/>
      <c r="BQ531" s="84"/>
      <c r="BR531" s="84"/>
      <c r="BS531" s="84"/>
      <c r="BT531" s="84"/>
      <c r="BU531" s="84"/>
      <c r="BV531" s="84"/>
      <c r="BW531" s="84"/>
      <c r="BX531" s="84"/>
      <c r="BY531" s="84"/>
      <c r="BZ531" s="84"/>
      <c r="CA531" s="84"/>
      <c r="CB531" s="84"/>
      <c r="CC531" s="84"/>
      <c r="CD531" s="84"/>
      <c r="CE531" s="84"/>
      <c r="CF531" s="84"/>
      <c r="CG531" s="84"/>
      <c r="CH531" s="84"/>
      <c r="CI531" s="84"/>
      <c r="CJ531" s="84"/>
      <c r="CK531" s="84"/>
      <c r="CL531" s="84"/>
    </row>
    <row r="532" spans="66:90" s="354" customFormat="1" x14ac:dyDescent="0.2">
      <c r="BN532" s="84"/>
      <c r="BO532" s="84"/>
      <c r="BP532" s="84"/>
      <c r="BQ532" s="84"/>
      <c r="BR532" s="84"/>
      <c r="BS532" s="84"/>
      <c r="BT532" s="84"/>
      <c r="BU532" s="84"/>
      <c r="BV532" s="84"/>
      <c r="BW532" s="84"/>
      <c r="BX532" s="84"/>
      <c r="BY532" s="84"/>
      <c r="BZ532" s="84"/>
      <c r="CA532" s="84"/>
      <c r="CB532" s="84"/>
      <c r="CC532" s="84"/>
      <c r="CD532" s="84"/>
      <c r="CE532" s="84"/>
      <c r="CF532" s="84"/>
      <c r="CG532" s="84"/>
      <c r="CH532" s="84"/>
      <c r="CI532" s="84"/>
      <c r="CJ532" s="84"/>
      <c r="CK532" s="84"/>
      <c r="CL532" s="84"/>
    </row>
    <row r="533" spans="66:90" s="354" customFormat="1" x14ac:dyDescent="0.2">
      <c r="BN533" s="84"/>
      <c r="BO533" s="84"/>
      <c r="BP533" s="84"/>
      <c r="BQ533" s="84"/>
      <c r="BR533" s="84"/>
      <c r="BS533" s="84"/>
      <c r="BT533" s="84"/>
      <c r="BU533" s="84"/>
      <c r="BV533" s="84"/>
      <c r="BW533" s="84"/>
      <c r="BX533" s="84"/>
      <c r="BY533" s="84"/>
      <c r="BZ533" s="84"/>
      <c r="CA533" s="84"/>
      <c r="CB533" s="84"/>
      <c r="CC533" s="84"/>
      <c r="CD533" s="84"/>
      <c r="CE533" s="84"/>
      <c r="CF533" s="84"/>
      <c r="CG533" s="84"/>
      <c r="CH533" s="84"/>
      <c r="CI533" s="84"/>
      <c r="CJ533" s="84"/>
      <c r="CK533" s="84"/>
      <c r="CL533" s="84"/>
    </row>
    <row r="534" spans="66:90" s="354" customFormat="1" x14ac:dyDescent="0.2">
      <c r="BN534" s="84"/>
      <c r="BO534" s="84"/>
      <c r="BP534" s="84"/>
      <c r="BQ534" s="84"/>
      <c r="BR534" s="84"/>
      <c r="BS534" s="84"/>
      <c r="BT534" s="84"/>
      <c r="BU534" s="84"/>
      <c r="BV534" s="84"/>
      <c r="BW534" s="84"/>
      <c r="BX534" s="84"/>
      <c r="BY534" s="84"/>
      <c r="BZ534" s="84"/>
      <c r="CA534" s="84"/>
      <c r="CB534" s="84"/>
      <c r="CC534" s="84"/>
      <c r="CD534" s="84"/>
      <c r="CE534" s="84"/>
      <c r="CF534" s="84"/>
      <c r="CG534" s="84"/>
      <c r="CH534" s="84"/>
      <c r="CI534" s="84"/>
      <c r="CJ534" s="84"/>
      <c r="CK534" s="84"/>
      <c r="CL534" s="84"/>
    </row>
    <row r="535" spans="66:90" s="354" customFormat="1" x14ac:dyDescent="0.2">
      <c r="BN535" s="84"/>
      <c r="BO535" s="84"/>
      <c r="BP535" s="84"/>
      <c r="BQ535" s="84"/>
      <c r="BR535" s="84"/>
      <c r="BS535" s="84"/>
      <c r="BT535" s="84"/>
      <c r="BU535" s="84"/>
      <c r="BV535" s="84"/>
      <c r="BW535" s="84"/>
      <c r="BX535" s="84"/>
      <c r="BY535" s="84"/>
      <c r="BZ535" s="84"/>
      <c r="CA535" s="84"/>
      <c r="CB535" s="84"/>
      <c r="CC535" s="84"/>
      <c r="CD535" s="84"/>
      <c r="CE535" s="84"/>
      <c r="CF535" s="84"/>
      <c r="CG535" s="84"/>
      <c r="CH535" s="84"/>
      <c r="CI535" s="84"/>
      <c r="CJ535" s="84"/>
      <c r="CK535" s="84"/>
      <c r="CL535" s="84"/>
    </row>
    <row r="536" spans="66:90" s="354" customFormat="1" x14ac:dyDescent="0.2">
      <c r="BN536" s="84"/>
      <c r="BO536" s="84"/>
      <c r="BP536" s="84"/>
      <c r="BQ536" s="84"/>
      <c r="BR536" s="84"/>
      <c r="BS536" s="84"/>
      <c r="BT536" s="84"/>
      <c r="BU536" s="84"/>
      <c r="BV536" s="84"/>
      <c r="BW536" s="84"/>
      <c r="BX536" s="84"/>
      <c r="BY536" s="84"/>
      <c r="BZ536" s="84"/>
      <c r="CA536" s="84"/>
      <c r="CB536" s="84"/>
      <c r="CC536" s="84"/>
      <c r="CD536" s="84"/>
      <c r="CE536" s="84"/>
      <c r="CF536" s="84"/>
      <c r="CG536" s="84"/>
      <c r="CH536" s="84"/>
      <c r="CI536" s="84"/>
      <c r="CJ536" s="84"/>
      <c r="CK536" s="84"/>
      <c r="CL536" s="84"/>
    </row>
    <row r="537" spans="66:90" s="354" customFormat="1" x14ac:dyDescent="0.2">
      <c r="BN537" s="84"/>
      <c r="BO537" s="84"/>
      <c r="BP537" s="84"/>
      <c r="BQ537" s="84"/>
      <c r="BR537" s="84"/>
      <c r="BS537" s="84"/>
      <c r="BT537" s="84"/>
      <c r="BU537" s="84"/>
      <c r="BV537" s="84"/>
      <c r="BW537" s="84"/>
      <c r="BX537" s="84"/>
      <c r="BY537" s="84"/>
      <c r="BZ537" s="84"/>
      <c r="CA537" s="84"/>
      <c r="CB537" s="84"/>
      <c r="CC537" s="84"/>
      <c r="CD537" s="84"/>
      <c r="CE537" s="84"/>
      <c r="CF537" s="84"/>
      <c r="CG537" s="84"/>
      <c r="CH537" s="84"/>
      <c r="CI537" s="84"/>
      <c r="CJ537" s="84"/>
      <c r="CK537" s="84"/>
      <c r="CL537" s="84"/>
    </row>
    <row r="538" spans="66:90" s="354" customFormat="1" x14ac:dyDescent="0.2">
      <c r="BN538" s="84"/>
      <c r="BO538" s="84"/>
      <c r="BP538" s="84"/>
      <c r="BQ538" s="84"/>
      <c r="BR538" s="84"/>
      <c r="BS538" s="84"/>
      <c r="BT538" s="84"/>
      <c r="BU538" s="84"/>
      <c r="BV538" s="84"/>
      <c r="BW538" s="84"/>
      <c r="BX538" s="84"/>
      <c r="BY538" s="84"/>
      <c r="BZ538" s="84"/>
      <c r="CA538" s="84"/>
      <c r="CB538" s="84"/>
      <c r="CC538" s="84"/>
      <c r="CD538" s="84"/>
      <c r="CE538" s="84"/>
      <c r="CF538" s="84"/>
      <c r="CG538" s="84"/>
      <c r="CH538" s="84"/>
      <c r="CI538" s="84"/>
      <c r="CJ538" s="84"/>
      <c r="CK538" s="84"/>
      <c r="CL538" s="84"/>
    </row>
    <row r="539" spans="66:90" s="354" customFormat="1" x14ac:dyDescent="0.2">
      <c r="BN539" s="84"/>
      <c r="BO539" s="84"/>
      <c r="BP539" s="84"/>
      <c r="BQ539" s="84"/>
      <c r="BR539" s="84"/>
      <c r="BS539" s="84"/>
      <c r="BT539" s="84"/>
      <c r="BU539" s="84"/>
      <c r="BV539" s="84"/>
      <c r="BW539" s="84"/>
      <c r="BX539" s="84"/>
      <c r="BY539" s="84"/>
      <c r="BZ539" s="84"/>
      <c r="CA539" s="84"/>
      <c r="CB539" s="84"/>
      <c r="CC539" s="84"/>
      <c r="CD539" s="84"/>
      <c r="CE539" s="84"/>
      <c r="CF539" s="84"/>
      <c r="CG539" s="84"/>
      <c r="CH539" s="84"/>
      <c r="CI539" s="84"/>
      <c r="CJ539" s="84"/>
      <c r="CK539" s="84"/>
      <c r="CL539" s="84"/>
    </row>
    <row r="540" spans="66:90" s="354" customFormat="1" x14ac:dyDescent="0.2">
      <c r="BN540" s="84"/>
      <c r="BO540" s="84"/>
      <c r="BP540" s="84"/>
      <c r="BQ540" s="84"/>
      <c r="BR540" s="84"/>
      <c r="BS540" s="84"/>
      <c r="BT540" s="84"/>
      <c r="BU540" s="84"/>
      <c r="BV540" s="84"/>
      <c r="BW540" s="84"/>
      <c r="BX540" s="84"/>
      <c r="BY540" s="84"/>
      <c r="BZ540" s="84"/>
      <c r="CA540" s="84"/>
      <c r="CB540" s="84"/>
      <c r="CC540" s="84"/>
      <c r="CD540" s="84"/>
      <c r="CE540" s="84"/>
      <c r="CF540" s="84"/>
      <c r="CG540" s="84"/>
      <c r="CH540" s="84"/>
      <c r="CI540" s="84"/>
      <c r="CJ540" s="84"/>
      <c r="CK540" s="84"/>
      <c r="CL540" s="84"/>
    </row>
    <row r="541" spans="66:90" s="354" customFormat="1" x14ac:dyDescent="0.2">
      <c r="BN541" s="84"/>
      <c r="BO541" s="84"/>
      <c r="BP541" s="84"/>
      <c r="BQ541" s="84"/>
      <c r="BR541" s="84"/>
      <c r="BS541" s="84"/>
      <c r="BT541" s="84"/>
      <c r="BU541" s="84"/>
      <c r="BV541" s="84"/>
      <c r="BW541" s="84"/>
      <c r="BX541" s="84"/>
      <c r="BY541" s="84"/>
      <c r="BZ541" s="84"/>
      <c r="CA541" s="84"/>
      <c r="CB541" s="84"/>
      <c r="CC541" s="84"/>
      <c r="CD541" s="84"/>
      <c r="CE541" s="84"/>
      <c r="CF541" s="84"/>
      <c r="CG541" s="84"/>
      <c r="CH541" s="84"/>
      <c r="CI541" s="84"/>
      <c r="CJ541" s="84"/>
      <c r="CK541" s="84"/>
      <c r="CL541" s="84"/>
    </row>
    <row r="542" spans="66:90" s="354" customFormat="1" x14ac:dyDescent="0.2">
      <c r="BN542" s="84"/>
      <c r="BO542" s="84"/>
      <c r="BP542" s="84"/>
      <c r="BQ542" s="84"/>
      <c r="BR542" s="84"/>
      <c r="BS542" s="84"/>
      <c r="BT542" s="84"/>
      <c r="BU542" s="84"/>
      <c r="BV542" s="84"/>
      <c r="BW542" s="84"/>
      <c r="BX542" s="84"/>
      <c r="BY542" s="84"/>
      <c r="BZ542" s="84"/>
      <c r="CA542" s="84"/>
      <c r="CB542" s="84"/>
      <c r="CC542" s="84"/>
      <c r="CD542" s="84"/>
      <c r="CE542" s="84"/>
      <c r="CF542" s="84"/>
      <c r="CG542" s="84"/>
      <c r="CH542" s="84"/>
      <c r="CI542" s="84"/>
      <c r="CJ542" s="84"/>
      <c r="CK542" s="84"/>
      <c r="CL542" s="84"/>
    </row>
    <row r="543" spans="66:90" s="354" customFormat="1" x14ac:dyDescent="0.2">
      <c r="BN543" s="84"/>
      <c r="BO543" s="84"/>
      <c r="BP543" s="84"/>
      <c r="BQ543" s="84"/>
      <c r="BR543" s="84"/>
      <c r="BS543" s="84"/>
      <c r="BT543" s="84"/>
      <c r="BU543" s="84"/>
      <c r="BV543" s="84"/>
      <c r="BW543" s="84"/>
      <c r="BX543" s="84"/>
      <c r="BY543" s="84"/>
      <c r="BZ543" s="84"/>
      <c r="CA543" s="84"/>
      <c r="CB543" s="84"/>
      <c r="CC543" s="84"/>
      <c r="CD543" s="84"/>
      <c r="CE543" s="84"/>
      <c r="CF543" s="84"/>
      <c r="CG543" s="84"/>
      <c r="CH543" s="84"/>
      <c r="CI543" s="84"/>
      <c r="CJ543" s="84"/>
      <c r="CK543" s="84"/>
      <c r="CL543" s="84"/>
    </row>
    <row r="544" spans="66:90" s="354" customFormat="1" x14ac:dyDescent="0.2">
      <c r="BN544" s="84"/>
      <c r="BO544" s="84"/>
      <c r="BP544" s="84"/>
      <c r="BQ544" s="84"/>
      <c r="BR544" s="84"/>
      <c r="BS544" s="84"/>
      <c r="BT544" s="84"/>
      <c r="BU544" s="84"/>
      <c r="BV544" s="84"/>
      <c r="BW544" s="84"/>
      <c r="BX544" s="84"/>
      <c r="BY544" s="84"/>
      <c r="BZ544" s="84"/>
      <c r="CA544" s="84"/>
      <c r="CB544" s="84"/>
      <c r="CC544" s="84"/>
      <c r="CD544" s="84"/>
      <c r="CE544" s="84"/>
      <c r="CF544" s="84"/>
      <c r="CG544" s="84"/>
      <c r="CH544" s="84"/>
      <c r="CI544" s="84"/>
      <c r="CJ544" s="84"/>
      <c r="CK544" s="84"/>
      <c r="CL544" s="84"/>
    </row>
    <row r="545" spans="66:90" s="354" customFormat="1" x14ac:dyDescent="0.2">
      <c r="BN545" s="84"/>
      <c r="BO545" s="84"/>
      <c r="BP545" s="84"/>
      <c r="BQ545" s="84"/>
      <c r="BR545" s="84"/>
      <c r="BS545" s="84"/>
      <c r="BT545" s="84"/>
      <c r="BU545" s="84"/>
      <c r="BV545" s="84"/>
      <c r="BW545" s="84"/>
      <c r="BX545" s="84"/>
      <c r="BY545" s="84"/>
      <c r="BZ545" s="84"/>
      <c r="CA545" s="84"/>
      <c r="CB545" s="84"/>
      <c r="CC545" s="84"/>
      <c r="CD545" s="84"/>
      <c r="CE545" s="84"/>
      <c r="CF545" s="84"/>
      <c r="CG545" s="84"/>
      <c r="CH545" s="84"/>
      <c r="CI545" s="84"/>
      <c r="CJ545" s="84"/>
      <c r="CK545" s="84"/>
      <c r="CL545" s="84"/>
    </row>
    <row r="546" spans="66:90" s="354" customFormat="1" x14ac:dyDescent="0.2">
      <c r="BN546" s="84"/>
      <c r="BO546" s="84"/>
      <c r="BP546" s="84"/>
      <c r="BQ546" s="84"/>
      <c r="BR546" s="84"/>
      <c r="BS546" s="84"/>
      <c r="BT546" s="84"/>
      <c r="BU546" s="84"/>
      <c r="BV546" s="84"/>
      <c r="BW546" s="84"/>
      <c r="BX546" s="84"/>
      <c r="BY546" s="84"/>
      <c r="BZ546" s="84"/>
      <c r="CA546" s="84"/>
      <c r="CB546" s="84"/>
      <c r="CC546" s="84"/>
      <c r="CD546" s="84"/>
      <c r="CE546" s="84"/>
      <c r="CF546" s="84"/>
      <c r="CG546" s="84"/>
      <c r="CH546" s="84"/>
      <c r="CI546" s="84"/>
      <c r="CJ546" s="84"/>
      <c r="CK546" s="84"/>
      <c r="CL546" s="84"/>
    </row>
    <row r="547" spans="66:90" s="354" customFormat="1" x14ac:dyDescent="0.2">
      <c r="BN547" s="84"/>
      <c r="BO547" s="84"/>
      <c r="BP547" s="84"/>
      <c r="BQ547" s="84"/>
      <c r="BR547" s="84"/>
      <c r="BS547" s="84"/>
      <c r="BT547" s="84"/>
      <c r="BU547" s="84"/>
      <c r="BV547" s="84"/>
      <c r="BW547" s="84"/>
      <c r="BX547" s="84"/>
      <c r="BY547" s="84"/>
      <c r="BZ547" s="84"/>
      <c r="CA547" s="84"/>
      <c r="CB547" s="84"/>
      <c r="CC547" s="84"/>
      <c r="CD547" s="84"/>
      <c r="CE547" s="84"/>
      <c r="CF547" s="84"/>
      <c r="CG547" s="84"/>
      <c r="CH547" s="84"/>
      <c r="CI547" s="84"/>
      <c r="CJ547" s="84"/>
      <c r="CK547" s="84"/>
      <c r="CL547" s="84"/>
    </row>
    <row r="548" spans="66:90" s="354" customFormat="1" x14ac:dyDescent="0.2">
      <c r="BN548" s="84"/>
      <c r="BO548" s="84"/>
      <c r="BP548" s="84"/>
      <c r="BQ548" s="84"/>
      <c r="BR548" s="84"/>
      <c r="BS548" s="84"/>
      <c r="BT548" s="84"/>
      <c r="BU548" s="84"/>
      <c r="BV548" s="84"/>
      <c r="BW548" s="84"/>
      <c r="BX548" s="84"/>
      <c r="BY548" s="84"/>
      <c r="BZ548" s="84"/>
      <c r="CA548" s="84"/>
      <c r="CB548" s="84"/>
      <c r="CC548" s="84"/>
      <c r="CD548" s="84"/>
      <c r="CE548" s="84"/>
      <c r="CF548" s="84"/>
      <c r="CG548" s="84"/>
      <c r="CH548" s="84"/>
      <c r="CI548" s="84"/>
      <c r="CJ548" s="84"/>
      <c r="CK548" s="84"/>
      <c r="CL548" s="84"/>
    </row>
    <row r="549" spans="66:90" s="354" customFormat="1" x14ac:dyDescent="0.2">
      <c r="BN549" s="84"/>
      <c r="BO549" s="84"/>
      <c r="BP549" s="84"/>
      <c r="BQ549" s="84"/>
      <c r="BR549" s="84"/>
      <c r="BS549" s="84"/>
      <c r="BT549" s="84"/>
      <c r="BU549" s="84"/>
      <c r="BV549" s="84"/>
      <c r="BW549" s="84"/>
      <c r="BX549" s="84"/>
      <c r="BY549" s="84"/>
      <c r="BZ549" s="84"/>
      <c r="CA549" s="84"/>
      <c r="CB549" s="84"/>
      <c r="CC549" s="84"/>
      <c r="CD549" s="84"/>
      <c r="CE549" s="84"/>
      <c r="CF549" s="84"/>
      <c r="CG549" s="84"/>
      <c r="CH549" s="84"/>
      <c r="CI549" s="84"/>
      <c r="CJ549" s="84"/>
      <c r="CK549" s="84"/>
      <c r="CL549" s="84"/>
    </row>
    <row r="550" spans="66:90" s="354" customFormat="1" x14ac:dyDescent="0.2">
      <c r="BN550" s="84"/>
      <c r="BO550" s="84"/>
      <c r="BP550" s="84"/>
      <c r="BQ550" s="84"/>
      <c r="BR550" s="84"/>
      <c r="BS550" s="84"/>
      <c r="BT550" s="84"/>
      <c r="BU550" s="84"/>
      <c r="BV550" s="84"/>
      <c r="BW550" s="84"/>
      <c r="BX550" s="84"/>
      <c r="BY550" s="84"/>
      <c r="BZ550" s="84"/>
      <c r="CA550" s="84"/>
      <c r="CB550" s="84"/>
      <c r="CC550" s="84"/>
      <c r="CD550" s="84"/>
      <c r="CE550" s="84"/>
      <c r="CF550" s="84"/>
      <c r="CG550" s="84"/>
      <c r="CH550" s="84"/>
      <c r="CI550" s="84"/>
      <c r="CJ550" s="84"/>
      <c r="CK550" s="84"/>
      <c r="CL550" s="84"/>
    </row>
    <row r="551" spans="66:90" s="354" customFormat="1" x14ac:dyDescent="0.2">
      <c r="BN551" s="84"/>
      <c r="BO551" s="84"/>
      <c r="BP551" s="84"/>
      <c r="BQ551" s="84"/>
      <c r="BR551" s="84"/>
      <c r="BS551" s="84"/>
      <c r="BT551" s="84"/>
      <c r="BU551" s="84"/>
      <c r="BV551" s="84"/>
      <c r="BW551" s="84"/>
      <c r="BX551" s="84"/>
      <c r="BY551" s="84"/>
      <c r="BZ551" s="84"/>
      <c r="CA551" s="84"/>
      <c r="CB551" s="84"/>
      <c r="CC551" s="84"/>
      <c r="CD551" s="84"/>
      <c r="CE551" s="84"/>
      <c r="CF551" s="84"/>
      <c r="CG551" s="84"/>
      <c r="CH551" s="84"/>
      <c r="CI551" s="84"/>
      <c r="CJ551" s="84"/>
      <c r="CK551" s="84"/>
      <c r="CL551" s="84"/>
    </row>
    <row r="552" spans="66:90" s="354" customFormat="1" x14ac:dyDescent="0.2">
      <c r="BN552" s="84"/>
      <c r="BO552" s="84"/>
      <c r="BP552" s="84"/>
      <c r="BQ552" s="84"/>
      <c r="BR552" s="84"/>
      <c r="BS552" s="84"/>
      <c r="BT552" s="84"/>
      <c r="BU552" s="84"/>
      <c r="BV552" s="84"/>
      <c r="BW552" s="84"/>
      <c r="BX552" s="84"/>
      <c r="BY552" s="84"/>
      <c r="BZ552" s="84"/>
      <c r="CA552" s="84"/>
      <c r="CB552" s="84"/>
      <c r="CC552" s="84"/>
      <c r="CD552" s="84"/>
      <c r="CE552" s="84"/>
      <c r="CF552" s="84"/>
      <c r="CG552" s="84"/>
      <c r="CH552" s="84"/>
      <c r="CI552" s="84"/>
      <c r="CJ552" s="84"/>
      <c r="CK552" s="84"/>
      <c r="CL552" s="84"/>
    </row>
    <row r="553" spans="66:90" s="354" customFormat="1" x14ac:dyDescent="0.2">
      <c r="BN553" s="84"/>
      <c r="BO553" s="84"/>
      <c r="BP553" s="84"/>
      <c r="BQ553" s="84"/>
      <c r="BR553" s="84"/>
      <c r="BS553" s="84"/>
      <c r="BT553" s="84"/>
      <c r="BU553" s="84"/>
      <c r="BV553" s="84"/>
      <c r="BW553" s="84"/>
      <c r="BX553" s="84"/>
      <c r="BY553" s="84"/>
      <c r="BZ553" s="84"/>
      <c r="CA553" s="84"/>
      <c r="CB553" s="84"/>
      <c r="CC553" s="84"/>
      <c r="CD553" s="84"/>
      <c r="CE553" s="84"/>
      <c r="CF553" s="84"/>
      <c r="CG553" s="84"/>
      <c r="CH553" s="84"/>
      <c r="CI553" s="84"/>
      <c r="CJ553" s="84"/>
      <c r="CK553" s="84"/>
      <c r="CL553" s="84"/>
    </row>
    <row r="554" spans="66:90" s="354" customFormat="1" x14ac:dyDescent="0.2">
      <c r="BN554" s="84"/>
      <c r="BO554" s="84"/>
      <c r="BP554" s="84"/>
      <c r="BQ554" s="84"/>
      <c r="BR554" s="84"/>
      <c r="BS554" s="84"/>
      <c r="BT554" s="84"/>
      <c r="BU554" s="84"/>
      <c r="BV554" s="84"/>
      <c r="BW554" s="84"/>
      <c r="BX554" s="84"/>
      <c r="BY554" s="84"/>
      <c r="BZ554" s="84"/>
      <c r="CA554" s="84"/>
      <c r="CB554" s="84"/>
      <c r="CC554" s="84"/>
      <c r="CD554" s="84"/>
      <c r="CE554" s="84"/>
      <c r="CF554" s="84"/>
      <c r="CG554" s="84"/>
      <c r="CH554" s="84"/>
      <c r="CI554" s="84"/>
      <c r="CJ554" s="84"/>
      <c r="CK554" s="84"/>
      <c r="CL554" s="84"/>
    </row>
    <row r="555" spans="66:90" s="354" customFormat="1" x14ac:dyDescent="0.2">
      <c r="BN555" s="84"/>
      <c r="BO555" s="84"/>
      <c r="BP555" s="84"/>
      <c r="BQ555" s="84"/>
      <c r="BR555" s="84"/>
      <c r="BS555" s="84"/>
      <c r="BT555" s="84"/>
      <c r="BU555" s="84"/>
      <c r="BV555" s="84"/>
      <c r="BW555" s="84"/>
      <c r="BX555" s="84"/>
      <c r="BY555" s="84"/>
      <c r="BZ555" s="84"/>
      <c r="CA555" s="84"/>
      <c r="CB555" s="84"/>
      <c r="CC555" s="84"/>
      <c r="CD555" s="84"/>
      <c r="CE555" s="84"/>
      <c r="CF555" s="84"/>
      <c r="CG555" s="84"/>
      <c r="CH555" s="84"/>
      <c r="CI555" s="84"/>
      <c r="CJ555" s="84"/>
      <c r="CK555" s="84"/>
      <c r="CL555" s="84"/>
    </row>
    <row r="556" spans="66:90" s="354" customFormat="1" x14ac:dyDescent="0.2">
      <c r="BN556" s="84"/>
      <c r="BO556" s="84"/>
      <c r="BP556" s="84"/>
      <c r="BQ556" s="84"/>
      <c r="BR556" s="84"/>
      <c r="BS556" s="84"/>
      <c r="BT556" s="84"/>
      <c r="BU556" s="84"/>
      <c r="BV556" s="84"/>
      <c r="BW556" s="84"/>
      <c r="BX556" s="84"/>
      <c r="BY556" s="84"/>
      <c r="BZ556" s="84"/>
      <c r="CA556" s="84"/>
      <c r="CB556" s="84"/>
      <c r="CC556" s="84"/>
      <c r="CD556" s="84"/>
      <c r="CE556" s="84"/>
      <c r="CF556" s="84"/>
      <c r="CG556" s="84"/>
      <c r="CH556" s="84"/>
      <c r="CI556" s="84"/>
      <c r="CJ556" s="84"/>
      <c r="CK556" s="84"/>
      <c r="CL556" s="84"/>
    </row>
    <row r="557" spans="66:90" s="354" customFormat="1" x14ac:dyDescent="0.2">
      <c r="BN557" s="84"/>
      <c r="BO557" s="84"/>
      <c r="BP557" s="84"/>
      <c r="BQ557" s="84"/>
      <c r="BR557" s="84"/>
      <c r="BS557" s="84"/>
      <c r="BT557" s="84"/>
      <c r="BU557" s="84"/>
      <c r="BV557" s="84"/>
      <c r="BW557" s="84"/>
      <c r="BX557" s="84"/>
      <c r="BY557" s="84"/>
      <c r="BZ557" s="84"/>
      <c r="CA557" s="84"/>
      <c r="CB557" s="84"/>
      <c r="CC557" s="84"/>
      <c r="CD557" s="84"/>
      <c r="CE557" s="84"/>
      <c r="CF557" s="84"/>
      <c r="CG557" s="84"/>
      <c r="CH557" s="84"/>
      <c r="CI557" s="84"/>
      <c r="CJ557" s="84"/>
      <c r="CK557" s="84"/>
      <c r="CL557" s="84"/>
    </row>
    <row r="558" spans="66:90" s="354" customFormat="1" x14ac:dyDescent="0.2">
      <c r="BN558" s="84"/>
      <c r="BO558" s="84"/>
      <c r="BP558" s="84"/>
      <c r="BQ558" s="84"/>
      <c r="BR558" s="84"/>
      <c r="BS558" s="84"/>
      <c r="BT558" s="84"/>
      <c r="BU558" s="84"/>
      <c r="BV558" s="84"/>
      <c r="BW558" s="84"/>
      <c r="BX558" s="84"/>
      <c r="BY558" s="84"/>
      <c r="BZ558" s="84"/>
      <c r="CA558" s="84"/>
      <c r="CB558" s="84"/>
      <c r="CC558" s="84"/>
      <c r="CD558" s="84"/>
      <c r="CE558" s="84"/>
      <c r="CF558" s="84"/>
      <c r="CG558" s="84"/>
      <c r="CH558" s="84"/>
      <c r="CI558" s="84"/>
      <c r="CJ558" s="84"/>
      <c r="CK558" s="84"/>
      <c r="CL558" s="84"/>
    </row>
    <row r="559" spans="66:90" s="354" customFormat="1" x14ac:dyDescent="0.2">
      <c r="BN559" s="84"/>
      <c r="BO559" s="84"/>
      <c r="BP559" s="84"/>
      <c r="BQ559" s="84"/>
      <c r="BR559" s="84"/>
      <c r="BS559" s="84"/>
      <c r="BT559" s="84"/>
      <c r="BU559" s="84"/>
      <c r="BV559" s="84"/>
      <c r="BW559" s="84"/>
      <c r="BX559" s="84"/>
      <c r="BY559" s="84"/>
      <c r="BZ559" s="84"/>
      <c r="CA559" s="84"/>
      <c r="CB559" s="84"/>
      <c r="CC559" s="84"/>
      <c r="CD559" s="84"/>
      <c r="CE559" s="84"/>
      <c r="CF559" s="84"/>
      <c r="CG559" s="84"/>
      <c r="CH559" s="84"/>
      <c r="CI559" s="84"/>
      <c r="CJ559" s="84"/>
      <c r="CK559" s="84"/>
      <c r="CL559" s="84"/>
    </row>
    <row r="560" spans="66:90" s="354" customFormat="1" x14ac:dyDescent="0.2">
      <c r="BN560" s="84"/>
      <c r="BO560" s="84"/>
      <c r="BP560" s="84"/>
      <c r="BQ560" s="84"/>
      <c r="BR560" s="84"/>
      <c r="BS560" s="84"/>
      <c r="BT560" s="84"/>
      <c r="BU560" s="84"/>
      <c r="BV560" s="84"/>
      <c r="BW560" s="84"/>
      <c r="BX560" s="84"/>
      <c r="BY560" s="84"/>
      <c r="BZ560" s="84"/>
      <c r="CA560" s="84"/>
      <c r="CB560" s="84"/>
      <c r="CC560" s="84"/>
      <c r="CD560" s="84"/>
      <c r="CE560" s="84"/>
      <c r="CF560" s="84"/>
      <c r="CG560" s="84"/>
      <c r="CH560" s="84"/>
      <c r="CI560" s="84"/>
      <c r="CJ560" s="84"/>
      <c r="CK560" s="84"/>
      <c r="CL560" s="84"/>
    </row>
    <row r="561" spans="66:90" s="354" customFormat="1" x14ac:dyDescent="0.2">
      <c r="BN561" s="84"/>
      <c r="BO561" s="84"/>
      <c r="BP561" s="84"/>
      <c r="BQ561" s="84"/>
      <c r="BR561" s="84"/>
      <c r="BS561" s="84"/>
      <c r="BT561" s="84"/>
      <c r="BU561" s="84"/>
      <c r="BV561" s="84"/>
      <c r="BW561" s="84"/>
      <c r="BX561" s="84"/>
      <c r="BY561" s="84"/>
      <c r="BZ561" s="84"/>
      <c r="CA561" s="84"/>
      <c r="CB561" s="84"/>
      <c r="CC561" s="84"/>
      <c r="CD561" s="84"/>
      <c r="CE561" s="84"/>
      <c r="CF561" s="84"/>
      <c r="CG561" s="84"/>
      <c r="CH561" s="84"/>
      <c r="CI561" s="84"/>
      <c r="CJ561" s="84"/>
      <c r="CK561" s="84"/>
      <c r="CL561" s="84"/>
    </row>
    <row r="562" spans="66:90" s="354" customFormat="1" x14ac:dyDescent="0.2">
      <c r="BN562" s="84"/>
      <c r="BO562" s="84"/>
      <c r="BP562" s="84"/>
      <c r="BQ562" s="84"/>
      <c r="BR562" s="84"/>
      <c r="BS562" s="84"/>
      <c r="BT562" s="84"/>
      <c r="BU562" s="84"/>
      <c r="BV562" s="84"/>
      <c r="BW562" s="84"/>
      <c r="BX562" s="84"/>
      <c r="BY562" s="84"/>
      <c r="BZ562" s="84"/>
      <c r="CA562" s="84"/>
      <c r="CB562" s="84"/>
      <c r="CC562" s="84"/>
      <c r="CD562" s="84"/>
      <c r="CE562" s="84"/>
      <c r="CF562" s="84"/>
      <c r="CG562" s="84"/>
      <c r="CH562" s="84"/>
      <c r="CI562" s="84"/>
      <c r="CJ562" s="84"/>
      <c r="CK562" s="84"/>
      <c r="CL562" s="84"/>
    </row>
    <row r="563" spans="66:90" s="354" customFormat="1" x14ac:dyDescent="0.2">
      <c r="BN563" s="84"/>
      <c r="BO563" s="84"/>
      <c r="BP563" s="84"/>
      <c r="BQ563" s="84"/>
      <c r="BR563" s="84"/>
      <c r="BS563" s="84"/>
      <c r="BT563" s="84"/>
      <c r="BU563" s="84"/>
      <c r="BV563" s="84"/>
      <c r="BW563" s="84"/>
      <c r="BX563" s="84"/>
      <c r="BY563" s="84"/>
      <c r="BZ563" s="84"/>
      <c r="CA563" s="84"/>
      <c r="CB563" s="84"/>
      <c r="CC563" s="84"/>
      <c r="CD563" s="84"/>
      <c r="CE563" s="84"/>
      <c r="CF563" s="84"/>
      <c r="CG563" s="84"/>
      <c r="CH563" s="84"/>
      <c r="CI563" s="84"/>
      <c r="CJ563" s="84"/>
      <c r="CK563" s="84"/>
      <c r="CL563" s="84"/>
    </row>
    <row r="564" spans="66:90" s="354" customFormat="1" x14ac:dyDescent="0.2">
      <c r="BN564" s="84"/>
      <c r="BO564" s="84"/>
      <c r="BP564" s="84"/>
      <c r="BQ564" s="84"/>
      <c r="BR564" s="84"/>
      <c r="BS564" s="84"/>
      <c r="BT564" s="84"/>
      <c r="BU564" s="84"/>
      <c r="BV564" s="84"/>
      <c r="BW564" s="84"/>
      <c r="BX564" s="84"/>
      <c r="BY564" s="84"/>
      <c r="BZ564" s="84"/>
      <c r="CA564" s="84"/>
      <c r="CB564" s="84"/>
      <c r="CC564" s="84"/>
      <c r="CD564" s="84"/>
      <c r="CE564" s="84"/>
      <c r="CF564" s="84"/>
      <c r="CG564" s="84"/>
      <c r="CH564" s="84"/>
      <c r="CI564" s="84"/>
      <c r="CJ564" s="84"/>
      <c r="CK564" s="84"/>
      <c r="CL564" s="84"/>
    </row>
    <row r="565" spans="66:90" s="354" customFormat="1" x14ac:dyDescent="0.2">
      <c r="BN565" s="84"/>
      <c r="BO565" s="84"/>
      <c r="BP565" s="84"/>
      <c r="BQ565" s="84"/>
      <c r="BR565" s="84"/>
      <c r="BS565" s="84"/>
      <c r="BT565" s="84"/>
      <c r="BU565" s="84"/>
      <c r="BV565" s="84"/>
      <c r="BW565" s="84"/>
      <c r="BX565" s="84"/>
      <c r="BY565" s="84"/>
      <c r="BZ565" s="84"/>
      <c r="CA565" s="84"/>
      <c r="CB565" s="84"/>
      <c r="CC565" s="84"/>
      <c r="CD565" s="84"/>
      <c r="CE565" s="84"/>
      <c r="CF565" s="84"/>
      <c r="CG565" s="84"/>
      <c r="CH565" s="84"/>
      <c r="CI565" s="84"/>
      <c r="CJ565" s="84"/>
      <c r="CK565" s="84"/>
      <c r="CL565" s="84"/>
    </row>
    <row r="566" spans="66:90" s="354" customFormat="1" x14ac:dyDescent="0.2">
      <c r="BN566" s="84"/>
      <c r="BO566" s="84"/>
      <c r="BP566" s="84"/>
      <c r="BQ566" s="84"/>
      <c r="BR566" s="84"/>
      <c r="BS566" s="84"/>
      <c r="BT566" s="84"/>
      <c r="BU566" s="84"/>
      <c r="BV566" s="84"/>
      <c r="BW566" s="84"/>
      <c r="BX566" s="84"/>
      <c r="BY566" s="84"/>
      <c r="BZ566" s="84"/>
      <c r="CA566" s="84"/>
      <c r="CB566" s="84"/>
      <c r="CC566" s="84"/>
      <c r="CD566" s="84"/>
      <c r="CE566" s="84"/>
      <c r="CF566" s="84"/>
      <c r="CG566" s="84"/>
      <c r="CH566" s="84"/>
      <c r="CI566" s="84"/>
      <c r="CJ566" s="84"/>
      <c r="CK566" s="84"/>
      <c r="CL566" s="84"/>
    </row>
    <row r="567" spans="66:90" s="354" customFormat="1" x14ac:dyDescent="0.2">
      <c r="BN567" s="84"/>
      <c r="BO567" s="84"/>
      <c r="BP567" s="84"/>
      <c r="BQ567" s="84"/>
      <c r="BR567" s="84"/>
      <c r="BS567" s="84"/>
      <c r="BT567" s="84"/>
      <c r="BU567" s="84"/>
      <c r="BV567" s="84"/>
      <c r="BW567" s="84"/>
      <c r="BX567" s="84"/>
      <c r="BY567" s="84"/>
      <c r="BZ567" s="84"/>
      <c r="CA567" s="84"/>
      <c r="CB567" s="84"/>
      <c r="CC567" s="84"/>
      <c r="CD567" s="84"/>
      <c r="CE567" s="84"/>
      <c r="CF567" s="84"/>
      <c r="CG567" s="84"/>
      <c r="CH567" s="84"/>
      <c r="CI567" s="84"/>
      <c r="CJ567" s="84"/>
      <c r="CK567" s="84"/>
      <c r="CL567" s="84"/>
    </row>
    <row r="568" spans="66:90" s="354" customFormat="1" x14ac:dyDescent="0.2">
      <c r="BN568" s="84"/>
      <c r="BO568" s="84"/>
      <c r="BP568" s="84"/>
      <c r="BQ568" s="84"/>
      <c r="BR568" s="84"/>
      <c r="BS568" s="84"/>
      <c r="BT568" s="84"/>
      <c r="BU568" s="84"/>
      <c r="BV568" s="84"/>
      <c r="BW568" s="84"/>
      <c r="BX568" s="84"/>
      <c r="BY568" s="84"/>
      <c r="BZ568" s="84"/>
      <c r="CA568" s="84"/>
      <c r="CB568" s="84"/>
      <c r="CC568" s="84"/>
      <c r="CD568" s="84"/>
      <c r="CE568" s="84"/>
      <c r="CF568" s="84"/>
      <c r="CG568" s="84"/>
      <c r="CH568" s="84"/>
      <c r="CI568" s="84"/>
      <c r="CJ568" s="84"/>
      <c r="CK568" s="84"/>
      <c r="CL568" s="84"/>
    </row>
    <row r="569" spans="66:90" s="354" customFormat="1" x14ac:dyDescent="0.2">
      <c r="BN569" s="84"/>
      <c r="BO569" s="84"/>
      <c r="BP569" s="84"/>
      <c r="BQ569" s="84"/>
      <c r="BR569" s="84"/>
      <c r="BS569" s="84"/>
      <c r="BT569" s="84"/>
      <c r="BU569" s="84"/>
      <c r="BV569" s="84"/>
      <c r="BW569" s="84"/>
      <c r="BX569" s="84"/>
      <c r="BY569" s="84"/>
      <c r="BZ569" s="84"/>
      <c r="CA569" s="84"/>
      <c r="CB569" s="84"/>
      <c r="CC569" s="84"/>
      <c r="CD569" s="84"/>
      <c r="CE569" s="84"/>
      <c r="CF569" s="84"/>
      <c r="CG569" s="84"/>
      <c r="CH569" s="84"/>
      <c r="CI569" s="84"/>
      <c r="CJ569" s="84"/>
      <c r="CK569" s="84"/>
      <c r="CL569" s="84"/>
    </row>
    <row r="570" spans="66:90" s="354" customFormat="1" x14ac:dyDescent="0.2">
      <c r="BN570" s="84"/>
      <c r="BO570" s="84"/>
      <c r="BP570" s="84"/>
      <c r="BQ570" s="84"/>
      <c r="BR570" s="84"/>
      <c r="BS570" s="84"/>
      <c r="BT570" s="84"/>
      <c r="BU570" s="84"/>
      <c r="BV570" s="84"/>
      <c r="BW570" s="84"/>
      <c r="BX570" s="84"/>
      <c r="BY570" s="84"/>
      <c r="BZ570" s="84"/>
      <c r="CA570" s="84"/>
      <c r="CB570" s="84"/>
      <c r="CC570" s="84"/>
      <c r="CD570" s="84"/>
      <c r="CE570" s="84"/>
      <c r="CF570" s="84"/>
      <c r="CG570" s="84"/>
      <c r="CH570" s="84"/>
      <c r="CI570" s="84"/>
      <c r="CJ570" s="84"/>
      <c r="CK570" s="84"/>
      <c r="CL570" s="84"/>
    </row>
    <row r="571" spans="66:90" s="354" customFormat="1" x14ac:dyDescent="0.2">
      <c r="BN571" s="84"/>
      <c r="BO571" s="84"/>
      <c r="BP571" s="84"/>
      <c r="BQ571" s="84"/>
      <c r="BR571" s="84"/>
      <c r="BS571" s="84"/>
      <c r="BT571" s="84"/>
      <c r="BU571" s="84"/>
      <c r="BV571" s="84"/>
      <c r="BW571" s="84"/>
      <c r="BX571" s="84"/>
      <c r="BY571" s="84"/>
      <c r="BZ571" s="84"/>
      <c r="CA571" s="84"/>
      <c r="CB571" s="84"/>
      <c r="CC571" s="84"/>
      <c r="CD571" s="84"/>
      <c r="CE571" s="84"/>
      <c r="CF571" s="84"/>
      <c r="CG571" s="84"/>
      <c r="CH571" s="84"/>
      <c r="CI571" s="84"/>
      <c r="CJ571" s="84"/>
      <c r="CK571" s="84"/>
      <c r="CL571" s="84"/>
    </row>
    <row r="572" spans="66:90" s="354" customFormat="1" x14ac:dyDescent="0.2">
      <c r="BN572" s="84"/>
      <c r="BO572" s="84"/>
      <c r="BP572" s="84"/>
      <c r="BQ572" s="84"/>
      <c r="BR572" s="84"/>
      <c r="BS572" s="84"/>
      <c r="BT572" s="84"/>
      <c r="BU572" s="84"/>
      <c r="BV572" s="84"/>
      <c r="BW572" s="84"/>
      <c r="BX572" s="84"/>
      <c r="BY572" s="84"/>
      <c r="BZ572" s="84"/>
      <c r="CA572" s="84"/>
      <c r="CB572" s="84"/>
      <c r="CC572" s="84"/>
      <c r="CD572" s="84"/>
      <c r="CE572" s="84"/>
      <c r="CF572" s="84"/>
      <c r="CG572" s="84"/>
      <c r="CH572" s="84"/>
      <c r="CI572" s="84"/>
      <c r="CJ572" s="84"/>
      <c r="CK572" s="84"/>
      <c r="CL572" s="84"/>
    </row>
    <row r="573" spans="66:90" s="354" customFormat="1" x14ac:dyDescent="0.2">
      <c r="BN573" s="84"/>
      <c r="BO573" s="84"/>
      <c r="BP573" s="84"/>
      <c r="BQ573" s="84"/>
      <c r="BR573" s="84"/>
      <c r="BS573" s="84"/>
      <c r="BT573" s="84"/>
      <c r="BU573" s="84"/>
      <c r="BV573" s="84"/>
      <c r="BW573" s="84"/>
      <c r="BX573" s="84"/>
      <c r="BY573" s="84"/>
      <c r="BZ573" s="84"/>
      <c r="CA573" s="84"/>
      <c r="CB573" s="84"/>
      <c r="CC573" s="84"/>
      <c r="CD573" s="84"/>
      <c r="CE573" s="84"/>
      <c r="CF573" s="84"/>
      <c r="CG573" s="84"/>
      <c r="CH573" s="84"/>
      <c r="CI573" s="84"/>
      <c r="CJ573" s="84"/>
      <c r="CK573" s="84"/>
      <c r="CL573" s="84"/>
    </row>
    <row r="574" spans="66:90" s="354" customFormat="1" x14ac:dyDescent="0.2">
      <c r="BN574" s="84"/>
      <c r="BO574" s="84"/>
      <c r="BP574" s="84"/>
      <c r="BQ574" s="84"/>
      <c r="BR574" s="84"/>
      <c r="BS574" s="84"/>
      <c r="BT574" s="84"/>
      <c r="BU574" s="84"/>
      <c r="BV574" s="84"/>
      <c r="BW574" s="84"/>
      <c r="BX574" s="84"/>
      <c r="BY574" s="84"/>
      <c r="BZ574" s="84"/>
      <c r="CA574" s="84"/>
      <c r="CB574" s="84"/>
      <c r="CC574" s="84"/>
      <c r="CD574" s="84"/>
      <c r="CE574" s="84"/>
      <c r="CF574" s="84"/>
      <c r="CG574" s="84"/>
      <c r="CH574" s="84"/>
      <c r="CI574" s="84"/>
      <c r="CJ574" s="84"/>
      <c r="CK574" s="84"/>
      <c r="CL574" s="84"/>
    </row>
    <row r="575" spans="66:90" s="354" customFormat="1" x14ac:dyDescent="0.2">
      <c r="BN575" s="84"/>
      <c r="BO575" s="84"/>
      <c r="BP575" s="84"/>
      <c r="BQ575" s="84"/>
      <c r="BR575" s="84"/>
      <c r="BS575" s="84"/>
      <c r="BT575" s="84"/>
      <c r="BU575" s="84"/>
      <c r="BV575" s="84"/>
      <c r="BW575" s="84"/>
      <c r="BX575" s="84"/>
      <c r="BY575" s="84"/>
      <c r="BZ575" s="84"/>
      <c r="CA575" s="84"/>
      <c r="CB575" s="84"/>
      <c r="CC575" s="84"/>
      <c r="CD575" s="84"/>
      <c r="CE575" s="84"/>
      <c r="CF575" s="84"/>
      <c r="CG575" s="84"/>
      <c r="CH575" s="84"/>
      <c r="CI575" s="84"/>
      <c r="CJ575" s="84"/>
      <c r="CK575" s="84"/>
      <c r="CL575" s="84"/>
    </row>
    <row r="576" spans="66:90" s="354" customFormat="1" x14ac:dyDescent="0.2">
      <c r="BN576" s="84"/>
      <c r="BO576" s="84"/>
      <c r="BP576" s="84"/>
      <c r="BQ576" s="84"/>
      <c r="BR576" s="84"/>
      <c r="BS576" s="84"/>
      <c r="BT576" s="84"/>
      <c r="BU576" s="84"/>
      <c r="BV576" s="84"/>
      <c r="BW576" s="84"/>
      <c r="BX576" s="84"/>
      <c r="BY576" s="84"/>
      <c r="BZ576" s="84"/>
      <c r="CA576" s="84"/>
      <c r="CB576" s="84"/>
      <c r="CC576" s="84"/>
      <c r="CD576" s="84"/>
      <c r="CE576" s="84"/>
      <c r="CF576" s="84"/>
      <c r="CG576" s="84"/>
      <c r="CH576" s="84"/>
      <c r="CI576" s="84"/>
      <c r="CJ576" s="84"/>
      <c r="CK576" s="84"/>
      <c r="CL576" s="84"/>
    </row>
    <row r="577" spans="66:90" s="354" customFormat="1" x14ac:dyDescent="0.2">
      <c r="BN577" s="84"/>
      <c r="BO577" s="84"/>
      <c r="BP577" s="84"/>
      <c r="BQ577" s="84"/>
      <c r="BR577" s="84"/>
      <c r="BS577" s="84"/>
      <c r="BT577" s="84"/>
      <c r="BU577" s="84"/>
      <c r="BV577" s="84"/>
      <c r="BW577" s="84"/>
      <c r="BX577" s="84"/>
      <c r="BY577" s="84"/>
      <c r="BZ577" s="84"/>
      <c r="CA577" s="84"/>
      <c r="CB577" s="84"/>
      <c r="CC577" s="84"/>
      <c r="CD577" s="84"/>
      <c r="CE577" s="84"/>
      <c r="CF577" s="84"/>
      <c r="CG577" s="84"/>
      <c r="CH577" s="84"/>
      <c r="CI577" s="84"/>
      <c r="CJ577" s="84"/>
      <c r="CK577" s="84"/>
      <c r="CL577" s="84"/>
    </row>
    <row r="578" spans="66:90" s="354" customFormat="1" x14ac:dyDescent="0.2">
      <c r="BN578" s="84"/>
      <c r="BO578" s="84"/>
      <c r="BP578" s="84"/>
      <c r="BQ578" s="84"/>
      <c r="BR578" s="84"/>
      <c r="BS578" s="84"/>
      <c r="BT578" s="84"/>
      <c r="BU578" s="84"/>
      <c r="BV578" s="84"/>
      <c r="BW578" s="84"/>
      <c r="BX578" s="84"/>
      <c r="BY578" s="84"/>
      <c r="BZ578" s="84"/>
      <c r="CA578" s="84"/>
      <c r="CB578" s="84"/>
      <c r="CC578" s="84"/>
      <c r="CD578" s="84"/>
      <c r="CE578" s="84"/>
      <c r="CF578" s="84"/>
      <c r="CG578" s="84"/>
      <c r="CH578" s="84"/>
      <c r="CI578" s="84"/>
      <c r="CJ578" s="84"/>
      <c r="CK578" s="84"/>
      <c r="CL578" s="84"/>
    </row>
    <row r="579" spans="66:90" s="354" customFormat="1" x14ac:dyDescent="0.2">
      <c r="BN579" s="84"/>
      <c r="BO579" s="84"/>
      <c r="BP579" s="84"/>
      <c r="BQ579" s="84"/>
      <c r="BR579" s="84"/>
      <c r="BS579" s="84"/>
      <c r="BT579" s="84"/>
      <c r="BU579" s="84"/>
      <c r="BV579" s="84"/>
      <c r="BW579" s="84"/>
      <c r="BX579" s="84"/>
      <c r="BY579" s="84"/>
      <c r="BZ579" s="84"/>
      <c r="CA579" s="84"/>
      <c r="CB579" s="84"/>
      <c r="CC579" s="84"/>
      <c r="CD579" s="84"/>
      <c r="CE579" s="84"/>
      <c r="CF579" s="84"/>
      <c r="CG579" s="84"/>
      <c r="CH579" s="84"/>
      <c r="CI579" s="84"/>
      <c r="CJ579" s="84"/>
      <c r="CK579" s="84"/>
      <c r="CL579" s="84"/>
    </row>
    <row r="580" spans="66:90" s="354" customFormat="1" x14ac:dyDescent="0.2">
      <c r="BN580" s="84"/>
      <c r="BO580" s="84"/>
      <c r="BP580" s="84"/>
      <c r="BQ580" s="84"/>
      <c r="BR580" s="84"/>
      <c r="BS580" s="84"/>
      <c r="BT580" s="84"/>
      <c r="BU580" s="84"/>
      <c r="BV580" s="84"/>
      <c r="BW580" s="84"/>
      <c r="BX580" s="84"/>
      <c r="BY580" s="84"/>
      <c r="BZ580" s="84"/>
      <c r="CA580" s="84"/>
      <c r="CB580" s="84"/>
      <c r="CC580" s="84"/>
      <c r="CD580" s="84"/>
      <c r="CE580" s="84"/>
      <c r="CF580" s="84"/>
      <c r="CG580" s="84"/>
      <c r="CH580" s="84"/>
      <c r="CI580" s="84"/>
      <c r="CJ580" s="84"/>
      <c r="CK580" s="84"/>
      <c r="CL580" s="84"/>
    </row>
    <row r="581" spans="66:90" s="354" customFormat="1" x14ac:dyDescent="0.2">
      <c r="BN581" s="84"/>
      <c r="BO581" s="84"/>
      <c r="BP581" s="84"/>
      <c r="BQ581" s="84"/>
      <c r="BR581" s="84"/>
      <c r="BS581" s="84"/>
      <c r="BT581" s="84"/>
      <c r="BU581" s="84"/>
      <c r="BV581" s="84"/>
      <c r="BW581" s="84"/>
      <c r="BX581" s="84"/>
      <c r="BY581" s="84"/>
      <c r="BZ581" s="84"/>
      <c r="CA581" s="84"/>
      <c r="CB581" s="84"/>
      <c r="CC581" s="84"/>
      <c r="CD581" s="84"/>
      <c r="CE581" s="84"/>
      <c r="CF581" s="84"/>
      <c r="CG581" s="84"/>
      <c r="CH581" s="84"/>
      <c r="CI581" s="84"/>
      <c r="CJ581" s="84"/>
      <c r="CK581" s="84"/>
      <c r="CL581" s="84"/>
    </row>
    <row r="582" spans="66:90" s="354" customFormat="1" x14ac:dyDescent="0.2">
      <c r="BN582" s="84"/>
      <c r="BO582" s="84"/>
      <c r="BP582" s="84"/>
      <c r="BQ582" s="84"/>
      <c r="BR582" s="84"/>
      <c r="BS582" s="84"/>
      <c r="BT582" s="84"/>
      <c r="BU582" s="84"/>
      <c r="BV582" s="84"/>
      <c r="BW582" s="84"/>
      <c r="BX582" s="84"/>
      <c r="BY582" s="84"/>
      <c r="BZ582" s="84"/>
      <c r="CA582" s="84"/>
      <c r="CB582" s="84"/>
      <c r="CC582" s="84"/>
      <c r="CD582" s="84"/>
      <c r="CE582" s="84"/>
      <c r="CF582" s="84"/>
      <c r="CG582" s="84"/>
      <c r="CH582" s="84"/>
      <c r="CI582" s="84"/>
      <c r="CJ582" s="84"/>
      <c r="CK582" s="84"/>
      <c r="CL582" s="84"/>
    </row>
    <row r="583" spans="66:90" s="354" customFormat="1" x14ac:dyDescent="0.2">
      <c r="BN583" s="84"/>
      <c r="BO583" s="84"/>
      <c r="BP583" s="84"/>
      <c r="BQ583" s="84"/>
      <c r="BR583" s="84"/>
      <c r="BS583" s="84"/>
      <c r="BT583" s="84"/>
      <c r="BU583" s="84"/>
      <c r="BV583" s="84"/>
      <c r="BW583" s="84"/>
      <c r="BX583" s="84"/>
      <c r="BY583" s="84"/>
      <c r="BZ583" s="84"/>
      <c r="CA583" s="84"/>
      <c r="CB583" s="84"/>
      <c r="CC583" s="84"/>
      <c r="CD583" s="84"/>
      <c r="CE583" s="84"/>
      <c r="CF583" s="84"/>
      <c r="CG583" s="84"/>
      <c r="CH583" s="84"/>
      <c r="CI583" s="84"/>
      <c r="CJ583" s="84"/>
      <c r="CK583" s="84"/>
      <c r="CL583" s="84"/>
    </row>
    <row r="584" spans="66:90" s="354" customFormat="1" x14ac:dyDescent="0.2">
      <c r="BN584" s="84"/>
      <c r="BO584" s="84"/>
      <c r="BP584" s="84"/>
      <c r="BQ584" s="84"/>
      <c r="BR584" s="84"/>
      <c r="BS584" s="84"/>
      <c r="BT584" s="84"/>
      <c r="BU584" s="84"/>
      <c r="BV584" s="84"/>
      <c r="BW584" s="84"/>
      <c r="BX584" s="84"/>
      <c r="BY584" s="84"/>
      <c r="BZ584" s="84"/>
      <c r="CA584" s="84"/>
      <c r="CB584" s="84"/>
      <c r="CC584" s="84"/>
      <c r="CD584" s="84"/>
      <c r="CE584" s="84"/>
      <c r="CF584" s="84"/>
      <c r="CG584" s="84"/>
      <c r="CH584" s="84"/>
      <c r="CI584" s="84"/>
      <c r="CJ584" s="84"/>
      <c r="CK584" s="84"/>
      <c r="CL584" s="84"/>
    </row>
    <row r="585" spans="66:90" s="354" customFormat="1" x14ac:dyDescent="0.2">
      <c r="BN585" s="84"/>
      <c r="BO585" s="84"/>
      <c r="BP585" s="84"/>
      <c r="BQ585" s="84"/>
      <c r="BR585" s="84"/>
      <c r="BS585" s="84"/>
      <c r="BT585" s="84"/>
      <c r="BU585" s="84"/>
      <c r="BV585" s="84"/>
      <c r="BW585" s="84"/>
      <c r="BX585" s="84"/>
      <c r="BY585" s="84"/>
      <c r="BZ585" s="84"/>
      <c r="CA585" s="84"/>
      <c r="CB585" s="84"/>
      <c r="CC585" s="84"/>
      <c r="CD585" s="84"/>
      <c r="CE585" s="84"/>
      <c r="CF585" s="84"/>
      <c r="CG585" s="84"/>
      <c r="CH585" s="84"/>
      <c r="CI585" s="84"/>
      <c r="CJ585" s="84"/>
      <c r="CK585" s="84"/>
      <c r="CL585" s="84"/>
    </row>
    <row r="586" spans="66:90" s="354" customFormat="1" x14ac:dyDescent="0.2">
      <c r="BN586" s="84"/>
      <c r="BO586" s="84"/>
      <c r="BP586" s="84"/>
      <c r="BQ586" s="84"/>
      <c r="BR586" s="84"/>
      <c r="BS586" s="84"/>
      <c r="BT586" s="84"/>
      <c r="BU586" s="84"/>
      <c r="BV586" s="84"/>
      <c r="BW586" s="84"/>
      <c r="BX586" s="84"/>
      <c r="BY586" s="84"/>
      <c r="BZ586" s="84"/>
      <c r="CA586" s="84"/>
      <c r="CB586" s="84"/>
      <c r="CC586" s="84"/>
      <c r="CD586" s="84"/>
      <c r="CE586" s="84"/>
      <c r="CF586" s="84"/>
      <c r="CG586" s="84"/>
      <c r="CH586" s="84"/>
      <c r="CI586" s="84"/>
      <c r="CJ586" s="84"/>
      <c r="CK586" s="84"/>
      <c r="CL586" s="84"/>
    </row>
    <row r="587" spans="66:90" s="354" customFormat="1" x14ac:dyDescent="0.2">
      <c r="BN587" s="84"/>
      <c r="BO587" s="84"/>
      <c r="BP587" s="84"/>
      <c r="BQ587" s="84"/>
      <c r="BR587" s="84"/>
      <c r="BS587" s="84"/>
      <c r="BT587" s="84"/>
      <c r="BU587" s="84"/>
      <c r="BV587" s="84"/>
      <c r="BW587" s="84"/>
      <c r="BX587" s="84"/>
      <c r="BY587" s="84"/>
      <c r="BZ587" s="84"/>
      <c r="CA587" s="84"/>
      <c r="CB587" s="84"/>
      <c r="CC587" s="84"/>
      <c r="CD587" s="84"/>
      <c r="CE587" s="84"/>
      <c r="CF587" s="84"/>
      <c r="CG587" s="84"/>
      <c r="CH587" s="84"/>
      <c r="CI587" s="84"/>
      <c r="CJ587" s="84"/>
      <c r="CK587" s="84"/>
      <c r="CL587" s="84"/>
    </row>
    <row r="588" spans="66:90" s="354" customFormat="1" x14ac:dyDescent="0.2">
      <c r="BN588" s="84"/>
      <c r="BO588" s="84"/>
      <c r="BP588" s="84"/>
      <c r="BQ588" s="84"/>
      <c r="BR588" s="84"/>
      <c r="BS588" s="84"/>
      <c r="BT588" s="84"/>
      <c r="BU588" s="84"/>
      <c r="BV588" s="84"/>
      <c r="BW588" s="84"/>
      <c r="BX588" s="84"/>
      <c r="BY588" s="84"/>
      <c r="BZ588" s="84"/>
      <c r="CA588" s="84"/>
      <c r="CB588" s="84"/>
      <c r="CC588" s="84"/>
      <c r="CD588" s="84"/>
      <c r="CE588" s="84"/>
      <c r="CF588" s="84"/>
      <c r="CG588" s="84"/>
      <c r="CH588" s="84"/>
      <c r="CI588" s="84"/>
      <c r="CJ588" s="84"/>
      <c r="CK588" s="84"/>
      <c r="CL588" s="84"/>
    </row>
    <row r="589" spans="66:90" s="354" customFormat="1" x14ac:dyDescent="0.2">
      <c r="BN589" s="84"/>
      <c r="BO589" s="84"/>
      <c r="BP589" s="84"/>
      <c r="BQ589" s="84"/>
      <c r="BR589" s="84"/>
      <c r="BS589" s="84"/>
      <c r="BT589" s="84"/>
      <c r="BU589" s="84"/>
      <c r="BV589" s="84"/>
      <c r="BW589" s="84"/>
      <c r="BX589" s="84"/>
      <c r="BY589" s="84"/>
      <c r="BZ589" s="84"/>
      <c r="CA589" s="84"/>
      <c r="CB589" s="84"/>
      <c r="CC589" s="84"/>
      <c r="CD589" s="84"/>
      <c r="CE589" s="84"/>
      <c r="CF589" s="84"/>
      <c r="CG589" s="84"/>
      <c r="CH589" s="84"/>
      <c r="CI589" s="84"/>
      <c r="CJ589" s="84"/>
      <c r="CK589" s="84"/>
      <c r="CL589" s="84"/>
    </row>
    <row r="590" spans="66:90" s="354" customFormat="1" x14ac:dyDescent="0.2">
      <c r="BN590" s="84"/>
      <c r="BO590" s="84"/>
      <c r="BP590" s="84"/>
      <c r="BQ590" s="84"/>
      <c r="BR590" s="84"/>
      <c r="BS590" s="84"/>
      <c r="BT590" s="84"/>
      <c r="BU590" s="84"/>
      <c r="BV590" s="84"/>
      <c r="BW590" s="84"/>
      <c r="BX590" s="84"/>
      <c r="BY590" s="84"/>
      <c r="BZ590" s="84"/>
      <c r="CA590" s="84"/>
      <c r="CB590" s="84"/>
      <c r="CC590" s="84"/>
      <c r="CD590" s="84"/>
      <c r="CE590" s="84"/>
      <c r="CF590" s="84"/>
      <c r="CG590" s="84"/>
      <c r="CH590" s="84"/>
      <c r="CI590" s="84"/>
      <c r="CJ590" s="84"/>
      <c r="CK590" s="84"/>
      <c r="CL590" s="84"/>
    </row>
    <row r="591" spans="66:90" s="354" customFormat="1" x14ac:dyDescent="0.2">
      <c r="BN591" s="84"/>
      <c r="BO591" s="84"/>
      <c r="BP591" s="84"/>
      <c r="BQ591" s="84"/>
      <c r="BR591" s="84"/>
      <c r="BS591" s="84"/>
      <c r="BT591" s="84"/>
      <c r="BU591" s="84"/>
      <c r="BV591" s="84"/>
      <c r="BW591" s="84"/>
      <c r="BX591" s="84"/>
      <c r="BY591" s="84"/>
      <c r="BZ591" s="84"/>
      <c r="CA591" s="84"/>
      <c r="CB591" s="84"/>
      <c r="CC591" s="84"/>
      <c r="CD591" s="84"/>
      <c r="CE591" s="84"/>
      <c r="CF591" s="84"/>
      <c r="CG591" s="84"/>
      <c r="CH591" s="84"/>
      <c r="CI591" s="84"/>
      <c r="CJ591" s="84"/>
      <c r="CK591" s="84"/>
      <c r="CL591" s="84"/>
    </row>
    <row r="592" spans="66:90" s="354" customFormat="1" x14ac:dyDescent="0.2">
      <c r="BN592" s="84"/>
      <c r="BO592" s="84"/>
      <c r="BP592" s="84"/>
      <c r="BQ592" s="84"/>
      <c r="BR592" s="84"/>
      <c r="BS592" s="84"/>
      <c r="BT592" s="84"/>
      <c r="BU592" s="84"/>
      <c r="BV592" s="84"/>
      <c r="BW592" s="84"/>
      <c r="BX592" s="84"/>
      <c r="BY592" s="84"/>
      <c r="BZ592" s="84"/>
      <c r="CA592" s="84"/>
      <c r="CB592" s="84"/>
      <c r="CC592" s="84"/>
      <c r="CD592" s="84"/>
      <c r="CE592" s="84"/>
      <c r="CF592" s="84"/>
      <c r="CG592" s="84"/>
      <c r="CH592" s="84"/>
      <c r="CI592" s="84"/>
      <c r="CJ592" s="84"/>
      <c r="CK592" s="84"/>
      <c r="CL592" s="84"/>
    </row>
    <row r="593" spans="66:90" s="354" customFormat="1" x14ac:dyDescent="0.2">
      <c r="BN593" s="84"/>
      <c r="BO593" s="84"/>
      <c r="BP593" s="84"/>
      <c r="BQ593" s="84"/>
      <c r="BR593" s="84"/>
      <c r="BS593" s="84"/>
      <c r="BT593" s="84"/>
      <c r="BU593" s="84"/>
      <c r="BV593" s="84"/>
      <c r="BW593" s="84"/>
      <c r="BX593" s="84"/>
      <c r="BY593" s="84"/>
      <c r="BZ593" s="84"/>
      <c r="CA593" s="84"/>
      <c r="CB593" s="84"/>
      <c r="CC593" s="84"/>
      <c r="CD593" s="84"/>
      <c r="CE593" s="84"/>
      <c r="CF593" s="84"/>
      <c r="CG593" s="84"/>
      <c r="CH593" s="84"/>
      <c r="CI593" s="84"/>
      <c r="CJ593" s="84"/>
      <c r="CK593" s="84"/>
      <c r="CL593" s="84"/>
    </row>
    <row r="594" spans="66:90" s="354" customFormat="1" x14ac:dyDescent="0.2">
      <c r="BN594" s="84"/>
      <c r="BO594" s="84"/>
      <c r="BP594" s="84"/>
      <c r="BQ594" s="84"/>
      <c r="BR594" s="84"/>
      <c r="BS594" s="84"/>
      <c r="BT594" s="84"/>
      <c r="BU594" s="84"/>
      <c r="BV594" s="84"/>
      <c r="BW594" s="84"/>
      <c r="BX594" s="84"/>
      <c r="BY594" s="84"/>
      <c r="BZ594" s="84"/>
      <c r="CA594" s="84"/>
      <c r="CB594" s="84"/>
      <c r="CC594" s="84"/>
      <c r="CD594" s="84"/>
      <c r="CE594" s="84"/>
      <c r="CF594" s="84"/>
      <c r="CG594" s="84"/>
      <c r="CH594" s="84"/>
      <c r="CI594" s="84"/>
      <c r="CJ594" s="84"/>
      <c r="CK594" s="84"/>
      <c r="CL594" s="84"/>
    </row>
    <row r="595" spans="66:90" s="354" customFormat="1" x14ac:dyDescent="0.2">
      <c r="BN595" s="84"/>
      <c r="BO595" s="84"/>
      <c r="BP595" s="84"/>
      <c r="BQ595" s="84"/>
      <c r="BR595" s="84"/>
      <c r="BS595" s="84"/>
      <c r="BT595" s="84"/>
      <c r="BU595" s="84"/>
      <c r="BV595" s="84"/>
      <c r="BW595" s="84"/>
      <c r="BX595" s="84"/>
      <c r="BY595" s="84"/>
      <c r="BZ595" s="84"/>
      <c r="CA595" s="84"/>
      <c r="CB595" s="84"/>
      <c r="CC595" s="84"/>
      <c r="CD595" s="84"/>
      <c r="CE595" s="84"/>
      <c r="CF595" s="84"/>
      <c r="CG595" s="84"/>
      <c r="CH595" s="84"/>
      <c r="CI595" s="84"/>
      <c r="CJ595" s="84"/>
      <c r="CK595" s="84"/>
      <c r="CL595" s="84"/>
    </row>
    <row r="596" spans="66:90" s="354" customFormat="1" x14ac:dyDescent="0.2">
      <c r="BN596" s="84"/>
      <c r="BO596" s="84"/>
      <c r="BP596" s="84"/>
      <c r="BQ596" s="84"/>
      <c r="BR596" s="84"/>
      <c r="BS596" s="84"/>
      <c r="BT596" s="84"/>
      <c r="BU596" s="84"/>
      <c r="BV596" s="84"/>
      <c r="BW596" s="84"/>
      <c r="BX596" s="84"/>
      <c r="BY596" s="84"/>
      <c r="BZ596" s="84"/>
      <c r="CA596" s="84"/>
      <c r="CB596" s="84"/>
      <c r="CC596" s="84"/>
      <c r="CD596" s="84"/>
      <c r="CE596" s="84"/>
      <c r="CF596" s="84"/>
      <c r="CG596" s="84"/>
      <c r="CH596" s="84"/>
      <c r="CI596" s="84"/>
      <c r="CJ596" s="84"/>
      <c r="CK596" s="84"/>
      <c r="CL596" s="84"/>
    </row>
    <row r="597" spans="66:90" s="354" customFormat="1" x14ac:dyDescent="0.2">
      <c r="BN597" s="84"/>
      <c r="BO597" s="84"/>
      <c r="BP597" s="84"/>
      <c r="BQ597" s="84"/>
      <c r="BR597" s="84"/>
      <c r="BS597" s="84"/>
      <c r="BT597" s="84"/>
      <c r="BU597" s="84"/>
      <c r="BV597" s="84"/>
      <c r="BW597" s="84"/>
      <c r="BX597" s="84"/>
      <c r="BY597" s="84"/>
      <c r="BZ597" s="84"/>
      <c r="CA597" s="84"/>
      <c r="CB597" s="84"/>
      <c r="CC597" s="84"/>
      <c r="CD597" s="84"/>
      <c r="CE597" s="84"/>
      <c r="CF597" s="84"/>
      <c r="CG597" s="84"/>
      <c r="CH597" s="84"/>
      <c r="CI597" s="84"/>
      <c r="CJ597" s="84"/>
      <c r="CK597" s="84"/>
      <c r="CL597" s="84"/>
    </row>
    <row r="598" spans="66:90" s="354" customFormat="1" x14ac:dyDescent="0.2">
      <c r="BN598" s="84"/>
      <c r="BO598" s="84"/>
      <c r="BP598" s="84"/>
      <c r="BQ598" s="84"/>
      <c r="BR598" s="84"/>
      <c r="BS598" s="84"/>
      <c r="BT598" s="84"/>
      <c r="BU598" s="84"/>
      <c r="BV598" s="84"/>
      <c r="BW598" s="84"/>
      <c r="BX598" s="84"/>
      <c r="BY598" s="84"/>
      <c r="BZ598" s="84"/>
      <c r="CA598" s="84"/>
      <c r="CB598" s="84"/>
      <c r="CC598" s="84"/>
      <c r="CD598" s="84"/>
      <c r="CE598" s="84"/>
      <c r="CF598" s="84"/>
      <c r="CG598" s="84"/>
      <c r="CH598" s="84"/>
      <c r="CI598" s="84"/>
      <c r="CJ598" s="84"/>
      <c r="CK598" s="84"/>
      <c r="CL598" s="84"/>
    </row>
    <row r="599" spans="66:90" s="354" customFormat="1" x14ac:dyDescent="0.2">
      <c r="BN599" s="84"/>
      <c r="BO599" s="84"/>
      <c r="BP599" s="84"/>
      <c r="BQ599" s="84"/>
      <c r="BR599" s="84"/>
      <c r="BS599" s="84"/>
      <c r="BT599" s="84"/>
      <c r="BU599" s="84"/>
      <c r="BV599" s="84"/>
      <c r="BW599" s="84"/>
      <c r="BX599" s="84"/>
      <c r="BY599" s="84"/>
      <c r="BZ599" s="84"/>
      <c r="CA599" s="84"/>
      <c r="CB599" s="84"/>
      <c r="CC599" s="84"/>
      <c r="CD599" s="84"/>
      <c r="CE599" s="84"/>
      <c r="CF599" s="84"/>
      <c r="CG599" s="84"/>
      <c r="CH599" s="84"/>
      <c r="CI599" s="84"/>
      <c r="CJ599" s="84"/>
      <c r="CK599" s="84"/>
      <c r="CL599" s="84"/>
    </row>
    <row r="600" spans="66:90" s="354" customFormat="1" x14ac:dyDescent="0.2">
      <c r="BN600" s="84"/>
      <c r="BO600" s="84"/>
      <c r="BP600" s="84"/>
      <c r="BQ600" s="84"/>
      <c r="BR600" s="84"/>
      <c r="BS600" s="84"/>
      <c r="BT600" s="84"/>
      <c r="BU600" s="84"/>
      <c r="BV600" s="84"/>
      <c r="BW600" s="84"/>
      <c r="BX600" s="84"/>
      <c r="BY600" s="84"/>
      <c r="BZ600" s="84"/>
      <c r="CA600" s="84"/>
      <c r="CB600" s="84"/>
      <c r="CC600" s="84"/>
      <c r="CD600" s="84"/>
      <c r="CE600" s="84"/>
      <c r="CF600" s="84"/>
      <c r="CG600" s="84"/>
      <c r="CH600" s="84"/>
      <c r="CI600" s="84"/>
      <c r="CJ600" s="84"/>
      <c r="CK600" s="84"/>
      <c r="CL600" s="84"/>
    </row>
    <row r="601" spans="66:90" s="354" customFormat="1" x14ac:dyDescent="0.2">
      <c r="BN601" s="84"/>
      <c r="BO601" s="84"/>
      <c r="BP601" s="84"/>
      <c r="BQ601" s="84"/>
      <c r="BR601" s="84"/>
      <c r="BS601" s="84"/>
      <c r="BT601" s="84"/>
      <c r="BU601" s="84"/>
      <c r="BV601" s="84"/>
      <c r="BW601" s="84"/>
      <c r="BX601" s="84"/>
      <c r="BY601" s="84"/>
      <c r="BZ601" s="84"/>
      <c r="CA601" s="84"/>
      <c r="CB601" s="84"/>
      <c r="CC601" s="84"/>
      <c r="CD601" s="84"/>
      <c r="CE601" s="84"/>
      <c r="CF601" s="84"/>
      <c r="CG601" s="84"/>
      <c r="CH601" s="84"/>
      <c r="CI601" s="84"/>
      <c r="CJ601" s="84"/>
      <c r="CK601" s="84"/>
      <c r="CL601" s="84"/>
    </row>
    <row r="602" spans="66:90" s="354" customFormat="1" x14ac:dyDescent="0.2">
      <c r="BN602" s="84"/>
      <c r="BO602" s="84"/>
      <c r="BP602" s="84"/>
      <c r="BQ602" s="84"/>
      <c r="BR602" s="84"/>
      <c r="BS602" s="84"/>
      <c r="BT602" s="84"/>
      <c r="BU602" s="84"/>
      <c r="BV602" s="84"/>
      <c r="BW602" s="84"/>
      <c r="BX602" s="84"/>
      <c r="BY602" s="84"/>
      <c r="BZ602" s="84"/>
      <c r="CA602" s="84"/>
      <c r="CB602" s="84"/>
      <c r="CC602" s="84"/>
      <c r="CD602" s="84"/>
      <c r="CE602" s="84"/>
      <c r="CF602" s="84"/>
      <c r="CG602" s="84"/>
      <c r="CH602" s="84"/>
      <c r="CI602" s="84"/>
      <c r="CJ602" s="84"/>
      <c r="CK602" s="84"/>
      <c r="CL602" s="84"/>
    </row>
    <row r="603" spans="66:90" s="354" customFormat="1" x14ac:dyDescent="0.2">
      <c r="BN603" s="84"/>
      <c r="BO603" s="84"/>
      <c r="BP603" s="84"/>
      <c r="BQ603" s="84"/>
      <c r="BR603" s="84"/>
      <c r="BS603" s="84"/>
      <c r="BT603" s="84"/>
      <c r="BU603" s="84"/>
      <c r="BV603" s="84"/>
      <c r="BW603" s="84"/>
      <c r="BX603" s="84"/>
      <c r="BY603" s="84"/>
      <c r="BZ603" s="84"/>
      <c r="CA603" s="84"/>
      <c r="CB603" s="84"/>
      <c r="CC603" s="84"/>
      <c r="CD603" s="84"/>
      <c r="CE603" s="84"/>
      <c r="CF603" s="84"/>
      <c r="CG603" s="84"/>
      <c r="CH603" s="84"/>
      <c r="CI603" s="84"/>
      <c r="CJ603" s="84"/>
      <c r="CK603" s="84"/>
      <c r="CL603" s="84"/>
    </row>
    <row r="604" spans="66:90" s="354" customFormat="1" x14ac:dyDescent="0.2">
      <c r="BN604" s="84"/>
      <c r="BO604" s="84"/>
      <c r="BP604" s="84"/>
      <c r="BQ604" s="84"/>
      <c r="BR604" s="84"/>
      <c r="BS604" s="84"/>
      <c r="BT604" s="84"/>
      <c r="BU604" s="84"/>
      <c r="BV604" s="84"/>
      <c r="BW604" s="84"/>
      <c r="BX604" s="84"/>
      <c r="BY604" s="84"/>
      <c r="BZ604" s="84"/>
      <c r="CA604" s="84"/>
      <c r="CB604" s="84"/>
      <c r="CC604" s="84"/>
      <c r="CD604" s="84"/>
      <c r="CE604" s="84"/>
      <c r="CF604" s="84"/>
      <c r="CG604" s="84"/>
      <c r="CH604" s="84"/>
      <c r="CI604" s="84"/>
      <c r="CJ604" s="84"/>
      <c r="CK604" s="84"/>
      <c r="CL604" s="84"/>
    </row>
    <row r="605" spans="66:90" s="354" customFormat="1" x14ac:dyDescent="0.2">
      <c r="BN605" s="84"/>
      <c r="BO605" s="84"/>
      <c r="BP605" s="84"/>
      <c r="BQ605" s="84"/>
      <c r="BR605" s="84"/>
      <c r="BS605" s="84"/>
      <c r="BT605" s="84"/>
      <c r="BU605" s="84"/>
      <c r="BV605" s="84"/>
      <c r="BW605" s="84"/>
      <c r="BX605" s="84"/>
      <c r="BY605" s="84"/>
      <c r="BZ605" s="84"/>
      <c r="CA605" s="84"/>
      <c r="CB605" s="84"/>
      <c r="CC605" s="84"/>
      <c r="CD605" s="84"/>
      <c r="CE605" s="84"/>
      <c r="CF605" s="84"/>
      <c r="CG605" s="84"/>
      <c r="CH605" s="84"/>
      <c r="CI605" s="84"/>
      <c r="CJ605" s="84"/>
      <c r="CK605" s="84"/>
      <c r="CL605" s="84"/>
    </row>
    <row r="606" spans="66:90" s="354" customFormat="1" x14ac:dyDescent="0.2">
      <c r="BN606" s="84"/>
      <c r="BO606" s="84"/>
      <c r="BP606" s="84"/>
      <c r="BQ606" s="84"/>
      <c r="BR606" s="84"/>
      <c r="BS606" s="84"/>
      <c r="BT606" s="84"/>
      <c r="BU606" s="84"/>
      <c r="BV606" s="84"/>
      <c r="BW606" s="84"/>
      <c r="BX606" s="84"/>
      <c r="BY606" s="84"/>
      <c r="BZ606" s="84"/>
      <c r="CA606" s="84"/>
      <c r="CB606" s="84"/>
      <c r="CC606" s="84"/>
      <c r="CD606" s="84"/>
      <c r="CE606" s="84"/>
      <c r="CF606" s="84"/>
      <c r="CG606" s="84"/>
      <c r="CH606" s="84"/>
      <c r="CI606" s="84"/>
      <c r="CJ606" s="84"/>
      <c r="CK606" s="84"/>
      <c r="CL606" s="84"/>
    </row>
    <row r="607" spans="66:90" s="354" customFormat="1" x14ac:dyDescent="0.2">
      <c r="BN607" s="84"/>
      <c r="BO607" s="84"/>
      <c r="BP607" s="84"/>
      <c r="BQ607" s="84"/>
      <c r="BR607" s="84"/>
      <c r="BS607" s="84"/>
      <c r="BT607" s="84"/>
      <c r="BU607" s="84"/>
      <c r="BV607" s="84"/>
      <c r="BW607" s="84"/>
      <c r="BX607" s="84"/>
      <c r="BY607" s="84"/>
      <c r="BZ607" s="84"/>
      <c r="CA607" s="84"/>
      <c r="CB607" s="84"/>
      <c r="CC607" s="84"/>
      <c r="CD607" s="84"/>
      <c r="CE607" s="84"/>
      <c r="CF607" s="84"/>
      <c r="CG607" s="84"/>
      <c r="CH607" s="84"/>
      <c r="CI607" s="84"/>
      <c r="CJ607" s="84"/>
      <c r="CK607" s="84"/>
      <c r="CL607" s="84"/>
    </row>
    <row r="608" spans="66:90" s="354" customFormat="1" x14ac:dyDescent="0.2">
      <c r="BN608" s="84"/>
      <c r="BO608" s="84"/>
      <c r="BP608" s="84"/>
      <c r="BQ608" s="84"/>
      <c r="BR608" s="84"/>
      <c r="BS608" s="84"/>
      <c r="BT608" s="84"/>
      <c r="BU608" s="84"/>
      <c r="BV608" s="84"/>
      <c r="BW608" s="84"/>
      <c r="BX608" s="84"/>
      <c r="BY608" s="84"/>
      <c r="BZ608" s="84"/>
      <c r="CA608" s="84"/>
      <c r="CB608" s="84"/>
      <c r="CC608" s="84"/>
      <c r="CD608" s="84"/>
      <c r="CE608" s="84"/>
      <c r="CF608" s="84"/>
      <c r="CG608" s="84"/>
      <c r="CH608" s="84"/>
      <c r="CI608" s="84"/>
      <c r="CJ608" s="84"/>
      <c r="CK608" s="84"/>
      <c r="CL608" s="84"/>
    </row>
    <row r="609" spans="66:90" s="354" customFormat="1" x14ac:dyDescent="0.2">
      <c r="BN609" s="84"/>
      <c r="BO609" s="84"/>
      <c r="BP609" s="84"/>
      <c r="BQ609" s="84"/>
      <c r="BR609" s="84"/>
      <c r="BS609" s="84"/>
      <c r="BT609" s="84"/>
      <c r="BU609" s="84"/>
      <c r="BV609" s="84"/>
      <c r="BW609" s="84"/>
      <c r="BX609" s="84"/>
      <c r="BY609" s="84"/>
      <c r="BZ609" s="84"/>
      <c r="CA609" s="84"/>
      <c r="CB609" s="84"/>
      <c r="CC609" s="84"/>
      <c r="CD609" s="84"/>
      <c r="CE609" s="84"/>
      <c r="CF609" s="84"/>
      <c r="CG609" s="84"/>
      <c r="CH609" s="84"/>
      <c r="CI609" s="84"/>
      <c r="CJ609" s="84"/>
      <c r="CK609" s="84"/>
      <c r="CL609" s="84"/>
    </row>
    <row r="610" spans="66:90" s="354" customFormat="1" x14ac:dyDescent="0.2">
      <c r="BN610" s="84"/>
      <c r="BO610" s="84"/>
      <c r="BP610" s="84"/>
      <c r="BQ610" s="84"/>
      <c r="BR610" s="84"/>
      <c r="BS610" s="84"/>
      <c r="BT610" s="84"/>
      <c r="BU610" s="84"/>
      <c r="BV610" s="84"/>
      <c r="BW610" s="84"/>
      <c r="BX610" s="84"/>
      <c r="BY610" s="84"/>
      <c r="BZ610" s="84"/>
      <c r="CA610" s="84"/>
      <c r="CB610" s="84"/>
      <c r="CC610" s="84"/>
      <c r="CD610" s="84"/>
      <c r="CE610" s="84"/>
      <c r="CF610" s="84"/>
      <c r="CG610" s="84"/>
      <c r="CH610" s="84"/>
      <c r="CI610" s="84"/>
      <c r="CJ610" s="84"/>
      <c r="CK610" s="84"/>
      <c r="CL610" s="84"/>
    </row>
    <row r="611" spans="66:90" s="354" customFormat="1" x14ac:dyDescent="0.2">
      <c r="BN611" s="84"/>
      <c r="BO611" s="84"/>
      <c r="BP611" s="84"/>
      <c r="BQ611" s="84"/>
      <c r="BR611" s="84"/>
      <c r="BS611" s="84"/>
      <c r="BT611" s="84"/>
      <c r="BU611" s="84"/>
      <c r="BV611" s="84"/>
      <c r="BW611" s="84"/>
      <c r="BX611" s="84"/>
      <c r="BY611" s="84"/>
      <c r="BZ611" s="84"/>
      <c r="CA611" s="84"/>
      <c r="CB611" s="84"/>
      <c r="CC611" s="84"/>
      <c r="CD611" s="84"/>
      <c r="CE611" s="84"/>
      <c r="CF611" s="84"/>
      <c r="CG611" s="84"/>
      <c r="CH611" s="84"/>
      <c r="CI611" s="84"/>
      <c r="CJ611" s="84"/>
      <c r="CK611" s="84"/>
      <c r="CL611" s="84"/>
    </row>
    <row r="612" spans="66:90" s="354" customFormat="1" x14ac:dyDescent="0.2">
      <c r="BN612" s="84"/>
      <c r="BO612" s="84"/>
      <c r="BP612" s="84"/>
      <c r="BQ612" s="84"/>
      <c r="BR612" s="84"/>
      <c r="BS612" s="84"/>
      <c r="BT612" s="84"/>
      <c r="BU612" s="84"/>
      <c r="BV612" s="84"/>
      <c r="BW612" s="84"/>
      <c r="BX612" s="84"/>
      <c r="BY612" s="84"/>
      <c r="BZ612" s="84"/>
      <c r="CA612" s="84"/>
      <c r="CB612" s="84"/>
      <c r="CC612" s="84"/>
      <c r="CD612" s="84"/>
      <c r="CE612" s="84"/>
      <c r="CF612" s="84"/>
      <c r="CG612" s="84"/>
      <c r="CH612" s="84"/>
      <c r="CI612" s="84"/>
      <c r="CJ612" s="84"/>
      <c r="CK612" s="84"/>
      <c r="CL612" s="84"/>
    </row>
    <row r="613" spans="66:90" s="354" customFormat="1" x14ac:dyDescent="0.2">
      <c r="BN613" s="84"/>
      <c r="BO613" s="84"/>
      <c r="BP613" s="84"/>
      <c r="BQ613" s="84"/>
      <c r="BR613" s="84"/>
      <c r="BS613" s="84"/>
      <c r="BT613" s="84"/>
      <c r="BU613" s="84"/>
      <c r="BV613" s="84"/>
      <c r="BW613" s="84"/>
      <c r="BX613" s="84"/>
      <c r="BY613" s="84"/>
      <c r="BZ613" s="84"/>
      <c r="CA613" s="84"/>
      <c r="CB613" s="84"/>
      <c r="CC613" s="84"/>
      <c r="CD613" s="84"/>
      <c r="CE613" s="84"/>
      <c r="CF613" s="84"/>
      <c r="CG613" s="84"/>
      <c r="CH613" s="84"/>
      <c r="CI613" s="84"/>
      <c r="CJ613" s="84"/>
      <c r="CK613" s="84"/>
      <c r="CL613" s="84"/>
    </row>
    <row r="614" spans="66:90" s="354" customFormat="1" x14ac:dyDescent="0.2">
      <c r="BN614" s="84"/>
      <c r="BO614" s="84"/>
      <c r="BP614" s="84"/>
      <c r="BQ614" s="84"/>
      <c r="BR614" s="84"/>
      <c r="BS614" s="84"/>
      <c r="BT614" s="84"/>
      <c r="BU614" s="84"/>
      <c r="BV614" s="84"/>
      <c r="BW614" s="84"/>
      <c r="BX614" s="84"/>
      <c r="BY614" s="84"/>
      <c r="BZ614" s="84"/>
      <c r="CA614" s="84"/>
      <c r="CB614" s="84"/>
      <c r="CC614" s="84"/>
      <c r="CD614" s="84"/>
      <c r="CE614" s="84"/>
      <c r="CF614" s="84"/>
      <c r="CG614" s="84"/>
      <c r="CH614" s="84"/>
      <c r="CI614" s="84"/>
      <c r="CJ614" s="84"/>
      <c r="CK614" s="84"/>
      <c r="CL614" s="84"/>
    </row>
    <row r="615" spans="66:90" s="354" customFormat="1" x14ac:dyDescent="0.2">
      <c r="BN615" s="84"/>
      <c r="BO615" s="84"/>
      <c r="BP615" s="84"/>
      <c r="BQ615" s="84"/>
      <c r="BR615" s="84"/>
      <c r="BS615" s="84"/>
      <c r="BT615" s="84"/>
      <c r="BU615" s="84"/>
      <c r="BV615" s="84"/>
      <c r="BW615" s="84"/>
      <c r="BX615" s="84"/>
      <c r="BY615" s="84"/>
      <c r="BZ615" s="84"/>
      <c r="CA615" s="84"/>
      <c r="CB615" s="84"/>
      <c r="CC615" s="84"/>
      <c r="CD615" s="84"/>
      <c r="CE615" s="84"/>
      <c r="CF615" s="84"/>
      <c r="CG615" s="84"/>
      <c r="CH615" s="84"/>
      <c r="CI615" s="84"/>
      <c r="CJ615" s="84"/>
      <c r="CK615" s="84"/>
      <c r="CL615" s="84"/>
    </row>
    <row r="616" spans="66:90" s="354" customFormat="1" x14ac:dyDescent="0.2">
      <c r="BN616" s="84"/>
      <c r="BO616" s="84"/>
      <c r="BP616" s="84"/>
      <c r="BQ616" s="84"/>
      <c r="BR616" s="84"/>
      <c r="BS616" s="84"/>
      <c r="BT616" s="84"/>
      <c r="BU616" s="84"/>
      <c r="BV616" s="84"/>
      <c r="BW616" s="84"/>
      <c r="BX616" s="84"/>
      <c r="BY616" s="84"/>
      <c r="BZ616" s="84"/>
      <c r="CA616" s="84"/>
      <c r="CB616" s="84"/>
      <c r="CC616" s="84"/>
      <c r="CD616" s="84"/>
      <c r="CE616" s="84"/>
      <c r="CF616" s="84"/>
      <c r="CG616" s="84"/>
      <c r="CH616" s="84"/>
      <c r="CI616" s="84"/>
      <c r="CJ616" s="84"/>
      <c r="CK616" s="84"/>
      <c r="CL616" s="84"/>
    </row>
    <row r="617" spans="66:90" s="354" customFormat="1" x14ac:dyDescent="0.2">
      <c r="BN617" s="84"/>
      <c r="BO617" s="84"/>
      <c r="BP617" s="84"/>
      <c r="BQ617" s="84"/>
      <c r="BR617" s="84"/>
      <c r="BS617" s="84"/>
      <c r="BT617" s="84"/>
      <c r="BU617" s="84"/>
      <c r="BV617" s="84"/>
      <c r="BW617" s="84"/>
      <c r="BX617" s="84"/>
      <c r="BY617" s="84"/>
      <c r="BZ617" s="84"/>
      <c r="CA617" s="84"/>
      <c r="CB617" s="84"/>
      <c r="CC617" s="84"/>
      <c r="CD617" s="84"/>
      <c r="CE617" s="84"/>
      <c r="CF617" s="84"/>
      <c r="CG617" s="84"/>
      <c r="CH617" s="84"/>
      <c r="CI617" s="84"/>
      <c r="CJ617" s="84"/>
      <c r="CK617" s="84"/>
      <c r="CL617" s="84"/>
    </row>
    <row r="618" spans="66:90" s="354" customFormat="1" x14ac:dyDescent="0.2">
      <c r="BN618" s="84"/>
      <c r="BO618" s="84"/>
      <c r="BP618" s="84"/>
      <c r="BQ618" s="84"/>
      <c r="BR618" s="84"/>
      <c r="BS618" s="84"/>
      <c r="BT618" s="84"/>
      <c r="BU618" s="84"/>
      <c r="BV618" s="84"/>
      <c r="BW618" s="84"/>
      <c r="BX618" s="84"/>
      <c r="BY618" s="84"/>
      <c r="BZ618" s="84"/>
      <c r="CA618" s="84"/>
      <c r="CB618" s="84"/>
      <c r="CC618" s="84"/>
      <c r="CD618" s="84"/>
      <c r="CE618" s="84"/>
      <c r="CF618" s="84"/>
      <c r="CG618" s="84"/>
      <c r="CH618" s="84"/>
      <c r="CI618" s="84"/>
      <c r="CJ618" s="84"/>
      <c r="CK618" s="84"/>
      <c r="CL618" s="84"/>
    </row>
    <row r="619" spans="66:90" s="354" customFormat="1" x14ac:dyDescent="0.2">
      <c r="BN619" s="84"/>
      <c r="BO619" s="84"/>
      <c r="BP619" s="84"/>
      <c r="BQ619" s="84"/>
      <c r="BR619" s="84"/>
      <c r="BS619" s="84"/>
      <c r="BT619" s="84"/>
      <c r="BU619" s="84"/>
      <c r="BV619" s="84"/>
      <c r="BW619" s="84"/>
      <c r="BX619" s="84"/>
      <c r="BY619" s="84"/>
      <c r="BZ619" s="84"/>
      <c r="CA619" s="84"/>
      <c r="CB619" s="84"/>
      <c r="CC619" s="84"/>
      <c r="CD619" s="84"/>
      <c r="CE619" s="84"/>
      <c r="CF619" s="84"/>
      <c r="CG619" s="84"/>
      <c r="CH619" s="84"/>
      <c r="CI619" s="84"/>
      <c r="CJ619" s="84"/>
      <c r="CK619" s="84"/>
      <c r="CL619" s="84"/>
    </row>
    <row r="620" spans="66:90" s="354" customFormat="1" x14ac:dyDescent="0.2">
      <c r="BN620" s="84"/>
      <c r="BO620" s="84"/>
      <c r="BP620" s="84"/>
      <c r="BQ620" s="84"/>
      <c r="BR620" s="84"/>
      <c r="BS620" s="84"/>
      <c r="BT620" s="84"/>
      <c r="BU620" s="84"/>
      <c r="BV620" s="84"/>
      <c r="BW620" s="84"/>
      <c r="BX620" s="84"/>
      <c r="BY620" s="84"/>
      <c r="BZ620" s="84"/>
      <c r="CA620" s="84"/>
      <c r="CB620" s="84"/>
      <c r="CC620" s="84"/>
      <c r="CD620" s="84"/>
      <c r="CE620" s="84"/>
      <c r="CF620" s="84"/>
      <c r="CG620" s="84"/>
      <c r="CH620" s="84"/>
      <c r="CI620" s="84"/>
      <c r="CJ620" s="84"/>
      <c r="CK620" s="84"/>
      <c r="CL620" s="84"/>
    </row>
    <row r="621" spans="66:90" s="354" customFormat="1" x14ac:dyDescent="0.2">
      <c r="BN621" s="84"/>
      <c r="BO621" s="84"/>
      <c r="BP621" s="84"/>
      <c r="BQ621" s="84"/>
      <c r="BR621" s="84"/>
      <c r="BS621" s="84"/>
      <c r="BT621" s="84"/>
      <c r="BU621" s="84"/>
      <c r="BV621" s="84"/>
      <c r="BW621" s="84"/>
      <c r="BX621" s="84"/>
      <c r="BY621" s="84"/>
      <c r="BZ621" s="84"/>
      <c r="CA621" s="84"/>
      <c r="CB621" s="84"/>
      <c r="CC621" s="84"/>
      <c r="CD621" s="84"/>
      <c r="CE621" s="84"/>
      <c r="CF621" s="84"/>
      <c r="CG621" s="84"/>
      <c r="CH621" s="84"/>
      <c r="CI621" s="84"/>
      <c r="CJ621" s="84"/>
      <c r="CK621" s="84"/>
      <c r="CL621" s="84"/>
    </row>
    <row r="622" spans="66:90" s="354" customFormat="1" x14ac:dyDescent="0.2">
      <c r="BN622" s="84"/>
      <c r="BO622" s="84"/>
      <c r="BP622" s="84"/>
      <c r="BQ622" s="84"/>
      <c r="BR622" s="84"/>
      <c r="BS622" s="84"/>
      <c r="BT622" s="84"/>
      <c r="BU622" s="84"/>
      <c r="BV622" s="84"/>
      <c r="BW622" s="84"/>
      <c r="BX622" s="84"/>
      <c r="BY622" s="84"/>
      <c r="BZ622" s="84"/>
      <c r="CA622" s="84"/>
      <c r="CB622" s="84"/>
      <c r="CC622" s="84"/>
      <c r="CD622" s="84"/>
      <c r="CE622" s="84"/>
      <c r="CF622" s="84"/>
      <c r="CG622" s="84"/>
      <c r="CH622" s="84"/>
      <c r="CI622" s="84"/>
      <c r="CJ622" s="84"/>
      <c r="CK622" s="84"/>
      <c r="CL622" s="84"/>
    </row>
    <row r="623" spans="66:90" s="354" customFormat="1" x14ac:dyDescent="0.2">
      <c r="BN623" s="84"/>
      <c r="BO623" s="84"/>
      <c r="BP623" s="84"/>
      <c r="BQ623" s="84"/>
      <c r="BR623" s="84"/>
      <c r="BS623" s="84"/>
      <c r="BT623" s="84"/>
      <c r="BU623" s="84"/>
      <c r="BV623" s="84"/>
      <c r="BW623" s="84"/>
      <c r="BX623" s="84"/>
      <c r="BY623" s="84"/>
      <c r="BZ623" s="84"/>
      <c r="CA623" s="84"/>
      <c r="CB623" s="84"/>
      <c r="CC623" s="84"/>
      <c r="CD623" s="84"/>
      <c r="CE623" s="84"/>
      <c r="CF623" s="84"/>
      <c r="CG623" s="84"/>
      <c r="CH623" s="84"/>
      <c r="CI623" s="84"/>
      <c r="CJ623" s="84"/>
      <c r="CK623" s="84"/>
      <c r="CL623" s="84"/>
    </row>
    <row r="624" spans="66:90" s="354" customFormat="1" x14ac:dyDescent="0.2">
      <c r="BN624" s="84"/>
      <c r="BO624" s="84"/>
      <c r="BP624" s="84"/>
      <c r="BQ624" s="84"/>
      <c r="BR624" s="84"/>
      <c r="BS624" s="84"/>
      <c r="BT624" s="84"/>
      <c r="BU624" s="84"/>
      <c r="BV624" s="84"/>
      <c r="BW624" s="84"/>
      <c r="BX624" s="84"/>
      <c r="BY624" s="84"/>
      <c r="BZ624" s="84"/>
      <c r="CA624" s="84"/>
      <c r="CB624" s="84"/>
      <c r="CC624" s="84"/>
      <c r="CD624" s="84"/>
      <c r="CE624" s="84"/>
      <c r="CF624" s="84"/>
      <c r="CG624" s="84"/>
      <c r="CH624" s="84"/>
      <c r="CI624" s="84"/>
      <c r="CJ624" s="84"/>
      <c r="CK624" s="84"/>
      <c r="CL624" s="84"/>
    </row>
    <row r="625" spans="66:90" s="354" customFormat="1" x14ac:dyDescent="0.2">
      <c r="BN625" s="84"/>
      <c r="BO625" s="84"/>
      <c r="BP625" s="84"/>
      <c r="BQ625" s="84"/>
      <c r="BR625" s="84"/>
      <c r="BS625" s="84"/>
      <c r="BT625" s="84"/>
      <c r="BU625" s="84"/>
      <c r="BV625" s="84"/>
      <c r="BW625" s="84"/>
      <c r="BX625" s="84"/>
      <c r="BY625" s="84"/>
      <c r="BZ625" s="84"/>
      <c r="CA625" s="84"/>
      <c r="CB625" s="84"/>
      <c r="CC625" s="84"/>
      <c r="CD625" s="84"/>
      <c r="CE625" s="84"/>
      <c r="CF625" s="84"/>
      <c r="CG625" s="84"/>
      <c r="CH625" s="84"/>
      <c r="CI625" s="84"/>
      <c r="CJ625" s="84"/>
      <c r="CK625" s="84"/>
      <c r="CL625" s="84"/>
    </row>
    <row r="626" spans="66:90" s="354" customFormat="1" x14ac:dyDescent="0.2">
      <c r="BN626" s="84"/>
      <c r="BO626" s="84"/>
      <c r="BP626" s="84"/>
      <c r="BQ626" s="84"/>
      <c r="BR626" s="84"/>
      <c r="BS626" s="84"/>
      <c r="BT626" s="84"/>
      <c r="BU626" s="84"/>
      <c r="BV626" s="84"/>
      <c r="BW626" s="84"/>
      <c r="BX626" s="84"/>
      <c r="BY626" s="84"/>
      <c r="BZ626" s="84"/>
      <c r="CA626" s="84"/>
      <c r="CB626" s="84"/>
      <c r="CC626" s="84"/>
      <c r="CD626" s="84"/>
      <c r="CE626" s="84"/>
      <c r="CF626" s="84"/>
      <c r="CG626" s="84"/>
      <c r="CH626" s="84"/>
      <c r="CI626" s="84"/>
      <c r="CJ626" s="84"/>
      <c r="CK626" s="84"/>
      <c r="CL626" s="84"/>
    </row>
    <row r="627" spans="66:90" s="354" customFormat="1" x14ac:dyDescent="0.2">
      <c r="BN627" s="84"/>
      <c r="BO627" s="84"/>
      <c r="BP627" s="84"/>
      <c r="BQ627" s="84"/>
      <c r="BR627" s="84"/>
      <c r="BS627" s="84"/>
      <c r="BT627" s="84"/>
      <c r="BU627" s="84"/>
      <c r="BV627" s="84"/>
      <c r="BW627" s="84"/>
      <c r="BX627" s="84"/>
      <c r="BY627" s="84"/>
      <c r="BZ627" s="84"/>
      <c r="CA627" s="84"/>
      <c r="CB627" s="84"/>
      <c r="CC627" s="84"/>
      <c r="CD627" s="84"/>
      <c r="CE627" s="84"/>
      <c r="CF627" s="84"/>
      <c r="CG627" s="84"/>
      <c r="CH627" s="84"/>
      <c r="CI627" s="84"/>
      <c r="CJ627" s="84"/>
      <c r="CK627" s="84"/>
      <c r="CL627" s="84"/>
    </row>
    <row r="628" spans="66:90" s="354" customFormat="1" x14ac:dyDescent="0.2">
      <c r="BN628" s="84"/>
      <c r="BO628" s="84"/>
      <c r="BP628" s="84"/>
      <c r="BQ628" s="84"/>
      <c r="BR628" s="84"/>
      <c r="BS628" s="84"/>
      <c r="BT628" s="84"/>
      <c r="BU628" s="84"/>
      <c r="BV628" s="84"/>
      <c r="BW628" s="84"/>
      <c r="BX628" s="84"/>
      <c r="BY628" s="84"/>
      <c r="BZ628" s="84"/>
      <c r="CA628" s="84"/>
      <c r="CB628" s="84"/>
      <c r="CC628" s="84"/>
      <c r="CD628" s="84"/>
      <c r="CE628" s="84"/>
      <c r="CF628" s="84"/>
      <c r="CG628" s="84"/>
      <c r="CH628" s="84"/>
      <c r="CI628" s="84"/>
      <c r="CJ628" s="84"/>
      <c r="CK628" s="84"/>
      <c r="CL628" s="84"/>
    </row>
    <row r="629" spans="66:90" s="354" customFormat="1" x14ac:dyDescent="0.2">
      <c r="BN629" s="84"/>
      <c r="BO629" s="84"/>
      <c r="BP629" s="84"/>
      <c r="BQ629" s="84"/>
      <c r="BR629" s="84"/>
      <c r="BS629" s="84"/>
      <c r="BT629" s="84"/>
      <c r="BU629" s="84"/>
      <c r="BV629" s="84"/>
      <c r="BW629" s="84"/>
      <c r="BX629" s="84"/>
      <c r="BY629" s="84"/>
      <c r="BZ629" s="84"/>
      <c r="CA629" s="84"/>
      <c r="CB629" s="84"/>
      <c r="CC629" s="84"/>
      <c r="CD629" s="84"/>
      <c r="CE629" s="84"/>
      <c r="CF629" s="84"/>
      <c r="CG629" s="84"/>
      <c r="CH629" s="84"/>
      <c r="CI629" s="84"/>
      <c r="CJ629" s="84"/>
      <c r="CK629" s="84"/>
      <c r="CL629" s="84"/>
    </row>
    <row r="630" spans="66:90" s="354" customFormat="1" x14ac:dyDescent="0.2">
      <c r="BN630" s="84"/>
      <c r="BO630" s="84"/>
      <c r="BP630" s="84"/>
      <c r="BQ630" s="84"/>
      <c r="BR630" s="84"/>
      <c r="BS630" s="84"/>
      <c r="BT630" s="84"/>
      <c r="BU630" s="84"/>
      <c r="BV630" s="84"/>
      <c r="BW630" s="84"/>
      <c r="BX630" s="84"/>
      <c r="BY630" s="84"/>
      <c r="BZ630" s="84"/>
      <c r="CA630" s="84"/>
      <c r="CB630" s="84"/>
      <c r="CC630" s="84"/>
      <c r="CD630" s="84"/>
      <c r="CE630" s="84"/>
      <c r="CF630" s="84"/>
      <c r="CG630" s="84"/>
      <c r="CH630" s="84"/>
      <c r="CI630" s="84"/>
      <c r="CJ630" s="84"/>
      <c r="CK630" s="84"/>
      <c r="CL630" s="84"/>
    </row>
    <row r="631" spans="66:90" s="354" customFormat="1" x14ac:dyDescent="0.2">
      <c r="BN631" s="84"/>
      <c r="BO631" s="84"/>
      <c r="BP631" s="84"/>
      <c r="BQ631" s="84"/>
      <c r="BR631" s="84"/>
      <c r="BS631" s="84"/>
      <c r="BT631" s="84"/>
      <c r="BU631" s="84"/>
      <c r="BV631" s="84"/>
      <c r="BW631" s="84"/>
      <c r="BX631" s="84"/>
      <c r="BY631" s="84"/>
      <c r="BZ631" s="84"/>
      <c r="CA631" s="84"/>
      <c r="CB631" s="84"/>
      <c r="CC631" s="84"/>
      <c r="CD631" s="84"/>
      <c r="CE631" s="84"/>
      <c r="CF631" s="84"/>
      <c r="CG631" s="84"/>
      <c r="CH631" s="84"/>
      <c r="CI631" s="84"/>
      <c r="CJ631" s="84"/>
      <c r="CK631" s="84"/>
      <c r="CL631" s="84"/>
    </row>
    <row r="632" spans="66:90" s="354" customFormat="1" x14ac:dyDescent="0.2">
      <c r="BN632" s="84"/>
      <c r="BO632" s="84"/>
      <c r="BP632" s="84"/>
      <c r="BQ632" s="84"/>
      <c r="BR632" s="84"/>
      <c r="BS632" s="84"/>
      <c r="BT632" s="84"/>
      <c r="BU632" s="84"/>
      <c r="BV632" s="84"/>
      <c r="BW632" s="84"/>
      <c r="BX632" s="84"/>
      <c r="BY632" s="84"/>
      <c r="BZ632" s="84"/>
      <c r="CA632" s="84"/>
      <c r="CB632" s="84"/>
      <c r="CC632" s="84"/>
      <c r="CD632" s="84"/>
      <c r="CE632" s="84"/>
      <c r="CF632" s="84"/>
      <c r="CG632" s="84"/>
      <c r="CH632" s="84"/>
      <c r="CI632" s="84"/>
      <c r="CJ632" s="84"/>
      <c r="CK632" s="84"/>
      <c r="CL632" s="84"/>
    </row>
    <row r="633" spans="66:90" s="354" customFormat="1" x14ac:dyDescent="0.2">
      <c r="BN633" s="84"/>
      <c r="BO633" s="84"/>
      <c r="BP633" s="84"/>
      <c r="BQ633" s="84"/>
      <c r="BR633" s="84"/>
      <c r="BS633" s="84"/>
      <c r="BT633" s="84"/>
      <c r="BU633" s="84"/>
      <c r="BV633" s="84"/>
      <c r="BW633" s="84"/>
      <c r="BX633" s="84"/>
      <c r="BY633" s="84"/>
      <c r="BZ633" s="84"/>
      <c r="CA633" s="84"/>
      <c r="CB633" s="84"/>
      <c r="CC633" s="84"/>
      <c r="CD633" s="84"/>
      <c r="CE633" s="84"/>
      <c r="CF633" s="84"/>
      <c r="CG633" s="84"/>
      <c r="CH633" s="84"/>
      <c r="CI633" s="84"/>
      <c r="CJ633" s="84"/>
      <c r="CK633" s="84"/>
      <c r="CL633" s="84"/>
    </row>
    <row r="634" spans="66:90" s="354" customFormat="1" x14ac:dyDescent="0.2">
      <c r="BN634" s="84"/>
      <c r="BO634" s="84"/>
      <c r="BP634" s="84"/>
      <c r="BQ634" s="84"/>
      <c r="BR634" s="84"/>
      <c r="BS634" s="84"/>
      <c r="BT634" s="84"/>
      <c r="BU634" s="84"/>
      <c r="BV634" s="84"/>
      <c r="BW634" s="84"/>
      <c r="BX634" s="84"/>
      <c r="BY634" s="84"/>
      <c r="BZ634" s="84"/>
      <c r="CA634" s="84"/>
      <c r="CB634" s="84"/>
      <c r="CC634" s="84"/>
      <c r="CD634" s="84"/>
      <c r="CE634" s="84"/>
      <c r="CF634" s="84"/>
      <c r="CG634" s="84"/>
      <c r="CH634" s="84"/>
      <c r="CI634" s="84"/>
      <c r="CJ634" s="84"/>
      <c r="CK634" s="84"/>
      <c r="CL634" s="84"/>
    </row>
    <row r="635" spans="66:90" s="354" customFormat="1" x14ac:dyDescent="0.2">
      <c r="BN635" s="84"/>
      <c r="BO635" s="84"/>
      <c r="BP635" s="84"/>
      <c r="BQ635" s="84"/>
      <c r="BR635" s="84"/>
      <c r="BS635" s="84"/>
      <c r="BT635" s="84"/>
      <c r="BU635" s="84"/>
      <c r="BV635" s="84"/>
      <c r="BW635" s="84"/>
      <c r="BX635" s="84"/>
      <c r="BY635" s="84"/>
      <c r="BZ635" s="84"/>
      <c r="CA635" s="84"/>
      <c r="CB635" s="84"/>
      <c r="CC635" s="84"/>
      <c r="CD635" s="84"/>
      <c r="CE635" s="84"/>
      <c r="CF635" s="84"/>
      <c r="CG635" s="84"/>
      <c r="CH635" s="84"/>
      <c r="CI635" s="84"/>
      <c r="CJ635" s="84"/>
      <c r="CK635" s="84"/>
      <c r="CL635" s="84"/>
    </row>
    <row r="636" spans="66:90" s="354" customFormat="1" x14ac:dyDescent="0.2">
      <c r="BN636" s="84"/>
      <c r="BO636" s="84"/>
      <c r="BP636" s="84"/>
      <c r="BQ636" s="84"/>
      <c r="BR636" s="84"/>
      <c r="BS636" s="84"/>
      <c r="BT636" s="84"/>
      <c r="BU636" s="84"/>
      <c r="BV636" s="84"/>
      <c r="BW636" s="84"/>
      <c r="BX636" s="84"/>
      <c r="BY636" s="84"/>
      <c r="BZ636" s="84"/>
      <c r="CA636" s="84"/>
      <c r="CB636" s="84"/>
      <c r="CC636" s="84"/>
      <c r="CD636" s="84"/>
      <c r="CE636" s="84"/>
      <c r="CF636" s="84"/>
      <c r="CG636" s="84"/>
      <c r="CH636" s="84"/>
      <c r="CI636" s="84"/>
      <c r="CJ636" s="84"/>
      <c r="CK636" s="84"/>
      <c r="CL636" s="84"/>
    </row>
    <row r="637" spans="66:90" s="354" customFormat="1" x14ac:dyDescent="0.2">
      <c r="BN637" s="84"/>
      <c r="BO637" s="84"/>
      <c r="BP637" s="84"/>
      <c r="BQ637" s="84"/>
      <c r="BR637" s="84"/>
      <c r="BS637" s="84"/>
      <c r="BT637" s="84"/>
      <c r="BU637" s="84"/>
      <c r="BV637" s="84"/>
      <c r="BW637" s="84"/>
      <c r="BX637" s="84"/>
      <c r="BY637" s="84"/>
      <c r="BZ637" s="84"/>
      <c r="CA637" s="84"/>
      <c r="CB637" s="84"/>
      <c r="CC637" s="84"/>
      <c r="CD637" s="84"/>
      <c r="CE637" s="84"/>
      <c r="CF637" s="84"/>
      <c r="CG637" s="84"/>
      <c r="CH637" s="84"/>
      <c r="CI637" s="84"/>
      <c r="CJ637" s="84"/>
      <c r="CK637" s="84"/>
      <c r="CL637" s="84"/>
    </row>
    <row r="638" spans="66:90" s="354" customFormat="1" x14ac:dyDescent="0.2">
      <c r="BN638" s="84"/>
      <c r="BO638" s="84"/>
      <c r="BP638" s="84"/>
      <c r="BQ638" s="84"/>
      <c r="BR638" s="84"/>
      <c r="BS638" s="84"/>
      <c r="BT638" s="84"/>
      <c r="BU638" s="84"/>
      <c r="BV638" s="84"/>
      <c r="BW638" s="84"/>
      <c r="BX638" s="84"/>
      <c r="BY638" s="84"/>
      <c r="BZ638" s="84"/>
      <c r="CA638" s="84"/>
      <c r="CB638" s="84"/>
      <c r="CC638" s="84"/>
      <c r="CD638" s="84"/>
      <c r="CE638" s="84"/>
      <c r="CF638" s="84"/>
      <c r="CG638" s="84"/>
      <c r="CH638" s="84"/>
      <c r="CI638" s="84"/>
      <c r="CJ638" s="84"/>
      <c r="CK638" s="84"/>
      <c r="CL638" s="84"/>
    </row>
    <row r="639" spans="66:90" s="354" customFormat="1" x14ac:dyDescent="0.2">
      <c r="BN639" s="84"/>
      <c r="BO639" s="84"/>
      <c r="BP639" s="84"/>
      <c r="BQ639" s="84"/>
      <c r="BR639" s="84"/>
      <c r="BS639" s="84"/>
      <c r="BT639" s="84"/>
      <c r="BU639" s="84"/>
      <c r="BV639" s="84"/>
      <c r="BW639" s="84"/>
      <c r="BX639" s="84"/>
      <c r="BY639" s="84"/>
      <c r="BZ639" s="84"/>
      <c r="CA639" s="84"/>
      <c r="CB639" s="84"/>
      <c r="CC639" s="84"/>
      <c r="CD639" s="84"/>
      <c r="CE639" s="84"/>
      <c r="CF639" s="84"/>
      <c r="CG639" s="84"/>
      <c r="CH639" s="84"/>
      <c r="CI639" s="84"/>
      <c r="CJ639" s="84"/>
      <c r="CK639" s="84"/>
      <c r="CL639" s="84"/>
    </row>
    <row r="640" spans="66:90" s="354" customFormat="1" x14ac:dyDescent="0.2">
      <c r="BN640" s="84"/>
      <c r="BO640" s="84"/>
      <c r="BP640" s="84"/>
      <c r="BQ640" s="84"/>
      <c r="BR640" s="84"/>
      <c r="BS640" s="84"/>
      <c r="BT640" s="84"/>
      <c r="BU640" s="84"/>
      <c r="BV640" s="84"/>
      <c r="BW640" s="84"/>
      <c r="BX640" s="84"/>
      <c r="BY640" s="84"/>
      <c r="BZ640" s="84"/>
      <c r="CA640" s="84"/>
      <c r="CB640" s="84"/>
      <c r="CC640" s="84"/>
      <c r="CD640" s="84"/>
      <c r="CE640" s="84"/>
      <c r="CF640" s="84"/>
      <c r="CG640" s="84"/>
      <c r="CH640" s="84"/>
      <c r="CI640" s="84"/>
      <c r="CJ640" s="84"/>
      <c r="CK640" s="84"/>
      <c r="CL640" s="84"/>
    </row>
    <row r="641" spans="66:90" s="354" customFormat="1" x14ac:dyDescent="0.2">
      <c r="BN641" s="84"/>
      <c r="BO641" s="84"/>
      <c r="BP641" s="84"/>
      <c r="BQ641" s="84"/>
      <c r="BR641" s="84"/>
      <c r="BS641" s="84"/>
      <c r="BT641" s="84"/>
      <c r="BU641" s="84"/>
      <c r="BV641" s="84"/>
      <c r="BW641" s="84"/>
      <c r="BX641" s="84"/>
      <c r="BY641" s="84"/>
      <c r="BZ641" s="84"/>
      <c r="CA641" s="84"/>
      <c r="CB641" s="84"/>
      <c r="CC641" s="84"/>
      <c r="CD641" s="84"/>
      <c r="CE641" s="84"/>
      <c r="CF641" s="84"/>
      <c r="CG641" s="84"/>
      <c r="CH641" s="84"/>
      <c r="CI641" s="84"/>
      <c r="CJ641" s="84"/>
      <c r="CK641" s="84"/>
      <c r="CL641" s="84"/>
    </row>
    <row r="642" spans="66:90" s="354" customFormat="1" x14ac:dyDescent="0.2">
      <c r="BN642" s="84"/>
      <c r="BO642" s="84"/>
      <c r="BP642" s="84"/>
      <c r="BQ642" s="84"/>
      <c r="BR642" s="84"/>
      <c r="BS642" s="84"/>
      <c r="BT642" s="84"/>
      <c r="BU642" s="84"/>
      <c r="BV642" s="84"/>
      <c r="BW642" s="84"/>
      <c r="BX642" s="84"/>
      <c r="BY642" s="84"/>
      <c r="BZ642" s="84"/>
      <c r="CA642" s="84"/>
      <c r="CB642" s="84"/>
      <c r="CC642" s="84"/>
      <c r="CD642" s="84"/>
      <c r="CE642" s="84"/>
      <c r="CF642" s="84"/>
      <c r="CG642" s="84"/>
      <c r="CH642" s="84"/>
      <c r="CI642" s="84"/>
      <c r="CJ642" s="84"/>
      <c r="CK642" s="84"/>
      <c r="CL642" s="84"/>
    </row>
    <row r="643" spans="66:90" s="354" customFormat="1" x14ac:dyDescent="0.2">
      <c r="BN643" s="84"/>
      <c r="BO643" s="84"/>
      <c r="BP643" s="84"/>
      <c r="BQ643" s="84"/>
      <c r="BR643" s="84"/>
      <c r="BS643" s="84"/>
      <c r="BT643" s="84"/>
      <c r="BU643" s="84"/>
      <c r="BV643" s="84"/>
      <c r="BW643" s="84"/>
      <c r="BX643" s="84"/>
      <c r="BY643" s="84"/>
      <c r="BZ643" s="84"/>
      <c r="CA643" s="84"/>
      <c r="CB643" s="84"/>
      <c r="CC643" s="84"/>
      <c r="CD643" s="84"/>
      <c r="CE643" s="84"/>
      <c r="CF643" s="84"/>
      <c r="CG643" s="84"/>
      <c r="CH643" s="84"/>
      <c r="CI643" s="84"/>
      <c r="CJ643" s="84"/>
      <c r="CK643" s="84"/>
      <c r="CL643" s="84"/>
    </row>
    <row r="644" spans="66:90" s="354" customFormat="1" x14ac:dyDescent="0.2">
      <c r="BN644" s="84"/>
      <c r="BO644" s="84"/>
      <c r="BP644" s="84"/>
      <c r="BQ644" s="84"/>
      <c r="BR644" s="84"/>
      <c r="BS644" s="84"/>
      <c r="BT644" s="84"/>
      <c r="BU644" s="84"/>
      <c r="BV644" s="84"/>
      <c r="BW644" s="84"/>
      <c r="BX644" s="84"/>
      <c r="BY644" s="84"/>
      <c r="BZ644" s="84"/>
      <c r="CA644" s="84"/>
      <c r="CB644" s="84"/>
      <c r="CC644" s="84"/>
      <c r="CD644" s="84"/>
      <c r="CE644" s="84"/>
      <c r="CF644" s="84"/>
      <c r="CG644" s="84"/>
      <c r="CH644" s="84"/>
      <c r="CI644" s="84"/>
      <c r="CJ644" s="84"/>
      <c r="CK644" s="84"/>
      <c r="CL644" s="84"/>
    </row>
    <row r="645" spans="66:90" s="354" customFormat="1" x14ac:dyDescent="0.2">
      <c r="BN645" s="84"/>
      <c r="BO645" s="84"/>
      <c r="BP645" s="84"/>
      <c r="BQ645" s="84"/>
      <c r="BR645" s="84"/>
      <c r="BS645" s="84"/>
      <c r="BT645" s="84"/>
      <c r="BU645" s="84"/>
      <c r="BV645" s="84"/>
      <c r="BW645" s="84"/>
      <c r="BX645" s="84"/>
      <c r="BY645" s="84"/>
      <c r="BZ645" s="84"/>
      <c r="CA645" s="84"/>
      <c r="CB645" s="84"/>
      <c r="CC645" s="84"/>
      <c r="CD645" s="84"/>
      <c r="CE645" s="84"/>
      <c r="CF645" s="84"/>
      <c r="CG645" s="84"/>
      <c r="CH645" s="84"/>
      <c r="CI645" s="84"/>
      <c r="CJ645" s="84"/>
      <c r="CK645" s="84"/>
      <c r="CL645" s="84"/>
    </row>
    <row r="646" spans="66:90" s="354" customFormat="1" x14ac:dyDescent="0.2">
      <c r="BN646" s="84"/>
      <c r="BO646" s="84"/>
      <c r="BP646" s="84"/>
      <c r="BQ646" s="84"/>
      <c r="BR646" s="84"/>
      <c r="BS646" s="84"/>
      <c r="BT646" s="84"/>
      <c r="BU646" s="84"/>
      <c r="BV646" s="84"/>
      <c r="BW646" s="84"/>
      <c r="BX646" s="84"/>
      <c r="BY646" s="84"/>
      <c r="BZ646" s="84"/>
      <c r="CA646" s="84"/>
      <c r="CB646" s="84"/>
      <c r="CC646" s="84"/>
      <c r="CD646" s="84"/>
      <c r="CE646" s="84"/>
      <c r="CF646" s="84"/>
      <c r="CG646" s="84"/>
      <c r="CH646" s="84"/>
      <c r="CI646" s="84"/>
      <c r="CJ646" s="84"/>
      <c r="CK646" s="84"/>
      <c r="CL646" s="84"/>
    </row>
    <row r="647" spans="66:90" s="354" customFormat="1" x14ac:dyDescent="0.2">
      <c r="BN647" s="84"/>
      <c r="BO647" s="84"/>
      <c r="BP647" s="84"/>
      <c r="BQ647" s="84"/>
      <c r="BR647" s="84"/>
      <c r="BS647" s="84"/>
      <c r="BT647" s="84"/>
      <c r="BU647" s="84"/>
      <c r="BV647" s="84"/>
      <c r="BW647" s="84"/>
      <c r="BX647" s="84"/>
      <c r="BY647" s="84"/>
      <c r="BZ647" s="84"/>
      <c r="CA647" s="84"/>
      <c r="CB647" s="84"/>
      <c r="CC647" s="84"/>
      <c r="CD647" s="84"/>
      <c r="CE647" s="84"/>
      <c r="CF647" s="84"/>
      <c r="CG647" s="84"/>
      <c r="CH647" s="84"/>
      <c r="CI647" s="84"/>
      <c r="CJ647" s="84"/>
      <c r="CK647" s="84"/>
      <c r="CL647" s="84"/>
    </row>
    <row r="648" spans="66:90" s="354" customFormat="1" x14ac:dyDescent="0.2">
      <c r="BN648" s="84"/>
      <c r="BO648" s="84"/>
      <c r="BP648" s="84"/>
      <c r="BQ648" s="84"/>
      <c r="BR648" s="84"/>
      <c r="BS648" s="84"/>
      <c r="BT648" s="84"/>
      <c r="BU648" s="84"/>
      <c r="BV648" s="84"/>
      <c r="BW648" s="84"/>
      <c r="BX648" s="84"/>
      <c r="BY648" s="84"/>
      <c r="BZ648" s="84"/>
      <c r="CA648" s="84"/>
      <c r="CB648" s="84"/>
      <c r="CC648" s="84"/>
      <c r="CD648" s="84"/>
      <c r="CE648" s="84"/>
      <c r="CF648" s="84"/>
      <c r="CG648" s="84"/>
      <c r="CH648" s="84"/>
      <c r="CI648" s="84"/>
      <c r="CJ648" s="84"/>
      <c r="CK648" s="84"/>
      <c r="CL648" s="84"/>
    </row>
    <row r="649" spans="66:90" s="354" customFormat="1" x14ac:dyDescent="0.2">
      <c r="BN649" s="84"/>
      <c r="BO649" s="84"/>
      <c r="BP649" s="84"/>
      <c r="BQ649" s="84"/>
      <c r="BR649" s="84"/>
      <c r="BS649" s="84"/>
      <c r="BT649" s="84"/>
      <c r="BU649" s="84"/>
      <c r="BV649" s="84"/>
      <c r="BW649" s="84"/>
      <c r="BX649" s="84"/>
      <c r="BY649" s="84"/>
      <c r="BZ649" s="84"/>
      <c r="CA649" s="84"/>
      <c r="CB649" s="84"/>
      <c r="CC649" s="84"/>
      <c r="CD649" s="84"/>
      <c r="CE649" s="84"/>
      <c r="CF649" s="84"/>
      <c r="CG649" s="84"/>
      <c r="CH649" s="84"/>
      <c r="CI649" s="84"/>
      <c r="CJ649" s="84"/>
      <c r="CK649" s="84"/>
      <c r="CL649" s="84"/>
    </row>
    <row r="650" spans="66:90" s="354" customFormat="1" x14ac:dyDescent="0.2">
      <c r="BN650" s="84"/>
      <c r="BO650" s="84"/>
      <c r="BP650" s="84"/>
      <c r="BQ650" s="84"/>
      <c r="BR650" s="84"/>
      <c r="BS650" s="84"/>
      <c r="BT650" s="84"/>
      <c r="BU650" s="84"/>
      <c r="BV650" s="84"/>
      <c r="BW650" s="84"/>
      <c r="BX650" s="84"/>
      <c r="BY650" s="84"/>
      <c r="BZ650" s="84"/>
      <c r="CA650" s="84"/>
      <c r="CB650" s="84"/>
      <c r="CC650" s="84"/>
      <c r="CD650" s="84"/>
      <c r="CE650" s="84"/>
      <c r="CF650" s="84"/>
      <c r="CG650" s="84"/>
      <c r="CH650" s="84"/>
      <c r="CI650" s="84"/>
      <c r="CJ650" s="84"/>
      <c r="CK650" s="84"/>
      <c r="CL650" s="84"/>
    </row>
    <row r="651" spans="66:90" s="354" customFormat="1" x14ac:dyDescent="0.2">
      <c r="BN651" s="84"/>
      <c r="BO651" s="84"/>
      <c r="BP651" s="84"/>
      <c r="BQ651" s="84"/>
      <c r="BR651" s="84"/>
      <c r="BS651" s="84"/>
      <c r="BT651" s="84"/>
      <c r="BU651" s="84"/>
      <c r="BV651" s="84"/>
      <c r="BW651" s="84"/>
      <c r="BX651" s="84"/>
      <c r="BY651" s="84"/>
      <c r="BZ651" s="84"/>
      <c r="CA651" s="84"/>
      <c r="CB651" s="84"/>
      <c r="CC651" s="84"/>
      <c r="CD651" s="84"/>
      <c r="CE651" s="84"/>
      <c r="CF651" s="84"/>
      <c r="CG651" s="84"/>
      <c r="CH651" s="84"/>
      <c r="CI651" s="84"/>
      <c r="CJ651" s="84"/>
      <c r="CK651" s="84"/>
      <c r="CL651" s="84"/>
    </row>
    <row r="652" spans="66:90" s="354" customFormat="1" x14ac:dyDescent="0.2">
      <c r="BN652" s="84"/>
      <c r="BO652" s="84"/>
      <c r="BP652" s="84"/>
      <c r="BQ652" s="84"/>
      <c r="BR652" s="84"/>
      <c r="BS652" s="84"/>
      <c r="BT652" s="84"/>
      <c r="BU652" s="84"/>
      <c r="BV652" s="84"/>
      <c r="BW652" s="84"/>
      <c r="BX652" s="84"/>
      <c r="BY652" s="84"/>
      <c r="BZ652" s="84"/>
      <c r="CA652" s="84"/>
      <c r="CB652" s="84"/>
      <c r="CC652" s="84"/>
      <c r="CD652" s="84"/>
      <c r="CE652" s="84"/>
      <c r="CF652" s="84"/>
      <c r="CG652" s="84"/>
      <c r="CH652" s="84"/>
      <c r="CI652" s="84"/>
      <c r="CJ652" s="84"/>
      <c r="CK652" s="84"/>
      <c r="CL652" s="84"/>
    </row>
    <row r="653" spans="66:90" s="354" customFormat="1" x14ac:dyDescent="0.2">
      <c r="BN653" s="84"/>
      <c r="BO653" s="84"/>
      <c r="BP653" s="84"/>
      <c r="BQ653" s="84"/>
      <c r="BR653" s="84"/>
      <c r="BS653" s="84"/>
      <c r="BT653" s="84"/>
      <c r="BU653" s="84"/>
      <c r="BV653" s="84"/>
      <c r="BW653" s="84"/>
      <c r="BX653" s="84"/>
      <c r="BY653" s="84"/>
      <c r="BZ653" s="84"/>
      <c r="CA653" s="84"/>
      <c r="CB653" s="84"/>
      <c r="CC653" s="84"/>
      <c r="CD653" s="84"/>
      <c r="CE653" s="84"/>
      <c r="CF653" s="84"/>
      <c r="CG653" s="84"/>
      <c r="CH653" s="84"/>
      <c r="CI653" s="84"/>
      <c r="CJ653" s="84"/>
      <c r="CK653" s="84"/>
      <c r="CL653" s="84"/>
    </row>
    <row r="654" spans="66:90" s="354" customFormat="1" x14ac:dyDescent="0.2">
      <c r="BN654" s="84"/>
      <c r="BO654" s="84"/>
      <c r="BP654" s="84"/>
      <c r="BQ654" s="84"/>
      <c r="BR654" s="84"/>
      <c r="BS654" s="84"/>
      <c r="BT654" s="84"/>
      <c r="BU654" s="84"/>
      <c r="BV654" s="84"/>
      <c r="BW654" s="84"/>
      <c r="BX654" s="84"/>
      <c r="BY654" s="84"/>
      <c r="BZ654" s="84"/>
      <c r="CA654" s="84"/>
      <c r="CB654" s="84"/>
      <c r="CC654" s="84"/>
      <c r="CD654" s="84"/>
      <c r="CE654" s="84"/>
      <c r="CF654" s="84"/>
      <c r="CG654" s="84"/>
      <c r="CH654" s="84"/>
      <c r="CI654" s="84"/>
      <c r="CJ654" s="84"/>
      <c r="CK654" s="84"/>
      <c r="CL654" s="84"/>
    </row>
    <row r="655" spans="66:90" s="354" customFormat="1" x14ac:dyDescent="0.2">
      <c r="BN655" s="84"/>
      <c r="BO655" s="84"/>
      <c r="BP655" s="84"/>
      <c r="BQ655" s="84"/>
      <c r="BR655" s="84"/>
      <c r="BS655" s="84"/>
      <c r="BT655" s="84"/>
      <c r="BU655" s="84"/>
      <c r="BV655" s="84"/>
      <c r="BW655" s="84"/>
      <c r="BX655" s="84"/>
      <c r="BY655" s="84"/>
      <c r="BZ655" s="84"/>
      <c r="CA655" s="84"/>
      <c r="CB655" s="84"/>
      <c r="CC655" s="84"/>
      <c r="CD655" s="84"/>
      <c r="CE655" s="84"/>
      <c r="CF655" s="84"/>
      <c r="CG655" s="84"/>
      <c r="CH655" s="84"/>
      <c r="CI655" s="84"/>
      <c r="CJ655" s="84"/>
      <c r="CK655" s="84"/>
      <c r="CL655" s="84"/>
    </row>
    <row r="656" spans="66:90" s="354" customFormat="1" x14ac:dyDescent="0.2">
      <c r="BN656" s="84"/>
      <c r="BO656" s="84"/>
      <c r="BP656" s="84"/>
      <c r="BQ656" s="84"/>
      <c r="BR656" s="84"/>
      <c r="BS656" s="84"/>
      <c r="BT656" s="84"/>
      <c r="BU656" s="84"/>
      <c r="BV656" s="84"/>
      <c r="BW656" s="84"/>
      <c r="BX656" s="84"/>
      <c r="BY656" s="84"/>
      <c r="BZ656" s="84"/>
      <c r="CA656" s="84"/>
      <c r="CB656" s="84"/>
      <c r="CC656" s="84"/>
      <c r="CD656" s="84"/>
      <c r="CE656" s="84"/>
      <c r="CF656" s="84"/>
      <c r="CG656" s="84"/>
      <c r="CH656" s="84"/>
      <c r="CI656" s="84"/>
      <c r="CJ656" s="84"/>
      <c r="CK656" s="84"/>
      <c r="CL656" s="84"/>
    </row>
    <row r="657" spans="66:90" s="354" customFormat="1" x14ac:dyDescent="0.2">
      <c r="BN657" s="84"/>
      <c r="BO657" s="84"/>
      <c r="BP657" s="84"/>
      <c r="BQ657" s="84"/>
      <c r="BR657" s="84"/>
      <c r="BS657" s="84"/>
      <c r="BT657" s="84"/>
      <c r="BU657" s="84"/>
      <c r="BV657" s="84"/>
      <c r="BW657" s="84"/>
      <c r="BX657" s="84"/>
      <c r="BY657" s="84"/>
      <c r="BZ657" s="84"/>
      <c r="CA657" s="84"/>
      <c r="CB657" s="84"/>
      <c r="CC657" s="84"/>
      <c r="CD657" s="84"/>
      <c r="CE657" s="84"/>
      <c r="CF657" s="84"/>
      <c r="CG657" s="84"/>
      <c r="CH657" s="84"/>
      <c r="CI657" s="84"/>
      <c r="CJ657" s="84"/>
      <c r="CK657" s="84"/>
      <c r="CL657" s="84"/>
    </row>
    <row r="658" spans="66:90" s="354" customFormat="1" x14ac:dyDescent="0.2">
      <c r="BN658" s="84"/>
      <c r="BO658" s="84"/>
      <c r="BP658" s="84"/>
      <c r="BQ658" s="84"/>
      <c r="BR658" s="84"/>
      <c r="BS658" s="84"/>
      <c r="BT658" s="84"/>
      <c r="BU658" s="84"/>
      <c r="BV658" s="84"/>
      <c r="BW658" s="84"/>
      <c r="BX658" s="84"/>
      <c r="BY658" s="84"/>
      <c r="BZ658" s="84"/>
      <c r="CA658" s="84"/>
      <c r="CB658" s="84"/>
      <c r="CC658" s="84"/>
      <c r="CD658" s="84"/>
      <c r="CE658" s="84"/>
      <c r="CF658" s="84"/>
      <c r="CG658" s="84"/>
      <c r="CH658" s="84"/>
      <c r="CI658" s="84"/>
      <c r="CJ658" s="84"/>
      <c r="CK658" s="84"/>
      <c r="CL658" s="84"/>
    </row>
    <row r="659" spans="66:90" s="354" customFormat="1" x14ac:dyDescent="0.2">
      <c r="BN659" s="84"/>
      <c r="BO659" s="84"/>
      <c r="BP659" s="84"/>
      <c r="BQ659" s="84"/>
      <c r="BR659" s="84"/>
      <c r="BS659" s="84"/>
      <c r="BT659" s="84"/>
      <c r="BU659" s="84"/>
      <c r="BV659" s="84"/>
      <c r="BW659" s="84"/>
      <c r="BX659" s="84"/>
      <c r="BY659" s="84"/>
      <c r="BZ659" s="84"/>
      <c r="CA659" s="84"/>
      <c r="CB659" s="84"/>
      <c r="CC659" s="84"/>
      <c r="CD659" s="84"/>
      <c r="CE659" s="84"/>
      <c r="CF659" s="84"/>
      <c r="CG659" s="84"/>
      <c r="CH659" s="84"/>
      <c r="CI659" s="84"/>
      <c r="CJ659" s="84"/>
      <c r="CK659" s="84"/>
      <c r="CL659" s="84"/>
    </row>
    <row r="660" spans="66:90" s="354" customFormat="1" x14ac:dyDescent="0.2">
      <c r="BN660" s="84"/>
      <c r="BO660" s="84"/>
      <c r="BP660" s="84"/>
      <c r="BQ660" s="84"/>
      <c r="BR660" s="84"/>
      <c r="BS660" s="84"/>
      <c r="BT660" s="84"/>
      <c r="BU660" s="84"/>
      <c r="BV660" s="84"/>
      <c r="BW660" s="84"/>
      <c r="BX660" s="84"/>
      <c r="BY660" s="84"/>
      <c r="BZ660" s="84"/>
      <c r="CA660" s="84"/>
      <c r="CB660" s="84"/>
      <c r="CC660" s="84"/>
      <c r="CD660" s="84"/>
      <c r="CE660" s="84"/>
      <c r="CF660" s="84"/>
      <c r="CG660" s="84"/>
      <c r="CH660" s="84"/>
      <c r="CI660" s="84"/>
      <c r="CJ660" s="84"/>
      <c r="CK660" s="84"/>
      <c r="CL660" s="84"/>
    </row>
    <row r="661" spans="66:90" s="354" customFormat="1" x14ac:dyDescent="0.2">
      <c r="BN661" s="84"/>
      <c r="BO661" s="84"/>
      <c r="BP661" s="84"/>
      <c r="BQ661" s="84"/>
      <c r="BR661" s="84"/>
      <c r="BS661" s="84"/>
      <c r="BT661" s="84"/>
      <c r="BU661" s="84"/>
      <c r="BV661" s="84"/>
      <c r="BW661" s="84"/>
      <c r="BX661" s="84"/>
      <c r="BY661" s="84"/>
      <c r="BZ661" s="84"/>
      <c r="CA661" s="84"/>
      <c r="CB661" s="84"/>
      <c r="CC661" s="84"/>
      <c r="CD661" s="84"/>
      <c r="CE661" s="84"/>
      <c r="CF661" s="84"/>
      <c r="CG661" s="84"/>
      <c r="CH661" s="84"/>
      <c r="CI661" s="84"/>
      <c r="CJ661" s="84"/>
      <c r="CK661" s="84"/>
      <c r="CL661" s="84"/>
    </row>
    <row r="662" spans="66:90" s="354" customFormat="1" x14ac:dyDescent="0.2">
      <c r="BN662" s="84"/>
      <c r="BO662" s="84"/>
      <c r="BP662" s="84"/>
      <c r="BQ662" s="84"/>
      <c r="BR662" s="84"/>
      <c r="BS662" s="84"/>
      <c r="BT662" s="84"/>
      <c r="BU662" s="84"/>
      <c r="BV662" s="84"/>
      <c r="BW662" s="84"/>
      <c r="BX662" s="84"/>
      <c r="BY662" s="84"/>
      <c r="BZ662" s="84"/>
      <c r="CA662" s="84"/>
      <c r="CB662" s="84"/>
      <c r="CC662" s="84"/>
      <c r="CD662" s="84"/>
      <c r="CE662" s="84"/>
      <c r="CF662" s="84"/>
      <c r="CG662" s="84"/>
      <c r="CH662" s="84"/>
      <c r="CI662" s="84"/>
      <c r="CJ662" s="84"/>
      <c r="CK662" s="84"/>
      <c r="CL662" s="84"/>
    </row>
    <row r="663" spans="66:90" s="354" customFormat="1" x14ac:dyDescent="0.2">
      <c r="BN663" s="84"/>
      <c r="BO663" s="84"/>
      <c r="BP663" s="84"/>
      <c r="BQ663" s="84"/>
      <c r="BR663" s="84"/>
      <c r="BS663" s="84"/>
      <c r="BT663" s="84"/>
      <c r="BU663" s="84"/>
      <c r="BV663" s="84"/>
      <c r="BW663" s="84"/>
      <c r="BX663" s="84"/>
      <c r="BY663" s="84"/>
      <c r="BZ663" s="84"/>
      <c r="CA663" s="84"/>
      <c r="CB663" s="84"/>
      <c r="CC663" s="84"/>
      <c r="CD663" s="84"/>
      <c r="CE663" s="84"/>
      <c r="CF663" s="84"/>
      <c r="CG663" s="84"/>
      <c r="CH663" s="84"/>
      <c r="CI663" s="84"/>
      <c r="CJ663" s="84"/>
      <c r="CK663" s="84"/>
      <c r="CL663" s="84"/>
    </row>
    <row r="664" spans="66:90" s="354" customFormat="1" x14ac:dyDescent="0.2">
      <c r="BN664" s="84"/>
      <c r="BO664" s="84"/>
      <c r="BP664" s="84"/>
      <c r="BQ664" s="84"/>
      <c r="BR664" s="84"/>
      <c r="BS664" s="84"/>
      <c r="BT664" s="84"/>
      <c r="BU664" s="84"/>
      <c r="BV664" s="84"/>
      <c r="BW664" s="84"/>
      <c r="BX664" s="84"/>
      <c r="BY664" s="84"/>
      <c r="BZ664" s="84"/>
      <c r="CA664" s="84"/>
      <c r="CB664" s="84"/>
      <c r="CC664" s="84"/>
      <c r="CD664" s="84"/>
      <c r="CE664" s="84"/>
      <c r="CF664" s="84"/>
      <c r="CG664" s="84"/>
      <c r="CH664" s="84"/>
      <c r="CI664" s="84"/>
      <c r="CJ664" s="84"/>
      <c r="CK664" s="84"/>
      <c r="CL664" s="84"/>
    </row>
    <row r="665" spans="66:90" s="354" customFormat="1" x14ac:dyDescent="0.2">
      <c r="BN665" s="84"/>
      <c r="BO665" s="84"/>
      <c r="BP665" s="84"/>
      <c r="BQ665" s="84"/>
      <c r="BR665" s="84"/>
      <c r="BS665" s="84"/>
      <c r="BT665" s="84"/>
      <c r="BU665" s="84"/>
      <c r="BV665" s="84"/>
      <c r="BW665" s="84"/>
      <c r="BX665" s="84"/>
      <c r="BY665" s="84"/>
      <c r="BZ665" s="84"/>
      <c r="CA665" s="84"/>
      <c r="CB665" s="84"/>
      <c r="CC665" s="84"/>
      <c r="CD665" s="84"/>
      <c r="CE665" s="84"/>
      <c r="CF665" s="84"/>
      <c r="CG665" s="84"/>
      <c r="CH665" s="84"/>
      <c r="CI665" s="84"/>
      <c r="CJ665" s="84"/>
      <c r="CK665" s="84"/>
      <c r="CL665" s="84"/>
    </row>
    <row r="666" spans="66:90" s="354" customFormat="1" x14ac:dyDescent="0.2">
      <c r="BN666" s="84"/>
      <c r="BO666" s="84"/>
      <c r="BP666" s="84"/>
      <c r="BQ666" s="84"/>
      <c r="BR666" s="84"/>
      <c r="BS666" s="84"/>
      <c r="BT666" s="84"/>
      <c r="BU666" s="84"/>
      <c r="BV666" s="84"/>
      <c r="BW666" s="84"/>
      <c r="BX666" s="84"/>
      <c r="BY666" s="84"/>
      <c r="BZ666" s="84"/>
      <c r="CA666" s="84"/>
      <c r="CB666" s="84"/>
      <c r="CC666" s="84"/>
      <c r="CD666" s="84"/>
      <c r="CE666" s="84"/>
      <c r="CF666" s="84"/>
      <c r="CG666" s="84"/>
      <c r="CH666" s="84"/>
      <c r="CI666" s="84"/>
      <c r="CJ666" s="84"/>
      <c r="CK666" s="84"/>
      <c r="CL666" s="84"/>
    </row>
    <row r="667" spans="66:90" s="354" customFormat="1" x14ac:dyDescent="0.2">
      <c r="BN667" s="84"/>
      <c r="BO667" s="84"/>
      <c r="BP667" s="84"/>
      <c r="BQ667" s="84"/>
      <c r="BR667" s="84"/>
      <c r="BS667" s="84"/>
      <c r="BT667" s="84"/>
      <c r="BU667" s="84"/>
      <c r="BV667" s="84"/>
      <c r="BW667" s="84"/>
      <c r="BX667" s="84"/>
      <c r="BY667" s="84"/>
      <c r="BZ667" s="84"/>
      <c r="CA667" s="84"/>
      <c r="CB667" s="84"/>
      <c r="CC667" s="84"/>
      <c r="CD667" s="84"/>
      <c r="CE667" s="84"/>
      <c r="CF667" s="84"/>
      <c r="CG667" s="84"/>
      <c r="CH667" s="84"/>
      <c r="CI667" s="84"/>
      <c r="CJ667" s="84"/>
      <c r="CK667" s="84"/>
      <c r="CL667" s="84"/>
    </row>
    <row r="668" spans="66:90" s="354" customFormat="1" x14ac:dyDescent="0.2">
      <c r="BN668" s="84"/>
      <c r="BO668" s="84"/>
      <c r="BP668" s="84"/>
      <c r="BQ668" s="84"/>
      <c r="BR668" s="84"/>
      <c r="BS668" s="84"/>
      <c r="BT668" s="84"/>
      <c r="BU668" s="84"/>
      <c r="BV668" s="84"/>
      <c r="BW668" s="84"/>
      <c r="BX668" s="84"/>
      <c r="BY668" s="84"/>
      <c r="BZ668" s="84"/>
      <c r="CA668" s="84"/>
      <c r="CB668" s="84"/>
      <c r="CC668" s="84"/>
      <c r="CD668" s="84"/>
      <c r="CE668" s="84"/>
      <c r="CF668" s="84"/>
      <c r="CG668" s="84"/>
      <c r="CH668" s="84"/>
      <c r="CI668" s="84"/>
      <c r="CJ668" s="84"/>
      <c r="CK668" s="84"/>
      <c r="CL668" s="84"/>
    </row>
    <row r="669" spans="66:90" s="354" customFormat="1" x14ac:dyDescent="0.2">
      <c r="BN669" s="84"/>
      <c r="BO669" s="84"/>
      <c r="BP669" s="84"/>
      <c r="BQ669" s="84"/>
      <c r="BR669" s="84"/>
      <c r="BS669" s="84"/>
      <c r="BT669" s="84"/>
      <c r="BU669" s="84"/>
      <c r="BV669" s="84"/>
      <c r="BW669" s="84"/>
      <c r="BX669" s="84"/>
      <c r="BY669" s="84"/>
      <c r="BZ669" s="84"/>
      <c r="CA669" s="84"/>
      <c r="CB669" s="84"/>
      <c r="CC669" s="84"/>
      <c r="CD669" s="84"/>
      <c r="CE669" s="84"/>
      <c r="CF669" s="84"/>
      <c r="CG669" s="84"/>
      <c r="CH669" s="84"/>
      <c r="CI669" s="84"/>
      <c r="CJ669" s="84"/>
      <c r="CK669" s="84"/>
      <c r="CL669" s="84"/>
    </row>
    <row r="670" spans="66:90" s="354" customFormat="1" x14ac:dyDescent="0.2">
      <c r="BN670" s="84"/>
      <c r="BO670" s="84"/>
      <c r="BP670" s="84"/>
      <c r="BQ670" s="84"/>
      <c r="BR670" s="84"/>
      <c r="BS670" s="84"/>
      <c r="BT670" s="84"/>
      <c r="BU670" s="84"/>
      <c r="BV670" s="84"/>
      <c r="BW670" s="84"/>
      <c r="BX670" s="84"/>
      <c r="BY670" s="84"/>
      <c r="BZ670" s="84"/>
      <c r="CA670" s="84"/>
      <c r="CB670" s="84"/>
      <c r="CC670" s="84"/>
      <c r="CD670" s="84"/>
      <c r="CE670" s="84"/>
      <c r="CF670" s="84"/>
      <c r="CG670" s="84"/>
      <c r="CH670" s="84"/>
      <c r="CI670" s="84"/>
      <c r="CJ670" s="84"/>
      <c r="CK670" s="84"/>
      <c r="CL670" s="84"/>
    </row>
    <row r="671" spans="66:90" s="354" customFormat="1" x14ac:dyDescent="0.2">
      <c r="BN671" s="84"/>
      <c r="BO671" s="84"/>
      <c r="BP671" s="84"/>
      <c r="BQ671" s="84"/>
      <c r="BR671" s="84"/>
      <c r="BS671" s="84"/>
      <c r="BT671" s="84"/>
      <c r="BU671" s="84"/>
      <c r="BV671" s="84"/>
      <c r="BW671" s="84"/>
      <c r="BX671" s="84"/>
      <c r="BY671" s="84"/>
      <c r="BZ671" s="84"/>
      <c r="CA671" s="84"/>
      <c r="CB671" s="84"/>
      <c r="CC671" s="84"/>
      <c r="CD671" s="84"/>
      <c r="CE671" s="84"/>
      <c r="CF671" s="84"/>
      <c r="CG671" s="84"/>
      <c r="CH671" s="84"/>
      <c r="CI671" s="84"/>
      <c r="CJ671" s="84"/>
      <c r="CK671" s="84"/>
      <c r="CL671" s="84"/>
    </row>
    <row r="672" spans="66:90" s="354" customFormat="1" x14ac:dyDescent="0.2">
      <c r="BN672" s="84"/>
      <c r="BO672" s="84"/>
      <c r="BP672" s="84"/>
      <c r="BQ672" s="84"/>
      <c r="BR672" s="84"/>
      <c r="BS672" s="84"/>
      <c r="BT672" s="84"/>
      <c r="BU672" s="84"/>
      <c r="BV672" s="84"/>
      <c r="BW672" s="84"/>
      <c r="BX672" s="84"/>
      <c r="BY672" s="84"/>
      <c r="BZ672" s="84"/>
      <c r="CA672" s="84"/>
      <c r="CB672" s="84"/>
      <c r="CC672" s="84"/>
      <c r="CD672" s="84"/>
      <c r="CE672" s="84"/>
      <c r="CF672" s="84"/>
      <c r="CG672" s="84"/>
      <c r="CH672" s="84"/>
      <c r="CI672" s="84"/>
      <c r="CJ672" s="84"/>
      <c r="CK672" s="84"/>
      <c r="CL672" s="84"/>
    </row>
    <row r="673" spans="66:90" s="354" customFormat="1" x14ac:dyDescent="0.2">
      <c r="BN673" s="84"/>
      <c r="BO673" s="84"/>
      <c r="BP673" s="84"/>
      <c r="BQ673" s="84"/>
      <c r="BR673" s="84"/>
      <c r="BS673" s="84"/>
      <c r="BT673" s="84"/>
      <c r="BU673" s="84"/>
      <c r="BV673" s="84"/>
      <c r="BW673" s="84"/>
      <c r="BX673" s="84"/>
      <c r="BY673" s="84"/>
      <c r="BZ673" s="84"/>
      <c r="CA673" s="84"/>
      <c r="CB673" s="84"/>
      <c r="CC673" s="84"/>
      <c r="CD673" s="84"/>
      <c r="CE673" s="84"/>
      <c r="CF673" s="84"/>
      <c r="CG673" s="84"/>
      <c r="CH673" s="84"/>
      <c r="CI673" s="84"/>
      <c r="CJ673" s="84"/>
      <c r="CK673" s="84"/>
      <c r="CL673" s="84"/>
    </row>
    <row r="674" spans="66:90" s="354" customFormat="1" x14ac:dyDescent="0.2">
      <c r="BN674" s="84"/>
      <c r="BO674" s="84"/>
      <c r="BP674" s="84"/>
      <c r="BQ674" s="84"/>
      <c r="BR674" s="84"/>
      <c r="BS674" s="84"/>
      <c r="BT674" s="84"/>
      <c r="BU674" s="84"/>
      <c r="BV674" s="84"/>
      <c r="BW674" s="84"/>
      <c r="BX674" s="84"/>
      <c r="BY674" s="84"/>
      <c r="BZ674" s="84"/>
      <c r="CA674" s="84"/>
      <c r="CB674" s="84"/>
      <c r="CC674" s="84"/>
      <c r="CD674" s="84"/>
      <c r="CE674" s="84"/>
      <c r="CF674" s="84"/>
      <c r="CG674" s="84"/>
      <c r="CH674" s="84"/>
      <c r="CI674" s="84"/>
      <c r="CJ674" s="84"/>
      <c r="CK674" s="84"/>
      <c r="CL674" s="84"/>
    </row>
    <row r="675" spans="66:90" s="354" customFormat="1" x14ac:dyDescent="0.2">
      <c r="BN675" s="84"/>
      <c r="BO675" s="84"/>
      <c r="BP675" s="84"/>
      <c r="BQ675" s="84"/>
      <c r="BR675" s="84"/>
      <c r="BS675" s="84"/>
      <c r="BT675" s="84"/>
      <c r="BU675" s="84"/>
      <c r="BV675" s="84"/>
      <c r="BW675" s="84"/>
      <c r="BX675" s="84"/>
      <c r="BY675" s="84"/>
      <c r="BZ675" s="84"/>
      <c r="CA675" s="84"/>
      <c r="CB675" s="84"/>
      <c r="CC675" s="84"/>
      <c r="CD675" s="84"/>
      <c r="CE675" s="84"/>
      <c r="CF675" s="84"/>
      <c r="CG675" s="84"/>
      <c r="CH675" s="84"/>
      <c r="CI675" s="84"/>
      <c r="CJ675" s="84"/>
      <c r="CK675" s="84"/>
      <c r="CL675" s="84"/>
    </row>
    <row r="676" spans="66:90" s="354" customFormat="1" x14ac:dyDescent="0.2">
      <c r="BN676" s="84"/>
      <c r="BO676" s="84"/>
      <c r="BP676" s="84"/>
      <c r="BQ676" s="84"/>
      <c r="BR676" s="84"/>
      <c r="BS676" s="84"/>
      <c r="BT676" s="84"/>
      <c r="BU676" s="84"/>
      <c r="BV676" s="84"/>
      <c r="BW676" s="84"/>
      <c r="BX676" s="84"/>
      <c r="BY676" s="84"/>
      <c r="BZ676" s="84"/>
      <c r="CA676" s="84"/>
      <c r="CB676" s="84"/>
      <c r="CC676" s="84"/>
      <c r="CD676" s="84"/>
      <c r="CE676" s="84"/>
      <c r="CF676" s="84"/>
      <c r="CG676" s="84"/>
      <c r="CH676" s="84"/>
      <c r="CI676" s="84"/>
      <c r="CJ676" s="84"/>
      <c r="CK676" s="84"/>
      <c r="CL676" s="84"/>
    </row>
    <row r="677" spans="66:90" s="354" customFormat="1" x14ac:dyDescent="0.2">
      <c r="BN677" s="84"/>
      <c r="BO677" s="84"/>
      <c r="BP677" s="84"/>
      <c r="BQ677" s="84"/>
      <c r="BR677" s="84"/>
      <c r="BS677" s="84"/>
      <c r="BT677" s="84"/>
      <c r="BU677" s="84"/>
      <c r="BV677" s="84"/>
      <c r="BW677" s="84"/>
      <c r="BX677" s="84"/>
      <c r="BY677" s="84"/>
      <c r="BZ677" s="84"/>
      <c r="CA677" s="84"/>
      <c r="CB677" s="84"/>
      <c r="CC677" s="84"/>
      <c r="CD677" s="84"/>
      <c r="CE677" s="84"/>
      <c r="CF677" s="84"/>
      <c r="CG677" s="84"/>
      <c r="CH677" s="84"/>
      <c r="CI677" s="84"/>
      <c r="CJ677" s="84"/>
      <c r="CK677" s="84"/>
      <c r="CL677" s="84"/>
    </row>
    <row r="678" spans="66:90" s="354" customFormat="1" x14ac:dyDescent="0.2">
      <c r="BN678" s="84"/>
      <c r="BO678" s="84"/>
      <c r="BP678" s="84"/>
      <c r="BQ678" s="84"/>
      <c r="BR678" s="84"/>
      <c r="BS678" s="84"/>
      <c r="BT678" s="84"/>
      <c r="BU678" s="84"/>
      <c r="BV678" s="84"/>
      <c r="BW678" s="84"/>
      <c r="BX678" s="84"/>
      <c r="BY678" s="84"/>
      <c r="BZ678" s="84"/>
      <c r="CA678" s="84"/>
      <c r="CB678" s="84"/>
      <c r="CC678" s="84"/>
      <c r="CD678" s="84"/>
      <c r="CE678" s="84"/>
      <c r="CF678" s="84"/>
      <c r="CG678" s="84"/>
      <c r="CH678" s="84"/>
      <c r="CI678" s="84"/>
      <c r="CJ678" s="84"/>
      <c r="CK678" s="84"/>
      <c r="CL678" s="84"/>
    </row>
    <row r="679" spans="66:90" s="354" customFormat="1" x14ac:dyDescent="0.2">
      <c r="BN679" s="84"/>
      <c r="BO679" s="84"/>
      <c r="BP679" s="84"/>
      <c r="BQ679" s="84"/>
      <c r="BR679" s="84"/>
      <c r="BS679" s="84"/>
      <c r="BT679" s="84"/>
      <c r="BU679" s="84"/>
      <c r="BV679" s="84"/>
      <c r="BW679" s="84"/>
      <c r="BX679" s="84"/>
      <c r="BY679" s="84"/>
      <c r="BZ679" s="84"/>
      <c r="CA679" s="84"/>
      <c r="CB679" s="84"/>
      <c r="CC679" s="84"/>
      <c r="CD679" s="84"/>
      <c r="CE679" s="84"/>
      <c r="CF679" s="84"/>
      <c r="CG679" s="84"/>
      <c r="CH679" s="84"/>
      <c r="CI679" s="84"/>
      <c r="CJ679" s="84"/>
      <c r="CK679" s="84"/>
      <c r="CL679" s="84"/>
    </row>
    <row r="680" spans="66:90" s="354" customFormat="1" x14ac:dyDescent="0.2">
      <c r="BN680" s="84"/>
      <c r="BO680" s="84"/>
      <c r="BP680" s="84"/>
      <c r="BQ680" s="84"/>
      <c r="BR680" s="84"/>
      <c r="BS680" s="84"/>
      <c r="BT680" s="84"/>
      <c r="BU680" s="84"/>
      <c r="BV680" s="84"/>
      <c r="BW680" s="84"/>
      <c r="BX680" s="84"/>
      <c r="BY680" s="84"/>
      <c r="BZ680" s="84"/>
      <c r="CA680" s="84"/>
      <c r="CB680" s="84"/>
      <c r="CC680" s="84"/>
      <c r="CD680" s="84"/>
      <c r="CE680" s="84"/>
      <c r="CF680" s="84"/>
      <c r="CG680" s="84"/>
      <c r="CH680" s="84"/>
      <c r="CI680" s="84"/>
      <c r="CJ680" s="84"/>
      <c r="CK680" s="84"/>
      <c r="CL680" s="84"/>
    </row>
    <row r="681" spans="66:90" s="354" customFormat="1" x14ac:dyDescent="0.2">
      <c r="BN681" s="84"/>
      <c r="BO681" s="84"/>
      <c r="BP681" s="84"/>
      <c r="BQ681" s="84"/>
      <c r="BR681" s="84"/>
      <c r="BS681" s="84"/>
      <c r="BT681" s="84"/>
      <c r="BU681" s="84"/>
      <c r="BV681" s="84"/>
      <c r="BW681" s="84"/>
      <c r="BX681" s="84"/>
      <c r="BY681" s="84"/>
      <c r="BZ681" s="84"/>
      <c r="CA681" s="84"/>
      <c r="CB681" s="84"/>
      <c r="CC681" s="84"/>
      <c r="CD681" s="84"/>
      <c r="CE681" s="84"/>
      <c r="CF681" s="84"/>
      <c r="CG681" s="84"/>
      <c r="CH681" s="84"/>
      <c r="CI681" s="84"/>
      <c r="CJ681" s="84"/>
      <c r="CK681" s="84"/>
      <c r="CL681" s="84"/>
    </row>
    <row r="682" spans="66:90" s="354" customFormat="1" x14ac:dyDescent="0.2">
      <c r="BN682" s="84"/>
      <c r="BO682" s="84"/>
      <c r="BP682" s="84"/>
      <c r="BQ682" s="84"/>
      <c r="BR682" s="84"/>
      <c r="BS682" s="84"/>
      <c r="BT682" s="84"/>
      <c r="BU682" s="84"/>
      <c r="BV682" s="84"/>
      <c r="BW682" s="84"/>
      <c r="BX682" s="84"/>
      <c r="BY682" s="84"/>
      <c r="BZ682" s="84"/>
      <c r="CA682" s="84"/>
      <c r="CB682" s="84"/>
      <c r="CC682" s="84"/>
      <c r="CD682" s="84"/>
      <c r="CE682" s="84"/>
      <c r="CF682" s="84"/>
      <c r="CG682" s="84"/>
      <c r="CH682" s="84"/>
      <c r="CI682" s="84"/>
      <c r="CJ682" s="84"/>
      <c r="CK682" s="84"/>
      <c r="CL682" s="84"/>
    </row>
    <row r="683" spans="66:90" s="354" customFormat="1" x14ac:dyDescent="0.2">
      <c r="BN683" s="84"/>
      <c r="BO683" s="84"/>
      <c r="BP683" s="84"/>
      <c r="BQ683" s="84"/>
      <c r="BR683" s="84"/>
      <c r="BS683" s="84"/>
      <c r="BT683" s="84"/>
      <c r="BU683" s="84"/>
      <c r="BV683" s="84"/>
      <c r="BW683" s="84"/>
      <c r="BX683" s="84"/>
      <c r="BY683" s="84"/>
      <c r="BZ683" s="84"/>
      <c r="CA683" s="84"/>
      <c r="CB683" s="84"/>
      <c r="CC683" s="84"/>
      <c r="CD683" s="84"/>
      <c r="CE683" s="84"/>
      <c r="CF683" s="84"/>
      <c r="CG683" s="84"/>
      <c r="CH683" s="84"/>
      <c r="CI683" s="84"/>
      <c r="CJ683" s="84"/>
      <c r="CK683" s="84"/>
      <c r="CL683" s="84"/>
    </row>
    <row r="684" spans="66:90" s="354" customFormat="1" x14ac:dyDescent="0.2">
      <c r="BN684" s="84"/>
      <c r="BO684" s="84"/>
      <c r="BP684" s="84"/>
      <c r="BQ684" s="84"/>
      <c r="BR684" s="84"/>
      <c r="BS684" s="84"/>
      <c r="BT684" s="84"/>
      <c r="BU684" s="84"/>
      <c r="BV684" s="84"/>
      <c r="BW684" s="84"/>
      <c r="BX684" s="84"/>
      <c r="BY684" s="84"/>
      <c r="BZ684" s="84"/>
      <c r="CA684" s="84"/>
      <c r="CB684" s="84"/>
      <c r="CC684" s="84"/>
      <c r="CD684" s="84"/>
      <c r="CE684" s="84"/>
      <c r="CF684" s="84"/>
      <c r="CG684" s="84"/>
      <c r="CH684" s="84"/>
      <c r="CI684" s="84"/>
      <c r="CJ684" s="84"/>
      <c r="CK684" s="84"/>
      <c r="CL684" s="84"/>
    </row>
    <row r="685" spans="66:90" s="354" customFormat="1" x14ac:dyDescent="0.2">
      <c r="BN685" s="84"/>
      <c r="BO685" s="84"/>
      <c r="BP685" s="84"/>
      <c r="BQ685" s="84"/>
      <c r="BR685" s="84"/>
      <c r="BS685" s="84"/>
      <c r="BT685" s="84"/>
      <c r="BU685" s="84"/>
      <c r="BV685" s="84"/>
      <c r="BW685" s="84"/>
      <c r="BX685" s="84"/>
      <c r="BY685" s="84"/>
      <c r="BZ685" s="84"/>
      <c r="CA685" s="84"/>
      <c r="CB685" s="84"/>
      <c r="CC685" s="84"/>
      <c r="CD685" s="84"/>
      <c r="CE685" s="84"/>
      <c r="CF685" s="84"/>
      <c r="CG685" s="84"/>
      <c r="CH685" s="84"/>
      <c r="CI685" s="84"/>
      <c r="CJ685" s="84"/>
      <c r="CK685" s="84"/>
      <c r="CL685" s="84"/>
    </row>
    <row r="686" spans="66:90" s="354" customFormat="1" x14ac:dyDescent="0.2">
      <c r="BN686" s="84"/>
      <c r="BO686" s="84"/>
      <c r="BP686" s="84"/>
      <c r="BQ686" s="84"/>
      <c r="BR686" s="84"/>
      <c r="BS686" s="84"/>
      <c r="BT686" s="84"/>
      <c r="BU686" s="84"/>
      <c r="BV686" s="84"/>
      <c r="BW686" s="84"/>
      <c r="BX686" s="84"/>
      <c r="BY686" s="84"/>
      <c r="BZ686" s="84"/>
      <c r="CA686" s="84"/>
      <c r="CB686" s="84"/>
      <c r="CC686" s="84"/>
      <c r="CD686" s="84"/>
      <c r="CE686" s="84"/>
      <c r="CF686" s="84"/>
      <c r="CG686" s="84"/>
      <c r="CH686" s="84"/>
      <c r="CI686" s="84"/>
      <c r="CJ686" s="84"/>
      <c r="CK686" s="84"/>
      <c r="CL686" s="84"/>
    </row>
    <row r="687" spans="66:90" s="354" customFormat="1" x14ac:dyDescent="0.2">
      <c r="BN687" s="84"/>
      <c r="BO687" s="84"/>
      <c r="BP687" s="84"/>
      <c r="BQ687" s="84"/>
      <c r="BR687" s="84"/>
      <c r="BS687" s="84"/>
      <c r="BT687" s="84"/>
      <c r="BU687" s="84"/>
      <c r="BV687" s="84"/>
      <c r="BW687" s="84"/>
      <c r="BX687" s="84"/>
      <c r="BY687" s="84"/>
      <c r="BZ687" s="84"/>
      <c r="CA687" s="84"/>
      <c r="CB687" s="84"/>
      <c r="CC687" s="84"/>
      <c r="CD687" s="84"/>
      <c r="CE687" s="84"/>
      <c r="CF687" s="84"/>
      <c r="CG687" s="84"/>
      <c r="CH687" s="84"/>
      <c r="CI687" s="84"/>
      <c r="CJ687" s="84"/>
      <c r="CK687" s="84"/>
      <c r="CL687" s="84"/>
    </row>
    <row r="688" spans="66:90" s="354" customFormat="1" x14ac:dyDescent="0.2">
      <c r="BN688" s="84"/>
      <c r="BO688" s="84"/>
      <c r="BP688" s="84"/>
      <c r="BQ688" s="84"/>
      <c r="BR688" s="84"/>
      <c r="BS688" s="84"/>
      <c r="BT688" s="84"/>
      <c r="BU688" s="84"/>
      <c r="BV688" s="84"/>
      <c r="BW688" s="84"/>
      <c r="BX688" s="84"/>
      <c r="BY688" s="84"/>
      <c r="BZ688" s="84"/>
      <c r="CA688" s="84"/>
      <c r="CB688" s="84"/>
      <c r="CC688" s="84"/>
      <c r="CD688" s="84"/>
      <c r="CE688" s="84"/>
      <c r="CF688" s="84"/>
      <c r="CG688" s="84"/>
      <c r="CH688" s="84"/>
      <c r="CI688" s="84"/>
      <c r="CJ688" s="84"/>
      <c r="CK688" s="84"/>
      <c r="CL688" s="84"/>
    </row>
    <row r="689" spans="66:90" s="354" customFormat="1" x14ac:dyDescent="0.2">
      <c r="BN689" s="84"/>
      <c r="BO689" s="84"/>
      <c r="BP689" s="84"/>
      <c r="BQ689" s="84"/>
      <c r="BR689" s="84"/>
      <c r="BS689" s="84"/>
      <c r="BT689" s="84"/>
      <c r="BU689" s="84"/>
      <c r="BV689" s="84"/>
      <c r="BW689" s="84"/>
      <c r="BX689" s="84"/>
      <c r="BY689" s="84"/>
      <c r="BZ689" s="84"/>
      <c r="CA689" s="84"/>
      <c r="CB689" s="84"/>
      <c r="CC689" s="84"/>
      <c r="CD689" s="84"/>
      <c r="CE689" s="84"/>
      <c r="CF689" s="84"/>
      <c r="CG689" s="84"/>
      <c r="CH689" s="84"/>
      <c r="CI689" s="84"/>
      <c r="CJ689" s="84"/>
      <c r="CK689" s="84"/>
      <c r="CL689" s="84"/>
    </row>
    <row r="690" spans="66:90" s="354" customFormat="1" x14ac:dyDescent="0.2">
      <c r="BN690" s="84"/>
      <c r="BO690" s="84"/>
      <c r="BP690" s="84"/>
      <c r="BQ690" s="84"/>
      <c r="BR690" s="84"/>
      <c r="BS690" s="84"/>
      <c r="BT690" s="84"/>
      <c r="BU690" s="84"/>
      <c r="BV690" s="84"/>
      <c r="BW690" s="84"/>
      <c r="BX690" s="84"/>
      <c r="BY690" s="84"/>
      <c r="BZ690" s="84"/>
      <c r="CA690" s="84"/>
      <c r="CB690" s="84"/>
      <c r="CC690" s="84"/>
      <c r="CD690" s="84"/>
      <c r="CE690" s="84"/>
      <c r="CF690" s="84"/>
      <c r="CG690" s="84"/>
      <c r="CH690" s="84"/>
      <c r="CI690" s="84"/>
      <c r="CJ690" s="84"/>
      <c r="CK690" s="84"/>
      <c r="CL690" s="84"/>
    </row>
    <row r="691" spans="66:90" s="354" customFormat="1" x14ac:dyDescent="0.2">
      <c r="BN691" s="84"/>
      <c r="BO691" s="84"/>
      <c r="BP691" s="84"/>
      <c r="BQ691" s="84"/>
      <c r="BR691" s="84"/>
      <c r="BS691" s="84"/>
      <c r="BT691" s="84"/>
      <c r="BU691" s="84"/>
      <c r="BV691" s="84"/>
      <c r="BW691" s="84"/>
      <c r="BX691" s="84"/>
      <c r="BY691" s="84"/>
      <c r="BZ691" s="84"/>
      <c r="CA691" s="84"/>
      <c r="CB691" s="84"/>
      <c r="CC691" s="84"/>
      <c r="CD691" s="84"/>
      <c r="CE691" s="84"/>
      <c r="CF691" s="84"/>
      <c r="CG691" s="84"/>
      <c r="CH691" s="84"/>
      <c r="CI691" s="84"/>
      <c r="CJ691" s="84"/>
      <c r="CK691" s="84"/>
      <c r="CL691" s="84"/>
    </row>
    <row r="692" spans="66:90" s="354" customFormat="1" x14ac:dyDescent="0.2">
      <c r="BN692" s="84"/>
      <c r="BO692" s="84"/>
      <c r="BP692" s="84"/>
      <c r="BQ692" s="84"/>
      <c r="BR692" s="84"/>
      <c r="BS692" s="84"/>
      <c r="BT692" s="84"/>
      <c r="BU692" s="84"/>
      <c r="BV692" s="84"/>
      <c r="BW692" s="84"/>
      <c r="BX692" s="84"/>
      <c r="BY692" s="84"/>
      <c r="BZ692" s="84"/>
      <c r="CA692" s="84"/>
      <c r="CB692" s="84"/>
      <c r="CC692" s="84"/>
      <c r="CD692" s="84"/>
      <c r="CE692" s="84"/>
      <c r="CF692" s="84"/>
      <c r="CG692" s="84"/>
      <c r="CH692" s="84"/>
      <c r="CI692" s="84"/>
      <c r="CJ692" s="84"/>
      <c r="CK692" s="84"/>
      <c r="CL692" s="84"/>
    </row>
    <row r="693" spans="66:90" s="354" customFormat="1" x14ac:dyDescent="0.2">
      <c r="BN693" s="84"/>
      <c r="BO693" s="84"/>
      <c r="BP693" s="84"/>
      <c r="BQ693" s="84"/>
      <c r="BR693" s="84"/>
      <c r="BS693" s="84"/>
      <c r="BT693" s="84"/>
      <c r="BU693" s="84"/>
      <c r="BV693" s="84"/>
      <c r="BW693" s="84"/>
      <c r="BX693" s="84"/>
      <c r="BY693" s="84"/>
      <c r="BZ693" s="84"/>
      <c r="CA693" s="84"/>
      <c r="CB693" s="84"/>
      <c r="CC693" s="84"/>
      <c r="CD693" s="84"/>
      <c r="CE693" s="84"/>
      <c r="CF693" s="84"/>
      <c r="CG693" s="84"/>
      <c r="CH693" s="84"/>
      <c r="CI693" s="84"/>
      <c r="CJ693" s="84"/>
      <c r="CK693" s="84"/>
      <c r="CL693" s="84"/>
    </row>
    <row r="694" spans="66:90" s="354" customFormat="1" x14ac:dyDescent="0.2">
      <c r="BN694" s="84"/>
      <c r="BO694" s="84"/>
      <c r="BP694" s="84"/>
      <c r="BQ694" s="84"/>
      <c r="BR694" s="84"/>
      <c r="BS694" s="84"/>
      <c r="BT694" s="84"/>
      <c r="BU694" s="84"/>
      <c r="BV694" s="84"/>
      <c r="BW694" s="84"/>
      <c r="BX694" s="84"/>
      <c r="BY694" s="84"/>
      <c r="BZ694" s="84"/>
      <c r="CA694" s="84"/>
      <c r="CB694" s="84"/>
      <c r="CC694" s="84"/>
      <c r="CD694" s="84"/>
      <c r="CE694" s="84"/>
      <c r="CF694" s="84"/>
      <c r="CG694" s="84"/>
      <c r="CH694" s="84"/>
      <c r="CI694" s="84"/>
      <c r="CJ694" s="84"/>
      <c r="CK694" s="84"/>
      <c r="CL694" s="84"/>
    </row>
    <row r="695" spans="66:90" s="354" customFormat="1" x14ac:dyDescent="0.2">
      <c r="BN695" s="84"/>
      <c r="BO695" s="84"/>
      <c r="BP695" s="84"/>
      <c r="BQ695" s="84"/>
      <c r="BR695" s="84"/>
      <c r="BS695" s="84"/>
      <c r="BT695" s="84"/>
      <c r="BU695" s="84"/>
      <c r="BV695" s="84"/>
      <c r="BW695" s="84"/>
      <c r="BX695" s="84"/>
      <c r="BY695" s="84"/>
      <c r="BZ695" s="84"/>
      <c r="CA695" s="84"/>
      <c r="CB695" s="84"/>
      <c r="CC695" s="84"/>
      <c r="CD695" s="84"/>
      <c r="CE695" s="84"/>
      <c r="CF695" s="84"/>
      <c r="CG695" s="84"/>
      <c r="CH695" s="84"/>
      <c r="CI695" s="84"/>
      <c r="CJ695" s="84"/>
      <c r="CK695" s="84"/>
      <c r="CL695" s="84"/>
    </row>
    <row r="696" spans="66:90" s="354" customFormat="1" x14ac:dyDescent="0.2">
      <c r="BN696" s="84"/>
      <c r="BO696" s="84"/>
      <c r="BP696" s="84"/>
      <c r="BQ696" s="84"/>
      <c r="BR696" s="84"/>
      <c r="BS696" s="84"/>
      <c r="BT696" s="84"/>
      <c r="BU696" s="84"/>
      <c r="BV696" s="84"/>
      <c r="BW696" s="84"/>
      <c r="BX696" s="84"/>
      <c r="BY696" s="84"/>
      <c r="BZ696" s="84"/>
      <c r="CA696" s="84"/>
      <c r="CB696" s="84"/>
      <c r="CC696" s="84"/>
      <c r="CD696" s="84"/>
      <c r="CE696" s="84"/>
      <c r="CF696" s="84"/>
      <c r="CG696" s="84"/>
      <c r="CH696" s="84"/>
      <c r="CI696" s="84"/>
      <c r="CJ696" s="84"/>
      <c r="CK696" s="84"/>
      <c r="CL696" s="84"/>
    </row>
    <row r="697" spans="66:90" s="354" customFormat="1" x14ac:dyDescent="0.2">
      <c r="BN697" s="84"/>
      <c r="BO697" s="84"/>
      <c r="BP697" s="84"/>
      <c r="BQ697" s="84"/>
      <c r="BR697" s="84"/>
      <c r="BS697" s="84"/>
      <c r="BT697" s="84"/>
      <c r="BU697" s="84"/>
      <c r="BV697" s="84"/>
      <c r="BW697" s="84"/>
      <c r="BX697" s="84"/>
      <c r="BY697" s="84"/>
      <c r="BZ697" s="84"/>
      <c r="CA697" s="84"/>
      <c r="CB697" s="84"/>
      <c r="CC697" s="84"/>
      <c r="CD697" s="84"/>
      <c r="CE697" s="84"/>
      <c r="CF697" s="84"/>
      <c r="CG697" s="84"/>
      <c r="CH697" s="84"/>
      <c r="CI697" s="84"/>
      <c r="CJ697" s="84"/>
      <c r="CK697" s="84"/>
      <c r="CL697" s="84"/>
    </row>
    <row r="698" spans="66:90" s="354" customFormat="1" x14ac:dyDescent="0.2">
      <c r="BN698" s="84"/>
      <c r="BO698" s="84"/>
      <c r="BP698" s="84"/>
      <c r="BQ698" s="84"/>
      <c r="BR698" s="84"/>
      <c r="BS698" s="84"/>
      <c r="BT698" s="84"/>
      <c r="BU698" s="84"/>
      <c r="BV698" s="84"/>
      <c r="BW698" s="84"/>
      <c r="BX698" s="84"/>
      <c r="BY698" s="84"/>
      <c r="BZ698" s="84"/>
      <c r="CA698" s="84"/>
      <c r="CB698" s="84"/>
      <c r="CC698" s="84"/>
      <c r="CD698" s="84"/>
      <c r="CE698" s="84"/>
      <c r="CF698" s="84"/>
      <c r="CG698" s="84"/>
      <c r="CH698" s="84"/>
      <c r="CI698" s="84"/>
      <c r="CJ698" s="84"/>
      <c r="CK698" s="84"/>
      <c r="CL698" s="84"/>
    </row>
    <row r="699" spans="66:90" s="354" customFormat="1" x14ac:dyDescent="0.2">
      <c r="BN699" s="84"/>
      <c r="BO699" s="84"/>
      <c r="BP699" s="84"/>
      <c r="BQ699" s="84"/>
      <c r="BR699" s="84"/>
      <c r="BS699" s="84"/>
      <c r="BT699" s="84"/>
      <c r="BU699" s="84"/>
      <c r="BV699" s="84"/>
      <c r="BW699" s="84"/>
      <c r="BX699" s="84"/>
      <c r="BY699" s="84"/>
      <c r="BZ699" s="84"/>
      <c r="CA699" s="84"/>
      <c r="CB699" s="84"/>
      <c r="CC699" s="84"/>
      <c r="CD699" s="84"/>
      <c r="CE699" s="84"/>
      <c r="CF699" s="84"/>
      <c r="CG699" s="84"/>
      <c r="CH699" s="84"/>
      <c r="CI699" s="84"/>
      <c r="CJ699" s="84"/>
      <c r="CK699" s="84"/>
      <c r="CL699" s="84"/>
    </row>
    <row r="700" spans="66:90" s="354" customFormat="1" x14ac:dyDescent="0.2">
      <c r="BN700" s="84"/>
      <c r="BO700" s="84"/>
      <c r="BP700" s="84"/>
      <c r="BQ700" s="84"/>
      <c r="BR700" s="84"/>
      <c r="BS700" s="84"/>
      <c r="BT700" s="84"/>
      <c r="BU700" s="84"/>
      <c r="BV700" s="84"/>
      <c r="BW700" s="84"/>
      <c r="BX700" s="84"/>
      <c r="BY700" s="84"/>
      <c r="BZ700" s="84"/>
      <c r="CA700" s="84"/>
      <c r="CB700" s="84"/>
      <c r="CC700" s="84"/>
      <c r="CD700" s="84"/>
      <c r="CE700" s="84"/>
      <c r="CF700" s="84"/>
      <c r="CG700" s="84"/>
      <c r="CH700" s="84"/>
      <c r="CI700" s="84"/>
      <c r="CJ700" s="84"/>
      <c r="CK700" s="84"/>
      <c r="CL700" s="84"/>
    </row>
    <row r="701" spans="66:90" s="354" customFormat="1" x14ac:dyDescent="0.2">
      <c r="BN701" s="84"/>
      <c r="BO701" s="84"/>
      <c r="BP701" s="84"/>
      <c r="BQ701" s="84"/>
      <c r="BR701" s="84"/>
      <c r="BS701" s="84"/>
      <c r="BT701" s="84"/>
      <c r="BU701" s="84"/>
      <c r="BV701" s="84"/>
      <c r="BW701" s="84"/>
      <c r="BX701" s="84"/>
      <c r="BY701" s="84"/>
      <c r="BZ701" s="84"/>
      <c r="CA701" s="84"/>
      <c r="CB701" s="84"/>
      <c r="CC701" s="84"/>
      <c r="CD701" s="84"/>
      <c r="CE701" s="84"/>
      <c r="CF701" s="84"/>
      <c r="CG701" s="84"/>
      <c r="CH701" s="84"/>
      <c r="CI701" s="84"/>
      <c r="CJ701" s="84"/>
      <c r="CK701" s="84"/>
      <c r="CL701" s="84"/>
    </row>
    <row r="702" spans="66:90" s="354" customFormat="1" x14ac:dyDescent="0.2">
      <c r="BN702" s="84"/>
      <c r="BO702" s="84"/>
      <c r="BP702" s="84"/>
      <c r="BQ702" s="84"/>
      <c r="BR702" s="84"/>
      <c r="BS702" s="84"/>
      <c r="BT702" s="84"/>
      <c r="BU702" s="84"/>
      <c r="BV702" s="84"/>
      <c r="BW702" s="84"/>
      <c r="BX702" s="84"/>
      <c r="BY702" s="84"/>
      <c r="BZ702" s="84"/>
      <c r="CA702" s="84"/>
      <c r="CB702" s="84"/>
      <c r="CC702" s="84"/>
      <c r="CD702" s="84"/>
      <c r="CE702" s="84"/>
      <c r="CF702" s="84"/>
      <c r="CG702" s="84"/>
      <c r="CH702" s="84"/>
      <c r="CI702" s="84"/>
      <c r="CJ702" s="84"/>
      <c r="CK702" s="84"/>
      <c r="CL702" s="84"/>
    </row>
    <row r="703" spans="66:90" s="354" customFormat="1" x14ac:dyDescent="0.2">
      <c r="BN703" s="84"/>
      <c r="BO703" s="84"/>
      <c r="BP703" s="84"/>
      <c r="BQ703" s="84"/>
      <c r="BR703" s="84"/>
      <c r="BS703" s="84"/>
      <c r="BT703" s="84"/>
      <c r="BU703" s="84"/>
      <c r="BV703" s="84"/>
      <c r="BW703" s="84"/>
      <c r="BX703" s="84"/>
      <c r="BY703" s="84"/>
      <c r="BZ703" s="84"/>
      <c r="CA703" s="84"/>
      <c r="CB703" s="84"/>
      <c r="CC703" s="84"/>
      <c r="CD703" s="84"/>
      <c r="CE703" s="84"/>
      <c r="CF703" s="84"/>
      <c r="CG703" s="84"/>
      <c r="CH703" s="84"/>
      <c r="CI703" s="84"/>
      <c r="CJ703" s="84"/>
      <c r="CK703" s="84"/>
      <c r="CL703" s="84"/>
    </row>
    <row r="704" spans="66:90" s="354" customFormat="1" x14ac:dyDescent="0.2">
      <c r="BN704" s="84"/>
      <c r="BO704" s="84"/>
      <c r="BP704" s="84"/>
      <c r="BQ704" s="84"/>
      <c r="BR704" s="84"/>
      <c r="BS704" s="84"/>
      <c r="BT704" s="84"/>
      <c r="BU704" s="84"/>
      <c r="BV704" s="84"/>
      <c r="BW704" s="84"/>
      <c r="BX704" s="84"/>
      <c r="BY704" s="84"/>
      <c r="BZ704" s="84"/>
      <c r="CA704" s="84"/>
      <c r="CB704" s="84"/>
      <c r="CC704" s="84"/>
      <c r="CD704" s="84"/>
      <c r="CE704" s="84"/>
      <c r="CF704" s="84"/>
      <c r="CG704" s="84"/>
      <c r="CH704" s="84"/>
      <c r="CI704" s="84"/>
      <c r="CJ704" s="84"/>
      <c r="CK704" s="84"/>
      <c r="CL704" s="84"/>
    </row>
    <row r="705" spans="66:90" s="354" customFormat="1" x14ac:dyDescent="0.2">
      <c r="BN705" s="84"/>
      <c r="BO705" s="84"/>
      <c r="BP705" s="84"/>
      <c r="BQ705" s="84"/>
      <c r="BR705" s="84"/>
      <c r="BS705" s="84"/>
      <c r="BT705" s="84"/>
      <c r="BU705" s="84"/>
      <c r="BV705" s="84"/>
      <c r="BW705" s="84"/>
      <c r="BX705" s="84"/>
      <c r="BY705" s="84"/>
      <c r="BZ705" s="84"/>
      <c r="CA705" s="84"/>
      <c r="CB705" s="84"/>
      <c r="CC705" s="84"/>
      <c r="CD705" s="84"/>
      <c r="CE705" s="84"/>
      <c r="CF705" s="84"/>
      <c r="CG705" s="84"/>
      <c r="CH705" s="84"/>
      <c r="CI705" s="84"/>
      <c r="CJ705" s="84"/>
      <c r="CK705" s="84"/>
      <c r="CL705" s="84"/>
    </row>
    <row r="706" spans="66:90" s="354" customFormat="1" x14ac:dyDescent="0.2">
      <c r="BN706" s="84"/>
      <c r="BO706" s="84"/>
      <c r="BP706" s="84"/>
      <c r="BQ706" s="84"/>
      <c r="BR706" s="84"/>
      <c r="BS706" s="84"/>
      <c r="BT706" s="84"/>
      <c r="BU706" s="84"/>
      <c r="BV706" s="84"/>
      <c r="BW706" s="84"/>
      <c r="BX706" s="84"/>
      <c r="BY706" s="84"/>
      <c r="BZ706" s="84"/>
      <c r="CA706" s="84"/>
      <c r="CB706" s="84"/>
      <c r="CC706" s="84"/>
      <c r="CD706" s="84"/>
      <c r="CE706" s="84"/>
      <c r="CF706" s="84"/>
      <c r="CG706" s="84"/>
      <c r="CH706" s="84"/>
      <c r="CI706" s="84"/>
      <c r="CJ706" s="84"/>
      <c r="CK706" s="84"/>
      <c r="CL706" s="84"/>
    </row>
    <row r="707" spans="66:90" s="354" customFormat="1" x14ac:dyDescent="0.2">
      <c r="BN707" s="84"/>
      <c r="BO707" s="84"/>
      <c r="BP707" s="84"/>
      <c r="BQ707" s="84"/>
      <c r="BR707" s="84"/>
      <c r="BS707" s="84"/>
      <c r="BT707" s="84"/>
      <c r="BU707" s="84"/>
      <c r="BV707" s="84"/>
      <c r="BW707" s="84"/>
      <c r="BX707" s="84"/>
      <c r="BY707" s="84"/>
      <c r="BZ707" s="84"/>
      <c r="CA707" s="84"/>
      <c r="CB707" s="84"/>
      <c r="CC707" s="84"/>
      <c r="CD707" s="84"/>
      <c r="CE707" s="84"/>
      <c r="CF707" s="84"/>
      <c r="CG707" s="84"/>
      <c r="CH707" s="84"/>
      <c r="CI707" s="84"/>
      <c r="CJ707" s="84"/>
      <c r="CK707" s="84"/>
      <c r="CL707" s="84"/>
    </row>
    <row r="708" spans="66:90" s="354" customFormat="1" x14ac:dyDescent="0.2">
      <c r="BN708" s="84"/>
      <c r="BO708" s="84"/>
      <c r="BP708" s="84"/>
      <c r="BQ708" s="84"/>
      <c r="BR708" s="84"/>
      <c r="BS708" s="84"/>
      <c r="BT708" s="84"/>
      <c r="BU708" s="84"/>
      <c r="BV708" s="84"/>
      <c r="BW708" s="84"/>
      <c r="BX708" s="84"/>
      <c r="BY708" s="84"/>
      <c r="BZ708" s="84"/>
      <c r="CA708" s="84"/>
      <c r="CB708" s="84"/>
      <c r="CC708" s="84"/>
      <c r="CD708" s="84"/>
      <c r="CE708" s="84"/>
      <c r="CF708" s="84"/>
      <c r="CG708" s="84"/>
      <c r="CH708" s="84"/>
      <c r="CI708" s="84"/>
      <c r="CJ708" s="84"/>
      <c r="CK708" s="84"/>
      <c r="CL708" s="84"/>
    </row>
    <row r="709" spans="66:90" s="354" customFormat="1" x14ac:dyDescent="0.2">
      <c r="BN709" s="84"/>
      <c r="BO709" s="84"/>
      <c r="BP709" s="84"/>
      <c r="BQ709" s="84"/>
      <c r="BR709" s="84"/>
      <c r="BS709" s="84"/>
      <c r="BT709" s="84"/>
      <c r="BU709" s="84"/>
      <c r="BV709" s="84"/>
      <c r="BW709" s="84"/>
      <c r="BX709" s="84"/>
      <c r="BY709" s="84"/>
      <c r="BZ709" s="84"/>
      <c r="CA709" s="84"/>
      <c r="CB709" s="84"/>
      <c r="CC709" s="84"/>
      <c r="CD709" s="84"/>
      <c r="CE709" s="84"/>
      <c r="CF709" s="84"/>
      <c r="CG709" s="84"/>
      <c r="CH709" s="84"/>
      <c r="CI709" s="84"/>
      <c r="CJ709" s="84"/>
      <c r="CK709" s="84"/>
      <c r="CL709" s="84"/>
    </row>
    <row r="710" spans="66:90" s="354" customFormat="1" x14ac:dyDescent="0.2">
      <c r="BN710" s="84"/>
      <c r="BO710" s="84"/>
      <c r="BP710" s="84"/>
      <c r="BQ710" s="84"/>
      <c r="BR710" s="84"/>
      <c r="BS710" s="84"/>
      <c r="BT710" s="84"/>
      <c r="BU710" s="84"/>
      <c r="BV710" s="84"/>
      <c r="BW710" s="84"/>
      <c r="BX710" s="84"/>
      <c r="BY710" s="84"/>
      <c r="BZ710" s="84"/>
      <c r="CA710" s="84"/>
      <c r="CB710" s="84"/>
      <c r="CC710" s="84"/>
      <c r="CD710" s="84"/>
      <c r="CE710" s="84"/>
      <c r="CF710" s="84"/>
      <c r="CG710" s="84"/>
      <c r="CH710" s="84"/>
      <c r="CI710" s="84"/>
      <c r="CJ710" s="84"/>
      <c r="CK710" s="84"/>
      <c r="CL710" s="84"/>
    </row>
    <row r="711" spans="66:90" s="354" customFormat="1" x14ac:dyDescent="0.2">
      <c r="BN711" s="84"/>
      <c r="BO711" s="84"/>
      <c r="BP711" s="84"/>
      <c r="BQ711" s="84"/>
      <c r="BR711" s="84"/>
      <c r="BS711" s="84"/>
      <c r="BT711" s="84"/>
      <c r="BU711" s="84"/>
      <c r="BV711" s="84"/>
      <c r="BW711" s="84"/>
      <c r="BX711" s="84"/>
      <c r="BY711" s="84"/>
      <c r="BZ711" s="84"/>
      <c r="CA711" s="84"/>
      <c r="CB711" s="84"/>
      <c r="CC711" s="84"/>
      <c r="CD711" s="84"/>
      <c r="CE711" s="84"/>
      <c r="CF711" s="84"/>
      <c r="CG711" s="84"/>
      <c r="CH711" s="84"/>
      <c r="CI711" s="84"/>
      <c r="CJ711" s="84"/>
      <c r="CK711" s="84"/>
      <c r="CL711" s="84"/>
    </row>
    <row r="712" spans="66:90" s="354" customFormat="1" x14ac:dyDescent="0.2">
      <c r="BN712" s="84"/>
      <c r="BO712" s="84"/>
      <c r="BP712" s="84"/>
      <c r="BQ712" s="84"/>
      <c r="BR712" s="84"/>
      <c r="BS712" s="84"/>
      <c r="BT712" s="84"/>
      <c r="BU712" s="84"/>
      <c r="BV712" s="84"/>
      <c r="BW712" s="84"/>
      <c r="BX712" s="84"/>
      <c r="BY712" s="84"/>
      <c r="BZ712" s="84"/>
      <c r="CA712" s="84"/>
      <c r="CB712" s="84"/>
      <c r="CC712" s="84"/>
      <c r="CD712" s="84"/>
      <c r="CE712" s="84"/>
      <c r="CF712" s="84"/>
      <c r="CG712" s="84"/>
      <c r="CH712" s="84"/>
      <c r="CI712" s="84"/>
      <c r="CJ712" s="84"/>
      <c r="CK712" s="84"/>
      <c r="CL712" s="84"/>
    </row>
    <row r="713" spans="66:90" s="354" customFormat="1" x14ac:dyDescent="0.2">
      <c r="BN713" s="84"/>
      <c r="BO713" s="84"/>
      <c r="BP713" s="84"/>
      <c r="BQ713" s="84"/>
      <c r="BR713" s="84"/>
      <c r="BS713" s="84"/>
      <c r="BT713" s="84"/>
      <c r="BU713" s="84"/>
      <c r="BV713" s="84"/>
      <c r="BW713" s="84"/>
      <c r="BX713" s="84"/>
      <c r="BY713" s="84"/>
      <c r="BZ713" s="84"/>
      <c r="CA713" s="84"/>
      <c r="CB713" s="84"/>
      <c r="CC713" s="84"/>
      <c r="CD713" s="84"/>
      <c r="CE713" s="84"/>
      <c r="CF713" s="84"/>
      <c r="CG713" s="84"/>
      <c r="CH713" s="84"/>
      <c r="CI713" s="84"/>
      <c r="CJ713" s="84"/>
      <c r="CK713" s="84"/>
      <c r="CL713" s="84"/>
    </row>
    <row r="714" spans="66:90" s="354" customFormat="1" x14ac:dyDescent="0.2">
      <c r="BN714" s="84"/>
      <c r="BO714" s="84"/>
      <c r="BP714" s="84"/>
      <c r="BQ714" s="84"/>
      <c r="BR714" s="84"/>
      <c r="BS714" s="84"/>
      <c r="BT714" s="84"/>
      <c r="BU714" s="84"/>
      <c r="BV714" s="84"/>
      <c r="BW714" s="84"/>
      <c r="BX714" s="84"/>
      <c r="BY714" s="84"/>
      <c r="BZ714" s="84"/>
      <c r="CA714" s="84"/>
      <c r="CB714" s="84"/>
      <c r="CC714" s="84"/>
      <c r="CD714" s="84"/>
      <c r="CE714" s="84"/>
      <c r="CF714" s="84"/>
      <c r="CG714" s="84"/>
      <c r="CH714" s="84"/>
      <c r="CI714" s="84"/>
      <c r="CJ714" s="84"/>
      <c r="CK714" s="84"/>
      <c r="CL714" s="84"/>
    </row>
    <row r="715" spans="66:90" s="354" customFormat="1" x14ac:dyDescent="0.2">
      <c r="BN715" s="84"/>
      <c r="BO715" s="84"/>
      <c r="BP715" s="84"/>
      <c r="BQ715" s="84"/>
      <c r="BR715" s="84"/>
      <c r="BS715" s="84"/>
      <c r="BT715" s="84"/>
      <c r="BU715" s="84"/>
      <c r="BV715" s="84"/>
      <c r="BW715" s="84"/>
      <c r="BX715" s="84"/>
      <c r="BY715" s="84"/>
      <c r="BZ715" s="84"/>
      <c r="CA715" s="84"/>
      <c r="CB715" s="84"/>
      <c r="CC715" s="84"/>
      <c r="CD715" s="84"/>
      <c r="CE715" s="84"/>
      <c r="CF715" s="84"/>
      <c r="CG715" s="84"/>
      <c r="CH715" s="84"/>
      <c r="CI715" s="84"/>
      <c r="CJ715" s="84"/>
      <c r="CK715" s="84"/>
      <c r="CL715" s="84"/>
    </row>
    <row r="716" spans="66:90" s="354" customFormat="1" x14ac:dyDescent="0.2">
      <c r="BN716" s="84"/>
      <c r="BO716" s="84"/>
      <c r="BP716" s="84"/>
      <c r="BQ716" s="84"/>
      <c r="BR716" s="84"/>
      <c r="BS716" s="84"/>
      <c r="BT716" s="84"/>
      <c r="BU716" s="84"/>
      <c r="BV716" s="84"/>
      <c r="BW716" s="84"/>
      <c r="BX716" s="84"/>
      <c r="BY716" s="84"/>
      <c r="BZ716" s="84"/>
      <c r="CA716" s="84"/>
      <c r="CB716" s="84"/>
      <c r="CC716" s="84"/>
      <c r="CD716" s="84"/>
      <c r="CE716" s="84"/>
      <c r="CF716" s="84"/>
      <c r="CG716" s="84"/>
      <c r="CH716" s="84"/>
      <c r="CI716" s="84"/>
      <c r="CJ716" s="84"/>
      <c r="CK716" s="84"/>
      <c r="CL716" s="84"/>
    </row>
    <row r="717" spans="66:90" s="354" customFormat="1" x14ac:dyDescent="0.2">
      <c r="BN717" s="84"/>
      <c r="BO717" s="84"/>
      <c r="BP717" s="84"/>
      <c r="BQ717" s="84"/>
      <c r="BR717" s="84"/>
      <c r="BS717" s="84"/>
      <c r="BT717" s="84"/>
      <c r="BU717" s="84"/>
      <c r="BV717" s="84"/>
      <c r="BW717" s="84"/>
      <c r="BX717" s="84"/>
      <c r="BY717" s="84"/>
      <c r="BZ717" s="84"/>
      <c r="CA717" s="84"/>
      <c r="CB717" s="84"/>
      <c r="CC717" s="84"/>
      <c r="CD717" s="84"/>
      <c r="CE717" s="84"/>
      <c r="CF717" s="84"/>
      <c r="CG717" s="84"/>
      <c r="CH717" s="84"/>
      <c r="CI717" s="84"/>
      <c r="CJ717" s="84"/>
      <c r="CK717" s="84"/>
      <c r="CL717" s="84"/>
    </row>
    <row r="718" spans="66:90" s="354" customFormat="1" x14ac:dyDescent="0.2">
      <c r="BN718" s="84"/>
      <c r="BO718" s="84"/>
      <c r="BP718" s="84"/>
      <c r="BQ718" s="84"/>
      <c r="BR718" s="84"/>
      <c r="BS718" s="84"/>
      <c r="BT718" s="84"/>
      <c r="BU718" s="84"/>
      <c r="BV718" s="84"/>
      <c r="BW718" s="84"/>
      <c r="BX718" s="84"/>
      <c r="BY718" s="84"/>
      <c r="BZ718" s="84"/>
      <c r="CA718" s="84"/>
      <c r="CB718" s="84"/>
      <c r="CC718" s="84"/>
      <c r="CD718" s="84"/>
      <c r="CE718" s="84"/>
      <c r="CF718" s="84"/>
      <c r="CG718" s="84"/>
      <c r="CH718" s="84"/>
      <c r="CI718" s="84"/>
      <c r="CJ718" s="84"/>
      <c r="CK718" s="84"/>
      <c r="CL718" s="84"/>
    </row>
    <row r="719" spans="66:90" s="354" customFormat="1" x14ac:dyDescent="0.2">
      <c r="BN719" s="84"/>
      <c r="BO719" s="84"/>
      <c r="BP719" s="84"/>
      <c r="BQ719" s="84"/>
      <c r="BR719" s="84"/>
      <c r="BS719" s="84"/>
      <c r="BT719" s="84"/>
      <c r="BU719" s="84"/>
      <c r="BV719" s="84"/>
      <c r="BW719" s="84"/>
      <c r="BX719" s="84"/>
      <c r="BY719" s="84"/>
      <c r="BZ719" s="84"/>
      <c r="CA719" s="84"/>
      <c r="CB719" s="84"/>
      <c r="CC719" s="84"/>
      <c r="CD719" s="84"/>
      <c r="CE719" s="84"/>
      <c r="CF719" s="84"/>
      <c r="CG719" s="84"/>
      <c r="CH719" s="84"/>
      <c r="CI719" s="84"/>
      <c r="CJ719" s="84"/>
      <c r="CK719" s="84"/>
      <c r="CL719" s="84"/>
    </row>
    <row r="720" spans="66:90" s="354" customFormat="1" x14ac:dyDescent="0.2">
      <c r="BN720" s="84"/>
      <c r="BO720" s="84"/>
      <c r="BP720" s="84"/>
      <c r="BQ720" s="84"/>
      <c r="BR720" s="84"/>
      <c r="BS720" s="84"/>
      <c r="BT720" s="84"/>
      <c r="BU720" s="84"/>
      <c r="BV720" s="84"/>
      <c r="BW720" s="84"/>
      <c r="BX720" s="84"/>
      <c r="BY720" s="84"/>
      <c r="BZ720" s="84"/>
      <c r="CA720" s="84"/>
      <c r="CB720" s="84"/>
      <c r="CC720" s="84"/>
      <c r="CD720" s="84"/>
      <c r="CE720" s="84"/>
      <c r="CF720" s="84"/>
      <c r="CG720" s="84"/>
      <c r="CH720" s="84"/>
      <c r="CI720" s="84"/>
      <c r="CJ720" s="84"/>
      <c r="CK720" s="84"/>
      <c r="CL720" s="84"/>
    </row>
    <row r="721" spans="66:90" s="354" customFormat="1" x14ac:dyDescent="0.2">
      <c r="BN721" s="84"/>
      <c r="BO721" s="84"/>
      <c r="BP721" s="84"/>
      <c r="BQ721" s="84"/>
      <c r="BR721" s="84"/>
      <c r="BS721" s="84"/>
      <c r="BT721" s="84"/>
      <c r="BU721" s="84"/>
      <c r="BV721" s="84"/>
      <c r="BW721" s="84"/>
      <c r="BX721" s="84"/>
      <c r="BY721" s="84"/>
      <c r="BZ721" s="84"/>
      <c r="CA721" s="84"/>
      <c r="CB721" s="84"/>
      <c r="CC721" s="84"/>
      <c r="CD721" s="84"/>
      <c r="CE721" s="84"/>
      <c r="CF721" s="84"/>
      <c r="CG721" s="84"/>
      <c r="CH721" s="84"/>
      <c r="CI721" s="84"/>
      <c r="CJ721" s="84"/>
      <c r="CK721" s="84"/>
      <c r="CL721" s="84"/>
    </row>
    <row r="722" spans="66:90" s="354" customFormat="1" x14ac:dyDescent="0.2">
      <c r="BN722" s="84"/>
      <c r="BO722" s="84"/>
      <c r="BP722" s="84"/>
      <c r="BQ722" s="84"/>
      <c r="BR722" s="84"/>
      <c r="BS722" s="84"/>
      <c r="BT722" s="84"/>
      <c r="BU722" s="84"/>
      <c r="BV722" s="84"/>
      <c r="BW722" s="84"/>
      <c r="BX722" s="84"/>
      <c r="BY722" s="84"/>
      <c r="BZ722" s="84"/>
      <c r="CA722" s="84"/>
      <c r="CB722" s="84"/>
      <c r="CC722" s="84"/>
      <c r="CD722" s="84"/>
      <c r="CE722" s="84"/>
      <c r="CF722" s="84"/>
      <c r="CG722" s="84"/>
      <c r="CH722" s="84"/>
      <c r="CI722" s="84"/>
      <c r="CJ722" s="84"/>
      <c r="CK722" s="84"/>
      <c r="CL722" s="84"/>
    </row>
    <row r="723" spans="66:90" s="354" customFormat="1" x14ac:dyDescent="0.2">
      <c r="BN723" s="84"/>
      <c r="BO723" s="84"/>
      <c r="BP723" s="84"/>
      <c r="BQ723" s="84"/>
      <c r="BR723" s="84"/>
      <c r="BS723" s="84"/>
      <c r="BT723" s="84"/>
      <c r="BU723" s="84"/>
      <c r="BV723" s="84"/>
      <c r="BW723" s="84"/>
      <c r="BX723" s="84"/>
      <c r="BY723" s="84"/>
      <c r="BZ723" s="84"/>
      <c r="CA723" s="84"/>
      <c r="CB723" s="84"/>
      <c r="CC723" s="84"/>
      <c r="CD723" s="84"/>
      <c r="CE723" s="84"/>
      <c r="CF723" s="84"/>
      <c r="CG723" s="84"/>
      <c r="CH723" s="84"/>
      <c r="CI723" s="84"/>
      <c r="CJ723" s="84"/>
      <c r="CK723" s="84"/>
      <c r="CL723" s="84"/>
    </row>
    <row r="724" spans="66:90" s="354" customFormat="1" x14ac:dyDescent="0.2">
      <c r="BN724" s="84"/>
      <c r="BO724" s="84"/>
      <c r="BP724" s="84"/>
      <c r="BQ724" s="84"/>
      <c r="BR724" s="84"/>
      <c r="BS724" s="84"/>
      <c r="BT724" s="84"/>
      <c r="BU724" s="84"/>
      <c r="BV724" s="84"/>
      <c r="BW724" s="84"/>
      <c r="BX724" s="84"/>
      <c r="BY724" s="84"/>
      <c r="BZ724" s="84"/>
      <c r="CA724" s="84"/>
      <c r="CB724" s="84"/>
      <c r="CC724" s="84"/>
      <c r="CD724" s="84"/>
      <c r="CE724" s="84"/>
      <c r="CF724" s="84"/>
      <c r="CG724" s="84"/>
      <c r="CH724" s="84"/>
      <c r="CI724" s="84"/>
      <c r="CJ724" s="84"/>
      <c r="CK724" s="84"/>
      <c r="CL724" s="84"/>
    </row>
    <row r="725" spans="66:90" s="354" customFormat="1" x14ac:dyDescent="0.2">
      <c r="BN725" s="84"/>
      <c r="BO725" s="84"/>
      <c r="BP725" s="84"/>
      <c r="BQ725" s="84"/>
      <c r="BR725" s="84"/>
      <c r="BS725" s="84"/>
      <c r="BT725" s="84"/>
      <c r="BU725" s="84"/>
      <c r="BV725" s="84"/>
      <c r="BW725" s="84"/>
      <c r="BX725" s="84"/>
      <c r="BY725" s="84"/>
      <c r="BZ725" s="84"/>
      <c r="CA725" s="84"/>
      <c r="CB725" s="84"/>
      <c r="CC725" s="84"/>
      <c r="CD725" s="84"/>
      <c r="CE725" s="84"/>
      <c r="CF725" s="84"/>
      <c r="CG725" s="84"/>
      <c r="CH725" s="84"/>
      <c r="CI725" s="84"/>
      <c r="CJ725" s="84"/>
      <c r="CK725" s="84"/>
      <c r="CL725" s="84"/>
    </row>
    <row r="726" spans="66:90" s="354" customFormat="1" x14ac:dyDescent="0.2">
      <c r="BN726" s="84"/>
      <c r="BO726" s="84"/>
      <c r="BP726" s="84"/>
      <c r="BQ726" s="84"/>
      <c r="BR726" s="84"/>
      <c r="BS726" s="84"/>
      <c r="BT726" s="84"/>
      <c r="BU726" s="84"/>
      <c r="BV726" s="84"/>
      <c r="BW726" s="84"/>
      <c r="BX726" s="84"/>
      <c r="BY726" s="84"/>
      <c r="BZ726" s="84"/>
      <c r="CA726" s="84"/>
      <c r="CB726" s="84"/>
      <c r="CC726" s="84"/>
      <c r="CD726" s="84"/>
      <c r="CE726" s="84"/>
      <c r="CF726" s="84"/>
      <c r="CG726" s="84"/>
      <c r="CH726" s="84"/>
      <c r="CI726" s="84"/>
      <c r="CJ726" s="84"/>
      <c r="CK726" s="84"/>
      <c r="CL726" s="84"/>
    </row>
    <row r="727" spans="66:90" s="354" customFormat="1" x14ac:dyDescent="0.2">
      <c r="BN727" s="84"/>
      <c r="BO727" s="84"/>
      <c r="BP727" s="84"/>
      <c r="BQ727" s="84"/>
      <c r="BR727" s="84"/>
      <c r="BS727" s="84"/>
      <c r="BT727" s="84"/>
      <c r="BU727" s="84"/>
      <c r="BV727" s="84"/>
      <c r="BW727" s="84"/>
      <c r="BX727" s="84"/>
      <c r="BY727" s="84"/>
      <c r="BZ727" s="84"/>
      <c r="CA727" s="84"/>
      <c r="CB727" s="84"/>
      <c r="CC727" s="84"/>
      <c r="CD727" s="84"/>
      <c r="CE727" s="84"/>
      <c r="CF727" s="84"/>
      <c r="CG727" s="84"/>
      <c r="CH727" s="84"/>
      <c r="CI727" s="84"/>
      <c r="CJ727" s="84"/>
      <c r="CK727" s="84"/>
      <c r="CL727" s="84"/>
    </row>
    <row r="728" spans="66:90" s="354" customFormat="1" x14ac:dyDescent="0.2">
      <c r="BN728" s="84"/>
      <c r="BO728" s="84"/>
      <c r="BP728" s="84"/>
      <c r="BQ728" s="84"/>
      <c r="BR728" s="84"/>
      <c r="BS728" s="84"/>
      <c r="BT728" s="84"/>
      <c r="BU728" s="84"/>
      <c r="BV728" s="84"/>
      <c r="BW728" s="84"/>
      <c r="BX728" s="84"/>
      <c r="BY728" s="84"/>
      <c r="BZ728" s="84"/>
      <c r="CA728" s="84"/>
      <c r="CB728" s="84"/>
      <c r="CC728" s="84"/>
      <c r="CD728" s="84"/>
      <c r="CE728" s="84"/>
      <c r="CF728" s="84"/>
      <c r="CG728" s="84"/>
      <c r="CH728" s="84"/>
      <c r="CI728" s="84"/>
      <c r="CJ728" s="84"/>
      <c r="CK728" s="84"/>
      <c r="CL728" s="84"/>
    </row>
    <row r="729" spans="66:90" s="354" customFormat="1" x14ac:dyDescent="0.2">
      <c r="BN729" s="84"/>
      <c r="BO729" s="84"/>
      <c r="BP729" s="84"/>
      <c r="BQ729" s="84"/>
      <c r="BR729" s="84"/>
      <c r="BS729" s="84"/>
      <c r="BT729" s="84"/>
      <c r="BU729" s="84"/>
      <c r="BV729" s="84"/>
      <c r="BW729" s="84"/>
      <c r="BX729" s="84"/>
      <c r="BY729" s="84"/>
      <c r="BZ729" s="84"/>
      <c r="CA729" s="84"/>
      <c r="CB729" s="84"/>
      <c r="CC729" s="84"/>
      <c r="CD729" s="84"/>
      <c r="CE729" s="84"/>
      <c r="CF729" s="84"/>
      <c r="CG729" s="84"/>
      <c r="CH729" s="84"/>
      <c r="CI729" s="84"/>
      <c r="CJ729" s="84"/>
      <c r="CK729" s="84"/>
      <c r="CL729" s="84"/>
    </row>
    <row r="730" spans="66:90" s="354" customFormat="1" x14ac:dyDescent="0.2">
      <c r="BN730" s="84"/>
      <c r="BO730" s="84"/>
      <c r="BP730" s="84"/>
      <c r="BQ730" s="84"/>
      <c r="BR730" s="84"/>
      <c r="BS730" s="84"/>
      <c r="BT730" s="84"/>
      <c r="BU730" s="84"/>
      <c r="BV730" s="84"/>
      <c r="BW730" s="84"/>
      <c r="BX730" s="84"/>
      <c r="BY730" s="84"/>
      <c r="BZ730" s="84"/>
      <c r="CA730" s="84"/>
      <c r="CB730" s="84"/>
      <c r="CC730" s="84"/>
      <c r="CD730" s="84"/>
      <c r="CE730" s="84"/>
      <c r="CF730" s="84"/>
      <c r="CG730" s="84"/>
      <c r="CH730" s="84"/>
      <c r="CI730" s="84"/>
      <c r="CJ730" s="84"/>
      <c r="CK730" s="84"/>
      <c r="CL730" s="84"/>
    </row>
    <row r="731" spans="66:90" s="354" customFormat="1" x14ac:dyDescent="0.2">
      <c r="BN731" s="84"/>
      <c r="BO731" s="84"/>
      <c r="BP731" s="84"/>
      <c r="BQ731" s="84"/>
      <c r="BR731" s="84"/>
      <c r="BS731" s="84"/>
      <c r="BT731" s="84"/>
      <c r="BU731" s="84"/>
      <c r="BV731" s="84"/>
      <c r="BW731" s="84"/>
      <c r="BX731" s="84"/>
      <c r="BY731" s="84"/>
      <c r="BZ731" s="84"/>
      <c r="CA731" s="84"/>
      <c r="CB731" s="84"/>
      <c r="CC731" s="84"/>
      <c r="CD731" s="84"/>
      <c r="CE731" s="84"/>
      <c r="CF731" s="84"/>
      <c r="CG731" s="84"/>
      <c r="CH731" s="84"/>
      <c r="CI731" s="84"/>
      <c r="CJ731" s="84"/>
      <c r="CK731" s="84"/>
      <c r="CL731" s="84"/>
    </row>
    <row r="732" spans="66:90" s="354" customFormat="1" x14ac:dyDescent="0.2">
      <c r="BN732" s="84"/>
      <c r="BO732" s="84"/>
      <c r="BP732" s="84"/>
      <c r="BQ732" s="84"/>
      <c r="BR732" s="84"/>
      <c r="BS732" s="84"/>
      <c r="BT732" s="84"/>
      <c r="BU732" s="84"/>
      <c r="BV732" s="84"/>
      <c r="BW732" s="84"/>
      <c r="BX732" s="84"/>
      <c r="BY732" s="84"/>
      <c r="BZ732" s="84"/>
      <c r="CA732" s="84"/>
      <c r="CB732" s="84"/>
      <c r="CC732" s="84"/>
      <c r="CD732" s="84"/>
      <c r="CE732" s="84"/>
      <c r="CF732" s="84"/>
      <c r="CG732" s="84"/>
      <c r="CH732" s="84"/>
      <c r="CI732" s="84"/>
      <c r="CJ732" s="84"/>
      <c r="CK732" s="84"/>
      <c r="CL732" s="84"/>
    </row>
    <row r="733" spans="66:90" s="354" customFormat="1" x14ac:dyDescent="0.2">
      <c r="BN733" s="84"/>
      <c r="BO733" s="84"/>
      <c r="BP733" s="84"/>
      <c r="BQ733" s="84"/>
      <c r="BR733" s="84"/>
      <c r="BS733" s="84"/>
      <c r="BT733" s="84"/>
      <c r="BU733" s="84"/>
      <c r="BV733" s="84"/>
      <c r="BW733" s="84"/>
      <c r="BX733" s="84"/>
      <c r="BY733" s="84"/>
      <c r="BZ733" s="84"/>
      <c r="CA733" s="84"/>
      <c r="CB733" s="84"/>
      <c r="CC733" s="84"/>
      <c r="CD733" s="84"/>
      <c r="CE733" s="84"/>
      <c r="CF733" s="84"/>
      <c r="CG733" s="84"/>
      <c r="CH733" s="84"/>
      <c r="CI733" s="84"/>
      <c r="CJ733" s="84"/>
      <c r="CK733" s="84"/>
      <c r="CL733" s="84"/>
    </row>
    <row r="734" spans="66:90" s="354" customFormat="1" x14ac:dyDescent="0.2">
      <c r="BN734" s="84"/>
      <c r="BO734" s="84"/>
      <c r="BP734" s="84"/>
      <c r="BQ734" s="84"/>
      <c r="BR734" s="84"/>
      <c r="BS734" s="84"/>
      <c r="BT734" s="84"/>
      <c r="BU734" s="84"/>
      <c r="BV734" s="84"/>
      <c r="BW734" s="84"/>
      <c r="BX734" s="84"/>
      <c r="BY734" s="84"/>
      <c r="BZ734" s="84"/>
      <c r="CA734" s="84"/>
      <c r="CB734" s="84"/>
      <c r="CC734" s="84"/>
      <c r="CD734" s="84"/>
      <c r="CE734" s="84"/>
      <c r="CF734" s="84"/>
      <c r="CG734" s="84"/>
      <c r="CH734" s="84"/>
      <c r="CI734" s="84"/>
      <c r="CJ734" s="84"/>
      <c r="CK734" s="84"/>
      <c r="CL734" s="84"/>
    </row>
    <row r="735" spans="66:90" s="354" customFormat="1" x14ac:dyDescent="0.2">
      <c r="BN735" s="84"/>
      <c r="BO735" s="84"/>
      <c r="BP735" s="84"/>
      <c r="BQ735" s="84"/>
      <c r="BR735" s="84"/>
      <c r="BS735" s="84"/>
      <c r="BT735" s="84"/>
      <c r="BU735" s="84"/>
      <c r="BV735" s="84"/>
      <c r="BW735" s="84"/>
      <c r="BX735" s="84"/>
      <c r="BY735" s="84"/>
      <c r="BZ735" s="84"/>
      <c r="CA735" s="84"/>
      <c r="CB735" s="84"/>
      <c r="CC735" s="84"/>
      <c r="CD735" s="84"/>
      <c r="CE735" s="84"/>
      <c r="CF735" s="84"/>
      <c r="CG735" s="84"/>
      <c r="CH735" s="84"/>
      <c r="CI735" s="84"/>
      <c r="CJ735" s="84"/>
      <c r="CK735" s="84"/>
      <c r="CL735" s="84"/>
    </row>
    <row r="736" spans="66:90" s="354" customFormat="1" x14ac:dyDescent="0.2">
      <c r="BN736" s="84"/>
      <c r="BO736" s="84"/>
      <c r="BP736" s="84"/>
      <c r="BQ736" s="84"/>
      <c r="BR736" s="84"/>
      <c r="BS736" s="84"/>
      <c r="BT736" s="84"/>
      <c r="BU736" s="84"/>
      <c r="BV736" s="84"/>
      <c r="BW736" s="84"/>
      <c r="BX736" s="84"/>
      <c r="BY736" s="84"/>
      <c r="BZ736" s="84"/>
      <c r="CA736" s="84"/>
      <c r="CB736" s="84"/>
      <c r="CC736" s="84"/>
      <c r="CD736" s="84"/>
      <c r="CE736" s="84"/>
      <c r="CF736" s="84"/>
      <c r="CG736" s="84"/>
      <c r="CH736" s="84"/>
      <c r="CI736" s="84"/>
      <c r="CJ736" s="84"/>
      <c r="CK736" s="84"/>
      <c r="CL736" s="84"/>
    </row>
    <row r="737" spans="66:90" s="354" customFormat="1" x14ac:dyDescent="0.2">
      <c r="BN737" s="84"/>
      <c r="BO737" s="84"/>
      <c r="BP737" s="84"/>
      <c r="BQ737" s="84"/>
      <c r="BR737" s="84"/>
      <c r="BS737" s="84"/>
      <c r="BT737" s="84"/>
      <c r="BU737" s="84"/>
      <c r="BV737" s="84"/>
      <c r="BW737" s="84"/>
      <c r="BX737" s="84"/>
      <c r="BY737" s="84"/>
      <c r="BZ737" s="84"/>
      <c r="CA737" s="84"/>
      <c r="CB737" s="84"/>
      <c r="CC737" s="84"/>
      <c r="CD737" s="84"/>
      <c r="CE737" s="84"/>
      <c r="CF737" s="84"/>
      <c r="CG737" s="84"/>
      <c r="CH737" s="84"/>
      <c r="CI737" s="84"/>
      <c r="CJ737" s="84"/>
      <c r="CK737" s="84"/>
      <c r="CL737" s="84"/>
    </row>
    <row r="738" spans="66:90" s="354" customFormat="1" x14ac:dyDescent="0.2">
      <c r="BN738" s="84"/>
      <c r="BO738" s="84"/>
      <c r="BP738" s="84"/>
      <c r="BQ738" s="84"/>
      <c r="BR738" s="84"/>
      <c r="BS738" s="84"/>
      <c r="BT738" s="84"/>
      <c r="BU738" s="84"/>
      <c r="BV738" s="84"/>
      <c r="BW738" s="84"/>
      <c r="BX738" s="84"/>
      <c r="BY738" s="84"/>
      <c r="BZ738" s="84"/>
      <c r="CA738" s="84"/>
      <c r="CB738" s="84"/>
      <c r="CC738" s="84"/>
      <c r="CD738" s="84"/>
      <c r="CE738" s="84"/>
      <c r="CF738" s="84"/>
      <c r="CG738" s="84"/>
      <c r="CH738" s="84"/>
      <c r="CI738" s="84"/>
      <c r="CJ738" s="84"/>
      <c r="CK738" s="84"/>
      <c r="CL738" s="84"/>
    </row>
    <row r="739" spans="66:90" s="354" customFormat="1" x14ac:dyDescent="0.2">
      <c r="BN739" s="84"/>
      <c r="BO739" s="84"/>
      <c r="BP739" s="84"/>
      <c r="BQ739" s="84"/>
      <c r="BR739" s="84"/>
      <c r="BS739" s="84"/>
      <c r="BT739" s="84"/>
      <c r="BU739" s="84"/>
      <c r="BV739" s="84"/>
      <c r="BW739" s="84"/>
      <c r="BX739" s="84"/>
      <c r="BY739" s="84"/>
      <c r="BZ739" s="84"/>
      <c r="CA739" s="84"/>
      <c r="CB739" s="84"/>
      <c r="CC739" s="84"/>
      <c r="CD739" s="84"/>
      <c r="CE739" s="84"/>
      <c r="CF739" s="84"/>
      <c r="CG739" s="84"/>
      <c r="CH739" s="84"/>
      <c r="CI739" s="84"/>
      <c r="CJ739" s="84"/>
      <c r="CK739" s="84"/>
      <c r="CL739" s="84"/>
    </row>
    <row r="740" spans="66:90" s="354" customFormat="1" x14ac:dyDescent="0.2">
      <c r="BN740" s="84"/>
      <c r="BO740" s="84"/>
      <c r="BP740" s="84"/>
      <c r="BQ740" s="84"/>
      <c r="BR740" s="84"/>
      <c r="BS740" s="84"/>
      <c r="BT740" s="84"/>
      <c r="BU740" s="84"/>
      <c r="BV740" s="84"/>
      <c r="BW740" s="84"/>
      <c r="BX740" s="84"/>
      <c r="BY740" s="84"/>
      <c r="BZ740" s="84"/>
      <c r="CA740" s="84"/>
      <c r="CB740" s="84"/>
      <c r="CC740" s="84"/>
      <c r="CD740" s="84"/>
      <c r="CE740" s="84"/>
      <c r="CF740" s="84"/>
      <c r="CG740" s="84"/>
      <c r="CH740" s="84"/>
      <c r="CI740" s="84"/>
      <c r="CJ740" s="84"/>
      <c r="CK740" s="84"/>
      <c r="CL740" s="84"/>
    </row>
    <row r="741" spans="66:90" s="354" customFormat="1" x14ac:dyDescent="0.2">
      <c r="BN741" s="84"/>
      <c r="BO741" s="84"/>
      <c r="BP741" s="84"/>
      <c r="BQ741" s="84"/>
      <c r="BR741" s="84"/>
      <c r="BS741" s="84"/>
      <c r="BT741" s="84"/>
      <c r="BU741" s="84"/>
      <c r="BV741" s="84"/>
      <c r="BW741" s="84"/>
      <c r="BX741" s="84"/>
      <c r="BY741" s="84"/>
      <c r="BZ741" s="84"/>
      <c r="CA741" s="84"/>
      <c r="CB741" s="84"/>
      <c r="CC741" s="84"/>
      <c r="CD741" s="84"/>
      <c r="CE741" s="84"/>
      <c r="CF741" s="84"/>
      <c r="CG741" s="84"/>
      <c r="CH741" s="84"/>
      <c r="CI741" s="84"/>
      <c r="CJ741" s="84"/>
      <c r="CK741" s="84"/>
      <c r="CL741" s="84"/>
    </row>
    <row r="742" spans="66:90" s="354" customFormat="1" x14ac:dyDescent="0.2">
      <c r="BN742" s="84"/>
      <c r="BO742" s="84"/>
      <c r="BP742" s="84"/>
      <c r="BQ742" s="84"/>
      <c r="BR742" s="84"/>
      <c r="BS742" s="84"/>
      <c r="BT742" s="84"/>
      <c r="BU742" s="84"/>
      <c r="BV742" s="84"/>
      <c r="BW742" s="84"/>
      <c r="BX742" s="84"/>
      <c r="BY742" s="84"/>
      <c r="BZ742" s="84"/>
      <c r="CA742" s="84"/>
      <c r="CB742" s="84"/>
      <c r="CC742" s="84"/>
      <c r="CD742" s="84"/>
      <c r="CE742" s="84"/>
      <c r="CF742" s="84"/>
      <c r="CG742" s="84"/>
      <c r="CH742" s="84"/>
      <c r="CI742" s="84"/>
      <c r="CJ742" s="84"/>
      <c r="CK742" s="84"/>
      <c r="CL742" s="84"/>
    </row>
    <row r="743" spans="66:90" s="354" customFormat="1" x14ac:dyDescent="0.2">
      <c r="BN743" s="84"/>
      <c r="BO743" s="84"/>
      <c r="BP743" s="84"/>
      <c r="BQ743" s="84"/>
      <c r="BR743" s="84"/>
      <c r="BS743" s="84"/>
      <c r="BT743" s="84"/>
      <c r="BU743" s="84"/>
      <c r="BV743" s="84"/>
      <c r="BW743" s="84"/>
      <c r="BX743" s="84"/>
      <c r="BY743" s="84"/>
      <c r="BZ743" s="84"/>
      <c r="CA743" s="84"/>
      <c r="CB743" s="84"/>
      <c r="CC743" s="84"/>
      <c r="CD743" s="84"/>
      <c r="CE743" s="84"/>
      <c r="CF743" s="84"/>
      <c r="CG743" s="84"/>
      <c r="CH743" s="84"/>
      <c r="CI743" s="84"/>
      <c r="CJ743" s="84"/>
      <c r="CK743" s="84"/>
      <c r="CL743" s="84"/>
    </row>
    <row r="744" spans="66:90" s="354" customFormat="1" x14ac:dyDescent="0.2">
      <c r="BN744" s="84"/>
      <c r="BO744" s="84"/>
      <c r="BP744" s="84"/>
      <c r="BQ744" s="84"/>
      <c r="BR744" s="84"/>
      <c r="BS744" s="84"/>
      <c r="BT744" s="84"/>
      <c r="BU744" s="84"/>
      <c r="BV744" s="84"/>
      <c r="BW744" s="84"/>
      <c r="BX744" s="84"/>
      <c r="BY744" s="84"/>
      <c r="BZ744" s="84"/>
      <c r="CA744" s="84"/>
      <c r="CB744" s="84"/>
      <c r="CC744" s="84"/>
      <c r="CD744" s="84"/>
      <c r="CE744" s="84"/>
      <c r="CF744" s="84"/>
      <c r="CG744" s="84"/>
      <c r="CH744" s="84"/>
      <c r="CI744" s="84"/>
      <c r="CJ744" s="84"/>
      <c r="CK744" s="84"/>
      <c r="CL744" s="84"/>
    </row>
    <row r="745" spans="66:90" s="354" customFormat="1" x14ac:dyDescent="0.2">
      <c r="BN745" s="84"/>
      <c r="BO745" s="84"/>
      <c r="BP745" s="84"/>
      <c r="BQ745" s="84"/>
      <c r="BR745" s="84"/>
      <c r="BS745" s="84"/>
      <c r="BT745" s="84"/>
      <c r="BU745" s="84"/>
      <c r="BV745" s="84"/>
      <c r="BW745" s="84"/>
      <c r="BX745" s="84"/>
      <c r="BY745" s="84"/>
      <c r="BZ745" s="84"/>
      <c r="CA745" s="84"/>
      <c r="CB745" s="84"/>
      <c r="CC745" s="84"/>
      <c r="CD745" s="84"/>
      <c r="CE745" s="84"/>
      <c r="CF745" s="84"/>
      <c r="CG745" s="84"/>
      <c r="CH745" s="84"/>
      <c r="CI745" s="84"/>
      <c r="CJ745" s="84"/>
      <c r="CK745" s="84"/>
      <c r="CL745" s="84"/>
    </row>
    <row r="746" spans="66:90" s="354" customFormat="1" x14ac:dyDescent="0.2">
      <c r="BN746" s="84"/>
      <c r="BO746" s="84"/>
      <c r="BP746" s="84"/>
      <c r="BQ746" s="84"/>
      <c r="BR746" s="84"/>
      <c r="BS746" s="84"/>
      <c r="BT746" s="84"/>
      <c r="BU746" s="84"/>
      <c r="BV746" s="84"/>
      <c r="BW746" s="84"/>
      <c r="BX746" s="84"/>
      <c r="BY746" s="84"/>
      <c r="BZ746" s="84"/>
      <c r="CA746" s="84"/>
      <c r="CB746" s="84"/>
      <c r="CC746" s="84"/>
      <c r="CD746" s="84"/>
      <c r="CE746" s="84"/>
      <c r="CF746" s="84"/>
      <c r="CG746" s="84"/>
      <c r="CH746" s="84"/>
      <c r="CI746" s="84"/>
      <c r="CJ746" s="84"/>
      <c r="CK746" s="84"/>
      <c r="CL746" s="84"/>
    </row>
    <row r="747" spans="66:90" s="354" customFormat="1" x14ac:dyDescent="0.2">
      <c r="BN747" s="84"/>
      <c r="BO747" s="84"/>
      <c r="BP747" s="84"/>
      <c r="BQ747" s="84"/>
      <c r="BR747" s="84"/>
      <c r="BS747" s="84"/>
      <c r="BT747" s="84"/>
      <c r="BU747" s="84"/>
      <c r="BV747" s="84"/>
      <c r="BW747" s="84"/>
      <c r="BX747" s="84"/>
      <c r="BY747" s="84"/>
      <c r="BZ747" s="84"/>
      <c r="CA747" s="84"/>
      <c r="CB747" s="84"/>
      <c r="CC747" s="84"/>
      <c r="CD747" s="84"/>
      <c r="CE747" s="84"/>
      <c r="CF747" s="84"/>
      <c r="CG747" s="84"/>
      <c r="CH747" s="84"/>
      <c r="CI747" s="84"/>
      <c r="CJ747" s="84"/>
      <c r="CK747" s="84"/>
      <c r="CL747" s="84"/>
    </row>
    <row r="748" spans="66:90" s="354" customFormat="1" x14ac:dyDescent="0.2">
      <c r="BN748" s="84"/>
      <c r="BO748" s="84"/>
      <c r="BP748" s="84"/>
      <c r="BQ748" s="84"/>
      <c r="BR748" s="84"/>
      <c r="BS748" s="84"/>
      <c r="BT748" s="84"/>
      <c r="BU748" s="84"/>
      <c r="BV748" s="84"/>
      <c r="BW748" s="84"/>
      <c r="BX748" s="84"/>
      <c r="BY748" s="84"/>
      <c r="BZ748" s="84"/>
      <c r="CA748" s="84"/>
      <c r="CB748" s="84"/>
      <c r="CC748" s="84"/>
      <c r="CD748" s="84"/>
      <c r="CE748" s="84"/>
      <c r="CF748" s="84"/>
      <c r="CG748" s="84"/>
      <c r="CH748" s="84"/>
      <c r="CI748" s="84"/>
      <c r="CJ748" s="84"/>
      <c r="CK748" s="84"/>
      <c r="CL748" s="84"/>
    </row>
    <row r="749" spans="66:90" s="354" customFormat="1" x14ac:dyDescent="0.2">
      <c r="BN749" s="84"/>
      <c r="BO749" s="84"/>
      <c r="BP749" s="84"/>
      <c r="BQ749" s="84"/>
      <c r="BR749" s="84"/>
      <c r="BS749" s="84"/>
      <c r="BT749" s="84"/>
      <c r="BU749" s="84"/>
      <c r="BV749" s="84"/>
      <c r="BW749" s="84"/>
      <c r="BX749" s="84"/>
      <c r="BY749" s="84"/>
      <c r="BZ749" s="84"/>
      <c r="CA749" s="84"/>
      <c r="CB749" s="84"/>
      <c r="CC749" s="84"/>
      <c r="CD749" s="84"/>
      <c r="CE749" s="84"/>
      <c r="CF749" s="84"/>
      <c r="CG749" s="84"/>
      <c r="CH749" s="84"/>
      <c r="CI749" s="84"/>
      <c r="CJ749" s="84"/>
      <c r="CK749" s="84"/>
      <c r="CL749" s="84"/>
    </row>
    <row r="750" spans="66:90" s="354" customFormat="1" x14ac:dyDescent="0.2">
      <c r="BN750" s="84"/>
      <c r="BO750" s="84"/>
      <c r="BP750" s="84"/>
      <c r="BQ750" s="84"/>
      <c r="BR750" s="84"/>
      <c r="BS750" s="84"/>
      <c r="BT750" s="84"/>
      <c r="BU750" s="84"/>
      <c r="BV750" s="84"/>
      <c r="BW750" s="84"/>
      <c r="BX750" s="84"/>
      <c r="BY750" s="84"/>
      <c r="BZ750" s="84"/>
      <c r="CA750" s="84"/>
      <c r="CB750" s="84"/>
      <c r="CC750" s="84"/>
      <c r="CD750" s="84"/>
      <c r="CE750" s="84"/>
      <c r="CF750" s="84"/>
      <c r="CG750" s="84"/>
      <c r="CH750" s="84"/>
      <c r="CI750" s="84"/>
      <c r="CJ750" s="84"/>
      <c r="CK750" s="84"/>
      <c r="CL750" s="84"/>
    </row>
    <row r="751" spans="66:90" s="354" customFormat="1" x14ac:dyDescent="0.2">
      <c r="BN751" s="84"/>
      <c r="BO751" s="84"/>
      <c r="BP751" s="84"/>
      <c r="BQ751" s="84"/>
      <c r="BR751" s="84"/>
      <c r="BS751" s="84"/>
      <c r="BT751" s="84"/>
      <c r="BU751" s="84"/>
      <c r="BV751" s="84"/>
      <c r="BW751" s="84"/>
      <c r="BX751" s="84"/>
      <c r="BY751" s="84"/>
      <c r="BZ751" s="84"/>
      <c r="CA751" s="84"/>
      <c r="CB751" s="84"/>
      <c r="CC751" s="84"/>
      <c r="CD751" s="84"/>
      <c r="CE751" s="84"/>
      <c r="CF751" s="84"/>
      <c r="CG751" s="84"/>
      <c r="CH751" s="84"/>
      <c r="CI751" s="84"/>
      <c r="CJ751" s="84"/>
      <c r="CK751" s="84"/>
      <c r="CL751" s="84"/>
    </row>
    <row r="752" spans="66:90" s="354" customFormat="1" x14ac:dyDescent="0.2">
      <c r="BN752" s="84"/>
      <c r="BO752" s="84"/>
      <c r="BP752" s="84"/>
      <c r="BQ752" s="84"/>
      <c r="BR752" s="84"/>
      <c r="BS752" s="84"/>
      <c r="BT752" s="84"/>
      <c r="BU752" s="84"/>
      <c r="BV752" s="84"/>
      <c r="BW752" s="84"/>
      <c r="BX752" s="84"/>
      <c r="BY752" s="84"/>
      <c r="BZ752" s="84"/>
      <c r="CA752" s="84"/>
      <c r="CB752" s="84"/>
      <c r="CC752" s="84"/>
      <c r="CD752" s="84"/>
      <c r="CE752" s="84"/>
      <c r="CF752" s="84"/>
      <c r="CG752" s="84"/>
      <c r="CH752" s="84"/>
      <c r="CI752" s="84"/>
      <c r="CJ752" s="84"/>
      <c r="CK752" s="84"/>
      <c r="CL752" s="84"/>
    </row>
    <row r="753" spans="66:90" s="354" customFormat="1" x14ac:dyDescent="0.2">
      <c r="BN753" s="84"/>
      <c r="BO753" s="84"/>
      <c r="BP753" s="84"/>
      <c r="BQ753" s="84"/>
      <c r="BR753" s="84"/>
      <c r="BS753" s="84"/>
      <c r="BT753" s="84"/>
      <c r="BU753" s="84"/>
      <c r="BV753" s="84"/>
      <c r="BW753" s="84"/>
      <c r="BX753" s="84"/>
      <c r="BY753" s="84"/>
      <c r="BZ753" s="84"/>
      <c r="CA753" s="84"/>
      <c r="CB753" s="84"/>
      <c r="CC753" s="84"/>
      <c r="CD753" s="84"/>
      <c r="CE753" s="84"/>
      <c r="CF753" s="84"/>
      <c r="CG753" s="84"/>
      <c r="CH753" s="84"/>
      <c r="CI753" s="84"/>
      <c r="CJ753" s="84"/>
      <c r="CK753" s="84"/>
      <c r="CL753" s="84"/>
    </row>
    <row r="754" spans="66:90" s="354" customFormat="1" x14ac:dyDescent="0.2">
      <c r="BN754" s="84"/>
      <c r="BO754" s="84"/>
      <c r="BP754" s="84"/>
      <c r="BQ754" s="84"/>
      <c r="BR754" s="84"/>
      <c r="BS754" s="84"/>
      <c r="BT754" s="84"/>
      <c r="BU754" s="84"/>
      <c r="BV754" s="84"/>
      <c r="BW754" s="84"/>
      <c r="BX754" s="84"/>
      <c r="BY754" s="84"/>
      <c r="BZ754" s="84"/>
      <c r="CA754" s="84"/>
      <c r="CB754" s="84"/>
      <c r="CC754" s="84"/>
      <c r="CD754" s="84"/>
      <c r="CE754" s="84"/>
      <c r="CF754" s="84"/>
      <c r="CG754" s="84"/>
      <c r="CH754" s="84"/>
      <c r="CI754" s="84"/>
      <c r="CJ754" s="84"/>
      <c r="CK754" s="84"/>
      <c r="CL754" s="84"/>
    </row>
    <row r="755" spans="66:90" s="354" customFormat="1" x14ac:dyDescent="0.2">
      <c r="BN755" s="84"/>
      <c r="BO755" s="84"/>
      <c r="BP755" s="84"/>
      <c r="BQ755" s="84"/>
      <c r="BR755" s="84"/>
      <c r="BS755" s="84"/>
      <c r="BT755" s="84"/>
      <c r="BU755" s="84"/>
      <c r="BV755" s="84"/>
      <c r="BW755" s="84"/>
      <c r="BX755" s="84"/>
      <c r="BY755" s="84"/>
      <c r="BZ755" s="84"/>
      <c r="CA755" s="84"/>
      <c r="CB755" s="84"/>
      <c r="CC755" s="84"/>
      <c r="CD755" s="84"/>
      <c r="CE755" s="84"/>
      <c r="CF755" s="84"/>
      <c r="CG755" s="84"/>
      <c r="CH755" s="84"/>
      <c r="CI755" s="84"/>
      <c r="CJ755" s="84"/>
      <c r="CK755" s="84"/>
      <c r="CL755" s="84"/>
    </row>
    <row r="756" spans="66:90" s="354" customFormat="1" x14ac:dyDescent="0.2">
      <c r="BN756" s="84"/>
      <c r="BO756" s="84"/>
      <c r="BP756" s="84"/>
      <c r="BQ756" s="84"/>
      <c r="BR756" s="84"/>
      <c r="BS756" s="84"/>
      <c r="BT756" s="84"/>
      <c r="BU756" s="84"/>
      <c r="BV756" s="84"/>
      <c r="BW756" s="84"/>
      <c r="BX756" s="84"/>
      <c r="BY756" s="84"/>
      <c r="BZ756" s="84"/>
      <c r="CA756" s="84"/>
      <c r="CB756" s="84"/>
      <c r="CC756" s="84"/>
      <c r="CD756" s="84"/>
      <c r="CE756" s="84"/>
      <c r="CF756" s="84"/>
      <c r="CG756" s="84"/>
      <c r="CH756" s="84"/>
      <c r="CI756" s="84"/>
      <c r="CJ756" s="84"/>
      <c r="CK756" s="84"/>
      <c r="CL756" s="84"/>
    </row>
    <row r="757" spans="66:90" s="354" customFormat="1" x14ac:dyDescent="0.2">
      <c r="BN757" s="84"/>
      <c r="BO757" s="84"/>
      <c r="BP757" s="84"/>
      <c r="BQ757" s="84"/>
      <c r="BR757" s="84"/>
      <c r="BS757" s="84"/>
      <c r="BT757" s="84"/>
      <c r="BU757" s="84"/>
      <c r="BV757" s="84"/>
      <c r="BW757" s="84"/>
      <c r="BX757" s="84"/>
      <c r="BY757" s="84"/>
      <c r="BZ757" s="84"/>
      <c r="CA757" s="84"/>
      <c r="CB757" s="84"/>
      <c r="CC757" s="84"/>
      <c r="CD757" s="84"/>
      <c r="CE757" s="84"/>
      <c r="CF757" s="84"/>
      <c r="CG757" s="84"/>
      <c r="CH757" s="84"/>
      <c r="CI757" s="84"/>
      <c r="CJ757" s="84"/>
      <c r="CK757" s="84"/>
      <c r="CL757" s="84"/>
    </row>
    <row r="758" spans="66:90" s="354" customFormat="1" x14ac:dyDescent="0.2">
      <c r="BN758" s="84"/>
      <c r="BO758" s="84"/>
      <c r="BP758" s="84"/>
      <c r="BQ758" s="84"/>
      <c r="BR758" s="84"/>
      <c r="BS758" s="84"/>
      <c r="BT758" s="84"/>
      <c r="BU758" s="84"/>
      <c r="BV758" s="84"/>
      <c r="BW758" s="84"/>
      <c r="BX758" s="84"/>
      <c r="BY758" s="84"/>
      <c r="BZ758" s="84"/>
      <c r="CA758" s="84"/>
      <c r="CB758" s="84"/>
      <c r="CC758" s="84"/>
      <c r="CD758" s="84"/>
      <c r="CE758" s="84"/>
      <c r="CF758" s="84"/>
      <c r="CG758" s="84"/>
      <c r="CH758" s="84"/>
      <c r="CI758" s="84"/>
      <c r="CJ758" s="84"/>
      <c r="CK758" s="84"/>
      <c r="CL758" s="84"/>
    </row>
    <row r="759" spans="66:90" s="354" customFormat="1" x14ac:dyDescent="0.2">
      <c r="BN759" s="84"/>
      <c r="BO759" s="84"/>
      <c r="BP759" s="84"/>
      <c r="BQ759" s="84"/>
      <c r="BR759" s="84"/>
      <c r="BS759" s="84"/>
      <c r="BT759" s="84"/>
      <c r="BU759" s="84"/>
      <c r="BV759" s="84"/>
      <c r="BW759" s="84"/>
      <c r="BX759" s="84"/>
      <c r="BY759" s="84"/>
      <c r="BZ759" s="84"/>
      <c r="CA759" s="84"/>
      <c r="CB759" s="84"/>
      <c r="CC759" s="84"/>
      <c r="CD759" s="84"/>
      <c r="CE759" s="84"/>
      <c r="CF759" s="84"/>
      <c r="CG759" s="84"/>
      <c r="CH759" s="84"/>
      <c r="CI759" s="84"/>
      <c r="CJ759" s="84"/>
      <c r="CK759" s="84"/>
      <c r="CL759" s="84"/>
    </row>
    <row r="760" spans="66:90" s="354" customFormat="1" x14ac:dyDescent="0.2">
      <c r="BN760" s="84"/>
      <c r="BO760" s="84"/>
      <c r="BP760" s="84"/>
      <c r="BQ760" s="84"/>
      <c r="BR760" s="84"/>
      <c r="BS760" s="84"/>
      <c r="BT760" s="84"/>
      <c r="BU760" s="84"/>
      <c r="BV760" s="84"/>
      <c r="BW760" s="84"/>
      <c r="BX760" s="84"/>
      <c r="BY760" s="84"/>
      <c r="BZ760" s="84"/>
      <c r="CA760" s="84"/>
      <c r="CB760" s="84"/>
      <c r="CC760" s="84"/>
      <c r="CD760" s="84"/>
      <c r="CE760" s="84"/>
      <c r="CF760" s="84"/>
      <c r="CG760" s="84"/>
      <c r="CH760" s="84"/>
      <c r="CI760" s="84"/>
      <c r="CJ760" s="84"/>
      <c r="CK760" s="84"/>
      <c r="CL760" s="84"/>
    </row>
    <row r="761" spans="66:90" s="354" customFormat="1" x14ac:dyDescent="0.2">
      <c r="BN761" s="84"/>
      <c r="BO761" s="84"/>
      <c r="BP761" s="84"/>
      <c r="BQ761" s="84"/>
      <c r="BR761" s="84"/>
      <c r="BS761" s="84"/>
      <c r="BT761" s="84"/>
      <c r="BU761" s="84"/>
      <c r="BV761" s="84"/>
      <c r="BW761" s="84"/>
      <c r="BX761" s="84"/>
      <c r="BY761" s="84"/>
      <c r="BZ761" s="84"/>
      <c r="CA761" s="84"/>
      <c r="CB761" s="84"/>
      <c r="CC761" s="84"/>
      <c r="CD761" s="84"/>
      <c r="CE761" s="84"/>
      <c r="CF761" s="84"/>
      <c r="CG761" s="84"/>
      <c r="CH761" s="84"/>
      <c r="CI761" s="84"/>
      <c r="CJ761" s="84"/>
      <c r="CK761" s="84"/>
      <c r="CL761" s="84"/>
    </row>
    <row r="762" spans="66:90" s="354" customFormat="1" x14ac:dyDescent="0.2">
      <c r="BN762" s="84"/>
      <c r="BO762" s="84"/>
      <c r="BP762" s="84"/>
      <c r="BQ762" s="84"/>
      <c r="BR762" s="84"/>
      <c r="BS762" s="84"/>
      <c r="BT762" s="84"/>
      <c r="BU762" s="84"/>
      <c r="BV762" s="84"/>
      <c r="BW762" s="84"/>
      <c r="BX762" s="84"/>
      <c r="BY762" s="84"/>
      <c r="BZ762" s="84"/>
      <c r="CA762" s="84"/>
      <c r="CB762" s="84"/>
      <c r="CC762" s="84"/>
      <c r="CD762" s="84"/>
      <c r="CE762" s="84"/>
      <c r="CF762" s="84"/>
      <c r="CG762" s="84"/>
      <c r="CH762" s="84"/>
      <c r="CI762" s="84"/>
      <c r="CJ762" s="84"/>
      <c r="CK762" s="84"/>
      <c r="CL762" s="84"/>
    </row>
    <row r="763" spans="66:90" s="354" customFormat="1" x14ac:dyDescent="0.2">
      <c r="BN763" s="84"/>
      <c r="BO763" s="84"/>
      <c r="BP763" s="84"/>
      <c r="BQ763" s="84"/>
      <c r="BR763" s="84"/>
      <c r="BS763" s="84"/>
      <c r="BT763" s="84"/>
      <c r="BU763" s="84"/>
      <c r="BV763" s="84"/>
      <c r="BW763" s="84"/>
      <c r="BX763" s="84"/>
      <c r="BY763" s="84"/>
      <c r="BZ763" s="84"/>
      <c r="CA763" s="84"/>
      <c r="CB763" s="84"/>
      <c r="CC763" s="84"/>
      <c r="CD763" s="84"/>
      <c r="CE763" s="84"/>
      <c r="CF763" s="84"/>
      <c r="CG763" s="84"/>
      <c r="CH763" s="84"/>
      <c r="CI763" s="84"/>
      <c r="CJ763" s="84"/>
      <c r="CK763" s="84"/>
      <c r="CL763" s="84"/>
    </row>
    <row r="764" spans="66:90" s="354" customFormat="1" x14ac:dyDescent="0.2">
      <c r="BN764" s="84"/>
      <c r="BO764" s="84"/>
      <c r="BP764" s="84"/>
      <c r="BQ764" s="84"/>
      <c r="BR764" s="84"/>
      <c r="BS764" s="84"/>
      <c r="BT764" s="84"/>
      <c r="BU764" s="84"/>
      <c r="BV764" s="84"/>
      <c r="BW764" s="84"/>
      <c r="BX764" s="84"/>
      <c r="BY764" s="84"/>
      <c r="BZ764" s="84"/>
      <c r="CA764" s="84"/>
      <c r="CB764" s="84"/>
      <c r="CC764" s="84"/>
      <c r="CD764" s="84"/>
      <c r="CE764" s="84"/>
      <c r="CF764" s="84"/>
      <c r="CG764" s="84"/>
      <c r="CH764" s="84"/>
      <c r="CI764" s="84"/>
      <c r="CJ764" s="84"/>
      <c r="CK764" s="84"/>
      <c r="CL764" s="84"/>
    </row>
    <row r="765" spans="66:90" s="354" customFormat="1" x14ac:dyDescent="0.2">
      <c r="BN765" s="84"/>
      <c r="BO765" s="84"/>
      <c r="BP765" s="84"/>
      <c r="BQ765" s="84"/>
      <c r="BR765" s="84"/>
      <c r="BS765" s="84"/>
      <c r="BT765" s="84"/>
      <c r="BU765" s="84"/>
      <c r="BV765" s="84"/>
      <c r="BW765" s="84"/>
      <c r="BX765" s="84"/>
      <c r="BY765" s="84"/>
      <c r="BZ765" s="84"/>
      <c r="CA765" s="84"/>
      <c r="CB765" s="84"/>
      <c r="CC765" s="84"/>
      <c r="CD765" s="84"/>
      <c r="CE765" s="84"/>
      <c r="CF765" s="84"/>
      <c r="CG765" s="84"/>
      <c r="CH765" s="84"/>
      <c r="CI765" s="84"/>
      <c r="CJ765" s="84"/>
      <c r="CK765" s="84"/>
      <c r="CL765" s="84"/>
    </row>
    <row r="766" spans="66:90" s="354" customFormat="1" x14ac:dyDescent="0.2">
      <c r="BN766" s="84"/>
      <c r="BO766" s="84"/>
      <c r="BP766" s="84"/>
      <c r="BQ766" s="84"/>
      <c r="BR766" s="84"/>
      <c r="BS766" s="84"/>
      <c r="BT766" s="84"/>
      <c r="BU766" s="84"/>
      <c r="BV766" s="84"/>
      <c r="BW766" s="84"/>
      <c r="BX766" s="84"/>
      <c r="BY766" s="84"/>
      <c r="BZ766" s="84"/>
      <c r="CA766" s="84"/>
      <c r="CB766" s="84"/>
      <c r="CC766" s="84"/>
      <c r="CD766" s="84"/>
      <c r="CE766" s="84"/>
      <c r="CF766" s="84"/>
      <c r="CG766" s="84"/>
      <c r="CH766" s="84"/>
      <c r="CI766" s="84"/>
      <c r="CJ766" s="84"/>
      <c r="CK766" s="84"/>
      <c r="CL766" s="84"/>
    </row>
    <row r="767" spans="66:90" s="354" customFormat="1" x14ac:dyDescent="0.2">
      <c r="BN767" s="84"/>
      <c r="BO767" s="84"/>
      <c r="BP767" s="84"/>
      <c r="BQ767" s="84"/>
      <c r="BR767" s="84"/>
      <c r="BS767" s="84"/>
      <c r="BT767" s="84"/>
      <c r="BU767" s="84"/>
      <c r="BV767" s="84"/>
      <c r="BW767" s="84"/>
      <c r="BX767" s="84"/>
      <c r="BY767" s="84"/>
      <c r="BZ767" s="84"/>
      <c r="CA767" s="84"/>
      <c r="CB767" s="84"/>
      <c r="CC767" s="84"/>
      <c r="CD767" s="84"/>
      <c r="CE767" s="84"/>
      <c r="CF767" s="84"/>
      <c r="CG767" s="84"/>
      <c r="CH767" s="84"/>
      <c r="CI767" s="84"/>
      <c r="CJ767" s="84"/>
      <c r="CK767" s="84"/>
      <c r="CL767" s="84"/>
    </row>
    <row r="768" spans="66:90" s="354" customFormat="1" x14ac:dyDescent="0.2">
      <c r="BN768" s="84"/>
      <c r="BO768" s="84"/>
      <c r="BP768" s="84"/>
      <c r="BQ768" s="84"/>
      <c r="BR768" s="84"/>
      <c r="BS768" s="84"/>
      <c r="BT768" s="84"/>
      <c r="BU768" s="84"/>
      <c r="BV768" s="84"/>
      <c r="BW768" s="84"/>
      <c r="BX768" s="84"/>
      <c r="BY768" s="84"/>
      <c r="BZ768" s="84"/>
      <c r="CA768" s="84"/>
      <c r="CB768" s="84"/>
      <c r="CC768" s="84"/>
      <c r="CD768" s="84"/>
      <c r="CE768" s="84"/>
      <c r="CF768" s="84"/>
      <c r="CG768" s="84"/>
      <c r="CH768" s="84"/>
      <c r="CI768" s="84"/>
      <c r="CJ768" s="84"/>
      <c r="CK768" s="84"/>
      <c r="CL768" s="84"/>
    </row>
    <row r="769" spans="66:90" s="354" customFormat="1" x14ac:dyDescent="0.2">
      <c r="BN769" s="84"/>
      <c r="BO769" s="84"/>
      <c r="BP769" s="84"/>
      <c r="BQ769" s="84"/>
      <c r="BR769" s="84"/>
      <c r="BS769" s="84"/>
      <c r="BT769" s="84"/>
      <c r="BU769" s="84"/>
      <c r="BV769" s="84"/>
      <c r="BW769" s="84"/>
      <c r="BX769" s="84"/>
      <c r="BY769" s="84"/>
      <c r="BZ769" s="84"/>
      <c r="CA769" s="84"/>
      <c r="CB769" s="84"/>
      <c r="CC769" s="84"/>
      <c r="CD769" s="84"/>
      <c r="CE769" s="84"/>
      <c r="CF769" s="84"/>
      <c r="CG769" s="84"/>
      <c r="CH769" s="84"/>
      <c r="CI769" s="84"/>
      <c r="CJ769" s="84"/>
      <c r="CK769" s="84"/>
      <c r="CL769" s="84"/>
    </row>
    <row r="770" spans="66:90" s="354" customFormat="1" x14ac:dyDescent="0.2">
      <c r="BN770" s="84"/>
      <c r="BO770" s="84"/>
      <c r="BP770" s="84"/>
      <c r="BQ770" s="84"/>
      <c r="BR770" s="84"/>
      <c r="BS770" s="84"/>
      <c r="BT770" s="84"/>
      <c r="BU770" s="84"/>
      <c r="BV770" s="84"/>
      <c r="BW770" s="84"/>
      <c r="BX770" s="84"/>
      <c r="BY770" s="84"/>
      <c r="BZ770" s="84"/>
      <c r="CA770" s="84"/>
      <c r="CB770" s="84"/>
      <c r="CC770" s="84"/>
      <c r="CD770" s="84"/>
      <c r="CE770" s="84"/>
      <c r="CF770" s="84"/>
      <c r="CG770" s="84"/>
      <c r="CH770" s="84"/>
      <c r="CI770" s="84"/>
      <c r="CJ770" s="84"/>
      <c r="CK770" s="84"/>
      <c r="CL770" s="84"/>
    </row>
    <row r="771" spans="66:90" s="354" customFormat="1" x14ac:dyDescent="0.2">
      <c r="BN771" s="84"/>
      <c r="BO771" s="84"/>
      <c r="BP771" s="84"/>
      <c r="BQ771" s="84"/>
      <c r="BR771" s="84"/>
      <c r="BS771" s="84"/>
      <c r="BT771" s="84"/>
      <c r="BU771" s="84"/>
      <c r="BV771" s="84"/>
      <c r="BW771" s="84"/>
      <c r="BX771" s="84"/>
      <c r="BY771" s="84"/>
      <c r="BZ771" s="84"/>
      <c r="CA771" s="84"/>
      <c r="CB771" s="84"/>
      <c r="CC771" s="84"/>
      <c r="CD771" s="84"/>
      <c r="CE771" s="84"/>
      <c r="CF771" s="84"/>
      <c r="CG771" s="84"/>
      <c r="CH771" s="84"/>
      <c r="CI771" s="84"/>
      <c r="CJ771" s="84"/>
      <c r="CK771" s="84"/>
      <c r="CL771" s="84"/>
    </row>
    <row r="772" spans="66:90" s="354" customFormat="1" x14ac:dyDescent="0.2">
      <c r="BN772" s="84"/>
      <c r="BO772" s="84"/>
      <c r="BP772" s="84"/>
      <c r="BQ772" s="84"/>
      <c r="BR772" s="84"/>
      <c r="BS772" s="84"/>
      <c r="BT772" s="84"/>
      <c r="BU772" s="84"/>
      <c r="BV772" s="84"/>
      <c r="BW772" s="84"/>
      <c r="BX772" s="84"/>
      <c r="BY772" s="84"/>
      <c r="BZ772" s="84"/>
      <c r="CA772" s="84"/>
      <c r="CB772" s="84"/>
      <c r="CC772" s="84"/>
      <c r="CD772" s="84"/>
      <c r="CE772" s="84"/>
      <c r="CF772" s="84"/>
      <c r="CG772" s="84"/>
      <c r="CH772" s="84"/>
      <c r="CI772" s="84"/>
      <c r="CJ772" s="84"/>
      <c r="CK772" s="84"/>
      <c r="CL772" s="84"/>
    </row>
    <row r="773" spans="66:90" s="354" customFormat="1" x14ac:dyDescent="0.2">
      <c r="BN773" s="84"/>
      <c r="BO773" s="84"/>
      <c r="BP773" s="84"/>
      <c r="BQ773" s="84"/>
      <c r="BR773" s="84"/>
      <c r="BS773" s="84"/>
      <c r="BT773" s="84"/>
      <c r="BU773" s="84"/>
      <c r="BV773" s="84"/>
      <c r="BW773" s="84"/>
      <c r="BX773" s="84"/>
      <c r="BY773" s="84"/>
      <c r="BZ773" s="84"/>
      <c r="CA773" s="84"/>
      <c r="CB773" s="84"/>
      <c r="CC773" s="84"/>
      <c r="CD773" s="84"/>
      <c r="CE773" s="84"/>
      <c r="CF773" s="84"/>
      <c r="CG773" s="84"/>
      <c r="CH773" s="84"/>
      <c r="CI773" s="84"/>
      <c r="CJ773" s="84"/>
      <c r="CK773" s="84"/>
      <c r="CL773" s="84"/>
    </row>
    <row r="774" spans="66:90" s="354" customFormat="1" x14ac:dyDescent="0.2">
      <c r="BN774" s="84"/>
      <c r="BO774" s="84"/>
      <c r="BP774" s="84"/>
      <c r="BQ774" s="84"/>
      <c r="BR774" s="84"/>
      <c r="BS774" s="84"/>
      <c r="BT774" s="84"/>
      <c r="BU774" s="84"/>
      <c r="BV774" s="84"/>
      <c r="BW774" s="84"/>
      <c r="BX774" s="84"/>
      <c r="BY774" s="84"/>
      <c r="BZ774" s="84"/>
      <c r="CA774" s="84"/>
      <c r="CB774" s="84"/>
      <c r="CC774" s="84"/>
      <c r="CD774" s="84"/>
      <c r="CE774" s="84"/>
      <c r="CF774" s="84"/>
      <c r="CG774" s="84"/>
      <c r="CH774" s="84"/>
      <c r="CI774" s="84"/>
      <c r="CJ774" s="84"/>
      <c r="CK774" s="84"/>
      <c r="CL774" s="84"/>
    </row>
    <row r="775" spans="66:90" s="354" customFormat="1" x14ac:dyDescent="0.2">
      <c r="BN775" s="84"/>
      <c r="BO775" s="84"/>
      <c r="BP775" s="84"/>
      <c r="BQ775" s="84"/>
      <c r="BR775" s="84"/>
      <c r="BS775" s="84"/>
      <c r="BT775" s="84"/>
      <c r="BU775" s="84"/>
      <c r="BV775" s="84"/>
      <c r="BW775" s="84"/>
      <c r="BX775" s="84"/>
      <c r="BY775" s="84"/>
      <c r="BZ775" s="84"/>
      <c r="CA775" s="84"/>
      <c r="CB775" s="84"/>
      <c r="CC775" s="84"/>
      <c r="CD775" s="84"/>
      <c r="CE775" s="84"/>
      <c r="CF775" s="84"/>
      <c r="CG775" s="84"/>
      <c r="CH775" s="84"/>
      <c r="CI775" s="84"/>
      <c r="CJ775" s="84"/>
      <c r="CK775" s="84"/>
      <c r="CL775" s="84"/>
    </row>
    <row r="776" spans="66:90" s="354" customFormat="1" x14ac:dyDescent="0.2">
      <c r="BN776" s="84"/>
      <c r="BO776" s="84"/>
      <c r="BP776" s="84"/>
      <c r="BQ776" s="84"/>
      <c r="BR776" s="84"/>
      <c r="BS776" s="84"/>
      <c r="BT776" s="84"/>
      <c r="BU776" s="84"/>
      <c r="BV776" s="84"/>
      <c r="BW776" s="84"/>
      <c r="BX776" s="84"/>
      <c r="BY776" s="84"/>
      <c r="BZ776" s="84"/>
      <c r="CA776" s="84"/>
      <c r="CB776" s="84"/>
      <c r="CC776" s="84"/>
      <c r="CD776" s="84"/>
      <c r="CE776" s="84"/>
      <c r="CF776" s="84"/>
      <c r="CG776" s="84"/>
      <c r="CH776" s="84"/>
      <c r="CI776" s="84"/>
      <c r="CJ776" s="84"/>
      <c r="CK776" s="84"/>
      <c r="CL776" s="84"/>
    </row>
    <row r="777" spans="66:90" s="354" customFormat="1" x14ac:dyDescent="0.2">
      <c r="BN777" s="84"/>
      <c r="BO777" s="84"/>
      <c r="BP777" s="84"/>
      <c r="BQ777" s="84"/>
      <c r="BR777" s="84"/>
      <c r="BS777" s="84"/>
      <c r="BT777" s="84"/>
      <c r="BU777" s="84"/>
      <c r="BV777" s="84"/>
      <c r="BW777" s="84"/>
      <c r="BX777" s="84"/>
      <c r="BY777" s="84"/>
      <c r="BZ777" s="84"/>
      <c r="CA777" s="84"/>
      <c r="CB777" s="84"/>
      <c r="CC777" s="84"/>
      <c r="CD777" s="84"/>
      <c r="CE777" s="84"/>
      <c r="CF777" s="84"/>
      <c r="CG777" s="84"/>
      <c r="CH777" s="84"/>
      <c r="CI777" s="84"/>
      <c r="CJ777" s="84"/>
      <c r="CK777" s="84"/>
      <c r="CL777" s="84"/>
    </row>
    <row r="778" spans="66:90" s="354" customFormat="1" x14ac:dyDescent="0.2">
      <c r="BN778" s="84"/>
      <c r="BO778" s="84"/>
      <c r="BP778" s="84"/>
      <c r="BQ778" s="84"/>
      <c r="BR778" s="84"/>
      <c r="BS778" s="84"/>
      <c r="BT778" s="84"/>
      <c r="BU778" s="84"/>
      <c r="BV778" s="84"/>
      <c r="BW778" s="84"/>
      <c r="BX778" s="84"/>
      <c r="BY778" s="84"/>
      <c r="BZ778" s="84"/>
      <c r="CA778" s="84"/>
      <c r="CB778" s="84"/>
      <c r="CC778" s="84"/>
      <c r="CD778" s="84"/>
      <c r="CE778" s="84"/>
      <c r="CF778" s="84"/>
      <c r="CG778" s="84"/>
      <c r="CH778" s="84"/>
      <c r="CI778" s="84"/>
      <c r="CJ778" s="84"/>
      <c r="CK778" s="84"/>
      <c r="CL778" s="84"/>
    </row>
    <row r="779" spans="66:90" s="354" customFormat="1" x14ac:dyDescent="0.2">
      <c r="BN779" s="84"/>
      <c r="BO779" s="84"/>
      <c r="BP779" s="84"/>
      <c r="BQ779" s="84"/>
      <c r="BR779" s="84"/>
      <c r="BS779" s="84"/>
      <c r="BT779" s="84"/>
      <c r="BU779" s="84"/>
      <c r="BV779" s="84"/>
      <c r="BW779" s="84"/>
      <c r="BX779" s="84"/>
      <c r="BY779" s="84"/>
      <c r="BZ779" s="84"/>
      <c r="CA779" s="84"/>
      <c r="CB779" s="84"/>
      <c r="CC779" s="84"/>
      <c r="CD779" s="84"/>
      <c r="CE779" s="84"/>
      <c r="CF779" s="84"/>
      <c r="CG779" s="84"/>
      <c r="CH779" s="84"/>
      <c r="CI779" s="84"/>
      <c r="CJ779" s="84"/>
      <c r="CK779" s="84"/>
      <c r="CL779" s="84"/>
    </row>
    <row r="780" spans="66:90" s="354" customFormat="1" x14ac:dyDescent="0.2">
      <c r="BN780" s="84"/>
      <c r="BO780" s="84"/>
      <c r="BP780" s="84"/>
      <c r="BQ780" s="84"/>
      <c r="BR780" s="84"/>
      <c r="BS780" s="84"/>
      <c r="BT780" s="84"/>
      <c r="BU780" s="84"/>
      <c r="BV780" s="84"/>
      <c r="BW780" s="84"/>
      <c r="BX780" s="84"/>
      <c r="BY780" s="84"/>
      <c r="BZ780" s="84"/>
      <c r="CA780" s="84"/>
      <c r="CB780" s="84"/>
      <c r="CC780" s="84"/>
      <c r="CD780" s="84"/>
      <c r="CE780" s="84"/>
      <c r="CF780" s="84"/>
      <c r="CG780" s="84"/>
      <c r="CH780" s="84"/>
      <c r="CI780" s="84"/>
      <c r="CJ780" s="84"/>
      <c r="CK780" s="84"/>
      <c r="CL780" s="84"/>
    </row>
    <row r="781" spans="66:90" s="354" customFormat="1" x14ac:dyDescent="0.2">
      <c r="BN781" s="84"/>
      <c r="BO781" s="84"/>
      <c r="BP781" s="84"/>
      <c r="BQ781" s="84"/>
      <c r="BR781" s="84"/>
      <c r="BS781" s="84"/>
      <c r="BT781" s="84"/>
      <c r="BU781" s="84"/>
      <c r="BV781" s="84"/>
      <c r="BW781" s="84"/>
      <c r="BX781" s="84"/>
      <c r="BY781" s="84"/>
      <c r="BZ781" s="84"/>
      <c r="CA781" s="84"/>
      <c r="CB781" s="84"/>
      <c r="CC781" s="84"/>
      <c r="CD781" s="84"/>
      <c r="CE781" s="84"/>
      <c r="CF781" s="84"/>
      <c r="CG781" s="84"/>
      <c r="CH781" s="84"/>
      <c r="CI781" s="84"/>
      <c r="CJ781" s="84"/>
      <c r="CK781" s="84"/>
      <c r="CL781" s="84"/>
    </row>
    <row r="782" spans="66:90" s="354" customFormat="1" x14ac:dyDescent="0.2">
      <c r="BN782" s="84"/>
      <c r="BO782" s="84"/>
      <c r="BP782" s="84"/>
      <c r="BQ782" s="84"/>
      <c r="BR782" s="84"/>
      <c r="BS782" s="84"/>
      <c r="BT782" s="84"/>
      <c r="BU782" s="84"/>
      <c r="BV782" s="84"/>
      <c r="BW782" s="84"/>
      <c r="BX782" s="84"/>
      <c r="BY782" s="84"/>
      <c r="BZ782" s="84"/>
      <c r="CA782" s="84"/>
      <c r="CB782" s="84"/>
      <c r="CC782" s="84"/>
      <c r="CD782" s="84"/>
      <c r="CE782" s="84"/>
      <c r="CF782" s="84"/>
      <c r="CG782" s="84"/>
      <c r="CH782" s="84"/>
      <c r="CI782" s="84"/>
      <c r="CJ782" s="84"/>
      <c r="CK782" s="84"/>
      <c r="CL782" s="84"/>
    </row>
    <row r="783" spans="66:90" s="354" customFormat="1" x14ac:dyDescent="0.2">
      <c r="BN783" s="84"/>
      <c r="BO783" s="84"/>
      <c r="BP783" s="84"/>
      <c r="BQ783" s="84"/>
      <c r="BR783" s="84"/>
      <c r="BS783" s="84"/>
      <c r="BT783" s="84"/>
      <c r="BU783" s="84"/>
      <c r="BV783" s="84"/>
      <c r="BW783" s="84"/>
      <c r="BX783" s="84"/>
      <c r="BY783" s="84"/>
      <c r="BZ783" s="84"/>
      <c r="CA783" s="84"/>
      <c r="CB783" s="84"/>
      <c r="CC783" s="84"/>
      <c r="CD783" s="84"/>
      <c r="CE783" s="84"/>
      <c r="CF783" s="84"/>
      <c r="CG783" s="84"/>
      <c r="CH783" s="84"/>
      <c r="CI783" s="84"/>
      <c r="CJ783" s="84"/>
      <c r="CK783" s="84"/>
      <c r="CL783" s="84"/>
    </row>
    <row r="784" spans="66:90" s="354" customFormat="1" x14ac:dyDescent="0.2">
      <c r="BN784" s="84"/>
      <c r="BO784" s="84"/>
      <c r="BP784" s="84"/>
      <c r="BQ784" s="84"/>
      <c r="BR784" s="84"/>
      <c r="BS784" s="84"/>
      <c r="BT784" s="84"/>
      <c r="BU784" s="84"/>
      <c r="BV784" s="84"/>
      <c r="BW784" s="84"/>
      <c r="BX784" s="84"/>
      <c r="BY784" s="84"/>
      <c r="BZ784" s="84"/>
      <c r="CA784" s="84"/>
      <c r="CB784" s="84"/>
      <c r="CC784" s="84"/>
      <c r="CD784" s="84"/>
      <c r="CE784" s="84"/>
      <c r="CF784" s="84"/>
      <c r="CG784" s="84"/>
      <c r="CH784" s="84"/>
      <c r="CI784" s="84"/>
      <c r="CJ784" s="84"/>
      <c r="CK784" s="84"/>
      <c r="CL784" s="84"/>
    </row>
    <row r="785" spans="66:90" s="354" customFormat="1" x14ac:dyDescent="0.2">
      <c r="BN785" s="84"/>
      <c r="BO785" s="84"/>
      <c r="BP785" s="84"/>
      <c r="BQ785" s="84"/>
      <c r="BR785" s="84"/>
      <c r="BS785" s="84"/>
      <c r="BT785" s="84"/>
      <c r="BU785" s="84"/>
      <c r="BV785" s="84"/>
      <c r="BW785" s="84"/>
      <c r="BX785" s="84"/>
      <c r="BY785" s="84"/>
      <c r="BZ785" s="84"/>
      <c r="CA785" s="84"/>
      <c r="CB785" s="84"/>
      <c r="CC785" s="84"/>
      <c r="CD785" s="84"/>
      <c r="CE785" s="84"/>
      <c r="CF785" s="84"/>
      <c r="CG785" s="84"/>
      <c r="CH785" s="84"/>
      <c r="CI785" s="84"/>
      <c r="CJ785" s="84"/>
      <c r="CK785" s="84"/>
      <c r="CL785" s="84"/>
    </row>
    <row r="786" spans="66:90" s="354" customFormat="1" x14ac:dyDescent="0.2">
      <c r="BN786" s="84"/>
      <c r="BO786" s="84"/>
      <c r="BP786" s="84"/>
      <c r="BQ786" s="84"/>
      <c r="BR786" s="84"/>
      <c r="BS786" s="84"/>
      <c r="BT786" s="84"/>
      <c r="BU786" s="84"/>
      <c r="BV786" s="84"/>
      <c r="BW786" s="84"/>
      <c r="BX786" s="84"/>
      <c r="BY786" s="84"/>
      <c r="BZ786" s="84"/>
      <c r="CA786" s="84"/>
      <c r="CB786" s="84"/>
      <c r="CC786" s="84"/>
      <c r="CD786" s="84"/>
      <c r="CE786" s="84"/>
      <c r="CF786" s="84"/>
      <c r="CG786" s="84"/>
      <c r="CH786" s="84"/>
      <c r="CI786" s="84"/>
      <c r="CJ786" s="84"/>
      <c r="CK786" s="84"/>
      <c r="CL786" s="84"/>
    </row>
    <row r="787" spans="66:90" s="354" customFormat="1" x14ac:dyDescent="0.2">
      <c r="BN787" s="84"/>
      <c r="BO787" s="84"/>
      <c r="BP787" s="84"/>
      <c r="BQ787" s="84"/>
      <c r="BR787" s="84"/>
      <c r="BS787" s="84"/>
      <c r="BT787" s="84"/>
      <c r="BU787" s="84"/>
      <c r="BV787" s="84"/>
      <c r="BW787" s="84"/>
      <c r="BX787" s="84"/>
      <c r="BY787" s="84"/>
      <c r="BZ787" s="84"/>
      <c r="CA787" s="84"/>
      <c r="CB787" s="84"/>
      <c r="CC787" s="84"/>
      <c r="CD787" s="84"/>
      <c r="CE787" s="84"/>
      <c r="CF787" s="84"/>
      <c r="CG787" s="84"/>
      <c r="CH787" s="84"/>
      <c r="CI787" s="84"/>
      <c r="CJ787" s="84"/>
      <c r="CK787" s="84"/>
      <c r="CL787" s="84"/>
    </row>
    <row r="788" spans="66:90" s="354" customFormat="1" x14ac:dyDescent="0.2">
      <c r="BN788" s="84"/>
      <c r="BO788" s="84"/>
      <c r="BP788" s="84"/>
      <c r="BQ788" s="84"/>
      <c r="BR788" s="84"/>
      <c r="BS788" s="84"/>
      <c r="BT788" s="84"/>
      <c r="BU788" s="84"/>
      <c r="BV788" s="84"/>
      <c r="BW788" s="84"/>
      <c r="BX788" s="84"/>
      <c r="BY788" s="84"/>
      <c r="BZ788" s="84"/>
      <c r="CA788" s="84"/>
      <c r="CB788" s="84"/>
      <c r="CC788" s="84"/>
      <c r="CD788" s="84"/>
      <c r="CE788" s="84"/>
      <c r="CF788" s="84"/>
      <c r="CG788" s="84"/>
      <c r="CH788" s="84"/>
      <c r="CI788" s="84"/>
      <c r="CJ788" s="84"/>
      <c r="CK788" s="84"/>
      <c r="CL788" s="84"/>
    </row>
    <row r="789" spans="66:90" s="354" customFormat="1" x14ac:dyDescent="0.2">
      <c r="BN789" s="84"/>
      <c r="BO789" s="84"/>
      <c r="BP789" s="84"/>
      <c r="BQ789" s="84"/>
      <c r="BR789" s="84"/>
      <c r="BS789" s="84"/>
      <c r="BT789" s="84"/>
      <c r="BU789" s="84"/>
      <c r="BV789" s="84"/>
      <c r="BW789" s="84"/>
      <c r="BX789" s="84"/>
      <c r="BY789" s="84"/>
      <c r="BZ789" s="84"/>
      <c r="CA789" s="84"/>
      <c r="CB789" s="84"/>
      <c r="CC789" s="84"/>
      <c r="CD789" s="84"/>
      <c r="CE789" s="84"/>
      <c r="CF789" s="84"/>
      <c r="CG789" s="84"/>
      <c r="CH789" s="84"/>
      <c r="CI789" s="84"/>
      <c r="CJ789" s="84"/>
      <c r="CK789" s="84"/>
      <c r="CL789" s="84"/>
    </row>
    <row r="790" spans="66:90" s="354" customFormat="1" x14ac:dyDescent="0.2">
      <c r="BN790" s="84"/>
      <c r="BO790" s="84"/>
      <c r="BP790" s="84"/>
      <c r="BQ790" s="84"/>
      <c r="BR790" s="84"/>
      <c r="BS790" s="84"/>
      <c r="BT790" s="84"/>
      <c r="BU790" s="84"/>
      <c r="BV790" s="84"/>
      <c r="BW790" s="84"/>
      <c r="BX790" s="84"/>
      <c r="BY790" s="84"/>
      <c r="BZ790" s="84"/>
      <c r="CA790" s="84"/>
      <c r="CB790" s="84"/>
      <c r="CC790" s="84"/>
      <c r="CD790" s="84"/>
      <c r="CE790" s="84"/>
      <c r="CF790" s="84"/>
      <c r="CG790" s="84"/>
      <c r="CH790" s="84"/>
      <c r="CI790" s="84"/>
      <c r="CJ790" s="84"/>
      <c r="CK790" s="84"/>
      <c r="CL790" s="84"/>
    </row>
    <row r="791" spans="66:90" s="354" customFormat="1" x14ac:dyDescent="0.2">
      <c r="BN791" s="84"/>
      <c r="BO791" s="84"/>
      <c r="BP791" s="84"/>
      <c r="BQ791" s="84"/>
      <c r="BR791" s="84"/>
      <c r="BS791" s="84"/>
      <c r="BT791" s="84"/>
      <c r="BU791" s="84"/>
      <c r="BV791" s="84"/>
      <c r="BW791" s="84"/>
      <c r="BX791" s="84"/>
      <c r="BY791" s="84"/>
      <c r="BZ791" s="84"/>
      <c r="CA791" s="84"/>
      <c r="CB791" s="84"/>
      <c r="CC791" s="84"/>
      <c r="CD791" s="84"/>
      <c r="CE791" s="84"/>
      <c r="CF791" s="84"/>
      <c r="CG791" s="84"/>
      <c r="CH791" s="84"/>
      <c r="CI791" s="84"/>
      <c r="CJ791" s="84"/>
      <c r="CK791" s="84"/>
      <c r="CL791" s="84"/>
    </row>
    <row r="792" spans="66:90" s="354" customFormat="1" x14ac:dyDescent="0.2">
      <c r="BN792" s="84"/>
      <c r="BO792" s="84"/>
      <c r="BP792" s="84"/>
      <c r="BQ792" s="84"/>
      <c r="BR792" s="84"/>
      <c r="BS792" s="84"/>
      <c r="BT792" s="84"/>
      <c r="BU792" s="84"/>
      <c r="BV792" s="84"/>
      <c r="BW792" s="84"/>
      <c r="BX792" s="84"/>
      <c r="BY792" s="84"/>
      <c r="BZ792" s="84"/>
      <c r="CA792" s="84"/>
      <c r="CB792" s="84"/>
      <c r="CC792" s="84"/>
      <c r="CD792" s="84"/>
      <c r="CE792" s="84"/>
      <c r="CF792" s="84"/>
      <c r="CG792" s="84"/>
      <c r="CH792" s="84"/>
      <c r="CI792" s="84"/>
      <c r="CJ792" s="84"/>
      <c r="CK792" s="84"/>
      <c r="CL792" s="84"/>
    </row>
    <row r="793" spans="66:90" s="354" customFormat="1" x14ac:dyDescent="0.2">
      <c r="BN793" s="84"/>
      <c r="BO793" s="84"/>
      <c r="BP793" s="84"/>
      <c r="BQ793" s="84"/>
      <c r="BR793" s="84"/>
      <c r="BS793" s="84"/>
      <c r="BT793" s="84"/>
      <c r="BU793" s="84"/>
      <c r="BV793" s="84"/>
      <c r="BW793" s="84"/>
      <c r="BX793" s="84"/>
      <c r="BY793" s="84"/>
      <c r="BZ793" s="84"/>
      <c r="CA793" s="84"/>
      <c r="CB793" s="84"/>
      <c r="CC793" s="84"/>
      <c r="CD793" s="84"/>
      <c r="CE793" s="84"/>
      <c r="CF793" s="84"/>
      <c r="CG793" s="84"/>
      <c r="CH793" s="84"/>
      <c r="CI793" s="84"/>
      <c r="CJ793" s="84"/>
      <c r="CK793" s="84"/>
      <c r="CL793" s="84"/>
    </row>
    <row r="794" spans="66:90" s="354" customFormat="1" x14ac:dyDescent="0.2">
      <c r="BN794" s="84"/>
      <c r="BO794" s="84"/>
      <c r="BP794" s="84"/>
      <c r="BQ794" s="84"/>
      <c r="BR794" s="84"/>
      <c r="BS794" s="84"/>
      <c r="BT794" s="84"/>
      <c r="BU794" s="84"/>
      <c r="BV794" s="84"/>
      <c r="BW794" s="84"/>
      <c r="BX794" s="84"/>
      <c r="BY794" s="84"/>
      <c r="BZ794" s="84"/>
      <c r="CA794" s="84"/>
      <c r="CB794" s="84"/>
      <c r="CC794" s="84"/>
      <c r="CD794" s="84"/>
      <c r="CE794" s="84"/>
      <c r="CF794" s="84"/>
      <c r="CG794" s="84"/>
      <c r="CH794" s="84"/>
      <c r="CI794" s="84"/>
      <c r="CJ794" s="84"/>
      <c r="CK794" s="84"/>
      <c r="CL794" s="84"/>
    </row>
    <row r="795" spans="66:90" s="354" customFormat="1" x14ac:dyDescent="0.2">
      <c r="BN795" s="84"/>
      <c r="BO795" s="84"/>
      <c r="BP795" s="84"/>
      <c r="BQ795" s="84"/>
      <c r="BR795" s="84"/>
      <c r="BS795" s="84"/>
      <c r="BT795" s="84"/>
      <c r="BU795" s="84"/>
      <c r="BV795" s="84"/>
      <c r="BW795" s="84"/>
      <c r="BX795" s="84"/>
      <c r="BY795" s="84"/>
      <c r="BZ795" s="84"/>
      <c r="CA795" s="84"/>
      <c r="CB795" s="84"/>
      <c r="CC795" s="84"/>
      <c r="CD795" s="84"/>
      <c r="CE795" s="84"/>
      <c r="CF795" s="84"/>
      <c r="CG795" s="84"/>
      <c r="CH795" s="84"/>
      <c r="CI795" s="84"/>
      <c r="CJ795" s="84"/>
      <c r="CK795" s="84"/>
      <c r="CL795" s="84"/>
    </row>
    <row r="796" spans="66:90" s="354" customFormat="1" x14ac:dyDescent="0.2">
      <c r="BN796" s="84"/>
      <c r="BO796" s="84"/>
      <c r="BP796" s="84"/>
      <c r="BQ796" s="84"/>
      <c r="BR796" s="84"/>
      <c r="BS796" s="84"/>
      <c r="BT796" s="84"/>
      <c r="BU796" s="84"/>
      <c r="BV796" s="84"/>
      <c r="BW796" s="84"/>
      <c r="BX796" s="84"/>
      <c r="BY796" s="84"/>
      <c r="BZ796" s="84"/>
      <c r="CA796" s="84"/>
      <c r="CB796" s="84"/>
      <c r="CC796" s="84"/>
      <c r="CD796" s="84"/>
      <c r="CE796" s="84"/>
      <c r="CF796" s="84"/>
      <c r="CG796" s="84"/>
      <c r="CH796" s="84"/>
      <c r="CI796" s="84"/>
      <c r="CJ796" s="84"/>
      <c r="CK796" s="84"/>
      <c r="CL796" s="84"/>
    </row>
    <row r="797" spans="66:90" s="354" customFormat="1" x14ac:dyDescent="0.2">
      <c r="BN797" s="84"/>
      <c r="BO797" s="84"/>
      <c r="BP797" s="84"/>
      <c r="BQ797" s="84"/>
      <c r="BR797" s="84"/>
      <c r="BS797" s="84"/>
      <c r="BT797" s="84"/>
      <c r="BU797" s="84"/>
      <c r="BV797" s="84"/>
      <c r="BW797" s="84"/>
      <c r="BX797" s="84"/>
      <c r="BY797" s="84"/>
      <c r="BZ797" s="84"/>
      <c r="CA797" s="84"/>
      <c r="CB797" s="84"/>
      <c r="CC797" s="84"/>
      <c r="CD797" s="84"/>
      <c r="CE797" s="84"/>
      <c r="CF797" s="84"/>
      <c r="CG797" s="84"/>
      <c r="CH797" s="84"/>
      <c r="CI797" s="84"/>
      <c r="CJ797" s="84"/>
      <c r="CK797" s="84"/>
      <c r="CL797" s="84"/>
    </row>
    <row r="798" spans="66:90" s="354" customFormat="1" x14ac:dyDescent="0.2">
      <c r="BN798" s="84"/>
      <c r="BO798" s="84"/>
      <c r="BP798" s="84"/>
      <c r="BQ798" s="84"/>
      <c r="BR798" s="84"/>
      <c r="BS798" s="84"/>
      <c r="BT798" s="84"/>
      <c r="BU798" s="84"/>
      <c r="BV798" s="84"/>
      <c r="BW798" s="84"/>
      <c r="BX798" s="84"/>
      <c r="BY798" s="84"/>
      <c r="BZ798" s="84"/>
      <c r="CA798" s="84"/>
      <c r="CB798" s="84"/>
      <c r="CC798" s="84"/>
      <c r="CD798" s="84"/>
      <c r="CE798" s="84"/>
      <c r="CF798" s="84"/>
      <c r="CG798" s="84"/>
      <c r="CH798" s="84"/>
      <c r="CI798" s="84"/>
      <c r="CJ798" s="84"/>
      <c r="CK798" s="84"/>
      <c r="CL798" s="84"/>
    </row>
    <row r="799" spans="66:90" s="354" customFormat="1" x14ac:dyDescent="0.2">
      <c r="BN799" s="84"/>
      <c r="BO799" s="84"/>
      <c r="BP799" s="84"/>
      <c r="BQ799" s="84"/>
      <c r="BR799" s="84"/>
      <c r="BS799" s="84"/>
      <c r="BT799" s="84"/>
      <c r="BU799" s="84"/>
      <c r="BV799" s="84"/>
      <c r="BW799" s="84"/>
      <c r="BX799" s="84"/>
      <c r="BY799" s="84"/>
      <c r="BZ799" s="84"/>
      <c r="CA799" s="84"/>
      <c r="CB799" s="84"/>
      <c r="CC799" s="84"/>
      <c r="CD799" s="84"/>
      <c r="CE799" s="84"/>
      <c r="CF799" s="84"/>
      <c r="CG799" s="84"/>
      <c r="CH799" s="84"/>
      <c r="CI799" s="84"/>
      <c r="CJ799" s="84"/>
      <c r="CK799" s="84"/>
      <c r="CL799" s="84"/>
    </row>
    <row r="800" spans="66:90" s="354" customFormat="1" x14ac:dyDescent="0.2">
      <c r="BN800" s="84"/>
      <c r="BO800" s="84"/>
      <c r="BP800" s="84"/>
      <c r="BQ800" s="84"/>
      <c r="BR800" s="84"/>
      <c r="BS800" s="84"/>
      <c r="BT800" s="84"/>
      <c r="BU800" s="84"/>
      <c r="BV800" s="84"/>
      <c r="BW800" s="84"/>
      <c r="BX800" s="84"/>
      <c r="BY800" s="84"/>
      <c r="BZ800" s="84"/>
      <c r="CA800" s="84"/>
      <c r="CB800" s="84"/>
      <c r="CC800" s="84"/>
      <c r="CD800" s="84"/>
      <c r="CE800" s="84"/>
      <c r="CF800" s="84"/>
      <c r="CG800" s="84"/>
      <c r="CH800" s="84"/>
      <c r="CI800" s="84"/>
      <c r="CJ800" s="84"/>
      <c r="CK800" s="84"/>
      <c r="CL800" s="84"/>
    </row>
    <row r="801" spans="66:90" s="354" customFormat="1" x14ac:dyDescent="0.2">
      <c r="BN801" s="84"/>
      <c r="BO801" s="84"/>
      <c r="BP801" s="84"/>
      <c r="BQ801" s="84"/>
      <c r="BR801" s="84"/>
      <c r="BS801" s="84"/>
      <c r="BT801" s="84"/>
      <c r="BU801" s="84"/>
      <c r="BV801" s="84"/>
      <c r="BW801" s="84"/>
      <c r="BX801" s="84"/>
      <c r="BY801" s="84"/>
      <c r="BZ801" s="84"/>
      <c r="CA801" s="84"/>
      <c r="CB801" s="84"/>
      <c r="CC801" s="84"/>
      <c r="CD801" s="84"/>
      <c r="CE801" s="84"/>
      <c r="CF801" s="84"/>
      <c r="CG801" s="84"/>
      <c r="CH801" s="84"/>
      <c r="CI801" s="84"/>
      <c r="CJ801" s="84"/>
      <c r="CK801" s="84"/>
      <c r="CL801" s="84"/>
    </row>
    <row r="802" spans="66:90" s="354" customFormat="1" x14ac:dyDescent="0.2">
      <c r="BN802" s="84"/>
      <c r="BO802" s="84"/>
      <c r="BP802" s="84"/>
      <c r="BQ802" s="84"/>
      <c r="BR802" s="84"/>
      <c r="BS802" s="84"/>
      <c r="BT802" s="84"/>
      <c r="BU802" s="84"/>
      <c r="BV802" s="84"/>
      <c r="BW802" s="84"/>
      <c r="BX802" s="84"/>
      <c r="BY802" s="84"/>
      <c r="BZ802" s="84"/>
      <c r="CA802" s="84"/>
      <c r="CB802" s="84"/>
      <c r="CC802" s="84"/>
      <c r="CD802" s="84"/>
      <c r="CE802" s="84"/>
      <c r="CF802" s="84"/>
      <c r="CG802" s="84"/>
      <c r="CH802" s="84"/>
      <c r="CI802" s="84"/>
      <c r="CJ802" s="84"/>
      <c r="CK802" s="84"/>
      <c r="CL802" s="84"/>
    </row>
    <row r="803" spans="66:90" s="354" customFormat="1" x14ac:dyDescent="0.2">
      <c r="BN803" s="84"/>
      <c r="BO803" s="84"/>
      <c r="BP803" s="84"/>
      <c r="BQ803" s="84"/>
      <c r="BR803" s="84"/>
      <c r="BS803" s="84"/>
      <c r="BT803" s="84"/>
      <c r="BU803" s="84"/>
      <c r="BV803" s="84"/>
      <c r="BW803" s="84"/>
      <c r="BX803" s="84"/>
      <c r="BY803" s="84"/>
      <c r="BZ803" s="84"/>
      <c r="CA803" s="84"/>
      <c r="CB803" s="84"/>
      <c r="CC803" s="84"/>
      <c r="CD803" s="84"/>
      <c r="CE803" s="84"/>
      <c r="CF803" s="84"/>
      <c r="CG803" s="84"/>
      <c r="CH803" s="84"/>
      <c r="CI803" s="84"/>
      <c r="CJ803" s="84"/>
      <c r="CK803" s="84"/>
      <c r="CL803" s="84"/>
    </row>
    <row r="804" spans="66:90" s="354" customFormat="1" x14ac:dyDescent="0.2">
      <c r="BN804" s="84"/>
      <c r="BO804" s="84"/>
      <c r="BP804" s="84"/>
      <c r="BQ804" s="84"/>
      <c r="BR804" s="84"/>
      <c r="BS804" s="84"/>
      <c r="BT804" s="84"/>
      <c r="BU804" s="84"/>
      <c r="BV804" s="84"/>
      <c r="BW804" s="84"/>
      <c r="BX804" s="84"/>
      <c r="BY804" s="84"/>
      <c r="BZ804" s="84"/>
      <c r="CA804" s="84"/>
      <c r="CB804" s="84"/>
      <c r="CC804" s="84"/>
      <c r="CD804" s="84"/>
      <c r="CE804" s="84"/>
      <c r="CF804" s="84"/>
      <c r="CG804" s="84"/>
      <c r="CH804" s="84"/>
      <c r="CI804" s="84"/>
      <c r="CJ804" s="84"/>
      <c r="CK804" s="84"/>
      <c r="CL804" s="84"/>
    </row>
    <row r="805" spans="66:90" s="354" customFormat="1" x14ac:dyDescent="0.2">
      <c r="BN805" s="84"/>
      <c r="BO805" s="84"/>
      <c r="BP805" s="84"/>
      <c r="BQ805" s="84"/>
      <c r="BR805" s="84"/>
      <c r="BS805" s="84"/>
      <c r="BT805" s="84"/>
      <c r="BU805" s="84"/>
      <c r="BV805" s="84"/>
      <c r="BW805" s="84"/>
      <c r="BX805" s="84"/>
      <c r="BY805" s="84"/>
      <c r="BZ805" s="84"/>
      <c r="CA805" s="84"/>
      <c r="CB805" s="84"/>
      <c r="CC805" s="84"/>
      <c r="CD805" s="84"/>
      <c r="CE805" s="84"/>
      <c r="CF805" s="84"/>
      <c r="CG805" s="84"/>
      <c r="CH805" s="84"/>
      <c r="CI805" s="84"/>
      <c r="CJ805" s="84"/>
      <c r="CK805" s="84"/>
      <c r="CL805" s="84"/>
    </row>
    <row r="806" spans="66:90" s="354" customFormat="1" x14ac:dyDescent="0.2">
      <c r="BN806" s="84"/>
      <c r="BO806" s="84"/>
      <c r="BP806" s="84"/>
      <c r="BQ806" s="84"/>
      <c r="BR806" s="84"/>
      <c r="BS806" s="84"/>
      <c r="BT806" s="84"/>
      <c r="BU806" s="84"/>
      <c r="BV806" s="84"/>
      <c r="BW806" s="84"/>
      <c r="BX806" s="84"/>
      <c r="BY806" s="84"/>
      <c r="BZ806" s="84"/>
      <c r="CA806" s="84"/>
      <c r="CB806" s="84"/>
      <c r="CC806" s="84"/>
      <c r="CD806" s="84"/>
      <c r="CE806" s="84"/>
      <c r="CF806" s="84"/>
      <c r="CG806" s="84"/>
      <c r="CH806" s="84"/>
      <c r="CI806" s="84"/>
      <c r="CJ806" s="84"/>
      <c r="CK806" s="84"/>
      <c r="CL806" s="84"/>
    </row>
    <row r="807" spans="66:90" s="354" customFormat="1" x14ac:dyDescent="0.2">
      <c r="BN807" s="84"/>
      <c r="BO807" s="84"/>
      <c r="BP807" s="84"/>
      <c r="BQ807" s="84"/>
      <c r="BR807" s="84"/>
      <c r="BS807" s="84"/>
      <c r="BT807" s="84"/>
      <c r="BU807" s="84"/>
      <c r="BV807" s="84"/>
      <c r="BW807" s="84"/>
      <c r="BX807" s="84"/>
      <c r="BY807" s="84"/>
      <c r="BZ807" s="84"/>
      <c r="CA807" s="84"/>
      <c r="CB807" s="84"/>
      <c r="CC807" s="84"/>
      <c r="CD807" s="84"/>
      <c r="CE807" s="84"/>
      <c r="CF807" s="84"/>
      <c r="CG807" s="84"/>
      <c r="CH807" s="84"/>
      <c r="CI807" s="84"/>
      <c r="CJ807" s="84"/>
      <c r="CK807" s="84"/>
      <c r="CL807" s="84"/>
    </row>
    <row r="808" spans="66:90" s="354" customFormat="1" x14ac:dyDescent="0.2">
      <c r="BN808" s="84"/>
      <c r="BO808" s="84"/>
      <c r="BP808" s="84"/>
      <c r="BQ808" s="84"/>
      <c r="BR808" s="84"/>
      <c r="BS808" s="84"/>
      <c r="BT808" s="84"/>
      <c r="BU808" s="84"/>
      <c r="BV808" s="84"/>
      <c r="BW808" s="84"/>
      <c r="BX808" s="84"/>
      <c r="BY808" s="84"/>
      <c r="BZ808" s="84"/>
      <c r="CA808" s="84"/>
      <c r="CB808" s="84"/>
      <c r="CC808" s="84"/>
      <c r="CD808" s="84"/>
      <c r="CE808" s="84"/>
      <c r="CF808" s="84"/>
      <c r="CG808" s="84"/>
      <c r="CH808" s="84"/>
      <c r="CI808" s="84"/>
      <c r="CJ808" s="84"/>
      <c r="CK808" s="84"/>
      <c r="CL808" s="84"/>
    </row>
    <row r="809" spans="66:90" s="354" customFormat="1" x14ac:dyDescent="0.2">
      <c r="BN809" s="84"/>
      <c r="BO809" s="84"/>
      <c r="BP809" s="84"/>
      <c r="BQ809" s="84"/>
      <c r="BR809" s="84"/>
      <c r="BS809" s="84"/>
      <c r="BT809" s="84"/>
      <c r="BU809" s="84"/>
      <c r="BV809" s="84"/>
      <c r="BW809" s="84"/>
      <c r="BX809" s="84"/>
      <c r="BY809" s="84"/>
      <c r="BZ809" s="84"/>
      <c r="CA809" s="84"/>
      <c r="CB809" s="84"/>
      <c r="CC809" s="84"/>
      <c r="CD809" s="84"/>
      <c r="CE809" s="84"/>
      <c r="CF809" s="84"/>
      <c r="CG809" s="84"/>
      <c r="CH809" s="84"/>
      <c r="CI809" s="84"/>
      <c r="CJ809" s="84"/>
      <c r="CK809" s="84"/>
      <c r="CL809" s="84"/>
    </row>
    <row r="810" spans="66:90" s="354" customFormat="1" x14ac:dyDescent="0.2">
      <c r="BN810" s="84"/>
      <c r="BO810" s="84"/>
      <c r="BP810" s="84"/>
      <c r="BQ810" s="84"/>
      <c r="BR810" s="84"/>
      <c r="BS810" s="84"/>
      <c r="BT810" s="84"/>
      <c r="BU810" s="84"/>
      <c r="BV810" s="84"/>
      <c r="BW810" s="84"/>
      <c r="BX810" s="84"/>
      <c r="BY810" s="84"/>
      <c r="BZ810" s="84"/>
      <c r="CA810" s="84"/>
      <c r="CB810" s="84"/>
      <c r="CC810" s="84"/>
      <c r="CD810" s="84"/>
      <c r="CE810" s="84"/>
      <c r="CF810" s="84"/>
      <c r="CG810" s="84"/>
      <c r="CH810" s="84"/>
      <c r="CI810" s="84"/>
      <c r="CJ810" s="84"/>
      <c r="CK810" s="84"/>
      <c r="CL810" s="84"/>
    </row>
    <row r="811" spans="66:90" s="354" customFormat="1" x14ac:dyDescent="0.2">
      <c r="BN811" s="84"/>
      <c r="BO811" s="84"/>
      <c r="BP811" s="84"/>
      <c r="BQ811" s="84"/>
      <c r="BR811" s="84"/>
      <c r="BS811" s="84"/>
      <c r="BT811" s="84"/>
      <c r="BU811" s="84"/>
      <c r="BV811" s="84"/>
      <c r="BW811" s="84"/>
      <c r="BX811" s="84"/>
      <c r="BY811" s="84"/>
      <c r="BZ811" s="84"/>
      <c r="CA811" s="84"/>
      <c r="CB811" s="84"/>
      <c r="CC811" s="84"/>
      <c r="CD811" s="84"/>
      <c r="CE811" s="84"/>
      <c r="CF811" s="84"/>
      <c r="CG811" s="84"/>
      <c r="CH811" s="84"/>
      <c r="CI811" s="84"/>
      <c r="CJ811" s="84"/>
      <c r="CK811" s="84"/>
      <c r="CL811" s="84"/>
    </row>
    <row r="812" spans="66:90" s="354" customFormat="1" x14ac:dyDescent="0.2">
      <c r="BN812" s="84"/>
      <c r="BO812" s="84"/>
      <c r="BP812" s="84"/>
      <c r="BQ812" s="84"/>
      <c r="BR812" s="84"/>
      <c r="BS812" s="84"/>
      <c r="BT812" s="84"/>
      <c r="BU812" s="84"/>
      <c r="BV812" s="84"/>
      <c r="BW812" s="84"/>
      <c r="BX812" s="84"/>
      <c r="BY812" s="84"/>
      <c r="BZ812" s="84"/>
      <c r="CA812" s="84"/>
      <c r="CB812" s="84"/>
      <c r="CC812" s="84"/>
      <c r="CD812" s="84"/>
      <c r="CE812" s="84"/>
      <c r="CF812" s="84"/>
      <c r="CG812" s="84"/>
      <c r="CH812" s="84"/>
      <c r="CI812" s="84"/>
      <c r="CJ812" s="84"/>
      <c r="CK812" s="84"/>
      <c r="CL812" s="84"/>
    </row>
    <row r="813" spans="66:90" s="354" customFormat="1" x14ac:dyDescent="0.2">
      <c r="BN813" s="84"/>
      <c r="BO813" s="84"/>
      <c r="BP813" s="84"/>
      <c r="BQ813" s="84"/>
      <c r="BR813" s="84"/>
      <c r="BS813" s="84"/>
      <c r="BT813" s="84"/>
      <c r="BU813" s="84"/>
      <c r="BV813" s="84"/>
      <c r="BW813" s="84"/>
      <c r="BX813" s="84"/>
      <c r="BY813" s="84"/>
      <c r="BZ813" s="84"/>
      <c r="CA813" s="84"/>
      <c r="CB813" s="84"/>
      <c r="CC813" s="84"/>
      <c r="CD813" s="84"/>
      <c r="CE813" s="84"/>
      <c r="CF813" s="84"/>
      <c r="CG813" s="84"/>
      <c r="CH813" s="84"/>
      <c r="CI813" s="84"/>
      <c r="CJ813" s="84"/>
      <c r="CK813" s="84"/>
      <c r="CL813" s="84"/>
    </row>
    <row r="814" spans="66:90" s="354" customFormat="1" x14ac:dyDescent="0.2">
      <c r="BN814" s="84"/>
      <c r="BO814" s="84"/>
      <c r="BP814" s="84"/>
      <c r="BQ814" s="84"/>
      <c r="BR814" s="84"/>
      <c r="BS814" s="84"/>
      <c r="BT814" s="84"/>
      <c r="BU814" s="84"/>
      <c r="BV814" s="84"/>
      <c r="BW814" s="84"/>
      <c r="BX814" s="84"/>
      <c r="BY814" s="84"/>
      <c r="BZ814" s="84"/>
      <c r="CA814" s="84"/>
      <c r="CB814" s="84"/>
      <c r="CC814" s="84"/>
      <c r="CD814" s="84"/>
      <c r="CE814" s="84"/>
      <c r="CF814" s="84"/>
      <c r="CG814" s="84"/>
      <c r="CH814" s="84"/>
      <c r="CI814" s="84"/>
      <c r="CJ814" s="84"/>
      <c r="CK814" s="84"/>
      <c r="CL814" s="84"/>
    </row>
    <row r="815" spans="66:90" s="354" customFormat="1" x14ac:dyDescent="0.2">
      <c r="BN815" s="84"/>
      <c r="BO815" s="84"/>
      <c r="BP815" s="84"/>
      <c r="BQ815" s="84"/>
      <c r="BR815" s="84"/>
      <c r="BS815" s="84"/>
      <c r="BT815" s="84"/>
      <c r="BU815" s="84"/>
      <c r="BV815" s="84"/>
      <c r="BW815" s="84"/>
      <c r="BX815" s="84"/>
      <c r="BY815" s="84"/>
      <c r="BZ815" s="84"/>
      <c r="CA815" s="84"/>
      <c r="CB815" s="84"/>
      <c r="CC815" s="84"/>
      <c r="CD815" s="84"/>
      <c r="CE815" s="84"/>
      <c r="CF815" s="84"/>
      <c r="CG815" s="84"/>
      <c r="CH815" s="84"/>
      <c r="CI815" s="84"/>
      <c r="CJ815" s="84"/>
      <c r="CK815" s="84"/>
      <c r="CL815" s="84"/>
    </row>
    <row r="816" spans="66:90" s="354" customFormat="1" x14ac:dyDescent="0.2">
      <c r="BN816" s="84"/>
      <c r="BO816" s="84"/>
      <c r="BP816" s="84"/>
      <c r="BQ816" s="84"/>
      <c r="BR816" s="84"/>
      <c r="BS816" s="84"/>
      <c r="BT816" s="84"/>
      <c r="BU816" s="84"/>
      <c r="BV816" s="84"/>
      <c r="BW816" s="84"/>
      <c r="BX816" s="84"/>
      <c r="BY816" s="84"/>
      <c r="BZ816" s="84"/>
      <c r="CA816" s="84"/>
      <c r="CB816" s="84"/>
      <c r="CC816" s="84"/>
      <c r="CD816" s="84"/>
      <c r="CE816" s="84"/>
      <c r="CF816" s="84"/>
      <c r="CG816" s="84"/>
      <c r="CH816" s="84"/>
      <c r="CI816" s="84"/>
      <c r="CJ816" s="84"/>
      <c r="CK816" s="84"/>
      <c r="CL816" s="84"/>
    </row>
    <row r="817" spans="66:90" s="354" customFormat="1" x14ac:dyDescent="0.2">
      <c r="BN817" s="84"/>
      <c r="BO817" s="84"/>
      <c r="BP817" s="84"/>
      <c r="BQ817" s="84"/>
      <c r="BR817" s="84"/>
      <c r="BS817" s="84"/>
      <c r="BT817" s="84"/>
      <c r="BU817" s="84"/>
      <c r="BV817" s="84"/>
      <c r="BW817" s="84"/>
      <c r="BX817" s="84"/>
      <c r="BY817" s="84"/>
      <c r="BZ817" s="84"/>
      <c r="CA817" s="84"/>
      <c r="CB817" s="84"/>
      <c r="CC817" s="84"/>
      <c r="CD817" s="84"/>
      <c r="CE817" s="84"/>
      <c r="CF817" s="84"/>
      <c r="CG817" s="84"/>
      <c r="CH817" s="84"/>
      <c r="CI817" s="84"/>
      <c r="CJ817" s="84"/>
      <c r="CK817" s="84"/>
      <c r="CL817" s="84"/>
    </row>
    <row r="818" spans="66:90" s="354" customFormat="1" x14ac:dyDescent="0.2">
      <c r="BN818" s="84"/>
      <c r="BO818" s="84"/>
      <c r="BP818" s="84"/>
      <c r="BQ818" s="84"/>
      <c r="BR818" s="84"/>
      <c r="BS818" s="84"/>
      <c r="BT818" s="84"/>
      <c r="BU818" s="84"/>
      <c r="BV818" s="84"/>
      <c r="BW818" s="84"/>
      <c r="BX818" s="84"/>
      <c r="BY818" s="84"/>
      <c r="BZ818" s="84"/>
      <c r="CA818" s="84"/>
      <c r="CB818" s="84"/>
      <c r="CC818" s="84"/>
      <c r="CD818" s="84"/>
      <c r="CE818" s="84"/>
      <c r="CF818" s="84"/>
      <c r="CG818" s="84"/>
      <c r="CH818" s="84"/>
      <c r="CI818" s="84"/>
      <c r="CJ818" s="84"/>
      <c r="CK818" s="84"/>
      <c r="CL818" s="84"/>
    </row>
    <row r="819" spans="66:90" s="354" customFormat="1" x14ac:dyDescent="0.2">
      <c r="BN819" s="84"/>
      <c r="BO819" s="84"/>
      <c r="BP819" s="84"/>
      <c r="BQ819" s="84"/>
      <c r="BR819" s="84"/>
      <c r="BS819" s="84"/>
      <c r="BT819" s="84"/>
      <c r="BU819" s="84"/>
      <c r="BV819" s="84"/>
      <c r="BW819" s="84"/>
      <c r="BX819" s="84"/>
      <c r="BY819" s="84"/>
      <c r="BZ819" s="84"/>
      <c r="CA819" s="84"/>
      <c r="CB819" s="84"/>
      <c r="CC819" s="84"/>
      <c r="CD819" s="84"/>
      <c r="CE819" s="84"/>
      <c r="CF819" s="84"/>
      <c r="CG819" s="84"/>
      <c r="CH819" s="84"/>
      <c r="CI819" s="84"/>
      <c r="CJ819" s="84"/>
      <c r="CK819" s="84"/>
      <c r="CL819" s="84"/>
    </row>
    <row r="820" spans="66:90" s="354" customFormat="1" x14ac:dyDescent="0.2">
      <c r="BN820" s="84"/>
      <c r="BO820" s="84"/>
      <c r="BP820" s="84"/>
      <c r="BQ820" s="84"/>
      <c r="BR820" s="84"/>
      <c r="BS820" s="84"/>
      <c r="BT820" s="84"/>
      <c r="BU820" s="84"/>
      <c r="BV820" s="84"/>
      <c r="BW820" s="84"/>
      <c r="BX820" s="84"/>
      <c r="BY820" s="84"/>
      <c r="BZ820" s="84"/>
      <c r="CA820" s="84"/>
      <c r="CB820" s="84"/>
      <c r="CC820" s="84"/>
      <c r="CD820" s="84"/>
      <c r="CE820" s="84"/>
      <c r="CF820" s="84"/>
      <c r="CG820" s="84"/>
      <c r="CH820" s="84"/>
      <c r="CI820" s="84"/>
      <c r="CJ820" s="84"/>
      <c r="CK820" s="84"/>
      <c r="CL820" s="84"/>
    </row>
    <row r="821" spans="66:90" s="354" customFormat="1" x14ac:dyDescent="0.2">
      <c r="BN821" s="84"/>
      <c r="BO821" s="84"/>
      <c r="BP821" s="84"/>
      <c r="BQ821" s="84"/>
      <c r="BR821" s="84"/>
      <c r="BS821" s="84"/>
      <c r="BT821" s="84"/>
      <c r="BU821" s="84"/>
      <c r="BV821" s="84"/>
      <c r="BW821" s="84"/>
      <c r="BX821" s="84"/>
      <c r="BY821" s="84"/>
      <c r="BZ821" s="84"/>
      <c r="CA821" s="84"/>
      <c r="CB821" s="84"/>
      <c r="CC821" s="84"/>
      <c r="CD821" s="84"/>
      <c r="CE821" s="84"/>
      <c r="CF821" s="84"/>
      <c r="CG821" s="84"/>
      <c r="CH821" s="84"/>
      <c r="CI821" s="84"/>
      <c r="CJ821" s="84"/>
      <c r="CK821" s="84"/>
      <c r="CL821" s="84"/>
    </row>
    <row r="822" spans="66:90" s="354" customFormat="1" x14ac:dyDescent="0.2">
      <c r="BN822" s="84"/>
      <c r="BO822" s="84"/>
      <c r="BP822" s="84"/>
      <c r="BQ822" s="84"/>
      <c r="BR822" s="84"/>
      <c r="BS822" s="84"/>
      <c r="BT822" s="84"/>
      <c r="BU822" s="84"/>
      <c r="BV822" s="84"/>
      <c r="BW822" s="84"/>
      <c r="BX822" s="84"/>
      <c r="BY822" s="84"/>
      <c r="BZ822" s="84"/>
      <c r="CA822" s="84"/>
      <c r="CB822" s="84"/>
      <c r="CC822" s="84"/>
      <c r="CD822" s="84"/>
      <c r="CE822" s="84"/>
      <c r="CF822" s="84"/>
      <c r="CG822" s="84"/>
      <c r="CH822" s="84"/>
      <c r="CI822" s="84"/>
      <c r="CJ822" s="84"/>
      <c r="CK822" s="84"/>
      <c r="CL822" s="84"/>
    </row>
    <row r="823" spans="66:90" s="354" customFormat="1" x14ac:dyDescent="0.2">
      <c r="BN823" s="84"/>
      <c r="BO823" s="84"/>
      <c r="BP823" s="84"/>
      <c r="BQ823" s="84"/>
      <c r="BR823" s="84"/>
      <c r="BS823" s="84"/>
      <c r="BT823" s="84"/>
      <c r="BU823" s="84"/>
      <c r="BV823" s="84"/>
      <c r="BW823" s="84"/>
      <c r="BX823" s="84"/>
      <c r="BY823" s="84"/>
      <c r="BZ823" s="84"/>
      <c r="CA823" s="84"/>
      <c r="CB823" s="84"/>
      <c r="CC823" s="84"/>
      <c r="CD823" s="84"/>
      <c r="CE823" s="84"/>
      <c r="CF823" s="84"/>
      <c r="CG823" s="84"/>
      <c r="CH823" s="84"/>
      <c r="CI823" s="84"/>
      <c r="CJ823" s="84"/>
      <c r="CK823" s="84"/>
      <c r="CL823" s="84"/>
    </row>
    <row r="824" spans="66:90" s="354" customFormat="1" x14ac:dyDescent="0.2">
      <c r="BN824" s="84"/>
      <c r="BO824" s="84"/>
      <c r="BP824" s="84"/>
      <c r="BQ824" s="84"/>
      <c r="BR824" s="84"/>
      <c r="BS824" s="84"/>
      <c r="BT824" s="84"/>
      <c r="BU824" s="84"/>
      <c r="BV824" s="84"/>
      <c r="BW824" s="84"/>
      <c r="BX824" s="84"/>
      <c r="BY824" s="84"/>
      <c r="BZ824" s="84"/>
      <c r="CA824" s="84"/>
      <c r="CB824" s="84"/>
      <c r="CC824" s="84"/>
      <c r="CD824" s="84"/>
      <c r="CE824" s="84"/>
      <c r="CF824" s="84"/>
      <c r="CG824" s="84"/>
      <c r="CH824" s="84"/>
      <c r="CI824" s="84"/>
      <c r="CJ824" s="84"/>
      <c r="CK824" s="84"/>
      <c r="CL824" s="84"/>
    </row>
    <row r="825" spans="66:90" s="354" customFormat="1" x14ac:dyDescent="0.2">
      <c r="BN825" s="84"/>
      <c r="BO825" s="84"/>
      <c r="BP825" s="84"/>
      <c r="BQ825" s="84"/>
      <c r="BR825" s="84"/>
      <c r="BS825" s="84"/>
      <c r="BT825" s="84"/>
      <c r="BU825" s="84"/>
      <c r="BV825" s="84"/>
      <c r="BW825" s="84"/>
      <c r="BX825" s="84"/>
      <c r="BY825" s="84"/>
      <c r="BZ825" s="84"/>
      <c r="CA825" s="84"/>
      <c r="CB825" s="84"/>
      <c r="CC825" s="84"/>
      <c r="CD825" s="84"/>
      <c r="CE825" s="84"/>
      <c r="CF825" s="84"/>
      <c r="CG825" s="84"/>
      <c r="CH825" s="84"/>
      <c r="CI825" s="84"/>
      <c r="CJ825" s="84"/>
      <c r="CK825" s="84"/>
      <c r="CL825" s="84"/>
    </row>
    <row r="826" spans="66:90" s="354" customFormat="1" x14ac:dyDescent="0.2">
      <c r="BN826" s="84"/>
      <c r="BO826" s="84"/>
      <c r="BP826" s="84"/>
      <c r="BQ826" s="84"/>
      <c r="BR826" s="84"/>
      <c r="BS826" s="84"/>
      <c r="BT826" s="84"/>
      <c r="BU826" s="84"/>
      <c r="BV826" s="84"/>
      <c r="BW826" s="84"/>
      <c r="BX826" s="84"/>
      <c r="BY826" s="84"/>
      <c r="BZ826" s="84"/>
      <c r="CA826" s="84"/>
      <c r="CB826" s="84"/>
      <c r="CC826" s="84"/>
      <c r="CD826" s="84"/>
      <c r="CE826" s="84"/>
      <c r="CF826" s="84"/>
      <c r="CG826" s="84"/>
      <c r="CH826" s="84"/>
      <c r="CI826" s="84"/>
      <c r="CJ826" s="84"/>
      <c r="CK826" s="84"/>
      <c r="CL826" s="84"/>
    </row>
    <row r="827" spans="66:90" s="354" customFormat="1" x14ac:dyDescent="0.2">
      <c r="BN827" s="84"/>
      <c r="BO827" s="84"/>
      <c r="BP827" s="84"/>
      <c r="BQ827" s="84"/>
      <c r="BR827" s="84"/>
      <c r="BS827" s="84"/>
      <c r="BT827" s="84"/>
      <c r="BU827" s="84"/>
      <c r="BV827" s="84"/>
      <c r="BW827" s="84"/>
      <c r="BX827" s="84"/>
      <c r="BY827" s="84"/>
      <c r="BZ827" s="84"/>
      <c r="CA827" s="84"/>
      <c r="CB827" s="84"/>
      <c r="CC827" s="84"/>
      <c r="CD827" s="84"/>
      <c r="CE827" s="84"/>
      <c r="CF827" s="84"/>
      <c r="CG827" s="84"/>
      <c r="CH827" s="84"/>
      <c r="CI827" s="84"/>
      <c r="CJ827" s="84"/>
      <c r="CK827" s="84"/>
      <c r="CL827" s="84"/>
    </row>
    <row r="828" spans="66:90" s="354" customFormat="1" x14ac:dyDescent="0.2">
      <c r="BN828" s="84"/>
      <c r="BO828" s="84"/>
      <c r="BP828" s="84"/>
      <c r="BQ828" s="84"/>
      <c r="BR828" s="84"/>
      <c r="BS828" s="84"/>
      <c r="BT828" s="84"/>
      <c r="BU828" s="84"/>
      <c r="BV828" s="84"/>
      <c r="BW828" s="84"/>
      <c r="BX828" s="84"/>
      <c r="BY828" s="84"/>
      <c r="BZ828" s="84"/>
      <c r="CA828" s="84"/>
      <c r="CB828" s="84"/>
      <c r="CC828" s="84"/>
      <c r="CD828" s="84"/>
      <c r="CE828" s="84"/>
      <c r="CF828" s="84"/>
      <c r="CG828" s="84"/>
      <c r="CH828" s="84"/>
      <c r="CI828" s="84"/>
      <c r="CJ828" s="84"/>
      <c r="CK828" s="84"/>
      <c r="CL828" s="84"/>
    </row>
    <row r="829" spans="66:90" s="354" customFormat="1" x14ac:dyDescent="0.2">
      <c r="BN829" s="84"/>
      <c r="BO829" s="84"/>
      <c r="BP829" s="84"/>
      <c r="BQ829" s="84"/>
      <c r="BR829" s="84"/>
      <c r="BS829" s="84"/>
      <c r="BT829" s="84"/>
      <c r="BU829" s="84"/>
      <c r="BV829" s="84"/>
      <c r="BW829" s="84"/>
      <c r="BX829" s="84"/>
      <c r="BY829" s="84"/>
      <c r="BZ829" s="84"/>
      <c r="CA829" s="84"/>
      <c r="CB829" s="84"/>
      <c r="CC829" s="84"/>
      <c r="CD829" s="84"/>
      <c r="CE829" s="84"/>
      <c r="CF829" s="84"/>
      <c r="CG829" s="84"/>
      <c r="CH829" s="84"/>
      <c r="CI829" s="84"/>
      <c r="CJ829" s="84"/>
      <c r="CK829" s="84"/>
      <c r="CL829" s="84"/>
    </row>
    <row r="830" spans="66:90" s="354" customFormat="1" x14ac:dyDescent="0.2">
      <c r="BN830" s="84"/>
      <c r="BO830" s="84"/>
      <c r="BP830" s="84"/>
      <c r="BQ830" s="84"/>
      <c r="BR830" s="84"/>
      <c r="BS830" s="84"/>
      <c r="BT830" s="84"/>
      <c r="BU830" s="84"/>
      <c r="BV830" s="84"/>
      <c r="BW830" s="84"/>
      <c r="BX830" s="84"/>
      <c r="BY830" s="84"/>
      <c r="BZ830" s="84"/>
      <c r="CA830" s="84"/>
      <c r="CB830" s="84"/>
      <c r="CC830" s="84"/>
      <c r="CD830" s="84"/>
      <c r="CE830" s="84"/>
      <c r="CF830" s="84"/>
      <c r="CG830" s="84"/>
      <c r="CH830" s="84"/>
      <c r="CI830" s="84"/>
      <c r="CJ830" s="84"/>
      <c r="CK830" s="84"/>
      <c r="CL830" s="84"/>
    </row>
    <row r="831" spans="66:90" s="354" customFormat="1" x14ac:dyDescent="0.2">
      <c r="BN831" s="84"/>
      <c r="BO831" s="84"/>
      <c r="BP831" s="84"/>
      <c r="BQ831" s="84"/>
      <c r="BR831" s="84"/>
      <c r="BS831" s="84"/>
      <c r="BT831" s="84"/>
      <c r="BU831" s="84"/>
      <c r="BV831" s="84"/>
      <c r="BW831" s="84"/>
      <c r="BX831" s="84"/>
      <c r="BY831" s="84"/>
      <c r="BZ831" s="84"/>
      <c r="CA831" s="84"/>
      <c r="CB831" s="84"/>
      <c r="CC831" s="84"/>
      <c r="CD831" s="84"/>
      <c r="CE831" s="84"/>
      <c r="CF831" s="84"/>
      <c r="CG831" s="84"/>
      <c r="CH831" s="84"/>
      <c r="CI831" s="84"/>
      <c r="CJ831" s="84"/>
      <c r="CK831" s="84"/>
      <c r="CL831" s="84"/>
    </row>
    <row r="832" spans="66:90" s="354" customFormat="1" x14ac:dyDescent="0.2">
      <c r="BN832" s="84"/>
      <c r="BO832" s="84"/>
      <c r="BP832" s="84"/>
      <c r="BQ832" s="84"/>
      <c r="BR832" s="84"/>
      <c r="BS832" s="84"/>
      <c r="BT832" s="84"/>
      <c r="BU832" s="84"/>
      <c r="BV832" s="84"/>
      <c r="BW832" s="84"/>
      <c r="BX832" s="84"/>
      <c r="BY832" s="84"/>
      <c r="BZ832" s="84"/>
      <c r="CA832" s="84"/>
      <c r="CB832" s="84"/>
      <c r="CC832" s="84"/>
      <c r="CD832" s="84"/>
      <c r="CE832" s="84"/>
      <c r="CF832" s="84"/>
      <c r="CG832" s="84"/>
      <c r="CH832" s="84"/>
      <c r="CI832" s="84"/>
      <c r="CJ832" s="84"/>
      <c r="CK832" s="84"/>
      <c r="CL832" s="84"/>
    </row>
    <row r="833" spans="66:90" s="354" customFormat="1" x14ac:dyDescent="0.2">
      <c r="BN833" s="84"/>
      <c r="BO833" s="84"/>
      <c r="BP833" s="84"/>
      <c r="BQ833" s="84"/>
      <c r="BR833" s="84"/>
      <c r="BS833" s="84"/>
      <c r="BT833" s="84"/>
      <c r="BU833" s="84"/>
      <c r="BV833" s="84"/>
      <c r="BW833" s="84"/>
      <c r="BX833" s="84"/>
      <c r="BY833" s="84"/>
      <c r="BZ833" s="84"/>
      <c r="CA833" s="84"/>
      <c r="CB833" s="84"/>
      <c r="CC833" s="84"/>
      <c r="CD833" s="84"/>
      <c r="CE833" s="84"/>
      <c r="CF833" s="84"/>
      <c r="CG833" s="84"/>
      <c r="CH833" s="84"/>
      <c r="CI833" s="84"/>
      <c r="CJ833" s="84"/>
      <c r="CK833" s="84"/>
      <c r="CL833" s="84"/>
    </row>
    <row r="834" spans="66:90" s="354" customFormat="1" x14ac:dyDescent="0.2">
      <c r="BN834" s="84"/>
      <c r="BO834" s="84"/>
      <c r="BP834" s="84"/>
      <c r="BQ834" s="84"/>
      <c r="BR834" s="84"/>
      <c r="BS834" s="84"/>
      <c r="BT834" s="84"/>
      <c r="BU834" s="84"/>
      <c r="BV834" s="84"/>
      <c r="BW834" s="84"/>
      <c r="BX834" s="84"/>
      <c r="BY834" s="84"/>
      <c r="BZ834" s="84"/>
      <c r="CA834" s="84"/>
      <c r="CB834" s="84"/>
      <c r="CC834" s="84"/>
      <c r="CD834" s="84"/>
      <c r="CE834" s="84"/>
      <c r="CF834" s="84"/>
      <c r="CG834" s="84"/>
      <c r="CH834" s="84"/>
      <c r="CI834" s="84"/>
      <c r="CJ834" s="84"/>
      <c r="CK834" s="84"/>
      <c r="CL834" s="84"/>
    </row>
    <row r="835" spans="66:90" s="354" customFormat="1" x14ac:dyDescent="0.2">
      <c r="BN835" s="84"/>
      <c r="BO835" s="84"/>
      <c r="BP835" s="84"/>
      <c r="BQ835" s="84"/>
      <c r="BR835" s="84"/>
      <c r="BS835" s="84"/>
      <c r="BT835" s="84"/>
      <c r="BU835" s="84"/>
      <c r="BV835" s="84"/>
      <c r="BW835" s="84"/>
      <c r="BX835" s="84"/>
      <c r="BY835" s="84"/>
      <c r="BZ835" s="84"/>
      <c r="CA835" s="84"/>
      <c r="CB835" s="84"/>
      <c r="CC835" s="84"/>
      <c r="CD835" s="84"/>
      <c r="CE835" s="84"/>
      <c r="CF835" s="84"/>
      <c r="CG835" s="84"/>
      <c r="CH835" s="84"/>
      <c r="CI835" s="84"/>
      <c r="CJ835" s="84"/>
      <c r="CK835" s="84"/>
      <c r="CL835" s="84"/>
    </row>
    <row r="836" spans="66:90" s="354" customFormat="1" x14ac:dyDescent="0.2">
      <c r="BN836" s="84"/>
      <c r="BO836" s="84"/>
      <c r="BP836" s="84"/>
      <c r="BQ836" s="84"/>
      <c r="BR836" s="84"/>
      <c r="BS836" s="84"/>
      <c r="BT836" s="84"/>
      <c r="BU836" s="84"/>
      <c r="BV836" s="84"/>
      <c r="BW836" s="84"/>
      <c r="BX836" s="84"/>
      <c r="BY836" s="84"/>
      <c r="BZ836" s="84"/>
      <c r="CA836" s="84"/>
      <c r="CB836" s="84"/>
      <c r="CC836" s="84"/>
      <c r="CD836" s="84"/>
      <c r="CE836" s="84"/>
      <c r="CF836" s="84"/>
      <c r="CG836" s="84"/>
      <c r="CH836" s="84"/>
      <c r="CI836" s="84"/>
      <c r="CJ836" s="84"/>
      <c r="CK836" s="84"/>
      <c r="CL836" s="84"/>
    </row>
    <row r="837" spans="66:90" s="354" customFormat="1" x14ac:dyDescent="0.2">
      <c r="BN837" s="84"/>
      <c r="BO837" s="84"/>
      <c r="BP837" s="84"/>
      <c r="BQ837" s="84"/>
      <c r="BR837" s="84"/>
      <c r="BS837" s="84"/>
      <c r="BT837" s="84"/>
      <c r="BU837" s="84"/>
      <c r="BV837" s="84"/>
      <c r="BW837" s="84"/>
      <c r="BX837" s="84"/>
      <c r="BY837" s="84"/>
      <c r="BZ837" s="84"/>
      <c r="CA837" s="84"/>
      <c r="CB837" s="84"/>
      <c r="CC837" s="84"/>
      <c r="CD837" s="84"/>
      <c r="CE837" s="84"/>
      <c r="CF837" s="84"/>
      <c r="CG837" s="84"/>
      <c r="CH837" s="84"/>
      <c r="CI837" s="84"/>
      <c r="CJ837" s="84"/>
      <c r="CK837" s="84"/>
      <c r="CL837" s="84"/>
    </row>
    <row r="838" spans="66:90" s="354" customFormat="1" x14ac:dyDescent="0.2">
      <c r="BN838" s="84"/>
      <c r="BO838" s="84"/>
      <c r="BP838" s="84"/>
      <c r="BQ838" s="84"/>
      <c r="BR838" s="84"/>
      <c r="BS838" s="84"/>
      <c r="BT838" s="84"/>
      <c r="BU838" s="84"/>
      <c r="BV838" s="84"/>
      <c r="BW838" s="84"/>
      <c r="BX838" s="84"/>
      <c r="BY838" s="84"/>
      <c r="BZ838" s="84"/>
      <c r="CA838" s="84"/>
      <c r="CB838" s="84"/>
      <c r="CC838" s="84"/>
      <c r="CD838" s="84"/>
      <c r="CE838" s="84"/>
      <c r="CF838" s="84"/>
      <c r="CG838" s="84"/>
      <c r="CH838" s="84"/>
      <c r="CI838" s="84"/>
      <c r="CJ838" s="84"/>
      <c r="CK838" s="84"/>
      <c r="CL838" s="84"/>
    </row>
    <row r="839" spans="66:90" s="354" customFormat="1" x14ac:dyDescent="0.2">
      <c r="BN839" s="84"/>
      <c r="BO839" s="84"/>
      <c r="BP839" s="84"/>
      <c r="BQ839" s="84"/>
      <c r="BR839" s="84"/>
      <c r="BS839" s="84"/>
      <c r="BT839" s="84"/>
      <c r="BU839" s="84"/>
      <c r="BV839" s="84"/>
      <c r="BW839" s="84"/>
      <c r="BX839" s="84"/>
      <c r="BY839" s="84"/>
      <c r="BZ839" s="84"/>
      <c r="CA839" s="84"/>
      <c r="CB839" s="84"/>
      <c r="CC839" s="84"/>
      <c r="CD839" s="84"/>
      <c r="CE839" s="84"/>
      <c r="CF839" s="84"/>
      <c r="CG839" s="84"/>
      <c r="CH839" s="84"/>
      <c r="CI839" s="84"/>
      <c r="CJ839" s="84"/>
      <c r="CK839" s="84"/>
      <c r="CL839" s="84"/>
    </row>
    <row r="840" spans="66:90" s="354" customFormat="1" x14ac:dyDescent="0.2">
      <c r="BN840" s="84"/>
      <c r="BO840" s="84"/>
      <c r="BP840" s="84"/>
      <c r="BQ840" s="84"/>
      <c r="BR840" s="84"/>
      <c r="BS840" s="84"/>
      <c r="BT840" s="84"/>
      <c r="BU840" s="84"/>
      <c r="BV840" s="84"/>
      <c r="BW840" s="84"/>
      <c r="BX840" s="84"/>
      <c r="BY840" s="84"/>
      <c r="BZ840" s="84"/>
      <c r="CA840" s="84"/>
      <c r="CB840" s="84"/>
      <c r="CC840" s="84"/>
      <c r="CD840" s="84"/>
      <c r="CE840" s="84"/>
      <c r="CF840" s="84"/>
      <c r="CG840" s="84"/>
      <c r="CH840" s="84"/>
      <c r="CI840" s="84"/>
      <c r="CJ840" s="84"/>
      <c r="CK840" s="84"/>
      <c r="CL840" s="84"/>
    </row>
    <row r="841" spans="66:90" s="354" customFormat="1" x14ac:dyDescent="0.2">
      <c r="BN841" s="84"/>
      <c r="BO841" s="84"/>
      <c r="BP841" s="84"/>
      <c r="BQ841" s="84"/>
      <c r="BR841" s="84"/>
      <c r="BS841" s="84"/>
      <c r="BT841" s="84"/>
      <c r="BU841" s="84"/>
      <c r="BV841" s="84"/>
      <c r="BW841" s="84"/>
      <c r="BX841" s="84"/>
      <c r="BY841" s="84"/>
      <c r="BZ841" s="84"/>
      <c r="CA841" s="84"/>
      <c r="CB841" s="84"/>
      <c r="CC841" s="84"/>
      <c r="CD841" s="84"/>
      <c r="CE841" s="84"/>
      <c r="CF841" s="84"/>
      <c r="CG841" s="84"/>
      <c r="CH841" s="84"/>
      <c r="CI841" s="84"/>
      <c r="CJ841" s="84"/>
      <c r="CK841" s="84"/>
      <c r="CL841" s="84"/>
    </row>
    <row r="842" spans="66:90" s="354" customFormat="1" x14ac:dyDescent="0.2">
      <c r="BN842" s="84"/>
      <c r="BO842" s="84"/>
      <c r="BP842" s="84"/>
      <c r="BQ842" s="84"/>
      <c r="BR842" s="84"/>
      <c r="BS842" s="84"/>
      <c r="BT842" s="84"/>
      <c r="BU842" s="84"/>
      <c r="BV842" s="84"/>
      <c r="BW842" s="84"/>
      <c r="BX842" s="84"/>
      <c r="BY842" s="84"/>
      <c r="BZ842" s="84"/>
      <c r="CA842" s="84"/>
      <c r="CB842" s="84"/>
      <c r="CC842" s="84"/>
      <c r="CD842" s="84"/>
      <c r="CE842" s="84"/>
      <c r="CF842" s="84"/>
      <c r="CG842" s="84"/>
      <c r="CH842" s="84"/>
      <c r="CI842" s="84"/>
      <c r="CJ842" s="84"/>
      <c r="CK842" s="84"/>
      <c r="CL842" s="84"/>
    </row>
    <row r="843" spans="66:90" s="354" customFormat="1" x14ac:dyDescent="0.2">
      <c r="BN843" s="84"/>
      <c r="BO843" s="84"/>
      <c r="BP843" s="84"/>
      <c r="BQ843" s="84"/>
      <c r="BR843" s="84"/>
      <c r="BS843" s="84"/>
      <c r="BT843" s="84"/>
      <c r="BU843" s="84"/>
      <c r="BV843" s="84"/>
      <c r="BW843" s="84"/>
      <c r="BX843" s="84"/>
      <c r="BY843" s="84"/>
      <c r="BZ843" s="84"/>
      <c r="CA843" s="84"/>
      <c r="CB843" s="84"/>
      <c r="CC843" s="84"/>
      <c r="CD843" s="84"/>
      <c r="CE843" s="84"/>
      <c r="CF843" s="84"/>
      <c r="CG843" s="84"/>
      <c r="CH843" s="84"/>
      <c r="CI843" s="84"/>
      <c r="CJ843" s="84"/>
      <c r="CK843" s="84"/>
      <c r="CL843" s="84"/>
    </row>
    <row r="844" spans="66:90" s="354" customFormat="1" x14ac:dyDescent="0.2">
      <c r="BN844" s="84"/>
      <c r="BO844" s="84"/>
      <c r="BP844" s="84"/>
      <c r="BQ844" s="84"/>
      <c r="BR844" s="84"/>
      <c r="BS844" s="84"/>
      <c r="BT844" s="84"/>
      <c r="BU844" s="84"/>
      <c r="BV844" s="84"/>
      <c r="BW844" s="84"/>
      <c r="BX844" s="84"/>
      <c r="BY844" s="84"/>
      <c r="BZ844" s="84"/>
      <c r="CA844" s="84"/>
      <c r="CB844" s="84"/>
      <c r="CC844" s="84"/>
      <c r="CD844" s="84"/>
      <c r="CE844" s="84"/>
      <c r="CF844" s="84"/>
      <c r="CG844" s="84"/>
      <c r="CH844" s="84"/>
      <c r="CI844" s="84"/>
      <c r="CJ844" s="84"/>
      <c r="CK844" s="84"/>
      <c r="CL844" s="84"/>
    </row>
    <row r="845" spans="66:90" s="354" customFormat="1" x14ac:dyDescent="0.2">
      <c r="BN845" s="84"/>
      <c r="BO845" s="84"/>
      <c r="BP845" s="84"/>
      <c r="BQ845" s="84"/>
      <c r="BR845" s="84"/>
      <c r="BS845" s="84"/>
      <c r="BT845" s="84"/>
      <c r="BU845" s="84"/>
      <c r="BV845" s="84"/>
      <c r="BW845" s="84"/>
      <c r="BX845" s="84"/>
      <c r="BY845" s="84"/>
      <c r="BZ845" s="84"/>
      <c r="CA845" s="84"/>
      <c r="CB845" s="84"/>
      <c r="CC845" s="84"/>
      <c r="CD845" s="84"/>
      <c r="CE845" s="84"/>
      <c r="CF845" s="84"/>
      <c r="CG845" s="84"/>
      <c r="CH845" s="84"/>
      <c r="CI845" s="84"/>
      <c r="CJ845" s="84"/>
      <c r="CK845" s="84"/>
      <c r="CL845" s="84"/>
    </row>
    <row r="846" spans="66:90" s="354" customFormat="1" x14ac:dyDescent="0.2">
      <c r="BN846" s="84"/>
      <c r="BO846" s="84"/>
      <c r="BP846" s="84"/>
      <c r="BQ846" s="84"/>
      <c r="BR846" s="84"/>
      <c r="BS846" s="84"/>
      <c r="BT846" s="84"/>
      <c r="BU846" s="84"/>
      <c r="BV846" s="84"/>
      <c r="BW846" s="84"/>
      <c r="BX846" s="84"/>
      <c r="BY846" s="84"/>
      <c r="BZ846" s="84"/>
      <c r="CA846" s="84"/>
      <c r="CB846" s="84"/>
      <c r="CC846" s="84"/>
      <c r="CD846" s="84"/>
      <c r="CE846" s="84"/>
      <c r="CF846" s="84"/>
      <c r="CG846" s="84"/>
      <c r="CH846" s="84"/>
      <c r="CI846" s="84"/>
      <c r="CJ846" s="84"/>
      <c r="CK846" s="84"/>
      <c r="CL846" s="84"/>
    </row>
    <row r="847" spans="66:90" s="354" customFormat="1" x14ac:dyDescent="0.2">
      <c r="BN847" s="84"/>
      <c r="BO847" s="84"/>
      <c r="BP847" s="84"/>
      <c r="BQ847" s="84"/>
      <c r="BR847" s="84"/>
      <c r="BS847" s="84"/>
      <c r="BT847" s="84"/>
      <c r="BU847" s="84"/>
      <c r="BV847" s="84"/>
      <c r="BW847" s="84"/>
      <c r="BX847" s="84"/>
      <c r="BY847" s="84"/>
      <c r="BZ847" s="84"/>
      <c r="CA847" s="84"/>
      <c r="CB847" s="84"/>
      <c r="CC847" s="84"/>
      <c r="CD847" s="84"/>
      <c r="CE847" s="84"/>
      <c r="CF847" s="84"/>
      <c r="CG847" s="84"/>
      <c r="CH847" s="84"/>
      <c r="CI847" s="84"/>
      <c r="CJ847" s="84"/>
      <c r="CK847" s="84"/>
      <c r="CL847" s="84"/>
    </row>
    <row r="848" spans="66:90" s="354" customFormat="1" x14ac:dyDescent="0.2">
      <c r="BN848" s="84"/>
      <c r="BO848" s="84"/>
      <c r="BP848" s="84"/>
      <c r="BQ848" s="84"/>
      <c r="BR848" s="84"/>
      <c r="BS848" s="84"/>
      <c r="BT848" s="84"/>
      <c r="BU848" s="84"/>
      <c r="BV848" s="84"/>
      <c r="BW848" s="84"/>
      <c r="BX848" s="84"/>
      <c r="BY848" s="84"/>
      <c r="BZ848" s="84"/>
      <c r="CA848" s="84"/>
      <c r="CB848" s="84"/>
      <c r="CC848" s="84"/>
      <c r="CD848" s="84"/>
      <c r="CE848" s="84"/>
      <c r="CF848" s="84"/>
      <c r="CG848" s="84"/>
      <c r="CH848" s="84"/>
      <c r="CI848" s="84"/>
      <c r="CJ848" s="84"/>
      <c r="CK848" s="84"/>
      <c r="CL848" s="84"/>
    </row>
    <row r="849" spans="66:90" s="354" customFormat="1" x14ac:dyDescent="0.2">
      <c r="BN849" s="84"/>
      <c r="BO849" s="84"/>
      <c r="BP849" s="84"/>
      <c r="BQ849" s="84"/>
      <c r="BR849" s="84"/>
      <c r="BS849" s="84"/>
      <c r="BT849" s="84"/>
      <c r="BU849" s="84"/>
      <c r="BV849" s="84"/>
      <c r="BW849" s="84"/>
      <c r="BX849" s="84"/>
      <c r="BY849" s="84"/>
      <c r="BZ849" s="84"/>
      <c r="CA849" s="84"/>
      <c r="CB849" s="84"/>
      <c r="CC849" s="84"/>
      <c r="CD849" s="84"/>
      <c r="CE849" s="84"/>
      <c r="CF849" s="84"/>
      <c r="CG849" s="84"/>
      <c r="CH849" s="84"/>
      <c r="CI849" s="84"/>
      <c r="CJ849" s="84"/>
      <c r="CK849" s="84"/>
      <c r="CL849" s="84"/>
    </row>
    <row r="850" spans="66:90" s="354" customFormat="1" x14ac:dyDescent="0.2">
      <c r="BN850" s="84"/>
      <c r="BO850" s="84"/>
      <c r="BP850" s="84"/>
      <c r="BQ850" s="84"/>
      <c r="BR850" s="84"/>
      <c r="BS850" s="84"/>
      <c r="BT850" s="84"/>
      <c r="BU850" s="84"/>
      <c r="BV850" s="84"/>
      <c r="BW850" s="84"/>
      <c r="BX850" s="84"/>
      <c r="BY850" s="84"/>
      <c r="BZ850" s="84"/>
      <c r="CA850" s="84"/>
      <c r="CB850" s="84"/>
      <c r="CC850" s="84"/>
      <c r="CD850" s="84"/>
      <c r="CE850" s="84"/>
      <c r="CF850" s="84"/>
      <c r="CG850" s="84"/>
      <c r="CH850" s="84"/>
      <c r="CI850" s="84"/>
      <c r="CJ850" s="84"/>
      <c r="CK850" s="84"/>
      <c r="CL850" s="84"/>
    </row>
    <row r="851" spans="66:90" s="354" customFormat="1" x14ac:dyDescent="0.2">
      <c r="BN851" s="84"/>
      <c r="BO851" s="84"/>
      <c r="BP851" s="84"/>
      <c r="BQ851" s="84"/>
      <c r="BR851" s="84"/>
      <c r="BS851" s="84"/>
      <c r="BT851" s="84"/>
      <c r="BU851" s="84"/>
      <c r="BV851" s="84"/>
      <c r="BW851" s="84"/>
      <c r="BX851" s="84"/>
      <c r="BY851" s="84"/>
      <c r="BZ851" s="84"/>
      <c r="CA851" s="84"/>
      <c r="CB851" s="84"/>
      <c r="CC851" s="84"/>
      <c r="CD851" s="84"/>
      <c r="CE851" s="84"/>
      <c r="CF851" s="84"/>
      <c r="CG851" s="84"/>
      <c r="CH851" s="84"/>
      <c r="CI851" s="84"/>
      <c r="CJ851" s="84"/>
      <c r="CK851" s="84"/>
      <c r="CL851" s="84"/>
    </row>
    <row r="852" spans="66:90" s="354" customFormat="1" x14ac:dyDescent="0.2">
      <c r="BN852" s="84"/>
      <c r="BO852" s="84"/>
      <c r="BP852" s="84"/>
      <c r="BQ852" s="84"/>
      <c r="BR852" s="84"/>
      <c r="BS852" s="84"/>
      <c r="BT852" s="84"/>
      <c r="BU852" s="84"/>
      <c r="BV852" s="84"/>
      <c r="BW852" s="84"/>
      <c r="BX852" s="84"/>
      <c r="BY852" s="84"/>
      <c r="BZ852" s="84"/>
      <c r="CA852" s="84"/>
      <c r="CB852" s="84"/>
      <c r="CC852" s="84"/>
      <c r="CD852" s="84"/>
      <c r="CE852" s="84"/>
      <c r="CF852" s="84"/>
      <c r="CG852" s="84"/>
      <c r="CH852" s="84"/>
      <c r="CI852" s="84"/>
      <c r="CJ852" s="84"/>
      <c r="CK852" s="84"/>
      <c r="CL852" s="84"/>
    </row>
    <row r="853" spans="66:90" s="354" customFormat="1" x14ac:dyDescent="0.2">
      <c r="BN853" s="84"/>
      <c r="BO853" s="84"/>
      <c r="BP853" s="84"/>
      <c r="BQ853" s="84"/>
      <c r="BR853" s="84"/>
      <c r="BS853" s="84"/>
      <c r="BT853" s="84"/>
      <c r="BU853" s="84"/>
      <c r="BV853" s="84"/>
      <c r="BW853" s="84"/>
      <c r="BX853" s="84"/>
      <c r="BY853" s="84"/>
      <c r="BZ853" s="84"/>
      <c r="CA853" s="84"/>
      <c r="CB853" s="84"/>
      <c r="CC853" s="84"/>
      <c r="CD853" s="84"/>
      <c r="CE853" s="84"/>
      <c r="CF853" s="84"/>
      <c r="CG853" s="84"/>
      <c r="CH853" s="84"/>
      <c r="CI853" s="84"/>
      <c r="CJ853" s="84"/>
      <c r="CK853" s="84"/>
      <c r="CL853" s="84"/>
    </row>
    <row r="854" spans="66:90" s="354" customFormat="1" x14ac:dyDescent="0.2">
      <c r="BN854" s="84"/>
      <c r="BO854" s="84"/>
      <c r="BP854" s="84"/>
      <c r="BQ854" s="84"/>
      <c r="BR854" s="84"/>
      <c r="BS854" s="84"/>
      <c r="BT854" s="84"/>
      <c r="BU854" s="84"/>
      <c r="BV854" s="84"/>
      <c r="BW854" s="84"/>
      <c r="BX854" s="84"/>
      <c r="BY854" s="84"/>
      <c r="BZ854" s="84"/>
      <c r="CA854" s="84"/>
      <c r="CB854" s="84"/>
      <c r="CC854" s="84"/>
      <c r="CD854" s="84"/>
      <c r="CE854" s="84"/>
      <c r="CF854" s="84"/>
      <c r="CG854" s="84"/>
      <c r="CH854" s="84"/>
      <c r="CI854" s="84"/>
      <c r="CJ854" s="84"/>
      <c r="CK854" s="84"/>
      <c r="CL854" s="84"/>
    </row>
    <row r="855" spans="66:90" s="354" customFormat="1" x14ac:dyDescent="0.2">
      <c r="BN855" s="84"/>
      <c r="BO855" s="84"/>
      <c r="BP855" s="84"/>
      <c r="BQ855" s="84"/>
      <c r="BR855" s="84"/>
      <c r="BS855" s="84"/>
      <c r="BT855" s="84"/>
      <c r="BU855" s="84"/>
      <c r="BV855" s="84"/>
      <c r="BW855" s="84"/>
      <c r="BX855" s="84"/>
      <c r="BY855" s="84"/>
      <c r="BZ855" s="84"/>
      <c r="CA855" s="84"/>
      <c r="CB855" s="84"/>
      <c r="CC855" s="84"/>
      <c r="CD855" s="84"/>
      <c r="CE855" s="84"/>
      <c r="CF855" s="84"/>
      <c r="CG855" s="84"/>
      <c r="CH855" s="84"/>
      <c r="CI855" s="84"/>
      <c r="CJ855" s="84"/>
      <c r="CK855" s="84"/>
      <c r="CL855" s="84"/>
    </row>
    <row r="856" spans="66:90" s="354" customFormat="1" x14ac:dyDescent="0.2">
      <c r="BN856" s="84"/>
      <c r="BO856" s="84"/>
      <c r="BP856" s="84"/>
      <c r="BQ856" s="84"/>
      <c r="BR856" s="84"/>
      <c r="BS856" s="84"/>
      <c r="BT856" s="84"/>
      <c r="BU856" s="84"/>
      <c r="BV856" s="84"/>
      <c r="BW856" s="84"/>
      <c r="BX856" s="84"/>
      <c r="BY856" s="84"/>
      <c r="BZ856" s="84"/>
      <c r="CA856" s="84"/>
      <c r="CB856" s="84"/>
      <c r="CC856" s="84"/>
      <c r="CD856" s="84"/>
      <c r="CE856" s="84"/>
      <c r="CF856" s="84"/>
      <c r="CG856" s="84"/>
      <c r="CH856" s="84"/>
      <c r="CI856" s="84"/>
      <c r="CJ856" s="84"/>
      <c r="CK856" s="84"/>
      <c r="CL856" s="84"/>
    </row>
    <row r="857" spans="66:90" s="354" customFormat="1" x14ac:dyDescent="0.2">
      <c r="BN857" s="84"/>
      <c r="BO857" s="84"/>
      <c r="BP857" s="84"/>
      <c r="BQ857" s="84"/>
      <c r="BR857" s="84"/>
      <c r="BS857" s="84"/>
      <c r="BT857" s="84"/>
      <c r="BU857" s="84"/>
      <c r="BV857" s="84"/>
      <c r="BW857" s="84"/>
      <c r="BX857" s="84"/>
      <c r="BY857" s="84"/>
      <c r="BZ857" s="84"/>
      <c r="CA857" s="84"/>
      <c r="CB857" s="84"/>
      <c r="CC857" s="84"/>
      <c r="CD857" s="84"/>
      <c r="CE857" s="84"/>
      <c r="CF857" s="84"/>
      <c r="CG857" s="84"/>
      <c r="CH857" s="84"/>
      <c r="CI857" s="84"/>
      <c r="CJ857" s="84"/>
      <c r="CK857" s="84"/>
      <c r="CL857" s="84"/>
    </row>
    <row r="858" spans="66:90" s="354" customFormat="1" x14ac:dyDescent="0.2">
      <c r="BN858" s="84"/>
      <c r="BO858" s="84"/>
      <c r="BP858" s="84"/>
      <c r="BQ858" s="84"/>
      <c r="BR858" s="84"/>
      <c r="BS858" s="84"/>
      <c r="BT858" s="84"/>
      <c r="BU858" s="84"/>
      <c r="BV858" s="84"/>
      <c r="BW858" s="84"/>
      <c r="BX858" s="84"/>
      <c r="BY858" s="84"/>
      <c r="BZ858" s="84"/>
      <c r="CA858" s="84"/>
      <c r="CB858" s="84"/>
      <c r="CC858" s="84"/>
      <c r="CD858" s="84"/>
      <c r="CE858" s="84"/>
      <c r="CF858" s="84"/>
      <c r="CG858" s="84"/>
      <c r="CH858" s="84"/>
      <c r="CI858" s="84"/>
      <c r="CJ858" s="84"/>
      <c r="CK858" s="84"/>
      <c r="CL858" s="84"/>
    </row>
    <row r="859" spans="66:90" s="354" customFormat="1" x14ac:dyDescent="0.2">
      <c r="BN859" s="84"/>
      <c r="BO859" s="84"/>
      <c r="BP859" s="84"/>
      <c r="BQ859" s="84"/>
      <c r="BR859" s="84"/>
      <c r="BS859" s="84"/>
      <c r="BT859" s="84"/>
      <c r="BU859" s="84"/>
      <c r="BV859" s="84"/>
      <c r="BW859" s="84"/>
      <c r="BX859" s="84"/>
      <c r="BY859" s="84"/>
      <c r="BZ859" s="84"/>
      <c r="CA859" s="84"/>
      <c r="CB859" s="84"/>
      <c r="CC859" s="84"/>
      <c r="CD859" s="84"/>
      <c r="CE859" s="84"/>
      <c r="CF859" s="84"/>
      <c r="CG859" s="84"/>
      <c r="CH859" s="84"/>
      <c r="CI859" s="84"/>
      <c r="CJ859" s="84"/>
      <c r="CK859" s="84"/>
      <c r="CL859" s="84"/>
    </row>
    <row r="860" spans="66:90" s="354" customFormat="1" x14ac:dyDescent="0.2">
      <c r="BN860" s="84"/>
      <c r="BO860" s="84"/>
      <c r="BP860" s="84"/>
      <c r="BQ860" s="84"/>
      <c r="BR860" s="84"/>
      <c r="BS860" s="84"/>
      <c r="BT860" s="84"/>
      <c r="BU860" s="84"/>
      <c r="BV860" s="84"/>
      <c r="BW860" s="84"/>
      <c r="BX860" s="84"/>
      <c r="BY860" s="84"/>
      <c r="BZ860" s="84"/>
      <c r="CA860" s="84"/>
      <c r="CB860" s="84"/>
      <c r="CC860" s="84"/>
      <c r="CD860" s="84"/>
      <c r="CE860" s="84"/>
      <c r="CF860" s="84"/>
      <c r="CG860" s="84"/>
      <c r="CH860" s="84"/>
      <c r="CI860" s="84"/>
      <c r="CJ860" s="84"/>
      <c r="CK860" s="84"/>
      <c r="CL860" s="84"/>
    </row>
    <row r="861" spans="66:90" s="354" customFormat="1" x14ac:dyDescent="0.2">
      <c r="BN861" s="84"/>
      <c r="BO861" s="84"/>
      <c r="BP861" s="84"/>
      <c r="BQ861" s="84"/>
      <c r="BR861" s="84"/>
      <c r="BS861" s="84"/>
      <c r="BT861" s="84"/>
      <c r="BU861" s="84"/>
      <c r="BV861" s="84"/>
      <c r="BW861" s="84"/>
      <c r="BX861" s="84"/>
      <c r="BY861" s="84"/>
      <c r="BZ861" s="84"/>
      <c r="CA861" s="84"/>
      <c r="CB861" s="84"/>
      <c r="CC861" s="84"/>
      <c r="CD861" s="84"/>
      <c r="CE861" s="84"/>
      <c r="CF861" s="84"/>
      <c r="CG861" s="84"/>
      <c r="CH861" s="84"/>
      <c r="CI861" s="84"/>
      <c r="CJ861" s="84"/>
      <c r="CK861" s="84"/>
      <c r="CL861" s="84"/>
    </row>
    <row r="862" spans="66:90" s="354" customFormat="1" x14ac:dyDescent="0.2">
      <c r="BN862" s="84"/>
      <c r="BO862" s="84"/>
      <c r="BP862" s="84"/>
      <c r="BQ862" s="84"/>
      <c r="BR862" s="84"/>
      <c r="BS862" s="84"/>
      <c r="BT862" s="84"/>
      <c r="BU862" s="84"/>
      <c r="BV862" s="84"/>
      <c r="BW862" s="84"/>
      <c r="BX862" s="84"/>
      <c r="BY862" s="84"/>
      <c r="BZ862" s="84"/>
      <c r="CA862" s="84"/>
      <c r="CB862" s="84"/>
      <c r="CC862" s="84"/>
      <c r="CD862" s="84"/>
      <c r="CE862" s="84"/>
      <c r="CF862" s="84"/>
      <c r="CG862" s="84"/>
      <c r="CH862" s="84"/>
      <c r="CI862" s="84"/>
      <c r="CJ862" s="84"/>
      <c r="CK862" s="84"/>
      <c r="CL862" s="84"/>
    </row>
    <row r="863" spans="66:90" s="354" customFormat="1" x14ac:dyDescent="0.2">
      <c r="BN863" s="84"/>
      <c r="BO863" s="84"/>
      <c r="BP863" s="84"/>
      <c r="BQ863" s="84"/>
      <c r="BR863" s="84"/>
      <c r="BS863" s="84"/>
      <c r="BT863" s="84"/>
      <c r="BU863" s="84"/>
      <c r="BV863" s="84"/>
      <c r="BW863" s="84"/>
      <c r="BX863" s="84"/>
      <c r="BY863" s="84"/>
      <c r="BZ863" s="84"/>
      <c r="CA863" s="84"/>
      <c r="CB863" s="84"/>
      <c r="CC863" s="84"/>
      <c r="CD863" s="84"/>
      <c r="CE863" s="84"/>
      <c r="CF863" s="84"/>
      <c r="CG863" s="84"/>
      <c r="CH863" s="84"/>
      <c r="CI863" s="84"/>
      <c r="CJ863" s="84"/>
      <c r="CK863" s="84"/>
      <c r="CL863" s="84"/>
    </row>
    <row r="864" spans="66:90" s="354" customFormat="1" x14ac:dyDescent="0.2">
      <c r="BN864" s="84"/>
      <c r="BO864" s="84"/>
      <c r="BP864" s="84"/>
      <c r="BQ864" s="84"/>
      <c r="BR864" s="84"/>
      <c r="BS864" s="84"/>
      <c r="BT864" s="84"/>
      <c r="BU864" s="84"/>
      <c r="BV864" s="84"/>
      <c r="BW864" s="84"/>
      <c r="BX864" s="84"/>
      <c r="BY864" s="84"/>
      <c r="BZ864" s="84"/>
      <c r="CA864" s="84"/>
      <c r="CB864" s="84"/>
      <c r="CC864" s="84"/>
      <c r="CD864" s="84"/>
      <c r="CE864" s="84"/>
      <c r="CF864" s="84"/>
      <c r="CG864" s="84"/>
      <c r="CH864" s="84"/>
      <c r="CI864" s="84"/>
      <c r="CJ864" s="84"/>
      <c r="CK864" s="84"/>
      <c r="CL864" s="84"/>
    </row>
    <row r="865" spans="66:90" s="354" customFormat="1" x14ac:dyDescent="0.2">
      <c r="BN865" s="84"/>
      <c r="BO865" s="84"/>
      <c r="BP865" s="84"/>
      <c r="BQ865" s="84"/>
      <c r="BR865" s="84"/>
      <c r="BS865" s="84"/>
      <c r="BT865" s="84"/>
      <c r="BU865" s="84"/>
      <c r="BV865" s="84"/>
      <c r="BW865" s="84"/>
      <c r="BX865" s="84"/>
      <c r="BY865" s="84"/>
      <c r="BZ865" s="84"/>
      <c r="CA865" s="84"/>
      <c r="CB865" s="84"/>
      <c r="CC865" s="84"/>
      <c r="CD865" s="84"/>
      <c r="CE865" s="84"/>
      <c r="CF865" s="84"/>
      <c r="CG865" s="84"/>
      <c r="CH865" s="84"/>
      <c r="CI865" s="84"/>
      <c r="CJ865" s="84"/>
      <c r="CK865" s="84"/>
      <c r="CL865" s="84"/>
    </row>
    <row r="866" spans="66:90" s="354" customFormat="1" x14ac:dyDescent="0.2">
      <c r="BN866" s="84"/>
      <c r="BO866" s="84"/>
      <c r="BP866" s="84"/>
      <c r="BQ866" s="84"/>
      <c r="BR866" s="84"/>
      <c r="BS866" s="84"/>
      <c r="BT866" s="84"/>
      <c r="BU866" s="84"/>
      <c r="BV866" s="84"/>
      <c r="BW866" s="84"/>
      <c r="BX866" s="84"/>
      <c r="BY866" s="84"/>
      <c r="BZ866" s="84"/>
      <c r="CA866" s="84"/>
      <c r="CB866" s="84"/>
      <c r="CC866" s="84"/>
      <c r="CD866" s="84"/>
      <c r="CE866" s="84"/>
      <c r="CF866" s="84"/>
      <c r="CG866" s="84"/>
      <c r="CH866" s="84"/>
      <c r="CI866" s="84"/>
      <c r="CJ866" s="84"/>
      <c r="CK866" s="84"/>
      <c r="CL866" s="84"/>
    </row>
    <row r="867" spans="66:90" s="354" customFormat="1" x14ac:dyDescent="0.2">
      <c r="BN867" s="84"/>
      <c r="BO867" s="84"/>
      <c r="BP867" s="84"/>
      <c r="BQ867" s="84"/>
      <c r="BR867" s="84"/>
      <c r="BS867" s="84"/>
      <c r="BT867" s="84"/>
      <c r="BU867" s="84"/>
      <c r="BV867" s="84"/>
      <c r="BW867" s="84"/>
      <c r="BX867" s="84"/>
      <c r="BY867" s="84"/>
      <c r="BZ867" s="84"/>
      <c r="CA867" s="84"/>
      <c r="CB867" s="84"/>
      <c r="CC867" s="84"/>
      <c r="CD867" s="84"/>
      <c r="CE867" s="84"/>
      <c r="CF867" s="84"/>
      <c r="CG867" s="84"/>
      <c r="CH867" s="84"/>
      <c r="CI867" s="84"/>
      <c r="CJ867" s="84"/>
      <c r="CK867" s="84"/>
      <c r="CL867" s="84"/>
    </row>
    <row r="868" spans="66:90" s="354" customFormat="1" x14ac:dyDescent="0.2">
      <c r="BN868" s="84"/>
      <c r="BO868" s="84"/>
      <c r="BP868" s="84"/>
      <c r="BQ868" s="84"/>
      <c r="BR868" s="84"/>
      <c r="BS868" s="84"/>
      <c r="BT868" s="84"/>
      <c r="BU868" s="84"/>
      <c r="BV868" s="84"/>
      <c r="BW868" s="84"/>
      <c r="BX868" s="84"/>
      <c r="BY868" s="84"/>
      <c r="BZ868" s="84"/>
      <c r="CA868" s="84"/>
      <c r="CB868" s="84"/>
      <c r="CC868" s="84"/>
      <c r="CD868" s="84"/>
      <c r="CE868" s="84"/>
      <c r="CF868" s="84"/>
      <c r="CG868" s="84"/>
      <c r="CH868" s="84"/>
      <c r="CI868" s="84"/>
      <c r="CJ868" s="84"/>
      <c r="CK868" s="84"/>
      <c r="CL868" s="84"/>
    </row>
    <row r="869" spans="66:90" s="354" customFormat="1" x14ac:dyDescent="0.2">
      <c r="BN869" s="84"/>
      <c r="BO869" s="84"/>
      <c r="BP869" s="84"/>
      <c r="BQ869" s="84"/>
      <c r="BR869" s="84"/>
      <c r="BS869" s="84"/>
      <c r="BT869" s="84"/>
      <c r="BU869" s="84"/>
      <c r="BV869" s="84"/>
      <c r="BW869" s="84"/>
      <c r="BX869" s="84"/>
      <c r="BY869" s="84"/>
      <c r="BZ869" s="84"/>
      <c r="CA869" s="84"/>
      <c r="CB869" s="84"/>
      <c r="CC869" s="84"/>
      <c r="CD869" s="84"/>
      <c r="CE869" s="84"/>
      <c r="CF869" s="84"/>
      <c r="CG869" s="84"/>
      <c r="CH869" s="84"/>
      <c r="CI869" s="84"/>
      <c r="CJ869" s="84"/>
      <c r="CK869" s="84"/>
      <c r="CL869" s="84"/>
    </row>
    <row r="870" spans="66:90" s="354" customFormat="1" x14ac:dyDescent="0.2">
      <c r="BN870" s="84"/>
      <c r="BO870" s="84"/>
      <c r="BP870" s="84"/>
      <c r="BQ870" s="84"/>
      <c r="BR870" s="84"/>
      <c r="BS870" s="84"/>
      <c r="BT870" s="84"/>
      <c r="BU870" s="84"/>
      <c r="BV870" s="84"/>
      <c r="BW870" s="84"/>
      <c r="BX870" s="84"/>
      <c r="BY870" s="84"/>
      <c r="BZ870" s="84"/>
      <c r="CA870" s="84"/>
      <c r="CB870" s="84"/>
      <c r="CC870" s="84"/>
      <c r="CD870" s="84"/>
      <c r="CE870" s="84"/>
      <c r="CF870" s="84"/>
      <c r="CG870" s="84"/>
      <c r="CH870" s="84"/>
      <c r="CI870" s="84"/>
      <c r="CJ870" s="84"/>
      <c r="CK870" s="84"/>
      <c r="CL870" s="84"/>
    </row>
    <row r="871" spans="66:90" s="354" customFormat="1" x14ac:dyDescent="0.2">
      <c r="BN871" s="84"/>
      <c r="BO871" s="84"/>
      <c r="BP871" s="84"/>
      <c r="BQ871" s="84"/>
      <c r="BR871" s="84"/>
      <c r="BS871" s="84"/>
      <c r="BT871" s="84"/>
      <c r="BU871" s="84"/>
      <c r="BV871" s="84"/>
      <c r="BW871" s="84"/>
      <c r="BX871" s="84"/>
      <c r="BY871" s="84"/>
      <c r="BZ871" s="84"/>
      <c r="CA871" s="84"/>
      <c r="CB871" s="84"/>
      <c r="CC871" s="84"/>
      <c r="CD871" s="84"/>
      <c r="CE871" s="84"/>
      <c r="CF871" s="84"/>
      <c r="CG871" s="84"/>
      <c r="CH871" s="84"/>
      <c r="CI871" s="84"/>
      <c r="CJ871" s="84"/>
      <c r="CK871" s="84"/>
      <c r="CL871" s="84"/>
    </row>
    <row r="872" spans="66:90" s="354" customFormat="1" x14ac:dyDescent="0.2">
      <c r="BN872" s="84"/>
      <c r="BO872" s="84"/>
      <c r="BP872" s="84"/>
      <c r="BQ872" s="84"/>
      <c r="BR872" s="84"/>
      <c r="BS872" s="84"/>
      <c r="BT872" s="84"/>
      <c r="BU872" s="84"/>
      <c r="BV872" s="84"/>
      <c r="BW872" s="84"/>
      <c r="BX872" s="84"/>
      <c r="BY872" s="84"/>
      <c r="BZ872" s="84"/>
      <c r="CA872" s="84"/>
      <c r="CB872" s="84"/>
      <c r="CC872" s="84"/>
      <c r="CD872" s="84"/>
      <c r="CE872" s="84"/>
      <c r="CF872" s="84"/>
      <c r="CG872" s="84"/>
      <c r="CH872" s="84"/>
      <c r="CI872" s="84"/>
      <c r="CJ872" s="84"/>
      <c r="CK872" s="84"/>
      <c r="CL872" s="84"/>
    </row>
    <row r="873" spans="66:90" s="354" customFormat="1" x14ac:dyDescent="0.2">
      <c r="BN873" s="84"/>
      <c r="BO873" s="84"/>
      <c r="BP873" s="84"/>
      <c r="BQ873" s="84"/>
      <c r="BR873" s="84"/>
      <c r="BS873" s="84"/>
      <c r="BT873" s="84"/>
      <c r="BU873" s="84"/>
      <c r="BV873" s="84"/>
      <c r="BW873" s="84"/>
      <c r="BX873" s="84"/>
      <c r="BY873" s="84"/>
      <c r="BZ873" s="84"/>
      <c r="CA873" s="84"/>
      <c r="CB873" s="84"/>
      <c r="CC873" s="84"/>
      <c r="CD873" s="84"/>
      <c r="CE873" s="84"/>
      <c r="CF873" s="84"/>
      <c r="CG873" s="84"/>
      <c r="CH873" s="84"/>
      <c r="CI873" s="84"/>
      <c r="CJ873" s="84"/>
      <c r="CK873" s="84"/>
      <c r="CL873" s="84"/>
    </row>
    <row r="874" spans="66:90" s="354" customFormat="1" x14ac:dyDescent="0.2">
      <c r="BN874" s="84"/>
      <c r="BO874" s="84"/>
      <c r="BP874" s="84"/>
      <c r="BQ874" s="84"/>
      <c r="BR874" s="84"/>
      <c r="BS874" s="84"/>
      <c r="BT874" s="84"/>
      <c r="BU874" s="84"/>
      <c r="BV874" s="84"/>
      <c r="BW874" s="84"/>
      <c r="BX874" s="84"/>
      <c r="BY874" s="84"/>
      <c r="BZ874" s="84"/>
      <c r="CA874" s="84"/>
      <c r="CB874" s="84"/>
      <c r="CC874" s="84"/>
      <c r="CD874" s="84"/>
      <c r="CE874" s="84"/>
      <c r="CF874" s="84"/>
      <c r="CG874" s="84"/>
      <c r="CH874" s="84"/>
      <c r="CI874" s="84"/>
      <c r="CJ874" s="84"/>
      <c r="CK874" s="84"/>
      <c r="CL874" s="84"/>
    </row>
    <row r="875" spans="66:90" s="354" customFormat="1" x14ac:dyDescent="0.2">
      <c r="BN875" s="84"/>
      <c r="BO875" s="84"/>
      <c r="BP875" s="84"/>
      <c r="BQ875" s="84"/>
      <c r="BR875" s="84"/>
      <c r="BS875" s="84"/>
      <c r="BT875" s="84"/>
      <c r="BU875" s="84"/>
      <c r="BV875" s="84"/>
      <c r="BW875" s="84"/>
      <c r="BX875" s="84"/>
      <c r="BY875" s="84"/>
      <c r="BZ875" s="84"/>
      <c r="CA875" s="84"/>
      <c r="CB875" s="84"/>
      <c r="CC875" s="84"/>
      <c r="CD875" s="84"/>
      <c r="CE875" s="84"/>
      <c r="CF875" s="84"/>
      <c r="CG875" s="84"/>
      <c r="CH875" s="84"/>
      <c r="CI875" s="84"/>
      <c r="CJ875" s="84"/>
      <c r="CK875" s="84"/>
      <c r="CL875" s="84"/>
    </row>
    <row r="876" spans="66:90" s="354" customFormat="1" x14ac:dyDescent="0.2">
      <c r="BN876" s="84"/>
      <c r="BO876" s="84"/>
      <c r="BP876" s="84"/>
      <c r="BQ876" s="84"/>
      <c r="BR876" s="84"/>
      <c r="BS876" s="84"/>
      <c r="BT876" s="84"/>
      <c r="BU876" s="84"/>
      <c r="BV876" s="84"/>
      <c r="BW876" s="84"/>
      <c r="BX876" s="84"/>
      <c r="BY876" s="84"/>
      <c r="BZ876" s="84"/>
      <c r="CA876" s="84"/>
      <c r="CB876" s="84"/>
      <c r="CC876" s="84"/>
      <c r="CD876" s="84"/>
      <c r="CE876" s="84"/>
      <c r="CF876" s="84"/>
      <c r="CG876" s="84"/>
      <c r="CH876" s="84"/>
      <c r="CI876" s="84"/>
      <c r="CJ876" s="84"/>
      <c r="CK876" s="84"/>
      <c r="CL876" s="84"/>
    </row>
    <row r="877" spans="66:90" s="354" customFormat="1" x14ac:dyDescent="0.2">
      <c r="BN877" s="84"/>
      <c r="BO877" s="84"/>
      <c r="BP877" s="84"/>
      <c r="BQ877" s="84"/>
      <c r="BR877" s="84"/>
      <c r="BS877" s="84"/>
      <c r="BT877" s="84"/>
      <c r="BU877" s="84"/>
      <c r="BV877" s="84"/>
      <c r="BW877" s="84"/>
      <c r="BX877" s="84"/>
      <c r="BY877" s="84"/>
      <c r="BZ877" s="84"/>
      <c r="CA877" s="84"/>
      <c r="CB877" s="84"/>
      <c r="CC877" s="84"/>
      <c r="CD877" s="84"/>
      <c r="CE877" s="84"/>
      <c r="CF877" s="84"/>
      <c r="CG877" s="84"/>
      <c r="CH877" s="84"/>
      <c r="CI877" s="84"/>
      <c r="CJ877" s="84"/>
      <c r="CK877" s="84"/>
      <c r="CL877" s="84"/>
    </row>
    <row r="878" spans="66:90" s="354" customFormat="1" x14ac:dyDescent="0.2">
      <c r="BN878" s="84"/>
      <c r="BO878" s="84"/>
      <c r="BP878" s="84"/>
      <c r="BQ878" s="84"/>
      <c r="BR878" s="84"/>
      <c r="BS878" s="84"/>
      <c r="BT878" s="84"/>
      <c r="BU878" s="84"/>
      <c r="BV878" s="84"/>
      <c r="BW878" s="84"/>
      <c r="BX878" s="84"/>
      <c r="BY878" s="84"/>
      <c r="BZ878" s="84"/>
      <c r="CA878" s="84"/>
      <c r="CB878" s="84"/>
      <c r="CC878" s="84"/>
      <c r="CD878" s="84"/>
      <c r="CE878" s="84"/>
      <c r="CF878" s="84"/>
      <c r="CG878" s="84"/>
      <c r="CH878" s="84"/>
      <c r="CI878" s="84"/>
      <c r="CJ878" s="84"/>
      <c r="CK878" s="84"/>
      <c r="CL878" s="84"/>
    </row>
    <row r="879" spans="66:90" s="354" customFormat="1" x14ac:dyDescent="0.2">
      <c r="BN879" s="84"/>
      <c r="BO879" s="84"/>
      <c r="BP879" s="84"/>
      <c r="BQ879" s="84"/>
      <c r="BR879" s="84"/>
      <c r="BS879" s="84"/>
      <c r="BT879" s="84"/>
      <c r="BU879" s="84"/>
      <c r="BV879" s="84"/>
      <c r="BW879" s="84"/>
      <c r="BX879" s="84"/>
      <c r="BY879" s="84"/>
      <c r="BZ879" s="84"/>
      <c r="CA879" s="84"/>
      <c r="CB879" s="84"/>
      <c r="CC879" s="84"/>
      <c r="CD879" s="84"/>
      <c r="CE879" s="84"/>
      <c r="CF879" s="84"/>
      <c r="CG879" s="84"/>
      <c r="CH879" s="84"/>
      <c r="CI879" s="84"/>
      <c r="CJ879" s="84"/>
      <c r="CK879" s="84"/>
      <c r="CL879" s="84"/>
    </row>
    <row r="880" spans="66:90" s="354" customFormat="1" x14ac:dyDescent="0.2">
      <c r="BN880" s="84"/>
      <c r="BO880" s="84"/>
      <c r="BP880" s="84"/>
      <c r="BQ880" s="84"/>
      <c r="BR880" s="84"/>
      <c r="BS880" s="84"/>
      <c r="BT880" s="84"/>
      <c r="BU880" s="84"/>
      <c r="BV880" s="84"/>
      <c r="BW880" s="84"/>
      <c r="BX880" s="84"/>
      <c r="BY880" s="84"/>
      <c r="BZ880" s="84"/>
      <c r="CA880" s="84"/>
      <c r="CB880" s="84"/>
      <c r="CC880" s="84"/>
      <c r="CD880" s="84"/>
      <c r="CE880" s="84"/>
      <c r="CF880" s="84"/>
      <c r="CG880" s="84"/>
      <c r="CH880" s="84"/>
      <c r="CI880" s="84"/>
      <c r="CJ880" s="84"/>
      <c r="CK880" s="84"/>
      <c r="CL880" s="84"/>
    </row>
    <row r="881" spans="66:90" s="354" customFormat="1" x14ac:dyDescent="0.2">
      <c r="BN881" s="84"/>
      <c r="BO881" s="84"/>
      <c r="BP881" s="84"/>
      <c r="BQ881" s="84"/>
      <c r="BR881" s="84"/>
      <c r="BS881" s="84"/>
      <c r="BT881" s="84"/>
      <c r="BU881" s="84"/>
      <c r="BV881" s="84"/>
      <c r="BW881" s="84"/>
      <c r="BX881" s="84"/>
      <c r="BY881" s="84"/>
      <c r="BZ881" s="84"/>
      <c r="CA881" s="84"/>
      <c r="CB881" s="84"/>
      <c r="CC881" s="84"/>
      <c r="CD881" s="84"/>
      <c r="CE881" s="84"/>
      <c r="CF881" s="84"/>
      <c r="CG881" s="84"/>
      <c r="CH881" s="84"/>
      <c r="CI881" s="84"/>
      <c r="CJ881" s="84"/>
      <c r="CK881" s="84"/>
      <c r="CL881" s="84"/>
    </row>
    <row r="882" spans="66:90" s="354" customFormat="1" x14ac:dyDescent="0.2">
      <c r="BN882" s="84"/>
      <c r="BO882" s="84"/>
      <c r="BP882" s="84"/>
      <c r="BQ882" s="84"/>
      <c r="BR882" s="84"/>
      <c r="BS882" s="84"/>
      <c r="BT882" s="84"/>
      <c r="BU882" s="84"/>
      <c r="BV882" s="84"/>
      <c r="BW882" s="84"/>
      <c r="BX882" s="84"/>
      <c r="BY882" s="84"/>
      <c r="BZ882" s="84"/>
      <c r="CA882" s="84"/>
      <c r="CB882" s="84"/>
      <c r="CC882" s="84"/>
      <c r="CD882" s="84"/>
      <c r="CE882" s="84"/>
      <c r="CF882" s="84"/>
      <c r="CG882" s="84"/>
      <c r="CH882" s="84"/>
      <c r="CI882" s="84"/>
      <c r="CJ882" s="84"/>
      <c r="CK882" s="84"/>
      <c r="CL882" s="84"/>
    </row>
    <row r="883" spans="66:90" s="354" customFormat="1" x14ac:dyDescent="0.2">
      <c r="BN883" s="84"/>
      <c r="BO883" s="84"/>
      <c r="BP883" s="84"/>
      <c r="BQ883" s="84"/>
      <c r="BR883" s="84"/>
      <c r="BS883" s="84"/>
      <c r="BT883" s="84"/>
      <c r="BU883" s="84"/>
      <c r="BV883" s="84"/>
      <c r="BW883" s="84"/>
      <c r="BX883" s="84"/>
      <c r="BY883" s="84"/>
      <c r="BZ883" s="84"/>
      <c r="CA883" s="84"/>
      <c r="CB883" s="84"/>
      <c r="CC883" s="84"/>
      <c r="CD883" s="84"/>
      <c r="CE883" s="84"/>
      <c r="CF883" s="84"/>
      <c r="CG883" s="84"/>
      <c r="CH883" s="84"/>
      <c r="CI883" s="84"/>
      <c r="CJ883" s="84"/>
      <c r="CK883" s="84"/>
      <c r="CL883" s="84"/>
    </row>
    <row r="884" spans="66:90" s="354" customFormat="1" x14ac:dyDescent="0.2">
      <c r="BN884" s="84"/>
      <c r="BO884" s="84"/>
      <c r="BP884" s="84"/>
      <c r="BQ884" s="84"/>
      <c r="BR884" s="84"/>
      <c r="BS884" s="84"/>
      <c r="BT884" s="84"/>
      <c r="BU884" s="84"/>
      <c r="BV884" s="84"/>
      <c r="BW884" s="84"/>
      <c r="BX884" s="84"/>
      <c r="BY884" s="84"/>
      <c r="BZ884" s="84"/>
      <c r="CA884" s="84"/>
      <c r="CB884" s="84"/>
      <c r="CC884" s="84"/>
      <c r="CD884" s="84"/>
      <c r="CE884" s="84"/>
      <c r="CF884" s="84"/>
      <c r="CG884" s="84"/>
      <c r="CH884" s="84"/>
      <c r="CI884" s="84"/>
      <c r="CJ884" s="84"/>
      <c r="CK884" s="84"/>
      <c r="CL884" s="84"/>
    </row>
    <row r="885" spans="66:90" s="354" customFormat="1" x14ac:dyDescent="0.2">
      <c r="BN885" s="84"/>
      <c r="BO885" s="84"/>
      <c r="BP885" s="84"/>
      <c r="BQ885" s="84"/>
      <c r="BR885" s="84"/>
      <c r="BS885" s="84"/>
      <c r="BT885" s="84"/>
      <c r="BU885" s="84"/>
      <c r="BV885" s="84"/>
      <c r="BW885" s="84"/>
      <c r="BX885" s="84"/>
      <c r="BY885" s="84"/>
      <c r="BZ885" s="84"/>
      <c r="CA885" s="84"/>
      <c r="CB885" s="84"/>
      <c r="CC885" s="84"/>
      <c r="CD885" s="84"/>
      <c r="CE885" s="84"/>
      <c r="CF885" s="84"/>
      <c r="CG885" s="84"/>
      <c r="CH885" s="84"/>
      <c r="CI885" s="84"/>
      <c r="CJ885" s="84"/>
      <c r="CK885" s="84"/>
      <c r="CL885" s="84"/>
    </row>
    <row r="886" spans="66:90" s="354" customFormat="1" x14ac:dyDescent="0.2">
      <c r="BN886" s="84"/>
      <c r="BO886" s="84"/>
      <c r="BP886" s="84"/>
      <c r="BQ886" s="84"/>
      <c r="BR886" s="84"/>
      <c r="BS886" s="84"/>
      <c r="BT886" s="84"/>
      <c r="BU886" s="84"/>
      <c r="BV886" s="84"/>
      <c r="BW886" s="84"/>
      <c r="BX886" s="84"/>
      <c r="BY886" s="84"/>
      <c r="BZ886" s="84"/>
      <c r="CA886" s="84"/>
      <c r="CB886" s="84"/>
      <c r="CC886" s="84"/>
      <c r="CD886" s="84"/>
      <c r="CE886" s="84"/>
      <c r="CF886" s="84"/>
      <c r="CG886" s="84"/>
      <c r="CH886" s="84"/>
      <c r="CI886" s="84"/>
      <c r="CJ886" s="84"/>
      <c r="CK886" s="84"/>
      <c r="CL886" s="84"/>
    </row>
    <row r="887" spans="66:90" s="354" customFormat="1" x14ac:dyDescent="0.2">
      <c r="BN887" s="84"/>
      <c r="BO887" s="84"/>
      <c r="BP887" s="84"/>
      <c r="BQ887" s="84"/>
      <c r="BR887" s="84"/>
      <c r="BS887" s="84"/>
      <c r="BT887" s="84"/>
      <c r="BU887" s="84"/>
      <c r="BV887" s="84"/>
      <c r="BW887" s="84"/>
      <c r="BX887" s="84"/>
      <c r="BY887" s="84"/>
      <c r="BZ887" s="84"/>
      <c r="CA887" s="84"/>
      <c r="CB887" s="84"/>
      <c r="CC887" s="84"/>
      <c r="CD887" s="84"/>
      <c r="CE887" s="84"/>
      <c r="CF887" s="84"/>
      <c r="CG887" s="84"/>
      <c r="CH887" s="84"/>
      <c r="CI887" s="84"/>
      <c r="CJ887" s="84"/>
      <c r="CK887" s="84"/>
      <c r="CL887" s="84"/>
    </row>
    <row r="888" spans="66:90" s="354" customFormat="1" x14ac:dyDescent="0.2">
      <c r="BN888" s="84"/>
      <c r="BO888" s="84"/>
      <c r="BP888" s="84"/>
      <c r="BQ888" s="84"/>
      <c r="BR888" s="84"/>
      <c r="BS888" s="84"/>
      <c r="BT888" s="84"/>
      <c r="BU888" s="84"/>
      <c r="BV888" s="84"/>
      <c r="BW888" s="84"/>
      <c r="BX888" s="84"/>
      <c r="BY888" s="84"/>
      <c r="BZ888" s="84"/>
      <c r="CA888" s="84"/>
      <c r="CB888" s="84"/>
      <c r="CC888" s="84"/>
      <c r="CD888" s="84"/>
      <c r="CE888" s="84"/>
      <c r="CF888" s="84"/>
      <c r="CG888" s="84"/>
      <c r="CH888" s="84"/>
      <c r="CI888" s="84"/>
      <c r="CJ888" s="84"/>
      <c r="CK888" s="84"/>
      <c r="CL888" s="84"/>
    </row>
    <row r="889" spans="66:90" s="354" customFormat="1" x14ac:dyDescent="0.2">
      <c r="BN889" s="84"/>
      <c r="BO889" s="84"/>
      <c r="BP889" s="84"/>
      <c r="BQ889" s="84"/>
      <c r="BR889" s="84"/>
      <c r="BS889" s="84"/>
      <c r="BT889" s="84"/>
      <c r="BU889" s="84"/>
      <c r="BV889" s="84"/>
      <c r="BW889" s="84"/>
      <c r="BX889" s="84"/>
      <c r="BY889" s="84"/>
      <c r="BZ889" s="84"/>
      <c r="CA889" s="84"/>
      <c r="CB889" s="84"/>
      <c r="CC889" s="84"/>
      <c r="CD889" s="84"/>
      <c r="CE889" s="84"/>
      <c r="CF889" s="84"/>
      <c r="CG889" s="84"/>
      <c r="CH889" s="84"/>
      <c r="CI889" s="84"/>
      <c r="CJ889" s="84"/>
      <c r="CK889" s="84"/>
      <c r="CL889" s="84"/>
    </row>
    <row r="890" spans="66:90" s="354" customFormat="1" x14ac:dyDescent="0.2">
      <c r="BN890" s="84"/>
      <c r="BO890" s="84"/>
      <c r="BP890" s="84"/>
      <c r="BQ890" s="84"/>
      <c r="BR890" s="84"/>
      <c r="BS890" s="84"/>
      <c r="BT890" s="84"/>
      <c r="BU890" s="84"/>
      <c r="BV890" s="84"/>
      <c r="BW890" s="84"/>
      <c r="BX890" s="84"/>
      <c r="BY890" s="84"/>
      <c r="BZ890" s="84"/>
      <c r="CA890" s="84"/>
      <c r="CB890" s="84"/>
      <c r="CC890" s="84"/>
      <c r="CD890" s="84"/>
      <c r="CE890" s="84"/>
      <c r="CF890" s="84"/>
      <c r="CG890" s="84"/>
      <c r="CH890" s="84"/>
      <c r="CI890" s="84"/>
      <c r="CJ890" s="84"/>
      <c r="CK890" s="84"/>
      <c r="CL890" s="84"/>
    </row>
    <row r="891" spans="66:90" s="354" customFormat="1" x14ac:dyDescent="0.2">
      <c r="BN891" s="84"/>
      <c r="BO891" s="84"/>
      <c r="BP891" s="84"/>
      <c r="BQ891" s="84"/>
      <c r="BR891" s="84"/>
      <c r="BS891" s="84"/>
      <c r="BT891" s="84"/>
      <c r="BU891" s="84"/>
      <c r="BV891" s="84"/>
      <c r="BW891" s="84"/>
      <c r="BX891" s="84"/>
      <c r="BY891" s="84"/>
      <c r="BZ891" s="84"/>
      <c r="CA891" s="84"/>
      <c r="CB891" s="84"/>
      <c r="CC891" s="84"/>
      <c r="CD891" s="84"/>
      <c r="CE891" s="84"/>
      <c r="CF891" s="84"/>
      <c r="CG891" s="84"/>
      <c r="CH891" s="84"/>
      <c r="CI891" s="84"/>
      <c r="CJ891" s="84"/>
      <c r="CK891" s="84"/>
      <c r="CL891" s="84"/>
    </row>
    <row r="892" spans="66:90" s="354" customFormat="1" x14ac:dyDescent="0.2">
      <c r="BN892" s="84"/>
      <c r="BO892" s="84"/>
      <c r="BP892" s="84"/>
      <c r="BQ892" s="84"/>
      <c r="BR892" s="84"/>
      <c r="BS892" s="84"/>
      <c r="BT892" s="84"/>
      <c r="BU892" s="84"/>
      <c r="BV892" s="84"/>
      <c r="BW892" s="84"/>
      <c r="BX892" s="84"/>
      <c r="BY892" s="84"/>
      <c r="BZ892" s="84"/>
      <c r="CA892" s="84"/>
      <c r="CB892" s="84"/>
      <c r="CC892" s="84"/>
      <c r="CD892" s="84"/>
      <c r="CE892" s="84"/>
      <c r="CF892" s="84"/>
      <c r="CG892" s="84"/>
      <c r="CH892" s="84"/>
      <c r="CI892" s="84"/>
      <c r="CJ892" s="84"/>
      <c r="CK892" s="84"/>
      <c r="CL892" s="84"/>
    </row>
    <row r="893" spans="66:90" s="354" customFormat="1" x14ac:dyDescent="0.2">
      <c r="BN893" s="84"/>
      <c r="BO893" s="84"/>
      <c r="BP893" s="84"/>
      <c r="BQ893" s="84"/>
      <c r="BR893" s="84"/>
      <c r="BS893" s="84"/>
      <c r="BT893" s="84"/>
      <c r="BU893" s="84"/>
      <c r="BV893" s="84"/>
      <c r="BW893" s="84"/>
      <c r="BX893" s="84"/>
      <c r="BY893" s="84"/>
      <c r="BZ893" s="84"/>
      <c r="CA893" s="84"/>
      <c r="CB893" s="84"/>
      <c r="CC893" s="84"/>
      <c r="CD893" s="84"/>
      <c r="CE893" s="84"/>
      <c r="CF893" s="84"/>
      <c r="CG893" s="84"/>
      <c r="CH893" s="84"/>
      <c r="CI893" s="84"/>
      <c r="CJ893" s="84"/>
      <c r="CK893" s="84"/>
      <c r="CL893" s="84"/>
    </row>
    <row r="894" spans="66:90" s="354" customFormat="1" x14ac:dyDescent="0.2">
      <c r="BN894" s="84"/>
      <c r="BO894" s="84"/>
      <c r="BP894" s="84"/>
      <c r="BQ894" s="84"/>
      <c r="BR894" s="84"/>
      <c r="BS894" s="84"/>
      <c r="BT894" s="84"/>
      <c r="BU894" s="84"/>
      <c r="BV894" s="84"/>
      <c r="BW894" s="84"/>
      <c r="BX894" s="84"/>
      <c r="BY894" s="84"/>
      <c r="BZ894" s="84"/>
      <c r="CA894" s="84"/>
      <c r="CB894" s="84"/>
      <c r="CC894" s="84"/>
      <c r="CD894" s="84"/>
      <c r="CE894" s="84"/>
      <c r="CF894" s="84"/>
      <c r="CG894" s="84"/>
      <c r="CH894" s="84"/>
      <c r="CI894" s="84"/>
      <c r="CJ894" s="84"/>
      <c r="CK894" s="84"/>
      <c r="CL894" s="84"/>
    </row>
    <row r="895" spans="66:90" s="354" customFormat="1" x14ac:dyDescent="0.2">
      <c r="BN895" s="84"/>
      <c r="BO895" s="84"/>
      <c r="BP895" s="84"/>
      <c r="BQ895" s="84"/>
      <c r="BR895" s="84"/>
      <c r="BS895" s="84"/>
      <c r="BT895" s="84"/>
      <c r="BU895" s="84"/>
      <c r="BV895" s="84"/>
      <c r="BW895" s="84"/>
      <c r="BX895" s="84"/>
      <c r="BY895" s="84"/>
      <c r="BZ895" s="84"/>
      <c r="CA895" s="84"/>
      <c r="CB895" s="84"/>
      <c r="CC895" s="84"/>
      <c r="CD895" s="84"/>
      <c r="CE895" s="84"/>
      <c r="CF895" s="84"/>
      <c r="CG895" s="84"/>
      <c r="CH895" s="84"/>
      <c r="CI895" s="84"/>
      <c r="CJ895" s="84"/>
      <c r="CK895" s="84"/>
      <c r="CL895" s="84"/>
    </row>
    <row r="896" spans="66:90" s="354" customFormat="1" x14ac:dyDescent="0.2">
      <c r="BN896" s="84"/>
      <c r="BO896" s="84"/>
      <c r="BP896" s="84"/>
      <c r="BQ896" s="84"/>
      <c r="BR896" s="84"/>
      <c r="BS896" s="84"/>
      <c r="BT896" s="84"/>
      <c r="BU896" s="84"/>
      <c r="BV896" s="84"/>
      <c r="BW896" s="84"/>
      <c r="BX896" s="84"/>
      <c r="BY896" s="84"/>
      <c r="BZ896" s="84"/>
      <c r="CA896" s="84"/>
      <c r="CB896" s="84"/>
      <c r="CC896" s="84"/>
      <c r="CD896" s="84"/>
      <c r="CE896" s="84"/>
      <c r="CF896" s="84"/>
      <c r="CG896" s="84"/>
      <c r="CH896" s="84"/>
      <c r="CI896" s="84"/>
      <c r="CJ896" s="84"/>
      <c r="CK896" s="84"/>
      <c r="CL896" s="84"/>
    </row>
    <row r="897" spans="66:90" s="354" customFormat="1" x14ac:dyDescent="0.2">
      <c r="BN897" s="84"/>
      <c r="BO897" s="84"/>
      <c r="BP897" s="84"/>
      <c r="BQ897" s="84"/>
      <c r="BR897" s="84"/>
      <c r="BS897" s="84"/>
      <c r="BT897" s="84"/>
      <c r="BU897" s="84"/>
      <c r="BV897" s="84"/>
      <c r="BW897" s="84"/>
      <c r="BX897" s="84"/>
      <c r="BY897" s="84"/>
      <c r="BZ897" s="84"/>
      <c r="CA897" s="84"/>
      <c r="CB897" s="84"/>
      <c r="CC897" s="84"/>
      <c r="CD897" s="84"/>
      <c r="CE897" s="84"/>
      <c r="CF897" s="84"/>
      <c r="CG897" s="84"/>
      <c r="CH897" s="84"/>
      <c r="CI897" s="84"/>
      <c r="CJ897" s="84"/>
      <c r="CK897" s="84"/>
      <c r="CL897" s="84"/>
    </row>
    <row r="898" spans="66:90" s="354" customFormat="1" x14ac:dyDescent="0.2">
      <c r="BN898" s="84"/>
      <c r="BO898" s="84"/>
      <c r="BP898" s="84"/>
      <c r="BQ898" s="84"/>
      <c r="BR898" s="84"/>
      <c r="BS898" s="84"/>
      <c r="BT898" s="84"/>
      <c r="BU898" s="84"/>
      <c r="BV898" s="84"/>
      <c r="BW898" s="84"/>
      <c r="BX898" s="84"/>
      <c r="BY898" s="84"/>
      <c r="BZ898" s="84"/>
      <c r="CA898" s="84"/>
      <c r="CB898" s="84"/>
      <c r="CC898" s="84"/>
      <c r="CD898" s="84"/>
      <c r="CE898" s="84"/>
      <c r="CF898" s="84"/>
      <c r="CG898" s="84"/>
      <c r="CH898" s="84"/>
      <c r="CI898" s="84"/>
      <c r="CJ898" s="84"/>
      <c r="CK898" s="84"/>
      <c r="CL898" s="84"/>
    </row>
    <row r="899" spans="66:90" s="354" customFormat="1" x14ac:dyDescent="0.2">
      <c r="BN899" s="84"/>
      <c r="BO899" s="84"/>
      <c r="BP899" s="84"/>
      <c r="BQ899" s="84"/>
      <c r="BR899" s="84"/>
      <c r="BS899" s="84"/>
      <c r="BT899" s="84"/>
      <c r="BU899" s="84"/>
      <c r="BV899" s="84"/>
      <c r="BW899" s="84"/>
      <c r="BX899" s="84"/>
      <c r="BY899" s="84"/>
      <c r="BZ899" s="84"/>
      <c r="CA899" s="84"/>
      <c r="CB899" s="84"/>
      <c r="CC899" s="84"/>
      <c r="CD899" s="84"/>
      <c r="CE899" s="84"/>
      <c r="CF899" s="84"/>
      <c r="CG899" s="84"/>
      <c r="CH899" s="84"/>
      <c r="CI899" s="84"/>
      <c r="CJ899" s="84"/>
      <c r="CK899" s="84"/>
      <c r="CL899" s="84"/>
    </row>
    <row r="900" spans="66:90" s="354" customFormat="1" x14ac:dyDescent="0.2">
      <c r="BN900" s="84"/>
      <c r="BO900" s="84"/>
      <c r="BP900" s="84"/>
      <c r="BQ900" s="84"/>
      <c r="BR900" s="84"/>
      <c r="BS900" s="84"/>
      <c r="BT900" s="84"/>
      <c r="BU900" s="84"/>
      <c r="BV900" s="84"/>
      <c r="BW900" s="84"/>
      <c r="BX900" s="84"/>
      <c r="BY900" s="84"/>
      <c r="BZ900" s="84"/>
      <c r="CA900" s="84"/>
      <c r="CB900" s="84"/>
      <c r="CC900" s="84"/>
      <c r="CD900" s="84"/>
      <c r="CE900" s="84"/>
      <c r="CF900" s="84"/>
      <c r="CG900" s="84"/>
      <c r="CH900" s="84"/>
      <c r="CI900" s="84"/>
      <c r="CJ900" s="84"/>
      <c r="CK900" s="84"/>
      <c r="CL900" s="84"/>
    </row>
    <row r="901" spans="66:90" s="354" customFormat="1" x14ac:dyDescent="0.2">
      <c r="BN901" s="84"/>
      <c r="BO901" s="84"/>
      <c r="BP901" s="84"/>
      <c r="BQ901" s="84"/>
      <c r="BR901" s="84"/>
      <c r="BS901" s="84"/>
      <c r="BT901" s="84"/>
      <c r="BU901" s="84"/>
      <c r="BV901" s="84"/>
      <c r="BW901" s="84"/>
      <c r="BX901" s="84"/>
      <c r="BY901" s="84"/>
      <c r="BZ901" s="84"/>
      <c r="CA901" s="84"/>
      <c r="CB901" s="84"/>
      <c r="CC901" s="84"/>
      <c r="CD901" s="84"/>
      <c r="CE901" s="84"/>
      <c r="CF901" s="84"/>
      <c r="CG901" s="84"/>
      <c r="CH901" s="84"/>
      <c r="CI901" s="84"/>
      <c r="CJ901" s="84"/>
      <c r="CK901" s="84"/>
      <c r="CL901" s="84"/>
    </row>
    <row r="902" spans="66:90" s="354" customFormat="1" x14ac:dyDescent="0.2">
      <c r="BN902" s="84"/>
      <c r="BO902" s="84"/>
      <c r="BP902" s="84"/>
      <c r="BQ902" s="84"/>
      <c r="BR902" s="84"/>
      <c r="BS902" s="84"/>
      <c r="BT902" s="84"/>
      <c r="BU902" s="84"/>
      <c r="BV902" s="84"/>
      <c r="BW902" s="84"/>
      <c r="BX902" s="84"/>
      <c r="BY902" s="84"/>
      <c r="BZ902" s="84"/>
      <c r="CA902" s="84"/>
      <c r="CB902" s="84"/>
      <c r="CC902" s="84"/>
      <c r="CD902" s="84"/>
      <c r="CE902" s="84"/>
      <c r="CF902" s="84"/>
      <c r="CG902" s="84"/>
      <c r="CH902" s="84"/>
      <c r="CI902" s="84"/>
      <c r="CJ902" s="84"/>
      <c r="CK902" s="84"/>
      <c r="CL902" s="84"/>
    </row>
    <row r="903" spans="66:90" s="354" customFormat="1" x14ac:dyDescent="0.2">
      <c r="BN903" s="84"/>
      <c r="BO903" s="84"/>
      <c r="BP903" s="84"/>
      <c r="BQ903" s="84"/>
      <c r="BR903" s="84"/>
      <c r="BS903" s="84"/>
      <c r="BT903" s="84"/>
      <c r="BU903" s="84"/>
      <c r="BV903" s="84"/>
      <c r="BW903" s="84"/>
      <c r="BX903" s="84"/>
      <c r="BY903" s="84"/>
      <c r="BZ903" s="84"/>
      <c r="CA903" s="84"/>
      <c r="CB903" s="84"/>
      <c r="CC903" s="84"/>
      <c r="CD903" s="84"/>
      <c r="CE903" s="84"/>
      <c r="CF903" s="84"/>
      <c r="CG903" s="84"/>
      <c r="CH903" s="84"/>
      <c r="CI903" s="84"/>
      <c r="CJ903" s="84"/>
      <c r="CK903" s="84"/>
      <c r="CL903" s="84"/>
    </row>
    <row r="904" spans="66:90" s="354" customFormat="1" x14ac:dyDescent="0.2">
      <c r="BN904" s="84"/>
      <c r="BO904" s="84"/>
      <c r="BP904" s="84"/>
      <c r="BQ904" s="84"/>
      <c r="BR904" s="84"/>
      <c r="BS904" s="84"/>
      <c r="BT904" s="84"/>
      <c r="BU904" s="84"/>
      <c r="BV904" s="84"/>
      <c r="BW904" s="84"/>
      <c r="BX904" s="84"/>
      <c r="BY904" s="84"/>
      <c r="BZ904" s="84"/>
      <c r="CA904" s="84"/>
      <c r="CB904" s="84"/>
      <c r="CC904" s="84"/>
      <c r="CD904" s="84"/>
      <c r="CE904" s="84"/>
      <c r="CF904" s="84"/>
      <c r="CG904" s="84"/>
      <c r="CH904" s="84"/>
      <c r="CI904" s="84"/>
      <c r="CJ904" s="84"/>
      <c r="CK904" s="84"/>
      <c r="CL904" s="84"/>
    </row>
    <row r="905" spans="66:90" s="354" customFormat="1" x14ac:dyDescent="0.2">
      <c r="BN905" s="84"/>
      <c r="BO905" s="84"/>
      <c r="BP905" s="84"/>
      <c r="BQ905" s="84"/>
      <c r="BR905" s="84"/>
      <c r="BS905" s="84"/>
      <c r="BT905" s="84"/>
      <c r="BU905" s="84"/>
      <c r="BV905" s="84"/>
      <c r="BW905" s="84"/>
      <c r="BX905" s="84"/>
      <c r="BY905" s="84"/>
      <c r="BZ905" s="84"/>
      <c r="CA905" s="84"/>
      <c r="CB905" s="84"/>
      <c r="CC905" s="84"/>
      <c r="CD905" s="84"/>
      <c r="CE905" s="84"/>
      <c r="CF905" s="84"/>
      <c r="CG905" s="84"/>
      <c r="CH905" s="84"/>
      <c r="CI905" s="84"/>
      <c r="CJ905" s="84"/>
      <c r="CK905" s="84"/>
      <c r="CL905" s="84"/>
    </row>
    <row r="906" spans="66:90" s="354" customFormat="1" x14ac:dyDescent="0.2">
      <c r="BN906" s="84"/>
      <c r="BO906" s="84"/>
      <c r="BP906" s="84"/>
      <c r="BQ906" s="84"/>
      <c r="BR906" s="84"/>
      <c r="BS906" s="84"/>
      <c r="BT906" s="84"/>
      <c r="BU906" s="84"/>
      <c r="BV906" s="84"/>
      <c r="BW906" s="84"/>
      <c r="BX906" s="84"/>
      <c r="BY906" s="84"/>
      <c r="BZ906" s="84"/>
      <c r="CA906" s="84"/>
      <c r="CB906" s="84"/>
      <c r="CC906" s="84"/>
      <c r="CD906" s="84"/>
      <c r="CE906" s="84"/>
      <c r="CF906" s="84"/>
      <c r="CG906" s="84"/>
      <c r="CH906" s="84"/>
      <c r="CI906" s="84"/>
      <c r="CJ906" s="84"/>
      <c r="CK906" s="84"/>
      <c r="CL906" s="84"/>
    </row>
    <row r="907" spans="66:90" s="354" customFormat="1" x14ac:dyDescent="0.2">
      <c r="BN907" s="84"/>
      <c r="BO907" s="84"/>
      <c r="BP907" s="84"/>
      <c r="BQ907" s="84"/>
      <c r="BR907" s="84"/>
      <c r="BS907" s="84"/>
      <c r="BT907" s="84"/>
      <c r="BU907" s="84"/>
      <c r="BV907" s="84"/>
      <c r="BW907" s="84"/>
      <c r="BX907" s="84"/>
      <c r="BY907" s="84"/>
      <c r="BZ907" s="84"/>
      <c r="CA907" s="84"/>
      <c r="CB907" s="84"/>
      <c r="CC907" s="84"/>
      <c r="CD907" s="84"/>
      <c r="CE907" s="84"/>
      <c r="CF907" s="84"/>
      <c r="CG907" s="84"/>
      <c r="CH907" s="84"/>
      <c r="CI907" s="84"/>
      <c r="CJ907" s="84"/>
      <c r="CK907" s="84"/>
      <c r="CL907" s="84"/>
    </row>
    <row r="908" spans="66:90" s="354" customFormat="1" x14ac:dyDescent="0.2">
      <c r="BN908" s="84"/>
      <c r="BO908" s="84"/>
      <c r="BP908" s="84"/>
      <c r="BQ908" s="84"/>
      <c r="BR908" s="84"/>
      <c r="BS908" s="84"/>
      <c r="BT908" s="84"/>
      <c r="BU908" s="84"/>
      <c r="BV908" s="84"/>
      <c r="BW908" s="84"/>
      <c r="BX908" s="84"/>
      <c r="BY908" s="84"/>
      <c r="BZ908" s="84"/>
      <c r="CA908" s="84"/>
      <c r="CB908" s="84"/>
      <c r="CC908" s="84"/>
      <c r="CD908" s="84"/>
      <c r="CE908" s="84"/>
      <c r="CF908" s="84"/>
      <c r="CG908" s="84"/>
      <c r="CH908" s="84"/>
      <c r="CI908" s="84"/>
      <c r="CJ908" s="84"/>
      <c r="CK908" s="84"/>
      <c r="CL908" s="84"/>
    </row>
    <row r="909" spans="66:90" s="354" customFormat="1" x14ac:dyDescent="0.2">
      <c r="BN909" s="84"/>
      <c r="BO909" s="84"/>
      <c r="BP909" s="84"/>
      <c r="BQ909" s="84"/>
      <c r="BR909" s="84"/>
      <c r="BS909" s="84"/>
      <c r="BT909" s="84"/>
      <c r="BU909" s="84"/>
      <c r="BV909" s="84"/>
      <c r="BW909" s="84"/>
      <c r="BX909" s="84"/>
      <c r="BY909" s="84"/>
      <c r="BZ909" s="84"/>
      <c r="CA909" s="84"/>
      <c r="CB909" s="84"/>
      <c r="CC909" s="84"/>
      <c r="CD909" s="84"/>
      <c r="CE909" s="84"/>
      <c r="CF909" s="84"/>
      <c r="CG909" s="84"/>
      <c r="CH909" s="84"/>
      <c r="CI909" s="84"/>
      <c r="CJ909" s="84"/>
      <c r="CK909" s="84"/>
      <c r="CL909" s="84"/>
    </row>
    <row r="910" spans="66:90" s="354" customFormat="1" x14ac:dyDescent="0.2">
      <c r="BN910" s="84"/>
      <c r="BO910" s="84"/>
      <c r="BP910" s="84"/>
      <c r="BQ910" s="84"/>
      <c r="BR910" s="84"/>
      <c r="BS910" s="84"/>
      <c r="BT910" s="84"/>
      <c r="BU910" s="84"/>
      <c r="BV910" s="84"/>
      <c r="BW910" s="84"/>
      <c r="BX910" s="84"/>
      <c r="BY910" s="84"/>
      <c r="BZ910" s="84"/>
      <c r="CA910" s="84"/>
      <c r="CB910" s="84"/>
      <c r="CC910" s="84"/>
      <c r="CD910" s="84"/>
      <c r="CE910" s="84"/>
      <c r="CF910" s="84"/>
      <c r="CG910" s="84"/>
      <c r="CH910" s="84"/>
      <c r="CI910" s="84"/>
      <c r="CJ910" s="84"/>
      <c r="CK910" s="84"/>
      <c r="CL910" s="84"/>
    </row>
    <row r="911" spans="66:90" s="354" customFormat="1" x14ac:dyDescent="0.2">
      <c r="BN911" s="84"/>
      <c r="BO911" s="84"/>
      <c r="BP911" s="84"/>
      <c r="BQ911" s="84"/>
      <c r="BR911" s="84"/>
      <c r="BS911" s="84"/>
      <c r="BT911" s="84"/>
      <c r="BU911" s="84"/>
      <c r="BV911" s="84"/>
      <c r="BW911" s="84"/>
      <c r="BX911" s="84"/>
      <c r="BY911" s="84"/>
      <c r="BZ911" s="84"/>
      <c r="CA911" s="84"/>
      <c r="CB911" s="84"/>
      <c r="CC911" s="84"/>
      <c r="CD911" s="84"/>
      <c r="CE911" s="84"/>
      <c r="CF911" s="84"/>
      <c r="CG911" s="84"/>
      <c r="CH911" s="84"/>
      <c r="CI911" s="84"/>
      <c r="CJ911" s="84"/>
      <c r="CK911" s="84"/>
      <c r="CL911" s="84"/>
    </row>
    <row r="912" spans="66:90" s="354" customFormat="1" x14ac:dyDescent="0.2">
      <c r="BN912" s="84"/>
      <c r="BO912" s="84"/>
      <c r="BP912" s="84"/>
      <c r="BQ912" s="84"/>
      <c r="BR912" s="84"/>
      <c r="BS912" s="84"/>
      <c r="BT912" s="84"/>
      <c r="BU912" s="84"/>
      <c r="BV912" s="84"/>
      <c r="BW912" s="84"/>
      <c r="BX912" s="84"/>
      <c r="BY912" s="84"/>
      <c r="BZ912" s="84"/>
      <c r="CA912" s="84"/>
      <c r="CB912" s="84"/>
      <c r="CC912" s="84"/>
      <c r="CD912" s="84"/>
      <c r="CE912" s="84"/>
      <c r="CF912" s="84"/>
      <c r="CG912" s="84"/>
      <c r="CH912" s="84"/>
      <c r="CI912" s="84"/>
      <c r="CJ912" s="84"/>
      <c r="CK912" s="84"/>
      <c r="CL912" s="84"/>
    </row>
    <row r="913" spans="66:90" s="354" customFormat="1" x14ac:dyDescent="0.2">
      <c r="BN913" s="84"/>
      <c r="BO913" s="84"/>
      <c r="BP913" s="84"/>
      <c r="BQ913" s="84"/>
      <c r="BR913" s="84"/>
      <c r="BS913" s="84"/>
      <c r="BT913" s="84"/>
      <c r="BU913" s="84"/>
      <c r="BV913" s="84"/>
      <c r="BW913" s="84"/>
      <c r="BX913" s="84"/>
      <c r="BY913" s="84"/>
      <c r="BZ913" s="84"/>
      <c r="CA913" s="84"/>
      <c r="CB913" s="84"/>
      <c r="CC913" s="84"/>
      <c r="CD913" s="84"/>
      <c r="CE913" s="84"/>
      <c r="CF913" s="84"/>
      <c r="CG913" s="84"/>
      <c r="CH913" s="84"/>
      <c r="CI913" s="84"/>
      <c r="CJ913" s="84"/>
      <c r="CK913" s="84"/>
      <c r="CL913" s="84"/>
    </row>
    <row r="914" spans="66:90" s="354" customFormat="1" x14ac:dyDescent="0.2">
      <c r="BN914" s="84"/>
      <c r="BO914" s="84"/>
      <c r="BP914" s="84"/>
      <c r="BQ914" s="84"/>
      <c r="BR914" s="84"/>
      <c r="BS914" s="84"/>
      <c r="BT914" s="84"/>
      <c r="BU914" s="84"/>
      <c r="BV914" s="84"/>
      <c r="BW914" s="84"/>
      <c r="BX914" s="84"/>
      <c r="BY914" s="84"/>
      <c r="BZ914" s="84"/>
      <c r="CA914" s="84"/>
      <c r="CB914" s="84"/>
      <c r="CC914" s="84"/>
      <c r="CD914" s="84"/>
      <c r="CE914" s="84"/>
      <c r="CF914" s="84"/>
      <c r="CG914" s="84"/>
      <c r="CH914" s="84"/>
      <c r="CI914" s="84"/>
      <c r="CJ914" s="84"/>
      <c r="CK914" s="84"/>
      <c r="CL914" s="84"/>
    </row>
    <row r="915" spans="66:90" s="354" customFormat="1" x14ac:dyDescent="0.2">
      <c r="BN915" s="84"/>
      <c r="BO915" s="84"/>
      <c r="BP915" s="84"/>
      <c r="BQ915" s="84"/>
      <c r="BR915" s="84"/>
      <c r="BS915" s="84"/>
      <c r="BT915" s="84"/>
      <c r="BU915" s="84"/>
      <c r="BV915" s="84"/>
      <c r="BW915" s="84"/>
      <c r="BX915" s="84"/>
      <c r="BY915" s="84"/>
      <c r="BZ915" s="84"/>
      <c r="CA915" s="84"/>
      <c r="CB915" s="84"/>
      <c r="CC915" s="84"/>
      <c r="CD915" s="84"/>
      <c r="CE915" s="84"/>
      <c r="CF915" s="84"/>
      <c r="CG915" s="84"/>
      <c r="CH915" s="84"/>
      <c r="CI915" s="84"/>
      <c r="CJ915" s="84"/>
      <c r="CK915" s="84"/>
      <c r="CL915" s="84"/>
    </row>
    <row r="916" spans="66:90" s="354" customFormat="1" x14ac:dyDescent="0.2">
      <c r="BN916" s="84"/>
      <c r="BO916" s="84"/>
      <c r="BP916" s="84"/>
      <c r="BQ916" s="84"/>
      <c r="BR916" s="84"/>
      <c r="BS916" s="84"/>
      <c r="BT916" s="84"/>
      <c r="BU916" s="84"/>
      <c r="BV916" s="84"/>
      <c r="BW916" s="84"/>
      <c r="BX916" s="84"/>
      <c r="BY916" s="84"/>
      <c r="BZ916" s="84"/>
      <c r="CA916" s="84"/>
      <c r="CB916" s="84"/>
      <c r="CC916" s="84"/>
      <c r="CD916" s="84"/>
      <c r="CE916" s="84"/>
      <c r="CF916" s="84"/>
      <c r="CG916" s="84"/>
      <c r="CH916" s="84"/>
      <c r="CI916" s="84"/>
      <c r="CJ916" s="84"/>
      <c r="CK916" s="84"/>
      <c r="CL916" s="84"/>
    </row>
    <row r="917" spans="66:90" s="354" customFormat="1" x14ac:dyDescent="0.2">
      <c r="BN917" s="84"/>
      <c r="BO917" s="84"/>
      <c r="BP917" s="84"/>
      <c r="BQ917" s="84"/>
      <c r="BR917" s="84"/>
      <c r="BS917" s="84"/>
      <c r="BT917" s="84"/>
      <c r="BU917" s="84"/>
      <c r="BV917" s="84"/>
      <c r="BW917" s="84"/>
      <c r="BX917" s="84"/>
      <c r="BY917" s="84"/>
      <c r="BZ917" s="84"/>
      <c r="CA917" s="84"/>
      <c r="CB917" s="84"/>
      <c r="CC917" s="84"/>
      <c r="CD917" s="84"/>
      <c r="CE917" s="84"/>
      <c r="CF917" s="84"/>
      <c r="CG917" s="84"/>
      <c r="CH917" s="84"/>
      <c r="CI917" s="84"/>
      <c r="CJ917" s="84"/>
      <c r="CK917" s="84"/>
      <c r="CL917" s="84"/>
    </row>
    <row r="918" spans="66:90" s="354" customFormat="1" x14ac:dyDescent="0.2">
      <c r="BN918" s="84"/>
      <c r="BO918" s="84"/>
      <c r="BP918" s="84"/>
      <c r="BQ918" s="84"/>
      <c r="BR918" s="84"/>
      <c r="BS918" s="84"/>
      <c r="BT918" s="84"/>
      <c r="BU918" s="84"/>
      <c r="BV918" s="84"/>
      <c r="BW918" s="84"/>
      <c r="BX918" s="84"/>
      <c r="BY918" s="84"/>
      <c r="BZ918" s="84"/>
      <c r="CA918" s="84"/>
      <c r="CB918" s="84"/>
      <c r="CC918" s="84"/>
      <c r="CD918" s="84"/>
      <c r="CE918" s="84"/>
      <c r="CF918" s="84"/>
      <c r="CG918" s="84"/>
      <c r="CH918" s="84"/>
      <c r="CI918" s="84"/>
      <c r="CJ918" s="84"/>
      <c r="CK918" s="84"/>
      <c r="CL918" s="84"/>
    </row>
    <row r="919" spans="66:90" s="354" customFormat="1" x14ac:dyDescent="0.2">
      <c r="BN919" s="84"/>
      <c r="BO919" s="84"/>
      <c r="BP919" s="84"/>
      <c r="BQ919" s="84"/>
      <c r="BR919" s="84"/>
      <c r="BS919" s="84"/>
      <c r="BT919" s="84"/>
      <c r="BU919" s="84"/>
      <c r="BV919" s="84"/>
      <c r="BW919" s="84"/>
      <c r="BX919" s="84"/>
      <c r="BY919" s="84"/>
      <c r="BZ919" s="84"/>
      <c r="CA919" s="84"/>
      <c r="CB919" s="84"/>
      <c r="CC919" s="84"/>
      <c r="CD919" s="84"/>
      <c r="CE919" s="84"/>
      <c r="CF919" s="84"/>
      <c r="CG919" s="84"/>
      <c r="CH919" s="84"/>
      <c r="CI919" s="84"/>
      <c r="CJ919" s="84"/>
      <c r="CK919" s="84"/>
      <c r="CL919" s="84"/>
    </row>
    <row r="920" spans="66:90" s="354" customFormat="1" x14ac:dyDescent="0.2">
      <c r="BN920" s="84"/>
      <c r="BO920" s="84"/>
      <c r="BP920" s="84"/>
      <c r="BQ920" s="84"/>
      <c r="BR920" s="84"/>
      <c r="BS920" s="84"/>
      <c r="BT920" s="84"/>
      <c r="BU920" s="84"/>
      <c r="BV920" s="84"/>
      <c r="BW920" s="84"/>
      <c r="BX920" s="84"/>
      <c r="BY920" s="84"/>
      <c r="BZ920" s="84"/>
      <c r="CA920" s="84"/>
      <c r="CB920" s="84"/>
      <c r="CC920" s="84"/>
      <c r="CD920" s="84"/>
      <c r="CE920" s="84"/>
      <c r="CF920" s="84"/>
      <c r="CG920" s="84"/>
      <c r="CH920" s="84"/>
      <c r="CI920" s="84"/>
      <c r="CJ920" s="84"/>
      <c r="CK920" s="84"/>
      <c r="CL920" s="84"/>
    </row>
    <row r="921" spans="66:90" s="354" customFormat="1" x14ac:dyDescent="0.2">
      <c r="BN921" s="84"/>
      <c r="BO921" s="84"/>
      <c r="BP921" s="84"/>
      <c r="BQ921" s="84"/>
      <c r="BR921" s="84"/>
      <c r="BS921" s="84"/>
      <c r="BT921" s="84"/>
      <c r="BU921" s="84"/>
      <c r="BV921" s="84"/>
      <c r="BW921" s="84"/>
      <c r="BX921" s="84"/>
      <c r="BY921" s="84"/>
      <c r="BZ921" s="84"/>
      <c r="CA921" s="84"/>
      <c r="CB921" s="84"/>
      <c r="CC921" s="84"/>
      <c r="CD921" s="84"/>
      <c r="CE921" s="84"/>
      <c r="CF921" s="84"/>
      <c r="CG921" s="84"/>
      <c r="CH921" s="84"/>
      <c r="CI921" s="84"/>
      <c r="CJ921" s="84"/>
      <c r="CK921" s="84"/>
      <c r="CL921" s="84"/>
    </row>
    <row r="922" spans="66:90" s="354" customFormat="1" x14ac:dyDescent="0.2">
      <c r="BN922" s="84"/>
      <c r="BO922" s="84"/>
      <c r="BP922" s="84"/>
      <c r="BQ922" s="84"/>
      <c r="BR922" s="84"/>
      <c r="BS922" s="84"/>
      <c r="BT922" s="84"/>
      <c r="BU922" s="84"/>
      <c r="BV922" s="84"/>
      <c r="BW922" s="84"/>
      <c r="BX922" s="84"/>
      <c r="BY922" s="84"/>
      <c r="BZ922" s="84"/>
      <c r="CA922" s="84"/>
      <c r="CB922" s="84"/>
      <c r="CC922" s="84"/>
      <c r="CD922" s="84"/>
      <c r="CE922" s="84"/>
      <c r="CF922" s="84"/>
      <c r="CG922" s="84"/>
      <c r="CH922" s="84"/>
      <c r="CI922" s="84"/>
      <c r="CJ922" s="84"/>
      <c r="CK922" s="84"/>
      <c r="CL922" s="84"/>
    </row>
    <row r="923" spans="66:90" s="354" customFormat="1" x14ac:dyDescent="0.2">
      <c r="BN923" s="84"/>
      <c r="BO923" s="84"/>
      <c r="BP923" s="84"/>
      <c r="BQ923" s="84"/>
      <c r="BR923" s="84"/>
      <c r="BS923" s="84"/>
      <c r="BT923" s="84"/>
      <c r="BU923" s="84"/>
      <c r="BV923" s="84"/>
      <c r="BW923" s="84"/>
      <c r="BX923" s="84"/>
      <c r="BY923" s="84"/>
      <c r="BZ923" s="84"/>
      <c r="CA923" s="84"/>
      <c r="CB923" s="84"/>
      <c r="CC923" s="84"/>
      <c r="CD923" s="84"/>
      <c r="CE923" s="84"/>
      <c r="CF923" s="84"/>
      <c r="CG923" s="84"/>
      <c r="CH923" s="84"/>
      <c r="CI923" s="84"/>
      <c r="CJ923" s="84"/>
      <c r="CK923" s="84"/>
      <c r="CL923" s="84"/>
    </row>
    <row r="924" spans="66:90" s="354" customFormat="1" x14ac:dyDescent="0.2">
      <c r="BN924" s="84"/>
      <c r="BO924" s="84"/>
      <c r="BP924" s="84"/>
      <c r="BQ924" s="84"/>
      <c r="BR924" s="84"/>
      <c r="BS924" s="84"/>
      <c r="BT924" s="84"/>
      <c r="BU924" s="84"/>
      <c r="BV924" s="84"/>
      <c r="BW924" s="84"/>
      <c r="BX924" s="84"/>
      <c r="BY924" s="84"/>
      <c r="BZ924" s="84"/>
      <c r="CA924" s="84"/>
      <c r="CB924" s="84"/>
      <c r="CC924" s="84"/>
      <c r="CD924" s="84"/>
      <c r="CE924" s="84"/>
      <c r="CF924" s="84"/>
      <c r="CG924" s="84"/>
      <c r="CH924" s="84"/>
      <c r="CI924" s="84"/>
      <c r="CJ924" s="84"/>
      <c r="CK924" s="84"/>
      <c r="CL924" s="84"/>
    </row>
    <row r="925" spans="66:90" s="354" customFormat="1" x14ac:dyDescent="0.2">
      <c r="BN925" s="84"/>
      <c r="BO925" s="84"/>
      <c r="BP925" s="84"/>
      <c r="BQ925" s="84"/>
      <c r="BR925" s="84"/>
      <c r="BS925" s="84"/>
      <c r="BT925" s="84"/>
      <c r="BU925" s="84"/>
      <c r="BV925" s="84"/>
      <c r="BW925" s="84"/>
      <c r="BX925" s="84"/>
      <c r="BY925" s="84"/>
      <c r="BZ925" s="84"/>
      <c r="CA925" s="84"/>
      <c r="CB925" s="84"/>
      <c r="CC925" s="84"/>
      <c r="CD925" s="84"/>
      <c r="CE925" s="84"/>
      <c r="CF925" s="84"/>
      <c r="CG925" s="84"/>
      <c r="CH925" s="84"/>
      <c r="CI925" s="84"/>
      <c r="CJ925" s="84"/>
      <c r="CK925" s="84"/>
      <c r="CL925" s="84"/>
    </row>
    <row r="926" spans="66:90" s="354" customFormat="1" x14ac:dyDescent="0.2">
      <c r="BN926" s="84"/>
      <c r="BO926" s="84"/>
      <c r="BP926" s="84"/>
      <c r="BQ926" s="84"/>
      <c r="BR926" s="84"/>
      <c r="BS926" s="84"/>
      <c r="BT926" s="84"/>
      <c r="BU926" s="84"/>
      <c r="BV926" s="84"/>
      <c r="BW926" s="84"/>
      <c r="BX926" s="84"/>
      <c r="BY926" s="84"/>
      <c r="BZ926" s="84"/>
      <c r="CA926" s="84"/>
      <c r="CB926" s="84"/>
      <c r="CC926" s="84"/>
      <c r="CD926" s="84"/>
      <c r="CE926" s="84"/>
      <c r="CF926" s="84"/>
      <c r="CG926" s="84"/>
      <c r="CH926" s="84"/>
      <c r="CI926" s="84"/>
      <c r="CJ926" s="84"/>
      <c r="CK926" s="84"/>
      <c r="CL926" s="84"/>
    </row>
    <row r="927" spans="66:90" s="354" customFormat="1" x14ac:dyDescent="0.2">
      <c r="BN927" s="84"/>
      <c r="BO927" s="84"/>
      <c r="BP927" s="84"/>
      <c r="BQ927" s="84"/>
      <c r="BR927" s="84"/>
      <c r="BS927" s="84"/>
      <c r="BT927" s="84"/>
      <c r="BU927" s="84"/>
      <c r="BV927" s="84"/>
      <c r="BW927" s="84"/>
      <c r="BX927" s="84"/>
      <c r="BY927" s="84"/>
      <c r="BZ927" s="84"/>
      <c r="CA927" s="84"/>
      <c r="CB927" s="84"/>
      <c r="CC927" s="84"/>
      <c r="CD927" s="84"/>
      <c r="CE927" s="84"/>
      <c r="CF927" s="84"/>
      <c r="CG927" s="84"/>
      <c r="CH927" s="84"/>
      <c r="CI927" s="84"/>
      <c r="CJ927" s="84"/>
      <c r="CK927" s="84"/>
      <c r="CL927" s="84"/>
    </row>
    <row r="928" spans="66:90" s="354" customFormat="1" x14ac:dyDescent="0.2">
      <c r="BN928" s="84"/>
      <c r="BO928" s="84"/>
      <c r="BP928" s="84"/>
      <c r="BQ928" s="84"/>
      <c r="BR928" s="84"/>
      <c r="BS928" s="84"/>
      <c r="BT928" s="84"/>
      <c r="BU928" s="84"/>
      <c r="BV928" s="84"/>
      <c r="BW928" s="84"/>
      <c r="BX928" s="84"/>
      <c r="BY928" s="84"/>
      <c r="BZ928" s="84"/>
      <c r="CA928" s="84"/>
      <c r="CB928" s="84"/>
      <c r="CC928" s="84"/>
      <c r="CD928" s="84"/>
      <c r="CE928" s="84"/>
      <c r="CF928" s="84"/>
      <c r="CG928" s="84"/>
      <c r="CH928" s="84"/>
      <c r="CI928" s="84"/>
      <c r="CJ928" s="84"/>
      <c r="CK928" s="84"/>
      <c r="CL928" s="84"/>
    </row>
    <row r="929" spans="66:90" s="354" customFormat="1" x14ac:dyDescent="0.2">
      <c r="BN929" s="84"/>
      <c r="BO929" s="84"/>
      <c r="BP929" s="84"/>
      <c r="BQ929" s="84"/>
      <c r="BR929" s="84"/>
      <c r="BS929" s="84"/>
      <c r="BT929" s="84"/>
      <c r="BU929" s="84"/>
      <c r="BV929" s="84"/>
      <c r="BW929" s="84"/>
      <c r="BX929" s="84"/>
      <c r="BY929" s="84"/>
      <c r="BZ929" s="84"/>
      <c r="CA929" s="84"/>
      <c r="CB929" s="84"/>
      <c r="CC929" s="84"/>
      <c r="CD929" s="84"/>
      <c r="CE929" s="84"/>
      <c r="CF929" s="84"/>
      <c r="CG929" s="84"/>
      <c r="CH929" s="84"/>
      <c r="CI929" s="84"/>
      <c r="CJ929" s="84"/>
      <c r="CK929" s="84"/>
      <c r="CL929" s="84"/>
    </row>
    <row r="930" spans="66:90" s="354" customFormat="1" x14ac:dyDescent="0.2">
      <c r="BN930" s="84"/>
      <c r="BO930" s="84"/>
      <c r="BP930" s="84"/>
      <c r="BQ930" s="84"/>
      <c r="BR930" s="84"/>
      <c r="BS930" s="84"/>
      <c r="BT930" s="84"/>
      <c r="BU930" s="84"/>
      <c r="BV930" s="84"/>
      <c r="BW930" s="84"/>
      <c r="BX930" s="84"/>
      <c r="BY930" s="84"/>
      <c r="BZ930" s="84"/>
      <c r="CA930" s="84"/>
      <c r="CB930" s="84"/>
      <c r="CC930" s="84"/>
      <c r="CD930" s="84"/>
      <c r="CE930" s="84"/>
      <c r="CF930" s="84"/>
      <c r="CG930" s="84"/>
      <c r="CH930" s="84"/>
      <c r="CI930" s="84"/>
      <c r="CJ930" s="84"/>
      <c r="CK930" s="84"/>
      <c r="CL930" s="84"/>
    </row>
    <row r="931" spans="66:90" s="354" customFormat="1" x14ac:dyDescent="0.2">
      <c r="BN931" s="84"/>
      <c r="BO931" s="84"/>
      <c r="BP931" s="84"/>
      <c r="BQ931" s="84"/>
      <c r="BR931" s="84"/>
      <c r="BS931" s="84"/>
      <c r="BT931" s="84"/>
      <c r="BU931" s="84"/>
      <c r="BV931" s="84"/>
      <c r="BW931" s="84"/>
      <c r="BX931" s="84"/>
      <c r="BY931" s="84"/>
      <c r="BZ931" s="84"/>
      <c r="CA931" s="84"/>
      <c r="CB931" s="84"/>
      <c r="CC931" s="84"/>
      <c r="CD931" s="84"/>
      <c r="CE931" s="84"/>
      <c r="CF931" s="84"/>
      <c r="CG931" s="84"/>
      <c r="CH931" s="84"/>
      <c r="CI931" s="84"/>
      <c r="CJ931" s="84"/>
      <c r="CK931" s="84"/>
      <c r="CL931" s="84"/>
    </row>
    <row r="932" spans="66:90" s="354" customFormat="1" x14ac:dyDescent="0.2">
      <c r="BN932" s="84"/>
      <c r="BO932" s="84"/>
      <c r="BP932" s="84"/>
      <c r="BQ932" s="84"/>
      <c r="BR932" s="84"/>
      <c r="BS932" s="84"/>
      <c r="BT932" s="84"/>
      <c r="BU932" s="84"/>
      <c r="BV932" s="84"/>
      <c r="BW932" s="84"/>
      <c r="BX932" s="84"/>
      <c r="BY932" s="84"/>
      <c r="BZ932" s="84"/>
      <c r="CA932" s="84"/>
      <c r="CB932" s="84"/>
      <c r="CC932" s="84"/>
      <c r="CD932" s="84"/>
      <c r="CE932" s="84"/>
      <c r="CF932" s="84"/>
      <c r="CG932" s="84"/>
      <c r="CH932" s="84"/>
      <c r="CI932" s="84"/>
      <c r="CJ932" s="84"/>
      <c r="CK932" s="84"/>
      <c r="CL932" s="84"/>
    </row>
    <row r="933" spans="66:90" s="354" customFormat="1" x14ac:dyDescent="0.2">
      <c r="BN933" s="84"/>
      <c r="BO933" s="84"/>
      <c r="BP933" s="84"/>
      <c r="BQ933" s="84"/>
      <c r="BR933" s="84"/>
      <c r="BS933" s="84"/>
      <c r="BT933" s="84"/>
      <c r="BU933" s="84"/>
      <c r="BV933" s="84"/>
      <c r="BW933" s="84"/>
      <c r="BX933" s="84"/>
      <c r="BY933" s="84"/>
      <c r="BZ933" s="84"/>
      <c r="CA933" s="84"/>
      <c r="CB933" s="84"/>
      <c r="CC933" s="84"/>
      <c r="CD933" s="84"/>
      <c r="CE933" s="84"/>
      <c r="CF933" s="84"/>
      <c r="CG933" s="84"/>
      <c r="CH933" s="84"/>
      <c r="CI933" s="84"/>
      <c r="CJ933" s="84"/>
      <c r="CK933" s="84"/>
      <c r="CL933" s="84"/>
    </row>
    <row r="934" spans="66:90" s="354" customFormat="1" x14ac:dyDescent="0.2">
      <c r="BN934" s="84"/>
      <c r="BO934" s="84"/>
      <c r="BP934" s="84"/>
      <c r="BQ934" s="84"/>
      <c r="BR934" s="84"/>
      <c r="BS934" s="84"/>
      <c r="BT934" s="84"/>
      <c r="BU934" s="84"/>
      <c r="BV934" s="84"/>
      <c r="BW934" s="84"/>
      <c r="BX934" s="84"/>
      <c r="BY934" s="84"/>
      <c r="BZ934" s="84"/>
      <c r="CA934" s="84"/>
      <c r="CB934" s="84"/>
      <c r="CC934" s="84"/>
      <c r="CD934" s="84"/>
      <c r="CE934" s="84"/>
      <c r="CF934" s="84"/>
      <c r="CG934" s="84"/>
      <c r="CH934" s="84"/>
      <c r="CI934" s="84"/>
      <c r="CJ934" s="84"/>
      <c r="CK934" s="84"/>
      <c r="CL934" s="84"/>
    </row>
    <row r="935" spans="66:90" s="354" customFormat="1" x14ac:dyDescent="0.2">
      <c r="BN935" s="84"/>
      <c r="BO935" s="84"/>
      <c r="BP935" s="84"/>
      <c r="BQ935" s="84"/>
      <c r="BR935" s="84"/>
      <c r="BS935" s="84"/>
      <c r="BT935" s="84"/>
      <c r="BU935" s="84"/>
      <c r="BV935" s="84"/>
      <c r="BW935" s="84"/>
      <c r="BX935" s="84"/>
      <c r="BY935" s="84"/>
      <c r="BZ935" s="84"/>
      <c r="CA935" s="84"/>
      <c r="CB935" s="84"/>
      <c r="CC935" s="84"/>
      <c r="CD935" s="84"/>
      <c r="CE935" s="84"/>
      <c r="CF935" s="84"/>
      <c r="CG935" s="84"/>
      <c r="CH935" s="84"/>
      <c r="CI935" s="84"/>
      <c r="CJ935" s="84"/>
      <c r="CK935" s="84"/>
      <c r="CL935" s="84"/>
    </row>
    <row r="936" spans="66:90" s="354" customFormat="1" x14ac:dyDescent="0.2">
      <c r="BN936" s="84"/>
      <c r="BO936" s="84"/>
      <c r="BP936" s="84"/>
      <c r="BQ936" s="84"/>
      <c r="BR936" s="84"/>
      <c r="BS936" s="84"/>
      <c r="BT936" s="84"/>
      <c r="BU936" s="84"/>
      <c r="BV936" s="84"/>
      <c r="BW936" s="84"/>
      <c r="BX936" s="84"/>
      <c r="BY936" s="84"/>
      <c r="BZ936" s="84"/>
      <c r="CA936" s="84"/>
      <c r="CB936" s="84"/>
      <c r="CC936" s="84"/>
      <c r="CD936" s="84"/>
      <c r="CE936" s="84"/>
      <c r="CF936" s="84"/>
      <c r="CG936" s="84"/>
      <c r="CH936" s="84"/>
      <c r="CI936" s="84"/>
      <c r="CJ936" s="84"/>
      <c r="CK936" s="84"/>
      <c r="CL936" s="84"/>
    </row>
    <row r="937" spans="66:90" s="354" customFormat="1" x14ac:dyDescent="0.2">
      <c r="BN937" s="84"/>
      <c r="BO937" s="84"/>
      <c r="BP937" s="84"/>
      <c r="BQ937" s="84"/>
      <c r="BR937" s="84"/>
      <c r="BS937" s="84"/>
      <c r="BT937" s="84"/>
      <c r="BU937" s="84"/>
      <c r="BV937" s="84"/>
      <c r="BW937" s="84"/>
      <c r="BX937" s="84"/>
      <c r="BY937" s="84"/>
      <c r="BZ937" s="84"/>
      <c r="CA937" s="84"/>
      <c r="CB937" s="84"/>
      <c r="CC937" s="84"/>
      <c r="CD937" s="84"/>
      <c r="CE937" s="84"/>
      <c r="CF937" s="84"/>
      <c r="CG937" s="84"/>
      <c r="CH937" s="84"/>
      <c r="CI937" s="84"/>
      <c r="CJ937" s="84"/>
      <c r="CK937" s="84"/>
      <c r="CL937" s="84"/>
    </row>
    <row r="938" spans="66:90" s="354" customFormat="1" x14ac:dyDescent="0.2">
      <c r="BN938" s="84"/>
      <c r="BO938" s="84"/>
      <c r="BP938" s="84"/>
      <c r="BQ938" s="84"/>
      <c r="BR938" s="84"/>
      <c r="BS938" s="84"/>
      <c r="BT938" s="84"/>
      <c r="BU938" s="84"/>
      <c r="BV938" s="84"/>
      <c r="BW938" s="84"/>
      <c r="BX938" s="84"/>
      <c r="BY938" s="84"/>
      <c r="BZ938" s="84"/>
      <c r="CA938" s="84"/>
      <c r="CB938" s="84"/>
      <c r="CC938" s="84"/>
      <c r="CD938" s="84"/>
      <c r="CE938" s="84"/>
      <c r="CF938" s="84"/>
      <c r="CG938" s="84"/>
      <c r="CH938" s="84"/>
      <c r="CI938" s="84"/>
      <c r="CJ938" s="84"/>
      <c r="CK938" s="84"/>
      <c r="CL938" s="84"/>
    </row>
    <row r="939" spans="66:90" s="354" customFormat="1" x14ac:dyDescent="0.2">
      <c r="BN939" s="84"/>
      <c r="BO939" s="84"/>
      <c r="BP939" s="84"/>
      <c r="BQ939" s="84"/>
      <c r="BR939" s="84"/>
      <c r="BS939" s="84"/>
      <c r="BT939" s="84"/>
      <c r="BU939" s="84"/>
      <c r="BV939" s="84"/>
      <c r="BW939" s="84"/>
      <c r="BX939" s="84"/>
      <c r="BY939" s="84"/>
      <c r="BZ939" s="84"/>
      <c r="CA939" s="84"/>
      <c r="CB939" s="84"/>
      <c r="CC939" s="84"/>
      <c r="CD939" s="84"/>
      <c r="CE939" s="84"/>
      <c r="CF939" s="84"/>
      <c r="CG939" s="84"/>
      <c r="CH939" s="84"/>
      <c r="CI939" s="84"/>
      <c r="CJ939" s="84"/>
      <c r="CK939" s="84"/>
      <c r="CL939" s="84"/>
    </row>
    <row r="940" spans="66:90" s="354" customFormat="1" x14ac:dyDescent="0.2">
      <c r="BN940" s="84"/>
      <c r="BO940" s="84"/>
      <c r="BP940" s="84"/>
      <c r="BQ940" s="84"/>
      <c r="BR940" s="84"/>
      <c r="BS940" s="84"/>
      <c r="BT940" s="84"/>
      <c r="BU940" s="84"/>
      <c r="BV940" s="84"/>
      <c r="BW940" s="84"/>
      <c r="BX940" s="84"/>
      <c r="BY940" s="84"/>
      <c r="BZ940" s="84"/>
      <c r="CA940" s="84"/>
      <c r="CB940" s="84"/>
      <c r="CC940" s="84"/>
      <c r="CD940" s="84"/>
      <c r="CE940" s="84"/>
      <c r="CF940" s="84"/>
      <c r="CG940" s="84"/>
      <c r="CH940" s="84"/>
      <c r="CI940" s="84"/>
      <c r="CJ940" s="84"/>
      <c r="CK940" s="84"/>
      <c r="CL940" s="84"/>
    </row>
    <row r="941" spans="66:90" s="354" customFormat="1" x14ac:dyDescent="0.2">
      <c r="BN941" s="84"/>
      <c r="BO941" s="84"/>
      <c r="BP941" s="84"/>
      <c r="BQ941" s="84"/>
      <c r="BR941" s="84"/>
      <c r="BS941" s="84"/>
      <c r="BT941" s="84"/>
      <c r="BU941" s="84"/>
      <c r="BV941" s="84"/>
      <c r="BW941" s="84"/>
      <c r="BX941" s="84"/>
      <c r="BY941" s="84"/>
      <c r="BZ941" s="84"/>
      <c r="CA941" s="84"/>
      <c r="CB941" s="84"/>
      <c r="CC941" s="84"/>
      <c r="CD941" s="84"/>
      <c r="CE941" s="84"/>
      <c r="CF941" s="84"/>
      <c r="CG941" s="84"/>
      <c r="CH941" s="84"/>
      <c r="CI941" s="84"/>
      <c r="CJ941" s="84"/>
      <c r="CK941" s="84"/>
      <c r="CL941" s="84"/>
    </row>
    <row r="942" spans="66:90" s="354" customFormat="1" x14ac:dyDescent="0.2">
      <c r="BN942" s="84"/>
      <c r="BO942" s="84"/>
      <c r="BP942" s="84"/>
      <c r="BQ942" s="84"/>
      <c r="BR942" s="84"/>
      <c r="BS942" s="84"/>
      <c r="BT942" s="84"/>
      <c r="BU942" s="84"/>
      <c r="BV942" s="84"/>
      <c r="BW942" s="84"/>
      <c r="BX942" s="84"/>
      <c r="BY942" s="84"/>
      <c r="BZ942" s="84"/>
      <c r="CA942" s="84"/>
      <c r="CB942" s="84"/>
      <c r="CC942" s="84"/>
      <c r="CD942" s="84"/>
      <c r="CE942" s="84"/>
      <c r="CF942" s="84"/>
      <c r="CG942" s="84"/>
      <c r="CH942" s="84"/>
      <c r="CI942" s="84"/>
      <c r="CJ942" s="84"/>
      <c r="CK942" s="84"/>
      <c r="CL942" s="84"/>
    </row>
    <row r="943" spans="66:90" s="354" customFormat="1" x14ac:dyDescent="0.2">
      <c r="BN943" s="84"/>
      <c r="BO943" s="84"/>
      <c r="BP943" s="84"/>
      <c r="BQ943" s="84"/>
      <c r="BR943" s="84"/>
      <c r="BS943" s="84"/>
      <c r="BT943" s="84"/>
      <c r="BU943" s="84"/>
      <c r="BV943" s="84"/>
      <c r="BW943" s="84"/>
      <c r="BX943" s="84"/>
      <c r="BY943" s="84"/>
      <c r="BZ943" s="84"/>
      <c r="CA943" s="84"/>
      <c r="CB943" s="84"/>
      <c r="CC943" s="84"/>
      <c r="CD943" s="84"/>
      <c r="CE943" s="84"/>
      <c r="CF943" s="84"/>
      <c r="CG943" s="84"/>
      <c r="CH943" s="84"/>
      <c r="CI943" s="84"/>
      <c r="CJ943" s="84"/>
      <c r="CK943" s="84"/>
      <c r="CL943" s="84"/>
    </row>
    <row r="944" spans="66:90" s="354" customFormat="1" x14ac:dyDescent="0.2">
      <c r="BN944" s="84"/>
      <c r="BO944" s="84"/>
      <c r="BP944" s="84"/>
      <c r="BQ944" s="84"/>
      <c r="BR944" s="84"/>
      <c r="BS944" s="84"/>
      <c r="BT944" s="84"/>
      <c r="BU944" s="84"/>
      <c r="BV944" s="84"/>
      <c r="BW944" s="84"/>
      <c r="BX944" s="84"/>
      <c r="BY944" s="84"/>
      <c r="BZ944" s="84"/>
      <c r="CA944" s="84"/>
      <c r="CB944" s="84"/>
      <c r="CC944" s="84"/>
      <c r="CD944" s="84"/>
      <c r="CE944" s="84"/>
      <c r="CF944" s="84"/>
      <c r="CG944" s="84"/>
      <c r="CH944" s="84"/>
      <c r="CI944" s="84"/>
      <c r="CJ944" s="84"/>
      <c r="CK944" s="84"/>
      <c r="CL944" s="84"/>
    </row>
    <row r="945" spans="66:90" s="354" customFormat="1" x14ac:dyDescent="0.2">
      <c r="BN945" s="84"/>
      <c r="BO945" s="84"/>
      <c r="BP945" s="84"/>
      <c r="BQ945" s="84"/>
      <c r="BR945" s="84"/>
      <c r="BS945" s="84"/>
      <c r="BT945" s="84"/>
      <c r="BU945" s="84"/>
      <c r="BV945" s="84"/>
      <c r="BW945" s="84"/>
      <c r="BX945" s="84"/>
      <c r="BY945" s="84"/>
      <c r="BZ945" s="84"/>
      <c r="CA945" s="84"/>
      <c r="CB945" s="84"/>
      <c r="CC945" s="84"/>
      <c r="CD945" s="84"/>
      <c r="CE945" s="84"/>
      <c r="CF945" s="84"/>
      <c r="CG945" s="84"/>
      <c r="CH945" s="84"/>
      <c r="CI945" s="84"/>
      <c r="CJ945" s="84"/>
      <c r="CK945" s="84"/>
      <c r="CL945" s="84"/>
    </row>
    <row r="946" spans="66:90" s="354" customFormat="1" x14ac:dyDescent="0.2">
      <c r="BN946" s="84"/>
      <c r="BO946" s="84"/>
      <c r="BP946" s="84"/>
      <c r="BQ946" s="84"/>
      <c r="BR946" s="84"/>
      <c r="BS946" s="84"/>
      <c r="BT946" s="84"/>
      <c r="BU946" s="84"/>
      <c r="BV946" s="84"/>
      <c r="BW946" s="84"/>
      <c r="BX946" s="84"/>
      <c r="BY946" s="84"/>
      <c r="BZ946" s="84"/>
      <c r="CA946" s="84"/>
      <c r="CB946" s="84"/>
      <c r="CC946" s="84"/>
      <c r="CD946" s="84"/>
      <c r="CE946" s="84"/>
      <c r="CF946" s="84"/>
      <c r="CG946" s="84"/>
      <c r="CH946" s="84"/>
      <c r="CI946" s="84"/>
      <c r="CJ946" s="84"/>
      <c r="CK946" s="84"/>
      <c r="CL946" s="84"/>
    </row>
    <row r="947" spans="66:90" s="354" customFormat="1" x14ac:dyDescent="0.2">
      <c r="BN947" s="84"/>
      <c r="BO947" s="84"/>
      <c r="BP947" s="84"/>
      <c r="BQ947" s="84"/>
      <c r="BR947" s="84"/>
      <c r="BS947" s="84"/>
      <c r="BT947" s="84"/>
      <c r="BU947" s="84"/>
      <c r="BV947" s="84"/>
      <c r="BW947" s="84"/>
      <c r="BX947" s="84"/>
      <c r="BY947" s="84"/>
      <c r="BZ947" s="84"/>
      <c r="CA947" s="84"/>
      <c r="CB947" s="84"/>
      <c r="CC947" s="84"/>
      <c r="CD947" s="84"/>
      <c r="CE947" s="84"/>
      <c r="CF947" s="84"/>
      <c r="CG947" s="84"/>
      <c r="CH947" s="84"/>
      <c r="CI947" s="84"/>
      <c r="CJ947" s="84"/>
      <c r="CK947" s="84"/>
      <c r="CL947" s="84"/>
    </row>
    <row r="948" spans="66:90" s="354" customFormat="1" x14ac:dyDescent="0.2">
      <c r="BN948" s="84"/>
      <c r="BO948" s="84"/>
      <c r="BP948" s="84"/>
      <c r="BQ948" s="84"/>
      <c r="BR948" s="84"/>
      <c r="BS948" s="84"/>
      <c r="BT948" s="84"/>
      <c r="BU948" s="84"/>
      <c r="BV948" s="84"/>
      <c r="BW948" s="84"/>
      <c r="BX948" s="84"/>
      <c r="BY948" s="84"/>
      <c r="BZ948" s="84"/>
      <c r="CA948" s="84"/>
      <c r="CB948" s="84"/>
      <c r="CC948" s="84"/>
      <c r="CD948" s="84"/>
      <c r="CE948" s="84"/>
      <c r="CF948" s="84"/>
      <c r="CG948" s="84"/>
      <c r="CH948" s="84"/>
      <c r="CI948" s="84"/>
      <c r="CJ948" s="84"/>
      <c r="CK948" s="84"/>
      <c r="CL948" s="84"/>
    </row>
    <row r="949" spans="66:90" s="354" customFormat="1" x14ac:dyDescent="0.2">
      <c r="BN949" s="84"/>
      <c r="BO949" s="84"/>
      <c r="BP949" s="84"/>
      <c r="BQ949" s="84"/>
      <c r="BR949" s="84"/>
      <c r="BS949" s="84"/>
      <c r="BT949" s="84"/>
      <c r="BU949" s="84"/>
      <c r="BV949" s="84"/>
      <c r="BW949" s="84"/>
      <c r="BX949" s="84"/>
      <c r="BY949" s="84"/>
      <c r="BZ949" s="84"/>
      <c r="CA949" s="84"/>
      <c r="CB949" s="84"/>
      <c r="CC949" s="84"/>
      <c r="CD949" s="84"/>
      <c r="CE949" s="84"/>
      <c r="CF949" s="84"/>
      <c r="CG949" s="84"/>
      <c r="CH949" s="84"/>
      <c r="CI949" s="84"/>
      <c r="CJ949" s="84"/>
      <c r="CK949" s="84"/>
      <c r="CL949" s="84"/>
    </row>
    <row r="950" spans="66:90" s="354" customFormat="1" x14ac:dyDescent="0.2">
      <c r="BN950" s="84"/>
      <c r="BO950" s="84"/>
      <c r="BP950" s="84"/>
      <c r="BQ950" s="84"/>
      <c r="BR950" s="84"/>
      <c r="BS950" s="84"/>
      <c r="BT950" s="84"/>
      <c r="BU950" s="84"/>
      <c r="BV950" s="84"/>
      <c r="BW950" s="84"/>
      <c r="BX950" s="84"/>
      <c r="BY950" s="84"/>
      <c r="BZ950" s="84"/>
      <c r="CA950" s="84"/>
      <c r="CB950" s="84"/>
      <c r="CC950" s="84"/>
      <c r="CD950" s="84"/>
      <c r="CE950" s="84"/>
      <c r="CF950" s="84"/>
      <c r="CG950" s="84"/>
      <c r="CH950" s="84"/>
      <c r="CI950" s="84"/>
      <c r="CJ950" s="84"/>
      <c r="CK950" s="84"/>
      <c r="CL950" s="84"/>
    </row>
    <row r="951" spans="66:90" s="354" customFormat="1" x14ac:dyDescent="0.2">
      <c r="BN951" s="84"/>
      <c r="BO951" s="84"/>
      <c r="BP951" s="84"/>
      <c r="BQ951" s="84"/>
      <c r="BR951" s="84"/>
      <c r="BS951" s="84"/>
      <c r="BT951" s="84"/>
      <c r="BU951" s="84"/>
      <c r="BV951" s="84"/>
      <c r="BW951" s="84"/>
      <c r="BX951" s="84"/>
      <c r="BY951" s="84"/>
      <c r="BZ951" s="84"/>
      <c r="CA951" s="84"/>
      <c r="CB951" s="84"/>
      <c r="CC951" s="84"/>
      <c r="CD951" s="84"/>
      <c r="CE951" s="84"/>
      <c r="CF951" s="84"/>
      <c r="CG951" s="84"/>
      <c r="CH951" s="84"/>
      <c r="CI951" s="84"/>
      <c r="CJ951" s="84"/>
      <c r="CK951" s="84"/>
      <c r="CL951" s="84"/>
    </row>
    <row r="952" spans="66:90" s="354" customFormat="1" x14ac:dyDescent="0.2">
      <c r="BN952" s="84"/>
      <c r="BO952" s="84"/>
      <c r="BP952" s="84"/>
      <c r="BQ952" s="84"/>
      <c r="BR952" s="84"/>
      <c r="BS952" s="84"/>
      <c r="BT952" s="84"/>
      <c r="BU952" s="84"/>
      <c r="BV952" s="84"/>
      <c r="BW952" s="84"/>
      <c r="BX952" s="84"/>
      <c r="BY952" s="84"/>
      <c r="BZ952" s="84"/>
      <c r="CA952" s="84"/>
      <c r="CB952" s="84"/>
      <c r="CC952" s="84"/>
      <c r="CD952" s="84"/>
      <c r="CE952" s="84"/>
      <c r="CF952" s="84"/>
      <c r="CG952" s="84"/>
      <c r="CH952" s="84"/>
      <c r="CI952" s="84"/>
      <c r="CJ952" s="84"/>
      <c r="CK952" s="84"/>
      <c r="CL952" s="84"/>
    </row>
    <row r="953" spans="66:90" s="354" customFormat="1" x14ac:dyDescent="0.2">
      <c r="BN953" s="84"/>
      <c r="BO953" s="84"/>
      <c r="BP953" s="84"/>
      <c r="BQ953" s="84"/>
      <c r="BR953" s="84"/>
      <c r="BS953" s="84"/>
      <c r="BT953" s="84"/>
      <c r="BU953" s="84"/>
      <c r="BV953" s="84"/>
      <c r="BW953" s="84"/>
      <c r="BX953" s="84"/>
      <c r="BY953" s="84"/>
      <c r="BZ953" s="84"/>
      <c r="CA953" s="84"/>
      <c r="CB953" s="84"/>
      <c r="CC953" s="84"/>
      <c r="CD953" s="84"/>
      <c r="CE953" s="84"/>
      <c r="CF953" s="84"/>
      <c r="CG953" s="84"/>
      <c r="CH953" s="84"/>
      <c r="CI953" s="84"/>
      <c r="CJ953" s="84"/>
      <c r="CK953" s="84"/>
      <c r="CL953" s="84"/>
    </row>
    <row r="954" spans="66:90" s="354" customFormat="1" x14ac:dyDescent="0.2">
      <c r="BN954" s="84"/>
      <c r="BO954" s="84"/>
      <c r="BP954" s="84"/>
      <c r="BQ954" s="84"/>
      <c r="BR954" s="84"/>
      <c r="BS954" s="84"/>
      <c r="BT954" s="84"/>
      <c r="BU954" s="84"/>
      <c r="BV954" s="84"/>
      <c r="BW954" s="84"/>
      <c r="BX954" s="84"/>
      <c r="BY954" s="84"/>
      <c r="BZ954" s="84"/>
      <c r="CA954" s="84"/>
      <c r="CB954" s="84"/>
      <c r="CC954" s="84"/>
      <c r="CD954" s="84"/>
      <c r="CE954" s="84"/>
      <c r="CF954" s="84"/>
      <c r="CG954" s="84"/>
      <c r="CH954" s="84"/>
      <c r="CI954" s="84"/>
      <c r="CJ954" s="84"/>
      <c r="CK954" s="84"/>
      <c r="CL954" s="84"/>
    </row>
    <row r="955" spans="66:90" s="354" customFormat="1" x14ac:dyDescent="0.2">
      <c r="BN955" s="84"/>
      <c r="BO955" s="84"/>
      <c r="BP955" s="84"/>
      <c r="BQ955" s="84"/>
      <c r="BR955" s="84"/>
      <c r="BS955" s="84"/>
      <c r="BT955" s="84"/>
      <c r="BU955" s="84"/>
      <c r="BV955" s="84"/>
      <c r="BW955" s="84"/>
      <c r="BX955" s="84"/>
      <c r="BY955" s="84"/>
      <c r="BZ955" s="84"/>
      <c r="CA955" s="84"/>
      <c r="CB955" s="84"/>
      <c r="CC955" s="84"/>
      <c r="CD955" s="84"/>
      <c r="CE955" s="84"/>
      <c r="CF955" s="84"/>
      <c r="CG955" s="84"/>
      <c r="CH955" s="84"/>
      <c r="CI955" s="84"/>
      <c r="CJ955" s="84"/>
      <c r="CK955" s="84"/>
      <c r="CL955" s="84"/>
    </row>
    <row r="956" spans="66:90" s="354" customFormat="1" x14ac:dyDescent="0.2">
      <c r="BN956" s="84"/>
      <c r="BO956" s="84"/>
      <c r="BP956" s="84"/>
      <c r="BQ956" s="84"/>
      <c r="BR956" s="84"/>
      <c r="BS956" s="84"/>
      <c r="BT956" s="84"/>
      <c r="BU956" s="84"/>
      <c r="BV956" s="84"/>
      <c r="BW956" s="84"/>
      <c r="BX956" s="84"/>
      <c r="BY956" s="84"/>
      <c r="BZ956" s="84"/>
      <c r="CA956" s="84"/>
      <c r="CB956" s="84"/>
      <c r="CC956" s="84"/>
      <c r="CD956" s="84"/>
      <c r="CE956" s="84"/>
      <c r="CF956" s="84"/>
      <c r="CG956" s="84"/>
      <c r="CH956" s="84"/>
      <c r="CI956" s="84"/>
      <c r="CJ956" s="84"/>
      <c r="CK956" s="84"/>
      <c r="CL956" s="84"/>
    </row>
    <row r="957" spans="66:90" s="354" customFormat="1" x14ac:dyDescent="0.2">
      <c r="BN957" s="84"/>
      <c r="BO957" s="84"/>
      <c r="BP957" s="84"/>
      <c r="BQ957" s="84"/>
      <c r="BR957" s="84"/>
      <c r="BS957" s="84"/>
      <c r="BT957" s="84"/>
      <c r="BU957" s="84"/>
      <c r="BV957" s="84"/>
      <c r="BW957" s="84"/>
      <c r="BX957" s="84"/>
      <c r="BY957" s="84"/>
      <c r="BZ957" s="84"/>
      <c r="CA957" s="84"/>
      <c r="CB957" s="84"/>
      <c r="CC957" s="84"/>
      <c r="CD957" s="84"/>
      <c r="CE957" s="84"/>
      <c r="CF957" s="84"/>
      <c r="CG957" s="84"/>
      <c r="CH957" s="84"/>
      <c r="CI957" s="84"/>
      <c r="CJ957" s="84"/>
      <c r="CK957" s="84"/>
      <c r="CL957" s="84"/>
    </row>
    <row r="958" spans="66:90" s="354" customFormat="1" x14ac:dyDescent="0.2">
      <c r="BN958" s="84"/>
      <c r="BO958" s="84"/>
      <c r="BP958" s="84"/>
      <c r="BQ958" s="84"/>
      <c r="BR958" s="84"/>
      <c r="BS958" s="84"/>
      <c r="BT958" s="84"/>
      <c r="BU958" s="84"/>
      <c r="BV958" s="84"/>
      <c r="BW958" s="84"/>
      <c r="BX958" s="84"/>
      <c r="BY958" s="84"/>
      <c r="BZ958" s="84"/>
      <c r="CA958" s="84"/>
      <c r="CB958" s="84"/>
      <c r="CC958" s="84"/>
      <c r="CD958" s="84"/>
      <c r="CE958" s="84"/>
      <c r="CF958" s="84"/>
      <c r="CG958" s="84"/>
      <c r="CH958" s="84"/>
      <c r="CI958" s="84"/>
      <c r="CJ958" s="84"/>
      <c r="CK958" s="84"/>
      <c r="CL958" s="84"/>
    </row>
    <row r="959" spans="66:90" s="354" customFormat="1" x14ac:dyDescent="0.2">
      <c r="BN959" s="84"/>
      <c r="BO959" s="84"/>
      <c r="BP959" s="84"/>
      <c r="BQ959" s="84"/>
      <c r="BR959" s="84"/>
      <c r="BS959" s="84"/>
      <c r="BT959" s="84"/>
      <c r="BU959" s="84"/>
      <c r="BV959" s="84"/>
      <c r="BW959" s="84"/>
      <c r="BX959" s="84"/>
      <c r="BY959" s="84"/>
      <c r="BZ959" s="84"/>
      <c r="CA959" s="84"/>
      <c r="CB959" s="84"/>
      <c r="CC959" s="84"/>
      <c r="CD959" s="84"/>
      <c r="CE959" s="84"/>
      <c r="CF959" s="84"/>
      <c r="CG959" s="84"/>
      <c r="CH959" s="84"/>
      <c r="CI959" s="84"/>
      <c r="CJ959" s="84"/>
      <c r="CK959" s="84"/>
      <c r="CL959" s="84"/>
    </row>
    <row r="960" spans="66:90" s="354" customFormat="1" x14ac:dyDescent="0.2">
      <c r="BN960" s="84"/>
      <c r="BO960" s="84"/>
      <c r="BP960" s="84"/>
      <c r="BQ960" s="84"/>
      <c r="BR960" s="84"/>
      <c r="BS960" s="84"/>
      <c r="BT960" s="84"/>
      <c r="BU960" s="84"/>
      <c r="BV960" s="84"/>
      <c r="BW960" s="84"/>
      <c r="BX960" s="84"/>
      <c r="BY960" s="84"/>
      <c r="BZ960" s="84"/>
      <c r="CA960" s="84"/>
      <c r="CB960" s="84"/>
      <c r="CC960" s="84"/>
      <c r="CD960" s="84"/>
      <c r="CE960" s="84"/>
      <c r="CF960" s="84"/>
      <c r="CG960" s="84"/>
      <c r="CH960" s="84"/>
      <c r="CI960" s="84"/>
      <c r="CJ960" s="84"/>
      <c r="CK960" s="84"/>
      <c r="CL960" s="84"/>
    </row>
    <row r="961" spans="66:90" s="354" customFormat="1" x14ac:dyDescent="0.2">
      <c r="BN961" s="84"/>
      <c r="BO961" s="84"/>
      <c r="BP961" s="84"/>
      <c r="BQ961" s="84"/>
      <c r="BR961" s="84"/>
      <c r="BS961" s="84"/>
      <c r="BT961" s="84"/>
      <c r="BU961" s="84"/>
      <c r="BV961" s="84"/>
      <c r="BW961" s="84"/>
      <c r="BX961" s="84"/>
      <c r="BY961" s="84"/>
      <c r="BZ961" s="84"/>
      <c r="CA961" s="84"/>
      <c r="CB961" s="84"/>
      <c r="CC961" s="84"/>
      <c r="CD961" s="84"/>
      <c r="CE961" s="84"/>
      <c r="CF961" s="84"/>
      <c r="CG961" s="84"/>
      <c r="CH961" s="84"/>
      <c r="CI961" s="84"/>
      <c r="CJ961" s="84"/>
      <c r="CK961" s="84"/>
      <c r="CL961" s="84"/>
    </row>
    <row r="962" spans="66:90" s="354" customFormat="1" x14ac:dyDescent="0.2">
      <c r="BN962" s="84"/>
      <c r="BO962" s="84"/>
      <c r="BP962" s="84"/>
      <c r="BQ962" s="84"/>
      <c r="BR962" s="84"/>
      <c r="BS962" s="84"/>
      <c r="BT962" s="84"/>
      <c r="BU962" s="84"/>
      <c r="BV962" s="84"/>
      <c r="BW962" s="84"/>
      <c r="BX962" s="84"/>
      <c r="BY962" s="84"/>
      <c r="BZ962" s="84"/>
      <c r="CA962" s="84"/>
      <c r="CB962" s="84"/>
      <c r="CC962" s="84"/>
      <c r="CD962" s="84"/>
      <c r="CE962" s="84"/>
      <c r="CF962" s="84"/>
      <c r="CG962" s="84"/>
      <c r="CH962" s="84"/>
      <c r="CI962" s="84"/>
      <c r="CJ962" s="84"/>
      <c r="CK962" s="84"/>
      <c r="CL962" s="84"/>
    </row>
    <row r="963" spans="66:90" s="354" customFormat="1" x14ac:dyDescent="0.2">
      <c r="BN963" s="84"/>
      <c r="BO963" s="84"/>
      <c r="BP963" s="84"/>
      <c r="BQ963" s="84"/>
      <c r="BR963" s="84"/>
      <c r="BS963" s="84"/>
      <c r="BT963" s="84"/>
      <c r="BU963" s="84"/>
      <c r="BV963" s="84"/>
      <c r="BW963" s="84"/>
      <c r="BX963" s="84"/>
      <c r="BY963" s="84"/>
      <c r="BZ963" s="84"/>
      <c r="CA963" s="84"/>
      <c r="CB963" s="84"/>
      <c r="CC963" s="84"/>
      <c r="CD963" s="84"/>
      <c r="CE963" s="84"/>
      <c r="CF963" s="84"/>
      <c r="CG963" s="84"/>
      <c r="CH963" s="84"/>
      <c r="CI963" s="84"/>
      <c r="CJ963" s="84"/>
      <c r="CK963" s="84"/>
      <c r="CL963" s="84"/>
    </row>
    <row r="964" spans="66:90" s="354" customFormat="1" x14ac:dyDescent="0.2">
      <c r="BN964" s="84"/>
      <c r="BO964" s="84"/>
      <c r="BP964" s="84"/>
      <c r="BQ964" s="84"/>
      <c r="BR964" s="84"/>
      <c r="BS964" s="84"/>
      <c r="BT964" s="84"/>
      <c r="BU964" s="84"/>
      <c r="BV964" s="84"/>
      <c r="BW964" s="84"/>
      <c r="BX964" s="84"/>
      <c r="BY964" s="84"/>
      <c r="BZ964" s="84"/>
      <c r="CA964" s="84"/>
      <c r="CB964" s="84"/>
      <c r="CC964" s="84"/>
      <c r="CD964" s="84"/>
      <c r="CE964" s="84"/>
      <c r="CF964" s="84"/>
      <c r="CG964" s="84"/>
      <c r="CH964" s="84"/>
      <c r="CI964" s="84"/>
      <c r="CJ964" s="84"/>
      <c r="CK964" s="84"/>
      <c r="CL964" s="84"/>
    </row>
    <row r="965" spans="66:90" s="354" customFormat="1" x14ac:dyDescent="0.2">
      <c r="BN965" s="84"/>
      <c r="BO965" s="84"/>
      <c r="BP965" s="84"/>
      <c r="BQ965" s="84"/>
      <c r="BR965" s="84"/>
      <c r="BS965" s="84"/>
      <c r="BT965" s="84"/>
      <c r="BU965" s="84"/>
      <c r="BV965" s="84"/>
      <c r="BW965" s="84"/>
      <c r="BX965" s="84"/>
      <c r="BY965" s="84"/>
      <c r="BZ965" s="84"/>
      <c r="CA965" s="84"/>
      <c r="CB965" s="84"/>
      <c r="CC965" s="84"/>
      <c r="CD965" s="84"/>
      <c r="CE965" s="84"/>
      <c r="CF965" s="84"/>
      <c r="CG965" s="84"/>
      <c r="CH965" s="84"/>
      <c r="CI965" s="84"/>
      <c r="CJ965" s="84"/>
      <c r="CK965" s="84"/>
      <c r="CL965" s="84"/>
    </row>
    <row r="966" spans="66:90" s="354" customFormat="1" x14ac:dyDescent="0.2">
      <c r="BN966" s="84"/>
      <c r="BO966" s="84"/>
      <c r="BP966" s="84"/>
      <c r="BQ966" s="84"/>
      <c r="BR966" s="84"/>
      <c r="BS966" s="84"/>
      <c r="BT966" s="84"/>
      <c r="BU966" s="84"/>
      <c r="BV966" s="84"/>
      <c r="BW966" s="84"/>
      <c r="BX966" s="84"/>
      <c r="BY966" s="84"/>
      <c r="BZ966" s="84"/>
      <c r="CA966" s="84"/>
      <c r="CB966" s="84"/>
      <c r="CC966" s="84"/>
      <c r="CD966" s="84"/>
      <c r="CE966" s="84"/>
      <c r="CF966" s="84"/>
      <c r="CG966" s="84"/>
      <c r="CH966" s="84"/>
      <c r="CI966" s="84"/>
      <c r="CJ966" s="84"/>
      <c r="CK966" s="84"/>
      <c r="CL966" s="84"/>
    </row>
    <row r="967" spans="66:90" s="354" customFormat="1" x14ac:dyDescent="0.2">
      <c r="BN967" s="84"/>
      <c r="BO967" s="84"/>
      <c r="BP967" s="84"/>
      <c r="BQ967" s="84"/>
      <c r="BR967" s="84"/>
      <c r="BS967" s="84"/>
      <c r="BT967" s="84"/>
      <c r="BU967" s="84"/>
      <c r="BV967" s="84"/>
      <c r="BW967" s="84"/>
      <c r="BX967" s="84"/>
      <c r="BY967" s="84"/>
      <c r="BZ967" s="84"/>
      <c r="CA967" s="84"/>
      <c r="CB967" s="84"/>
      <c r="CC967" s="84"/>
      <c r="CD967" s="84"/>
      <c r="CE967" s="84"/>
      <c r="CF967" s="84"/>
      <c r="CG967" s="84"/>
      <c r="CH967" s="84"/>
      <c r="CI967" s="84"/>
      <c r="CJ967" s="84"/>
      <c r="CK967" s="84"/>
      <c r="CL967" s="84"/>
    </row>
    <row r="968" spans="66:90" s="354" customFormat="1" x14ac:dyDescent="0.2">
      <c r="BN968" s="84"/>
      <c r="BO968" s="84"/>
      <c r="BP968" s="84"/>
      <c r="BQ968" s="84"/>
      <c r="BR968" s="84"/>
      <c r="BS968" s="84"/>
      <c r="BT968" s="84"/>
      <c r="BU968" s="84"/>
      <c r="BV968" s="84"/>
      <c r="BW968" s="84"/>
      <c r="BX968" s="84"/>
      <c r="BY968" s="84"/>
      <c r="BZ968" s="84"/>
      <c r="CA968" s="84"/>
      <c r="CB968" s="84"/>
      <c r="CC968" s="84"/>
      <c r="CD968" s="84"/>
      <c r="CE968" s="84"/>
      <c r="CF968" s="84"/>
      <c r="CG968" s="84"/>
      <c r="CH968" s="84"/>
      <c r="CI968" s="84"/>
      <c r="CJ968" s="84"/>
      <c r="CK968" s="84"/>
      <c r="CL968" s="84"/>
    </row>
    <row r="969" spans="66:90" s="354" customFormat="1" x14ac:dyDescent="0.2">
      <c r="BN969" s="84"/>
      <c r="BO969" s="84"/>
      <c r="BP969" s="84"/>
      <c r="BQ969" s="84"/>
      <c r="BR969" s="84"/>
      <c r="BS969" s="84"/>
      <c r="BT969" s="84"/>
      <c r="BU969" s="84"/>
      <c r="BV969" s="84"/>
      <c r="BW969" s="84"/>
      <c r="BX969" s="84"/>
      <c r="BY969" s="84"/>
      <c r="BZ969" s="84"/>
      <c r="CA969" s="84"/>
      <c r="CB969" s="84"/>
      <c r="CC969" s="84"/>
      <c r="CD969" s="84"/>
      <c r="CE969" s="84"/>
      <c r="CF969" s="84"/>
      <c r="CG969" s="84"/>
      <c r="CH969" s="84"/>
      <c r="CI969" s="84"/>
      <c r="CJ969" s="84"/>
      <c r="CK969" s="84"/>
      <c r="CL969" s="84"/>
    </row>
    <row r="970" spans="66:90" s="354" customFormat="1" x14ac:dyDescent="0.2">
      <c r="BN970" s="84"/>
      <c r="BO970" s="84"/>
      <c r="BP970" s="84"/>
      <c r="BQ970" s="84"/>
      <c r="BR970" s="84"/>
      <c r="BS970" s="84"/>
      <c r="BT970" s="84"/>
      <c r="BU970" s="84"/>
      <c r="BV970" s="84"/>
      <c r="BW970" s="84"/>
      <c r="BX970" s="84"/>
      <c r="BY970" s="84"/>
      <c r="BZ970" s="84"/>
      <c r="CA970" s="84"/>
      <c r="CB970" s="84"/>
      <c r="CC970" s="84"/>
      <c r="CD970" s="84"/>
      <c r="CE970" s="84"/>
      <c r="CF970" s="84"/>
      <c r="CG970" s="84"/>
      <c r="CH970" s="84"/>
      <c r="CI970" s="84"/>
      <c r="CJ970" s="84"/>
      <c r="CK970" s="84"/>
      <c r="CL970" s="84"/>
    </row>
    <row r="971" spans="66:90" s="354" customFormat="1" x14ac:dyDescent="0.2">
      <c r="BN971" s="84"/>
      <c r="BO971" s="84"/>
      <c r="BP971" s="84"/>
      <c r="BQ971" s="84"/>
      <c r="BR971" s="84"/>
      <c r="BS971" s="84"/>
      <c r="BT971" s="84"/>
      <c r="BU971" s="84"/>
      <c r="BV971" s="84"/>
      <c r="BW971" s="84"/>
      <c r="BX971" s="84"/>
      <c r="BY971" s="84"/>
      <c r="BZ971" s="84"/>
      <c r="CA971" s="84"/>
      <c r="CB971" s="84"/>
      <c r="CC971" s="84"/>
      <c r="CD971" s="84"/>
      <c r="CE971" s="84"/>
      <c r="CF971" s="84"/>
      <c r="CG971" s="84"/>
      <c r="CH971" s="84"/>
      <c r="CI971" s="84"/>
      <c r="CJ971" s="84"/>
      <c r="CK971" s="84"/>
      <c r="CL971" s="84"/>
    </row>
    <row r="972" spans="66:90" s="354" customFormat="1" x14ac:dyDescent="0.2">
      <c r="BN972" s="84"/>
      <c r="BO972" s="84"/>
      <c r="BP972" s="84"/>
      <c r="BQ972" s="84"/>
      <c r="BR972" s="84"/>
      <c r="BS972" s="84"/>
      <c r="BT972" s="84"/>
      <c r="BU972" s="84"/>
      <c r="BV972" s="84"/>
      <c r="BW972" s="84"/>
      <c r="BX972" s="84"/>
      <c r="BY972" s="84"/>
      <c r="BZ972" s="84"/>
      <c r="CA972" s="84"/>
      <c r="CB972" s="84"/>
      <c r="CC972" s="84"/>
      <c r="CD972" s="84"/>
      <c r="CE972" s="84"/>
      <c r="CF972" s="84"/>
      <c r="CG972" s="84"/>
      <c r="CH972" s="84"/>
      <c r="CI972" s="84"/>
      <c r="CJ972" s="84"/>
      <c r="CK972" s="84"/>
      <c r="CL972" s="84"/>
    </row>
    <row r="973" spans="66:90" s="354" customFormat="1" x14ac:dyDescent="0.2">
      <c r="BN973" s="84"/>
      <c r="BO973" s="84"/>
      <c r="BP973" s="84"/>
      <c r="BQ973" s="84"/>
      <c r="BR973" s="84"/>
      <c r="BS973" s="84"/>
      <c r="BT973" s="84"/>
      <c r="BU973" s="84"/>
      <c r="BV973" s="84"/>
      <c r="BW973" s="84"/>
      <c r="BX973" s="84"/>
      <c r="BY973" s="84"/>
      <c r="BZ973" s="84"/>
      <c r="CA973" s="84"/>
      <c r="CB973" s="84"/>
      <c r="CC973" s="84"/>
      <c r="CD973" s="84"/>
      <c r="CE973" s="84"/>
      <c r="CF973" s="84"/>
      <c r="CG973" s="84"/>
      <c r="CH973" s="84"/>
      <c r="CI973" s="84"/>
      <c r="CJ973" s="84"/>
      <c r="CK973" s="84"/>
      <c r="CL973" s="84"/>
    </row>
    <row r="974" spans="66:90" s="354" customFormat="1" x14ac:dyDescent="0.2">
      <c r="BN974" s="84"/>
      <c r="BO974" s="84"/>
      <c r="BP974" s="84"/>
      <c r="BQ974" s="84"/>
      <c r="BR974" s="84"/>
      <c r="BS974" s="84"/>
      <c r="BT974" s="84"/>
      <c r="BU974" s="84"/>
      <c r="BV974" s="84"/>
      <c r="BW974" s="84"/>
      <c r="BX974" s="84"/>
      <c r="BY974" s="84"/>
      <c r="BZ974" s="84"/>
      <c r="CA974" s="84"/>
      <c r="CB974" s="84"/>
      <c r="CC974" s="84"/>
      <c r="CD974" s="84"/>
      <c r="CE974" s="84"/>
      <c r="CF974" s="84"/>
      <c r="CG974" s="84"/>
      <c r="CH974" s="84"/>
      <c r="CI974" s="84"/>
      <c r="CJ974" s="84"/>
      <c r="CK974" s="84"/>
      <c r="CL974" s="84"/>
    </row>
    <row r="975" spans="66:90" s="354" customFormat="1" x14ac:dyDescent="0.2">
      <c r="BN975" s="84"/>
      <c r="BO975" s="84"/>
      <c r="BP975" s="84"/>
      <c r="BQ975" s="84"/>
      <c r="BR975" s="84"/>
      <c r="BS975" s="84"/>
      <c r="BT975" s="84"/>
      <c r="BU975" s="84"/>
      <c r="BV975" s="84"/>
      <c r="BW975" s="84"/>
      <c r="BX975" s="84"/>
      <c r="BY975" s="84"/>
      <c r="BZ975" s="84"/>
      <c r="CA975" s="84"/>
      <c r="CB975" s="84"/>
      <c r="CC975" s="84"/>
      <c r="CD975" s="84"/>
      <c r="CE975" s="84"/>
      <c r="CF975" s="84"/>
      <c r="CG975" s="84"/>
      <c r="CH975" s="84"/>
      <c r="CI975" s="84"/>
      <c r="CJ975" s="84"/>
      <c r="CK975" s="84"/>
      <c r="CL975" s="84"/>
    </row>
    <row r="976" spans="66:90" s="354" customFormat="1" x14ac:dyDescent="0.2">
      <c r="BN976" s="84"/>
      <c r="BO976" s="84"/>
      <c r="BP976" s="84"/>
      <c r="BQ976" s="84"/>
      <c r="BR976" s="84"/>
      <c r="BS976" s="84"/>
      <c r="BT976" s="84"/>
      <c r="BU976" s="84"/>
      <c r="BV976" s="84"/>
      <c r="BW976" s="84"/>
      <c r="BX976" s="84"/>
      <c r="BY976" s="84"/>
      <c r="BZ976" s="84"/>
      <c r="CA976" s="84"/>
      <c r="CB976" s="84"/>
      <c r="CC976" s="84"/>
      <c r="CD976" s="84"/>
      <c r="CE976" s="84"/>
      <c r="CF976" s="84"/>
      <c r="CG976" s="84"/>
      <c r="CH976" s="84"/>
      <c r="CI976" s="84"/>
      <c r="CJ976" s="84"/>
      <c r="CK976" s="84"/>
      <c r="CL976" s="84"/>
    </row>
    <row r="977" spans="66:90" s="354" customFormat="1" x14ac:dyDescent="0.2">
      <c r="BN977" s="84"/>
      <c r="BO977" s="84"/>
      <c r="BP977" s="84"/>
      <c r="BQ977" s="84"/>
      <c r="BR977" s="84"/>
      <c r="BS977" s="84"/>
      <c r="BT977" s="84"/>
      <c r="BU977" s="84"/>
      <c r="BV977" s="84"/>
      <c r="BW977" s="84"/>
      <c r="BX977" s="84"/>
      <c r="BY977" s="84"/>
      <c r="BZ977" s="84"/>
      <c r="CA977" s="84"/>
      <c r="CB977" s="84"/>
      <c r="CC977" s="84"/>
      <c r="CD977" s="84"/>
      <c r="CE977" s="84"/>
      <c r="CF977" s="84"/>
      <c r="CG977" s="84"/>
      <c r="CH977" s="84"/>
      <c r="CI977" s="84"/>
      <c r="CJ977" s="84"/>
      <c r="CK977" s="84"/>
      <c r="CL977" s="84"/>
    </row>
    <row r="978" spans="66:90" s="354" customFormat="1" x14ac:dyDescent="0.2">
      <c r="BN978" s="84"/>
      <c r="BO978" s="84"/>
      <c r="BP978" s="84"/>
      <c r="BQ978" s="84"/>
      <c r="BR978" s="84"/>
      <c r="BS978" s="84"/>
      <c r="BT978" s="84"/>
      <c r="BU978" s="84"/>
      <c r="BV978" s="84"/>
      <c r="BW978" s="84"/>
      <c r="BX978" s="84"/>
      <c r="BY978" s="84"/>
      <c r="BZ978" s="84"/>
      <c r="CA978" s="84"/>
      <c r="CB978" s="84"/>
      <c r="CC978" s="84"/>
      <c r="CD978" s="84"/>
      <c r="CE978" s="84"/>
      <c r="CF978" s="84"/>
      <c r="CG978" s="84"/>
      <c r="CH978" s="84"/>
      <c r="CI978" s="84"/>
      <c r="CJ978" s="84"/>
      <c r="CK978" s="84"/>
      <c r="CL978" s="84"/>
    </row>
    <row r="979" spans="66:90" s="354" customFormat="1" x14ac:dyDescent="0.2">
      <c r="BN979" s="84"/>
      <c r="BO979" s="84"/>
      <c r="BP979" s="84"/>
      <c r="BQ979" s="84"/>
      <c r="BR979" s="84"/>
      <c r="BS979" s="84"/>
      <c r="BT979" s="84"/>
      <c r="BU979" s="84"/>
      <c r="BV979" s="84"/>
      <c r="BW979" s="84"/>
      <c r="BX979" s="84"/>
      <c r="BY979" s="84"/>
      <c r="BZ979" s="84"/>
      <c r="CA979" s="84"/>
      <c r="CB979" s="84"/>
      <c r="CC979" s="84"/>
      <c r="CD979" s="84"/>
      <c r="CE979" s="84"/>
      <c r="CF979" s="84"/>
      <c r="CG979" s="84"/>
      <c r="CH979" s="84"/>
      <c r="CI979" s="84"/>
      <c r="CJ979" s="84"/>
      <c r="CK979" s="84"/>
      <c r="CL979" s="84"/>
    </row>
    <row r="980" spans="66:90" s="354" customFormat="1" x14ac:dyDescent="0.2">
      <c r="BN980" s="84"/>
      <c r="BO980" s="84"/>
      <c r="BP980" s="84"/>
      <c r="BQ980" s="84"/>
      <c r="BR980" s="84"/>
      <c r="BS980" s="84"/>
      <c r="BT980" s="84"/>
      <c r="BU980" s="84"/>
      <c r="BV980" s="84"/>
      <c r="BW980" s="84"/>
      <c r="BX980" s="84"/>
      <c r="BY980" s="84"/>
      <c r="BZ980" s="84"/>
      <c r="CA980" s="84"/>
      <c r="CB980" s="84"/>
      <c r="CC980" s="84"/>
      <c r="CD980" s="84"/>
      <c r="CE980" s="84"/>
      <c r="CF980" s="84"/>
      <c r="CG980" s="84"/>
      <c r="CH980" s="84"/>
      <c r="CI980" s="84"/>
      <c r="CJ980" s="84"/>
      <c r="CK980" s="84"/>
      <c r="CL980" s="84"/>
    </row>
    <row r="981" spans="66:90" s="354" customFormat="1" x14ac:dyDescent="0.2">
      <c r="BN981" s="84"/>
      <c r="BO981" s="84"/>
      <c r="BP981" s="84"/>
      <c r="BQ981" s="84"/>
      <c r="BR981" s="84"/>
      <c r="BS981" s="84"/>
      <c r="BT981" s="84"/>
      <c r="BU981" s="84"/>
      <c r="BV981" s="84"/>
      <c r="BW981" s="84"/>
      <c r="BX981" s="84"/>
      <c r="BY981" s="84"/>
      <c r="BZ981" s="84"/>
      <c r="CA981" s="84"/>
      <c r="CB981" s="84"/>
      <c r="CC981" s="84"/>
      <c r="CD981" s="84"/>
      <c r="CE981" s="84"/>
      <c r="CF981" s="84"/>
      <c r="CG981" s="84"/>
      <c r="CH981" s="84"/>
      <c r="CI981" s="84"/>
      <c r="CJ981" s="84"/>
      <c r="CK981" s="84"/>
      <c r="CL981" s="84"/>
    </row>
    <row r="982" spans="66:90" s="354" customFormat="1" x14ac:dyDescent="0.2">
      <c r="BN982" s="84"/>
      <c r="BO982" s="84"/>
      <c r="BP982" s="84"/>
      <c r="BQ982" s="84"/>
      <c r="BR982" s="84"/>
      <c r="BS982" s="84"/>
      <c r="BT982" s="84"/>
      <c r="BU982" s="84"/>
      <c r="BV982" s="84"/>
      <c r="BW982" s="84"/>
      <c r="BX982" s="84"/>
      <c r="BY982" s="84"/>
      <c r="BZ982" s="84"/>
      <c r="CA982" s="84"/>
      <c r="CB982" s="84"/>
      <c r="CC982" s="84"/>
      <c r="CD982" s="84"/>
      <c r="CE982" s="84"/>
      <c r="CF982" s="84"/>
      <c r="CG982" s="84"/>
      <c r="CH982" s="84"/>
      <c r="CI982" s="84"/>
      <c r="CJ982" s="84"/>
      <c r="CK982" s="84"/>
      <c r="CL982" s="84"/>
    </row>
    <row r="983" spans="66:90" s="354" customFormat="1" x14ac:dyDescent="0.2">
      <c r="BN983" s="84"/>
      <c r="BO983" s="84"/>
      <c r="BP983" s="84"/>
      <c r="BQ983" s="84"/>
      <c r="BR983" s="84"/>
      <c r="BS983" s="84"/>
      <c r="BT983" s="84"/>
      <c r="BU983" s="84"/>
      <c r="BV983" s="84"/>
      <c r="BW983" s="84"/>
      <c r="BX983" s="84"/>
      <c r="BY983" s="84"/>
      <c r="BZ983" s="84"/>
      <c r="CA983" s="84"/>
      <c r="CB983" s="84"/>
      <c r="CC983" s="84"/>
      <c r="CD983" s="84"/>
      <c r="CE983" s="84"/>
      <c r="CF983" s="84"/>
      <c r="CG983" s="84"/>
      <c r="CH983" s="84"/>
      <c r="CI983" s="84"/>
      <c r="CJ983" s="84"/>
      <c r="CK983" s="84"/>
      <c r="CL983" s="84"/>
    </row>
    <row r="984" spans="66:90" s="354" customFormat="1" x14ac:dyDescent="0.2">
      <c r="BN984" s="84"/>
      <c r="BO984" s="84"/>
      <c r="BP984" s="84"/>
      <c r="BQ984" s="84"/>
      <c r="BR984" s="84"/>
      <c r="BS984" s="84"/>
      <c r="BT984" s="84"/>
      <c r="BU984" s="84"/>
      <c r="BV984" s="84"/>
      <c r="BW984" s="84"/>
      <c r="BX984" s="84"/>
      <c r="BY984" s="84"/>
      <c r="BZ984" s="84"/>
      <c r="CA984" s="84"/>
      <c r="CB984" s="84"/>
      <c r="CC984" s="84"/>
      <c r="CD984" s="84"/>
      <c r="CE984" s="84"/>
      <c r="CF984" s="84"/>
      <c r="CG984" s="84"/>
      <c r="CH984" s="84"/>
      <c r="CI984" s="84"/>
      <c r="CJ984" s="84"/>
      <c r="CK984" s="84"/>
      <c r="CL984" s="84"/>
    </row>
    <row r="985" spans="66:90" s="354" customFormat="1" x14ac:dyDescent="0.2">
      <c r="BN985" s="84"/>
      <c r="BO985" s="84"/>
      <c r="BP985" s="84"/>
      <c r="BQ985" s="84"/>
      <c r="BR985" s="84"/>
      <c r="BS985" s="84"/>
      <c r="BT985" s="84"/>
      <c r="BU985" s="84"/>
      <c r="BV985" s="84"/>
      <c r="BW985" s="84"/>
      <c r="BX985" s="84"/>
      <c r="BY985" s="84"/>
      <c r="BZ985" s="84"/>
      <c r="CA985" s="84"/>
      <c r="CB985" s="84"/>
      <c r="CC985" s="84"/>
      <c r="CD985" s="84"/>
      <c r="CE985" s="84"/>
      <c r="CF985" s="84"/>
      <c r="CG985" s="84"/>
      <c r="CH985" s="84"/>
      <c r="CI985" s="84"/>
      <c r="CJ985" s="84"/>
      <c r="CK985" s="84"/>
      <c r="CL985" s="84"/>
    </row>
    <row r="986" spans="66:90" s="354" customFormat="1" x14ac:dyDescent="0.2">
      <c r="BN986" s="84"/>
      <c r="BO986" s="84"/>
      <c r="BP986" s="84"/>
      <c r="BQ986" s="84"/>
      <c r="BR986" s="84"/>
      <c r="BS986" s="84"/>
      <c r="BT986" s="84"/>
      <c r="BU986" s="84"/>
      <c r="BV986" s="84"/>
      <c r="BW986" s="84"/>
      <c r="BX986" s="84"/>
      <c r="BY986" s="84"/>
      <c r="BZ986" s="84"/>
      <c r="CA986" s="84"/>
      <c r="CB986" s="84"/>
      <c r="CC986" s="84"/>
      <c r="CD986" s="84"/>
      <c r="CE986" s="84"/>
      <c r="CF986" s="84"/>
      <c r="CG986" s="84"/>
      <c r="CH986" s="84"/>
      <c r="CI986" s="84"/>
      <c r="CJ986" s="84"/>
      <c r="CK986" s="84"/>
      <c r="CL986" s="84"/>
    </row>
    <row r="987" spans="66:90" s="354" customFormat="1" x14ac:dyDescent="0.2">
      <c r="BN987" s="84"/>
      <c r="BO987" s="84"/>
      <c r="BP987" s="84"/>
      <c r="BQ987" s="84"/>
      <c r="BR987" s="84"/>
      <c r="BS987" s="84"/>
      <c r="BT987" s="84"/>
      <c r="BU987" s="84"/>
      <c r="BV987" s="84"/>
      <c r="BW987" s="84"/>
      <c r="BX987" s="84"/>
      <c r="BY987" s="84"/>
      <c r="BZ987" s="84"/>
      <c r="CA987" s="84"/>
      <c r="CB987" s="84"/>
      <c r="CC987" s="84"/>
      <c r="CD987" s="84"/>
      <c r="CE987" s="84"/>
      <c r="CF987" s="84"/>
      <c r="CG987" s="84"/>
      <c r="CH987" s="84"/>
      <c r="CI987" s="84"/>
      <c r="CJ987" s="84"/>
      <c r="CK987" s="84"/>
      <c r="CL987" s="84"/>
    </row>
    <row r="988" spans="66:90" s="354" customFormat="1" x14ac:dyDescent="0.2">
      <c r="BN988" s="84"/>
      <c r="BO988" s="84"/>
      <c r="BP988" s="84"/>
      <c r="BQ988" s="84"/>
      <c r="BR988" s="84"/>
      <c r="BS988" s="84"/>
      <c r="BT988" s="84"/>
      <c r="BU988" s="84"/>
      <c r="BV988" s="84"/>
      <c r="BW988" s="84"/>
      <c r="BX988" s="84"/>
      <c r="BY988" s="84"/>
      <c r="BZ988" s="84"/>
      <c r="CA988" s="84"/>
      <c r="CB988" s="84"/>
      <c r="CC988" s="84"/>
      <c r="CD988" s="84"/>
      <c r="CE988" s="84"/>
      <c r="CF988" s="84"/>
      <c r="CG988" s="84"/>
      <c r="CH988" s="84"/>
      <c r="CI988" s="84"/>
      <c r="CJ988" s="84"/>
      <c r="CK988" s="84"/>
      <c r="CL988" s="84"/>
    </row>
    <row r="989" spans="66:90" s="354" customFormat="1" x14ac:dyDescent="0.2">
      <c r="BN989" s="84"/>
      <c r="BO989" s="84"/>
      <c r="BP989" s="84"/>
      <c r="BQ989" s="84"/>
      <c r="BR989" s="84"/>
      <c r="BS989" s="84"/>
      <c r="BT989" s="84"/>
      <c r="BU989" s="84"/>
      <c r="BV989" s="84"/>
      <c r="BW989" s="84"/>
      <c r="BX989" s="84"/>
      <c r="BY989" s="84"/>
      <c r="BZ989" s="84"/>
      <c r="CA989" s="84"/>
      <c r="CB989" s="84"/>
      <c r="CC989" s="84"/>
      <c r="CD989" s="84"/>
      <c r="CE989" s="84"/>
      <c r="CF989" s="84"/>
      <c r="CG989" s="84"/>
      <c r="CH989" s="84"/>
      <c r="CI989" s="84"/>
      <c r="CJ989" s="84"/>
      <c r="CK989" s="84"/>
      <c r="CL989" s="84"/>
    </row>
    <row r="990" spans="66:90" s="354" customFormat="1" x14ac:dyDescent="0.2">
      <c r="BN990" s="84"/>
      <c r="BO990" s="84"/>
      <c r="BP990" s="84"/>
      <c r="BQ990" s="84"/>
      <c r="BR990" s="84"/>
      <c r="BS990" s="84"/>
      <c r="BT990" s="84"/>
      <c r="BU990" s="84"/>
      <c r="BV990" s="84"/>
      <c r="BW990" s="84"/>
      <c r="BX990" s="84"/>
      <c r="BY990" s="84"/>
      <c r="BZ990" s="84"/>
      <c r="CA990" s="84"/>
      <c r="CB990" s="84"/>
      <c r="CC990" s="84"/>
      <c r="CD990" s="84"/>
      <c r="CE990" s="84"/>
      <c r="CF990" s="84"/>
      <c r="CG990" s="84"/>
      <c r="CH990" s="84"/>
      <c r="CI990" s="84"/>
      <c r="CJ990" s="84"/>
      <c r="CK990" s="84"/>
      <c r="CL990" s="84"/>
    </row>
    <row r="991" spans="66:90" s="354" customFormat="1" x14ac:dyDescent="0.2">
      <c r="BN991" s="84"/>
      <c r="BO991" s="84"/>
      <c r="BP991" s="84"/>
      <c r="BQ991" s="84"/>
      <c r="BR991" s="84"/>
      <c r="BS991" s="84"/>
      <c r="BT991" s="84"/>
      <c r="BU991" s="84"/>
      <c r="BV991" s="84"/>
      <c r="BW991" s="84"/>
      <c r="BX991" s="84"/>
      <c r="BY991" s="84"/>
      <c r="BZ991" s="84"/>
      <c r="CA991" s="84"/>
      <c r="CB991" s="84"/>
      <c r="CC991" s="84"/>
      <c r="CD991" s="84"/>
      <c r="CE991" s="84"/>
      <c r="CF991" s="84"/>
      <c r="CG991" s="84"/>
      <c r="CH991" s="84"/>
      <c r="CI991" s="84"/>
      <c r="CJ991" s="84"/>
      <c r="CK991" s="84"/>
      <c r="CL991" s="84"/>
    </row>
    <row r="992" spans="66:90" s="354" customFormat="1" x14ac:dyDescent="0.2">
      <c r="BN992" s="84"/>
      <c r="BO992" s="84"/>
      <c r="BP992" s="84"/>
      <c r="BQ992" s="84"/>
      <c r="BR992" s="84"/>
      <c r="BS992" s="84"/>
      <c r="BT992" s="84"/>
      <c r="BU992" s="84"/>
      <c r="BV992" s="84"/>
      <c r="BW992" s="84"/>
      <c r="BX992" s="84"/>
      <c r="BY992" s="84"/>
      <c r="BZ992" s="84"/>
      <c r="CA992" s="84"/>
      <c r="CB992" s="84"/>
      <c r="CC992" s="84"/>
      <c r="CD992" s="84"/>
      <c r="CE992" s="84"/>
      <c r="CF992" s="84"/>
      <c r="CG992" s="84"/>
      <c r="CH992" s="84"/>
      <c r="CI992" s="84"/>
      <c r="CJ992" s="84"/>
      <c r="CK992" s="84"/>
      <c r="CL992" s="84"/>
    </row>
    <row r="993" spans="66:90" s="354" customFormat="1" x14ac:dyDescent="0.2">
      <c r="BN993" s="84"/>
      <c r="BO993" s="84"/>
      <c r="BP993" s="84"/>
      <c r="BQ993" s="84"/>
      <c r="BR993" s="84"/>
      <c r="BS993" s="84"/>
      <c r="BT993" s="84"/>
      <c r="BU993" s="84"/>
      <c r="BV993" s="84"/>
      <c r="BW993" s="84"/>
      <c r="BX993" s="84"/>
      <c r="BY993" s="84"/>
      <c r="BZ993" s="84"/>
      <c r="CA993" s="84"/>
      <c r="CB993" s="84"/>
      <c r="CC993" s="84"/>
      <c r="CD993" s="84"/>
      <c r="CE993" s="84"/>
      <c r="CF993" s="84"/>
      <c r="CG993" s="84"/>
      <c r="CH993" s="84"/>
      <c r="CI993" s="84"/>
      <c r="CJ993" s="84"/>
      <c r="CK993" s="84"/>
      <c r="CL993" s="84"/>
    </row>
    <row r="994" spans="66:90" s="354" customFormat="1" x14ac:dyDescent="0.2">
      <c r="BN994" s="84"/>
      <c r="BO994" s="84"/>
      <c r="BP994" s="84"/>
      <c r="BQ994" s="84"/>
      <c r="BR994" s="84"/>
      <c r="BS994" s="84"/>
      <c r="BT994" s="84"/>
      <c r="BU994" s="84"/>
      <c r="BV994" s="84"/>
      <c r="BW994" s="84"/>
      <c r="BX994" s="84"/>
      <c r="BY994" s="84"/>
      <c r="BZ994" s="84"/>
      <c r="CA994" s="84"/>
      <c r="CB994" s="84"/>
      <c r="CC994" s="84"/>
      <c r="CD994" s="84"/>
      <c r="CE994" s="84"/>
      <c r="CF994" s="84"/>
      <c r="CG994" s="84"/>
      <c r="CH994" s="84"/>
      <c r="CI994" s="84"/>
      <c r="CJ994" s="84"/>
      <c r="CK994" s="84"/>
      <c r="CL994" s="84"/>
    </row>
    <row r="995" spans="66:90" s="354" customFormat="1" x14ac:dyDescent="0.2">
      <c r="BN995" s="84"/>
      <c r="BO995" s="84"/>
      <c r="BP995" s="84"/>
      <c r="BQ995" s="84"/>
      <c r="BR995" s="84"/>
      <c r="BS995" s="84"/>
      <c r="BT995" s="84"/>
      <c r="BU995" s="84"/>
      <c r="BV995" s="84"/>
      <c r="BW995" s="84"/>
      <c r="BX995" s="84"/>
      <c r="BY995" s="84"/>
      <c r="BZ995" s="84"/>
      <c r="CA995" s="84"/>
      <c r="CB995" s="84"/>
      <c r="CC995" s="84"/>
      <c r="CD995" s="84"/>
      <c r="CE995" s="84"/>
      <c r="CF995" s="84"/>
      <c r="CG995" s="84"/>
      <c r="CH995" s="84"/>
      <c r="CI995" s="84"/>
      <c r="CJ995" s="84"/>
      <c r="CK995" s="84"/>
      <c r="CL995" s="84"/>
    </row>
    <row r="996" spans="66:90" s="354" customFormat="1" x14ac:dyDescent="0.2">
      <c r="BN996" s="84"/>
      <c r="BO996" s="84"/>
      <c r="BP996" s="84"/>
      <c r="BQ996" s="84"/>
      <c r="BR996" s="84"/>
      <c r="BS996" s="84"/>
      <c r="BT996" s="84"/>
      <c r="BU996" s="84"/>
      <c r="BV996" s="84"/>
      <c r="BW996" s="84"/>
      <c r="BX996" s="84"/>
      <c r="BY996" s="84"/>
      <c r="BZ996" s="84"/>
      <c r="CA996" s="84"/>
      <c r="CB996" s="84"/>
      <c r="CC996" s="84"/>
      <c r="CD996" s="84"/>
      <c r="CE996" s="84"/>
      <c r="CF996" s="84"/>
      <c r="CG996" s="84"/>
      <c r="CH996" s="84"/>
      <c r="CI996" s="84"/>
      <c r="CJ996" s="84"/>
      <c r="CK996" s="84"/>
      <c r="CL996" s="84"/>
    </row>
    <row r="997" spans="66:90" s="354" customFormat="1" x14ac:dyDescent="0.2">
      <c r="BN997" s="84"/>
      <c r="BO997" s="84"/>
      <c r="BP997" s="84"/>
      <c r="BQ997" s="84"/>
      <c r="BR997" s="84"/>
      <c r="BS997" s="84"/>
      <c r="BT997" s="84"/>
      <c r="BU997" s="84"/>
      <c r="BV997" s="84"/>
      <c r="BW997" s="84"/>
      <c r="BX997" s="84"/>
      <c r="BY997" s="84"/>
      <c r="BZ997" s="84"/>
      <c r="CA997" s="84"/>
      <c r="CB997" s="84"/>
      <c r="CC997" s="84"/>
      <c r="CD997" s="84"/>
      <c r="CE997" s="84"/>
      <c r="CF997" s="84"/>
      <c r="CG997" s="84"/>
      <c r="CH997" s="84"/>
      <c r="CI997" s="84"/>
      <c r="CJ997" s="84"/>
      <c r="CK997" s="84"/>
      <c r="CL997" s="84"/>
    </row>
    <row r="998" spans="66:90" s="354" customFormat="1" x14ac:dyDescent="0.2">
      <c r="BN998" s="84"/>
      <c r="BO998" s="84"/>
      <c r="BP998" s="84"/>
      <c r="BQ998" s="84"/>
      <c r="BR998" s="84"/>
      <c r="BS998" s="84"/>
      <c r="BT998" s="84"/>
      <c r="BU998" s="84"/>
      <c r="BV998" s="84"/>
      <c r="BW998" s="84"/>
      <c r="BX998" s="84"/>
      <c r="BY998" s="84"/>
      <c r="BZ998" s="84"/>
      <c r="CA998" s="84"/>
      <c r="CB998" s="84"/>
      <c r="CC998" s="84"/>
      <c r="CD998" s="84"/>
      <c r="CE998" s="84"/>
      <c r="CF998" s="84"/>
      <c r="CG998" s="84"/>
      <c r="CH998" s="84"/>
      <c r="CI998" s="84"/>
      <c r="CJ998" s="84"/>
      <c r="CK998" s="84"/>
      <c r="CL998" s="84"/>
    </row>
    <row r="999" spans="66:90" s="354" customFormat="1" x14ac:dyDescent="0.2">
      <c r="BN999" s="84"/>
      <c r="BO999" s="84"/>
      <c r="BP999" s="84"/>
      <c r="BQ999" s="84"/>
      <c r="BR999" s="84"/>
      <c r="BS999" s="84"/>
      <c r="BT999" s="84"/>
      <c r="BU999" s="84"/>
      <c r="BV999" s="84"/>
      <c r="BW999" s="84"/>
      <c r="BX999" s="84"/>
      <c r="BY999" s="84"/>
      <c r="BZ999" s="84"/>
      <c r="CA999" s="84"/>
      <c r="CB999" s="84"/>
      <c r="CC999" s="84"/>
      <c r="CD999" s="84"/>
      <c r="CE999" s="84"/>
      <c r="CF999" s="84"/>
      <c r="CG999" s="84"/>
      <c r="CH999" s="84"/>
      <c r="CI999" s="84"/>
      <c r="CJ999" s="84"/>
      <c r="CK999" s="84"/>
      <c r="CL999" s="84"/>
    </row>
    <row r="1000" spans="66:90" s="354" customFormat="1" x14ac:dyDescent="0.2">
      <c r="BN1000" s="84"/>
      <c r="BO1000" s="84"/>
      <c r="BP1000" s="84"/>
      <c r="BQ1000" s="84"/>
      <c r="BR1000" s="84"/>
      <c r="BS1000" s="84"/>
      <c r="BT1000" s="84"/>
      <c r="BU1000" s="84"/>
      <c r="BV1000" s="84"/>
      <c r="BW1000" s="84"/>
      <c r="BX1000" s="84"/>
      <c r="BY1000" s="84"/>
      <c r="BZ1000" s="84"/>
      <c r="CA1000" s="84"/>
      <c r="CB1000" s="84"/>
      <c r="CC1000" s="84"/>
      <c r="CD1000" s="84"/>
      <c r="CE1000" s="84"/>
      <c r="CF1000" s="84"/>
      <c r="CG1000" s="84"/>
      <c r="CH1000" s="84"/>
      <c r="CI1000" s="84"/>
      <c r="CJ1000" s="84"/>
      <c r="CK1000" s="84"/>
      <c r="CL1000" s="84"/>
    </row>
    <row r="1001" spans="66:90" s="354" customFormat="1" x14ac:dyDescent="0.2">
      <c r="BN1001" s="84"/>
      <c r="BO1001" s="84"/>
      <c r="BP1001" s="84"/>
      <c r="BQ1001" s="84"/>
      <c r="BR1001" s="84"/>
      <c r="BS1001" s="84"/>
      <c r="BT1001" s="84"/>
      <c r="BU1001" s="84"/>
      <c r="BV1001" s="84"/>
      <c r="BW1001" s="84"/>
      <c r="BX1001" s="84"/>
      <c r="BY1001" s="84"/>
      <c r="BZ1001" s="84"/>
      <c r="CA1001" s="84"/>
      <c r="CB1001" s="84"/>
      <c r="CC1001" s="84"/>
      <c r="CD1001" s="84"/>
      <c r="CE1001" s="84"/>
      <c r="CF1001" s="84"/>
      <c r="CG1001" s="84"/>
      <c r="CH1001" s="84"/>
      <c r="CI1001" s="84"/>
      <c r="CJ1001" s="84"/>
      <c r="CK1001" s="84"/>
      <c r="CL1001" s="84"/>
    </row>
    <row r="1002" spans="66:90" s="354" customFormat="1" x14ac:dyDescent="0.2">
      <c r="BN1002" s="84"/>
      <c r="BO1002" s="84"/>
      <c r="BP1002" s="84"/>
      <c r="BQ1002" s="84"/>
      <c r="BR1002" s="84"/>
      <c r="BS1002" s="84"/>
      <c r="BT1002" s="84"/>
      <c r="BU1002" s="84"/>
      <c r="BV1002" s="84"/>
      <c r="BW1002" s="84"/>
      <c r="BX1002" s="84"/>
      <c r="BY1002" s="84"/>
      <c r="BZ1002" s="84"/>
      <c r="CA1002" s="84"/>
      <c r="CB1002" s="84"/>
      <c r="CC1002" s="84"/>
      <c r="CD1002" s="84"/>
      <c r="CE1002" s="84"/>
      <c r="CF1002" s="84"/>
      <c r="CG1002" s="84"/>
      <c r="CH1002" s="84"/>
      <c r="CI1002" s="84"/>
      <c r="CJ1002" s="84"/>
      <c r="CK1002" s="84"/>
      <c r="CL1002" s="84"/>
    </row>
    <row r="1003" spans="66:90" s="354" customFormat="1" x14ac:dyDescent="0.2">
      <c r="BN1003" s="84"/>
      <c r="BO1003" s="84"/>
      <c r="BP1003" s="84"/>
      <c r="BQ1003" s="84"/>
      <c r="BR1003" s="84"/>
      <c r="BS1003" s="84"/>
      <c r="BT1003" s="84"/>
      <c r="BU1003" s="84"/>
      <c r="BV1003" s="84"/>
      <c r="BW1003" s="84"/>
      <c r="BX1003" s="84"/>
      <c r="BY1003" s="84"/>
      <c r="BZ1003" s="84"/>
      <c r="CA1003" s="84"/>
      <c r="CB1003" s="84"/>
      <c r="CC1003" s="84"/>
      <c r="CD1003" s="84"/>
      <c r="CE1003" s="84"/>
      <c r="CF1003" s="84"/>
      <c r="CG1003" s="84"/>
      <c r="CH1003" s="84"/>
      <c r="CI1003" s="84"/>
      <c r="CJ1003" s="84"/>
      <c r="CK1003" s="84"/>
      <c r="CL1003" s="84"/>
    </row>
    <row r="1004" spans="66:90" s="354" customFormat="1" x14ac:dyDescent="0.2">
      <c r="BN1004" s="84"/>
      <c r="BO1004" s="84"/>
      <c r="BP1004" s="84"/>
      <c r="BQ1004" s="84"/>
      <c r="BR1004" s="84"/>
      <c r="BS1004" s="84"/>
      <c r="BT1004" s="84"/>
      <c r="BU1004" s="84"/>
      <c r="BV1004" s="84"/>
      <c r="BW1004" s="84"/>
      <c r="BX1004" s="84"/>
      <c r="BY1004" s="84"/>
      <c r="BZ1004" s="84"/>
      <c r="CA1004" s="84"/>
      <c r="CB1004" s="84"/>
      <c r="CC1004" s="84"/>
      <c r="CD1004" s="84"/>
      <c r="CE1004" s="84"/>
      <c r="CF1004" s="84"/>
      <c r="CG1004" s="84"/>
      <c r="CH1004" s="84"/>
      <c r="CI1004" s="84"/>
      <c r="CJ1004" s="84"/>
      <c r="CK1004" s="84"/>
      <c r="CL1004" s="84"/>
    </row>
    <row r="1005" spans="66:90" s="354" customFormat="1" x14ac:dyDescent="0.2">
      <c r="BN1005" s="84"/>
      <c r="BO1005" s="84"/>
      <c r="BP1005" s="84"/>
      <c r="BQ1005" s="84"/>
      <c r="BR1005" s="84"/>
      <c r="BS1005" s="84"/>
      <c r="BT1005" s="84"/>
      <c r="BU1005" s="84"/>
      <c r="BV1005" s="84"/>
      <c r="BW1005" s="84"/>
      <c r="BX1005" s="84"/>
      <c r="BY1005" s="84"/>
      <c r="BZ1005" s="84"/>
      <c r="CA1005" s="84"/>
      <c r="CB1005" s="84"/>
      <c r="CC1005" s="84"/>
      <c r="CD1005" s="84"/>
      <c r="CE1005" s="84"/>
      <c r="CF1005" s="84"/>
      <c r="CG1005" s="84"/>
      <c r="CH1005" s="84"/>
      <c r="CI1005" s="84"/>
      <c r="CJ1005" s="84"/>
      <c r="CK1005" s="84"/>
      <c r="CL1005" s="84"/>
    </row>
    <row r="1006" spans="66:90" s="354" customFormat="1" x14ac:dyDescent="0.2">
      <c r="BN1006" s="84"/>
      <c r="BO1006" s="84"/>
      <c r="BP1006" s="84"/>
      <c r="BQ1006" s="84"/>
      <c r="BR1006" s="84"/>
      <c r="BS1006" s="84"/>
      <c r="BT1006" s="84"/>
      <c r="BU1006" s="84"/>
      <c r="BV1006" s="84"/>
      <c r="BW1006" s="84"/>
      <c r="BX1006" s="84"/>
      <c r="BY1006" s="84"/>
      <c r="BZ1006" s="84"/>
      <c r="CA1006" s="84"/>
      <c r="CB1006" s="84"/>
      <c r="CC1006" s="84"/>
      <c r="CD1006" s="84"/>
      <c r="CE1006" s="84"/>
      <c r="CF1006" s="84"/>
      <c r="CG1006" s="84"/>
      <c r="CH1006" s="84"/>
      <c r="CI1006" s="84"/>
      <c r="CJ1006" s="84"/>
      <c r="CK1006" s="84"/>
      <c r="CL1006" s="84"/>
    </row>
    <row r="1007" spans="66:90" s="354" customFormat="1" x14ac:dyDescent="0.2">
      <c r="BN1007" s="84"/>
      <c r="BO1007" s="84"/>
      <c r="BP1007" s="84"/>
      <c r="BQ1007" s="84"/>
      <c r="BR1007" s="84"/>
      <c r="BS1007" s="84"/>
      <c r="BT1007" s="84"/>
      <c r="BU1007" s="84"/>
      <c r="BV1007" s="84"/>
      <c r="BW1007" s="84"/>
      <c r="BX1007" s="84"/>
      <c r="BY1007" s="84"/>
      <c r="BZ1007" s="84"/>
      <c r="CA1007" s="84"/>
      <c r="CB1007" s="84"/>
      <c r="CC1007" s="84"/>
      <c r="CD1007" s="84"/>
      <c r="CE1007" s="84"/>
      <c r="CF1007" s="84"/>
      <c r="CG1007" s="84"/>
      <c r="CH1007" s="84"/>
      <c r="CI1007" s="84"/>
      <c r="CJ1007" s="84"/>
      <c r="CK1007" s="84"/>
      <c r="CL1007" s="84"/>
    </row>
    <row r="1008" spans="66:90" s="354" customFormat="1" x14ac:dyDescent="0.2">
      <c r="BN1008" s="84"/>
      <c r="BO1008" s="84"/>
      <c r="BP1008" s="84"/>
      <c r="BQ1008" s="84"/>
      <c r="BR1008" s="84"/>
      <c r="BS1008" s="84"/>
      <c r="BT1008" s="84"/>
      <c r="BU1008" s="84"/>
      <c r="BV1008" s="84"/>
      <c r="BW1008" s="84"/>
      <c r="BX1008" s="84"/>
      <c r="BY1008" s="84"/>
      <c r="BZ1008" s="84"/>
      <c r="CA1008" s="84"/>
      <c r="CB1008" s="84"/>
      <c r="CC1008" s="84"/>
      <c r="CD1008" s="84"/>
      <c r="CE1008" s="84"/>
      <c r="CF1008" s="84"/>
      <c r="CG1008" s="84"/>
      <c r="CH1008" s="84"/>
      <c r="CI1008" s="84"/>
      <c r="CJ1008" s="84"/>
      <c r="CK1008" s="84"/>
      <c r="CL1008" s="84"/>
    </row>
    <row r="1009" spans="66:90" s="354" customFormat="1" x14ac:dyDescent="0.2">
      <c r="BN1009" s="84"/>
      <c r="BO1009" s="84"/>
      <c r="BP1009" s="84"/>
      <c r="BQ1009" s="84"/>
      <c r="BR1009" s="84"/>
      <c r="BS1009" s="84"/>
      <c r="BT1009" s="84"/>
      <c r="BU1009" s="84"/>
      <c r="BV1009" s="84"/>
      <c r="BW1009" s="84"/>
      <c r="BX1009" s="84"/>
      <c r="BY1009" s="84"/>
      <c r="BZ1009" s="84"/>
      <c r="CA1009" s="84"/>
      <c r="CB1009" s="84"/>
      <c r="CC1009" s="84"/>
      <c r="CD1009" s="84"/>
      <c r="CE1009" s="84"/>
      <c r="CF1009" s="84"/>
      <c r="CG1009" s="84"/>
      <c r="CH1009" s="84"/>
      <c r="CI1009" s="84"/>
      <c r="CJ1009" s="84"/>
      <c r="CK1009" s="84"/>
      <c r="CL1009" s="84"/>
    </row>
    <row r="1010" spans="66:90" s="354" customFormat="1" x14ac:dyDescent="0.2">
      <c r="BN1010" s="84"/>
      <c r="BO1010" s="84"/>
      <c r="BP1010" s="84"/>
      <c r="BQ1010" s="84"/>
      <c r="BR1010" s="84"/>
      <c r="BS1010" s="84"/>
      <c r="BT1010" s="84"/>
      <c r="BU1010" s="84"/>
      <c r="BV1010" s="84"/>
      <c r="BW1010" s="84"/>
      <c r="BX1010" s="84"/>
      <c r="BY1010" s="84"/>
      <c r="BZ1010" s="84"/>
      <c r="CA1010" s="84"/>
      <c r="CB1010" s="84"/>
      <c r="CC1010" s="84"/>
      <c r="CD1010" s="84"/>
      <c r="CE1010" s="84"/>
      <c r="CF1010" s="84"/>
      <c r="CG1010" s="84"/>
      <c r="CH1010" s="84"/>
      <c r="CI1010" s="84"/>
      <c r="CJ1010" s="84"/>
      <c r="CK1010" s="84"/>
      <c r="CL1010" s="84"/>
    </row>
    <row r="1011" spans="66:90" s="354" customFormat="1" x14ac:dyDescent="0.2">
      <c r="BN1011" s="84"/>
      <c r="BO1011" s="84"/>
      <c r="BP1011" s="84"/>
      <c r="BQ1011" s="84"/>
      <c r="BR1011" s="84"/>
      <c r="BS1011" s="84"/>
      <c r="BT1011" s="84"/>
      <c r="BU1011" s="84"/>
      <c r="BV1011" s="84"/>
      <c r="BW1011" s="84"/>
      <c r="BX1011" s="84"/>
      <c r="BY1011" s="84"/>
      <c r="BZ1011" s="84"/>
      <c r="CA1011" s="84"/>
      <c r="CB1011" s="84"/>
      <c r="CC1011" s="84"/>
      <c r="CD1011" s="84"/>
      <c r="CE1011" s="84"/>
      <c r="CF1011" s="84"/>
      <c r="CG1011" s="84"/>
      <c r="CH1011" s="84"/>
      <c r="CI1011" s="84"/>
      <c r="CJ1011" s="84"/>
      <c r="CK1011" s="84"/>
      <c r="CL1011" s="84"/>
    </row>
    <row r="1012" spans="66:90" s="354" customFormat="1" x14ac:dyDescent="0.2">
      <c r="BN1012" s="84"/>
      <c r="BO1012" s="84"/>
      <c r="BP1012" s="84"/>
      <c r="BQ1012" s="84"/>
      <c r="BR1012" s="84"/>
      <c r="BS1012" s="84"/>
      <c r="BT1012" s="84"/>
      <c r="BU1012" s="84"/>
      <c r="BV1012" s="84"/>
      <c r="BW1012" s="84"/>
      <c r="BX1012" s="84"/>
      <c r="BY1012" s="84"/>
      <c r="BZ1012" s="84"/>
      <c r="CA1012" s="84"/>
      <c r="CB1012" s="84"/>
      <c r="CC1012" s="84"/>
      <c r="CD1012" s="84"/>
      <c r="CE1012" s="84"/>
      <c r="CF1012" s="84"/>
      <c r="CG1012" s="84"/>
      <c r="CH1012" s="84"/>
      <c r="CI1012" s="84"/>
      <c r="CJ1012" s="84"/>
      <c r="CK1012" s="84"/>
      <c r="CL1012" s="84"/>
    </row>
    <row r="1013" spans="66:90" s="354" customFormat="1" x14ac:dyDescent="0.2">
      <c r="BN1013" s="84"/>
      <c r="BO1013" s="84"/>
      <c r="BP1013" s="84"/>
      <c r="BQ1013" s="84"/>
      <c r="BR1013" s="84"/>
      <c r="BS1013" s="84"/>
      <c r="BT1013" s="84"/>
      <c r="BU1013" s="84"/>
      <c r="BV1013" s="84"/>
      <c r="BW1013" s="84"/>
      <c r="BX1013" s="84"/>
      <c r="BY1013" s="84"/>
      <c r="BZ1013" s="84"/>
      <c r="CA1013" s="84"/>
      <c r="CB1013" s="84"/>
      <c r="CC1013" s="84"/>
      <c r="CD1013" s="84"/>
      <c r="CE1013" s="84"/>
      <c r="CF1013" s="84"/>
      <c r="CG1013" s="84"/>
      <c r="CH1013" s="84"/>
      <c r="CI1013" s="84"/>
      <c r="CJ1013" s="84"/>
      <c r="CK1013" s="84"/>
      <c r="CL1013" s="84"/>
    </row>
    <row r="1014" spans="66:90" s="354" customFormat="1" x14ac:dyDescent="0.2">
      <c r="BN1014" s="84"/>
      <c r="BO1014" s="84"/>
      <c r="BP1014" s="84"/>
      <c r="BQ1014" s="84"/>
      <c r="BR1014" s="84"/>
      <c r="BS1014" s="84"/>
      <c r="BT1014" s="84"/>
      <c r="BU1014" s="84"/>
      <c r="BV1014" s="84"/>
      <c r="BW1014" s="84"/>
      <c r="BX1014" s="84"/>
      <c r="BY1014" s="84"/>
      <c r="BZ1014" s="84"/>
      <c r="CA1014" s="84"/>
      <c r="CB1014" s="84"/>
      <c r="CC1014" s="84"/>
      <c r="CD1014" s="84"/>
      <c r="CE1014" s="84"/>
      <c r="CF1014" s="84"/>
      <c r="CG1014" s="84"/>
      <c r="CH1014" s="84"/>
      <c r="CI1014" s="84"/>
      <c r="CJ1014" s="84"/>
      <c r="CK1014" s="84"/>
      <c r="CL1014" s="84"/>
    </row>
    <row r="1015" spans="66:90" s="354" customFormat="1" x14ac:dyDescent="0.2">
      <c r="BN1015" s="84"/>
      <c r="BO1015" s="84"/>
      <c r="BP1015" s="84"/>
      <c r="BQ1015" s="84"/>
      <c r="BR1015" s="84"/>
      <c r="BS1015" s="84"/>
      <c r="BT1015" s="84"/>
      <c r="BU1015" s="84"/>
      <c r="BV1015" s="84"/>
      <c r="BW1015" s="84"/>
      <c r="BX1015" s="84"/>
      <c r="BY1015" s="84"/>
      <c r="BZ1015" s="84"/>
      <c r="CA1015" s="84"/>
      <c r="CB1015" s="84"/>
      <c r="CC1015" s="84"/>
      <c r="CD1015" s="84"/>
      <c r="CE1015" s="84"/>
      <c r="CF1015" s="84"/>
      <c r="CG1015" s="84"/>
      <c r="CH1015" s="84"/>
      <c r="CI1015" s="84"/>
      <c r="CJ1015" s="84"/>
      <c r="CK1015" s="84"/>
      <c r="CL1015" s="84"/>
    </row>
    <row r="1016" spans="66:90" s="354" customFormat="1" x14ac:dyDescent="0.2">
      <c r="BN1016" s="84"/>
      <c r="BO1016" s="84"/>
      <c r="BP1016" s="84"/>
      <c r="BQ1016" s="84"/>
      <c r="BR1016" s="84"/>
      <c r="BS1016" s="84"/>
      <c r="BT1016" s="84"/>
      <c r="BU1016" s="84"/>
      <c r="BV1016" s="84"/>
      <c r="BW1016" s="84"/>
      <c r="BX1016" s="84"/>
      <c r="BY1016" s="84"/>
      <c r="BZ1016" s="84"/>
      <c r="CA1016" s="84"/>
      <c r="CB1016" s="84"/>
      <c r="CC1016" s="84"/>
      <c r="CD1016" s="84"/>
      <c r="CE1016" s="84"/>
      <c r="CF1016" s="84"/>
      <c r="CG1016" s="84"/>
      <c r="CH1016" s="84"/>
      <c r="CI1016" s="84"/>
      <c r="CJ1016" s="84"/>
      <c r="CK1016" s="84"/>
      <c r="CL1016" s="84"/>
    </row>
    <row r="1017" spans="66:90" s="354" customFormat="1" x14ac:dyDescent="0.2">
      <c r="BN1017" s="84"/>
      <c r="BO1017" s="84"/>
      <c r="BP1017" s="84"/>
      <c r="BQ1017" s="84"/>
      <c r="BR1017" s="84"/>
      <c r="BS1017" s="84"/>
      <c r="BT1017" s="84"/>
      <c r="BU1017" s="84"/>
      <c r="BV1017" s="84"/>
      <c r="BW1017" s="84"/>
      <c r="BX1017" s="84"/>
      <c r="BY1017" s="84"/>
      <c r="BZ1017" s="84"/>
      <c r="CA1017" s="84"/>
      <c r="CB1017" s="84"/>
      <c r="CC1017" s="84"/>
      <c r="CD1017" s="84"/>
      <c r="CE1017" s="84"/>
      <c r="CF1017" s="84"/>
      <c r="CG1017" s="84"/>
      <c r="CH1017" s="84"/>
      <c r="CI1017" s="84"/>
      <c r="CJ1017" s="84"/>
      <c r="CK1017" s="84"/>
      <c r="CL1017" s="84"/>
    </row>
    <row r="1018" spans="66:90" s="354" customFormat="1" x14ac:dyDescent="0.2">
      <c r="BN1018" s="84"/>
      <c r="BO1018" s="84"/>
      <c r="BP1018" s="84"/>
      <c r="BQ1018" s="84"/>
      <c r="BR1018" s="84"/>
      <c r="BS1018" s="84"/>
      <c r="BT1018" s="84"/>
      <c r="BU1018" s="84"/>
      <c r="BV1018" s="84"/>
      <c r="BW1018" s="84"/>
      <c r="BX1018" s="84"/>
      <c r="BY1018" s="84"/>
      <c r="BZ1018" s="84"/>
      <c r="CA1018" s="84"/>
      <c r="CB1018" s="84"/>
      <c r="CC1018" s="84"/>
      <c r="CD1018" s="84"/>
      <c r="CE1018" s="84"/>
      <c r="CF1018" s="84"/>
      <c r="CG1018" s="84"/>
      <c r="CH1018" s="84"/>
      <c r="CI1018" s="84"/>
      <c r="CJ1018" s="84"/>
      <c r="CK1018" s="84"/>
      <c r="CL1018" s="84"/>
    </row>
    <row r="1019" spans="66:90" s="354" customFormat="1" x14ac:dyDescent="0.2">
      <c r="BN1019" s="84"/>
      <c r="BO1019" s="84"/>
      <c r="BP1019" s="84"/>
      <c r="BQ1019" s="84"/>
      <c r="BR1019" s="84"/>
      <c r="BS1019" s="84"/>
      <c r="BT1019" s="84"/>
      <c r="BU1019" s="84"/>
      <c r="BV1019" s="84"/>
      <c r="BW1019" s="84"/>
      <c r="BX1019" s="84"/>
      <c r="BY1019" s="84"/>
      <c r="BZ1019" s="84"/>
      <c r="CA1019" s="84"/>
      <c r="CB1019" s="84"/>
      <c r="CC1019" s="84"/>
      <c r="CD1019" s="84"/>
      <c r="CE1019" s="84"/>
      <c r="CF1019" s="84"/>
      <c r="CG1019" s="84"/>
      <c r="CH1019" s="84"/>
      <c r="CI1019" s="84"/>
      <c r="CJ1019" s="84"/>
      <c r="CK1019" s="84"/>
      <c r="CL1019" s="84"/>
    </row>
    <row r="1020" spans="66:90" s="354" customFormat="1" x14ac:dyDescent="0.2">
      <c r="BN1020" s="84"/>
      <c r="BO1020" s="84"/>
      <c r="BP1020" s="84"/>
      <c r="BQ1020" s="84"/>
      <c r="BR1020" s="84"/>
      <c r="BS1020" s="84"/>
      <c r="BT1020" s="84"/>
      <c r="BU1020" s="84"/>
      <c r="BV1020" s="84"/>
      <c r="BW1020" s="84"/>
      <c r="BX1020" s="84"/>
      <c r="BY1020" s="84"/>
      <c r="BZ1020" s="84"/>
      <c r="CA1020" s="84"/>
      <c r="CB1020" s="84"/>
      <c r="CC1020" s="84"/>
      <c r="CD1020" s="84"/>
      <c r="CE1020" s="84"/>
      <c r="CF1020" s="84"/>
      <c r="CG1020" s="84"/>
      <c r="CH1020" s="84"/>
      <c r="CI1020" s="84"/>
      <c r="CJ1020" s="84"/>
      <c r="CK1020" s="84"/>
      <c r="CL1020" s="84"/>
    </row>
    <row r="1021" spans="66:90" s="354" customFormat="1" x14ac:dyDescent="0.2">
      <c r="BN1021" s="84"/>
      <c r="BO1021" s="84"/>
      <c r="BP1021" s="84"/>
      <c r="BQ1021" s="84"/>
      <c r="BR1021" s="84"/>
      <c r="BS1021" s="84"/>
      <c r="BT1021" s="84"/>
      <c r="BU1021" s="84"/>
      <c r="BV1021" s="84"/>
      <c r="BW1021" s="84"/>
      <c r="BX1021" s="84"/>
      <c r="BY1021" s="84"/>
      <c r="BZ1021" s="84"/>
      <c r="CA1021" s="84"/>
      <c r="CB1021" s="84"/>
      <c r="CC1021" s="84"/>
      <c r="CD1021" s="84"/>
      <c r="CE1021" s="84"/>
      <c r="CF1021" s="84"/>
      <c r="CG1021" s="84"/>
      <c r="CH1021" s="84"/>
      <c r="CI1021" s="84"/>
      <c r="CJ1021" s="84"/>
      <c r="CK1021" s="84"/>
      <c r="CL1021" s="84"/>
    </row>
    <row r="1022" spans="66:90" s="354" customFormat="1" x14ac:dyDescent="0.2">
      <c r="BN1022" s="84"/>
      <c r="BO1022" s="84"/>
      <c r="BP1022" s="84"/>
      <c r="BQ1022" s="84"/>
      <c r="BR1022" s="84"/>
      <c r="BS1022" s="84"/>
      <c r="BT1022" s="84"/>
      <c r="BU1022" s="84"/>
      <c r="BV1022" s="84"/>
      <c r="BW1022" s="84"/>
      <c r="BX1022" s="84"/>
      <c r="BY1022" s="84"/>
      <c r="BZ1022" s="84"/>
      <c r="CA1022" s="84"/>
      <c r="CB1022" s="84"/>
      <c r="CC1022" s="84"/>
      <c r="CD1022" s="84"/>
      <c r="CE1022" s="84"/>
      <c r="CF1022" s="84"/>
      <c r="CG1022" s="84"/>
      <c r="CH1022" s="84"/>
      <c r="CI1022" s="84"/>
      <c r="CJ1022" s="84"/>
      <c r="CK1022" s="84"/>
      <c r="CL1022" s="84"/>
    </row>
    <row r="1023" spans="66:90" s="354" customFormat="1" x14ac:dyDescent="0.2">
      <c r="BN1023" s="84"/>
      <c r="BO1023" s="84"/>
      <c r="BP1023" s="84"/>
      <c r="BQ1023" s="84"/>
      <c r="BR1023" s="84"/>
      <c r="BS1023" s="84"/>
      <c r="BT1023" s="84"/>
      <c r="BU1023" s="84"/>
      <c r="BV1023" s="84"/>
      <c r="BW1023" s="84"/>
      <c r="BX1023" s="84"/>
      <c r="BY1023" s="84"/>
      <c r="BZ1023" s="84"/>
      <c r="CA1023" s="84"/>
      <c r="CB1023" s="84"/>
      <c r="CC1023" s="84"/>
      <c r="CD1023" s="84"/>
      <c r="CE1023" s="84"/>
      <c r="CF1023" s="84"/>
      <c r="CG1023" s="84"/>
      <c r="CH1023" s="84"/>
      <c r="CI1023" s="84"/>
      <c r="CJ1023" s="84"/>
      <c r="CK1023" s="84"/>
      <c r="CL1023" s="84"/>
    </row>
    <row r="1024" spans="66:90" s="354" customFormat="1" x14ac:dyDescent="0.2">
      <c r="BN1024" s="84"/>
      <c r="BO1024" s="84"/>
      <c r="BP1024" s="84"/>
      <c r="BQ1024" s="84"/>
      <c r="BR1024" s="84"/>
      <c r="BS1024" s="84"/>
      <c r="BT1024" s="84"/>
      <c r="BU1024" s="84"/>
      <c r="BV1024" s="84"/>
      <c r="BW1024" s="84"/>
      <c r="BX1024" s="84"/>
      <c r="BY1024" s="84"/>
      <c r="BZ1024" s="84"/>
      <c r="CA1024" s="84"/>
      <c r="CB1024" s="84"/>
      <c r="CC1024" s="84"/>
      <c r="CD1024" s="84"/>
      <c r="CE1024" s="84"/>
      <c r="CF1024" s="84"/>
      <c r="CG1024" s="84"/>
      <c r="CH1024" s="84"/>
      <c r="CI1024" s="84"/>
      <c r="CJ1024" s="84"/>
      <c r="CK1024" s="84"/>
      <c r="CL1024" s="84"/>
    </row>
    <row r="1025" spans="66:90" s="354" customFormat="1" x14ac:dyDescent="0.2">
      <c r="BN1025" s="84"/>
      <c r="BO1025" s="84"/>
      <c r="BP1025" s="84"/>
      <c r="BQ1025" s="84"/>
      <c r="BR1025" s="84"/>
      <c r="BS1025" s="84"/>
      <c r="BT1025" s="84"/>
      <c r="BU1025" s="84"/>
      <c r="BV1025" s="84"/>
      <c r="BW1025" s="84"/>
      <c r="BX1025" s="84"/>
      <c r="BY1025" s="84"/>
      <c r="BZ1025" s="84"/>
      <c r="CA1025" s="84"/>
      <c r="CB1025" s="84"/>
      <c r="CC1025" s="84"/>
      <c r="CD1025" s="84"/>
      <c r="CE1025" s="84"/>
      <c r="CF1025" s="84"/>
      <c r="CG1025" s="84"/>
      <c r="CH1025" s="84"/>
      <c r="CI1025" s="84"/>
      <c r="CJ1025" s="84"/>
      <c r="CK1025" s="84"/>
      <c r="CL1025" s="84"/>
    </row>
    <row r="1026" spans="66:90" s="354" customFormat="1" x14ac:dyDescent="0.2">
      <c r="BN1026" s="84"/>
      <c r="BO1026" s="84"/>
      <c r="BP1026" s="84"/>
      <c r="BQ1026" s="84"/>
      <c r="BR1026" s="84"/>
      <c r="BS1026" s="84"/>
      <c r="BT1026" s="84"/>
      <c r="BU1026" s="84"/>
      <c r="BV1026" s="84"/>
      <c r="BW1026" s="84"/>
      <c r="BX1026" s="84"/>
      <c r="BY1026" s="84"/>
      <c r="BZ1026" s="84"/>
      <c r="CA1026" s="84"/>
      <c r="CB1026" s="84"/>
      <c r="CC1026" s="84"/>
      <c r="CD1026" s="84"/>
      <c r="CE1026" s="84"/>
      <c r="CF1026" s="84"/>
      <c r="CG1026" s="84"/>
      <c r="CH1026" s="84"/>
      <c r="CI1026" s="84"/>
      <c r="CJ1026" s="84"/>
      <c r="CK1026" s="84"/>
      <c r="CL1026" s="84"/>
    </row>
    <row r="1027" spans="66:90" s="354" customFormat="1" x14ac:dyDescent="0.2">
      <c r="BN1027" s="84"/>
      <c r="BO1027" s="84"/>
      <c r="BP1027" s="84"/>
      <c r="BQ1027" s="84"/>
      <c r="BR1027" s="84"/>
      <c r="BS1027" s="84"/>
      <c r="BT1027" s="84"/>
      <c r="BU1027" s="84"/>
      <c r="BV1027" s="84"/>
      <c r="BW1027" s="84"/>
      <c r="BX1027" s="84"/>
      <c r="BY1027" s="84"/>
      <c r="BZ1027" s="84"/>
      <c r="CA1027" s="84"/>
      <c r="CB1027" s="84"/>
      <c r="CC1027" s="84"/>
      <c r="CD1027" s="84"/>
      <c r="CE1027" s="84"/>
      <c r="CF1027" s="84"/>
      <c r="CG1027" s="84"/>
      <c r="CH1027" s="84"/>
      <c r="CI1027" s="84"/>
      <c r="CJ1027" s="84"/>
      <c r="CK1027" s="84"/>
      <c r="CL1027" s="84"/>
    </row>
    <row r="1028" spans="66:90" s="354" customFormat="1" x14ac:dyDescent="0.2">
      <c r="BN1028" s="84"/>
      <c r="BO1028" s="84"/>
      <c r="BP1028" s="84"/>
      <c r="BQ1028" s="84"/>
      <c r="BR1028" s="84"/>
      <c r="BS1028" s="84"/>
      <c r="BT1028" s="84"/>
      <c r="BU1028" s="84"/>
      <c r="BV1028" s="84"/>
      <c r="BW1028" s="84"/>
      <c r="BX1028" s="84"/>
      <c r="BY1028" s="84"/>
      <c r="BZ1028" s="84"/>
      <c r="CA1028" s="84"/>
      <c r="CB1028" s="84"/>
      <c r="CC1028" s="84"/>
      <c r="CD1028" s="84"/>
      <c r="CE1028" s="84"/>
      <c r="CF1028" s="84"/>
      <c r="CG1028" s="84"/>
      <c r="CH1028" s="84"/>
      <c r="CI1028" s="84"/>
      <c r="CJ1028" s="84"/>
      <c r="CK1028" s="84"/>
      <c r="CL1028" s="84"/>
    </row>
    <row r="1029" spans="66:90" s="354" customFormat="1" x14ac:dyDescent="0.2">
      <c r="BN1029" s="84"/>
      <c r="BO1029" s="84"/>
      <c r="BP1029" s="84"/>
      <c r="BQ1029" s="84"/>
      <c r="BR1029" s="84"/>
      <c r="BS1029" s="84"/>
      <c r="BT1029" s="84"/>
      <c r="BU1029" s="84"/>
      <c r="BV1029" s="84"/>
      <c r="BW1029" s="84"/>
      <c r="BX1029" s="84"/>
      <c r="BY1029" s="84"/>
      <c r="BZ1029" s="84"/>
      <c r="CA1029" s="84"/>
      <c r="CB1029" s="84"/>
      <c r="CC1029" s="84"/>
      <c r="CD1029" s="84"/>
      <c r="CE1029" s="84"/>
      <c r="CF1029" s="84"/>
      <c r="CG1029" s="84"/>
      <c r="CH1029" s="84"/>
      <c r="CI1029" s="84"/>
      <c r="CJ1029" s="84"/>
      <c r="CK1029" s="84"/>
      <c r="CL1029" s="84"/>
    </row>
    <row r="1030" spans="66:90" s="354" customFormat="1" x14ac:dyDescent="0.2">
      <c r="BN1030" s="84"/>
      <c r="BO1030" s="84"/>
      <c r="BP1030" s="84"/>
      <c r="BQ1030" s="84"/>
      <c r="BR1030" s="84"/>
      <c r="BS1030" s="84"/>
      <c r="BT1030" s="84"/>
      <c r="BU1030" s="84"/>
      <c r="BV1030" s="84"/>
      <c r="BW1030" s="84"/>
      <c r="BX1030" s="84"/>
      <c r="BY1030" s="84"/>
      <c r="BZ1030" s="84"/>
      <c r="CA1030" s="84"/>
      <c r="CB1030" s="84"/>
      <c r="CC1030" s="84"/>
      <c r="CD1030" s="84"/>
      <c r="CE1030" s="84"/>
      <c r="CF1030" s="84"/>
      <c r="CG1030" s="84"/>
      <c r="CH1030" s="84"/>
      <c r="CI1030" s="84"/>
      <c r="CJ1030" s="84"/>
      <c r="CK1030" s="84"/>
      <c r="CL1030" s="84"/>
    </row>
    <row r="1031" spans="66:90" s="354" customFormat="1" x14ac:dyDescent="0.2">
      <c r="BN1031" s="84"/>
      <c r="BO1031" s="84"/>
      <c r="BP1031" s="84"/>
      <c r="BQ1031" s="84"/>
      <c r="BR1031" s="84"/>
      <c r="BS1031" s="84"/>
      <c r="BT1031" s="84"/>
      <c r="BU1031" s="84"/>
      <c r="BV1031" s="84"/>
      <c r="BW1031" s="84"/>
      <c r="BX1031" s="84"/>
      <c r="BY1031" s="84"/>
      <c r="BZ1031" s="84"/>
      <c r="CA1031" s="84"/>
      <c r="CB1031" s="84"/>
      <c r="CC1031" s="84"/>
      <c r="CD1031" s="84"/>
      <c r="CE1031" s="84"/>
      <c r="CF1031" s="84"/>
      <c r="CG1031" s="84"/>
      <c r="CH1031" s="84"/>
      <c r="CI1031" s="84"/>
      <c r="CJ1031" s="84"/>
      <c r="CK1031" s="84"/>
      <c r="CL1031" s="84"/>
    </row>
    <row r="1032" spans="66:90" s="354" customFormat="1" x14ac:dyDescent="0.2">
      <c r="BN1032" s="84"/>
      <c r="BO1032" s="84"/>
      <c r="BP1032" s="84"/>
      <c r="BQ1032" s="84"/>
      <c r="BR1032" s="84"/>
      <c r="BS1032" s="84"/>
      <c r="BT1032" s="84"/>
      <c r="BU1032" s="84"/>
      <c r="BV1032" s="84"/>
      <c r="BW1032" s="84"/>
      <c r="BX1032" s="84"/>
      <c r="BY1032" s="84"/>
      <c r="BZ1032" s="84"/>
      <c r="CA1032" s="84"/>
      <c r="CB1032" s="84"/>
      <c r="CC1032" s="84"/>
      <c r="CD1032" s="84"/>
      <c r="CE1032" s="84"/>
      <c r="CF1032" s="84"/>
      <c r="CG1032" s="84"/>
      <c r="CH1032" s="84"/>
      <c r="CI1032" s="84"/>
      <c r="CJ1032" s="84"/>
      <c r="CK1032" s="84"/>
      <c r="CL1032" s="84"/>
    </row>
    <row r="1033" spans="66:90" s="354" customFormat="1" x14ac:dyDescent="0.2">
      <c r="BN1033" s="84"/>
      <c r="BO1033" s="84"/>
      <c r="BP1033" s="84"/>
      <c r="BQ1033" s="84"/>
      <c r="BR1033" s="84"/>
      <c r="BS1033" s="84"/>
      <c r="BT1033" s="84"/>
      <c r="BU1033" s="84"/>
      <c r="BV1033" s="84"/>
      <c r="BW1033" s="84"/>
      <c r="BX1033" s="84"/>
      <c r="BY1033" s="84"/>
      <c r="BZ1033" s="84"/>
      <c r="CA1033" s="84"/>
      <c r="CB1033" s="84"/>
      <c r="CC1033" s="84"/>
      <c r="CD1033" s="84"/>
      <c r="CE1033" s="84"/>
      <c r="CF1033" s="84"/>
      <c r="CG1033" s="84"/>
      <c r="CH1033" s="84"/>
      <c r="CI1033" s="84"/>
      <c r="CJ1033" s="84"/>
      <c r="CK1033" s="84"/>
      <c r="CL1033" s="84"/>
    </row>
    <row r="1034" spans="66:90" s="354" customFormat="1" x14ac:dyDescent="0.2">
      <c r="BN1034" s="84"/>
      <c r="BO1034" s="84"/>
      <c r="BP1034" s="84"/>
      <c r="BQ1034" s="84"/>
      <c r="BR1034" s="84"/>
      <c r="BS1034" s="84"/>
      <c r="BT1034" s="84"/>
      <c r="BU1034" s="84"/>
      <c r="BV1034" s="84"/>
      <c r="BW1034" s="84"/>
      <c r="BX1034" s="84"/>
      <c r="BY1034" s="84"/>
      <c r="BZ1034" s="84"/>
      <c r="CA1034" s="84"/>
      <c r="CB1034" s="84"/>
      <c r="CC1034" s="84"/>
      <c r="CD1034" s="84"/>
      <c r="CE1034" s="84"/>
      <c r="CF1034" s="84"/>
      <c r="CG1034" s="84"/>
      <c r="CH1034" s="84"/>
      <c r="CI1034" s="84"/>
      <c r="CJ1034" s="84"/>
      <c r="CK1034" s="84"/>
      <c r="CL1034" s="84"/>
    </row>
    <row r="1035" spans="66:90" s="354" customFormat="1" x14ac:dyDescent="0.2">
      <c r="BN1035" s="84"/>
      <c r="BO1035" s="84"/>
      <c r="BP1035" s="84"/>
      <c r="BQ1035" s="84"/>
      <c r="BR1035" s="84"/>
      <c r="BS1035" s="84"/>
      <c r="BT1035" s="84"/>
      <c r="BU1035" s="84"/>
      <c r="BV1035" s="84"/>
      <c r="BW1035" s="84"/>
      <c r="BX1035" s="84"/>
      <c r="BY1035" s="84"/>
      <c r="BZ1035" s="84"/>
      <c r="CA1035" s="84"/>
      <c r="CB1035" s="84"/>
      <c r="CC1035" s="84"/>
      <c r="CD1035" s="84"/>
      <c r="CE1035" s="84"/>
      <c r="CF1035" s="84"/>
      <c r="CG1035" s="84"/>
      <c r="CH1035" s="84"/>
      <c r="CI1035" s="84"/>
      <c r="CJ1035" s="84"/>
      <c r="CK1035" s="84"/>
      <c r="CL1035" s="84"/>
    </row>
    <row r="1036" spans="66:90" s="354" customFormat="1" x14ac:dyDescent="0.2">
      <c r="BN1036" s="84"/>
      <c r="BO1036" s="84"/>
      <c r="BP1036" s="84"/>
      <c r="BQ1036" s="84"/>
      <c r="BR1036" s="84"/>
      <c r="BS1036" s="84"/>
      <c r="BT1036" s="84"/>
      <c r="BU1036" s="84"/>
      <c r="BV1036" s="84"/>
      <c r="BW1036" s="84"/>
      <c r="BX1036" s="84"/>
      <c r="BY1036" s="84"/>
      <c r="BZ1036" s="84"/>
      <c r="CA1036" s="84"/>
      <c r="CB1036" s="84"/>
      <c r="CC1036" s="84"/>
      <c r="CD1036" s="84"/>
      <c r="CE1036" s="84"/>
      <c r="CF1036" s="84"/>
      <c r="CG1036" s="84"/>
      <c r="CH1036" s="84"/>
      <c r="CI1036" s="84"/>
      <c r="CJ1036" s="84"/>
      <c r="CK1036" s="84"/>
      <c r="CL1036" s="84"/>
    </row>
    <row r="1037" spans="66:90" s="354" customFormat="1" x14ac:dyDescent="0.2">
      <c r="BN1037" s="84"/>
      <c r="BO1037" s="84"/>
      <c r="BP1037" s="84"/>
      <c r="BQ1037" s="84"/>
      <c r="BR1037" s="84"/>
      <c r="BS1037" s="84"/>
      <c r="BT1037" s="84"/>
      <c r="BU1037" s="84"/>
      <c r="BV1037" s="84"/>
      <c r="BW1037" s="84"/>
      <c r="BX1037" s="84"/>
      <c r="BY1037" s="84"/>
      <c r="BZ1037" s="84"/>
      <c r="CA1037" s="84"/>
      <c r="CB1037" s="84"/>
      <c r="CC1037" s="84"/>
      <c r="CD1037" s="84"/>
      <c r="CE1037" s="84"/>
      <c r="CF1037" s="84"/>
      <c r="CG1037" s="84"/>
      <c r="CH1037" s="84"/>
      <c r="CI1037" s="84"/>
      <c r="CJ1037" s="84"/>
      <c r="CK1037" s="84"/>
      <c r="CL1037" s="84"/>
    </row>
    <row r="1038" spans="66:90" s="354" customFormat="1" x14ac:dyDescent="0.2">
      <c r="BN1038" s="84"/>
      <c r="BO1038" s="84"/>
      <c r="BP1038" s="84"/>
      <c r="BQ1038" s="84"/>
      <c r="BR1038" s="84"/>
      <c r="BS1038" s="84"/>
      <c r="BT1038" s="84"/>
      <c r="BU1038" s="84"/>
      <c r="BV1038" s="84"/>
      <c r="BW1038" s="84"/>
      <c r="BX1038" s="84"/>
      <c r="BY1038" s="84"/>
      <c r="BZ1038" s="84"/>
      <c r="CA1038" s="84"/>
      <c r="CB1038" s="84"/>
      <c r="CC1038" s="84"/>
      <c r="CD1038" s="84"/>
      <c r="CE1038" s="84"/>
      <c r="CF1038" s="84"/>
      <c r="CG1038" s="84"/>
      <c r="CH1038" s="84"/>
      <c r="CI1038" s="84"/>
      <c r="CJ1038" s="84"/>
      <c r="CK1038" s="84"/>
      <c r="CL1038" s="84"/>
    </row>
    <row r="1039" spans="66:90" s="354" customFormat="1" x14ac:dyDescent="0.2">
      <c r="BN1039" s="84"/>
      <c r="BO1039" s="84"/>
      <c r="BP1039" s="84"/>
      <c r="BQ1039" s="84"/>
      <c r="BR1039" s="84"/>
      <c r="BS1039" s="84"/>
      <c r="BT1039" s="84"/>
      <c r="BU1039" s="84"/>
      <c r="BV1039" s="84"/>
      <c r="BW1039" s="84"/>
      <c r="BX1039" s="84"/>
      <c r="BY1039" s="84"/>
      <c r="BZ1039" s="84"/>
      <c r="CA1039" s="84"/>
      <c r="CB1039" s="84"/>
      <c r="CC1039" s="84"/>
      <c r="CD1039" s="84"/>
      <c r="CE1039" s="84"/>
      <c r="CF1039" s="84"/>
      <c r="CG1039" s="84"/>
      <c r="CH1039" s="84"/>
      <c r="CI1039" s="84"/>
      <c r="CJ1039" s="84"/>
      <c r="CK1039" s="84"/>
      <c r="CL1039" s="84"/>
    </row>
    <row r="1040" spans="66:90" s="354" customFormat="1" x14ac:dyDescent="0.2">
      <c r="BN1040" s="84"/>
      <c r="BO1040" s="84"/>
      <c r="BP1040" s="84"/>
      <c r="BQ1040" s="84"/>
      <c r="BR1040" s="84"/>
      <c r="BS1040" s="84"/>
      <c r="BT1040" s="84"/>
      <c r="BU1040" s="84"/>
      <c r="BV1040" s="84"/>
      <c r="BW1040" s="84"/>
      <c r="BX1040" s="84"/>
      <c r="BY1040" s="84"/>
      <c r="BZ1040" s="84"/>
      <c r="CA1040" s="84"/>
      <c r="CB1040" s="84"/>
      <c r="CC1040" s="84"/>
      <c r="CD1040" s="84"/>
      <c r="CE1040" s="84"/>
      <c r="CF1040" s="84"/>
      <c r="CG1040" s="84"/>
      <c r="CH1040" s="84"/>
      <c r="CI1040" s="84"/>
      <c r="CJ1040" s="84"/>
      <c r="CK1040" s="84"/>
      <c r="CL1040" s="84"/>
    </row>
    <row r="1041" spans="66:90" s="354" customFormat="1" x14ac:dyDescent="0.2">
      <c r="BN1041" s="84"/>
      <c r="BO1041" s="84"/>
      <c r="BP1041" s="84"/>
      <c r="BQ1041" s="84"/>
      <c r="BR1041" s="84"/>
      <c r="BS1041" s="84"/>
      <c r="BT1041" s="84"/>
      <c r="BU1041" s="84"/>
      <c r="BV1041" s="84"/>
      <c r="BW1041" s="84"/>
      <c r="BX1041" s="84"/>
      <c r="BY1041" s="84"/>
      <c r="BZ1041" s="84"/>
      <c r="CA1041" s="84"/>
      <c r="CB1041" s="84"/>
      <c r="CC1041" s="84"/>
      <c r="CD1041" s="84"/>
      <c r="CE1041" s="84"/>
      <c r="CF1041" s="84"/>
      <c r="CG1041" s="84"/>
      <c r="CH1041" s="84"/>
      <c r="CI1041" s="84"/>
      <c r="CJ1041" s="84"/>
      <c r="CK1041" s="84"/>
      <c r="CL1041" s="84"/>
    </row>
    <row r="1042" spans="66:90" s="354" customFormat="1" x14ac:dyDescent="0.2">
      <c r="BN1042" s="84"/>
      <c r="BO1042" s="84"/>
      <c r="BP1042" s="84"/>
      <c r="BQ1042" s="84"/>
      <c r="BR1042" s="84"/>
      <c r="BS1042" s="84"/>
      <c r="BT1042" s="84"/>
      <c r="BU1042" s="84"/>
      <c r="BV1042" s="84"/>
      <c r="BW1042" s="84"/>
      <c r="BX1042" s="84"/>
      <c r="BY1042" s="84"/>
      <c r="BZ1042" s="84"/>
      <c r="CA1042" s="84"/>
      <c r="CB1042" s="84"/>
      <c r="CC1042" s="84"/>
      <c r="CD1042" s="84"/>
      <c r="CE1042" s="84"/>
      <c r="CF1042" s="84"/>
      <c r="CG1042" s="84"/>
      <c r="CH1042" s="84"/>
      <c r="CI1042" s="84"/>
      <c r="CJ1042" s="84"/>
      <c r="CK1042" s="84"/>
      <c r="CL1042" s="84"/>
    </row>
    <row r="1043" spans="66:90" s="354" customFormat="1" x14ac:dyDescent="0.2">
      <c r="BN1043" s="84"/>
      <c r="BO1043" s="84"/>
      <c r="BP1043" s="84"/>
      <c r="BQ1043" s="84"/>
      <c r="BR1043" s="84"/>
      <c r="BS1043" s="84"/>
      <c r="BT1043" s="84"/>
      <c r="BU1043" s="84"/>
      <c r="BV1043" s="84"/>
      <c r="BW1043" s="84"/>
      <c r="BX1043" s="84"/>
      <c r="BY1043" s="84"/>
      <c r="BZ1043" s="84"/>
      <c r="CA1043" s="84"/>
      <c r="CB1043" s="84"/>
      <c r="CC1043" s="84"/>
      <c r="CD1043" s="84"/>
      <c r="CE1043" s="84"/>
      <c r="CF1043" s="84"/>
      <c r="CG1043" s="84"/>
      <c r="CH1043" s="84"/>
      <c r="CI1043" s="84"/>
      <c r="CJ1043" s="84"/>
      <c r="CK1043" s="84"/>
      <c r="CL1043" s="84"/>
    </row>
    <row r="1044" spans="66:90" s="354" customFormat="1" x14ac:dyDescent="0.2">
      <c r="BN1044" s="84"/>
      <c r="BO1044" s="84"/>
      <c r="BP1044" s="84"/>
      <c r="BQ1044" s="84"/>
      <c r="BR1044" s="84"/>
      <c r="BS1044" s="84"/>
      <c r="BT1044" s="84"/>
      <c r="BU1044" s="84"/>
      <c r="BV1044" s="84"/>
      <c r="BW1044" s="84"/>
      <c r="BX1044" s="84"/>
      <c r="BY1044" s="84"/>
      <c r="BZ1044" s="84"/>
      <c r="CA1044" s="84"/>
      <c r="CB1044" s="84"/>
      <c r="CC1044" s="84"/>
      <c r="CD1044" s="84"/>
      <c r="CE1044" s="84"/>
      <c r="CF1044" s="84"/>
      <c r="CG1044" s="84"/>
      <c r="CH1044" s="84"/>
      <c r="CI1044" s="84"/>
      <c r="CJ1044" s="84"/>
      <c r="CK1044" s="84"/>
      <c r="CL1044" s="84"/>
    </row>
    <row r="1045" spans="66:90" s="354" customFormat="1" x14ac:dyDescent="0.2">
      <c r="BN1045" s="84"/>
      <c r="BO1045" s="84"/>
      <c r="BP1045" s="84"/>
      <c r="BQ1045" s="84"/>
      <c r="BR1045" s="84"/>
      <c r="BS1045" s="84"/>
      <c r="BT1045" s="84"/>
      <c r="BU1045" s="84"/>
      <c r="BV1045" s="84"/>
      <c r="BW1045" s="84"/>
      <c r="BX1045" s="84"/>
      <c r="BY1045" s="84"/>
      <c r="BZ1045" s="84"/>
      <c r="CA1045" s="84"/>
      <c r="CB1045" s="84"/>
      <c r="CC1045" s="84"/>
      <c r="CD1045" s="84"/>
      <c r="CE1045" s="84"/>
      <c r="CF1045" s="84"/>
      <c r="CG1045" s="84"/>
      <c r="CH1045" s="84"/>
      <c r="CI1045" s="84"/>
      <c r="CJ1045" s="84"/>
      <c r="CK1045" s="84"/>
      <c r="CL1045" s="84"/>
    </row>
    <row r="1046" spans="66:90" s="354" customFormat="1" x14ac:dyDescent="0.2">
      <c r="BN1046" s="84"/>
      <c r="BO1046" s="84"/>
      <c r="BP1046" s="84"/>
      <c r="BQ1046" s="84"/>
      <c r="BR1046" s="84"/>
      <c r="BS1046" s="84"/>
      <c r="BT1046" s="84"/>
      <c r="BU1046" s="84"/>
      <c r="BV1046" s="84"/>
      <c r="BW1046" s="84"/>
      <c r="BX1046" s="84"/>
      <c r="BY1046" s="84"/>
      <c r="BZ1046" s="84"/>
      <c r="CA1046" s="84"/>
      <c r="CB1046" s="84"/>
      <c r="CC1046" s="84"/>
      <c r="CD1046" s="84"/>
      <c r="CE1046" s="84"/>
      <c r="CF1046" s="84"/>
      <c r="CG1046" s="84"/>
      <c r="CH1046" s="84"/>
      <c r="CI1046" s="84"/>
      <c r="CJ1046" s="84"/>
      <c r="CK1046" s="84"/>
      <c r="CL1046" s="84"/>
    </row>
    <row r="1047" spans="66:90" s="354" customFormat="1" x14ac:dyDescent="0.2">
      <c r="BN1047" s="84"/>
      <c r="BO1047" s="84"/>
      <c r="BP1047" s="84"/>
      <c r="BQ1047" s="84"/>
      <c r="BR1047" s="84"/>
      <c r="BS1047" s="84"/>
      <c r="BT1047" s="84"/>
      <c r="BU1047" s="84"/>
      <c r="BV1047" s="84"/>
      <c r="BW1047" s="84"/>
      <c r="BX1047" s="84"/>
      <c r="BY1047" s="84"/>
      <c r="BZ1047" s="84"/>
      <c r="CA1047" s="84"/>
      <c r="CB1047" s="84"/>
      <c r="CC1047" s="84"/>
      <c r="CD1047" s="84"/>
      <c r="CE1047" s="84"/>
      <c r="CF1047" s="84"/>
      <c r="CG1047" s="84"/>
      <c r="CH1047" s="84"/>
      <c r="CI1047" s="84"/>
      <c r="CJ1047" s="84"/>
      <c r="CK1047" s="84"/>
      <c r="CL1047" s="84"/>
    </row>
    <row r="1048" spans="66:90" s="354" customFormat="1" x14ac:dyDescent="0.2">
      <c r="BN1048" s="84"/>
      <c r="BO1048" s="84"/>
      <c r="BP1048" s="84"/>
      <c r="BQ1048" s="84"/>
      <c r="BR1048" s="84"/>
      <c r="BS1048" s="84"/>
      <c r="BT1048" s="84"/>
      <c r="BU1048" s="84"/>
      <c r="BV1048" s="84"/>
      <c r="BW1048" s="84"/>
      <c r="BX1048" s="84"/>
      <c r="BY1048" s="84"/>
      <c r="BZ1048" s="84"/>
      <c r="CA1048" s="84"/>
      <c r="CB1048" s="84"/>
      <c r="CC1048" s="84"/>
      <c r="CD1048" s="84"/>
      <c r="CE1048" s="84"/>
      <c r="CF1048" s="84"/>
      <c r="CG1048" s="84"/>
      <c r="CH1048" s="84"/>
      <c r="CI1048" s="84"/>
      <c r="CJ1048" s="84"/>
      <c r="CK1048" s="84"/>
      <c r="CL1048" s="84"/>
    </row>
    <row r="1049" spans="66:90" s="354" customFormat="1" x14ac:dyDescent="0.2">
      <c r="BN1049" s="84"/>
      <c r="BO1049" s="84"/>
      <c r="BP1049" s="84"/>
      <c r="BQ1049" s="84"/>
      <c r="BR1049" s="84"/>
      <c r="BS1049" s="84"/>
      <c r="BT1049" s="84"/>
      <c r="BU1049" s="84"/>
      <c r="BV1049" s="84"/>
      <c r="BW1049" s="84"/>
      <c r="BX1049" s="84"/>
      <c r="BY1049" s="84"/>
      <c r="BZ1049" s="84"/>
      <c r="CA1049" s="84"/>
      <c r="CB1049" s="84"/>
      <c r="CC1049" s="84"/>
      <c r="CD1049" s="84"/>
      <c r="CE1049" s="84"/>
      <c r="CF1049" s="84"/>
      <c r="CG1049" s="84"/>
      <c r="CH1049" s="84"/>
      <c r="CI1049" s="84"/>
      <c r="CJ1049" s="84"/>
      <c r="CK1049" s="84"/>
      <c r="CL1049" s="84"/>
    </row>
    <row r="1050" spans="66:90" s="354" customFormat="1" x14ac:dyDescent="0.2">
      <c r="BN1050" s="84"/>
      <c r="BO1050" s="84"/>
      <c r="BP1050" s="84"/>
      <c r="BQ1050" s="84"/>
      <c r="BR1050" s="84"/>
      <c r="BS1050" s="84"/>
      <c r="BT1050" s="84"/>
      <c r="BU1050" s="84"/>
      <c r="BV1050" s="84"/>
      <c r="BW1050" s="84"/>
      <c r="BX1050" s="84"/>
      <c r="BY1050" s="84"/>
      <c r="BZ1050" s="84"/>
      <c r="CA1050" s="84"/>
      <c r="CB1050" s="84"/>
      <c r="CC1050" s="84"/>
      <c r="CD1050" s="84"/>
      <c r="CE1050" s="84"/>
      <c r="CF1050" s="84"/>
      <c r="CG1050" s="84"/>
      <c r="CH1050" s="84"/>
      <c r="CI1050" s="84"/>
      <c r="CJ1050" s="84"/>
      <c r="CK1050" s="84"/>
      <c r="CL1050" s="84"/>
    </row>
    <row r="1051" spans="66:90" s="354" customFormat="1" x14ac:dyDescent="0.2">
      <c r="BN1051" s="84"/>
      <c r="BO1051" s="84"/>
      <c r="BP1051" s="84"/>
      <c r="BQ1051" s="84"/>
      <c r="BR1051" s="84"/>
      <c r="BS1051" s="84"/>
      <c r="BT1051" s="84"/>
      <c r="BU1051" s="84"/>
      <c r="BV1051" s="84"/>
      <c r="BW1051" s="84"/>
      <c r="BX1051" s="84"/>
      <c r="BY1051" s="84"/>
      <c r="BZ1051" s="84"/>
      <c r="CA1051" s="84"/>
      <c r="CB1051" s="84"/>
      <c r="CC1051" s="84"/>
      <c r="CD1051" s="84"/>
      <c r="CE1051" s="84"/>
      <c r="CF1051" s="84"/>
      <c r="CG1051" s="84"/>
      <c r="CH1051" s="84"/>
      <c r="CI1051" s="84"/>
      <c r="CJ1051" s="84"/>
      <c r="CK1051" s="84"/>
      <c r="CL1051" s="84"/>
    </row>
    <row r="1052" spans="66:90" s="354" customFormat="1" x14ac:dyDescent="0.2">
      <c r="BN1052" s="84"/>
      <c r="BO1052" s="84"/>
      <c r="BP1052" s="84"/>
      <c r="BQ1052" s="84"/>
      <c r="BR1052" s="84"/>
      <c r="BS1052" s="84"/>
      <c r="BT1052" s="84"/>
      <c r="BU1052" s="84"/>
      <c r="BV1052" s="84"/>
      <c r="BW1052" s="84"/>
      <c r="BX1052" s="84"/>
      <c r="BY1052" s="84"/>
      <c r="BZ1052" s="84"/>
      <c r="CA1052" s="84"/>
      <c r="CB1052" s="84"/>
      <c r="CC1052" s="84"/>
      <c r="CD1052" s="84"/>
      <c r="CE1052" s="84"/>
      <c r="CF1052" s="84"/>
      <c r="CG1052" s="84"/>
      <c r="CH1052" s="84"/>
      <c r="CI1052" s="84"/>
      <c r="CJ1052" s="84"/>
      <c r="CK1052" s="84"/>
      <c r="CL1052" s="84"/>
    </row>
    <row r="1053" spans="66:90" s="354" customFormat="1" x14ac:dyDescent="0.2">
      <c r="BN1053" s="84"/>
      <c r="BO1053" s="84"/>
      <c r="BP1053" s="84"/>
      <c r="BQ1053" s="84"/>
      <c r="BR1053" s="84"/>
      <c r="BS1053" s="84"/>
      <c r="BT1053" s="84"/>
      <c r="BU1053" s="84"/>
      <c r="BV1053" s="84"/>
      <c r="BW1053" s="84"/>
      <c r="BX1053" s="84"/>
      <c r="BY1053" s="84"/>
      <c r="BZ1053" s="84"/>
      <c r="CA1053" s="84"/>
      <c r="CB1053" s="84"/>
      <c r="CC1053" s="84"/>
      <c r="CD1053" s="84"/>
      <c r="CE1053" s="84"/>
      <c r="CF1053" s="84"/>
      <c r="CG1053" s="84"/>
      <c r="CH1053" s="84"/>
      <c r="CI1053" s="84"/>
      <c r="CJ1053" s="84"/>
      <c r="CK1053" s="84"/>
      <c r="CL1053" s="84"/>
    </row>
    <row r="1054" spans="66:90" s="354" customFormat="1" x14ac:dyDescent="0.2">
      <c r="BN1054" s="84"/>
      <c r="BO1054" s="84"/>
      <c r="BP1054" s="84"/>
      <c r="BQ1054" s="84"/>
      <c r="BR1054" s="84"/>
      <c r="BS1054" s="84"/>
      <c r="BT1054" s="84"/>
      <c r="BU1054" s="84"/>
      <c r="BV1054" s="84"/>
      <c r="BW1054" s="84"/>
      <c r="BX1054" s="84"/>
      <c r="BY1054" s="84"/>
      <c r="BZ1054" s="84"/>
      <c r="CA1054" s="84"/>
      <c r="CB1054" s="84"/>
      <c r="CC1054" s="84"/>
      <c r="CD1054" s="84"/>
      <c r="CE1054" s="84"/>
      <c r="CF1054" s="84"/>
      <c r="CG1054" s="84"/>
      <c r="CH1054" s="84"/>
      <c r="CI1054" s="84"/>
      <c r="CJ1054" s="84"/>
      <c r="CK1054" s="84"/>
      <c r="CL1054" s="84"/>
    </row>
    <row r="1055" spans="66:90" s="354" customFormat="1" x14ac:dyDescent="0.2">
      <c r="BN1055" s="84"/>
      <c r="BO1055" s="84"/>
      <c r="BP1055" s="84"/>
      <c r="BQ1055" s="84"/>
      <c r="BR1055" s="84"/>
      <c r="BS1055" s="84"/>
      <c r="BT1055" s="84"/>
      <c r="BU1055" s="84"/>
      <c r="BV1055" s="84"/>
      <c r="BW1055" s="84"/>
      <c r="BX1055" s="84"/>
      <c r="BY1055" s="84"/>
      <c r="BZ1055" s="84"/>
      <c r="CA1055" s="84"/>
      <c r="CB1055" s="84"/>
      <c r="CC1055" s="84"/>
      <c r="CD1055" s="84"/>
      <c r="CE1055" s="84"/>
      <c r="CF1055" s="84"/>
      <c r="CG1055" s="84"/>
      <c r="CH1055" s="84"/>
      <c r="CI1055" s="84"/>
      <c r="CJ1055" s="84"/>
      <c r="CK1055" s="84"/>
      <c r="CL1055" s="84"/>
    </row>
    <row r="1056" spans="66:90" s="354" customFormat="1" x14ac:dyDescent="0.2">
      <c r="BN1056" s="84"/>
      <c r="BO1056" s="84"/>
      <c r="BP1056" s="84"/>
      <c r="BQ1056" s="84"/>
      <c r="BR1056" s="84"/>
      <c r="BS1056" s="84"/>
      <c r="BT1056" s="84"/>
      <c r="BU1056" s="84"/>
      <c r="BV1056" s="84"/>
      <c r="BW1056" s="84"/>
      <c r="BX1056" s="84"/>
      <c r="BY1056" s="84"/>
      <c r="BZ1056" s="84"/>
      <c r="CA1056" s="84"/>
      <c r="CB1056" s="84"/>
      <c r="CC1056" s="84"/>
      <c r="CD1056" s="84"/>
      <c r="CE1056" s="84"/>
      <c r="CF1056" s="84"/>
      <c r="CG1056" s="84"/>
      <c r="CH1056" s="84"/>
      <c r="CI1056" s="84"/>
      <c r="CJ1056" s="84"/>
      <c r="CK1056" s="84"/>
      <c r="CL1056" s="84"/>
    </row>
    <row r="1057" spans="66:90" s="354" customFormat="1" x14ac:dyDescent="0.2">
      <c r="BN1057" s="84"/>
      <c r="BO1057" s="84"/>
      <c r="BP1057" s="84"/>
      <c r="BQ1057" s="84"/>
      <c r="BR1057" s="84"/>
      <c r="BS1057" s="84"/>
      <c r="BT1057" s="84"/>
      <c r="BU1057" s="84"/>
      <c r="BV1057" s="84"/>
      <c r="BW1057" s="84"/>
      <c r="BX1057" s="84"/>
      <c r="BY1057" s="84"/>
      <c r="BZ1057" s="84"/>
      <c r="CA1057" s="84"/>
      <c r="CB1057" s="84"/>
      <c r="CC1057" s="84"/>
      <c r="CD1057" s="84"/>
      <c r="CE1057" s="84"/>
      <c r="CF1057" s="84"/>
      <c r="CG1057" s="84"/>
      <c r="CH1057" s="84"/>
      <c r="CI1057" s="84"/>
      <c r="CJ1057" s="84"/>
      <c r="CK1057" s="84"/>
      <c r="CL1057" s="84"/>
    </row>
    <row r="1058" spans="66:90" s="354" customFormat="1" x14ac:dyDescent="0.2">
      <c r="BN1058" s="84"/>
      <c r="BO1058" s="84"/>
      <c r="BP1058" s="84"/>
      <c r="BQ1058" s="84"/>
      <c r="BR1058" s="84"/>
      <c r="BS1058" s="84"/>
      <c r="BT1058" s="84"/>
      <c r="BU1058" s="84"/>
      <c r="BV1058" s="84"/>
      <c r="BW1058" s="84"/>
      <c r="BX1058" s="84"/>
      <c r="BY1058" s="84"/>
      <c r="BZ1058" s="84"/>
      <c r="CA1058" s="84"/>
      <c r="CB1058" s="84"/>
      <c r="CC1058" s="84"/>
      <c r="CD1058" s="84"/>
      <c r="CE1058" s="84"/>
      <c r="CF1058" s="84"/>
      <c r="CG1058" s="84"/>
      <c r="CH1058" s="84"/>
      <c r="CI1058" s="84"/>
      <c r="CJ1058" s="84"/>
      <c r="CK1058" s="84"/>
      <c r="CL1058" s="84"/>
    </row>
    <row r="1059" spans="66:90" s="354" customFormat="1" x14ac:dyDescent="0.2">
      <c r="BN1059" s="84"/>
      <c r="BO1059" s="84"/>
      <c r="BP1059" s="84"/>
      <c r="BQ1059" s="84"/>
      <c r="BR1059" s="84"/>
      <c r="BS1059" s="84"/>
      <c r="BT1059" s="84"/>
      <c r="BU1059" s="84"/>
      <c r="BV1059" s="84"/>
      <c r="BW1059" s="84"/>
      <c r="BX1059" s="84"/>
      <c r="BY1059" s="84"/>
      <c r="BZ1059" s="84"/>
      <c r="CA1059" s="84"/>
      <c r="CB1059" s="84"/>
      <c r="CC1059" s="84"/>
      <c r="CD1059" s="84"/>
      <c r="CE1059" s="84"/>
      <c r="CF1059" s="84"/>
      <c r="CG1059" s="84"/>
      <c r="CH1059" s="84"/>
      <c r="CI1059" s="84"/>
      <c r="CJ1059" s="84"/>
      <c r="CK1059" s="84"/>
      <c r="CL1059" s="84"/>
    </row>
    <row r="1060" spans="66:90" s="354" customFormat="1" x14ac:dyDescent="0.2">
      <c r="BN1060" s="84"/>
      <c r="BO1060" s="84"/>
      <c r="BP1060" s="84"/>
      <c r="BQ1060" s="84"/>
      <c r="BR1060" s="84"/>
      <c r="BS1060" s="84"/>
      <c r="BT1060" s="84"/>
      <c r="BU1060" s="84"/>
      <c r="BV1060" s="84"/>
      <c r="BW1060" s="84"/>
      <c r="BX1060" s="84"/>
      <c r="BY1060" s="84"/>
      <c r="BZ1060" s="84"/>
      <c r="CA1060" s="84"/>
      <c r="CB1060" s="84"/>
      <c r="CC1060" s="84"/>
      <c r="CD1060" s="84"/>
      <c r="CE1060" s="84"/>
      <c r="CF1060" s="84"/>
      <c r="CG1060" s="84"/>
      <c r="CH1060" s="84"/>
      <c r="CI1060" s="84"/>
      <c r="CJ1060" s="84"/>
      <c r="CK1060" s="84"/>
      <c r="CL1060" s="84"/>
    </row>
    <row r="1061" spans="66:90" s="354" customFormat="1" x14ac:dyDescent="0.2">
      <c r="BN1061" s="84"/>
      <c r="BO1061" s="84"/>
      <c r="BP1061" s="84"/>
      <c r="BQ1061" s="84"/>
      <c r="BR1061" s="84"/>
      <c r="BS1061" s="84"/>
      <c r="BT1061" s="84"/>
      <c r="BU1061" s="84"/>
      <c r="BV1061" s="84"/>
      <c r="BW1061" s="84"/>
      <c r="BX1061" s="84"/>
      <c r="BY1061" s="84"/>
      <c r="BZ1061" s="84"/>
      <c r="CA1061" s="84"/>
      <c r="CB1061" s="84"/>
      <c r="CC1061" s="84"/>
      <c r="CD1061" s="84"/>
      <c r="CE1061" s="84"/>
      <c r="CF1061" s="84"/>
      <c r="CG1061" s="84"/>
      <c r="CH1061" s="84"/>
      <c r="CI1061" s="84"/>
      <c r="CJ1061" s="84"/>
      <c r="CK1061" s="84"/>
      <c r="CL1061" s="84"/>
    </row>
    <row r="1062" spans="66:90" s="354" customFormat="1" x14ac:dyDescent="0.2">
      <c r="BN1062" s="84"/>
      <c r="BO1062" s="84"/>
      <c r="BP1062" s="84"/>
      <c r="BQ1062" s="84"/>
      <c r="BR1062" s="84"/>
      <c r="BS1062" s="84"/>
      <c r="BT1062" s="84"/>
      <c r="BU1062" s="84"/>
      <c r="BV1062" s="84"/>
      <c r="BW1062" s="84"/>
      <c r="BX1062" s="84"/>
      <c r="BY1062" s="84"/>
      <c r="BZ1062" s="84"/>
      <c r="CA1062" s="84"/>
      <c r="CB1062" s="84"/>
      <c r="CC1062" s="84"/>
      <c r="CD1062" s="84"/>
      <c r="CE1062" s="84"/>
      <c r="CF1062" s="84"/>
      <c r="CG1062" s="84"/>
      <c r="CH1062" s="84"/>
      <c r="CI1062" s="84"/>
      <c r="CJ1062" s="84"/>
      <c r="CK1062" s="84"/>
      <c r="CL1062" s="84"/>
    </row>
    <row r="1063" spans="66:90" s="354" customFormat="1" x14ac:dyDescent="0.2">
      <c r="BN1063" s="84"/>
      <c r="BO1063" s="84"/>
      <c r="BP1063" s="84"/>
      <c r="BQ1063" s="84"/>
      <c r="BR1063" s="84"/>
      <c r="BS1063" s="84"/>
      <c r="BT1063" s="84"/>
      <c r="BU1063" s="84"/>
      <c r="BV1063" s="84"/>
      <c r="BW1063" s="84"/>
      <c r="BX1063" s="84"/>
      <c r="BY1063" s="84"/>
      <c r="BZ1063" s="84"/>
      <c r="CA1063" s="84"/>
      <c r="CB1063" s="84"/>
      <c r="CC1063" s="84"/>
      <c r="CD1063" s="84"/>
      <c r="CE1063" s="84"/>
      <c r="CF1063" s="84"/>
      <c r="CG1063" s="84"/>
      <c r="CH1063" s="84"/>
      <c r="CI1063" s="84"/>
      <c r="CJ1063" s="84"/>
      <c r="CK1063" s="84"/>
      <c r="CL1063" s="84"/>
    </row>
    <row r="1064" spans="66:90" s="354" customFormat="1" x14ac:dyDescent="0.2">
      <c r="BN1064" s="84"/>
      <c r="BO1064" s="84"/>
      <c r="BP1064" s="84"/>
      <c r="BQ1064" s="84"/>
      <c r="BR1064" s="84"/>
      <c r="BS1064" s="84"/>
      <c r="BT1064" s="84"/>
      <c r="BU1064" s="84"/>
      <c r="BV1064" s="84"/>
      <c r="BW1064" s="84"/>
      <c r="BX1064" s="84"/>
      <c r="BY1064" s="84"/>
      <c r="BZ1064" s="84"/>
      <c r="CA1064" s="84"/>
      <c r="CB1064" s="84"/>
      <c r="CC1064" s="84"/>
      <c r="CD1064" s="84"/>
      <c r="CE1064" s="84"/>
      <c r="CF1064" s="84"/>
      <c r="CG1064" s="84"/>
      <c r="CH1064" s="84"/>
      <c r="CI1064" s="84"/>
      <c r="CJ1064" s="84"/>
      <c r="CK1064" s="84"/>
      <c r="CL1064" s="84"/>
    </row>
    <row r="1065" spans="66:90" s="354" customFormat="1" x14ac:dyDescent="0.2">
      <c r="BN1065" s="84"/>
      <c r="BO1065" s="84"/>
      <c r="BP1065" s="84"/>
      <c r="BQ1065" s="84"/>
      <c r="BR1065" s="84"/>
      <c r="BS1065" s="84"/>
      <c r="BT1065" s="84"/>
      <c r="BU1065" s="84"/>
      <c r="BV1065" s="84"/>
      <c r="BW1065" s="84"/>
      <c r="BX1065" s="84"/>
      <c r="BY1065" s="84"/>
      <c r="BZ1065" s="84"/>
      <c r="CA1065" s="84"/>
      <c r="CB1065" s="84"/>
      <c r="CC1065" s="84"/>
      <c r="CD1065" s="84"/>
      <c r="CE1065" s="84"/>
      <c r="CF1065" s="84"/>
      <c r="CG1065" s="84"/>
      <c r="CH1065" s="84"/>
      <c r="CI1065" s="84"/>
      <c r="CJ1065" s="84"/>
      <c r="CK1065" s="84"/>
      <c r="CL1065" s="84"/>
    </row>
    <row r="1066" spans="66:90" s="354" customFormat="1" x14ac:dyDescent="0.2">
      <c r="BN1066" s="84"/>
      <c r="BO1066" s="84"/>
      <c r="BP1066" s="84"/>
      <c r="BQ1066" s="84"/>
      <c r="BR1066" s="84"/>
      <c r="BS1066" s="84"/>
      <c r="BT1066" s="84"/>
      <c r="BU1066" s="84"/>
      <c r="BV1066" s="84"/>
      <c r="BW1066" s="84"/>
      <c r="BX1066" s="84"/>
      <c r="BY1066" s="84"/>
      <c r="BZ1066" s="84"/>
      <c r="CA1066" s="84"/>
      <c r="CB1066" s="84"/>
      <c r="CC1066" s="84"/>
      <c r="CD1066" s="84"/>
      <c r="CE1066" s="84"/>
      <c r="CF1066" s="84"/>
      <c r="CG1066" s="84"/>
      <c r="CH1066" s="84"/>
      <c r="CI1066" s="84"/>
      <c r="CJ1066" s="84"/>
      <c r="CK1066" s="84"/>
      <c r="CL1066" s="84"/>
    </row>
    <row r="1067" spans="66:90" s="354" customFormat="1" x14ac:dyDescent="0.2">
      <c r="BN1067" s="84"/>
      <c r="BO1067" s="84"/>
      <c r="BP1067" s="84"/>
      <c r="BQ1067" s="84"/>
      <c r="BR1067" s="84"/>
      <c r="BS1067" s="84"/>
      <c r="BT1067" s="84"/>
      <c r="BU1067" s="84"/>
      <c r="BV1067" s="84"/>
      <c r="BW1067" s="84"/>
      <c r="BX1067" s="84"/>
      <c r="BY1067" s="84"/>
      <c r="BZ1067" s="84"/>
      <c r="CA1067" s="84"/>
      <c r="CB1067" s="84"/>
      <c r="CC1067" s="84"/>
      <c r="CD1067" s="84"/>
      <c r="CE1067" s="84"/>
      <c r="CF1067" s="84"/>
      <c r="CG1067" s="84"/>
      <c r="CH1067" s="84"/>
      <c r="CI1067" s="84"/>
      <c r="CJ1067" s="84"/>
      <c r="CK1067" s="84"/>
      <c r="CL1067" s="84"/>
    </row>
    <row r="1068" spans="66:90" s="354" customFormat="1" x14ac:dyDescent="0.2">
      <c r="BN1068" s="84"/>
      <c r="BO1068" s="84"/>
      <c r="BP1068" s="84"/>
      <c r="BQ1068" s="84"/>
      <c r="BR1068" s="84"/>
      <c r="BS1068" s="84"/>
      <c r="BT1068" s="84"/>
      <c r="BU1068" s="84"/>
      <c r="BV1068" s="84"/>
      <c r="BW1068" s="84"/>
      <c r="BX1068" s="84"/>
      <c r="BY1068" s="84"/>
      <c r="BZ1068" s="84"/>
      <c r="CA1068" s="84"/>
      <c r="CB1068" s="84"/>
      <c r="CC1068" s="84"/>
      <c r="CD1068" s="84"/>
      <c r="CE1068" s="84"/>
      <c r="CF1068" s="84"/>
      <c r="CG1068" s="84"/>
      <c r="CH1068" s="84"/>
      <c r="CI1068" s="84"/>
      <c r="CJ1068" s="84"/>
      <c r="CK1068" s="84"/>
      <c r="CL1068" s="84"/>
    </row>
    <row r="1069" spans="66:90" s="354" customFormat="1" x14ac:dyDescent="0.2">
      <c r="BN1069" s="84"/>
      <c r="BO1069" s="84"/>
      <c r="BP1069" s="84"/>
      <c r="BQ1069" s="84"/>
      <c r="BR1069" s="84"/>
      <c r="BS1069" s="84"/>
      <c r="BT1069" s="84"/>
      <c r="BU1069" s="84"/>
      <c r="BV1069" s="84"/>
      <c r="BW1069" s="84"/>
      <c r="BX1069" s="84"/>
      <c r="BY1069" s="84"/>
      <c r="BZ1069" s="84"/>
      <c r="CA1069" s="84"/>
      <c r="CB1069" s="84"/>
      <c r="CC1069" s="84"/>
      <c r="CD1069" s="84"/>
      <c r="CE1069" s="84"/>
      <c r="CF1069" s="84"/>
      <c r="CG1069" s="84"/>
      <c r="CH1069" s="84"/>
      <c r="CI1069" s="84"/>
      <c r="CJ1069" s="84"/>
      <c r="CK1069" s="84"/>
      <c r="CL1069" s="84"/>
    </row>
    <row r="1070" spans="66:90" s="354" customFormat="1" x14ac:dyDescent="0.2">
      <c r="BN1070" s="84"/>
      <c r="BO1070" s="84"/>
      <c r="BP1070" s="84"/>
      <c r="BQ1070" s="84"/>
      <c r="BR1070" s="84"/>
      <c r="BS1070" s="84"/>
      <c r="BT1070" s="84"/>
      <c r="BU1070" s="84"/>
      <c r="BV1070" s="84"/>
      <c r="BW1070" s="84"/>
      <c r="BX1070" s="84"/>
      <c r="BY1070" s="84"/>
      <c r="BZ1070" s="84"/>
      <c r="CA1070" s="84"/>
      <c r="CB1070" s="84"/>
      <c r="CC1070" s="84"/>
      <c r="CD1070" s="84"/>
      <c r="CE1070" s="84"/>
      <c r="CF1070" s="84"/>
      <c r="CG1070" s="84"/>
      <c r="CH1070" s="84"/>
      <c r="CI1070" s="84"/>
      <c r="CJ1070" s="84"/>
      <c r="CK1070" s="84"/>
      <c r="CL1070" s="84"/>
    </row>
    <row r="1071" spans="66:90" s="354" customFormat="1" x14ac:dyDescent="0.2">
      <c r="BN1071" s="84"/>
      <c r="BO1071" s="84"/>
      <c r="BP1071" s="84"/>
      <c r="BQ1071" s="84"/>
      <c r="BR1071" s="84"/>
      <c r="BS1071" s="84"/>
      <c r="BT1071" s="84"/>
      <c r="BU1071" s="84"/>
      <c r="BV1071" s="84"/>
      <c r="BW1071" s="84"/>
      <c r="BX1071" s="84"/>
      <c r="BY1071" s="84"/>
      <c r="BZ1071" s="84"/>
      <c r="CA1071" s="84"/>
      <c r="CB1071" s="84"/>
      <c r="CC1071" s="84"/>
      <c r="CD1071" s="84"/>
      <c r="CE1071" s="84"/>
      <c r="CF1071" s="84"/>
      <c r="CG1071" s="84"/>
      <c r="CH1071" s="84"/>
      <c r="CI1071" s="84"/>
      <c r="CJ1071" s="84"/>
      <c r="CK1071" s="84"/>
      <c r="CL1071" s="84"/>
    </row>
    <row r="1072" spans="66:90" s="354" customFormat="1" x14ac:dyDescent="0.2">
      <c r="BN1072" s="84"/>
      <c r="BO1072" s="84"/>
      <c r="BP1072" s="84"/>
      <c r="BQ1072" s="84"/>
      <c r="BR1072" s="84"/>
      <c r="BS1072" s="84"/>
      <c r="BT1072" s="84"/>
      <c r="BU1072" s="84"/>
      <c r="BV1072" s="84"/>
      <c r="BW1072" s="84"/>
      <c r="BX1072" s="84"/>
      <c r="BY1072" s="84"/>
      <c r="BZ1072" s="84"/>
      <c r="CA1072" s="84"/>
      <c r="CB1072" s="84"/>
      <c r="CC1072" s="84"/>
      <c r="CD1072" s="84"/>
      <c r="CE1072" s="84"/>
      <c r="CF1072" s="84"/>
      <c r="CG1072" s="84"/>
      <c r="CH1072" s="84"/>
      <c r="CI1072" s="84"/>
      <c r="CJ1072" s="84"/>
      <c r="CK1072" s="84"/>
      <c r="CL1072" s="84"/>
    </row>
    <row r="1073" spans="66:90" s="354" customFormat="1" x14ac:dyDescent="0.2">
      <c r="BN1073" s="84"/>
      <c r="BO1073" s="84"/>
      <c r="BP1073" s="84"/>
      <c r="BQ1073" s="84"/>
      <c r="BR1073" s="84"/>
      <c r="BS1073" s="84"/>
      <c r="BT1073" s="84"/>
      <c r="BU1073" s="84"/>
      <c r="BV1073" s="84"/>
      <c r="BW1073" s="84"/>
      <c r="BX1073" s="84"/>
      <c r="BY1073" s="84"/>
      <c r="BZ1073" s="84"/>
      <c r="CA1073" s="84"/>
      <c r="CB1073" s="84"/>
      <c r="CC1073" s="84"/>
      <c r="CD1073" s="84"/>
      <c r="CE1073" s="84"/>
      <c r="CF1073" s="84"/>
      <c r="CG1073" s="84"/>
      <c r="CH1073" s="84"/>
      <c r="CI1073" s="84"/>
      <c r="CJ1073" s="84"/>
      <c r="CK1073" s="84"/>
      <c r="CL1073" s="84"/>
    </row>
    <row r="1074" spans="66:90" s="354" customFormat="1" x14ac:dyDescent="0.2">
      <c r="BN1074" s="84"/>
      <c r="BO1074" s="84"/>
      <c r="BP1074" s="84"/>
      <c r="BQ1074" s="84"/>
      <c r="BR1074" s="84"/>
      <c r="BS1074" s="84"/>
      <c r="BT1074" s="84"/>
      <c r="BU1074" s="84"/>
      <c r="BV1074" s="84"/>
      <c r="BW1074" s="84"/>
      <c r="BX1074" s="84"/>
      <c r="BY1074" s="84"/>
      <c r="BZ1074" s="84"/>
      <c r="CA1074" s="84"/>
      <c r="CB1074" s="84"/>
      <c r="CC1074" s="84"/>
      <c r="CD1074" s="84"/>
      <c r="CE1074" s="84"/>
      <c r="CF1074" s="84"/>
      <c r="CG1074" s="84"/>
      <c r="CH1074" s="84"/>
      <c r="CI1074" s="84"/>
      <c r="CJ1074" s="84"/>
      <c r="CK1074" s="84"/>
      <c r="CL1074" s="84"/>
    </row>
    <row r="1075" spans="66:90" s="354" customFormat="1" x14ac:dyDescent="0.2">
      <c r="BN1075" s="84"/>
      <c r="BO1075" s="84"/>
      <c r="BP1075" s="84"/>
      <c r="BQ1075" s="84"/>
      <c r="BR1075" s="84"/>
      <c r="BS1075" s="84"/>
      <c r="BT1075" s="84"/>
      <c r="BU1075" s="84"/>
      <c r="BV1075" s="84"/>
      <c r="BW1075" s="84"/>
      <c r="BX1075" s="84"/>
      <c r="BY1075" s="84"/>
      <c r="BZ1075" s="84"/>
      <c r="CA1075" s="84"/>
      <c r="CB1075" s="84"/>
      <c r="CC1075" s="84"/>
      <c r="CD1075" s="84"/>
      <c r="CE1075" s="84"/>
      <c r="CF1075" s="84"/>
      <c r="CG1075" s="84"/>
      <c r="CH1075" s="84"/>
      <c r="CI1075" s="84"/>
      <c r="CJ1075" s="84"/>
      <c r="CK1075" s="84"/>
      <c r="CL1075" s="84"/>
    </row>
    <row r="1076" spans="66:90" s="354" customFormat="1" x14ac:dyDescent="0.2">
      <c r="BN1076" s="84"/>
      <c r="BO1076" s="84"/>
      <c r="BP1076" s="84"/>
      <c r="BQ1076" s="84"/>
      <c r="BR1076" s="84"/>
      <c r="BS1076" s="84"/>
      <c r="BT1076" s="84"/>
      <c r="BU1076" s="84"/>
      <c r="BV1076" s="84"/>
      <c r="BW1076" s="84"/>
      <c r="BX1076" s="84"/>
      <c r="BY1076" s="84"/>
      <c r="BZ1076" s="84"/>
      <c r="CA1076" s="84"/>
      <c r="CB1076" s="84"/>
      <c r="CC1076" s="84"/>
      <c r="CD1076" s="84"/>
      <c r="CE1076" s="84"/>
      <c r="CF1076" s="84"/>
      <c r="CG1076" s="84"/>
      <c r="CH1076" s="84"/>
      <c r="CI1076" s="84"/>
      <c r="CJ1076" s="84"/>
      <c r="CK1076" s="84"/>
      <c r="CL1076" s="84"/>
    </row>
    <row r="1077" spans="66:90" s="354" customFormat="1" x14ac:dyDescent="0.2">
      <c r="BN1077" s="84"/>
      <c r="BO1077" s="84"/>
      <c r="BP1077" s="84"/>
      <c r="BQ1077" s="84"/>
      <c r="BR1077" s="84"/>
      <c r="BS1077" s="84"/>
      <c r="BT1077" s="84"/>
      <c r="BU1077" s="84"/>
      <c r="BV1077" s="84"/>
      <c r="BW1077" s="84"/>
      <c r="BX1077" s="84"/>
      <c r="BY1077" s="84"/>
      <c r="BZ1077" s="84"/>
      <c r="CA1077" s="84"/>
      <c r="CB1077" s="84"/>
      <c r="CC1077" s="84"/>
      <c r="CD1077" s="84"/>
      <c r="CE1077" s="84"/>
      <c r="CF1077" s="84"/>
      <c r="CG1077" s="84"/>
      <c r="CH1077" s="84"/>
      <c r="CI1077" s="84"/>
      <c r="CJ1077" s="84"/>
      <c r="CK1077" s="84"/>
      <c r="CL1077" s="84"/>
    </row>
    <row r="1078" spans="66:90" s="354" customFormat="1" x14ac:dyDescent="0.2">
      <c r="BN1078" s="84"/>
      <c r="BO1078" s="84"/>
      <c r="BP1078" s="84"/>
      <c r="BQ1078" s="84"/>
      <c r="BR1078" s="84"/>
      <c r="BS1078" s="84"/>
      <c r="BT1078" s="84"/>
      <c r="BU1078" s="84"/>
      <c r="BV1078" s="84"/>
      <c r="BW1078" s="84"/>
      <c r="BX1078" s="84"/>
      <c r="BY1078" s="84"/>
      <c r="BZ1078" s="84"/>
      <c r="CA1078" s="84"/>
      <c r="CB1078" s="84"/>
      <c r="CC1078" s="84"/>
      <c r="CD1078" s="84"/>
      <c r="CE1078" s="84"/>
      <c r="CF1078" s="84"/>
      <c r="CG1078" s="84"/>
      <c r="CH1078" s="84"/>
      <c r="CI1078" s="84"/>
      <c r="CJ1078" s="84"/>
      <c r="CK1078" s="84"/>
      <c r="CL1078" s="84"/>
    </row>
    <row r="1079" spans="66:90" s="354" customFormat="1" x14ac:dyDescent="0.2">
      <c r="BN1079" s="84"/>
      <c r="BO1079" s="84"/>
      <c r="BP1079" s="84"/>
      <c r="BQ1079" s="84"/>
      <c r="BR1079" s="84"/>
      <c r="BS1079" s="84"/>
      <c r="BT1079" s="84"/>
      <c r="BU1079" s="84"/>
      <c r="BV1079" s="84"/>
      <c r="BW1079" s="84"/>
      <c r="BX1079" s="84"/>
      <c r="BY1079" s="84"/>
      <c r="BZ1079" s="84"/>
      <c r="CA1079" s="84"/>
      <c r="CB1079" s="84"/>
      <c r="CC1079" s="84"/>
      <c r="CD1079" s="84"/>
      <c r="CE1079" s="84"/>
      <c r="CF1079" s="84"/>
      <c r="CG1079" s="84"/>
      <c r="CH1079" s="84"/>
      <c r="CI1079" s="84"/>
      <c r="CJ1079" s="84"/>
      <c r="CK1079" s="84"/>
      <c r="CL1079" s="84"/>
    </row>
    <row r="1080" spans="66:90" s="354" customFormat="1" x14ac:dyDescent="0.2">
      <c r="BN1080" s="84"/>
      <c r="BO1080" s="84"/>
      <c r="BP1080" s="84"/>
      <c r="BQ1080" s="84"/>
      <c r="BR1080" s="84"/>
      <c r="BS1080" s="84"/>
      <c r="BT1080" s="84"/>
      <c r="BU1080" s="84"/>
      <c r="BV1080" s="84"/>
      <c r="BW1080" s="84"/>
      <c r="BX1080" s="84"/>
      <c r="BY1080" s="84"/>
      <c r="BZ1080" s="84"/>
      <c r="CA1080" s="84"/>
      <c r="CB1080" s="84"/>
      <c r="CC1080" s="84"/>
      <c r="CD1080" s="84"/>
      <c r="CE1080" s="84"/>
      <c r="CF1080" s="84"/>
      <c r="CG1080" s="84"/>
      <c r="CH1080" s="84"/>
      <c r="CI1080" s="84"/>
      <c r="CJ1080" s="84"/>
      <c r="CK1080" s="84"/>
      <c r="CL1080" s="84"/>
    </row>
    <row r="1081" spans="66:90" s="354" customFormat="1" x14ac:dyDescent="0.2">
      <c r="BN1081" s="84"/>
      <c r="BO1081" s="84"/>
      <c r="BP1081" s="84"/>
      <c r="BQ1081" s="84"/>
      <c r="BR1081" s="84"/>
      <c r="BS1081" s="84"/>
      <c r="BT1081" s="84"/>
      <c r="BU1081" s="84"/>
      <c r="BV1081" s="84"/>
      <c r="BW1081" s="84"/>
      <c r="BX1081" s="84"/>
      <c r="BY1081" s="84"/>
      <c r="BZ1081" s="84"/>
      <c r="CA1081" s="84"/>
      <c r="CB1081" s="84"/>
      <c r="CC1081" s="84"/>
      <c r="CD1081" s="84"/>
      <c r="CE1081" s="84"/>
      <c r="CF1081" s="84"/>
      <c r="CG1081" s="84"/>
      <c r="CH1081" s="84"/>
      <c r="CI1081" s="84"/>
      <c r="CJ1081" s="84"/>
      <c r="CK1081" s="84"/>
      <c r="CL1081" s="84"/>
    </row>
    <row r="1082" spans="66:90" s="354" customFormat="1" x14ac:dyDescent="0.2">
      <c r="BN1082" s="84"/>
      <c r="BO1082" s="84"/>
      <c r="BP1082" s="84"/>
      <c r="BQ1082" s="84"/>
      <c r="BR1082" s="84"/>
      <c r="BS1082" s="84"/>
      <c r="BT1082" s="84"/>
      <c r="BU1082" s="84"/>
      <c r="BV1082" s="84"/>
      <c r="BW1082" s="84"/>
      <c r="BX1082" s="84"/>
      <c r="BY1082" s="84"/>
      <c r="BZ1082" s="84"/>
      <c r="CA1082" s="84"/>
      <c r="CB1082" s="84"/>
      <c r="CC1082" s="84"/>
      <c r="CD1082" s="84"/>
      <c r="CE1082" s="84"/>
      <c r="CF1082" s="84"/>
      <c r="CG1082" s="84"/>
      <c r="CH1082" s="84"/>
      <c r="CI1082" s="84"/>
      <c r="CJ1082" s="84"/>
      <c r="CK1082" s="84"/>
      <c r="CL1082" s="84"/>
    </row>
    <row r="1083" spans="66:90" s="354" customFormat="1" x14ac:dyDescent="0.2">
      <c r="BN1083" s="84"/>
      <c r="BO1083" s="84"/>
      <c r="BP1083" s="84"/>
      <c r="BQ1083" s="84"/>
      <c r="BR1083" s="84"/>
      <c r="BS1083" s="84"/>
      <c r="BT1083" s="84"/>
      <c r="BU1083" s="84"/>
      <c r="BV1083" s="84"/>
      <c r="BW1083" s="84"/>
      <c r="BX1083" s="84"/>
      <c r="BY1083" s="84"/>
      <c r="BZ1083" s="84"/>
      <c r="CA1083" s="84"/>
      <c r="CB1083" s="84"/>
      <c r="CC1083" s="84"/>
      <c r="CD1083" s="84"/>
      <c r="CE1083" s="84"/>
      <c r="CF1083" s="84"/>
      <c r="CG1083" s="84"/>
      <c r="CH1083" s="84"/>
      <c r="CI1083" s="84"/>
      <c r="CJ1083" s="84"/>
      <c r="CK1083" s="84"/>
      <c r="CL1083" s="84"/>
    </row>
    <row r="1084" spans="66:90" s="354" customFormat="1" x14ac:dyDescent="0.2">
      <c r="BN1084" s="84"/>
      <c r="BO1084" s="84"/>
      <c r="BP1084" s="84"/>
      <c r="BQ1084" s="84"/>
      <c r="BR1084" s="84"/>
      <c r="BS1084" s="84"/>
      <c r="BT1084" s="84"/>
      <c r="BU1084" s="84"/>
      <c r="BV1084" s="84"/>
      <c r="BW1084" s="84"/>
      <c r="BX1084" s="84"/>
      <c r="BY1084" s="84"/>
      <c r="BZ1084" s="84"/>
      <c r="CA1084" s="84"/>
      <c r="CB1084" s="84"/>
      <c r="CC1084" s="84"/>
      <c r="CD1084" s="84"/>
      <c r="CE1084" s="84"/>
      <c r="CF1084" s="84"/>
      <c r="CG1084" s="84"/>
      <c r="CH1084" s="84"/>
      <c r="CI1084" s="84"/>
      <c r="CJ1084" s="84"/>
      <c r="CK1084" s="84"/>
      <c r="CL1084" s="84"/>
    </row>
    <row r="1085" spans="66:90" s="354" customFormat="1" x14ac:dyDescent="0.2">
      <c r="BN1085" s="84"/>
      <c r="BO1085" s="84"/>
      <c r="BP1085" s="84"/>
      <c r="BQ1085" s="84"/>
      <c r="BR1085" s="84"/>
      <c r="BS1085" s="84"/>
      <c r="BT1085" s="84"/>
      <c r="BU1085" s="84"/>
      <c r="BV1085" s="84"/>
      <c r="BW1085" s="84"/>
      <c r="BX1085" s="84"/>
      <c r="BY1085" s="84"/>
      <c r="BZ1085" s="84"/>
      <c r="CA1085" s="84"/>
      <c r="CB1085" s="84"/>
      <c r="CC1085" s="84"/>
      <c r="CD1085" s="84"/>
      <c r="CE1085" s="84"/>
      <c r="CF1085" s="84"/>
      <c r="CG1085" s="84"/>
      <c r="CH1085" s="84"/>
      <c r="CI1085" s="84"/>
      <c r="CJ1085" s="84"/>
      <c r="CK1085" s="84"/>
      <c r="CL1085" s="84"/>
    </row>
    <row r="1086" spans="66:90" s="354" customFormat="1" x14ac:dyDescent="0.2">
      <c r="BN1086" s="84"/>
      <c r="BO1086" s="84"/>
      <c r="BP1086" s="84"/>
      <c r="BQ1086" s="84"/>
      <c r="BR1086" s="84"/>
      <c r="BS1086" s="84"/>
      <c r="BT1086" s="84"/>
      <c r="BU1086" s="84"/>
      <c r="BV1086" s="84"/>
      <c r="BW1086" s="84"/>
      <c r="BX1086" s="84"/>
      <c r="BY1086" s="84"/>
      <c r="BZ1086" s="84"/>
      <c r="CA1086" s="84"/>
      <c r="CB1086" s="84"/>
      <c r="CC1086" s="84"/>
      <c r="CD1086" s="84"/>
      <c r="CE1086" s="84"/>
      <c r="CF1086" s="84"/>
      <c r="CG1086" s="84"/>
      <c r="CH1086" s="84"/>
      <c r="CI1086" s="84"/>
      <c r="CJ1086" s="84"/>
      <c r="CK1086" s="84"/>
      <c r="CL1086" s="84"/>
    </row>
    <row r="1087" spans="66:90" s="354" customFormat="1" x14ac:dyDescent="0.2">
      <c r="BN1087" s="84"/>
      <c r="BO1087" s="84"/>
      <c r="BP1087" s="84"/>
      <c r="BQ1087" s="84"/>
      <c r="BR1087" s="84"/>
      <c r="BS1087" s="84"/>
      <c r="BT1087" s="84"/>
      <c r="BU1087" s="84"/>
      <c r="BV1087" s="84"/>
      <c r="BW1087" s="84"/>
      <c r="BX1087" s="84"/>
      <c r="BY1087" s="84"/>
      <c r="BZ1087" s="84"/>
      <c r="CA1087" s="84"/>
      <c r="CB1087" s="84"/>
      <c r="CC1087" s="84"/>
      <c r="CD1087" s="84"/>
      <c r="CE1087" s="84"/>
      <c r="CF1087" s="84"/>
      <c r="CG1087" s="84"/>
      <c r="CH1087" s="84"/>
      <c r="CI1087" s="84"/>
      <c r="CJ1087" s="84"/>
      <c r="CK1087" s="84"/>
      <c r="CL1087" s="84"/>
    </row>
    <row r="1088" spans="66:90" s="354" customFormat="1" x14ac:dyDescent="0.2">
      <c r="BN1088" s="84"/>
      <c r="BO1088" s="84"/>
      <c r="BP1088" s="84"/>
      <c r="BQ1088" s="84"/>
      <c r="BR1088" s="84"/>
      <c r="BS1088" s="84"/>
      <c r="BT1088" s="84"/>
      <c r="BU1088" s="84"/>
      <c r="BV1088" s="84"/>
      <c r="BW1088" s="84"/>
      <c r="BX1088" s="84"/>
      <c r="BY1088" s="84"/>
      <c r="BZ1088" s="84"/>
      <c r="CA1088" s="84"/>
      <c r="CB1088" s="84"/>
      <c r="CC1088" s="84"/>
      <c r="CD1088" s="84"/>
      <c r="CE1088" s="84"/>
      <c r="CF1088" s="84"/>
      <c r="CG1088" s="84"/>
      <c r="CH1088" s="84"/>
      <c r="CI1088" s="84"/>
      <c r="CJ1088" s="84"/>
      <c r="CK1088" s="84"/>
      <c r="CL1088" s="84"/>
    </row>
    <row r="1089" spans="66:90" s="354" customFormat="1" x14ac:dyDescent="0.2">
      <c r="BN1089" s="84"/>
      <c r="BO1089" s="84"/>
      <c r="BP1089" s="84"/>
      <c r="BQ1089" s="84"/>
      <c r="BR1089" s="84"/>
      <c r="BS1089" s="84"/>
      <c r="BT1089" s="84"/>
      <c r="BU1089" s="84"/>
      <c r="BV1089" s="84"/>
      <c r="BW1089" s="84"/>
      <c r="BX1089" s="84"/>
      <c r="BY1089" s="84"/>
      <c r="BZ1089" s="84"/>
      <c r="CA1089" s="84"/>
      <c r="CB1089" s="84"/>
      <c r="CC1089" s="84"/>
      <c r="CD1089" s="84"/>
      <c r="CE1089" s="84"/>
      <c r="CF1089" s="84"/>
      <c r="CG1089" s="84"/>
      <c r="CH1089" s="84"/>
      <c r="CI1089" s="84"/>
      <c r="CJ1089" s="84"/>
      <c r="CK1089" s="84"/>
      <c r="CL1089" s="84"/>
    </row>
    <row r="1090" spans="66:90" s="354" customFormat="1" x14ac:dyDescent="0.2">
      <c r="BN1090" s="84"/>
      <c r="BO1090" s="84"/>
      <c r="BP1090" s="84"/>
      <c r="BQ1090" s="84"/>
      <c r="BR1090" s="84"/>
      <c r="BS1090" s="84"/>
      <c r="BT1090" s="84"/>
      <c r="BU1090" s="84"/>
      <c r="BV1090" s="84"/>
      <c r="BW1090" s="84"/>
      <c r="BX1090" s="84"/>
      <c r="BY1090" s="84"/>
      <c r="BZ1090" s="84"/>
      <c r="CA1090" s="84"/>
      <c r="CB1090" s="84"/>
      <c r="CC1090" s="84"/>
      <c r="CD1090" s="84"/>
      <c r="CE1090" s="84"/>
      <c r="CF1090" s="84"/>
      <c r="CG1090" s="84"/>
      <c r="CH1090" s="84"/>
      <c r="CI1090" s="84"/>
      <c r="CJ1090" s="84"/>
      <c r="CK1090" s="84"/>
      <c r="CL1090" s="84"/>
    </row>
    <row r="1091" spans="66:90" s="354" customFormat="1" x14ac:dyDescent="0.2">
      <c r="BN1091" s="84"/>
      <c r="BO1091" s="84"/>
      <c r="BP1091" s="84"/>
      <c r="BQ1091" s="84"/>
      <c r="BR1091" s="84"/>
      <c r="BS1091" s="84"/>
      <c r="BT1091" s="84"/>
      <c r="BU1091" s="84"/>
      <c r="BV1091" s="84"/>
      <c r="BW1091" s="84"/>
      <c r="BX1091" s="84"/>
      <c r="BY1091" s="84"/>
      <c r="BZ1091" s="84"/>
      <c r="CA1091" s="84"/>
      <c r="CB1091" s="84"/>
      <c r="CC1091" s="84"/>
      <c r="CD1091" s="84"/>
      <c r="CE1091" s="84"/>
      <c r="CF1091" s="84"/>
      <c r="CG1091" s="84"/>
      <c r="CH1091" s="84"/>
      <c r="CI1091" s="84"/>
      <c r="CJ1091" s="84"/>
      <c r="CK1091" s="84"/>
      <c r="CL1091" s="84"/>
    </row>
    <row r="1092" spans="66:90" s="354" customFormat="1" x14ac:dyDescent="0.2">
      <c r="BN1092" s="84"/>
      <c r="BO1092" s="84"/>
      <c r="BP1092" s="84"/>
      <c r="BQ1092" s="84"/>
      <c r="BR1092" s="84"/>
      <c r="BS1092" s="84"/>
      <c r="BT1092" s="84"/>
      <c r="BU1092" s="84"/>
      <c r="BV1092" s="84"/>
      <c r="BW1092" s="84"/>
      <c r="BX1092" s="84"/>
      <c r="BY1092" s="84"/>
      <c r="BZ1092" s="84"/>
      <c r="CA1092" s="84"/>
      <c r="CB1092" s="84"/>
      <c r="CC1092" s="84"/>
      <c r="CD1092" s="84"/>
      <c r="CE1092" s="84"/>
      <c r="CF1092" s="84"/>
      <c r="CG1092" s="84"/>
      <c r="CH1092" s="84"/>
      <c r="CI1092" s="84"/>
      <c r="CJ1092" s="84"/>
      <c r="CK1092" s="84"/>
      <c r="CL1092" s="84"/>
    </row>
    <row r="1093" spans="66:90" s="354" customFormat="1" x14ac:dyDescent="0.2">
      <c r="BN1093" s="84"/>
      <c r="BO1093" s="84"/>
      <c r="BP1093" s="84"/>
      <c r="BQ1093" s="84"/>
      <c r="BR1093" s="84"/>
      <c r="BS1093" s="84"/>
      <c r="BT1093" s="84"/>
      <c r="BU1093" s="84"/>
      <c r="BV1093" s="84"/>
      <c r="BW1093" s="84"/>
      <c r="BX1093" s="84"/>
      <c r="BY1093" s="84"/>
      <c r="BZ1093" s="84"/>
      <c r="CA1093" s="84"/>
      <c r="CB1093" s="84"/>
      <c r="CC1093" s="84"/>
      <c r="CD1093" s="84"/>
      <c r="CE1093" s="84"/>
      <c r="CF1093" s="84"/>
      <c r="CG1093" s="84"/>
      <c r="CH1093" s="84"/>
      <c r="CI1093" s="84"/>
      <c r="CJ1093" s="84"/>
      <c r="CK1093" s="84"/>
      <c r="CL1093" s="84"/>
    </row>
    <row r="1094" spans="66:90" s="354" customFormat="1" x14ac:dyDescent="0.2">
      <c r="BN1094" s="84"/>
      <c r="BO1094" s="84"/>
      <c r="BP1094" s="84"/>
      <c r="BQ1094" s="84"/>
      <c r="BR1094" s="84"/>
      <c r="BS1094" s="84"/>
      <c r="BT1094" s="84"/>
      <c r="BU1094" s="84"/>
      <c r="BV1094" s="84"/>
      <c r="BW1094" s="84"/>
      <c r="BX1094" s="84"/>
      <c r="BY1094" s="84"/>
      <c r="BZ1094" s="84"/>
      <c r="CA1094" s="84"/>
      <c r="CB1094" s="84"/>
      <c r="CC1094" s="84"/>
      <c r="CD1094" s="84"/>
      <c r="CE1094" s="84"/>
      <c r="CF1094" s="84"/>
      <c r="CG1094" s="84"/>
      <c r="CH1094" s="84"/>
      <c r="CI1094" s="84"/>
      <c r="CJ1094" s="84"/>
      <c r="CK1094" s="84"/>
      <c r="CL1094" s="84"/>
    </row>
    <row r="1095" spans="66:90" s="354" customFormat="1" x14ac:dyDescent="0.2">
      <c r="BN1095" s="84"/>
      <c r="BO1095" s="84"/>
      <c r="BP1095" s="84"/>
      <c r="BQ1095" s="84"/>
      <c r="BR1095" s="84"/>
      <c r="BS1095" s="84"/>
      <c r="BT1095" s="84"/>
      <c r="BU1095" s="84"/>
      <c r="BV1095" s="84"/>
      <c r="BW1095" s="84"/>
      <c r="BX1095" s="84"/>
      <c r="BY1095" s="84"/>
      <c r="BZ1095" s="84"/>
      <c r="CA1095" s="84"/>
      <c r="CB1095" s="84"/>
      <c r="CC1095" s="84"/>
      <c r="CD1095" s="84"/>
      <c r="CE1095" s="84"/>
      <c r="CF1095" s="84"/>
      <c r="CG1095" s="84"/>
      <c r="CH1095" s="84"/>
      <c r="CI1095" s="84"/>
      <c r="CJ1095" s="84"/>
      <c r="CK1095" s="84"/>
      <c r="CL1095" s="84"/>
    </row>
    <row r="1096" spans="66:90" s="354" customFormat="1" x14ac:dyDescent="0.2">
      <c r="BN1096" s="84"/>
      <c r="BO1096" s="84"/>
      <c r="BP1096" s="84"/>
      <c r="BQ1096" s="84"/>
      <c r="BR1096" s="84"/>
      <c r="BS1096" s="84"/>
      <c r="BT1096" s="84"/>
      <c r="BU1096" s="84"/>
      <c r="BV1096" s="84"/>
      <c r="BW1096" s="84"/>
      <c r="BX1096" s="84"/>
      <c r="BY1096" s="84"/>
      <c r="BZ1096" s="84"/>
      <c r="CA1096" s="84"/>
      <c r="CB1096" s="84"/>
      <c r="CC1096" s="84"/>
      <c r="CD1096" s="84"/>
      <c r="CE1096" s="84"/>
      <c r="CF1096" s="84"/>
      <c r="CG1096" s="84"/>
      <c r="CH1096" s="84"/>
      <c r="CI1096" s="84"/>
      <c r="CJ1096" s="84"/>
      <c r="CK1096" s="84"/>
      <c r="CL1096" s="84"/>
    </row>
    <row r="1097" spans="66:90" s="354" customFormat="1" x14ac:dyDescent="0.2">
      <c r="BN1097" s="84"/>
      <c r="BO1097" s="84"/>
      <c r="BP1097" s="84"/>
      <c r="BQ1097" s="84"/>
      <c r="BR1097" s="84"/>
      <c r="BS1097" s="84"/>
      <c r="BT1097" s="84"/>
      <c r="BU1097" s="84"/>
      <c r="BV1097" s="84"/>
      <c r="BW1097" s="84"/>
      <c r="BX1097" s="84"/>
      <c r="BY1097" s="84"/>
      <c r="BZ1097" s="84"/>
      <c r="CA1097" s="84"/>
      <c r="CB1097" s="84"/>
      <c r="CC1097" s="84"/>
      <c r="CD1097" s="84"/>
      <c r="CE1097" s="84"/>
      <c r="CF1097" s="84"/>
      <c r="CG1097" s="84"/>
      <c r="CH1097" s="84"/>
      <c r="CI1097" s="84"/>
      <c r="CJ1097" s="84"/>
      <c r="CK1097" s="84"/>
      <c r="CL1097" s="84"/>
    </row>
    <row r="1098" spans="66:90" s="354" customFormat="1" x14ac:dyDescent="0.2">
      <c r="BN1098" s="84"/>
      <c r="BO1098" s="84"/>
      <c r="BP1098" s="84"/>
      <c r="BQ1098" s="84"/>
      <c r="BR1098" s="84"/>
      <c r="BS1098" s="84"/>
      <c r="BT1098" s="84"/>
      <c r="BU1098" s="84"/>
      <c r="BV1098" s="84"/>
      <c r="BW1098" s="84"/>
      <c r="BX1098" s="84"/>
      <c r="BY1098" s="84"/>
      <c r="BZ1098" s="84"/>
      <c r="CA1098" s="84"/>
      <c r="CB1098" s="84"/>
      <c r="CC1098" s="84"/>
      <c r="CD1098" s="84"/>
      <c r="CE1098" s="84"/>
      <c r="CF1098" s="84"/>
      <c r="CG1098" s="84"/>
      <c r="CH1098" s="84"/>
      <c r="CI1098" s="84"/>
      <c r="CJ1098" s="84"/>
      <c r="CK1098" s="84"/>
      <c r="CL1098" s="84"/>
    </row>
    <row r="1099" spans="66:90" s="354" customFormat="1" x14ac:dyDescent="0.2">
      <c r="BN1099" s="84"/>
      <c r="BO1099" s="84"/>
      <c r="BP1099" s="84"/>
      <c r="BQ1099" s="84"/>
      <c r="BR1099" s="84"/>
      <c r="BS1099" s="84"/>
      <c r="BT1099" s="84"/>
      <c r="BU1099" s="84"/>
      <c r="BV1099" s="84"/>
      <c r="BW1099" s="84"/>
      <c r="BX1099" s="84"/>
      <c r="BY1099" s="84"/>
      <c r="BZ1099" s="84"/>
      <c r="CA1099" s="84"/>
      <c r="CB1099" s="84"/>
      <c r="CC1099" s="84"/>
      <c r="CD1099" s="84"/>
      <c r="CE1099" s="84"/>
      <c r="CF1099" s="84"/>
      <c r="CG1099" s="84"/>
      <c r="CH1099" s="84"/>
      <c r="CI1099" s="84"/>
      <c r="CJ1099" s="84"/>
      <c r="CK1099" s="84"/>
      <c r="CL1099" s="84"/>
    </row>
    <row r="1100" spans="66:90" s="354" customFormat="1" x14ac:dyDescent="0.2">
      <c r="BN1100" s="84"/>
      <c r="BO1100" s="84"/>
      <c r="BP1100" s="84"/>
      <c r="BQ1100" s="84"/>
      <c r="BR1100" s="84"/>
      <c r="BS1100" s="84"/>
      <c r="BT1100" s="84"/>
      <c r="BU1100" s="84"/>
      <c r="BV1100" s="84"/>
      <c r="BW1100" s="84"/>
      <c r="BX1100" s="84"/>
      <c r="BY1100" s="84"/>
      <c r="BZ1100" s="84"/>
      <c r="CA1100" s="84"/>
      <c r="CB1100" s="84"/>
      <c r="CC1100" s="84"/>
      <c r="CD1100" s="84"/>
      <c r="CE1100" s="84"/>
      <c r="CF1100" s="84"/>
      <c r="CG1100" s="84"/>
      <c r="CH1100" s="84"/>
      <c r="CI1100" s="84"/>
      <c r="CJ1100" s="84"/>
      <c r="CK1100" s="84"/>
      <c r="CL1100" s="84"/>
    </row>
    <row r="1101" spans="66:90" s="354" customFormat="1" x14ac:dyDescent="0.2">
      <c r="BN1101" s="84"/>
      <c r="BO1101" s="84"/>
      <c r="BP1101" s="84"/>
      <c r="BQ1101" s="84"/>
      <c r="BR1101" s="84"/>
      <c r="BS1101" s="84"/>
      <c r="BT1101" s="84"/>
      <c r="BU1101" s="84"/>
      <c r="BV1101" s="84"/>
      <c r="BW1101" s="84"/>
      <c r="BX1101" s="84"/>
      <c r="BY1101" s="84"/>
      <c r="BZ1101" s="84"/>
      <c r="CA1101" s="84"/>
      <c r="CB1101" s="84"/>
      <c r="CC1101" s="84"/>
      <c r="CD1101" s="84"/>
      <c r="CE1101" s="84"/>
      <c r="CF1101" s="84"/>
      <c r="CG1101" s="84"/>
      <c r="CH1101" s="84"/>
      <c r="CI1101" s="84"/>
      <c r="CJ1101" s="84"/>
      <c r="CK1101" s="84"/>
      <c r="CL1101" s="84"/>
    </row>
    <row r="1102" spans="66:90" s="354" customFormat="1" x14ac:dyDescent="0.2">
      <c r="BN1102" s="84"/>
      <c r="BO1102" s="84"/>
      <c r="BP1102" s="84"/>
      <c r="BQ1102" s="84"/>
      <c r="BR1102" s="84"/>
      <c r="BS1102" s="84"/>
      <c r="BT1102" s="84"/>
      <c r="BU1102" s="84"/>
      <c r="BV1102" s="84"/>
      <c r="BW1102" s="84"/>
      <c r="BX1102" s="84"/>
      <c r="BY1102" s="84"/>
      <c r="BZ1102" s="84"/>
      <c r="CA1102" s="84"/>
      <c r="CB1102" s="84"/>
      <c r="CC1102" s="84"/>
      <c r="CD1102" s="84"/>
      <c r="CE1102" s="84"/>
      <c r="CF1102" s="84"/>
      <c r="CG1102" s="84"/>
      <c r="CH1102" s="84"/>
      <c r="CI1102" s="84"/>
      <c r="CJ1102" s="84"/>
      <c r="CK1102" s="84"/>
      <c r="CL1102" s="84"/>
    </row>
    <row r="1103" spans="66:90" s="354" customFormat="1" x14ac:dyDescent="0.2">
      <c r="BN1103" s="84"/>
      <c r="BO1103" s="84"/>
      <c r="BP1103" s="84"/>
      <c r="BQ1103" s="84"/>
      <c r="BR1103" s="84"/>
      <c r="BS1103" s="84"/>
      <c r="BT1103" s="84"/>
      <c r="BU1103" s="84"/>
      <c r="BV1103" s="84"/>
      <c r="BW1103" s="84"/>
      <c r="BX1103" s="84"/>
      <c r="BY1103" s="84"/>
      <c r="BZ1103" s="84"/>
      <c r="CA1103" s="84"/>
      <c r="CB1103" s="84"/>
      <c r="CC1103" s="84"/>
      <c r="CD1103" s="84"/>
      <c r="CE1103" s="84"/>
      <c r="CF1103" s="84"/>
      <c r="CG1103" s="84"/>
      <c r="CH1103" s="84"/>
      <c r="CI1103" s="84"/>
      <c r="CJ1103" s="84"/>
      <c r="CK1103" s="84"/>
      <c r="CL1103" s="84"/>
    </row>
    <row r="1104" spans="66:90" s="354" customFormat="1" x14ac:dyDescent="0.2">
      <c r="BN1104" s="84"/>
      <c r="BO1104" s="84"/>
      <c r="BP1104" s="84"/>
      <c r="BQ1104" s="84"/>
      <c r="BR1104" s="84"/>
      <c r="BS1104" s="84"/>
      <c r="BT1104" s="84"/>
      <c r="BU1104" s="84"/>
      <c r="BV1104" s="84"/>
      <c r="BW1104" s="84"/>
      <c r="BX1104" s="84"/>
      <c r="BY1104" s="84"/>
      <c r="BZ1104" s="84"/>
      <c r="CA1104" s="84"/>
      <c r="CB1104" s="84"/>
      <c r="CC1104" s="84"/>
      <c r="CD1104" s="84"/>
      <c r="CE1104" s="84"/>
      <c r="CF1104" s="84"/>
      <c r="CG1104" s="84"/>
      <c r="CH1104" s="84"/>
      <c r="CI1104" s="84"/>
      <c r="CJ1104" s="84"/>
      <c r="CK1104" s="84"/>
      <c r="CL1104" s="84"/>
    </row>
    <row r="1105" spans="66:90" s="354" customFormat="1" x14ac:dyDescent="0.2">
      <c r="BN1105" s="84"/>
      <c r="BO1105" s="84"/>
      <c r="BP1105" s="84"/>
      <c r="BQ1105" s="84"/>
      <c r="BR1105" s="84"/>
      <c r="BS1105" s="84"/>
      <c r="BT1105" s="84"/>
      <c r="BU1105" s="84"/>
      <c r="BV1105" s="84"/>
      <c r="BW1105" s="84"/>
      <c r="BX1105" s="84"/>
      <c r="BY1105" s="84"/>
      <c r="BZ1105" s="84"/>
      <c r="CA1105" s="84"/>
      <c r="CB1105" s="84"/>
      <c r="CC1105" s="84"/>
      <c r="CD1105" s="84"/>
      <c r="CE1105" s="84"/>
      <c r="CF1105" s="84"/>
      <c r="CG1105" s="84"/>
      <c r="CH1105" s="84"/>
      <c r="CI1105" s="84"/>
      <c r="CJ1105" s="84"/>
      <c r="CK1105" s="84"/>
      <c r="CL1105" s="84"/>
    </row>
    <row r="1106" spans="66:90" s="354" customFormat="1" x14ac:dyDescent="0.2">
      <c r="BN1106" s="84"/>
      <c r="BO1106" s="84"/>
      <c r="BP1106" s="84"/>
      <c r="BQ1106" s="84"/>
      <c r="BR1106" s="84"/>
      <c r="BS1106" s="84"/>
      <c r="BT1106" s="84"/>
      <c r="BU1106" s="84"/>
      <c r="BV1106" s="84"/>
      <c r="BW1106" s="84"/>
      <c r="BX1106" s="84"/>
      <c r="BY1106" s="84"/>
      <c r="BZ1106" s="84"/>
      <c r="CA1106" s="84"/>
      <c r="CB1106" s="84"/>
      <c r="CC1106" s="84"/>
      <c r="CD1106" s="84"/>
      <c r="CE1106" s="84"/>
      <c r="CF1106" s="84"/>
      <c r="CG1106" s="84"/>
      <c r="CH1106" s="84"/>
      <c r="CI1106" s="84"/>
      <c r="CJ1106" s="84"/>
      <c r="CK1106" s="84"/>
      <c r="CL1106" s="84"/>
    </row>
    <row r="1107" spans="66:90" s="354" customFormat="1" x14ac:dyDescent="0.2">
      <c r="BN1107" s="84"/>
      <c r="BO1107" s="84"/>
      <c r="BP1107" s="84"/>
      <c r="BQ1107" s="84"/>
      <c r="BR1107" s="84"/>
      <c r="BS1107" s="84"/>
      <c r="BT1107" s="84"/>
      <c r="BU1107" s="84"/>
      <c r="BV1107" s="84"/>
      <c r="BW1107" s="84"/>
      <c r="BX1107" s="84"/>
      <c r="BY1107" s="84"/>
      <c r="BZ1107" s="84"/>
      <c r="CA1107" s="84"/>
      <c r="CB1107" s="84"/>
      <c r="CC1107" s="84"/>
      <c r="CD1107" s="84"/>
      <c r="CE1107" s="84"/>
      <c r="CF1107" s="84"/>
      <c r="CG1107" s="84"/>
      <c r="CH1107" s="84"/>
      <c r="CI1107" s="84"/>
      <c r="CJ1107" s="84"/>
      <c r="CK1107" s="84"/>
      <c r="CL1107" s="84"/>
    </row>
    <row r="1108" spans="66:90" s="354" customFormat="1" x14ac:dyDescent="0.2">
      <c r="BN1108" s="84"/>
      <c r="BO1108" s="84"/>
      <c r="BP1108" s="84"/>
      <c r="BQ1108" s="84"/>
      <c r="BR1108" s="84"/>
      <c r="BS1108" s="84"/>
      <c r="BT1108" s="84"/>
      <c r="BU1108" s="84"/>
      <c r="BV1108" s="84"/>
      <c r="BW1108" s="84"/>
      <c r="BX1108" s="84"/>
      <c r="BY1108" s="84"/>
      <c r="BZ1108" s="84"/>
      <c r="CA1108" s="84"/>
      <c r="CB1108" s="84"/>
      <c r="CC1108" s="84"/>
      <c r="CD1108" s="84"/>
      <c r="CE1108" s="84"/>
      <c r="CF1108" s="84"/>
      <c r="CG1108" s="84"/>
      <c r="CH1108" s="84"/>
      <c r="CI1108" s="84"/>
      <c r="CJ1108" s="84"/>
      <c r="CK1108" s="84"/>
      <c r="CL1108" s="84"/>
    </row>
    <row r="1109" spans="66:90" s="354" customFormat="1" x14ac:dyDescent="0.2">
      <c r="BN1109" s="84"/>
      <c r="BO1109" s="84"/>
      <c r="BP1109" s="84"/>
      <c r="BQ1109" s="84"/>
      <c r="BR1109" s="84"/>
      <c r="BS1109" s="84"/>
      <c r="BT1109" s="84"/>
      <c r="BU1109" s="84"/>
      <c r="BV1109" s="84"/>
      <c r="BW1109" s="84"/>
      <c r="BX1109" s="84"/>
      <c r="BY1109" s="84"/>
      <c r="BZ1109" s="84"/>
      <c r="CA1109" s="84"/>
      <c r="CB1109" s="84"/>
      <c r="CC1109" s="84"/>
      <c r="CD1109" s="84"/>
      <c r="CE1109" s="84"/>
      <c r="CF1109" s="84"/>
      <c r="CG1109" s="84"/>
      <c r="CH1109" s="84"/>
      <c r="CI1109" s="84"/>
      <c r="CJ1109" s="84"/>
      <c r="CK1109" s="84"/>
      <c r="CL1109" s="84"/>
    </row>
    <row r="1110" spans="66:90" s="354" customFormat="1" x14ac:dyDescent="0.2">
      <c r="BN1110" s="84"/>
      <c r="BO1110" s="84"/>
      <c r="BP1110" s="84"/>
      <c r="BQ1110" s="84"/>
      <c r="BR1110" s="84"/>
      <c r="BS1110" s="84"/>
      <c r="BT1110" s="84"/>
      <c r="BU1110" s="84"/>
      <c r="BV1110" s="84"/>
      <c r="BW1110" s="84"/>
      <c r="BX1110" s="84"/>
      <c r="BY1110" s="84"/>
      <c r="BZ1110" s="84"/>
      <c r="CA1110" s="84"/>
      <c r="CB1110" s="84"/>
      <c r="CC1110" s="84"/>
      <c r="CD1110" s="84"/>
      <c r="CE1110" s="84"/>
      <c r="CF1110" s="84"/>
      <c r="CG1110" s="84"/>
      <c r="CH1110" s="84"/>
      <c r="CI1110" s="84"/>
      <c r="CJ1110" s="84"/>
      <c r="CK1110" s="84"/>
      <c r="CL1110" s="84"/>
    </row>
    <row r="1111" spans="66:90" s="354" customFormat="1" x14ac:dyDescent="0.2">
      <c r="BN1111" s="84"/>
      <c r="BO1111" s="84"/>
      <c r="BP1111" s="84"/>
      <c r="BQ1111" s="84"/>
      <c r="BR1111" s="84"/>
      <c r="BS1111" s="84"/>
      <c r="BT1111" s="84"/>
      <c r="BU1111" s="84"/>
      <c r="BV1111" s="84"/>
      <c r="BW1111" s="84"/>
      <c r="BX1111" s="84"/>
      <c r="BY1111" s="84"/>
      <c r="BZ1111" s="84"/>
      <c r="CA1111" s="84"/>
      <c r="CB1111" s="84"/>
      <c r="CC1111" s="84"/>
      <c r="CD1111" s="84"/>
      <c r="CE1111" s="84"/>
      <c r="CF1111" s="84"/>
      <c r="CG1111" s="84"/>
      <c r="CH1111" s="84"/>
      <c r="CI1111" s="84"/>
      <c r="CJ1111" s="84"/>
      <c r="CK1111" s="84"/>
      <c r="CL1111" s="84"/>
    </row>
    <row r="1112" spans="66:90" s="354" customFormat="1" x14ac:dyDescent="0.2">
      <c r="BN1112" s="84"/>
      <c r="BO1112" s="84"/>
      <c r="BP1112" s="84"/>
      <c r="BQ1112" s="84"/>
      <c r="BR1112" s="84"/>
      <c r="BS1112" s="84"/>
      <c r="BT1112" s="84"/>
      <c r="BU1112" s="84"/>
      <c r="BV1112" s="84"/>
      <c r="BW1112" s="84"/>
      <c r="BX1112" s="84"/>
      <c r="BY1112" s="84"/>
      <c r="BZ1112" s="84"/>
      <c r="CA1112" s="84"/>
      <c r="CB1112" s="84"/>
      <c r="CC1112" s="84"/>
      <c r="CD1112" s="84"/>
      <c r="CE1112" s="84"/>
      <c r="CF1112" s="84"/>
      <c r="CG1112" s="84"/>
      <c r="CH1112" s="84"/>
      <c r="CI1112" s="84"/>
      <c r="CJ1112" s="84"/>
      <c r="CK1112" s="84"/>
      <c r="CL1112" s="84"/>
    </row>
    <row r="1113" spans="66:90" s="354" customFormat="1" x14ac:dyDescent="0.2">
      <c r="BN1113" s="84"/>
      <c r="BO1113" s="84"/>
      <c r="BP1113" s="84"/>
      <c r="BQ1113" s="84"/>
      <c r="BR1113" s="84"/>
      <c r="BS1113" s="84"/>
      <c r="BT1113" s="84"/>
      <c r="BU1113" s="84"/>
      <c r="BV1113" s="84"/>
      <c r="BW1113" s="84"/>
      <c r="BX1113" s="84"/>
      <c r="BY1113" s="84"/>
      <c r="BZ1113" s="84"/>
      <c r="CA1113" s="84"/>
      <c r="CB1113" s="84"/>
      <c r="CC1113" s="84"/>
      <c r="CD1113" s="84"/>
      <c r="CE1113" s="84"/>
      <c r="CF1113" s="84"/>
      <c r="CG1113" s="84"/>
      <c r="CH1113" s="84"/>
      <c r="CI1113" s="84"/>
      <c r="CJ1113" s="84"/>
      <c r="CK1113" s="84"/>
      <c r="CL1113" s="84"/>
    </row>
    <row r="1114" spans="66:90" s="354" customFormat="1" x14ac:dyDescent="0.2">
      <c r="BN1114" s="84"/>
      <c r="BO1114" s="84"/>
      <c r="BP1114" s="84"/>
      <c r="BQ1114" s="84"/>
      <c r="BR1114" s="84"/>
      <c r="BS1114" s="84"/>
      <c r="BT1114" s="84"/>
      <c r="BU1114" s="84"/>
      <c r="BV1114" s="84"/>
      <c r="BW1114" s="84"/>
      <c r="BX1114" s="84"/>
      <c r="BY1114" s="84"/>
      <c r="BZ1114" s="84"/>
      <c r="CA1114" s="84"/>
      <c r="CB1114" s="84"/>
      <c r="CC1114" s="84"/>
      <c r="CD1114" s="84"/>
      <c r="CE1114" s="84"/>
      <c r="CF1114" s="84"/>
      <c r="CG1114" s="84"/>
      <c r="CH1114" s="84"/>
      <c r="CI1114" s="84"/>
      <c r="CJ1114" s="84"/>
      <c r="CK1114" s="84"/>
      <c r="CL1114" s="84"/>
    </row>
    <row r="1115" spans="66:90" s="354" customFormat="1" x14ac:dyDescent="0.2">
      <c r="BN1115" s="84"/>
      <c r="BO1115" s="84"/>
      <c r="BP1115" s="84"/>
      <c r="BQ1115" s="84"/>
      <c r="BR1115" s="84"/>
      <c r="BS1115" s="84"/>
      <c r="BT1115" s="84"/>
      <c r="BU1115" s="84"/>
      <c r="BV1115" s="84"/>
      <c r="BW1115" s="84"/>
      <c r="BX1115" s="84"/>
      <c r="BY1115" s="84"/>
      <c r="BZ1115" s="84"/>
      <c r="CA1115" s="84"/>
      <c r="CB1115" s="84"/>
      <c r="CC1115" s="84"/>
      <c r="CD1115" s="84"/>
      <c r="CE1115" s="84"/>
      <c r="CF1115" s="84"/>
      <c r="CG1115" s="84"/>
      <c r="CH1115" s="84"/>
      <c r="CI1115" s="84"/>
      <c r="CJ1115" s="84"/>
      <c r="CK1115" s="84"/>
      <c r="CL1115" s="84"/>
    </row>
    <row r="1116" spans="66:90" s="354" customFormat="1" x14ac:dyDescent="0.2">
      <c r="BN1116" s="84"/>
      <c r="BO1116" s="84"/>
      <c r="BP1116" s="84"/>
      <c r="BQ1116" s="84"/>
      <c r="BR1116" s="84"/>
      <c r="BS1116" s="84"/>
      <c r="BT1116" s="84"/>
      <c r="BU1116" s="84"/>
      <c r="BV1116" s="84"/>
      <c r="BW1116" s="84"/>
      <c r="BX1116" s="84"/>
      <c r="BY1116" s="84"/>
      <c r="BZ1116" s="84"/>
      <c r="CA1116" s="84"/>
      <c r="CB1116" s="84"/>
      <c r="CC1116" s="84"/>
      <c r="CD1116" s="84"/>
      <c r="CE1116" s="84"/>
      <c r="CF1116" s="84"/>
      <c r="CG1116" s="84"/>
      <c r="CH1116" s="84"/>
      <c r="CI1116" s="84"/>
      <c r="CJ1116" s="84"/>
      <c r="CK1116" s="84"/>
      <c r="CL1116" s="84"/>
    </row>
    <row r="1117" spans="66:90" s="354" customFormat="1" x14ac:dyDescent="0.2">
      <c r="BN1117" s="84"/>
      <c r="BO1117" s="84"/>
      <c r="BP1117" s="84"/>
      <c r="BQ1117" s="84"/>
      <c r="BR1117" s="84"/>
      <c r="BS1117" s="84"/>
      <c r="BT1117" s="84"/>
      <c r="BU1117" s="84"/>
      <c r="BV1117" s="84"/>
      <c r="BW1117" s="84"/>
      <c r="BX1117" s="84"/>
      <c r="BY1117" s="84"/>
      <c r="BZ1117" s="84"/>
      <c r="CA1117" s="84"/>
      <c r="CB1117" s="84"/>
      <c r="CC1117" s="84"/>
      <c r="CD1117" s="84"/>
      <c r="CE1117" s="84"/>
      <c r="CF1117" s="84"/>
      <c r="CG1117" s="84"/>
      <c r="CH1117" s="84"/>
      <c r="CI1117" s="84"/>
      <c r="CJ1117" s="84"/>
      <c r="CK1117" s="84"/>
      <c r="CL1117" s="84"/>
    </row>
    <row r="1118" spans="66:90" s="354" customFormat="1" x14ac:dyDescent="0.2">
      <c r="BN1118" s="84"/>
      <c r="BO1118" s="84"/>
      <c r="BP1118" s="84"/>
      <c r="BQ1118" s="84"/>
      <c r="BR1118" s="84"/>
      <c r="BS1118" s="84"/>
      <c r="BT1118" s="84"/>
      <c r="BU1118" s="84"/>
      <c r="BV1118" s="84"/>
      <c r="BW1118" s="84"/>
      <c r="BX1118" s="84"/>
      <c r="BY1118" s="84"/>
      <c r="BZ1118" s="84"/>
      <c r="CA1118" s="84"/>
      <c r="CB1118" s="84"/>
      <c r="CC1118" s="84"/>
      <c r="CD1118" s="84"/>
      <c r="CE1118" s="84"/>
      <c r="CF1118" s="84"/>
      <c r="CG1118" s="84"/>
      <c r="CH1118" s="84"/>
      <c r="CI1118" s="84"/>
      <c r="CJ1118" s="84"/>
      <c r="CK1118" s="84"/>
      <c r="CL1118" s="84"/>
    </row>
    <row r="1119" spans="66:90" s="354" customFormat="1" x14ac:dyDescent="0.2">
      <c r="BN1119" s="84"/>
      <c r="BO1119" s="84"/>
      <c r="BP1119" s="84"/>
      <c r="BQ1119" s="84"/>
      <c r="BR1119" s="84"/>
      <c r="BS1119" s="84"/>
      <c r="BT1119" s="84"/>
      <c r="BU1119" s="84"/>
      <c r="BV1119" s="84"/>
      <c r="BW1119" s="84"/>
      <c r="BX1119" s="84"/>
      <c r="BY1119" s="84"/>
      <c r="BZ1119" s="84"/>
      <c r="CA1119" s="84"/>
      <c r="CB1119" s="84"/>
      <c r="CC1119" s="84"/>
      <c r="CD1119" s="84"/>
      <c r="CE1119" s="84"/>
      <c r="CF1119" s="84"/>
      <c r="CG1119" s="84"/>
      <c r="CH1119" s="84"/>
      <c r="CI1119" s="84"/>
      <c r="CJ1119" s="84"/>
      <c r="CK1119" s="84"/>
      <c r="CL1119" s="84"/>
    </row>
    <row r="1120" spans="66:90" s="354" customFormat="1" x14ac:dyDescent="0.2">
      <c r="BN1120" s="84"/>
      <c r="BO1120" s="84"/>
      <c r="BP1120" s="84"/>
      <c r="BQ1120" s="84"/>
      <c r="BR1120" s="84"/>
      <c r="BS1120" s="84"/>
      <c r="BT1120" s="84"/>
      <c r="BU1120" s="84"/>
      <c r="BV1120" s="84"/>
      <c r="BW1120" s="84"/>
      <c r="BX1120" s="84"/>
      <c r="BY1120" s="84"/>
      <c r="BZ1120" s="84"/>
      <c r="CA1120" s="84"/>
      <c r="CB1120" s="84"/>
      <c r="CC1120" s="84"/>
      <c r="CD1120" s="84"/>
      <c r="CE1120" s="84"/>
      <c r="CF1120" s="84"/>
      <c r="CG1120" s="84"/>
      <c r="CH1120" s="84"/>
      <c r="CI1120" s="84"/>
      <c r="CJ1120" s="84"/>
      <c r="CK1120" s="84"/>
      <c r="CL1120" s="84"/>
    </row>
    <row r="1121" spans="66:90" s="354" customFormat="1" x14ac:dyDescent="0.2">
      <c r="BN1121" s="84"/>
      <c r="BO1121" s="84"/>
      <c r="BP1121" s="84"/>
      <c r="BQ1121" s="84"/>
      <c r="BR1121" s="84"/>
      <c r="BS1121" s="84"/>
      <c r="BT1121" s="84"/>
      <c r="BU1121" s="84"/>
      <c r="BV1121" s="84"/>
      <c r="BW1121" s="84"/>
      <c r="BX1121" s="84"/>
      <c r="BY1121" s="84"/>
      <c r="BZ1121" s="84"/>
      <c r="CA1121" s="84"/>
      <c r="CB1121" s="84"/>
      <c r="CC1121" s="84"/>
      <c r="CD1121" s="84"/>
      <c r="CE1121" s="84"/>
      <c r="CF1121" s="84"/>
      <c r="CG1121" s="84"/>
      <c r="CH1121" s="84"/>
      <c r="CI1121" s="84"/>
      <c r="CJ1121" s="84"/>
      <c r="CK1121" s="84"/>
      <c r="CL1121" s="84"/>
    </row>
    <row r="1122" spans="66:90" s="354" customFormat="1" x14ac:dyDescent="0.2">
      <c r="BN1122" s="84"/>
      <c r="BO1122" s="84"/>
      <c r="BP1122" s="84"/>
      <c r="BQ1122" s="84"/>
      <c r="BR1122" s="84"/>
      <c r="BS1122" s="84"/>
      <c r="BT1122" s="84"/>
      <c r="BU1122" s="84"/>
      <c r="BV1122" s="84"/>
      <c r="BW1122" s="84"/>
      <c r="BX1122" s="84"/>
      <c r="BY1122" s="84"/>
      <c r="BZ1122" s="84"/>
      <c r="CA1122" s="84"/>
      <c r="CB1122" s="84"/>
      <c r="CC1122" s="84"/>
      <c r="CD1122" s="84"/>
      <c r="CE1122" s="84"/>
      <c r="CF1122" s="84"/>
      <c r="CG1122" s="84"/>
      <c r="CH1122" s="84"/>
      <c r="CI1122" s="84"/>
      <c r="CJ1122" s="84"/>
      <c r="CK1122" s="84"/>
      <c r="CL1122" s="84"/>
    </row>
    <row r="1123" spans="66:90" s="354" customFormat="1" x14ac:dyDescent="0.2">
      <c r="BN1123" s="84"/>
      <c r="BO1123" s="84"/>
      <c r="BP1123" s="84"/>
      <c r="BQ1123" s="84"/>
      <c r="BR1123" s="84"/>
      <c r="BS1123" s="84"/>
      <c r="BT1123" s="84"/>
      <c r="BU1123" s="84"/>
      <c r="BV1123" s="84"/>
      <c r="BW1123" s="84"/>
      <c r="BX1123" s="84"/>
      <c r="BY1123" s="84"/>
      <c r="BZ1123" s="84"/>
      <c r="CA1123" s="84"/>
      <c r="CB1123" s="84"/>
      <c r="CC1123" s="84"/>
      <c r="CD1123" s="84"/>
      <c r="CE1123" s="84"/>
      <c r="CF1123" s="84"/>
      <c r="CG1123" s="84"/>
      <c r="CH1123" s="84"/>
      <c r="CI1123" s="84"/>
      <c r="CJ1123" s="84"/>
      <c r="CK1123" s="84"/>
      <c r="CL1123" s="84"/>
    </row>
    <row r="1124" spans="66:90" s="354" customFormat="1" x14ac:dyDescent="0.2">
      <c r="BN1124" s="84"/>
      <c r="BO1124" s="84"/>
      <c r="BP1124" s="84"/>
      <c r="BQ1124" s="84"/>
      <c r="BR1124" s="84"/>
      <c r="BS1124" s="84"/>
      <c r="BT1124" s="84"/>
      <c r="BU1124" s="84"/>
      <c r="BV1124" s="84"/>
      <c r="BW1124" s="84"/>
      <c r="BX1124" s="84"/>
      <c r="BY1124" s="84"/>
      <c r="BZ1124" s="84"/>
      <c r="CA1124" s="84"/>
      <c r="CB1124" s="84"/>
      <c r="CC1124" s="84"/>
      <c r="CD1124" s="84"/>
      <c r="CE1124" s="84"/>
      <c r="CF1124" s="84"/>
      <c r="CG1124" s="84"/>
      <c r="CH1124" s="84"/>
      <c r="CI1124" s="84"/>
      <c r="CJ1124" s="84"/>
      <c r="CK1124" s="84"/>
      <c r="CL1124" s="84"/>
    </row>
    <row r="1125" spans="66:90" s="354" customFormat="1" x14ac:dyDescent="0.2">
      <c r="BN1125" s="84"/>
      <c r="BO1125" s="84"/>
      <c r="BP1125" s="84"/>
      <c r="BQ1125" s="84"/>
      <c r="BR1125" s="84"/>
      <c r="BS1125" s="84"/>
      <c r="BT1125" s="84"/>
      <c r="BU1125" s="84"/>
      <c r="BV1125" s="84"/>
      <c r="BW1125" s="84"/>
      <c r="BX1125" s="84"/>
      <c r="BY1125" s="84"/>
      <c r="BZ1125" s="84"/>
      <c r="CA1125" s="84"/>
      <c r="CB1125" s="84"/>
      <c r="CC1125" s="84"/>
      <c r="CD1125" s="84"/>
      <c r="CE1125" s="84"/>
      <c r="CF1125" s="84"/>
      <c r="CG1125" s="84"/>
      <c r="CH1125" s="84"/>
      <c r="CI1125" s="84"/>
      <c r="CJ1125" s="84"/>
      <c r="CK1125" s="84"/>
      <c r="CL1125" s="84"/>
    </row>
    <row r="1126" spans="66:90" s="354" customFormat="1" x14ac:dyDescent="0.2">
      <c r="BN1126" s="84"/>
      <c r="BO1126" s="84"/>
      <c r="BP1126" s="84"/>
      <c r="BQ1126" s="84"/>
      <c r="BR1126" s="84"/>
      <c r="BS1126" s="84"/>
      <c r="BT1126" s="84"/>
      <c r="BU1126" s="84"/>
      <c r="BV1126" s="84"/>
      <c r="BW1126" s="84"/>
      <c r="BX1126" s="84"/>
      <c r="BY1126" s="84"/>
      <c r="BZ1126" s="84"/>
      <c r="CA1126" s="84"/>
      <c r="CB1126" s="84"/>
      <c r="CC1126" s="84"/>
      <c r="CD1126" s="84"/>
      <c r="CE1126" s="84"/>
      <c r="CF1126" s="84"/>
      <c r="CG1126" s="84"/>
      <c r="CH1126" s="84"/>
      <c r="CI1126" s="84"/>
      <c r="CJ1126" s="84"/>
      <c r="CK1126" s="84"/>
      <c r="CL1126" s="84"/>
    </row>
    <row r="1127" spans="66:90" s="354" customFormat="1" x14ac:dyDescent="0.2">
      <c r="BN1127" s="84"/>
      <c r="BO1127" s="84"/>
      <c r="BP1127" s="84"/>
      <c r="BQ1127" s="84"/>
      <c r="BR1127" s="84"/>
      <c r="BS1127" s="84"/>
      <c r="BT1127" s="84"/>
      <c r="BU1127" s="84"/>
      <c r="BV1127" s="84"/>
      <c r="BW1127" s="84"/>
      <c r="BX1127" s="84"/>
      <c r="BY1127" s="84"/>
      <c r="BZ1127" s="84"/>
      <c r="CA1127" s="84"/>
      <c r="CB1127" s="84"/>
      <c r="CC1127" s="84"/>
      <c r="CD1127" s="84"/>
      <c r="CE1127" s="84"/>
      <c r="CF1127" s="84"/>
      <c r="CG1127" s="84"/>
      <c r="CH1127" s="84"/>
      <c r="CI1127" s="84"/>
      <c r="CJ1127" s="84"/>
      <c r="CK1127" s="84"/>
      <c r="CL1127" s="84"/>
    </row>
    <row r="1128" spans="66:90" s="354" customFormat="1" x14ac:dyDescent="0.2">
      <c r="BN1128" s="84"/>
      <c r="BO1128" s="84"/>
      <c r="BP1128" s="84"/>
      <c r="BQ1128" s="84"/>
      <c r="BR1128" s="84"/>
      <c r="BS1128" s="84"/>
      <c r="BT1128" s="84"/>
      <c r="BU1128" s="84"/>
      <c r="BV1128" s="84"/>
      <c r="BW1128" s="84"/>
      <c r="BX1128" s="84"/>
      <c r="BY1128" s="84"/>
      <c r="BZ1128" s="84"/>
      <c r="CA1128" s="84"/>
      <c r="CB1128" s="84"/>
      <c r="CC1128" s="84"/>
      <c r="CD1128" s="84"/>
      <c r="CE1128" s="84"/>
      <c r="CF1128" s="84"/>
      <c r="CG1128" s="84"/>
      <c r="CH1128" s="84"/>
      <c r="CI1128" s="84"/>
      <c r="CJ1128" s="84"/>
      <c r="CK1128" s="84"/>
      <c r="CL1128" s="84"/>
    </row>
    <row r="1129" spans="66:90" s="354" customFormat="1" x14ac:dyDescent="0.2">
      <c r="BN1129" s="84"/>
      <c r="BO1129" s="84"/>
      <c r="BP1129" s="84"/>
      <c r="BQ1129" s="84"/>
      <c r="BR1129" s="84"/>
      <c r="BS1129" s="84"/>
      <c r="BT1129" s="84"/>
      <c r="BU1129" s="84"/>
      <c r="BV1129" s="84"/>
      <c r="BW1129" s="84"/>
      <c r="BX1129" s="84"/>
      <c r="BY1129" s="84"/>
      <c r="BZ1129" s="84"/>
      <c r="CA1129" s="84"/>
      <c r="CB1129" s="84"/>
      <c r="CC1129" s="84"/>
      <c r="CD1129" s="84"/>
      <c r="CE1129" s="84"/>
      <c r="CF1129" s="84"/>
      <c r="CG1129" s="84"/>
      <c r="CH1129" s="84"/>
      <c r="CI1129" s="84"/>
      <c r="CJ1129" s="84"/>
      <c r="CK1129" s="84"/>
      <c r="CL1129" s="84"/>
    </row>
    <row r="1130" spans="66:90" s="354" customFormat="1" x14ac:dyDescent="0.2">
      <c r="BN1130" s="84"/>
      <c r="BO1130" s="84"/>
      <c r="BP1130" s="84"/>
      <c r="BQ1130" s="84"/>
      <c r="BR1130" s="84"/>
      <c r="BS1130" s="84"/>
      <c r="BT1130" s="84"/>
      <c r="BU1130" s="84"/>
      <c r="BV1130" s="84"/>
      <c r="BW1130" s="84"/>
      <c r="BX1130" s="84"/>
      <c r="BY1130" s="84"/>
      <c r="BZ1130" s="84"/>
      <c r="CA1130" s="84"/>
      <c r="CB1130" s="84"/>
      <c r="CC1130" s="84"/>
      <c r="CD1130" s="84"/>
      <c r="CE1130" s="84"/>
      <c r="CF1130" s="84"/>
      <c r="CG1130" s="84"/>
      <c r="CH1130" s="84"/>
      <c r="CI1130" s="84"/>
      <c r="CJ1130" s="84"/>
      <c r="CK1130" s="84"/>
      <c r="CL1130" s="84"/>
    </row>
    <row r="1131" spans="66:90" s="354" customFormat="1" x14ac:dyDescent="0.2">
      <c r="BN1131" s="84"/>
      <c r="BO1131" s="84"/>
      <c r="BP1131" s="84"/>
      <c r="BQ1131" s="84"/>
      <c r="BR1131" s="84"/>
      <c r="BS1131" s="84"/>
      <c r="BT1131" s="84"/>
      <c r="BU1131" s="84"/>
      <c r="BV1131" s="84"/>
      <c r="BW1131" s="84"/>
      <c r="BX1131" s="84"/>
      <c r="BY1131" s="84"/>
      <c r="BZ1131" s="84"/>
      <c r="CA1131" s="84"/>
      <c r="CB1131" s="84"/>
      <c r="CC1131" s="84"/>
      <c r="CD1131" s="84"/>
      <c r="CE1131" s="84"/>
      <c r="CF1131" s="84"/>
      <c r="CG1131" s="84"/>
      <c r="CH1131" s="84"/>
      <c r="CI1131" s="84"/>
      <c r="CJ1131" s="84"/>
      <c r="CK1131" s="84"/>
      <c r="CL1131" s="84"/>
    </row>
    <row r="1132" spans="66:90" s="354" customFormat="1" x14ac:dyDescent="0.2">
      <c r="BN1132" s="84"/>
      <c r="BO1132" s="84"/>
      <c r="BP1132" s="84"/>
      <c r="BQ1132" s="84"/>
      <c r="BR1132" s="84"/>
      <c r="BS1132" s="84"/>
      <c r="BT1132" s="84"/>
      <c r="BU1132" s="84"/>
      <c r="BV1132" s="84"/>
      <c r="BW1132" s="84"/>
      <c r="BX1132" s="84"/>
      <c r="BY1132" s="84"/>
      <c r="BZ1132" s="84"/>
      <c r="CA1132" s="84"/>
      <c r="CB1132" s="84"/>
      <c r="CC1132" s="84"/>
      <c r="CD1132" s="84"/>
      <c r="CE1132" s="84"/>
      <c r="CF1132" s="84"/>
      <c r="CG1132" s="84"/>
      <c r="CH1132" s="84"/>
      <c r="CI1132" s="84"/>
      <c r="CJ1132" s="84"/>
      <c r="CK1132" s="84"/>
      <c r="CL1132" s="84"/>
    </row>
    <row r="1133" spans="66:90" s="354" customFormat="1" x14ac:dyDescent="0.2">
      <c r="BN1133" s="84"/>
      <c r="BO1133" s="84"/>
      <c r="BP1133" s="84"/>
      <c r="BQ1133" s="84"/>
      <c r="BR1133" s="84"/>
      <c r="BS1133" s="84"/>
      <c r="BT1133" s="84"/>
      <c r="BU1133" s="84"/>
      <c r="BV1133" s="84"/>
      <c r="BW1133" s="84"/>
      <c r="BX1133" s="84"/>
      <c r="BY1133" s="84"/>
      <c r="BZ1133" s="84"/>
      <c r="CA1133" s="84"/>
      <c r="CB1133" s="84"/>
      <c r="CC1133" s="84"/>
      <c r="CD1133" s="84"/>
      <c r="CE1133" s="84"/>
      <c r="CF1133" s="84"/>
      <c r="CG1133" s="84"/>
      <c r="CH1133" s="84"/>
      <c r="CI1133" s="84"/>
      <c r="CJ1133" s="84"/>
      <c r="CK1133" s="84"/>
      <c r="CL1133" s="84"/>
    </row>
    <row r="1134" spans="66:90" s="354" customFormat="1" x14ac:dyDescent="0.2">
      <c r="BN1134" s="84"/>
      <c r="BO1134" s="84"/>
      <c r="BP1134" s="84"/>
      <c r="BQ1134" s="84"/>
      <c r="BR1134" s="84"/>
      <c r="BS1134" s="84"/>
      <c r="BT1134" s="84"/>
      <c r="BU1134" s="84"/>
      <c r="BV1134" s="84"/>
      <c r="BW1134" s="84"/>
      <c r="BX1134" s="84"/>
      <c r="BY1134" s="84"/>
      <c r="BZ1134" s="84"/>
      <c r="CA1134" s="84"/>
      <c r="CB1134" s="84"/>
      <c r="CC1134" s="84"/>
      <c r="CD1134" s="84"/>
      <c r="CE1134" s="84"/>
      <c r="CF1134" s="84"/>
      <c r="CG1134" s="84"/>
      <c r="CH1134" s="84"/>
      <c r="CI1134" s="84"/>
      <c r="CJ1134" s="84"/>
      <c r="CK1134" s="84"/>
      <c r="CL1134" s="84"/>
    </row>
    <row r="1135" spans="66:90" s="354" customFormat="1" x14ac:dyDescent="0.2">
      <c r="BN1135" s="84"/>
      <c r="BO1135" s="84"/>
      <c r="BP1135" s="84"/>
      <c r="BQ1135" s="84"/>
      <c r="BR1135" s="84"/>
      <c r="BS1135" s="84"/>
      <c r="BT1135" s="84"/>
      <c r="BU1135" s="84"/>
      <c r="BV1135" s="84"/>
      <c r="BW1135" s="84"/>
      <c r="BX1135" s="84"/>
      <c r="BY1135" s="84"/>
      <c r="BZ1135" s="84"/>
      <c r="CA1135" s="84"/>
      <c r="CB1135" s="84"/>
      <c r="CC1135" s="84"/>
      <c r="CD1135" s="84"/>
      <c r="CE1135" s="84"/>
      <c r="CF1135" s="84"/>
      <c r="CG1135" s="84"/>
      <c r="CH1135" s="84"/>
      <c r="CI1135" s="84"/>
      <c r="CJ1135" s="84"/>
      <c r="CK1135" s="84"/>
      <c r="CL1135" s="84"/>
    </row>
    <row r="1136" spans="66:90" s="354" customFormat="1" x14ac:dyDescent="0.2">
      <c r="BN1136" s="84"/>
      <c r="BO1136" s="84"/>
      <c r="BP1136" s="84"/>
      <c r="BQ1136" s="84"/>
      <c r="BR1136" s="84"/>
      <c r="BS1136" s="84"/>
      <c r="BT1136" s="84"/>
      <c r="BU1136" s="84"/>
      <c r="BV1136" s="84"/>
      <c r="BW1136" s="84"/>
      <c r="BX1136" s="84"/>
      <c r="BY1136" s="84"/>
      <c r="BZ1136" s="84"/>
      <c r="CA1136" s="84"/>
      <c r="CB1136" s="84"/>
      <c r="CC1136" s="84"/>
      <c r="CD1136" s="84"/>
      <c r="CE1136" s="84"/>
      <c r="CF1136" s="84"/>
      <c r="CG1136" s="84"/>
      <c r="CH1136" s="84"/>
      <c r="CI1136" s="84"/>
      <c r="CJ1136" s="84"/>
      <c r="CK1136" s="84"/>
      <c r="CL1136" s="84"/>
    </row>
    <row r="1137" spans="66:90" s="354" customFormat="1" x14ac:dyDescent="0.2">
      <c r="BN1137" s="84"/>
      <c r="BO1137" s="84"/>
      <c r="BP1137" s="84"/>
      <c r="BQ1137" s="84"/>
      <c r="BR1137" s="84"/>
      <c r="BS1137" s="84"/>
      <c r="BT1137" s="84"/>
      <c r="BU1137" s="84"/>
      <c r="BV1137" s="84"/>
      <c r="BW1137" s="84"/>
      <c r="BX1137" s="84"/>
      <c r="BY1137" s="84"/>
      <c r="BZ1137" s="84"/>
      <c r="CA1137" s="84"/>
      <c r="CB1137" s="84"/>
      <c r="CC1137" s="84"/>
      <c r="CD1137" s="84"/>
      <c r="CE1137" s="84"/>
      <c r="CF1137" s="84"/>
      <c r="CG1137" s="84"/>
      <c r="CH1137" s="84"/>
      <c r="CI1137" s="84"/>
      <c r="CJ1137" s="84"/>
      <c r="CK1137" s="84"/>
      <c r="CL1137" s="84"/>
    </row>
    <row r="1138" spans="66:90" s="354" customFormat="1" x14ac:dyDescent="0.2">
      <c r="BN1138" s="84"/>
      <c r="BO1138" s="84"/>
      <c r="BP1138" s="84"/>
      <c r="BQ1138" s="84"/>
      <c r="BR1138" s="84"/>
      <c r="BS1138" s="84"/>
      <c r="BT1138" s="84"/>
      <c r="BU1138" s="84"/>
      <c r="BV1138" s="84"/>
      <c r="BW1138" s="84"/>
      <c r="BX1138" s="84"/>
      <c r="BY1138" s="84"/>
      <c r="BZ1138" s="84"/>
      <c r="CA1138" s="84"/>
      <c r="CB1138" s="84"/>
      <c r="CC1138" s="84"/>
      <c r="CD1138" s="84"/>
      <c r="CE1138" s="84"/>
      <c r="CF1138" s="84"/>
      <c r="CG1138" s="84"/>
      <c r="CH1138" s="84"/>
      <c r="CI1138" s="84"/>
      <c r="CJ1138" s="84"/>
      <c r="CK1138" s="84"/>
      <c r="CL1138" s="84"/>
    </row>
    <row r="1139" spans="66:90" s="354" customFormat="1" x14ac:dyDescent="0.2">
      <c r="BN1139" s="84"/>
      <c r="BO1139" s="84"/>
      <c r="BP1139" s="84"/>
      <c r="BQ1139" s="84"/>
      <c r="BR1139" s="84"/>
      <c r="BS1139" s="84"/>
      <c r="BT1139" s="84"/>
      <c r="BU1139" s="84"/>
      <c r="BV1139" s="84"/>
      <c r="BW1139" s="84"/>
      <c r="BX1139" s="84"/>
      <c r="BY1139" s="84"/>
      <c r="BZ1139" s="84"/>
      <c r="CA1139" s="84"/>
      <c r="CB1139" s="84"/>
      <c r="CC1139" s="84"/>
      <c r="CD1139" s="84"/>
      <c r="CE1139" s="84"/>
      <c r="CF1139" s="84"/>
      <c r="CG1139" s="84"/>
      <c r="CH1139" s="84"/>
      <c r="CI1139" s="84"/>
      <c r="CJ1139" s="84"/>
      <c r="CK1139" s="84"/>
      <c r="CL1139" s="84"/>
    </row>
    <row r="1140" spans="66:90" s="354" customFormat="1" x14ac:dyDescent="0.2">
      <c r="BN1140" s="84"/>
      <c r="BO1140" s="84"/>
      <c r="BP1140" s="84"/>
      <c r="BQ1140" s="84"/>
      <c r="BR1140" s="84"/>
      <c r="BS1140" s="84"/>
      <c r="BT1140" s="84"/>
      <c r="BU1140" s="84"/>
      <c r="BV1140" s="84"/>
      <c r="BW1140" s="84"/>
      <c r="BX1140" s="84"/>
      <c r="BY1140" s="84"/>
      <c r="BZ1140" s="84"/>
      <c r="CA1140" s="84"/>
      <c r="CB1140" s="84"/>
      <c r="CC1140" s="84"/>
      <c r="CD1140" s="84"/>
      <c r="CE1140" s="84"/>
      <c r="CF1140" s="84"/>
      <c r="CG1140" s="84"/>
      <c r="CH1140" s="84"/>
      <c r="CI1140" s="84"/>
      <c r="CJ1140" s="84"/>
      <c r="CK1140" s="84"/>
      <c r="CL1140" s="84"/>
    </row>
    <row r="1141" spans="66:90" s="354" customFormat="1" x14ac:dyDescent="0.2">
      <c r="BN1141" s="84"/>
      <c r="BO1141" s="84"/>
      <c r="BP1141" s="84"/>
      <c r="BQ1141" s="84"/>
      <c r="BR1141" s="84"/>
      <c r="BS1141" s="84"/>
      <c r="BT1141" s="84"/>
      <c r="BU1141" s="84"/>
      <c r="BV1141" s="84"/>
      <c r="BW1141" s="84"/>
      <c r="BX1141" s="84"/>
      <c r="BY1141" s="84"/>
      <c r="BZ1141" s="84"/>
      <c r="CA1141" s="84"/>
      <c r="CB1141" s="84"/>
      <c r="CC1141" s="84"/>
      <c r="CD1141" s="84"/>
      <c r="CE1141" s="84"/>
      <c r="CF1141" s="84"/>
      <c r="CG1141" s="84"/>
      <c r="CH1141" s="84"/>
      <c r="CI1141" s="84"/>
      <c r="CJ1141" s="84"/>
      <c r="CK1141" s="84"/>
      <c r="CL1141" s="84"/>
    </row>
    <row r="1142" spans="66:90" s="354" customFormat="1" x14ac:dyDescent="0.2">
      <c r="BN1142" s="84"/>
      <c r="BO1142" s="84"/>
      <c r="BP1142" s="84"/>
      <c r="BQ1142" s="84"/>
      <c r="BR1142" s="84"/>
      <c r="BS1142" s="84"/>
      <c r="BT1142" s="84"/>
      <c r="BU1142" s="84"/>
      <c r="BV1142" s="84"/>
      <c r="BW1142" s="84"/>
      <c r="BX1142" s="84"/>
      <c r="BY1142" s="84"/>
      <c r="BZ1142" s="84"/>
      <c r="CA1142" s="84"/>
      <c r="CB1142" s="84"/>
      <c r="CC1142" s="84"/>
      <c r="CD1142" s="84"/>
      <c r="CE1142" s="84"/>
      <c r="CF1142" s="84"/>
      <c r="CG1142" s="84"/>
      <c r="CH1142" s="84"/>
      <c r="CI1142" s="84"/>
      <c r="CJ1142" s="84"/>
      <c r="CK1142" s="84"/>
      <c r="CL1142" s="84"/>
    </row>
    <row r="1143" spans="66:90" s="354" customFormat="1" x14ac:dyDescent="0.2">
      <c r="BN1143" s="84"/>
      <c r="BO1143" s="84"/>
      <c r="BP1143" s="84"/>
      <c r="BQ1143" s="84"/>
      <c r="BR1143" s="84"/>
      <c r="BS1143" s="84"/>
      <c r="BT1143" s="84"/>
      <c r="BU1143" s="84"/>
      <c r="BV1143" s="84"/>
      <c r="BW1143" s="84"/>
      <c r="BX1143" s="84"/>
      <c r="BY1143" s="84"/>
      <c r="BZ1143" s="84"/>
      <c r="CA1143" s="84"/>
      <c r="CB1143" s="84"/>
      <c r="CC1143" s="84"/>
      <c r="CD1143" s="84"/>
      <c r="CE1143" s="84"/>
      <c r="CF1143" s="84"/>
      <c r="CG1143" s="84"/>
      <c r="CH1143" s="84"/>
      <c r="CI1143" s="84"/>
      <c r="CJ1143" s="84"/>
      <c r="CK1143" s="84"/>
      <c r="CL1143" s="84"/>
    </row>
    <row r="1144" spans="66:90" s="354" customFormat="1" x14ac:dyDescent="0.2">
      <c r="BN1144" s="84"/>
      <c r="BO1144" s="84"/>
      <c r="BP1144" s="84"/>
      <c r="BQ1144" s="84"/>
      <c r="BR1144" s="84"/>
      <c r="BS1144" s="84"/>
      <c r="BT1144" s="84"/>
      <c r="BU1144" s="84"/>
      <c r="BV1144" s="84"/>
      <c r="BW1144" s="84"/>
      <c r="BX1144" s="84"/>
      <c r="BY1144" s="84"/>
      <c r="BZ1144" s="84"/>
      <c r="CA1144" s="84"/>
      <c r="CB1144" s="84"/>
      <c r="CC1144" s="84"/>
      <c r="CD1144" s="84"/>
      <c r="CE1144" s="84"/>
      <c r="CF1144" s="84"/>
      <c r="CG1144" s="84"/>
      <c r="CH1144" s="84"/>
      <c r="CI1144" s="84"/>
      <c r="CJ1144" s="84"/>
      <c r="CK1144" s="84"/>
      <c r="CL1144" s="84"/>
    </row>
    <row r="1145" spans="66:90" s="354" customFormat="1" x14ac:dyDescent="0.2">
      <c r="BN1145" s="84"/>
      <c r="BO1145" s="84"/>
      <c r="BP1145" s="84"/>
      <c r="BQ1145" s="84"/>
      <c r="BR1145" s="84"/>
      <c r="BS1145" s="84"/>
      <c r="BT1145" s="84"/>
      <c r="BU1145" s="84"/>
      <c r="BV1145" s="84"/>
      <c r="BW1145" s="84"/>
      <c r="BX1145" s="84"/>
      <c r="BY1145" s="84"/>
      <c r="BZ1145" s="84"/>
      <c r="CA1145" s="84"/>
      <c r="CB1145" s="84"/>
      <c r="CC1145" s="84"/>
      <c r="CD1145" s="84"/>
      <c r="CE1145" s="84"/>
      <c r="CF1145" s="84"/>
      <c r="CG1145" s="84"/>
      <c r="CH1145" s="84"/>
      <c r="CI1145" s="84"/>
      <c r="CJ1145" s="84"/>
      <c r="CK1145" s="84"/>
      <c r="CL1145" s="84"/>
    </row>
    <row r="1146" spans="66:90" s="354" customFormat="1" x14ac:dyDescent="0.2">
      <c r="BN1146" s="84"/>
      <c r="BO1146" s="84"/>
      <c r="BP1146" s="84"/>
      <c r="BQ1146" s="84"/>
      <c r="BR1146" s="84"/>
      <c r="BS1146" s="84"/>
      <c r="BT1146" s="84"/>
      <c r="BU1146" s="84"/>
      <c r="BV1146" s="84"/>
      <c r="BW1146" s="84"/>
      <c r="BX1146" s="84"/>
      <c r="BY1146" s="84"/>
      <c r="BZ1146" s="84"/>
      <c r="CA1146" s="84"/>
      <c r="CB1146" s="84"/>
      <c r="CC1146" s="84"/>
      <c r="CD1146" s="84"/>
      <c r="CE1146" s="84"/>
      <c r="CF1146" s="84"/>
      <c r="CG1146" s="84"/>
      <c r="CH1146" s="84"/>
      <c r="CI1146" s="84"/>
      <c r="CJ1146" s="84"/>
      <c r="CK1146" s="84"/>
      <c r="CL1146" s="84"/>
    </row>
    <row r="1147" spans="66:90" s="354" customFormat="1" x14ac:dyDescent="0.2">
      <c r="BN1147" s="84"/>
      <c r="BO1147" s="84"/>
      <c r="BP1147" s="84"/>
      <c r="BQ1147" s="84"/>
      <c r="BR1147" s="84"/>
      <c r="BS1147" s="84"/>
      <c r="BT1147" s="84"/>
      <c r="BU1147" s="84"/>
      <c r="BV1147" s="84"/>
      <c r="BW1147" s="84"/>
      <c r="BX1147" s="84"/>
      <c r="BY1147" s="84"/>
      <c r="BZ1147" s="84"/>
      <c r="CA1147" s="84"/>
      <c r="CB1147" s="84"/>
      <c r="CC1147" s="84"/>
      <c r="CD1147" s="84"/>
      <c r="CE1147" s="84"/>
      <c r="CF1147" s="84"/>
      <c r="CG1147" s="84"/>
      <c r="CH1147" s="84"/>
      <c r="CI1147" s="84"/>
      <c r="CJ1147" s="84"/>
      <c r="CK1147" s="84"/>
      <c r="CL1147" s="84"/>
    </row>
    <row r="1148" spans="66:90" s="354" customFormat="1" x14ac:dyDescent="0.2">
      <c r="BN1148" s="84"/>
      <c r="BO1148" s="84"/>
      <c r="BP1148" s="84"/>
      <c r="BQ1148" s="84"/>
      <c r="BR1148" s="84"/>
      <c r="BS1148" s="84"/>
      <c r="BT1148" s="84"/>
      <c r="BU1148" s="84"/>
      <c r="BV1148" s="84"/>
      <c r="BW1148" s="84"/>
      <c r="BX1148" s="84"/>
      <c r="BY1148" s="84"/>
      <c r="BZ1148" s="84"/>
      <c r="CA1148" s="84"/>
      <c r="CB1148" s="84"/>
      <c r="CC1148" s="84"/>
      <c r="CD1148" s="84"/>
      <c r="CE1148" s="84"/>
      <c r="CF1148" s="84"/>
      <c r="CG1148" s="84"/>
      <c r="CH1148" s="84"/>
      <c r="CI1148" s="84"/>
      <c r="CJ1148" s="84"/>
      <c r="CK1148" s="84"/>
      <c r="CL1148" s="84"/>
    </row>
    <row r="1149" spans="66:90" s="354" customFormat="1" x14ac:dyDescent="0.2">
      <c r="BN1149" s="84"/>
      <c r="BO1149" s="84"/>
      <c r="BP1149" s="84"/>
      <c r="BQ1149" s="84"/>
      <c r="BR1149" s="84"/>
      <c r="BS1149" s="84"/>
      <c r="BT1149" s="84"/>
      <c r="BU1149" s="84"/>
      <c r="BV1149" s="84"/>
      <c r="BW1149" s="84"/>
      <c r="BX1149" s="84"/>
      <c r="BY1149" s="84"/>
      <c r="BZ1149" s="84"/>
      <c r="CA1149" s="84"/>
      <c r="CB1149" s="84"/>
      <c r="CC1149" s="84"/>
      <c r="CD1149" s="84"/>
      <c r="CE1149" s="84"/>
      <c r="CF1149" s="84"/>
      <c r="CG1149" s="84"/>
      <c r="CH1149" s="84"/>
      <c r="CI1149" s="84"/>
      <c r="CJ1149" s="84"/>
      <c r="CK1149" s="84"/>
      <c r="CL1149" s="84"/>
    </row>
    <row r="1150" spans="66:90" s="354" customFormat="1" x14ac:dyDescent="0.2">
      <c r="BN1150" s="84"/>
      <c r="BO1150" s="84"/>
      <c r="BP1150" s="84"/>
      <c r="BQ1150" s="84"/>
      <c r="BR1150" s="84"/>
      <c r="BS1150" s="84"/>
      <c r="BT1150" s="84"/>
      <c r="BU1150" s="84"/>
      <c r="BV1150" s="84"/>
      <c r="BW1150" s="84"/>
      <c r="BX1150" s="84"/>
      <c r="BY1150" s="84"/>
      <c r="BZ1150" s="84"/>
      <c r="CA1150" s="84"/>
      <c r="CB1150" s="84"/>
      <c r="CC1150" s="84"/>
      <c r="CD1150" s="84"/>
      <c r="CE1150" s="84"/>
      <c r="CF1150" s="84"/>
      <c r="CG1150" s="84"/>
      <c r="CH1150" s="84"/>
      <c r="CI1150" s="84"/>
      <c r="CJ1150" s="84"/>
      <c r="CK1150" s="84"/>
      <c r="CL1150" s="84"/>
    </row>
    <row r="1151" spans="66:90" s="354" customFormat="1" x14ac:dyDescent="0.2">
      <c r="BN1151" s="84"/>
      <c r="BO1151" s="84"/>
      <c r="BP1151" s="84"/>
      <c r="BQ1151" s="84"/>
      <c r="BR1151" s="84"/>
      <c r="BS1151" s="84"/>
      <c r="BT1151" s="84"/>
      <c r="BU1151" s="84"/>
      <c r="BV1151" s="84"/>
      <c r="BW1151" s="84"/>
      <c r="BX1151" s="84"/>
      <c r="BY1151" s="84"/>
      <c r="BZ1151" s="84"/>
      <c r="CA1151" s="84"/>
      <c r="CB1151" s="84"/>
      <c r="CC1151" s="84"/>
      <c r="CD1151" s="84"/>
      <c r="CE1151" s="84"/>
      <c r="CF1151" s="84"/>
      <c r="CG1151" s="84"/>
      <c r="CH1151" s="84"/>
      <c r="CI1151" s="84"/>
      <c r="CJ1151" s="84"/>
      <c r="CK1151" s="84"/>
      <c r="CL1151" s="84"/>
    </row>
    <row r="1152" spans="66:90" s="354" customFormat="1" x14ac:dyDescent="0.2">
      <c r="BN1152" s="84"/>
      <c r="BO1152" s="84"/>
      <c r="BP1152" s="84"/>
      <c r="BQ1152" s="84"/>
      <c r="BR1152" s="84"/>
      <c r="BS1152" s="84"/>
      <c r="BT1152" s="84"/>
      <c r="BU1152" s="84"/>
      <c r="BV1152" s="84"/>
      <c r="BW1152" s="84"/>
      <c r="BX1152" s="84"/>
      <c r="BY1152" s="84"/>
      <c r="BZ1152" s="84"/>
      <c r="CA1152" s="84"/>
      <c r="CB1152" s="84"/>
      <c r="CC1152" s="84"/>
      <c r="CD1152" s="84"/>
      <c r="CE1152" s="84"/>
      <c r="CF1152" s="84"/>
      <c r="CG1152" s="84"/>
      <c r="CH1152" s="84"/>
      <c r="CI1152" s="84"/>
      <c r="CJ1152" s="84"/>
      <c r="CK1152" s="84"/>
      <c r="CL1152" s="84"/>
    </row>
    <row r="1153" spans="66:90" s="354" customFormat="1" x14ac:dyDescent="0.2">
      <c r="BN1153" s="84"/>
      <c r="BO1153" s="84"/>
      <c r="BP1153" s="84"/>
      <c r="BQ1153" s="84"/>
      <c r="BR1153" s="84"/>
      <c r="BS1153" s="84"/>
      <c r="BT1153" s="84"/>
      <c r="BU1153" s="84"/>
      <c r="BV1153" s="84"/>
      <c r="BW1153" s="84"/>
      <c r="BX1153" s="84"/>
      <c r="BY1153" s="84"/>
      <c r="BZ1153" s="84"/>
      <c r="CA1153" s="84"/>
      <c r="CB1153" s="84"/>
      <c r="CC1153" s="84"/>
      <c r="CD1153" s="84"/>
      <c r="CE1153" s="84"/>
      <c r="CF1153" s="84"/>
      <c r="CG1153" s="84"/>
      <c r="CH1153" s="84"/>
      <c r="CI1153" s="84"/>
      <c r="CJ1153" s="84"/>
      <c r="CK1153" s="84"/>
      <c r="CL1153" s="84"/>
    </row>
    <row r="1154" spans="66:90" s="354" customFormat="1" x14ac:dyDescent="0.2">
      <c r="BN1154" s="84"/>
      <c r="BO1154" s="84"/>
      <c r="BP1154" s="84"/>
      <c r="BQ1154" s="84"/>
      <c r="BR1154" s="84"/>
      <c r="BS1154" s="84"/>
      <c r="BT1154" s="84"/>
      <c r="BU1154" s="84"/>
      <c r="BV1154" s="84"/>
      <c r="BW1154" s="84"/>
      <c r="BX1154" s="84"/>
      <c r="BY1154" s="84"/>
      <c r="BZ1154" s="84"/>
      <c r="CA1154" s="84"/>
      <c r="CB1154" s="84"/>
      <c r="CC1154" s="84"/>
      <c r="CD1154" s="84"/>
      <c r="CE1154" s="84"/>
      <c r="CF1154" s="84"/>
      <c r="CG1154" s="84"/>
      <c r="CH1154" s="84"/>
      <c r="CI1154" s="84"/>
      <c r="CJ1154" s="84"/>
      <c r="CK1154" s="84"/>
      <c r="CL1154" s="84"/>
    </row>
    <row r="1155" spans="66:90" s="354" customFormat="1" x14ac:dyDescent="0.2">
      <c r="BN1155" s="84"/>
      <c r="BO1155" s="84"/>
      <c r="BP1155" s="84"/>
      <c r="BQ1155" s="84"/>
      <c r="BR1155" s="84"/>
      <c r="BS1155" s="84"/>
      <c r="BT1155" s="84"/>
      <c r="BU1155" s="84"/>
      <c r="BV1155" s="84"/>
      <c r="BW1155" s="84"/>
      <c r="BX1155" s="84"/>
      <c r="BY1155" s="84"/>
      <c r="BZ1155" s="84"/>
      <c r="CA1155" s="84"/>
      <c r="CB1155" s="84"/>
      <c r="CC1155" s="84"/>
      <c r="CD1155" s="84"/>
      <c r="CE1155" s="84"/>
      <c r="CF1155" s="84"/>
      <c r="CG1155" s="84"/>
      <c r="CH1155" s="84"/>
      <c r="CI1155" s="84"/>
      <c r="CJ1155" s="84"/>
      <c r="CK1155" s="84"/>
      <c r="CL1155" s="84"/>
    </row>
    <row r="1156" spans="66:90" s="354" customFormat="1" x14ac:dyDescent="0.2">
      <c r="BN1156" s="84"/>
      <c r="BO1156" s="84"/>
      <c r="BP1156" s="84"/>
      <c r="BQ1156" s="84"/>
      <c r="BR1156" s="84"/>
      <c r="BS1156" s="84"/>
      <c r="BT1156" s="84"/>
      <c r="BU1156" s="84"/>
      <c r="BV1156" s="84"/>
      <c r="BW1156" s="84"/>
      <c r="BX1156" s="84"/>
      <c r="BY1156" s="84"/>
      <c r="BZ1156" s="84"/>
      <c r="CA1156" s="84"/>
      <c r="CB1156" s="84"/>
      <c r="CC1156" s="84"/>
      <c r="CD1156" s="84"/>
      <c r="CE1156" s="84"/>
      <c r="CF1156" s="84"/>
      <c r="CG1156" s="84"/>
      <c r="CH1156" s="84"/>
      <c r="CI1156" s="84"/>
      <c r="CJ1156" s="84"/>
      <c r="CK1156" s="84"/>
      <c r="CL1156" s="84"/>
    </row>
    <row r="1157" spans="66:90" s="354" customFormat="1" x14ac:dyDescent="0.2">
      <c r="BN1157" s="84"/>
      <c r="BO1157" s="84"/>
      <c r="BP1157" s="84"/>
      <c r="BQ1157" s="84"/>
      <c r="BR1157" s="84"/>
      <c r="BS1157" s="84"/>
      <c r="BT1157" s="84"/>
      <c r="BU1157" s="84"/>
      <c r="BV1157" s="84"/>
      <c r="BW1157" s="84"/>
      <c r="BX1157" s="84"/>
      <c r="BY1157" s="84"/>
      <c r="BZ1157" s="84"/>
      <c r="CA1157" s="84"/>
      <c r="CB1157" s="84"/>
      <c r="CC1157" s="84"/>
      <c r="CD1157" s="84"/>
      <c r="CE1157" s="84"/>
      <c r="CF1157" s="84"/>
      <c r="CG1157" s="84"/>
      <c r="CH1157" s="84"/>
      <c r="CI1157" s="84"/>
      <c r="CJ1157" s="84"/>
      <c r="CK1157" s="84"/>
      <c r="CL1157" s="84"/>
    </row>
    <row r="1158" spans="66:90" s="354" customFormat="1" x14ac:dyDescent="0.2">
      <c r="BN1158" s="84"/>
      <c r="BO1158" s="84"/>
      <c r="BP1158" s="84"/>
      <c r="BQ1158" s="84"/>
      <c r="BR1158" s="84"/>
      <c r="BS1158" s="84"/>
      <c r="BT1158" s="84"/>
      <c r="BU1158" s="84"/>
      <c r="BV1158" s="84"/>
      <c r="BW1158" s="84"/>
      <c r="BX1158" s="84"/>
      <c r="BY1158" s="84"/>
      <c r="BZ1158" s="84"/>
      <c r="CA1158" s="84"/>
      <c r="CB1158" s="84"/>
      <c r="CC1158" s="84"/>
      <c r="CD1158" s="84"/>
      <c r="CE1158" s="84"/>
      <c r="CF1158" s="84"/>
      <c r="CG1158" s="84"/>
      <c r="CH1158" s="84"/>
      <c r="CI1158" s="84"/>
      <c r="CJ1158" s="84"/>
      <c r="CK1158" s="84"/>
      <c r="CL1158" s="84"/>
    </row>
    <row r="1159" spans="66:90" s="354" customFormat="1" x14ac:dyDescent="0.2">
      <c r="BN1159" s="84"/>
      <c r="BO1159" s="84"/>
      <c r="BP1159" s="84"/>
      <c r="BQ1159" s="84"/>
      <c r="BR1159" s="84"/>
      <c r="BS1159" s="84"/>
      <c r="BT1159" s="84"/>
      <c r="BU1159" s="84"/>
      <c r="BV1159" s="84"/>
      <c r="BW1159" s="84"/>
      <c r="BX1159" s="84"/>
      <c r="BY1159" s="84"/>
      <c r="BZ1159" s="84"/>
      <c r="CA1159" s="84"/>
      <c r="CB1159" s="84"/>
      <c r="CC1159" s="84"/>
      <c r="CD1159" s="84"/>
      <c r="CE1159" s="84"/>
      <c r="CF1159" s="84"/>
      <c r="CG1159" s="84"/>
      <c r="CH1159" s="84"/>
      <c r="CI1159" s="84"/>
      <c r="CJ1159" s="84"/>
      <c r="CK1159" s="84"/>
      <c r="CL1159" s="84"/>
    </row>
    <row r="1160" spans="66:90" s="354" customFormat="1" x14ac:dyDescent="0.2">
      <c r="BN1160" s="84"/>
      <c r="BO1160" s="84"/>
      <c r="BP1160" s="84"/>
      <c r="BQ1160" s="84"/>
      <c r="BR1160" s="84"/>
      <c r="BS1160" s="84"/>
      <c r="BT1160" s="84"/>
      <c r="BU1160" s="84"/>
      <c r="BV1160" s="84"/>
      <c r="BW1160" s="84"/>
      <c r="BX1160" s="84"/>
      <c r="BY1160" s="84"/>
      <c r="BZ1160" s="84"/>
      <c r="CA1160" s="84"/>
      <c r="CB1160" s="84"/>
      <c r="CC1160" s="84"/>
      <c r="CD1160" s="84"/>
      <c r="CE1160" s="84"/>
      <c r="CF1160" s="84"/>
      <c r="CG1160" s="84"/>
      <c r="CH1160" s="84"/>
      <c r="CI1160" s="84"/>
      <c r="CJ1160" s="84"/>
      <c r="CK1160" s="84"/>
      <c r="CL1160" s="84"/>
    </row>
    <row r="1161" spans="66:90" s="354" customFormat="1" x14ac:dyDescent="0.2">
      <c r="BN1161" s="84"/>
      <c r="BO1161" s="84"/>
      <c r="BP1161" s="84"/>
      <c r="BQ1161" s="84"/>
      <c r="BR1161" s="84"/>
      <c r="BS1161" s="84"/>
      <c r="BT1161" s="84"/>
      <c r="BU1161" s="84"/>
      <c r="BV1161" s="84"/>
      <c r="BW1161" s="84"/>
      <c r="BX1161" s="84"/>
      <c r="BY1161" s="84"/>
      <c r="BZ1161" s="84"/>
      <c r="CA1161" s="84"/>
      <c r="CB1161" s="84"/>
      <c r="CC1161" s="84"/>
      <c r="CD1161" s="84"/>
      <c r="CE1161" s="84"/>
      <c r="CF1161" s="84"/>
      <c r="CG1161" s="84"/>
      <c r="CH1161" s="84"/>
      <c r="CI1161" s="84"/>
      <c r="CJ1161" s="84"/>
      <c r="CK1161" s="84"/>
      <c r="CL1161" s="84"/>
    </row>
    <row r="1162" spans="66:90" s="354" customFormat="1" x14ac:dyDescent="0.2">
      <c r="BN1162" s="84"/>
      <c r="BO1162" s="84"/>
      <c r="BP1162" s="84"/>
      <c r="BQ1162" s="84"/>
      <c r="BR1162" s="84"/>
      <c r="BS1162" s="84"/>
      <c r="BT1162" s="84"/>
      <c r="BU1162" s="84"/>
      <c r="BV1162" s="84"/>
      <c r="BW1162" s="84"/>
      <c r="BX1162" s="84"/>
      <c r="BY1162" s="84"/>
      <c r="BZ1162" s="84"/>
      <c r="CA1162" s="84"/>
      <c r="CB1162" s="84"/>
      <c r="CC1162" s="84"/>
      <c r="CD1162" s="84"/>
      <c r="CE1162" s="84"/>
      <c r="CF1162" s="84"/>
      <c r="CG1162" s="84"/>
      <c r="CH1162" s="84"/>
      <c r="CI1162" s="84"/>
      <c r="CJ1162" s="84"/>
      <c r="CK1162" s="84"/>
      <c r="CL1162" s="84"/>
    </row>
    <row r="1163" spans="66:90" s="354" customFormat="1" x14ac:dyDescent="0.2">
      <c r="BN1163" s="84"/>
      <c r="BO1163" s="84"/>
      <c r="BP1163" s="84"/>
      <c r="BQ1163" s="84"/>
      <c r="BR1163" s="84"/>
      <c r="BS1163" s="84"/>
      <c r="BT1163" s="84"/>
      <c r="BU1163" s="84"/>
      <c r="BV1163" s="84"/>
      <c r="BW1163" s="84"/>
      <c r="BX1163" s="84"/>
      <c r="BY1163" s="84"/>
      <c r="BZ1163" s="84"/>
      <c r="CA1163" s="84"/>
      <c r="CB1163" s="84"/>
      <c r="CC1163" s="84"/>
      <c r="CD1163" s="84"/>
      <c r="CE1163" s="84"/>
      <c r="CF1163" s="84"/>
      <c r="CG1163" s="84"/>
      <c r="CH1163" s="84"/>
      <c r="CI1163" s="84"/>
      <c r="CJ1163" s="84"/>
      <c r="CK1163" s="84"/>
      <c r="CL1163" s="84"/>
    </row>
    <row r="1164" spans="66:90" s="354" customFormat="1" x14ac:dyDescent="0.2">
      <c r="BN1164" s="84"/>
      <c r="BO1164" s="84"/>
      <c r="BP1164" s="84"/>
      <c r="BQ1164" s="84"/>
      <c r="BR1164" s="84"/>
      <c r="BS1164" s="84"/>
      <c r="BT1164" s="84"/>
      <c r="BU1164" s="84"/>
      <c r="BV1164" s="84"/>
      <c r="BW1164" s="84"/>
      <c r="BX1164" s="84"/>
      <c r="BY1164" s="84"/>
      <c r="BZ1164" s="84"/>
      <c r="CA1164" s="84"/>
      <c r="CB1164" s="84"/>
      <c r="CC1164" s="84"/>
      <c r="CD1164" s="84"/>
      <c r="CE1164" s="84"/>
      <c r="CF1164" s="84"/>
      <c r="CG1164" s="84"/>
      <c r="CH1164" s="84"/>
      <c r="CI1164" s="84"/>
      <c r="CJ1164" s="84"/>
      <c r="CK1164" s="84"/>
      <c r="CL1164" s="84"/>
    </row>
    <row r="1165" spans="66:90" s="354" customFormat="1" x14ac:dyDescent="0.2">
      <c r="BN1165" s="84"/>
      <c r="BO1165" s="84"/>
      <c r="BP1165" s="84"/>
      <c r="BQ1165" s="84"/>
      <c r="BR1165" s="84"/>
      <c r="BS1165" s="84"/>
      <c r="BT1165" s="84"/>
      <c r="BU1165" s="84"/>
      <c r="BV1165" s="84"/>
      <c r="BW1165" s="84"/>
      <c r="BX1165" s="84"/>
      <c r="BY1165" s="84"/>
      <c r="BZ1165" s="84"/>
      <c r="CA1165" s="84"/>
      <c r="CB1165" s="84"/>
      <c r="CC1165" s="84"/>
      <c r="CD1165" s="84"/>
      <c r="CE1165" s="84"/>
      <c r="CF1165" s="84"/>
      <c r="CG1165" s="84"/>
      <c r="CH1165" s="84"/>
      <c r="CI1165" s="84"/>
      <c r="CJ1165" s="84"/>
      <c r="CK1165" s="84"/>
      <c r="CL1165" s="84"/>
    </row>
    <row r="1166" spans="66:90" s="354" customFormat="1" x14ac:dyDescent="0.2">
      <c r="BN1166" s="84"/>
      <c r="BO1166" s="84"/>
      <c r="BP1166" s="84"/>
      <c r="BQ1166" s="84"/>
      <c r="BR1166" s="84"/>
      <c r="BS1166" s="84"/>
      <c r="BT1166" s="84"/>
      <c r="BU1166" s="84"/>
      <c r="BV1166" s="84"/>
      <c r="BW1166" s="84"/>
      <c r="BX1166" s="84"/>
      <c r="BY1166" s="84"/>
      <c r="BZ1166" s="84"/>
      <c r="CA1166" s="84"/>
      <c r="CB1166" s="84"/>
      <c r="CC1166" s="84"/>
      <c r="CD1166" s="84"/>
      <c r="CE1166" s="84"/>
      <c r="CF1166" s="84"/>
      <c r="CG1166" s="84"/>
      <c r="CH1166" s="84"/>
      <c r="CI1166" s="84"/>
      <c r="CJ1166" s="84"/>
      <c r="CK1166" s="84"/>
      <c r="CL1166" s="84"/>
    </row>
    <row r="1167" spans="66:90" s="354" customFormat="1" x14ac:dyDescent="0.2">
      <c r="BN1167" s="84"/>
      <c r="BO1167" s="84"/>
      <c r="BP1167" s="84"/>
      <c r="BQ1167" s="84"/>
      <c r="BR1167" s="84"/>
      <c r="BS1167" s="84"/>
      <c r="BT1167" s="84"/>
      <c r="BU1167" s="84"/>
      <c r="BV1167" s="84"/>
      <c r="BW1167" s="84"/>
      <c r="BX1167" s="84"/>
      <c r="BY1167" s="84"/>
      <c r="BZ1167" s="84"/>
      <c r="CA1167" s="84"/>
      <c r="CB1167" s="84"/>
      <c r="CC1167" s="84"/>
      <c r="CD1167" s="84"/>
      <c r="CE1167" s="84"/>
      <c r="CF1167" s="84"/>
      <c r="CG1167" s="84"/>
      <c r="CH1167" s="84"/>
      <c r="CI1167" s="84"/>
      <c r="CJ1167" s="84"/>
      <c r="CK1167" s="84"/>
      <c r="CL1167" s="84"/>
    </row>
    <row r="1168" spans="66:90" s="354" customFormat="1" x14ac:dyDescent="0.2">
      <c r="BN1168" s="84"/>
      <c r="BO1168" s="84"/>
      <c r="BP1168" s="84"/>
      <c r="BQ1168" s="84"/>
      <c r="BR1168" s="84"/>
      <c r="BS1168" s="84"/>
      <c r="BT1168" s="84"/>
      <c r="BU1168" s="84"/>
      <c r="BV1168" s="84"/>
      <c r="BW1168" s="84"/>
      <c r="BX1168" s="84"/>
      <c r="BY1168" s="84"/>
      <c r="BZ1168" s="84"/>
      <c r="CA1168" s="84"/>
      <c r="CB1168" s="84"/>
      <c r="CC1168" s="84"/>
      <c r="CD1168" s="84"/>
      <c r="CE1168" s="84"/>
      <c r="CF1168" s="84"/>
      <c r="CG1168" s="84"/>
      <c r="CH1168" s="84"/>
      <c r="CI1168" s="84"/>
      <c r="CJ1168" s="84"/>
      <c r="CK1168" s="84"/>
      <c r="CL1168" s="84"/>
    </row>
    <row r="1169" spans="66:90" s="354" customFormat="1" x14ac:dyDescent="0.2">
      <c r="BN1169" s="84"/>
      <c r="BO1169" s="84"/>
      <c r="BP1169" s="84"/>
      <c r="BQ1169" s="84"/>
      <c r="BR1169" s="84"/>
      <c r="BS1169" s="84"/>
      <c r="BT1169" s="84"/>
      <c r="BU1169" s="84"/>
      <c r="BV1169" s="84"/>
      <c r="BW1169" s="84"/>
      <c r="BX1169" s="84"/>
      <c r="BY1169" s="84"/>
      <c r="BZ1169" s="84"/>
      <c r="CA1169" s="84"/>
      <c r="CB1169" s="84"/>
      <c r="CC1169" s="84"/>
      <c r="CD1169" s="84"/>
      <c r="CE1169" s="84"/>
      <c r="CF1169" s="84"/>
      <c r="CG1169" s="84"/>
      <c r="CH1169" s="84"/>
      <c r="CI1169" s="84"/>
      <c r="CJ1169" s="84"/>
      <c r="CK1169" s="84"/>
      <c r="CL1169" s="84"/>
    </row>
    <row r="1170" spans="66:90" s="354" customFormat="1" x14ac:dyDescent="0.2">
      <c r="BN1170" s="84"/>
      <c r="BO1170" s="84"/>
      <c r="BP1170" s="84"/>
      <c r="BQ1170" s="84"/>
      <c r="BR1170" s="84"/>
      <c r="BS1170" s="84"/>
      <c r="BT1170" s="84"/>
      <c r="BU1170" s="84"/>
      <c r="BV1170" s="84"/>
      <c r="BW1170" s="84"/>
      <c r="BX1170" s="84"/>
      <c r="BY1170" s="84"/>
      <c r="BZ1170" s="84"/>
      <c r="CA1170" s="84"/>
      <c r="CB1170" s="84"/>
      <c r="CC1170" s="84"/>
      <c r="CD1170" s="84"/>
      <c r="CE1170" s="84"/>
      <c r="CF1170" s="84"/>
      <c r="CG1170" s="84"/>
      <c r="CH1170" s="84"/>
      <c r="CI1170" s="84"/>
      <c r="CJ1170" s="84"/>
      <c r="CK1170" s="84"/>
      <c r="CL1170" s="84"/>
    </row>
    <row r="1171" spans="66:90" s="354" customFormat="1" x14ac:dyDescent="0.2">
      <c r="BN1171" s="84"/>
      <c r="BO1171" s="84"/>
      <c r="BP1171" s="84"/>
      <c r="BQ1171" s="84"/>
      <c r="BR1171" s="84"/>
      <c r="BS1171" s="84"/>
      <c r="BT1171" s="84"/>
      <c r="BU1171" s="84"/>
      <c r="BV1171" s="84"/>
      <c r="BW1171" s="84"/>
      <c r="BX1171" s="84"/>
      <c r="BY1171" s="84"/>
      <c r="BZ1171" s="84"/>
      <c r="CA1171" s="84"/>
      <c r="CB1171" s="84"/>
      <c r="CC1171" s="84"/>
      <c r="CD1171" s="84"/>
      <c r="CE1171" s="84"/>
      <c r="CF1171" s="84"/>
      <c r="CG1171" s="84"/>
      <c r="CH1171" s="84"/>
      <c r="CI1171" s="84"/>
      <c r="CJ1171" s="84"/>
      <c r="CK1171" s="84"/>
      <c r="CL1171" s="84"/>
    </row>
    <row r="1172" spans="66:90" s="354" customFormat="1" x14ac:dyDescent="0.2">
      <c r="BN1172" s="84"/>
      <c r="BO1172" s="84"/>
      <c r="BP1172" s="84"/>
      <c r="BQ1172" s="84"/>
      <c r="BR1172" s="84"/>
      <c r="BS1172" s="84"/>
      <c r="BT1172" s="84"/>
      <c r="BU1172" s="84"/>
      <c r="BV1172" s="84"/>
      <c r="BW1172" s="84"/>
      <c r="BX1172" s="84"/>
      <c r="BY1172" s="84"/>
      <c r="BZ1172" s="84"/>
      <c r="CA1172" s="84"/>
      <c r="CB1172" s="84"/>
      <c r="CC1172" s="84"/>
      <c r="CD1172" s="84"/>
      <c r="CE1172" s="84"/>
      <c r="CF1172" s="84"/>
      <c r="CG1172" s="84"/>
      <c r="CH1172" s="84"/>
      <c r="CI1172" s="84"/>
      <c r="CJ1172" s="84"/>
      <c r="CK1172" s="84"/>
      <c r="CL1172" s="84"/>
    </row>
    <row r="1173" spans="66:90" s="354" customFormat="1" x14ac:dyDescent="0.2">
      <c r="BN1173" s="84"/>
      <c r="BO1173" s="84"/>
      <c r="BP1173" s="84"/>
      <c r="BQ1173" s="84"/>
      <c r="BR1173" s="84"/>
      <c r="BS1173" s="84"/>
      <c r="BT1173" s="84"/>
      <c r="BU1173" s="84"/>
      <c r="BV1173" s="84"/>
      <c r="BW1173" s="84"/>
      <c r="BX1173" s="84"/>
      <c r="BY1173" s="84"/>
      <c r="BZ1173" s="84"/>
      <c r="CA1173" s="84"/>
      <c r="CB1173" s="84"/>
      <c r="CC1173" s="84"/>
      <c r="CD1173" s="84"/>
      <c r="CE1173" s="84"/>
      <c r="CF1173" s="84"/>
      <c r="CG1173" s="84"/>
      <c r="CH1173" s="84"/>
      <c r="CI1173" s="84"/>
      <c r="CJ1173" s="84"/>
      <c r="CK1173" s="84"/>
      <c r="CL1173" s="84"/>
    </row>
    <row r="1174" spans="66:90" s="354" customFormat="1" x14ac:dyDescent="0.2">
      <c r="BN1174" s="84"/>
      <c r="BO1174" s="84"/>
      <c r="BP1174" s="84"/>
      <c r="BQ1174" s="84"/>
      <c r="BR1174" s="84"/>
      <c r="BS1174" s="84"/>
      <c r="BT1174" s="84"/>
      <c r="BU1174" s="84"/>
      <c r="BV1174" s="84"/>
      <c r="BW1174" s="84"/>
      <c r="BX1174" s="84"/>
      <c r="BY1174" s="84"/>
      <c r="BZ1174" s="84"/>
      <c r="CA1174" s="84"/>
      <c r="CB1174" s="84"/>
      <c r="CC1174" s="84"/>
      <c r="CD1174" s="84"/>
      <c r="CE1174" s="84"/>
      <c r="CF1174" s="84"/>
      <c r="CG1174" s="84"/>
      <c r="CH1174" s="84"/>
      <c r="CI1174" s="84"/>
      <c r="CJ1174" s="84"/>
      <c r="CK1174" s="84"/>
      <c r="CL1174" s="84"/>
    </row>
    <row r="1175" spans="66:90" s="354" customFormat="1" x14ac:dyDescent="0.2">
      <c r="BN1175" s="84"/>
      <c r="BO1175" s="84"/>
      <c r="BP1175" s="84"/>
      <c r="BQ1175" s="84"/>
      <c r="BR1175" s="84"/>
      <c r="BS1175" s="84"/>
      <c r="BT1175" s="84"/>
      <c r="BU1175" s="84"/>
      <c r="BV1175" s="84"/>
      <c r="BW1175" s="84"/>
      <c r="BX1175" s="84"/>
      <c r="BY1175" s="84"/>
      <c r="BZ1175" s="84"/>
      <c r="CA1175" s="84"/>
      <c r="CB1175" s="84"/>
      <c r="CC1175" s="84"/>
      <c r="CD1175" s="84"/>
      <c r="CE1175" s="84"/>
      <c r="CF1175" s="84"/>
      <c r="CG1175" s="84"/>
      <c r="CH1175" s="84"/>
      <c r="CI1175" s="84"/>
      <c r="CJ1175" s="84"/>
      <c r="CK1175" s="84"/>
      <c r="CL1175" s="84"/>
    </row>
    <row r="1176" spans="66:90" s="354" customFormat="1" x14ac:dyDescent="0.2">
      <c r="BN1176" s="84"/>
      <c r="BO1176" s="84"/>
      <c r="BP1176" s="84"/>
      <c r="BQ1176" s="84"/>
      <c r="BR1176" s="84"/>
      <c r="BS1176" s="84"/>
      <c r="BT1176" s="84"/>
      <c r="BU1176" s="84"/>
      <c r="BV1176" s="84"/>
      <c r="BW1176" s="84"/>
      <c r="BX1176" s="84"/>
      <c r="BY1176" s="84"/>
      <c r="BZ1176" s="84"/>
      <c r="CA1176" s="84"/>
      <c r="CB1176" s="84"/>
      <c r="CC1176" s="84"/>
      <c r="CD1176" s="84"/>
      <c r="CE1176" s="84"/>
      <c r="CF1176" s="84"/>
      <c r="CG1176" s="84"/>
      <c r="CH1176" s="84"/>
      <c r="CI1176" s="84"/>
      <c r="CJ1176" s="84"/>
      <c r="CK1176" s="84"/>
      <c r="CL1176" s="84"/>
    </row>
    <row r="1177" spans="66:90" s="354" customFormat="1" x14ac:dyDescent="0.2">
      <c r="BN1177" s="84"/>
      <c r="BO1177" s="84"/>
      <c r="BP1177" s="84"/>
      <c r="BQ1177" s="84"/>
      <c r="BR1177" s="84"/>
      <c r="BS1177" s="84"/>
      <c r="BT1177" s="84"/>
      <c r="BU1177" s="84"/>
      <c r="BV1177" s="84"/>
      <c r="BW1177" s="84"/>
      <c r="BX1177" s="84"/>
      <c r="BY1177" s="84"/>
      <c r="BZ1177" s="84"/>
      <c r="CA1177" s="84"/>
      <c r="CB1177" s="84"/>
      <c r="CC1177" s="84"/>
      <c r="CD1177" s="84"/>
      <c r="CE1177" s="84"/>
      <c r="CF1177" s="84"/>
      <c r="CG1177" s="84"/>
      <c r="CH1177" s="84"/>
      <c r="CI1177" s="84"/>
      <c r="CJ1177" s="84"/>
      <c r="CK1177" s="84"/>
      <c r="CL1177" s="84"/>
    </row>
    <row r="1178" spans="66:90" s="354" customFormat="1" x14ac:dyDescent="0.2">
      <c r="BN1178" s="84"/>
      <c r="BO1178" s="84"/>
      <c r="BP1178" s="84"/>
      <c r="BQ1178" s="84"/>
      <c r="BR1178" s="84"/>
      <c r="BS1178" s="84"/>
      <c r="BT1178" s="84"/>
      <c r="BU1178" s="84"/>
      <c r="BV1178" s="84"/>
      <c r="BW1178" s="84"/>
      <c r="BX1178" s="84"/>
      <c r="BY1178" s="84"/>
      <c r="BZ1178" s="84"/>
      <c r="CA1178" s="84"/>
      <c r="CB1178" s="84"/>
      <c r="CC1178" s="84"/>
      <c r="CD1178" s="84"/>
      <c r="CE1178" s="84"/>
      <c r="CF1178" s="84"/>
      <c r="CG1178" s="84"/>
      <c r="CH1178" s="84"/>
      <c r="CI1178" s="84"/>
      <c r="CJ1178" s="84"/>
      <c r="CK1178" s="84"/>
      <c r="CL1178" s="84"/>
    </row>
    <row r="1179" spans="66:90" s="354" customFormat="1" x14ac:dyDescent="0.2">
      <c r="BN1179" s="84"/>
      <c r="BO1179" s="84"/>
      <c r="BP1179" s="84"/>
      <c r="BQ1179" s="84"/>
      <c r="BR1179" s="84"/>
      <c r="BS1179" s="84"/>
      <c r="BT1179" s="84"/>
      <c r="BU1179" s="84"/>
      <c r="BV1179" s="84"/>
      <c r="BW1179" s="84"/>
      <c r="BX1179" s="84"/>
      <c r="BY1179" s="84"/>
      <c r="BZ1179" s="84"/>
      <c r="CA1179" s="84"/>
      <c r="CB1179" s="84"/>
      <c r="CC1179" s="84"/>
      <c r="CD1179" s="84"/>
      <c r="CE1179" s="84"/>
      <c r="CF1179" s="84"/>
      <c r="CG1179" s="84"/>
      <c r="CH1179" s="84"/>
      <c r="CI1179" s="84"/>
      <c r="CJ1179" s="84"/>
      <c r="CK1179" s="84"/>
      <c r="CL1179" s="84"/>
    </row>
    <row r="1180" spans="66:90" s="354" customFormat="1" x14ac:dyDescent="0.2">
      <c r="BN1180" s="84"/>
      <c r="BO1180" s="84"/>
      <c r="BP1180" s="84"/>
      <c r="BQ1180" s="84"/>
      <c r="BR1180" s="84"/>
      <c r="BS1180" s="84"/>
      <c r="BT1180" s="84"/>
      <c r="BU1180" s="84"/>
      <c r="BV1180" s="84"/>
      <c r="BW1180" s="84"/>
      <c r="BX1180" s="84"/>
      <c r="BY1180" s="84"/>
      <c r="BZ1180" s="84"/>
      <c r="CA1180" s="84"/>
      <c r="CB1180" s="84"/>
      <c r="CC1180" s="84"/>
      <c r="CD1180" s="84"/>
      <c r="CE1180" s="84"/>
      <c r="CF1180" s="84"/>
      <c r="CG1180" s="84"/>
      <c r="CH1180" s="84"/>
      <c r="CI1180" s="84"/>
      <c r="CJ1180" s="84"/>
      <c r="CK1180" s="84"/>
      <c r="CL1180" s="84"/>
    </row>
    <row r="1181" spans="66:90" s="354" customFormat="1" x14ac:dyDescent="0.2">
      <c r="BN1181" s="84"/>
      <c r="BO1181" s="84"/>
      <c r="BP1181" s="84"/>
      <c r="BQ1181" s="84"/>
      <c r="BR1181" s="84"/>
      <c r="BS1181" s="84"/>
      <c r="BT1181" s="84"/>
      <c r="BU1181" s="84"/>
      <c r="BV1181" s="84"/>
      <c r="BW1181" s="84"/>
      <c r="BX1181" s="84"/>
      <c r="BY1181" s="84"/>
      <c r="BZ1181" s="84"/>
      <c r="CA1181" s="84"/>
      <c r="CB1181" s="84"/>
      <c r="CC1181" s="84"/>
      <c r="CD1181" s="84"/>
      <c r="CE1181" s="84"/>
      <c r="CF1181" s="84"/>
      <c r="CG1181" s="84"/>
      <c r="CH1181" s="84"/>
      <c r="CI1181" s="84"/>
      <c r="CJ1181" s="84"/>
      <c r="CK1181" s="84"/>
      <c r="CL1181" s="84"/>
    </row>
    <row r="1182" spans="66:90" s="354" customFormat="1" x14ac:dyDescent="0.2">
      <c r="BN1182" s="84"/>
      <c r="BO1182" s="84"/>
      <c r="BP1182" s="84"/>
      <c r="BQ1182" s="84"/>
      <c r="BR1182" s="84"/>
      <c r="BS1182" s="84"/>
      <c r="BT1182" s="84"/>
      <c r="BU1182" s="84"/>
      <c r="BV1182" s="84"/>
      <c r="BW1182" s="84"/>
      <c r="BX1182" s="84"/>
      <c r="BY1182" s="84"/>
      <c r="BZ1182" s="84"/>
      <c r="CA1182" s="84"/>
      <c r="CB1182" s="84"/>
      <c r="CC1182" s="84"/>
      <c r="CD1182" s="84"/>
      <c r="CE1182" s="84"/>
      <c r="CF1182" s="84"/>
      <c r="CG1182" s="84"/>
      <c r="CH1182" s="84"/>
      <c r="CI1182" s="84"/>
      <c r="CJ1182" s="84"/>
      <c r="CK1182" s="84"/>
      <c r="CL1182" s="84"/>
    </row>
    <row r="1183" spans="66:90" s="354" customFormat="1" x14ac:dyDescent="0.2">
      <c r="BN1183" s="84"/>
      <c r="BO1183" s="84"/>
      <c r="BP1183" s="84"/>
      <c r="BQ1183" s="84"/>
      <c r="BR1183" s="84"/>
      <c r="BS1183" s="84"/>
      <c r="BT1183" s="84"/>
      <c r="BU1183" s="84"/>
      <c r="BV1183" s="84"/>
      <c r="BW1183" s="84"/>
      <c r="BX1183" s="84"/>
      <c r="BY1183" s="84"/>
      <c r="BZ1183" s="84"/>
      <c r="CA1183" s="84"/>
      <c r="CB1183" s="84"/>
      <c r="CC1183" s="84"/>
      <c r="CD1183" s="84"/>
      <c r="CE1183" s="84"/>
      <c r="CF1183" s="84"/>
      <c r="CG1183" s="84"/>
      <c r="CH1183" s="84"/>
      <c r="CI1183" s="84"/>
      <c r="CJ1183" s="84"/>
      <c r="CK1183" s="84"/>
      <c r="CL1183" s="84"/>
    </row>
    <row r="1184" spans="66:90" s="354" customFormat="1" x14ac:dyDescent="0.2">
      <c r="BN1184" s="84"/>
      <c r="BO1184" s="84"/>
      <c r="BP1184" s="84"/>
      <c r="BQ1184" s="84"/>
      <c r="BR1184" s="84"/>
      <c r="BS1184" s="84"/>
      <c r="BT1184" s="84"/>
      <c r="BU1184" s="84"/>
      <c r="BV1184" s="84"/>
      <c r="BW1184" s="84"/>
      <c r="BX1184" s="84"/>
      <c r="BY1184" s="84"/>
      <c r="BZ1184" s="84"/>
      <c r="CA1184" s="84"/>
      <c r="CB1184" s="84"/>
      <c r="CC1184" s="84"/>
      <c r="CD1184" s="84"/>
      <c r="CE1184" s="84"/>
      <c r="CF1184" s="84"/>
      <c r="CG1184" s="84"/>
      <c r="CH1184" s="84"/>
      <c r="CI1184" s="84"/>
      <c r="CJ1184" s="84"/>
      <c r="CK1184" s="84"/>
      <c r="CL1184" s="84"/>
    </row>
    <row r="1185" spans="66:90" s="354" customFormat="1" x14ac:dyDescent="0.2">
      <c r="BN1185" s="84"/>
      <c r="BO1185" s="84"/>
      <c r="BP1185" s="84"/>
      <c r="BQ1185" s="84"/>
      <c r="BR1185" s="84"/>
      <c r="BS1185" s="84"/>
      <c r="BT1185" s="84"/>
      <c r="BU1185" s="84"/>
      <c r="BV1185" s="84"/>
      <c r="BW1185" s="84"/>
      <c r="BX1185" s="84"/>
      <c r="BY1185" s="84"/>
      <c r="BZ1185" s="84"/>
      <c r="CA1185" s="84"/>
      <c r="CB1185" s="84"/>
      <c r="CC1185" s="84"/>
      <c r="CD1185" s="84"/>
      <c r="CE1185" s="84"/>
      <c r="CF1185" s="84"/>
      <c r="CG1185" s="84"/>
      <c r="CH1185" s="84"/>
      <c r="CI1185" s="84"/>
      <c r="CJ1185" s="84"/>
      <c r="CK1185" s="84"/>
      <c r="CL1185" s="84"/>
    </row>
    <row r="1186" spans="66:90" s="354" customFormat="1" x14ac:dyDescent="0.2">
      <c r="BN1186" s="84"/>
      <c r="BO1186" s="84"/>
      <c r="BP1186" s="84"/>
      <c r="BQ1186" s="84"/>
      <c r="BR1186" s="84"/>
      <c r="BS1186" s="84"/>
      <c r="BT1186" s="84"/>
      <c r="BU1186" s="84"/>
      <c r="BV1186" s="84"/>
      <c r="BW1186" s="84"/>
      <c r="BX1186" s="84"/>
      <c r="BY1186" s="84"/>
      <c r="BZ1186" s="84"/>
      <c r="CA1186" s="84"/>
      <c r="CB1186" s="84"/>
      <c r="CC1186" s="84"/>
      <c r="CD1186" s="84"/>
      <c r="CE1186" s="84"/>
      <c r="CF1186" s="84"/>
      <c r="CG1186" s="84"/>
      <c r="CH1186" s="84"/>
      <c r="CI1186" s="84"/>
      <c r="CJ1186" s="84"/>
      <c r="CK1186" s="84"/>
      <c r="CL1186" s="84"/>
    </row>
    <row r="1187" spans="66:90" s="354" customFormat="1" x14ac:dyDescent="0.2">
      <c r="BN1187" s="84"/>
      <c r="BO1187" s="84"/>
      <c r="BP1187" s="84"/>
      <c r="BQ1187" s="84"/>
      <c r="BR1187" s="84"/>
      <c r="BS1187" s="84"/>
      <c r="BT1187" s="84"/>
      <c r="BU1187" s="84"/>
      <c r="BV1187" s="84"/>
      <c r="BW1187" s="84"/>
      <c r="BX1187" s="84"/>
      <c r="BY1187" s="84"/>
      <c r="BZ1187" s="84"/>
      <c r="CA1187" s="84"/>
      <c r="CB1187" s="84"/>
      <c r="CC1187" s="84"/>
      <c r="CD1187" s="84"/>
      <c r="CE1187" s="84"/>
      <c r="CF1187" s="84"/>
      <c r="CG1187" s="84"/>
      <c r="CH1187" s="84"/>
      <c r="CI1187" s="84"/>
      <c r="CJ1187" s="84"/>
      <c r="CK1187" s="84"/>
      <c r="CL1187" s="84"/>
    </row>
    <row r="1188" spans="66:90" s="354" customFormat="1" x14ac:dyDescent="0.2">
      <c r="BN1188" s="84"/>
      <c r="BO1188" s="84"/>
      <c r="BP1188" s="84"/>
      <c r="BQ1188" s="84"/>
      <c r="BR1188" s="84"/>
      <c r="BS1188" s="84"/>
      <c r="BT1188" s="84"/>
      <c r="BU1188" s="84"/>
      <c r="BV1188" s="84"/>
      <c r="BW1188" s="84"/>
      <c r="BX1188" s="84"/>
      <c r="BY1188" s="84"/>
      <c r="BZ1188" s="84"/>
      <c r="CA1188" s="84"/>
      <c r="CB1188" s="84"/>
      <c r="CC1188" s="84"/>
      <c r="CD1188" s="84"/>
      <c r="CE1188" s="84"/>
      <c r="CF1188" s="84"/>
      <c r="CG1188" s="84"/>
      <c r="CH1188" s="84"/>
      <c r="CI1188" s="84"/>
      <c r="CJ1188" s="84"/>
      <c r="CK1188" s="84"/>
      <c r="CL1188" s="84"/>
    </row>
    <row r="1189" spans="66:90" s="354" customFormat="1" x14ac:dyDescent="0.2">
      <c r="BN1189" s="84"/>
      <c r="BO1189" s="84"/>
      <c r="BP1189" s="84"/>
      <c r="BQ1189" s="84"/>
      <c r="BR1189" s="84"/>
      <c r="BS1189" s="84"/>
      <c r="BT1189" s="84"/>
      <c r="BU1189" s="84"/>
      <c r="BV1189" s="84"/>
      <c r="BW1189" s="84"/>
      <c r="BX1189" s="84"/>
      <c r="BY1189" s="84"/>
      <c r="BZ1189" s="84"/>
      <c r="CA1189" s="84"/>
      <c r="CB1189" s="84"/>
      <c r="CC1189" s="84"/>
      <c r="CD1189" s="84"/>
      <c r="CE1189" s="84"/>
      <c r="CF1189" s="84"/>
      <c r="CG1189" s="84"/>
      <c r="CH1189" s="84"/>
      <c r="CI1189" s="84"/>
      <c r="CJ1189" s="84"/>
      <c r="CK1189" s="84"/>
      <c r="CL1189" s="84"/>
    </row>
    <row r="1190" spans="66:90" s="354" customFormat="1" x14ac:dyDescent="0.2">
      <c r="BN1190" s="84"/>
      <c r="BO1190" s="84"/>
      <c r="BP1190" s="84"/>
      <c r="BQ1190" s="84"/>
      <c r="BR1190" s="84"/>
      <c r="BS1190" s="84"/>
      <c r="BT1190" s="84"/>
      <c r="BU1190" s="84"/>
      <c r="BV1190" s="84"/>
      <c r="BW1190" s="84"/>
      <c r="BX1190" s="84"/>
      <c r="BY1190" s="84"/>
      <c r="BZ1190" s="84"/>
      <c r="CA1190" s="84"/>
      <c r="CB1190" s="84"/>
      <c r="CC1190" s="84"/>
      <c r="CD1190" s="84"/>
      <c r="CE1190" s="84"/>
      <c r="CF1190" s="84"/>
      <c r="CG1190" s="84"/>
      <c r="CH1190" s="84"/>
      <c r="CI1190" s="84"/>
      <c r="CJ1190" s="84"/>
      <c r="CK1190" s="84"/>
      <c r="CL1190" s="84"/>
    </row>
    <row r="1191" spans="66:90" s="354" customFormat="1" x14ac:dyDescent="0.2">
      <c r="BN1191" s="84"/>
      <c r="BO1191" s="84"/>
      <c r="BP1191" s="84"/>
      <c r="BQ1191" s="84"/>
      <c r="BR1191" s="84"/>
      <c r="BS1191" s="84"/>
      <c r="BT1191" s="84"/>
      <c r="BU1191" s="84"/>
      <c r="BV1191" s="84"/>
      <c r="BW1191" s="84"/>
      <c r="BX1191" s="84"/>
      <c r="BY1191" s="84"/>
      <c r="BZ1191" s="84"/>
      <c r="CA1191" s="84"/>
      <c r="CB1191" s="84"/>
      <c r="CC1191" s="84"/>
      <c r="CD1191" s="84"/>
      <c r="CE1191" s="84"/>
      <c r="CF1191" s="84"/>
      <c r="CG1191" s="84"/>
      <c r="CH1191" s="84"/>
      <c r="CI1191" s="84"/>
      <c r="CJ1191" s="84"/>
      <c r="CK1191" s="84"/>
      <c r="CL1191" s="84"/>
    </row>
    <row r="1192" spans="66:90" s="354" customFormat="1" x14ac:dyDescent="0.2">
      <c r="BN1192" s="84"/>
      <c r="BO1192" s="84"/>
      <c r="BP1192" s="84"/>
      <c r="BQ1192" s="84"/>
      <c r="BR1192" s="84"/>
      <c r="BS1192" s="84"/>
      <c r="BT1192" s="84"/>
      <c r="BU1192" s="84"/>
      <c r="BV1192" s="84"/>
      <c r="BW1192" s="84"/>
      <c r="BX1192" s="84"/>
      <c r="BY1192" s="84"/>
      <c r="BZ1192" s="84"/>
      <c r="CA1192" s="84"/>
      <c r="CB1192" s="84"/>
      <c r="CC1192" s="84"/>
      <c r="CD1192" s="84"/>
      <c r="CE1192" s="84"/>
      <c r="CF1192" s="84"/>
      <c r="CG1192" s="84"/>
      <c r="CH1192" s="84"/>
      <c r="CI1192" s="84"/>
      <c r="CJ1192" s="84"/>
      <c r="CK1192" s="84"/>
      <c r="CL1192" s="84"/>
    </row>
    <row r="1193" spans="66:90" s="354" customFormat="1" x14ac:dyDescent="0.2">
      <c r="BN1193" s="84"/>
      <c r="BO1193" s="84"/>
      <c r="BP1193" s="84"/>
      <c r="BQ1193" s="84"/>
      <c r="BR1193" s="84"/>
      <c r="BS1193" s="84"/>
      <c r="BT1193" s="84"/>
      <c r="BU1193" s="84"/>
      <c r="BV1193" s="84"/>
      <c r="BW1193" s="84"/>
      <c r="BX1193" s="84"/>
      <c r="BY1193" s="84"/>
      <c r="BZ1193" s="84"/>
      <c r="CA1193" s="84"/>
      <c r="CB1193" s="84"/>
      <c r="CC1193" s="84"/>
      <c r="CD1193" s="84"/>
      <c r="CE1193" s="84"/>
      <c r="CF1193" s="84"/>
      <c r="CG1193" s="84"/>
      <c r="CH1193" s="84"/>
      <c r="CI1193" s="84"/>
      <c r="CJ1193" s="84"/>
      <c r="CK1193" s="84"/>
      <c r="CL1193" s="84"/>
    </row>
    <row r="1194" spans="66:90" s="354" customFormat="1" x14ac:dyDescent="0.2">
      <c r="BN1194" s="84"/>
      <c r="BO1194" s="84"/>
      <c r="BP1194" s="84"/>
      <c r="BQ1194" s="84"/>
      <c r="BR1194" s="84"/>
      <c r="BS1194" s="84"/>
      <c r="BT1194" s="84"/>
      <c r="BU1194" s="84"/>
      <c r="BV1194" s="84"/>
      <c r="BW1194" s="84"/>
      <c r="BX1194" s="84"/>
      <c r="BY1194" s="84"/>
      <c r="BZ1194" s="84"/>
      <c r="CA1194" s="84"/>
      <c r="CB1194" s="84"/>
      <c r="CC1194" s="84"/>
      <c r="CD1194" s="84"/>
      <c r="CE1194" s="84"/>
      <c r="CF1194" s="84"/>
      <c r="CG1194" s="84"/>
      <c r="CH1194" s="84"/>
      <c r="CI1194" s="84"/>
      <c r="CJ1194" s="84"/>
      <c r="CK1194" s="84"/>
      <c r="CL1194" s="84"/>
    </row>
    <row r="1195" spans="66:90" s="354" customFormat="1" x14ac:dyDescent="0.2">
      <c r="BN1195" s="84"/>
      <c r="BO1195" s="84"/>
      <c r="BP1195" s="84"/>
      <c r="BQ1195" s="84"/>
      <c r="BR1195" s="84"/>
      <c r="BS1195" s="84"/>
      <c r="BT1195" s="84"/>
      <c r="BU1195" s="84"/>
      <c r="BV1195" s="84"/>
      <c r="BW1195" s="84"/>
      <c r="BX1195" s="84"/>
      <c r="BY1195" s="84"/>
      <c r="BZ1195" s="84"/>
      <c r="CA1195" s="84"/>
      <c r="CB1195" s="84"/>
      <c r="CC1195" s="84"/>
      <c r="CD1195" s="84"/>
      <c r="CE1195" s="84"/>
      <c r="CF1195" s="84"/>
      <c r="CG1195" s="84"/>
      <c r="CH1195" s="84"/>
      <c r="CI1195" s="84"/>
      <c r="CJ1195" s="84"/>
      <c r="CK1195" s="84"/>
      <c r="CL1195" s="84"/>
    </row>
    <row r="1196" spans="66:90" s="354" customFormat="1" x14ac:dyDescent="0.2">
      <c r="BN1196" s="84"/>
      <c r="BO1196" s="84"/>
      <c r="BP1196" s="84"/>
      <c r="BQ1196" s="84"/>
      <c r="BR1196" s="84"/>
      <c r="BS1196" s="84"/>
      <c r="BT1196" s="84"/>
      <c r="BU1196" s="84"/>
      <c r="BV1196" s="84"/>
      <c r="BW1196" s="84"/>
      <c r="BX1196" s="84"/>
      <c r="BY1196" s="84"/>
      <c r="BZ1196" s="84"/>
      <c r="CA1196" s="84"/>
      <c r="CB1196" s="84"/>
      <c r="CC1196" s="84"/>
      <c r="CD1196" s="84"/>
      <c r="CE1196" s="84"/>
      <c r="CF1196" s="84"/>
      <c r="CG1196" s="84"/>
      <c r="CH1196" s="84"/>
      <c r="CI1196" s="84"/>
      <c r="CJ1196" s="84"/>
      <c r="CK1196" s="84"/>
      <c r="CL1196" s="84"/>
    </row>
    <row r="1197" spans="66:90" s="354" customFormat="1" x14ac:dyDescent="0.2">
      <c r="BN1197" s="84"/>
      <c r="BO1197" s="84"/>
      <c r="BP1197" s="84"/>
      <c r="BQ1197" s="84"/>
      <c r="BR1197" s="84"/>
      <c r="BS1197" s="84"/>
      <c r="BT1197" s="84"/>
      <c r="BU1197" s="84"/>
      <c r="BV1197" s="84"/>
      <c r="BW1197" s="84"/>
      <c r="BX1197" s="84"/>
      <c r="BY1197" s="84"/>
      <c r="BZ1197" s="84"/>
      <c r="CA1197" s="84"/>
      <c r="CB1197" s="84"/>
      <c r="CC1197" s="84"/>
      <c r="CD1197" s="84"/>
      <c r="CE1197" s="84"/>
      <c r="CF1197" s="84"/>
      <c r="CG1197" s="84"/>
      <c r="CH1197" s="84"/>
      <c r="CI1197" s="84"/>
      <c r="CJ1197" s="84"/>
      <c r="CK1197" s="84"/>
      <c r="CL1197" s="84"/>
    </row>
    <row r="1198" spans="66:90" s="354" customFormat="1" x14ac:dyDescent="0.2">
      <c r="BN1198" s="84"/>
      <c r="BO1198" s="84"/>
      <c r="BP1198" s="84"/>
      <c r="BQ1198" s="84"/>
      <c r="BR1198" s="84"/>
      <c r="BS1198" s="84"/>
      <c r="BT1198" s="84"/>
      <c r="BU1198" s="84"/>
      <c r="BV1198" s="84"/>
      <c r="BW1198" s="84"/>
      <c r="BX1198" s="84"/>
      <c r="BY1198" s="84"/>
      <c r="BZ1198" s="84"/>
      <c r="CA1198" s="84"/>
      <c r="CB1198" s="84"/>
      <c r="CC1198" s="84"/>
      <c r="CD1198" s="84"/>
      <c r="CE1198" s="84"/>
      <c r="CF1198" s="84"/>
      <c r="CG1198" s="84"/>
      <c r="CH1198" s="84"/>
      <c r="CI1198" s="84"/>
      <c r="CJ1198" s="84"/>
      <c r="CK1198" s="84"/>
      <c r="CL1198" s="84"/>
    </row>
    <row r="1199" spans="66:90" s="354" customFormat="1" x14ac:dyDescent="0.2">
      <c r="BN1199" s="84"/>
      <c r="BO1199" s="84"/>
      <c r="BP1199" s="84"/>
      <c r="BQ1199" s="84"/>
      <c r="BR1199" s="84"/>
      <c r="BS1199" s="84"/>
      <c r="BT1199" s="84"/>
      <c r="BU1199" s="84"/>
      <c r="BV1199" s="84"/>
      <c r="BW1199" s="84"/>
      <c r="BX1199" s="84"/>
      <c r="BY1199" s="84"/>
      <c r="BZ1199" s="84"/>
      <c r="CA1199" s="84"/>
      <c r="CB1199" s="84"/>
      <c r="CC1199" s="84"/>
      <c r="CD1199" s="84"/>
      <c r="CE1199" s="84"/>
      <c r="CF1199" s="84"/>
      <c r="CG1199" s="84"/>
      <c r="CH1199" s="84"/>
      <c r="CI1199" s="84"/>
      <c r="CJ1199" s="84"/>
      <c r="CK1199" s="84"/>
      <c r="CL1199" s="84"/>
    </row>
    <row r="1200" spans="66:90" s="354" customFormat="1" x14ac:dyDescent="0.2">
      <c r="BN1200" s="84"/>
      <c r="BO1200" s="84"/>
      <c r="BP1200" s="84"/>
      <c r="BQ1200" s="84"/>
      <c r="BR1200" s="84"/>
      <c r="BS1200" s="84"/>
      <c r="BT1200" s="84"/>
      <c r="BU1200" s="84"/>
      <c r="BV1200" s="84"/>
      <c r="BW1200" s="84"/>
      <c r="BX1200" s="84"/>
      <c r="BY1200" s="84"/>
      <c r="BZ1200" s="84"/>
      <c r="CA1200" s="84"/>
      <c r="CB1200" s="84"/>
      <c r="CC1200" s="84"/>
      <c r="CD1200" s="84"/>
      <c r="CE1200" s="84"/>
      <c r="CF1200" s="84"/>
      <c r="CG1200" s="84"/>
      <c r="CH1200" s="84"/>
      <c r="CI1200" s="84"/>
      <c r="CJ1200" s="84"/>
      <c r="CK1200" s="84"/>
      <c r="CL1200" s="84"/>
    </row>
    <row r="1201" spans="66:90" s="354" customFormat="1" x14ac:dyDescent="0.2">
      <c r="BN1201" s="84"/>
      <c r="BO1201" s="84"/>
      <c r="BP1201" s="84"/>
      <c r="BQ1201" s="84"/>
      <c r="BR1201" s="84"/>
      <c r="BS1201" s="84"/>
      <c r="BT1201" s="84"/>
      <c r="BU1201" s="84"/>
      <c r="BV1201" s="84"/>
      <c r="BW1201" s="84"/>
      <c r="BX1201" s="84"/>
      <c r="BY1201" s="84"/>
      <c r="BZ1201" s="84"/>
      <c r="CA1201" s="84"/>
      <c r="CB1201" s="84"/>
      <c r="CC1201" s="84"/>
      <c r="CD1201" s="84"/>
      <c r="CE1201" s="84"/>
      <c r="CF1201" s="84"/>
      <c r="CG1201" s="84"/>
      <c r="CH1201" s="84"/>
      <c r="CI1201" s="84"/>
      <c r="CJ1201" s="84"/>
      <c r="CK1201" s="84"/>
      <c r="CL1201" s="84"/>
    </row>
    <row r="1202" spans="66:90" s="354" customFormat="1" x14ac:dyDescent="0.2">
      <c r="BN1202" s="84"/>
      <c r="BO1202" s="84"/>
      <c r="BP1202" s="84"/>
      <c r="BQ1202" s="84"/>
      <c r="BR1202" s="84"/>
      <c r="BS1202" s="84"/>
      <c r="BT1202" s="84"/>
      <c r="BU1202" s="84"/>
      <c r="BV1202" s="84"/>
      <c r="BW1202" s="84"/>
      <c r="BX1202" s="84"/>
      <c r="BY1202" s="84"/>
      <c r="BZ1202" s="84"/>
      <c r="CA1202" s="84"/>
      <c r="CB1202" s="84"/>
      <c r="CC1202" s="84"/>
      <c r="CD1202" s="84"/>
      <c r="CE1202" s="84"/>
      <c r="CF1202" s="84"/>
      <c r="CG1202" s="84"/>
      <c r="CH1202" s="84"/>
      <c r="CI1202" s="84"/>
      <c r="CJ1202" s="84"/>
      <c r="CK1202" s="84"/>
      <c r="CL1202" s="84"/>
    </row>
    <row r="1203" spans="66:90" s="354" customFormat="1" x14ac:dyDescent="0.2">
      <c r="BN1203" s="84"/>
      <c r="BO1203" s="84"/>
      <c r="BP1203" s="84"/>
      <c r="BQ1203" s="84"/>
      <c r="BR1203" s="84"/>
      <c r="BS1203" s="84"/>
      <c r="BT1203" s="84"/>
      <c r="BU1203" s="84"/>
      <c r="BV1203" s="84"/>
      <c r="BW1203" s="84"/>
      <c r="BX1203" s="84"/>
      <c r="BY1203" s="84"/>
      <c r="BZ1203" s="84"/>
      <c r="CA1203" s="84"/>
      <c r="CB1203" s="84"/>
      <c r="CC1203" s="84"/>
      <c r="CD1203" s="84"/>
      <c r="CE1203" s="84"/>
      <c r="CF1203" s="84"/>
      <c r="CG1203" s="84"/>
      <c r="CH1203" s="84"/>
      <c r="CI1203" s="84"/>
      <c r="CJ1203" s="84"/>
      <c r="CK1203" s="84"/>
      <c r="CL1203" s="84"/>
    </row>
    <row r="1204" spans="66:90" s="354" customFormat="1" x14ac:dyDescent="0.2">
      <c r="BN1204" s="84"/>
      <c r="BO1204" s="84"/>
      <c r="BP1204" s="84"/>
      <c r="BQ1204" s="84"/>
      <c r="BR1204" s="84"/>
      <c r="BS1204" s="84"/>
      <c r="BT1204" s="84"/>
      <c r="BU1204" s="84"/>
      <c r="BV1204" s="84"/>
      <c r="BW1204" s="84"/>
      <c r="BX1204" s="84"/>
      <c r="BY1204" s="84"/>
      <c r="BZ1204" s="84"/>
      <c r="CA1204" s="84"/>
      <c r="CB1204" s="84"/>
      <c r="CC1204" s="84"/>
      <c r="CD1204" s="84"/>
      <c r="CE1204" s="84"/>
      <c r="CF1204" s="84"/>
      <c r="CG1204" s="84"/>
      <c r="CH1204" s="84"/>
      <c r="CI1204" s="84"/>
      <c r="CJ1204" s="84"/>
      <c r="CK1204" s="84"/>
      <c r="CL1204" s="84"/>
    </row>
    <row r="1205" spans="66:90" s="354" customFormat="1" x14ac:dyDescent="0.2">
      <c r="BN1205" s="84"/>
      <c r="BO1205" s="84"/>
      <c r="BP1205" s="84"/>
      <c r="BQ1205" s="84"/>
      <c r="BR1205" s="84"/>
      <c r="BS1205" s="84"/>
      <c r="BT1205" s="84"/>
      <c r="BU1205" s="84"/>
      <c r="BV1205" s="84"/>
      <c r="BW1205" s="84"/>
      <c r="BX1205" s="84"/>
      <c r="BY1205" s="84"/>
      <c r="BZ1205" s="84"/>
      <c r="CA1205" s="84"/>
      <c r="CB1205" s="84"/>
      <c r="CC1205" s="84"/>
      <c r="CD1205" s="84"/>
      <c r="CE1205" s="84"/>
      <c r="CF1205" s="84"/>
      <c r="CG1205" s="84"/>
      <c r="CH1205" s="84"/>
      <c r="CI1205" s="84"/>
      <c r="CJ1205" s="84"/>
      <c r="CK1205" s="84"/>
      <c r="CL1205" s="84"/>
    </row>
    <row r="1206" spans="66:90" s="354" customFormat="1" x14ac:dyDescent="0.2">
      <c r="BN1206" s="84"/>
      <c r="BO1206" s="84"/>
      <c r="BP1206" s="84"/>
      <c r="BQ1206" s="84"/>
      <c r="BR1206" s="84"/>
      <c r="BS1206" s="84"/>
      <c r="BT1206" s="84"/>
      <c r="BU1206" s="84"/>
      <c r="BV1206" s="84"/>
      <c r="BW1206" s="84"/>
      <c r="BX1206" s="84"/>
      <c r="BY1206" s="84"/>
      <c r="BZ1206" s="84"/>
      <c r="CA1206" s="84"/>
      <c r="CB1206" s="84"/>
      <c r="CC1206" s="84"/>
      <c r="CD1206" s="84"/>
      <c r="CE1206" s="84"/>
      <c r="CF1206" s="84"/>
      <c r="CG1206" s="84"/>
      <c r="CH1206" s="84"/>
      <c r="CI1206" s="84"/>
      <c r="CJ1206" s="84"/>
      <c r="CK1206" s="84"/>
      <c r="CL1206" s="84"/>
    </row>
    <row r="1207" spans="66:90" s="354" customFormat="1" x14ac:dyDescent="0.2">
      <c r="BN1207" s="84"/>
      <c r="BO1207" s="84"/>
      <c r="BP1207" s="84"/>
      <c r="BQ1207" s="84"/>
      <c r="BR1207" s="84"/>
      <c r="BS1207" s="84"/>
      <c r="BT1207" s="84"/>
      <c r="BU1207" s="84"/>
      <c r="BV1207" s="84"/>
      <c r="BW1207" s="84"/>
      <c r="BX1207" s="84"/>
      <c r="BY1207" s="84"/>
      <c r="BZ1207" s="84"/>
      <c r="CA1207" s="84"/>
      <c r="CB1207" s="84"/>
      <c r="CC1207" s="84"/>
      <c r="CD1207" s="84"/>
      <c r="CE1207" s="84"/>
      <c r="CF1207" s="84"/>
      <c r="CG1207" s="84"/>
      <c r="CH1207" s="84"/>
      <c r="CI1207" s="84"/>
      <c r="CJ1207" s="84"/>
      <c r="CK1207" s="84"/>
      <c r="CL1207" s="84"/>
    </row>
    <row r="1208" spans="66:90" s="354" customFormat="1" x14ac:dyDescent="0.2">
      <c r="BN1208" s="84"/>
      <c r="BO1208" s="84"/>
      <c r="BP1208" s="84"/>
      <c r="BQ1208" s="84"/>
      <c r="BR1208" s="84"/>
      <c r="BS1208" s="84"/>
      <c r="BT1208" s="84"/>
      <c r="BU1208" s="84"/>
      <c r="BV1208" s="84"/>
      <c r="BW1208" s="84"/>
      <c r="BX1208" s="84"/>
      <c r="BY1208" s="84"/>
      <c r="BZ1208" s="84"/>
      <c r="CA1208" s="84"/>
      <c r="CB1208" s="84"/>
      <c r="CC1208" s="84"/>
      <c r="CD1208" s="84"/>
      <c r="CE1208" s="84"/>
      <c r="CF1208" s="84"/>
      <c r="CG1208" s="84"/>
      <c r="CH1208" s="84"/>
      <c r="CI1208" s="84"/>
      <c r="CJ1208" s="84"/>
      <c r="CK1208" s="84"/>
      <c r="CL1208" s="84"/>
    </row>
    <row r="1209" spans="66:90" s="354" customFormat="1" x14ac:dyDescent="0.2">
      <c r="BN1209" s="84"/>
      <c r="BO1209" s="84"/>
      <c r="BP1209" s="84"/>
      <c r="BQ1209" s="84"/>
      <c r="BR1209" s="84"/>
      <c r="BS1209" s="84"/>
      <c r="BT1209" s="84"/>
      <c r="BU1209" s="84"/>
      <c r="BV1209" s="84"/>
      <c r="BW1209" s="84"/>
      <c r="BX1209" s="84"/>
      <c r="BY1209" s="84"/>
      <c r="BZ1209" s="84"/>
      <c r="CA1209" s="84"/>
      <c r="CB1209" s="84"/>
      <c r="CC1209" s="84"/>
      <c r="CD1209" s="84"/>
      <c r="CE1209" s="84"/>
      <c r="CF1209" s="84"/>
      <c r="CG1209" s="84"/>
      <c r="CH1209" s="84"/>
      <c r="CI1209" s="84"/>
      <c r="CJ1209" s="84"/>
      <c r="CK1209" s="84"/>
      <c r="CL1209" s="84"/>
    </row>
    <row r="1210" spans="66:90" s="354" customFormat="1" x14ac:dyDescent="0.2">
      <c r="BN1210" s="84"/>
      <c r="BO1210" s="84"/>
      <c r="BP1210" s="84"/>
      <c r="BQ1210" s="84"/>
      <c r="BR1210" s="84"/>
      <c r="BS1210" s="84"/>
      <c r="BT1210" s="84"/>
      <c r="BU1210" s="84"/>
      <c r="BV1210" s="84"/>
      <c r="BW1210" s="84"/>
      <c r="BX1210" s="84"/>
      <c r="BY1210" s="84"/>
      <c r="BZ1210" s="84"/>
      <c r="CA1210" s="84"/>
      <c r="CB1210" s="84"/>
      <c r="CC1210" s="84"/>
      <c r="CD1210" s="84"/>
      <c r="CE1210" s="84"/>
      <c r="CF1210" s="84"/>
      <c r="CG1210" s="84"/>
      <c r="CH1210" s="84"/>
      <c r="CI1210" s="84"/>
      <c r="CJ1210" s="84"/>
      <c r="CK1210" s="84"/>
      <c r="CL1210" s="84"/>
    </row>
    <row r="1211" spans="66:90" s="354" customFormat="1" x14ac:dyDescent="0.2">
      <c r="BN1211" s="84"/>
      <c r="BO1211" s="84"/>
      <c r="BP1211" s="84"/>
      <c r="BQ1211" s="84"/>
      <c r="BR1211" s="84"/>
      <c r="BS1211" s="84"/>
      <c r="BT1211" s="84"/>
      <c r="BU1211" s="84"/>
      <c r="BV1211" s="84"/>
      <c r="BW1211" s="84"/>
      <c r="BX1211" s="84"/>
      <c r="BY1211" s="84"/>
      <c r="BZ1211" s="84"/>
      <c r="CA1211" s="84"/>
      <c r="CB1211" s="84"/>
      <c r="CC1211" s="84"/>
      <c r="CD1211" s="84"/>
      <c r="CE1211" s="84"/>
      <c r="CF1211" s="84"/>
      <c r="CG1211" s="84"/>
      <c r="CH1211" s="84"/>
      <c r="CI1211" s="84"/>
      <c r="CJ1211" s="84"/>
      <c r="CK1211" s="84"/>
      <c r="CL1211" s="84"/>
    </row>
    <row r="1212" spans="66:90" s="354" customFormat="1" x14ac:dyDescent="0.2">
      <c r="BN1212" s="84"/>
      <c r="BO1212" s="84"/>
      <c r="BP1212" s="84"/>
      <c r="BQ1212" s="84"/>
      <c r="BR1212" s="84"/>
      <c r="BS1212" s="84"/>
      <c r="BT1212" s="84"/>
      <c r="BU1212" s="84"/>
      <c r="BV1212" s="84"/>
      <c r="BW1212" s="84"/>
      <c r="BX1212" s="84"/>
      <c r="BY1212" s="84"/>
      <c r="BZ1212" s="84"/>
      <c r="CA1212" s="84"/>
      <c r="CB1212" s="84"/>
      <c r="CC1212" s="84"/>
      <c r="CD1212" s="84"/>
      <c r="CE1212" s="84"/>
      <c r="CF1212" s="84"/>
      <c r="CG1212" s="84"/>
      <c r="CH1212" s="84"/>
      <c r="CI1212" s="84"/>
      <c r="CJ1212" s="84"/>
      <c r="CK1212" s="84"/>
      <c r="CL1212" s="84"/>
    </row>
    <row r="1213" spans="66:90" s="354" customFormat="1" x14ac:dyDescent="0.2">
      <c r="BN1213" s="84"/>
      <c r="BO1213" s="84"/>
      <c r="BP1213" s="84"/>
      <c r="BQ1213" s="84"/>
      <c r="BR1213" s="84"/>
      <c r="BS1213" s="84"/>
      <c r="BT1213" s="84"/>
      <c r="BU1213" s="84"/>
      <c r="BV1213" s="84"/>
      <c r="BW1213" s="84"/>
      <c r="BX1213" s="84"/>
      <c r="BY1213" s="84"/>
      <c r="BZ1213" s="84"/>
      <c r="CA1213" s="84"/>
      <c r="CB1213" s="84"/>
      <c r="CC1213" s="84"/>
      <c r="CD1213" s="84"/>
      <c r="CE1213" s="84"/>
      <c r="CF1213" s="84"/>
      <c r="CG1213" s="84"/>
      <c r="CH1213" s="84"/>
      <c r="CI1213" s="84"/>
      <c r="CJ1213" s="84"/>
      <c r="CK1213" s="84"/>
      <c r="CL1213" s="84"/>
    </row>
    <row r="1214" spans="66:90" s="354" customFormat="1" x14ac:dyDescent="0.2">
      <c r="BN1214" s="84"/>
      <c r="BO1214" s="84"/>
      <c r="BP1214" s="84"/>
      <c r="BQ1214" s="84"/>
      <c r="BR1214" s="84"/>
      <c r="BS1214" s="84"/>
      <c r="BT1214" s="84"/>
      <c r="BU1214" s="84"/>
      <c r="BV1214" s="84"/>
      <c r="BW1214" s="84"/>
      <c r="BX1214" s="84"/>
      <c r="BY1214" s="84"/>
      <c r="BZ1214" s="84"/>
      <c r="CA1214" s="84"/>
      <c r="CB1214" s="84"/>
      <c r="CC1214" s="84"/>
      <c r="CD1214" s="84"/>
      <c r="CE1214" s="84"/>
      <c r="CF1214" s="84"/>
      <c r="CG1214" s="84"/>
      <c r="CH1214" s="84"/>
      <c r="CI1214" s="84"/>
      <c r="CJ1214" s="84"/>
      <c r="CK1214" s="84"/>
      <c r="CL1214" s="84"/>
    </row>
    <row r="1215" spans="66:90" s="354" customFormat="1" x14ac:dyDescent="0.2">
      <c r="BN1215" s="84"/>
      <c r="BO1215" s="84"/>
      <c r="BP1215" s="84"/>
      <c r="BQ1215" s="84"/>
      <c r="BR1215" s="84"/>
      <c r="BS1215" s="84"/>
      <c r="BT1215" s="84"/>
      <c r="BU1215" s="84"/>
      <c r="BV1215" s="84"/>
      <c r="BW1215" s="84"/>
      <c r="BX1215" s="84"/>
      <c r="BY1215" s="84"/>
      <c r="BZ1215" s="84"/>
      <c r="CA1215" s="84"/>
      <c r="CB1215" s="84"/>
      <c r="CC1215" s="84"/>
      <c r="CD1215" s="84"/>
      <c r="CE1215" s="84"/>
      <c r="CF1215" s="84"/>
      <c r="CG1215" s="84"/>
      <c r="CH1215" s="84"/>
      <c r="CI1215" s="84"/>
      <c r="CJ1215" s="84"/>
      <c r="CK1215" s="84"/>
      <c r="CL1215" s="84"/>
    </row>
    <row r="1216" spans="66:90" s="354" customFormat="1" x14ac:dyDescent="0.2">
      <c r="BN1216" s="84"/>
      <c r="BO1216" s="84"/>
      <c r="BP1216" s="84"/>
      <c r="BQ1216" s="84"/>
      <c r="BR1216" s="84"/>
      <c r="BS1216" s="84"/>
      <c r="BT1216" s="84"/>
      <c r="BU1216" s="84"/>
      <c r="BV1216" s="84"/>
      <c r="BW1216" s="84"/>
      <c r="BX1216" s="84"/>
      <c r="BY1216" s="84"/>
      <c r="BZ1216" s="84"/>
      <c r="CA1216" s="84"/>
      <c r="CB1216" s="84"/>
      <c r="CC1216" s="84"/>
      <c r="CD1216" s="84"/>
      <c r="CE1216" s="84"/>
      <c r="CF1216" s="84"/>
      <c r="CG1216" s="84"/>
      <c r="CH1216" s="84"/>
      <c r="CI1216" s="84"/>
      <c r="CJ1216" s="84"/>
      <c r="CK1216" s="84"/>
      <c r="CL1216" s="84"/>
    </row>
    <row r="1217" spans="66:90" s="354" customFormat="1" x14ac:dyDescent="0.2">
      <c r="BN1217" s="84"/>
      <c r="BO1217" s="84"/>
      <c r="BP1217" s="84"/>
      <c r="BQ1217" s="84"/>
      <c r="BR1217" s="84"/>
      <c r="BS1217" s="84"/>
      <c r="BT1217" s="84"/>
      <c r="BU1217" s="84"/>
      <c r="BV1217" s="84"/>
      <c r="BW1217" s="84"/>
      <c r="BX1217" s="84"/>
      <c r="BY1217" s="84"/>
      <c r="BZ1217" s="84"/>
      <c r="CA1217" s="84"/>
      <c r="CB1217" s="84"/>
      <c r="CC1217" s="84"/>
      <c r="CD1217" s="84"/>
      <c r="CE1217" s="84"/>
      <c r="CF1217" s="84"/>
      <c r="CG1217" s="84"/>
      <c r="CH1217" s="84"/>
      <c r="CI1217" s="84"/>
      <c r="CJ1217" s="84"/>
      <c r="CK1217" s="84"/>
      <c r="CL1217" s="84"/>
    </row>
    <row r="1218" spans="66:90" s="354" customFormat="1" x14ac:dyDescent="0.2">
      <c r="BN1218" s="84"/>
      <c r="BO1218" s="84"/>
      <c r="BP1218" s="84"/>
      <c r="BQ1218" s="84"/>
      <c r="BR1218" s="84"/>
      <c r="BS1218" s="84"/>
      <c r="BT1218" s="84"/>
      <c r="BU1218" s="84"/>
      <c r="BV1218" s="84"/>
      <c r="BW1218" s="84"/>
      <c r="BX1218" s="84"/>
      <c r="BY1218" s="84"/>
      <c r="BZ1218" s="84"/>
      <c r="CA1218" s="84"/>
      <c r="CB1218" s="84"/>
      <c r="CC1218" s="84"/>
      <c r="CD1218" s="84"/>
      <c r="CE1218" s="84"/>
      <c r="CF1218" s="84"/>
      <c r="CG1218" s="84"/>
      <c r="CH1218" s="84"/>
      <c r="CI1218" s="84"/>
      <c r="CJ1218" s="84"/>
      <c r="CK1218" s="84"/>
      <c r="CL1218" s="84"/>
    </row>
    <row r="1219" spans="66:90" s="354" customFormat="1" x14ac:dyDescent="0.2">
      <c r="BN1219" s="84"/>
      <c r="BO1219" s="84"/>
      <c r="BP1219" s="84"/>
      <c r="BQ1219" s="84"/>
      <c r="BR1219" s="84"/>
      <c r="BS1219" s="84"/>
      <c r="BT1219" s="84"/>
      <c r="BU1219" s="84"/>
      <c r="BV1219" s="84"/>
      <c r="BW1219" s="84"/>
      <c r="BX1219" s="84"/>
      <c r="BY1219" s="84"/>
      <c r="BZ1219" s="84"/>
      <c r="CA1219" s="84"/>
      <c r="CB1219" s="84"/>
      <c r="CC1219" s="84"/>
      <c r="CD1219" s="84"/>
      <c r="CE1219" s="84"/>
      <c r="CF1219" s="84"/>
      <c r="CG1219" s="84"/>
      <c r="CH1219" s="84"/>
      <c r="CI1219" s="84"/>
      <c r="CJ1219" s="84"/>
      <c r="CK1219" s="84"/>
      <c r="CL1219" s="84"/>
    </row>
    <row r="1220" spans="66:90" s="354" customFormat="1" x14ac:dyDescent="0.2">
      <c r="BN1220" s="84"/>
      <c r="BO1220" s="84"/>
      <c r="BP1220" s="84"/>
      <c r="BQ1220" s="84"/>
      <c r="BR1220" s="84"/>
      <c r="BS1220" s="84"/>
      <c r="BT1220" s="84"/>
      <c r="BU1220" s="84"/>
      <c r="BV1220" s="84"/>
      <c r="BW1220" s="84"/>
      <c r="BX1220" s="84"/>
      <c r="BY1220" s="84"/>
      <c r="BZ1220" s="84"/>
      <c r="CA1220" s="84"/>
      <c r="CB1220" s="84"/>
      <c r="CC1220" s="84"/>
      <c r="CD1220" s="84"/>
      <c r="CE1220" s="84"/>
      <c r="CF1220" s="84"/>
      <c r="CG1220" s="84"/>
      <c r="CH1220" s="84"/>
      <c r="CI1220" s="84"/>
      <c r="CJ1220" s="84"/>
      <c r="CK1220" s="84"/>
      <c r="CL1220" s="84"/>
    </row>
    <row r="1221" spans="66:90" s="354" customFormat="1" x14ac:dyDescent="0.2">
      <c r="BN1221" s="84"/>
      <c r="BO1221" s="84"/>
      <c r="BP1221" s="84"/>
      <c r="BQ1221" s="84"/>
      <c r="BR1221" s="84"/>
      <c r="BS1221" s="84"/>
      <c r="BT1221" s="84"/>
      <c r="BU1221" s="84"/>
      <c r="BV1221" s="84"/>
      <c r="BW1221" s="84"/>
      <c r="BX1221" s="84"/>
      <c r="BY1221" s="84"/>
      <c r="BZ1221" s="84"/>
      <c r="CA1221" s="84"/>
      <c r="CB1221" s="84"/>
      <c r="CC1221" s="84"/>
      <c r="CD1221" s="84"/>
      <c r="CE1221" s="84"/>
      <c r="CF1221" s="84"/>
      <c r="CG1221" s="84"/>
      <c r="CH1221" s="84"/>
      <c r="CI1221" s="84"/>
      <c r="CJ1221" s="84"/>
      <c r="CK1221" s="84"/>
      <c r="CL1221" s="84"/>
    </row>
    <row r="1222" spans="66:90" s="354" customFormat="1" x14ac:dyDescent="0.2">
      <c r="BN1222" s="84"/>
      <c r="BO1222" s="84"/>
      <c r="BP1222" s="84"/>
      <c r="BQ1222" s="84"/>
      <c r="BR1222" s="84"/>
      <c r="BS1222" s="84"/>
      <c r="BT1222" s="84"/>
      <c r="BU1222" s="84"/>
      <c r="BV1222" s="84"/>
      <c r="BW1222" s="84"/>
      <c r="BX1222" s="84"/>
      <c r="BY1222" s="84"/>
      <c r="BZ1222" s="84"/>
      <c r="CA1222" s="84"/>
      <c r="CB1222" s="84"/>
      <c r="CC1222" s="84"/>
      <c r="CD1222" s="84"/>
      <c r="CE1222" s="84"/>
      <c r="CF1222" s="84"/>
      <c r="CG1222" s="84"/>
      <c r="CH1222" s="84"/>
      <c r="CI1222" s="84"/>
      <c r="CJ1222" s="84"/>
      <c r="CK1222" s="84"/>
      <c r="CL1222" s="84"/>
    </row>
    <row r="1223" spans="66:90" s="354" customFormat="1" x14ac:dyDescent="0.2">
      <c r="BN1223" s="84"/>
      <c r="BO1223" s="84"/>
      <c r="BP1223" s="84"/>
      <c r="BQ1223" s="84"/>
      <c r="BR1223" s="84"/>
      <c r="BS1223" s="84"/>
      <c r="BT1223" s="84"/>
      <c r="BU1223" s="84"/>
      <c r="BV1223" s="84"/>
      <c r="BW1223" s="84"/>
      <c r="BX1223" s="84"/>
      <c r="BY1223" s="84"/>
      <c r="BZ1223" s="84"/>
      <c r="CA1223" s="84"/>
      <c r="CB1223" s="84"/>
      <c r="CC1223" s="84"/>
      <c r="CD1223" s="84"/>
      <c r="CE1223" s="84"/>
      <c r="CF1223" s="84"/>
      <c r="CG1223" s="84"/>
      <c r="CH1223" s="84"/>
      <c r="CI1223" s="84"/>
      <c r="CJ1223" s="84"/>
      <c r="CK1223" s="84"/>
      <c r="CL1223" s="84"/>
    </row>
    <row r="1224" spans="66:90" s="354" customFormat="1" x14ac:dyDescent="0.2">
      <c r="BN1224" s="84"/>
      <c r="BO1224" s="84"/>
      <c r="BP1224" s="84"/>
      <c r="BQ1224" s="84"/>
      <c r="BR1224" s="84"/>
      <c r="BS1224" s="84"/>
      <c r="BT1224" s="84"/>
      <c r="BU1224" s="84"/>
      <c r="BV1224" s="84"/>
      <c r="BW1224" s="84"/>
      <c r="BX1224" s="84"/>
      <c r="BY1224" s="84"/>
      <c r="BZ1224" s="84"/>
      <c r="CA1224" s="84"/>
      <c r="CB1224" s="84"/>
      <c r="CC1224" s="84"/>
      <c r="CD1224" s="84"/>
      <c r="CE1224" s="84"/>
      <c r="CF1224" s="84"/>
      <c r="CG1224" s="84"/>
      <c r="CH1224" s="84"/>
      <c r="CI1224" s="84"/>
      <c r="CJ1224" s="84"/>
      <c r="CK1224" s="84"/>
      <c r="CL1224" s="84"/>
    </row>
    <row r="1225" spans="66:90" s="354" customFormat="1" x14ac:dyDescent="0.2">
      <c r="BN1225" s="84"/>
      <c r="BO1225" s="84"/>
      <c r="BP1225" s="84"/>
      <c r="BQ1225" s="84"/>
      <c r="BR1225" s="84"/>
      <c r="BS1225" s="84"/>
      <c r="BT1225" s="84"/>
      <c r="BU1225" s="84"/>
      <c r="BV1225" s="84"/>
      <c r="BW1225" s="84"/>
      <c r="BX1225" s="84"/>
      <c r="BY1225" s="84"/>
      <c r="BZ1225" s="84"/>
      <c r="CA1225" s="84"/>
      <c r="CB1225" s="84"/>
      <c r="CC1225" s="84"/>
      <c r="CD1225" s="84"/>
      <c r="CE1225" s="84"/>
      <c r="CF1225" s="84"/>
      <c r="CG1225" s="84"/>
      <c r="CH1225" s="84"/>
      <c r="CI1225" s="84"/>
      <c r="CJ1225" s="84"/>
      <c r="CK1225" s="84"/>
      <c r="CL1225" s="84"/>
    </row>
    <row r="1226" spans="66:90" s="354" customFormat="1" x14ac:dyDescent="0.2">
      <c r="BN1226" s="84"/>
      <c r="BO1226" s="84"/>
      <c r="BP1226" s="84"/>
      <c r="BQ1226" s="84"/>
      <c r="BR1226" s="84"/>
      <c r="BS1226" s="84"/>
      <c r="BT1226" s="84"/>
      <c r="BU1226" s="84"/>
      <c r="BV1226" s="84"/>
      <c r="BW1226" s="84"/>
      <c r="BX1226" s="84"/>
      <c r="BY1226" s="84"/>
      <c r="BZ1226" s="84"/>
      <c r="CA1226" s="84"/>
      <c r="CB1226" s="84"/>
      <c r="CC1226" s="84"/>
      <c r="CD1226" s="84"/>
      <c r="CE1226" s="84"/>
      <c r="CF1226" s="84"/>
      <c r="CG1226" s="84"/>
      <c r="CH1226" s="84"/>
      <c r="CI1226" s="84"/>
      <c r="CJ1226" s="84"/>
      <c r="CK1226" s="84"/>
      <c r="CL1226" s="84"/>
    </row>
    <row r="1227" spans="66:90" s="354" customFormat="1" x14ac:dyDescent="0.2">
      <c r="BN1227" s="84"/>
      <c r="BO1227" s="84"/>
      <c r="BP1227" s="84"/>
      <c r="BQ1227" s="84"/>
      <c r="BR1227" s="84"/>
      <c r="BS1227" s="84"/>
      <c r="BT1227" s="84"/>
      <c r="BU1227" s="84"/>
      <c r="BV1227" s="84"/>
      <c r="BW1227" s="84"/>
      <c r="BX1227" s="84"/>
      <c r="BY1227" s="84"/>
      <c r="BZ1227" s="84"/>
      <c r="CA1227" s="84"/>
      <c r="CB1227" s="84"/>
      <c r="CC1227" s="84"/>
      <c r="CD1227" s="84"/>
      <c r="CE1227" s="84"/>
      <c r="CF1227" s="84"/>
      <c r="CG1227" s="84"/>
      <c r="CH1227" s="84"/>
      <c r="CI1227" s="84"/>
      <c r="CJ1227" s="84"/>
      <c r="CK1227" s="84"/>
      <c r="CL1227" s="84"/>
    </row>
    <row r="1228" spans="66:90" s="354" customFormat="1" x14ac:dyDescent="0.2">
      <c r="BN1228" s="84"/>
      <c r="BO1228" s="84"/>
      <c r="BP1228" s="84"/>
      <c r="BQ1228" s="84"/>
      <c r="BR1228" s="84"/>
      <c r="BS1228" s="84"/>
      <c r="BT1228" s="84"/>
      <c r="BU1228" s="84"/>
      <c r="BV1228" s="84"/>
      <c r="BW1228" s="84"/>
      <c r="BX1228" s="84"/>
      <c r="BY1228" s="84"/>
      <c r="BZ1228" s="84"/>
      <c r="CA1228" s="84"/>
      <c r="CB1228" s="84"/>
      <c r="CC1228" s="84"/>
      <c r="CD1228" s="84"/>
      <c r="CE1228" s="84"/>
      <c r="CF1228" s="84"/>
      <c r="CG1228" s="84"/>
      <c r="CH1228" s="84"/>
      <c r="CI1228" s="84"/>
      <c r="CJ1228" s="84"/>
      <c r="CK1228" s="84"/>
      <c r="CL1228" s="84"/>
    </row>
    <row r="1229" spans="66:90" s="354" customFormat="1" x14ac:dyDescent="0.2">
      <c r="BN1229" s="84"/>
      <c r="BO1229" s="84"/>
      <c r="BP1229" s="84"/>
      <c r="BQ1229" s="84"/>
      <c r="BR1229" s="84"/>
      <c r="BS1229" s="84"/>
      <c r="BT1229" s="84"/>
      <c r="BU1229" s="84"/>
      <c r="BV1229" s="84"/>
      <c r="BW1229" s="84"/>
      <c r="BX1229" s="84"/>
      <c r="BY1229" s="84"/>
      <c r="BZ1229" s="84"/>
      <c r="CA1229" s="84"/>
      <c r="CB1229" s="84"/>
      <c r="CC1229" s="84"/>
      <c r="CD1229" s="84"/>
      <c r="CE1229" s="84"/>
      <c r="CF1229" s="84"/>
      <c r="CG1229" s="84"/>
      <c r="CH1229" s="84"/>
      <c r="CI1229" s="84"/>
      <c r="CJ1229" s="84"/>
      <c r="CK1229" s="84"/>
      <c r="CL1229" s="84"/>
    </row>
    <row r="1230" spans="66:90" s="354" customFormat="1" x14ac:dyDescent="0.2">
      <c r="BN1230" s="84"/>
      <c r="BO1230" s="84"/>
      <c r="BP1230" s="84"/>
      <c r="BQ1230" s="84"/>
      <c r="BR1230" s="84"/>
      <c r="BS1230" s="84"/>
      <c r="BT1230" s="84"/>
      <c r="BU1230" s="84"/>
      <c r="BV1230" s="84"/>
      <c r="BW1230" s="84"/>
      <c r="BX1230" s="84"/>
      <c r="BY1230" s="84"/>
      <c r="BZ1230" s="84"/>
      <c r="CA1230" s="84"/>
      <c r="CB1230" s="84"/>
      <c r="CC1230" s="84"/>
      <c r="CD1230" s="84"/>
      <c r="CE1230" s="84"/>
      <c r="CF1230" s="84"/>
      <c r="CG1230" s="84"/>
      <c r="CH1230" s="84"/>
      <c r="CI1230" s="84"/>
      <c r="CJ1230" s="84"/>
      <c r="CK1230" s="84"/>
      <c r="CL1230" s="84"/>
    </row>
    <row r="1231" spans="66:90" s="354" customFormat="1" x14ac:dyDescent="0.2">
      <c r="BN1231" s="84"/>
      <c r="BO1231" s="84"/>
      <c r="BP1231" s="84"/>
      <c r="BQ1231" s="84"/>
      <c r="BR1231" s="84"/>
      <c r="BS1231" s="84"/>
      <c r="BT1231" s="84"/>
      <c r="BU1231" s="84"/>
      <c r="BV1231" s="84"/>
      <c r="BW1231" s="84"/>
      <c r="BX1231" s="84"/>
      <c r="BY1231" s="84"/>
      <c r="BZ1231" s="84"/>
      <c r="CA1231" s="84"/>
      <c r="CB1231" s="84"/>
      <c r="CC1231" s="84"/>
      <c r="CD1231" s="84"/>
      <c r="CE1231" s="84"/>
      <c r="CF1231" s="84"/>
      <c r="CG1231" s="84"/>
      <c r="CH1231" s="84"/>
      <c r="CI1231" s="84"/>
      <c r="CJ1231" s="84"/>
      <c r="CK1231" s="84"/>
      <c r="CL1231" s="84"/>
    </row>
    <row r="1232" spans="66:90" s="354" customFormat="1" x14ac:dyDescent="0.2">
      <c r="BN1232" s="84"/>
      <c r="BO1232" s="84"/>
      <c r="BP1232" s="84"/>
      <c r="BQ1232" s="84"/>
      <c r="BR1232" s="84"/>
      <c r="BS1232" s="84"/>
      <c r="BT1232" s="84"/>
      <c r="BU1232" s="84"/>
      <c r="BV1232" s="84"/>
      <c r="BW1232" s="84"/>
      <c r="BX1232" s="84"/>
      <c r="BY1232" s="84"/>
      <c r="BZ1232" s="84"/>
      <c r="CA1232" s="84"/>
      <c r="CB1232" s="84"/>
      <c r="CC1232" s="84"/>
      <c r="CD1232" s="84"/>
      <c r="CE1232" s="84"/>
      <c r="CF1232" s="84"/>
      <c r="CG1232" s="84"/>
      <c r="CH1232" s="84"/>
      <c r="CI1232" s="84"/>
      <c r="CJ1232" s="84"/>
      <c r="CK1232" s="84"/>
      <c r="CL1232" s="84"/>
    </row>
    <row r="1233" spans="66:90" s="354" customFormat="1" x14ac:dyDescent="0.2">
      <c r="BN1233" s="84"/>
      <c r="BO1233" s="84"/>
      <c r="BP1233" s="84"/>
      <c r="BQ1233" s="84"/>
      <c r="BR1233" s="84"/>
      <c r="BS1233" s="84"/>
      <c r="BT1233" s="84"/>
      <c r="BU1233" s="84"/>
      <c r="BV1233" s="84"/>
      <c r="BW1233" s="84"/>
      <c r="BX1233" s="84"/>
      <c r="BY1233" s="84"/>
      <c r="BZ1233" s="84"/>
      <c r="CA1233" s="84"/>
      <c r="CB1233" s="84"/>
      <c r="CC1233" s="84"/>
      <c r="CD1233" s="84"/>
      <c r="CE1233" s="84"/>
      <c r="CF1233" s="84"/>
      <c r="CG1233" s="84"/>
      <c r="CH1233" s="84"/>
      <c r="CI1233" s="84"/>
      <c r="CJ1233" s="84"/>
      <c r="CK1233" s="84"/>
      <c r="CL1233" s="84"/>
    </row>
    <row r="1234" spans="66:90" s="354" customFormat="1" x14ac:dyDescent="0.2">
      <c r="BN1234" s="84"/>
      <c r="BO1234" s="84"/>
      <c r="BP1234" s="84"/>
      <c r="BQ1234" s="84"/>
      <c r="BR1234" s="84"/>
      <c r="BS1234" s="84"/>
      <c r="BT1234" s="84"/>
      <c r="BU1234" s="84"/>
      <c r="BV1234" s="84"/>
      <c r="BW1234" s="84"/>
      <c r="BX1234" s="84"/>
      <c r="BY1234" s="84"/>
      <c r="BZ1234" s="84"/>
      <c r="CA1234" s="84"/>
      <c r="CB1234" s="84"/>
      <c r="CC1234" s="84"/>
      <c r="CD1234" s="84"/>
      <c r="CE1234" s="84"/>
      <c r="CF1234" s="84"/>
      <c r="CG1234" s="84"/>
      <c r="CH1234" s="84"/>
      <c r="CI1234" s="84"/>
      <c r="CJ1234" s="84"/>
      <c r="CK1234" s="84"/>
      <c r="CL1234" s="84"/>
    </row>
    <row r="1235" spans="66:90" s="354" customFormat="1" x14ac:dyDescent="0.2">
      <c r="BN1235" s="84"/>
      <c r="BO1235" s="84"/>
      <c r="BP1235" s="84"/>
      <c r="BQ1235" s="84"/>
      <c r="BR1235" s="84"/>
      <c r="BS1235" s="84"/>
      <c r="BT1235" s="84"/>
      <c r="BU1235" s="84"/>
      <c r="BV1235" s="84"/>
      <c r="BW1235" s="84"/>
      <c r="BX1235" s="84"/>
      <c r="BY1235" s="84"/>
      <c r="BZ1235" s="84"/>
      <c r="CA1235" s="84"/>
      <c r="CB1235" s="84"/>
      <c r="CC1235" s="84"/>
      <c r="CD1235" s="84"/>
      <c r="CE1235" s="84"/>
      <c r="CF1235" s="84"/>
      <c r="CG1235" s="84"/>
      <c r="CH1235" s="84"/>
      <c r="CI1235" s="84"/>
      <c r="CJ1235" s="84"/>
      <c r="CK1235" s="84"/>
      <c r="CL1235" s="84"/>
    </row>
    <row r="1236" spans="66:90" s="354" customFormat="1" x14ac:dyDescent="0.2">
      <c r="BN1236" s="84"/>
      <c r="BO1236" s="84"/>
      <c r="BP1236" s="84"/>
      <c r="BQ1236" s="84"/>
      <c r="BR1236" s="84"/>
      <c r="BS1236" s="84"/>
      <c r="BT1236" s="84"/>
      <c r="BU1236" s="84"/>
      <c r="BV1236" s="84"/>
      <c r="BW1236" s="84"/>
      <c r="BX1236" s="84"/>
      <c r="BY1236" s="84"/>
      <c r="BZ1236" s="84"/>
      <c r="CA1236" s="84"/>
      <c r="CB1236" s="84"/>
      <c r="CC1236" s="84"/>
      <c r="CD1236" s="84"/>
      <c r="CE1236" s="84"/>
      <c r="CF1236" s="84"/>
      <c r="CG1236" s="84"/>
      <c r="CH1236" s="84"/>
      <c r="CI1236" s="84"/>
      <c r="CJ1236" s="84"/>
      <c r="CK1236" s="84"/>
      <c r="CL1236" s="84"/>
    </row>
    <row r="1237" spans="66:90" s="354" customFormat="1" x14ac:dyDescent="0.2">
      <c r="BN1237" s="84"/>
      <c r="BO1237" s="84"/>
      <c r="BP1237" s="84"/>
      <c r="BQ1237" s="84"/>
      <c r="BR1237" s="84"/>
      <c r="BS1237" s="84"/>
      <c r="BT1237" s="84"/>
      <c r="BU1237" s="84"/>
      <c r="BV1237" s="84"/>
      <c r="BW1237" s="84"/>
      <c r="BX1237" s="84"/>
      <c r="BY1237" s="84"/>
      <c r="BZ1237" s="84"/>
      <c r="CA1237" s="84"/>
      <c r="CB1237" s="84"/>
      <c r="CC1237" s="84"/>
      <c r="CD1237" s="84"/>
      <c r="CE1237" s="84"/>
      <c r="CF1237" s="84"/>
      <c r="CG1237" s="84"/>
      <c r="CH1237" s="84"/>
      <c r="CI1237" s="84"/>
      <c r="CJ1237" s="84"/>
      <c r="CK1237" s="84"/>
      <c r="CL1237" s="84"/>
    </row>
    <row r="1238" spans="66:90" s="354" customFormat="1" x14ac:dyDescent="0.2">
      <c r="BN1238" s="84"/>
      <c r="BO1238" s="84"/>
      <c r="BP1238" s="84"/>
      <c r="BQ1238" s="84"/>
      <c r="BR1238" s="84"/>
      <c r="BS1238" s="84"/>
      <c r="BT1238" s="84"/>
      <c r="BU1238" s="84"/>
      <c r="BV1238" s="84"/>
      <c r="BW1238" s="84"/>
      <c r="BX1238" s="84"/>
      <c r="BY1238" s="84"/>
      <c r="BZ1238" s="84"/>
      <c r="CA1238" s="84"/>
      <c r="CB1238" s="84"/>
      <c r="CC1238" s="84"/>
      <c r="CD1238" s="84"/>
      <c r="CE1238" s="84"/>
      <c r="CF1238" s="84"/>
      <c r="CG1238" s="84"/>
      <c r="CH1238" s="84"/>
      <c r="CI1238" s="84"/>
      <c r="CJ1238" s="84"/>
      <c r="CK1238" s="84"/>
      <c r="CL1238" s="84"/>
    </row>
    <row r="1239" spans="66:90" s="354" customFormat="1" x14ac:dyDescent="0.2">
      <c r="BN1239" s="84"/>
      <c r="BO1239" s="84"/>
      <c r="BP1239" s="84"/>
      <c r="BQ1239" s="84"/>
      <c r="BR1239" s="84"/>
      <c r="BS1239" s="84"/>
      <c r="BT1239" s="84"/>
      <c r="BU1239" s="84"/>
      <c r="BV1239" s="84"/>
      <c r="BW1239" s="84"/>
      <c r="BX1239" s="84"/>
      <c r="BY1239" s="84"/>
      <c r="BZ1239" s="84"/>
      <c r="CA1239" s="84"/>
      <c r="CB1239" s="84"/>
      <c r="CC1239" s="84"/>
      <c r="CD1239" s="84"/>
      <c r="CE1239" s="84"/>
      <c r="CF1239" s="84"/>
      <c r="CG1239" s="84"/>
      <c r="CH1239" s="84"/>
      <c r="CI1239" s="84"/>
      <c r="CJ1239" s="84"/>
      <c r="CK1239" s="84"/>
      <c r="CL1239" s="84"/>
    </row>
    <row r="1240" spans="66:90" s="354" customFormat="1" x14ac:dyDescent="0.2">
      <c r="BN1240" s="84"/>
      <c r="BO1240" s="84"/>
      <c r="BP1240" s="84"/>
      <c r="BQ1240" s="84"/>
      <c r="BR1240" s="84"/>
      <c r="BS1240" s="84"/>
      <c r="BT1240" s="84"/>
      <c r="BU1240" s="84"/>
      <c r="BV1240" s="84"/>
      <c r="BW1240" s="84"/>
      <c r="BX1240" s="84"/>
      <c r="BY1240" s="84"/>
      <c r="BZ1240" s="84"/>
      <c r="CA1240" s="84"/>
      <c r="CB1240" s="84"/>
      <c r="CC1240" s="84"/>
      <c r="CD1240" s="84"/>
      <c r="CE1240" s="84"/>
      <c r="CF1240" s="84"/>
      <c r="CG1240" s="84"/>
      <c r="CH1240" s="84"/>
      <c r="CI1240" s="84"/>
      <c r="CJ1240" s="84"/>
      <c r="CK1240" s="84"/>
      <c r="CL1240" s="84"/>
    </row>
    <row r="1241" spans="66:90" s="354" customFormat="1" x14ac:dyDescent="0.2">
      <c r="BN1241" s="84"/>
      <c r="BO1241" s="84"/>
      <c r="BP1241" s="84"/>
      <c r="BQ1241" s="84"/>
      <c r="BR1241" s="84"/>
      <c r="BS1241" s="84"/>
      <c r="BT1241" s="84"/>
      <c r="BU1241" s="84"/>
      <c r="BV1241" s="84"/>
      <c r="BW1241" s="84"/>
      <c r="BX1241" s="84"/>
      <c r="BY1241" s="84"/>
      <c r="BZ1241" s="84"/>
      <c r="CA1241" s="84"/>
      <c r="CB1241" s="84"/>
      <c r="CC1241" s="84"/>
      <c r="CD1241" s="84"/>
      <c r="CE1241" s="84"/>
      <c r="CF1241" s="84"/>
      <c r="CG1241" s="84"/>
      <c r="CH1241" s="84"/>
      <c r="CI1241" s="84"/>
      <c r="CJ1241" s="84"/>
      <c r="CK1241" s="84"/>
      <c r="CL1241" s="84"/>
    </row>
    <row r="1242" spans="66:90" s="354" customFormat="1" x14ac:dyDescent="0.2">
      <c r="BN1242" s="84"/>
      <c r="BO1242" s="84"/>
      <c r="BP1242" s="84"/>
      <c r="BQ1242" s="84"/>
      <c r="BR1242" s="84"/>
      <c r="BS1242" s="84"/>
      <c r="BT1242" s="84"/>
      <c r="BU1242" s="84"/>
      <c r="BV1242" s="84"/>
      <c r="BW1242" s="84"/>
      <c r="BX1242" s="84"/>
      <c r="BY1242" s="84"/>
      <c r="BZ1242" s="84"/>
      <c r="CA1242" s="84"/>
      <c r="CB1242" s="84"/>
      <c r="CC1242" s="84"/>
      <c r="CD1242" s="84"/>
      <c r="CE1242" s="84"/>
      <c r="CF1242" s="84"/>
      <c r="CG1242" s="84"/>
      <c r="CH1242" s="84"/>
      <c r="CI1242" s="84"/>
      <c r="CJ1242" s="84"/>
      <c r="CK1242" s="84"/>
      <c r="CL1242" s="84"/>
    </row>
    <row r="1243" spans="66:90" s="354" customFormat="1" x14ac:dyDescent="0.2">
      <c r="BN1243" s="84"/>
      <c r="BO1243" s="84"/>
      <c r="BP1243" s="84"/>
      <c r="BQ1243" s="84"/>
      <c r="BR1243" s="84"/>
      <c r="BS1243" s="84"/>
      <c r="BT1243" s="84"/>
      <c r="BU1243" s="84"/>
      <c r="BV1243" s="84"/>
      <c r="BW1243" s="84"/>
      <c r="BX1243" s="84"/>
      <c r="BY1243" s="84"/>
      <c r="BZ1243" s="84"/>
      <c r="CA1243" s="84"/>
      <c r="CB1243" s="84"/>
      <c r="CC1243" s="84"/>
      <c r="CD1243" s="84"/>
      <c r="CE1243" s="84"/>
      <c r="CF1243" s="84"/>
      <c r="CG1243" s="84"/>
      <c r="CH1243" s="84"/>
      <c r="CI1243" s="84"/>
      <c r="CJ1243" s="84"/>
      <c r="CK1243" s="84"/>
      <c r="CL1243" s="84"/>
    </row>
    <row r="1244" spans="66:90" s="354" customFormat="1" x14ac:dyDescent="0.2">
      <c r="BN1244" s="84"/>
      <c r="BO1244" s="84"/>
      <c r="BP1244" s="84"/>
      <c r="BQ1244" s="84"/>
      <c r="BR1244" s="84"/>
      <c r="BS1244" s="84"/>
      <c r="BT1244" s="84"/>
      <c r="BU1244" s="84"/>
      <c r="BV1244" s="84"/>
      <c r="BW1244" s="84"/>
      <c r="BX1244" s="84"/>
      <c r="BY1244" s="84"/>
      <c r="BZ1244" s="84"/>
      <c r="CA1244" s="84"/>
      <c r="CB1244" s="84"/>
      <c r="CC1244" s="84"/>
      <c r="CD1244" s="84"/>
      <c r="CE1244" s="84"/>
      <c r="CF1244" s="84"/>
      <c r="CG1244" s="84"/>
      <c r="CH1244" s="84"/>
      <c r="CI1244" s="84"/>
      <c r="CJ1244" s="84"/>
      <c r="CK1244" s="84"/>
      <c r="CL1244" s="84"/>
    </row>
    <row r="1245" spans="66:90" s="354" customFormat="1" x14ac:dyDescent="0.2">
      <c r="BN1245" s="84"/>
      <c r="BO1245" s="84"/>
      <c r="BP1245" s="84"/>
      <c r="BQ1245" s="84"/>
      <c r="BR1245" s="84"/>
      <c r="BS1245" s="84"/>
      <c r="BT1245" s="84"/>
      <c r="BU1245" s="84"/>
      <c r="BV1245" s="84"/>
      <c r="BW1245" s="84"/>
      <c r="BX1245" s="84"/>
      <c r="BY1245" s="84"/>
      <c r="BZ1245" s="84"/>
      <c r="CA1245" s="84"/>
      <c r="CB1245" s="84"/>
      <c r="CC1245" s="84"/>
      <c r="CD1245" s="84"/>
      <c r="CE1245" s="84"/>
      <c r="CF1245" s="84"/>
      <c r="CG1245" s="84"/>
      <c r="CH1245" s="84"/>
      <c r="CI1245" s="84"/>
      <c r="CJ1245" s="84"/>
      <c r="CK1245" s="84"/>
      <c r="CL1245" s="84"/>
    </row>
    <row r="1246" spans="66:90" s="354" customFormat="1" x14ac:dyDescent="0.2">
      <c r="BN1246" s="84"/>
      <c r="BO1246" s="84"/>
      <c r="BP1246" s="84"/>
      <c r="BQ1246" s="84"/>
      <c r="BR1246" s="84"/>
      <c r="BS1246" s="84"/>
      <c r="BT1246" s="84"/>
      <c r="BU1246" s="84"/>
      <c r="BV1246" s="84"/>
      <c r="BW1246" s="84"/>
      <c r="BX1246" s="84"/>
      <c r="BY1246" s="84"/>
      <c r="BZ1246" s="84"/>
      <c r="CA1246" s="84"/>
      <c r="CB1246" s="84"/>
      <c r="CC1246" s="84"/>
      <c r="CD1246" s="84"/>
      <c r="CE1246" s="84"/>
      <c r="CF1246" s="84"/>
      <c r="CG1246" s="84"/>
      <c r="CH1246" s="84"/>
      <c r="CI1246" s="84"/>
      <c r="CJ1246" s="84"/>
      <c r="CK1246" s="84"/>
      <c r="CL1246" s="84"/>
    </row>
    <row r="1247" spans="66:90" s="354" customFormat="1" x14ac:dyDescent="0.2">
      <c r="BN1247" s="84"/>
      <c r="BO1247" s="84"/>
      <c r="BP1247" s="84"/>
      <c r="BQ1247" s="84"/>
      <c r="BR1247" s="84"/>
      <c r="BS1247" s="84"/>
      <c r="BT1247" s="84"/>
      <c r="BU1247" s="84"/>
      <c r="BV1247" s="84"/>
      <c r="BW1247" s="84"/>
      <c r="BX1247" s="84"/>
      <c r="BY1247" s="84"/>
      <c r="BZ1247" s="84"/>
      <c r="CA1247" s="84"/>
      <c r="CB1247" s="84"/>
      <c r="CC1247" s="84"/>
      <c r="CD1247" s="84"/>
      <c r="CE1247" s="84"/>
      <c r="CF1247" s="84"/>
      <c r="CG1247" s="84"/>
      <c r="CH1247" s="84"/>
      <c r="CI1247" s="84"/>
      <c r="CJ1247" s="84"/>
      <c r="CK1247" s="84"/>
      <c r="CL1247" s="84"/>
    </row>
    <row r="1248" spans="66:90" s="354" customFormat="1" x14ac:dyDescent="0.2">
      <c r="BN1248" s="84"/>
      <c r="BO1248" s="84"/>
      <c r="BP1248" s="84"/>
      <c r="BQ1248" s="84"/>
      <c r="BR1248" s="84"/>
      <c r="BS1248" s="84"/>
      <c r="BT1248" s="84"/>
      <c r="BU1248" s="84"/>
      <c r="BV1248" s="84"/>
      <c r="BW1248" s="84"/>
      <c r="BX1248" s="84"/>
      <c r="BY1248" s="84"/>
      <c r="BZ1248" s="84"/>
      <c r="CA1248" s="84"/>
      <c r="CB1248" s="84"/>
      <c r="CC1248" s="84"/>
      <c r="CD1248" s="84"/>
      <c r="CE1248" s="84"/>
      <c r="CF1248" s="84"/>
      <c r="CG1248" s="84"/>
      <c r="CH1248" s="84"/>
      <c r="CI1248" s="84"/>
      <c r="CJ1248" s="84"/>
      <c r="CK1248" s="84"/>
      <c r="CL1248" s="84"/>
    </row>
    <row r="1249" spans="66:90" s="354" customFormat="1" x14ac:dyDescent="0.2">
      <c r="BN1249" s="84"/>
      <c r="BO1249" s="84"/>
      <c r="BP1249" s="84"/>
      <c r="BQ1249" s="84"/>
      <c r="BR1249" s="84"/>
      <c r="BS1249" s="84"/>
      <c r="BT1249" s="84"/>
      <c r="BU1249" s="84"/>
      <c r="BV1249" s="84"/>
      <c r="BW1249" s="84"/>
      <c r="BX1249" s="84"/>
      <c r="BY1249" s="84"/>
      <c r="BZ1249" s="84"/>
      <c r="CA1249" s="84"/>
      <c r="CB1249" s="84"/>
      <c r="CC1249" s="84"/>
      <c r="CD1249" s="84"/>
      <c r="CE1249" s="84"/>
      <c r="CF1249" s="84"/>
      <c r="CG1249" s="84"/>
      <c r="CH1249" s="84"/>
      <c r="CI1249" s="84"/>
      <c r="CJ1249" s="84"/>
      <c r="CK1249" s="84"/>
      <c r="CL1249" s="84"/>
    </row>
    <row r="1250" spans="66:90" s="354" customFormat="1" x14ac:dyDescent="0.2">
      <c r="BN1250" s="84"/>
      <c r="BO1250" s="84"/>
      <c r="BP1250" s="84"/>
      <c r="BQ1250" s="84"/>
      <c r="BR1250" s="84"/>
      <c r="BS1250" s="84"/>
      <c r="BT1250" s="84"/>
      <c r="BU1250" s="84"/>
      <c r="BV1250" s="84"/>
      <c r="BW1250" s="84"/>
      <c r="BX1250" s="84"/>
      <c r="BY1250" s="84"/>
      <c r="BZ1250" s="84"/>
      <c r="CA1250" s="84"/>
      <c r="CB1250" s="84"/>
      <c r="CC1250" s="84"/>
      <c r="CD1250" s="84"/>
      <c r="CE1250" s="84"/>
      <c r="CF1250" s="84"/>
      <c r="CG1250" s="84"/>
      <c r="CH1250" s="84"/>
      <c r="CI1250" s="84"/>
      <c r="CJ1250" s="84"/>
      <c r="CK1250" s="84"/>
      <c r="CL1250" s="84"/>
    </row>
    <row r="1251" spans="66:90" s="354" customFormat="1" x14ac:dyDescent="0.2">
      <c r="BN1251" s="84"/>
      <c r="BO1251" s="84"/>
      <c r="BP1251" s="84"/>
      <c r="BQ1251" s="84"/>
      <c r="BR1251" s="84"/>
      <c r="BS1251" s="84"/>
      <c r="BT1251" s="84"/>
      <c r="BU1251" s="84"/>
      <c r="BV1251" s="84"/>
      <c r="BW1251" s="84"/>
      <c r="BX1251" s="84"/>
      <c r="BY1251" s="84"/>
      <c r="BZ1251" s="84"/>
      <c r="CA1251" s="84"/>
      <c r="CB1251" s="84"/>
      <c r="CC1251" s="84"/>
      <c r="CD1251" s="84"/>
      <c r="CE1251" s="84"/>
      <c r="CF1251" s="84"/>
      <c r="CG1251" s="84"/>
      <c r="CH1251" s="84"/>
      <c r="CI1251" s="84"/>
      <c r="CJ1251" s="84"/>
      <c r="CK1251" s="84"/>
      <c r="CL1251" s="84"/>
    </row>
    <row r="1252" spans="66:90" s="354" customFormat="1" x14ac:dyDescent="0.2">
      <c r="BN1252" s="84"/>
      <c r="BO1252" s="84"/>
      <c r="BP1252" s="84"/>
      <c r="BQ1252" s="84"/>
      <c r="BR1252" s="84"/>
      <c r="BS1252" s="84"/>
      <c r="BT1252" s="84"/>
      <c r="BU1252" s="84"/>
      <c r="BV1252" s="84"/>
      <c r="BW1252" s="84"/>
      <c r="BX1252" s="84"/>
      <c r="BY1252" s="84"/>
      <c r="BZ1252" s="84"/>
      <c r="CA1252" s="84"/>
      <c r="CB1252" s="84"/>
      <c r="CC1252" s="84"/>
      <c r="CD1252" s="84"/>
      <c r="CE1252" s="84"/>
      <c r="CF1252" s="84"/>
      <c r="CG1252" s="84"/>
      <c r="CH1252" s="84"/>
      <c r="CI1252" s="84"/>
      <c r="CJ1252" s="84"/>
      <c r="CK1252" s="84"/>
      <c r="CL1252" s="84"/>
    </row>
    <row r="1253" spans="66:90" s="354" customFormat="1" x14ac:dyDescent="0.2">
      <c r="BN1253" s="84"/>
      <c r="BO1253" s="84"/>
      <c r="BP1253" s="84"/>
      <c r="BQ1253" s="84"/>
      <c r="BR1253" s="84"/>
      <c r="BS1253" s="84"/>
      <c r="BT1253" s="84"/>
      <c r="BU1253" s="84"/>
      <c r="BV1253" s="84"/>
      <c r="BW1253" s="84"/>
      <c r="BX1253" s="84"/>
      <c r="BY1253" s="84"/>
      <c r="BZ1253" s="84"/>
      <c r="CA1253" s="84"/>
      <c r="CB1253" s="84"/>
      <c r="CC1253" s="84"/>
      <c r="CD1253" s="84"/>
      <c r="CE1253" s="84"/>
      <c r="CF1253" s="84"/>
      <c r="CG1253" s="84"/>
      <c r="CH1253" s="84"/>
      <c r="CI1253" s="84"/>
      <c r="CJ1253" s="84"/>
      <c r="CK1253" s="84"/>
      <c r="CL1253" s="84"/>
    </row>
    <row r="1254" spans="66:90" s="354" customFormat="1" x14ac:dyDescent="0.2">
      <c r="BN1254" s="84"/>
      <c r="BO1254" s="84"/>
      <c r="BP1254" s="84"/>
      <c r="BQ1254" s="84"/>
      <c r="BR1254" s="84"/>
      <c r="BS1254" s="84"/>
      <c r="BT1254" s="84"/>
      <c r="BU1254" s="84"/>
      <c r="BV1254" s="84"/>
      <c r="BW1254" s="84"/>
      <c r="BX1254" s="84"/>
      <c r="BY1254" s="84"/>
      <c r="BZ1254" s="84"/>
      <c r="CA1254" s="84"/>
      <c r="CB1254" s="84"/>
      <c r="CC1254" s="84"/>
      <c r="CD1254" s="84"/>
      <c r="CE1254" s="84"/>
      <c r="CF1254" s="84"/>
      <c r="CG1254" s="84"/>
      <c r="CH1254" s="84"/>
      <c r="CI1254" s="84"/>
      <c r="CJ1254" s="84"/>
      <c r="CK1254" s="84"/>
      <c r="CL1254" s="84"/>
    </row>
    <row r="1255" spans="66:90" s="354" customFormat="1" x14ac:dyDescent="0.2">
      <c r="BN1255" s="84"/>
      <c r="BO1255" s="84"/>
      <c r="BP1255" s="84"/>
      <c r="BQ1255" s="84"/>
      <c r="BR1255" s="84"/>
      <c r="BS1255" s="84"/>
      <c r="BT1255" s="84"/>
      <c r="BU1255" s="84"/>
      <c r="BV1255" s="84"/>
      <c r="BW1255" s="84"/>
      <c r="BX1255" s="84"/>
      <c r="BY1255" s="84"/>
      <c r="BZ1255" s="84"/>
      <c r="CA1255" s="84"/>
      <c r="CB1255" s="84"/>
      <c r="CC1255" s="84"/>
      <c r="CD1255" s="84"/>
      <c r="CE1255" s="84"/>
      <c r="CF1255" s="84"/>
      <c r="CG1255" s="84"/>
      <c r="CH1255" s="84"/>
      <c r="CI1255" s="84"/>
      <c r="CJ1255" s="84"/>
      <c r="CK1255" s="84"/>
      <c r="CL1255" s="84"/>
    </row>
    <row r="1256" spans="66:90" s="354" customFormat="1" x14ac:dyDescent="0.2">
      <c r="BN1256" s="84"/>
      <c r="BO1256" s="84"/>
      <c r="BP1256" s="84"/>
      <c r="BQ1256" s="84"/>
      <c r="BR1256" s="84"/>
      <c r="BS1256" s="84"/>
      <c r="BT1256" s="84"/>
      <c r="BU1256" s="84"/>
      <c r="BV1256" s="84"/>
      <c r="BW1256" s="84"/>
      <c r="BX1256" s="84"/>
      <c r="BY1256" s="84"/>
      <c r="BZ1256" s="84"/>
      <c r="CA1256" s="84"/>
      <c r="CB1256" s="84"/>
      <c r="CC1256" s="84"/>
      <c r="CD1256" s="84"/>
      <c r="CE1256" s="84"/>
      <c r="CF1256" s="84"/>
      <c r="CG1256" s="84"/>
      <c r="CH1256" s="84"/>
      <c r="CI1256" s="84"/>
      <c r="CJ1256" s="84"/>
      <c r="CK1256" s="84"/>
      <c r="CL1256" s="84"/>
    </row>
    <row r="1257" spans="66:90" s="354" customFormat="1" x14ac:dyDescent="0.2">
      <c r="BN1257" s="84"/>
      <c r="BO1257" s="84"/>
      <c r="BP1257" s="84"/>
      <c r="BQ1257" s="84"/>
      <c r="BR1257" s="84"/>
      <c r="BS1257" s="84"/>
      <c r="BT1257" s="84"/>
      <c r="BU1257" s="84"/>
      <c r="BV1257" s="84"/>
      <c r="BW1257" s="84"/>
      <c r="BX1257" s="84"/>
      <c r="BY1257" s="84"/>
      <c r="BZ1257" s="84"/>
      <c r="CA1257" s="84"/>
      <c r="CB1257" s="84"/>
      <c r="CC1257" s="84"/>
      <c r="CD1257" s="84"/>
      <c r="CE1257" s="84"/>
      <c r="CF1257" s="84"/>
      <c r="CG1257" s="84"/>
      <c r="CH1257" s="84"/>
      <c r="CI1257" s="84"/>
      <c r="CJ1257" s="84"/>
      <c r="CK1257" s="84"/>
      <c r="CL1257" s="84"/>
    </row>
    <row r="1258" spans="66:90" s="354" customFormat="1" x14ac:dyDescent="0.2">
      <c r="BN1258" s="84"/>
      <c r="BO1258" s="84"/>
      <c r="BP1258" s="84"/>
      <c r="BQ1258" s="84"/>
      <c r="BR1258" s="84"/>
      <c r="BS1258" s="84"/>
      <c r="BT1258" s="84"/>
      <c r="BU1258" s="84"/>
      <c r="BV1258" s="84"/>
      <c r="BW1258" s="84"/>
      <c r="BX1258" s="84"/>
      <c r="BY1258" s="84"/>
      <c r="BZ1258" s="84"/>
      <c r="CA1258" s="84"/>
      <c r="CB1258" s="84"/>
      <c r="CC1258" s="84"/>
      <c r="CD1258" s="84"/>
      <c r="CE1258" s="84"/>
      <c r="CF1258" s="84"/>
      <c r="CG1258" s="84"/>
      <c r="CH1258" s="84"/>
      <c r="CI1258" s="84"/>
      <c r="CJ1258" s="84"/>
      <c r="CK1258" s="84"/>
      <c r="CL1258" s="84"/>
    </row>
    <row r="1259" spans="66:90" s="354" customFormat="1" x14ac:dyDescent="0.2">
      <c r="BN1259" s="84"/>
      <c r="BO1259" s="84"/>
      <c r="BP1259" s="84"/>
      <c r="BQ1259" s="84"/>
      <c r="BR1259" s="84"/>
      <c r="BS1259" s="84"/>
      <c r="BT1259" s="84"/>
      <c r="BU1259" s="84"/>
      <c r="BV1259" s="84"/>
      <c r="BW1259" s="84"/>
      <c r="BX1259" s="84"/>
      <c r="BY1259" s="84"/>
      <c r="BZ1259" s="84"/>
      <c r="CA1259" s="84"/>
      <c r="CB1259" s="84"/>
      <c r="CC1259" s="84"/>
      <c r="CD1259" s="84"/>
      <c r="CE1259" s="84"/>
      <c r="CF1259" s="84"/>
      <c r="CG1259" s="84"/>
      <c r="CH1259" s="84"/>
      <c r="CI1259" s="84"/>
      <c r="CJ1259" s="84"/>
      <c r="CK1259" s="84"/>
      <c r="CL1259" s="84"/>
    </row>
    <row r="1260" spans="66:90" s="354" customFormat="1" x14ac:dyDescent="0.2">
      <c r="BN1260" s="84"/>
      <c r="BO1260" s="84"/>
      <c r="BP1260" s="84"/>
      <c r="BQ1260" s="84"/>
      <c r="BR1260" s="84"/>
      <c r="BS1260" s="84"/>
      <c r="BT1260" s="84"/>
      <c r="BU1260" s="84"/>
      <c r="BV1260" s="84"/>
      <c r="BW1260" s="84"/>
      <c r="BX1260" s="84"/>
      <c r="BY1260" s="84"/>
      <c r="BZ1260" s="84"/>
      <c r="CA1260" s="84"/>
      <c r="CB1260" s="84"/>
      <c r="CC1260" s="84"/>
      <c r="CD1260" s="84"/>
      <c r="CE1260" s="84"/>
      <c r="CF1260" s="84"/>
      <c r="CG1260" s="84"/>
      <c r="CH1260" s="84"/>
      <c r="CI1260" s="84"/>
      <c r="CJ1260" s="84"/>
      <c r="CK1260" s="84"/>
      <c r="CL1260" s="84"/>
    </row>
    <row r="1261" spans="66:90" s="354" customFormat="1" x14ac:dyDescent="0.2">
      <c r="BN1261" s="84"/>
      <c r="BO1261" s="84"/>
      <c r="BP1261" s="84"/>
      <c r="BQ1261" s="84"/>
      <c r="BR1261" s="84"/>
      <c r="BS1261" s="84"/>
      <c r="BT1261" s="84"/>
      <c r="BU1261" s="84"/>
      <c r="BV1261" s="84"/>
      <c r="BW1261" s="84"/>
      <c r="BX1261" s="84"/>
      <c r="BY1261" s="84"/>
      <c r="BZ1261" s="84"/>
      <c r="CA1261" s="84"/>
      <c r="CB1261" s="84"/>
      <c r="CC1261" s="84"/>
      <c r="CD1261" s="84"/>
      <c r="CE1261" s="84"/>
      <c r="CF1261" s="84"/>
      <c r="CG1261" s="84"/>
      <c r="CH1261" s="84"/>
      <c r="CI1261" s="84"/>
      <c r="CJ1261" s="84"/>
      <c r="CK1261" s="84"/>
      <c r="CL1261" s="84"/>
    </row>
    <row r="1262" spans="66:90" s="354" customFormat="1" x14ac:dyDescent="0.2">
      <c r="BN1262" s="84"/>
      <c r="BO1262" s="84"/>
      <c r="BP1262" s="84"/>
      <c r="BQ1262" s="84"/>
      <c r="BR1262" s="84"/>
      <c r="BS1262" s="84"/>
      <c r="BT1262" s="84"/>
      <c r="BU1262" s="84"/>
      <c r="BV1262" s="84"/>
      <c r="BW1262" s="84"/>
      <c r="BX1262" s="84"/>
      <c r="BY1262" s="84"/>
      <c r="BZ1262" s="84"/>
      <c r="CA1262" s="84"/>
      <c r="CB1262" s="84"/>
      <c r="CC1262" s="84"/>
      <c r="CD1262" s="84"/>
      <c r="CE1262" s="84"/>
      <c r="CF1262" s="84"/>
      <c r="CG1262" s="84"/>
      <c r="CH1262" s="84"/>
      <c r="CI1262" s="84"/>
      <c r="CJ1262" s="84"/>
      <c r="CK1262" s="84"/>
      <c r="CL1262" s="84"/>
    </row>
    <row r="1263" spans="66:90" s="354" customFormat="1" x14ac:dyDescent="0.2">
      <c r="BN1263" s="84"/>
      <c r="BO1263" s="84"/>
      <c r="BP1263" s="84"/>
      <c r="BQ1263" s="84"/>
      <c r="BR1263" s="84"/>
      <c r="BS1263" s="84"/>
      <c r="BT1263" s="84"/>
      <c r="BU1263" s="84"/>
      <c r="BV1263" s="84"/>
      <c r="BW1263" s="84"/>
      <c r="BX1263" s="84"/>
      <c r="BY1263" s="84"/>
      <c r="BZ1263" s="84"/>
      <c r="CA1263" s="84"/>
      <c r="CB1263" s="84"/>
      <c r="CC1263" s="84"/>
      <c r="CD1263" s="84"/>
      <c r="CE1263" s="84"/>
      <c r="CF1263" s="84"/>
      <c r="CG1263" s="84"/>
      <c r="CH1263" s="84"/>
      <c r="CI1263" s="84"/>
      <c r="CJ1263" s="84"/>
      <c r="CK1263" s="84"/>
      <c r="CL1263" s="84"/>
    </row>
    <row r="1264" spans="66:90" s="354" customFormat="1" x14ac:dyDescent="0.2">
      <c r="BN1264" s="84"/>
      <c r="BO1264" s="84"/>
      <c r="BP1264" s="84"/>
      <c r="BQ1264" s="84"/>
      <c r="BR1264" s="84"/>
      <c r="BS1264" s="84"/>
      <c r="BT1264" s="84"/>
      <c r="BU1264" s="84"/>
      <c r="BV1264" s="84"/>
      <c r="BW1264" s="84"/>
      <c r="BX1264" s="84"/>
      <c r="BY1264" s="84"/>
      <c r="BZ1264" s="84"/>
      <c r="CA1264" s="84"/>
      <c r="CB1264" s="84"/>
      <c r="CC1264" s="84"/>
      <c r="CD1264" s="84"/>
      <c r="CE1264" s="84"/>
      <c r="CF1264" s="84"/>
      <c r="CG1264" s="84"/>
      <c r="CH1264" s="84"/>
      <c r="CI1264" s="84"/>
      <c r="CJ1264" s="84"/>
      <c r="CK1264" s="84"/>
      <c r="CL1264" s="84"/>
    </row>
    <row r="1265" spans="66:90" s="354" customFormat="1" x14ac:dyDescent="0.2">
      <c r="BN1265" s="84"/>
      <c r="BO1265" s="84"/>
      <c r="BP1265" s="84"/>
      <c r="BQ1265" s="84"/>
      <c r="BR1265" s="84"/>
      <c r="BS1265" s="84"/>
      <c r="BT1265" s="84"/>
      <c r="BU1265" s="84"/>
      <c r="BV1265" s="84"/>
      <c r="BW1265" s="84"/>
      <c r="BX1265" s="84"/>
      <c r="BY1265" s="84"/>
      <c r="BZ1265" s="84"/>
      <c r="CA1265" s="84"/>
      <c r="CB1265" s="84"/>
      <c r="CC1265" s="84"/>
      <c r="CD1265" s="84"/>
      <c r="CE1265" s="84"/>
      <c r="CF1265" s="84"/>
      <c r="CG1265" s="84"/>
      <c r="CH1265" s="84"/>
      <c r="CI1265" s="84"/>
      <c r="CJ1265" s="84"/>
      <c r="CK1265" s="84"/>
      <c r="CL1265" s="84"/>
    </row>
    <row r="1266" spans="66:90" s="354" customFormat="1" x14ac:dyDescent="0.2">
      <c r="BN1266" s="84"/>
      <c r="BO1266" s="84"/>
      <c r="BP1266" s="84"/>
      <c r="BQ1266" s="84"/>
      <c r="BR1266" s="84"/>
      <c r="BS1266" s="84"/>
      <c r="BT1266" s="84"/>
      <c r="BU1266" s="84"/>
      <c r="BV1266" s="84"/>
      <c r="BW1266" s="84"/>
      <c r="BX1266" s="84"/>
      <c r="BY1266" s="84"/>
      <c r="BZ1266" s="84"/>
      <c r="CA1266" s="84"/>
      <c r="CB1266" s="84"/>
      <c r="CC1266" s="84"/>
      <c r="CD1266" s="84"/>
      <c r="CE1266" s="84"/>
      <c r="CF1266" s="84"/>
      <c r="CG1266" s="84"/>
      <c r="CH1266" s="84"/>
      <c r="CI1266" s="84"/>
      <c r="CJ1266" s="84"/>
      <c r="CK1266" s="84"/>
      <c r="CL1266" s="84"/>
    </row>
    <row r="1267" spans="66:90" s="354" customFormat="1" x14ac:dyDescent="0.2">
      <c r="BN1267" s="84"/>
      <c r="BO1267" s="84"/>
      <c r="BP1267" s="84"/>
      <c r="BQ1267" s="84"/>
      <c r="BR1267" s="84"/>
      <c r="BS1267" s="84"/>
      <c r="BT1267" s="84"/>
      <c r="BU1267" s="84"/>
      <c r="BV1267" s="84"/>
      <c r="BW1267" s="84"/>
      <c r="BX1267" s="84"/>
      <c r="BY1267" s="84"/>
      <c r="BZ1267" s="84"/>
      <c r="CA1267" s="84"/>
      <c r="CB1267" s="84"/>
      <c r="CC1267" s="84"/>
      <c r="CD1267" s="84"/>
      <c r="CE1267" s="84"/>
      <c r="CF1267" s="84"/>
      <c r="CG1267" s="84"/>
      <c r="CH1267" s="84"/>
      <c r="CI1267" s="84"/>
      <c r="CJ1267" s="84"/>
      <c r="CK1267" s="84"/>
      <c r="CL1267" s="84"/>
    </row>
    <row r="1268" spans="66:90" s="354" customFormat="1" x14ac:dyDescent="0.2">
      <c r="BN1268" s="84"/>
      <c r="BO1268" s="84"/>
      <c r="BP1268" s="84"/>
      <c r="BQ1268" s="84"/>
      <c r="BR1268" s="84"/>
      <c r="BS1268" s="84"/>
      <c r="BT1268" s="84"/>
      <c r="BU1268" s="84"/>
      <c r="BV1268" s="84"/>
      <c r="BW1268" s="84"/>
      <c r="BX1268" s="84"/>
      <c r="BY1268" s="84"/>
      <c r="BZ1268" s="84"/>
      <c r="CA1268" s="84"/>
      <c r="CB1268" s="84"/>
      <c r="CC1268" s="84"/>
      <c r="CD1268" s="84"/>
      <c r="CE1268" s="84"/>
      <c r="CF1268" s="84"/>
      <c r="CG1268" s="84"/>
      <c r="CH1268" s="84"/>
      <c r="CI1268" s="84"/>
      <c r="CJ1268" s="84"/>
      <c r="CK1268" s="84"/>
      <c r="CL1268" s="84"/>
    </row>
    <row r="1269" spans="66:90" s="354" customFormat="1" x14ac:dyDescent="0.2">
      <c r="BN1269" s="84"/>
      <c r="BO1269" s="84"/>
      <c r="BP1269" s="84"/>
      <c r="BQ1269" s="84"/>
      <c r="BR1269" s="84"/>
      <c r="BS1269" s="84"/>
      <c r="BT1269" s="84"/>
      <c r="BU1269" s="84"/>
      <c r="BV1269" s="84"/>
      <c r="BW1269" s="84"/>
      <c r="BX1269" s="84"/>
      <c r="BY1269" s="84"/>
      <c r="BZ1269" s="84"/>
      <c r="CA1269" s="84"/>
      <c r="CB1269" s="84"/>
      <c r="CC1269" s="84"/>
      <c r="CD1269" s="84"/>
      <c r="CE1269" s="84"/>
      <c r="CF1269" s="84"/>
      <c r="CG1269" s="84"/>
      <c r="CH1269" s="84"/>
      <c r="CI1269" s="84"/>
      <c r="CJ1269" s="84"/>
      <c r="CK1269" s="84"/>
      <c r="CL1269" s="84"/>
    </row>
    <row r="1270" spans="66:90" s="354" customFormat="1" x14ac:dyDescent="0.2">
      <c r="BN1270" s="84"/>
      <c r="BO1270" s="84"/>
      <c r="BP1270" s="84"/>
      <c r="BQ1270" s="84"/>
      <c r="BR1270" s="84"/>
      <c r="BS1270" s="84"/>
      <c r="BT1270" s="84"/>
      <c r="BU1270" s="84"/>
      <c r="BV1270" s="84"/>
      <c r="BW1270" s="84"/>
      <c r="BX1270" s="84"/>
      <c r="BY1270" s="84"/>
      <c r="BZ1270" s="84"/>
      <c r="CA1270" s="84"/>
      <c r="CB1270" s="84"/>
      <c r="CC1270" s="84"/>
      <c r="CD1270" s="84"/>
      <c r="CE1270" s="84"/>
      <c r="CF1270" s="84"/>
      <c r="CG1270" s="84"/>
      <c r="CH1270" s="84"/>
      <c r="CI1270" s="84"/>
      <c r="CJ1270" s="84"/>
      <c r="CK1270" s="84"/>
      <c r="CL1270" s="84"/>
    </row>
    <row r="1271" spans="66:90" s="354" customFormat="1" x14ac:dyDescent="0.2">
      <c r="BN1271" s="84"/>
      <c r="BO1271" s="84"/>
      <c r="BP1271" s="84"/>
      <c r="BQ1271" s="84"/>
      <c r="BR1271" s="84"/>
      <c r="BS1271" s="84"/>
      <c r="BT1271" s="84"/>
      <c r="BU1271" s="84"/>
      <c r="BV1271" s="84"/>
      <c r="BW1271" s="84"/>
      <c r="BX1271" s="84"/>
      <c r="BY1271" s="84"/>
      <c r="BZ1271" s="84"/>
      <c r="CA1271" s="84"/>
      <c r="CB1271" s="84"/>
      <c r="CC1271" s="84"/>
      <c r="CD1271" s="84"/>
      <c r="CE1271" s="84"/>
      <c r="CF1271" s="84"/>
      <c r="CG1271" s="84"/>
      <c r="CH1271" s="84"/>
      <c r="CI1271" s="84"/>
      <c r="CJ1271" s="84"/>
      <c r="CK1271" s="84"/>
      <c r="CL1271" s="84"/>
    </row>
    <row r="1272" spans="66:90" s="354" customFormat="1" x14ac:dyDescent="0.2">
      <c r="BN1272" s="84"/>
      <c r="BO1272" s="84"/>
      <c r="BP1272" s="84"/>
      <c r="BQ1272" s="84"/>
      <c r="BR1272" s="84"/>
      <c r="BS1272" s="84"/>
      <c r="BT1272" s="84"/>
      <c r="BU1272" s="84"/>
      <c r="BV1272" s="84"/>
      <c r="BW1272" s="84"/>
      <c r="BX1272" s="84"/>
      <c r="BY1272" s="84"/>
      <c r="BZ1272" s="84"/>
      <c r="CA1272" s="84"/>
      <c r="CB1272" s="84"/>
      <c r="CC1272" s="84"/>
      <c r="CD1272" s="84"/>
      <c r="CE1272" s="84"/>
      <c r="CF1272" s="84"/>
      <c r="CG1272" s="84"/>
      <c r="CH1272" s="84"/>
      <c r="CI1272" s="84"/>
      <c r="CJ1272" s="84"/>
      <c r="CK1272" s="84"/>
      <c r="CL1272" s="84"/>
    </row>
    <row r="1273" spans="66:90" s="354" customFormat="1" x14ac:dyDescent="0.2">
      <c r="BN1273" s="84"/>
      <c r="BO1273" s="84"/>
      <c r="BP1273" s="84"/>
      <c r="BQ1273" s="84"/>
      <c r="BR1273" s="84"/>
      <c r="BS1273" s="84"/>
      <c r="BT1273" s="84"/>
      <c r="BU1273" s="84"/>
      <c r="BV1273" s="84"/>
      <c r="BW1273" s="84"/>
      <c r="BX1273" s="84"/>
      <c r="BY1273" s="84"/>
      <c r="BZ1273" s="84"/>
      <c r="CA1273" s="84"/>
      <c r="CB1273" s="84"/>
      <c r="CC1273" s="84"/>
      <c r="CD1273" s="84"/>
      <c r="CE1273" s="84"/>
      <c r="CF1273" s="84"/>
      <c r="CG1273" s="84"/>
      <c r="CH1273" s="84"/>
      <c r="CI1273" s="84"/>
      <c r="CJ1273" s="84"/>
      <c r="CK1273" s="84"/>
      <c r="CL1273" s="84"/>
    </row>
    <row r="1274" spans="66:90" s="354" customFormat="1" x14ac:dyDescent="0.2">
      <c r="BN1274" s="84"/>
      <c r="BO1274" s="84"/>
      <c r="BP1274" s="84"/>
      <c r="BQ1274" s="84"/>
      <c r="BR1274" s="84"/>
      <c r="BS1274" s="84"/>
      <c r="BT1274" s="84"/>
      <c r="BU1274" s="84"/>
      <c r="BV1274" s="84"/>
      <c r="BW1274" s="84"/>
      <c r="BX1274" s="84"/>
      <c r="BY1274" s="84"/>
      <c r="BZ1274" s="84"/>
      <c r="CA1274" s="84"/>
      <c r="CB1274" s="84"/>
      <c r="CC1274" s="84"/>
      <c r="CD1274" s="84"/>
      <c r="CE1274" s="84"/>
      <c r="CF1274" s="84"/>
      <c r="CG1274" s="84"/>
      <c r="CH1274" s="84"/>
      <c r="CI1274" s="84"/>
      <c r="CJ1274" s="84"/>
      <c r="CK1274" s="84"/>
      <c r="CL1274" s="84"/>
    </row>
    <row r="1275" spans="66:90" s="354" customFormat="1" x14ac:dyDescent="0.2">
      <c r="BN1275" s="84"/>
      <c r="BO1275" s="84"/>
      <c r="BP1275" s="84"/>
      <c r="BQ1275" s="84"/>
      <c r="BR1275" s="84"/>
      <c r="BS1275" s="84"/>
      <c r="BT1275" s="84"/>
      <c r="BU1275" s="84"/>
      <c r="BV1275" s="84"/>
      <c r="BW1275" s="84"/>
      <c r="BX1275" s="84"/>
      <c r="BY1275" s="84"/>
      <c r="BZ1275" s="84"/>
      <c r="CA1275" s="84"/>
      <c r="CB1275" s="84"/>
      <c r="CC1275" s="84"/>
      <c r="CD1275" s="84"/>
      <c r="CE1275" s="84"/>
      <c r="CF1275" s="84"/>
      <c r="CG1275" s="84"/>
      <c r="CH1275" s="84"/>
      <c r="CI1275" s="84"/>
      <c r="CJ1275" s="84"/>
      <c r="CK1275" s="84"/>
      <c r="CL1275" s="84"/>
    </row>
    <row r="1276" spans="66:90" s="354" customFormat="1" x14ac:dyDescent="0.2">
      <c r="BN1276" s="84"/>
      <c r="BO1276" s="84"/>
      <c r="BP1276" s="84"/>
      <c r="BQ1276" s="84"/>
      <c r="BR1276" s="84"/>
      <c r="BS1276" s="84"/>
      <c r="BT1276" s="84"/>
      <c r="BU1276" s="84"/>
      <c r="BV1276" s="84"/>
      <c r="BW1276" s="84"/>
      <c r="BX1276" s="84"/>
      <c r="BY1276" s="84"/>
      <c r="BZ1276" s="84"/>
      <c r="CA1276" s="84"/>
      <c r="CB1276" s="84"/>
      <c r="CC1276" s="84"/>
      <c r="CD1276" s="84"/>
      <c r="CE1276" s="84"/>
      <c r="CF1276" s="84"/>
      <c r="CG1276" s="84"/>
      <c r="CH1276" s="84"/>
      <c r="CI1276" s="84"/>
      <c r="CJ1276" s="84"/>
      <c r="CK1276" s="84"/>
      <c r="CL1276" s="84"/>
    </row>
    <row r="1277" spans="66:90" s="354" customFormat="1" x14ac:dyDescent="0.2">
      <c r="BN1277" s="84"/>
      <c r="BO1277" s="84"/>
      <c r="BP1277" s="84"/>
      <c r="BQ1277" s="84"/>
      <c r="BR1277" s="84"/>
      <c r="BS1277" s="84"/>
      <c r="BT1277" s="84"/>
      <c r="BU1277" s="84"/>
      <c r="BV1277" s="84"/>
      <c r="BW1277" s="84"/>
      <c r="BX1277" s="84"/>
      <c r="BY1277" s="84"/>
      <c r="BZ1277" s="84"/>
      <c r="CA1277" s="84"/>
      <c r="CB1277" s="84"/>
      <c r="CC1277" s="84"/>
      <c r="CD1277" s="84"/>
      <c r="CE1277" s="84"/>
      <c r="CF1277" s="84"/>
      <c r="CG1277" s="84"/>
      <c r="CH1277" s="84"/>
      <c r="CI1277" s="84"/>
      <c r="CJ1277" s="84"/>
      <c r="CK1277" s="84"/>
      <c r="CL1277" s="84"/>
    </row>
    <row r="1278" spans="66:90" s="354" customFormat="1" x14ac:dyDescent="0.2">
      <c r="BN1278" s="84"/>
      <c r="BO1278" s="84"/>
      <c r="BP1278" s="84"/>
      <c r="BQ1278" s="84"/>
      <c r="BR1278" s="84"/>
      <c r="BS1278" s="84"/>
      <c r="BT1278" s="84"/>
      <c r="BU1278" s="84"/>
      <c r="BV1278" s="84"/>
      <c r="BW1278" s="84"/>
      <c r="BX1278" s="84"/>
      <c r="BY1278" s="84"/>
      <c r="BZ1278" s="84"/>
      <c r="CA1278" s="84"/>
      <c r="CB1278" s="84"/>
      <c r="CC1278" s="84"/>
      <c r="CD1278" s="84"/>
      <c r="CE1278" s="84"/>
      <c r="CF1278" s="84"/>
      <c r="CG1278" s="84"/>
      <c r="CH1278" s="84"/>
      <c r="CI1278" s="84"/>
      <c r="CJ1278" s="84"/>
      <c r="CK1278" s="84"/>
      <c r="CL1278" s="84"/>
    </row>
    <row r="1279" spans="66:90" s="354" customFormat="1" x14ac:dyDescent="0.2">
      <c r="BN1279" s="84"/>
      <c r="BO1279" s="84"/>
      <c r="BP1279" s="84"/>
      <c r="BQ1279" s="84"/>
      <c r="BR1279" s="84"/>
      <c r="BS1279" s="84"/>
      <c r="BT1279" s="84"/>
      <c r="BU1279" s="84"/>
      <c r="BV1279" s="84"/>
      <c r="BW1279" s="84"/>
      <c r="BX1279" s="84"/>
      <c r="BY1279" s="84"/>
      <c r="BZ1279" s="84"/>
      <c r="CA1279" s="84"/>
      <c r="CB1279" s="84"/>
      <c r="CC1279" s="84"/>
      <c r="CD1279" s="84"/>
      <c r="CE1279" s="84"/>
      <c r="CF1279" s="84"/>
      <c r="CG1279" s="84"/>
      <c r="CH1279" s="84"/>
      <c r="CI1279" s="84"/>
      <c r="CJ1279" s="84"/>
      <c r="CK1279" s="84"/>
      <c r="CL1279" s="84"/>
    </row>
    <row r="1280" spans="66:90" s="354" customFormat="1" x14ac:dyDescent="0.2">
      <c r="BN1280" s="84"/>
      <c r="BO1280" s="84"/>
      <c r="BP1280" s="84"/>
      <c r="BQ1280" s="84"/>
      <c r="BR1280" s="84"/>
      <c r="BS1280" s="84"/>
      <c r="BT1280" s="84"/>
      <c r="BU1280" s="84"/>
      <c r="BV1280" s="84"/>
      <c r="BW1280" s="84"/>
      <c r="BX1280" s="84"/>
      <c r="BY1280" s="84"/>
      <c r="BZ1280" s="84"/>
      <c r="CA1280" s="84"/>
      <c r="CB1280" s="84"/>
      <c r="CC1280" s="84"/>
      <c r="CD1280" s="84"/>
      <c r="CE1280" s="84"/>
      <c r="CF1280" s="84"/>
      <c r="CG1280" s="84"/>
      <c r="CH1280" s="84"/>
      <c r="CI1280" s="84"/>
      <c r="CJ1280" s="84"/>
      <c r="CK1280" s="84"/>
      <c r="CL1280" s="84"/>
    </row>
    <row r="1281" spans="66:90" s="354" customFormat="1" x14ac:dyDescent="0.2">
      <c r="BN1281" s="84"/>
      <c r="BO1281" s="84"/>
      <c r="BP1281" s="84"/>
      <c r="BQ1281" s="84"/>
      <c r="BR1281" s="84"/>
      <c r="BS1281" s="84"/>
      <c r="BT1281" s="84"/>
      <c r="BU1281" s="84"/>
      <c r="BV1281" s="84"/>
      <c r="BW1281" s="84"/>
      <c r="BX1281" s="84"/>
      <c r="BY1281" s="84"/>
      <c r="BZ1281" s="84"/>
      <c r="CA1281" s="84"/>
      <c r="CB1281" s="84"/>
      <c r="CC1281" s="84"/>
      <c r="CD1281" s="84"/>
      <c r="CE1281" s="84"/>
      <c r="CF1281" s="84"/>
      <c r="CG1281" s="84"/>
      <c r="CH1281" s="84"/>
      <c r="CI1281" s="84"/>
      <c r="CJ1281" s="84"/>
      <c r="CK1281" s="84"/>
      <c r="CL1281" s="84"/>
    </row>
    <row r="1282" spans="66:90" s="354" customFormat="1" x14ac:dyDescent="0.2">
      <c r="BN1282" s="84"/>
      <c r="BO1282" s="84"/>
      <c r="BP1282" s="84"/>
      <c r="BQ1282" s="84"/>
      <c r="BR1282" s="84"/>
      <c r="BS1282" s="84"/>
      <c r="BT1282" s="84"/>
      <c r="BU1282" s="84"/>
      <c r="BV1282" s="84"/>
      <c r="BW1282" s="84"/>
      <c r="BX1282" s="84"/>
      <c r="BY1282" s="84"/>
      <c r="BZ1282" s="84"/>
      <c r="CA1282" s="84"/>
      <c r="CB1282" s="84"/>
      <c r="CC1282" s="84"/>
      <c r="CD1282" s="84"/>
      <c r="CE1282" s="84"/>
      <c r="CF1282" s="84"/>
      <c r="CG1282" s="84"/>
      <c r="CH1282" s="84"/>
      <c r="CI1282" s="84"/>
      <c r="CJ1282" s="84"/>
      <c r="CK1282" s="84"/>
      <c r="CL1282" s="84"/>
    </row>
    <row r="1283" spans="66:90" s="354" customFormat="1" x14ac:dyDescent="0.2">
      <c r="BN1283" s="84"/>
      <c r="BO1283" s="84"/>
      <c r="BP1283" s="84"/>
      <c r="BQ1283" s="84"/>
      <c r="BR1283" s="84"/>
      <c r="BS1283" s="84"/>
      <c r="BT1283" s="84"/>
      <c r="BU1283" s="84"/>
      <c r="BV1283" s="84"/>
      <c r="BW1283" s="84"/>
      <c r="BX1283" s="84"/>
      <c r="BY1283" s="84"/>
      <c r="BZ1283" s="84"/>
      <c r="CA1283" s="84"/>
      <c r="CB1283" s="84"/>
      <c r="CC1283" s="84"/>
      <c r="CD1283" s="84"/>
      <c r="CE1283" s="84"/>
      <c r="CF1283" s="84"/>
      <c r="CG1283" s="84"/>
      <c r="CH1283" s="84"/>
      <c r="CI1283" s="84"/>
      <c r="CJ1283" s="84"/>
      <c r="CK1283" s="84"/>
      <c r="CL1283" s="84"/>
    </row>
    <row r="1284" spans="66:90" s="354" customFormat="1" x14ac:dyDescent="0.2">
      <c r="BN1284" s="84"/>
      <c r="BO1284" s="84"/>
      <c r="BP1284" s="84"/>
      <c r="BQ1284" s="84"/>
      <c r="BR1284" s="84"/>
      <c r="BS1284" s="84"/>
      <c r="BT1284" s="84"/>
      <c r="BU1284" s="84"/>
      <c r="BV1284" s="84"/>
      <c r="BW1284" s="84"/>
      <c r="BX1284" s="84"/>
      <c r="BY1284" s="84"/>
      <c r="BZ1284" s="84"/>
      <c r="CA1284" s="84"/>
      <c r="CB1284" s="84"/>
      <c r="CC1284" s="84"/>
      <c r="CD1284" s="84"/>
      <c r="CE1284" s="84"/>
      <c r="CF1284" s="84"/>
      <c r="CG1284" s="84"/>
      <c r="CH1284" s="84"/>
      <c r="CI1284" s="84"/>
      <c r="CJ1284" s="84"/>
      <c r="CK1284" s="84"/>
      <c r="CL1284" s="84"/>
    </row>
    <row r="1285" spans="66:90" s="354" customFormat="1" x14ac:dyDescent="0.2">
      <c r="BN1285" s="84"/>
      <c r="BO1285" s="84"/>
      <c r="BP1285" s="84"/>
      <c r="BQ1285" s="84"/>
      <c r="BR1285" s="84"/>
      <c r="BS1285" s="84"/>
      <c r="BT1285" s="84"/>
      <c r="BU1285" s="84"/>
      <c r="BV1285" s="84"/>
      <c r="BW1285" s="84"/>
      <c r="BX1285" s="84"/>
      <c r="BY1285" s="84"/>
      <c r="BZ1285" s="84"/>
      <c r="CA1285" s="84"/>
      <c r="CB1285" s="84"/>
      <c r="CC1285" s="84"/>
      <c r="CD1285" s="84"/>
      <c r="CE1285" s="84"/>
      <c r="CF1285" s="84"/>
      <c r="CG1285" s="84"/>
      <c r="CH1285" s="84"/>
      <c r="CI1285" s="84"/>
      <c r="CJ1285" s="84"/>
      <c r="CK1285" s="84"/>
      <c r="CL1285" s="84"/>
    </row>
    <row r="1286" spans="66:90" s="354" customFormat="1" x14ac:dyDescent="0.2">
      <c r="BN1286" s="84"/>
      <c r="BO1286" s="84"/>
      <c r="BP1286" s="84"/>
      <c r="BQ1286" s="84"/>
      <c r="BR1286" s="84"/>
      <c r="BS1286" s="84"/>
      <c r="BT1286" s="84"/>
      <c r="BU1286" s="84"/>
      <c r="BV1286" s="84"/>
      <c r="BW1286" s="84"/>
      <c r="BX1286" s="84"/>
      <c r="BY1286" s="84"/>
      <c r="BZ1286" s="84"/>
      <c r="CA1286" s="84"/>
      <c r="CB1286" s="84"/>
      <c r="CC1286" s="84"/>
      <c r="CD1286" s="84"/>
      <c r="CE1286" s="84"/>
      <c r="CF1286" s="84"/>
      <c r="CG1286" s="84"/>
      <c r="CH1286" s="84"/>
      <c r="CI1286" s="84"/>
      <c r="CJ1286" s="84"/>
      <c r="CK1286" s="84"/>
      <c r="CL1286" s="84"/>
    </row>
    <row r="1287" spans="66:90" s="354" customFormat="1" x14ac:dyDescent="0.2">
      <c r="BN1287" s="84"/>
      <c r="BO1287" s="84"/>
      <c r="BP1287" s="84"/>
      <c r="BQ1287" s="84"/>
      <c r="BR1287" s="84"/>
      <c r="BS1287" s="84"/>
      <c r="BT1287" s="84"/>
      <c r="BU1287" s="84"/>
      <c r="BV1287" s="84"/>
      <c r="BW1287" s="84"/>
      <c r="BX1287" s="84"/>
      <c r="BY1287" s="84"/>
      <c r="BZ1287" s="84"/>
      <c r="CA1287" s="84"/>
      <c r="CB1287" s="84"/>
      <c r="CC1287" s="84"/>
      <c r="CD1287" s="84"/>
      <c r="CE1287" s="84"/>
      <c r="CF1287" s="84"/>
      <c r="CG1287" s="84"/>
      <c r="CH1287" s="84"/>
      <c r="CI1287" s="84"/>
      <c r="CJ1287" s="84"/>
      <c r="CK1287" s="84"/>
      <c r="CL1287" s="84"/>
    </row>
    <row r="1288" spans="66:90" s="354" customFormat="1" x14ac:dyDescent="0.2">
      <c r="BN1288" s="84"/>
      <c r="BO1288" s="84"/>
      <c r="BP1288" s="84"/>
      <c r="BQ1288" s="84"/>
      <c r="BR1288" s="84"/>
      <c r="BS1288" s="84"/>
      <c r="BT1288" s="84"/>
      <c r="BU1288" s="84"/>
      <c r="BV1288" s="84"/>
      <c r="BW1288" s="84"/>
      <c r="BX1288" s="84"/>
      <c r="BY1288" s="84"/>
      <c r="BZ1288" s="84"/>
      <c r="CA1288" s="84"/>
      <c r="CB1288" s="84"/>
      <c r="CC1288" s="84"/>
      <c r="CD1288" s="84"/>
      <c r="CE1288" s="84"/>
      <c r="CF1288" s="84"/>
      <c r="CG1288" s="84"/>
      <c r="CH1288" s="84"/>
      <c r="CI1288" s="84"/>
      <c r="CJ1288" s="84"/>
      <c r="CK1288" s="84"/>
      <c r="CL1288" s="84"/>
    </row>
    <row r="1289" spans="66:90" s="354" customFormat="1" x14ac:dyDescent="0.2">
      <c r="BN1289" s="84"/>
      <c r="BO1289" s="84"/>
      <c r="BP1289" s="84"/>
      <c r="BQ1289" s="84"/>
      <c r="BR1289" s="84"/>
      <c r="BS1289" s="84"/>
      <c r="BT1289" s="84"/>
      <c r="BU1289" s="84"/>
      <c r="BV1289" s="84"/>
      <c r="BW1289" s="84"/>
      <c r="BX1289" s="84"/>
      <c r="BY1289" s="84"/>
      <c r="BZ1289" s="84"/>
      <c r="CA1289" s="84"/>
      <c r="CB1289" s="84"/>
      <c r="CC1289" s="84"/>
      <c r="CD1289" s="84"/>
      <c r="CE1289" s="84"/>
      <c r="CF1289" s="84"/>
      <c r="CG1289" s="84"/>
      <c r="CH1289" s="84"/>
      <c r="CI1289" s="84"/>
      <c r="CJ1289" s="84"/>
      <c r="CK1289" s="84"/>
      <c r="CL1289" s="84"/>
    </row>
    <row r="1290" spans="66:90" s="354" customFormat="1" x14ac:dyDescent="0.2">
      <c r="BN1290" s="84"/>
      <c r="BO1290" s="84"/>
      <c r="BP1290" s="84"/>
      <c r="BQ1290" s="84"/>
      <c r="BR1290" s="84"/>
      <c r="BS1290" s="84"/>
      <c r="BT1290" s="84"/>
      <c r="BU1290" s="84"/>
      <c r="BV1290" s="84"/>
      <c r="BW1290" s="84"/>
      <c r="BX1290" s="84"/>
      <c r="BY1290" s="84"/>
      <c r="BZ1290" s="84"/>
      <c r="CA1290" s="84"/>
      <c r="CB1290" s="84"/>
      <c r="CC1290" s="84"/>
      <c r="CD1290" s="84"/>
      <c r="CE1290" s="84"/>
      <c r="CF1290" s="84"/>
      <c r="CG1290" s="84"/>
      <c r="CH1290" s="84"/>
      <c r="CI1290" s="84"/>
      <c r="CJ1290" s="84"/>
      <c r="CK1290" s="84"/>
      <c r="CL1290" s="84"/>
    </row>
    <row r="1291" spans="66:90" s="354" customFormat="1" x14ac:dyDescent="0.2">
      <c r="BN1291" s="84"/>
      <c r="BO1291" s="84"/>
      <c r="BP1291" s="84"/>
      <c r="BQ1291" s="84"/>
      <c r="BR1291" s="84"/>
      <c r="BS1291" s="84"/>
      <c r="BT1291" s="84"/>
      <c r="BU1291" s="84"/>
      <c r="BV1291" s="84"/>
      <c r="BW1291" s="84"/>
      <c r="BX1291" s="84"/>
      <c r="BY1291" s="84"/>
      <c r="BZ1291" s="84"/>
      <c r="CA1291" s="84"/>
      <c r="CB1291" s="84"/>
      <c r="CC1291" s="84"/>
      <c r="CD1291" s="84"/>
      <c r="CE1291" s="84"/>
      <c r="CF1291" s="84"/>
      <c r="CG1291" s="84"/>
      <c r="CH1291" s="84"/>
      <c r="CI1291" s="84"/>
      <c r="CJ1291" s="84"/>
      <c r="CK1291" s="84"/>
      <c r="CL1291" s="84"/>
    </row>
    <row r="1292" spans="66:90" s="354" customFormat="1" x14ac:dyDescent="0.2">
      <c r="BN1292" s="84"/>
      <c r="BO1292" s="84"/>
      <c r="BP1292" s="84"/>
      <c r="BQ1292" s="84"/>
      <c r="BR1292" s="84"/>
      <c r="BS1292" s="84"/>
      <c r="BT1292" s="84"/>
      <c r="BU1292" s="84"/>
      <c r="BV1292" s="84"/>
      <c r="BW1292" s="84"/>
      <c r="BX1292" s="84"/>
      <c r="BY1292" s="84"/>
      <c r="BZ1292" s="84"/>
      <c r="CA1292" s="84"/>
      <c r="CB1292" s="84"/>
      <c r="CC1292" s="84"/>
      <c r="CD1292" s="84"/>
      <c r="CE1292" s="84"/>
      <c r="CF1292" s="84"/>
      <c r="CG1292" s="84"/>
      <c r="CH1292" s="84"/>
      <c r="CI1292" s="84"/>
      <c r="CJ1292" s="84"/>
      <c r="CK1292" s="84"/>
      <c r="CL1292" s="84"/>
    </row>
    <row r="1293" spans="66:90" s="354" customFormat="1" x14ac:dyDescent="0.2">
      <c r="BN1293" s="84"/>
      <c r="BO1293" s="84"/>
      <c r="BP1293" s="84"/>
      <c r="BQ1293" s="84"/>
      <c r="BR1293" s="84"/>
      <c r="BS1293" s="84"/>
      <c r="BT1293" s="84"/>
      <c r="BU1293" s="84"/>
      <c r="BV1293" s="84"/>
      <c r="BW1293" s="84"/>
      <c r="BX1293" s="84"/>
      <c r="BY1293" s="84"/>
      <c r="BZ1293" s="84"/>
      <c r="CA1293" s="84"/>
      <c r="CB1293" s="84"/>
      <c r="CC1293" s="84"/>
      <c r="CD1293" s="84"/>
      <c r="CE1293" s="84"/>
      <c r="CF1293" s="84"/>
      <c r="CG1293" s="84"/>
      <c r="CH1293" s="84"/>
      <c r="CI1293" s="84"/>
      <c r="CJ1293" s="84"/>
      <c r="CK1293" s="84"/>
      <c r="CL1293" s="84"/>
    </row>
    <row r="1294" spans="66:90" s="354" customFormat="1" x14ac:dyDescent="0.2">
      <c r="BN1294" s="84"/>
      <c r="BO1294" s="84"/>
      <c r="BP1294" s="84"/>
      <c r="BQ1294" s="84"/>
      <c r="BR1294" s="84"/>
      <c r="BS1294" s="84"/>
      <c r="BT1294" s="84"/>
      <c r="BU1294" s="84"/>
      <c r="BV1294" s="84"/>
      <c r="BW1294" s="84"/>
      <c r="BX1294" s="84"/>
      <c r="BY1294" s="84"/>
      <c r="BZ1294" s="84"/>
      <c r="CA1294" s="84"/>
      <c r="CB1294" s="84"/>
      <c r="CC1294" s="84"/>
      <c r="CD1294" s="84"/>
      <c r="CE1294" s="84"/>
      <c r="CF1294" s="84"/>
      <c r="CG1294" s="84"/>
      <c r="CH1294" s="84"/>
      <c r="CI1294" s="84"/>
      <c r="CJ1294" s="84"/>
      <c r="CK1294" s="84"/>
      <c r="CL1294" s="84"/>
    </row>
    <row r="1295" spans="66:90" s="354" customFormat="1" x14ac:dyDescent="0.2">
      <c r="BN1295" s="84"/>
      <c r="BO1295" s="84"/>
      <c r="BP1295" s="84"/>
      <c r="BQ1295" s="84"/>
      <c r="BR1295" s="84"/>
      <c r="BS1295" s="84"/>
      <c r="BT1295" s="84"/>
      <c r="BU1295" s="84"/>
      <c r="BV1295" s="84"/>
      <c r="BW1295" s="84"/>
      <c r="BX1295" s="84"/>
      <c r="BY1295" s="84"/>
      <c r="BZ1295" s="84"/>
      <c r="CA1295" s="84"/>
      <c r="CB1295" s="84"/>
      <c r="CC1295" s="84"/>
      <c r="CD1295" s="84"/>
      <c r="CE1295" s="84"/>
      <c r="CF1295" s="84"/>
      <c r="CG1295" s="84"/>
      <c r="CH1295" s="84"/>
      <c r="CI1295" s="84"/>
      <c r="CJ1295" s="84"/>
      <c r="CK1295" s="84"/>
      <c r="CL1295" s="84"/>
    </row>
    <row r="1296" spans="66:90" s="354" customFormat="1" x14ac:dyDescent="0.2">
      <c r="BN1296" s="84"/>
      <c r="BO1296" s="84"/>
      <c r="BP1296" s="84"/>
      <c r="BQ1296" s="84"/>
      <c r="BR1296" s="84"/>
      <c r="BS1296" s="84"/>
      <c r="BT1296" s="84"/>
      <c r="BU1296" s="84"/>
      <c r="BV1296" s="84"/>
      <c r="BW1296" s="84"/>
      <c r="BX1296" s="84"/>
      <c r="BY1296" s="84"/>
      <c r="BZ1296" s="84"/>
      <c r="CA1296" s="84"/>
      <c r="CB1296" s="84"/>
      <c r="CC1296" s="84"/>
      <c r="CD1296" s="84"/>
      <c r="CE1296" s="84"/>
      <c r="CF1296" s="84"/>
      <c r="CG1296" s="84"/>
      <c r="CH1296" s="84"/>
      <c r="CI1296" s="84"/>
      <c r="CJ1296" s="84"/>
      <c r="CK1296" s="84"/>
      <c r="CL1296" s="84"/>
    </row>
    <row r="1297" spans="66:90" s="354" customFormat="1" x14ac:dyDescent="0.2">
      <c r="BN1297" s="84"/>
      <c r="BO1297" s="84"/>
      <c r="BP1297" s="84"/>
      <c r="BQ1297" s="84"/>
      <c r="BR1297" s="84"/>
      <c r="BS1297" s="84"/>
      <c r="BT1297" s="84"/>
      <c r="BU1297" s="84"/>
      <c r="BV1297" s="84"/>
      <c r="BW1297" s="84"/>
      <c r="BX1297" s="84"/>
      <c r="BY1297" s="84"/>
      <c r="BZ1297" s="84"/>
      <c r="CA1297" s="84"/>
      <c r="CB1297" s="84"/>
      <c r="CC1297" s="84"/>
      <c r="CD1297" s="84"/>
      <c r="CE1297" s="84"/>
      <c r="CF1297" s="84"/>
      <c r="CG1297" s="84"/>
      <c r="CH1297" s="84"/>
      <c r="CI1297" s="84"/>
      <c r="CJ1297" s="84"/>
      <c r="CK1297" s="84"/>
      <c r="CL1297" s="84"/>
    </row>
    <row r="1298" spans="66:90" s="354" customFormat="1" x14ac:dyDescent="0.2">
      <c r="BN1298" s="84"/>
      <c r="BO1298" s="84"/>
      <c r="BP1298" s="84"/>
      <c r="BQ1298" s="84"/>
      <c r="BR1298" s="84"/>
      <c r="BS1298" s="84"/>
      <c r="BT1298" s="84"/>
      <c r="BU1298" s="84"/>
      <c r="BV1298" s="84"/>
      <c r="BW1298" s="84"/>
      <c r="BX1298" s="84"/>
      <c r="BY1298" s="84"/>
      <c r="BZ1298" s="84"/>
      <c r="CA1298" s="84"/>
      <c r="CB1298" s="84"/>
      <c r="CC1298" s="84"/>
      <c r="CD1298" s="84"/>
      <c r="CE1298" s="84"/>
      <c r="CF1298" s="84"/>
      <c r="CG1298" s="84"/>
      <c r="CH1298" s="84"/>
      <c r="CI1298" s="84"/>
      <c r="CJ1298" s="84"/>
      <c r="CK1298" s="84"/>
      <c r="CL1298" s="84"/>
    </row>
    <row r="1299" spans="66:90" s="354" customFormat="1" x14ac:dyDescent="0.2">
      <c r="BN1299" s="84"/>
      <c r="BO1299" s="84"/>
      <c r="BP1299" s="84"/>
      <c r="BQ1299" s="84"/>
      <c r="BR1299" s="84"/>
      <c r="BS1299" s="84"/>
      <c r="BT1299" s="84"/>
      <c r="BU1299" s="84"/>
      <c r="BV1299" s="84"/>
      <c r="BW1299" s="84"/>
      <c r="BX1299" s="84"/>
      <c r="BY1299" s="84"/>
      <c r="BZ1299" s="84"/>
      <c r="CA1299" s="84"/>
      <c r="CB1299" s="84"/>
      <c r="CC1299" s="84"/>
      <c r="CD1299" s="84"/>
      <c r="CE1299" s="84"/>
      <c r="CF1299" s="84"/>
      <c r="CG1299" s="84"/>
      <c r="CH1299" s="84"/>
      <c r="CI1299" s="84"/>
      <c r="CJ1299" s="84"/>
      <c r="CK1299" s="84"/>
      <c r="CL1299" s="84"/>
    </row>
    <row r="1300" spans="66:90" s="354" customFormat="1" x14ac:dyDescent="0.2">
      <c r="BN1300" s="84"/>
      <c r="BO1300" s="84"/>
      <c r="BP1300" s="84"/>
      <c r="BQ1300" s="84"/>
      <c r="BR1300" s="84"/>
      <c r="BS1300" s="84"/>
      <c r="BT1300" s="84"/>
      <c r="BU1300" s="84"/>
      <c r="BV1300" s="84"/>
      <c r="BW1300" s="84"/>
      <c r="BX1300" s="84"/>
      <c r="BY1300" s="84"/>
      <c r="BZ1300" s="84"/>
      <c r="CA1300" s="84"/>
      <c r="CB1300" s="84"/>
      <c r="CC1300" s="84"/>
      <c r="CD1300" s="84"/>
      <c r="CE1300" s="84"/>
      <c r="CF1300" s="84"/>
      <c r="CG1300" s="84"/>
      <c r="CH1300" s="84"/>
      <c r="CI1300" s="84"/>
      <c r="CJ1300" s="84"/>
      <c r="CK1300" s="84"/>
      <c r="CL1300" s="84"/>
    </row>
    <row r="1301" spans="66:90" s="354" customFormat="1" x14ac:dyDescent="0.2">
      <c r="BN1301" s="84"/>
      <c r="BO1301" s="84"/>
      <c r="BP1301" s="84"/>
      <c r="BQ1301" s="84"/>
      <c r="BR1301" s="84"/>
      <c r="BS1301" s="84"/>
      <c r="BT1301" s="84"/>
      <c r="BU1301" s="84"/>
      <c r="BV1301" s="84"/>
      <c r="BW1301" s="84"/>
      <c r="BX1301" s="84"/>
      <c r="BY1301" s="84"/>
      <c r="BZ1301" s="84"/>
      <c r="CA1301" s="84"/>
      <c r="CB1301" s="84"/>
      <c r="CC1301" s="84"/>
      <c r="CD1301" s="84"/>
      <c r="CE1301" s="84"/>
      <c r="CF1301" s="84"/>
      <c r="CG1301" s="84"/>
      <c r="CH1301" s="84"/>
      <c r="CI1301" s="84"/>
      <c r="CJ1301" s="84"/>
      <c r="CK1301" s="84"/>
      <c r="CL1301" s="84"/>
    </row>
    <row r="1302" spans="66:90" s="354" customFormat="1" x14ac:dyDescent="0.2">
      <c r="BN1302" s="84"/>
      <c r="BO1302" s="84"/>
      <c r="BP1302" s="84"/>
      <c r="BQ1302" s="84"/>
      <c r="BR1302" s="84"/>
      <c r="BS1302" s="84"/>
      <c r="BT1302" s="84"/>
      <c r="BU1302" s="84"/>
      <c r="BV1302" s="84"/>
      <c r="BW1302" s="84"/>
      <c r="BX1302" s="84"/>
      <c r="BY1302" s="84"/>
      <c r="BZ1302" s="84"/>
      <c r="CA1302" s="84"/>
      <c r="CB1302" s="84"/>
      <c r="CC1302" s="84"/>
      <c r="CD1302" s="84"/>
      <c r="CE1302" s="84"/>
      <c r="CF1302" s="84"/>
      <c r="CG1302" s="84"/>
      <c r="CH1302" s="84"/>
      <c r="CI1302" s="84"/>
      <c r="CJ1302" s="84"/>
      <c r="CK1302" s="84"/>
      <c r="CL1302" s="84"/>
    </row>
    <row r="1303" spans="66:90" s="354" customFormat="1" x14ac:dyDescent="0.2">
      <c r="BN1303" s="84"/>
      <c r="BO1303" s="84"/>
      <c r="BP1303" s="84"/>
      <c r="BQ1303" s="84"/>
      <c r="BR1303" s="84"/>
      <c r="BS1303" s="84"/>
      <c r="BT1303" s="84"/>
      <c r="BU1303" s="84"/>
      <c r="BV1303" s="84"/>
      <c r="BW1303" s="84"/>
      <c r="BX1303" s="84"/>
      <c r="BY1303" s="84"/>
      <c r="BZ1303" s="84"/>
      <c r="CA1303" s="84"/>
      <c r="CB1303" s="84"/>
      <c r="CC1303" s="84"/>
      <c r="CD1303" s="84"/>
      <c r="CE1303" s="84"/>
      <c r="CF1303" s="84"/>
      <c r="CG1303" s="84"/>
      <c r="CH1303" s="84"/>
      <c r="CI1303" s="84"/>
      <c r="CJ1303" s="84"/>
      <c r="CK1303" s="84"/>
      <c r="CL1303" s="84"/>
    </row>
    <row r="1304" spans="66:90" s="354" customFormat="1" x14ac:dyDescent="0.2">
      <c r="BN1304" s="84"/>
      <c r="BO1304" s="84"/>
      <c r="BP1304" s="84"/>
      <c r="BQ1304" s="84"/>
      <c r="BR1304" s="84"/>
      <c r="BS1304" s="84"/>
      <c r="BT1304" s="84"/>
      <c r="BU1304" s="84"/>
      <c r="BV1304" s="84"/>
      <c r="BW1304" s="84"/>
      <c r="BX1304" s="84"/>
      <c r="BY1304" s="84"/>
      <c r="BZ1304" s="84"/>
      <c r="CA1304" s="84"/>
      <c r="CB1304" s="84"/>
      <c r="CC1304" s="84"/>
      <c r="CD1304" s="84"/>
      <c r="CE1304" s="84"/>
      <c r="CF1304" s="84"/>
      <c r="CG1304" s="84"/>
      <c r="CH1304" s="84"/>
      <c r="CI1304" s="84"/>
      <c r="CJ1304" s="84"/>
      <c r="CK1304" s="84"/>
      <c r="CL1304" s="84"/>
    </row>
    <row r="1305" spans="66:90" s="354" customFormat="1" x14ac:dyDescent="0.2">
      <c r="BN1305" s="84"/>
      <c r="BO1305" s="84"/>
      <c r="BP1305" s="84"/>
      <c r="BQ1305" s="84"/>
      <c r="BR1305" s="84"/>
      <c r="BS1305" s="84"/>
      <c r="BT1305" s="84"/>
      <c r="BU1305" s="84"/>
      <c r="BV1305" s="84"/>
      <c r="BW1305" s="84"/>
      <c r="BX1305" s="84"/>
      <c r="BY1305" s="84"/>
      <c r="BZ1305" s="84"/>
      <c r="CA1305" s="84"/>
      <c r="CB1305" s="84"/>
      <c r="CC1305" s="84"/>
      <c r="CD1305" s="84"/>
      <c r="CE1305" s="84"/>
      <c r="CF1305" s="84"/>
      <c r="CG1305" s="84"/>
      <c r="CH1305" s="84"/>
      <c r="CI1305" s="84"/>
      <c r="CJ1305" s="84"/>
      <c r="CK1305" s="84"/>
      <c r="CL1305" s="84"/>
    </row>
    <row r="1306" spans="66:90" s="354" customFormat="1" x14ac:dyDescent="0.2">
      <c r="BN1306" s="84"/>
      <c r="BO1306" s="84"/>
      <c r="BP1306" s="84"/>
      <c r="BQ1306" s="84"/>
      <c r="BR1306" s="84"/>
      <c r="BS1306" s="84"/>
      <c r="BT1306" s="84"/>
      <c r="BU1306" s="84"/>
      <c r="BV1306" s="84"/>
      <c r="BW1306" s="84"/>
      <c r="BX1306" s="84"/>
      <c r="BY1306" s="84"/>
      <c r="BZ1306" s="84"/>
      <c r="CA1306" s="84"/>
      <c r="CB1306" s="84"/>
      <c r="CC1306" s="84"/>
      <c r="CD1306" s="84"/>
      <c r="CE1306" s="84"/>
      <c r="CF1306" s="84"/>
      <c r="CG1306" s="84"/>
      <c r="CH1306" s="84"/>
      <c r="CI1306" s="84"/>
      <c r="CJ1306" s="84"/>
      <c r="CK1306" s="84"/>
      <c r="CL1306" s="84"/>
    </row>
    <row r="1307" spans="66:90" s="354" customFormat="1" x14ac:dyDescent="0.2">
      <c r="BN1307" s="84"/>
      <c r="BO1307" s="84"/>
      <c r="BP1307" s="84"/>
      <c r="BQ1307" s="84"/>
      <c r="BR1307" s="84"/>
      <c r="BS1307" s="84"/>
      <c r="BT1307" s="84"/>
      <c r="BU1307" s="84"/>
      <c r="BV1307" s="84"/>
      <c r="BW1307" s="84"/>
      <c r="BX1307" s="84"/>
      <c r="BY1307" s="84"/>
      <c r="BZ1307" s="84"/>
      <c r="CA1307" s="84"/>
      <c r="CB1307" s="84"/>
      <c r="CC1307" s="84"/>
      <c r="CD1307" s="84"/>
      <c r="CE1307" s="84"/>
      <c r="CF1307" s="84"/>
      <c r="CG1307" s="84"/>
      <c r="CH1307" s="84"/>
      <c r="CI1307" s="84"/>
      <c r="CJ1307" s="84"/>
      <c r="CK1307" s="84"/>
      <c r="CL1307" s="84"/>
    </row>
    <row r="1308" spans="66:90" s="354" customFormat="1" x14ac:dyDescent="0.2">
      <c r="BN1308" s="84"/>
      <c r="BO1308" s="84"/>
      <c r="BP1308" s="84"/>
      <c r="BQ1308" s="84"/>
      <c r="BR1308" s="84"/>
      <c r="BS1308" s="84"/>
      <c r="BT1308" s="84"/>
      <c r="BU1308" s="84"/>
      <c r="BV1308" s="84"/>
      <c r="BW1308" s="84"/>
      <c r="BX1308" s="84"/>
      <c r="BY1308" s="84"/>
      <c r="BZ1308" s="84"/>
      <c r="CA1308" s="84"/>
      <c r="CB1308" s="84"/>
      <c r="CC1308" s="84"/>
      <c r="CD1308" s="84"/>
      <c r="CE1308" s="84"/>
      <c r="CF1308" s="84"/>
      <c r="CG1308" s="84"/>
      <c r="CH1308" s="84"/>
      <c r="CI1308" s="84"/>
      <c r="CJ1308" s="84"/>
      <c r="CK1308" s="84"/>
      <c r="CL1308" s="84"/>
    </row>
    <row r="1309" spans="66:90" s="354" customFormat="1" x14ac:dyDescent="0.2">
      <c r="BN1309" s="84"/>
      <c r="BO1309" s="84"/>
      <c r="BP1309" s="84"/>
      <c r="BQ1309" s="84"/>
      <c r="BR1309" s="84"/>
      <c r="BS1309" s="84"/>
      <c r="BT1309" s="84"/>
      <c r="BU1309" s="84"/>
      <c r="BV1309" s="84"/>
      <c r="BW1309" s="84"/>
      <c r="BX1309" s="84"/>
      <c r="BY1309" s="84"/>
      <c r="BZ1309" s="84"/>
      <c r="CA1309" s="84"/>
      <c r="CB1309" s="84"/>
      <c r="CC1309" s="84"/>
      <c r="CD1309" s="84"/>
      <c r="CE1309" s="84"/>
      <c r="CF1309" s="84"/>
      <c r="CG1309" s="84"/>
      <c r="CH1309" s="84"/>
      <c r="CI1309" s="84"/>
      <c r="CJ1309" s="84"/>
      <c r="CK1309" s="84"/>
      <c r="CL1309" s="84"/>
    </row>
    <row r="1310" spans="66:90" s="354" customFormat="1" x14ac:dyDescent="0.2">
      <c r="BN1310" s="84"/>
      <c r="BO1310" s="84"/>
      <c r="BP1310" s="84"/>
      <c r="BQ1310" s="84"/>
      <c r="BR1310" s="84"/>
      <c r="BS1310" s="84"/>
      <c r="BT1310" s="84"/>
      <c r="BU1310" s="84"/>
      <c r="BV1310" s="84"/>
      <c r="BW1310" s="84"/>
      <c r="BX1310" s="84"/>
      <c r="BY1310" s="84"/>
      <c r="BZ1310" s="84"/>
      <c r="CA1310" s="84"/>
      <c r="CB1310" s="84"/>
      <c r="CC1310" s="84"/>
      <c r="CD1310" s="84"/>
      <c r="CE1310" s="84"/>
      <c r="CF1310" s="84"/>
      <c r="CG1310" s="84"/>
      <c r="CH1310" s="84"/>
      <c r="CI1310" s="84"/>
      <c r="CJ1310" s="84"/>
      <c r="CK1310" s="84"/>
      <c r="CL1310" s="84"/>
    </row>
    <row r="1311" spans="66:90" s="354" customFormat="1" x14ac:dyDescent="0.2">
      <c r="BN1311" s="84"/>
      <c r="BO1311" s="84"/>
      <c r="BP1311" s="84"/>
      <c r="BQ1311" s="84"/>
      <c r="BR1311" s="84"/>
      <c r="BS1311" s="84"/>
      <c r="BT1311" s="84"/>
      <c r="BU1311" s="84"/>
      <c r="BV1311" s="84"/>
      <c r="BW1311" s="84"/>
      <c r="BX1311" s="84"/>
      <c r="BY1311" s="84"/>
      <c r="BZ1311" s="84"/>
      <c r="CA1311" s="84"/>
      <c r="CB1311" s="84"/>
      <c r="CC1311" s="84"/>
      <c r="CD1311" s="84"/>
      <c r="CE1311" s="84"/>
      <c r="CF1311" s="84"/>
      <c r="CG1311" s="84"/>
      <c r="CH1311" s="84"/>
      <c r="CI1311" s="84"/>
      <c r="CJ1311" s="84"/>
      <c r="CK1311" s="84"/>
      <c r="CL1311" s="84"/>
    </row>
    <row r="1312" spans="66:90" s="354" customFormat="1" x14ac:dyDescent="0.2">
      <c r="BN1312" s="84"/>
      <c r="BO1312" s="84"/>
      <c r="BP1312" s="84"/>
      <c r="BQ1312" s="84"/>
      <c r="BR1312" s="84"/>
      <c r="BS1312" s="84"/>
      <c r="BT1312" s="84"/>
      <c r="BU1312" s="84"/>
      <c r="BV1312" s="84"/>
      <c r="BW1312" s="84"/>
      <c r="BX1312" s="84"/>
      <c r="BY1312" s="84"/>
      <c r="BZ1312" s="84"/>
      <c r="CA1312" s="84"/>
      <c r="CB1312" s="84"/>
      <c r="CC1312" s="84"/>
      <c r="CD1312" s="84"/>
      <c r="CE1312" s="84"/>
      <c r="CF1312" s="84"/>
      <c r="CG1312" s="84"/>
      <c r="CH1312" s="84"/>
      <c r="CI1312" s="84"/>
      <c r="CJ1312" s="84"/>
      <c r="CK1312" s="84"/>
      <c r="CL1312" s="84"/>
    </row>
    <row r="1313" spans="66:90" s="354" customFormat="1" x14ac:dyDescent="0.2">
      <c r="BN1313" s="84"/>
      <c r="BO1313" s="84"/>
      <c r="BP1313" s="84"/>
      <c r="BQ1313" s="84"/>
      <c r="BR1313" s="84"/>
      <c r="BS1313" s="84"/>
      <c r="BT1313" s="84"/>
      <c r="BU1313" s="84"/>
      <c r="BV1313" s="84"/>
      <c r="BW1313" s="84"/>
      <c r="BX1313" s="84"/>
      <c r="BY1313" s="84"/>
      <c r="BZ1313" s="84"/>
      <c r="CA1313" s="84"/>
      <c r="CB1313" s="84"/>
      <c r="CC1313" s="84"/>
      <c r="CD1313" s="84"/>
      <c r="CE1313" s="84"/>
      <c r="CF1313" s="84"/>
      <c r="CG1313" s="84"/>
      <c r="CH1313" s="84"/>
      <c r="CI1313" s="84"/>
      <c r="CJ1313" s="84"/>
      <c r="CK1313" s="84"/>
      <c r="CL1313" s="84"/>
    </row>
    <row r="1314" spans="66:90" s="354" customFormat="1" x14ac:dyDescent="0.2">
      <c r="BN1314" s="84"/>
      <c r="BO1314" s="84"/>
      <c r="BP1314" s="84"/>
      <c r="BQ1314" s="84"/>
      <c r="BR1314" s="84"/>
      <c r="BS1314" s="84"/>
      <c r="BT1314" s="84"/>
      <c r="BU1314" s="84"/>
      <c r="BV1314" s="84"/>
      <c r="BW1314" s="84"/>
      <c r="BX1314" s="84"/>
      <c r="BY1314" s="84"/>
      <c r="BZ1314" s="84"/>
      <c r="CA1314" s="84"/>
      <c r="CB1314" s="84"/>
      <c r="CC1314" s="84"/>
      <c r="CD1314" s="84"/>
      <c r="CE1314" s="84"/>
      <c r="CF1314" s="84"/>
      <c r="CG1314" s="84"/>
      <c r="CH1314" s="84"/>
      <c r="CI1314" s="84"/>
      <c r="CJ1314" s="84"/>
      <c r="CK1314" s="84"/>
      <c r="CL1314" s="84"/>
    </row>
    <row r="1315" spans="66:90" s="354" customFormat="1" x14ac:dyDescent="0.2">
      <c r="BN1315" s="84"/>
      <c r="BO1315" s="84"/>
      <c r="BP1315" s="84"/>
      <c r="BQ1315" s="84"/>
      <c r="BR1315" s="84"/>
      <c r="BS1315" s="84"/>
      <c r="BT1315" s="84"/>
      <c r="BU1315" s="84"/>
      <c r="BV1315" s="84"/>
      <c r="BW1315" s="84"/>
      <c r="BX1315" s="84"/>
      <c r="BY1315" s="84"/>
      <c r="BZ1315" s="84"/>
      <c r="CA1315" s="84"/>
      <c r="CB1315" s="84"/>
      <c r="CC1315" s="84"/>
      <c r="CD1315" s="84"/>
      <c r="CE1315" s="84"/>
      <c r="CF1315" s="84"/>
      <c r="CG1315" s="84"/>
      <c r="CH1315" s="84"/>
      <c r="CI1315" s="84"/>
      <c r="CJ1315" s="84"/>
      <c r="CK1315" s="84"/>
      <c r="CL1315" s="84"/>
    </row>
    <row r="1316" spans="66:90" s="354" customFormat="1" x14ac:dyDescent="0.2">
      <c r="BN1316" s="84"/>
      <c r="BO1316" s="84"/>
      <c r="BP1316" s="84"/>
      <c r="BQ1316" s="84"/>
      <c r="BR1316" s="84"/>
      <c r="BS1316" s="84"/>
      <c r="BT1316" s="84"/>
      <c r="BU1316" s="84"/>
      <c r="BV1316" s="84"/>
      <c r="BW1316" s="84"/>
      <c r="BX1316" s="84"/>
      <c r="BY1316" s="84"/>
      <c r="BZ1316" s="84"/>
      <c r="CA1316" s="84"/>
      <c r="CB1316" s="84"/>
      <c r="CC1316" s="84"/>
      <c r="CD1316" s="84"/>
      <c r="CE1316" s="84"/>
      <c r="CF1316" s="84"/>
      <c r="CG1316" s="84"/>
      <c r="CH1316" s="84"/>
      <c r="CI1316" s="84"/>
      <c r="CJ1316" s="84"/>
      <c r="CK1316" s="84"/>
      <c r="CL1316" s="84"/>
    </row>
    <row r="1317" spans="66:90" s="354" customFormat="1" x14ac:dyDescent="0.2">
      <c r="BN1317" s="84"/>
      <c r="BO1317" s="84"/>
      <c r="BP1317" s="84"/>
      <c r="BQ1317" s="84"/>
      <c r="BR1317" s="84"/>
      <c r="BS1317" s="84"/>
      <c r="BT1317" s="84"/>
      <c r="BU1317" s="84"/>
      <c r="BV1317" s="84"/>
      <c r="BW1317" s="84"/>
      <c r="BX1317" s="84"/>
      <c r="BY1317" s="84"/>
      <c r="BZ1317" s="84"/>
      <c r="CA1317" s="84"/>
      <c r="CB1317" s="84"/>
      <c r="CC1317" s="84"/>
      <c r="CD1317" s="84"/>
      <c r="CE1317" s="84"/>
      <c r="CF1317" s="84"/>
      <c r="CG1317" s="84"/>
      <c r="CH1317" s="84"/>
      <c r="CI1317" s="84"/>
      <c r="CJ1317" s="84"/>
      <c r="CK1317" s="84"/>
      <c r="CL1317" s="84"/>
    </row>
    <row r="1318" spans="66:90" s="354" customFormat="1" x14ac:dyDescent="0.2">
      <c r="BN1318" s="84"/>
      <c r="BO1318" s="84"/>
      <c r="BP1318" s="84"/>
      <c r="BQ1318" s="84"/>
      <c r="BR1318" s="84"/>
      <c r="BS1318" s="84"/>
      <c r="BT1318" s="84"/>
      <c r="BU1318" s="84"/>
      <c r="BV1318" s="84"/>
      <c r="BW1318" s="84"/>
      <c r="BX1318" s="84"/>
      <c r="BY1318" s="84"/>
      <c r="BZ1318" s="84"/>
      <c r="CA1318" s="84"/>
      <c r="CB1318" s="84"/>
      <c r="CC1318" s="84"/>
      <c r="CD1318" s="84"/>
      <c r="CE1318" s="84"/>
      <c r="CF1318" s="84"/>
      <c r="CG1318" s="84"/>
      <c r="CH1318" s="84"/>
      <c r="CI1318" s="84"/>
      <c r="CJ1318" s="84"/>
      <c r="CK1318" s="84"/>
      <c r="CL1318" s="84"/>
    </row>
    <row r="1319" spans="66:90" s="354" customFormat="1" x14ac:dyDescent="0.2">
      <c r="BN1319" s="84"/>
      <c r="BO1319" s="84"/>
      <c r="BP1319" s="84"/>
      <c r="BQ1319" s="84"/>
      <c r="BR1319" s="84"/>
      <c r="BS1319" s="84"/>
      <c r="BT1319" s="84"/>
      <c r="BU1319" s="84"/>
      <c r="BV1319" s="84"/>
      <c r="BW1319" s="84"/>
      <c r="BX1319" s="84"/>
      <c r="BY1319" s="84"/>
      <c r="BZ1319" s="84"/>
      <c r="CA1319" s="84"/>
      <c r="CB1319" s="84"/>
      <c r="CC1319" s="84"/>
      <c r="CD1319" s="84"/>
      <c r="CE1319" s="84"/>
      <c r="CF1319" s="84"/>
      <c r="CG1319" s="84"/>
      <c r="CH1319" s="84"/>
      <c r="CI1319" s="84"/>
      <c r="CJ1319" s="84"/>
      <c r="CK1319" s="84"/>
      <c r="CL1319" s="84"/>
    </row>
    <row r="1320" spans="66:90" s="354" customFormat="1" x14ac:dyDescent="0.2">
      <c r="BN1320" s="84"/>
      <c r="BO1320" s="84"/>
      <c r="BP1320" s="84"/>
      <c r="BQ1320" s="84"/>
      <c r="BR1320" s="84"/>
      <c r="BS1320" s="84"/>
      <c r="BT1320" s="84"/>
      <c r="BU1320" s="84"/>
      <c r="BV1320" s="84"/>
      <c r="BW1320" s="84"/>
      <c r="BX1320" s="84"/>
      <c r="BY1320" s="84"/>
      <c r="BZ1320" s="84"/>
      <c r="CA1320" s="84"/>
      <c r="CB1320" s="84"/>
      <c r="CC1320" s="84"/>
      <c r="CD1320" s="84"/>
      <c r="CE1320" s="84"/>
      <c r="CF1320" s="84"/>
      <c r="CG1320" s="84"/>
      <c r="CH1320" s="84"/>
      <c r="CI1320" s="84"/>
      <c r="CJ1320" s="84"/>
      <c r="CK1320" s="84"/>
      <c r="CL1320" s="84"/>
    </row>
    <row r="1321" spans="66:90" s="354" customFormat="1" x14ac:dyDescent="0.2">
      <c r="BN1321" s="84"/>
      <c r="BO1321" s="84"/>
      <c r="BP1321" s="84"/>
      <c r="BQ1321" s="84"/>
      <c r="BR1321" s="84"/>
      <c r="BS1321" s="84"/>
      <c r="BT1321" s="84"/>
      <c r="BU1321" s="84"/>
      <c r="BV1321" s="84"/>
      <c r="BW1321" s="84"/>
      <c r="BX1321" s="84"/>
      <c r="BY1321" s="84"/>
      <c r="BZ1321" s="84"/>
      <c r="CA1321" s="84"/>
      <c r="CB1321" s="84"/>
      <c r="CC1321" s="84"/>
      <c r="CD1321" s="84"/>
      <c r="CE1321" s="84"/>
      <c r="CF1321" s="84"/>
      <c r="CG1321" s="84"/>
      <c r="CH1321" s="84"/>
      <c r="CI1321" s="84"/>
      <c r="CJ1321" s="84"/>
      <c r="CK1321" s="84"/>
      <c r="CL1321" s="84"/>
    </row>
    <row r="1322" spans="66:90" s="354" customFormat="1" x14ac:dyDescent="0.2">
      <c r="BN1322" s="84"/>
      <c r="BO1322" s="84"/>
      <c r="BP1322" s="84"/>
      <c r="BQ1322" s="84"/>
      <c r="BR1322" s="84"/>
      <c r="BS1322" s="84"/>
      <c r="BT1322" s="84"/>
      <c r="BU1322" s="84"/>
      <c r="BV1322" s="84"/>
      <c r="BW1322" s="84"/>
      <c r="BX1322" s="84"/>
      <c r="BY1322" s="84"/>
      <c r="BZ1322" s="84"/>
      <c r="CA1322" s="84"/>
      <c r="CB1322" s="84"/>
      <c r="CC1322" s="84"/>
      <c r="CD1322" s="84"/>
      <c r="CE1322" s="84"/>
      <c r="CF1322" s="84"/>
      <c r="CG1322" s="84"/>
      <c r="CH1322" s="84"/>
      <c r="CI1322" s="84"/>
      <c r="CJ1322" s="84"/>
      <c r="CK1322" s="84"/>
      <c r="CL1322" s="84"/>
    </row>
    <row r="1323" spans="66:90" s="354" customFormat="1" x14ac:dyDescent="0.2">
      <c r="BN1323" s="84"/>
      <c r="BO1323" s="84"/>
      <c r="BP1323" s="84"/>
      <c r="BQ1323" s="84"/>
      <c r="BR1323" s="84"/>
      <c r="BS1323" s="84"/>
      <c r="BT1323" s="84"/>
      <c r="BU1323" s="84"/>
      <c r="BV1323" s="84"/>
      <c r="BW1323" s="84"/>
      <c r="BX1323" s="84"/>
      <c r="BY1323" s="84"/>
      <c r="BZ1323" s="84"/>
      <c r="CA1323" s="84"/>
      <c r="CB1323" s="84"/>
      <c r="CC1323" s="84"/>
      <c r="CD1323" s="84"/>
      <c r="CE1323" s="84"/>
      <c r="CF1323" s="84"/>
      <c r="CG1323" s="84"/>
      <c r="CH1323" s="84"/>
      <c r="CI1323" s="84"/>
      <c r="CJ1323" s="84"/>
      <c r="CK1323" s="84"/>
      <c r="CL1323" s="84"/>
    </row>
    <row r="1324" spans="66:90" s="354" customFormat="1" x14ac:dyDescent="0.2">
      <c r="BN1324" s="84"/>
      <c r="BO1324" s="84"/>
      <c r="BP1324" s="84"/>
      <c r="BQ1324" s="84"/>
      <c r="BR1324" s="84"/>
      <c r="BS1324" s="84"/>
      <c r="BT1324" s="84"/>
      <c r="BU1324" s="84"/>
      <c r="BV1324" s="84"/>
      <c r="BW1324" s="84"/>
      <c r="BX1324" s="84"/>
      <c r="BY1324" s="84"/>
      <c r="BZ1324" s="84"/>
      <c r="CA1324" s="84"/>
      <c r="CB1324" s="84"/>
      <c r="CC1324" s="84"/>
      <c r="CD1324" s="84"/>
      <c r="CE1324" s="84"/>
      <c r="CF1324" s="84"/>
      <c r="CG1324" s="84"/>
      <c r="CH1324" s="84"/>
      <c r="CI1324" s="84"/>
      <c r="CJ1324" s="84"/>
      <c r="CK1324" s="84"/>
      <c r="CL1324" s="84"/>
    </row>
    <row r="1325" spans="66:90" s="354" customFormat="1" x14ac:dyDescent="0.2">
      <c r="BN1325" s="84"/>
      <c r="BO1325" s="84"/>
      <c r="BP1325" s="84"/>
      <c r="BQ1325" s="84"/>
      <c r="BR1325" s="84"/>
      <c r="BS1325" s="84"/>
      <c r="BT1325" s="84"/>
      <c r="BU1325" s="84"/>
      <c r="BV1325" s="84"/>
      <c r="BW1325" s="84"/>
      <c r="BX1325" s="84"/>
      <c r="BY1325" s="84"/>
      <c r="BZ1325" s="84"/>
      <c r="CA1325" s="84"/>
      <c r="CB1325" s="84"/>
      <c r="CC1325" s="84"/>
      <c r="CD1325" s="84"/>
      <c r="CE1325" s="84"/>
      <c r="CF1325" s="84"/>
      <c r="CG1325" s="84"/>
      <c r="CH1325" s="84"/>
      <c r="CI1325" s="84"/>
      <c r="CJ1325" s="84"/>
      <c r="CK1325" s="84"/>
      <c r="CL1325" s="84"/>
    </row>
    <row r="1326" spans="66:90" s="354" customFormat="1" x14ac:dyDescent="0.2">
      <c r="BN1326" s="84"/>
      <c r="BO1326" s="84"/>
      <c r="BP1326" s="84"/>
      <c r="BQ1326" s="84"/>
      <c r="BR1326" s="84"/>
      <c r="BS1326" s="84"/>
      <c r="BT1326" s="84"/>
      <c r="BU1326" s="84"/>
      <c r="BV1326" s="84"/>
      <c r="BW1326" s="84"/>
      <c r="BX1326" s="84"/>
      <c r="BY1326" s="84"/>
      <c r="BZ1326" s="84"/>
      <c r="CA1326" s="84"/>
      <c r="CB1326" s="84"/>
      <c r="CC1326" s="84"/>
      <c r="CD1326" s="84"/>
      <c r="CE1326" s="84"/>
      <c r="CF1326" s="84"/>
      <c r="CG1326" s="84"/>
      <c r="CH1326" s="84"/>
      <c r="CI1326" s="84"/>
      <c r="CJ1326" s="84"/>
      <c r="CK1326" s="84"/>
      <c r="CL1326" s="84"/>
    </row>
    <row r="1327" spans="66:90" s="354" customFormat="1" x14ac:dyDescent="0.2">
      <c r="BN1327" s="84"/>
      <c r="BO1327" s="84"/>
      <c r="BP1327" s="84"/>
      <c r="BQ1327" s="84"/>
      <c r="BR1327" s="84"/>
      <c r="BS1327" s="84"/>
      <c r="BT1327" s="84"/>
      <c r="BU1327" s="84"/>
      <c r="BV1327" s="84"/>
      <c r="BW1327" s="84"/>
      <c r="BX1327" s="84"/>
      <c r="BY1327" s="84"/>
      <c r="BZ1327" s="84"/>
      <c r="CA1327" s="84"/>
      <c r="CB1327" s="84"/>
      <c r="CC1327" s="84"/>
      <c r="CD1327" s="84"/>
      <c r="CE1327" s="84"/>
      <c r="CF1327" s="84"/>
      <c r="CG1327" s="84"/>
      <c r="CH1327" s="84"/>
      <c r="CI1327" s="84"/>
      <c r="CJ1327" s="84"/>
      <c r="CK1327" s="84"/>
      <c r="CL1327" s="84"/>
    </row>
    <row r="1328" spans="66:90" s="354" customFormat="1" x14ac:dyDescent="0.2">
      <c r="BN1328" s="84"/>
      <c r="BO1328" s="84"/>
      <c r="BP1328" s="84"/>
      <c r="BQ1328" s="84"/>
      <c r="BR1328" s="84"/>
      <c r="BS1328" s="84"/>
      <c r="BT1328" s="84"/>
      <c r="BU1328" s="84"/>
      <c r="BV1328" s="84"/>
      <c r="BW1328" s="84"/>
      <c r="BX1328" s="84"/>
      <c r="BY1328" s="84"/>
      <c r="BZ1328" s="84"/>
      <c r="CA1328" s="84"/>
      <c r="CB1328" s="84"/>
      <c r="CC1328" s="84"/>
      <c r="CD1328" s="84"/>
      <c r="CE1328" s="84"/>
      <c r="CF1328" s="84"/>
      <c r="CG1328" s="84"/>
      <c r="CH1328" s="84"/>
      <c r="CI1328" s="84"/>
      <c r="CJ1328" s="84"/>
      <c r="CK1328" s="84"/>
      <c r="CL1328" s="84"/>
    </row>
    <row r="1329" spans="66:90" s="354" customFormat="1" x14ac:dyDescent="0.2">
      <c r="BN1329" s="84"/>
      <c r="BO1329" s="84"/>
      <c r="BP1329" s="84"/>
      <c r="BQ1329" s="84"/>
      <c r="BR1329" s="84"/>
      <c r="BS1329" s="84"/>
      <c r="BT1329" s="84"/>
      <c r="BU1329" s="84"/>
      <c r="BV1329" s="84"/>
      <c r="BW1329" s="84"/>
      <c r="BX1329" s="84"/>
      <c r="BY1329" s="84"/>
      <c r="BZ1329" s="84"/>
      <c r="CA1329" s="84"/>
      <c r="CB1329" s="84"/>
      <c r="CC1329" s="84"/>
      <c r="CD1329" s="84"/>
      <c r="CE1329" s="84"/>
      <c r="CF1329" s="84"/>
      <c r="CG1329" s="84"/>
      <c r="CH1329" s="84"/>
      <c r="CI1329" s="84"/>
      <c r="CJ1329" s="84"/>
      <c r="CK1329" s="84"/>
      <c r="CL1329" s="84"/>
    </row>
    <row r="1330" spans="66:90" s="354" customFormat="1" x14ac:dyDescent="0.2">
      <c r="BN1330" s="84"/>
      <c r="BO1330" s="84"/>
      <c r="BP1330" s="84"/>
      <c r="BQ1330" s="84"/>
      <c r="BR1330" s="84"/>
      <c r="BS1330" s="84"/>
      <c r="BT1330" s="84"/>
      <c r="BU1330" s="84"/>
      <c r="BV1330" s="84"/>
      <c r="BW1330" s="84"/>
      <c r="BX1330" s="84"/>
      <c r="BY1330" s="84"/>
      <c r="BZ1330" s="84"/>
      <c r="CA1330" s="84"/>
      <c r="CB1330" s="84"/>
      <c r="CC1330" s="84"/>
      <c r="CD1330" s="84"/>
      <c r="CE1330" s="84"/>
      <c r="CF1330" s="84"/>
      <c r="CG1330" s="84"/>
      <c r="CH1330" s="84"/>
      <c r="CI1330" s="84"/>
      <c r="CJ1330" s="84"/>
      <c r="CK1330" s="84"/>
      <c r="CL1330" s="84"/>
    </row>
    <row r="1331" spans="66:90" s="354" customFormat="1" x14ac:dyDescent="0.2">
      <c r="BN1331" s="84"/>
      <c r="BO1331" s="84"/>
      <c r="BP1331" s="84"/>
      <c r="BQ1331" s="84"/>
      <c r="BR1331" s="84"/>
      <c r="BS1331" s="84"/>
      <c r="BT1331" s="84"/>
      <c r="BU1331" s="84"/>
      <c r="BV1331" s="84"/>
      <c r="BW1331" s="84"/>
      <c r="BX1331" s="84"/>
      <c r="BY1331" s="84"/>
      <c r="BZ1331" s="84"/>
      <c r="CA1331" s="84"/>
      <c r="CB1331" s="84"/>
      <c r="CC1331" s="84"/>
      <c r="CD1331" s="84"/>
      <c r="CE1331" s="84"/>
      <c r="CF1331" s="84"/>
      <c r="CG1331" s="84"/>
      <c r="CH1331" s="84"/>
      <c r="CI1331" s="84"/>
      <c r="CJ1331" s="84"/>
      <c r="CK1331" s="84"/>
      <c r="CL1331" s="84"/>
    </row>
    <row r="1332" spans="66:90" s="354" customFormat="1" x14ac:dyDescent="0.2">
      <c r="BN1332" s="84"/>
      <c r="BO1332" s="84"/>
      <c r="BP1332" s="84"/>
      <c r="BQ1332" s="84"/>
      <c r="BR1332" s="84"/>
      <c r="BS1332" s="84"/>
      <c r="BT1332" s="84"/>
      <c r="BU1332" s="84"/>
      <c r="BV1332" s="84"/>
      <c r="BW1332" s="84"/>
      <c r="BX1332" s="84"/>
      <c r="BY1332" s="84"/>
      <c r="BZ1332" s="84"/>
      <c r="CA1332" s="84"/>
      <c r="CB1332" s="84"/>
      <c r="CC1332" s="84"/>
      <c r="CD1332" s="84"/>
      <c r="CE1332" s="84"/>
      <c r="CF1332" s="84"/>
      <c r="CG1332" s="84"/>
      <c r="CH1332" s="84"/>
      <c r="CI1332" s="84"/>
      <c r="CJ1332" s="84"/>
      <c r="CK1332" s="84"/>
      <c r="CL1332" s="84"/>
    </row>
    <row r="1333" spans="66:90" s="354" customFormat="1" x14ac:dyDescent="0.2">
      <c r="BN1333" s="84"/>
      <c r="BO1333" s="84"/>
      <c r="BP1333" s="84"/>
      <c r="BQ1333" s="84"/>
      <c r="BR1333" s="84"/>
      <c r="BS1333" s="84"/>
      <c r="BT1333" s="84"/>
      <c r="BU1333" s="84"/>
      <c r="BV1333" s="84"/>
      <c r="BW1333" s="84"/>
      <c r="BX1333" s="84"/>
      <c r="BY1333" s="84"/>
      <c r="BZ1333" s="84"/>
      <c r="CA1333" s="84"/>
      <c r="CB1333" s="84"/>
      <c r="CC1333" s="84"/>
      <c r="CD1333" s="84"/>
      <c r="CE1333" s="84"/>
      <c r="CF1333" s="84"/>
      <c r="CG1333" s="84"/>
      <c r="CH1333" s="84"/>
      <c r="CI1333" s="84"/>
      <c r="CJ1333" s="84"/>
      <c r="CK1333" s="84"/>
      <c r="CL1333" s="84"/>
    </row>
    <row r="1334" spans="66:90" s="354" customFormat="1" x14ac:dyDescent="0.2">
      <c r="BN1334" s="84"/>
      <c r="BO1334" s="84"/>
      <c r="BP1334" s="84"/>
      <c r="BQ1334" s="84"/>
      <c r="BR1334" s="84"/>
      <c r="BS1334" s="84"/>
      <c r="BT1334" s="84"/>
      <c r="BU1334" s="84"/>
      <c r="BV1334" s="84"/>
      <c r="BW1334" s="84"/>
      <c r="BX1334" s="84"/>
      <c r="BY1334" s="84"/>
      <c r="BZ1334" s="84"/>
      <c r="CA1334" s="84"/>
      <c r="CB1334" s="84"/>
      <c r="CC1334" s="84"/>
      <c r="CD1334" s="84"/>
      <c r="CE1334" s="84"/>
      <c r="CF1334" s="84"/>
      <c r="CG1334" s="84"/>
      <c r="CH1334" s="84"/>
      <c r="CI1334" s="84"/>
      <c r="CJ1334" s="84"/>
      <c r="CK1334" s="84"/>
      <c r="CL1334" s="84"/>
    </row>
    <row r="1335" spans="66:90" s="354" customFormat="1" x14ac:dyDescent="0.2">
      <c r="BN1335" s="84"/>
      <c r="BO1335" s="84"/>
      <c r="BP1335" s="84"/>
      <c r="BQ1335" s="84"/>
      <c r="BR1335" s="84"/>
      <c r="BS1335" s="84"/>
      <c r="BT1335" s="84"/>
      <c r="BU1335" s="84"/>
      <c r="BV1335" s="84"/>
      <c r="BW1335" s="84"/>
      <c r="BX1335" s="84"/>
      <c r="BY1335" s="84"/>
      <c r="BZ1335" s="84"/>
      <c r="CA1335" s="84"/>
      <c r="CB1335" s="84"/>
      <c r="CC1335" s="84"/>
      <c r="CD1335" s="84"/>
      <c r="CE1335" s="84"/>
      <c r="CF1335" s="84"/>
      <c r="CG1335" s="84"/>
      <c r="CH1335" s="84"/>
      <c r="CI1335" s="84"/>
      <c r="CJ1335" s="84"/>
      <c r="CK1335" s="84"/>
      <c r="CL1335" s="84"/>
    </row>
    <row r="1336" spans="66:90" s="354" customFormat="1" x14ac:dyDescent="0.2">
      <c r="BN1336" s="84"/>
      <c r="BO1336" s="84"/>
      <c r="BP1336" s="84"/>
      <c r="BQ1336" s="84"/>
      <c r="BR1336" s="84"/>
      <c r="BS1336" s="84"/>
      <c r="BT1336" s="84"/>
      <c r="BU1336" s="84"/>
      <c r="BV1336" s="84"/>
      <c r="BW1336" s="84"/>
      <c r="BX1336" s="84"/>
      <c r="BY1336" s="84"/>
      <c r="BZ1336" s="84"/>
      <c r="CA1336" s="84"/>
      <c r="CB1336" s="84"/>
      <c r="CC1336" s="84"/>
      <c r="CD1336" s="84"/>
      <c r="CE1336" s="84"/>
      <c r="CF1336" s="84"/>
      <c r="CG1336" s="84"/>
      <c r="CH1336" s="84"/>
      <c r="CI1336" s="84"/>
      <c r="CJ1336" s="84"/>
      <c r="CK1336" s="84"/>
      <c r="CL1336" s="84"/>
    </row>
    <row r="1337" spans="66:90" s="354" customFormat="1" x14ac:dyDescent="0.2">
      <c r="BN1337" s="84"/>
      <c r="BO1337" s="84"/>
      <c r="BP1337" s="84"/>
      <c r="BQ1337" s="84"/>
      <c r="BR1337" s="84"/>
      <c r="BS1337" s="84"/>
      <c r="BT1337" s="84"/>
      <c r="BU1337" s="84"/>
      <c r="BV1337" s="84"/>
      <c r="BW1337" s="84"/>
      <c r="BX1337" s="84"/>
      <c r="BY1337" s="84"/>
      <c r="BZ1337" s="84"/>
      <c r="CA1337" s="84"/>
      <c r="CB1337" s="84"/>
      <c r="CC1337" s="84"/>
      <c r="CD1337" s="84"/>
      <c r="CE1337" s="84"/>
      <c r="CF1337" s="84"/>
      <c r="CG1337" s="84"/>
      <c r="CH1337" s="84"/>
      <c r="CI1337" s="84"/>
      <c r="CJ1337" s="84"/>
      <c r="CK1337" s="84"/>
      <c r="CL1337" s="84"/>
    </row>
    <row r="1338" spans="66:90" s="354" customFormat="1" x14ac:dyDescent="0.2">
      <c r="BN1338" s="84"/>
      <c r="BO1338" s="84"/>
      <c r="BP1338" s="84"/>
      <c r="BQ1338" s="84"/>
      <c r="BR1338" s="84"/>
      <c r="BS1338" s="84"/>
      <c r="BT1338" s="84"/>
      <c r="BU1338" s="84"/>
      <c r="BV1338" s="84"/>
      <c r="BW1338" s="84"/>
      <c r="BX1338" s="84"/>
      <c r="BY1338" s="84"/>
      <c r="BZ1338" s="84"/>
      <c r="CA1338" s="84"/>
      <c r="CB1338" s="84"/>
      <c r="CC1338" s="84"/>
      <c r="CD1338" s="84"/>
      <c r="CE1338" s="84"/>
      <c r="CF1338" s="84"/>
      <c r="CG1338" s="84"/>
      <c r="CH1338" s="84"/>
      <c r="CI1338" s="84"/>
      <c r="CJ1338" s="84"/>
      <c r="CK1338" s="84"/>
      <c r="CL1338" s="84"/>
    </row>
    <row r="1339" spans="66:90" s="354" customFormat="1" x14ac:dyDescent="0.2">
      <c r="BN1339" s="84"/>
      <c r="BO1339" s="84"/>
      <c r="BP1339" s="84"/>
      <c r="BQ1339" s="84"/>
      <c r="BR1339" s="84"/>
      <c r="BS1339" s="84"/>
      <c r="BT1339" s="84"/>
      <c r="BU1339" s="84"/>
      <c r="BV1339" s="84"/>
      <c r="BW1339" s="84"/>
      <c r="BX1339" s="84"/>
      <c r="BY1339" s="84"/>
      <c r="BZ1339" s="84"/>
      <c r="CA1339" s="84"/>
      <c r="CB1339" s="84"/>
      <c r="CC1339" s="84"/>
      <c r="CD1339" s="84"/>
      <c r="CE1339" s="84"/>
      <c r="CF1339" s="84"/>
      <c r="CG1339" s="84"/>
      <c r="CH1339" s="84"/>
      <c r="CI1339" s="84"/>
      <c r="CJ1339" s="84"/>
      <c r="CK1339" s="84"/>
      <c r="CL1339" s="84"/>
    </row>
    <row r="1340" spans="66:90" s="354" customFormat="1" x14ac:dyDescent="0.2">
      <c r="BN1340" s="84"/>
      <c r="BO1340" s="84"/>
      <c r="BP1340" s="84"/>
      <c r="BQ1340" s="84"/>
      <c r="BR1340" s="84"/>
      <c r="BS1340" s="84"/>
      <c r="BT1340" s="84"/>
      <c r="BU1340" s="84"/>
      <c r="BV1340" s="84"/>
      <c r="BW1340" s="84"/>
      <c r="BX1340" s="84"/>
      <c r="BY1340" s="84"/>
      <c r="BZ1340" s="84"/>
      <c r="CA1340" s="84"/>
      <c r="CB1340" s="84"/>
      <c r="CC1340" s="84"/>
      <c r="CD1340" s="84"/>
      <c r="CE1340" s="84"/>
      <c r="CF1340" s="84"/>
      <c r="CG1340" s="84"/>
      <c r="CH1340" s="84"/>
      <c r="CI1340" s="84"/>
      <c r="CJ1340" s="84"/>
      <c r="CK1340" s="84"/>
      <c r="CL1340" s="84"/>
    </row>
    <row r="1341" spans="66:90" s="354" customFormat="1" x14ac:dyDescent="0.2">
      <c r="BN1341" s="84"/>
      <c r="BO1341" s="84"/>
      <c r="BP1341" s="84"/>
      <c r="BQ1341" s="84"/>
      <c r="BR1341" s="84"/>
      <c r="BS1341" s="84"/>
      <c r="BT1341" s="84"/>
      <c r="BU1341" s="84"/>
      <c r="BV1341" s="84"/>
      <c r="BW1341" s="84"/>
      <c r="BX1341" s="84"/>
      <c r="BY1341" s="84"/>
      <c r="BZ1341" s="84"/>
      <c r="CA1341" s="84"/>
      <c r="CB1341" s="84"/>
      <c r="CC1341" s="84"/>
      <c r="CD1341" s="84"/>
      <c r="CE1341" s="84"/>
      <c r="CF1341" s="84"/>
      <c r="CG1341" s="84"/>
      <c r="CH1341" s="84"/>
      <c r="CI1341" s="84"/>
      <c r="CJ1341" s="84"/>
      <c r="CK1341" s="84"/>
      <c r="CL1341" s="84"/>
    </row>
    <row r="1342" spans="66:90" s="354" customFormat="1" x14ac:dyDescent="0.2">
      <c r="BN1342" s="84"/>
      <c r="BO1342" s="84"/>
      <c r="BP1342" s="84"/>
      <c r="BQ1342" s="84"/>
      <c r="BR1342" s="84"/>
      <c r="BS1342" s="84"/>
      <c r="BT1342" s="84"/>
      <c r="BU1342" s="84"/>
      <c r="BV1342" s="84"/>
      <c r="BW1342" s="84"/>
      <c r="BX1342" s="84"/>
      <c r="BY1342" s="84"/>
      <c r="BZ1342" s="84"/>
      <c r="CA1342" s="84"/>
      <c r="CB1342" s="84"/>
      <c r="CC1342" s="84"/>
      <c r="CD1342" s="84"/>
      <c r="CE1342" s="84"/>
      <c r="CF1342" s="84"/>
      <c r="CG1342" s="84"/>
      <c r="CH1342" s="84"/>
      <c r="CI1342" s="84"/>
      <c r="CJ1342" s="84"/>
      <c r="CK1342" s="84"/>
      <c r="CL1342" s="84"/>
    </row>
    <row r="1343" spans="66:90" s="354" customFormat="1" x14ac:dyDescent="0.2">
      <c r="BN1343" s="84"/>
      <c r="BO1343" s="84"/>
      <c r="BP1343" s="84"/>
      <c r="BQ1343" s="84"/>
      <c r="BR1343" s="84"/>
      <c r="BS1343" s="84"/>
      <c r="BT1343" s="84"/>
      <c r="BU1343" s="84"/>
      <c r="BV1343" s="84"/>
      <c r="BW1343" s="84"/>
      <c r="BX1343" s="84"/>
      <c r="BY1343" s="84"/>
      <c r="BZ1343" s="84"/>
      <c r="CA1343" s="84"/>
      <c r="CB1343" s="84"/>
      <c r="CC1343" s="84"/>
      <c r="CD1343" s="84"/>
      <c r="CE1343" s="84"/>
      <c r="CF1343" s="84"/>
      <c r="CG1343" s="84"/>
      <c r="CH1343" s="84"/>
      <c r="CI1343" s="84"/>
      <c r="CJ1343" s="84"/>
      <c r="CK1343" s="84"/>
      <c r="CL1343" s="84"/>
    </row>
    <row r="1344" spans="66:90" s="354" customFormat="1" x14ac:dyDescent="0.2">
      <c r="BN1344" s="84"/>
      <c r="BO1344" s="84"/>
      <c r="BP1344" s="84"/>
      <c r="BQ1344" s="84"/>
      <c r="BR1344" s="84"/>
      <c r="BS1344" s="84"/>
      <c r="BT1344" s="84"/>
      <c r="BU1344" s="84"/>
      <c r="BV1344" s="84"/>
      <c r="BW1344" s="84"/>
      <c r="BX1344" s="84"/>
      <c r="BY1344" s="84"/>
      <c r="BZ1344" s="84"/>
      <c r="CA1344" s="84"/>
      <c r="CB1344" s="84"/>
      <c r="CC1344" s="84"/>
      <c r="CD1344" s="84"/>
      <c r="CE1344" s="84"/>
      <c r="CF1344" s="84"/>
      <c r="CG1344" s="84"/>
      <c r="CH1344" s="84"/>
      <c r="CI1344" s="84"/>
      <c r="CJ1344" s="84"/>
      <c r="CK1344" s="84"/>
      <c r="CL1344" s="84"/>
    </row>
    <row r="1345" spans="66:90" s="354" customFormat="1" x14ac:dyDescent="0.2">
      <c r="BN1345" s="84"/>
      <c r="BO1345" s="84"/>
      <c r="BP1345" s="84"/>
      <c r="BQ1345" s="84"/>
      <c r="BR1345" s="84"/>
      <c r="BS1345" s="84"/>
      <c r="BT1345" s="84"/>
      <c r="BU1345" s="84"/>
      <c r="BV1345" s="84"/>
      <c r="BW1345" s="84"/>
      <c r="BX1345" s="84"/>
      <c r="BY1345" s="84"/>
      <c r="BZ1345" s="84"/>
      <c r="CA1345" s="84"/>
      <c r="CB1345" s="84"/>
      <c r="CC1345" s="84"/>
      <c r="CD1345" s="84"/>
      <c r="CE1345" s="84"/>
      <c r="CF1345" s="84"/>
      <c r="CG1345" s="84"/>
      <c r="CH1345" s="84"/>
      <c r="CI1345" s="84"/>
      <c r="CJ1345" s="84"/>
      <c r="CK1345" s="84"/>
      <c r="CL1345" s="84"/>
    </row>
    <row r="1346" spans="66:90" s="354" customFormat="1" x14ac:dyDescent="0.2">
      <c r="BN1346" s="84"/>
      <c r="BO1346" s="84"/>
      <c r="BP1346" s="84"/>
      <c r="BQ1346" s="84"/>
      <c r="BR1346" s="84"/>
      <c r="BS1346" s="84"/>
      <c r="BT1346" s="84"/>
      <c r="BU1346" s="84"/>
      <c r="BV1346" s="84"/>
      <c r="BW1346" s="84"/>
      <c r="BX1346" s="84"/>
      <c r="BY1346" s="84"/>
      <c r="BZ1346" s="84"/>
      <c r="CA1346" s="84"/>
      <c r="CB1346" s="84"/>
      <c r="CC1346" s="84"/>
      <c r="CD1346" s="84"/>
      <c r="CE1346" s="84"/>
      <c r="CF1346" s="84"/>
      <c r="CG1346" s="84"/>
      <c r="CH1346" s="84"/>
      <c r="CI1346" s="84"/>
      <c r="CJ1346" s="84"/>
      <c r="CK1346" s="84"/>
      <c r="CL1346" s="84"/>
    </row>
    <row r="1347" spans="66:90" s="354" customFormat="1" x14ac:dyDescent="0.2">
      <c r="BN1347" s="84"/>
      <c r="BO1347" s="84"/>
      <c r="BP1347" s="84"/>
      <c r="BQ1347" s="84"/>
      <c r="BR1347" s="84"/>
      <c r="BS1347" s="84"/>
      <c r="BT1347" s="84"/>
      <c r="BU1347" s="84"/>
      <c r="BV1347" s="84"/>
      <c r="BW1347" s="84"/>
      <c r="BX1347" s="84"/>
      <c r="BY1347" s="84"/>
      <c r="BZ1347" s="84"/>
      <c r="CA1347" s="84"/>
      <c r="CB1347" s="84"/>
      <c r="CC1347" s="84"/>
      <c r="CD1347" s="84"/>
      <c r="CE1347" s="84"/>
      <c r="CF1347" s="84"/>
      <c r="CG1347" s="84"/>
      <c r="CH1347" s="84"/>
      <c r="CI1347" s="84"/>
      <c r="CJ1347" s="84"/>
      <c r="CK1347" s="84"/>
      <c r="CL1347" s="84"/>
    </row>
    <row r="1348" spans="66:90" s="354" customFormat="1" x14ac:dyDescent="0.2">
      <c r="BN1348" s="84"/>
      <c r="BO1348" s="84"/>
      <c r="BP1348" s="84"/>
      <c r="BQ1348" s="84"/>
      <c r="BR1348" s="84"/>
      <c r="BS1348" s="84"/>
      <c r="BT1348" s="84"/>
      <c r="BU1348" s="84"/>
      <c r="BV1348" s="84"/>
      <c r="BW1348" s="84"/>
      <c r="BX1348" s="84"/>
      <c r="BY1348" s="84"/>
      <c r="BZ1348" s="84"/>
      <c r="CA1348" s="84"/>
      <c r="CB1348" s="84"/>
      <c r="CC1348" s="84"/>
      <c r="CD1348" s="84"/>
      <c r="CE1348" s="84"/>
      <c r="CF1348" s="84"/>
      <c r="CG1348" s="84"/>
      <c r="CH1348" s="84"/>
      <c r="CI1348" s="84"/>
      <c r="CJ1348" s="84"/>
      <c r="CK1348" s="84"/>
      <c r="CL1348" s="84"/>
    </row>
    <row r="1349" spans="66:90" s="354" customFormat="1" x14ac:dyDescent="0.2">
      <c r="BN1349" s="84"/>
      <c r="BO1349" s="84"/>
      <c r="BP1349" s="84"/>
      <c r="BQ1349" s="84"/>
      <c r="BR1349" s="84"/>
      <c r="BS1349" s="84"/>
      <c r="BT1349" s="84"/>
      <c r="BU1349" s="84"/>
      <c r="BV1349" s="84"/>
      <c r="BW1349" s="84"/>
      <c r="BX1349" s="84"/>
      <c r="BY1349" s="84"/>
      <c r="BZ1349" s="84"/>
      <c r="CA1349" s="84"/>
      <c r="CB1349" s="84"/>
      <c r="CC1349" s="84"/>
      <c r="CD1349" s="84"/>
      <c r="CE1349" s="84"/>
      <c r="CF1349" s="84"/>
      <c r="CG1349" s="84"/>
      <c r="CH1349" s="84"/>
      <c r="CI1349" s="84"/>
      <c r="CJ1349" s="84"/>
      <c r="CK1349" s="84"/>
      <c r="CL1349" s="84"/>
    </row>
    <row r="1350" spans="66:90" s="354" customFormat="1" x14ac:dyDescent="0.2">
      <c r="BN1350" s="84"/>
      <c r="BO1350" s="84"/>
      <c r="BP1350" s="84"/>
      <c r="BQ1350" s="84"/>
      <c r="BR1350" s="84"/>
      <c r="BS1350" s="84"/>
      <c r="BT1350" s="84"/>
      <c r="BU1350" s="84"/>
      <c r="BV1350" s="84"/>
      <c r="BW1350" s="84"/>
      <c r="BX1350" s="84"/>
      <c r="BY1350" s="84"/>
      <c r="BZ1350" s="84"/>
      <c r="CA1350" s="84"/>
      <c r="CB1350" s="84"/>
      <c r="CC1350" s="84"/>
      <c r="CD1350" s="84"/>
      <c r="CE1350" s="84"/>
      <c r="CF1350" s="84"/>
      <c r="CG1350" s="84"/>
      <c r="CH1350" s="84"/>
      <c r="CI1350" s="84"/>
      <c r="CJ1350" s="84"/>
      <c r="CK1350" s="84"/>
      <c r="CL1350" s="84"/>
    </row>
    <row r="1351" spans="66:90" s="354" customFormat="1" x14ac:dyDescent="0.2">
      <c r="BN1351" s="84"/>
      <c r="BO1351" s="84"/>
      <c r="BP1351" s="84"/>
      <c r="BQ1351" s="84"/>
      <c r="BR1351" s="84"/>
      <c r="BS1351" s="84"/>
      <c r="BT1351" s="84"/>
      <c r="BU1351" s="84"/>
      <c r="BV1351" s="84"/>
      <c r="BW1351" s="84"/>
      <c r="BX1351" s="84"/>
      <c r="BY1351" s="84"/>
      <c r="BZ1351" s="84"/>
      <c r="CA1351" s="84"/>
      <c r="CB1351" s="84"/>
      <c r="CC1351" s="84"/>
      <c r="CD1351" s="84"/>
      <c r="CE1351" s="84"/>
      <c r="CF1351" s="84"/>
      <c r="CG1351" s="84"/>
      <c r="CH1351" s="84"/>
      <c r="CI1351" s="84"/>
      <c r="CJ1351" s="84"/>
      <c r="CK1351" s="84"/>
      <c r="CL1351" s="84"/>
    </row>
    <row r="1352" spans="66:90" s="354" customFormat="1" x14ac:dyDescent="0.2">
      <c r="BN1352" s="84"/>
      <c r="BO1352" s="84"/>
      <c r="BP1352" s="84"/>
      <c r="BQ1352" s="84"/>
      <c r="BR1352" s="84"/>
      <c r="BS1352" s="84"/>
      <c r="BT1352" s="84"/>
      <c r="BU1352" s="84"/>
      <c r="BV1352" s="84"/>
      <c r="BW1352" s="84"/>
      <c r="BX1352" s="84"/>
      <c r="BY1352" s="84"/>
      <c r="BZ1352" s="84"/>
      <c r="CA1352" s="84"/>
      <c r="CB1352" s="84"/>
      <c r="CC1352" s="84"/>
      <c r="CD1352" s="84"/>
      <c r="CE1352" s="84"/>
      <c r="CF1352" s="84"/>
      <c r="CG1352" s="84"/>
      <c r="CH1352" s="84"/>
      <c r="CI1352" s="84"/>
      <c r="CJ1352" s="84"/>
      <c r="CK1352" s="84"/>
      <c r="CL1352" s="84"/>
    </row>
    <row r="1353" spans="66:90" s="354" customFormat="1" x14ac:dyDescent="0.2">
      <c r="BN1353" s="84"/>
      <c r="BO1353" s="84"/>
      <c r="BP1353" s="84"/>
      <c r="BQ1353" s="84"/>
      <c r="BR1353" s="84"/>
      <c r="BS1353" s="84"/>
      <c r="BT1353" s="84"/>
      <c r="BU1353" s="84"/>
      <c r="BV1353" s="84"/>
      <c r="BW1353" s="84"/>
      <c r="BX1353" s="84"/>
      <c r="BY1353" s="84"/>
      <c r="BZ1353" s="84"/>
      <c r="CA1353" s="84"/>
      <c r="CB1353" s="84"/>
      <c r="CC1353" s="84"/>
      <c r="CD1353" s="84"/>
      <c r="CE1353" s="84"/>
      <c r="CF1353" s="84"/>
      <c r="CG1353" s="84"/>
      <c r="CH1353" s="84"/>
      <c r="CI1353" s="84"/>
      <c r="CJ1353" s="84"/>
      <c r="CK1353" s="84"/>
      <c r="CL1353" s="84"/>
    </row>
    <row r="1354" spans="66:90" s="354" customFormat="1" x14ac:dyDescent="0.2">
      <c r="BN1354" s="84"/>
      <c r="BO1354" s="84"/>
      <c r="BP1354" s="84"/>
      <c r="BQ1354" s="84"/>
      <c r="BR1354" s="84"/>
      <c r="BS1354" s="84"/>
      <c r="BT1354" s="84"/>
      <c r="BU1354" s="84"/>
      <c r="BV1354" s="84"/>
      <c r="BW1354" s="84"/>
      <c r="BX1354" s="84"/>
      <c r="BY1354" s="84"/>
      <c r="BZ1354" s="84"/>
      <c r="CA1354" s="84"/>
      <c r="CB1354" s="84"/>
      <c r="CC1354" s="84"/>
      <c r="CD1354" s="84"/>
      <c r="CE1354" s="84"/>
      <c r="CF1354" s="84"/>
      <c r="CG1354" s="84"/>
      <c r="CH1354" s="84"/>
      <c r="CI1354" s="84"/>
      <c r="CJ1354" s="84"/>
      <c r="CK1354" s="84"/>
      <c r="CL1354" s="84"/>
    </row>
    <row r="1355" spans="66:90" s="354" customFormat="1" x14ac:dyDescent="0.2">
      <c r="BN1355" s="84"/>
      <c r="BO1355" s="84"/>
      <c r="BP1355" s="84"/>
      <c r="BQ1355" s="84"/>
      <c r="BR1355" s="84"/>
      <c r="BS1355" s="84"/>
      <c r="BT1355" s="84"/>
      <c r="BU1355" s="84"/>
      <c r="BV1355" s="84"/>
      <c r="BW1355" s="84"/>
      <c r="BX1355" s="84"/>
      <c r="BY1355" s="84"/>
      <c r="BZ1355" s="84"/>
      <c r="CA1355" s="84"/>
      <c r="CB1355" s="84"/>
      <c r="CC1355" s="84"/>
      <c r="CD1355" s="84"/>
      <c r="CE1355" s="84"/>
      <c r="CF1355" s="84"/>
      <c r="CG1355" s="84"/>
      <c r="CH1355" s="84"/>
      <c r="CI1355" s="84"/>
      <c r="CJ1355" s="84"/>
      <c r="CK1355" s="84"/>
      <c r="CL1355" s="84"/>
    </row>
    <row r="1356" spans="66:90" s="354" customFormat="1" x14ac:dyDescent="0.2">
      <c r="BN1356" s="84"/>
      <c r="BO1356" s="84"/>
      <c r="BP1356" s="84"/>
      <c r="BQ1356" s="84"/>
      <c r="BR1356" s="84"/>
      <c r="BS1356" s="84"/>
      <c r="BT1356" s="84"/>
      <c r="BU1356" s="84"/>
      <c r="BV1356" s="84"/>
      <c r="BW1356" s="84"/>
      <c r="BX1356" s="84"/>
      <c r="BY1356" s="84"/>
      <c r="BZ1356" s="84"/>
      <c r="CA1356" s="84"/>
      <c r="CB1356" s="84"/>
      <c r="CC1356" s="84"/>
      <c r="CD1356" s="84"/>
      <c r="CE1356" s="84"/>
      <c r="CF1356" s="84"/>
      <c r="CG1356" s="84"/>
      <c r="CH1356" s="84"/>
      <c r="CI1356" s="84"/>
      <c r="CJ1356" s="84"/>
      <c r="CK1356" s="84"/>
      <c r="CL1356" s="84"/>
    </row>
    <row r="1357" spans="66:90" s="354" customFormat="1" x14ac:dyDescent="0.2">
      <c r="BN1357" s="84"/>
      <c r="BO1357" s="84"/>
      <c r="BP1357" s="84"/>
      <c r="BQ1357" s="84"/>
      <c r="BR1357" s="84"/>
      <c r="BS1357" s="84"/>
      <c r="BT1357" s="84"/>
      <c r="BU1357" s="84"/>
      <c r="BV1357" s="84"/>
      <c r="BW1357" s="84"/>
      <c r="BX1357" s="84"/>
      <c r="BY1357" s="84"/>
      <c r="BZ1357" s="84"/>
      <c r="CA1357" s="84"/>
      <c r="CB1357" s="84"/>
      <c r="CC1357" s="84"/>
      <c r="CD1357" s="84"/>
      <c r="CE1357" s="84"/>
      <c r="CF1357" s="84"/>
      <c r="CG1357" s="84"/>
      <c r="CH1357" s="84"/>
      <c r="CI1357" s="84"/>
      <c r="CJ1357" s="84"/>
      <c r="CK1357" s="84"/>
      <c r="CL1357" s="84"/>
    </row>
    <row r="1358" spans="66:90" s="354" customFormat="1" x14ac:dyDescent="0.2">
      <c r="BN1358" s="84"/>
      <c r="BO1358" s="84"/>
      <c r="BP1358" s="84"/>
      <c r="BQ1358" s="84"/>
      <c r="BR1358" s="84"/>
      <c r="BS1358" s="84"/>
      <c r="BT1358" s="84"/>
      <c r="BU1358" s="84"/>
      <c r="BV1358" s="84"/>
      <c r="BW1358" s="84"/>
      <c r="BX1358" s="84"/>
      <c r="BY1358" s="84"/>
      <c r="BZ1358" s="84"/>
      <c r="CA1358" s="84"/>
      <c r="CB1358" s="84"/>
      <c r="CC1358" s="84"/>
      <c r="CD1358" s="84"/>
      <c r="CE1358" s="84"/>
      <c r="CF1358" s="84"/>
      <c r="CG1358" s="84"/>
      <c r="CH1358" s="84"/>
      <c r="CI1358" s="84"/>
      <c r="CJ1358" s="84"/>
      <c r="CK1358" s="84"/>
      <c r="CL1358" s="84"/>
    </row>
    <row r="1359" spans="66:90" s="354" customFormat="1" x14ac:dyDescent="0.2">
      <c r="BN1359" s="84"/>
      <c r="BO1359" s="84"/>
      <c r="BP1359" s="84"/>
      <c r="BQ1359" s="84"/>
      <c r="BR1359" s="84"/>
      <c r="BS1359" s="84"/>
      <c r="BT1359" s="84"/>
      <c r="BU1359" s="84"/>
      <c r="BV1359" s="84"/>
      <c r="BW1359" s="84"/>
      <c r="BX1359" s="84"/>
      <c r="BY1359" s="84"/>
      <c r="BZ1359" s="84"/>
      <c r="CA1359" s="84"/>
      <c r="CB1359" s="84"/>
      <c r="CC1359" s="84"/>
      <c r="CD1359" s="84"/>
      <c r="CE1359" s="84"/>
      <c r="CF1359" s="84"/>
      <c r="CG1359" s="84"/>
      <c r="CH1359" s="84"/>
      <c r="CI1359" s="84"/>
      <c r="CJ1359" s="84"/>
      <c r="CK1359" s="84"/>
      <c r="CL1359" s="84"/>
    </row>
    <row r="1360" spans="66:90" s="354" customFormat="1" x14ac:dyDescent="0.2">
      <c r="BN1360" s="84"/>
      <c r="BO1360" s="84"/>
      <c r="BP1360" s="84"/>
      <c r="BQ1360" s="84"/>
      <c r="BR1360" s="84"/>
      <c r="BS1360" s="84"/>
      <c r="BT1360" s="84"/>
      <c r="BU1360" s="84"/>
      <c r="BV1360" s="84"/>
      <c r="BW1360" s="84"/>
      <c r="BX1360" s="84"/>
      <c r="BY1360" s="84"/>
      <c r="BZ1360" s="84"/>
      <c r="CA1360" s="84"/>
      <c r="CB1360" s="84"/>
      <c r="CC1360" s="84"/>
      <c r="CD1360" s="84"/>
      <c r="CE1360" s="84"/>
      <c r="CF1360" s="84"/>
      <c r="CG1360" s="84"/>
      <c r="CH1360" s="84"/>
      <c r="CI1360" s="84"/>
      <c r="CJ1360" s="84"/>
      <c r="CK1360" s="84"/>
      <c r="CL1360" s="84"/>
    </row>
    <row r="1361" spans="66:90" s="354" customFormat="1" x14ac:dyDescent="0.2">
      <c r="BN1361" s="84"/>
      <c r="BO1361" s="84"/>
      <c r="BP1361" s="84"/>
      <c r="BQ1361" s="84"/>
      <c r="BR1361" s="84"/>
      <c r="BS1361" s="84"/>
      <c r="BT1361" s="84"/>
      <c r="BU1361" s="84"/>
      <c r="BV1361" s="84"/>
      <c r="BW1361" s="84"/>
      <c r="BX1361" s="84"/>
      <c r="BY1361" s="84"/>
      <c r="BZ1361" s="84"/>
      <c r="CA1361" s="84"/>
      <c r="CB1361" s="84"/>
      <c r="CC1361" s="84"/>
      <c r="CD1361" s="84"/>
      <c r="CE1361" s="84"/>
      <c r="CF1361" s="84"/>
      <c r="CG1361" s="84"/>
      <c r="CH1361" s="84"/>
      <c r="CI1361" s="84"/>
      <c r="CJ1361" s="84"/>
      <c r="CK1361" s="84"/>
      <c r="CL1361" s="84"/>
    </row>
    <row r="1362" spans="66:90" s="354" customFormat="1" x14ac:dyDescent="0.2">
      <c r="BN1362" s="84"/>
      <c r="BO1362" s="84"/>
      <c r="BP1362" s="84"/>
      <c r="BQ1362" s="84"/>
      <c r="BR1362" s="84"/>
      <c r="BS1362" s="84"/>
      <c r="BT1362" s="84"/>
      <c r="BU1362" s="84"/>
      <c r="BV1362" s="84"/>
      <c r="BW1362" s="84"/>
      <c r="BX1362" s="84"/>
      <c r="BY1362" s="84"/>
      <c r="BZ1362" s="84"/>
      <c r="CA1362" s="84"/>
      <c r="CB1362" s="84"/>
      <c r="CC1362" s="84"/>
      <c r="CD1362" s="84"/>
      <c r="CE1362" s="84"/>
      <c r="CF1362" s="84"/>
      <c r="CG1362" s="84"/>
      <c r="CH1362" s="84"/>
      <c r="CI1362" s="84"/>
      <c r="CJ1362" s="84"/>
      <c r="CK1362" s="84"/>
      <c r="CL1362" s="84"/>
    </row>
    <row r="1363" spans="66:90" s="354" customFormat="1" x14ac:dyDescent="0.2">
      <c r="BN1363" s="84"/>
      <c r="BO1363" s="84"/>
      <c r="BP1363" s="84"/>
      <c r="BQ1363" s="84"/>
      <c r="BR1363" s="84"/>
      <c r="BS1363" s="84"/>
      <c r="BT1363" s="84"/>
      <c r="BU1363" s="84"/>
      <c r="BV1363" s="84"/>
      <c r="BW1363" s="84"/>
      <c r="BX1363" s="84"/>
      <c r="BY1363" s="84"/>
      <c r="BZ1363" s="84"/>
      <c r="CA1363" s="84"/>
      <c r="CB1363" s="84"/>
      <c r="CC1363" s="84"/>
      <c r="CD1363" s="84"/>
      <c r="CE1363" s="84"/>
      <c r="CF1363" s="84"/>
      <c r="CG1363" s="84"/>
      <c r="CH1363" s="84"/>
      <c r="CI1363" s="84"/>
      <c r="CJ1363" s="84"/>
      <c r="CK1363" s="84"/>
      <c r="CL1363" s="84"/>
    </row>
    <row r="1364" spans="66:90" s="354" customFormat="1" x14ac:dyDescent="0.2">
      <c r="BN1364" s="84"/>
      <c r="BO1364" s="84"/>
      <c r="BP1364" s="84"/>
      <c r="BQ1364" s="84"/>
      <c r="BR1364" s="84"/>
      <c r="BS1364" s="84"/>
      <c r="BT1364" s="84"/>
      <c r="BU1364" s="84"/>
      <c r="BV1364" s="84"/>
      <c r="BW1364" s="84"/>
      <c r="BX1364" s="84"/>
      <c r="BY1364" s="84"/>
      <c r="BZ1364" s="84"/>
      <c r="CA1364" s="84"/>
      <c r="CB1364" s="84"/>
      <c r="CC1364" s="84"/>
      <c r="CD1364" s="84"/>
      <c r="CE1364" s="84"/>
      <c r="CF1364" s="84"/>
      <c r="CG1364" s="84"/>
      <c r="CH1364" s="84"/>
      <c r="CI1364" s="84"/>
      <c r="CJ1364" s="84"/>
      <c r="CK1364" s="84"/>
      <c r="CL1364" s="84"/>
    </row>
    <row r="1365" spans="66:90" s="354" customFormat="1" x14ac:dyDescent="0.2">
      <c r="BN1365" s="84"/>
      <c r="BO1365" s="84"/>
      <c r="BP1365" s="84"/>
      <c r="BQ1365" s="84"/>
      <c r="BR1365" s="84"/>
      <c r="BS1365" s="84"/>
      <c r="BT1365" s="84"/>
      <c r="BU1365" s="84"/>
      <c r="BV1365" s="84"/>
      <c r="BW1365" s="84"/>
      <c r="BX1365" s="84"/>
      <c r="BY1365" s="84"/>
      <c r="BZ1365" s="84"/>
      <c r="CA1365" s="84"/>
      <c r="CB1365" s="84"/>
      <c r="CC1365" s="84"/>
      <c r="CD1365" s="84"/>
      <c r="CE1365" s="84"/>
      <c r="CF1365" s="84"/>
      <c r="CG1365" s="84"/>
      <c r="CH1365" s="84"/>
      <c r="CI1365" s="84"/>
      <c r="CJ1365" s="84"/>
      <c r="CK1365" s="84"/>
      <c r="CL1365" s="84"/>
    </row>
    <row r="1366" spans="66:90" s="354" customFormat="1" x14ac:dyDescent="0.2">
      <c r="BN1366" s="84"/>
      <c r="BO1366" s="84"/>
      <c r="BP1366" s="84"/>
      <c r="BQ1366" s="84"/>
      <c r="BR1366" s="84"/>
      <c r="BS1366" s="84"/>
      <c r="BT1366" s="84"/>
      <c r="BU1366" s="84"/>
      <c r="BV1366" s="84"/>
      <c r="BW1366" s="84"/>
      <c r="BX1366" s="84"/>
      <c r="BY1366" s="84"/>
      <c r="BZ1366" s="84"/>
      <c r="CA1366" s="84"/>
      <c r="CB1366" s="84"/>
      <c r="CC1366" s="84"/>
      <c r="CD1366" s="84"/>
      <c r="CE1366" s="84"/>
      <c r="CF1366" s="84"/>
      <c r="CG1366" s="84"/>
      <c r="CH1366" s="84"/>
      <c r="CI1366" s="84"/>
      <c r="CJ1366" s="84"/>
      <c r="CK1366" s="84"/>
      <c r="CL1366" s="84"/>
    </row>
    <row r="1367" spans="66:90" s="354" customFormat="1" x14ac:dyDescent="0.2">
      <c r="BN1367" s="84"/>
      <c r="BO1367" s="84"/>
      <c r="BP1367" s="84"/>
      <c r="BQ1367" s="84"/>
      <c r="BR1367" s="84"/>
      <c r="BS1367" s="84"/>
      <c r="BT1367" s="84"/>
      <c r="BU1367" s="84"/>
      <c r="BV1367" s="84"/>
      <c r="BW1367" s="84"/>
      <c r="BX1367" s="84"/>
      <c r="BY1367" s="84"/>
      <c r="BZ1367" s="84"/>
      <c r="CA1367" s="84"/>
      <c r="CB1367" s="84"/>
      <c r="CC1367" s="84"/>
      <c r="CD1367" s="84"/>
      <c r="CE1367" s="84"/>
      <c r="CF1367" s="84"/>
      <c r="CG1367" s="84"/>
      <c r="CH1367" s="84"/>
      <c r="CI1367" s="84"/>
      <c r="CJ1367" s="84"/>
      <c r="CK1367" s="84"/>
      <c r="CL1367" s="84"/>
    </row>
    <row r="1368" spans="66:90" s="354" customFormat="1" x14ac:dyDescent="0.2">
      <c r="BN1368" s="84"/>
      <c r="BO1368" s="84"/>
      <c r="BP1368" s="84"/>
      <c r="BQ1368" s="84"/>
      <c r="BR1368" s="84"/>
      <c r="BS1368" s="84"/>
      <c r="BT1368" s="84"/>
      <c r="BU1368" s="84"/>
      <c r="BV1368" s="84"/>
      <c r="BW1368" s="84"/>
      <c r="BX1368" s="84"/>
      <c r="BY1368" s="84"/>
      <c r="BZ1368" s="84"/>
      <c r="CA1368" s="84"/>
      <c r="CB1368" s="84"/>
      <c r="CC1368" s="84"/>
      <c r="CD1368" s="84"/>
      <c r="CE1368" s="84"/>
      <c r="CF1368" s="84"/>
      <c r="CG1368" s="84"/>
      <c r="CH1368" s="84"/>
      <c r="CI1368" s="84"/>
      <c r="CJ1368" s="84"/>
      <c r="CK1368" s="84"/>
      <c r="CL1368" s="84"/>
    </row>
    <row r="1369" spans="66:90" s="354" customFormat="1" x14ac:dyDescent="0.2">
      <c r="BN1369" s="84"/>
      <c r="BO1369" s="84"/>
      <c r="BP1369" s="84"/>
      <c r="BQ1369" s="84"/>
      <c r="BR1369" s="84"/>
      <c r="BS1369" s="84"/>
      <c r="BT1369" s="84"/>
      <c r="BU1369" s="84"/>
      <c r="BV1369" s="84"/>
      <c r="BW1369" s="84"/>
      <c r="BX1369" s="84"/>
      <c r="BY1369" s="84"/>
      <c r="BZ1369" s="84"/>
      <c r="CA1369" s="84"/>
      <c r="CB1369" s="84"/>
      <c r="CC1369" s="84"/>
      <c r="CD1369" s="84"/>
      <c r="CE1369" s="84"/>
      <c r="CF1369" s="84"/>
      <c r="CG1369" s="84"/>
      <c r="CH1369" s="84"/>
      <c r="CI1369" s="84"/>
      <c r="CJ1369" s="84"/>
      <c r="CK1369" s="84"/>
      <c r="CL1369" s="84"/>
    </row>
    <row r="1370" spans="66:90" s="354" customFormat="1" x14ac:dyDescent="0.2">
      <c r="BN1370" s="84"/>
      <c r="BO1370" s="84"/>
      <c r="BP1370" s="84"/>
      <c r="BQ1370" s="84"/>
      <c r="BR1370" s="84"/>
      <c r="BS1370" s="84"/>
      <c r="BT1370" s="84"/>
      <c r="BU1370" s="84"/>
      <c r="BV1370" s="84"/>
      <c r="BW1370" s="84"/>
      <c r="BX1370" s="84"/>
      <c r="BY1370" s="84"/>
      <c r="BZ1370" s="84"/>
      <c r="CA1370" s="84"/>
      <c r="CB1370" s="84"/>
      <c r="CC1370" s="84"/>
      <c r="CD1370" s="84"/>
      <c r="CE1370" s="84"/>
      <c r="CF1370" s="84"/>
      <c r="CG1370" s="84"/>
      <c r="CH1370" s="84"/>
      <c r="CI1370" s="84"/>
      <c r="CJ1370" s="84"/>
      <c r="CK1370" s="84"/>
      <c r="CL1370" s="84"/>
    </row>
    <row r="1371" spans="66:90" s="354" customFormat="1" x14ac:dyDescent="0.2">
      <c r="BN1371" s="84"/>
      <c r="BO1371" s="84"/>
      <c r="BP1371" s="84"/>
      <c r="BQ1371" s="84"/>
      <c r="BR1371" s="84"/>
      <c r="BS1371" s="84"/>
      <c r="BT1371" s="84"/>
      <c r="BU1371" s="84"/>
      <c r="BV1371" s="84"/>
      <c r="BW1371" s="84"/>
      <c r="BX1371" s="84"/>
      <c r="BY1371" s="84"/>
      <c r="BZ1371" s="84"/>
      <c r="CA1371" s="84"/>
      <c r="CB1371" s="84"/>
      <c r="CC1371" s="84"/>
      <c r="CD1371" s="84"/>
      <c r="CE1371" s="84"/>
      <c r="CF1371" s="84"/>
      <c r="CG1371" s="84"/>
      <c r="CH1371" s="84"/>
      <c r="CI1371" s="84"/>
      <c r="CJ1371" s="84"/>
      <c r="CK1371" s="84"/>
      <c r="CL1371" s="84"/>
    </row>
    <row r="1372" spans="66:90" s="354" customFormat="1" x14ac:dyDescent="0.2">
      <c r="BN1372" s="84"/>
      <c r="BO1372" s="84"/>
      <c r="BP1372" s="84"/>
      <c r="BQ1372" s="84"/>
      <c r="BR1372" s="84"/>
      <c r="BS1372" s="84"/>
      <c r="BT1372" s="84"/>
      <c r="BU1372" s="84"/>
      <c r="BV1372" s="84"/>
      <c r="BW1372" s="84"/>
      <c r="BX1372" s="84"/>
      <c r="BY1372" s="84"/>
      <c r="BZ1372" s="84"/>
      <c r="CA1372" s="84"/>
      <c r="CB1372" s="84"/>
      <c r="CC1372" s="84"/>
      <c r="CD1372" s="84"/>
      <c r="CE1372" s="84"/>
      <c r="CF1372" s="84"/>
      <c r="CG1372" s="84"/>
      <c r="CH1372" s="84"/>
      <c r="CI1372" s="84"/>
      <c r="CJ1372" s="84"/>
      <c r="CK1372" s="84"/>
      <c r="CL1372" s="84"/>
    </row>
    <row r="1373" spans="66:90" s="354" customFormat="1" x14ac:dyDescent="0.2">
      <c r="BN1373" s="84"/>
      <c r="BO1373" s="84"/>
      <c r="BP1373" s="84"/>
      <c r="BQ1373" s="84"/>
      <c r="BR1373" s="84"/>
      <c r="BS1373" s="84"/>
      <c r="BT1373" s="84"/>
      <c r="BU1373" s="84"/>
      <c r="BV1373" s="84"/>
      <c r="BW1373" s="84"/>
      <c r="BX1373" s="84"/>
      <c r="BY1373" s="84"/>
      <c r="BZ1373" s="84"/>
      <c r="CA1373" s="84"/>
      <c r="CB1373" s="84"/>
      <c r="CC1373" s="84"/>
      <c r="CD1373" s="84"/>
      <c r="CE1373" s="84"/>
      <c r="CF1373" s="84"/>
      <c r="CG1373" s="84"/>
      <c r="CH1373" s="84"/>
      <c r="CI1373" s="84"/>
      <c r="CJ1373" s="84"/>
      <c r="CK1373" s="84"/>
      <c r="CL1373" s="84"/>
    </row>
    <row r="1374" spans="66:90" s="354" customFormat="1" x14ac:dyDescent="0.2">
      <c r="BN1374" s="84"/>
      <c r="BO1374" s="84"/>
      <c r="BP1374" s="84"/>
      <c r="BQ1374" s="84"/>
      <c r="BR1374" s="84"/>
      <c r="BS1374" s="84"/>
      <c r="BT1374" s="84"/>
      <c r="BU1374" s="84"/>
      <c r="BV1374" s="84"/>
      <c r="BW1374" s="84"/>
      <c r="BX1374" s="84"/>
      <c r="BY1374" s="84"/>
      <c r="BZ1374" s="84"/>
      <c r="CA1374" s="84"/>
      <c r="CB1374" s="84"/>
      <c r="CC1374" s="84"/>
      <c r="CD1374" s="84"/>
      <c r="CE1374" s="84"/>
      <c r="CF1374" s="84"/>
      <c r="CG1374" s="84"/>
      <c r="CH1374" s="84"/>
      <c r="CI1374" s="84"/>
      <c r="CJ1374" s="84"/>
      <c r="CK1374" s="84"/>
      <c r="CL1374" s="84"/>
    </row>
    <row r="1375" spans="66:90" s="354" customFormat="1" x14ac:dyDescent="0.2">
      <c r="BN1375" s="84"/>
      <c r="BO1375" s="84"/>
      <c r="BP1375" s="84"/>
      <c r="BQ1375" s="84"/>
      <c r="BR1375" s="84"/>
      <c r="BS1375" s="84"/>
      <c r="BT1375" s="84"/>
      <c r="BU1375" s="84"/>
      <c r="BV1375" s="84"/>
      <c r="BW1375" s="84"/>
      <c r="BX1375" s="84"/>
      <c r="BY1375" s="84"/>
      <c r="BZ1375" s="84"/>
      <c r="CA1375" s="84"/>
      <c r="CB1375" s="84"/>
      <c r="CC1375" s="84"/>
      <c r="CD1375" s="84"/>
      <c r="CE1375" s="84"/>
      <c r="CF1375" s="84"/>
      <c r="CG1375" s="84"/>
      <c r="CH1375" s="84"/>
      <c r="CI1375" s="84"/>
      <c r="CJ1375" s="84"/>
      <c r="CK1375" s="84"/>
      <c r="CL1375" s="84"/>
    </row>
    <row r="1376" spans="66:90" s="354" customFormat="1" x14ac:dyDescent="0.2">
      <c r="BN1376" s="84"/>
      <c r="BO1376" s="84"/>
      <c r="BP1376" s="84"/>
      <c r="BQ1376" s="84"/>
      <c r="BR1376" s="84"/>
      <c r="BS1376" s="84"/>
      <c r="BT1376" s="84"/>
      <c r="BU1376" s="84"/>
      <c r="BV1376" s="84"/>
      <c r="BW1376" s="84"/>
      <c r="BX1376" s="84"/>
      <c r="BY1376" s="84"/>
      <c r="BZ1376" s="84"/>
      <c r="CA1376" s="84"/>
      <c r="CB1376" s="84"/>
      <c r="CC1376" s="84"/>
      <c r="CD1376" s="84"/>
      <c r="CE1376" s="84"/>
      <c r="CF1376" s="84"/>
      <c r="CG1376" s="84"/>
      <c r="CH1376" s="84"/>
      <c r="CI1376" s="84"/>
      <c r="CJ1376" s="84"/>
      <c r="CK1376" s="84"/>
      <c r="CL1376" s="84"/>
    </row>
    <row r="1377" spans="66:90" s="354" customFormat="1" x14ac:dyDescent="0.2">
      <c r="BN1377" s="84"/>
      <c r="BO1377" s="84"/>
      <c r="BP1377" s="84"/>
      <c r="BQ1377" s="84"/>
      <c r="BR1377" s="84"/>
      <c r="BS1377" s="84"/>
      <c r="BT1377" s="84"/>
      <c r="BU1377" s="84"/>
      <c r="BV1377" s="84"/>
      <c r="BW1377" s="84"/>
      <c r="BX1377" s="84"/>
      <c r="BY1377" s="84"/>
      <c r="BZ1377" s="84"/>
      <c r="CA1377" s="84"/>
      <c r="CB1377" s="84"/>
      <c r="CC1377" s="84"/>
      <c r="CD1377" s="84"/>
      <c r="CE1377" s="84"/>
      <c r="CF1377" s="84"/>
      <c r="CG1377" s="84"/>
      <c r="CH1377" s="84"/>
      <c r="CI1377" s="84"/>
      <c r="CJ1377" s="84"/>
      <c r="CK1377" s="84"/>
      <c r="CL1377" s="84"/>
    </row>
    <row r="1378" spans="66:90" s="354" customFormat="1" x14ac:dyDescent="0.2">
      <c r="BN1378" s="84"/>
      <c r="BO1378" s="84"/>
      <c r="BP1378" s="84"/>
      <c r="BQ1378" s="84"/>
      <c r="BR1378" s="84"/>
      <c r="BS1378" s="84"/>
      <c r="BT1378" s="84"/>
      <c r="BU1378" s="84"/>
      <c r="BV1378" s="84"/>
      <c r="BW1378" s="84"/>
      <c r="BX1378" s="84"/>
      <c r="BY1378" s="84"/>
      <c r="BZ1378" s="84"/>
      <c r="CA1378" s="84"/>
      <c r="CB1378" s="84"/>
      <c r="CC1378" s="84"/>
      <c r="CD1378" s="84"/>
      <c r="CE1378" s="84"/>
      <c r="CF1378" s="84"/>
      <c r="CG1378" s="84"/>
      <c r="CH1378" s="84"/>
      <c r="CI1378" s="84"/>
      <c r="CJ1378" s="84"/>
      <c r="CK1378" s="84"/>
      <c r="CL1378" s="84"/>
    </row>
    <row r="1379" spans="66:90" s="354" customFormat="1" x14ac:dyDescent="0.2">
      <c r="BN1379" s="84"/>
      <c r="BO1379" s="84"/>
      <c r="BP1379" s="84"/>
      <c r="BQ1379" s="84"/>
      <c r="BR1379" s="84"/>
      <c r="BS1379" s="84"/>
      <c r="BT1379" s="84"/>
      <c r="BU1379" s="84"/>
      <c r="BV1379" s="84"/>
      <c r="BW1379" s="84"/>
      <c r="BX1379" s="84"/>
      <c r="BY1379" s="84"/>
      <c r="BZ1379" s="84"/>
      <c r="CA1379" s="84"/>
      <c r="CB1379" s="84"/>
      <c r="CC1379" s="84"/>
      <c r="CD1379" s="84"/>
      <c r="CE1379" s="84"/>
      <c r="CF1379" s="84"/>
      <c r="CG1379" s="84"/>
      <c r="CH1379" s="84"/>
      <c r="CI1379" s="84"/>
      <c r="CJ1379" s="84"/>
      <c r="CK1379" s="84"/>
      <c r="CL1379" s="84"/>
    </row>
    <row r="1380" spans="66:90" s="354" customFormat="1" x14ac:dyDescent="0.2">
      <c r="BN1380" s="84"/>
      <c r="BO1380" s="84"/>
      <c r="BP1380" s="84"/>
      <c r="BQ1380" s="84"/>
      <c r="BR1380" s="84"/>
      <c r="BS1380" s="84"/>
      <c r="BT1380" s="84"/>
      <c r="BU1380" s="84"/>
      <c r="BV1380" s="84"/>
      <c r="BW1380" s="84"/>
      <c r="BX1380" s="84"/>
      <c r="BY1380" s="84"/>
      <c r="BZ1380" s="84"/>
      <c r="CA1380" s="84"/>
      <c r="CB1380" s="84"/>
      <c r="CC1380" s="84"/>
      <c r="CD1380" s="84"/>
      <c r="CE1380" s="84"/>
      <c r="CF1380" s="84"/>
      <c r="CG1380" s="84"/>
      <c r="CH1380" s="84"/>
      <c r="CI1380" s="84"/>
      <c r="CJ1380" s="84"/>
      <c r="CK1380" s="84"/>
      <c r="CL1380" s="84"/>
    </row>
    <row r="1381" spans="66:90" s="354" customFormat="1" x14ac:dyDescent="0.2">
      <c r="BN1381" s="84"/>
      <c r="BO1381" s="84"/>
      <c r="BP1381" s="84"/>
      <c r="BQ1381" s="84"/>
      <c r="BR1381" s="84"/>
      <c r="BS1381" s="84"/>
      <c r="BT1381" s="84"/>
      <c r="BU1381" s="84"/>
      <c r="BV1381" s="84"/>
      <c r="BW1381" s="84"/>
      <c r="BX1381" s="84"/>
      <c r="BY1381" s="84"/>
      <c r="BZ1381" s="84"/>
      <c r="CA1381" s="84"/>
      <c r="CB1381" s="84"/>
      <c r="CC1381" s="84"/>
      <c r="CD1381" s="84"/>
      <c r="CE1381" s="84"/>
      <c r="CF1381" s="84"/>
      <c r="CG1381" s="84"/>
      <c r="CH1381" s="84"/>
      <c r="CI1381" s="84"/>
      <c r="CJ1381" s="84"/>
      <c r="CK1381" s="84"/>
      <c r="CL1381" s="84"/>
    </row>
    <row r="1382" spans="66:90" s="354" customFormat="1" x14ac:dyDescent="0.2">
      <c r="BN1382" s="84"/>
      <c r="BO1382" s="84"/>
      <c r="BP1382" s="84"/>
      <c r="BQ1382" s="84"/>
      <c r="BR1382" s="84"/>
      <c r="BS1382" s="84"/>
      <c r="BT1382" s="84"/>
      <c r="BU1382" s="84"/>
      <c r="BV1382" s="84"/>
      <c r="BW1382" s="84"/>
      <c r="BX1382" s="84"/>
      <c r="BY1382" s="84"/>
      <c r="BZ1382" s="84"/>
      <c r="CA1382" s="84"/>
      <c r="CB1382" s="84"/>
      <c r="CC1382" s="84"/>
      <c r="CD1382" s="84"/>
      <c r="CE1382" s="84"/>
      <c r="CF1382" s="84"/>
      <c r="CG1382" s="84"/>
      <c r="CH1382" s="84"/>
      <c r="CI1382" s="84"/>
      <c r="CJ1382" s="84"/>
      <c r="CK1382" s="84"/>
      <c r="CL1382" s="84"/>
    </row>
    <row r="1383" spans="66:90" s="354" customFormat="1" x14ac:dyDescent="0.2">
      <c r="BN1383" s="84"/>
      <c r="BO1383" s="84"/>
      <c r="BP1383" s="84"/>
      <c r="BQ1383" s="84"/>
      <c r="BR1383" s="84"/>
      <c r="BS1383" s="84"/>
      <c r="BT1383" s="84"/>
      <c r="BU1383" s="84"/>
      <c r="BV1383" s="84"/>
      <c r="BW1383" s="84"/>
      <c r="BX1383" s="84"/>
      <c r="BY1383" s="84"/>
      <c r="BZ1383" s="84"/>
      <c r="CA1383" s="84"/>
      <c r="CB1383" s="84"/>
      <c r="CC1383" s="84"/>
      <c r="CD1383" s="84"/>
      <c r="CE1383" s="84"/>
      <c r="CF1383" s="84"/>
      <c r="CG1383" s="84"/>
      <c r="CH1383" s="84"/>
      <c r="CI1383" s="84"/>
      <c r="CJ1383" s="84"/>
      <c r="CK1383" s="84"/>
      <c r="CL1383" s="84"/>
    </row>
    <row r="1384" spans="66:90" s="354" customFormat="1" x14ac:dyDescent="0.2">
      <c r="BN1384" s="84"/>
      <c r="BO1384" s="84"/>
      <c r="BP1384" s="84"/>
      <c r="BQ1384" s="84"/>
      <c r="BR1384" s="84"/>
      <c r="BS1384" s="84"/>
      <c r="BT1384" s="84"/>
      <c r="BU1384" s="84"/>
      <c r="BV1384" s="84"/>
      <c r="BW1384" s="84"/>
      <c r="BX1384" s="84"/>
      <c r="BY1384" s="84"/>
      <c r="BZ1384" s="84"/>
      <c r="CA1384" s="84"/>
      <c r="CB1384" s="84"/>
      <c r="CC1384" s="84"/>
      <c r="CD1384" s="84"/>
      <c r="CE1384" s="84"/>
      <c r="CF1384" s="84"/>
      <c r="CG1384" s="84"/>
      <c r="CH1384" s="84"/>
      <c r="CI1384" s="84"/>
      <c r="CJ1384" s="84"/>
      <c r="CK1384" s="84"/>
      <c r="CL1384" s="84"/>
    </row>
    <row r="1385" spans="66:90" s="354" customFormat="1" x14ac:dyDescent="0.2">
      <c r="BN1385" s="84"/>
      <c r="BO1385" s="84"/>
      <c r="BP1385" s="84"/>
      <c r="BQ1385" s="84"/>
      <c r="BR1385" s="84"/>
      <c r="BS1385" s="84"/>
      <c r="BT1385" s="84"/>
      <c r="BU1385" s="84"/>
      <c r="BV1385" s="84"/>
      <c r="BW1385" s="84"/>
      <c r="BX1385" s="84"/>
      <c r="BY1385" s="84"/>
      <c r="BZ1385" s="84"/>
      <c r="CA1385" s="84"/>
      <c r="CB1385" s="84"/>
      <c r="CC1385" s="84"/>
      <c r="CD1385" s="84"/>
      <c r="CE1385" s="84"/>
      <c r="CF1385" s="84"/>
      <c r="CG1385" s="84"/>
      <c r="CH1385" s="84"/>
      <c r="CI1385" s="84"/>
      <c r="CJ1385" s="84"/>
      <c r="CK1385" s="84"/>
      <c r="CL1385" s="84"/>
    </row>
    <row r="1386" spans="66:90" s="354" customFormat="1" x14ac:dyDescent="0.2">
      <c r="BN1386" s="84"/>
      <c r="BO1386" s="84"/>
      <c r="BP1386" s="84"/>
      <c r="BQ1386" s="84"/>
      <c r="BR1386" s="84"/>
      <c r="BS1386" s="84"/>
      <c r="BT1386" s="84"/>
      <c r="BU1386" s="84"/>
      <c r="BV1386" s="84"/>
      <c r="BW1386" s="84"/>
      <c r="BX1386" s="84"/>
      <c r="BY1386" s="84"/>
      <c r="BZ1386" s="84"/>
      <c r="CA1386" s="84"/>
      <c r="CB1386" s="84"/>
      <c r="CC1386" s="84"/>
      <c r="CD1386" s="84"/>
      <c r="CE1386" s="84"/>
      <c r="CF1386" s="84"/>
      <c r="CG1386" s="84"/>
      <c r="CH1386" s="84"/>
      <c r="CI1386" s="84"/>
      <c r="CJ1386" s="84"/>
      <c r="CK1386" s="84"/>
      <c r="CL1386" s="84"/>
    </row>
    <row r="1387" spans="66:90" s="354" customFormat="1" x14ac:dyDescent="0.2">
      <c r="BN1387" s="84"/>
      <c r="BO1387" s="84"/>
      <c r="BP1387" s="84"/>
      <c r="BQ1387" s="84"/>
      <c r="BR1387" s="84"/>
      <c r="BS1387" s="84"/>
      <c r="BT1387" s="84"/>
      <c r="BU1387" s="84"/>
      <c r="BV1387" s="84"/>
      <c r="BW1387" s="84"/>
      <c r="BX1387" s="84"/>
      <c r="BY1387" s="84"/>
      <c r="BZ1387" s="84"/>
      <c r="CA1387" s="84"/>
      <c r="CB1387" s="84"/>
      <c r="CC1387" s="84"/>
      <c r="CD1387" s="84"/>
      <c r="CE1387" s="84"/>
      <c r="CF1387" s="84"/>
      <c r="CG1387" s="84"/>
      <c r="CH1387" s="84"/>
      <c r="CI1387" s="84"/>
      <c r="CJ1387" s="84"/>
      <c r="CK1387" s="84"/>
      <c r="CL1387" s="84"/>
    </row>
    <row r="1388" spans="66:90" s="354" customFormat="1" x14ac:dyDescent="0.2">
      <c r="BN1388" s="84"/>
      <c r="BO1388" s="84"/>
      <c r="BP1388" s="84"/>
      <c r="BQ1388" s="84"/>
      <c r="BR1388" s="84"/>
      <c r="BS1388" s="84"/>
      <c r="BT1388" s="84"/>
      <c r="BU1388" s="84"/>
      <c r="BV1388" s="84"/>
      <c r="BW1388" s="84"/>
      <c r="BX1388" s="84"/>
      <c r="BY1388" s="84"/>
      <c r="BZ1388" s="84"/>
      <c r="CA1388" s="84"/>
      <c r="CB1388" s="84"/>
      <c r="CC1388" s="84"/>
      <c r="CD1388" s="84"/>
      <c r="CE1388" s="84"/>
      <c r="CF1388" s="84"/>
      <c r="CG1388" s="84"/>
      <c r="CH1388" s="84"/>
      <c r="CI1388" s="84"/>
      <c r="CJ1388" s="84"/>
      <c r="CK1388" s="84"/>
      <c r="CL1388" s="84"/>
    </row>
    <row r="1389" spans="66:90" s="354" customFormat="1" x14ac:dyDescent="0.2">
      <c r="BN1389" s="84"/>
      <c r="BO1389" s="84"/>
      <c r="BP1389" s="84"/>
      <c r="BQ1389" s="84"/>
      <c r="BR1389" s="84"/>
      <c r="BS1389" s="84"/>
      <c r="BT1389" s="84"/>
      <c r="BU1389" s="84"/>
      <c r="BV1389" s="84"/>
      <c r="BW1389" s="84"/>
      <c r="BX1389" s="84"/>
      <c r="BY1389" s="84"/>
      <c r="BZ1389" s="84"/>
      <c r="CA1389" s="84"/>
      <c r="CB1389" s="84"/>
      <c r="CC1389" s="84"/>
      <c r="CD1389" s="84"/>
      <c r="CE1389" s="84"/>
      <c r="CF1389" s="84"/>
      <c r="CG1389" s="84"/>
      <c r="CH1389" s="84"/>
      <c r="CI1389" s="84"/>
      <c r="CJ1389" s="84"/>
      <c r="CK1389" s="84"/>
      <c r="CL1389" s="84"/>
    </row>
    <row r="1390" spans="66:90" s="354" customFormat="1" x14ac:dyDescent="0.2">
      <c r="BN1390" s="84"/>
      <c r="BO1390" s="84"/>
      <c r="BP1390" s="84"/>
      <c r="BQ1390" s="84"/>
      <c r="BR1390" s="84"/>
      <c r="BS1390" s="84"/>
      <c r="BT1390" s="84"/>
      <c r="BU1390" s="84"/>
      <c r="BV1390" s="84"/>
      <c r="BW1390" s="84"/>
      <c r="BX1390" s="84"/>
      <c r="BY1390" s="84"/>
      <c r="BZ1390" s="84"/>
      <c r="CA1390" s="84"/>
      <c r="CB1390" s="84"/>
      <c r="CC1390" s="84"/>
      <c r="CD1390" s="84"/>
      <c r="CE1390" s="84"/>
      <c r="CF1390" s="84"/>
      <c r="CG1390" s="84"/>
      <c r="CH1390" s="84"/>
      <c r="CI1390" s="84"/>
      <c r="CJ1390" s="84"/>
      <c r="CK1390" s="84"/>
      <c r="CL1390" s="84"/>
    </row>
    <row r="1391" spans="66:90" s="354" customFormat="1" x14ac:dyDescent="0.2">
      <c r="BN1391" s="84"/>
      <c r="BO1391" s="84"/>
      <c r="BP1391" s="84"/>
      <c r="BQ1391" s="84"/>
      <c r="BR1391" s="84"/>
      <c r="BS1391" s="84"/>
      <c r="BT1391" s="84"/>
      <c r="BU1391" s="84"/>
      <c r="BV1391" s="84"/>
      <c r="BW1391" s="84"/>
      <c r="BX1391" s="84"/>
      <c r="BY1391" s="84"/>
      <c r="BZ1391" s="84"/>
      <c r="CA1391" s="84"/>
      <c r="CB1391" s="84"/>
      <c r="CC1391" s="84"/>
      <c r="CD1391" s="84"/>
      <c r="CE1391" s="84"/>
      <c r="CF1391" s="84"/>
      <c r="CG1391" s="84"/>
      <c r="CH1391" s="84"/>
      <c r="CI1391" s="84"/>
      <c r="CJ1391" s="84"/>
      <c r="CK1391" s="84"/>
      <c r="CL1391" s="84"/>
    </row>
    <row r="1392" spans="66:90" s="354" customFormat="1" x14ac:dyDescent="0.2">
      <c r="BN1392" s="84"/>
      <c r="BO1392" s="84"/>
      <c r="BP1392" s="84"/>
      <c r="BQ1392" s="84"/>
      <c r="BR1392" s="84"/>
      <c r="BS1392" s="84"/>
      <c r="BT1392" s="84"/>
      <c r="BU1392" s="84"/>
      <c r="BV1392" s="84"/>
      <c r="BW1392" s="84"/>
      <c r="BX1392" s="84"/>
      <c r="BY1392" s="84"/>
      <c r="BZ1392" s="84"/>
      <c r="CA1392" s="84"/>
      <c r="CB1392" s="84"/>
      <c r="CC1392" s="84"/>
      <c r="CD1392" s="84"/>
      <c r="CE1392" s="84"/>
      <c r="CF1392" s="84"/>
      <c r="CG1392" s="84"/>
      <c r="CH1392" s="84"/>
      <c r="CI1392" s="84"/>
      <c r="CJ1392" s="84"/>
      <c r="CK1392" s="84"/>
      <c r="CL1392" s="84"/>
    </row>
    <row r="1393" spans="66:90" s="354" customFormat="1" x14ac:dyDescent="0.2">
      <c r="BN1393" s="84"/>
      <c r="BO1393" s="84"/>
      <c r="BP1393" s="84"/>
      <c r="BQ1393" s="84"/>
      <c r="BR1393" s="84"/>
      <c r="BS1393" s="84"/>
      <c r="BT1393" s="84"/>
      <c r="BU1393" s="84"/>
      <c r="BV1393" s="84"/>
      <c r="BW1393" s="84"/>
      <c r="BX1393" s="84"/>
      <c r="BY1393" s="84"/>
      <c r="BZ1393" s="84"/>
      <c r="CA1393" s="84"/>
      <c r="CB1393" s="84"/>
      <c r="CC1393" s="84"/>
      <c r="CD1393" s="84"/>
      <c r="CE1393" s="84"/>
      <c r="CF1393" s="84"/>
      <c r="CG1393" s="84"/>
      <c r="CH1393" s="84"/>
      <c r="CI1393" s="84"/>
      <c r="CJ1393" s="84"/>
      <c r="CK1393" s="84"/>
      <c r="CL1393" s="84"/>
    </row>
    <row r="1394" spans="66:90" s="354" customFormat="1" x14ac:dyDescent="0.2">
      <c r="BN1394" s="84"/>
      <c r="BO1394" s="84"/>
      <c r="BP1394" s="84"/>
      <c r="BQ1394" s="84"/>
      <c r="BR1394" s="84"/>
      <c r="BS1394" s="84"/>
      <c r="BT1394" s="84"/>
      <c r="BU1394" s="84"/>
      <c r="BV1394" s="84"/>
      <c r="BW1394" s="84"/>
      <c r="BX1394" s="84"/>
      <c r="BY1394" s="84"/>
      <c r="BZ1394" s="84"/>
      <c r="CA1394" s="84"/>
      <c r="CB1394" s="84"/>
      <c r="CC1394" s="84"/>
      <c r="CD1394" s="84"/>
      <c r="CE1394" s="84"/>
      <c r="CF1394" s="84"/>
      <c r="CG1394" s="84"/>
      <c r="CH1394" s="84"/>
      <c r="CI1394" s="84"/>
      <c r="CJ1394" s="84"/>
      <c r="CK1394" s="84"/>
      <c r="CL1394" s="84"/>
    </row>
    <row r="1395" spans="66:90" s="354" customFormat="1" x14ac:dyDescent="0.2">
      <c r="BN1395" s="84"/>
      <c r="BO1395" s="84"/>
      <c r="BP1395" s="84"/>
      <c r="BQ1395" s="84"/>
      <c r="BR1395" s="84"/>
      <c r="BS1395" s="84"/>
      <c r="BT1395" s="84"/>
      <c r="BU1395" s="84"/>
      <c r="BV1395" s="84"/>
      <c r="BW1395" s="84"/>
      <c r="BX1395" s="84"/>
      <c r="BY1395" s="84"/>
      <c r="BZ1395" s="84"/>
      <c r="CA1395" s="84"/>
      <c r="CB1395" s="84"/>
      <c r="CC1395" s="84"/>
      <c r="CD1395" s="84"/>
      <c r="CE1395" s="84"/>
      <c r="CF1395" s="84"/>
      <c r="CG1395" s="84"/>
      <c r="CH1395" s="84"/>
      <c r="CI1395" s="84"/>
      <c r="CJ1395" s="84"/>
      <c r="CK1395" s="84"/>
      <c r="CL1395" s="84"/>
    </row>
    <row r="1396" spans="66:90" s="354" customFormat="1" x14ac:dyDescent="0.2">
      <c r="BN1396" s="84"/>
      <c r="BO1396" s="84"/>
      <c r="BP1396" s="84"/>
      <c r="BQ1396" s="84"/>
      <c r="BR1396" s="84"/>
      <c r="BS1396" s="84"/>
      <c r="BT1396" s="84"/>
      <c r="BU1396" s="84"/>
      <c r="BV1396" s="84"/>
      <c r="BW1396" s="84"/>
      <c r="BX1396" s="84"/>
      <c r="BY1396" s="84"/>
      <c r="BZ1396" s="84"/>
      <c r="CA1396" s="84"/>
      <c r="CB1396" s="84"/>
      <c r="CC1396" s="84"/>
      <c r="CD1396" s="84"/>
      <c r="CE1396" s="84"/>
      <c r="CF1396" s="84"/>
      <c r="CG1396" s="84"/>
      <c r="CH1396" s="84"/>
      <c r="CI1396" s="84"/>
      <c r="CJ1396" s="84"/>
      <c r="CK1396" s="84"/>
      <c r="CL1396" s="84"/>
    </row>
    <row r="1397" spans="66:90" s="354" customFormat="1" x14ac:dyDescent="0.2">
      <c r="BN1397" s="84"/>
      <c r="BO1397" s="84"/>
      <c r="BP1397" s="84"/>
      <c r="BQ1397" s="84"/>
      <c r="BR1397" s="84"/>
      <c r="BS1397" s="84"/>
      <c r="BT1397" s="84"/>
      <c r="BU1397" s="84"/>
      <c r="BV1397" s="84"/>
      <c r="BW1397" s="84"/>
      <c r="BX1397" s="84"/>
      <c r="BY1397" s="84"/>
      <c r="BZ1397" s="84"/>
      <c r="CA1397" s="84"/>
      <c r="CB1397" s="84"/>
      <c r="CC1397" s="84"/>
      <c r="CD1397" s="84"/>
      <c r="CE1397" s="84"/>
      <c r="CF1397" s="84"/>
      <c r="CG1397" s="84"/>
      <c r="CH1397" s="84"/>
      <c r="CI1397" s="84"/>
      <c r="CJ1397" s="84"/>
      <c r="CK1397" s="84"/>
      <c r="CL1397" s="84"/>
    </row>
    <row r="1398" spans="66:90" s="354" customFormat="1" x14ac:dyDescent="0.2">
      <c r="BN1398" s="84"/>
      <c r="BO1398" s="84"/>
      <c r="BP1398" s="84"/>
      <c r="BQ1398" s="84"/>
      <c r="BR1398" s="84"/>
      <c r="BS1398" s="84"/>
      <c r="BT1398" s="84"/>
      <c r="BU1398" s="84"/>
      <c r="BV1398" s="84"/>
      <c r="BW1398" s="84"/>
      <c r="BX1398" s="84"/>
      <c r="BY1398" s="84"/>
      <c r="BZ1398" s="84"/>
      <c r="CA1398" s="84"/>
      <c r="CB1398" s="84"/>
      <c r="CC1398" s="84"/>
      <c r="CD1398" s="84"/>
      <c r="CE1398" s="84"/>
      <c r="CF1398" s="84"/>
      <c r="CG1398" s="84"/>
      <c r="CH1398" s="84"/>
      <c r="CI1398" s="84"/>
      <c r="CJ1398" s="84"/>
      <c r="CK1398" s="84"/>
      <c r="CL1398" s="84"/>
    </row>
    <row r="1399" spans="66:90" s="354" customFormat="1" x14ac:dyDescent="0.2">
      <c r="BN1399" s="84"/>
      <c r="BO1399" s="84"/>
      <c r="BP1399" s="84"/>
      <c r="BQ1399" s="84"/>
      <c r="BR1399" s="84"/>
      <c r="BS1399" s="84"/>
      <c r="BT1399" s="84"/>
      <c r="BU1399" s="84"/>
      <c r="BV1399" s="84"/>
      <c r="BW1399" s="84"/>
      <c r="BX1399" s="84"/>
      <c r="BY1399" s="84"/>
      <c r="BZ1399" s="84"/>
      <c r="CA1399" s="84"/>
      <c r="CB1399" s="84"/>
      <c r="CC1399" s="84"/>
      <c r="CD1399" s="84"/>
      <c r="CE1399" s="84"/>
      <c r="CF1399" s="84"/>
      <c r="CG1399" s="84"/>
      <c r="CH1399" s="84"/>
      <c r="CI1399" s="84"/>
      <c r="CJ1399" s="84"/>
      <c r="CK1399" s="84"/>
      <c r="CL1399" s="84"/>
    </row>
    <row r="1400" spans="66:90" s="354" customFormat="1" x14ac:dyDescent="0.2">
      <c r="BN1400" s="84"/>
      <c r="BO1400" s="84"/>
      <c r="BP1400" s="84"/>
      <c r="BQ1400" s="84"/>
      <c r="BR1400" s="84"/>
      <c r="BS1400" s="84"/>
      <c r="BT1400" s="84"/>
      <c r="BU1400" s="84"/>
      <c r="BV1400" s="84"/>
      <c r="BW1400" s="84"/>
      <c r="BX1400" s="84"/>
      <c r="BY1400" s="84"/>
      <c r="BZ1400" s="84"/>
      <c r="CA1400" s="84"/>
      <c r="CB1400" s="84"/>
      <c r="CC1400" s="84"/>
      <c r="CD1400" s="84"/>
      <c r="CE1400" s="84"/>
      <c r="CF1400" s="84"/>
      <c r="CG1400" s="84"/>
      <c r="CH1400" s="84"/>
      <c r="CI1400" s="84"/>
      <c r="CJ1400" s="84"/>
      <c r="CK1400" s="84"/>
      <c r="CL1400" s="84"/>
    </row>
    <row r="1401" spans="66:90" s="354" customFormat="1" x14ac:dyDescent="0.2">
      <c r="BN1401" s="84"/>
      <c r="BO1401" s="84"/>
      <c r="BP1401" s="84"/>
      <c r="BQ1401" s="84"/>
      <c r="BR1401" s="84"/>
      <c r="BS1401" s="84"/>
      <c r="BT1401" s="84"/>
      <c r="BU1401" s="84"/>
      <c r="BV1401" s="84"/>
      <c r="BW1401" s="84"/>
      <c r="BX1401" s="84"/>
      <c r="BY1401" s="84"/>
      <c r="BZ1401" s="84"/>
      <c r="CA1401" s="84"/>
      <c r="CB1401" s="84"/>
      <c r="CC1401" s="84"/>
      <c r="CD1401" s="84"/>
      <c r="CE1401" s="84"/>
      <c r="CF1401" s="84"/>
      <c r="CG1401" s="84"/>
      <c r="CH1401" s="84"/>
      <c r="CI1401" s="84"/>
      <c r="CJ1401" s="84"/>
      <c r="CK1401" s="84"/>
      <c r="CL1401" s="84"/>
    </row>
    <row r="1402" spans="66:90" s="354" customFormat="1" x14ac:dyDescent="0.2">
      <c r="BN1402" s="84"/>
      <c r="BO1402" s="84"/>
      <c r="BP1402" s="84"/>
      <c r="BQ1402" s="84"/>
      <c r="BR1402" s="84"/>
      <c r="BS1402" s="84"/>
      <c r="BT1402" s="84"/>
      <c r="BU1402" s="84"/>
      <c r="BV1402" s="84"/>
      <c r="BW1402" s="84"/>
      <c r="BX1402" s="84"/>
      <c r="BY1402" s="84"/>
      <c r="BZ1402" s="84"/>
      <c r="CA1402" s="84"/>
      <c r="CB1402" s="84"/>
      <c r="CC1402" s="84"/>
      <c r="CD1402" s="84"/>
      <c r="CE1402" s="84"/>
      <c r="CF1402" s="84"/>
      <c r="CG1402" s="84"/>
      <c r="CH1402" s="84"/>
      <c r="CI1402" s="84"/>
      <c r="CJ1402" s="84"/>
      <c r="CK1402" s="84"/>
      <c r="CL1402" s="84"/>
    </row>
    <row r="1403" spans="66:90" s="354" customFormat="1" x14ac:dyDescent="0.2">
      <c r="BN1403" s="84"/>
      <c r="BO1403" s="84"/>
      <c r="BP1403" s="84"/>
      <c r="BQ1403" s="84"/>
      <c r="BR1403" s="84"/>
      <c r="BS1403" s="84"/>
      <c r="BT1403" s="84"/>
      <c r="BU1403" s="84"/>
      <c r="BV1403" s="84"/>
      <c r="BW1403" s="84"/>
      <c r="BX1403" s="84"/>
      <c r="BY1403" s="84"/>
      <c r="BZ1403" s="84"/>
      <c r="CA1403" s="84"/>
      <c r="CB1403" s="84"/>
      <c r="CC1403" s="84"/>
      <c r="CD1403" s="84"/>
      <c r="CE1403" s="84"/>
      <c r="CF1403" s="84"/>
      <c r="CG1403" s="84"/>
      <c r="CH1403" s="84"/>
      <c r="CI1403" s="84"/>
      <c r="CJ1403" s="84"/>
      <c r="CK1403" s="84"/>
      <c r="CL1403" s="84"/>
    </row>
    <row r="1404" spans="66:90" s="354" customFormat="1" x14ac:dyDescent="0.2">
      <c r="BN1404" s="84"/>
      <c r="BO1404" s="84"/>
      <c r="BP1404" s="84"/>
      <c r="BQ1404" s="84"/>
      <c r="BR1404" s="84"/>
      <c r="BS1404" s="84"/>
      <c r="BT1404" s="84"/>
      <c r="BU1404" s="84"/>
      <c r="BV1404" s="84"/>
      <c r="BW1404" s="84"/>
      <c r="BX1404" s="84"/>
      <c r="BY1404" s="84"/>
      <c r="BZ1404" s="84"/>
      <c r="CA1404" s="84"/>
      <c r="CB1404" s="84"/>
      <c r="CC1404" s="84"/>
      <c r="CD1404" s="84"/>
      <c r="CE1404" s="84"/>
      <c r="CF1404" s="84"/>
      <c r="CG1404" s="84"/>
      <c r="CH1404" s="84"/>
      <c r="CI1404" s="84"/>
      <c r="CJ1404" s="84"/>
      <c r="CK1404" s="84"/>
      <c r="CL1404" s="84"/>
    </row>
    <row r="1405" spans="66:90" s="354" customFormat="1" x14ac:dyDescent="0.2">
      <c r="BN1405" s="84"/>
      <c r="BO1405" s="84"/>
      <c r="BP1405" s="84"/>
      <c r="BQ1405" s="84"/>
      <c r="BR1405" s="84"/>
      <c r="BS1405" s="84"/>
      <c r="BT1405" s="84"/>
      <c r="BU1405" s="84"/>
      <c r="BV1405" s="84"/>
      <c r="BW1405" s="84"/>
      <c r="BX1405" s="84"/>
      <c r="BY1405" s="84"/>
      <c r="BZ1405" s="84"/>
      <c r="CA1405" s="84"/>
      <c r="CB1405" s="84"/>
      <c r="CC1405" s="84"/>
      <c r="CD1405" s="84"/>
      <c r="CE1405" s="84"/>
      <c r="CF1405" s="84"/>
      <c r="CG1405" s="84"/>
      <c r="CH1405" s="84"/>
      <c r="CI1405" s="84"/>
      <c r="CJ1405" s="84"/>
      <c r="CK1405" s="84"/>
      <c r="CL1405" s="84"/>
    </row>
    <row r="1406" spans="66:90" s="354" customFormat="1" x14ac:dyDescent="0.2">
      <c r="BN1406" s="84"/>
      <c r="BO1406" s="84"/>
      <c r="BP1406" s="84"/>
      <c r="BQ1406" s="84"/>
      <c r="BR1406" s="84"/>
      <c r="BS1406" s="84"/>
      <c r="BT1406" s="84"/>
      <c r="BU1406" s="84"/>
      <c r="BV1406" s="84"/>
      <c r="BW1406" s="84"/>
      <c r="BX1406" s="84"/>
      <c r="BY1406" s="84"/>
      <c r="BZ1406" s="84"/>
      <c r="CA1406" s="84"/>
      <c r="CB1406" s="84"/>
      <c r="CC1406" s="84"/>
      <c r="CD1406" s="84"/>
      <c r="CE1406" s="84"/>
      <c r="CF1406" s="84"/>
      <c r="CG1406" s="84"/>
      <c r="CH1406" s="84"/>
      <c r="CI1406" s="84"/>
      <c r="CJ1406" s="84"/>
      <c r="CK1406" s="84"/>
      <c r="CL1406" s="84"/>
    </row>
    <row r="1407" spans="66:90" s="354" customFormat="1" x14ac:dyDescent="0.2">
      <c r="BN1407" s="84"/>
      <c r="BO1407" s="84"/>
      <c r="BP1407" s="84"/>
      <c r="BQ1407" s="84"/>
      <c r="BR1407" s="84"/>
      <c r="BS1407" s="84"/>
      <c r="BT1407" s="84"/>
      <c r="BU1407" s="84"/>
      <c r="BV1407" s="84"/>
      <c r="BW1407" s="84"/>
      <c r="BX1407" s="84"/>
      <c r="BY1407" s="84"/>
      <c r="BZ1407" s="84"/>
      <c r="CA1407" s="84"/>
      <c r="CB1407" s="84"/>
      <c r="CC1407" s="84"/>
      <c r="CD1407" s="84"/>
      <c r="CE1407" s="84"/>
      <c r="CF1407" s="84"/>
      <c r="CG1407" s="84"/>
      <c r="CH1407" s="84"/>
      <c r="CI1407" s="84"/>
      <c r="CJ1407" s="84"/>
      <c r="CK1407" s="84"/>
      <c r="CL1407" s="84"/>
    </row>
    <row r="1408" spans="66:90" s="354" customFormat="1" x14ac:dyDescent="0.2">
      <c r="BN1408" s="84"/>
      <c r="BO1408" s="84"/>
      <c r="BP1408" s="84"/>
      <c r="BQ1408" s="84"/>
      <c r="BR1408" s="84"/>
      <c r="BS1408" s="84"/>
      <c r="BT1408" s="84"/>
      <c r="BU1408" s="84"/>
      <c r="BV1408" s="84"/>
      <c r="BW1408" s="84"/>
      <c r="BX1408" s="84"/>
      <c r="BY1408" s="84"/>
      <c r="BZ1408" s="84"/>
      <c r="CA1408" s="84"/>
      <c r="CB1408" s="84"/>
      <c r="CC1408" s="84"/>
      <c r="CD1408" s="84"/>
      <c r="CE1408" s="84"/>
      <c r="CF1408" s="84"/>
      <c r="CG1408" s="84"/>
      <c r="CH1408" s="84"/>
      <c r="CI1408" s="84"/>
      <c r="CJ1408" s="84"/>
      <c r="CK1408" s="84"/>
      <c r="CL1408" s="84"/>
    </row>
    <row r="1409" spans="66:90" s="354" customFormat="1" x14ac:dyDescent="0.2">
      <c r="BN1409" s="84"/>
      <c r="BO1409" s="84"/>
      <c r="BP1409" s="84"/>
      <c r="BQ1409" s="84"/>
      <c r="BR1409" s="84"/>
      <c r="BS1409" s="84"/>
      <c r="BT1409" s="84"/>
      <c r="BU1409" s="84"/>
      <c r="BV1409" s="84"/>
      <c r="BW1409" s="84"/>
      <c r="BX1409" s="84"/>
      <c r="BY1409" s="84"/>
      <c r="BZ1409" s="84"/>
      <c r="CA1409" s="84"/>
      <c r="CB1409" s="84"/>
      <c r="CC1409" s="84"/>
      <c r="CD1409" s="84"/>
      <c r="CE1409" s="84"/>
      <c r="CF1409" s="84"/>
      <c r="CG1409" s="84"/>
      <c r="CH1409" s="84"/>
      <c r="CI1409" s="84"/>
      <c r="CJ1409" s="84"/>
      <c r="CK1409" s="84"/>
      <c r="CL1409" s="84"/>
    </row>
    <row r="1410" spans="66:90" s="354" customFormat="1" x14ac:dyDescent="0.2">
      <c r="BN1410" s="84"/>
      <c r="BO1410" s="84"/>
      <c r="BP1410" s="84"/>
      <c r="BQ1410" s="84"/>
      <c r="BR1410" s="84"/>
      <c r="BS1410" s="84"/>
      <c r="BT1410" s="84"/>
      <c r="BU1410" s="84"/>
      <c r="BV1410" s="84"/>
      <c r="BW1410" s="84"/>
      <c r="BX1410" s="84"/>
      <c r="BY1410" s="84"/>
      <c r="BZ1410" s="84"/>
      <c r="CA1410" s="84"/>
      <c r="CB1410" s="84"/>
      <c r="CC1410" s="84"/>
      <c r="CD1410" s="84"/>
      <c r="CE1410" s="84"/>
      <c r="CF1410" s="84"/>
      <c r="CG1410" s="84"/>
      <c r="CH1410" s="84"/>
      <c r="CI1410" s="84"/>
      <c r="CJ1410" s="84"/>
      <c r="CK1410" s="84"/>
      <c r="CL1410" s="84"/>
    </row>
    <row r="1411" spans="66:90" s="354" customFormat="1" x14ac:dyDescent="0.2">
      <c r="BN1411" s="84"/>
      <c r="BO1411" s="84"/>
      <c r="BP1411" s="84"/>
      <c r="BQ1411" s="84"/>
      <c r="BR1411" s="84"/>
      <c r="BS1411" s="84"/>
      <c r="BT1411" s="84"/>
      <c r="BU1411" s="84"/>
      <c r="BV1411" s="84"/>
      <c r="BW1411" s="84"/>
      <c r="BX1411" s="84"/>
      <c r="BY1411" s="84"/>
      <c r="BZ1411" s="84"/>
      <c r="CA1411" s="84"/>
      <c r="CB1411" s="84"/>
      <c r="CC1411" s="84"/>
      <c r="CD1411" s="84"/>
      <c r="CE1411" s="84"/>
      <c r="CF1411" s="84"/>
      <c r="CG1411" s="84"/>
      <c r="CH1411" s="84"/>
      <c r="CI1411" s="84"/>
      <c r="CJ1411" s="84"/>
      <c r="CK1411" s="84"/>
      <c r="CL1411" s="84"/>
    </row>
    <row r="1412" spans="66:90" s="354" customFormat="1" x14ac:dyDescent="0.2">
      <c r="BN1412" s="84"/>
      <c r="BO1412" s="84"/>
      <c r="BP1412" s="84"/>
      <c r="BQ1412" s="84"/>
      <c r="BR1412" s="84"/>
      <c r="BS1412" s="84"/>
      <c r="BT1412" s="84"/>
      <c r="BU1412" s="84"/>
      <c r="BV1412" s="84"/>
      <c r="BW1412" s="84"/>
      <c r="BX1412" s="84"/>
      <c r="BY1412" s="84"/>
      <c r="BZ1412" s="84"/>
      <c r="CA1412" s="84"/>
      <c r="CB1412" s="84"/>
      <c r="CC1412" s="84"/>
      <c r="CD1412" s="84"/>
      <c r="CE1412" s="84"/>
      <c r="CF1412" s="84"/>
      <c r="CG1412" s="84"/>
      <c r="CH1412" s="84"/>
      <c r="CI1412" s="84"/>
      <c r="CJ1412" s="84"/>
      <c r="CK1412" s="84"/>
      <c r="CL1412" s="84"/>
    </row>
    <row r="1413" spans="66:90" s="354" customFormat="1" x14ac:dyDescent="0.2">
      <c r="BN1413" s="84"/>
      <c r="BO1413" s="84"/>
      <c r="BP1413" s="84"/>
      <c r="BQ1413" s="84"/>
      <c r="BR1413" s="84"/>
      <c r="BS1413" s="84"/>
      <c r="BT1413" s="84"/>
      <c r="BU1413" s="84"/>
      <c r="BV1413" s="84"/>
      <c r="BW1413" s="84"/>
      <c r="BX1413" s="84"/>
      <c r="BY1413" s="84"/>
      <c r="BZ1413" s="84"/>
      <c r="CA1413" s="84"/>
      <c r="CB1413" s="84"/>
      <c r="CC1413" s="84"/>
      <c r="CD1413" s="84"/>
      <c r="CE1413" s="84"/>
      <c r="CF1413" s="84"/>
      <c r="CG1413" s="84"/>
      <c r="CH1413" s="84"/>
      <c r="CI1413" s="84"/>
      <c r="CJ1413" s="84"/>
      <c r="CK1413" s="84"/>
      <c r="CL1413" s="84"/>
    </row>
    <row r="1414" spans="66:90" s="354" customFormat="1" x14ac:dyDescent="0.2">
      <c r="BN1414" s="84"/>
      <c r="BO1414" s="84"/>
      <c r="BP1414" s="84"/>
      <c r="BQ1414" s="84"/>
      <c r="BR1414" s="84"/>
      <c r="BS1414" s="84"/>
      <c r="BT1414" s="84"/>
      <c r="BU1414" s="84"/>
      <c r="BV1414" s="84"/>
      <c r="BW1414" s="84"/>
      <c r="BX1414" s="84"/>
      <c r="BY1414" s="84"/>
      <c r="BZ1414" s="84"/>
      <c r="CA1414" s="84"/>
      <c r="CB1414" s="84"/>
      <c r="CC1414" s="84"/>
      <c r="CD1414" s="84"/>
      <c r="CE1414" s="84"/>
      <c r="CF1414" s="84"/>
      <c r="CG1414" s="84"/>
      <c r="CH1414" s="84"/>
      <c r="CI1414" s="84"/>
      <c r="CJ1414" s="84"/>
      <c r="CK1414" s="84"/>
      <c r="CL1414" s="84"/>
    </row>
    <row r="1415" spans="66:90" s="354" customFormat="1" x14ac:dyDescent="0.2">
      <c r="BN1415" s="84"/>
      <c r="BO1415" s="84"/>
      <c r="BP1415" s="84"/>
      <c r="BQ1415" s="84"/>
      <c r="BR1415" s="84"/>
      <c r="BS1415" s="84"/>
      <c r="BT1415" s="84"/>
      <c r="BU1415" s="84"/>
      <c r="BV1415" s="84"/>
      <c r="BW1415" s="84"/>
      <c r="BX1415" s="84"/>
      <c r="BY1415" s="84"/>
      <c r="BZ1415" s="84"/>
      <c r="CA1415" s="84"/>
      <c r="CB1415" s="84"/>
      <c r="CC1415" s="84"/>
      <c r="CD1415" s="84"/>
      <c r="CE1415" s="84"/>
      <c r="CF1415" s="84"/>
      <c r="CG1415" s="84"/>
      <c r="CH1415" s="84"/>
      <c r="CI1415" s="84"/>
      <c r="CJ1415" s="84"/>
      <c r="CK1415" s="84"/>
      <c r="CL1415" s="84"/>
    </row>
    <row r="1416" spans="66:90" s="354" customFormat="1" x14ac:dyDescent="0.2">
      <c r="BN1416" s="84"/>
      <c r="BO1416" s="84"/>
      <c r="BP1416" s="84"/>
      <c r="BQ1416" s="84"/>
      <c r="BR1416" s="84"/>
      <c r="BS1416" s="84"/>
      <c r="BT1416" s="84"/>
      <c r="BU1416" s="84"/>
      <c r="BV1416" s="84"/>
      <c r="BW1416" s="84"/>
      <c r="BX1416" s="84"/>
      <c r="BY1416" s="84"/>
      <c r="BZ1416" s="84"/>
      <c r="CA1416" s="84"/>
      <c r="CB1416" s="84"/>
      <c r="CC1416" s="84"/>
      <c r="CD1416" s="84"/>
      <c r="CE1416" s="84"/>
      <c r="CF1416" s="84"/>
      <c r="CG1416" s="84"/>
      <c r="CH1416" s="84"/>
      <c r="CI1416" s="84"/>
      <c r="CJ1416" s="84"/>
      <c r="CK1416" s="84"/>
      <c r="CL1416" s="84"/>
    </row>
    <row r="1417" spans="66:90" s="354" customFormat="1" x14ac:dyDescent="0.2">
      <c r="BN1417" s="84"/>
      <c r="BO1417" s="84"/>
      <c r="BP1417" s="84"/>
      <c r="BQ1417" s="84"/>
      <c r="BR1417" s="84"/>
      <c r="BS1417" s="84"/>
      <c r="BT1417" s="84"/>
      <c r="BU1417" s="84"/>
      <c r="BV1417" s="84"/>
      <c r="BW1417" s="84"/>
      <c r="BX1417" s="84"/>
      <c r="BY1417" s="84"/>
      <c r="BZ1417" s="84"/>
      <c r="CA1417" s="84"/>
      <c r="CB1417" s="84"/>
      <c r="CC1417" s="84"/>
      <c r="CD1417" s="84"/>
      <c r="CE1417" s="84"/>
      <c r="CF1417" s="84"/>
      <c r="CG1417" s="84"/>
      <c r="CH1417" s="84"/>
      <c r="CI1417" s="84"/>
      <c r="CJ1417" s="84"/>
      <c r="CK1417" s="84"/>
      <c r="CL1417" s="84"/>
    </row>
    <row r="1418" spans="66:90" s="354" customFormat="1" x14ac:dyDescent="0.2">
      <c r="BN1418" s="84"/>
      <c r="BO1418" s="84"/>
      <c r="BP1418" s="84"/>
      <c r="BQ1418" s="84"/>
      <c r="BR1418" s="84"/>
      <c r="BS1418" s="84"/>
      <c r="BT1418" s="84"/>
      <c r="BU1418" s="84"/>
      <c r="BV1418" s="84"/>
      <c r="BW1418" s="84"/>
      <c r="BX1418" s="84"/>
      <c r="BY1418" s="84"/>
      <c r="BZ1418" s="84"/>
      <c r="CA1418" s="84"/>
      <c r="CB1418" s="84"/>
      <c r="CC1418" s="84"/>
      <c r="CD1418" s="84"/>
      <c r="CE1418" s="84"/>
      <c r="CF1418" s="84"/>
      <c r="CG1418" s="84"/>
      <c r="CH1418" s="84"/>
      <c r="CI1418" s="84"/>
      <c r="CJ1418" s="84"/>
      <c r="CK1418" s="84"/>
      <c r="CL1418" s="84"/>
    </row>
    <row r="1419" spans="66:90" s="354" customFormat="1" x14ac:dyDescent="0.2">
      <c r="BN1419" s="84"/>
      <c r="BO1419" s="84"/>
      <c r="BP1419" s="84"/>
      <c r="BQ1419" s="84"/>
      <c r="BR1419" s="84"/>
      <c r="BS1419" s="84"/>
      <c r="BT1419" s="84"/>
      <c r="BU1419" s="84"/>
      <c r="BV1419" s="84"/>
      <c r="BW1419" s="84"/>
      <c r="BX1419" s="84"/>
      <c r="BY1419" s="84"/>
      <c r="BZ1419" s="84"/>
      <c r="CA1419" s="84"/>
      <c r="CB1419" s="84"/>
      <c r="CC1419" s="84"/>
      <c r="CD1419" s="84"/>
      <c r="CE1419" s="84"/>
      <c r="CF1419" s="84"/>
      <c r="CG1419" s="84"/>
      <c r="CH1419" s="84"/>
      <c r="CI1419" s="84"/>
      <c r="CJ1419" s="84"/>
      <c r="CK1419" s="84"/>
      <c r="CL1419" s="84"/>
    </row>
    <row r="1420" spans="66:90" s="354" customFormat="1" x14ac:dyDescent="0.2">
      <c r="BN1420" s="84"/>
      <c r="BO1420" s="84"/>
      <c r="BP1420" s="84"/>
      <c r="BQ1420" s="84"/>
      <c r="BR1420" s="84"/>
      <c r="BS1420" s="84"/>
      <c r="BT1420" s="84"/>
      <c r="BU1420" s="84"/>
      <c r="BV1420" s="84"/>
      <c r="BW1420" s="84"/>
      <c r="BX1420" s="84"/>
      <c r="BY1420" s="84"/>
      <c r="BZ1420" s="84"/>
      <c r="CA1420" s="84"/>
      <c r="CB1420" s="84"/>
      <c r="CC1420" s="84"/>
      <c r="CD1420" s="84"/>
      <c r="CE1420" s="84"/>
      <c r="CF1420" s="84"/>
      <c r="CG1420" s="84"/>
      <c r="CH1420" s="84"/>
      <c r="CI1420" s="84"/>
      <c r="CJ1420" s="84"/>
      <c r="CK1420" s="84"/>
      <c r="CL1420" s="84"/>
    </row>
    <row r="1421" spans="66:90" s="354" customFormat="1" x14ac:dyDescent="0.2">
      <c r="BN1421" s="84"/>
      <c r="BO1421" s="84"/>
      <c r="BP1421" s="84"/>
      <c r="BQ1421" s="84"/>
      <c r="BR1421" s="84"/>
      <c r="BS1421" s="84"/>
      <c r="BT1421" s="84"/>
      <c r="BU1421" s="84"/>
      <c r="BV1421" s="84"/>
      <c r="BW1421" s="84"/>
      <c r="BX1421" s="84"/>
      <c r="BY1421" s="84"/>
      <c r="BZ1421" s="84"/>
      <c r="CA1421" s="84"/>
      <c r="CB1421" s="84"/>
      <c r="CC1421" s="84"/>
      <c r="CD1421" s="84"/>
      <c r="CE1421" s="84"/>
      <c r="CF1421" s="84"/>
      <c r="CG1421" s="84"/>
      <c r="CH1421" s="84"/>
      <c r="CI1421" s="84"/>
      <c r="CJ1421" s="84"/>
      <c r="CK1421" s="84"/>
      <c r="CL1421" s="84"/>
    </row>
    <row r="1422" spans="66:90" s="354" customFormat="1" x14ac:dyDescent="0.2">
      <c r="BN1422" s="84"/>
      <c r="BO1422" s="84"/>
      <c r="BP1422" s="84"/>
      <c r="BQ1422" s="84"/>
      <c r="BR1422" s="84"/>
      <c r="BS1422" s="84"/>
      <c r="BT1422" s="84"/>
      <c r="BU1422" s="84"/>
      <c r="BV1422" s="84"/>
      <c r="BW1422" s="84"/>
      <c r="BX1422" s="84"/>
      <c r="BY1422" s="84"/>
      <c r="BZ1422" s="84"/>
      <c r="CA1422" s="84"/>
      <c r="CB1422" s="84"/>
      <c r="CC1422" s="84"/>
      <c r="CD1422" s="84"/>
      <c r="CE1422" s="84"/>
      <c r="CF1422" s="84"/>
      <c r="CG1422" s="84"/>
      <c r="CH1422" s="84"/>
      <c r="CI1422" s="84"/>
      <c r="CJ1422" s="84"/>
      <c r="CK1422" s="84"/>
      <c r="CL1422" s="84"/>
    </row>
    <row r="1423" spans="66:90" s="354" customFormat="1" x14ac:dyDescent="0.2">
      <c r="BN1423" s="84"/>
      <c r="BO1423" s="84"/>
      <c r="BP1423" s="84"/>
      <c r="BQ1423" s="84"/>
      <c r="BR1423" s="84"/>
      <c r="BS1423" s="84"/>
      <c r="BT1423" s="84"/>
      <c r="BU1423" s="84"/>
      <c r="BV1423" s="84"/>
      <c r="BW1423" s="84"/>
      <c r="BX1423" s="84"/>
      <c r="BY1423" s="84"/>
      <c r="BZ1423" s="84"/>
      <c r="CA1423" s="84"/>
      <c r="CB1423" s="84"/>
      <c r="CC1423" s="84"/>
      <c r="CD1423" s="84"/>
      <c r="CE1423" s="84"/>
      <c r="CF1423" s="84"/>
      <c r="CG1423" s="84"/>
      <c r="CH1423" s="84"/>
      <c r="CI1423" s="84"/>
      <c r="CJ1423" s="84"/>
      <c r="CK1423" s="84"/>
      <c r="CL1423" s="84"/>
    </row>
    <row r="1424" spans="66:90" s="354" customFormat="1" x14ac:dyDescent="0.2">
      <c r="BN1424" s="84"/>
      <c r="BO1424" s="84"/>
      <c r="BP1424" s="84"/>
      <c r="BQ1424" s="84"/>
      <c r="BR1424" s="84"/>
      <c r="BS1424" s="84"/>
      <c r="BT1424" s="84"/>
      <c r="BU1424" s="84"/>
      <c r="BV1424" s="84"/>
      <c r="BW1424" s="84"/>
      <c r="BX1424" s="84"/>
      <c r="BY1424" s="84"/>
      <c r="BZ1424" s="84"/>
      <c r="CA1424" s="84"/>
      <c r="CB1424" s="84"/>
      <c r="CC1424" s="84"/>
      <c r="CD1424" s="84"/>
      <c r="CE1424" s="84"/>
      <c r="CF1424" s="84"/>
      <c r="CG1424" s="84"/>
      <c r="CH1424" s="84"/>
      <c r="CI1424" s="84"/>
      <c r="CJ1424" s="84"/>
      <c r="CK1424" s="84"/>
      <c r="CL1424" s="84"/>
    </row>
    <row r="1425" spans="66:90" s="354" customFormat="1" x14ac:dyDescent="0.2">
      <c r="BN1425" s="84"/>
      <c r="BO1425" s="84"/>
      <c r="BP1425" s="84"/>
      <c r="BQ1425" s="84"/>
      <c r="BR1425" s="84"/>
      <c r="BS1425" s="84"/>
      <c r="BT1425" s="84"/>
      <c r="BU1425" s="84"/>
      <c r="BV1425" s="84"/>
      <c r="BW1425" s="84"/>
      <c r="BX1425" s="84"/>
      <c r="BY1425" s="84"/>
      <c r="BZ1425" s="84"/>
      <c r="CA1425" s="84"/>
      <c r="CB1425" s="84"/>
      <c r="CC1425" s="84"/>
      <c r="CD1425" s="84"/>
      <c r="CE1425" s="84"/>
      <c r="CF1425" s="84"/>
      <c r="CG1425" s="84"/>
      <c r="CH1425" s="84"/>
      <c r="CI1425" s="84"/>
      <c r="CJ1425" s="84"/>
      <c r="CK1425" s="84"/>
      <c r="CL1425" s="84"/>
    </row>
    <row r="1426" spans="66:90" s="354" customFormat="1" x14ac:dyDescent="0.2">
      <c r="BN1426" s="84"/>
      <c r="BO1426" s="84"/>
      <c r="BP1426" s="84"/>
      <c r="BQ1426" s="84"/>
      <c r="BR1426" s="84"/>
      <c r="BS1426" s="84"/>
      <c r="BT1426" s="84"/>
      <c r="BU1426" s="84"/>
      <c r="BV1426" s="84"/>
      <c r="BW1426" s="84"/>
      <c r="BX1426" s="84"/>
      <c r="BY1426" s="84"/>
      <c r="BZ1426" s="84"/>
      <c r="CA1426" s="84"/>
      <c r="CB1426" s="84"/>
      <c r="CC1426" s="84"/>
      <c r="CD1426" s="84"/>
      <c r="CE1426" s="84"/>
      <c r="CF1426" s="84"/>
      <c r="CG1426" s="84"/>
      <c r="CH1426" s="84"/>
      <c r="CI1426" s="84"/>
      <c r="CJ1426" s="84"/>
      <c r="CK1426" s="84"/>
      <c r="CL1426" s="84"/>
    </row>
    <row r="1427" spans="66:90" s="354" customFormat="1" x14ac:dyDescent="0.2">
      <c r="BN1427" s="84"/>
      <c r="BO1427" s="84"/>
      <c r="BP1427" s="84"/>
      <c r="BQ1427" s="84"/>
      <c r="BR1427" s="84"/>
      <c r="BS1427" s="84"/>
      <c r="BT1427" s="84"/>
      <c r="BU1427" s="84"/>
      <c r="BV1427" s="84"/>
      <c r="BW1427" s="84"/>
      <c r="BX1427" s="84"/>
      <c r="BY1427" s="84"/>
      <c r="BZ1427" s="84"/>
      <c r="CA1427" s="84"/>
      <c r="CB1427" s="84"/>
      <c r="CC1427" s="84"/>
      <c r="CD1427" s="84"/>
      <c r="CE1427" s="84"/>
      <c r="CF1427" s="84"/>
      <c r="CG1427" s="84"/>
      <c r="CH1427" s="84"/>
      <c r="CI1427" s="84"/>
      <c r="CJ1427" s="84"/>
      <c r="CK1427" s="84"/>
      <c r="CL1427" s="84"/>
    </row>
    <row r="1428" spans="66:90" s="354" customFormat="1" x14ac:dyDescent="0.2">
      <c r="BN1428" s="84"/>
      <c r="BO1428" s="84"/>
      <c r="BP1428" s="84"/>
      <c r="BQ1428" s="84"/>
      <c r="BR1428" s="84"/>
      <c r="BS1428" s="84"/>
      <c r="BT1428" s="84"/>
      <c r="BU1428" s="84"/>
      <c r="BV1428" s="84"/>
      <c r="BW1428" s="84"/>
      <c r="BX1428" s="84"/>
      <c r="BY1428" s="84"/>
      <c r="BZ1428" s="84"/>
      <c r="CA1428" s="84"/>
      <c r="CB1428" s="84"/>
      <c r="CC1428" s="84"/>
      <c r="CD1428" s="84"/>
      <c r="CE1428" s="84"/>
      <c r="CF1428" s="84"/>
      <c r="CG1428" s="84"/>
      <c r="CH1428" s="84"/>
      <c r="CI1428" s="84"/>
      <c r="CJ1428" s="84"/>
      <c r="CK1428" s="84"/>
      <c r="CL1428" s="84"/>
    </row>
    <row r="1429" spans="66:90" s="354" customFormat="1" x14ac:dyDescent="0.2">
      <c r="BN1429" s="84"/>
      <c r="BO1429" s="84"/>
      <c r="BP1429" s="84"/>
      <c r="BQ1429" s="84"/>
      <c r="BR1429" s="84"/>
      <c r="BS1429" s="84"/>
      <c r="BT1429" s="84"/>
      <c r="BU1429" s="84"/>
      <c r="BV1429" s="84"/>
      <c r="BW1429" s="84"/>
      <c r="BX1429" s="84"/>
      <c r="BY1429" s="84"/>
      <c r="BZ1429" s="84"/>
      <c r="CA1429" s="84"/>
      <c r="CB1429" s="84"/>
      <c r="CC1429" s="84"/>
      <c r="CD1429" s="84"/>
      <c r="CE1429" s="84"/>
      <c r="CF1429" s="84"/>
      <c r="CG1429" s="84"/>
      <c r="CH1429" s="84"/>
      <c r="CI1429" s="84"/>
      <c r="CJ1429" s="84"/>
      <c r="CK1429" s="84"/>
      <c r="CL1429" s="84"/>
    </row>
    <row r="1430" spans="66:90" s="354" customFormat="1" x14ac:dyDescent="0.2">
      <c r="BN1430" s="84"/>
      <c r="BO1430" s="84"/>
      <c r="BP1430" s="84"/>
      <c r="BQ1430" s="84"/>
      <c r="BR1430" s="84"/>
      <c r="BS1430" s="84"/>
      <c r="BT1430" s="84"/>
      <c r="BU1430" s="84"/>
      <c r="BV1430" s="84"/>
      <c r="BW1430" s="84"/>
      <c r="BX1430" s="84"/>
      <c r="BY1430" s="84"/>
      <c r="BZ1430" s="84"/>
      <c r="CA1430" s="84"/>
      <c r="CB1430" s="84"/>
      <c r="CC1430" s="84"/>
      <c r="CD1430" s="84"/>
      <c r="CE1430" s="84"/>
      <c r="CF1430" s="84"/>
      <c r="CG1430" s="84"/>
      <c r="CH1430" s="84"/>
      <c r="CI1430" s="84"/>
      <c r="CJ1430" s="84"/>
      <c r="CK1430" s="84"/>
      <c r="CL1430" s="84"/>
    </row>
    <row r="1431" spans="66:90" s="354" customFormat="1" x14ac:dyDescent="0.2">
      <c r="BN1431" s="84"/>
      <c r="BO1431" s="84"/>
      <c r="BP1431" s="84"/>
      <c r="BQ1431" s="84"/>
      <c r="BR1431" s="84"/>
      <c r="BS1431" s="84"/>
      <c r="BT1431" s="84"/>
      <c r="BU1431" s="84"/>
      <c r="BV1431" s="84"/>
      <c r="BW1431" s="84"/>
      <c r="BX1431" s="84"/>
      <c r="BY1431" s="84"/>
      <c r="BZ1431" s="84"/>
      <c r="CA1431" s="84"/>
      <c r="CB1431" s="84"/>
      <c r="CC1431" s="84"/>
      <c r="CD1431" s="84"/>
      <c r="CE1431" s="84"/>
      <c r="CF1431" s="84"/>
      <c r="CG1431" s="84"/>
      <c r="CH1431" s="84"/>
      <c r="CI1431" s="84"/>
      <c r="CJ1431" s="84"/>
      <c r="CK1431" s="84"/>
      <c r="CL1431" s="84"/>
    </row>
    <row r="1432" spans="66:90" s="354" customFormat="1" x14ac:dyDescent="0.2">
      <c r="BN1432" s="84"/>
      <c r="BO1432" s="84"/>
      <c r="BP1432" s="84"/>
      <c r="BQ1432" s="84"/>
      <c r="BR1432" s="84"/>
      <c r="BS1432" s="84"/>
      <c r="BT1432" s="84"/>
      <c r="BU1432" s="84"/>
      <c r="BV1432" s="84"/>
      <c r="BW1432" s="84"/>
      <c r="BX1432" s="84"/>
      <c r="BY1432" s="84"/>
      <c r="BZ1432" s="84"/>
      <c r="CA1432" s="84"/>
      <c r="CB1432" s="84"/>
      <c r="CC1432" s="84"/>
      <c r="CD1432" s="84"/>
      <c r="CE1432" s="84"/>
      <c r="CF1432" s="84"/>
      <c r="CG1432" s="84"/>
      <c r="CH1432" s="84"/>
      <c r="CI1432" s="84"/>
      <c r="CJ1432" s="84"/>
      <c r="CK1432" s="84"/>
      <c r="CL1432" s="84"/>
    </row>
    <row r="1433" spans="66:90" s="354" customFormat="1" x14ac:dyDescent="0.2">
      <c r="BN1433" s="84"/>
      <c r="BO1433" s="84"/>
      <c r="BP1433" s="84"/>
      <c r="BQ1433" s="84"/>
      <c r="BR1433" s="84"/>
      <c r="BS1433" s="84"/>
      <c r="BT1433" s="84"/>
      <c r="BU1433" s="84"/>
      <c r="BV1433" s="84"/>
      <c r="BW1433" s="84"/>
      <c r="BX1433" s="84"/>
      <c r="BY1433" s="84"/>
      <c r="BZ1433" s="84"/>
      <c r="CA1433" s="84"/>
      <c r="CB1433" s="84"/>
      <c r="CC1433" s="84"/>
      <c r="CD1433" s="84"/>
      <c r="CE1433" s="84"/>
      <c r="CF1433" s="84"/>
      <c r="CG1433" s="84"/>
      <c r="CH1433" s="84"/>
      <c r="CI1433" s="84"/>
      <c r="CJ1433" s="84"/>
      <c r="CK1433" s="84"/>
      <c r="CL1433" s="84"/>
    </row>
    <row r="1434" spans="66:90" s="354" customFormat="1" x14ac:dyDescent="0.2">
      <c r="BN1434" s="84"/>
      <c r="BO1434" s="84"/>
      <c r="BP1434" s="84"/>
      <c r="BQ1434" s="84"/>
      <c r="BR1434" s="84"/>
      <c r="BS1434" s="84"/>
      <c r="BT1434" s="84"/>
      <c r="BU1434" s="84"/>
      <c r="BV1434" s="84"/>
      <c r="BW1434" s="84"/>
      <c r="BX1434" s="84"/>
      <c r="BY1434" s="84"/>
      <c r="BZ1434" s="84"/>
      <c r="CA1434" s="84"/>
      <c r="CB1434" s="84"/>
      <c r="CC1434" s="84"/>
      <c r="CD1434" s="84"/>
      <c r="CE1434" s="84"/>
      <c r="CF1434" s="84"/>
      <c r="CG1434" s="84"/>
      <c r="CH1434" s="84"/>
      <c r="CI1434" s="84"/>
      <c r="CJ1434" s="84"/>
      <c r="CK1434" s="84"/>
      <c r="CL1434" s="84"/>
    </row>
    <row r="1435" spans="66:90" s="354" customFormat="1" x14ac:dyDescent="0.2">
      <c r="BN1435" s="84"/>
      <c r="BO1435" s="84"/>
      <c r="BP1435" s="84"/>
      <c r="BQ1435" s="84"/>
      <c r="BR1435" s="84"/>
      <c r="BS1435" s="84"/>
      <c r="BT1435" s="84"/>
      <c r="BU1435" s="84"/>
      <c r="BV1435" s="84"/>
      <c r="BW1435" s="84"/>
      <c r="BX1435" s="84"/>
      <c r="BY1435" s="84"/>
      <c r="BZ1435" s="84"/>
      <c r="CA1435" s="84"/>
      <c r="CB1435" s="84"/>
      <c r="CC1435" s="84"/>
      <c r="CD1435" s="84"/>
      <c r="CE1435" s="84"/>
      <c r="CF1435" s="84"/>
      <c r="CG1435" s="84"/>
      <c r="CH1435" s="84"/>
      <c r="CI1435" s="84"/>
      <c r="CJ1435" s="84"/>
      <c r="CK1435" s="84"/>
      <c r="CL1435" s="84"/>
    </row>
    <row r="1436" spans="66:90" s="354" customFormat="1" x14ac:dyDescent="0.2">
      <c r="BN1436" s="84"/>
      <c r="BO1436" s="84"/>
      <c r="BP1436" s="84"/>
      <c r="BQ1436" s="84"/>
      <c r="BR1436" s="84"/>
      <c r="BS1436" s="84"/>
      <c r="BT1436" s="84"/>
      <c r="BU1436" s="84"/>
      <c r="BV1436" s="84"/>
      <c r="BW1436" s="84"/>
      <c r="BX1436" s="84"/>
      <c r="BY1436" s="84"/>
      <c r="BZ1436" s="84"/>
      <c r="CA1436" s="84"/>
      <c r="CB1436" s="84"/>
      <c r="CC1436" s="84"/>
      <c r="CD1436" s="84"/>
      <c r="CE1436" s="84"/>
      <c r="CF1436" s="84"/>
      <c r="CG1436" s="84"/>
      <c r="CH1436" s="84"/>
      <c r="CI1436" s="84"/>
      <c r="CJ1436" s="84"/>
      <c r="CK1436" s="84"/>
      <c r="CL1436" s="84"/>
    </row>
    <row r="1437" spans="66:90" s="354" customFormat="1" x14ac:dyDescent="0.2">
      <c r="BN1437" s="84"/>
      <c r="BO1437" s="84"/>
      <c r="BP1437" s="84"/>
      <c r="BQ1437" s="84"/>
      <c r="BR1437" s="84"/>
      <c r="BS1437" s="84"/>
      <c r="BT1437" s="84"/>
      <c r="BU1437" s="84"/>
      <c r="BV1437" s="84"/>
      <c r="BW1437" s="84"/>
      <c r="BX1437" s="84"/>
      <c r="BY1437" s="84"/>
      <c r="BZ1437" s="84"/>
      <c r="CA1437" s="84"/>
      <c r="CB1437" s="84"/>
      <c r="CC1437" s="84"/>
      <c r="CD1437" s="84"/>
      <c r="CE1437" s="84"/>
      <c r="CF1437" s="84"/>
      <c r="CG1437" s="84"/>
      <c r="CH1437" s="84"/>
      <c r="CI1437" s="84"/>
      <c r="CJ1437" s="84"/>
      <c r="CK1437" s="84"/>
      <c r="CL1437" s="84"/>
    </row>
    <row r="1438" spans="66:90" s="354" customFormat="1" x14ac:dyDescent="0.2">
      <c r="BN1438" s="84"/>
      <c r="BO1438" s="84"/>
      <c r="BP1438" s="84"/>
      <c r="BQ1438" s="84"/>
      <c r="BR1438" s="84"/>
      <c r="BS1438" s="84"/>
      <c r="BT1438" s="84"/>
      <c r="BU1438" s="84"/>
      <c r="BV1438" s="84"/>
      <c r="BW1438" s="84"/>
      <c r="BX1438" s="84"/>
      <c r="BY1438" s="84"/>
      <c r="BZ1438" s="84"/>
      <c r="CA1438" s="84"/>
      <c r="CB1438" s="84"/>
      <c r="CC1438" s="84"/>
      <c r="CD1438" s="84"/>
      <c r="CE1438" s="84"/>
      <c r="CF1438" s="84"/>
      <c r="CG1438" s="84"/>
      <c r="CH1438" s="84"/>
      <c r="CI1438" s="84"/>
      <c r="CJ1438" s="84"/>
      <c r="CK1438" s="84"/>
      <c r="CL1438" s="84"/>
    </row>
    <row r="1439" spans="66:90" s="354" customFormat="1" x14ac:dyDescent="0.2">
      <c r="BN1439" s="84"/>
      <c r="BO1439" s="84"/>
      <c r="BP1439" s="84"/>
      <c r="BQ1439" s="84"/>
      <c r="BR1439" s="84"/>
      <c r="BS1439" s="84"/>
      <c r="BT1439" s="84"/>
      <c r="BU1439" s="84"/>
      <c r="BV1439" s="84"/>
      <c r="BW1439" s="84"/>
      <c r="BX1439" s="84"/>
      <c r="BY1439" s="84"/>
      <c r="BZ1439" s="84"/>
      <c r="CA1439" s="84"/>
      <c r="CB1439" s="84"/>
      <c r="CC1439" s="84"/>
      <c r="CD1439" s="84"/>
      <c r="CE1439" s="84"/>
      <c r="CF1439" s="84"/>
      <c r="CG1439" s="84"/>
      <c r="CH1439" s="84"/>
      <c r="CI1439" s="84"/>
      <c r="CJ1439" s="84"/>
      <c r="CK1439" s="84"/>
      <c r="CL1439" s="84"/>
    </row>
    <row r="1440" spans="66:90" s="354" customFormat="1" x14ac:dyDescent="0.2">
      <c r="BN1440" s="84"/>
      <c r="BO1440" s="84"/>
      <c r="BP1440" s="84"/>
      <c r="BQ1440" s="84"/>
      <c r="BR1440" s="84"/>
      <c r="BS1440" s="84"/>
      <c r="BT1440" s="84"/>
      <c r="BU1440" s="84"/>
      <c r="BV1440" s="84"/>
      <c r="BW1440" s="84"/>
      <c r="BX1440" s="84"/>
      <c r="BY1440" s="84"/>
      <c r="BZ1440" s="84"/>
      <c r="CA1440" s="84"/>
      <c r="CB1440" s="84"/>
      <c r="CC1440" s="84"/>
      <c r="CD1440" s="84"/>
      <c r="CE1440" s="84"/>
      <c r="CF1440" s="84"/>
      <c r="CG1440" s="84"/>
      <c r="CH1440" s="84"/>
      <c r="CI1440" s="84"/>
      <c r="CJ1440" s="84"/>
      <c r="CK1440" s="84"/>
      <c r="CL1440" s="84"/>
    </row>
    <row r="1441" spans="66:90" s="354" customFormat="1" x14ac:dyDescent="0.2">
      <c r="BN1441" s="84"/>
      <c r="BO1441" s="84"/>
      <c r="BP1441" s="84"/>
      <c r="BQ1441" s="84"/>
      <c r="BR1441" s="84"/>
      <c r="BS1441" s="84"/>
      <c r="BT1441" s="84"/>
      <c r="BU1441" s="84"/>
      <c r="BV1441" s="84"/>
      <c r="BW1441" s="84"/>
      <c r="BX1441" s="84"/>
      <c r="BY1441" s="84"/>
      <c r="BZ1441" s="84"/>
      <c r="CA1441" s="84"/>
      <c r="CB1441" s="84"/>
      <c r="CC1441" s="84"/>
      <c r="CD1441" s="84"/>
      <c r="CE1441" s="84"/>
      <c r="CF1441" s="84"/>
      <c r="CG1441" s="84"/>
      <c r="CH1441" s="84"/>
      <c r="CI1441" s="84"/>
      <c r="CJ1441" s="84"/>
      <c r="CK1441" s="84"/>
      <c r="CL1441" s="84"/>
    </row>
    <row r="1442" spans="66:90" s="354" customFormat="1" x14ac:dyDescent="0.2">
      <c r="BN1442" s="84"/>
      <c r="BO1442" s="84"/>
      <c r="BP1442" s="84"/>
      <c r="BQ1442" s="84"/>
      <c r="BR1442" s="84"/>
      <c r="BS1442" s="84"/>
      <c r="BT1442" s="84"/>
      <c r="BU1442" s="84"/>
      <c r="BV1442" s="84"/>
      <c r="BW1442" s="84"/>
      <c r="BX1442" s="84"/>
      <c r="BY1442" s="84"/>
      <c r="BZ1442" s="84"/>
      <c r="CA1442" s="84"/>
      <c r="CB1442" s="84"/>
      <c r="CC1442" s="84"/>
      <c r="CD1442" s="84"/>
      <c r="CE1442" s="84"/>
      <c r="CF1442" s="84"/>
      <c r="CG1442" s="84"/>
      <c r="CH1442" s="84"/>
      <c r="CI1442" s="84"/>
      <c r="CJ1442" s="84"/>
      <c r="CK1442" s="84"/>
      <c r="CL1442" s="84"/>
    </row>
    <row r="1443" spans="66:90" s="354" customFormat="1" x14ac:dyDescent="0.2">
      <c r="BN1443" s="84"/>
      <c r="BO1443" s="84"/>
      <c r="BP1443" s="84"/>
      <c r="BQ1443" s="84"/>
      <c r="BR1443" s="84"/>
      <c r="BS1443" s="84"/>
      <c r="BT1443" s="84"/>
      <c r="BU1443" s="84"/>
      <c r="BV1443" s="84"/>
      <c r="BW1443" s="84"/>
      <c r="BX1443" s="84"/>
      <c r="BY1443" s="84"/>
      <c r="BZ1443" s="84"/>
      <c r="CA1443" s="84"/>
      <c r="CB1443" s="84"/>
      <c r="CC1443" s="84"/>
      <c r="CD1443" s="84"/>
      <c r="CE1443" s="84"/>
      <c r="CF1443" s="84"/>
      <c r="CG1443" s="84"/>
      <c r="CH1443" s="84"/>
      <c r="CI1443" s="84"/>
      <c r="CJ1443" s="84"/>
      <c r="CK1443" s="84"/>
      <c r="CL1443" s="84"/>
    </row>
    <row r="1444" spans="66:90" s="354" customFormat="1" x14ac:dyDescent="0.2">
      <c r="BN1444" s="84"/>
      <c r="BO1444" s="84"/>
      <c r="BP1444" s="84"/>
      <c r="BQ1444" s="84"/>
      <c r="BR1444" s="84"/>
      <c r="BS1444" s="84"/>
      <c r="BT1444" s="84"/>
      <c r="BU1444" s="84"/>
      <c r="BV1444" s="84"/>
      <c r="BW1444" s="84"/>
      <c r="BX1444" s="84"/>
      <c r="BY1444" s="84"/>
      <c r="BZ1444" s="84"/>
      <c r="CA1444" s="84"/>
      <c r="CB1444" s="84"/>
      <c r="CC1444" s="84"/>
      <c r="CD1444" s="84"/>
      <c r="CE1444" s="84"/>
      <c r="CF1444" s="84"/>
      <c r="CG1444" s="84"/>
      <c r="CH1444" s="84"/>
      <c r="CI1444" s="84"/>
      <c r="CJ1444" s="84"/>
      <c r="CK1444" s="84"/>
      <c r="CL1444" s="84"/>
    </row>
    <row r="1445" spans="66:90" s="354" customFormat="1" x14ac:dyDescent="0.2">
      <c r="BN1445" s="84"/>
      <c r="BO1445" s="84"/>
      <c r="BP1445" s="84"/>
      <c r="BQ1445" s="84"/>
      <c r="BR1445" s="84"/>
      <c r="BS1445" s="84"/>
      <c r="BT1445" s="84"/>
      <c r="BU1445" s="84"/>
      <c r="BV1445" s="84"/>
      <c r="BW1445" s="84"/>
      <c r="BX1445" s="84"/>
      <c r="BY1445" s="84"/>
      <c r="BZ1445" s="84"/>
      <c r="CA1445" s="84"/>
      <c r="CB1445" s="84"/>
      <c r="CC1445" s="84"/>
      <c r="CD1445" s="84"/>
      <c r="CE1445" s="84"/>
      <c r="CF1445" s="84"/>
      <c r="CG1445" s="84"/>
      <c r="CH1445" s="84"/>
      <c r="CI1445" s="84"/>
      <c r="CJ1445" s="84"/>
      <c r="CK1445" s="84"/>
      <c r="CL1445" s="84"/>
    </row>
    <row r="1446" spans="66:90" s="354" customFormat="1" x14ac:dyDescent="0.2">
      <c r="BN1446" s="84"/>
      <c r="BO1446" s="84"/>
      <c r="BP1446" s="84"/>
      <c r="BQ1446" s="84"/>
      <c r="BR1446" s="84"/>
      <c r="BS1446" s="84"/>
      <c r="BT1446" s="84"/>
      <c r="BU1446" s="84"/>
      <c r="BV1446" s="84"/>
      <c r="BW1446" s="84"/>
      <c r="BX1446" s="84"/>
      <c r="BY1446" s="84"/>
      <c r="BZ1446" s="84"/>
      <c r="CA1446" s="84"/>
      <c r="CB1446" s="84"/>
      <c r="CC1446" s="84"/>
      <c r="CD1446" s="84"/>
      <c r="CE1446" s="84"/>
      <c r="CF1446" s="84"/>
      <c r="CG1446" s="84"/>
      <c r="CH1446" s="84"/>
      <c r="CI1446" s="84"/>
      <c r="CJ1446" s="84"/>
      <c r="CK1446" s="84"/>
      <c r="CL1446" s="84"/>
    </row>
    <row r="1447" spans="66:90" s="354" customFormat="1" x14ac:dyDescent="0.2">
      <c r="BN1447" s="84"/>
      <c r="BO1447" s="84"/>
      <c r="BP1447" s="84"/>
      <c r="BQ1447" s="84"/>
      <c r="BR1447" s="84"/>
      <c r="BS1447" s="84"/>
      <c r="BT1447" s="84"/>
      <c r="BU1447" s="84"/>
      <c r="BV1447" s="84"/>
      <c r="BW1447" s="84"/>
      <c r="BX1447" s="84"/>
      <c r="BY1447" s="84"/>
      <c r="BZ1447" s="84"/>
      <c r="CA1447" s="84"/>
      <c r="CB1447" s="84"/>
      <c r="CC1447" s="84"/>
      <c r="CD1447" s="84"/>
      <c r="CE1447" s="84"/>
      <c r="CF1447" s="84"/>
      <c r="CG1447" s="84"/>
      <c r="CH1447" s="84"/>
      <c r="CI1447" s="84"/>
      <c r="CJ1447" s="84"/>
      <c r="CK1447" s="84"/>
      <c r="CL1447" s="84"/>
    </row>
    <row r="1448" spans="66:90" s="354" customFormat="1" x14ac:dyDescent="0.2">
      <c r="BN1448" s="84"/>
      <c r="BO1448" s="84"/>
      <c r="BP1448" s="84"/>
      <c r="BQ1448" s="84"/>
      <c r="BR1448" s="84"/>
      <c r="BS1448" s="84"/>
      <c r="BT1448" s="84"/>
      <c r="BU1448" s="84"/>
      <c r="BV1448" s="84"/>
      <c r="BW1448" s="84"/>
      <c r="BX1448" s="84"/>
      <c r="BY1448" s="84"/>
      <c r="BZ1448" s="84"/>
      <c r="CA1448" s="84"/>
      <c r="CB1448" s="84"/>
      <c r="CC1448" s="84"/>
      <c r="CD1448" s="84"/>
      <c r="CE1448" s="84"/>
      <c r="CF1448" s="84"/>
      <c r="CG1448" s="84"/>
      <c r="CH1448" s="84"/>
      <c r="CI1448" s="84"/>
      <c r="CJ1448" s="84"/>
      <c r="CK1448" s="84"/>
      <c r="CL1448" s="84"/>
    </row>
    <row r="1449" spans="66:90" s="354" customFormat="1" x14ac:dyDescent="0.2">
      <c r="BN1449" s="84"/>
      <c r="BO1449" s="84"/>
      <c r="BP1449" s="84"/>
      <c r="BQ1449" s="84"/>
      <c r="BR1449" s="84"/>
      <c r="BS1449" s="84"/>
      <c r="BT1449" s="84"/>
      <c r="BU1449" s="84"/>
      <c r="BV1449" s="84"/>
      <c r="BW1449" s="84"/>
      <c r="BX1449" s="84"/>
      <c r="BY1449" s="84"/>
      <c r="BZ1449" s="84"/>
      <c r="CA1449" s="84"/>
      <c r="CB1449" s="84"/>
      <c r="CC1449" s="84"/>
      <c r="CD1449" s="84"/>
      <c r="CE1449" s="84"/>
      <c r="CF1449" s="84"/>
      <c r="CG1449" s="84"/>
      <c r="CH1449" s="84"/>
      <c r="CI1449" s="84"/>
      <c r="CJ1449" s="84"/>
      <c r="CK1449" s="84"/>
      <c r="CL1449" s="84"/>
    </row>
    <row r="1450" spans="66:90" s="354" customFormat="1" x14ac:dyDescent="0.2">
      <c r="BN1450" s="84"/>
      <c r="BO1450" s="84"/>
      <c r="BP1450" s="84"/>
      <c r="BQ1450" s="84"/>
      <c r="BR1450" s="84"/>
      <c r="BS1450" s="84"/>
      <c r="BT1450" s="84"/>
      <c r="BU1450" s="84"/>
      <c r="BV1450" s="84"/>
      <c r="BW1450" s="84"/>
      <c r="BX1450" s="84"/>
      <c r="BY1450" s="84"/>
      <c r="BZ1450" s="84"/>
      <c r="CA1450" s="84"/>
      <c r="CB1450" s="84"/>
      <c r="CC1450" s="84"/>
      <c r="CD1450" s="84"/>
      <c r="CE1450" s="84"/>
      <c r="CF1450" s="84"/>
      <c r="CG1450" s="84"/>
      <c r="CH1450" s="84"/>
      <c r="CI1450" s="84"/>
      <c r="CJ1450" s="84"/>
      <c r="CK1450" s="84"/>
      <c r="CL1450" s="84"/>
    </row>
    <row r="1451" spans="66:90" s="354" customFormat="1" x14ac:dyDescent="0.2">
      <c r="BN1451" s="84"/>
      <c r="BO1451" s="84"/>
      <c r="BP1451" s="84"/>
      <c r="BQ1451" s="84"/>
      <c r="BR1451" s="84"/>
      <c r="BS1451" s="84"/>
      <c r="BT1451" s="84"/>
      <c r="BU1451" s="84"/>
      <c r="BV1451" s="84"/>
      <c r="BW1451" s="84"/>
      <c r="BX1451" s="84"/>
      <c r="BY1451" s="84"/>
      <c r="BZ1451" s="84"/>
      <c r="CA1451" s="84"/>
      <c r="CB1451" s="84"/>
      <c r="CC1451" s="84"/>
      <c r="CD1451" s="84"/>
      <c r="CE1451" s="84"/>
      <c r="CF1451" s="84"/>
      <c r="CG1451" s="84"/>
      <c r="CH1451" s="84"/>
      <c r="CI1451" s="84"/>
      <c r="CJ1451" s="84"/>
      <c r="CK1451" s="84"/>
      <c r="CL1451" s="84"/>
    </row>
    <row r="1452" spans="66:90" s="354" customFormat="1" x14ac:dyDescent="0.2">
      <c r="BN1452" s="84"/>
      <c r="BO1452" s="84"/>
      <c r="BP1452" s="84"/>
      <c r="BQ1452" s="84"/>
      <c r="BR1452" s="84"/>
      <c r="BS1452" s="84"/>
      <c r="BT1452" s="84"/>
      <c r="BU1452" s="84"/>
      <c r="BV1452" s="84"/>
      <c r="BW1452" s="84"/>
      <c r="BX1452" s="84"/>
      <c r="BY1452" s="84"/>
      <c r="BZ1452" s="84"/>
      <c r="CA1452" s="84"/>
      <c r="CB1452" s="84"/>
      <c r="CC1452" s="84"/>
      <c r="CD1452" s="84"/>
      <c r="CE1452" s="84"/>
      <c r="CF1452" s="84"/>
      <c r="CG1452" s="84"/>
      <c r="CH1452" s="84"/>
      <c r="CI1452" s="84"/>
      <c r="CJ1452" s="84"/>
      <c r="CK1452" s="84"/>
      <c r="CL1452" s="84"/>
    </row>
    <row r="1453" spans="66:90" s="354" customFormat="1" x14ac:dyDescent="0.2">
      <c r="BN1453" s="84"/>
      <c r="BO1453" s="84"/>
      <c r="BP1453" s="84"/>
      <c r="BQ1453" s="84"/>
      <c r="BR1453" s="84"/>
      <c r="BS1453" s="84"/>
      <c r="BT1453" s="84"/>
      <c r="BU1453" s="84"/>
      <c r="BV1453" s="84"/>
      <c r="BW1453" s="84"/>
      <c r="BX1453" s="84"/>
      <c r="BY1453" s="84"/>
      <c r="BZ1453" s="84"/>
      <c r="CA1453" s="84"/>
      <c r="CB1453" s="84"/>
      <c r="CC1453" s="84"/>
      <c r="CD1453" s="84"/>
      <c r="CE1453" s="84"/>
      <c r="CF1453" s="84"/>
      <c r="CG1453" s="84"/>
      <c r="CH1453" s="84"/>
      <c r="CI1453" s="84"/>
      <c r="CJ1453" s="84"/>
      <c r="CK1453" s="84"/>
      <c r="CL1453" s="84"/>
    </row>
    <row r="1454" spans="66:90" s="354" customFormat="1" x14ac:dyDescent="0.2">
      <c r="BN1454" s="84"/>
      <c r="BO1454" s="84"/>
      <c r="BP1454" s="84"/>
      <c r="BQ1454" s="84"/>
      <c r="BR1454" s="84"/>
      <c r="BS1454" s="84"/>
      <c r="BT1454" s="84"/>
      <c r="BU1454" s="84"/>
      <c r="BV1454" s="84"/>
      <c r="BW1454" s="84"/>
      <c r="BX1454" s="84"/>
      <c r="BY1454" s="84"/>
      <c r="BZ1454" s="84"/>
      <c r="CA1454" s="84"/>
      <c r="CB1454" s="84"/>
      <c r="CC1454" s="84"/>
      <c r="CD1454" s="84"/>
      <c r="CE1454" s="84"/>
      <c r="CF1454" s="84"/>
      <c r="CG1454" s="84"/>
      <c r="CH1454" s="84"/>
      <c r="CI1454" s="84"/>
      <c r="CJ1454" s="84"/>
      <c r="CK1454" s="84"/>
      <c r="CL1454" s="84"/>
    </row>
    <row r="1455" spans="66:90" s="354" customFormat="1" x14ac:dyDescent="0.2">
      <c r="BN1455" s="84"/>
      <c r="BO1455" s="84"/>
      <c r="BP1455" s="84"/>
      <c r="BQ1455" s="84"/>
      <c r="BR1455" s="84"/>
      <c r="BS1455" s="84"/>
      <c r="BT1455" s="84"/>
      <c r="BU1455" s="84"/>
      <c r="BV1455" s="84"/>
      <c r="BW1455" s="84"/>
      <c r="BX1455" s="84"/>
      <c r="BY1455" s="84"/>
      <c r="BZ1455" s="84"/>
      <c r="CA1455" s="84"/>
      <c r="CB1455" s="84"/>
      <c r="CC1455" s="84"/>
      <c r="CD1455" s="84"/>
      <c r="CE1455" s="84"/>
      <c r="CF1455" s="84"/>
      <c r="CG1455" s="84"/>
      <c r="CH1455" s="84"/>
      <c r="CI1455" s="84"/>
      <c r="CJ1455" s="84"/>
      <c r="CK1455" s="84"/>
      <c r="CL1455" s="84"/>
    </row>
    <row r="1456" spans="66:90" s="354" customFormat="1" x14ac:dyDescent="0.2">
      <c r="BN1456" s="84"/>
      <c r="BO1456" s="84"/>
      <c r="BP1456" s="84"/>
      <c r="BQ1456" s="84"/>
      <c r="BR1456" s="84"/>
      <c r="BS1456" s="84"/>
      <c r="BT1456" s="84"/>
      <c r="BU1456" s="84"/>
      <c r="BV1456" s="84"/>
      <c r="BW1456" s="84"/>
      <c r="BX1456" s="84"/>
      <c r="BY1456" s="84"/>
      <c r="BZ1456" s="84"/>
      <c r="CA1456" s="84"/>
      <c r="CB1456" s="84"/>
      <c r="CC1456" s="84"/>
      <c r="CD1456" s="84"/>
      <c r="CE1456" s="84"/>
      <c r="CF1456" s="84"/>
      <c r="CG1456" s="84"/>
      <c r="CH1456" s="84"/>
      <c r="CI1456" s="84"/>
      <c r="CJ1456" s="84"/>
      <c r="CK1456" s="84"/>
      <c r="CL1456" s="84"/>
    </row>
    <row r="1457" spans="66:90" s="354" customFormat="1" x14ac:dyDescent="0.2">
      <c r="BN1457" s="84"/>
      <c r="BO1457" s="84"/>
      <c r="BP1457" s="84"/>
      <c r="BQ1457" s="84"/>
      <c r="BR1457" s="84"/>
      <c r="BS1457" s="84"/>
      <c r="BT1457" s="84"/>
      <c r="BU1457" s="84"/>
      <c r="BV1457" s="84"/>
      <c r="BW1457" s="84"/>
      <c r="BX1457" s="84"/>
      <c r="BY1457" s="84"/>
      <c r="BZ1457" s="84"/>
      <c r="CA1457" s="84"/>
      <c r="CB1457" s="84"/>
      <c r="CC1457" s="84"/>
      <c r="CD1457" s="84"/>
      <c r="CE1457" s="84"/>
      <c r="CF1457" s="84"/>
      <c r="CG1457" s="84"/>
      <c r="CH1457" s="84"/>
      <c r="CI1457" s="84"/>
      <c r="CJ1457" s="84"/>
      <c r="CK1457" s="84"/>
      <c r="CL1457" s="84"/>
    </row>
    <row r="1458" spans="66:90" s="354" customFormat="1" x14ac:dyDescent="0.2">
      <c r="BN1458" s="84"/>
      <c r="BO1458" s="84"/>
      <c r="BP1458" s="84"/>
      <c r="BQ1458" s="84"/>
      <c r="BR1458" s="84"/>
      <c r="BS1458" s="84"/>
      <c r="BT1458" s="84"/>
      <c r="BU1458" s="84"/>
      <c r="BV1458" s="84"/>
      <c r="BW1458" s="84"/>
      <c r="BX1458" s="84"/>
      <c r="BY1458" s="84"/>
      <c r="BZ1458" s="84"/>
      <c r="CA1458" s="84"/>
      <c r="CB1458" s="84"/>
      <c r="CC1458" s="84"/>
      <c r="CD1458" s="84"/>
      <c r="CE1458" s="84"/>
      <c r="CF1458" s="84"/>
      <c r="CG1458" s="84"/>
      <c r="CH1458" s="84"/>
      <c r="CI1458" s="84"/>
      <c r="CJ1458" s="84"/>
      <c r="CK1458" s="84"/>
      <c r="CL1458" s="84"/>
    </row>
    <row r="1459" spans="66:90" s="354" customFormat="1" x14ac:dyDescent="0.2">
      <c r="BN1459" s="84"/>
      <c r="BO1459" s="84"/>
      <c r="BP1459" s="84"/>
      <c r="BQ1459" s="84"/>
      <c r="BR1459" s="84"/>
      <c r="BS1459" s="84"/>
      <c r="BT1459" s="84"/>
      <c r="BU1459" s="84"/>
      <c r="BV1459" s="84"/>
      <c r="BW1459" s="84"/>
      <c r="BX1459" s="84"/>
      <c r="BY1459" s="84"/>
      <c r="BZ1459" s="84"/>
      <c r="CA1459" s="84"/>
      <c r="CB1459" s="84"/>
      <c r="CC1459" s="84"/>
      <c r="CD1459" s="84"/>
      <c r="CE1459" s="84"/>
      <c r="CF1459" s="84"/>
      <c r="CG1459" s="84"/>
      <c r="CH1459" s="84"/>
      <c r="CI1459" s="84"/>
      <c r="CJ1459" s="84"/>
      <c r="CK1459" s="84"/>
      <c r="CL1459" s="84"/>
    </row>
    <row r="1460" spans="66:90" s="354" customFormat="1" x14ac:dyDescent="0.2">
      <c r="BN1460" s="84"/>
      <c r="BO1460" s="84"/>
      <c r="BP1460" s="84"/>
      <c r="BQ1460" s="84"/>
      <c r="BR1460" s="84"/>
      <c r="BS1460" s="84"/>
      <c r="BT1460" s="84"/>
      <c r="BU1460" s="84"/>
      <c r="BV1460" s="84"/>
      <c r="BW1460" s="84"/>
      <c r="BX1460" s="84"/>
      <c r="BY1460" s="84"/>
      <c r="BZ1460" s="84"/>
      <c r="CA1460" s="84"/>
      <c r="CB1460" s="84"/>
      <c r="CC1460" s="84"/>
      <c r="CD1460" s="84"/>
      <c r="CE1460" s="84"/>
      <c r="CF1460" s="84"/>
      <c r="CG1460" s="84"/>
      <c r="CH1460" s="84"/>
      <c r="CI1460" s="84"/>
      <c r="CJ1460" s="84"/>
      <c r="CK1460" s="84"/>
      <c r="CL1460" s="84"/>
    </row>
    <row r="1461" spans="66:90" s="354" customFormat="1" x14ac:dyDescent="0.2">
      <c r="BN1461" s="84"/>
      <c r="BO1461" s="84"/>
      <c r="BP1461" s="84"/>
      <c r="BQ1461" s="84"/>
      <c r="BR1461" s="84"/>
      <c r="BS1461" s="84"/>
      <c r="BT1461" s="84"/>
      <c r="BU1461" s="84"/>
      <c r="BV1461" s="84"/>
      <c r="BW1461" s="84"/>
      <c r="BX1461" s="84"/>
      <c r="BY1461" s="84"/>
      <c r="BZ1461" s="84"/>
      <c r="CA1461" s="84"/>
      <c r="CB1461" s="84"/>
      <c r="CC1461" s="84"/>
      <c r="CD1461" s="84"/>
      <c r="CE1461" s="84"/>
      <c r="CF1461" s="84"/>
      <c r="CG1461" s="84"/>
      <c r="CH1461" s="84"/>
      <c r="CI1461" s="84"/>
      <c r="CJ1461" s="84"/>
      <c r="CK1461" s="84"/>
      <c r="CL1461" s="84"/>
    </row>
    <row r="1462" spans="66:90" s="354" customFormat="1" x14ac:dyDescent="0.2">
      <c r="BN1462" s="84"/>
      <c r="BO1462" s="84"/>
      <c r="BP1462" s="84"/>
      <c r="BQ1462" s="84"/>
      <c r="BR1462" s="84"/>
      <c r="BS1462" s="84"/>
      <c r="BT1462" s="84"/>
      <c r="BU1462" s="84"/>
      <c r="BV1462" s="84"/>
      <c r="BW1462" s="84"/>
      <c r="BX1462" s="84"/>
      <c r="BY1462" s="84"/>
      <c r="BZ1462" s="84"/>
      <c r="CA1462" s="84"/>
      <c r="CB1462" s="84"/>
      <c r="CC1462" s="84"/>
      <c r="CD1462" s="84"/>
      <c r="CE1462" s="84"/>
      <c r="CF1462" s="84"/>
      <c r="CG1462" s="84"/>
      <c r="CH1462" s="84"/>
      <c r="CI1462" s="84"/>
      <c r="CJ1462" s="84"/>
      <c r="CK1462" s="84"/>
      <c r="CL1462" s="84"/>
    </row>
    <row r="1463" spans="66:90" s="354" customFormat="1" x14ac:dyDescent="0.2">
      <c r="BN1463" s="84"/>
      <c r="BO1463" s="84"/>
      <c r="BP1463" s="84"/>
      <c r="BQ1463" s="84"/>
      <c r="BR1463" s="84"/>
      <c r="BS1463" s="84"/>
      <c r="BT1463" s="84"/>
      <c r="BU1463" s="84"/>
      <c r="BV1463" s="84"/>
      <c r="BW1463" s="84"/>
      <c r="BX1463" s="84"/>
      <c r="BY1463" s="84"/>
      <c r="BZ1463" s="84"/>
      <c r="CA1463" s="84"/>
      <c r="CB1463" s="84"/>
      <c r="CC1463" s="84"/>
      <c r="CD1463" s="84"/>
      <c r="CE1463" s="84"/>
      <c r="CF1463" s="84"/>
      <c r="CG1463" s="84"/>
      <c r="CH1463" s="84"/>
      <c r="CI1463" s="84"/>
      <c r="CJ1463" s="84"/>
      <c r="CK1463" s="84"/>
      <c r="CL1463" s="84"/>
    </row>
    <row r="1464" spans="66:90" s="354" customFormat="1" x14ac:dyDescent="0.2">
      <c r="BN1464" s="84"/>
      <c r="BO1464" s="84"/>
      <c r="BP1464" s="84"/>
      <c r="BQ1464" s="84"/>
      <c r="BR1464" s="84"/>
      <c r="BS1464" s="84"/>
      <c r="BT1464" s="84"/>
      <c r="BU1464" s="84"/>
      <c r="BV1464" s="84"/>
      <c r="BW1464" s="84"/>
      <c r="BX1464" s="84"/>
      <c r="BY1464" s="84"/>
      <c r="BZ1464" s="84"/>
      <c r="CA1464" s="84"/>
      <c r="CB1464" s="84"/>
      <c r="CC1464" s="84"/>
      <c r="CD1464" s="84"/>
      <c r="CE1464" s="84"/>
      <c r="CF1464" s="84"/>
      <c r="CG1464" s="84"/>
      <c r="CH1464" s="84"/>
      <c r="CI1464" s="84"/>
      <c r="CJ1464" s="84"/>
      <c r="CK1464" s="84"/>
      <c r="CL1464" s="84"/>
    </row>
    <row r="1465" spans="66:90" s="354" customFormat="1" x14ac:dyDescent="0.2">
      <c r="BN1465" s="84"/>
      <c r="BO1465" s="84"/>
      <c r="BP1465" s="84"/>
      <c r="BQ1465" s="84"/>
      <c r="BR1465" s="84"/>
      <c r="BS1465" s="84"/>
      <c r="BT1465" s="84"/>
      <c r="BU1465" s="84"/>
      <c r="BV1465" s="84"/>
      <c r="BW1465" s="84"/>
      <c r="BX1465" s="84"/>
      <c r="BY1465" s="84"/>
      <c r="BZ1465" s="84"/>
      <c r="CA1465" s="84"/>
      <c r="CB1465" s="84"/>
      <c r="CC1465" s="84"/>
      <c r="CD1465" s="84"/>
      <c r="CE1465" s="84"/>
      <c r="CF1465" s="84"/>
      <c r="CG1465" s="84"/>
      <c r="CH1465" s="84"/>
      <c r="CI1465" s="84"/>
      <c r="CJ1465" s="84"/>
      <c r="CK1465" s="84"/>
      <c r="CL1465" s="84"/>
    </row>
    <row r="1466" spans="66:90" s="354" customFormat="1" x14ac:dyDescent="0.2">
      <c r="BN1466" s="84"/>
      <c r="BO1466" s="84"/>
      <c r="BP1466" s="84"/>
      <c r="BQ1466" s="84"/>
      <c r="BR1466" s="84"/>
      <c r="BS1466" s="84"/>
      <c r="BT1466" s="84"/>
      <c r="BU1466" s="84"/>
      <c r="BV1466" s="84"/>
      <c r="BW1466" s="84"/>
      <c r="BX1466" s="84"/>
      <c r="BY1466" s="84"/>
      <c r="BZ1466" s="84"/>
      <c r="CA1466" s="84"/>
      <c r="CB1466" s="84"/>
      <c r="CC1466" s="84"/>
      <c r="CD1466" s="84"/>
      <c r="CE1466" s="84"/>
      <c r="CF1466" s="84"/>
      <c r="CG1466" s="84"/>
      <c r="CH1466" s="84"/>
      <c r="CI1466" s="84"/>
      <c r="CJ1466" s="84"/>
      <c r="CK1466" s="84"/>
      <c r="CL1466" s="84"/>
    </row>
    <row r="1467" spans="66:90" s="354" customFormat="1" x14ac:dyDescent="0.2">
      <c r="BN1467" s="84"/>
      <c r="BO1467" s="84"/>
      <c r="BP1467" s="84"/>
      <c r="BQ1467" s="84"/>
      <c r="BR1467" s="84"/>
      <c r="BS1467" s="84"/>
      <c r="BT1467" s="84"/>
      <c r="BU1467" s="84"/>
      <c r="BV1467" s="84"/>
      <c r="BW1467" s="84"/>
      <c r="BX1467" s="84"/>
      <c r="BY1467" s="84"/>
      <c r="BZ1467" s="84"/>
      <c r="CA1467" s="84"/>
      <c r="CB1467" s="84"/>
      <c r="CC1467" s="84"/>
      <c r="CD1467" s="84"/>
      <c r="CE1467" s="84"/>
      <c r="CF1467" s="84"/>
      <c r="CG1467" s="84"/>
      <c r="CH1467" s="84"/>
      <c r="CI1467" s="84"/>
      <c r="CJ1467" s="84"/>
      <c r="CK1467" s="84"/>
      <c r="CL1467" s="84"/>
    </row>
    <row r="1468" spans="66:90" s="354" customFormat="1" x14ac:dyDescent="0.2">
      <c r="BN1468" s="84"/>
      <c r="BO1468" s="84"/>
      <c r="BP1468" s="84"/>
      <c r="BQ1468" s="84"/>
      <c r="BR1468" s="84"/>
      <c r="BS1468" s="84"/>
      <c r="BT1468" s="84"/>
      <c r="BU1468" s="84"/>
      <c r="BV1468" s="84"/>
      <c r="BW1468" s="84"/>
      <c r="BX1468" s="84"/>
      <c r="BY1468" s="84"/>
      <c r="BZ1468" s="84"/>
      <c r="CA1468" s="84"/>
      <c r="CB1468" s="84"/>
      <c r="CC1468" s="84"/>
      <c r="CD1468" s="84"/>
      <c r="CE1468" s="84"/>
      <c r="CF1468" s="84"/>
      <c r="CG1468" s="84"/>
      <c r="CH1468" s="84"/>
      <c r="CI1468" s="84"/>
      <c r="CJ1468" s="84"/>
      <c r="CK1468" s="84"/>
      <c r="CL1468" s="84"/>
    </row>
    <row r="1469" spans="66:90" s="354" customFormat="1" x14ac:dyDescent="0.2">
      <c r="BN1469" s="84"/>
      <c r="BO1469" s="84"/>
      <c r="BP1469" s="84"/>
      <c r="BQ1469" s="84"/>
      <c r="BR1469" s="84"/>
      <c r="BS1469" s="84"/>
      <c r="BT1469" s="84"/>
      <c r="BU1469" s="84"/>
      <c r="BV1469" s="84"/>
      <c r="BW1469" s="84"/>
      <c r="BX1469" s="84"/>
      <c r="BY1469" s="84"/>
      <c r="BZ1469" s="84"/>
      <c r="CA1469" s="84"/>
      <c r="CB1469" s="84"/>
      <c r="CC1469" s="84"/>
      <c r="CD1469" s="84"/>
      <c r="CE1469" s="84"/>
      <c r="CF1469" s="84"/>
      <c r="CG1469" s="84"/>
      <c r="CH1469" s="84"/>
      <c r="CI1469" s="84"/>
      <c r="CJ1469" s="84"/>
      <c r="CK1469" s="84"/>
      <c r="CL1469" s="84"/>
    </row>
    <row r="1470" spans="66:90" s="354" customFormat="1" x14ac:dyDescent="0.2">
      <c r="BN1470" s="84"/>
      <c r="BO1470" s="84"/>
      <c r="BP1470" s="84"/>
      <c r="BQ1470" s="84"/>
      <c r="BR1470" s="84"/>
      <c r="BS1470" s="84"/>
      <c r="BT1470" s="84"/>
      <c r="BU1470" s="84"/>
      <c r="BV1470" s="84"/>
      <c r="BW1470" s="84"/>
      <c r="BX1470" s="84"/>
      <c r="BY1470" s="84"/>
      <c r="BZ1470" s="84"/>
      <c r="CA1470" s="84"/>
      <c r="CB1470" s="84"/>
      <c r="CC1470" s="84"/>
      <c r="CD1470" s="84"/>
      <c r="CE1470" s="84"/>
      <c r="CF1470" s="84"/>
      <c r="CG1470" s="84"/>
      <c r="CH1470" s="84"/>
      <c r="CI1470" s="84"/>
      <c r="CJ1470" s="84"/>
      <c r="CK1470" s="84"/>
      <c r="CL1470" s="84"/>
    </row>
    <row r="1471" spans="66:90" s="354" customFormat="1" x14ac:dyDescent="0.2">
      <c r="BN1471" s="84"/>
      <c r="BO1471" s="84"/>
      <c r="BP1471" s="84"/>
      <c r="BQ1471" s="84"/>
      <c r="BR1471" s="84"/>
      <c r="BS1471" s="84"/>
      <c r="BT1471" s="84"/>
      <c r="BU1471" s="84"/>
      <c r="BV1471" s="84"/>
      <c r="BW1471" s="84"/>
      <c r="BX1471" s="84"/>
      <c r="BY1471" s="84"/>
      <c r="BZ1471" s="84"/>
      <c r="CA1471" s="84"/>
      <c r="CB1471" s="84"/>
      <c r="CC1471" s="84"/>
      <c r="CD1471" s="84"/>
      <c r="CE1471" s="84"/>
      <c r="CF1471" s="84"/>
      <c r="CG1471" s="84"/>
      <c r="CH1471" s="84"/>
      <c r="CI1471" s="84"/>
      <c r="CJ1471" s="84"/>
      <c r="CK1471" s="84"/>
      <c r="CL1471" s="84"/>
    </row>
    <row r="1472" spans="66:90" s="354" customFormat="1" x14ac:dyDescent="0.2">
      <c r="BN1472" s="84"/>
      <c r="BO1472" s="84"/>
      <c r="BP1472" s="84"/>
      <c r="BQ1472" s="84"/>
      <c r="BR1472" s="84"/>
      <c r="BS1472" s="84"/>
      <c r="BT1472" s="84"/>
      <c r="BU1472" s="84"/>
      <c r="BV1472" s="84"/>
      <c r="BW1472" s="84"/>
      <c r="BX1472" s="84"/>
      <c r="BY1472" s="84"/>
      <c r="BZ1472" s="84"/>
      <c r="CA1472" s="84"/>
      <c r="CB1472" s="84"/>
      <c r="CC1472" s="84"/>
      <c r="CD1472" s="84"/>
      <c r="CE1472" s="84"/>
      <c r="CF1472" s="84"/>
      <c r="CG1472" s="84"/>
      <c r="CH1472" s="84"/>
      <c r="CI1472" s="84"/>
      <c r="CJ1472" s="84"/>
      <c r="CK1472" s="84"/>
      <c r="CL1472" s="84"/>
    </row>
    <row r="1473" spans="66:90" s="354" customFormat="1" x14ac:dyDescent="0.2">
      <c r="BN1473" s="84"/>
      <c r="BO1473" s="84"/>
      <c r="BP1473" s="84"/>
      <c r="BQ1473" s="84"/>
      <c r="BR1473" s="84"/>
      <c r="BS1473" s="84"/>
      <c r="BT1473" s="84"/>
      <c r="BU1473" s="84"/>
      <c r="BV1473" s="84"/>
      <c r="BW1473" s="84"/>
      <c r="BX1473" s="84"/>
      <c r="BY1473" s="84"/>
      <c r="BZ1473" s="84"/>
      <c r="CA1473" s="84"/>
      <c r="CB1473" s="84"/>
      <c r="CC1473" s="84"/>
      <c r="CD1473" s="84"/>
      <c r="CE1473" s="84"/>
      <c r="CF1473" s="84"/>
      <c r="CG1473" s="84"/>
      <c r="CH1473" s="84"/>
      <c r="CI1473" s="84"/>
      <c r="CJ1473" s="84"/>
      <c r="CK1473" s="84"/>
      <c r="CL1473" s="84"/>
    </row>
    <row r="1474" spans="66:90" s="354" customFormat="1" x14ac:dyDescent="0.2">
      <c r="BN1474" s="84"/>
      <c r="BO1474" s="84"/>
      <c r="BP1474" s="84"/>
      <c r="BQ1474" s="84"/>
      <c r="BR1474" s="84"/>
      <c r="BS1474" s="84"/>
      <c r="BT1474" s="84"/>
      <c r="BU1474" s="84"/>
      <c r="BV1474" s="84"/>
      <c r="BW1474" s="84"/>
      <c r="BX1474" s="84"/>
      <c r="BY1474" s="84"/>
      <c r="BZ1474" s="84"/>
      <c r="CA1474" s="84"/>
      <c r="CB1474" s="84"/>
      <c r="CC1474" s="84"/>
      <c r="CD1474" s="84"/>
      <c r="CE1474" s="84"/>
      <c r="CF1474" s="84"/>
      <c r="CG1474" s="84"/>
      <c r="CH1474" s="84"/>
      <c r="CI1474" s="84"/>
      <c r="CJ1474" s="84"/>
      <c r="CK1474" s="84"/>
      <c r="CL1474" s="84"/>
    </row>
    <row r="1475" spans="66:90" s="354" customFormat="1" x14ac:dyDescent="0.2">
      <c r="BN1475" s="84"/>
      <c r="BO1475" s="84"/>
      <c r="BP1475" s="84"/>
      <c r="BQ1475" s="84"/>
      <c r="BR1475" s="84"/>
      <c r="BS1475" s="84"/>
      <c r="BT1475" s="84"/>
      <c r="BU1475" s="84"/>
      <c r="BV1475" s="84"/>
      <c r="BW1475" s="84"/>
      <c r="BX1475" s="84"/>
      <c r="BY1475" s="84"/>
      <c r="BZ1475" s="84"/>
      <c r="CA1475" s="84"/>
      <c r="CB1475" s="84"/>
      <c r="CC1475" s="84"/>
      <c r="CD1475" s="84"/>
      <c r="CE1475" s="84"/>
      <c r="CF1475" s="84"/>
      <c r="CG1475" s="84"/>
      <c r="CH1475" s="84"/>
      <c r="CI1475" s="84"/>
      <c r="CJ1475" s="84"/>
      <c r="CK1475" s="84"/>
      <c r="CL1475" s="84"/>
    </row>
    <row r="1476" spans="66:90" s="354" customFormat="1" x14ac:dyDescent="0.2">
      <c r="BN1476" s="84"/>
      <c r="BO1476" s="84"/>
      <c r="BP1476" s="84"/>
      <c r="BQ1476" s="84"/>
      <c r="BR1476" s="84"/>
      <c r="BS1476" s="84"/>
      <c r="BT1476" s="84"/>
      <c r="BU1476" s="84"/>
      <c r="BV1476" s="84"/>
      <c r="BW1476" s="84"/>
      <c r="BX1476" s="84"/>
      <c r="BY1476" s="84"/>
      <c r="BZ1476" s="84"/>
      <c r="CA1476" s="84"/>
      <c r="CB1476" s="84"/>
      <c r="CC1476" s="84"/>
      <c r="CD1476" s="84"/>
      <c r="CE1476" s="84"/>
      <c r="CF1476" s="84"/>
      <c r="CG1476" s="84"/>
      <c r="CH1476" s="84"/>
      <c r="CI1476" s="84"/>
      <c r="CJ1476" s="84"/>
      <c r="CK1476" s="84"/>
      <c r="CL1476" s="84"/>
    </row>
    <row r="1477" spans="66:90" s="354" customFormat="1" x14ac:dyDescent="0.2">
      <c r="BN1477" s="84"/>
      <c r="BO1477" s="84"/>
      <c r="BP1477" s="84"/>
      <c r="BQ1477" s="84"/>
      <c r="BR1477" s="84"/>
      <c r="BS1477" s="84"/>
      <c r="BT1477" s="84"/>
      <c r="BU1477" s="84"/>
      <c r="BV1477" s="84"/>
      <c r="BW1477" s="84"/>
      <c r="BX1477" s="84"/>
      <c r="BY1477" s="84"/>
      <c r="BZ1477" s="84"/>
      <c r="CA1477" s="84"/>
      <c r="CB1477" s="84"/>
      <c r="CC1477" s="84"/>
      <c r="CD1477" s="84"/>
      <c r="CE1477" s="84"/>
      <c r="CF1477" s="84"/>
      <c r="CG1477" s="84"/>
      <c r="CH1477" s="84"/>
      <c r="CI1477" s="84"/>
      <c r="CJ1477" s="84"/>
      <c r="CK1477" s="84"/>
      <c r="CL1477" s="84"/>
    </row>
    <row r="1478" spans="66:90" s="354" customFormat="1" x14ac:dyDescent="0.2">
      <c r="BN1478" s="84"/>
      <c r="BO1478" s="84"/>
      <c r="BP1478" s="84"/>
      <c r="BQ1478" s="84"/>
      <c r="BR1478" s="84"/>
      <c r="BS1478" s="84"/>
      <c r="BT1478" s="84"/>
      <c r="BU1478" s="84"/>
      <c r="BV1478" s="84"/>
      <c r="BW1478" s="84"/>
      <c r="BX1478" s="84"/>
      <c r="BY1478" s="84"/>
      <c r="BZ1478" s="84"/>
      <c r="CA1478" s="84"/>
      <c r="CB1478" s="84"/>
      <c r="CC1478" s="84"/>
      <c r="CD1478" s="84"/>
      <c r="CE1478" s="84"/>
      <c r="CF1478" s="84"/>
      <c r="CG1478" s="84"/>
      <c r="CH1478" s="84"/>
      <c r="CI1478" s="84"/>
      <c r="CJ1478" s="84"/>
      <c r="CK1478" s="84"/>
      <c r="CL1478" s="84"/>
    </row>
    <row r="1479" spans="66:90" s="354" customFormat="1" x14ac:dyDescent="0.2">
      <c r="BN1479" s="84"/>
      <c r="BO1479" s="84"/>
      <c r="BP1479" s="84"/>
      <c r="BQ1479" s="84"/>
      <c r="BR1479" s="84"/>
      <c r="BS1479" s="84"/>
      <c r="BT1479" s="84"/>
      <c r="BU1479" s="84"/>
      <c r="BV1479" s="84"/>
      <c r="BW1479" s="84"/>
      <c r="BX1479" s="84"/>
      <c r="BY1479" s="84"/>
      <c r="BZ1479" s="84"/>
      <c r="CA1479" s="84"/>
      <c r="CB1479" s="84"/>
      <c r="CC1479" s="84"/>
      <c r="CD1479" s="84"/>
      <c r="CE1479" s="84"/>
      <c r="CF1479" s="84"/>
      <c r="CG1479" s="84"/>
      <c r="CH1479" s="84"/>
      <c r="CI1479" s="84"/>
      <c r="CJ1479" s="84"/>
      <c r="CK1479" s="84"/>
      <c r="CL1479" s="84"/>
    </row>
    <row r="1480" spans="66:90" s="354" customFormat="1" x14ac:dyDescent="0.2">
      <c r="BN1480" s="84"/>
      <c r="BO1480" s="84"/>
      <c r="BP1480" s="84"/>
      <c r="BQ1480" s="84"/>
      <c r="BR1480" s="84"/>
      <c r="BS1480" s="84"/>
      <c r="BT1480" s="84"/>
      <c r="BU1480" s="84"/>
      <c r="BV1480" s="84"/>
      <c r="BW1480" s="84"/>
      <c r="BX1480" s="84"/>
      <c r="BY1480" s="84"/>
      <c r="BZ1480" s="84"/>
      <c r="CA1480" s="84"/>
      <c r="CB1480" s="84"/>
      <c r="CC1480" s="84"/>
      <c r="CD1480" s="84"/>
      <c r="CE1480" s="84"/>
      <c r="CF1480" s="84"/>
      <c r="CG1480" s="84"/>
      <c r="CH1480" s="84"/>
      <c r="CI1480" s="84"/>
      <c r="CJ1480" s="84"/>
      <c r="CK1480" s="84"/>
      <c r="CL1480" s="84"/>
    </row>
    <row r="1481" spans="66:90" s="354" customFormat="1" x14ac:dyDescent="0.2">
      <c r="BN1481" s="84"/>
      <c r="BO1481" s="84"/>
      <c r="BP1481" s="84"/>
      <c r="BQ1481" s="84"/>
      <c r="BR1481" s="84"/>
      <c r="BS1481" s="84"/>
      <c r="BT1481" s="84"/>
      <c r="BU1481" s="84"/>
      <c r="BV1481" s="84"/>
      <c r="BW1481" s="84"/>
      <c r="BX1481" s="84"/>
      <c r="BY1481" s="84"/>
      <c r="BZ1481" s="84"/>
      <c r="CA1481" s="84"/>
      <c r="CB1481" s="84"/>
      <c r="CC1481" s="84"/>
      <c r="CD1481" s="84"/>
      <c r="CE1481" s="84"/>
      <c r="CF1481" s="84"/>
      <c r="CG1481" s="84"/>
      <c r="CH1481" s="84"/>
      <c r="CI1481" s="84"/>
      <c r="CJ1481" s="84"/>
      <c r="CK1481" s="84"/>
      <c r="CL1481" s="84"/>
    </row>
    <row r="1482" spans="66:90" s="354" customFormat="1" x14ac:dyDescent="0.2">
      <c r="BN1482" s="84"/>
      <c r="BO1482" s="84"/>
      <c r="BP1482" s="84"/>
      <c r="BQ1482" s="84"/>
      <c r="BR1482" s="84"/>
      <c r="BS1482" s="84"/>
      <c r="BT1482" s="84"/>
      <c r="BU1482" s="84"/>
      <c r="BV1482" s="84"/>
      <c r="BW1482" s="84"/>
      <c r="BX1482" s="84"/>
      <c r="BY1482" s="84"/>
      <c r="BZ1482" s="84"/>
      <c r="CA1482" s="84"/>
      <c r="CB1482" s="84"/>
      <c r="CC1482" s="84"/>
      <c r="CD1482" s="84"/>
      <c r="CE1482" s="84"/>
      <c r="CF1482" s="84"/>
      <c r="CG1482" s="84"/>
      <c r="CH1482" s="84"/>
      <c r="CI1482" s="84"/>
      <c r="CJ1482" s="84"/>
      <c r="CK1482" s="84"/>
      <c r="CL1482" s="84"/>
    </row>
    <row r="1483" spans="66:90" s="354" customFormat="1" x14ac:dyDescent="0.2">
      <c r="BN1483" s="84"/>
      <c r="BO1483" s="84"/>
      <c r="BP1483" s="84"/>
      <c r="BQ1483" s="84"/>
      <c r="BR1483" s="84"/>
      <c r="BS1483" s="84"/>
      <c r="BT1483" s="84"/>
      <c r="BU1483" s="84"/>
      <c r="BV1483" s="84"/>
      <c r="BW1483" s="84"/>
      <c r="BX1483" s="84"/>
      <c r="BY1483" s="84"/>
      <c r="BZ1483" s="84"/>
      <c r="CA1483" s="84"/>
      <c r="CB1483" s="84"/>
      <c r="CC1483" s="84"/>
      <c r="CD1483" s="84"/>
      <c r="CE1483" s="84"/>
      <c r="CF1483" s="84"/>
      <c r="CG1483" s="84"/>
      <c r="CH1483" s="84"/>
      <c r="CI1483" s="84"/>
      <c r="CJ1483" s="84"/>
      <c r="CK1483" s="84"/>
      <c r="CL1483" s="84"/>
    </row>
    <row r="1484" spans="66:90" s="354" customFormat="1" x14ac:dyDescent="0.2">
      <c r="BN1484" s="84"/>
      <c r="BO1484" s="84"/>
      <c r="BP1484" s="84"/>
      <c r="BQ1484" s="84"/>
      <c r="BR1484" s="84"/>
      <c r="BS1484" s="84"/>
      <c r="BT1484" s="84"/>
      <c r="BU1484" s="84"/>
      <c r="BV1484" s="84"/>
      <c r="BW1484" s="84"/>
      <c r="BX1484" s="84"/>
      <c r="BY1484" s="84"/>
      <c r="BZ1484" s="84"/>
      <c r="CA1484" s="84"/>
      <c r="CB1484" s="84"/>
      <c r="CC1484" s="84"/>
      <c r="CD1484" s="84"/>
      <c r="CE1484" s="84"/>
      <c r="CF1484" s="84"/>
      <c r="CG1484" s="84"/>
      <c r="CH1484" s="84"/>
      <c r="CI1484" s="84"/>
      <c r="CJ1484" s="84"/>
      <c r="CK1484" s="84"/>
      <c r="CL1484" s="84"/>
    </row>
    <row r="1485" spans="66:90" s="354" customFormat="1" x14ac:dyDescent="0.2">
      <c r="BN1485" s="84"/>
      <c r="BO1485" s="84"/>
      <c r="BP1485" s="84"/>
      <c r="BQ1485" s="84"/>
      <c r="BR1485" s="84"/>
      <c r="BS1485" s="84"/>
      <c r="BT1485" s="84"/>
      <c r="BU1485" s="84"/>
      <c r="BV1485" s="84"/>
      <c r="BW1485" s="84"/>
      <c r="BX1485" s="84"/>
      <c r="BY1485" s="84"/>
      <c r="BZ1485" s="84"/>
      <c r="CA1485" s="84"/>
      <c r="CB1485" s="84"/>
      <c r="CC1485" s="84"/>
      <c r="CD1485" s="84"/>
      <c r="CE1485" s="84"/>
      <c r="CF1485" s="84"/>
      <c r="CG1485" s="84"/>
      <c r="CH1485" s="84"/>
      <c r="CI1485" s="84"/>
      <c r="CJ1485" s="84"/>
      <c r="CK1485" s="84"/>
      <c r="CL1485" s="84"/>
    </row>
    <row r="1486" spans="66:90" s="354" customFormat="1" x14ac:dyDescent="0.2">
      <c r="BN1486" s="84"/>
      <c r="BO1486" s="84"/>
      <c r="BP1486" s="84"/>
      <c r="BQ1486" s="84"/>
      <c r="BR1486" s="84"/>
      <c r="BS1486" s="84"/>
      <c r="BT1486" s="84"/>
      <c r="BU1486" s="84"/>
      <c r="BV1486" s="84"/>
      <c r="BW1486" s="84"/>
      <c r="BX1486" s="84"/>
      <c r="BY1486" s="84"/>
      <c r="BZ1486" s="84"/>
      <c r="CA1486" s="84"/>
      <c r="CB1486" s="84"/>
      <c r="CC1486" s="84"/>
      <c r="CD1486" s="84"/>
      <c r="CE1486" s="84"/>
      <c r="CF1486" s="84"/>
      <c r="CG1486" s="84"/>
      <c r="CH1486" s="84"/>
      <c r="CI1486" s="84"/>
      <c r="CJ1486" s="84"/>
      <c r="CK1486" s="84"/>
      <c r="CL1486" s="84"/>
    </row>
    <row r="1487" spans="66:90" s="354" customFormat="1" x14ac:dyDescent="0.2">
      <c r="BN1487" s="84"/>
      <c r="BO1487" s="84"/>
      <c r="BP1487" s="84"/>
      <c r="BQ1487" s="84"/>
      <c r="BR1487" s="84"/>
      <c r="BS1487" s="84"/>
      <c r="BT1487" s="84"/>
      <c r="BU1487" s="84"/>
      <c r="BV1487" s="84"/>
      <c r="BW1487" s="84"/>
      <c r="BX1487" s="84"/>
      <c r="BY1487" s="84"/>
      <c r="BZ1487" s="84"/>
      <c r="CA1487" s="84"/>
      <c r="CB1487" s="84"/>
      <c r="CC1487" s="84"/>
      <c r="CD1487" s="84"/>
      <c r="CE1487" s="84"/>
      <c r="CF1487" s="84"/>
      <c r="CG1487" s="84"/>
      <c r="CH1487" s="84"/>
      <c r="CI1487" s="84"/>
      <c r="CJ1487" s="84"/>
      <c r="CK1487" s="84"/>
      <c r="CL1487" s="84"/>
    </row>
    <row r="1488" spans="66:90" s="354" customFormat="1" x14ac:dyDescent="0.2">
      <c r="BN1488" s="84"/>
      <c r="BO1488" s="84"/>
      <c r="BP1488" s="84"/>
      <c r="BQ1488" s="84"/>
      <c r="BR1488" s="84"/>
      <c r="BS1488" s="84"/>
      <c r="BT1488" s="84"/>
      <c r="BU1488" s="84"/>
      <c r="BV1488" s="84"/>
      <c r="BW1488" s="84"/>
      <c r="BX1488" s="84"/>
      <c r="BY1488" s="84"/>
      <c r="BZ1488" s="84"/>
      <c r="CA1488" s="84"/>
      <c r="CB1488" s="84"/>
      <c r="CC1488" s="84"/>
      <c r="CD1488" s="84"/>
      <c r="CE1488" s="84"/>
      <c r="CF1488" s="84"/>
      <c r="CG1488" s="84"/>
      <c r="CH1488" s="84"/>
      <c r="CI1488" s="84"/>
      <c r="CJ1488" s="84"/>
      <c r="CK1488" s="84"/>
      <c r="CL1488" s="84"/>
    </row>
    <row r="1489" spans="66:90" s="354" customFormat="1" x14ac:dyDescent="0.2">
      <c r="BN1489" s="84"/>
      <c r="BO1489" s="84"/>
      <c r="BP1489" s="84"/>
      <c r="BQ1489" s="84"/>
      <c r="BR1489" s="84"/>
      <c r="BS1489" s="84"/>
      <c r="BT1489" s="84"/>
      <c r="BU1489" s="84"/>
      <c r="BV1489" s="84"/>
      <c r="BW1489" s="84"/>
      <c r="BX1489" s="84"/>
      <c r="BY1489" s="84"/>
      <c r="BZ1489" s="84"/>
      <c r="CA1489" s="84"/>
      <c r="CB1489" s="84"/>
      <c r="CC1489" s="84"/>
      <c r="CD1489" s="84"/>
      <c r="CE1489" s="84"/>
      <c r="CF1489" s="84"/>
      <c r="CG1489" s="84"/>
      <c r="CH1489" s="84"/>
      <c r="CI1489" s="84"/>
      <c r="CJ1489" s="84"/>
      <c r="CK1489" s="84"/>
      <c r="CL1489" s="84"/>
    </row>
    <row r="1490" spans="66:90" s="354" customFormat="1" x14ac:dyDescent="0.2">
      <c r="BN1490" s="84"/>
      <c r="BO1490" s="84"/>
      <c r="BP1490" s="84"/>
      <c r="BQ1490" s="84"/>
      <c r="BR1490" s="84"/>
      <c r="BS1490" s="84"/>
      <c r="BT1490" s="84"/>
      <c r="BU1490" s="84"/>
      <c r="BV1490" s="84"/>
      <c r="BW1490" s="84"/>
      <c r="BX1490" s="84"/>
      <c r="BY1490" s="84"/>
      <c r="BZ1490" s="84"/>
      <c r="CA1490" s="84"/>
      <c r="CB1490" s="84"/>
      <c r="CC1490" s="84"/>
      <c r="CD1490" s="84"/>
      <c r="CE1490" s="84"/>
      <c r="CF1490" s="84"/>
      <c r="CG1490" s="84"/>
      <c r="CH1490" s="84"/>
      <c r="CI1490" s="84"/>
      <c r="CJ1490" s="84"/>
      <c r="CK1490" s="84"/>
      <c r="CL1490" s="84"/>
    </row>
    <row r="1491" spans="66:90" s="354" customFormat="1" x14ac:dyDescent="0.2">
      <c r="BN1491" s="84"/>
      <c r="BO1491" s="84"/>
      <c r="BP1491" s="84"/>
      <c r="BQ1491" s="84"/>
      <c r="BR1491" s="84"/>
      <c r="BS1491" s="84"/>
      <c r="BT1491" s="84"/>
      <c r="BU1491" s="84"/>
      <c r="BV1491" s="84"/>
      <c r="BW1491" s="84"/>
      <c r="BX1491" s="84"/>
      <c r="BY1491" s="84"/>
      <c r="BZ1491" s="84"/>
      <c r="CA1491" s="84"/>
      <c r="CB1491" s="84"/>
      <c r="CC1491" s="84"/>
      <c r="CD1491" s="84"/>
      <c r="CE1491" s="84"/>
      <c r="CF1491" s="84"/>
      <c r="CG1491" s="84"/>
      <c r="CH1491" s="84"/>
      <c r="CI1491" s="84"/>
      <c r="CJ1491" s="84"/>
      <c r="CK1491" s="84"/>
      <c r="CL1491" s="84"/>
    </row>
    <row r="1492" spans="66:90" s="354" customFormat="1" x14ac:dyDescent="0.2">
      <c r="BN1492" s="84"/>
      <c r="BO1492" s="84"/>
      <c r="BP1492" s="84"/>
      <c r="BQ1492" s="84"/>
      <c r="BR1492" s="84"/>
      <c r="BS1492" s="84"/>
      <c r="BT1492" s="84"/>
      <c r="BU1492" s="84"/>
      <c r="BV1492" s="84"/>
      <c r="BW1492" s="84"/>
      <c r="BX1492" s="84"/>
      <c r="BY1492" s="84"/>
      <c r="BZ1492" s="84"/>
      <c r="CA1492" s="84"/>
      <c r="CB1492" s="84"/>
      <c r="CC1492" s="84"/>
      <c r="CD1492" s="84"/>
      <c r="CE1492" s="84"/>
      <c r="CF1492" s="84"/>
      <c r="CG1492" s="84"/>
      <c r="CH1492" s="84"/>
      <c r="CI1492" s="84"/>
      <c r="CJ1492" s="84"/>
      <c r="CK1492" s="84"/>
      <c r="CL1492" s="84"/>
    </row>
    <row r="1493" spans="66:90" s="354" customFormat="1" x14ac:dyDescent="0.2">
      <c r="BN1493" s="84"/>
      <c r="BO1493" s="84"/>
      <c r="BP1493" s="84"/>
      <c r="BQ1493" s="84"/>
      <c r="BR1493" s="84"/>
      <c r="BS1493" s="84"/>
      <c r="BT1493" s="84"/>
      <c r="BU1493" s="84"/>
      <c r="BV1493" s="84"/>
      <c r="BW1493" s="84"/>
      <c r="BX1493" s="84"/>
      <c r="BY1493" s="84"/>
      <c r="BZ1493" s="84"/>
      <c r="CA1493" s="84"/>
      <c r="CB1493" s="84"/>
      <c r="CC1493" s="84"/>
      <c r="CD1493" s="84"/>
      <c r="CE1493" s="84"/>
      <c r="CF1493" s="84"/>
      <c r="CG1493" s="84"/>
      <c r="CH1493" s="84"/>
      <c r="CI1493" s="84"/>
      <c r="CJ1493" s="84"/>
      <c r="CK1493" s="84"/>
      <c r="CL1493" s="84"/>
    </row>
    <row r="1494" spans="66:90" s="354" customFormat="1" x14ac:dyDescent="0.2">
      <c r="BN1494" s="84"/>
      <c r="BO1494" s="84"/>
      <c r="BP1494" s="84"/>
      <c r="BQ1494" s="84"/>
      <c r="BR1494" s="84"/>
      <c r="BS1494" s="84"/>
      <c r="BT1494" s="84"/>
      <c r="BU1494" s="84"/>
      <c r="BV1494" s="84"/>
      <c r="BW1494" s="84"/>
      <c r="BX1494" s="84"/>
      <c r="BY1494" s="84"/>
      <c r="BZ1494" s="84"/>
      <c r="CA1494" s="84"/>
      <c r="CB1494" s="84"/>
      <c r="CC1494" s="84"/>
      <c r="CD1494" s="84"/>
      <c r="CE1494" s="84"/>
      <c r="CF1494" s="84"/>
      <c r="CG1494" s="84"/>
      <c r="CH1494" s="84"/>
      <c r="CI1494" s="84"/>
      <c r="CJ1494" s="84"/>
      <c r="CK1494" s="84"/>
      <c r="CL1494" s="84"/>
    </row>
    <row r="1495" spans="66:90" s="354" customFormat="1" x14ac:dyDescent="0.2">
      <c r="BN1495" s="84"/>
      <c r="BO1495" s="84"/>
      <c r="BP1495" s="84"/>
      <c r="BQ1495" s="84"/>
      <c r="BR1495" s="84"/>
      <c r="BS1495" s="84"/>
      <c r="BT1495" s="84"/>
      <c r="BU1495" s="84"/>
      <c r="BV1495" s="84"/>
      <c r="BW1495" s="84"/>
      <c r="BX1495" s="84"/>
      <c r="BY1495" s="84"/>
      <c r="BZ1495" s="84"/>
      <c r="CA1495" s="84"/>
      <c r="CB1495" s="84"/>
      <c r="CC1495" s="84"/>
      <c r="CD1495" s="84"/>
      <c r="CE1495" s="84"/>
      <c r="CF1495" s="84"/>
      <c r="CG1495" s="84"/>
      <c r="CH1495" s="84"/>
      <c r="CI1495" s="84"/>
      <c r="CJ1495" s="84"/>
      <c r="CK1495" s="84"/>
      <c r="CL1495" s="84"/>
    </row>
    <row r="1496" spans="66:90" s="354" customFormat="1" x14ac:dyDescent="0.2">
      <c r="BN1496" s="84"/>
      <c r="BO1496" s="84"/>
      <c r="BP1496" s="84"/>
      <c r="BQ1496" s="84"/>
      <c r="BR1496" s="84"/>
      <c r="BS1496" s="84"/>
      <c r="BT1496" s="84"/>
      <c r="BU1496" s="84"/>
      <c r="BV1496" s="84"/>
      <c r="BW1496" s="84"/>
      <c r="BX1496" s="84"/>
      <c r="BY1496" s="84"/>
      <c r="BZ1496" s="84"/>
      <c r="CA1496" s="84"/>
      <c r="CB1496" s="84"/>
      <c r="CC1496" s="84"/>
      <c r="CD1496" s="84"/>
      <c r="CE1496" s="84"/>
      <c r="CF1496" s="84"/>
      <c r="CG1496" s="84"/>
      <c r="CH1496" s="84"/>
      <c r="CI1496" s="84"/>
      <c r="CJ1496" s="84"/>
      <c r="CK1496" s="84"/>
      <c r="CL1496" s="84"/>
    </row>
    <row r="1497" spans="66:90" s="354" customFormat="1" x14ac:dyDescent="0.2">
      <c r="BN1497" s="84"/>
      <c r="BO1497" s="84"/>
      <c r="BP1497" s="84"/>
      <c r="BQ1497" s="84"/>
      <c r="BR1497" s="84"/>
      <c r="BS1497" s="84"/>
      <c r="BT1497" s="84"/>
      <c r="BU1497" s="84"/>
      <c r="BV1497" s="84"/>
      <c r="BW1497" s="84"/>
      <c r="BX1497" s="84"/>
      <c r="BY1497" s="84"/>
      <c r="BZ1497" s="84"/>
      <c r="CA1497" s="84"/>
      <c r="CB1497" s="84"/>
      <c r="CC1497" s="84"/>
      <c r="CD1497" s="84"/>
      <c r="CE1497" s="84"/>
      <c r="CF1497" s="84"/>
      <c r="CG1497" s="84"/>
      <c r="CH1497" s="84"/>
      <c r="CI1497" s="84"/>
      <c r="CJ1497" s="84"/>
      <c r="CK1497" s="84"/>
      <c r="CL1497" s="84"/>
    </row>
    <row r="1498" spans="66:90" s="354" customFormat="1" x14ac:dyDescent="0.2">
      <c r="BN1498" s="84"/>
      <c r="BO1498" s="84"/>
      <c r="BP1498" s="84"/>
      <c r="BQ1498" s="84"/>
      <c r="BR1498" s="84"/>
      <c r="BS1498" s="84"/>
      <c r="BT1498" s="84"/>
      <c r="BU1498" s="84"/>
      <c r="BV1498" s="84"/>
      <c r="BW1498" s="84"/>
      <c r="BX1498" s="84"/>
      <c r="BY1498" s="84"/>
      <c r="BZ1498" s="84"/>
      <c r="CA1498" s="84"/>
      <c r="CB1498" s="84"/>
      <c r="CC1498" s="84"/>
      <c r="CD1498" s="84"/>
      <c r="CE1498" s="84"/>
      <c r="CF1498" s="84"/>
      <c r="CG1498" s="84"/>
      <c r="CH1498" s="84"/>
      <c r="CI1498" s="84"/>
      <c r="CJ1498" s="84"/>
      <c r="CK1498" s="84"/>
      <c r="CL1498" s="84"/>
    </row>
    <row r="1499" spans="66:90" s="354" customFormat="1" x14ac:dyDescent="0.2">
      <c r="BN1499" s="84"/>
      <c r="BO1499" s="84"/>
      <c r="BP1499" s="84"/>
      <c r="BQ1499" s="84"/>
      <c r="BR1499" s="84"/>
      <c r="BS1499" s="84"/>
      <c r="BT1499" s="84"/>
      <c r="BU1499" s="84"/>
      <c r="BV1499" s="84"/>
      <c r="BW1499" s="84"/>
      <c r="BX1499" s="84"/>
      <c r="BY1499" s="84"/>
      <c r="BZ1499" s="84"/>
      <c r="CA1499" s="84"/>
      <c r="CB1499" s="84"/>
      <c r="CC1499" s="84"/>
      <c r="CD1499" s="84"/>
      <c r="CE1499" s="84"/>
      <c r="CF1499" s="84"/>
      <c r="CG1499" s="84"/>
      <c r="CH1499" s="84"/>
      <c r="CI1499" s="84"/>
      <c r="CJ1499" s="84"/>
      <c r="CK1499" s="84"/>
      <c r="CL1499" s="84"/>
    </row>
    <row r="1500" spans="66:90" s="354" customFormat="1" x14ac:dyDescent="0.2">
      <c r="BN1500" s="84"/>
      <c r="BO1500" s="84"/>
      <c r="BP1500" s="84"/>
      <c r="BQ1500" s="84"/>
      <c r="BR1500" s="84"/>
      <c r="BS1500" s="84"/>
      <c r="BT1500" s="84"/>
      <c r="BU1500" s="84"/>
      <c r="BV1500" s="84"/>
      <c r="BW1500" s="84"/>
      <c r="BX1500" s="84"/>
      <c r="BY1500" s="84"/>
      <c r="BZ1500" s="84"/>
      <c r="CA1500" s="84"/>
      <c r="CB1500" s="84"/>
      <c r="CC1500" s="84"/>
      <c r="CD1500" s="84"/>
      <c r="CE1500" s="84"/>
      <c r="CF1500" s="84"/>
      <c r="CG1500" s="84"/>
      <c r="CH1500" s="84"/>
      <c r="CI1500" s="84"/>
      <c r="CJ1500" s="84"/>
      <c r="CK1500" s="84"/>
      <c r="CL1500" s="84"/>
    </row>
    <row r="1501" spans="66:90" s="354" customFormat="1" x14ac:dyDescent="0.2">
      <c r="BN1501" s="84"/>
      <c r="BO1501" s="84"/>
      <c r="BP1501" s="84"/>
      <c r="BQ1501" s="84"/>
      <c r="BR1501" s="84"/>
      <c r="BS1501" s="84"/>
      <c r="BT1501" s="84"/>
      <c r="BU1501" s="84"/>
      <c r="BV1501" s="84"/>
      <c r="BW1501" s="84"/>
      <c r="BX1501" s="84"/>
      <c r="BY1501" s="84"/>
      <c r="BZ1501" s="84"/>
      <c r="CA1501" s="84"/>
      <c r="CB1501" s="84"/>
      <c r="CC1501" s="84"/>
      <c r="CD1501" s="84"/>
      <c r="CE1501" s="84"/>
      <c r="CF1501" s="84"/>
      <c r="CG1501" s="84"/>
      <c r="CH1501" s="84"/>
      <c r="CI1501" s="84"/>
      <c r="CJ1501" s="84"/>
      <c r="CK1501" s="84"/>
      <c r="CL1501" s="84"/>
    </row>
    <row r="1502" spans="66:90" s="354" customFormat="1" x14ac:dyDescent="0.2">
      <c r="BN1502" s="84"/>
      <c r="BO1502" s="84"/>
      <c r="BP1502" s="84"/>
      <c r="BQ1502" s="84"/>
      <c r="BR1502" s="84"/>
      <c r="BS1502" s="84"/>
      <c r="BT1502" s="84"/>
      <c r="BU1502" s="84"/>
      <c r="BV1502" s="84"/>
      <c r="BW1502" s="84"/>
      <c r="BX1502" s="84"/>
      <c r="BY1502" s="84"/>
      <c r="BZ1502" s="84"/>
      <c r="CA1502" s="84"/>
      <c r="CB1502" s="84"/>
      <c r="CC1502" s="84"/>
      <c r="CD1502" s="84"/>
      <c r="CE1502" s="84"/>
      <c r="CF1502" s="84"/>
      <c r="CG1502" s="84"/>
      <c r="CH1502" s="84"/>
      <c r="CI1502" s="84"/>
      <c r="CJ1502" s="84"/>
      <c r="CK1502" s="84"/>
      <c r="CL1502" s="84"/>
    </row>
    <row r="1503" spans="66:90" s="354" customFormat="1" x14ac:dyDescent="0.2">
      <c r="BN1503" s="84"/>
      <c r="BO1503" s="84"/>
      <c r="BP1503" s="84"/>
      <c r="BQ1503" s="84"/>
      <c r="BR1503" s="84"/>
      <c r="BS1503" s="84"/>
      <c r="BT1503" s="84"/>
      <c r="BU1503" s="84"/>
      <c r="BV1503" s="84"/>
      <c r="BW1503" s="84"/>
      <c r="BX1503" s="84"/>
      <c r="BY1503" s="84"/>
      <c r="BZ1503" s="84"/>
      <c r="CA1503" s="84"/>
      <c r="CB1503" s="84"/>
      <c r="CC1503" s="84"/>
      <c r="CD1503" s="84"/>
      <c r="CE1503" s="84"/>
      <c r="CF1503" s="84"/>
      <c r="CG1503" s="84"/>
      <c r="CH1503" s="84"/>
      <c r="CI1503" s="84"/>
      <c r="CJ1503" s="84"/>
      <c r="CK1503" s="84"/>
      <c r="CL1503" s="84"/>
    </row>
    <row r="1504" spans="66:90" s="354" customFormat="1" x14ac:dyDescent="0.2">
      <c r="BN1504" s="84"/>
      <c r="BO1504" s="84"/>
      <c r="BP1504" s="84"/>
      <c r="BQ1504" s="84"/>
      <c r="BR1504" s="84"/>
      <c r="BS1504" s="84"/>
      <c r="BT1504" s="84"/>
      <c r="BU1504" s="84"/>
      <c r="BV1504" s="84"/>
      <c r="BW1504" s="84"/>
      <c r="BX1504" s="84"/>
      <c r="BY1504" s="84"/>
      <c r="BZ1504" s="84"/>
      <c r="CA1504" s="84"/>
      <c r="CB1504" s="84"/>
      <c r="CC1504" s="84"/>
      <c r="CD1504" s="84"/>
      <c r="CE1504" s="84"/>
      <c r="CF1504" s="84"/>
      <c r="CG1504" s="84"/>
      <c r="CH1504" s="84"/>
      <c r="CI1504" s="84"/>
      <c r="CJ1504" s="84"/>
      <c r="CK1504" s="84"/>
      <c r="CL1504" s="84"/>
    </row>
    <row r="1505" spans="66:90" s="354" customFormat="1" x14ac:dyDescent="0.2">
      <c r="BN1505" s="84"/>
      <c r="BO1505" s="84"/>
      <c r="BP1505" s="84"/>
      <c r="BQ1505" s="84"/>
      <c r="BR1505" s="84"/>
      <c r="BS1505" s="84"/>
      <c r="BT1505" s="84"/>
      <c r="BU1505" s="84"/>
      <c r="BV1505" s="84"/>
      <c r="BW1505" s="84"/>
      <c r="BX1505" s="84"/>
      <c r="BY1505" s="84"/>
      <c r="BZ1505" s="84"/>
      <c r="CA1505" s="84"/>
      <c r="CB1505" s="84"/>
      <c r="CC1505" s="84"/>
      <c r="CD1505" s="84"/>
      <c r="CE1505" s="84"/>
      <c r="CF1505" s="84"/>
      <c r="CG1505" s="84"/>
      <c r="CH1505" s="84"/>
      <c r="CI1505" s="84"/>
      <c r="CJ1505" s="84"/>
      <c r="CK1505" s="84"/>
      <c r="CL1505" s="84"/>
    </row>
    <row r="1506" spans="66:90" s="354" customFormat="1" x14ac:dyDescent="0.2">
      <c r="BN1506" s="84"/>
      <c r="BO1506" s="84"/>
      <c r="BP1506" s="84"/>
      <c r="BQ1506" s="84"/>
      <c r="BR1506" s="84"/>
      <c r="BS1506" s="84"/>
      <c r="BT1506" s="84"/>
      <c r="BU1506" s="84"/>
      <c r="BV1506" s="84"/>
      <c r="BW1506" s="84"/>
      <c r="BX1506" s="84"/>
      <c r="BY1506" s="84"/>
      <c r="BZ1506" s="84"/>
      <c r="CA1506" s="84"/>
      <c r="CB1506" s="84"/>
      <c r="CC1506" s="84"/>
      <c r="CD1506" s="84"/>
      <c r="CE1506" s="84"/>
      <c r="CF1506" s="84"/>
      <c r="CG1506" s="84"/>
      <c r="CH1506" s="84"/>
      <c r="CI1506" s="84"/>
      <c r="CJ1506" s="84"/>
      <c r="CK1506" s="84"/>
      <c r="CL1506" s="84"/>
    </row>
    <row r="1507" spans="66:90" s="354" customFormat="1" x14ac:dyDescent="0.2">
      <c r="BN1507" s="84"/>
      <c r="BO1507" s="84"/>
      <c r="BP1507" s="84"/>
      <c r="BQ1507" s="84"/>
      <c r="BR1507" s="84"/>
      <c r="BS1507" s="84"/>
      <c r="BT1507" s="84"/>
      <c r="BU1507" s="84"/>
      <c r="BV1507" s="84"/>
      <c r="BW1507" s="84"/>
      <c r="BX1507" s="84"/>
      <c r="BY1507" s="84"/>
      <c r="BZ1507" s="84"/>
      <c r="CA1507" s="84"/>
      <c r="CB1507" s="84"/>
      <c r="CC1507" s="84"/>
      <c r="CD1507" s="84"/>
      <c r="CE1507" s="84"/>
      <c r="CF1507" s="84"/>
      <c r="CG1507" s="84"/>
      <c r="CH1507" s="84"/>
      <c r="CI1507" s="84"/>
      <c r="CJ1507" s="84"/>
      <c r="CK1507" s="84"/>
      <c r="CL1507" s="84"/>
    </row>
    <row r="1508" spans="66:90" s="354" customFormat="1" x14ac:dyDescent="0.2">
      <c r="BN1508" s="84"/>
      <c r="BO1508" s="84"/>
      <c r="BP1508" s="84"/>
      <c r="BQ1508" s="84"/>
      <c r="BR1508" s="84"/>
      <c r="BS1508" s="84"/>
      <c r="BT1508" s="84"/>
      <c r="BU1508" s="84"/>
      <c r="BV1508" s="84"/>
      <c r="BW1508" s="84"/>
      <c r="BX1508" s="84"/>
      <c r="BY1508" s="84"/>
      <c r="BZ1508" s="84"/>
      <c r="CA1508" s="84"/>
      <c r="CB1508" s="84"/>
      <c r="CC1508" s="84"/>
      <c r="CD1508" s="84"/>
      <c r="CE1508" s="84"/>
      <c r="CF1508" s="84"/>
      <c r="CG1508" s="84"/>
      <c r="CH1508" s="84"/>
      <c r="CI1508" s="84"/>
      <c r="CJ1508" s="84"/>
      <c r="CK1508" s="84"/>
      <c r="CL1508" s="84"/>
    </row>
    <row r="1509" spans="66:90" s="354" customFormat="1" x14ac:dyDescent="0.2">
      <c r="BN1509" s="84"/>
      <c r="BO1509" s="84"/>
      <c r="BP1509" s="84"/>
      <c r="BQ1509" s="84"/>
      <c r="BR1509" s="84"/>
      <c r="BS1509" s="84"/>
      <c r="BT1509" s="84"/>
      <c r="BU1509" s="84"/>
      <c r="BV1509" s="84"/>
      <c r="BW1509" s="84"/>
      <c r="BX1509" s="84"/>
      <c r="BY1509" s="84"/>
      <c r="BZ1509" s="84"/>
      <c r="CA1509" s="84"/>
      <c r="CB1509" s="84"/>
      <c r="CC1509" s="84"/>
      <c r="CD1509" s="84"/>
      <c r="CE1509" s="84"/>
      <c r="CF1509" s="84"/>
      <c r="CG1509" s="84"/>
      <c r="CH1509" s="84"/>
      <c r="CI1509" s="84"/>
      <c r="CJ1509" s="84"/>
      <c r="CK1509" s="84"/>
      <c r="CL1509" s="84"/>
    </row>
    <row r="1510" spans="66:90" s="354" customFormat="1" x14ac:dyDescent="0.2">
      <c r="BN1510" s="84"/>
      <c r="BO1510" s="84"/>
      <c r="BP1510" s="84"/>
      <c r="BQ1510" s="84"/>
      <c r="BR1510" s="84"/>
      <c r="BS1510" s="84"/>
      <c r="BT1510" s="84"/>
      <c r="BU1510" s="84"/>
      <c r="BV1510" s="84"/>
      <c r="BW1510" s="84"/>
      <c r="BX1510" s="84"/>
      <c r="BY1510" s="84"/>
      <c r="BZ1510" s="84"/>
      <c r="CA1510" s="84"/>
      <c r="CB1510" s="84"/>
      <c r="CC1510" s="84"/>
      <c r="CD1510" s="84"/>
      <c r="CE1510" s="84"/>
      <c r="CF1510" s="84"/>
      <c r="CG1510" s="84"/>
      <c r="CH1510" s="84"/>
      <c r="CI1510" s="84"/>
      <c r="CJ1510" s="84"/>
      <c r="CK1510" s="84"/>
      <c r="CL1510" s="84"/>
    </row>
    <row r="1511" spans="66:90" s="354" customFormat="1" x14ac:dyDescent="0.2">
      <c r="BN1511" s="84"/>
      <c r="BO1511" s="84"/>
      <c r="BP1511" s="84"/>
      <c r="BQ1511" s="84"/>
      <c r="BR1511" s="84"/>
      <c r="BS1511" s="84"/>
      <c r="BT1511" s="84"/>
      <c r="BU1511" s="84"/>
      <c r="BV1511" s="84"/>
      <c r="BW1511" s="84"/>
      <c r="BX1511" s="84"/>
      <c r="BY1511" s="84"/>
      <c r="BZ1511" s="84"/>
      <c r="CA1511" s="84"/>
      <c r="CB1511" s="84"/>
      <c r="CC1511" s="84"/>
      <c r="CD1511" s="84"/>
      <c r="CE1511" s="84"/>
      <c r="CF1511" s="84"/>
      <c r="CG1511" s="84"/>
      <c r="CH1511" s="84"/>
      <c r="CI1511" s="84"/>
      <c r="CJ1511" s="84"/>
      <c r="CK1511" s="84"/>
      <c r="CL1511" s="84"/>
    </row>
    <row r="1512" spans="66:90" s="354" customFormat="1" x14ac:dyDescent="0.2">
      <c r="BN1512" s="84"/>
      <c r="BO1512" s="84"/>
      <c r="BP1512" s="84"/>
      <c r="BQ1512" s="84"/>
      <c r="BR1512" s="84"/>
      <c r="BS1512" s="84"/>
      <c r="BT1512" s="84"/>
      <c r="BU1512" s="84"/>
      <c r="BV1512" s="84"/>
      <c r="BW1512" s="84"/>
      <c r="BX1512" s="84"/>
      <c r="BY1512" s="84"/>
      <c r="BZ1512" s="84"/>
      <c r="CA1512" s="84"/>
      <c r="CB1512" s="84"/>
      <c r="CC1512" s="84"/>
      <c r="CD1512" s="84"/>
      <c r="CE1512" s="84"/>
      <c r="CF1512" s="84"/>
      <c r="CG1512" s="84"/>
      <c r="CH1512" s="84"/>
      <c r="CI1512" s="84"/>
      <c r="CJ1512" s="84"/>
      <c r="CK1512" s="84"/>
      <c r="CL1512" s="84"/>
    </row>
    <row r="1513" spans="66:90" s="354" customFormat="1" x14ac:dyDescent="0.2">
      <c r="BN1513" s="84"/>
      <c r="BO1513" s="84"/>
      <c r="BP1513" s="84"/>
      <c r="BQ1513" s="84"/>
      <c r="BR1513" s="84"/>
      <c r="BS1513" s="84"/>
      <c r="BT1513" s="84"/>
      <c r="BU1513" s="84"/>
      <c r="BV1513" s="84"/>
      <c r="BW1513" s="84"/>
      <c r="BX1513" s="84"/>
      <c r="BY1513" s="84"/>
      <c r="BZ1513" s="84"/>
      <c r="CA1513" s="84"/>
      <c r="CB1513" s="84"/>
      <c r="CC1513" s="84"/>
      <c r="CD1513" s="84"/>
      <c r="CE1513" s="84"/>
      <c r="CF1513" s="84"/>
      <c r="CG1513" s="84"/>
      <c r="CH1513" s="84"/>
      <c r="CI1513" s="84"/>
      <c r="CJ1513" s="84"/>
      <c r="CK1513" s="84"/>
      <c r="CL1513" s="84"/>
    </row>
    <row r="1514" spans="66:90" s="354" customFormat="1" x14ac:dyDescent="0.2">
      <c r="BN1514" s="84"/>
      <c r="BO1514" s="84"/>
      <c r="BP1514" s="84"/>
      <c r="BQ1514" s="84"/>
      <c r="BR1514" s="84"/>
      <c r="BS1514" s="84"/>
      <c r="BT1514" s="84"/>
      <c r="BU1514" s="84"/>
      <c r="BV1514" s="84"/>
      <c r="BW1514" s="84"/>
      <c r="BX1514" s="84"/>
      <c r="BY1514" s="84"/>
      <c r="BZ1514" s="84"/>
      <c r="CA1514" s="84"/>
      <c r="CB1514" s="84"/>
      <c r="CC1514" s="84"/>
      <c r="CD1514" s="84"/>
      <c r="CE1514" s="84"/>
      <c r="CF1514" s="84"/>
      <c r="CG1514" s="84"/>
      <c r="CH1514" s="84"/>
      <c r="CI1514" s="84"/>
      <c r="CJ1514" s="84"/>
      <c r="CK1514" s="84"/>
      <c r="CL1514" s="84"/>
    </row>
    <row r="1515" spans="66:90" s="354" customFormat="1" x14ac:dyDescent="0.2">
      <c r="BN1515" s="84"/>
      <c r="BO1515" s="84"/>
      <c r="BP1515" s="84"/>
      <c r="BQ1515" s="84"/>
      <c r="BR1515" s="84"/>
      <c r="BS1515" s="84"/>
      <c r="BT1515" s="84"/>
      <c r="BU1515" s="84"/>
      <c r="BV1515" s="84"/>
      <c r="BW1515" s="84"/>
      <c r="BX1515" s="84"/>
      <c r="BY1515" s="84"/>
      <c r="BZ1515" s="84"/>
      <c r="CA1515" s="84"/>
      <c r="CB1515" s="84"/>
      <c r="CC1515" s="84"/>
      <c r="CD1515" s="84"/>
      <c r="CE1515" s="84"/>
      <c r="CF1515" s="84"/>
      <c r="CG1515" s="84"/>
      <c r="CH1515" s="84"/>
      <c r="CI1515" s="84"/>
      <c r="CJ1515" s="84"/>
      <c r="CK1515" s="84"/>
      <c r="CL1515" s="84"/>
    </row>
    <row r="1516" spans="66:90" s="354" customFormat="1" x14ac:dyDescent="0.2">
      <c r="BN1516" s="84"/>
      <c r="BO1516" s="84"/>
      <c r="BP1516" s="84"/>
      <c r="BQ1516" s="84"/>
      <c r="BR1516" s="84"/>
      <c r="BS1516" s="84"/>
      <c r="BT1516" s="84"/>
      <c r="BU1516" s="84"/>
      <c r="BV1516" s="84"/>
      <c r="BW1516" s="84"/>
      <c r="BX1516" s="84"/>
      <c r="BY1516" s="84"/>
      <c r="BZ1516" s="84"/>
      <c r="CA1516" s="84"/>
      <c r="CB1516" s="84"/>
      <c r="CC1516" s="84"/>
      <c r="CD1516" s="84"/>
      <c r="CE1516" s="84"/>
      <c r="CF1516" s="84"/>
      <c r="CG1516" s="84"/>
      <c r="CH1516" s="84"/>
      <c r="CI1516" s="84"/>
      <c r="CJ1516" s="84"/>
      <c r="CK1516" s="84"/>
      <c r="CL1516" s="84"/>
    </row>
    <row r="1517" spans="66:90" s="354" customFormat="1" x14ac:dyDescent="0.2">
      <c r="BN1517" s="84"/>
      <c r="BO1517" s="84"/>
      <c r="BP1517" s="84"/>
      <c r="BQ1517" s="84"/>
      <c r="BR1517" s="84"/>
      <c r="BS1517" s="84"/>
      <c r="BT1517" s="84"/>
      <c r="BU1517" s="84"/>
      <c r="BV1517" s="84"/>
      <c r="BW1517" s="84"/>
      <c r="BX1517" s="84"/>
      <c r="BY1517" s="84"/>
      <c r="BZ1517" s="84"/>
      <c r="CA1517" s="84"/>
      <c r="CB1517" s="84"/>
      <c r="CC1517" s="84"/>
      <c r="CD1517" s="84"/>
      <c r="CE1517" s="84"/>
      <c r="CF1517" s="84"/>
      <c r="CG1517" s="84"/>
      <c r="CH1517" s="84"/>
      <c r="CI1517" s="84"/>
      <c r="CJ1517" s="84"/>
      <c r="CK1517" s="84"/>
      <c r="CL1517" s="84"/>
    </row>
    <row r="1518" spans="66:90" s="354" customFormat="1" x14ac:dyDescent="0.2">
      <c r="BN1518" s="84"/>
      <c r="BO1518" s="84"/>
      <c r="BP1518" s="84"/>
      <c r="BQ1518" s="84"/>
      <c r="BR1518" s="84"/>
      <c r="BS1518" s="84"/>
      <c r="BT1518" s="84"/>
      <c r="BU1518" s="84"/>
      <c r="BV1518" s="84"/>
      <c r="BW1518" s="84"/>
      <c r="BX1518" s="84"/>
      <c r="BY1518" s="84"/>
      <c r="BZ1518" s="84"/>
      <c r="CA1518" s="84"/>
      <c r="CB1518" s="84"/>
      <c r="CC1518" s="84"/>
      <c r="CD1518" s="84"/>
      <c r="CE1518" s="84"/>
      <c r="CF1518" s="84"/>
      <c r="CG1518" s="84"/>
      <c r="CH1518" s="84"/>
      <c r="CI1518" s="84"/>
      <c r="CJ1518" s="84"/>
      <c r="CK1518" s="84"/>
      <c r="CL1518" s="84"/>
    </row>
    <row r="1519" spans="66:90" s="354" customFormat="1" x14ac:dyDescent="0.2">
      <c r="BN1519" s="84"/>
      <c r="BO1519" s="84"/>
      <c r="BP1519" s="84"/>
      <c r="BQ1519" s="84"/>
      <c r="BR1519" s="84"/>
      <c r="BS1519" s="84"/>
      <c r="BT1519" s="84"/>
      <c r="BU1519" s="84"/>
      <c r="BV1519" s="84"/>
      <c r="BW1519" s="84"/>
      <c r="BX1519" s="84"/>
      <c r="BY1519" s="84"/>
      <c r="BZ1519" s="84"/>
      <c r="CA1519" s="84"/>
      <c r="CB1519" s="84"/>
      <c r="CC1519" s="84"/>
      <c r="CD1519" s="84"/>
      <c r="CE1519" s="84"/>
      <c r="CF1519" s="84"/>
      <c r="CG1519" s="84"/>
      <c r="CH1519" s="84"/>
      <c r="CI1519" s="84"/>
      <c r="CJ1519" s="84"/>
      <c r="CK1519" s="84"/>
      <c r="CL1519" s="84"/>
    </row>
    <row r="1520" spans="66:90" s="354" customFormat="1" x14ac:dyDescent="0.2">
      <c r="BN1520" s="84"/>
      <c r="BO1520" s="84"/>
      <c r="BP1520" s="84"/>
      <c r="BQ1520" s="84"/>
      <c r="BR1520" s="84"/>
      <c r="BS1520" s="84"/>
      <c r="BT1520" s="84"/>
      <c r="BU1520" s="84"/>
      <c r="BV1520" s="84"/>
      <c r="BW1520" s="84"/>
      <c r="BX1520" s="84"/>
      <c r="BY1520" s="84"/>
      <c r="BZ1520" s="84"/>
      <c r="CA1520" s="84"/>
      <c r="CB1520" s="84"/>
      <c r="CC1520" s="84"/>
      <c r="CD1520" s="84"/>
      <c r="CE1520" s="84"/>
      <c r="CF1520" s="84"/>
      <c r="CG1520" s="84"/>
      <c r="CH1520" s="84"/>
      <c r="CI1520" s="84"/>
      <c r="CJ1520" s="84"/>
      <c r="CK1520" s="84"/>
      <c r="CL1520" s="84"/>
    </row>
    <row r="1521" spans="66:90" s="354" customFormat="1" x14ac:dyDescent="0.2">
      <c r="BN1521" s="84"/>
      <c r="BO1521" s="84"/>
      <c r="BP1521" s="84"/>
      <c r="BQ1521" s="84"/>
      <c r="BR1521" s="84"/>
      <c r="BS1521" s="84"/>
      <c r="BT1521" s="84"/>
      <c r="BU1521" s="84"/>
      <c r="BV1521" s="84"/>
      <c r="BW1521" s="84"/>
      <c r="BX1521" s="84"/>
      <c r="BY1521" s="84"/>
      <c r="BZ1521" s="84"/>
      <c r="CA1521" s="84"/>
      <c r="CB1521" s="84"/>
      <c r="CC1521" s="84"/>
      <c r="CD1521" s="84"/>
      <c r="CE1521" s="84"/>
      <c r="CF1521" s="84"/>
      <c r="CG1521" s="84"/>
      <c r="CH1521" s="84"/>
      <c r="CI1521" s="84"/>
      <c r="CJ1521" s="84"/>
      <c r="CK1521" s="84"/>
      <c r="CL1521" s="84"/>
    </row>
    <row r="1522" spans="66:90" s="354" customFormat="1" x14ac:dyDescent="0.2">
      <c r="BN1522" s="84"/>
      <c r="BO1522" s="84"/>
      <c r="BP1522" s="84"/>
      <c r="BQ1522" s="84"/>
      <c r="BR1522" s="84"/>
      <c r="BS1522" s="84"/>
      <c r="BT1522" s="84"/>
      <c r="BU1522" s="84"/>
      <c r="BV1522" s="84"/>
      <c r="BW1522" s="84"/>
      <c r="BX1522" s="84"/>
      <c r="BY1522" s="84"/>
      <c r="BZ1522" s="84"/>
      <c r="CA1522" s="84"/>
      <c r="CB1522" s="84"/>
      <c r="CC1522" s="84"/>
      <c r="CD1522" s="84"/>
      <c r="CE1522" s="84"/>
      <c r="CF1522" s="84"/>
      <c r="CG1522" s="84"/>
      <c r="CH1522" s="84"/>
      <c r="CI1522" s="84"/>
      <c r="CJ1522" s="84"/>
      <c r="CK1522" s="84"/>
      <c r="CL1522" s="84"/>
    </row>
    <row r="1523" spans="66:90" s="354" customFormat="1" x14ac:dyDescent="0.2">
      <c r="BN1523" s="84"/>
      <c r="BO1523" s="84"/>
      <c r="BP1523" s="84"/>
      <c r="BQ1523" s="84"/>
      <c r="BR1523" s="84"/>
      <c r="BS1523" s="84"/>
      <c r="BT1523" s="84"/>
      <c r="BU1523" s="84"/>
      <c r="BV1523" s="84"/>
      <c r="BW1523" s="84"/>
      <c r="BX1523" s="84"/>
      <c r="BY1523" s="84"/>
      <c r="BZ1523" s="84"/>
      <c r="CA1523" s="84"/>
      <c r="CB1523" s="84"/>
      <c r="CC1523" s="84"/>
      <c r="CD1523" s="84"/>
      <c r="CE1523" s="84"/>
      <c r="CF1523" s="84"/>
      <c r="CG1523" s="84"/>
      <c r="CH1523" s="84"/>
      <c r="CI1523" s="84"/>
      <c r="CJ1523" s="84"/>
      <c r="CK1523" s="84"/>
      <c r="CL1523" s="84"/>
    </row>
    <row r="1524" spans="66:90" s="354" customFormat="1" x14ac:dyDescent="0.2">
      <c r="BN1524" s="84"/>
      <c r="BO1524" s="84"/>
      <c r="BP1524" s="84"/>
      <c r="BQ1524" s="84"/>
      <c r="BR1524" s="84"/>
      <c r="BS1524" s="84"/>
      <c r="BT1524" s="84"/>
      <c r="BU1524" s="84"/>
      <c r="BV1524" s="84"/>
      <c r="BW1524" s="84"/>
      <c r="BX1524" s="84"/>
      <c r="BY1524" s="84"/>
      <c r="BZ1524" s="84"/>
      <c r="CA1524" s="84"/>
      <c r="CB1524" s="84"/>
      <c r="CC1524" s="84"/>
      <c r="CD1524" s="84"/>
      <c r="CE1524" s="84"/>
      <c r="CF1524" s="84"/>
      <c r="CG1524" s="84"/>
      <c r="CH1524" s="84"/>
      <c r="CI1524" s="84"/>
      <c r="CJ1524" s="84"/>
      <c r="CK1524" s="84"/>
      <c r="CL1524" s="84"/>
    </row>
    <row r="1525" spans="66:90" s="354" customFormat="1" x14ac:dyDescent="0.2">
      <c r="BN1525" s="84"/>
      <c r="BO1525" s="84"/>
      <c r="BP1525" s="84"/>
      <c r="BQ1525" s="84"/>
      <c r="BR1525" s="84"/>
      <c r="BS1525" s="84"/>
      <c r="BT1525" s="84"/>
      <c r="BU1525" s="84"/>
      <c r="BV1525" s="84"/>
      <c r="BW1525" s="84"/>
      <c r="BX1525" s="84"/>
      <c r="BY1525" s="84"/>
      <c r="BZ1525" s="84"/>
      <c r="CA1525" s="84"/>
      <c r="CB1525" s="84"/>
      <c r="CC1525" s="84"/>
      <c r="CD1525" s="84"/>
      <c r="CE1525" s="84"/>
      <c r="CF1525" s="84"/>
      <c r="CG1525" s="84"/>
      <c r="CH1525" s="84"/>
      <c r="CI1525" s="84"/>
      <c r="CJ1525" s="84"/>
      <c r="CK1525" s="84"/>
      <c r="CL1525" s="84"/>
    </row>
    <row r="1526" spans="66:90" s="354" customFormat="1" x14ac:dyDescent="0.2">
      <c r="BN1526" s="84"/>
      <c r="BO1526" s="84"/>
      <c r="BP1526" s="84"/>
      <c r="BQ1526" s="84"/>
      <c r="BR1526" s="84"/>
      <c r="BS1526" s="84"/>
      <c r="BT1526" s="84"/>
      <c r="BU1526" s="84"/>
      <c r="BV1526" s="84"/>
      <c r="BW1526" s="84"/>
      <c r="BX1526" s="84"/>
      <c r="BY1526" s="84"/>
      <c r="BZ1526" s="84"/>
      <c r="CA1526" s="84"/>
      <c r="CB1526" s="84"/>
      <c r="CC1526" s="84"/>
      <c r="CD1526" s="84"/>
      <c r="CE1526" s="84"/>
      <c r="CF1526" s="84"/>
      <c r="CG1526" s="84"/>
      <c r="CH1526" s="84"/>
      <c r="CI1526" s="84"/>
      <c r="CJ1526" s="84"/>
      <c r="CK1526" s="84"/>
      <c r="CL1526" s="84"/>
    </row>
    <row r="1527" spans="66:90" s="354" customFormat="1" x14ac:dyDescent="0.2">
      <c r="BN1527" s="84"/>
      <c r="BO1527" s="84"/>
      <c r="BP1527" s="84"/>
      <c r="BQ1527" s="84"/>
      <c r="BR1527" s="84"/>
      <c r="BS1527" s="84"/>
      <c r="BT1527" s="84"/>
      <c r="BU1527" s="84"/>
      <c r="BV1527" s="84"/>
      <c r="BW1527" s="84"/>
      <c r="BX1527" s="84"/>
      <c r="BY1527" s="84"/>
      <c r="BZ1527" s="84"/>
      <c r="CA1527" s="84"/>
      <c r="CB1527" s="84"/>
      <c r="CC1527" s="84"/>
      <c r="CD1527" s="84"/>
      <c r="CE1527" s="84"/>
      <c r="CF1527" s="84"/>
      <c r="CG1527" s="84"/>
      <c r="CH1527" s="84"/>
      <c r="CI1527" s="84"/>
      <c r="CJ1527" s="84"/>
      <c r="CK1527" s="84"/>
      <c r="CL1527" s="84"/>
    </row>
    <row r="1528" spans="66:90" s="354" customFormat="1" x14ac:dyDescent="0.2">
      <c r="BN1528" s="84"/>
      <c r="BO1528" s="84"/>
      <c r="BP1528" s="84"/>
      <c r="BQ1528" s="84"/>
      <c r="BR1528" s="84"/>
      <c r="BS1528" s="84"/>
      <c r="BT1528" s="84"/>
      <c r="BU1528" s="84"/>
      <c r="BV1528" s="84"/>
      <c r="BW1528" s="84"/>
      <c r="BX1528" s="84"/>
      <c r="BY1528" s="84"/>
      <c r="BZ1528" s="84"/>
      <c r="CA1528" s="84"/>
      <c r="CB1528" s="84"/>
      <c r="CC1528" s="84"/>
      <c r="CD1528" s="84"/>
      <c r="CE1528" s="84"/>
      <c r="CF1528" s="84"/>
      <c r="CG1528" s="84"/>
      <c r="CH1528" s="84"/>
      <c r="CI1528" s="84"/>
      <c r="CJ1528" s="84"/>
      <c r="CK1528" s="84"/>
      <c r="CL1528" s="84"/>
    </row>
    <row r="1529" spans="66:90" s="354" customFormat="1" x14ac:dyDescent="0.2">
      <c r="BN1529" s="84"/>
      <c r="BO1529" s="84"/>
      <c r="BP1529" s="84"/>
      <c r="BQ1529" s="84"/>
      <c r="BR1529" s="84"/>
      <c r="BS1529" s="84"/>
      <c r="BT1529" s="84"/>
      <c r="BU1529" s="84"/>
      <c r="BV1529" s="84"/>
      <c r="BW1529" s="84"/>
      <c r="BX1529" s="84"/>
      <c r="BY1529" s="84"/>
      <c r="BZ1529" s="84"/>
      <c r="CA1529" s="84"/>
      <c r="CB1529" s="84"/>
      <c r="CC1529" s="84"/>
      <c r="CD1529" s="84"/>
      <c r="CE1529" s="84"/>
      <c r="CF1529" s="84"/>
      <c r="CG1529" s="84"/>
      <c r="CH1529" s="84"/>
      <c r="CI1529" s="84"/>
      <c r="CJ1529" s="84"/>
      <c r="CK1529" s="84"/>
      <c r="CL1529" s="84"/>
    </row>
    <row r="1530" spans="66:90" s="354" customFormat="1" x14ac:dyDescent="0.2">
      <c r="BN1530" s="84"/>
      <c r="BO1530" s="84"/>
      <c r="BP1530" s="84"/>
      <c r="BQ1530" s="84"/>
      <c r="BR1530" s="84"/>
      <c r="BS1530" s="84"/>
      <c r="BT1530" s="84"/>
      <c r="BU1530" s="84"/>
      <c r="BV1530" s="84"/>
      <c r="BW1530" s="84"/>
      <c r="BX1530" s="84"/>
      <c r="BY1530" s="84"/>
      <c r="BZ1530" s="84"/>
      <c r="CA1530" s="84"/>
      <c r="CB1530" s="84"/>
      <c r="CC1530" s="84"/>
      <c r="CD1530" s="84"/>
      <c r="CE1530" s="84"/>
      <c r="CF1530" s="84"/>
      <c r="CG1530" s="84"/>
      <c r="CH1530" s="84"/>
      <c r="CI1530" s="84"/>
      <c r="CJ1530" s="84"/>
      <c r="CK1530" s="84"/>
      <c r="CL1530" s="84"/>
    </row>
    <row r="1531" spans="66:90" s="354" customFormat="1" x14ac:dyDescent="0.2">
      <c r="BN1531" s="84"/>
      <c r="BO1531" s="84"/>
      <c r="BP1531" s="84"/>
      <c r="BQ1531" s="84"/>
      <c r="BR1531" s="84"/>
      <c r="BS1531" s="84"/>
      <c r="BT1531" s="84"/>
      <c r="BU1531" s="84"/>
      <c r="BV1531" s="84"/>
      <c r="BW1531" s="84"/>
      <c r="BX1531" s="84"/>
      <c r="BY1531" s="84"/>
      <c r="BZ1531" s="84"/>
      <c r="CA1531" s="84"/>
      <c r="CB1531" s="84"/>
      <c r="CC1531" s="84"/>
      <c r="CD1531" s="84"/>
      <c r="CE1531" s="84"/>
      <c r="CF1531" s="84"/>
      <c r="CG1531" s="84"/>
      <c r="CH1531" s="84"/>
      <c r="CI1531" s="84"/>
      <c r="CJ1531" s="84"/>
      <c r="CK1531" s="84"/>
      <c r="CL1531" s="84"/>
    </row>
    <row r="1532" spans="66:90" s="354" customFormat="1" x14ac:dyDescent="0.2">
      <c r="BN1532" s="84"/>
      <c r="BO1532" s="84"/>
      <c r="BP1532" s="84"/>
      <c r="BQ1532" s="84"/>
      <c r="BR1532" s="84"/>
      <c r="BS1532" s="84"/>
      <c r="BT1532" s="84"/>
      <c r="BU1532" s="84"/>
      <c r="BV1532" s="84"/>
      <c r="BW1532" s="84"/>
      <c r="BX1532" s="84"/>
      <c r="BY1532" s="84"/>
      <c r="BZ1532" s="84"/>
      <c r="CA1532" s="84"/>
      <c r="CB1532" s="84"/>
      <c r="CC1532" s="84"/>
      <c r="CD1532" s="84"/>
      <c r="CE1532" s="84"/>
      <c r="CF1532" s="84"/>
      <c r="CG1532" s="84"/>
      <c r="CH1532" s="84"/>
      <c r="CI1532" s="84"/>
      <c r="CJ1532" s="84"/>
      <c r="CK1532" s="84"/>
      <c r="CL1532" s="84"/>
    </row>
    <row r="1533" spans="66:90" s="354" customFormat="1" x14ac:dyDescent="0.2">
      <c r="BN1533" s="84"/>
      <c r="BO1533" s="84"/>
      <c r="BP1533" s="84"/>
      <c r="BQ1533" s="84"/>
      <c r="BR1533" s="84"/>
      <c r="BS1533" s="84"/>
      <c r="BT1533" s="84"/>
      <c r="BU1533" s="84"/>
      <c r="BV1533" s="84"/>
      <c r="BW1533" s="84"/>
      <c r="BX1533" s="84"/>
      <c r="BY1533" s="84"/>
      <c r="BZ1533" s="84"/>
      <c r="CA1533" s="84"/>
      <c r="CB1533" s="84"/>
      <c r="CC1533" s="84"/>
      <c r="CD1533" s="84"/>
      <c r="CE1533" s="84"/>
      <c r="CF1533" s="84"/>
      <c r="CG1533" s="84"/>
      <c r="CH1533" s="84"/>
      <c r="CI1533" s="84"/>
      <c r="CJ1533" s="84"/>
      <c r="CK1533" s="84"/>
      <c r="CL1533" s="84"/>
    </row>
    <row r="1534" spans="66:90" s="354" customFormat="1" x14ac:dyDescent="0.2">
      <c r="BN1534" s="84"/>
      <c r="BO1534" s="84"/>
      <c r="BP1534" s="84"/>
      <c r="BQ1534" s="84"/>
      <c r="BR1534" s="84"/>
      <c r="BS1534" s="84"/>
      <c r="BT1534" s="84"/>
      <c r="BU1534" s="84"/>
      <c r="BV1534" s="84"/>
      <c r="BW1534" s="84"/>
      <c r="BX1534" s="84"/>
      <c r="BY1534" s="84"/>
      <c r="BZ1534" s="84"/>
      <c r="CA1534" s="84"/>
      <c r="CB1534" s="84"/>
      <c r="CC1534" s="84"/>
      <c r="CD1534" s="84"/>
      <c r="CE1534" s="84"/>
      <c r="CF1534" s="84"/>
      <c r="CG1534" s="84"/>
      <c r="CH1534" s="84"/>
      <c r="CI1534" s="84"/>
      <c r="CJ1534" s="84"/>
      <c r="CK1534" s="84"/>
      <c r="CL1534" s="84"/>
    </row>
    <row r="1535" spans="66:90" s="354" customFormat="1" x14ac:dyDescent="0.2">
      <c r="BN1535" s="84"/>
      <c r="BO1535" s="84"/>
      <c r="BP1535" s="84"/>
      <c r="BQ1535" s="84"/>
      <c r="BR1535" s="84"/>
      <c r="BS1535" s="84"/>
      <c r="BT1535" s="84"/>
      <c r="BU1535" s="84"/>
      <c r="BV1535" s="84"/>
      <c r="BW1535" s="84"/>
      <c r="BX1535" s="84"/>
      <c r="BY1535" s="84"/>
      <c r="BZ1535" s="84"/>
      <c r="CA1535" s="84"/>
      <c r="CB1535" s="84"/>
      <c r="CC1535" s="84"/>
      <c r="CD1535" s="84"/>
      <c r="CE1535" s="84"/>
      <c r="CF1535" s="84"/>
      <c r="CG1535" s="84"/>
      <c r="CH1535" s="84"/>
      <c r="CI1535" s="84"/>
      <c r="CJ1535" s="84"/>
      <c r="CK1535" s="84"/>
      <c r="CL1535" s="84"/>
    </row>
    <row r="1536" spans="66:90" s="354" customFormat="1" x14ac:dyDescent="0.2">
      <c r="BN1536" s="84"/>
      <c r="BO1536" s="84"/>
      <c r="BP1536" s="84"/>
      <c r="BQ1536" s="84"/>
      <c r="BR1536" s="84"/>
      <c r="BS1536" s="84"/>
      <c r="BT1536" s="84"/>
      <c r="BU1536" s="84"/>
      <c r="BV1536" s="84"/>
      <c r="BW1536" s="84"/>
      <c r="BX1536" s="84"/>
      <c r="BY1536" s="84"/>
      <c r="BZ1536" s="84"/>
      <c r="CA1536" s="84"/>
      <c r="CB1536" s="84"/>
      <c r="CC1536" s="84"/>
      <c r="CD1536" s="84"/>
      <c r="CE1536" s="84"/>
      <c r="CF1536" s="84"/>
      <c r="CG1536" s="84"/>
      <c r="CH1536" s="84"/>
      <c r="CI1536" s="84"/>
      <c r="CJ1536" s="84"/>
      <c r="CK1536" s="84"/>
      <c r="CL1536" s="84"/>
    </row>
    <row r="1537" spans="66:90" s="354" customFormat="1" x14ac:dyDescent="0.2">
      <c r="BN1537" s="84"/>
      <c r="BO1537" s="84"/>
      <c r="BP1537" s="84"/>
      <c r="BQ1537" s="84"/>
      <c r="BR1537" s="84"/>
      <c r="BS1537" s="84"/>
      <c r="BT1537" s="84"/>
      <c r="BU1537" s="84"/>
      <c r="BV1537" s="84"/>
      <c r="BW1537" s="84"/>
      <c r="BX1537" s="84"/>
      <c r="BY1537" s="84"/>
      <c r="BZ1537" s="84"/>
      <c r="CA1537" s="84"/>
      <c r="CB1537" s="84"/>
      <c r="CC1537" s="84"/>
      <c r="CD1537" s="84"/>
      <c r="CE1537" s="84"/>
      <c r="CF1537" s="84"/>
      <c r="CG1537" s="84"/>
      <c r="CH1537" s="84"/>
      <c r="CI1537" s="84"/>
      <c r="CJ1537" s="84"/>
      <c r="CK1537" s="84"/>
      <c r="CL1537" s="84"/>
    </row>
    <row r="1538" spans="66:90" s="354" customFormat="1" x14ac:dyDescent="0.2">
      <c r="BN1538" s="84"/>
      <c r="BO1538" s="84"/>
      <c r="BP1538" s="84"/>
      <c r="BQ1538" s="84"/>
      <c r="BR1538" s="84"/>
      <c r="BS1538" s="84"/>
      <c r="BT1538" s="84"/>
      <c r="BU1538" s="84"/>
      <c r="BV1538" s="84"/>
      <c r="BW1538" s="84"/>
      <c r="BX1538" s="84"/>
      <c r="BY1538" s="84"/>
      <c r="BZ1538" s="84"/>
      <c r="CA1538" s="84"/>
      <c r="CB1538" s="84"/>
      <c r="CC1538" s="84"/>
      <c r="CD1538" s="84"/>
      <c r="CE1538" s="84"/>
      <c r="CF1538" s="84"/>
      <c r="CG1538" s="84"/>
      <c r="CH1538" s="84"/>
      <c r="CI1538" s="84"/>
      <c r="CJ1538" s="84"/>
      <c r="CK1538" s="84"/>
      <c r="CL1538" s="84"/>
    </row>
    <row r="1539" spans="66:90" s="354" customFormat="1" x14ac:dyDescent="0.2">
      <c r="BN1539" s="84"/>
      <c r="BO1539" s="84"/>
      <c r="BP1539" s="84"/>
      <c r="BQ1539" s="84"/>
      <c r="BR1539" s="84"/>
      <c r="BS1539" s="84"/>
      <c r="BT1539" s="84"/>
      <c r="BU1539" s="84"/>
      <c r="BV1539" s="84"/>
      <c r="BW1539" s="84"/>
      <c r="BX1539" s="84"/>
      <c r="BY1539" s="84"/>
      <c r="BZ1539" s="84"/>
      <c r="CA1539" s="84"/>
      <c r="CB1539" s="84"/>
      <c r="CC1539" s="84"/>
      <c r="CD1539" s="84"/>
      <c r="CE1539" s="84"/>
      <c r="CF1539" s="84"/>
      <c r="CG1539" s="84"/>
      <c r="CH1539" s="84"/>
      <c r="CI1539" s="84"/>
      <c r="CJ1539" s="84"/>
      <c r="CK1539" s="84"/>
      <c r="CL1539" s="84"/>
    </row>
    <row r="1540" spans="66:90" s="354" customFormat="1" x14ac:dyDescent="0.2">
      <c r="BN1540" s="84"/>
      <c r="BO1540" s="84"/>
      <c r="BP1540" s="84"/>
      <c r="BQ1540" s="84"/>
      <c r="BR1540" s="84"/>
      <c r="BS1540" s="84"/>
      <c r="BT1540" s="84"/>
      <c r="BU1540" s="84"/>
      <c r="BV1540" s="84"/>
      <c r="BW1540" s="84"/>
      <c r="BX1540" s="84"/>
      <c r="BY1540" s="84"/>
      <c r="BZ1540" s="84"/>
      <c r="CA1540" s="84"/>
      <c r="CB1540" s="84"/>
      <c r="CC1540" s="84"/>
      <c r="CD1540" s="84"/>
      <c r="CE1540" s="84"/>
      <c r="CF1540" s="84"/>
      <c r="CG1540" s="84"/>
      <c r="CH1540" s="84"/>
      <c r="CI1540" s="84"/>
      <c r="CJ1540" s="84"/>
      <c r="CK1540" s="84"/>
      <c r="CL1540" s="84"/>
    </row>
    <row r="1541" spans="66:90" s="354" customFormat="1" x14ac:dyDescent="0.2">
      <c r="BN1541" s="84"/>
      <c r="BO1541" s="84"/>
      <c r="BP1541" s="84"/>
      <c r="BQ1541" s="84"/>
      <c r="BR1541" s="84"/>
      <c r="BS1541" s="84"/>
      <c r="BT1541" s="84"/>
      <c r="BU1541" s="84"/>
      <c r="BV1541" s="84"/>
      <c r="BW1541" s="84"/>
      <c r="BX1541" s="84"/>
      <c r="BY1541" s="84"/>
      <c r="BZ1541" s="84"/>
      <c r="CA1541" s="84"/>
      <c r="CB1541" s="84"/>
      <c r="CC1541" s="84"/>
      <c r="CD1541" s="84"/>
      <c r="CE1541" s="84"/>
      <c r="CF1541" s="84"/>
      <c r="CG1541" s="84"/>
      <c r="CH1541" s="84"/>
      <c r="CI1541" s="84"/>
      <c r="CJ1541" s="84"/>
      <c r="CK1541" s="84"/>
      <c r="CL1541" s="84"/>
    </row>
    <row r="1542" spans="66:90" s="354" customFormat="1" x14ac:dyDescent="0.2">
      <c r="BN1542" s="84"/>
      <c r="BO1542" s="84"/>
      <c r="BP1542" s="84"/>
      <c r="BQ1542" s="84"/>
      <c r="BR1542" s="84"/>
      <c r="BS1542" s="84"/>
      <c r="BT1542" s="84"/>
      <c r="BU1542" s="84"/>
      <c r="BV1542" s="84"/>
      <c r="BW1542" s="84"/>
      <c r="BX1542" s="84"/>
      <c r="BY1542" s="84"/>
      <c r="BZ1542" s="84"/>
      <c r="CA1542" s="84"/>
      <c r="CB1542" s="84"/>
      <c r="CC1542" s="84"/>
      <c r="CD1542" s="84"/>
      <c r="CE1542" s="84"/>
      <c r="CF1542" s="84"/>
      <c r="CG1542" s="84"/>
      <c r="CH1542" s="84"/>
      <c r="CI1542" s="84"/>
      <c r="CJ1542" s="84"/>
      <c r="CK1542" s="84"/>
      <c r="CL1542" s="84"/>
    </row>
    <row r="1543" spans="66:90" s="354" customFormat="1" x14ac:dyDescent="0.2">
      <c r="BN1543" s="84"/>
      <c r="BO1543" s="84"/>
      <c r="BP1543" s="84"/>
      <c r="BQ1543" s="84"/>
      <c r="BR1543" s="84"/>
      <c r="BS1543" s="84"/>
      <c r="BT1543" s="84"/>
      <c r="BU1543" s="84"/>
      <c r="BV1543" s="84"/>
      <c r="BW1543" s="84"/>
      <c r="BX1543" s="84"/>
      <c r="BY1543" s="84"/>
      <c r="BZ1543" s="84"/>
      <c r="CA1543" s="84"/>
      <c r="CB1543" s="84"/>
      <c r="CC1543" s="84"/>
      <c r="CD1543" s="84"/>
      <c r="CE1543" s="84"/>
      <c r="CF1543" s="84"/>
      <c r="CG1543" s="84"/>
      <c r="CH1543" s="84"/>
      <c r="CI1543" s="84"/>
      <c r="CJ1543" s="84"/>
      <c r="CK1543" s="84"/>
      <c r="CL1543" s="84"/>
    </row>
    <row r="1544" spans="66:90" s="354" customFormat="1" x14ac:dyDescent="0.2">
      <c r="BN1544" s="84"/>
      <c r="BO1544" s="84"/>
      <c r="BP1544" s="84"/>
      <c r="BQ1544" s="84"/>
      <c r="BR1544" s="84"/>
      <c r="BS1544" s="84"/>
      <c r="BT1544" s="84"/>
      <c r="BU1544" s="84"/>
      <c r="BV1544" s="84"/>
      <c r="BW1544" s="84"/>
      <c r="BX1544" s="84"/>
      <c r="BY1544" s="84"/>
      <c r="BZ1544" s="84"/>
      <c r="CA1544" s="84"/>
      <c r="CB1544" s="84"/>
      <c r="CC1544" s="84"/>
      <c r="CD1544" s="84"/>
      <c r="CE1544" s="84"/>
      <c r="CF1544" s="84"/>
      <c r="CG1544" s="84"/>
      <c r="CH1544" s="84"/>
      <c r="CI1544" s="84"/>
      <c r="CJ1544" s="84"/>
      <c r="CK1544" s="84"/>
      <c r="CL1544" s="84"/>
    </row>
    <row r="1545" spans="66:90" s="354" customFormat="1" x14ac:dyDescent="0.2">
      <c r="BN1545" s="84"/>
      <c r="BO1545" s="84"/>
      <c r="BP1545" s="84"/>
      <c r="BQ1545" s="84"/>
      <c r="BR1545" s="84"/>
      <c r="BS1545" s="84"/>
      <c r="BT1545" s="84"/>
      <c r="BU1545" s="84"/>
      <c r="BV1545" s="84"/>
      <c r="BW1545" s="84"/>
      <c r="BX1545" s="84"/>
      <c r="BY1545" s="84"/>
      <c r="BZ1545" s="84"/>
      <c r="CA1545" s="84"/>
      <c r="CB1545" s="84"/>
      <c r="CC1545" s="84"/>
      <c r="CD1545" s="84"/>
      <c r="CE1545" s="84"/>
      <c r="CF1545" s="84"/>
      <c r="CG1545" s="84"/>
      <c r="CH1545" s="84"/>
      <c r="CI1545" s="84"/>
      <c r="CJ1545" s="84"/>
      <c r="CK1545" s="84"/>
      <c r="CL1545" s="84"/>
    </row>
    <row r="1546" spans="66:90" s="354" customFormat="1" x14ac:dyDescent="0.2">
      <c r="BN1546" s="84"/>
      <c r="BO1546" s="84"/>
      <c r="BP1546" s="84"/>
      <c r="BQ1546" s="84"/>
      <c r="BR1546" s="84"/>
      <c r="BS1546" s="84"/>
      <c r="BT1546" s="84"/>
      <c r="BU1546" s="84"/>
      <c r="BV1546" s="84"/>
      <c r="BW1546" s="84"/>
      <c r="BX1546" s="84"/>
      <c r="BY1546" s="84"/>
      <c r="BZ1546" s="84"/>
      <c r="CA1546" s="84"/>
      <c r="CB1546" s="84"/>
      <c r="CC1546" s="84"/>
      <c r="CD1546" s="84"/>
      <c r="CE1546" s="84"/>
      <c r="CF1546" s="84"/>
      <c r="CG1546" s="84"/>
      <c r="CH1546" s="84"/>
      <c r="CI1546" s="84"/>
      <c r="CJ1546" s="84"/>
      <c r="CK1546" s="84"/>
      <c r="CL1546" s="84"/>
    </row>
    <row r="1547" spans="66:90" s="354" customFormat="1" x14ac:dyDescent="0.2">
      <c r="BN1547" s="84"/>
      <c r="BO1547" s="84"/>
      <c r="BP1547" s="84"/>
      <c r="BQ1547" s="84"/>
      <c r="BR1547" s="84"/>
      <c r="BS1547" s="84"/>
      <c r="BT1547" s="84"/>
      <c r="BU1547" s="84"/>
      <c r="BV1547" s="84"/>
      <c r="BW1547" s="84"/>
      <c r="BX1547" s="84"/>
      <c r="BY1547" s="84"/>
      <c r="BZ1547" s="84"/>
      <c r="CA1547" s="84"/>
      <c r="CB1547" s="84"/>
      <c r="CC1547" s="84"/>
      <c r="CD1547" s="84"/>
      <c r="CE1547" s="84"/>
      <c r="CF1547" s="84"/>
      <c r="CG1547" s="84"/>
      <c r="CH1547" s="84"/>
      <c r="CI1547" s="84"/>
      <c r="CJ1547" s="84"/>
      <c r="CK1547" s="84"/>
      <c r="CL1547" s="84"/>
    </row>
    <row r="1548" spans="66:90" s="354" customFormat="1" x14ac:dyDescent="0.2">
      <c r="BN1548" s="84"/>
      <c r="BO1548" s="84"/>
      <c r="BP1548" s="84"/>
      <c r="BQ1548" s="84"/>
      <c r="BR1548" s="84"/>
      <c r="BS1548" s="84"/>
      <c r="BT1548" s="84"/>
      <c r="BU1548" s="84"/>
      <c r="BV1548" s="84"/>
      <c r="BW1548" s="84"/>
      <c r="BX1548" s="84"/>
      <c r="BY1548" s="84"/>
      <c r="BZ1548" s="84"/>
      <c r="CA1548" s="84"/>
      <c r="CB1548" s="84"/>
      <c r="CC1548" s="84"/>
      <c r="CD1548" s="84"/>
      <c r="CE1548" s="84"/>
      <c r="CF1548" s="84"/>
      <c r="CG1548" s="84"/>
      <c r="CH1548" s="84"/>
      <c r="CI1548" s="84"/>
      <c r="CJ1548" s="84"/>
      <c r="CK1548" s="84"/>
      <c r="CL1548" s="84"/>
    </row>
    <row r="1549" spans="66:90" s="354" customFormat="1" x14ac:dyDescent="0.2">
      <c r="BN1549" s="84"/>
      <c r="BO1549" s="84"/>
      <c r="BP1549" s="84"/>
      <c r="BQ1549" s="84"/>
      <c r="BR1549" s="84"/>
      <c r="BS1549" s="84"/>
      <c r="BT1549" s="84"/>
      <c r="BU1549" s="84"/>
      <c r="BV1549" s="84"/>
      <c r="BW1549" s="84"/>
      <c r="BX1549" s="84"/>
      <c r="BY1549" s="84"/>
      <c r="BZ1549" s="84"/>
      <c r="CA1549" s="84"/>
      <c r="CB1549" s="84"/>
      <c r="CC1549" s="84"/>
      <c r="CD1549" s="84"/>
      <c r="CE1549" s="84"/>
      <c r="CF1549" s="84"/>
      <c r="CG1549" s="84"/>
      <c r="CH1549" s="84"/>
      <c r="CI1549" s="84"/>
      <c r="CJ1549" s="84"/>
      <c r="CK1549" s="84"/>
      <c r="CL1549" s="84"/>
    </row>
    <row r="1550" spans="66:90" s="354" customFormat="1" x14ac:dyDescent="0.2">
      <c r="BN1550" s="84"/>
      <c r="BO1550" s="84"/>
      <c r="BP1550" s="84"/>
      <c r="BQ1550" s="84"/>
      <c r="BR1550" s="84"/>
      <c r="BS1550" s="84"/>
      <c r="BT1550" s="84"/>
      <c r="BU1550" s="84"/>
      <c r="BV1550" s="84"/>
      <c r="BW1550" s="84"/>
      <c r="BX1550" s="84"/>
      <c r="BY1550" s="84"/>
      <c r="BZ1550" s="84"/>
      <c r="CA1550" s="84"/>
      <c r="CB1550" s="84"/>
      <c r="CC1550" s="84"/>
      <c r="CD1550" s="84"/>
      <c r="CE1550" s="84"/>
      <c r="CF1550" s="84"/>
      <c r="CG1550" s="84"/>
      <c r="CH1550" s="84"/>
      <c r="CI1550" s="84"/>
      <c r="CJ1550" s="84"/>
      <c r="CK1550" s="84"/>
      <c r="CL1550" s="84"/>
    </row>
    <row r="1551" spans="66:90" s="354" customFormat="1" x14ac:dyDescent="0.2">
      <c r="BN1551" s="84"/>
      <c r="BO1551" s="84"/>
      <c r="BP1551" s="84"/>
      <c r="BQ1551" s="84"/>
      <c r="BR1551" s="84"/>
      <c r="BS1551" s="84"/>
      <c r="BT1551" s="84"/>
      <c r="BU1551" s="84"/>
      <c r="BV1551" s="84"/>
      <c r="BW1551" s="84"/>
      <c r="BX1551" s="84"/>
      <c r="BY1551" s="84"/>
      <c r="BZ1551" s="84"/>
      <c r="CA1551" s="84"/>
      <c r="CB1551" s="84"/>
      <c r="CC1551" s="84"/>
      <c r="CD1551" s="84"/>
      <c r="CE1551" s="84"/>
      <c r="CF1551" s="84"/>
      <c r="CG1551" s="84"/>
      <c r="CH1551" s="84"/>
      <c r="CI1551" s="84"/>
      <c r="CJ1551" s="84"/>
      <c r="CK1551" s="84"/>
      <c r="CL1551" s="84"/>
    </row>
    <row r="1552" spans="66:90" s="354" customFormat="1" x14ac:dyDescent="0.2">
      <c r="BN1552" s="84"/>
      <c r="BO1552" s="84"/>
      <c r="BP1552" s="84"/>
      <c r="BQ1552" s="84"/>
      <c r="BR1552" s="84"/>
      <c r="BS1552" s="84"/>
      <c r="BT1552" s="84"/>
      <c r="BU1552" s="84"/>
      <c r="BV1552" s="84"/>
      <c r="BW1552" s="84"/>
      <c r="BX1552" s="84"/>
      <c r="BY1552" s="84"/>
      <c r="BZ1552" s="84"/>
      <c r="CA1552" s="84"/>
      <c r="CB1552" s="84"/>
      <c r="CC1552" s="84"/>
      <c r="CD1552" s="84"/>
      <c r="CE1552" s="84"/>
      <c r="CF1552" s="84"/>
      <c r="CG1552" s="84"/>
      <c r="CH1552" s="84"/>
      <c r="CI1552" s="84"/>
      <c r="CJ1552" s="84"/>
      <c r="CK1552" s="84"/>
      <c r="CL1552" s="84"/>
    </row>
    <row r="1553" spans="66:90" s="354" customFormat="1" x14ac:dyDescent="0.2">
      <c r="BN1553" s="84"/>
      <c r="BO1553" s="84"/>
      <c r="BP1553" s="84"/>
      <c r="BQ1553" s="84"/>
      <c r="BR1553" s="84"/>
      <c r="BS1553" s="84"/>
      <c r="BT1553" s="84"/>
      <c r="BU1553" s="84"/>
      <c r="BV1553" s="84"/>
      <c r="BW1553" s="84"/>
      <c r="BX1553" s="84"/>
      <c r="BY1553" s="84"/>
      <c r="BZ1553" s="84"/>
      <c r="CA1553" s="84"/>
      <c r="CB1553" s="84"/>
      <c r="CC1553" s="84"/>
      <c r="CD1553" s="84"/>
      <c r="CE1553" s="84"/>
      <c r="CF1553" s="84"/>
      <c r="CG1553" s="84"/>
      <c r="CH1553" s="84"/>
      <c r="CI1553" s="84"/>
      <c r="CJ1553" s="84"/>
      <c r="CK1553" s="84"/>
      <c r="CL1553" s="84"/>
    </row>
    <row r="1554" spans="66:90" s="354" customFormat="1" x14ac:dyDescent="0.2">
      <c r="BN1554" s="84"/>
      <c r="BO1554" s="84"/>
      <c r="BP1554" s="84"/>
      <c r="BQ1554" s="84"/>
      <c r="BR1554" s="84"/>
      <c r="BS1554" s="84"/>
      <c r="BT1554" s="84"/>
      <c r="BU1554" s="84"/>
      <c r="BV1554" s="84"/>
      <c r="BW1554" s="84"/>
      <c r="BX1554" s="84"/>
      <c r="BY1554" s="84"/>
      <c r="BZ1554" s="84"/>
      <c r="CA1554" s="84"/>
      <c r="CB1554" s="84"/>
      <c r="CC1554" s="84"/>
      <c r="CD1554" s="84"/>
      <c r="CE1554" s="84"/>
      <c r="CF1554" s="84"/>
      <c r="CG1554" s="84"/>
      <c r="CH1554" s="84"/>
      <c r="CI1554" s="84"/>
      <c r="CJ1554" s="84"/>
      <c r="CK1554" s="84"/>
      <c r="CL1554" s="84"/>
    </row>
    <row r="1555" spans="66:90" s="354" customFormat="1" x14ac:dyDescent="0.2">
      <c r="BN1555" s="84"/>
      <c r="BO1555" s="84"/>
      <c r="BP1555" s="84"/>
      <c r="BQ1555" s="84"/>
      <c r="BR1555" s="84"/>
      <c r="BS1555" s="84"/>
      <c r="BT1555" s="84"/>
      <c r="BU1555" s="84"/>
      <c r="BV1555" s="84"/>
      <c r="BW1555" s="84"/>
      <c r="BX1555" s="84"/>
      <c r="BY1555" s="84"/>
      <c r="BZ1555" s="84"/>
      <c r="CA1555" s="84"/>
      <c r="CB1555" s="84"/>
      <c r="CC1555" s="84"/>
      <c r="CD1555" s="84"/>
      <c r="CE1555" s="84"/>
      <c r="CF1555" s="84"/>
      <c r="CG1555" s="84"/>
      <c r="CH1555" s="84"/>
      <c r="CI1555" s="84"/>
      <c r="CJ1555" s="84"/>
      <c r="CK1555" s="84"/>
      <c r="CL1555" s="84"/>
    </row>
    <row r="1556" spans="66:90" s="354" customFormat="1" x14ac:dyDescent="0.2">
      <c r="BN1556" s="84"/>
      <c r="BO1556" s="84"/>
      <c r="BP1556" s="84"/>
      <c r="BQ1556" s="84"/>
      <c r="BR1556" s="84"/>
      <c r="BS1556" s="84"/>
      <c r="BT1556" s="84"/>
      <c r="BU1556" s="84"/>
      <c r="BV1556" s="84"/>
      <c r="BW1556" s="84"/>
      <c r="BX1556" s="84"/>
      <c r="BY1556" s="84"/>
      <c r="BZ1556" s="84"/>
      <c r="CA1556" s="84"/>
      <c r="CB1556" s="84"/>
      <c r="CC1556" s="84"/>
      <c r="CD1556" s="84"/>
      <c r="CE1556" s="84"/>
      <c r="CF1556" s="84"/>
      <c r="CG1556" s="84"/>
      <c r="CH1556" s="84"/>
      <c r="CI1556" s="84"/>
      <c r="CJ1556" s="84"/>
      <c r="CK1556" s="84"/>
      <c r="CL1556" s="84"/>
    </row>
    <row r="1557" spans="66:90" s="354" customFormat="1" x14ac:dyDescent="0.2">
      <c r="BN1557" s="84"/>
      <c r="BO1557" s="84"/>
      <c r="BP1557" s="84"/>
      <c r="BQ1557" s="84"/>
      <c r="BR1557" s="84"/>
      <c r="BS1557" s="84"/>
      <c r="BT1557" s="84"/>
      <c r="BU1557" s="84"/>
      <c r="BV1557" s="84"/>
      <c r="BW1557" s="84"/>
      <c r="BX1557" s="84"/>
      <c r="BY1557" s="84"/>
      <c r="BZ1557" s="84"/>
      <c r="CA1557" s="84"/>
      <c r="CB1557" s="84"/>
      <c r="CC1557" s="84"/>
      <c r="CD1557" s="84"/>
      <c r="CE1557" s="84"/>
      <c r="CF1557" s="84"/>
      <c r="CG1557" s="84"/>
      <c r="CH1557" s="84"/>
      <c r="CI1557" s="84"/>
      <c r="CJ1557" s="84"/>
      <c r="CK1557" s="84"/>
      <c r="CL1557" s="84"/>
    </row>
    <row r="1558" spans="66:90" s="354" customFormat="1" x14ac:dyDescent="0.2">
      <c r="BN1558" s="84"/>
      <c r="BO1558" s="84"/>
      <c r="BP1558" s="84"/>
      <c r="BQ1558" s="84"/>
      <c r="BR1558" s="84"/>
      <c r="BS1558" s="84"/>
      <c r="BT1558" s="84"/>
      <c r="BU1558" s="84"/>
      <c r="BV1558" s="84"/>
      <c r="BW1558" s="84"/>
      <c r="BX1558" s="84"/>
      <c r="BY1558" s="84"/>
      <c r="BZ1558" s="84"/>
      <c r="CA1558" s="84"/>
      <c r="CB1558" s="84"/>
      <c r="CC1558" s="84"/>
      <c r="CD1558" s="84"/>
      <c r="CE1558" s="84"/>
      <c r="CF1558" s="84"/>
      <c r="CG1558" s="84"/>
      <c r="CH1558" s="84"/>
      <c r="CI1558" s="84"/>
      <c r="CJ1558" s="84"/>
      <c r="CK1558" s="84"/>
      <c r="CL1558" s="84"/>
    </row>
    <row r="1559" spans="66:90" s="354" customFormat="1" x14ac:dyDescent="0.2">
      <c r="BN1559" s="84"/>
      <c r="BO1559" s="84"/>
      <c r="BP1559" s="84"/>
      <c r="BQ1559" s="84"/>
      <c r="BR1559" s="84"/>
      <c r="BS1559" s="84"/>
      <c r="BT1559" s="84"/>
      <c r="BU1559" s="84"/>
      <c r="BV1559" s="84"/>
      <c r="BW1559" s="84"/>
      <c r="BX1559" s="84"/>
      <c r="BY1559" s="84"/>
      <c r="BZ1559" s="84"/>
      <c r="CA1559" s="84"/>
      <c r="CB1559" s="84"/>
      <c r="CC1559" s="84"/>
      <c r="CD1559" s="84"/>
      <c r="CE1559" s="84"/>
      <c r="CF1559" s="84"/>
      <c r="CG1559" s="84"/>
      <c r="CH1559" s="84"/>
      <c r="CI1559" s="84"/>
      <c r="CJ1559" s="84"/>
      <c r="CK1559" s="84"/>
      <c r="CL1559" s="84"/>
    </row>
    <row r="1560" spans="66:90" s="354" customFormat="1" x14ac:dyDescent="0.2">
      <c r="BN1560" s="84"/>
      <c r="BO1560" s="84"/>
      <c r="BP1560" s="84"/>
      <c r="BQ1560" s="84"/>
      <c r="BR1560" s="84"/>
      <c r="BS1560" s="84"/>
      <c r="BT1560" s="84"/>
      <c r="BU1560" s="84"/>
      <c r="BV1560" s="84"/>
      <c r="BW1560" s="84"/>
      <c r="BX1560" s="84"/>
      <c r="BY1560" s="84"/>
      <c r="BZ1560" s="84"/>
      <c r="CA1560" s="84"/>
      <c r="CB1560" s="84"/>
      <c r="CC1560" s="84"/>
      <c r="CD1560" s="84"/>
      <c r="CE1560" s="84"/>
      <c r="CF1560" s="84"/>
      <c r="CG1560" s="84"/>
      <c r="CH1560" s="84"/>
      <c r="CI1560" s="84"/>
      <c r="CJ1560" s="84"/>
      <c r="CK1560" s="84"/>
      <c r="CL1560" s="84"/>
    </row>
    <row r="1561" spans="66:90" s="354" customFormat="1" x14ac:dyDescent="0.2">
      <c r="BN1561" s="84"/>
      <c r="BO1561" s="84"/>
      <c r="BP1561" s="84"/>
      <c r="BQ1561" s="84"/>
      <c r="BR1561" s="84"/>
      <c r="BS1561" s="84"/>
      <c r="BT1561" s="84"/>
      <c r="BU1561" s="84"/>
      <c r="BV1561" s="84"/>
      <c r="BW1561" s="84"/>
      <c r="BX1561" s="84"/>
      <c r="BY1561" s="84"/>
      <c r="BZ1561" s="84"/>
      <c r="CA1561" s="84"/>
      <c r="CB1561" s="84"/>
      <c r="CC1561" s="84"/>
      <c r="CD1561" s="84"/>
      <c r="CE1561" s="84"/>
      <c r="CF1561" s="84"/>
      <c r="CG1561" s="84"/>
      <c r="CH1561" s="84"/>
      <c r="CI1561" s="84"/>
      <c r="CJ1561" s="84"/>
      <c r="CK1561" s="84"/>
      <c r="CL1561" s="84"/>
    </row>
    <row r="1562" spans="66:90" s="354" customFormat="1" x14ac:dyDescent="0.2">
      <c r="BN1562" s="84"/>
      <c r="BO1562" s="84"/>
      <c r="BP1562" s="84"/>
      <c r="BQ1562" s="84"/>
      <c r="BR1562" s="84"/>
      <c r="BS1562" s="84"/>
      <c r="BT1562" s="84"/>
      <c r="BU1562" s="84"/>
      <c r="BV1562" s="84"/>
      <c r="BW1562" s="84"/>
      <c r="BX1562" s="84"/>
      <c r="BY1562" s="84"/>
      <c r="BZ1562" s="84"/>
      <c r="CA1562" s="84"/>
      <c r="CB1562" s="84"/>
      <c r="CC1562" s="84"/>
      <c r="CD1562" s="84"/>
      <c r="CE1562" s="84"/>
      <c r="CF1562" s="84"/>
      <c r="CG1562" s="84"/>
      <c r="CH1562" s="84"/>
      <c r="CI1562" s="84"/>
      <c r="CJ1562" s="84"/>
      <c r="CK1562" s="84"/>
      <c r="CL1562" s="84"/>
    </row>
    <row r="1563" spans="66:90" s="354" customFormat="1" x14ac:dyDescent="0.2">
      <c r="BN1563" s="84"/>
      <c r="BO1563" s="84"/>
      <c r="BP1563" s="84"/>
      <c r="BQ1563" s="84"/>
      <c r="BR1563" s="84"/>
      <c r="BS1563" s="84"/>
      <c r="BT1563" s="84"/>
      <c r="BU1563" s="84"/>
      <c r="BV1563" s="84"/>
      <c r="BW1563" s="84"/>
      <c r="BX1563" s="84"/>
      <c r="BY1563" s="84"/>
      <c r="BZ1563" s="84"/>
      <c r="CA1563" s="84"/>
      <c r="CB1563" s="84"/>
      <c r="CC1563" s="84"/>
      <c r="CD1563" s="84"/>
      <c r="CE1563" s="84"/>
      <c r="CF1563" s="84"/>
      <c r="CG1563" s="84"/>
      <c r="CH1563" s="84"/>
      <c r="CI1563" s="84"/>
      <c r="CJ1563" s="84"/>
      <c r="CK1563" s="84"/>
      <c r="CL1563" s="84"/>
    </row>
    <row r="1564" spans="66:90" s="354" customFormat="1" x14ac:dyDescent="0.2">
      <c r="BN1564" s="84"/>
      <c r="BO1564" s="84"/>
      <c r="BP1564" s="84"/>
      <c r="BQ1564" s="84"/>
      <c r="BR1564" s="84"/>
      <c r="BS1564" s="84"/>
      <c r="BT1564" s="84"/>
      <c r="BU1564" s="84"/>
      <c r="BV1564" s="84"/>
      <c r="BW1564" s="84"/>
      <c r="BX1564" s="84"/>
      <c r="BY1564" s="84"/>
      <c r="BZ1564" s="84"/>
      <c r="CA1564" s="84"/>
      <c r="CB1564" s="84"/>
      <c r="CC1564" s="84"/>
      <c r="CD1564" s="84"/>
      <c r="CE1564" s="84"/>
      <c r="CF1564" s="84"/>
      <c r="CG1564" s="84"/>
      <c r="CH1564" s="84"/>
      <c r="CI1564" s="84"/>
      <c r="CJ1564" s="84"/>
      <c r="CK1564" s="84"/>
      <c r="CL1564" s="84"/>
    </row>
    <row r="1565" spans="66:90" s="354" customFormat="1" x14ac:dyDescent="0.2">
      <c r="BN1565" s="84"/>
      <c r="BO1565" s="84"/>
      <c r="BP1565" s="84"/>
      <c r="BQ1565" s="84"/>
      <c r="BR1565" s="84"/>
      <c r="BS1565" s="84"/>
      <c r="BT1565" s="84"/>
      <c r="BU1565" s="84"/>
      <c r="BV1565" s="84"/>
      <c r="BW1565" s="84"/>
      <c r="BX1565" s="84"/>
      <c r="BY1565" s="84"/>
      <c r="BZ1565" s="84"/>
      <c r="CA1565" s="84"/>
      <c r="CB1565" s="84"/>
      <c r="CC1565" s="84"/>
      <c r="CD1565" s="84"/>
      <c r="CE1565" s="84"/>
      <c r="CF1565" s="84"/>
      <c r="CG1565" s="84"/>
      <c r="CH1565" s="84"/>
      <c r="CI1565" s="84"/>
      <c r="CJ1565" s="84"/>
      <c r="CK1565" s="84"/>
      <c r="CL1565" s="84"/>
    </row>
    <row r="1566" spans="66:90" s="354" customFormat="1" x14ac:dyDescent="0.2">
      <c r="BN1566" s="84"/>
      <c r="BO1566" s="84"/>
      <c r="BP1566" s="84"/>
      <c r="BQ1566" s="84"/>
      <c r="BR1566" s="84"/>
      <c r="BS1566" s="84"/>
      <c r="BT1566" s="84"/>
      <c r="BU1566" s="84"/>
      <c r="BV1566" s="84"/>
      <c r="BW1566" s="84"/>
      <c r="BX1566" s="84"/>
      <c r="BY1566" s="84"/>
      <c r="BZ1566" s="84"/>
      <c r="CA1566" s="84"/>
      <c r="CB1566" s="84"/>
      <c r="CC1566" s="84"/>
      <c r="CD1566" s="84"/>
      <c r="CE1566" s="84"/>
      <c r="CF1566" s="84"/>
      <c r="CG1566" s="84"/>
      <c r="CH1566" s="84"/>
      <c r="CI1566" s="84"/>
      <c r="CJ1566" s="84"/>
      <c r="CK1566" s="84"/>
      <c r="CL1566" s="84"/>
    </row>
    <row r="1567" spans="66:90" s="354" customFormat="1" x14ac:dyDescent="0.2">
      <c r="BN1567" s="84"/>
      <c r="BO1567" s="84"/>
      <c r="BP1567" s="84"/>
      <c r="BQ1567" s="84"/>
      <c r="BR1567" s="84"/>
      <c r="BS1567" s="84"/>
      <c r="BT1567" s="84"/>
      <c r="BU1567" s="84"/>
      <c r="BV1567" s="84"/>
      <c r="BW1567" s="84"/>
      <c r="BX1567" s="84"/>
      <c r="BY1567" s="84"/>
      <c r="BZ1567" s="84"/>
      <c r="CA1567" s="84"/>
      <c r="CB1567" s="84"/>
      <c r="CC1567" s="84"/>
      <c r="CD1567" s="84"/>
      <c r="CE1567" s="84"/>
      <c r="CF1567" s="84"/>
      <c r="CG1567" s="84"/>
      <c r="CH1567" s="84"/>
      <c r="CI1567" s="84"/>
      <c r="CJ1567" s="84"/>
      <c r="CK1567" s="84"/>
      <c r="CL1567" s="84"/>
    </row>
    <row r="1568" spans="66:90" s="354" customFormat="1" x14ac:dyDescent="0.2">
      <c r="BN1568" s="84"/>
      <c r="BO1568" s="84"/>
      <c r="BP1568" s="84"/>
      <c r="BQ1568" s="84"/>
      <c r="BR1568" s="84"/>
      <c r="BS1568" s="84"/>
      <c r="BT1568" s="84"/>
      <c r="BU1568" s="84"/>
      <c r="BV1568" s="84"/>
      <c r="BW1568" s="84"/>
      <c r="BX1568" s="84"/>
      <c r="BY1568" s="84"/>
      <c r="BZ1568" s="84"/>
      <c r="CA1568" s="84"/>
      <c r="CB1568" s="84"/>
      <c r="CC1568" s="84"/>
      <c r="CD1568" s="84"/>
      <c r="CE1568" s="84"/>
      <c r="CF1568" s="84"/>
      <c r="CG1568" s="84"/>
      <c r="CH1568" s="84"/>
      <c r="CI1568" s="84"/>
      <c r="CJ1568" s="84"/>
      <c r="CK1568" s="84"/>
      <c r="CL1568" s="84"/>
    </row>
    <row r="1569" spans="66:90" s="354" customFormat="1" x14ac:dyDescent="0.2">
      <c r="BN1569" s="84"/>
      <c r="BO1569" s="84"/>
      <c r="BP1569" s="84"/>
      <c r="BQ1569" s="84"/>
      <c r="BR1569" s="84"/>
      <c r="BS1569" s="84"/>
      <c r="BT1569" s="84"/>
      <c r="BU1569" s="84"/>
      <c r="BV1569" s="84"/>
      <c r="BW1569" s="84"/>
      <c r="BX1569" s="84"/>
      <c r="BY1569" s="84"/>
      <c r="BZ1569" s="84"/>
      <c r="CA1569" s="84"/>
      <c r="CB1569" s="84"/>
      <c r="CC1569" s="84"/>
      <c r="CD1569" s="84"/>
      <c r="CE1569" s="84"/>
      <c r="CF1569" s="84"/>
      <c r="CG1569" s="84"/>
      <c r="CH1569" s="84"/>
      <c r="CI1569" s="84"/>
      <c r="CJ1569" s="84"/>
      <c r="CK1569" s="84"/>
      <c r="CL1569" s="84"/>
    </row>
    <row r="1570" spans="66:90" s="354" customFormat="1" x14ac:dyDescent="0.2">
      <c r="BN1570" s="84"/>
      <c r="BO1570" s="84"/>
      <c r="BP1570" s="84"/>
      <c r="BQ1570" s="84"/>
      <c r="BR1570" s="84"/>
      <c r="BS1570" s="84"/>
      <c r="BT1570" s="84"/>
      <c r="BU1570" s="84"/>
      <c r="BV1570" s="84"/>
      <c r="BW1570" s="84"/>
      <c r="BX1570" s="84"/>
      <c r="BY1570" s="84"/>
      <c r="BZ1570" s="84"/>
      <c r="CA1570" s="84"/>
      <c r="CB1570" s="84"/>
      <c r="CC1570" s="84"/>
      <c r="CD1570" s="84"/>
      <c r="CE1570" s="84"/>
      <c r="CF1570" s="84"/>
      <c r="CG1570" s="84"/>
      <c r="CH1570" s="84"/>
      <c r="CI1570" s="84"/>
      <c r="CJ1570" s="84"/>
      <c r="CK1570" s="84"/>
      <c r="CL1570" s="84"/>
    </row>
    <row r="1571" spans="66:90" s="354" customFormat="1" x14ac:dyDescent="0.2">
      <c r="BN1571" s="84"/>
      <c r="BO1571" s="84"/>
      <c r="BP1571" s="84"/>
      <c r="BQ1571" s="84"/>
      <c r="BR1571" s="84"/>
      <c r="BS1571" s="84"/>
      <c r="BT1571" s="84"/>
      <c r="BU1571" s="84"/>
      <c r="BV1571" s="84"/>
      <c r="BW1571" s="84"/>
      <c r="BX1571" s="84"/>
      <c r="BY1571" s="84"/>
      <c r="BZ1571" s="84"/>
      <c r="CA1571" s="84"/>
      <c r="CB1571" s="84"/>
      <c r="CC1571" s="84"/>
      <c r="CD1571" s="84"/>
      <c r="CE1571" s="84"/>
      <c r="CF1571" s="84"/>
      <c r="CG1571" s="84"/>
      <c r="CH1571" s="84"/>
      <c r="CI1571" s="84"/>
      <c r="CJ1571" s="84"/>
      <c r="CK1571" s="84"/>
      <c r="CL1571" s="84"/>
    </row>
    <row r="1572" spans="66:90" s="354" customFormat="1" x14ac:dyDescent="0.2">
      <c r="BN1572" s="84"/>
      <c r="BO1572" s="84"/>
      <c r="BP1572" s="84"/>
      <c r="BQ1572" s="84"/>
      <c r="BR1572" s="84"/>
      <c r="BS1572" s="84"/>
      <c r="BT1572" s="84"/>
      <c r="BU1572" s="84"/>
      <c r="BV1572" s="84"/>
      <c r="BW1572" s="84"/>
      <c r="BX1572" s="84"/>
      <c r="BY1572" s="84"/>
      <c r="BZ1572" s="84"/>
      <c r="CA1572" s="84"/>
      <c r="CB1572" s="84"/>
      <c r="CC1572" s="84"/>
      <c r="CD1572" s="84"/>
      <c r="CE1572" s="84"/>
      <c r="CF1572" s="84"/>
      <c r="CG1572" s="84"/>
      <c r="CH1572" s="84"/>
      <c r="CI1572" s="84"/>
      <c r="CJ1572" s="84"/>
      <c r="CK1572" s="84"/>
      <c r="CL1572" s="84"/>
    </row>
    <row r="1573" spans="66:90" s="354" customFormat="1" x14ac:dyDescent="0.2">
      <c r="BN1573" s="84"/>
      <c r="BO1573" s="84"/>
      <c r="BP1573" s="84"/>
      <c r="BQ1573" s="84"/>
      <c r="BR1573" s="84"/>
      <c r="BS1573" s="84"/>
      <c r="BT1573" s="84"/>
      <c r="BU1573" s="84"/>
      <c r="BV1573" s="84"/>
      <c r="BW1573" s="84"/>
      <c r="BX1573" s="84"/>
      <c r="BY1573" s="84"/>
      <c r="BZ1573" s="84"/>
      <c r="CA1573" s="84"/>
      <c r="CB1573" s="84"/>
      <c r="CC1573" s="84"/>
      <c r="CD1573" s="84"/>
      <c r="CE1573" s="84"/>
      <c r="CF1573" s="84"/>
      <c r="CG1573" s="84"/>
      <c r="CH1573" s="84"/>
      <c r="CI1573" s="84"/>
      <c r="CJ1573" s="84"/>
      <c r="CK1573" s="84"/>
      <c r="CL1573" s="84"/>
    </row>
    <row r="1574" spans="66:90" s="354" customFormat="1" x14ac:dyDescent="0.2">
      <c r="BN1574" s="84"/>
      <c r="BO1574" s="84"/>
      <c r="BP1574" s="84"/>
      <c r="BQ1574" s="84"/>
      <c r="BR1574" s="84"/>
      <c r="BS1574" s="84"/>
      <c r="BT1574" s="84"/>
      <c r="BU1574" s="84"/>
      <c r="BV1574" s="84"/>
      <c r="BW1574" s="84"/>
      <c r="BX1574" s="84"/>
      <c r="BY1574" s="84"/>
      <c r="BZ1574" s="84"/>
      <c r="CA1574" s="84"/>
      <c r="CB1574" s="84"/>
      <c r="CC1574" s="84"/>
      <c r="CD1574" s="84"/>
      <c r="CE1574" s="84"/>
      <c r="CF1574" s="84"/>
      <c r="CG1574" s="84"/>
      <c r="CH1574" s="84"/>
      <c r="CI1574" s="84"/>
      <c r="CJ1574" s="84"/>
      <c r="CK1574" s="84"/>
      <c r="CL1574" s="84"/>
    </row>
    <row r="1575" spans="66:90" s="354" customFormat="1" x14ac:dyDescent="0.2">
      <c r="BN1575" s="84"/>
      <c r="BO1575" s="84"/>
      <c r="BP1575" s="84"/>
      <c r="BQ1575" s="84"/>
      <c r="BR1575" s="84"/>
      <c r="BS1575" s="84"/>
      <c r="BT1575" s="84"/>
      <c r="BU1575" s="84"/>
      <c r="BV1575" s="84"/>
      <c r="BW1575" s="84"/>
      <c r="BX1575" s="84"/>
      <c r="BY1575" s="84"/>
      <c r="BZ1575" s="84"/>
      <c r="CA1575" s="84"/>
      <c r="CB1575" s="84"/>
      <c r="CC1575" s="84"/>
      <c r="CD1575" s="84"/>
      <c r="CE1575" s="84"/>
      <c r="CF1575" s="84"/>
      <c r="CG1575" s="84"/>
      <c r="CH1575" s="84"/>
      <c r="CI1575" s="84"/>
      <c r="CJ1575" s="84"/>
      <c r="CK1575" s="84"/>
      <c r="CL1575" s="84"/>
    </row>
    <row r="1576" spans="66:90" s="354" customFormat="1" x14ac:dyDescent="0.2">
      <c r="BN1576" s="84"/>
      <c r="BO1576" s="84"/>
      <c r="BP1576" s="84"/>
      <c r="BQ1576" s="84"/>
      <c r="BR1576" s="84"/>
      <c r="BS1576" s="84"/>
      <c r="BT1576" s="84"/>
      <c r="BU1576" s="84"/>
      <c r="BV1576" s="84"/>
      <c r="BW1576" s="84"/>
      <c r="BX1576" s="84"/>
      <c r="BY1576" s="84"/>
      <c r="BZ1576" s="84"/>
      <c r="CA1576" s="84"/>
      <c r="CB1576" s="84"/>
      <c r="CC1576" s="84"/>
      <c r="CD1576" s="84"/>
      <c r="CE1576" s="84"/>
      <c r="CF1576" s="84"/>
      <c r="CG1576" s="84"/>
      <c r="CH1576" s="84"/>
      <c r="CI1576" s="84"/>
      <c r="CJ1576" s="84"/>
      <c r="CK1576" s="84"/>
      <c r="CL1576" s="84"/>
    </row>
    <row r="1577" spans="66:90" s="354" customFormat="1" x14ac:dyDescent="0.2">
      <c r="BN1577" s="84"/>
      <c r="BO1577" s="84"/>
      <c r="BP1577" s="84"/>
      <c r="BQ1577" s="84"/>
      <c r="BR1577" s="84"/>
      <c r="BS1577" s="84"/>
      <c r="BT1577" s="84"/>
      <c r="BU1577" s="84"/>
      <c r="BV1577" s="84"/>
      <c r="BW1577" s="84"/>
      <c r="BX1577" s="84"/>
      <c r="BY1577" s="84"/>
      <c r="BZ1577" s="84"/>
      <c r="CA1577" s="84"/>
      <c r="CB1577" s="84"/>
      <c r="CC1577" s="84"/>
      <c r="CD1577" s="84"/>
      <c r="CE1577" s="84"/>
      <c r="CF1577" s="84"/>
      <c r="CG1577" s="84"/>
      <c r="CH1577" s="84"/>
      <c r="CI1577" s="84"/>
      <c r="CJ1577" s="84"/>
      <c r="CK1577" s="84"/>
      <c r="CL1577" s="84"/>
    </row>
    <row r="1578" spans="66:90" s="354" customFormat="1" x14ac:dyDescent="0.2">
      <c r="BN1578" s="84"/>
      <c r="BO1578" s="84"/>
      <c r="BP1578" s="84"/>
      <c r="BQ1578" s="84"/>
      <c r="BR1578" s="84"/>
      <c r="BS1578" s="84"/>
      <c r="BT1578" s="84"/>
      <c r="BU1578" s="84"/>
      <c r="BV1578" s="84"/>
      <c r="BW1578" s="84"/>
      <c r="BX1578" s="84"/>
      <c r="BY1578" s="84"/>
      <c r="BZ1578" s="84"/>
      <c r="CA1578" s="84"/>
      <c r="CB1578" s="84"/>
      <c r="CC1578" s="84"/>
      <c r="CD1578" s="84"/>
      <c r="CE1578" s="84"/>
      <c r="CF1578" s="84"/>
      <c r="CG1578" s="84"/>
      <c r="CH1578" s="84"/>
      <c r="CI1578" s="84"/>
      <c r="CJ1578" s="84"/>
      <c r="CK1578" s="84"/>
      <c r="CL1578" s="84"/>
    </row>
    <row r="1579" spans="66:90" s="354" customFormat="1" x14ac:dyDescent="0.2">
      <c r="BN1579" s="84"/>
      <c r="BO1579" s="84"/>
      <c r="BP1579" s="84"/>
      <c r="BQ1579" s="84"/>
      <c r="BR1579" s="84"/>
      <c r="BS1579" s="84"/>
      <c r="BT1579" s="84"/>
      <c r="BU1579" s="84"/>
      <c r="BV1579" s="84"/>
      <c r="BW1579" s="84"/>
      <c r="BX1579" s="84"/>
      <c r="BY1579" s="84"/>
      <c r="BZ1579" s="84"/>
      <c r="CA1579" s="84"/>
      <c r="CB1579" s="84"/>
      <c r="CC1579" s="84"/>
      <c r="CD1579" s="84"/>
      <c r="CE1579" s="84"/>
      <c r="CF1579" s="84"/>
      <c r="CG1579" s="84"/>
      <c r="CH1579" s="84"/>
      <c r="CI1579" s="84"/>
      <c r="CJ1579" s="84"/>
      <c r="CK1579" s="84"/>
      <c r="CL1579" s="84"/>
    </row>
    <row r="1580" spans="66:90" s="354" customFormat="1" x14ac:dyDescent="0.2">
      <c r="BN1580" s="84"/>
      <c r="BO1580" s="84"/>
      <c r="BP1580" s="84"/>
      <c r="BQ1580" s="84"/>
      <c r="BR1580" s="84"/>
      <c r="BS1580" s="84"/>
      <c r="BT1580" s="84"/>
      <c r="BU1580" s="84"/>
      <c r="BV1580" s="84"/>
      <c r="BW1580" s="84"/>
      <c r="BX1580" s="84"/>
      <c r="BY1580" s="84"/>
      <c r="BZ1580" s="84"/>
      <c r="CA1580" s="84"/>
      <c r="CB1580" s="84"/>
      <c r="CC1580" s="84"/>
      <c r="CD1580" s="84"/>
      <c r="CE1580" s="84"/>
      <c r="CF1580" s="84"/>
      <c r="CG1580" s="84"/>
      <c r="CH1580" s="84"/>
      <c r="CI1580" s="84"/>
      <c r="CJ1580" s="84"/>
      <c r="CK1580" s="84"/>
      <c r="CL1580" s="84"/>
    </row>
    <row r="1581" spans="66:90" s="354" customFormat="1" x14ac:dyDescent="0.2">
      <c r="BN1581" s="84"/>
      <c r="BO1581" s="84"/>
      <c r="BP1581" s="84"/>
      <c r="BQ1581" s="84"/>
      <c r="BR1581" s="84"/>
      <c r="BS1581" s="84"/>
      <c r="BT1581" s="84"/>
      <c r="BU1581" s="84"/>
      <c r="BV1581" s="84"/>
      <c r="BW1581" s="84"/>
      <c r="BX1581" s="84"/>
      <c r="BY1581" s="84"/>
      <c r="BZ1581" s="84"/>
      <c r="CA1581" s="84"/>
      <c r="CB1581" s="84"/>
      <c r="CC1581" s="84"/>
      <c r="CD1581" s="84"/>
      <c r="CE1581" s="84"/>
      <c r="CF1581" s="84"/>
      <c r="CG1581" s="84"/>
      <c r="CH1581" s="84"/>
      <c r="CI1581" s="84"/>
      <c r="CJ1581" s="84"/>
      <c r="CK1581" s="84"/>
      <c r="CL1581" s="84"/>
    </row>
    <row r="1582" spans="66:90" s="354" customFormat="1" x14ac:dyDescent="0.2">
      <c r="BN1582" s="84"/>
      <c r="BO1582" s="84"/>
      <c r="BP1582" s="84"/>
      <c r="BQ1582" s="84"/>
      <c r="BR1582" s="84"/>
      <c r="BS1582" s="84"/>
      <c r="BT1582" s="84"/>
      <c r="BU1582" s="84"/>
      <c r="BV1582" s="84"/>
      <c r="BW1582" s="84"/>
      <c r="BX1582" s="84"/>
      <c r="BY1582" s="84"/>
      <c r="BZ1582" s="84"/>
      <c r="CA1582" s="84"/>
      <c r="CB1582" s="84"/>
      <c r="CC1582" s="84"/>
      <c r="CD1582" s="84"/>
      <c r="CE1582" s="84"/>
      <c r="CF1582" s="84"/>
      <c r="CG1582" s="84"/>
      <c r="CH1582" s="84"/>
      <c r="CI1582" s="84"/>
      <c r="CJ1582" s="84"/>
      <c r="CK1582" s="84"/>
      <c r="CL1582" s="84"/>
    </row>
    <row r="1583" spans="66:90" s="354" customFormat="1" x14ac:dyDescent="0.2">
      <c r="BN1583" s="84"/>
      <c r="BO1583" s="84"/>
      <c r="BP1583" s="84"/>
      <c r="BQ1583" s="84"/>
      <c r="BR1583" s="84"/>
      <c r="BS1583" s="84"/>
      <c r="BT1583" s="84"/>
      <c r="BU1583" s="84"/>
      <c r="BV1583" s="84"/>
      <c r="BW1583" s="84"/>
      <c r="BX1583" s="84"/>
      <c r="BY1583" s="84"/>
      <c r="BZ1583" s="84"/>
      <c r="CA1583" s="84"/>
      <c r="CB1583" s="84"/>
      <c r="CC1583" s="84"/>
      <c r="CD1583" s="84"/>
      <c r="CE1583" s="84"/>
      <c r="CF1583" s="84"/>
      <c r="CG1583" s="84"/>
      <c r="CH1583" s="84"/>
      <c r="CI1583" s="84"/>
      <c r="CJ1583" s="84"/>
      <c r="CK1583" s="84"/>
      <c r="CL1583" s="84"/>
    </row>
    <row r="1584" spans="66:90" s="354" customFormat="1" x14ac:dyDescent="0.2">
      <c r="BN1584" s="84"/>
      <c r="BO1584" s="84"/>
      <c r="BP1584" s="84"/>
      <c r="BQ1584" s="84"/>
      <c r="BR1584" s="84"/>
      <c r="BS1584" s="84"/>
      <c r="BT1584" s="84"/>
      <c r="BU1584" s="84"/>
      <c r="BV1584" s="84"/>
      <c r="BW1584" s="84"/>
      <c r="BX1584" s="84"/>
      <c r="BY1584" s="84"/>
      <c r="BZ1584" s="84"/>
      <c r="CA1584" s="84"/>
      <c r="CB1584" s="84"/>
      <c r="CC1584" s="84"/>
      <c r="CD1584" s="84"/>
      <c r="CE1584" s="84"/>
      <c r="CF1584" s="84"/>
      <c r="CG1584" s="84"/>
      <c r="CH1584" s="84"/>
      <c r="CI1584" s="84"/>
      <c r="CJ1584" s="84"/>
      <c r="CK1584" s="84"/>
      <c r="CL1584" s="84"/>
    </row>
    <row r="1585" spans="66:90" s="354" customFormat="1" x14ac:dyDescent="0.2">
      <c r="BN1585" s="84"/>
      <c r="BO1585" s="84"/>
      <c r="BP1585" s="84"/>
      <c r="BQ1585" s="84"/>
      <c r="BR1585" s="84"/>
      <c r="BS1585" s="84"/>
      <c r="BT1585" s="84"/>
      <c r="BU1585" s="84"/>
      <c r="BV1585" s="84"/>
      <c r="BW1585" s="84"/>
      <c r="BX1585" s="84"/>
      <c r="BY1585" s="84"/>
      <c r="BZ1585" s="84"/>
      <c r="CA1585" s="84"/>
      <c r="CB1585" s="84"/>
      <c r="CC1585" s="84"/>
      <c r="CD1585" s="84"/>
      <c r="CE1585" s="84"/>
      <c r="CF1585" s="84"/>
      <c r="CG1585" s="84"/>
      <c r="CH1585" s="84"/>
      <c r="CI1585" s="84"/>
      <c r="CJ1585" s="84"/>
      <c r="CK1585" s="84"/>
      <c r="CL1585" s="84"/>
    </row>
    <row r="1586" spans="66:90" s="354" customFormat="1" x14ac:dyDescent="0.2">
      <c r="BN1586" s="84"/>
      <c r="BO1586" s="84"/>
      <c r="BP1586" s="84"/>
      <c r="BQ1586" s="84"/>
      <c r="BR1586" s="84"/>
      <c r="BS1586" s="84"/>
      <c r="BT1586" s="84"/>
      <c r="BU1586" s="84"/>
      <c r="BV1586" s="84"/>
      <c r="BW1586" s="84"/>
      <c r="BX1586" s="84"/>
      <c r="BY1586" s="84"/>
      <c r="BZ1586" s="84"/>
      <c r="CA1586" s="84"/>
      <c r="CB1586" s="84"/>
      <c r="CC1586" s="84"/>
      <c r="CD1586" s="84"/>
      <c r="CE1586" s="84"/>
      <c r="CF1586" s="84"/>
      <c r="CG1586" s="84"/>
      <c r="CH1586" s="84"/>
      <c r="CI1586" s="84"/>
      <c r="CJ1586" s="84"/>
      <c r="CK1586" s="84"/>
      <c r="CL1586" s="84"/>
    </row>
    <row r="1587" spans="66:90" s="354" customFormat="1" x14ac:dyDescent="0.2">
      <c r="BN1587" s="84"/>
      <c r="BO1587" s="84"/>
      <c r="BP1587" s="84"/>
      <c r="BQ1587" s="84"/>
      <c r="BR1587" s="84"/>
      <c r="BS1587" s="84"/>
      <c r="BT1587" s="84"/>
      <c r="BU1587" s="84"/>
      <c r="BV1587" s="84"/>
      <c r="BW1587" s="84"/>
      <c r="BX1587" s="84"/>
      <c r="BY1587" s="84"/>
      <c r="BZ1587" s="84"/>
      <c r="CA1587" s="84"/>
      <c r="CB1587" s="84"/>
      <c r="CC1587" s="84"/>
      <c r="CD1587" s="84"/>
      <c r="CE1587" s="84"/>
      <c r="CF1587" s="84"/>
      <c r="CG1587" s="84"/>
      <c r="CH1587" s="84"/>
      <c r="CI1587" s="84"/>
      <c r="CJ1587" s="84"/>
      <c r="CK1587" s="84"/>
      <c r="CL1587" s="84"/>
    </row>
    <row r="1588" spans="66:90" s="354" customFormat="1" x14ac:dyDescent="0.2">
      <c r="BN1588" s="84"/>
      <c r="BO1588" s="84"/>
      <c r="BP1588" s="84"/>
      <c r="BQ1588" s="84"/>
      <c r="BR1588" s="84"/>
      <c r="BS1588" s="84"/>
      <c r="BT1588" s="84"/>
      <c r="BU1588" s="84"/>
      <c r="BV1588" s="84"/>
      <c r="BW1588" s="84"/>
      <c r="BX1588" s="84"/>
      <c r="BY1588" s="84"/>
      <c r="BZ1588" s="84"/>
      <c r="CA1588" s="84"/>
      <c r="CB1588" s="84"/>
      <c r="CC1588" s="84"/>
      <c r="CD1588" s="84"/>
      <c r="CE1588" s="84"/>
      <c r="CF1588" s="84"/>
      <c r="CG1588" s="84"/>
      <c r="CH1588" s="84"/>
      <c r="CI1588" s="84"/>
      <c r="CJ1588" s="84"/>
      <c r="CK1588" s="84"/>
      <c r="CL1588" s="84"/>
    </row>
    <row r="1589" spans="66:90" s="354" customFormat="1" x14ac:dyDescent="0.2">
      <c r="BN1589" s="84"/>
      <c r="BO1589" s="84"/>
      <c r="BP1589" s="84"/>
      <c r="BQ1589" s="84"/>
      <c r="BR1589" s="84"/>
      <c r="BS1589" s="84"/>
      <c r="BT1589" s="84"/>
      <c r="BU1589" s="84"/>
      <c r="BV1589" s="84"/>
      <c r="BW1589" s="84"/>
      <c r="BX1589" s="84"/>
      <c r="BY1589" s="84"/>
      <c r="BZ1589" s="84"/>
      <c r="CA1589" s="84"/>
      <c r="CB1589" s="84"/>
      <c r="CC1589" s="84"/>
      <c r="CD1589" s="84"/>
      <c r="CE1589" s="84"/>
      <c r="CF1589" s="84"/>
      <c r="CG1589" s="84"/>
      <c r="CH1589" s="84"/>
      <c r="CI1589" s="84"/>
      <c r="CJ1589" s="84"/>
      <c r="CK1589" s="84"/>
      <c r="CL1589" s="84"/>
    </row>
    <row r="1590" spans="66:90" s="354" customFormat="1" x14ac:dyDescent="0.2">
      <c r="BN1590" s="84"/>
      <c r="BO1590" s="84"/>
      <c r="BP1590" s="84"/>
      <c r="BQ1590" s="84"/>
      <c r="BR1590" s="84"/>
      <c r="BS1590" s="84"/>
      <c r="BT1590" s="84"/>
      <c r="BU1590" s="84"/>
      <c r="BV1590" s="84"/>
      <c r="BW1590" s="84"/>
      <c r="BX1590" s="84"/>
      <c r="BY1590" s="84"/>
      <c r="BZ1590" s="84"/>
      <c r="CA1590" s="84"/>
      <c r="CB1590" s="84"/>
      <c r="CC1590" s="84"/>
      <c r="CD1590" s="84"/>
      <c r="CE1590" s="84"/>
      <c r="CF1590" s="84"/>
      <c r="CG1590" s="84"/>
      <c r="CH1590" s="84"/>
      <c r="CI1590" s="84"/>
      <c r="CJ1590" s="84"/>
      <c r="CK1590" s="84"/>
      <c r="CL1590" s="84"/>
    </row>
    <row r="1591" spans="66:90" s="354" customFormat="1" x14ac:dyDescent="0.2">
      <c r="BN1591" s="84"/>
      <c r="BO1591" s="84"/>
      <c r="BP1591" s="84"/>
      <c r="BQ1591" s="84"/>
      <c r="BR1591" s="84"/>
      <c r="BS1591" s="84"/>
      <c r="BT1591" s="84"/>
      <c r="BU1591" s="84"/>
      <c r="BV1591" s="84"/>
      <c r="BW1591" s="84"/>
      <c r="BX1591" s="84"/>
      <c r="BY1591" s="84"/>
      <c r="BZ1591" s="84"/>
      <c r="CA1591" s="84"/>
      <c r="CB1591" s="84"/>
      <c r="CC1591" s="84"/>
      <c r="CD1591" s="84"/>
      <c r="CE1591" s="84"/>
      <c r="CF1591" s="84"/>
      <c r="CG1591" s="84"/>
      <c r="CH1591" s="84"/>
      <c r="CI1591" s="84"/>
      <c r="CJ1591" s="84"/>
      <c r="CK1591" s="84"/>
      <c r="CL1591" s="84"/>
    </row>
    <row r="1592" spans="66:90" s="354" customFormat="1" x14ac:dyDescent="0.2">
      <c r="BN1592" s="84"/>
      <c r="BO1592" s="84"/>
      <c r="BP1592" s="84"/>
      <c r="BQ1592" s="84"/>
      <c r="BR1592" s="84"/>
      <c r="BS1592" s="84"/>
      <c r="BT1592" s="84"/>
      <c r="BU1592" s="84"/>
      <c r="BV1592" s="84"/>
      <c r="BW1592" s="84"/>
      <c r="BX1592" s="84"/>
      <c r="BY1592" s="84"/>
      <c r="BZ1592" s="84"/>
      <c r="CA1592" s="84"/>
      <c r="CB1592" s="84"/>
      <c r="CC1592" s="84"/>
      <c r="CD1592" s="84"/>
      <c r="CE1592" s="84"/>
      <c r="CF1592" s="84"/>
      <c r="CG1592" s="84"/>
      <c r="CH1592" s="84"/>
      <c r="CI1592" s="84"/>
      <c r="CJ1592" s="84"/>
      <c r="CK1592" s="84"/>
      <c r="CL1592" s="84"/>
    </row>
    <row r="1593" spans="66:90" s="354" customFormat="1" x14ac:dyDescent="0.2">
      <c r="BN1593" s="84"/>
      <c r="BO1593" s="84"/>
      <c r="BP1593" s="84"/>
      <c r="BQ1593" s="84"/>
      <c r="BR1593" s="84"/>
      <c r="BS1593" s="84"/>
      <c r="BT1593" s="84"/>
      <c r="BU1593" s="84"/>
      <c r="BV1593" s="84"/>
      <c r="BW1593" s="84"/>
      <c r="BX1593" s="84"/>
      <c r="BY1593" s="84"/>
      <c r="BZ1593" s="84"/>
      <c r="CA1593" s="84"/>
      <c r="CB1593" s="84"/>
      <c r="CC1593" s="84"/>
      <c r="CD1593" s="84"/>
      <c r="CE1593" s="84"/>
      <c r="CF1593" s="84"/>
      <c r="CG1593" s="84"/>
      <c r="CH1593" s="84"/>
      <c r="CI1593" s="84"/>
      <c r="CJ1593" s="84"/>
      <c r="CK1593" s="84"/>
      <c r="CL1593" s="84"/>
    </row>
    <row r="1594" spans="66:90" s="354" customFormat="1" x14ac:dyDescent="0.2">
      <c r="BN1594" s="84"/>
      <c r="BO1594" s="84"/>
      <c r="BP1594" s="84"/>
      <c r="BQ1594" s="84"/>
      <c r="BR1594" s="84"/>
      <c r="BS1594" s="84"/>
      <c r="BT1594" s="84"/>
      <c r="BU1594" s="84"/>
      <c r="BV1594" s="84"/>
      <c r="BW1594" s="84"/>
      <c r="BX1594" s="84"/>
      <c r="BY1594" s="84"/>
      <c r="BZ1594" s="84"/>
      <c r="CA1594" s="84"/>
      <c r="CB1594" s="84"/>
      <c r="CC1594" s="84"/>
      <c r="CD1594" s="84"/>
      <c r="CE1594" s="84"/>
      <c r="CF1594" s="84"/>
      <c r="CG1594" s="84"/>
      <c r="CH1594" s="84"/>
      <c r="CI1594" s="84"/>
      <c r="CJ1594" s="84"/>
      <c r="CK1594" s="84"/>
      <c r="CL1594" s="84"/>
    </row>
    <row r="1595" spans="66:90" s="354" customFormat="1" x14ac:dyDescent="0.2">
      <c r="BN1595" s="84"/>
      <c r="BO1595" s="84"/>
      <c r="BP1595" s="84"/>
      <c r="BQ1595" s="84"/>
      <c r="BR1595" s="84"/>
      <c r="BS1595" s="84"/>
      <c r="BT1595" s="84"/>
      <c r="BU1595" s="84"/>
      <c r="BV1595" s="84"/>
      <c r="BW1595" s="84"/>
      <c r="BX1595" s="84"/>
      <c r="BY1595" s="84"/>
      <c r="BZ1595" s="84"/>
      <c r="CA1595" s="84"/>
      <c r="CB1595" s="84"/>
      <c r="CC1595" s="84"/>
      <c r="CD1595" s="84"/>
      <c r="CE1595" s="84"/>
      <c r="CF1595" s="84"/>
      <c r="CG1595" s="84"/>
      <c r="CH1595" s="84"/>
      <c r="CI1595" s="84"/>
      <c r="CJ1595" s="84"/>
      <c r="CK1595" s="84"/>
      <c r="CL1595" s="84"/>
    </row>
    <row r="1596" spans="66:90" s="354" customFormat="1" x14ac:dyDescent="0.2">
      <c r="BN1596" s="84"/>
      <c r="BO1596" s="84"/>
      <c r="BP1596" s="84"/>
      <c r="BQ1596" s="84"/>
      <c r="BR1596" s="84"/>
      <c r="BS1596" s="84"/>
      <c r="BT1596" s="84"/>
      <c r="BU1596" s="84"/>
      <c r="BV1596" s="84"/>
      <c r="BW1596" s="84"/>
      <c r="BX1596" s="84"/>
      <c r="BY1596" s="84"/>
      <c r="BZ1596" s="84"/>
      <c r="CA1596" s="84"/>
      <c r="CB1596" s="84"/>
      <c r="CC1596" s="84"/>
      <c r="CD1596" s="84"/>
      <c r="CE1596" s="84"/>
      <c r="CF1596" s="84"/>
      <c r="CG1596" s="84"/>
      <c r="CH1596" s="84"/>
      <c r="CI1596" s="84"/>
      <c r="CJ1596" s="84"/>
      <c r="CK1596" s="84"/>
      <c r="CL1596" s="84"/>
    </row>
    <row r="1597" spans="66:90" s="354" customFormat="1" x14ac:dyDescent="0.2">
      <c r="BN1597" s="84"/>
      <c r="BO1597" s="84"/>
      <c r="BP1597" s="84"/>
      <c r="BQ1597" s="84"/>
      <c r="BR1597" s="84"/>
      <c r="BS1597" s="84"/>
      <c r="BT1597" s="84"/>
      <c r="BU1597" s="84"/>
      <c r="BV1597" s="84"/>
      <c r="BW1597" s="84"/>
      <c r="BX1597" s="84"/>
      <c r="BY1597" s="84"/>
      <c r="BZ1597" s="84"/>
      <c r="CA1597" s="84"/>
      <c r="CB1597" s="84"/>
      <c r="CC1597" s="84"/>
      <c r="CD1597" s="84"/>
      <c r="CE1597" s="84"/>
      <c r="CF1597" s="84"/>
      <c r="CG1597" s="84"/>
      <c r="CH1597" s="84"/>
      <c r="CI1597" s="84"/>
      <c r="CJ1597" s="84"/>
      <c r="CK1597" s="84"/>
      <c r="CL1597" s="84"/>
    </row>
    <row r="1598" spans="66:90" s="354" customFormat="1" x14ac:dyDescent="0.2">
      <c r="BN1598" s="84"/>
      <c r="BO1598" s="84"/>
      <c r="BP1598" s="84"/>
      <c r="BQ1598" s="84"/>
      <c r="BR1598" s="84"/>
      <c r="BS1598" s="84"/>
      <c r="BT1598" s="84"/>
      <c r="BU1598" s="84"/>
      <c r="BV1598" s="84"/>
      <c r="BW1598" s="84"/>
      <c r="BX1598" s="84"/>
      <c r="BY1598" s="84"/>
      <c r="BZ1598" s="84"/>
      <c r="CA1598" s="84"/>
      <c r="CB1598" s="84"/>
      <c r="CC1598" s="84"/>
      <c r="CD1598" s="84"/>
      <c r="CE1598" s="84"/>
      <c r="CF1598" s="84"/>
      <c r="CG1598" s="84"/>
      <c r="CH1598" s="84"/>
      <c r="CI1598" s="84"/>
      <c r="CJ1598" s="84"/>
      <c r="CK1598" s="84"/>
      <c r="CL1598" s="84"/>
    </row>
    <row r="1599" spans="66:90" s="354" customFormat="1" x14ac:dyDescent="0.2">
      <c r="BN1599" s="84"/>
      <c r="BO1599" s="84"/>
      <c r="BP1599" s="84"/>
      <c r="BQ1599" s="84"/>
      <c r="BR1599" s="84"/>
      <c r="BS1599" s="84"/>
      <c r="BT1599" s="84"/>
      <c r="BU1599" s="84"/>
      <c r="BV1599" s="84"/>
      <c r="BW1599" s="84"/>
      <c r="BX1599" s="84"/>
      <c r="BY1599" s="84"/>
      <c r="BZ1599" s="84"/>
      <c r="CA1599" s="84"/>
      <c r="CB1599" s="84"/>
      <c r="CC1599" s="84"/>
      <c r="CD1599" s="84"/>
      <c r="CE1599" s="84"/>
      <c r="CF1599" s="84"/>
      <c r="CG1599" s="84"/>
      <c r="CH1599" s="84"/>
      <c r="CI1599" s="84"/>
      <c r="CJ1599" s="84"/>
      <c r="CK1599" s="84"/>
      <c r="CL1599" s="84"/>
    </row>
    <row r="1600" spans="66:90" s="354" customFormat="1" x14ac:dyDescent="0.2">
      <c r="BN1600" s="84"/>
      <c r="BO1600" s="84"/>
      <c r="BP1600" s="84"/>
      <c r="BQ1600" s="84"/>
      <c r="BR1600" s="84"/>
      <c r="BS1600" s="84"/>
      <c r="BT1600" s="84"/>
      <c r="BU1600" s="84"/>
      <c r="BV1600" s="84"/>
      <c r="BW1600" s="84"/>
      <c r="BX1600" s="84"/>
      <c r="BY1600" s="84"/>
      <c r="BZ1600" s="84"/>
      <c r="CA1600" s="84"/>
      <c r="CB1600" s="84"/>
      <c r="CC1600" s="84"/>
      <c r="CD1600" s="84"/>
      <c r="CE1600" s="84"/>
      <c r="CF1600" s="84"/>
      <c r="CG1600" s="84"/>
      <c r="CH1600" s="84"/>
      <c r="CI1600" s="84"/>
      <c r="CJ1600" s="84"/>
      <c r="CK1600" s="84"/>
      <c r="CL1600" s="84"/>
    </row>
    <row r="1601" spans="66:90" s="354" customFormat="1" x14ac:dyDescent="0.2">
      <c r="BN1601" s="84"/>
      <c r="BO1601" s="84"/>
      <c r="BP1601" s="84"/>
      <c r="BQ1601" s="84"/>
      <c r="BR1601" s="84"/>
      <c r="BS1601" s="84"/>
      <c r="BT1601" s="84"/>
      <c r="BU1601" s="84"/>
      <c r="BV1601" s="84"/>
      <c r="BW1601" s="84"/>
      <c r="BX1601" s="84"/>
      <c r="BY1601" s="84"/>
      <c r="BZ1601" s="84"/>
      <c r="CA1601" s="84"/>
      <c r="CB1601" s="84"/>
      <c r="CC1601" s="84"/>
      <c r="CD1601" s="84"/>
      <c r="CE1601" s="84"/>
      <c r="CF1601" s="84"/>
      <c r="CG1601" s="84"/>
      <c r="CH1601" s="84"/>
      <c r="CI1601" s="84"/>
      <c r="CJ1601" s="84"/>
      <c r="CK1601" s="84"/>
      <c r="CL1601" s="84"/>
    </row>
    <row r="1602" spans="66:90" s="354" customFormat="1" x14ac:dyDescent="0.2">
      <c r="BN1602" s="84"/>
      <c r="BO1602" s="84"/>
      <c r="BP1602" s="84"/>
      <c r="BQ1602" s="84"/>
      <c r="BR1602" s="84"/>
      <c r="BS1602" s="84"/>
      <c r="BT1602" s="84"/>
      <c r="BU1602" s="84"/>
      <c r="BV1602" s="84"/>
      <c r="BW1602" s="84"/>
      <c r="BX1602" s="84"/>
      <c r="BY1602" s="84"/>
      <c r="BZ1602" s="84"/>
      <c r="CA1602" s="84"/>
      <c r="CB1602" s="84"/>
      <c r="CC1602" s="84"/>
      <c r="CD1602" s="84"/>
      <c r="CE1602" s="84"/>
      <c r="CF1602" s="84"/>
      <c r="CG1602" s="84"/>
      <c r="CH1602" s="84"/>
      <c r="CI1602" s="84"/>
      <c r="CJ1602" s="84"/>
      <c r="CK1602" s="84"/>
      <c r="CL1602" s="84"/>
    </row>
    <row r="1603" spans="66:90" s="354" customFormat="1" x14ac:dyDescent="0.2">
      <c r="BN1603" s="84"/>
      <c r="BO1603" s="84"/>
      <c r="BP1603" s="84"/>
      <c r="BQ1603" s="84"/>
      <c r="BR1603" s="84"/>
      <c r="BS1603" s="84"/>
      <c r="BT1603" s="84"/>
      <c r="BU1603" s="84"/>
      <c r="BV1603" s="84"/>
      <c r="BW1603" s="84"/>
      <c r="BX1603" s="84"/>
      <c r="BY1603" s="84"/>
      <c r="BZ1603" s="84"/>
      <c r="CA1603" s="84"/>
      <c r="CB1603" s="84"/>
      <c r="CC1603" s="84"/>
      <c r="CD1603" s="84"/>
      <c r="CE1603" s="84"/>
      <c r="CF1603" s="84"/>
      <c r="CG1603" s="84"/>
      <c r="CH1603" s="84"/>
      <c r="CI1603" s="84"/>
      <c r="CJ1603" s="84"/>
      <c r="CK1603" s="84"/>
      <c r="CL1603" s="84"/>
    </row>
    <row r="1604" spans="66:90" s="354" customFormat="1" x14ac:dyDescent="0.2">
      <c r="BN1604" s="84"/>
      <c r="BO1604" s="84"/>
      <c r="BP1604" s="84"/>
      <c r="BQ1604" s="84"/>
      <c r="BR1604" s="84"/>
      <c r="BS1604" s="84"/>
      <c r="BT1604" s="84"/>
      <c r="BU1604" s="84"/>
      <c r="BV1604" s="84"/>
      <c r="BW1604" s="84"/>
      <c r="BX1604" s="84"/>
      <c r="BY1604" s="84"/>
      <c r="BZ1604" s="84"/>
      <c r="CA1604" s="84"/>
      <c r="CB1604" s="84"/>
      <c r="CC1604" s="84"/>
      <c r="CD1604" s="84"/>
      <c r="CE1604" s="84"/>
      <c r="CF1604" s="84"/>
      <c r="CG1604" s="84"/>
      <c r="CH1604" s="84"/>
      <c r="CI1604" s="84"/>
      <c r="CJ1604" s="84"/>
      <c r="CK1604" s="84"/>
      <c r="CL1604" s="84"/>
    </row>
    <row r="1605" spans="66:90" s="354" customFormat="1" x14ac:dyDescent="0.2">
      <c r="BN1605" s="84"/>
      <c r="BO1605" s="84"/>
      <c r="BP1605" s="84"/>
      <c r="BQ1605" s="84"/>
      <c r="BR1605" s="84"/>
      <c r="BS1605" s="84"/>
      <c r="BT1605" s="84"/>
      <c r="BU1605" s="84"/>
      <c r="BV1605" s="84"/>
      <c r="BW1605" s="84"/>
      <c r="BX1605" s="84"/>
      <c r="BY1605" s="84"/>
      <c r="BZ1605" s="84"/>
      <c r="CA1605" s="84"/>
      <c r="CB1605" s="84"/>
      <c r="CC1605" s="84"/>
      <c r="CD1605" s="84"/>
      <c r="CE1605" s="84"/>
      <c r="CF1605" s="84"/>
      <c r="CG1605" s="84"/>
      <c r="CH1605" s="84"/>
      <c r="CI1605" s="84"/>
      <c r="CJ1605" s="84"/>
      <c r="CK1605" s="84"/>
      <c r="CL1605" s="84"/>
    </row>
    <row r="1606" spans="66:90" s="354" customFormat="1" x14ac:dyDescent="0.2">
      <c r="BN1606" s="84"/>
      <c r="BO1606" s="84"/>
      <c r="BP1606" s="84"/>
      <c r="BQ1606" s="84"/>
      <c r="BR1606" s="84"/>
      <c r="BS1606" s="84"/>
      <c r="BT1606" s="84"/>
      <c r="BU1606" s="84"/>
      <c r="BV1606" s="84"/>
      <c r="BW1606" s="84"/>
      <c r="BX1606" s="84"/>
      <c r="BY1606" s="84"/>
      <c r="BZ1606" s="84"/>
      <c r="CA1606" s="84"/>
      <c r="CB1606" s="84"/>
      <c r="CC1606" s="84"/>
      <c r="CD1606" s="84"/>
      <c r="CE1606" s="84"/>
      <c r="CF1606" s="84"/>
      <c r="CG1606" s="84"/>
      <c r="CH1606" s="84"/>
      <c r="CI1606" s="84"/>
      <c r="CJ1606" s="84"/>
      <c r="CK1606" s="84"/>
      <c r="CL1606" s="84"/>
    </row>
    <row r="1607" spans="66:90" s="354" customFormat="1" x14ac:dyDescent="0.2">
      <c r="BN1607" s="84"/>
      <c r="BO1607" s="84"/>
      <c r="BP1607" s="84"/>
      <c r="BQ1607" s="84"/>
      <c r="BR1607" s="84"/>
      <c r="BS1607" s="84"/>
      <c r="BT1607" s="84"/>
      <c r="BU1607" s="84"/>
      <c r="BV1607" s="84"/>
      <c r="BW1607" s="84"/>
      <c r="BX1607" s="84"/>
      <c r="BY1607" s="84"/>
      <c r="BZ1607" s="84"/>
      <c r="CA1607" s="84"/>
      <c r="CB1607" s="84"/>
      <c r="CC1607" s="84"/>
      <c r="CD1607" s="84"/>
      <c r="CE1607" s="84"/>
      <c r="CF1607" s="84"/>
      <c r="CG1607" s="84"/>
      <c r="CH1607" s="84"/>
      <c r="CI1607" s="84"/>
      <c r="CJ1607" s="84"/>
      <c r="CK1607" s="84"/>
      <c r="CL1607" s="84"/>
    </row>
    <row r="1608" spans="66:90" s="354" customFormat="1" x14ac:dyDescent="0.2">
      <c r="BN1608" s="84"/>
      <c r="BO1608" s="84"/>
      <c r="BP1608" s="84"/>
      <c r="BQ1608" s="84"/>
      <c r="BR1608" s="84"/>
      <c r="BS1608" s="84"/>
      <c r="BT1608" s="84"/>
      <c r="BU1608" s="84"/>
      <c r="BV1608" s="84"/>
      <c r="BW1608" s="84"/>
      <c r="BX1608" s="84"/>
      <c r="BY1608" s="84"/>
      <c r="BZ1608" s="84"/>
      <c r="CA1608" s="84"/>
      <c r="CB1608" s="84"/>
      <c r="CC1608" s="84"/>
      <c r="CD1608" s="84"/>
      <c r="CE1608" s="84"/>
      <c r="CF1608" s="84"/>
      <c r="CG1608" s="84"/>
      <c r="CH1608" s="84"/>
      <c r="CI1608" s="84"/>
      <c r="CJ1608" s="84"/>
      <c r="CK1608" s="84"/>
      <c r="CL1608" s="84"/>
    </row>
    <row r="1609" spans="66:90" s="354" customFormat="1" x14ac:dyDescent="0.2">
      <c r="BN1609" s="84"/>
      <c r="BO1609" s="84"/>
      <c r="BP1609" s="84"/>
      <c r="BQ1609" s="84"/>
      <c r="BR1609" s="84"/>
      <c r="BS1609" s="84"/>
      <c r="BT1609" s="84"/>
      <c r="BU1609" s="84"/>
      <c r="BV1609" s="84"/>
      <c r="BW1609" s="84"/>
      <c r="BX1609" s="84"/>
      <c r="BY1609" s="84"/>
      <c r="BZ1609" s="84"/>
      <c r="CA1609" s="84"/>
      <c r="CB1609" s="84"/>
      <c r="CC1609" s="84"/>
      <c r="CD1609" s="84"/>
      <c r="CE1609" s="84"/>
      <c r="CF1609" s="84"/>
      <c r="CG1609" s="84"/>
      <c r="CH1609" s="84"/>
      <c r="CI1609" s="84"/>
      <c r="CJ1609" s="84"/>
      <c r="CK1609" s="84"/>
      <c r="CL1609" s="84"/>
    </row>
    <row r="1610" spans="66:90" s="354" customFormat="1" x14ac:dyDescent="0.2">
      <c r="BN1610" s="84"/>
      <c r="BO1610" s="84"/>
      <c r="BP1610" s="84"/>
      <c r="BQ1610" s="84"/>
      <c r="BR1610" s="84"/>
      <c r="BS1610" s="84"/>
      <c r="BT1610" s="84"/>
      <c r="BU1610" s="84"/>
      <c r="BV1610" s="84"/>
      <c r="BW1610" s="84"/>
      <c r="BX1610" s="84"/>
      <c r="BY1610" s="84"/>
      <c r="BZ1610" s="84"/>
      <c r="CA1610" s="84"/>
      <c r="CB1610" s="84"/>
      <c r="CC1610" s="84"/>
      <c r="CD1610" s="84"/>
      <c r="CE1610" s="84"/>
      <c r="CF1610" s="84"/>
      <c r="CG1610" s="84"/>
      <c r="CH1610" s="84"/>
      <c r="CI1610" s="84"/>
      <c r="CJ1610" s="84"/>
      <c r="CK1610" s="84"/>
      <c r="CL1610" s="84"/>
    </row>
    <row r="1611" spans="66:90" s="354" customFormat="1" x14ac:dyDescent="0.2">
      <c r="BN1611" s="84"/>
      <c r="BO1611" s="84"/>
      <c r="BP1611" s="84"/>
      <c r="BQ1611" s="84"/>
      <c r="BR1611" s="84"/>
      <c r="BS1611" s="84"/>
      <c r="BT1611" s="84"/>
      <c r="BU1611" s="84"/>
      <c r="BV1611" s="84"/>
      <c r="BW1611" s="84"/>
      <c r="BX1611" s="84"/>
      <c r="BY1611" s="84"/>
      <c r="BZ1611" s="84"/>
      <c r="CA1611" s="84"/>
      <c r="CB1611" s="84"/>
      <c r="CC1611" s="84"/>
      <c r="CD1611" s="84"/>
      <c r="CE1611" s="84"/>
      <c r="CF1611" s="84"/>
      <c r="CG1611" s="84"/>
      <c r="CH1611" s="84"/>
      <c r="CI1611" s="84"/>
      <c r="CJ1611" s="84"/>
      <c r="CK1611" s="84"/>
      <c r="CL1611" s="84"/>
    </row>
    <row r="1612" spans="66:90" s="354" customFormat="1" x14ac:dyDescent="0.2">
      <c r="BN1612" s="84"/>
      <c r="BO1612" s="84"/>
      <c r="BP1612" s="84"/>
      <c r="BQ1612" s="84"/>
      <c r="BR1612" s="84"/>
      <c r="BS1612" s="84"/>
      <c r="BT1612" s="84"/>
      <c r="BU1612" s="84"/>
      <c r="BV1612" s="84"/>
      <c r="BW1612" s="84"/>
      <c r="BX1612" s="84"/>
      <c r="BY1612" s="84"/>
      <c r="BZ1612" s="84"/>
      <c r="CA1612" s="84"/>
      <c r="CB1612" s="84"/>
      <c r="CC1612" s="84"/>
      <c r="CD1612" s="84"/>
      <c r="CE1612" s="84"/>
      <c r="CF1612" s="84"/>
      <c r="CG1612" s="84"/>
      <c r="CH1612" s="84"/>
      <c r="CI1612" s="84"/>
      <c r="CJ1612" s="84"/>
      <c r="CK1612" s="84"/>
      <c r="CL1612" s="84"/>
    </row>
    <row r="1613" spans="66:90" s="354" customFormat="1" x14ac:dyDescent="0.2">
      <c r="BN1613" s="84"/>
      <c r="BO1613" s="84"/>
      <c r="BP1613" s="84"/>
      <c r="BQ1613" s="84"/>
      <c r="BR1613" s="84"/>
      <c r="BS1613" s="84"/>
      <c r="BT1613" s="84"/>
      <c r="BU1613" s="84"/>
      <c r="BV1613" s="84"/>
      <c r="BW1613" s="84"/>
      <c r="BX1613" s="84"/>
      <c r="BY1613" s="84"/>
      <c r="BZ1613" s="84"/>
      <c r="CA1613" s="84"/>
      <c r="CB1613" s="84"/>
      <c r="CC1613" s="84"/>
      <c r="CD1613" s="84"/>
      <c r="CE1613" s="84"/>
      <c r="CF1613" s="84"/>
      <c r="CG1613" s="84"/>
      <c r="CH1613" s="84"/>
      <c r="CI1613" s="84"/>
      <c r="CJ1613" s="84"/>
      <c r="CK1613" s="84"/>
      <c r="CL1613" s="84"/>
    </row>
    <row r="1614" spans="66:90" s="354" customFormat="1" x14ac:dyDescent="0.2">
      <c r="BN1614" s="84"/>
      <c r="BO1614" s="84"/>
      <c r="BP1614" s="84"/>
      <c r="BQ1614" s="84"/>
      <c r="BR1614" s="84"/>
      <c r="BS1614" s="84"/>
      <c r="BT1614" s="84"/>
      <c r="BU1614" s="84"/>
      <c r="BV1614" s="84"/>
      <c r="BW1614" s="84"/>
      <c r="BX1614" s="84"/>
      <c r="BY1614" s="84"/>
      <c r="BZ1614" s="84"/>
      <c r="CA1614" s="84"/>
      <c r="CB1614" s="84"/>
      <c r="CC1614" s="84"/>
      <c r="CD1614" s="84"/>
      <c r="CE1614" s="84"/>
      <c r="CF1614" s="84"/>
      <c r="CG1614" s="84"/>
      <c r="CH1614" s="84"/>
      <c r="CI1614" s="84"/>
      <c r="CJ1614" s="84"/>
      <c r="CK1614" s="84"/>
      <c r="CL1614" s="84"/>
    </row>
    <row r="1615" spans="66:90" s="354" customFormat="1" x14ac:dyDescent="0.2">
      <c r="BN1615" s="84"/>
      <c r="BO1615" s="84"/>
      <c r="BP1615" s="84"/>
      <c r="BQ1615" s="84"/>
      <c r="BR1615" s="84"/>
      <c r="BS1615" s="84"/>
      <c r="BT1615" s="84"/>
      <c r="BU1615" s="84"/>
      <c r="BV1615" s="84"/>
      <c r="BW1615" s="84"/>
      <c r="BX1615" s="84"/>
      <c r="BY1615" s="84"/>
      <c r="BZ1615" s="84"/>
      <c r="CA1615" s="84"/>
      <c r="CB1615" s="84"/>
      <c r="CC1615" s="84"/>
      <c r="CD1615" s="84"/>
      <c r="CE1615" s="84"/>
      <c r="CF1615" s="84"/>
      <c r="CG1615" s="84"/>
      <c r="CH1615" s="84"/>
      <c r="CI1615" s="84"/>
      <c r="CJ1615" s="84"/>
      <c r="CK1615" s="84"/>
      <c r="CL1615" s="84"/>
    </row>
    <row r="1616" spans="66:90" s="354" customFormat="1" x14ac:dyDescent="0.2">
      <c r="BN1616" s="84"/>
      <c r="BO1616" s="84"/>
      <c r="BP1616" s="84"/>
      <c r="BQ1616" s="84"/>
      <c r="BR1616" s="84"/>
      <c r="BS1616" s="84"/>
      <c r="BT1616" s="84"/>
      <c r="BU1616" s="84"/>
      <c r="BV1616" s="84"/>
      <c r="BW1616" s="84"/>
      <c r="BX1616" s="84"/>
      <c r="BY1616" s="84"/>
      <c r="BZ1616" s="84"/>
      <c r="CA1616" s="84"/>
      <c r="CB1616" s="84"/>
      <c r="CC1616" s="84"/>
      <c r="CD1616" s="84"/>
      <c r="CE1616" s="84"/>
      <c r="CF1616" s="84"/>
      <c r="CG1616" s="84"/>
      <c r="CH1616" s="84"/>
      <c r="CI1616" s="84"/>
      <c r="CJ1616" s="84"/>
      <c r="CK1616" s="84"/>
      <c r="CL1616" s="84"/>
    </row>
    <row r="1617" spans="66:90" s="354" customFormat="1" x14ac:dyDescent="0.2">
      <c r="BN1617" s="84"/>
      <c r="BO1617" s="84"/>
      <c r="BP1617" s="84"/>
      <c r="BQ1617" s="84"/>
      <c r="BR1617" s="84"/>
      <c r="BS1617" s="84"/>
      <c r="BT1617" s="84"/>
      <c r="BU1617" s="84"/>
      <c r="BV1617" s="84"/>
      <c r="BW1617" s="84"/>
      <c r="BX1617" s="84"/>
      <c r="BY1617" s="84"/>
      <c r="BZ1617" s="84"/>
      <c r="CA1617" s="84"/>
      <c r="CB1617" s="84"/>
      <c r="CC1617" s="84"/>
      <c r="CD1617" s="84"/>
      <c r="CE1617" s="84"/>
      <c r="CF1617" s="84"/>
      <c r="CG1617" s="84"/>
      <c r="CH1617" s="84"/>
      <c r="CI1617" s="84"/>
      <c r="CJ1617" s="84"/>
      <c r="CK1617" s="84"/>
      <c r="CL1617" s="84"/>
    </row>
    <row r="1618" spans="66:90" s="354" customFormat="1" x14ac:dyDescent="0.2">
      <c r="BN1618" s="84"/>
      <c r="BO1618" s="84"/>
      <c r="BP1618" s="84"/>
      <c r="BQ1618" s="84"/>
      <c r="BR1618" s="84"/>
      <c r="BS1618" s="84"/>
      <c r="BT1618" s="84"/>
      <c r="BU1618" s="84"/>
      <c r="BV1618" s="84"/>
      <c r="BW1618" s="84"/>
      <c r="BX1618" s="84"/>
      <c r="BY1618" s="84"/>
      <c r="BZ1618" s="84"/>
      <c r="CA1618" s="84"/>
      <c r="CB1618" s="84"/>
      <c r="CC1618" s="84"/>
      <c r="CD1618" s="84"/>
      <c r="CE1618" s="84"/>
      <c r="CF1618" s="84"/>
      <c r="CG1618" s="84"/>
      <c r="CH1618" s="84"/>
      <c r="CI1618" s="84"/>
      <c r="CJ1618" s="84"/>
      <c r="CK1618" s="84"/>
      <c r="CL1618" s="84"/>
    </row>
    <row r="1619" spans="66:90" s="354" customFormat="1" x14ac:dyDescent="0.2">
      <c r="BN1619" s="84"/>
      <c r="BO1619" s="84"/>
      <c r="BP1619" s="84"/>
      <c r="BQ1619" s="84"/>
      <c r="BR1619" s="84"/>
      <c r="BS1619" s="84"/>
      <c r="BT1619" s="84"/>
      <c r="BU1619" s="84"/>
      <c r="BV1619" s="84"/>
      <c r="BW1619" s="84"/>
      <c r="BX1619" s="84"/>
      <c r="BY1619" s="84"/>
      <c r="BZ1619" s="84"/>
      <c r="CA1619" s="84"/>
      <c r="CB1619" s="84"/>
      <c r="CC1619" s="84"/>
      <c r="CD1619" s="84"/>
      <c r="CE1619" s="84"/>
      <c r="CF1619" s="84"/>
      <c r="CG1619" s="84"/>
      <c r="CH1619" s="84"/>
      <c r="CI1619" s="84"/>
      <c r="CJ1619" s="84"/>
      <c r="CK1619" s="84"/>
      <c r="CL1619" s="84"/>
    </row>
    <row r="1620" spans="66:90" s="354" customFormat="1" x14ac:dyDescent="0.2">
      <c r="BN1620" s="84"/>
      <c r="BO1620" s="84"/>
      <c r="BP1620" s="84"/>
      <c r="BQ1620" s="84"/>
      <c r="BR1620" s="84"/>
      <c r="BS1620" s="84"/>
      <c r="BT1620" s="84"/>
      <c r="BU1620" s="84"/>
      <c r="BV1620" s="84"/>
      <c r="BW1620" s="84"/>
      <c r="BX1620" s="84"/>
      <c r="BY1620" s="84"/>
      <c r="BZ1620" s="84"/>
      <c r="CA1620" s="84"/>
      <c r="CB1620" s="84"/>
      <c r="CC1620" s="84"/>
      <c r="CD1620" s="84"/>
      <c r="CE1620" s="84"/>
      <c r="CF1620" s="84"/>
      <c r="CG1620" s="84"/>
      <c r="CH1620" s="84"/>
      <c r="CI1620" s="84"/>
      <c r="CJ1620" s="84"/>
      <c r="CK1620" s="84"/>
      <c r="CL1620" s="84"/>
    </row>
    <row r="1621" spans="66:90" s="354" customFormat="1" x14ac:dyDescent="0.2">
      <c r="BN1621" s="84"/>
      <c r="BO1621" s="84"/>
      <c r="BP1621" s="84"/>
      <c r="BQ1621" s="84"/>
      <c r="BR1621" s="84"/>
      <c r="BS1621" s="84"/>
      <c r="BT1621" s="84"/>
      <c r="BU1621" s="84"/>
      <c r="BV1621" s="84"/>
      <c r="BW1621" s="84"/>
      <c r="BX1621" s="84"/>
      <c r="BY1621" s="84"/>
      <c r="BZ1621" s="84"/>
      <c r="CA1621" s="84"/>
      <c r="CB1621" s="84"/>
      <c r="CC1621" s="84"/>
      <c r="CD1621" s="84"/>
      <c r="CE1621" s="84"/>
      <c r="CF1621" s="84"/>
      <c r="CG1621" s="84"/>
      <c r="CH1621" s="84"/>
      <c r="CI1621" s="84"/>
      <c r="CJ1621" s="84"/>
      <c r="CK1621" s="84"/>
      <c r="CL1621" s="84"/>
    </row>
    <row r="1622" spans="66:90" s="354" customFormat="1" x14ac:dyDescent="0.2">
      <c r="BN1622" s="84"/>
      <c r="BO1622" s="84"/>
      <c r="BP1622" s="84"/>
      <c r="BQ1622" s="84"/>
      <c r="BR1622" s="84"/>
      <c r="BS1622" s="84"/>
      <c r="BT1622" s="84"/>
      <c r="BU1622" s="84"/>
      <c r="BV1622" s="84"/>
      <c r="BW1622" s="84"/>
      <c r="BX1622" s="84"/>
      <c r="BY1622" s="84"/>
      <c r="BZ1622" s="84"/>
      <c r="CA1622" s="84"/>
      <c r="CB1622" s="84"/>
      <c r="CC1622" s="84"/>
      <c r="CD1622" s="84"/>
      <c r="CE1622" s="84"/>
      <c r="CF1622" s="84"/>
      <c r="CG1622" s="84"/>
      <c r="CH1622" s="84"/>
      <c r="CI1622" s="84"/>
      <c r="CJ1622" s="84"/>
      <c r="CK1622" s="84"/>
      <c r="CL1622" s="84"/>
    </row>
    <row r="1623" spans="66:90" s="354" customFormat="1" x14ac:dyDescent="0.2">
      <c r="BN1623" s="84"/>
      <c r="BO1623" s="84"/>
      <c r="BP1623" s="84"/>
      <c r="BQ1623" s="84"/>
      <c r="BR1623" s="84"/>
      <c r="BS1623" s="84"/>
      <c r="BT1623" s="84"/>
      <c r="BU1623" s="84"/>
      <c r="BV1623" s="84"/>
      <c r="BW1623" s="84"/>
      <c r="BX1623" s="84"/>
      <c r="BY1623" s="84"/>
      <c r="BZ1623" s="84"/>
      <c r="CA1623" s="84"/>
      <c r="CB1623" s="84"/>
      <c r="CC1623" s="84"/>
      <c r="CD1623" s="84"/>
      <c r="CE1623" s="84"/>
      <c r="CF1623" s="84"/>
      <c r="CG1623" s="84"/>
      <c r="CH1623" s="84"/>
      <c r="CI1623" s="84"/>
      <c r="CJ1623" s="84"/>
      <c r="CK1623" s="84"/>
      <c r="CL1623" s="84"/>
    </row>
    <row r="1624" spans="66:90" s="354" customFormat="1" x14ac:dyDescent="0.2">
      <c r="BN1624" s="84"/>
      <c r="BO1624" s="84"/>
      <c r="BP1624" s="84"/>
      <c r="BQ1624" s="84"/>
      <c r="BR1624" s="84"/>
      <c r="BS1624" s="84"/>
      <c r="BT1624" s="84"/>
      <c r="BU1624" s="84"/>
      <c r="BV1624" s="84"/>
      <c r="BW1624" s="84"/>
      <c r="BX1624" s="84"/>
      <c r="BY1624" s="84"/>
      <c r="BZ1624" s="84"/>
      <c r="CA1624" s="84"/>
      <c r="CB1624" s="84"/>
      <c r="CC1624" s="84"/>
      <c r="CD1624" s="84"/>
      <c r="CE1624" s="84"/>
      <c r="CF1624" s="84"/>
      <c r="CG1624" s="84"/>
      <c r="CH1624" s="84"/>
      <c r="CI1624" s="84"/>
      <c r="CJ1624" s="84"/>
      <c r="CK1624" s="84"/>
      <c r="CL1624" s="84"/>
    </row>
    <row r="1625" spans="66:90" s="354" customFormat="1" x14ac:dyDescent="0.2">
      <c r="BN1625" s="84"/>
      <c r="BO1625" s="84"/>
      <c r="BP1625" s="84"/>
      <c r="BQ1625" s="84"/>
      <c r="BR1625" s="84"/>
      <c r="BS1625" s="84"/>
      <c r="BT1625" s="84"/>
      <c r="BU1625" s="84"/>
      <c r="BV1625" s="84"/>
      <c r="BW1625" s="84"/>
      <c r="BX1625" s="84"/>
      <c r="BY1625" s="84"/>
      <c r="BZ1625" s="84"/>
      <c r="CA1625" s="84"/>
      <c r="CB1625" s="84"/>
      <c r="CC1625" s="84"/>
      <c r="CD1625" s="84"/>
      <c r="CE1625" s="84"/>
      <c r="CF1625" s="84"/>
      <c r="CG1625" s="84"/>
      <c r="CH1625" s="84"/>
      <c r="CI1625" s="84"/>
      <c r="CJ1625" s="84"/>
      <c r="CK1625" s="84"/>
      <c r="CL1625" s="84"/>
    </row>
    <row r="1626" spans="66:90" s="354" customFormat="1" x14ac:dyDescent="0.2">
      <c r="BN1626" s="84"/>
      <c r="BO1626" s="84"/>
      <c r="BP1626" s="84"/>
      <c r="BQ1626" s="84"/>
      <c r="BR1626" s="84"/>
      <c r="BS1626" s="84"/>
      <c r="BT1626" s="84"/>
      <c r="BU1626" s="84"/>
      <c r="BV1626" s="84"/>
      <c r="BW1626" s="84"/>
      <c r="BX1626" s="84"/>
      <c r="BY1626" s="84"/>
      <c r="BZ1626" s="84"/>
      <c r="CA1626" s="84"/>
      <c r="CB1626" s="84"/>
      <c r="CC1626" s="84"/>
      <c r="CD1626" s="84"/>
      <c r="CE1626" s="84"/>
      <c r="CF1626" s="84"/>
      <c r="CG1626" s="84"/>
      <c r="CH1626" s="84"/>
      <c r="CI1626" s="84"/>
      <c r="CJ1626" s="84"/>
      <c r="CK1626" s="84"/>
      <c r="CL1626" s="84"/>
    </row>
    <row r="1627" spans="66:90" s="354" customFormat="1" x14ac:dyDescent="0.2">
      <c r="BN1627" s="84"/>
      <c r="BO1627" s="84"/>
      <c r="BP1627" s="84"/>
      <c r="BQ1627" s="84"/>
      <c r="BR1627" s="84"/>
      <c r="BS1627" s="84"/>
      <c r="BT1627" s="84"/>
      <c r="BU1627" s="84"/>
      <c r="BV1627" s="84"/>
      <c r="BW1627" s="84"/>
      <c r="BX1627" s="84"/>
      <c r="BY1627" s="84"/>
      <c r="BZ1627" s="84"/>
      <c r="CA1627" s="84"/>
      <c r="CB1627" s="84"/>
      <c r="CC1627" s="84"/>
      <c r="CD1627" s="84"/>
      <c r="CE1627" s="84"/>
      <c r="CF1627" s="84"/>
      <c r="CG1627" s="84"/>
      <c r="CH1627" s="84"/>
      <c r="CI1627" s="84"/>
      <c r="CJ1627" s="84"/>
      <c r="CK1627" s="84"/>
      <c r="CL1627" s="84"/>
    </row>
    <row r="1628" spans="66:90" s="354" customFormat="1" x14ac:dyDescent="0.2">
      <c r="BN1628" s="84"/>
      <c r="BO1628" s="84"/>
      <c r="BP1628" s="84"/>
      <c r="BQ1628" s="84"/>
      <c r="BR1628" s="84"/>
      <c r="BS1628" s="84"/>
      <c r="BT1628" s="84"/>
      <c r="BU1628" s="84"/>
      <c r="BV1628" s="84"/>
      <c r="BW1628" s="84"/>
      <c r="BX1628" s="84"/>
      <c r="BY1628" s="84"/>
      <c r="BZ1628" s="84"/>
      <c r="CA1628" s="84"/>
      <c r="CB1628" s="84"/>
      <c r="CC1628" s="84"/>
      <c r="CD1628" s="84"/>
      <c r="CE1628" s="84"/>
      <c r="CF1628" s="84"/>
      <c r="CG1628" s="84"/>
      <c r="CH1628" s="84"/>
      <c r="CI1628" s="84"/>
      <c r="CJ1628" s="84"/>
      <c r="CK1628" s="84"/>
      <c r="CL1628" s="84"/>
    </row>
    <row r="1629" spans="66:90" s="354" customFormat="1" x14ac:dyDescent="0.2">
      <c r="BN1629" s="84"/>
      <c r="BO1629" s="84"/>
      <c r="BP1629" s="84"/>
      <c r="BQ1629" s="84"/>
      <c r="BR1629" s="84"/>
      <c r="BS1629" s="84"/>
      <c r="BT1629" s="84"/>
      <c r="BU1629" s="84"/>
      <c r="BV1629" s="84"/>
      <c r="BW1629" s="84"/>
      <c r="BX1629" s="84"/>
      <c r="BY1629" s="84"/>
      <c r="BZ1629" s="84"/>
      <c r="CA1629" s="84"/>
      <c r="CB1629" s="84"/>
      <c r="CC1629" s="84"/>
      <c r="CD1629" s="84"/>
      <c r="CE1629" s="84"/>
      <c r="CF1629" s="84"/>
      <c r="CG1629" s="84"/>
      <c r="CH1629" s="84"/>
      <c r="CI1629" s="84"/>
      <c r="CJ1629" s="84"/>
      <c r="CK1629" s="84"/>
      <c r="CL1629" s="84"/>
    </row>
    <row r="1630" spans="66:90" s="354" customFormat="1" x14ac:dyDescent="0.2">
      <c r="BN1630" s="84"/>
      <c r="BO1630" s="84"/>
      <c r="BP1630" s="84"/>
      <c r="BQ1630" s="84"/>
      <c r="BR1630" s="84"/>
      <c r="BS1630" s="84"/>
      <c r="BT1630" s="84"/>
      <c r="BU1630" s="84"/>
      <c r="BV1630" s="84"/>
      <c r="BW1630" s="84"/>
      <c r="BX1630" s="84"/>
      <c r="BY1630" s="84"/>
      <c r="BZ1630" s="84"/>
      <c r="CA1630" s="84"/>
      <c r="CB1630" s="84"/>
      <c r="CC1630" s="84"/>
      <c r="CD1630" s="84"/>
      <c r="CE1630" s="84"/>
      <c r="CF1630" s="84"/>
      <c r="CG1630" s="84"/>
      <c r="CH1630" s="84"/>
      <c r="CI1630" s="84"/>
      <c r="CJ1630" s="84"/>
      <c r="CK1630" s="84"/>
      <c r="CL1630" s="84"/>
    </row>
    <row r="1631" spans="66:90" s="354" customFormat="1" x14ac:dyDescent="0.2">
      <c r="BN1631" s="84"/>
      <c r="BO1631" s="84"/>
      <c r="BP1631" s="84"/>
      <c r="BQ1631" s="84"/>
      <c r="BR1631" s="84"/>
      <c r="BS1631" s="84"/>
      <c r="BT1631" s="84"/>
      <c r="BU1631" s="84"/>
      <c r="BV1631" s="84"/>
      <c r="BW1631" s="84"/>
      <c r="BX1631" s="84"/>
      <c r="BY1631" s="84"/>
      <c r="BZ1631" s="84"/>
      <c r="CA1631" s="84"/>
      <c r="CB1631" s="84"/>
      <c r="CC1631" s="84"/>
      <c r="CD1631" s="84"/>
      <c r="CE1631" s="84"/>
      <c r="CF1631" s="84"/>
      <c r="CG1631" s="84"/>
      <c r="CH1631" s="84"/>
      <c r="CI1631" s="84"/>
      <c r="CJ1631" s="84"/>
      <c r="CK1631" s="84"/>
      <c r="CL1631" s="84"/>
    </row>
    <row r="1632" spans="66:90" s="354" customFormat="1" x14ac:dyDescent="0.2">
      <c r="BN1632" s="84"/>
      <c r="BO1632" s="84"/>
      <c r="BP1632" s="84"/>
      <c r="BQ1632" s="84"/>
      <c r="BR1632" s="84"/>
      <c r="BS1632" s="84"/>
      <c r="BT1632" s="84"/>
      <c r="BU1632" s="84"/>
      <c r="BV1632" s="84"/>
      <c r="BW1632" s="84"/>
      <c r="BX1632" s="84"/>
      <c r="BY1632" s="84"/>
      <c r="BZ1632" s="84"/>
      <c r="CA1632" s="84"/>
      <c r="CB1632" s="84"/>
      <c r="CC1632" s="84"/>
      <c r="CD1632" s="84"/>
      <c r="CE1632" s="84"/>
      <c r="CF1632" s="84"/>
      <c r="CG1632" s="84"/>
      <c r="CH1632" s="84"/>
      <c r="CI1632" s="84"/>
      <c r="CJ1632" s="84"/>
      <c r="CK1632" s="84"/>
      <c r="CL1632" s="84"/>
    </row>
    <row r="1633" spans="66:90" s="354" customFormat="1" x14ac:dyDescent="0.2">
      <c r="BN1633" s="84"/>
      <c r="BO1633" s="84"/>
      <c r="BP1633" s="84"/>
      <c r="BQ1633" s="84"/>
      <c r="BR1633" s="84"/>
      <c r="BS1633" s="84"/>
      <c r="BT1633" s="84"/>
      <c r="BU1633" s="84"/>
      <c r="BV1633" s="84"/>
      <c r="BW1633" s="84"/>
      <c r="BX1633" s="84"/>
      <c r="BY1633" s="84"/>
      <c r="BZ1633" s="84"/>
      <c r="CA1633" s="84"/>
      <c r="CB1633" s="84"/>
      <c r="CC1633" s="84"/>
      <c r="CD1633" s="84"/>
      <c r="CE1633" s="84"/>
      <c r="CF1633" s="84"/>
      <c r="CG1633" s="84"/>
      <c r="CH1633" s="84"/>
      <c r="CI1633" s="84"/>
      <c r="CJ1633" s="84"/>
      <c r="CK1633" s="84"/>
      <c r="CL1633" s="84"/>
    </row>
    <row r="1634" spans="66:90" s="354" customFormat="1" x14ac:dyDescent="0.2">
      <c r="BN1634" s="84"/>
      <c r="BO1634" s="84"/>
      <c r="BP1634" s="84"/>
      <c r="BQ1634" s="84"/>
      <c r="BR1634" s="84"/>
      <c r="BS1634" s="84"/>
      <c r="BT1634" s="84"/>
      <c r="BU1634" s="84"/>
      <c r="BV1634" s="84"/>
      <c r="BW1634" s="84"/>
      <c r="BX1634" s="84"/>
      <c r="BY1634" s="84"/>
      <c r="BZ1634" s="84"/>
      <c r="CA1634" s="84"/>
      <c r="CB1634" s="84"/>
      <c r="CC1634" s="84"/>
      <c r="CD1634" s="84"/>
      <c r="CE1634" s="84"/>
      <c r="CF1634" s="84"/>
      <c r="CG1634" s="84"/>
      <c r="CH1634" s="84"/>
      <c r="CI1634" s="84"/>
      <c r="CJ1634" s="84"/>
      <c r="CK1634" s="84"/>
      <c r="CL1634" s="84"/>
    </row>
    <row r="1635" spans="66:90" s="354" customFormat="1" x14ac:dyDescent="0.2">
      <c r="BN1635" s="84"/>
      <c r="BO1635" s="84"/>
      <c r="BP1635" s="84"/>
      <c r="BQ1635" s="84"/>
      <c r="BR1635" s="84"/>
      <c r="BS1635" s="84"/>
      <c r="BT1635" s="84"/>
      <c r="BU1635" s="84"/>
      <c r="BV1635" s="84"/>
      <c r="BW1635" s="84"/>
      <c r="BX1635" s="84"/>
      <c r="BY1635" s="84"/>
      <c r="BZ1635" s="84"/>
      <c r="CA1635" s="84"/>
      <c r="CB1635" s="84"/>
      <c r="CC1635" s="84"/>
      <c r="CD1635" s="84"/>
      <c r="CE1635" s="84"/>
      <c r="CF1635" s="84"/>
      <c r="CG1635" s="84"/>
      <c r="CH1635" s="84"/>
      <c r="CI1635" s="84"/>
      <c r="CJ1635" s="84"/>
      <c r="CK1635" s="84"/>
      <c r="CL1635" s="84"/>
    </row>
    <row r="1636" spans="66:90" s="354" customFormat="1" x14ac:dyDescent="0.2">
      <c r="BN1636" s="84"/>
      <c r="BO1636" s="84"/>
      <c r="BP1636" s="84"/>
      <c r="BQ1636" s="84"/>
      <c r="BR1636" s="84"/>
      <c r="BS1636" s="84"/>
      <c r="BT1636" s="84"/>
      <c r="BU1636" s="84"/>
      <c r="BV1636" s="84"/>
      <c r="BW1636" s="84"/>
      <c r="BX1636" s="84"/>
      <c r="BY1636" s="84"/>
      <c r="BZ1636" s="84"/>
      <c r="CA1636" s="84"/>
      <c r="CB1636" s="84"/>
      <c r="CC1636" s="84"/>
      <c r="CD1636" s="84"/>
      <c r="CE1636" s="84"/>
      <c r="CF1636" s="84"/>
      <c r="CG1636" s="84"/>
      <c r="CH1636" s="84"/>
      <c r="CI1636" s="84"/>
      <c r="CJ1636" s="84"/>
      <c r="CK1636" s="84"/>
      <c r="CL1636" s="84"/>
    </row>
    <row r="1637" spans="66:90" s="354" customFormat="1" x14ac:dyDescent="0.2">
      <c r="BN1637" s="84"/>
      <c r="BO1637" s="84"/>
      <c r="BP1637" s="84"/>
      <c r="BQ1637" s="84"/>
      <c r="BR1637" s="84"/>
      <c r="BS1637" s="84"/>
      <c r="BT1637" s="84"/>
      <c r="BU1637" s="84"/>
      <c r="BV1637" s="84"/>
      <c r="BW1637" s="84"/>
      <c r="BX1637" s="84"/>
      <c r="BY1637" s="84"/>
      <c r="BZ1637" s="84"/>
      <c r="CA1637" s="84"/>
      <c r="CB1637" s="84"/>
      <c r="CC1637" s="84"/>
      <c r="CD1637" s="84"/>
      <c r="CE1637" s="84"/>
      <c r="CF1637" s="84"/>
      <c r="CG1637" s="84"/>
      <c r="CH1637" s="84"/>
      <c r="CI1637" s="84"/>
      <c r="CJ1637" s="84"/>
      <c r="CK1637" s="84"/>
      <c r="CL1637" s="84"/>
    </row>
    <row r="1638" spans="66:90" s="354" customFormat="1" x14ac:dyDescent="0.2">
      <c r="BN1638" s="84"/>
      <c r="BO1638" s="84"/>
      <c r="BP1638" s="84"/>
      <c r="BQ1638" s="84"/>
      <c r="BR1638" s="84"/>
      <c r="BS1638" s="84"/>
      <c r="BT1638" s="84"/>
      <c r="BU1638" s="84"/>
      <c r="BV1638" s="84"/>
      <c r="BW1638" s="84"/>
      <c r="BX1638" s="84"/>
      <c r="BY1638" s="84"/>
      <c r="BZ1638" s="84"/>
      <c r="CA1638" s="84"/>
      <c r="CB1638" s="84"/>
      <c r="CC1638" s="84"/>
      <c r="CD1638" s="84"/>
      <c r="CE1638" s="84"/>
      <c r="CF1638" s="84"/>
      <c r="CG1638" s="84"/>
      <c r="CH1638" s="84"/>
      <c r="CI1638" s="84"/>
      <c r="CJ1638" s="84"/>
      <c r="CK1638" s="84"/>
      <c r="CL1638" s="84"/>
    </row>
    <row r="1639" spans="66:90" s="354" customFormat="1" x14ac:dyDescent="0.2">
      <c r="BN1639" s="84"/>
      <c r="BO1639" s="84"/>
      <c r="BP1639" s="84"/>
      <c r="BQ1639" s="84"/>
      <c r="BR1639" s="84"/>
      <c r="BS1639" s="84"/>
      <c r="BT1639" s="84"/>
      <c r="BU1639" s="84"/>
      <c r="BV1639" s="84"/>
      <c r="BW1639" s="84"/>
      <c r="BX1639" s="84"/>
      <c r="BY1639" s="84"/>
      <c r="BZ1639" s="84"/>
      <c r="CA1639" s="84"/>
      <c r="CB1639" s="84"/>
      <c r="CC1639" s="84"/>
      <c r="CD1639" s="84"/>
      <c r="CE1639" s="84"/>
      <c r="CF1639" s="84"/>
      <c r="CG1639" s="84"/>
      <c r="CH1639" s="84"/>
      <c r="CI1639" s="84"/>
      <c r="CJ1639" s="84"/>
      <c r="CK1639" s="84"/>
      <c r="CL1639" s="84"/>
    </row>
    <row r="1640" spans="66:90" s="354" customFormat="1" x14ac:dyDescent="0.2">
      <c r="BN1640" s="84"/>
      <c r="BO1640" s="84"/>
      <c r="BP1640" s="84"/>
      <c r="BQ1640" s="84"/>
      <c r="BR1640" s="84"/>
      <c r="BS1640" s="84"/>
      <c r="BT1640" s="84"/>
      <c r="BU1640" s="84"/>
      <c r="BV1640" s="84"/>
      <c r="BW1640" s="84"/>
      <c r="BX1640" s="84"/>
      <c r="BY1640" s="84"/>
      <c r="BZ1640" s="84"/>
      <c r="CA1640" s="84"/>
      <c r="CB1640" s="84"/>
      <c r="CC1640" s="84"/>
      <c r="CD1640" s="84"/>
      <c r="CE1640" s="84"/>
      <c r="CF1640" s="84"/>
      <c r="CG1640" s="84"/>
      <c r="CH1640" s="84"/>
      <c r="CI1640" s="84"/>
      <c r="CJ1640" s="84"/>
      <c r="CK1640" s="84"/>
      <c r="CL1640" s="84"/>
    </row>
    <row r="1641" spans="66:90" s="354" customFormat="1" x14ac:dyDescent="0.2">
      <c r="BN1641" s="84"/>
      <c r="BO1641" s="84"/>
      <c r="BP1641" s="84"/>
      <c r="BQ1641" s="84"/>
      <c r="BR1641" s="84"/>
      <c r="BS1641" s="84"/>
      <c r="BT1641" s="84"/>
      <c r="BU1641" s="84"/>
      <c r="BV1641" s="84"/>
      <c r="BW1641" s="84"/>
      <c r="BX1641" s="84"/>
      <c r="BY1641" s="84"/>
      <c r="BZ1641" s="84"/>
      <c r="CA1641" s="84"/>
      <c r="CB1641" s="84"/>
      <c r="CC1641" s="84"/>
      <c r="CD1641" s="84"/>
      <c r="CE1641" s="84"/>
      <c r="CF1641" s="84"/>
      <c r="CG1641" s="84"/>
      <c r="CH1641" s="84"/>
      <c r="CI1641" s="84"/>
      <c r="CJ1641" s="84"/>
      <c r="CK1641" s="84"/>
      <c r="CL1641" s="84"/>
    </row>
    <row r="1642" spans="66:90" s="354" customFormat="1" x14ac:dyDescent="0.2">
      <c r="BN1642" s="84"/>
      <c r="BO1642" s="84"/>
      <c r="BP1642" s="84"/>
      <c r="BQ1642" s="84"/>
      <c r="BR1642" s="84"/>
      <c r="BS1642" s="84"/>
      <c r="BT1642" s="84"/>
      <c r="BU1642" s="84"/>
      <c r="BV1642" s="84"/>
      <c r="BW1642" s="84"/>
      <c r="BX1642" s="84"/>
      <c r="BY1642" s="84"/>
      <c r="BZ1642" s="84"/>
      <c r="CA1642" s="84"/>
      <c r="CB1642" s="84"/>
      <c r="CC1642" s="84"/>
      <c r="CD1642" s="84"/>
      <c r="CE1642" s="84"/>
      <c r="CF1642" s="84"/>
      <c r="CG1642" s="84"/>
      <c r="CH1642" s="84"/>
      <c r="CI1642" s="84"/>
      <c r="CJ1642" s="84"/>
      <c r="CK1642" s="84"/>
      <c r="CL1642" s="84"/>
    </row>
    <row r="1643" spans="66:90" s="354" customFormat="1" x14ac:dyDescent="0.2">
      <c r="BN1643" s="84"/>
      <c r="BO1643" s="84"/>
      <c r="BP1643" s="84"/>
      <c r="BQ1643" s="84"/>
      <c r="BR1643" s="84"/>
      <c r="BS1643" s="84"/>
      <c r="BT1643" s="84"/>
      <c r="BU1643" s="84"/>
      <c r="BV1643" s="84"/>
      <c r="BW1643" s="84"/>
      <c r="BX1643" s="84"/>
      <c r="BY1643" s="84"/>
      <c r="BZ1643" s="84"/>
      <c r="CA1643" s="84"/>
      <c r="CB1643" s="84"/>
      <c r="CC1643" s="84"/>
      <c r="CD1643" s="84"/>
      <c r="CE1643" s="84"/>
      <c r="CF1643" s="84"/>
      <c r="CG1643" s="84"/>
      <c r="CH1643" s="84"/>
      <c r="CI1643" s="84"/>
      <c r="CJ1643" s="84"/>
      <c r="CK1643" s="84"/>
      <c r="CL1643" s="84"/>
    </row>
    <row r="1644" spans="66:90" s="354" customFormat="1" x14ac:dyDescent="0.2">
      <c r="BN1644" s="84"/>
      <c r="BO1644" s="84"/>
      <c r="BP1644" s="84"/>
      <c r="BQ1644" s="84"/>
      <c r="BR1644" s="84"/>
      <c r="BS1644" s="84"/>
      <c r="BT1644" s="84"/>
      <c r="BU1644" s="84"/>
      <c r="BV1644" s="84"/>
      <c r="BW1644" s="84"/>
      <c r="BX1644" s="84"/>
      <c r="BY1644" s="84"/>
      <c r="BZ1644" s="84"/>
      <c r="CA1644" s="84"/>
      <c r="CB1644" s="84"/>
      <c r="CC1644" s="84"/>
      <c r="CD1644" s="84"/>
      <c r="CE1644" s="84"/>
      <c r="CF1644" s="84"/>
      <c r="CG1644" s="84"/>
      <c r="CH1644" s="84"/>
      <c r="CI1644" s="84"/>
      <c r="CJ1644" s="84"/>
      <c r="CK1644" s="84"/>
      <c r="CL1644" s="84"/>
    </row>
    <row r="1645" spans="66:90" s="354" customFormat="1" x14ac:dyDescent="0.2">
      <c r="BN1645" s="84"/>
      <c r="BO1645" s="84"/>
      <c r="BP1645" s="84"/>
      <c r="BQ1645" s="84"/>
      <c r="BR1645" s="84"/>
      <c r="BS1645" s="84"/>
      <c r="BT1645" s="84"/>
      <c r="BU1645" s="84"/>
      <c r="BV1645" s="84"/>
      <c r="BW1645" s="84"/>
      <c r="BX1645" s="84"/>
      <c r="BY1645" s="84"/>
      <c r="BZ1645" s="84"/>
      <c r="CA1645" s="84"/>
      <c r="CB1645" s="84"/>
      <c r="CC1645" s="84"/>
      <c r="CD1645" s="84"/>
      <c r="CE1645" s="84"/>
      <c r="CF1645" s="84"/>
      <c r="CG1645" s="84"/>
      <c r="CH1645" s="84"/>
      <c r="CI1645" s="84"/>
      <c r="CJ1645" s="84"/>
      <c r="CK1645" s="84"/>
      <c r="CL1645" s="84"/>
    </row>
    <row r="1646" spans="66:90" s="354" customFormat="1" x14ac:dyDescent="0.2">
      <c r="BN1646" s="84"/>
      <c r="BO1646" s="84"/>
      <c r="BP1646" s="84"/>
      <c r="BQ1646" s="84"/>
      <c r="BR1646" s="84"/>
      <c r="BS1646" s="84"/>
      <c r="BT1646" s="84"/>
      <c r="BU1646" s="84"/>
      <c r="BV1646" s="84"/>
      <c r="BW1646" s="84"/>
      <c r="BX1646" s="84"/>
      <c r="BY1646" s="84"/>
      <c r="BZ1646" s="84"/>
      <c r="CA1646" s="84"/>
      <c r="CB1646" s="84"/>
      <c r="CC1646" s="84"/>
      <c r="CD1646" s="84"/>
      <c r="CE1646" s="84"/>
      <c r="CF1646" s="84"/>
      <c r="CG1646" s="84"/>
      <c r="CH1646" s="84"/>
      <c r="CI1646" s="84"/>
      <c r="CJ1646" s="84"/>
      <c r="CK1646" s="84"/>
      <c r="CL1646" s="84"/>
    </row>
    <row r="1647" spans="66:90" s="354" customFormat="1" x14ac:dyDescent="0.2">
      <c r="BN1647" s="84"/>
      <c r="BO1647" s="84"/>
      <c r="BP1647" s="84"/>
      <c r="BQ1647" s="84"/>
      <c r="BR1647" s="84"/>
      <c r="BS1647" s="84"/>
      <c r="BT1647" s="84"/>
      <c r="BU1647" s="84"/>
      <c r="BV1647" s="84"/>
      <c r="BW1647" s="84"/>
      <c r="BX1647" s="84"/>
      <c r="BY1647" s="84"/>
      <c r="BZ1647" s="84"/>
      <c r="CA1647" s="84"/>
      <c r="CB1647" s="84"/>
      <c r="CC1647" s="84"/>
      <c r="CD1647" s="84"/>
      <c r="CE1647" s="84"/>
      <c r="CF1647" s="84"/>
      <c r="CG1647" s="84"/>
      <c r="CH1647" s="84"/>
      <c r="CI1647" s="84"/>
      <c r="CJ1647" s="84"/>
      <c r="CK1647" s="84"/>
      <c r="CL1647" s="84"/>
    </row>
    <row r="1648" spans="66:90" s="354" customFormat="1" x14ac:dyDescent="0.2">
      <c r="BN1648" s="84"/>
      <c r="BO1648" s="84"/>
      <c r="BP1648" s="84"/>
      <c r="BQ1648" s="84"/>
      <c r="BR1648" s="84"/>
      <c r="BS1648" s="84"/>
      <c r="BT1648" s="84"/>
      <c r="BU1648" s="84"/>
      <c r="BV1648" s="84"/>
      <c r="BW1648" s="84"/>
      <c r="BX1648" s="84"/>
      <c r="BY1648" s="84"/>
      <c r="BZ1648" s="84"/>
      <c r="CA1648" s="84"/>
      <c r="CB1648" s="84"/>
      <c r="CC1648" s="84"/>
      <c r="CD1648" s="84"/>
      <c r="CE1648" s="84"/>
      <c r="CF1648" s="84"/>
      <c r="CG1648" s="84"/>
      <c r="CH1648" s="84"/>
      <c r="CI1648" s="84"/>
      <c r="CJ1648" s="84"/>
      <c r="CK1648" s="84"/>
      <c r="CL1648" s="84"/>
    </row>
    <row r="1649" spans="66:90" s="354" customFormat="1" x14ac:dyDescent="0.2">
      <c r="BN1649" s="84"/>
      <c r="BO1649" s="84"/>
      <c r="BP1649" s="84"/>
      <c r="BQ1649" s="84"/>
      <c r="BR1649" s="84"/>
      <c r="BS1649" s="84"/>
      <c r="BT1649" s="84"/>
      <c r="BU1649" s="84"/>
      <c r="BV1649" s="84"/>
      <c r="BW1649" s="84"/>
      <c r="BX1649" s="84"/>
      <c r="BY1649" s="84"/>
      <c r="BZ1649" s="84"/>
      <c r="CA1649" s="84"/>
      <c r="CB1649" s="84"/>
      <c r="CC1649" s="84"/>
      <c r="CD1649" s="84"/>
      <c r="CE1649" s="84"/>
      <c r="CF1649" s="84"/>
      <c r="CG1649" s="84"/>
      <c r="CH1649" s="84"/>
      <c r="CI1649" s="84"/>
      <c r="CJ1649" s="84"/>
      <c r="CK1649" s="84"/>
      <c r="CL1649" s="84"/>
    </row>
    <row r="1650" spans="66:90" s="354" customFormat="1" x14ac:dyDescent="0.2">
      <c r="BN1650" s="84"/>
      <c r="BO1650" s="84"/>
      <c r="BP1650" s="84"/>
      <c r="BQ1650" s="84"/>
      <c r="BR1650" s="84"/>
      <c r="BS1650" s="84"/>
      <c r="BT1650" s="84"/>
      <c r="BU1650" s="84"/>
      <c r="BV1650" s="84"/>
      <c r="BW1650" s="84"/>
      <c r="BX1650" s="84"/>
      <c r="BY1650" s="84"/>
      <c r="BZ1650" s="84"/>
      <c r="CA1650" s="84"/>
      <c r="CB1650" s="84"/>
      <c r="CC1650" s="84"/>
      <c r="CD1650" s="84"/>
      <c r="CE1650" s="84"/>
      <c r="CF1650" s="84"/>
      <c r="CG1650" s="84"/>
      <c r="CH1650" s="84"/>
      <c r="CI1650" s="84"/>
      <c r="CJ1650" s="84"/>
      <c r="CK1650" s="84"/>
      <c r="CL1650" s="84"/>
    </row>
    <row r="1651" spans="66:90" s="354" customFormat="1" x14ac:dyDescent="0.2">
      <c r="BN1651" s="84"/>
      <c r="BO1651" s="84"/>
      <c r="BP1651" s="84"/>
      <c r="BQ1651" s="84"/>
      <c r="BR1651" s="84"/>
      <c r="BS1651" s="84"/>
      <c r="BT1651" s="84"/>
      <c r="BU1651" s="84"/>
      <c r="BV1651" s="84"/>
      <c r="BW1651" s="84"/>
      <c r="BX1651" s="84"/>
      <c r="BY1651" s="84"/>
      <c r="BZ1651" s="84"/>
      <c r="CA1651" s="84"/>
      <c r="CB1651" s="84"/>
      <c r="CC1651" s="84"/>
      <c r="CD1651" s="84"/>
      <c r="CE1651" s="84"/>
      <c r="CF1651" s="84"/>
      <c r="CG1651" s="84"/>
      <c r="CH1651" s="84"/>
      <c r="CI1651" s="84"/>
      <c r="CJ1651" s="84"/>
      <c r="CK1651" s="84"/>
      <c r="CL1651" s="84"/>
    </row>
    <row r="1652" spans="66:90" s="354" customFormat="1" x14ac:dyDescent="0.2">
      <c r="BN1652" s="84"/>
      <c r="BO1652" s="84"/>
      <c r="BP1652" s="84"/>
      <c r="BQ1652" s="84"/>
      <c r="BR1652" s="84"/>
      <c r="BS1652" s="84"/>
      <c r="BT1652" s="84"/>
      <c r="BU1652" s="84"/>
      <c r="BV1652" s="84"/>
      <c r="BW1652" s="84"/>
      <c r="BX1652" s="84"/>
      <c r="BY1652" s="84"/>
      <c r="BZ1652" s="84"/>
      <c r="CA1652" s="84"/>
      <c r="CB1652" s="84"/>
      <c r="CC1652" s="84"/>
      <c r="CD1652" s="84"/>
      <c r="CE1652" s="84"/>
      <c r="CF1652" s="84"/>
      <c r="CG1652" s="84"/>
      <c r="CH1652" s="84"/>
      <c r="CI1652" s="84"/>
      <c r="CJ1652" s="84"/>
      <c r="CK1652" s="84"/>
      <c r="CL1652" s="84"/>
    </row>
    <row r="1653" spans="66:90" s="354" customFormat="1" x14ac:dyDescent="0.2">
      <c r="BN1653" s="84"/>
      <c r="BO1653" s="84"/>
      <c r="BP1653" s="84"/>
      <c r="BQ1653" s="84"/>
      <c r="BR1653" s="84"/>
      <c r="BS1653" s="84"/>
      <c r="BT1653" s="84"/>
      <c r="BU1653" s="84"/>
      <c r="BV1653" s="84"/>
      <c r="BW1653" s="84"/>
      <c r="BX1653" s="84"/>
      <c r="BY1653" s="84"/>
      <c r="BZ1653" s="84"/>
      <c r="CA1653" s="84"/>
      <c r="CB1653" s="84"/>
      <c r="CC1653" s="84"/>
      <c r="CD1653" s="84"/>
      <c r="CE1653" s="84"/>
      <c r="CF1653" s="84"/>
      <c r="CG1653" s="84"/>
      <c r="CH1653" s="84"/>
      <c r="CI1653" s="84"/>
      <c r="CJ1653" s="84"/>
      <c r="CK1653" s="84"/>
      <c r="CL1653" s="84"/>
    </row>
    <row r="1654" spans="66:90" s="354" customFormat="1" x14ac:dyDescent="0.2">
      <c r="BN1654" s="84"/>
      <c r="BO1654" s="84"/>
      <c r="BP1654" s="84"/>
      <c r="BQ1654" s="84"/>
      <c r="BR1654" s="84"/>
      <c r="BS1654" s="84"/>
      <c r="BT1654" s="84"/>
      <c r="BU1654" s="84"/>
      <c r="BV1654" s="84"/>
      <c r="BW1654" s="84"/>
      <c r="BX1654" s="84"/>
      <c r="BY1654" s="84"/>
      <c r="BZ1654" s="84"/>
      <c r="CA1654" s="84"/>
      <c r="CB1654" s="84"/>
      <c r="CC1654" s="84"/>
      <c r="CD1654" s="84"/>
      <c r="CE1654" s="84"/>
      <c r="CF1654" s="84"/>
      <c r="CG1654" s="84"/>
      <c r="CH1654" s="84"/>
      <c r="CI1654" s="84"/>
      <c r="CJ1654" s="84"/>
      <c r="CK1654" s="84"/>
      <c r="CL1654" s="84"/>
    </row>
    <row r="1655" spans="66:90" s="354" customFormat="1" x14ac:dyDescent="0.2">
      <c r="BN1655" s="84"/>
      <c r="BO1655" s="84"/>
      <c r="BP1655" s="84"/>
      <c r="BQ1655" s="84"/>
      <c r="BR1655" s="84"/>
      <c r="BS1655" s="84"/>
      <c r="BT1655" s="84"/>
      <c r="BU1655" s="84"/>
      <c r="BV1655" s="84"/>
      <c r="BW1655" s="84"/>
      <c r="BX1655" s="84"/>
      <c r="BY1655" s="84"/>
      <c r="BZ1655" s="84"/>
      <c r="CA1655" s="84"/>
      <c r="CB1655" s="84"/>
      <c r="CC1655" s="84"/>
      <c r="CD1655" s="84"/>
      <c r="CE1655" s="84"/>
      <c r="CF1655" s="84"/>
      <c r="CG1655" s="84"/>
      <c r="CH1655" s="84"/>
      <c r="CI1655" s="84"/>
      <c r="CJ1655" s="84"/>
      <c r="CK1655" s="84"/>
      <c r="CL1655" s="84"/>
    </row>
    <row r="1656" spans="66:90" s="354" customFormat="1" x14ac:dyDescent="0.2">
      <c r="BN1656" s="84"/>
      <c r="BO1656" s="84"/>
      <c r="BP1656" s="84"/>
      <c r="BQ1656" s="84"/>
      <c r="BR1656" s="84"/>
      <c r="BS1656" s="84"/>
      <c r="BT1656" s="84"/>
      <c r="BU1656" s="84"/>
      <c r="BV1656" s="84"/>
      <c r="BW1656" s="84"/>
      <c r="BX1656" s="84"/>
      <c r="BY1656" s="84"/>
      <c r="BZ1656" s="84"/>
      <c r="CA1656" s="84"/>
      <c r="CB1656" s="84"/>
      <c r="CC1656" s="84"/>
      <c r="CD1656" s="84"/>
      <c r="CE1656" s="84"/>
      <c r="CF1656" s="84"/>
      <c r="CG1656" s="84"/>
      <c r="CH1656" s="84"/>
      <c r="CI1656" s="84"/>
      <c r="CJ1656" s="84"/>
      <c r="CK1656" s="84"/>
      <c r="CL1656" s="84"/>
    </row>
    <row r="1657" spans="66:90" s="354" customFormat="1" x14ac:dyDescent="0.2">
      <c r="BN1657" s="84"/>
      <c r="BO1657" s="84"/>
      <c r="BP1657" s="84"/>
      <c r="BQ1657" s="84"/>
      <c r="BR1657" s="84"/>
      <c r="BS1657" s="84"/>
      <c r="BT1657" s="84"/>
      <c r="BU1657" s="84"/>
      <c r="BV1657" s="84"/>
      <c r="BW1657" s="84"/>
      <c r="BX1657" s="84"/>
      <c r="BY1657" s="84"/>
      <c r="BZ1657" s="84"/>
      <c r="CA1657" s="84"/>
      <c r="CB1657" s="84"/>
      <c r="CC1657" s="84"/>
      <c r="CD1657" s="84"/>
      <c r="CE1657" s="84"/>
      <c r="CF1657" s="84"/>
      <c r="CG1657" s="84"/>
      <c r="CH1657" s="84"/>
      <c r="CI1657" s="84"/>
      <c r="CJ1657" s="84"/>
      <c r="CK1657" s="84"/>
      <c r="CL1657" s="84"/>
    </row>
    <row r="1658" spans="66:90" s="354" customFormat="1" x14ac:dyDescent="0.2">
      <c r="BN1658" s="84"/>
      <c r="BO1658" s="84"/>
      <c r="BP1658" s="84"/>
      <c r="BQ1658" s="84"/>
      <c r="BR1658" s="84"/>
      <c r="BS1658" s="84"/>
      <c r="BT1658" s="84"/>
      <c r="BU1658" s="84"/>
      <c r="BV1658" s="84"/>
      <c r="BW1658" s="84"/>
      <c r="BX1658" s="84"/>
      <c r="BY1658" s="84"/>
      <c r="BZ1658" s="84"/>
      <c r="CA1658" s="84"/>
      <c r="CB1658" s="84"/>
      <c r="CC1658" s="84"/>
      <c r="CD1658" s="84"/>
      <c r="CE1658" s="84"/>
      <c r="CF1658" s="84"/>
      <c r="CG1658" s="84"/>
      <c r="CH1658" s="84"/>
      <c r="CI1658" s="84"/>
      <c r="CJ1658" s="84"/>
      <c r="CK1658" s="84"/>
      <c r="CL1658" s="84"/>
    </row>
    <row r="1659" spans="66:90" s="354" customFormat="1" x14ac:dyDescent="0.2">
      <c r="BN1659" s="84"/>
      <c r="BO1659" s="84"/>
      <c r="BP1659" s="84"/>
      <c r="BQ1659" s="84"/>
      <c r="BR1659" s="84"/>
      <c r="BS1659" s="84"/>
      <c r="BT1659" s="84"/>
      <c r="BU1659" s="84"/>
      <c r="BV1659" s="84"/>
      <c r="BW1659" s="84"/>
      <c r="BX1659" s="84"/>
      <c r="BY1659" s="84"/>
      <c r="BZ1659" s="84"/>
      <c r="CA1659" s="84"/>
      <c r="CB1659" s="84"/>
      <c r="CC1659" s="84"/>
      <c r="CD1659" s="84"/>
      <c r="CE1659" s="84"/>
      <c r="CF1659" s="84"/>
      <c r="CG1659" s="84"/>
      <c r="CH1659" s="84"/>
      <c r="CI1659" s="84"/>
      <c r="CJ1659" s="84"/>
      <c r="CK1659" s="84"/>
      <c r="CL1659" s="84"/>
    </row>
    <row r="1660" spans="66:90" s="354" customFormat="1" x14ac:dyDescent="0.2">
      <c r="BN1660" s="84"/>
      <c r="BO1660" s="84"/>
      <c r="BP1660" s="84"/>
      <c r="BQ1660" s="84"/>
      <c r="BR1660" s="84"/>
      <c r="BS1660" s="84"/>
      <c r="BT1660" s="84"/>
      <c r="BU1660" s="84"/>
      <c r="BV1660" s="84"/>
      <c r="BW1660" s="84"/>
      <c r="BX1660" s="84"/>
      <c r="BY1660" s="84"/>
      <c r="BZ1660" s="84"/>
      <c r="CA1660" s="84"/>
      <c r="CB1660" s="84"/>
      <c r="CC1660" s="84"/>
      <c r="CD1660" s="84"/>
      <c r="CE1660" s="84"/>
      <c r="CF1660" s="84"/>
      <c r="CG1660" s="84"/>
      <c r="CH1660" s="84"/>
      <c r="CI1660" s="84"/>
      <c r="CJ1660" s="84"/>
      <c r="CK1660" s="84"/>
      <c r="CL1660" s="84"/>
    </row>
    <row r="1661" spans="66:90" s="354" customFormat="1" x14ac:dyDescent="0.2">
      <c r="BN1661" s="84"/>
      <c r="BO1661" s="84"/>
      <c r="BP1661" s="84"/>
      <c r="BQ1661" s="84"/>
      <c r="BR1661" s="84"/>
      <c r="BS1661" s="84"/>
      <c r="BT1661" s="84"/>
      <c r="BU1661" s="84"/>
      <c r="BV1661" s="84"/>
      <c r="BW1661" s="84"/>
      <c r="BX1661" s="84"/>
      <c r="BY1661" s="84"/>
      <c r="BZ1661" s="84"/>
      <c r="CA1661" s="84"/>
      <c r="CB1661" s="84"/>
      <c r="CC1661" s="84"/>
      <c r="CD1661" s="84"/>
      <c r="CE1661" s="84"/>
      <c r="CF1661" s="84"/>
      <c r="CG1661" s="84"/>
      <c r="CH1661" s="84"/>
      <c r="CI1661" s="84"/>
      <c r="CJ1661" s="84"/>
      <c r="CK1661" s="84"/>
      <c r="CL1661" s="84"/>
    </row>
    <row r="1662" spans="66:90" s="354" customFormat="1" x14ac:dyDescent="0.2">
      <c r="BN1662" s="84"/>
      <c r="BO1662" s="84"/>
      <c r="BP1662" s="84"/>
      <c r="BQ1662" s="84"/>
      <c r="BR1662" s="84"/>
      <c r="BS1662" s="84"/>
      <c r="BT1662" s="84"/>
      <c r="BU1662" s="84"/>
      <c r="BV1662" s="84"/>
      <c r="BW1662" s="84"/>
      <c r="BX1662" s="84"/>
      <c r="BY1662" s="84"/>
      <c r="BZ1662" s="84"/>
      <c r="CA1662" s="84"/>
      <c r="CB1662" s="84"/>
      <c r="CC1662" s="84"/>
      <c r="CD1662" s="84"/>
      <c r="CE1662" s="84"/>
      <c r="CF1662" s="84"/>
      <c r="CG1662" s="84"/>
      <c r="CH1662" s="84"/>
      <c r="CI1662" s="84"/>
      <c r="CJ1662" s="84"/>
      <c r="CK1662" s="84"/>
      <c r="CL1662" s="84"/>
    </row>
    <row r="1663" spans="66:90" s="354" customFormat="1" x14ac:dyDescent="0.2">
      <c r="BN1663" s="84"/>
      <c r="BO1663" s="84"/>
      <c r="BP1663" s="84"/>
      <c r="BQ1663" s="84"/>
      <c r="BR1663" s="84"/>
      <c r="BS1663" s="84"/>
      <c r="BT1663" s="84"/>
      <c r="BU1663" s="84"/>
      <c r="BV1663" s="84"/>
      <c r="BW1663" s="84"/>
      <c r="BX1663" s="84"/>
      <c r="BY1663" s="84"/>
      <c r="BZ1663" s="84"/>
      <c r="CA1663" s="84"/>
      <c r="CB1663" s="84"/>
      <c r="CC1663" s="84"/>
      <c r="CD1663" s="84"/>
      <c r="CE1663" s="84"/>
      <c r="CF1663" s="84"/>
      <c r="CG1663" s="84"/>
      <c r="CH1663" s="84"/>
      <c r="CI1663" s="84"/>
      <c r="CJ1663" s="84"/>
      <c r="CK1663" s="84"/>
      <c r="CL1663" s="84"/>
    </row>
    <row r="1664" spans="66:90" s="354" customFormat="1" x14ac:dyDescent="0.2">
      <c r="BN1664" s="84"/>
      <c r="BO1664" s="84"/>
      <c r="BP1664" s="84"/>
      <c r="BQ1664" s="84"/>
      <c r="BR1664" s="84"/>
      <c r="BS1664" s="84"/>
      <c r="BT1664" s="84"/>
      <c r="BU1664" s="84"/>
      <c r="BV1664" s="84"/>
      <c r="BW1664" s="84"/>
      <c r="BX1664" s="84"/>
      <c r="BY1664" s="84"/>
      <c r="BZ1664" s="84"/>
      <c r="CA1664" s="84"/>
      <c r="CB1664" s="84"/>
      <c r="CC1664" s="84"/>
      <c r="CD1664" s="84"/>
      <c r="CE1664" s="84"/>
      <c r="CF1664" s="84"/>
      <c r="CG1664" s="84"/>
      <c r="CH1664" s="84"/>
      <c r="CI1664" s="84"/>
      <c r="CJ1664" s="84"/>
      <c r="CK1664" s="84"/>
      <c r="CL1664" s="84"/>
    </row>
    <row r="1665" spans="66:90" s="354" customFormat="1" x14ac:dyDescent="0.2">
      <c r="BN1665" s="84"/>
      <c r="BO1665" s="84"/>
      <c r="BP1665" s="84"/>
      <c r="BQ1665" s="84"/>
      <c r="BR1665" s="84"/>
      <c r="BS1665" s="84"/>
      <c r="BT1665" s="84"/>
      <c r="BU1665" s="84"/>
      <c r="BV1665" s="84"/>
      <c r="BW1665" s="84"/>
      <c r="BX1665" s="84"/>
      <c r="BY1665" s="84"/>
      <c r="BZ1665" s="84"/>
      <c r="CA1665" s="84"/>
      <c r="CB1665" s="84"/>
      <c r="CC1665" s="84"/>
      <c r="CD1665" s="84"/>
      <c r="CE1665" s="84"/>
      <c r="CF1665" s="84"/>
      <c r="CG1665" s="84"/>
      <c r="CH1665" s="84"/>
      <c r="CI1665" s="84"/>
      <c r="CJ1665" s="84"/>
      <c r="CK1665" s="84"/>
      <c r="CL1665" s="84"/>
    </row>
    <row r="1666" spans="66:90" s="354" customFormat="1" x14ac:dyDescent="0.2">
      <c r="BN1666" s="84"/>
      <c r="BO1666" s="84"/>
      <c r="BP1666" s="84"/>
      <c r="BQ1666" s="84"/>
      <c r="BR1666" s="84"/>
      <c r="BS1666" s="84"/>
      <c r="BT1666" s="84"/>
      <c r="BU1666" s="84"/>
      <c r="BV1666" s="84"/>
      <c r="BW1666" s="84"/>
      <c r="BX1666" s="84"/>
      <c r="BY1666" s="84"/>
      <c r="BZ1666" s="84"/>
      <c r="CA1666" s="84"/>
      <c r="CB1666" s="84"/>
      <c r="CC1666" s="84"/>
      <c r="CD1666" s="84"/>
      <c r="CE1666" s="84"/>
      <c r="CF1666" s="84"/>
      <c r="CG1666" s="84"/>
      <c r="CH1666" s="84"/>
      <c r="CI1666" s="84"/>
      <c r="CJ1666" s="84"/>
      <c r="CK1666" s="84"/>
      <c r="CL1666" s="84"/>
    </row>
    <row r="1667" spans="66:90" s="354" customFormat="1" x14ac:dyDescent="0.2">
      <c r="BN1667" s="84"/>
      <c r="BO1667" s="84"/>
      <c r="BP1667" s="84"/>
      <c r="BQ1667" s="84"/>
      <c r="BR1667" s="84"/>
      <c r="BS1667" s="84"/>
      <c r="BT1667" s="84"/>
      <c r="BU1667" s="84"/>
      <c r="BV1667" s="84"/>
      <c r="BW1667" s="84"/>
      <c r="BX1667" s="84"/>
      <c r="BY1667" s="84"/>
      <c r="BZ1667" s="84"/>
      <c r="CA1667" s="84"/>
      <c r="CB1667" s="84"/>
      <c r="CC1667" s="84"/>
      <c r="CD1667" s="84"/>
      <c r="CE1667" s="84"/>
      <c r="CF1667" s="84"/>
      <c r="CG1667" s="84"/>
      <c r="CH1667" s="84"/>
      <c r="CI1667" s="84"/>
      <c r="CJ1667" s="84"/>
      <c r="CK1667" s="84"/>
      <c r="CL1667" s="84"/>
    </row>
    <row r="1668" spans="66:90" s="354" customFormat="1" x14ac:dyDescent="0.2">
      <c r="BN1668" s="84"/>
      <c r="BO1668" s="84"/>
      <c r="BP1668" s="84"/>
      <c r="BQ1668" s="84"/>
      <c r="BR1668" s="84"/>
      <c r="BS1668" s="84"/>
      <c r="BT1668" s="84"/>
      <c r="BU1668" s="84"/>
      <c r="BV1668" s="84"/>
      <c r="BW1668" s="84"/>
      <c r="BX1668" s="84"/>
      <c r="BY1668" s="84"/>
      <c r="BZ1668" s="84"/>
      <c r="CA1668" s="84"/>
      <c r="CB1668" s="84"/>
      <c r="CC1668" s="84"/>
      <c r="CD1668" s="84"/>
      <c r="CE1668" s="84"/>
      <c r="CF1668" s="84"/>
      <c r="CG1668" s="84"/>
      <c r="CH1668" s="84"/>
      <c r="CI1668" s="84"/>
      <c r="CJ1668" s="84"/>
      <c r="CK1668" s="84"/>
      <c r="CL1668" s="84"/>
    </row>
    <row r="1669" spans="66:90" s="354" customFormat="1" x14ac:dyDescent="0.2">
      <c r="BN1669" s="84"/>
      <c r="BO1669" s="84"/>
      <c r="BP1669" s="84"/>
      <c r="BQ1669" s="84"/>
      <c r="BR1669" s="84"/>
      <c r="BS1669" s="84"/>
      <c r="BT1669" s="84"/>
      <c r="BU1669" s="84"/>
      <c r="BV1669" s="84"/>
      <c r="BW1669" s="84"/>
      <c r="BX1669" s="84"/>
      <c r="BY1669" s="84"/>
      <c r="BZ1669" s="84"/>
      <c r="CA1669" s="84"/>
      <c r="CB1669" s="84"/>
      <c r="CC1669" s="84"/>
      <c r="CD1669" s="84"/>
      <c r="CE1669" s="84"/>
      <c r="CF1669" s="84"/>
      <c r="CG1669" s="84"/>
      <c r="CH1669" s="84"/>
      <c r="CI1669" s="84"/>
      <c r="CJ1669" s="84"/>
      <c r="CK1669" s="84"/>
      <c r="CL1669" s="84"/>
    </row>
    <row r="1670" spans="66:90" s="354" customFormat="1" x14ac:dyDescent="0.2">
      <c r="BN1670" s="84"/>
      <c r="BO1670" s="84"/>
      <c r="BP1670" s="84"/>
      <c r="BQ1670" s="84"/>
      <c r="BR1670" s="84"/>
      <c r="BS1670" s="84"/>
      <c r="BT1670" s="84"/>
      <c r="BU1670" s="84"/>
      <c r="BV1670" s="84"/>
      <c r="BW1670" s="84"/>
      <c r="BX1670" s="84"/>
      <c r="BY1670" s="84"/>
      <c r="BZ1670" s="84"/>
      <c r="CA1670" s="84"/>
      <c r="CB1670" s="84"/>
      <c r="CC1670" s="84"/>
      <c r="CD1670" s="84"/>
      <c r="CE1670" s="84"/>
      <c r="CF1670" s="84"/>
      <c r="CG1670" s="84"/>
      <c r="CH1670" s="84"/>
      <c r="CI1670" s="84"/>
      <c r="CJ1670" s="84"/>
      <c r="CK1670" s="84"/>
      <c r="CL1670" s="84"/>
    </row>
    <row r="1671" spans="66:90" s="354" customFormat="1" x14ac:dyDescent="0.2">
      <c r="BN1671" s="84"/>
      <c r="BO1671" s="84"/>
      <c r="BP1671" s="84"/>
      <c r="BQ1671" s="84"/>
      <c r="BR1671" s="84"/>
      <c r="BS1671" s="84"/>
      <c r="BT1671" s="84"/>
      <c r="BU1671" s="84"/>
      <c r="BV1671" s="84"/>
      <c r="BW1671" s="84"/>
      <c r="BX1671" s="84"/>
      <c r="BY1671" s="84"/>
      <c r="BZ1671" s="84"/>
      <c r="CA1671" s="84"/>
      <c r="CB1671" s="84"/>
      <c r="CC1671" s="84"/>
      <c r="CD1671" s="84"/>
      <c r="CE1671" s="84"/>
      <c r="CF1671" s="84"/>
      <c r="CG1671" s="84"/>
      <c r="CH1671" s="84"/>
      <c r="CI1671" s="84"/>
      <c r="CJ1671" s="84"/>
      <c r="CK1671" s="84"/>
      <c r="CL1671" s="84"/>
    </row>
    <row r="1672" spans="66:90" s="354" customFormat="1" x14ac:dyDescent="0.2">
      <c r="BN1672" s="84"/>
      <c r="BO1672" s="84"/>
      <c r="BP1672" s="84"/>
      <c r="BQ1672" s="84"/>
      <c r="BR1672" s="84"/>
      <c r="BS1672" s="84"/>
      <c r="BT1672" s="84"/>
      <c r="BU1672" s="84"/>
      <c r="BV1672" s="84"/>
      <c r="BW1672" s="84"/>
      <c r="BX1672" s="84"/>
      <c r="BY1672" s="84"/>
      <c r="BZ1672" s="84"/>
      <c r="CA1672" s="84"/>
      <c r="CB1672" s="84"/>
      <c r="CC1672" s="84"/>
      <c r="CD1672" s="84"/>
      <c r="CE1672" s="84"/>
      <c r="CF1672" s="84"/>
      <c r="CG1672" s="84"/>
      <c r="CH1672" s="84"/>
      <c r="CI1672" s="84"/>
      <c r="CJ1672" s="84"/>
      <c r="CK1672" s="84"/>
      <c r="CL1672" s="84"/>
    </row>
    <row r="1673" spans="66:90" s="354" customFormat="1" x14ac:dyDescent="0.2">
      <c r="BN1673" s="84"/>
      <c r="BO1673" s="84"/>
      <c r="BP1673" s="84"/>
      <c r="BQ1673" s="84"/>
      <c r="BR1673" s="84"/>
      <c r="BS1673" s="84"/>
      <c r="BT1673" s="84"/>
      <c r="BU1673" s="84"/>
      <c r="BV1673" s="84"/>
      <c r="BW1673" s="84"/>
      <c r="BX1673" s="84"/>
      <c r="BY1673" s="84"/>
      <c r="BZ1673" s="84"/>
      <c r="CA1673" s="84"/>
      <c r="CB1673" s="84"/>
      <c r="CC1673" s="84"/>
      <c r="CD1673" s="84"/>
      <c r="CE1673" s="84"/>
      <c r="CF1673" s="84"/>
      <c r="CG1673" s="84"/>
      <c r="CH1673" s="84"/>
      <c r="CI1673" s="84"/>
      <c r="CJ1673" s="84"/>
      <c r="CK1673" s="84"/>
      <c r="CL1673" s="84"/>
    </row>
    <row r="1674" spans="66:90" s="354" customFormat="1" x14ac:dyDescent="0.2">
      <c r="BN1674" s="84"/>
      <c r="BO1674" s="84"/>
      <c r="BP1674" s="84"/>
      <c r="BQ1674" s="84"/>
      <c r="BR1674" s="84"/>
      <c r="BS1674" s="84"/>
      <c r="BT1674" s="84"/>
      <c r="BU1674" s="84"/>
      <c r="BV1674" s="84"/>
      <c r="BW1674" s="84"/>
      <c r="BX1674" s="84"/>
      <c r="BY1674" s="84"/>
      <c r="BZ1674" s="84"/>
      <c r="CA1674" s="84"/>
      <c r="CB1674" s="84"/>
      <c r="CC1674" s="84"/>
      <c r="CD1674" s="84"/>
      <c r="CE1674" s="84"/>
      <c r="CF1674" s="84"/>
      <c r="CG1674" s="84"/>
      <c r="CH1674" s="84"/>
      <c r="CI1674" s="84"/>
      <c r="CJ1674" s="84"/>
      <c r="CK1674" s="84"/>
      <c r="CL1674" s="84"/>
    </row>
    <row r="1675" spans="66:90" s="354" customFormat="1" x14ac:dyDescent="0.2">
      <c r="BN1675" s="84"/>
      <c r="BO1675" s="84"/>
      <c r="BP1675" s="84"/>
      <c r="BQ1675" s="84"/>
      <c r="BR1675" s="84"/>
      <c r="BS1675" s="84"/>
      <c r="BT1675" s="84"/>
      <c r="BU1675" s="84"/>
      <c r="BV1675" s="84"/>
      <c r="BW1675" s="84"/>
      <c r="BX1675" s="84"/>
      <c r="BY1675" s="84"/>
      <c r="BZ1675" s="84"/>
      <c r="CA1675" s="84"/>
      <c r="CB1675" s="84"/>
      <c r="CC1675" s="84"/>
      <c r="CD1675" s="84"/>
      <c r="CE1675" s="84"/>
      <c r="CF1675" s="84"/>
      <c r="CG1675" s="84"/>
      <c r="CH1675" s="84"/>
      <c r="CI1675" s="84"/>
      <c r="CJ1675" s="84"/>
      <c r="CK1675" s="84"/>
      <c r="CL1675" s="84"/>
    </row>
    <row r="1676" spans="66:90" s="354" customFormat="1" x14ac:dyDescent="0.2">
      <c r="BN1676" s="84"/>
      <c r="BO1676" s="84"/>
      <c r="BP1676" s="84"/>
      <c r="BQ1676" s="84"/>
      <c r="BR1676" s="84"/>
      <c r="BS1676" s="84"/>
      <c r="BT1676" s="84"/>
      <c r="BU1676" s="84"/>
      <c r="BV1676" s="84"/>
      <c r="BW1676" s="84"/>
      <c r="BX1676" s="84"/>
      <c r="BY1676" s="84"/>
      <c r="BZ1676" s="84"/>
      <c r="CA1676" s="84"/>
      <c r="CB1676" s="84"/>
      <c r="CC1676" s="84"/>
      <c r="CD1676" s="84"/>
      <c r="CE1676" s="84"/>
      <c r="CF1676" s="84"/>
      <c r="CG1676" s="84"/>
      <c r="CH1676" s="84"/>
      <c r="CI1676" s="84"/>
      <c r="CJ1676" s="84"/>
      <c r="CK1676" s="84"/>
      <c r="CL1676" s="84"/>
    </row>
    <row r="1677" spans="66:90" s="354" customFormat="1" x14ac:dyDescent="0.2">
      <c r="BN1677" s="84"/>
      <c r="BO1677" s="84"/>
      <c r="BP1677" s="84"/>
      <c r="BQ1677" s="84"/>
      <c r="BR1677" s="84"/>
      <c r="BS1677" s="84"/>
      <c r="BT1677" s="84"/>
      <c r="BU1677" s="84"/>
      <c r="BV1677" s="84"/>
      <c r="BW1677" s="84"/>
      <c r="BX1677" s="84"/>
      <c r="BY1677" s="84"/>
      <c r="BZ1677" s="84"/>
      <c r="CA1677" s="84"/>
      <c r="CB1677" s="84"/>
      <c r="CC1677" s="84"/>
      <c r="CD1677" s="84"/>
      <c r="CE1677" s="84"/>
      <c r="CF1677" s="84"/>
      <c r="CG1677" s="84"/>
      <c r="CH1677" s="84"/>
      <c r="CI1677" s="84"/>
      <c r="CJ1677" s="84"/>
      <c r="CK1677" s="84"/>
      <c r="CL1677" s="84"/>
    </row>
    <row r="1678" spans="66:90" s="354" customFormat="1" x14ac:dyDescent="0.2">
      <c r="BN1678" s="84"/>
      <c r="BO1678" s="84"/>
      <c r="BP1678" s="84"/>
      <c r="BQ1678" s="84"/>
      <c r="BR1678" s="84"/>
      <c r="BS1678" s="84"/>
      <c r="BT1678" s="84"/>
      <c r="BU1678" s="84"/>
      <c r="BV1678" s="84"/>
      <c r="BW1678" s="84"/>
      <c r="BX1678" s="84"/>
      <c r="BY1678" s="84"/>
      <c r="BZ1678" s="84"/>
      <c r="CA1678" s="84"/>
      <c r="CB1678" s="84"/>
      <c r="CC1678" s="84"/>
      <c r="CD1678" s="84"/>
      <c r="CE1678" s="84"/>
      <c r="CF1678" s="84"/>
      <c r="CG1678" s="84"/>
      <c r="CH1678" s="84"/>
      <c r="CI1678" s="84"/>
      <c r="CJ1678" s="84"/>
      <c r="CK1678" s="84"/>
      <c r="CL1678" s="84"/>
    </row>
    <row r="1679" spans="66:90" s="354" customFormat="1" x14ac:dyDescent="0.2">
      <c r="BN1679" s="84"/>
      <c r="BO1679" s="84"/>
      <c r="BP1679" s="84"/>
      <c r="BQ1679" s="84"/>
      <c r="BR1679" s="84"/>
      <c r="BS1679" s="84"/>
      <c r="BT1679" s="84"/>
      <c r="BU1679" s="84"/>
      <c r="BV1679" s="84"/>
      <c r="BW1679" s="84"/>
      <c r="BX1679" s="84"/>
      <c r="BY1679" s="84"/>
      <c r="BZ1679" s="84"/>
      <c r="CA1679" s="84"/>
      <c r="CB1679" s="84"/>
      <c r="CC1679" s="84"/>
      <c r="CD1679" s="84"/>
      <c r="CE1679" s="84"/>
      <c r="CF1679" s="84"/>
      <c r="CG1679" s="84"/>
      <c r="CH1679" s="84"/>
      <c r="CI1679" s="84"/>
      <c r="CJ1679" s="84"/>
      <c r="CK1679" s="84"/>
      <c r="CL1679" s="84"/>
    </row>
    <row r="1680" spans="66:90" s="354" customFormat="1" x14ac:dyDescent="0.2">
      <c r="BN1680" s="84"/>
      <c r="BO1680" s="84"/>
      <c r="BP1680" s="84"/>
      <c r="BQ1680" s="84"/>
      <c r="BR1680" s="84"/>
      <c r="BS1680" s="84"/>
      <c r="BT1680" s="84"/>
      <c r="BU1680" s="84"/>
      <c r="BV1680" s="84"/>
      <c r="BW1680" s="84"/>
      <c r="BX1680" s="84"/>
      <c r="BY1680" s="84"/>
      <c r="BZ1680" s="84"/>
      <c r="CA1680" s="84"/>
      <c r="CB1680" s="84"/>
      <c r="CC1680" s="84"/>
      <c r="CD1680" s="84"/>
      <c r="CE1680" s="84"/>
      <c r="CF1680" s="84"/>
      <c r="CG1680" s="84"/>
      <c r="CH1680" s="84"/>
      <c r="CI1680" s="84"/>
      <c r="CJ1680" s="84"/>
      <c r="CK1680" s="84"/>
      <c r="CL1680" s="84"/>
    </row>
    <row r="1681" spans="66:90" s="354" customFormat="1" x14ac:dyDescent="0.2">
      <c r="BN1681" s="84"/>
      <c r="BO1681" s="84"/>
      <c r="BP1681" s="84"/>
      <c r="BQ1681" s="84"/>
      <c r="BR1681" s="84"/>
      <c r="BS1681" s="84"/>
      <c r="BT1681" s="84"/>
      <c r="BU1681" s="84"/>
      <c r="BV1681" s="84"/>
      <c r="BW1681" s="84"/>
      <c r="BX1681" s="84"/>
      <c r="BY1681" s="84"/>
      <c r="BZ1681" s="84"/>
      <c r="CA1681" s="84"/>
      <c r="CB1681" s="84"/>
      <c r="CC1681" s="84"/>
      <c r="CD1681" s="84"/>
      <c r="CE1681" s="84"/>
      <c r="CF1681" s="84"/>
      <c r="CG1681" s="84"/>
      <c r="CH1681" s="84"/>
      <c r="CI1681" s="84"/>
      <c r="CJ1681" s="84"/>
      <c r="CK1681" s="84"/>
      <c r="CL1681" s="84"/>
    </row>
    <row r="1682" spans="66:90" s="354" customFormat="1" x14ac:dyDescent="0.2">
      <c r="BN1682" s="84"/>
      <c r="BO1682" s="84"/>
      <c r="BP1682" s="84"/>
      <c r="BQ1682" s="84"/>
      <c r="BR1682" s="84"/>
      <c r="BS1682" s="84"/>
      <c r="BT1682" s="84"/>
      <c r="BU1682" s="84"/>
      <c r="BV1682" s="84"/>
      <c r="BW1682" s="84"/>
      <c r="BX1682" s="84"/>
      <c r="BY1682" s="84"/>
      <c r="BZ1682" s="84"/>
      <c r="CA1682" s="84"/>
      <c r="CB1682" s="84"/>
      <c r="CC1682" s="84"/>
      <c r="CD1682" s="84"/>
      <c r="CE1682" s="84"/>
      <c r="CF1682" s="84"/>
      <c r="CG1682" s="84"/>
      <c r="CH1682" s="84"/>
      <c r="CI1682" s="84"/>
      <c r="CJ1682" s="84"/>
      <c r="CK1682" s="84"/>
      <c r="CL1682" s="84"/>
    </row>
    <row r="1683" spans="66:90" s="354" customFormat="1" x14ac:dyDescent="0.2">
      <c r="BN1683" s="84"/>
      <c r="BO1683" s="84"/>
      <c r="BP1683" s="84"/>
      <c r="BQ1683" s="84"/>
      <c r="BR1683" s="84"/>
      <c r="BS1683" s="84"/>
      <c r="BT1683" s="84"/>
      <c r="BU1683" s="84"/>
      <c r="BV1683" s="84"/>
      <c r="BW1683" s="84"/>
      <c r="BX1683" s="84"/>
      <c r="BY1683" s="84"/>
      <c r="BZ1683" s="84"/>
      <c r="CA1683" s="84"/>
      <c r="CB1683" s="84"/>
      <c r="CC1683" s="84"/>
      <c r="CD1683" s="84"/>
      <c r="CE1683" s="84"/>
      <c r="CF1683" s="84"/>
      <c r="CG1683" s="84"/>
      <c r="CH1683" s="84"/>
      <c r="CI1683" s="84"/>
      <c r="CJ1683" s="84"/>
      <c r="CK1683" s="84"/>
      <c r="CL1683" s="84"/>
    </row>
    <row r="1684" spans="66:90" s="354" customFormat="1" x14ac:dyDescent="0.2">
      <c r="BN1684" s="84"/>
      <c r="BO1684" s="84"/>
      <c r="BP1684" s="84"/>
      <c r="BQ1684" s="84"/>
      <c r="BR1684" s="84"/>
      <c r="BS1684" s="84"/>
      <c r="BT1684" s="84"/>
      <c r="BU1684" s="84"/>
      <c r="BV1684" s="84"/>
      <c r="BW1684" s="84"/>
      <c r="BX1684" s="84"/>
      <c r="BY1684" s="84"/>
      <c r="BZ1684" s="84"/>
      <c r="CA1684" s="84"/>
      <c r="CB1684" s="84"/>
      <c r="CC1684" s="84"/>
      <c r="CD1684" s="84"/>
      <c r="CE1684" s="84"/>
      <c r="CF1684" s="84"/>
      <c r="CG1684" s="84"/>
      <c r="CH1684" s="84"/>
      <c r="CI1684" s="84"/>
      <c r="CJ1684" s="84"/>
      <c r="CK1684" s="84"/>
      <c r="CL1684" s="84"/>
    </row>
    <row r="1685" spans="66:90" s="354" customFormat="1" x14ac:dyDescent="0.2">
      <c r="BN1685" s="84"/>
      <c r="BO1685" s="84"/>
      <c r="BP1685" s="84"/>
      <c r="BQ1685" s="84"/>
      <c r="BR1685" s="84"/>
      <c r="BS1685" s="84"/>
      <c r="BT1685" s="84"/>
      <c r="BU1685" s="84"/>
      <c r="BV1685" s="84"/>
      <c r="BW1685" s="84"/>
      <c r="BX1685" s="84"/>
      <c r="BY1685" s="84"/>
      <c r="BZ1685" s="84"/>
      <c r="CA1685" s="84"/>
      <c r="CB1685" s="84"/>
      <c r="CC1685" s="84"/>
      <c r="CD1685" s="84"/>
      <c r="CE1685" s="84"/>
      <c r="CF1685" s="84"/>
      <c r="CG1685" s="84"/>
      <c r="CH1685" s="84"/>
      <c r="CI1685" s="84"/>
      <c r="CJ1685" s="84"/>
      <c r="CK1685" s="84"/>
      <c r="CL1685" s="84"/>
    </row>
    <row r="1686" spans="66:90" s="354" customFormat="1" x14ac:dyDescent="0.2">
      <c r="BN1686" s="84"/>
      <c r="BO1686" s="84"/>
      <c r="BP1686" s="84"/>
      <c r="BQ1686" s="84"/>
      <c r="BR1686" s="84"/>
      <c r="BS1686" s="84"/>
      <c r="BT1686" s="84"/>
      <c r="BU1686" s="84"/>
      <c r="BV1686" s="84"/>
      <c r="BW1686" s="84"/>
      <c r="BX1686" s="84"/>
      <c r="BY1686" s="84"/>
      <c r="BZ1686" s="84"/>
      <c r="CA1686" s="84"/>
      <c r="CB1686" s="84"/>
      <c r="CC1686" s="84"/>
      <c r="CD1686" s="84"/>
      <c r="CE1686" s="84"/>
      <c r="CF1686" s="84"/>
      <c r="CG1686" s="84"/>
      <c r="CH1686" s="84"/>
      <c r="CI1686" s="84"/>
      <c r="CJ1686" s="84"/>
      <c r="CK1686" s="84"/>
      <c r="CL1686" s="84"/>
    </row>
    <row r="1687" spans="66:90" s="354" customFormat="1" x14ac:dyDescent="0.2">
      <c r="BN1687" s="84"/>
      <c r="BO1687" s="84"/>
      <c r="BP1687" s="84"/>
      <c r="BQ1687" s="84"/>
      <c r="BR1687" s="84"/>
      <c r="BS1687" s="84"/>
      <c r="BT1687" s="84"/>
      <c r="BU1687" s="84"/>
      <c r="BV1687" s="84"/>
      <c r="BW1687" s="84"/>
      <c r="BX1687" s="84"/>
      <c r="BY1687" s="84"/>
      <c r="BZ1687" s="84"/>
      <c r="CA1687" s="84"/>
      <c r="CB1687" s="84"/>
      <c r="CC1687" s="84"/>
      <c r="CD1687" s="84"/>
      <c r="CE1687" s="84"/>
      <c r="CF1687" s="84"/>
      <c r="CG1687" s="84"/>
      <c r="CH1687" s="84"/>
      <c r="CI1687" s="84"/>
      <c r="CJ1687" s="84"/>
      <c r="CK1687" s="84"/>
      <c r="CL1687" s="84"/>
    </row>
    <row r="1688" spans="66:90" s="354" customFormat="1" x14ac:dyDescent="0.2">
      <c r="BN1688" s="84"/>
      <c r="BO1688" s="84"/>
      <c r="BP1688" s="84"/>
      <c r="BQ1688" s="84"/>
      <c r="BR1688" s="84"/>
      <c r="BS1688" s="84"/>
      <c r="BT1688" s="84"/>
      <c r="BU1688" s="84"/>
      <c r="BV1688" s="84"/>
      <c r="BW1688" s="84"/>
      <c r="BX1688" s="84"/>
      <c r="BY1688" s="84"/>
      <c r="BZ1688" s="84"/>
      <c r="CA1688" s="84"/>
      <c r="CB1688" s="84"/>
      <c r="CC1688" s="84"/>
      <c r="CD1688" s="84"/>
      <c r="CE1688" s="84"/>
      <c r="CF1688" s="84"/>
      <c r="CG1688" s="84"/>
      <c r="CH1688" s="84"/>
      <c r="CI1688" s="84"/>
      <c r="CJ1688" s="84"/>
      <c r="CK1688" s="84"/>
      <c r="CL1688" s="84"/>
    </row>
    <row r="1689" spans="66:90" s="354" customFormat="1" x14ac:dyDescent="0.2">
      <c r="BN1689" s="84"/>
      <c r="BO1689" s="84"/>
      <c r="BP1689" s="84"/>
      <c r="BQ1689" s="84"/>
      <c r="BR1689" s="84"/>
      <c r="BS1689" s="84"/>
      <c r="BT1689" s="84"/>
      <c r="BU1689" s="84"/>
      <c r="BV1689" s="84"/>
      <c r="BW1689" s="84"/>
      <c r="BX1689" s="84"/>
      <c r="BY1689" s="84"/>
      <c r="BZ1689" s="84"/>
      <c r="CA1689" s="84"/>
      <c r="CB1689" s="84"/>
      <c r="CC1689" s="84"/>
      <c r="CD1689" s="84"/>
      <c r="CE1689" s="84"/>
      <c r="CF1689" s="84"/>
      <c r="CG1689" s="84"/>
      <c r="CH1689" s="84"/>
      <c r="CI1689" s="84"/>
      <c r="CJ1689" s="84"/>
      <c r="CK1689" s="84"/>
      <c r="CL1689" s="84"/>
    </row>
    <row r="1690" spans="66:90" s="354" customFormat="1" x14ac:dyDescent="0.2">
      <c r="BN1690" s="84"/>
      <c r="BO1690" s="84"/>
      <c r="BP1690" s="84"/>
      <c r="BQ1690" s="84"/>
      <c r="BR1690" s="84"/>
      <c r="BS1690" s="84"/>
      <c r="BT1690" s="84"/>
      <c r="BU1690" s="84"/>
      <c r="BV1690" s="84"/>
      <c r="BW1690" s="84"/>
      <c r="BX1690" s="84"/>
      <c r="BY1690" s="84"/>
      <c r="BZ1690" s="84"/>
      <c r="CA1690" s="84"/>
      <c r="CB1690" s="84"/>
      <c r="CC1690" s="84"/>
      <c r="CD1690" s="84"/>
      <c r="CE1690" s="84"/>
      <c r="CF1690" s="84"/>
      <c r="CG1690" s="84"/>
      <c r="CH1690" s="84"/>
      <c r="CI1690" s="84"/>
      <c r="CJ1690" s="84"/>
      <c r="CK1690" s="84"/>
      <c r="CL1690" s="84"/>
    </row>
    <row r="1691" spans="66:90" s="354" customFormat="1" x14ac:dyDescent="0.2">
      <c r="BN1691" s="84"/>
      <c r="BO1691" s="84"/>
      <c r="BP1691" s="84"/>
      <c r="BQ1691" s="84"/>
      <c r="BR1691" s="84"/>
      <c r="BS1691" s="84"/>
      <c r="BT1691" s="84"/>
      <c r="BU1691" s="84"/>
      <c r="BV1691" s="84"/>
      <c r="BW1691" s="84"/>
      <c r="BX1691" s="84"/>
      <c r="BY1691" s="84"/>
      <c r="BZ1691" s="84"/>
      <c r="CA1691" s="84"/>
      <c r="CB1691" s="84"/>
      <c r="CC1691" s="84"/>
      <c r="CD1691" s="84"/>
      <c r="CE1691" s="84"/>
      <c r="CF1691" s="84"/>
      <c r="CG1691" s="84"/>
      <c r="CH1691" s="84"/>
      <c r="CI1691" s="84"/>
      <c r="CJ1691" s="84"/>
      <c r="CK1691" s="84"/>
      <c r="CL1691" s="84"/>
    </row>
    <row r="1692" spans="66:90" s="354" customFormat="1" x14ac:dyDescent="0.2">
      <c r="BN1692" s="84"/>
      <c r="BO1692" s="84"/>
      <c r="BP1692" s="84"/>
      <c r="BQ1692" s="84"/>
      <c r="BR1692" s="84"/>
      <c r="BS1692" s="84"/>
      <c r="BT1692" s="84"/>
      <c r="BU1692" s="84"/>
      <c r="BV1692" s="84"/>
      <c r="BW1692" s="84"/>
      <c r="BX1692" s="84"/>
      <c r="BY1692" s="84"/>
      <c r="BZ1692" s="84"/>
      <c r="CA1692" s="84"/>
      <c r="CB1692" s="84"/>
      <c r="CC1692" s="84"/>
      <c r="CD1692" s="84"/>
      <c r="CE1692" s="84"/>
      <c r="CF1692" s="84"/>
      <c r="CG1692" s="84"/>
      <c r="CH1692" s="84"/>
      <c r="CI1692" s="84"/>
      <c r="CJ1692" s="84"/>
      <c r="CK1692" s="84"/>
      <c r="CL1692" s="84"/>
    </row>
    <row r="1693" spans="66:90" s="354" customFormat="1" x14ac:dyDescent="0.2">
      <c r="BN1693" s="84"/>
      <c r="BO1693" s="84"/>
      <c r="BP1693" s="84"/>
      <c r="BQ1693" s="84"/>
      <c r="BR1693" s="84"/>
      <c r="BS1693" s="84"/>
      <c r="BT1693" s="84"/>
      <c r="BU1693" s="84"/>
      <c r="BV1693" s="84"/>
      <c r="BW1693" s="84"/>
      <c r="BX1693" s="84"/>
      <c r="BY1693" s="84"/>
      <c r="BZ1693" s="84"/>
      <c r="CA1693" s="84"/>
      <c r="CB1693" s="84"/>
      <c r="CC1693" s="84"/>
      <c r="CD1693" s="84"/>
      <c r="CE1693" s="84"/>
      <c r="CF1693" s="84"/>
      <c r="CG1693" s="84"/>
      <c r="CH1693" s="84"/>
      <c r="CI1693" s="84"/>
      <c r="CJ1693" s="84"/>
      <c r="CK1693" s="84"/>
      <c r="CL1693" s="84"/>
    </row>
    <row r="1694" spans="66:90" s="354" customFormat="1" x14ac:dyDescent="0.2">
      <c r="BN1694" s="84"/>
      <c r="BO1694" s="84"/>
      <c r="BP1694" s="84"/>
      <c r="BQ1694" s="84"/>
      <c r="BR1694" s="84"/>
      <c r="BS1694" s="84"/>
      <c r="BT1694" s="84"/>
      <c r="BU1694" s="84"/>
      <c r="BV1694" s="84"/>
      <c r="BW1694" s="84"/>
      <c r="BX1694" s="84"/>
      <c r="BY1694" s="84"/>
      <c r="BZ1694" s="84"/>
      <c r="CA1694" s="84"/>
      <c r="CB1694" s="84"/>
      <c r="CC1694" s="84"/>
      <c r="CD1694" s="84"/>
      <c r="CE1694" s="84"/>
      <c r="CF1694" s="84"/>
      <c r="CG1694" s="84"/>
      <c r="CH1694" s="84"/>
      <c r="CI1694" s="84"/>
      <c r="CJ1694" s="84"/>
      <c r="CK1694" s="84"/>
      <c r="CL1694" s="84"/>
    </row>
    <row r="1695" spans="66:90" s="354" customFormat="1" x14ac:dyDescent="0.2">
      <c r="BN1695" s="84"/>
      <c r="BO1695" s="84"/>
      <c r="BP1695" s="84"/>
      <c r="BQ1695" s="84"/>
      <c r="BR1695" s="84"/>
      <c r="BS1695" s="84"/>
      <c r="BT1695" s="84"/>
      <c r="BU1695" s="84"/>
      <c r="BV1695" s="84"/>
      <c r="BW1695" s="84"/>
      <c r="BX1695" s="84"/>
      <c r="BY1695" s="84"/>
      <c r="BZ1695" s="84"/>
      <c r="CA1695" s="84"/>
      <c r="CB1695" s="84"/>
      <c r="CC1695" s="84"/>
      <c r="CD1695" s="84"/>
      <c r="CE1695" s="84"/>
      <c r="CF1695" s="84"/>
      <c r="CG1695" s="84"/>
      <c r="CH1695" s="84"/>
      <c r="CI1695" s="84"/>
      <c r="CJ1695" s="84"/>
      <c r="CK1695" s="84"/>
      <c r="CL1695" s="84"/>
    </row>
    <row r="1696" spans="66:90" s="354" customFormat="1" x14ac:dyDescent="0.2">
      <c r="BN1696" s="84"/>
      <c r="BO1696" s="84"/>
      <c r="BP1696" s="84"/>
      <c r="BQ1696" s="84"/>
      <c r="BR1696" s="84"/>
      <c r="BS1696" s="84"/>
      <c r="BT1696" s="84"/>
      <c r="BU1696" s="84"/>
      <c r="BV1696" s="84"/>
      <c r="BW1696" s="84"/>
      <c r="BX1696" s="84"/>
      <c r="BY1696" s="84"/>
      <c r="BZ1696" s="84"/>
      <c r="CA1696" s="84"/>
      <c r="CB1696" s="84"/>
      <c r="CC1696" s="84"/>
      <c r="CD1696" s="84"/>
      <c r="CE1696" s="84"/>
      <c r="CF1696" s="84"/>
      <c r="CG1696" s="84"/>
      <c r="CH1696" s="84"/>
      <c r="CI1696" s="84"/>
      <c r="CJ1696" s="84"/>
      <c r="CK1696" s="84"/>
      <c r="CL1696" s="84"/>
    </row>
    <row r="1697" spans="66:90" s="354" customFormat="1" x14ac:dyDescent="0.2">
      <c r="BN1697" s="84"/>
      <c r="BO1697" s="84"/>
      <c r="BP1697" s="84"/>
      <c r="BQ1697" s="84"/>
      <c r="BR1697" s="84"/>
      <c r="BS1697" s="84"/>
      <c r="BT1697" s="84"/>
      <c r="BU1697" s="84"/>
      <c r="BV1697" s="84"/>
      <c r="BW1697" s="84"/>
      <c r="BX1697" s="84"/>
      <c r="BY1697" s="84"/>
      <c r="BZ1697" s="84"/>
      <c r="CA1697" s="84"/>
      <c r="CB1697" s="84"/>
      <c r="CC1697" s="84"/>
      <c r="CD1697" s="84"/>
      <c r="CE1697" s="84"/>
      <c r="CF1697" s="84"/>
      <c r="CG1697" s="84"/>
      <c r="CH1697" s="84"/>
      <c r="CI1697" s="84"/>
      <c r="CJ1697" s="84"/>
      <c r="CK1697" s="84"/>
      <c r="CL1697" s="84"/>
    </row>
    <row r="1698" spans="66:90" s="354" customFormat="1" x14ac:dyDescent="0.2">
      <c r="BN1698" s="84"/>
      <c r="BO1698" s="84"/>
      <c r="BP1698" s="84"/>
      <c r="BQ1698" s="84"/>
      <c r="BR1698" s="84"/>
      <c r="BS1698" s="84"/>
      <c r="BT1698" s="84"/>
      <c r="BU1698" s="84"/>
      <c r="BV1698" s="84"/>
      <c r="BW1698" s="84"/>
      <c r="BX1698" s="84"/>
      <c r="BY1698" s="84"/>
      <c r="BZ1698" s="84"/>
      <c r="CA1698" s="84"/>
      <c r="CB1698" s="84"/>
      <c r="CC1698" s="84"/>
      <c r="CD1698" s="84"/>
      <c r="CE1698" s="84"/>
      <c r="CF1698" s="84"/>
      <c r="CG1698" s="84"/>
      <c r="CH1698" s="84"/>
      <c r="CI1698" s="84"/>
      <c r="CJ1698" s="84"/>
      <c r="CK1698" s="84"/>
      <c r="CL1698" s="84"/>
    </row>
    <row r="1699" spans="66:90" s="354" customFormat="1" x14ac:dyDescent="0.2">
      <c r="BN1699" s="84"/>
      <c r="BO1699" s="84"/>
      <c r="BP1699" s="84"/>
      <c r="BQ1699" s="84"/>
      <c r="BR1699" s="84"/>
      <c r="BS1699" s="84"/>
      <c r="BT1699" s="84"/>
      <c r="BU1699" s="84"/>
      <c r="BV1699" s="84"/>
      <c r="BW1699" s="84"/>
      <c r="BX1699" s="84"/>
      <c r="BY1699" s="84"/>
      <c r="BZ1699" s="84"/>
      <c r="CA1699" s="84"/>
      <c r="CB1699" s="84"/>
      <c r="CC1699" s="84"/>
      <c r="CD1699" s="84"/>
      <c r="CE1699" s="84"/>
      <c r="CF1699" s="84"/>
      <c r="CG1699" s="84"/>
      <c r="CH1699" s="84"/>
      <c r="CI1699" s="84"/>
      <c r="CJ1699" s="84"/>
      <c r="CK1699" s="84"/>
      <c r="CL1699" s="84"/>
    </row>
    <row r="1700" spans="66:90" s="354" customFormat="1" x14ac:dyDescent="0.2">
      <c r="BN1700" s="84"/>
      <c r="BO1700" s="84"/>
      <c r="BP1700" s="84"/>
      <c r="BQ1700" s="84"/>
      <c r="BR1700" s="84"/>
      <c r="BS1700" s="84"/>
      <c r="BT1700" s="84"/>
      <c r="BU1700" s="84"/>
      <c r="BV1700" s="84"/>
      <c r="BW1700" s="84"/>
      <c r="BX1700" s="84"/>
      <c r="BY1700" s="84"/>
      <c r="BZ1700" s="84"/>
      <c r="CA1700" s="84"/>
      <c r="CB1700" s="84"/>
      <c r="CC1700" s="84"/>
      <c r="CD1700" s="84"/>
      <c r="CE1700" s="84"/>
      <c r="CF1700" s="84"/>
      <c r="CG1700" s="84"/>
      <c r="CH1700" s="84"/>
      <c r="CI1700" s="84"/>
      <c r="CJ1700" s="84"/>
      <c r="CK1700" s="84"/>
      <c r="CL1700" s="84"/>
    </row>
    <row r="1701" spans="66:90" s="354" customFormat="1" x14ac:dyDescent="0.2">
      <c r="BN1701" s="84"/>
      <c r="BO1701" s="84"/>
      <c r="BP1701" s="84"/>
      <c r="BQ1701" s="84"/>
      <c r="BR1701" s="84"/>
      <c r="BS1701" s="84"/>
      <c r="BT1701" s="84"/>
      <c r="BU1701" s="84"/>
      <c r="BV1701" s="84"/>
      <c r="BW1701" s="84"/>
      <c r="BX1701" s="84"/>
      <c r="BY1701" s="84"/>
      <c r="BZ1701" s="84"/>
      <c r="CA1701" s="84"/>
      <c r="CB1701" s="84"/>
      <c r="CC1701" s="84"/>
      <c r="CD1701" s="84"/>
      <c r="CE1701" s="84"/>
      <c r="CF1701" s="84"/>
      <c r="CG1701" s="84"/>
      <c r="CH1701" s="84"/>
      <c r="CI1701" s="84"/>
      <c r="CJ1701" s="84"/>
      <c r="CK1701" s="84"/>
      <c r="CL1701" s="84"/>
    </row>
    <row r="1702" spans="66:90" s="354" customFormat="1" x14ac:dyDescent="0.2">
      <c r="BN1702" s="84"/>
      <c r="BO1702" s="84"/>
      <c r="BP1702" s="84"/>
      <c r="BQ1702" s="84"/>
      <c r="BR1702" s="84"/>
      <c r="BS1702" s="84"/>
      <c r="BT1702" s="84"/>
      <c r="BU1702" s="84"/>
      <c r="BV1702" s="84"/>
      <c r="BW1702" s="84"/>
      <c r="BX1702" s="84"/>
      <c r="BY1702" s="84"/>
      <c r="BZ1702" s="84"/>
      <c r="CA1702" s="84"/>
      <c r="CB1702" s="84"/>
      <c r="CC1702" s="84"/>
      <c r="CD1702" s="84"/>
      <c r="CE1702" s="84"/>
      <c r="CF1702" s="84"/>
      <c r="CG1702" s="84"/>
      <c r="CH1702" s="84"/>
      <c r="CI1702" s="84"/>
      <c r="CJ1702" s="84"/>
      <c r="CK1702" s="84"/>
      <c r="CL1702" s="84"/>
    </row>
    <row r="1703" spans="66:90" s="354" customFormat="1" x14ac:dyDescent="0.2">
      <c r="BN1703" s="84"/>
      <c r="BO1703" s="84"/>
      <c r="BP1703" s="84"/>
      <c r="BQ1703" s="84"/>
      <c r="BR1703" s="84"/>
      <c r="BS1703" s="84"/>
      <c r="BT1703" s="84"/>
      <c r="BU1703" s="84"/>
      <c r="BV1703" s="84"/>
      <c r="BW1703" s="84"/>
      <c r="BX1703" s="84"/>
      <c r="BY1703" s="84"/>
      <c r="BZ1703" s="84"/>
      <c r="CA1703" s="84"/>
      <c r="CB1703" s="84"/>
      <c r="CC1703" s="84"/>
      <c r="CD1703" s="84"/>
      <c r="CE1703" s="84"/>
      <c r="CF1703" s="84"/>
      <c r="CG1703" s="84"/>
      <c r="CH1703" s="84"/>
      <c r="CI1703" s="84"/>
      <c r="CJ1703" s="84"/>
      <c r="CK1703" s="84"/>
      <c r="CL1703" s="84"/>
    </row>
    <row r="1704" spans="66:90" s="354" customFormat="1" x14ac:dyDescent="0.2">
      <c r="BN1704" s="84"/>
      <c r="BO1704" s="84"/>
      <c r="BP1704" s="84"/>
      <c r="BQ1704" s="84"/>
      <c r="BR1704" s="84"/>
      <c r="BS1704" s="84"/>
      <c r="BT1704" s="84"/>
      <c r="BU1704" s="84"/>
      <c r="BV1704" s="84"/>
      <c r="BW1704" s="84"/>
      <c r="BX1704" s="84"/>
      <c r="BY1704" s="84"/>
      <c r="BZ1704" s="84"/>
      <c r="CA1704" s="84"/>
      <c r="CB1704" s="84"/>
      <c r="CC1704" s="84"/>
      <c r="CD1704" s="84"/>
      <c r="CE1704" s="84"/>
      <c r="CF1704" s="84"/>
      <c r="CG1704" s="84"/>
      <c r="CH1704" s="84"/>
      <c r="CI1704" s="84"/>
      <c r="CJ1704" s="84"/>
      <c r="CK1704" s="84"/>
      <c r="CL1704" s="84"/>
    </row>
    <row r="1705" spans="66:90" s="354" customFormat="1" x14ac:dyDescent="0.2">
      <c r="BN1705" s="84"/>
      <c r="BO1705" s="84"/>
      <c r="BP1705" s="84"/>
      <c r="BQ1705" s="84"/>
      <c r="BR1705" s="84"/>
      <c r="BS1705" s="84"/>
      <c r="BT1705" s="84"/>
      <c r="BU1705" s="84"/>
      <c r="BV1705" s="84"/>
      <c r="BW1705" s="84"/>
      <c r="BX1705" s="84"/>
      <c r="BY1705" s="84"/>
      <c r="BZ1705" s="84"/>
      <c r="CA1705" s="84"/>
      <c r="CB1705" s="84"/>
      <c r="CC1705" s="84"/>
      <c r="CD1705" s="84"/>
      <c r="CE1705" s="84"/>
      <c r="CF1705" s="84"/>
      <c r="CG1705" s="84"/>
      <c r="CH1705" s="84"/>
      <c r="CI1705" s="84"/>
      <c r="CJ1705" s="84"/>
      <c r="CK1705" s="84"/>
      <c r="CL1705" s="84"/>
    </row>
    <row r="1706" spans="66:90" s="354" customFormat="1" x14ac:dyDescent="0.2">
      <c r="BN1706" s="84"/>
      <c r="BO1706" s="84"/>
      <c r="BP1706" s="84"/>
      <c r="BQ1706" s="84"/>
      <c r="BR1706" s="84"/>
      <c r="BS1706" s="84"/>
      <c r="BT1706" s="84"/>
      <c r="BU1706" s="84"/>
      <c r="BV1706" s="84"/>
      <c r="BW1706" s="84"/>
      <c r="BX1706" s="84"/>
      <c r="BY1706" s="84"/>
      <c r="BZ1706" s="84"/>
      <c r="CA1706" s="84"/>
      <c r="CB1706" s="84"/>
      <c r="CC1706" s="84"/>
      <c r="CD1706" s="84"/>
      <c r="CE1706" s="84"/>
      <c r="CF1706" s="84"/>
      <c r="CG1706" s="84"/>
      <c r="CH1706" s="84"/>
      <c r="CI1706" s="84"/>
      <c r="CJ1706" s="84"/>
      <c r="CK1706" s="84"/>
      <c r="CL1706" s="84"/>
    </row>
    <row r="1707" spans="66:90" s="354" customFormat="1" x14ac:dyDescent="0.2">
      <c r="BN1707" s="84"/>
      <c r="BO1707" s="84"/>
      <c r="BP1707" s="84"/>
      <c r="BQ1707" s="84"/>
      <c r="BR1707" s="84"/>
      <c r="BS1707" s="84"/>
      <c r="BT1707" s="84"/>
      <c r="BU1707" s="84"/>
      <c r="BV1707" s="84"/>
      <c r="BW1707" s="84"/>
      <c r="BX1707" s="84"/>
      <c r="BY1707" s="84"/>
      <c r="BZ1707" s="84"/>
      <c r="CA1707" s="84"/>
      <c r="CB1707" s="84"/>
      <c r="CC1707" s="84"/>
      <c r="CD1707" s="84"/>
      <c r="CE1707" s="84"/>
      <c r="CF1707" s="84"/>
      <c r="CG1707" s="84"/>
      <c r="CH1707" s="84"/>
      <c r="CI1707" s="84"/>
      <c r="CJ1707" s="84"/>
      <c r="CK1707" s="84"/>
      <c r="CL1707" s="84"/>
    </row>
    <row r="1708" spans="66:90" s="354" customFormat="1" x14ac:dyDescent="0.2">
      <c r="BN1708" s="84"/>
      <c r="BO1708" s="84"/>
      <c r="BP1708" s="84"/>
      <c r="BQ1708" s="84"/>
      <c r="BR1708" s="84"/>
      <c r="BS1708" s="84"/>
      <c r="BT1708" s="84"/>
      <c r="BU1708" s="84"/>
      <c r="BV1708" s="84"/>
      <c r="BW1708" s="84"/>
      <c r="BX1708" s="84"/>
      <c r="BY1708" s="84"/>
      <c r="BZ1708" s="84"/>
      <c r="CA1708" s="84"/>
      <c r="CB1708" s="84"/>
      <c r="CC1708" s="84"/>
      <c r="CD1708" s="84"/>
      <c r="CE1708" s="84"/>
      <c r="CF1708" s="84"/>
      <c r="CG1708" s="84"/>
      <c r="CH1708" s="84"/>
      <c r="CI1708" s="84"/>
      <c r="CJ1708" s="84"/>
      <c r="CK1708" s="84"/>
      <c r="CL1708" s="84"/>
    </row>
    <row r="1709" spans="66:90" s="354" customFormat="1" x14ac:dyDescent="0.2">
      <c r="BN1709" s="84"/>
      <c r="BO1709" s="84"/>
      <c r="BP1709" s="84"/>
      <c r="BQ1709" s="84"/>
      <c r="BR1709" s="84"/>
      <c r="BS1709" s="84"/>
      <c r="BT1709" s="84"/>
      <c r="BU1709" s="84"/>
      <c r="BV1709" s="84"/>
      <c r="BW1709" s="84"/>
      <c r="BX1709" s="84"/>
      <c r="BY1709" s="84"/>
      <c r="BZ1709" s="84"/>
      <c r="CA1709" s="84"/>
      <c r="CB1709" s="84"/>
      <c r="CC1709" s="84"/>
      <c r="CD1709" s="84"/>
      <c r="CE1709" s="84"/>
      <c r="CF1709" s="84"/>
      <c r="CG1709" s="84"/>
      <c r="CH1709" s="84"/>
      <c r="CI1709" s="84"/>
      <c r="CJ1709" s="84"/>
      <c r="CK1709" s="84"/>
      <c r="CL1709" s="84"/>
    </row>
    <row r="1710" spans="66:90" s="354" customFormat="1" x14ac:dyDescent="0.2">
      <c r="BN1710" s="84"/>
      <c r="BO1710" s="84"/>
      <c r="BP1710" s="84"/>
      <c r="BQ1710" s="84"/>
      <c r="BR1710" s="84"/>
      <c r="BS1710" s="84"/>
      <c r="BT1710" s="84"/>
      <c r="BU1710" s="84"/>
      <c r="BV1710" s="84"/>
      <c r="BW1710" s="84"/>
      <c r="BX1710" s="84"/>
      <c r="BY1710" s="84"/>
      <c r="BZ1710" s="84"/>
      <c r="CA1710" s="84"/>
      <c r="CB1710" s="84"/>
      <c r="CC1710" s="84"/>
      <c r="CD1710" s="84"/>
      <c r="CE1710" s="84"/>
      <c r="CF1710" s="84"/>
      <c r="CG1710" s="84"/>
      <c r="CH1710" s="84"/>
      <c r="CI1710" s="84"/>
      <c r="CJ1710" s="84"/>
      <c r="CK1710" s="84"/>
      <c r="CL1710" s="84"/>
    </row>
    <row r="1711" spans="66:90" s="354" customFormat="1" x14ac:dyDescent="0.2">
      <c r="BN1711" s="84"/>
      <c r="BO1711" s="84"/>
      <c r="BP1711" s="84"/>
      <c r="BQ1711" s="84"/>
      <c r="BR1711" s="84"/>
      <c r="BS1711" s="84"/>
      <c r="BT1711" s="84"/>
      <c r="BU1711" s="84"/>
      <c r="BV1711" s="84"/>
      <c r="BW1711" s="84"/>
      <c r="BX1711" s="84"/>
      <c r="BY1711" s="84"/>
      <c r="BZ1711" s="84"/>
      <c r="CA1711" s="84"/>
      <c r="CB1711" s="84"/>
      <c r="CC1711" s="84"/>
      <c r="CD1711" s="84"/>
      <c r="CE1711" s="84"/>
      <c r="CF1711" s="84"/>
      <c r="CG1711" s="84"/>
      <c r="CH1711" s="84"/>
      <c r="CI1711" s="84"/>
      <c r="CJ1711" s="84"/>
      <c r="CK1711" s="84"/>
      <c r="CL1711" s="84"/>
    </row>
    <row r="1712" spans="66:90" s="354" customFormat="1" x14ac:dyDescent="0.2">
      <c r="BN1712" s="84"/>
      <c r="BO1712" s="84"/>
      <c r="BP1712" s="84"/>
      <c r="BQ1712" s="84"/>
      <c r="BR1712" s="84"/>
      <c r="BS1712" s="84"/>
      <c r="BT1712" s="84"/>
      <c r="BU1712" s="84"/>
      <c r="BV1712" s="84"/>
      <c r="BW1712" s="84"/>
      <c r="BX1712" s="84"/>
      <c r="BY1712" s="84"/>
      <c r="BZ1712" s="84"/>
      <c r="CA1712" s="84"/>
      <c r="CB1712" s="84"/>
      <c r="CC1712" s="84"/>
      <c r="CD1712" s="84"/>
      <c r="CE1712" s="84"/>
      <c r="CF1712" s="84"/>
      <c r="CG1712" s="84"/>
      <c r="CH1712" s="84"/>
      <c r="CI1712" s="84"/>
      <c r="CJ1712" s="84"/>
      <c r="CK1712" s="84"/>
      <c r="CL1712" s="84"/>
    </row>
    <row r="1713" spans="66:90" s="354" customFormat="1" x14ac:dyDescent="0.2">
      <c r="BN1713" s="84"/>
      <c r="BO1713" s="84"/>
      <c r="BP1713" s="84"/>
      <c r="BQ1713" s="84"/>
      <c r="BR1713" s="84"/>
      <c r="BS1713" s="84"/>
      <c r="BT1713" s="84"/>
      <c r="BU1713" s="84"/>
      <c r="BV1713" s="84"/>
      <c r="BW1713" s="84"/>
      <c r="BX1713" s="84"/>
      <c r="BY1713" s="84"/>
      <c r="BZ1713" s="84"/>
      <c r="CA1713" s="84"/>
      <c r="CB1713" s="84"/>
      <c r="CC1713" s="84"/>
      <c r="CD1713" s="84"/>
      <c r="CE1713" s="84"/>
      <c r="CF1713" s="84"/>
      <c r="CG1713" s="84"/>
      <c r="CH1713" s="84"/>
      <c r="CI1713" s="84"/>
      <c r="CJ1713" s="84"/>
      <c r="CK1713" s="84"/>
      <c r="CL1713" s="84"/>
    </row>
    <row r="1714" spans="66:90" s="354" customFormat="1" x14ac:dyDescent="0.2">
      <c r="BN1714" s="84"/>
      <c r="BO1714" s="84"/>
      <c r="BP1714" s="84"/>
      <c r="BQ1714" s="84"/>
      <c r="BR1714" s="84"/>
      <c r="BS1714" s="84"/>
      <c r="BT1714" s="84"/>
      <c r="BU1714" s="84"/>
      <c r="BV1714" s="84"/>
      <c r="BW1714" s="84"/>
      <c r="BX1714" s="84"/>
      <c r="BY1714" s="84"/>
      <c r="BZ1714" s="84"/>
      <c r="CA1714" s="84"/>
      <c r="CB1714" s="84"/>
      <c r="CC1714" s="84"/>
      <c r="CD1714" s="84"/>
      <c r="CE1714" s="84"/>
      <c r="CF1714" s="84"/>
      <c r="CG1714" s="84"/>
      <c r="CH1714" s="84"/>
      <c r="CI1714" s="84"/>
      <c r="CJ1714" s="84"/>
      <c r="CK1714" s="84"/>
      <c r="CL1714" s="84"/>
    </row>
    <row r="1715" spans="66:90" s="354" customFormat="1" x14ac:dyDescent="0.2">
      <c r="BN1715" s="84"/>
      <c r="BO1715" s="84"/>
      <c r="BP1715" s="84"/>
      <c r="BQ1715" s="84"/>
      <c r="BR1715" s="84"/>
      <c r="BS1715" s="84"/>
      <c r="BT1715" s="84"/>
      <c r="BU1715" s="84"/>
      <c r="BV1715" s="84"/>
      <c r="BW1715" s="84"/>
      <c r="BX1715" s="84"/>
      <c r="BY1715" s="84"/>
      <c r="BZ1715" s="84"/>
      <c r="CA1715" s="84"/>
      <c r="CB1715" s="84"/>
      <c r="CC1715" s="84"/>
      <c r="CD1715" s="84"/>
      <c r="CE1715" s="84"/>
      <c r="CF1715" s="84"/>
      <c r="CG1715" s="84"/>
      <c r="CH1715" s="84"/>
      <c r="CI1715" s="84"/>
      <c r="CJ1715" s="84"/>
      <c r="CK1715" s="84"/>
      <c r="CL1715" s="84"/>
    </row>
    <row r="1716" spans="66:90" s="354" customFormat="1" x14ac:dyDescent="0.2">
      <c r="BN1716" s="84"/>
      <c r="BO1716" s="84"/>
      <c r="BP1716" s="84"/>
      <c r="BQ1716" s="84"/>
      <c r="BR1716" s="84"/>
      <c r="BS1716" s="84"/>
      <c r="BT1716" s="84"/>
      <c r="BU1716" s="84"/>
      <c r="BV1716" s="84"/>
      <c r="BW1716" s="84"/>
      <c r="BX1716" s="84"/>
      <c r="BY1716" s="84"/>
      <c r="BZ1716" s="84"/>
      <c r="CA1716" s="84"/>
      <c r="CB1716" s="84"/>
      <c r="CC1716" s="84"/>
      <c r="CD1716" s="84"/>
      <c r="CE1716" s="84"/>
      <c r="CF1716" s="84"/>
      <c r="CG1716" s="84"/>
      <c r="CH1716" s="84"/>
      <c r="CI1716" s="84"/>
      <c r="CJ1716" s="84"/>
      <c r="CK1716" s="84"/>
      <c r="CL1716" s="84"/>
    </row>
    <row r="1717" spans="66:90" s="354" customFormat="1" x14ac:dyDescent="0.2">
      <c r="BN1717" s="84"/>
      <c r="BO1717" s="84"/>
      <c r="BP1717" s="84"/>
      <c r="BQ1717" s="84"/>
      <c r="BR1717" s="84"/>
      <c r="BS1717" s="84"/>
      <c r="BT1717" s="84"/>
      <c r="BU1717" s="84"/>
      <c r="BV1717" s="84"/>
      <c r="BW1717" s="84"/>
      <c r="BX1717" s="84"/>
      <c r="BY1717" s="84"/>
      <c r="BZ1717" s="84"/>
      <c r="CA1717" s="84"/>
      <c r="CB1717" s="84"/>
      <c r="CC1717" s="84"/>
      <c r="CD1717" s="84"/>
      <c r="CE1717" s="84"/>
      <c r="CF1717" s="84"/>
      <c r="CG1717" s="84"/>
      <c r="CH1717" s="84"/>
      <c r="CI1717" s="84"/>
      <c r="CJ1717" s="84"/>
      <c r="CK1717" s="84"/>
      <c r="CL1717" s="84"/>
    </row>
    <row r="1718" spans="66:90" s="354" customFormat="1" x14ac:dyDescent="0.2">
      <c r="BN1718" s="84"/>
      <c r="BO1718" s="84"/>
      <c r="BP1718" s="84"/>
      <c r="BQ1718" s="84"/>
      <c r="BR1718" s="84"/>
      <c r="BS1718" s="84"/>
      <c r="BT1718" s="84"/>
      <c r="BU1718" s="84"/>
      <c r="BV1718" s="84"/>
      <c r="BW1718" s="84"/>
      <c r="BX1718" s="84"/>
      <c r="BY1718" s="84"/>
      <c r="BZ1718" s="84"/>
      <c r="CA1718" s="84"/>
      <c r="CB1718" s="84"/>
      <c r="CC1718" s="84"/>
      <c r="CD1718" s="84"/>
      <c r="CE1718" s="84"/>
      <c r="CF1718" s="84"/>
      <c r="CG1718" s="84"/>
      <c r="CH1718" s="84"/>
      <c r="CI1718" s="84"/>
      <c r="CJ1718" s="84"/>
      <c r="CK1718" s="84"/>
      <c r="CL1718" s="84"/>
    </row>
    <row r="1719" spans="66:90" s="354" customFormat="1" x14ac:dyDescent="0.2">
      <c r="BN1719" s="84"/>
      <c r="BO1719" s="84"/>
      <c r="BP1719" s="84"/>
      <c r="BQ1719" s="84"/>
      <c r="BR1719" s="84"/>
      <c r="BS1719" s="84"/>
      <c r="BT1719" s="84"/>
      <c r="BU1719" s="84"/>
      <c r="BV1719" s="84"/>
      <c r="BW1719" s="84"/>
      <c r="BX1719" s="84"/>
      <c r="BY1719" s="84"/>
      <c r="BZ1719" s="84"/>
      <c r="CA1719" s="84"/>
      <c r="CB1719" s="84"/>
      <c r="CC1719" s="84"/>
      <c r="CD1719" s="84"/>
      <c r="CE1719" s="84"/>
      <c r="CF1719" s="84"/>
      <c r="CG1719" s="84"/>
      <c r="CH1719" s="84"/>
      <c r="CI1719" s="84"/>
      <c r="CJ1719" s="84"/>
      <c r="CK1719" s="84"/>
      <c r="CL1719" s="84"/>
    </row>
    <row r="1720" spans="66:90" s="354" customFormat="1" x14ac:dyDescent="0.2">
      <c r="BN1720" s="84"/>
      <c r="BO1720" s="84"/>
      <c r="BP1720" s="84"/>
      <c r="BQ1720" s="84"/>
      <c r="BR1720" s="84"/>
      <c r="BS1720" s="84"/>
      <c r="BT1720" s="84"/>
      <c r="BU1720" s="84"/>
      <c r="BV1720" s="84"/>
      <c r="BW1720" s="84"/>
      <c r="BX1720" s="84"/>
      <c r="BY1720" s="84"/>
      <c r="BZ1720" s="84"/>
      <c r="CA1720" s="84"/>
      <c r="CB1720" s="84"/>
      <c r="CC1720" s="84"/>
      <c r="CD1720" s="84"/>
      <c r="CE1720" s="84"/>
      <c r="CF1720" s="84"/>
      <c r="CG1720" s="84"/>
      <c r="CH1720" s="84"/>
      <c r="CI1720" s="84"/>
      <c r="CJ1720" s="84"/>
      <c r="CK1720" s="84"/>
      <c r="CL1720" s="84"/>
    </row>
    <row r="1721" spans="66:90" s="354" customFormat="1" x14ac:dyDescent="0.2">
      <c r="BN1721" s="84"/>
      <c r="BO1721" s="84"/>
      <c r="BP1721" s="84"/>
      <c r="BQ1721" s="84"/>
      <c r="BR1721" s="84"/>
      <c r="BS1721" s="84"/>
      <c r="BT1721" s="84"/>
      <c r="BU1721" s="84"/>
      <c r="BV1721" s="84"/>
      <c r="BW1721" s="84"/>
      <c r="BX1721" s="84"/>
      <c r="BY1721" s="84"/>
      <c r="BZ1721" s="84"/>
      <c r="CA1721" s="84"/>
      <c r="CB1721" s="84"/>
      <c r="CC1721" s="84"/>
      <c r="CD1721" s="84"/>
      <c r="CE1721" s="84"/>
      <c r="CF1721" s="84"/>
      <c r="CG1721" s="84"/>
      <c r="CH1721" s="84"/>
      <c r="CI1721" s="84"/>
      <c r="CJ1721" s="84"/>
      <c r="CK1721" s="84"/>
      <c r="CL1721" s="84"/>
    </row>
    <row r="1722" spans="66:90" s="354" customFormat="1" x14ac:dyDescent="0.2">
      <c r="BN1722" s="84"/>
      <c r="BO1722" s="84"/>
      <c r="BP1722" s="84"/>
      <c r="BQ1722" s="84"/>
      <c r="BR1722" s="84"/>
      <c r="BS1722" s="84"/>
      <c r="BT1722" s="84"/>
      <c r="BU1722" s="84"/>
      <c r="BV1722" s="84"/>
      <c r="BW1722" s="84"/>
      <c r="BX1722" s="84"/>
      <c r="BY1722" s="84"/>
      <c r="BZ1722" s="84"/>
      <c r="CA1722" s="84"/>
      <c r="CB1722" s="84"/>
      <c r="CC1722" s="84"/>
      <c r="CD1722" s="84"/>
      <c r="CE1722" s="84"/>
      <c r="CF1722" s="84"/>
      <c r="CG1722" s="84"/>
      <c r="CH1722" s="84"/>
      <c r="CI1722" s="84"/>
      <c r="CJ1722" s="84"/>
      <c r="CK1722" s="84"/>
      <c r="CL1722" s="84"/>
    </row>
    <row r="1723" spans="66:90" s="354" customFormat="1" x14ac:dyDescent="0.2">
      <c r="BN1723" s="84"/>
      <c r="BO1723" s="84"/>
      <c r="BP1723" s="84"/>
      <c r="BQ1723" s="84"/>
      <c r="BR1723" s="84"/>
      <c r="BS1723" s="84"/>
      <c r="BT1723" s="84"/>
      <c r="BU1723" s="84"/>
      <c r="BV1723" s="84"/>
      <c r="BW1723" s="84"/>
      <c r="BX1723" s="84"/>
      <c r="BY1723" s="84"/>
      <c r="BZ1723" s="84"/>
      <c r="CA1723" s="84"/>
      <c r="CB1723" s="84"/>
      <c r="CC1723" s="84"/>
      <c r="CD1723" s="84"/>
      <c r="CE1723" s="84"/>
      <c r="CF1723" s="84"/>
      <c r="CG1723" s="84"/>
      <c r="CH1723" s="84"/>
      <c r="CI1723" s="84"/>
      <c r="CJ1723" s="84"/>
      <c r="CK1723" s="84"/>
      <c r="CL1723" s="84"/>
    </row>
    <row r="1724" spans="66:90" s="354" customFormat="1" x14ac:dyDescent="0.2">
      <c r="BN1724" s="84"/>
      <c r="BO1724" s="84"/>
      <c r="BP1724" s="84"/>
      <c r="BQ1724" s="84"/>
      <c r="BR1724" s="84"/>
      <c r="BS1724" s="84"/>
      <c r="BT1724" s="84"/>
      <c r="BU1724" s="84"/>
      <c r="BV1724" s="84"/>
      <c r="BW1724" s="84"/>
      <c r="BX1724" s="84"/>
      <c r="BY1724" s="84"/>
      <c r="BZ1724" s="84"/>
      <c r="CA1724" s="84"/>
      <c r="CB1724" s="84"/>
      <c r="CC1724" s="84"/>
      <c r="CD1724" s="84"/>
      <c r="CE1724" s="84"/>
      <c r="CF1724" s="84"/>
      <c r="CG1724" s="84"/>
      <c r="CH1724" s="84"/>
      <c r="CI1724" s="84"/>
      <c r="CJ1724" s="84"/>
      <c r="CK1724" s="84"/>
      <c r="CL1724" s="84"/>
    </row>
    <row r="1725" spans="66:90" s="354" customFormat="1" x14ac:dyDescent="0.2">
      <c r="BN1725" s="84"/>
      <c r="BO1725" s="84"/>
      <c r="BP1725" s="84"/>
      <c r="BQ1725" s="84"/>
      <c r="BR1725" s="84"/>
      <c r="BS1725" s="84"/>
      <c r="BT1725" s="84"/>
      <c r="BU1725" s="84"/>
      <c r="BV1725" s="84"/>
      <c r="BW1725" s="84"/>
      <c r="BX1725" s="84"/>
      <c r="BY1725" s="84"/>
      <c r="BZ1725" s="84"/>
      <c r="CA1725" s="84"/>
      <c r="CB1725" s="84"/>
      <c r="CC1725" s="84"/>
      <c r="CD1725" s="84"/>
      <c r="CE1725" s="84"/>
      <c r="CF1725" s="84"/>
      <c r="CG1725" s="84"/>
      <c r="CH1725" s="84"/>
      <c r="CI1725" s="84"/>
      <c r="CJ1725" s="84"/>
      <c r="CK1725" s="84"/>
      <c r="CL1725" s="84"/>
    </row>
    <row r="1726" spans="66:90" s="354" customFormat="1" x14ac:dyDescent="0.2">
      <c r="BN1726" s="84"/>
      <c r="BO1726" s="84"/>
      <c r="BP1726" s="84"/>
      <c r="BQ1726" s="84"/>
      <c r="BR1726" s="84"/>
      <c r="BS1726" s="84"/>
      <c r="BT1726" s="84"/>
      <c r="BU1726" s="84"/>
      <c r="BV1726" s="84"/>
      <c r="BW1726" s="84"/>
      <c r="BX1726" s="84"/>
      <c r="BY1726" s="84"/>
      <c r="BZ1726" s="84"/>
      <c r="CA1726" s="84"/>
      <c r="CB1726" s="84"/>
      <c r="CC1726" s="84"/>
      <c r="CD1726" s="84"/>
      <c r="CE1726" s="84"/>
      <c r="CF1726" s="84"/>
      <c r="CG1726" s="84"/>
      <c r="CH1726" s="84"/>
      <c r="CI1726" s="84"/>
      <c r="CJ1726" s="84"/>
      <c r="CK1726" s="84"/>
      <c r="CL1726" s="84"/>
    </row>
    <row r="1727" spans="66:90" s="354" customFormat="1" x14ac:dyDescent="0.2">
      <c r="BN1727" s="84"/>
      <c r="BO1727" s="84"/>
      <c r="BP1727" s="84"/>
      <c r="BQ1727" s="84"/>
      <c r="BR1727" s="84"/>
      <c r="BS1727" s="84"/>
      <c r="BT1727" s="84"/>
      <c r="BU1727" s="84"/>
      <c r="BV1727" s="84"/>
      <c r="BW1727" s="84"/>
      <c r="BX1727" s="84"/>
      <c r="BY1727" s="84"/>
      <c r="BZ1727" s="84"/>
      <c r="CA1727" s="84"/>
      <c r="CB1727" s="84"/>
      <c r="CC1727" s="84"/>
      <c r="CD1727" s="84"/>
      <c r="CE1727" s="84"/>
      <c r="CF1727" s="84"/>
      <c r="CG1727" s="84"/>
      <c r="CH1727" s="84"/>
      <c r="CI1727" s="84"/>
      <c r="CJ1727" s="84"/>
      <c r="CK1727" s="84"/>
      <c r="CL1727" s="84"/>
    </row>
    <row r="1728" spans="66:90" s="354" customFormat="1" x14ac:dyDescent="0.2">
      <c r="BN1728" s="84"/>
      <c r="BO1728" s="84"/>
      <c r="BP1728" s="84"/>
      <c r="BQ1728" s="84"/>
      <c r="BR1728" s="84"/>
      <c r="BS1728" s="84"/>
      <c r="BT1728" s="84"/>
      <c r="BU1728" s="84"/>
      <c r="BV1728" s="84"/>
      <c r="BW1728" s="84"/>
      <c r="BX1728" s="84"/>
      <c r="BY1728" s="84"/>
      <c r="BZ1728" s="84"/>
      <c r="CA1728" s="84"/>
      <c r="CB1728" s="84"/>
      <c r="CC1728" s="84"/>
      <c r="CD1728" s="84"/>
      <c r="CE1728" s="84"/>
      <c r="CF1728" s="84"/>
      <c r="CG1728" s="84"/>
      <c r="CH1728" s="84"/>
      <c r="CI1728" s="84"/>
      <c r="CJ1728" s="84"/>
      <c r="CK1728" s="84"/>
      <c r="CL1728" s="84"/>
    </row>
    <row r="1729" spans="66:90" s="354" customFormat="1" x14ac:dyDescent="0.2">
      <c r="BN1729" s="84"/>
      <c r="BO1729" s="84"/>
      <c r="BP1729" s="84"/>
      <c r="BQ1729" s="84"/>
      <c r="BR1729" s="84"/>
      <c r="BS1729" s="84"/>
      <c r="BT1729" s="84"/>
      <c r="BU1729" s="84"/>
      <c r="BV1729" s="84"/>
      <c r="BW1729" s="84"/>
      <c r="BX1729" s="84"/>
      <c r="BY1729" s="84"/>
      <c r="BZ1729" s="84"/>
      <c r="CA1729" s="84"/>
      <c r="CB1729" s="84"/>
      <c r="CC1729" s="84"/>
      <c r="CD1729" s="84"/>
      <c r="CE1729" s="84"/>
      <c r="CF1729" s="84"/>
      <c r="CG1729" s="84"/>
      <c r="CH1729" s="84"/>
      <c r="CI1729" s="84"/>
      <c r="CJ1729" s="84"/>
      <c r="CK1729" s="84"/>
      <c r="CL1729" s="84"/>
    </row>
    <row r="1730" spans="66:90" s="354" customFormat="1" x14ac:dyDescent="0.2">
      <c r="BN1730" s="84"/>
      <c r="BO1730" s="84"/>
      <c r="BP1730" s="84"/>
      <c r="BQ1730" s="84"/>
      <c r="BR1730" s="84"/>
      <c r="BS1730" s="84"/>
      <c r="BT1730" s="84"/>
      <c r="BU1730" s="84"/>
      <c r="BV1730" s="84"/>
      <c r="BW1730" s="84"/>
      <c r="BX1730" s="84"/>
      <c r="BY1730" s="84"/>
      <c r="BZ1730" s="84"/>
      <c r="CA1730" s="84"/>
      <c r="CB1730" s="84"/>
      <c r="CC1730" s="84"/>
      <c r="CD1730" s="84"/>
      <c r="CE1730" s="84"/>
      <c r="CF1730" s="84"/>
      <c r="CG1730" s="84"/>
      <c r="CH1730" s="84"/>
      <c r="CI1730" s="84"/>
      <c r="CJ1730" s="84"/>
      <c r="CK1730" s="84"/>
      <c r="CL1730" s="84"/>
    </row>
    <row r="1731" spans="66:90" s="354" customFormat="1" x14ac:dyDescent="0.2">
      <c r="BN1731" s="84"/>
      <c r="BO1731" s="84"/>
      <c r="BP1731" s="84"/>
      <c r="BQ1731" s="84"/>
      <c r="BR1731" s="84"/>
      <c r="BS1731" s="84"/>
      <c r="BT1731" s="84"/>
      <c r="BU1731" s="84"/>
      <c r="BV1731" s="84"/>
      <c r="BW1731" s="84"/>
      <c r="BX1731" s="84"/>
      <c r="BY1731" s="84"/>
      <c r="BZ1731" s="84"/>
      <c r="CA1731" s="84"/>
      <c r="CB1731" s="84"/>
      <c r="CC1731" s="84"/>
      <c r="CD1731" s="84"/>
      <c r="CE1731" s="84"/>
      <c r="CF1731" s="84"/>
      <c r="CG1731" s="84"/>
      <c r="CH1731" s="84"/>
      <c r="CI1731" s="84"/>
      <c r="CJ1731" s="84"/>
      <c r="CK1731" s="84"/>
      <c r="CL1731" s="84"/>
    </row>
    <row r="1732" spans="66:90" s="354" customFormat="1" x14ac:dyDescent="0.2">
      <c r="BN1732" s="84"/>
      <c r="BO1732" s="84"/>
      <c r="BP1732" s="84"/>
      <c r="BQ1732" s="84"/>
      <c r="BR1732" s="84"/>
      <c r="BS1732" s="84"/>
      <c r="BT1732" s="84"/>
      <c r="BU1732" s="84"/>
      <c r="BV1732" s="84"/>
      <c r="BW1732" s="84"/>
      <c r="BX1732" s="84"/>
      <c r="BY1732" s="84"/>
      <c r="BZ1732" s="84"/>
      <c r="CA1732" s="84"/>
      <c r="CB1732" s="84"/>
      <c r="CC1732" s="84"/>
      <c r="CD1732" s="84"/>
      <c r="CE1732" s="84"/>
      <c r="CF1732" s="84"/>
      <c r="CG1732" s="84"/>
      <c r="CH1732" s="84"/>
      <c r="CI1732" s="84"/>
      <c r="CJ1732" s="84"/>
      <c r="CK1732" s="84"/>
      <c r="CL1732" s="84"/>
    </row>
    <row r="1733" spans="66:90" s="354" customFormat="1" x14ac:dyDescent="0.2">
      <c r="BN1733" s="84"/>
      <c r="BO1733" s="84"/>
      <c r="BP1733" s="84"/>
      <c r="BQ1733" s="84"/>
      <c r="BR1733" s="84"/>
      <c r="BS1733" s="84"/>
      <c r="BT1733" s="84"/>
      <c r="BU1733" s="84"/>
      <c r="BV1733" s="84"/>
      <c r="BW1733" s="84"/>
      <c r="BX1733" s="84"/>
      <c r="BY1733" s="84"/>
      <c r="BZ1733" s="84"/>
      <c r="CA1733" s="84"/>
      <c r="CB1733" s="84"/>
      <c r="CC1733" s="84"/>
      <c r="CD1733" s="84"/>
      <c r="CE1733" s="84"/>
      <c r="CF1733" s="84"/>
      <c r="CG1733" s="84"/>
      <c r="CH1733" s="84"/>
      <c r="CI1733" s="84"/>
      <c r="CJ1733" s="84"/>
      <c r="CK1733" s="84"/>
      <c r="CL1733" s="84"/>
    </row>
    <row r="1734" spans="66:90" s="354" customFormat="1" x14ac:dyDescent="0.2">
      <c r="BN1734" s="84"/>
      <c r="BO1734" s="84"/>
      <c r="BP1734" s="84"/>
      <c r="BQ1734" s="84"/>
      <c r="BR1734" s="84"/>
      <c r="BS1734" s="84"/>
      <c r="BT1734" s="84"/>
      <c r="BU1734" s="84"/>
      <c r="BV1734" s="84"/>
      <c r="BW1734" s="84"/>
      <c r="BX1734" s="84"/>
      <c r="BY1734" s="84"/>
      <c r="BZ1734" s="84"/>
      <c r="CA1734" s="84"/>
      <c r="CB1734" s="84"/>
      <c r="CC1734" s="84"/>
      <c r="CD1734" s="84"/>
      <c r="CE1734" s="84"/>
      <c r="CF1734" s="84"/>
      <c r="CG1734" s="84"/>
      <c r="CH1734" s="84"/>
      <c r="CI1734" s="84"/>
      <c r="CJ1734" s="84"/>
      <c r="CK1734" s="84"/>
      <c r="CL1734" s="84"/>
    </row>
    <row r="1735" spans="66:90" s="354" customFormat="1" x14ac:dyDescent="0.2">
      <c r="BN1735" s="84"/>
      <c r="BO1735" s="84"/>
      <c r="BP1735" s="84"/>
      <c r="BQ1735" s="84"/>
      <c r="BR1735" s="84"/>
      <c r="BS1735" s="84"/>
      <c r="BT1735" s="84"/>
      <c r="BU1735" s="84"/>
      <c r="BV1735" s="84"/>
      <c r="BW1735" s="84"/>
      <c r="BX1735" s="84"/>
      <c r="BY1735" s="84"/>
      <c r="BZ1735" s="84"/>
      <c r="CA1735" s="84"/>
      <c r="CB1735" s="84"/>
      <c r="CC1735" s="84"/>
      <c r="CD1735" s="84"/>
      <c r="CE1735" s="84"/>
      <c r="CF1735" s="84"/>
      <c r="CG1735" s="84"/>
      <c r="CH1735" s="84"/>
      <c r="CI1735" s="84"/>
      <c r="CJ1735" s="84"/>
      <c r="CK1735" s="84"/>
      <c r="CL1735" s="84"/>
    </row>
    <row r="1736" spans="66:90" s="354" customFormat="1" x14ac:dyDescent="0.2">
      <c r="BN1736" s="84"/>
      <c r="BO1736" s="84"/>
      <c r="BP1736" s="84"/>
      <c r="BQ1736" s="84"/>
      <c r="BR1736" s="84"/>
      <c r="BS1736" s="84"/>
      <c r="BT1736" s="84"/>
      <c r="BU1736" s="84"/>
      <c r="BV1736" s="84"/>
      <c r="BW1736" s="84"/>
      <c r="BX1736" s="84"/>
      <c r="BY1736" s="84"/>
      <c r="BZ1736" s="84"/>
      <c r="CA1736" s="84"/>
      <c r="CB1736" s="84"/>
      <c r="CC1736" s="84"/>
      <c r="CD1736" s="84"/>
      <c r="CE1736" s="84"/>
      <c r="CF1736" s="84"/>
      <c r="CG1736" s="84"/>
      <c r="CH1736" s="84"/>
      <c r="CI1736" s="84"/>
      <c r="CJ1736" s="84"/>
      <c r="CK1736" s="84"/>
      <c r="CL1736" s="84"/>
    </row>
    <row r="1737" spans="66:90" s="354" customFormat="1" x14ac:dyDescent="0.2">
      <c r="BN1737" s="84"/>
      <c r="BO1737" s="84"/>
      <c r="BP1737" s="84"/>
      <c r="BQ1737" s="84"/>
      <c r="BR1737" s="84"/>
      <c r="BS1737" s="84"/>
      <c r="BT1737" s="84"/>
      <c r="BU1737" s="84"/>
      <c r="BV1737" s="84"/>
      <c r="BW1737" s="84"/>
      <c r="BX1737" s="84"/>
      <c r="BY1737" s="84"/>
      <c r="BZ1737" s="84"/>
      <c r="CA1737" s="84"/>
      <c r="CB1737" s="84"/>
      <c r="CC1737" s="84"/>
      <c r="CD1737" s="84"/>
      <c r="CE1737" s="84"/>
      <c r="CF1737" s="84"/>
      <c r="CG1737" s="84"/>
      <c r="CH1737" s="84"/>
      <c r="CI1737" s="84"/>
      <c r="CJ1737" s="84"/>
      <c r="CK1737" s="84"/>
      <c r="CL1737" s="84"/>
    </row>
    <row r="1738" spans="66:90" s="354" customFormat="1" x14ac:dyDescent="0.2">
      <c r="BN1738" s="84"/>
      <c r="BO1738" s="84"/>
      <c r="BP1738" s="84"/>
      <c r="BQ1738" s="84"/>
      <c r="BR1738" s="84"/>
      <c r="BS1738" s="84"/>
      <c r="BT1738" s="84"/>
      <c r="BU1738" s="84"/>
      <c r="BV1738" s="84"/>
      <c r="BW1738" s="84"/>
      <c r="BX1738" s="84"/>
      <c r="BY1738" s="84"/>
      <c r="BZ1738" s="84"/>
      <c r="CA1738" s="84"/>
      <c r="CB1738" s="84"/>
      <c r="CC1738" s="84"/>
      <c r="CD1738" s="84"/>
      <c r="CE1738" s="84"/>
      <c r="CF1738" s="84"/>
      <c r="CG1738" s="84"/>
      <c r="CH1738" s="84"/>
      <c r="CI1738" s="84"/>
      <c r="CJ1738" s="84"/>
      <c r="CK1738" s="84"/>
      <c r="CL1738" s="84"/>
    </row>
    <row r="1739" spans="66:90" s="354" customFormat="1" x14ac:dyDescent="0.2">
      <c r="BN1739" s="84"/>
      <c r="BO1739" s="84"/>
      <c r="BP1739" s="84"/>
      <c r="BQ1739" s="84"/>
      <c r="BR1739" s="84"/>
      <c r="BS1739" s="84"/>
      <c r="BT1739" s="84"/>
      <c r="BU1739" s="84"/>
      <c r="BV1739" s="84"/>
      <c r="BW1739" s="84"/>
      <c r="BX1739" s="84"/>
      <c r="BY1739" s="84"/>
      <c r="BZ1739" s="84"/>
      <c r="CA1739" s="84"/>
      <c r="CB1739" s="84"/>
      <c r="CC1739" s="84"/>
      <c r="CD1739" s="84"/>
      <c r="CE1739" s="84"/>
      <c r="CF1739" s="84"/>
      <c r="CG1739" s="84"/>
      <c r="CH1739" s="84"/>
      <c r="CI1739" s="84"/>
      <c r="CJ1739" s="84"/>
      <c r="CK1739" s="84"/>
      <c r="CL1739" s="84"/>
    </row>
    <row r="1740" spans="66:90" s="354" customFormat="1" x14ac:dyDescent="0.2">
      <c r="BN1740" s="84"/>
      <c r="BO1740" s="84"/>
      <c r="BP1740" s="84"/>
      <c r="BQ1740" s="84"/>
      <c r="BR1740" s="84"/>
      <c r="BS1740" s="84"/>
      <c r="BT1740" s="84"/>
      <c r="BU1740" s="84"/>
      <c r="BV1740" s="84"/>
      <c r="BW1740" s="84"/>
      <c r="BX1740" s="84"/>
      <c r="BY1740" s="84"/>
      <c r="BZ1740" s="84"/>
      <c r="CA1740" s="84"/>
      <c r="CB1740" s="84"/>
      <c r="CC1740" s="84"/>
      <c r="CD1740" s="84"/>
      <c r="CE1740" s="84"/>
      <c r="CF1740" s="84"/>
      <c r="CG1740" s="84"/>
      <c r="CH1740" s="84"/>
      <c r="CI1740" s="84"/>
      <c r="CJ1740" s="84"/>
      <c r="CK1740" s="84"/>
      <c r="CL1740" s="84"/>
    </row>
    <row r="1741" spans="66:90" s="354" customFormat="1" x14ac:dyDescent="0.2">
      <c r="BN1741" s="84"/>
      <c r="BO1741" s="84"/>
      <c r="BP1741" s="84"/>
      <c r="BQ1741" s="84"/>
      <c r="BR1741" s="84"/>
      <c r="BS1741" s="84"/>
      <c r="BT1741" s="84"/>
      <c r="BU1741" s="84"/>
      <c r="BV1741" s="84"/>
      <c r="BW1741" s="84"/>
      <c r="BX1741" s="84"/>
      <c r="BY1741" s="84"/>
      <c r="BZ1741" s="84"/>
      <c r="CA1741" s="84"/>
      <c r="CB1741" s="84"/>
      <c r="CC1741" s="84"/>
      <c r="CD1741" s="84"/>
      <c r="CE1741" s="84"/>
      <c r="CF1741" s="84"/>
      <c r="CG1741" s="84"/>
      <c r="CH1741" s="84"/>
      <c r="CI1741" s="84"/>
      <c r="CJ1741" s="84"/>
      <c r="CK1741" s="84"/>
      <c r="CL1741" s="84"/>
    </row>
    <row r="1742" spans="66:90" s="354" customFormat="1" x14ac:dyDescent="0.2">
      <c r="BN1742" s="84"/>
      <c r="BO1742" s="84"/>
      <c r="BP1742" s="84"/>
      <c r="BQ1742" s="84"/>
      <c r="BR1742" s="84"/>
      <c r="BS1742" s="84"/>
      <c r="BT1742" s="84"/>
      <c r="BU1742" s="84"/>
      <c r="BV1742" s="84"/>
      <c r="BW1742" s="84"/>
      <c r="BX1742" s="84"/>
      <c r="BY1742" s="84"/>
      <c r="BZ1742" s="84"/>
      <c r="CA1742" s="84"/>
      <c r="CB1742" s="84"/>
      <c r="CC1742" s="84"/>
      <c r="CD1742" s="84"/>
      <c r="CE1742" s="84"/>
      <c r="CF1742" s="84"/>
      <c r="CG1742" s="84"/>
      <c r="CH1742" s="84"/>
      <c r="CI1742" s="84"/>
      <c r="CJ1742" s="84"/>
      <c r="CK1742" s="84"/>
      <c r="CL1742" s="84"/>
    </row>
    <row r="1743" spans="66:90" s="354" customFormat="1" x14ac:dyDescent="0.2">
      <c r="BN1743" s="84"/>
      <c r="BO1743" s="84"/>
      <c r="BP1743" s="84"/>
      <c r="BQ1743" s="84"/>
      <c r="BR1743" s="84"/>
      <c r="BS1743" s="84"/>
      <c r="BT1743" s="84"/>
      <c r="BU1743" s="84"/>
      <c r="BV1743" s="84"/>
      <c r="BW1743" s="84"/>
      <c r="BX1743" s="84"/>
      <c r="BY1743" s="84"/>
      <c r="BZ1743" s="84"/>
      <c r="CA1743" s="84"/>
      <c r="CB1743" s="84"/>
      <c r="CC1743" s="84"/>
      <c r="CD1743" s="84"/>
      <c r="CE1743" s="84"/>
      <c r="CF1743" s="84"/>
      <c r="CG1743" s="84"/>
      <c r="CH1743" s="84"/>
      <c r="CI1743" s="84"/>
      <c r="CJ1743" s="84"/>
      <c r="CK1743" s="84"/>
      <c r="CL1743" s="84"/>
    </row>
    <row r="1744" spans="66:90" s="354" customFormat="1" x14ac:dyDescent="0.2">
      <c r="BN1744" s="84"/>
      <c r="BO1744" s="84"/>
      <c r="BP1744" s="84"/>
      <c r="BQ1744" s="84"/>
      <c r="BR1744" s="84"/>
      <c r="BS1744" s="84"/>
      <c r="BT1744" s="84"/>
      <c r="BU1744" s="84"/>
      <c r="BV1744" s="84"/>
      <c r="BW1744" s="84"/>
      <c r="BX1744" s="84"/>
      <c r="BY1744" s="84"/>
      <c r="BZ1744" s="84"/>
      <c r="CA1744" s="84"/>
      <c r="CB1744" s="84"/>
      <c r="CC1744" s="84"/>
      <c r="CD1744" s="84"/>
      <c r="CE1744" s="84"/>
      <c r="CF1744" s="84"/>
      <c r="CG1744" s="84"/>
      <c r="CH1744" s="84"/>
      <c r="CI1744" s="84"/>
      <c r="CJ1744" s="84"/>
      <c r="CK1744" s="84"/>
      <c r="CL1744" s="84"/>
    </row>
    <row r="1745" spans="66:90" s="354" customFormat="1" x14ac:dyDescent="0.2">
      <c r="BN1745" s="84"/>
      <c r="BO1745" s="84"/>
      <c r="BP1745" s="84"/>
      <c r="BQ1745" s="84"/>
      <c r="BR1745" s="84"/>
      <c r="BS1745" s="84"/>
      <c r="BT1745" s="84"/>
      <c r="BU1745" s="84"/>
      <c r="BV1745" s="84"/>
      <c r="BW1745" s="84"/>
      <c r="BX1745" s="84"/>
      <c r="BY1745" s="84"/>
      <c r="BZ1745" s="84"/>
      <c r="CA1745" s="84"/>
      <c r="CB1745" s="84"/>
      <c r="CC1745" s="84"/>
      <c r="CD1745" s="84"/>
      <c r="CE1745" s="84"/>
      <c r="CF1745" s="84"/>
      <c r="CG1745" s="84"/>
      <c r="CH1745" s="84"/>
      <c r="CI1745" s="84"/>
      <c r="CJ1745" s="84"/>
      <c r="CK1745" s="84"/>
      <c r="CL1745" s="84"/>
    </row>
    <row r="1746" spans="66:90" s="354" customFormat="1" x14ac:dyDescent="0.2">
      <c r="BN1746" s="84"/>
      <c r="BO1746" s="84"/>
      <c r="BP1746" s="84"/>
      <c r="BQ1746" s="84"/>
      <c r="BR1746" s="84"/>
      <c r="BS1746" s="84"/>
      <c r="BT1746" s="84"/>
      <c r="BU1746" s="84"/>
      <c r="BV1746" s="84"/>
      <c r="BW1746" s="84"/>
      <c r="BX1746" s="84"/>
      <c r="BY1746" s="84"/>
      <c r="BZ1746" s="84"/>
      <c r="CA1746" s="84"/>
      <c r="CB1746" s="84"/>
      <c r="CC1746" s="84"/>
      <c r="CD1746" s="84"/>
      <c r="CE1746" s="84"/>
      <c r="CF1746" s="84"/>
      <c r="CG1746" s="84"/>
      <c r="CH1746" s="84"/>
      <c r="CI1746" s="84"/>
      <c r="CJ1746" s="84"/>
      <c r="CK1746" s="84"/>
      <c r="CL1746" s="84"/>
    </row>
    <row r="1747" spans="66:90" s="354" customFormat="1" x14ac:dyDescent="0.2">
      <c r="BN1747" s="84"/>
      <c r="BO1747" s="84"/>
      <c r="BP1747" s="84"/>
      <c r="BQ1747" s="84"/>
      <c r="BR1747" s="84"/>
      <c r="BS1747" s="84"/>
      <c r="BT1747" s="84"/>
      <c r="BU1747" s="84"/>
      <c r="BV1747" s="84"/>
      <c r="BW1747" s="84"/>
      <c r="BX1747" s="84"/>
      <c r="BY1747" s="84"/>
      <c r="BZ1747" s="84"/>
      <c r="CA1747" s="84"/>
      <c r="CB1747" s="84"/>
      <c r="CC1747" s="84"/>
      <c r="CD1747" s="84"/>
      <c r="CE1747" s="84"/>
      <c r="CF1747" s="84"/>
      <c r="CG1747" s="84"/>
      <c r="CH1747" s="84"/>
      <c r="CI1747" s="84"/>
      <c r="CJ1747" s="84"/>
      <c r="CK1747" s="84"/>
      <c r="CL1747" s="84"/>
    </row>
    <row r="1748" spans="66:90" s="354" customFormat="1" x14ac:dyDescent="0.2">
      <c r="BN1748" s="84"/>
      <c r="BO1748" s="84"/>
      <c r="BP1748" s="84"/>
      <c r="BQ1748" s="84"/>
      <c r="BR1748" s="84"/>
      <c r="BS1748" s="84"/>
      <c r="BT1748" s="84"/>
      <c r="BU1748" s="84"/>
      <c r="BV1748" s="84"/>
      <c r="BW1748" s="84"/>
      <c r="BX1748" s="84"/>
      <c r="BY1748" s="84"/>
      <c r="BZ1748" s="84"/>
      <c r="CA1748" s="84"/>
      <c r="CB1748" s="84"/>
      <c r="CC1748" s="84"/>
      <c r="CD1748" s="84"/>
      <c r="CE1748" s="84"/>
      <c r="CF1748" s="84"/>
      <c r="CG1748" s="84"/>
      <c r="CH1748" s="84"/>
      <c r="CI1748" s="84"/>
      <c r="CJ1748" s="84"/>
      <c r="CK1748" s="84"/>
      <c r="CL1748" s="84"/>
    </row>
    <row r="1749" spans="66:90" s="354" customFormat="1" x14ac:dyDescent="0.2">
      <c r="BN1749" s="84"/>
      <c r="BO1749" s="84"/>
      <c r="BP1749" s="84"/>
      <c r="BQ1749" s="84"/>
      <c r="BR1749" s="84"/>
      <c r="BS1749" s="84"/>
      <c r="BT1749" s="84"/>
      <c r="BU1749" s="84"/>
      <c r="BV1749" s="84"/>
      <c r="BW1749" s="84"/>
      <c r="BX1749" s="84"/>
      <c r="BY1749" s="84"/>
      <c r="BZ1749" s="84"/>
      <c r="CA1749" s="84"/>
      <c r="CB1749" s="84"/>
      <c r="CC1749" s="84"/>
      <c r="CD1749" s="84"/>
      <c r="CE1749" s="84"/>
      <c r="CF1749" s="84"/>
      <c r="CG1749" s="84"/>
      <c r="CH1749" s="84"/>
      <c r="CI1749" s="84"/>
      <c r="CJ1749" s="84"/>
      <c r="CK1749" s="84"/>
      <c r="CL1749" s="84"/>
    </row>
    <row r="1750" spans="66:90" s="354" customFormat="1" x14ac:dyDescent="0.2">
      <c r="BN1750" s="84"/>
      <c r="BO1750" s="84"/>
      <c r="BP1750" s="84"/>
      <c r="BQ1750" s="84"/>
      <c r="BR1750" s="84"/>
      <c r="BS1750" s="84"/>
      <c r="BT1750" s="84"/>
      <c r="BU1750" s="84"/>
      <c r="BV1750" s="84"/>
      <c r="BW1750" s="84"/>
      <c r="BX1750" s="84"/>
      <c r="BY1750" s="84"/>
      <c r="BZ1750" s="84"/>
      <c r="CA1750" s="84"/>
      <c r="CB1750" s="84"/>
      <c r="CC1750" s="84"/>
      <c r="CD1750" s="84"/>
      <c r="CE1750" s="84"/>
      <c r="CF1750" s="84"/>
      <c r="CG1750" s="84"/>
      <c r="CH1750" s="84"/>
      <c r="CI1750" s="84"/>
      <c r="CJ1750" s="84"/>
      <c r="CK1750" s="84"/>
      <c r="CL1750" s="84"/>
    </row>
    <row r="1751" spans="66:90" s="354" customFormat="1" x14ac:dyDescent="0.2">
      <c r="BN1751" s="84"/>
      <c r="BO1751" s="84"/>
      <c r="BP1751" s="84"/>
      <c r="BQ1751" s="84"/>
      <c r="BR1751" s="84"/>
      <c r="BS1751" s="84"/>
      <c r="BT1751" s="84"/>
      <c r="BU1751" s="84"/>
      <c r="BV1751" s="84"/>
      <c r="BW1751" s="84"/>
      <c r="BX1751" s="84"/>
      <c r="BY1751" s="84"/>
      <c r="BZ1751" s="84"/>
      <c r="CA1751" s="84"/>
      <c r="CB1751" s="84"/>
      <c r="CC1751" s="84"/>
      <c r="CD1751" s="84"/>
      <c r="CE1751" s="84"/>
      <c r="CF1751" s="84"/>
      <c r="CG1751" s="84"/>
      <c r="CH1751" s="84"/>
      <c r="CI1751" s="84"/>
      <c r="CJ1751" s="84"/>
      <c r="CK1751" s="84"/>
      <c r="CL1751" s="84"/>
    </row>
    <row r="1752" spans="66:90" s="354" customFormat="1" x14ac:dyDescent="0.2">
      <c r="BN1752" s="84"/>
      <c r="BO1752" s="84"/>
      <c r="BP1752" s="84"/>
      <c r="BQ1752" s="84"/>
      <c r="BR1752" s="84"/>
      <c r="BS1752" s="84"/>
      <c r="BT1752" s="84"/>
      <c r="BU1752" s="84"/>
      <c r="BV1752" s="84"/>
      <c r="BW1752" s="84"/>
      <c r="BX1752" s="84"/>
      <c r="BY1752" s="84"/>
      <c r="BZ1752" s="84"/>
      <c r="CA1752" s="84"/>
      <c r="CB1752" s="84"/>
      <c r="CC1752" s="84"/>
      <c r="CD1752" s="84"/>
      <c r="CE1752" s="84"/>
      <c r="CF1752" s="84"/>
      <c r="CG1752" s="84"/>
      <c r="CH1752" s="84"/>
      <c r="CI1752" s="84"/>
      <c r="CJ1752" s="84"/>
      <c r="CK1752" s="84"/>
      <c r="CL1752" s="84"/>
    </row>
    <row r="1753" spans="66:90" s="354" customFormat="1" x14ac:dyDescent="0.2">
      <c r="BN1753" s="84"/>
      <c r="BO1753" s="84"/>
      <c r="BP1753" s="84"/>
      <c r="BQ1753" s="84"/>
      <c r="BR1753" s="84"/>
      <c r="BS1753" s="84"/>
      <c r="BT1753" s="84"/>
      <c r="BU1753" s="84"/>
      <c r="BV1753" s="84"/>
      <c r="BW1753" s="84"/>
      <c r="BX1753" s="84"/>
      <c r="BY1753" s="84"/>
      <c r="BZ1753" s="84"/>
      <c r="CA1753" s="84"/>
      <c r="CB1753" s="84"/>
      <c r="CC1753" s="84"/>
      <c r="CD1753" s="84"/>
      <c r="CE1753" s="84"/>
      <c r="CF1753" s="84"/>
      <c r="CG1753" s="84"/>
      <c r="CH1753" s="84"/>
      <c r="CI1753" s="84"/>
      <c r="CJ1753" s="84"/>
      <c r="CK1753" s="84"/>
      <c r="CL1753" s="84"/>
    </row>
    <row r="1754" spans="66:90" s="354" customFormat="1" x14ac:dyDescent="0.2">
      <c r="BN1754" s="84"/>
      <c r="BO1754" s="84"/>
      <c r="BP1754" s="84"/>
      <c r="BQ1754" s="84"/>
      <c r="BR1754" s="84"/>
      <c r="BS1754" s="84"/>
      <c r="BT1754" s="84"/>
      <c r="BU1754" s="84"/>
      <c r="BV1754" s="84"/>
      <c r="BW1754" s="84"/>
      <c r="BX1754" s="84"/>
      <c r="BY1754" s="84"/>
      <c r="BZ1754" s="84"/>
      <c r="CA1754" s="84"/>
      <c r="CB1754" s="84"/>
      <c r="CC1754" s="84"/>
      <c r="CD1754" s="84"/>
      <c r="CE1754" s="84"/>
      <c r="CF1754" s="84"/>
      <c r="CG1754" s="84"/>
      <c r="CH1754" s="84"/>
      <c r="CI1754" s="84"/>
      <c r="CJ1754" s="84"/>
      <c r="CK1754" s="84"/>
      <c r="CL1754" s="84"/>
    </row>
    <row r="1755" spans="66:90" s="354" customFormat="1" x14ac:dyDescent="0.2">
      <c r="BN1755" s="84"/>
      <c r="BO1755" s="84"/>
      <c r="BP1755" s="84"/>
      <c r="BQ1755" s="84"/>
      <c r="BR1755" s="84"/>
      <c r="BS1755" s="84"/>
      <c r="BT1755" s="84"/>
      <c r="BU1755" s="84"/>
      <c r="BV1755" s="84"/>
      <c r="BW1755" s="84"/>
      <c r="BX1755" s="84"/>
      <c r="BY1755" s="84"/>
      <c r="BZ1755" s="84"/>
      <c r="CA1755" s="84"/>
      <c r="CB1755" s="84"/>
      <c r="CC1755" s="84"/>
      <c r="CD1755" s="84"/>
      <c r="CE1755" s="84"/>
      <c r="CF1755" s="84"/>
      <c r="CG1755" s="84"/>
      <c r="CH1755" s="84"/>
      <c r="CI1755" s="84"/>
      <c r="CJ1755" s="84"/>
      <c r="CK1755" s="84"/>
      <c r="CL1755" s="84"/>
    </row>
    <row r="1756" spans="66:90" s="354" customFormat="1" x14ac:dyDescent="0.2">
      <c r="BN1756" s="84"/>
      <c r="BO1756" s="84"/>
      <c r="BP1756" s="84"/>
      <c r="BQ1756" s="84"/>
      <c r="BR1756" s="84"/>
      <c r="BS1756" s="84"/>
      <c r="BT1756" s="84"/>
      <c r="BU1756" s="84"/>
      <c r="BV1756" s="84"/>
      <c r="BW1756" s="84"/>
      <c r="BX1756" s="84"/>
      <c r="BY1756" s="84"/>
      <c r="BZ1756" s="84"/>
      <c r="CA1756" s="84"/>
      <c r="CB1756" s="84"/>
      <c r="CC1756" s="84"/>
      <c r="CD1756" s="84"/>
      <c r="CE1756" s="84"/>
      <c r="CF1756" s="84"/>
      <c r="CG1756" s="84"/>
      <c r="CH1756" s="84"/>
      <c r="CI1756" s="84"/>
      <c r="CJ1756" s="84"/>
      <c r="CK1756" s="84"/>
      <c r="CL1756" s="84"/>
    </row>
    <row r="1757" spans="66:90" s="354" customFormat="1" x14ac:dyDescent="0.2">
      <c r="BN1757" s="84"/>
      <c r="BO1757" s="84"/>
      <c r="BP1757" s="84"/>
      <c r="BQ1757" s="84"/>
      <c r="BR1757" s="84"/>
      <c r="BS1757" s="84"/>
      <c r="BT1757" s="84"/>
      <c r="BU1757" s="84"/>
      <c r="BV1757" s="84"/>
      <c r="BW1757" s="84"/>
      <c r="BX1757" s="84"/>
      <c r="BY1757" s="84"/>
      <c r="BZ1757" s="84"/>
      <c r="CA1757" s="84"/>
      <c r="CB1757" s="84"/>
      <c r="CC1757" s="84"/>
      <c r="CD1757" s="84"/>
      <c r="CE1757" s="84"/>
      <c r="CF1757" s="84"/>
      <c r="CG1757" s="84"/>
      <c r="CH1757" s="84"/>
      <c r="CI1757" s="84"/>
      <c r="CJ1757" s="84"/>
      <c r="CK1757" s="84"/>
      <c r="CL1757" s="84"/>
    </row>
    <row r="1758" spans="66:90" s="354" customFormat="1" x14ac:dyDescent="0.2">
      <c r="BN1758" s="84"/>
      <c r="BO1758" s="84"/>
      <c r="BP1758" s="84"/>
      <c r="BQ1758" s="84"/>
      <c r="BR1758" s="84"/>
      <c r="BS1758" s="84"/>
      <c r="BT1758" s="84"/>
      <c r="BU1758" s="84"/>
      <c r="BV1758" s="84"/>
      <c r="BW1758" s="84"/>
      <c r="BX1758" s="84"/>
      <c r="BY1758" s="84"/>
      <c r="BZ1758" s="84"/>
      <c r="CA1758" s="84"/>
      <c r="CB1758" s="84"/>
      <c r="CC1758" s="84"/>
      <c r="CD1758" s="84"/>
      <c r="CE1758" s="84"/>
      <c r="CF1758" s="84"/>
      <c r="CG1758" s="84"/>
      <c r="CH1758" s="84"/>
      <c r="CI1758" s="84"/>
      <c r="CJ1758" s="84"/>
      <c r="CK1758" s="84"/>
      <c r="CL1758" s="84"/>
    </row>
    <row r="1759" spans="66:90" s="354" customFormat="1" x14ac:dyDescent="0.2">
      <c r="BN1759" s="84"/>
      <c r="BO1759" s="84"/>
      <c r="BP1759" s="84"/>
      <c r="BQ1759" s="84"/>
      <c r="BR1759" s="84"/>
      <c r="BS1759" s="84"/>
      <c r="BT1759" s="84"/>
      <c r="BU1759" s="84"/>
      <c r="BV1759" s="84"/>
      <c r="BW1759" s="84"/>
      <c r="BX1759" s="84"/>
      <c r="BY1759" s="84"/>
      <c r="BZ1759" s="84"/>
      <c r="CA1759" s="84"/>
      <c r="CB1759" s="84"/>
      <c r="CC1759" s="84"/>
      <c r="CD1759" s="84"/>
      <c r="CE1759" s="84"/>
      <c r="CF1759" s="84"/>
      <c r="CG1759" s="84"/>
      <c r="CH1759" s="84"/>
      <c r="CI1759" s="84"/>
      <c r="CJ1759" s="84"/>
      <c r="CK1759" s="84"/>
      <c r="CL1759" s="84"/>
    </row>
    <row r="1760" spans="66:90" s="354" customFormat="1" x14ac:dyDescent="0.2">
      <c r="BN1760" s="84"/>
      <c r="BO1760" s="84"/>
      <c r="BP1760" s="84"/>
      <c r="BQ1760" s="84"/>
      <c r="BR1760" s="84"/>
      <c r="BS1760" s="84"/>
      <c r="BT1760" s="84"/>
      <c r="BU1760" s="84"/>
      <c r="BV1760" s="84"/>
      <c r="BW1760" s="84"/>
      <c r="BX1760" s="84"/>
      <c r="BY1760" s="84"/>
      <c r="BZ1760" s="84"/>
      <c r="CA1760" s="84"/>
      <c r="CB1760" s="84"/>
      <c r="CC1760" s="84"/>
      <c r="CD1760" s="84"/>
      <c r="CE1760" s="84"/>
      <c r="CF1760" s="84"/>
      <c r="CG1760" s="84"/>
      <c r="CH1760" s="84"/>
      <c r="CI1760" s="84"/>
      <c r="CJ1760" s="84"/>
      <c r="CK1760" s="84"/>
      <c r="CL1760" s="84"/>
    </row>
    <row r="1761" spans="66:90" s="354" customFormat="1" x14ac:dyDescent="0.2">
      <c r="BN1761" s="84"/>
      <c r="BO1761" s="84"/>
      <c r="BP1761" s="84"/>
      <c r="BQ1761" s="84"/>
      <c r="BR1761" s="84"/>
      <c r="BS1761" s="84"/>
      <c r="BT1761" s="84"/>
      <c r="BU1761" s="84"/>
      <c r="BV1761" s="84"/>
      <c r="BW1761" s="84"/>
      <c r="BX1761" s="84"/>
      <c r="BY1761" s="84"/>
      <c r="BZ1761" s="84"/>
      <c r="CA1761" s="84"/>
      <c r="CB1761" s="84"/>
      <c r="CC1761" s="84"/>
      <c r="CD1761" s="84"/>
      <c r="CE1761" s="84"/>
      <c r="CF1761" s="84"/>
      <c r="CG1761" s="84"/>
      <c r="CH1761" s="84"/>
      <c r="CI1761" s="84"/>
      <c r="CJ1761" s="84"/>
      <c r="CK1761" s="84"/>
      <c r="CL1761" s="84"/>
    </row>
    <row r="1762" spans="66:90" s="354" customFormat="1" x14ac:dyDescent="0.2">
      <c r="BN1762" s="84"/>
      <c r="BO1762" s="84"/>
      <c r="BP1762" s="84"/>
      <c r="BQ1762" s="84"/>
      <c r="BR1762" s="84"/>
      <c r="BS1762" s="84"/>
      <c r="BT1762" s="84"/>
      <c r="BU1762" s="84"/>
      <c r="BV1762" s="84"/>
      <c r="BW1762" s="84"/>
      <c r="BX1762" s="84"/>
      <c r="BY1762" s="84"/>
      <c r="BZ1762" s="84"/>
      <c r="CA1762" s="84"/>
      <c r="CB1762" s="84"/>
      <c r="CC1762" s="84"/>
      <c r="CD1762" s="84"/>
      <c r="CE1762" s="84"/>
      <c r="CF1762" s="84"/>
      <c r="CG1762" s="84"/>
      <c r="CH1762" s="84"/>
      <c r="CI1762" s="84"/>
      <c r="CJ1762" s="84"/>
      <c r="CK1762" s="84"/>
      <c r="CL1762" s="84"/>
    </row>
    <row r="1763" spans="66:90" s="354" customFormat="1" x14ac:dyDescent="0.2">
      <c r="BN1763" s="84"/>
      <c r="BO1763" s="84"/>
      <c r="BP1763" s="84"/>
      <c r="BQ1763" s="84"/>
      <c r="BR1763" s="84"/>
      <c r="BS1763" s="84"/>
      <c r="BT1763" s="84"/>
      <c r="BU1763" s="84"/>
      <c r="BV1763" s="84"/>
      <c r="BW1763" s="84"/>
      <c r="BX1763" s="84"/>
      <c r="BY1763" s="84"/>
      <c r="BZ1763" s="84"/>
      <c r="CA1763" s="84"/>
      <c r="CB1763" s="84"/>
      <c r="CC1763" s="84"/>
      <c r="CD1763" s="84"/>
      <c r="CE1763" s="84"/>
      <c r="CF1763" s="84"/>
      <c r="CG1763" s="84"/>
      <c r="CH1763" s="84"/>
      <c r="CI1763" s="84"/>
      <c r="CJ1763" s="84"/>
      <c r="CK1763" s="84"/>
      <c r="CL1763" s="84"/>
    </row>
    <row r="1764" spans="66:90" s="354" customFormat="1" x14ac:dyDescent="0.2">
      <c r="BN1764" s="84"/>
      <c r="BO1764" s="84"/>
      <c r="BP1764" s="84"/>
      <c r="BQ1764" s="84"/>
      <c r="BR1764" s="84"/>
      <c r="BS1764" s="84"/>
      <c r="BT1764" s="84"/>
      <c r="BU1764" s="84"/>
      <c r="BV1764" s="84"/>
      <c r="BW1764" s="84"/>
      <c r="BX1764" s="84"/>
      <c r="BY1764" s="84"/>
      <c r="BZ1764" s="84"/>
      <c r="CA1764" s="84"/>
      <c r="CB1764" s="84"/>
      <c r="CC1764" s="84"/>
      <c r="CD1764" s="84"/>
      <c r="CE1764" s="84"/>
      <c r="CF1764" s="84"/>
      <c r="CG1764" s="84"/>
      <c r="CH1764" s="84"/>
      <c r="CI1764" s="84"/>
      <c r="CJ1764" s="84"/>
      <c r="CK1764" s="84"/>
      <c r="CL1764" s="84"/>
    </row>
    <row r="1765" spans="66:90" s="354" customFormat="1" x14ac:dyDescent="0.2">
      <c r="BN1765" s="84"/>
      <c r="BO1765" s="84"/>
      <c r="BP1765" s="84"/>
      <c r="BQ1765" s="84"/>
      <c r="BR1765" s="84"/>
      <c r="BS1765" s="84"/>
      <c r="BT1765" s="84"/>
      <c r="BU1765" s="84"/>
      <c r="BV1765" s="84"/>
      <c r="BW1765" s="84"/>
      <c r="BX1765" s="84"/>
      <c r="BY1765" s="84"/>
      <c r="BZ1765" s="84"/>
      <c r="CA1765" s="84"/>
      <c r="CB1765" s="84"/>
      <c r="CC1765" s="84"/>
      <c r="CD1765" s="84"/>
      <c r="CE1765" s="84"/>
      <c r="CF1765" s="84"/>
      <c r="CG1765" s="84"/>
      <c r="CH1765" s="84"/>
      <c r="CI1765" s="84"/>
      <c r="CJ1765" s="84"/>
      <c r="CK1765" s="84"/>
      <c r="CL1765" s="84"/>
    </row>
    <row r="1766" spans="66:90" s="354" customFormat="1" x14ac:dyDescent="0.2">
      <c r="BN1766" s="84"/>
      <c r="BO1766" s="84"/>
      <c r="BP1766" s="84"/>
      <c r="BQ1766" s="84"/>
      <c r="BR1766" s="84"/>
      <c r="BS1766" s="84"/>
      <c r="BT1766" s="84"/>
      <c r="BU1766" s="84"/>
      <c r="BV1766" s="84"/>
      <c r="BW1766" s="84"/>
      <c r="BX1766" s="84"/>
      <c r="BY1766" s="84"/>
      <c r="BZ1766" s="84"/>
      <c r="CA1766" s="84"/>
      <c r="CB1766" s="84"/>
      <c r="CC1766" s="84"/>
      <c r="CD1766" s="84"/>
      <c r="CE1766" s="84"/>
      <c r="CF1766" s="84"/>
      <c r="CG1766" s="84"/>
      <c r="CH1766" s="84"/>
      <c r="CI1766" s="84"/>
      <c r="CJ1766" s="84"/>
      <c r="CK1766" s="84"/>
      <c r="CL1766" s="84"/>
    </row>
    <row r="1767" spans="66:90" s="354" customFormat="1" x14ac:dyDescent="0.2">
      <c r="BN1767" s="84"/>
      <c r="BO1767" s="84"/>
      <c r="BP1767" s="84"/>
      <c r="BQ1767" s="84"/>
      <c r="BR1767" s="84"/>
      <c r="BS1767" s="84"/>
      <c r="BT1767" s="84"/>
      <c r="BU1767" s="84"/>
      <c r="BV1767" s="84"/>
      <c r="BW1767" s="84"/>
      <c r="BX1767" s="84"/>
      <c r="BY1767" s="84"/>
      <c r="BZ1767" s="84"/>
      <c r="CA1767" s="84"/>
      <c r="CB1767" s="84"/>
      <c r="CC1767" s="84"/>
      <c r="CD1767" s="84"/>
      <c r="CE1767" s="84"/>
      <c r="CF1767" s="84"/>
      <c r="CG1767" s="84"/>
      <c r="CH1767" s="84"/>
      <c r="CI1767" s="84"/>
      <c r="CJ1767" s="84"/>
      <c r="CK1767" s="84"/>
      <c r="CL1767" s="84"/>
    </row>
    <row r="1768" spans="66:90" s="354" customFormat="1" x14ac:dyDescent="0.2">
      <c r="BN1768" s="84"/>
      <c r="BO1768" s="84"/>
      <c r="BP1768" s="84"/>
      <c r="BQ1768" s="84"/>
      <c r="BR1768" s="84"/>
      <c r="BS1768" s="84"/>
      <c r="BT1768" s="84"/>
      <c r="BU1768" s="84"/>
      <c r="BV1768" s="84"/>
      <c r="BW1768" s="84"/>
      <c r="BX1768" s="84"/>
      <c r="BY1768" s="84"/>
      <c r="BZ1768" s="84"/>
      <c r="CA1768" s="84"/>
      <c r="CB1768" s="84"/>
      <c r="CC1768" s="84"/>
      <c r="CD1768" s="84"/>
      <c r="CE1768" s="84"/>
      <c r="CF1768" s="84"/>
      <c r="CG1768" s="84"/>
      <c r="CH1768" s="84"/>
      <c r="CI1768" s="84"/>
      <c r="CJ1768" s="84"/>
      <c r="CK1768" s="84"/>
      <c r="CL1768" s="84"/>
    </row>
    <row r="1769" spans="66:90" s="354" customFormat="1" x14ac:dyDescent="0.2">
      <c r="BN1769" s="84"/>
      <c r="BO1769" s="84"/>
      <c r="BP1769" s="84"/>
      <c r="BQ1769" s="84"/>
      <c r="BR1769" s="84"/>
      <c r="BS1769" s="84"/>
      <c r="BT1769" s="84"/>
      <c r="BU1769" s="84"/>
      <c r="BV1769" s="84"/>
      <c r="BW1769" s="84"/>
      <c r="BX1769" s="84"/>
      <c r="BY1769" s="84"/>
      <c r="BZ1769" s="84"/>
      <c r="CA1769" s="84"/>
      <c r="CB1769" s="84"/>
      <c r="CC1769" s="84"/>
      <c r="CD1769" s="84"/>
      <c r="CE1769" s="84"/>
      <c r="CF1769" s="84"/>
      <c r="CG1769" s="84"/>
      <c r="CH1769" s="84"/>
      <c r="CI1769" s="84"/>
      <c r="CJ1769" s="84"/>
      <c r="CK1769" s="84"/>
      <c r="CL1769" s="84"/>
    </row>
    <row r="1770" spans="66:90" s="354" customFormat="1" x14ac:dyDescent="0.2">
      <c r="BN1770" s="84"/>
      <c r="BO1770" s="84"/>
      <c r="BP1770" s="84"/>
      <c r="BQ1770" s="84"/>
      <c r="BR1770" s="84"/>
      <c r="BS1770" s="84"/>
      <c r="BT1770" s="84"/>
      <c r="BU1770" s="84"/>
      <c r="BV1770" s="84"/>
      <c r="BW1770" s="84"/>
      <c r="BX1770" s="84"/>
      <c r="BY1770" s="84"/>
      <c r="BZ1770" s="84"/>
      <c r="CA1770" s="84"/>
      <c r="CB1770" s="84"/>
      <c r="CC1770" s="84"/>
      <c r="CD1770" s="84"/>
      <c r="CE1770" s="84"/>
      <c r="CF1770" s="84"/>
      <c r="CG1770" s="84"/>
      <c r="CH1770" s="84"/>
      <c r="CI1770" s="84"/>
      <c r="CJ1770" s="84"/>
      <c r="CK1770" s="84"/>
      <c r="CL1770" s="84"/>
    </row>
    <row r="1771" spans="66:90" s="354" customFormat="1" x14ac:dyDescent="0.2">
      <c r="BN1771" s="84"/>
      <c r="BO1771" s="84"/>
      <c r="BP1771" s="84"/>
      <c r="BQ1771" s="84"/>
      <c r="BR1771" s="84"/>
      <c r="BS1771" s="84"/>
      <c r="BT1771" s="84"/>
      <c r="BU1771" s="84"/>
      <c r="BV1771" s="84"/>
      <c r="BW1771" s="84"/>
      <c r="BX1771" s="84"/>
      <c r="BY1771" s="84"/>
      <c r="BZ1771" s="84"/>
      <c r="CA1771" s="84"/>
      <c r="CB1771" s="84"/>
      <c r="CC1771" s="84"/>
      <c r="CD1771" s="84"/>
      <c r="CE1771" s="84"/>
      <c r="CF1771" s="84"/>
      <c r="CG1771" s="84"/>
      <c r="CH1771" s="84"/>
      <c r="CI1771" s="84"/>
      <c r="CJ1771" s="84"/>
      <c r="CK1771" s="84"/>
      <c r="CL1771" s="84"/>
    </row>
    <row r="1772" spans="66:90" s="354" customFormat="1" x14ac:dyDescent="0.2">
      <c r="BN1772" s="84"/>
      <c r="BO1772" s="84"/>
      <c r="BP1772" s="84"/>
      <c r="BQ1772" s="84"/>
      <c r="BR1772" s="84"/>
      <c r="BS1772" s="84"/>
      <c r="BT1772" s="84"/>
      <c r="BU1772" s="84"/>
      <c r="BV1772" s="84"/>
      <c r="BW1772" s="84"/>
      <c r="BX1772" s="84"/>
      <c r="BY1772" s="84"/>
      <c r="BZ1772" s="84"/>
      <c r="CA1772" s="84"/>
      <c r="CB1772" s="84"/>
      <c r="CC1772" s="84"/>
      <c r="CD1772" s="84"/>
      <c r="CE1772" s="84"/>
      <c r="CF1772" s="84"/>
      <c r="CG1772" s="84"/>
      <c r="CH1772" s="84"/>
      <c r="CI1772" s="84"/>
      <c r="CJ1772" s="84"/>
      <c r="CK1772" s="84"/>
      <c r="CL1772" s="84"/>
    </row>
    <row r="1773" spans="66:90" s="354" customFormat="1" x14ac:dyDescent="0.2">
      <c r="BN1773" s="84"/>
      <c r="BO1773" s="84"/>
      <c r="BP1773" s="84"/>
      <c r="BQ1773" s="84"/>
      <c r="BR1773" s="84"/>
      <c r="BS1773" s="84"/>
      <c r="BT1773" s="84"/>
      <c r="BU1773" s="84"/>
      <c r="BV1773" s="84"/>
      <c r="BW1773" s="84"/>
      <c r="BX1773" s="84"/>
      <c r="BY1773" s="84"/>
      <c r="BZ1773" s="84"/>
      <c r="CA1773" s="84"/>
      <c r="CB1773" s="84"/>
      <c r="CC1773" s="84"/>
      <c r="CD1773" s="84"/>
      <c r="CE1773" s="84"/>
      <c r="CF1773" s="84"/>
      <c r="CG1773" s="84"/>
      <c r="CH1773" s="84"/>
      <c r="CI1773" s="84"/>
      <c r="CJ1773" s="84"/>
      <c r="CK1773" s="84"/>
      <c r="CL1773" s="84"/>
    </row>
    <row r="1774" spans="66:90" s="354" customFormat="1" x14ac:dyDescent="0.2">
      <c r="BN1774" s="84"/>
      <c r="BO1774" s="84"/>
      <c r="BP1774" s="84"/>
      <c r="BQ1774" s="84"/>
      <c r="BR1774" s="84"/>
      <c r="BS1774" s="84"/>
      <c r="BT1774" s="84"/>
      <c r="BU1774" s="84"/>
      <c r="BV1774" s="84"/>
      <c r="BW1774" s="84"/>
      <c r="BX1774" s="84"/>
      <c r="BY1774" s="84"/>
      <c r="BZ1774" s="84"/>
      <c r="CA1774" s="84"/>
      <c r="CB1774" s="84"/>
      <c r="CC1774" s="84"/>
      <c r="CD1774" s="84"/>
      <c r="CE1774" s="84"/>
      <c r="CF1774" s="84"/>
      <c r="CG1774" s="84"/>
      <c r="CH1774" s="84"/>
      <c r="CI1774" s="84"/>
      <c r="CJ1774" s="84"/>
      <c r="CK1774" s="84"/>
      <c r="CL1774" s="84"/>
    </row>
    <row r="1775" spans="66:90" s="354" customFormat="1" x14ac:dyDescent="0.2">
      <c r="BN1775" s="84"/>
      <c r="BO1775" s="84"/>
      <c r="BP1775" s="84"/>
      <c r="BQ1775" s="84"/>
      <c r="BR1775" s="84"/>
      <c r="BS1775" s="84"/>
      <c r="BT1775" s="84"/>
      <c r="BU1775" s="84"/>
      <c r="BV1775" s="84"/>
      <c r="BW1775" s="84"/>
      <c r="BX1775" s="84"/>
      <c r="BY1775" s="84"/>
      <c r="BZ1775" s="84"/>
      <c r="CA1775" s="84"/>
      <c r="CB1775" s="84"/>
      <c r="CC1775" s="84"/>
      <c r="CD1775" s="84"/>
      <c r="CE1775" s="84"/>
      <c r="CF1775" s="84"/>
      <c r="CG1775" s="84"/>
      <c r="CH1775" s="84"/>
      <c r="CI1775" s="84"/>
      <c r="CJ1775" s="84"/>
      <c r="CK1775" s="84"/>
      <c r="CL1775" s="84"/>
    </row>
    <row r="1776" spans="66:90" s="354" customFormat="1" x14ac:dyDescent="0.2">
      <c r="BN1776" s="84"/>
      <c r="BO1776" s="84"/>
      <c r="BP1776" s="84"/>
      <c r="BQ1776" s="84"/>
      <c r="BR1776" s="84"/>
      <c r="BS1776" s="84"/>
      <c r="BT1776" s="84"/>
      <c r="BU1776" s="84"/>
      <c r="BV1776" s="84"/>
      <c r="BW1776" s="84"/>
      <c r="BX1776" s="84"/>
      <c r="BY1776" s="84"/>
      <c r="BZ1776" s="84"/>
      <c r="CA1776" s="84"/>
      <c r="CB1776" s="84"/>
      <c r="CC1776" s="84"/>
      <c r="CD1776" s="84"/>
      <c r="CE1776" s="84"/>
      <c r="CF1776" s="84"/>
      <c r="CG1776" s="84"/>
      <c r="CH1776" s="84"/>
      <c r="CI1776" s="84"/>
      <c r="CJ1776" s="84"/>
      <c r="CK1776" s="84"/>
      <c r="CL1776" s="84"/>
    </row>
    <row r="1777" spans="66:90" s="354" customFormat="1" x14ac:dyDescent="0.2">
      <c r="BN1777" s="84"/>
      <c r="BO1777" s="84"/>
      <c r="BP1777" s="84"/>
      <c r="BQ1777" s="84"/>
      <c r="BR1777" s="84"/>
      <c r="BS1777" s="84"/>
      <c r="BT1777" s="84"/>
      <c r="BU1777" s="84"/>
      <c r="BV1777" s="84"/>
      <c r="BW1777" s="84"/>
      <c r="BX1777" s="84"/>
      <c r="BY1777" s="84"/>
      <c r="BZ1777" s="84"/>
      <c r="CA1777" s="84"/>
      <c r="CB1777" s="84"/>
      <c r="CC1777" s="84"/>
      <c r="CD1777" s="84"/>
      <c r="CE1777" s="84"/>
      <c r="CF1777" s="84"/>
      <c r="CG1777" s="84"/>
      <c r="CH1777" s="84"/>
      <c r="CI1777" s="84"/>
      <c r="CJ1777" s="84"/>
      <c r="CK1777" s="84"/>
      <c r="CL1777" s="84"/>
    </row>
    <row r="1778" spans="66:90" s="354" customFormat="1" x14ac:dyDescent="0.2">
      <c r="BN1778" s="84"/>
      <c r="BO1778" s="84"/>
      <c r="BP1778" s="84"/>
      <c r="BQ1778" s="84"/>
      <c r="BR1778" s="84"/>
      <c r="BS1778" s="84"/>
      <c r="BT1778" s="84"/>
      <c r="BU1778" s="84"/>
      <c r="BV1778" s="84"/>
      <c r="BW1778" s="84"/>
      <c r="BX1778" s="84"/>
      <c r="BY1778" s="84"/>
      <c r="BZ1778" s="84"/>
      <c r="CA1778" s="84"/>
      <c r="CB1778" s="84"/>
      <c r="CC1778" s="84"/>
      <c r="CD1778" s="84"/>
      <c r="CE1778" s="84"/>
      <c r="CF1778" s="84"/>
      <c r="CG1778" s="84"/>
      <c r="CH1778" s="84"/>
      <c r="CI1778" s="84"/>
      <c r="CJ1778" s="84"/>
      <c r="CK1778" s="84"/>
      <c r="CL1778" s="84"/>
    </row>
    <row r="1779" spans="66:90" s="354" customFormat="1" x14ac:dyDescent="0.2">
      <c r="BN1779" s="84"/>
      <c r="BO1779" s="84"/>
      <c r="BP1779" s="84"/>
      <c r="BQ1779" s="84"/>
      <c r="BR1779" s="84"/>
      <c r="BS1779" s="84"/>
      <c r="BT1779" s="84"/>
      <c r="BU1779" s="84"/>
      <c r="BV1779" s="84"/>
      <c r="BW1779" s="84"/>
      <c r="BX1779" s="84"/>
      <c r="BY1779" s="84"/>
      <c r="BZ1779" s="84"/>
      <c r="CA1779" s="84"/>
      <c r="CB1779" s="84"/>
      <c r="CC1779" s="84"/>
      <c r="CD1779" s="84"/>
      <c r="CE1779" s="84"/>
      <c r="CF1779" s="84"/>
      <c r="CG1779" s="84"/>
      <c r="CH1779" s="84"/>
      <c r="CI1779" s="84"/>
      <c r="CJ1779" s="84"/>
      <c r="CK1779" s="84"/>
      <c r="CL1779" s="84"/>
    </row>
    <row r="1780" spans="66:90" s="354" customFormat="1" x14ac:dyDescent="0.2">
      <c r="BN1780" s="84"/>
      <c r="BO1780" s="84"/>
      <c r="BP1780" s="84"/>
      <c r="BQ1780" s="84"/>
      <c r="BR1780" s="84"/>
      <c r="BS1780" s="84"/>
      <c r="BT1780" s="84"/>
      <c r="BU1780" s="84"/>
      <c r="BV1780" s="84"/>
      <c r="BW1780" s="84"/>
      <c r="BX1780" s="84"/>
      <c r="BY1780" s="84"/>
      <c r="BZ1780" s="84"/>
      <c r="CA1780" s="84"/>
      <c r="CB1780" s="84"/>
      <c r="CC1780" s="84"/>
      <c r="CD1780" s="84"/>
      <c r="CE1780" s="84"/>
      <c r="CF1780" s="84"/>
      <c r="CG1780" s="84"/>
      <c r="CH1780" s="84"/>
      <c r="CI1780" s="84"/>
      <c r="CJ1780" s="84"/>
      <c r="CK1780" s="84"/>
      <c r="CL1780" s="84"/>
    </row>
    <row r="1781" spans="66:90" s="354" customFormat="1" x14ac:dyDescent="0.2">
      <c r="BN1781" s="84"/>
      <c r="BO1781" s="84"/>
      <c r="BP1781" s="84"/>
      <c r="BQ1781" s="84"/>
      <c r="BR1781" s="84"/>
      <c r="BS1781" s="84"/>
      <c r="BT1781" s="84"/>
      <c r="BU1781" s="84"/>
      <c r="BV1781" s="84"/>
      <c r="BW1781" s="84"/>
      <c r="BX1781" s="84"/>
      <c r="BY1781" s="84"/>
      <c r="BZ1781" s="84"/>
      <c r="CA1781" s="84"/>
      <c r="CB1781" s="84"/>
      <c r="CC1781" s="84"/>
      <c r="CD1781" s="84"/>
      <c r="CE1781" s="84"/>
      <c r="CF1781" s="84"/>
      <c r="CG1781" s="84"/>
      <c r="CH1781" s="84"/>
      <c r="CI1781" s="84"/>
      <c r="CJ1781" s="84"/>
      <c r="CK1781" s="84"/>
      <c r="CL1781" s="84"/>
    </row>
    <row r="1782" spans="66:90" s="354" customFormat="1" x14ac:dyDescent="0.2">
      <c r="BN1782" s="84"/>
      <c r="BO1782" s="84"/>
      <c r="BP1782" s="84"/>
      <c r="BQ1782" s="84"/>
      <c r="BR1782" s="84"/>
      <c r="BS1782" s="84"/>
      <c r="BT1782" s="84"/>
      <c r="BU1782" s="84"/>
      <c r="BV1782" s="84"/>
      <c r="BW1782" s="84"/>
      <c r="BX1782" s="84"/>
      <c r="BY1782" s="84"/>
      <c r="BZ1782" s="84"/>
      <c r="CA1782" s="84"/>
      <c r="CB1782" s="84"/>
      <c r="CC1782" s="84"/>
      <c r="CD1782" s="84"/>
      <c r="CE1782" s="84"/>
      <c r="CF1782" s="84"/>
      <c r="CG1782" s="84"/>
      <c r="CH1782" s="84"/>
      <c r="CI1782" s="84"/>
      <c r="CJ1782" s="84"/>
      <c r="CK1782" s="84"/>
      <c r="CL1782" s="84"/>
    </row>
    <row r="1783" spans="66:90" s="354" customFormat="1" x14ac:dyDescent="0.2">
      <c r="BN1783" s="84"/>
      <c r="BO1783" s="84"/>
      <c r="BP1783" s="84"/>
      <c r="BQ1783" s="84"/>
      <c r="BR1783" s="84"/>
      <c r="BS1783" s="84"/>
      <c r="BT1783" s="84"/>
      <c r="BU1783" s="84"/>
      <c r="BV1783" s="84"/>
      <c r="BW1783" s="84"/>
      <c r="BX1783" s="84"/>
      <c r="BY1783" s="84"/>
      <c r="BZ1783" s="84"/>
      <c r="CA1783" s="84"/>
      <c r="CB1783" s="84"/>
      <c r="CC1783" s="84"/>
      <c r="CD1783" s="84"/>
      <c r="CE1783" s="84"/>
      <c r="CF1783" s="84"/>
      <c r="CG1783" s="84"/>
      <c r="CH1783" s="84"/>
      <c r="CI1783" s="84"/>
      <c r="CJ1783" s="84"/>
      <c r="CK1783" s="84"/>
      <c r="CL1783" s="84"/>
    </row>
    <row r="1784" spans="66:90" s="354" customFormat="1" x14ac:dyDescent="0.2">
      <c r="BN1784" s="84"/>
      <c r="BO1784" s="84"/>
      <c r="BP1784" s="84"/>
      <c r="BQ1784" s="84"/>
      <c r="BR1784" s="84"/>
      <c r="BS1784" s="84"/>
      <c r="BT1784" s="84"/>
      <c r="BU1784" s="84"/>
      <c r="BV1784" s="84"/>
      <c r="BW1784" s="84"/>
      <c r="BX1784" s="84"/>
      <c r="BY1784" s="84"/>
      <c r="BZ1784" s="84"/>
      <c r="CA1784" s="84"/>
      <c r="CB1784" s="84"/>
      <c r="CC1784" s="84"/>
      <c r="CD1784" s="84"/>
      <c r="CE1784" s="84"/>
      <c r="CF1784" s="84"/>
      <c r="CG1784" s="84"/>
      <c r="CH1784" s="84"/>
      <c r="CI1784" s="84"/>
      <c r="CJ1784" s="84"/>
      <c r="CK1784" s="84"/>
      <c r="CL1784" s="84"/>
    </row>
    <row r="1785" spans="66:90" s="354" customFormat="1" x14ac:dyDescent="0.2">
      <c r="BN1785" s="84"/>
      <c r="BO1785" s="84"/>
      <c r="BP1785" s="84"/>
      <c r="BQ1785" s="84"/>
      <c r="BR1785" s="84"/>
      <c r="BS1785" s="84"/>
      <c r="BT1785" s="84"/>
      <c r="BU1785" s="84"/>
      <c r="BV1785" s="84"/>
      <c r="BW1785" s="84"/>
      <c r="BX1785" s="84"/>
      <c r="BY1785" s="84"/>
      <c r="BZ1785" s="84"/>
      <c r="CA1785" s="84"/>
      <c r="CB1785" s="84"/>
      <c r="CC1785" s="84"/>
      <c r="CD1785" s="84"/>
      <c r="CE1785" s="84"/>
      <c r="CF1785" s="84"/>
      <c r="CG1785" s="84"/>
      <c r="CH1785" s="84"/>
      <c r="CI1785" s="84"/>
      <c r="CJ1785" s="84"/>
      <c r="CK1785" s="84"/>
      <c r="CL1785" s="84"/>
    </row>
    <row r="1786" spans="66:90" s="354" customFormat="1" x14ac:dyDescent="0.2">
      <c r="BN1786" s="84"/>
      <c r="BO1786" s="84"/>
      <c r="BP1786" s="84"/>
      <c r="BQ1786" s="84"/>
      <c r="BR1786" s="84"/>
      <c r="BS1786" s="84"/>
      <c r="BT1786" s="84"/>
      <c r="BU1786" s="84"/>
      <c r="BV1786" s="84"/>
      <c r="BW1786" s="84"/>
      <c r="BX1786" s="84"/>
      <c r="BY1786" s="84"/>
      <c r="BZ1786" s="84"/>
      <c r="CA1786" s="84"/>
      <c r="CB1786" s="84"/>
      <c r="CC1786" s="84"/>
      <c r="CD1786" s="84"/>
      <c r="CE1786" s="84"/>
      <c r="CF1786" s="84"/>
      <c r="CG1786" s="84"/>
      <c r="CH1786" s="84"/>
      <c r="CI1786" s="84"/>
      <c r="CJ1786" s="84"/>
      <c r="CK1786" s="84"/>
      <c r="CL1786" s="84"/>
    </row>
    <row r="1787" spans="66:90" s="354" customFormat="1" x14ac:dyDescent="0.2">
      <c r="BN1787" s="84"/>
      <c r="BO1787" s="84"/>
      <c r="BP1787" s="84"/>
      <c r="BQ1787" s="84"/>
      <c r="BR1787" s="84"/>
      <c r="BS1787" s="84"/>
      <c r="BT1787" s="84"/>
      <c r="BU1787" s="84"/>
      <c r="BV1787" s="84"/>
      <c r="BW1787" s="84"/>
      <c r="BX1787" s="84"/>
      <c r="BY1787" s="84"/>
      <c r="BZ1787" s="84"/>
      <c r="CA1787" s="84"/>
      <c r="CB1787" s="84"/>
      <c r="CC1787" s="84"/>
      <c r="CD1787" s="84"/>
      <c r="CE1787" s="84"/>
      <c r="CF1787" s="84"/>
      <c r="CG1787" s="84"/>
      <c r="CH1787" s="84"/>
      <c r="CI1787" s="84"/>
      <c r="CJ1787" s="84"/>
      <c r="CK1787" s="84"/>
      <c r="CL1787" s="84"/>
    </row>
    <row r="1788" spans="66:90" s="354" customFormat="1" x14ac:dyDescent="0.2">
      <c r="BN1788" s="84"/>
      <c r="BO1788" s="84"/>
      <c r="BP1788" s="84"/>
      <c r="BQ1788" s="84"/>
      <c r="BR1788" s="84"/>
      <c r="BS1788" s="84"/>
      <c r="BT1788" s="84"/>
      <c r="BU1788" s="84"/>
      <c r="BV1788" s="84"/>
      <c r="BW1788" s="84"/>
      <c r="BX1788" s="84"/>
      <c r="BY1788" s="84"/>
      <c r="BZ1788" s="84"/>
      <c r="CA1788" s="84"/>
      <c r="CB1788" s="84"/>
      <c r="CC1788" s="84"/>
      <c r="CD1788" s="84"/>
      <c r="CE1788" s="84"/>
      <c r="CF1788" s="84"/>
      <c r="CG1788" s="84"/>
      <c r="CH1788" s="84"/>
      <c r="CI1788" s="84"/>
      <c r="CJ1788" s="84"/>
      <c r="CK1788" s="84"/>
      <c r="CL1788" s="84"/>
    </row>
    <row r="1789" spans="66:90" s="354" customFormat="1" x14ac:dyDescent="0.2">
      <c r="BN1789" s="84"/>
      <c r="BO1789" s="84"/>
      <c r="BP1789" s="84"/>
      <c r="BQ1789" s="84"/>
      <c r="BR1789" s="84"/>
      <c r="BS1789" s="84"/>
      <c r="BT1789" s="84"/>
      <c r="BU1789" s="84"/>
      <c r="BV1789" s="84"/>
      <c r="BW1789" s="84"/>
      <c r="BX1789" s="84"/>
      <c r="BY1789" s="84"/>
      <c r="BZ1789" s="84"/>
      <c r="CA1789" s="84"/>
      <c r="CB1789" s="84"/>
      <c r="CC1789" s="84"/>
      <c r="CD1789" s="84"/>
      <c r="CE1789" s="84"/>
      <c r="CF1789" s="84"/>
      <c r="CG1789" s="84"/>
      <c r="CH1789" s="84"/>
      <c r="CI1789" s="84"/>
      <c r="CJ1789" s="84"/>
      <c r="CK1789" s="84"/>
      <c r="CL1789" s="84"/>
    </row>
    <row r="1790" spans="66:90" s="354" customFormat="1" x14ac:dyDescent="0.2">
      <c r="BN1790" s="84"/>
      <c r="BO1790" s="84"/>
      <c r="BP1790" s="84"/>
      <c r="BQ1790" s="84"/>
      <c r="BR1790" s="84"/>
      <c r="BS1790" s="84"/>
      <c r="BT1790" s="84"/>
      <c r="BU1790" s="84"/>
      <c r="BV1790" s="84"/>
      <c r="BW1790" s="84"/>
      <c r="BX1790" s="84"/>
      <c r="BY1790" s="84"/>
      <c r="BZ1790" s="84"/>
      <c r="CA1790" s="84"/>
      <c r="CB1790" s="84"/>
      <c r="CC1790" s="84"/>
      <c r="CD1790" s="84"/>
      <c r="CE1790" s="84"/>
      <c r="CF1790" s="84"/>
      <c r="CG1790" s="84"/>
      <c r="CH1790" s="84"/>
      <c r="CI1790" s="84"/>
      <c r="CJ1790" s="84"/>
      <c r="CK1790" s="84"/>
      <c r="CL1790" s="84"/>
    </row>
    <row r="1791" spans="66:90" s="354" customFormat="1" x14ac:dyDescent="0.2">
      <c r="BN1791" s="84"/>
      <c r="BO1791" s="84"/>
      <c r="BP1791" s="84"/>
      <c r="BQ1791" s="84"/>
      <c r="BR1791" s="84"/>
      <c r="BS1791" s="84"/>
      <c r="BT1791" s="84"/>
      <c r="BU1791" s="84"/>
      <c r="BV1791" s="84"/>
      <c r="BW1791" s="84"/>
      <c r="BX1791" s="84"/>
      <c r="BY1791" s="84"/>
      <c r="BZ1791" s="84"/>
      <c r="CA1791" s="84"/>
      <c r="CB1791" s="84"/>
      <c r="CC1791" s="84"/>
      <c r="CD1791" s="84"/>
      <c r="CE1791" s="84"/>
      <c r="CF1791" s="84"/>
      <c r="CG1791" s="84"/>
      <c r="CH1791" s="84"/>
      <c r="CI1791" s="84"/>
      <c r="CJ1791" s="84"/>
      <c r="CK1791" s="84"/>
      <c r="CL1791" s="84"/>
    </row>
    <row r="1792" spans="66:90" s="354" customFormat="1" x14ac:dyDescent="0.2">
      <c r="BN1792" s="84"/>
      <c r="BO1792" s="84"/>
      <c r="BP1792" s="84"/>
      <c r="BQ1792" s="84"/>
      <c r="BR1792" s="84"/>
      <c r="BS1792" s="84"/>
      <c r="BT1792" s="84"/>
      <c r="BU1792" s="84"/>
      <c r="BV1792" s="84"/>
      <c r="BW1792" s="84"/>
      <c r="BX1792" s="84"/>
      <c r="BY1792" s="84"/>
      <c r="BZ1792" s="84"/>
      <c r="CA1792" s="84"/>
      <c r="CB1792" s="84"/>
      <c r="CC1792" s="84"/>
      <c r="CD1792" s="84"/>
      <c r="CE1792" s="84"/>
      <c r="CF1792" s="84"/>
      <c r="CG1792" s="84"/>
      <c r="CH1792" s="84"/>
      <c r="CI1792" s="84"/>
      <c r="CJ1792" s="84"/>
      <c r="CK1792" s="84"/>
      <c r="CL1792" s="84"/>
    </row>
    <row r="1793" spans="66:90" s="354" customFormat="1" x14ac:dyDescent="0.2">
      <c r="BN1793" s="84"/>
      <c r="BO1793" s="84"/>
      <c r="BP1793" s="84"/>
      <c r="BQ1793" s="84"/>
      <c r="BR1793" s="84"/>
      <c r="BS1793" s="84"/>
      <c r="BT1793" s="84"/>
      <c r="BU1793" s="84"/>
      <c r="BV1793" s="84"/>
      <c r="BW1793" s="84"/>
      <c r="BX1793" s="84"/>
      <c r="BY1793" s="84"/>
      <c r="BZ1793" s="84"/>
      <c r="CA1793" s="84"/>
      <c r="CB1793" s="84"/>
      <c r="CC1793" s="84"/>
      <c r="CD1793" s="84"/>
      <c r="CE1793" s="84"/>
      <c r="CF1793" s="84"/>
      <c r="CG1793" s="84"/>
      <c r="CH1793" s="84"/>
      <c r="CI1793" s="84"/>
      <c r="CJ1793" s="84"/>
      <c r="CK1793" s="84"/>
      <c r="CL1793" s="84"/>
    </row>
    <row r="1794" spans="66:90" s="354" customFormat="1" x14ac:dyDescent="0.2">
      <c r="BN1794" s="84"/>
      <c r="BO1794" s="84"/>
      <c r="BP1794" s="84"/>
      <c r="BQ1794" s="84"/>
      <c r="BR1794" s="84"/>
      <c r="BS1794" s="84"/>
      <c r="BT1794" s="84"/>
      <c r="BU1794" s="84"/>
      <c r="BV1794" s="84"/>
      <c r="BW1794" s="84"/>
      <c r="BX1794" s="84"/>
      <c r="BY1794" s="84"/>
      <c r="BZ1794" s="84"/>
      <c r="CA1794" s="84"/>
      <c r="CB1794" s="84"/>
      <c r="CC1794" s="84"/>
      <c r="CD1794" s="84"/>
      <c r="CE1794" s="84"/>
      <c r="CF1794" s="84"/>
      <c r="CG1794" s="84"/>
      <c r="CH1794" s="84"/>
      <c r="CI1794" s="84"/>
      <c r="CJ1794" s="84"/>
      <c r="CK1794" s="84"/>
      <c r="CL1794" s="84"/>
    </row>
    <row r="1795" spans="66:90" s="354" customFormat="1" x14ac:dyDescent="0.2">
      <c r="BN1795" s="84"/>
      <c r="BO1795" s="84"/>
      <c r="BP1795" s="84"/>
      <c r="BQ1795" s="84"/>
      <c r="BR1795" s="84"/>
      <c r="BS1795" s="84"/>
      <c r="BT1795" s="84"/>
      <c r="BU1795" s="84"/>
      <c r="BV1795" s="84"/>
      <c r="BW1795" s="84"/>
      <c r="BX1795" s="84"/>
      <c r="BY1795" s="84"/>
      <c r="BZ1795" s="84"/>
      <c r="CA1795" s="84"/>
      <c r="CB1795" s="84"/>
      <c r="CC1795" s="84"/>
      <c r="CD1795" s="84"/>
      <c r="CE1795" s="84"/>
      <c r="CF1795" s="84"/>
      <c r="CG1795" s="84"/>
      <c r="CH1795" s="84"/>
      <c r="CI1795" s="84"/>
      <c r="CJ1795" s="84"/>
      <c r="CK1795" s="84"/>
      <c r="CL1795" s="84"/>
    </row>
    <row r="1796" spans="66:90" s="354" customFormat="1" x14ac:dyDescent="0.2">
      <c r="BN1796" s="84"/>
      <c r="BO1796" s="84"/>
      <c r="BP1796" s="84"/>
      <c r="BQ1796" s="84"/>
      <c r="BR1796" s="84"/>
      <c r="BS1796" s="84"/>
      <c r="BT1796" s="84"/>
      <c r="BU1796" s="84"/>
      <c r="BV1796" s="84"/>
      <c r="BW1796" s="84"/>
      <c r="BX1796" s="84"/>
      <c r="BY1796" s="84"/>
      <c r="BZ1796" s="84"/>
      <c r="CA1796" s="84"/>
      <c r="CB1796" s="84"/>
      <c r="CC1796" s="84"/>
      <c r="CD1796" s="84"/>
      <c r="CE1796" s="84"/>
      <c r="CF1796" s="84"/>
      <c r="CG1796" s="84"/>
      <c r="CH1796" s="84"/>
      <c r="CI1796" s="84"/>
      <c r="CJ1796" s="84"/>
      <c r="CK1796" s="84"/>
      <c r="CL1796" s="84"/>
    </row>
    <row r="1797" spans="66:90" s="354" customFormat="1" x14ac:dyDescent="0.2">
      <c r="BN1797" s="84"/>
      <c r="BO1797" s="84"/>
      <c r="BP1797" s="84"/>
      <c r="BQ1797" s="84"/>
      <c r="BR1797" s="84"/>
      <c r="BS1797" s="84"/>
      <c r="BT1797" s="84"/>
      <c r="BU1797" s="84"/>
      <c r="BV1797" s="84"/>
      <c r="BW1797" s="84"/>
      <c r="BX1797" s="84"/>
      <c r="BY1797" s="84"/>
      <c r="BZ1797" s="84"/>
      <c r="CA1797" s="84"/>
      <c r="CB1797" s="84"/>
      <c r="CC1797" s="84"/>
      <c r="CD1797" s="84"/>
      <c r="CE1797" s="84"/>
      <c r="CF1797" s="84"/>
      <c r="CG1797" s="84"/>
      <c r="CH1797" s="84"/>
      <c r="CI1797" s="84"/>
      <c r="CJ1797" s="84"/>
      <c r="CK1797" s="84"/>
      <c r="CL1797" s="84"/>
    </row>
    <row r="1798" spans="66:90" s="354" customFormat="1" x14ac:dyDescent="0.2">
      <c r="BN1798" s="84"/>
      <c r="BO1798" s="84"/>
      <c r="BP1798" s="84"/>
      <c r="BQ1798" s="84"/>
      <c r="BR1798" s="84"/>
      <c r="BS1798" s="84"/>
      <c r="BT1798" s="84"/>
      <c r="BU1798" s="84"/>
      <c r="BV1798" s="84"/>
      <c r="BW1798" s="84"/>
      <c r="BX1798" s="84"/>
      <c r="BY1798" s="84"/>
      <c r="BZ1798" s="84"/>
      <c r="CA1798" s="84"/>
      <c r="CB1798" s="84"/>
      <c r="CC1798" s="84"/>
      <c r="CD1798" s="84"/>
      <c r="CE1798" s="84"/>
      <c r="CF1798" s="84"/>
      <c r="CG1798" s="84"/>
      <c r="CH1798" s="84"/>
      <c r="CI1798" s="84"/>
      <c r="CJ1798" s="84"/>
      <c r="CK1798" s="84"/>
      <c r="CL1798" s="84"/>
    </row>
    <row r="1799" spans="66:90" s="354" customFormat="1" x14ac:dyDescent="0.2">
      <c r="BN1799" s="84"/>
      <c r="BO1799" s="84"/>
      <c r="BP1799" s="84"/>
      <c r="BQ1799" s="84"/>
      <c r="BR1799" s="84"/>
      <c r="BS1799" s="84"/>
      <c r="BT1799" s="84"/>
      <c r="BU1799" s="84"/>
      <c r="BV1799" s="84"/>
      <c r="BW1799" s="84"/>
      <c r="BX1799" s="84"/>
      <c r="BY1799" s="84"/>
      <c r="BZ1799" s="84"/>
      <c r="CA1799" s="84"/>
      <c r="CB1799" s="84"/>
      <c r="CC1799" s="84"/>
      <c r="CD1799" s="84"/>
      <c r="CE1799" s="84"/>
      <c r="CF1799" s="84"/>
      <c r="CG1799" s="84"/>
      <c r="CH1799" s="84"/>
      <c r="CI1799" s="84"/>
      <c r="CJ1799" s="84"/>
      <c r="CK1799" s="84"/>
      <c r="CL1799" s="84"/>
    </row>
    <row r="1800" spans="66:90" s="354" customFormat="1" x14ac:dyDescent="0.2">
      <c r="BN1800" s="84"/>
      <c r="BO1800" s="84"/>
      <c r="BP1800" s="84"/>
      <c r="BQ1800" s="84"/>
      <c r="BR1800" s="84"/>
      <c r="BS1800" s="84"/>
      <c r="BT1800" s="84"/>
      <c r="BU1800" s="84"/>
      <c r="BV1800" s="84"/>
      <c r="BW1800" s="84"/>
      <c r="BX1800" s="84"/>
      <c r="BY1800" s="84"/>
      <c r="BZ1800" s="84"/>
      <c r="CA1800" s="84"/>
      <c r="CB1800" s="84"/>
      <c r="CC1800" s="84"/>
      <c r="CD1800" s="84"/>
      <c r="CE1800" s="84"/>
      <c r="CF1800" s="84"/>
      <c r="CG1800" s="84"/>
      <c r="CH1800" s="84"/>
      <c r="CI1800" s="84"/>
      <c r="CJ1800" s="84"/>
      <c r="CK1800" s="84"/>
      <c r="CL1800" s="84"/>
    </row>
    <row r="1801" spans="66:90" s="354" customFormat="1" x14ac:dyDescent="0.2">
      <c r="BN1801" s="84"/>
      <c r="BO1801" s="84"/>
      <c r="BP1801" s="84"/>
      <c r="BQ1801" s="84"/>
      <c r="BR1801" s="84"/>
      <c r="BS1801" s="84"/>
      <c r="BT1801" s="84"/>
      <c r="BU1801" s="84"/>
      <c r="BV1801" s="84"/>
      <c r="BW1801" s="84"/>
      <c r="BX1801" s="84"/>
      <c r="BY1801" s="84"/>
      <c r="BZ1801" s="84"/>
      <c r="CA1801" s="84"/>
      <c r="CB1801" s="84"/>
      <c r="CC1801" s="84"/>
      <c r="CD1801" s="84"/>
      <c r="CE1801" s="84"/>
      <c r="CF1801" s="84"/>
      <c r="CG1801" s="84"/>
      <c r="CH1801" s="84"/>
      <c r="CI1801" s="84"/>
      <c r="CJ1801" s="84"/>
      <c r="CK1801" s="84"/>
      <c r="CL1801" s="84"/>
    </row>
    <row r="1802" spans="66:90" s="354" customFormat="1" x14ac:dyDescent="0.2">
      <c r="BN1802" s="84"/>
      <c r="BO1802" s="84"/>
      <c r="BP1802" s="84"/>
      <c r="BQ1802" s="84"/>
      <c r="BR1802" s="84"/>
      <c r="BS1802" s="84"/>
      <c r="BT1802" s="84"/>
      <c r="BU1802" s="84"/>
      <c r="BV1802" s="84"/>
      <c r="BW1802" s="84"/>
      <c r="BX1802" s="84"/>
      <c r="BY1802" s="84"/>
      <c r="BZ1802" s="84"/>
      <c r="CA1802" s="84"/>
      <c r="CB1802" s="84"/>
      <c r="CC1802" s="84"/>
      <c r="CD1802" s="84"/>
      <c r="CE1802" s="84"/>
      <c r="CF1802" s="84"/>
      <c r="CG1802" s="84"/>
      <c r="CH1802" s="84"/>
      <c r="CI1802" s="84"/>
      <c r="CJ1802" s="84"/>
      <c r="CK1802" s="84"/>
      <c r="CL1802" s="84"/>
    </row>
    <row r="1803" spans="66:90" s="354" customFormat="1" x14ac:dyDescent="0.2">
      <c r="BN1803" s="84"/>
      <c r="BO1803" s="84"/>
      <c r="BP1803" s="84"/>
      <c r="BQ1803" s="84"/>
      <c r="BR1803" s="84"/>
      <c r="BS1803" s="84"/>
      <c r="BT1803" s="84"/>
      <c r="BU1803" s="84"/>
      <c r="BV1803" s="84"/>
      <c r="BW1803" s="84"/>
      <c r="BX1803" s="84"/>
      <c r="BY1803" s="84"/>
      <c r="BZ1803" s="84"/>
      <c r="CA1803" s="84"/>
      <c r="CB1803" s="84"/>
      <c r="CC1803" s="84"/>
      <c r="CD1803" s="84"/>
      <c r="CE1803" s="84"/>
      <c r="CF1803" s="84"/>
      <c r="CG1803" s="84"/>
      <c r="CH1803" s="84"/>
      <c r="CI1803" s="84"/>
      <c r="CJ1803" s="84"/>
      <c r="CK1803" s="84"/>
      <c r="CL1803" s="84"/>
    </row>
    <row r="1804" spans="66:90" s="354" customFormat="1" x14ac:dyDescent="0.2">
      <c r="BN1804" s="84"/>
      <c r="BO1804" s="84"/>
      <c r="BP1804" s="84"/>
      <c r="BQ1804" s="84"/>
      <c r="BR1804" s="84"/>
      <c r="BS1804" s="84"/>
      <c r="BT1804" s="84"/>
      <c r="BU1804" s="84"/>
      <c r="BV1804" s="84"/>
      <c r="BW1804" s="84"/>
      <c r="BX1804" s="84"/>
      <c r="BY1804" s="84"/>
      <c r="BZ1804" s="84"/>
      <c r="CA1804" s="84"/>
      <c r="CB1804" s="84"/>
      <c r="CC1804" s="84"/>
      <c r="CD1804" s="84"/>
      <c r="CE1804" s="84"/>
      <c r="CF1804" s="84"/>
      <c r="CG1804" s="84"/>
      <c r="CH1804" s="84"/>
      <c r="CI1804" s="84"/>
      <c r="CJ1804" s="84"/>
      <c r="CK1804" s="84"/>
      <c r="CL1804" s="84"/>
    </row>
    <row r="1805" spans="66:90" s="354" customFormat="1" x14ac:dyDescent="0.2">
      <c r="BN1805" s="84"/>
      <c r="BO1805" s="84"/>
      <c r="BP1805" s="84"/>
      <c r="BQ1805" s="84"/>
      <c r="BR1805" s="84"/>
      <c r="BS1805" s="84"/>
      <c r="BT1805" s="84"/>
      <c r="BU1805" s="84"/>
      <c r="BV1805" s="84"/>
      <c r="BW1805" s="84"/>
      <c r="BX1805" s="84"/>
      <c r="BY1805" s="84"/>
      <c r="BZ1805" s="84"/>
      <c r="CA1805" s="84"/>
      <c r="CB1805" s="84"/>
      <c r="CC1805" s="84"/>
      <c r="CD1805" s="84"/>
      <c r="CE1805" s="84"/>
      <c r="CF1805" s="84"/>
      <c r="CG1805" s="84"/>
      <c r="CH1805" s="84"/>
      <c r="CI1805" s="84"/>
      <c r="CJ1805" s="84"/>
      <c r="CK1805" s="84"/>
      <c r="CL1805" s="84"/>
    </row>
    <row r="1806" spans="66:90" s="354" customFormat="1" x14ac:dyDescent="0.2">
      <c r="BN1806" s="84"/>
      <c r="BO1806" s="84"/>
      <c r="BP1806" s="84"/>
      <c r="BQ1806" s="84"/>
      <c r="BR1806" s="84"/>
      <c r="BS1806" s="84"/>
      <c r="BT1806" s="84"/>
      <c r="BU1806" s="84"/>
      <c r="BV1806" s="84"/>
      <c r="BW1806" s="84"/>
      <c r="BX1806" s="84"/>
      <c r="BY1806" s="84"/>
      <c r="BZ1806" s="84"/>
      <c r="CA1806" s="84"/>
      <c r="CB1806" s="84"/>
      <c r="CC1806" s="84"/>
      <c r="CD1806" s="84"/>
      <c r="CE1806" s="84"/>
      <c r="CF1806" s="84"/>
      <c r="CG1806" s="84"/>
      <c r="CH1806" s="84"/>
      <c r="CI1806" s="84"/>
      <c r="CJ1806" s="84"/>
      <c r="CK1806" s="84"/>
      <c r="CL1806" s="84"/>
    </row>
    <row r="1807" spans="66:90" s="354" customFormat="1" x14ac:dyDescent="0.2">
      <c r="BN1807" s="84"/>
      <c r="BO1807" s="84"/>
      <c r="BP1807" s="84"/>
      <c r="BQ1807" s="84"/>
      <c r="BR1807" s="84"/>
      <c r="BS1807" s="84"/>
      <c r="BT1807" s="84"/>
      <c r="BU1807" s="84"/>
      <c r="BV1807" s="84"/>
      <c r="BW1807" s="84"/>
      <c r="BX1807" s="84"/>
      <c r="BY1807" s="84"/>
      <c r="BZ1807" s="84"/>
      <c r="CA1807" s="84"/>
      <c r="CB1807" s="84"/>
      <c r="CC1807" s="84"/>
      <c r="CD1807" s="84"/>
      <c r="CE1807" s="84"/>
      <c r="CF1807" s="84"/>
      <c r="CG1807" s="84"/>
      <c r="CH1807" s="84"/>
      <c r="CI1807" s="84"/>
      <c r="CJ1807" s="84"/>
      <c r="CK1807" s="84"/>
      <c r="CL1807" s="84"/>
    </row>
    <row r="1808" spans="66:90" s="354" customFormat="1" x14ac:dyDescent="0.2">
      <c r="BN1808" s="84"/>
      <c r="BO1808" s="84"/>
      <c r="BP1808" s="84"/>
      <c r="BQ1808" s="84"/>
      <c r="BR1808" s="84"/>
      <c r="BS1808" s="84"/>
      <c r="BT1808" s="84"/>
      <c r="BU1808" s="84"/>
      <c r="BV1808" s="84"/>
      <c r="BW1808" s="84"/>
      <c r="BX1808" s="84"/>
      <c r="BY1808" s="84"/>
      <c r="BZ1808" s="84"/>
      <c r="CA1808" s="84"/>
      <c r="CB1808" s="84"/>
      <c r="CC1808" s="84"/>
      <c r="CD1808" s="84"/>
      <c r="CE1808" s="84"/>
      <c r="CF1808" s="84"/>
      <c r="CG1808" s="84"/>
      <c r="CH1808" s="84"/>
      <c r="CI1808" s="84"/>
      <c r="CJ1808" s="84"/>
      <c r="CK1808" s="84"/>
      <c r="CL1808" s="84"/>
    </row>
    <row r="1809" spans="66:90" s="354" customFormat="1" x14ac:dyDescent="0.2">
      <c r="BN1809" s="84"/>
      <c r="BO1809" s="84"/>
      <c r="BP1809" s="84"/>
      <c r="BQ1809" s="84"/>
      <c r="BR1809" s="84"/>
      <c r="BS1809" s="84"/>
      <c r="BT1809" s="84"/>
      <c r="BU1809" s="84"/>
      <c r="BV1809" s="84"/>
      <c r="BW1809" s="84"/>
      <c r="BX1809" s="84"/>
      <c r="BY1809" s="84"/>
      <c r="BZ1809" s="84"/>
      <c r="CA1809" s="84"/>
      <c r="CB1809" s="84"/>
      <c r="CC1809" s="84"/>
      <c r="CD1809" s="84"/>
      <c r="CE1809" s="84"/>
      <c r="CF1809" s="84"/>
      <c r="CG1809" s="84"/>
      <c r="CH1809" s="84"/>
      <c r="CI1809" s="84"/>
      <c r="CJ1809" s="84"/>
      <c r="CK1809" s="84"/>
      <c r="CL1809" s="84"/>
    </row>
    <row r="1810" spans="66:90" s="354" customFormat="1" x14ac:dyDescent="0.2">
      <c r="BN1810" s="84"/>
      <c r="BO1810" s="84"/>
      <c r="BP1810" s="84"/>
      <c r="BQ1810" s="84"/>
      <c r="BR1810" s="84"/>
      <c r="BS1810" s="84"/>
      <c r="BT1810" s="84"/>
      <c r="BU1810" s="84"/>
      <c r="BV1810" s="84"/>
      <c r="BW1810" s="84"/>
      <c r="BX1810" s="84"/>
      <c r="BY1810" s="84"/>
      <c r="BZ1810" s="84"/>
      <c r="CA1810" s="84"/>
      <c r="CB1810" s="84"/>
      <c r="CC1810" s="84"/>
      <c r="CD1810" s="84"/>
      <c r="CE1810" s="84"/>
      <c r="CF1810" s="84"/>
      <c r="CG1810" s="84"/>
      <c r="CH1810" s="84"/>
      <c r="CI1810" s="84"/>
      <c r="CJ1810" s="84"/>
      <c r="CK1810" s="84"/>
      <c r="CL1810" s="84"/>
    </row>
    <row r="1811" spans="66:90" s="354" customFormat="1" x14ac:dyDescent="0.2">
      <c r="BN1811" s="84"/>
      <c r="BO1811" s="84"/>
      <c r="BP1811" s="84"/>
      <c r="BQ1811" s="84"/>
      <c r="BR1811" s="84"/>
      <c r="BS1811" s="84"/>
      <c r="BT1811" s="84"/>
      <c r="BU1811" s="84"/>
      <c r="BV1811" s="84"/>
      <c r="BW1811" s="84"/>
      <c r="BX1811" s="84"/>
      <c r="BY1811" s="84"/>
      <c r="BZ1811" s="84"/>
      <c r="CA1811" s="84"/>
      <c r="CB1811" s="84"/>
      <c r="CC1811" s="84"/>
      <c r="CD1811" s="84"/>
      <c r="CE1811" s="84"/>
      <c r="CF1811" s="84"/>
      <c r="CG1811" s="84"/>
      <c r="CH1811" s="84"/>
      <c r="CI1811" s="84"/>
      <c r="CJ1811" s="84"/>
      <c r="CK1811" s="84"/>
      <c r="CL1811" s="84"/>
    </row>
    <row r="1812" spans="66:90" s="354" customFormat="1" x14ac:dyDescent="0.2">
      <c r="BN1812" s="84"/>
      <c r="BO1812" s="84"/>
      <c r="BP1812" s="84"/>
      <c r="BQ1812" s="84"/>
      <c r="BR1812" s="84"/>
      <c r="BS1812" s="84"/>
      <c r="BT1812" s="84"/>
      <c r="BU1812" s="84"/>
      <c r="BV1812" s="84"/>
      <c r="BW1812" s="84"/>
      <c r="BX1812" s="84"/>
      <c r="BY1812" s="84"/>
      <c r="BZ1812" s="84"/>
      <c r="CA1812" s="84"/>
      <c r="CB1812" s="84"/>
      <c r="CC1812" s="84"/>
      <c r="CD1812" s="84"/>
      <c r="CE1812" s="84"/>
      <c r="CF1812" s="84"/>
      <c r="CG1812" s="84"/>
      <c r="CH1812" s="84"/>
      <c r="CI1812" s="84"/>
      <c r="CJ1812" s="84"/>
      <c r="CK1812" s="84"/>
      <c r="CL1812" s="84"/>
    </row>
    <row r="1813" spans="66:90" s="354" customFormat="1" x14ac:dyDescent="0.2">
      <c r="BN1813" s="84"/>
      <c r="BO1813" s="84"/>
      <c r="BP1813" s="84"/>
      <c r="BQ1813" s="84"/>
      <c r="BR1813" s="84"/>
      <c r="BS1813" s="84"/>
      <c r="BT1813" s="84"/>
      <c r="BU1813" s="84"/>
      <c r="BV1813" s="84"/>
      <c r="BW1813" s="84"/>
      <c r="BX1813" s="84"/>
      <c r="BY1813" s="84"/>
      <c r="BZ1813" s="84"/>
      <c r="CA1813" s="84"/>
      <c r="CB1813" s="84"/>
      <c r="CC1813" s="84"/>
      <c r="CD1813" s="84"/>
      <c r="CE1813" s="84"/>
      <c r="CF1813" s="84"/>
      <c r="CG1813" s="84"/>
      <c r="CH1813" s="84"/>
      <c r="CI1813" s="84"/>
      <c r="CJ1813" s="84"/>
      <c r="CK1813" s="84"/>
      <c r="CL1813" s="84"/>
    </row>
    <row r="1814" spans="66:90" s="354" customFormat="1" x14ac:dyDescent="0.2">
      <c r="BN1814" s="84"/>
      <c r="BO1814" s="84"/>
      <c r="BP1814" s="84"/>
      <c r="BQ1814" s="84"/>
      <c r="BR1814" s="84"/>
      <c r="BS1814" s="84"/>
      <c r="BT1814" s="84"/>
      <c r="BU1814" s="84"/>
      <c r="BV1814" s="84"/>
      <c r="BW1814" s="84"/>
      <c r="BX1814" s="84"/>
      <c r="BY1814" s="84"/>
      <c r="BZ1814" s="84"/>
      <c r="CA1814" s="84"/>
      <c r="CB1814" s="84"/>
      <c r="CC1814" s="84"/>
      <c r="CD1814" s="84"/>
      <c r="CE1814" s="84"/>
      <c r="CF1814" s="84"/>
      <c r="CG1814" s="84"/>
      <c r="CH1814" s="84"/>
      <c r="CI1814" s="84"/>
      <c r="CJ1814" s="84"/>
      <c r="CK1814" s="84"/>
      <c r="CL1814" s="84"/>
    </row>
    <row r="1815" spans="66:90" s="354" customFormat="1" x14ac:dyDescent="0.2">
      <c r="BN1815" s="84"/>
      <c r="BO1815" s="84"/>
      <c r="BP1815" s="84"/>
      <c r="BQ1815" s="84"/>
      <c r="BR1815" s="84"/>
      <c r="BS1815" s="84"/>
      <c r="BT1815" s="84"/>
      <c r="BU1815" s="84"/>
      <c r="BV1815" s="84"/>
      <c r="BW1815" s="84"/>
      <c r="BX1815" s="84"/>
      <c r="BY1815" s="84"/>
      <c r="BZ1815" s="84"/>
      <c r="CA1815" s="84"/>
      <c r="CB1815" s="84"/>
      <c r="CC1815" s="84"/>
      <c r="CD1815" s="84"/>
      <c r="CE1815" s="84"/>
      <c r="CF1815" s="84"/>
      <c r="CG1815" s="84"/>
      <c r="CH1815" s="84"/>
      <c r="CI1815" s="84"/>
      <c r="CJ1815" s="84"/>
      <c r="CK1815" s="84"/>
      <c r="CL1815" s="84"/>
    </row>
    <row r="1816" spans="66:90" s="354" customFormat="1" x14ac:dyDescent="0.2">
      <c r="BN1816" s="84"/>
      <c r="BO1816" s="84"/>
      <c r="BP1816" s="84"/>
      <c r="BQ1816" s="84"/>
      <c r="BR1816" s="84"/>
      <c r="BS1816" s="84"/>
      <c r="BT1816" s="84"/>
      <c r="BU1816" s="84"/>
      <c r="BV1816" s="84"/>
      <c r="BW1816" s="84"/>
      <c r="BX1816" s="84"/>
      <c r="BY1816" s="84"/>
      <c r="BZ1816" s="84"/>
      <c r="CA1816" s="84"/>
      <c r="CB1816" s="84"/>
      <c r="CC1816" s="84"/>
      <c r="CD1816" s="84"/>
      <c r="CE1816" s="84"/>
      <c r="CF1816" s="84"/>
      <c r="CG1816" s="84"/>
      <c r="CH1816" s="84"/>
      <c r="CI1816" s="84"/>
      <c r="CJ1816" s="84"/>
      <c r="CK1816" s="84"/>
      <c r="CL1816" s="84"/>
    </row>
    <row r="1817" spans="66:90" s="354" customFormat="1" x14ac:dyDescent="0.2">
      <c r="BN1817" s="84"/>
      <c r="BO1817" s="84"/>
      <c r="BP1817" s="84"/>
      <c r="BQ1817" s="84"/>
      <c r="BR1817" s="84"/>
      <c r="BS1817" s="84"/>
      <c r="BT1817" s="84"/>
      <c r="BU1817" s="84"/>
      <c r="BV1817" s="84"/>
      <c r="BW1817" s="84"/>
      <c r="BX1817" s="84"/>
      <c r="BY1817" s="84"/>
      <c r="BZ1817" s="84"/>
      <c r="CA1817" s="84"/>
      <c r="CB1817" s="84"/>
      <c r="CC1817" s="84"/>
      <c r="CD1817" s="84"/>
      <c r="CE1817" s="84"/>
      <c r="CF1817" s="84"/>
      <c r="CG1817" s="84"/>
      <c r="CH1817" s="84"/>
      <c r="CI1817" s="84"/>
      <c r="CJ1817" s="84"/>
      <c r="CK1817" s="84"/>
      <c r="CL1817" s="84"/>
    </row>
    <row r="1818" spans="66:90" s="354" customFormat="1" x14ac:dyDescent="0.2">
      <c r="BN1818" s="84"/>
      <c r="BO1818" s="84"/>
      <c r="BP1818" s="84"/>
      <c r="BQ1818" s="84"/>
      <c r="BR1818" s="84"/>
      <c r="BS1818" s="84"/>
      <c r="BT1818" s="84"/>
      <c r="BU1818" s="84"/>
      <c r="BV1818" s="84"/>
      <c r="BW1818" s="84"/>
      <c r="BX1818" s="84"/>
      <c r="BY1818" s="84"/>
      <c r="BZ1818" s="84"/>
      <c r="CA1818" s="84"/>
      <c r="CB1818" s="84"/>
      <c r="CC1818" s="84"/>
      <c r="CD1818" s="84"/>
      <c r="CE1818" s="84"/>
      <c r="CF1818" s="84"/>
      <c r="CG1818" s="84"/>
      <c r="CH1818" s="84"/>
      <c r="CI1818" s="84"/>
      <c r="CJ1818" s="84"/>
      <c r="CK1818" s="84"/>
      <c r="CL1818" s="84"/>
    </row>
    <row r="1819" spans="66:90" s="354" customFormat="1" x14ac:dyDescent="0.2">
      <c r="BN1819" s="84"/>
      <c r="BO1819" s="84"/>
      <c r="BP1819" s="84"/>
      <c r="BQ1819" s="84"/>
      <c r="BR1819" s="84"/>
      <c r="BS1819" s="84"/>
      <c r="BT1819" s="84"/>
      <c r="BU1819" s="84"/>
      <c r="BV1819" s="84"/>
      <c r="BW1819" s="84"/>
      <c r="BX1819" s="84"/>
      <c r="BY1819" s="84"/>
      <c r="BZ1819" s="84"/>
      <c r="CA1819" s="84"/>
      <c r="CB1819" s="84"/>
      <c r="CC1819" s="84"/>
      <c r="CD1819" s="84"/>
      <c r="CE1819" s="84"/>
      <c r="CF1819" s="84"/>
      <c r="CG1819" s="84"/>
      <c r="CH1819" s="84"/>
      <c r="CI1819" s="84"/>
      <c r="CJ1819" s="84"/>
      <c r="CK1819" s="84"/>
      <c r="CL1819" s="84"/>
    </row>
    <row r="1820" spans="66:90" s="354" customFormat="1" x14ac:dyDescent="0.2">
      <c r="BN1820" s="84"/>
      <c r="BO1820" s="84"/>
      <c r="BP1820" s="84"/>
      <c r="BQ1820" s="84"/>
      <c r="BR1820" s="84"/>
      <c r="BS1820" s="84"/>
      <c r="BT1820" s="84"/>
      <c r="BU1820" s="84"/>
      <c r="BV1820" s="84"/>
      <c r="BW1820" s="84"/>
      <c r="BX1820" s="84"/>
      <c r="BY1820" s="84"/>
      <c r="BZ1820" s="84"/>
      <c r="CA1820" s="84"/>
      <c r="CB1820" s="84"/>
      <c r="CC1820" s="84"/>
      <c r="CD1820" s="84"/>
      <c r="CE1820" s="84"/>
      <c r="CF1820" s="84"/>
      <c r="CG1820" s="84"/>
      <c r="CH1820" s="84"/>
      <c r="CI1820" s="84"/>
      <c r="CJ1820" s="84"/>
      <c r="CK1820" s="84"/>
      <c r="CL1820" s="84"/>
    </row>
    <row r="1821" spans="66:90" s="354" customFormat="1" x14ac:dyDescent="0.2">
      <c r="BN1821" s="84"/>
      <c r="BO1821" s="84"/>
      <c r="BP1821" s="84"/>
      <c r="BQ1821" s="84"/>
      <c r="BR1821" s="84"/>
      <c r="BS1821" s="84"/>
      <c r="BT1821" s="84"/>
      <c r="BU1821" s="84"/>
      <c r="BV1821" s="84"/>
      <c r="BW1821" s="84"/>
      <c r="BX1821" s="84"/>
      <c r="BY1821" s="84"/>
      <c r="BZ1821" s="84"/>
      <c r="CA1821" s="84"/>
      <c r="CB1821" s="84"/>
      <c r="CC1821" s="84"/>
      <c r="CD1821" s="84"/>
      <c r="CE1821" s="84"/>
      <c r="CF1821" s="84"/>
      <c r="CG1821" s="84"/>
      <c r="CH1821" s="84"/>
      <c r="CI1821" s="84"/>
      <c r="CJ1821" s="84"/>
      <c r="CK1821" s="84"/>
      <c r="CL1821" s="84"/>
    </row>
    <row r="1822" spans="66:90" s="354" customFormat="1" x14ac:dyDescent="0.2">
      <c r="BN1822" s="84"/>
      <c r="BO1822" s="84"/>
      <c r="BP1822" s="84"/>
      <c r="BQ1822" s="84"/>
      <c r="BR1822" s="84"/>
      <c r="BS1822" s="84"/>
      <c r="BT1822" s="84"/>
      <c r="BU1822" s="84"/>
      <c r="BV1822" s="84"/>
      <c r="BW1822" s="84"/>
      <c r="BX1822" s="84"/>
      <c r="BY1822" s="84"/>
      <c r="BZ1822" s="84"/>
      <c r="CA1822" s="84"/>
      <c r="CB1822" s="84"/>
      <c r="CC1822" s="84"/>
      <c r="CD1822" s="84"/>
      <c r="CE1822" s="84"/>
      <c r="CF1822" s="84"/>
      <c r="CG1822" s="84"/>
      <c r="CH1822" s="84"/>
      <c r="CI1822" s="84"/>
      <c r="CJ1822" s="84"/>
      <c r="CK1822" s="84"/>
      <c r="CL1822" s="84"/>
    </row>
    <row r="1823" spans="66:90" s="354" customFormat="1" x14ac:dyDescent="0.2">
      <c r="BN1823" s="84"/>
      <c r="BO1823" s="84"/>
      <c r="BP1823" s="84"/>
      <c r="BQ1823" s="84"/>
      <c r="BR1823" s="84"/>
      <c r="BS1823" s="84"/>
      <c r="BT1823" s="84"/>
      <c r="BU1823" s="84"/>
      <c r="BV1823" s="84"/>
      <c r="BW1823" s="84"/>
      <c r="BX1823" s="84"/>
      <c r="BY1823" s="84"/>
      <c r="BZ1823" s="84"/>
      <c r="CA1823" s="84"/>
      <c r="CB1823" s="84"/>
      <c r="CC1823" s="84"/>
      <c r="CD1823" s="84"/>
      <c r="CE1823" s="84"/>
      <c r="CF1823" s="84"/>
      <c r="CG1823" s="84"/>
      <c r="CH1823" s="84"/>
      <c r="CI1823" s="84"/>
      <c r="CJ1823" s="84"/>
      <c r="CK1823" s="84"/>
      <c r="CL1823" s="84"/>
    </row>
    <row r="1824" spans="66:90" s="354" customFormat="1" x14ac:dyDescent="0.2">
      <c r="BN1824" s="84"/>
      <c r="BO1824" s="84"/>
      <c r="BP1824" s="84"/>
      <c r="BQ1824" s="84"/>
      <c r="BR1824" s="84"/>
      <c r="BS1824" s="84"/>
      <c r="BT1824" s="84"/>
      <c r="BU1824" s="84"/>
      <c r="BV1824" s="84"/>
      <c r="BW1824" s="84"/>
      <c r="BX1824" s="84"/>
      <c r="BY1824" s="84"/>
      <c r="BZ1824" s="84"/>
      <c r="CA1824" s="84"/>
      <c r="CB1824" s="84"/>
      <c r="CC1824" s="84"/>
      <c r="CD1824" s="84"/>
      <c r="CE1824" s="84"/>
      <c r="CF1824" s="84"/>
      <c r="CG1824" s="84"/>
      <c r="CH1824" s="84"/>
      <c r="CI1824" s="84"/>
      <c r="CJ1824" s="84"/>
      <c r="CK1824" s="84"/>
      <c r="CL1824" s="84"/>
    </row>
    <row r="1825" spans="66:90" s="354" customFormat="1" x14ac:dyDescent="0.2">
      <c r="BN1825" s="84"/>
      <c r="BO1825" s="84"/>
      <c r="BP1825" s="84"/>
      <c r="BQ1825" s="84"/>
      <c r="BR1825" s="84"/>
      <c r="BS1825" s="84"/>
      <c r="BT1825" s="84"/>
      <c r="BU1825" s="84"/>
      <c r="BV1825" s="84"/>
      <c r="BW1825" s="84"/>
      <c r="BX1825" s="84"/>
      <c r="BY1825" s="84"/>
      <c r="BZ1825" s="84"/>
      <c r="CA1825" s="84"/>
      <c r="CB1825" s="84"/>
      <c r="CC1825" s="84"/>
      <c r="CD1825" s="84"/>
      <c r="CE1825" s="84"/>
      <c r="CF1825" s="84"/>
      <c r="CG1825" s="84"/>
      <c r="CH1825" s="84"/>
      <c r="CI1825" s="84"/>
      <c r="CJ1825" s="84"/>
      <c r="CK1825" s="84"/>
      <c r="CL1825" s="84"/>
    </row>
    <row r="1826" spans="66:90" s="354" customFormat="1" x14ac:dyDescent="0.2">
      <c r="BN1826" s="84"/>
      <c r="BO1826" s="84"/>
      <c r="BP1826" s="84"/>
      <c r="BQ1826" s="84"/>
      <c r="BR1826" s="84"/>
      <c r="BS1826" s="84"/>
      <c r="BT1826" s="84"/>
      <c r="BU1826" s="84"/>
      <c r="BV1826" s="84"/>
      <c r="BW1826" s="84"/>
      <c r="BX1826" s="84"/>
      <c r="BY1826" s="84"/>
      <c r="BZ1826" s="84"/>
      <c r="CA1826" s="84"/>
      <c r="CB1826" s="84"/>
      <c r="CC1826" s="84"/>
      <c r="CD1826" s="84"/>
      <c r="CE1826" s="84"/>
      <c r="CF1826" s="84"/>
      <c r="CG1826" s="84"/>
      <c r="CH1826" s="84"/>
      <c r="CI1826" s="84"/>
      <c r="CJ1826" s="84"/>
      <c r="CK1826" s="84"/>
      <c r="CL1826" s="84"/>
    </row>
    <row r="1827" spans="66:90" s="354" customFormat="1" x14ac:dyDescent="0.2">
      <c r="BN1827" s="84"/>
      <c r="BO1827" s="84"/>
      <c r="BP1827" s="84"/>
      <c r="BQ1827" s="84"/>
      <c r="BR1827" s="84"/>
      <c r="BS1827" s="84"/>
      <c r="BT1827" s="84"/>
      <c r="BU1827" s="84"/>
      <c r="BV1827" s="84"/>
      <c r="BW1827" s="84"/>
      <c r="BX1827" s="84"/>
      <c r="BY1827" s="84"/>
      <c r="BZ1827" s="84"/>
      <c r="CA1827" s="84"/>
      <c r="CB1827" s="84"/>
      <c r="CC1827" s="84"/>
      <c r="CD1827" s="84"/>
      <c r="CE1827" s="84"/>
      <c r="CF1827" s="84"/>
      <c r="CG1827" s="84"/>
      <c r="CH1827" s="84"/>
      <c r="CI1827" s="84"/>
      <c r="CJ1827" s="84"/>
      <c r="CK1827" s="84"/>
      <c r="CL1827" s="84"/>
    </row>
    <row r="1828" spans="66:90" s="354" customFormat="1" x14ac:dyDescent="0.2">
      <c r="BN1828" s="84"/>
      <c r="BO1828" s="84"/>
      <c r="BP1828" s="84"/>
      <c r="BQ1828" s="84"/>
      <c r="BR1828" s="84"/>
      <c r="BS1828" s="84"/>
      <c r="BT1828" s="84"/>
      <c r="BU1828" s="84"/>
      <c r="BV1828" s="84"/>
      <c r="BW1828" s="84"/>
      <c r="BX1828" s="84"/>
      <c r="BY1828" s="84"/>
      <c r="BZ1828" s="84"/>
      <c r="CA1828" s="84"/>
      <c r="CB1828" s="84"/>
      <c r="CC1828" s="84"/>
      <c r="CD1828" s="84"/>
      <c r="CE1828" s="84"/>
      <c r="CF1828" s="84"/>
      <c r="CG1828" s="84"/>
      <c r="CH1828" s="84"/>
      <c r="CI1828" s="84"/>
      <c r="CJ1828" s="84"/>
      <c r="CK1828" s="84"/>
      <c r="CL1828" s="84"/>
    </row>
    <row r="1829" spans="66:90" s="354" customFormat="1" x14ac:dyDescent="0.2">
      <c r="BN1829" s="84"/>
      <c r="BO1829" s="84"/>
      <c r="BP1829" s="84"/>
      <c r="BQ1829" s="84"/>
      <c r="BR1829" s="84"/>
      <c r="BS1829" s="84"/>
      <c r="BT1829" s="84"/>
      <c r="BU1829" s="84"/>
      <c r="BV1829" s="84"/>
      <c r="BW1829" s="84"/>
      <c r="BX1829" s="84"/>
      <c r="BY1829" s="84"/>
      <c r="BZ1829" s="84"/>
      <c r="CA1829" s="84"/>
      <c r="CB1829" s="84"/>
      <c r="CC1829" s="84"/>
      <c r="CD1829" s="84"/>
      <c r="CE1829" s="84"/>
      <c r="CF1829" s="84"/>
      <c r="CG1829" s="84"/>
      <c r="CH1829" s="84"/>
      <c r="CI1829" s="84"/>
      <c r="CJ1829" s="84"/>
      <c r="CK1829" s="84"/>
      <c r="CL1829" s="84"/>
    </row>
    <row r="1830" spans="66:90" s="354" customFormat="1" x14ac:dyDescent="0.2">
      <c r="BN1830" s="84"/>
      <c r="BO1830" s="84"/>
      <c r="BP1830" s="84"/>
      <c r="BQ1830" s="84"/>
      <c r="BR1830" s="84"/>
      <c r="BS1830" s="84"/>
      <c r="BT1830" s="84"/>
      <c r="BU1830" s="84"/>
      <c r="BV1830" s="84"/>
      <c r="BW1830" s="84"/>
      <c r="BX1830" s="84"/>
      <c r="BY1830" s="84"/>
      <c r="BZ1830" s="84"/>
      <c r="CA1830" s="84"/>
      <c r="CB1830" s="84"/>
      <c r="CC1830" s="84"/>
      <c r="CD1830" s="84"/>
      <c r="CE1830" s="84"/>
      <c r="CF1830" s="84"/>
      <c r="CG1830" s="84"/>
      <c r="CH1830" s="84"/>
      <c r="CI1830" s="84"/>
      <c r="CJ1830" s="84"/>
      <c r="CK1830" s="84"/>
      <c r="CL1830" s="84"/>
    </row>
    <row r="1831" spans="66:90" s="354" customFormat="1" x14ac:dyDescent="0.2">
      <c r="BN1831" s="84"/>
      <c r="BO1831" s="84"/>
      <c r="BP1831" s="84"/>
      <c r="BQ1831" s="84"/>
      <c r="BR1831" s="84"/>
      <c r="BS1831" s="84"/>
      <c r="BT1831" s="84"/>
      <c r="BU1831" s="84"/>
      <c r="BV1831" s="84"/>
      <c r="BW1831" s="84"/>
      <c r="BX1831" s="84"/>
      <c r="BY1831" s="84"/>
      <c r="BZ1831" s="84"/>
      <c r="CA1831" s="84"/>
      <c r="CB1831" s="84"/>
      <c r="CC1831" s="84"/>
      <c r="CD1831" s="84"/>
      <c r="CE1831" s="84"/>
      <c r="CF1831" s="84"/>
      <c r="CG1831" s="84"/>
      <c r="CH1831" s="84"/>
      <c r="CI1831" s="84"/>
      <c r="CJ1831" s="84"/>
      <c r="CK1831" s="84"/>
      <c r="CL1831" s="84"/>
    </row>
    <row r="1832" spans="66:90" s="354" customFormat="1" x14ac:dyDescent="0.2">
      <c r="BN1832" s="84"/>
      <c r="BO1832" s="84"/>
      <c r="BP1832" s="84"/>
      <c r="BQ1832" s="84"/>
      <c r="BR1832" s="84"/>
      <c r="BS1832" s="84"/>
      <c r="BT1832" s="84"/>
      <c r="BU1832" s="84"/>
      <c r="BV1832" s="84"/>
      <c r="BW1832" s="84"/>
      <c r="BX1832" s="84"/>
      <c r="BY1832" s="84"/>
      <c r="BZ1832" s="84"/>
      <c r="CA1832" s="84"/>
      <c r="CB1832" s="84"/>
      <c r="CC1832" s="84"/>
      <c r="CD1832" s="84"/>
      <c r="CE1832" s="84"/>
      <c r="CF1832" s="84"/>
      <c r="CG1832" s="84"/>
      <c r="CH1832" s="84"/>
      <c r="CI1832" s="84"/>
      <c r="CJ1832" s="84"/>
      <c r="CK1832" s="84"/>
      <c r="CL1832" s="84"/>
    </row>
    <row r="1833" spans="66:90" s="354" customFormat="1" x14ac:dyDescent="0.2">
      <c r="BN1833" s="84"/>
      <c r="BO1833" s="84"/>
      <c r="BP1833" s="84"/>
      <c r="BQ1833" s="84"/>
      <c r="BR1833" s="84"/>
      <c r="BS1833" s="84"/>
      <c r="BT1833" s="84"/>
      <c r="BU1833" s="84"/>
      <c r="BV1833" s="84"/>
      <c r="BW1833" s="84"/>
      <c r="BX1833" s="84"/>
      <c r="BY1833" s="84"/>
      <c r="BZ1833" s="84"/>
      <c r="CA1833" s="84"/>
      <c r="CB1833" s="84"/>
      <c r="CC1833" s="84"/>
      <c r="CD1833" s="84"/>
      <c r="CE1833" s="84"/>
      <c r="CF1833" s="84"/>
      <c r="CG1833" s="84"/>
      <c r="CH1833" s="84"/>
      <c r="CI1833" s="84"/>
      <c r="CJ1833" s="84"/>
      <c r="CK1833" s="84"/>
      <c r="CL1833" s="84"/>
    </row>
    <row r="1834" spans="66:90" s="354" customFormat="1" x14ac:dyDescent="0.2">
      <c r="BN1834" s="84"/>
      <c r="BO1834" s="84"/>
      <c r="BP1834" s="84"/>
      <c r="BQ1834" s="84"/>
      <c r="BR1834" s="84"/>
      <c r="BS1834" s="84"/>
      <c r="BT1834" s="84"/>
      <c r="BU1834" s="84"/>
      <c r="BV1834" s="84"/>
      <c r="BW1834" s="84"/>
      <c r="BX1834" s="84"/>
      <c r="BY1834" s="84"/>
      <c r="BZ1834" s="84"/>
      <c r="CA1834" s="84"/>
      <c r="CB1834" s="84"/>
      <c r="CC1834" s="84"/>
      <c r="CD1834" s="84"/>
      <c r="CE1834" s="84"/>
      <c r="CF1834" s="84"/>
      <c r="CG1834" s="84"/>
      <c r="CH1834" s="84"/>
      <c r="CI1834" s="84"/>
      <c r="CJ1834" s="84"/>
      <c r="CK1834" s="84"/>
      <c r="CL1834" s="84"/>
    </row>
    <row r="1835" spans="66:90" s="354" customFormat="1" x14ac:dyDescent="0.2">
      <c r="BN1835" s="84"/>
      <c r="BO1835" s="84"/>
      <c r="BP1835" s="84"/>
      <c r="BQ1835" s="84"/>
      <c r="BR1835" s="84"/>
      <c r="BS1835" s="84"/>
      <c r="BT1835" s="84"/>
      <c r="BU1835" s="84"/>
      <c r="BV1835" s="84"/>
      <c r="BW1835" s="84"/>
      <c r="BX1835" s="84"/>
      <c r="BY1835" s="84"/>
      <c r="BZ1835" s="84"/>
      <c r="CA1835" s="84"/>
      <c r="CB1835" s="84"/>
      <c r="CC1835" s="84"/>
      <c r="CD1835" s="84"/>
      <c r="CE1835" s="84"/>
      <c r="CF1835" s="84"/>
      <c r="CG1835" s="84"/>
      <c r="CH1835" s="84"/>
      <c r="CI1835" s="84"/>
      <c r="CJ1835" s="84"/>
      <c r="CK1835" s="84"/>
      <c r="CL1835" s="84"/>
    </row>
    <row r="1836" spans="66:90" s="354" customFormat="1" x14ac:dyDescent="0.2">
      <c r="BN1836" s="84"/>
      <c r="BO1836" s="84"/>
      <c r="BP1836" s="84"/>
      <c r="BQ1836" s="84"/>
      <c r="BR1836" s="84"/>
      <c r="BS1836" s="84"/>
      <c r="BT1836" s="84"/>
      <c r="BU1836" s="84"/>
      <c r="BV1836" s="84"/>
      <c r="BW1836" s="84"/>
      <c r="BX1836" s="84"/>
      <c r="BY1836" s="84"/>
      <c r="BZ1836" s="84"/>
      <c r="CA1836" s="84"/>
      <c r="CB1836" s="84"/>
      <c r="CC1836" s="84"/>
      <c r="CD1836" s="84"/>
      <c r="CE1836" s="84"/>
      <c r="CF1836" s="84"/>
      <c r="CG1836" s="84"/>
      <c r="CH1836" s="84"/>
      <c r="CI1836" s="84"/>
      <c r="CJ1836" s="84"/>
      <c r="CK1836" s="84"/>
      <c r="CL1836" s="84"/>
    </row>
    <row r="1837" spans="66:90" s="354" customFormat="1" x14ac:dyDescent="0.2">
      <c r="BN1837" s="84"/>
      <c r="BO1837" s="84"/>
      <c r="BP1837" s="84"/>
      <c r="BQ1837" s="84"/>
      <c r="BR1837" s="84"/>
      <c r="BS1837" s="84"/>
      <c r="BT1837" s="84"/>
      <c r="BU1837" s="84"/>
      <c r="BV1837" s="84"/>
      <c r="BW1837" s="84"/>
      <c r="BX1837" s="84"/>
      <c r="BY1837" s="84"/>
      <c r="BZ1837" s="84"/>
      <c r="CA1837" s="84"/>
      <c r="CB1837" s="84"/>
      <c r="CC1837" s="84"/>
      <c r="CD1837" s="84"/>
      <c r="CE1837" s="84"/>
      <c r="CF1837" s="84"/>
      <c r="CG1837" s="84"/>
      <c r="CH1837" s="84"/>
      <c r="CI1837" s="84"/>
      <c r="CJ1837" s="84"/>
      <c r="CK1837" s="84"/>
      <c r="CL1837" s="84"/>
    </row>
    <row r="1838" spans="66:90" s="354" customFormat="1" x14ac:dyDescent="0.2">
      <c r="BN1838" s="84"/>
      <c r="BO1838" s="84"/>
      <c r="BP1838" s="84"/>
      <c r="BQ1838" s="84"/>
      <c r="BR1838" s="84"/>
      <c r="BS1838" s="84"/>
      <c r="BT1838" s="84"/>
      <c r="BU1838" s="84"/>
      <c r="BV1838" s="84"/>
      <c r="BW1838" s="84"/>
      <c r="BX1838" s="84"/>
      <c r="BY1838" s="84"/>
      <c r="BZ1838" s="84"/>
      <c r="CA1838" s="84"/>
      <c r="CB1838" s="84"/>
      <c r="CC1838" s="84"/>
      <c r="CD1838" s="84"/>
      <c r="CE1838" s="84"/>
      <c r="CF1838" s="84"/>
      <c r="CG1838" s="84"/>
      <c r="CH1838" s="84"/>
      <c r="CI1838" s="84"/>
      <c r="CJ1838" s="84"/>
      <c r="CK1838" s="84"/>
      <c r="CL1838" s="84"/>
    </row>
    <row r="1839" spans="66:90" s="354" customFormat="1" x14ac:dyDescent="0.2">
      <c r="BN1839" s="84"/>
      <c r="BO1839" s="84"/>
      <c r="BP1839" s="84"/>
      <c r="BQ1839" s="84"/>
      <c r="BR1839" s="84"/>
      <c r="BS1839" s="84"/>
      <c r="BT1839" s="84"/>
      <c r="BU1839" s="84"/>
      <c r="BV1839" s="84"/>
      <c r="BW1839" s="84"/>
      <c r="BX1839" s="84"/>
      <c r="BY1839" s="84"/>
      <c r="BZ1839" s="84"/>
      <c r="CA1839" s="84"/>
      <c r="CB1839" s="84"/>
      <c r="CC1839" s="84"/>
      <c r="CD1839" s="84"/>
      <c r="CE1839" s="84"/>
      <c r="CF1839" s="84"/>
      <c r="CG1839" s="84"/>
      <c r="CH1839" s="84"/>
      <c r="CI1839" s="84"/>
      <c r="CJ1839" s="84"/>
      <c r="CK1839" s="84"/>
      <c r="CL1839" s="84"/>
    </row>
    <row r="1840" spans="66:90" s="354" customFormat="1" x14ac:dyDescent="0.2">
      <c r="BN1840" s="84"/>
      <c r="BO1840" s="84"/>
      <c r="BP1840" s="84"/>
      <c r="BQ1840" s="84"/>
      <c r="BR1840" s="84"/>
      <c r="BS1840" s="84"/>
      <c r="BT1840" s="84"/>
      <c r="BU1840" s="84"/>
      <c r="BV1840" s="84"/>
      <c r="BW1840" s="84"/>
      <c r="BX1840" s="84"/>
      <c r="BY1840" s="84"/>
      <c r="BZ1840" s="84"/>
      <c r="CA1840" s="84"/>
      <c r="CB1840" s="84"/>
      <c r="CC1840" s="84"/>
      <c r="CD1840" s="84"/>
      <c r="CE1840" s="84"/>
      <c r="CF1840" s="84"/>
      <c r="CG1840" s="84"/>
      <c r="CH1840" s="84"/>
      <c r="CI1840" s="84"/>
      <c r="CJ1840" s="84"/>
      <c r="CK1840" s="84"/>
      <c r="CL1840" s="84"/>
    </row>
    <row r="1841" spans="66:90" s="354" customFormat="1" x14ac:dyDescent="0.2">
      <c r="BN1841" s="84"/>
      <c r="BO1841" s="84"/>
      <c r="BP1841" s="84"/>
      <c r="BQ1841" s="84"/>
      <c r="BR1841" s="84"/>
      <c r="BS1841" s="84"/>
      <c r="BT1841" s="84"/>
      <c r="BU1841" s="84"/>
      <c r="BV1841" s="84"/>
      <c r="BW1841" s="84"/>
      <c r="BX1841" s="84"/>
      <c r="BY1841" s="84"/>
      <c r="BZ1841" s="84"/>
      <c r="CA1841" s="84"/>
      <c r="CB1841" s="84"/>
      <c r="CC1841" s="84"/>
      <c r="CD1841" s="84"/>
      <c r="CE1841" s="84"/>
      <c r="CF1841" s="84"/>
      <c r="CG1841" s="84"/>
      <c r="CH1841" s="84"/>
      <c r="CI1841" s="84"/>
      <c r="CJ1841" s="84"/>
      <c r="CK1841" s="84"/>
      <c r="CL1841" s="84"/>
    </row>
    <row r="1842" spans="66:90" s="354" customFormat="1" x14ac:dyDescent="0.2">
      <c r="BN1842" s="84"/>
      <c r="BO1842" s="84"/>
      <c r="BP1842" s="84"/>
      <c r="BQ1842" s="84"/>
      <c r="BR1842" s="84"/>
      <c r="BS1842" s="84"/>
      <c r="BT1842" s="84"/>
      <c r="BU1842" s="84"/>
      <c r="BV1842" s="84"/>
      <c r="BW1842" s="84"/>
      <c r="BX1842" s="84"/>
      <c r="BY1842" s="84"/>
      <c r="BZ1842" s="84"/>
      <c r="CA1842" s="84"/>
      <c r="CB1842" s="84"/>
      <c r="CC1842" s="84"/>
      <c r="CD1842" s="84"/>
      <c r="CE1842" s="84"/>
      <c r="CF1842" s="84"/>
      <c r="CG1842" s="84"/>
      <c r="CH1842" s="84"/>
      <c r="CI1842" s="84"/>
      <c r="CJ1842" s="84"/>
      <c r="CK1842" s="84"/>
      <c r="CL1842" s="84"/>
    </row>
    <row r="1843" spans="66:90" s="354" customFormat="1" x14ac:dyDescent="0.2">
      <c r="BN1843" s="84"/>
      <c r="BO1843" s="84"/>
      <c r="BP1843" s="84"/>
      <c r="BQ1843" s="84"/>
      <c r="BR1843" s="84"/>
      <c r="BS1843" s="84"/>
      <c r="BT1843" s="84"/>
      <c r="BU1843" s="84"/>
      <c r="BV1843" s="84"/>
      <c r="BW1843" s="84"/>
      <c r="BX1843" s="84"/>
      <c r="BY1843" s="84"/>
      <c r="BZ1843" s="84"/>
      <c r="CA1843" s="84"/>
      <c r="CB1843" s="84"/>
      <c r="CC1843" s="84"/>
      <c r="CD1843" s="84"/>
      <c r="CE1843" s="84"/>
      <c r="CF1843" s="84"/>
      <c r="CG1843" s="84"/>
      <c r="CH1843" s="84"/>
      <c r="CI1843" s="84"/>
      <c r="CJ1843" s="84"/>
      <c r="CK1843" s="84"/>
      <c r="CL1843" s="84"/>
    </row>
    <row r="1844" spans="66:90" s="354" customFormat="1" x14ac:dyDescent="0.2">
      <c r="BN1844" s="84"/>
      <c r="BO1844" s="84"/>
      <c r="BP1844" s="84"/>
      <c r="BQ1844" s="84"/>
      <c r="BR1844" s="84"/>
      <c r="BS1844" s="84"/>
      <c r="BT1844" s="84"/>
      <c r="BU1844" s="84"/>
      <c r="BV1844" s="84"/>
      <c r="BW1844" s="84"/>
      <c r="BX1844" s="84"/>
      <c r="BY1844" s="84"/>
      <c r="BZ1844" s="84"/>
      <c r="CA1844" s="84"/>
      <c r="CB1844" s="84"/>
      <c r="CC1844" s="84"/>
      <c r="CD1844" s="84"/>
      <c r="CE1844" s="84"/>
      <c r="CF1844" s="84"/>
      <c r="CG1844" s="84"/>
      <c r="CH1844" s="84"/>
      <c r="CI1844" s="84"/>
      <c r="CJ1844" s="84"/>
      <c r="CK1844" s="84"/>
      <c r="CL1844" s="84"/>
    </row>
    <row r="1845" spans="66:90" s="354" customFormat="1" x14ac:dyDescent="0.2">
      <c r="BN1845" s="84"/>
      <c r="BO1845" s="84"/>
      <c r="BP1845" s="84"/>
      <c r="BQ1845" s="84"/>
      <c r="BR1845" s="84"/>
      <c r="BS1845" s="84"/>
      <c r="BT1845" s="84"/>
      <c r="BU1845" s="84"/>
      <c r="BV1845" s="84"/>
      <c r="BW1845" s="84"/>
      <c r="BX1845" s="84"/>
      <c r="BY1845" s="84"/>
      <c r="BZ1845" s="84"/>
      <c r="CA1845" s="84"/>
      <c r="CB1845" s="84"/>
      <c r="CC1845" s="84"/>
      <c r="CD1845" s="84"/>
      <c r="CE1845" s="84"/>
      <c r="CF1845" s="84"/>
      <c r="CG1845" s="84"/>
      <c r="CH1845" s="84"/>
      <c r="CI1845" s="84"/>
      <c r="CJ1845" s="84"/>
      <c r="CK1845" s="84"/>
      <c r="CL1845" s="84"/>
    </row>
    <row r="1846" spans="66:90" s="354" customFormat="1" x14ac:dyDescent="0.2">
      <c r="BN1846" s="84"/>
      <c r="BO1846" s="84"/>
      <c r="BP1846" s="84"/>
      <c r="BQ1846" s="84"/>
      <c r="BR1846" s="84"/>
      <c r="BS1846" s="84"/>
      <c r="BT1846" s="84"/>
      <c r="BU1846" s="84"/>
      <c r="BV1846" s="84"/>
      <c r="BW1846" s="84"/>
      <c r="BX1846" s="84"/>
      <c r="BY1846" s="84"/>
      <c r="BZ1846" s="84"/>
      <c r="CA1846" s="84"/>
      <c r="CB1846" s="84"/>
      <c r="CC1846" s="84"/>
      <c r="CD1846" s="84"/>
      <c r="CE1846" s="84"/>
      <c r="CF1846" s="84"/>
      <c r="CG1846" s="84"/>
      <c r="CH1846" s="84"/>
      <c r="CI1846" s="84"/>
      <c r="CJ1846" s="84"/>
      <c r="CK1846" s="84"/>
      <c r="CL1846" s="84"/>
    </row>
    <row r="1847" spans="66:90" s="354" customFormat="1" x14ac:dyDescent="0.2">
      <c r="BN1847" s="84"/>
      <c r="BO1847" s="84"/>
      <c r="BP1847" s="84"/>
      <c r="BQ1847" s="84"/>
      <c r="BR1847" s="84"/>
      <c r="BS1847" s="84"/>
      <c r="BT1847" s="84"/>
      <c r="BU1847" s="84"/>
      <c r="BV1847" s="84"/>
      <c r="BW1847" s="84"/>
      <c r="BX1847" s="84"/>
      <c r="BY1847" s="84"/>
      <c r="BZ1847" s="84"/>
      <c r="CA1847" s="84"/>
      <c r="CB1847" s="84"/>
      <c r="CC1847" s="84"/>
      <c r="CD1847" s="84"/>
      <c r="CE1847" s="84"/>
      <c r="CF1847" s="84"/>
      <c r="CG1847" s="84"/>
      <c r="CH1847" s="84"/>
      <c r="CI1847" s="84"/>
      <c r="CJ1847" s="84"/>
      <c r="CK1847" s="84"/>
      <c r="CL1847" s="84"/>
    </row>
    <row r="1848" spans="66:90" s="354" customFormat="1" x14ac:dyDescent="0.2">
      <c r="BN1848" s="84"/>
      <c r="BO1848" s="84"/>
      <c r="BP1848" s="84"/>
      <c r="BQ1848" s="84"/>
      <c r="BR1848" s="84"/>
      <c r="BS1848" s="84"/>
      <c r="BT1848" s="84"/>
      <c r="BU1848" s="84"/>
      <c r="BV1848" s="84"/>
      <c r="BW1848" s="84"/>
      <c r="BX1848" s="84"/>
      <c r="BY1848" s="84"/>
      <c r="BZ1848" s="84"/>
      <c r="CA1848" s="84"/>
      <c r="CB1848" s="84"/>
      <c r="CC1848" s="84"/>
      <c r="CD1848" s="84"/>
      <c r="CE1848" s="84"/>
      <c r="CF1848" s="84"/>
      <c r="CG1848" s="84"/>
      <c r="CH1848" s="84"/>
      <c r="CI1848" s="84"/>
      <c r="CJ1848" s="84"/>
      <c r="CK1848" s="84"/>
      <c r="CL1848" s="84"/>
    </row>
    <row r="1849" spans="66:90" s="354" customFormat="1" x14ac:dyDescent="0.2">
      <c r="BN1849" s="84"/>
      <c r="BO1849" s="84"/>
      <c r="BP1849" s="84"/>
      <c r="BQ1849" s="84"/>
      <c r="BR1849" s="84"/>
      <c r="BS1849" s="84"/>
      <c r="BT1849" s="84"/>
      <c r="BU1849" s="84"/>
      <c r="BV1849" s="84"/>
      <c r="BW1849" s="84"/>
      <c r="BX1849" s="84"/>
      <c r="BY1849" s="84"/>
      <c r="BZ1849" s="84"/>
      <c r="CA1849" s="84"/>
      <c r="CB1849" s="84"/>
      <c r="CC1849" s="84"/>
      <c r="CD1849" s="84"/>
      <c r="CE1849" s="84"/>
      <c r="CF1849" s="84"/>
      <c r="CG1849" s="84"/>
      <c r="CH1849" s="84"/>
      <c r="CI1849" s="84"/>
      <c r="CJ1849" s="84"/>
      <c r="CK1849" s="84"/>
      <c r="CL1849" s="84"/>
    </row>
    <row r="1850" spans="66:90" s="354" customFormat="1" x14ac:dyDescent="0.2">
      <c r="BN1850" s="84"/>
      <c r="BO1850" s="84"/>
      <c r="BP1850" s="84"/>
      <c r="BQ1850" s="84"/>
      <c r="BR1850" s="84"/>
      <c r="BS1850" s="84"/>
      <c r="BT1850" s="84"/>
      <c r="BU1850" s="84"/>
      <c r="BV1850" s="84"/>
      <c r="BW1850" s="84"/>
      <c r="BX1850" s="84"/>
      <c r="BY1850" s="84"/>
      <c r="BZ1850" s="84"/>
      <c r="CA1850" s="84"/>
      <c r="CB1850" s="84"/>
      <c r="CC1850" s="84"/>
      <c r="CD1850" s="84"/>
      <c r="CE1850" s="84"/>
      <c r="CF1850" s="84"/>
      <c r="CG1850" s="84"/>
      <c r="CH1850" s="84"/>
      <c r="CI1850" s="84"/>
      <c r="CJ1850" s="84"/>
      <c r="CK1850" s="84"/>
      <c r="CL1850" s="84"/>
    </row>
    <row r="1851" spans="66:90" s="354" customFormat="1" x14ac:dyDescent="0.2">
      <c r="BN1851" s="84"/>
      <c r="BO1851" s="84"/>
      <c r="BP1851" s="84"/>
      <c r="BQ1851" s="84"/>
      <c r="BR1851" s="84"/>
      <c r="BS1851" s="84"/>
      <c r="BT1851" s="84"/>
      <c r="BU1851" s="84"/>
      <c r="BV1851" s="84"/>
      <c r="BW1851" s="84"/>
      <c r="BX1851" s="84"/>
      <c r="BY1851" s="84"/>
      <c r="BZ1851" s="84"/>
      <c r="CA1851" s="84"/>
      <c r="CB1851" s="84"/>
      <c r="CC1851" s="84"/>
      <c r="CD1851" s="84"/>
      <c r="CE1851" s="84"/>
      <c r="CF1851" s="84"/>
      <c r="CG1851" s="84"/>
      <c r="CH1851" s="84"/>
      <c r="CI1851" s="84"/>
      <c r="CJ1851" s="84"/>
      <c r="CK1851" s="84"/>
      <c r="CL1851" s="84"/>
    </row>
    <row r="1852" spans="66:90" s="354" customFormat="1" x14ac:dyDescent="0.2">
      <c r="BN1852" s="84"/>
      <c r="BO1852" s="84"/>
      <c r="BP1852" s="84"/>
      <c r="BQ1852" s="84"/>
      <c r="BR1852" s="84"/>
      <c r="BS1852" s="84"/>
      <c r="BT1852" s="84"/>
      <c r="BU1852" s="84"/>
      <c r="BV1852" s="84"/>
      <c r="BW1852" s="84"/>
      <c r="BX1852" s="84"/>
      <c r="BY1852" s="84"/>
      <c r="BZ1852" s="84"/>
      <c r="CA1852" s="84"/>
      <c r="CB1852" s="84"/>
      <c r="CC1852" s="84"/>
      <c r="CD1852" s="84"/>
      <c r="CE1852" s="84"/>
      <c r="CF1852" s="84"/>
      <c r="CG1852" s="84"/>
      <c r="CH1852" s="84"/>
      <c r="CI1852" s="84"/>
      <c r="CJ1852" s="84"/>
      <c r="CK1852" s="84"/>
      <c r="CL1852" s="84"/>
    </row>
    <row r="1853" spans="66:90" s="354" customFormat="1" x14ac:dyDescent="0.2">
      <c r="BN1853" s="84"/>
      <c r="BO1853" s="84"/>
      <c r="BP1853" s="84"/>
      <c r="BQ1853" s="84"/>
      <c r="BR1853" s="84"/>
      <c r="BS1853" s="84"/>
      <c r="BT1853" s="84"/>
      <c r="BU1853" s="84"/>
      <c r="BV1853" s="84"/>
      <c r="BW1853" s="84"/>
      <c r="BX1853" s="84"/>
      <c r="BY1853" s="84"/>
      <c r="BZ1853" s="84"/>
      <c r="CA1853" s="84"/>
      <c r="CB1853" s="84"/>
      <c r="CC1853" s="84"/>
      <c r="CD1853" s="84"/>
      <c r="CE1853" s="84"/>
      <c r="CF1853" s="84"/>
      <c r="CG1853" s="84"/>
      <c r="CH1853" s="84"/>
      <c r="CI1853" s="84"/>
      <c r="CJ1853" s="84"/>
      <c r="CK1853" s="84"/>
      <c r="CL1853" s="84"/>
    </row>
    <row r="1854" spans="66:90" s="354" customFormat="1" x14ac:dyDescent="0.2">
      <c r="BN1854" s="84"/>
      <c r="BO1854" s="84"/>
      <c r="BP1854" s="84"/>
      <c r="BQ1854" s="84"/>
      <c r="BR1854" s="84"/>
      <c r="BS1854" s="84"/>
      <c r="BT1854" s="84"/>
      <c r="BU1854" s="84"/>
      <c r="BV1854" s="84"/>
      <c r="BW1854" s="84"/>
      <c r="BX1854" s="84"/>
      <c r="BY1854" s="84"/>
      <c r="BZ1854" s="84"/>
      <c r="CA1854" s="84"/>
      <c r="CB1854" s="84"/>
      <c r="CC1854" s="84"/>
      <c r="CD1854" s="84"/>
      <c r="CE1854" s="84"/>
      <c r="CF1854" s="84"/>
      <c r="CG1854" s="84"/>
      <c r="CH1854" s="84"/>
      <c r="CI1854" s="84"/>
      <c r="CJ1854" s="84"/>
      <c r="CK1854" s="84"/>
      <c r="CL1854" s="84"/>
    </row>
    <row r="1855" spans="66:90" s="354" customFormat="1" x14ac:dyDescent="0.2">
      <c r="BN1855" s="84"/>
      <c r="BO1855" s="84"/>
      <c r="BP1855" s="84"/>
      <c r="BQ1855" s="84"/>
      <c r="BR1855" s="84"/>
      <c r="BS1855" s="84"/>
      <c r="BT1855" s="84"/>
      <c r="BU1855" s="84"/>
      <c r="BV1855" s="84"/>
      <c r="BW1855" s="84"/>
      <c r="BX1855" s="84"/>
      <c r="BY1855" s="84"/>
      <c r="BZ1855" s="84"/>
      <c r="CA1855" s="84"/>
      <c r="CB1855" s="84"/>
      <c r="CC1855" s="84"/>
      <c r="CD1855" s="84"/>
      <c r="CE1855" s="84"/>
      <c r="CF1855" s="84"/>
      <c r="CG1855" s="84"/>
      <c r="CH1855" s="84"/>
      <c r="CI1855" s="84"/>
      <c r="CJ1855" s="84"/>
      <c r="CK1855" s="84"/>
      <c r="CL1855" s="84"/>
    </row>
    <row r="1856" spans="66:90" s="354" customFormat="1" x14ac:dyDescent="0.2">
      <c r="BN1856" s="84"/>
      <c r="BO1856" s="84"/>
      <c r="BP1856" s="84"/>
      <c r="BQ1856" s="84"/>
      <c r="BR1856" s="84"/>
      <c r="BS1856" s="84"/>
      <c r="BT1856" s="84"/>
      <c r="BU1856" s="84"/>
      <c r="BV1856" s="84"/>
      <c r="BW1856" s="84"/>
      <c r="BX1856" s="84"/>
      <c r="BY1856" s="84"/>
      <c r="BZ1856" s="84"/>
      <c r="CA1856" s="84"/>
      <c r="CB1856" s="84"/>
      <c r="CC1856" s="84"/>
      <c r="CD1856" s="84"/>
      <c r="CE1856" s="84"/>
      <c r="CF1856" s="84"/>
      <c r="CG1856" s="84"/>
      <c r="CH1856" s="84"/>
      <c r="CI1856" s="84"/>
      <c r="CJ1856" s="84"/>
      <c r="CK1856" s="84"/>
      <c r="CL1856" s="84"/>
    </row>
    <row r="1857" spans="66:90" s="354" customFormat="1" x14ac:dyDescent="0.2">
      <c r="BN1857" s="84"/>
      <c r="BO1857" s="84"/>
      <c r="BP1857" s="84"/>
      <c r="BQ1857" s="84"/>
      <c r="BR1857" s="84"/>
      <c r="BS1857" s="84"/>
      <c r="BT1857" s="84"/>
      <c r="BU1857" s="84"/>
      <c r="BV1857" s="84"/>
      <c r="BW1857" s="84"/>
      <c r="BX1857" s="84"/>
      <c r="BY1857" s="84"/>
      <c r="BZ1857" s="84"/>
      <c r="CA1857" s="84"/>
      <c r="CB1857" s="84"/>
      <c r="CC1857" s="84"/>
      <c r="CD1857" s="84"/>
      <c r="CE1857" s="84"/>
      <c r="CF1857" s="84"/>
      <c r="CG1857" s="84"/>
      <c r="CH1857" s="84"/>
      <c r="CI1857" s="84"/>
      <c r="CJ1857" s="84"/>
      <c r="CK1857" s="84"/>
      <c r="CL1857" s="84"/>
    </row>
    <row r="1858" spans="66:90" s="354" customFormat="1" x14ac:dyDescent="0.2">
      <c r="BN1858" s="84"/>
      <c r="BO1858" s="84"/>
      <c r="BP1858" s="84"/>
      <c r="BQ1858" s="84"/>
      <c r="BR1858" s="84"/>
      <c r="BS1858" s="84"/>
      <c r="BT1858" s="84"/>
      <c r="BU1858" s="84"/>
      <c r="BV1858" s="84"/>
      <c r="BW1858" s="84"/>
      <c r="BX1858" s="84"/>
      <c r="BY1858" s="84"/>
      <c r="BZ1858" s="84"/>
      <c r="CA1858" s="84"/>
      <c r="CB1858" s="84"/>
      <c r="CC1858" s="84"/>
      <c r="CD1858" s="84"/>
      <c r="CE1858" s="84"/>
      <c r="CF1858" s="84"/>
      <c r="CG1858" s="84"/>
      <c r="CH1858" s="84"/>
      <c r="CI1858" s="84"/>
      <c r="CJ1858" s="84"/>
      <c r="CK1858" s="84"/>
      <c r="CL1858" s="84"/>
    </row>
    <row r="1859" spans="66:90" s="354" customFormat="1" x14ac:dyDescent="0.2">
      <c r="BN1859" s="84"/>
      <c r="BO1859" s="84"/>
      <c r="BP1859" s="84"/>
      <c r="BQ1859" s="84"/>
      <c r="BR1859" s="84"/>
      <c r="BS1859" s="84"/>
      <c r="BT1859" s="84"/>
      <c r="BU1859" s="84"/>
      <c r="BV1859" s="84"/>
      <c r="BW1859" s="84"/>
      <c r="BX1859" s="84"/>
      <c r="BY1859" s="84"/>
      <c r="BZ1859" s="84"/>
      <c r="CA1859" s="84"/>
      <c r="CB1859" s="84"/>
      <c r="CC1859" s="84"/>
      <c r="CD1859" s="84"/>
      <c r="CE1859" s="84"/>
      <c r="CF1859" s="84"/>
      <c r="CG1859" s="84"/>
      <c r="CH1859" s="84"/>
      <c r="CI1859" s="84"/>
      <c r="CJ1859" s="84"/>
      <c r="CK1859" s="84"/>
      <c r="CL1859" s="84"/>
    </row>
    <row r="1860" spans="66:90" s="354" customFormat="1" x14ac:dyDescent="0.2">
      <c r="BN1860" s="84"/>
      <c r="BO1860" s="84"/>
      <c r="BP1860" s="84"/>
      <c r="BQ1860" s="84"/>
      <c r="BR1860" s="84"/>
      <c r="BS1860" s="84"/>
      <c r="BT1860" s="84"/>
      <c r="BU1860" s="84"/>
      <c r="BV1860" s="84"/>
      <c r="BW1860" s="84"/>
      <c r="BX1860" s="84"/>
      <c r="BY1860" s="84"/>
      <c r="BZ1860" s="84"/>
      <c r="CA1860" s="84"/>
      <c r="CB1860" s="84"/>
      <c r="CC1860" s="84"/>
      <c r="CD1860" s="84"/>
      <c r="CE1860" s="84"/>
      <c r="CF1860" s="84"/>
      <c r="CG1860" s="84"/>
      <c r="CH1860" s="84"/>
      <c r="CI1860" s="84"/>
      <c r="CJ1860" s="84"/>
      <c r="CK1860" s="84"/>
      <c r="CL1860" s="84"/>
    </row>
    <row r="1861" spans="66:90" s="354" customFormat="1" x14ac:dyDescent="0.2">
      <c r="BN1861" s="84"/>
      <c r="BO1861" s="84"/>
      <c r="BP1861" s="84"/>
      <c r="BQ1861" s="84"/>
      <c r="BR1861" s="84"/>
      <c r="BS1861" s="84"/>
      <c r="BT1861" s="84"/>
      <c r="BU1861" s="84"/>
      <c r="BV1861" s="84"/>
      <c r="BW1861" s="84"/>
      <c r="BX1861" s="84"/>
      <c r="BY1861" s="84"/>
      <c r="BZ1861" s="84"/>
      <c r="CA1861" s="84"/>
      <c r="CB1861" s="84"/>
      <c r="CC1861" s="84"/>
      <c r="CD1861" s="84"/>
      <c r="CE1861" s="84"/>
      <c r="CF1861" s="84"/>
      <c r="CG1861" s="84"/>
      <c r="CH1861" s="84"/>
      <c r="CI1861" s="84"/>
      <c r="CJ1861" s="84"/>
      <c r="CK1861" s="84"/>
      <c r="CL1861" s="84"/>
    </row>
    <row r="1862" spans="66:90" s="354" customFormat="1" x14ac:dyDescent="0.2">
      <c r="BN1862" s="84"/>
      <c r="BO1862" s="84"/>
      <c r="BP1862" s="84"/>
      <c r="BQ1862" s="84"/>
      <c r="BR1862" s="84"/>
      <c r="BS1862" s="84"/>
      <c r="BT1862" s="84"/>
      <c r="BU1862" s="84"/>
      <c r="BV1862" s="84"/>
      <c r="BW1862" s="84"/>
      <c r="BX1862" s="84"/>
      <c r="BY1862" s="84"/>
      <c r="BZ1862" s="84"/>
      <c r="CA1862" s="84"/>
      <c r="CB1862" s="84"/>
      <c r="CC1862" s="84"/>
      <c r="CD1862" s="84"/>
      <c r="CE1862" s="84"/>
      <c r="CF1862" s="84"/>
      <c r="CG1862" s="84"/>
      <c r="CH1862" s="84"/>
      <c r="CI1862" s="84"/>
      <c r="CJ1862" s="84"/>
      <c r="CK1862" s="84"/>
      <c r="CL1862" s="84"/>
    </row>
    <row r="1863" spans="66:90" s="354" customFormat="1" x14ac:dyDescent="0.2">
      <c r="BN1863" s="84"/>
      <c r="BO1863" s="84"/>
      <c r="BP1863" s="84"/>
      <c r="BQ1863" s="84"/>
      <c r="BR1863" s="84"/>
      <c r="BS1863" s="84"/>
      <c r="BT1863" s="84"/>
      <c r="BU1863" s="84"/>
      <c r="BV1863" s="84"/>
      <c r="BW1863" s="84"/>
      <c r="BX1863" s="84"/>
      <c r="BY1863" s="84"/>
      <c r="BZ1863" s="84"/>
      <c r="CA1863" s="84"/>
      <c r="CB1863" s="84"/>
      <c r="CC1863" s="84"/>
      <c r="CD1863" s="84"/>
      <c r="CE1863" s="84"/>
      <c r="CF1863" s="84"/>
      <c r="CG1863" s="84"/>
      <c r="CH1863" s="84"/>
      <c r="CI1863" s="84"/>
      <c r="CJ1863" s="84"/>
      <c r="CK1863" s="84"/>
      <c r="CL1863" s="84"/>
    </row>
    <row r="1864" spans="66:90" s="354" customFormat="1" x14ac:dyDescent="0.2">
      <c r="BN1864" s="84"/>
      <c r="BO1864" s="84"/>
      <c r="BP1864" s="84"/>
      <c r="BQ1864" s="84"/>
      <c r="BR1864" s="84"/>
      <c r="BS1864" s="84"/>
      <c r="BT1864" s="84"/>
      <c r="BU1864" s="84"/>
      <c r="BV1864" s="84"/>
      <c r="BW1864" s="84"/>
      <c r="BX1864" s="84"/>
      <c r="BY1864" s="84"/>
      <c r="BZ1864" s="84"/>
      <c r="CA1864" s="84"/>
      <c r="CB1864" s="84"/>
      <c r="CC1864" s="84"/>
      <c r="CD1864" s="84"/>
      <c r="CE1864" s="84"/>
      <c r="CF1864" s="84"/>
      <c r="CG1864" s="84"/>
      <c r="CH1864" s="84"/>
      <c r="CI1864" s="84"/>
      <c r="CJ1864" s="84"/>
      <c r="CK1864" s="84"/>
      <c r="CL1864" s="84"/>
    </row>
    <row r="1865" spans="66:90" s="354" customFormat="1" x14ac:dyDescent="0.2">
      <c r="BN1865" s="84"/>
      <c r="BO1865" s="84"/>
      <c r="BP1865" s="84"/>
      <c r="BQ1865" s="84"/>
      <c r="BR1865" s="84"/>
      <c r="BS1865" s="84"/>
      <c r="BT1865" s="84"/>
      <c r="BU1865" s="84"/>
      <c r="BV1865" s="84"/>
      <c r="BW1865" s="84"/>
      <c r="BX1865" s="84"/>
      <c r="BY1865" s="84"/>
      <c r="BZ1865" s="84"/>
      <c r="CA1865" s="84"/>
      <c r="CB1865" s="84"/>
      <c r="CC1865" s="84"/>
      <c r="CD1865" s="84"/>
      <c r="CE1865" s="84"/>
      <c r="CF1865" s="84"/>
      <c r="CG1865" s="84"/>
      <c r="CH1865" s="84"/>
      <c r="CI1865" s="84"/>
      <c r="CJ1865" s="84"/>
      <c r="CK1865" s="84"/>
      <c r="CL1865" s="84"/>
    </row>
    <row r="1866" spans="66:90" s="354" customFormat="1" x14ac:dyDescent="0.2">
      <c r="BN1866" s="84"/>
      <c r="BO1866" s="84"/>
      <c r="BP1866" s="84"/>
      <c r="BQ1866" s="84"/>
      <c r="BR1866" s="84"/>
      <c r="BS1866" s="84"/>
      <c r="BT1866" s="84"/>
      <c r="BU1866" s="84"/>
      <c r="BV1866" s="84"/>
      <c r="BW1866" s="84"/>
      <c r="BX1866" s="84"/>
      <c r="BY1866" s="84"/>
      <c r="BZ1866" s="84"/>
      <c r="CA1866" s="84"/>
      <c r="CB1866" s="84"/>
      <c r="CC1866" s="84"/>
      <c r="CD1866" s="84"/>
      <c r="CE1866" s="84"/>
      <c r="CF1866" s="84"/>
      <c r="CG1866" s="84"/>
      <c r="CH1866" s="84"/>
      <c r="CI1866" s="84"/>
      <c r="CJ1866" s="84"/>
      <c r="CK1866" s="84"/>
      <c r="CL1866" s="84"/>
    </row>
    <row r="1867" spans="66:90" s="354" customFormat="1" x14ac:dyDescent="0.2">
      <c r="BN1867" s="84"/>
      <c r="BO1867" s="84"/>
      <c r="BP1867" s="84"/>
      <c r="BQ1867" s="84"/>
      <c r="BR1867" s="84"/>
      <c r="BS1867" s="84"/>
      <c r="BT1867" s="84"/>
      <c r="BU1867" s="84"/>
      <c r="BV1867" s="84"/>
      <c r="BW1867" s="84"/>
      <c r="BX1867" s="84"/>
      <c r="BY1867" s="84"/>
      <c r="BZ1867" s="84"/>
      <c r="CA1867" s="84"/>
      <c r="CB1867" s="84"/>
      <c r="CC1867" s="84"/>
      <c r="CD1867" s="84"/>
      <c r="CE1867" s="84"/>
      <c r="CF1867" s="84"/>
      <c r="CG1867" s="84"/>
      <c r="CH1867" s="84"/>
      <c r="CI1867" s="84"/>
      <c r="CJ1867" s="84"/>
      <c r="CK1867" s="84"/>
      <c r="CL1867" s="84"/>
    </row>
    <row r="1868" spans="66:90" s="354" customFormat="1" x14ac:dyDescent="0.2">
      <c r="BN1868" s="84"/>
      <c r="BO1868" s="84"/>
      <c r="BP1868" s="84"/>
      <c r="BQ1868" s="84"/>
      <c r="BR1868" s="84"/>
      <c r="BS1868" s="84"/>
      <c r="BT1868" s="84"/>
      <c r="BU1868" s="84"/>
      <c r="BV1868" s="84"/>
      <c r="BW1868" s="84"/>
      <c r="BX1868" s="84"/>
      <c r="BY1868" s="84"/>
      <c r="BZ1868" s="84"/>
      <c r="CA1868" s="84"/>
      <c r="CB1868" s="84"/>
      <c r="CC1868" s="84"/>
      <c r="CD1868" s="84"/>
      <c r="CE1868" s="84"/>
      <c r="CF1868" s="84"/>
      <c r="CG1868" s="84"/>
      <c r="CH1868" s="84"/>
      <c r="CI1868" s="84"/>
      <c r="CJ1868" s="84"/>
      <c r="CK1868" s="84"/>
      <c r="CL1868" s="84"/>
    </row>
    <row r="1869" spans="66:90" s="354" customFormat="1" x14ac:dyDescent="0.2">
      <c r="BN1869" s="84"/>
      <c r="BO1869" s="84"/>
      <c r="BP1869" s="84"/>
      <c r="BQ1869" s="84"/>
      <c r="BR1869" s="84"/>
      <c r="BS1869" s="84"/>
      <c r="BT1869" s="84"/>
      <c r="BU1869" s="84"/>
      <c r="BV1869" s="84"/>
      <c r="BW1869" s="84"/>
      <c r="BX1869" s="84"/>
      <c r="BY1869" s="84"/>
      <c r="BZ1869" s="84"/>
      <c r="CA1869" s="84"/>
      <c r="CB1869" s="84"/>
      <c r="CC1869" s="84"/>
      <c r="CD1869" s="84"/>
      <c r="CE1869" s="84"/>
      <c r="CF1869" s="84"/>
      <c r="CG1869" s="84"/>
      <c r="CH1869" s="84"/>
      <c r="CI1869" s="84"/>
      <c r="CJ1869" s="84"/>
      <c r="CK1869" s="84"/>
      <c r="CL1869" s="84"/>
    </row>
    <row r="1870" spans="66:90" s="354" customFormat="1" x14ac:dyDescent="0.2">
      <c r="BN1870" s="84"/>
      <c r="BO1870" s="84"/>
      <c r="BP1870" s="84"/>
      <c r="BQ1870" s="84"/>
      <c r="BR1870" s="84"/>
      <c r="BS1870" s="84"/>
      <c r="BT1870" s="84"/>
      <c r="BU1870" s="84"/>
      <c r="BV1870" s="84"/>
      <c r="BW1870" s="84"/>
      <c r="BX1870" s="84"/>
      <c r="BY1870" s="84"/>
      <c r="BZ1870" s="84"/>
      <c r="CA1870" s="84"/>
      <c r="CB1870" s="84"/>
      <c r="CC1870" s="84"/>
      <c r="CD1870" s="84"/>
      <c r="CE1870" s="84"/>
      <c r="CF1870" s="84"/>
      <c r="CG1870" s="84"/>
      <c r="CH1870" s="84"/>
      <c r="CI1870" s="84"/>
      <c r="CJ1870" s="84"/>
      <c r="CK1870" s="84"/>
      <c r="CL1870" s="84"/>
    </row>
    <row r="1871" spans="66:90" s="354" customFormat="1" x14ac:dyDescent="0.2">
      <c r="BN1871" s="84"/>
      <c r="BO1871" s="84"/>
      <c r="BP1871" s="84"/>
      <c r="BQ1871" s="84"/>
      <c r="BR1871" s="84"/>
      <c r="BS1871" s="84"/>
      <c r="BT1871" s="84"/>
      <c r="BU1871" s="84"/>
      <c r="BV1871" s="84"/>
      <c r="BW1871" s="84"/>
      <c r="BX1871" s="84"/>
      <c r="BY1871" s="84"/>
      <c r="BZ1871" s="84"/>
      <c r="CA1871" s="84"/>
      <c r="CB1871" s="84"/>
      <c r="CC1871" s="84"/>
      <c r="CD1871" s="84"/>
      <c r="CE1871" s="84"/>
      <c r="CF1871" s="84"/>
      <c r="CG1871" s="84"/>
      <c r="CH1871" s="84"/>
      <c r="CI1871" s="84"/>
      <c r="CJ1871" s="84"/>
      <c r="CK1871" s="84"/>
      <c r="CL1871" s="84"/>
    </row>
    <row r="1872" spans="66:90" s="354" customFormat="1" x14ac:dyDescent="0.2">
      <c r="BN1872" s="84"/>
      <c r="BO1872" s="84"/>
      <c r="BP1872" s="84"/>
      <c r="BQ1872" s="84"/>
      <c r="BR1872" s="84"/>
      <c r="BS1872" s="84"/>
      <c r="BT1872" s="84"/>
      <c r="BU1872" s="84"/>
      <c r="BV1872" s="84"/>
      <c r="BW1872" s="84"/>
      <c r="BX1872" s="84"/>
      <c r="BY1872" s="84"/>
      <c r="BZ1872" s="84"/>
      <c r="CA1872" s="84"/>
      <c r="CB1872" s="84"/>
      <c r="CC1872" s="84"/>
      <c r="CD1872" s="84"/>
      <c r="CE1872" s="84"/>
      <c r="CF1872" s="84"/>
      <c r="CG1872" s="84"/>
      <c r="CH1872" s="84"/>
      <c r="CI1872" s="84"/>
      <c r="CJ1872" s="84"/>
      <c r="CK1872" s="84"/>
      <c r="CL1872" s="84"/>
    </row>
    <row r="1873" spans="66:90" s="354" customFormat="1" x14ac:dyDescent="0.2">
      <c r="BN1873" s="84"/>
      <c r="BO1873" s="84"/>
      <c r="BP1873" s="84"/>
      <c r="BQ1873" s="84"/>
      <c r="BR1873" s="84"/>
      <c r="BS1873" s="84"/>
      <c r="BT1873" s="84"/>
      <c r="BU1873" s="84"/>
      <c r="BV1873" s="84"/>
      <c r="BW1873" s="84"/>
      <c r="BX1873" s="84"/>
      <c r="BY1873" s="84"/>
      <c r="BZ1873" s="84"/>
      <c r="CA1873" s="84"/>
      <c r="CB1873" s="84"/>
      <c r="CC1873" s="84"/>
      <c r="CD1873" s="84"/>
      <c r="CE1873" s="84"/>
      <c r="CF1873" s="84"/>
      <c r="CG1873" s="84"/>
      <c r="CH1873" s="84"/>
      <c r="CI1873" s="84"/>
      <c r="CJ1873" s="84"/>
      <c r="CK1873" s="84"/>
      <c r="CL1873" s="84"/>
    </row>
    <row r="1874" spans="66:90" s="354" customFormat="1" x14ac:dyDescent="0.2">
      <c r="BN1874" s="84"/>
      <c r="BO1874" s="84"/>
      <c r="BP1874" s="84"/>
      <c r="BQ1874" s="84"/>
      <c r="BR1874" s="84"/>
      <c r="BS1874" s="84"/>
      <c r="BT1874" s="84"/>
      <c r="BU1874" s="84"/>
      <c r="BV1874" s="84"/>
      <c r="BW1874" s="84"/>
      <c r="BX1874" s="84"/>
      <c r="BY1874" s="84"/>
      <c r="BZ1874" s="84"/>
      <c r="CA1874" s="84"/>
      <c r="CB1874" s="84"/>
      <c r="CC1874" s="84"/>
      <c r="CD1874" s="84"/>
      <c r="CE1874" s="84"/>
      <c r="CF1874" s="84"/>
      <c r="CG1874" s="84"/>
      <c r="CH1874" s="84"/>
      <c r="CI1874" s="84"/>
      <c r="CJ1874" s="84"/>
      <c r="CK1874" s="84"/>
      <c r="CL1874" s="84"/>
    </row>
    <row r="1875" spans="66:90" s="354" customFormat="1" x14ac:dyDescent="0.2">
      <c r="BN1875" s="84"/>
      <c r="BO1875" s="84"/>
      <c r="BP1875" s="84"/>
      <c r="BQ1875" s="84"/>
      <c r="BR1875" s="84"/>
      <c r="BS1875" s="84"/>
      <c r="BT1875" s="84"/>
      <c r="BU1875" s="84"/>
      <c r="BV1875" s="84"/>
      <c r="BW1875" s="84"/>
      <c r="BX1875" s="84"/>
      <c r="BY1875" s="84"/>
      <c r="BZ1875" s="84"/>
      <c r="CA1875" s="84"/>
      <c r="CB1875" s="84"/>
      <c r="CC1875" s="84"/>
      <c r="CD1875" s="84"/>
      <c r="CE1875" s="84"/>
      <c r="CF1875" s="84"/>
      <c r="CG1875" s="84"/>
      <c r="CH1875" s="84"/>
      <c r="CI1875" s="84"/>
      <c r="CJ1875" s="84"/>
      <c r="CK1875" s="84"/>
      <c r="CL1875" s="84"/>
    </row>
    <row r="1876" spans="66:90" s="354" customFormat="1" x14ac:dyDescent="0.2">
      <c r="BN1876" s="84"/>
      <c r="BO1876" s="84"/>
      <c r="BP1876" s="84"/>
      <c r="BQ1876" s="84"/>
      <c r="BR1876" s="84"/>
      <c r="BS1876" s="84"/>
      <c r="BT1876" s="84"/>
      <c r="BU1876" s="84"/>
      <c r="BV1876" s="84"/>
      <c r="BW1876" s="84"/>
      <c r="BX1876" s="84"/>
      <c r="BY1876" s="84"/>
      <c r="BZ1876" s="84"/>
      <c r="CA1876" s="84"/>
      <c r="CB1876" s="84"/>
      <c r="CC1876" s="84"/>
      <c r="CD1876" s="84"/>
      <c r="CE1876" s="84"/>
      <c r="CF1876" s="84"/>
      <c r="CG1876" s="84"/>
      <c r="CH1876" s="84"/>
      <c r="CI1876" s="84"/>
      <c r="CJ1876" s="84"/>
      <c r="CK1876" s="84"/>
      <c r="CL1876" s="84"/>
    </row>
    <row r="1877" spans="66:90" s="354" customFormat="1" x14ac:dyDescent="0.2">
      <c r="BN1877" s="84"/>
      <c r="BO1877" s="84"/>
      <c r="BP1877" s="84"/>
      <c r="BQ1877" s="84"/>
      <c r="BR1877" s="84"/>
      <c r="BS1877" s="84"/>
      <c r="BT1877" s="84"/>
      <c r="BU1877" s="84"/>
      <c r="BV1877" s="84"/>
      <c r="BW1877" s="84"/>
      <c r="BX1877" s="84"/>
      <c r="BY1877" s="84"/>
      <c r="BZ1877" s="84"/>
      <c r="CA1877" s="84"/>
      <c r="CB1877" s="84"/>
      <c r="CC1877" s="84"/>
      <c r="CD1877" s="84"/>
      <c r="CE1877" s="84"/>
      <c r="CF1877" s="84"/>
      <c r="CG1877" s="84"/>
      <c r="CH1877" s="84"/>
      <c r="CI1877" s="84"/>
      <c r="CJ1877" s="84"/>
      <c r="CK1877" s="84"/>
      <c r="CL1877" s="84"/>
    </row>
    <row r="1878" spans="66:90" s="354" customFormat="1" x14ac:dyDescent="0.2">
      <c r="BN1878" s="84"/>
      <c r="BO1878" s="84"/>
      <c r="BP1878" s="84"/>
      <c r="BQ1878" s="84"/>
      <c r="BR1878" s="84"/>
      <c r="BS1878" s="84"/>
      <c r="BT1878" s="84"/>
      <c r="BU1878" s="84"/>
      <c r="BV1878" s="84"/>
      <c r="BW1878" s="84"/>
      <c r="BX1878" s="84"/>
      <c r="BY1878" s="84"/>
      <c r="BZ1878" s="84"/>
      <c r="CA1878" s="84"/>
      <c r="CB1878" s="84"/>
      <c r="CC1878" s="84"/>
      <c r="CD1878" s="84"/>
      <c r="CE1878" s="84"/>
      <c r="CF1878" s="84"/>
      <c r="CG1878" s="84"/>
      <c r="CH1878" s="84"/>
      <c r="CI1878" s="84"/>
      <c r="CJ1878" s="84"/>
      <c r="CK1878" s="84"/>
      <c r="CL1878" s="84"/>
    </row>
    <row r="1879" spans="66:90" s="354" customFormat="1" x14ac:dyDescent="0.2">
      <c r="BN1879" s="84"/>
      <c r="BO1879" s="84"/>
      <c r="BP1879" s="84"/>
      <c r="BQ1879" s="84"/>
      <c r="BR1879" s="84"/>
      <c r="BS1879" s="84"/>
      <c r="BT1879" s="84"/>
      <c r="BU1879" s="84"/>
      <c r="BV1879" s="84"/>
      <c r="BW1879" s="84"/>
      <c r="BX1879" s="84"/>
      <c r="BY1879" s="84"/>
      <c r="BZ1879" s="84"/>
      <c r="CA1879" s="84"/>
      <c r="CB1879" s="84"/>
      <c r="CC1879" s="84"/>
      <c r="CD1879" s="84"/>
      <c r="CE1879" s="84"/>
      <c r="CF1879" s="84"/>
      <c r="CG1879" s="84"/>
      <c r="CH1879" s="84"/>
      <c r="CI1879" s="84"/>
      <c r="CJ1879" s="84"/>
      <c r="CK1879" s="84"/>
      <c r="CL1879" s="84"/>
    </row>
    <row r="1880" spans="66:90" s="354" customFormat="1" x14ac:dyDescent="0.2">
      <c r="BN1880" s="84"/>
      <c r="BO1880" s="84"/>
      <c r="BP1880" s="84"/>
      <c r="BQ1880" s="84"/>
      <c r="BR1880" s="84"/>
      <c r="BS1880" s="84"/>
      <c r="BT1880" s="84"/>
      <c r="BU1880" s="84"/>
      <c r="BV1880" s="84"/>
      <c r="BW1880" s="84"/>
      <c r="BX1880" s="84"/>
      <c r="BY1880" s="84"/>
      <c r="BZ1880" s="84"/>
      <c r="CA1880" s="84"/>
      <c r="CB1880" s="84"/>
      <c r="CC1880" s="84"/>
      <c r="CD1880" s="84"/>
      <c r="CE1880" s="84"/>
      <c r="CF1880" s="84"/>
      <c r="CG1880" s="84"/>
      <c r="CH1880" s="84"/>
      <c r="CI1880" s="84"/>
      <c r="CJ1880" s="84"/>
      <c r="CK1880" s="84"/>
      <c r="CL1880" s="84"/>
    </row>
    <row r="1881" spans="66:90" s="354" customFormat="1" x14ac:dyDescent="0.2">
      <c r="BN1881" s="84"/>
      <c r="BO1881" s="84"/>
      <c r="BP1881" s="84"/>
      <c r="BQ1881" s="84"/>
      <c r="BR1881" s="84"/>
      <c r="BS1881" s="84"/>
      <c r="BT1881" s="84"/>
      <c r="BU1881" s="84"/>
      <c r="BV1881" s="84"/>
      <c r="BW1881" s="84"/>
      <c r="BX1881" s="84"/>
      <c r="BY1881" s="84"/>
      <c r="BZ1881" s="84"/>
      <c r="CA1881" s="84"/>
      <c r="CB1881" s="84"/>
      <c r="CC1881" s="84"/>
      <c r="CD1881" s="84"/>
      <c r="CE1881" s="84"/>
      <c r="CF1881" s="84"/>
      <c r="CG1881" s="84"/>
      <c r="CH1881" s="84"/>
      <c r="CI1881" s="84"/>
      <c r="CJ1881" s="84"/>
      <c r="CK1881" s="84"/>
      <c r="CL1881" s="84"/>
    </row>
    <row r="1882" spans="66:90" s="354" customFormat="1" x14ac:dyDescent="0.2">
      <c r="BN1882" s="84"/>
      <c r="BO1882" s="84"/>
      <c r="BP1882" s="84"/>
      <c r="BQ1882" s="84"/>
      <c r="BR1882" s="84"/>
      <c r="BS1882" s="84"/>
      <c r="BT1882" s="84"/>
      <c r="BU1882" s="84"/>
      <c r="BV1882" s="84"/>
      <c r="BW1882" s="84"/>
      <c r="BX1882" s="84"/>
      <c r="BY1882" s="84"/>
      <c r="BZ1882" s="84"/>
      <c r="CA1882" s="84"/>
      <c r="CB1882" s="84"/>
      <c r="CC1882" s="84"/>
      <c r="CD1882" s="84"/>
      <c r="CE1882" s="84"/>
      <c r="CF1882" s="84"/>
      <c r="CG1882" s="84"/>
      <c r="CH1882" s="84"/>
      <c r="CI1882" s="84"/>
      <c r="CJ1882" s="84"/>
      <c r="CK1882" s="84"/>
      <c r="CL1882" s="84"/>
    </row>
    <row r="1883" spans="66:90" s="354" customFormat="1" x14ac:dyDescent="0.2">
      <c r="BN1883" s="84"/>
      <c r="BO1883" s="84"/>
      <c r="BP1883" s="84"/>
      <c r="BQ1883" s="84"/>
      <c r="BR1883" s="84"/>
      <c r="BS1883" s="84"/>
      <c r="BT1883" s="84"/>
      <c r="BU1883" s="84"/>
      <c r="BV1883" s="84"/>
      <c r="BW1883" s="84"/>
      <c r="BX1883" s="84"/>
      <c r="BY1883" s="84"/>
      <c r="BZ1883" s="84"/>
      <c r="CA1883" s="84"/>
      <c r="CB1883" s="84"/>
      <c r="CC1883" s="84"/>
      <c r="CD1883" s="84"/>
      <c r="CE1883" s="84"/>
      <c r="CF1883" s="84"/>
      <c r="CG1883" s="84"/>
      <c r="CH1883" s="84"/>
      <c r="CI1883" s="84"/>
      <c r="CJ1883" s="84"/>
      <c r="CK1883" s="84"/>
      <c r="CL1883" s="84"/>
    </row>
    <row r="1884" spans="66:90" s="354" customFormat="1" x14ac:dyDescent="0.2">
      <c r="BN1884" s="84"/>
      <c r="BO1884" s="84"/>
      <c r="BP1884" s="84"/>
      <c r="BQ1884" s="84"/>
      <c r="BR1884" s="84"/>
      <c r="BS1884" s="84"/>
      <c r="BT1884" s="84"/>
      <c r="BU1884" s="84"/>
      <c r="BV1884" s="84"/>
      <c r="BW1884" s="84"/>
      <c r="BX1884" s="84"/>
      <c r="BY1884" s="84"/>
      <c r="BZ1884" s="84"/>
      <c r="CA1884" s="84"/>
      <c r="CB1884" s="84"/>
      <c r="CC1884" s="84"/>
      <c r="CD1884" s="84"/>
      <c r="CE1884" s="84"/>
      <c r="CF1884" s="84"/>
      <c r="CG1884" s="84"/>
      <c r="CH1884" s="84"/>
      <c r="CI1884" s="84"/>
      <c r="CJ1884" s="84"/>
      <c r="CK1884" s="84"/>
      <c r="CL1884" s="84"/>
    </row>
    <row r="1885" spans="66:90" s="354" customFormat="1" x14ac:dyDescent="0.2">
      <c r="BN1885" s="84"/>
      <c r="BO1885" s="84"/>
      <c r="BP1885" s="84"/>
      <c r="BQ1885" s="84"/>
      <c r="BR1885" s="84"/>
      <c r="BS1885" s="84"/>
      <c r="BT1885" s="84"/>
      <c r="BU1885" s="84"/>
      <c r="BV1885" s="84"/>
      <c r="BW1885" s="84"/>
      <c r="BX1885" s="84"/>
      <c r="BY1885" s="84"/>
      <c r="BZ1885" s="84"/>
      <c r="CA1885" s="84"/>
      <c r="CB1885" s="84"/>
      <c r="CC1885" s="84"/>
      <c r="CD1885" s="84"/>
      <c r="CE1885" s="84"/>
      <c r="CF1885" s="84"/>
      <c r="CG1885" s="84"/>
      <c r="CH1885" s="84"/>
      <c r="CI1885" s="84"/>
      <c r="CJ1885" s="84"/>
      <c r="CK1885" s="84"/>
      <c r="CL1885" s="84"/>
    </row>
    <row r="1886" spans="66:90" s="354" customFormat="1" x14ac:dyDescent="0.2">
      <c r="BN1886" s="84"/>
      <c r="BO1886" s="84"/>
      <c r="BP1886" s="84"/>
      <c r="BQ1886" s="84"/>
      <c r="BR1886" s="84"/>
      <c r="BS1886" s="84"/>
      <c r="BT1886" s="84"/>
      <c r="BU1886" s="84"/>
      <c r="BV1886" s="84"/>
      <c r="BW1886" s="84"/>
      <c r="BX1886" s="84"/>
      <c r="BY1886" s="84"/>
      <c r="BZ1886" s="84"/>
      <c r="CA1886" s="84"/>
      <c r="CB1886" s="84"/>
      <c r="CC1886" s="84"/>
      <c r="CD1886" s="84"/>
      <c r="CE1886" s="84"/>
      <c r="CF1886" s="84"/>
      <c r="CG1886" s="84"/>
      <c r="CH1886" s="84"/>
      <c r="CI1886" s="84"/>
      <c r="CJ1886" s="84"/>
      <c r="CK1886" s="84"/>
      <c r="CL1886" s="84"/>
    </row>
    <row r="1887" spans="66:90" s="354" customFormat="1" x14ac:dyDescent="0.2">
      <c r="BN1887" s="84"/>
      <c r="BO1887" s="84"/>
      <c r="BP1887" s="84"/>
      <c r="BQ1887" s="84"/>
      <c r="BR1887" s="84"/>
      <c r="BS1887" s="84"/>
      <c r="BT1887" s="84"/>
      <c r="BU1887" s="84"/>
      <c r="BV1887" s="84"/>
      <c r="BW1887" s="84"/>
      <c r="BX1887" s="84"/>
      <c r="BY1887" s="84"/>
      <c r="BZ1887" s="84"/>
      <c r="CA1887" s="84"/>
      <c r="CB1887" s="84"/>
      <c r="CC1887" s="84"/>
      <c r="CD1887" s="84"/>
      <c r="CE1887" s="84"/>
      <c r="CF1887" s="84"/>
      <c r="CG1887" s="84"/>
      <c r="CH1887" s="84"/>
      <c r="CI1887" s="84"/>
      <c r="CJ1887" s="84"/>
      <c r="CK1887" s="84"/>
      <c r="CL1887" s="84"/>
    </row>
    <row r="1888" spans="66:90" s="354" customFormat="1" x14ac:dyDescent="0.2">
      <c r="BN1888" s="84"/>
      <c r="BO1888" s="84"/>
      <c r="BP1888" s="84"/>
      <c r="BQ1888" s="84"/>
      <c r="BR1888" s="84"/>
      <c r="BS1888" s="84"/>
      <c r="BT1888" s="84"/>
      <c r="BU1888" s="84"/>
      <c r="BV1888" s="84"/>
      <c r="BW1888" s="84"/>
      <c r="BX1888" s="84"/>
      <c r="BY1888" s="84"/>
      <c r="BZ1888" s="84"/>
      <c r="CA1888" s="84"/>
      <c r="CB1888" s="84"/>
      <c r="CC1888" s="84"/>
      <c r="CD1888" s="84"/>
      <c r="CE1888" s="84"/>
      <c r="CF1888" s="84"/>
      <c r="CG1888" s="84"/>
      <c r="CH1888" s="84"/>
      <c r="CI1888" s="84"/>
      <c r="CJ1888" s="84"/>
      <c r="CK1888" s="84"/>
      <c r="CL1888" s="84"/>
    </row>
    <row r="1889" spans="66:90" s="354" customFormat="1" x14ac:dyDescent="0.2">
      <c r="BN1889" s="84"/>
      <c r="BO1889" s="84"/>
      <c r="BP1889" s="84"/>
      <c r="BQ1889" s="84"/>
      <c r="BR1889" s="84"/>
      <c r="BS1889" s="84"/>
      <c r="BT1889" s="84"/>
      <c r="BU1889" s="84"/>
      <c r="BV1889" s="84"/>
      <c r="BW1889" s="84"/>
      <c r="BX1889" s="84"/>
      <c r="BY1889" s="84"/>
      <c r="BZ1889" s="84"/>
      <c r="CA1889" s="84"/>
      <c r="CB1889" s="84"/>
      <c r="CC1889" s="84"/>
      <c r="CD1889" s="84"/>
      <c r="CE1889" s="84"/>
      <c r="CF1889" s="84"/>
      <c r="CG1889" s="84"/>
      <c r="CH1889" s="84"/>
      <c r="CI1889" s="84"/>
      <c r="CJ1889" s="84"/>
      <c r="CK1889" s="84"/>
      <c r="CL1889" s="84"/>
    </row>
    <row r="1890" spans="66:90" s="354" customFormat="1" x14ac:dyDescent="0.2">
      <c r="BN1890" s="84"/>
      <c r="BO1890" s="84"/>
      <c r="BP1890" s="84"/>
      <c r="BQ1890" s="84"/>
      <c r="BR1890" s="84"/>
      <c r="BS1890" s="84"/>
      <c r="BT1890" s="84"/>
      <c r="BU1890" s="84"/>
      <c r="BV1890" s="84"/>
      <c r="BW1890" s="84"/>
      <c r="BX1890" s="84"/>
      <c r="BY1890" s="84"/>
      <c r="BZ1890" s="84"/>
      <c r="CA1890" s="84"/>
      <c r="CB1890" s="84"/>
      <c r="CC1890" s="84"/>
      <c r="CD1890" s="84"/>
      <c r="CE1890" s="84"/>
      <c r="CF1890" s="84"/>
      <c r="CG1890" s="84"/>
      <c r="CH1890" s="84"/>
      <c r="CI1890" s="84"/>
      <c r="CJ1890" s="84"/>
      <c r="CK1890" s="84"/>
      <c r="CL1890" s="84"/>
    </row>
    <row r="1891" spans="66:90" s="354" customFormat="1" x14ac:dyDescent="0.2">
      <c r="BN1891" s="84"/>
      <c r="BO1891" s="84"/>
      <c r="BP1891" s="84"/>
      <c r="BQ1891" s="84"/>
      <c r="BR1891" s="84"/>
      <c r="BS1891" s="84"/>
      <c r="BT1891" s="84"/>
      <c r="BU1891" s="84"/>
      <c r="BV1891" s="84"/>
      <c r="BW1891" s="84"/>
      <c r="BX1891" s="84"/>
      <c r="BY1891" s="84"/>
      <c r="BZ1891" s="84"/>
      <c r="CA1891" s="84"/>
      <c r="CB1891" s="84"/>
      <c r="CC1891" s="84"/>
      <c r="CD1891" s="84"/>
      <c r="CE1891" s="84"/>
      <c r="CF1891" s="84"/>
      <c r="CG1891" s="84"/>
      <c r="CH1891" s="84"/>
      <c r="CI1891" s="84"/>
      <c r="CJ1891" s="84"/>
      <c r="CK1891" s="84"/>
      <c r="CL1891" s="84"/>
    </row>
    <row r="1892" spans="66:90" s="354" customFormat="1" x14ac:dyDescent="0.2">
      <c r="BN1892" s="84"/>
      <c r="BO1892" s="84"/>
      <c r="BP1892" s="84"/>
      <c r="BQ1892" s="84"/>
      <c r="BR1892" s="84"/>
      <c r="BS1892" s="84"/>
      <c r="BT1892" s="84"/>
      <c r="BU1892" s="84"/>
      <c r="BV1892" s="84"/>
      <c r="BW1892" s="84"/>
      <c r="BX1892" s="84"/>
      <c r="BY1892" s="84"/>
      <c r="BZ1892" s="84"/>
      <c r="CA1892" s="84"/>
      <c r="CB1892" s="84"/>
      <c r="CC1892" s="84"/>
      <c r="CD1892" s="84"/>
      <c r="CE1892" s="84"/>
      <c r="CF1892" s="84"/>
      <c r="CG1892" s="84"/>
      <c r="CH1892" s="84"/>
      <c r="CI1892" s="84"/>
      <c r="CJ1892" s="84"/>
      <c r="CK1892" s="84"/>
      <c r="CL1892" s="84"/>
    </row>
    <row r="1893" spans="66:90" s="354" customFormat="1" x14ac:dyDescent="0.2">
      <c r="BN1893" s="84"/>
      <c r="BO1893" s="84"/>
      <c r="BP1893" s="84"/>
      <c r="BQ1893" s="84"/>
      <c r="BR1893" s="84"/>
      <c r="BS1893" s="84"/>
      <c r="BT1893" s="84"/>
      <c r="BU1893" s="84"/>
      <c r="BV1893" s="84"/>
      <c r="BW1893" s="84"/>
      <c r="BX1893" s="84"/>
      <c r="BY1893" s="84"/>
      <c r="BZ1893" s="84"/>
      <c r="CA1893" s="84"/>
      <c r="CB1893" s="84"/>
      <c r="CC1893" s="84"/>
      <c r="CD1893" s="84"/>
      <c r="CE1893" s="84"/>
      <c r="CF1893" s="84"/>
      <c r="CG1893" s="84"/>
      <c r="CH1893" s="84"/>
      <c r="CI1893" s="84"/>
      <c r="CJ1893" s="84"/>
      <c r="CK1893" s="84"/>
      <c r="CL1893" s="84"/>
    </row>
    <row r="1894" spans="66:90" s="354" customFormat="1" x14ac:dyDescent="0.2">
      <c r="BN1894" s="84"/>
      <c r="BO1894" s="84"/>
      <c r="BP1894" s="84"/>
      <c r="BQ1894" s="84"/>
      <c r="BR1894" s="84"/>
      <c r="BS1894" s="84"/>
      <c r="BT1894" s="84"/>
      <c r="BU1894" s="84"/>
      <c r="BV1894" s="84"/>
      <c r="BW1894" s="84"/>
      <c r="BX1894" s="84"/>
      <c r="BY1894" s="84"/>
      <c r="BZ1894" s="84"/>
      <c r="CA1894" s="84"/>
      <c r="CB1894" s="84"/>
      <c r="CC1894" s="84"/>
      <c r="CD1894" s="84"/>
      <c r="CE1894" s="84"/>
      <c r="CF1894" s="84"/>
      <c r="CG1894" s="84"/>
      <c r="CH1894" s="84"/>
      <c r="CI1894" s="84"/>
      <c r="CJ1894" s="84"/>
      <c r="CK1894" s="84"/>
      <c r="CL1894" s="84"/>
    </row>
    <row r="1895" spans="66:90" s="354" customFormat="1" x14ac:dyDescent="0.2">
      <c r="BN1895" s="84"/>
      <c r="BO1895" s="84"/>
      <c r="BP1895" s="84"/>
      <c r="BQ1895" s="84"/>
      <c r="BR1895" s="84"/>
      <c r="BS1895" s="84"/>
      <c r="BT1895" s="84"/>
      <c r="BU1895" s="84"/>
      <c r="BV1895" s="84"/>
      <c r="BW1895" s="84"/>
      <c r="BX1895" s="84"/>
      <c r="BY1895" s="84"/>
      <c r="BZ1895" s="84"/>
      <c r="CA1895" s="84"/>
      <c r="CB1895" s="84"/>
      <c r="CC1895" s="84"/>
      <c r="CD1895" s="84"/>
      <c r="CE1895" s="84"/>
      <c r="CF1895" s="84"/>
      <c r="CG1895" s="84"/>
      <c r="CH1895" s="84"/>
      <c r="CI1895" s="84"/>
      <c r="CJ1895" s="84"/>
      <c r="CK1895" s="84"/>
      <c r="CL1895" s="84"/>
    </row>
    <row r="1896" spans="66:90" s="354" customFormat="1" x14ac:dyDescent="0.2">
      <c r="BN1896" s="84"/>
      <c r="BO1896" s="84"/>
      <c r="BP1896" s="84"/>
      <c r="BQ1896" s="84"/>
      <c r="BR1896" s="84"/>
      <c r="BS1896" s="84"/>
      <c r="BT1896" s="84"/>
      <c r="BU1896" s="84"/>
      <c r="BV1896" s="84"/>
      <c r="BW1896" s="84"/>
      <c r="BX1896" s="84"/>
      <c r="BY1896" s="84"/>
      <c r="BZ1896" s="84"/>
      <c r="CA1896" s="84"/>
      <c r="CB1896" s="84"/>
      <c r="CC1896" s="84"/>
      <c r="CD1896" s="84"/>
      <c r="CE1896" s="84"/>
      <c r="CF1896" s="84"/>
      <c r="CG1896" s="84"/>
      <c r="CH1896" s="84"/>
      <c r="CI1896" s="84"/>
      <c r="CJ1896" s="84"/>
      <c r="CK1896" s="84"/>
      <c r="CL1896" s="84"/>
    </row>
    <row r="1897" spans="66:90" s="354" customFormat="1" x14ac:dyDescent="0.2">
      <c r="BN1897" s="84"/>
      <c r="BO1897" s="84"/>
      <c r="BP1897" s="84"/>
      <c r="BQ1897" s="84"/>
      <c r="BR1897" s="84"/>
      <c r="BS1897" s="84"/>
      <c r="BT1897" s="84"/>
      <c r="BU1897" s="84"/>
      <c r="BV1897" s="84"/>
      <c r="BW1897" s="84"/>
      <c r="BX1897" s="84"/>
      <c r="BY1897" s="84"/>
      <c r="BZ1897" s="84"/>
      <c r="CA1897" s="84"/>
      <c r="CB1897" s="84"/>
      <c r="CC1897" s="84"/>
      <c r="CD1897" s="84"/>
      <c r="CE1897" s="84"/>
      <c r="CF1897" s="84"/>
      <c r="CG1897" s="84"/>
      <c r="CH1897" s="84"/>
      <c r="CI1897" s="84"/>
      <c r="CJ1897" s="84"/>
      <c r="CK1897" s="84"/>
      <c r="CL1897" s="84"/>
    </row>
    <row r="1898" spans="66:90" s="354" customFormat="1" x14ac:dyDescent="0.2">
      <c r="BN1898" s="84"/>
      <c r="BO1898" s="84"/>
      <c r="BP1898" s="84"/>
      <c r="BQ1898" s="84"/>
      <c r="BR1898" s="84"/>
      <c r="BS1898" s="84"/>
      <c r="BT1898" s="84"/>
      <c r="BU1898" s="84"/>
      <c r="BV1898" s="84"/>
      <c r="BW1898" s="84"/>
      <c r="BX1898" s="84"/>
      <c r="BY1898" s="84"/>
      <c r="BZ1898" s="84"/>
      <c r="CA1898" s="84"/>
      <c r="CB1898" s="84"/>
      <c r="CC1898" s="84"/>
      <c r="CD1898" s="84"/>
      <c r="CE1898" s="84"/>
      <c r="CF1898" s="84"/>
      <c r="CG1898" s="84"/>
      <c r="CH1898" s="84"/>
      <c r="CI1898" s="84"/>
      <c r="CJ1898" s="84"/>
      <c r="CK1898" s="84"/>
      <c r="CL1898" s="84"/>
    </row>
    <row r="1899" spans="66:90" s="354" customFormat="1" x14ac:dyDescent="0.2">
      <c r="BN1899" s="84"/>
      <c r="BO1899" s="84"/>
      <c r="BP1899" s="84"/>
      <c r="BQ1899" s="84"/>
      <c r="BR1899" s="84"/>
      <c r="BS1899" s="84"/>
      <c r="BT1899" s="84"/>
      <c r="BU1899" s="84"/>
      <c r="BV1899" s="84"/>
      <c r="BW1899" s="84"/>
      <c r="BX1899" s="84"/>
      <c r="BY1899" s="84"/>
      <c r="BZ1899" s="84"/>
      <c r="CA1899" s="84"/>
      <c r="CB1899" s="84"/>
      <c r="CC1899" s="84"/>
      <c r="CD1899" s="84"/>
      <c r="CE1899" s="84"/>
      <c r="CF1899" s="84"/>
      <c r="CG1899" s="84"/>
      <c r="CH1899" s="84"/>
      <c r="CI1899" s="84"/>
      <c r="CJ1899" s="84"/>
      <c r="CK1899" s="84"/>
      <c r="CL1899" s="84"/>
    </row>
    <row r="1900" spans="66:90" s="354" customFormat="1" x14ac:dyDescent="0.2">
      <c r="BN1900" s="84"/>
      <c r="BO1900" s="84"/>
      <c r="BP1900" s="84"/>
      <c r="BQ1900" s="84"/>
      <c r="BR1900" s="84"/>
      <c r="BS1900" s="84"/>
      <c r="BT1900" s="84"/>
      <c r="BU1900" s="84"/>
      <c r="BV1900" s="84"/>
      <c r="BW1900" s="84"/>
      <c r="BX1900" s="84"/>
      <c r="BY1900" s="84"/>
      <c r="BZ1900" s="84"/>
      <c r="CA1900" s="84"/>
      <c r="CB1900" s="84"/>
      <c r="CC1900" s="84"/>
      <c r="CD1900" s="84"/>
      <c r="CE1900" s="84"/>
      <c r="CF1900" s="84"/>
      <c r="CG1900" s="84"/>
      <c r="CH1900" s="84"/>
      <c r="CI1900" s="84"/>
      <c r="CJ1900" s="84"/>
      <c r="CK1900" s="84"/>
      <c r="CL1900" s="84"/>
    </row>
    <row r="1901" spans="66:90" s="354" customFormat="1" x14ac:dyDescent="0.2">
      <c r="BN1901" s="84"/>
      <c r="BO1901" s="84"/>
      <c r="BP1901" s="84"/>
      <c r="BQ1901" s="84"/>
      <c r="BR1901" s="84"/>
      <c r="BS1901" s="84"/>
      <c r="BT1901" s="84"/>
      <c r="BU1901" s="84"/>
      <c r="BV1901" s="84"/>
      <c r="BW1901" s="84"/>
      <c r="BX1901" s="84"/>
      <c r="BY1901" s="84"/>
      <c r="BZ1901" s="84"/>
      <c r="CA1901" s="84"/>
      <c r="CB1901" s="84"/>
      <c r="CC1901" s="84"/>
      <c r="CD1901" s="84"/>
      <c r="CE1901" s="84"/>
      <c r="CF1901" s="84"/>
      <c r="CG1901" s="84"/>
      <c r="CH1901" s="84"/>
      <c r="CI1901" s="84"/>
      <c r="CJ1901" s="84"/>
      <c r="CK1901" s="84"/>
      <c r="CL1901" s="84"/>
    </row>
    <row r="1902" spans="66:90" s="354" customFormat="1" x14ac:dyDescent="0.2">
      <c r="BN1902" s="84"/>
      <c r="BO1902" s="84"/>
      <c r="BP1902" s="84"/>
      <c r="BQ1902" s="84"/>
      <c r="BR1902" s="84"/>
      <c r="BS1902" s="84"/>
      <c r="BT1902" s="84"/>
      <c r="BU1902" s="84"/>
      <c r="BV1902" s="84"/>
      <c r="BW1902" s="84"/>
      <c r="BX1902" s="84"/>
      <c r="BY1902" s="84"/>
      <c r="BZ1902" s="84"/>
      <c r="CA1902" s="84"/>
      <c r="CB1902" s="84"/>
      <c r="CC1902" s="84"/>
      <c r="CD1902" s="84"/>
      <c r="CE1902" s="84"/>
      <c r="CF1902" s="84"/>
      <c r="CG1902" s="84"/>
      <c r="CH1902" s="84"/>
      <c r="CI1902" s="84"/>
      <c r="CJ1902" s="84"/>
      <c r="CK1902" s="84"/>
      <c r="CL1902" s="84"/>
    </row>
    <row r="1903" spans="66:90" s="354" customFormat="1" x14ac:dyDescent="0.2">
      <c r="BN1903" s="84"/>
      <c r="BO1903" s="84"/>
      <c r="BP1903" s="84"/>
      <c r="BQ1903" s="84"/>
      <c r="BR1903" s="84"/>
      <c r="BS1903" s="84"/>
      <c r="BT1903" s="84"/>
      <c r="BU1903" s="84"/>
      <c r="BV1903" s="84"/>
      <c r="BW1903" s="84"/>
      <c r="BX1903" s="84"/>
      <c r="BY1903" s="84"/>
      <c r="BZ1903" s="84"/>
      <c r="CA1903" s="84"/>
      <c r="CB1903" s="84"/>
      <c r="CC1903" s="84"/>
      <c r="CD1903" s="84"/>
      <c r="CE1903" s="84"/>
      <c r="CF1903" s="84"/>
      <c r="CG1903" s="84"/>
      <c r="CH1903" s="84"/>
      <c r="CI1903" s="84"/>
      <c r="CJ1903" s="84"/>
      <c r="CK1903" s="84"/>
      <c r="CL1903" s="84"/>
    </row>
    <row r="1904" spans="66:90" s="354" customFormat="1" x14ac:dyDescent="0.2">
      <c r="BN1904" s="84"/>
      <c r="BO1904" s="84"/>
      <c r="BP1904" s="84"/>
      <c r="BQ1904" s="84"/>
      <c r="BR1904" s="84"/>
      <c r="BS1904" s="84"/>
      <c r="BT1904" s="84"/>
      <c r="BU1904" s="84"/>
      <c r="BV1904" s="84"/>
      <c r="BW1904" s="84"/>
      <c r="BX1904" s="84"/>
      <c r="BY1904" s="84"/>
      <c r="BZ1904" s="84"/>
      <c r="CA1904" s="84"/>
      <c r="CB1904" s="84"/>
      <c r="CC1904" s="84"/>
      <c r="CD1904" s="84"/>
      <c r="CE1904" s="84"/>
      <c r="CF1904" s="84"/>
      <c r="CG1904" s="84"/>
      <c r="CH1904" s="84"/>
      <c r="CI1904" s="84"/>
      <c r="CJ1904" s="84"/>
      <c r="CK1904" s="84"/>
      <c r="CL1904" s="84"/>
    </row>
    <row r="1905" spans="66:90" s="354" customFormat="1" x14ac:dyDescent="0.2">
      <c r="BN1905" s="84"/>
      <c r="BO1905" s="84"/>
      <c r="BP1905" s="84"/>
      <c r="BQ1905" s="84"/>
      <c r="BR1905" s="84"/>
      <c r="BS1905" s="84"/>
      <c r="BT1905" s="84"/>
      <c r="BU1905" s="84"/>
      <c r="BV1905" s="84"/>
      <c r="BW1905" s="84"/>
      <c r="BX1905" s="84"/>
      <c r="BY1905" s="84"/>
      <c r="BZ1905" s="84"/>
      <c r="CA1905" s="84"/>
      <c r="CB1905" s="84"/>
      <c r="CC1905" s="84"/>
      <c r="CD1905" s="84"/>
      <c r="CE1905" s="84"/>
      <c r="CF1905" s="84"/>
      <c r="CG1905" s="84"/>
      <c r="CH1905" s="84"/>
      <c r="CI1905" s="84"/>
      <c r="CJ1905" s="84"/>
      <c r="CK1905" s="84"/>
      <c r="CL1905" s="84"/>
    </row>
    <row r="1906" spans="66:90" s="354" customFormat="1" x14ac:dyDescent="0.2">
      <c r="BN1906" s="84"/>
      <c r="BO1906" s="84"/>
      <c r="BP1906" s="84"/>
      <c r="BQ1906" s="84"/>
      <c r="BR1906" s="84"/>
      <c r="BS1906" s="84"/>
      <c r="BT1906" s="84"/>
      <c r="BU1906" s="84"/>
      <c r="BV1906" s="84"/>
      <c r="BW1906" s="84"/>
      <c r="BX1906" s="84"/>
      <c r="BY1906" s="84"/>
      <c r="BZ1906" s="84"/>
      <c r="CA1906" s="84"/>
      <c r="CB1906" s="84"/>
      <c r="CC1906" s="84"/>
      <c r="CD1906" s="84"/>
      <c r="CE1906" s="84"/>
      <c r="CF1906" s="84"/>
      <c r="CG1906" s="84"/>
      <c r="CH1906" s="84"/>
      <c r="CI1906" s="84"/>
      <c r="CJ1906" s="84"/>
      <c r="CK1906" s="84"/>
      <c r="CL1906" s="84"/>
    </row>
    <row r="1907" spans="66:90" s="354" customFormat="1" x14ac:dyDescent="0.2">
      <c r="BN1907" s="84"/>
      <c r="BO1907" s="84"/>
      <c r="BP1907" s="84"/>
      <c r="BQ1907" s="84"/>
      <c r="BR1907" s="84"/>
      <c r="BS1907" s="84"/>
      <c r="BT1907" s="84"/>
      <c r="BU1907" s="84"/>
      <c r="BV1907" s="84"/>
      <c r="BW1907" s="84"/>
      <c r="BX1907" s="84"/>
      <c r="BY1907" s="84"/>
      <c r="BZ1907" s="84"/>
      <c r="CA1907" s="84"/>
      <c r="CB1907" s="84"/>
      <c r="CC1907" s="84"/>
      <c r="CD1907" s="84"/>
      <c r="CE1907" s="84"/>
      <c r="CF1907" s="84"/>
      <c r="CG1907" s="84"/>
      <c r="CH1907" s="84"/>
      <c r="CI1907" s="84"/>
      <c r="CJ1907" s="84"/>
      <c r="CK1907" s="84"/>
      <c r="CL1907" s="84"/>
    </row>
    <row r="1908" spans="66:90" s="354" customFormat="1" x14ac:dyDescent="0.2">
      <c r="BN1908" s="84"/>
      <c r="BO1908" s="84"/>
      <c r="BP1908" s="84"/>
      <c r="BQ1908" s="84"/>
      <c r="BR1908" s="84"/>
      <c r="BS1908" s="84"/>
      <c r="BT1908" s="84"/>
      <c r="BU1908" s="84"/>
      <c r="BV1908" s="84"/>
      <c r="BW1908" s="84"/>
      <c r="BX1908" s="84"/>
      <c r="BY1908" s="84"/>
      <c r="BZ1908" s="84"/>
      <c r="CA1908" s="84"/>
      <c r="CB1908" s="84"/>
      <c r="CC1908" s="84"/>
      <c r="CD1908" s="84"/>
      <c r="CE1908" s="84"/>
      <c r="CF1908" s="84"/>
      <c r="CG1908" s="84"/>
      <c r="CH1908" s="84"/>
      <c r="CI1908" s="84"/>
      <c r="CJ1908" s="84"/>
      <c r="CK1908" s="84"/>
      <c r="CL1908" s="84"/>
    </row>
    <row r="1909" spans="66:90" s="354" customFormat="1" x14ac:dyDescent="0.2">
      <c r="BN1909" s="84"/>
      <c r="BO1909" s="84"/>
      <c r="BP1909" s="84"/>
      <c r="BQ1909" s="84"/>
      <c r="BR1909" s="84"/>
      <c r="BS1909" s="84"/>
      <c r="BT1909" s="84"/>
      <c r="BU1909" s="84"/>
      <c r="BV1909" s="84"/>
      <c r="BW1909" s="84"/>
      <c r="BX1909" s="84"/>
      <c r="BY1909" s="84"/>
      <c r="BZ1909" s="84"/>
      <c r="CA1909" s="84"/>
      <c r="CB1909" s="84"/>
      <c r="CC1909" s="84"/>
      <c r="CD1909" s="84"/>
      <c r="CE1909" s="84"/>
      <c r="CF1909" s="84"/>
      <c r="CG1909" s="84"/>
      <c r="CH1909" s="84"/>
      <c r="CI1909" s="84"/>
      <c r="CJ1909" s="84"/>
      <c r="CK1909" s="84"/>
      <c r="CL1909" s="84"/>
    </row>
    <row r="1910" spans="66:90" s="354" customFormat="1" x14ac:dyDescent="0.2">
      <c r="BN1910" s="84"/>
      <c r="BO1910" s="84"/>
      <c r="BP1910" s="84"/>
      <c r="BQ1910" s="84"/>
      <c r="BR1910" s="84"/>
      <c r="BS1910" s="84"/>
      <c r="BT1910" s="84"/>
      <c r="BU1910" s="84"/>
      <c r="BV1910" s="84"/>
      <c r="BW1910" s="84"/>
      <c r="BX1910" s="84"/>
      <c r="BY1910" s="84"/>
      <c r="BZ1910" s="84"/>
      <c r="CA1910" s="84"/>
      <c r="CB1910" s="84"/>
      <c r="CC1910" s="84"/>
      <c r="CD1910" s="84"/>
      <c r="CE1910" s="84"/>
      <c r="CF1910" s="84"/>
      <c r="CG1910" s="84"/>
      <c r="CH1910" s="84"/>
      <c r="CI1910" s="84"/>
      <c r="CJ1910" s="84"/>
      <c r="CK1910" s="84"/>
      <c r="CL1910" s="84"/>
    </row>
    <row r="1911" spans="66:90" s="354" customFormat="1" x14ac:dyDescent="0.2">
      <c r="BN1911" s="84"/>
      <c r="BO1911" s="84"/>
      <c r="BP1911" s="84"/>
      <c r="BQ1911" s="84"/>
      <c r="BR1911" s="84"/>
      <c r="BS1911" s="84"/>
      <c r="BT1911" s="84"/>
      <c r="BU1911" s="84"/>
      <c r="BV1911" s="84"/>
      <c r="BW1911" s="84"/>
      <c r="BX1911" s="84"/>
      <c r="BY1911" s="84"/>
      <c r="BZ1911" s="84"/>
      <c r="CA1911" s="84"/>
      <c r="CB1911" s="84"/>
      <c r="CC1911" s="84"/>
      <c r="CD1911" s="84"/>
      <c r="CE1911" s="84"/>
      <c r="CF1911" s="84"/>
      <c r="CG1911" s="84"/>
      <c r="CH1911" s="84"/>
      <c r="CI1911" s="84"/>
      <c r="CJ1911" s="84"/>
      <c r="CK1911" s="84"/>
      <c r="CL1911" s="84"/>
    </row>
    <row r="1912" spans="66:90" s="354" customFormat="1" x14ac:dyDescent="0.2">
      <c r="BN1912" s="84"/>
      <c r="BO1912" s="84"/>
      <c r="BP1912" s="84"/>
      <c r="BQ1912" s="84"/>
      <c r="BR1912" s="84"/>
      <c r="BS1912" s="84"/>
      <c r="BT1912" s="84"/>
      <c r="BU1912" s="84"/>
      <c r="BV1912" s="84"/>
      <c r="BW1912" s="84"/>
      <c r="BX1912" s="84"/>
      <c r="BY1912" s="84"/>
      <c r="BZ1912" s="84"/>
      <c r="CA1912" s="84"/>
      <c r="CB1912" s="84"/>
      <c r="CC1912" s="84"/>
      <c r="CD1912" s="84"/>
      <c r="CE1912" s="84"/>
      <c r="CF1912" s="84"/>
      <c r="CG1912" s="84"/>
      <c r="CH1912" s="84"/>
      <c r="CI1912" s="84"/>
      <c r="CJ1912" s="84"/>
      <c r="CK1912" s="84"/>
      <c r="CL1912" s="84"/>
    </row>
    <row r="1913" spans="66:90" s="354" customFormat="1" x14ac:dyDescent="0.2">
      <c r="BN1913" s="84"/>
      <c r="BO1913" s="84"/>
      <c r="BP1913" s="84"/>
      <c r="BQ1913" s="84"/>
      <c r="BR1913" s="84"/>
      <c r="BS1913" s="84"/>
      <c r="BT1913" s="84"/>
      <c r="BU1913" s="84"/>
      <c r="BV1913" s="84"/>
      <c r="BW1913" s="84"/>
      <c r="BX1913" s="84"/>
      <c r="BY1913" s="84"/>
      <c r="BZ1913" s="84"/>
      <c r="CA1913" s="84"/>
      <c r="CB1913" s="84"/>
      <c r="CC1913" s="84"/>
      <c r="CD1913" s="84"/>
      <c r="CE1913" s="84"/>
      <c r="CF1913" s="84"/>
      <c r="CG1913" s="84"/>
      <c r="CH1913" s="84"/>
      <c r="CI1913" s="84"/>
      <c r="CJ1913" s="84"/>
      <c r="CK1913" s="84"/>
      <c r="CL1913" s="84"/>
    </row>
    <row r="1914" spans="66:90" s="354" customFormat="1" x14ac:dyDescent="0.2">
      <c r="BN1914" s="84"/>
      <c r="BO1914" s="84"/>
      <c r="BP1914" s="84"/>
      <c r="BQ1914" s="84"/>
      <c r="BR1914" s="84"/>
      <c r="BS1914" s="84"/>
      <c r="BT1914" s="84"/>
      <c r="BU1914" s="84"/>
      <c r="BV1914" s="84"/>
      <c r="BW1914" s="84"/>
      <c r="BX1914" s="84"/>
      <c r="BY1914" s="84"/>
      <c r="BZ1914" s="84"/>
      <c r="CA1914" s="84"/>
      <c r="CB1914" s="84"/>
      <c r="CC1914" s="84"/>
      <c r="CD1914" s="84"/>
      <c r="CE1914" s="84"/>
      <c r="CF1914" s="84"/>
      <c r="CG1914" s="84"/>
      <c r="CH1914" s="84"/>
      <c r="CI1914" s="84"/>
      <c r="CJ1914" s="84"/>
      <c r="CK1914" s="84"/>
      <c r="CL1914" s="84"/>
    </row>
    <row r="1915" spans="66:90" s="354" customFormat="1" x14ac:dyDescent="0.2">
      <c r="BN1915" s="84"/>
      <c r="BO1915" s="84"/>
      <c r="BP1915" s="84"/>
      <c r="BQ1915" s="84"/>
      <c r="BR1915" s="84"/>
      <c r="BS1915" s="84"/>
      <c r="BT1915" s="84"/>
      <c r="BU1915" s="84"/>
      <c r="BV1915" s="84"/>
      <c r="BW1915" s="84"/>
      <c r="BX1915" s="84"/>
      <c r="BY1915" s="84"/>
      <c r="BZ1915" s="84"/>
      <c r="CA1915" s="84"/>
      <c r="CB1915" s="84"/>
      <c r="CC1915" s="84"/>
      <c r="CD1915" s="84"/>
      <c r="CE1915" s="84"/>
      <c r="CF1915" s="84"/>
      <c r="CG1915" s="84"/>
      <c r="CH1915" s="84"/>
      <c r="CI1915" s="84"/>
      <c r="CJ1915" s="84"/>
      <c r="CK1915" s="84"/>
      <c r="CL1915" s="84"/>
    </row>
    <row r="1916" spans="66:90" s="354" customFormat="1" x14ac:dyDescent="0.2">
      <c r="BN1916" s="84"/>
      <c r="BO1916" s="84"/>
      <c r="BP1916" s="84"/>
      <c r="BQ1916" s="84"/>
      <c r="BR1916" s="84"/>
      <c r="BS1916" s="84"/>
      <c r="BT1916" s="84"/>
      <c r="BU1916" s="84"/>
      <c r="BV1916" s="84"/>
      <c r="BW1916" s="84"/>
      <c r="BX1916" s="84"/>
      <c r="BY1916" s="84"/>
      <c r="BZ1916" s="84"/>
      <c r="CA1916" s="84"/>
      <c r="CB1916" s="84"/>
      <c r="CC1916" s="84"/>
      <c r="CD1916" s="84"/>
      <c r="CE1916" s="84"/>
      <c r="CF1916" s="84"/>
      <c r="CG1916" s="84"/>
      <c r="CH1916" s="84"/>
      <c r="CI1916" s="84"/>
      <c r="CJ1916" s="84"/>
      <c r="CK1916" s="84"/>
      <c r="CL1916" s="84"/>
    </row>
    <row r="1917" spans="66:90" s="354" customFormat="1" x14ac:dyDescent="0.2">
      <c r="BN1917" s="84"/>
      <c r="BO1917" s="84"/>
      <c r="BP1917" s="84"/>
      <c r="BQ1917" s="84"/>
      <c r="BR1917" s="84"/>
      <c r="BS1917" s="84"/>
      <c r="BT1917" s="84"/>
      <c r="BU1917" s="84"/>
      <c r="BV1917" s="84"/>
      <c r="BW1917" s="84"/>
      <c r="BX1917" s="84"/>
      <c r="BY1917" s="84"/>
      <c r="BZ1917" s="84"/>
      <c r="CA1917" s="84"/>
      <c r="CB1917" s="84"/>
      <c r="CC1917" s="84"/>
      <c r="CD1917" s="84"/>
      <c r="CE1917" s="84"/>
      <c r="CF1917" s="84"/>
      <c r="CG1917" s="84"/>
      <c r="CH1917" s="84"/>
      <c r="CI1917" s="84"/>
      <c r="CJ1917" s="84"/>
      <c r="CK1917" s="84"/>
      <c r="CL1917" s="84"/>
    </row>
    <row r="1918" spans="66:90" s="354" customFormat="1" x14ac:dyDescent="0.2">
      <c r="BN1918" s="84"/>
      <c r="BO1918" s="84"/>
      <c r="BP1918" s="84"/>
      <c r="BQ1918" s="84"/>
      <c r="BR1918" s="84"/>
      <c r="BS1918" s="84"/>
      <c r="BT1918" s="84"/>
      <c r="BU1918" s="84"/>
      <c r="BV1918" s="84"/>
      <c r="BW1918" s="84"/>
      <c r="BX1918" s="84"/>
      <c r="BY1918" s="84"/>
      <c r="BZ1918" s="84"/>
      <c r="CA1918" s="84"/>
      <c r="CB1918" s="84"/>
      <c r="CC1918" s="84"/>
      <c r="CD1918" s="84"/>
      <c r="CE1918" s="84"/>
      <c r="CF1918" s="84"/>
      <c r="CG1918" s="84"/>
      <c r="CH1918" s="84"/>
      <c r="CI1918" s="84"/>
      <c r="CJ1918" s="84"/>
      <c r="CK1918" s="84"/>
      <c r="CL1918" s="84"/>
    </row>
    <row r="1919" spans="66:90" s="354" customFormat="1" x14ac:dyDescent="0.2">
      <c r="BN1919" s="84"/>
      <c r="BO1919" s="84"/>
      <c r="BP1919" s="84"/>
      <c r="BQ1919" s="84"/>
      <c r="BR1919" s="84"/>
      <c r="BS1919" s="84"/>
      <c r="BT1919" s="84"/>
      <c r="BU1919" s="84"/>
      <c r="BV1919" s="84"/>
      <c r="BW1919" s="84"/>
      <c r="BX1919" s="84"/>
      <c r="BY1919" s="84"/>
      <c r="BZ1919" s="84"/>
      <c r="CA1919" s="84"/>
      <c r="CB1919" s="84"/>
      <c r="CC1919" s="84"/>
      <c r="CD1919" s="84"/>
      <c r="CE1919" s="84"/>
      <c r="CF1919" s="84"/>
      <c r="CG1919" s="84"/>
      <c r="CH1919" s="84"/>
      <c r="CI1919" s="84"/>
      <c r="CJ1919" s="84"/>
      <c r="CK1919" s="84"/>
      <c r="CL1919" s="84"/>
    </row>
    <row r="1920" spans="66:90" s="354" customFormat="1" x14ac:dyDescent="0.2">
      <c r="BN1920" s="84"/>
      <c r="BO1920" s="84"/>
      <c r="BP1920" s="84"/>
      <c r="BQ1920" s="84"/>
      <c r="BR1920" s="84"/>
      <c r="BS1920" s="84"/>
      <c r="BT1920" s="84"/>
      <c r="BU1920" s="84"/>
      <c r="BV1920" s="84"/>
      <c r="BW1920" s="84"/>
      <c r="BX1920" s="84"/>
      <c r="BY1920" s="84"/>
      <c r="BZ1920" s="84"/>
      <c r="CA1920" s="84"/>
      <c r="CB1920" s="84"/>
      <c r="CC1920" s="84"/>
      <c r="CD1920" s="84"/>
      <c r="CE1920" s="84"/>
      <c r="CF1920" s="84"/>
      <c r="CG1920" s="84"/>
      <c r="CH1920" s="84"/>
      <c r="CI1920" s="84"/>
      <c r="CJ1920" s="84"/>
      <c r="CK1920" s="84"/>
      <c r="CL1920" s="84"/>
    </row>
    <row r="1921" spans="66:90" s="354" customFormat="1" x14ac:dyDescent="0.2">
      <c r="BN1921" s="84"/>
      <c r="BO1921" s="84"/>
      <c r="BP1921" s="84"/>
      <c r="BQ1921" s="84"/>
      <c r="BR1921" s="84"/>
      <c r="BS1921" s="84"/>
      <c r="BT1921" s="84"/>
      <c r="BU1921" s="84"/>
      <c r="BV1921" s="84"/>
      <c r="BW1921" s="84"/>
      <c r="BX1921" s="84"/>
      <c r="BY1921" s="84"/>
      <c r="BZ1921" s="84"/>
      <c r="CA1921" s="84"/>
      <c r="CB1921" s="84"/>
      <c r="CC1921" s="84"/>
      <c r="CD1921" s="84"/>
      <c r="CE1921" s="84"/>
      <c r="CF1921" s="84"/>
      <c r="CG1921" s="84"/>
      <c r="CH1921" s="84"/>
      <c r="CI1921" s="84"/>
      <c r="CJ1921" s="84"/>
      <c r="CK1921" s="84"/>
      <c r="CL1921" s="84"/>
    </row>
    <row r="1922" spans="66:90" s="354" customFormat="1" x14ac:dyDescent="0.2">
      <c r="BN1922" s="84"/>
      <c r="BO1922" s="84"/>
      <c r="BP1922" s="84"/>
      <c r="BQ1922" s="84"/>
      <c r="BR1922" s="84"/>
      <c r="BS1922" s="84"/>
      <c r="BT1922" s="84"/>
      <c r="BU1922" s="84"/>
      <c r="BV1922" s="84"/>
      <c r="BW1922" s="84"/>
      <c r="BX1922" s="84"/>
      <c r="BY1922" s="84"/>
      <c r="BZ1922" s="84"/>
      <c r="CA1922" s="84"/>
      <c r="CB1922" s="84"/>
      <c r="CC1922" s="84"/>
      <c r="CD1922" s="84"/>
      <c r="CE1922" s="84"/>
      <c r="CF1922" s="84"/>
      <c r="CG1922" s="84"/>
      <c r="CH1922" s="84"/>
      <c r="CI1922" s="84"/>
      <c r="CJ1922" s="84"/>
      <c r="CK1922" s="84"/>
      <c r="CL1922" s="84"/>
    </row>
    <row r="1923" spans="66:90" s="354" customFormat="1" x14ac:dyDescent="0.2">
      <c r="BN1923" s="84"/>
      <c r="BO1923" s="84"/>
      <c r="BP1923" s="84"/>
      <c r="BQ1923" s="84"/>
      <c r="BR1923" s="84"/>
      <c r="BS1923" s="84"/>
      <c r="BT1923" s="84"/>
      <c r="BU1923" s="84"/>
      <c r="BV1923" s="84"/>
      <c r="BW1923" s="84"/>
      <c r="BX1923" s="84"/>
      <c r="BY1923" s="84"/>
      <c r="BZ1923" s="84"/>
      <c r="CA1923" s="84"/>
      <c r="CB1923" s="84"/>
      <c r="CC1923" s="84"/>
      <c r="CD1923" s="84"/>
      <c r="CE1923" s="84"/>
      <c r="CF1923" s="84"/>
      <c r="CG1923" s="84"/>
      <c r="CH1923" s="84"/>
      <c r="CI1923" s="84"/>
      <c r="CJ1923" s="84"/>
      <c r="CK1923" s="84"/>
      <c r="CL1923" s="84"/>
    </row>
    <row r="1924" spans="66:90" s="354" customFormat="1" x14ac:dyDescent="0.2">
      <c r="BN1924" s="84"/>
      <c r="BO1924" s="84"/>
      <c r="BP1924" s="84"/>
      <c r="BQ1924" s="84"/>
      <c r="BR1924" s="84"/>
      <c r="BS1924" s="84"/>
      <c r="BT1924" s="84"/>
      <c r="BU1924" s="84"/>
      <c r="BV1924" s="84"/>
      <c r="BW1924" s="84"/>
      <c r="BX1924" s="84"/>
      <c r="BY1924" s="84"/>
      <c r="BZ1924" s="84"/>
      <c r="CA1924" s="84"/>
      <c r="CB1924" s="84"/>
      <c r="CC1924" s="84"/>
      <c r="CD1924" s="84"/>
      <c r="CE1924" s="84"/>
      <c r="CF1924" s="84"/>
      <c r="CG1924" s="84"/>
      <c r="CH1924" s="84"/>
      <c r="CI1924" s="84"/>
      <c r="CJ1924" s="84"/>
      <c r="CK1924" s="84"/>
      <c r="CL1924" s="84"/>
    </row>
    <row r="1925" spans="66:90" s="354" customFormat="1" x14ac:dyDescent="0.2">
      <c r="BN1925" s="84"/>
      <c r="BO1925" s="84"/>
      <c r="BP1925" s="84"/>
      <c r="BQ1925" s="84"/>
      <c r="BR1925" s="84"/>
      <c r="BS1925" s="84"/>
      <c r="BT1925" s="84"/>
      <c r="BU1925" s="84"/>
      <c r="BV1925" s="84"/>
      <c r="BW1925" s="84"/>
      <c r="BX1925" s="84"/>
      <c r="BY1925" s="84"/>
      <c r="BZ1925" s="84"/>
      <c r="CA1925" s="84"/>
      <c r="CB1925" s="84"/>
      <c r="CC1925" s="84"/>
      <c r="CD1925" s="84"/>
      <c r="CE1925" s="84"/>
      <c r="CF1925" s="84"/>
      <c r="CG1925" s="84"/>
      <c r="CH1925" s="84"/>
      <c r="CI1925" s="84"/>
      <c r="CJ1925" s="84"/>
      <c r="CK1925" s="84"/>
      <c r="CL1925" s="84"/>
    </row>
    <row r="1926" spans="66:90" s="354" customFormat="1" x14ac:dyDescent="0.2">
      <c r="BN1926" s="84"/>
      <c r="BO1926" s="84"/>
      <c r="BP1926" s="84"/>
      <c r="BQ1926" s="84"/>
      <c r="BR1926" s="84"/>
      <c r="BS1926" s="84"/>
      <c r="BT1926" s="84"/>
      <c r="BU1926" s="84"/>
      <c r="BV1926" s="84"/>
      <c r="BW1926" s="84"/>
      <c r="BX1926" s="84"/>
      <c r="BY1926" s="84"/>
      <c r="BZ1926" s="84"/>
      <c r="CA1926" s="84"/>
      <c r="CB1926" s="84"/>
      <c r="CC1926" s="84"/>
      <c r="CD1926" s="84"/>
      <c r="CE1926" s="84"/>
      <c r="CF1926" s="84"/>
      <c r="CG1926" s="84"/>
      <c r="CH1926" s="84"/>
      <c r="CI1926" s="84"/>
      <c r="CJ1926" s="84"/>
      <c r="CK1926" s="84"/>
      <c r="CL1926" s="84"/>
    </row>
    <row r="1927" spans="66:90" s="354" customFormat="1" x14ac:dyDescent="0.2">
      <c r="BN1927" s="84"/>
      <c r="BO1927" s="84"/>
      <c r="BP1927" s="84"/>
      <c r="BQ1927" s="84"/>
      <c r="BR1927" s="84"/>
      <c r="BS1927" s="84"/>
      <c r="BT1927" s="84"/>
      <c r="BU1927" s="84"/>
      <c r="BV1927" s="84"/>
      <c r="BW1927" s="84"/>
      <c r="BX1927" s="84"/>
      <c r="BY1927" s="84"/>
      <c r="BZ1927" s="84"/>
      <c r="CA1927" s="84"/>
      <c r="CB1927" s="84"/>
      <c r="CC1927" s="84"/>
      <c r="CD1927" s="84"/>
      <c r="CE1927" s="84"/>
      <c r="CF1927" s="84"/>
      <c r="CG1927" s="84"/>
      <c r="CH1927" s="84"/>
      <c r="CI1927" s="84"/>
      <c r="CJ1927" s="84"/>
      <c r="CK1927" s="84"/>
      <c r="CL1927" s="84"/>
    </row>
    <row r="1928" spans="66:90" s="354" customFormat="1" x14ac:dyDescent="0.2">
      <c r="BN1928" s="84"/>
      <c r="BO1928" s="84"/>
      <c r="BP1928" s="84"/>
      <c r="BQ1928" s="84"/>
      <c r="BR1928" s="84"/>
      <c r="BS1928" s="84"/>
      <c r="BT1928" s="84"/>
      <c r="BU1928" s="84"/>
      <c r="BV1928" s="84"/>
      <c r="BW1928" s="84"/>
      <c r="BX1928" s="84"/>
      <c r="BY1928" s="84"/>
      <c r="BZ1928" s="84"/>
      <c r="CA1928" s="84"/>
      <c r="CB1928" s="84"/>
      <c r="CC1928" s="84"/>
      <c r="CD1928" s="84"/>
      <c r="CE1928" s="84"/>
      <c r="CF1928" s="84"/>
      <c r="CG1928" s="84"/>
      <c r="CH1928" s="84"/>
      <c r="CI1928" s="84"/>
      <c r="CJ1928" s="84"/>
      <c r="CK1928" s="84"/>
      <c r="CL1928" s="84"/>
    </row>
    <row r="1929" spans="66:90" s="354" customFormat="1" x14ac:dyDescent="0.2">
      <c r="BN1929" s="84"/>
      <c r="BO1929" s="84"/>
      <c r="BP1929" s="84"/>
      <c r="BQ1929" s="84"/>
      <c r="BR1929" s="84"/>
      <c r="BS1929" s="84"/>
      <c r="BT1929" s="84"/>
      <c r="BU1929" s="84"/>
      <c r="BV1929" s="84"/>
      <c r="BW1929" s="84"/>
      <c r="BX1929" s="84"/>
      <c r="BY1929" s="84"/>
      <c r="BZ1929" s="84"/>
      <c r="CA1929" s="84"/>
      <c r="CB1929" s="84"/>
      <c r="CC1929" s="84"/>
      <c r="CD1929" s="84"/>
      <c r="CE1929" s="84"/>
      <c r="CF1929" s="84"/>
      <c r="CG1929" s="84"/>
      <c r="CH1929" s="84"/>
      <c r="CI1929" s="84"/>
      <c r="CJ1929" s="84"/>
      <c r="CK1929" s="84"/>
      <c r="CL1929" s="84"/>
    </row>
    <row r="1930" spans="66:90" s="354" customFormat="1" x14ac:dyDescent="0.2">
      <c r="BN1930" s="84"/>
      <c r="BO1930" s="84"/>
      <c r="BP1930" s="84"/>
      <c r="BQ1930" s="84"/>
      <c r="BR1930" s="84"/>
      <c r="BS1930" s="84"/>
      <c r="BT1930" s="84"/>
      <c r="BU1930" s="84"/>
      <c r="BV1930" s="84"/>
      <c r="BW1930" s="84"/>
      <c r="BX1930" s="84"/>
      <c r="BY1930" s="84"/>
      <c r="BZ1930" s="84"/>
      <c r="CA1930" s="84"/>
      <c r="CB1930" s="84"/>
      <c r="CC1930" s="84"/>
      <c r="CD1930" s="84"/>
      <c r="CE1930" s="84"/>
      <c r="CF1930" s="84"/>
      <c r="CG1930" s="84"/>
      <c r="CH1930" s="84"/>
      <c r="CI1930" s="84"/>
      <c r="CJ1930" s="84"/>
      <c r="CK1930" s="84"/>
      <c r="CL1930" s="84"/>
    </row>
    <row r="1931" spans="66:90" s="354" customFormat="1" x14ac:dyDescent="0.2">
      <c r="BN1931" s="84"/>
      <c r="BO1931" s="84"/>
      <c r="BP1931" s="84"/>
      <c r="BQ1931" s="84"/>
      <c r="BR1931" s="84"/>
      <c r="BS1931" s="84"/>
      <c r="BT1931" s="84"/>
      <c r="BU1931" s="84"/>
      <c r="BV1931" s="84"/>
      <c r="BW1931" s="84"/>
      <c r="BX1931" s="84"/>
      <c r="BY1931" s="84"/>
      <c r="BZ1931" s="84"/>
      <c r="CA1931" s="84"/>
      <c r="CB1931" s="84"/>
      <c r="CC1931" s="84"/>
      <c r="CD1931" s="84"/>
      <c r="CE1931" s="84"/>
      <c r="CF1931" s="84"/>
      <c r="CG1931" s="84"/>
      <c r="CH1931" s="84"/>
      <c r="CI1931" s="84"/>
      <c r="CJ1931" s="84"/>
      <c r="CK1931" s="84"/>
      <c r="CL1931" s="84"/>
    </row>
    <row r="1932" spans="66:90" s="354" customFormat="1" x14ac:dyDescent="0.2">
      <c r="BN1932" s="84"/>
      <c r="BO1932" s="84"/>
      <c r="BP1932" s="84"/>
      <c r="BQ1932" s="84"/>
      <c r="BR1932" s="84"/>
      <c r="BS1932" s="84"/>
      <c r="BT1932" s="84"/>
      <c r="BU1932" s="84"/>
      <c r="BV1932" s="84"/>
      <c r="BW1932" s="84"/>
      <c r="BX1932" s="84"/>
      <c r="BY1932" s="84"/>
      <c r="BZ1932" s="84"/>
      <c r="CA1932" s="84"/>
      <c r="CB1932" s="84"/>
      <c r="CC1932" s="84"/>
      <c r="CD1932" s="84"/>
      <c r="CE1932" s="84"/>
      <c r="CF1932" s="84"/>
      <c r="CG1932" s="84"/>
      <c r="CH1932" s="84"/>
      <c r="CI1932" s="84"/>
      <c r="CJ1932" s="84"/>
      <c r="CK1932" s="84"/>
      <c r="CL1932" s="84"/>
    </row>
    <row r="1933" spans="66:90" s="354" customFormat="1" x14ac:dyDescent="0.2">
      <c r="BN1933" s="84"/>
      <c r="BO1933" s="84"/>
      <c r="BP1933" s="84"/>
      <c r="BQ1933" s="84"/>
      <c r="BR1933" s="84"/>
      <c r="BS1933" s="84"/>
      <c r="BT1933" s="84"/>
      <c r="BU1933" s="84"/>
      <c r="BV1933" s="84"/>
      <c r="BW1933" s="84"/>
      <c r="BX1933" s="84"/>
      <c r="BY1933" s="84"/>
      <c r="BZ1933" s="84"/>
      <c r="CA1933" s="84"/>
      <c r="CB1933" s="84"/>
      <c r="CC1933" s="84"/>
      <c r="CD1933" s="84"/>
      <c r="CE1933" s="84"/>
      <c r="CF1933" s="84"/>
      <c r="CG1933" s="84"/>
      <c r="CH1933" s="84"/>
      <c r="CI1933" s="84"/>
      <c r="CJ1933" s="84"/>
      <c r="CK1933" s="84"/>
      <c r="CL1933" s="84"/>
    </row>
    <row r="1934" spans="66:90" s="354" customFormat="1" x14ac:dyDescent="0.2">
      <c r="BN1934" s="84"/>
      <c r="BO1934" s="84"/>
      <c r="BP1934" s="84"/>
      <c r="BQ1934" s="84"/>
      <c r="BR1934" s="84"/>
      <c r="BS1934" s="84"/>
      <c r="BT1934" s="84"/>
      <c r="BU1934" s="84"/>
      <c r="BV1934" s="84"/>
      <c r="BW1934" s="84"/>
      <c r="BX1934" s="84"/>
      <c r="BY1934" s="84"/>
      <c r="BZ1934" s="84"/>
      <c r="CA1934" s="84"/>
      <c r="CB1934" s="84"/>
      <c r="CC1934" s="84"/>
      <c r="CD1934" s="84"/>
      <c r="CE1934" s="84"/>
      <c r="CF1934" s="84"/>
      <c r="CG1934" s="84"/>
      <c r="CH1934" s="84"/>
      <c r="CI1934" s="84"/>
      <c r="CJ1934" s="84"/>
      <c r="CK1934" s="84"/>
      <c r="CL1934" s="84"/>
    </row>
    <row r="1935" spans="66:90" s="354" customFormat="1" x14ac:dyDescent="0.2">
      <c r="BN1935" s="84"/>
      <c r="BO1935" s="84"/>
      <c r="BP1935" s="84"/>
      <c r="BQ1935" s="84"/>
      <c r="BR1935" s="84"/>
      <c r="BS1935" s="84"/>
      <c r="BT1935" s="84"/>
      <c r="BU1935" s="84"/>
      <c r="BV1935" s="84"/>
      <c r="BW1935" s="84"/>
      <c r="BX1935" s="84"/>
      <c r="BY1935" s="84"/>
      <c r="BZ1935" s="84"/>
      <c r="CA1935" s="84"/>
      <c r="CB1935" s="84"/>
      <c r="CC1935" s="84"/>
      <c r="CD1935" s="84"/>
      <c r="CE1935" s="84"/>
      <c r="CF1935" s="84"/>
      <c r="CG1935" s="84"/>
      <c r="CH1935" s="84"/>
      <c r="CI1935" s="84"/>
      <c r="CJ1935" s="84"/>
      <c r="CK1935" s="84"/>
      <c r="CL1935" s="84"/>
    </row>
    <row r="1936" spans="66:90" s="354" customFormat="1" x14ac:dyDescent="0.2">
      <c r="BN1936" s="84"/>
      <c r="BO1936" s="84"/>
      <c r="BP1936" s="84"/>
      <c r="BQ1936" s="84"/>
      <c r="BR1936" s="84"/>
      <c r="BS1936" s="84"/>
      <c r="BT1936" s="84"/>
      <c r="BU1936" s="84"/>
      <c r="BV1936" s="84"/>
      <c r="BW1936" s="84"/>
      <c r="BX1936" s="84"/>
      <c r="BY1936" s="84"/>
      <c r="BZ1936" s="84"/>
      <c r="CA1936" s="84"/>
      <c r="CB1936" s="84"/>
      <c r="CC1936" s="84"/>
      <c r="CD1936" s="84"/>
      <c r="CE1936" s="84"/>
      <c r="CF1936" s="84"/>
      <c r="CG1936" s="84"/>
      <c r="CH1936" s="84"/>
      <c r="CI1936" s="84"/>
      <c r="CJ1936" s="84"/>
      <c r="CK1936" s="84"/>
      <c r="CL1936" s="84"/>
    </row>
    <row r="1937" spans="66:90" s="354" customFormat="1" x14ac:dyDescent="0.2">
      <c r="BN1937" s="84"/>
      <c r="BO1937" s="84"/>
      <c r="BP1937" s="84"/>
      <c r="BQ1937" s="84"/>
      <c r="BR1937" s="84"/>
      <c r="BS1937" s="84"/>
      <c r="BT1937" s="84"/>
      <c r="BU1937" s="84"/>
      <c r="BV1937" s="84"/>
      <c r="BW1937" s="84"/>
      <c r="BX1937" s="84"/>
      <c r="BY1937" s="84"/>
      <c r="BZ1937" s="84"/>
      <c r="CA1937" s="84"/>
      <c r="CB1937" s="84"/>
      <c r="CC1937" s="84"/>
      <c r="CD1937" s="84"/>
      <c r="CE1937" s="84"/>
      <c r="CF1937" s="84"/>
      <c r="CG1937" s="84"/>
      <c r="CH1937" s="84"/>
      <c r="CI1937" s="84"/>
      <c r="CJ1937" s="84"/>
      <c r="CK1937" s="84"/>
      <c r="CL1937" s="84"/>
    </row>
    <row r="1938" spans="66:90" s="354" customFormat="1" x14ac:dyDescent="0.2">
      <c r="BN1938" s="84"/>
      <c r="BO1938" s="84"/>
      <c r="BP1938" s="84"/>
      <c r="BQ1938" s="84"/>
      <c r="BR1938" s="84"/>
      <c r="BS1938" s="84"/>
      <c r="BT1938" s="84"/>
      <c r="BU1938" s="84"/>
      <c r="BV1938" s="84"/>
      <c r="BW1938" s="84"/>
      <c r="BX1938" s="84"/>
      <c r="BY1938" s="84"/>
      <c r="BZ1938" s="84"/>
      <c r="CA1938" s="84"/>
      <c r="CB1938" s="84"/>
      <c r="CC1938" s="84"/>
      <c r="CD1938" s="84"/>
      <c r="CE1938" s="84"/>
      <c r="CF1938" s="84"/>
      <c r="CG1938" s="84"/>
      <c r="CH1938" s="84"/>
      <c r="CI1938" s="84"/>
      <c r="CJ1938" s="84"/>
      <c r="CK1938" s="84"/>
      <c r="CL1938" s="84"/>
    </row>
    <row r="1939" spans="66:90" s="354" customFormat="1" x14ac:dyDescent="0.2">
      <c r="BN1939" s="84"/>
      <c r="BO1939" s="84"/>
      <c r="BP1939" s="84"/>
      <c r="BQ1939" s="84"/>
      <c r="BR1939" s="84"/>
      <c r="BS1939" s="84"/>
      <c r="BT1939" s="84"/>
      <c r="BU1939" s="84"/>
      <c r="BV1939" s="84"/>
      <c r="BW1939" s="84"/>
      <c r="BX1939" s="84"/>
      <c r="BY1939" s="84"/>
      <c r="BZ1939" s="84"/>
      <c r="CA1939" s="84"/>
      <c r="CB1939" s="84"/>
      <c r="CC1939" s="84"/>
      <c r="CD1939" s="84"/>
      <c r="CE1939" s="84"/>
      <c r="CF1939" s="84"/>
      <c r="CG1939" s="84"/>
      <c r="CH1939" s="84"/>
      <c r="CI1939" s="84"/>
      <c r="CJ1939" s="84"/>
      <c r="CK1939" s="84"/>
      <c r="CL1939" s="84"/>
    </row>
    <row r="1940" spans="66:90" s="354" customFormat="1" x14ac:dyDescent="0.2">
      <c r="BN1940" s="84"/>
      <c r="BO1940" s="84"/>
      <c r="BP1940" s="84"/>
      <c r="BQ1940" s="84"/>
      <c r="BR1940" s="84"/>
      <c r="BS1940" s="84"/>
      <c r="BT1940" s="84"/>
      <c r="BU1940" s="84"/>
      <c r="BV1940" s="84"/>
      <c r="BW1940" s="84"/>
      <c r="BX1940" s="84"/>
      <c r="BY1940" s="84"/>
      <c r="BZ1940" s="84"/>
      <c r="CA1940" s="84"/>
      <c r="CB1940" s="84"/>
      <c r="CC1940" s="84"/>
      <c r="CD1940" s="84"/>
      <c r="CE1940" s="84"/>
      <c r="CF1940" s="84"/>
      <c r="CG1940" s="84"/>
      <c r="CH1940" s="84"/>
      <c r="CI1940" s="84"/>
      <c r="CJ1940" s="84"/>
      <c r="CK1940" s="84"/>
      <c r="CL1940" s="84"/>
    </row>
    <row r="1941" spans="66:90" s="354" customFormat="1" x14ac:dyDescent="0.2">
      <c r="BN1941" s="84"/>
      <c r="BO1941" s="84"/>
      <c r="BP1941" s="84"/>
      <c r="BQ1941" s="84"/>
      <c r="BR1941" s="84"/>
      <c r="BS1941" s="84"/>
      <c r="BT1941" s="84"/>
      <c r="BU1941" s="84"/>
      <c r="BV1941" s="84"/>
      <c r="BW1941" s="84"/>
      <c r="BX1941" s="84"/>
      <c r="BY1941" s="84"/>
      <c r="BZ1941" s="84"/>
      <c r="CA1941" s="84"/>
      <c r="CB1941" s="84"/>
      <c r="CC1941" s="84"/>
      <c r="CD1941" s="84"/>
      <c r="CE1941" s="84"/>
      <c r="CF1941" s="84"/>
      <c r="CG1941" s="84"/>
      <c r="CH1941" s="84"/>
      <c r="CI1941" s="84"/>
      <c r="CJ1941" s="84"/>
      <c r="CK1941" s="84"/>
      <c r="CL1941" s="84"/>
    </row>
    <row r="1942" spans="66:90" s="354" customFormat="1" x14ac:dyDescent="0.2">
      <c r="BN1942" s="84"/>
      <c r="BO1942" s="84"/>
      <c r="BP1942" s="84"/>
      <c r="BQ1942" s="84"/>
      <c r="BR1942" s="84"/>
      <c r="BS1942" s="84"/>
      <c r="BT1942" s="84"/>
      <c r="BU1942" s="84"/>
      <c r="BV1942" s="84"/>
      <c r="BW1942" s="84"/>
      <c r="BX1942" s="84"/>
      <c r="BY1942" s="84"/>
      <c r="BZ1942" s="84"/>
      <c r="CA1942" s="84"/>
      <c r="CB1942" s="84"/>
      <c r="CC1942" s="84"/>
      <c r="CD1942" s="84"/>
      <c r="CE1942" s="84"/>
      <c r="CF1942" s="84"/>
      <c r="CG1942" s="84"/>
      <c r="CH1942" s="84"/>
      <c r="CI1942" s="84"/>
      <c r="CJ1942" s="84"/>
      <c r="CK1942" s="84"/>
      <c r="CL1942" s="84"/>
    </row>
    <row r="1943" spans="66:90" s="354" customFormat="1" x14ac:dyDescent="0.2">
      <c r="BN1943" s="84"/>
      <c r="BO1943" s="84"/>
      <c r="BP1943" s="84"/>
      <c r="BQ1943" s="84"/>
      <c r="BR1943" s="84"/>
      <c r="BS1943" s="84"/>
      <c r="BT1943" s="84"/>
      <c r="BU1943" s="84"/>
      <c r="BV1943" s="84"/>
      <c r="BW1943" s="84"/>
      <c r="BX1943" s="84"/>
      <c r="BY1943" s="84"/>
      <c r="BZ1943" s="84"/>
      <c r="CA1943" s="84"/>
      <c r="CB1943" s="84"/>
      <c r="CC1943" s="84"/>
      <c r="CD1943" s="84"/>
      <c r="CE1943" s="84"/>
      <c r="CF1943" s="84"/>
      <c r="CG1943" s="84"/>
      <c r="CH1943" s="84"/>
      <c r="CI1943" s="84"/>
      <c r="CJ1943" s="84"/>
      <c r="CK1943" s="84"/>
      <c r="CL1943" s="84"/>
    </row>
    <row r="1944" spans="66:90" s="354" customFormat="1" x14ac:dyDescent="0.2">
      <c r="BN1944" s="84"/>
      <c r="BO1944" s="84"/>
      <c r="BP1944" s="84"/>
      <c r="BQ1944" s="84"/>
      <c r="BR1944" s="84"/>
      <c r="BS1944" s="84"/>
      <c r="BT1944" s="84"/>
      <c r="BU1944" s="84"/>
      <c r="BV1944" s="84"/>
      <c r="BW1944" s="84"/>
      <c r="BX1944" s="84"/>
      <c r="BY1944" s="84"/>
      <c r="BZ1944" s="84"/>
      <c r="CA1944" s="84"/>
      <c r="CB1944" s="84"/>
      <c r="CC1944" s="84"/>
      <c r="CD1944" s="84"/>
      <c r="CE1944" s="84"/>
      <c r="CF1944" s="84"/>
      <c r="CG1944" s="84"/>
      <c r="CH1944" s="84"/>
      <c r="CI1944" s="84"/>
      <c r="CJ1944" s="84"/>
      <c r="CK1944" s="84"/>
      <c r="CL1944" s="84"/>
    </row>
    <row r="1945" spans="66:90" s="354" customFormat="1" x14ac:dyDescent="0.2">
      <c r="BN1945" s="84"/>
      <c r="BO1945" s="84"/>
      <c r="BP1945" s="84"/>
      <c r="BQ1945" s="84"/>
      <c r="BR1945" s="84"/>
      <c r="BS1945" s="84"/>
      <c r="BT1945" s="84"/>
      <c r="BU1945" s="84"/>
      <c r="BV1945" s="84"/>
      <c r="BW1945" s="84"/>
      <c r="BX1945" s="84"/>
      <c r="BY1945" s="84"/>
      <c r="BZ1945" s="84"/>
      <c r="CA1945" s="84"/>
      <c r="CB1945" s="84"/>
      <c r="CC1945" s="84"/>
      <c r="CD1945" s="84"/>
      <c r="CE1945" s="84"/>
      <c r="CF1945" s="84"/>
      <c r="CG1945" s="84"/>
      <c r="CH1945" s="84"/>
      <c r="CI1945" s="84"/>
      <c r="CJ1945" s="84"/>
      <c r="CK1945" s="84"/>
      <c r="CL1945" s="84"/>
    </row>
    <row r="1946" spans="66:90" s="354" customFormat="1" x14ac:dyDescent="0.2">
      <c r="BN1946" s="84"/>
      <c r="BO1946" s="84"/>
      <c r="BP1946" s="84"/>
      <c r="BQ1946" s="84"/>
      <c r="BR1946" s="84"/>
      <c r="BS1946" s="84"/>
      <c r="BT1946" s="84"/>
      <c r="BU1946" s="84"/>
      <c r="BV1946" s="84"/>
      <c r="BW1946" s="84"/>
      <c r="BX1946" s="84"/>
      <c r="BY1946" s="84"/>
      <c r="BZ1946" s="84"/>
      <c r="CA1946" s="84"/>
      <c r="CB1946" s="84"/>
      <c r="CC1946" s="84"/>
      <c r="CD1946" s="84"/>
      <c r="CE1946" s="84"/>
      <c r="CF1946" s="84"/>
      <c r="CG1946" s="84"/>
      <c r="CH1946" s="84"/>
      <c r="CI1946" s="84"/>
      <c r="CJ1946" s="84"/>
      <c r="CK1946" s="84"/>
      <c r="CL1946" s="84"/>
    </row>
    <row r="1947" spans="66:90" s="354" customFormat="1" x14ac:dyDescent="0.2">
      <c r="BN1947" s="84"/>
      <c r="BO1947" s="84"/>
      <c r="BP1947" s="84"/>
      <c r="BQ1947" s="84"/>
      <c r="BR1947" s="84"/>
      <c r="BS1947" s="84"/>
      <c r="BT1947" s="84"/>
      <c r="BU1947" s="84"/>
      <c r="BV1947" s="84"/>
      <c r="BW1947" s="84"/>
      <c r="BX1947" s="84"/>
      <c r="BY1947" s="84"/>
      <c r="BZ1947" s="84"/>
      <c r="CA1947" s="84"/>
      <c r="CB1947" s="84"/>
      <c r="CC1947" s="84"/>
      <c r="CD1947" s="84"/>
      <c r="CE1947" s="84"/>
      <c r="CF1947" s="84"/>
      <c r="CG1947" s="84"/>
      <c r="CH1947" s="84"/>
      <c r="CI1947" s="84"/>
      <c r="CJ1947" s="84"/>
      <c r="CK1947" s="84"/>
      <c r="CL1947" s="84"/>
    </row>
    <row r="1948" spans="66:90" s="354" customFormat="1" x14ac:dyDescent="0.2">
      <c r="BN1948" s="84"/>
      <c r="BO1948" s="84"/>
      <c r="BP1948" s="84"/>
      <c r="BQ1948" s="84"/>
      <c r="BR1948" s="84"/>
      <c r="BS1948" s="84"/>
      <c r="BT1948" s="84"/>
      <c r="BU1948" s="84"/>
      <c r="BV1948" s="84"/>
      <c r="BW1948" s="84"/>
      <c r="BX1948" s="84"/>
      <c r="BY1948" s="84"/>
      <c r="BZ1948" s="84"/>
      <c r="CA1948" s="84"/>
      <c r="CB1948" s="84"/>
      <c r="CC1948" s="84"/>
      <c r="CD1948" s="84"/>
      <c r="CE1948" s="84"/>
      <c r="CF1948" s="84"/>
      <c r="CG1948" s="84"/>
      <c r="CH1948" s="84"/>
      <c r="CI1948" s="84"/>
      <c r="CJ1948" s="84"/>
      <c r="CK1948" s="84"/>
      <c r="CL1948" s="84"/>
    </row>
    <row r="1949" spans="66:90" s="354" customFormat="1" x14ac:dyDescent="0.2">
      <c r="BN1949" s="84"/>
      <c r="BO1949" s="84"/>
      <c r="BP1949" s="84"/>
      <c r="BQ1949" s="84"/>
      <c r="BR1949" s="84"/>
      <c r="BS1949" s="84"/>
      <c r="BT1949" s="84"/>
      <c r="BU1949" s="84"/>
      <c r="BV1949" s="84"/>
      <c r="BW1949" s="84"/>
      <c r="BX1949" s="84"/>
      <c r="BY1949" s="84"/>
      <c r="BZ1949" s="84"/>
      <c r="CA1949" s="84"/>
      <c r="CB1949" s="84"/>
      <c r="CC1949" s="84"/>
      <c r="CD1949" s="84"/>
      <c r="CE1949" s="84"/>
      <c r="CF1949" s="84"/>
      <c r="CG1949" s="84"/>
      <c r="CH1949" s="84"/>
      <c r="CI1949" s="84"/>
      <c r="CJ1949" s="84"/>
      <c r="CK1949" s="84"/>
      <c r="CL1949" s="84"/>
    </row>
    <row r="1950" spans="66:90" s="354" customFormat="1" x14ac:dyDescent="0.2">
      <c r="BN1950" s="84"/>
      <c r="BO1950" s="84"/>
      <c r="BP1950" s="84"/>
      <c r="BQ1950" s="84"/>
      <c r="BR1950" s="84"/>
      <c r="BS1950" s="84"/>
      <c r="BT1950" s="84"/>
      <c r="BU1950" s="84"/>
      <c r="BV1950" s="84"/>
      <c r="BW1950" s="84"/>
      <c r="BX1950" s="84"/>
      <c r="BY1950" s="84"/>
      <c r="BZ1950" s="84"/>
      <c r="CA1950" s="84"/>
      <c r="CB1950" s="84"/>
      <c r="CC1950" s="84"/>
      <c r="CD1950" s="84"/>
      <c r="CE1950" s="84"/>
      <c r="CF1950" s="84"/>
      <c r="CG1950" s="84"/>
      <c r="CH1950" s="84"/>
      <c r="CI1950" s="84"/>
      <c r="CJ1950" s="84"/>
      <c r="CK1950" s="84"/>
      <c r="CL1950" s="84"/>
    </row>
    <row r="1951" spans="66:90" s="354" customFormat="1" x14ac:dyDescent="0.2">
      <c r="BN1951" s="84"/>
      <c r="BO1951" s="84"/>
      <c r="BP1951" s="84"/>
      <c r="BQ1951" s="84"/>
      <c r="BR1951" s="84"/>
      <c r="BS1951" s="84"/>
      <c r="BT1951" s="84"/>
      <c r="BU1951" s="84"/>
      <c r="BV1951" s="84"/>
      <c r="BW1951" s="84"/>
      <c r="BX1951" s="84"/>
      <c r="BY1951" s="84"/>
      <c r="BZ1951" s="84"/>
      <c r="CA1951" s="84"/>
      <c r="CB1951" s="84"/>
      <c r="CC1951" s="84"/>
      <c r="CD1951" s="84"/>
      <c r="CE1951" s="84"/>
      <c r="CF1951" s="84"/>
      <c r="CG1951" s="84"/>
      <c r="CH1951" s="84"/>
      <c r="CI1951" s="84"/>
      <c r="CJ1951" s="84"/>
      <c r="CK1951" s="84"/>
      <c r="CL1951" s="84"/>
    </row>
    <row r="1952" spans="66:90" s="354" customFormat="1" x14ac:dyDescent="0.2">
      <c r="BN1952" s="84"/>
      <c r="BO1952" s="84"/>
      <c r="BP1952" s="84"/>
      <c r="BQ1952" s="84"/>
      <c r="BR1952" s="84"/>
      <c r="BS1952" s="84"/>
      <c r="BT1952" s="84"/>
      <c r="BU1952" s="84"/>
      <c r="BV1952" s="84"/>
      <c r="BW1952" s="84"/>
      <c r="BX1952" s="84"/>
      <c r="BY1952" s="84"/>
      <c r="BZ1952" s="84"/>
      <c r="CA1952" s="84"/>
      <c r="CB1952" s="84"/>
      <c r="CC1952" s="84"/>
      <c r="CD1952" s="84"/>
      <c r="CE1952" s="84"/>
      <c r="CF1952" s="84"/>
      <c r="CG1952" s="84"/>
      <c r="CH1952" s="84"/>
      <c r="CI1952" s="84"/>
      <c r="CJ1952" s="84"/>
      <c r="CK1952" s="84"/>
      <c r="CL1952" s="84"/>
    </row>
    <row r="1953" spans="66:90" s="354" customFormat="1" x14ac:dyDescent="0.2">
      <c r="BN1953" s="84"/>
      <c r="BO1953" s="84"/>
      <c r="BP1953" s="84"/>
      <c r="BQ1953" s="84"/>
      <c r="BR1953" s="84"/>
      <c r="BS1953" s="84"/>
      <c r="BT1953" s="84"/>
      <c r="BU1953" s="84"/>
      <c r="BV1953" s="84"/>
      <c r="BW1953" s="84"/>
      <c r="BX1953" s="84"/>
      <c r="BY1953" s="84"/>
      <c r="BZ1953" s="84"/>
      <c r="CA1953" s="84"/>
      <c r="CB1953" s="84"/>
      <c r="CC1953" s="84"/>
      <c r="CD1953" s="84"/>
      <c r="CE1953" s="84"/>
      <c r="CF1953" s="84"/>
      <c r="CG1953" s="84"/>
      <c r="CH1953" s="84"/>
      <c r="CI1953" s="84"/>
      <c r="CJ1953" s="84"/>
      <c r="CK1953" s="84"/>
      <c r="CL1953" s="84"/>
    </row>
    <row r="1954" spans="66:90" s="354" customFormat="1" x14ac:dyDescent="0.2">
      <c r="BN1954" s="84"/>
      <c r="BO1954" s="84"/>
      <c r="BP1954" s="84"/>
      <c r="BQ1954" s="84"/>
      <c r="BR1954" s="84"/>
      <c r="BS1954" s="84"/>
      <c r="BT1954" s="84"/>
      <c r="BU1954" s="84"/>
      <c r="BV1954" s="84"/>
      <c r="BW1954" s="84"/>
      <c r="BX1954" s="84"/>
      <c r="BY1954" s="84"/>
      <c r="BZ1954" s="84"/>
      <c r="CA1954" s="84"/>
      <c r="CB1954" s="84"/>
      <c r="CC1954" s="84"/>
      <c r="CD1954" s="84"/>
      <c r="CE1954" s="84"/>
      <c r="CF1954" s="84"/>
      <c r="CG1954" s="84"/>
      <c r="CH1954" s="84"/>
      <c r="CI1954" s="84"/>
      <c r="CJ1954" s="84"/>
      <c r="CK1954" s="84"/>
      <c r="CL1954" s="84"/>
    </row>
    <row r="1955" spans="66:90" s="354" customFormat="1" x14ac:dyDescent="0.2">
      <c r="BN1955" s="84"/>
      <c r="BO1955" s="84"/>
      <c r="BP1955" s="84"/>
      <c r="BQ1955" s="84"/>
      <c r="BR1955" s="84"/>
      <c r="BS1955" s="84"/>
      <c r="BT1955" s="84"/>
      <c r="BU1955" s="84"/>
      <c r="BV1955" s="84"/>
      <c r="BW1955" s="84"/>
      <c r="BX1955" s="84"/>
      <c r="BY1955" s="84"/>
      <c r="BZ1955" s="84"/>
      <c r="CA1955" s="84"/>
      <c r="CB1955" s="84"/>
      <c r="CC1955" s="84"/>
      <c r="CD1955" s="84"/>
      <c r="CE1955" s="84"/>
      <c r="CF1955" s="84"/>
      <c r="CG1955" s="84"/>
      <c r="CH1955" s="84"/>
      <c r="CI1955" s="84"/>
      <c r="CJ1955" s="84"/>
      <c r="CK1955" s="84"/>
      <c r="CL1955" s="84"/>
    </row>
    <row r="1956" spans="66:90" s="354" customFormat="1" x14ac:dyDescent="0.2">
      <c r="BN1956" s="84"/>
      <c r="BO1956" s="84"/>
      <c r="BP1956" s="84"/>
      <c r="BQ1956" s="84"/>
      <c r="BR1956" s="84"/>
      <c r="BS1956" s="84"/>
      <c r="BT1956" s="84"/>
      <c r="BU1956" s="84"/>
      <c r="BV1956" s="84"/>
      <c r="BW1956" s="84"/>
      <c r="BX1956" s="84"/>
      <c r="BY1956" s="84"/>
      <c r="BZ1956" s="84"/>
      <c r="CA1956" s="84"/>
      <c r="CB1956" s="84"/>
      <c r="CC1956" s="84"/>
      <c r="CD1956" s="84"/>
      <c r="CE1956" s="84"/>
      <c r="CF1956" s="84"/>
      <c r="CG1956" s="84"/>
      <c r="CH1956" s="84"/>
      <c r="CI1956" s="84"/>
      <c r="CJ1956" s="84"/>
      <c r="CK1956" s="84"/>
      <c r="CL1956" s="84"/>
    </row>
    <row r="1957" spans="66:90" s="354" customFormat="1" x14ac:dyDescent="0.2">
      <c r="BN1957" s="84"/>
      <c r="BO1957" s="84"/>
      <c r="BP1957" s="84"/>
      <c r="BQ1957" s="84"/>
      <c r="BR1957" s="84"/>
      <c r="BS1957" s="84"/>
      <c r="BT1957" s="84"/>
      <c r="BU1957" s="84"/>
      <c r="BV1957" s="84"/>
      <c r="BW1957" s="84"/>
      <c r="BX1957" s="84"/>
      <c r="BY1957" s="84"/>
      <c r="BZ1957" s="84"/>
      <c r="CA1957" s="84"/>
      <c r="CB1957" s="84"/>
      <c r="CC1957" s="84"/>
      <c r="CD1957" s="84"/>
      <c r="CE1957" s="84"/>
      <c r="CF1957" s="84"/>
      <c r="CG1957" s="84"/>
      <c r="CH1957" s="84"/>
      <c r="CI1957" s="84"/>
      <c r="CJ1957" s="84"/>
      <c r="CK1957" s="84"/>
      <c r="CL1957" s="84"/>
    </row>
    <row r="1958" spans="66:90" s="354" customFormat="1" x14ac:dyDescent="0.2">
      <c r="BN1958" s="84"/>
      <c r="BO1958" s="84"/>
      <c r="BP1958" s="84"/>
      <c r="BQ1958" s="84"/>
      <c r="BR1958" s="84"/>
      <c r="BS1958" s="84"/>
      <c r="BT1958" s="84"/>
      <c r="BU1958" s="84"/>
      <c r="BV1958" s="84"/>
      <c r="BW1958" s="84"/>
      <c r="BX1958" s="84"/>
      <c r="BY1958" s="84"/>
      <c r="BZ1958" s="84"/>
      <c r="CA1958" s="84"/>
      <c r="CB1958" s="84"/>
      <c r="CC1958" s="84"/>
      <c r="CD1958" s="84"/>
      <c r="CE1958" s="84"/>
      <c r="CF1958" s="84"/>
      <c r="CG1958" s="84"/>
      <c r="CH1958" s="84"/>
      <c r="CI1958" s="84"/>
      <c r="CJ1958" s="84"/>
      <c r="CK1958" s="84"/>
      <c r="CL1958" s="84"/>
    </row>
    <row r="1959" spans="66:90" s="354" customFormat="1" x14ac:dyDescent="0.2">
      <c r="BN1959" s="84"/>
      <c r="BO1959" s="84"/>
      <c r="BP1959" s="84"/>
      <c r="BQ1959" s="84"/>
      <c r="BR1959" s="84"/>
      <c r="BS1959" s="84"/>
      <c r="BT1959" s="84"/>
      <c r="BU1959" s="84"/>
      <c r="BV1959" s="84"/>
      <c r="BW1959" s="84"/>
      <c r="BX1959" s="84"/>
      <c r="BY1959" s="84"/>
      <c r="BZ1959" s="84"/>
      <c r="CA1959" s="84"/>
      <c r="CB1959" s="84"/>
      <c r="CC1959" s="84"/>
      <c r="CD1959" s="84"/>
      <c r="CE1959" s="84"/>
      <c r="CF1959" s="84"/>
      <c r="CG1959" s="84"/>
      <c r="CH1959" s="84"/>
      <c r="CI1959" s="84"/>
      <c r="CJ1959" s="84"/>
      <c r="CK1959" s="84"/>
      <c r="CL1959" s="84"/>
    </row>
    <row r="1960" spans="66:90" s="354" customFormat="1" x14ac:dyDescent="0.2">
      <c r="BN1960" s="84"/>
      <c r="BO1960" s="84"/>
      <c r="BP1960" s="84"/>
      <c r="BQ1960" s="84"/>
      <c r="BR1960" s="84"/>
      <c r="BS1960" s="84"/>
      <c r="BT1960" s="84"/>
      <c r="BU1960" s="84"/>
      <c r="BV1960" s="84"/>
      <c r="BW1960" s="84"/>
      <c r="BX1960" s="84"/>
      <c r="BY1960" s="84"/>
      <c r="BZ1960" s="84"/>
      <c r="CA1960" s="84"/>
      <c r="CB1960" s="84"/>
      <c r="CC1960" s="84"/>
      <c r="CD1960" s="84"/>
      <c r="CE1960" s="84"/>
      <c r="CF1960" s="84"/>
      <c r="CG1960" s="84"/>
      <c r="CH1960" s="84"/>
      <c r="CI1960" s="84"/>
      <c r="CJ1960" s="84"/>
      <c r="CK1960" s="84"/>
      <c r="CL1960" s="84"/>
    </row>
    <row r="1961" spans="66:90" s="354" customFormat="1" x14ac:dyDescent="0.2">
      <c r="BN1961" s="84"/>
      <c r="BO1961" s="84"/>
      <c r="BP1961" s="84"/>
      <c r="BQ1961" s="84"/>
      <c r="BR1961" s="84"/>
      <c r="BS1961" s="84"/>
      <c r="BT1961" s="84"/>
      <c r="BU1961" s="84"/>
      <c r="BV1961" s="84"/>
      <c r="BW1961" s="84"/>
      <c r="BX1961" s="84"/>
      <c r="BY1961" s="84"/>
      <c r="BZ1961" s="84"/>
      <c r="CA1961" s="84"/>
      <c r="CB1961" s="84"/>
      <c r="CC1961" s="84"/>
      <c r="CD1961" s="84"/>
      <c r="CE1961" s="84"/>
      <c r="CF1961" s="84"/>
      <c r="CG1961" s="84"/>
      <c r="CH1961" s="84"/>
      <c r="CI1961" s="84"/>
      <c r="CJ1961" s="84"/>
      <c r="CK1961" s="84"/>
      <c r="CL1961" s="84"/>
    </row>
    <row r="1962" spans="66:90" s="354" customFormat="1" x14ac:dyDescent="0.2">
      <c r="BN1962" s="84"/>
      <c r="BO1962" s="84"/>
      <c r="BP1962" s="84"/>
      <c r="BQ1962" s="84"/>
      <c r="BR1962" s="84"/>
      <c r="BS1962" s="84"/>
      <c r="BT1962" s="84"/>
      <c r="BU1962" s="84"/>
      <c r="BV1962" s="84"/>
      <c r="BW1962" s="84"/>
      <c r="BX1962" s="84"/>
      <c r="BY1962" s="84"/>
      <c r="BZ1962" s="84"/>
      <c r="CA1962" s="84"/>
      <c r="CB1962" s="84"/>
      <c r="CC1962" s="84"/>
      <c r="CD1962" s="84"/>
      <c r="CE1962" s="84"/>
      <c r="CF1962" s="84"/>
      <c r="CG1962" s="84"/>
      <c r="CH1962" s="84"/>
      <c r="CI1962" s="84"/>
      <c r="CJ1962" s="84"/>
      <c r="CK1962" s="84"/>
      <c r="CL1962" s="84"/>
    </row>
    <row r="1963" spans="66:90" s="354" customFormat="1" x14ac:dyDescent="0.2">
      <c r="BN1963" s="84"/>
      <c r="BO1963" s="84"/>
      <c r="BP1963" s="84"/>
      <c r="BQ1963" s="84"/>
      <c r="BR1963" s="84"/>
      <c r="BS1963" s="84"/>
      <c r="BT1963" s="84"/>
      <c r="BU1963" s="84"/>
      <c r="BV1963" s="84"/>
      <c r="BW1963" s="84"/>
      <c r="BX1963" s="84"/>
      <c r="BY1963" s="84"/>
      <c r="BZ1963" s="84"/>
      <c r="CA1963" s="84"/>
      <c r="CB1963" s="84"/>
      <c r="CC1963" s="84"/>
      <c r="CD1963" s="84"/>
      <c r="CE1963" s="84"/>
      <c r="CF1963" s="84"/>
      <c r="CG1963" s="84"/>
      <c r="CH1963" s="84"/>
      <c r="CI1963" s="84"/>
      <c r="CJ1963" s="84"/>
      <c r="CK1963" s="84"/>
      <c r="CL1963" s="84"/>
    </row>
    <row r="1964" spans="66:90" s="354" customFormat="1" x14ac:dyDescent="0.2">
      <c r="BN1964" s="84"/>
      <c r="BO1964" s="84"/>
      <c r="BP1964" s="84"/>
      <c r="BQ1964" s="84"/>
      <c r="BR1964" s="84"/>
      <c r="BS1964" s="84"/>
      <c r="BT1964" s="84"/>
      <c r="BU1964" s="84"/>
      <c r="BV1964" s="84"/>
      <c r="BW1964" s="84"/>
      <c r="BX1964" s="84"/>
      <c r="BY1964" s="84"/>
      <c r="BZ1964" s="84"/>
      <c r="CA1964" s="84"/>
      <c r="CB1964" s="84"/>
      <c r="CC1964" s="84"/>
      <c r="CD1964" s="84"/>
      <c r="CE1964" s="84"/>
      <c r="CF1964" s="84"/>
      <c r="CG1964" s="84"/>
      <c r="CH1964" s="84"/>
      <c r="CI1964" s="84"/>
      <c r="CJ1964" s="84"/>
      <c r="CK1964" s="84"/>
      <c r="CL1964" s="84"/>
    </row>
    <row r="1965" spans="66:90" s="354" customFormat="1" x14ac:dyDescent="0.2">
      <c r="BN1965" s="84"/>
      <c r="BO1965" s="84"/>
      <c r="BP1965" s="84"/>
      <c r="BQ1965" s="84"/>
      <c r="BR1965" s="84"/>
      <c r="BS1965" s="84"/>
      <c r="BT1965" s="84"/>
      <c r="BU1965" s="84"/>
      <c r="BV1965" s="84"/>
      <c r="BW1965" s="84"/>
      <c r="BX1965" s="84"/>
      <c r="BY1965" s="84"/>
      <c r="BZ1965" s="84"/>
      <c r="CA1965" s="84"/>
      <c r="CB1965" s="84"/>
      <c r="CC1965" s="84"/>
      <c r="CD1965" s="84"/>
      <c r="CE1965" s="84"/>
      <c r="CF1965" s="84"/>
      <c r="CG1965" s="84"/>
      <c r="CH1965" s="84"/>
      <c r="CI1965" s="84"/>
      <c r="CJ1965" s="84"/>
      <c r="CK1965" s="84"/>
      <c r="CL1965" s="84"/>
    </row>
    <row r="1966" spans="66:90" s="354" customFormat="1" x14ac:dyDescent="0.2">
      <c r="BN1966" s="84"/>
      <c r="BO1966" s="84"/>
      <c r="BP1966" s="84"/>
      <c r="BQ1966" s="84"/>
      <c r="BR1966" s="84"/>
      <c r="BS1966" s="84"/>
      <c r="BT1966" s="84"/>
      <c r="BU1966" s="84"/>
      <c r="BV1966" s="84"/>
      <c r="BW1966" s="84"/>
      <c r="BX1966" s="84"/>
      <c r="BY1966" s="84"/>
      <c r="BZ1966" s="84"/>
      <c r="CA1966" s="84"/>
      <c r="CB1966" s="84"/>
      <c r="CC1966" s="84"/>
      <c r="CD1966" s="84"/>
      <c r="CE1966" s="84"/>
      <c r="CF1966" s="84"/>
      <c r="CG1966" s="84"/>
      <c r="CH1966" s="84"/>
      <c r="CI1966" s="84"/>
      <c r="CJ1966" s="84"/>
      <c r="CK1966" s="84"/>
      <c r="CL1966" s="84"/>
    </row>
    <row r="1967" spans="66:90" s="354" customFormat="1" x14ac:dyDescent="0.2">
      <c r="BN1967" s="84"/>
      <c r="BO1967" s="84"/>
      <c r="BP1967" s="84"/>
      <c r="BQ1967" s="84"/>
      <c r="BR1967" s="84"/>
      <c r="BS1967" s="84"/>
      <c r="BT1967" s="84"/>
      <c r="BU1967" s="84"/>
      <c r="BV1967" s="84"/>
      <c r="BW1967" s="84"/>
      <c r="BX1967" s="84"/>
      <c r="BY1967" s="84"/>
      <c r="BZ1967" s="84"/>
      <c r="CA1967" s="84"/>
      <c r="CB1967" s="84"/>
      <c r="CC1967" s="84"/>
      <c r="CD1967" s="84"/>
      <c r="CE1967" s="84"/>
      <c r="CF1967" s="84"/>
      <c r="CG1967" s="84"/>
      <c r="CH1967" s="84"/>
      <c r="CI1967" s="84"/>
      <c r="CJ1967" s="84"/>
      <c r="CK1967" s="84"/>
      <c r="CL1967" s="84"/>
    </row>
    <row r="1968" spans="66:90" s="354" customFormat="1" x14ac:dyDescent="0.2">
      <c r="BN1968" s="84"/>
      <c r="BO1968" s="84"/>
      <c r="BP1968" s="84"/>
      <c r="BQ1968" s="84"/>
      <c r="BR1968" s="84"/>
      <c r="BS1968" s="84"/>
      <c r="BT1968" s="84"/>
      <c r="BU1968" s="84"/>
      <c r="BV1968" s="84"/>
      <c r="BW1968" s="84"/>
      <c r="BX1968" s="84"/>
      <c r="BY1968" s="84"/>
      <c r="BZ1968" s="84"/>
      <c r="CA1968" s="84"/>
      <c r="CB1968" s="84"/>
      <c r="CC1968" s="84"/>
      <c r="CD1968" s="84"/>
      <c r="CE1968" s="84"/>
      <c r="CF1968" s="84"/>
      <c r="CG1968" s="84"/>
      <c r="CH1968" s="84"/>
      <c r="CI1968" s="84"/>
      <c r="CJ1968" s="84"/>
      <c r="CK1968" s="84"/>
      <c r="CL1968" s="84"/>
    </row>
    <row r="1969" spans="66:90" s="354" customFormat="1" x14ac:dyDescent="0.2">
      <c r="BN1969" s="84"/>
      <c r="BO1969" s="84"/>
      <c r="BP1969" s="84"/>
      <c r="BQ1969" s="84"/>
      <c r="BR1969" s="84"/>
      <c r="BS1969" s="84"/>
      <c r="BT1969" s="84"/>
      <c r="BU1969" s="84"/>
      <c r="BV1969" s="84"/>
      <c r="BW1969" s="84"/>
      <c r="BX1969" s="84"/>
      <c r="BY1969" s="84"/>
      <c r="BZ1969" s="84"/>
      <c r="CA1969" s="84"/>
      <c r="CB1969" s="84"/>
      <c r="CC1969" s="84"/>
      <c r="CD1969" s="84"/>
      <c r="CE1969" s="84"/>
      <c r="CF1969" s="84"/>
      <c r="CG1969" s="84"/>
      <c r="CH1969" s="84"/>
      <c r="CI1969" s="84"/>
      <c r="CJ1969" s="84"/>
      <c r="CK1969" s="84"/>
      <c r="CL1969" s="84"/>
    </row>
    <row r="1970" spans="66:90" s="354" customFormat="1" x14ac:dyDescent="0.2">
      <c r="BN1970" s="84"/>
      <c r="BO1970" s="84"/>
      <c r="BP1970" s="84"/>
      <c r="BQ1970" s="84"/>
      <c r="BR1970" s="84"/>
      <c r="BS1970" s="84"/>
      <c r="BT1970" s="84"/>
      <c r="BU1970" s="84"/>
      <c r="BV1970" s="84"/>
      <c r="BW1970" s="84"/>
      <c r="BX1970" s="84"/>
      <c r="BY1970" s="84"/>
      <c r="BZ1970" s="84"/>
      <c r="CA1970" s="84"/>
      <c r="CB1970" s="84"/>
      <c r="CC1970" s="84"/>
      <c r="CD1970" s="84"/>
      <c r="CE1970" s="84"/>
      <c r="CF1970" s="84"/>
      <c r="CG1970" s="84"/>
      <c r="CH1970" s="84"/>
      <c r="CI1970" s="84"/>
      <c r="CJ1970" s="84"/>
      <c r="CK1970" s="84"/>
      <c r="CL1970" s="84"/>
    </row>
    <row r="1971" spans="66:90" s="354" customFormat="1" x14ac:dyDescent="0.2">
      <c r="BN1971" s="84"/>
      <c r="BO1971" s="84"/>
      <c r="BP1971" s="84"/>
      <c r="BQ1971" s="84"/>
      <c r="BR1971" s="84"/>
      <c r="BS1971" s="84"/>
      <c r="BT1971" s="84"/>
      <c r="BU1971" s="84"/>
      <c r="BV1971" s="84"/>
      <c r="BW1971" s="84"/>
      <c r="BX1971" s="84"/>
      <c r="BY1971" s="84"/>
      <c r="BZ1971" s="84"/>
      <c r="CA1971" s="84"/>
      <c r="CB1971" s="84"/>
      <c r="CC1971" s="84"/>
      <c r="CD1971" s="84"/>
      <c r="CE1971" s="84"/>
      <c r="CF1971" s="84"/>
      <c r="CG1971" s="84"/>
      <c r="CH1971" s="84"/>
      <c r="CI1971" s="84"/>
      <c r="CJ1971" s="84"/>
      <c r="CK1971" s="84"/>
      <c r="CL1971" s="84"/>
    </row>
    <row r="1972" spans="66:90" s="354" customFormat="1" x14ac:dyDescent="0.2">
      <c r="BN1972" s="84"/>
      <c r="BO1972" s="84"/>
      <c r="BP1972" s="84"/>
      <c r="BQ1972" s="84"/>
      <c r="BR1972" s="84"/>
      <c r="BS1972" s="84"/>
      <c r="BT1972" s="84"/>
      <c r="BU1972" s="84"/>
      <c r="BV1972" s="84"/>
      <c r="BW1972" s="84"/>
      <c r="BX1972" s="84"/>
      <c r="BY1972" s="84"/>
      <c r="BZ1972" s="84"/>
      <c r="CA1972" s="84"/>
      <c r="CB1972" s="84"/>
      <c r="CC1972" s="84"/>
      <c r="CD1972" s="84"/>
      <c r="CE1972" s="84"/>
      <c r="CF1972" s="84"/>
      <c r="CG1972" s="84"/>
      <c r="CH1972" s="84"/>
      <c r="CI1972" s="84"/>
      <c r="CJ1972" s="84"/>
      <c r="CK1972" s="84"/>
      <c r="CL1972" s="84"/>
    </row>
    <row r="1973" spans="66:90" s="354" customFormat="1" x14ac:dyDescent="0.2">
      <c r="BN1973" s="84"/>
      <c r="BO1973" s="84"/>
      <c r="BP1973" s="84"/>
      <c r="BQ1973" s="84"/>
      <c r="BR1973" s="84"/>
      <c r="BS1973" s="84"/>
      <c r="BT1973" s="84"/>
      <c r="BU1973" s="84"/>
      <c r="BV1973" s="84"/>
      <c r="BW1973" s="84"/>
      <c r="BX1973" s="84"/>
      <c r="BY1973" s="84"/>
      <c r="BZ1973" s="84"/>
      <c r="CA1973" s="84"/>
      <c r="CB1973" s="84"/>
      <c r="CC1973" s="84"/>
      <c r="CD1973" s="84"/>
      <c r="CE1973" s="84"/>
      <c r="CF1973" s="84"/>
      <c r="CG1973" s="84"/>
      <c r="CH1973" s="84"/>
      <c r="CI1973" s="84"/>
      <c r="CJ1973" s="84"/>
      <c r="CK1973" s="84"/>
      <c r="CL1973" s="84"/>
    </row>
    <row r="1974" spans="66:90" s="354" customFormat="1" x14ac:dyDescent="0.2">
      <c r="BN1974" s="84"/>
      <c r="BO1974" s="84"/>
      <c r="BP1974" s="84"/>
      <c r="BQ1974" s="84"/>
      <c r="BR1974" s="84"/>
      <c r="BS1974" s="84"/>
      <c r="BT1974" s="84"/>
      <c r="BU1974" s="84"/>
      <c r="BV1974" s="84"/>
      <c r="BW1974" s="84"/>
      <c r="BX1974" s="84"/>
      <c r="BY1974" s="84"/>
      <c r="BZ1974" s="84"/>
      <c r="CA1974" s="84"/>
      <c r="CB1974" s="84"/>
      <c r="CC1974" s="84"/>
      <c r="CD1974" s="84"/>
      <c r="CE1974" s="84"/>
      <c r="CF1974" s="84"/>
      <c r="CG1974" s="84"/>
      <c r="CH1974" s="84"/>
      <c r="CI1974" s="84"/>
      <c r="CJ1974" s="84"/>
      <c r="CK1974" s="84"/>
      <c r="CL1974" s="84"/>
    </row>
    <row r="1975" spans="66:90" s="354" customFormat="1" x14ac:dyDescent="0.2">
      <c r="BN1975" s="84"/>
      <c r="BO1975" s="84"/>
      <c r="BP1975" s="84"/>
      <c r="BQ1975" s="84"/>
      <c r="BR1975" s="84"/>
      <c r="BS1975" s="84"/>
      <c r="BT1975" s="84"/>
      <c r="BU1975" s="84"/>
      <c r="BV1975" s="84"/>
      <c r="BW1975" s="84"/>
      <c r="BX1975" s="84"/>
      <c r="BY1975" s="84"/>
      <c r="BZ1975" s="84"/>
      <c r="CA1975" s="84"/>
      <c r="CB1975" s="84"/>
      <c r="CC1975" s="84"/>
      <c r="CD1975" s="84"/>
      <c r="CE1975" s="84"/>
      <c r="CF1975" s="84"/>
      <c r="CG1975" s="84"/>
      <c r="CH1975" s="84"/>
      <c r="CI1975" s="84"/>
      <c r="CJ1975" s="84"/>
      <c r="CK1975" s="84"/>
      <c r="CL1975" s="84"/>
    </row>
    <row r="1976" spans="66:90" s="354" customFormat="1" x14ac:dyDescent="0.2">
      <c r="BN1976" s="84"/>
      <c r="BO1976" s="84"/>
      <c r="BP1976" s="84"/>
      <c r="BQ1976" s="84"/>
      <c r="BR1976" s="84"/>
      <c r="BS1976" s="84"/>
      <c r="BT1976" s="84"/>
      <c r="BU1976" s="84"/>
      <c r="BV1976" s="84"/>
      <c r="BW1976" s="84"/>
      <c r="BX1976" s="84"/>
      <c r="BY1976" s="84"/>
      <c r="BZ1976" s="84"/>
      <c r="CA1976" s="84"/>
      <c r="CB1976" s="84"/>
      <c r="CC1976" s="84"/>
      <c r="CD1976" s="84"/>
      <c r="CE1976" s="84"/>
      <c r="CF1976" s="84"/>
      <c r="CG1976" s="84"/>
      <c r="CH1976" s="84"/>
      <c r="CI1976" s="84"/>
      <c r="CJ1976" s="84"/>
      <c r="CK1976" s="84"/>
      <c r="CL1976" s="84"/>
    </row>
    <row r="1977" spans="66:90" s="354" customFormat="1" x14ac:dyDescent="0.2">
      <c r="BN1977" s="84"/>
      <c r="BO1977" s="84"/>
      <c r="BP1977" s="84"/>
      <c r="BQ1977" s="84"/>
      <c r="BR1977" s="84"/>
      <c r="BS1977" s="84"/>
      <c r="BT1977" s="84"/>
      <c r="BU1977" s="84"/>
      <c r="BV1977" s="84"/>
      <c r="BW1977" s="84"/>
      <c r="BX1977" s="84"/>
      <c r="BY1977" s="84"/>
      <c r="BZ1977" s="84"/>
      <c r="CA1977" s="84"/>
      <c r="CB1977" s="84"/>
      <c r="CC1977" s="84"/>
      <c r="CD1977" s="84"/>
      <c r="CE1977" s="84"/>
      <c r="CF1977" s="84"/>
      <c r="CG1977" s="84"/>
      <c r="CH1977" s="84"/>
      <c r="CI1977" s="84"/>
      <c r="CJ1977" s="84"/>
      <c r="CK1977" s="84"/>
      <c r="CL1977" s="84"/>
    </row>
    <row r="1978" spans="66:90" s="354" customFormat="1" x14ac:dyDescent="0.2">
      <c r="BN1978" s="84"/>
      <c r="BO1978" s="84"/>
      <c r="BP1978" s="84"/>
      <c r="BQ1978" s="84"/>
      <c r="BR1978" s="84"/>
      <c r="BS1978" s="84"/>
      <c r="BT1978" s="84"/>
      <c r="BU1978" s="84"/>
      <c r="BV1978" s="84"/>
      <c r="BW1978" s="84"/>
      <c r="BX1978" s="84"/>
      <c r="BY1978" s="84"/>
      <c r="BZ1978" s="84"/>
      <c r="CA1978" s="84"/>
      <c r="CB1978" s="84"/>
      <c r="CC1978" s="84"/>
      <c r="CD1978" s="84"/>
      <c r="CE1978" s="84"/>
      <c r="CF1978" s="84"/>
      <c r="CG1978" s="84"/>
      <c r="CH1978" s="84"/>
      <c r="CI1978" s="84"/>
      <c r="CJ1978" s="84"/>
      <c r="CK1978" s="84"/>
      <c r="CL1978" s="84"/>
    </row>
    <row r="1979" spans="66:90" s="354" customFormat="1" x14ac:dyDescent="0.2">
      <c r="BN1979" s="84"/>
      <c r="BO1979" s="84"/>
      <c r="BP1979" s="84"/>
      <c r="BQ1979" s="84"/>
      <c r="BR1979" s="84"/>
      <c r="BS1979" s="84"/>
      <c r="BT1979" s="84"/>
      <c r="BU1979" s="84"/>
      <c r="BV1979" s="84"/>
      <c r="BW1979" s="84"/>
      <c r="BX1979" s="84"/>
      <c r="BY1979" s="84"/>
      <c r="BZ1979" s="84"/>
      <c r="CA1979" s="84"/>
      <c r="CB1979" s="84"/>
      <c r="CC1979" s="84"/>
      <c r="CD1979" s="84"/>
      <c r="CE1979" s="84"/>
      <c r="CF1979" s="84"/>
      <c r="CG1979" s="84"/>
      <c r="CH1979" s="84"/>
      <c r="CI1979" s="84"/>
      <c r="CJ1979" s="84"/>
      <c r="CK1979" s="84"/>
      <c r="CL1979" s="84"/>
    </row>
    <row r="1980" spans="66:90" s="354" customFormat="1" x14ac:dyDescent="0.2">
      <c r="BN1980" s="84"/>
      <c r="BO1980" s="84"/>
      <c r="BP1980" s="84"/>
      <c r="BQ1980" s="84"/>
      <c r="BR1980" s="84"/>
      <c r="BS1980" s="84"/>
      <c r="BT1980" s="84"/>
      <c r="BU1980" s="84"/>
      <c r="BV1980" s="84"/>
      <c r="BW1980" s="84"/>
      <c r="BX1980" s="84"/>
      <c r="BY1980" s="84"/>
      <c r="BZ1980" s="84"/>
      <c r="CA1980" s="84"/>
      <c r="CB1980" s="84"/>
      <c r="CC1980" s="84"/>
      <c r="CD1980" s="84"/>
      <c r="CE1980" s="84"/>
      <c r="CF1980" s="84"/>
      <c r="CG1980" s="84"/>
      <c r="CH1980" s="84"/>
      <c r="CI1980" s="84"/>
      <c r="CJ1980" s="84"/>
      <c r="CK1980" s="84"/>
      <c r="CL1980" s="84"/>
    </row>
    <row r="1981" spans="66:90" s="354" customFormat="1" x14ac:dyDescent="0.2">
      <c r="BN1981" s="84"/>
      <c r="BO1981" s="84"/>
      <c r="BP1981" s="84"/>
      <c r="BQ1981" s="84"/>
      <c r="BR1981" s="84"/>
      <c r="BS1981" s="84"/>
      <c r="BT1981" s="84"/>
      <c r="BU1981" s="84"/>
      <c r="BV1981" s="84"/>
      <c r="BW1981" s="84"/>
      <c r="BX1981" s="84"/>
      <c r="BY1981" s="84"/>
      <c r="BZ1981" s="84"/>
      <c r="CA1981" s="84"/>
      <c r="CB1981" s="84"/>
      <c r="CC1981" s="84"/>
      <c r="CD1981" s="84"/>
      <c r="CE1981" s="84"/>
      <c r="CF1981" s="84"/>
      <c r="CG1981" s="84"/>
      <c r="CH1981" s="84"/>
      <c r="CI1981" s="84"/>
      <c r="CJ1981" s="84"/>
      <c r="CK1981" s="84"/>
      <c r="CL1981" s="84"/>
    </row>
    <row r="1982" spans="66:90" s="354" customFormat="1" x14ac:dyDescent="0.2">
      <c r="BN1982" s="84"/>
      <c r="BO1982" s="84"/>
      <c r="BP1982" s="84"/>
      <c r="BQ1982" s="84"/>
      <c r="BR1982" s="84"/>
      <c r="BS1982" s="84"/>
      <c r="BT1982" s="84"/>
      <c r="BU1982" s="84"/>
      <c r="BV1982" s="84"/>
      <c r="BW1982" s="84"/>
      <c r="BX1982" s="84"/>
      <c r="BY1982" s="84"/>
      <c r="BZ1982" s="84"/>
      <c r="CA1982" s="84"/>
      <c r="CB1982" s="84"/>
      <c r="CC1982" s="84"/>
      <c r="CD1982" s="84"/>
      <c r="CE1982" s="84"/>
      <c r="CF1982" s="84"/>
      <c r="CG1982" s="84"/>
      <c r="CH1982" s="84"/>
      <c r="CI1982" s="84"/>
      <c r="CJ1982" s="84"/>
      <c r="CK1982" s="84"/>
      <c r="CL1982" s="84"/>
    </row>
    <row r="1983" spans="66:90" s="354" customFormat="1" x14ac:dyDescent="0.2">
      <c r="BN1983" s="84"/>
      <c r="BO1983" s="84"/>
      <c r="BP1983" s="84"/>
      <c r="BQ1983" s="84"/>
      <c r="BR1983" s="84"/>
      <c r="BS1983" s="84"/>
      <c r="BT1983" s="84"/>
      <c r="BU1983" s="84"/>
      <c r="BV1983" s="84"/>
      <c r="BW1983" s="84"/>
      <c r="BX1983" s="84"/>
      <c r="BY1983" s="84"/>
      <c r="BZ1983" s="84"/>
      <c r="CA1983" s="84"/>
      <c r="CB1983" s="84"/>
      <c r="CC1983" s="84"/>
      <c r="CD1983" s="84"/>
      <c r="CE1983" s="84"/>
      <c r="CF1983" s="84"/>
      <c r="CG1983" s="84"/>
      <c r="CH1983" s="84"/>
      <c r="CI1983" s="84"/>
      <c r="CJ1983" s="84"/>
      <c r="CK1983" s="84"/>
      <c r="CL1983" s="84"/>
    </row>
    <row r="1984" spans="66:90" s="354" customFormat="1" x14ac:dyDescent="0.2">
      <c r="BN1984" s="84"/>
      <c r="BO1984" s="84"/>
      <c r="BP1984" s="84"/>
      <c r="BQ1984" s="84"/>
      <c r="BR1984" s="84"/>
      <c r="BS1984" s="84"/>
      <c r="BT1984" s="84"/>
      <c r="BU1984" s="84"/>
      <c r="BV1984" s="84"/>
      <c r="BW1984" s="84"/>
      <c r="BX1984" s="84"/>
      <c r="BY1984" s="84"/>
      <c r="BZ1984" s="84"/>
      <c r="CA1984" s="84"/>
      <c r="CB1984" s="84"/>
      <c r="CC1984" s="84"/>
      <c r="CD1984" s="84"/>
      <c r="CE1984" s="84"/>
      <c r="CF1984" s="84"/>
      <c r="CG1984" s="84"/>
      <c r="CH1984" s="84"/>
      <c r="CI1984" s="84"/>
      <c r="CJ1984" s="84"/>
      <c r="CK1984" s="84"/>
      <c r="CL1984" s="84"/>
    </row>
    <row r="1985" spans="66:90" s="354" customFormat="1" x14ac:dyDescent="0.2">
      <c r="BN1985" s="84"/>
      <c r="BO1985" s="84"/>
      <c r="BP1985" s="84"/>
      <c r="BQ1985" s="84"/>
      <c r="BR1985" s="84"/>
      <c r="BS1985" s="84"/>
      <c r="BT1985" s="84"/>
      <c r="BU1985" s="84"/>
      <c r="BV1985" s="84"/>
      <c r="BW1985" s="84"/>
      <c r="BX1985" s="84"/>
      <c r="BY1985" s="84"/>
      <c r="BZ1985" s="84"/>
      <c r="CA1985" s="84"/>
      <c r="CB1985" s="84"/>
      <c r="CC1985" s="84"/>
      <c r="CD1985" s="84"/>
      <c r="CE1985" s="84"/>
      <c r="CF1985" s="84"/>
      <c r="CG1985" s="84"/>
      <c r="CH1985" s="84"/>
      <c r="CI1985" s="84"/>
      <c r="CJ1985" s="84"/>
      <c r="CK1985" s="84"/>
      <c r="CL1985" s="84"/>
    </row>
    <row r="1986" spans="66:90" s="354" customFormat="1" x14ac:dyDescent="0.2">
      <c r="BN1986" s="84"/>
      <c r="BO1986" s="84"/>
      <c r="BP1986" s="84"/>
      <c r="BQ1986" s="84"/>
      <c r="BR1986" s="84"/>
      <c r="BS1986" s="84"/>
      <c r="BT1986" s="84"/>
      <c r="BU1986" s="84"/>
      <c r="BV1986" s="84"/>
      <c r="BW1986" s="84"/>
      <c r="BX1986" s="84"/>
      <c r="BY1986" s="84"/>
      <c r="BZ1986" s="84"/>
      <c r="CA1986" s="84"/>
      <c r="CB1986" s="84"/>
      <c r="CC1986" s="84"/>
      <c r="CD1986" s="84"/>
      <c r="CE1986" s="84"/>
      <c r="CF1986" s="84"/>
      <c r="CG1986" s="84"/>
      <c r="CH1986" s="84"/>
      <c r="CI1986" s="84"/>
      <c r="CJ1986" s="84"/>
      <c r="CK1986" s="84"/>
      <c r="CL1986" s="84"/>
    </row>
    <row r="1987" spans="66:90" s="354" customFormat="1" x14ac:dyDescent="0.2">
      <c r="BN1987" s="84"/>
      <c r="BO1987" s="84"/>
      <c r="BP1987" s="84"/>
      <c r="BQ1987" s="84"/>
      <c r="BR1987" s="84"/>
      <c r="BS1987" s="84"/>
      <c r="BT1987" s="84"/>
      <c r="BU1987" s="84"/>
      <c r="BV1987" s="84"/>
      <c r="BW1987" s="84"/>
      <c r="BX1987" s="84"/>
      <c r="BY1987" s="84"/>
      <c r="BZ1987" s="84"/>
      <c r="CA1987" s="84"/>
      <c r="CB1987" s="84"/>
      <c r="CC1987" s="84"/>
      <c r="CD1987" s="84"/>
      <c r="CE1987" s="84"/>
      <c r="CF1987" s="84"/>
      <c r="CG1987" s="84"/>
      <c r="CH1987" s="84"/>
      <c r="CI1987" s="84"/>
      <c r="CJ1987" s="84"/>
      <c r="CK1987" s="84"/>
      <c r="CL1987" s="84"/>
    </row>
    <row r="1988" spans="66:90" s="354" customFormat="1" x14ac:dyDescent="0.2">
      <c r="BN1988" s="84"/>
      <c r="BO1988" s="84"/>
      <c r="BP1988" s="84"/>
      <c r="BQ1988" s="84"/>
      <c r="BR1988" s="84"/>
      <c r="BS1988" s="84"/>
      <c r="BT1988" s="84"/>
      <c r="BU1988" s="84"/>
      <c r="BV1988" s="84"/>
      <c r="BW1988" s="84"/>
      <c r="BX1988" s="84"/>
      <c r="BY1988" s="84"/>
      <c r="BZ1988" s="84"/>
      <c r="CA1988" s="84"/>
      <c r="CB1988" s="84"/>
      <c r="CC1988" s="84"/>
      <c r="CD1988" s="84"/>
      <c r="CE1988" s="84"/>
      <c r="CF1988" s="84"/>
      <c r="CG1988" s="84"/>
      <c r="CH1988" s="84"/>
      <c r="CI1988" s="84"/>
      <c r="CJ1988" s="84"/>
      <c r="CK1988" s="84"/>
      <c r="CL1988" s="84"/>
    </row>
    <row r="1989" spans="66:90" s="354" customFormat="1" x14ac:dyDescent="0.2">
      <c r="BN1989" s="84"/>
      <c r="BO1989" s="84"/>
      <c r="BP1989" s="84"/>
      <c r="BQ1989" s="84"/>
      <c r="BR1989" s="84"/>
      <c r="BS1989" s="84"/>
      <c r="BT1989" s="84"/>
      <c r="BU1989" s="84"/>
      <c r="BV1989" s="84"/>
      <c r="BW1989" s="84"/>
      <c r="BX1989" s="84"/>
      <c r="BY1989" s="84"/>
      <c r="BZ1989" s="84"/>
      <c r="CA1989" s="84"/>
      <c r="CB1989" s="84"/>
      <c r="CC1989" s="84"/>
      <c r="CD1989" s="84"/>
      <c r="CE1989" s="84"/>
      <c r="CF1989" s="84"/>
      <c r="CG1989" s="84"/>
      <c r="CH1989" s="84"/>
      <c r="CI1989" s="84"/>
      <c r="CJ1989" s="84"/>
      <c r="CK1989" s="84"/>
      <c r="CL1989" s="84"/>
    </row>
    <row r="1990" spans="66:90" s="354" customFormat="1" x14ac:dyDescent="0.2">
      <c r="BN1990" s="84"/>
      <c r="BO1990" s="84"/>
      <c r="BP1990" s="84"/>
      <c r="BQ1990" s="84"/>
      <c r="BR1990" s="84"/>
      <c r="BS1990" s="84"/>
      <c r="BT1990" s="84"/>
      <c r="BU1990" s="84"/>
      <c r="BV1990" s="84"/>
      <c r="BW1990" s="84"/>
      <c r="BX1990" s="84"/>
      <c r="BY1990" s="84"/>
      <c r="BZ1990" s="84"/>
      <c r="CA1990" s="84"/>
      <c r="CB1990" s="84"/>
      <c r="CC1990" s="84"/>
      <c r="CD1990" s="84"/>
      <c r="CE1990" s="84"/>
      <c r="CF1990" s="84"/>
      <c r="CG1990" s="84"/>
      <c r="CH1990" s="84"/>
      <c r="CI1990" s="84"/>
      <c r="CJ1990" s="84"/>
      <c r="CK1990" s="84"/>
      <c r="CL1990" s="84"/>
    </row>
    <row r="1991" spans="66:90" s="354" customFormat="1" x14ac:dyDescent="0.2">
      <c r="BN1991" s="84"/>
      <c r="BO1991" s="84"/>
      <c r="BP1991" s="84"/>
      <c r="BQ1991" s="84"/>
      <c r="BR1991" s="84"/>
      <c r="BS1991" s="84"/>
      <c r="BT1991" s="84"/>
      <c r="BU1991" s="84"/>
      <c r="BV1991" s="84"/>
      <c r="BW1991" s="84"/>
      <c r="BX1991" s="84"/>
      <c r="BY1991" s="84"/>
      <c r="BZ1991" s="84"/>
      <c r="CA1991" s="84"/>
      <c r="CB1991" s="84"/>
      <c r="CC1991" s="84"/>
      <c r="CD1991" s="84"/>
      <c r="CE1991" s="84"/>
      <c r="CF1991" s="84"/>
      <c r="CG1991" s="84"/>
      <c r="CH1991" s="84"/>
      <c r="CI1991" s="84"/>
      <c r="CJ1991" s="84"/>
      <c r="CK1991" s="84"/>
      <c r="CL1991" s="84"/>
    </row>
    <row r="1992" spans="66:90" s="354" customFormat="1" x14ac:dyDescent="0.2">
      <c r="BN1992" s="84"/>
      <c r="BO1992" s="84"/>
      <c r="BP1992" s="84"/>
      <c r="BQ1992" s="84"/>
      <c r="BR1992" s="84"/>
      <c r="BS1992" s="84"/>
      <c r="BT1992" s="84"/>
      <c r="BU1992" s="84"/>
      <c r="BV1992" s="84"/>
      <c r="BW1992" s="84"/>
      <c r="BX1992" s="84"/>
      <c r="BY1992" s="84"/>
      <c r="BZ1992" s="84"/>
      <c r="CA1992" s="84"/>
      <c r="CB1992" s="84"/>
      <c r="CC1992" s="84"/>
      <c r="CD1992" s="84"/>
      <c r="CE1992" s="84"/>
      <c r="CF1992" s="84"/>
      <c r="CG1992" s="84"/>
      <c r="CH1992" s="84"/>
      <c r="CI1992" s="84"/>
      <c r="CJ1992" s="84"/>
      <c r="CK1992" s="84"/>
      <c r="CL1992" s="84"/>
    </row>
    <row r="1993" spans="66:90" s="354" customFormat="1" x14ac:dyDescent="0.2">
      <c r="BN1993" s="84"/>
      <c r="BO1993" s="84"/>
      <c r="BP1993" s="84"/>
      <c r="BQ1993" s="84"/>
      <c r="BR1993" s="84"/>
      <c r="BS1993" s="84"/>
      <c r="BT1993" s="84"/>
      <c r="BU1993" s="84"/>
      <c r="BV1993" s="84"/>
      <c r="BW1993" s="84"/>
      <c r="BX1993" s="84"/>
      <c r="BY1993" s="84"/>
      <c r="BZ1993" s="84"/>
      <c r="CA1993" s="84"/>
      <c r="CB1993" s="84"/>
      <c r="CC1993" s="84"/>
      <c r="CD1993" s="84"/>
      <c r="CE1993" s="84"/>
      <c r="CF1993" s="84"/>
      <c r="CG1993" s="84"/>
      <c r="CH1993" s="84"/>
      <c r="CI1993" s="84"/>
      <c r="CJ1993" s="84"/>
      <c r="CK1993" s="84"/>
      <c r="CL1993" s="84"/>
    </row>
    <row r="1994" spans="66:90" s="354" customFormat="1" x14ac:dyDescent="0.2">
      <c r="BN1994" s="84"/>
      <c r="BO1994" s="84"/>
      <c r="BP1994" s="84"/>
      <c r="BQ1994" s="84"/>
      <c r="BR1994" s="84"/>
      <c r="BS1994" s="84"/>
      <c r="BT1994" s="84"/>
      <c r="BU1994" s="84"/>
      <c r="BV1994" s="84"/>
      <c r="BW1994" s="84"/>
      <c r="BX1994" s="84"/>
      <c r="BY1994" s="84"/>
      <c r="BZ1994" s="84"/>
      <c r="CA1994" s="84"/>
      <c r="CB1994" s="84"/>
      <c r="CC1994" s="84"/>
      <c r="CD1994" s="84"/>
      <c r="CE1994" s="84"/>
      <c r="CF1994" s="84"/>
      <c r="CG1994" s="84"/>
      <c r="CH1994" s="84"/>
      <c r="CI1994" s="84"/>
      <c r="CJ1994" s="84"/>
      <c r="CK1994" s="84"/>
      <c r="CL1994" s="84"/>
    </row>
    <row r="1995" spans="66:90" s="354" customFormat="1" x14ac:dyDescent="0.2">
      <c r="BN1995" s="84"/>
      <c r="BO1995" s="84"/>
      <c r="BP1995" s="84"/>
      <c r="BQ1995" s="84"/>
      <c r="BR1995" s="84"/>
      <c r="BS1995" s="84"/>
      <c r="BT1995" s="84"/>
      <c r="BU1995" s="84"/>
      <c r="BV1995" s="84"/>
      <c r="BW1995" s="84"/>
      <c r="BX1995" s="84"/>
      <c r="BY1995" s="84"/>
      <c r="BZ1995" s="84"/>
      <c r="CA1995" s="84"/>
      <c r="CB1995" s="84"/>
      <c r="CC1995" s="84"/>
      <c r="CD1995" s="84"/>
      <c r="CE1995" s="84"/>
      <c r="CF1995" s="84"/>
      <c r="CG1995" s="84"/>
      <c r="CH1995" s="84"/>
      <c r="CI1995" s="84"/>
      <c r="CJ1995" s="84"/>
      <c r="CK1995" s="84"/>
      <c r="CL1995" s="84"/>
    </row>
    <row r="1996" spans="66:90" s="354" customFormat="1" x14ac:dyDescent="0.2">
      <c r="BN1996" s="84"/>
      <c r="BO1996" s="84"/>
      <c r="BP1996" s="84"/>
      <c r="BQ1996" s="84"/>
      <c r="BR1996" s="84"/>
      <c r="BS1996" s="84"/>
      <c r="BT1996" s="84"/>
      <c r="BU1996" s="84"/>
      <c r="BV1996" s="84"/>
      <c r="BW1996" s="84"/>
      <c r="BX1996" s="84"/>
      <c r="BY1996" s="84"/>
      <c r="BZ1996" s="84"/>
      <c r="CA1996" s="84"/>
      <c r="CB1996" s="84"/>
      <c r="CC1996" s="84"/>
      <c r="CD1996" s="84"/>
      <c r="CE1996" s="84"/>
      <c r="CF1996" s="84"/>
      <c r="CG1996" s="84"/>
      <c r="CH1996" s="84"/>
      <c r="CI1996" s="84"/>
      <c r="CJ1996" s="84"/>
      <c r="CK1996" s="84"/>
      <c r="CL1996" s="84"/>
    </row>
    <row r="1997" spans="66:90" s="354" customFormat="1" x14ac:dyDescent="0.2">
      <c r="BN1997" s="84"/>
      <c r="BO1997" s="84"/>
      <c r="BP1997" s="84"/>
      <c r="BQ1997" s="84"/>
      <c r="BR1997" s="84"/>
      <c r="BS1997" s="84"/>
      <c r="BT1997" s="84"/>
      <c r="BU1997" s="84"/>
      <c r="BV1997" s="84"/>
      <c r="BW1997" s="84"/>
      <c r="BX1997" s="84"/>
      <c r="BY1997" s="84"/>
      <c r="BZ1997" s="84"/>
      <c r="CA1997" s="84"/>
      <c r="CB1997" s="84"/>
      <c r="CC1997" s="84"/>
      <c r="CD1997" s="84"/>
      <c r="CE1997" s="84"/>
      <c r="CF1997" s="84"/>
      <c r="CG1997" s="84"/>
      <c r="CH1997" s="84"/>
      <c r="CI1997" s="84"/>
      <c r="CJ1997" s="84"/>
      <c r="CK1997" s="84"/>
      <c r="CL1997" s="84"/>
    </row>
    <row r="1998" spans="66:90" s="354" customFormat="1" x14ac:dyDescent="0.2">
      <c r="BN1998" s="84"/>
      <c r="BO1998" s="84"/>
      <c r="BP1998" s="84"/>
      <c r="BQ1998" s="84"/>
      <c r="BR1998" s="84"/>
      <c r="BS1998" s="84"/>
      <c r="BT1998" s="84"/>
      <c r="BU1998" s="84"/>
      <c r="BV1998" s="84"/>
      <c r="BW1998" s="84"/>
      <c r="BX1998" s="84"/>
      <c r="BY1998" s="84"/>
      <c r="BZ1998" s="84"/>
      <c r="CA1998" s="84"/>
      <c r="CB1998" s="84"/>
      <c r="CC1998" s="84"/>
      <c r="CD1998" s="84"/>
      <c r="CE1998" s="84"/>
      <c r="CF1998" s="84"/>
      <c r="CG1998" s="84"/>
      <c r="CH1998" s="84"/>
      <c r="CI1998" s="84"/>
      <c r="CJ1998" s="84"/>
      <c r="CK1998" s="84"/>
      <c r="CL1998" s="84"/>
    </row>
    <row r="1999" spans="66:90" s="354" customFormat="1" x14ac:dyDescent="0.2">
      <c r="BN1999" s="84"/>
      <c r="BO1999" s="84"/>
      <c r="BP1999" s="84"/>
      <c r="BQ1999" s="84"/>
      <c r="BR1999" s="84"/>
      <c r="BS1999" s="84"/>
      <c r="BT1999" s="84"/>
      <c r="BU1999" s="84"/>
      <c r="BV1999" s="84"/>
      <c r="BW1999" s="84"/>
      <c r="BX1999" s="84"/>
      <c r="BY1999" s="84"/>
      <c r="BZ1999" s="84"/>
      <c r="CA1999" s="84"/>
      <c r="CB1999" s="84"/>
      <c r="CC1999" s="84"/>
      <c r="CD1999" s="84"/>
      <c r="CE1999" s="84"/>
      <c r="CF1999" s="84"/>
      <c r="CG1999" s="84"/>
      <c r="CH1999" s="84"/>
      <c r="CI1999" s="84"/>
      <c r="CJ1999" s="84"/>
      <c r="CK1999" s="84"/>
      <c r="CL1999" s="84"/>
    </row>
    <row r="2000" spans="66:90" s="354" customFormat="1" x14ac:dyDescent="0.2">
      <c r="BN2000" s="84"/>
      <c r="BO2000" s="84"/>
      <c r="BP2000" s="84"/>
      <c r="BQ2000" s="84"/>
      <c r="BR2000" s="84"/>
      <c r="BS2000" s="84"/>
      <c r="BT2000" s="84"/>
      <c r="BU2000" s="84"/>
      <c r="BV2000" s="84"/>
      <c r="BW2000" s="84"/>
      <c r="BX2000" s="84"/>
      <c r="BY2000" s="84"/>
      <c r="BZ2000" s="84"/>
      <c r="CA2000" s="84"/>
      <c r="CB2000" s="84"/>
      <c r="CC2000" s="84"/>
      <c r="CD2000" s="84"/>
      <c r="CE2000" s="84"/>
      <c r="CF2000" s="84"/>
      <c r="CG2000" s="84"/>
      <c r="CH2000" s="84"/>
      <c r="CI2000" s="84"/>
      <c r="CJ2000" s="84"/>
      <c r="CK2000" s="84"/>
      <c r="CL2000" s="84"/>
    </row>
    <row r="2001" spans="66:90" s="354" customFormat="1" x14ac:dyDescent="0.2">
      <c r="BN2001" s="84"/>
      <c r="BO2001" s="84"/>
      <c r="BP2001" s="84"/>
      <c r="BQ2001" s="84"/>
      <c r="BR2001" s="84"/>
      <c r="BS2001" s="84"/>
      <c r="BT2001" s="84"/>
      <c r="BU2001" s="84"/>
      <c r="BV2001" s="84"/>
      <c r="BW2001" s="84"/>
      <c r="BX2001" s="84"/>
      <c r="BY2001" s="84"/>
      <c r="BZ2001" s="84"/>
      <c r="CA2001" s="84"/>
      <c r="CB2001" s="84"/>
      <c r="CC2001" s="84"/>
      <c r="CD2001" s="84"/>
      <c r="CE2001" s="84"/>
      <c r="CF2001" s="84"/>
      <c r="CG2001" s="84"/>
      <c r="CH2001" s="84"/>
      <c r="CI2001" s="84"/>
      <c r="CJ2001" s="84"/>
      <c r="CK2001" s="84"/>
      <c r="CL2001" s="84"/>
    </row>
    <row r="2002" spans="66:90" s="354" customFormat="1" x14ac:dyDescent="0.2">
      <c r="BN2002" s="84"/>
      <c r="BO2002" s="84"/>
      <c r="BP2002" s="84"/>
      <c r="BQ2002" s="84"/>
      <c r="BR2002" s="84"/>
      <c r="BS2002" s="84"/>
      <c r="BT2002" s="84"/>
      <c r="BU2002" s="84"/>
      <c r="BV2002" s="84"/>
      <c r="BW2002" s="84"/>
      <c r="BX2002" s="84"/>
      <c r="BY2002" s="84"/>
      <c r="BZ2002" s="84"/>
      <c r="CA2002" s="84"/>
      <c r="CB2002" s="84"/>
      <c r="CC2002" s="84"/>
      <c r="CD2002" s="84"/>
      <c r="CE2002" s="84"/>
      <c r="CF2002" s="84"/>
      <c r="CG2002" s="84"/>
      <c r="CH2002" s="84"/>
      <c r="CI2002" s="84"/>
      <c r="CJ2002" s="84"/>
      <c r="CK2002" s="84"/>
      <c r="CL2002" s="84"/>
    </row>
    <row r="2003" spans="66:90" s="354" customFormat="1" x14ac:dyDescent="0.2">
      <c r="BN2003" s="84"/>
      <c r="BO2003" s="84"/>
      <c r="BP2003" s="84"/>
      <c r="BQ2003" s="84"/>
      <c r="BR2003" s="84"/>
      <c r="BS2003" s="84"/>
      <c r="BT2003" s="84"/>
      <c r="BU2003" s="84"/>
      <c r="BV2003" s="84"/>
      <c r="BW2003" s="84"/>
      <c r="BX2003" s="84"/>
      <c r="BY2003" s="84"/>
      <c r="BZ2003" s="84"/>
      <c r="CA2003" s="84"/>
      <c r="CB2003" s="84"/>
      <c r="CC2003" s="84"/>
      <c r="CD2003" s="84"/>
      <c r="CE2003" s="84"/>
      <c r="CF2003" s="84"/>
      <c r="CG2003" s="84"/>
      <c r="CH2003" s="84"/>
      <c r="CI2003" s="84"/>
      <c r="CJ2003" s="84"/>
      <c r="CK2003" s="84"/>
      <c r="CL2003" s="84"/>
    </row>
    <row r="2004" spans="66:90" s="354" customFormat="1" x14ac:dyDescent="0.2">
      <c r="BN2004" s="84"/>
      <c r="BO2004" s="84"/>
      <c r="BP2004" s="84"/>
      <c r="BQ2004" s="84"/>
      <c r="BR2004" s="84"/>
      <c r="BS2004" s="84"/>
      <c r="BT2004" s="84"/>
      <c r="BU2004" s="84"/>
      <c r="BV2004" s="84"/>
      <c r="BW2004" s="84"/>
      <c r="BX2004" s="84"/>
      <c r="BY2004" s="84"/>
      <c r="BZ2004" s="84"/>
      <c r="CA2004" s="84"/>
      <c r="CB2004" s="84"/>
      <c r="CC2004" s="84"/>
      <c r="CD2004" s="84"/>
      <c r="CE2004" s="84"/>
      <c r="CF2004" s="84"/>
      <c r="CG2004" s="84"/>
      <c r="CH2004" s="84"/>
      <c r="CI2004" s="84"/>
      <c r="CJ2004" s="84"/>
      <c r="CK2004" s="84"/>
      <c r="CL2004" s="84"/>
    </row>
    <row r="2005" spans="66:90" s="354" customFormat="1" x14ac:dyDescent="0.2">
      <c r="BN2005" s="84"/>
      <c r="BO2005" s="84"/>
      <c r="BP2005" s="84"/>
      <c r="BQ2005" s="84"/>
      <c r="BR2005" s="84"/>
      <c r="BS2005" s="84"/>
      <c r="BT2005" s="84"/>
      <c r="BU2005" s="84"/>
      <c r="BV2005" s="84"/>
      <c r="BW2005" s="84"/>
      <c r="BX2005" s="84"/>
      <c r="BY2005" s="84"/>
      <c r="BZ2005" s="84"/>
      <c r="CA2005" s="84"/>
      <c r="CB2005" s="84"/>
      <c r="CC2005" s="84"/>
      <c r="CD2005" s="84"/>
      <c r="CE2005" s="84"/>
      <c r="CF2005" s="84"/>
      <c r="CG2005" s="84"/>
      <c r="CH2005" s="84"/>
      <c r="CI2005" s="84"/>
      <c r="CJ2005" s="84"/>
      <c r="CK2005" s="84"/>
      <c r="CL2005" s="84"/>
    </row>
    <row r="2006" spans="66:90" s="354" customFormat="1" x14ac:dyDescent="0.2">
      <c r="BN2006" s="84"/>
      <c r="BO2006" s="84"/>
      <c r="BP2006" s="84"/>
      <c r="BQ2006" s="84"/>
      <c r="BR2006" s="84"/>
      <c r="BS2006" s="84"/>
      <c r="BT2006" s="84"/>
      <c r="BU2006" s="84"/>
      <c r="BV2006" s="84"/>
      <c r="BW2006" s="84"/>
      <c r="BX2006" s="84"/>
      <c r="BY2006" s="84"/>
      <c r="BZ2006" s="84"/>
      <c r="CA2006" s="84"/>
      <c r="CB2006" s="84"/>
      <c r="CC2006" s="84"/>
      <c r="CD2006" s="84"/>
      <c r="CE2006" s="84"/>
      <c r="CF2006" s="84"/>
      <c r="CG2006" s="84"/>
      <c r="CH2006" s="84"/>
      <c r="CI2006" s="84"/>
      <c r="CJ2006" s="84"/>
      <c r="CK2006" s="84"/>
      <c r="CL2006" s="84"/>
    </row>
    <row r="2007" spans="66:90" s="354" customFormat="1" x14ac:dyDescent="0.2">
      <c r="BN2007" s="84"/>
      <c r="BO2007" s="84"/>
      <c r="BP2007" s="84"/>
      <c r="BQ2007" s="84"/>
      <c r="BR2007" s="84"/>
      <c r="BS2007" s="84"/>
      <c r="BT2007" s="84"/>
      <c r="BU2007" s="84"/>
      <c r="BV2007" s="84"/>
      <c r="BW2007" s="84"/>
      <c r="BX2007" s="84"/>
      <c r="BY2007" s="84"/>
      <c r="BZ2007" s="84"/>
      <c r="CA2007" s="84"/>
      <c r="CB2007" s="84"/>
      <c r="CC2007" s="84"/>
      <c r="CD2007" s="84"/>
      <c r="CE2007" s="84"/>
      <c r="CF2007" s="84"/>
      <c r="CG2007" s="84"/>
      <c r="CH2007" s="84"/>
      <c r="CI2007" s="84"/>
      <c r="CJ2007" s="84"/>
      <c r="CK2007" s="84"/>
      <c r="CL2007" s="84"/>
    </row>
    <row r="2008" spans="66:90" s="354" customFormat="1" x14ac:dyDescent="0.2">
      <c r="BN2008" s="84"/>
      <c r="BO2008" s="84"/>
      <c r="BP2008" s="84"/>
      <c r="BQ2008" s="84"/>
      <c r="BR2008" s="84"/>
      <c r="BS2008" s="84"/>
      <c r="BT2008" s="84"/>
      <c r="BU2008" s="84"/>
      <c r="BV2008" s="84"/>
      <c r="BW2008" s="84"/>
      <c r="BX2008" s="84"/>
      <c r="BY2008" s="84"/>
      <c r="BZ2008" s="84"/>
      <c r="CA2008" s="84"/>
      <c r="CB2008" s="84"/>
      <c r="CC2008" s="84"/>
      <c r="CD2008" s="84"/>
      <c r="CE2008" s="84"/>
      <c r="CF2008" s="84"/>
      <c r="CG2008" s="84"/>
      <c r="CH2008" s="84"/>
      <c r="CI2008" s="84"/>
      <c r="CJ2008" s="84"/>
      <c r="CK2008" s="84"/>
      <c r="CL2008" s="84"/>
    </row>
    <row r="2009" spans="66:90" s="354" customFormat="1" x14ac:dyDescent="0.2">
      <c r="BN2009" s="84"/>
      <c r="BO2009" s="84"/>
      <c r="BP2009" s="84"/>
      <c r="BQ2009" s="84"/>
      <c r="BR2009" s="84"/>
      <c r="BS2009" s="84"/>
      <c r="BT2009" s="84"/>
      <c r="BU2009" s="84"/>
      <c r="BV2009" s="84"/>
      <c r="BW2009" s="84"/>
      <c r="BX2009" s="84"/>
      <c r="BY2009" s="84"/>
      <c r="BZ2009" s="84"/>
      <c r="CA2009" s="84"/>
      <c r="CB2009" s="84"/>
      <c r="CC2009" s="84"/>
      <c r="CD2009" s="84"/>
      <c r="CE2009" s="84"/>
      <c r="CF2009" s="84"/>
      <c r="CG2009" s="84"/>
      <c r="CH2009" s="84"/>
      <c r="CI2009" s="84"/>
      <c r="CJ2009" s="84"/>
      <c r="CK2009" s="84"/>
      <c r="CL2009" s="84"/>
    </row>
    <row r="2010" spans="66:90" s="354" customFormat="1" x14ac:dyDescent="0.2">
      <c r="BN2010" s="84"/>
      <c r="BO2010" s="84"/>
      <c r="BP2010" s="84"/>
      <c r="BQ2010" s="84"/>
      <c r="BR2010" s="84"/>
      <c r="BS2010" s="84"/>
      <c r="BT2010" s="84"/>
      <c r="BU2010" s="84"/>
      <c r="BV2010" s="84"/>
      <c r="BW2010" s="84"/>
      <c r="BX2010" s="84"/>
      <c r="BY2010" s="84"/>
      <c r="BZ2010" s="84"/>
      <c r="CA2010" s="84"/>
      <c r="CB2010" s="84"/>
      <c r="CC2010" s="84"/>
      <c r="CD2010" s="84"/>
      <c r="CE2010" s="84"/>
      <c r="CF2010" s="84"/>
      <c r="CG2010" s="84"/>
      <c r="CH2010" s="84"/>
      <c r="CI2010" s="84"/>
      <c r="CJ2010" s="84"/>
      <c r="CK2010" s="84"/>
      <c r="CL2010" s="84"/>
    </row>
    <row r="2011" spans="66:90" s="354" customFormat="1" x14ac:dyDescent="0.2">
      <c r="BN2011" s="84"/>
      <c r="BO2011" s="84"/>
      <c r="BP2011" s="84"/>
      <c r="BQ2011" s="84"/>
      <c r="BR2011" s="84"/>
      <c r="BS2011" s="84"/>
      <c r="BT2011" s="84"/>
      <c r="BU2011" s="84"/>
      <c r="BV2011" s="84"/>
      <c r="BW2011" s="84"/>
      <c r="BX2011" s="84"/>
      <c r="BY2011" s="84"/>
      <c r="BZ2011" s="84"/>
      <c r="CA2011" s="84"/>
      <c r="CB2011" s="84"/>
      <c r="CC2011" s="84"/>
      <c r="CD2011" s="84"/>
      <c r="CE2011" s="84"/>
      <c r="CF2011" s="84"/>
      <c r="CG2011" s="84"/>
      <c r="CH2011" s="84"/>
      <c r="CI2011" s="84"/>
      <c r="CJ2011" s="84"/>
      <c r="CK2011" s="84"/>
      <c r="CL2011" s="84"/>
    </row>
    <row r="2012" spans="66:90" s="354" customFormat="1" x14ac:dyDescent="0.2">
      <c r="BN2012" s="84"/>
      <c r="BO2012" s="84"/>
      <c r="BP2012" s="84"/>
      <c r="BQ2012" s="84"/>
      <c r="BR2012" s="84"/>
      <c r="BS2012" s="84"/>
      <c r="BT2012" s="84"/>
      <c r="BU2012" s="84"/>
      <c r="BV2012" s="84"/>
      <c r="BW2012" s="84"/>
      <c r="BX2012" s="84"/>
      <c r="BY2012" s="84"/>
      <c r="BZ2012" s="84"/>
      <c r="CA2012" s="84"/>
      <c r="CB2012" s="84"/>
      <c r="CC2012" s="84"/>
      <c r="CD2012" s="84"/>
      <c r="CE2012" s="84"/>
      <c r="CF2012" s="84"/>
      <c r="CG2012" s="84"/>
      <c r="CH2012" s="84"/>
      <c r="CI2012" s="84"/>
      <c r="CJ2012" s="84"/>
      <c r="CK2012" s="84"/>
      <c r="CL2012" s="84"/>
    </row>
    <row r="2013" spans="66:90" s="354" customFormat="1" x14ac:dyDescent="0.2">
      <c r="BN2013" s="84"/>
      <c r="BO2013" s="84"/>
      <c r="BP2013" s="84"/>
      <c r="BQ2013" s="84"/>
      <c r="BR2013" s="84"/>
      <c r="BS2013" s="84"/>
      <c r="BT2013" s="84"/>
      <c r="BU2013" s="84"/>
      <c r="BV2013" s="84"/>
      <c r="BW2013" s="84"/>
      <c r="BX2013" s="84"/>
      <c r="BY2013" s="84"/>
      <c r="BZ2013" s="84"/>
      <c r="CA2013" s="84"/>
      <c r="CB2013" s="84"/>
      <c r="CC2013" s="84"/>
      <c r="CD2013" s="84"/>
      <c r="CE2013" s="84"/>
      <c r="CF2013" s="84"/>
      <c r="CG2013" s="84"/>
      <c r="CH2013" s="84"/>
      <c r="CI2013" s="84"/>
      <c r="CJ2013" s="84"/>
      <c r="CK2013" s="84"/>
      <c r="CL2013" s="84"/>
    </row>
    <row r="2014" spans="66:90" s="354" customFormat="1" x14ac:dyDescent="0.2">
      <c r="BN2014" s="84"/>
      <c r="BO2014" s="84"/>
      <c r="BP2014" s="84"/>
      <c r="BQ2014" s="84"/>
      <c r="BR2014" s="84"/>
      <c r="BS2014" s="84"/>
      <c r="BT2014" s="84"/>
      <c r="BU2014" s="84"/>
      <c r="BV2014" s="84"/>
      <c r="BW2014" s="84"/>
      <c r="BX2014" s="84"/>
      <c r="BY2014" s="84"/>
      <c r="BZ2014" s="84"/>
      <c r="CA2014" s="84"/>
      <c r="CB2014" s="84"/>
      <c r="CC2014" s="84"/>
      <c r="CD2014" s="84"/>
      <c r="CE2014" s="84"/>
      <c r="CF2014" s="84"/>
      <c r="CG2014" s="84"/>
      <c r="CH2014" s="84"/>
      <c r="CI2014" s="84"/>
      <c r="CJ2014" s="84"/>
      <c r="CK2014" s="84"/>
      <c r="CL2014" s="84"/>
    </row>
    <row r="2015" spans="66:90" s="354" customFormat="1" x14ac:dyDescent="0.2">
      <c r="BN2015" s="84"/>
      <c r="BO2015" s="84"/>
      <c r="BP2015" s="84"/>
      <c r="BQ2015" s="84"/>
      <c r="BR2015" s="84"/>
      <c r="BS2015" s="84"/>
      <c r="BT2015" s="84"/>
      <c r="BU2015" s="84"/>
      <c r="BV2015" s="84"/>
      <c r="BW2015" s="84"/>
      <c r="BX2015" s="84"/>
      <c r="BY2015" s="84"/>
      <c r="BZ2015" s="84"/>
      <c r="CA2015" s="84"/>
      <c r="CB2015" s="84"/>
      <c r="CC2015" s="84"/>
      <c r="CD2015" s="84"/>
      <c r="CE2015" s="84"/>
      <c r="CF2015" s="84"/>
      <c r="CG2015" s="84"/>
      <c r="CH2015" s="84"/>
      <c r="CI2015" s="84"/>
      <c r="CJ2015" s="84"/>
      <c r="CK2015" s="84"/>
      <c r="CL2015" s="84"/>
    </row>
    <row r="2016" spans="66:90" s="354" customFormat="1" x14ac:dyDescent="0.2">
      <c r="BN2016" s="84"/>
      <c r="BO2016" s="84"/>
      <c r="BP2016" s="84"/>
      <c r="BQ2016" s="84"/>
      <c r="BR2016" s="84"/>
      <c r="BS2016" s="84"/>
      <c r="BT2016" s="84"/>
      <c r="BU2016" s="84"/>
      <c r="BV2016" s="84"/>
      <c r="BW2016" s="84"/>
      <c r="BX2016" s="84"/>
      <c r="BY2016" s="84"/>
      <c r="BZ2016" s="84"/>
      <c r="CA2016" s="84"/>
      <c r="CB2016" s="84"/>
      <c r="CC2016" s="84"/>
      <c r="CD2016" s="84"/>
      <c r="CE2016" s="84"/>
      <c r="CF2016" s="84"/>
      <c r="CG2016" s="84"/>
      <c r="CH2016" s="84"/>
      <c r="CI2016" s="84"/>
      <c r="CJ2016" s="84"/>
      <c r="CK2016" s="84"/>
      <c r="CL2016" s="84"/>
    </row>
    <row r="2017" spans="66:90" s="354" customFormat="1" x14ac:dyDescent="0.2">
      <c r="BN2017" s="84"/>
      <c r="BO2017" s="84"/>
      <c r="BP2017" s="84"/>
      <c r="BQ2017" s="84"/>
      <c r="BR2017" s="84"/>
      <c r="BS2017" s="84"/>
      <c r="BT2017" s="84"/>
      <c r="BU2017" s="84"/>
      <c r="BV2017" s="84"/>
      <c r="BW2017" s="84"/>
      <c r="BX2017" s="84"/>
      <c r="BY2017" s="84"/>
      <c r="BZ2017" s="84"/>
      <c r="CA2017" s="84"/>
      <c r="CB2017" s="84"/>
      <c r="CC2017" s="84"/>
      <c r="CD2017" s="84"/>
      <c r="CE2017" s="84"/>
      <c r="CF2017" s="84"/>
      <c r="CG2017" s="84"/>
      <c r="CH2017" s="84"/>
      <c r="CI2017" s="84"/>
      <c r="CJ2017" s="84"/>
      <c r="CK2017" s="84"/>
      <c r="CL2017" s="84"/>
    </row>
    <row r="2018" spans="66:90" s="354" customFormat="1" x14ac:dyDescent="0.2">
      <c r="BN2018" s="84"/>
      <c r="BO2018" s="84"/>
      <c r="BP2018" s="84"/>
      <c r="BQ2018" s="84"/>
      <c r="BR2018" s="84"/>
      <c r="BS2018" s="84"/>
      <c r="BT2018" s="84"/>
      <c r="BU2018" s="84"/>
      <c r="BV2018" s="84"/>
      <c r="BW2018" s="84"/>
      <c r="BX2018" s="84"/>
      <c r="BY2018" s="84"/>
      <c r="BZ2018" s="84"/>
      <c r="CA2018" s="84"/>
      <c r="CB2018" s="84"/>
      <c r="CC2018" s="84"/>
      <c r="CD2018" s="84"/>
      <c r="CE2018" s="84"/>
      <c r="CF2018" s="84"/>
      <c r="CG2018" s="84"/>
      <c r="CH2018" s="84"/>
      <c r="CI2018" s="84"/>
      <c r="CJ2018" s="84"/>
      <c r="CK2018" s="84"/>
      <c r="CL2018" s="84"/>
    </row>
    <row r="2019" spans="66:90" s="354" customFormat="1" x14ac:dyDescent="0.2">
      <c r="BN2019" s="84"/>
      <c r="BO2019" s="84"/>
      <c r="BP2019" s="84"/>
      <c r="BQ2019" s="84"/>
      <c r="BR2019" s="84"/>
      <c r="BS2019" s="84"/>
      <c r="BT2019" s="84"/>
      <c r="BU2019" s="84"/>
      <c r="BV2019" s="84"/>
      <c r="BW2019" s="84"/>
      <c r="BX2019" s="84"/>
      <c r="BY2019" s="84"/>
      <c r="BZ2019" s="84"/>
      <c r="CA2019" s="84"/>
      <c r="CB2019" s="84"/>
      <c r="CC2019" s="84"/>
      <c r="CD2019" s="84"/>
      <c r="CE2019" s="84"/>
      <c r="CF2019" s="84"/>
      <c r="CG2019" s="84"/>
      <c r="CH2019" s="84"/>
      <c r="CI2019" s="84"/>
      <c r="CJ2019" s="84"/>
      <c r="CK2019" s="84"/>
      <c r="CL2019" s="84"/>
    </row>
    <row r="2020" spans="66:90" s="354" customFormat="1" x14ac:dyDescent="0.2">
      <c r="BN2020" s="84"/>
      <c r="BO2020" s="84"/>
      <c r="BP2020" s="84"/>
      <c r="BQ2020" s="84"/>
      <c r="BR2020" s="84"/>
      <c r="BS2020" s="84"/>
      <c r="BT2020" s="84"/>
      <c r="BU2020" s="84"/>
      <c r="BV2020" s="84"/>
      <c r="BW2020" s="84"/>
      <c r="BX2020" s="84"/>
      <c r="BY2020" s="84"/>
      <c r="BZ2020" s="84"/>
      <c r="CA2020" s="84"/>
      <c r="CB2020" s="84"/>
      <c r="CC2020" s="84"/>
      <c r="CD2020" s="84"/>
      <c r="CE2020" s="84"/>
      <c r="CF2020" s="84"/>
      <c r="CG2020" s="84"/>
      <c r="CH2020" s="84"/>
      <c r="CI2020" s="84"/>
      <c r="CJ2020" s="84"/>
      <c r="CK2020" s="84"/>
      <c r="CL2020" s="84"/>
    </row>
    <row r="2021" spans="66:90" s="354" customFormat="1" x14ac:dyDescent="0.2">
      <c r="BN2021" s="84"/>
      <c r="BO2021" s="84"/>
      <c r="BP2021" s="84"/>
      <c r="BQ2021" s="84"/>
      <c r="BR2021" s="84"/>
      <c r="BS2021" s="84"/>
      <c r="BT2021" s="84"/>
      <c r="BU2021" s="84"/>
      <c r="BV2021" s="84"/>
      <c r="BW2021" s="84"/>
      <c r="BX2021" s="84"/>
      <c r="BY2021" s="84"/>
      <c r="BZ2021" s="84"/>
      <c r="CA2021" s="84"/>
      <c r="CB2021" s="84"/>
      <c r="CC2021" s="84"/>
      <c r="CD2021" s="84"/>
      <c r="CE2021" s="84"/>
      <c r="CF2021" s="84"/>
      <c r="CG2021" s="84"/>
      <c r="CH2021" s="84"/>
      <c r="CI2021" s="84"/>
      <c r="CJ2021" s="84"/>
      <c r="CK2021" s="84"/>
      <c r="CL2021" s="84"/>
    </row>
    <row r="2022" spans="66:90" s="354" customFormat="1" x14ac:dyDescent="0.2">
      <c r="BN2022" s="84"/>
      <c r="BO2022" s="84"/>
      <c r="BP2022" s="84"/>
      <c r="BQ2022" s="84"/>
      <c r="BR2022" s="84"/>
      <c r="BS2022" s="84"/>
      <c r="BT2022" s="84"/>
      <c r="BU2022" s="84"/>
      <c r="BV2022" s="84"/>
      <c r="BW2022" s="84"/>
      <c r="BX2022" s="84"/>
      <c r="BY2022" s="84"/>
      <c r="BZ2022" s="84"/>
      <c r="CA2022" s="84"/>
      <c r="CB2022" s="84"/>
      <c r="CC2022" s="84"/>
      <c r="CD2022" s="84"/>
      <c r="CE2022" s="84"/>
      <c r="CF2022" s="84"/>
      <c r="CG2022" s="84"/>
      <c r="CH2022" s="84"/>
      <c r="CI2022" s="84"/>
      <c r="CJ2022" s="84"/>
      <c r="CK2022" s="84"/>
      <c r="CL2022" s="84"/>
    </row>
    <row r="2023" spans="66:90" s="354" customFormat="1" x14ac:dyDescent="0.2">
      <c r="BN2023" s="84"/>
      <c r="BO2023" s="84"/>
      <c r="BP2023" s="84"/>
      <c r="BQ2023" s="84"/>
      <c r="BR2023" s="84"/>
      <c r="BS2023" s="84"/>
      <c r="BT2023" s="84"/>
      <c r="BU2023" s="84"/>
      <c r="BV2023" s="84"/>
      <c r="BW2023" s="84"/>
      <c r="BX2023" s="84"/>
      <c r="BY2023" s="84"/>
      <c r="BZ2023" s="84"/>
      <c r="CA2023" s="84"/>
      <c r="CB2023" s="84"/>
      <c r="CC2023" s="84"/>
      <c r="CD2023" s="84"/>
      <c r="CE2023" s="84"/>
      <c r="CF2023" s="84"/>
      <c r="CG2023" s="84"/>
      <c r="CH2023" s="84"/>
      <c r="CI2023" s="84"/>
      <c r="CJ2023" s="84"/>
      <c r="CK2023" s="84"/>
      <c r="CL2023" s="84"/>
    </row>
    <row r="2024" spans="66:90" s="354" customFormat="1" x14ac:dyDescent="0.2">
      <c r="BN2024" s="84"/>
      <c r="BO2024" s="84"/>
      <c r="BP2024" s="84"/>
      <c r="BQ2024" s="84"/>
      <c r="BR2024" s="84"/>
      <c r="BS2024" s="84"/>
      <c r="BT2024" s="84"/>
      <c r="BU2024" s="84"/>
      <c r="BV2024" s="84"/>
      <c r="BW2024" s="84"/>
      <c r="BX2024" s="84"/>
      <c r="BY2024" s="84"/>
      <c r="BZ2024" s="84"/>
      <c r="CA2024" s="84"/>
      <c r="CB2024" s="84"/>
      <c r="CC2024" s="84"/>
      <c r="CD2024" s="84"/>
      <c r="CE2024" s="84"/>
      <c r="CF2024" s="84"/>
      <c r="CG2024" s="84"/>
      <c r="CH2024" s="84"/>
      <c r="CI2024" s="84"/>
      <c r="CJ2024" s="84"/>
      <c r="CK2024" s="84"/>
      <c r="CL2024" s="84"/>
    </row>
    <row r="2025" spans="66:90" s="354" customFormat="1" x14ac:dyDescent="0.2">
      <c r="BN2025" s="84"/>
      <c r="BO2025" s="84"/>
      <c r="BP2025" s="84"/>
      <c r="BQ2025" s="84"/>
      <c r="BR2025" s="84"/>
      <c r="BS2025" s="84"/>
      <c r="BT2025" s="84"/>
      <c r="BU2025" s="84"/>
      <c r="BV2025" s="84"/>
      <c r="BW2025" s="84"/>
      <c r="BX2025" s="84"/>
      <c r="BY2025" s="84"/>
      <c r="BZ2025" s="84"/>
      <c r="CA2025" s="84"/>
      <c r="CB2025" s="84"/>
      <c r="CC2025" s="84"/>
      <c r="CD2025" s="84"/>
      <c r="CE2025" s="84"/>
      <c r="CF2025" s="84"/>
      <c r="CG2025" s="84"/>
      <c r="CH2025" s="84"/>
      <c r="CI2025" s="84"/>
      <c r="CJ2025" s="84"/>
      <c r="CK2025" s="84"/>
      <c r="CL2025" s="84"/>
    </row>
    <row r="2026" spans="66:90" s="354" customFormat="1" x14ac:dyDescent="0.2">
      <c r="BN2026" s="84"/>
      <c r="BO2026" s="84"/>
      <c r="BP2026" s="84"/>
      <c r="BQ2026" s="84"/>
      <c r="BR2026" s="84"/>
      <c r="BS2026" s="84"/>
      <c r="BT2026" s="84"/>
      <c r="BU2026" s="84"/>
      <c r="BV2026" s="84"/>
      <c r="BW2026" s="84"/>
      <c r="BX2026" s="84"/>
      <c r="BY2026" s="84"/>
      <c r="BZ2026" s="84"/>
      <c r="CA2026" s="84"/>
      <c r="CB2026" s="84"/>
      <c r="CC2026" s="84"/>
      <c r="CD2026" s="84"/>
      <c r="CE2026" s="84"/>
      <c r="CF2026" s="84"/>
      <c r="CG2026" s="84"/>
      <c r="CH2026" s="84"/>
      <c r="CI2026" s="84"/>
      <c r="CJ2026" s="84"/>
      <c r="CK2026" s="84"/>
      <c r="CL2026" s="84"/>
    </row>
    <row r="2027" spans="66:90" s="354" customFormat="1" x14ac:dyDescent="0.2">
      <c r="BN2027" s="84"/>
      <c r="BO2027" s="84"/>
      <c r="BP2027" s="84"/>
      <c r="BQ2027" s="84"/>
      <c r="BR2027" s="84"/>
      <c r="BS2027" s="84"/>
      <c r="BT2027" s="84"/>
      <c r="BU2027" s="84"/>
      <c r="BV2027" s="84"/>
      <c r="BW2027" s="84"/>
      <c r="BX2027" s="84"/>
      <c r="BY2027" s="84"/>
      <c r="BZ2027" s="84"/>
      <c r="CA2027" s="84"/>
      <c r="CB2027" s="84"/>
      <c r="CC2027" s="84"/>
      <c r="CD2027" s="84"/>
      <c r="CE2027" s="84"/>
      <c r="CF2027" s="84"/>
      <c r="CG2027" s="84"/>
      <c r="CH2027" s="84"/>
      <c r="CI2027" s="84"/>
      <c r="CJ2027" s="84"/>
      <c r="CK2027" s="84"/>
      <c r="CL2027" s="84"/>
    </row>
    <row r="2028" spans="66:90" s="354" customFormat="1" x14ac:dyDescent="0.2">
      <c r="BN2028" s="84"/>
      <c r="BO2028" s="84"/>
      <c r="BP2028" s="84"/>
      <c r="BQ2028" s="84"/>
      <c r="BR2028" s="84"/>
      <c r="BS2028" s="84"/>
      <c r="BT2028" s="84"/>
      <c r="BU2028" s="84"/>
      <c r="BV2028" s="84"/>
      <c r="BW2028" s="84"/>
      <c r="BX2028" s="84"/>
      <c r="BY2028" s="84"/>
      <c r="BZ2028" s="84"/>
      <c r="CA2028" s="84"/>
      <c r="CB2028" s="84"/>
      <c r="CC2028" s="84"/>
      <c r="CD2028" s="84"/>
      <c r="CE2028" s="84"/>
      <c r="CF2028" s="84"/>
      <c r="CG2028" s="84"/>
      <c r="CH2028" s="84"/>
      <c r="CI2028" s="84"/>
      <c r="CJ2028" s="84"/>
      <c r="CK2028" s="84"/>
      <c r="CL2028" s="84"/>
    </row>
    <row r="2029" spans="66:90" s="354" customFormat="1" x14ac:dyDescent="0.2">
      <c r="BN2029" s="84"/>
      <c r="BO2029" s="84"/>
      <c r="BP2029" s="84"/>
      <c r="BQ2029" s="84"/>
      <c r="BR2029" s="84"/>
      <c r="BS2029" s="84"/>
      <c r="BT2029" s="84"/>
      <c r="BU2029" s="84"/>
      <c r="BV2029" s="84"/>
      <c r="BW2029" s="84"/>
      <c r="BX2029" s="84"/>
      <c r="BY2029" s="84"/>
      <c r="BZ2029" s="84"/>
      <c r="CA2029" s="84"/>
      <c r="CB2029" s="84"/>
      <c r="CC2029" s="84"/>
      <c r="CD2029" s="84"/>
      <c r="CE2029" s="84"/>
      <c r="CF2029" s="84"/>
      <c r="CG2029" s="84"/>
      <c r="CH2029" s="84"/>
      <c r="CI2029" s="84"/>
      <c r="CJ2029" s="84"/>
      <c r="CK2029" s="84"/>
      <c r="CL2029" s="84"/>
    </row>
    <row r="2030" spans="66:90" s="354" customFormat="1" x14ac:dyDescent="0.2">
      <c r="BN2030" s="84"/>
      <c r="BO2030" s="84"/>
      <c r="BP2030" s="84"/>
      <c r="BQ2030" s="84"/>
      <c r="BR2030" s="84"/>
      <c r="BS2030" s="84"/>
      <c r="BT2030" s="84"/>
      <c r="BU2030" s="84"/>
      <c r="BV2030" s="84"/>
      <c r="BW2030" s="84"/>
      <c r="BX2030" s="84"/>
      <c r="BY2030" s="84"/>
      <c r="BZ2030" s="84"/>
      <c r="CA2030" s="84"/>
      <c r="CB2030" s="84"/>
      <c r="CC2030" s="84"/>
      <c r="CD2030" s="84"/>
      <c r="CE2030" s="84"/>
      <c r="CF2030" s="84"/>
      <c r="CG2030" s="84"/>
      <c r="CH2030" s="84"/>
      <c r="CI2030" s="84"/>
      <c r="CJ2030" s="84"/>
      <c r="CK2030" s="84"/>
      <c r="CL2030" s="84"/>
    </row>
    <row r="2031" spans="66:90" s="354" customFormat="1" x14ac:dyDescent="0.2">
      <c r="BN2031" s="84"/>
      <c r="BO2031" s="84"/>
      <c r="BP2031" s="84"/>
      <c r="BQ2031" s="84"/>
      <c r="BR2031" s="84"/>
      <c r="BS2031" s="84"/>
      <c r="BT2031" s="84"/>
      <c r="BU2031" s="84"/>
      <c r="BV2031" s="84"/>
      <c r="BW2031" s="84"/>
      <c r="BX2031" s="84"/>
      <c r="BY2031" s="84"/>
      <c r="BZ2031" s="84"/>
      <c r="CA2031" s="84"/>
      <c r="CB2031" s="84"/>
      <c r="CC2031" s="84"/>
      <c r="CD2031" s="84"/>
      <c r="CE2031" s="84"/>
      <c r="CF2031" s="84"/>
      <c r="CG2031" s="84"/>
      <c r="CH2031" s="84"/>
      <c r="CI2031" s="84"/>
      <c r="CJ2031" s="84"/>
      <c r="CK2031" s="84"/>
      <c r="CL2031" s="84"/>
    </row>
    <row r="2032" spans="66:90" s="354" customFormat="1" x14ac:dyDescent="0.2">
      <c r="BN2032" s="84"/>
      <c r="BO2032" s="84"/>
      <c r="BP2032" s="84"/>
      <c r="BQ2032" s="84"/>
      <c r="BR2032" s="84"/>
      <c r="BS2032" s="84"/>
      <c r="BT2032" s="84"/>
      <c r="BU2032" s="84"/>
      <c r="BV2032" s="84"/>
      <c r="BW2032" s="84"/>
      <c r="BX2032" s="84"/>
      <c r="BY2032" s="84"/>
      <c r="BZ2032" s="84"/>
      <c r="CA2032" s="84"/>
      <c r="CB2032" s="84"/>
      <c r="CC2032" s="84"/>
      <c r="CD2032" s="84"/>
      <c r="CE2032" s="84"/>
      <c r="CF2032" s="84"/>
      <c r="CG2032" s="84"/>
      <c r="CH2032" s="84"/>
      <c r="CI2032" s="84"/>
      <c r="CJ2032" s="84"/>
      <c r="CK2032" s="84"/>
      <c r="CL2032" s="84"/>
    </row>
    <row r="2033" spans="66:90" s="354" customFormat="1" x14ac:dyDescent="0.2">
      <c r="BN2033" s="84"/>
      <c r="BO2033" s="84"/>
      <c r="BP2033" s="84"/>
      <c r="BQ2033" s="84"/>
      <c r="BR2033" s="84"/>
      <c r="BS2033" s="84"/>
      <c r="BT2033" s="84"/>
      <c r="BU2033" s="84"/>
      <c r="BV2033" s="84"/>
      <c r="BW2033" s="84"/>
      <c r="BX2033" s="84"/>
      <c r="BY2033" s="84"/>
      <c r="BZ2033" s="84"/>
      <c r="CA2033" s="84"/>
      <c r="CB2033" s="84"/>
      <c r="CC2033" s="84"/>
      <c r="CD2033" s="84"/>
      <c r="CE2033" s="84"/>
      <c r="CF2033" s="84"/>
      <c r="CG2033" s="84"/>
      <c r="CH2033" s="84"/>
      <c r="CI2033" s="84"/>
      <c r="CJ2033" s="84"/>
      <c r="CK2033" s="84"/>
      <c r="CL2033" s="84"/>
    </row>
    <row r="2034" spans="66:90" s="354" customFormat="1" x14ac:dyDescent="0.2">
      <c r="BN2034" s="84"/>
      <c r="BO2034" s="84"/>
      <c r="BP2034" s="84"/>
      <c r="BQ2034" s="84"/>
      <c r="BR2034" s="84"/>
      <c r="BS2034" s="84"/>
      <c r="BT2034" s="84"/>
      <c r="BU2034" s="84"/>
      <c r="BV2034" s="84"/>
      <c r="BW2034" s="84"/>
      <c r="BX2034" s="84"/>
      <c r="BY2034" s="84"/>
      <c r="BZ2034" s="84"/>
      <c r="CA2034" s="84"/>
      <c r="CB2034" s="84"/>
      <c r="CC2034" s="84"/>
      <c r="CD2034" s="84"/>
      <c r="CE2034" s="84"/>
      <c r="CF2034" s="84"/>
      <c r="CG2034" s="84"/>
      <c r="CH2034" s="84"/>
      <c r="CI2034" s="84"/>
      <c r="CJ2034" s="84"/>
      <c r="CK2034" s="84"/>
      <c r="CL2034" s="84"/>
    </row>
    <row r="2035" spans="66:90" s="354" customFormat="1" x14ac:dyDescent="0.2">
      <c r="BN2035" s="84"/>
      <c r="BO2035" s="84"/>
      <c r="BP2035" s="84"/>
      <c r="BQ2035" s="84"/>
      <c r="BR2035" s="84"/>
      <c r="BS2035" s="84"/>
      <c r="BT2035" s="84"/>
      <c r="BU2035" s="84"/>
      <c r="BV2035" s="84"/>
      <c r="BW2035" s="84"/>
      <c r="BX2035" s="84"/>
      <c r="BY2035" s="84"/>
      <c r="BZ2035" s="84"/>
      <c r="CA2035" s="84"/>
      <c r="CB2035" s="84"/>
      <c r="CC2035" s="84"/>
      <c r="CD2035" s="84"/>
      <c r="CE2035" s="84"/>
      <c r="CF2035" s="84"/>
      <c r="CG2035" s="84"/>
      <c r="CH2035" s="84"/>
      <c r="CI2035" s="84"/>
      <c r="CJ2035" s="84"/>
      <c r="CK2035" s="84"/>
      <c r="CL2035" s="84"/>
    </row>
    <row r="2036" spans="66:90" s="354" customFormat="1" x14ac:dyDescent="0.2">
      <c r="BN2036" s="84"/>
      <c r="BO2036" s="84"/>
      <c r="BP2036" s="84"/>
      <c r="BQ2036" s="84"/>
      <c r="BR2036" s="84"/>
      <c r="BS2036" s="84"/>
      <c r="BT2036" s="84"/>
      <c r="BU2036" s="84"/>
      <c r="BV2036" s="84"/>
      <c r="BW2036" s="84"/>
      <c r="BX2036" s="84"/>
      <c r="BY2036" s="84"/>
      <c r="BZ2036" s="84"/>
      <c r="CA2036" s="84"/>
      <c r="CB2036" s="84"/>
      <c r="CC2036" s="84"/>
      <c r="CD2036" s="84"/>
      <c r="CE2036" s="84"/>
      <c r="CF2036" s="84"/>
      <c r="CG2036" s="84"/>
      <c r="CH2036" s="84"/>
      <c r="CI2036" s="84"/>
      <c r="CJ2036" s="84"/>
      <c r="CK2036" s="84"/>
      <c r="CL2036" s="84"/>
    </row>
    <row r="2037" spans="66:90" s="354" customFormat="1" x14ac:dyDescent="0.2">
      <c r="BN2037" s="84"/>
      <c r="BO2037" s="84"/>
      <c r="BP2037" s="84"/>
      <c r="BQ2037" s="84"/>
      <c r="BR2037" s="84"/>
      <c r="BS2037" s="84"/>
      <c r="BT2037" s="84"/>
      <c r="BU2037" s="84"/>
      <c r="BV2037" s="84"/>
      <c r="BW2037" s="84"/>
      <c r="BX2037" s="84"/>
      <c r="BY2037" s="84"/>
      <c r="BZ2037" s="84"/>
      <c r="CA2037" s="84"/>
      <c r="CB2037" s="84"/>
      <c r="CC2037" s="84"/>
      <c r="CD2037" s="84"/>
      <c r="CE2037" s="84"/>
      <c r="CF2037" s="84"/>
      <c r="CG2037" s="84"/>
      <c r="CH2037" s="84"/>
      <c r="CI2037" s="84"/>
      <c r="CJ2037" s="84"/>
      <c r="CK2037" s="84"/>
      <c r="CL2037" s="84"/>
    </row>
    <row r="2038" spans="66:90" s="354" customFormat="1" x14ac:dyDescent="0.2">
      <c r="BN2038" s="84"/>
      <c r="BO2038" s="84"/>
      <c r="BP2038" s="84"/>
      <c r="BQ2038" s="84"/>
      <c r="BR2038" s="84"/>
      <c r="BS2038" s="84"/>
      <c r="BT2038" s="84"/>
      <c r="BU2038" s="84"/>
      <c r="BV2038" s="84"/>
      <c r="BW2038" s="84"/>
      <c r="BX2038" s="84"/>
      <c r="BY2038" s="84"/>
      <c r="BZ2038" s="84"/>
      <c r="CA2038" s="84"/>
      <c r="CB2038" s="84"/>
      <c r="CC2038" s="84"/>
      <c r="CD2038" s="84"/>
      <c r="CE2038" s="84"/>
      <c r="CF2038" s="84"/>
      <c r="CG2038" s="84"/>
      <c r="CH2038" s="84"/>
      <c r="CI2038" s="84"/>
      <c r="CJ2038" s="84"/>
      <c r="CK2038" s="84"/>
      <c r="CL2038" s="84"/>
    </row>
    <row r="2039" spans="66:90" s="354" customFormat="1" x14ac:dyDescent="0.2">
      <c r="BN2039" s="84"/>
      <c r="BO2039" s="84"/>
      <c r="BP2039" s="84"/>
      <c r="BQ2039" s="84"/>
      <c r="BR2039" s="84"/>
      <c r="BS2039" s="84"/>
      <c r="BT2039" s="84"/>
      <c r="BU2039" s="84"/>
      <c r="BV2039" s="84"/>
      <c r="BW2039" s="84"/>
      <c r="BX2039" s="84"/>
      <c r="BY2039" s="84"/>
      <c r="BZ2039" s="84"/>
      <c r="CA2039" s="84"/>
      <c r="CB2039" s="84"/>
      <c r="CC2039" s="84"/>
      <c r="CD2039" s="84"/>
      <c r="CE2039" s="84"/>
      <c r="CF2039" s="84"/>
      <c r="CG2039" s="84"/>
      <c r="CH2039" s="84"/>
      <c r="CI2039" s="84"/>
      <c r="CJ2039" s="84"/>
      <c r="CK2039" s="84"/>
      <c r="CL2039" s="84"/>
    </row>
    <row r="2040" spans="66:90" s="354" customFormat="1" x14ac:dyDescent="0.2">
      <c r="BN2040" s="84"/>
      <c r="BO2040" s="84"/>
      <c r="BP2040" s="84"/>
      <c r="BQ2040" s="84"/>
      <c r="BR2040" s="84"/>
      <c r="BS2040" s="84"/>
      <c r="BT2040" s="84"/>
      <c r="BU2040" s="84"/>
      <c r="BV2040" s="84"/>
      <c r="BW2040" s="84"/>
      <c r="BX2040" s="84"/>
      <c r="BY2040" s="84"/>
      <c r="BZ2040" s="84"/>
      <c r="CA2040" s="84"/>
      <c r="CB2040" s="84"/>
      <c r="CC2040" s="84"/>
      <c r="CD2040" s="84"/>
      <c r="CE2040" s="84"/>
      <c r="CF2040" s="84"/>
      <c r="CG2040" s="84"/>
      <c r="CH2040" s="84"/>
      <c r="CI2040" s="84"/>
      <c r="CJ2040" s="84"/>
      <c r="CK2040" s="84"/>
      <c r="CL2040" s="84"/>
    </row>
    <row r="2041" spans="66:90" s="354" customFormat="1" x14ac:dyDescent="0.2">
      <c r="BN2041" s="84"/>
      <c r="BO2041" s="84"/>
      <c r="BP2041" s="84"/>
      <c r="BQ2041" s="84"/>
      <c r="BR2041" s="84"/>
      <c r="BS2041" s="84"/>
      <c r="BT2041" s="84"/>
      <c r="BU2041" s="84"/>
      <c r="BV2041" s="84"/>
      <c r="BW2041" s="84"/>
      <c r="BX2041" s="84"/>
      <c r="BY2041" s="84"/>
      <c r="BZ2041" s="84"/>
      <c r="CA2041" s="84"/>
      <c r="CB2041" s="84"/>
      <c r="CC2041" s="84"/>
      <c r="CD2041" s="84"/>
      <c r="CE2041" s="84"/>
      <c r="CF2041" s="84"/>
      <c r="CG2041" s="84"/>
      <c r="CH2041" s="84"/>
      <c r="CI2041" s="84"/>
      <c r="CJ2041" s="84"/>
      <c r="CK2041" s="84"/>
      <c r="CL2041" s="84"/>
    </row>
    <row r="2042" spans="66:90" s="354" customFormat="1" x14ac:dyDescent="0.2">
      <c r="BN2042" s="84"/>
      <c r="BO2042" s="84"/>
      <c r="BP2042" s="84"/>
      <c r="BQ2042" s="84"/>
      <c r="BR2042" s="84"/>
      <c r="BS2042" s="84"/>
      <c r="BT2042" s="84"/>
      <c r="BU2042" s="84"/>
      <c r="BV2042" s="84"/>
      <c r="BW2042" s="84"/>
      <c r="BX2042" s="84"/>
      <c r="BY2042" s="84"/>
      <c r="BZ2042" s="84"/>
      <c r="CA2042" s="84"/>
      <c r="CB2042" s="84"/>
      <c r="CC2042" s="84"/>
      <c r="CD2042" s="84"/>
      <c r="CE2042" s="84"/>
      <c r="CF2042" s="84"/>
      <c r="CG2042" s="84"/>
      <c r="CH2042" s="84"/>
      <c r="CI2042" s="84"/>
      <c r="CJ2042" s="84"/>
      <c r="CK2042" s="84"/>
      <c r="CL2042" s="84"/>
    </row>
    <row r="2043" spans="66:90" s="354" customFormat="1" x14ac:dyDescent="0.2">
      <c r="BN2043" s="84"/>
      <c r="BO2043" s="84"/>
      <c r="BP2043" s="84"/>
      <c r="BQ2043" s="84"/>
      <c r="BR2043" s="84"/>
      <c r="BS2043" s="84"/>
      <c r="BT2043" s="84"/>
      <c r="BU2043" s="84"/>
      <c r="BV2043" s="84"/>
      <c r="BW2043" s="84"/>
      <c r="BX2043" s="84"/>
      <c r="BY2043" s="84"/>
      <c r="BZ2043" s="84"/>
      <c r="CA2043" s="84"/>
      <c r="CB2043" s="84"/>
      <c r="CC2043" s="84"/>
      <c r="CD2043" s="84"/>
      <c r="CE2043" s="84"/>
      <c r="CF2043" s="84"/>
      <c r="CG2043" s="84"/>
      <c r="CH2043" s="84"/>
      <c r="CI2043" s="84"/>
      <c r="CJ2043" s="84"/>
      <c r="CK2043" s="84"/>
      <c r="CL2043" s="84"/>
    </row>
    <row r="2044" spans="66:90" s="354" customFormat="1" x14ac:dyDescent="0.2">
      <c r="BN2044" s="84"/>
      <c r="BO2044" s="84"/>
      <c r="BP2044" s="84"/>
      <c r="BQ2044" s="84"/>
      <c r="BR2044" s="84"/>
      <c r="BS2044" s="84"/>
      <c r="BT2044" s="84"/>
      <c r="BU2044" s="84"/>
      <c r="BV2044" s="84"/>
      <c r="BW2044" s="84"/>
      <c r="BX2044" s="84"/>
      <c r="BY2044" s="84"/>
      <c r="BZ2044" s="84"/>
      <c r="CA2044" s="84"/>
      <c r="CB2044" s="84"/>
      <c r="CC2044" s="84"/>
      <c r="CD2044" s="84"/>
      <c r="CE2044" s="84"/>
      <c r="CF2044" s="84"/>
      <c r="CG2044" s="84"/>
      <c r="CH2044" s="84"/>
      <c r="CI2044" s="84"/>
      <c r="CJ2044" s="84"/>
      <c r="CK2044" s="84"/>
      <c r="CL2044" s="84"/>
    </row>
    <row r="2045" spans="66:90" s="354" customFormat="1" x14ac:dyDescent="0.2">
      <c r="BN2045" s="84"/>
      <c r="BO2045" s="84"/>
      <c r="BP2045" s="84"/>
      <c r="BQ2045" s="84"/>
      <c r="BR2045" s="84"/>
      <c r="BS2045" s="84"/>
      <c r="BT2045" s="84"/>
      <c r="BU2045" s="84"/>
      <c r="BV2045" s="84"/>
      <c r="BW2045" s="84"/>
      <c r="BX2045" s="84"/>
      <c r="BY2045" s="84"/>
      <c r="BZ2045" s="84"/>
      <c r="CA2045" s="84"/>
      <c r="CB2045" s="84"/>
      <c r="CC2045" s="84"/>
      <c r="CD2045" s="84"/>
      <c r="CE2045" s="84"/>
      <c r="CF2045" s="84"/>
      <c r="CG2045" s="84"/>
      <c r="CH2045" s="84"/>
      <c r="CI2045" s="84"/>
      <c r="CJ2045" s="84"/>
      <c r="CK2045" s="84"/>
      <c r="CL2045" s="84"/>
    </row>
    <row r="2046" spans="66:90" s="354" customFormat="1" x14ac:dyDescent="0.2">
      <c r="BN2046" s="84"/>
      <c r="BO2046" s="84"/>
      <c r="BP2046" s="84"/>
      <c r="BQ2046" s="84"/>
      <c r="BR2046" s="84"/>
      <c r="BS2046" s="84"/>
      <c r="BT2046" s="84"/>
      <c r="BU2046" s="84"/>
      <c r="BV2046" s="84"/>
      <c r="BW2046" s="84"/>
      <c r="BX2046" s="84"/>
      <c r="BY2046" s="84"/>
      <c r="BZ2046" s="84"/>
      <c r="CA2046" s="84"/>
      <c r="CB2046" s="84"/>
      <c r="CC2046" s="84"/>
      <c r="CD2046" s="84"/>
      <c r="CE2046" s="84"/>
      <c r="CF2046" s="84"/>
      <c r="CG2046" s="84"/>
      <c r="CH2046" s="84"/>
      <c r="CI2046" s="84"/>
      <c r="CJ2046" s="84"/>
      <c r="CK2046" s="84"/>
      <c r="CL2046" s="84"/>
    </row>
    <row r="2047" spans="66:90" s="354" customFormat="1" x14ac:dyDescent="0.2">
      <c r="BN2047" s="84"/>
      <c r="BO2047" s="84"/>
      <c r="BP2047" s="84"/>
      <c r="BQ2047" s="84"/>
      <c r="BR2047" s="84"/>
      <c r="BS2047" s="84"/>
      <c r="BT2047" s="84"/>
      <c r="BU2047" s="84"/>
      <c r="BV2047" s="84"/>
      <c r="BW2047" s="84"/>
      <c r="BX2047" s="84"/>
      <c r="BY2047" s="84"/>
      <c r="BZ2047" s="84"/>
      <c r="CA2047" s="84"/>
      <c r="CB2047" s="84"/>
      <c r="CC2047" s="84"/>
      <c r="CD2047" s="84"/>
      <c r="CE2047" s="84"/>
      <c r="CF2047" s="84"/>
      <c r="CG2047" s="84"/>
      <c r="CH2047" s="84"/>
      <c r="CI2047" s="84"/>
      <c r="CJ2047" s="84"/>
      <c r="CK2047" s="84"/>
      <c r="CL2047" s="84"/>
    </row>
    <row r="2048" spans="66:90" s="354" customFormat="1" x14ac:dyDescent="0.2">
      <c r="BN2048" s="84"/>
      <c r="BO2048" s="84"/>
      <c r="BP2048" s="84"/>
      <c r="BQ2048" s="84"/>
      <c r="BR2048" s="84"/>
      <c r="BS2048" s="84"/>
      <c r="BT2048" s="84"/>
      <c r="BU2048" s="84"/>
      <c r="BV2048" s="84"/>
      <c r="BW2048" s="84"/>
      <c r="BX2048" s="84"/>
      <c r="BY2048" s="84"/>
      <c r="BZ2048" s="84"/>
      <c r="CA2048" s="84"/>
      <c r="CB2048" s="84"/>
      <c r="CC2048" s="84"/>
      <c r="CD2048" s="84"/>
      <c r="CE2048" s="84"/>
      <c r="CF2048" s="84"/>
      <c r="CG2048" s="84"/>
      <c r="CH2048" s="84"/>
      <c r="CI2048" s="84"/>
      <c r="CJ2048" s="84"/>
      <c r="CK2048" s="84"/>
      <c r="CL2048" s="84"/>
    </row>
    <row r="2049" spans="66:90" s="354" customFormat="1" x14ac:dyDescent="0.2">
      <c r="BN2049" s="84"/>
      <c r="BO2049" s="84"/>
      <c r="BP2049" s="84"/>
      <c r="BQ2049" s="84"/>
      <c r="BR2049" s="84"/>
      <c r="BS2049" s="84"/>
      <c r="BT2049" s="84"/>
      <c r="BU2049" s="84"/>
      <c r="BV2049" s="84"/>
      <c r="BW2049" s="84"/>
      <c r="BX2049" s="84"/>
      <c r="BY2049" s="84"/>
      <c r="BZ2049" s="84"/>
      <c r="CA2049" s="84"/>
      <c r="CB2049" s="84"/>
      <c r="CC2049" s="84"/>
      <c r="CD2049" s="84"/>
      <c r="CE2049" s="84"/>
      <c r="CF2049" s="84"/>
      <c r="CG2049" s="84"/>
      <c r="CH2049" s="84"/>
      <c r="CI2049" s="84"/>
      <c r="CJ2049" s="84"/>
      <c r="CK2049" s="84"/>
      <c r="CL2049" s="84"/>
    </row>
    <row r="2050" spans="66:90" s="354" customFormat="1" x14ac:dyDescent="0.2">
      <c r="BN2050" s="84"/>
      <c r="BO2050" s="84"/>
      <c r="BP2050" s="84"/>
      <c r="BQ2050" s="84"/>
      <c r="BR2050" s="84"/>
      <c r="BS2050" s="84"/>
      <c r="BT2050" s="84"/>
      <c r="BU2050" s="84"/>
      <c r="BV2050" s="84"/>
      <c r="BW2050" s="84"/>
      <c r="BX2050" s="84"/>
      <c r="BY2050" s="84"/>
      <c r="BZ2050" s="84"/>
      <c r="CA2050" s="84"/>
      <c r="CB2050" s="84"/>
      <c r="CC2050" s="84"/>
      <c r="CD2050" s="84"/>
      <c r="CE2050" s="84"/>
      <c r="CF2050" s="84"/>
      <c r="CG2050" s="84"/>
      <c r="CH2050" s="84"/>
      <c r="CI2050" s="84"/>
      <c r="CJ2050" s="84"/>
      <c r="CK2050" s="84"/>
      <c r="CL2050" s="84"/>
    </row>
    <row r="2051" spans="66:90" s="354" customFormat="1" x14ac:dyDescent="0.2">
      <c r="BN2051" s="84"/>
      <c r="BO2051" s="84"/>
      <c r="BP2051" s="84"/>
      <c r="BQ2051" s="84"/>
      <c r="BR2051" s="84"/>
      <c r="BS2051" s="84"/>
      <c r="BT2051" s="84"/>
      <c r="BU2051" s="84"/>
      <c r="BV2051" s="84"/>
      <c r="BW2051" s="84"/>
      <c r="BX2051" s="84"/>
      <c r="BY2051" s="84"/>
      <c r="BZ2051" s="84"/>
      <c r="CA2051" s="84"/>
      <c r="CB2051" s="84"/>
      <c r="CC2051" s="84"/>
      <c r="CD2051" s="84"/>
      <c r="CE2051" s="84"/>
      <c r="CF2051" s="84"/>
      <c r="CG2051" s="84"/>
      <c r="CH2051" s="84"/>
      <c r="CI2051" s="84"/>
      <c r="CJ2051" s="84"/>
      <c r="CK2051" s="84"/>
      <c r="CL2051" s="84"/>
    </row>
    <row r="2052" spans="66:90" s="354" customFormat="1" x14ac:dyDescent="0.2">
      <c r="BN2052" s="84"/>
      <c r="BO2052" s="84"/>
      <c r="BP2052" s="84"/>
      <c r="BQ2052" s="84"/>
      <c r="BR2052" s="84"/>
      <c r="BS2052" s="84"/>
      <c r="BT2052" s="84"/>
      <c r="BU2052" s="84"/>
      <c r="BV2052" s="84"/>
      <c r="BW2052" s="84"/>
      <c r="BX2052" s="84"/>
      <c r="BY2052" s="84"/>
      <c r="BZ2052" s="84"/>
      <c r="CA2052" s="84"/>
      <c r="CB2052" s="84"/>
      <c r="CC2052" s="84"/>
      <c r="CD2052" s="84"/>
      <c r="CE2052" s="84"/>
      <c r="CF2052" s="84"/>
      <c r="CG2052" s="84"/>
      <c r="CH2052" s="84"/>
      <c r="CI2052" s="84"/>
      <c r="CJ2052" s="84"/>
      <c r="CK2052" s="84"/>
      <c r="CL2052" s="84"/>
    </row>
    <row r="2053" spans="66:90" s="354" customFormat="1" x14ac:dyDescent="0.2">
      <c r="BN2053" s="84"/>
      <c r="BO2053" s="84"/>
      <c r="BP2053" s="84"/>
      <c r="BQ2053" s="84"/>
      <c r="BR2053" s="84"/>
      <c r="BS2053" s="84"/>
      <c r="BT2053" s="84"/>
      <c r="BU2053" s="84"/>
      <c r="BV2053" s="84"/>
      <c r="BW2053" s="84"/>
      <c r="BX2053" s="84"/>
      <c r="BY2053" s="84"/>
      <c r="BZ2053" s="84"/>
      <c r="CA2053" s="84"/>
      <c r="CB2053" s="84"/>
      <c r="CC2053" s="84"/>
      <c r="CD2053" s="84"/>
      <c r="CE2053" s="84"/>
      <c r="CF2053" s="84"/>
      <c r="CG2053" s="84"/>
      <c r="CH2053" s="84"/>
      <c r="CI2053" s="84"/>
      <c r="CJ2053" s="84"/>
      <c r="CK2053" s="84"/>
      <c r="CL2053" s="84"/>
    </row>
    <row r="2054" spans="66:90" s="354" customFormat="1" x14ac:dyDescent="0.2">
      <c r="BN2054" s="84"/>
      <c r="BO2054" s="84"/>
      <c r="BP2054" s="84"/>
      <c r="BQ2054" s="84"/>
      <c r="BR2054" s="84"/>
      <c r="BS2054" s="84"/>
      <c r="BT2054" s="84"/>
      <c r="BU2054" s="84"/>
      <c r="BV2054" s="84"/>
      <c r="BW2054" s="84"/>
      <c r="BX2054" s="84"/>
      <c r="BY2054" s="84"/>
      <c r="BZ2054" s="84"/>
      <c r="CA2054" s="84"/>
      <c r="CB2054" s="84"/>
      <c r="CC2054" s="84"/>
      <c r="CD2054" s="84"/>
      <c r="CE2054" s="84"/>
      <c r="CF2054" s="84"/>
      <c r="CG2054" s="84"/>
      <c r="CH2054" s="84"/>
      <c r="CI2054" s="84"/>
      <c r="CJ2054" s="84"/>
      <c r="CK2054" s="84"/>
      <c r="CL2054" s="84"/>
    </row>
    <row r="2055" spans="66:90" s="354" customFormat="1" x14ac:dyDescent="0.2">
      <c r="BN2055" s="84"/>
      <c r="BO2055" s="84"/>
      <c r="BP2055" s="84"/>
      <c r="BQ2055" s="84"/>
      <c r="BR2055" s="84"/>
      <c r="BS2055" s="84"/>
      <c r="BT2055" s="84"/>
      <c r="BU2055" s="84"/>
      <c r="BV2055" s="84"/>
      <c r="BW2055" s="84"/>
      <c r="BX2055" s="84"/>
      <c r="BY2055" s="84"/>
      <c r="BZ2055" s="84"/>
      <c r="CA2055" s="84"/>
      <c r="CB2055" s="84"/>
      <c r="CC2055" s="84"/>
      <c r="CD2055" s="84"/>
      <c r="CE2055" s="84"/>
      <c r="CF2055" s="84"/>
      <c r="CG2055" s="84"/>
      <c r="CH2055" s="84"/>
      <c r="CI2055" s="84"/>
      <c r="CJ2055" s="84"/>
      <c r="CK2055" s="84"/>
      <c r="CL2055" s="84"/>
    </row>
    <row r="2056" spans="66:90" s="354" customFormat="1" x14ac:dyDescent="0.2">
      <c r="BN2056" s="84"/>
      <c r="BO2056" s="84"/>
      <c r="BP2056" s="84"/>
      <c r="BQ2056" s="84"/>
      <c r="BR2056" s="84"/>
      <c r="BS2056" s="84"/>
      <c r="BT2056" s="84"/>
      <c r="BU2056" s="84"/>
      <c r="BV2056" s="84"/>
      <c r="BW2056" s="84"/>
      <c r="BX2056" s="84"/>
      <c r="BY2056" s="84"/>
      <c r="BZ2056" s="84"/>
      <c r="CA2056" s="84"/>
      <c r="CB2056" s="84"/>
      <c r="CC2056" s="84"/>
      <c r="CD2056" s="84"/>
      <c r="CE2056" s="84"/>
      <c r="CF2056" s="84"/>
      <c r="CG2056" s="84"/>
      <c r="CH2056" s="84"/>
      <c r="CI2056" s="84"/>
      <c r="CJ2056" s="84"/>
      <c r="CK2056" s="84"/>
      <c r="CL2056" s="84"/>
    </row>
    <row r="2057" spans="66:90" s="354" customFormat="1" x14ac:dyDescent="0.2">
      <c r="BN2057" s="84"/>
      <c r="BO2057" s="84"/>
      <c r="BP2057" s="84"/>
      <c r="BQ2057" s="84"/>
      <c r="BR2057" s="84"/>
      <c r="BS2057" s="84"/>
      <c r="BT2057" s="84"/>
      <c r="BU2057" s="84"/>
      <c r="BV2057" s="84"/>
      <c r="BW2057" s="84"/>
      <c r="BX2057" s="84"/>
      <c r="BY2057" s="84"/>
      <c r="BZ2057" s="84"/>
      <c r="CA2057" s="84"/>
      <c r="CB2057" s="84"/>
      <c r="CC2057" s="84"/>
      <c r="CD2057" s="84"/>
      <c r="CE2057" s="84"/>
      <c r="CF2057" s="84"/>
      <c r="CG2057" s="84"/>
      <c r="CH2057" s="84"/>
      <c r="CI2057" s="84"/>
      <c r="CJ2057" s="84"/>
      <c r="CK2057" s="84"/>
      <c r="CL2057" s="84"/>
    </row>
    <row r="2058" spans="66:90" s="354" customFormat="1" x14ac:dyDescent="0.2">
      <c r="BN2058" s="84"/>
      <c r="BO2058" s="84"/>
      <c r="BP2058" s="84"/>
      <c r="BQ2058" s="84"/>
      <c r="BR2058" s="84"/>
      <c r="BS2058" s="84"/>
      <c r="BT2058" s="84"/>
      <c r="BU2058" s="84"/>
      <c r="BV2058" s="84"/>
      <c r="BW2058" s="84"/>
      <c r="BX2058" s="84"/>
      <c r="BY2058" s="84"/>
      <c r="BZ2058" s="84"/>
      <c r="CA2058" s="84"/>
      <c r="CB2058" s="84"/>
      <c r="CC2058" s="84"/>
      <c r="CD2058" s="84"/>
      <c r="CE2058" s="84"/>
      <c r="CF2058" s="84"/>
      <c r="CG2058" s="84"/>
      <c r="CH2058" s="84"/>
      <c r="CI2058" s="84"/>
      <c r="CJ2058" s="84"/>
      <c r="CK2058" s="84"/>
      <c r="CL2058" s="84"/>
    </row>
    <row r="2059" spans="66:90" s="354" customFormat="1" x14ac:dyDescent="0.2">
      <c r="BN2059" s="84"/>
      <c r="BO2059" s="84"/>
      <c r="BP2059" s="84"/>
      <c r="BQ2059" s="84"/>
      <c r="BR2059" s="84"/>
      <c r="BS2059" s="84"/>
      <c r="BT2059" s="84"/>
      <c r="BU2059" s="84"/>
      <c r="BV2059" s="84"/>
      <c r="BW2059" s="84"/>
      <c r="BX2059" s="84"/>
      <c r="BY2059" s="84"/>
      <c r="BZ2059" s="84"/>
      <c r="CA2059" s="84"/>
      <c r="CB2059" s="84"/>
      <c r="CC2059" s="84"/>
      <c r="CD2059" s="84"/>
      <c r="CE2059" s="84"/>
      <c r="CF2059" s="84"/>
      <c r="CG2059" s="84"/>
      <c r="CH2059" s="84"/>
      <c r="CI2059" s="84"/>
      <c r="CJ2059" s="84"/>
      <c r="CK2059" s="84"/>
      <c r="CL2059" s="84"/>
    </row>
    <row r="2060" spans="66:90" s="354" customFormat="1" x14ac:dyDescent="0.2">
      <c r="BN2060" s="84"/>
      <c r="BO2060" s="84"/>
      <c r="BP2060" s="84"/>
      <c r="BQ2060" s="84"/>
      <c r="BR2060" s="84"/>
      <c r="BS2060" s="84"/>
      <c r="BT2060" s="84"/>
      <c r="BU2060" s="84"/>
      <c r="BV2060" s="84"/>
      <c r="BW2060" s="84"/>
      <c r="BX2060" s="84"/>
      <c r="BY2060" s="84"/>
      <c r="BZ2060" s="84"/>
      <c r="CA2060" s="84"/>
      <c r="CB2060" s="84"/>
      <c r="CC2060" s="84"/>
      <c r="CD2060" s="84"/>
      <c r="CE2060" s="84"/>
      <c r="CF2060" s="84"/>
      <c r="CG2060" s="84"/>
      <c r="CH2060" s="84"/>
      <c r="CI2060" s="84"/>
      <c r="CJ2060" s="84"/>
      <c r="CK2060" s="84"/>
      <c r="CL2060" s="84"/>
    </row>
    <row r="2061" spans="66:90" s="354" customFormat="1" x14ac:dyDescent="0.2">
      <c r="BN2061" s="84"/>
      <c r="BO2061" s="84"/>
      <c r="BP2061" s="84"/>
      <c r="BQ2061" s="84"/>
      <c r="BR2061" s="84"/>
      <c r="BS2061" s="84"/>
      <c r="BT2061" s="84"/>
      <c r="BU2061" s="84"/>
      <c r="BV2061" s="84"/>
      <c r="BW2061" s="84"/>
      <c r="BX2061" s="84"/>
      <c r="BY2061" s="84"/>
      <c r="BZ2061" s="84"/>
      <c r="CA2061" s="84"/>
      <c r="CB2061" s="84"/>
      <c r="CC2061" s="84"/>
      <c r="CD2061" s="84"/>
      <c r="CE2061" s="84"/>
      <c r="CF2061" s="84"/>
      <c r="CG2061" s="84"/>
      <c r="CH2061" s="84"/>
      <c r="CI2061" s="84"/>
      <c r="CJ2061" s="84"/>
      <c r="CK2061" s="84"/>
      <c r="CL2061" s="84"/>
    </row>
    <row r="2062" spans="66:90" s="354" customFormat="1" x14ac:dyDescent="0.2">
      <c r="BN2062" s="84"/>
      <c r="BO2062" s="84"/>
      <c r="BP2062" s="84"/>
      <c r="BQ2062" s="84"/>
      <c r="BR2062" s="84"/>
      <c r="BS2062" s="84"/>
      <c r="BT2062" s="84"/>
      <c r="BU2062" s="84"/>
      <c r="BV2062" s="84"/>
      <c r="BW2062" s="84"/>
      <c r="BX2062" s="84"/>
      <c r="BY2062" s="84"/>
      <c r="BZ2062" s="84"/>
      <c r="CA2062" s="84"/>
      <c r="CB2062" s="84"/>
      <c r="CC2062" s="84"/>
      <c r="CD2062" s="84"/>
      <c r="CE2062" s="84"/>
      <c r="CF2062" s="84"/>
      <c r="CG2062" s="84"/>
      <c r="CH2062" s="84"/>
      <c r="CI2062" s="84"/>
      <c r="CJ2062" s="84"/>
      <c r="CK2062" s="84"/>
      <c r="CL2062" s="84"/>
    </row>
    <row r="2063" spans="66:90" s="354" customFormat="1" x14ac:dyDescent="0.2">
      <c r="BN2063" s="84"/>
      <c r="BO2063" s="84"/>
      <c r="BP2063" s="84"/>
      <c r="BQ2063" s="84"/>
      <c r="BR2063" s="84"/>
      <c r="BS2063" s="84"/>
      <c r="BT2063" s="84"/>
      <c r="BU2063" s="84"/>
      <c r="BV2063" s="84"/>
      <c r="BW2063" s="84"/>
      <c r="BX2063" s="84"/>
      <c r="BY2063" s="84"/>
      <c r="BZ2063" s="84"/>
      <c r="CA2063" s="84"/>
      <c r="CB2063" s="84"/>
      <c r="CC2063" s="84"/>
      <c r="CD2063" s="84"/>
      <c r="CE2063" s="84"/>
      <c r="CF2063" s="84"/>
      <c r="CG2063" s="84"/>
      <c r="CH2063" s="84"/>
      <c r="CI2063" s="84"/>
      <c r="CJ2063" s="84"/>
      <c r="CK2063" s="84"/>
      <c r="CL2063" s="84"/>
    </row>
    <row r="2064" spans="66:90" s="354" customFormat="1" x14ac:dyDescent="0.2">
      <c r="BN2064" s="84"/>
      <c r="BO2064" s="84"/>
      <c r="BP2064" s="84"/>
      <c r="BQ2064" s="84"/>
      <c r="BR2064" s="84"/>
      <c r="BS2064" s="84"/>
      <c r="BT2064" s="84"/>
      <c r="BU2064" s="84"/>
      <c r="BV2064" s="84"/>
      <c r="BW2064" s="84"/>
      <c r="BX2064" s="84"/>
      <c r="BY2064" s="84"/>
      <c r="BZ2064" s="84"/>
      <c r="CA2064" s="84"/>
      <c r="CB2064" s="84"/>
      <c r="CC2064" s="84"/>
      <c r="CD2064" s="84"/>
      <c r="CE2064" s="84"/>
      <c r="CF2064" s="84"/>
      <c r="CG2064" s="84"/>
      <c r="CH2064" s="84"/>
      <c r="CI2064" s="84"/>
      <c r="CJ2064" s="84"/>
      <c r="CK2064" s="84"/>
      <c r="CL2064" s="84"/>
    </row>
    <row r="2065" spans="66:90" s="354" customFormat="1" x14ac:dyDescent="0.2">
      <c r="BN2065" s="84"/>
      <c r="BO2065" s="84"/>
      <c r="BP2065" s="84"/>
      <c r="BQ2065" s="84"/>
      <c r="BR2065" s="84"/>
      <c r="BS2065" s="84"/>
      <c r="BT2065" s="84"/>
      <c r="BU2065" s="84"/>
      <c r="BV2065" s="84"/>
      <c r="BW2065" s="84"/>
      <c r="BX2065" s="84"/>
      <c r="BY2065" s="84"/>
      <c r="BZ2065" s="84"/>
      <c r="CA2065" s="84"/>
      <c r="CB2065" s="84"/>
      <c r="CC2065" s="84"/>
      <c r="CD2065" s="84"/>
      <c r="CE2065" s="84"/>
      <c r="CF2065" s="84"/>
      <c r="CG2065" s="84"/>
      <c r="CH2065" s="84"/>
      <c r="CI2065" s="84"/>
      <c r="CJ2065" s="84"/>
      <c r="CK2065" s="84"/>
      <c r="CL2065" s="84"/>
    </row>
    <row r="2066" spans="66:90" s="354" customFormat="1" x14ac:dyDescent="0.2">
      <c r="BN2066" s="84"/>
      <c r="BO2066" s="84"/>
      <c r="BP2066" s="84"/>
      <c r="BQ2066" s="84"/>
      <c r="BR2066" s="84"/>
      <c r="BS2066" s="84"/>
      <c r="BT2066" s="84"/>
      <c r="BU2066" s="84"/>
      <c r="BV2066" s="84"/>
      <c r="BW2066" s="84"/>
      <c r="BX2066" s="84"/>
      <c r="BY2066" s="84"/>
      <c r="BZ2066" s="84"/>
      <c r="CA2066" s="84"/>
      <c r="CB2066" s="84"/>
      <c r="CC2066" s="84"/>
      <c r="CD2066" s="84"/>
      <c r="CE2066" s="84"/>
      <c r="CF2066" s="84"/>
      <c r="CG2066" s="84"/>
      <c r="CH2066" s="84"/>
      <c r="CI2066" s="84"/>
      <c r="CJ2066" s="84"/>
      <c r="CK2066" s="84"/>
      <c r="CL2066" s="84"/>
    </row>
    <row r="2067" spans="66:90" s="354" customFormat="1" x14ac:dyDescent="0.2">
      <c r="BN2067" s="84"/>
      <c r="BO2067" s="84"/>
      <c r="BP2067" s="84"/>
      <c r="BQ2067" s="84"/>
      <c r="BR2067" s="84"/>
      <c r="BS2067" s="84"/>
      <c r="BT2067" s="84"/>
      <c r="BU2067" s="84"/>
      <c r="BV2067" s="84"/>
      <c r="BW2067" s="84"/>
      <c r="BX2067" s="84"/>
      <c r="BY2067" s="84"/>
      <c r="BZ2067" s="84"/>
      <c r="CA2067" s="84"/>
      <c r="CB2067" s="84"/>
      <c r="CC2067" s="84"/>
      <c r="CD2067" s="84"/>
      <c r="CE2067" s="84"/>
      <c r="CF2067" s="84"/>
      <c r="CG2067" s="84"/>
      <c r="CH2067" s="84"/>
      <c r="CI2067" s="84"/>
      <c r="CJ2067" s="84"/>
      <c r="CK2067" s="84"/>
      <c r="CL2067" s="84"/>
    </row>
    <row r="2068" spans="66:90" s="354" customFormat="1" x14ac:dyDescent="0.2">
      <c r="BN2068" s="84"/>
      <c r="BO2068" s="84"/>
      <c r="BP2068" s="84"/>
      <c r="BQ2068" s="84"/>
      <c r="BR2068" s="84"/>
      <c r="BS2068" s="84"/>
      <c r="BT2068" s="84"/>
      <c r="BU2068" s="84"/>
      <c r="BV2068" s="84"/>
      <c r="BW2068" s="84"/>
      <c r="BX2068" s="84"/>
      <c r="BY2068" s="84"/>
      <c r="BZ2068" s="84"/>
      <c r="CA2068" s="84"/>
      <c r="CB2068" s="84"/>
      <c r="CC2068" s="84"/>
      <c r="CD2068" s="84"/>
      <c r="CE2068" s="84"/>
      <c r="CF2068" s="84"/>
      <c r="CG2068" s="84"/>
      <c r="CH2068" s="84"/>
      <c r="CI2068" s="84"/>
      <c r="CJ2068" s="84"/>
      <c r="CK2068" s="84"/>
      <c r="CL2068" s="84"/>
    </row>
    <row r="2069" spans="66:90" s="354" customFormat="1" x14ac:dyDescent="0.2">
      <c r="BN2069" s="84"/>
      <c r="BO2069" s="84"/>
      <c r="BP2069" s="84"/>
      <c r="BQ2069" s="84"/>
      <c r="BR2069" s="84"/>
      <c r="BS2069" s="84"/>
      <c r="BT2069" s="84"/>
      <c r="BU2069" s="84"/>
      <c r="BV2069" s="84"/>
      <c r="BW2069" s="84"/>
      <c r="BX2069" s="84"/>
      <c r="BY2069" s="84"/>
      <c r="BZ2069" s="84"/>
      <c r="CA2069" s="84"/>
      <c r="CB2069" s="84"/>
      <c r="CC2069" s="84"/>
      <c r="CD2069" s="84"/>
      <c r="CE2069" s="84"/>
      <c r="CF2069" s="84"/>
      <c r="CG2069" s="84"/>
      <c r="CH2069" s="84"/>
      <c r="CI2069" s="84"/>
      <c r="CJ2069" s="84"/>
      <c r="CK2069" s="84"/>
      <c r="CL2069" s="84"/>
    </row>
    <row r="2070" spans="66:90" s="354" customFormat="1" x14ac:dyDescent="0.2">
      <c r="BN2070" s="84"/>
      <c r="BO2070" s="84"/>
      <c r="BP2070" s="84"/>
      <c r="BQ2070" s="84"/>
      <c r="BR2070" s="84"/>
      <c r="BS2070" s="84"/>
      <c r="BT2070" s="84"/>
      <c r="BU2070" s="84"/>
      <c r="BV2070" s="84"/>
      <c r="BW2070" s="84"/>
      <c r="BX2070" s="84"/>
      <c r="BY2070" s="84"/>
      <c r="BZ2070" s="84"/>
      <c r="CA2070" s="84"/>
      <c r="CB2070" s="84"/>
      <c r="CC2070" s="84"/>
      <c r="CD2070" s="84"/>
      <c r="CE2070" s="84"/>
      <c r="CF2070" s="84"/>
      <c r="CG2070" s="84"/>
      <c r="CH2070" s="84"/>
      <c r="CI2070" s="84"/>
      <c r="CJ2070" s="84"/>
      <c r="CK2070" s="84"/>
      <c r="CL2070" s="84"/>
    </row>
    <row r="2071" spans="66:90" s="354" customFormat="1" x14ac:dyDescent="0.2">
      <c r="BN2071" s="84"/>
      <c r="BO2071" s="84"/>
      <c r="BP2071" s="84"/>
      <c r="BQ2071" s="84"/>
      <c r="BR2071" s="84"/>
      <c r="BS2071" s="84"/>
      <c r="BT2071" s="84"/>
      <c r="BU2071" s="84"/>
      <c r="BV2071" s="84"/>
      <c r="BW2071" s="84"/>
      <c r="BX2071" s="84"/>
      <c r="BY2071" s="84"/>
      <c r="BZ2071" s="84"/>
      <c r="CA2071" s="84"/>
      <c r="CB2071" s="84"/>
      <c r="CC2071" s="84"/>
      <c r="CD2071" s="84"/>
      <c r="CE2071" s="84"/>
      <c r="CF2071" s="84"/>
      <c r="CG2071" s="84"/>
      <c r="CH2071" s="84"/>
      <c r="CI2071" s="84"/>
      <c r="CJ2071" s="84"/>
      <c r="CK2071" s="84"/>
      <c r="CL2071" s="84"/>
    </row>
    <row r="2072" spans="66:90" s="354" customFormat="1" x14ac:dyDescent="0.2">
      <c r="BN2072" s="84"/>
      <c r="BO2072" s="84"/>
      <c r="BP2072" s="84"/>
      <c r="BQ2072" s="84"/>
      <c r="BR2072" s="84"/>
      <c r="BS2072" s="84"/>
      <c r="BT2072" s="84"/>
      <c r="BU2072" s="84"/>
      <c r="BV2072" s="84"/>
      <c r="BW2072" s="84"/>
      <c r="BX2072" s="84"/>
      <c r="BY2072" s="84"/>
      <c r="BZ2072" s="84"/>
      <c r="CA2072" s="84"/>
      <c r="CB2072" s="84"/>
      <c r="CC2072" s="84"/>
      <c r="CD2072" s="84"/>
      <c r="CE2072" s="84"/>
      <c r="CF2072" s="84"/>
      <c r="CG2072" s="84"/>
      <c r="CH2072" s="84"/>
      <c r="CI2072" s="84"/>
      <c r="CJ2072" s="84"/>
      <c r="CK2072" s="84"/>
      <c r="CL2072" s="84"/>
    </row>
    <row r="2073" spans="66:90" s="354" customFormat="1" x14ac:dyDescent="0.2">
      <c r="BN2073" s="84"/>
      <c r="BO2073" s="84"/>
      <c r="BP2073" s="84"/>
      <c r="BQ2073" s="84"/>
      <c r="BR2073" s="84"/>
      <c r="BS2073" s="84"/>
      <c r="BT2073" s="84"/>
      <c r="BU2073" s="84"/>
      <c r="BV2073" s="84"/>
      <c r="BW2073" s="84"/>
      <c r="BX2073" s="84"/>
      <c r="BY2073" s="84"/>
      <c r="BZ2073" s="84"/>
      <c r="CA2073" s="84"/>
      <c r="CB2073" s="84"/>
      <c r="CC2073" s="84"/>
      <c r="CD2073" s="84"/>
      <c r="CE2073" s="84"/>
      <c r="CF2073" s="84"/>
      <c r="CG2073" s="84"/>
      <c r="CH2073" s="84"/>
      <c r="CI2073" s="84"/>
      <c r="CJ2073" s="84"/>
      <c r="CK2073" s="84"/>
      <c r="CL2073" s="84"/>
    </row>
    <row r="2074" spans="66:90" s="354" customFormat="1" x14ac:dyDescent="0.2">
      <c r="BN2074" s="84"/>
      <c r="BO2074" s="84"/>
      <c r="BP2074" s="84"/>
      <c r="BQ2074" s="84"/>
      <c r="BR2074" s="84"/>
      <c r="BS2074" s="84"/>
      <c r="BT2074" s="84"/>
      <c r="BU2074" s="84"/>
      <c r="BV2074" s="84"/>
      <c r="BW2074" s="84"/>
      <c r="BX2074" s="84"/>
      <c r="BY2074" s="84"/>
      <c r="BZ2074" s="84"/>
      <c r="CA2074" s="84"/>
      <c r="CB2074" s="84"/>
      <c r="CC2074" s="84"/>
      <c r="CD2074" s="84"/>
      <c r="CE2074" s="84"/>
      <c r="CF2074" s="84"/>
      <c r="CG2074" s="84"/>
      <c r="CH2074" s="84"/>
      <c r="CI2074" s="84"/>
      <c r="CJ2074" s="84"/>
      <c r="CK2074" s="84"/>
      <c r="CL2074" s="84"/>
    </row>
    <row r="2075" spans="66:90" s="354" customFormat="1" x14ac:dyDescent="0.2">
      <c r="BN2075" s="84"/>
      <c r="BO2075" s="84"/>
      <c r="BP2075" s="84"/>
      <c r="BQ2075" s="84"/>
      <c r="BR2075" s="84"/>
      <c r="BS2075" s="84"/>
      <c r="BT2075" s="84"/>
      <c r="BU2075" s="84"/>
      <c r="BV2075" s="84"/>
      <c r="BW2075" s="84"/>
      <c r="BX2075" s="84"/>
      <c r="BY2075" s="84"/>
      <c r="BZ2075" s="84"/>
      <c r="CA2075" s="84"/>
      <c r="CB2075" s="84"/>
      <c r="CC2075" s="84"/>
      <c r="CD2075" s="84"/>
      <c r="CE2075" s="84"/>
      <c r="CF2075" s="84"/>
      <c r="CG2075" s="84"/>
      <c r="CH2075" s="84"/>
      <c r="CI2075" s="84"/>
      <c r="CJ2075" s="84"/>
      <c r="CK2075" s="84"/>
      <c r="CL2075" s="84"/>
    </row>
    <row r="2076" spans="66:90" s="354" customFormat="1" x14ac:dyDescent="0.2">
      <c r="BN2076" s="84"/>
      <c r="BO2076" s="84"/>
      <c r="BP2076" s="84"/>
      <c r="BQ2076" s="84"/>
      <c r="BR2076" s="84"/>
      <c r="BS2076" s="84"/>
      <c r="BT2076" s="84"/>
      <c r="BU2076" s="84"/>
      <c r="BV2076" s="84"/>
      <c r="BW2076" s="84"/>
      <c r="BX2076" s="84"/>
      <c r="BY2076" s="84"/>
      <c r="BZ2076" s="84"/>
      <c r="CA2076" s="84"/>
      <c r="CB2076" s="84"/>
      <c r="CC2076" s="84"/>
      <c r="CD2076" s="84"/>
      <c r="CE2076" s="84"/>
      <c r="CF2076" s="84"/>
      <c r="CG2076" s="84"/>
      <c r="CH2076" s="84"/>
      <c r="CI2076" s="84"/>
      <c r="CJ2076" s="84"/>
      <c r="CK2076" s="84"/>
      <c r="CL2076" s="84"/>
    </row>
    <row r="2077" spans="66:90" s="354" customFormat="1" x14ac:dyDescent="0.2">
      <c r="BN2077" s="84"/>
      <c r="BO2077" s="84"/>
      <c r="BP2077" s="84"/>
      <c r="BQ2077" s="84"/>
      <c r="BR2077" s="84"/>
      <c r="BS2077" s="84"/>
      <c r="BT2077" s="84"/>
      <c r="BU2077" s="84"/>
      <c r="BV2077" s="84"/>
      <c r="BW2077" s="84"/>
      <c r="BX2077" s="84"/>
      <c r="BY2077" s="84"/>
      <c r="BZ2077" s="84"/>
      <c r="CA2077" s="84"/>
      <c r="CB2077" s="84"/>
      <c r="CC2077" s="84"/>
      <c r="CD2077" s="84"/>
      <c r="CE2077" s="84"/>
      <c r="CF2077" s="84"/>
      <c r="CG2077" s="84"/>
      <c r="CH2077" s="84"/>
      <c r="CI2077" s="84"/>
      <c r="CJ2077" s="84"/>
      <c r="CK2077" s="84"/>
      <c r="CL2077" s="84"/>
    </row>
    <row r="2078" spans="66:90" s="354" customFormat="1" x14ac:dyDescent="0.2">
      <c r="BN2078" s="84"/>
      <c r="BO2078" s="84"/>
      <c r="BP2078" s="84"/>
      <c r="BQ2078" s="84"/>
      <c r="BR2078" s="84"/>
      <c r="BS2078" s="84"/>
      <c r="BT2078" s="84"/>
      <c r="BU2078" s="84"/>
      <c r="BV2078" s="84"/>
      <c r="BW2078" s="84"/>
      <c r="BX2078" s="84"/>
      <c r="BY2078" s="84"/>
      <c r="BZ2078" s="84"/>
      <c r="CA2078" s="84"/>
      <c r="CB2078" s="84"/>
      <c r="CC2078" s="84"/>
      <c r="CD2078" s="84"/>
      <c r="CE2078" s="84"/>
      <c r="CF2078" s="84"/>
      <c r="CG2078" s="84"/>
      <c r="CH2078" s="84"/>
      <c r="CI2078" s="84"/>
      <c r="CJ2078" s="84"/>
      <c r="CK2078" s="84"/>
      <c r="CL2078" s="84"/>
    </row>
    <row r="2079" spans="66:90" s="354" customFormat="1" x14ac:dyDescent="0.2">
      <c r="BN2079" s="84"/>
      <c r="BO2079" s="84"/>
      <c r="BP2079" s="84"/>
      <c r="BQ2079" s="84"/>
      <c r="BR2079" s="84"/>
      <c r="BS2079" s="84"/>
      <c r="BT2079" s="84"/>
      <c r="BU2079" s="84"/>
      <c r="BV2079" s="84"/>
      <c r="BW2079" s="84"/>
      <c r="BX2079" s="84"/>
      <c r="BY2079" s="84"/>
      <c r="BZ2079" s="84"/>
      <c r="CA2079" s="84"/>
      <c r="CB2079" s="84"/>
      <c r="CC2079" s="84"/>
      <c r="CD2079" s="84"/>
      <c r="CE2079" s="84"/>
      <c r="CF2079" s="84"/>
      <c r="CG2079" s="84"/>
      <c r="CH2079" s="84"/>
      <c r="CI2079" s="84"/>
      <c r="CJ2079" s="84"/>
      <c r="CK2079" s="84"/>
      <c r="CL2079" s="84"/>
    </row>
    <row r="2080" spans="66:90" s="354" customFormat="1" x14ac:dyDescent="0.2">
      <c r="BN2080" s="84"/>
      <c r="BO2080" s="84"/>
      <c r="BP2080" s="84"/>
      <c r="BQ2080" s="84"/>
      <c r="BR2080" s="84"/>
      <c r="BS2080" s="84"/>
      <c r="BT2080" s="84"/>
      <c r="BU2080" s="84"/>
      <c r="BV2080" s="84"/>
      <c r="BW2080" s="84"/>
      <c r="BX2080" s="84"/>
      <c r="BY2080" s="84"/>
      <c r="BZ2080" s="84"/>
      <c r="CA2080" s="84"/>
      <c r="CB2080" s="84"/>
      <c r="CC2080" s="84"/>
      <c r="CD2080" s="84"/>
      <c r="CE2080" s="84"/>
      <c r="CF2080" s="84"/>
      <c r="CG2080" s="84"/>
      <c r="CH2080" s="84"/>
      <c r="CI2080" s="84"/>
      <c r="CJ2080" s="84"/>
      <c r="CK2080" s="84"/>
      <c r="CL2080" s="84"/>
    </row>
    <row r="2081" spans="66:90" s="354" customFormat="1" x14ac:dyDescent="0.2">
      <c r="BN2081" s="84"/>
      <c r="BO2081" s="84"/>
      <c r="BP2081" s="84"/>
      <c r="BQ2081" s="84"/>
      <c r="BR2081" s="84"/>
      <c r="BS2081" s="84"/>
      <c r="BT2081" s="84"/>
      <c r="BU2081" s="84"/>
      <c r="BV2081" s="84"/>
      <c r="BW2081" s="84"/>
      <c r="BX2081" s="84"/>
      <c r="BY2081" s="84"/>
      <c r="BZ2081" s="84"/>
      <c r="CA2081" s="84"/>
      <c r="CB2081" s="84"/>
      <c r="CC2081" s="84"/>
      <c r="CD2081" s="84"/>
      <c r="CE2081" s="84"/>
      <c r="CF2081" s="84"/>
      <c r="CG2081" s="84"/>
      <c r="CH2081" s="84"/>
      <c r="CI2081" s="84"/>
      <c r="CJ2081" s="84"/>
      <c r="CK2081" s="84"/>
      <c r="CL2081" s="84"/>
    </row>
    <row r="2082" spans="66:90" s="354" customFormat="1" x14ac:dyDescent="0.2">
      <c r="BN2082" s="84"/>
      <c r="BO2082" s="84"/>
      <c r="BP2082" s="84"/>
      <c r="BQ2082" s="84"/>
      <c r="BR2082" s="84"/>
      <c r="BS2082" s="84"/>
      <c r="BT2082" s="84"/>
      <c r="BU2082" s="84"/>
      <c r="BV2082" s="84"/>
      <c r="BW2082" s="84"/>
      <c r="BX2082" s="84"/>
      <c r="BY2082" s="84"/>
      <c r="BZ2082" s="84"/>
      <c r="CA2082" s="84"/>
      <c r="CB2082" s="84"/>
      <c r="CC2082" s="84"/>
      <c r="CD2082" s="84"/>
      <c r="CE2082" s="84"/>
      <c r="CF2082" s="84"/>
      <c r="CG2082" s="84"/>
      <c r="CH2082" s="84"/>
      <c r="CI2082" s="84"/>
      <c r="CJ2082" s="84"/>
      <c r="CK2082" s="84"/>
      <c r="CL2082" s="84"/>
    </row>
    <row r="2083" spans="66:90" s="354" customFormat="1" x14ac:dyDescent="0.2">
      <c r="BN2083" s="84"/>
      <c r="BO2083" s="84"/>
      <c r="BP2083" s="84"/>
      <c r="BQ2083" s="84"/>
      <c r="BR2083" s="84"/>
      <c r="BS2083" s="84"/>
      <c r="BT2083" s="84"/>
      <c r="BU2083" s="84"/>
      <c r="BV2083" s="84"/>
      <c r="BW2083" s="84"/>
      <c r="BX2083" s="84"/>
      <c r="BY2083" s="84"/>
      <c r="BZ2083" s="84"/>
      <c r="CA2083" s="84"/>
      <c r="CB2083" s="84"/>
      <c r="CC2083" s="84"/>
      <c r="CD2083" s="84"/>
      <c r="CE2083" s="84"/>
      <c r="CF2083" s="84"/>
      <c r="CG2083" s="84"/>
      <c r="CH2083" s="84"/>
      <c r="CI2083" s="84"/>
      <c r="CJ2083" s="84"/>
      <c r="CK2083" s="84"/>
      <c r="CL2083" s="84"/>
    </row>
    <row r="2084" spans="66:90" s="354" customFormat="1" x14ac:dyDescent="0.2">
      <c r="BN2084" s="84"/>
      <c r="BO2084" s="84"/>
      <c r="BP2084" s="84"/>
      <c r="BQ2084" s="84"/>
      <c r="BR2084" s="84"/>
      <c r="BS2084" s="84"/>
      <c r="BT2084" s="84"/>
      <c r="BU2084" s="84"/>
      <c r="BV2084" s="84"/>
      <c r="BW2084" s="84"/>
      <c r="BX2084" s="84"/>
      <c r="BY2084" s="84"/>
      <c r="BZ2084" s="84"/>
      <c r="CA2084" s="84"/>
      <c r="CB2084" s="84"/>
      <c r="CC2084" s="84"/>
      <c r="CD2084" s="84"/>
      <c r="CE2084" s="84"/>
      <c r="CF2084" s="84"/>
      <c r="CG2084" s="84"/>
      <c r="CH2084" s="84"/>
      <c r="CI2084" s="84"/>
      <c r="CJ2084" s="84"/>
      <c r="CK2084" s="84"/>
      <c r="CL2084" s="84"/>
    </row>
    <row r="2085" spans="66:90" s="354" customFormat="1" x14ac:dyDescent="0.2">
      <c r="BN2085" s="84"/>
      <c r="BO2085" s="84"/>
      <c r="BP2085" s="84"/>
      <c r="BQ2085" s="84"/>
      <c r="BR2085" s="84"/>
      <c r="BS2085" s="84"/>
      <c r="BT2085" s="84"/>
      <c r="BU2085" s="84"/>
      <c r="BV2085" s="84"/>
      <c r="BW2085" s="84"/>
      <c r="BX2085" s="84"/>
      <c r="BY2085" s="84"/>
      <c r="BZ2085" s="84"/>
      <c r="CA2085" s="84"/>
      <c r="CB2085" s="84"/>
      <c r="CC2085" s="84"/>
      <c r="CD2085" s="84"/>
      <c r="CE2085" s="84"/>
      <c r="CF2085" s="84"/>
      <c r="CG2085" s="84"/>
      <c r="CH2085" s="84"/>
      <c r="CI2085" s="84"/>
      <c r="CJ2085" s="84"/>
      <c r="CK2085" s="84"/>
      <c r="CL2085" s="84"/>
    </row>
    <row r="2086" spans="66:90" s="354" customFormat="1" x14ac:dyDescent="0.2">
      <c r="BN2086" s="84"/>
      <c r="BO2086" s="84"/>
      <c r="BP2086" s="84"/>
      <c r="BQ2086" s="84"/>
      <c r="BR2086" s="84"/>
      <c r="BS2086" s="84"/>
      <c r="BT2086" s="84"/>
      <c r="BU2086" s="84"/>
      <c r="BV2086" s="84"/>
      <c r="BW2086" s="84"/>
      <c r="BX2086" s="84"/>
      <c r="BY2086" s="84"/>
      <c r="BZ2086" s="84"/>
      <c r="CA2086" s="84"/>
      <c r="CB2086" s="84"/>
      <c r="CC2086" s="84"/>
      <c r="CD2086" s="84"/>
      <c r="CE2086" s="84"/>
      <c r="CF2086" s="84"/>
      <c r="CG2086" s="84"/>
      <c r="CH2086" s="84"/>
      <c r="CI2086" s="84"/>
      <c r="CJ2086" s="84"/>
      <c r="CK2086" s="84"/>
      <c r="CL2086" s="84"/>
    </row>
    <row r="2087" spans="66:90" s="354" customFormat="1" x14ac:dyDescent="0.2">
      <c r="BN2087" s="84"/>
      <c r="BO2087" s="84"/>
      <c r="BP2087" s="84"/>
      <c r="BQ2087" s="84"/>
      <c r="BR2087" s="84"/>
      <c r="BS2087" s="84"/>
      <c r="BT2087" s="84"/>
      <c r="BU2087" s="84"/>
      <c r="BV2087" s="84"/>
      <c r="BW2087" s="84"/>
      <c r="BX2087" s="84"/>
      <c r="BY2087" s="84"/>
      <c r="BZ2087" s="84"/>
      <c r="CA2087" s="84"/>
      <c r="CB2087" s="84"/>
      <c r="CC2087" s="84"/>
      <c r="CD2087" s="84"/>
      <c r="CE2087" s="84"/>
      <c r="CF2087" s="84"/>
      <c r="CG2087" s="84"/>
      <c r="CH2087" s="84"/>
      <c r="CI2087" s="84"/>
      <c r="CJ2087" s="84"/>
      <c r="CK2087" s="84"/>
      <c r="CL2087" s="84"/>
    </row>
    <row r="2088" spans="66:90" s="354" customFormat="1" x14ac:dyDescent="0.2">
      <c r="BN2088" s="84"/>
      <c r="BO2088" s="84"/>
      <c r="BP2088" s="84"/>
      <c r="BQ2088" s="84"/>
      <c r="BR2088" s="84"/>
      <c r="BS2088" s="84"/>
      <c r="BT2088" s="84"/>
      <c r="BU2088" s="84"/>
      <c r="BV2088" s="84"/>
      <c r="BW2088" s="84"/>
      <c r="BX2088" s="84"/>
      <c r="BY2088" s="84"/>
      <c r="BZ2088" s="84"/>
      <c r="CA2088" s="84"/>
      <c r="CB2088" s="84"/>
      <c r="CC2088" s="84"/>
      <c r="CD2088" s="84"/>
      <c r="CE2088" s="84"/>
      <c r="CF2088" s="84"/>
      <c r="CG2088" s="84"/>
      <c r="CH2088" s="84"/>
      <c r="CI2088" s="84"/>
      <c r="CJ2088" s="84"/>
      <c r="CK2088" s="84"/>
      <c r="CL2088" s="84"/>
    </row>
    <row r="2089" spans="66:90" s="354" customFormat="1" x14ac:dyDescent="0.2">
      <c r="BN2089" s="84"/>
      <c r="BO2089" s="84"/>
      <c r="BP2089" s="84"/>
      <c r="BQ2089" s="84"/>
      <c r="BR2089" s="84"/>
      <c r="BS2089" s="84"/>
      <c r="BT2089" s="84"/>
      <c r="BU2089" s="84"/>
      <c r="BV2089" s="84"/>
      <c r="BW2089" s="84"/>
      <c r="BX2089" s="84"/>
      <c r="BY2089" s="84"/>
      <c r="BZ2089" s="84"/>
      <c r="CA2089" s="84"/>
      <c r="CB2089" s="84"/>
      <c r="CC2089" s="84"/>
      <c r="CD2089" s="84"/>
      <c r="CE2089" s="84"/>
      <c r="CF2089" s="84"/>
      <c r="CG2089" s="84"/>
      <c r="CH2089" s="84"/>
      <c r="CI2089" s="84"/>
      <c r="CJ2089" s="84"/>
      <c r="CK2089" s="84"/>
      <c r="CL2089" s="84"/>
    </row>
    <row r="2090" spans="66:90" s="354" customFormat="1" x14ac:dyDescent="0.2">
      <c r="BN2090" s="84"/>
      <c r="BO2090" s="84"/>
      <c r="BP2090" s="84"/>
      <c r="BQ2090" s="84"/>
      <c r="BR2090" s="84"/>
      <c r="BS2090" s="84"/>
      <c r="BT2090" s="84"/>
      <c r="BU2090" s="84"/>
      <c r="BV2090" s="84"/>
      <c r="BW2090" s="84"/>
      <c r="BX2090" s="84"/>
      <c r="BY2090" s="84"/>
      <c r="BZ2090" s="84"/>
      <c r="CA2090" s="84"/>
      <c r="CB2090" s="84"/>
      <c r="CC2090" s="84"/>
      <c r="CD2090" s="84"/>
      <c r="CE2090" s="84"/>
      <c r="CF2090" s="84"/>
      <c r="CG2090" s="84"/>
      <c r="CH2090" s="84"/>
      <c r="CI2090" s="84"/>
      <c r="CJ2090" s="84"/>
      <c r="CK2090" s="84"/>
      <c r="CL2090" s="84"/>
    </row>
    <row r="2091" spans="66:90" s="354" customFormat="1" x14ac:dyDescent="0.2">
      <c r="BN2091" s="84"/>
      <c r="BO2091" s="84"/>
      <c r="BP2091" s="84"/>
      <c r="BQ2091" s="84"/>
      <c r="BR2091" s="84"/>
      <c r="BS2091" s="84"/>
      <c r="BT2091" s="84"/>
      <c r="BU2091" s="84"/>
      <c r="BV2091" s="84"/>
      <c r="BW2091" s="84"/>
      <c r="BX2091" s="84"/>
      <c r="BY2091" s="84"/>
      <c r="BZ2091" s="84"/>
      <c r="CA2091" s="84"/>
      <c r="CB2091" s="84"/>
      <c r="CC2091" s="84"/>
      <c r="CD2091" s="84"/>
      <c r="CE2091" s="84"/>
      <c r="CF2091" s="84"/>
      <c r="CG2091" s="84"/>
      <c r="CH2091" s="84"/>
      <c r="CI2091" s="84"/>
      <c r="CJ2091" s="84"/>
      <c r="CK2091" s="84"/>
      <c r="CL2091" s="84"/>
    </row>
    <row r="2092" spans="66:90" s="354" customFormat="1" x14ac:dyDescent="0.2">
      <c r="BN2092" s="84"/>
      <c r="BO2092" s="84"/>
      <c r="BP2092" s="84"/>
      <c r="BQ2092" s="84"/>
      <c r="BR2092" s="84"/>
      <c r="BS2092" s="84"/>
      <c r="BT2092" s="84"/>
      <c r="BU2092" s="84"/>
      <c r="BV2092" s="84"/>
      <c r="BW2092" s="84"/>
      <c r="BX2092" s="84"/>
      <c r="BY2092" s="84"/>
      <c r="BZ2092" s="84"/>
      <c r="CA2092" s="84"/>
      <c r="CB2092" s="84"/>
      <c r="CC2092" s="84"/>
      <c r="CD2092" s="84"/>
      <c r="CE2092" s="84"/>
      <c r="CF2092" s="84"/>
      <c r="CG2092" s="84"/>
      <c r="CH2092" s="84"/>
      <c r="CI2092" s="84"/>
      <c r="CJ2092" s="84"/>
      <c r="CK2092" s="84"/>
      <c r="CL2092" s="84"/>
    </row>
    <row r="2093" spans="66:90" s="354" customFormat="1" x14ac:dyDescent="0.2">
      <c r="BN2093" s="84"/>
      <c r="BO2093" s="84"/>
      <c r="BP2093" s="84"/>
      <c r="BQ2093" s="84"/>
      <c r="BR2093" s="84"/>
      <c r="BS2093" s="84"/>
      <c r="BT2093" s="84"/>
      <c r="BU2093" s="84"/>
      <c r="BV2093" s="84"/>
      <c r="BW2093" s="84"/>
      <c r="BX2093" s="84"/>
      <c r="BY2093" s="84"/>
      <c r="BZ2093" s="84"/>
      <c r="CA2093" s="84"/>
      <c r="CB2093" s="84"/>
      <c r="CC2093" s="84"/>
      <c r="CD2093" s="84"/>
      <c r="CE2093" s="84"/>
      <c r="CF2093" s="84"/>
      <c r="CG2093" s="84"/>
      <c r="CH2093" s="84"/>
      <c r="CI2093" s="84"/>
      <c r="CJ2093" s="84"/>
      <c r="CK2093" s="84"/>
      <c r="CL2093" s="84"/>
    </row>
    <row r="2094" spans="66:90" s="354" customFormat="1" x14ac:dyDescent="0.2">
      <c r="BN2094" s="84"/>
      <c r="BO2094" s="84"/>
      <c r="BP2094" s="84"/>
      <c r="BQ2094" s="84"/>
      <c r="BR2094" s="84"/>
      <c r="BS2094" s="84"/>
      <c r="BT2094" s="84"/>
      <c r="BU2094" s="84"/>
      <c r="BV2094" s="84"/>
      <c r="BW2094" s="84"/>
      <c r="BX2094" s="84"/>
      <c r="BY2094" s="84"/>
      <c r="BZ2094" s="84"/>
      <c r="CA2094" s="84"/>
      <c r="CB2094" s="84"/>
      <c r="CC2094" s="84"/>
      <c r="CD2094" s="84"/>
      <c r="CE2094" s="84"/>
      <c r="CF2094" s="84"/>
      <c r="CG2094" s="84"/>
      <c r="CH2094" s="84"/>
      <c r="CI2094" s="84"/>
      <c r="CJ2094" s="84"/>
      <c r="CK2094" s="84"/>
      <c r="CL2094" s="84"/>
    </row>
    <row r="2095" spans="66:90" s="354" customFormat="1" x14ac:dyDescent="0.2">
      <c r="BN2095" s="84"/>
      <c r="BO2095" s="84"/>
      <c r="BP2095" s="84"/>
      <c r="BQ2095" s="84"/>
      <c r="BR2095" s="84"/>
      <c r="BS2095" s="84"/>
      <c r="BT2095" s="84"/>
      <c r="BU2095" s="84"/>
      <c r="BV2095" s="84"/>
      <c r="BW2095" s="84"/>
      <c r="BX2095" s="84"/>
      <c r="BY2095" s="84"/>
      <c r="BZ2095" s="84"/>
      <c r="CA2095" s="84"/>
      <c r="CB2095" s="84"/>
      <c r="CC2095" s="84"/>
      <c r="CD2095" s="84"/>
      <c r="CE2095" s="84"/>
      <c r="CF2095" s="84"/>
      <c r="CG2095" s="84"/>
      <c r="CH2095" s="84"/>
      <c r="CI2095" s="84"/>
      <c r="CJ2095" s="84"/>
      <c r="CK2095" s="84"/>
      <c r="CL2095" s="84"/>
    </row>
    <row r="2096" spans="66:90" s="354" customFormat="1" x14ac:dyDescent="0.2">
      <c r="BN2096" s="84"/>
      <c r="BO2096" s="84"/>
      <c r="BP2096" s="84"/>
      <c r="BQ2096" s="84"/>
      <c r="BR2096" s="84"/>
      <c r="BS2096" s="84"/>
      <c r="BT2096" s="84"/>
      <c r="BU2096" s="84"/>
      <c r="BV2096" s="84"/>
      <c r="BW2096" s="84"/>
      <c r="BX2096" s="84"/>
      <c r="BY2096" s="84"/>
      <c r="BZ2096" s="84"/>
      <c r="CA2096" s="84"/>
      <c r="CB2096" s="84"/>
      <c r="CC2096" s="84"/>
      <c r="CD2096" s="84"/>
      <c r="CE2096" s="84"/>
      <c r="CF2096" s="84"/>
      <c r="CG2096" s="84"/>
      <c r="CH2096" s="84"/>
      <c r="CI2096" s="84"/>
      <c r="CJ2096" s="84"/>
      <c r="CK2096" s="84"/>
      <c r="CL2096" s="84"/>
    </row>
    <row r="2097" spans="66:90" s="354" customFormat="1" x14ac:dyDescent="0.2">
      <c r="BN2097" s="84"/>
      <c r="BO2097" s="84"/>
      <c r="BP2097" s="84"/>
      <c r="BQ2097" s="84"/>
      <c r="BR2097" s="84"/>
      <c r="BS2097" s="84"/>
      <c r="BT2097" s="84"/>
      <c r="BU2097" s="84"/>
      <c r="BV2097" s="84"/>
      <c r="BW2097" s="84"/>
      <c r="BX2097" s="84"/>
      <c r="BY2097" s="84"/>
      <c r="BZ2097" s="84"/>
      <c r="CA2097" s="84"/>
      <c r="CB2097" s="84"/>
      <c r="CC2097" s="84"/>
      <c r="CD2097" s="84"/>
      <c r="CE2097" s="84"/>
      <c r="CF2097" s="84"/>
      <c r="CG2097" s="84"/>
      <c r="CH2097" s="84"/>
      <c r="CI2097" s="84"/>
      <c r="CJ2097" s="84"/>
      <c r="CK2097" s="84"/>
      <c r="CL2097" s="84"/>
    </row>
    <row r="2098" spans="66:90" s="354" customFormat="1" x14ac:dyDescent="0.2">
      <c r="BN2098" s="84"/>
      <c r="BO2098" s="84"/>
      <c r="BP2098" s="84"/>
      <c r="BQ2098" s="84"/>
      <c r="BR2098" s="84"/>
      <c r="BS2098" s="84"/>
      <c r="BT2098" s="84"/>
      <c r="BU2098" s="84"/>
      <c r="BV2098" s="84"/>
      <c r="BW2098" s="84"/>
      <c r="BX2098" s="84"/>
      <c r="BY2098" s="84"/>
      <c r="BZ2098" s="84"/>
      <c r="CA2098" s="84"/>
      <c r="CB2098" s="84"/>
      <c r="CC2098" s="84"/>
      <c r="CD2098" s="84"/>
      <c r="CE2098" s="84"/>
      <c r="CF2098" s="84"/>
      <c r="CG2098" s="84"/>
      <c r="CH2098" s="84"/>
      <c r="CI2098" s="84"/>
      <c r="CJ2098" s="84"/>
      <c r="CK2098" s="84"/>
      <c r="CL2098" s="84"/>
    </row>
    <row r="2099" spans="66:90" s="354" customFormat="1" x14ac:dyDescent="0.2">
      <c r="BN2099" s="84"/>
      <c r="BO2099" s="84"/>
      <c r="BP2099" s="84"/>
      <c r="BQ2099" s="84"/>
      <c r="BR2099" s="84"/>
      <c r="BS2099" s="84"/>
      <c r="BT2099" s="84"/>
      <c r="BU2099" s="84"/>
      <c r="BV2099" s="84"/>
      <c r="BW2099" s="84"/>
      <c r="BX2099" s="84"/>
      <c r="BY2099" s="84"/>
      <c r="BZ2099" s="84"/>
      <c r="CA2099" s="84"/>
      <c r="CB2099" s="84"/>
      <c r="CC2099" s="84"/>
      <c r="CD2099" s="84"/>
      <c r="CE2099" s="84"/>
      <c r="CF2099" s="84"/>
      <c r="CG2099" s="84"/>
      <c r="CH2099" s="84"/>
      <c r="CI2099" s="84"/>
      <c r="CJ2099" s="84"/>
      <c r="CK2099" s="84"/>
      <c r="CL2099" s="84"/>
    </row>
    <row r="2100" spans="66:90" s="354" customFormat="1" x14ac:dyDescent="0.2">
      <c r="BN2100" s="84"/>
      <c r="BO2100" s="84"/>
      <c r="BP2100" s="84"/>
      <c r="BQ2100" s="84"/>
      <c r="BR2100" s="84"/>
      <c r="BS2100" s="84"/>
      <c r="BT2100" s="84"/>
      <c r="BU2100" s="84"/>
      <c r="BV2100" s="84"/>
      <c r="BW2100" s="84"/>
      <c r="BX2100" s="84"/>
      <c r="BY2100" s="84"/>
      <c r="BZ2100" s="84"/>
      <c r="CA2100" s="84"/>
      <c r="CB2100" s="84"/>
      <c r="CC2100" s="84"/>
      <c r="CD2100" s="84"/>
      <c r="CE2100" s="84"/>
      <c r="CF2100" s="84"/>
      <c r="CG2100" s="84"/>
      <c r="CH2100" s="84"/>
      <c r="CI2100" s="84"/>
      <c r="CJ2100" s="84"/>
      <c r="CK2100" s="84"/>
      <c r="CL2100" s="84"/>
    </row>
    <row r="2101" spans="66:90" s="354" customFormat="1" x14ac:dyDescent="0.2">
      <c r="BN2101" s="84"/>
      <c r="BO2101" s="84"/>
      <c r="BP2101" s="84"/>
      <c r="BQ2101" s="84"/>
      <c r="BR2101" s="84"/>
      <c r="BS2101" s="84"/>
      <c r="BT2101" s="84"/>
      <c r="BU2101" s="84"/>
      <c r="BV2101" s="84"/>
      <c r="BW2101" s="84"/>
      <c r="BX2101" s="84"/>
      <c r="BY2101" s="84"/>
      <c r="BZ2101" s="84"/>
      <c r="CA2101" s="84"/>
      <c r="CB2101" s="84"/>
      <c r="CC2101" s="84"/>
      <c r="CD2101" s="84"/>
      <c r="CE2101" s="84"/>
      <c r="CF2101" s="84"/>
      <c r="CG2101" s="84"/>
      <c r="CH2101" s="84"/>
      <c r="CI2101" s="84"/>
      <c r="CJ2101" s="84"/>
      <c r="CK2101" s="84"/>
      <c r="CL2101" s="84"/>
    </row>
    <row r="2102" spans="66:90" s="354" customFormat="1" x14ac:dyDescent="0.2">
      <c r="BN2102" s="84"/>
      <c r="BO2102" s="84"/>
      <c r="BP2102" s="84"/>
      <c r="BQ2102" s="84"/>
      <c r="BR2102" s="84"/>
      <c r="BS2102" s="84"/>
      <c r="BT2102" s="84"/>
      <c r="BU2102" s="84"/>
      <c r="BV2102" s="84"/>
      <c r="BW2102" s="84"/>
      <c r="BX2102" s="84"/>
      <c r="BY2102" s="84"/>
      <c r="BZ2102" s="84"/>
      <c r="CA2102" s="84"/>
      <c r="CB2102" s="84"/>
      <c r="CC2102" s="84"/>
      <c r="CD2102" s="84"/>
      <c r="CE2102" s="84"/>
      <c r="CF2102" s="84"/>
      <c r="CG2102" s="84"/>
      <c r="CH2102" s="84"/>
      <c r="CI2102" s="84"/>
      <c r="CJ2102" s="84"/>
      <c r="CK2102" s="84"/>
      <c r="CL2102" s="84"/>
    </row>
    <row r="2103" spans="66:90" s="354" customFormat="1" x14ac:dyDescent="0.2">
      <c r="BN2103" s="84"/>
      <c r="BO2103" s="84"/>
      <c r="BP2103" s="84"/>
      <c r="BQ2103" s="84"/>
      <c r="BR2103" s="84"/>
      <c r="BS2103" s="84"/>
      <c r="BT2103" s="84"/>
      <c r="BU2103" s="84"/>
      <c r="BV2103" s="84"/>
      <c r="BW2103" s="84"/>
      <c r="BX2103" s="84"/>
      <c r="BY2103" s="84"/>
      <c r="BZ2103" s="84"/>
      <c r="CA2103" s="84"/>
      <c r="CB2103" s="84"/>
      <c r="CC2103" s="84"/>
      <c r="CD2103" s="84"/>
      <c r="CE2103" s="84"/>
      <c r="CF2103" s="84"/>
      <c r="CG2103" s="84"/>
      <c r="CH2103" s="84"/>
      <c r="CI2103" s="84"/>
      <c r="CJ2103" s="84"/>
      <c r="CK2103" s="84"/>
      <c r="CL2103" s="84"/>
    </row>
    <row r="2104" spans="66:90" s="354" customFormat="1" x14ac:dyDescent="0.2">
      <c r="BN2104" s="84"/>
      <c r="BO2104" s="84"/>
      <c r="BP2104" s="84"/>
      <c r="BQ2104" s="84"/>
      <c r="BR2104" s="84"/>
      <c r="BS2104" s="84"/>
      <c r="BT2104" s="84"/>
      <c r="BU2104" s="84"/>
      <c r="BV2104" s="84"/>
      <c r="BW2104" s="84"/>
      <c r="BX2104" s="84"/>
      <c r="BY2104" s="84"/>
      <c r="BZ2104" s="84"/>
      <c r="CA2104" s="84"/>
      <c r="CB2104" s="84"/>
      <c r="CC2104" s="84"/>
      <c r="CD2104" s="84"/>
      <c r="CE2104" s="84"/>
      <c r="CF2104" s="84"/>
      <c r="CG2104" s="84"/>
      <c r="CH2104" s="84"/>
      <c r="CI2104" s="84"/>
      <c r="CJ2104" s="84"/>
      <c r="CK2104" s="84"/>
      <c r="CL2104" s="84"/>
    </row>
    <row r="2105" spans="66:90" s="354" customFormat="1" x14ac:dyDescent="0.2">
      <c r="BN2105" s="84"/>
      <c r="BO2105" s="84"/>
      <c r="BP2105" s="84"/>
      <c r="BQ2105" s="84"/>
      <c r="BR2105" s="84"/>
      <c r="BS2105" s="84"/>
      <c r="BT2105" s="84"/>
      <c r="BU2105" s="84"/>
      <c r="BV2105" s="84"/>
      <c r="BW2105" s="84"/>
      <c r="BX2105" s="84"/>
      <c r="BY2105" s="84"/>
      <c r="BZ2105" s="84"/>
      <c r="CA2105" s="84"/>
      <c r="CB2105" s="84"/>
      <c r="CC2105" s="84"/>
      <c r="CD2105" s="84"/>
      <c r="CE2105" s="84"/>
      <c r="CF2105" s="84"/>
      <c r="CG2105" s="84"/>
      <c r="CH2105" s="84"/>
      <c r="CI2105" s="84"/>
      <c r="CJ2105" s="84"/>
      <c r="CK2105" s="84"/>
      <c r="CL2105" s="84"/>
    </row>
    <row r="2106" spans="66:90" s="354" customFormat="1" x14ac:dyDescent="0.2">
      <c r="BN2106" s="84"/>
      <c r="BO2106" s="84"/>
      <c r="BP2106" s="84"/>
      <c r="BQ2106" s="84"/>
      <c r="BR2106" s="84"/>
      <c r="BS2106" s="84"/>
      <c r="BT2106" s="84"/>
      <c r="BU2106" s="84"/>
      <c r="BV2106" s="84"/>
      <c r="BW2106" s="84"/>
      <c r="BX2106" s="84"/>
      <c r="BY2106" s="84"/>
      <c r="BZ2106" s="84"/>
      <c r="CA2106" s="84"/>
      <c r="CB2106" s="84"/>
      <c r="CC2106" s="84"/>
      <c r="CD2106" s="84"/>
      <c r="CE2106" s="84"/>
      <c r="CF2106" s="84"/>
      <c r="CG2106" s="84"/>
      <c r="CH2106" s="84"/>
      <c r="CI2106" s="84"/>
      <c r="CJ2106" s="84"/>
      <c r="CK2106" s="84"/>
      <c r="CL2106" s="84"/>
    </row>
    <row r="2107" spans="66:90" s="354" customFormat="1" x14ac:dyDescent="0.2">
      <c r="BN2107" s="84"/>
      <c r="BO2107" s="84"/>
      <c r="BP2107" s="84"/>
      <c r="BQ2107" s="84"/>
      <c r="BR2107" s="84"/>
      <c r="BS2107" s="84"/>
      <c r="BT2107" s="84"/>
      <c r="BU2107" s="84"/>
      <c r="BV2107" s="84"/>
      <c r="BW2107" s="84"/>
      <c r="BX2107" s="84"/>
      <c r="BY2107" s="84"/>
      <c r="BZ2107" s="84"/>
      <c r="CA2107" s="84"/>
      <c r="CB2107" s="84"/>
      <c r="CC2107" s="84"/>
      <c r="CD2107" s="84"/>
      <c r="CE2107" s="84"/>
      <c r="CF2107" s="84"/>
      <c r="CG2107" s="84"/>
      <c r="CH2107" s="84"/>
      <c r="CI2107" s="84"/>
      <c r="CJ2107" s="84"/>
      <c r="CK2107" s="84"/>
      <c r="CL2107" s="84"/>
    </row>
    <row r="2108" spans="66:90" s="354" customFormat="1" x14ac:dyDescent="0.2">
      <c r="BN2108" s="84"/>
      <c r="BO2108" s="84"/>
      <c r="BP2108" s="84"/>
      <c r="BQ2108" s="84"/>
      <c r="BR2108" s="84"/>
      <c r="BS2108" s="84"/>
      <c r="BT2108" s="84"/>
      <c r="BU2108" s="84"/>
      <c r="BV2108" s="84"/>
      <c r="BW2108" s="84"/>
      <c r="BX2108" s="84"/>
      <c r="BY2108" s="84"/>
      <c r="BZ2108" s="84"/>
      <c r="CA2108" s="84"/>
      <c r="CB2108" s="84"/>
      <c r="CC2108" s="84"/>
      <c r="CD2108" s="84"/>
      <c r="CE2108" s="84"/>
      <c r="CF2108" s="84"/>
      <c r="CG2108" s="84"/>
      <c r="CH2108" s="84"/>
      <c r="CI2108" s="84"/>
      <c r="CJ2108" s="84"/>
      <c r="CK2108" s="84"/>
      <c r="CL2108" s="84"/>
    </row>
    <row r="2109" spans="66:90" s="354" customFormat="1" x14ac:dyDescent="0.2">
      <c r="BN2109" s="84"/>
      <c r="BO2109" s="84"/>
      <c r="BP2109" s="84"/>
      <c r="BQ2109" s="84"/>
      <c r="BR2109" s="84"/>
      <c r="BS2109" s="84"/>
      <c r="BT2109" s="84"/>
      <c r="BU2109" s="84"/>
      <c r="BV2109" s="84"/>
      <c r="BW2109" s="84"/>
      <c r="BX2109" s="84"/>
      <c r="BY2109" s="84"/>
      <c r="BZ2109" s="84"/>
      <c r="CA2109" s="84"/>
      <c r="CB2109" s="84"/>
      <c r="CC2109" s="84"/>
      <c r="CD2109" s="84"/>
      <c r="CE2109" s="84"/>
      <c r="CF2109" s="84"/>
      <c r="CG2109" s="84"/>
      <c r="CH2109" s="84"/>
      <c r="CI2109" s="84"/>
      <c r="CJ2109" s="84"/>
      <c r="CK2109" s="84"/>
      <c r="CL2109" s="84"/>
    </row>
    <row r="2110" spans="66:90" s="354" customFormat="1" x14ac:dyDescent="0.2">
      <c r="BN2110" s="84"/>
      <c r="BO2110" s="84"/>
      <c r="BP2110" s="84"/>
      <c r="BQ2110" s="84"/>
      <c r="BR2110" s="84"/>
      <c r="BS2110" s="84"/>
      <c r="BT2110" s="84"/>
      <c r="BU2110" s="84"/>
      <c r="BV2110" s="84"/>
      <c r="BW2110" s="84"/>
      <c r="BX2110" s="84"/>
      <c r="BY2110" s="84"/>
      <c r="BZ2110" s="84"/>
      <c r="CA2110" s="84"/>
      <c r="CB2110" s="84"/>
      <c r="CC2110" s="84"/>
      <c r="CD2110" s="84"/>
      <c r="CE2110" s="84"/>
      <c r="CF2110" s="84"/>
      <c r="CG2110" s="84"/>
      <c r="CH2110" s="84"/>
      <c r="CI2110" s="84"/>
      <c r="CJ2110" s="84"/>
      <c r="CK2110" s="84"/>
      <c r="CL2110" s="84"/>
    </row>
    <row r="2111" spans="66:90" s="354" customFormat="1" x14ac:dyDescent="0.2">
      <c r="BN2111" s="84"/>
      <c r="BO2111" s="84"/>
      <c r="BP2111" s="84"/>
      <c r="BQ2111" s="84"/>
      <c r="BR2111" s="84"/>
      <c r="BS2111" s="84"/>
      <c r="BT2111" s="84"/>
      <c r="BU2111" s="84"/>
      <c r="BV2111" s="84"/>
      <c r="BW2111" s="84"/>
      <c r="BX2111" s="84"/>
      <c r="BY2111" s="84"/>
      <c r="BZ2111" s="84"/>
      <c r="CA2111" s="84"/>
      <c r="CB2111" s="84"/>
      <c r="CC2111" s="84"/>
      <c r="CD2111" s="84"/>
      <c r="CE2111" s="84"/>
      <c r="CF2111" s="84"/>
      <c r="CG2111" s="84"/>
      <c r="CH2111" s="84"/>
      <c r="CI2111" s="84"/>
      <c r="CJ2111" s="84"/>
      <c r="CK2111" s="84"/>
      <c r="CL2111" s="84"/>
    </row>
    <row r="2112" spans="66:90" s="354" customFormat="1" x14ac:dyDescent="0.2">
      <c r="BN2112" s="84"/>
      <c r="BO2112" s="84"/>
      <c r="BP2112" s="84"/>
      <c r="BQ2112" s="84"/>
      <c r="BR2112" s="84"/>
      <c r="BS2112" s="84"/>
      <c r="BT2112" s="84"/>
      <c r="BU2112" s="84"/>
      <c r="BV2112" s="84"/>
      <c r="BW2112" s="84"/>
      <c r="BX2112" s="84"/>
      <c r="BY2112" s="84"/>
      <c r="BZ2112" s="84"/>
      <c r="CA2112" s="84"/>
      <c r="CB2112" s="84"/>
      <c r="CC2112" s="84"/>
      <c r="CD2112" s="84"/>
      <c r="CE2112" s="84"/>
      <c r="CF2112" s="84"/>
      <c r="CG2112" s="84"/>
      <c r="CH2112" s="84"/>
      <c r="CI2112" s="84"/>
      <c r="CJ2112" s="84"/>
      <c r="CK2112" s="84"/>
      <c r="CL2112" s="84"/>
    </row>
    <row r="2113" spans="66:90" s="354" customFormat="1" x14ac:dyDescent="0.2">
      <c r="BN2113" s="84"/>
      <c r="BO2113" s="84"/>
      <c r="BP2113" s="84"/>
      <c r="BQ2113" s="84"/>
      <c r="BR2113" s="84"/>
      <c r="BS2113" s="84"/>
      <c r="BT2113" s="84"/>
      <c r="BU2113" s="84"/>
      <c r="BV2113" s="84"/>
      <c r="BW2113" s="84"/>
      <c r="BX2113" s="84"/>
      <c r="BY2113" s="84"/>
      <c r="BZ2113" s="84"/>
      <c r="CA2113" s="84"/>
      <c r="CB2113" s="84"/>
      <c r="CC2113" s="84"/>
      <c r="CD2113" s="84"/>
      <c r="CE2113" s="84"/>
      <c r="CF2113" s="84"/>
      <c r="CG2113" s="84"/>
      <c r="CH2113" s="84"/>
      <c r="CI2113" s="84"/>
      <c r="CJ2113" s="84"/>
      <c r="CK2113" s="84"/>
      <c r="CL2113" s="84"/>
    </row>
    <row r="2114" spans="66:90" s="354" customFormat="1" x14ac:dyDescent="0.2">
      <c r="BN2114" s="84"/>
      <c r="BO2114" s="84"/>
      <c r="BP2114" s="84"/>
      <c r="BQ2114" s="84"/>
      <c r="BR2114" s="84"/>
      <c r="BS2114" s="84"/>
      <c r="BT2114" s="84"/>
      <c r="BU2114" s="84"/>
      <c r="BV2114" s="84"/>
      <c r="BW2114" s="84"/>
      <c r="BX2114" s="84"/>
      <c r="BY2114" s="84"/>
      <c r="BZ2114" s="84"/>
      <c r="CA2114" s="84"/>
      <c r="CB2114" s="84"/>
      <c r="CC2114" s="84"/>
      <c r="CD2114" s="84"/>
      <c r="CE2114" s="84"/>
      <c r="CF2114" s="84"/>
      <c r="CG2114" s="84"/>
      <c r="CH2114" s="84"/>
      <c r="CI2114" s="84"/>
      <c r="CJ2114" s="84"/>
      <c r="CK2114" s="84"/>
      <c r="CL2114" s="84"/>
    </row>
    <row r="2115" spans="66:90" s="354" customFormat="1" x14ac:dyDescent="0.2">
      <c r="BN2115" s="84"/>
      <c r="BO2115" s="84"/>
      <c r="BP2115" s="84"/>
      <c r="BQ2115" s="84"/>
      <c r="BR2115" s="84"/>
      <c r="BS2115" s="84"/>
      <c r="BT2115" s="84"/>
      <c r="BU2115" s="84"/>
      <c r="BV2115" s="84"/>
      <c r="BW2115" s="84"/>
      <c r="BX2115" s="84"/>
      <c r="BY2115" s="84"/>
      <c r="BZ2115" s="84"/>
      <c r="CA2115" s="84"/>
      <c r="CB2115" s="84"/>
      <c r="CC2115" s="84"/>
      <c r="CD2115" s="84"/>
      <c r="CE2115" s="84"/>
      <c r="CF2115" s="84"/>
      <c r="CG2115" s="84"/>
      <c r="CH2115" s="84"/>
      <c r="CI2115" s="84"/>
      <c r="CJ2115" s="84"/>
      <c r="CK2115" s="84"/>
      <c r="CL2115" s="84"/>
    </row>
    <row r="2116" spans="66:90" s="354" customFormat="1" x14ac:dyDescent="0.2">
      <c r="BN2116" s="84"/>
      <c r="BO2116" s="84"/>
      <c r="BP2116" s="84"/>
      <c r="BQ2116" s="84"/>
      <c r="BR2116" s="84"/>
      <c r="BS2116" s="84"/>
      <c r="BT2116" s="84"/>
      <c r="BU2116" s="84"/>
      <c r="BV2116" s="84"/>
      <c r="BW2116" s="84"/>
      <c r="BX2116" s="84"/>
      <c r="BY2116" s="84"/>
      <c r="BZ2116" s="84"/>
      <c r="CA2116" s="84"/>
      <c r="CB2116" s="84"/>
      <c r="CC2116" s="84"/>
      <c r="CD2116" s="84"/>
      <c r="CE2116" s="84"/>
      <c r="CF2116" s="84"/>
      <c r="CG2116" s="84"/>
      <c r="CH2116" s="84"/>
      <c r="CI2116" s="84"/>
      <c r="CJ2116" s="84"/>
      <c r="CK2116" s="84"/>
      <c r="CL2116" s="84"/>
    </row>
    <row r="2117" spans="66:90" s="354" customFormat="1" x14ac:dyDescent="0.2">
      <c r="BN2117" s="84"/>
      <c r="BO2117" s="84"/>
      <c r="BP2117" s="84"/>
      <c r="BQ2117" s="84"/>
      <c r="BR2117" s="84"/>
      <c r="BS2117" s="84"/>
      <c r="BT2117" s="84"/>
      <c r="BU2117" s="84"/>
      <c r="BV2117" s="84"/>
      <c r="BW2117" s="84"/>
      <c r="BX2117" s="84"/>
      <c r="BY2117" s="84"/>
      <c r="BZ2117" s="84"/>
      <c r="CA2117" s="84"/>
      <c r="CB2117" s="84"/>
      <c r="CC2117" s="84"/>
      <c r="CD2117" s="84"/>
      <c r="CE2117" s="84"/>
      <c r="CF2117" s="84"/>
      <c r="CG2117" s="84"/>
      <c r="CH2117" s="84"/>
      <c r="CI2117" s="84"/>
      <c r="CJ2117" s="84"/>
      <c r="CK2117" s="84"/>
      <c r="CL2117" s="84"/>
    </row>
    <row r="2118" spans="66:90" s="354" customFormat="1" x14ac:dyDescent="0.2">
      <c r="BN2118" s="84"/>
      <c r="BO2118" s="84"/>
      <c r="BP2118" s="84"/>
      <c r="BQ2118" s="84"/>
      <c r="BR2118" s="84"/>
      <c r="BS2118" s="84"/>
      <c r="BT2118" s="84"/>
      <c r="BU2118" s="84"/>
      <c r="BV2118" s="84"/>
      <c r="BW2118" s="84"/>
      <c r="BX2118" s="84"/>
      <c r="BY2118" s="84"/>
      <c r="BZ2118" s="84"/>
      <c r="CA2118" s="84"/>
      <c r="CB2118" s="84"/>
      <c r="CC2118" s="84"/>
      <c r="CD2118" s="84"/>
      <c r="CE2118" s="84"/>
      <c r="CF2118" s="84"/>
      <c r="CG2118" s="84"/>
      <c r="CH2118" s="84"/>
      <c r="CI2118" s="84"/>
      <c r="CJ2118" s="84"/>
      <c r="CK2118" s="84"/>
      <c r="CL2118" s="84"/>
    </row>
    <row r="2119" spans="66:90" s="354" customFormat="1" x14ac:dyDescent="0.2">
      <c r="BN2119" s="84"/>
      <c r="BO2119" s="84"/>
      <c r="BP2119" s="84"/>
      <c r="BQ2119" s="84"/>
      <c r="BR2119" s="84"/>
      <c r="BS2119" s="84"/>
      <c r="BT2119" s="84"/>
      <c r="BU2119" s="84"/>
      <c r="BV2119" s="84"/>
      <c r="BW2119" s="84"/>
      <c r="BX2119" s="84"/>
      <c r="BY2119" s="84"/>
      <c r="BZ2119" s="84"/>
      <c r="CA2119" s="84"/>
      <c r="CB2119" s="84"/>
      <c r="CC2119" s="84"/>
      <c r="CD2119" s="84"/>
      <c r="CE2119" s="84"/>
      <c r="CF2119" s="84"/>
      <c r="CG2119" s="84"/>
      <c r="CH2119" s="84"/>
      <c r="CI2119" s="84"/>
      <c r="CJ2119" s="84"/>
      <c r="CK2119" s="84"/>
      <c r="CL2119" s="84"/>
    </row>
    <row r="2120" spans="66:90" s="354" customFormat="1" x14ac:dyDescent="0.2">
      <c r="BN2120" s="84"/>
      <c r="BO2120" s="84"/>
      <c r="BP2120" s="84"/>
      <c r="BQ2120" s="84"/>
      <c r="BR2120" s="84"/>
      <c r="BS2120" s="84"/>
      <c r="BT2120" s="84"/>
      <c r="BU2120" s="84"/>
      <c r="BV2120" s="84"/>
      <c r="BW2120" s="84"/>
      <c r="BX2120" s="84"/>
      <c r="BY2120" s="84"/>
      <c r="BZ2120" s="84"/>
      <c r="CA2120" s="84"/>
      <c r="CB2120" s="84"/>
      <c r="CC2120" s="84"/>
      <c r="CD2120" s="84"/>
      <c r="CE2120" s="84"/>
      <c r="CF2120" s="84"/>
      <c r="CG2120" s="84"/>
      <c r="CH2120" s="84"/>
      <c r="CI2120" s="84"/>
      <c r="CJ2120" s="84"/>
      <c r="CK2120" s="84"/>
      <c r="CL2120" s="84"/>
    </row>
    <row r="2121" spans="66:90" s="354" customFormat="1" x14ac:dyDescent="0.2">
      <c r="BN2121" s="84"/>
      <c r="BO2121" s="84"/>
      <c r="BP2121" s="84"/>
      <c r="BQ2121" s="84"/>
      <c r="BR2121" s="84"/>
      <c r="BS2121" s="84"/>
      <c r="BT2121" s="84"/>
      <c r="BU2121" s="84"/>
      <c r="BV2121" s="84"/>
      <c r="BW2121" s="84"/>
      <c r="BX2121" s="84"/>
      <c r="BY2121" s="84"/>
      <c r="BZ2121" s="84"/>
      <c r="CA2121" s="84"/>
      <c r="CB2121" s="84"/>
      <c r="CC2121" s="84"/>
      <c r="CD2121" s="84"/>
      <c r="CE2121" s="84"/>
      <c r="CF2121" s="84"/>
      <c r="CG2121" s="84"/>
      <c r="CH2121" s="84"/>
      <c r="CI2121" s="84"/>
      <c r="CJ2121" s="84"/>
      <c r="CK2121" s="84"/>
      <c r="CL2121" s="84"/>
    </row>
    <row r="2122" spans="66:90" s="354" customFormat="1" x14ac:dyDescent="0.2">
      <c r="BN2122" s="84"/>
      <c r="BO2122" s="84"/>
      <c r="BP2122" s="84"/>
      <c r="BQ2122" s="84"/>
      <c r="BR2122" s="84"/>
      <c r="BS2122" s="84"/>
      <c r="BT2122" s="84"/>
      <c r="BU2122" s="84"/>
      <c r="BV2122" s="84"/>
      <c r="BW2122" s="84"/>
      <c r="BX2122" s="84"/>
      <c r="BY2122" s="84"/>
      <c r="BZ2122" s="84"/>
      <c r="CA2122" s="84"/>
      <c r="CB2122" s="84"/>
      <c r="CC2122" s="84"/>
      <c r="CD2122" s="84"/>
      <c r="CE2122" s="84"/>
      <c r="CF2122" s="84"/>
      <c r="CG2122" s="84"/>
      <c r="CH2122" s="84"/>
      <c r="CI2122" s="84"/>
      <c r="CJ2122" s="84"/>
      <c r="CK2122" s="84"/>
      <c r="CL2122" s="84"/>
    </row>
    <row r="2123" spans="66:90" s="354" customFormat="1" x14ac:dyDescent="0.2">
      <c r="BN2123" s="84"/>
      <c r="BO2123" s="84"/>
      <c r="BP2123" s="84"/>
      <c r="BQ2123" s="84"/>
      <c r="BR2123" s="84"/>
      <c r="BS2123" s="84"/>
      <c r="BT2123" s="84"/>
      <c r="BU2123" s="84"/>
      <c r="BV2123" s="84"/>
      <c r="BW2123" s="84"/>
      <c r="BX2123" s="84"/>
      <c r="BY2123" s="84"/>
      <c r="BZ2123" s="84"/>
      <c r="CA2123" s="84"/>
      <c r="CB2123" s="84"/>
      <c r="CC2123" s="84"/>
      <c r="CD2123" s="84"/>
      <c r="CE2123" s="84"/>
      <c r="CF2123" s="84"/>
      <c r="CG2123" s="84"/>
      <c r="CH2123" s="84"/>
      <c r="CI2123" s="84"/>
      <c r="CJ2123" s="84"/>
      <c r="CK2123" s="84"/>
      <c r="CL2123" s="84"/>
    </row>
    <row r="2124" spans="66:90" s="354" customFormat="1" x14ac:dyDescent="0.2">
      <c r="BN2124" s="84"/>
      <c r="BO2124" s="84"/>
      <c r="BP2124" s="84"/>
      <c r="BQ2124" s="84"/>
      <c r="BR2124" s="84"/>
      <c r="BS2124" s="84"/>
      <c r="BT2124" s="84"/>
      <c r="BU2124" s="84"/>
      <c r="BV2124" s="84"/>
      <c r="BW2124" s="84"/>
      <c r="BX2124" s="84"/>
      <c r="BY2124" s="84"/>
      <c r="BZ2124" s="84"/>
      <c r="CA2124" s="84"/>
      <c r="CB2124" s="84"/>
      <c r="CC2124" s="84"/>
      <c r="CD2124" s="84"/>
      <c r="CE2124" s="84"/>
      <c r="CF2124" s="84"/>
      <c r="CG2124" s="84"/>
      <c r="CH2124" s="84"/>
      <c r="CI2124" s="84"/>
      <c r="CJ2124" s="84"/>
      <c r="CK2124" s="84"/>
      <c r="CL2124" s="84"/>
    </row>
    <row r="2125" spans="66:90" s="354" customFormat="1" x14ac:dyDescent="0.2">
      <c r="BN2125" s="84"/>
      <c r="BO2125" s="84"/>
      <c r="BP2125" s="84"/>
      <c r="BQ2125" s="84"/>
      <c r="BR2125" s="84"/>
      <c r="BS2125" s="84"/>
      <c r="BT2125" s="84"/>
      <c r="BU2125" s="84"/>
      <c r="BV2125" s="84"/>
      <c r="BW2125" s="84"/>
      <c r="BX2125" s="84"/>
      <c r="BY2125" s="84"/>
      <c r="BZ2125" s="84"/>
      <c r="CA2125" s="84"/>
      <c r="CB2125" s="84"/>
      <c r="CC2125" s="84"/>
      <c r="CD2125" s="84"/>
      <c r="CE2125" s="84"/>
      <c r="CF2125" s="84"/>
      <c r="CG2125" s="84"/>
      <c r="CH2125" s="84"/>
      <c r="CI2125" s="84"/>
      <c r="CJ2125" s="84"/>
      <c r="CK2125" s="84"/>
      <c r="CL2125" s="84"/>
    </row>
    <row r="2126" spans="66:90" s="354" customFormat="1" x14ac:dyDescent="0.2">
      <c r="BN2126" s="84"/>
      <c r="BO2126" s="84"/>
      <c r="BP2126" s="84"/>
      <c r="BQ2126" s="84"/>
      <c r="BR2126" s="84"/>
      <c r="BS2126" s="84"/>
      <c r="BT2126" s="84"/>
      <c r="BU2126" s="84"/>
      <c r="BV2126" s="84"/>
      <c r="BW2126" s="84"/>
      <c r="BX2126" s="84"/>
      <c r="BY2126" s="84"/>
      <c r="BZ2126" s="84"/>
      <c r="CA2126" s="84"/>
      <c r="CB2126" s="84"/>
      <c r="CC2126" s="84"/>
      <c r="CD2126" s="84"/>
      <c r="CE2126" s="84"/>
      <c r="CF2126" s="84"/>
      <c r="CG2126" s="84"/>
      <c r="CH2126" s="84"/>
      <c r="CI2126" s="84"/>
      <c r="CJ2126" s="84"/>
      <c r="CK2126" s="84"/>
      <c r="CL2126" s="84"/>
    </row>
    <row r="2127" spans="66:90" s="354" customFormat="1" x14ac:dyDescent="0.2">
      <c r="BN2127" s="84"/>
      <c r="BO2127" s="84"/>
      <c r="BP2127" s="84"/>
      <c r="BQ2127" s="84"/>
      <c r="BR2127" s="84"/>
      <c r="BS2127" s="84"/>
      <c r="BT2127" s="84"/>
      <c r="BU2127" s="84"/>
      <c r="BV2127" s="84"/>
      <c r="BW2127" s="84"/>
      <c r="BX2127" s="84"/>
      <c r="BY2127" s="84"/>
      <c r="BZ2127" s="84"/>
      <c r="CA2127" s="84"/>
      <c r="CB2127" s="84"/>
      <c r="CC2127" s="84"/>
      <c r="CD2127" s="84"/>
      <c r="CE2127" s="84"/>
      <c r="CF2127" s="84"/>
      <c r="CG2127" s="84"/>
      <c r="CH2127" s="84"/>
      <c r="CI2127" s="84"/>
      <c r="CJ2127" s="84"/>
      <c r="CK2127" s="84"/>
      <c r="CL2127" s="84"/>
    </row>
    <row r="2128" spans="66:90" s="354" customFormat="1" x14ac:dyDescent="0.2">
      <c r="BN2128" s="84"/>
      <c r="BO2128" s="84"/>
      <c r="BP2128" s="84"/>
      <c r="BQ2128" s="84"/>
      <c r="BR2128" s="84"/>
      <c r="BS2128" s="84"/>
      <c r="BT2128" s="84"/>
      <c r="BU2128" s="84"/>
      <c r="BV2128" s="84"/>
      <c r="BW2128" s="84"/>
      <c r="BX2128" s="84"/>
      <c r="BY2128" s="84"/>
      <c r="BZ2128" s="84"/>
      <c r="CA2128" s="84"/>
      <c r="CB2128" s="84"/>
      <c r="CC2128" s="84"/>
      <c r="CD2128" s="84"/>
      <c r="CE2128" s="84"/>
      <c r="CF2128" s="84"/>
      <c r="CG2128" s="84"/>
      <c r="CH2128" s="84"/>
      <c r="CI2128" s="84"/>
      <c r="CJ2128" s="84"/>
      <c r="CK2128" s="84"/>
      <c r="CL2128" s="84"/>
    </row>
    <row r="2129" spans="66:90" s="354" customFormat="1" x14ac:dyDescent="0.2">
      <c r="BN2129" s="84"/>
      <c r="BO2129" s="84"/>
      <c r="BP2129" s="84"/>
      <c r="BQ2129" s="84"/>
      <c r="BR2129" s="84"/>
      <c r="BS2129" s="84"/>
      <c r="BT2129" s="84"/>
      <c r="BU2129" s="84"/>
      <c r="BV2129" s="84"/>
      <c r="BW2129" s="84"/>
      <c r="BX2129" s="84"/>
      <c r="BY2129" s="84"/>
      <c r="BZ2129" s="84"/>
      <c r="CA2129" s="84"/>
      <c r="CB2129" s="84"/>
      <c r="CC2129" s="84"/>
      <c r="CD2129" s="84"/>
      <c r="CE2129" s="84"/>
      <c r="CF2129" s="84"/>
      <c r="CG2129" s="84"/>
      <c r="CH2129" s="84"/>
      <c r="CI2129" s="84"/>
      <c r="CJ2129" s="84"/>
      <c r="CK2129" s="84"/>
      <c r="CL2129" s="84"/>
    </row>
    <row r="2130" spans="66:90" s="354" customFormat="1" x14ac:dyDescent="0.2">
      <c r="BN2130" s="84"/>
      <c r="BO2130" s="84"/>
      <c r="BP2130" s="84"/>
      <c r="BQ2130" s="84"/>
      <c r="BR2130" s="84"/>
      <c r="BS2130" s="84"/>
      <c r="BT2130" s="84"/>
      <c r="BU2130" s="84"/>
      <c r="BV2130" s="84"/>
      <c r="BW2130" s="84"/>
      <c r="BX2130" s="84"/>
      <c r="BY2130" s="84"/>
      <c r="BZ2130" s="84"/>
      <c r="CA2130" s="84"/>
      <c r="CB2130" s="84"/>
      <c r="CC2130" s="84"/>
      <c r="CD2130" s="84"/>
      <c r="CE2130" s="84"/>
      <c r="CF2130" s="84"/>
      <c r="CG2130" s="84"/>
      <c r="CH2130" s="84"/>
      <c r="CI2130" s="84"/>
      <c r="CJ2130" s="84"/>
      <c r="CK2130" s="84"/>
      <c r="CL2130" s="84"/>
    </row>
    <row r="2131" spans="66:90" s="354" customFormat="1" x14ac:dyDescent="0.2">
      <c r="BN2131" s="84"/>
      <c r="BO2131" s="84"/>
      <c r="BP2131" s="84"/>
      <c r="BQ2131" s="84"/>
      <c r="BR2131" s="84"/>
      <c r="BS2131" s="84"/>
      <c r="BT2131" s="84"/>
      <c r="BU2131" s="84"/>
      <c r="BV2131" s="84"/>
      <c r="BW2131" s="84"/>
      <c r="BX2131" s="84"/>
      <c r="BY2131" s="84"/>
      <c r="BZ2131" s="84"/>
      <c r="CA2131" s="84"/>
      <c r="CB2131" s="84"/>
      <c r="CC2131" s="84"/>
      <c r="CD2131" s="84"/>
      <c r="CE2131" s="84"/>
      <c r="CF2131" s="84"/>
      <c r="CG2131" s="84"/>
      <c r="CH2131" s="84"/>
      <c r="CI2131" s="84"/>
      <c r="CJ2131" s="84"/>
      <c r="CK2131" s="84"/>
      <c r="CL2131" s="84"/>
    </row>
    <row r="2132" spans="66:90" s="354" customFormat="1" x14ac:dyDescent="0.2">
      <c r="BN2132" s="84"/>
      <c r="BO2132" s="84"/>
      <c r="BP2132" s="84"/>
      <c r="BQ2132" s="84"/>
      <c r="BR2132" s="84"/>
      <c r="BS2132" s="84"/>
      <c r="BT2132" s="84"/>
      <c r="BU2132" s="84"/>
      <c r="BV2132" s="84"/>
      <c r="BW2132" s="84"/>
      <c r="BX2132" s="84"/>
      <c r="BY2132" s="84"/>
      <c r="BZ2132" s="84"/>
      <c r="CA2132" s="84"/>
      <c r="CB2132" s="84"/>
      <c r="CC2132" s="84"/>
      <c r="CD2132" s="84"/>
      <c r="CE2132" s="84"/>
      <c r="CF2132" s="84"/>
      <c r="CG2132" s="84"/>
      <c r="CH2132" s="84"/>
      <c r="CI2132" s="84"/>
      <c r="CJ2132" s="84"/>
      <c r="CK2132" s="84"/>
      <c r="CL2132" s="84"/>
    </row>
    <row r="2133" spans="66:90" s="354" customFormat="1" x14ac:dyDescent="0.2">
      <c r="BN2133" s="84"/>
      <c r="BO2133" s="84"/>
      <c r="BP2133" s="84"/>
      <c r="BQ2133" s="84"/>
      <c r="BR2133" s="84"/>
      <c r="BS2133" s="84"/>
      <c r="BT2133" s="84"/>
      <c r="BU2133" s="84"/>
      <c r="BV2133" s="84"/>
      <c r="BW2133" s="84"/>
      <c r="BX2133" s="84"/>
      <c r="BY2133" s="84"/>
      <c r="BZ2133" s="84"/>
      <c r="CA2133" s="84"/>
      <c r="CB2133" s="84"/>
      <c r="CC2133" s="84"/>
      <c r="CD2133" s="84"/>
      <c r="CE2133" s="84"/>
      <c r="CF2133" s="84"/>
      <c r="CG2133" s="84"/>
      <c r="CH2133" s="84"/>
      <c r="CI2133" s="84"/>
      <c r="CJ2133" s="84"/>
      <c r="CK2133" s="84"/>
      <c r="CL2133" s="84"/>
    </row>
  </sheetData>
  <mergeCells count="16">
    <mergeCell ref="CA2:CI2"/>
    <mergeCell ref="Q2:T2"/>
    <mergeCell ref="U2:X2"/>
    <mergeCell ref="Y2:AB2"/>
    <mergeCell ref="AW2:AZ2"/>
    <mergeCell ref="AO2:AR2"/>
    <mergeCell ref="AC2:AF2"/>
    <mergeCell ref="AK2:AN2"/>
    <mergeCell ref="BE2:BH2"/>
    <mergeCell ref="BI2:BL2"/>
    <mergeCell ref="A1:AJ1"/>
    <mergeCell ref="AK1:BH1"/>
    <mergeCell ref="BA2:BD2"/>
    <mergeCell ref="AG2:AJ2"/>
    <mergeCell ref="AS2:AV2"/>
    <mergeCell ref="E2:P2"/>
  </mergeCells>
  <phoneticPr fontId="9" type="noConversion"/>
  <printOptions horizontalCentered="1" verticalCentered="1"/>
  <pageMargins left="0.19685039370078741" right="0.19685039370078741" top="0.19685039370078741" bottom="0.19685039370078741" header="0.39370078740157483" footer="0.19685039370078741"/>
  <pageSetup paperSize="8" scale="70" orientation="landscape" r:id="rId1"/>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CZ482"/>
  <sheetViews>
    <sheetView zoomScaleNormal="100" workbookViewId="0">
      <pane xSplit="7" ySplit="2" topLeftCell="H27" activePane="bottomRight" state="frozen"/>
      <selection pane="topRight" activeCell="J1" sqref="J1"/>
      <selection pane="bottomLeft" activeCell="A3" sqref="A3"/>
      <selection pane="bottomRight" activeCell="J39" sqref="J39"/>
    </sheetView>
  </sheetViews>
  <sheetFormatPr defaultColWidth="9.140625" defaultRowHeight="12.75" x14ac:dyDescent="0.2"/>
  <cols>
    <col min="1" max="1" width="40.7109375" style="16" customWidth="1"/>
    <col min="2" max="4" width="19.85546875" style="16" hidden="1" customWidth="1"/>
    <col min="5" max="5" width="7.28515625" style="868" hidden="1" customWidth="1"/>
    <col min="6" max="6" width="13.28515625" style="16" hidden="1" customWidth="1"/>
    <col min="7" max="17" width="10" style="16" customWidth="1"/>
    <col min="18" max="18" width="7.28515625" style="1931" hidden="1" customWidth="1"/>
    <col min="19" max="19" width="8.42578125" style="1931" hidden="1" customWidth="1"/>
    <col min="20" max="20" width="6.85546875" style="1931" hidden="1" customWidth="1"/>
    <col min="21" max="21" width="10" style="1931" hidden="1" customWidth="1"/>
    <col min="22" max="22" width="7.28515625" style="16" customWidth="1"/>
    <col min="23" max="23" width="10" style="16" customWidth="1"/>
    <col min="24" max="24" width="6.85546875" style="16" customWidth="1"/>
    <col min="25" max="25" width="10" style="16" customWidth="1"/>
    <col min="26" max="26" width="7.28515625" style="16" customWidth="1"/>
    <col min="27" max="27" width="10" style="16" customWidth="1"/>
    <col min="28" max="28" width="6.85546875" style="16" customWidth="1"/>
    <col min="29" max="29" width="10" style="16" customWidth="1"/>
    <col min="30" max="30" width="9.140625" style="16" customWidth="1"/>
    <col min="31" max="31" width="10.28515625" style="16" customWidth="1"/>
    <col min="32" max="33" width="10.140625" style="16" customWidth="1"/>
    <col min="34" max="34" width="9.140625" style="16" customWidth="1"/>
    <col min="35" max="35" width="10.28515625" style="16" customWidth="1"/>
    <col min="36" max="36" width="6.85546875" style="16" customWidth="1"/>
    <col min="37" max="37" width="10" style="16" customWidth="1"/>
    <col min="38" max="38" width="7.28515625" style="16" customWidth="1"/>
    <col min="39" max="39" width="10" style="16" customWidth="1"/>
    <col min="40" max="40" width="6.85546875" style="16" customWidth="1"/>
    <col min="41" max="41" width="10" style="16" customWidth="1"/>
    <col min="42" max="42" width="7.28515625" style="16" customWidth="1"/>
    <col min="43" max="43" width="8.140625" style="16" customWidth="1"/>
    <col min="44" max="44" width="6.85546875" style="16" customWidth="1"/>
    <col min="45" max="45" width="10" style="16" customWidth="1"/>
    <col min="46" max="46" width="7.28515625" style="16" customWidth="1"/>
    <col min="47" max="47" width="9.140625" style="16" bestFit="1" customWidth="1"/>
    <col min="48" max="48" width="6.85546875" style="16" customWidth="1"/>
    <col min="49" max="49" width="10" style="16" customWidth="1"/>
    <col min="50" max="50" width="7.28515625" style="16" customWidth="1"/>
    <col min="51" max="51" width="8.140625" style="16" customWidth="1"/>
    <col min="52" max="52" width="6.85546875" style="16" customWidth="1"/>
    <col min="53" max="53" width="10" style="16" customWidth="1"/>
    <col min="54" max="54" width="7.28515625" style="16" customWidth="1"/>
    <col min="55" max="55" width="8.140625" style="16" customWidth="1"/>
    <col min="56" max="56" width="6.85546875" style="16" customWidth="1"/>
    <col min="57" max="57" width="10" style="16" customWidth="1"/>
    <col min="58" max="58" width="7.28515625" style="16" customWidth="1"/>
    <col min="59" max="59" width="8.140625" style="16" customWidth="1"/>
    <col min="60" max="60" width="6.85546875" style="16" customWidth="1"/>
    <col min="61" max="61" width="10" style="16" customWidth="1"/>
    <col min="62" max="62" width="7.28515625" style="16" customWidth="1"/>
    <col min="63" max="63" width="8.140625" style="16" customWidth="1"/>
    <col min="64" max="64" width="6.85546875" style="16" customWidth="1"/>
    <col min="65" max="66" width="10" style="16" customWidth="1"/>
    <col min="67" max="79" width="9.140625" style="84" customWidth="1"/>
    <col min="80" max="91" width="10" style="84" bestFit="1" customWidth="1"/>
    <col min="92" max="16384" width="9.140625" style="16"/>
  </cols>
  <sheetData>
    <row r="1" spans="1:91" s="2251" customFormat="1" ht="21" customHeight="1" thickTop="1" thickBot="1" x14ac:dyDescent="0.35">
      <c r="A1" s="2955" t="s">
        <v>4657</v>
      </c>
      <c r="B1" s="2956"/>
      <c r="C1" s="2956"/>
      <c r="D1" s="2956"/>
      <c r="E1" s="2956"/>
      <c r="F1" s="2956"/>
      <c r="G1" s="2956"/>
      <c r="H1" s="2956"/>
      <c r="I1" s="2956"/>
      <c r="J1" s="2956"/>
      <c r="K1" s="2956"/>
      <c r="L1" s="2956"/>
      <c r="M1" s="2956"/>
      <c r="N1" s="2956"/>
      <c r="O1" s="2956"/>
      <c r="P1" s="2956"/>
      <c r="Q1" s="2956"/>
      <c r="R1" s="2956"/>
      <c r="S1" s="2956"/>
      <c r="T1" s="2956"/>
      <c r="U1" s="2956"/>
      <c r="V1" s="2956"/>
      <c r="W1" s="2956"/>
      <c r="X1" s="2956"/>
      <c r="Y1" s="2956"/>
      <c r="Z1" s="2956"/>
      <c r="AA1" s="2956"/>
      <c r="AB1" s="2956"/>
      <c r="AC1" s="2956"/>
      <c r="AD1" s="2956"/>
      <c r="AE1" s="2956"/>
      <c r="AF1" s="2956"/>
      <c r="AG1" s="2956"/>
      <c r="AH1" s="2956"/>
      <c r="AI1" s="2956"/>
      <c r="AJ1" s="2956"/>
      <c r="AK1" s="2957"/>
      <c r="AL1" s="2958"/>
      <c r="AM1" s="2959"/>
      <c r="AN1" s="2959"/>
      <c r="AO1" s="2959"/>
      <c r="AP1" s="2959"/>
      <c r="AQ1" s="2959"/>
      <c r="AR1" s="2959"/>
      <c r="AS1" s="2959"/>
      <c r="AT1" s="2959"/>
      <c r="AU1" s="2959"/>
      <c r="AV1" s="2959"/>
      <c r="AW1" s="2959"/>
      <c r="AX1" s="2959"/>
      <c r="AY1" s="2959"/>
      <c r="AZ1" s="2959"/>
      <c r="BA1" s="2959"/>
      <c r="BB1" s="2959"/>
      <c r="BC1" s="2959"/>
      <c r="BD1" s="2959"/>
      <c r="BE1" s="2959"/>
      <c r="BF1" s="2959"/>
      <c r="BG1" s="2959"/>
      <c r="BH1" s="2959"/>
      <c r="BI1" s="2959"/>
      <c r="BJ1" s="2959"/>
      <c r="BK1" s="2959"/>
      <c r="BL1" s="2959"/>
      <c r="BM1" s="2971"/>
      <c r="BN1" s="1763"/>
      <c r="BO1" s="434"/>
      <c r="BP1" s="434"/>
      <c r="BQ1" s="434"/>
      <c r="BR1" s="434"/>
      <c r="BS1" s="434"/>
      <c r="BT1" s="434"/>
      <c r="BU1" s="434"/>
      <c r="BV1" s="434"/>
      <c r="BW1" s="434"/>
      <c r="BX1" s="434"/>
      <c r="BY1" s="434"/>
      <c r="BZ1" s="434"/>
      <c r="CA1" s="434"/>
      <c r="CB1" s="434"/>
      <c r="CC1" s="434"/>
      <c r="CD1" s="434"/>
      <c r="CE1" s="434"/>
      <c r="CF1" s="434"/>
      <c r="CG1" s="434"/>
      <c r="CH1" s="434"/>
      <c r="CI1" s="434"/>
      <c r="CJ1" s="434"/>
      <c r="CK1" s="434"/>
      <c r="CL1" s="434"/>
      <c r="CM1" s="434"/>
    </row>
    <row r="2" spans="1:91" s="354" customFormat="1" ht="20.25" customHeight="1" thickBot="1" x14ac:dyDescent="0.25">
      <c r="A2" s="731" t="s">
        <v>1209</v>
      </c>
      <c r="B2" s="2254" t="s">
        <v>3497</v>
      </c>
      <c r="C2" s="2254" t="s">
        <v>3497</v>
      </c>
      <c r="D2" s="2253"/>
      <c r="E2" s="864" t="s">
        <v>2204</v>
      </c>
      <c r="F2" s="2961" t="s">
        <v>7041</v>
      </c>
      <c r="G2" s="2964"/>
      <c r="H2" s="2964"/>
      <c r="I2" s="2964"/>
      <c r="J2" s="2964"/>
      <c r="K2" s="2964"/>
      <c r="L2" s="2964"/>
      <c r="M2" s="2964"/>
      <c r="N2" s="2964"/>
      <c r="O2" s="2964"/>
      <c r="P2" s="2964"/>
      <c r="Q2" s="2981"/>
      <c r="R2" s="2978" t="s">
        <v>1992</v>
      </c>
      <c r="S2" s="2976"/>
      <c r="T2" s="2976"/>
      <c r="U2" s="2977"/>
      <c r="V2" s="2964" t="s">
        <v>2947</v>
      </c>
      <c r="W2" s="2962"/>
      <c r="X2" s="2962"/>
      <c r="Y2" s="2963"/>
      <c r="Z2" s="2964" t="s">
        <v>3527</v>
      </c>
      <c r="AA2" s="2962"/>
      <c r="AB2" s="2962"/>
      <c r="AC2" s="2963"/>
      <c r="AD2" s="2964" t="s">
        <v>1501</v>
      </c>
      <c r="AE2" s="2962"/>
      <c r="AF2" s="2962"/>
      <c r="AG2" s="2965"/>
      <c r="AH2" s="2964" t="s">
        <v>1373</v>
      </c>
      <c r="AI2" s="2962"/>
      <c r="AJ2" s="2962"/>
      <c r="AK2" s="2965"/>
      <c r="AL2" s="2964" t="s">
        <v>872</v>
      </c>
      <c r="AM2" s="2962"/>
      <c r="AN2" s="2962"/>
      <c r="AO2" s="2963"/>
      <c r="AP2" s="2964" t="s">
        <v>2775</v>
      </c>
      <c r="AQ2" s="2962"/>
      <c r="AR2" s="2962"/>
      <c r="AS2" s="2963"/>
      <c r="AT2" s="2964" t="s">
        <v>2948</v>
      </c>
      <c r="AU2" s="2962"/>
      <c r="AV2" s="2962"/>
      <c r="AW2" s="2963"/>
      <c r="AX2" s="2961" t="s">
        <v>3528</v>
      </c>
      <c r="AY2" s="2962"/>
      <c r="AZ2" s="2962"/>
      <c r="BA2" s="2963"/>
      <c r="BB2" s="2961" t="s">
        <v>4656</v>
      </c>
      <c r="BC2" s="2962"/>
      <c r="BD2" s="2962"/>
      <c r="BE2" s="2965"/>
      <c r="BF2" s="2961" t="s">
        <v>6060</v>
      </c>
      <c r="BG2" s="2962"/>
      <c r="BH2" s="2962"/>
      <c r="BI2" s="2965"/>
      <c r="BJ2" s="2961" t="s">
        <v>7042</v>
      </c>
      <c r="BK2" s="2962"/>
      <c r="BL2" s="2962"/>
      <c r="BM2" s="2965"/>
      <c r="BN2" s="1764"/>
      <c r="BO2" s="2969" t="s">
        <v>3464</v>
      </c>
      <c r="BP2" s="2969"/>
      <c r="BQ2" s="2969"/>
      <c r="BR2" s="2969"/>
      <c r="BS2" s="2969"/>
      <c r="BT2" s="2969"/>
      <c r="BU2" s="2969"/>
      <c r="BV2" s="2969"/>
      <c r="BW2" s="2969"/>
      <c r="BX2" s="2969"/>
      <c r="BY2" s="2969"/>
      <c r="BZ2" s="2969"/>
      <c r="CA2" s="84"/>
      <c r="CB2" s="2969"/>
      <c r="CC2" s="2969"/>
      <c r="CD2" s="2969"/>
      <c r="CE2" s="2969"/>
      <c r="CF2" s="2969"/>
      <c r="CG2" s="2969"/>
      <c r="CH2" s="2969"/>
      <c r="CI2" s="2969"/>
      <c r="CJ2" s="2969"/>
    </row>
    <row r="3" spans="1:91" s="354" customFormat="1" ht="13.5" thickBot="1" x14ac:dyDescent="0.25">
      <c r="A3" s="1155"/>
      <c r="B3" s="2256" t="s">
        <v>5074</v>
      </c>
      <c r="C3" s="2256" t="s">
        <v>5075</v>
      </c>
      <c r="D3" s="2658" t="s">
        <v>4109</v>
      </c>
      <c r="E3" s="1875" t="s">
        <v>501</v>
      </c>
      <c r="F3" s="348" t="str">
        <f>'Cap-Water'!E3</f>
        <v>2015/16</v>
      </c>
      <c r="G3" s="358" t="str">
        <f>'Cap-Water'!F3</f>
        <v>2016/17</v>
      </c>
      <c r="H3" s="290" t="str">
        <f>'Cap-Water'!G3</f>
        <v>2017/18</v>
      </c>
      <c r="I3" s="358" t="str">
        <f>'Cap-Water'!H3</f>
        <v>2018/19</v>
      </c>
      <c r="J3" s="358" t="str">
        <f>'Cap-Water'!I3</f>
        <v>2019/20</v>
      </c>
      <c r="K3" s="290" t="str">
        <f>'Cap-Water'!J3</f>
        <v>2020/21</v>
      </c>
      <c r="L3" s="290" t="str">
        <f>'Cap-Water'!K3</f>
        <v>2021/22</v>
      </c>
      <c r="M3" s="290" t="str">
        <f>'Cap-Water'!L3</f>
        <v>2022/23</v>
      </c>
      <c r="N3" s="290" t="str">
        <f>'Cap-Water'!M3</f>
        <v>2023/24</v>
      </c>
      <c r="O3" s="290" t="str">
        <f>'Cap-Water'!N3</f>
        <v>2024/25</v>
      </c>
      <c r="P3" s="290" t="str">
        <f>'Cap-Water'!O3</f>
        <v>2025/26</v>
      </c>
      <c r="Q3" s="2724" t="str">
        <f>'Cap-Water'!P3</f>
        <v>2026/27</v>
      </c>
      <c r="R3" s="2294" t="str">
        <f>'Cap-Water'!Q3</f>
        <v>Grants</v>
      </c>
      <c r="S3" s="2287" t="str">
        <f>'Cap-Water'!R3</f>
        <v>Sect 64</v>
      </c>
      <c r="T3" s="2287" t="str">
        <f>'Cap-Water'!S3</f>
        <v>Loans</v>
      </c>
      <c r="U3" s="2295" t="str">
        <f>'Cap-Water'!T3</f>
        <v>Reserves</v>
      </c>
      <c r="V3" s="2761" t="str">
        <f>'Cap-Water'!U3</f>
        <v>Grants</v>
      </c>
      <c r="W3" s="290" t="str">
        <f>'Cap-Water'!V3</f>
        <v>Sect 64</v>
      </c>
      <c r="X3" s="290" t="str">
        <f>'Cap-Water'!W3</f>
        <v>Loans</v>
      </c>
      <c r="Y3" s="2762" t="str">
        <f>'Cap-Water'!X3</f>
        <v>Reserves</v>
      </c>
      <c r="Z3" s="2651" t="str">
        <f>'Cap-Water'!Y3</f>
        <v>Grants</v>
      </c>
      <c r="AA3" s="290" t="str">
        <f>'Cap-Water'!Z3</f>
        <v>Sect 64</v>
      </c>
      <c r="AB3" s="290" t="str">
        <f>'Cap-Water'!AA3</f>
        <v>Loans</v>
      </c>
      <c r="AC3" s="2652" t="str">
        <f>'Cap-Water'!AB3</f>
        <v>Reserves</v>
      </c>
      <c r="AD3" s="2651" t="str">
        <f>'Cap-Water'!AC3</f>
        <v>Grants</v>
      </c>
      <c r="AE3" s="290" t="str">
        <f>'Cap-Water'!AD3</f>
        <v>Sect 64</v>
      </c>
      <c r="AF3" s="290" t="str">
        <f>'Cap-Water'!AE3</f>
        <v>Loans</v>
      </c>
      <c r="AG3" s="1921" t="str">
        <f>'Cap-Water'!AF3</f>
        <v>Reserves</v>
      </c>
      <c r="AH3" s="2651" t="str">
        <f>'Cap-Water'!AG3</f>
        <v>Grants</v>
      </c>
      <c r="AI3" s="290" t="str">
        <f>'Cap-Water'!AH3</f>
        <v>Sect 64</v>
      </c>
      <c r="AJ3" s="290" t="str">
        <f>'Cap-Water'!AI3</f>
        <v>Loans</v>
      </c>
      <c r="AK3" s="291" t="str">
        <f>'Cap-Water'!AJ3</f>
        <v>Reserves</v>
      </c>
      <c r="AL3" s="2651" t="str">
        <f>'Cap-Water'!AK3</f>
        <v>Grants</v>
      </c>
      <c r="AM3" s="290" t="str">
        <f>'Cap-Water'!AL3</f>
        <v>Sect 64</v>
      </c>
      <c r="AN3" s="290" t="str">
        <f>'Cap-Water'!AM3</f>
        <v>Loans</v>
      </c>
      <c r="AO3" s="2652" t="str">
        <f>'Cap-Water'!AN3</f>
        <v>Reserves</v>
      </c>
      <c r="AP3" s="2651" t="str">
        <f>'Cap-Water'!AO3</f>
        <v>Grants</v>
      </c>
      <c r="AQ3" s="290" t="str">
        <f>'Cap-Water'!AP3</f>
        <v>Sect 64</v>
      </c>
      <c r="AR3" s="290" t="str">
        <f>'Cap-Water'!AQ3</f>
        <v>Loans</v>
      </c>
      <c r="AS3" s="2652" t="str">
        <f>'Cap-Water'!AR3</f>
        <v>Reserves</v>
      </c>
      <c r="AT3" s="2651" t="str">
        <f>'Cap-Water'!AS3</f>
        <v>Grants</v>
      </c>
      <c r="AU3" s="290" t="str">
        <f>'Cap-Water'!AT3</f>
        <v>Sect 64</v>
      </c>
      <c r="AV3" s="290" t="str">
        <f>'Cap-Water'!AU3</f>
        <v>Loans</v>
      </c>
      <c r="AW3" s="2652" t="str">
        <f>'Cap-Water'!AV3</f>
        <v>Reserves</v>
      </c>
      <c r="AX3" s="2651" t="str">
        <f>'Cap-Water'!AW3</f>
        <v>Grants</v>
      </c>
      <c r="AY3" s="290" t="str">
        <f>'Cap-Water'!AX3</f>
        <v>Sect 64</v>
      </c>
      <c r="AZ3" s="290" t="str">
        <f>'Cap-Water'!AY3</f>
        <v>Loans</v>
      </c>
      <c r="BA3" s="2652" t="str">
        <f>'Cap-Water'!AZ3</f>
        <v>Reserves</v>
      </c>
      <c r="BB3" s="2651" t="str">
        <f>'Cap-Water'!BA3</f>
        <v>Grants</v>
      </c>
      <c r="BC3" s="290" t="str">
        <f>'Cap-Water'!BB3</f>
        <v>Sect 64</v>
      </c>
      <c r="BD3" s="290" t="str">
        <f>'Cap-Water'!BC3</f>
        <v>Loans</v>
      </c>
      <c r="BE3" s="291" t="str">
        <f>'Cap-Water'!BD3</f>
        <v>Reserves</v>
      </c>
      <c r="BF3" s="2651" t="str">
        <f>'Cap-Water'!BE3</f>
        <v>Grants</v>
      </c>
      <c r="BG3" s="290" t="str">
        <f>'Cap-Water'!BF3</f>
        <v>Sect 64</v>
      </c>
      <c r="BH3" s="290" t="str">
        <f>'Cap-Water'!BG3</f>
        <v>Loans</v>
      </c>
      <c r="BI3" s="291" t="str">
        <f>'Cap-Water'!BH3</f>
        <v>Reserves</v>
      </c>
      <c r="BJ3" s="2651" t="str">
        <f>'Cap-Water'!BI3</f>
        <v>Grants</v>
      </c>
      <c r="BK3" s="290" t="str">
        <f>'Cap-Water'!BJ3</f>
        <v>Sect 64</v>
      </c>
      <c r="BL3" s="290" t="str">
        <f>'Cap-Water'!BK3</f>
        <v>Loans</v>
      </c>
      <c r="BM3" s="291" t="str">
        <f>'Cap-Water'!BL3</f>
        <v>Reserves</v>
      </c>
      <c r="BN3" s="288"/>
      <c r="BO3" s="2248" t="str">
        <f t="shared" ref="BO3:BZ3" si="0">F3</f>
        <v>2015/16</v>
      </c>
      <c r="BP3" s="2248" t="str">
        <f t="shared" si="0"/>
        <v>2016/17</v>
      </c>
      <c r="BQ3" s="2248" t="str">
        <f t="shared" si="0"/>
        <v>2017/18</v>
      </c>
      <c r="BR3" s="2248" t="str">
        <f t="shared" si="0"/>
        <v>2018/19</v>
      </c>
      <c r="BS3" s="2248" t="str">
        <f t="shared" si="0"/>
        <v>2019/20</v>
      </c>
      <c r="BT3" s="2248" t="str">
        <f t="shared" si="0"/>
        <v>2020/21</v>
      </c>
      <c r="BU3" s="2248" t="str">
        <f t="shared" si="0"/>
        <v>2021/22</v>
      </c>
      <c r="BV3" s="2248" t="str">
        <f t="shared" si="0"/>
        <v>2022/23</v>
      </c>
      <c r="BW3" s="2248" t="str">
        <f t="shared" si="0"/>
        <v>2023/24</v>
      </c>
      <c r="BX3" s="2248" t="str">
        <f t="shared" si="0"/>
        <v>2024/25</v>
      </c>
      <c r="BY3" s="2248" t="str">
        <f t="shared" si="0"/>
        <v>2025/26</v>
      </c>
      <c r="BZ3" s="2653" t="str">
        <f t="shared" si="0"/>
        <v>2026/27</v>
      </c>
      <c r="CA3" s="2248"/>
      <c r="CB3" s="2248" t="str">
        <f t="shared" ref="CB3:CM3" si="1">BO3</f>
        <v>2015/16</v>
      </c>
      <c r="CC3" s="2248" t="str">
        <f t="shared" si="1"/>
        <v>2016/17</v>
      </c>
      <c r="CD3" s="2248" t="str">
        <f t="shared" si="1"/>
        <v>2017/18</v>
      </c>
      <c r="CE3" s="2248" t="str">
        <f t="shared" si="1"/>
        <v>2018/19</v>
      </c>
      <c r="CF3" s="2248" t="str">
        <f t="shared" si="1"/>
        <v>2019/20</v>
      </c>
      <c r="CG3" s="2248" t="str">
        <f t="shared" si="1"/>
        <v>2020/21</v>
      </c>
      <c r="CH3" s="2248" t="str">
        <f t="shared" si="1"/>
        <v>2021/22</v>
      </c>
      <c r="CI3" s="2248" t="str">
        <f t="shared" si="1"/>
        <v>2022/23</v>
      </c>
      <c r="CJ3" s="2248" t="str">
        <f t="shared" si="1"/>
        <v>2023/24</v>
      </c>
      <c r="CK3" s="2248" t="str">
        <f t="shared" si="1"/>
        <v>2024/25</v>
      </c>
      <c r="CL3" s="2248" t="str">
        <f t="shared" si="1"/>
        <v>2025/26</v>
      </c>
      <c r="CM3" s="2653" t="str">
        <f t="shared" si="1"/>
        <v>2026/27</v>
      </c>
    </row>
    <row r="4" spans="1:91" s="355" customFormat="1" ht="14.25" customHeight="1" x14ac:dyDescent="0.2">
      <c r="A4" s="966"/>
      <c r="B4" s="1480"/>
      <c r="C4" s="1480"/>
      <c r="D4" s="1480"/>
      <c r="E4" s="865"/>
      <c r="F4" s="861"/>
      <c r="G4" s="960"/>
      <c r="H4" s="862"/>
      <c r="I4" s="960"/>
      <c r="J4" s="862"/>
      <c r="K4" s="862"/>
      <c r="L4" s="960"/>
      <c r="M4" s="961"/>
      <c r="N4" s="862"/>
      <c r="O4" s="862"/>
      <c r="P4" s="862"/>
      <c r="Q4" s="962"/>
      <c r="R4" s="2296"/>
      <c r="S4" s="2297"/>
      <c r="T4" s="2297"/>
      <c r="U4" s="2298"/>
      <c r="V4" s="621"/>
      <c r="W4" s="617"/>
      <c r="X4" s="617"/>
      <c r="Y4" s="620"/>
      <c r="Z4" s="621"/>
      <c r="AA4" s="617"/>
      <c r="AB4" s="617"/>
      <c r="AC4" s="620"/>
      <c r="AD4" s="621"/>
      <c r="AE4" s="617"/>
      <c r="AF4" s="617"/>
      <c r="AG4" s="1922"/>
      <c r="AH4" s="621"/>
      <c r="AI4" s="617"/>
      <c r="AJ4" s="617"/>
      <c r="AK4" s="1927"/>
      <c r="AL4" s="621"/>
      <c r="AM4" s="617"/>
      <c r="AN4" s="617"/>
      <c r="AO4" s="967"/>
      <c r="AP4" s="621"/>
      <c r="AQ4" s="617"/>
      <c r="AR4" s="617"/>
      <c r="AS4" s="967"/>
      <c r="AT4" s="621"/>
      <c r="AU4" s="617"/>
      <c r="AV4" s="617"/>
      <c r="AW4" s="620"/>
      <c r="AX4" s="621"/>
      <c r="AY4" s="617"/>
      <c r="AZ4" s="617"/>
      <c r="BA4" s="620"/>
      <c r="BB4" s="621"/>
      <c r="BC4" s="617"/>
      <c r="BD4" s="617"/>
      <c r="BE4" s="1927"/>
      <c r="BF4" s="621"/>
      <c r="BG4" s="617"/>
      <c r="BH4" s="617"/>
      <c r="BI4" s="1927"/>
      <c r="BJ4" s="621"/>
      <c r="BK4" s="617"/>
      <c r="BL4" s="617"/>
      <c r="BM4" s="1927"/>
      <c r="BN4" s="621"/>
      <c r="BO4" s="1263"/>
      <c r="BP4" s="1263"/>
      <c r="BQ4" s="1263"/>
      <c r="BR4" s="1263"/>
      <c r="BS4" s="1263"/>
      <c r="BT4" s="1263"/>
      <c r="BU4" s="1263"/>
      <c r="BV4" s="1263"/>
      <c r="BW4" s="1263"/>
      <c r="BX4" s="1263"/>
      <c r="BY4" s="1263"/>
      <c r="BZ4" s="1263"/>
      <c r="CA4" s="1263"/>
      <c r="CB4" s="99"/>
      <c r="CC4" s="99"/>
      <c r="CD4" s="99"/>
      <c r="CE4" s="99"/>
      <c r="CF4" s="99"/>
      <c r="CG4" s="99"/>
      <c r="CH4" s="99"/>
      <c r="CI4" s="99"/>
      <c r="CJ4" s="99"/>
      <c r="CK4" s="99"/>
      <c r="CL4" s="99"/>
      <c r="CM4" s="99"/>
    </row>
    <row r="5" spans="1:91" s="355" customFormat="1" ht="14.25" customHeight="1" x14ac:dyDescent="0.2">
      <c r="A5" s="733" t="s">
        <v>2245</v>
      </c>
      <c r="B5" s="1480"/>
      <c r="C5" s="1480"/>
      <c r="D5" s="1480"/>
      <c r="E5" s="865"/>
      <c r="F5" s="861"/>
      <c r="G5" s="862"/>
      <c r="H5" s="862"/>
      <c r="I5" s="960"/>
      <c r="J5" s="862"/>
      <c r="K5" s="862"/>
      <c r="L5" s="862"/>
      <c r="M5" s="862"/>
      <c r="N5" s="960"/>
      <c r="O5" s="862"/>
      <c r="P5" s="862"/>
      <c r="Q5" s="962"/>
      <c r="R5" s="2296"/>
      <c r="S5" s="2297"/>
      <c r="T5" s="2297"/>
      <c r="U5" s="2298"/>
      <c r="V5" s="621"/>
      <c r="W5" s="617"/>
      <c r="X5" s="617"/>
      <c r="Y5" s="620"/>
      <c r="Z5" s="621"/>
      <c r="AA5" s="617"/>
      <c r="AB5" s="617"/>
      <c r="AC5" s="620"/>
      <c r="AD5" s="621"/>
      <c r="AE5" s="617"/>
      <c r="AF5" s="617"/>
      <c r="AG5" s="1923"/>
      <c r="AH5" s="621"/>
      <c r="AI5" s="617"/>
      <c r="AJ5" s="617"/>
      <c r="AK5" s="1927"/>
      <c r="AL5" s="621"/>
      <c r="AM5" s="617"/>
      <c r="AN5" s="617"/>
      <c r="AO5" s="618"/>
      <c r="AP5" s="621"/>
      <c r="AQ5" s="617"/>
      <c r="AR5" s="617"/>
      <c r="AS5" s="618"/>
      <c r="AT5" s="621"/>
      <c r="AU5" s="617"/>
      <c r="AV5" s="617"/>
      <c r="AW5" s="620"/>
      <c r="AX5" s="621"/>
      <c r="AY5" s="617"/>
      <c r="AZ5" s="617"/>
      <c r="BA5" s="620"/>
      <c r="BB5" s="621"/>
      <c r="BC5" s="617"/>
      <c r="BD5" s="617"/>
      <c r="BE5" s="1927"/>
      <c r="BF5" s="621"/>
      <c r="BG5" s="617"/>
      <c r="BH5" s="617"/>
      <c r="BI5" s="1927"/>
      <c r="BJ5" s="621"/>
      <c r="BK5" s="617"/>
      <c r="BL5" s="617"/>
      <c r="BM5" s="1927"/>
      <c r="BN5" s="621"/>
      <c r="BO5" s="1263"/>
      <c r="BP5" s="1263"/>
      <c r="BQ5" s="1263"/>
      <c r="BR5" s="1263"/>
      <c r="BS5" s="1263"/>
      <c r="BT5" s="1263"/>
      <c r="BU5" s="1263"/>
      <c r="BV5" s="1263"/>
      <c r="BW5" s="1263"/>
      <c r="BX5" s="1263"/>
      <c r="BY5" s="1263"/>
      <c r="BZ5" s="1263"/>
      <c r="CA5" s="1263"/>
      <c r="CB5" s="99"/>
      <c r="CC5" s="99"/>
      <c r="CD5" s="99"/>
      <c r="CE5" s="99"/>
      <c r="CF5" s="99"/>
      <c r="CG5" s="99"/>
      <c r="CH5" s="99"/>
      <c r="CI5" s="99"/>
      <c r="CJ5" s="99"/>
      <c r="CK5" s="99"/>
      <c r="CL5" s="99"/>
      <c r="CM5" s="99"/>
    </row>
    <row r="6" spans="1:91" s="355" customFormat="1" ht="14.25" customHeight="1" x14ac:dyDescent="0.2">
      <c r="A6" s="965" t="s">
        <v>4164</v>
      </c>
      <c r="B6" s="1481" t="s">
        <v>5085</v>
      </c>
      <c r="C6" s="1481" t="s">
        <v>5086</v>
      </c>
      <c r="D6" s="1481" t="s">
        <v>5086</v>
      </c>
      <c r="E6" s="865"/>
      <c r="F6" s="861">
        <f>4600+496000</f>
        <v>500600</v>
      </c>
      <c r="G6" s="862">
        <f>200000+80000-80000</f>
        <v>200000</v>
      </c>
      <c r="H6" s="862"/>
      <c r="I6" s="960"/>
      <c r="J6" s="862"/>
      <c r="K6" s="862"/>
      <c r="L6" s="862"/>
      <c r="M6" s="862"/>
      <c r="N6" s="960"/>
      <c r="O6" s="862"/>
      <c r="P6" s="862"/>
      <c r="Q6" s="962"/>
      <c r="R6" s="2296"/>
      <c r="S6" s="2297"/>
      <c r="T6" s="2297"/>
      <c r="U6" s="2298">
        <f t="shared" ref="U6:U14" si="2">$F6-R6-S6-T6</f>
        <v>500600</v>
      </c>
      <c r="V6" s="621"/>
      <c r="W6" s="617"/>
      <c r="X6" s="617"/>
      <c r="Y6" s="620">
        <f t="shared" ref="Y6:Y18" si="3">$G6-V6-W6-X6</f>
        <v>200000</v>
      </c>
      <c r="Z6" s="621"/>
      <c r="AA6" s="617"/>
      <c r="AB6" s="617"/>
      <c r="AC6" s="620">
        <f t="shared" ref="AC6:AC18" si="4">$H6-Z6-AA6-AB6</f>
        <v>0</v>
      </c>
      <c r="AD6" s="621"/>
      <c r="AE6" s="617"/>
      <c r="AF6" s="617"/>
      <c r="AG6" s="1923">
        <f t="shared" ref="AG6:AG18" si="5">$I6-AD6-AE6-AF6</f>
        <v>0</v>
      </c>
      <c r="AH6" s="621"/>
      <c r="AI6" s="617"/>
      <c r="AJ6" s="617"/>
      <c r="AK6" s="1927">
        <f t="shared" ref="AK6:AK18" si="6">$J6-AH6-AI6-AJ6</f>
        <v>0</v>
      </c>
      <c r="AL6" s="621"/>
      <c r="AM6" s="617"/>
      <c r="AN6" s="617"/>
      <c r="AO6" s="618">
        <f t="shared" ref="AO6:AO18" si="7">$K6-AL6-AM6-AN6</f>
        <v>0</v>
      </c>
      <c r="AP6" s="621"/>
      <c r="AQ6" s="617"/>
      <c r="AR6" s="617"/>
      <c r="AS6" s="618">
        <f t="shared" ref="AS6:AS13" si="8">$L6-AP6-AQ6-AR6</f>
        <v>0</v>
      </c>
      <c r="AT6" s="621"/>
      <c r="AU6" s="617"/>
      <c r="AV6" s="617"/>
      <c r="AW6" s="620">
        <f t="shared" ref="AW6:AW13" si="9">$M6-AT6-AU6-AV6</f>
        <v>0</v>
      </c>
      <c r="AX6" s="621"/>
      <c r="AY6" s="617"/>
      <c r="AZ6" s="617"/>
      <c r="BA6" s="620">
        <f t="shared" ref="BA6:BA13" si="10">$N6-AX6-AY6-AZ6</f>
        <v>0</v>
      </c>
      <c r="BB6" s="621"/>
      <c r="BC6" s="617"/>
      <c r="BD6" s="617"/>
      <c r="BE6" s="1927">
        <f t="shared" ref="BE6:BE18" si="11">$O6-BB6-BC6-BD6</f>
        <v>0</v>
      </c>
      <c r="BF6" s="621"/>
      <c r="BG6" s="617"/>
      <c r="BH6" s="617"/>
      <c r="BI6" s="1927">
        <f t="shared" ref="BI6:BI18" si="12">$P6-BF6-BG6-BH6</f>
        <v>0</v>
      </c>
      <c r="BJ6" s="621"/>
      <c r="BK6" s="617"/>
      <c r="BL6" s="617"/>
      <c r="BM6" s="1927">
        <f>$Q6-BJ6-BK6-BL6</f>
        <v>0</v>
      </c>
      <c r="BN6" s="621"/>
      <c r="BO6" s="1263">
        <v>1</v>
      </c>
      <c r="BP6" s="1263">
        <f t="shared" ref="BP6:BZ6" si="13">BO6</f>
        <v>1</v>
      </c>
      <c r="BQ6" s="1263">
        <f t="shared" si="13"/>
        <v>1</v>
      </c>
      <c r="BR6" s="1263">
        <f t="shared" si="13"/>
        <v>1</v>
      </c>
      <c r="BS6" s="1263">
        <f t="shared" si="13"/>
        <v>1</v>
      </c>
      <c r="BT6" s="1263">
        <f t="shared" si="13"/>
        <v>1</v>
      </c>
      <c r="BU6" s="1263">
        <f t="shared" si="13"/>
        <v>1</v>
      </c>
      <c r="BV6" s="1263">
        <f t="shared" si="13"/>
        <v>1</v>
      </c>
      <c r="BW6" s="1263">
        <f t="shared" si="13"/>
        <v>1</v>
      </c>
      <c r="BX6" s="1263">
        <f t="shared" si="13"/>
        <v>1</v>
      </c>
      <c r="BY6" s="1263">
        <f t="shared" si="13"/>
        <v>1</v>
      </c>
      <c r="BZ6" s="1263">
        <f t="shared" si="13"/>
        <v>1</v>
      </c>
      <c r="CA6" s="1263"/>
      <c r="CB6" s="99">
        <f t="shared" ref="CB6:CB18" si="14">ROUND(BO6*F6,-3)</f>
        <v>501000</v>
      </c>
      <c r="CC6" s="99">
        <f t="shared" ref="CC6:CC18" si="15">ROUND(BP6*G6,-3)</f>
        <v>200000</v>
      </c>
      <c r="CD6" s="99">
        <f t="shared" ref="CD6:CD18" si="16">ROUND(BQ6*H6,-3)</f>
        <v>0</v>
      </c>
      <c r="CE6" s="99">
        <f t="shared" ref="CE6:CE18" si="17">ROUND(BR6*I6,-3)</f>
        <v>0</v>
      </c>
      <c r="CF6" s="99">
        <f t="shared" ref="CF6:CF18" si="18">ROUND(BS6*J6,-3)</f>
        <v>0</v>
      </c>
      <c r="CG6" s="99">
        <f t="shared" ref="CG6:CG18" si="19">ROUND(BT6*K6,-3)</f>
        <v>0</v>
      </c>
      <c r="CH6" s="99">
        <f t="shared" ref="CH6:CH18" si="20">ROUND(BU6*L6,-3)</f>
        <v>0</v>
      </c>
      <c r="CI6" s="99">
        <f t="shared" ref="CI6:CI18" si="21">ROUND(BV6*M6,-3)</f>
        <v>0</v>
      </c>
      <c r="CJ6" s="99">
        <f t="shared" ref="CJ6:CJ18" si="22">ROUND(BW6*N6,-3)</f>
        <v>0</v>
      </c>
      <c r="CK6" s="99">
        <f t="shared" ref="CK6:CK18" si="23">ROUND(BX6*O6,-3)</f>
        <v>0</v>
      </c>
      <c r="CL6" s="99">
        <f t="shared" ref="CL6:CL18" si="24">ROUND(BY6*P6,-3)</f>
        <v>0</v>
      </c>
      <c r="CM6" s="99">
        <f t="shared" ref="CM6:CM18" si="25">ROUND(BZ6*Q6,-3)</f>
        <v>0</v>
      </c>
    </row>
    <row r="7" spans="1:91" s="355" customFormat="1" ht="14.25" customHeight="1" x14ac:dyDescent="0.2">
      <c r="A7" s="965" t="s">
        <v>6537</v>
      </c>
      <c r="B7" s="1481" t="s">
        <v>5087</v>
      </c>
      <c r="C7" s="1481" t="s">
        <v>6155</v>
      </c>
      <c r="D7" s="1481" t="s">
        <v>6155</v>
      </c>
      <c r="E7" s="865">
        <v>0.5</v>
      </c>
      <c r="F7" s="861">
        <v>102000</v>
      </c>
      <c r="G7" s="960">
        <v>50000</v>
      </c>
      <c r="H7" s="862">
        <v>150000</v>
      </c>
      <c r="I7" s="960">
        <v>200000</v>
      </c>
      <c r="J7" s="960">
        <v>200000</v>
      </c>
      <c r="K7" s="960"/>
      <c r="L7" s="960"/>
      <c r="M7" s="862"/>
      <c r="N7" s="960"/>
      <c r="O7" s="862"/>
      <c r="P7" s="862"/>
      <c r="Q7" s="962"/>
      <c r="R7" s="2296"/>
      <c r="S7" s="2297">
        <f>F7*0.5</f>
        <v>51000</v>
      </c>
      <c r="T7" s="2297"/>
      <c r="U7" s="2298">
        <f t="shared" si="2"/>
        <v>51000</v>
      </c>
      <c r="V7" s="621"/>
      <c r="W7" s="617"/>
      <c r="X7" s="617"/>
      <c r="Y7" s="620">
        <f t="shared" si="3"/>
        <v>50000</v>
      </c>
      <c r="Z7" s="621"/>
      <c r="AA7" s="617"/>
      <c r="AB7" s="617"/>
      <c r="AC7" s="620">
        <f t="shared" si="4"/>
        <v>150000</v>
      </c>
      <c r="AD7" s="621"/>
      <c r="AE7" s="617"/>
      <c r="AF7" s="617"/>
      <c r="AG7" s="1923">
        <f t="shared" si="5"/>
        <v>200000</v>
      </c>
      <c r="AH7" s="621"/>
      <c r="AI7" s="617"/>
      <c r="AJ7" s="617"/>
      <c r="AK7" s="1927">
        <f t="shared" si="6"/>
        <v>200000</v>
      </c>
      <c r="AL7" s="621"/>
      <c r="AM7" s="617"/>
      <c r="AN7" s="617"/>
      <c r="AO7" s="618">
        <f t="shared" si="7"/>
        <v>0</v>
      </c>
      <c r="AP7" s="621"/>
      <c r="AQ7" s="617"/>
      <c r="AR7" s="617"/>
      <c r="AS7" s="618">
        <f t="shared" si="8"/>
        <v>0</v>
      </c>
      <c r="AT7" s="621"/>
      <c r="AU7" s="617"/>
      <c r="AV7" s="617"/>
      <c r="AW7" s="620">
        <f t="shared" si="9"/>
        <v>0</v>
      </c>
      <c r="AX7" s="621"/>
      <c r="AY7" s="617"/>
      <c r="AZ7" s="617"/>
      <c r="BA7" s="620">
        <f t="shared" si="10"/>
        <v>0</v>
      </c>
      <c r="BB7" s="621"/>
      <c r="BC7" s="617"/>
      <c r="BD7" s="617"/>
      <c r="BE7" s="1927">
        <f t="shared" si="11"/>
        <v>0</v>
      </c>
      <c r="BF7" s="621"/>
      <c r="BG7" s="617"/>
      <c r="BH7" s="617"/>
      <c r="BI7" s="1927">
        <f t="shared" si="12"/>
        <v>0</v>
      </c>
      <c r="BJ7" s="621"/>
      <c r="BK7" s="617"/>
      <c r="BL7" s="617"/>
      <c r="BM7" s="1927">
        <f t="shared" ref="BM7:BM18" si="26">$Q7-BJ7-BK7-BL7</f>
        <v>0</v>
      </c>
      <c r="BN7" s="621"/>
      <c r="BO7" s="1263">
        <v>1</v>
      </c>
      <c r="BP7" s="1263">
        <f t="shared" ref="BP7:BZ7" si="27">BO7</f>
        <v>1</v>
      </c>
      <c r="BQ7" s="1263">
        <f t="shared" si="27"/>
        <v>1</v>
      </c>
      <c r="BR7" s="1263">
        <f t="shared" si="27"/>
        <v>1</v>
      </c>
      <c r="BS7" s="1263">
        <f t="shared" si="27"/>
        <v>1</v>
      </c>
      <c r="BT7" s="1263">
        <f t="shared" si="27"/>
        <v>1</v>
      </c>
      <c r="BU7" s="1263">
        <f t="shared" si="27"/>
        <v>1</v>
      </c>
      <c r="BV7" s="1263">
        <f t="shared" si="27"/>
        <v>1</v>
      </c>
      <c r="BW7" s="1263">
        <f t="shared" si="27"/>
        <v>1</v>
      </c>
      <c r="BX7" s="1263">
        <f t="shared" si="27"/>
        <v>1</v>
      </c>
      <c r="BY7" s="1263">
        <f t="shared" si="27"/>
        <v>1</v>
      </c>
      <c r="BZ7" s="1263">
        <f t="shared" si="27"/>
        <v>1</v>
      </c>
      <c r="CA7" s="1263"/>
      <c r="CB7" s="99">
        <f t="shared" si="14"/>
        <v>102000</v>
      </c>
      <c r="CC7" s="99">
        <f t="shared" si="15"/>
        <v>50000</v>
      </c>
      <c r="CD7" s="99">
        <f t="shared" si="16"/>
        <v>150000</v>
      </c>
      <c r="CE7" s="99">
        <f t="shared" si="17"/>
        <v>200000</v>
      </c>
      <c r="CF7" s="99">
        <f t="shared" si="18"/>
        <v>200000</v>
      </c>
      <c r="CG7" s="99">
        <f t="shared" si="19"/>
        <v>0</v>
      </c>
      <c r="CH7" s="99">
        <f t="shared" si="20"/>
        <v>0</v>
      </c>
      <c r="CI7" s="99">
        <f t="shared" si="21"/>
        <v>0</v>
      </c>
      <c r="CJ7" s="99">
        <f t="shared" si="22"/>
        <v>0</v>
      </c>
      <c r="CK7" s="99">
        <f t="shared" si="23"/>
        <v>0</v>
      </c>
      <c r="CL7" s="99">
        <f t="shared" si="24"/>
        <v>0</v>
      </c>
      <c r="CM7" s="99">
        <f t="shared" si="25"/>
        <v>0</v>
      </c>
    </row>
    <row r="8" spans="1:91" s="355" customFormat="1" ht="14.25" customHeight="1" x14ac:dyDescent="0.2">
      <c r="A8" s="966" t="s">
        <v>4964</v>
      </c>
      <c r="B8" s="1481" t="s">
        <v>2924</v>
      </c>
      <c r="C8" s="1481" t="s">
        <v>5076</v>
      </c>
      <c r="D8" s="1481" t="s">
        <v>2924</v>
      </c>
      <c r="E8" s="865">
        <v>0.5</v>
      </c>
      <c r="F8" s="861">
        <v>116700</v>
      </c>
      <c r="G8" s="960">
        <f>1400000+531000-400000</f>
        <v>1531000</v>
      </c>
      <c r="H8" s="862">
        <v>400000</v>
      </c>
      <c r="I8" s="960"/>
      <c r="J8" s="862"/>
      <c r="K8" s="862"/>
      <c r="L8" s="960"/>
      <c r="M8" s="862"/>
      <c r="N8" s="960"/>
      <c r="O8" s="862"/>
      <c r="P8" s="862"/>
      <c r="Q8" s="962"/>
      <c r="R8" s="2296"/>
      <c r="S8" s="2297">
        <f>58000-1600</f>
        <v>56400</v>
      </c>
      <c r="T8" s="2297"/>
      <c r="U8" s="2298">
        <f t="shared" si="2"/>
        <v>60300</v>
      </c>
      <c r="V8" s="621"/>
      <c r="W8" s="617">
        <v>300000</v>
      </c>
      <c r="X8" s="617"/>
      <c r="Y8" s="620">
        <f t="shared" si="3"/>
        <v>1231000</v>
      </c>
      <c r="Z8" s="621"/>
      <c r="AA8" s="617"/>
      <c r="AB8" s="617"/>
      <c r="AC8" s="620">
        <f t="shared" si="4"/>
        <v>400000</v>
      </c>
      <c r="AD8" s="621"/>
      <c r="AE8" s="617"/>
      <c r="AF8" s="617"/>
      <c r="AG8" s="1923">
        <f t="shared" si="5"/>
        <v>0</v>
      </c>
      <c r="AH8" s="621"/>
      <c r="AI8" s="617"/>
      <c r="AJ8" s="617"/>
      <c r="AK8" s="1927">
        <f t="shared" si="6"/>
        <v>0</v>
      </c>
      <c r="AL8" s="621"/>
      <c r="AM8" s="617"/>
      <c r="AN8" s="617"/>
      <c r="AO8" s="618">
        <f t="shared" si="7"/>
        <v>0</v>
      </c>
      <c r="AP8" s="621"/>
      <c r="AQ8" s="617"/>
      <c r="AR8" s="617"/>
      <c r="AS8" s="618">
        <f t="shared" si="8"/>
        <v>0</v>
      </c>
      <c r="AT8" s="621"/>
      <c r="AU8" s="617"/>
      <c r="AV8" s="617"/>
      <c r="AW8" s="620">
        <f t="shared" si="9"/>
        <v>0</v>
      </c>
      <c r="AX8" s="621"/>
      <c r="AY8" s="617"/>
      <c r="AZ8" s="617"/>
      <c r="BA8" s="620">
        <f t="shared" si="10"/>
        <v>0</v>
      </c>
      <c r="BB8" s="621"/>
      <c r="BC8" s="617"/>
      <c r="BD8" s="617"/>
      <c r="BE8" s="1927">
        <f t="shared" si="11"/>
        <v>0</v>
      </c>
      <c r="BF8" s="621"/>
      <c r="BG8" s="617"/>
      <c r="BH8" s="617"/>
      <c r="BI8" s="1927">
        <f t="shared" si="12"/>
        <v>0</v>
      </c>
      <c r="BJ8" s="621"/>
      <c r="BK8" s="617"/>
      <c r="BL8" s="617"/>
      <c r="BM8" s="1927">
        <f t="shared" si="26"/>
        <v>0</v>
      </c>
      <c r="BN8" s="621"/>
      <c r="BO8" s="1263">
        <v>1</v>
      </c>
      <c r="BP8" s="1263">
        <f t="shared" ref="BP8:BZ8" si="28">BO8</f>
        <v>1</v>
      </c>
      <c r="BQ8" s="1263">
        <f t="shared" si="28"/>
        <v>1</v>
      </c>
      <c r="BR8" s="1263">
        <f t="shared" si="28"/>
        <v>1</v>
      </c>
      <c r="BS8" s="1263">
        <f t="shared" si="28"/>
        <v>1</v>
      </c>
      <c r="BT8" s="1263">
        <f t="shared" si="28"/>
        <v>1</v>
      </c>
      <c r="BU8" s="1263">
        <f t="shared" si="28"/>
        <v>1</v>
      </c>
      <c r="BV8" s="1263">
        <f t="shared" si="28"/>
        <v>1</v>
      </c>
      <c r="BW8" s="1263">
        <f t="shared" si="28"/>
        <v>1</v>
      </c>
      <c r="BX8" s="1263">
        <f t="shared" si="28"/>
        <v>1</v>
      </c>
      <c r="BY8" s="1263">
        <f t="shared" si="28"/>
        <v>1</v>
      </c>
      <c r="BZ8" s="1263">
        <f t="shared" si="28"/>
        <v>1</v>
      </c>
      <c r="CA8" s="1263"/>
      <c r="CB8" s="99">
        <f t="shared" si="14"/>
        <v>117000</v>
      </c>
      <c r="CC8" s="99">
        <f t="shared" si="15"/>
        <v>1531000</v>
      </c>
      <c r="CD8" s="99">
        <f t="shared" si="16"/>
        <v>400000</v>
      </c>
      <c r="CE8" s="99">
        <f t="shared" si="17"/>
        <v>0</v>
      </c>
      <c r="CF8" s="99">
        <f t="shared" si="18"/>
        <v>0</v>
      </c>
      <c r="CG8" s="99">
        <f t="shared" si="19"/>
        <v>0</v>
      </c>
      <c r="CH8" s="99">
        <f t="shared" si="20"/>
        <v>0</v>
      </c>
      <c r="CI8" s="99">
        <f t="shared" si="21"/>
        <v>0</v>
      </c>
      <c r="CJ8" s="99">
        <f t="shared" si="22"/>
        <v>0</v>
      </c>
      <c r="CK8" s="99">
        <f t="shared" si="23"/>
        <v>0</v>
      </c>
      <c r="CL8" s="99">
        <f t="shared" si="24"/>
        <v>0</v>
      </c>
      <c r="CM8" s="99">
        <f t="shared" si="25"/>
        <v>0</v>
      </c>
    </row>
    <row r="9" spans="1:91" s="355" customFormat="1" ht="14.25" customHeight="1" x14ac:dyDescent="0.2">
      <c r="A9" s="966" t="s">
        <v>4965</v>
      </c>
      <c r="B9" s="1481" t="s">
        <v>5088</v>
      </c>
      <c r="C9" s="1481" t="s">
        <v>4140</v>
      </c>
      <c r="D9" s="1481"/>
      <c r="E9" s="865"/>
      <c r="F9" s="861"/>
      <c r="G9" s="862"/>
      <c r="H9" s="862"/>
      <c r="I9" s="960"/>
      <c r="J9" s="960">
        <v>1194000</v>
      </c>
      <c r="K9" s="960"/>
      <c r="L9" s="960"/>
      <c r="M9" s="862"/>
      <c r="N9" s="960"/>
      <c r="O9" s="862"/>
      <c r="P9" s="862"/>
      <c r="Q9" s="962"/>
      <c r="R9" s="2296"/>
      <c r="S9" s="2297"/>
      <c r="T9" s="2297"/>
      <c r="U9" s="2298">
        <f t="shared" si="2"/>
        <v>0</v>
      </c>
      <c r="V9" s="621"/>
      <c r="W9" s="617"/>
      <c r="X9" s="617"/>
      <c r="Y9" s="620">
        <f t="shared" si="3"/>
        <v>0</v>
      </c>
      <c r="Z9" s="621"/>
      <c r="AA9" s="617"/>
      <c r="AB9" s="617"/>
      <c r="AC9" s="620">
        <f t="shared" si="4"/>
        <v>0</v>
      </c>
      <c r="AD9" s="621"/>
      <c r="AE9" s="617"/>
      <c r="AF9" s="617"/>
      <c r="AG9" s="1923">
        <f t="shared" si="5"/>
        <v>0</v>
      </c>
      <c r="AH9" s="621"/>
      <c r="AI9" s="617">
        <f>J9</f>
        <v>1194000</v>
      </c>
      <c r="AJ9" s="617"/>
      <c r="AK9" s="1927">
        <f t="shared" si="6"/>
        <v>0</v>
      </c>
      <c r="AL9" s="621"/>
      <c r="AM9" s="617"/>
      <c r="AN9" s="617"/>
      <c r="AO9" s="618">
        <f t="shared" si="7"/>
        <v>0</v>
      </c>
      <c r="AP9" s="621"/>
      <c r="AQ9" s="617"/>
      <c r="AR9" s="617"/>
      <c r="AS9" s="618">
        <f t="shared" si="8"/>
        <v>0</v>
      </c>
      <c r="AT9" s="621"/>
      <c r="AU9" s="617"/>
      <c r="AV9" s="617"/>
      <c r="AW9" s="620">
        <f t="shared" si="9"/>
        <v>0</v>
      </c>
      <c r="AX9" s="621"/>
      <c r="AY9" s="617"/>
      <c r="AZ9" s="617"/>
      <c r="BA9" s="620">
        <f t="shared" si="10"/>
        <v>0</v>
      </c>
      <c r="BB9" s="621"/>
      <c r="BC9" s="617"/>
      <c r="BD9" s="617"/>
      <c r="BE9" s="1927">
        <f t="shared" si="11"/>
        <v>0</v>
      </c>
      <c r="BF9" s="621"/>
      <c r="BG9" s="617"/>
      <c r="BH9" s="617"/>
      <c r="BI9" s="1927">
        <f t="shared" si="12"/>
        <v>0</v>
      </c>
      <c r="BJ9" s="621"/>
      <c r="BK9" s="617"/>
      <c r="BL9" s="617"/>
      <c r="BM9" s="1927">
        <f t="shared" si="26"/>
        <v>0</v>
      </c>
      <c r="BN9" s="621"/>
      <c r="BO9" s="1263">
        <v>1</v>
      </c>
      <c r="BP9" s="1263">
        <f t="shared" ref="BP9:BZ9" si="29">BO9</f>
        <v>1</v>
      </c>
      <c r="BQ9" s="1263">
        <f t="shared" si="29"/>
        <v>1</v>
      </c>
      <c r="BR9" s="1263">
        <f t="shared" si="29"/>
        <v>1</v>
      </c>
      <c r="BS9" s="1263">
        <f t="shared" si="29"/>
        <v>1</v>
      </c>
      <c r="BT9" s="1263">
        <f t="shared" si="29"/>
        <v>1</v>
      </c>
      <c r="BU9" s="1263">
        <f t="shared" si="29"/>
        <v>1</v>
      </c>
      <c r="BV9" s="1263">
        <f t="shared" si="29"/>
        <v>1</v>
      </c>
      <c r="BW9" s="1263">
        <f t="shared" si="29"/>
        <v>1</v>
      </c>
      <c r="BX9" s="1263">
        <f t="shared" si="29"/>
        <v>1</v>
      </c>
      <c r="BY9" s="1263">
        <f t="shared" si="29"/>
        <v>1</v>
      </c>
      <c r="BZ9" s="1263">
        <f t="shared" si="29"/>
        <v>1</v>
      </c>
      <c r="CA9" s="1263"/>
      <c r="CB9" s="99">
        <f t="shared" si="14"/>
        <v>0</v>
      </c>
      <c r="CC9" s="99">
        <f t="shared" si="15"/>
        <v>0</v>
      </c>
      <c r="CD9" s="99">
        <f t="shared" si="16"/>
        <v>0</v>
      </c>
      <c r="CE9" s="99">
        <f t="shared" si="17"/>
        <v>0</v>
      </c>
      <c r="CF9" s="99">
        <f t="shared" si="18"/>
        <v>1194000</v>
      </c>
      <c r="CG9" s="99">
        <f t="shared" si="19"/>
        <v>0</v>
      </c>
      <c r="CH9" s="99">
        <f t="shared" si="20"/>
        <v>0</v>
      </c>
      <c r="CI9" s="99">
        <f t="shared" si="21"/>
        <v>0</v>
      </c>
      <c r="CJ9" s="99">
        <f t="shared" si="22"/>
        <v>0</v>
      </c>
      <c r="CK9" s="99">
        <f t="shared" si="23"/>
        <v>0</v>
      </c>
      <c r="CL9" s="99">
        <f t="shared" si="24"/>
        <v>0</v>
      </c>
      <c r="CM9" s="99">
        <f t="shared" si="25"/>
        <v>0</v>
      </c>
    </row>
    <row r="10" spans="1:91" s="355" customFormat="1" ht="14.25" customHeight="1" x14ac:dyDescent="0.2">
      <c r="A10" s="966" t="s">
        <v>6538</v>
      </c>
      <c r="B10" s="1480"/>
      <c r="C10" s="1480"/>
      <c r="D10" s="1480"/>
      <c r="E10" s="865"/>
      <c r="F10" s="861"/>
      <c r="G10" s="862"/>
      <c r="H10" s="862">
        <v>318000</v>
      </c>
      <c r="I10" s="960"/>
      <c r="J10" s="960"/>
      <c r="K10" s="960"/>
      <c r="L10" s="960"/>
      <c r="M10" s="862"/>
      <c r="N10" s="960"/>
      <c r="O10" s="862"/>
      <c r="P10" s="862"/>
      <c r="Q10" s="962"/>
      <c r="R10" s="2296"/>
      <c r="S10" s="2297"/>
      <c r="T10" s="2297"/>
      <c r="U10" s="2298">
        <f t="shared" si="2"/>
        <v>0</v>
      </c>
      <c r="V10" s="621"/>
      <c r="W10" s="617"/>
      <c r="X10" s="617"/>
      <c r="Y10" s="620">
        <f t="shared" si="3"/>
        <v>0</v>
      </c>
      <c r="Z10" s="621"/>
      <c r="AA10" s="617"/>
      <c r="AB10" s="617"/>
      <c r="AC10" s="620">
        <f t="shared" si="4"/>
        <v>318000</v>
      </c>
      <c r="AD10" s="621"/>
      <c r="AE10" s="617"/>
      <c r="AF10" s="617"/>
      <c r="AG10" s="1923">
        <f t="shared" si="5"/>
        <v>0</v>
      </c>
      <c r="AH10" s="621"/>
      <c r="AI10" s="617"/>
      <c r="AJ10" s="617"/>
      <c r="AK10" s="1927">
        <f t="shared" si="6"/>
        <v>0</v>
      </c>
      <c r="AL10" s="621"/>
      <c r="AM10" s="617"/>
      <c r="AN10" s="617"/>
      <c r="AO10" s="618">
        <f t="shared" si="7"/>
        <v>0</v>
      </c>
      <c r="AP10" s="621"/>
      <c r="AQ10" s="617"/>
      <c r="AR10" s="617"/>
      <c r="AS10" s="618">
        <f t="shared" si="8"/>
        <v>0</v>
      </c>
      <c r="AT10" s="621"/>
      <c r="AU10" s="617"/>
      <c r="AV10" s="617"/>
      <c r="AW10" s="620">
        <f t="shared" si="9"/>
        <v>0</v>
      </c>
      <c r="AX10" s="621"/>
      <c r="AY10" s="617"/>
      <c r="AZ10" s="617"/>
      <c r="BA10" s="620">
        <f t="shared" si="10"/>
        <v>0</v>
      </c>
      <c r="BB10" s="621"/>
      <c r="BC10" s="617"/>
      <c r="BD10" s="617"/>
      <c r="BE10" s="1927">
        <f t="shared" si="11"/>
        <v>0</v>
      </c>
      <c r="BF10" s="621"/>
      <c r="BG10" s="617"/>
      <c r="BH10" s="617"/>
      <c r="BI10" s="1927">
        <f t="shared" si="12"/>
        <v>0</v>
      </c>
      <c r="BJ10" s="621"/>
      <c r="BK10" s="617"/>
      <c r="BL10" s="617"/>
      <c r="BM10" s="1927">
        <f t="shared" si="26"/>
        <v>0</v>
      </c>
      <c r="BN10" s="621"/>
      <c r="BO10" s="1263">
        <v>1</v>
      </c>
      <c r="BP10" s="1263">
        <f t="shared" ref="BP10" si="30">BO10</f>
        <v>1</v>
      </c>
      <c r="BQ10" s="1263">
        <f t="shared" ref="BQ10" si="31">BP10</f>
        <v>1</v>
      </c>
      <c r="BR10" s="1263">
        <f t="shared" ref="BR10" si="32">BQ10</f>
        <v>1</v>
      </c>
      <c r="BS10" s="1263">
        <f t="shared" ref="BS10" si="33">BR10</f>
        <v>1</v>
      </c>
      <c r="BT10" s="1263">
        <f t="shared" ref="BT10" si="34">BS10</f>
        <v>1</v>
      </c>
      <c r="BU10" s="1263">
        <f t="shared" ref="BU10" si="35">BT10</f>
        <v>1</v>
      </c>
      <c r="BV10" s="1263">
        <f t="shared" ref="BV10" si="36">BU10</f>
        <v>1</v>
      </c>
      <c r="BW10" s="1263">
        <f t="shared" ref="BW10" si="37">BV10</f>
        <v>1</v>
      </c>
      <c r="BX10" s="1263">
        <f t="shared" ref="BX10:BZ10" si="38">BW10</f>
        <v>1</v>
      </c>
      <c r="BY10" s="1263">
        <f t="shared" si="38"/>
        <v>1</v>
      </c>
      <c r="BZ10" s="1263">
        <f t="shared" si="38"/>
        <v>1</v>
      </c>
      <c r="CA10" s="1263"/>
      <c r="CB10" s="99">
        <f t="shared" si="14"/>
        <v>0</v>
      </c>
      <c r="CC10" s="99">
        <f t="shared" si="15"/>
        <v>0</v>
      </c>
      <c r="CD10" s="99">
        <f t="shared" si="16"/>
        <v>318000</v>
      </c>
      <c r="CE10" s="99">
        <f t="shared" si="17"/>
        <v>0</v>
      </c>
      <c r="CF10" s="99">
        <f t="shared" si="18"/>
        <v>0</v>
      </c>
      <c r="CG10" s="99">
        <f t="shared" si="19"/>
        <v>0</v>
      </c>
      <c r="CH10" s="99">
        <f t="shared" si="20"/>
        <v>0</v>
      </c>
      <c r="CI10" s="99">
        <f t="shared" si="21"/>
        <v>0</v>
      </c>
      <c r="CJ10" s="99">
        <f t="shared" si="22"/>
        <v>0</v>
      </c>
      <c r="CK10" s="99">
        <f t="shared" si="23"/>
        <v>0</v>
      </c>
      <c r="CL10" s="99">
        <f t="shared" si="24"/>
        <v>0</v>
      </c>
      <c r="CM10" s="99">
        <f t="shared" si="25"/>
        <v>0</v>
      </c>
    </row>
    <row r="11" spans="1:91" s="355" customFormat="1" ht="14.25" customHeight="1" x14ac:dyDescent="0.2">
      <c r="A11" s="966" t="s">
        <v>5617</v>
      </c>
      <c r="B11" s="1481" t="s">
        <v>5088</v>
      </c>
      <c r="C11" s="1481" t="s">
        <v>4140</v>
      </c>
      <c r="D11" s="1481" t="s">
        <v>4140</v>
      </c>
      <c r="E11" s="865"/>
      <c r="F11" s="861">
        <v>58000</v>
      </c>
      <c r="G11" s="960">
        <f>735000-531000</f>
        <v>204000</v>
      </c>
      <c r="H11" s="862"/>
      <c r="I11" s="960"/>
      <c r="J11" s="862"/>
      <c r="K11" s="862"/>
      <c r="L11" s="960"/>
      <c r="M11" s="862"/>
      <c r="N11" s="960"/>
      <c r="O11" s="862"/>
      <c r="P11" s="862"/>
      <c r="Q11" s="962"/>
      <c r="R11" s="2296">
        <v>0</v>
      </c>
      <c r="S11" s="2297">
        <v>58000</v>
      </c>
      <c r="T11" s="2297">
        <v>0</v>
      </c>
      <c r="U11" s="2298">
        <f t="shared" si="2"/>
        <v>0</v>
      </c>
      <c r="V11" s="621"/>
      <c r="W11" s="617"/>
      <c r="X11" s="617"/>
      <c r="Y11" s="620">
        <f t="shared" si="3"/>
        <v>204000</v>
      </c>
      <c r="Z11" s="621"/>
      <c r="AA11" s="617"/>
      <c r="AB11" s="617"/>
      <c r="AC11" s="620">
        <f t="shared" si="4"/>
        <v>0</v>
      </c>
      <c r="AD11" s="621"/>
      <c r="AE11" s="617"/>
      <c r="AF11" s="617"/>
      <c r="AG11" s="1923">
        <f t="shared" si="5"/>
        <v>0</v>
      </c>
      <c r="AH11" s="621"/>
      <c r="AI11" s="617"/>
      <c r="AJ11" s="617"/>
      <c r="AK11" s="1927">
        <f t="shared" si="6"/>
        <v>0</v>
      </c>
      <c r="AL11" s="621"/>
      <c r="AM11" s="617"/>
      <c r="AN11" s="617"/>
      <c r="AO11" s="618">
        <f t="shared" si="7"/>
        <v>0</v>
      </c>
      <c r="AP11" s="621"/>
      <c r="AQ11" s="617"/>
      <c r="AR11" s="617"/>
      <c r="AS11" s="618">
        <f t="shared" si="8"/>
        <v>0</v>
      </c>
      <c r="AT11" s="621"/>
      <c r="AU11" s="617"/>
      <c r="AV11" s="617"/>
      <c r="AW11" s="620">
        <f t="shared" si="9"/>
        <v>0</v>
      </c>
      <c r="AX11" s="621"/>
      <c r="AY11" s="617"/>
      <c r="AZ11" s="617"/>
      <c r="BA11" s="620">
        <f t="shared" si="10"/>
        <v>0</v>
      </c>
      <c r="BB11" s="621"/>
      <c r="BC11" s="617"/>
      <c r="BD11" s="617"/>
      <c r="BE11" s="1927">
        <f t="shared" si="11"/>
        <v>0</v>
      </c>
      <c r="BF11" s="621"/>
      <c r="BG11" s="617"/>
      <c r="BH11" s="617"/>
      <c r="BI11" s="1927">
        <f t="shared" si="12"/>
        <v>0</v>
      </c>
      <c r="BJ11" s="621"/>
      <c r="BK11" s="617"/>
      <c r="BL11" s="617"/>
      <c r="BM11" s="1927">
        <f t="shared" si="26"/>
        <v>0</v>
      </c>
      <c r="BN11" s="621"/>
      <c r="BO11" s="1263">
        <v>1</v>
      </c>
      <c r="BP11" s="1263">
        <f t="shared" ref="BP11:BZ11" si="39">BO11</f>
        <v>1</v>
      </c>
      <c r="BQ11" s="1263">
        <f t="shared" si="39"/>
        <v>1</v>
      </c>
      <c r="BR11" s="1263">
        <f t="shared" si="39"/>
        <v>1</v>
      </c>
      <c r="BS11" s="1263">
        <f t="shared" si="39"/>
        <v>1</v>
      </c>
      <c r="BT11" s="1263">
        <f t="shared" si="39"/>
        <v>1</v>
      </c>
      <c r="BU11" s="1263">
        <f t="shared" si="39"/>
        <v>1</v>
      </c>
      <c r="BV11" s="1263">
        <f t="shared" si="39"/>
        <v>1</v>
      </c>
      <c r="BW11" s="1263">
        <f t="shared" si="39"/>
        <v>1</v>
      </c>
      <c r="BX11" s="1263">
        <f t="shared" si="39"/>
        <v>1</v>
      </c>
      <c r="BY11" s="1263">
        <f t="shared" si="39"/>
        <v>1</v>
      </c>
      <c r="BZ11" s="1263">
        <f t="shared" si="39"/>
        <v>1</v>
      </c>
      <c r="CA11" s="1263"/>
      <c r="CB11" s="99">
        <f t="shared" si="14"/>
        <v>58000</v>
      </c>
      <c r="CC11" s="99">
        <f t="shared" si="15"/>
        <v>204000</v>
      </c>
      <c r="CD11" s="99">
        <f t="shared" si="16"/>
        <v>0</v>
      </c>
      <c r="CE11" s="99">
        <f t="shared" si="17"/>
        <v>0</v>
      </c>
      <c r="CF11" s="99">
        <f t="shared" si="18"/>
        <v>0</v>
      </c>
      <c r="CG11" s="99">
        <f t="shared" si="19"/>
        <v>0</v>
      </c>
      <c r="CH11" s="99">
        <f t="shared" si="20"/>
        <v>0</v>
      </c>
      <c r="CI11" s="99">
        <f t="shared" si="21"/>
        <v>0</v>
      </c>
      <c r="CJ11" s="99">
        <f t="shared" si="22"/>
        <v>0</v>
      </c>
      <c r="CK11" s="99">
        <f t="shared" si="23"/>
        <v>0</v>
      </c>
      <c r="CL11" s="99">
        <f t="shared" si="24"/>
        <v>0</v>
      </c>
      <c r="CM11" s="99">
        <f t="shared" si="25"/>
        <v>0</v>
      </c>
    </row>
    <row r="12" spans="1:91" s="355" customFormat="1" ht="14.25" customHeight="1" x14ac:dyDescent="0.2">
      <c r="A12" s="965" t="s">
        <v>1013</v>
      </c>
      <c r="B12" s="1480"/>
      <c r="C12" s="1480"/>
      <c r="D12" s="1480"/>
      <c r="E12" s="865"/>
      <c r="F12" s="861"/>
      <c r="G12" s="862"/>
      <c r="H12" s="862"/>
      <c r="I12" s="960">
        <v>106000</v>
      </c>
      <c r="J12" s="960">
        <v>1364000</v>
      </c>
      <c r="K12" s="960"/>
      <c r="L12" s="960"/>
      <c r="M12" s="862"/>
      <c r="N12" s="960"/>
      <c r="O12" s="862"/>
      <c r="P12" s="862"/>
      <c r="Q12" s="962"/>
      <c r="R12" s="2296"/>
      <c r="S12" s="2297"/>
      <c r="T12" s="2297"/>
      <c r="U12" s="2298">
        <f t="shared" si="2"/>
        <v>0</v>
      </c>
      <c r="V12" s="621"/>
      <c r="W12" s="617"/>
      <c r="X12" s="617"/>
      <c r="Y12" s="620">
        <f t="shared" si="3"/>
        <v>0</v>
      </c>
      <c r="Z12" s="621"/>
      <c r="AA12" s="617"/>
      <c r="AB12" s="617"/>
      <c r="AC12" s="620">
        <f t="shared" si="4"/>
        <v>0</v>
      </c>
      <c r="AD12" s="621"/>
      <c r="AE12" s="617"/>
      <c r="AF12" s="617"/>
      <c r="AG12" s="1923">
        <f t="shared" si="5"/>
        <v>106000</v>
      </c>
      <c r="AH12" s="621"/>
      <c r="AI12" s="617">
        <f>J12</f>
        <v>1364000</v>
      </c>
      <c r="AJ12" s="617"/>
      <c r="AK12" s="1927">
        <f t="shared" si="6"/>
        <v>0</v>
      </c>
      <c r="AL12" s="621"/>
      <c r="AM12" s="617"/>
      <c r="AN12" s="617"/>
      <c r="AO12" s="618">
        <f t="shared" si="7"/>
        <v>0</v>
      </c>
      <c r="AP12" s="621"/>
      <c r="AQ12" s="617"/>
      <c r="AR12" s="617"/>
      <c r="AS12" s="618">
        <f t="shared" si="8"/>
        <v>0</v>
      </c>
      <c r="AT12" s="621"/>
      <c r="AU12" s="617"/>
      <c r="AV12" s="617"/>
      <c r="AW12" s="620">
        <f t="shared" si="9"/>
        <v>0</v>
      </c>
      <c r="AX12" s="621"/>
      <c r="AY12" s="617"/>
      <c r="AZ12" s="617"/>
      <c r="BA12" s="620">
        <f t="shared" si="10"/>
        <v>0</v>
      </c>
      <c r="BB12" s="621"/>
      <c r="BC12" s="617"/>
      <c r="BD12" s="617"/>
      <c r="BE12" s="1927">
        <f t="shared" si="11"/>
        <v>0</v>
      </c>
      <c r="BF12" s="621"/>
      <c r="BG12" s="617"/>
      <c r="BH12" s="617"/>
      <c r="BI12" s="1927">
        <f t="shared" si="12"/>
        <v>0</v>
      </c>
      <c r="BJ12" s="621"/>
      <c r="BK12" s="617"/>
      <c r="BL12" s="617"/>
      <c r="BM12" s="1927">
        <f t="shared" si="26"/>
        <v>0</v>
      </c>
      <c r="BN12" s="621"/>
      <c r="BO12" s="1263">
        <v>1</v>
      </c>
      <c r="BP12" s="1263">
        <f t="shared" ref="BP12:BZ12" si="40">BO12</f>
        <v>1</v>
      </c>
      <c r="BQ12" s="1263">
        <f t="shared" si="40"/>
        <v>1</v>
      </c>
      <c r="BR12" s="1263">
        <f t="shared" si="40"/>
        <v>1</v>
      </c>
      <c r="BS12" s="1263">
        <f t="shared" si="40"/>
        <v>1</v>
      </c>
      <c r="BT12" s="1263">
        <f t="shared" si="40"/>
        <v>1</v>
      </c>
      <c r="BU12" s="1263">
        <f t="shared" si="40"/>
        <v>1</v>
      </c>
      <c r="BV12" s="1263">
        <f t="shared" si="40"/>
        <v>1</v>
      </c>
      <c r="BW12" s="1263">
        <f t="shared" si="40"/>
        <v>1</v>
      </c>
      <c r="BX12" s="1263">
        <f t="shared" si="40"/>
        <v>1</v>
      </c>
      <c r="BY12" s="1263">
        <f t="shared" si="40"/>
        <v>1</v>
      </c>
      <c r="BZ12" s="1263">
        <f t="shared" si="40"/>
        <v>1</v>
      </c>
      <c r="CA12" s="1263"/>
      <c r="CB12" s="99">
        <f t="shared" si="14"/>
        <v>0</v>
      </c>
      <c r="CC12" s="99">
        <f t="shared" si="15"/>
        <v>0</v>
      </c>
      <c r="CD12" s="99">
        <f t="shared" si="16"/>
        <v>0</v>
      </c>
      <c r="CE12" s="99">
        <f t="shared" si="17"/>
        <v>106000</v>
      </c>
      <c r="CF12" s="99">
        <f t="shared" si="18"/>
        <v>1364000</v>
      </c>
      <c r="CG12" s="99">
        <f t="shared" si="19"/>
        <v>0</v>
      </c>
      <c r="CH12" s="99">
        <f t="shared" si="20"/>
        <v>0</v>
      </c>
      <c r="CI12" s="99">
        <f t="shared" si="21"/>
        <v>0</v>
      </c>
      <c r="CJ12" s="99">
        <f t="shared" si="22"/>
        <v>0</v>
      </c>
      <c r="CK12" s="99">
        <f t="shared" si="23"/>
        <v>0</v>
      </c>
      <c r="CL12" s="99">
        <f t="shared" si="24"/>
        <v>0</v>
      </c>
      <c r="CM12" s="99">
        <f t="shared" si="25"/>
        <v>0</v>
      </c>
    </row>
    <row r="13" spans="1:91" s="355" customFormat="1" ht="14.25" customHeight="1" x14ac:dyDescent="0.2">
      <c r="A13" s="965" t="s">
        <v>4966</v>
      </c>
      <c r="B13" s="1480"/>
      <c r="C13" s="1480"/>
      <c r="D13" s="1480"/>
      <c r="E13" s="865"/>
      <c r="F13" s="861"/>
      <c r="G13" s="862"/>
      <c r="H13" s="862"/>
      <c r="I13" s="960"/>
      <c r="J13" s="960"/>
      <c r="K13" s="960">
        <v>182000</v>
      </c>
      <c r="L13" s="960"/>
      <c r="M13" s="862"/>
      <c r="N13" s="960"/>
      <c r="O13" s="862"/>
      <c r="P13" s="862"/>
      <c r="Q13" s="962"/>
      <c r="R13" s="2296"/>
      <c r="S13" s="2297"/>
      <c r="T13" s="2297"/>
      <c r="U13" s="2298">
        <f t="shared" si="2"/>
        <v>0</v>
      </c>
      <c r="V13" s="621"/>
      <c r="W13" s="617"/>
      <c r="X13" s="617"/>
      <c r="Y13" s="620">
        <f t="shared" si="3"/>
        <v>0</v>
      </c>
      <c r="Z13" s="621"/>
      <c r="AA13" s="617"/>
      <c r="AB13" s="617"/>
      <c r="AC13" s="620">
        <f t="shared" si="4"/>
        <v>0</v>
      </c>
      <c r="AD13" s="621"/>
      <c r="AE13" s="617"/>
      <c r="AF13" s="617"/>
      <c r="AG13" s="1923">
        <f t="shared" si="5"/>
        <v>0</v>
      </c>
      <c r="AH13" s="621"/>
      <c r="AI13" s="617"/>
      <c r="AJ13" s="617"/>
      <c r="AK13" s="1927">
        <f t="shared" si="6"/>
        <v>0</v>
      </c>
      <c r="AL13" s="621"/>
      <c r="AM13" s="617"/>
      <c r="AN13" s="617"/>
      <c r="AO13" s="618">
        <f t="shared" si="7"/>
        <v>182000</v>
      </c>
      <c r="AP13" s="621"/>
      <c r="AQ13" s="617"/>
      <c r="AR13" s="617"/>
      <c r="AS13" s="618">
        <f t="shared" si="8"/>
        <v>0</v>
      </c>
      <c r="AT13" s="621"/>
      <c r="AU13" s="617"/>
      <c r="AV13" s="617"/>
      <c r="AW13" s="620">
        <f t="shared" si="9"/>
        <v>0</v>
      </c>
      <c r="AX13" s="621"/>
      <c r="AY13" s="617"/>
      <c r="AZ13" s="617"/>
      <c r="BA13" s="620">
        <f t="shared" si="10"/>
        <v>0</v>
      </c>
      <c r="BB13" s="621"/>
      <c r="BC13" s="617"/>
      <c r="BD13" s="617"/>
      <c r="BE13" s="1927">
        <f t="shared" si="11"/>
        <v>0</v>
      </c>
      <c r="BF13" s="621"/>
      <c r="BG13" s="617"/>
      <c r="BH13" s="617"/>
      <c r="BI13" s="1927">
        <f t="shared" si="12"/>
        <v>0</v>
      </c>
      <c r="BJ13" s="621"/>
      <c r="BK13" s="617"/>
      <c r="BL13" s="617"/>
      <c r="BM13" s="1927">
        <f t="shared" si="26"/>
        <v>0</v>
      </c>
      <c r="BN13" s="621"/>
      <c r="BO13" s="1263">
        <v>1</v>
      </c>
      <c r="BP13" s="1263">
        <f t="shared" ref="BP13" si="41">BO13</f>
        <v>1</v>
      </c>
      <c r="BQ13" s="1263">
        <f t="shared" ref="BQ13" si="42">BP13</f>
        <v>1</v>
      </c>
      <c r="BR13" s="1263">
        <f t="shared" ref="BR13" si="43">BQ13</f>
        <v>1</v>
      </c>
      <c r="BS13" s="1263">
        <f t="shared" ref="BS13" si="44">BR13</f>
        <v>1</v>
      </c>
      <c r="BT13" s="1263">
        <f t="shared" ref="BT13" si="45">BS13</f>
        <v>1</v>
      </c>
      <c r="BU13" s="1263">
        <f t="shared" ref="BU13" si="46">BT13</f>
        <v>1</v>
      </c>
      <c r="BV13" s="1263">
        <f t="shared" ref="BV13" si="47">BU13</f>
        <v>1</v>
      </c>
      <c r="BW13" s="1263">
        <f t="shared" ref="BW13" si="48">BV13</f>
        <v>1</v>
      </c>
      <c r="BX13" s="1263">
        <f t="shared" ref="BX13:BZ13" si="49">BW13</f>
        <v>1</v>
      </c>
      <c r="BY13" s="1263">
        <f t="shared" si="49"/>
        <v>1</v>
      </c>
      <c r="BZ13" s="1263">
        <f t="shared" si="49"/>
        <v>1</v>
      </c>
      <c r="CA13" s="1263"/>
      <c r="CB13" s="99">
        <f t="shared" si="14"/>
        <v>0</v>
      </c>
      <c r="CC13" s="99">
        <f t="shared" si="15"/>
        <v>0</v>
      </c>
      <c r="CD13" s="99">
        <f t="shared" si="16"/>
        <v>0</v>
      </c>
      <c r="CE13" s="99">
        <f t="shared" si="17"/>
        <v>0</v>
      </c>
      <c r="CF13" s="99">
        <f t="shared" si="18"/>
        <v>0</v>
      </c>
      <c r="CG13" s="99">
        <f t="shared" si="19"/>
        <v>182000</v>
      </c>
      <c r="CH13" s="99">
        <f t="shared" si="20"/>
        <v>0</v>
      </c>
      <c r="CI13" s="99">
        <f t="shared" si="21"/>
        <v>0</v>
      </c>
      <c r="CJ13" s="99">
        <f t="shared" si="22"/>
        <v>0</v>
      </c>
      <c r="CK13" s="99">
        <f t="shared" si="23"/>
        <v>0</v>
      </c>
      <c r="CL13" s="99">
        <f t="shared" si="24"/>
        <v>0</v>
      </c>
      <c r="CM13" s="99">
        <f t="shared" si="25"/>
        <v>0</v>
      </c>
    </row>
    <row r="14" spans="1:91" s="355" customFormat="1" ht="14.25" customHeight="1" x14ac:dyDescent="0.2">
      <c r="A14" s="965" t="s">
        <v>4967</v>
      </c>
      <c r="B14" s="1480"/>
      <c r="C14" s="1480"/>
      <c r="D14" s="1480"/>
      <c r="E14" s="865"/>
      <c r="F14" s="861"/>
      <c r="G14" s="960"/>
      <c r="H14" s="862"/>
      <c r="I14" s="960"/>
      <c r="J14" s="960"/>
      <c r="K14" s="960">
        <v>106000</v>
      </c>
      <c r="L14" s="960"/>
      <c r="M14" s="862"/>
      <c r="N14" s="960"/>
      <c r="O14" s="862"/>
      <c r="P14" s="862"/>
      <c r="Q14" s="962"/>
      <c r="R14" s="2296"/>
      <c r="S14" s="2297"/>
      <c r="T14" s="2297"/>
      <c r="U14" s="2298">
        <f t="shared" si="2"/>
        <v>0</v>
      </c>
      <c r="V14" s="621"/>
      <c r="W14" s="617"/>
      <c r="X14" s="617"/>
      <c r="Y14" s="620">
        <f t="shared" si="3"/>
        <v>0</v>
      </c>
      <c r="Z14" s="621"/>
      <c r="AA14" s="617"/>
      <c r="AB14" s="617"/>
      <c r="AC14" s="620">
        <f t="shared" si="4"/>
        <v>0</v>
      </c>
      <c r="AD14" s="621"/>
      <c r="AE14" s="617"/>
      <c r="AF14" s="617"/>
      <c r="AG14" s="1923">
        <f t="shared" si="5"/>
        <v>0</v>
      </c>
      <c r="AH14" s="621"/>
      <c r="AI14" s="617"/>
      <c r="AJ14" s="617"/>
      <c r="AK14" s="1927">
        <f t="shared" si="6"/>
        <v>0</v>
      </c>
      <c r="AL14" s="621"/>
      <c r="AM14" s="617"/>
      <c r="AN14" s="617"/>
      <c r="AO14" s="618">
        <f t="shared" si="7"/>
        <v>106000</v>
      </c>
      <c r="AP14" s="621"/>
      <c r="AQ14" s="617"/>
      <c r="AR14" s="617"/>
      <c r="AS14" s="620">
        <v>0</v>
      </c>
      <c r="AT14" s="621"/>
      <c r="AU14" s="617"/>
      <c r="AV14" s="617"/>
      <c r="AW14" s="620">
        <v>0</v>
      </c>
      <c r="AX14" s="621"/>
      <c r="AY14" s="617"/>
      <c r="AZ14" s="617"/>
      <c r="BA14" s="620">
        <v>0</v>
      </c>
      <c r="BB14" s="621"/>
      <c r="BC14" s="617"/>
      <c r="BD14" s="617"/>
      <c r="BE14" s="1927">
        <f t="shared" si="11"/>
        <v>0</v>
      </c>
      <c r="BF14" s="621"/>
      <c r="BG14" s="617"/>
      <c r="BH14" s="617"/>
      <c r="BI14" s="1927">
        <f t="shared" si="12"/>
        <v>0</v>
      </c>
      <c r="BJ14" s="621"/>
      <c r="BK14" s="617"/>
      <c r="BL14" s="617"/>
      <c r="BM14" s="1927">
        <f t="shared" si="26"/>
        <v>0</v>
      </c>
      <c r="BN14" s="621"/>
      <c r="BO14" s="1263">
        <v>1</v>
      </c>
      <c r="BP14" s="1263">
        <f t="shared" ref="BP14:BZ14" si="50">BO14</f>
        <v>1</v>
      </c>
      <c r="BQ14" s="1263">
        <f t="shared" si="50"/>
        <v>1</v>
      </c>
      <c r="BR14" s="1263">
        <f t="shared" si="50"/>
        <v>1</v>
      </c>
      <c r="BS14" s="1263">
        <f t="shared" si="50"/>
        <v>1</v>
      </c>
      <c r="BT14" s="1263">
        <f t="shared" si="50"/>
        <v>1</v>
      </c>
      <c r="BU14" s="1263">
        <f t="shared" si="50"/>
        <v>1</v>
      </c>
      <c r="BV14" s="1263">
        <f t="shared" si="50"/>
        <v>1</v>
      </c>
      <c r="BW14" s="1263">
        <f t="shared" si="50"/>
        <v>1</v>
      </c>
      <c r="BX14" s="1263">
        <f t="shared" si="50"/>
        <v>1</v>
      </c>
      <c r="BY14" s="1263">
        <f t="shared" si="50"/>
        <v>1</v>
      </c>
      <c r="BZ14" s="1263">
        <f t="shared" si="50"/>
        <v>1</v>
      </c>
      <c r="CA14" s="1263"/>
      <c r="CB14" s="99">
        <f t="shared" si="14"/>
        <v>0</v>
      </c>
      <c r="CC14" s="99">
        <f t="shared" si="15"/>
        <v>0</v>
      </c>
      <c r="CD14" s="99">
        <f t="shared" si="16"/>
        <v>0</v>
      </c>
      <c r="CE14" s="99">
        <f t="shared" si="17"/>
        <v>0</v>
      </c>
      <c r="CF14" s="99">
        <f t="shared" si="18"/>
        <v>0</v>
      </c>
      <c r="CG14" s="99">
        <f t="shared" si="19"/>
        <v>106000</v>
      </c>
      <c r="CH14" s="99">
        <f t="shared" si="20"/>
        <v>0</v>
      </c>
      <c r="CI14" s="99">
        <f t="shared" si="21"/>
        <v>0</v>
      </c>
      <c r="CJ14" s="99">
        <f t="shared" si="22"/>
        <v>0</v>
      </c>
      <c r="CK14" s="99">
        <f t="shared" si="23"/>
        <v>0</v>
      </c>
      <c r="CL14" s="99">
        <f t="shared" si="24"/>
        <v>0</v>
      </c>
      <c r="CM14" s="99">
        <f t="shared" si="25"/>
        <v>0</v>
      </c>
    </row>
    <row r="15" spans="1:91" s="355" customFormat="1" ht="14.25" customHeight="1" x14ac:dyDescent="0.2">
      <c r="A15" s="965" t="s">
        <v>6539</v>
      </c>
      <c r="B15" s="1480"/>
      <c r="C15" s="1480"/>
      <c r="D15" s="1480"/>
      <c r="E15" s="865"/>
      <c r="F15" s="861"/>
      <c r="G15" s="862"/>
      <c r="H15" s="862"/>
      <c r="I15" s="960"/>
      <c r="J15" s="960"/>
      <c r="K15" s="960">
        <v>62300</v>
      </c>
      <c r="L15" s="960"/>
      <c r="M15" s="862"/>
      <c r="N15" s="960"/>
      <c r="O15" s="862"/>
      <c r="P15" s="862"/>
      <c r="Q15" s="962"/>
      <c r="R15" s="2296"/>
      <c r="S15" s="2297"/>
      <c r="T15" s="2297"/>
      <c r="U15" s="2298"/>
      <c r="V15" s="621"/>
      <c r="W15" s="617"/>
      <c r="X15" s="617"/>
      <c r="Y15" s="620">
        <f t="shared" si="3"/>
        <v>0</v>
      </c>
      <c r="Z15" s="621"/>
      <c r="AA15" s="617"/>
      <c r="AB15" s="617"/>
      <c r="AC15" s="620">
        <f t="shared" si="4"/>
        <v>0</v>
      </c>
      <c r="AD15" s="621"/>
      <c r="AE15" s="617"/>
      <c r="AF15" s="617"/>
      <c r="AG15" s="1923">
        <f t="shared" si="5"/>
        <v>0</v>
      </c>
      <c r="AH15" s="621"/>
      <c r="AI15" s="617"/>
      <c r="AJ15" s="617"/>
      <c r="AK15" s="1927">
        <f t="shared" si="6"/>
        <v>0</v>
      </c>
      <c r="AL15" s="621"/>
      <c r="AM15" s="617"/>
      <c r="AN15" s="617"/>
      <c r="AO15" s="618">
        <f t="shared" si="7"/>
        <v>62300</v>
      </c>
      <c r="AP15" s="621"/>
      <c r="AQ15" s="617"/>
      <c r="AR15" s="617"/>
      <c r="AS15" s="618">
        <f>$L15-AP15-AQ15-AR15</f>
        <v>0</v>
      </c>
      <c r="AT15" s="621"/>
      <c r="AU15" s="617"/>
      <c r="AV15" s="617"/>
      <c r="AW15" s="620">
        <f>$M15-AT15-AU15-AV15</f>
        <v>0</v>
      </c>
      <c r="AX15" s="621"/>
      <c r="AY15" s="617"/>
      <c r="AZ15" s="617"/>
      <c r="BA15" s="620">
        <f>$N15-AX15-AY15-AZ15</f>
        <v>0</v>
      </c>
      <c r="BB15" s="621"/>
      <c r="BC15" s="617"/>
      <c r="BD15" s="617"/>
      <c r="BE15" s="1927">
        <f t="shared" si="11"/>
        <v>0</v>
      </c>
      <c r="BF15" s="621"/>
      <c r="BG15" s="617"/>
      <c r="BH15" s="617"/>
      <c r="BI15" s="1927">
        <f t="shared" si="12"/>
        <v>0</v>
      </c>
      <c r="BJ15" s="621"/>
      <c r="BK15" s="617"/>
      <c r="BL15" s="617"/>
      <c r="BM15" s="1927">
        <f t="shared" si="26"/>
        <v>0</v>
      </c>
      <c r="BN15" s="621"/>
      <c r="BO15" s="1263">
        <v>1</v>
      </c>
      <c r="BP15" s="1263">
        <f t="shared" ref="BP15" si="51">BO15</f>
        <v>1</v>
      </c>
      <c r="BQ15" s="1263">
        <f t="shared" ref="BQ15" si="52">BP15</f>
        <v>1</v>
      </c>
      <c r="BR15" s="1263">
        <f t="shared" ref="BR15" si="53">BQ15</f>
        <v>1</v>
      </c>
      <c r="BS15" s="1263">
        <f t="shared" ref="BS15" si="54">BR15</f>
        <v>1</v>
      </c>
      <c r="BT15" s="1263">
        <f t="shared" ref="BT15" si="55">BS15</f>
        <v>1</v>
      </c>
      <c r="BU15" s="1263">
        <f t="shared" ref="BU15" si="56">BT15</f>
        <v>1</v>
      </c>
      <c r="BV15" s="1263">
        <f t="shared" ref="BV15" si="57">BU15</f>
        <v>1</v>
      </c>
      <c r="BW15" s="1263">
        <f t="shared" ref="BW15" si="58">BV15</f>
        <v>1</v>
      </c>
      <c r="BX15" s="1263">
        <f t="shared" ref="BX15" si="59">BW15</f>
        <v>1</v>
      </c>
      <c r="BY15" s="1263">
        <f t="shared" ref="BY15:BZ15" si="60">BX15</f>
        <v>1</v>
      </c>
      <c r="BZ15" s="1263">
        <f t="shared" si="60"/>
        <v>1</v>
      </c>
      <c r="CA15" s="1263"/>
      <c r="CB15" s="99">
        <f t="shared" si="14"/>
        <v>0</v>
      </c>
      <c r="CC15" s="99">
        <f t="shared" si="15"/>
        <v>0</v>
      </c>
      <c r="CD15" s="99">
        <f t="shared" si="16"/>
        <v>0</v>
      </c>
      <c r="CE15" s="99">
        <f t="shared" si="17"/>
        <v>0</v>
      </c>
      <c r="CF15" s="99">
        <f t="shared" si="18"/>
        <v>0</v>
      </c>
      <c r="CG15" s="99">
        <f t="shared" si="19"/>
        <v>62000</v>
      </c>
      <c r="CH15" s="99">
        <f t="shared" si="20"/>
        <v>0</v>
      </c>
      <c r="CI15" s="99">
        <f t="shared" si="21"/>
        <v>0</v>
      </c>
      <c r="CJ15" s="99">
        <f t="shared" si="22"/>
        <v>0</v>
      </c>
      <c r="CK15" s="99">
        <f t="shared" si="23"/>
        <v>0</v>
      </c>
      <c r="CL15" s="99">
        <f t="shared" si="24"/>
        <v>0</v>
      </c>
      <c r="CM15" s="99">
        <f t="shared" si="25"/>
        <v>0</v>
      </c>
    </row>
    <row r="16" spans="1:91" s="355" customFormat="1" ht="14.25" customHeight="1" x14ac:dyDescent="0.2">
      <c r="A16" s="965" t="s">
        <v>6745</v>
      </c>
      <c r="B16" s="1481" t="s">
        <v>5089</v>
      </c>
      <c r="C16" s="1481" t="s">
        <v>4139</v>
      </c>
      <c r="D16" s="1481" t="s">
        <v>4139</v>
      </c>
      <c r="E16" s="865"/>
      <c r="F16" s="861">
        <v>134900</v>
      </c>
      <c r="G16" s="862">
        <f>175000+90000+85000</f>
        <v>350000</v>
      </c>
      <c r="H16" s="862">
        <v>166000</v>
      </c>
      <c r="I16" s="960">
        <v>259000</v>
      </c>
      <c r="J16" s="862">
        <v>268000</v>
      </c>
      <c r="K16" s="862"/>
      <c r="L16" s="862"/>
      <c r="M16" s="862"/>
      <c r="N16" s="960"/>
      <c r="O16" s="862"/>
      <c r="P16" s="862"/>
      <c r="Q16" s="962"/>
      <c r="R16" s="2296">
        <v>0</v>
      </c>
      <c r="S16" s="2297">
        <v>0</v>
      </c>
      <c r="T16" s="2297">
        <v>0</v>
      </c>
      <c r="U16" s="2298">
        <f>$F16-R16-S16-T16</f>
        <v>134900</v>
      </c>
      <c r="V16" s="621"/>
      <c r="W16" s="617"/>
      <c r="X16" s="617"/>
      <c r="Y16" s="620">
        <f t="shared" si="3"/>
        <v>350000</v>
      </c>
      <c r="Z16" s="621"/>
      <c r="AA16" s="617"/>
      <c r="AB16" s="617"/>
      <c r="AC16" s="620">
        <f t="shared" si="4"/>
        <v>166000</v>
      </c>
      <c r="AD16" s="621"/>
      <c r="AE16" s="617"/>
      <c r="AF16" s="617"/>
      <c r="AG16" s="1923">
        <f t="shared" si="5"/>
        <v>259000</v>
      </c>
      <c r="AH16" s="621"/>
      <c r="AI16" s="617"/>
      <c r="AJ16" s="617"/>
      <c r="AK16" s="1927">
        <f t="shared" si="6"/>
        <v>268000</v>
      </c>
      <c r="AL16" s="621"/>
      <c r="AM16" s="617"/>
      <c r="AN16" s="617"/>
      <c r="AO16" s="618">
        <f t="shared" si="7"/>
        <v>0</v>
      </c>
      <c r="AP16" s="621"/>
      <c r="AQ16" s="617"/>
      <c r="AR16" s="617"/>
      <c r="AS16" s="618">
        <f>$L16-AP16-AQ16-AR16</f>
        <v>0</v>
      </c>
      <c r="AT16" s="621"/>
      <c r="AU16" s="617"/>
      <c r="AV16" s="617"/>
      <c r="AW16" s="620">
        <f>$M16-AT16-AU16-AV16</f>
        <v>0</v>
      </c>
      <c r="AX16" s="621"/>
      <c r="AY16" s="617"/>
      <c r="AZ16" s="617"/>
      <c r="BA16" s="620">
        <f>$N16-AX16-AY16-AZ16</f>
        <v>0</v>
      </c>
      <c r="BB16" s="621"/>
      <c r="BC16" s="617"/>
      <c r="BD16" s="617"/>
      <c r="BE16" s="1927">
        <f t="shared" si="11"/>
        <v>0</v>
      </c>
      <c r="BF16" s="621"/>
      <c r="BG16" s="617"/>
      <c r="BH16" s="617"/>
      <c r="BI16" s="1927">
        <f t="shared" si="12"/>
        <v>0</v>
      </c>
      <c r="BJ16" s="621"/>
      <c r="BK16" s="617"/>
      <c r="BL16" s="617"/>
      <c r="BM16" s="1927">
        <f t="shared" si="26"/>
        <v>0</v>
      </c>
      <c r="BN16" s="621"/>
      <c r="BO16" s="1263">
        <v>1</v>
      </c>
      <c r="BP16" s="1263">
        <f t="shared" ref="BP16:BZ16" si="61">BO16</f>
        <v>1</v>
      </c>
      <c r="BQ16" s="1263">
        <f t="shared" si="61"/>
        <v>1</v>
      </c>
      <c r="BR16" s="1263">
        <f t="shared" si="61"/>
        <v>1</v>
      </c>
      <c r="BS16" s="1263">
        <f t="shared" si="61"/>
        <v>1</v>
      </c>
      <c r="BT16" s="1263">
        <f t="shared" si="61"/>
        <v>1</v>
      </c>
      <c r="BU16" s="1263">
        <f t="shared" si="61"/>
        <v>1</v>
      </c>
      <c r="BV16" s="1263">
        <f t="shared" si="61"/>
        <v>1</v>
      </c>
      <c r="BW16" s="1263">
        <f t="shared" si="61"/>
        <v>1</v>
      </c>
      <c r="BX16" s="1263">
        <f t="shared" si="61"/>
        <v>1</v>
      </c>
      <c r="BY16" s="1263">
        <f t="shared" si="61"/>
        <v>1</v>
      </c>
      <c r="BZ16" s="1263">
        <f t="shared" si="61"/>
        <v>1</v>
      </c>
      <c r="CA16" s="1263"/>
      <c r="CB16" s="99">
        <f t="shared" si="14"/>
        <v>135000</v>
      </c>
      <c r="CC16" s="99">
        <f t="shared" si="15"/>
        <v>350000</v>
      </c>
      <c r="CD16" s="99">
        <f t="shared" si="16"/>
        <v>166000</v>
      </c>
      <c r="CE16" s="99">
        <f t="shared" si="17"/>
        <v>259000</v>
      </c>
      <c r="CF16" s="99">
        <f t="shared" si="18"/>
        <v>268000</v>
      </c>
      <c r="CG16" s="99">
        <f t="shared" si="19"/>
        <v>0</v>
      </c>
      <c r="CH16" s="99">
        <f t="shared" si="20"/>
        <v>0</v>
      </c>
      <c r="CI16" s="99">
        <f t="shared" si="21"/>
        <v>0</v>
      </c>
      <c r="CJ16" s="99">
        <f t="shared" si="22"/>
        <v>0</v>
      </c>
      <c r="CK16" s="99">
        <f t="shared" si="23"/>
        <v>0</v>
      </c>
      <c r="CL16" s="99">
        <f t="shared" si="24"/>
        <v>0</v>
      </c>
      <c r="CM16" s="99">
        <f t="shared" si="25"/>
        <v>0</v>
      </c>
    </row>
    <row r="17" spans="1:91" s="355" customFormat="1" ht="14.25" customHeight="1" x14ac:dyDescent="0.2">
      <c r="A17" s="965" t="s">
        <v>6744</v>
      </c>
      <c r="B17" s="1481"/>
      <c r="C17" s="1481"/>
      <c r="D17" s="1481"/>
      <c r="E17" s="865"/>
      <c r="F17" s="861"/>
      <c r="G17" s="862"/>
      <c r="H17" s="862"/>
      <c r="I17" s="960"/>
      <c r="J17" s="862">
        <v>338000</v>
      </c>
      <c r="K17" s="862">
        <v>348000</v>
      </c>
      <c r="L17" s="862">
        <v>358000</v>
      </c>
      <c r="M17" s="862">
        <v>369000</v>
      </c>
      <c r="N17" s="960">
        <v>380000</v>
      </c>
      <c r="O17" s="862">
        <v>391000</v>
      </c>
      <c r="P17" s="862">
        <v>400000</v>
      </c>
      <c r="Q17" s="962">
        <v>410000</v>
      </c>
      <c r="R17" s="2296">
        <v>0</v>
      </c>
      <c r="S17" s="2297">
        <v>0</v>
      </c>
      <c r="T17" s="2297">
        <v>0</v>
      </c>
      <c r="U17" s="2298">
        <f>$F17-R17-S17-T17</f>
        <v>0</v>
      </c>
      <c r="V17" s="621"/>
      <c r="W17" s="617"/>
      <c r="X17" s="617"/>
      <c r="Y17" s="620">
        <f t="shared" si="3"/>
        <v>0</v>
      </c>
      <c r="Z17" s="621"/>
      <c r="AA17" s="617"/>
      <c r="AB17" s="617"/>
      <c r="AC17" s="620">
        <f t="shared" si="4"/>
        <v>0</v>
      </c>
      <c r="AD17" s="621"/>
      <c r="AE17" s="617"/>
      <c r="AF17" s="617"/>
      <c r="AG17" s="1923">
        <f t="shared" si="5"/>
        <v>0</v>
      </c>
      <c r="AH17" s="621"/>
      <c r="AI17" s="617"/>
      <c r="AJ17" s="617"/>
      <c r="AK17" s="1927">
        <f t="shared" si="6"/>
        <v>338000</v>
      </c>
      <c r="AL17" s="621"/>
      <c r="AM17" s="617"/>
      <c r="AN17" s="617"/>
      <c r="AO17" s="618">
        <f t="shared" si="7"/>
        <v>348000</v>
      </c>
      <c r="AP17" s="621"/>
      <c r="AQ17" s="617"/>
      <c r="AR17" s="617"/>
      <c r="AS17" s="618">
        <f>$L17-AP17-AQ17-AR17</f>
        <v>358000</v>
      </c>
      <c r="AT17" s="621"/>
      <c r="AU17" s="617"/>
      <c r="AV17" s="617"/>
      <c r="AW17" s="620">
        <f>$M17-AT17-AU17-AV17</f>
        <v>369000</v>
      </c>
      <c r="AX17" s="621"/>
      <c r="AY17" s="617"/>
      <c r="AZ17" s="617"/>
      <c r="BA17" s="620">
        <f>$N17-AX17-AY17-AZ17</f>
        <v>380000</v>
      </c>
      <c r="BB17" s="621"/>
      <c r="BC17" s="617"/>
      <c r="BD17" s="617"/>
      <c r="BE17" s="1927">
        <f t="shared" si="11"/>
        <v>391000</v>
      </c>
      <c r="BF17" s="621"/>
      <c r="BG17" s="617"/>
      <c r="BH17" s="617"/>
      <c r="BI17" s="1927">
        <f t="shared" si="12"/>
        <v>400000</v>
      </c>
      <c r="BJ17" s="621"/>
      <c r="BK17" s="617"/>
      <c r="BL17" s="617"/>
      <c r="BM17" s="1927">
        <f t="shared" si="26"/>
        <v>410000</v>
      </c>
      <c r="BN17" s="621"/>
      <c r="BO17" s="1263">
        <v>1</v>
      </c>
      <c r="BP17" s="1263">
        <f t="shared" ref="BP17" si="62">BO17</f>
        <v>1</v>
      </c>
      <c r="BQ17" s="1263">
        <f t="shared" ref="BQ17" si="63">BP17</f>
        <v>1</v>
      </c>
      <c r="BR17" s="1263">
        <f t="shared" ref="BR17" si="64">BQ17</f>
        <v>1</v>
      </c>
      <c r="BS17" s="1263">
        <f t="shared" ref="BS17" si="65">BR17</f>
        <v>1</v>
      </c>
      <c r="BT17" s="1263">
        <f t="shared" ref="BT17" si="66">BS17</f>
        <v>1</v>
      </c>
      <c r="BU17" s="1263">
        <f t="shared" ref="BU17" si="67">BT17</f>
        <v>1</v>
      </c>
      <c r="BV17" s="1263">
        <f t="shared" ref="BV17" si="68">BU17</f>
        <v>1</v>
      </c>
      <c r="BW17" s="1263">
        <f t="shared" ref="BW17" si="69">BV17</f>
        <v>1</v>
      </c>
      <c r="BX17" s="1263">
        <f t="shared" ref="BX17:BZ17" si="70">BW17</f>
        <v>1</v>
      </c>
      <c r="BY17" s="1263">
        <f t="shared" si="70"/>
        <v>1</v>
      </c>
      <c r="BZ17" s="1263">
        <f t="shared" si="70"/>
        <v>1</v>
      </c>
      <c r="CA17" s="1263"/>
      <c r="CB17" s="99">
        <f t="shared" si="14"/>
        <v>0</v>
      </c>
      <c r="CC17" s="99">
        <f t="shared" si="15"/>
        <v>0</v>
      </c>
      <c r="CD17" s="99">
        <f t="shared" si="16"/>
        <v>0</v>
      </c>
      <c r="CE17" s="99">
        <f t="shared" si="17"/>
        <v>0</v>
      </c>
      <c r="CF17" s="99">
        <f t="shared" si="18"/>
        <v>338000</v>
      </c>
      <c r="CG17" s="99">
        <f t="shared" si="19"/>
        <v>348000</v>
      </c>
      <c r="CH17" s="99">
        <f t="shared" si="20"/>
        <v>358000</v>
      </c>
      <c r="CI17" s="99">
        <f t="shared" si="21"/>
        <v>369000</v>
      </c>
      <c r="CJ17" s="99">
        <f t="shared" si="22"/>
        <v>380000</v>
      </c>
      <c r="CK17" s="99">
        <f t="shared" si="23"/>
        <v>391000</v>
      </c>
      <c r="CL17" s="99">
        <f t="shared" si="24"/>
        <v>400000</v>
      </c>
      <c r="CM17" s="99">
        <f t="shared" si="25"/>
        <v>410000</v>
      </c>
    </row>
    <row r="18" spans="1:91" s="355" customFormat="1" ht="14.25" customHeight="1" x14ac:dyDescent="0.2">
      <c r="A18" s="965" t="s">
        <v>6128</v>
      </c>
      <c r="B18" s="1480"/>
      <c r="C18" s="1480"/>
      <c r="D18" s="1480"/>
      <c r="E18" s="865"/>
      <c r="F18" s="861"/>
      <c r="G18" s="960"/>
      <c r="H18" s="960">
        <v>20000</v>
      </c>
      <c r="I18" s="960"/>
      <c r="J18" s="960"/>
      <c r="K18" s="960"/>
      <c r="L18" s="960"/>
      <c r="M18" s="960"/>
      <c r="N18" s="960"/>
      <c r="O18" s="862"/>
      <c r="P18" s="862"/>
      <c r="Q18" s="962"/>
      <c r="R18" s="2296"/>
      <c r="S18" s="2297"/>
      <c r="T18" s="2297"/>
      <c r="U18" s="2298"/>
      <c r="V18" s="621"/>
      <c r="W18" s="617"/>
      <c r="X18" s="617"/>
      <c r="Y18" s="620">
        <f t="shared" si="3"/>
        <v>0</v>
      </c>
      <c r="Z18" s="621"/>
      <c r="AA18" s="617"/>
      <c r="AB18" s="617"/>
      <c r="AC18" s="620">
        <f t="shared" si="4"/>
        <v>20000</v>
      </c>
      <c r="AD18" s="621"/>
      <c r="AE18" s="617"/>
      <c r="AF18" s="617"/>
      <c r="AG18" s="1923">
        <f t="shared" si="5"/>
        <v>0</v>
      </c>
      <c r="AH18" s="621"/>
      <c r="AI18" s="617"/>
      <c r="AJ18" s="617"/>
      <c r="AK18" s="1927">
        <f t="shared" si="6"/>
        <v>0</v>
      </c>
      <c r="AL18" s="621"/>
      <c r="AM18" s="617"/>
      <c r="AN18" s="617"/>
      <c r="AO18" s="618">
        <f t="shared" si="7"/>
        <v>0</v>
      </c>
      <c r="AP18" s="621"/>
      <c r="AQ18" s="617"/>
      <c r="AR18" s="617"/>
      <c r="AS18" s="618">
        <f>$L18-AP18-AQ18-AR18</f>
        <v>0</v>
      </c>
      <c r="AT18" s="621"/>
      <c r="AU18" s="617"/>
      <c r="AV18" s="617"/>
      <c r="AW18" s="620">
        <f>$M18-AT18-AU18-AV18</f>
        <v>0</v>
      </c>
      <c r="AX18" s="621"/>
      <c r="AY18" s="617"/>
      <c r="AZ18" s="617"/>
      <c r="BA18" s="620">
        <f>$N18-AX18-AY18-AZ18</f>
        <v>0</v>
      </c>
      <c r="BB18" s="621"/>
      <c r="BC18" s="617"/>
      <c r="BD18" s="617"/>
      <c r="BE18" s="1927">
        <f t="shared" si="11"/>
        <v>0</v>
      </c>
      <c r="BF18" s="621"/>
      <c r="BG18" s="617"/>
      <c r="BH18" s="617"/>
      <c r="BI18" s="1927">
        <f t="shared" si="12"/>
        <v>0</v>
      </c>
      <c r="BJ18" s="621"/>
      <c r="BK18" s="617"/>
      <c r="BL18" s="617"/>
      <c r="BM18" s="1927">
        <f t="shared" si="26"/>
        <v>0</v>
      </c>
      <c r="BN18" s="621"/>
      <c r="BO18" s="1263">
        <v>1</v>
      </c>
      <c r="BP18" s="1263">
        <f t="shared" ref="BP18" si="71">BO18</f>
        <v>1</v>
      </c>
      <c r="BQ18" s="1263">
        <f t="shared" ref="BQ18" si="72">BP18</f>
        <v>1</v>
      </c>
      <c r="BR18" s="1263">
        <f t="shared" ref="BR18" si="73">BQ18</f>
        <v>1</v>
      </c>
      <c r="BS18" s="1263">
        <f t="shared" ref="BS18" si="74">BR18</f>
        <v>1</v>
      </c>
      <c r="BT18" s="1263">
        <f t="shared" ref="BT18" si="75">BS18</f>
        <v>1</v>
      </c>
      <c r="BU18" s="1263">
        <f t="shared" ref="BU18" si="76">BT18</f>
        <v>1</v>
      </c>
      <c r="BV18" s="1263">
        <f t="shared" ref="BV18" si="77">BU18</f>
        <v>1</v>
      </c>
      <c r="BW18" s="1263">
        <f t="shared" ref="BW18" si="78">BV18</f>
        <v>1</v>
      </c>
      <c r="BX18" s="1263">
        <f t="shared" ref="BX18" si="79">BW18</f>
        <v>1</v>
      </c>
      <c r="BY18" s="1263">
        <f t="shared" ref="BY18:BZ18" si="80">BX18</f>
        <v>1</v>
      </c>
      <c r="BZ18" s="1263">
        <f t="shared" si="80"/>
        <v>1</v>
      </c>
      <c r="CA18" s="1263"/>
      <c r="CB18" s="99">
        <f t="shared" si="14"/>
        <v>0</v>
      </c>
      <c r="CC18" s="99">
        <f t="shared" si="15"/>
        <v>0</v>
      </c>
      <c r="CD18" s="99">
        <f t="shared" si="16"/>
        <v>20000</v>
      </c>
      <c r="CE18" s="99">
        <f t="shared" si="17"/>
        <v>0</v>
      </c>
      <c r="CF18" s="99">
        <f t="shared" si="18"/>
        <v>0</v>
      </c>
      <c r="CG18" s="99">
        <f t="shared" si="19"/>
        <v>0</v>
      </c>
      <c r="CH18" s="99">
        <f t="shared" si="20"/>
        <v>0</v>
      </c>
      <c r="CI18" s="99">
        <f t="shared" si="21"/>
        <v>0</v>
      </c>
      <c r="CJ18" s="99">
        <f t="shared" si="22"/>
        <v>0</v>
      </c>
      <c r="CK18" s="99">
        <f t="shared" si="23"/>
        <v>0</v>
      </c>
      <c r="CL18" s="99">
        <f t="shared" si="24"/>
        <v>0</v>
      </c>
      <c r="CM18" s="99">
        <f t="shared" si="25"/>
        <v>0</v>
      </c>
    </row>
    <row r="19" spans="1:91" s="354" customFormat="1" ht="15" customHeight="1" x14ac:dyDescent="0.2">
      <c r="A19" s="1507"/>
      <c r="B19" s="288"/>
      <c r="C19" s="288"/>
      <c r="D19" s="288"/>
      <c r="E19" s="1875"/>
      <c r="F19" s="2725"/>
      <c r="G19" s="1876"/>
      <c r="H19" s="1876"/>
      <c r="I19" s="1876"/>
      <c r="J19" s="1876"/>
      <c r="K19" s="1876"/>
      <c r="L19" s="1876"/>
      <c r="M19" s="1876"/>
      <c r="N19" s="1876"/>
      <c r="O19" s="2195"/>
      <c r="P19" s="2195"/>
      <c r="Q19" s="2726"/>
      <c r="R19" s="2299"/>
      <c r="S19" s="2300"/>
      <c r="T19" s="2300"/>
      <c r="U19" s="2301"/>
      <c r="V19" s="288"/>
      <c r="W19" s="309"/>
      <c r="X19" s="309"/>
      <c r="Y19" s="289"/>
      <c r="Z19" s="288"/>
      <c r="AA19" s="309"/>
      <c r="AB19" s="309"/>
      <c r="AC19" s="289"/>
      <c r="AD19" s="288"/>
      <c r="AE19" s="309"/>
      <c r="AF19" s="309"/>
      <c r="AG19" s="435"/>
      <c r="AH19" s="288"/>
      <c r="AI19" s="309"/>
      <c r="AJ19" s="309"/>
      <c r="AK19" s="435"/>
      <c r="AL19" s="288"/>
      <c r="AM19" s="309"/>
      <c r="AN19" s="309"/>
      <c r="AO19" s="289"/>
      <c r="AP19" s="288"/>
      <c r="AQ19" s="309"/>
      <c r="AR19" s="309"/>
      <c r="AS19" s="289"/>
      <c r="AT19" s="288"/>
      <c r="AU19" s="309"/>
      <c r="AV19" s="309"/>
      <c r="AW19" s="289"/>
      <c r="AX19" s="288"/>
      <c r="AY19" s="309"/>
      <c r="AZ19" s="309"/>
      <c r="BA19" s="289"/>
      <c r="BB19" s="288"/>
      <c r="BC19" s="309"/>
      <c r="BD19" s="309"/>
      <c r="BE19" s="435"/>
      <c r="BF19" s="288"/>
      <c r="BG19" s="309"/>
      <c r="BH19" s="309"/>
      <c r="BI19" s="435"/>
      <c r="BJ19" s="288"/>
      <c r="BK19" s="309"/>
      <c r="BL19" s="309"/>
      <c r="BM19" s="435"/>
      <c r="BN19" s="288"/>
      <c r="BO19" s="546"/>
      <c r="BP19" s="546"/>
      <c r="BQ19" s="546"/>
      <c r="BR19" s="546"/>
      <c r="BS19" s="546"/>
      <c r="BT19" s="546"/>
      <c r="BU19" s="546"/>
      <c r="BV19" s="546"/>
      <c r="BW19" s="546"/>
      <c r="BX19" s="546"/>
      <c r="BY19" s="546"/>
      <c r="BZ19" s="546"/>
      <c r="CA19" s="546"/>
      <c r="CB19" s="84"/>
      <c r="CC19" s="84"/>
      <c r="CD19" s="84"/>
      <c r="CE19" s="84"/>
      <c r="CF19" s="84"/>
      <c r="CG19" s="84"/>
      <c r="CH19" s="84"/>
      <c r="CI19" s="84"/>
      <c r="CJ19" s="84"/>
      <c r="CK19" s="84"/>
      <c r="CL19" s="84"/>
      <c r="CM19" s="84"/>
    </row>
    <row r="20" spans="1:91" s="355" customFormat="1" ht="14.25" customHeight="1" x14ac:dyDescent="0.2">
      <c r="A20" s="1508" t="s">
        <v>4972</v>
      </c>
      <c r="B20" s="1480"/>
      <c r="C20" s="1480"/>
      <c r="D20" s="1480"/>
      <c r="E20" s="865"/>
      <c r="F20" s="861"/>
      <c r="G20" s="960"/>
      <c r="H20" s="862"/>
      <c r="I20" s="960"/>
      <c r="J20" s="862"/>
      <c r="K20" s="862"/>
      <c r="L20" s="960"/>
      <c r="M20" s="862"/>
      <c r="N20" s="862"/>
      <c r="O20" s="862"/>
      <c r="P20" s="862"/>
      <c r="Q20" s="962"/>
      <c r="R20" s="2296"/>
      <c r="S20" s="2297"/>
      <c r="T20" s="2297"/>
      <c r="U20" s="2298"/>
      <c r="V20" s="621"/>
      <c r="W20" s="617"/>
      <c r="X20" s="617"/>
      <c r="Y20" s="620"/>
      <c r="Z20" s="621"/>
      <c r="AA20" s="617"/>
      <c r="AB20" s="617"/>
      <c r="AC20" s="620"/>
      <c r="AD20" s="621"/>
      <c r="AE20" s="617"/>
      <c r="AF20" s="617"/>
      <c r="AG20" s="1923"/>
      <c r="AH20" s="621"/>
      <c r="AI20" s="617"/>
      <c r="AJ20" s="617"/>
      <c r="AK20" s="1927"/>
      <c r="AL20" s="621"/>
      <c r="AM20" s="617"/>
      <c r="AN20" s="617"/>
      <c r="AO20" s="618"/>
      <c r="AP20" s="621"/>
      <c r="AQ20" s="617"/>
      <c r="AR20" s="617"/>
      <c r="AS20" s="618"/>
      <c r="AT20" s="621"/>
      <c r="AU20" s="617"/>
      <c r="AV20" s="617"/>
      <c r="AW20" s="620"/>
      <c r="AX20" s="621"/>
      <c r="AY20" s="617"/>
      <c r="AZ20" s="617"/>
      <c r="BA20" s="620"/>
      <c r="BB20" s="621"/>
      <c r="BC20" s="617"/>
      <c r="BD20" s="617"/>
      <c r="BE20" s="1927"/>
      <c r="BF20" s="621"/>
      <c r="BG20" s="617"/>
      <c r="BH20" s="617"/>
      <c r="BI20" s="1927"/>
      <c r="BJ20" s="621"/>
      <c r="BK20" s="617"/>
      <c r="BL20" s="617"/>
      <c r="BM20" s="1927"/>
      <c r="BN20" s="621"/>
      <c r="BO20" s="546"/>
      <c r="BP20" s="546"/>
      <c r="BQ20" s="867"/>
      <c r="BR20" s="867"/>
      <c r="BS20" s="867"/>
      <c r="BT20" s="867"/>
      <c r="BU20" s="867"/>
      <c r="BV20" s="867"/>
      <c r="BW20" s="867"/>
      <c r="BX20" s="867"/>
      <c r="BY20" s="867"/>
      <c r="BZ20" s="867"/>
      <c r="CA20" s="867"/>
      <c r="CB20" s="92"/>
      <c r="CC20" s="92"/>
      <c r="CD20" s="92"/>
      <c r="CE20" s="92"/>
      <c r="CF20" s="92"/>
      <c r="CG20" s="92"/>
      <c r="CH20" s="92"/>
      <c r="CI20" s="92"/>
      <c r="CJ20" s="92"/>
      <c r="CK20" s="92"/>
      <c r="CL20" s="92"/>
      <c r="CM20" s="92"/>
    </row>
    <row r="21" spans="1:91" s="355" customFormat="1" ht="14.25" customHeight="1" x14ac:dyDescent="0.2">
      <c r="A21" s="966" t="s">
        <v>4293</v>
      </c>
      <c r="B21" s="1481" t="s">
        <v>5134</v>
      </c>
      <c r="C21" s="1481" t="s">
        <v>5135</v>
      </c>
      <c r="D21" s="1481" t="s">
        <v>5135</v>
      </c>
      <c r="E21" s="865"/>
      <c r="F21" s="861">
        <v>67100</v>
      </c>
      <c r="G21" s="960">
        <v>21000</v>
      </c>
      <c r="H21" s="862">
        <v>21000</v>
      </c>
      <c r="I21" s="960">
        <v>22000</v>
      </c>
      <c r="J21" s="862">
        <v>23000</v>
      </c>
      <c r="K21" s="862">
        <v>23000</v>
      </c>
      <c r="L21" s="960">
        <v>24000</v>
      </c>
      <c r="M21" s="862">
        <v>25000</v>
      </c>
      <c r="N21" s="862">
        <v>25000</v>
      </c>
      <c r="O21" s="862">
        <v>26000</v>
      </c>
      <c r="P21" s="862">
        <v>27000</v>
      </c>
      <c r="Q21" s="962">
        <v>28000</v>
      </c>
      <c r="R21" s="2296"/>
      <c r="S21" s="2297"/>
      <c r="T21" s="2297"/>
      <c r="U21" s="2298">
        <f t="shared" ref="U21:U24" si="81">$F21-R21-S21-T21</f>
        <v>67100</v>
      </c>
      <c r="V21" s="621"/>
      <c r="W21" s="617"/>
      <c r="X21" s="617"/>
      <c r="Y21" s="620">
        <f t="shared" ref="Y21:Y26" si="82">$G21-V21-W21-X21</f>
        <v>21000</v>
      </c>
      <c r="Z21" s="621"/>
      <c r="AA21" s="617"/>
      <c r="AB21" s="617"/>
      <c r="AC21" s="620">
        <f t="shared" ref="AC21:AC26" si="83">$H21-Z21-AA21-AB21</f>
        <v>21000</v>
      </c>
      <c r="AD21" s="621"/>
      <c r="AE21" s="617"/>
      <c r="AF21" s="617"/>
      <c r="AG21" s="1923">
        <f t="shared" ref="AG21:AG26" si="84">$I21-AD21-AE21-AF21</f>
        <v>22000</v>
      </c>
      <c r="AH21" s="621"/>
      <c r="AI21" s="617"/>
      <c r="AJ21" s="617"/>
      <c r="AK21" s="1927">
        <f t="shared" ref="AK21:AK26" si="85">$J21-AH21-AI21-AJ21</f>
        <v>23000</v>
      </c>
      <c r="AL21" s="621"/>
      <c r="AM21" s="617"/>
      <c r="AN21" s="617"/>
      <c r="AO21" s="618">
        <f t="shared" ref="AO21:AO26" si="86">$K21-AL21-AM21-AN21</f>
        <v>23000</v>
      </c>
      <c r="AP21" s="621"/>
      <c r="AQ21" s="617"/>
      <c r="AR21" s="617"/>
      <c r="AS21" s="618">
        <f t="shared" ref="AS21:AS26" si="87">$L21-AP21-AQ21-AR21</f>
        <v>24000</v>
      </c>
      <c r="AT21" s="621"/>
      <c r="AU21" s="617"/>
      <c r="AV21" s="617"/>
      <c r="AW21" s="620">
        <f t="shared" ref="AW21:AW26" si="88">$M21-AT21-AU21-AV21</f>
        <v>25000</v>
      </c>
      <c r="AX21" s="621"/>
      <c r="AY21" s="617"/>
      <c r="AZ21" s="617"/>
      <c r="BA21" s="620">
        <f t="shared" ref="BA21:BA26" si="89">$N21-AX21-AY21-AZ21</f>
        <v>25000</v>
      </c>
      <c r="BB21" s="621"/>
      <c r="BC21" s="617"/>
      <c r="BD21" s="617"/>
      <c r="BE21" s="1927">
        <f t="shared" ref="BE21:BE26" si="90">$O21-BB21-BC21-BD21</f>
        <v>26000</v>
      </c>
      <c r="BF21" s="621"/>
      <c r="BG21" s="617"/>
      <c r="BH21" s="617"/>
      <c r="BI21" s="1927">
        <f t="shared" ref="BI21:BI24" si="91">$P21-BF21-BG21-BH21</f>
        <v>27000</v>
      </c>
      <c r="BJ21" s="621"/>
      <c r="BK21" s="617"/>
      <c r="BL21" s="617"/>
      <c r="BM21" s="1927">
        <f t="shared" ref="BM21:BM72" si="92">$Q21-BJ21-BK21-BL21</f>
        <v>28000</v>
      </c>
      <c r="BN21" s="621"/>
      <c r="BO21" s="1263">
        <v>1</v>
      </c>
      <c r="BP21" s="1263">
        <f t="shared" ref="BP21:BP24" si="93">BO21</f>
        <v>1</v>
      </c>
      <c r="BQ21" s="1263">
        <f t="shared" ref="BQ21:BQ24" si="94">BP21</f>
        <v>1</v>
      </c>
      <c r="BR21" s="1263">
        <f t="shared" ref="BR21:BR24" si="95">BQ21</f>
        <v>1</v>
      </c>
      <c r="BS21" s="1263">
        <f t="shared" ref="BS21:BS24" si="96">BR21</f>
        <v>1</v>
      </c>
      <c r="BT21" s="1263">
        <f t="shared" ref="BT21:BT24" si="97">BS21</f>
        <v>1</v>
      </c>
      <c r="BU21" s="1263">
        <f t="shared" ref="BU21:BU24" si="98">BT21</f>
        <v>1</v>
      </c>
      <c r="BV21" s="1263">
        <f t="shared" ref="BV21:BV24" si="99">BU21</f>
        <v>1</v>
      </c>
      <c r="BW21" s="1263">
        <f t="shared" ref="BW21:BZ24" si="100">BV21</f>
        <v>1</v>
      </c>
      <c r="BX21" s="1263">
        <f t="shared" si="100"/>
        <v>1</v>
      </c>
      <c r="BY21" s="1263">
        <f t="shared" si="100"/>
        <v>1</v>
      </c>
      <c r="BZ21" s="1263">
        <f t="shared" si="100"/>
        <v>1</v>
      </c>
      <c r="CA21" s="1263"/>
      <c r="CB21" s="99">
        <f t="shared" ref="CB21:CM26" si="101">ROUND(BO21*F21,-3)</f>
        <v>67000</v>
      </c>
      <c r="CC21" s="99">
        <f t="shared" si="101"/>
        <v>21000</v>
      </c>
      <c r="CD21" s="99">
        <f t="shared" si="101"/>
        <v>21000</v>
      </c>
      <c r="CE21" s="99">
        <f t="shared" si="101"/>
        <v>22000</v>
      </c>
      <c r="CF21" s="99">
        <f t="shared" si="101"/>
        <v>23000</v>
      </c>
      <c r="CG21" s="99">
        <f t="shared" si="101"/>
        <v>23000</v>
      </c>
      <c r="CH21" s="99">
        <f t="shared" si="101"/>
        <v>24000</v>
      </c>
      <c r="CI21" s="99">
        <f t="shared" si="101"/>
        <v>25000</v>
      </c>
      <c r="CJ21" s="99">
        <f t="shared" si="101"/>
        <v>25000</v>
      </c>
      <c r="CK21" s="99">
        <f t="shared" si="101"/>
        <v>26000</v>
      </c>
      <c r="CL21" s="99">
        <f t="shared" si="101"/>
        <v>27000</v>
      </c>
      <c r="CM21" s="99">
        <f t="shared" si="101"/>
        <v>28000</v>
      </c>
    </row>
    <row r="22" spans="1:91" s="355" customFormat="1" ht="14.25" customHeight="1" x14ac:dyDescent="0.2">
      <c r="A22" s="966" t="s">
        <v>4294</v>
      </c>
      <c r="B22" s="1481" t="s">
        <v>5136</v>
      </c>
      <c r="C22" s="1481" t="s">
        <v>5137</v>
      </c>
      <c r="D22" s="1481" t="s">
        <v>5137</v>
      </c>
      <c r="E22" s="865"/>
      <c r="F22" s="861">
        <v>11900</v>
      </c>
      <c r="G22" s="960">
        <v>21000</v>
      </c>
      <c r="H22" s="862">
        <v>21000</v>
      </c>
      <c r="I22" s="960">
        <v>22000</v>
      </c>
      <c r="J22" s="862">
        <v>23000</v>
      </c>
      <c r="K22" s="862">
        <v>23000</v>
      </c>
      <c r="L22" s="960">
        <v>24000</v>
      </c>
      <c r="M22" s="862">
        <v>25000</v>
      </c>
      <c r="N22" s="862">
        <v>25000</v>
      </c>
      <c r="O22" s="862">
        <v>26000</v>
      </c>
      <c r="P22" s="862">
        <v>27000</v>
      </c>
      <c r="Q22" s="962">
        <v>28000</v>
      </c>
      <c r="R22" s="2296"/>
      <c r="S22" s="2297"/>
      <c r="T22" s="2297"/>
      <c r="U22" s="2298">
        <f t="shared" si="81"/>
        <v>11900</v>
      </c>
      <c r="V22" s="621"/>
      <c r="W22" s="617"/>
      <c r="X22" s="617"/>
      <c r="Y22" s="620">
        <f t="shared" si="82"/>
        <v>21000</v>
      </c>
      <c r="Z22" s="621"/>
      <c r="AA22" s="617"/>
      <c r="AB22" s="617"/>
      <c r="AC22" s="620">
        <f t="shared" si="83"/>
        <v>21000</v>
      </c>
      <c r="AD22" s="621"/>
      <c r="AE22" s="617"/>
      <c r="AF22" s="617"/>
      <c r="AG22" s="1923">
        <f t="shared" si="84"/>
        <v>22000</v>
      </c>
      <c r="AH22" s="621"/>
      <c r="AI22" s="617"/>
      <c r="AJ22" s="617"/>
      <c r="AK22" s="1927">
        <f t="shared" si="85"/>
        <v>23000</v>
      </c>
      <c r="AL22" s="621"/>
      <c r="AM22" s="617"/>
      <c r="AN22" s="617"/>
      <c r="AO22" s="618">
        <f t="shared" si="86"/>
        <v>23000</v>
      </c>
      <c r="AP22" s="621"/>
      <c r="AQ22" s="617"/>
      <c r="AR22" s="617"/>
      <c r="AS22" s="618">
        <f t="shared" si="87"/>
        <v>24000</v>
      </c>
      <c r="AT22" s="621"/>
      <c r="AU22" s="617"/>
      <c r="AV22" s="617"/>
      <c r="AW22" s="620">
        <f t="shared" si="88"/>
        <v>25000</v>
      </c>
      <c r="AX22" s="621"/>
      <c r="AY22" s="617"/>
      <c r="AZ22" s="617"/>
      <c r="BA22" s="620">
        <f t="shared" si="89"/>
        <v>25000</v>
      </c>
      <c r="BB22" s="621"/>
      <c r="BC22" s="617"/>
      <c r="BD22" s="617"/>
      <c r="BE22" s="1927">
        <f t="shared" si="90"/>
        <v>26000</v>
      </c>
      <c r="BF22" s="621"/>
      <c r="BG22" s="617"/>
      <c r="BH22" s="617"/>
      <c r="BI22" s="1927">
        <f t="shared" si="91"/>
        <v>27000</v>
      </c>
      <c r="BJ22" s="621"/>
      <c r="BK22" s="617"/>
      <c r="BL22" s="617"/>
      <c r="BM22" s="1927">
        <f t="shared" si="92"/>
        <v>28000</v>
      </c>
      <c r="BN22" s="621"/>
      <c r="BO22" s="1263">
        <v>1</v>
      </c>
      <c r="BP22" s="1263">
        <f t="shared" si="93"/>
        <v>1</v>
      </c>
      <c r="BQ22" s="1263">
        <f t="shared" si="94"/>
        <v>1</v>
      </c>
      <c r="BR22" s="1263">
        <f t="shared" si="95"/>
        <v>1</v>
      </c>
      <c r="BS22" s="1263">
        <f t="shared" si="96"/>
        <v>1</v>
      </c>
      <c r="BT22" s="1263">
        <f t="shared" si="97"/>
        <v>1</v>
      </c>
      <c r="BU22" s="1263">
        <f t="shared" si="98"/>
        <v>1</v>
      </c>
      <c r="BV22" s="1263">
        <f t="shared" si="99"/>
        <v>1</v>
      </c>
      <c r="BW22" s="1263">
        <f t="shared" si="100"/>
        <v>1</v>
      </c>
      <c r="BX22" s="1263">
        <f t="shared" si="100"/>
        <v>1</v>
      </c>
      <c r="BY22" s="1263">
        <f t="shared" si="100"/>
        <v>1</v>
      </c>
      <c r="BZ22" s="1263">
        <f t="shared" si="100"/>
        <v>1</v>
      </c>
      <c r="CA22" s="1263"/>
      <c r="CB22" s="99">
        <f t="shared" si="101"/>
        <v>12000</v>
      </c>
      <c r="CC22" s="99">
        <f t="shared" si="101"/>
        <v>21000</v>
      </c>
      <c r="CD22" s="99">
        <f t="shared" si="101"/>
        <v>21000</v>
      </c>
      <c r="CE22" s="99">
        <f t="shared" si="101"/>
        <v>22000</v>
      </c>
      <c r="CF22" s="99">
        <f t="shared" si="101"/>
        <v>23000</v>
      </c>
      <c r="CG22" s="99">
        <f t="shared" si="101"/>
        <v>23000</v>
      </c>
      <c r="CH22" s="99">
        <f t="shared" si="101"/>
        <v>24000</v>
      </c>
      <c r="CI22" s="99">
        <f t="shared" si="101"/>
        <v>25000</v>
      </c>
      <c r="CJ22" s="99">
        <f t="shared" si="101"/>
        <v>25000</v>
      </c>
      <c r="CK22" s="99">
        <f t="shared" si="101"/>
        <v>26000</v>
      </c>
      <c r="CL22" s="99">
        <f t="shared" si="101"/>
        <v>27000</v>
      </c>
      <c r="CM22" s="99">
        <f t="shared" si="101"/>
        <v>28000</v>
      </c>
    </row>
    <row r="23" spans="1:91" s="355" customFormat="1" ht="14.25" customHeight="1" x14ac:dyDescent="0.2">
      <c r="A23" s="966" t="s">
        <v>4295</v>
      </c>
      <c r="B23" s="1481" t="s">
        <v>5138</v>
      </c>
      <c r="C23" s="1481" t="s">
        <v>5139</v>
      </c>
      <c r="D23" s="1481" t="s">
        <v>5139</v>
      </c>
      <c r="E23" s="865"/>
      <c r="F23" s="861">
        <v>12500</v>
      </c>
      <c r="G23" s="960">
        <f>10000+15000</f>
        <v>25000</v>
      </c>
      <c r="H23" s="862">
        <v>11000</v>
      </c>
      <c r="I23" s="960">
        <v>11000</v>
      </c>
      <c r="J23" s="862">
        <v>11000</v>
      </c>
      <c r="K23" s="862">
        <v>12000</v>
      </c>
      <c r="L23" s="960">
        <v>12000</v>
      </c>
      <c r="M23" s="862">
        <v>12000</v>
      </c>
      <c r="N23" s="862">
        <v>13000</v>
      </c>
      <c r="O23" s="862">
        <v>13000</v>
      </c>
      <c r="P23" s="862">
        <v>14000</v>
      </c>
      <c r="Q23" s="962">
        <v>15000</v>
      </c>
      <c r="R23" s="2296"/>
      <c r="S23" s="2297"/>
      <c r="T23" s="2297"/>
      <c r="U23" s="2298">
        <f t="shared" si="81"/>
        <v>12500</v>
      </c>
      <c r="V23" s="621"/>
      <c r="W23" s="617"/>
      <c r="X23" s="617"/>
      <c r="Y23" s="620">
        <f t="shared" si="82"/>
        <v>25000</v>
      </c>
      <c r="Z23" s="621"/>
      <c r="AA23" s="617"/>
      <c r="AB23" s="617"/>
      <c r="AC23" s="620">
        <f t="shared" si="83"/>
        <v>11000</v>
      </c>
      <c r="AD23" s="621"/>
      <c r="AE23" s="617"/>
      <c r="AF23" s="617"/>
      <c r="AG23" s="1923">
        <f t="shared" si="84"/>
        <v>11000</v>
      </c>
      <c r="AH23" s="621"/>
      <c r="AI23" s="617"/>
      <c r="AJ23" s="617"/>
      <c r="AK23" s="1927">
        <f t="shared" si="85"/>
        <v>11000</v>
      </c>
      <c r="AL23" s="621"/>
      <c r="AM23" s="617"/>
      <c r="AN23" s="617"/>
      <c r="AO23" s="618">
        <f t="shared" si="86"/>
        <v>12000</v>
      </c>
      <c r="AP23" s="621"/>
      <c r="AQ23" s="617"/>
      <c r="AR23" s="617"/>
      <c r="AS23" s="618">
        <f t="shared" si="87"/>
        <v>12000</v>
      </c>
      <c r="AT23" s="621"/>
      <c r="AU23" s="617"/>
      <c r="AV23" s="617"/>
      <c r="AW23" s="620">
        <f t="shared" si="88"/>
        <v>12000</v>
      </c>
      <c r="AX23" s="621"/>
      <c r="AY23" s="617"/>
      <c r="AZ23" s="617"/>
      <c r="BA23" s="620">
        <f t="shared" si="89"/>
        <v>13000</v>
      </c>
      <c r="BB23" s="621"/>
      <c r="BC23" s="617"/>
      <c r="BD23" s="617"/>
      <c r="BE23" s="1927">
        <f t="shared" si="90"/>
        <v>13000</v>
      </c>
      <c r="BF23" s="621"/>
      <c r="BG23" s="617"/>
      <c r="BH23" s="617"/>
      <c r="BI23" s="1927">
        <f t="shared" si="91"/>
        <v>14000</v>
      </c>
      <c r="BJ23" s="621"/>
      <c r="BK23" s="617"/>
      <c r="BL23" s="617"/>
      <c r="BM23" s="1927">
        <f t="shared" si="92"/>
        <v>15000</v>
      </c>
      <c r="BN23" s="621"/>
      <c r="BO23" s="1263">
        <v>1</v>
      </c>
      <c r="BP23" s="1263">
        <f t="shared" si="93"/>
        <v>1</v>
      </c>
      <c r="BQ23" s="1263">
        <f t="shared" si="94"/>
        <v>1</v>
      </c>
      <c r="BR23" s="1263">
        <f t="shared" si="95"/>
        <v>1</v>
      </c>
      <c r="BS23" s="1263">
        <f t="shared" si="96"/>
        <v>1</v>
      </c>
      <c r="BT23" s="1263">
        <f t="shared" si="97"/>
        <v>1</v>
      </c>
      <c r="BU23" s="1263">
        <f t="shared" si="98"/>
        <v>1</v>
      </c>
      <c r="BV23" s="1263">
        <f t="shared" si="99"/>
        <v>1</v>
      </c>
      <c r="BW23" s="1263">
        <f t="shared" si="100"/>
        <v>1</v>
      </c>
      <c r="BX23" s="1263">
        <f t="shared" si="100"/>
        <v>1</v>
      </c>
      <c r="BY23" s="1263">
        <f t="shared" si="100"/>
        <v>1</v>
      </c>
      <c r="BZ23" s="1263">
        <f t="shared" si="100"/>
        <v>1</v>
      </c>
      <c r="CA23" s="1263"/>
      <c r="CB23" s="99">
        <f t="shared" si="101"/>
        <v>13000</v>
      </c>
      <c r="CC23" s="99">
        <f t="shared" si="101"/>
        <v>25000</v>
      </c>
      <c r="CD23" s="99">
        <f t="shared" si="101"/>
        <v>11000</v>
      </c>
      <c r="CE23" s="99">
        <f t="shared" si="101"/>
        <v>11000</v>
      </c>
      <c r="CF23" s="99">
        <f t="shared" si="101"/>
        <v>11000</v>
      </c>
      <c r="CG23" s="99">
        <f t="shared" si="101"/>
        <v>12000</v>
      </c>
      <c r="CH23" s="99">
        <f t="shared" si="101"/>
        <v>12000</v>
      </c>
      <c r="CI23" s="99">
        <f t="shared" si="101"/>
        <v>12000</v>
      </c>
      <c r="CJ23" s="99">
        <f t="shared" si="101"/>
        <v>13000</v>
      </c>
      <c r="CK23" s="99">
        <f t="shared" si="101"/>
        <v>13000</v>
      </c>
      <c r="CL23" s="99">
        <f t="shared" si="101"/>
        <v>14000</v>
      </c>
      <c r="CM23" s="99">
        <f t="shared" si="101"/>
        <v>15000</v>
      </c>
    </row>
    <row r="24" spans="1:91" s="355" customFormat="1" ht="14.25" customHeight="1" x14ac:dyDescent="0.2">
      <c r="A24" s="966" t="s">
        <v>4296</v>
      </c>
      <c r="B24" s="1481" t="s">
        <v>5140</v>
      </c>
      <c r="C24" s="1481" t="s">
        <v>5141</v>
      </c>
      <c r="D24" s="1481" t="s">
        <v>5141</v>
      </c>
      <c r="E24" s="865"/>
      <c r="F24" s="861">
        <v>400</v>
      </c>
      <c r="G24" s="960">
        <v>10000</v>
      </c>
      <c r="H24" s="862">
        <v>11000</v>
      </c>
      <c r="I24" s="960">
        <v>11000</v>
      </c>
      <c r="J24" s="862">
        <v>11000</v>
      </c>
      <c r="K24" s="862">
        <v>12000</v>
      </c>
      <c r="L24" s="960">
        <v>12000</v>
      </c>
      <c r="M24" s="862">
        <v>12000</v>
      </c>
      <c r="N24" s="862">
        <v>13000</v>
      </c>
      <c r="O24" s="862">
        <v>13000</v>
      </c>
      <c r="P24" s="862">
        <v>14000</v>
      </c>
      <c r="Q24" s="962">
        <v>15000</v>
      </c>
      <c r="R24" s="2296"/>
      <c r="S24" s="2297"/>
      <c r="T24" s="2297"/>
      <c r="U24" s="2298">
        <f t="shared" si="81"/>
        <v>400</v>
      </c>
      <c r="V24" s="621"/>
      <c r="W24" s="617"/>
      <c r="X24" s="617"/>
      <c r="Y24" s="620">
        <f t="shared" si="82"/>
        <v>10000</v>
      </c>
      <c r="Z24" s="621"/>
      <c r="AA24" s="617"/>
      <c r="AB24" s="617"/>
      <c r="AC24" s="620">
        <f t="shared" si="83"/>
        <v>11000</v>
      </c>
      <c r="AD24" s="621"/>
      <c r="AE24" s="617"/>
      <c r="AF24" s="617"/>
      <c r="AG24" s="1923">
        <f t="shared" si="84"/>
        <v>11000</v>
      </c>
      <c r="AH24" s="621"/>
      <c r="AI24" s="617"/>
      <c r="AJ24" s="617"/>
      <c r="AK24" s="1927">
        <f t="shared" si="85"/>
        <v>11000</v>
      </c>
      <c r="AL24" s="621"/>
      <c r="AM24" s="617"/>
      <c r="AN24" s="617"/>
      <c r="AO24" s="618">
        <f t="shared" si="86"/>
        <v>12000</v>
      </c>
      <c r="AP24" s="621"/>
      <c r="AQ24" s="617"/>
      <c r="AR24" s="617"/>
      <c r="AS24" s="618">
        <f t="shared" si="87"/>
        <v>12000</v>
      </c>
      <c r="AT24" s="621"/>
      <c r="AU24" s="617"/>
      <c r="AV24" s="617"/>
      <c r="AW24" s="620">
        <f t="shared" si="88"/>
        <v>12000</v>
      </c>
      <c r="AX24" s="621"/>
      <c r="AY24" s="617"/>
      <c r="AZ24" s="617"/>
      <c r="BA24" s="620">
        <f t="shared" si="89"/>
        <v>13000</v>
      </c>
      <c r="BB24" s="621"/>
      <c r="BC24" s="617"/>
      <c r="BD24" s="617"/>
      <c r="BE24" s="1927">
        <f t="shared" si="90"/>
        <v>13000</v>
      </c>
      <c r="BF24" s="621"/>
      <c r="BG24" s="617"/>
      <c r="BH24" s="617"/>
      <c r="BI24" s="1927">
        <f t="shared" si="91"/>
        <v>14000</v>
      </c>
      <c r="BJ24" s="621"/>
      <c r="BK24" s="617"/>
      <c r="BL24" s="617"/>
      <c r="BM24" s="1927">
        <f t="shared" si="92"/>
        <v>15000</v>
      </c>
      <c r="BN24" s="621"/>
      <c r="BO24" s="1263">
        <v>1</v>
      </c>
      <c r="BP24" s="1263">
        <f t="shared" si="93"/>
        <v>1</v>
      </c>
      <c r="BQ24" s="1263">
        <f t="shared" si="94"/>
        <v>1</v>
      </c>
      <c r="BR24" s="1263">
        <f t="shared" si="95"/>
        <v>1</v>
      </c>
      <c r="BS24" s="1263">
        <f t="shared" si="96"/>
        <v>1</v>
      </c>
      <c r="BT24" s="1263">
        <f t="shared" si="97"/>
        <v>1</v>
      </c>
      <c r="BU24" s="1263">
        <f t="shared" si="98"/>
        <v>1</v>
      </c>
      <c r="BV24" s="1263">
        <f t="shared" si="99"/>
        <v>1</v>
      </c>
      <c r="BW24" s="1263">
        <f t="shared" si="100"/>
        <v>1</v>
      </c>
      <c r="BX24" s="1263">
        <f t="shared" si="100"/>
        <v>1</v>
      </c>
      <c r="BY24" s="1263">
        <f t="shared" si="100"/>
        <v>1</v>
      </c>
      <c r="BZ24" s="1263">
        <f t="shared" si="100"/>
        <v>1</v>
      </c>
      <c r="CA24" s="1263"/>
      <c r="CB24" s="99">
        <f t="shared" si="101"/>
        <v>0</v>
      </c>
      <c r="CC24" s="99">
        <f t="shared" si="101"/>
        <v>10000</v>
      </c>
      <c r="CD24" s="99">
        <f t="shared" si="101"/>
        <v>11000</v>
      </c>
      <c r="CE24" s="99">
        <f t="shared" si="101"/>
        <v>11000</v>
      </c>
      <c r="CF24" s="99">
        <f t="shared" si="101"/>
        <v>11000</v>
      </c>
      <c r="CG24" s="99">
        <f t="shared" si="101"/>
        <v>12000</v>
      </c>
      <c r="CH24" s="99">
        <f t="shared" si="101"/>
        <v>12000</v>
      </c>
      <c r="CI24" s="99">
        <f t="shared" si="101"/>
        <v>12000</v>
      </c>
      <c r="CJ24" s="99">
        <f t="shared" si="101"/>
        <v>13000</v>
      </c>
      <c r="CK24" s="99">
        <f t="shared" si="101"/>
        <v>13000</v>
      </c>
      <c r="CL24" s="99">
        <f t="shared" si="101"/>
        <v>14000</v>
      </c>
      <c r="CM24" s="99">
        <f t="shared" si="101"/>
        <v>15000</v>
      </c>
    </row>
    <row r="25" spans="1:91" s="355" customFormat="1" ht="14.25" customHeight="1" x14ac:dyDescent="0.2">
      <c r="A25" s="966" t="s">
        <v>6540</v>
      </c>
      <c r="B25" s="1481" t="s">
        <v>5664</v>
      </c>
      <c r="C25" s="1481" t="s">
        <v>5665</v>
      </c>
      <c r="D25" s="1481" t="s">
        <v>5665</v>
      </c>
      <c r="E25" s="865"/>
      <c r="F25" s="861">
        <v>55400</v>
      </c>
      <c r="G25" s="960">
        <f>125000+20000</f>
        <v>145000</v>
      </c>
      <c r="H25" s="862"/>
      <c r="I25" s="960"/>
      <c r="J25" s="960"/>
      <c r="K25" s="960"/>
      <c r="L25" s="960"/>
      <c r="M25" s="961"/>
      <c r="N25" s="862"/>
      <c r="O25" s="862"/>
      <c r="P25" s="862"/>
      <c r="Q25" s="962"/>
      <c r="R25" s="2296"/>
      <c r="S25" s="2297"/>
      <c r="T25" s="2297"/>
      <c r="U25" s="2298">
        <f t="shared" ref="U25:U26" si="102">$F25-R25-S25-T25</f>
        <v>55400</v>
      </c>
      <c r="V25" s="621"/>
      <c r="W25" s="617"/>
      <c r="X25" s="617"/>
      <c r="Y25" s="620">
        <f t="shared" si="82"/>
        <v>145000</v>
      </c>
      <c r="Z25" s="621"/>
      <c r="AA25" s="617"/>
      <c r="AB25" s="617"/>
      <c r="AC25" s="620">
        <f t="shared" si="83"/>
        <v>0</v>
      </c>
      <c r="AD25" s="621"/>
      <c r="AE25" s="617"/>
      <c r="AF25" s="617"/>
      <c r="AG25" s="1923">
        <f t="shared" si="84"/>
        <v>0</v>
      </c>
      <c r="AH25" s="621"/>
      <c r="AI25" s="617"/>
      <c r="AJ25" s="617"/>
      <c r="AK25" s="1927">
        <f t="shared" si="85"/>
        <v>0</v>
      </c>
      <c r="AL25" s="621"/>
      <c r="AM25" s="617"/>
      <c r="AN25" s="617"/>
      <c r="AO25" s="618">
        <f t="shared" si="86"/>
        <v>0</v>
      </c>
      <c r="AP25" s="621"/>
      <c r="AQ25" s="617"/>
      <c r="AR25" s="617"/>
      <c r="AS25" s="618">
        <f t="shared" si="87"/>
        <v>0</v>
      </c>
      <c r="AT25" s="621"/>
      <c r="AU25" s="617"/>
      <c r="AV25" s="617"/>
      <c r="AW25" s="620">
        <f t="shared" si="88"/>
        <v>0</v>
      </c>
      <c r="AX25" s="621"/>
      <c r="AY25" s="617"/>
      <c r="AZ25" s="617"/>
      <c r="BA25" s="620">
        <f t="shared" si="89"/>
        <v>0</v>
      </c>
      <c r="BB25" s="621"/>
      <c r="BC25" s="617"/>
      <c r="BD25" s="617"/>
      <c r="BE25" s="1927">
        <f t="shared" si="90"/>
        <v>0</v>
      </c>
      <c r="BF25" s="621"/>
      <c r="BG25" s="617"/>
      <c r="BH25" s="617"/>
      <c r="BI25" s="1927">
        <f t="shared" ref="BI25:BI26" si="103">$P25-BF25-BG25-BH25</f>
        <v>0</v>
      </c>
      <c r="BJ25" s="621"/>
      <c r="BK25" s="617"/>
      <c r="BL25" s="617"/>
      <c r="BM25" s="1927">
        <f t="shared" si="92"/>
        <v>0</v>
      </c>
      <c r="BN25" s="621"/>
      <c r="BO25" s="1263">
        <v>1</v>
      </c>
      <c r="BP25" s="1263">
        <f t="shared" ref="BP25" si="104">BO25</f>
        <v>1</v>
      </c>
      <c r="BQ25" s="1263">
        <f t="shared" ref="BQ25" si="105">BP25</f>
        <v>1</v>
      </c>
      <c r="BR25" s="1263">
        <f t="shared" ref="BR25" si="106">BQ25</f>
        <v>1</v>
      </c>
      <c r="BS25" s="1263">
        <f t="shared" ref="BS25" si="107">BR25</f>
        <v>1</v>
      </c>
      <c r="BT25" s="1263">
        <f t="shared" ref="BT25" si="108">BS25</f>
        <v>1</v>
      </c>
      <c r="BU25" s="1263">
        <f t="shared" ref="BU25" si="109">BT25</f>
        <v>1</v>
      </c>
      <c r="BV25" s="1263">
        <f t="shared" ref="BV25" si="110">BU25</f>
        <v>1</v>
      </c>
      <c r="BW25" s="1263">
        <f t="shared" ref="BW25" si="111">BV25</f>
        <v>1</v>
      </c>
      <c r="BX25" s="1263">
        <f t="shared" ref="BX25" si="112">BW25</f>
        <v>1</v>
      </c>
      <c r="BY25" s="1263">
        <f t="shared" ref="BY25:BZ25" si="113">BX25</f>
        <v>1</v>
      </c>
      <c r="BZ25" s="1263">
        <f t="shared" si="113"/>
        <v>1</v>
      </c>
      <c r="CA25" s="1263"/>
      <c r="CB25" s="99">
        <f t="shared" si="101"/>
        <v>55000</v>
      </c>
      <c r="CC25" s="99">
        <f t="shared" si="101"/>
        <v>145000</v>
      </c>
      <c r="CD25" s="99">
        <f t="shared" si="101"/>
        <v>0</v>
      </c>
      <c r="CE25" s="99">
        <f t="shared" si="101"/>
        <v>0</v>
      </c>
      <c r="CF25" s="99">
        <f t="shared" si="101"/>
        <v>0</v>
      </c>
      <c r="CG25" s="99">
        <f t="shared" si="101"/>
        <v>0</v>
      </c>
      <c r="CH25" s="99">
        <f t="shared" si="101"/>
        <v>0</v>
      </c>
      <c r="CI25" s="99">
        <f t="shared" si="101"/>
        <v>0</v>
      </c>
      <c r="CJ25" s="99">
        <f t="shared" si="101"/>
        <v>0</v>
      </c>
      <c r="CK25" s="99">
        <f t="shared" si="101"/>
        <v>0</v>
      </c>
      <c r="CL25" s="99">
        <f t="shared" si="101"/>
        <v>0</v>
      </c>
      <c r="CM25" s="99">
        <f t="shared" si="101"/>
        <v>0</v>
      </c>
    </row>
    <row r="26" spans="1:91" s="355" customFormat="1" ht="14.25" customHeight="1" x14ac:dyDescent="0.2">
      <c r="A26" s="966" t="s">
        <v>6111</v>
      </c>
      <c r="B26" s="1483" t="s">
        <v>6109</v>
      </c>
      <c r="C26" s="1481" t="s">
        <v>6110</v>
      </c>
      <c r="D26" s="1481"/>
      <c r="E26" s="865"/>
      <c r="F26" s="861">
        <v>63800</v>
      </c>
      <c r="G26" s="960"/>
      <c r="H26" s="862"/>
      <c r="I26" s="960"/>
      <c r="J26" s="960"/>
      <c r="K26" s="960"/>
      <c r="L26" s="960"/>
      <c r="M26" s="961"/>
      <c r="N26" s="862"/>
      <c r="O26" s="862"/>
      <c r="P26" s="862"/>
      <c r="Q26" s="962"/>
      <c r="R26" s="2296"/>
      <c r="S26" s="2297"/>
      <c r="T26" s="2297"/>
      <c r="U26" s="2298">
        <f t="shared" si="102"/>
        <v>63800</v>
      </c>
      <c r="V26" s="621"/>
      <c r="W26" s="617"/>
      <c r="X26" s="617"/>
      <c r="Y26" s="620">
        <f t="shared" si="82"/>
        <v>0</v>
      </c>
      <c r="Z26" s="621"/>
      <c r="AA26" s="617"/>
      <c r="AB26" s="617"/>
      <c r="AC26" s="620">
        <f t="shared" si="83"/>
        <v>0</v>
      </c>
      <c r="AD26" s="621"/>
      <c r="AE26" s="617"/>
      <c r="AF26" s="617"/>
      <c r="AG26" s="1923">
        <f t="shared" si="84"/>
        <v>0</v>
      </c>
      <c r="AH26" s="621"/>
      <c r="AI26" s="617"/>
      <c r="AJ26" s="617"/>
      <c r="AK26" s="1927">
        <f t="shared" si="85"/>
        <v>0</v>
      </c>
      <c r="AL26" s="621"/>
      <c r="AM26" s="617"/>
      <c r="AN26" s="617"/>
      <c r="AO26" s="618">
        <f t="shared" si="86"/>
        <v>0</v>
      </c>
      <c r="AP26" s="621"/>
      <c r="AQ26" s="617"/>
      <c r="AR26" s="617"/>
      <c r="AS26" s="618">
        <f t="shared" si="87"/>
        <v>0</v>
      </c>
      <c r="AT26" s="621"/>
      <c r="AU26" s="617"/>
      <c r="AV26" s="617"/>
      <c r="AW26" s="620">
        <f t="shared" si="88"/>
        <v>0</v>
      </c>
      <c r="AX26" s="621"/>
      <c r="AY26" s="617"/>
      <c r="AZ26" s="617"/>
      <c r="BA26" s="620">
        <f t="shared" si="89"/>
        <v>0</v>
      </c>
      <c r="BB26" s="621"/>
      <c r="BC26" s="617"/>
      <c r="BD26" s="617"/>
      <c r="BE26" s="1927">
        <f t="shared" si="90"/>
        <v>0</v>
      </c>
      <c r="BF26" s="621"/>
      <c r="BG26" s="617"/>
      <c r="BH26" s="617"/>
      <c r="BI26" s="1927">
        <f t="shared" si="103"/>
        <v>0</v>
      </c>
      <c r="BJ26" s="621"/>
      <c r="BK26" s="617"/>
      <c r="BL26" s="617"/>
      <c r="BM26" s="1927">
        <f t="shared" si="92"/>
        <v>0</v>
      </c>
      <c r="BN26" s="621"/>
      <c r="BO26" s="1263">
        <v>1</v>
      </c>
      <c r="BP26" s="1263">
        <f t="shared" ref="BP26" si="114">BO26</f>
        <v>1</v>
      </c>
      <c r="BQ26" s="1263">
        <f t="shared" ref="BQ26" si="115">BP26</f>
        <v>1</v>
      </c>
      <c r="BR26" s="1263">
        <f t="shared" ref="BR26" si="116">BQ26</f>
        <v>1</v>
      </c>
      <c r="BS26" s="1263">
        <f t="shared" ref="BS26" si="117">BR26</f>
        <v>1</v>
      </c>
      <c r="BT26" s="1263">
        <f t="shared" ref="BT26" si="118">BS26</f>
        <v>1</v>
      </c>
      <c r="BU26" s="1263">
        <f t="shared" ref="BU26" si="119">BT26</f>
        <v>1</v>
      </c>
      <c r="BV26" s="1263">
        <f t="shared" ref="BV26" si="120">BU26</f>
        <v>1</v>
      </c>
      <c r="BW26" s="1263">
        <f t="shared" ref="BW26" si="121">BV26</f>
        <v>1</v>
      </c>
      <c r="BX26" s="1263">
        <f t="shared" ref="BX26" si="122">BW26</f>
        <v>1</v>
      </c>
      <c r="BY26" s="1263">
        <f t="shared" ref="BY26:BZ26" si="123">BX26</f>
        <v>1</v>
      </c>
      <c r="BZ26" s="1263">
        <f t="shared" si="123"/>
        <v>1</v>
      </c>
      <c r="CA26" s="1263"/>
      <c r="CB26" s="99">
        <f t="shared" si="101"/>
        <v>64000</v>
      </c>
      <c r="CC26" s="99">
        <f t="shared" si="101"/>
        <v>0</v>
      </c>
      <c r="CD26" s="99">
        <f t="shared" si="101"/>
        <v>0</v>
      </c>
      <c r="CE26" s="99">
        <f t="shared" si="101"/>
        <v>0</v>
      </c>
      <c r="CF26" s="99">
        <f t="shared" si="101"/>
        <v>0</v>
      </c>
      <c r="CG26" s="99">
        <f t="shared" si="101"/>
        <v>0</v>
      </c>
      <c r="CH26" s="99">
        <f t="shared" si="101"/>
        <v>0</v>
      </c>
      <c r="CI26" s="99">
        <f t="shared" si="101"/>
        <v>0</v>
      </c>
      <c r="CJ26" s="99">
        <f t="shared" si="101"/>
        <v>0</v>
      </c>
      <c r="CK26" s="99">
        <f t="shared" si="101"/>
        <v>0</v>
      </c>
      <c r="CL26" s="99">
        <f t="shared" si="101"/>
        <v>0</v>
      </c>
      <c r="CM26" s="99">
        <f t="shared" si="101"/>
        <v>0</v>
      </c>
    </row>
    <row r="27" spans="1:91" s="355" customFormat="1" ht="14.25" customHeight="1" x14ac:dyDescent="0.2">
      <c r="A27" s="963"/>
      <c r="B27" s="1480"/>
      <c r="C27" s="1480"/>
      <c r="D27" s="1480"/>
      <c r="E27" s="865"/>
      <c r="F27" s="861"/>
      <c r="G27" s="960"/>
      <c r="H27" s="862"/>
      <c r="I27" s="960"/>
      <c r="J27" s="960"/>
      <c r="K27" s="960"/>
      <c r="L27" s="960"/>
      <c r="M27" s="961"/>
      <c r="N27" s="862"/>
      <c r="O27" s="862"/>
      <c r="P27" s="862"/>
      <c r="Q27" s="962"/>
      <c r="R27" s="2296"/>
      <c r="S27" s="2297"/>
      <c r="T27" s="2297"/>
      <c r="U27" s="2298"/>
      <c r="V27" s="621"/>
      <c r="W27" s="617"/>
      <c r="X27" s="617"/>
      <c r="Y27" s="620"/>
      <c r="Z27" s="621"/>
      <c r="AA27" s="617"/>
      <c r="AB27" s="617"/>
      <c r="AC27" s="620"/>
      <c r="AD27" s="621"/>
      <c r="AE27" s="617"/>
      <c r="AF27" s="617"/>
      <c r="AG27" s="1923"/>
      <c r="AH27" s="621"/>
      <c r="AI27" s="617"/>
      <c r="AJ27" s="617"/>
      <c r="AK27" s="1927"/>
      <c r="AL27" s="621"/>
      <c r="AM27" s="617"/>
      <c r="AN27" s="617"/>
      <c r="AO27" s="620"/>
      <c r="AP27" s="621"/>
      <c r="AQ27" s="617"/>
      <c r="AR27" s="617"/>
      <c r="AS27" s="620"/>
      <c r="AT27" s="621"/>
      <c r="AU27" s="617"/>
      <c r="AV27" s="617"/>
      <c r="AW27" s="620"/>
      <c r="AX27" s="621"/>
      <c r="AY27" s="617"/>
      <c r="AZ27" s="617"/>
      <c r="BA27" s="620"/>
      <c r="BB27" s="621"/>
      <c r="BC27" s="617"/>
      <c r="BD27" s="617"/>
      <c r="BE27" s="1927"/>
      <c r="BF27" s="621"/>
      <c r="BG27" s="617"/>
      <c r="BH27" s="617"/>
      <c r="BI27" s="1927"/>
      <c r="BJ27" s="621"/>
      <c r="BK27" s="617"/>
      <c r="BL27" s="617"/>
      <c r="BM27" s="1927"/>
      <c r="BN27" s="621"/>
      <c r="BO27" s="1263"/>
      <c r="BP27" s="1263"/>
      <c r="BQ27" s="1263"/>
      <c r="BR27" s="1263"/>
      <c r="BS27" s="1263"/>
      <c r="BT27" s="1263"/>
      <c r="BU27" s="1263"/>
      <c r="BV27" s="1263"/>
      <c r="BW27" s="1263"/>
      <c r="BX27" s="1263"/>
      <c r="BY27" s="1263"/>
      <c r="BZ27" s="1263"/>
      <c r="CA27" s="1263"/>
      <c r="CB27" s="99"/>
      <c r="CC27" s="99"/>
      <c r="CD27" s="99"/>
      <c r="CE27" s="99"/>
      <c r="CF27" s="99"/>
      <c r="CG27" s="99"/>
      <c r="CH27" s="99"/>
      <c r="CI27" s="99"/>
      <c r="CJ27" s="99"/>
      <c r="CK27" s="99"/>
      <c r="CL27" s="99"/>
      <c r="CM27" s="99"/>
    </row>
    <row r="28" spans="1:91" s="355" customFormat="1" ht="14.25" customHeight="1" x14ac:dyDescent="0.2">
      <c r="A28" s="1413" t="s">
        <v>4969</v>
      </c>
      <c r="B28" s="1480"/>
      <c r="C28" s="1480"/>
      <c r="D28" s="1480"/>
      <c r="E28" s="865"/>
      <c r="F28" s="861"/>
      <c r="G28" s="2639"/>
      <c r="H28" s="862"/>
      <c r="I28" s="960"/>
      <c r="J28" s="960"/>
      <c r="K28" s="862"/>
      <c r="L28" s="960"/>
      <c r="M28" s="961"/>
      <c r="N28" s="862"/>
      <c r="O28" s="862"/>
      <c r="P28" s="862"/>
      <c r="Q28" s="962"/>
      <c r="R28" s="2296"/>
      <c r="S28" s="2297"/>
      <c r="T28" s="2297"/>
      <c r="U28" s="2298"/>
      <c r="V28" s="621"/>
      <c r="W28" s="617"/>
      <c r="X28" s="617"/>
      <c r="Y28" s="620"/>
      <c r="Z28" s="621"/>
      <c r="AA28" s="617"/>
      <c r="AB28" s="617"/>
      <c r="AC28" s="620"/>
      <c r="AD28" s="621"/>
      <c r="AE28" s="617"/>
      <c r="AF28" s="617"/>
      <c r="AG28" s="1923"/>
      <c r="AH28" s="621"/>
      <c r="AI28" s="617"/>
      <c r="AJ28" s="617"/>
      <c r="AK28" s="1927"/>
      <c r="AL28" s="621"/>
      <c r="AM28" s="617"/>
      <c r="AN28" s="617"/>
      <c r="AO28" s="620"/>
      <c r="AP28" s="621"/>
      <c r="AQ28" s="617"/>
      <c r="AR28" s="617"/>
      <c r="AS28" s="620"/>
      <c r="AT28" s="621"/>
      <c r="AU28" s="617"/>
      <c r="AV28" s="617"/>
      <c r="AW28" s="620"/>
      <c r="AX28" s="621"/>
      <c r="AY28" s="617"/>
      <c r="AZ28" s="617"/>
      <c r="BA28" s="620"/>
      <c r="BB28" s="621"/>
      <c r="BC28" s="617"/>
      <c r="BD28" s="617"/>
      <c r="BE28" s="1927"/>
      <c r="BF28" s="621"/>
      <c r="BG28" s="617"/>
      <c r="BH28" s="617"/>
      <c r="BI28" s="1927"/>
      <c r="BJ28" s="621"/>
      <c r="BK28" s="617"/>
      <c r="BL28" s="617"/>
      <c r="BM28" s="1927"/>
      <c r="BN28" s="621"/>
      <c r="BO28" s="1263"/>
      <c r="BP28" s="1263"/>
      <c r="BQ28" s="1263"/>
      <c r="BR28" s="1263"/>
      <c r="BS28" s="1263"/>
      <c r="BT28" s="1263"/>
      <c r="BU28" s="1263"/>
      <c r="BV28" s="1263"/>
      <c r="BW28" s="1263"/>
      <c r="BX28" s="1263"/>
      <c r="BY28" s="1263"/>
      <c r="BZ28" s="1263"/>
      <c r="CA28" s="1263"/>
      <c r="CB28" s="99"/>
      <c r="CC28" s="99"/>
      <c r="CD28" s="99"/>
      <c r="CE28" s="99"/>
      <c r="CF28" s="99"/>
      <c r="CG28" s="99"/>
      <c r="CH28" s="99"/>
      <c r="CI28" s="99"/>
      <c r="CJ28" s="99"/>
      <c r="CK28" s="99"/>
      <c r="CL28" s="99"/>
      <c r="CM28" s="99"/>
    </row>
    <row r="29" spans="1:91" s="355" customFormat="1" ht="14.25" customHeight="1" x14ac:dyDescent="0.2">
      <c r="A29" s="965" t="s">
        <v>3865</v>
      </c>
      <c r="B29" s="1481" t="s">
        <v>2160</v>
      </c>
      <c r="C29" s="1481" t="s">
        <v>5076</v>
      </c>
      <c r="D29" s="1481" t="s">
        <v>2160</v>
      </c>
      <c r="E29" s="865">
        <v>0.75</v>
      </c>
      <c r="F29" s="861">
        <v>195000</v>
      </c>
      <c r="G29" s="960">
        <f>21000+30000</f>
        <v>51000</v>
      </c>
      <c r="H29" s="862"/>
      <c r="I29" s="960"/>
      <c r="J29" s="960"/>
      <c r="K29" s="862"/>
      <c r="L29" s="960"/>
      <c r="M29" s="961"/>
      <c r="N29" s="862"/>
      <c r="O29" s="862"/>
      <c r="P29" s="862"/>
      <c r="Q29" s="962"/>
      <c r="R29" s="2296"/>
      <c r="S29" s="2297"/>
      <c r="T29" s="2297"/>
      <c r="U29" s="2298">
        <f t="shared" ref="U29" si="124">$F29-R29-S29-T29</f>
        <v>195000</v>
      </c>
      <c r="V29" s="621"/>
      <c r="W29" s="617"/>
      <c r="X29" s="617"/>
      <c r="Y29" s="620">
        <f t="shared" ref="Y29" si="125">$G29-V29-W29-X29</f>
        <v>51000</v>
      </c>
      <c r="Z29" s="621"/>
      <c r="AA29" s="617"/>
      <c r="AB29" s="617"/>
      <c r="AC29" s="620">
        <f t="shared" ref="AC29" si="126">$H29-Z29-AA29-AB29</f>
        <v>0</v>
      </c>
      <c r="AD29" s="621"/>
      <c r="AE29" s="617"/>
      <c r="AF29" s="617"/>
      <c r="AG29" s="1923">
        <f t="shared" ref="AG29" si="127">$I29-AD29-AE29-AF29</f>
        <v>0</v>
      </c>
      <c r="AH29" s="621"/>
      <c r="AI29" s="617"/>
      <c r="AJ29" s="617"/>
      <c r="AK29" s="1927">
        <f t="shared" ref="AK29" si="128">$J29-AH29-AI29-AJ29</f>
        <v>0</v>
      </c>
      <c r="AL29" s="621"/>
      <c r="AM29" s="617"/>
      <c r="AN29" s="617"/>
      <c r="AO29" s="620">
        <f t="shared" ref="AO29" si="129">$K29-AL29-AM29-AN29</f>
        <v>0</v>
      </c>
      <c r="AP29" s="621"/>
      <c r="AQ29" s="617"/>
      <c r="AR29" s="617"/>
      <c r="AS29" s="620">
        <f t="shared" ref="AS29" si="130">$L29-AP29-AQ29-AR29</f>
        <v>0</v>
      </c>
      <c r="AT29" s="621"/>
      <c r="AU29" s="617"/>
      <c r="AV29" s="617"/>
      <c r="AW29" s="620">
        <f t="shared" ref="AW29" si="131">$M29-AT29-AU29-AV29</f>
        <v>0</v>
      </c>
      <c r="AX29" s="621"/>
      <c r="AY29" s="617"/>
      <c r="AZ29" s="617"/>
      <c r="BA29" s="620">
        <f t="shared" ref="BA29" si="132">$N29-AX29-AY29-AZ29</f>
        <v>0</v>
      </c>
      <c r="BB29" s="621"/>
      <c r="BC29" s="617"/>
      <c r="BD29" s="617"/>
      <c r="BE29" s="1927">
        <f t="shared" ref="BE29" si="133">$O29-BB29-BC29-BD29</f>
        <v>0</v>
      </c>
      <c r="BF29" s="621"/>
      <c r="BG29" s="617"/>
      <c r="BH29" s="617"/>
      <c r="BI29" s="1927">
        <f t="shared" ref="BI29" si="134">$P29-BF29-BG29-BH29</f>
        <v>0</v>
      </c>
      <c r="BJ29" s="621"/>
      <c r="BK29" s="617"/>
      <c r="BL29" s="617"/>
      <c r="BM29" s="1927">
        <f t="shared" si="92"/>
        <v>0</v>
      </c>
      <c r="BN29" s="621"/>
      <c r="BO29" s="1263">
        <v>0.75</v>
      </c>
      <c r="BP29" s="1263">
        <f t="shared" ref="BP29:BZ29" si="135">BO29</f>
        <v>0.75</v>
      </c>
      <c r="BQ29" s="1263">
        <f t="shared" si="135"/>
        <v>0.75</v>
      </c>
      <c r="BR29" s="1263">
        <f t="shared" si="135"/>
        <v>0.75</v>
      </c>
      <c r="BS29" s="1263">
        <f t="shared" si="135"/>
        <v>0.75</v>
      </c>
      <c r="BT29" s="1263">
        <f t="shared" si="135"/>
        <v>0.75</v>
      </c>
      <c r="BU29" s="1263">
        <f t="shared" si="135"/>
        <v>0.75</v>
      </c>
      <c r="BV29" s="1263">
        <f t="shared" si="135"/>
        <v>0.75</v>
      </c>
      <c r="BW29" s="1263">
        <f t="shared" si="135"/>
        <v>0.75</v>
      </c>
      <c r="BX29" s="1263">
        <f t="shared" si="135"/>
        <v>0.75</v>
      </c>
      <c r="BY29" s="1263">
        <f t="shared" si="135"/>
        <v>0.75</v>
      </c>
      <c r="BZ29" s="1263">
        <f t="shared" si="135"/>
        <v>0.75</v>
      </c>
      <c r="CA29" s="1263"/>
      <c r="CB29" s="99">
        <f t="shared" ref="CB29:CB39" si="136">ROUND(BO29*F29,-3)</f>
        <v>146000</v>
      </c>
      <c r="CC29" s="99">
        <f t="shared" ref="CC29:CC39" si="137">ROUND(BP29*G29,-3)</f>
        <v>38000</v>
      </c>
      <c r="CD29" s="99">
        <f t="shared" ref="CD29:CD39" si="138">ROUND(BQ29*H29,-3)</f>
        <v>0</v>
      </c>
      <c r="CE29" s="99">
        <f t="shared" ref="CE29:CE39" si="139">ROUND(BR29*I29,-3)</f>
        <v>0</v>
      </c>
      <c r="CF29" s="99">
        <f t="shared" ref="CF29:CF39" si="140">ROUND(BS29*J29,-3)</f>
        <v>0</v>
      </c>
      <c r="CG29" s="99">
        <f t="shared" ref="CG29:CG39" si="141">ROUND(BT29*K29,-3)</f>
        <v>0</v>
      </c>
      <c r="CH29" s="99">
        <f t="shared" ref="CH29:CH39" si="142">ROUND(BU29*L29,-3)</f>
        <v>0</v>
      </c>
      <c r="CI29" s="99">
        <f t="shared" ref="CI29:CI39" si="143">ROUND(BV29*M29,-3)</f>
        <v>0</v>
      </c>
      <c r="CJ29" s="99">
        <f t="shared" ref="CJ29:CJ39" si="144">ROUND(BW29*N29,-3)</f>
        <v>0</v>
      </c>
      <c r="CK29" s="99">
        <f t="shared" ref="CK29:CK39" si="145">ROUND(BX29*O29,-3)</f>
        <v>0</v>
      </c>
      <c r="CL29" s="99">
        <f t="shared" ref="CL29:CL39" si="146">ROUND(BY29*P29,-3)</f>
        <v>0</v>
      </c>
      <c r="CM29" s="99">
        <f t="shared" ref="CM29:CM39" si="147">ROUND(BZ29*Q29,-3)</f>
        <v>0</v>
      </c>
    </row>
    <row r="30" spans="1:91" s="355" customFormat="1" ht="14.25" customHeight="1" x14ac:dyDescent="0.2">
      <c r="A30" s="965" t="s">
        <v>1097</v>
      </c>
      <c r="B30" s="1481" t="s">
        <v>5142</v>
      </c>
      <c r="C30" s="1481" t="s">
        <v>5143</v>
      </c>
      <c r="D30" s="1481" t="s">
        <v>5143</v>
      </c>
      <c r="E30" s="865">
        <v>0.75</v>
      </c>
      <c r="F30" s="861">
        <v>55600</v>
      </c>
      <c r="G30" s="960">
        <v>31000</v>
      </c>
      <c r="H30" s="862"/>
      <c r="I30" s="960"/>
      <c r="J30" s="960"/>
      <c r="K30" s="862"/>
      <c r="L30" s="960"/>
      <c r="M30" s="961"/>
      <c r="N30" s="862"/>
      <c r="O30" s="862"/>
      <c r="P30" s="862"/>
      <c r="Q30" s="962"/>
      <c r="R30" s="2296"/>
      <c r="S30" s="2297"/>
      <c r="T30" s="2297"/>
      <c r="U30" s="2298">
        <f t="shared" ref="U30:U35" si="148">$F30-R30-S30-T30</f>
        <v>55600</v>
      </c>
      <c r="V30" s="621"/>
      <c r="W30" s="617"/>
      <c r="X30" s="617"/>
      <c r="Y30" s="620">
        <f t="shared" ref="Y30:Y38" si="149">$G30-V30-W30-X30</f>
        <v>31000</v>
      </c>
      <c r="Z30" s="621"/>
      <c r="AA30" s="617"/>
      <c r="AB30" s="617"/>
      <c r="AC30" s="620">
        <f t="shared" ref="AC30:AC38" si="150">$H30-Z30-AA30-AB30</f>
        <v>0</v>
      </c>
      <c r="AD30" s="621"/>
      <c r="AE30" s="617"/>
      <c r="AF30" s="617"/>
      <c r="AG30" s="1923">
        <f t="shared" ref="AG30:AG38" si="151">$I30-AD30-AE30-AF30</f>
        <v>0</v>
      </c>
      <c r="AH30" s="621"/>
      <c r="AI30" s="617"/>
      <c r="AJ30" s="617"/>
      <c r="AK30" s="1927">
        <f t="shared" ref="AK30:AK38" si="152">$J30-AH30-AI30-AJ30</f>
        <v>0</v>
      </c>
      <c r="AL30" s="621"/>
      <c r="AM30" s="617"/>
      <c r="AN30" s="617"/>
      <c r="AO30" s="620">
        <f t="shared" ref="AO30:AO38" si="153">$K30-AL30-AM30-AN30</f>
        <v>0</v>
      </c>
      <c r="AP30" s="621"/>
      <c r="AQ30" s="617"/>
      <c r="AR30" s="617"/>
      <c r="AS30" s="620">
        <f t="shared" ref="AS30:AS38" si="154">$L30-AP30-AQ30-AR30</f>
        <v>0</v>
      </c>
      <c r="AT30" s="621"/>
      <c r="AU30" s="617"/>
      <c r="AV30" s="617"/>
      <c r="AW30" s="620">
        <f t="shared" ref="AW30:AW38" si="155">$M30-AT30-AU30-AV30</f>
        <v>0</v>
      </c>
      <c r="AX30" s="621"/>
      <c r="AY30" s="617"/>
      <c r="AZ30" s="617"/>
      <c r="BA30" s="620">
        <f t="shared" ref="BA30:BA38" si="156">$N30-AX30-AY30-AZ30</f>
        <v>0</v>
      </c>
      <c r="BB30" s="621"/>
      <c r="BC30" s="617"/>
      <c r="BD30" s="617"/>
      <c r="BE30" s="1927">
        <f t="shared" ref="BE30:BE38" si="157">$O30-BB30-BC30-BD30</f>
        <v>0</v>
      </c>
      <c r="BF30" s="621"/>
      <c r="BG30" s="617"/>
      <c r="BH30" s="617"/>
      <c r="BI30" s="1927">
        <f t="shared" ref="BI30:BI38" si="158">$P30-BF30-BG30-BH30</f>
        <v>0</v>
      </c>
      <c r="BJ30" s="621"/>
      <c r="BK30" s="617"/>
      <c r="BL30" s="617"/>
      <c r="BM30" s="1927">
        <f t="shared" si="92"/>
        <v>0</v>
      </c>
      <c r="BN30" s="621"/>
      <c r="BO30" s="1263">
        <v>0.75</v>
      </c>
      <c r="BP30" s="1263">
        <f t="shared" ref="BP30:BP35" si="159">BO30</f>
        <v>0.75</v>
      </c>
      <c r="BQ30" s="1263">
        <f t="shared" ref="BQ30:BQ35" si="160">BP30</f>
        <v>0.75</v>
      </c>
      <c r="BR30" s="1263">
        <f t="shared" ref="BR30:BR35" si="161">BQ30</f>
        <v>0.75</v>
      </c>
      <c r="BS30" s="1263">
        <f t="shared" ref="BS30:BS35" si="162">BR30</f>
        <v>0.75</v>
      </c>
      <c r="BT30" s="1263">
        <f t="shared" ref="BT30:BT35" si="163">BS30</f>
        <v>0.75</v>
      </c>
      <c r="BU30" s="1263">
        <f t="shared" ref="BU30:BU35" si="164">BT30</f>
        <v>0.75</v>
      </c>
      <c r="BV30" s="1263">
        <f t="shared" ref="BV30:BV35" si="165">BU30</f>
        <v>0.75</v>
      </c>
      <c r="BW30" s="1263">
        <f t="shared" ref="BW30:BW35" si="166">BV30</f>
        <v>0.75</v>
      </c>
      <c r="BX30" s="1263">
        <f t="shared" ref="BX30:BX35" si="167">BW30</f>
        <v>0.75</v>
      </c>
      <c r="BY30" s="1263">
        <f t="shared" ref="BY30:BZ35" si="168">BX30</f>
        <v>0.75</v>
      </c>
      <c r="BZ30" s="1263">
        <f t="shared" si="168"/>
        <v>0.75</v>
      </c>
      <c r="CA30" s="1263"/>
      <c r="CB30" s="99">
        <f t="shared" si="136"/>
        <v>42000</v>
      </c>
      <c r="CC30" s="99">
        <f t="shared" si="137"/>
        <v>23000</v>
      </c>
      <c r="CD30" s="99">
        <f t="shared" si="138"/>
        <v>0</v>
      </c>
      <c r="CE30" s="99">
        <f t="shared" si="139"/>
        <v>0</v>
      </c>
      <c r="CF30" s="99">
        <f t="shared" si="140"/>
        <v>0</v>
      </c>
      <c r="CG30" s="99">
        <f t="shared" si="141"/>
        <v>0</v>
      </c>
      <c r="CH30" s="99">
        <f t="shared" si="142"/>
        <v>0</v>
      </c>
      <c r="CI30" s="99">
        <f t="shared" si="143"/>
        <v>0</v>
      </c>
      <c r="CJ30" s="99">
        <f t="shared" si="144"/>
        <v>0</v>
      </c>
      <c r="CK30" s="99">
        <f t="shared" si="145"/>
        <v>0</v>
      </c>
      <c r="CL30" s="99">
        <f t="shared" si="146"/>
        <v>0</v>
      </c>
      <c r="CM30" s="99">
        <f t="shared" si="147"/>
        <v>0</v>
      </c>
    </row>
    <row r="31" spans="1:91" s="355" customFormat="1" ht="14.25" customHeight="1" x14ac:dyDescent="0.2">
      <c r="A31" s="965" t="s">
        <v>4968</v>
      </c>
      <c r="B31" s="1481" t="s">
        <v>577</v>
      </c>
      <c r="C31" s="1481" t="s">
        <v>5090</v>
      </c>
      <c r="D31" s="1481" t="s">
        <v>5090</v>
      </c>
      <c r="E31" s="865">
        <v>0.75</v>
      </c>
      <c r="F31" s="861">
        <v>127600</v>
      </c>
      <c r="G31" s="960">
        <f>31000+150000</f>
        <v>181000</v>
      </c>
      <c r="H31" s="862"/>
      <c r="I31" s="960"/>
      <c r="J31" s="960"/>
      <c r="K31" s="862"/>
      <c r="L31" s="960"/>
      <c r="M31" s="961"/>
      <c r="N31" s="862"/>
      <c r="O31" s="862"/>
      <c r="P31" s="862"/>
      <c r="Q31" s="962"/>
      <c r="R31" s="2296"/>
      <c r="S31" s="2297"/>
      <c r="T31" s="2297"/>
      <c r="U31" s="2298">
        <f t="shared" si="148"/>
        <v>127600</v>
      </c>
      <c r="V31" s="621"/>
      <c r="W31" s="617"/>
      <c r="X31" s="617"/>
      <c r="Y31" s="620">
        <f t="shared" si="149"/>
        <v>181000</v>
      </c>
      <c r="Z31" s="621"/>
      <c r="AA31" s="617"/>
      <c r="AB31" s="617"/>
      <c r="AC31" s="620">
        <f t="shared" si="150"/>
        <v>0</v>
      </c>
      <c r="AD31" s="621"/>
      <c r="AE31" s="617"/>
      <c r="AF31" s="617"/>
      <c r="AG31" s="1923">
        <f t="shared" si="151"/>
        <v>0</v>
      </c>
      <c r="AH31" s="621"/>
      <c r="AI31" s="617"/>
      <c r="AJ31" s="617"/>
      <c r="AK31" s="1927">
        <f t="shared" si="152"/>
        <v>0</v>
      </c>
      <c r="AL31" s="621"/>
      <c r="AM31" s="617"/>
      <c r="AN31" s="617"/>
      <c r="AO31" s="620">
        <f t="shared" si="153"/>
        <v>0</v>
      </c>
      <c r="AP31" s="621"/>
      <c r="AQ31" s="617"/>
      <c r="AR31" s="617"/>
      <c r="AS31" s="620">
        <f t="shared" si="154"/>
        <v>0</v>
      </c>
      <c r="AT31" s="621"/>
      <c r="AU31" s="617"/>
      <c r="AV31" s="617"/>
      <c r="AW31" s="620">
        <f t="shared" si="155"/>
        <v>0</v>
      </c>
      <c r="AX31" s="621"/>
      <c r="AY31" s="617"/>
      <c r="AZ31" s="617"/>
      <c r="BA31" s="620">
        <f t="shared" si="156"/>
        <v>0</v>
      </c>
      <c r="BB31" s="621"/>
      <c r="BC31" s="617"/>
      <c r="BD31" s="617"/>
      <c r="BE31" s="1927">
        <f t="shared" si="157"/>
        <v>0</v>
      </c>
      <c r="BF31" s="621"/>
      <c r="BG31" s="617"/>
      <c r="BH31" s="617"/>
      <c r="BI31" s="1927">
        <f t="shared" si="158"/>
        <v>0</v>
      </c>
      <c r="BJ31" s="621"/>
      <c r="BK31" s="617"/>
      <c r="BL31" s="617"/>
      <c r="BM31" s="1927">
        <f t="shared" si="92"/>
        <v>0</v>
      </c>
      <c r="BN31" s="621"/>
      <c r="BO31" s="1263">
        <v>0.75</v>
      </c>
      <c r="BP31" s="1263">
        <f t="shared" si="159"/>
        <v>0.75</v>
      </c>
      <c r="BQ31" s="1263">
        <f t="shared" si="160"/>
        <v>0.75</v>
      </c>
      <c r="BR31" s="1263">
        <f t="shared" si="161"/>
        <v>0.75</v>
      </c>
      <c r="BS31" s="1263">
        <f t="shared" si="162"/>
        <v>0.75</v>
      </c>
      <c r="BT31" s="1263">
        <f t="shared" si="163"/>
        <v>0.75</v>
      </c>
      <c r="BU31" s="1263">
        <f t="shared" si="164"/>
        <v>0.75</v>
      </c>
      <c r="BV31" s="1263">
        <f t="shared" si="165"/>
        <v>0.75</v>
      </c>
      <c r="BW31" s="1263">
        <f t="shared" si="166"/>
        <v>0.75</v>
      </c>
      <c r="BX31" s="1263">
        <f t="shared" si="167"/>
        <v>0.75</v>
      </c>
      <c r="BY31" s="1263">
        <f t="shared" si="168"/>
        <v>0.75</v>
      </c>
      <c r="BZ31" s="1263">
        <f t="shared" si="168"/>
        <v>0.75</v>
      </c>
      <c r="CA31" s="1263"/>
      <c r="CB31" s="99">
        <f t="shared" si="136"/>
        <v>96000</v>
      </c>
      <c r="CC31" s="99">
        <f t="shared" si="137"/>
        <v>136000</v>
      </c>
      <c r="CD31" s="99">
        <f t="shared" si="138"/>
        <v>0</v>
      </c>
      <c r="CE31" s="99">
        <f t="shared" si="139"/>
        <v>0</v>
      </c>
      <c r="CF31" s="99">
        <f t="shared" si="140"/>
        <v>0</v>
      </c>
      <c r="CG31" s="99">
        <f t="shared" si="141"/>
        <v>0</v>
      </c>
      <c r="CH31" s="99">
        <f t="shared" si="142"/>
        <v>0</v>
      </c>
      <c r="CI31" s="99">
        <f t="shared" si="143"/>
        <v>0</v>
      </c>
      <c r="CJ31" s="99">
        <f t="shared" si="144"/>
        <v>0</v>
      </c>
      <c r="CK31" s="99">
        <f t="shared" si="145"/>
        <v>0</v>
      </c>
      <c r="CL31" s="99">
        <f t="shared" si="146"/>
        <v>0</v>
      </c>
      <c r="CM31" s="99">
        <f t="shared" si="147"/>
        <v>0</v>
      </c>
    </row>
    <row r="32" spans="1:91" s="355" customFormat="1" ht="14.25" customHeight="1" x14ac:dyDescent="0.2">
      <c r="A32" s="966" t="s">
        <v>4973</v>
      </c>
      <c r="B32" s="1481" t="s">
        <v>5091</v>
      </c>
      <c r="C32" s="1481" t="s">
        <v>5076</v>
      </c>
      <c r="D32" s="1481"/>
      <c r="E32" s="865"/>
      <c r="F32" s="861">
        <v>16400</v>
      </c>
      <c r="G32" s="960"/>
      <c r="H32" s="862"/>
      <c r="I32" s="960"/>
      <c r="J32" s="862"/>
      <c r="K32" s="862"/>
      <c r="L32" s="960"/>
      <c r="M32" s="862"/>
      <c r="N32" s="862"/>
      <c r="O32" s="862"/>
      <c r="P32" s="862"/>
      <c r="Q32" s="962"/>
      <c r="R32" s="2296"/>
      <c r="S32" s="2297"/>
      <c r="T32" s="2297"/>
      <c r="U32" s="2298">
        <f t="shared" si="148"/>
        <v>16400</v>
      </c>
      <c r="V32" s="621"/>
      <c r="W32" s="617"/>
      <c r="X32" s="617"/>
      <c r="Y32" s="620">
        <f t="shared" si="149"/>
        <v>0</v>
      </c>
      <c r="Z32" s="621"/>
      <c r="AA32" s="617"/>
      <c r="AB32" s="617"/>
      <c r="AC32" s="620">
        <f t="shared" si="150"/>
        <v>0</v>
      </c>
      <c r="AD32" s="621"/>
      <c r="AE32" s="617"/>
      <c r="AF32" s="617"/>
      <c r="AG32" s="1923">
        <f t="shared" si="151"/>
        <v>0</v>
      </c>
      <c r="AH32" s="621"/>
      <c r="AI32" s="617"/>
      <c r="AJ32" s="617"/>
      <c r="AK32" s="1927">
        <f t="shared" si="152"/>
        <v>0</v>
      </c>
      <c r="AL32" s="621"/>
      <c r="AM32" s="617"/>
      <c r="AN32" s="617"/>
      <c r="AO32" s="620">
        <f t="shared" si="153"/>
        <v>0</v>
      </c>
      <c r="AP32" s="621"/>
      <c r="AQ32" s="617"/>
      <c r="AR32" s="617"/>
      <c r="AS32" s="620">
        <f t="shared" si="154"/>
        <v>0</v>
      </c>
      <c r="AT32" s="621"/>
      <c r="AU32" s="617"/>
      <c r="AV32" s="617"/>
      <c r="AW32" s="620">
        <f t="shared" si="155"/>
        <v>0</v>
      </c>
      <c r="AX32" s="621"/>
      <c r="AY32" s="617"/>
      <c r="AZ32" s="617"/>
      <c r="BA32" s="620">
        <f t="shared" si="156"/>
        <v>0</v>
      </c>
      <c r="BB32" s="621"/>
      <c r="BC32" s="617"/>
      <c r="BD32" s="617"/>
      <c r="BE32" s="1927">
        <f t="shared" si="157"/>
        <v>0</v>
      </c>
      <c r="BF32" s="621"/>
      <c r="BG32" s="617"/>
      <c r="BH32" s="617"/>
      <c r="BI32" s="1927">
        <f t="shared" si="158"/>
        <v>0</v>
      </c>
      <c r="BJ32" s="621"/>
      <c r="BK32" s="617"/>
      <c r="BL32" s="617"/>
      <c r="BM32" s="1927">
        <f t="shared" si="92"/>
        <v>0</v>
      </c>
      <c r="BN32" s="621"/>
      <c r="BO32" s="1263">
        <v>0.75</v>
      </c>
      <c r="BP32" s="1263">
        <f t="shared" si="159"/>
        <v>0.75</v>
      </c>
      <c r="BQ32" s="1263">
        <f t="shared" si="160"/>
        <v>0.75</v>
      </c>
      <c r="BR32" s="1263">
        <f t="shared" si="161"/>
        <v>0.75</v>
      </c>
      <c r="BS32" s="1263">
        <f t="shared" si="162"/>
        <v>0.75</v>
      </c>
      <c r="BT32" s="1263">
        <f t="shared" si="163"/>
        <v>0.75</v>
      </c>
      <c r="BU32" s="1263">
        <f t="shared" si="164"/>
        <v>0.75</v>
      </c>
      <c r="BV32" s="1263">
        <f t="shared" si="165"/>
        <v>0.75</v>
      </c>
      <c r="BW32" s="1263">
        <f t="shared" si="166"/>
        <v>0.75</v>
      </c>
      <c r="BX32" s="1263">
        <f t="shared" si="167"/>
        <v>0.75</v>
      </c>
      <c r="BY32" s="1263">
        <f t="shared" si="168"/>
        <v>0.75</v>
      </c>
      <c r="BZ32" s="1263">
        <f t="shared" si="168"/>
        <v>0.75</v>
      </c>
      <c r="CA32" s="1263"/>
      <c r="CB32" s="99">
        <f t="shared" si="136"/>
        <v>12000</v>
      </c>
      <c r="CC32" s="99">
        <f t="shared" si="137"/>
        <v>0</v>
      </c>
      <c r="CD32" s="99">
        <f t="shared" si="138"/>
        <v>0</v>
      </c>
      <c r="CE32" s="99">
        <f t="shared" si="139"/>
        <v>0</v>
      </c>
      <c r="CF32" s="99">
        <f t="shared" si="140"/>
        <v>0</v>
      </c>
      <c r="CG32" s="99">
        <f t="shared" si="141"/>
        <v>0</v>
      </c>
      <c r="CH32" s="99">
        <f t="shared" si="142"/>
        <v>0</v>
      </c>
      <c r="CI32" s="99">
        <f t="shared" si="143"/>
        <v>0</v>
      </c>
      <c r="CJ32" s="99">
        <f t="shared" si="144"/>
        <v>0</v>
      </c>
      <c r="CK32" s="99">
        <f t="shared" si="145"/>
        <v>0</v>
      </c>
      <c r="CL32" s="99">
        <f t="shared" si="146"/>
        <v>0</v>
      </c>
      <c r="CM32" s="99">
        <f t="shared" si="147"/>
        <v>0</v>
      </c>
    </row>
    <row r="33" spans="1:91" s="355" customFormat="1" ht="14.25" customHeight="1" x14ac:dyDescent="0.2">
      <c r="A33" s="964" t="s">
        <v>6129</v>
      </c>
      <c r="B33" s="1481" t="s">
        <v>5092</v>
      </c>
      <c r="C33" s="1481" t="s">
        <v>4145</v>
      </c>
      <c r="D33" s="1481" t="s">
        <v>4145</v>
      </c>
      <c r="E33" s="865"/>
      <c r="F33" s="861"/>
      <c r="G33" s="862">
        <f>800000+175000+25000-455000</f>
        <v>545000</v>
      </c>
      <c r="H33" s="862"/>
      <c r="I33" s="960"/>
      <c r="J33" s="862"/>
      <c r="K33" s="862"/>
      <c r="L33" s="862"/>
      <c r="M33" s="862"/>
      <c r="N33" s="862"/>
      <c r="O33" s="862"/>
      <c r="P33" s="862"/>
      <c r="Q33" s="962"/>
      <c r="R33" s="2296"/>
      <c r="S33" s="2297"/>
      <c r="T33" s="2297"/>
      <c r="U33" s="2298">
        <f t="shared" si="148"/>
        <v>0</v>
      </c>
      <c r="V33" s="621"/>
      <c r="W33" s="617"/>
      <c r="X33" s="617"/>
      <c r="Y33" s="620">
        <f t="shared" si="149"/>
        <v>545000</v>
      </c>
      <c r="Z33" s="621"/>
      <c r="AA33" s="617"/>
      <c r="AB33" s="617"/>
      <c r="AC33" s="620">
        <f t="shared" si="150"/>
        <v>0</v>
      </c>
      <c r="AD33" s="621"/>
      <c r="AE33" s="617"/>
      <c r="AF33" s="617"/>
      <c r="AG33" s="1923">
        <f t="shared" si="151"/>
        <v>0</v>
      </c>
      <c r="AH33" s="621"/>
      <c r="AI33" s="617"/>
      <c r="AJ33" s="617"/>
      <c r="AK33" s="1927">
        <f t="shared" si="152"/>
        <v>0</v>
      </c>
      <c r="AL33" s="621"/>
      <c r="AM33" s="617"/>
      <c r="AN33" s="617"/>
      <c r="AO33" s="620">
        <f t="shared" si="153"/>
        <v>0</v>
      </c>
      <c r="AP33" s="621"/>
      <c r="AQ33" s="617"/>
      <c r="AR33" s="617"/>
      <c r="AS33" s="620">
        <f t="shared" si="154"/>
        <v>0</v>
      </c>
      <c r="AT33" s="621"/>
      <c r="AU33" s="617"/>
      <c r="AV33" s="617"/>
      <c r="AW33" s="620">
        <f t="shared" si="155"/>
        <v>0</v>
      </c>
      <c r="AX33" s="621"/>
      <c r="AY33" s="617"/>
      <c r="AZ33" s="617"/>
      <c r="BA33" s="620">
        <f t="shared" si="156"/>
        <v>0</v>
      </c>
      <c r="BB33" s="621"/>
      <c r="BC33" s="617"/>
      <c r="BD33" s="617"/>
      <c r="BE33" s="1927">
        <f t="shared" si="157"/>
        <v>0</v>
      </c>
      <c r="BF33" s="621"/>
      <c r="BG33" s="617"/>
      <c r="BH33" s="617"/>
      <c r="BI33" s="1927">
        <f t="shared" si="158"/>
        <v>0</v>
      </c>
      <c r="BJ33" s="621"/>
      <c r="BK33" s="617"/>
      <c r="BL33" s="617"/>
      <c r="BM33" s="1927">
        <f t="shared" si="92"/>
        <v>0</v>
      </c>
      <c r="BN33" s="621"/>
      <c r="BO33" s="1263">
        <v>0.75</v>
      </c>
      <c r="BP33" s="1263">
        <f t="shared" si="159"/>
        <v>0.75</v>
      </c>
      <c r="BQ33" s="1263">
        <f t="shared" si="160"/>
        <v>0.75</v>
      </c>
      <c r="BR33" s="1263">
        <f t="shared" si="161"/>
        <v>0.75</v>
      </c>
      <c r="BS33" s="1263">
        <f t="shared" si="162"/>
        <v>0.75</v>
      </c>
      <c r="BT33" s="1263">
        <f t="shared" si="163"/>
        <v>0.75</v>
      </c>
      <c r="BU33" s="1263">
        <f t="shared" si="164"/>
        <v>0.75</v>
      </c>
      <c r="BV33" s="1263">
        <f t="shared" si="165"/>
        <v>0.75</v>
      </c>
      <c r="BW33" s="1263">
        <f t="shared" si="166"/>
        <v>0.75</v>
      </c>
      <c r="BX33" s="1263">
        <f t="shared" si="167"/>
        <v>0.75</v>
      </c>
      <c r="BY33" s="1263">
        <f t="shared" si="168"/>
        <v>0.75</v>
      </c>
      <c r="BZ33" s="1263">
        <f t="shared" si="168"/>
        <v>0.75</v>
      </c>
      <c r="CA33" s="1263"/>
      <c r="CB33" s="99">
        <f t="shared" si="136"/>
        <v>0</v>
      </c>
      <c r="CC33" s="99">
        <f t="shared" si="137"/>
        <v>409000</v>
      </c>
      <c r="CD33" s="99">
        <f t="shared" si="138"/>
        <v>0</v>
      </c>
      <c r="CE33" s="99">
        <f t="shared" si="139"/>
        <v>0</v>
      </c>
      <c r="CF33" s="99">
        <f t="shared" si="140"/>
        <v>0</v>
      </c>
      <c r="CG33" s="99">
        <f t="shared" si="141"/>
        <v>0</v>
      </c>
      <c r="CH33" s="99">
        <f t="shared" si="142"/>
        <v>0</v>
      </c>
      <c r="CI33" s="99">
        <f t="shared" si="143"/>
        <v>0</v>
      </c>
      <c r="CJ33" s="99">
        <f t="shared" si="144"/>
        <v>0</v>
      </c>
      <c r="CK33" s="99">
        <f t="shared" si="145"/>
        <v>0</v>
      </c>
      <c r="CL33" s="99">
        <f t="shared" si="146"/>
        <v>0</v>
      </c>
      <c r="CM33" s="99">
        <f t="shared" si="147"/>
        <v>0</v>
      </c>
    </row>
    <row r="34" spans="1:91" s="355" customFormat="1" ht="14.25" customHeight="1" x14ac:dyDescent="0.2">
      <c r="A34" s="964" t="s">
        <v>6746</v>
      </c>
      <c r="B34" s="1481"/>
      <c r="C34" s="1481"/>
      <c r="D34" s="1481"/>
      <c r="E34" s="865"/>
      <c r="F34" s="861">
        <v>11500</v>
      </c>
      <c r="G34" s="960"/>
      <c r="H34" s="862"/>
      <c r="I34" s="960"/>
      <c r="J34" s="960"/>
      <c r="K34" s="862"/>
      <c r="L34" s="960"/>
      <c r="M34" s="961"/>
      <c r="N34" s="862"/>
      <c r="O34" s="862"/>
      <c r="P34" s="862"/>
      <c r="Q34" s="962"/>
      <c r="R34" s="2296"/>
      <c r="S34" s="2297"/>
      <c r="T34" s="2297"/>
      <c r="U34" s="2298">
        <f t="shared" si="148"/>
        <v>11500</v>
      </c>
      <c r="V34" s="621"/>
      <c r="W34" s="617"/>
      <c r="X34" s="617"/>
      <c r="Y34" s="620">
        <f t="shared" si="149"/>
        <v>0</v>
      </c>
      <c r="Z34" s="621"/>
      <c r="AA34" s="617"/>
      <c r="AB34" s="617"/>
      <c r="AC34" s="620">
        <f t="shared" si="150"/>
        <v>0</v>
      </c>
      <c r="AD34" s="621"/>
      <c r="AE34" s="617"/>
      <c r="AF34" s="617"/>
      <c r="AG34" s="1923">
        <f t="shared" si="151"/>
        <v>0</v>
      </c>
      <c r="AH34" s="621"/>
      <c r="AI34" s="617"/>
      <c r="AJ34" s="617"/>
      <c r="AK34" s="1927">
        <f t="shared" si="152"/>
        <v>0</v>
      </c>
      <c r="AL34" s="621"/>
      <c r="AM34" s="617"/>
      <c r="AN34" s="617"/>
      <c r="AO34" s="620">
        <f t="shared" si="153"/>
        <v>0</v>
      </c>
      <c r="AP34" s="621"/>
      <c r="AQ34" s="617"/>
      <c r="AR34" s="617"/>
      <c r="AS34" s="620">
        <f t="shared" si="154"/>
        <v>0</v>
      </c>
      <c r="AT34" s="621"/>
      <c r="AU34" s="617"/>
      <c r="AV34" s="617"/>
      <c r="AW34" s="620">
        <f t="shared" si="155"/>
        <v>0</v>
      </c>
      <c r="AX34" s="621"/>
      <c r="AY34" s="617"/>
      <c r="AZ34" s="617"/>
      <c r="BA34" s="620">
        <f t="shared" si="156"/>
        <v>0</v>
      </c>
      <c r="BB34" s="621"/>
      <c r="BC34" s="617"/>
      <c r="BD34" s="617"/>
      <c r="BE34" s="1927">
        <f t="shared" si="157"/>
        <v>0</v>
      </c>
      <c r="BF34" s="621"/>
      <c r="BG34" s="617"/>
      <c r="BH34" s="617"/>
      <c r="BI34" s="1927">
        <f t="shared" si="158"/>
        <v>0</v>
      </c>
      <c r="BJ34" s="621"/>
      <c r="BK34" s="617"/>
      <c r="BL34" s="617"/>
      <c r="BM34" s="1927">
        <f t="shared" si="92"/>
        <v>0</v>
      </c>
      <c r="BN34" s="621"/>
      <c r="BO34" s="1263">
        <v>0.75</v>
      </c>
      <c r="BP34" s="1263">
        <f t="shared" si="159"/>
        <v>0.75</v>
      </c>
      <c r="BQ34" s="1263">
        <f t="shared" si="160"/>
        <v>0.75</v>
      </c>
      <c r="BR34" s="1263">
        <f t="shared" si="161"/>
        <v>0.75</v>
      </c>
      <c r="BS34" s="1263">
        <f t="shared" si="162"/>
        <v>0.75</v>
      </c>
      <c r="BT34" s="1263">
        <f t="shared" si="163"/>
        <v>0.75</v>
      </c>
      <c r="BU34" s="1263">
        <f t="shared" si="164"/>
        <v>0.75</v>
      </c>
      <c r="BV34" s="1263">
        <f t="shared" si="165"/>
        <v>0.75</v>
      </c>
      <c r="BW34" s="1263">
        <f t="shared" si="166"/>
        <v>0.75</v>
      </c>
      <c r="BX34" s="1263">
        <f t="shared" si="167"/>
        <v>0.75</v>
      </c>
      <c r="BY34" s="1263">
        <f t="shared" si="168"/>
        <v>0.75</v>
      </c>
      <c r="BZ34" s="1263">
        <f t="shared" si="168"/>
        <v>0.75</v>
      </c>
      <c r="CA34" s="1263"/>
      <c r="CB34" s="99">
        <f t="shared" si="136"/>
        <v>9000</v>
      </c>
      <c r="CC34" s="99">
        <f t="shared" si="137"/>
        <v>0</v>
      </c>
      <c r="CD34" s="99">
        <f t="shared" si="138"/>
        <v>0</v>
      </c>
      <c r="CE34" s="99">
        <f t="shared" si="139"/>
        <v>0</v>
      </c>
      <c r="CF34" s="99">
        <f t="shared" si="140"/>
        <v>0</v>
      </c>
      <c r="CG34" s="99">
        <f t="shared" si="141"/>
        <v>0</v>
      </c>
      <c r="CH34" s="99">
        <f t="shared" si="142"/>
        <v>0</v>
      </c>
      <c r="CI34" s="99">
        <f t="shared" si="143"/>
        <v>0</v>
      </c>
      <c r="CJ34" s="99">
        <f t="shared" si="144"/>
        <v>0</v>
      </c>
      <c r="CK34" s="99">
        <f t="shared" si="145"/>
        <v>0</v>
      </c>
      <c r="CL34" s="99">
        <f t="shared" si="146"/>
        <v>0</v>
      </c>
      <c r="CM34" s="99">
        <f t="shared" si="147"/>
        <v>0</v>
      </c>
    </row>
    <row r="35" spans="1:91" s="355" customFormat="1" ht="14.25" customHeight="1" x14ac:dyDescent="0.2">
      <c r="A35" s="964" t="s">
        <v>6747</v>
      </c>
      <c r="B35" s="1481" t="s">
        <v>5606</v>
      </c>
      <c r="C35" s="1481" t="s">
        <v>5605</v>
      </c>
      <c r="D35" s="1481"/>
      <c r="E35" s="865"/>
      <c r="F35" s="861">
        <v>3600</v>
      </c>
      <c r="G35" s="960">
        <v>5000</v>
      </c>
      <c r="H35" s="862"/>
      <c r="I35" s="960"/>
      <c r="J35" s="960"/>
      <c r="K35" s="862"/>
      <c r="L35" s="960"/>
      <c r="M35" s="961"/>
      <c r="N35" s="862"/>
      <c r="O35" s="862"/>
      <c r="P35" s="862"/>
      <c r="Q35" s="962"/>
      <c r="R35" s="2296"/>
      <c r="S35" s="2297"/>
      <c r="T35" s="2297"/>
      <c r="U35" s="2298">
        <f t="shared" si="148"/>
        <v>3600</v>
      </c>
      <c r="V35" s="621"/>
      <c r="W35" s="617"/>
      <c r="X35" s="617"/>
      <c r="Y35" s="620">
        <f t="shared" si="149"/>
        <v>5000</v>
      </c>
      <c r="Z35" s="621"/>
      <c r="AA35" s="617"/>
      <c r="AB35" s="617"/>
      <c r="AC35" s="620">
        <f t="shared" si="150"/>
        <v>0</v>
      </c>
      <c r="AD35" s="621"/>
      <c r="AE35" s="617"/>
      <c r="AF35" s="617"/>
      <c r="AG35" s="1923">
        <f t="shared" si="151"/>
        <v>0</v>
      </c>
      <c r="AH35" s="621"/>
      <c r="AI35" s="617"/>
      <c r="AJ35" s="617"/>
      <c r="AK35" s="1927">
        <f t="shared" si="152"/>
        <v>0</v>
      </c>
      <c r="AL35" s="621"/>
      <c r="AM35" s="617"/>
      <c r="AN35" s="617"/>
      <c r="AO35" s="620">
        <f t="shared" si="153"/>
        <v>0</v>
      </c>
      <c r="AP35" s="621"/>
      <c r="AQ35" s="617"/>
      <c r="AR35" s="617"/>
      <c r="AS35" s="620">
        <f t="shared" si="154"/>
        <v>0</v>
      </c>
      <c r="AT35" s="621"/>
      <c r="AU35" s="617"/>
      <c r="AV35" s="617"/>
      <c r="AW35" s="620">
        <f t="shared" si="155"/>
        <v>0</v>
      </c>
      <c r="AX35" s="621"/>
      <c r="AY35" s="617"/>
      <c r="AZ35" s="617"/>
      <c r="BA35" s="620">
        <f t="shared" si="156"/>
        <v>0</v>
      </c>
      <c r="BB35" s="621"/>
      <c r="BC35" s="617"/>
      <c r="BD35" s="617"/>
      <c r="BE35" s="1927">
        <f t="shared" si="157"/>
        <v>0</v>
      </c>
      <c r="BF35" s="621"/>
      <c r="BG35" s="617"/>
      <c r="BH35" s="617"/>
      <c r="BI35" s="1927">
        <f t="shared" si="158"/>
        <v>0</v>
      </c>
      <c r="BJ35" s="621"/>
      <c r="BK35" s="617"/>
      <c r="BL35" s="617"/>
      <c r="BM35" s="1927">
        <f t="shared" si="92"/>
        <v>0</v>
      </c>
      <c r="BN35" s="621"/>
      <c r="BO35" s="1263">
        <v>0.75</v>
      </c>
      <c r="BP35" s="1263">
        <f t="shared" si="159"/>
        <v>0.75</v>
      </c>
      <c r="BQ35" s="1263">
        <f t="shared" si="160"/>
        <v>0.75</v>
      </c>
      <c r="BR35" s="1263">
        <f t="shared" si="161"/>
        <v>0.75</v>
      </c>
      <c r="BS35" s="1263">
        <f t="shared" si="162"/>
        <v>0.75</v>
      </c>
      <c r="BT35" s="1263">
        <f t="shared" si="163"/>
        <v>0.75</v>
      </c>
      <c r="BU35" s="1263">
        <f t="shared" si="164"/>
        <v>0.75</v>
      </c>
      <c r="BV35" s="1263">
        <f t="shared" si="165"/>
        <v>0.75</v>
      </c>
      <c r="BW35" s="1263">
        <f t="shared" si="166"/>
        <v>0.75</v>
      </c>
      <c r="BX35" s="1263">
        <f t="shared" si="167"/>
        <v>0.75</v>
      </c>
      <c r="BY35" s="1263">
        <f t="shared" si="168"/>
        <v>0.75</v>
      </c>
      <c r="BZ35" s="1263">
        <f t="shared" si="168"/>
        <v>0.75</v>
      </c>
      <c r="CA35" s="1263"/>
      <c r="CB35" s="99">
        <f t="shared" si="136"/>
        <v>3000</v>
      </c>
      <c r="CC35" s="99">
        <f t="shared" si="137"/>
        <v>4000</v>
      </c>
      <c r="CD35" s="99">
        <f t="shared" si="138"/>
        <v>0</v>
      </c>
      <c r="CE35" s="99">
        <f t="shared" si="139"/>
        <v>0</v>
      </c>
      <c r="CF35" s="99">
        <f t="shared" si="140"/>
        <v>0</v>
      </c>
      <c r="CG35" s="99">
        <f t="shared" si="141"/>
        <v>0</v>
      </c>
      <c r="CH35" s="99">
        <f t="shared" si="142"/>
        <v>0</v>
      </c>
      <c r="CI35" s="99">
        <f t="shared" si="143"/>
        <v>0</v>
      </c>
      <c r="CJ35" s="99">
        <f t="shared" si="144"/>
        <v>0</v>
      </c>
      <c r="CK35" s="99">
        <f t="shared" si="145"/>
        <v>0</v>
      </c>
      <c r="CL35" s="99">
        <f t="shared" si="146"/>
        <v>0</v>
      </c>
      <c r="CM35" s="99">
        <f t="shared" si="147"/>
        <v>0</v>
      </c>
    </row>
    <row r="36" spans="1:91" s="355" customFormat="1" ht="14.25" customHeight="1" x14ac:dyDescent="0.2">
      <c r="A36" s="964" t="s">
        <v>6748</v>
      </c>
      <c r="B36" s="1481"/>
      <c r="C36" s="1481"/>
      <c r="D36" s="1481"/>
      <c r="E36" s="865"/>
      <c r="F36" s="861"/>
      <c r="G36" s="960"/>
      <c r="H36" s="862">
        <v>50000</v>
      </c>
      <c r="I36" s="960"/>
      <c r="J36" s="960"/>
      <c r="K36" s="862"/>
      <c r="L36" s="960"/>
      <c r="M36" s="961"/>
      <c r="N36" s="862"/>
      <c r="O36" s="862"/>
      <c r="P36" s="862"/>
      <c r="Q36" s="962"/>
      <c r="R36" s="2296"/>
      <c r="S36" s="2297"/>
      <c r="T36" s="2297"/>
      <c r="U36" s="2298"/>
      <c r="V36" s="621"/>
      <c r="W36" s="617"/>
      <c r="X36" s="617"/>
      <c r="Y36" s="620">
        <f t="shared" si="149"/>
        <v>0</v>
      </c>
      <c r="Z36" s="621"/>
      <c r="AA36" s="617"/>
      <c r="AB36" s="617"/>
      <c r="AC36" s="620">
        <f t="shared" si="150"/>
        <v>50000</v>
      </c>
      <c r="AD36" s="621"/>
      <c r="AE36" s="617"/>
      <c r="AF36" s="617"/>
      <c r="AG36" s="1923">
        <f t="shared" si="151"/>
        <v>0</v>
      </c>
      <c r="AH36" s="621"/>
      <c r="AI36" s="617"/>
      <c r="AJ36" s="617"/>
      <c r="AK36" s="1927">
        <f t="shared" si="152"/>
        <v>0</v>
      </c>
      <c r="AL36" s="621"/>
      <c r="AM36" s="617"/>
      <c r="AN36" s="617"/>
      <c r="AO36" s="620">
        <f t="shared" si="153"/>
        <v>0</v>
      </c>
      <c r="AP36" s="621"/>
      <c r="AQ36" s="617"/>
      <c r="AR36" s="617"/>
      <c r="AS36" s="620">
        <f t="shared" si="154"/>
        <v>0</v>
      </c>
      <c r="AT36" s="621"/>
      <c r="AU36" s="617"/>
      <c r="AV36" s="617"/>
      <c r="AW36" s="620">
        <f t="shared" si="155"/>
        <v>0</v>
      </c>
      <c r="AX36" s="621"/>
      <c r="AY36" s="617"/>
      <c r="AZ36" s="617"/>
      <c r="BA36" s="620">
        <f t="shared" si="156"/>
        <v>0</v>
      </c>
      <c r="BB36" s="621"/>
      <c r="BC36" s="617"/>
      <c r="BD36" s="617"/>
      <c r="BE36" s="1927">
        <f t="shared" si="157"/>
        <v>0</v>
      </c>
      <c r="BF36" s="621"/>
      <c r="BG36" s="617"/>
      <c r="BH36" s="617"/>
      <c r="BI36" s="1927">
        <f t="shared" si="158"/>
        <v>0</v>
      </c>
      <c r="BJ36" s="621"/>
      <c r="BK36" s="617"/>
      <c r="BL36" s="617"/>
      <c r="BM36" s="1927">
        <f t="shared" si="92"/>
        <v>0</v>
      </c>
      <c r="BN36" s="621"/>
      <c r="BO36" s="1263">
        <v>0.75</v>
      </c>
      <c r="BP36" s="1263">
        <f t="shared" ref="BP36:BP38" si="169">BO36</f>
        <v>0.75</v>
      </c>
      <c r="BQ36" s="1263">
        <f t="shared" ref="BQ36:BQ38" si="170">BP36</f>
        <v>0.75</v>
      </c>
      <c r="BR36" s="1263">
        <f t="shared" ref="BR36:BR38" si="171">BQ36</f>
        <v>0.75</v>
      </c>
      <c r="BS36" s="1263">
        <f t="shared" ref="BS36:BS38" si="172">BR36</f>
        <v>0.75</v>
      </c>
      <c r="BT36" s="1263">
        <f t="shared" ref="BT36:BT38" si="173">BS36</f>
        <v>0.75</v>
      </c>
      <c r="BU36" s="1263">
        <f t="shared" ref="BU36:BU38" si="174">BT36</f>
        <v>0.75</v>
      </c>
      <c r="BV36" s="1263">
        <f t="shared" ref="BV36:BV38" si="175">BU36</f>
        <v>0.75</v>
      </c>
      <c r="BW36" s="1263">
        <f t="shared" ref="BW36:BW38" si="176">BV36</f>
        <v>0.75</v>
      </c>
      <c r="BX36" s="1263">
        <f t="shared" ref="BX36:BX38" si="177">BW36</f>
        <v>0.75</v>
      </c>
      <c r="BY36" s="1263">
        <f t="shared" ref="BY36:BZ38" si="178">BX36</f>
        <v>0.75</v>
      </c>
      <c r="BZ36" s="1263">
        <f t="shared" si="178"/>
        <v>0.75</v>
      </c>
      <c r="CA36" s="1263"/>
      <c r="CB36" s="99">
        <f t="shared" si="136"/>
        <v>0</v>
      </c>
      <c r="CC36" s="99">
        <f t="shared" si="137"/>
        <v>0</v>
      </c>
      <c r="CD36" s="99">
        <f t="shared" si="138"/>
        <v>38000</v>
      </c>
      <c r="CE36" s="99">
        <f t="shared" si="139"/>
        <v>0</v>
      </c>
      <c r="CF36" s="99">
        <f t="shared" si="140"/>
        <v>0</v>
      </c>
      <c r="CG36" s="99">
        <f t="shared" si="141"/>
        <v>0</v>
      </c>
      <c r="CH36" s="99">
        <f t="shared" si="142"/>
        <v>0</v>
      </c>
      <c r="CI36" s="99">
        <f t="shared" si="143"/>
        <v>0</v>
      </c>
      <c r="CJ36" s="99">
        <f t="shared" si="144"/>
        <v>0</v>
      </c>
      <c r="CK36" s="99">
        <f t="shared" si="145"/>
        <v>0</v>
      </c>
      <c r="CL36" s="99">
        <f t="shared" si="146"/>
        <v>0</v>
      </c>
      <c r="CM36" s="99">
        <f t="shared" si="147"/>
        <v>0</v>
      </c>
    </row>
    <row r="37" spans="1:91" s="355" customFormat="1" ht="14.25" customHeight="1" x14ac:dyDescent="0.2">
      <c r="A37" s="964" t="s">
        <v>6749</v>
      </c>
      <c r="B37" s="1481"/>
      <c r="C37" s="1481"/>
      <c r="D37" s="1481"/>
      <c r="E37" s="865"/>
      <c r="F37" s="861"/>
      <c r="G37" s="960"/>
      <c r="H37" s="862"/>
      <c r="I37" s="960">
        <v>500000</v>
      </c>
      <c r="J37" s="960"/>
      <c r="K37" s="862"/>
      <c r="L37" s="960"/>
      <c r="M37" s="961"/>
      <c r="N37" s="862"/>
      <c r="O37" s="862"/>
      <c r="P37" s="862"/>
      <c r="Q37" s="962"/>
      <c r="R37" s="2296"/>
      <c r="S37" s="2297"/>
      <c r="T37" s="2297"/>
      <c r="U37" s="2298"/>
      <c r="V37" s="621"/>
      <c r="W37" s="617"/>
      <c r="X37" s="617"/>
      <c r="Y37" s="620">
        <f t="shared" si="149"/>
        <v>0</v>
      </c>
      <c r="Z37" s="621"/>
      <c r="AA37" s="617"/>
      <c r="AB37" s="617"/>
      <c r="AC37" s="620">
        <f t="shared" si="150"/>
        <v>0</v>
      </c>
      <c r="AD37" s="621"/>
      <c r="AE37" s="617">
        <f>I37</f>
        <v>500000</v>
      </c>
      <c r="AF37" s="617"/>
      <c r="AG37" s="1923">
        <f t="shared" si="151"/>
        <v>0</v>
      </c>
      <c r="AH37" s="621"/>
      <c r="AI37" s="617"/>
      <c r="AJ37" s="617"/>
      <c r="AK37" s="1927">
        <f t="shared" si="152"/>
        <v>0</v>
      </c>
      <c r="AL37" s="621"/>
      <c r="AM37" s="617"/>
      <c r="AN37" s="617"/>
      <c r="AO37" s="620">
        <f t="shared" si="153"/>
        <v>0</v>
      </c>
      <c r="AP37" s="621"/>
      <c r="AQ37" s="617"/>
      <c r="AR37" s="617"/>
      <c r="AS37" s="620">
        <f t="shared" si="154"/>
        <v>0</v>
      </c>
      <c r="AT37" s="621"/>
      <c r="AU37" s="617"/>
      <c r="AV37" s="617"/>
      <c r="AW37" s="620">
        <f t="shared" si="155"/>
        <v>0</v>
      </c>
      <c r="AX37" s="621"/>
      <c r="AY37" s="617"/>
      <c r="AZ37" s="617"/>
      <c r="BA37" s="620">
        <f t="shared" si="156"/>
        <v>0</v>
      </c>
      <c r="BB37" s="621"/>
      <c r="BC37" s="617"/>
      <c r="BD37" s="617"/>
      <c r="BE37" s="1927">
        <f t="shared" si="157"/>
        <v>0</v>
      </c>
      <c r="BF37" s="621"/>
      <c r="BG37" s="617"/>
      <c r="BH37" s="617"/>
      <c r="BI37" s="1927">
        <f t="shared" si="158"/>
        <v>0</v>
      </c>
      <c r="BJ37" s="621"/>
      <c r="BK37" s="617"/>
      <c r="BL37" s="617"/>
      <c r="BM37" s="1927">
        <f t="shared" si="92"/>
        <v>0</v>
      </c>
      <c r="BN37" s="621"/>
      <c r="BO37" s="1263">
        <v>0.75</v>
      </c>
      <c r="BP37" s="1263">
        <f t="shared" si="169"/>
        <v>0.75</v>
      </c>
      <c r="BQ37" s="1263">
        <f t="shared" si="170"/>
        <v>0.75</v>
      </c>
      <c r="BR37" s="1263">
        <f t="shared" si="171"/>
        <v>0.75</v>
      </c>
      <c r="BS37" s="1263">
        <f t="shared" si="172"/>
        <v>0.75</v>
      </c>
      <c r="BT37" s="1263">
        <f t="shared" si="173"/>
        <v>0.75</v>
      </c>
      <c r="BU37" s="1263">
        <f t="shared" si="174"/>
        <v>0.75</v>
      </c>
      <c r="BV37" s="1263">
        <f t="shared" si="175"/>
        <v>0.75</v>
      </c>
      <c r="BW37" s="1263">
        <f t="shared" si="176"/>
        <v>0.75</v>
      </c>
      <c r="BX37" s="1263">
        <f t="shared" si="177"/>
        <v>0.75</v>
      </c>
      <c r="BY37" s="1263">
        <f t="shared" si="178"/>
        <v>0.75</v>
      </c>
      <c r="BZ37" s="1263">
        <f t="shared" si="178"/>
        <v>0.75</v>
      </c>
      <c r="CA37" s="1263"/>
      <c r="CB37" s="99">
        <f t="shared" si="136"/>
        <v>0</v>
      </c>
      <c r="CC37" s="99">
        <f t="shared" si="137"/>
        <v>0</v>
      </c>
      <c r="CD37" s="99">
        <f t="shared" si="138"/>
        <v>0</v>
      </c>
      <c r="CE37" s="99">
        <f t="shared" si="139"/>
        <v>375000</v>
      </c>
      <c r="CF37" s="99">
        <f t="shared" si="140"/>
        <v>0</v>
      </c>
      <c r="CG37" s="99">
        <f t="shared" si="141"/>
        <v>0</v>
      </c>
      <c r="CH37" s="99">
        <f t="shared" si="142"/>
        <v>0</v>
      </c>
      <c r="CI37" s="99">
        <f t="shared" si="143"/>
        <v>0</v>
      </c>
      <c r="CJ37" s="99">
        <f t="shared" si="144"/>
        <v>0</v>
      </c>
      <c r="CK37" s="99">
        <f t="shared" si="145"/>
        <v>0</v>
      </c>
      <c r="CL37" s="99">
        <f t="shared" si="146"/>
        <v>0</v>
      </c>
      <c r="CM37" s="99">
        <f t="shared" si="147"/>
        <v>0</v>
      </c>
    </row>
    <row r="38" spans="1:91" s="355" customFormat="1" ht="14.25" customHeight="1" x14ac:dyDescent="0.2">
      <c r="A38" s="964" t="s">
        <v>6750</v>
      </c>
      <c r="B38" s="1481"/>
      <c r="C38" s="1481"/>
      <c r="D38" s="1481"/>
      <c r="E38" s="865"/>
      <c r="F38" s="861"/>
      <c r="G38" s="960"/>
      <c r="H38" s="862"/>
      <c r="I38" s="960">
        <v>500000</v>
      </c>
      <c r="J38" s="960">
        <v>500000</v>
      </c>
      <c r="K38" s="862">
        <v>500000</v>
      </c>
      <c r="L38" s="960">
        <v>500000</v>
      </c>
      <c r="M38" s="961"/>
      <c r="N38" s="862"/>
      <c r="O38" s="862"/>
      <c r="P38" s="862"/>
      <c r="Q38" s="962"/>
      <c r="R38" s="2296"/>
      <c r="S38" s="2297"/>
      <c r="T38" s="2297"/>
      <c r="U38" s="2298"/>
      <c r="V38" s="621"/>
      <c r="W38" s="617"/>
      <c r="X38" s="617"/>
      <c r="Y38" s="620">
        <f t="shared" si="149"/>
        <v>0</v>
      </c>
      <c r="Z38" s="621"/>
      <c r="AA38" s="617"/>
      <c r="AB38" s="617"/>
      <c r="AC38" s="620">
        <f t="shared" si="150"/>
        <v>0</v>
      </c>
      <c r="AD38" s="621"/>
      <c r="AE38" s="617">
        <f>I38</f>
        <v>500000</v>
      </c>
      <c r="AF38" s="617"/>
      <c r="AG38" s="1923">
        <f t="shared" si="151"/>
        <v>0</v>
      </c>
      <c r="AH38" s="621"/>
      <c r="AI38" s="617"/>
      <c r="AJ38" s="617"/>
      <c r="AK38" s="1927">
        <f t="shared" si="152"/>
        <v>500000</v>
      </c>
      <c r="AL38" s="621"/>
      <c r="AM38" s="617"/>
      <c r="AN38" s="617"/>
      <c r="AO38" s="620">
        <f t="shared" si="153"/>
        <v>500000</v>
      </c>
      <c r="AP38" s="621"/>
      <c r="AQ38" s="617"/>
      <c r="AR38" s="617"/>
      <c r="AS38" s="620">
        <f t="shared" si="154"/>
        <v>500000</v>
      </c>
      <c r="AT38" s="621"/>
      <c r="AU38" s="617"/>
      <c r="AV38" s="617"/>
      <c r="AW38" s="620">
        <f t="shared" si="155"/>
        <v>0</v>
      </c>
      <c r="AX38" s="621"/>
      <c r="AY38" s="617"/>
      <c r="AZ38" s="617"/>
      <c r="BA38" s="620">
        <f t="shared" si="156"/>
        <v>0</v>
      </c>
      <c r="BB38" s="621"/>
      <c r="BC38" s="617"/>
      <c r="BD38" s="617"/>
      <c r="BE38" s="1927">
        <f t="shared" si="157"/>
        <v>0</v>
      </c>
      <c r="BF38" s="621"/>
      <c r="BG38" s="617"/>
      <c r="BH38" s="617"/>
      <c r="BI38" s="1927">
        <f t="shared" si="158"/>
        <v>0</v>
      </c>
      <c r="BJ38" s="621"/>
      <c r="BK38" s="617"/>
      <c r="BL38" s="617"/>
      <c r="BM38" s="1927">
        <f t="shared" si="92"/>
        <v>0</v>
      </c>
      <c r="BN38" s="621"/>
      <c r="BO38" s="1263">
        <v>0.75</v>
      </c>
      <c r="BP38" s="1263">
        <f t="shared" si="169"/>
        <v>0.75</v>
      </c>
      <c r="BQ38" s="1263">
        <f t="shared" si="170"/>
        <v>0.75</v>
      </c>
      <c r="BR38" s="1263">
        <f t="shared" si="171"/>
        <v>0.75</v>
      </c>
      <c r="BS38" s="1263">
        <f t="shared" si="172"/>
        <v>0.75</v>
      </c>
      <c r="BT38" s="1263">
        <f t="shared" si="173"/>
        <v>0.75</v>
      </c>
      <c r="BU38" s="1263">
        <f t="shared" si="174"/>
        <v>0.75</v>
      </c>
      <c r="BV38" s="1263">
        <f t="shared" si="175"/>
        <v>0.75</v>
      </c>
      <c r="BW38" s="1263">
        <f t="shared" si="176"/>
        <v>0.75</v>
      </c>
      <c r="BX38" s="1263">
        <f t="shared" si="177"/>
        <v>0.75</v>
      </c>
      <c r="BY38" s="1263">
        <f t="shared" si="178"/>
        <v>0.75</v>
      </c>
      <c r="BZ38" s="1263">
        <f t="shared" si="178"/>
        <v>0.75</v>
      </c>
      <c r="CA38" s="1263"/>
      <c r="CB38" s="99">
        <f t="shared" si="136"/>
        <v>0</v>
      </c>
      <c r="CC38" s="99">
        <f t="shared" si="137"/>
        <v>0</v>
      </c>
      <c r="CD38" s="99">
        <f t="shared" si="138"/>
        <v>0</v>
      </c>
      <c r="CE38" s="99">
        <f t="shared" si="139"/>
        <v>375000</v>
      </c>
      <c r="CF38" s="99">
        <f t="shared" si="140"/>
        <v>375000</v>
      </c>
      <c r="CG38" s="99">
        <f t="shared" si="141"/>
        <v>375000</v>
      </c>
      <c r="CH38" s="99">
        <f t="shared" si="142"/>
        <v>375000</v>
      </c>
      <c r="CI38" s="99">
        <f t="shared" si="143"/>
        <v>0</v>
      </c>
      <c r="CJ38" s="99">
        <f t="shared" si="144"/>
        <v>0</v>
      </c>
      <c r="CK38" s="99">
        <f t="shared" si="145"/>
        <v>0</v>
      </c>
      <c r="CL38" s="99">
        <f t="shared" si="146"/>
        <v>0</v>
      </c>
      <c r="CM38" s="99">
        <f t="shared" si="147"/>
        <v>0</v>
      </c>
    </row>
    <row r="39" spans="1:91" s="355" customFormat="1" ht="14.25" customHeight="1" x14ac:dyDescent="0.2">
      <c r="A39" s="964" t="s">
        <v>6751</v>
      </c>
      <c r="B39" s="1481"/>
      <c r="C39" s="1481" t="s">
        <v>6044</v>
      </c>
      <c r="D39" s="1481"/>
      <c r="E39" s="865"/>
      <c r="F39" s="861">
        <v>60000</v>
      </c>
      <c r="G39" s="960">
        <v>60000</v>
      </c>
      <c r="H39" s="862"/>
      <c r="I39" s="960"/>
      <c r="J39" s="960"/>
      <c r="K39" s="862"/>
      <c r="L39" s="960"/>
      <c r="M39" s="961"/>
      <c r="N39" s="862"/>
      <c r="O39" s="862"/>
      <c r="P39" s="862"/>
      <c r="Q39" s="962"/>
      <c r="R39" s="2296"/>
      <c r="S39" s="2297"/>
      <c r="T39" s="2297"/>
      <c r="U39" s="2298">
        <f t="shared" ref="U39" si="179">$F39-R39-S39-T39</f>
        <v>60000</v>
      </c>
      <c r="V39" s="621"/>
      <c r="W39" s="617"/>
      <c r="X39" s="617"/>
      <c r="Y39" s="620">
        <f t="shared" ref="Y39" si="180">$G39-V39-W39-X39</f>
        <v>60000</v>
      </c>
      <c r="Z39" s="621"/>
      <c r="AA39" s="617"/>
      <c r="AB39" s="617"/>
      <c r="AC39" s="620">
        <f t="shared" ref="AC39" si="181">$H39-Z39-AA39-AB39</f>
        <v>0</v>
      </c>
      <c r="AD39" s="621"/>
      <c r="AE39" s="617"/>
      <c r="AF39" s="617"/>
      <c r="AG39" s="1923">
        <f t="shared" ref="AG39" si="182">$I39-AD39-AE39-AF39</f>
        <v>0</v>
      </c>
      <c r="AH39" s="621"/>
      <c r="AI39" s="617"/>
      <c r="AJ39" s="617"/>
      <c r="AK39" s="1927">
        <f t="shared" ref="AK39" si="183">$J39-AH39-AI39-AJ39</f>
        <v>0</v>
      </c>
      <c r="AL39" s="621"/>
      <c r="AM39" s="617"/>
      <c r="AN39" s="617"/>
      <c r="AO39" s="620">
        <f t="shared" ref="AO39" si="184">$K39-AL39-AM39-AN39</f>
        <v>0</v>
      </c>
      <c r="AP39" s="621"/>
      <c r="AQ39" s="617"/>
      <c r="AR39" s="617"/>
      <c r="AS39" s="620">
        <f t="shared" ref="AS39" si="185">$L39-AP39-AQ39-AR39</f>
        <v>0</v>
      </c>
      <c r="AT39" s="621"/>
      <c r="AU39" s="617"/>
      <c r="AV39" s="617"/>
      <c r="AW39" s="620">
        <f t="shared" ref="AW39" si="186">$M39-AT39-AU39-AV39</f>
        <v>0</v>
      </c>
      <c r="AX39" s="621"/>
      <c r="AY39" s="617"/>
      <c r="AZ39" s="617"/>
      <c r="BA39" s="620">
        <f t="shared" ref="BA39" si="187">$N39-AX39-AY39-AZ39</f>
        <v>0</v>
      </c>
      <c r="BB39" s="621"/>
      <c r="BC39" s="617"/>
      <c r="BD39" s="617"/>
      <c r="BE39" s="1927">
        <f t="shared" ref="BE39" si="188">$O39-BB39-BC39-BD39</f>
        <v>0</v>
      </c>
      <c r="BF39" s="621"/>
      <c r="BG39" s="617"/>
      <c r="BH39" s="617"/>
      <c r="BI39" s="1927">
        <f t="shared" ref="BI39" si="189">$P39-BF39-BG39-BH39</f>
        <v>0</v>
      </c>
      <c r="BJ39" s="621"/>
      <c r="BK39" s="617"/>
      <c r="BL39" s="617"/>
      <c r="BM39" s="1927">
        <f t="shared" si="92"/>
        <v>0</v>
      </c>
      <c r="BN39" s="621"/>
      <c r="BO39" s="1263">
        <v>0.75</v>
      </c>
      <c r="BP39" s="1263">
        <f t="shared" ref="BP39" si="190">BO39</f>
        <v>0.75</v>
      </c>
      <c r="BQ39" s="1263">
        <f t="shared" ref="BQ39" si="191">BP39</f>
        <v>0.75</v>
      </c>
      <c r="BR39" s="1263">
        <f t="shared" ref="BR39" si="192">BQ39</f>
        <v>0.75</v>
      </c>
      <c r="BS39" s="1263">
        <f t="shared" ref="BS39" si="193">BR39</f>
        <v>0.75</v>
      </c>
      <c r="BT39" s="1263">
        <f t="shared" ref="BT39" si="194">BS39</f>
        <v>0.75</v>
      </c>
      <c r="BU39" s="1263">
        <f t="shared" ref="BU39" si="195">BT39</f>
        <v>0.75</v>
      </c>
      <c r="BV39" s="1263">
        <f t="shared" ref="BV39" si="196">BU39</f>
        <v>0.75</v>
      </c>
      <c r="BW39" s="1263">
        <f t="shared" ref="BW39" si="197">BV39</f>
        <v>0.75</v>
      </c>
      <c r="BX39" s="1263">
        <f t="shared" ref="BX39" si="198">BW39</f>
        <v>0.75</v>
      </c>
      <c r="BY39" s="1263">
        <f t="shared" ref="BY39:BZ39" si="199">BX39</f>
        <v>0.75</v>
      </c>
      <c r="BZ39" s="1263">
        <f t="shared" si="199"/>
        <v>0.75</v>
      </c>
      <c r="CA39" s="1263"/>
      <c r="CB39" s="99">
        <f t="shared" si="136"/>
        <v>45000</v>
      </c>
      <c r="CC39" s="99">
        <f t="shared" si="137"/>
        <v>45000</v>
      </c>
      <c r="CD39" s="99">
        <f t="shared" si="138"/>
        <v>0</v>
      </c>
      <c r="CE39" s="99">
        <f t="shared" si="139"/>
        <v>0</v>
      </c>
      <c r="CF39" s="99">
        <f t="shared" si="140"/>
        <v>0</v>
      </c>
      <c r="CG39" s="99">
        <f t="shared" si="141"/>
        <v>0</v>
      </c>
      <c r="CH39" s="99">
        <f t="shared" si="142"/>
        <v>0</v>
      </c>
      <c r="CI39" s="99">
        <f t="shared" si="143"/>
        <v>0</v>
      </c>
      <c r="CJ39" s="99">
        <f t="shared" si="144"/>
        <v>0</v>
      </c>
      <c r="CK39" s="99">
        <f t="shared" si="145"/>
        <v>0</v>
      </c>
      <c r="CL39" s="99">
        <f t="shared" si="146"/>
        <v>0</v>
      </c>
      <c r="CM39" s="99">
        <f t="shared" si="147"/>
        <v>0</v>
      </c>
    </row>
    <row r="40" spans="1:91" s="355" customFormat="1" ht="14.25" customHeight="1" x14ac:dyDescent="0.2">
      <c r="A40" s="965"/>
      <c r="B40" s="1480"/>
      <c r="C40" s="1480"/>
      <c r="D40" s="1480"/>
      <c r="E40" s="865"/>
      <c r="F40" s="861"/>
      <c r="G40" s="960"/>
      <c r="H40" s="862"/>
      <c r="I40" s="960"/>
      <c r="J40" s="960"/>
      <c r="K40" s="862"/>
      <c r="L40" s="960"/>
      <c r="M40" s="961"/>
      <c r="N40" s="862"/>
      <c r="O40" s="862"/>
      <c r="P40" s="862"/>
      <c r="Q40" s="962"/>
      <c r="R40" s="2296"/>
      <c r="S40" s="2297"/>
      <c r="T40" s="2297"/>
      <c r="U40" s="2298"/>
      <c r="V40" s="621"/>
      <c r="W40" s="617"/>
      <c r="X40" s="617"/>
      <c r="Y40" s="620"/>
      <c r="Z40" s="621"/>
      <c r="AA40" s="617"/>
      <c r="AB40" s="617"/>
      <c r="AC40" s="620"/>
      <c r="AD40" s="621"/>
      <c r="AE40" s="617"/>
      <c r="AF40" s="617"/>
      <c r="AG40" s="1923"/>
      <c r="AH40" s="621"/>
      <c r="AI40" s="617"/>
      <c r="AJ40" s="617"/>
      <c r="AK40" s="1927"/>
      <c r="AL40" s="621"/>
      <c r="AM40" s="617"/>
      <c r="AN40" s="617"/>
      <c r="AO40" s="620"/>
      <c r="AP40" s="621"/>
      <c r="AQ40" s="617"/>
      <c r="AR40" s="617"/>
      <c r="AS40" s="620"/>
      <c r="AT40" s="621"/>
      <c r="AU40" s="617"/>
      <c r="AV40" s="617"/>
      <c r="AW40" s="620"/>
      <c r="AX40" s="621"/>
      <c r="AY40" s="617"/>
      <c r="AZ40" s="617"/>
      <c r="BA40" s="620"/>
      <c r="BB40" s="621"/>
      <c r="BC40" s="617"/>
      <c r="BD40" s="617"/>
      <c r="BE40" s="1927"/>
      <c r="BF40" s="621"/>
      <c r="BG40" s="617"/>
      <c r="BH40" s="617"/>
      <c r="BI40" s="1927"/>
      <c r="BJ40" s="621"/>
      <c r="BK40" s="617"/>
      <c r="BL40" s="617"/>
      <c r="BM40" s="1927"/>
      <c r="BN40" s="621"/>
      <c r="BO40" s="1263"/>
      <c r="BP40" s="1263"/>
      <c r="BQ40" s="1263"/>
      <c r="BR40" s="1263"/>
      <c r="BS40" s="1263"/>
      <c r="BT40" s="1263"/>
      <c r="BU40" s="1263"/>
      <c r="BV40" s="1263"/>
      <c r="BW40" s="1263"/>
      <c r="BX40" s="1263"/>
      <c r="BY40" s="1263"/>
      <c r="BZ40" s="1263"/>
      <c r="CA40" s="1263"/>
      <c r="CB40" s="99"/>
      <c r="CC40" s="99"/>
      <c r="CD40" s="99"/>
      <c r="CE40" s="99"/>
      <c r="CF40" s="99"/>
      <c r="CG40" s="99"/>
      <c r="CH40" s="99"/>
      <c r="CI40" s="99"/>
      <c r="CJ40" s="99"/>
      <c r="CK40" s="99"/>
      <c r="CL40" s="99"/>
      <c r="CM40" s="99"/>
    </row>
    <row r="41" spans="1:91" s="355" customFormat="1" ht="14.25" customHeight="1" x14ac:dyDescent="0.2">
      <c r="A41" s="1413" t="s">
        <v>4970</v>
      </c>
      <c r="B41" s="1480"/>
      <c r="C41" s="1480"/>
      <c r="D41" s="1480"/>
      <c r="E41" s="865"/>
      <c r="F41" s="861"/>
      <c r="G41" s="960"/>
      <c r="H41" s="862"/>
      <c r="I41" s="960"/>
      <c r="J41" s="960"/>
      <c r="K41" s="960"/>
      <c r="L41" s="960"/>
      <c r="M41" s="961"/>
      <c r="N41" s="862"/>
      <c r="O41" s="862"/>
      <c r="P41" s="862"/>
      <c r="Q41" s="962"/>
      <c r="R41" s="2296"/>
      <c r="S41" s="2297"/>
      <c r="T41" s="2297"/>
      <c r="U41" s="2298"/>
      <c r="V41" s="621"/>
      <c r="W41" s="617"/>
      <c r="X41" s="617"/>
      <c r="Y41" s="620"/>
      <c r="Z41" s="621"/>
      <c r="AA41" s="617"/>
      <c r="AB41" s="617"/>
      <c r="AC41" s="620"/>
      <c r="AD41" s="621"/>
      <c r="AE41" s="617"/>
      <c r="AF41" s="617"/>
      <c r="AG41" s="1923"/>
      <c r="AH41" s="621"/>
      <c r="AI41" s="617"/>
      <c r="AJ41" s="617"/>
      <c r="AK41" s="1927"/>
      <c r="AL41" s="621"/>
      <c r="AM41" s="617"/>
      <c r="AN41" s="617"/>
      <c r="AO41" s="620"/>
      <c r="AP41" s="621"/>
      <c r="AQ41" s="617"/>
      <c r="AR41" s="617"/>
      <c r="AS41" s="620"/>
      <c r="AT41" s="621"/>
      <c r="AU41" s="617"/>
      <c r="AV41" s="617"/>
      <c r="AW41" s="620"/>
      <c r="AX41" s="621"/>
      <c r="AY41" s="617"/>
      <c r="AZ41" s="617"/>
      <c r="BA41" s="620"/>
      <c r="BB41" s="621"/>
      <c r="BC41" s="617"/>
      <c r="BD41" s="617"/>
      <c r="BE41" s="1927"/>
      <c r="BF41" s="621"/>
      <c r="BG41" s="617"/>
      <c r="BH41" s="617"/>
      <c r="BI41" s="1927"/>
      <c r="BJ41" s="621"/>
      <c r="BK41" s="617"/>
      <c r="BL41" s="617"/>
      <c r="BM41" s="1927"/>
      <c r="BN41" s="621"/>
      <c r="BO41" s="1263"/>
      <c r="BP41" s="1263"/>
      <c r="BQ41" s="1263"/>
      <c r="BR41" s="1263"/>
      <c r="BS41" s="1263"/>
      <c r="BT41" s="1263"/>
      <c r="BU41" s="1263"/>
      <c r="BV41" s="1263"/>
      <c r="BW41" s="1263"/>
      <c r="BX41" s="1263"/>
      <c r="BY41" s="1263"/>
      <c r="BZ41" s="1263"/>
      <c r="CA41" s="1263"/>
      <c r="CB41" s="99"/>
      <c r="CC41" s="99"/>
      <c r="CD41" s="99"/>
      <c r="CE41" s="99"/>
      <c r="CF41" s="99"/>
      <c r="CG41" s="99"/>
      <c r="CH41" s="99"/>
      <c r="CI41" s="99"/>
      <c r="CJ41" s="99"/>
      <c r="CK41" s="99"/>
      <c r="CL41" s="99"/>
      <c r="CM41" s="99"/>
    </row>
    <row r="42" spans="1:91" s="355" customFormat="1" ht="14.25" customHeight="1" x14ac:dyDescent="0.2">
      <c r="A42" s="965" t="s">
        <v>4993</v>
      </c>
      <c r="B42" s="1481" t="s">
        <v>5093</v>
      </c>
      <c r="C42" s="1481" t="s">
        <v>5094</v>
      </c>
      <c r="D42" s="1481" t="s">
        <v>5094</v>
      </c>
      <c r="E42" s="865">
        <v>1</v>
      </c>
      <c r="F42" s="861">
        <f>22700+13900</f>
        <v>36600</v>
      </c>
      <c r="G42" s="960">
        <f>31000+75000-44000-30000</f>
        <v>32000</v>
      </c>
      <c r="H42" s="862"/>
      <c r="I42" s="960"/>
      <c r="J42" s="960"/>
      <c r="K42" s="862"/>
      <c r="L42" s="960"/>
      <c r="M42" s="961"/>
      <c r="N42" s="862"/>
      <c r="O42" s="862"/>
      <c r="P42" s="862"/>
      <c r="Q42" s="962"/>
      <c r="R42" s="2296"/>
      <c r="S42" s="2297"/>
      <c r="T42" s="2297"/>
      <c r="U42" s="2298">
        <f>$F42-R42-S42-T42</f>
        <v>36600</v>
      </c>
      <c r="V42" s="621"/>
      <c r="W42" s="617"/>
      <c r="X42" s="617"/>
      <c r="Y42" s="620">
        <f t="shared" ref="Y42:Y44" si="200">$G42-V42-W42-X42</f>
        <v>32000</v>
      </c>
      <c r="Z42" s="621"/>
      <c r="AA42" s="617"/>
      <c r="AB42" s="617"/>
      <c r="AC42" s="620">
        <f>$H42-Z42-AA42-AB42</f>
        <v>0</v>
      </c>
      <c r="AD42" s="621"/>
      <c r="AE42" s="617"/>
      <c r="AF42" s="617"/>
      <c r="AG42" s="1923">
        <f>$I42-AD42-AE42-AF42</f>
        <v>0</v>
      </c>
      <c r="AH42" s="621"/>
      <c r="AI42" s="617"/>
      <c r="AJ42" s="617"/>
      <c r="AK42" s="1927">
        <f>$J42-AH42-AI42-AJ42</f>
        <v>0</v>
      </c>
      <c r="AL42" s="621"/>
      <c r="AM42" s="617"/>
      <c r="AN42" s="617"/>
      <c r="AO42" s="620">
        <f>$K42-AL42-AM42-AN42</f>
        <v>0</v>
      </c>
      <c r="AP42" s="621"/>
      <c r="AQ42" s="617"/>
      <c r="AR42" s="617"/>
      <c r="AS42" s="620">
        <f>$L42-AP42-AQ42-AR42</f>
        <v>0</v>
      </c>
      <c r="AT42" s="621"/>
      <c r="AU42" s="617"/>
      <c r="AV42" s="617"/>
      <c r="AW42" s="620">
        <f>$M42-AT42-AU42-AV42</f>
        <v>0</v>
      </c>
      <c r="AX42" s="621"/>
      <c r="AY42" s="617"/>
      <c r="AZ42" s="617"/>
      <c r="BA42" s="620">
        <f>$N42-AX42-AY42-AZ42</f>
        <v>0</v>
      </c>
      <c r="BB42" s="621"/>
      <c r="BC42" s="617"/>
      <c r="BD42" s="617"/>
      <c r="BE42" s="1927">
        <f>$O42-BB42-BC42-BD42</f>
        <v>0</v>
      </c>
      <c r="BF42" s="621"/>
      <c r="BG42" s="617"/>
      <c r="BH42" s="617"/>
      <c r="BI42" s="1927">
        <f t="shared" ref="BI42" si="201">$P42-BF42-BG42-BH42</f>
        <v>0</v>
      </c>
      <c r="BJ42" s="621"/>
      <c r="BK42" s="617"/>
      <c r="BL42" s="617"/>
      <c r="BM42" s="1927">
        <f t="shared" si="92"/>
        <v>0</v>
      </c>
      <c r="BN42" s="621"/>
      <c r="BO42" s="1263">
        <v>0.75</v>
      </c>
      <c r="BP42" s="1263">
        <f t="shared" ref="BP42:BZ42" si="202">BO42</f>
        <v>0.75</v>
      </c>
      <c r="BQ42" s="1263">
        <f t="shared" si="202"/>
        <v>0.75</v>
      </c>
      <c r="BR42" s="1263">
        <f t="shared" si="202"/>
        <v>0.75</v>
      </c>
      <c r="BS42" s="1263">
        <f t="shared" si="202"/>
        <v>0.75</v>
      </c>
      <c r="BT42" s="1263">
        <f t="shared" si="202"/>
        <v>0.75</v>
      </c>
      <c r="BU42" s="1263">
        <f t="shared" si="202"/>
        <v>0.75</v>
      </c>
      <c r="BV42" s="1263">
        <f t="shared" si="202"/>
        <v>0.75</v>
      </c>
      <c r="BW42" s="1263">
        <f t="shared" si="202"/>
        <v>0.75</v>
      </c>
      <c r="BX42" s="1263">
        <f t="shared" si="202"/>
        <v>0.75</v>
      </c>
      <c r="BY42" s="1263">
        <f t="shared" si="202"/>
        <v>0.75</v>
      </c>
      <c r="BZ42" s="1263">
        <f t="shared" si="202"/>
        <v>0.75</v>
      </c>
      <c r="CA42" s="1263"/>
      <c r="CB42" s="99">
        <f t="shared" ref="CB42:CM44" si="203">ROUND(BO42*F42,-3)</f>
        <v>27000</v>
      </c>
      <c r="CC42" s="99">
        <f t="shared" si="203"/>
        <v>24000</v>
      </c>
      <c r="CD42" s="99">
        <f t="shared" si="203"/>
        <v>0</v>
      </c>
      <c r="CE42" s="99">
        <f t="shared" si="203"/>
        <v>0</v>
      </c>
      <c r="CF42" s="99">
        <f t="shared" si="203"/>
        <v>0</v>
      </c>
      <c r="CG42" s="99">
        <f t="shared" si="203"/>
        <v>0</v>
      </c>
      <c r="CH42" s="99">
        <f t="shared" si="203"/>
        <v>0</v>
      </c>
      <c r="CI42" s="99">
        <f t="shared" si="203"/>
        <v>0</v>
      </c>
      <c r="CJ42" s="99">
        <f t="shared" si="203"/>
        <v>0</v>
      </c>
      <c r="CK42" s="99">
        <f t="shared" si="203"/>
        <v>0</v>
      </c>
      <c r="CL42" s="99">
        <f t="shared" si="203"/>
        <v>0</v>
      </c>
      <c r="CM42" s="99">
        <f t="shared" si="203"/>
        <v>0</v>
      </c>
    </row>
    <row r="43" spans="1:91" s="355" customFormat="1" ht="14.25" customHeight="1" x14ac:dyDescent="0.2">
      <c r="A43" s="965" t="s">
        <v>7054</v>
      </c>
      <c r="B43" s="1481" t="s">
        <v>6606</v>
      </c>
      <c r="C43" s="1481" t="s">
        <v>6605</v>
      </c>
      <c r="D43" s="1481" t="s">
        <v>6605</v>
      </c>
      <c r="E43" s="865"/>
      <c r="F43" s="861"/>
      <c r="G43" s="960">
        <v>44000</v>
      </c>
      <c r="H43" s="862"/>
      <c r="I43" s="960"/>
      <c r="J43" s="960"/>
      <c r="K43" s="862"/>
      <c r="L43" s="960"/>
      <c r="M43" s="961"/>
      <c r="N43" s="862"/>
      <c r="O43" s="862"/>
      <c r="P43" s="862"/>
      <c r="Q43" s="962"/>
      <c r="R43" s="2296"/>
      <c r="S43" s="2297"/>
      <c r="T43" s="2297"/>
      <c r="U43" s="2298"/>
      <c r="V43" s="621"/>
      <c r="W43" s="617"/>
      <c r="X43" s="617"/>
      <c r="Y43" s="620">
        <f t="shared" si="200"/>
        <v>44000</v>
      </c>
      <c r="Z43" s="621"/>
      <c r="AA43" s="617"/>
      <c r="AB43" s="617"/>
      <c r="AC43" s="620">
        <f t="shared" ref="AC43:AC44" si="204">$H43-Z43-AA43-AB43</f>
        <v>0</v>
      </c>
      <c r="AD43" s="621"/>
      <c r="AE43" s="617"/>
      <c r="AF43" s="617"/>
      <c r="AG43" s="1923">
        <f t="shared" ref="AG43:AG44" si="205">$I43-AD43-AE43-AF43</f>
        <v>0</v>
      </c>
      <c r="AH43" s="621"/>
      <c r="AI43" s="617"/>
      <c r="AJ43" s="617"/>
      <c r="AK43" s="1927">
        <f t="shared" ref="AK43:AK44" si="206">$J43-AH43-AI43-AJ43</f>
        <v>0</v>
      </c>
      <c r="AL43" s="621"/>
      <c r="AM43" s="617"/>
      <c r="AN43" s="617"/>
      <c r="AO43" s="620">
        <f t="shared" ref="AO43:AO44" si="207">$K43-AL43-AM43-AN43</f>
        <v>0</v>
      </c>
      <c r="AP43" s="621"/>
      <c r="AQ43" s="617"/>
      <c r="AR43" s="617"/>
      <c r="AS43" s="620">
        <f t="shared" ref="AS43:AS44" si="208">$L43-AP43-AQ43-AR43</f>
        <v>0</v>
      </c>
      <c r="AT43" s="621"/>
      <c r="AU43" s="617"/>
      <c r="AV43" s="617"/>
      <c r="AW43" s="620">
        <f t="shared" ref="AW43:AW44" si="209">$M43-AT43-AU43-AV43</f>
        <v>0</v>
      </c>
      <c r="AX43" s="621"/>
      <c r="AY43" s="617"/>
      <c r="AZ43" s="617"/>
      <c r="BA43" s="620">
        <f t="shared" ref="BA43:BA44" si="210">$N43-AX43-AY43-AZ43</f>
        <v>0</v>
      </c>
      <c r="BB43" s="621"/>
      <c r="BC43" s="617"/>
      <c r="BD43" s="617"/>
      <c r="BE43" s="1927">
        <f t="shared" ref="BE43:BE44" si="211">$O43-BB43-BC43-BD43</f>
        <v>0</v>
      </c>
      <c r="BF43" s="621"/>
      <c r="BG43" s="617"/>
      <c r="BH43" s="617"/>
      <c r="BI43" s="1927">
        <f t="shared" ref="BI43:BI44" si="212">$P43-BF43-BG43-BH43</f>
        <v>0</v>
      </c>
      <c r="BJ43" s="621"/>
      <c r="BK43" s="617"/>
      <c r="BL43" s="617"/>
      <c r="BM43" s="1927">
        <f t="shared" ref="BM43:BM44" si="213">$Q43-BJ43-BK43-BL43</f>
        <v>0</v>
      </c>
      <c r="BN43" s="621"/>
      <c r="BO43" s="1263">
        <v>0.75</v>
      </c>
      <c r="BP43" s="1263">
        <f t="shared" ref="BP43:BP44" si="214">BO43</f>
        <v>0.75</v>
      </c>
      <c r="BQ43" s="1263">
        <f t="shared" ref="BQ43:BQ44" si="215">BP43</f>
        <v>0.75</v>
      </c>
      <c r="BR43" s="1263">
        <f t="shared" ref="BR43:BR44" si="216">BQ43</f>
        <v>0.75</v>
      </c>
      <c r="BS43" s="1263">
        <f t="shared" ref="BS43:BS44" si="217">BR43</f>
        <v>0.75</v>
      </c>
      <c r="BT43" s="1263">
        <f t="shared" ref="BT43:BT44" si="218">BS43</f>
        <v>0.75</v>
      </c>
      <c r="BU43" s="1263">
        <f t="shared" ref="BU43:BU44" si="219">BT43</f>
        <v>0.75</v>
      </c>
      <c r="BV43" s="1263">
        <f t="shared" ref="BV43:BV44" si="220">BU43</f>
        <v>0.75</v>
      </c>
      <c r="BW43" s="1263">
        <f t="shared" ref="BW43:BW44" si="221">BV43</f>
        <v>0.75</v>
      </c>
      <c r="BX43" s="1263">
        <f t="shared" ref="BX43:BX44" si="222">BW43</f>
        <v>0.75</v>
      </c>
      <c r="BY43" s="1263">
        <f t="shared" ref="BY43:BZ44" si="223">BX43</f>
        <v>0.75</v>
      </c>
      <c r="BZ43" s="1263">
        <f t="shared" si="223"/>
        <v>0.75</v>
      </c>
      <c r="CA43" s="1263"/>
      <c r="CB43" s="99">
        <f t="shared" si="203"/>
        <v>0</v>
      </c>
      <c r="CC43" s="99">
        <f t="shared" si="203"/>
        <v>33000</v>
      </c>
      <c r="CD43" s="99">
        <f t="shared" si="203"/>
        <v>0</v>
      </c>
      <c r="CE43" s="99">
        <f t="shared" si="203"/>
        <v>0</v>
      </c>
      <c r="CF43" s="99">
        <f t="shared" si="203"/>
        <v>0</v>
      </c>
      <c r="CG43" s="99">
        <f t="shared" si="203"/>
        <v>0</v>
      </c>
      <c r="CH43" s="99">
        <f t="shared" si="203"/>
        <v>0</v>
      </c>
      <c r="CI43" s="99">
        <f t="shared" si="203"/>
        <v>0</v>
      </c>
      <c r="CJ43" s="99">
        <f t="shared" si="203"/>
        <v>0</v>
      </c>
      <c r="CK43" s="99">
        <f t="shared" si="203"/>
        <v>0</v>
      </c>
      <c r="CL43" s="99">
        <f t="shared" si="203"/>
        <v>0</v>
      </c>
      <c r="CM43" s="99">
        <f t="shared" si="203"/>
        <v>0</v>
      </c>
    </row>
    <row r="44" spans="1:91" s="355" customFormat="1" ht="14.25" customHeight="1" x14ac:dyDescent="0.2">
      <c r="A44" s="965" t="s">
        <v>6752</v>
      </c>
      <c r="B44" s="1481" t="s">
        <v>6482</v>
      </c>
      <c r="C44" s="1481" t="s">
        <v>6483</v>
      </c>
      <c r="D44" s="1481" t="s">
        <v>6483</v>
      </c>
      <c r="E44" s="865"/>
      <c r="F44" s="861"/>
      <c r="G44" s="960">
        <v>100000</v>
      </c>
      <c r="H44" s="862"/>
      <c r="I44" s="960"/>
      <c r="J44" s="960"/>
      <c r="K44" s="862"/>
      <c r="L44" s="960"/>
      <c r="M44" s="961"/>
      <c r="N44" s="862"/>
      <c r="O44" s="862"/>
      <c r="P44" s="862"/>
      <c r="Q44" s="962"/>
      <c r="R44" s="2296"/>
      <c r="S44" s="2297"/>
      <c r="T44" s="2297"/>
      <c r="U44" s="2298"/>
      <c r="V44" s="621"/>
      <c r="W44" s="617"/>
      <c r="X44" s="617"/>
      <c r="Y44" s="620">
        <f t="shared" si="200"/>
        <v>100000</v>
      </c>
      <c r="Z44" s="621"/>
      <c r="AA44" s="617"/>
      <c r="AB44" s="617"/>
      <c r="AC44" s="620">
        <f t="shared" si="204"/>
        <v>0</v>
      </c>
      <c r="AD44" s="621"/>
      <c r="AE44" s="617"/>
      <c r="AF44" s="617"/>
      <c r="AG44" s="1923">
        <f t="shared" si="205"/>
        <v>0</v>
      </c>
      <c r="AH44" s="621"/>
      <c r="AI44" s="617"/>
      <c r="AJ44" s="617"/>
      <c r="AK44" s="1927">
        <f t="shared" si="206"/>
        <v>0</v>
      </c>
      <c r="AL44" s="621"/>
      <c r="AM44" s="617"/>
      <c r="AN44" s="617"/>
      <c r="AO44" s="620">
        <f t="shared" si="207"/>
        <v>0</v>
      </c>
      <c r="AP44" s="621"/>
      <c r="AQ44" s="617"/>
      <c r="AR44" s="617"/>
      <c r="AS44" s="620">
        <f t="shared" si="208"/>
        <v>0</v>
      </c>
      <c r="AT44" s="621"/>
      <c r="AU44" s="617"/>
      <c r="AV44" s="617"/>
      <c r="AW44" s="620">
        <f t="shared" si="209"/>
        <v>0</v>
      </c>
      <c r="AX44" s="621"/>
      <c r="AY44" s="617"/>
      <c r="AZ44" s="617"/>
      <c r="BA44" s="620">
        <f t="shared" si="210"/>
        <v>0</v>
      </c>
      <c r="BB44" s="621"/>
      <c r="BC44" s="617"/>
      <c r="BD44" s="617"/>
      <c r="BE44" s="1927">
        <f t="shared" si="211"/>
        <v>0</v>
      </c>
      <c r="BF44" s="621"/>
      <c r="BG44" s="617"/>
      <c r="BH44" s="617"/>
      <c r="BI44" s="1927">
        <f t="shared" si="212"/>
        <v>0</v>
      </c>
      <c r="BJ44" s="621"/>
      <c r="BK44" s="617"/>
      <c r="BL44" s="617"/>
      <c r="BM44" s="1927">
        <f t="shared" si="213"/>
        <v>0</v>
      </c>
      <c r="BN44" s="621"/>
      <c r="BO44" s="1263">
        <v>0.75</v>
      </c>
      <c r="BP44" s="1263">
        <f t="shared" si="214"/>
        <v>0.75</v>
      </c>
      <c r="BQ44" s="1263">
        <f t="shared" si="215"/>
        <v>0.75</v>
      </c>
      <c r="BR44" s="1263">
        <f t="shared" si="216"/>
        <v>0.75</v>
      </c>
      <c r="BS44" s="1263">
        <f t="shared" si="217"/>
        <v>0.75</v>
      </c>
      <c r="BT44" s="1263">
        <f t="shared" si="218"/>
        <v>0.75</v>
      </c>
      <c r="BU44" s="1263">
        <f t="shared" si="219"/>
        <v>0.75</v>
      </c>
      <c r="BV44" s="1263">
        <f t="shared" si="220"/>
        <v>0.75</v>
      </c>
      <c r="BW44" s="1263">
        <f t="shared" si="221"/>
        <v>0.75</v>
      </c>
      <c r="BX44" s="1263">
        <f t="shared" si="222"/>
        <v>0.75</v>
      </c>
      <c r="BY44" s="1263">
        <f t="shared" si="223"/>
        <v>0.75</v>
      </c>
      <c r="BZ44" s="1263">
        <f t="shared" si="223"/>
        <v>0.75</v>
      </c>
      <c r="CA44" s="1263"/>
      <c r="CB44" s="99">
        <f t="shared" si="203"/>
        <v>0</v>
      </c>
      <c r="CC44" s="99">
        <f t="shared" si="203"/>
        <v>75000</v>
      </c>
      <c r="CD44" s="99">
        <f t="shared" si="203"/>
        <v>0</v>
      </c>
      <c r="CE44" s="99">
        <f t="shared" si="203"/>
        <v>0</v>
      </c>
      <c r="CF44" s="99">
        <f t="shared" si="203"/>
        <v>0</v>
      </c>
      <c r="CG44" s="99">
        <f t="shared" si="203"/>
        <v>0</v>
      </c>
      <c r="CH44" s="99">
        <f t="shared" si="203"/>
        <v>0</v>
      </c>
      <c r="CI44" s="99">
        <f t="shared" si="203"/>
        <v>0</v>
      </c>
      <c r="CJ44" s="99">
        <f t="shared" si="203"/>
        <v>0</v>
      </c>
      <c r="CK44" s="99">
        <f t="shared" si="203"/>
        <v>0</v>
      </c>
      <c r="CL44" s="99">
        <f t="shared" si="203"/>
        <v>0</v>
      </c>
      <c r="CM44" s="99">
        <f t="shared" si="203"/>
        <v>0</v>
      </c>
    </row>
    <row r="45" spans="1:91" s="355" customFormat="1" ht="14.25" customHeight="1" x14ac:dyDescent="0.2">
      <c r="A45" s="965"/>
      <c r="B45" s="1480"/>
      <c r="C45" s="1480"/>
      <c r="D45" s="1480"/>
      <c r="E45" s="865"/>
      <c r="F45" s="861"/>
      <c r="G45" s="960"/>
      <c r="H45" s="862"/>
      <c r="I45" s="960"/>
      <c r="J45" s="960"/>
      <c r="K45" s="862"/>
      <c r="L45" s="960"/>
      <c r="M45" s="961"/>
      <c r="N45" s="862"/>
      <c r="O45" s="862"/>
      <c r="P45" s="862"/>
      <c r="Q45" s="962"/>
      <c r="R45" s="2296"/>
      <c r="S45" s="2297"/>
      <c r="T45" s="2297"/>
      <c r="U45" s="2298"/>
      <c r="V45" s="621"/>
      <c r="W45" s="617"/>
      <c r="X45" s="617"/>
      <c r="Y45" s="620"/>
      <c r="Z45" s="621"/>
      <c r="AA45" s="617"/>
      <c r="AB45" s="617"/>
      <c r="AC45" s="620"/>
      <c r="AD45" s="621"/>
      <c r="AE45" s="617"/>
      <c r="AF45" s="617"/>
      <c r="AG45" s="1923"/>
      <c r="AH45" s="621"/>
      <c r="AI45" s="617"/>
      <c r="AJ45" s="617"/>
      <c r="AK45" s="1927"/>
      <c r="AL45" s="621"/>
      <c r="AM45" s="617"/>
      <c r="AN45" s="617"/>
      <c r="AO45" s="620"/>
      <c r="AP45" s="621"/>
      <c r="AQ45" s="617"/>
      <c r="AR45" s="617"/>
      <c r="AS45" s="620"/>
      <c r="AT45" s="621"/>
      <c r="AU45" s="617"/>
      <c r="AV45" s="617"/>
      <c r="AW45" s="620"/>
      <c r="AX45" s="621"/>
      <c r="AY45" s="617"/>
      <c r="AZ45" s="617"/>
      <c r="BA45" s="620"/>
      <c r="BB45" s="621"/>
      <c r="BC45" s="617"/>
      <c r="BD45" s="617"/>
      <c r="BE45" s="1927"/>
      <c r="BF45" s="621"/>
      <c r="BG45" s="617"/>
      <c r="BH45" s="617"/>
      <c r="BI45" s="1927"/>
      <c r="BJ45" s="621"/>
      <c r="BK45" s="617"/>
      <c r="BL45" s="617"/>
      <c r="BM45" s="1927"/>
      <c r="BN45" s="621"/>
      <c r="BO45" s="1263"/>
      <c r="BP45" s="1263"/>
      <c r="BQ45" s="1263"/>
      <c r="BR45" s="1263"/>
      <c r="BS45" s="1263"/>
      <c r="BT45" s="1263"/>
      <c r="BU45" s="1263"/>
      <c r="BV45" s="1263"/>
      <c r="BW45" s="1263"/>
      <c r="BX45" s="1263"/>
      <c r="BY45" s="1263"/>
      <c r="BZ45" s="1263"/>
      <c r="CA45" s="1263"/>
      <c r="CB45" s="99"/>
      <c r="CC45" s="99"/>
      <c r="CD45" s="99"/>
      <c r="CE45" s="99"/>
      <c r="CF45" s="99"/>
      <c r="CG45" s="99"/>
      <c r="CH45" s="99"/>
      <c r="CI45" s="99"/>
      <c r="CJ45" s="99"/>
      <c r="CK45" s="99"/>
      <c r="CL45" s="99"/>
      <c r="CM45" s="99"/>
    </row>
    <row r="46" spans="1:91" s="355" customFormat="1" ht="14.25" customHeight="1" x14ac:dyDescent="0.2">
      <c r="A46" s="1413" t="s">
        <v>4971</v>
      </c>
      <c r="B46" s="1480"/>
      <c r="C46" s="1480"/>
      <c r="D46" s="1480"/>
      <c r="E46" s="865"/>
      <c r="F46" s="861"/>
      <c r="G46" s="960"/>
      <c r="H46" s="862"/>
      <c r="I46" s="960"/>
      <c r="J46" s="960"/>
      <c r="K46" s="862"/>
      <c r="L46" s="960"/>
      <c r="M46" s="961"/>
      <c r="N46" s="862"/>
      <c r="O46" s="862"/>
      <c r="P46" s="862"/>
      <c r="Q46" s="962"/>
      <c r="R46" s="2296"/>
      <c r="S46" s="2297"/>
      <c r="T46" s="2297"/>
      <c r="U46" s="2298"/>
      <c r="V46" s="621"/>
      <c r="W46" s="617"/>
      <c r="X46" s="617"/>
      <c r="Y46" s="620"/>
      <c r="Z46" s="621"/>
      <c r="AA46" s="617"/>
      <c r="AB46" s="617"/>
      <c r="AC46" s="620"/>
      <c r="AD46" s="621"/>
      <c r="AE46" s="617"/>
      <c r="AF46" s="617"/>
      <c r="AG46" s="1923"/>
      <c r="AH46" s="621"/>
      <c r="AI46" s="617"/>
      <c r="AJ46" s="617"/>
      <c r="AK46" s="1927"/>
      <c r="AL46" s="621"/>
      <c r="AM46" s="617"/>
      <c r="AN46" s="617"/>
      <c r="AO46" s="620"/>
      <c r="AP46" s="621"/>
      <c r="AQ46" s="617"/>
      <c r="AR46" s="617"/>
      <c r="AS46" s="620"/>
      <c r="AT46" s="621"/>
      <c r="AU46" s="617"/>
      <c r="AV46" s="617"/>
      <c r="AW46" s="620"/>
      <c r="AX46" s="621"/>
      <c r="AY46" s="617"/>
      <c r="AZ46" s="617"/>
      <c r="BA46" s="620"/>
      <c r="BB46" s="621"/>
      <c r="BC46" s="617"/>
      <c r="BD46" s="617"/>
      <c r="BE46" s="1927"/>
      <c r="BF46" s="621"/>
      <c r="BG46" s="617"/>
      <c r="BH46" s="617"/>
      <c r="BI46" s="1927"/>
      <c r="BJ46" s="621"/>
      <c r="BK46" s="617"/>
      <c r="BL46" s="617"/>
      <c r="BM46" s="1927"/>
      <c r="BN46" s="621"/>
      <c r="BO46" s="1263"/>
      <c r="BP46" s="1263"/>
      <c r="BQ46" s="1263"/>
      <c r="BR46" s="1263"/>
      <c r="BS46" s="1263"/>
      <c r="BT46" s="1263"/>
      <c r="BU46" s="1263"/>
      <c r="BV46" s="1263"/>
      <c r="BW46" s="1263"/>
      <c r="BX46" s="1263"/>
      <c r="BY46" s="1263"/>
      <c r="BZ46" s="1263"/>
      <c r="CA46" s="1263"/>
      <c r="CB46" s="99"/>
      <c r="CC46" s="99"/>
      <c r="CD46" s="99"/>
      <c r="CE46" s="99"/>
      <c r="CF46" s="99"/>
      <c r="CG46" s="99"/>
      <c r="CH46" s="99"/>
      <c r="CI46" s="99"/>
      <c r="CJ46" s="99"/>
      <c r="CK46" s="99"/>
      <c r="CL46" s="99"/>
      <c r="CM46" s="99"/>
    </row>
    <row r="47" spans="1:91" s="355" customFormat="1" ht="14.25" customHeight="1" x14ac:dyDescent="0.2">
      <c r="A47" s="965" t="s">
        <v>6753</v>
      </c>
      <c r="B47" s="1481"/>
      <c r="C47" s="1481"/>
      <c r="D47" s="1481"/>
      <c r="E47" s="865"/>
      <c r="F47" s="861"/>
      <c r="G47" s="960"/>
      <c r="H47" s="862"/>
      <c r="I47" s="960">
        <v>200000</v>
      </c>
      <c r="J47" s="960"/>
      <c r="K47" s="862"/>
      <c r="L47" s="960"/>
      <c r="M47" s="961"/>
      <c r="N47" s="862"/>
      <c r="O47" s="862"/>
      <c r="P47" s="862"/>
      <c r="Q47" s="962"/>
      <c r="R47" s="2296"/>
      <c r="S47" s="2297"/>
      <c r="T47" s="2297"/>
      <c r="U47" s="2298">
        <f>$F47-R47-S47-T47</f>
        <v>0</v>
      </c>
      <c r="V47" s="621"/>
      <c r="W47" s="617"/>
      <c r="X47" s="617"/>
      <c r="Y47" s="620">
        <f>$G47-V47-W47-X47</f>
        <v>0</v>
      </c>
      <c r="Z47" s="621"/>
      <c r="AA47" s="617"/>
      <c r="AB47" s="617"/>
      <c r="AC47" s="620">
        <f>$H47-Z47-AA47-AB47</f>
        <v>0</v>
      </c>
      <c r="AD47" s="621"/>
      <c r="AE47" s="617"/>
      <c r="AF47" s="617"/>
      <c r="AG47" s="1923">
        <f>$I47-AD47-AE47-AF47</f>
        <v>200000</v>
      </c>
      <c r="AH47" s="621"/>
      <c r="AI47" s="617"/>
      <c r="AJ47" s="617"/>
      <c r="AK47" s="1927">
        <f>$J47-AH47-AI47-AJ47</f>
        <v>0</v>
      </c>
      <c r="AL47" s="621"/>
      <c r="AM47" s="617"/>
      <c r="AN47" s="617"/>
      <c r="AO47" s="620">
        <f>$K47-AL47-AM47-AN47</f>
        <v>0</v>
      </c>
      <c r="AP47" s="621"/>
      <c r="AQ47" s="617"/>
      <c r="AR47" s="617"/>
      <c r="AS47" s="620">
        <f>$L47-AP47-AQ47-AR47</f>
        <v>0</v>
      </c>
      <c r="AT47" s="621"/>
      <c r="AU47" s="617"/>
      <c r="AV47" s="617"/>
      <c r="AW47" s="620">
        <f>$M47-AT47-AU47-AV47</f>
        <v>0</v>
      </c>
      <c r="AX47" s="621"/>
      <c r="AY47" s="617"/>
      <c r="AZ47" s="617"/>
      <c r="BA47" s="620">
        <f>$N47-AX47-AY47-AZ47</f>
        <v>0</v>
      </c>
      <c r="BB47" s="621"/>
      <c r="BC47" s="617"/>
      <c r="BD47" s="617"/>
      <c r="BE47" s="1927">
        <f>$O47-BB47-BC47-BD47</f>
        <v>0</v>
      </c>
      <c r="BF47" s="621"/>
      <c r="BG47" s="617"/>
      <c r="BH47" s="617"/>
      <c r="BI47" s="1927">
        <f t="shared" ref="BI47:BI50" si="224">$P47-BF47-BG47-BH47</f>
        <v>0</v>
      </c>
      <c r="BJ47" s="621"/>
      <c r="BK47" s="617"/>
      <c r="BL47" s="617"/>
      <c r="BM47" s="1927">
        <f t="shared" si="92"/>
        <v>0</v>
      </c>
      <c r="BN47" s="621"/>
      <c r="BO47" s="1263">
        <v>0.75</v>
      </c>
      <c r="BP47" s="1263">
        <f t="shared" ref="BP47:BP48" si="225">BO47</f>
        <v>0.75</v>
      </c>
      <c r="BQ47" s="1263">
        <f t="shared" ref="BQ47:BQ48" si="226">BP47</f>
        <v>0.75</v>
      </c>
      <c r="BR47" s="1263">
        <f t="shared" ref="BR47:BR48" si="227">BQ47</f>
        <v>0.75</v>
      </c>
      <c r="BS47" s="1263">
        <f t="shared" ref="BS47:BS48" si="228">BR47</f>
        <v>0.75</v>
      </c>
      <c r="BT47" s="1263">
        <f t="shared" ref="BT47:BT48" si="229">BS47</f>
        <v>0.75</v>
      </c>
      <c r="BU47" s="1263">
        <f t="shared" ref="BU47:BU48" si="230">BT47</f>
        <v>0.75</v>
      </c>
      <c r="BV47" s="1263">
        <f t="shared" ref="BV47:BV48" si="231">BU47</f>
        <v>0.75</v>
      </c>
      <c r="BW47" s="1263">
        <f t="shared" ref="BW47:BZ48" si="232">BV47</f>
        <v>0.75</v>
      </c>
      <c r="BX47" s="1263">
        <f t="shared" si="232"/>
        <v>0.75</v>
      </c>
      <c r="BY47" s="1263">
        <f t="shared" si="232"/>
        <v>0.75</v>
      </c>
      <c r="BZ47" s="1263">
        <f t="shared" si="232"/>
        <v>0.75</v>
      </c>
      <c r="CA47" s="1263"/>
      <c r="CB47" s="99">
        <f t="shared" ref="CB47:CM50" si="233">ROUND(BO47*F47,-3)</f>
        <v>0</v>
      </c>
      <c r="CC47" s="99">
        <f t="shared" si="233"/>
        <v>0</v>
      </c>
      <c r="CD47" s="99">
        <f t="shared" si="233"/>
        <v>0</v>
      </c>
      <c r="CE47" s="99">
        <f t="shared" si="233"/>
        <v>150000</v>
      </c>
      <c r="CF47" s="99">
        <f t="shared" si="233"/>
        <v>0</v>
      </c>
      <c r="CG47" s="99">
        <f t="shared" si="233"/>
        <v>0</v>
      </c>
      <c r="CH47" s="99">
        <f t="shared" si="233"/>
        <v>0</v>
      </c>
      <c r="CI47" s="99">
        <f t="shared" si="233"/>
        <v>0</v>
      </c>
      <c r="CJ47" s="99">
        <f t="shared" si="233"/>
        <v>0</v>
      </c>
      <c r="CK47" s="99">
        <f t="shared" si="233"/>
        <v>0</v>
      </c>
      <c r="CL47" s="99">
        <f t="shared" si="233"/>
        <v>0</v>
      </c>
      <c r="CM47" s="99">
        <f t="shared" si="233"/>
        <v>0</v>
      </c>
    </row>
    <row r="48" spans="1:91" s="355" customFormat="1" ht="14.25" customHeight="1" x14ac:dyDescent="0.2">
      <c r="A48" s="965" t="s">
        <v>6754</v>
      </c>
      <c r="B48" s="1481" t="s">
        <v>5095</v>
      </c>
      <c r="C48" s="1481" t="s">
        <v>4138</v>
      </c>
      <c r="D48" s="1481" t="s">
        <v>4138</v>
      </c>
      <c r="E48" s="865"/>
      <c r="F48" s="861">
        <v>3200</v>
      </c>
      <c r="G48" s="960">
        <v>115000</v>
      </c>
      <c r="H48" s="862"/>
      <c r="I48" s="960"/>
      <c r="J48" s="960"/>
      <c r="K48" s="862"/>
      <c r="L48" s="960"/>
      <c r="M48" s="961"/>
      <c r="N48" s="862"/>
      <c r="O48" s="862"/>
      <c r="P48" s="862"/>
      <c r="Q48" s="962"/>
      <c r="R48" s="2296"/>
      <c r="S48" s="2297"/>
      <c r="T48" s="2297"/>
      <c r="U48" s="2298">
        <f>$F48-R48-S48-T48</f>
        <v>3200</v>
      </c>
      <c r="V48" s="621"/>
      <c r="W48" s="617"/>
      <c r="X48" s="617"/>
      <c r="Y48" s="620">
        <f>$G48-V48-W48-X48</f>
        <v>115000</v>
      </c>
      <c r="Z48" s="621"/>
      <c r="AA48" s="617"/>
      <c r="AB48" s="617"/>
      <c r="AC48" s="620">
        <f>$H48-Z48-AA48-AB48</f>
        <v>0</v>
      </c>
      <c r="AD48" s="621"/>
      <c r="AE48" s="617"/>
      <c r="AF48" s="617"/>
      <c r="AG48" s="1923">
        <f>$I48-AD48-AE48-AF48</f>
        <v>0</v>
      </c>
      <c r="AH48" s="621"/>
      <c r="AI48" s="617"/>
      <c r="AJ48" s="617"/>
      <c r="AK48" s="1927">
        <f>$J48-AH48-AI48-AJ48</f>
        <v>0</v>
      </c>
      <c r="AL48" s="621"/>
      <c r="AM48" s="617"/>
      <c r="AN48" s="617"/>
      <c r="AO48" s="620">
        <f>$K48-AL48-AM48-AN48</f>
        <v>0</v>
      </c>
      <c r="AP48" s="621"/>
      <c r="AQ48" s="617"/>
      <c r="AR48" s="617"/>
      <c r="AS48" s="620">
        <f>$L48-AP48-AQ48-AR48</f>
        <v>0</v>
      </c>
      <c r="AT48" s="621"/>
      <c r="AU48" s="617"/>
      <c r="AV48" s="617"/>
      <c r="AW48" s="620">
        <f>$M48-AT48-AU48-AV48</f>
        <v>0</v>
      </c>
      <c r="AX48" s="621"/>
      <c r="AY48" s="617"/>
      <c r="AZ48" s="617"/>
      <c r="BA48" s="620">
        <f>$N48-AX48-AY48-AZ48</f>
        <v>0</v>
      </c>
      <c r="BB48" s="621"/>
      <c r="BC48" s="617"/>
      <c r="BD48" s="617"/>
      <c r="BE48" s="1927">
        <f>$O48-BB48-BC48-BD48</f>
        <v>0</v>
      </c>
      <c r="BF48" s="621"/>
      <c r="BG48" s="617"/>
      <c r="BH48" s="617"/>
      <c r="BI48" s="1927">
        <f t="shared" si="224"/>
        <v>0</v>
      </c>
      <c r="BJ48" s="621"/>
      <c r="BK48" s="617"/>
      <c r="BL48" s="617"/>
      <c r="BM48" s="1927">
        <f t="shared" si="92"/>
        <v>0</v>
      </c>
      <c r="BN48" s="621"/>
      <c r="BO48" s="1263">
        <v>0.75</v>
      </c>
      <c r="BP48" s="1263">
        <f t="shared" si="225"/>
        <v>0.75</v>
      </c>
      <c r="BQ48" s="1263">
        <f t="shared" si="226"/>
        <v>0.75</v>
      </c>
      <c r="BR48" s="1263">
        <f t="shared" si="227"/>
        <v>0.75</v>
      </c>
      <c r="BS48" s="1263">
        <f t="shared" si="228"/>
        <v>0.75</v>
      </c>
      <c r="BT48" s="1263">
        <f t="shared" si="229"/>
        <v>0.75</v>
      </c>
      <c r="BU48" s="1263">
        <f t="shared" si="230"/>
        <v>0.75</v>
      </c>
      <c r="BV48" s="1263">
        <f t="shared" si="231"/>
        <v>0.75</v>
      </c>
      <c r="BW48" s="1263">
        <f t="shared" si="232"/>
        <v>0.75</v>
      </c>
      <c r="BX48" s="1263">
        <f t="shared" si="232"/>
        <v>0.75</v>
      </c>
      <c r="BY48" s="1263">
        <f t="shared" si="232"/>
        <v>0.75</v>
      </c>
      <c r="BZ48" s="1263">
        <f t="shared" si="232"/>
        <v>0.75</v>
      </c>
      <c r="CA48" s="1263"/>
      <c r="CB48" s="99">
        <f t="shared" si="233"/>
        <v>2000</v>
      </c>
      <c r="CC48" s="99">
        <f t="shared" si="233"/>
        <v>86000</v>
      </c>
      <c r="CD48" s="99">
        <f t="shared" si="233"/>
        <v>0</v>
      </c>
      <c r="CE48" s="99">
        <f t="shared" si="233"/>
        <v>0</v>
      </c>
      <c r="CF48" s="99">
        <f t="shared" si="233"/>
        <v>0</v>
      </c>
      <c r="CG48" s="99">
        <f t="shared" si="233"/>
        <v>0</v>
      </c>
      <c r="CH48" s="99">
        <f t="shared" si="233"/>
        <v>0</v>
      </c>
      <c r="CI48" s="99">
        <f t="shared" si="233"/>
        <v>0</v>
      </c>
      <c r="CJ48" s="99">
        <f t="shared" si="233"/>
        <v>0</v>
      </c>
      <c r="CK48" s="99">
        <f t="shared" si="233"/>
        <v>0</v>
      </c>
      <c r="CL48" s="99">
        <f t="shared" si="233"/>
        <v>0</v>
      </c>
      <c r="CM48" s="99">
        <f t="shared" si="233"/>
        <v>0</v>
      </c>
    </row>
    <row r="49" spans="1:91" s="355" customFormat="1" ht="14.25" customHeight="1" x14ac:dyDescent="0.2">
      <c r="A49" s="965" t="s">
        <v>6755</v>
      </c>
      <c r="B49" s="1481" t="s">
        <v>6484</v>
      </c>
      <c r="C49" s="1481" t="s">
        <v>6485</v>
      </c>
      <c r="D49" s="1481" t="s">
        <v>6485</v>
      </c>
      <c r="E49" s="865"/>
      <c r="F49" s="861"/>
      <c r="G49" s="960">
        <v>103000</v>
      </c>
      <c r="H49" s="862">
        <v>219000</v>
      </c>
      <c r="I49" s="960"/>
      <c r="J49" s="960"/>
      <c r="K49" s="862"/>
      <c r="L49" s="960"/>
      <c r="M49" s="961"/>
      <c r="N49" s="862"/>
      <c r="O49" s="862"/>
      <c r="P49" s="862"/>
      <c r="Q49" s="962"/>
      <c r="R49" s="2296"/>
      <c r="S49" s="2297"/>
      <c r="T49" s="2297"/>
      <c r="U49" s="2298">
        <f>$F49-R49-S49-T49</f>
        <v>0</v>
      </c>
      <c r="V49" s="621"/>
      <c r="W49" s="617"/>
      <c r="X49" s="617"/>
      <c r="Y49" s="620">
        <f>$G49-V49-W49-X49</f>
        <v>103000</v>
      </c>
      <c r="Z49" s="621"/>
      <c r="AA49" s="617"/>
      <c r="AB49" s="617"/>
      <c r="AC49" s="620">
        <f>$H49-Z49-AA49-AB49</f>
        <v>219000</v>
      </c>
      <c r="AD49" s="621"/>
      <c r="AE49" s="617"/>
      <c r="AF49" s="617"/>
      <c r="AG49" s="1923">
        <f>$I49-AD49-AE49-AF49</f>
        <v>0</v>
      </c>
      <c r="AH49" s="621"/>
      <c r="AI49" s="617"/>
      <c r="AJ49" s="617"/>
      <c r="AK49" s="1927">
        <f>$J49-AH49-AI49-AJ49</f>
        <v>0</v>
      </c>
      <c r="AL49" s="621"/>
      <c r="AM49" s="617"/>
      <c r="AN49" s="617"/>
      <c r="AO49" s="620">
        <f>$K49-AL49-AM49-AN49</f>
        <v>0</v>
      </c>
      <c r="AP49" s="621"/>
      <c r="AQ49" s="617"/>
      <c r="AR49" s="617"/>
      <c r="AS49" s="620">
        <f>$L49-AP49-AQ49-AR49</f>
        <v>0</v>
      </c>
      <c r="AT49" s="621"/>
      <c r="AU49" s="617"/>
      <c r="AV49" s="617"/>
      <c r="AW49" s="620">
        <f>$M49-AT49-AU49-AV49</f>
        <v>0</v>
      </c>
      <c r="AX49" s="621"/>
      <c r="AY49" s="617"/>
      <c r="AZ49" s="617"/>
      <c r="BA49" s="620">
        <f>$N49-AX49-AY49-AZ49</f>
        <v>0</v>
      </c>
      <c r="BB49" s="621"/>
      <c r="BC49" s="617"/>
      <c r="BD49" s="617"/>
      <c r="BE49" s="1927">
        <f>$O49-BB49-BC49-BD49</f>
        <v>0</v>
      </c>
      <c r="BF49" s="621"/>
      <c r="BG49" s="617"/>
      <c r="BH49" s="617"/>
      <c r="BI49" s="1927">
        <f t="shared" si="224"/>
        <v>0</v>
      </c>
      <c r="BJ49" s="621"/>
      <c r="BK49" s="617"/>
      <c r="BL49" s="617"/>
      <c r="BM49" s="1927">
        <f t="shared" si="92"/>
        <v>0</v>
      </c>
      <c r="BN49" s="621"/>
      <c r="BO49" s="1263">
        <v>0.75</v>
      </c>
      <c r="BP49" s="1263">
        <f t="shared" ref="BP49" si="234">BO49</f>
        <v>0.75</v>
      </c>
      <c r="BQ49" s="1263">
        <f t="shared" ref="BQ49" si="235">BP49</f>
        <v>0.75</v>
      </c>
      <c r="BR49" s="1263">
        <f t="shared" ref="BR49" si="236">BQ49</f>
        <v>0.75</v>
      </c>
      <c r="BS49" s="1263">
        <f t="shared" ref="BS49" si="237">BR49</f>
        <v>0.75</v>
      </c>
      <c r="BT49" s="1263">
        <f t="shared" ref="BT49" si="238">BS49</f>
        <v>0.75</v>
      </c>
      <c r="BU49" s="1263">
        <f t="shared" ref="BU49" si="239">BT49</f>
        <v>0.75</v>
      </c>
      <c r="BV49" s="1263">
        <f t="shared" ref="BV49" si="240">BU49</f>
        <v>0.75</v>
      </c>
      <c r="BW49" s="1263">
        <f t="shared" ref="BW49" si="241">BV49</f>
        <v>0.75</v>
      </c>
      <c r="BX49" s="1263">
        <f t="shared" ref="BX49:BZ49" si="242">BW49</f>
        <v>0.75</v>
      </c>
      <c r="BY49" s="1263">
        <f t="shared" si="242"/>
        <v>0.75</v>
      </c>
      <c r="BZ49" s="1263">
        <f t="shared" si="242"/>
        <v>0.75</v>
      </c>
      <c r="CA49" s="1263"/>
      <c r="CB49" s="99">
        <f t="shared" si="233"/>
        <v>0</v>
      </c>
      <c r="CC49" s="99">
        <f t="shared" si="233"/>
        <v>77000</v>
      </c>
      <c r="CD49" s="99">
        <f t="shared" si="233"/>
        <v>164000</v>
      </c>
      <c r="CE49" s="99">
        <f t="shared" si="233"/>
        <v>0</v>
      </c>
      <c r="CF49" s="99">
        <f t="shared" si="233"/>
        <v>0</v>
      </c>
      <c r="CG49" s="99">
        <f t="shared" si="233"/>
        <v>0</v>
      </c>
      <c r="CH49" s="99">
        <f t="shared" si="233"/>
        <v>0</v>
      </c>
      <c r="CI49" s="99">
        <f t="shared" si="233"/>
        <v>0</v>
      </c>
      <c r="CJ49" s="99">
        <f t="shared" si="233"/>
        <v>0</v>
      </c>
      <c r="CK49" s="99">
        <f t="shared" si="233"/>
        <v>0</v>
      </c>
      <c r="CL49" s="99">
        <f t="shared" si="233"/>
        <v>0</v>
      </c>
      <c r="CM49" s="99">
        <f t="shared" si="233"/>
        <v>0</v>
      </c>
    </row>
    <row r="50" spans="1:91" s="355" customFormat="1" ht="14.25" customHeight="1" x14ac:dyDescent="0.2">
      <c r="A50" s="965" t="s">
        <v>6756</v>
      </c>
      <c r="B50" s="1481"/>
      <c r="C50" s="1481"/>
      <c r="D50" s="1481"/>
      <c r="E50" s="865"/>
      <c r="F50" s="861"/>
      <c r="G50" s="960"/>
      <c r="H50" s="862"/>
      <c r="I50" s="960">
        <v>200000</v>
      </c>
      <c r="J50" s="960"/>
      <c r="K50" s="862"/>
      <c r="L50" s="960"/>
      <c r="M50" s="961"/>
      <c r="N50" s="862"/>
      <c r="O50" s="862"/>
      <c r="P50" s="862"/>
      <c r="Q50" s="962"/>
      <c r="R50" s="2296"/>
      <c r="S50" s="2297"/>
      <c r="T50" s="2297"/>
      <c r="U50" s="2298"/>
      <c r="V50" s="621"/>
      <c r="W50" s="617"/>
      <c r="X50" s="617"/>
      <c r="Y50" s="620">
        <f>$G50-V50-W50-X50</f>
        <v>0</v>
      </c>
      <c r="Z50" s="621"/>
      <c r="AA50" s="617"/>
      <c r="AB50" s="617"/>
      <c r="AC50" s="620">
        <f>$H50-Z50-AA50-AB50</f>
        <v>0</v>
      </c>
      <c r="AD50" s="621"/>
      <c r="AE50" s="617"/>
      <c r="AF50" s="617"/>
      <c r="AG50" s="1923">
        <f>$I50-AD50-AE50-AF50</f>
        <v>200000</v>
      </c>
      <c r="AH50" s="621"/>
      <c r="AI50" s="617"/>
      <c r="AJ50" s="617"/>
      <c r="AK50" s="1927">
        <f>$J50-AH50-AI50-AJ50</f>
        <v>0</v>
      </c>
      <c r="AL50" s="621"/>
      <c r="AM50" s="617"/>
      <c r="AN50" s="617"/>
      <c r="AO50" s="620">
        <f>$K50-AL50-AM50-AN50</f>
        <v>0</v>
      </c>
      <c r="AP50" s="621"/>
      <c r="AQ50" s="617"/>
      <c r="AR50" s="617"/>
      <c r="AS50" s="620">
        <f>$L50-AP50-AQ50-AR50</f>
        <v>0</v>
      </c>
      <c r="AT50" s="621"/>
      <c r="AU50" s="617"/>
      <c r="AV50" s="617"/>
      <c r="AW50" s="620">
        <f>$M50-AT50-AU50-AV50</f>
        <v>0</v>
      </c>
      <c r="AX50" s="621"/>
      <c r="AY50" s="617"/>
      <c r="AZ50" s="617"/>
      <c r="BA50" s="620">
        <f>$N50-AX50-AY50-AZ50</f>
        <v>0</v>
      </c>
      <c r="BB50" s="621"/>
      <c r="BC50" s="617"/>
      <c r="BD50" s="617"/>
      <c r="BE50" s="1927">
        <f>$O50-BB50-BC50-BD50</f>
        <v>0</v>
      </c>
      <c r="BF50" s="621"/>
      <c r="BG50" s="617"/>
      <c r="BH50" s="617"/>
      <c r="BI50" s="1927">
        <f t="shared" si="224"/>
        <v>0</v>
      </c>
      <c r="BJ50" s="621"/>
      <c r="BK50" s="617"/>
      <c r="BL50" s="617"/>
      <c r="BM50" s="1927">
        <f t="shared" si="92"/>
        <v>0</v>
      </c>
      <c r="BN50" s="621"/>
      <c r="BO50" s="1263">
        <v>0.75</v>
      </c>
      <c r="BP50" s="1263">
        <f t="shared" ref="BP50" si="243">BO50</f>
        <v>0.75</v>
      </c>
      <c r="BQ50" s="1263">
        <f t="shared" ref="BQ50" si="244">BP50</f>
        <v>0.75</v>
      </c>
      <c r="BR50" s="1263">
        <f t="shared" ref="BR50" si="245">BQ50</f>
        <v>0.75</v>
      </c>
      <c r="BS50" s="1263">
        <f t="shared" ref="BS50" si="246">BR50</f>
        <v>0.75</v>
      </c>
      <c r="BT50" s="1263">
        <f t="shared" ref="BT50" si="247">BS50</f>
        <v>0.75</v>
      </c>
      <c r="BU50" s="1263">
        <f t="shared" ref="BU50" si="248">BT50</f>
        <v>0.75</v>
      </c>
      <c r="BV50" s="1263">
        <f t="shared" ref="BV50" si="249">BU50</f>
        <v>0.75</v>
      </c>
      <c r="BW50" s="1263">
        <f t="shared" ref="BW50" si="250">BV50</f>
        <v>0.75</v>
      </c>
      <c r="BX50" s="1263">
        <f t="shared" ref="BX50" si="251">BW50</f>
        <v>0.75</v>
      </c>
      <c r="BY50" s="1263">
        <f t="shared" ref="BY50:BZ50" si="252">BX50</f>
        <v>0.75</v>
      </c>
      <c r="BZ50" s="1263">
        <f t="shared" si="252"/>
        <v>0.75</v>
      </c>
      <c r="CA50" s="1263"/>
      <c r="CB50" s="99">
        <f t="shared" si="233"/>
        <v>0</v>
      </c>
      <c r="CC50" s="99">
        <f t="shared" si="233"/>
        <v>0</v>
      </c>
      <c r="CD50" s="99">
        <f t="shared" si="233"/>
        <v>0</v>
      </c>
      <c r="CE50" s="99">
        <f t="shared" si="233"/>
        <v>150000</v>
      </c>
      <c r="CF50" s="99">
        <f t="shared" si="233"/>
        <v>0</v>
      </c>
      <c r="CG50" s="99">
        <f t="shared" si="233"/>
        <v>0</v>
      </c>
      <c r="CH50" s="99">
        <f t="shared" si="233"/>
        <v>0</v>
      </c>
      <c r="CI50" s="99">
        <f t="shared" si="233"/>
        <v>0</v>
      </c>
      <c r="CJ50" s="99">
        <f t="shared" si="233"/>
        <v>0</v>
      </c>
      <c r="CK50" s="99">
        <f t="shared" si="233"/>
        <v>0</v>
      </c>
      <c r="CL50" s="99">
        <f t="shared" si="233"/>
        <v>0</v>
      </c>
      <c r="CM50" s="99">
        <f t="shared" si="233"/>
        <v>0</v>
      </c>
    </row>
    <row r="51" spans="1:91" s="355" customFormat="1" ht="14.25" customHeight="1" x14ac:dyDescent="0.2">
      <c r="A51" s="965"/>
      <c r="B51" s="1480"/>
      <c r="C51" s="1480"/>
      <c r="D51" s="1480"/>
      <c r="E51" s="865"/>
      <c r="F51" s="861"/>
      <c r="G51" s="960"/>
      <c r="H51" s="862"/>
      <c r="I51" s="960"/>
      <c r="J51" s="960"/>
      <c r="K51" s="862"/>
      <c r="L51" s="960"/>
      <c r="M51" s="961"/>
      <c r="N51" s="862"/>
      <c r="O51" s="862"/>
      <c r="P51" s="862"/>
      <c r="Q51" s="962"/>
      <c r="R51" s="2296"/>
      <c r="S51" s="2297"/>
      <c r="T51" s="2297"/>
      <c r="U51" s="2298"/>
      <c r="V51" s="621"/>
      <c r="W51" s="617"/>
      <c r="X51" s="617"/>
      <c r="Y51" s="620"/>
      <c r="Z51" s="621"/>
      <c r="AA51" s="617"/>
      <c r="AB51" s="617"/>
      <c r="AC51" s="620"/>
      <c r="AD51" s="621"/>
      <c r="AE51" s="617"/>
      <c r="AF51" s="617"/>
      <c r="AG51" s="1923"/>
      <c r="AH51" s="621"/>
      <c r="AI51" s="617"/>
      <c r="AJ51" s="617"/>
      <c r="AK51" s="1927"/>
      <c r="AL51" s="621"/>
      <c r="AM51" s="617"/>
      <c r="AN51" s="617"/>
      <c r="AO51" s="620"/>
      <c r="AP51" s="621"/>
      <c r="AQ51" s="617"/>
      <c r="AR51" s="617"/>
      <c r="AS51" s="620"/>
      <c r="AT51" s="621"/>
      <c r="AU51" s="617"/>
      <c r="AV51" s="617"/>
      <c r="AW51" s="620"/>
      <c r="AX51" s="621"/>
      <c r="AY51" s="617"/>
      <c r="AZ51" s="617"/>
      <c r="BA51" s="620"/>
      <c r="BB51" s="621"/>
      <c r="BC51" s="617"/>
      <c r="BD51" s="617"/>
      <c r="BE51" s="1927"/>
      <c r="BF51" s="621"/>
      <c r="BG51" s="617"/>
      <c r="BH51" s="617"/>
      <c r="BI51" s="1927"/>
      <c r="BJ51" s="621"/>
      <c r="BK51" s="617"/>
      <c r="BL51" s="617"/>
      <c r="BM51" s="1927"/>
      <c r="BN51" s="621"/>
      <c r="BO51" s="1263"/>
      <c r="BP51" s="1263"/>
      <c r="BQ51" s="1263"/>
      <c r="BR51" s="1263"/>
      <c r="BS51" s="1263"/>
      <c r="BT51" s="1263"/>
      <c r="BU51" s="1263"/>
      <c r="BV51" s="1263"/>
      <c r="BW51" s="1263"/>
      <c r="BX51" s="1263"/>
      <c r="BY51" s="1263"/>
      <c r="BZ51" s="1263"/>
      <c r="CA51" s="1263"/>
      <c r="CB51" s="99"/>
      <c r="CC51" s="99"/>
      <c r="CD51" s="99"/>
      <c r="CE51" s="99"/>
      <c r="CF51" s="99"/>
      <c r="CG51" s="99"/>
      <c r="CH51" s="99"/>
      <c r="CI51" s="99"/>
      <c r="CJ51" s="99"/>
      <c r="CK51" s="99"/>
      <c r="CL51" s="99"/>
      <c r="CM51" s="99"/>
    </row>
    <row r="52" spans="1:91" s="355" customFormat="1" ht="14.25" customHeight="1" x14ac:dyDescent="0.2">
      <c r="A52" s="1413" t="s">
        <v>4974</v>
      </c>
      <c r="B52" s="1480"/>
      <c r="C52" s="1480"/>
      <c r="D52" s="1480"/>
      <c r="E52" s="865"/>
      <c r="F52" s="861"/>
      <c r="G52" s="960"/>
      <c r="H52" s="862"/>
      <c r="I52" s="960"/>
      <c r="J52" s="960"/>
      <c r="K52" s="862"/>
      <c r="L52" s="960"/>
      <c r="M52" s="961"/>
      <c r="N52" s="862"/>
      <c r="O52" s="862"/>
      <c r="P52" s="862"/>
      <c r="Q52" s="962"/>
      <c r="R52" s="2296"/>
      <c r="S52" s="2297"/>
      <c r="T52" s="2297"/>
      <c r="U52" s="2298"/>
      <c r="V52" s="621"/>
      <c r="W52" s="617"/>
      <c r="X52" s="617"/>
      <c r="Y52" s="620"/>
      <c r="Z52" s="621"/>
      <c r="AA52" s="617"/>
      <c r="AB52" s="617"/>
      <c r="AC52" s="620"/>
      <c r="AD52" s="621"/>
      <c r="AE52" s="617"/>
      <c r="AF52" s="617"/>
      <c r="AG52" s="1923"/>
      <c r="AH52" s="621"/>
      <c r="AI52" s="617"/>
      <c r="AJ52" s="617"/>
      <c r="AK52" s="1927"/>
      <c r="AL52" s="621"/>
      <c r="AM52" s="617"/>
      <c r="AN52" s="617"/>
      <c r="AO52" s="620"/>
      <c r="AP52" s="621"/>
      <c r="AQ52" s="617"/>
      <c r="AR52" s="617"/>
      <c r="AS52" s="620"/>
      <c r="AT52" s="621"/>
      <c r="AU52" s="617"/>
      <c r="AV52" s="617"/>
      <c r="AW52" s="620"/>
      <c r="AX52" s="621"/>
      <c r="AY52" s="617"/>
      <c r="AZ52" s="617"/>
      <c r="BA52" s="620"/>
      <c r="BB52" s="621"/>
      <c r="BC52" s="617"/>
      <c r="BD52" s="617"/>
      <c r="BE52" s="1927"/>
      <c r="BF52" s="621"/>
      <c r="BG52" s="617"/>
      <c r="BH52" s="617"/>
      <c r="BI52" s="1927"/>
      <c r="BJ52" s="621"/>
      <c r="BK52" s="617"/>
      <c r="BL52" s="617"/>
      <c r="BM52" s="1927"/>
      <c r="BN52" s="621"/>
      <c r="BO52" s="1263"/>
      <c r="BP52" s="1263"/>
      <c r="BQ52" s="1263"/>
      <c r="BR52" s="1263"/>
      <c r="BS52" s="1263"/>
      <c r="BT52" s="1263"/>
      <c r="BU52" s="1263"/>
      <c r="BV52" s="1263"/>
      <c r="BW52" s="1263"/>
      <c r="BX52" s="1263"/>
      <c r="BY52" s="1263"/>
      <c r="BZ52" s="1263"/>
      <c r="CA52" s="1263"/>
      <c r="CB52" s="99"/>
      <c r="CC52" s="99"/>
      <c r="CD52" s="99"/>
      <c r="CE52" s="99"/>
      <c r="CF52" s="99"/>
      <c r="CG52" s="99"/>
      <c r="CH52" s="99"/>
      <c r="CI52" s="99"/>
      <c r="CJ52" s="99"/>
      <c r="CK52" s="99"/>
      <c r="CL52" s="99"/>
      <c r="CM52" s="99"/>
    </row>
    <row r="53" spans="1:91" s="355" customFormat="1" ht="14.25" customHeight="1" x14ac:dyDescent="0.2">
      <c r="A53" s="965" t="s">
        <v>6757</v>
      </c>
      <c r="B53" s="1481" t="s">
        <v>6486</v>
      </c>
      <c r="C53" s="1481" t="s">
        <v>6487</v>
      </c>
      <c r="D53" s="1481" t="s">
        <v>6487</v>
      </c>
      <c r="E53" s="865"/>
      <c r="F53" s="861"/>
      <c r="G53" s="960">
        <f>206000-15000</f>
        <v>191000</v>
      </c>
      <c r="H53" s="862">
        <v>109000</v>
      </c>
      <c r="I53" s="960"/>
      <c r="J53" s="960"/>
      <c r="K53" s="862"/>
      <c r="L53" s="960"/>
      <c r="M53" s="961"/>
      <c r="N53" s="862"/>
      <c r="O53" s="862"/>
      <c r="P53" s="862"/>
      <c r="Q53" s="962"/>
      <c r="R53" s="2296"/>
      <c r="S53" s="2297"/>
      <c r="T53" s="2297"/>
      <c r="U53" s="2298">
        <f>$F53-R53-S53-T53</f>
        <v>0</v>
      </c>
      <c r="V53" s="621"/>
      <c r="W53" s="617"/>
      <c r="X53" s="617"/>
      <c r="Y53" s="620">
        <f>$G53-V53-W53-X53</f>
        <v>191000</v>
      </c>
      <c r="Z53" s="621"/>
      <c r="AA53" s="617"/>
      <c r="AB53" s="617"/>
      <c r="AC53" s="620">
        <f>$H53-Z53-AA53-AB53</f>
        <v>109000</v>
      </c>
      <c r="AD53" s="621"/>
      <c r="AE53" s="617"/>
      <c r="AF53" s="617"/>
      <c r="AG53" s="1923">
        <f>$I53-AD53-AE53-AF53</f>
        <v>0</v>
      </c>
      <c r="AH53" s="621"/>
      <c r="AI53" s="617"/>
      <c r="AJ53" s="617"/>
      <c r="AK53" s="1927">
        <f>$J53-AH53-AI53-AJ53</f>
        <v>0</v>
      </c>
      <c r="AL53" s="621"/>
      <c r="AM53" s="617"/>
      <c r="AN53" s="617"/>
      <c r="AO53" s="620">
        <f>$K53-AL53-AM53-AN53</f>
        <v>0</v>
      </c>
      <c r="AP53" s="621"/>
      <c r="AQ53" s="617"/>
      <c r="AR53" s="617"/>
      <c r="AS53" s="620">
        <f>$L53-AP53-AQ53-AR53</f>
        <v>0</v>
      </c>
      <c r="AT53" s="621"/>
      <c r="AU53" s="617"/>
      <c r="AV53" s="617"/>
      <c r="AW53" s="620">
        <f>$M53-AT53-AU53-AV53</f>
        <v>0</v>
      </c>
      <c r="AX53" s="621"/>
      <c r="AY53" s="617"/>
      <c r="AZ53" s="617"/>
      <c r="BA53" s="620">
        <f>$N53-AX53-AY53-AZ53</f>
        <v>0</v>
      </c>
      <c r="BB53" s="621"/>
      <c r="BC53" s="617"/>
      <c r="BD53" s="617"/>
      <c r="BE53" s="1927">
        <f>$O53-BB53-BC53-BD53</f>
        <v>0</v>
      </c>
      <c r="BF53" s="621"/>
      <c r="BG53" s="617"/>
      <c r="BH53" s="617"/>
      <c r="BI53" s="1927">
        <f t="shared" ref="BI53" si="253">$P53-BF53-BG53-BH53</f>
        <v>0</v>
      </c>
      <c r="BJ53" s="621"/>
      <c r="BK53" s="617"/>
      <c r="BL53" s="617"/>
      <c r="BM53" s="1927">
        <f t="shared" si="92"/>
        <v>0</v>
      </c>
      <c r="BN53" s="621"/>
      <c r="BO53" s="1263">
        <v>0.75</v>
      </c>
      <c r="BP53" s="1263">
        <f t="shared" ref="BP53" si="254">BO53</f>
        <v>0.75</v>
      </c>
      <c r="BQ53" s="1263">
        <f t="shared" ref="BQ53" si="255">BP53</f>
        <v>0.75</v>
      </c>
      <c r="BR53" s="1263">
        <f t="shared" ref="BR53" si="256">BQ53</f>
        <v>0.75</v>
      </c>
      <c r="BS53" s="1263">
        <f t="shared" ref="BS53" si="257">BR53</f>
        <v>0.75</v>
      </c>
      <c r="BT53" s="1263">
        <f t="shared" ref="BT53" si="258">BS53</f>
        <v>0.75</v>
      </c>
      <c r="BU53" s="1263">
        <f t="shared" ref="BU53" si="259">BT53</f>
        <v>0.75</v>
      </c>
      <c r="BV53" s="1263">
        <f t="shared" ref="BV53" si="260">BU53</f>
        <v>0.75</v>
      </c>
      <c r="BW53" s="1263">
        <f t="shared" ref="BW53" si="261">BV53</f>
        <v>0.75</v>
      </c>
      <c r="BX53" s="1263">
        <f t="shared" ref="BX53:BZ53" si="262">BW53</f>
        <v>0.75</v>
      </c>
      <c r="BY53" s="1263">
        <f t="shared" si="262"/>
        <v>0.75</v>
      </c>
      <c r="BZ53" s="1263">
        <f t="shared" si="262"/>
        <v>0.75</v>
      </c>
      <c r="CA53" s="1263"/>
      <c r="CB53" s="99">
        <f t="shared" ref="CB53:CM53" si="263">ROUND(BO53*F53,-3)</f>
        <v>0</v>
      </c>
      <c r="CC53" s="99">
        <f t="shared" si="263"/>
        <v>143000</v>
      </c>
      <c r="CD53" s="99">
        <f t="shared" si="263"/>
        <v>82000</v>
      </c>
      <c r="CE53" s="99">
        <f t="shared" si="263"/>
        <v>0</v>
      </c>
      <c r="CF53" s="99">
        <f t="shared" si="263"/>
        <v>0</v>
      </c>
      <c r="CG53" s="99">
        <f t="shared" si="263"/>
        <v>0</v>
      </c>
      <c r="CH53" s="99">
        <f t="shared" si="263"/>
        <v>0</v>
      </c>
      <c r="CI53" s="99">
        <f t="shared" si="263"/>
        <v>0</v>
      </c>
      <c r="CJ53" s="99">
        <f t="shared" si="263"/>
        <v>0</v>
      </c>
      <c r="CK53" s="99">
        <f t="shared" si="263"/>
        <v>0</v>
      </c>
      <c r="CL53" s="99">
        <f t="shared" si="263"/>
        <v>0</v>
      </c>
      <c r="CM53" s="99">
        <f t="shared" si="263"/>
        <v>0</v>
      </c>
    </row>
    <row r="54" spans="1:91" s="355" customFormat="1" ht="14.25" customHeight="1" x14ac:dyDescent="0.2">
      <c r="A54" s="966"/>
      <c r="B54" s="1480"/>
      <c r="C54" s="1480"/>
      <c r="D54" s="1480"/>
      <c r="E54" s="865"/>
      <c r="F54" s="861"/>
      <c r="G54" s="960"/>
      <c r="H54" s="862"/>
      <c r="I54" s="960"/>
      <c r="J54" s="862"/>
      <c r="K54" s="862"/>
      <c r="L54" s="960"/>
      <c r="M54" s="862"/>
      <c r="N54" s="862"/>
      <c r="O54" s="862"/>
      <c r="P54" s="862"/>
      <c r="Q54" s="962"/>
      <c r="R54" s="2296"/>
      <c r="S54" s="2297"/>
      <c r="T54" s="2297"/>
      <c r="U54" s="2298"/>
      <c r="V54" s="621"/>
      <c r="W54" s="617"/>
      <c r="X54" s="617"/>
      <c r="Y54" s="620"/>
      <c r="Z54" s="621"/>
      <c r="AA54" s="617"/>
      <c r="AB54" s="617"/>
      <c r="AC54" s="620"/>
      <c r="AD54" s="621"/>
      <c r="AE54" s="617"/>
      <c r="AF54" s="617"/>
      <c r="AG54" s="1923"/>
      <c r="AH54" s="621"/>
      <c r="AI54" s="617"/>
      <c r="AJ54" s="617"/>
      <c r="AK54" s="1927"/>
      <c r="AL54" s="621"/>
      <c r="AM54" s="617"/>
      <c r="AN54" s="617"/>
      <c r="AO54" s="618"/>
      <c r="AP54" s="621"/>
      <c r="AQ54" s="617"/>
      <c r="AR54" s="617"/>
      <c r="AS54" s="618"/>
      <c r="AT54" s="621"/>
      <c r="AU54" s="617"/>
      <c r="AV54" s="617"/>
      <c r="AW54" s="620"/>
      <c r="AX54" s="621"/>
      <c r="AY54" s="617"/>
      <c r="AZ54" s="617"/>
      <c r="BA54" s="620"/>
      <c r="BB54" s="621"/>
      <c r="BC54" s="617"/>
      <c r="BD54" s="617"/>
      <c r="BE54" s="1927"/>
      <c r="BF54" s="621"/>
      <c r="BG54" s="617"/>
      <c r="BH54" s="617"/>
      <c r="BI54" s="1927"/>
      <c r="BJ54" s="621"/>
      <c r="BK54" s="617"/>
      <c r="BL54" s="617"/>
      <c r="BM54" s="1927"/>
      <c r="BN54" s="621"/>
      <c r="BO54" s="546"/>
      <c r="BP54" s="546"/>
      <c r="BQ54" s="867"/>
      <c r="BR54" s="867"/>
      <c r="BS54" s="867"/>
      <c r="BT54" s="867"/>
      <c r="BU54" s="867"/>
      <c r="BV54" s="867"/>
      <c r="BW54" s="867"/>
      <c r="BX54" s="867"/>
      <c r="BY54" s="867"/>
      <c r="BZ54" s="867"/>
      <c r="CA54" s="867"/>
      <c r="CB54" s="92"/>
      <c r="CC54" s="92"/>
      <c r="CD54" s="92"/>
      <c r="CE54" s="92"/>
      <c r="CF54" s="92"/>
      <c r="CG54" s="92"/>
      <c r="CH54" s="92"/>
      <c r="CI54" s="92"/>
      <c r="CJ54" s="92"/>
      <c r="CK54" s="92"/>
      <c r="CL54" s="92"/>
      <c r="CM54" s="92"/>
    </row>
    <row r="55" spans="1:91" s="355" customFormat="1" ht="14.25" customHeight="1" x14ac:dyDescent="0.2">
      <c r="A55" s="733" t="s">
        <v>2351</v>
      </c>
      <c r="B55" s="1480"/>
      <c r="C55" s="1480"/>
      <c r="D55" s="1480"/>
      <c r="E55" s="865"/>
      <c r="F55" s="861"/>
      <c r="G55" s="862"/>
      <c r="H55" s="862"/>
      <c r="I55" s="960"/>
      <c r="J55" s="862"/>
      <c r="K55" s="862"/>
      <c r="L55" s="862"/>
      <c r="M55" s="862"/>
      <c r="N55" s="862"/>
      <c r="O55" s="862"/>
      <c r="P55" s="862"/>
      <c r="Q55" s="962"/>
      <c r="R55" s="2296"/>
      <c r="S55" s="2297"/>
      <c r="T55" s="2297"/>
      <c r="U55" s="2298"/>
      <c r="V55" s="621"/>
      <c r="W55" s="617"/>
      <c r="X55" s="617"/>
      <c r="Y55" s="620"/>
      <c r="Z55" s="621"/>
      <c r="AA55" s="617"/>
      <c r="AB55" s="617"/>
      <c r="AC55" s="620"/>
      <c r="AD55" s="621"/>
      <c r="AE55" s="617"/>
      <c r="AF55" s="617"/>
      <c r="AG55" s="1923"/>
      <c r="AH55" s="621"/>
      <c r="AI55" s="617"/>
      <c r="AJ55" s="617"/>
      <c r="AK55" s="1927"/>
      <c r="AL55" s="621"/>
      <c r="AM55" s="617"/>
      <c r="AN55" s="617"/>
      <c r="AO55" s="618"/>
      <c r="AP55" s="621"/>
      <c r="AQ55" s="617"/>
      <c r="AR55" s="617"/>
      <c r="AS55" s="618"/>
      <c r="AT55" s="621"/>
      <c r="AU55" s="617"/>
      <c r="AV55" s="617"/>
      <c r="AW55" s="620"/>
      <c r="AX55" s="621"/>
      <c r="AY55" s="617"/>
      <c r="AZ55" s="617"/>
      <c r="BA55" s="620"/>
      <c r="BB55" s="621"/>
      <c r="BC55" s="617"/>
      <c r="BD55" s="617"/>
      <c r="BE55" s="1927"/>
      <c r="BF55" s="621"/>
      <c r="BG55" s="617"/>
      <c r="BH55" s="617"/>
      <c r="BI55" s="1927"/>
      <c r="BJ55" s="621"/>
      <c r="BK55" s="617"/>
      <c r="BL55" s="617"/>
      <c r="BM55" s="1927"/>
      <c r="BN55" s="621"/>
      <c r="BO55" s="546"/>
      <c r="BP55" s="546"/>
      <c r="BQ55" s="867"/>
      <c r="BR55" s="867"/>
      <c r="BS55" s="867"/>
      <c r="BT55" s="867"/>
      <c r="BU55" s="867"/>
      <c r="BV55" s="867"/>
      <c r="BW55" s="867"/>
      <c r="BX55" s="867"/>
      <c r="BY55" s="867"/>
      <c r="BZ55" s="867"/>
      <c r="CA55" s="867"/>
      <c r="CB55" s="92"/>
      <c r="CC55" s="92"/>
      <c r="CD55" s="92"/>
      <c r="CE55" s="92"/>
      <c r="CF55" s="92"/>
      <c r="CG55" s="92"/>
      <c r="CH55" s="92"/>
      <c r="CI55" s="92"/>
      <c r="CJ55" s="92"/>
      <c r="CK55" s="92"/>
      <c r="CL55" s="92"/>
      <c r="CM55" s="92"/>
    </row>
    <row r="56" spans="1:91" s="355" customFormat="1" ht="14.25" customHeight="1" x14ac:dyDescent="0.2">
      <c r="A56" s="965" t="s">
        <v>6541</v>
      </c>
      <c r="B56" s="1481" t="s">
        <v>542</v>
      </c>
      <c r="C56" s="1481" t="s">
        <v>5076</v>
      </c>
      <c r="D56" s="1481"/>
      <c r="E56" s="865">
        <v>0</v>
      </c>
      <c r="F56" s="861"/>
      <c r="G56" s="960"/>
      <c r="H56" s="862"/>
      <c r="I56" s="960">
        <v>60000</v>
      </c>
      <c r="J56" s="960"/>
      <c r="K56" s="960"/>
      <c r="L56" s="960"/>
      <c r="M56" s="862"/>
      <c r="N56" s="862"/>
      <c r="O56" s="862"/>
      <c r="P56" s="862"/>
      <c r="Q56" s="962"/>
      <c r="R56" s="2296"/>
      <c r="S56" s="2297"/>
      <c r="T56" s="2297"/>
      <c r="U56" s="2298">
        <f t="shared" ref="U56:U72" si="264">$F56-R56-S56-T56</f>
        <v>0</v>
      </c>
      <c r="V56" s="621"/>
      <c r="W56" s="617"/>
      <c r="X56" s="617"/>
      <c r="Y56" s="620">
        <f>$G56-V56-W56-X56</f>
        <v>0</v>
      </c>
      <c r="Z56" s="621"/>
      <c r="AA56" s="617"/>
      <c r="AB56" s="617"/>
      <c r="AC56" s="620">
        <f t="shared" ref="AC56:AC71" si="265">$H56-Z56-AA56-AB56</f>
        <v>0</v>
      </c>
      <c r="AD56" s="621"/>
      <c r="AE56" s="617"/>
      <c r="AF56" s="617"/>
      <c r="AG56" s="1923">
        <f t="shared" ref="AG56:AG71" si="266">$I56-AD56-AE56-AF56</f>
        <v>60000</v>
      </c>
      <c r="AH56" s="621"/>
      <c r="AI56" s="617"/>
      <c r="AJ56" s="617"/>
      <c r="AK56" s="1927">
        <f t="shared" ref="AK56:AK71" si="267">$J56-AH56-AI56-AJ56</f>
        <v>0</v>
      </c>
      <c r="AL56" s="621"/>
      <c r="AM56" s="617"/>
      <c r="AN56" s="617"/>
      <c r="AO56" s="618">
        <f t="shared" ref="AO56:AO71" si="268">$K56-AL56-AM56-AN56</f>
        <v>0</v>
      </c>
      <c r="AP56" s="621"/>
      <c r="AQ56" s="617"/>
      <c r="AR56" s="617"/>
      <c r="AS56" s="618">
        <f t="shared" ref="AS56:AS71" si="269">$L56-AP56-AQ56-AR56</f>
        <v>0</v>
      </c>
      <c r="AT56" s="621"/>
      <c r="AU56" s="617"/>
      <c r="AV56" s="617"/>
      <c r="AW56" s="620">
        <f t="shared" ref="AW56:AW71" si="270">$M56-AT56-AU56-AV56</f>
        <v>0</v>
      </c>
      <c r="AX56" s="621"/>
      <c r="AY56" s="617"/>
      <c r="AZ56" s="617"/>
      <c r="BA56" s="620">
        <f t="shared" ref="BA56:BA71" si="271">$N56-AX56-AY56-AZ56</f>
        <v>0</v>
      </c>
      <c r="BB56" s="621"/>
      <c r="BC56" s="617"/>
      <c r="BD56" s="617"/>
      <c r="BE56" s="1927">
        <f t="shared" ref="BE56:BE71" si="272">$O56-BB56-BC56-BD56</f>
        <v>0</v>
      </c>
      <c r="BF56" s="621"/>
      <c r="BG56" s="617"/>
      <c r="BH56" s="617"/>
      <c r="BI56" s="1927">
        <f t="shared" ref="BI56:BI71" si="273">$P56-BF56-BG56-BH56</f>
        <v>0</v>
      </c>
      <c r="BJ56" s="621"/>
      <c r="BK56" s="617"/>
      <c r="BL56" s="617"/>
      <c r="BM56" s="1927">
        <f t="shared" si="92"/>
        <v>0</v>
      </c>
      <c r="BN56" s="621"/>
      <c r="BO56" s="1263">
        <v>1</v>
      </c>
      <c r="BP56" s="1263">
        <f t="shared" ref="BP56:BZ56" si="274">BO56</f>
        <v>1</v>
      </c>
      <c r="BQ56" s="1263">
        <f t="shared" si="274"/>
        <v>1</v>
      </c>
      <c r="BR56" s="1263">
        <f t="shared" si="274"/>
        <v>1</v>
      </c>
      <c r="BS56" s="1263">
        <f t="shared" si="274"/>
        <v>1</v>
      </c>
      <c r="BT56" s="1263">
        <f t="shared" si="274"/>
        <v>1</v>
      </c>
      <c r="BU56" s="1263">
        <f t="shared" si="274"/>
        <v>1</v>
      </c>
      <c r="BV56" s="1263">
        <f t="shared" si="274"/>
        <v>1</v>
      </c>
      <c r="BW56" s="1263">
        <f t="shared" si="274"/>
        <v>1</v>
      </c>
      <c r="BX56" s="1263">
        <f t="shared" si="274"/>
        <v>1</v>
      </c>
      <c r="BY56" s="1263">
        <f t="shared" si="274"/>
        <v>1</v>
      </c>
      <c r="BZ56" s="1263">
        <f t="shared" si="274"/>
        <v>1</v>
      </c>
      <c r="CA56" s="1263"/>
      <c r="CB56" s="99">
        <f t="shared" ref="CB56:CB72" si="275">ROUND(BO56*F56,-3)</f>
        <v>0</v>
      </c>
      <c r="CC56" s="99">
        <f t="shared" ref="CC56:CC72" si="276">ROUND(BP56*G56,-3)</f>
        <v>0</v>
      </c>
      <c r="CD56" s="99">
        <f t="shared" ref="CD56:CD72" si="277">ROUND(BQ56*H56,-3)</f>
        <v>0</v>
      </c>
      <c r="CE56" s="99">
        <f t="shared" ref="CE56:CE72" si="278">ROUND(BR56*I56,-3)</f>
        <v>60000</v>
      </c>
      <c r="CF56" s="99">
        <f t="shared" ref="CF56:CF72" si="279">ROUND(BS56*J56,-3)</f>
        <v>0</v>
      </c>
      <c r="CG56" s="99">
        <f t="shared" ref="CG56:CG72" si="280">ROUND(BT56*K56,-3)</f>
        <v>0</v>
      </c>
      <c r="CH56" s="99">
        <f t="shared" ref="CH56:CH72" si="281">ROUND(BU56*L56,-3)</f>
        <v>0</v>
      </c>
      <c r="CI56" s="99">
        <f t="shared" ref="CI56:CI72" si="282">ROUND(BV56*M56,-3)</f>
        <v>0</v>
      </c>
      <c r="CJ56" s="99">
        <f t="shared" ref="CJ56:CJ72" si="283">ROUND(BW56*N56,-3)</f>
        <v>0</v>
      </c>
      <c r="CK56" s="99">
        <f t="shared" ref="CK56:CK72" si="284">ROUND(BX56*O56,-3)</f>
        <v>0</v>
      </c>
      <c r="CL56" s="99">
        <f t="shared" ref="CL56:CL72" si="285">ROUND(BY56*P56,-3)</f>
        <v>0</v>
      </c>
      <c r="CM56" s="99">
        <f t="shared" ref="CM56:CM72" si="286">ROUND(BZ56*Q56,-3)</f>
        <v>0</v>
      </c>
    </row>
    <row r="57" spans="1:91" s="1099" customFormat="1" ht="14.25" customHeight="1" x14ac:dyDescent="0.2">
      <c r="A57" s="966" t="s">
        <v>6542</v>
      </c>
      <c r="B57" s="1481"/>
      <c r="C57" s="1481"/>
      <c r="D57" s="1481"/>
      <c r="E57" s="1482"/>
      <c r="F57" s="861"/>
      <c r="G57" s="960"/>
      <c r="H57" s="862"/>
      <c r="I57" s="960"/>
      <c r="J57" s="960"/>
      <c r="K57" s="960"/>
      <c r="L57" s="960">
        <v>546000</v>
      </c>
      <c r="M57" s="862"/>
      <c r="N57" s="862"/>
      <c r="O57" s="862"/>
      <c r="P57" s="862"/>
      <c r="Q57" s="962"/>
      <c r="R57" s="2302"/>
      <c r="S57" s="2288"/>
      <c r="T57" s="2288"/>
      <c r="U57" s="2303">
        <f t="shared" si="264"/>
        <v>0</v>
      </c>
      <c r="V57" s="961"/>
      <c r="W57" s="862"/>
      <c r="X57" s="862"/>
      <c r="Y57" s="863">
        <f t="shared" ref="Y57:Y71" si="287">$G57-V57-W57-X57</f>
        <v>0</v>
      </c>
      <c r="Z57" s="961"/>
      <c r="AA57" s="862"/>
      <c r="AB57" s="862"/>
      <c r="AC57" s="863">
        <f t="shared" si="265"/>
        <v>0</v>
      </c>
      <c r="AD57" s="961"/>
      <c r="AE57" s="862"/>
      <c r="AF57" s="862"/>
      <c r="AG57" s="1924">
        <f t="shared" si="266"/>
        <v>0</v>
      </c>
      <c r="AH57" s="961"/>
      <c r="AI57" s="862"/>
      <c r="AJ57" s="862"/>
      <c r="AK57" s="2196">
        <f t="shared" si="267"/>
        <v>0</v>
      </c>
      <c r="AL57" s="961"/>
      <c r="AM57" s="862"/>
      <c r="AN57" s="862"/>
      <c r="AO57" s="962">
        <f t="shared" si="268"/>
        <v>0</v>
      </c>
      <c r="AP57" s="961"/>
      <c r="AQ57" s="862"/>
      <c r="AR57" s="862"/>
      <c r="AS57" s="962">
        <f t="shared" si="269"/>
        <v>546000</v>
      </c>
      <c r="AT57" s="961"/>
      <c r="AU57" s="862"/>
      <c r="AV57" s="862"/>
      <c r="AW57" s="863">
        <f t="shared" si="270"/>
        <v>0</v>
      </c>
      <c r="AX57" s="961"/>
      <c r="AY57" s="862"/>
      <c r="AZ57" s="862"/>
      <c r="BA57" s="863">
        <f t="shared" si="271"/>
        <v>0</v>
      </c>
      <c r="BB57" s="961"/>
      <c r="BC57" s="862"/>
      <c r="BD57" s="862"/>
      <c r="BE57" s="1927">
        <f t="shared" si="272"/>
        <v>0</v>
      </c>
      <c r="BF57" s="961"/>
      <c r="BG57" s="862"/>
      <c r="BH57" s="862"/>
      <c r="BI57" s="1927">
        <f t="shared" si="273"/>
        <v>0</v>
      </c>
      <c r="BJ57" s="961"/>
      <c r="BK57" s="862"/>
      <c r="BL57" s="862"/>
      <c r="BM57" s="1927">
        <f t="shared" si="92"/>
        <v>0</v>
      </c>
      <c r="BN57" s="961"/>
      <c r="BO57" s="1263">
        <v>1</v>
      </c>
      <c r="BP57" s="1263">
        <f t="shared" ref="BP57:BZ57" si="288">BO57</f>
        <v>1</v>
      </c>
      <c r="BQ57" s="1263">
        <f t="shared" si="288"/>
        <v>1</v>
      </c>
      <c r="BR57" s="1263">
        <f t="shared" si="288"/>
        <v>1</v>
      </c>
      <c r="BS57" s="1263">
        <f t="shared" si="288"/>
        <v>1</v>
      </c>
      <c r="BT57" s="1263">
        <f t="shared" si="288"/>
        <v>1</v>
      </c>
      <c r="BU57" s="1263">
        <f t="shared" si="288"/>
        <v>1</v>
      </c>
      <c r="BV57" s="1263">
        <f t="shared" si="288"/>
        <v>1</v>
      </c>
      <c r="BW57" s="1263">
        <f t="shared" si="288"/>
        <v>1</v>
      </c>
      <c r="BX57" s="1263">
        <f t="shared" si="288"/>
        <v>1</v>
      </c>
      <c r="BY57" s="1263">
        <f t="shared" si="288"/>
        <v>1</v>
      </c>
      <c r="BZ57" s="1263">
        <f t="shared" si="288"/>
        <v>1</v>
      </c>
      <c r="CA57" s="1263"/>
      <c r="CB57" s="99">
        <f t="shared" si="275"/>
        <v>0</v>
      </c>
      <c r="CC57" s="99">
        <f t="shared" si="276"/>
        <v>0</v>
      </c>
      <c r="CD57" s="99">
        <f t="shared" si="277"/>
        <v>0</v>
      </c>
      <c r="CE57" s="99">
        <f t="shared" si="278"/>
        <v>0</v>
      </c>
      <c r="CF57" s="99">
        <f t="shared" si="279"/>
        <v>0</v>
      </c>
      <c r="CG57" s="99">
        <f t="shared" si="280"/>
        <v>0</v>
      </c>
      <c r="CH57" s="99">
        <f t="shared" si="281"/>
        <v>546000</v>
      </c>
      <c r="CI57" s="99">
        <f t="shared" si="282"/>
        <v>0</v>
      </c>
      <c r="CJ57" s="99">
        <f t="shared" si="283"/>
        <v>0</v>
      </c>
      <c r="CK57" s="99">
        <f t="shared" si="284"/>
        <v>0</v>
      </c>
      <c r="CL57" s="99">
        <f t="shared" si="285"/>
        <v>0</v>
      </c>
      <c r="CM57" s="99">
        <f t="shared" si="286"/>
        <v>0</v>
      </c>
    </row>
    <row r="58" spans="1:91" s="355" customFormat="1" ht="14.25" customHeight="1" x14ac:dyDescent="0.2">
      <c r="A58" s="965" t="s">
        <v>4975</v>
      </c>
      <c r="B58" s="1481" t="s">
        <v>5096</v>
      </c>
      <c r="C58" s="1481" t="s">
        <v>4141</v>
      </c>
      <c r="D58" s="1481"/>
      <c r="E58" s="865"/>
      <c r="F58" s="861"/>
      <c r="G58" s="960"/>
      <c r="H58" s="862"/>
      <c r="I58" s="960"/>
      <c r="J58" s="862"/>
      <c r="K58" s="862">
        <v>342000</v>
      </c>
      <c r="L58" s="862"/>
      <c r="M58" s="862"/>
      <c r="N58" s="862"/>
      <c r="O58" s="862"/>
      <c r="P58" s="862"/>
      <c r="Q58" s="962"/>
      <c r="R58" s="2296"/>
      <c r="S58" s="2297"/>
      <c r="T58" s="2297"/>
      <c r="U58" s="2298">
        <f t="shared" si="264"/>
        <v>0</v>
      </c>
      <c r="V58" s="621"/>
      <c r="W58" s="617"/>
      <c r="X58" s="617"/>
      <c r="Y58" s="620">
        <f t="shared" si="287"/>
        <v>0</v>
      </c>
      <c r="Z58" s="621"/>
      <c r="AA58" s="617"/>
      <c r="AB58" s="617"/>
      <c r="AC58" s="620">
        <f t="shared" si="265"/>
        <v>0</v>
      </c>
      <c r="AD58" s="621"/>
      <c r="AE58" s="617"/>
      <c r="AF58" s="617"/>
      <c r="AG58" s="1923">
        <f t="shared" si="266"/>
        <v>0</v>
      </c>
      <c r="AH58" s="621"/>
      <c r="AI58" s="617"/>
      <c r="AJ58" s="617"/>
      <c r="AK58" s="1927">
        <f t="shared" si="267"/>
        <v>0</v>
      </c>
      <c r="AL58" s="621"/>
      <c r="AM58" s="862"/>
      <c r="AN58" s="617"/>
      <c r="AO58" s="618">
        <f t="shared" si="268"/>
        <v>342000</v>
      </c>
      <c r="AP58" s="621"/>
      <c r="AQ58" s="617"/>
      <c r="AR58" s="617"/>
      <c r="AS58" s="618">
        <f t="shared" si="269"/>
        <v>0</v>
      </c>
      <c r="AT58" s="621"/>
      <c r="AU58" s="617"/>
      <c r="AV58" s="617"/>
      <c r="AW58" s="620">
        <f t="shared" si="270"/>
        <v>0</v>
      </c>
      <c r="AX58" s="621"/>
      <c r="AY58" s="617"/>
      <c r="AZ58" s="617"/>
      <c r="BA58" s="620">
        <f t="shared" si="271"/>
        <v>0</v>
      </c>
      <c r="BB58" s="621"/>
      <c r="BC58" s="617"/>
      <c r="BD58" s="617"/>
      <c r="BE58" s="1927">
        <f t="shared" si="272"/>
        <v>0</v>
      </c>
      <c r="BF58" s="621"/>
      <c r="BG58" s="617"/>
      <c r="BH58" s="617"/>
      <c r="BI58" s="1927">
        <f t="shared" si="273"/>
        <v>0</v>
      </c>
      <c r="BJ58" s="621"/>
      <c r="BK58" s="617"/>
      <c r="BL58" s="617"/>
      <c r="BM58" s="1927">
        <f t="shared" si="92"/>
        <v>0</v>
      </c>
      <c r="BN58" s="621"/>
      <c r="BO58" s="1263">
        <v>1</v>
      </c>
      <c r="BP58" s="1263">
        <f t="shared" ref="BP58:BZ58" si="289">BO58</f>
        <v>1</v>
      </c>
      <c r="BQ58" s="1263">
        <f t="shared" si="289"/>
        <v>1</v>
      </c>
      <c r="BR58" s="1263">
        <f t="shared" si="289"/>
        <v>1</v>
      </c>
      <c r="BS58" s="1263">
        <f t="shared" si="289"/>
        <v>1</v>
      </c>
      <c r="BT58" s="1263">
        <f t="shared" si="289"/>
        <v>1</v>
      </c>
      <c r="BU58" s="1263">
        <f t="shared" si="289"/>
        <v>1</v>
      </c>
      <c r="BV58" s="1263">
        <f t="shared" si="289"/>
        <v>1</v>
      </c>
      <c r="BW58" s="1263">
        <f t="shared" si="289"/>
        <v>1</v>
      </c>
      <c r="BX58" s="1263">
        <f t="shared" si="289"/>
        <v>1</v>
      </c>
      <c r="BY58" s="1263">
        <f t="shared" si="289"/>
        <v>1</v>
      </c>
      <c r="BZ58" s="1263">
        <f t="shared" si="289"/>
        <v>1</v>
      </c>
      <c r="CA58" s="1263"/>
      <c r="CB58" s="99">
        <f t="shared" si="275"/>
        <v>0</v>
      </c>
      <c r="CC58" s="99">
        <f t="shared" si="276"/>
        <v>0</v>
      </c>
      <c r="CD58" s="99">
        <f t="shared" si="277"/>
        <v>0</v>
      </c>
      <c r="CE58" s="99">
        <f t="shared" si="278"/>
        <v>0</v>
      </c>
      <c r="CF58" s="99">
        <f t="shared" si="279"/>
        <v>0</v>
      </c>
      <c r="CG58" s="99">
        <f t="shared" si="280"/>
        <v>342000</v>
      </c>
      <c r="CH58" s="99">
        <f t="shared" si="281"/>
        <v>0</v>
      </c>
      <c r="CI58" s="99">
        <f t="shared" si="282"/>
        <v>0</v>
      </c>
      <c r="CJ58" s="99">
        <f t="shared" si="283"/>
        <v>0</v>
      </c>
      <c r="CK58" s="99">
        <f t="shared" si="284"/>
        <v>0</v>
      </c>
      <c r="CL58" s="99">
        <f t="shared" si="285"/>
        <v>0</v>
      </c>
      <c r="CM58" s="99">
        <f t="shared" si="286"/>
        <v>0</v>
      </c>
    </row>
    <row r="59" spans="1:91" s="1099" customFormat="1" ht="14.25" customHeight="1" x14ac:dyDescent="0.2">
      <c r="A59" s="966" t="s">
        <v>4976</v>
      </c>
      <c r="B59" s="1481" t="s">
        <v>6488</v>
      </c>
      <c r="C59" s="1481" t="s">
        <v>6489</v>
      </c>
      <c r="D59" s="1481" t="s">
        <v>6489</v>
      </c>
      <c r="E59" s="1482"/>
      <c r="F59" s="861"/>
      <c r="G59" s="960">
        <v>62000</v>
      </c>
      <c r="H59" s="862">
        <v>1137000</v>
      </c>
      <c r="I59" s="960"/>
      <c r="J59" s="960"/>
      <c r="K59" s="960"/>
      <c r="L59" s="960"/>
      <c r="M59" s="862"/>
      <c r="N59" s="862"/>
      <c r="O59" s="862"/>
      <c r="P59" s="862"/>
      <c r="Q59" s="962"/>
      <c r="R59" s="2302"/>
      <c r="S59" s="2288"/>
      <c r="T59" s="2288"/>
      <c r="U59" s="2303">
        <f t="shared" si="264"/>
        <v>0</v>
      </c>
      <c r="V59" s="961"/>
      <c r="W59" s="617">
        <f>G59</f>
        <v>62000</v>
      </c>
      <c r="X59" s="862"/>
      <c r="Y59" s="863">
        <f t="shared" si="287"/>
        <v>0</v>
      </c>
      <c r="Z59" s="961"/>
      <c r="AA59" s="617">
        <f>H59</f>
        <v>1137000</v>
      </c>
      <c r="AB59" s="862"/>
      <c r="AC59" s="863">
        <f t="shared" si="265"/>
        <v>0</v>
      </c>
      <c r="AD59" s="961"/>
      <c r="AE59" s="862"/>
      <c r="AF59" s="862"/>
      <c r="AG59" s="1924">
        <f t="shared" si="266"/>
        <v>0</v>
      </c>
      <c r="AH59" s="961"/>
      <c r="AI59" s="862"/>
      <c r="AJ59" s="862"/>
      <c r="AK59" s="2196">
        <f t="shared" si="267"/>
        <v>0</v>
      </c>
      <c r="AL59" s="961"/>
      <c r="AM59" s="862"/>
      <c r="AN59" s="862"/>
      <c r="AO59" s="962">
        <f t="shared" si="268"/>
        <v>0</v>
      </c>
      <c r="AP59" s="961"/>
      <c r="AQ59" s="862"/>
      <c r="AR59" s="862"/>
      <c r="AS59" s="962">
        <f t="shared" si="269"/>
        <v>0</v>
      </c>
      <c r="AT59" s="961"/>
      <c r="AU59" s="862"/>
      <c r="AV59" s="862"/>
      <c r="AW59" s="863">
        <f t="shared" si="270"/>
        <v>0</v>
      </c>
      <c r="AX59" s="961"/>
      <c r="AY59" s="862"/>
      <c r="AZ59" s="862"/>
      <c r="BA59" s="863">
        <f t="shared" si="271"/>
        <v>0</v>
      </c>
      <c r="BB59" s="961"/>
      <c r="BC59" s="862"/>
      <c r="BD59" s="862"/>
      <c r="BE59" s="1927">
        <f t="shared" si="272"/>
        <v>0</v>
      </c>
      <c r="BF59" s="961"/>
      <c r="BG59" s="862"/>
      <c r="BH59" s="862"/>
      <c r="BI59" s="1927">
        <f t="shared" si="273"/>
        <v>0</v>
      </c>
      <c r="BJ59" s="961"/>
      <c r="BK59" s="862"/>
      <c r="BL59" s="862"/>
      <c r="BM59" s="1927">
        <f t="shared" si="92"/>
        <v>0</v>
      </c>
      <c r="BN59" s="961"/>
      <c r="BO59" s="1263">
        <v>1</v>
      </c>
      <c r="BP59" s="1263">
        <f t="shared" ref="BP59:BZ59" si="290">BO59</f>
        <v>1</v>
      </c>
      <c r="BQ59" s="1263">
        <f t="shared" si="290"/>
        <v>1</v>
      </c>
      <c r="BR59" s="1263">
        <f t="shared" si="290"/>
        <v>1</v>
      </c>
      <c r="BS59" s="1263">
        <f t="shared" si="290"/>
        <v>1</v>
      </c>
      <c r="BT59" s="1263">
        <f t="shared" si="290"/>
        <v>1</v>
      </c>
      <c r="BU59" s="1263">
        <f t="shared" si="290"/>
        <v>1</v>
      </c>
      <c r="BV59" s="1263">
        <f t="shared" si="290"/>
        <v>1</v>
      </c>
      <c r="BW59" s="1263">
        <f t="shared" si="290"/>
        <v>1</v>
      </c>
      <c r="BX59" s="1263">
        <f t="shared" si="290"/>
        <v>1</v>
      </c>
      <c r="BY59" s="1263">
        <f t="shared" si="290"/>
        <v>1</v>
      </c>
      <c r="BZ59" s="1263">
        <f t="shared" si="290"/>
        <v>1</v>
      </c>
      <c r="CA59" s="1263"/>
      <c r="CB59" s="99">
        <f t="shared" si="275"/>
        <v>0</v>
      </c>
      <c r="CC59" s="99">
        <f t="shared" si="276"/>
        <v>62000</v>
      </c>
      <c r="CD59" s="99">
        <f t="shared" si="277"/>
        <v>1137000</v>
      </c>
      <c r="CE59" s="99">
        <f t="shared" si="278"/>
        <v>0</v>
      </c>
      <c r="CF59" s="99">
        <f t="shared" si="279"/>
        <v>0</v>
      </c>
      <c r="CG59" s="99">
        <f t="shared" si="280"/>
        <v>0</v>
      </c>
      <c r="CH59" s="99">
        <f t="shared" si="281"/>
        <v>0</v>
      </c>
      <c r="CI59" s="99">
        <f t="shared" si="282"/>
        <v>0</v>
      </c>
      <c r="CJ59" s="99">
        <f t="shared" si="283"/>
        <v>0</v>
      </c>
      <c r="CK59" s="99">
        <f t="shared" si="284"/>
        <v>0</v>
      </c>
      <c r="CL59" s="99">
        <f t="shared" si="285"/>
        <v>0</v>
      </c>
      <c r="CM59" s="99">
        <f t="shared" si="286"/>
        <v>0</v>
      </c>
    </row>
    <row r="60" spans="1:91" s="1099" customFormat="1" ht="14.25" customHeight="1" x14ac:dyDescent="0.2">
      <c r="A60" s="966" t="s">
        <v>4977</v>
      </c>
      <c r="B60" s="1481" t="s">
        <v>5144</v>
      </c>
      <c r="C60" s="1481" t="s">
        <v>5145</v>
      </c>
      <c r="D60" s="1481"/>
      <c r="E60" s="1482"/>
      <c r="F60" s="861"/>
      <c r="G60" s="960"/>
      <c r="H60" s="862">
        <v>1847000</v>
      </c>
      <c r="I60" s="960"/>
      <c r="J60" s="960"/>
      <c r="K60" s="960"/>
      <c r="L60" s="960"/>
      <c r="M60" s="862"/>
      <c r="N60" s="862"/>
      <c r="O60" s="862"/>
      <c r="P60" s="862"/>
      <c r="Q60" s="962"/>
      <c r="R60" s="2302"/>
      <c r="S60" s="2288"/>
      <c r="T60" s="2288"/>
      <c r="U60" s="2303">
        <f t="shared" si="264"/>
        <v>0</v>
      </c>
      <c r="V60" s="961"/>
      <c r="W60" s="617">
        <v>1747000</v>
      </c>
      <c r="X60" s="862"/>
      <c r="Y60" s="863">
        <f t="shared" si="287"/>
        <v>-1747000</v>
      </c>
      <c r="Z60" s="961"/>
      <c r="AA60" s="617"/>
      <c r="AB60" s="862"/>
      <c r="AC60" s="863">
        <f t="shared" si="265"/>
        <v>1847000</v>
      </c>
      <c r="AD60" s="961"/>
      <c r="AE60" s="862"/>
      <c r="AF60" s="862"/>
      <c r="AG60" s="1924">
        <f t="shared" si="266"/>
        <v>0</v>
      </c>
      <c r="AH60" s="961"/>
      <c r="AI60" s="862"/>
      <c r="AJ60" s="862"/>
      <c r="AK60" s="2196">
        <f t="shared" si="267"/>
        <v>0</v>
      </c>
      <c r="AL60" s="961"/>
      <c r="AM60" s="862"/>
      <c r="AN60" s="862"/>
      <c r="AO60" s="962">
        <f t="shared" si="268"/>
        <v>0</v>
      </c>
      <c r="AP60" s="961"/>
      <c r="AQ60" s="862"/>
      <c r="AR60" s="862"/>
      <c r="AS60" s="962">
        <f t="shared" si="269"/>
        <v>0</v>
      </c>
      <c r="AT60" s="961"/>
      <c r="AU60" s="862"/>
      <c r="AV60" s="862"/>
      <c r="AW60" s="863">
        <f t="shared" si="270"/>
        <v>0</v>
      </c>
      <c r="AX60" s="961"/>
      <c r="AY60" s="862"/>
      <c r="AZ60" s="862"/>
      <c r="BA60" s="863">
        <f t="shared" si="271"/>
        <v>0</v>
      </c>
      <c r="BB60" s="961"/>
      <c r="BC60" s="862"/>
      <c r="BD60" s="862"/>
      <c r="BE60" s="1927">
        <f t="shared" si="272"/>
        <v>0</v>
      </c>
      <c r="BF60" s="961"/>
      <c r="BG60" s="862"/>
      <c r="BH60" s="862"/>
      <c r="BI60" s="1927">
        <f t="shared" si="273"/>
        <v>0</v>
      </c>
      <c r="BJ60" s="961"/>
      <c r="BK60" s="862"/>
      <c r="BL60" s="862"/>
      <c r="BM60" s="1927">
        <f t="shared" si="92"/>
        <v>0</v>
      </c>
      <c r="BN60" s="961"/>
      <c r="BO60" s="1263">
        <v>1</v>
      </c>
      <c r="BP60" s="1263">
        <f t="shared" ref="BP60" si="291">BO60</f>
        <v>1</v>
      </c>
      <c r="BQ60" s="1263">
        <f t="shared" ref="BQ60" si="292">BP60</f>
        <v>1</v>
      </c>
      <c r="BR60" s="1263">
        <f t="shared" ref="BR60" si="293">BQ60</f>
        <v>1</v>
      </c>
      <c r="BS60" s="1263">
        <f t="shared" ref="BS60" si="294">BR60</f>
        <v>1</v>
      </c>
      <c r="BT60" s="1263">
        <f t="shared" ref="BT60" si="295">BS60</f>
        <v>1</v>
      </c>
      <c r="BU60" s="1263">
        <f t="shared" ref="BU60" si="296">BT60</f>
        <v>1</v>
      </c>
      <c r="BV60" s="1263">
        <f t="shared" ref="BV60" si="297">BU60</f>
        <v>1</v>
      </c>
      <c r="BW60" s="1263">
        <f t="shared" ref="BW60" si="298">BV60</f>
        <v>1</v>
      </c>
      <c r="BX60" s="1263">
        <f t="shared" ref="BX60:BZ60" si="299">BW60</f>
        <v>1</v>
      </c>
      <c r="BY60" s="1263">
        <f t="shared" si="299"/>
        <v>1</v>
      </c>
      <c r="BZ60" s="1263">
        <f t="shared" si="299"/>
        <v>1</v>
      </c>
      <c r="CA60" s="1263"/>
      <c r="CB60" s="99">
        <f t="shared" si="275"/>
        <v>0</v>
      </c>
      <c r="CC60" s="99">
        <f t="shared" si="276"/>
        <v>0</v>
      </c>
      <c r="CD60" s="99">
        <f t="shared" si="277"/>
        <v>1847000</v>
      </c>
      <c r="CE60" s="99">
        <f t="shared" si="278"/>
        <v>0</v>
      </c>
      <c r="CF60" s="99">
        <f t="shared" si="279"/>
        <v>0</v>
      </c>
      <c r="CG60" s="99">
        <f t="shared" si="280"/>
        <v>0</v>
      </c>
      <c r="CH60" s="99">
        <f t="shared" si="281"/>
        <v>0</v>
      </c>
      <c r="CI60" s="99">
        <f t="shared" si="282"/>
        <v>0</v>
      </c>
      <c r="CJ60" s="99">
        <f t="shared" si="283"/>
        <v>0</v>
      </c>
      <c r="CK60" s="99">
        <f t="shared" si="284"/>
        <v>0</v>
      </c>
      <c r="CL60" s="99">
        <f t="shared" si="285"/>
        <v>0</v>
      </c>
      <c r="CM60" s="99">
        <f t="shared" si="286"/>
        <v>0</v>
      </c>
    </row>
    <row r="61" spans="1:91" s="355" customFormat="1" ht="14.25" customHeight="1" x14ac:dyDescent="0.2">
      <c r="A61" s="965" t="s">
        <v>4978</v>
      </c>
      <c r="B61" s="1481" t="s">
        <v>5097</v>
      </c>
      <c r="C61" s="1481" t="s">
        <v>4142</v>
      </c>
      <c r="D61" s="1481" t="s">
        <v>4142</v>
      </c>
      <c r="E61" s="865">
        <v>1</v>
      </c>
      <c r="F61" s="861"/>
      <c r="G61" s="960">
        <v>155000</v>
      </c>
      <c r="H61" s="862"/>
      <c r="I61" s="960">
        <v>1498000</v>
      </c>
      <c r="J61" s="862"/>
      <c r="K61" s="862"/>
      <c r="L61" s="862"/>
      <c r="M61" s="862"/>
      <c r="N61" s="862"/>
      <c r="O61" s="862"/>
      <c r="P61" s="862"/>
      <c r="Q61" s="962"/>
      <c r="R61" s="2296"/>
      <c r="S61" s="2297"/>
      <c r="T61" s="2297"/>
      <c r="U61" s="2298">
        <f t="shared" si="264"/>
        <v>0</v>
      </c>
      <c r="V61" s="621"/>
      <c r="W61" s="617">
        <f>G61</f>
        <v>155000</v>
      </c>
      <c r="X61" s="617"/>
      <c r="Y61" s="620">
        <f t="shared" si="287"/>
        <v>0</v>
      </c>
      <c r="Z61" s="621"/>
      <c r="AA61" s="617">
        <f>H61</f>
        <v>0</v>
      </c>
      <c r="AB61" s="617"/>
      <c r="AC61" s="620">
        <f t="shared" si="265"/>
        <v>0</v>
      </c>
      <c r="AD61" s="621"/>
      <c r="AE61" s="617">
        <f>I61/2</f>
        <v>749000</v>
      </c>
      <c r="AF61" s="617"/>
      <c r="AG61" s="1923">
        <f t="shared" si="266"/>
        <v>749000</v>
      </c>
      <c r="AH61" s="621"/>
      <c r="AI61" s="617"/>
      <c r="AJ61" s="617"/>
      <c r="AK61" s="1927">
        <f t="shared" si="267"/>
        <v>0</v>
      </c>
      <c r="AL61" s="621"/>
      <c r="AM61" s="617"/>
      <c r="AN61" s="617"/>
      <c r="AO61" s="618">
        <f t="shared" si="268"/>
        <v>0</v>
      </c>
      <c r="AP61" s="621"/>
      <c r="AQ61" s="617"/>
      <c r="AR61" s="617"/>
      <c r="AS61" s="618">
        <f t="shared" si="269"/>
        <v>0</v>
      </c>
      <c r="AT61" s="621"/>
      <c r="AU61" s="617"/>
      <c r="AV61" s="617"/>
      <c r="AW61" s="620">
        <f t="shared" si="270"/>
        <v>0</v>
      </c>
      <c r="AX61" s="621"/>
      <c r="AY61" s="617"/>
      <c r="AZ61" s="617"/>
      <c r="BA61" s="620">
        <f t="shared" si="271"/>
        <v>0</v>
      </c>
      <c r="BB61" s="621"/>
      <c r="BC61" s="617"/>
      <c r="BD61" s="617"/>
      <c r="BE61" s="1927">
        <f t="shared" si="272"/>
        <v>0</v>
      </c>
      <c r="BF61" s="621"/>
      <c r="BG61" s="617"/>
      <c r="BH61" s="617"/>
      <c r="BI61" s="1927">
        <f t="shared" si="273"/>
        <v>0</v>
      </c>
      <c r="BJ61" s="621"/>
      <c r="BK61" s="617"/>
      <c r="BL61" s="617"/>
      <c r="BM61" s="1927">
        <f t="shared" si="92"/>
        <v>0</v>
      </c>
      <c r="BN61" s="621"/>
      <c r="BO61" s="1263">
        <v>1</v>
      </c>
      <c r="BP61" s="1263">
        <f t="shared" ref="BP61:BZ61" si="300">BO61</f>
        <v>1</v>
      </c>
      <c r="BQ61" s="1263">
        <f t="shared" si="300"/>
        <v>1</v>
      </c>
      <c r="BR61" s="1263">
        <f t="shared" si="300"/>
        <v>1</v>
      </c>
      <c r="BS61" s="1263">
        <f t="shared" si="300"/>
        <v>1</v>
      </c>
      <c r="BT61" s="1263">
        <f t="shared" si="300"/>
        <v>1</v>
      </c>
      <c r="BU61" s="1263">
        <f t="shared" si="300"/>
        <v>1</v>
      </c>
      <c r="BV61" s="1263">
        <f t="shared" si="300"/>
        <v>1</v>
      </c>
      <c r="BW61" s="1263">
        <f t="shared" si="300"/>
        <v>1</v>
      </c>
      <c r="BX61" s="1263">
        <f t="shared" si="300"/>
        <v>1</v>
      </c>
      <c r="BY61" s="1263">
        <f t="shared" si="300"/>
        <v>1</v>
      </c>
      <c r="BZ61" s="1263">
        <f t="shared" si="300"/>
        <v>1</v>
      </c>
      <c r="CA61" s="1263"/>
      <c r="CB61" s="99">
        <f t="shared" si="275"/>
        <v>0</v>
      </c>
      <c r="CC61" s="99">
        <f t="shared" si="276"/>
        <v>155000</v>
      </c>
      <c r="CD61" s="99">
        <f t="shared" si="277"/>
        <v>0</v>
      </c>
      <c r="CE61" s="99">
        <f t="shared" si="278"/>
        <v>1498000</v>
      </c>
      <c r="CF61" s="99">
        <f t="shared" si="279"/>
        <v>0</v>
      </c>
      <c r="CG61" s="99">
        <f t="shared" si="280"/>
        <v>0</v>
      </c>
      <c r="CH61" s="99">
        <f t="shared" si="281"/>
        <v>0</v>
      </c>
      <c r="CI61" s="99">
        <f t="shared" si="282"/>
        <v>0</v>
      </c>
      <c r="CJ61" s="99">
        <f t="shared" si="283"/>
        <v>0</v>
      </c>
      <c r="CK61" s="99">
        <f t="shared" si="284"/>
        <v>0</v>
      </c>
      <c r="CL61" s="99">
        <f t="shared" si="285"/>
        <v>0</v>
      </c>
      <c r="CM61" s="99">
        <f t="shared" si="286"/>
        <v>0</v>
      </c>
    </row>
    <row r="62" spans="1:91" s="355" customFormat="1" ht="14.25" customHeight="1" x14ac:dyDescent="0.2">
      <c r="A62" s="965" t="s">
        <v>4979</v>
      </c>
      <c r="B62" s="1481"/>
      <c r="C62" s="1481"/>
      <c r="D62" s="1481"/>
      <c r="E62" s="865"/>
      <c r="F62" s="861"/>
      <c r="G62" s="960"/>
      <c r="H62" s="862"/>
      <c r="I62" s="960"/>
      <c r="J62" s="862">
        <v>80000</v>
      </c>
      <c r="K62" s="862"/>
      <c r="L62" s="862"/>
      <c r="M62" s="862"/>
      <c r="N62" s="862"/>
      <c r="O62" s="862"/>
      <c r="P62" s="862"/>
      <c r="Q62" s="962"/>
      <c r="R62" s="2296"/>
      <c r="S62" s="2297"/>
      <c r="T62" s="2297"/>
      <c r="U62" s="2298">
        <f t="shared" si="264"/>
        <v>0</v>
      </c>
      <c r="V62" s="621"/>
      <c r="W62" s="617">
        <f>G62</f>
        <v>0</v>
      </c>
      <c r="X62" s="617"/>
      <c r="Y62" s="620">
        <f t="shared" si="287"/>
        <v>0</v>
      </c>
      <c r="Z62" s="621"/>
      <c r="AA62" s="617"/>
      <c r="AB62" s="617"/>
      <c r="AC62" s="620">
        <f t="shared" si="265"/>
        <v>0</v>
      </c>
      <c r="AD62" s="621"/>
      <c r="AE62" s="617"/>
      <c r="AF62" s="617"/>
      <c r="AG62" s="1923">
        <f t="shared" si="266"/>
        <v>0</v>
      </c>
      <c r="AH62" s="621"/>
      <c r="AI62" s="617">
        <f>J62</f>
        <v>80000</v>
      </c>
      <c r="AJ62" s="617"/>
      <c r="AK62" s="1927">
        <f t="shared" si="267"/>
        <v>0</v>
      </c>
      <c r="AL62" s="621"/>
      <c r="AM62" s="617"/>
      <c r="AN62" s="617"/>
      <c r="AO62" s="618">
        <f t="shared" si="268"/>
        <v>0</v>
      </c>
      <c r="AP62" s="621"/>
      <c r="AQ62" s="617"/>
      <c r="AR62" s="617"/>
      <c r="AS62" s="618">
        <f t="shared" si="269"/>
        <v>0</v>
      </c>
      <c r="AT62" s="621"/>
      <c r="AU62" s="617"/>
      <c r="AV62" s="617"/>
      <c r="AW62" s="620">
        <f t="shared" si="270"/>
        <v>0</v>
      </c>
      <c r="AX62" s="621"/>
      <c r="AY62" s="617"/>
      <c r="AZ62" s="617"/>
      <c r="BA62" s="620">
        <f t="shared" si="271"/>
        <v>0</v>
      </c>
      <c r="BB62" s="621"/>
      <c r="BC62" s="617"/>
      <c r="BD62" s="617"/>
      <c r="BE62" s="1927">
        <f t="shared" si="272"/>
        <v>0</v>
      </c>
      <c r="BF62" s="621"/>
      <c r="BG62" s="617"/>
      <c r="BH62" s="617"/>
      <c r="BI62" s="1927">
        <f t="shared" si="273"/>
        <v>0</v>
      </c>
      <c r="BJ62" s="621"/>
      <c r="BK62" s="617"/>
      <c r="BL62" s="617"/>
      <c r="BM62" s="1927">
        <f t="shared" si="92"/>
        <v>0</v>
      </c>
      <c r="BN62" s="621"/>
      <c r="BO62" s="1263">
        <v>1</v>
      </c>
      <c r="BP62" s="1263">
        <f t="shared" ref="BP62" si="301">BO62</f>
        <v>1</v>
      </c>
      <c r="BQ62" s="1263">
        <f t="shared" ref="BQ62" si="302">BP62</f>
        <v>1</v>
      </c>
      <c r="BR62" s="1263">
        <f t="shared" ref="BR62" si="303">BQ62</f>
        <v>1</v>
      </c>
      <c r="BS62" s="1263">
        <f t="shared" ref="BS62" si="304">BR62</f>
        <v>1</v>
      </c>
      <c r="BT62" s="1263">
        <f t="shared" ref="BT62" si="305">BS62</f>
        <v>1</v>
      </c>
      <c r="BU62" s="1263">
        <f t="shared" ref="BU62" si="306">BT62</f>
        <v>1</v>
      </c>
      <c r="BV62" s="1263">
        <f t="shared" ref="BV62" si="307">BU62</f>
        <v>1</v>
      </c>
      <c r="BW62" s="1263">
        <f t="shared" ref="BW62" si="308">BV62</f>
        <v>1</v>
      </c>
      <c r="BX62" s="1263">
        <f t="shared" ref="BX62:BZ62" si="309">BW62</f>
        <v>1</v>
      </c>
      <c r="BY62" s="1263">
        <f t="shared" si="309"/>
        <v>1</v>
      </c>
      <c r="BZ62" s="1263">
        <f t="shared" si="309"/>
        <v>1</v>
      </c>
      <c r="CA62" s="1263"/>
      <c r="CB62" s="99">
        <f t="shared" si="275"/>
        <v>0</v>
      </c>
      <c r="CC62" s="99">
        <f t="shared" si="276"/>
        <v>0</v>
      </c>
      <c r="CD62" s="99">
        <f t="shared" si="277"/>
        <v>0</v>
      </c>
      <c r="CE62" s="99">
        <f t="shared" si="278"/>
        <v>0</v>
      </c>
      <c r="CF62" s="99">
        <f t="shared" si="279"/>
        <v>80000</v>
      </c>
      <c r="CG62" s="99">
        <f t="shared" si="280"/>
        <v>0</v>
      </c>
      <c r="CH62" s="99">
        <f t="shared" si="281"/>
        <v>0</v>
      </c>
      <c r="CI62" s="99">
        <f t="shared" si="282"/>
        <v>0</v>
      </c>
      <c r="CJ62" s="99">
        <f t="shared" si="283"/>
        <v>0</v>
      </c>
      <c r="CK62" s="99">
        <f t="shared" si="284"/>
        <v>0</v>
      </c>
      <c r="CL62" s="99">
        <f t="shared" si="285"/>
        <v>0</v>
      </c>
      <c r="CM62" s="99">
        <f t="shared" si="286"/>
        <v>0</v>
      </c>
    </row>
    <row r="63" spans="1:91" s="355" customFormat="1" ht="14.25" customHeight="1" x14ac:dyDescent="0.2">
      <c r="A63" s="965" t="s">
        <v>4980</v>
      </c>
      <c r="B63" s="1481"/>
      <c r="C63" s="1481"/>
      <c r="D63" s="1481"/>
      <c r="E63" s="865"/>
      <c r="F63" s="861"/>
      <c r="G63" s="960"/>
      <c r="H63" s="862"/>
      <c r="I63" s="960"/>
      <c r="J63" s="862">
        <v>505000</v>
      </c>
      <c r="K63" s="862"/>
      <c r="L63" s="862"/>
      <c r="M63" s="862"/>
      <c r="N63" s="862"/>
      <c r="O63" s="862"/>
      <c r="P63" s="862"/>
      <c r="Q63" s="962"/>
      <c r="R63" s="2296"/>
      <c r="S63" s="2297"/>
      <c r="T63" s="2297"/>
      <c r="U63" s="2298">
        <f t="shared" si="264"/>
        <v>0</v>
      </c>
      <c r="V63" s="621"/>
      <c r="W63" s="617">
        <f>G63</f>
        <v>0</v>
      </c>
      <c r="X63" s="617"/>
      <c r="Y63" s="620">
        <f t="shared" si="287"/>
        <v>0</v>
      </c>
      <c r="Z63" s="621"/>
      <c r="AA63" s="617"/>
      <c r="AB63" s="617"/>
      <c r="AC63" s="620">
        <f t="shared" si="265"/>
        <v>0</v>
      </c>
      <c r="AD63" s="621"/>
      <c r="AE63" s="617"/>
      <c r="AF63" s="617"/>
      <c r="AG63" s="1923">
        <f t="shared" si="266"/>
        <v>0</v>
      </c>
      <c r="AH63" s="621"/>
      <c r="AI63" s="617">
        <f>J63</f>
        <v>505000</v>
      </c>
      <c r="AJ63" s="617"/>
      <c r="AK63" s="1927">
        <f t="shared" si="267"/>
        <v>0</v>
      </c>
      <c r="AL63" s="621"/>
      <c r="AM63" s="617"/>
      <c r="AN63" s="617"/>
      <c r="AO63" s="618">
        <f t="shared" si="268"/>
        <v>0</v>
      </c>
      <c r="AP63" s="621"/>
      <c r="AQ63" s="617"/>
      <c r="AR63" s="617"/>
      <c r="AS63" s="618">
        <f t="shared" si="269"/>
        <v>0</v>
      </c>
      <c r="AT63" s="621"/>
      <c r="AU63" s="617"/>
      <c r="AV63" s="617"/>
      <c r="AW63" s="620">
        <f t="shared" si="270"/>
        <v>0</v>
      </c>
      <c r="AX63" s="621"/>
      <c r="AY63" s="617"/>
      <c r="AZ63" s="617"/>
      <c r="BA63" s="620">
        <f t="shared" si="271"/>
        <v>0</v>
      </c>
      <c r="BB63" s="621"/>
      <c r="BC63" s="617"/>
      <c r="BD63" s="617"/>
      <c r="BE63" s="1927">
        <f t="shared" si="272"/>
        <v>0</v>
      </c>
      <c r="BF63" s="621"/>
      <c r="BG63" s="617"/>
      <c r="BH63" s="617"/>
      <c r="BI63" s="1927">
        <f t="shared" si="273"/>
        <v>0</v>
      </c>
      <c r="BJ63" s="621"/>
      <c r="BK63" s="617"/>
      <c r="BL63" s="617"/>
      <c r="BM63" s="1927">
        <f t="shared" si="92"/>
        <v>0</v>
      </c>
      <c r="BN63" s="621"/>
      <c r="BO63" s="1263">
        <v>1</v>
      </c>
      <c r="BP63" s="1263">
        <f t="shared" ref="BP63" si="310">BO63</f>
        <v>1</v>
      </c>
      <c r="BQ63" s="1263">
        <f t="shared" ref="BQ63" si="311">BP63</f>
        <v>1</v>
      </c>
      <c r="BR63" s="1263">
        <f t="shared" ref="BR63" si="312">BQ63</f>
        <v>1</v>
      </c>
      <c r="BS63" s="1263">
        <f t="shared" ref="BS63" si="313">BR63</f>
        <v>1</v>
      </c>
      <c r="BT63" s="1263">
        <f t="shared" ref="BT63" si="314">BS63</f>
        <v>1</v>
      </c>
      <c r="BU63" s="1263">
        <f t="shared" ref="BU63" si="315">BT63</f>
        <v>1</v>
      </c>
      <c r="BV63" s="1263">
        <f t="shared" ref="BV63" si="316">BU63</f>
        <v>1</v>
      </c>
      <c r="BW63" s="1263">
        <f t="shared" ref="BW63" si="317">BV63</f>
        <v>1</v>
      </c>
      <c r="BX63" s="1263">
        <f t="shared" ref="BX63:BZ63" si="318">BW63</f>
        <v>1</v>
      </c>
      <c r="BY63" s="1263">
        <f t="shared" si="318"/>
        <v>1</v>
      </c>
      <c r="BZ63" s="1263">
        <f t="shared" si="318"/>
        <v>1</v>
      </c>
      <c r="CA63" s="1263"/>
      <c r="CB63" s="99">
        <f t="shared" si="275"/>
        <v>0</v>
      </c>
      <c r="CC63" s="99">
        <f t="shared" si="276"/>
        <v>0</v>
      </c>
      <c r="CD63" s="99">
        <f t="shared" si="277"/>
        <v>0</v>
      </c>
      <c r="CE63" s="99">
        <f t="shared" si="278"/>
        <v>0</v>
      </c>
      <c r="CF63" s="99">
        <f t="shared" si="279"/>
        <v>505000</v>
      </c>
      <c r="CG63" s="99">
        <f t="shared" si="280"/>
        <v>0</v>
      </c>
      <c r="CH63" s="99">
        <f t="shared" si="281"/>
        <v>0</v>
      </c>
      <c r="CI63" s="99">
        <f t="shared" si="282"/>
        <v>0</v>
      </c>
      <c r="CJ63" s="99">
        <f t="shared" si="283"/>
        <v>0</v>
      </c>
      <c r="CK63" s="99">
        <f t="shared" si="284"/>
        <v>0</v>
      </c>
      <c r="CL63" s="99">
        <f t="shared" si="285"/>
        <v>0</v>
      </c>
      <c r="CM63" s="99">
        <f t="shared" si="286"/>
        <v>0</v>
      </c>
    </row>
    <row r="64" spans="1:91" s="1099" customFormat="1" ht="14.25" customHeight="1" x14ac:dyDescent="0.2">
      <c r="A64" s="966" t="s">
        <v>4981</v>
      </c>
      <c r="B64" s="1481" t="s">
        <v>5098</v>
      </c>
      <c r="C64" s="1481" t="s">
        <v>4143</v>
      </c>
      <c r="D64" s="1481"/>
      <c r="E64" s="1482"/>
      <c r="F64" s="861">
        <v>78200</v>
      </c>
      <c r="G64" s="960"/>
      <c r="H64" s="862"/>
      <c r="I64" s="960"/>
      <c r="J64" s="960"/>
      <c r="K64" s="960"/>
      <c r="L64" s="960"/>
      <c r="M64" s="862"/>
      <c r="N64" s="862"/>
      <c r="O64" s="862"/>
      <c r="P64" s="862"/>
      <c r="Q64" s="962"/>
      <c r="R64" s="2302"/>
      <c r="S64" s="2288">
        <f>F64-69000</f>
        <v>9200</v>
      </c>
      <c r="T64" s="2288"/>
      <c r="U64" s="2303">
        <f t="shared" si="264"/>
        <v>69000</v>
      </c>
      <c r="V64" s="961"/>
      <c r="W64" s="862">
        <f>G64</f>
        <v>0</v>
      </c>
      <c r="X64" s="862"/>
      <c r="Y64" s="863">
        <f t="shared" si="287"/>
        <v>0</v>
      </c>
      <c r="Z64" s="961"/>
      <c r="AA64" s="617"/>
      <c r="AB64" s="862"/>
      <c r="AC64" s="863">
        <f t="shared" si="265"/>
        <v>0</v>
      </c>
      <c r="AD64" s="961"/>
      <c r="AE64" s="862"/>
      <c r="AF64" s="862"/>
      <c r="AG64" s="1924">
        <f t="shared" si="266"/>
        <v>0</v>
      </c>
      <c r="AH64" s="961"/>
      <c r="AI64" s="617"/>
      <c r="AJ64" s="862"/>
      <c r="AK64" s="2196">
        <f t="shared" si="267"/>
        <v>0</v>
      </c>
      <c r="AL64" s="961"/>
      <c r="AM64" s="862"/>
      <c r="AN64" s="862"/>
      <c r="AO64" s="962">
        <f t="shared" si="268"/>
        <v>0</v>
      </c>
      <c r="AP64" s="961"/>
      <c r="AQ64" s="862"/>
      <c r="AR64" s="862"/>
      <c r="AS64" s="962">
        <f t="shared" si="269"/>
        <v>0</v>
      </c>
      <c r="AT64" s="961"/>
      <c r="AU64" s="862"/>
      <c r="AV64" s="862"/>
      <c r="AW64" s="863">
        <f t="shared" si="270"/>
        <v>0</v>
      </c>
      <c r="AX64" s="961"/>
      <c r="AY64" s="862"/>
      <c r="AZ64" s="862"/>
      <c r="BA64" s="863">
        <f t="shared" si="271"/>
        <v>0</v>
      </c>
      <c r="BB64" s="961"/>
      <c r="BC64" s="862"/>
      <c r="BD64" s="862"/>
      <c r="BE64" s="1927">
        <f t="shared" si="272"/>
        <v>0</v>
      </c>
      <c r="BF64" s="961"/>
      <c r="BG64" s="862"/>
      <c r="BH64" s="862"/>
      <c r="BI64" s="1927">
        <f t="shared" si="273"/>
        <v>0</v>
      </c>
      <c r="BJ64" s="961"/>
      <c r="BK64" s="862"/>
      <c r="BL64" s="862"/>
      <c r="BM64" s="1927">
        <f t="shared" si="92"/>
        <v>0</v>
      </c>
      <c r="BN64" s="961"/>
      <c r="BO64" s="1263">
        <v>1</v>
      </c>
      <c r="BP64" s="1263">
        <f t="shared" ref="BP64:BZ64" si="319">BO64</f>
        <v>1</v>
      </c>
      <c r="BQ64" s="1263">
        <f t="shared" si="319"/>
        <v>1</v>
      </c>
      <c r="BR64" s="1263">
        <f t="shared" si="319"/>
        <v>1</v>
      </c>
      <c r="BS64" s="1263">
        <f t="shared" si="319"/>
        <v>1</v>
      </c>
      <c r="BT64" s="1263">
        <f t="shared" si="319"/>
        <v>1</v>
      </c>
      <c r="BU64" s="1263">
        <f t="shared" si="319"/>
        <v>1</v>
      </c>
      <c r="BV64" s="1263">
        <f t="shared" si="319"/>
        <v>1</v>
      </c>
      <c r="BW64" s="1263">
        <f t="shared" si="319"/>
        <v>1</v>
      </c>
      <c r="BX64" s="1263">
        <f t="shared" si="319"/>
        <v>1</v>
      </c>
      <c r="BY64" s="1263">
        <f t="shared" si="319"/>
        <v>1</v>
      </c>
      <c r="BZ64" s="1263">
        <f t="shared" si="319"/>
        <v>1</v>
      </c>
      <c r="CA64" s="1263"/>
      <c r="CB64" s="99">
        <f t="shared" si="275"/>
        <v>78000</v>
      </c>
      <c r="CC64" s="99">
        <f t="shared" si="276"/>
        <v>0</v>
      </c>
      <c r="CD64" s="99">
        <f t="shared" si="277"/>
        <v>0</v>
      </c>
      <c r="CE64" s="99">
        <f t="shared" si="278"/>
        <v>0</v>
      </c>
      <c r="CF64" s="99">
        <f t="shared" si="279"/>
        <v>0</v>
      </c>
      <c r="CG64" s="99">
        <f t="shared" si="280"/>
        <v>0</v>
      </c>
      <c r="CH64" s="99">
        <f t="shared" si="281"/>
        <v>0</v>
      </c>
      <c r="CI64" s="99">
        <f t="shared" si="282"/>
        <v>0</v>
      </c>
      <c r="CJ64" s="99">
        <f t="shared" si="283"/>
        <v>0</v>
      </c>
      <c r="CK64" s="99">
        <f t="shared" si="284"/>
        <v>0</v>
      </c>
      <c r="CL64" s="99">
        <f t="shared" si="285"/>
        <v>0</v>
      </c>
      <c r="CM64" s="99">
        <f t="shared" si="286"/>
        <v>0</v>
      </c>
    </row>
    <row r="65" spans="1:104" s="1099" customFormat="1" ht="14.25" customHeight="1" x14ac:dyDescent="0.2">
      <c r="A65" s="966" t="s">
        <v>4982</v>
      </c>
      <c r="B65" s="1481"/>
      <c r="C65" s="1481"/>
      <c r="D65" s="1481"/>
      <c r="E65" s="1482"/>
      <c r="F65" s="861"/>
      <c r="G65" s="960"/>
      <c r="H65" s="862"/>
      <c r="I65" s="960"/>
      <c r="J65" s="960">
        <v>205000</v>
      </c>
      <c r="K65" s="960"/>
      <c r="L65" s="960"/>
      <c r="M65" s="862"/>
      <c r="N65" s="862"/>
      <c r="O65" s="862"/>
      <c r="P65" s="862"/>
      <c r="Q65" s="962"/>
      <c r="R65" s="2302"/>
      <c r="S65" s="2288"/>
      <c r="T65" s="2288"/>
      <c r="U65" s="2303">
        <f t="shared" si="264"/>
        <v>0</v>
      </c>
      <c r="V65" s="961"/>
      <c r="W65" s="617"/>
      <c r="X65" s="862"/>
      <c r="Y65" s="863">
        <f t="shared" si="287"/>
        <v>0</v>
      </c>
      <c r="Z65" s="961"/>
      <c r="AA65" s="617">
        <f>H65</f>
        <v>0</v>
      </c>
      <c r="AB65" s="862"/>
      <c r="AC65" s="863">
        <f t="shared" si="265"/>
        <v>0</v>
      </c>
      <c r="AD65" s="961"/>
      <c r="AE65" s="862"/>
      <c r="AF65" s="862"/>
      <c r="AG65" s="1924">
        <f t="shared" si="266"/>
        <v>0</v>
      </c>
      <c r="AH65" s="961"/>
      <c r="AI65" s="617">
        <f>J65</f>
        <v>205000</v>
      </c>
      <c r="AJ65" s="862"/>
      <c r="AK65" s="2196">
        <f t="shared" si="267"/>
        <v>0</v>
      </c>
      <c r="AL65" s="961"/>
      <c r="AM65" s="862"/>
      <c r="AN65" s="862"/>
      <c r="AO65" s="962">
        <f t="shared" si="268"/>
        <v>0</v>
      </c>
      <c r="AP65" s="961"/>
      <c r="AQ65" s="862"/>
      <c r="AR65" s="862"/>
      <c r="AS65" s="962">
        <f t="shared" si="269"/>
        <v>0</v>
      </c>
      <c r="AT65" s="961"/>
      <c r="AU65" s="862"/>
      <c r="AV65" s="862"/>
      <c r="AW65" s="863">
        <f t="shared" si="270"/>
        <v>0</v>
      </c>
      <c r="AX65" s="961"/>
      <c r="AY65" s="862"/>
      <c r="AZ65" s="862"/>
      <c r="BA65" s="863">
        <f t="shared" si="271"/>
        <v>0</v>
      </c>
      <c r="BB65" s="961"/>
      <c r="BC65" s="862"/>
      <c r="BD65" s="862"/>
      <c r="BE65" s="1927">
        <f t="shared" si="272"/>
        <v>0</v>
      </c>
      <c r="BF65" s="961"/>
      <c r="BG65" s="862"/>
      <c r="BH65" s="862"/>
      <c r="BI65" s="1927">
        <f t="shared" si="273"/>
        <v>0</v>
      </c>
      <c r="BJ65" s="961"/>
      <c r="BK65" s="862"/>
      <c r="BL65" s="862"/>
      <c r="BM65" s="1927">
        <f t="shared" si="92"/>
        <v>0</v>
      </c>
      <c r="BN65" s="961"/>
      <c r="BO65" s="1263">
        <v>1</v>
      </c>
      <c r="BP65" s="1263">
        <f t="shared" ref="BP65:BZ65" si="320">BO65</f>
        <v>1</v>
      </c>
      <c r="BQ65" s="1263">
        <f t="shared" si="320"/>
        <v>1</v>
      </c>
      <c r="BR65" s="1263">
        <f t="shared" si="320"/>
        <v>1</v>
      </c>
      <c r="BS65" s="1263">
        <f t="shared" si="320"/>
        <v>1</v>
      </c>
      <c r="BT65" s="1263">
        <f t="shared" si="320"/>
        <v>1</v>
      </c>
      <c r="BU65" s="1263">
        <f t="shared" si="320"/>
        <v>1</v>
      </c>
      <c r="BV65" s="1263">
        <f t="shared" si="320"/>
        <v>1</v>
      </c>
      <c r="BW65" s="1263">
        <f t="shared" si="320"/>
        <v>1</v>
      </c>
      <c r="BX65" s="1263">
        <f t="shared" si="320"/>
        <v>1</v>
      </c>
      <c r="BY65" s="1263">
        <f t="shared" si="320"/>
        <v>1</v>
      </c>
      <c r="BZ65" s="1263">
        <f t="shared" si="320"/>
        <v>1</v>
      </c>
      <c r="CA65" s="1263"/>
      <c r="CB65" s="99">
        <f t="shared" si="275"/>
        <v>0</v>
      </c>
      <c r="CC65" s="99">
        <f t="shared" si="276"/>
        <v>0</v>
      </c>
      <c r="CD65" s="99">
        <f t="shared" si="277"/>
        <v>0</v>
      </c>
      <c r="CE65" s="99">
        <f t="shared" si="278"/>
        <v>0</v>
      </c>
      <c r="CF65" s="99">
        <f t="shared" si="279"/>
        <v>205000</v>
      </c>
      <c r="CG65" s="99">
        <f t="shared" si="280"/>
        <v>0</v>
      </c>
      <c r="CH65" s="99">
        <f t="shared" si="281"/>
        <v>0</v>
      </c>
      <c r="CI65" s="99">
        <f t="shared" si="282"/>
        <v>0</v>
      </c>
      <c r="CJ65" s="99">
        <f t="shared" si="283"/>
        <v>0</v>
      </c>
      <c r="CK65" s="99">
        <f t="shared" si="284"/>
        <v>0</v>
      </c>
      <c r="CL65" s="99">
        <f t="shared" si="285"/>
        <v>0</v>
      </c>
      <c r="CM65" s="99">
        <f t="shared" si="286"/>
        <v>0</v>
      </c>
    </row>
    <row r="66" spans="1:104" s="1099" customFormat="1" ht="14.25" customHeight="1" x14ac:dyDescent="0.2">
      <c r="A66" s="966" t="s">
        <v>4983</v>
      </c>
      <c r="B66" s="1481"/>
      <c r="C66" s="1481"/>
      <c r="D66" s="1481"/>
      <c r="E66" s="1482"/>
      <c r="F66" s="861"/>
      <c r="G66" s="960"/>
      <c r="H66" s="862"/>
      <c r="I66" s="960"/>
      <c r="J66" s="960">
        <v>438000</v>
      </c>
      <c r="K66" s="960"/>
      <c r="L66" s="960"/>
      <c r="M66" s="862"/>
      <c r="N66" s="862"/>
      <c r="O66" s="862"/>
      <c r="P66" s="862"/>
      <c r="Q66" s="962"/>
      <c r="R66" s="2302"/>
      <c r="S66" s="2288"/>
      <c r="T66" s="2288"/>
      <c r="U66" s="2303">
        <f t="shared" si="264"/>
        <v>0</v>
      </c>
      <c r="V66" s="961"/>
      <c r="W66" s="617"/>
      <c r="X66" s="862"/>
      <c r="Y66" s="863">
        <f t="shared" si="287"/>
        <v>0</v>
      </c>
      <c r="Z66" s="961"/>
      <c r="AA66" s="617"/>
      <c r="AB66" s="862"/>
      <c r="AC66" s="863">
        <f t="shared" si="265"/>
        <v>0</v>
      </c>
      <c r="AD66" s="961"/>
      <c r="AE66" s="862"/>
      <c r="AF66" s="862"/>
      <c r="AG66" s="1924">
        <f t="shared" si="266"/>
        <v>0</v>
      </c>
      <c r="AH66" s="961"/>
      <c r="AI66" s="617">
        <f>J66</f>
        <v>438000</v>
      </c>
      <c r="AJ66" s="862"/>
      <c r="AK66" s="2196">
        <f t="shared" si="267"/>
        <v>0</v>
      </c>
      <c r="AL66" s="961"/>
      <c r="AM66" s="862"/>
      <c r="AN66" s="862"/>
      <c r="AO66" s="962">
        <f t="shared" si="268"/>
        <v>0</v>
      </c>
      <c r="AP66" s="961"/>
      <c r="AQ66" s="862"/>
      <c r="AR66" s="862"/>
      <c r="AS66" s="962">
        <f t="shared" si="269"/>
        <v>0</v>
      </c>
      <c r="AT66" s="961"/>
      <c r="AU66" s="862"/>
      <c r="AV66" s="862"/>
      <c r="AW66" s="863">
        <f t="shared" si="270"/>
        <v>0</v>
      </c>
      <c r="AX66" s="961"/>
      <c r="AY66" s="862"/>
      <c r="AZ66" s="862"/>
      <c r="BA66" s="863">
        <f t="shared" si="271"/>
        <v>0</v>
      </c>
      <c r="BB66" s="961"/>
      <c r="BC66" s="862"/>
      <c r="BD66" s="862"/>
      <c r="BE66" s="1927">
        <f t="shared" si="272"/>
        <v>0</v>
      </c>
      <c r="BF66" s="961"/>
      <c r="BG66" s="862"/>
      <c r="BH66" s="862"/>
      <c r="BI66" s="1927">
        <f t="shared" si="273"/>
        <v>0</v>
      </c>
      <c r="BJ66" s="961"/>
      <c r="BK66" s="862"/>
      <c r="BL66" s="862"/>
      <c r="BM66" s="1927">
        <f t="shared" si="92"/>
        <v>0</v>
      </c>
      <c r="BN66" s="961"/>
      <c r="BO66" s="1263">
        <v>1</v>
      </c>
      <c r="BP66" s="1263">
        <f t="shared" ref="BP66" si="321">BO66</f>
        <v>1</v>
      </c>
      <c r="BQ66" s="1263">
        <f t="shared" ref="BQ66" si="322">BP66</f>
        <v>1</v>
      </c>
      <c r="BR66" s="1263">
        <f t="shared" ref="BR66" si="323">BQ66</f>
        <v>1</v>
      </c>
      <c r="BS66" s="1263">
        <f t="shared" ref="BS66" si="324">BR66</f>
        <v>1</v>
      </c>
      <c r="BT66" s="1263">
        <f t="shared" ref="BT66" si="325">BS66</f>
        <v>1</v>
      </c>
      <c r="BU66" s="1263">
        <f t="shared" ref="BU66" si="326">BT66</f>
        <v>1</v>
      </c>
      <c r="BV66" s="1263">
        <f t="shared" ref="BV66" si="327">BU66</f>
        <v>1</v>
      </c>
      <c r="BW66" s="1263">
        <f t="shared" ref="BW66" si="328">BV66</f>
        <v>1</v>
      </c>
      <c r="BX66" s="1263">
        <f t="shared" ref="BX66:BZ66" si="329">BW66</f>
        <v>1</v>
      </c>
      <c r="BY66" s="1263">
        <f t="shared" si="329"/>
        <v>1</v>
      </c>
      <c r="BZ66" s="1263">
        <f t="shared" si="329"/>
        <v>1</v>
      </c>
      <c r="CA66" s="1263"/>
      <c r="CB66" s="99">
        <f t="shared" si="275"/>
        <v>0</v>
      </c>
      <c r="CC66" s="99">
        <f t="shared" si="276"/>
        <v>0</v>
      </c>
      <c r="CD66" s="99">
        <f t="shared" si="277"/>
        <v>0</v>
      </c>
      <c r="CE66" s="99">
        <f t="shared" si="278"/>
        <v>0</v>
      </c>
      <c r="CF66" s="99">
        <f t="shared" si="279"/>
        <v>438000</v>
      </c>
      <c r="CG66" s="99">
        <f t="shared" si="280"/>
        <v>0</v>
      </c>
      <c r="CH66" s="99">
        <f t="shared" si="281"/>
        <v>0</v>
      </c>
      <c r="CI66" s="99">
        <f t="shared" si="282"/>
        <v>0</v>
      </c>
      <c r="CJ66" s="99">
        <f t="shared" si="283"/>
        <v>0</v>
      </c>
      <c r="CK66" s="99">
        <f t="shared" si="284"/>
        <v>0</v>
      </c>
      <c r="CL66" s="99">
        <f t="shared" si="285"/>
        <v>0</v>
      </c>
      <c r="CM66" s="99">
        <f t="shared" si="286"/>
        <v>0</v>
      </c>
    </row>
    <row r="67" spans="1:104" s="1099" customFormat="1" ht="14.25" customHeight="1" x14ac:dyDescent="0.2">
      <c r="A67" s="966" t="s">
        <v>4984</v>
      </c>
      <c r="B67" s="1481"/>
      <c r="C67" s="1481"/>
      <c r="D67" s="1481"/>
      <c r="E67" s="1482"/>
      <c r="F67" s="861"/>
      <c r="G67" s="960"/>
      <c r="H67" s="862"/>
      <c r="I67" s="960"/>
      <c r="J67" s="960">
        <v>146000</v>
      </c>
      <c r="K67" s="960"/>
      <c r="L67" s="960"/>
      <c r="M67" s="862"/>
      <c r="N67" s="862"/>
      <c r="O67" s="862"/>
      <c r="P67" s="862"/>
      <c r="Q67" s="962"/>
      <c r="R67" s="2302"/>
      <c r="S67" s="2288"/>
      <c r="T67" s="2288"/>
      <c r="U67" s="2303">
        <f t="shared" si="264"/>
        <v>0</v>
      </c>
      <c r="V67" s="961"/>
      <c r="W67" s="617"/>
      <c r="X67" s="862"/>
      <c r="Y67" s="863">
        <f t="shared" si="287"/>
        <v>0</v>
      </c>
      <c r="Z67" s="961"/>
      <c r="AA67" s="617">
        <f>H67</f>
        <v>0</v>
      </c>
      <c r="AB67" s="862"/>
      <c r="AC67" s="863">
        <f t="shared" si="265"/>
        <v>0</v>
      </c>
      <c r="AD67" s="961"/>
      <c r="AE67" s="862"/>
      <c r="AF67" s="862"/>
      <c r="AG67" s="1924">
        <f t="shared" si="266"/>
        <v>0</v>
      </c>
      <c r="AH67" s="961"/>
      <c r="AI67" s="617">
        <f>J67</f>
        <v>146000</v>
      </c>
      <c r="AJ67" s="862"/>
      <c r="AK67" s="2196">
        <f t="shared" si="267"/>
        <v>0</v>
      </c>
      <c r="AL67" s="961"/>
      <c r="AM67" s="862"/>
      <c r="AN67" s="862"/>
      <c r="AO67" s="962">
        <f t="shared" si="268"/>
        <v>0</v>
      </c>
      <c r="AP67" s="961"/>
      <c r="AQ67" s="862"/>
      <c r="AR67" s="862"/>
      <c r="AS67" s="962">
        <f t="shared" si="269"/>
        <v>0</v>
      </c>
      <c r="AT67" s="961"/>
      <c r="AU67" s="862"/>
      <c r="AV67" s="862"/>
      <c r="AW67" s="863">
        <f t="shared" si="270"/>
        <v>0</v>
      </c>
      <c r="AX67" s="961"/>
      <c r="AY67" s="862"/>
      <c r="AZ67" s="862"/>
      <c r="BA67" s="863">
        <f t="shared" si="271"/>
        <v>0</v>
      </c>
      <c r="BB67" s="961"/>
      <c r="BC67" s="862"/>
      <c r="BD67" s="862"/>
      <c r="BE67" s="1927">
        <f t="shared" si="272"/>
        <v>0</v>
      </c>
      <c r="BF67" s="961"/>
      <c r="BG67" s="862"/>
      <c r="BH67" s="862"/>
      <c r="BI67" s="1927">
        <f t="shared" si="273"/>
        <v>0</v>
      </c>
      <c r="BJ67" s="961"/>
      <c r="BK67" s="862"/>
      <c r="BL67" s="862"/>
      <c r="BM67" s="1927">
        <f t="shared" si="92"/>
        <v>0</v>
      </c>
      <c r="BN67" s="961"/>
      <c r="BO67" s="1263">
        <v>1</v>
      </c>
      <c r="BP67" s="1263">
        <f t="shared" ref="BP67" si="330">BO67</f>
        <v>1</v>
      </c>
      <c r="BQ67" s="1263">
        <f t="shared" ref="BQ67" si="331">BP67</f>
        <v>1</v>
      </c>
      <c r="BR67" s="1263">
        <f t="shared" ref="BR67" si="332">BQ67</f>
        <v>1</v>
      </c>
      <c r="BS67" s="1263">
        <f t="shared" ref="BS67" si="333">BR67</f>
        <v>1</v>
      </c>
      <c r="BT67" s="1263">
        <f t="shared" ref="BT67" si="334">BS67</f>
        <v>1</v>
      </c>
      <c r="BU67" s="1263">
        <f t="shared" ref="BU67" si="335">BT67</f>
        <v>1</v>
      </c>
      <c r="BV67" s="1263">
        <f t="shared" ref="BV67" si="336">BU67</f>
        <v>1</v>
      </c>
      <c r="BW67" s="1263">
        <f t="shared" ref="BW67" si="337">BV67</f>
        <v>1</v>
      </c>
      <c r="BX67" s="1263">
        <f t="shared" ref="BX67:BZ67" si="338">BW67</f>
        <v>1</v>
      </c>
      <c r="BY67" s="1263">
        <f t="shared" si="338"/>
        <v>1</v>
      </c>
      <c r="BZ67" s="1263">
        <f t="shared" si="338"/>
        <v>1</v>
      </c>
      <c r="CA67" s="1263"/>
      <c r="CB67" s="99">
        <f t="shared" si="275"/>
        <v>0</v>
      </c>
      <c r="CC67" s="99">
        <f t="shared" si="276"/>
        <v>0</v>
      </c>
      <c r="CD67" s="99">
        <f t="shared" si="277"/>
        <v>0</v>
      </c>
      <c r="CE67" s="99">
        <f t="shared" si="278"/>
        <v>0</v>
      </c>
      <c r="CF67" s="99">
        <f t="shared" si="279"/>
        <v>146000</v>
      </c>
      <c r="CG67" s="99">
        <f t="shared" si="280"/>
        <v>0</v>
      </c>
      <c r="CH67" s="99">
        <f t="shared" si="281"/>
        <v>0</v>
      </c>
      <c r="CI67" s="99">
        <f t="shared" si="282"/>
        <v>0</v>
      </c>
      <c r="CJ67" s="99">
        <f t="shared" si="283"/>
        <v>0</v>
      </c>
      <c r="CK67" s="99">
        <f t="shared" si="284"/>
        <v>0</v>
      </c>
      <c r="CL67" s="99">
        <f t="shared" si="285"/>
        <v>0</v>
      </c>
      <c r="CM67" s="99">
        <f t="shared" si="286"/>
        <v>0</v>
      </c>
    </row>
    <row r="68" spans="1:104" s="1099" customFormat="1" ht="14.25" customHeight="1" x14ac:dyDescent="0.2">
      <c r="A68" s="966" t="s">
        <v>4985</v>
      </c>
      <c r="B68" s="1481"/>
      <c r="C68" s="1481"/>
      <c r="D68" s="1481"/>
      <c r="E68" s="1482"/>
      <c r="F68" s="861"/>
      <c r="G68" s="960"/>
      <c r="H68" s="862"/>
      <c r="I68" s="960"/>
      <c r="J68" s="960"/>
      <c r="K68" s="960">
        <v>4011000</v>
      </c>
      <c r="L68" s="960"/>
      <c r="M68" s="862"/>
      <c r="N68" s="862"/>
      <c r="O68" s="862"/>
      <c r="P68" s="862"/>
      <c r="Q68" s="962"/>
      <c r="R68" s="2302"/>
      <c r="S68" s="2288"/>
      <c r="T68" s="2288"/>
      <c r="U68" s="2303">
        <f t="shared" si="264"/>
        <v>0</v>
      </c>
      <c r="V68" s="961"/>
      <c r="W68" s="617"/>
      <c r="X68" s="862"/>
      <c r="Y68" s="863">
        <f t="shared" si="287"/>
        <v>0</v>
      </c>
      <c r="Z68" s="961"/>
      <c r="AA68" s="862"/>
      <c r="AB68" s="862"/>
      <c r="AC68" s="863">
        <f t="shared" si="265"/>
        <v>0</v>
      </c>
      <c r="AD68" s="961"/>
      <c r="AE68" s="862"/>
      <c r="AF68" s="862"/>
      <c r="AG68" s="1924">
        <f t="shared" si="266"/>
        <v>0</v>
      </c>
      <c r="AH68" s="961"/>
      <c r="AI68" s="862"/>
      <c r="AJ68" s="862"/>
      <c r="AK68" s="2196">
        <f t="shared" si="267"/>
        <v>0</v>
      </c>
      <c r="AL68" s="961"/>
      <c r="AM68" s="862">
        <f>K68/2</f>
        <v>2005500</v>
      </c>
      <c r="AN68" s="862"/>
      <c r="AO68" s="962">
        <f t="shared" si="268"/>
        <v>2005500</v>
      </c>
      <c r="AP68" s="961"/>
      <c r="AQ68" s="862"/>
      <c r="AR68" s="862"/>
      <c r="AS68" s="962">
        <f t="shared" si="269"/>
        <v>0</v>
      </c>
      <c r="AT68" s="961"/>
      <c r="AU68" s="862"/>
      <c r="AV68" s="862"/>
      <c r="AW68" s="863">
        <f t="shared" si="270"/>
        <v>0</v>
      </c>
      <c r="AX68" s="961"/>
      <c r="AY68" s="862"/>
      <c r="AZ68" s="862"/>
      <c r="BA68" s="863">
        <f t="shared" si="271"/>
        <v>0</v>
      </c>
      <c r="BB68" s="961"/>
      <c r="BC68" s="862"/>
      <c r="BD68" s="862"/>
      <c r="BE68" s="1927">
        <f t="shared" si="272"/>
        <v>0</v>
      </c>
      <c r="BF68" s="961"/>
      <c r="BG68" s="862"/>
      <c r="BH68" s="862"/>
      <c r="BI68" s="1927">
        <f t="shared" si="273"/>
        <v>0</v>
      </c>
      <c r="BJ68" s="961"/>
      <c r="BK68" s="862"/>
      <c r="BL68" s="862"/>
      <c r="BM68" s="1927">
        <f t="shared" si="92"/>
        <v>0</v>
      </c>
      <c r="BN68" s="961"/>
      <c r="BO68" s="1263">
        <v>1</v>
      </c>
      <c r="BP68" s="1263">
        <f t="shared" ref="BP68" si="339">BO68</f>
        <v>1</v>
      </c>
      <c r="BQ68" s="1263">
        <f t="shared" ref="BQ68" si="340">BP68</f>
        <v>1</v>
      </c>
      <c r="BR68" s="1263">
        <f t="shared" ref="BR68" si="341">BQ68</f>
        <v>1</v>
      </c>
      <c r="BS68" s="1263">
        <f t="shared" ref="BS68" si="342">BR68</f>
        <v>1</v>
      </c>
      <c r="BT68" s="1263">
        <f t="shared" ref="BT68" si="343">BS68</f>
        <v>1</v>
      </c>
      <c r="BU68" s="1263">
        <f t="shared" ref="BU68" si="344">BT68</f>
        <v>1</v>
      </c>
      <c r="BV68" s="1263">
        <f t="shared" ref="BV68" si="345">BU68</f>
        <v>1</v>
      </c>
      <c r="BW68" s="1263">
        <f t="shared" ref="BW68" si="346">BV68</f>
        <v>1</v>
      </c>
      <c r="BX68" s="1263">
        <f t="shared" ref="BX68:BZ68" si="347">BW68</f>
        <v>1</v>
      </c>
      <c r="BY68" s="1263">
        <f t="shared" si="347"/>
        <v>1</v>
      </c>
      <c r="BZ68" s="1263">
        <f t="shared" si="347"/>
        <v>1</v>
      </c>
      <c r="CA68" s="1263"/>
      <c r="CB68" s="99">
        <f t="shared" si="275"/>
        <v>0</v>
      </c>
      <c r="CC68" s="99">
        <f t="shared" si="276"/>
        <v>0</v>
      </c>
      <c r="CD68" s="99">
        <f t="shared" si="277"/>
        <v>0</v>
      </c>
      <c r="CE68" s="99">
        <f t="shared" si="278"/>
        <v>0</v>
      </c>
      <c r="CF68" s="99">
        <f t="shared" si="279"/>
        <v>0</v>
      </c>
      <c r="CG68" s="99">
        <f t="shared" si="280"/>
        <v>4011000</v>
      </c>
      <c r="CH68" s="99">
        <f t="shared" si="281"/>
        <v>0</v>
      </c>
      <c r="CI68" s="99">
        <f t="shared" si="282"/>
        <v>0</v>
      </c>
      <c r="CJ68" s="99">
        <f t="shared" si="283"/>
        <v>0</v>
      </c>
      <c r="CK68" s="99">
        <f t="shared" si="284"/>
        <v>0</v>
      </c>
      <c r="CL68" s="99">
        <f t="shared" si="285"/>
        <v>0</v>
      </c>
      <c r="CM68" s="99">
        <f t="shared" si="286"/>
        <v>0</v>
      </c>
    </row>
    <row r="69" spans="1:104" s="1099" customFormat="1" ht="14.25" customHeight="1" x14ac:dyDescent="0.2">
      <c r="A69" s="966" t="s">
        <v>4986</v>
      </c>
      <c r="B69" s="1481" t="s">
        <v>5099</v>
      </c>
      <c r="C69" s="1481" t="s">
        <v>5100</v>
      </c>
      <c r="D69" s="1481"/>
      <c r="E69" s="1482"/>
      <c r="F69" s="861"/>
      <c r="G69" s="960"/>
      <c r="H69" s="862"/>
      <c r="I69" s="960"/>
      <c r="J69" s="960"/>
      <c r="K69" s="960"/>
      <c r="L69" s="960"/>
      <c r="M69" s="862"/>
      <c r="N69" s="862"/>
      <c r="O69" s="862"/>
      <c r="P69" s="862"/>
      <c r="Q69" s="962"/>
      <c r="R69" s="2302"/>
      <c r="S69" s="2288"/>
      <c r="T69" s="2288"/>
      <c r="U69" s="2303">
        <f t="shared" si="264"/>
        <v>0</v>
      </c>
      <c r="V69" s="961"/>
      <c r="W69" s="862"/>
      <c r="X69" s="862"/>
      <c r="Y69" s="863">
        <f t="shared" si="287"/>
        <v>0</v>
      </c>
      <c r="Z69" s="961"/>
      <c r="AA69" s="862"/>
      <c r="AB69" s="862"/>
      <c r="AC69" s="863">
        <f t="shared" si="265"/>
        <v>0</v>
      </c>
      <c r="AD69" s="961"/>
      <c r="AE69" s="862"/>
      <c r="AF69" s="862"/>
      <c r="AG69" s="1924">
        <f t="shared" si="266"/>
        <v>0</v>
      </c>
      <c r="AH69" s="961"/>
      <c r="AI69" s="862"/>
      <c r="AJ69" s="862"/>
      <c r="AK69" s="2196">
        <f t="shared" si="267"/>
        <v>0</v>
      </c>
      <c r="AL69" s="961"/>
      <c r="AM69" s="862">
        <f>K69</f>
        <v>0</v>
      </c>
      <c r="AN69" s="862"/>
      <c r="AO69" s="962">
        <f t="shared" si="268"/>
        <v>0</v>
      </c>
      <c r="AP69" s="961"/>
      <c r="AQ69" s="862"/>
      <c r="AR69" s="862"/>
      <c r="AS69" s="962">
        <f t="shared" si="269"/>
        <v>0</v>
      </c>
      <c r="AT69" s="961"/>
      <c r="AU69" s="862"/>
      <c r="AV69" s="862"/>
      <c r="AW69" s="863">
        <f t="shared" si="270"/>
        <v>0</v>
      </c>
      <c r="AX69" s="961"/>
      <c r="AY69" s="862"/>
      <c r="AZ69" s="862"/>
      <c r="BA69" s="863">
        <f t="shared" si="271"/>
        <v>0</v>
      </c>
      <c r="BB69" s="961"/>
      <c r="BC69" s="862"/>
      <c r="BD69" s="862"/>
      <c r="BE69" s="1927">
        <f t="shared" si="272"/>
        <v>0</v>
      </c>
      <c r="BF69" s="961"/>
      <c r="BG69" s="862"/>
      <c r="BH69" s="862"/>
      <c r="BI69" s="1927">
        <f t="shared" si="273"/>
        <v>0</v>
      </c>
      <c r="BJ69" s="961"/>
      <c r="BK69" s="862"/>
      <c r="BL69" s="862"/>
      <c r="BM69" s="1927">
        <f t="shared" si="92"/>
        <v>0</v>
      </c>
      <c r="BN69" s="961"/>
      <c r="BO69" s="1263">
        <v>1</v>
      </c>
      <c r="BP69" s="1263">
        <f t="shared" ref="BP69:BZ69" si="348">BO69</f>
        <v>1</v>
      </c>
      <c r="BQ69" s="1263">
        <f t="shared" si="348"/>
        <v>1</v>
      </c>
      <c r="BR69" s="1263">
        <f t="shared" si="348"/>
        <v>1</v>
      </c>
      <c r="BS69" s="1263">
        <f t="shared" si="348"/>
        <v>1</v>
      </c>
      <c r="BT69" s="1263">
        <f t="shared" si="348"/>
        <v>1</v>
      </c>
      <c r="BU69" s="1263">
        <f t="shared" si="348"/>
        <v>1</v>
      </c>
      <c r="BV69" s="1263">
        <f t="shared" si="348"/>
        <v>1</v>
      </c>
      <c r="BW69" s="1263">
        <f t="shared" si="348"/>
        <v>1</v>
      </c>
      <c r="BX69" s="1263">
        <f t="shared" si="348"/>
        <v>1</v>
      </c>
      <c r="BY69" s="1263">
        <f t="shared" si="348"/>
        <v>1</v>
      </c>
      <c r="BZ69" s="1263">
        <f t="shared" si="348"/>
        <v>1</v>
      </c>
      <c r="CA69" s="1263"/>
      <c r="CB69" s="99">
        <f t="shared" si="275"/>
        <v>0</v>
      </c>
      <c r="CC69" s="99">
        <f t="shared" si="276"/>
        <v>0</v>
      </c>
      <c r="CD69" s="99">
        <f t="shared" si="277"/>
        <v>0</v>
      </c>
      <c r="CE69" s="99">
        <f t="shared" si="278"/>
        <v>0</v>
      </c>
      <c r="CF69" s="99">
        <f t="shared" si="279"/>
        <v>0</v>
      </c>
      <c r="CG69" s="99">
        <f t="shared" si="280"/>
        <v>0</v>
      </c>
      <c r="CH69" s="99">
        <f t="shared" si="281"/>
        <v>0</v>
      </c>
      <c r="CI69" s="99">
        <f t="shared" si="282"/>
        <v>0</v>
      </c>
      <c r="CJ69" s="99">
        <f t="shared" si="283"/>
        <v>0</v>
      </c>
      <c r="CK69" s="99">
        <f t="shared" si="284"/>
        <v>0</v>
      </c>
      <c r="CL69" s="99">
        <f t="shared" si="285"/>
        <v>0</v>
      </c>
      <c r="CM69" s="99">
        <f t="shared" si="286"/>
        <v>0</v>
      </c>
    </row>
    <row r="70" spans="1:104" s="355" customFormat="1" ht="14.25" customHeight="1" x14ac:dyDescent="0.2">
      <c r="A70" s="966" t="s">
        <v>4987</v>
      </c>
      <c r="B70" s="1480" t="s">
        <v>543</v>
      </c>
      <c r="C70" s="1481" t="s">
        <v>5076</v>
      </c>
      <c r="D70" s="1480"/>
      <c r="E70" s="865">
        <v>1</v>
      </c>
      <c r="F70" s="861">
        <v>18500</v>
      </c>
      <c r="G70" s="862"/>
      <c r="H70" s="862"/>
      <c r="I70" s="960"/>
      <c r="J70" s="960"/>
      <c r="K70" s="960"/>
      <c r="L70" s="960"/>
      <c r="M70" s="862"/>
      <c r="N70" s="862"/>
      <c r="O70" s="862"/>
      <c r="P70" s="862"/>
      <c r="Q70" s="962"/>
      <c r="R70" s="2296"/>
      <c r="S70" s="2297"/>
      <c r="T70" s="2297"/>
      <c r="U70" s="2298">
        <f t="shared" si="264"/>
        <v>18500</v>
      </c>
      <c r="V70" s="621"/>
      <c r="W70" s="617"/>
      <c r="X70" s="617"/>
      <c r="Y70" s="620">
        <f t="shared" si="287"/>
        <v>0</v>
      </c>
      <c r="Z70" s="621"/>
      <c r="AA70" s="617"/>
      <c r="AB70" s="617"/>
      <c r="AC70" s="620">
        <f t="shared" si="265"/>
        <v>0</v>
      </c>
      <c r="AD70" s="621"/>
      <c r="AE70" s="617"/>
      <c r="AF70" s="617"/>
      <c r="AG70" s="1923">
        <f t="shared" si="266"/>
        <v>0</v>
      </c>
      <c r="AH70" s="621"/>
      <c r="AI70" s="617"/>
      <c r="AJ70" s="617"/>
      <c r="AK70" s="1927">
        <f t="shared" si="267"/>
        <v>0</v>
      </c>
      <c r="AL70" s="621"/>
      <c r="AM70" s="617"/>
      <c r="AN70" s="617"/>
      <c r="AO70" s="618">
        <f t="shared" si="268"/>
        <v>0</v>
      </c>
      <c r="AP70" s="621"/>
      <c r="AQ70" s="617"/>
      <c r="AR70" s="617"/>
      <c r="AS70" s="618">
        <f t="shared" si="269"/>
        <v>0</v>
      </c>
      <c r="AT70" s="621"/>
      <c r="AU70" s="617"/>
      <c r="AV70" s="617"/>
      <c r="AW70" s="620">
        <f t="shared" si="270"/>
        <v>0</v>
      </c>
      <c r="AX70" s="621"/>
      <c r="AY70" s="617"/>
      <c r="AZ70" s="617"/>
      <c r="BA70" s="620">
        <f t="shared" si="271"/>
        <v>0</v>
      </c>
      <c r="BB70" s="621"/>
      <c r="BC70" s="617"/>
      <c r="BD70" s="617"/>
      <c r="BE70" s="1927">
        <f t="shared" si="272"/>
        <v>0</v>
      </c>
      <c r="BF70" s="621"/>
      <c r="BG70" s="617"/>
      <c r="BH70" s="617"/>
      <c r="BI70" s="1927">
        <f t="shared" si="273"/>
        <v>0</v>
      </c>
      <c r="BJ70" s="621"/>
      <c r="BK70" s="617"/>
      <c r="BL70" s="617"/>
      <c r="BM70" s="1927">
        <f t="shared" si="92"/>
        <v>0</v>
      </c>
      <c r="BN70" s="621"/>
      <c r="BO70" s="1263">
        <v>1</v>
      </c>
      <c r="BP70" s="1263">
        <f t="shared" ref="BP70:BZ70" si="349">BO70</f>
        <v>1</v>
      </c>
      <c r="BQ70" s="1263">
        <f t="shared" si="349"/>
        <v>1</v>
      </c>
      <c r="BR70" s="1263">
        <f t="shared" si="349"/>
        <v>1</v>
      </c>
      <c r="BS70" s="1263">
        <f t="shared" si="349"/>
        <v>1</v>
      </c>
      <c r="BT70" s="1263">
        <f t="shared" si="349"/>
        <v>1</v>
      </c>
      <c r="BU70" s="1263">
        <f t="shared" si="349"/>
        <v>1</v>
      </c>
      <c r="BV70" s="1263">
        <f t="shared" si="349"/>
        <v>1</v>
      </c>
      <c r="BW70" s="1263">
        <f t="shared" si="349"/>
        <v>1</v>
      </c>
      <c r="BX70" s="1263">
        <f t="shared" si="349"/>
        <v>1</v>
      </c>
      <c r="BY70" s="1263">
        <f t="shared" si="349"/>
        <v>1</v>
      </c>
      <c r="BZ70" s="1263">
        <f t="shared" si="349"/>
        <v>1</v>
      </c>
      <c r="CA70" s="1263"/>
      <c r="CB70" s="99">
        <f t="shared" si="275"/>
        <v>19000</v>
      </c>
      <c r="CC70" s="99">
        <f t="shared" si="276"/>
        <v>0</v>
      </c>
      <c r="CD70" s="99">
        <f t="shared" si="277"/>
        <v>0</v>
      </c>
      <c r="CE70" s="99">
        <f t="shared" si="278"/>
        <v>0</v>
      </c>
      <c r="CF70" s="99">
        <f t="shared" si="279"/>
        <v>0</v>
      </c>
      <c r="CG70" s="99">
        <f t="shared" si="280"/>
        <v>0</v>
      </c>
      <c r="CH70" s="99">
        <f t="shared" si="281"/>
        <v>0</v>
      </c>
      <c r="CI70" s="99">
        <f t="shared" si="282"/>
        <v>0</v>
      </c>
      <c r="CJ70" s="99">
        <f t="shared" si="283"/>
        <v>0</v>
      </c>
      <c r="CK70" s="99">
        <f t="shared" si="284"/>
        <v>0</v>
      </c>
      <c r="CL70" s="99">
        <f t="shared" si="285"/>
        <v>0</v>
      </c>
      <c r="CM70" s="99">
        <f t="shared" si="286"/>
        <v>0</v>
      </c>
    </row>
    <row r="71" spans="1:104" s="355" customFormat="1" ht="14.25" customHeight="1" x14ac:dyDescent="0.2">
      <c r="A71" s="965" t="s">
        <v>2262</v>
      </c>
      <c r="B71" s="1480" t="s">
        <v>16</v>
      </c>
      <c r="C71" s="1481" t="s">
        <v>5076</v>
      </c>
      <c r="D71" s="1480"/>
      <c r="E71" s="865">
        <v>1</v>
      </c>
      <c r="F71" s="861">
        <v>58800</v>
      </c>
      <c r="G71" s="960"/>
      <c r="H71" s="862"/>
      <c r="I71" s="960"/>
      <c r="J71" s="862"/>
      <c r="K71" s="862"/>
      <c r="L71" s="862"/>
      <c r="M71" s="862"/>
      <c r="N71" s="862"/>
      <c r="O71" s="862"/>
      <c r="P71" s="862"/>
      <c r="Q71" s="962"/>
      <c r="R71" s="2296"/>
      <c r="S71" s="2297"/>
      <c r="T71" s="2297"/>
      <c r="U71" s="2298">
        <f t="shared" si="264"/>
        <v>58800</v>
      </c>
      <c r="V71" s="621"/>
      <c r="W71" s="617"/>
      <c r="X71" s="617"/>
      <c r="Y71" s="620">
        <f t="shared" si="287"/>
        <v>0</v>
      </c>
      <c r="Z71" s="621"/>
      <c r="AA71" s="617"/>
      <c r="AB71" s="617"/>
      <c r="AC71" s="620">
        <f t="shared" si="265"/>
        <v>0</v>
      </c>
      <c r="AD71" s="621"/>
      <c r="AE71" s="617"/>
      <c r="AF71" s="617"/>
      <c r="AG71" s="1923">
        <f t="shared" si="266"/>
        <v>0</v>
      </c>
      <c r="AH71" s="621"/>
      <c r="AI71" s="617"/>
      <c r="AJ71" s="617"/>
      <c r="AK71" s="1927">
        <f t="shared" si="267"/>
        <v>0</v>
      </c>
      <c r="AL71" s="621"/>
      <c r="AM71" s="617"/>
      <c r="AN71" s="617"/>
      <c r="AO71" s="618">
        <f t="shared" si="268"/>
        <v>0</v>
      </c>
      <c r="AP71" s="621"/>
      <c r="AQ71" s="617"/>
      <c r="AR71" s="617"/>
      <c r="AS71" s="618">
        <f t="shared" si="269"/>
        <v>0</v>
      </c>
      <c r="AT71" s="621"/>
      <c r="AU71" s="617"/>
      <c r="AV71" s="617"/>
      <c r="AW71" s="620">
        <f t="shared" si="270"/>
        <v>0</v>
      </c>
      <c r="AX71" s="621"/>
      <c r="AY71" s="617"/>
      <c r="AZ71" s="617"/>
      <c r="BA71" s="620">
        <f t="shared" si="271"/>
        <v>0</v>
      </c>
      <c r="BB71" s="621"/>
      <c r="BC71" s="617"/>
      <c r="BD71" s="617"/>
      <c r="BE71" s="1927">
        <f t="shared" si="272"/>
        <v>0</v>
      </c>
      <c r="BF71" s="621"/>
      <c r="BG71" s="617"/>
      <c r="BH71" s="617"/>
      <c r="BI71" s="1927">
        <f t="shared" si="273"/>
        <v>0</v>
      </c>
      <c r="BJ71" s="621"/>
      <c r="BK71" s="617"/>
      <c r="BL71" s="617"/>
      <c r="BM71" s="1927">
        <f t="shared" si="92"/>
        <v>0</v>
      </c>
      <c r="BN71" s="621"/>
      <c r="BO71" s="1263">
        <v>1</v>
      </c>
      <c r="BP71" s="1263">
        <f t="shared" ref="BP71:BZ71" si="350">BO71</f>
        <v>1</v>
      </c>
      <c r="BQ71" s="1263">
        <f t="shared" si="350"/>
        <v>1</v>
      </c>
      <c r="BR71" s="1263">
        <f t="shared" si="350"/>
        <v>1</v>
      </c>
      <c r="BS71" s="1263">
        <f t="shared" si="350"/>
        <v>1</v>
      </c>
      <c r="BT71" s="1263">
        <f t="shared" si="350"/>
        <v>1</v>
      </c>
      <c r="BU71" s="1263">
        <f t="shared" si="350"/>
        <v>1</v>
      </c>
      <c r="BV71" s="1263">
        <f t="shared" si="350"/>
        <v>1</v>
      </c>
      <c r="BW71" s="1263">
        <f t="shared" si="350"/>
        <v>1</v>
      </c>
      <c r="BX71" s="1263">
        <f t="shared" si="350"/>
        <v>1</v>
      </c>
      <c r="BY71" s="1263">
        <f t="shared" si="350"/>
        <v>1</v>
      </c>
      <c r="BZ71" s="1263">
        <f t="shared" si="350"/>
        <v>1</v>
      </c>
      <c r="CA71" s="1263"/>
      <c r="CB71" s="99">
        <f t="shared" si="275"/>
        <v>59000</v>
      </c>
      <c r="CC71" s="99">
        <f t="shared" si="276"/>
        <v>0</v>
      </c>
      <c r="CD71" s="99">
        <f t="shared" si="277"/>
        <v>0</v>
      </c>
      <c r="CE71" s="99">
        <f t="shared" si="278"/>
        <v>0</v>
      </c>
      <c r="CF71" s="99">
        <f t="shared" si="279"/>
        <v>0</v>
      </c>
      <c r="CG71" s="99">
        <f t="shared" si="280"/>
        <v>0</v>
      </c>
      <c r="CH71" s="99">
        <f t="shared" si="281"/>
        <v>0</v>
      </c>
      <c r="CI71" s="99">
        <f t="shared" si="282"/>
        <v>0</v>
      </c>
      <c r="CJ71" s="99">
        <f t="shared" si="283"/>
        <v>0</v>
      </c>
      <c r="CK71" s="99">
        <f t="shared" si="284"/>
        <v>0</v>
      </c>
      <c r="CL71" s="99">
        <f t="shared" si="285"/>
        <v>0</v>
      </c>
      <c r="CM71" s="99">
        <f t="shared" si="286"/>
        <v>0</v>
      </c>
    </row>
    <row r="72" spans="1:104" s="1099" customFormat="1" ht="14.25" customHeight="1" x14ac:dyDescent="0.2">
      <c r="A72" s="966" t="s">
        <v>5607</v>
      </c>
      <c r="B72" s="1481" t="s">
        <v>544</v>
      </c>
      <c r="C72" s="1481" t="s">
        <v>5076</v>
      </c>
      <c r="D72" s="1481"/>
      <c r="E72" s="1482"/>
      <c r="F72" s="861">
        <v>68300</v>
      </c>
      <c r="G72" s="960"/>
      <c r="H72" s="862"/>
      <c r="I72" s="960"/>
      <c r="J72" s="960"/>
      <c r="K72" s="960"/>
      <c r="L72" s="960"/>
      <c r="M72" s="862"/>
      <c r="N72" s="862"/>
      <c r="O72" s="862"/>
      <c r="P72" s="862"/>
      <c r="Q72" s="962"/>
      <c r="R72" s="2302"/>
      <c r="S72" s="2288"/>
      <c r="T72" s="2288"/>
      <c r="U72" s="2303">
        <f t="shared" si="264"/>
        <v>68300</v>
      </c>
      <c r="V72" s="961"/>
      <c r="W72" s="862"/>
      <c r="X72" s="862"/>
      <c r="Y72" s="863"/>
      <c r="Z72" s="961"/>
      <c r="AA72" s="862"/>
      <c r="AB72" s="862"/>
      <c r="AC72" s="863"/>
      <c r="AD72" s="961"/>
      <c r="AE72" s="862"/>
      <c r="AF72" s="862"/>
      <c r="AG72" s="1924"/>
      <c r="AH72" s="961"/>
      <c r="AI72" s="862"/>
      <c r="AJ72" s="862"/>
      <c r="AK72" s="2196"/>
      <c r="AL72" s="961"/>
      <c r="AM72" s="862"/>
      <c r="AN72" s="862"/>
      <c r="AO72" s="962"/>
      <c r="AP72" s="961"/>
      <c r="AQ72" s="862"/>
      <c r="AR72" s="862"/>
      <c r="AS72" s="962"/>
      <c r="AT72" s="961"/>
      <c r="AU72" s="862"/>
      <c r="AV72" s="862"/>
      <c r="AW72" s="863"/>
      <c r="AX72" s="961"/>
      <c r="AY72" s="862"/>
      <c r="AZ72" s="862"/>
      <c r="BA72" s="863"/>
      <c r="BB72" s="961"/>
      <c r="BC72" s="862"/>
      <c r="BD72" s="862"/>
      <c r="BE72" s="1927"/>
      <c r="BF72" s="961"/>
      <c r="BG72" s="862"/>
      <c r="BH72" s="862"/>
      <c r="BI72" s="1927"/>
      <c r="BJ72" s="961"/>
      <c r="BK72" s="862"/>
      <c r="BL72" s="862"/>
      <c r="BM72" s="1927">
        <f t="shared" si="92"/>
        <v>0</v>
      </c>
      <c r="BN72" s="961"/>
      <c r="BO72" s="1263">
        <v>1</v>
      </c>
      <c r="BP72" s="1263">
        <f t="shared" ref="BP72" si="351">BO72</f>
        <v>1</v>
      </c>
      <c r="BQ72" s="1263">
        <f t="shared" ref="BQ72" si="352">BP72</f>
        <v>1</v>
      </c>
      <c r="BR72" s="1263">
        <f t="shared" ref="BR72" si="353">BQ72</f>
        <v>1</v>
      </c>
      <c r="BS72" s="1263">
        <f t="shared" ref="BS72" si="354">BR72</f>
        <v>1</v>
      </c>
      <c r="BT72" s="1263">
        <f t="shared" ref="BT72" si="355">BS72</f>
        <v>1</v>
      </c>
      <c r="BU72" s="1263">
        <f t="shared" ref="BU72" si="356">BT72</f>
        <v>1</v>
      </c>
      <c r="BV72" s="1263">
        <f t="shared" ref="BV72" si="357">BU72</f>
        <v>1</v>
      </c>
      <c r="BW72" s="1263">
        <f t="shared" ref="BW72" si="358">BV72</f>
        <v>1</v>
      </c>
      <c r="BX72" s="1263">
        <f t="shared" ref="BX72" si="359">BW72</f>
        <v>1</v>
      </c>
      <c r="BY72" s="1263">
        <f t="shared" ref="BY72:BZ72" si="360">BX72</f>
        <v>1</v>
      </c>
      <c r="BZ72" s="1263">
        <f t="shared" si="360"/>
        <v>1</v>
      </c>
      <c r="CA72" s="1263"/>
      <c r="CB72" s="99">
        <f t="shared" si="275"/>
        <v>68000</v>
      </c>
      <c r="CC72" s="99">
        <f t="shared" si="276"/>
        <v>0</v>
      </c>
      <c r="CD72" s="99">
        <f t="shared" si="277"/>
        <v>0</v>
      </c>
      <c r="CE72" s="99">
        <f t="shared" si="278"/>
        <v>0</v>
      </c>
      <c r="CF72" s="99">
        <f t="shared" si="279"/>
        <v>0</v>
      </c>
      <c r="CG72" s="99">
        <f t="shared" si="280"/>
        <v>0</v>
      </c>
      <c r="CH72" s="99">
        <f t="shared" si="281"/>
        <v>0</v>
      </c>
      <c r="CI72" s="99">
        <f t="shared" si="282"/>
        <v>0</v>
      </c>
      <c r="CJ72" s="99">
        <f t="shared" si="283"/>
        <v>0</v>
      </c>
      <c r="CK72" s="99">
        <f t="shared" si="284"/>
        <v>0</v>
      </c>
      <c r="CL72" s="99">
        <f t="shared" si="285"/>
        <v>0</v>
      </c>
      <c r="CM72" s="99">
        <f t="shared" si="286"/>
        <v>0</v>
      </c>
    </row>
    <row r="73" spans="1:104" s="355" customFormat="1" ht="14.25" customHeight="1" x14ac:dyDescent="0.2">
      <c r="A73" s="963"/>
      <c r="B73" s="1480"/>
      <c r="C73" s="1480"/>
      <c r="D73" s="1480"/>
      <c r="E73" s="865"/>
      <c r="F73" s="861"/>
      <c r="G73" s="862"/>
      <c r="H73" s="862"/>
      <c r="I73" s="960"/>
      <c r="J73" s="862"/>
      <c r="K73" s="862"/>
      <c r="L73" s="862"/>
      <c r="M73" s="862"/>
      <c r="N73" s="862"/>
      <c r="O73" s="862"/>
      <c r="P73" s="862"/>
      <c r="Q73" s="962"/>
      <c r="R73" s="2296"/>
      <c r="S73" s="2297"/>
      <c r="T73" s="2297"/>
      <c r="U73" s="2303"/>
      <c r="V73" s="621"/>
      <c r="W73" s="617"/>
      <c r="X73" s="617"/>
      <c r="Y73" s="620"/>
      <c r="Z73" s="621"/>
      <c r="AA73" s="617"/>
      <c r="AB73" s="617"/>
      <c r="AC73" s="620"/>
      <c r="AD73" s="621"/>
      <c r="AE73" s="617"/>
      <c r="AF73" s="617"/>
      <c r="AG73" s="1923"/>
      <c r="AH73" s="621"/>
      <c r="AI73" s="617"/>
      <c r="AJ73" s="617"/>
      <c r="AK73" s="1927"/>
      <c r="AL73" s="621"/>
      <c r="AM73" s="617"/>
      <c r="AN73" s="617"/>
      <c r="AO73" s="618"/>
      <c r="AP73" s="621"/>
      <c r="AQ73" s="617"/>
      <c r="AR73" s="617"/>
      <c r="AS73" s="618"/>
      <c r="AT73" s="621"/>
      <c r="AU73" s="617"/>
      <c r="AV73" s="617"/>
      <c r="AW73" s="620"/>
      <c r="AX73" s="621"/>
      <c r="AY73" s="617"/>
      <c r="AZ73" s="617"/>
      <c r="BA73" s="620"/>
      <c r="BB73" s="621"/>
      <c r="BC73" s="617"/>
      <c r="BD73" s="617"/>
      <c r="BE73" s="1927"/>
      <c r="BF73" s="621"/>
      <c r="BG73" s="617"/>
      <c r="BH73" s="617"/>
      <c r="BI73" s="1927"/>
      <c r="BJ73" s="621"/>
      <c r="BK73" s="617"/>
      <c r="BL73" s="617"/>
      <c r="BM73" s="1927"/>
      <c r="BN73" s="621"/>
      <c r="BO73" s="1263"/>
      <c r="BP73" s="1263"/>
      <c r="BQ73" s="1263"/>
      <c r="BR73" s="1263"/>
      <c r="BS73" s="1263"/>
      <c r="BT73" s="1263"/>
      <c r="BU73" s="1263"/>
      <c r="BV73" s="1263"/>
      <c r="BW73" s="1263"/>
      <c r="BX73" s="1263"/>
      <c r="BY73" s="1263"/>
      <c r="BZ73" s="1263"/>
      <c r="CA73" s="1263"/>
      <c r="CB73" s="99"/>
      <c r="CC73" s="99"/>
      <c r="CD73" s="99"/>
      <c r="CE73" s="99"/>
      <c r="CF73" s="99"/>
      <c r="CG73" s="99"/>
      <c r="CH73" s="99"/>
      <c r="CI73" s="99"/>
      <c r="CJ73" s="99"/>
      <c r="CK73" s="99"/>
      <c r="CL73" s="99"/>
      <c r="CM73" s="99"/>
    </row>
    <row r="74" spans="1:104" s="354" customFormat="1" x14ac:dyDescent="0.2">
      <c r="A74" s="2979" t="s">
        <v>3623</v>
      </c>
      <c r="B74" s="2980"/>
      <c r="C74" s="2980"/>
      <c r="D74" s="2980"/>
      <c r="E74" s="2980"/>
      <c r="F74" s="2980"/>
      <c r="G74" s="2980"/>
      <c r="H74" s="2980"/>
      <c r="I74" s="2980"/>
      <c r="J74" s="2980"/>
      <c r="K74" s="2980"/>
      <c r="L74" s="2980"/>
      <c r="M74" s="2980"/>
      <c r="N74" s="2980"/>
      <c r="O74" s="2980"/>
      <c r="P74" s="2980"/>
      <c r="Q74" s="2654"/>
      <c r="R74" s="2304"/>
      <c r="S74" s="2304"/>
      <c r="T74" s="2304"/>
      <c r="U74" s="2304"/>
      <c r="V74" s="1419"/>
      <c r="W74" s="1419"/>
      <c r="X74" s="1419"/>
      <c r="Y74" s="1419"/>
      <c r="Z74" s="1419"/>
      <c r="AA74" s="1419"/>
      <c r="AB74" s="1419"/>
      <c r="AC74" s="1926"/>
      <c r="AD74" s="621"/>
      <c r="AE74" s="617"/>
      <c r="AF74" s="617"/>
      <c r="AG74" s="1925"/>
      <c r="AH74" s="621"/>
      <c r="AI74" s="617"/>
      <c r="AJ74" s="617"/>
      <c r="AK74" s="2197"/>
      <c r="AL74" s="621"/>
      <c r="AM74" s="617"/>
      <c r="AN74" s="617"/>
      <c r="AO74" s="620"/>
      <c r="AP74" s="621"/>
      <c r="AQ74" s="617"/>
      <c r="AR74" s="617"/>
      <c r="AS74" s="620"/>
      <c r="AT74" s="621"/>
      <c r="AU74" s="617"/>
      <c r="AV74" s="617"/>
      <c r="AW74" s="620"/>
      <c r="AX74" s="622"/>
      <c r="AY74" s="617"/>
      <c r="AZ74" s="617"/>
      <c r="BA74" s="620"/>
      <c r="BB74" s="622"/>
      <c r="BC74" s="617"/>
      <c r="BD74" s="617"/>
      <c r="BE74" s="1927"/>
      <c r="BF74" s="622"/>
      <c r="BG74" s="617"/>
      <c r="BH74" s="617"/>
      <c r="BI74" s="1927"/>
      <c r="BJ74" s="622"/>
      <c r="BK74" s="617"/>
      <c r="BL74" s="617"/>
      <c r="BM74" s="1927"/>
      <c r="BN74" s="621"/>
      <c r="BO74" s="1263"/>
      <c r="BP74" s="1263"/>
      <c r="BQ74" s="1263"/>
      <c r="BR74" s="1263"/>
      <c r="BS74" s="1263"/>
      <c r="BT74" s="1263"/>
      <c r="BU74" s="1263"/>
      <c r="BV74" s="1263"/>
      <c r="BW74" s="1263"/>
      <c r="BX74" s="1263"/>
      <c r="BY74" s="1263"/>
      <c r="BZ74" s="1263"/>
      <c r="CA74" s="1263"/>
      <c r="CB74" s="99"/>
      <c r="CC74" s="99"/>
      <c r="CD74" s="99"/>
      <c r="CE74" s="99"/>
      <c r="CF74" s="99"/>
      <c r="CG74" s="99"/>
      <c r="CH74" s="99"/>
      <c r="CI74" s="99"/>
      <c r="CJ74" s="99"/>
      <c r="CK74" s="99"/>
      <c r="CL74" s="99"/>
      <c r="CM74" s="99"/>
      <c r="CN74" s="315"/>
      <c r="CO74" s="315"/>
      <c r="CP74" s="315"/>
      <c r="CQ74" s="315"/>
      <c r="CR74" s="315"/>
      <c r="CS74" s="315"/>
      <c r="CT74" s="315"/>
      <c r="CU74" s="315"/>
      <c r="CV74" s="315"/>
      <c r="CW74" s="315"/>
      <c r="CX74" s="315"/>
      <c r="CY74" s="315"/>
      <c r="CZ74" s="315"/>
    </row>
    <row r="75" spans="1:104" s="354" customFormat="1" ht="13.5" thickBot="1" x14ac:dyDescent="0.25">
      <c r="A75" s="1928"/>
      <c r="B75" s="1929"/>
      <c r="C75" s="1929"/>
      <c r="D75" s="1929"/>
      <c r="E75" s="1930"/>
      <c r="F75" s="629"/>
      <c r="G75" s="972"/>
      <c r="H75" s="629"/>
      <c r="I75" s="629"/>
      <c r="J75" s="972"/>
      <c r="K75" s="972"/>
      <c r="L75" s="972"/>
      <c r="M75" s="972"/>
      <c r="N75" s="629"/>
      <c r="O75" s="629"/>
      <c r="P75" s="629"/>
      <c r="Q75" s="2199"/>
      <c r="R75" s="2305"/>
      <c r="S75" s="2289"/>
      <c r="T75" s="2289"/>
      <c r="U75" s="2306"/>
      <c r="V75" s="632"/>
      <c r="W75" s="632"/>
      <c r="X75" s="632"/>
      <c r="Y75" s="631"/>
      <c r="Z75" s="632"/>
      <c r="AA75" s="629"/>
      <c r="AB75" s="629"/>
      <c r="AC75" s="631"/>
      <c r="AD75" s="632"/>
      <c r="AE75" s="629"/>
      <c r="AF75" s="629"/>
      <c r="AG75" s="2198"/>
      <c r="AH75" s="632"/>
      <c r="AI75" s="629"/>
      <c r="AJ75" s="629"/>
      <c r="AK75" s="2198"/>
      <c r="AL75" s="632"/>
      <c r="AM75" s="629"/>
      <c r="AN75" s="629"/>
      <c r="AO75" s="631"/>
      <c r="AP75" s="632"/>
      <c r="AQ75" s="629"/>
      <c r="AR75" s="629"/>
      <c r="AS75" s="631"/>
      <c r="AT75" s="972"/>
      <c r="AU75" s="972"/>
      <c r="AV75" s="972"/>
      <c r="AW75" s="631"/>
      <c r="AX75" s="633"/>
      <c r="AY75" s="629"/>
      <c r="AZ75" s="629"/>
      <c r="BA75" s="631"/>
      <c r="BB75" s="633"/>
      <c r="BC75" s="629"/>
      <c r="BD75" s="629"/>
      <c r="BE75" s="2198"/>
      <c r="BF75" s="633"/>
      <c r="BG75" s="629"/>
      <c r="BH75" s="629"/>
      <c r="BI75" s="2198"/>
      <c r="BJ75" s="633"/>
      <c r="BK75" s="629"/>
      <c r="BL75" s="629"/>
      <c r="BM75" s="2198"/>
      <c r="BN75" s="621"/>
      <c r="BO75" s="1263"/>
      <c r="BP75" s="1263"/>
      <c r="BQ75" s="1263"/>
      <c r="BR75" s="1263"/>
      <c r="BS75" s="1263"/>
      <c r="BT75" s="1263"/>
      <c r="BU75" s="1263"/>
      <c r="BV75" s="1263"/>
      <c r="BW75" s="1263"/>
      <c r="BX75" s="1263"/>
      <c r="BY75" s="1263"/>
      <c r="BZ75" s="1263"/>
      <c r="CA75" s="1263"/>
      <c r="CB75" s="99"/>
      <c r="CC75" s="99"/>
      <c r="CD75" s="99"/>
      <c r="CE75" s="99"/>
      <c r="CF75" s="99"/>
      <c r="CG75" s="99"/>
      <c r="CH75" s="99"/>
      <c r="CI75" s="99"/>
      <c r="CJ75" s="99"/>
      <c r="CK75" s="99"/>
      <c r="CL75" s="99"/>
      <c r="CM75" s="99"/>
      <c r="CN75" s="315"/>
      <c r="CO75" s="315"/>
      <c r="CP75" s="315"/>
      <c r="CQ75" s="315"/>
      <c r="CR75" s="315"/>
      <c r="CS75" s="315"/>
      <c r="CT75" s="315"/>
      <c r="CU75" s="315"/>
      <c r="CV75" s="315"/>
      <c r="CW75" s="315"/>
      <c r="CX75" s="315"/>
      <c r="CY75" s="315"/>
      <c r="CZ75" s="315"/>
    </row>
    <row r="76" spans="1:104" s="2268" customFormat="1" ht="21" customHeight="1" thickTop="1" thickBot="1" x14ac:dyDescent="0.3">
      <c r="A76" s="2955" t="s">
        <v>5159</v>
      </c>
      <c r="B76" s="2956"/>
      <c r="C76" s="2956"/>
      <c r="D76" s="2956"/>
      <c r="E76" s="2956"/>
      <c r="F76" s="2956"/>
      <c r="G76" s="2956"/>
      <c r="H76" s="2956"/>
      <c r="I76" s="2956"/>
      <c r="J76" s="2956"/>
      <c r="K76" s="2956"/>
      <c r="L76" s="2956"/>
      <c r="M76" s="2956"/>
      <c r="N76" s="2956"/>
      <c r="O76" s="2956"/>
      <c r="P76" s="2956"/>
      <c r="Q76" s="2956"/>
      <c r="R76" s="2956"/>
      <c r="S76" s="2956"/>
      <c r="T76" s="2956"/>
      <c r="U76" s="2956"/>
      <c r="V76" s="2956"/>
      <c r="W76" s="2956"/>
      <c r="X76" s="2956"/>
      <c r="Y76" s="2956"/>
      <c r="Z76" s="2956"/>
      <c r="AA76" s="2956"/>
      <c r="AB76" s="2956"/>
      <c r="AC76" s="2956"/>
      <c r="AD76" s="2956"/>
      <c r="AE76" s="2956"/>
      <c r="AF76" s="2956"/>
      <c r="AG76" s="2956"/>
      <c r="AH76" s="2956"/>
      <c r="AI76" s="2956"/>
      <c r="AJ76" s="2956"/>
      <c r="AK76" s="2957"/>
      <c r="AL76" s="2972"/>
      <c r="AM76" s="2973"/>
      <c r="AN76" s="2973"/>
      <c r="AO76" s="2973"/>
      <c r="AP76" s="2973"/>
      <c r="AQ76" s="2973"/>
      <c r="AR76" s="2973"/>
      <c r="AS76" s="2973"/>
      <c r="AT76" s="2973"/>
      <c r="AU76" s="2973"/>
      <c r="AV76" s="2973"/>
      <c r="AW76" s="2973"/>
      <c r="AX76" s="2973"/>
      <c r="AY76" s="2973"/>
      <c r="AZ76" s="2973"/>
      <c r="BA76" s="2973"/>
      <c r="BB76" s="2973"/>
      <c r="BC76" s="2973"/>
      <c r="BD76" s="2973"/>
      <c r="BE76" s="2973"/>
      <c r="BF76" s="2973"/>
      <c r="BG76" s="2973"/>
      <c r="BH76" s="2973"/>
      <c r="BI76" s="2973"/>
      <c r="BJ76" s="2973"/>
      <c r="BK76" s="2973"/>
      <c r="BL76" s="2973"/>
      <c r="BM76" s="2974"/>
      <c r="BN76" s="1766"/>
      <c r="BO76" s="1263"/>
      <c r="BP76" s="1263"/>
      <c r="BQ76" s="1263"/>
      <c r="BR76" s="1263"/>
      <c r="BS76" s="1263"/>
      <c r="BT76" s="1263"/>
      <c r="BU76" s="1263"/>
      <c r="BV76" s="1263"/>
      <c r="BW76" s="1263"/>
      <c r="BX76" s="1263"/>
      <c r="BY76" s="1263"/>
      <c r="BZ76" s="1263"/>
      <c r="CA76" s="1263"/>
      <c r="CB76" s="99"/>
      <c r="CC76" s="99"/>
      <c r="CD76" s="99"/>
      <c r="CE76" s="99"/>
      <c r="CF76" s="99"/>
      <c r="CG76" s="99"/>
      <c r="CH76" s="99"/>
      <c r="CI76" s="99"/>
      <c r="CJ76" s="99"/>
      <c r="CK76" s="99"/>
      <c r="CL76" s="99"/>
      <c r="CM76" s="99"/>
    </row>
    <row r="77" spans="1:104" s="354" customFormat="1" ht="16.5" customHeight="1" thickBot="1" x14ac:dyDescent="0.25">
      <c r="A77" s="973" t="s">
        <v>1209</v>
      </c>
      <c r="B77" s="1484"/>
      <c r="C77" s="1484"/>
      <c r="D77" s="1484"/>
      <c r="E77" s="864"/>
      <c r="F77" s="2970" t="str">
        <f>F2</f>
        <v>Expenditure Year</v>
      </c>
      <c r="G77" s="2962"/>
      <c r="H77" s="2962"/>
      <c r="I77" s="2962"/>
      <c r="J77" s="2962"/>
      <c r="K77" s="2962"/>
      <c r="L77" s="2962"/>
      <c r="M77" s="2962"/>
      <c r="N77" s="2962"/>
      <c r="O77" s="2962"/>
      <c r="P77" s="2962"/>
      <c r="Q77" s="2963"/>
      <c r="R77" s="2975" t="str">
        <f>R2</f>
        <v>Funding Sources 2015/16</v>
      </c>
      <c r="S77" s="2976"/>
      <c r="T77" s="2976"/>
      <c r="U77" s="2977"/>
      <c r="V77" s="2970" t="str">
        <f>V2</f>
        <v>Funding Sources 2016/17</v>
      </c>
      <c r="W77" s="2962"/>
      <c r="X77" s="2962"/>
      <c r="Y77" s="2963"/>
      <c r="Z77" s="2970" t="str">
        <f>Z2</f>
        <v>Funding Sources 2017/18</v>
      </c>
      <c r="AA77" s="2962"/>
      <c r="AB77" s="2962"/>
      <c r="AC77" s="2963"/>
      <c r="AD77" s="2962" t="str">
        <f>AD2</f>
        <v>Funding Source 2018/19</v>
      </c>
      <c r="AE77" s="2962"/>
      <c r="AF77" s="2962"/>
      <c r="AG77" s="2963"/>
      <c r="AH77" s="2962" t="str">
        <f>AH2</f>
        <v>Funding Source 2019/20</v>
      </c>
      <c r="AI77" s="2962"/>
      <c r="AJ77" s="2962"/>
      <c r="AK77" s="2965"/>
      <c r="AL77" s="2962" t="str">
        <f>AL2</f>
        <v>Funding Source 2020/21</v>
      </c>
      <c r="AM77" s="2962"/>
      <c r="AN77" s="2962"/>
      <c r="AO77" s="2963"/>
      <c r="AP77" s="2970" t="str">
        <f>AP2</f>
        <v>Funding Source 2021/22</v>
      </c>
      <c r="AQ77" s="2962"/>
      <c r="AR77" s="2962"/>
      <c r="AS77" s="2963"/>
      <c r="AT77" s="2970" t="str">
        <f>AT2</f>
        <v>Funding Source 2022/23</v>
      </c>
      <c r="AU77" s="2962"/>
      <c r="AV77" s="2962"/>
      <c r="AW77" s="2963"/>
      <c r="AX77" s="2970" t="str">
        <f>AX2</f>
        <v>Funding Source 2023/24</v>
      </c>
      <c r="AY77" s="2962"/>
      <c r="AZ77" s="2962"/>
      <c r="BA77" s="2963"/>
      <c r="BB77" s="2970" t="str">
        <f>BB2</f>
        <v>Funding Source 2024/25</v>
      </c>
      <c r="BC77" s="2962"/>
      <c r="BD77" s="2962"/>
      <c r="BE77" s="2963"/>
      <c r="BF77" s="2970" t="str">
        <f>BF2</f>
        <v>Funding Source 2025/26</v>
      </c>
      <c r="BG77" s="2962"/>
      <c r="BH77" s="2962"/>
      <c r="BI77" s="2963"/>
      <c r="BJ77" s="2970" t="str">
        <f>BJ2</f>
        <v>Funding Source 2026/27</v>
      </c>
      <c r="BK77" s="2962"/>
      <c r="BL77" s="2962"/>
      <c r="BM77" s="2965"/>
      <c r="BN77" s="1764"/>
      <c r="BO77" s="1263"/>
      <c r="BP77" s="1263"/>
      <c r="BQ77" s="1263"/>
      <c r="BR77" s="1263"/>
      <c r="BS77" s="1263"/>
      <c r="BT77" s="1263"/>
      <c r="BU77" s="1263"/>
      <c r="BV77" s="1263"/>
      <c r="BW77" s="1263"/>
      <c r="BX77" s="1263"/>
      <c r="BY77" s="1263"/>
      <c r="BZ77" s="1263"/>
      <c r="CA77" s="1263"/>
      <c r="CB77" s="99"/>
      <c r="CC77" s="99"/>
      <c r="CD77" s="99"/>
      <c r="CE77" s="99"/>
      <c r="CF77" s="99"/>
      <c r="CG77" s="99"/>
      <c r="CH77" s="99"/>
      <c r="CI77" s="99"/>
      <c r="CJ77" s="99"/>
      <c r="CK77" s="99"/>
      <c r="CL77" s="99"/>
      <c r="CM77" s="99"/>
    </row>
    <row r="78" spans="1:104" s="354" customFormat="1" ht="15" customHeight="1" thickBot="1" x14ac:dyDescent="0.25">
      <c r="A78" s="974"/>
      <c r="B78" s="1485"/>
      <c r="C78" s="1485"/>
      <c r="D78" s="1485"/>
      <c r="E78" s="975"/>
      <c r="F78" s="290" t="str">
        <f t="shared" ref="F78:P78" si="361">F3</f>
        <v>2015/16</v>
      </c>
      <c r="G78" s="290" t="str">
        <f t="shared" si="361"/>
        <v>2016/17</v>
      </c>
      <c r="H78" s="702" t="str">
        <f t="shared" si="361"/>
        <v>2017/18</v>
      </c>
      <c r="I78" s="976" t="str">
        <f t="shared" si="361"/>
        <v>2018/19</v>
      </c>
      <c r="J78" s="702" t="str">
        <f t="shared" si="361"/>
        <v>2019/20</v>
      </c>
      <c r="K78" s="702" t="str">
        <f t="shared" si="361"/>
        <v>2020/21</v>
      </c>
      <c r="L78" s="702" t="str">
        <f t="shared" si="361"/>
        <v>2021/22</v>
      </c>
      <c r="M78" s="702" t="str">
        <f t="shared" si="361"/>
        <v>2022/23</v>
      </c>
      <c r="N78" s="702" t="str">
        <f t="shared" si="361"/>
        <v>2023/24</v>
      </c>
      <c r="O78" s="702" t="str">
        <f t="shared" si="361"/>
        <v>2024/25</v>
      </c>
      <c r="P78" s="702" t="str">
        <f t="shared" si="361"/>
        <v>2025/26</v>
      </c>
      <c r="Q78" s="1767" t="str">
        <f t="shared" ref="Q78" si="362">Q3</f>
        <v>2026/27</v>
      </c>
      <c r="R78" s="2294" t="str">
        <f>R3</f>
        <v>Grants</v>
      </c>
      <c r="S78" s="2287" t="str">
        <f>S3</f>
        <v>Sect 64</v>
      </c>
      <c r="T78" s="2287" t="str">
        <f>T3</f>
        <v>Loans</v>
      </c>
      <c r="U78" s="2295" t="str">
        <f>U3</f>
        <v>Reserves</v>
      </c>
      <c r="V78" s="2249" t="str">
        <f>V3</f>
        <v>Grants</v>
      </c>
      <c r="W78" s="290" t="str">
        <f>W3</f>
        <v>Sect 64</v>
      </c>
      <c r="X78" s="290" t="str">
        <f>X3</f>
        <v>Loans</v>
      </c>
      <c r="Y78" s="2762" t="str">
        <f>Y3</f>
        <v>Reserves</v>
      </c>
      <c r="Z78" s="2651" t="str">
        <f>Z3</f>
        <v>Grants</v>
      </c>
      <c r="AA78" s="290" t="str">
        <f>AA3</f>
        <v>Sect 64</v>
      </c>
      <c r="AB78" s="290" t="str">
        <f>AB3</f>
        <v>Loans</v>
      </c>
      <c r="AC78" s="2652" t="str">
        <f>AC3</f>
        <v>Reserves</v>
      </c>
      <c r="AD78" s="2651" t="str">
        <f>AD3</f>
        <v>Grants</v>
      </c>
      <c r="AE78" s="290" t="str">
        <f>AE3</f>
        <v>Sect 64</v>
      </c>
      <c r="AF78" s="290" t="str">
        <f>AF3</f>
        <v>Loans</v>
      </c>
      <c r="AG78" s="2652" t="str">
        <f>AG3</f>
        <v>Reserves</v>
      </c>
      <c r="AH78" s="2651" t="str">
        <f>AH3</f>
        <v>Grants</v>
      </c>
      <c r="AI78" s="290" t="str">
        <f>AI3</f>
        <v>Sect 64</v>
      </c>
      <c r="AJ78" s="290" t="str">
        <f>AJ3</f>
        <v>Loans</v>
      </c>
      <c r="AK78" s="291" t="str">
        <f>AK3</f>
        <v>Reserves</v>
      </c>
      <c r="AL78" s="2651" t="str">
        <f>AL3</f>
        <v>Grants</v>
      </c>
      <c r="AM78" s="290" t="str">
        <f>AM3</f>
        <v>Sect 64</v>
      </c>
      <c r="AN78" s="290" t="str">
        <f>AN3</f>
        <v>Loans</v>
      </c>
      <c r="AO78" s="2652" t="str">
        <f>AO3</f>
        <v>Reserves</v>
      </c>
      <c r="AP78" s="2249" t="str">
        <f>AP3</f>
        <v>Grants</v>
      </c>
      <c r="AQ78" s="290" t="str">
        <f>AQ3</f>
        <v>Sect 64</v>
      </c>
      <c r="AR78" s="290" t="str">
        <f>AR3</f>
        <v>Loans</v>
      </c>
      <c r="AS78" s="2652" t="str">
        <f>AS3</f>
        <v>Reserves</v>
      </c>
      <c r="AT78" s="2651" t="str">
        <f>AT3</f>
        <v>Grants</v>
      </c>
      <c r="AU78" s="290" t="str">
        <f>AU3</f>
        <v>Sect 64</v>
      </c>
      <c r="AV78" s="290" t="str">
        <f>AV3</f>
        <v>Loans</v>
      </c>
      <c r="AW78" s="2652" t="str">
        <f>AW3</f>
        <v>Reserves</v>
      </c>
      <c r="AX78" s="2249" t="str">
        <f>AX3</f>
        <v>Grants</v>
      </c>
      <c r="AY78" s="290" t="str">
        <f>AY3</f>
        <v>Sect 64</v>
      </c>
      <c r="AZ78" s="290" t="str">
        <f>AZ3</f>
        <v>Loans</v>
      </c>
      <c r="BA78" s="2652" t="str">
        <f>BA3</f>
        <v>Reserves</v>
      </c>
      <c r="BB78" s="2249" t="str">
        <f>BB3</f>
        <v>Grants</v>
      </c>
      <c r="BC78" s="290" t="str">
        <f>BC3</f>
        <v>Sect 64</v>
      </c>
      <c r="BD78" s="290" t="str">
        <f>BD3</f>
        <v>Loans</v>
      </c>
      <c r="BE78" s="2652" t="str">
        <f>BE3</f>
        <v>Reserves</v>
      </c>
      <c r="BF78" s="2249" t="str">
        <f>BF3</f>
        <v>Grants</v>
      </c>
      <c r="BG78" s="290" t="str">
        <f>BG3</f>
        <v>Sect 64</v>
      </c>
      <c r="BH78" s="290" t="str">
        <f>BH3</f>
        <v>Loans</v>
      </c>
      <c r="BI78" s="2652" t="str">
        <f>BI3</f>
        <v>Reserves</v>
      </c>
      <c r="BJ78" s="2249" t="str">
        <f>BJ3</f>
        <v>Grants</v>
      </c>
      <c r="BK78" s="290" t="str">
        <f>BK3</f>
        <v>Sect 64</v>
      </c>
      <c r="BL78" s="290" t="str">
        <f>BL3</f>
        <v>Loans</v>
      </c>
      <c r="BM78" s="291" t="str">
        <f>BM3</f>
        <v>Reserves</v>
      </c>
      <c r="BN78" s="288"/>
      <c r="BO78" s="1263"/>
      <c r="BP78" s="1263"/>
      <c r="BQ78" s="1263"/>
      <c r="BR78" s="1263"/>
      <c r="BS78" s="1263"/>
      <c r="BT78" s="1263"/>
      <c r="BU78" s="1263"/>
      <c r="BV78" s="1263"/>
      <c r="BW78" s="1263"/>
      <c r="BX78" s="1263"/>
      <c r="BY78" s="1263"/>
      <c r="BZ78" s="1263"/>
      <c r="CA78" s="1263"/>
      <c r="CB78" s="99"/>
      <c r="CC78" s="99"/>
      <c r="CD78" s="99"/>
      <c r="CE78" s="99"/>
      <c r="CF78" s="99"/>
      <c r="CG78" s="99"/>
      <c r="CH78" s="99"/>
      <c r="CI78" s="99"/>
      <c r="CJ78" s="99"/>
      <c r="CK78" s="99"/>
      <c r="CL78" s="99"/>
      <c r="CM78" s="99"/>
    </row>
    <row r="79" spans="1:104" s="355" customFormat="1" ht="14.25" customHeight="1" x14ac:dyDescent="0.2">
      <c r="A79" s="966"/>
      <c r="B79" s="1480"/>
      <c r="C79" s="1480"/>
      <c r="D79" s="1480"/>
      <c r="E79" s="865"/>
      <c r="F79" s="862"/>
      <c r="G79" s="862"/>
      <c r="H79" s="862"/>
      <c r="I79" s="862"/>
      <c r="J79" s="862"/>
      <c r="K79" s="862"/>
      <c r="L79" s="960"/>
      <c r="M79" s="862"/>
      <c r="N79" s="862"/>
      <c r="O79" s="862"/>
      <c r="P79" s="862"/>
      <c r="Q79" s="863"/>
      <c r="R79" s="2296"/>
      <c r="S79" s="2297"/>
      <c r="T79" s="2297"/>
      <c r="U79" s="2298"/>
      <c r="V79" s="621"/>
      <c r="W79" s="617"/>
      <c r="X79" s="617"/>
      <c r="Y79" s="620"/>
      <c r="Z79" s="621"/>
      <c r="AA79" s="617"/>
      <c r="AB79" s="617"/>
      <c r="AC79" s="620"/>
      <c r="AD79" s="621"/>
      <c r="AE79" s="617"/>
      <c r="AF79" s="617"/>
      <c r="AG79" s="618"/>
      <c r="AH79" s="621"/>
      <c r="AI79" s="617"/>
      <c r="AJ79" s="617"/>
      <c r="AK79" s="1927"/>
      <c r="AL79" s="621"/>
      <c r="AM79" s="617"/>
      <c r="AN79" s="617"/>
      <c r="AO79" s="618"/>
      <c r="AP79" s="621"/>
      <c r="AQ79" s="617"/>
      <c r="AR79" s="617"/>
      <c r="AS79" s="618"/>
      <c r="AT79" s="621"/>
      <c r="AU79" s="617"/>
      <c r="AV79" s="617"/>
      <c r="AW79" s="620"/>
      <c r="AX79" s="621"/>
      <c r="AY79" s="617"/>
      <c r="AZ79" s="617"/>
      <c r="BA79" s="620"/>
      <c r="BB79" s="621"/>
      <c r="BC79" s="617"/>
      <c r="BD79" s="617"/>
      <c r="BE79" s="620"/>
      <c r="BF79" s="621"/>
      <c r="BG79" s="617"/>
      <c r="BH79" s="617"/>
      <c r="BI79" s="620"/>
      <c r="BJ79" s="621"/>
      <c r="BK79" s="617"/>
      <c r="BL79" s="617"/>
      <c r="BM79" s="1927"/>
      <c r="BN79" s="621"/>
      <c r="BO79" s="1263"/>
      <c r="BP79" s="1263"/>
      <c r="BQ79" s="1263"/>
      <c r="BR79" s="1263"/>
      <c r="BS79" s="1263"/>
      <c r="BT79" s="1263"/>
      <c r="BU79" s="1263"/>
      <c r="BV79" s="1263"/>
      <c r="BW79" s="1263"/>
      <c r="BX79" s="1263"/>
      <c r="BY79" s="1263"/>
      <c r="BZ79" s="1263"/>
      <c r="CA79" s="1263"/>
      <c r="CB79" s="78"/>
      <c r="CC79" s="78"/>
      <c r="CD79" s="78"/>
      <c r="CE79" s="78"/>
      <c r="CF79" s="78"/>
      <c r="CG79" s="78"/>
      <c r="CH79" s="78"/>
      <c r="CI79" s="78"/>
      <c r="CJ79" s="78"/>
      <c r="CK79" s="78"/>
      <c r="CL79" s="78"/>
      <c r="CM79" s="78"/>
    </row>
    <row r="80" spans="1:104" s="355" customFormat="1" ht="14.25" customHeight="1" x14ac:dyDescent="0.2">
      <c r="A80" s="1151" t="s">
        <v>3355</v>
      </c>
      <c r="B80" s="1480"/>
      <c r="C80" s="1480"/>
      <c r="D80" s="1480"/>
      <c r="E80" s="865"/>
      <c r="F80" s="862"/>
      <c r="G80" s="862"/>
      <c r="H80" s="862"/>
      <c r="I80" s="960"/>
      <c r="J80" s="862"/>
      <c r="K80" s="862"/>
      <c r="L80" s="862"/>
      <c r="M80" s="862"/>
      <c r="N80" s="862"/>
      <c r="O80" s="862"/>
      <c r="P80" s="862"/>
      <c r="Q80" s="863"/>
      <c r="R80" s="2296"/>
      <c r="S80" s="2297"/>
      <c r="T80" s="2297"/>
      <c r="U80" s="2298"/>
      <c r="V80" s="621"/>
      <c r="W80" s="617"/>
      <c r="X80" s="617"/>
      <c r="Y80" s="620"/>
      <c r="Z80" s="621"/>
      <c r="AA80" s="617"/>
      <c r="AB80" s="617"/>
      <c r="AC80" s="620"/>
      <c r="AD80" s="621"/>
      <c r="AE80" s="617"/>
      <c r="AF80" s="617"/>
      <c r="AG80" s="618"/>
      <c r="AH80" s="621"/>
      <c r="AI80" s="617"/>
      <c r="AJ80" s="617"/>
      <c r="AK80" s="1927"/>
      <c r="AL80" s="621"/>
      <c r="AM80" s="617"/>
      <c r="AN80" s="617"/>
      <c r="AO80" s="618"/>
      <c r="AP80" s="621"/>
      <c r="AQ80" s="617"/>
      <c r="AR80" s="617"/>
      <c r="AS80" s="618"/>
      <c r="AT80" s="621"/>
      <c r="AU80" s="617"/>
      <c r="AV80" s="617"/>
      <c r="AW80" s="620"/>
      <c r="AX80" s="621"/>
      <c r="AY80" s="617"/>
      <c r="AZ80" s="617"/>
      <c r="BA80" s="620"/>
      <c r="BB80" s="621"/>
      <c r="BC80" s="617"/>
      <c r="BD80" s="617"/>
      <c r="BE80" s="620"/>
      <c r="BF80" s="621"/>
      <c r="BG80" s="617"/>
      <c r="BH80" s="617"/>
      <c r="BI80" s="620"/>
      <c r="BJ80" s="621"/>
      <c r="BK80" s="617"/>
      <c r="BL80" s="617"/>
      <c r="BM80" s="1927"/>
      <c r="BN80" s="621"/>
      <c r="BO80" s="1263"/>
      <c r="BP80" s="1263"/>
      <c r="BQ80" s="1263"/>
      <c r="BR80" s="1263"/>
      <c r="BS80" s="1263"/>
      <c r="BT80" s="1263"/>
      <c r="BU80" s="1263"/>
      <c r="BV80" s="1263"/>
      <c r="BW80" s="1263"/>
      <c r="BX80" s="1263"/>
      <c r="BY80" s="1263"/>
      <c r="BZ80" s="1263"/>
      <c r="CA80" s="1263"/>
      <c r="CB80" s="78"/>
      <c r="CC80" s="78"/>
      <c r="CD80" s="78"/>
      <c r="CE80" s="78"/>
      <c r="CF80" s="78"/>
      <c r="CG80" s="78"/>
      <c r="CH80" s="78"/>
      <c r="CI80" s="78"/>
      <c r="CJ80" s="78"/>
      <c r="CK80" s="78"/>
      <c r="CL80" s="78"/>
      <c r="CM80" s="78"/>
    </row>
    <row r="81" spans="1:91" s="355" customFormat="1" ht="14.25" customHeight="1" x14ac:dyDescent="0.2">
      <c r="A81" s="965" t="s">
        <v>4988</v>
      </c>
      <c r="B81" s="1481" t="s">
        <v>5101</v>
      </c>
      <c r="C81" s="1481" t="s">
        <v>4144</v>
      </c>
      <c r="D81" s="1481" t="s">
        <v>4144</v>
      </c>
      <c r="E81" s="865">
        <v>1</v>
      </c>
      <c r="F81" s="862"/>
      <c r="G81" s="862">
        <f>200000-10000</f>
        <v>190000</v>
      </c>
      <c r="H81" s="862">
        <v>200000</v>
      </c>
      <c r="I81" s="862">
        <v>461000</v>
      </c>
      <c r="J81" s="862">
        <v>475000</v>
      </c>
      <c r="K81" s="862">
        <v>489000</v>
      </c>
      <c r="L81" s="862">
        <v>504000</v>
      </c>
      <c r="M81" s="862">
        <v>519000</v>
      </c>
      <c r="N81" s="862">
        <v>535000</v>
      </c>
      <c r="O81" s="862">
        <v>551000</v>
      </c>
      <c r="P81" s="862">
        <v>565000</v>
      </c>
      <c r="Q81" s="863">
        <v>580000</v>
      </c>
      <c r="R81" s="2296"/>
      <c r="S81" s="2297"/>
      <c r="T81" s="2297"/>
      <c r="U81" s="2298">
        <f t="shared" ref="U81:U83" si="363">$F81-R81-S81-T81</f>
        <v>0</v>
      </c>
      <c r="V81" s="621"/>
      <c r="W81" s="617"/>
      <c r="X81" s="617"/>
      <c r="Y81" s="620">
        <f t="shared" ref="Y81:Y83" si="364">$G81-V81-W81-X81</f>
        <v>190000</v>
      </c>
      <c r="Z81" s="621"/>
      <c r="AA81" s="617"/>
      <c r="AB81" s="617"/>
      <c r="AC81" s="620">
        <f t="shared" ref="AC81" si="365">$H81-Z81-AA81-AB81</f>
        <v>200000</v>
      </c>
      <c r="AD81" s="621"/>
      <c r="AE81" s="617"/>
      <c r="AF81" s="617"/>
      <c r="AG81" s="618">
        <f t="shared" ref="AG81" si="366">$I81-AD81-AE81-AF81</f>
        <v>461000</v>
      </c>
      <c r="AH81" s="621"/>
      <c r="AI81" s="617"/>
      <c r="AJ81" s="617"/>
      <c r="AK81" s="1927">
        <f t="shared" ref="AK81" si="367">$J81-AH81-AI81-AJ81</f>
        <v>475000</v>
      </c>
      <c r="AL81" s="621"/>
      <c r="AM81" s="617"/>
      <c r="AN81" s="617"/>
      <c r="AO81" s="618">
        <f t="shared" ref="AO81" si="368">$K81-AL81-AM81-AN81</f>
        <v>489000</v>
      </c>
      <c r="AP81" s="621"/>
      <c r="AQ81" s="617"/>
      <c r="AR81" s="617"/>
      <c r="AS81" s="618">
        <f t="shared" ref="AS81" si="369">$L81-AP81-AQ81-AR81</f>
        <v>504000</v>
      </c>
      <c r="AT81" s="621"/>
      <c r="AU81" s="617"/>
      <c r="AV81" s="617"/>
      <c r="AW81" s="620">
        <f t="shared" ref="AW81" si="370">$M81-AT81-AU81-AV81</f>
        <v>519000</v>
      </c>
      <c r="AX81" s="621"/>
      <c r="AY81" s="617"/>
      <c r="AZ81" s="617"/>
      <c r="BA81" s="620">
        <f t="shared" ref="BA81" si="371">$N81-AX81-AY81-AZ81</f>
        <v>535000</v>
      </c>
      <c r="BB81" s="621"/>
      <c r="BC81" s="617"/>
      <c r="BD81" s="617"/>
      <c r="BE81" s="620">
        <f t="shared" ref="BE81" si="372">$O81-BB81-BC81-BD81</f>
        <v>551000</v>
      </c>
      <c r="BF81" s="621"/>
      <c r="BG81" s="617"/>
      <c r="BH81" s="617"/>
      <c r="BI81" s="1927">
        <f t="shared" ref="BI81" si="373">$P81-BF81-BG81-BH81</f>
        <v>565000</v>
      </c>
      <c r="BJ81" s="621"/>
      <c r="BK81" s="617"/>
      <c r="BL81" s="617"/>
      <c r="BM81" s="1927">
        <f t="shared" ref="BM81:BM119" si="374">$Q81-BJ81-BK81-BL81</f>
        <v>580000</v>
      </c>
      <c r="BN81" s="621"/>
      <c r="BO81" s="1263">
        <v>1</v>
      </c>
      <c r="BP81" s="1263">
        <f t="shared" ref="BP81:BP83" si="375">BO81</f>
        <v>1</v>
      </c>
      <c r="BQ81" s="1263">
        <f t="shared" ref="BQ81:BQ83" si="376">BP81</f>
        <v>1</v>
      </c>
      <c r="BR81" s="1263">
        <f t="shared" ref="BR81:BR83" si="377">BQ81</f>
        <v>1</v>
      </c>
      <c r="BS81" s="1263">
        <f t="shared" ref="BS81:BS83" si="378">BR81</f>
        <v>1</v>
      </c>
      <c r="BT81" s="1263">
        <f t="shared" ref="BT81:BT83" si="379">BS81</f>
        <v>1</v>
      </c>
      <c r="BU81" s="1263">
        <f t="shared" ref="BU81:BU83" si="380">BT81</f>
        <v>1</v>
      </c>
      <c r="BV81" s="1263">
        <f t="shared" ref="BV81:BV83" si="381">BU81</f>
        <v>1</v>
      </c>
      <c r="BW81" s="1263">
        <f t="shared" ref="BW81:BW83" si="382">BV81</f>
        <v>1</v>
      </c>
      <c r="BX81" s="1263">
        <f t="shared" ref="BX81:BX83" si="383">BW81</f>
        <v>1</v>
      </c>
      <c r="BY81" s="1263">
        <f t="shared" ref="BY81:BZ83" si="384">BX81</f>
        <v>1</v>
      </c>
      <c r="BZ81" s="1263">
        <f t="shared" si="384"/>
        <v>1</v>
      </c>
      <c r="CA81" s="1263"/>
      <c r="CB81" s="99">
        <f t="shared" ref="CB81:CM83" si="385">ROUND(BO81*F81,-3)</f>
        <v>0</v>
      </c>
      <c r="CC81" s="99">
        <f t="shared" si="385"/>
        <v>190000</v>
      </c>
      <c r="CD81" s="99">
        <f t="shared" si="385"/>
        <v>200000</v>
      </c>
      <c r="CE81" s="99">
        <f t="shared" si="385"/>
        <v>461000</v>
      </c>
      <c r="CF81" s="99">
        <f t="shared" si="385"/>
        <v>475000</v>
      </c>
      <c r="CG81" s="99">
        <f t="shared" si="385"/>
        <v>489000</v>
      </c>
      <c r="CH81" s="99">
        <f t="shared" si="385"/>
        <v>504000</v>
      </c>
      <c r="CI81" s="99">
        <f t="shared" si="385"/>
        <v>519000</v>
      </c>
      <c r="CJ81" s="99">
        <f t="shared" si="385"/>
        <v>535000</v>
      </c>
      <c r="CK81" s="99">
        <f t="shared" si="385"/>
        <v>551000</v>
      </c>
      <c r="CL81" s="99">
        <f t="shared" si="385"/>
        <v>565000</v>
      </c>
      <c r="CM81" s="99">
        <f t="shared" si="385"/>
        <v>580000</v>
      </c>
    </row>
    <row r="82" spans="1:91" s="355" customFormat="1" ht="14.25" customHeight="1" x14ac:dyDescent="0.2">
      <c r="A82" s="965" t="s">
        <v>7053</v>
      </c>
      <c r="B82" s="1481" t="s">
        <v>5101</v>
      </c>
      <c r="C82" s="1481" t="s">
        <v>6597</v>
      </c>
      <c r="D82" s="1481" t="s">
        <v>6597</v>
      </c>
      <c r="E82" s="865"/>
      <c r="F82" s="862"/>
      <c r="G82" s="862">
        <v>10000</v>
      </c>
      <c r="H82" s="862"/>
      <c r="I82" s="862"/>
      <c r="J82" s="862"/>
      <c r="K82" s="862"/>
      <c r="L82" s="862"/>
      <c r="M82" s="862"/>
      <c r="N82" s="862"/>
      <c r="O82" s="862"/>
      <c r="P82" s="862"/>
      <c r="Q82" s="863"/>
      <c r="R82" s="2296"/>
      <c r="S82" s="2297"/>
      <c r="T82" s="2297"/>
      <c r="U82" s="2298"/>
      <c r="V82" s="621"/>
      <c r="W82" s="617"/>
      <c r="X82" s="617"/>
      <c r="Y82" s="620">
        <f t="shared" si="364"/>
        <v>10000</v>
      </c>
      <c r="Z82" s="621"/>
      <c r="AA82" s="617"/>
      <c r="AB82" s="617"/>
      <c r="AC82" s="620">
        <f t="shared" ref="AC82:AC83" si="386">$H82-Z82-AA82-AB82</f>
        <v>0</v>
      </c>
      <c r="AD82" s="621"/>
      <c r="AE82" s="617"/>
      <c r="AF82" s="617"/>
      <c r="AG82" s="618">
        <f t="shared" ref="AG82:AG83" si="387">$I82-AD82-AE82-AF82</f>
        <v>0</v>
      </c>
      <c r="AH82" s="621"/>
      <c r="AI82" s="617"/>
      <c r="AJ82" s="617"/>
      <c r="AK82" s="1927">
        <f t="shared" ref="AK82:AK83" si="388">$J82-AH82-AI82-AJ82</f>
        <v>0</v>
      </c>
      <c r="AL82" s="621"/>
      <c r="AM82" s="617"/>
      <c r="AN82" s="617"/>
      <c r="AO82" s="618">
        <f t="shared" ref="AO82:AO83" si="389">$K82-AL82-AM82-AN82</f>
        <v>0</v>
      </c>
      <c r="AP82" s="621"/>
      <c r="AQ82" s="617"/>
      <c r="AR82" s="617"/>
      <c r="AS82" s="618">
        <f t="shared" ref="AS82:AS83" si="390">$L82-AP82-AQ82-AR82</f>
        <v>0</v>
      </c>
      <c r="AT82" s="621"/>
      <c r="AU82" s="617"/>
      <c r="AV82" s="617"/>
      <c r="AW82" s="620">
        <f t="shared" ref="AW82:AW83" si="391">$M82-AT82-AU82-AV82</f>
        <v>0</v>
      </c>
      <c r="AX82" s="621"/>
      <c r="AY82" s="617"/>
      <c r="AZ82" s="617"/>
      <c r="BA82" s="620">
        <f t="shared" ref="BA82:BA83" si="392">$N82-AX82-AY82-AZ82</f>
        <v>0</v>
      </c>
      <c r="BB82" s="621"/>
      <c r="BC82" s="617"/>
      <c r="BD82" s="617"/>
      <c r="BE82" s="620">
        <f t="shared" ref="BE82:BE83" si="393">$O82-BB82-BC82-BD82</f>
        <v>0</v>
      </c>
      <c r="BF82" s="621"/>
      <c r="BG82" s="617"/>
      <c r="BH82" s="617"/>
      <c r="BI82" s="1927">
        <f t="shared" ref="BI82:BI83" si="394">$P82-BF82-BG82-BH82</f>
        <v>0</v>
      </c>
      <c r="BJ82" s="621"/>
      <c r="BK82" s="617"/>
      <c r="BL82" s="617"/>
      <c r="BM82" s="1927">
        <f t="shared" ref="BM82:BM83" si="395">$Q82-BJ82-BK82-BL82</f>
        <v>0</v>
      </c>
      <c r="BN82" s="621"/>
      <c r="BO82" s="1263">
        <v>1</v>
      </c>
      <c r="BP82" s="1263">
        <f t="shared" si="375"/>
        <v>1</v>
      </c>
      <c r="BQ82" s="1263">
        <f t="shared" si="376"/>
        <v>1</v>
      </c>
      <c r="BR82" s="1263">
        <f t="shared" si="377"/>
        <v>1</v>
      </c>
      <c r="BS82" s="1263">
        <f t="shared" si="378"/>
        <v>1</v>
      </c>
      <c r="BT82" s="1263">
        <f t="shared" si="379"/>
        <v>1</v>
      </c>
      <c r="BU82" s="1263">
        <f t="shared" si="380"/>
        <v>1</v>
      </c>
      <c r="BV82" s="1263">
        <f t="shared" si="381"/>
        <v>1</v>
      </c>
      <c r="BW82" s="1263">
        <f t="shared" si="382"/>
        <v>1</v>
      </c>
      <c r="BX82" s="1263">
        <f t="shared" si="383"/>
        <v>1</v>
      </c>
      <c r="BY82" s="1263">
        <f t="shared" si="384"/>
        <v>1</v>
      </c>
      <c r="BZ82" s="1263">
        <f t="shared" si="384"/>
        <v>1</v>
      </c>
      <c r="CA82" s="1263"/>
      <c r="CB82" s="99">
        <f t="shared" si="385"/>
        <v>0</v>
      </c>
      <c r="CC82" s="99">
        <f t="shared" si="385"/>
        <v>10000</v>
      </c>
      <c r="CD82" s="99">
        <f t="shared" si="385"/>
        <v>0</v>
      </c>
      <c r="CE82" s="99">
        <f t="shared" si="385"/>
        <v>0</v>
      </c>
      <c r="CF82" s="99">
        <f t="shared" si="385"/>
        <v>0</v>
      </c>
      <c r="CG82" s="99">
        <f t="shared" si="385"/>
        <v>0</v>
      </c>
      <c r="CH82" s="99">
        <f t="shared" si="385"/>
        <v>0</v>
      </c>
      <c r="CI82" s="99">
        <f t="shared" si="385"/>
        <v>0</v>
      </c>
      <c r="CJ82" s="99">
        <f t="shared" si="385"/>
        <v>0</v>
      </c>
      <c r="CK82" s="99">
        <f t="shared" si="385"/>
        <v>0</v>
      </c>
      <c r="CL82" s="99">
        <f t="shared" si="385"/>
        <v>0</v>
      </c>
      <c r="CM82" s="99">
        <f t="shared" si="385"/>
        <v>0</v>
      </c>
    </row>
    <row r="83" spans="1:91" s="355" customFormat="1" ht="14.25" customHeight="1" x14ac:dyDescent="0.2">
      <c r="A83" s="965" t="s">
        <v>6543</v>
      </c>
      <c r="B83" s="1481" t="s">
        <v>5917</v>
      </c>
      <c r="C83" s="1481" t="s">
        <v>5916</v>
      </c>
      <c r="D83" s="1481"/>
      <c r="E83" s="865"/>
      <c r="F83" s="862">
        <v>113500</v>
      </c>
      <c r="G83" s="862">
        <v>10000</v>
      </c>
      <c r="H83" s="862"/>
      <c r="I83" s="862"/>
      <c r="J83" s="862"/>
      <c r="K83" s="862"/>
      <c r="L83" s="862"/>
      <c r="M83" s="862"/>
      <c r="N83" s="862"/>
      <c r="O83" s="862"/>
      <c r="P83" s="862"/>
      <c r="Q83" s="863"/>
      <c r="R83" s="2296"/>
      <c r="S83" s="2297"/>
      <c r="T83" s="2297"/>
      <c r="U83" s="2298">
        <f t="shared" si="363"/>
        <v>113500</v>
      </c>
      <c r="V83" s="621"/>
      <c r="W83" s="617"/>
      <c r="X83" s="617"/>
      <c r="Y83" s="620">
        <f t="shared" si="364"/>
        <v>10000</v>
      </c>
      <c r="Z83" s="621"/>
      <c r="AA83" s="617"/>
      <c r="AB83" s="617"/>
      <c r="AC83" s="620">
        <f t="shared" si="386"/>
        <v>0</v>
      </c>
      <c r="AD83" s="621"/>
      <c r="AE83" s="617"/>
      <c r="AF83" s="617"/>
      <c r="AG83" s="618">
        <f t="shared" si="387"/>
        <v>0</v>
      </c>
      <c r="AH83" s="621"/>
      <c r="AI83" s="617"/>
      <c r="AJ83" s="617"/>
      <c r="AK83" s="1927">
        <f t="shared" si="388"/>
        <v>0</v>
      </c>
      <c r="AL83" s="621"/>
      <c r="AM83" s="617"/>
      <c r="AN83" s="617"/>
      <c r="AO83" s="618">
        <f t="shared" si="389"/>
        <v>0</v>
      </c>
      <c r="AP83" s="621"/>
      <c r="AQ83" s="617"/>
      <c r="AR83" s="617"/>
      <c r="AS83" s="618">
        <f t="shared" si="390"/>
        <v>0</v>
      </c>
      <c r="AT83" s="621"/>
      <c r="AU83" s="617"/>
      <c r="AV83" s="617"/>
      <c r="AW83" s="620">
        <f t="shared" si="391"/>
        <v>0</v>
      </c>
      <c r="AX83" s="621"/>
      <c r="AY83" s="617"/>
      <c r="AZ83" s="617"/>
      <c r="BA83" s="620">
        <f t="shared" si="392"/>
        <v>0</v>
      </c>
      <c r="BB83" s="621"/>
      <c r="BC83" s="617"/>
      <c r="BD83" s="617"/>
      <c r="BE83" s="620">
        <f t="shared" si="393"/>
        <v>0</v>
      </c>
      <c r="BF83" s="621"/>
      <c r="BG83" s="617"/>
      <c r="BH83" s="617"/>
      <c r="BI83" s="1927">
        <f t="shared" si="394"/>
        <v>0</v>
      </c>
      <c r="BJ83" s="621"/>
      <c r="BK83" s="617"/>
      <c r="BL83" s="617"/>
      <c r="BM83" s="1927">
        <f t="shared" si="395"/>
        <v>0</v>
      </c>
      <c r="BN83" s="621"/>
      <c r="BO83" s="1263">
        <v>1</v>
      </c>
      <c r="BP83" s="1263">
        <f t="shared" si="375"/>
        <v>1</v>
      </c>
      <c r="BQ83" s="1263">
        <f t="shared" si="376"/>
        <v>1</v>
      </c>
      <c r="BR83" s="1263">
        <f t="shared" si="377"/>
        <v>1</v>
      </c>
      <c r="BS83" s="1263">
        <f t="shared" si="378"/>
        <v>1</v>
      </c>
      <c r="BT83" s="1263">
        <f t="shared" si="379"/>
        <v>1</v>
      </c>
      <c r="BU83" s="1263">
        <f t="shared" si="380"/>
        <v>1</v>
      </c>
      <c r="BV83" s="1263">
        <f t="shared" si="381"/>
        <v>1</v>
      </c>
      <c r="BW83" s="1263">
        <f t="shared" si="382"/>
        <v>1</v>
      </c>
      <c r="BX83" s="1263">
        <f t="shared" si="383"/>
        <v>1</v>
      </c>
      <c r="BY83" s="1263">
        <f t="shared" si="384"/>
        <v>1</v>
      </c>
      <c r="BZ83" s="1263">
        <f t="shared" si="384"/>
        <v>1</v>
      </c>
      <c r="CA83" s="1263"/>
      <c r="CB83" s="99">
        <f t="shared" si="385"/>
        <v>114000</v>
      </c>
      <c r="CC83" s="99">
        <f t="shared" si="385"/>
        <v>10000</v>
      </c>
      <c r="CD83" s="99">
        <f t="shared" si="385"/>
        <v>0</v>
      </c>
      <c r="CE83" s="99">
        <f t="shared" si="385"/>
        <v>0</v>
      </c>
      <c r="CF83" s="99">
        <f t="shared" si="385"/>
        <v>0</v>
      </c>
      <c r="CG83" s="99">
        <f t="shared" si="385"/>
        <v>0</v>
      </c>
      <c r="CH83" s="99">
        <f t="shared" si="385"/>
        <v>0</v>
      </c>
      <c r="CI83" s="99">
        <f t="shared" si="385"/>
        <v>0</v>
      </c>
      <c r="CJ83" s="99">
        <f t="shared" si="385"/>
        <v>0</v>
      </c>
      <c r="CK83" s="99">
        <f t="shared" si="385"/>
        <v>0</v>
      </c>
      <c r="CL83" s="99">
        <f t="shared" si="385"/>
        <v>0</v>
      </c>
      <c r="CM83" s="99">
        <f t="shared" si="385"/>
        <v>0</v>
      </c>
    </row>
    <row r="84" spans="1:91" s="355" customFormat="1" ht="14.25" customHeight="1" x14ac:dyDescent="0.2">
      <c r="A84" s="966"/>
      <c r="B84" s="1480"/>
      <c r="C84" s="1480"/>
      <c r="D84" s="1480"/>
      <c r="E84" s="865"/>
      <c r="F84" s="862"/>
      <c r="G84" s="862"/>
      <c r="H84" s="862"/>
      <c r="I84" s="862"/>
      <c r="J84" s="862"/>
      <c r="K84" s="862"/>
      <c r="L84" s="960"/>
      <c r="M84" s="862"/>
      <c r="N84" s="862"/>
      <c r="O84" s="862"/>
      <c r="P84" s="862"/>
      <c r="Q84" s="863"/>
      <c r="R84" s="2296"/>
      <c r="S84" s="2297"/>
      <c r="T84" s="2297"/>
      <c r="U84" s="2298"/>
      <c r="V84" s="621"/>
      <c r="W84" s="617"/>
      <c r="X84" s="617"/>
      <c r="Y84" s="620"/>
      <c r="Z84" s="621"/>
      <c r="AA84" s="617"/>
      <c r="AB84" s="617"/>
      <c r="AC84" s="620"/>
      <c r="AD84" s="621"/>
      <c r="AE84" s="617"/>
      <c r="AF84" s="617"/>
      <c r="AG84" s="618"/>
      <c r="AH84" s="621"/>
      <c r="AI84" s="617"/>
      <c r="AJ84" s="617"/>
      <c r="AK84" s="1927"/>
      <c r="AL84" s="621"/>
      <c r="AM84" s="617"/>
      <c r="AN84" s="617"/>
      <c r="AO84" s="618"/>
      <c r="AP84" s="621"/>
      <c r="AQ84" s="617"/>
      <c r="AR84" s="617"/>
      <c r="AS84" s="618"/>
      <c r="AT84" s="621"/>
      <c r="AU84" s="617"/>
      <c r="AV84" s="617"/>
      <c r="AW84" s="620"/>
      <c r="AX84" s="621"/>
      <c r="AY84" s="617"/>
      <c r="AZ84" s="617"/>
      <c r="BA84" s="620"/>
      <c r="BB84" s="621"/>
      <c r="BC84" s="617"/>
      <c r="BD84" s="617"/>
      <c r="BE84" s="620"/>
      <c r="BF84" s="621"/>
      <c r="BG84" s="617"/>
      <c r="BH84" s="617"/>
      <c r="BI84" s="620"/>
      <c r="BJ84" s="621"/>
      <c r="BK84" s="617"/>
      <c r="BL84" s="617"/>
      <c r="BM84" s="1927"/>
      <c r="BN84" s="621"/>
      <c r="BO84" s="1263"/>
      <c r="BP84" s="1263"/>
      <c r="BQ84" s="1263"/>
      <c r="BR84" s="1263"/>
      <c r="BS84" s="1263"/>
      <c r="BT84" s="1263"/>
      <c r="BU84" s="1263"/>
      <c r="BV84" s="1263"/>
      <c r="BW84" s="1263"/>
      <c r="BX84" s="1263"/>
      <c r="BY84" s="1263"/>
      <c r="BZ84" s="1263"/>
      <c r="CA84" s="1263"/>
      <c r="CB84" s="78"/>
      <c r="CC84" s="78"/>
      <c r="CD84" s="78"/>
      <c r="CE84" s="78"/>
      <c r="CF84" s="78"/>
      <c r="CG84" s="78"/>
      <c r="CH84" s="78"/>
      <c r="CI84" s="78"/>
      <c r="CJ84" s="78"/>
      <c r="CK84" s="78"/>
      <c r="CL84" s="78"/>
      <c r="CM84" s="78"/>
    </row>
    <row r="85" spans="1:91" s="355" customFormat="1" ht="14.25" customHeight="1" x14ac:dyDescent="0.2">
      <c r="A85" s="1151" t="s">
        <v>4989</v>
      </c>
      <c r="B85" s="1480"/>
      <c r="C85" s="1480"/>
      <c r="D85" s="1480"/>
      <c r="E85" s="865"/>
      <c r="F85" s="862"/>
      <c r="G85" s="862"/>
      <c r="H85" s="862"/>
      <c r="I85" s="960"/>
      <c r="J85" s="862"/>
      <c r="K85" s="862"/>
      <c r="L85" s="862"/>
      <c r="M85" s="862"/>
      <c r="N85" s="862"/>
      <c r="O85" s="862"/>
      <c r="P85" s="862"/>
      <c r="Q85" s="863"/>
      <c r="R85" s="2296"/>
      <c r="S85" s="2297"/>
      <c r="T85" s="2297"/>
      <c r="U85" s="2298"/>
      <c r="V85" s="621"/>
      <c r="W85" s="617"/>
      <c r="X85" s="617"/>
      <c r="Y85" s="620"/>
      <c r="Z85" s="621"/>
      <c r="AA85" s="617"/>
      <c r="AB85" s="617"/>
      <c r="AC85" s="620"/>
      <c r="AD85" s="621"/>
      <c r="AE85" s="617"/>
      <c r="AF85" s="617"/>
      <c r="AG85" s="618"/>
      <c r="AH85" s="621"/>
      <c r="AI85" s="617"/>
      <c r="AJ85" s="617"/>
      <c r="AK85" s="1927"/>
      <c r="AL85" s="621"/>
      <c r="AM85" s="617"/>
      <c r="AN85" s="617"/>
      <c r="AO85" s="618"/>
      <c r="AP85" s="621"/>
      <c r="AQ85" s="617"/>
      <c r="AR85" s="617"/>
      <c r="AS85" s="618"/>
      <c r="AT85" s="621"/>
      <c r="AU85" s="617"/>
      <c r="AV85" s="617"/>
      <c r="AW85" s="620"/>
      <c r="AX85" s="621"/>
      <c r="AY85" s="617"/>
      <c r="AZ85" s="617"/>
      <c r="BA85" s="620"/>
      <c r="BB85" s="621"/>
      <c r="BC85" s="617"/>
      <c r="BD85" s="617"/>
      <c r="BE85" s="620"/>
      <c r="BF85" s="621"/>
      <c r="BG85" s="617"/>
      <c r="BH85" s="617"/>
      <c r="BI85" s="620"/>
      <c r="BJ85" s="621"/>
      <c r="BK85" s="617"/>
      <c r="BL85" s="617"/>
      <c r="BM85" s="1927"/>
      <c r="BN85" s="621"/>
      <c r="BO85" s="1263"/>
      <c r="BP85" s="1263"/>
      <c r="BQ85" s="1263"/>
      <c r="BR85" s="1263"/>
      <c r="BS85" s="1263"/>
      <c r="BT85" s="1263"/>
      <c r="BU85" s="1263"/>
      <c r="BV85" s="1263"/>
      <c r="BW85" s="1263"/>
      <c r="BX85" s="1263"/>
      <c r="BY85" s="1263"/>
      <c r="BZ85" s="1263"/>
      <c r="CA85" s="1263"/>
      <c r="CB85" s="78"/>
      <c r="CC85" s="78"/>
      <c r="CD85" s="78"/>
      <c r="CE85" s="78"/>
      <c r="CF85" s="78"/>
      <c r="CG85" s="78"/>
      <c r="CH85" s="78"/>
      <c r="CI85" s="78"/>
      <c r="CJ85" s="78"/>
      <c r="CK85" s="78"/>
      <c r="CL85" s="78"/>
      <c r="CM85" s="78"/>
    </row>
    <row r="86" spans="1:91" s="355" customFormat="1" ht="14.25" customHeight="1" x14ac:dyDescent="0.2">
      <c r="A86" s="965" t="s">
        <v>4990</v>
      </c>
      <c r="B86" s="1481" t="s">
        <v>5102</v>
      </c>
      <c r="C86" s="1481" t="s">
        <v>5103</v>
      </c>
      <c r="D86" s="1481" t="s">
        <v>5103</v>
      </c>
      <c r="E86" s="865"/>
      <c r="F86" s="2019">
        <v>14300</v>
      </c>
      <c r="G86" s="2019">
        <v>1000</v>
      </c>
      <c r="H86" s="2019">
        <v>1000</v>
      </c>
      <c r="I86" s="2019">
        <v>1000</v>
      </c>
      <c r="J86" s="2019">
        <v>1000</v>
      </c>
      <c r="K86" s="862">
        <v>1000</v>
      </c>
      <c r="L86" s="862">
        <v>1000</v>
      </c>
      <c r="M86" s="862">
        <v>1000</v>
      </c>
      <c r="N86" s="862">
        <v>1000</v>
      </c>
      <c r="O86" s="862">
        <v>1000</v>
      </c>
      <c r="P86" s="862">
        <v>1000</v>
      </c>
      <c r="Q86" s="863">
        <v>1000</v>
      </c>
      <c r="R86" s="2296"/>
      <c r="S86" s="2297"/>
      <c r="T86" s="2297"/>
      <c r="U86" s="2298">
        <f>$F86-R86-S86-T86</f>
        <v>14300</v>
      </c>
      <c r="V86" s="621"/>
      <c r="W86" s="617"/>
      <c r="X86" s="617"/>
      <c r="Y86" s="620">
        <f>$G86-V86-W86-X86</f>
        <v>1000</v>
      </c>
      <c r="Z86" s="621"/>
      <c r="AA86" s="617"/>
      <c r="AB86" s="617"/>
      <c r="AC86" s="620">
        <f>$H86-Z86-AA86-AB86</f>
        <v>1000</v>
      </c>
      <c r="AD86" s="621"/>
      <c r="AE86" s="617"/>
      <c r="AF86" s="617"/>
      <c r="AG86" s="618">
        <f>$I86-AD86-AE86-AF86</f>
        <v>1000</v>
      </c>
      <c r="AH86" s="621"/>
      <c r="AI86" s="617"/>
      <c r="AJ86" s="617"/>
      <c r="AK86" s="1927">
        <f>$J86-AH86-AI86-AJ86</f>
        <v>1000</v>
      </c>
      <c r="AL86" s="621"/>
      <c r="AM86" s="617"/>
      <c r="AN86" s="617"/>
      <c r="AO86" s="618">
        <f>$K86-AL86-AM86-AN86</f>
        <v>1000</v>
      </c>
      <c r="AP86" s="621"/>
      <c r="AQ86" s="617"/>
      <c r="AR86" s="617"/>
      <c r="AS86" s="618">
        <f>$L86-AP86-AQ86-AR86</f>
        <v>1000</v>
      </c>
      <c r="AT86" s="621"/>
      <c r="AU86" s="617"/>
      <c r="AV86" s="617"/>
      <c r="AW86" s="620">
        <f>$M86-AT86-AU86-AV86</f>
        <v>1000</v>
      </c>
      <c r="AX86" s="621"/>
      <c r="AY86" s="617"/>
      <c r="AZ86" s="617"/>
      <c r="BA86" s="620">
        <f>$N86-AX86-AY86-AZ86</f>
        <v>1000</v>
      </c>
      <c r="BB86" s="621"/>
      <c r="BC86" s="617"/>
      <c r="BD86" s="617"/>
      <c r="BE86" s="620">
        <f t="shared" ref="BE86:BE87" si="396">$O86-BB86-BC86-BD86</f>
        <v>1000</v>
      </c>
      <c r="BF86" s="621"/>
      <c r="BG86" s="617"/>
      <c r="BH86" s="617"/>
      <c r="BI86" s="1927">
        <f t="shared" ref="BI86:BI87" si="397">$P86-BF86-BG86-BH86</f>
        <v>1000</v>
      </c>
      <c r="BJ86" s="621"/>
      <c r="BK86" s="617"/>
      <c r="BL86" s="617"/>
      <c r="BM86" s="1927">
        <f t="shared" si="374"/>
        <v>1000</v>
      </c>
      <c r="BN86" s="621"/>
      <c r="BO86" s="1263">
        <v>0</v>
      </c>
      <c r="BP86" s="1263">
        <f t="shared" ref="BP86:BP87" si="398">BO86</f>
        <v>0</v>
      </c>
      <c r="BQ86" s="1263">
        <f t="shared" ref="BQ86:BQ87" si="399">BP86</f>
        <v>0</v>
      </c>
      <c r="BR86" s="1263">
        <f t="shared" ref="BR86:BR87" si="400">BQ86</f>
        <v>0</v>
      </c>
      <c r="BS86" s="1263">
        <f t="shared" ref="BS86:BS87" si="401">BR86</f>
        <v>0</v>
      </c>
      <c r="BT86" s="1263">
        <f t="shared" ref="BT86:BT87" si="402">BS86</f>
        <v>0</v>
      </c>
      <c r="BU86" s="1263">
        <f t="shared" ref="BU86:BU87" si="403">BT86</f>
        <v>0</v>
      </c>
      <c r="BV86" s="1263">
        <f t="shared" ref="BV86:BV87" si="404">BU86</f>
        <v>0</v>
      </c>
      <c r="BW86" s="1263">
        <f t="shared" ref="BW86:BW87" si="405">BV86</f>
        <v>0</v>
      </c>
      <c r="BX86" s="1263">
        <f t="shared" ref="BX86:BZ87" si="406">BW86</f>
        <v>0</v>
      </c>
      <c r="BY86" s="1263">
        <f t="shared" si="406"/>
        <v>0</v>
      </c>
      <c r="BZ86" s="1263">
        <f t="shared" si="406"/>
        <v>0</v>
      </c>
      <c r="CA86" s="1263"/>
      <c r="CB86" s="99">
        <f t="shared" ref="CB86:CM87" si="407">ROUND(BO86*F86,-3)</f>
        <v>0</v>
      </c>
      <c r="CC86" s="99">
        <f t="shared" si="407"/>
        <v>0</v>
      </c>
      <c r="CD86" s="99">
        <f t="shared" si="407"/>
        <v>0</v>
      </c>
      <c r="CE86" s="99">
        <f t="shared" si="407"/>
        <v>0</v>
      </c>
      <c r="CF86" s="99">
        <f t="shared" si="407"/>
        <v>0</v>
      </c>
      <c r="CG86" s="99">
        <f t="shared" si="407"/>
        <v>0</v>
      </c>
      <c r="CH86" s="99">
        <f t="shared" si="407"/>
        <v>0</v>
      </c>
      <c r="CI86" s="99">
        <f t="shared" si="407"/>
        <v>0</v>
      </c>
      <c r="CJ86" s="99">
        <f t="shared" si="407"/>
        <v>0</v>
      </c>
      <c r="CK86" s="99">
        <f t="shared" si="407"/>
        <v>0</v>
      </c>
      <c r="CL86" s="99">
        <f t="shared" si="407"/>
        <v>0</v>
      </c>
      <c r="CM86" s="99">
        <f t="shared" si="407"/>
        <v>0</v>
      </c>
    </row>
    <row r="87" spans="1:91" s="355" customFormat="1" ht="14.25" customHeight="1" x14ac:dyDescent="0.2">
      <c r="A87" s="965" t="s">
        <v>4991</v>
      </c>
      <c r="B87" s="1481" t="s">
        <v>5104</v>
      </c>
      <c r="C87" s="1481" t="s">
        <v>5105</v>
      </c>
      <c r="D87" s="1481" t="s">
        <v>5105</v>
      </c>
      <c r="E87" s="865"/>
      <c r="F87" s="2019">
        <v>4400</v>
      </c>
      <c r="G87" s="2019">
        <v>52000</v>
      </c>
      <c r="H87" s="2019">
        <v>53000</v>
      </c>
      <c r="I87" s="2019">
        <v>55000</v>
      </c>
      <c r="J87" s="2019">
        <v>56000</v>
      </c>
      <c r="K87" s="862">
        <v>58000</v>
      </c>
      <c r="L87" s="862">
        <v>60000</v>
      </c>
      <c r="M87" s="862">
        <v>61000</v>
      </c>
      <c r="N87" s="862">
        <v>63000</v>
      </c>
      <c r="O87" s="862">
        <v>65000</v>
      </c>
      <c r="P87" s="862">
        <v>67000</v>
      </c>
      <c r="Q87" s="863">
        <v>69000</v>
      </c>
      <c r="R87" s="2296"/>
      <c r="S87" s="2297"/>
      <c r="T87" s="2297"/>
      <c r="U87" s="2298">
        <f>$F87-R87-S87-T87</f>
        <v>4400</v>
      </c>
      <c r="V87" s="621"/>
      <c r="W87" s="617"/>
      <c r="X87" s="617"/>
      <c r="Y87" s="620">
        <f>$G87-V87-W87-X87</f>
        <v>52000</v>
      </c>
      <c r="Z87" s="621"/>
      <c r="AA87" s="617"/>
      <c r="AB87" s="617"/>
      <c r="AC87" s="620">
        <f>$H87-Z87-AA87-AB87</f>
        <v>53000</v>
      </c>
      <c r="AD87" s="621"/>
      <c r="AE87" s="617"/>
      <c r="AF87" s="617"/>
      <c r="AG87" s="618">
        <f>$I87-AD87-AE87-AF87</f>
        <v>55000</v>
      </c>
      <c r="AH87" s="621"/>
      <c r="AI87" s="617"/>
      <c r="AJ87" s="617"/>
      <c r="AK87" s="1927">
        <f>$J87-AH87-AI87-AJ87</f>
        <v>56000</v>
      </c>
      <c r="AL87" s="621"/>
      <c r="AM87" s="617"/>
      <c r="AN87" s="617"/>
      <c r="AO87" s="618">
        <f>$K87-AL87-AM87-AN87</f>
        <v>58000</v>
      </c>
      <c r="AP87" s="621"/>
      <c r="AQ87" s="617"/>
      <c r="AR87" s="617"/>
      <c r="AS87" s="618">
        <f>$L87-AP87-AQ87-AR87</f>
        <v>60000</v>
      </c>
      <c r="AT87" s="621"/>
      <c r="AU87" s="617"/>
      <c r="AV87" s="617"/>
      <c r="AW87" s="620">
        <f>$M87-AT87-AU87-AV87</f>
        <v>61000</v>
      </c>
      <c r="AX87" s="621"/>
      <c r="AY87" s="617"/>
      <c r="AZ87" s="617"/>
      <c r="BA87" s="620">
        <f>$N87-AX87-AY87-AZ87</f>
        <v>63000</v>
      </c>
      <c r="BB87" s="621"/>
      <c r="BC87" s="617"/>
      <c r="BD87" s="617"/>
      <c r="BE87" s="620">
        <f t="shared" si="396"/>
        <v>65000</v>
      </c>
      <c r="BF87" s="621"/>
      <c r="BG87" s="617"/>
      <c r="BH87" s="617"/>
      <c r="BI87" s="1927">
        <f t="shared" si="397"/>
        <v>67000</v>
      </c>
      <c r="BJ87" s="621"/>
      <c r="BK87" s="617"/>
      <c r="BL87" s="617"/>
      <c r="BM87" s="1927">
        <f t="shared" si="374"/>
        <v>69000</v>
      </c>
      <c r="BN87" s="621"/>
      <c r="BO87" s="1263">
        <v>0</v>
      </c>
      <c r="BP87" s="1263">
        <f t="shared" si="398"/>
        <v>0</v>
      </c>
      <c r="BQ87" s="1263">
        <f t="shared" si="399"/>
        <v>0</v>
      </c>
      <c r="BR87" s="1263">
        <f t="shared" si="400"/>
        <v>0</v>
      </c>
      <c r="BS87" s="1263">
        <f t="shared" si="401"/>
        <v>0</v>
      </c>
      <c r="BT87" s="1263">
        <f t="shared" si="402"/>
        <v>0</v>
      </c>
      <c r="BU87" s="1263">
        <f t="shared" si="403"/>
        <v>0</v>
      </c>
      <c r="BV87" s="1263">
        <f t="shared" si="404"/>
        <v>0</v>
      </c>
      <c r="BW87" s="1263">
        <f t="shared" si="405"/>
        <v>0</v>
      </c>
      <c r="BX87" s="1263">
        <f t="shared" si="406"/>
        <v>0</v>
      </c>
      <c r="BY87" s="1263">
        <f t="shared" si="406"/>
        <v>0</v>
      </c>
      <c r="BZ87" s="1263">
        <f t="shared" si="406"/>
        <v>0</v>
      </c>
      <c r="CA87" s="1263"/>
      <c r="CB87" s="99">
        <f t="shared" si="407"/>
        <v>0</v>
      </c>
      <c r="CC87" s="99">
        <f t="shared" si="407"/>
        <v>0</v>
      </c>
      <c r="CD87" s="99">
        <f t="shared" si="407"/>
        <v>0</v>
      </c>
      <c r="CE87" s="99">
        <f t="shared" si="407"/>
        <v>0</v>
      </c>
      <c r="CF87" s="99">
        <f t="shared" si="407"/>
        <v>0</v>
      </c>
      <c r="CG87" s="99">
        <f t="shared" si="407"/>
        <v>0</v>
      </c>
      <c r="CH87" s="99">
        <f t="shared" si="407"/>
        <v>0</v>
      </c>
      <c r="CI87" s="99">
        <f t="shared" si="407"/>
        <v>0</v>
      </c>
      <c r="CJ87" s="99">
        <f t="shared" si="407"/>
        <v>0</v>
      </c>
      <c r="CK87" s="99">
        <f t="shared" si="407"/>
        <v>0</v>
      </c>
      <c r="CL87" s="99">
        <f t="shared" si="407"/>
        <v>0</v>
      </c>
      <c r="CM87" s="99">
        <f t="shared" si="407"/>
        <v>0</v>
      </c>
    </row>
    <row r="88" spans="1:91" s="355" customFormat="1" ht="14.25" customHeight="1" x14ac:dyDescent="0.2">
      <c r="A88" s="965"/>
      <c r="B88" s="1480"/>
      <c r="C88" s="1480"/>
      <c r="D88" s="1480"/>
      <c r="E88" s="865"/>
      <c r="F88" s="2019"/>
      <c r="G88" s="2019"/>
      <c r="H88" s="2019"/>
      <c r="I88" s="2018"/>
      <c r="J88" s="2019"/>
      <c r="K88" s="862"/>
      <c r="L88" s="862"/>
      <c r="M88" s="862"/>
      <c r="N88" s="862"/>
      <c r="O88" s="862"/>
      <c r="P88" s="862"/>
      <c r="Q88" s="863"/>
      <c r="R88" s="2296"/>
      <c r="S88" s="2297"/>
      <c r="T88" s="2297"/>
      <c r="U88" s="2298"/>
      <c r="V88" s="621"/>
      <c r="W88" s="617"/>
      <c r="X88" s="617"/>
      <c r="Y88" s="620"/>
      <c r="Z88" s="621"/>
      <c r="AA88" s="617"/>
      <c r="AB88" s="617"/>
      <c r="AC88" s="620"/>
      <c r="AD88" s="621"/>
      <c r="AE88" s="617"/>
      <c r="AF88" s="617"/>
      <c r="AG88" s="618"/>
      <c r="AH88" s="621"/>
      <c r="AI88" s="617"/>
      <c r="AJ88" s="617"/>
      <c r="AK88" s="1927"/>
      <c r="AL88" s="621"/>
      <c r="AM88" s="617"/>
      <c r="AN88" s="617"/>
      <c r="AO88" s="618"/>
      <c r="AP88" s="621"/>
      <c r="AQ88" s="617"/>
      <c r="AR88" s="617"/>
      <c r="AS88" s="618"/>
      <c r="AT88" s="621"/>
      <c r="AU88" s="617"/>
      <c r="AV88" s="617"/>
      <c r="AW88" s="620"/>
      <c r="AX88" s="621"/>
      <c r="AY88" s="617"/>
      <c r="AZ88" s="617"/>
      <c r="BA88" s="620"/>
      <c r="BB88" s="621"/>
      <c r="BC88" s="617"/>
      <c r="BD88" s="617"/>
      <c r="BE88" s="620"/>
      <c r="BF88" s="621"/>
      <c r="BG88" s="617"/>
      <c r="BH88" s="617"/>
      <c r="BI88" s="620"/>
      <c r="BJ88" s="621"/>
      <c r="BK88" s="617"/>
      <c r="BL88" s="617"/>
      <c r="BM88" s="1927"/>
      <c r="BN88" s="621"/>
      <c r="BO88" s="1263"/>
      <c r="BP88" s="1263"/>
      <c r="BQ88" s="1263"/>
      <c r="BR88" s="1263"/>
      <c r="BS88" s="1263"/>
      <c r="BT88" s="1263"/>
      <c r="BU88" s="1263"/>
      <c r="BV88" s="1263"/>
      <c r="BW88" s="1263"/>
      <c r="BX88" s="1263"/>
      <c r="BY88" s="1263"/>
      <c r="BZ88" s="1263"/>
      <c r="CA88" s="1263"/>
      <c r="CB88" s="78"/>
      <c r="CC88" s="78"/>
      <c r="CD88" s="78"/>
      <c r="CE88" s="78"/>
      <c r="CF88" s="78"/>
      <c r="CG88" s="78"/>
      <c r="CH88" s="78"/>
      <c r="CI88" s="78"/>
      <c r="CJ88" s="78"/>
      <c r="CK88" s="78"/>
      <c r="CL88" s="78"/>
      <c r="CM88" s="78"/>
    </row>
    <row r="89" spans="1:91" s="355" customFormat="1" ht="14.25" customHeight="1" x14ac:dyDescent="0.2">
      <c r="A89" s="732" t="s">
        <v>1374</v>
      </c>
      <c r="B89" s="1480"/>
      <c r="C89" s="1480"/>
      <c r="D89" s="1480"/>
      <c r="E89" s="865"/>
      <c r="F89" s="2019"/>
      <c r="G89" s="2019"/>
      <c r="H89" s="2019"/>
      <c r="I89" s="2018"/>
      <c r="J89" s="2019"/>
      <c r="K89" s="862"/>
      <c r="L89" s="862"/>
      <c r="M89" s="862"/>
      <c r="N89" s="862"/>
      <c r="O89" s="862"/>
      <c r="P89" s="862"/>
      <c r="Q89" s="863"/>
      <c r="R89" s="2296"/>
      <c r="S89" s="2297"/>
      <c r="T89" s="2297"/>
      <c r="U89" s="2298"/>
      <c r="V89" s="621"/>
      <c r="W89" s="617"/>
      <c r="X89" s="617"/>
      <c r="Y89" s="620"/>
      <c r="Z89" s="621"/>
      <c r="AA89" s="617"/>
      <c r="AB89" s="617"/>
      <c r="AC89" s="620"/>
      <c r="AD89" s="621"/>
      <c r="AE89" s="617"/>
      <c r="AF89" s="617"/>
      <c r="AG89" s="618"/>
      <c r="AH89" s="621"/>
      <c r="AI89" s="617"/>
      <c r="AJ89" s="617"/>
      <c r="AK89" s="1927"/>
      <c r="AL89" s="621"/>
      <c r="AM89" s="617"/>
      <c r="AN89" s="617"/>
      <c r="AO89" s="618"/>
      <c r="AP89" s="621"/>
      <c r="AQ89" s="617"/>
      <c r="AR89" s="617"/>
      <c r="AS89" s="618"/>
      <c r="AT89" s="621"/>
      <c r="AU89" s="617"/>
      <c r="AV89" s="617"/>
      <c r="AW89" s="620"/>
      <c r="AX89" s="621"/>
      <c r="AY89" s="617"/>
      <c r="AZ89" s="617"/>
      <c r="BA89" s="620"/>
      <c r="BB89" s="621"/>
      <c r="BC89" s="617"/>
      <c r="BD89" s="617"/>
      <c r="BE89" s="620"/>
      <c r="BF89" s="621"/>
      <c r="BG89" s="617"/>
      <c r="BH89" s="617"/>
      <c r="BI89" s="620"/>
      <c r="BJ89" s="621"/>
      <c r="BK89" s="617"/>
      <c r="BL89" s="617"/>
      <c r="BM89" s="1927"/>
      <c r="BN89" s="621"/>
      <c r="BO89" s="546"/>
      <c r="BP89" s="546"/>
      <c r="BQ89" s="546"/>
      <c r="BR89" s="546"/>
      <c r="BS89" s="546"/>
      <c r="BT89" s="546"/>
      <c r="BU89" s="546"/>
      <c r="BV89" s="546"/>
      <c r="BW89" s="546"/>
      <c r="BX89" s="546"/>
      <c r="BY89" s="546"/>
      <c r="BZ89" s="546"/>
      <c r="CA89" s="546"/>
      <c r="CB89" s="84"/>
      <c r="CC89" s="84"/>
      <c r="CD89" s="84"/>
      <c r="CE89" s="84"/>
      <c r="CF89" s="84"/>
      <c r="CG89" s="84"/>
      <c r="CH89" s="84"/>
      <c r="CI89" s="84"/>
      <c r="CJ89" s="84"/>
      <c r="CK89" s="84"/>
      <c r="CL89" s="84"/>
      <c r="CM89" s="84"/>
    </row>
    <row r="90" spans="1:91" s="355" customFormat="1" ht="14.25" customHeight="1" x14ac:dyDescent="0.2">
      <c r="A90" s="965" t="s">
        <v>6758</v>
      </c>
      <c r="B90" s="1481" t="s">
        <v>104</v>
      </c>
      <c r="C90" s="1481" t="s">
        <v>5076</v>
      </c>
      <c r="D90" s="1481"/>
      <c r="E90" s="865">
        <v>0</v>
      </c>
      <c r="F90" s="2019">
        <v>-8200</v>
      </c>
      <c r="G90" s="2019"/>
      <c r="H90" s="2019">
        <v>120000</v>
      </c>
      <c r="I90" s="2018"/>
      <c r="J90" s="2019">
        <v>134400</v>
      </c>
      <c r="K90" s="862">
        <v>30000</v>
      </c>
      <c r="L90" s="862">
        <v>93000</v>
      </c>
      <c r="M90" s="862"/>
      <c r="N90" s="862">
        <v>14000</v>
      </c>
      <c r="O90" s="862"/>
      <c r="P90" s="862">
        <v>91000</v>
      </c>
      <c r="Q90" s="863"/>
      <c r="R90" s="2296"/>
      <c r="S90" s="2297"/>
      <c r="T90" s="2297"/>
      <c r="U90" s="2298">
        <f>$F90-R90-S90-T90</f>
        <v>-8200</v>
      </c>
      <c r="V90" s="621"/>
      <c r="W90" s="617"/>
      <c r="X90" s="617"/>
      <c r="Y90" s="620">
        <f>$G90-V90-W90-X90</f>
        <v>0</v>
      </c>
      <c r="Z90" s="621"/>
      <c r="AA90" s="617"/>
      <c r="AB90" s="617"/>
      <c r="AC90" s="620">
        <f>$H90-Z90-AA90-AB90</f>
        <v>120000</v>
      </c>
      <c r="AD90" s="621"/>
      <c r="AE90" s="617"/>
      <c r="AF90" s="617"/>
      <c r="AG90" s="618">
        <f>$I90-AD90-AE90-AF90</f>
        <v>0</v>
      </c>
      <c r="AH90" s="621"/>
      <c r="AI90" s="617"/>
      <c r="AJ90" s="617"/>
      <c r="AK90" s="1927">
        <f>$J90-AH90-AI90-AJ90</f>
        <v>134400</v>
      </c>
      <c r="AL90" s="621"/>
      <c r="AM90" s="617"/>
      <c r="AN90" s="617"/>
      <c r="AO90" s="618">
        <f>$K90-AL90-AM90-AN90</f>
        <v>30000</v>
      </c>
      <c r="AP90" s="621"/>
      <c r="AQ90" s="617"/>
      <c r="AR90" s="617"/>
      <c r="AS90" s="618">
        <f>$L90-AP90-AQ90-AR90</f>
        <v>93000</v>
      </c>
      <c r="AT90" s="621"/>
      <c r="AU90" s="617"/>
      <c r="AV90" s="617"/>
      <c r="AW90" s="620">
        <f>$M90-AT90-AU90-AV90</f>
        <v>0</v>
      </c>
      <c r="AX90" s="621"/>
      <c r="AY90" s="617"/>
      <c r="AZ90" s="617"/>
      <c r="BA90" s="620">
        <f>$N90-AX90-AY90-AZ90</f>
        <v>14000</v>
      </c>
      <c r="BB90" s="621"/>
      <c r="BC90" s="617"/>
      <c r="BD90" s="617"/>
      <c r="BE90" s="620">
        <f t="shared" ref="BE90:BE92" si="408">$O90-BB90-BC90-BD90</f>
        <v>0</v>
      </c>
      <c r="BF90" s="621"/>
      <c r="BG90" s="617"/>
      <c r="BH90" s="617"/>
      <c r="BI90" s="1927">
        <f t="shared" ref="BI90:BI92" si="409">$P90-BF90-BG90-BH90</f>
        <v>91000</v>
      </c>
      <c r="BJ90" s="621"/>
      <c r="BK90" s="617"/>
      <c r="BL90" s="617"/>
      <c r="BM90" s="1927">
        <f t="shared" si="374"/>
        <v>0</v>
      </c>
      <c r="BN90" s="621"/>
      <c r="BO90" s="1263">
        <v>0</v>
      </c>
      <c r="BP90" s="1263">
        <f t="shared" ref="BP90:BZ90" si="410">BO90</f>
        <v>0</v>
      </c>
      <c r="BQ90" s="1263">
        <f t="shared" si="410"/>
        <v>0</v>
      </c>
      <c r="BR90" s="1263">
        <f t="shared" si="410"/>
        <v>0</v>
      </c>
      <c r="BS90" s="1263">
        <f t="shared" si="410"/>
        <v>0</v>
      </c>
      <c r="BT90" s="1263">
        <f t="shared" si="410"/>
        <v>0</v>
      </c>
      <c r="BU90" s="1263">
        <f t="shared" si="410"/>
        <v>0</v>
      </c>
      <c r="BV90" s="1263">
        <f t="shared" si="410"/>
        <v>0</v>
      </c>
      <c r="BW90" s="1263">
        <f t="shared" si="410"/>
        <v>0</v>
      </c>
      <c r="BX90" s="1263">
        <f t="shared" si="410"/>
        <v>0</v>
      </c>
      <c r="BY90" s="1263">
        <f t="shared" si="410"/>
        <v>0</v>
      </c>
      <c r="BZ90" s="1263">
        <f t="shared" si="410"/>
        <v>0</v>
      </c>
      <c r="CA90" s="1263"/>
      <c r="CB90" s="99">
        <f t="shared" ref="CB90:CM92" si="411">ROUND(BO90*F90,-3)</f>
        <v>0</v>
      </c>
      <c r="CC90" s="99">
        <f t="shared" si="411"/>
        <v>0</v>
      </c>
      <c r="CD90" s="99">
        <f t="shared" si="411"/>
        <v>0</v>
      </c>
      <c r="CE90" s="99">
        <f t="shared" si="411"/>
        <v>0</v>
      </c>
      <c r="CF90" s="99">
        <f t="shared" si="411"/>
        <v>0</v>
      </c>
      <c r="CG90" s="99">
        <f t="shared" si="411"/>
        <v>0</v>
      </c>
      <c r="CH90" s="99">
        <f t="shared" si="411"/>
        <v>0</v>
      </c>
      <c r="CI90" s="99">
        <f t="shared" si="411"/>
        <v>0</v>
      </c>
      <c r="CJ90" s="99">
        <f t="shared" si="411"/>
        <v>0</v>
      </c>
      <c r="CK90" s="99">
        <f t="shared" si="411"/>
        <v>0</v>
      </c>
      <c r="CL90" s="99">
        <f t="shared" si="411"/>
        <v>0</v>
      </c>
      <c r="CM90" s="99">
        <f t="shared" si="411"/>
        <v>0</v>
      </c>
    </row>
    <row r="91" spans="1:91" s="355" customFormat="1" ht="14.25" customHeight="1" x14ac:dyDescent="0.2">
      <c r="A91" s="965" t="s">
        <v>6759</v>
      </c>
      <c r="B91" s="1481" t="s">
        <v>104</v>
      </c>
      <c r="C91" s="1481"/>
      <c r="D91" s="1481" t="s">
        <v>104</v>
      </c>
      <c r="E91" s="865"/>
      <c r="F91" s="2019"/>
      <c r="G91" s="2019">
        <f>290000+87000</f>
        <v>377000</v>
      </c>
      <c r="H91" s="2019"/>
      <c r="I91" s="2018"/>
      <c r="J91" s="2019"/>
      <c r="K91" s="862"/>
      <c r="L91" s="862"/>
      <c r="M91" s="862"/>
      <c r="N91" s="862"/>
      <c r="O91" s="862"/>
      <c r="P91" s="862"/>
      <c r="Q91" s="863"/>
      <c r="R91" s="2296"/>
      <c r="S91" s="2297"/>
      <c r="T91" s="2297"/>
      <c r="U91" s="2298"/>
      <c r="V91" s="621"/>
      <c r="W91" s="617"/>
      <c r="X91" s="617"/>
      <c r="Y91" s="620">
        <f t="shared" ref="Y91:Y92" si="412">$G91-V91-W91-X91</f>
        <v>377000</v>
      </c>
      <c r="Z91" s="621"/>
      <c r="AA91" s="617"/>
      <c r="AB91" s="617"/>
      <c r="AC91" s="620">
        <f t="shared" ref="AC91:AC92" si="413">$H91-Z91-AA91-AB91</f>
        <v>0</v>
      </c>
      <c r="AD91" s="621"/>
      <c r="AE91" s="617"/>
      <c r="AF91" s="617"/>
      <c r="AG91" s="618">
        <f t="shared" ref="AG91:AG92" si="414">$I91-AD91-AE91-AF91</f>
        <v>0</v>
      </c>
      <c r="AH91" s="621"/>
      <c r="AI91" s="617"/>
      <c r="AJ91" s="617"/>
      <c r="AK91" s="1927">
        <f t="shared" ref="AK91:AK92" si="415">$J91-AH91-AI91-AJ91</f>
        <v>0</v>
      </c>
      <c r="AL91" s="621"/>
      <c r="AM91" s="617"/>
      <c r="AN91" s="617"/>
      <c r="AO91" s="618">
        <f t="shared" ref="AO91:AO92" si="416">$K91-AL91-AM91-AN91</f>
        <v>0</v>
      </c>
      <c r="AP91" s="621"/>
      <c r="AQ91" s="617"/>
      <c r="AR91" s="617"/>
      <c r="AS91" s="618">
        <f t="shared" ref="AS91:AS92" si="417">$L91-AP91-AQ91-AR91</f>
        <v>0</v>
      </c>
      <c r="AT91" s="621"/>
      <c r="AU91" s="617"/>
      <c r="AV91" s="617"/>
      <c r="AW91" s="620">
        <f t="shared" ref="AW91:AW92" si="418">$M91-AT91-AU91-AV91</f>
        <v>0</v>
      </c>
      <c r="AX91" s="621"/>
      <c r="AY91" s="617"/>
      <c r="AZ91" s="617"/>
      <c r="BA91" s="620">
        <f t="shared" ref="BA91:BA92" si="419">$N91-AX91-AY91-AZ91</f>
        <v>0</v>
      </c>
      <c r="BB91" s="621"/>
      <c r="BC91" s="617"/>
      <c r="BD91" s="617"/>
      <c r="BE91" s="620">
        <f t="shared" si="408"/>
        <v>0</v>
      </c>
      <c r="BF91" s="621"/>
      <c r="BG91" s="617"/>
      <c r="BH91" s="617"/>
      <c r="BI91" s="1927">
        <f t="shared" si="409"/>
        <v>0</v>
      </c>
      <c r="BJ91" s="621"/>
      <c r="BK91" s="617"/>
      <c r="BL91" s="617"/>
      <c r="BM91" s="1927">
        <f t="shared" si="374"/>
        <v>0</v>
      </c>
      <c r="BN91" s="621"/>
      <c r="BO91" s="1263">
        <v>0</v>
      </c>
      <c r="BP91" s="1263">
        <f t="shared" ref="BP91:BP92" si="420">BO91</f>
        <v>0</v>
      </c>
      <c r="BQ91" s="1263">
        <f t="shared" ref="BQ91:BQ92" si="421">BP91</f>
        <v>0</v>
      </c>
      <c r="BR91" s="1263">
        <f t="shared" ref="BR91:BR92" si="422">BQ91</f>
        <v>0</v>
      </c>
      <c r="BS91" s="1263">
        <f t="shared" ref="BS91:BS92" si="423">BR91</f>
        <v>0</v>
      </c>
      <c r="BT91" s="1263">
        <f t="shared" ref="BT91:BT92" si="424">BS91</f>
        <v>0</v>
      </c>
      <c r="BU91" s="1263">
        <f t="shared" ref="BU91:BU92" si="425">BT91</f>
        <v>0</v>
      </c>
      <c r="BV91" s="1263">
        <f t="shared" ref="BV91:BV92" si="426">BU91</f>
        <v>0</v>
      </c>
      <c r="BW91" s="1263">
        <f t="shared" ref="BW91:BW92" si="427">BV91</f>
        <v>0</v>
      </c>
      <c r="BX91" s="1263">
        <f t="shared" ref="BX91:BX92" si="428">BW91</f>
        <v>0</v>
      </c>
      <c r="BY91" s="1263">
        <f t="shared" ref="BY91:BZ92" si="429">BX91</f>
        <v>0</v>
      </c>
      <c r="BZ91" s="1263">
        <f t="shared" si="429"/>
        <v>0</v>
      </c>
      <c r="CA91" s="1263"/>
      <c r="CB91" s="99">
        <f t="shared" si="411"/>
        <v>0</v>
      </c>
      <c r="CC91" s="99">
        <f t="shared" si="411"/>
        <v>0</v>
      </c>
      <c r="CD91" s="99">
        <f t="shared" si="411"/>
        <v>0</v>
      </c>
      <c r="CE91" s="99">
        <f t="shared" si="411"/>
        <v>0</v>
      </c>
      <c r="CF91" s="99">
        <f t="shared" si="411"/>
        <v>0</v>
      </c>
      <c r="CG91" s="99">
        <f t="shared" si="411"/>
        <v>0</v>
      </c>
      <c r="CH91" s="99">
        <f t="shared" si="411"/>
        <v>0</v>
      </c>
      <c r="CI91" s="99">
        <f t="shared" si="411"/>
        <v>0</v>
      </c>
      <c r="CJ91" s="99">
        <f t="shared" si="411"/>
        <v>0</v>
      </c>
      <c r="CK91" s="99">
        <f t="shared" si="411"/>
        <v>0</v>
      </c>
      <c r="CL91" s="99">
        <f t="shared" si="411"/>
        <v>0</v>
      </c>
      <c r="CM91" s="99">
        <f t="shared" si="411"/>
        <v>0</v>
      </c>
    </row>
    <row r="92" spans="1:91" s="355" customFormat="1" ht="14.25" customHeight="1" x14ac:dyDescent="0.2">
      <c r="A92" s="965" t="s">
        <v>6544</v>
      </c>
      <c r="B92" s="1481"/>
      <c r="C92" s="1481"/>
      <c r="D92" s="1481"/>
      <c r="E92" s="865"/>
      <c r="F92" s="2019"/>
      <c r="G92" s="2019"/>
      <c r="H92" s="2019">
        <v>50000</v>
      </c>
      <c r="I92" s="2018"/>
      <c r="J92" s="2019"/>
      <c r="K92" s="862"/>
      <c r="L92" s="862"/>
      <c r="M92" s="862"/>
      <c r="N92" s="862"/>
      <c r="O92" s="862"/>
      <c r="P92" s="862"/>
      <c r="Q92" s="863"/>
      <c r="R92" s="2296"/>
      <c r="S92" s="2297"/>
      <c r="T92" s="2297"/>
      <c r="U92" s="2298"/>
      <c r="V92" s="621"/>
      <c r="W92" s="617"/>
      <c r="X92" s="617"/>
      <c r="Y92" s="620">
        <f t="shared" si="412"/>
        <v>0</v>
      </c>
      <c r="Z92" s="621"/>
      <c r="AA92" s="617"/>
      <c r="AB92" s="617"/>
      <c r="AC92" s="620">
        <f t="shared" si="413"/>
        <v>50000</v>
      </c>
      <c r="AD92" s="621"/>
      <c r="AE92" s="617"/>
      <c r="AF92" s="617"/>
      <c r="AG92" s="618">
        <f t="shared" si="414"/>
        <v>0</v>
      </c>
      <c r="AH92" s="621"/>
      <c r="AI92" s="617"/>
      <c r="AJ92" s="617"/>
      <c r="AK92" s="1927">
        <f t="shared" si="415"/>
        <v>0</v>
      </c>
      <c r="AL92" s="621"/>
      <c r="AM92" s="617"/>
      <c r="AN92" s="617"/>
      <c r="AO92" s="618">
        <f t="shared" si="416"/>
        <v>0</v>
      </c>
      <c r="AP92" s="621"/>
      <c r="AQ92" s="617"/>
      <c r="AR92" s="617"/>
      <c r="AS92" s="618">
        <f t="shared" si="417"/>
        <v>0</v>
      </c>
      <c r="AT92" s="621"/>
      <c r="AU92" s="617"/>
      <c r="AV92" s="617"/>
      <c r="AW92" s="620">
        <f t="shared" si="418"/>
        <v>0</v>
      </c>
      <c r="AX92" s="621"/>
      <c r="AY92" s="617"/>
      <c r="AZ92" s="617"/>
      <c r="BA92" s="620">
        <f t="shared" si="419"/>
        <v>0</v>
      </c>
      <c r="BB92" s="621"/>
      <c r="BC92" s="617"/>
      <c r="BD92" s="617"/>
      <c r="BE92" s="620">
        <f t="shared" si="408"/>
        <v>0</v>
      </c>
      <c r="BF92" s="621"/>
      <c r="BG92" s="617"/>
      <c r="BH92" s="617"/>
      <c r="BI92" s="1927">
        <f t="shared" si="409"/>
        <v>0</v>
      </c>
      <c r="BJ92" s="621"/>
      <c r="BK92" s="617"/>
      <c r="BL92" s="617"/>
      <c r="BM92" s="1927">
        <f t="shared" si="374"/>
        <v>0</v>
      </c>
      <c r="BN92" s="621"/>
      <c r="BO92" s="1263">
        <v>0</v>
      </c>
      <c r="BP92" s="1263">
        <f t="shared" si="420"/>
        <v>0</v>
      </c>
      <c r="BQ92" s="1263">
        <f t="shared" si="421"/>
        <v>0</v>
      </c>
      <c r="BR92" s="1263">
        <f t="shared" si="422"/>
        <v>0</v>
      </c>
      <c r="BS92" s="1263">
        <f t="shared" si="423"/>
        <v>0</v>
      </c>
      <c r="BT92" s="1263">
        <f t="shared" si="424"/>
        <v>0</v>
      </c>
      <c r="BU92" s="1263">
        <f t="shared" si="425"/>
        <v>0</v>
      </c>
      <c r="BV92" s="1263">
        <f t="shared" si="426"/>
        <v>0</v>
      </c>
      <c r="BW92" s="1263">
        <f t="shared" si="427"/>
        <v>0</v>
      </c>
      <c r="BX92" s="1263">
        <f t="shared" si="428"/>
        <v>0</v>
      </c>
      <c r="BY92" s="1263">
        <f t="shared" si="429"/>
        <v>0</v>
      </c>
      <c r="BZ92" s="1263">
        <f t="shared" si="429"/>
        <v>0</v>
      </c>
      <c r="CA92" s="1263"/>
      <c r="CB92" s="99">
        <f t="shared" si="411"/>
        <v>0</v>
      </c>
      <c r="CC92" s="99">
        <f t="shared" si="411"/>
        <v>0</v>
      </c>
      <c r="CD92" s="99">
        <f t="shared" si="411"/>
        <v>0</v>
      </c>
      <c r="CE92" s="99">
        <f t="shared" si="411"/>
        <v>0</v>
      </c>
      <c r="CF92" s="99">
        <f t="shared" si="411"/>
        <v>0</v>
      </c>
      <c r="CG92" s="99">
        <f t="shared" si="411"/>
        <v>0</v>
      </c>
      <c r="CH92" s="99">
        <f t="shared" si="411"/>
        <v>0</v>
      </c>
      <c r="CI92" s="99">
        <f t="shared" si="411"/>
        <v>0</v>
      </c>
      <c r="CJ92" s="99">
        <f t="shared" si="411"/>
        <v>0</v>
      </c>
      <c r="CK92" s="99">
        <f t="shared" si="411"/>
        <v>0</v>
      </c>
      <c r="CL92" s="99">
        <f t="shared" si="411"/>
        <v>0</v>
      </c>
      <c r="CM92" s="99">
        <f t="shared" si="411"/>
        <v>0</v>
      </c>
    </row>
    <row r="93" spans="1:91" s="355" customFormat="1" ht="14.25" customHeight="1" x14ac:dyDescent="0.2">
      <c r="A93" s="965"/>
      <c r="B93" s="1480"/>
      <c r="C93" s="1480"/>
      <c r="D93" s="1480"/>
      <c r="E93" s="865"/>
      <c r="F93" s="2019"/>
      <c r="G93" s="2019"/>
      <c r="H93" s="2019"/>
      <c r="I93" s="2018"/>
      <c r="J93" s="2019"/>
      <c r="K93" s="862"/>
      <c r="L93" s="862"/>
      <c r="M93" s="862"/>
      <c r="N93" s="862"/>
      <c r="O93" s="862"/>
      <c r="P93" s="862"/>
      <c r="Q93" s="863"/>
      <c r="R93" s="2296"/>
      <c r="S93" s="2297"/>
      <c r="T93" s="2297"/>
      <c r="U93" s="2298"/>
      <c r="V93" s="621"/>
      <c r="W93" s="617"/>
      <c r="X93" s="617"/>
      <c r="Y93" s="620"/>
      <c r="Z93" s="621"/>
      <c r="AA93" s="617"/>
      <c r="AB93" s="617"/>
      <c r="AC93" s="620"/>
      <c r="AD93" s="621"/>
      <c r="AE93" s="617"/>
      <c r="AF93" s="617"/>
      <c r="AG93" s="618"/>
      <c r="AH93" s="621"/>
      <c r="AI93" s="617"/>
      <c r="AJ93" s="617"/>
      <c r="AK93" s="1927"/>
      <c r="AL93" s="621"/>
      <c r="AM93" s="617"/>
      <c r="AN93" s="617"/>
      <c r="AO93" s="618"/>
      <c r="AP93" s="621"/>
      <c r="AQ93" s="617"/>
      <c r="AR93" s="617"/>
      <c r="AS93" s="618"/>
      <c r="AT93" s="621"/>
      <c r="AU93" s="617"/>
      <c r="AV93" s="617"/>
      <c r="AW93" s="620"/>
      <c r="AX93" s="621"/>
      <c r="AY93" s="617"/>
      <c r="AZ93" s="617"/>
      <c r="BA93" s="620"/>
      <c r="BB93" s="621"/>
      <c r="BC93" s="617"/>
      <c r="BD93" s="617"/>
      <c r="BE93" s="620"/>
      <c r="BF93" s="621"/>
      <c r="BG93" s="617"/>
      <c r="BH93" s="617"/>
      <c r="BI93" s="620"/>
      <c r="BJ93" s="621"/>
      <c r="BK93" s="617"/>
      <c r="BL93" s="617"/>
      <c r="BM93" s="1927"/>
      <c r="BN93" s="621"/>
      <c r="BO93" s="546"/>
      <c r="BP93" s="546"/>
      <c r="BQ93" s="546"/>
      <c r="BR93" s="546"/>
      <c r="BS93" s="546"/>
      <c r="BT93" s="546"/>
      <c r="BU93" s="546"/>
      <c r="BV93" s="546"/>
      <c r="BW93" s="546"/>
      <c r="BX93" s="546"/>
      <c r="BY93" s="546"/>
      <c r="BZ93" s="546"/>
      <c r="CA93" s="546"/>
      <c r="CB93" s="84"/>
      <c r="CC93" s="84"/>
      <c r="CD93" s="84"/>
      <c r="CE93" s="84"/>
      <c r="CF93" s="84"/>
      <c r="CG93" s="84"/>
      <c r="CH93" s="84"/>
      <c r="CI93" s="84"/>
      <c r="CJ93" s="84"/>
      <c r="CK93" s="84"/>
      <c r="CL93" s="84"/>
      <c r="CM93" s="84"/>
    </row>
    <row r="94" spans="1:91" s="355" customFormat="1" ht="14.25" customHeight="1" x14ac:dyDescent="0.2">
      <c r="A94" s="733" t="s">
        <v>1156</v>
      </c>
      <c r="B94" s="1480"/>
      <c r="C94" s="1480"/>
      <c r="D94" s="1480"/>
      <c r="E94" s="865"/>
      <c r="F94" s="2019"/>
      <c r="G94" s="2019"/>
      <c r="H94" s="2019"/>
      <c r="I94" s="2018"/>
      <c r="J94" s="2019"/>
      <c r="K94" s="862"/>
      <c r="L94" s="862"/>
      <c r="M94" s="862"/>
      <c r="N94" s="862"/>
      <c r="O94" s="862"/>
      <c r="P94" s="862"/>
      <c r="Q94" s="863"/>
      <c r="R94" s="2296"/>
      <c r="S94" s="2297"/>
      <c r="T94" s="2297"/>
      <c r="U94" s="2298"/>
      <c r="V94" s="621"/>
      <c r="W94" s="617"/>
      <c r="X94" s="617"/>
      <c r="Y94" s="620"/>
      <c r="Z94" s="621"/>
      <c r="AA94" s="617"/>
      <c r="AB94" s="617"/>
      <c r="AC94" s="620"/>
      <c r="AD94" s="621"/>
      <c r="AE94" s="617"/>
      <c r="AF94" s="617"/>
      <c r="AG94" s="618"/>
      <c r="AH94" s="621"/>
      <c r="AI94" s="617"/>
      <c r="AJ94" s="617"/>
      <c r="AK94" s="1927"/>
      <c r="AL94" s="621"/>
      <c r="AM94" s="617"/>
      <c r="AN94" s="617"/>
      <c r="AO94" s="618"/>
      <c r="AP94" s="621"/>
      <c r="AQ94" s="617"/>
      <c r="AR94" s="617"/>
      <c r="AS94" s="618"/>
      <c r="AT94" s="621"/>
      <c r="AU94" s="617"/>
      <c r="AV94" s="617"/>
      <c r="AW94" s="620"/>
      <c r="AX94" s="621"/>
      <c r="AY94" s="617"/>
      <c r="AZ94" s="617"/>
      <c r="BA94" s="620"/>
      <c r="BB94" s="621"/>
      <c r="BC94" s="617"/>
      <c r="BD94" s="617"/>
      <c r="BE94" s="620"/>
      <c r="BF94" s="621"/>
      <c r="BG94" s="617"/>
      <c r="BH94" s="617"/>
      <c r="BI94" s="620"/>
      <c r="BJ94" s="621"/>
      <c r="BK94" s="617"/>
      <c r="BL94" s="617"/>
      <c r="BM94" s="1927"/>
      <c r="BN94" s="621"/>
      <c r="BO94" s="1263"/>
      <c r="BP94" s="1263"/>
      <c r="BQ94" s="1263"/>
      <c r="BR94" s="1263"/>
      <c r="BS94" s="1263"/>
      <c r="BT94" s="1263"/>
      <c r="BU94" s="1263"/>
      <c r="BV94" s="1263"/>
      <c r="BW94" s="1263"/>
      <c r="BX94" s="1263"/>
      <c r="BY94" s="1263"/>
      <c r="BZ94" s="1263"/>
      <c r="CA94" s="1263"/>
      <c r="CB94" s="78"/>
      <c r="CC94" s="78"/>
      <c r="CD94" s="78"/>
      <c r="CE94" s="78"/>
      <c r="CF94" s="78"/>
      <c r="CG94" s="78"/>
      <c r="CH94" s="78"/>
      <c r="CI94" s="78"/>
      <c r="CJ94" s="78"/>
      <c r="CK94" s="78"/>
      <c r="CL94" s="78"/>
      <c r="CM94" s="78"/>
    </row>
    <row r="95" spans="1:91" s="355" customFormat="1" ht="14.25" customHeight="1" x14ac:dyDescent="0.2">
      <c r="A95" s="964" t="s">
        <v>3475</v>
      </c>
      <c r="B95" s="1481" t="s">
        <v>5163</v>
      </c>
      <c r="C95" s="1481" t="s">
        <v>5076</v>
      </c>
      <c r="D95" s="1481" t="s">
        <v>5162</v>
      </c>
      <c r="E95" s="865">
        <v>0</v>
      </c>
      <c r="F95" s="2019">
        <v>4400</v>
      </c>
      <c r="G95" s="2019">
        <f>15000+15000</f>
        <v>30000</v>
      </c>
      <c r="H95" s="2019">
        <v>16000</v>
      </c>
      <c r="I95" s="2019">
        <v>16000</v>
      </c>
      <c r="J95" s="2019">
        <v>17000</v>
      </c>
      <c r="K95" s="862">
        <v>17000</v>
      </c>
      <c r="L95" s="862">
        <v>18000</v>
      </c>
      <c r="M95" s="862">
        <v>18000</v>
      </c>
      <c r="N95" s="862">
        <v>19000</v>
      </c>
      <c r="O95" s="862">
        <v>20000</v>
      </c>
      <c r="P95" s="862">
        <v>21000</v>
      </c>
      <c r="Q95" s="863">
        <v>22000</v>
      </c>
      <c r="R95" s="2296"/>
      <c r="S95" s="2297"/>
      <c r="T95" s="2297"/>
      <c r="U95" s="2298">
        <f>$F95-R95-S95-T95</f>
        <v>4400</v>
      </c>
      <c r="V95" s="621"/>
      <c r="W95" s="617"/>
      <c r="X95" s="617"/>
      <c r="Y95" s="620">
        <f>$G95-V95-W95-X95</f>
        <v>30000</v>
      </c>
      <c r="Z95" s="621"/>
      <c r="AA95" s="617"/>
      <c r="AB95" s="617"/>
      <c r="AC95" s="620">
        <f>$H95-Z95-AA95-AB95</f>
        <v>16000</v>
      </c>
      <c r="AD95" s="621"/>
      <c r="AE95" s="617"/>
      <c r="AF95" s="617"/>
      <c r="AG95" s="618">
        <f>$I95-AD95-AE95-AF95</f>
        <v>16000</v>
      </c>
      <c r="AH95" s="621"/>
      <c r="AI95" s="617"/>
      <c r="AJ95" s="617"/>
      <c r="AK95" s="1927">
        <f>$J95-AH95-AI95-AJ95</f>
        <v>17000</v>
      </c>
      <c r="AL95" s="621"/>
      <c r="AM95" s="617"/>
      <c r="AN95" s="617"/>
      <c r="AO95" s="618">
        <f>$K95-AL95-AM95-AN95</f>
        <v>17000</v>
      </c>
      <c r="AP95" s="621"/>
      <c r="AQ95" s="617"/>
      <c r="AR95" s="617"/>
      <c r="AS95" s="618">
        <f>$L95-AP95-AQ95-AR95</f>
        <v>18000</v>
      </c>
      <c r="AT95" s="621"/>
      <c r="AU95" s="617"/>
      <c r="AV95" s="617"/>
      <c r="AW95" s="620">
        <f>$M95-AT95-AU95-AV95</f>
        <v>18000</v>
      </c>
      <c r="AX95" s="621"/>
      <c r="AY95" s="617"/>
      <c r="AZ95" s="617"/>
      <c r="BA95" s="620">
        <f>$N95-AX95-AY95-AZ95</f>
        <v>19000</v>
      </c>
      <c r="BB95" s="621"/>
      <c r="BC95" s="617"/>
      <c r="BD95" s="617"/>
      <c r="BE95" s="620">
        <f>$O95-BB95-BC95-BD95</f>
        <v>20000</v>
      </c>
      <c r="BF95" s="621"/>
      <c r="BG95" s="617"/>
      <c r="BH95" s="617"/>
      <c r="BI95" s="1927">
        <f t="shared" ref="BI95" si="430">$P95-BF95-BG95-BH95</f>
        <v>21000</v>
      </c>
      <c r="BJ95" s="621"/>
      <c r="BK95" s="617"/>
      <c r="BL95" s="617"/>
      <c r="BM95" s="1927">
        <f t="shared" si="374"/>
        <v>22000</v>
      </c>
      <c r="BN95" s="621"/>
      <c r="BO95" s="1263">
        <v>0</v>
      </c>
      <c r="BP95" s="1263">
        <f t="shared" ref="BP95:BZ95" si="431">BO95</f>
        <v>0</v>
      </c>
      <c r="BQ95" s="1263">
        <f t="shared" si="431"/>
        <v>0</v>
      </c>
      <c r="BR95" s="1263">
        <f t="shared" si="431"/>
        <v>0</v>
      </c>
      <c r="BS95" s="1263">
        <f t="shared" si="431"/>
        <v>0</v>
      </c>
      <c r="BT95" s="1263">
        <f t="shared" si="431"/>
        <v>0</v>
      </c>
      <c r="BU95" s="1263">
        <f t="shared" si="431"/>
        <v>0</v>
      </c>
      <c r="BV95" s="1263">
        <f t="shared" si="431"/>
        <v>0</v>
      </c>
      <c r="BW95" s="1263">
        <f t="shared" si="431"/>
        <v>0</v>
      </c>
      <c r="BX95" s="1263">
        <f t="shared" si="431"/>
        <v>0</v>
      </c>
      <c r="BY95" s="1263">
        <f t="shared" si="431"/>
        <v>0</v>
      </c>
      <c r="BZ95" s="1263">
        <f t="shared" si="431"/>
        <v>0</v>
      </c>
      <c r="CA95" s="1263"/>
      <c r="CB95" s="99">
        <f t="shared" ref="CB95:CM98" si="432">ROUND(BO95*F95,-3)</f>
        <v>0</v>
      </c>
      <c r="CC95" s="99">
        <f t="shared" si="432"/>
        <v>0</v>
      </c>
      <c r="CD95" s="99">
        <f t="shared" si="432"/>
        <v>0</v>
      </c>
      <c r="CE95" s="99">
        <f t="shared" si="432"/>
        <v>0</v>
      </c>
      <c r="CF95" s="99">
        <f t="shared" si="432"/>
        <v>0</v>
      </c>
      <c r="CG95" s="99">
        <f t="shared" si="432"/>
        <v>0</v>
      </c>
      <c r="CH95" s="99">
        <f t="shared" si="432"/>
        <v>0</v>
      </c>
      <c r="CI95" s="99">
        <f t="shared" si="432"/>
        <v>0</v>
      </c>
      <c r="CJ95" s="99">
        <f t="shared" si="432"/>
        <v>0</v>
      </c>
      <c r="CK95" s="99">
        <f t="shared" si="432"/>
        <v>0</v>
      </c>
      <c r="CL95" s="99">
        <f t="shared" si="432"/>
        <v>0</v>
      </c>
      <c r="CM95" s="99">
        <f t="shared" si="432"/>
        <v>0</v>
      </c>
    </row>
    <row r="96" spans="1:91" s="355" customFormat="1" ht="14.25" customHeight="1" x14ac:dyDescent="0.2">
      <c r="A96" s="965" t="s">
        <v>7052</v>
      </c>
      <c r="B96" s="1481" t="s">
        <v>5923</v>
      </c>
      <c r="C96" s="1480"/>
      <c r="D96" s="1481" t="s">
        <v>5922</v>
      </c>
      <c r="E96" s="865"/>
      <c r="F96" s="2019"/>
      <c r="G96" s="2018">
        <v>30000</v>
      </c>
      <c r="H96" s="2019"/>
      <c r="I96" s="2018"/>
      <c r="J96" s="2018"/>
      <c r="K96" s="862"/>
      <c r="L96" s="862"/>
      <c r="M96" s="862"/>
      <c r="N96" s="862"/>
      <c r="O96" s="862"/>
      <c r="P96" s="862"/>
      <c r="Q96" s="863"/>
      <c r="R96" s="2296"/>
      <c r="S96" s="2297"/>
      <c r="T96" s="2297"/>
      <c r="U96" s="2298">
        <f t="shared" ref="U96:U98" si="433">$F96-R96-S96-T96</f>
        <v>0</v>
      </c>
      <c r="V96" s="621"/>
      <c r="W96" s="617"/>
      <c r="X96" s="617"/>
      <c r="Y96" s="620">
        <f t="shared" ref="Y96:Y98" si="434">$G96-V96-W96-X96</f>
        <v>30000</v>
      </c>
      <c r="Z96" s="621"/>
      <c r="AA96" s="617"/>
      <c r="AB96" s="617"/>
      <c r="AC96" s="620">
        <f t="shared" ref="AC96:AC98" si="435">$H96-Z96-AA96-AB96</f>
        <v>0</v>
      </c>
      <c r="AD96" s="621"/>
      <c r="AE96" s="617"/>
      <c r="AF96" s="617"/>
      <c r="AG96" s="618">
        <f t="shared" ref="AG96:AG98" si="436">$I96-AD96-AE96-AF96</f>
        <v>0</v>
      </c>
      <c r="AH96" s="621"/>
      <c r="AI96" s="617"/>
      <c r="AJ96" s="617"/>
      <c r="AK96" s="1927">
        <f t="shared" ref="AK96:AK98" si="437">$J96-AH96-AI96-AJ96</f>
        <v>0</v>
      </c>
      <c r="AL96" s="621"/>
      <c r="AM96" s="617"/>
      <c r="AN96" s="617"/>
      <c r="AO96" s="618">
        <f t="shared" ref="AO96:AO98" si="438">$K96-AL96-AM96-AN96</f>
        <v>0</v>
      </c>
      <c r="AP96" s="621"/>
      <c r="AQ96" s="617"/>
      <c r="AR96" s="617"/>
      <c r="AS96" s="618">
        <f t="shared" ref="AS96:AS98" si="439">$L96-AP96-AQ96-AR96</f>
        <v>0</v>
      </c>
      <c r="AT96" s="621"/>
      <c r="AU96" s="617"/>
      <c r="AV96" s="617"/>
      <c r="AW96" s="620">
        <f t="shared" ref="AW96:AW98" si="440">$M96-AT96-AU96-AV96</f>
        <v>0</v>
      </c>
      <c r="AX96" s="621"/>
      <c r="AY96" s="617"/>
      <c r="AZ96" s="617"/>
      <c r="BA96" s="620">
        <f t="shared" ref="BA96:BA98" si="441">$N96-AX96-AY96-AZ96</f>
        <v>0</v>
      </c>
      <c r="BB96" s="621"/>
      <c r="BC96" s="617"/>
      <c r="BD96" s="617"/>
      <c r="BE96" s="620">
        <f t="shared" ref="BE96:BE98" si="442">$O96-BB96-BC96-BD96</f>
        <v>0</v>
      </c>
      <c r="BF96" s="621"/>
      <c r="BG96" s="617"/>
      <c r="BH96" s="617"/>
      <c r="BI96" s="1927">
        <f t="shared" ref="BI96:BI98" si="443">$P96-BF96-BG96-BH96</f>
        <v>0</v>
      </c>
      <c r="BJ96" s="621"/>
      <c r="BK96" s="617"/>
      <c r="BL96" s="617"/>
      <c r="BM96" s="1927">
        <f t="shared" si="374"/>
        <v>0</v>
      </c>
      <c r="BN96" s="621"/>
      <c r="BO96" s="1263">
        <v>0</v>
      </c>
      <c r="BP96" s="1263">
        <f t="shared" ref="BP96:BP98" si="444">BO96</f>
        <v>0</v>
      </c>
      <c r="BQ96" s="1263">
        <f t="shared" ref="BQ96:BQ98" si="445">BP96</f>
        <v>0</v>
      </c>
      <c r="BR96" s="1263">
        <f t="shared" ref="BR96:BR98" si="446">BQ96</f>
        <v>0</v>
      </c>
      <c r="BS96" s="1263">
        <f t="shared" ref="BS96:BS98" si="447">BR96</f>
        <v>0</v>
      </c>
      <c r="BT96" s="1263">
        <f t="shared" ref="BT96:BT98" si="448">BS96</f>
        <v>0</v>
      </c>
      <c r="BU96" s="1263">
        <f t="shared" ref="BU96:BU98" si="449">BT96</f>
        <v>0</v>
      </c>
      <c r="BV96" s="1263">
        <f t="shared" ref="BV96:BV98" si="450">BU96</f>
        <v>0</v>
      </c>
      <c r="BW96" s="1263">
        <f t="shared" ref="BW96:BW98" si="451">BV96</f>
        <v>0</v>
      </c>
      <c r="BX96" s="1263">
        <f t="shared" ref="BX96:BX98" si="452">BW96</f>
        <v>0</v>
      </c>
      <c r="BY96" s="1263">
        <f t="shared" ref="BY96:BZ98" si="453">BX96</f>
        <v>0</v>
      </c>
      <c r="BZ96" s="1263">
        <f t="shared" si="453"/>
        <v>0</v>
      </c>
      <c r="CA96" s="1263"/>
      <c r="CB96" s="99">
        <f t="shared" si="432"/>
        <v>0</v>
      </c>
      <c r="CC96" s="99">
        <f t="shared" si="432"/>
        <v>0</v>
      </c>
      <c r="CD96" s="99">
        <f t="shared" si="432"/>
        <v>0</v>
      </c>
      <c r="CE96" s="99">
        <f t="shared" si="432"/>
        <v>0</v>
      </c>
      <c r="CF96" s="99">
        <f t="shared" si="432"/>
        <v>0</v>
      </c>
      <c r="CG96" s="99">
        <f t="shared" si="432"/>
        <v>0</v>
      </c>
      <c r="CH96" s="99">
        <f t="shared" si="432"/>
        <v>0</v>
      </c>
      <c r="CI96" s="99">
        <f t="shared" si="432"/>
        <v>0</v>
      </c>
      <c r="CJ96" s="99">
        <f t="shared" si="432"/>
        <v>0</v>
      </c>
      <c r="CK96" s="99">
        <f t="shared" si="432"/>
        <v>0</v>
      </c>
      <c r="CL96" s="99">
        <f t="shared" si="432"/>
        <v>0</v>
      </c>
      <c r="CM96" s="99">
        <f t="shared" si="432"/>
        <v>0</v>
      </c>
    </row>
    <row r="97" spans="1:91" s="355" customFormat="1" ht="14.25" customHeight="1" x14ac:dyDescent="0.2">
      <c r="A97" s="965" t="s">
        <v>6092</v>
      </c>
      <c r="B97" s="1481"/>
      <c r="C97" s="1480"/>
      <c r="D97" s="1481"/>
      <c r="E97" s="865"/>
      <c r="F97" s="2019"/>
      <c r="G97" s="2018"/>
      <c r="H97" s="2019">
        <v>50000</v>
      </c>
      <c r="I97" s="2018">
        <v>100000</v>
      </c>
      <c r="J97" s="2018"/>
      <c r="K97" s="862"/>
      <c r="L97" s="862"/>
      <c r="M97" s="862"/>
      <c r="N97" s="862"/>
      <c r="O97" s="862"/>
      <c r="P97" s="862"/>
      <c r="Q97" s="863"/>
      <c r="R97" s="2296"/>
      <c r="S97" s="2297"/>
      <c r="T97" s="2297"/>
      <c r="U97" s="2298"/>
      <c r="V97" s="621"/>
      <c r="W97" s="617"/>
      <c r="X97" s="617"/>
      <c r="Y97" s="620">
        <f t="shared" si="434"/>
        <v>0</v>
      </c>
      <c r="Z97" s="621"/>
      <c r="AA97" s="617"/>
      <c r="AB97" s="617"/>
      <c r="AC97" s="620">
        <f t="shared" si="435"/>
        <v>50000</v>
      </c>
      <c r="AD97" s="621"/>
      <c r="AE97" s="617"/>
      <c r="AF97" s="617"/>
      <c r="AG97" s="618">
        <f t="shared" si="436"/>
        <v>100000</v>
      </c>
      <c r="AH97" s="621"/>
      <c r="AI97" s="617"/>
      <c r="AJ97" s="617"/>
      <c r="AK97" s="1927">
        <f t="shared" si="437"/>
        <v>0</v>
      </c>
      <c r="AL97" s="621"/>
      <c r="AM97" s="617"/>
      <c r="AN97" s="617"/>
      <c r="AO97" s="618">
        <f t="shared" si="438"/>
        <v>0</v>
      </c>
      <c r="AP97" s="621"/>
      <c r="AQ97" s="617"/>
      <c r="AR97" s="617"/>
      <c r="AS97" s="618">
        <f t="shared" si="439"/>
        <v>0</v>
      </c>
      <c r="AT97" s="621"/>
      <c r="AU97" s="617"/>
      <c r="AV97" s="617"/>
      <c r="AW97" s="620">
        <f t="shared" si="440"/>
        <v>0</v>
      </c>
      <c r="AX97" s="621"/>
      <c r="AY97" s="617"/>
      <c r="AZ97" s="617"/>
      <c r="BA97" s="620">
        <f t="shared" si="441"/>
        <v>0</v>
      </c>
      <c r="BB97" s="621"/>
      <c r="BC97" s="617"/>
      <c r="BD97" s="617"/>
      <c r="BE97" s="620">
        <f t="shared" si="442"/>
        <v>0</v>
      </c>
      <c r="BF97" s="621"/>
      <c r="BG97" s="617"/>
      <c r="BH97" s="617"/>
      <c r="BI97" s="1927">
        <f t="shared" si="443"/>
        <v>0</v>
      </c>
      <c r="BJ97" s="621"/>
      <c r="BK97" s="617"/>
      <c r="BL97" s="617"/>
      <c r="BM97" s="1927">
        <f t="shared" si="374"/>
        <v>0</v>
      </c>
      <c r="BN97" s="621"/>
      <c r="BO97" s="1263">
        <v>0</v>
      </c>
      <c r="BP97" s="1263">
        <f t="shared" ref="BP97" si="454">BO97</f>
        <v>0</v>
      </c>
      <c r="BQ97" s="1263">
        <f t="shared" ref="BQ97" si="455">BP97</f>
        <v>0</v>
      </c>
      <c r="BR97" s="1263">
        <f t="shared" ref="BR97" si="456">BQ97</f>
        <v>0</v>
      </c>
      <c r="BS97" s="1263">
        <f t="shared" ref="BS97" si="457">BR97</f>
        <v>0</v>
      </c>
      <c r="BT97" s="1263">
        <f t="shared" ref="BT97" si="458">BS97</f>
        <v>0</v>
      </c>
      <c r="BU97" s="1263">
        <f t="shared" ref="BU97" si="459">BT97</f>
        <v>0</v>
      </c>
      <c r="BV97" s="1263">
        <f t="shared" ref="BV97" si="460">BU97</f>
        <v>0</v>
      </c>
      <c r="BW97" s="1263">
        <f t="shared" ref="BW97" si="461">BV97</f>
        <v>0</v>
      </c>
      <c r="BX97" s="1263">
        <f t="shared" ref="BX97" si="462">BW97</f>
        <v>0</v>
      </c>
      <c r="BY97" s="1263">
        <f t="shared" ref="BY97:BZ97" si="463">BX97</f>
        <v>0</v>
      </c>
      <c r="BZ97" s="1263">
        <f t="shared" si="463"/>
        <v>0</v>
      </c>
      <c r="CA97" s="1263"/>
      <c r="CB97" s="99">
        <f t="shared" si="432"/>
        <v>0</v>
      </c>
      <c r="CC97" s="99">
        <f t="shared" si="432"/>
        <v>0</v>
      </c>
      <c r="CD97" s="99">
        <f t="shared" si="432"/>
        <v>0</v>
      </c>
      <c r="CE97" s="99">
        <f t="shared" si="432"/>
        <v>0</v>
      </c>
      <c r="CF97" s="99">
        <f t="shared" si="432"/>
        <v>0</v>
      </c>
      <c r="CG97" s="99">
        <f t="shared" si="432"/>
        <v>0</v>
      </c>
      <c r="CH97" s="99">
        <f t="shared" si="432"/>
        <v>0</v>
      </c>
      <c r="CI97" s="99">
        <f t="shared" si="432"/>
        <v>0</v>
      </c>
      <c r="CJ97" s="99">
        <f t="shared" si="432"/>
        <v>0</v>
      </c>
      <c r="CK97" s="99">
        <f t="shared" si="432"/>
        <v>0</v>
      </c>
      <c r="CL97" s="99">
        <f t="shared" si="432"/>
        <v>0</v>
      </c>
      <c r="CM97" s="99">
        <f t="shared" si="432"/>
        <v>0</v>
      </c>
    </row>
    <row r="98" spans="1:91" s="355" customFormat="1" ht="14.25" customHeight="1" x14ac:dyDescent="0.2">
      <c r="A98" s="965" t="s">
        <v>1156</v>
      </c>
      <c r="B98" s="1481" t="s">
        <v>5608</v>
      </c>
      <c r="C98" s="1481" t="s">
        <v>5609</v>
      </c>
      <c r="D98" s="1481"/>
      <c r="E98" s="865"/>
      <c r="F98" s="2019">
        <f>29900+33800</f>
        <v>63700</v>
      </c>
      <c r="G98" s="2018"/>
      <c r="H98" s="2019"/>
      <c r="I98" s="2018"/>
      <c r="J98" s="2018"/>
      <c r="K98" s="862"/>
      <c r="L98" s="862"/>
      <c r="M98" s="862"/>
      <c r="N98" s="862"/>
      <c r="O98" s="862"/>
      <c r="P98" s="862"/>
      <c r="Q98" s="863"/>
      <c r="R98" s="2296"/>
      <c r="S98" s="2297"/>
      <c r="T98" s="2297"/>
      <c r="U98" s="2298">
        <f t="shared" si="433"/>
        <v>63700</v>
      </c>
      <c r="V98" s="621"/>
      <c r="W98" s="617"/>
      <c r="X98" s="617"/>
      <c r="Y98" s="620">
        <f t="shared" si="434"/>
        <v>0</v>
      </c>
      <c r="Z98" s="621"/>
      <c r="AA98" s="617"/>
      <c r="AB98" s="617"/>
      <c r="AC98" s="620">
        <f t="shared" si="435"/>
        <v>0</v>
      </c>
      <c r="AD98" s="621"/>
      <c r="AE98" s="617"/>
      <c r="AF98" s="617"/>
      <c r="AG98" s="618">
        <f t="shared" si="436"/>
        <v>0</v>
      </c>
      <c r="AH98" s="621"/>
      <c r="AI98" s="617"/>
      <c r="AJ98" s="617"/>
      <c r="AK98" s="1927">
        <f t="shared" si="437"/>
        <v>0</v>
      </c>
      <c r="AL98" s="621"/>
      <c r="AM98" s="617"/>
      <c r="AN98" s="617"/>
      <c r="AO98" s="618">
        <f t="shared" si="438"/>
        <v>0</v>
      </c>
      <c r="AP98" s="621"/>
      <c r="AQ98" s="617"/>
      <c r="AR98" s="617"/>
      <c r="AS98" s="618">
        <f t="shared" si="439"/>
        <v>0</v>
      </c>
      <c r="AT98" s="621"/>
      <c r="AU98" s="617"/>
      <c r="AV98" s="617"/>
      <c r="AW98" s="620">
        <f t="shared" si="440"/>
        <v>0</v>
      </c>
      <c r="AX98" s="621"/>
      <c r="AY98" s="617"/>
      <c r="AZ98" s="617"/>
      <c r="BA98" s="620">
        <f t="shared" si="441"/>
        <v>0</v>
      </c>
      <c r="BB98" s="621"/>
      <c r="BC98" s="617"/>
      <c r="BD98" s="617"/>
      <c r="BE98" s="620">
        <f t="shared" si="442"/>
        <v>0</v>
      </c>
      <c r="BF98" s="621"/>
      <c r="BG98" s="617"/>
      <c r="BH98" s="617"/>
      <c r="BI98" s="1927">
        <f t="shared" si="443"/>
        <v>0</v>
      </c>
      <c r="BJ98" s="621"/>
      <c r="BK98" s="617"/>
      <c r="BL98" s="617"/>
      <c r="BM98" s="1927">
        <f t="shared" si="374"/>
        <v>0</v>
      </c>
      <c r="BN98" s="621"/>
      <c r="BO98" s="1263">
        <v>0</v>
      </c>
      <c r="BP98" s="1263">
        <f t="shared" si="444"/>
        <v>0</v>
      </c>
      <c r="BQ98" s="1263">
        <f t="shared" si="445"/>
        <v>0</v>
      </c>
      <c r="BR98" s="1263">
        <f t="shared" si="446"/>
        <v>0</v>
      </c>
      <c r="BS98" s="1263">
        <f t="shared" si="447"/>
        <v>0</v>
      </c>
      <c r="BT98" s="1263">
        <f t="shared" si="448"/>
        <v>0</v>
      </c>
      <c r="BU98" s="1263">
        <f t="shared" si="449"/>
        <v>0</v>
      </c>
      <c r="BV98" s="1263">
        <f t="shared" si="450"/>
        <v>0</v>
      </c>
      <c r="BW98" s="1263">
        <f t="shared" si="451"/>
        <v>0</v>
      </c>
      <c r="BX98" s="1263">
        <f t="shared" si="452"/>
        <v>0</v>
      </c>
      <c r="BY98" s="1263">
        <f t="shared" si="453"/>
        <v>0</v>
      </c>
      <c r="BZ98" s="1263">
        <f t="shared" si="453"/>
        <v>0</v>
      </c>
      <c r="CA98" s="1263"/>
      <c r="CB98" s="99">
        <f t="shared" si="432"/>
        <v>0</v>
      </c>
      <c r="CC98" s="99">
        <f t="shared" si="432"/>
        <v>0</v>
      </c>
      <c r="CD98" s="99">
        <f t="shared" si="432"/>
        <v>0</v>
      </c>
      <c r="CE98" s="99">
        <f t="shared" si="432"/>
        <v>0</v>
      </c>
      <c r="CF98" s="99">
        <f t="shared" si="432"/>
        <v>0</v>
      </c>
      <c r="CG98" s="99">
        <f t="shared" si="432"/>
        <v>0</v>
      </c>
      <c r="CH98" s="99">
        <f t="shared" si="432"/>
        <v>0</v>
      </c>
      <c r="CI98" s="99">
        <f t="shared" si="432"/>
        <v>0</v>
      </c>
      <c r="CJ98" s="99">
        <f t="shared" si="432"/>
        <v>0</v>
      </c>
      <c r="CK98" s="99">
        <f t="shared" si="432"/>
        <v>0</v>
      </c>
      <c r="CL98" s="99">
        <f t="shared" si="432"/>
        <v>0</v>
      </c>
      <c r="CM98" s="99">
        <f t="shared" si="432"/>
        <v>0</v>
      </c>
    </row>
    <row r="99" spans="1:91" s="355" customFormat="1" ht="14.25" customHeight="1" x14ac:dyDescent="0.2">
      <c r="A99" s="965"/>
      <c r="B99" s="1480"/>
      <c r="E99" s="865"/>
      <c r="F99" s="960"/>
      <c r="G99" s="960"/>
      <c r="H99" s="862"/>
      <c r="I99" s="960"/>
      <c r="J99" s="960"/>
      <c r="K99" s="862"/>
      <c r="L99" s="960"/>
      <c r="M99" s="862"/>
      <c r="N99" s="862"/>
      <c r="O99" s="862"/>
      <c r="P99" s="862"/>
      <c r="Q99" s="863"/>
      <c r="R99" s="2296"/>
      <c r="S99" s="2297"/>
      <c r="T99" s="2297"/>
      <c r="U99" s="2298"/>
      <c r="V99" s="621"/>
      <c r="W99" s="617"/>
      <c r="X99" s="617"/>
      <c r="Y99" s="620"/>
      <c r="Z99" s="621"/>
      <c r="AA99" s="617"/>
      <c r="AB99" s="617"/>
      <c r="AC99" s="620"/>
      <c r="AD99" s="621"/>
      <c r="AE99" s="617"/>
      <c r="AF99" s="617"/>
      <c r="AG99" s="618"/>
      <c r="AH99" s="621"/>
      <c r="AI99" s="617"/>
      <c r="AJ99" s="617"/>
      <c r="AK99" s="1927"/>
      <c r="AL99" s="621"/>
      <c r="AM99" s="617"/>
      <c r="AN99" s="617"/>
      <c r="AO99" s="620"/>
      <c r="AP99" s="621"/>
      <c r="AQ99" s="617"/>
      <c r="AR99" s="617"/>
      <c r="AS99" s="620"/>
      <c r="AT99" s="621"/>
      <c r="AU99" s="617"/>
      <c r="AV99" s="617"/>
      <c r="AW99" s="620"/>
      <c r="AX99" s="621"/>
      <c r="AY99" s="617"/>
      <c r="AZ99" s="617"/>
      <c r="BA99" s="620"/>
      <c r="BB99" s="621"/>
      <c r="BC99" s="617"/>
      <c r="BD99" s="617"/>
      <c r="BE99" s="620"/>
      <c r="BF99" s="621"/>
      <c r="BG99" s="617"/>
      <c r="BH99" s="617"/>
      <c r="BI99" s="620"/>
      <c r="BJ99" s="621"/>
      <c r="BK99" s="617"/>
      <c r="BL99" s="617"/>
      <c r="BM99" s="1927"/>
      <c r="BN99" s="621"/>
      <c r="BO99" s="1263"/>
      <c r="BP99" s="1263"/>
      <c r="BQ99" s="1263"/>
      <c r="BR99" s="1263"/>
      <c r="BS99" s="1263"/>
      <c r="BT99" s="1263"/>
      <c r="BU99" s="1263"/>
      <c r="BV99" s="1263"/>
      <c r="BW99" s="1263"/>
      <c r="BX99" s="1263"/>
      <c r="BY99" s="1263"/>
      <c r="BZ99" s="1263"/>
      <c r="CA99" s="1263"/>
      <c r="CB99" s="99"/>
      <c r="CC99" s="99"/>
      <c r="CD99" s="99"/>
      <c r="CE99" s="99"/>
      <c r="CF99" s="99"/>
      <c r="CG99" s="99"/>
      <c r="CH99" s="99"/>
      <c r="CI99" s="99"/>
      <c r="CJ99" s="99"/>
      <c r="CK99" s="99"/>
      <c r="CL99" s="99"/>
      <c r="CM99" s="99"/>
    </row>
    <row r="100" spans="1:91" s="355" customFormat="1" ht="14.25" customHeight="1" x14ac:dyDescent="0.2">
      <c r="A100" s="1151" t="s">
        <v>4992</v>
      </c>
      <c r="B100" s="1480"/>
      <c r="C100" s="1480"/>
      <c r="D100" s="1480"/>
      <c r="E100" s="865"/>
      <c r="F100" s="862"/>
      <c r="G100" s="960"/>
      <c r="H100" s="862"/>
      <c r="I100" s="960"/>
      <c r="J100" s="960"/>
      <c r="K100" s="960"/>
      <c r="L100" s="960"/>
      <c r="M100" s="862"/>
      <c r="N100" s="862"/>
      <c r="O100" s="862"/>
      <c r="P100" s="862"/>
      <c r="Q100" s="863"/>
      <c r="R100" s="2296"/>
      <c r="S100" s="2297"/>
      <c r="T100" s="2297"/>
      <c r="U100" s="2298"/>
      <c r="V100" s="621"/>
      <c r="W100" s="617"/>
      <c r="X100" s="617"/>
      <c r="Y100" s="620"/>
      <c r="Z100" s="621"/>
      <c r="AA100" s="617"/>
      <c r="AB100" s="617"/>
      <c r="AC100" s="620"/>
      <c r="AD100" s="621"/>
      <c r="AE100" s="617"/>
      <c r="AF100" s="617"/>
      <c r="AG100" s="618"/>
      <c r="AH100" s="621"/>
      <c r="AI100" s="617"/>
      <c r="AJ100" s="617"/>
      <c r="AK100" s="1927"/>
      <c r="AL100" s="621"/>
      <c r="AM100" s="617"/>
      <c r="AN100" s="617"/>
      <c r="AO100" s="620"/>
      <c r="AP100" s="621"/>
      <c r="AQ100" s="617"/>
      <c r="AR100" s="617"/>
      <c r="AS100" s="620"/>
      <c r="AT100" s="621"/>
      <c r="AU100" s="617"/>
      <c r="AV100" s="617"/>
      <c r="AW100" s="620"/>
      <c r="AX100" s="621"/>
      <c r="AY100" s="617"/>
      <c r="AZ100" s="617"/>
      <c r="BA100" s="620"/>
      <c r="BB100" s="621"/>
      <c r="BC100" s="617"/>
      <c r="BD100" s="617"/>
      <c r="BE100" s="620"/>
      <c r="BF100" s="621"/>
      <c r="BG100" s="617"/>
      <c r="BH100" s="617"/>
      <c r="BI100" s="620"/>
      <c r="BJ100" s="621"/>
      <c r="BK100" s="617"/>
      <c r="BL100" s="617"/>
      <c r="BM100" s="1927"/>
      <c r="BN100" s="621"/>
      <c r="BO100" s="1263"/>
      <c r="BP100" s="1263"/>
      <c r="BQ100" s="1263"/>
      <c r="BR100" s="1263"/>
      <c r="BS100" s="1263"/>
      <c r="BT100" s="1263"/>
      <c r="BU100" s="1263"/>
      <c r="BV100" s="1263"/>
      <c r="BW100" s="1263"/>
      <c r="BX100" s="1263"/>
      <c r="BY100" s="1263"/>
      <c r="BZ100" s="1263"/>
      <c r="CA100" s="1263"/>
      <c r="CB100" s="99"/>
      <c r="CC100" s="99"/>
      <c r="CD100" s="99"/>
      <c r="CE100" s="99"/>
      <c r="CF100" s="99"/>
      <c r="CG100" s="99"/>
      <c r="CH100" s="99"/>
      <c r="CI100" s="99"/>
      <c r="CJ100" s="99"/>
      <c r="CK100" s="99"/>
      <c r="CL100" s="99"/>
      <c r="CM100" s="99"/>
    </row>
    <row r="101" spans="1:91" s="355" customFormat="1" ht="14.25" customHeight="1" x14ac:dyDescent="0.2">
      <c r="A101" s="965" t="s">
        <v>6777</v>
      </c>
      <c r="B101" s="1480" t="s">
        <v>1235</v>
      </c>
      <c r="C101" s="1481" t="s">
        <v>5076</v>
      </c>
      <c r="D101" s="1480"/>
      <c r="E101" s="865">
        <v>1</v>
      </c>
      <c r="F101" s="862"/>
      <c r="G101" s="960"/>
      <c r="H101" s="862"/>
      <c r="I101" s="960"/>
      <c r="J101" s="960"/>
      <c r="K101" s="960"/>
      <c r="L101" s="960"/>
      <c r="M101" s="862"/>
      <c r="N101" s="862"/>
      <c r="O101" s="862"/>
      <c r="P101" s="862"/>
      <c r="Q101" s="863"/>
      <c r="R101" s="2296"/>
      <c r="S101" s="2297"/>
      <c r="T101" s="2297"/>
      <c r="U101" s="2298">
        <f t="shared" ref="U101:U116" si="464">$F101-R101-S101-T101</f>
        <v>0</v>
      </c>
      <c r="V101" s="621"/>
      <c r="W101" s="617"/>
      <c r="X101" s="617"/>
      <c r="Y101" s="620">
        <f t="shared" ref="Y101" si="465">$G101-V101-W101-X101</f>
        <v>0</v>
      </c>
      <c r="Z101" s="621"/>
      <c r="AA101" s="617"/>
      <c r="AB101" s="617"/>
      <c r="AC101" s="620">
        <f t="shared" ref="AC101" si="466">$H101-Z101-AA101-AB101</f>
        <v>0</v>
      </c>
      <c r="AD101" s="621"/>
      <c r="AE101" s="617"/>
      <c r="AF101" s="617"/>
      <c r="AG101" s="618">
        <f t="shared" ref="AG101" si="467">$I101-AD101-AE101-AF101</f>
        <v>0</v>
      </c>
      <c r="AH101" s="621"/>
      <c r="AI101" s="617"/>
      <c r="AJ101" s="617"/>
      <c r="AK101" s="1927">
        <f t="shared" ref="AK101" si="468">$J101-AH101-AI101-AJ101</f>
        <v>0</v>
      </c>
      <c r="AL101" s="621"/>
      <c r="AM101" s="617"/>
      <c r="AN101" s="617"/>
      <c r="AO101" s="620">
        <f t="shared" ref="AO101" si="469">$K101-AL101-AM101-AN101</f>
        <v>0</v>
      </c>
      <c r="AP101" s="621"/>
      <c r="AQ101" s="617"/>
      <c r="AR101" s="617"/>
      <c r="AS101" s="620">
        <f t="shared" ref="AS101" si="470">$L101-AP101-AQ101-AR101</f>
        <v>0</v>
      </c>
      <c r="AT101" s="621"/>
      <c r="AU101" s="617"/>
      <c r="AV101" s="617"/>
      <c r="AW101" s="620">
        <f t="shared" ref="AW101" si="471">$M101-AT101-AU101-AV101</f>
        <v>0</v>
      </c>
      <c r="AX101" s="621"/>
      <c r="AY101" s="617"/>
      <c r="AZ101" s="617"/>
      <c r="BA101" s="620">
        <f t="shared" ref="BA101" si="472">$N101-AX101-AY101-AZ101</f>
        <v>0</v>
      </c>
      <c r="BB101" s="621"/>
      <c r="BC101" s="617"/>
      <c r="BD101" s="617"/>
      <c r="BE101" s="620">
        <f t="shared" ref="BE101" si="473">$O101-BB101-BC101-BD101</f>
        <v>0</v>
      </c>
      <c r="BF101" s="621"/>
      <c r="BG101" s="617"/>
      <c r="BH101" s="617"/>
      <c r="BI101" s="1927">
        <f t="shared" ref="BI101" si="474">$P101-BF101-BG101-BH101</f>
        <v>0</v>
      </c>
      <c r="BJ101" s="621"/>
      <c r="BK101" s="617"/>
      <c r="BL101" s="617"/>
      <c r="BM101" s="1927">
        <f t="shared" si="374"/>
        <v>0</v>
      </c>
      <c r="BN101" s="621"/>
      <c r="BO101" s="1263">
        <v>1</v>
      </c>
      <c r="BP101" s="1263">
        <f t="shared" ref="BP101:BZ101" si="475">BO101</f>
        <v>1</v>
      </c>
      <c r="BQ101" s="1263">
        <f t="shared" si="475"/>
        <v>1</v>
      </c>
      <c r="BR101" s="1263">
        <f t="shared" si="475"/>
        <v>1</v>
      </c>
      <c r="BS101" s="1263">
        <f t="shared" si="475"/>
        <v>1</v>
      </c>
      <c r="BT101" s="1263">
        <f t="shared" si="475"/>
        <v>1</v>
      </c>
      <c r="BU101" s="1263">
        <f t="shared" si="475"/>
        <v>1</v>
      </c>
      <c r="BV101" s="1263">
        <f t="shared" si="475"/>
        <v>1</v>
      </c>
      <c r="BW101" s="1263">
        <f t="shared" si="475"/>
        <v>1</v>
      </c>
      <c r="BX101" s="1263">
        <f t="shared" si="475"/>
        <v>1</v>
      </c>
      <c r="BY101" s="1263">
        <f t="shared" si="475"/>
        <v>1</v>
      </c>
      <c r="BZ101" s="1263">
        <f t="shared" si="475"/>
        <v>1</v>
      </c>
      <c r="CA101" s="1263"/>
      <c r="CB101" s="99">
        <f t="shared" ref="CB101:CB119" si="476">ROUND(BO101*F101,-3)</f>
        <v>0</v>
      </c>
      <c r="CC101" s="99">
        <f t="shared" ref="CC101:CC119" si="477">ROUND(BP101*G101,-3)</f>
        <v>0</v>
      </c>
      <c r="CD101" s="99">
        <f t="shared" ref="CD101:CD119" si="478">ROUND(BQ101*H101,-3)</f>
        <v>0</v>
      </c>
      <c r="CE101" s="99">
        <f t="shared" ref="CE101:CE119" si="479">ROUND(BR101*I101,-3)</f>
        <v>0</v>
      </c>
      <c r="CF101" s="99">
        <f t="shared" ref="CF101:CF119" si="480">ROUND(BS101*J101,-3)</f>
        <v>0</v>
      </c>
      <c r="CG101" s="99">
        <f t="shared" ref="CG101:CG119" si="481">ROUND(BT101*K101,-3)</f>
        <v>0</v>
      </c>
      <c r="CH101" s="99">
        <f t="shared" ref="CH101:CH119" si="482">ROUND(BU101*L101,-3)</f>
        <v>0</v>
      </c>
      <c r="CI101" s="99">
        <f t="shared" ref="CI101:CI119" si="483">ROUND(BV101*M101,-3)</f>
        <v>0</v>
      </c>
      <c r="CJ101" s="99">
        <f t="shared" ref="CJ101:CJ119" si="484">ROUND(BW101*N101,-3)</f>
        <v>0</v>
      </c>
      <c r="CK101" s="99">
        <f t="shared" ref="CK101:CK119" si="485">ROUND(BX101*O101,-3)</f>
        <v>0</v>
      </c>
      <c r="CL101" s="99">
        <f t="shared" ref="CL101:CL119" si="486">ROUND(BY101*P101,-3)</f>
        <v>0</v>
      </c>
      <c r="CM101" s="99">
        <f t="shared" ref="CM101:CM119" si="487">ROUND(BZ101*Q101,-3)</f>
        <v>0</v>
      </c>
    </row>
    <row r="102" spans="1:91" s="355" customFormat="1" ht="14.25" customHeight="1" x14ac:dyDescent="0.2">
      <c r="A102" s="965" t="s">
        <v>6760</v>
      </c>
      <c r="B102" s="1481"/>
      <c r="C102" s="1481"/>
      <c r="D102" s="1481"/>
      <c r="E102" s="865"/>
      <c r="F102" s="862"/>
      <c r="G102" s="960"/>
      <c r="H102" s="862"/>
      <c r="I102" s="960"/>
      <c r="J102" s="960"/>
      <c r="K102" s="960"/>
      <c r="L102" s="960"/>
      <c r="M102" s="961">
        <v>3112000</v>
      </c>
      <c r="N102" s="862"/>
      <c r="O102" s="862"/>
      <c r="P102" s="862"/>
      <c r="Q102" s="863"/>
      <c r="R102" s="2296"/>
      <c r="S102" s="2297"/>
      <c r="T102" s="2297"/>
      <c r="U102" s="2298">
        <f t="shared" si="464"/>
        <v>0</v>
      </c>
      <c r="V102" s="621"/>
      <c r="W102" s="617"/>
      <c r="X102" s="617"/>
      <c r="Y102" s="620">
        <f t="shared" ref="Y102:Y119" si="488">$G102-V102-W102-X102</f>
        <v>0</v>
      </c>
      <c r="Z102" s="621"/>
      <c r="AA102" s="617"/>
      <c r="AB102" s="617"/>
      <c r="AC102" s="620">
        <f t="shared" ref="AC102:AC119" si="489">$H102-Z102-AA102-AB102</f>
        <v>0</v>
      </c>
      <c r="AD102" s="621"/>
      <c r="AE102" s="617"/>
      <c r="AF102" s="617"/>
      <c r="AG102" s="618">
        <f t="shared" ref="AG102:AG119" si="490">$I102-AD102-AE102-AF102</f>
        <v>0</v>
      </c>
      <c r="AH102" s="621"/>
      <c r="AI102" s="617"/>
      <c r="AJ102" s="617"/>
      <c r="AK102" s="1927">
        <f t="shared" ref="AK102:AK119" si="491">$J102-AH102-AI102-AJ102</f>
        <v>0</v>
      </c>
      <c r="AL102" s="621"/>
      <c r="AM102" s="617"/>
      <c r="AN102" s="617"/>
      <c r="AO102" s="620">
        <f t="shared" ref="AO102:AO119" si="492">$K102-AL102-AM102-AN102</f>
        <v>0</v>
      </c>
      <c r="AP102" s="621"/>
      <c r="AQ102" s="617"/>
      <c r="AR102" s="617"/>
      <c r="AS102" s="620">
        <f t="shared" ref="AS102:AS119" si="493">$L102-AP102-AQ102-AR102</f>
        <v>0</v>
      </c>
      <c r="AT102" s="621"/>
      <c r="AU102" s="617">
        <f>ROUND(M102/2/3,-3)</f>
        <v>519000</v>
      </c>
      <c r="AV102" s="617"/>
      <c r="AW102" s="620">
        <f t="shared" ref="AW102:AW119" si="494">$M102-AT102-AU102-AV102</f>
        <v>2593000</v>
      </c>
      <c r="AX102" s="621"/>
      <c r="AY102" s="617"/>
      <c r="AZ102" s="617"/>
      <c r="BA102" s="620">
        <f t="shared" ref="BA102:BA119" si="495">$N102-AX102-AY102-AZ102</f>
        <v>0</v>
      </c>
      <c r="BB102" s="621"/>
      <c r="BC102" s="617"/>
      <c r="BD102" s="617"/>
      <c r="BE102" s="620">
        <f t="shared" ref="BE102:BE119" si="496">$O102-BB102-BC102-BD102</f>
        <v>0</v>
      </c>
      <c r="BF102" s="621"/>
      <c r="BG102" s="617"/>
      <c r="BH102" s="617"/>
      <c r="BI102" s="1927">
        <f t="shared" ref="BI102:BI119" si="497">$P102-BF102-BG102-BH102</f>
        <v>0</v>
      </c>
      <c r="BJ102" s="621"/>
      <c r="BK102" s="617"/>
      <c r="BL102" s="617"/>
      <c r="BM102" s="1927">
        <f t="shared" si="374"/>
        <v>0</v>
      </c>
      <c r="BN102" s="621"/>
      <c r="BO102" s="1263">
        <v>1</v>
      </c>
      <c r="BP102" s="1263">
        <f t="shared" ref="BP102:BP119" si="498">BO102</f>
        <v>1</v>
      </c>
      <c r="BQ102" s="1263">
        <f t="shared" ref="BQ102:BQ119" si="499">BP102</f>
        <v>1</v>
      </c>
      <c r="BR102" s="1263">
        <f t="shared" ref="BR102:BR119" si="500">BQ102</f>
        <v>1</v>
      </c>
      <c r="BS102" s="1263">
        <f t="shared" ref="BS102:BS119" si="501">BR102</f>
        <v>1</v>
      </c>
      <c r="BT102" s="1263">
        <f t="shared" ref="BT102:BT119" si="502">BS102</f>
        <v>1</v>
      </c>
      <c r="BU102" s="1263">
        <f t="shared" ref="BU102:BU119" si="503">BT102</f>
        <v>1</v>
      </c>
      <c r="BV102" s="1263">
        <f t="shared" ref="BV102:BV119" si="504">BU102</f>
        <v>1</v>
      </c>
      <c r="BW102" s="1263">
        <f t="shared" ref="BW102:BW119" si="505">BV102</f>
        <v>1</v>
      </c>
      <c r="BX102" s="1263">
        <f t="shared" ref="BX102:BX119" si="506">BW102</f>
        <v>1</v>
      </c>
      <c r="BY102" s="1263">
        <f t="shared" ref="BY102:BZ119" si="507">BX102</f>
        <v>1</v>
      </c>
      <c r="BZ102" s="1263">
        <f t="shared" si="507"/>
        <v>1</v>
      </c>
      <c r="CA102" s="1263"/>
      <c r="CB102" s="99">
        <f t="shared" si="476"/>
        <v>0</v>
      </c>
      <c r="CC102" s="99">
        <f t="shared" si="477"/>
        <v>0</v>
      </c>
      <c r="CD102" s="99">
        <f t="shared" si="478"/>
        <v>0</v>
      </c>
      <c r="CE102" s="99">
        <f t="shared" si="479"/>
        <v>0</v>
      </c>
      <c r="CF102" s="99">
        <f t="shared" si="480"/>
        <v>0</v>
      </c>
      <c r="CG102" s="99">
        <f t="shared" si="481"/>
        <v>0</v>
      </c>
      <c r="CH102" s="99">
        <f t="shared" si="482"/>
        <v>0</v>
      </c>
      <c r="CI102" s="99">
        <f t="shared" si="483"/>
        <v>3112000</v>
      </c>
      <c r="CJ102" s="99">
        <f t="shared" si="484"/>
        <v>0</v>
      </c>
      <c r="CK102" s="99">
        <f t="shared" si="485"/>
        <v>0</v>
      </c>
      <c r="CL102" s="99">
        <f t="shared" si="486"/>
        <v>0</v>
      </c>
      <c r="CM102" s="99">
        <f t="shared" si="487"/>
        <v>0</v>
      </c>
    </row>
    <row r="103" spans="1:91" s="355" customFormat="1" ht="14.25" customHeight="1" x14ac:dyDescent="0.2">
      <c r="A103" s="965" t="s">
        <v>6761</v>
      </c>
      <c r="B103" s="1481" t="s">
        <v>5106</v>
      </c>
      <c r="C103" s="1481" t="s">
        <v>5107</v>
      </c>
      <c r="D103" s="1481"/>
      <c r="E103" s="865"/>
      <c r="F103" s="862">
        <v>7200</v>
      </c>
      <c r="G103" s="960"/>
      <c r="H103" s="862"/>
      <c r="I103" s="960"/>
      <c r="J103" s="960"/>
      <c r="K103" s="960"/>
      <c r="L103" s="960"/>
      <c r="M103" s="961"/>
      <c r="N103" s="862"/>
      <c r="O103" s="862"/>
      <c r="P103" s="862"/>
      <c r="Q103" s="863"/>
      <c r="R103" s="2296"/>
      <c r="S103" s="2297"/>
      <c r="T103" s="2297"/>
      <c r="U103" s="2298">
        <f t="shared" si="464"/>
        <v>7200</v>
      </c>
      <c r="V103" s="621"/>
      <c r="W103" s="617"/>
      <c r="X103" s="617"/>
      <c r="Y103" s="620">
        <f t="shared" si="488"/>
        <v>0</v>
      </c>
      <c r="Z103" s="621"/>
      <c r="AA103" s="617"/>
      <c r="AB103" s="617"/>
      <c r="AC103" s="620">
        <f t="shared" si="489"/>
        <v>0</v>
      </c>
      <c r="AD103" s="621"/>
      <c r="AE103" s="617"/>
      <c r="AF103" s="617"/>
      <c r="AG103" s="618">
        <f t="shared" si="490"/>
        <v>0</v>
      </c>
      <c r="AH103" s="621"/>
      <c r="AI103" s="617"/>
      <c r="AJ103" s="617"/>
      <c r="AK103" s="1927">
        <f t="shared" si="491"/>
        <v>0</v>
      </c>
      <c r="AL103" s="621"/>
      <c r="AM103" s="617"/>
      <c r="AN103" s="617"/>
      <c r="AO103" s="620">
        <f t="shared" si="492"/>
        <v>0</v>
      </c>
      <c r="AP103" s="621"/>
      <c r="AQ103" s="617"/>
      <c r="AR103" s="617"/>
      <c r="AS103" s="620">
        <f t="shared" si="493"/>
        <v>0</v>
      </c>
      <c r="AT103" s="621"/>
      <c r="AU103" s="617"/>
      <c r="AV103" s="617"/>
      <c r="AW103" s="620">
        <f t="shared" si="494"/>
        <v>0</v>
      </c>
      <c r="AX103" s="621"/>
      <c r="AY103" s="617"/>
      <c r="AZ103" s="617"/>
      <c r="BA103" s="620">
        <f t="shared" si="495"/>
        <v>0</v>
      </c>
      <c r="BB103" s="621"/>
      <c r="BC103" s="617"/>
      <c r="BD103" s="617"/>
      <c r="BE103" s="620">
        <f t="shared" si="496"/>
        <v>0</v>
      </c>
      <c r="BF103" s="621"/>
      <c r="BG103" s="617"/>
      <c r="BH103" s="617"/>
      <c r="BI103" s="1927">
        <f t="shared" si="497"/>
        <v>0</v>
      </c>
      <c r="BJ103" s="621"/>
      <c r="BK103" s="617"/>
      <c r="BL103" s="617"/>
      <c r="BM103" s="1927">
        <f t="shared" si="374"/>
        <v>0</v>
      </c>
      <c r="BN103" s="621"/>
      <c r="BO103" s="1263">
        <v>1</v>
      </c>
      <c r="BP103" s="1263">
        <f t="shared" si="498"/>
        <v>1</v>
      </c>
      <c r="BQ103" s="1263">
        <f t="shared" si="499"/>
        <v>1</v>
      </c>
      <c r="BR103" s="1263">
        <f t="shared" si="500"/>
        <v>1</v>
      </c>
      <c r="BS103" s="1263">
        <f t="shared" si="501"/>
        <v>1</v>
      </c>
      <c r="BT103" s="1263">
        <f t="shared" si="502"/>
        <v>1</v>
      </c>
      <c r="BU103" s="1263">
        <f t="shared" si="503"/>
        <v>1</v>
      </c>
      <c r="BV103" s="1263">
        <f t="shared" si="504"/>
        <v>1</v>
      </c>
      <c r="BW103" s="1263">
        <f t="shared" si="505"/>
        <v>1</v>
      </c>
      <c r="BX103" s="1263">
        <f t="shared" si="506"/>
        <v>1</v>
      </c>
      <c r="BY103" s="1263">
        <f t="shared" si="507"/>
        <v>1</v>
      </c>
      <c r="BZ103" s="1263">
        <f t="shared" si="507"/>
        <v>1</v>
      </c>
      <c r="CA103" s="1263"/>
      <c r="CB103" s="99">
        <f t="shared" si="476"/>
        <v>7000</v>
      </c>
      <c r="CC103" s="99">
        <f t="shared" si="477"/>
        <v>0</v>
      </c>
      <c r="CD103" s="99">
        <f t="shared" si="478"/>
        <v>0</v>
      </c>
      <c r="CE103" s="99">
        <f t="shared" si="479"/>
        <v>0</v>
      </c>
      <c r="CF103" s="99">
        <f t="shared" si="480"/>
        <v>0</v>
      </c>
      <c r="CG103" s="99">
        <f t="shared" si="481"/>
        <v>0</v>
      </c>
      <c r="CH103" s="99">
        <f t="shared" si="482"/>
        <v>0</v>
      </c>
      <c r="CI103" s="99">
        <f t="shared" si="483"/>
        <v>0</v>
      </c>
      <c r="CJ103" s="99">
        <f t="shared" si="484"/>
        <v>0</v>
      </c>
      <c r="CK103" s="99">
        <f t="shared" si="485"/>
        <v>0</v>
      </c>
      <c r="CL103" s="99">
        <f t="shared" si="486"/>
        <v>0</v>
      </c>
      <c r="CM103" s="99">
        <f t="shared" si="487"/>
        <v>0</v>
      </c>
    </row>
    <row r="104" spans="1:91" s="355" customFormat="1" ht="14.25" customHeight="1" x14ac:dyDescent="0.2">
      <c r="A104" s="965" t="s">
        <v>6762</v>
      </c>
      <c r="B104" s="1481"/>
      <c r="C104" s="1481"/>
      <c r="D104" s="1481"/>
      <c r="E104" s="865"/>
      <c r="F104" s="862"/>
      <c r="G104" s="960"/>
      <c r="H104" s="862">
        <v>197000</v>
      </c>
      <c r="I104" s="960"/>
      <c r="J104" s="960"/>
      <c r="K104" s="960"/>
      <c r="L104" s="960"/>
      <c r="M104" s="961"/>
      <c r="N104" s="862"/>
      <c r="O104" s="862"/>
      <c r="P104" s="862"/>
      <c r="Q104" s="863"/>
      <c r="R104" s="2296"/>
      <c r="S104" s="2297"/>
      <c r="T104" s="2297"/>
      <c r="U104" s="2298">
        <f t="shared" si="464"/>
        <v>0</v>
      </c>
      <c r="V104" s="621"/>
      <c r="W104" s="617"/>
      <c r="X104" s="617"/>
      <c r="Y104" s="620">
        <f t="shared" si="488"/>
        <v>0</v>
      </c>
      <c r="Z104" s="621"/>
      <c r="AA104" s="617"/>
      <c r="AB104" s="617"/>
      <c r="AC104" s="620">
        <f t="shared" si="489"/>
        <v>197000</v>
      </c>
      <c r="AD104" s="621"/>
      <c r="AE104" s="617"/>
      <c r="AF104" s="617"/>
      <c r="AG104" s="618">
        <f t="shared" si="490"/>
        <v>0</v>
      </c>
      <c r="AH104" s="621"/>
      <c r="AI104" s="617"/>
      <c r="AJ104" s="617"/>
      <c r="AK104" s="1927">
        <f t="shared" si="491"/>
        <v>0</v>
      </c>
      <c r="AL104" s="621"/>
      <c r="AM104" s="617"/>
      <c r="AN104" s="617"/>
      <c r="AO104" s="620">
        <f t="shared" si="492"/>
        <v>0</v>
      </c>
      <c r="AP104" s="621"/>
      <c r="AQ104" s="617"/>
      <c r="AR104" s="617"/>
      <c r="AS104" s="620">
        <f t="shared" si="493"/>
        <v>0</v>
      </c>
      <c r="AT104" s="621"/>
      <c r="AU104" s="617"/>
      <c r="AV104" s="617"/>
      <c r="AW104" s="620">
        <f t="shared" si="494"/>
        <v>0</v>
      </c>
      <c r="AX104" s="621"/>
      <c r="AY104" s="617"/>
      <c r="AZ104" s="617"/>
      <c r="BA104" s="620">
        <f t="shared" si="495"/>
        <v>0</v>
      </c>
      <c r="BB104" s="621"/>
      <c r="BC104" s="617"/>
      <c r="BD104" s="617"/>
      <c r="BE104" s="620">
        <f t="shared" si="496"/>
        <v>0</v>
      </c>
      <c r="BF104" s="621"/>
      <c r="BG104" s="617"/>
      <c r="BH104" s="617"/>
      <c r="BI104" s="1927">
        <f t="shared" si="497"/>
        <v>0</v>
      </c>
      <c r="BJ104" s="621"/>
      <c r="BK104" s="617"/>
      <c r="BL104" s="617"/>
      <c r="BM104" s="1927">
        <f t="shared" si="374"/>
        <v>0</v>
      </c>
      <c r="BN104" s="621"/>
      <c r="BO104" s="1263">
        <v>1</v>
      </c>
      <c r="BP104" s="1263">
        <f t="shared" si="498"/>
        <v>1</v>
      </c>
      <c r="BQ104" s="1263">
        <f t="shared" si="499"/>
        <v>1</v>
      </c>
      <c r="BR104" s="1263">
        <f t="shared" si="500"/>
        <v>1</v>
      </c>
      <c r="BS104" s="1263">
        <f t="shared" si="501"/>
        <v>1</v>
      </c>
      <c r="BT104" s="1263">
        <f t="shared" si="502"/>
        <v>1</v>
      </c>
      <c r="BU104" s="1263">
        <f t="shared" si="503"/>
        <v>1</v>
      </c>
      <c r="BV104" s="1263">
        <f t="shared" si="504"/>
        <v>1</v>
      </c>
      <c r="BW104" s="1263">
        <f t="shared" si="505"/>
        <v>1</v>
      </c>
      <c r="BX104" s="1263">
        <f t="shared" si="506"/>
        <v>1</v>
      </c>
      <c r="BY104" s="1263">
        <f t="shared" si="507"/>
        <v>1</v>
      </c>
      <c r="BZ104" s="1263">
        <f t="shared" si="507"/>
        <v>1</v>
      </c>
      <c r="CA104" s="1263"/>
      <c r="CB104" s="99">
        <f t="shared" si="476"/>
        <v>0</v>
      </c>
      <c r="CC104" s="99">
        <f t="shared" si="477"/>
        <v>0</v>
      </c>
      <c r="CD104" s="99">
        <f t="shared" si="478"/>
        <v>197000</v>
      </c>
      <c r="CE104" s="99">
        <f t="shared" si="479"/>
        <v>0</v>
      </c>
      <c r="CF104" s="99">
        <f t="shared" si="480"/>
        <v>0</v>
      </c>
      <c r="CG104" s="99">
        <f t="shared" si="481"/>
        <v>0</v>
      </c>
      <c r="CH104" s="99">
        <f t="shared" si="482"/>
        <v>0</v>
      </c>
      <c r="CI104" s="99">
        <f t="shared" si="483"/>
        <v>0</v>
      </c>
      <c r="CJ104" s="99">
        <f t="shared" si="484"/>
        <v>0</v>
      </c>
      <c r="CK104" s="99">
        <f t="shared" si="485"/>
        <v>0</v>
      </c>
      <c r="CL104" s="99">
        <f t="shared" si="486"/>
        <v>0</v>
      </c>
      <c r="CM104" s="99">
        <f t="shared" si="487"/>
        <v>0</v>
      </c>
    </row>
    <row r="105" spans="1:91" s="355" customFormat="1" ht="14.25" customHeight="1" x14ac:dyDescent="0.2">
      <c r="A105" s="965" t="s">
        <v>6763</v>
      </c>
      <c r="B105" s="1481" t="s">
        <v>6490</v>
      </c>
      <c r="C105" s="1481" t="s">
        <v>6491</v>
      </c>
      <c r="D105" s="1481" t="s">
        <v>6491</v>
      </c>
      <c r="E105" s="865"/>
      <c r="F105" s="862"/>
      <c r="G105" s="960">
        <v>575000</v>
      </c>
      <c r="H105" s="862"/>
      <c r="I105" s="960"/>
      <c r="J105" s="960"/>
      <c r="K105" s="960"/>
      <c r="L105" s="960"/>
      <c r="M105" s="961"/>
      <c r="N105" s="862"/>
      <c r="O105" s="862"/>
      <c r="P105" s="862"/>
      <c r="Q105" s="863"/>
      <c r="R105" s="2296"/>
      <c r="S105" s="2297"/>
      <c r="T105" s="2297"/>
      <c r="U105" s="2298">
        <f t="shared" si="464"/>
        <v>0</v>
      </c>
      <c r="V105" s="621"/>
      <c r="W105" s="617"/>
      <c r="X105" s="617"/>
      <c r="Y105" s="620">
        <f t="shared" si="488"/>
        <v>575000</v>
      </c>
      <c r="Z105" s="621"/>
      <c r="AA105" s="617"/>
      <c r="AB105" s="617"/>
      <c r="AC105" s="620">
        <f t="shared" si="489"/>
        <v>0</v>
      </c>
      <c r="AD105" s="621"/>
      <c r="AE105" s="617"/>
      <c r="AF105" s="617"/>
      <c r="AG105" s="618">
        <f t="shared" si="490"/>
        <v>0</v>
      </c>
      <c r="AH105" s="621"/>
      <c r="AI105" s="617"/>
      <c r="AJ105" s="617"/>
      <c r="AK105" s="1927">
        <f t="shared" si="491"/>
        <v>0</v>
      </c>
      <c r="AL105" s="621"/>
      <c r="AM105" s="617"/>
      <c r="AN105" s="617"/>
      <c r="AO105" s="620">
        <f t="shared" si="492"/>
        <v>0</v>
      </c>
      <c r="AP105" s="621"/>
      <c r="AQ105" s="617"/>
      <c r="AR105" s="617"/>
      <c r="AS105" s="620">
        <f t="shared" si="493"/>
        <v>0</v>
      </c>
      <c r="AT105" s="621"/>
      <c r="AU105" s="617"/>
      <c r="AV105" s="617"/>
      <c r="AW105" s="620">
        <f t="shared" si="494"/>
        <v>0</v>
      </c>
      <c r="AX105" s="621"/>
      <c r="AY105" s="617"/>
      <c r="AZ105" s="617"/>
      <c r="BA105" s="620">
        <f t="shared" si="495"/>
        <v>0</v>
      </c>
      <c r="BB105" s="621"/>
      <c r="BC105" s="617"/>
      <c r="BD105" s="617"/>
      <c r="BE105" s="620">
        <f t="shared" si="496"/>
        <v>0</v>
      </c>
      <c r="BF105" s="621"/>
      <c r="BG105" s="617"/>
      <c r="BH105" s="617"/>
      <c r="BI105" s="1927">
        <f t="shared" si="497"/>
        <v>0</v>
      </c>
      <c r="BJ105" s="621"/>
      <c r="BK105" s="617"/>
      <c r="BL105" s="617"/>
      <c r="BM105" s="1927">
        <f t="shared" si="374"/>
        <v>0</v>
      </c>
      <c r="BN105" s="621"/>
      <c r="BO105" s="1263">
        <v>1</v>
      </c>
      <c r="BP105" s="1263">
        <f t="shared" si="498"/>
        <v>1</v>
      </c>
      <c r="BQ105" s="1263">
        <f t="shared" si="499"/>
        <v>1</v>
      </c>
      <c r="BR105" s="1263">
        <f t="shared" si="500"/>
        <v>1</v>
      </c>
      <c r="BS105" s="1263">
        <f t="shared" si="501"/>
        <v>1</v>
      </c>
      <c r="BT105" s="1263">
        <f t="shared" si="502"/>
        <v>1</v>
      </c>
      <c r="BU105" s="1263">
        <f t="shared" si="503"/>
        <v>1</v>
      </c>
      <c r="BV105" s="1263">
        <f t="shared" si="504"/>
        <v>1</v>
      </c>
      <c r="BW105" s="1263">
        <f t="shared" si="505"/>
        <v>1</v>
      </c>
      <c r="BX105" s="1263">
        <f t="shared" si="506"/>
        <v>1</v>
      </c>
      <c r="BY105" s="1263">
        <f t="shared" si="507"/>
        <v>1</v>
      </c>
      <c r="BZ105" s="1263">
        <f t="shared" si="507"/>
        <v>1</v>
      </c>
      <c r="CA105" s="1263"/>
      <c r="CB105" s="99">
        <f t="shared" si="476"/>
        <v>0</v>
      </c>
      <c r="CC105" s="99">
        <f t="shared" si="477"/>
        <v>575000</v>
      </c>
      <c r="CD105" s="99">
        <f t="shared" si="478"/>
        <v>0</v>
      </c>
      <c r="CE105" s="99">
        <f t="shared" si="479"/>
        <v>0</v>
      </c>
      <c r="CF105" s="99">
        <f t="shared" si="480"/>
        <v>0</v>
      </c>
      <c r="CG105" s="99">
        <f t="shared" si="481"/>
        <v>0</v>
      </c>
      <c r="CH105" s="99">
        <f t="shared" si="482"/>
        <v>0</v>
      </c>
      <c r="CI105" s="99">
        <f t="shared" si="483"/>
        <v>0</v>
      </c>
      <c r="CJ105" s="99">
        <f t="shared" si="484"/>
        <v>0</v>
      </c>
      <c r="CK105" s="99">
        <f t="shared" si="485"/>
        <v>0</v>
      </c>
      <c r="CL105" s="99">
        <f t="shared" si="486"/>
        <v>0</v>
      </c>
      <c r="CM105" s="99">
        <f t="shared" si="487"/>
        <v>0</v>
      </c>
    </row>
    <row r="106" spans="1:91" s="355" customFormat="1" ht="14.25" customHeight="1" x14ac:dyDescent="0.2">
      <c r="A106" s="965" t="s">
        <v>6764</v>
      </c>
      <c r="B106" s="1481"/>
      <c r="C106" s="1481"/>
      <c r="D106" s="1481"/>
      <c r="E106" s="865"/>
      <c r="F106" s="862"/>
      <c r="G106" s="960"/>
      <c r="H106" s="862"/>
      <c r="I106" s="960"/>
      <c r="J106" s="960">
        <v>280000</v>
      </c>
      <c r="K106" s="960"/>
      <c r="L106" s="960"/>
      <c r="M106" s="961"/>
      <c r="N106" s="862"/>
      <c r="O106" s="862"/>
      <c r="P106" s="862"/>
      <c r="Q106" s="863"/>
      <c r="R106" s="2296"/>
      <c r="S106" s="2297"/>
      <c r="T106" s="2297"/>
      <c r="U106" s="2298">
        <f t="shared" si="464"/>
        <v>0</v>
      </c>
      <c r="V106" s="621"/>
      <c r="W106" s="617"/>
      <c r="X106" s="617"/>
      <c r="Y106" s="620">
        <f t="shared" si="488"/>
        <v>0</v>
      </c>
      <c r="Z106" s="621"/>
      <c r="AA106" s="617"/>
      <c r="AB106" s="617"/>
      <c r="AC106" s="620">
        <f t="shared" si="489"/>
        <v>0</v>
      </c>
      <c r="AD106" s="621"/>
      <c r="AE106" s="617"/>
      <c r="AF106" s="617"/>
      <c r="AG106" s="618">
        <f t="shared" si="490"/>
        <v>0</v>
      </c>
      <c r="AH106" s="621"/>
      <c r="AI106" s="617"/>
      <c r="AJ106" s="617"/>
      <c r="AK106" s="1927">
        <f t="shared" si="491"/>
        <v>280000</v>
      </c>
      <c r="AL106" s="621"/>
      <c r="AM106" s="617"/>
      <c r="AN106" s="617"/>
      <c r="AO106" s="620">
        <f t="shared" si="492"/>
        <v>0</v>
      </c>
      <c r="AP106" s="621"/>
      <c r="AQ106" s="617"/>
      <c r="AR106" s="617"/>
      <c r="AS106" s="620">
        <f t="shared" si="493"/>
        <v>0</v>
      </c>
      <c r="AT106" s="621"/>
      <c r="AU106" s="617"/>
      <c r="AV106" s="617"/>
      <c r="AW106" s="620">
        <f t="shared" si="494"/>
        <v>0</v>
      </c>
      <c r="AX106" s="621"/>
      <c r="AY106" s="617"/>
      <c r="AZ106" s="617"/>
      <c r="BA106" s="620">
        <f t="shared" si="495"/>
        <v>0</v>
      </c>
      <c r="BB106" s="621"/>
      <c r="BC106" s="617"/>
      <c r="BD106" s="617"/>
      <c r="BE106" s="620">
        <f t="shared" si="496"/>
        <v>0</v>
      </c>
      <c r="BF106" s="621"/>
      <c r="BG106" s="617"/>
      <c r="BH106" s="617"/>
      <c r="BI106" s="1927">
        <f t="shared" si="497"/>
        <v>0</v>
      </c>
      <c r="BJ106" s="621"/>
      <c r="BK106" s="617"/>
      <c r="BL106" s="617"/>
      <c r="BM106" s="1927">
        <f t="shared" si="374"/>
        <v>0</v>
      </c>
      <c r="BN106" s="621"/>
      <c r="BO106" s="1263">
        <v>1</v>
      </c>
      <c r="BP106" s="1263">
        <f t="shared" si="498"/>
        <v>1</v>
      </c>
      <c r="BQ106" s="1263">
        <f t="shared" si="499"/>
        <v>1</v>
      </c>
      <c r="BR106" s="1263">
        <f t="shared" si="500"/>
        <v>1</v>
      </c>
      <c r="BS106" s="1263">
        <f t="shared" si="501"/>
        <v>1</v>
      </c>
      <c r="BT106" s="1263">
        <f t="shared" si="502"/>
        <v>1</v>
      </c>
      <c r="BU106" s="1263">
        <f t="shared" si="503"/>
        <v>1</v>
      </c>
      <c r="BV106" s="1263">
        <f t="shared" si="504"/>
        <v>1</v>
      </c>
      <c r="BW106" s="1263">
        <f t="shared" si="505"/>
        <v>1</v>
      </c>
      <c r="BX106" s="1263">
        <f t="shared" si="506"/>
        <v>1</v>
      </c>
      <c r="BY106" s="1263">
        <f t="shared" si="507"/>
        <v>1</v>
      </c>
      <c r="BZ106" s="1263">
        <f t="shared" si="507"/>
        <v>1</v>
      </c>
      <c r="CA106" s="1263"/>
      <c r="CB106" s="99">
        <f t="shared" si="476"/>
        <v>0</v>
      </c>
      <c r="CC106" s="99">
        <f t="shared" si="477"/>
        <v>0</v>
      </c>
      <c r="CD106" s="99">
        <f t="shared" si="478"/>
        <v>0</v>
      </c>
      <c r="CE106" s="99">
        <f t="shared" si="479"/>
        <v>0</v>
      </c>
      <c r="CF106" s="99">
        <f t="shared" si="480"/>
        <v>280000</v>
      </c>
      <c r="CG106" s="99">
        <f t="shared" si="481"/>
        <v>0</v>
      </c>
      <c r="CH106" s="99">
        <f t="shared" si="482"/>
        <v>0</v>
      </c>
      <c r="CI106" s="99">
        <f t="shared" si="483"/>
        <v>0</v>
      </c>
      <c r="CJ106" s="99">
        <f t="shared" si="484"/>
        <v>0</v>
      </c>
      <c r="CK106" s="99">
        <f t="shared" si="485"/>
        <v>0</v>
      </c>
      <c r="CL106" s="99">
        <f t="shared" si="486"/>
        <v>0</v>
      </c>
      <c r="CM106" s="99">
        <f t="shared" si="487"/>
        <v>0</v>
      </c>
    </row>
    <row r="107" spans="1:91" s="355" customFormat="1" ht="14.25" customHeight="1" x14ac:dyDescent="0.2">
      <c r="A107" s="965" t="s">
        <v>6765</v>
      </c>
      <c r="B107" s="1481"/>
      <c r="C107" s="1481"/>
      <c r="D107" s="1481"/>
      <c r="E107" s="865"/>
      <c r="F107" s="862"/>
      <c r="G107" s="960"/>
      <c r="H107" s="862"/>
      <c r="I107" s="960">
        <v>270000</v>
      </c>
      <c r="J107" s="960"/>
      <c r="K107" s="960"/>
      <c r="L107" s="960"/>
      <c r="M107" s="961"/>
      <c r="N107" s="862"/>
      <c r="O107" s="862"/>
      <c r="P107" s="862"/>
      <c r="Q107" s="863"/>
      <c r="R107" s="2296"/>
      <c r="S107" s="2297"/>
      <c r="T107" s="2297"/>
      <c r="U107" s="2298">
        <f t="shared" si="464"/>
        <v>0</v>
      </c>
      <c r="V107" s="621"/>
      <c r="W107" s="617"/>
      <c r="X107" s="617"/>
      <c r="Y107" s="620">
        <f t="shared" si="488"/>
        <v>0</v>
      </c>
      <c r="Z107" s="621"/>
      <c r="AA107" s="617"/>
      <c r="AB107" s="617"/>
      <c r="AC107" s="620">
        <f t="shared" si="489"/>
        <v>0</v>
      </c>
      <c r="AD107" s="621"/>
      <c r="AE107" s="617"/>
      <c r="AF107" s="617"/>
      <c r="AG107" s="618">
        <f t="shared" si="490"/>
        <v>270000</v>
      </c>
      <c r="AH107" s="621"/>
      <c r="AI107" s="617"/>
      <c r="AJ107" s="617"/>
      <c r="AK107" s="1927">
        <f t="shared" si="491"/>
        <v>0</v>
      </c>
      <c r="AL107" s="621"/>
      <c r="AM107" s="617"/>
      <c r="AN107" s="617"/>
      <c r="AO107" s="620">
        <f t="shared" si="492"/>
        <v>0</v>
      </c>
      <c r="AP107" s="621"/>
      <c r="AQ107" s="617"/>
      <c r="AR107" s="617"/>
      <c r="AS107" s="620">
        <f t="shared" si="493"/>
        <v>0</v>
      </c>
      <c r="AT107" s="621"/>
      <c r="AU107" s="617"/>
      <c r="AV107" s="617"/>
      <c r="AW107" s="620">
        <f t="shared" si="494"/>
        <v>0</v>
      </c>
      <c r="AX107" s="621"/>
      <c r="AY107" s="617"/>
      <c r="AZ107" s="617"/>
      <c r="BA107" s="620">
        <f t="shared" si="495"/>
        <v>0</v>
      </c>
      <c r="BB107" s="621"/>
      <c r="BC107" s="617"/>
      <c r="BD107" s="617"/>
      <c r="BE107" s="620">
        <f t="shared" si="496"/>
        <v>0</v>
      </c>
      <c r="BF107" s="621"/>
      <c r="BG107" s="617"/>
      <c r="BH107" s="617"/>
      <c r="BI107" s="1927">
        <f t="shared" si="497"/>
        <v>0</v>
      </c>
      <c r="BJ107" s="621"/>
      <c r="BK107" s="617"/>
      <c r="BL107" s="617"/>
      <c r="BM107" s="1927">
        <f t="shared" si="374"/>
        <v>0</v>
      </c>
      <c r="BN107" s="621"/>
      <c r="BO107" s="1263">
        <v>1</v>
      </c>
      <c r="BP107" s="1263">
        <f t="shared" si="498"/>
        <v>1</v>
      </c>
      <c r="BQ107" s="1263">
        <f t="shared" si="499"/>
        <v>1</v>
      </c>
      <c r="BR107" s="1263">
        <f t="shared" si="500"/>
        <v>1</v>
      </c>
      <c r="BS107" s="1263">
        <f t="shared" si="501"/>
        <v>1</v>
      </c>
      <c r="BT107" s="1263">
        <f t="shared" si="502"/>
        <v>1</v>
      </c>
      <c r="BU107" s="1263">
        <f t="shared" si="503"/>
        <v>1</v>
      </c>
      <c r="BV107" s="1263">
        <f t="shared" si="504"/>
        <v>1</v>
      </c>
      <c r="BW107" s="1263">
        <f t="shared" si="505"/>
        <v>1</v>
      </c>
      <c r="BX107" s="1263">
        <f t="shared" si="506"/>
        <v>1</v>
      </c>
      <c r="BY107" s="1263">
        <f t="shared" si="507"/>
        <v>1</v>
      </c>
      <c r="BZ107" s="1263">
        <f t="shared" si="507"/>
        <v>1</v>
      </c>
      <c r="CA107" s="1263"/>
      <c r="CB107" s="99">
        <f t="shared" si="476"/>
        <v>0</v>
      </c>
      <c r="CC107" s="99">
        <f t="shared" si="477"/>
        <v>0</v>
      </c>
      <c r="CD107" s="99">
        <f t="shared" si="478"/>
        <v>0</v>
      </c>
      <c r="CE107" s="99">
        <f t="shared" si="479"/>
        <v>270000</v>
      </c>
      <c r="CF107" s="99">
        <f t="shared" si="480"/>
        <v>0</v>
      </c>
      <c r="CG107" s="99">
        <f t="shared" si="481"/>
        <v>0</v>
      </c>
      <c r="CH107" s="99">
        <f t="shared" si="482"/>
        <v>0</v>
      </c>
      <c r="CI107" s="99">
        <f t="shared" si="483"/>
        <v>0</v>
      </c>
      <c r="CJ107" s="99">
        <f t="shared" si="484"/>
        <v>0</v>
      </c>
      <c r="CK107" s="99">
        <f t="shared" si="485"/>
        <v>0</v>
      </c>
      <c r="CL107" s="99">
        <f t="shared" si="486"/>
        <v>0</v>
      </c>
      <c r="CM107" s="99">
        <f t="shared" si="487"/>
        <v>0</v>
      </c>
    </row>
    <row r="108" spans="1:91" s="355" customFormat="1" ht="14.25" customHeight="1" x14ac:dyDescent="0.2">
      <c r="A108" s="965" t="s">
        <v>6766</v>
      </c>
      <c r="B108" s="1481"/>
      <c r="C108" s="1481"/>
      <c r="D108" s="1481"/>
      <c r="E108" s="865"/>
      <c r="F108" s="862"/>
      <c r="G108" s="960"/>
      <c r="H108" s="862"/>
      <c r="I108" s="960"/>
      <c r="J108" s="960"/>
      <c r="K108" s="960">
        <v>158000</v>
      </c>
      <c r="L108" s="960">
        <v>162000</v>
      </c>
      <c r="M108" s="961"/>
      <c r="N108" s="862"/>
      <c r="O108" s="862"/>
      <c r="P108" s="862"/>
      <c r="Q108" s="863"/>
      <c r="R108" s="2296"/>
      <c r="S108" s="2297"/>
      <c r="T108" s="2297"/>
      <c r="U108" s="2298">
        <f t="shared" si="464"/>
        <v>0</v>
      </c>
      <c r="V108" s="621"/>
      <c r="W108" s="617"/>
      <c r="X108" s="617"/>
      <c r="Y108" s="620">
        <f t="shared" si="488"/>
        <v>0</v>
      </c>
      <c r="Z108" s="621"/>
      <c r="AA108" s="617"/>
      <c r="AB108" s="617"/>
      <c r="AC108" s="620">
        <f t="shared" si="489"/>
        <v>0</v>
      </c>
      <c r="AD108" s="621"/>
      <c r="AE108" s="617"/>
      <c r="AF108" s="617"/>
      <c r="AG108" s="618">
        <f t="shared" si="490"/>
        <v>0</v>
      </c>
      <c r="AH108" s="621"/>
      <c r="AI108" s="617"/>
      <c r="AJ108" s="617"/>
      <c r="AK108" s="1927">
        <f t="shared" si="491"/>
        <v>0</v>
      </c>
      <c r="AL108" s="621"/>
      <c r="AM108" s="617"/>
      <c r="AN108" s="617"/>
      <c r="AO108" s="620">
        <f t="shared" si="492"/>
        <v>158000</v>
      </c>
      <c r="AP108" s="621"/>
      <c r="AQ108" s="617"/>
      <c r="AR108" s="617"/>
      <c r="AS108" s="620">
        <f t="shared" si="493"/>
        <v>162000</v>
      </c>
      <c r="AT108" s="621"/>
      <c r="AU108" s="617"/>
      <c r="AV108" s="617"/>
      <c r="AW108" s="620">
        <f t="shared" si="494"/>
        <v>0</v>
      </c>
      <c r="AX108" s="621"/>
      <c r="AY108" s="617"/>
      <c r="AZ108" s="617"/>
      <c r="BA108" s="620">
        <f t="shared" si="495"/>
        <v>0</v>
      </c>
      <c r="BB108" s="621"/>
      <c r="BC108" s="617"/>
      <c r="BD108" s="617"/>
      <c r="BE108" s="620">
        <f t="shared" si="496"/>
        <v>0</v>
      </c>
      <c r="BF108" s="621"/>
      <c r="BG108" s="617"/>
      <c r="BH108" s="617"/>
      <c r="BI108" s="1927">
        <f t="shared" si="497"/>
        <v>0</v>
      </c>
      <c r="BJ108" s="621"/>
      <c r="BK108" s="617"/>
      <c r="BL108" s="617"/>
      <c r="BM108" s="1927">
        <f t="shared" si="374"/>
        <v>0</v>
      </c>
      <c r="BN108" s="621"/>
      <c r="BO108" s="1263">
        <v>1</v>
      </c>
      <c r="BP108" s="1263">
        <f t="shared" si="498"/>
        <v>1</v>
      </c>
      <c r="BQ108" s="1263">
        <f t="shared" si="499"/>
        <v>1</v>
      </c>
      <c r="BR108" s="1263">
        <f t="shared" si="500"/>
        <v>1</v>
      </c>
      <c r="BS108" s="1263">
        <f t="shared" si="501"/>
        <v>1</v>
      </c>
      <c r="BT108" s="1263">
        <f t="shared" si="502"/>
        <v>1</v>
      </c>
      <c r="BU108" s="1263">
        <f t="shared" si="503"/>
        <v>1</v>
      </c>
      <c r="BV108" s="1263">
        <f t="shared" si="504"/>
        <v>1</v>
      </c>
      <c r="BW108" s="1263">
        <f t="shared" si="505"/>
        <v>1</v>
      </c>
      <c r="BX108" s="1263">
        <f t="shared" si="506"/>
        <v>1</v>
      </c>
      <c r="BY108" s="1263">
        <f t="shared" si="507"/>
        <v>1</v>
      </c>
      <c r="BZ108" s="1263">
        <f t="shared" si="507"/>
        <v>1</v>
      </c>
      <c r="CA108" s="1263"/>
      <c r="CB108" s="99">
        <f t="shared" si="476"/>
        <v>0</v>
      </c>
      <c r="CC108" s="99">
        <f t="shared" si="477"/>
        <v>0</v>
      </c>
      <c r="CD108" s="99">
        <f t="shared" si="478"/>
        <v>0</v>
      </c>
      <c r="CE108" s="99">
        <f t="shared" si="479"/>
        <v>0</v>
      </c>
      <c r="CF108" s="99">
        <f t="shared" si="480"/>
        <v>0</v>
      </c>
      <c r="CG108" s="99">
        <f t="shared" si="481"/>
        <v>158000</v>
      </c>
      <c r="CH108" s="99">
        <f t="shared" si="482"/>
        <v>162000</v>
      </c>
      <c r="CI108" s="99">
        <f t="shared" si="483"/>
        <v>0</v>
      </c>
      <c r="CJ108" s="99">
        <f t="shared" si="484"/>
        <v>0</v>
      </c>
      <c r="CK108" s="99">
        <f t="shared" si="485"/>
        <v>0</v>
      </c>
      <c r="CL108" s="99">
        <f t="shared" si="486"/>
        <v>0</v>
      </c>
      <c r="CM108" s="99">
        <f t="shared" si="487"/>
        <v>0</v>
      </c>
    </row>
    <row r="109" spans="1:91" s="355" customFormat="1" ht="14.25" customHeight="1" x14ac:dyDescent="0.2">
      <c r="A109" s="965" t="s">
        <v>6767</v>
      </c>
      <c r="B109" s="1481"/>
      <c r="C109" s="1481"/>
      <c r="D109" s="1481"/>
      <c r="E109" s="865"/>
      <c r="F109" s="862"/>
      <c r="G109" s="960"/>
      <c r="H109" s="862"/>
      <c r="I109" s="960"/>
      <c r="J109" s="960"/>
      <c r="K109" s="960"/>
      <c r="L109" s="960"/>
      <c r="M109" s="961">
        <v>362000</v>
      </c>
      <c r="N109" s="862"/>
      <c r="O109" s="862"/>
      <c r="P109" s="862"/>
      <c r="Q109" s="863"/>
      <c r="R109" s="2296"/>
      <c r="S109" s="2297"/>
      <c r="T109" s="2297"/>
      <c r="U109" s="2298">
        <f t="shared" si="464"/>
        <v>0</v>
      </c>
      <c r="V109" s="621"/>
      <c r="W109" s="617"/>
      <c r="X109" s="617"/>
      <c r="Y109" s="620">
        <f t="shared" si="488"/>
        <v>0</v>
      </c>
      <c r="Z109" s="621"/>
      <c r="AA109" s="617"/>
      <c r="AB109" s="617"/>
      <c r="AC109" s="620">
        <f t="shared" si="489"/>
        <v>0</v>
      </c>
      <c r="AD109" s="621"/>
      <c r="AE109" s="617"/>
      <c r="AF109" s="617"/>
      <c r="AG109" s="618">
        <f t="shared" si="490"/>
        <v>0</v>
      </c>
      <c r="AH109" s="621"/>
      <c r="AI109" s="617"/>
      <c r="AJ109" s="617"/>
      <c r="AK109" s="1927">
        <f t="shared" si="491"/>
        <v>0</v>
      </c>
      <c r="AL109" s="621"/>
      <c r="AM109" s="617"/>
      <c r="AN109" s="617"/>
      <c r="AO109" s="620">
        <f t="shared" si="492"/>
        <v>0</v>
      </c>
      <c r="AP109" s="621"/>
      <c r="AQ109" s="617"/>
      <c r="AR109" s="617"/>
      <c r="AS109" s="620">
        <f t="shared" si="493"/>
        <v>0</v>
      </c>
      <c r="AT109" s="621"/>
      <c r="AU109" s="617"/>
      <c r="AV109" s="617"/>
      <c r="AW109" s="620">
        <f t="shared" si="494"/>
        <v>362000</v>
      </c>
      <c r="AX109" s="621"/>
      <c r="AY109" s="617"/>
      <c r="AZ109" s="617"/>
      <c r="BA109" s="620">
        <f t="shared" si="495"/>
        <v>0</v>
      </c>
      <c r="BB109" s="621"/>
      <c r="BC109" s="617"/>
      <c r="BD109" s="617"/>
      <c r="BE109" s="620">
        <f t="shared" si="496"/>
        <v>0</v>
      </c>
      <c r="BF109" s="621"/>
      <c r="BG109" s="617"/>
      <c r="BH109" s="617"/>
      <c r="BI109" s="1927">
        <f t="shared" si="497"/>
        <v>0</v>
      </c>
      <c r="BJ109" s="621"/>
      <c r="BK109" s="617"/>
      <c r="BL109" s="617"/>
      <c r="BM109" s="1927">
        <f t="shared" si="374"/>
        <v>0</v>
      </c>
      <c r="BN109" s="621"/>
      <c r="BO109" s="1263">
        <v>1</v>
      </c>
      <c r="BP109" s="1263">
        <f t="shared" si="498"/>
        <v>1</v>
      </c>
      <c r="BQ109" s="1263">
        <f t="shared" si="499"/>
        <v>1</v>
      </c>
      <c r="BR109" s="1263">
        <f t="shared" si="500"/>
        <v>1</v>
      </c>
      <c r="BS109" s="1263">
        <f t="shared" si="501"/>
        <v>1</v>
      </c>
      <c r="BT109" s="1263">
        <f t="shared" si="502"/>
        <v>1</v>
      </c>
      <c r="BU109" s="1263">
        <f t="shared" si="503"/>
        <v>1</v>
      </c>
      <c r="BV109" s="1263">
        <f t="shared" si="504"/>
        <v>1</v>
      </c>
      <c r="BW109" s="1263">
        <f t="shared" si="505"/>
        <v>1</v>
      </c>
      <c r="BX109" s="1263">
        <f t="shared" si="506"/>
        <v>1</v>
      </c>
      <c r="BY109" s="1263">
        <f t="shared" si="507"/>
        <v>1</v>
      </c>
      <c r="BZ109" s="1263">
        <f t="shared" si="507"/>
        <v>1</v>
      </c>
      <c r="CA109" s="1263"/>
      <c r="CB109" s="99">
        <f t="shared" si="476"/>
        <v>0</v>
      </c>
      <c r="CC109" s="99">
        <f t="shared" si="477"/>
        <v>0</v>
      </c>
      <c r="CD109" s="99">
        <f t="shared" si="478"/>
        <v>0</v>
      </c>
      <c r="CE109" s="99">
        <f t="shared" si="479"/>
        <v>0</v>
      </c>
      <c r="CF109" s="99">
        <f t="shared" si="480"/>
        <v>0</v>
      </c>
      <c r="CG109" s="99">
        <f t="shared" si="481"/>
        <v>0</v>
      </c>
      <c r="CH109" s="99">
        <f t="shared" si="482"/>
        <v>0</v>
      </c>
      <c r="CI109" s="99">
        <f t="shared" si="483"/>
        <v>362000</v>
      </c>
      <c r="CJ109" s="99">
        <f t="shared" si="484"/>
        <v>0</v>
      </c>
      <c r="CK109" s="99">
        <f t="shared" si="485"/>
        <v>0</v>
      </c>
      <c r="CL109" s="99">
        <f t="shared" si="486"/>
        <v>0</v>
      </c>
      <c r="CM109" s="99">
        <f t="shared" si="487"/>
        <v>0</v>
      </c>
    </row>
    <row r="110" spans="1:91" s="355" customFormat="1" ht="14.25" customHeight="1" x14ac:dyDescent="0.2">
      <c r="A110" s="965" t="s">
        <v>6768</v>
      </c>
      <c r="B110" s="1481"/>
      <c r="C110" s="1481"/>
      <c r="D110" s="1481"/>
      <c r="E110" s="865"/>
      <c r="F110" s="862"/>
      <c r="G110" s="960"/>
      <c r="H110" s="862"/>
      <c r="I110" s="960"/>
      <c r="J110" s="960"/>
      <c r="K110" s="960"/>
      <c r="L110" s="960"/>
      <c r="M110" s="961">
        <v>472000</v>
      </c>
      <c r="N110" s="862"/>
      <c r="O110" s="862"/>
      <c r="P110" s="862"/>
      <c r="Q110" s="863"/>
      <c r="R110" s="2296"/>
      <c r="S110" s="2297"/>
      <c r="T110" s="2297"/>
      <c r="U110" s="2298">
        <f t="shared" si="464"/>
        <v>0</v>
      </c>
      <c r="V110" s="621"/>
      <c r="W110" s="617"/>
      <c r="X110" s="617"/>
      <c r="Y110" s="620">
        <f t="shared" si="488"/>
        <v>0</v>
      </c>
      <c r="Z110" s="621"/>
      <c r="AA110" s="617"/>
      <c r="AB110" s="617"/>
      <c r="AC110" s="620">
        <f t="shared" si="489"/>
        <v>0</v>
      </c>
      <c r="AD110" s="621"/>
      <c r="AE110" s="617"/>
      <c r="AF110" s="617"/>
      <c r="AG110" s="618">
        <f t="shared" si="490"/>
        <v>0</v>
      </c>
      <c r="AH110" s="621"/>
      <c r="AI110" s="617"/>
      <c r="AJ110" s="617"/>
      <c r="AK110" s="1927">
        <f t="shared" si="491"/>
        <v>0</v>
      </c>
      <c r="AL110" s="621"/>
      <c r="AM110" s="617"/>
      <c r="AN110" s="617"/>
      <c r="AO110" s="620">
        <f t="shared" si="492"/>
        <v>0</v>
      </c>
      <c r="AP110" s="621"/>
      <c r="AQ110" s="617"/>
      <c r="AR110" s="617"/>
      <c r="AS110" s="620">
        <f t="shared" si="493"/>
        <v>0</v>
      </c>
      <c r="AT110" s="621"/>
      <c r="AU110" s="617"/>
      <c r="AV110" s="617"/>
      <c r="AW110" s="620">
        <f t="shared" si="494"/>
        <v>472000</v>
      </c>
      <c r="AX110" s="621"/>
      <c r="AY110" s="617"/>
      <c r="AZ110" s="617"/>
      <c r="BA110" s="620">
        <f t="shared" si="495"/>
        <v>0</v>
      </c>
      <c r="BB110" s="621"/>
      <c r="BC110" s="617"/>
      <c r="BD110" s="617"/>
      <c r="BE110" s="620">
        <f t="shared" si="496"/>
        <v>0</v>
      </c>
      <c r="BF110" s="621"/>
      <c r="BG110" s="617"/>
      <c r="BH110" s="617"/>
      <c r="BI110" s="1927">
        <f t="shared" si="497"/>
        <v>0</v>
      </c>
      <c r="BJ110" s="621"/>
      <c r="BK110" s="617"/>
      <c r="BL110" s="617"/>
      <c r="BM110" s="1927">
        <f t="shared" si="374"/>
        <v>0</v>
      </c>
      <c r="BN110" s="621"/>
      <c r="BO110" s="1263">
        <v>1</v>
      </c>
      <c r="BP110" s="1263">
        <f t="shared" si="498"/>
        <v>1</v>
      </c>
      <c r="BQ110" s="1263">
        <f t="shared" si="499"/>
        <v>1</v>
      </c>
      <c r="BR110" s="1263">
        <f t="shared" si="500"/>
        <v>1</v>
      </c>
      <c r="BS110" s="1263">
        <f t="shared" si="501"/>
        <v>1</v>
      </c>
      <c r="BT110" s="1263">
        <f t="shared" si="502"/>
        <v>1</v>
      </c>
      <c r="BU110" s="1263">
        <f t="shared" si="503"/>
        <v>1</v>
      </c>
      <c r="BV110" s="1263">
        <f t="shared" si="504"/>
        <v>1</v>
      </c>
      <c r="BW110" s="1263">
        <f t="shared" si="505"/>
        <v>1</v>
      </c>
      <c r="BX110" s="1263">
        <f t="shared" si="506"/>
        <v>1</v>
      </c>
      <c r="BY110" s="1263">
        <f t="shared" si="507"/>
        <v>1</v>
      </c>
      <c r="BZ110" s="1263">
        <f t="shared" si="507"/>
        <v>1</v>
      </c>
      <c r="CA110" s="1263"/>
      <c r="CB110" s="99">
        <f t="shared" si="476"/>
        <v>0</v>
      </c>
      <c r="CC110" s="99">
        <f t="shared" si="477"/>
        <v>0</v>
      </c>
      <c r="CD110" s="99">
        <f t="shared" si="478"/>
        <v>0</v>
      </c>
      <c r="CE110" s="99">
        <f t="shared" si="479"/>
        <v>0</v>
      </c>
      <c r="CF110" s="99">
        <f t="shared" si="480"/>
        <v>0</v>
      </c>
      <c r="CG110" s="99">
        <f t="shared" si="481"/>
        <v>0</v>
      </c>
      <c r="CH110" s="99">
        <f t="shared" si="482"/>
        <v>0</v>
      </c>
      <c r="CI110" s="99">
        <f t="shared" si="483"/>
        <v>472000</v>
      </c>
      <c r="CJ110" s="99">
        <f t="shared" si="484"/>
        <v>0</v>
      </c>
      <c r="CK110" s="99">
        <f t="shared" si="485"/>
        <v>0</v>
      </c>
      <c r="CL110" s="99">
        <f t="shared" si="486"/>
        <v>0</v>
      </c>
      <c r="CM110" s="99">
        <f t="shared" si="487"/>
        <v>0</v>
      </c>
    </row>
    <row r="111" spans="1:91" s="355" customFormat="1" ht="14.25" customHeight="1" x14ac:dyDescent="0.2">
      <c r="A111" s="965" t="s">
        <v>6769</v>
      </c>
      <c r="B111" s="1481"/>
      <c r="C111" s="1481"/>
      <c r="D111" s="1481"/>
      <c r="E111" s="865"/>
      <c r="F111" s="862"/>
      <c r="G111" s="960"/>
      <c r="H111" s="862"/>
      <c r="I111" s="960"/>
      <c r="J111" s="960"/>
      <c r="K111" s="960"/>
      <c r="L111" s="960">
        <v>2336000</v>
      </c>
      <c r="M111" s="961"/>
      <c r="N111" s="862"/>
      <c r="O111" s="862"/>
      <c r="P111" s="862"/>
      <c r="Q111" s="863"/>
      <c r="R111" s="2296"/>
      <c r="S111" s="2297"/>
      <c r="T111" s="2297"/>
      <c r="U111" s="2298">
        <f t="shared" si="464"/>
        <v>0</v>
      </c>
      <c r="V111" s="621"/>
      <c r="W111" s="617"/>
      <c r="X111" s="617"/>
      <c r="Y111" s="620">
        <f t="shared" si="488"/>
        <v>0</v>
      </c>
      <c r="Z111" s="621"/>
      <c r="AA111" s="617"/>
      <c r="AB111" s="617"/>
      <c r="AC111" s="620">
        <f t="shared" si="489"/>
        <v>0</v>
      </c>
      <c r="AD111" s="621"/>
      <c r="AE111" s="617"/>
      <c r="AF111" s="617"/>
      <c r="AG111" s="618">
        <f t="shared" si="490"/>
        <v>0</v>
      </c>
      <c r="AH111" s="621"/>
      <c r="AI111" s="617"/>
      <c r="AJ111" s="617"/>
      <c r="AK111" s="1927">
        <f t="shared" si="491"/>
        <v>0</v>
      </c>
      <c r="AL111" s="621"/>
      <c r="AM111" s="617"/>
      <c r="AN111" s="617"/>
      <c r="AO111" s="620">
        <f t="shared" si="492"/>
        <v>0</v>
      </c>
      <c r="AP111" s="621"/>
      <c r="AQ111" s="617"/>
      <c r="AR111" s="617"/>
      <c r="AS111" s="620">
        <f t="shared" si="493"/>
        <v>2336000</v>
      </c>
      <c r="AT111" s="621"/>
      <c r="AU111" s="617"/>
      <c r="AV111" s="617"/>
      <c r="AW111" s="620">
        <f t="shared" si="494"/>
        <v>0</v>
      </c>
      <c r="AX111" s="621"/>
      <c r="AY111" s="617"/>
      <c r="AZ111" s="617"/>
      <c r="BA111" s="620">
        <f t="shared" si="495"/>
        <v>0</v>
      </c>
      <c r="BB111" s="621"/>
      <c r="BC111" s="617"/>
      <c r="BD111" s="617"/>
      <c r="BE111" s="620">
        <f t="shared" si="496"/>
        <v>0</v>
      </c>
      <c r="BF111" s="621"/>
      <c r="BG111" s="617"/>
      <c r="BH111" s="617"/>
      <c r="BI111" s="1927">
        <f t="shared" si="497"/>
        <v>0</v>
      </c>
      <c r="BJ111" s="621"/>
      <c r="BK111" s="617"/>
      <c r="BL111" s="617"/>
      <c r="BM111" s="1927">
        <f t="shared" si="374"/>
        <v>0</v>
      </c>
      <c r="BN111" s="621"/>
      <c r="BO111" s="1263">
        <v>1</v>
      </c>
      <c r="BP111" s="1263">
        <f t="shared" si="498"/>
        <v>1</v>
      </c>
      <c r="BQ111" s="1263">
        <f t="shared" si="499"/>
        <v>1</v>
      </c>
      <c r="BR111" s="1263">
        <f t="shared" si="500"/>
        <v>1</v>
      </c>
      <c r="BS111" s="1263">
        <f t="shared" si="501"/>
        <v>1</v>
      </c>
      <c r="BT111" s="1263">
        <f t="shared" si="502"/>
        <v>1</v>
      </c>
      <c r="BU111" s="1263">
        <f t="shared" si="503"/>
        <v>1</v>
      </c>
      <c r="BV111" s="1263">
        <f t="shared" si="504"/>
        <v>1</v>
      </c>
      <c r="BW111" s="1263">
        <f t="shared" si="505"/>
        <v>1</v>
      </c>
      <c r="BX111" s="1263">
        <f t="shared" si="506"/>
        <v>1</v>
      </c>
      <c r="BY111" s="1263">
        <f t="shared" si="507"/>
        <v>1</v>
      </c>
      <c r="BZ111" s="1263">
        <f t="shared" si="507"/>
        <v>1</v>
      </c>
      <c r="CA111" s="1263"/>
      <c r="CB111" s="99">
        <f t="shared" si="476"/>
        <v>0</v>
      </c>
      <c r="CC111" s="99">
        <f t="shared" si="477"/>
        <v>0</v>
      </c>
      <c r="CD111" s="99">
        <f t="shared" si="478"/>
        <v>0</v>
      </c>
      <c r="CE111" s="99">
        <f t="shared" si="479"/>
        <v>0</v>
      </c>
      <c r="CF111" s="99">
        <f t="shared" si="480"/>
        <v>0</v>
      </c>
      <c r="CG111" s="99">
        <f t="shared" si="481"/>
        <v>0</v>
      </c>
      <c r="CH111" s="99">
        <f t="shared" si="482"/>
        <v>2336000</v>
      </c>
      <c r="CI111" s="99">
        <f t="shared" si="483"/>
        <v>0</v>
      </c>
      <c r="CJ111" s="99">
        <f t="shared" si="484"/>
        <v>0</v>
      </c>
      <c r="CK111" s="99">
        <f t="shared" si="485"/>
        <v>0</v>
      </c>
      <c r="CL111" s="99">
        <f t="shared" si="486"/>
        <v>0</v>
      </c>
      <c r="CM111" s="99">
        <f t="shared" si="487"/>
        <v>0</v>
      </c>
    </row>
    <row r="112" spans="1:91" s="355" customFormat="1" ht="14.25" customHeight="1" x14ac:dyDescent="0.2">
      <c r="A112" s="965" t="s">
        <v>6770</v>
      </c>
      <c r="B112" s="1481"/>
      <c r="C112" s="1481"/>
      <c r="D112" s="1481"/>
      <c r="E112" s="865"/>
      <c r="F112" s="862"/>
      <c r="G112" s="960"/>
      <c r="H112" s="862"/>
      <c r="I112" s="960">
        <v>200000</v>
      </c>
      <c r="J112" s="960"/>
      <c r="K112" s="960"/>
      <c r="L112" s="960"/>
      <c r="M112" s="961"/>
      <c r="N112" s="862"/>
      <c r="O112" s="862"/>
      <c r="P112" s="862"/>
      <c r="Q112" s="863"/>
      <c r="R112" s="2296"/>
      <c r="S112" s="2297"/>
      <c r="T112" s="2297"/>
      <c r="U112" s="2298"/>
      <c r="V112" s="621"/>
      <c r="W112" s="617"/>
      <c r="X112" s="617"/>
      <c r="Y112" s="620">
        <f t="shared" si="488"/>
        <v>0</v>
      </c>
      <c r="Z112" s="621"/>
      <c r="AA112" s="617"/>
      <c r="AB112" s="617"/>
      <c r="AC112" s="620">
        <f t="shared" si="489"/>
        <v>0</v>
      </c>
      <c r="AD112" s="621"/>
      <c r="AE112" s="617"/>
      <c r="AF112" s="617"/>
      <c r="AG112" s="618">
        <f t="shared" si="490"/>
        <v>200000</v>
      </c>
      <c r="AH112" s="621"/>
      <c r="AI112" s="617"/>
      <c r="AJ112" s="617"/>
      <c r="AK112" s="1927">
        <f t="shared" si="491"/>
        <v>0</v>
      </c>
      <c r="AL112" s="621"/>
      <c r="AM112" s="617"/>
      <c r="AN112" s="617"/>
      <c r="AO112" s="620">
        <f t="shared" si="492"/>
        <v>0</v>
      </c>
      <c r="AP112" s="621"/>
      <c r="AQ112" s="617"/>
      <c r="AR112" s="617"/>
      <c r="AS112" s="620">
        <f t="shared" si="493"/>
        <v>0</v>
      </c>
      <c r="AT112" s="621"/>
      <c r="AU112" s="617"/>
      <c r="AV112" s="617"/>
      <c r="AW112" s="620">
        <f t="shared" si="494"/>
        <v>0</v>
      </c>
      <c r="AX112" s="621"/>
      <c r="AY112" s="617"/>
      <c r="AZ112" s="617"/>
      <c r="BA112" s="620">
        <f t="shared" si="495"/>
        <v>0</v>
      </c>
      <c r="BB112" s="621"/>
      <c r="BC112" s="617"/>
      <c r="BD112" s="617"/>
      <c r="BE112" s="620">
        <f t="shared" si="496"/>
        <v>0</v>
      </c>
      <c r="BF112" s="621"/>
      <c r="BG112" s="617"/>
      <c r="BH112" s="617"/>
      <c r="BI112" s="1927">
        <f t="shared" si="497"/>
        <v>0</v>
      </c>
      <c r="BJ112" s="621"/>
      <c r="BK112" s="617"/>
      <c r="BL112" s="617"/>
      <c r="BM112" s="1927">
        <f t="shared" si="374"/>
        <v>0</v>
      </c>
      <c r="BN112" s="621"/>
      <c r="BO112" s="1263">
        <v>1</v>
      </c>
      <c r="BP112" s="1263">
        <f t="shared" ref="BP112:BP115" si="508">BO112</f>
        <v>1</v>
      </c>
      <c r="BQ112" s="1263">
        <f t="shared" ref="BQ112:BQ115" si="509">BP112</f>
        <v>1</v>
      </c>
      <c r="BR112" s="1263">
        <f t="shared" ref="BR112:BR115" si="510">BQ112</f>
        <v>1</v>
      </c>
      <c r="BS112" s="1263">
        <f t="shared" ref="BS112:BS115" si="511">BR112</f>
        <v>1</v>
      </c>
      <c r="BT112" s="1263">
        <f t="shared" ref="BT112:BT115" si="512">BS112</f>
        <v>1</v>
      </c>
      <c r="BU112" s="1263">
        <f t="shared" ref="BU112:BU115" si="513">BT112</f>
        <v>1</v>
      </c>
      <c r="BV112" s="1263">
        <f t="shared" ref="BV112:BV115" si="514">BU112</f>
        <v>1</v>
      </c>
      <c r="BW112" s="1263">
        <f t="shared" ref="BW112:BW115" si="515">BV112</f>
        <v>1</v>
      </c>
      <c r="BX112" s="1263">
        <f t="shared" ref="BX112:BX115" si="516">BW112</f>
        <v>1</v>
      </c>
      <c r="BY112" s="1263">
        <f t="shared" ref="BY112:BZ115" si="517">BX112</f>
        <v>1</v>
      </c>
      <c r="BZ112" s="1263">
        <f t="shared" si="517"/>
        <v>1</v>
      </c>
      <c r="CA112" s="1263"/>
      <c r="CB112" s="99">
        <f t="shared" si="476"/>
        <v>0</v>
      </c>
      <c r="CC112" s="99">
        <f t="shared" si="477"/>
        <v>0</v>
      </c>
      <c r="CD112" s="99">
        <f t="shared" si="478"/>
        <v>0</v>
      </c>
      <c r="CE112" s="99">
        <f t="shared" si="479"/>
        <v>200000</v>
      </c>
      <c r="CF112" s="99">
        <f t="shared" si="480"/>
        <v>0</v>
      </c>
      <c r="CG112" s="99">
        <f t="shared" si="481"/>
        <v>0</v>
      </c>
      <c r="CH112" s="99">
        <f t="shared" si="482"/>
        <v>0</v>
      </c>
      <c r="CI112" s="99">
        <f t="shared" si="483"/>
        <v>0</v>
      </c>
      <c r="CJ112" s="99">
        <f t="shared" si="484"/>
        <v>0</v>
      </c>
      <c r="CK112" s="99">
        <f t="shared" si="485"/>
        <v>0</v>
      </c>
      <c r="CL112" s="99">
        <f t="shared" si="486"/>
        <v>0</v>
      </c>
      <c r="CM112" s="99">
        <f t="shared" si="487"/>
        <v>0</v>
      </c>
    </row>
    <row r="113" spans="1:91" s="355" customFormat="1" ht="14.25" customHeight="1" x14ac:dyDescent="0.2">
      <c r="A113" s="965" t="s">
        <v>6771</v>
      </c>
      <c r="B113" s="1481"/>
      <c r="C113" s="1481"/>
      <c r="D113" s="1481"/>
      <c r="E113" s="865"/>
      <c r="F113" s="862"/>
      <c r="G113" s="960"/>
      <c r="H113" s="862">
        <v>40000</v>
      </c>
      <c r="I113" s="960"/>
      <c r="J113" s="960"/>
      <c r="K113" s="960"/>
      <c r="L113" s="960"/>
      <c r="M113" s="961"/>
      <c r="N113" s="862"/>
      <c r="O113" s="862"/>
      <c r="P113" s="862"/>
      <c r="Q113" s="863"/>
      <c r="R113" s="2296"/>
      <c r="S113" s="2297"/>
      <c r="T113" s="2297"/>
      <c r="U113" s="2298"/>
      <c r="V113" s="621"/>
      <c r="W113" s="617"/>
      <c r="X113" s="617"/>
      <c r="Y113" s="620">
        <f t="shared" si="488"/>
        <v>0</v>
      </c>
      <c r="Z113" s="621"/>
      <c r="AA113" s="617"/>
      <c r="AB113" s="617"/>
      <c r="AC113" s="620">
        <f t="shared" si="489"/>
        <v>40000</v>
      </c>
      <c r="AD113" s="621"/>
      <c r="AE113" s="617"/>
      <c r="AF113" s="617"/>
      <c r="AG113" s="618">
        <f t="shared" si="490"/>
        <v>0</v>
      </c>
      <c r="AH113" s="621"/>
      <c r="AI113" s="617"/>
      <c r="AJ113" s="617"/>
      <c r="AK113" s="1927">
        <f t="shared" si="491"/>
        <v>0</v>
      </c>
      <c r="AL113" s="621"/>
      <c r="AM113" s="617"/>
      <c r="AN113" s="617"/>
      <c r="AO113" s="620">
        <f t="shared" si="492"/>
        <v>0</v>
      </c>
      <c r="AP113" s="621"/>
      <c r="AQ113" s="617"/>
      <c r="AR113" s="617"/>
      <c r="AS113" s="620">
        <f t="shared" si="493"/>
        <v>0</v>
      </c>
      <c r="AT113" s="621"/>
      <c r="AU113" s="617"/>
      <c r="AV113" s="617"/>
      <c r="AW113" s="620">
        <f t="shared" si="494"/>
        <v>0</v>
      </c>
      <c r="AX113" s="621"/>
      <c r="AY113" s="617"/>
      <c r="AZ113" s="617"/>
      <c r="BA113" s="620">
        <f t="shared" si="495"/>
        <v>0</v>
      </c>
      <c r="BB113" s="621"/>
      <c r="BC113" s="617"/>
      <c r="BD113" s="617"/>
      <c r="BE113" s="620">
        <f t="shared" si="496"/>
        <v>0</v>
      </c>
      <c r="BF113" s="621"/>
      <c r="BG113" s="617"/>
      <c r="BH113" s="617"/>
      <c r="BI113" s="1927">
        <f t="shared" si="497"/>
        <v>0</v>
      </c>
      <c r="BJ113" s="621"/>
      <c r="BK113" s="617"/>
      <c r="BL113" s="617"/>
      <c r="BM113" s="1927">
        <f t="shared" si="374"/>
        <v>0</v>
      </c>
      <c r="BN113" s="621"/>
      <c r="BO113" s="1263">
        <v>1</v>
      </c>
      <c r="BP113" s="1263">
        <f t="shared" si="508"/>
        <v>1</v>
      </c>
      <c r="BQ113" s="1263">
        <f t="shared" si="509"/>
        <v>1</v>
      </c>
      <c r="BR113" s="1263">
        <f t="shared" si="510"/>
        <v>1</v>
      </c>
      <c r="BS113" s="1263">
        <f t="shared" si="511"/>
        <v>1</v>
      </c>
      <c r="BT113" s="1263">
        <f t="shared" si="512"/>
        <v>1</v>
      </c>
      <c r="BU113" s="1263">
        <f t="shared" si="513"/>
        <v>1</v>
      </c>
      <c r="BV113" s="1263">
        <f t="shared" si="514"/>
        <v>1</v>
      </c>
      <c r="BW113" s="1263">
        <f t="shared" si="515"/>
        <v>1</v>
      </c>
      <c r="BX113" s="1263">
        <f t="shared" si="516"/>
        <v>1</v>
      </c>
      <c r="BY113" s="1263">
        <f t="shared" si="517"/>
        <v>1</v>
      </c>
      <c r="BZ113" s="1263">
        <f t="shared" si="517"/>
        <v>1</v>
      </c>
      <c r="CA113" s="1263"/>
      <c r="CB113" s="99">
        <f t="shared" si="476"/>
        <v>0</v>
      </c>
      <c r="CC113" s="99">
        <f t="shared" si="477"/>
        <v>0</v>
      </c>
      <c r="CD113" s="99">
        <f t="shared" si="478"/>
        <v>40000</v>
      </c>
      <c r="CE113" s="99">
        <f t="shared" si="479"/>
        <v>0</v>
      </c>
      <c r="CF113" s="99">
        <f t="shared" si="480"/>
        <v>0</v>
      </c>
      <c r="CG113" s="99">
        <f t="shared" si="481"/>
        <v>0</v>
      </c>
      <c r="CH113" s="99">
        <f t="shared" si="482"/>
        <v>0</v>
      </c>
      <c r="CI113" s="99">
        <f t="shared" si="483"/>
        <v>0</v>
      </c>
      <c r="CJ113" s="99">
        <f t="shared" si="484"/>
        <v>0</v>
      </c>
      <c r="CK113" s="99">
        <f t="shared" si="485"/>
        <v>0</v>
      </c>
      <c r="CL113" s="99">
        <f t="shared" si="486"/>
        <v>0</v>
      </c>
      <c r="CM113" s="99">
        <f t="shared" si="487"/>
        <v>0</v>
      </c>
    </row>
    <row r="114" spans="1:91" s="355" customFormat="1" ht="14.25" customHeight="1" x14ac:dyDescent="0.2">
      <c r="A114" s="965" t="s">
        <v>6772</v>
      </c>
      <c r="B114" s="1481" t="s">
        <v>6492</v>
      </c>
      <c r="C114" s="1481" t="s">
        <v>6493</v>
      </c>
      <c r="D114" s="1481" t="s">
        <v>6493</v>
      </c>
      <c r="E114" s="865"/>
      <c r="F114" s="862"/>
      <c r="G114" s="960">
        <v>30000</v>
      </c>
      <c r="H114" s="862">
        <v>30000</v>
      </c>
      <c r="I114" s="960">
        <v>30000</v>
      </c>
      <c r="J114" s="960"/>
      <c r="K114" s="960"/>
      <c r="L114" s="960"/>
      <c r="M114" s="961"/>
      <c r="N114" s="862"/>
      <c r="O114" s="862"/>
      <c r="P114" s="862"/>
      <c r="Q114" s="863"/>
      <c r="R114" s="2296"/>
      <c r="S114" s="2297"/>
      <c r="T114" s="2297"/>
      <c r="U114" s="2298"/>
      <c r="V114" s="621"/>
      <c r="W114" s="617"/>
      <c r="X114" s="617"/>
      <c r="Y114" s="620">
        <f t="shared" si="488"/>
        <v>30000</v>
      </c>
      <c r="Z114" s="621"/>
      <c r="AA114" s="617"/>
      <c r="AB114" s="617"/>
      <c r="AC114" s="620">
        <f t="shared" si="489"/>
        <v>30000</v>
      </c>
      <c r="AD114" s="621"/>
      <c r="AE114" s="617"/>
      <c r="AF114" s="617"/>
      <c r="AG114" s="618">
        <f t="shared" si="490"/>
        <v>30000</v>
      </c>
      <c r="AH114" s="621"/>
      <c r="AI114" s="617"/>
      <c r="AJ114" s="617"/>
      <c r="AK114" s="1927">
        <f t="shared" si="491"/>
        <v>0</v>
      </c>
      <c r="AL114" s="621"/>
      <c r="AM114" s="617"/>
      <c r="AN114" s="617"/>
      <c r="AO114" s="620">
        <f t="shared" si="492"/>
        <v>0</v>
      </c>
      <c r="AP114" s="621"/>
      <c r="AQ114" s="617"/>
      <c r="AR114" s="617"/>
      <c r="AS114" s="620">
        <f t="shared" si="493"/>
        <v>0</v>
      </c>
      <c r="AT114" s="621"/>
      <c r="AU114" s="617"/>
      <c r="AV114" s="617"/>
      <c r="AW114" s="620">
        <f t="shared" si="494"/>
        <v>0</v>
      </c>
      <c r="AX114" s="621"/>
      <c r="AY114" s="617"/>
      <c r="AZ114" s="617"/>
      <c r="BA114" s="620">
        <f t="shared" si="495"/>
        <v>0</v>
      </c>
      <c r="BB114" s="621"/>
      <c r="BC114" s="617"/>
      <c r="BD114" s="617"/>
      <c r="BE114" s="620">
        <f t="shared" si="496"/>
        <v>0</v>
      </c>
      <c r="BF114" s="621"/>
      <c r="BG114" s="617"/>
      <c r="BH114" s="617"/>
      <c r="BI114" s="1927">
        <f t="shared" si="497"/>
        <v>0</v>
      </c>
      <c r="BJ114" s="621"/>
      <c r="BK114" s="617"/>
      <c r="BL114" s="617"/>
      <c r="BM114" s="1927">
        <f t="shared" si="374"/>
        <v>0</v>
      </c>
      <c r="BN114" s="621"/>
      <c r="BO114" s="1263">
        <v>1</v>
      </c>
      <c r="BP114" s="1263">
        <f t="shared" si="508"/>
        <v>1</v>
      </c>
      <c r="BQ114" s="1263">
        <f t="shared" si="509"/>
        <v>1</v>
      </c>
      <c r="BR114" s="1263">
        <f t="shared" si="510"/>
        <v>1</v>
      </c>
      <c r="BS114" s="1263">
        <f t="shared" si="511"/>
        <v>1</v>
      </c>
      <c r="BT114" s="1263">
        <f t="shared" si="512"/>
        <v>1</v>
      </c>
      <c r="BU114" s="1263">
        <f t="shared" si="513"/>
        <v>1</v>
      </c>
      <c r="BV114" s="1263">
        <f t="shared" si="514"/>
        <v>1</v>
      </c>
      <c r="BW114" s="1263">
        <f t="shared" si="515"/>
        <v>1</v>
      </c>
      <c r="BX114" s="1263">
        <f t="shared" si="516"/>
        <v>1</v>
      </c>
      <c r="BY114" s="1263">
        <f t="shared" si="517"/>
        <v>1</v>
      </c>
      <c r="BZ114" s="1263">
        <f t="shared" si="517"/>
        <v>1</v>
      </c>
      <c r="CA114" s="1263"/>
      <c r="CB114" s="99">
        <f t="shared" si="476"/>
        <v>0</v>
      </c>
      <c r="CC114" s="99">
        <f t="shared" si="477"/>
        <v>30000</v>
      </c>
      <c r="CD114" s="99">
        <f t="shared" si="478"/>
        <v>30000</v>
      </c>
      <c r="CE114" s="99">
        <f t="shared" si="479"/>
        <v>30000</v>
      </c>
      <c r="CF114" s="99">
        <f t="shared" si="480"/>
        <v>0</v>
      </c>
      <c r="CG114" s="99">
        <f t="shared" si="481"/>
        <v>0</v>
      </c>
      <c r="CH114" s="99">
        <f t="shared" si="482"/>
        <v>0</v>
      </c>
      <c r="CI114" s="99">
        <f t="shared" si="483"/>
        <v>0</v>
      </c>
      <c r="CJ114" s="99">
        <f t="shared" si="484"/>
        <v>0</v>
      </c>
      <c r="CK114" s="99">
        <f t="shared" si="485"/>
        <v>0</v>
      </c>
      <c r="CL114" s="99">
        <f t="shared" si="486"/>
        <v>0</v>
      </c>
      <c r="CM114" s="99">
        <f t="shared" si="487"/>
        <v>0</v>
      </c>
    </row>
    <row r="115" spans="1:91" s="355" customFormat="1" ht="14.25" customHeight="1" x14ac:dyDescent="0.2">
      <c r="A115" s="965" t="s">
        <v>6130</v>
      </c>
      <c r="B115" s="1481" t="s">
        <v>5108</v>
      </c>
      <c r="C115" s="1481" t="s">
        <v>5146</v>
      </c>
      <c r="D115" s="1481" t="s">
        <v>5146</v>
      </c>
      <c r="E115" s="865"/>
      <c r="F115" s="862"/>
      <c r="G115" s="960">
        <v>65000</v>
      </c>
      <c r="H115" s="862"/>
      <c r="I115" s="960"/>
      <c r="J115" s="960"/>
      <c r="K115" s="960"/>
      <c r="L115" s="960"/>
      <c r="M115" s="961"/>
      <c r="N115" s="862"/>
      <c r="O115" s="862"/>
      <c r="P115" s="862"/>
      <c r="Q115" s="863"/>
      <c r="R115" s="2296"/>
      <c r="S115" s="2297"/>
      <c r="T115" s="2297"/>
      <c r="U115" s="2298">
        <f t="shared" si="464"/>
        <v>0</v>
      </c>
      <c r="V115" s="621"/>
      <c r="W115" s="617"/>
      <c r="X115" s="617"/>
      <c r="Y115" s="620">
        <f t="shared" si="488"/>
        <v>65000</v>
      </c>
      <c r="Z115" s="621"/>
      <c r="AA115" s="617"/>
      <c r="AB115" s="617"/>
      <c r="AC115" s="620">
        <f t="shared" si="489"/>
        <v>0</v>
      </c>
      <c r="AD115" s="621"/>
      <c r="AE115" s="617"/>
      <c r="AF115" s="617"/>
      <c r="AG115" s="618">
        <f t="shared" si="490"/>
        <v>0</v>
      </c>
      <c r="AH115" s="621"/>
      <c r="AI115" s="617"/>
      <c r="AJ115" s="617"/>
      <c r="AK115" s="1927">
        <f t="shared" si="491"/>
        <v>0</v>
      </c>
      <c r="AL115" s="621"/>
      <c r="AM115" s="617"/>
      <c r="AN115" s="617"/>
      <c r="AO115" s="620">
        <f t="shared" si="492"/>
        <v>0</v>
      </c>
      <c r="AP115" s="621"/>
      <c r="AQ115" s="617"/>
      <c r="AR115" s="617"/>
      <c r="AS115" s="620">
        <f t="shared" si="493"/>
        <v>0</v>
      </c>
      <c r="AT115" s="621"/>
      <c r="AU115" s="617"/>
      <c r="AV115" s="617"/>
      <c r="AW115" s="620">
        <f t="shared" si="494"/>
        <v>0</v>
      </c>
      <c r="AX115" s="621"/>
      <c r="AY115" s="617"/>
      <c r="AZ115" s="617"/>
      <c r="BA115" s="620">
        <f t="shared" si="495"/>
        <v>0</v>
      </c>
      <c r="BB115" s="621"/>
      <c r="BC115" s="617"/>
      <c r="BD115" s="617"/>
      <c r="BE115" s="620">
        <f t="shared" si="496"/>
        <v>0</v>
      </c>
      <c r="BF115" s="621"/>
      <c r="BG115" s="617"/>
      <c r="BH115" s="617"/>
      <c r="BI115" s="1927">
        <f t="shared" si="497"/>
        <v>0</v>
      </c>
      <c r="BJ115" s="621"/>
      <c r="BK115" s="617"/>
      <c r="BL115" s="617"/>
      <c r="BM115" s="1927">
        <f t="shared" si="374"/>
        <v>0</v>
      </c>
      <c r="BN115" s="621"/>
      <c r="BO115" s="1263">
        <v>1</v>
      </c>
      <c r="BP115" s="1263">
        <f t="shared" si="508"/>
        <v>1</v>
      </c>
      <c r="BQ115" s="1263">
        <f t="shared" si="509"/>
        <v>1</v>
      </c>
      <c r="BR115" s="1263">
        <f t="shared" si="510"/>
        <v>1</v>
      </c>
      <c r="BS115" s="1263">
        <f t="shared" si="511"/>
        <v>1</v>
      </c>
      <c r="BT115" s="1263">
        <f t="shared" si="512"/>
        <v>1</v>
      </c>
      <c r="BU115" s="1263">
        <f t="shared" si="513"/>
        <v>1</v>
      </c>
      <c r="BV115" s="1263">
        <f t="shared" si="514"/>
        <v>1</v>
      </c>
      <c r="BW115" s="1263">
        <f t="shared" si="515"/>
        <v>1</v>
      </c>
      <c r="BX115" s="1263">
        <f t="shared" si="516"/>
        <v>1</v>
      </c>
      <c r="BY115" s="1263">
        <f t="shared" si="517"/>
        <v>1</v>
      </c>
      <c r="BZ115" s="1263">
        <f t="shared" si="517"/>
        <v>1</v>
      </c>
      <c r="CA115" s="1263"/>
      <c r="CB115" s="99">
        <f t="shared" si="476"/>
        <v>0</v>
      </c>
      <c r="CC115" s="99">
        <f t="shared" si="477"/>
        <v>65000</v>
      </c>
      <c r="CD115" s="99">
        <f t="shared" si="478"/>
        <v>0</v>
      </c>
      <c r="CE115" s="99">
        <f t="shared" si="479"/>
        <v>0</v>
      </c>
      <c r="CF115" s="99">
        <f t="shared" si="480"/>
        <v>0</v>
      </c>
      <c r="CG115" s="99">
        <f t="shared" si="481"/>
        <v>0</v>
      </c>
      <c r="CH115" s="99">
        <f t="shared" si="482"/>
        <v>0</v>
      </c>
      <c r="CI115" s="99">
        <f t="shared" si="483"/>
        <v>0</v>
      </c>
      <c r="CJ115" s="99">
        <f t="shared" si="484"/>
        <v>0</v>
      </c>
      <c r="CK115" s="99">
        <f t="shared" si="485"/>
        <v>0</v>
      </c>
      <c r="CL115" s="99">
        <f t="shared" si="486"/>
        <v>0</v>
      </c>
      <c r="CM115" s="99">
        <f t="shared" si="487"/>
        <v>0</v>
      </c>
    </row>
    <row r="116" spans="1:91" s="355" customFormat="1" ht="14.25" customHeight="1" x14ac:dyDescent="0.2">
      <c r="A116" s="963" t="s">
        <v>6773</v>
      </c>
      <c r="B116" s="1481" t="s">
        <v>4208</v>
      </c>
      <c r="C116" s="1481" t="s">
        <v>5076</v>
      </c>
      <c r="D116" s="1481"/>
      <c r="E116" s="865"/>
      <c r="F116" s="862">
        <v>1000</v>
      </c>
      <c r="G116" s="862">
        <f>179000-59000</f>
        <v>120000</v>
      </c>
      <c r="H116" s="862"/>
      <c r="I116" s="960"/>
      <c r="J116" s="862"/>
      <c r="K116" s="862"/>
      <c r="L116" s="862"/>
      <c r="M116" s="862"/>
      <c r="N116" s="862"/>
      <c r="O116" s="862"/>
      <c r="P116" s="862"/>
      <c r="Q116" s="863"/>
      <c r="R116" s="2296"/>
      <c r="S116" s="2297"/>
      <c r="T116" s="2297"/>
      <c r="U116" s="2298">
        <f t="shared" si="464"/>
        <v>1000</v>
      </c>
      <c r="V116" s="621"/>
      <c r="W116" s="617"/>
      <c r="X116" s="617"/>
      <c r="Y116" s="620">
        <f t="shared" si="488"/>
        <v>120000</v>
      </c>
      <c r="Z116" s="621"/>
      <c r="AA116" s="617"/>
      <c r="AB116" s="617"/>
      <c r="AC116" s="620">
        <f t="shared" si="489"/>
        <v>0</v>
      </c>
      <c r="AD116" s="621"/>
      <c r="AE116" s="617"/>
      <c r="AF116" s="617"/>
      <c r="AG116" s="618">
        <f t="shared" si="490"/>
        <v>0</v>
      </c>
      <c r="AH116" s="621"/>
      <c r="AI116" s="617"/>
      <c r="AJ116" s="617"/>
      <c r="AK116" s="1927">
        <f t="shared" si="491"/>
        <v>0</v>
      </c>
      <c r="AL116" s="621"/>
      <c r="AM116" s="617"/>
      <c r="AN116" s="617"/>
      <c r="AO116" s="620">
        <f t="shared" si="492"/>
        <v>0</v>
      </c>
      <c r="AP116" s="621"/>
      <c r="AQ116" s="617"/>
      <c r="AR116" s="617"/>
      <c r="AS116" s="620">
        <f t="shared" si="493"/>
        <v>0</v>
      </c>
      <c r="AT116" s="621"/>
      <c r="AU116" s="617"/>
      <c r="AV116" s="617"/>
      <c r="AW116" s="620">
        <f t="shared" si="494"/>
        <v>0</v>
      </c>
      <c r="AX116" s="621"/>
      <c r="AY116" s="617"/>
      <c r="AZ116" s="617"/>
      <c r="BA116" s="620">
        <f t="shared" si="495"/>
        <v>0</v>
      </c>
      <c r="BB116" s="621"/>
      <c r="BC116" s="617"/>
      <c r="BD116" s="617"/>
      <c r="BE116" s="620">
        <f t="shared" si="496"/>
        <v>0</v>
      </c>
      <c r="BF116" s="621"/>
      <c r="BG116" s="617"/>
      <c r="BH116" s="617"/>
      <c r="BI116" s="1927">
        <f t="shared" si="497"/>
        <v>0</v>
      </c>
      <c r="BJ116" s="621"/>
      <c r="BK116" s="617"/>
      <c r="BL116" s="617"/>
      <c r="BM116" s="1927">
        <f t="shared" si="374"/>
        <v>0</v>
      </c>
      <c r="BN116" s="621"/>
      <c r="BO116" s="1263">
        <v>1</v>
      </c>
      <c r="BP116" s="1263">
        <f t="shared" si="498"/>
        <v>1</v>
      </c>
      <c r="BQ116" s="1263">
        <f t="shared" si="499"/>
        <v>1</v>
      </c>
      <c r="BR116" s="1263">
        <f t="shared" si="500"/>
        <v>1</v>
      </c>
      <c r="BS116" s="1263">
        <f t="shared" si="501"/>
        <v>1</v>
      </c>
      <c r="BT116" s="1263">
        <f t="shared" si="502"/>
        <v>1</v>
      </c>
      <c r="BU116" s="1263">
        <f t="shared" si="503"/>
        <v>1</v>
      </c>
      <c r="BV116" s="1263">
        <f t="shared" si="504"/>
        <v>1</v>
      </c>
      <c r="BW116" s="1263">
        <f t="shared" si="505"/>
        <v>1</v>
      </c>
      <c r="BX116" s="1263">
        <f t="shared" si="506"/>
        <v>1</v>
      </c>
      <c r="BY116" s="1263">
        <f t="shared" si="507"/>
        <v>1</v>
      </c>
      <c r="BZ116" s="1263">
        <f t="shared" si="507"/>
        <v>1</v>
      </c>
      <c r="CA116" s="1263"/>
      <c r="CB116" s="99">
        <f t="shared" si="476"/>
        <v>1000</v>
      </c>
      <c r="CC116" s="99">
        <f t="shared" si="477"/>
        <v>120000</v>
      </c>
      <c r="CD116" s="99">
        <f t="shared" si="478"/>
        <v>0</v>
      </c>
      <c r="CE116" s="99">
        <f t="shared" si="479"/>
        <v>0</v>
      </c>
      <c r="CF116" s="99">
        <f t="shared" si="480"/>
        <v>0</v>
      </c>
      <c r="CG116" s="99">
        <f t="shared" si="481"/>
        <v>0</v>
      </c>
      <c r="CH116" s="99">
        <f t="shared" si="482"/>
        <v>0</v>
      </c>
      <c r="CI116" s="99">
        <f t="shared" si="483"/>
        <v>0</v>
      </c>
      <c r="CJ116" s="99">
        <f t="shared" si="484"/>
        <v>0</v>
      </c>
      <c r="CK116" s="99">
        <f t="shared" si="485"/>
        <v>0</v>
      </c>
      <c r="CL116" s="99">
        <f t="shared" si="486"/>
        <v>0</v>
      </c>
      <c r="CM116" s="99">
        <f t="shared" si="487"/>
        <v>0</v>
      </c>
    </row>
    <row r="117" spans="1:91" s="355" customFormat="1" ht="14.25" customHeight="1" x14ac:dyDescent="0.2">
      <c r="A117" s="965" t="s">
        <v>6774</v>
      </c>
      <c r="B117" s="1481" t="s">
        <v>5147</v>
      </c>
      <c r="C117" s="1481" t="s">
        <v>5076</v>
      </c>
      <c r="D117" s="1481" t="s">
        <v>5147</v>
      </c>
      <c r="E117" s="865"/>
      <c r="F117" s="862">
        <f>110000+6400</f>
        <v>116400</v>
      </c>
      <c r="G117" s="960">
        <v>60000</v>
      </c>
      <c r="H117" s="862"/>
      <c r="I117" s="960"/>
      <c r="J117" s="960"/>
      <c r="K117" s="960"/>
      <c r="L117" s="960"/>
      <c r="M117" s="961"/>
      <c r="N117" s="862"/>
      <c r="O117" s="862"/>
      <c r="P117" s="862"/>
      <c r="Q117" s="863"/>
      <c r="R117" s="2296"/>
      <c r="S117" s="2297"/>
      <c r="T117" s="2297"/>
      <c r="U117" s="2298">
        <f>$F117-R117-S117-T117</f>
        <v>116400</v>
      </c>
      <c r="V117" s="621"/>
      <c r="W117" s="617"/>
      <c r="X117" s="617"/>
      <c r="Y117" s="620">
        <f t="shared" si="488"/>
        <v>60000</v>
      </c>
      <c r="Z117" s="621"/>
      <c r="AA117" s="617"/>
      <c r="AB117" s="617"/>
      <c r="AC117" s="620">
        <f t="shared" si="489"/>
        <v>0</v>
      </c>
      <c r="AD117" s="621"/>
      <c r="AE117" s="617"/>
      <c r="AF117" s="617"/>
      <c r="AG117" s="618">
        <f t="shared" si="490"/>
        <v>0</v>
      </c>
      <c r="AH117" s="621"/>
      <c r="AI117" s="617"/>
      <c r="AJ117" s="617"/>
      <c r="AK117" s="1927">
        <f t="shared" si="491"/>
        <v>0</v>
      </c>
      <c r="AL117" s="621"/>
      <c r="AM117" s="617"/>
      <c r="AN117" s="617"/>
      <c r="AO117" s="620">
        <f t="shared" si="492"/>
        <v>0</v>
      </c>
      <c r="AP117" s="621"/>
      <c r="AQ117" s="617"/>
      <c r="AR117" s="617"/>
      <c r="AS117" s="620">
        <f t="shared" si="493"/>
        <v>0</v>
      </c>
      <c r="AT117" s="621"/>
      <c r="AU117" s="617"/>
      <c r="AV117" s="617"/>
      <c r="AW117" s="620">
        <f t="shared" si="494"/>
        <v>0</v>
      </c>
      <c r="AX117" s="621"/>
      <c r="AY117" s="617"/>
      <c r="AZ117" s="617"/>
      <c r="BA117" s="620">
        <f t="shared" si="495"/>
        <v>0</v>
      </c>
      <c r="BB117" s="621"/>
      <c r="BC117" s="617"/>
      <c r="BD117" s="617"/>
      <c r="BE117" s="620">
        <f t="shared" si="496"/>
        <v>0</v>
      </c>
      <c r="BF117" s="621"/>
      <c r="BG117" s="617"/>
      <c r="BH117" s="617"/>
      <c r="BI117" s="1927">
        <f t="shared" si="497"/>
        <v>0</v>
      </c>
      <c r="BJ117" s="621"/>
      <c r="BK117" s="617"/>
      <c r="BL117" s="617"/>
      <c r="BM117" s="1927">
        <f t="shared" si="374"/>
        <v>0</v>
      </c>
      <c r="BN117" s="621"/>
      <c r="BO117" s="1263">
        <v>1</v>
      </c>
      <c r="BP117" s="1263">
        <f t="shared" si="498"/>
        <v>1</v>
      </c>
      <c r="BQ117" s="1263">
        <f t="shared" si="499"/>
        <v>1</v>
      </c>
      <c r="BR117" s="1263">
        <f t="shared" si="500"/>
        <v>1</v>
      </c>
      <c r="BS117" s="1263">
        <f t="shared" si="501"/>
        <v>1</v>
      </c>
      <c r="BT117" s="1263">
        <f t="shared" si="502"/>
        <v>1</v>
      </c>
      <c r="BU117" s="1263">
        <f t="shared" si="503"/>
        <v>1</v>
      </c>
      <c r="BV117" s="1263">
        <f t="shared" si="504"/>
        <v>1</v>
      </c>
      <c r="BW117" s="1263">
        <f t="shared" si="505"/>
        <v>1</v>
      </c>
      <c r="BX117" s="1263">
        <f t="shared" si="506"/>
        <v>1</v>
      </c>
      <c r="BY117" s="1263">
        <f t="shared" si="507"/>
        <v>1</v>
      </c>
      <c r="BZ117" s="1263">
        <f t="shared" si="507"/>
        <v>1</v>
      </c>
      <c r="CA117" s="1263"/>
      <c r="CB117" s="99">
        <f t="shared" si="476"/>
        <v>116000</v>
      </c>
      <c r="CC117" s="99">
        <f t="shared" si="477"/>
        <v>60000</v>
      </c>
      <c r="CD117" s="99">
        <f t="shared" si="478"/>
        <v>0</v>
      </c>
      <c r="CE117" s="99">
        <f t="shared" si="479"/>
        <v>0</v>
      </c>
      <c r="CF117" s="99">
        <f t="shared" si="480"/>
        <v>0</v>
      </c>
      <c r="CG117" s="99">
        <f t="shared" si="481"/>
        <v>0</v>
      </c>
      <c r="CH117" s="99">
        <f t="shared" si="482"/>
        <v>0</v>
      </c>
      <c r="CI117" s="99">
        <f t="shared" si="483"/>
        <v>0</v>
      </c>
      <c r="CJ117" s="99">
        <f t="shared" si="484"/>
        <v>0</v>
      </c>
      <c r="CK117" s="99">
        <f t="shared" si="485"/>
        <v>0</v>
      </c>
      <c r="CL117" s="99">
        <f t="shared" si="486"/>
        <v>0</v>
      </c>
      <c r="CM117" s="99">
        <f t="shared" si="487"/>
        <v>0</v>
      </c>
    </row>
    <row r="118" spans="1:91" s="355" customFormat="1" ht="14.25" customHeight="1" x14ac:dyDescent="0.2">
      <c r="A118" s="963" t="s">
        <v>6775</v>
      </c>
      <c r="B118" s="1481" t="s">
        <v>3468</v>
      </c>
      <c r="C118" s="1481" t="s">
        <v>5076</v>
      </c>
      <c r="D118" s="1481"/>
      <c r="E118" s="865"/>
      <c r="F118" s="960">
        <v>86200</v>
      </c>
      <c r="G118" s="960"/>
      <c r="H118" s="862"/>
      <c r="I118" s="960"/>
      <c r="J118" s="960"/>
      <c r="K118" s="960"/>
      <c r="L118" s="960"/>
      <c r="M118" s="961"/>
      <c r="N118" s="862"/>
      <c r="O118" s="862"/>
      <c r="P118" s="862"/>
      <c r="Q118" s="863"/>
      <c r="R118" s="2296"/>
      <c r="S118" s="2297"/>
      <c r="T118" s="2297"/>
      <c r="U118" s="2298">
        <f>$F118-R118-S118-T118</f>
        <v>86200</v>
      </c>
      <c r="V118" s="621"/>
      <c r="W118" s="617"/>
      <c r="X118" s="617"/>
      <c r="Y118" s="620">
        <f t="shared" si="488"/>
        <v>0</v>
      </c>
      <c r="Z118" s="621"/>
      <c r="AA118" s="617"/>
      <c r="AB118" s="617"/>
      <c r="AC118" s="620">
        <f t="shared" si="489"/>
        <v>0</v>
      </c>
      <c r="AD118" s="621"/>
      <c r="AE118" s="617"/>
      <c r="AF118" s="617"/>
      <c r="AG118" s="618">
        <f t="shared" si="490"/>
        <v>0</v>
      </c>
      <c r="AH118" s="621"/>
      <c r="AI118" s="617"/>
      <c r="AJ118" s="617"/>
      <c r="AK118" s="1927">
        <f t="shared" si="491"/>
        <v>0</v>
      </c>
      <c r="AL118" s="621"/>
      <c r="AM118" s="617"/>
      <c r="AN118" s="617"/>
      <c r="AO118" s="620">
        <f t="shared" si="492"/>
        <v>0</v>
      </c>
      <c r="AP118" s="621"/>
      <c r="AQ118" s="617"/>
      <c r="AR118" s="617"/>
      <c r="AS118" s="620">
        <f t="shared" si="493"/>
        <v>0</v>
      </c>
      <c r="AT118" s="621"/>
      <c r="AU118" s="617"/>
      <c r="AV118" s="617"/>
      <c r="AW118" s="620">
        <f t="shared" si="494"/>
        <v>0</v>
      </c>
      <c r="AX118" s="621"/>
      <c r="AY118" s="617"/>
      <c r="AZ118" s="617"/>
      <c r="BA118" s="620">
        <f t="shared" si="495"/>
        <v>0</v>
      </c>
      <c r="BB118" s="621"/>
      <c r="BC118" s="617"/>
      <c r="BD118" s="617"/>
      <c r="BE118" s="620">
        <f t="shared" si="496"/>
        <v>0</v>
      </c>
      <c r="BF118" s="621"/>
      <c r="BG118" s="617"/>
      <c r="BH118" s="617"/>
      <c r="BI118" s="1927">
        <f t="shared" si="497"/>
        <v>0</v>
      </c>
      <c r="BJ118" s="621"/>
      <c r="BK118" s="617"/>
      <c r="BL118" s="617"/>
      <c r="BM118" s="1927">
        <f t="shared" si="374"/>
        <v>0</v>
      </c>
      <c r="BN118" s="621"/>
      <c r="BO118" s="1263">
        <v>1</v>
      </c>
      <c r="BP118" s="1263">
        <f t="shared" si="498"/>
        <v>1</v>
      </c>
      <c r="BQ118" s="1263">
        <f t="shared" si="499"/>
        <v>1</v>
      </c>
      <c r="BR118" s="1263">
        <f t="shared" si="500"/>
        <v>1</v>
      </c>
      <c r="BS118" s="1263">
        <f t="shared" si="501"/>
        <v>1</v>
      </c>
      <c r="BT118" s="1263">
        <f t="shared" si="502"/>
        <v>1</v>
      </c>
      <c r="BU118" s="1263">
        <f t="shared" si="503"/>
        <v>1</v>
      </c>
      <c r="BV118" s="1263">
        <f t="shared" si="504"/>
        <v>1</v>
      </c>
      <c r="BW118" s="1263">
        <f t="shared" si="505"/>
        <v>1</v>
      </c>
      <c r="BX118" s="1263">
        <f t="shared" si="506"/>
        <v>1</v>
      </c>
      <c r="BY118" s="1263">
        <f t="shared" si="507"/>
        <v>1</v>
      </c>
      <c r="BZ118" s="1263">
        <f t="shared" si="507"/>
        <v>1</v>
      </c>
      <c r="CA118" s="1263"/>
      <c r="CB118" s="99">
        <f t="shared" si="476"/>
        <v>86000</v>
      </c>
      <c r="CC118" s="99">
        <f t="shared" si="477"/>
        <v>0</v>
      </c>
      <c r="CD118" s="99">
        <f t="shared" si="478"/>
        <v>0</v>
      </c>
      <c r="CE118" s="99">
        <f t="shared" si="479"/>
        <v>0</v>
      </c>
      <c r="CF118" s="99">
        <f t="shared" si="480"/>
        <v>0</v>
      </c>
      <c r="CG118" s="99">
        <f t="shared" si="481"/>
        <v>0</v>
      </c>
      <c r="CH118" s="99">
        <f t="shared" si="482"/>
        <v>0</v>
      </c>
      <c r="CI118" s="99">
        <f t="shared" si="483"/>
        <v>0</v>
      </c>
      <c r="CJ118" s="99">
        <f t="shared" si="484"/>
        <v>0</v>
      </c>
      <c r="CK118" s="99">
        <f t="shared" si="485"/>
        <v>0</v>
      </c>
      <c r="CL118" s="99">
        <f t="shared" si="486"/>
        <v>0</v>
      </c>
      <c r="CM118" s="99">
        <f t="shared" si="487"/>
        <v>0</v>
      </c>
    </row>
    <row r="119" spans="1:91" s="355" customFormat="1" ht="14.25" customHeight="1" x14ac:dyDescent="0.2">
      <c r="A119" s="965" t="s">
        <v>6776</v>
      </c>
      <c r="B119" s="1481" t="s">
        <v>5109</v>
      </c>
      <c r="C119" s="1481" t="s">
        <v>6494</v>
      </c>
      <c r="D119" s="1481" t="s">
        <v>6494</v>
      </c>
      <c r="E119" s="865"/>
      <c r="F119" s="960">
        <v>7800</v>
      </c>
      <c r="G119" s="960">
        <v>10000</v>
      </c>
      <c r="H119" s="862">
        <v>10000</v>
      </c>
      <c r="I119" s="960">
        <v>10000</v>
      </c>
      <c r="J119" s="960">
        <v>10000</v>
      </c>
      <c r="K119" s="960"/>
      <c r="L119" s="960"/>
      <c r="M119" s="961"/>
      <c r="N119" s="862"/>
      <c r="O119" s="862"/>
      <c r="P119" s="862"/>
      <c r="Q119" s="863"/>
      <c r="R119" s="2296"/>
      <c r="S119" s="2297"/>
      <c r="T119" s="2297"/>
      <c r="U119" s="2298">
        <f>$F119-R119-S119-T119</f>
        <v>7800</v>
      </c>
      <c r="V119" s="621"/>
      <c r="W119" s="617"/>
      <c r="X119" s="617"/>
      <c r="Y119" s="620">
        <f t="shared" si="488"/>
        <v>10000</v>
      </c>
      <c r="Z119" s="621"/>
      <c r="AA119" s="617"/>
      <c r="AB119" s="617"/>
      <c r="AC119" s="620">
        <f t="shared" si="489"/>
        <v>10000</v>
      </c>
      <c r="AD119" s="621"/>
      <c r="AE119" s="617"/>
      <c r="AF119" s="617"/>
      <c r="AG119" s="618">
        <f t="shared" si="490"/>
        <v>10000</v>
      </c>
      <c r="AH119" s="621"/>
      <c r="AI119" s="617"/>
      <c r="AJ119" s="617"/>
      <c r="AK119" s="1927">
        <f t="shared" si="491"/>
        <v>10000</v>
      </c>
      <c r="AL119" s="621"/>
      <c r="AM119" s="617"/>
      <c r="AN119" s="617"/>
      <c r="AO119" s="620">
        <f t="shared" si="492"/>
        <v>0</v>
      </c>
      <c r="AP119" s="621"/>
      <c r="AQ119" s="617"/>
      <c r="AR119" s="617"/>
      <c r="AS119" s="620">
        <f t="shared" si="493"/>
        <v>0</v>
      </c>
      <c r="AT119" s="621"/>
      <c r="AU119" s="617"/>
      <c r="AV119" s="617"/>
      <c r="AW119" s="620">
        <f t="shared" si="494"/>
        <v>0</v>
      </c>
      <c r="AX119" s="621"/>
      <c r="AY119" s="617"/>
      <c r="AZ119" s="617"/>
      <c r="BA119" s="620">
        <f t="shared" si="495"/>
        <v>0</v>
      </c>
      <c r="BB119" s="621"/>
      <c r="BC119" s="617"/>
      <c r="BD119" s="617"/>
      <c r="BE119" s="620">
        <f t="shared" si="496"/>
        <v>0</v>
      </c>
      <c r="BF119" s="621"/>
      <c r="BG119" s="617"/>
      <c r="BH119" s="617"/>
      <c r="BI119" s="1927">
        <f t="shared" si="497"/>
        <v>0</v>
      </c>
      <c r="BJ119" s="621"/>
      <c r="BK119" s="617"/>
      <c r="BL119" s="617"/>
      <c r="BM119" s="1927">
        <f t="shared" si="374"/>
        <v>0</v>
      </c>
      <c r="BN119" s="621"/>
      <c r="BO119" s="1263">
        <v>1</v>
      </c>
      <c r="BP119" s="1263">
        <f t="shared" si="498"/>
        <v>1</v>
      </c>
      <c r="BQ119" s="1263">
        <f t="shared" si="499"/>
        <v>1</v>
      </c>
      <c r="BR119" s="1263">
        <f t="shared" si="500"/>
        <v>1</v>
      </c>
      <c r="BS119" s="1263">
        <f t="shared" si="501"/>
        <v>1</v>
      </c>
      <c r="BT119" s="1263">
        <f t="shared" si="502"/>
        <v>1</v>
      </c>
      <c r="BU119" s="1263">
        <f t="shared" si="503"/>
        <v>1</v>
      </c>
      <c r="BV119" s="1263">
        <f t="shared" si="504"/>
        <v>1</v>
      </c>
      <c r="BW119" s="1263">
        <f t="shared" si="505"/>
        <v>1</v>
      </c>
      <c r="BX119" s="1263">
        <f t="shared" si="506"/>
        <v>1</v>
      </c>
      <c r="BY119" s="1263">
        <f t="shared" si="507"/>
        <v>1</v>
      </c>
      <c r="BZ119" s="1263">
        <f t="shared" si="507"/>
        <v>1</v>
      </c>
      <c r="CA119" s="1263"/>
      <c r="CB119" s="99">
        <f t="shared" si="476"/>
        <v>8000</v>
      </c>
      <c r="CC119" s="99">
        <f t="shared" si="477"/>
        <v>10000</v>
      </c>
      <c r="CD119" s="99">
        <f t="shared" si="478"/>
        <v>10000</v>
      </c>
      <c r="CE119" s="99">
        <f t="shared" si="479"/>
        <v>10000</v>
      </c>
      <c r="CF119" s="99">
        <f t="shared" si="480"/>
        <v>10000</v>
      </c>
      <c r="CG119" s="99">
        <f t="shared" si="481"/>
        <v>0</v>
      </c>
      <c r="CH119" s="99">
        <f t="shared" si="482"/>
        <v>0</v>
      </c>
      <c r="CI119" s="99">
        <f t="shared" si="483"/>
        <v>0</v>
      </c>
      <c r="CJ119" s="99">
        <f t="shared" si="484"/>
        <v>0</v>
      </c>
      <c r="CK119" s="99">
        <f t="shared" si="485"/>
        <v>0</v>
      </c>
      <c r="CL119" s="99">
        <f t="shared" si="486"/>
        <v>0</v>
      </c>
      <c r="CM119" s="99">
        <f t="shared" si="487"/>
        <v>0</v>
      </c>
    </row>
    <row r="120" spans="1:91" s="355" customFormat="1" ht="14.25" customHeight="1" x14ac:dyDescent="0.2">
      <c r="A120" s="965"/>
      <c r="B120" s="1480"/>
      <c r="C120" s="1480"/>
      <c r="D120" s="1480"/>
      <c r="E120" s="865"/>
      <c r="F120" s="862"/>
      <c r="G120" s="862"/>
      <c r="H120" s="862"/>
      <c r="I120" s="960"/>
      <c r="J120" s="862"/>
      <c r="K120" s="862"/>
      <c r="L120" s="862"/>
      <c r="M120" s="862"/>
      <c r="N120" s="862"/>
      <c r="O120" s="862"/>
      <c r="P120" s="862"/>
      <c r="Q120" s="863"/>
      <c r="R120" s="2296"/>
      <c r="S120" s="2297"/>
      <c r="T120" s="2297"/>
      <c r="U120" s="2298"/>
      <c r="V120" s="621"/>
      <c r="W120" s="617"/>
      <c r="X120" s="617"/>
      <c r="Y120" s="620"/>
      <c r="Z120" s="621"/>
      <c r="AA120" s="617"/>
      <c r="AB120" s="617"/>
      <c r="AC120" s="620"/>
      <c r="AD120" s="621"/>
      <c r="AE120" s="617"/>
      <c r="AF120" s="617"/>
      <c r="AG120" s="618"/>
      <c r="AH120" s="621"/>
      <c r="AI120" s="617"/>
      <c r="AJ120" s="617"/>
      <c r="AK120" s="1927"/>
      <c r="AL120" s="621"/>
      <c r="AM120" s="617"/>
      <c r="AN120" s="617"/>
      <c r="AO120" s="618"/>
      <c r="AP120" s="621"/>
      <c r="AQ120" s="617"/>
      <c r="AR120" s="617"/>
      <c r="AS120" s="618"/>
      <c r="AT120" s="621"/>
      <c r="AU120" s="617"/>
      <c r="AV120" s="617"/>
      <c r="AW120" s="620"/>
      <c r="AX120" s="621"/>
      <c r="AY120" s="617"/>
      <c r="AZ120" s="617"/>
      <c r="BA120" s="620"/>
      <c r="BB120" s="621"/>
      <c r="BC120" s="617"/>
      <c r="BD120" s="617"/>
      <c r="BE120" s="620"/>
      <c r="BF120" s="621"/>
      <c r="BG120" s="617"/>
      <c r="BH120" s="617"/>
      <c r="BI120" s="620"/>
      <c r="BJ120" s="621"/>
      <c r="BK120" s="617"/>
      <c r="BL120" s="617"/>
      <c r="BM120" s="1927"/>
      <c r="BN120" s="621"/>
      <c r="BO120" s="1263"/>
      <c r="BP120" s="1263"/>
      <c r="BQ120" s="1263"/>
      <c r="BR120" s="1263"/>
      <c r="BS120" s="1263"/>
      <c r="BT120" s="1263"/>
      <c r="BU120" s="1263"/>
      <c r="BV120" s="1263"/>
      <c r="BW120" s="1263"/>
      <c r="BX120" s="1263"/>
      <c r="BY120" s="1263"/>
      <c r="BZ120" s="1263"/>
      <c r="CA120" s="1263"/>
      <c r="CB120" s="99"/>
      <c r="CC120" s="99"/>
      <c r="CD120" s="99"/>
      <c r="CE120" s="99"/>
      <c r="CF120" s="99"/>
      <c r="CG120" s="99"/>
      <c r="CH120" s="99"/>
      <c r="CI120" s="99"/>
      <c r="CJ120" s="99"/>
      <c r="CK120" s="99"/>
      <c r="CL120" s="99"/>
      <c r="CM120" s="99"/>
    </row>
    <row r="121" spans="1:91" s="354" customFormat="1" ht="14.25" customHeight="1" x14ac:dyDescent="0.2">
      <c r="A121" s="734" t="s">
        <v>2607</v>
      </c>
      <c r="B121" s="1891"/>
      <c r="C121" s="1891"/>
      <c r="D121" s="1891"/>
      <c r="E121" s="1486"/>
      <c r="F121" s="312">
        <f t="shared" ref="F121:AD121" si="518">SUBTOTAL(9,F5:F120)</f>
        <v>2267300</v>
      </c>
      <c r="G121" s="312">
        <f t="shared" si="518"/>
        <v>5792000</v>
      </c>
      <c r="H121" s="312">
        <f t="shared" si="518"/>
        <v>5247000</v>
      </c>
      <c r="I121" s="318">
        <f t="shared" si="518"/>
        <v>4732000</v>
      </c>
      <c r="J121" s="312">
        <f t="shared" si="518"/>
        <v>6279400</v>
      </c>
      <c r="K121" s="312">
        <f t="shared" si="518"/>
        <v>6374300</v>
      </c>
      <c r="L121" s="312">
        <f t="shared" si="518"/>
        <v>4650000</v>
      </c>
      <c r="M121" s="312">
        <f t="shared" si="518"/>
        <v>4988000</v>
      </c>
      <c r="N121" s="312">
        <f t="shared" si="518"/>
        <v>1088000</v>
      </c>
      <c r="O121" s="312">
        <f t="shared" si="518"/>
        <v>1106000</v>
      </c>
      <c r="P121" s="312">
        <f t="shared" si="518"/>
        <v>1227000</v>
      </c>
      <c r="Q121" s="347">
        <f t="shared" ref="Q121" si="519">SUBTOTAL(9,Q5:Q120)</f>
        <v>1168000</v>
      </c>
      <c r="R121" s="2307">
        <f t="shared" si="518"/>
        <v>0</v>
      </c>
      <c r="S121" s="2290">
        <f t="shared" si="518"/>
        <v>174600</v>
      </c>
      <c r="T121" s="2290">
        <f t="shared" si="518"/>
        <v>0</v>
      </c>
      <c r="U121" s="2308">
        <f t="shared" si="518"/>
        <v>2092700</v>
      </c>
      <c r="V121" s="319">
        <f t="shared" si="518"/>
        <v>0</v>
      </c>
      <c r="W121" s="312">
        <f t="shared" si="518"/>
        <v>2264000</v>
      </c>
      <c r="X121" s="312">
        <f t="shared" si="518"/>
        <v>0</v>
      </c>
      <c r="Y121" s="314">
        <f t="shared" si="518"/>
        <v>3528000</v>
      </c>
      <c r="Z121" s="319">
        <f t="shared" si="518"/>
        <v>0</v>
      </c>
      <c r="AA121" s="312">
        <f t="shared" si="518"/>
        <v>1137000</v>
      </c>
      <c r="AB121" s="312">
        <f t="shared" si="518"/>
        <v>0</v>
      </c>
      <c r="AC121" s="314">
        <f t="shared" si="518"/>
        <v>4110000</v>
      </c>
      <c r="AD121" s="319">
        <f t="shared" si="518"/>
        <v>0</v>
      </c>
      <c r="AE121" s="312">
        <f t="shared" ref="AE121:BI121" si="520">SUBTOTAL(9,AE5:AE120)</f>
        <v>1749000</v>
      </c>
      <c r="AF121" s="312">
        <f t="shared" si="520"/>
        <v>0</v>
      </c>
      <c r="AG121" s="314">
        <f t="shared" si="520"/>
        <v>2983000</v>
      </c>
      <c r="AH121" s="319">
        <f t="shared" si="520"/>
        <v>0</v>
      </c>
      <c r="AI121" s="312">
        <f t="shared" si="520"/>
        <v>3932000</v>
      </c>
      <c r="AJ121" s="312">
        <f t="shared" si="520"/>
        <v>0</v>
      </c>
      <c r="AK121" s="313">
        <f t="shared" si="520"/>
        <v>2347400</v>
      </c>
      <c r="AL121" s="319">
        <f t="shared" si="520"/>
        <v>0</v>
      </c>
      <c r="AM121" s="312">
        <f t="shared" si="520"/>
        <v>2005500</v>
      </c>
      <c r="AN121" s="312">
        <f t="shared" si="520"/>
        <v>0</v>
      </c>
      <c r="AO121" s="314">
        <f t="shared" si="520"/>
        <v>4368800</v>
      </c>
      <c r="AP121" s="319">
        <f t="shared" si="520"/>
        <v>0</v>
      </c>
      <c r="AQ121" s="312">
        <f t="shared" si="520"/>
        <v>0</v>
      </c>
      <c r="AR121" s="312">
        <f t="shared" si="520"/>
        <v>0</v>
      </c>
      <c r="AS121" s="314">
        <f t="shared" si="520"/>
        <v>4650000</v>
      </c>
      <c r="AT121" s="319">
        <f t="shared" si="520"/>
        <v>0</v>
      </c>
      <c r="AU121" s="312">
        <f t="shared" si="520"/>
        <v>519000</v>
      </c>
      <c r="AV121" s="312">
        <f t="shared" si="520"/>
        <v>0</v>
      </c>
      <c r="AW121" s="314">
        <f t="shared" si="520"/>
        <v>4469000</v>
      </c>
      <c r="AX121" s="319">
        <f t="shared" si="520"/>
        <v>0</v>
      </c>
      <c r="AY121" s="312">
        <f t="shared" si="520"/>
        <v>0</v>
      </c>
      <c r="AZ121" s="312">
        <f t="shared" si="520"/>
        <v>0</v>
      </c>
      <c r="BA121" s="314">
        <f t="shared" si="520"/>
        <v>1088000</v>
      </c>
      <c r="BB121" s="319">
        <f t="shared" si="520"/>
        <v>0</v>
      </c>
      <c r="BC121" s="312">
        <f t="shared" si="520"/>
        <v>0</v>
      </c>
      <c r="BD121" s="312">
        <f t="shared" si="520"/>
        <v>0</v>
      </c>
      <c r="BE121" s="314">
        <f t="shared" si="520"/>
        <v>1106000</v>
      </c>
      <c r="BF121" s="319">
        <f t="shared" si="520"/>
        <v>0</v>
      </c>
      <c r="BG121" s="312">
        <f t="shared" si="520"/>
        <v>0</v>
      </c>
      <c r="BH121" s="312">
        <f t="shared" si="520"/>
        <v>0</v>
      </c>
      <c r="BI121" s="314">
        <f t="shared" si="520"/>
        <v>1227000</v>
      </c>
      <c r="BJ121" s="319">
        <f t="shared" ref="BJ121:BM121" si="521">SUBTOTAL(9,BJ5:BJ120)</f>
        <v>0</v>
      </c>
      <c r="BK121" s="312">
        <f t="shared" si="521"/>
        <v>0</v>
      </c>
      <c r="BL121" s="312">
        <f t="shared" si="521"/>
        <v>0</v>
      </c>
      <c r="BM121" s="313">
        <f t="shared" si="521"/>
        <v>1168000</v>
      </c>
      <c r="BN121" s="1765"/>
      <c r="BO121" s="1263"/>
      <c r="BP121" s="1263"/>
      <c r="BQ121" s="1263"/>
      <c r="BR121" s="1263"/>
      <c r="BS121" s="1263"/>
      <c r="BT121" s="1263"/>
      <c r="BU121" s="1263"/>
      <c r="BV121" s="1263"/>
      <c r="BW121" s="1263"/>
      <c r="BX121" s="1263"/>
      <c r="BY121" s="1263"/>
      <c r="BZ121" s="1263"/>
      <c r="CA121" s="1263"/>
      <c r="CB121" s="145">
        <f t="shared" ref="CB121:CL121" si="522">SUM(CB5:CB120)</f>
        <v>2062000</v>
      </c>
      <c r="CC121" s="145">
        <f t="shared" si="522"/>
        <v>4937000</v>
      </c>
      <c r="CD121" s="145">
        <f t="shared" si="522"/>
        <v>4863000</v>
      </c>
      <c r="CE121" s="145">
        <f t="shared" si="522"/>
        <v>4210000</v>
      </c>
      <c r="CF121" s="145">
        <f t="shared" si="522"/>
        <v>5946000</v>
      </c>
      <c r="CG121" s="145">
        <f t="shared" si="522"/>
        <v>6143000</v>
      </c>
      <c r="CH121" s="145">
        <f t="shared" si="522"/>
        <v>4353000</v>
      </c>
      <c r="CI121" s="145">
        <f t="shared" si="522"/>
        <v>4908000</v>
      </c>
      <c r="CJ121" s="145">
        <f t="shared" si="522"/>
        <v>991000</v>
      </c>
      <c r="CK121" s="145">
        <f t="shared" si="522"/>
        <v>1020000</v>
      </c>
      <c r="CL121" s="145">
        <f t="shared" si="522"/>
        <v>1047000</v>
      </c>
      <c r="CM121" s="145">
        <f t="shared" ref="CM121" si="523">SUM(CM5:CM120)</f>
        <v>1076000</v>
      </c>
    </row>
    <row r="122" spans="1:91" s="354" customFormat="1" ht="14.25" customHeight="1" thickBot="1" x14ac:dyDescent="0.25">
      <c r="A122" s="735"/>
      <c r="B122" s="1892"/>
      <c r="C122" s="1892"/>
      <c r="D122" s="1892"/>
      <c r="E122" s="1487"/>
      <c r="F122" s="630"/>
      <c r="G122" s="630"/>
      <c r="H122" s="630"/>
      <c r="I122" s="972"/>
      <c r="J122" s="629"/>
      <c r="K122" s="629"/>
      <c r="L122" s="629"/>
      <c r="M122" s="629"/>
      <c r="N122" s="629"/>
      <c r="O122" s="629"/>
      <c r="P122" s="629"/>
      <c r="Q122" s="631"/>
      <c r="R122" s="2305"/>
      <c r="S122" s="2289"/>
      <c r="T122" s="2289"/>
      <c r="U122" s="2306"/>
      <c r="V122" s="632"/>
      <c r="W122" s="629"/>
      <c r="X122" s="629"/>
      <c r="Y122" s="631"/>
      <c r="Z122" s="632"/>
      <c r="AA122" s="629"/>
      <c r="AB122" s="629"/>
      <c r="AC122" s="631"/>
      <c r="AD122" s="632"/>
      <c r="AE122" s="629"/>
      <c r="AF122" s="629"/>
      <c r="AG122" s="2199"/>
      <c r="AH122" s="632"/>
      <c r="AI122" s="629"/>
      <c r="AJ122" s="629"/>
      <c r="AK122" s="2198"/>
      <c r="AL122" s="632"/>
      <c r="AM122" s="629"/>
      <c r="AN122" s="629"/>
      <c r="AO122" s="2199"/>
      <c r="AP122" s="632"/>
      <c r="AQ122" s="629"/>
      <c r="AR122" s="629"/>
      <c r="AS122" s="2199"/>
      <c r="AT122" s="632"/>
      <c r="AU122" s="629"/>
      <c r="AV122" s="629"/>
      <c r="AW122" s="631"/>
      <c r="AX122" s="632"/>
      <c r="AY122" s="629"/>
      <c r="AZ122" s="629"/>
      <c r="BA122" s="631"/>
      <c r="BB122" s="632"/>
      <c r="BC122" s="629"/>
      <c r="BD122" s="629"/>
      <c r="BE122" s="631"/>
      <c r="BF122" s="632"/>
      <c r="BG122" s="629"/>
      <c r="BH122" s="629"/>
      <c r="BI122" s="631"/>
      <c r="BJ122" s="632"/>
      <c r="BK122" s="629"/>
      <c r="BL122" s="629"/>
      <c r="BM122" s="2198"/>
      <c r="BN122" s="621"/>
      <c r="BO122" s="1263"/>
      <c r="BP122" s="1263"/>
      <c r="BQ122" s="1263"/>
      <c r="BR122" s="1263"/>
      <c r="BS122" s="1263"/>
      <c r="BT122" s="1263"/>
      <c r="BU122" s="1263"/>
      <c r="BV122" s="1263"/>
      <c r="BW122" s="1263"/>
      <c r="BX122" s="1263"/>
      <c r="BY122" s="1263"/>
      <c r="BZ122" s="1263"/>
      <c r="CA122" s="1263"/>
      <c r="CB122" s="78"/>
      <c r="CC122" s="78"/>
      <c r="CD122" s="78"/>
      <c r="CE122" s="78"/>
      <c r="CF122" s="78"/>
      <c r="CG122" s="78"/>
      <c r="CH122" s="78"/>
      <c r="CI122" s="78"/>
      <c r="CJ122" s="78"/>
      <c r="CK122" s="78"/>
      <c r="CL122" s="78"/>
      <c r="CM122" s="78"/>
    </row>
    <row r="123" spans="1:91" s="84" customFormat="1" ht="13.5" thickTop="1" x14ac:dyDescent="0.2">
      <c r="E123" s="546"/>
      <c r="F123" s="315"/>
      <c r="G123" s="315"/>
      <c r="H123" s="315"/>
      <c r="I123" s="315"/>
      <c r="J123" s="315"/>
      <c r="K123" s="315"/>
      <c r="L123" s="315"/>
      <c r="M123" s="315"/>
      <c r="N123" s="315"/>
      <c r="O123" s="315"/>
      <c r="P123" s="315"/>
      <c r="Q123" s="315"/>
      <c r="R123" s="2291"/>
      <c r="S123" s="2291"/>
      <c r="T123" s="2291"/>
      <c r="U123" s="2291"/>
      <c r="V123" s="315"/>
      <c r="W123" s="315"/>
      <c r="X123" s="315"/>
      <c r="Y123" s="315"/>
      <c r="Z123" s="315"/>
      <c r="AA123" s="315"/>
      <c r="AB123" s="315"/>
      <c r="AC123" s="315"/>
      <c r="AD123" s="315"/>
      <c r="AE123" s="315"/>
      <c r="AF123" s="315"/>
      <c r="AG123" s="315"/>
      <c r="AH123" s="315"/>
      <c r="AI123" s="315"/>
      <c r="AJ123" s="315"/>
      <c r="AK123" s="315"/>
      <c r="AL123" s="315"/>
      <c r="AM123" s="315"/>
      <c r="AN123" s="315"/>
      <c r="AO123" s="315"/>
      <c r="AP123" s="315"/>
      <c r="AQ123" s="315"/>
      <c r="AR123" s="315"/>
      <c r="AS123" s="315"/>
      <c r="AT123" s="315"/>
      <c r="AU123" s="315"/>
      <c r="AV123" s="315"/>
      <c r="AW123" s="315"/>
      <c r="AX123" s="315"/>
      <c r="AY123" s="315"/>
      <c r="AZ123" s="315"/>
      <c r="BA123" s="315"/>
      <c r="BB123" s="315"/>
      <c r="BC123" s="315"/>
      <c r="BD123" s="315"/>
      <c r="BE123" s="315"/>
      <c r="BF123" s="315"/>
      <c r="BG123" s="315"/>
      <c r="BH123" s="315"/>
      <c r="BI123" s="315"/>
      <c r="BJ123" s="315"/>
      <c r="BK123" s="315"/>
      <c r="BL123" s="315"/>
      <c r="BM123" s="315"/>
      <c r="BN123" s="315"/>
      <c r="BO123" s="1263"/>
      <c r="BP123" s="1263"/>
      <c r="BQ123" s="1263"/>
      <c r="BR123" s="1263"/>
      <c r="BS123" s="1263"/>
      <c r="BT123" s="1263"/>
      <c r="BU123" s="1263"/>
      <c r="BV123" s="1263"/>
      <c r="BW123" s="1263"/>
      <c r="BX123" s="1263"/>
      <c r="BY123" s="1263"/>
      <c r="BZ123" s="1263"/>
      <c r="CA123" s="1263"/>
    </row>
    <row r="124" spans="1:91" s="84" customFormat="1" x14ac:dyDescent="0.2">
      <c r="A124" s="303" t="s">
        <v>1264</v>
      </c>
      <c r="B124" s="303"/>
      <c r="C124" s="303"/>
      <c r="D124" s="303"/>
      <c r="E124" s="866"/>
      <c r="F124" s="146" t="str">
        <f t="shared" ref="F124:P124" si="524">F3</f>
        <v>2015/16</v>
      </c>
      <c r="G124" s="146" t="str">
        <f t="shared" si="524"/>
        <v>2016/17</v>
      </c>
      <c r="H124" s="146" t="str">
        <f t="shared" si="524"/>
        <v>2017/18</v>
      </c>
      <c r="I124" s="146" t="str">
        <f t="shared" si="524"/>
        <v>2018/19</v>
      </c>
      <c r="J124" s="146" t="str">
        <f t="shared" si="524"/>
        <v>2019/20</v>
      </c>
      <c r="K124" s="146" t="str">
        <f t="shared" si="524"/>
        <v>2020/21</v>
      </c>
      <c r="L124" s="146" t="str">
        <f t="shared" si="524"/>
        <v>2021/22</v>
      </c>
      <c r="M124" s="146" t="str">
        <f t="shared" si="524"/>
        <v>2022/23</v>
      </c>
      <c r="N124" s="146" t="str">
        <f t="shared" si="524"/>
        <v>2023/24</v>
      </c>
      <c r="O124" s="146" t="str">
        <f t="shared" si="524"/>
        <v>2024/25</v>
      </c>
      <c r="P124" s="146" t="str">
        <f t="shared" si="524"/>
        <v>2025/26</v>
      </c>
      <c r="Q124" s="146" t="str">
        <f t="shared" ref="Q124" si="525">Q3</f>
        <v>2026/27</v>
      </c>
      <c r="R124" s="2291"/>
      <c r="S124" s="2291"/>
      <c r="T124" s="2291"/>
      <c r="U124" s="2291"/>
      <c r="V124" s="315"/>
      <c r="W124" s="315"/>
      <c r="X124" s="315"/>
      <c r="Y124" s="315"/>
      <c r="Z124" s="315"/>
      <c r="AA124" s="315"/>
      <c r="AB124" s="315"/>
      <c r="AC124" s="315"/>
      <c r="AD124" s="315"/>
      <c r="AE124" s="315"/>
      <c r="AF124" s="315"/>
      <c r="AG124" s="315"/>
      <c r="AH124" s="315"/>
      <c r="AI124" s="315"/>
      <c r="AJ124" s="315"/>
      <c r="AK124" s="315"/>
      <c r="AL124" s="315"/>
      <c r="AM124" s="315"/>
      <c r="AN124" s="315"/>
      <c r="AO124" s="315"/>
      <c r="AP124" s="315"/>
      <c r="AQ124" s="315"/>
      <c r="AR124" s="315"/>
      <c r="AS124" s="315"/>
      <c r="AT124" s="315"/>
      <c r="AU124" s="315"/>
      <c r="AV124" s="315"/>
      <c r="AW124" s="315"/>
      <c r="AX124" s="315"/>
      <c r="AY124" s="315"/>
      <c r="AZ124" s="315"/>
      <c r="BA124" s="315"/>
      <c r="BB124" s="315"/>
      <c r="BC124" s="315"/>
      <c r="BD124" s="315"/>
      <c r="BE124" s="315"/>
      <c r="BF124" s="315"/>
      <c r="BG124" s="315"/>
      <c r="BH124" s="315"/>
      <c r="BI124" s="315"/>
      <c r="BJ124" s="315"/>
      <c r="BK124" s="315"/>
      <c r="BL124" s="315"/>
      <c r="BM124" s="315"/>
      <c r="BN124" s="315"/>
      <c r="BO124" s="546"/>
      <c r="BP124" s="546"/>
      <c r="BQ124" s="546"/>
      <c r="BR124" s="546"/>
      <c r="BS124" s="546"/>
      <c r="BT124" s="546"/>
      <c r="BU124" s="546"/>
      <c r="BV124" s="546"/>
      <c r="BW124" s="546"/>
      <c r="BX124" s="546"/>
      <c r="BY124" s="546"/>
      <c r="BZ124" s="546"/>
      <c r="CA124" s="546"/>
    </row>
    <row r="125" spans="1:91" s="84" customFormat="1" x14ac:dyDescent="0.2">
      <c r="A125" s="315" t="s">
        <v>2289</v>
      </c>
      <c r="B125" s="315"/>
      <c r="C125" s="315"/>
      <c r="D125" s="315"/>
      <c r="E125" s="546"/>
      <c r="F125" s="84">
        <f>R121</f>
        <v>0</v>
      </c>
      <c r="G125" s="84">
        <f>V121</f>
        <v>0</v>
      </c>
      <c r="H125" s="84">
        <f>Z121</f>
        <v>0</v>
      </c>
      <c r="I125" s="84">
        <f>AD121</f>
        <v>0</v>
      </c>
      <c r="J125" s="84">
        <f>AH121</f>
        <v>0</v>
      </c>
      <c r="K125" s="84">
        <f>AL121</f>
        <v>0</v>
      </c>
      <c r="L125" s="84">
        <f>AP121</f>
        <v>0</v>
      </c>
      <c r="M125" s="84">
        <f>AT121</f>
        <v>0</v>
      </c>
      <c r="N125" s="84">
        <f>AX121</f>
        <v>0</v>
      </c>
      <c r="O125" s="84">
        <f>BB121</f>
        <v>0</v>
      </c>
      <c r="P125" s="84">
        <f>BF121</f>
        <v>0</v>
      </c>
      <c r="Q125" s="84">
        <f>BJ121</f>
        <v>0</v>
      </c>
      <c r="R125" s="2291"/>
      <c r="S125" s="2291"/>
      <c r="T125" s="2291"/>
      <c r="U125" s="2291"/>
      <c r="V125" s="315"/>
      <c r="W125" s="315"/>
      <c r="X125" s="315"/>
      <c r="Z125" s="315"/>
      <c r="AA125" s="315"/>
      <c r="AB125" s="315"/>
      <c r="AD125" s="315"/>
      <c r="AE125" s="315"/>
      <c r="AF125" s="315"/>
      <c r="AH125" s="315"/>
      <c r="AI125" s="315"/>
      <c r="AJ125" s="315"/>
      <c r="AL125" s="315"/>
      <c r="AM125" s="315"/>
      <c r="AN125" s="315"/>
      <c r="AP125" s="315"/>
      <c r="AQ125" s="315"/>
      <c r="AR125" s="315"/>
      <c r="AT125" s="315"/>
      <c r="AU125" s="315"/>
      <c r="AV125" s="315"/>
      <c r="AX125" s="315"/>
      <c r="AY125" s="315"/>
      <c r="AZ125" s="315"/>
      <c r="BB125" s="315"/>
      <c r="BC125" s="315"/>
      <c r="BD125" s="315"/>
      <c r="BF125" s="315"/>
      <c r="BG125" s="315"/>
      <c r="BH125" s="315"/>
      <c r="BJ125" s="315"/>
      <c r="BK125" s="315"/>
      <c r="BL125" s="315"/>
      <c r="BO125" s="1263"/>
      <c r="BP125" s="1263"/>
      <c r="BQ125" s="1263"/>
      <c r="BR125" s="1263"/>
      <c r="BS125" s="1263"/>
      <c r="BT125" s="1263"/>
      <c r="BU125" s="1263"/>
      <c r="BV125" s="1263"/>
      <c r="BW125" s="1263"/>
      <c r="BX125" s="1263"/>
      <c r="BY125" s="1263"/>
      <c r="BZ125" s="1263"/>
      <c r="CA125" s="1263"/>
      <c r="CB125" s="78"/>
      <c r="CC125" s="78"/>
      <c r="CD125" s="78"/>
      <c r="CE125" s="78"/>
      <c r="CF125" s="78"/>
      <c r="CG125" s="78"/>
      <c r="CH125" s="78"/>
      <c r="CI125" s="78"/>
      <c r="CJ125" s="78"/>
      <c r="CK125" s="78"/>
      <c r="CL125" s="78"/>
      <c r="CM125" s="78"/>
    </row>
    <row r="126" spans="1:91" s="84" customFormat="1" x14ac:dyDescent="0.2">
      <c r="A126" s="315" t="s">
        <v>645</v>
      </c>
      <c r="B126" s="315"/>
      <c r="C126" s="315"/>
      <c r="D126" s="315"/>
      <c r="E126" s="546"/>
      <c r="F126" s="84">
        <f>S121</f>
        <v>174600</v>
      </c>
      <c r="G126" s="84">
        <f>W121</f>
        <v>2264000</v>
      </c>
      <c r="H126" s="84">
        <f>AA121</f>
        <v>1137000</v>
      </c>
      <c r="I126" s="84">
        <f>AE121</f>
        <v>1749000</v>
      </c>
      <c r="J126" s="84">
        <f>AI121</f>
        <v>3932000</v>
      </c>
      <c r="K126" s="84">
        <f>AM121</f>
        <v>2005500</v>
      </c>
      <c r="L126" s="84">
        <f>AQ121</f>
        <v>0</v>
      </c>
      <c r="M126" s="84">
        <f>AU121</f>
        <v>519000</v>
      </c>
      <c r="N126" s="84">
        <f>AY121</f>
        <v>0</v>
      </c>
      <c r="O126" s="84">
        <f>BC121</f>
        <v>0</v>
      </c>
      <c r="P126" s="84">
        <f>BG121</f>
        <v>0</v>
      </c>
      <c r="Q126" s="84">
        <f>BK121</f>
        <v>0</v>
      </c>
      <c r="R126" s="2291"/>
      <c r="S126" s="2291"/>
      <c r="T126" s="2291"/>
      <c r="U126" s="2291"/>
      <c r="V126" s="315"/>
      <c r="W126" s="315"/>
      <c r="X126" s="315"/>
      <c r="Z126" s="315"/>
      <c r="AA126" s="315"/>
      <c r="AB126" s="315"/>
      <c r="AD126" s="315"/>
      <c r="AE126" s="315"/>
      <c r="AF126" s="315"/>
      <c r="AH126" s="315"/>
      <c r="AI126" s="315"/>
      <c r="AJ126" s="315"/>
      <c r="AL126" s="315"/>
      <c r="AM126" s="315"/>
      <c r="AN126" s="315"/>
      <c r="AP126" s="315"/>
      <c r="AQ126" s="315"/>
      <c r="AR126" s="315"/>
      <c r="AT126" s="315"/>
      <c r="AU126" s="315"/>
      <c r="AV126" s="315"/>
      <c r="AX126" s="315"/>
      <c r="AY126" s="315"/>
      <c r="AZ126" s="315"/>
      <c r="BB126" s="315"/>
      <c r="BC126" s="315"/>
      <c r="BD126" s="315"/>
      <c r="BF126" s="315"/>
      <c r="BG126" s="315"/>
      <c r="BH126" s="315"/>
      <c r="BJ126" s="315"/>
      <c r="BK126" s="315"/>
      <c r="BL126" s="315"/>
      <c r="BO126" s="1263"/>
      <c r="BP126" s="1263"/>
      <c r="BQ126" s="1263"/>
      <c r="BR126" s="1263"/>
      <c r="BS126" s="1263"/>
      <c r="BT126" s="1263"/>
      <c r="BU126" s="1263"/>
      <c r="BV126" s="1263"/>
      <c r="BW126" s="1263"/>
      <c r="BX126" s="1263"/>
      <c r="BY126" s="1263"/>
      <c r="BZ126" s="1263"/>
      <c r="CA126" s="1263"/>
    </row>
    <row r="127" spans="1:91" s="354" customFormat="1" x14ac:dyDescent="0.2">
      <c r="A127" s="315" t="s">
        <v>2077</v>
      </c>
      <c r="B127" s="315"/>
      <c r="C127" s="315"/>
      <c r="D127" s="315"/>
      <c r="E127" s="546"/>
      <c r="F127" s="84">
        <f>T121</f>
        <v>0</v>
      </c>
      <c r="G127" s="84">
        <f>X121</f>
        <v>0</v>
      </c>
      <c r="H127" s="84">
        <f>AB121</f>
        <v>0</v>
      </c>
      <c r="I127" s="84">
        <f>AF121</f>
        <v>0</v>
      </c>
      <c r="J127" s="84">
        <f>AJ121</f>
        <v>0</v>
      </c>
      <c r="K127" s="84">
        <f>AN121</f>
        <v>0</v>
      </c>
      <c r="L127" s="84">
        <f>AR121</f>
        <v>0</v>
      </c>
      <c r="M127" s="84">
        <f>AV121</f>
        <v>0</v>
      </c>
      <c r="N127" s="84">
        <f>AZ121</f>
        <v>0</v>
      </c>
      <c r="O127" s="84">
        <f>BD121</f>
        <v>0</v>
      </c>
      <c r="P127" s="84">
        <f>BH121</f>
        <v>0</v>
      </c>
      <c r="Q127" s="84">
        <f>BL121</f>
        <v>0</v>
      </c>
      <c r="R127" s="2291"/>
      <c r="S127" s="2291"/>
      <c r="T127" s="2291"/>
      <c r="U127" s="2291"/>
      <c r="V127" s="315"/>
      <c r="W127" s="315"/>
      <c r="X127" s="315"/>
      <c r="Z127" s="315"/>
      <c r="AA127" s="315"/>
      <c r="AB127" s="315"/>
      <c r="AD127" s="315"/>
      <c r="AE127" s="315"/>
      <c r="AF127" s="315"/>
      <c r="AH127" s="315"/>
      <c r="AI127" s="315"/>
      <c r="AJ127" s="315"/>
      <c r="AL127" s="315"/>
      <c r="AM127" s="315"/>
      <c r="AN127" s="315"/>
      <c r="AP127" s="315"/>
      <c r="AQ127" s="315"/>
      <c r="AR127" s="315"/>
      <c r="AT127" s="315"/>
      <c r="AU127" s="315"/>
      <c r="AV127" s="315"/>
      <c r="AX127" s="315"/>
      <c r="AY127" s="315"/>
      <c r="AZ127" s="315"/>
      <c r="BB127" s="315"/>
      <c r="BC127" s="315"/>
      <c r="BD127" s="315"/>
      <c r="BF127" s="315"/>
      <c r="BG127" s="315"/>
      <c r="BH127" s="315"/>
      <c r="BJ127" s="315"/>
      <c r="BK127" s="315"/>
      <c r="BL127" s="315"/>
      <c r="BO127" s="1263"/>
      <c r="BP127" s="1263"/>
      <c r="BQ127" s="1263"/>
      <c r="BR127" s="1263"/>
      <c r="BS127" s="1263"/>
      <c r="BT127" s="1263"/>
      <c r="BU127" s="1263"/>
      <c r="BV127" s="1263"/>
      <c r="BW127" s="1263"/>
      <c r="BX127" s="1263"/>
      <c r="BY127" s="1263"/>
      <c r="BZ127" s="1263"/>
      <c r="CA127" s="1263"/>
      <c r="CB127" s="84"/>
      <c r="CC127" s="84"/>
      <c r="CD127" s="84"/>
      <c r="CE127" s="84"/>
      <c r="CF127" s="84"/>
      <c r="CG127" s="84"/>
      <c r="CH127" s="84"/>
      <c r="CI127" s="84"/>
      <c r="CJ127" s="84"/>
      <c r="CK127" s="84"/>
      <c r="CL127" s="84"/>
      <c r="CM127" s="84"/>
    </row>
    <row r="128" spans="1:91" s="354" customFormat="1" x14ac:dyDescent="0.2">
      <c r="A128" s="315" t="s">
        <v>2329</v>
      </c>
      <c r="B128" s="315"/>
      <c r="C128" s="315"/>
      <c r="D128" s="315"/>
      <c r="E128" s="546"/>
      <c r="F128" s="84">
        <f>U121</f>
        <v>2092700</v>
      </c>
      <c r="G128" s="84">
        <f>Y121</f>
        <v>3528000</v>
      </c>
      <c r="H128" s="84">
        <f>AC121</f>
        <v>4110000</v>
      </c>
      <c r="I128" s="84">
        <f>AG121</f>
        <v>2983000</v>
      </c>
      <c r="J128" s="84">
        <f>AK121</f>
        <v>2347400</v>
      </c>
      <c r="K128" s="84">
        <f>AO121</f>
        <v>4368800</v>
      </c>
      <c r="L128" s="84">
        <f>AS121</f>
        <v>4650000</v>
      </c>
      <c r="M128" s="84">
        <f>AW121</f>
        <v>4469000</v>
      </c>
      <c r="N128" s="84">
        <f>BA121</f>
        <v>1088000</v>
      </c>
      <c r="O128" s="84">
        <f>BE121</f>
        <v>1106000</v>
      </c>
      <c r="P128" s="84">
        <f>BI121</f>
        <v>1227000</v>
      </c>
      <c r="Q128" s="84">
        <f>BM121</f>
        <v>1168000</v>
      </c>
      <c r="R128" s="2291"/>
      <c r="S128" s="2291"/>
      <c r="T128" s="2291"/>
      <c r="U128" s="2291"/>
      <c r="V128" s="315"/>
      <c r="W128" s="315"/>
      <c r="X128" s="315"/>
      <c r="Z128" s="315"/>
      <c r="AA128" s="315"/>
      <c r="AB128" s="315"/>
      <c r="AD128" s="315"/>
      <c r="AE128" s="315"/>
      <c r="AF128" s="315"/>
      <c r="AH128" s="315"/>
      <c r="AI128" s="315"/>
      <c r="AJ128" s="315"/>
      <c r="AL128" s="315"/>
      <c r="AM128" s="315"/>
      <c r="AN128" s="315"/>
      <c r="AP128" s="315"/>
      <c r="AQ128" s="315"/>
      <c r="AR128" s="315"/>
      <c r="AT128" s="315"/>
      <c r="AU128" s="315"/>
      <c r="AV128" s="315"/>
      <c r="AX128" s="315"/>
      <c r="AY128" s="315"/>
      <c r="AZ128" s="315"/>
      <c r="BB128" s="315"/>
      <c r="BC128" s="315"/>
      <c r="BD128" s="315"/>
      <c r="BF128" s="315"/>
      <c r="BG128" s="315"/>
      <c r="BH128" s="315"/>
      <c r="BJ128" s="315"/>
      <c r="BK128" s="315"/>
      <c r="BL128" s="315"/>
      <c r="BO128" s="546"/>
      <c r="BP128" s="546"/>
      <c r="BQ128" s="546"/>
      <c r="BR128" s="546"/>
      <c r="BS128" s="546"/>
      <c r="BT128" s="546"/>
      <c r="BU128" s="546"/>
      <c r="BV128" s="546"/>
      <c r="BW128" s="546"/>
      <c r="BX128" s="546"/>
      <c r="BY128" s="546"/>
      <c r="BZ128" s="546"/>
      <c r="CA128" s="546"/>
      <c r="CB128" s="84"/>
      <c r="CC128" s="84"/>
      <c r="CD128" s="84"/>
      <c r="CE128" s="84"/>
      <c r="CF128" s="84"/>
      <c r="CG128" s="84"/>
      <c r="CH128" s="84"/>
      <c r="CI128" s="84"/>
      <c r="CJ128" s="84"/>
      <c r="CK128" s="84"/>
      <c r="CL128" s="84"/>
      <c r="CM128" s="84"/>
    </row>
    <row r="129" spans="1:91" s="402" customFormat="1" x14ac:dyDescent="0.2">
      <c r="A129" s="403" t="s">
        <v>89</v>
      </c>
      <c r="B129" s="403"/>
      <c r="C129" s="403"/>
      <c r="D129" s="403"/>
      <c r="E129" s="867"/>
      <c r="F129" s="92">
        <f>F121-F125-F126-F127-F128</f>
        <v>0</v>
      </c>
      <c r="G129" s="92">
        <f>G121-G125-G126-G127-G128</f>
        <v>0</v>
      </c>
      <c r="H129" s="92">
        <f>H121-H125-H126-H127-H128</f>
        <v>0</v>
      </c>
      <c r="I129" s="92">
        <f t="shared" ref="I129:P129" si="526">I121-I125-I126-I127-I128</f>
        <v>0</v>
      </c>
      <c r="J129" s="92">
        <f t="shared" si="526"/>
        <v>0</v>
      </c>
      <c r="K129" s="92">
        <f t="shared" si="526"/>
        <v>0</v>
      </c>
      <c r="L129" s="92">
        <f t="shared" si="526"/>
        <v>0</v>
      </c>
      <c r="M129" s="92">
        <f t="shared" si="526"/>
        <v>0</v>
      </c>
      <c r="N129" s="92">
        <f t="shared" si="526"/>
        <v>0</v>
      </c>
      <c r="O129" s="92">
        <f t="shared" si="526"/>
        <v>0</v>
      </c>
      <c r="P129" s="92">
        <f t="shared" si="526"/>
        <v>0</v>
      </c>
      <c r="Q129" s="92">
        <f t="shared" ref="Q129" si="527">Q121-Q125-Q126-Q127-Q128</f>
        <v>0</v>
      </c>
      <c r="R129" s="2309"/>
      <c r="S129" s="2309"/>
      <c r="T129" s="2309"/>
      <c r="U129" s="2309"/>
      <c r="V129" s="403"/>
      <c r="W129" s="403"/>
      <c r="X129" s="403"/>
      <c r="Z129" s="403"/>
      <c r="AA129" s="403"/>
      <c r="AB129" s="403"/>
      <c r="AD129" s="403"/>
      <c r="AE129" s="403"/>
      <c r="AF129" s="403"/>
      <c r="AH129" s="403"/>
      <c r="AI129" s="403"/>
      <c r="AJ129" s="403"/>
      <c r="AL129" s="403"/>
      <c r="AM129" s="403"/>
      <c r="AN129" s="403"/>
      <c r="AP129" s="403"/>
      <c r="AQ129" s="403"/>
      <c r="AR129" s="403"/>
      <c r="AT129" s="403"/>
      <c r="AU129" s="403"/>
      <c r="AV129" s="403"/>
      <c r="AX129" s="403"/>
      <c r="AY129" s="403"/>
      <c r="AZ129" s="403"/>
      <c r="BB129" s="403"/>
      <c r="BC129" s="403"/>
      <c r="BD129" s="403"/>
      <c r="BF129" s="403"/>
      <c r="BG129" s="403"/>
      <c r="BH129" s="403"/>
      <c r="BJ129" s="403"/>
      <c r="BK129" s="403"/>
      <c r="BL129" s="403"/>
      <c r="BO129" s="546"/>
      <c r="BP129" s="546"/>
      <c r="BQ129" s="546"/>
      <c r="BR129" s="546"/>
      <c r="BS129" s="546"/>
      <c r="BT129" s="546"/>
      <c r="BU129" s="546"/>
      <c r="BV129" s="546"/>
      <c r="BW129" s="546"/>
      <c r="BX129" s="546"/>
      <c r="BY129" s="546"/>
      <c r="BZ129" s="546"/>
      <c r="CA129" s="546"/>
      <c r="CB129" s="84"/>
      <c r="CC129" s="84"/>
      <c r="CD129" s="84"/>
      <c r="CE129" s="84"/>
      <c r="CF129" s="84"/>
      <c r="CG129" s="84"/>
      <c r="CH129" s="84"/>
      <c r="CI129" s="84"/>
      <c r="CJ129" s="84"/>
      <c r="CK129" s="84"/>
      <c r="CL129" s="84"/>
      <c r="CM129" s="84"/>
    </row>
    <row r="130" spans="1:91" s="354" customFormat="1" x14ac:dyDescent="0.2">
      <c r="A130" s="315"/>
      <c r="B130" s="315"/>
      <c r="C130" s="315"/>
      <c r="D130" s="315"/>
      <c r="E130" s="546"/>
      <c r="F130" s="84"/>
      <c r="G130" s="84"/>
      <c r="H130" s="84"/>
      <c r="I130" s="84"/>
      <c r="J130" s="84"/>
      <c r="K130" s="84"/>
      <c r="L130" s="84"/>
      <c r="M130" s="84"/>
      <c r="N130" s="84"/>
      <c r="O130" s="84"/>
      <c r="P130" s="84"/>
      <c r="Q130" s="84"/>
      <c r="R130" s="2291"/>
      <c r="S130" s="2291"/>
      <c r="T130" s="2291"/>
      <c r="U130" s="2291"/>
      <c r="V130" s="315"/>
      <c r="W130" s="315"/>
      <c r="X130" s="315"/>
      <c r="Z130" s="315"/>
      <c r="AA130" s="315"/>
      <c r="AB130" s="315"/>
      <c r="AD130" s="315"/>
      <c r="AE130" s="315"/>
      <c r="AF130" s="315"/>
      <c r="AH130" s="315"/>
      <c r="AI130" s="315"/>
      <c r="AJ130" s="315"/>
      <c r="AL130" s="315"/>
      <c r="AM130" s="315"/>
      <c r="AN130" s="315"/>
      <c r="AP130" s="315"/>
      <c r="AQ130" s="315"/>
      <c r="AR130" s="315"/>
      <c r="AT130" s="315"/>
      <c r="AU130" s="315"/>
      <c r="AV130" s="315"/>
      <c r="AX130" s="315"/>
      <c r="AY130" s="315"/>
      <c r="AZ130" s="315"/>
      <c r="BB130" s="315"/>
      <c r="BC130" s="315"/>
      <c r="BD130" s="315"/>
      <c r="BF130" s="315"/>
      <c r="BG130" s="315"/>
      <c r="BH130" s="315"/>
      <c r="BJ130" s="315"/>
      <c r="BK130" s="315"/>
      <c r="BL130" s="315"/>
      <c r="BO130" s="546"/>
      <c r="BP130" s="546"/>
      <c r="BQ130" s="867"/>
      <c r="BR130" s="867"/>
      <c r="BS130" s="867"/>
      <c r="BT130" s="867"/>
      <c r="BU130" s="867"/>
      <c r="BV130" s="867"/>
      <c r="BW130" s="867"/>
      <c r="BX130" s="867"/>
      <c r="BY130" s="867"/>
      <c r="BZ130" s="867"/>
      <c r="CA130" s="867"/>
      <c r="CB130" s="92"/>
      <c r="CC130" s="92"/>
      <c r="CD130" s="92"/>
      <c r="CE130" s="92"/>
      <c r="CF130" s="92"/>
      <c r="CG130" s="92"/>
      <c r="CH130" s="92"/>
      <c r="CI130" s="92"/>
      <c r="CJ130" s="92"/>
      <c r="CK130" s="92"/>
      <c r="CL130" s="92"/>
      <c r="CM130" s="92"/>
    </row>
    <row r="131" spans="1:91" s="354" customFormat="1" x14ac:dyDescent="0.2">
      <c r="A131" s="315" t="s">
        <v>834</v>
      </c>
      <c r="E131" s="546"/>
      <c r="F131" s="84">
        <f>-T121+'Cash-WW'!C36</f>
        <v>0</v>
      </c>
      <c r="G131" s="84">
        <f>-X121+'Cash-WW'!F36</f>
        <v>0</v>
      </c>
      <c r="H131" s="84">
        <f>-AB121+'Cash-WW'!G36</f>
        <v>0</v>
      </c>
      <c r="I131" s="84"/>
      <c r="J131" s="84"/>
      <c r="K131" s="84"/>
      <c r="L131" s="84"/>
      <c r="M131" s="84"/>
      <c r="N131" s="84"/>
      <c r="O131" s="84"/>
      <c r="P131" s="84"/>
      <c r="Q131" s="84"/>
      <c r="R131" s="2292"/>
      <c r="S131" s="2292"/>
      <c r="T131" s="2292"/>
      <c r="U131" s="2292"/>
      <c r="BO131" s="546"/>
      <c r="BP131" s="546"/>
      <c r="BQ131" s="546"/>
      <c r="BR131" s="546"/>
      <c r="BS131" s="546"/>
      <c r="BT131" s="546"/>
      <c r="BU131" s="546"/>
      <c r="BV131" s="546"/>
      <c r="BW131" s="546"/>
      <c r="BX131" s="546"/>
      <c r="BY131" s="546"/>
      <c r="BZ131" s="546"/>
      <c r="CA131" s="546"/>
      <c r="CB131" s="84"/>
      <c r="CC131" s="84"/>
      <c r="CD131" s="84"/>
      <c r="CE131" s="84"/>
      <c r="CF131" s="84"/>
      <c r="CG131" s="84"/>
      <c r="CH131" s="84"/>
      <c r="CI131" s="84"/>
      <c r="CJ131" s="84"/>
      <c r="CK131" s="84"/>
      <c r="CL131" s="84"/>
      <c r="CM131" s="84"/>
    </row>
    <row r="132" spans="1:91" s="354" customFormat="1" x14ac:dyDescent="0.2">
      <c r="A132" s="315" t="str">
        <f>A125</f>
        <v>Grants</v>
      </c>
      <c r="B132" s="315"/>
      <c r="C132" s="315"/>
      <c r="D132" s="315"/>
      <c r="E132" s="546"/>
      <c r="F132" s="84">
        <f>F125-'Cash-WW'!C60</f>
        <v>0</v>
      </c>
      <c r="G132" s="84">
        <f>G125-'Cash-WW'!F60</f>
        <v>0</v>
      </c>
      <c r="H132" s="84">
        <f>H125-'Cash-WW'!G60</f>
        <v>0</v>
      </c>
      <c r="I132" s="84">
        <f>I125-'Cash-WW'!H60</f>
        <v>0</v>
      </c>
      <c r="J132" s="84">
        <f>J125-'Cash-WW'!I60</f>
        <v>0</v>
      </c>
      <c r="K132" s="84">
        <f>K125-'Cash-WW'!J60</f>
        <v>0</v>
      </c>
      <c r="L132" s="84">
        <f>L125-'Cash-WW'!K60</f>
        <v>0</v>
      </c>
      <c r="M132" s="84">
        <f>M125-'Cash-WW'!L60</f>
        <v>0</v>
      </c>
      <c r="N132" s="84">
        <f>N125-'Cash-WW'!M60</f>
        <v>0</v>
      </c>
      <c r="O132" s="84">
        <f>O125-'Cash-WW'!N60</f>
        <v>0</v>
      </c>
      <c r="P132" s="84">
        <f>P125-'Cash-WW'!O60</f>
        <v>0</v>
      </c>
      <c r="Q132" s="84">
        <f>Q125-'Cash-WW'!P60</f>
        <v>0</v>
      </c>
      <c r="R132" s="2292"/>
      <c r="S132" s="2292"/>
      <c r="T132" s="2292"/>
      <c r="U132" s="2292"/>
      <c r="BO132" s="546"/>
      <c r="BP132" s="546"/>
      <c r="BQ132" s="546"/>
      <c r="BR132" s="546"/>
      <c r="BS132" s="546"/>
      <c r="BT132" s="546"/>
      <c r="BU132" s="546"/>
      <c r="BV132" s="546"/>
      <c r="BW132" s="546"/>
      <c r="BX132" s="546"/>
      <c r="BY132" s="546"/>
      <c r="BZ132" s="546"/>
      <c r="CA132" s="546"/>
      <c r="CB132" s="84"/>
      <c r="CC132" s="84"/>
      <c r="CD132" s="84"/>
      <c r="CE132" s="84"/>
      <c r="CF132" s="84"/>
      <c r="CG132" s="84"/>
      <c r="CH132" s="84"/>
      <c r="CI132" s="84"/>
      <c r="CJ132" s="84"/>
      <c r="CK132" s="84"/>
      <c r="CL132" s="84"/>
      <c r="CM132" s="84"/>
    </row>
    <row r="133" spans="1:91" s="354" customFormat="1" x14ac:dyDescent="0.2">
      <c r="A133" s="2445" t="s">
        <v>6913</v>
      </c>
      <c r="B133" s="315"/>
      <c r="C133" s="315"/>
      <c r="D133" s="315"/>
      <c r="E133" s="546"/>
      <c r="F133" s="84"/>
      <c r="G133" s="84"/>
      <c r="H133" s="84">
        <f>'Cash-WW'!G68</f>
        <v>1548000</v>
      </c>
      <c r="I133" s="84">
        <f>'Cash-WW'!H68</f>
        <v>3134000</v>
      </c>
      <c r="J133" s="84">
        <f>'Cash-WW'!I68</f>
        <v>3280000</v>
      </c>
      <c r="K133" s="84">
        <f>'Cash-WW'!J68</f>
        <v>1227000</v>
      </c>
      <c r="L133" s="84">
        <f>'Cash-WW'!K68</f>
        <v>1327000</v>
      </c>
      <c r="M133" s="84">
        <f>'Cash-WW'!L68</f>
        <v>1422000</v>
      </c>
      <c r="N133" s="84">
        <f>'Cash-WW'!M68</f>
        <v>1519000</v>
      </c>
      <c r="O133" s="84">
        <f>'Cash-WW'!N68</f>
        <v>1618000</v>
      </c>
      <c r="P133" s="84">
        <f>'Cash-WW'!O68</f>
        <v>1715000</v>
      </c>
      <c r="Q133" s="84">
        <f>'Cash-WW'!P68</f>
        <v>1814000</v>
      </c>
      <c r="R133" s="2291"/>
      <c r="S133" s="2291"/>
      <c r="T133" s="2291"/>
      <c r="U133" s="2291"/>
      <c r="V133" s="315"/>
      <c r="W133" s="315"/>
      <c r="X133" s="315"/>
      <c r="Z133" s="315"/>
      <c r="AA133" s="315"/>
      <c r="AB133" s="315"/>
      <c r="AD133" s="315"/>
      <c r="AE133" s="315"/>
      <c r="AF133" s="315"/>
      <c r="AH133" s="315"/>
      <c r="AI133" s="315"/>
      <c r="AJ133" s="315"/>
      <c r="AL133" s="315"/>
      <c r="AM133" s="315"/>
      <c r="AN133" s="315"/>
      <c r="AP133" s="315"/>
      <c r="AQ133" s="315"/>
      <c r="AR133" s="315"/>
      <c r="AT133" s="315"/>
      <c r="AU133" s="315"/>
      <c r="AV133" s="315"/>
      <c r="AX133" s="315"/>
      <c r="AY133" s="315"/>
      <c r="AZ133" s="315"/>
      <c r="BB133" s="315"/>
      <c r="BC133" s="315"/>
      <c r="BD133" s="315"/>
      <c r="BF133" s="315"/>
      <c r="BG133" s="315"/>
      <c r="BH133" s="315"/>
      <c r="BJ133" s="315"/>
      <c r="BK133" s="315"/>
      <c r="BL133" s="315"/>
      <c r="BO133" s="546"/>
      <c r="BP133" s="546"/>
      <c r="BQ133" s="867"/>
      <c r="BR133" s="867"/>
      <c r="BS133" s="867"/>
      <c r="BT133" s="867"/>
      <c r="BU133" s="867"/>
      <c r="BV133" s="867"/>
      <c r="BW133" s="867"/>
      <c r="BX133" s="867"/>
      <c r="BY133" s="867"/>
      <c r="BZ133" s="867"/>
      <c r="CA133" s="867"/>
      <c r="CB133" s="92"/>
      <c r="CC133" s="92"/>
      <c r="CD133" s="92"/>
      <c r="CE133" s="92"/>
      <c r="CF133" s="92"/>
      <c r="CG133" s="92"/>
      <c r="CH133" s="92"/>
      <c r="CI133" s="92"/>
      <c r="CJ133" s="92"/>
      <c r="CK133" s="92"/>
      <c r="CL133" s="92"/>
      <c r="CM133" s="92"/>
    </row>
    <row r="134" spans="1:91" s="354" customFormat="1" x14ac:dyDescent="0.2">
      <c r="A134" s="315" t="str">
        <f>A126</f>
        <v>Section 64</v>
      </c>
      <c r="B134" s="315"/>
      <c r="C134" s="315"/>
      <c r="D134" s="315"/>
      <c r="E134" s="546"/>
      <c r="F134" s="84">
        <f>F126-'Cash-WW'!C70</f>
        <v>0</v>
      </c>
      <c r="G134" s="84">
        <f>G126-'Cash-WW'!F70</f>
        <v>0</v>
      </c>
      <c r="H134" s="84">
        <f>H126-'Cash-WW'!G70</f>
        <v>-1548000</v>
      </c>
      <c r="I134" s="84">
        <f>I126-'Cash-WW'!H70</f>
        <v>-3134000</v>
      </c>
      <c r="J134" s="84">
        <f>J126-'Cash-WW'!I70</f>
        <v>-3280000</v>
      </c>
      <c r="K134" s="84">
        <f>K126-'Cash-WW'!J70</f>
        <v>-1227000</v>
      </c>
      <c r="L134" s="84">
        <f>L126-'Cash-WW'!K70</f>
        <v>-1327000</v>
      </c>
      <c r="M134" s="84">
        <f>M126-'Cash-WW'!L70</f>
        <v>-1422000</v>
      </c>
      <c r="N134" s="84">
        <f>N126-'Cash-WW'!M70</f>
        <v>-1519000</v>
      </c>
      <c r="O134" s="84">
        <f>O126-'Cash-WW'!N70</f>
        <v>-1618000</v>
      </c>
      <c r="P134" s="84">
        <f>P126-'Cash-WW'!O70</f>
        <v>-1715000</v>
      </c>
      <c r="Q134" s="84">
        <f>Q126-'Cash-WW'!P70</f>
        <v>-1814000</v>
      </c>
      <c r="R134" s="2292"/>
      <c r="S134" s="2292"/>
      <c r="T134" s="2292"/>
      <c r="U134" s="2292"/>
      <c r="BO134" s="546"/>
      <c r="BP134" s="546"/>
      <c r="BQ134" s="546"/>
      <c r="BR134" s="546"/>
      <c r="BS134" s="546"/>
      <c r="BT134" s="546"/>
      <c r="BU134" s="546"/>
      <c r="BV134" s="546"/>
      <c r="BW134" s="546"/>
      <c r="BX134" s="546"/>
      <c r="BY134" s="546"/>
      <c r="BZ134" s="546"/>
      <c r="CA134" s="546"/>
      <c r="CB134" s="84"/>
      <c r="CC134" s="84"/>
      <c r="CD134" s="84"/>
      <c r="CE134" s="84"/>
      <c r="CF134" s="84"/>
      <c r="CG134" s="84"/>
      <c r="CH134" s="84"/>
      <c r="CI134" s="84"/>
      <c r="CJ134" s="84"/>
      <c r="CK134" s="84"/>
      <c r="CL134" s="84"/>
      <c r="CM134" s="84"/>
    </row>
    <row r="135" spans="1:91" s="354" customFormat="1" x14ac:dyDescent="0.2">
      <c r="A135" s="315" t="str">
        <f>A127</f>
        <v>Loans</v>
      </c>
      <c r="B135" s="315"/>
      <c r="C135" s="315"/>
      <c r="D135" s="315"/>
      <c r="E135" s="546"/>
      <c r="F135" s="84">
        <f>F127-'Cash-WW'!C79+F131</f>
        <v>0</v>
      </c>
      <c r="G135" s="84">
        <f>G127-'Cash-WW'!F79+G131</f>
        <v>0</v>
      </c>
      <c r="H135" s="84">
        <f>H127-'Cash-WW'!G79+H131</f>
        <v>0</v>
      </c>
      <c r="I135" s="84">
        <f>I127-'Cash-WW'!H79</f>
        <v>0</v>
      </c>
      <c r="J135" s="84">
        <f>J127-'Cash-WW'!I79</f>
        <v>0</v>
      </c>
      <c r="K135" s="84">
        <f>K127-'Cash-WW'!J79</f>
        <v>0</v>
      </c>
      <c r="L135" s="84">
        <f>L127-'Cash-WW'!K79</f>
        <v>0</v>
      </c>
      <c r="M135" s="84">
        <f>M127-'Cash-WW'!L79</f>
        <v>0</v>
      </c>
      <c r="N135" s="84">
        <f>N127-'Cash-WW'!M79</f>
        <v>0</v>
      </c>
      <c r="O135" s="84">
        <f>O127-'Cash-WW'!N79</f>
        <v>0</v>
      </c>
      <c r="P135" s="84">
        <f>P127-'Cash-WW'!O79</f>
        <v>0</v>
      </c>
      <c r="Q135" s="84">
        <f>Q127-'Cash-WW'!P79</f>
        <v>0</v>
      </c>
      <c r="R135" s="2292"/>
      <c r="S135" s="2292"/>
      <c r="T135" s="2292"/>
      <c r="U135" s="2292"/>
      <c r="BO135" s="546"/>
      <c r="BP135" s="546"/>
      <c r="BQ135" s="546"/>
      <c r="BR135" s="546"/>
      <c r="BS135" s="546"/>
      <c r="BT135" s="546"/>
      <c r="BU135" s="546"/>
      <c r="BV135" s="546"/>
      <c r="BW135" s="546"/>
      <c r="BX135" s="546"/>
      <c r="BY135" s="546"/>
      <c r="BZ135" s="546"/>
      <c r="CA135" s="546"/>
      <c r="CB135" s="84"/>
      <c r="CC135" s="84"/>
      <c r="CD135" s="84"/>
      <c r="CE135" s="84"/>
      <c r="CF135" s="84"/>
      <c r="CG135" s="84"/>
      <c r="CH135" s="84"/>
      <c r="CI135" s="84"/>
      <c r="CJ135" s="84"/>
      <c r="CK135" s="84"/>
      <c r="CL135" s="84"/>
      <c r="CM135" s="84"/>
    </row>
    <row r="136" spans="1:91" s="354" customFormat="1" x14ac:dyDescent="0.2">
      <c r="E136" s="546"/>
      <c r="F136" s="84"/>
      <c r="G136" s="84"/>
      <c r="H136" s="84"/>
      <c r="I136" s="84"/>
      <c r="J136" s="84"/>
      <c r="K136" s="84"/>
      <c r="L136" s="84"/>
      <c r="M136" s="84"/>
      <c r="N136" s="84"/>
      <c r="O136" s="84"/>
      <c r="P136" s="84"/>
      <c r="Q136" s="84"/>
      <c r="R136" s="2292"/>
      <c r="S136" s="2292"/>
      <c r="T136" s="2292"/>
      <c r="U136" s="2292"/>
      <c r="BO136" s="546"/>
      <c r="BP136" s="546"/>
      <c r="BQ136" s="546"/>
      <c r="BR136" s="546"/>
      <c r="BS136" s="546"/>
      <c r="BT136" s="546"/>
      <c r="BU136" s="546"/>
      <c r="BV136" s="546"/>
      <c r="BW136" s="546"/>
      <c r="BX136" s="546"/>
      <c r="BY136" s="546"/>
      <c r="BZ136" s="546"/>
      <c r="CA136" s="546"/>
      <c r="CB136" s="84"/>
      <c r="CC136" s="84"/>
      <c r="CD136" s="84"/>
      <c r="CE136" s="84"/>
      <c r="CF136" s="84"/>
      <c r="CG136" s="84"/>
      <c r="CH136" s="84"/>
      <c r="CI136" s="84"/>
      <c r="CJ136" s="84"/>
      <c r="CK136" s="84"/>
      <c r="CL136" s="84"/>
      <c r="CM136" s="84"/>
    </row>
    <row r="137" spans="1:91" s="354" customFormat="1" x14ac:dyDescent="0.2">
      <c r="A137" s="403" t="s">
        <v>89</v>
      </c>
      <c r="B137" s="403"/>
      <c r="C137" s="403"/>
      <c r="D137" s="403"/>
      <c r="E137" s="867"/>
      <c r="F137" s="92">
        <f>SUM(F132:F136)</f>
        <v>0</v>
      </c>
      <c r="G137" s="92">
        <f>SUM(G132:G136)</f>
        <v>0</v>
      </c>
      <c r="H137" s="92">
        <f>H134-H129+H133</f>
        <v>0</v>
      </c>
      <c r="I137" s="92">
        <f t="shared" ref="I137:P137" si="528">I134-I129+I133</f>
        <v>0</v>
      </c>
      <c r="J137" s="92">
        <f t="shared" si="528"/>
        <v>0</v>
      </c>
      <c r="K137" s="92">
        <f t="shared" si="528"/>
        <v>0</v>
      </c>
      <c r="L137" s="92">
        <f t="shared" si="528"/>
        <v>0</v>
      </c>
      <c r="M137" s="92">
        <f t="shared" si="528"/>
        <v>0</v>
      </c>
      <c r="N137" s="92">
        <f t="shared" si="528"/>
        <v>0</v>
      </c>
      <c r="O137" s="92">
        <f t="shared" si="528"/>
        <v>0</v>
      </c>
      <c r="P137" s="92">
        <f t="shared" si="528"/>
        <v>0</v>
      </c>
      <c r="Q137" s="92">
        <f t="shared" ref="Q137" si="529">Q134-Q129+Q133</f>
        <v>0</v>
      </c>
      <c r="R137" s="2292"/>
      <c r="S137" s="2292"/>
      <c r="T137" s="2292"/>
      <c r="U137" s="2292"/>
      <c r="BO137" s="546"/>
      <c r="BP137" s="546"/>
      <c r="BQ137" s="546"/>
      <c r="BR137" s="546"/>
      <c r="BS137" s="546"/>
      <c r="BT137" s="546"/>
      <c r="BU137" s="546"/>
      <c r="BV137" s="546"/>
      <c r="BW137" s="546"/>
      <c r="BX137" s="546"/>
      <c r="BY137" s="546"/>
      <c r="BZ137" s="546"/>
      <c r="CA137" s="546"/>
      <c r="CB137" s="84"/>
      <c r="CC137" s="84"/>
      <c r="CD137" s="84"/>
      <c r="CE137" s="84"/>
      <c r="CF137" s="84"/>
      <c r="CG137" s="84"/>
      <c r="CH137" s="84"/>
      <c r="CI137" s="84"/>
      <c r="CJ137" s="84"/>
      <c r="CK137" s="84"/>
      <c r="CL137" s="84"/>
      <c r="CM137" s="84"/>
    </row>
    <row r="138" spans="1:91" s="354" customFormat="1" x14ac:dyDescent="0.2">
      <c r="E138" s="546"/>
      <c r="F138" s="84"/>
      <c r="G138" s="84"/>
      <c r="H138" s="84"/>
      <c r="I138" s="84"/>
      <c r="J138" s="84"/>
      <c r="K138" s="84"/>
      <c r="L138" s="84"/>
      <c r="M138" s="84"/>
      <c r="N138" s="84"/>
      <c r="O138" s="84"/>
      <c r="P138" s="84"/>
      <c r="Q138" s="84"/>
      <c r="R138" s="2292"/>
      <c r="S138" s="2292"/>
      <c r="T138" s="2292"/>
      <c r="U138" s="2292"/>
      <c r="BO138" s="546"/>
      <c r="BP138" s="546"/>
      <c r="BQ138" s="546"/>
      <c r="BR138" s="546"/>
      <c r="BS138" s="546"/>
      <c r="BT138" s="546"/>
      <c r="BU138" s="546"/>
      <c r="BV138" s="546"/>
      <c r="BW138" s="546"/>
      <c r="BX138" s="546"/>
      <c r="BY138" s="546"/>
      <c r="BZ138" s="546"/>
      <c r="CA138" s="546"/>
      <c r="CB138" s="84"/>
      <c r="CC138" s="84"/>
      <c r="CD138" s="84"/>
      <c r="CE138" s="84"/>
      <c r="CF138" s="84"/>
      <c r="CG138" s="84"/>
      <c r="CH138" s="84"/>
      <c r="CI138" s="84"/>
      <c r="CJ138" s="84"/>
      <c r="CK138" s="84"/>
      <c r="CL138" s="84"/>
      <c r="CM138" s="84"/>
    </row>
    <row r="139" spans="1:91" s="354" customFormat="1" x14ac:dyDescent="0.2">
      <c r="E139" s="546"/>
      <c r="F139" s="84"/>
      <c r="G139" s="84"/>
      <c r="H139" s="84"/>
      <c r="I139" s="84"/>
      <c r="J139" s="84"/>
      <c r="K139" s="84"/>
      <c r="L139" s="84"/>
      <c r="M139" s="84"/>
      <c r="N139" s="84"/>
      <c r="O139" s="84"/>
      <c r="P139" s="84"/>
      <c r="Q139" s="84"/>
      <c r="R139" s="2291"/>
      <c r="S139" s="2291"/>
      <c r="T139" s="2291"/>
      <c r="U139" s="2291"/>
      <c r="V139" s="315"/>
      <c r="W139" s="315"/>
      <c r="X139" s="315"/>
      <c r="Z139" s="315"/>
      <c r="AA139" s="315"/>
      <c r="AB139" s="315"/>
      <c r="AD139" s="315"/>
      <c r="AE139" s="315"/>
      <c r="AF139" s="315"/>
      <c r="AH139" s="315"/>
      <c r="AI139" s="315"/>
      <c r="AJ139" s="315"/>
      <c r="AL139" s="315"/>
      <c r="AM139" s="315"/>
      <c r="AN139" s="315"/>
      <c r="AP139" s="315"/>
      <c r="AQ139" s="315"/>
      <c r="AR139" s="315"/>
      <c r="AT139" s="315"/>
      <c r="AU139" s="315"/>
      <c r="AV139" s="315"/>
      <c r="AX139" s="315"/>
      <c r="AY139" s="315"/>
      <c r="AZ139" s="315"/>
      <c r="BB139" s="315"/>
      <c r="BC139" s="315"/>
      <c r="BD139" s="315"/>
      <c r="BF139" s="315"/>
      <c r="BG139" s="315"/>
      <c r="BH139" s="315"/>
      <c r="BJ139" s="315"/>
      <c r="BK139" s="315"/>
      <c r="BL139" s="315"/>
      <c r="BO139" s="546"/>
      <c r="BP139" s="546"/>
      <c r="BQ139" s="546"/>
      <c r="BR139" s="546"/>
      <c r="BS139" s="546"/>
      <c r="BT139" s="546"/>
      <c r="BU139" s="546"/>
      <c r="BV139" s="546"/>
      <c r="BW139" s="546"/>
      <c r="BX139" s="546"/>
      <c r="BY139" s="546"/>
      <c r="BZ139" s="546"/>
      <c r="CA139" s="546"/>
      <c r="CB139" s="84"/>
      <c r="CC139" s="84"/>
      <c r="CD139" s="84"/>
      <c r="CE139" s="84"/>
      <c r="CF139" s="84"/>
      <c r="CG139" s="84"/>
      <c r="CH139" s="84"/>
      <c r="CI139" s="84"/>
      <c r="CJ139" s="84"/>
      <c r="CK139" s="84"/>
      <c r="CL139" s="84"/>
      <c r="CM139" s="84"/>
    </row>
    <row r="140" spans="1:91" s="354" customFormat="1" x14ac:dyDescent="0.2">
      <c r="E140" s="546"/>
      <c r="R140" s="2291"/>
      <c r="S140" s="2291"/>
      <c r="T140" s="2291"/>
      <c r="U140" s="2291"/>
      <c r="V140" s="315"/>
      <c r="W140" s="315"/>
      <c r="X140" s="315"/>
      <c r="Z140" s="315"/>
      <c r="AA140" s="315"/>
      <c r="AB140" s="315"/>
      <c r="AD140" s="315"/>
      <c r="AE140" s="315"/>
      <c r="AF140" s="315"/>
      <c r="AH140" s="315"/>
      <c r="AI140" s="315"/>
      <c r="AJ140" s="315"/>
      <c r="AL140" s="315"/>
      <c r="AM140" s="315"/>
      <c r="AN140" s="315"/>
      <c r="AP140" s="315"/>
      <c r="AQ140" s="315"/>
      <c r="AR140" s="315"/>
      <c r="AT140" s="315"/>
      <c r="AU140" s="315"/>
      <c r="AV140" s="315"/>
      <c r="AX140" s="315"/>
      <c r="AY140" s="315"/>
      <c r="AZ140" s="315"/>
      <c r="BB140" s="315"/>
      <c r="BC140" s="315"/>
      <c r="BD140" s="315"/>
      <c r="BF140" s="315"/>
      <c r="BG140" s="315"/>
      <c r="BH140" s="315"/>
      <c r="BJ140" s="315"/>
      <c r="BK140" s="315"/>
      <c r="BL140" s="315"/>
      <c r="BO140" s="546"/>
      <c r="BP140" s="546"/>
      <c r="BQ140" s="546"/>
      <c r="BR140" s="546"/>
      <c r="BS140" s="546"/>
      <c r="BT140" s="546"/>
      <c r="BU140" s="546"/>
      <c r="BV140" s="546"/>
      <c r="BW140" s="546"/>
      <c r="BX140" s="546"/>
      <c r="BY140" s="546"/>
      <c r="BZ140" s="546"/>
      <c r="CA140" s="546"/>
      <c r="CB140" s="84"/>
      <c r="CC140" s="84"/>
      <c r="CD140" s="84"/>
      <c r="CE140" s="84"/>
      <c r="CF140" s="84"/>
      <c r="CG140" s="84"/>
      <c r="CH140" s="84"/>
      <c r="CI140" s="84"/>
      <c r="CJ140" s="84"/>
      <c r="CK140" s="84"/>
      <c r="CL140" s="84"/>
      <c r="CM140" s="84"/>
    </row>
    <row r="141" spans="1:91" s="354" customFormat="1" x14ac:dyDescent="0.2">
      <c r="A141" s="805" t="s">
        <v>4163</v>
      </c>
      <c r="B141" s="2250"/>
      <c r="C141" s="2250"/>
      <c r="D141" s="2250"/>
      <c r="E141" s="546"/>
      <c r="F141" s="1414">
        <f>SUM(F142:F151)</f>
        <v>206200</v>
      </c>
      <c r="G141" s="1414">
        <f t="shared" ref="G141:U141" si="530">SUM(G142:G151)</f>
        <v>0</v>
      </c>
      <c r="H141" s="1414">
        <f t="shared" si="530"/>
        <v>0</v>
      </c>
      <c r="I141" s="1414">
        <f t="shared" si="530"/>
        <v>0</v>
      </c>
      <c r="J141" s="1414">
        <f t="shared" si="530"/>
        <v>0</v>
      </c>
      <c r="K141" s="1414">
        <f t="shared" si="530"/>
        <v>0</v>
      </c>
      <c r="L141" s="1414">
        <f t="shared" si="530"/>
        <v>0</v>
      </c>
      <c r="M141" s="1414">
        <f t="shared" si="530"/>
        <v>0</v>
      </c>
      <c r="N141" s="1414">
        <f t="shared" si="530"/>
        <v>0</v>
      </c>
      <c r="O141" s="1414">
        <f t="shared" ref="O141:P141" si="531">SUM(O142:O151)</f>
        <v>0</v>
      </c>
      <c r="P141" s="1414">
        <f t="shared" si="531"/>
        <v>0</v>
      </c>
      <c r="Q141" s="1414">
        <f t="shared" ref="Q141" si="532">SUM(Q142:Q151)</f>
        <v>0</v>
      </c>
      <c r="R141" s="2293">
        <f t="shared" si="530"/>
        <v>0</v>
      </c>
      <c r="S141" s="2293">
        <f t="shared" si="530"/>
        <v>0</v>
      </c>
      <c r="T141" s="2293">
        <f t="shared" si="530"/>
        <v>0</v>
      </c>
      <c r="U141" s="2293">
        <f t="shared" si="530"/>
        <v>206200</v>
      </c>
      <c r="V141" s="315"/>
      <c r="W141" s="315"/>
      <c r="X141" s="315"/>
      <c r="Z141" s="315"/>
      <c r="AA141" s="315"/>
      <c r="AB141" s="315"/>
      <c r="AD141" s="315"/>
      <c r="AE141" s="315"/>
      <c r="AF141" s="315"/>
      <c r="AH141" s="315"/>
      <c r="AI141" s="315"/>
      <c r="AJ141" s="315"/>
      <c r="AL141" s="315"/>
      <c r="AM141" s="315"/>
      <c r="AN141" s="315"/>
      <c r="AP141" s="315"/>
      <c r="AQ141" s="315"/>
      <c r="AR141" s="315"/>
      <c r="AT141" s="315"/>
      <c r="AU141" s="315"/>
      <c r="AV141" s="315"/>
      <c r="AX141" s="315"/>
      <c r="AY141" s="315"/>
      <c r="AZ141" s="315"/>
      <c r="BB141" s="315"/>
      <c r="BC141" s="315"/>
      <c r="BD141" s="315"/>
      <c r="BF141" s="315"/>
      <c r="BG141" s="315"/>
      <c r="BH141" s="315"/>
      <c r="BJ141" s="315"/>
      <c r="BK141" s="315"/>
      <c r="BL141" s="315"/>
      <c r="BO141" s="546"/>
      <c r="BP141" s="546"/>
      <c r="BQ141" s="546"/>
      <c r="BR141" s="546"/>
      <c r="BS141" s="546"/>
      <c r="BT141" s="546"/>
      <c r="BU141" s="546"/>
      <c r="BV141" s="546"/>
      <c r="BW141" s="546"/>
      <c r="BX141" s="546"/>
      <c r="BY141" s="546"/>
      <c r="BZ141" s="546"/>
      <c r="CA141" s="546"/>
      <c r="CB141" s="84"/>
      <c r="CC141" s="84"/>
      <c r="CD141" s="84"/>
      <c r="CE141" s="84"/>
      <c r="CF141" s="84"/>
      <c r="CG141" s="84"/>
      <c r="CH141" s="84"/>
      <c r="CI141" s="84"/>
      <c r="CJ141" s="84"/>
      <c r="CK141" s="84"/>
      <c r="CL141" s="84"/>
      <c r="CM141" s="84"/>
    </row>
    <row r="142" spans="1:91" s="354" customFormat="1" x14ac:dyDescent="0.2">
      <c r="A142" s="354" t="s">
        <v>2201</v>
      </c>
      <c r="B142" s="1481"/>
      <c r="C142" s="1481"/>
      <c r="D142" s="1481"/>
      <c r="E142" s="546">
        <v>0</v>
      </c>
      <c r="F142" s="862"/>
      <c r="G142" s="960"/>
      <c r="H142" s="862"/>
      <c r="I142" s="960"/>
      <c r="J142" s="960"/>
      <c r="K142" s="862"/>
      <c r="L142" s="960"/>
      <c r="M142" s="961"/>
      <c r="N142" s="962"/>
      <c r="O142" s="962"/>
      <c r="P142" s="962"/>
      <c r="Q142" s="962"/>
      <c r="R142" s="2296"/>
      <c r="S142" s="2297"/>
      <c r="T142" s="2297"/>
      <c r="U142" s="2298">
        <v>0</v>
      </c>
      <c r="V142" s="315"/>
      <c r="W142" s="315"/>
      <c r="X142" s="315"/>
      <c r="Z142" s="315"/>
      <c r="AA142" s="315"/>
      <c r="AB142" s="315"/>
      <c r="AD142" s="315"/>
      <c r="AE142" s="315"/>
      <c r="AF142" s="315"/>
      <c r="AH142" s="315"/>
      <c r="AI142" s="315"/>
      <c r="AJ142" s="315"/>
      <c r="AL142" s="315"/>
      <c r="AM142" s="315"/>
      <c r="AN142" s="315"/>
      <c r="AP142" s="315"/>
      <c r="AQ142" s="315"/>
      <c r="AR142" s="315"/>
      <c r="AT142" s="315"/>
      <c r="AU142" s="315"/>
      <c r="AV142" s="315"/>
      <c r="AX142" s="315"/>
      <c r="AY142" s="315"/>
      <c r="AZ142" s="315"/>
      <c r="BB142" s="315"/>
      <c r="BC142" s="315"/>
      <c r="BD142" s="315"/>
      <c r="BF142" s="315"/>
      <c r="BG142" s="315"/>
      <c r="BH142" s="315"/>
      <c r="BJ142" s="315"/>
      <c r="BK142" s="315"/>
      <c r="BL142" s="315"/>
      <c r="BO142" s="546"/>
      <c r="BP142" s="546"/>
      <c r="BQ142" s="546"/>
      <c r="BR142" s="546"/>
      <c r="BS142" s="546"/>
      <c r="BT142" s="546"/>
      <c r="BU142" s="546"/>
      <c r="BV142" s="546"/>
      <c r="BW142" s="546"/>
      <c r="BX142" s="546"/>
      <c r="BY142" s="546"/>
      <c r="BZ142" s="546"/>
      <c r="CA142" s="546"/>
      <c r="CB142" s="84"/>
      <c r="CC142" s="84"/>
      <c r="CD142" s="84"/>
      <c r="CE142" s="84"/>
      <c r="CF142" s="84"/>
      <c r="CG142" s="84"/>
      <c r="CH142" s="84"/>
      <c r="CI142" s="84"/>
      <c r="CJ142" s="84"/>
      <c r="CK142" s="84"/>
      <c r="CL142" s="84"/>
      <c r="CM142" s="84"/>
    </row>
    <row r="143" spans="1:91" s="354" customFormat="1" x14ac:dyDescent="0.2">
      <c r="A143" s="965" t="s">
        <v>3863</v>
      </c>
      <c r="B143" s="1105"/>
      <c r="C143" s="1105"/>
      <c r="D143" s="1105"/>
      <c r="E143" s="977">
        <v>0</v>
      </c>
      <c r="F143" s="862">
        <v>206200</v>
      </c>
      <c r="G143" s="960"/>
      <c r="H143" s="862"/>
      <c r="I143" s="960"/>
      <c r="J143" s="960"/>
      <c r="K143" s="862"/>
      <c r="L143" s="960"/>
      <c r="M143" s="961"/>
      <c r="N143" s="962"/>
      <c r="O143" s="962"/>
      <c r="P143" s="962"/>
      <c r="Q143" s="962"/>
      <c r="R143" s="2296"/>
      <c r="S143" s="2297"/>
      <c r="T143" s="2297"/>
      <c r="U143" s="2298">
        <f t="shared" ref="U143:U145" si="533">$F143-R143-S143-T143</f>
        <v>206200</v>
      </c>
      <c r="V143" s="315"/>
      <c r="W143" s="315"/>
      <c r="X143" s="315"/>
      <c r="Z143" s="315"/>
      <c r="AA143" s="315"/>
      <c r="AB143" s="315"/>
      <c r="AD143" s="315"/>
      <c r="AE143" s="315"/>
      <c r="AF143" s="315"/>
      <c r="AH143" s="315"/>
      <c r="AI143" s="315"/>
      <c r="AJ143" s="315"/>
      <c r="AL143" s="315"/>
      <c r="AM143" s="315"/>
      <c r="AN143" s="315"/>
      <c r="AP143" s="315"/>
      <c r="AQ143" s="315"/>
      <c r="AR143" s="315"/>
      <c r="AT143" s="315"/>
      <c r="AU143" s="315"/>
      <c r="AV143" s="315"/>
      <c r="AX143" s="315"/>
      <c r="AY143" s="315"/>
      <c r="AZ143" s="315"/>
      <c r="BB143" s="315"/>
      <c r="BC143" s="315"/>
      <c r="BD143" s="315"/>
      <c r="BF143" s="315"/>
      <c r="BG143" s="315"/>
      <c r="BH143" s="315"/>
      <c r="BJ143" s="315"/>
      <c r="BK143" s="315"/>
      <c r="BL143" s="315"/>
      <c r="BO143" s="546"/>
      <c r="BP143" s="546"/>
      <c r="BQ143" s="546"/>
      <c r="BR143" s="546"/>
      <c r="BS143" s="546"/>
      <c r="BT143" s="546"/>
      <c r="BU143" s="546"/>
      <c r="BV143" s="546"/>
      <c r="BW143" s="546"/>
      <c r="BX143" s="546"/>
      <c r="BY143" s="546"/>
      <c r="BZ143" s="546"/>
      <c r="CA143" s="546"/>
      <c r="CB143" s="84"/>
      <c r="CC143" s="84"/>
      <c r="CD143" s="84"/>
      <c r="CE143" s="84"/>
      <c r="CF143" s="84"/>
      <c r="CG143" s="84"/>
      <c r="CH143" s="84"/>
      <c r="CI143" s="84"/>
      <c r="CJ143" s="84"/>
      <c r="CK143" s="84"/>
      <c r="CL143" s="84"/>
      <c r="CM143" s="84"/>
    </row>
    <row r="144" spans="1:91" s="354" customFormat="1" x14ac:dyDescent="0.2">
      <c r="A144" s="965" t="s">
        <v>1313</v>
      </c>
      <c r="B144" s="1105"/>
      <c r="C144" s="1105"/>
      <c r="D144" s="1105"/>
      <c r="E144" s="977">
        <v>0</v>
      </c>
      <c r="F144" s="862"/>
      <c r="G144" s="862"/>
      <c r="H144" s="862"/>
      <c r="I144" s="960"/>
      <c r="J144" s="862"/>
      <c r="K144" s="862"/>
      <c r="L144" s="862"/>
      <c r="M144" s="862"/>
      <c r="N144" s="863"/>
      <c r="O144" s="863"/>
      <c r="P144" s="863"/>
      <c r="Q144" s="863"/>
      <c r="R144" s="2296"/>
      <c r="S144" s="2297"/>
      <c r="T144" s="2297"/>
      <c r="U144" s="2298">
        <f t="shared" si="533"/>
        <v>0</v>
      </c>
      <c r="V144" s="315"/>
      <c r="W144" s="315"/>
      <c r="X144" s="315"/>
      <c r="Z144" s="315"/>
      <c r="AA144" s="315"/>
      <c r="AB144" s="315"/>
      <c r="AD144" s="315"/>
      <c r="AE144" s="315"/>
      <c r="AF144" s="315"/>
      <c r="AH144" s="315"/>
      <c r="AI144" s="315"/>
      <c r="AJ144" s="315"/>
      <c r="AL144" s="315"/>
      <c r="AM144" s="315"/>
      <c r="AN144" s="315"/>
      <c r="AP144" s="315"/>
      <c r="AQ144" s="315"/>
      <c r="AR144" s="315"/>
      <c r="AT144" s="315"/>
      <c r="AU144" s="315"/>
      <c r="AV144" s="315"/>
      <c r="AX144" s="315"/>
      <c r="AY144" s="315"/>
      <c r="AZ144" s="315"/>
      <c r="BB144" s="315"/>
      <c r="BC144" s="315"/>
      <c r="BD144" s="315"/>
      <c r="BF144" s="315"/>
      <c r="BG144" s="315"/>
      <c r="BH144" s="315"/>
      <c r="BJ144" s="315"/>
      <c r="BK144" s="315"/>
      <c r="BL144" s="315"/>
      <c r="BO144" s="546"/>
      <c r="BP144" s="546"/>
      <c r="BQ144" s="546"/>
      <c r="BR144" s="546"/>
      <c r="BS144" s="546"/>
      <c r="BT144" s="546"/>
      <c r="BU144" s="546"/>
      <c r="BV144" s="546"/>
      <c r="BW144" s="546"/>
      <c r="BX144" s="546"/>
      <c r="BY144" s="546"/>
      <c r="BZ144" s="546"/>
      <c r="CA144" s="546"/>
      <c r="CB144" s="84"/>
      <c r="CC144" s="84"/>
      <c r="CD144" s="84"/>
      <c r="CE144" s="84"/>
      <c r="CF144" s="84"/>
      <c r="CG144" s="84"/>
      <c r="CH144" s="84"/>
      <c r="CI144" s="84"/>
      <c r="CJ144" s="84"/>
      <c r="CK144" s="84"/>
      <c r="CL144" s="84"/>
      <c r="CM144" s="84"/>
    </row>
    <row r="145" spans="1:91" s="354" customFormat="1" x14ac:dyDescent="0.2">
      <c r="A145" s="965" t="s">
        <v>1421</v>
      </c>
      <c r="B145" s="1105"/>
      <c r="C145" s="1105"/>
      <c r="D145" s="1105"/>
      <c r="E145" s="977">
        <v>0</v>
      </c>
      <c r="F145" s="862"/>
      <c r="G145" s="862"/>
      <c r="H145" s="862"/>
      <c r="I145" s="960"/>
      <c r="J145" s="862"/>
      <c r="K145" s="862"/>
      <c r="L145" s="862"/>
      <c r="M145" s="862"/>
      <c r="N145" s="863"/>
      <c r="O145" s="863"/>
      <c r="P145" s="863"/>
      <c r="Q145" s="863"/>
      <c r="R145" s="2296"/>
      <c r="S145" s="2297"/>
      <c r="T145" s="2297"/>
      <c r="U145" s="2298">
        <f t="shared" si="533"/>
        <v>0</v>
      </c>
      <c r="V145" s="315"/>
      <c r="W145" s="315"/>
      <c r="X145" s="315"/>
      <c r="Z145" s="315"/>
      <c r="AA145" s="315"/>
      <c r="AB145" s="315"/>
      <c r="AD145" s="315"/>
      <c r="AE145" s="315"/>
      <c r="AF145" s="315"/>
      <c r="AH145" s="315"/>
      <c r="AI145" s="315"/>
      <c r="AJ145" s="315"/>
      <c r="AL145" s="315"/>
      <c r="AM145" s="315"/>
      <c r="AN145" s="315"/>
      <c r="AP145" s="315"/>
      <c r="AQ145" s="315"/>
      <c r="AR145" s="315"/>
      <c r="AT145" s="315"/>
      <c r="AU145" s="315"/>
      <c r="AV145" s="315"/>
      <c r="AX145" s="315"/>
      <c r="AY145" s="315"/>
      <c r="AZ145" s="315"/>
      <c r="BB145" s="315"/>
      <c r="BC145" s="315"/>
      <c r="BD145" s="315"/>
      <c r="BF145" s="315"/>
      <c r="BG145" s="315"/>
      <c r="BH145" s="315"/>
      <c r="BJ145" s="315"/>
      <c r="BK145" s="315"/>
      <c r="BL145" s="315"/>
      <c r="BO145" s="546"/>
      <c r="BP145" s="546"/>
      <c r="BQ145" s="546"/>
      <c r="BR145" s="546"/>
      <c r="BS145" s="546"/>
      <c r="BT145" s="546"/>
      <c r="BU145" s="546"/>
      <c r="BV145" s="546"/>
      <c r="BW145" s="546"/>
      <c r="BX145" s="546"/>
      <c r="BY145" s="546"/>
      <c r="BZ145" s="546"/>
      <c r="CA145" s="546"/>
      <c r="CB145" s="84"/>
      <c r="CC145" s="84"/>
      <c r="CD145" s="84"/>
      <c r="CE145" s="84"/>
      <c r="CF145" s="84"/>
      <c r="CG145" s="84"/>
      <c r="CH145" s="84"/>
      <c r="CI145" s="84"/>
      <c r="CJ145" s="84"/>
      <c r="CK145" s="84"/>
      <c r="CL145" s="84"/>
      <c r="CM145" s="84"/>
    </row>
    <row r="146" spans="1:91" s="354" customFormat="1" x14ac:dyDescent="0.2">
      <c r="A146" s="965" t="s">
        <v>1732</v>
      </c>
      <c r="B146" s="1105"/>
      <c r="C146" s="1105"/>
      <c r="D146" s="1105"/>
      <c r="E146" s="977">
        <v>0</v>
      </c>
      <c r="F146" s="862"/>
      <c r="G146" s="862"/>
      <c r="H146" s="862"/>
      <c r="I146" s="960"/>
      <c r="J146" s="862"/>
      <c r="K146" s="862"/>
      <c r="L146" s="862"/>
      <c r="M146" s="862"/>
      <c r="N146" s="863"/>
      <c r="O146" s="863"/>
      <c r="P146" s="863"/>
      <c r="Q146" s="863"/>
      <c r="R146" s="2291"/>
      <c r="S146" s="2291"/>
      <c r="T146" s="2291"/>
      <c r="U146" s="2291"/>
      <c r="V146" s="315"/>
      <c r="W146" s="315"/>
      <c r="X146" s="315"/>
      <c r="Z146" s="315"/>
      <c r="AA146" s="315"/>
      <c r="AB146" s="315"/>
      <c r="AD146" s="315"/>
      <c r="AE146" s="315"/>
      <c r="AF146" s="315"/>
      <c r="AH146" s="315"/>
      <c r="AI146" s="315"/>
      <c r="AJ146" s="315"/>
      <c r="AL146" s="315"/>
      <c r="AM146" s="315"/>
      <c r="AN146" s="315"/>
      <c r="AP146" s="315"/>
      <c r="AQ146" s="315"/>
      <c r="AR146" s="315"/>
      <c r="AT146" s="315"/>
      <c r="AU146" s="315"/>
      <c r="AV146" s="315"/>
      <c r="AX146" s="315"/>
      <c r="AY146" s="315"/>
      <c r="AZ146" s="315"/>
      <c r="BB146" s="315"/>
      <c r="BC146" s="315"/>
      <c r="BD146" s="315"/>
      <c r="BF146" s="315"/>
      <c r="BG146" s="315"/>
      <c r="BH146" s="315"/>
      <c r="BJ146" s="315"/>
      <c r="BK146" s="315"/>
      <c r="BL146" s="315"/>
      <c r="BO146" s="546"/>
      <c r="BP146" s="546"/>
      <c r="BQ146" s="546"/>
      <c r="BR146" s="546"/>
      <c r="BS146" s="546"/>
      <c r="BT146" s="546"/>
      <c r="BU146" s="546"/>
      <c r="BV146" s="546"/>
      <c r="BW146" s="546"/>
      <c r="BX146" s="546"/>
      <c r="BY146" s="546"/>
      <c r="BZ146" s="546"/>
      <c r="CA146" s="546"/>
      <c r="CB146" s="84"/>
      <c r="CC146" s="84"/>
      <c r="CD146" s="84"/>
      <c r="CE146" s="84"/>
      <c r="CF146" s="84"/>
      <c r="CG146" s="84"/>
      <c r="CH146" s="84"/>
      <c r="CI146" s="84"/>
      <c r="CJ146" s="84"/>
      <c r="CK146" s="84"/>
      <c r="CL146" s="84"/>
      <c r="CM146" s="84"/>
    </row>
    <row r="147" spans="1:91" s="354" customFormat="1" x14ac:dyDescent="0.2">
      <c r="A147" s="965" t="s">
        <v>3762</v>
      </c>
      <c r="B147" s="1105"/>
      <c r="C147" s="1105"/>
      <c r="D147" s="1105"/>
      <c r="E147" s="977">
        <v>0.6</v>
      </c>
      <c r="F147" s="862"/>
      <c r="G147" s="960"/>
      <c r="H147" s="862"/>
      <c r="I147" s="960"/>
      <c r="J147" s="960"/>
      <c r="K147" s="960"/>
      <c r="L147" s="960"/>
      <c r="M147" s="961"/>
      <c r="N147" s="962"/>
      <c r="O147" s="962"/>
      <c r="P147" s="962"/>
      <c r="Q147" s="962"/>
      <c r="R147" s="2291"/>
      <c r="S147" s="2291"/>
      <c r="T147" s="2291"/>
      <c r="U147" s="2291"/>
      <c r="V147" s="315"/>
      <c r="W147" s="315"/>
      <c r="X147" s="315"/>
      <c r="Z147" s="315"/>
      <c r="AA147" s="315"/>
      <c r="AB147" s="315"/>
      <c r="AD147" s="315"/>
      <c r="AE147" s="315"/>
      <c r="AF147" s="315"/>
      <c r="AH147" s="315"/>
      <c r="AI147" s="315"/>
      <c r="AJ147" s="315"/>
      <c r="AL147" s="315"/>
      <c r="AM147" s="315"/>
      <c r="AN147" s="315"/>
      <c r="AP147" s="315"/>
      <c r="AQ147" s="315"/>
      <c r="AR147" s="315"/>
      <c r="AT147" s="315"/>
      <c r="AU147" s="315"/>
      <c r="AV147" s="315"/>
      <c r="AX147" s="315"/>
      <c r="AY147" s="315"/>
      <c r="AZ147" s="315"/>
      <c r="BB147" s="315"/>
      <c r="BC147" s="315"/>
      <c r="BD147" s="315"/>
      <c r="BF147" s="315"/>
      <c r="BG147" s="315"/>
      <c r="BH147" s="315"/>
      <c r="BJ147" s="315"/>
      <c r="BK147" s="315"/>
      <c r="BL147" s="315"/>
      <c r="BO147" s="546"/>
      <c r="BP147" s="546"/>
      <c r="BQ147" s="546"/>
      <c r="BR147" s="546"/>
      <c r="BS147" s="546"/>
      <c r="BT147" s="546"/>
      <c r="BU147" s="546"/>
      <c r="BV147" s="546"/>
      <c r="BW147" s="546"/>
      <c r="BX147" s="546"/>
      <c r="BY147" s="546"/>
      <c r="BZ147" s="546"/>
      <c r="CA147" s="546"/>
      <c r="CB147" s="84"/>
      <c r="CC147" s="84"/>
      <c r="CD147" s="84"/>
      <c r="CE147" s="84"/>
      <c r="CF147" s="84"/>
      <c r="CG147" s="84"/>
      <c r="CH147" s="84"/>
      <c r="CI147" s="84"/>
      <c r="CJ147" s="84"/>
      <c r="CK147" s="84"/>
      <c r="CL147" s="84"/>
      <c r="CM147" s="84"/>
    </row>
    <row r="148" spans="1:91" s="354" customFormat="1" x14ac:dyDescent="0.2">
      <c r="A148" s="965" t="s">
        <v>3052</v>
      </c>
      <c r="B148" s="1105"/>
      <c r="C148" s="1105"/>
      <c r="D148" s="1105"/>
      <c r="E148" s="977"/>
      <c r="F148" s="862"/>
      <c r="G148" s="862"/>
      <c r="H148" s="862"/>
      <c r="I148" s="960"/>
      <c r="J148" s="862"/>
      <c r="K148" s="862"/>
      <c r="L148" s="862"/>
      <c r="M148" s="862"/>
      <c r="N148" s="863"/>
      <c r="O148" s="863"/>
      <c r="P148" s="863"/>
      <c r="Q148" s="863"/>
      <c r="R148" s="2291"/>
      <c r="S148" s="2291"/>
      <c r="T148" s="2291"/>
      <c r="U148" s="2291"/>
      <c r="V148" s="315"/>
      <c r="W148" s="315"/>
      <c r="X148" s="315"/>
      <c r="Z148" s="315"/>
      <c r="AA148" s="315"/>
      <c r="AB148" s="315"/>
      <c r="AD148" s="315"/>
      <c r="AE148" s="315"/>
      <c r="AF148" s="315"/>
      <c r="AH148" s="315"/>
      <c r="AI148" s="315"/>
      <c r="AJ148" s="315"/>
      <c r="AL148" s="315"/>
      <c r="AM148" s="315"/>
      <c r="AN148" s="315"/>
      <c r="AP148" s="315"/>
      <c r="AQ148" s="315"/>
      <c r="AR148" s="315"/>
      <c r="AT148" s="315"/>
      <c r="AU148" s="315"/>
      <c r="AV148" s="315"/>
      <c r="AX148" s="315"/>
      <c r="AY148" s="315"/>
      <c r="AZ148" s="315"/>
      <c r="BB148" s="315"/>
      <c r="BC148" s="315"/>
      <c r="BD148" s="315"/>
      <c r="BF148" s="315"/>
      <c r="BG148" s="315"/>
      <c r="BH148" s="315"/>
      <c r="BJ148" s="315"/>
      <c r="BK148" s="315"/>
      <c r="BL148" s="315"/>
      <c r="BO148" s="546"/>
      <c r="BP148" s="546"/>
      <c r="BQ148" s="546"/>
      <c r="BR148" s="546"/>
      <c r="BS148" s="546"/>
      <c r="BT148" s="546"/>
      <c r="BU148" s="546"/>
      <c r="BV148" s="546"/>
      <c r="BW148" s="546"/>
      <c r="BX148" s="546"/>
      <c r="BY148" s="546"/>
      <c r="BZ148" s="546"/>
      <c r="CA148" s="546"/>
      <c r="CB148" s="84"/>
      <c r="CC148" s="84"/>
      <c r="CD148" s="84"/>
      <c r="CE148" s="84"/>
      <c r="CF148" s="84"/>
      <c r="CG148" s="84"/>
      <c r="CH148" s="84"/>
      <c r="CI148" s="84"/>
      <c r="CJ148" s="84"/>
      <c r="CK148" s="84"/>
      <c r="CL148" s="84"/>
      <c r="CM148" s="84"/>
    </row>
    <row r="149" spans="1:91" s="354" customFormat="1" x14ac:dyDescent="0.2">
      <c r="A149" s="965" t="s">
        <v>4188</v>
      </c>
      <c r="B149" s="1105"/>
      <c r="C149" s="1105"/>
      <c r="D149" s="1105"/>
      <c r="E149" s="977"/>
      <c r="F149" s="862"/>
      <c r="G149" s="862"/>
      <c r="H149" s="862"/>
      <c r="I149" s="960"/>
      <c r="J149" s="960"/>
      <c r="K149" s="960"/>
      <c r="L149" s="960"/>
      <c r="M149" s="961"/>
      <c r="N149" s="962"/>
      <c r="O149" s="962"/>
      <c r="P149" s="962"/>
      <c r="Q149" s="962"/>
      <c r="R149" s="2291"/>
      <c r="S149" s="2291"/>
      <c r="T149" s="2291"/>
      <c r="U149" s="2291"/>
      <c r="V149" s="315"/>
      <c r="W149" s="315"/>
      <c r="X149" s="315"/>
      <c r="Z149" s="315"/>
      <c r="AA149" s="315"/>
      <c r="AB149" s="315"/>
      <c r="AD149" s="315"/>
      <c r="AE149" s="315"/>
      <c r="AF149" s="315"/>
      <c r="AH149" s="315"/>
      <c r="AI149" s="315"/>
      <c r="AJ149" s="315"/>
      <c r="AL149" s="315"/>
      <c r="AM149" s="315"/>
      <c r="AN149" s="315"/>
      <c r="AP149" s="315"/>
      <c r="AQ149" s="315"/>
      <c r="AR149" s="315"/>
      <c r="AT149" s="315"/>
      <c r="AU149" s="315"/>
      <c r="AV149" s="315"/>
      <c r="AX149" s="315"/>
      <c r="AY149" s="315"/>
      <c r="AZ149" s="315"/>
      <c r="BB149" s="315"/>
      <c r="BC149" s="315"/>
      <c r="BD149" s="315"/>
      <c r="BF149" s="315"/>
      <c r="BG149" s="315"/>
      <c r="BH149" s="315"/>
      <c r="BJ149" s="315"/>
      <c r="BK149" s="315"/>
      <c r="BL149" s="315"/>
      <c r="BO149" s="546"/>
      <c r="BP149" s="546"/>
      <c r="BQ149" s="546"/>
      <c r="BR149" s="546"/>
      <c r="BS149" s="546"/>
      <c r="BT149" s="546"/>
      <c r="BU149" s="546"/>
      <c r="BV149" s="546"/>
      <c r="BW149" s="546"/>
      <c r="BX149" s="546"/>
      <c r="BY149" s="546"/>
      <c r="BZ149" s="546"/>
      <c r="CA149" s="546"/>
      <c r="CB149" s="84"/>
      <c r="CC149" s="84"/>
      <c r="CD149" s="84"/>
      <c r="CE149" s="84"/>
      <c r="CF149" s="84"/>
      <c r="CG149" s="84"/>
      <c r="CH149" s="84"/>
      <c r="CI149" s="84"/>
      <c r="CJ149" s="84"/>
      <c r="CK149" s="84"/>
      <c r="CL149" s="84"/>
      <c r="CM149" s="84"/>
    </row>
    <row r="150" spans="1:91" s="354" customFormat="1" x14ac:dyDescent="0.2">
      <c r="A150" s="965" t="s">
        <v>4189</v>
      </c>
      <c r="B150" s="1105"/>
      <c r="C150" s="1105"/>
      <c r="D150" s="1105"/>
      <c r="E150" s="977"/>
      <c r="F150" s="862"/>
      <c r="G150" s="862"/>
      <c r="H150" s="862"/>
      <c r="I150" s="960"/>
      <c r="J150" s="960"/>
      <c r="K150" s="960"/>
      <c r="L150" s="960"/>
      <c r="M150" s="961"/>
      <c r="N150" s="962"/>
      <c r="O150" s="962"/>
      <c r="P150" s="962"/>
      <c r="Q150" s="962"/>
      <c r="R150" s="2291"/>
      <c r="S150" s="2291"/>
      <c r="T150" s="2291"/>
      <c r="U150" s="2291"/>
      <c r="V150" s="315"/>
      <c r="W150" s="315"/>
      <c r="X150" s="315"/>
      <c r="Z150" s="315"/>
      <c r="AA150" s="315"/>
      <c r="AB150" s="315"/>
      <c r="AD150" s="315"/>
      <c r="AE150" s="315"/>
      <c r="AF150" s="315"/>
      <c r="AH150" s="315"/>
      <c r="AI150" s="315"/>
      <c r="AJ150" s="315"/>
      <c r="AL150" s="315"/>
      <c r="AM150" s="315"/>
      <c r="AN150" s="315"/>
      <c r="AP150" s="315"/>
      <c r="AQ150" s="315"/>
      <c r="AR150" s="315"/>
      <c r="AT150" s="315"/>
      <c r="AU150" s="315"/>
      <c r="AV150" s="315"/>
      <c r="AX150" s="315"/>
      <c r="AY150" s="315"/>
      <c r="AZ150" s="315"/>
      <c r="BB150" s="315"/>
      <c r="BC150" s="315"/>
      <c r="BD150" s="315"/>
      <c r="BF150" s="315"/>
      <c r="BG150" s="315"/>
      <c r="BH150" s="315"/>
      <c r="BJ150" s="315"/>
      <c r="BK150" s="315"/>
      <c r="BL150" s="315"/>
      <c r="BO150" s="546"/>
      <c r="BP150" s="546"/>
      <c r="BQ150" s="546"/>
      <c r="BR150" s="546"/>
      <c r="BS150" s="546"/>
      <c r="BT150" s="546"/>
      <c r="BU150" s="546"/>
      <c r="BV150" s="546"/>
      <c r="BW150" s="546"/>
      <c r="BX150" s="546"/>
      <c r="BY150" s="546"/>
      <c r="BZ150" s="546"/>
      <c r="CA150" s="546"/>
      <c r="CB150" s="84"/>
      <c r="CC150" s="84"/>
      <c r="CD150" s="84"/>
      <c r="CE150" s="84"/>
      <c r="CF150" s="84"/>
      <c r="CG150" s="84"/>
      <c r="CH150" s="84"/>
      <c r="CI150" s="84"/>
      <c r="CJ150" s="84"/>
      <c r="CK150" s="84"/>
      <c r="CL150" s="84"/>
      <c r="CM150" s="84"/>
    </row>
    <row r="151" spans="1:91" s="354" customFormat="1" x14ac:dyDescent="0.2">
      <c r="A151" s="965" t="s">
        <v>4190</v>
      </c>
      <c r="B151" s="1105"/>
      <c r="C151" s="1105"/>
      <c r="D151" s="1105"/>
      <c r="E151" s="977"/>
      <c r="F151" s="862"/>
      <c r="G151" s="862"/>
      <c r="H151" s="862"/>
      <c r="I151" s="960"/>
      <c r="J151" s="960"/>
      <c r="K151" s="960"/>
      <c r="L151" s="960"/>
      <c r="M151" s="961"/>
      <c r="N151" s="962"/>
      <c r="O151" s="962"/>
      <c r="P151" s="962"/>
      <c r="Q151" s="962"/>
      <c r="R151" s="2291"/>
      <c r="S151" s="2291"/>
      <c r="T151" s="2291"/>
      <c r="U151" s="2291"/>
      <c r="V151" s="315"/>
      <c r="W151" s="315"/>
      <c r="X151" s="315"/>
      <c r="Z151" s="315"/>
      <c r="AA151" s="315"/>
      <c r="AB151" s="315"/>
      <c r="AD151" s="315"/>
      <c r="AE151" s="315"/>
      <c r="AF151" s="315"/>
      <c r="AH151" s="315"/>
      <c r="AI151" s="315"/>
      <c r="AJ151" s="315"/>
      <c r="AL151" s="315"/>
      <c r="AM151" s="315"/>
      <c r="AN151" s="315"/>
      <c r="AP151" s="315"/>
      <c r="AQ151" s="315"/>
      <c r="AR151" s="315"/>
      <c r="AT151" s="315"/>
      <c r="AU151" s="315"/>
      <c r="AV151" s="315"/>
      <c r="AX151" s="315"/>
      <c r="AY151" s="315"/>
      <c r="AZ151" s="315"/>
      <c r="BB151" s="315"/>
      <c r="BC151" s="315"/>
      <c r="BD151" s="315"/>
      <c r="BF151" s="315"/>
      <c r="BG151" s="315"/>
      <c r="BH151" s="315"/>
      <c r="BJ151" s="315"/>
      <c r="BK151" s="315"/>
      <c r="BL151" s="315"/>
      <c r="BO151" s="546"/>
      <c r="BP151" s="546"/>
      <c r="BQ151" s="546"/>
      <c r="BR151" s="546"/>
      <c r="BS151" s="546"/>
      <c r="BT151" s="546"/>
      <c r="BU151" s="546"/>
      <c r="BV151" s="546"/>
      <c r="BW151" s="546"/>
      <c r="BX151" s="546"/>
      <c r="BY151" s="546"/>
      <c r="BZ151" s="546"/>
      <c r="CA151" s="546"/>
      <c r="CB151" s="84"/>
      <c r="CC151" s="84"/>
      <c r="CD151" s="84"/>
      <c r="CE151" s="84"/>
      <c r="CF151" s="84"/>
      <c r="CG151" s="84"/>
      <c r="CH151" s="84"/>
      <c r="CI151" s="84"/>
      <c r="CJ151" s="84"/>
      <c r="CK151" s="84"/>
      <c r="CL151" s="84"/>
      <c r="CM151" s="84"/>
    </row>
    <row r="152" spans="1:91" s="354" customFormat="1" x14ac:dyDescent="0.2">
      <c r="E152" s="546"/>
      <c r="R152" s="2291"/>
      <c r="S152" s="2291"/>
      <c r="T152" s="2291"/>
      <c r="U152" s="2291"/>
      <c r="V152" s="315"/>
      <c r="W152" s="315"/>
      <c r="X152" s="315"/>
      <c r="Z152" s="315"/>
      <c r="AA152" s="315"/>
      <c r="AB152" s="315"/>
      <c r="AD152" s="315"/>
      <c r="AE152" s="315"/>
      <c r="AF152" s="315"/>
      <c r="AH152" s="315"/>
      <c r="AI152" s="315"/>
      <c r="AJ152" s="315"/>
      <c r="AL152" s="315"/>
      <c r="AM152" s="315"/>
      <c r="AN152" s="315"/>
      <c r="AP152" s="315"/>
      <c r="AQ152" s="315"/>
      <c r="AR152" s="315"/>
      <c r="AT152" s="315"/>
      <c r="AU152" s="315"/>
      <c r="AV152" s="315"/>
      <c r="AX152" s="315"/>
      <c r="AY152" s="315"/>
      <c r="AZ152" s="315"/>
      <c r="BB152" s="315"/>
      <c r="BC152" s="315"/>
      <c r="BD152" s="315"/>
      <c r="BF152" s="315"/>
      <c r="BG152" s="315"/>
      <c r="BH152" s="315"/>
      <c r="BJ152" s="315"/>
      <c r="BK152" s="315"/>
      <c r="BL152" s="315"/>
      <c r="BO152" s="546"/>
      <c r="BP152" s="546"/>
      <c r="BQ152" s="546"/>
      <c r="BR152" s="546"/>
      <c r="BS152" s="546"/>
      <c r="BT152" s="546"/>
      <c r="BU152" s="546"/>
      <c r="BV152" s="546"/>
      <c r="BW152" s="546"/>
      <c r="BX152" s="546"/>
      <c r="BY152" s="546"/>
      <c r="BZ152" s="546"/>
      <c r="CA152" s="546"/>
      <c r="CB152" s="84"/>
      <c r="CC152" s="84"/>
      <c r="CD152" s="84"/>
      <c r="CE152" s="84"/>
      <c r="CF152" s="84"/>
      <c r="CG152" s="84"/>
      <c r="CH152" s="84"/>
      <c r="CI152" s="84"/>
      <c r="CJ152" s="84"/>
      <c r="CK152" s="84"/>
      <c r="CL152" s="84"/>
      <c r="CM152" s="84"/>
    </row>
    <row r="153" spans="1:91" s="354" customFormat="1" x14ac:dyDescent="0.2">
      <c r="B153" s="805"/>
      <c r="C153" s="805"/>
      <c r="D153" s="805"/>
      <c r="E153" s="1390"/>
      <c r="F153" s="805"/>
      <c r="G153" s="805"/>
      <c r="H153" s="805"/>
      <c r="I153" s="805"/>
      <c r="J153" s="805"/>
      <c r="K153" s="805"/>
      <c r="L153" s="805"/>
      <c r="M153" s="805"/>
      <c r="N153" s="805"/>
      <c r="O153" s="805"/>
      <c r="P153" s="805"/>
      <c r="Q153" s="805"/>
      <c r="R153" s="2291"/>
      <c r="S153" s="2291"/>
      <c r="T153" s="2291"/>
      <c r="U153" s="2291"/>
      <c r="V153" s="315"/>
      <c r="W153" s="315"/>
      <c r="X153" s="315"/>
      <c r="Z153" s="315"/>
      <c r="AA153" s="315"/>
      <c r="AB153" s="315"/>
      <c r="AD153" s="315"/>
      <c r="AE153" s="315"/>
      <c r="AF153" s="315"/>
      <c r="AH153" s="315"/>
      <c r="AI153" s="315"/>
      <c r="AJ153" s="315"/>
      <c r="AL153" s="315"/>
      <c r="AM153" s="315"/>
      <c r="AN153" s="315"/>
      <c r="AP153" s="315"/>
      <c r="AQ153" s="315"/>
      <c r="AR153" s="315"/>
      <c r="AT153" s="315"/>
      <c r="AU153" s="315"/>
      <c r="AV153" s="315"/>
      <c r="AX153" s="315"/>
      <c r="AY153" s="315"/>
      <c r="AZ153" s="315"/>
      <c r="BB153" s="315"/>
      <c r="BC153" s="315"/>
      <c r="BD153" s="315"/>
      <c r="BF153" s="315"/>
      <c r="BG153" s="315"/>
      <c r="BH153" s="315"/>
      <c r="BJ153" s="315"/>
      <c r="BK153" s="315"/>
      <c r="BL153" s="315"/>
      <c r="BO153" s="546"/>
      <c r="BP153" s="546"/>
      <c r="BQ153" s="546"/>
      <c r="BR153" s="546"/>
      <c r="BS153" s="546"/>
      <c r="BT153" s="546"/>
      <c r="BU153" s="546"/>
      <c r="BV153" s="546"/>
      <c r="BW153" s="546"/>
      <c r="BX153" s="546"/>
      <c r="BY153" s="546"/>
      <c r="BZ153" s="546"/>
      <c r="CA153" s="546"/>
      <c r="CB153" s="84"/>
      <c r="CC153" s="84"/>
      <c r="CD153" s="84"/>
      <c r="CE153" s="84"/>
      <c r="CF153" s="84"/>
      <c r="CG153" s="84"/>
      <c r="CH153" s="84"/>
      <c r="CI153" s="84"/>
      <c r="CJ153" s="84"/>
      <c r="CK153" s="84"/>
      <c r="CL153" s="84"/>
      <c r="CM153" s="84"/>
    </row>
    <row r="154" spans="1:91" s="354" customFormat="1" x14ac:dyDescent="0.2">
      <c r="A154" s="2269" t="s">
        <v>4164</v>
      </c>
      <c r="B154" s="2250"/>
      <c r="C154" s="2250"/>
      <c r="D154" s="2250"/>
      <c r="E154" s="1390"/>
      <c r="F154" s="1414">
        <f t="shared" ref="F154:N154" si="534">SUM(F155:F162)</f>
        <v>0</v>
      </c>
      <c r="G154" s="1414">
        <f t="shared" si="534"/>
        <v>0</v>
      </c>
      <c r="H154" s="1414">
        <f t="shared" si="534"/>
        <v>0</v>
      </c>
      <c r="I154" s="1414">
        <f t="shared" si="534"/>
        <v>0</v>
      </c>
      <c r="J154" s="1414">
        <f t="shared" si="534"/>
        <v>0</v>
      </c>
      <c r="K154" s="1414">
        <f t="shared" si="534"/>
        <v>0</v>
      </c>
      <c r="L154" s="1414">
        <f t="shared" si="534"/>
        <v>0</v>
      </c>
      <c r="M154" s="1414">
        <f t="shared" si="534"/>
        <v>0</v>
      </c>
      <c r="N154" s="1414">
        <f t="shared" si="534"/>
        <v>0</v>
      </c>
      <c r="O154" s="1414">
        <f t="shared" ref="O154:P154" si="535">SUM(O155:O162)</f>
        <v>0</v>
      </c>
      <c r="P154" s="1414">
        <f t="shared" si="535"/>
        <v>0</v>
      </c>
      <c r="Q154" s="1414">
        <f t="shared" ref="Q154" si="536">SUM(Q155:Q162)</f>
        <v>0</v>
      </c>
      <c r="R154" s="2291"/>
      <c r="S154" s="2291"/>
      <c r="T154" s="2291"/>
      <c r="U154" s="2291"/>
      <c r="V154" s="315"/>
      <c r="W154" s="315"/>
      <c r="X154" s="315"/>
      <c r="Z154" s="315"/>
      <c r="AA154" s="315"/>
      <c r="AB154" s="315"/>
      <c r="AD154" s="315"/>
      <c r="AE154" s="315"/>
      <c r="AF154" s="315"/>
      <c r="AH154" s="315"/>
      <c r="AI154" s="315"/>
      <c r="AJ154" s="315"/>
      <c r="AL154" s="315"/>
      <c r="AM154" s="315"/>
      <c r="AN154" s="315"/>
      <c r="AP154" s="315"/>
      <c r="AQ154" s="315"/>
      <c r="AR154" s="315"/>
      <c r="AT154" s="315"/>
      <c r="AU154" s="315"/>
      <c r="AV154" s="315"/>
      <c r="AX154" s="315"/>
      <c r="AY154" s="315"/>
      <c r="AZ154" s="315"/>
      <c r="BB154" s="315"/>
      <c r="BC154" s="315"/>
      <c r="BD154" s="315"/>
      <c r="BF154" s="315"/>
      <c r="BG154" s="315"/>
      <c r="BH154" s="315"/>
      <c r="BJ154" s="315"/>
      <c r="BK154" s="315"/>
      <c r="BL154" s="315"/>
      <c r="BO154" s="546"/>
      <c r="BP154" s="546"/>
      <c r="BQ154" s="546"/>
      <c r="BR154" s="546"/>
      <c r="BS154" s="546"/>
      <c r="BT154" s="546"/>
      <c r="BU154" s="546"/>
      <c r="BV154" s="546"/>
      <c r="BW154" s="546"/>
      <c r="BX154" s="546"/>
      <c r="BY154" s="546"/>
      <c r="BZ154" s="546"/>
      <c r="CA154" s="546"/>
      <c r="CB154" s="84"/>
      <c r="CC154" s="84"/>
      <c r="CD154" s="84"/>
      <c r="CE154" s="84"/>
      <c r="CF154" s="84"/>
      <c r="CG154" s="84"/>
      <c r="CH154" s="84"/>
      <c r="CI154" s="84"/>
      <c r="CJ154" s="84"/>
      <c r="CK154" s="84"/>
      <c r="CL154" s="84"/>
      <c r="CM154" s="84"/>
    </row>
    <row r="155" spans="1:91" s="354" customFormat="1" x14ac:dyDescent="0.2">
      <c r="A155" s="965" t="s">
        <v>3866</v>
      </c>
      <c r="B155" s="1105"/>
      <c r="C155" s="1105"/>
      <c r="D155" s="1105"/>
      <c r="E155" s="977">
        <v>0</v>
      </c>
      <c r="F155" s="862"/>
      <c r="G155" s="862"/>
      <c r="H155" s="862"/>
      <c r="I155" s="960"/>
      <c r="J155" s="862"/>
      <c r="K155" s="862"/>
      <c r="L155" s="862"/>
      <c r="M155" s="862"/>
      <c r="N155" s="863"/>
      <c r="O155" s="863"/>
      <c r="P155" s="863"/>
      <c r="Q155" s="863"/>
      <c r="R155" s="2291"/>
      <c r="S155" s="2291"/>
      <c r="T155" s="2291"/>
      <c r="U155" s="2291"/>
      <c r="V155" s="315"/>
      <c r="W155" s="315"/>
      <c r="X155" s="315"/>
      <c r="Z155" s="315"/>
      <c r="AA155" s="315"/>
      <c r="AB155" s="315"/>
      <c r="AD155" s="315"/>
      <c r="AE155" s="315"/>
      <c r="AF155" s="315"/>
      <c r="AH155" s="315"/>
      <c r="AI155" s="315"/>
      <c r="AJ155" s="315"/>
      <c r="AL155" s="315"/>
      <c r="AM155" s="315"/>
      <c r="AN155" s="315"/>
      <c r="AP155" s="315"/>
      <c r="AQ155" s="315"/>
      <c r="AR155" s="315"/>
      <c r="AT155" s="315"/>
      <c r="AU155" s="315"/>
      <c r="AV155" s="315"/>
      <c r="AX155" s="315"/>
      <c r="AY155" s="315"/>
      <c r="AZ155" s="315"/>
      <c r="BB155" s="315"/>
      <c r="BC155" s="315"/>
      <c r="BD155" s="315"/>
      <c r="BF155" s="315"/>
      <c r="BG155" s="315"/>
      <c r="BH155" s="315"/>
      <c r="BJ155" s="315"/>
      <c r="BK155" s="315"/>
      <c r="BL155" s="315"/>
      <c r="BO155" s="546"/>
      <c r="BP155" s="546"/>
      <c r="BQ155" s="546"/>
      <c r="BR155" s="546"/>
      <c r="BS155" s="546"/>
      <c r="BT155" s="546"/>
      <c r="BU155" s="546"/>
      <c r="BV155" s="546"/>
      <c r="BW155" s="546"/>
      <c r="BX155" s="546"/>
      <c r="BY155" s="546"/>
      <c r="BZ155" s="546"/>
      <c r="CA155" s="546"/>
      <c r="CB155" s="84"/>
      <c r="CC155" s="84"/>
      <c r="CD155" s="84"/>
      <c r="CE155" s="84"/>
      <c r="CF155" s="84"/>
      <c r="CG155" s="84"/>
      <c r="CH155" s="84"/>
      <c r="CI155" s="84"/>
      <c r="CJ155" s="84"/>
      <c r="CK155" s="84"/>
      <c r="CL155" s="84"/>
      <c r="CM155" s="84"/>
    </row>
    <row r="156" spans="1:91" s="354" customFormat="1" x14ac:dyDescent="0.2">
      <c r="A156" s="966" t="s">
        <v>3761</v>
      </c>
      <c r="B156" s="860"/>
      <c r="C156" s="860"/>
      <c r="D156" s="860"/>
      <c r="E156" s="977">
        <v>0.32</v>
      </c>
      <c r="F156" s="862"/>
      <c r="G156" s="960"/>
      <c r="H156" s="862"/>
      <c r="I156" s="960"/>
      <c r="J156" s="862"/>
      <c r="K156" s="862"/>
      <c r="L156" s="960"/>
      <c r="M156" s="961"/>
      <c r="N156" s="962"/>
      <c r="O156" s="962"/>
      <c r="P156" s="962"/>
      <c r="Q156" s="962"/>
      <c r="R156" s="2291"/>
      <c r="S156" s="2291"/>
      <c r="T156" s="2291"/>
      <c r="U156" s="2291"/>
      <c r="V156" s="315"/>
      <c r="W156" s="315"/>
      <c r="X156" s="315"/>
      <c r="Z156" s="315"/>
      <c r="AA156" s="315"/>
      <c r="AB156" s="315"/>
      <c r="AD156" s="315"/>
      <c r="AE156" s="315"/>
      <c r="AF156" s="315"/>
      <c r="AH156" s="315"/>
      <c r="AI156" s="315"/>
      <c r="AJ156" s="315"/>
      <c r="AL156" s="315"/>
      <c r="AM156" s="315"/>
      <c r="AN156" s="315"/>
      <c r="AP156" s="315"/>
      <c r="AQ156" s="315"/>
      <c r="AR156" s="315"/>
      <c r="AT156" s="315"/>
      <c r="AU156" s="315"/>
      <c r="AV156" s="315"/>
      <c r="AX156" s="315"/>
      <c r="AY156" s="315"/>
      <c r="AZ156" s="315"/>
      <c r="BB156" s="315"/>
      <c r="BC156" s="315"/>
      <c r="BD156" s="315"/>
      <c r="BF156" s="315"/>
      <c r="BG156" s="315"/>
      <c r="BH156" s="315"/>
      <c r="BJ156" s="315"/>
      <c r="BK156" s="315"/>
      <c r="BL156" s="315"/>
      <c r="BO156" s="546"/>
      <c r="BP156" s="546"/>
      <c r="BQ156" s="546"/>
      <c r="BR156" s="546"/>
      <c r="BS156" s="546"/>
      <c r="BT156" s="546"/>
      <c r="BU156" s="546"/>
      <c r="BV156" s="546"/>
      <c r="BW156" s="546"/>
      <c r="BX156" s="546"/>
      <c r="BY156" s="546"/>
      <c r="BZ156" s="546"/>
      <c r="CA156" s="546"/>
      <c r="CB156" s="84"/>
      <c r="CC156" s="84"/>
      <c r="CD156" s="84"/>
      <c r="CE156" s="84"/>
      <c r="CF156" s="84"/>
      <c r="CG156" s="84"/>
      <c r="CH156" s="84"/>
      <c r="CI156" s="84"/>
      <c r="CJ156" s="84"/>
      <c r="CK156" s="84"/>
      <c r="CL156" s="84"/>
      <c r="CM156" s="84"/>
    </row>
    <row r="157" spans="1:91" s="354" customFormat="1" x14ac:dyDescent="0.2">
      <c r="A157" s="965" t="s">
        <v>3760</v>
      </c>
      <c r="B157" s="1105"/>
      <c r="C157" s="1105"/>
      <c r="D157" s="1105"/>
      <c r="E157" s="977">
        <v>0.31</v>
      </c>
      <c r="F157" s="862"/>
      <c r="G157" s="960"/>
      <c r="H157" s="862"/>
      <c r="I157" s="960"/>
      <c r="J157" s="960"/>
      <c r="K157" s="960"/>
      <c r="L157" s="960"/>
      <c r="M157" s="961"/>
      <c r="N157" s="962"/>
      <c r="O157" s="962"/>
      <c r="P157" s="962"/>
      <c r="Q157" s="962"/>
      <c r="R157" s="2291"/>
      <c r="S157" s="2291"/>
      <c r="T157" s="2291"/>
      <c r="U157" s="2291"/>
      <c r="V157" s="315"/>
      <c r="W157" s="315"/>
      <c r="X157" s="315"/>
      <c r="Z157" s="315"/>
      <c r="AA157" s="315"/>
      <c r="AB157" s="315"/>
      <c r="AD157" s="315"/>
      <c r="AE157" s="315"/>
      <c r="AF157" s="315"/>
      <c r="AH157" s="315"/>
      <c r="AI157" s="315"/>
      <c r="AJ157" s="315"/>
      <c r="AL157" s="315"/>
      <c r="AM157" s="315"/>
      <c r="AN157" s="315"/>
      <c r="AP157" s="315"/>
      <c r="AQ157" s="315"/>
      <c r="AR157" s="315"/>
      <c r="AT157" s="315"/>
      <c r="AU157" s="315"/>
      <c r="AV157" s="315"/>
      <c r="AX157" s="315"/>
      <c r="AY157" s="315"/>
      <c r="AZ157" s="315"/>
      <c r="BB157" s="315"/>
      <c r="BC157" s="315"/>
      <c r="BD157" s="315"/>
      <c r="BF157" s="315"/>
      <c r="BG157" s="315"/>
      <c r="BH157" s="315"/>
      <c r="BJ157" s="315"/>
      <c r="BK157" s="315"/>
      <c r="BL157" s="315"/>
      <c r="BO157" s="546"/>
      <c r="BP157" s="546"/>
      <c r="BQ157" s="546"/>
      <c r="BR157" s="546"/>
      <c r="BS157" s="546"/>
      <c r="BT157" s="546"/>
      <c r="BU157" s="546"/>
      <c r="BV157" s="546"/>
      <c r="BW157" s="546"/>
      <c r="BX157" s="546"/>
      <c r="BY157" s="546"/>
      <c r="BZ157" s="546"/>
      <c r="CA157" s="546"/>
      <c r="CB157" s="84"/>
      <c r="CC157" s="84"/>
      <c r="CD157" s="84"/>
      <c r="CE157" s="84"/>
      <c r="CF157" s="84"/>
      <c r="CG157" s="84"/>
      <c r="CH157" s="84"/>
      <c r="CI157" s="84"/>
      <c r="CJ157" s="84"/>
      <c r="CK157" s="84"/>
      <c r="CL157" s="84"/>
      <c r="CM157" s="84"/>
    </row>
    <row r="158" spans="1:91" s="354" customFormat="1" x14ac:dyDescent="0.2">
      <c r="A158" s="965" t="s">
        <v>3864</v>
      </c>
      <c r="B158" s="1105"/>
      <c r="C158" s="1105"/>
      <c r="D158" s="1105"/>
      <c r="E158" s="977">
        <v>0.5</v>
      </c>
      <c r="F158" s="862"/>
      <c r="G158" s="862"/>
      <c r="H158" s="862"/>
      <c r="I158" s="960"/>
      <c r="J158" s="862"/>
      <c r="K158" s="862"/>
      <c r="L158" s="862"/>
      <c r="M158" s="862"/>
      <c r="N158" s="863"/>
      <c r="O158" s="863"/>
      <c r="P158" s="863"/>
      <c r="Q158" s="863"/>
      <c r="R158" s="2291"/>
      <c r="S158" s="2291"/>
      <c r="T158" s="2291"/>
      <c r="U158" s="2291"/>
      <c r="V158" s="315"/>
      <c r="W158" s="315"/>
      <c r="X158" s="315"/>
      <c r="Z158" s="315"/>
      <c r="AA158" s="315"/>
      <c r="AB158" s="315"/>
      <c r="AD158" s="315"/>
      <c r="AE158" s="315"/>
      <c r="AF158" s="315"/>
      <c r="AH158" s="315"/>
      <c r="AI158" s="315"/>
      <c r="AJ158" s="315"/>
      <c r="AL158" s="315"/>
      <c r="AM158" s="315"/>
      <c r="AN158" s="315"/>
      <c r="AP158" s="315"/>
      <c r="AQ158" s="315"/>
      <c r="AR158" s="315"/>
      <c r="AT158" s="315"/>
      <c r="AU158" s="315"/>
      <c r="AV158" s="315"/>
      <c r="AX158" s="315"/>
      <c r="AY158" s="315"/>
      <c r="AZ158" s="315"/>
      <c r="BB158" s="315"/>
      <c r="BC158" s="315"/>
      <c r="BD158" s="315"/>
      <c r="BF158" s="315"/>
      <c r="BG158" s="315"/>
      <c r="BH158" s="315"/>
      <c r="BJ158" s="315"/>
      <c r="BK158" s="315"/>
      <c r="BL158" s="315"/>
      <c r="BO158" s="546"/>
      <c r="BP158" s="546"/>
      <c r="BQ158" s="546"/>
      <c r="BR158" s="546"/>
      <c r="BS158" s="546"/>
      <c r="BT158" s="546"/>
      <c r="BU158" s="546"/>
      <c r="BV158" s="546"/>
      <c r="BW158" s="546"/>
      <c r="BX158" s="546"/>
      <c r="BY158" s="546"/>
      <c r="BZ158" s="546"/>
      <c r="CA158" s="546"/>
      <c r="CB158" s="84"/>
      <c r="CC158" s="84"/>
      <c r="CD158" s="84"/>
      <c r="CE158" s="84"/>
      <c r="CF158" s="84"/>
      <c r="CG158" s="84"/>
      <c r="CH158" s="84"/>
      <c r="CI158" s="84"/>
      <c r="CJ158" s="84"/>
      <c r="CK158" s="84"/>
      <c r="CL158" s="84"/>
      <c r="CM158" s="84"/>
    </row>
    <row r="159" spans="1:91" s="354" customFormat="1" x14ac:dyDescent="0.2">
      <c r="A159" s="965" t="s">
        <v>1881</v>
      </c>
      <c r="B159" s="1105"/>
      <c r="C159" s="1105"/>
      <c r="D159" s="1105"/>
      <c r="E159" s="977">
        <v>0</v>
      </c>
      <c r="F159" s="862"/>
      <c r="G159" s="862"/>
      <c r="H159" s="862"/>
      <c r="I159" s="960"/>
      <c r="J159" s="862"/>
      <c r="K159" s="862"/>
      <c r="L159" s="862"/>
      <c r="M159" s="862"/>
      <c r="N159" s="863"/>
      <c r="O159" s="863"/>
      <c r="P159" s="863"/>
      <c r="Q159" s="863"/>
      <c r="R159" s="2291"/>
      <c r="S159" s="2291"/>
      <c r="T159" s="2291"/>
      <c r="U159" s="2291"/>
      <c r="V159" s="315"/>
      <c r="W159" s="315"/>
      <c r="X159" s="315"/>
      <c r="Z159" s="315"/>
      <c r="AA159" s="315"/>
      <c r="AB159" s="315"/>
      <c r="AD159" s="315"/>
      <c r="AE159" s="315"/>
      <c r="AF159" s="315"/>
      <c r="AH159" s="315"/>
      <c r="AI159" s="315"/>
      <c r="AJ159" s="315"/>
      <c r="AL159" s="315"/>
      <c r="AM159" s="315"/>
      <c r="AN159" s="315"/>
      <c r="AP159" s="315"/>
      <c r="AQ159" s="315"/>
      <c r="AR159" s="315"/>
      <c r="AT159" s="315"/>
      <c r="AU159" s="315"/>
      <c r="AV159" s="315"/>
      <c r="AX159" s="315"/>
      <c r="AY159" s="315"/>
      <c r="AZ159" s="315"/>
      <c r="BB159" s="315"/>
      <c r="BC159" s="315"/>
      <c r="BD159" s="315"/>
      <c r="BF159" s="315"/>
      <c r="BG159" s="315"/>
      <c r="BH159" s="315"/>
      <c r="BJ159" s="315"/>
      <c r="BK159" s="315"/>
      <c r="BL159" s="315"/>
      <c r="BO159" s="546"/>
      <c r="BP159" s="546"/>
      <c r="BQ159" s="546"/>
      <c r="BR159" s="546"/>
      <c r="BS159" s="546"/>
      <c r="BT159" s="546"/>
      <c r="BU159" s="546"/>
      <c r="BV159" s="546"/>
      <c r="BW159" s="546"/>
      <c r="BX159" s="546"/>
      <c r="BY159" s="546"/>
      <c r="BZ159" s="546"/>
      <c r="CA159" s="546"/>
      <c r="CB159" s="84"/>
      <c r="CC159" s="84"/>
      <c r="CD159" s="84"/>
      <c r="CE159" s="84"/>
      <c r="CF159" s="84"/>
      <c r="CG159" s="84"/>
      <c r="CH159" s="84"/>
      <c r="CI159" s="84"/>
      <c r="CJ159" s="84"/>
      <c r="CK159" s="84"/>
      <c r="CL159" s="84"/>
      <c r="CM159" s="84"/>
    </row>
    <row r="160" spans="1:91" s="354" customFormat="1" x14ac:dyDescent="0.2">
      <c r="A160" s="965" t="s">
        <v>3862</v>
      </c>
      <c r="B160" s="1105"/>
      <c r="C160" s="1105"/>
      <c r="D160" s="1105"/>
      <c r="E160" s="977">
        <v>0</v>
      </c>
      <c r="F160" s="862"/>
      <c r="G160" s="960"/>
      <c r="H160" s="862"/>
      <c r="I160" s="960"/>
      <c r="J160" s="960"/>
      <c r="K160" s="953"/>
      <c r="L160" s="960"/>
      <c r="M160" s="961"/>
      <c r="N160" s="962"/>
      <c r="O160" s="962"/>
      <c r="P160" s="962"/>
      <c r="Q160" s="962"/>
      <c r="R160" s="2291"/>
      <c r="S160" s="2291"/>
      <c r="T160" s="2291"/>
      <c r="U160" s="2291"/>
      <c r="V160" s="315"/>
      <c r="W160" s="315"/>
      <c r="X160" s="315"/>
      <c r="Z160" s="315"/>
      <c r="AA160" s="315"/>
      <c r="AB160" s="315"/>
      <c r="AD160" s="315"/>
      <c r="AE160" s="315"/>
      <c r="AF160" s="315"/>
      <c r="AH160" s="315"/>
      <c r="AI160" s="315"/>
      <c r="AJ160" s="315"/>
      <c r="AL160" s="315"/>
      <c r="AM160" s="315"/>
      <c r="AN160" s="315"/>
      <c r="AP160" s="315"/>
      <c r="AQ160" s="315"/>
      <c r="AR160" s="315"/>
      <c r="AT160" s="315"/>
      <c r="AU160" s="315"/>
      <c r="AV160" s="315"/>
      <c r="AX160" s="315"/>
      <c r="AY160" s="315"/>
      <c r="AZ160" s="315"/>
      <c r="BB160" s="315"/>
      <c r="BC160" s="315"/>
      <c r="BD160" s="315"/>
      <c r="BF160" s="315"/>
      <c r="BG160" s="315"/>
      <c r="BH160" s="315"/>
      <c r="BJ160" s="315"/>
      <c r="BK160" s="315"/>
      <c r="BL160" s="315"/>
      <c r="BO160" s="546"/>
      <c r="BP160" s="546"/>
      <c r="BQ160" s="546"/>
      <c r="BR160" s="546"/>
      <c r="BS160" s="546"/>
      <c r="BT160" s="546"/>
      <c r="BU160" s="546"/>
      <c r="BV160" s="546"/>
      <c r="BW160" s="546"/>
      <c r="BX160" s="546"/>
      <c r="BY160" s="546"/>
      <c r="BZ160" s="546"/>
      <c r="CA160" s="546"/>
      <c r="CB160" s="84"/>
      <c r="CC160" s="84"/>
      <c r="CD160" s="84"/>
      <c r="CE160" s="84"/>
      <c r="CF160" s="84"/>
      <c r="CG160" s="84"/>
      <c r="CH160" s="84"/>
      <c r="CI160" s="84"/>
      <c r="CJ160" s="84"/>
      <c r="CK160" s="84"/>
      <c r="CL160" s="84"/>
      <c r="CM160" s="84"/>
    </row>
    <row r="161" spans="1:91" s="354" customFormat="1" x14ac:dyDescent="0.2">
      <c r="A161" s="965" t="s">
        <v>1884</v>
      </c>
      <c r="B161" s="1105"/>
      <c r="C161" s="1105"/>
      <c r="D161" s="1105"/>
      <c r="E161" s="977">
        <v>0</v>
      </c>
      <c r="F161" s="862"/>
      <c r="G161" s="862"/>
      <c r="H161" s="862"/>
      <c r="I161" s="960"/>
      <c r="J161" s="862"/>
      <c r="K161" s="862"/>
      <c r="L161" s="862"/>
      <c r="M161" s="862"/>
      <c r="N161" s="863"/>
      <c r="O161" s="863"/>
      <c r="P161" s="863"/>
      <c r="Q161" s="863"/>
      <c r="R161" s="2291"/>
      <c r="S161" s="2291"/>
      <c r="T161" s="2291"/>
      <c r="U161" s="2291"/>
      <c r="V161" s="315"/>
      <c r="W161" s="315"/>
      <c r="X161" s="315"/>
      <c r="Z161" s="315"/>
      <c r="AA161" s="315"/>
      <c r="AB161" s="315"/>
      <c r="AD161" s="315"/>
      <c r="AE161" s="315"/>
      <c r="AF161" s="315"/>
      <c r="AH161" s="315"/>
      <c r="AI161" s="315"/>
      <c r="AJ161" s="315"/>
      <c r="AL161" s="315"/>
      <c r="AM161" s="315"/>
      <c r="AN161" s="315"/>
      <c r="AP161" s="315"/>
      <c r="AQ161" s="315"/>
      <c r="AR161" s="315"/>
      <c r="AT161" s="315"/>
      <c r="AU161" s="315"/>
      <c r="AV161" s="315"/>
      <c r="AX161" s="315"/>
      <c r="AY161" s="315"/>
      <c r="AZ161" s="315"/>
      <c r="BB161" s="315"/>
      <c r="BC161" s="315"/>
      <c r="BD161" s="315"/>
      <c r="BF161" s="315"/>
      <c r="BG161" s="315"/>
      <c r="BH161" s="315"/>
      <c r="BJ161" s="315"/>
      <c r="BK161" s="315"/>
      <c r="BL161" s="315"/>
      <c r="BO161" s="546"/>
      <c r="BP161" s="546"/>
      <c r="BQ161" s="546"/>
      <c r="BR161" s="546"/>
      <c r="BS161" s="546"/>
      <c r="BT161" s="546"/>
      <c r="BU161" s="546"/>
      <c r="BV161" s="546"/>
      <c r="BW161" s="546"/>
      <c r="BX161" s="546"/>
      <c r="BY161" s="546"/>
      <c r="BZ161" s="546"/>
      <c r="CA161" s="546"/>
      <c r="CB161" s="84"/>
      <c r="CC161" s="84"/>
      <c r="CD161" s="84"/>
      <c r="CE161" s="84"/>
      <c r="CF161" s="84"/>
      <c r="CG161" s="84"/>
      <c r="CH161" s="84"/>
      <c r="CI161" s="84"/>
      <c r="CJ161" s="84"/>
      <c r="CK161" s="84"/>
      <c r="CL161" s="84"/>
      <c r="CM161" s="84"/>
    </row>
    <row r="162" spans="1:91" s="354" customFormat="1" x14ac:dyDescent="0.2">
      <c r="A162" s="966" t="s">
        <v>2202</v>
      </c>
      <c r="B162" s="1105"/>
      <c r="C162" s="1105"/>
      <c r="D162" s="1105"/>
      <c r="E162" s="977">
        <v>0</v>
      </c>
      <c r="F162" s="862"/>
      <c r="G162" s="862"/>
      <c r="H162" s="862"/>
      <c r="I162" s="960"/>
      <c r="J162" s="862"/>
      <c r="K162" s="862"/>
      <c r="L162" s="862"/>
      <c r="M162" s="862"/>
      <c r="N162" s="863"/>
      <c r="O162" s="863"/>
      <c r="P162" s="863"/>
      <c r="Q162" s="863"/>
      <c r="R162" s="2291"/>
      <c r="S162" s="2291"/>
      <c r="T162" s="2291"/>
      <c r="U162" s="2291"/>
      <c r="V162" s="315"/>
      <c r="W162" s="315"/>
      <c r="X162" s="315"/>
      <c r="Z162" s="315"/>
      <c r="AA162" s="315"/>
      <c r="AB162" s="315"/>
      <c r="AD162" s="315"/>
      <c r="AE162" s="315"/>
      <c r="AF162" s="315"/>
      <c r="AH162" s="315"/>
      <c r="AI162" s="315"/>
      <c r="AJ162" s="315"/>
      <c r="AL162" s="315"/>
      <c r="AM162" s="315"/>
      <c r="AN162" s="315"/>
      <c r="AP162" s="315"/>
      <c r="AQ162" s="315"/>
      <c r="AR162" s="315"/>
      <c r="AT162" s="315"/>
      <c r="AU162" s="315"/>
      <c r="AV162" s="315"/>
      <c r="AX162" s="315"/>
      <c r="AY162" s="315"/>
      <c r="AZ162" s="315"/>
      <c r="BB162" s="315"/>
      <c r="BC162" s="315"/>
      <c r="BD162" s="315"/>
      <c r="BF162" s="315"/>
      <c r="BG162" s="315"/>
      <c r="BH162" s="315"/>
      <c r="BJ162" s="315"/>
      <c r="BK162" s="315"/>
      <c r="BL162" s="315"/>
      <c r="BO162" s="546"/>
      <c r="BP162" s="546"/>
      <c r="BQ162" s="546"/>
      <c r="BR162" s="546"/>
      <c r="BS162" s="546"/>
      <c r="BT162" s="546"/>
      <c r="BU162" s="546"/>
      <c r="BV162" s="546"/>
      <c r="BW162" s="546"/>
      <c r="BX162" s="546"/>
      <c r="BY162" s="546"/>
      <c r="BZ162" s="546"/>
      <c r="CA162" s="546"/>
      <c r="CB162" s="84"/>
      <c r="CC162" s="84"/>
      <c r="CD162" s="84"/>
      <c r="CE162" s="84"/>
      <c r="CF162" s="84"/>
      <c r="CG162" s="84"/>
      <c r="CH162" s="84"/>
      <c r="CI162" s="84"/>
      <c r="CJ162" s="84"/>
      <c r="CK162" s="84"/>
      <c r="CL162" s="84"/>
      <c r="CM162" s="84"/>
    </row>
    <row r="163" spans="1:91" s="354" customFormat="1" x14ac:dyDescent="0.2">
      <c r="E163" s="546"/>
      <c r="R163" s="2291"/>
      <c r="S163" s="2291"/>
      <c r="T163" s="2291"/>
      <c r="U163" s="2291"/>
      <c r="V163" s="315"/>
      <c r="W163" s="315"/>
      <c r="X163" s="315"/>
      <c r="Z163" s="315"/>
      <c r="AA163" s="315"/>
      <c r="AB163" s="315"/>
      <c r="AD163" s="315"/>
      <c r="AE163" s="315"/>
      <c r="AF163" s="315"/>
      <c r="AH163" s="315"/>
      <c r="AI163" s="315"/>
      <c r="AJ163" s="315"/>
      <c r="AL163" s="315"/>
      <c r="AM163" s="315"/>
      <c r="AN163" s="315"/>
      <c r="AP163" s="315"/>
      <c r="AQ163" s="315"/>
      <c r="AR163" s="315"/>
      <c r="AT163" s="315"/>
      <c r="AU163" s="315"/>
      <c r="AV163" s="315"/>
      <c r="AX163" s="315"/>
      <c r="AY163" s="315"/>
      <c r="AZ163" s="315"/>
      <c r="BB163" s="315"/>
      <c r="BC163" s="315"/>
      <c r="BD163" s="315"/>
      <c r="BF163" s="315"/>
      <c r="BG163" s="315"/>
      <c r="BH163" s="315"/>
      <c r="BJ163" s="315"/>
      <c r="BK163" s="315"/>
      <c r="BL163" s="315"/>
      <c r="BO163" s="546"/>
      <c r="BP163" s="546"/>
      <c r="BQ163" s="546"/>
      <c r="BR163" s="546"/>
      <c r="BS163" s="546"/>
      <c r="BT163" s="546"/>
      <c r="BU163" s="546"/>
      <c r="BV163" s="546"/>
      <c r="BW163" s="546"/>
      <c r="BX163" s="546"/>
      <c r="BY163" s="546"/>
      <c r="BZ163" s="546"/>
      <c r="CA163" s="546"/>
      <c r="CB163" s="84"/>
      <c r="CC163" s="84"/>
      <c r="CD163" s="84"/>
      <c r="CE163" s="84"/>
      <c r="CF163" s="84"/>
      <c r="CG163" s="84"/>
      <c r="CH163" s="84"/>
      <c r="CI163" s="84"/>
      <c r="CJ163" s="84"/>
      <c r="CK163" s="84"/>
      <c r="CL163" s="84"/>
      <c r="CM163" s="84"/>
    </row>
    <row r="164" spans="1:91" s="354" customFormat="1" x14ac:dyDescent="0.2">
      <c r="E164" s="546"/>
      <c r="R164" s="2291"/>
      <c r="S164" s="2291"/>
      <c r="T164" s="2291"/>
      <c r="U164" s="2291"/>
      <c r="V164" s="315"/>
      <c r="W164" s="315"/>
      <c r="X164" s="315"/>
      <c r="Z164" s="315"/>
      <c r="AA164" s="315"/>
      <c r="AB164" s="315"/>
      <c r="AD164" s="315"/>
      <c r="AE164" s="315"/>
      <c r="AF164" s="315"/>
      <c r="AH164" s="315"/>
      <c r="AI164" s="315"/>
      <c r="AJ164" s="315"/>
      <c r="AL164" s="315"/>
      <c r="AM164" s="315"/>
      <c r="AN164" s="315"/>
      <c r="AP164" s="315"/>
      <c r="AQ164" s="315"/>
      <c r="AR164" s="315"/>
      <c r="AT164" s="315"/>
      <c r="AU164" s="315"/>
      <c r="AV164" s="315"/>
      <c r="AX164" s="315"/>
      <c r="AY164" s="315"/>
      <c r="AZ164" s="315"/>
      <c r="BB164" s="315"/>
      <c r="BC164" s="315"/>
      <c r="BD164" s="315"/>
      <c r="BF164" s="315"/>
      <c r="BG164" s="315"/>
      <c r="BH164" s="315"/>
      <c r="BJ164" s="315"/>
      <c r="BK164" s="315"/>
      <c r="BL164" s="315"/>
      <c r="BO164" s="546"/>
      <c r="BP164" s="546"/>
      <c r="BQ164" s="546"/>
      <c r="BR164" s="546"/>
      <c r="BS164" s="546"/>
      <c r="BT164" s="546"/>
      <c r="BU164" s="546"/>
      <c r="BV164" s="546"/>
      <c r="BW164" s="546"/>
      <c r="BX164" s="546"/>
      <c r="BY164" s="546"/>
      <c r="BZ164" s="546"/>
      <c r="CA164" s="546"/>
      <c r="CB164" s="84"/>
      <c r="CC164" s="84"/>
      <c r="CD164" s="84"/>
      <c r="CE164" s="84"/>
      <c r="CF164" s="84"/>
      <c r="CG164" s="84"/>
      <c r="CH164" s="84"/>
      <c r="CI164" s="84"/>
      <c r="CJ164" s="84"/>
      <c r="CK164" s="84"/>
      <c r="CL164" s="84"/>
      <c r="CM164" s="84"/>
    </row>
    <row r="165" spans="1:91" s="354" customFormat="1" x14ac:dyDescent="0.2">
      <c r="A165" s="805" t="s">
        <v>4191</v>
      </c>
      <c r="B165" s="805"/>
      <c r="C165" s="805"/>
      <c r="D165" s="805"/>
      <c r="E165" s="1390"/>
      <c r="F165" s="805">
        <f t="shared" ref="F165:U165" si="537">SUM(F166:F167)</f>
        <v>250000</v>
      </c>
      <c r="G165" s="805">
        <f t="shared" si="537"/>
        <v>0</v>
      </c>
      <c r="H165" s="805">
        <f t="shared" si="537"/>
        <v>0</v>
      </c>
      <c r="I165" s="805">
        <f t="shared" si="537"/>
        <v>0</v>
      </c>
      <c r="J165" s="805">
        <f t="shared" si="537"/>
        <v>0</v>
      </c>
      <c r="K165" s="805">
        <f t="shared" si="537"/>
        <v>0</v>
      </c>
      <c r="L165" s="805">
        <f t="shared" si="537"/>
        <v>0</v>
      </c>
      <c r="M165" s="805">
        <f t="shared" si="537"/>
        <v>0</v>
      </c>
      <c r="N165" s="805">
        <f t="shared" si="537"/>
        <v>0</v>
      </c>
      <c r="O165" s="805">
        <f t="shared" ref="O165:P165" si="538">SUM(O166:O167)</f>
        <v>0</v>
      </c>
      <c r="P165" s="805">
        <f t="shared" si="538"/>
        <v>0</v>
      </c>
      <c r="Q165" s="805">
        <f t="shared" ref="Q165" si="539">SUM(Q166:Q167)</f>
        <v>0</v>
      </c>
      <c r="R165" s="2292">
        <f t="shared" si="537"/>
        <v>0</v>
      </c>
      <c r="S165" s="2292">
        <f t="shared" si="537"/>
        <v>158750</v>
      </c>
      <c r="T165" s="2292">
        <f t="shared" si="537"/>
        <v>0</v>
      </c>
      <c r="U165" s="2292">
        <f t="shared" si="537"/>
        <v>91250</v>
      </c>
      <c r="V165" s="315"/>
      <c r="W165" s="315"/>
      <c r="X165" s="315"/>
      <c r="Z165" s="315"/>
      <c r="AA165" s="315"/>
      <c r="AB165" s="315"/>
      <c r="AD165" s="315"/>
      <c r="AE165" s="315"/>
      <c r="AF165" s="315"/>
      <c r="AH165" s="315"/>
      <c r="AI165" s="315"/>
      <c r="AJ165" s="315"/>
      <c r="AL165" s="315"/>
      <c r="AM165" s="315"/>
      <c r="AN165" s="315"/>
      <c r="AP165" s="315"/>
      <c r="AQ165" s="315"/>
      <c r="AR165" s="315"/>
      <c r="AT165" s="315"/>
      <c r="AU165" s="315"/>
      <c r="AV165" s="315"/>
      <c r="AX165" s="315"/>
      <c r="AY165" s="315"/>
      <c r="AZ165" s="315"/>
      <c r="BB165" s="315"/>
      <c r="BC165" s="315"/>
      <c r="BD165" s="315"/>
      <c r="BF165" s="315"/>
      <c r="BG165" s="315"/>
      <c r="BH165" s="315"/>
      <c r="BJ165" s="315"/>
      <c r="BK165" s="315"/>
      <c r="BL165" s="315"/>
      <c r="BO165" s="546"/>
      <c r="BP165" s="546"/>
      <c r="BQ165" s="546"/>
      <c r="BR165" s="546"/>
      <c r="BS165" s="546"/>
      <c r="BT165" s="546"/>
      <c r="BU165" s="546"/>
      <c r="BV165" s="546"/>
      <c r="BW165" s="546"/>
      <c r="BX165" s="546"/>
      <c r="BY165" s="546"/>
      <c r="BZ165" s="546"/>
      <c r="CA165" s="546"/>
      <c r="CB165" s="84"/>
      <c r="CC165" s="84"/>
      <c r="CD165" s="84"/>
      <c r="CE165" s="84"/>
      <c r="CF165" s="84"/>
      <c r="CG165" s="84"/>
      <c r="CH165" s="84"/>
      <c r="CI165" s="84"/>
      <c r="CJ165" s="84"/>
      <c r="CK165" s="84"/>
      <c r="CL165" s="84"/>
      <c r="CM165" s="84"/>
    </row>
    <row r="166" spans="1:91" s="354" customFormat="1" x14ac:dyDescent="0.2">
      <c r="A166" s="354" t="s">
        <v>3759</v>
      </c>
      <c r="E166" s="546">
        <v>0.77</v>
      </c>
      <c r="F166" s="354">
        <v>125000</v>
      </c>
      <c r="R166" s="2291"/>
      <c r="S166" s="2291">
        <v>96250</v>
      </c>
      <c r="T166" s="2291"/>
      <c r="U166" s="2291">
        <v>28750</v>
      </c>
      <c r="V166" s="315"/>
      <c r="W166" s="315"/>
      <c r="X166" s="315"/>
      <c r="Z166" s="315"/>
      <c r="AA166" s="315"/>
      <c r="AB166" s="315"/>
      <c r="AD166" s="315"/>
      <c r="AE166" s="315"/>
      <c r="AF166" s="315"/>
      <c r="AH166" s="315"/>
      <c r="AI166" s="315"/>
      <c r="AJ166" s="315"/>
      <c r="AL166" s="315"/>
      <c r="AM166" s="315"/>
      <c r="AN166" s="315"/>
      <c r="AP166" s="315"/>
      <c r="AQ166" s="315"/>
      <c r="AR166" s="315"/>
      <c r="AT166" s="315"/>
      <c r="AU166" s="315"/>
      <c r="AV166" s="315"/>
      <c r="AX166" s="315"/>
      <c r="AY166" s="315"/>
      <c r="AZ166" s="315"/>
      <c r="BB166" s="315"/>
      <c r="BC166" s="315"/>
      <c r="BD166" s="315"/>
      <c r="BF166" s="315"/>
      <c r="BG166" s="315"/>
      <c r="BH166" s="315"/>
      <c r="BJ166" s="315"/>
      <c r="BK166" s="315"/>
      <c r="BL166" s="315"/>
      <c r="BO166" s="546"/>
      <c r="BP166" s="546"/>
      <c r="BQ166" s="546"/>
      <c r="BR166" s="546"/>
      <c r="BS166" s="546"/>
      <c r="BT166" s="546"/>
      <c r="BU166" s="546"/>
      <c r="BV166" s="546"/>
      <c r="BW166" s="546"/>
      <c r="BX166" s="546"/>
      <c r="BY166" s="546"/>
      <c r="BZ166" s="546"/>
      <c r="CA166" s="546"/>
      <c r="CB166" s="84"/>
      <c r="CC166" s="84"/>
      <c r="CD166" s="84"/>
      <c r="CE166" s="84"/>
      <c r="CF166" s="84"/>
      <c r="CG166" s="84"/>
      <c r="CH166" s="84"/>
      <c r="CI166" s="84"/>
      <c r="CJ166" s="84"/>
      <c r="CK166" s="84"/>
      <c r="CL166" s="84"/>
      <c r="CM166" s="84"/>
    </row>
    <row r="167" spans="1:91" s="354" customFormat="1" x14ac:dyDescent="0.2">
      <c r="A167" s="354" t="s">
        <v>3861</v>
      </c>
      <c r="E167" s="546">
        <v>0.52</v>
      </c>
      <c r="F167" s="354">
        <v>125000</v>
      </c>
      <c r="R167" s="2291"/>
      <c r="S167" s="2291">
        <v>62500</v>
      </c>
      <c r="T167" s="2291"/>
      <c r="U167" s="2291">
        <v>62500</v>
      </c>
      <c r="V167" s="315"/>
      <c r="W167" s="315"/>
      <c r="X167" s="315"/>
      <c r="Z167" s="315"/>
      <c r="AA167" s="315"/>
      <c r="AB167" s="315"/>
      <c r="AD167" s="315"/>
      <c r="AE167" s="315"/>
      <c r="AF167" s="315"/>
      <c r="AH167" s="315"/>
      <c r="AI167" s="315"/>
      <c r="AJ167" s="315"/>
      <c r="AL167" s="315"/>
      <c r="AM167" s="315"/>
      <c r="AN167" s="315"/>
      <c r="AP167" s="315"/>
      <c r="AQ167" s="315"/>
      <c r="AR167" s="315"/>
      <c r="AT167" s="315"/>
      <c r="AU167" s="315"/>
      <c r="AV167" s="315"/>
      <c r="AX167" s="315"/>
      <c r="AY167" s="315"/>
      <c r="AZ167" s="315"/>
      <c r="BB167" s="315"/>
      <c r="BC167" s="315"/>
      <c r="BD167" s="315"/>
      <c r="BF167" s="315"/>
      <c r="BG167" s="315"/>
      <c r="BH167" s="315"/>
      <c r="BJ167" s="315"/>
      <c r="BK167" s="315"/>
      <c r="BL167" s="315"/>
      <c r="BO167" s="546"/>
      <c r="BP167" s="546"/>
      <c r="BQ167" s="546"/>
      <c r="BR167" s="546"/>
      <c r="BS167" s="546"/>
      <c r="BT167" s="546"/>
      <c r="BU167" s="546"/>
      <c r="BV167" s="546"/>
      <c r="BW167" s="546"/>
      <c r="BX167" s="546"/>
      <c r="BY167" s="546"/>
      <c r="BZ167" s="546"/>
      <c r="CA167" s="546"/>
      <c r="CB167" s="84"/>
      <c r="CC167" s="84"/>
      <c r="CD167" s="84"/>
      <c r="CE167" s="84"/>
      <c r="CF167" s="84"/>
      <c r="CG167" s="84"/>
      <c r="CH167" s="84"/>
      <c r="CI167" s="84"/>
      <c r="CJ167" s="84"/>
      <c r="CK167" s="84"/>
      <c r="CL167" s="84"/>
      <c r="CM167" s="84"/>
    </row>
    <row r="168" spans="1:91" s="354" customFormat="1" x14ac:dyDescent="0.2">
      <c r="E168" s="546"/>
      <c r="R168" s="2291"/>
      <c r="S168" s="2291"/>
      <c r="T168" s="2291"/>
      <c r="U168" s="2291"/>
      <c r="V168" s="315"/>
      <c r="W168" s="315"/>
      <c r="X168" s="315"/>
      <c r="Z168" s="315"/>
      <c r="AA168" s="315"/>
      <c r="AB168" s="315"/>
      <c r="AD168" s="315"/>
      <c r="AE168" s="315"/>
      <c r="AF168" s="315"/>
      <c r="AH168" s="315"/>
      <c r="AI168" s="315"/>
      <c r="AJ168" s="315"/>
      <c r="AL168" s="315"/>
      <c r="AM168" s="315"/>
      <c r="AN168" s="315"/>
      <c r="AP168" s="315"/>
      <c r="AQ168" s="315"/>
      <c r="AR168" s="315"/>
      <c r="AT168" s="315"/>
      <c r="AU168" s="315"/>
      <c r="AV168" s="315"/>
      <c r="AX168" s="315"/>
      <c r="AY168" s="315"/>
      <c r="AZ168" s="315"/>
      <c r="BB168" s="315"/>
      <c r="BC168" s="315"/>
      <c r="BD168" s="315"/>
      <c r="BF168" s="315"/>
      <c r="BG168" s="315"/>
      <c r="BH168" s="315"/>
      <c r="BJ168" s="315"/>
      <c r="BK168" s="315"/>
      <c r="BL168" s="315"/>
      <c r="BO168" s="546"/>
      <c r="BP168" s="546"/>
      <c r="BQ168" s="546"/>
      <c r="BR168" s="546"/>
      <c r="BS168" s="546"/>
      <c r="BT168" s="546"/>
      <c r="BU168" s="546"/>
      <c r="BV168" s="546"/>
      <c r="BW168" s="546"/>
      <c r="BX168" s="546"/>
      <c r="BY168" s="546"/>
      <c r="BZ168" s="546"/>
      <c r="CA168" s="546"/>
      <c r="CB168" s="84"/>
      <c r="CC168" s="84"/>
      <c r="CD168" s="84"/>
      <c r="CE168" s="84"/>
      <c r="CF168" s="84"/>
      <c r="CG168" s="84"/>
      <c r="CH168" s="84"/>
      <c r="CI168" s="84"/>
      <c r="CJ168" s="84"/>
      <c r="CK168" s="84"/>
      <c r="CL168" s="84"/>
      <c r="CM168" s="84"/>
    </row>
    <row r="169" spans="1:91" s="354" customFormat="1" x14ac:dyDescent="0.2">
      <c r="E169" s="546"/>
      <c r="R169" s="2291"/>
      <c r="S169" s="2291"/>
      <c r="T169" s="2291"/>
      <c r="U169" s="2291"/>
      <c r="V169" s="315"/>
      <c r="W169" s="315"/>
      <c r="X169" s="315"/>
      <c r="Z169" s="315"/>
      <c r="AA169" s="315"/>
      <c r="AB169" s="315"/>
      <c r="AD169" s="315"/>
      <c r="AE169" s="315"/>
      <c r="AF169" s="315"/>
      <c r="AH169" s="315"/>
      <c r="AI169" s="315"/>
      <c r="AJ169" s="315"/>
      <c r="AL169" s="315"/>
      <c r="AM169" s="315"/>
      <c r="AN169" s="315"/>
      <c r="AP169" s="315"/>
      <c r="AQ169" s="315"/>
      <c r="AR169" s="315"/>
      <c r="AT169" s="315"/>
      <c r="AU169" s="315"/>
      <c r="AV169" s="315"/>
      <c r="AX169" s="315"/>
      <c r="AY169" s="315"/>
      <c r="AZ169" s="315"/>
      <c r="BB169" s="315"/>
      <c r="BC169" s="315"/>
      <c r="BD169" s="315"/>
      <c r="BF169" s="315"/>
      <c r="BG169" s="315"/>
      <c r="BH169" s="315"/>
      <c r="BJ169" s="315"/>
      <c r="BK169" s="315"/>
      <c r="BL169" s="315"/>
      <c r="BO169" s="546"/>
      <c r="BP169" s="546"/>
      <c r="BQ169" s="546"/>
      <c r="BR169" s="546"/>
      <c r="BS169" s="546"/>
      <c r="BT169" s="546"/>
      <c r="BU169" s="546"/>
      <c r="BV169" s="546"/>
      <c r="BW169" s="546"/>
      <c r="BX169" s="546"/>
      <c r="BY169" s="546"/>
      <c r="BZ169" s="546"/>
      <c r="CA169" s="546"/>
      <c r="CB169" s="84"/>
      <c r="CC169" s="84"/>
      <c r="CD169" s="84"/>
      <c r="CE169" s="84"/>
      <c r="CF169" s="84"/>
      <c r="CG169" s="84"/>
      <c r="CH169" s="84"/>
      <c r="CI169" s="84"/>
      <c r="CJ169" s="84"/>
      <c r="CK169" s="84"/>
      <c r="CL169" s="84"/>
      <c r="CM169" s="84"/>
    </row>
    <row r="170" spans="1:91" s="354" customFormat="1" x14ac:dyDescent="0.2">
      <c r="E170" s="546"/>
      <c r="R170" s="2292"/>
      <c r="S170" s="2292"/>
      <c r="T170" s="2292"/>
      <c r="U170" s="2292"/>
      <c r="BO170" s="546"/>
      <c r="BP170" s="546"/>
      <c r="BQ170" s="546"/>
      <c r="BR170" s="546"/>
      <c r="BS170" s="546"/>
      <c r="BT170" s="546"/>
      <c r="BU170" s="546"/>
      <c r="BV170" s="546"/>
      <c r="BW170" s="546"/>
      <c r="BX170" s="546"/>
      <c r="BY170" s="546"/>
      <c r="BZ170" s="546"/>
      <c r="CA170" s="546"/>
      <c r="CB170" s="84"/>
      <c r="CC170" s="84"/>
      <c r="CD170" s="84"/>
      <c r="CE170" s="84"/>
      <c r="CF170" s="84"/>
      <c r="CG170" s="84"/>
      <c r="CH170" s="84"/>
      <c r="CI170" s="84"/>
      <c r="CJ170" s="84"/>
      <c r="CK170" s="84"/>
      <c r="CL170" s="84"/>
      <c r="CM170" s="84"/>
    </row>
    <row r="171" spans="1:91" s="354" customFormat="1" x14ac:dyDescent="0.2">
      <c r="E171" s="546"/>
      <c r="F171" s="546"/>
      <c r="G171" s="1879"/>
      <c r="H171" s="1879"/>
      <c r="I171" s="1879"/>
      <c r="J171" s="1879"/>
      <c r="K171" s="1879"/>
      <c r="L171" s="1879"/>
      <c r="M171" s="1879"/>
      <c r="N171" s="1879"/>
      <c r="O171" s="1879"/>
      <c r="P171" s="1879"/>
      <c r="Q171" s="1879"/>
      <c r="R171" s="2292"/>
      <c r="S171" s="2292"/>
      <c r="T171" s="2292"/>
      <c r="U171" s="2292"/>
      <c r="BO171" s="546"/>
      <c r="BP171" s="546"/>
      <c r="BQ171" s="546"/>
      <c r="BR171" s="546"/>
      <c r="BS171" s="546"/>
      <c r="BT171" s="546"/>
      <c r="BU171" s="546"/>
      <c r="BV171" s="546"/>
      <c r="BW171" s="546"/>
      <c r="BX171" s="546"/>
      <c r="BY171" s="546"/>
      <c r="BZ171" s="546"/>
      <c r="CA171" s="546"/>
      <c r="CB171" s="84"/>
      <c r="CC171" s="84"/>
      <c r="CD171" s="84"/>
      <c r="CE171" s="84"/>
      <c r="CF171" s="84"/>
      <c r="CG171" s="84"/>
      <c r="CH171" s="84"/>
      <c r="CI171" s="84"/>
      <c r="CJ171" s="84"/>
      <c r="CK171" s="84"/>
      <c r="CL171" s="84"/>
      <c r="CM171" s="84"/>
    </row>
    <row r="172" spans="1:91" s="354" customFormat="1" x14ac:dyDescent="0.2">
      <c r="E172" s="546"/>
      <c r="R172" s="2292"/>
      <c r="S172" s="2292"/>
      <c r="T172" s="2292"/>
      <c r="U172" s="2292"/>
      <c r="BO172" s="546"/>
      <c r="BP172" s="546"/>
      <c r="BQ172" s="546"/>
      <c r="BR172" s="546"/>
      <c r="BS172" s="546"/>
      <c r="BT172" s="546"/>
      <c r="BU172" s="546"/>
      <c r="BV172" s="546"/>
      <c r="BW172" s="546"/>
      <c r="BX172" s="546"/>
      <c r="BY172" s="546"/>
      <c r="BZ172" s="546"/>
      <c r="CA172" s="546"/>
      <c r="CB172" s="84"/>
      <c r="CC172" s="84"/>
      <c r="CD172" s="84"/>
      <c r="CE172" s="84"/>
      <c r="CF172" s="84"/>
      <c r="CG172" s="84"/>
      <c r="CH172" s="84"/>
      <c r="CI172" s="84"/>
      <c r="CJ172" s="84"/>
      <c r="CK172" s="84"/>
      <c r="CL172" s="84"/>
      <c r="CM172" s="84"/>
    </row>
    <row r="173" spans="1:91" s="354" customFormat="1" x14ac:dyDescent="0.2">
      <c r="E173" s="546"/>
      <c r="R173" s="2292"/>
      <c r="S173" s="2292"/>
      <c r="T173" s="2292"/>
      <c r="U173" s="2292"/>
      <c r="BO173" s="546"/>
      <c r="BP173" s="546"/>
      <c r="BQ173" s="546"/>
      <c r="BR173" s="546"/>
      <c r="BS173" s="546"/>
      <c r="BT173" s="546"/>
      <c r="BU173" s="546"/>
      <c r="BV173" s="546"/>
      <c r="BW173" s="546"/>
      <c r="BX173" s="546"/>
      <c r="BY173" s="546"/>
      <c r="BZ173" s="546"/>
      <c r="CA173" s="546"/>
      <c r="CB173" s="84"/>
      <c r="CC173" s="84"/>
      <c r="CD173" s="84"/>
      <c r="CE173" s="84"/>
      <c r="CF173" s="84"/>
      <c r="CG173" s="84"/>
      <c r="CH173" s="84"/>
      <c r="CI173" s="84"/>
      <c r="CJ173" s="84"/>
      <c r="CK173" s="84"/>
      <c r="CL173" s="84"/>
      <c r="CM173" s="84"/>
    </row>
    <row r="174" spans="1:91" s="354" customFormat="1" x14ac:dyDescent="0.2">
      <c r="E174" s="546"/>
      <c r="G174" s="1880"/>
      <c r="H174" s="1880"/>
      <c r="I174" s="1880"/>
      <c r="J174" s="1880"/>
      <c r="K174" s="1880"/>
      <c r="L174" s="1880"/>
      <c r="M174" s="1880"/>
      <c r="N174" s="1880"/>
      <c r="O174" s="1880"/>
      <c r="P174" s="1880"/>
      <c r="Q174" s="1880"/>
      <c r="R174" s="2292"/>
      <c r="S174" s="2292"/>
      <c r="T174" s="2292"/>
      <c r="U174" s="2292"/>
      <c r="BO174" s="546"/>
      <c r="BP174" s="546"/>
      <c r="BQ174" s="546"/>
      <c r="BR174" s="546"/>
      <c r="BS174" s="546"/>
      <c r="BT174" s="546"/>
      <c r="BU174" s="546"/>
      <c r="BV174" s="546"/>
      <c r="BW174" s="546"/>
      <c r="BX174" s="546"/>
      <c r="BY174" s="546"/>
      <c r="BZ174" s="546"/>
      <c r="CA174" s="546"/>
      <c r="CB174" s="84"/>
      <c r="CC174" s="84"/>
      <c r="CD174" s="84"/>
      <c r="CE174" s="84"/>
      <c r="CF174" s="84"/>
      <c r="CG174" s="84"/>
      <c r="CH174" s="84"/>
      <c r="CI174" s="84"/>
      <c r="CJ174" s="84"/>
      <c r="CK174" s="84"/>
      <c r="CL174" s="84"/>
      <c r="CM174" s="84"/>
    </row>
    <row r="175" spans="1:91" s="354" customFormat="1" x14ac:dyDescent="0.2">
      <c r="E175" s="546"/>
      <c r="G175" s="1880"/>
      <c r="H175" s="1880"/>
      <c r="I175" s="1880"/>
      <c r="J175" s="1880"/>
      <c r="K175" s="1880"/>
      <c r="L175" s="1880"/>
      <c r="M175" s="1880"/>
      <c r="N175" s="1880"/>
      <c r="O175" s="1880"/>
      <c r="P175" s="1880"/>
      <c r="Q175" s="1880"/>
      <c r="R175" s="2292"/>
      <c r="S175" s="2292"/>
      <c r="T175" s="2292"/>
      <c r="U175" s="2292"/>
      <c r="BO175" s="546"/>
      <c r="BP175" s="546"/>
      <c r="BQ175" s="546"/>
      <c r="BR175" s="546"/>
      <c r="BS175" s="546"/>
      <c r="BT175" s="546"/>
      <c r="BU175" s="546"/>
      <c r="BV175" s="546"/>
      <c r="BW175" s="546"/>
      <c r="BX175" s="546"/>
      <c r="BY175" s="546"/>
      <c r="BZ175" s="546"/>
      <c r="CA175" s="546"/>
      <c r="CB175" s="84"/>
      <c r="CC175" s="84"/>
      <c r="CD175" s="84"/>
      <c r="CE175" s="84"/>
      <c r="CF175" s="84"/>
      <c r="CG175" s="84"/>
      <c r="CH175" s="84"/>
      <c r="CI175" s="84"/>
      <c r="CJ175" s="84"/>
      <c r="CK175" s="84"/>
      <c r="CL175" s="84"/>
      <c r="CM175" s="84"/>
    </row>
    <row r="176" spans="1:91" s="354" customFormat="1" x14ac:dyDescent="0.2">
      <c r="E176" s="546"/>
      <c r="G176" s="1880"/>
      <c r="H176" s="1880"/>
      <c r="I176" s="1880"/>
      <c r="J176" s="1880"/>
      <c r="K176" s="1880"/>
      <c r="L176" s="1880"/>
      <c r="M176" s="1880"/>
      <c r="N176" s="1880"/>
      <c r="O176" s="1880"/>
      <c r="P176" s="1880"/>
      <c r="Q176" s="1880"/>
      <c r="R176" s="2292"/>
      <c r="S176" s="2292"/>
      <c r="T176" s="2292"/>
      <c r="U176" s="2292"/>
      <c r="BO176" s="546"/>
      <c r="BP176" s="546"/>
      <c r="BQ176" s="546"/>
      <c r="BR176" s="546"/>
      <c r="BS176" s="546"/>
      <c r="BT176" s="546"/>
      <c r="BU176" s="546"/>
      <c r="BV176" s="546"/>
      <c r="BW176" s="546"/>
      <c r="BX176" s="546"/>
      <c r="BY176" s="546"/>
      <c r="BZ176" s="546"/>
      <c r="CA176" s="546"/>
      <c r="CB176" s="84"/>
      <c r="CC176" s="84"/>
      <c r="CD176" s="84"/>
      <c r="CE176" s="84"/>
      <c r="CF176" s="84"/>
      <c r="CG176" s="84"/>
      <c r="CH176" s="84"/>
      <c r="CI176" s="84"/>
      <c r="CJ176" s="84"/>
      <c r="CK176" s="84"/>
      <c r="CL176" s="84"/>
      <c r="CM176" s="84"/>
    </row>
    <row r="177" spans="5:91" s="354" customFormat="1" x14ac:dyDescent="0.2">
      <c r="E177" s="546"/>
      <c r="G177" s="1880"/>
      <c r="H177" s="1880"/>
      <c r="I177" s="1880"/>
      <c r="J177" s="1880"/>
      <c r="K177" s="1880"/>
      <c r="L177" s="1880"/>
      <c r="M177" s="1880"/>
      <c r="N177" s="1880"/>
      <c r="O177" s="1880"/>
      <c r="P177" s="1880"/>
      <c r="Q177" s="1880"/>
      <c r="R177" s="2292"/>
      <c r="S177" s="2292"/>
      <c r="T177" s="2292"/>
      <c r="U177" s="2292"/>
      <c r="BO177" s="546"/>
      <c r="BP177" s="546"/>
      <c r="BQ177" s="546"/>
      <c r="BR177" s="546"/>
      <c r="BS177" s="546"/>
      <c r="BT177" s="546"/>
      <c r="BU177" s="546"/>
      <c r="BV177" s="546"/>
      <c r="BW177" s="546"/>
      <c r="BX177" s="546"/>
      <c r="BY177" s="546"/>
      <c r="BZ177" s="546"/>
      <c r="CA177" s="546"/>
      <c r="CB177" s="84"/>
      <c r="CC177" s="84"/>
      <c r="CD177" s="84"/>
      <c r="CE177" s="84"/>
      <c r="CF177" s="84"/>
      <c r="CG177" s="84"/>
      <c r="CH177" s="84"/>
      <c r="CI177" s="84"/>
      <c r="CJ177" s="84"/>
      <c r="CK177" s="84"/>
      <c r="CL177" s="84"/>
      <c r="CM177" s="84"/>
    </row>
    <row r="178" spans="5:91" s="354" customFormat="1" x14ac:dyDescent="0.2">
      <c r="E178" s="546"/>
      <c r="G178" s="1880"/>
      <c r="H178" s="1880"/>
      <c r="I178" s="1880"/>
      <c r="J178" s="1880"/>
      <c r="K178" s="1880"/>
      <c r="L178" s="1880"/>
      <c r="M178" s="1880"/>
      <c r="N178" s="1880"/>
      <c r="O178" s="1880"/>
      <c r="P178" s="1880"/>
      <c r="Q178" s="1880"/>
      <c r="R178" s="2292"/>
      <c r="S178" s="2292"/>
      <c r="T178" s="2292"/>
      <c r="U178" s="2292"/>
      <c r="BO178" s="546"/>
      <c r="BP178" s="546"/>
      <c r="BQ178" s="546"/>
      <c r="BR178" s="546"/>
      <c r="BS178" s="546"/>
      <c r="BT178" s="546"/>
      <c r="BU178" s="546"/>
      <c r="BV178" s="546"/>
      <c r="BW178" s="546"/>
      <c r="BX178" s="546"/>
      <c r="BY178" s="546"/>
      <c r="BZ178" s="546"/>
      <c r="CA178" s="546"/>
      <c r="CB178" s="84"/>
      <c r="CC178" s="84"/>
      <c r="CD178" s="84"/>
      <c r="CE178" s="84"/>
      <c r="CF178" s="84"/>
      <c r="CG178" s="84"/>
      <c r="CH178" s="84"/>
      <c r="CI178" s="84"/>
      <c r="CJ178" s="84"/>
      <c r="CK178" s="84"/>
      <c r="CL178" s="84"/>
      <c r="CM178" s="84"/>
    </row>
    <row r="179" spans="5:91" s="354" customFormat="1" x14ac:dyDescent="0.2">
      <c r="E179" s="546"/>
      <c r="G179" s="1880"/>
      <c r="H179" s="1880"/>
      <c r="I179" s="1880"/>
      <c r="J179" s="1880"/>
      <c r="K179" s="1880"/>
      <c r="L179" s="1880"/>
      <c r="M179" s="1880"/>
      <c r="N179" s="1880"/>
      <c r="O179" s="1880"/>
      <c r="P179" s="1880"/>
      <c r="Q179" s="1880"/>
      <c r="R179" s="2292"/>
      <c r="S179" s="2292"/>
      <c r="T179" s="2292"/>
      <c r="U179" s="2292"/>
      <c r="BO179" s="546"/>
      <c r="BP179" s="546"/>
      <c r="BQ179" s="546"/>
      <c r="BR179" s="546"/>
      <c r="BS179" s="546"/>
      <c r="BT179" s="546"/>
      <c r="BU179" s="546"/>
      <c r="BV179" s="546"/>
      <c r="BW179" s="546"/>
      <c r="BX179" s="546"/>
      <c r="BY179" s="546"/>
      <c r="BZ179" s="546"/>
      <c r="CA179" s="546"/>
      <c r="CB179" s="84"/>
      <c r="CC179" s="84"/>
      <c r="CD179" s="84"/>
      <c r="CE179" s="84"/>
      <c r="CF179" s="84"/>
      <c r="CG179" s="84"/>
      <c r="CH179" s="84"/>
      <c r="CI179" s="84"/>
      <c r="CJ179" s="84"/>
      <c r="CK179" s="84"/>
      <c r="CL179" s="84"/>
      <c r="CM179" s="84"/>
    </row>
    <row r="180" spans="5:91" s="354" customFormat="1" x14ac:dyDescent="0.2">
      <c r="E180" s="546"/>
      <c r="G180" s="1880"/>
      <c r="H180" s="1880"/>
      <c r="I180" s="1880"/>
      <c r="J180" s="1880"/>
      <c r="K180" s="1880"/>
      <c r="L180" s="1880"/>
      <c r="M180" s="1880"/>
      <c r="N180" s="1880"/>
      <c r="O180" s="1880"/>
      <c r="P180" s="1880"/>
      <c r="Q180" s="1880"/>
      <c r="R180" s="2292"/>
      <c r="S180" s="2292"/>
      <c r="T180" s="2292"/>
      <c r="U180" s="2292"/>
      <c r="BO180" s="546"/>
      <c r="BP180" s="546"/>
      <c r="BQ180" s="546"/>
      <c r="BR180" s="546"/>
      <c r="BS180" s="546"/>
      <c r="BT180" s="546"/>
      <c r="BU180" s="546"/>
      <c r="BV180" s="546"/>
      <c r="BW180" s="546"/>
      <c r="BX180" s="546"/>
      <c r="BY180" s="546"/>
      <c r="BZ180" s="546"/>
      <c r="CA180" s="546"/>
      <c r="CB180" s="84"/>
      <c r="CC180" s="84"/>
      <c r="CD180" s="84"/>
      <c r="CE180" s="84"/>
      <c r="CF180" s="84"/>
      <c r="CG180" s="84"/>
      <c r="CH180" s="84"/>
      <c r="CI180" s="84"/>
      <c r="CJ180" s="84"/>
      <c r="CK180" s="84"/>
      <c r="CL180" s="84"/>
      <c r="CM180" s="84"/>
    </row>
    <row r="181" spans="5:91" s="354" customFormat="1" x14ac:dyDescent="0.2">
      <c r="E181" s="546"/>
      <c r="G181" s="1880"/>
      <c r="H181" s="1880"/>
      <c r="I181" s="1880"/>
      <c r="J181" s="1880"/>
      <c r="K181" s="1880"/>
      <c r="L181" s="1880"/>
      <c r="M181" s="1880"/>
      <c r="N181" s="1880"/>
      <c r="O181" s="1880"/>
      <c r="P181" s="1880"/>
      <c r="Q181" s="1880"/>
      <c r="R181" s="2292"/>
      <c r="S181" s="2292"/>
      <c r="T181" s="2292"/>
      <c r="U181" s="2292"/>
      <c r="BO181" s="546"/>
      <c r="BP181" s="546"/>
      <c r="BQ181" s="546"/>
      <c r="BR181" s="546"/>
      <c r="BS181" s="546"/>
      <c r="BT181" s="546"/>
      <c r="BU181" s="546"/>
      <c r="BV181" s="546"/>
      <c r="BW181" s="546"/>
      <c r="BX181" s="546"/>
      <c r="BY181" s="546"/>
      <c r="BZ181" s="546"/>
      <c r="CA181" s="546"/>
      <c r="CB181" s="84"/>
      <c r="CC181" s="84"/>
      <c r="CD181" s="84"/>
      <c r="CE181" s="84"/>
      <c r="CF181" s="84"/>
      <c r="CG181" s="84"/>
      <c r="CH181" s="84"/>
      <c r="CI181" s="84"/>
      <c r="CJ181" s="84"/>
      <c r="CK181" s="84"/>
      <c r="CL181" s="84"/>
      <c r="CM181" s="84"/>
    </row>
    <row r="182" spans="5:91" s="354" customFormat="1" x14ac:dyDescent="0.2">
      <c r="E182" s="546"/>
      <c r="G182" s="1880"/>
      <c r="H182" s="1880"/>
      <c r="I182" s="1880"/>
      <c r="J182" s="1880"/>
      <c r="K182" s="1880"/>
      <c r="L182" s="1880"/>
      <c r="M182" s="1880"/>
      <c r="N182" s="1880"/>
      <c r="O182" s="1880"/>
      <c r="P182" s="1880"/>
      <c r="Q182" s="1880"/>
      <c r="R182" s="2292"/>
      <c r="S182" s="2292"/>
      <c r="T182" s="2292"/>
      <c r="U182" s="2292"/>
      <c r="BO182" s="546"/>
      <c r="BP182" s="546"/>
      <c r="BQ182" s="546"/>
      <c r="BR182" s="546"/>
      <c r="BS182" s="546"/>
      <c r="BT182" s="546"/>
      <c r="BU182" s="546"/>
      <c r="BV182" s="546"/>
      <c r="BW182" s="546"/>
      <c r="BX182" s="546"/>
      <c r="BY182" s="546"/>
      <c r="BZ182" s="546"/>
      <c r="CA182" s="546"/>
      <c r="CB182" s="84"/>
      <c r="CC182" s="84"/>
      <c r="CD182" s="84"/>
      <c r="CE182" s="84"/>
      <c r="CF182" s="84"/>
      <c r="CG182" s="84"/>
      <c r="CH182" s="84"/>
      <c r="CI182" s="84"/>
      <c r="CJ182" s="84"/>
      <c r="CK182" s="84"/>
      <c r="CL182" s="84"/>
      <c r="CM182" s="84"/>
    </row>
    <row r="183" spans="5:91" s="354" customFormat="1" x14ac:dyDescent="0.2">
      <c r="E183" s="546"/>
      <c r="G183" s="1880"/>
      <c r="H183" s="1880"/>
      <c r="I183" s="1880"/>
      <c r="J183" s="1880"/>
      <c r="K183" s="1880"/>
      <c r="L183" s="1880"/>
      <c r="M183" s="1880"/>
      <c r="N183" s="1880"/>
      <c r="O183" s="1880"/>
      <c r="P183" s="1880"/>
      <c r="Q183" s="1880"/>
      <c r="R183" s="2292"/>
      <c r="S183" s="2292"/>
      <c r="T183" s="2292"/>
      <c r="U183" s="2292"/>
      <c r="BO183" s="546"/>
      <c r="BP183" s="546"/>
      <c r="BQ183" s="546"/>
      <c r="BR183" s="546"/>
      <c r="BS183" s="546"/>
      <c r="BT183" s="546"/>
      <c r="BU183" s="546"/>
      <c r="BV183" s="546"/>
      <c r="BW183" s="546"/>
      <c r="BX183" s="546"/>
      <c r="BY183" s="546"/>
      <c r="BZ183" s="546"/>
      <c r="CA183" s="546"/>
      <c r="CB183" s="84"/>
      <c r="CC183" s="84"/>
      <c r="CD183" s="84"/>
      <c r="CE183" s="84"/>
      <c r="CF183" s="84"/>
      <c r="CG183" s="84"/>
      <c r="CH183" s="84"/>
      <c r="CI183" s="84"/>
      <c r="CJ183" s="84"/>
      <c r="CK183" s="84"/>
      <c r="CL183" s="84"/>
      <c r="CM183" s="84"/>
    </row>
    <row r="184" spans="5:91" s="354" customFormat="1" x14ac:dyDescent="0.2">
      <c r="E184" s="546"/>
      <c r="G184" s="1880"/>
      <c r="H184" s="1880"/>
      <c r="I184" s="1880"/>
      <c r="J184" s="1880"/>
      <c r="K184" s="1880"/>
      <c r="L184" s="1880"/>
      <c r="M184" s="1880"/>
      <c r="N184" s="1880"/>
      <c r="O184" s="1880"/>
      <c r="P184" s="1880"/>
      <c r="Q184" s="1880"/>
      <c r="R184" s="2292"/>
      <c r="S184" s="2292"/>
      <c r="T184" s="2292"/>
      <c r="U184" s="2292"/>
      <c r="BO184" s="546"/>
      <c r="BP184" s="546"/>
      <c r="BQ184" s="546"/>
      <c r="BR184" s="546"/>
      <c r="BS184" s="546"/>
      <c r="BT184" s="546"/>
      <c r="BU184" s="546"/>
      <c r="BV184" s="546"/>
      <c r="BW184" s="546"/>
      <c r="BX184" s="546"/>
      <c r="BY184" s="546"/>
      <c r="BZ184" s="546"/>
      <c r="CA184" s="546"/>
      <c r="CB184" s="84"/>
      <c r="CC184" s="84"/>
      <c r="CD184" s="84"/>
      <c r="CE184" s="84"/>
      <c r="CF184" s="84"/>
      <c r="CG184" s="84"/>
      <c r="CH184" s="84"/>
      <c r="CI184" s="84"/>
      <c r="CJ184" s="84"/>
      <c r="CK184" s="84"/>
      <c r="CL184" s="84"/>
      <c r="CM184" s="84"/>
    </row>
    <row r="185" spans="5:91" s="354" customFormat="1" x14ac:dyDescent="0.2">
      <c r="E185" s="546"/>
      <c r="G185" s="1880"/>
      <c r="H185" s="1880"/>
      <c r="I185" s="1880"/>
      <c r="J185" s="1880"/>
      <c r="K185" s="1880"/>
      <c r="L185" s="1880"/>
      <c r="M185" s="1880"/>
      <c r="N185" s="1880"/>
      <c r="O185" s="1880"/>
      <c r="P185" s="1880"/>
      <c r="Q185" s="1880"/>
      <c r="R185" s="2292"/>
      <c r="S185" s="2292"/>
      <c r="T185" s="2292"/>
      <c r="U185" s="2292"/>
      <c r="BO185" s="546"/>
      <c r="BP185" s="546"/>
      <c r="BQ185" s="546"/>
      <c r="BR185" s="546"/>
      <c r="BS185" s="546"/>
      <c r="BT185" s="546"/>
      <c r="BU185" s="546"/>
      <c r="BV185" s="546"/>
      <c r="BW185" s="546"/>
      <c r="BX185" s="546"/>
      <c r="BY185" s="546"/>
      <c r="BZ185" s="546"/>
      <c r="CA185" s="546"/>
      <c r="CB185" s="84"/>
      <c r="CC185" s="84"/>
      <c r="CD185" s="84"/>
      <c r="CE185" s="84"/>
      <c r="CF185" s="84"/>
      <c r="CG185" s="84"/>
      <c r="CH185" s="84"/>
      <c r="CI185" s="84"/>
      <c r="CJ185" s="84"/>
      <c r="CK185" s="84"/>
      <c r="CL185" s="84"/>
      <c r="CM185" s="84"/>
    </row>
    <row r="186" spans="5:91" s="354" customFormat="1" x14ac:dyDescent="0.2">
      <c r="E186" s="546"/>
      <c r="G186" s="1880"/>
      <c r="H186" s="1880"/>
      <c r="I186" s="1880"/>
      <c r="J186" s="1880"/>
      <c r="K186" s="1880"/>
      <c r="L186" s="1880"/>
      <c r="M186" s="1880"/>
      <c r="N186" s="1880"/>
      <c r="O186" s="1880"/>
      <c r="P186" s="1880"/>
      <c r="Q186" s="1880"/>
      <c r="R186" s="2292"/>
      <c r="S186" s="2292"/>
      <c r="T186" s="2292"/>
      <c r="U186" s="2292"/>
      <c r="BO186" s="546"/>
      <c r="BP186" s="546"/>
      <c r="BQ186" s="546"/>
      <c r="BR186" s="546"/>
      <c r="BS186" s="546"/>
      <c r="BT186" s="546"/>
      <c r="BU186" s="546"/>
      <c r="BV186" s="546"/>
      <c r="BW186" s="546"/>
      <c r="BX186" s="546"/>
      <c r="BY186" s="546"/>
      <c r="BZ186" s="546"/>
      <c r="CA186" s="546"/>
      <c r="CB186" s="84"/>
      <c r="CC186" s="84"/>
      <c r="CD186" s="84"/>
      <c r="CE186" s="84"/>
      <c r="CF186" s="84"/>
      <c r="CG186" s="84"/>
      <c r="CH186" s="84"/>
      <c r="CI186" s="84"/>
      <c r="CJ186" s="84"/>
      <c r="CK186" s="84"/>
      <c r="CL186" s="84"/>
      <c r="CM186" s="84"/>
    </row>
    <row r="187" spans="5:91" s="354" customFormat="1" x14ac:dyDescent="0.2">
      <c r="E187" s="546"/>
      <c r="G187" s="1880"/>
      <c r="H187" s="1880"/>
      <c r="I187" s="1880"/>
      <c r="J187" s="1880"/>
      <c r="K187" s="1880"/>
      <c r="L187" s="1880"/>
      <c r="M187" s="1880"/>
      <c r="N187" s="1880"/>
      <c r="O187" s="1880"/>
      <c r="P187" s="1880"/>
      <c r="Q187" s="1880"/>
      <c r="R187" s="2292"/>
      <c r="S187" s="2292"/>
      <c r="T187" s="2292"/>
      <c r="U187" s="2292"/>
      <c r="BO187" s="546"/>
      <c r="BP187" s="546"/>
      <c r="BQ187" s="546"/>
      <c r="BR187" s="546"/>
      <c r="BS187" s="546"/>
      <c r="BT187" s="546"/>
      <c r="BU187" s="546"/>
      <c r="BV187" s="546"/>
      <c r="BW187" s="546"/>
      <c r="BX187" s="546"/>
      <c r="BY187" s="546"/>
      <c r="BZ187" s="546"/>
      <c r="CA187" s="546"/>
      <c r="CB187" s="84"/>
      <c r="CC187" s="84"/>
      <c r="CD187" s="84"/>
      <c r="CE187" s="84"/>
      <c r="CF187" s="84"/>
      <c r="CG187" s="84"/>
      <c r="CH187" s="84"/>
      <c r="CI187" s="84"/>
      <c r="CJ187" s="84"/>
      <c r="CK187" s="84"/>
      <c r="CL187" s="84"/>
      <c r="CM187" s="84"/>
    </row>
    <row r="188" spans="5:91" s="354" customFormat="1" x14ac:dyDescent="0.2">
      <c r="E188" s="546"/>
      <c r="G188" s="1880"/>
      <c r="H188" s="1880"/>
      <c r="I188" s="1880"/>
      <c r="J188" s="1880"/>
      <c r="K188" s="1880"/>
      <c r="L188" s="1880"/>
      <c r="M188" s="1880"/>
      <c r="N188" s="1880"/>
      <c r="O188" s="1880"/>
      <c r="P188" s="1880"/>
      <c r="Q188" s="1880"/>
      <c r="R188" s="2292"/>
      <c r="S188" s="2292"/>
      <c r="T188" s="2292"/>
      <c r="U188" s="2292"/>
      <c r="BO188" s="546"/>
      <c r="BP188" s="546"/>
      <c r="BQ188" s="546"/>
      <c r="BR188" s="546"/>
      <c r="BS188" s="546"/>
      <c r="BT188" s="546"/>
      <c r="BU188" s="546"/>
      <c r="BV188" s="546"/>
      <c r="BW188" s="546"/>
      <c r="BX188" s="546"/>
      <c r="BY188" s="546"/>
      <c r="BZ188" s="546"/>
      <c r="CA188" s="546"/>
      <c r="CB188" s="84"/>
      <c r="CC188" s="84"/>
      <c r="CD188" s="84"/>
      <c r="CE188" s="84"/>
      <c r="CF188" s="84"/>
      <c r="CG188" s="84"/>
      <c r="CH188" s="84"/>
      <c r="CI188" s="84"/>
      <c r="CJ188" s="84"/>
      <c r="CK188" s="84"/>
      <c r="CL188" s="84"/>
      <c r="CM188" s="84"/>
    </row>
    <row r="189" spans="5:91" s="354" customFormat="1" x14ac:dyDescent="0.2">
      <c r="E189" s="546"/>
      <c r="G189" s="1880"/>
      <c r="H189" s="1880"/>
      <c r="I189" s="1880"/>
      <c r="J189" s="1880"/>
      <c r="K189" s="1880"/>
      <c r="L189" s="1880"/>
      <c r="M189" s="1880"/>
      <c r="N189" s="1880"/>
      <c r="O189" s="1880"/>
      <c r="P189" s="1880"/>
      <c r="Q189" s="1880"/>
      <c r="R189" s="2292"/>
      <c r="S189" s="2292"/>
      <c r="T189" s="2292"/>
      <c r="U189" s="2292"/>
      <c r="BO189" s="546"/>
      <c r="BP189" s="546"/>
      <c r="BQ189" s="546"/>
      <c r="BR189" s="546"/>
      <c r="BS189" s="546"/>
      <c r="BT189" s="546"/>
      <c r="BU189" s="546"/>
      <c r="BV189" s="546"/>
      <c r="BW189" s="546"/>
      <c r="BX189" s="546"/>
      <c r="BY189" s="546"/>
      <c r="BZ189" s="546"/>
      <c r="CA189" s="546"/>
      <c r="CB189" s="84"/>
      <c r="CC189" s="84"/>
      <c r="CD189" s="84"/>
      <c r="CE189" s="84"/>
      <c r="CF189" s="84"/>
      <c r="CG189" s="84"/>
      <c r="CH189" s="84"/>
      <c r="CI189" s="84"/>
      <c r="CJ189" s="84"/>
      <c r="CK189" s="84"/>
      <c r="CL189" s="84"/>
      <c r="CM189" s="84"/>
    </row>
    <row r="190" spans="5:91" s="354" customFormat="1" x14ac:dyDescent="0.2">
      <c r="E190" s="546"/>
      <c r="G190" s="1880"/>
      <c r="H190" s="1880"/>
      <c r="I190" s="1880"/>
      <c r="J190" s="1880"/>
      <c r="K190" s="1880"/>
      <c r="L190" s="1880"/>
      <c r="M190" s="1880"/>
      <c r="N190" s="1880"/>
      <c r="O190" s="1880"/>
      <c r="P190" s="1880"/>
      <c r="Q190" s="1880"/>
      <c r="R190" s="2292"/>
      <c r="S190" s="2292"/>
      <c r="T190" s="2292"/>
      <c r="U190" s="2292"/>
      <c r="BO190" s="546"/>
      <c r="BP190" s="546"/>
      <c r="BQ190" s="546"/>
      <c r="BR190" s="546"/>
      <c r="BS190" s="546"/>
      <c r="BT190" s="546"/>
      <c r="BU190" s="546"/>
      <c r="BV190" s="546"/>
      <c r="BW190" s="546"/>
      <c r="BX190" s="546"/>
      <c r="BY190" s="546"/>
      <c r="BZ190" s="546"/>
      <c r="CA190" s="546"/>
      <c r="CB190" s="84"/>
      <c r="CC190" s="84"/>
      <c r="CD190" s="84"/>
      <c r="CE190" s="84"/>
      <c r="CF190" s="84"/>
      <c r="CG190" s="84"/>
      <c r="CH190" s="84"/>
      <c r="CI190" s="84"/>
      <c r="CJ190" s="84"/>
      <c r="CK190" s="84"/>
      <c r="CL190" s="84"/>
      <c r="CM190" s="84"/>
    </row>
    <row r="191" spans="5:91" s="354" customFormat="1" x14ac:dyDescent="0.2">
      <c r="E191" s="546"/>
      <c r="G191" s="1880"/>
      <c r="H191" s="1880"/>
      <c r="I191" s="1880"/>
      <c r="J191" s="1880"/>
      <c r="K191" s="1880"/>
      <c r="L191" s="1880"/>
      <c r="M191" s="1880"/>
      <c r="N191" s="1880"/>
      <c r="O191" s="1880"/>
      <c r="P191" s="1880"/>
      <c r="Q191" s="1880"/>
      <c r="R191" s="2292"/>
      <c r="S191" s="2292"/>
      <c r="T191" s="2292"/>
      <c r="U191" s="2292"/>
      <c r="BO191" s="546"/>
      <c r="BP191" s="546"/>
      <c r="BQ191" s="546"/>
      <c r="BR191" s="546"/>
      <c r="BS191" s="546"/>
      <c r="BT191" s="546"/>
      <c r="BU191" s="546"/>
      <c r="BV191" s="546"/>
      <c r="BW191" s="546"/>
      <c r="BX191" s="546"/>
      <c r="BY191" s="546"/>
      <c r="BZ191" s="546"/>
      <c r="CA191" s="546"/>
      <c r="CB191" s="84"/>
      <c r="CC191" s="84"/>
      <c r="CD191" s="84"/>
      <c r="CE191" s="84"/>
      <c r="CF191" s="84"/>
      <c r="CG191" s="84"/>
      <c r="CH191" s="84"/>
      <c r="CI191" s="84"/>
      <c r="CJ191" s="84"/>
      <c r="CK191" s="84"/>
      <c r="CL191" s="84"/>
      <c r="CM191" s="84"/>
    </row>
    <row r="192" spans="5:91" s="354" customFormat="1" x14ac:dyDescent="0.2">
      <c r="E192" s="546"/>
      <c r="G192" s="1880"/>
      <c r="H192" s="1880"/>
      <c r="I192" s="1880"/>
      <c r="J192" s="1880"/>
      <c r="K192" s="1880"/>
      <c r="L192" s="1880"/>
      <c r="M192" s="1880"/>
      <c r="N192" s="1880"/>
      <c r="O192" s="1880"/>
      <c r="P192" s="1880"/>
      <c r="Q192" s="1880"/>
      <c r="R192" s="2292"/>
      <c r="S192" s="2292"/>
      <c r="T192" s="2292"/>
      <c r="U192" s="2292"/>
      <c r="BO192" s="546"/>
      <c r="BP192" s="546"/>
      <c r="BQ192" s="546"/>
      <c r="BR192" s="546"/>
      <c r="BS192" s="546"/>
      <c r="BT192" s="546"/>
      <c r="BU192" s="546"/>
      <c r="BV192" s="546"/>
      <c r="BW192" s="546"/>
      <c r="BX192" s="546"/>
      <c r="BY192" s="546"/>
      <c r="BZ192" s="546"/>
      <c r="CA192" s="546"/>
      <c r="CB192" s="84"/>
      <c r="CC192" s="84"/>
      <c r="CD192" s="84"/>
      <c r="CE192" s="84"/>
      <c r="CF192" s="84"/>
      <c r="CG192" s="84"/>
      <c r="CH192" s="84"/>
      <c r="CI192" s="84"/>
      <c r="CJ192" s="84"/>
      <c r="CK192" s="84"/>
      <c r="CL192" s="84"/>
      <c r="CM192" s="84"/>
    </row>
    <row r="193" spans="5:91" s="354" customFormat="1" x14ac:dyDescent="0.2">
      <c r="E193" s="546"/>
      <c r="G193" s="1880"/>
      <c r="H193" s="1880"/>
      <c r="I193" s="1880"/>
      <c r="J193" s="1880"/>
      <c r="K193" s="1880"/>
      <c r="L193" s="1880"/>
      <c r="M193" s="1880"/>
      <c r="N193" s="1880"/>
      <c r="O193" s="1880"/>
      <c r="P193" s="1880"/>
      <c r="Q193" s="1880"/>
      <c r="R193" s="2292"/>
      <c r="S193" s="2292"/>
      <c r="T193" s="2292"/>
      <c r="U193" s="2292"/>
      <c r="BO193" s="546"/>
      <c r="BP193" s="546"/>
      <c r="BQ193" s="546"/>
      <c r="BR193" s="546"/>
      <c r="BS193" s="546"/>
      <c r="BT193" s="546"/>
      <c r="BU193" s="546"/>
      <c r="BV193" s="546"/>
      <c r="BW193" s="546"/>
      <c r="BX193" s="546"/>
      <c r="BY193" s="546"/>
      <c r="BZ193" s="546"/>
      <c r="CA193" s="546"/>
      <c r="CB193" s="84"/>
      <c r="CC193" s="84"/>
      <c r="CD193" s="84"/>
      <c r="CE193" s="84"/>
      <c r="CF193" s="84"/>
      <c r="CG193" s="84"/>
      <c r="CH193" s="84"/>
      <c r="CI193" s="84"/>
      <c r="CJ193" s="84"/>
      <c r="CK193" s="84"/>
      <c r="CL193" s="84"/>
      <c r="CM193" s="84"/>
    </row>
    <row r="194" spans="5:91" s="354" customFormat="1" x14ac:dyDescent="0.2">
      <c r="E194" s="546"/>
      <c r="G194" s="1880"/>
      <c r="H194" s="1880"/>
      <c r="I194" s="1880"/>
      <c r="J194" s="1880"/>
      <c r="K194" s="1880"/>
      <c r="L194" s="1880"/>
      <c r="M194" s="1880"/>
      <c r="N194" s="1880"/>
      <c r="O194" s="1880"/>
      <c r="P194" s="1880"/>
      <c r="Q194" s="1880"/>
      <c r="R194" s="2292"/>
      <c r="S194" s="2292"/>
      <c r="T194" s="2292"/>
      <c r="U194" s="2292"/>
      <c r="BO194" s="546"/>
      <c r="BP194" s="546"/>
      <c r="BQ194" s="546"/>
      <c r="BR194" s="546"/>
      <c r="BS194" s="546"/>
      <c r="BT194" s="546"/>
      <c r="BU194" s="546"/>
      <c r="BV194" s="546"/>
      <c r="BW194" s="546"/>
      <c r="BX194" s="546"/>
      <c r="BY194" s="546"/>
      <c r="BZ194" s="546"/>
      <c r="CA194" s="546"/>
      <c r="CB194" s="84"/>
      <c r="CC194" s="84"/>
      <c r="CD194" s="84"/>
      <c r="CE194" s="84"/>
      <c r="CF194" s="84"/>
      <c r="CG194" s="84"/>
      <c r="CH194" s="84"/>
      <c r="CI194" s="84"/>
      <c r="CJ194" s="84"/>
      <c r="CK194" s="84"/>
      <c r="CL194" s="84"/>
      <c r="CM194" s="84"/>
    </row>
    <row r="195" spans="5:91" s="354" customFormat="1" x14ac:dyDescent="0.2">
      <c r="E195" s="546"/>
      <c r="G195" s="1880"/>
      <c r="H195" s="1880"/>
      <c r="I195" s="1880"/>
      <c r="J195" s="1880"/>
      <c r="K195" s="1880"/>
      <c r="L195" s="1880"/>
      <c r="M195" s="1880"/>
      <c r="N195" s="1880"/>
      <c r="O195" s="1880"/>
      <c r="P195" s="1880"/>
      <c r="Q195" s="1880"/>
      <c r="R195" s="2292"/>
      <c r="S195" s="2292"/>
      <c r="T195" s="2292"/>
      <c r="U195" s="2292"/>
      <c r="BO195" s="546"/>
      <c r="BP195" s="546"/>
      <c r="BQ195" s="546"/>
      <c r="BR195" s="546"/>
      <c r="BS195" s="546"/>
      <c r="BT195" s="546"/>
      <c r="BU195" s="546"/>
      <c r="BV195" s="546"/>
      <c r="BW195" s="546"/>
      <c r="BX195" s="546"/>
      <c r="BY195" s="546"/>
      <c r="BZ195" s="546"/>
      <c r="CA195" s="546"/>
      <c r="CB195" s="84"/>
      <c r="CC195" s="84"/>
      <c r="CD195" s="84"/>
      <c r="CE195" s="84"/>
      <c r="CF195" s="84"/>
      <c r="CG195" s="84"/>
      <c r="CH195" s="84"/>
      <c r="CI195" s="84"/>
      <c r="CJ195" s="84"/>
      <c r="CK195" s="84"/>
      <c r="CL195" s="84"/>
      <c r="CM195" s="84"/>
    </row>
    <row r="196" spans="5:91" s="354" customFormat="1" x14ac:dyDescent="0.2">
      <c r="E196" s="546"/>
      <c r="G196" s="1880"/>
      <c r="H196" s="1880"/>
      <c r="I196" s="1880"/>
      <c r="J196" s="1880"/>
      <c r="K196" s="1880"/>
      <c r="L196" s="1880"/>
      <c r="M196" s="1880"/>
      <c r="N196" s="1880"/>
      <c r="O196" s="1880"/>
      <c r="P196" s="1880"/>
      <c r="Q196" s="1880"/>
      <c r="R196" s="2292"/>
      <c r="S196" s="2292"/>
      <c r="T196" s="2292"/>
      <c r="U196" s="2292"/>
      <c r="BO196" s="546"/>
      <c r="BP196" s="546"/>
      <c r="BQ196" s="546"/>
      <c r="BR196" s="546"/>
      <c r="BS196" s="546"/>
      <c r="BT196" s="546"/>
      <c r="BU196" s="546"/>
      <c r="BV196" s="546"/>
      <c r="BW196" s="546"/>
      <c r="BX196" s="546"/>
      <c r="BY196" s="546"/>
      <c r="BZ196" s="546"/>
      <c r="CA196" s="546"/>
      <c r="CB196" s="84"/>
      <c r="CC196" s="84"/>
      <c r="CD196" s="84"/>
      <c r="CE196" s="84"/>
      <c r="CF196" s="84"/>
      <c r="CG196" s="84"/>
      <c r="CH196" s="84"/>
      <c r="CI196" s="84"/>
      <c r="CJ196" s="84"/>
      <c r="CK196" s="84"/>
      <c r="CL196" s="84"/>
      <c r="CM196" s="84"/>
    </row>
    <row r="197" spans="5:91" s="354" customFormat="1" x14ac:dyDescent="0.2">
      <c r="E197" s="546"/>
      <c r="G197" s="1880"/>
      <c r="H197" s="1880"/>
      <c r="I197" s="1880"/>
      <c r="J197" s="1880"/>
      <c r="K197" s="1880"/>
      <c r="L197" s="1880"/>
      <c r="M197" s="1880"/>
      <c r="N197" s="1880"/>
      <c r="O197" s="1880"/>
      <c r="P197" s="1880"/>
      <c r="Q197" s="1880"/>
      <c r="R197" s="2292"/>
      <c r="S197" s="2292"/>
      <c r="T197" s="2292"/>
      <c r="U197" s="2292"/>
      <c r="BO197" s="546"/>
      <c r="BP197" s="546"/>
      <c r="BQ197" s="546"/>
      <c r="BR197" s="546"/>
      <c r="BS197" s="546"/>
      <c r="BT197" s="546"/>
      <c r="BU197" s="546"/>
      <c r="BV197" s="546"/>
      <c r="BW197" s="546"/>
      <c r="BX197" s="546"/>
      <c r="BY197" s="546"/>
      <c r="BZ197" s="546"/>
      <c r="CA197" s="546"/>
      <c r="CB197" s="84"/>
      <c r="CC197" s="84"/>
      <c r="CD197" s="84"/>
      <c r="CE197" s="84"/>
      <c r="CF197" s="84"/>
      <c r="CG197" s="84"/>
      <c r="CH197" s="84"/>
      <c r="CI197" s="84"/>
      <c r="CJ197" s="84"/>
      <c r="CK197" s="84"/>
      <c r="CL197" s="84"/>
      <c r="CM197" s="84"/>
    </row>
    <row r="198" spans="5:91" s="354" customFormat="1" x14ac:dyDescent="0.2">
      <c r="E198" s="546"/>
      <c r="G198" s="1880"/>
      <c r="H198" s="1880"/>
      <c r="I198" s="1880"/>
      <c r="J198" s="1880"/>
      <c r="K198" s="1880"/>
      <c r="L198" s="1880"/>
      <c r="M198" s="1880"/>
      <c r="N198" s="1880"/>
      <c r="O198" s="1880"/>
      <c r="P198" s="1880"/>
      <c r="Q198" s="1880"/>
      <c r="R198" s="2292"/>
      <c r="S198" s="2292"/>
      <c r="T198" s="2292"/>
      <c r="U198" s="2292"/>
      <c r="BO198" s="546"/>
      <c r="BP198" s="546"/>
      <c r="BQ198" s="546"/>
      <c r="BR198" s="546"/>
      <c r="BS198" s="546"/>
      <c r="BT198" s="546"/>
      <c r="BU198" s="546"/>
      <c r="BV198" s="546"/>
      <c r="BW198" s="546"/>
      <c r="BX198" s="546"/>
      <c r="BY198" s="546"/>
      <c r="BZ198" s="546"/>
      <c r="CA198" s="546"/>
      <c r="CB198" s="84"/>
      <c r="CC198" s="84"/>
      <c r="CD198" s="84"/>
      <c r="CE198" s="84"/>
      <c r="CF198" s="84"/>
      <c r="CG198" s="84"/>
      <c r="CH198" s="84"/>
      <c r="CI198" s="84"/>
      <c r="CJ198" s="84"/>
      <c r="CK198" s="84"/>
      <c r="CL198" s="84"/>
      <c r="CM198" s="84"/>
    </row>
    <row r="199" spans="5:91" s="354" customFormat="1" x14ac:dyDescent="0.2">
      <c r="E199" s="546"/>
      <c r="G199" s="1880"/>
      <c r="H199" s="1880"/>
      <c r="I199" s="1880"/>
      <c r="J199" s="1880"/>
      <c r="K199" s="1880"/>
      <c r="L199" s="1880"/>
      <c r="M199" s="1880"/>
      <c r="N199" s="1880"/>
      <c r="O199" s="1880"/>
      <c r="P199" s="1880"/>
      <c r="Q199" s="1880"/>
      <c r="R199" s="2292"/>
      <c r="S199" s="2292"/>
      <c r="T199" s="2292"/>
      <c r="U199" s="2292"/>
      <c r="BO199" s="546"/>
      <c r="BP199" s="546"/>
      <c r="BQ199" s="546"/>
      <c r="BR199" s="546"/>
      <c r="BS199" s="546"/>
      <c r="BT199" s="546"/>
      <c r="BU199" s="546"/>
      <c r="BV199" s="546"/>
      <c r="BW199" s="546"/>
      <c r="BX199" s="546"/>
      <c r="BY199" s="546"/>
      <c r="BZ199" s="546"/>
      <c r="CA199" s="546"/>
      <c r="CB199" s="84"/>
      <c r="CC199" s="84"/>
      <c r="CD199" s="84"/>
      <c r="CE199" s="84"/>
      <c r="CF199" s="84"/>
      <c r="CG199" s="84"/>
      <c r="CH199" s="84"/>
      <c r="CI199" s="84"/>
      <c r="CJ199" s="84"/>
      <c r="CK199" s="84"/>
      <c r="CL199" s="84"/>
      <c r="CM199" s="84"/>
    </row>
    <row r="200" spans="5:91" s="354" customFormat="1" x14ac:dyDescent="0.2">
      <c r="E200" s="546"/>
      <c r="G200" s="1880"/>
      <c r="H200" s="1880"/>
      <c r="I200" s="1880"/>
      <c r="J200" s="1880"/>
      <c r="K200" s="1880"/>
      <c r="L200" s="1880"/>
      <c r="M200" s="1880"/>
      <c r="N200" s="1880"/>
      <c r="O200" s="1880"/>
      <c r="P200" s="1880"/>
      <c r="Q200" s="1880"/>
      <c r="R200" s="2292"/>
      <c r="S200" s="2292"/>
      <c r="T200" s="2292"/>
      <c r="U200" s="2292"/>
      <c r="BO200" s="546"/>
      <c r="BP200" s="546"/>
      <c r="BQ200" s="546"/>
      <c r="BR200" s="546"/>
      <c r="BS200" s="546"/>
      <c r="BT200" s="546"/>
      <c r="BU200" s="546"/>
      <c r="BV200" s="546"/>
      <c r="BW200" s="546"/>
      <c r="BX200" s="546"/>
      <c r="BY200" s="546"/>
      <c r="BZ200" s="546"/>
      <c r="CA200" s="546"/>
      <c r="CB200" s="84"/>
      <c r="CC200" s="84"/>
      <c r="CD200" s="84"/>
      <c r="CE200" s="84"/>
      <c r="CF200" s="84"/>
      <c r="CG200" s="84"/>
      <c r="CH200" s="84"/>
      <c r="CI200" s="84"/>
      <c r="CJ200" s="84"/>
      <c r="CK200" s="84"/>
      <c r="CL200" s="84"/>
      <c r="CM200" s="84"/>
    </row>
    <row r="201" spans="5:91" s="354" customFormat="1" x14ac:dyDescent="0.2">
      <c r="E201" s="546"/>
      <c r="G201" s="1880"/>
      <c r="H201" s="1880"/>
      <c r="I201" s="1880"/>
      <c r="J201" s="1880"/>
      <c r="K201" s="1880"/>
      <c r="L201" s="1880"/>
      <c r="M201" s="1880"/>
      <c r="N201" s="1880"/>
      <c r="O201" s="1880"/>
      <c r="P201" s="1880"/>
      <c r="Q201" s="1880"/>
      <c r="R201" s="2292"/>
      <c r="S201" s="2292"/>
      <c r="T201" s="2292"/>
      <c r="U201" s="2292"/>
      <c r="BO201" s="546"/>
      <c r="BP201" s="546"/>
      <c r="BQ201" s="546"/>
      <c r="BR201" s="546"/>
      <c r="BS201" s="546"/>
      <c r="BT201" s="546"/>
      <c r="BU201" s="546"/>
      <c r="BV201" s="546"/>
      <c r="BW201" s="546"/>
      <c r="BX201" s="546"/>
      <c r="BY201" s="546"/>
      <c r="BZ201" s="546"/>
      <c r="CA201" s="546"/>
      <c r="CB201" s="84"/>
      <c r="CC201" s="84"/>
      <c r="CD201" s="84"/>
      <c r="CE201" s="84"/>
      <c r="CF201" s="84"/>
      <c r="CG201" s="84"/>
      <c r="CH201" s="84"/>
      <c r="CI201" s="84"/>
      <c r="CJ201" s="84"/>
      <c r="CK201" s="84"/>
      <c r="CL201" s="84"/>
      <c r="CM201" s="84"/>
    </row>
    <row r="202" spans="5:91" s="354" customFormat="1" x14ac:dyDescent="0.2">
      <c r="E202" s="546"/>
      <c r="G202" s="1880"/>
      <c r="H202" s="1880"/>
      <c r="I202" s="1880"/>
      <c r="J202" s="1880"/>
      <c r="K202" s="1880"/>
      <c r="L202" s="1880"/>
      <c r="M202" s="1880"/>
      <c r="N202" s="1880"/>
      <c r="O202" s="1880"/>
      <c r="P202" s="1880"/>
      <c r="Q202" s="1880"/>
      <c r="R202" s="2292"/>
      <c r="S202" s="2292"/>
      <c r="T202" s="2292"/>
      <c r="U202" s="2292"/>
      <c r="BO202" s="546"/>
      <c r="BP202" s="546"/>
      <c r="BQ202" s="546"/>
      <c r="BR202" s="546"/>
      <c r="BS202" s="546"/>
      <c r="BT202" s="546"/>
      <c r="BU202" s="546"/>
      <c r="BV202" s="546"/>
      <c r="BW202" s="546"/>
      <c r="BX202" s="546"/>
      <c r="BY202" s="546"/>
      <c r="BZ202" s="546"/>
      <c r="CA202" s="546"/>
      <c r="CB202" s="84"/>
      <c r="CC202" s="84"/>
      <c r="CD202" s="84"/>
      <c r="CE202" s="84"/>
      <c r="CF202" s="84"/>
      <c r="CG202" s="84"/>
      <c r="CH202" s="84"/>
      <c r="CI202" s="84"/>
      <c r="CJ202" s="84"/>
      <c r="CK202" s="84"/>
      <c r="CL202" s="84"/>
      <c r="CM202" s="84"/>
    </row>
    <row r="203" spans="5:91" s="354" customFormat="1" x14ac:dyDescent="0.2">
      <c r="E203" s="546"/>
      <c r="G203" s="1880"/>
      <c r="H203" s="1880"/>
      <c r="I203" s="1880"/>
      <c r="J203" s="1880"/>
      <c r="K203" s="1880"/>
      <c r="L203" s="1880"/>
      <c r="M203" s="1880"/>
      <c r="N203" s="1880"/>
      <c r="O203" s="1880"/>
      <c r="P203" s="1880"/>
      <c r="Q203" s="1880"/>
      <c r="R203" s="2292"/>
      <c r="S203" s="2292"/>
      <c r="T203" s="2292"/>
      <c r="U203" s="2292"/>
      <c r="BO203" s="546"/>
      <c r="BP203" s="546"/>
      <c r="BQ203" s="546"/>
      <c r="BR203" s="546"/>
      <c r="BS203" s="546"/>
      <c r="BT203" s="546"/>
      <c r="BU203" s="546"/>
      <c r="BV203" s="546"/>
      <c r="BW203" s="546"/>
      <c r="BX203" s="546"/>
      <c r="BY203" s="546"/>
      <c r="BZ203" s="546"/>
      <c r="CA203" s="546"/>
      <c r="CB203" s="84"/>
      <c r="CC203" s="84"/>
      <c r="CD203" s="84"/>
      <c r="CE203" s="84"/>
      <c r="CF203" s="84"/>
      <c r="CG203" s="84"/>
      <c r="CH203" s="84"/>
      <c r="CI203" s="84"/>
      <c r="CJ203" s="84"/>
      <c r="CK203" s="84"/>
      <c r="CL203" s="84"/>
      <c r="CM203" s="84"/>
    </row>
    <row r="204" spans="5:91" s="354" customFormat="1" x14ac:dyDescent="0.2">
      <c r="E204" s="546"/>
      <c r="G204" s="1880"/>
      <c r="H204" s="1880"/>
      <c r="I204" s="1880"/>
      <c r="J204" s="1880"/>
      <c r="K204" s="1880"/>
      <c r="L204" s="1880"/>
      <c r="M204" s="1880"/>
      <c r="N204" s="1880"/>
      <c r="O204" s="1880"/>
      <c r="P204" s="1880"/>
      <c r="Q204" s="1880"/>
      <c r="R204" s="2292"/>
      <c r="S204" s="2292"/>
      <c r="T204" s="2292"/>
      <c r="U204" s="2292"/>
      <c r="BO204" s="546"/>
      <c r="BP204" s="546"/>
      <c r="BQ204" s="546"/>
      <c r="BR204" s="546"/>
      <c r="BS204" s="546"/>
      <c r="BT204" s="546"/>
      <c r="BU204" s="546"/>
      <c r="BV204" s="546"/>
      <c r="BW204" s="546"/>
      <c r="BX204" s="546"/>
      <c r="BY204" s="546"/>
      <c r="BZ204" s="546"/>
      <c r="CA204" s="546"/>
      <c r="CB204" s="84"/>
      <c r="CC204" s="84"/>
      <c r="CD204" s="84"/>
      <c r="CE204" s="84"/>
      <c r="CF204" s="84"/>
      <c r="CG204" s="84"/>
      <c r="CH204" s="84"/>
      <c r="CI204" s="84"/>
      <c r="CJ204" s="84"/>
      <c r="CK204" s="84"/>
      <c r="CL204" s="84"/>
      <c r="CM204" s="84"/>
    </row>
    <row r="205" spans="5:91" s="354" customFormat="1" x14ac:dyDescent="0.2">
      <c r="E205" s="546"/>
      <c r="G205" s="1880"/>
      <c r="H205" s="1880"/>
      <c r="I205" s="1880"/>
      <c r="J205" s="1880"/>
      <c r="K205" s="1880"/>
      <c r="L205" s="1880"/>
      <c r="M205" s="1880"/>
      <c r="N205" s="1880"/>
      <c r="O205" s="1880"/>
      <c r="P205" s="1880"/>
      <c r="Q205" s="1880"/>
      <c r="R205" s="2292"/>
      <c r="S205" s="2292"/>
      <c r="T205" s="2292"/>
      <c r="U205" s="2292"/>
      <c r="BO205" s="546"/>
      <c r="BP205" s="546"/>
      <c r="BQ205" s="546"/>
      <c r="BR205" s="546"/>
      <c r="BS205" s="546"/>
      <c r="BT205" s="546"/>
      <c r="BU205" s="546"/>
      <c r="BV205" s="546"/>
      <c r="BW205" s="546"/>
      <c r="BX205" s="546"/>
      <c r="BY205" s="546"/>
      <c r="BZ205" s="546"/>
      <c r="CA205" s="546"/>
      <c r="CB205" s="84"/>
      <c r="CC205" s="84"/>
      <c r="CD205" s="84"/>
      <c r="CE205" s="84"/>
      <c r="CF205" s="84"/>
      <c r="CG205" s="84"/>
      <c r="CH205" s="84"/>
      <c r="CI205" s="84"/>
      <c r="CJ205" s="84"/>
      <c r="CK205" s="84"/>
      <c r="CL205" s="84"/>
      <c r="CM205" s="84"/>
    </row>
    <row r="206" spans="5:91" s="354" customFormat="1" x14ac:dyDescent="0.2">
      <c r="E206" s="546"/>
      <c r="G206" s="1880"/>
      <c r="H206" s="1880"/>
      <c r="I206" s="1880"/>
      <c r="J206" s="1880"/>
      <c r="K206" s="1880"/>
      <c r="L206" s="1880"/>
      <c r="M206" s="1880"/>
      <c r="N206" s="1880"/>
      <c r="O206" s="1880"/>
      <c r="P206" s="1880"/>
      <c r="Q206" s="1880"/>
      <c r="R206" s="2292"/>
      <c r="S206" s="2292"/>
      <c r="T206" s="2292"/>
      <c r="U206" s="2292"/>
      <c r="BO206" s="546"/>
      <c r="BP206" s="546"/>
      <c r="BQ206" s="546"/>
      <c r="BR206" s="546"/>
      <c r="BS206" s="546"/>
      <c r="BT206" s="546"/>
      <c r="BU206" s="546"/>
      <c r="BV206" s="546"/>
      <c r="BW206" s="546"/>
      <c r="BX206" s="546"/>
      <c r="BY206" s="546"/>
      <c r="BZ206" s="546"/>
      <c r="CA206" s="546"/>
      <c r="CB206" s="84"/>
      <c r="CC206" s="84"/>
      <c r="CD206" s="84"/>
      <c r="CE206" s="84"/>
      <c r="CF206" s="84"/>
      <c r="CG206" s="84"/>
      <c r="CH206" s="84"/>
      <c r="CI206" s="84"/>
      <c r="CJ206" s="84"/>
      <c r="CK206" s="84"/>
      <c r="CL206" s="84"/>
      <c r="CM206" s="84"/>
    </row>
    <row r="207" spans="5:91" s="354" customFormat="1" x14ac:dyDescent="0.2">
      <c r="E207" s="546"/>
      <c r="G207" s="1880"/>
      <c r="H207" s="1880"/>
      <c r="I207" s="1880"/>
      <c r="J207" s="1880"/>
      <c r="K207" s="1880"/>
      <c r="L207" s="1880"/>
      <c r="M207" s="1880"/>
      <c r="N207" s="1880"/>
      <c r="O207" s="1880"/>
      <c r="P207" s="1880"/>
      <c r="Q207" s="1880"/>
      <c r="R207" s="2292"/>
      <c r="S207" s="2292"/>
      <c r="T207" s="2292"/>
      <c r="U207" s="2292"/>
      <c r="BO207" s="546"/>
      <c r="BP207" s="546"/>
      <c r="BQ207" s="546"/>
      <c r="BR207" s="546"/>
      <c r="BS207" s="546"/>
      <c r="BT207" s="546"/>
      <c r="BU207" s="546"/>
      <c r="BV207" s="546"/>
      <c r="BW207" s="546"/>
      <c r="BX207" s="546"/>
      <c r="BY207" s="546"/>
      <c r="BZ207" s="546"/>
      <c r="CA207" s="546"/>
      <c r="CB207" s="84"/>
      <c r="CC207" s="84"/>
      <c r="CD207" s="84"/>
      <c r="CE207" s="84"/>
      <c r="CF207" s="84"/>
      <c r="CG207" s="84"/>
      <c r="CH207" s="84"/>
      <c r="CI207" s="84"/>
      <c r="CJ207" s="84"/>
      <c r="CK207" s="84"/>
      <c r="CL207" s="84"/>
      <c r="CM207" s="84"/>
    </row>
    <row r="208" spans="5:91" s="354" customFormat="1" x14ac:dyDescent="0.2">
      <c r="E208" s="546"/>
      <c r="G208" s="1880"/>
      <c r="H208" s="1880"/>
      <c r="I208" s="1880"/>
      <c r="J208" s="1880"/>
      <c r="K208" s="1880"/>
      <c r="L208" s="1880"/>
      <c r="M208" s="1880"/>
      <c r="N208" s="1880"/>
      <c r="O208" s="1880"/>
      <c r="P208" s="1880"/>
      <c r="Q208" s="1880"/>
      <c r="R208" s="2292"/>
      <c r="S208" s="2292"/>
      <c r="T208" s="2292"/>
      <c r="U208" s="2292"/>
      <c r="BO208" s="546"/>
      <c r="BP208" s="546"/>
      <c r="BQ208" s="546"/>
      <c r="BR208" s="546"/>
      <c r="BS208" s="546"/>
      <c r="BT208" s="546"/>
      <c r="BU208" s="546"/>
      <c r="BV208" s="546"/>
      <c r="BW208" s="546"/>
      <c r="BX208" s="546"/>
      <c r="BY208" s="546"/>
      <c r="BZ208" s="546"/>
      <c r="CA208" s="546"/>
      <c r="CB208" s="84"/>
      <c r="CC208" s="84"/>
      <c r="CD208" s="84"/>
      <c r="CE208" s="84"/>
      <c r="CF208" s="84"/>
      <c r="CG208" s="84"/>
      <c r="CH208" s="84"/>
      <c r="CI208" s="84"/>
      <c r="CJ208" s="84"/>
      <c r="CK208" s="84"/>
      <c r="CL208" s="84"/>
      <c r="CM208" s="84"/>
    </row>
    <row r="209" spans="5:91" s="354" customFormat="1" x14ac:dyDescent="0.2">
      <c r="E209" s="546"/>
      <c r="G209" s="1880"/>
      <c r="H209" s="1880"/>
      <c r="I209" s="1880"/>
      <c r="J209" s="1880"/>
      <c r="K209" s="1880"/>
      <c r="L209" s="1880"/>
      <c r="M209" s="1880"/>
      <c r="N209" s="1880"/>
      <c r="O209" s="1880"/>
      <c r="P209" s="1880"/>
      <c r="Q209" s="1880"/>
      <c r="R209" s="2292"/>
      <c r="S209" s="2292"/>
      <c r="T209" s="2292"/>
      <c r="U209" s="2292"/>
      <c r="BO209" s="546"/>
      <c r="BP209" s="546"/>
      <c r="BQ209" s="546"/>
      <c r="BR209" s="546"/>
      <c r="BS209" s="546"/>
      <c r="BT209" s="546"/>
      <c r="BU209" s="546"/>
      <c r="BV209" s="546"/>
      <c r="BW209" s="546"/>
      <c r="BX209" s="546"/>
      <c r="BY209" s="546"/>
      <c r="BZ209" s="546"/>
      <c r="CA209" s="546"/>
      <c r="CB209" s="84"/>
      <c r="CC209" s="84"/>
      <c r="CD209" s="84"/>
      <c r="CE209" s="84"/>
      <c r="CF209" s="84"/>
      <c r="CG209" s="84"/>
      <c r="CH209" s="84"/>
      <c r="CI209" s="84"/>
      <c r="CJ209" s="84"/>
      <c r="CK209" s="84"/>
      <c r="CL209" s="84"/>
      <c r="CM209" s="84"/>
    </row>
    <row r="210" spans="5:91" s="354" customFormat="1" x14ac:dyDescent="0.2">
      <c r="E210" s="546"/>
      <c r="G210" s="1880"/>
      <c r="H210" s="1880"/>
      <c r="I210" s="1880"/>
      <c r="J210" s="1880"/>
      <c r="K210" s="1880"/>
      <c r="L210" s="1880"/>
      <c r="M210" s="1880"/>
      <c r="N210" s="1880"/>
      <c r="O210" s="1880"/>
      <c r="P210" s="1880"/>
      <c r="Q210" s="1880"/>
      <c r="R210" s="2292"/>
      <c r="S210" s="2292"/>
      <c r="T210" s="2292"/>
      <c r="U210" s="2292"/>
      <c r="BO210" s="546"/>
      <c r="BP210" s="546"/>
      <c r="BQ210" s="546"/>
      <c r="BR210" s="546"/>
      <c r="BS210" s="546"/>
      <c r="BT210" s="546"/>
      <c r="BU210" s="546"/>
      <c r="BV210" s="546"/>
      <c r="BW210" s="546"/>
      <c r="BX210" s="546"/>
      <c r="BY210" s="546"/>
      <c r="BZ210" s="546"/>
      <c r="CA210" s="546"/>
      <c r="CB210" s="84"/>
      <c r="CC210" s="84"/>
      <c r="CD210" s="84"/>
      <c r="CE210" s="84"/>
      <c r="CF210" s="84"/>
      <c r="CG210" s="84"/>
      <c r="CH210" s="84"/>
      <c r="CI210" s="84"/>
      <c r="CJ210" s="84"/>
      <c r="CK210" s="84"/>
      <c r="CL210" s="84"/>
      <c r="CM210" s="84"/>
    </row>
    <row r="211" spans="5:91" s="354" customFormat="1" x14ac:dyDescent="0.2">
      <c r="E211" s="546"/>
      <c r="G211" s="1880"/>
      <c r="H211" s="1880"/>
      <c r="I211" s="1880"/>
      <c r="J211" s="1880"/>
      <c r="K211" s="1880"/>
      <c r="L211" s="1880"/>
      <c r="M211" s="1880"/>
      <c r="N211" s="1880"/>
      <c r="O211" s="1880"/>
      <c r="P211" s="1880"/>
      <c r="Q211" s="1880"/>
      <c r="R211" s="2292"/>
      <c r="S211" s="2292"/>
      <c r="T211" s="2292"/>
      <c r="U211" s="2292"/>
      <c r="BO211" s="546"/>
      <c r="BP211" s="546"/>
      <c r="BQ211" s="546"/>
      <c r="BR211" s="546"/>
      <c r="BS211" s="546"/>
      <c r="BT211" s="546"/>
      <c r="BU211" s="546"/>
      <c r="BV211" s="546"/>
      <c r="BW211" s="546"/>
      <c r="BX211" s="546"/>
      <c r="BY211" s="546"/>
      <c r="BZ211" s="546"/>
      <c r="CA211" s="546"/>
      <c r="CB211" s="84"/>
      <c r="CC211" s="84"/>
      <c r="CD211" s="84"/>
      <c r="CE211" s="84"/>
      <c r="CF211" s="84"/>
      <c r="CG211" s="84"/>
      <c r="CH211" s="84"/>
      <c r="CI211" s="84"/>
      <c r="CJ211" s="84"/>
      <c r="CK211" s="84"/>
      <c r="CL211" s="84"/>
      <c r="CM211" s="84"/>
    </row>
    <row r="212" spans="5:91" s="354" customFormat="1" x14ac:dyDescent="0.2">
      <c r="E212" s="546"/>
      <c r="G212" s="1880"/>
      <c r="H212" s="1880"/>
      <c r="I212" s="1880"/>
      <c r="J212" s="1880"/>
      <c r="K212" s="1880"/>
      <c r="L212" s="1880"/>
      <c r="M212" s="1880"/>
      <c r="N212" s="1880"/>
      <c r="O212" s="1880"/>
      <c r="P212" s="1880"/>
      <c r="Q212" s="1880"/>
      <c r="R212" s="2292"/>
      <c r="S212" s="2292"/>
      <c r="T212" s="2292"/>
      <c r="U212" s="2292"/>
      <c r="BO212" s="546"/>
      <c r="BP212" s="546"/>
      <c r="BQ212" s="546"/>
      <c r="BR212" s="546"/>
      <c r="BS212" s="546"/>
      <c r="BT212" s="546"/>
      <c r="BU212" s="546"/>
      <c r="BV212" s="546"/>
      <c r="BW212" s="546"/>
      <c r="BX212" s="546"/>
      <c r="BY212" s="546"/>
      <c r="BZ212" s="546"/>
      <c r="CA212" s="546"/>
      <c r="CB212" s="84"/>
      <c r="CC212" s="84"/>
      <c r="CD212" s="84"/>
      <c r="CE212" s="84"/>
      <c r="CF212" s="84"/>
      <c r="CG212" s="84"/>
      <c r="CH212" s="84"/>
      <c r="CI212" s="84"/>
      <c r="CJ212" s="84"/>
      <c r="CK212" s="84"/>
      <c r="CL212" s="84"/>
      <c r="CM212" s="84"/>
    </row>
    <row r="213" spans="5:91" s="354" customFormat="1" x14ac:dyDescent="0.2">
      <c r="E213" s="546"/>
      <c r="G213" s="1880"/>
      <c r="H213" s="1880"/>
      <c r="I213" s="1880"/>
      <c r="J213" s="1880"/>
      <c r="K213" s="1880"/>
      <c r="L213" s="1880"/>
      <c r="M213" s="1880"/>
      <c r="N213" s="1880"/>
      <c r="O213" s="1880"/>
      <c r="P213" s="1880"/>
      <c r="Q213" s="1880"/>
      <c r="R213" s="2292"/>
      <c r="S213" s="2292"/>
      <c r="T213" s="2292"/>
      <c r="U213" s="2292"/>
      <c r="BO213" s="546"/>
      <c r="BP213" s="546"/>
      <c r="BQ213" s="546"/>
      <c r="BR213" s="546"/>
      <c r="BS213" s="546"/>
      <c r="BT213" s="546"/>
      <c r="BU213" s="546"/>
      <c r="BV213" s="546"/>
      <c r="BW213" s="546"/>
      <c r="BX213" s="546"/>
      <c r="BY213" s="546"/>
      <c r="BZ213" s="546"/>
      <c r="CA213" s="546"/>
      <c r="CB213" s="84"/>
      <c r="CC213" s="84"/>
      <c r="CD213" s="84"/>
      <c r="CE213" s="84"/>
      <c r="CF213" s="84"/>
      <c r="CG213" s="84"/>
      <c r="CH213" s="84"/>
      <c r="CI213" s="84"/>
      <c r="CJ213" s="84"/>
      <c r="CK213" s="84"/>
      <c r="CL213" s="84"/>
      <c r="CM213" s="84"/>
    </row>
    <row r="214" spans="5:91" s="354" customFormat="1" x14ac:dyDescent="0.2">
      <c r="E214" s="546"/>
      <c r="G214" s="1880"/>
      <c r="H214" s="1880"/>
      <c r="I214" s="1880"/>
      <c r="J214" s="1880"/>
      <c r="K214" s="1880"/>
      <c r="L214" s="1880"/>
      <c r="M214" s="1880"/>
      <c r="N214" s="1880"/>
      <c r="O214" s="1880"/>
      <c r="P214" s="1880"/>
      <c r="Q214" s="1880"/>
      <c r="R214" s="2292"/>
      <c r="S214" s="2292"/>
      <c r="T214" s="2292"/>
      <c r="U214" s="2292"/>
      <c r="BO214" s="546"/>
      <c r="BP214" s="546"/>
      <c r="BQ214" s="546"/>
      <c r="BR214" s="546"/>
      <c r="BS214" s="546"/>
      <c r="BT214" s="546"/>
      <c r="BU214" s="546"/>
      <c r="BV214" s="546"/>
      <c r="BW214" s="546"/>
      <c r="BX214" s="546"/>
      <c r="BY214" s="546"/>
      <c r="BZ214" s="546"/>
      <c r="CA214" s="546"/>
      <c r="CB214" s="84"/>
      <c r="CC214" s="84"/>
      <c r="CD214" s="84"/>
      <c r="CE214" s="84"/>
      <c r="CF214" s="84"/>
      <c r="CG214" s="84"/>
      <c r="CH214" s="84"/>
      <c r="CI214" s="84"/>
      <c r="CJ214" s="84"/>
      <c r="CK214" s="84"/>
      <c r="CL214" s="84"/>
      <c r="CM214" s="84"/>
    </row>
    <row r="215" spans="5:91" s="354" customFormat="1" x14ac:dyDescent="0.2">
      <c r="E215" s="546"/>
      <c r="G215" s="1880"/>
      <c r="H215" s="1880"/>
      <c r="I215" s="1880"/>
      <c r="J215" s="1880"/>
      <c r="K215" s="1880"/>
      <c r="L215" s="1880"/>
      <c r="M215" s="1880"/>
      <c r="N215" s="1880"/>
      <c r="O215" s="1880"/>
      <c r="P215" s="1880"/>
      <c r="Q215" s="1880"/>
      <c r="R215" s="2292"/>
      <c r="S215" s="2292"/>
      <c r="T215" s="2292"/>
      <c r="U215" s="2292"/>
      <c r="BO215" s="546"/>
      <c r="BP215" s="546"/>
      <c r="BQ215" s="546"/>
      <c r="BR215" s="546"/>
      <c r="BS215" s="546"/>
      <c r="BT215" s="546"/>
      <c r="BU215" s="546"/>
      <c r="BV215" s="546"/>
      <c r="BW215" s="546"/>
      <c r="BX215" s="546"/>
      <c r="BY215" s="546"/>
      <c r="BZ215" s="546"/>
      <c r="CA215" s="546"/>
      <c r="CB215" s="84"/>
      <c r="CC215" s="84"/>
      <c r="CD215" s="84"/>
      <c r="CE215" s="84"/>
      <c r="CF215" s="84"/>
      <c r="CG215" s="84"/>
      <c r="CH215" s="84"/>
      <c r="CI215" s="84"/>
      <c r="CJ215" s="84"/>
      <c r="CK215" s="84"/>
      <c r="CL215" s="84"/>
      <c r="CM215" s="84"/>
    </row>
    <row r="216" spans="5:91" s="354" customFormat="1" x14ac:dyDescent="0.2">
      <c r="E216" s="546"/>
      <c r="G216" s="1880"/>
      <c r="H216" s="1880"/>
      <c r="I216" s="1880"/>
      <c r="J216" s="1880"/>
      <c r="K216" s="1880"/>
      <c r="L216" s="1880"/>
      <c r="M216" s="1880"/>
      <c r="N216" s="1880"/>
      <c r="O216" s="1880"/>
      <c r="P216" s="1880"/>
      <c r="Q216" s="1880"/>
      <c r="R216" s="2292"/>
      <c r="S216" s="2292"/>
      <c r="T216" s="2292"/>
      <c r="U216" s="2292"/>
      <c r="BO216" s="546"/>
      <c r="BP216" s="546"/>
      <c r="BQ216" s="546"/>
      <c r="BR216" s="546"/>
      <c r="BS216" s="546"/>
      <c r="BT216" s="546"/>
      <c r="BU216" s="546"/>
      <c r="BV216" s="546"/>
      <c r="BW216" s="546"/>
      <c r="BX216" s="546"/>
      <c r="BY216" s="546"/>
      <c r="BZ216" s="546"/>
      <c r="CA216" s="546"/>
      <c r="CB216" s="84"/>
      <c r="CC216" s="84"/>
      <c r="CD216" s="84"/>
      <c r="CE216" s="84"/>
      <c r="CF216" s="84"/>
      <c r="CG216" s="84"/>
      <c r="CH216" s="84"/>
      <c r="CI216" s="84"/>
      <c r="CJ216" s="84"/>
      <c r="CK216" s="84"/>
      <c r="CL216" s="84"/>
      <c r="CM216" s="84"/>
    </row>
    <row r="217" spans="5:91" s="354" customFormat="1" x14ac:dyDescent="0.2">
      <c r="E217" s="546"/>
      <c r="G217" s="1880"/>
      <c r="H217" s="1880"/>
      <c r="I217" s="1880"/>
      <c r="J217" s="1880"/>
      <c r="K217" s="1880"/>
      <c r="L217" s="1880"/>
      <c r="M217" s="1880"/>
      <c r="N217" s="1880"/>
      <c r="O217" s="1880"/>
      <c r="P217" s="1880"/>
      <c r="Q217" s="1880"/>
      <c r="R217" s="2292"/>
      <c r="S217" s="2292"/>
      <c r="T217" s="2292"/>
      <c r="U217" s="2292"/>
      <c r="BO217" s="546"/>
      <c r="BP217" s="546"/>
      <c r="BQ217" s="546"/>
      <c r="BR217" s="546"/>
      <c r="BS217" s="546"/>
      <c r="BT217" s="546"/>
      <c r="BU217" s="546"/>
      <c r="BV217" s="546"/>
      <c r="BW217" s="546"/>
      <c r="BX217" s="546"/>
      <c r="BY217" s="546"/>
      <c r="BZ217" s="546"/>
      <c r="CA217" s="546"/>
      <c r="CB217" s="84"/>
      <c r="CC217" s="84"/>
      <c r="CD217" s="84"/>
      <c r="CE217" s="84"/>
      <c r="CF217" s="84"/>
      <c r="CG217" s="84"/>
      <c r="CH217" s="84"/>
      <c r="CI217" s="84"/>
      <c r="CJ217" s="84"/>
      <c r="CK217" s="84"/>
      <c r="CL217" s="84"/>
      <c r="CM217" s="84"/>
    </row>
    <row r="218" spans="5:91" s="354" customFormat="1" x14ac:dyDescent="0.2">
      <c r="E218" s="546"/>
      <c r="G218" s="1880"/>
      <c r="H218" s="1880"/>
      <c r="I218" s="1880"/>
      <c r="J218" s="1880"/>
      <c r="K218" s="1880"/>
      <c r="L218" s="1880"/>
      <c r="M218" s="1880"/>
      <c r="N218" s="1880"/>
      <c r="O218" s="1880"/>
      <c r="P218" s="1880"/>
      <c r="Q218" s="1880"/>
      <c r="R218" s="2292"/>
      <c r="S218" s="2292"/>
      <c r="T218" s="2292"/>
      <c r="U218" s="2292"/>
      <c r="BO218" s="546"/>
      <c r="BP218" s="546"/>
      <c r="BQ218" s="546"/>
      <c r="BR218" s="546"/>
      <c r="BS218" s="546"/>
      <c r="BT218" s="546"/>
      <c r="BU218" s="546"/>
      <c r="BV218" s="546"/>
      <c r="BW218" s="546"/>
      <c r="BX218" s="546"/>
      <c r="BY218" s="546"/>
      <c r="BZ218" s="546"/>
      <c r="CA218" s="546"/>
      <c r="CB218" s="84"/>
      <c r="CC218" s="84"/>
      <c r="CD218" s="84"/>
      <c r="CE218" s="84"/>
      <c r="CF218" s="84"/>
      <c r="CG218" s="84"/>
      <c r="CH218" s="84"/>
      <c r="CI218" s="84"/>
      <c r="CJ218" s="84"/>
      <c r="CK218" s="84"/>
      <c r="CL218" s="84"/>
      <c r="CM218" s="84"/>
    </row>
    <row r="219" spans="5:91" s="354" customFormat="1" x14ac:dyDescent="0.2">
      <c r="E219" s="546"/>
      <c r="G219" s="1880"/>
      <c r="H219" s="1880"/>
      <c r="I219" s="1880"/>
      <c r="J219" s="1880"/>
      <c r="K219" s="1880"/>
      <c r="L219" s="1880"/>
      <c r="M219" s="1880"/>
      <c r="N219" s="1880"/>
      <c r="O219" s="1880"/>
      <c r="P219" s="1880"/>
      <c r="Q219" s="1880"/>
      <c r="R219" s="2292"/>
      <c r="S219" s="2292"/>
      <c r="T219" s="2292"/>
      <c r="U219" s="2292"/>
      <c r="BO219" s="546"/>
      <c r="BP219" s="546"/>
      <c r="BQ219" s="546"/>
      <c r="BR219" s="546"/>
      <c r="BS219" s="546"/>
      <c r="BT219" s="546"/>
      <c r="BU219" s="546"/>
      <c r="BV219" s="546"/>
      <c r="BW219" s="546"/>
      <c r="BX219" s="546"/>
      <c r="BY219" s="546"/>
      <c r="BZ219" s="546"/>
      <c r="CA219" s="546"/>
      <c r="CB219" s="84"/>
      <c r="CC219" s="84"/>
      <c r="CD219" s="84"/>
      <c r="CE219" s="84"/>
      <c r="CF219" s="84"/>
      <c r="CG219" s="84"/>
      <c r="CH219" s="84"/>
      <c r="CI219" s="84"/>
      <c r="CJ219" s="84"/>
      <c r="CK219" s="84"/>
      <c r="CL219" s="84"/>
      <c r="CM219" s="84"/>
    </row>
    <row r="220" spans="5:91" s="354" customFormat="1" x14ac:dyDescent="0.2">
      <c r="E220" s="546"/>
      <c r="G220" s="1880"/>
      <c r="H220" s="1880"/>
      <c r="I220" s="1880"/>
      <c r="J220" s="1880"/>
      <c r="K220" s="1880"/>
      <c r="L220" s="1880"/>
      <c r="M220" s="1880"/>
      <c r="N220" s="1880"/>
      <c r="O220" s="1880"/>
      <c r="P220" s="1880"/>
      <c r="Q220" s="1880"/>
      <c r="R220" s="2292"/>
      <c r="S220" s="2292"/>
      <c r="T220" s="2292"/>
      <c r="U220" s="2292"/>
      <c r="BO220" s="546"/>
      <c r="BP220" s="546"/>
      <c r="BQ220" s="546"/>
      <c r="BR220" s="546"/>
      <c r="BS220" s="546"/>
      <c r="BT220" s="546"/>
      <c r="BU220" s="546"/>
      <c r="BV220" s="546"/>
      <c r="BW220" s="546"/>
      <c r="BX220" s="546"/>
      <c r="BY220" s="546"/>
      <c r="BZ220" s="546"/>
      <c r="CA220" s="546"/>
      <c r="CB220" s="84"/>
      <c r="CC220" s="84"/>
      <c r="CD220" s="84"/>
      <c r="CE220" s="84"/>
      <c r="CF220" s="84"/>
      <c r="CG220" s="84"/>
      <c r="CH220" s="84"/>
      <c r="CI220" s="84"/>
      <c r="CJ220" s="84"/>
      <c r="CK220" s="84"/>
      <c r="CL220" s="84"/>
      <c r="CM220" s="84"/>
    </row>
    <row r="221" spans="5:91" s="354" customFormat="1" x14ac:dyDescent="0.2">
      <c r="E221" s="546"/>
      <c r="G221" s="1880"/>
      <c r="H221" s="1880"/>
      <c r="I221" s="1880"/>
      <c r="J221" s="1880"/>
      <c r="K221" s="1880"/>
      <c r="L221" s="1880"/>
      <c r="M221" s="1880"/>
      <c r="N221" s="1880"/>
      <c r="O221" s="1880"/>
      <c r="P221" s="1880"/>
      <c r="Q221" s="1880"/>
      <c r="R221" s="2292"/>
      <c r="S221" s="2292"/>
      <c r="T221" s="2292"/>
      <c r="U221" s="2292"/>
      <c r="BO221" s="546"/>
      <c r="BP221" s="546"/>
      <c r="BQ221" s="546"/>
      <c r="BR221" s="546"/>
      <c r="BS221" s="546"/>
      <c r="BT221" s="546"/>
      <c r="BU221" s="546"/>
      <c r="BV221" s="546"/>
      <c r="BW221" s="546"/>
      <c r="BX221" s="546"/>
      <c r="BY221" s="546"/>
      <c r="BZ221" s="546"/>
      <c r="CA221" s="546"/>
      <c r="CB221" s="84"/>
      <c r="CC221" s="84"/>
      <c r="CD221" s="84"/>
      <c r="CE221" s="84"/>
      <c r="CF221" s="84"/>
      <c r="CG221" s="84"/>
      <c r="CH221" s="84"/>
      <c r="CI221" s="84"/>
      <c r="CJ221" s="84"/>
      <c r="CK221" s="84"/>
      <c r="CL221" s="84"/>
      <c r="CM221" s="84"/>
    </row>
    <row r="222" spans="5:91" s="354" customFormat="1" x14ac:dyDescent="0.2">
      <c r="E222" s="546"/>
      <c r="G222" s="1880"/>
      <c r="H222" s="1880"/>
      <c r="I222" s="1880"/>
      <c r="J222" s="1880"/>
      <c r="K222" s="1880"/>
      <c r="L222" s="1880"/>
      <c r="M222" s="1880"/>
      <c r="N222" s="1880"/>
      <c r="O222" s="1880"/>
      <c r="P222" s="1880"/>
      <c r="Q222" s="1880"/>
      <c r="R222" s="2292"/>
      <c r="S222" s="2292"/>
      <c r="T222" s="2292"/>
      <c r="U222" s="2292"/>
      <c r="BO222" s="546"/>
      <c r="BP222" s="546"/>
      <c r="BQ222" s="546"/>
      <c r="BR222" s="546"/>
      <c r="BS222" s="546"/>
      <c r="BT222" s="546"/>
      <c r="BU222" s="546"/>
      <c r="BV222" s="546"/>
      <c r="BW222" s="546"/>
      <c r="BX222" s="546"/>
      <c r="BY222" s="546"/>
      <c r="BZ222" s="546"/>
      <c r="CA222" s="546"/>
      <c r="CB222" s="84"/>
      <c r="CC222" s="84"/>
      <c r="CD222" s="84"/>
      <c r="CE222" s="84"/>
      <c r="CF222" s="84"/>
      <c r="CG222" s="84"/>
      <c r="CH222" s="84"/>
      <c r="CI222" s="84"/>
      <c r="CJ222" s="84"/>
      <c r="CK222" s="84"/>
      <c r="CL222" s="84"/>
      <c r="CM222" s="84"/>
    </row>
    <row r="223" spans="5:91" s="354" customFormat="1" x14ac:dyDescent="0.2">
      <c r="E223" s="546"/>
      <c r="G223" s="1880"/>
      <c r="H223" s="1880"/>
      <c r="I223" s="1880"/>
      <c r="J223" s="1880"/>
      <c r="K223" s="1880"/>
      <c r="L223" s="1880"/>
      <c r="M223" s="1880"/>
      <c r="N223" s="1880"/>
      <c r="O223" s="1880"/>
      <c r="P223" s="1880"/>
      <c r="Q223" s="1880"/>
      <c r="R223" s="2292"/>
      <c r="S223" s="2292"/>
      <c r="T223" s="2292"/>
      <c r="U223" s="2292"/>
      <c r="BO223" s="546"/>
      <c r="BP223" s="546"/>
      <c r="BQ223" s="546"/>
      <c r="BR223" s="546"/>
      <c r="BS223" s="546"/>
      <c r="BT223" s="546"/>
      <c r="BU223" s="546"/>
      <c r="BV223" s="546"/>
      <c r="BW223" s="546"/>
      <c r="BX223" s="546"/>
      <c r="BY223" s="546"/>
      <c r="BZ223" s="546"/>
      <c r="CA223" s="546"/>
      <c r="CB223" s="84"/>
      <c r="CC223" s="84"/>
      <c r="CD223" s="84"/>
      <c r="CE223" s="84"/>
      <c r="CF223" s="84"/>
      <c r="CG223" s="84"/>
      <c r="CH223" s="84"/>
      <c r="CI223" s="84"/>
      <c r="CJ223" s="84"/>
      <c r="CK223" s="84"/>
      <c r="CL223" s="84"/>
      <c r="CM223" s="84"/>
    </row>
    <row r="224" spans="5:91" s="354" customFormat="1" x14ac:dyDescent="0.2">
      <c r="E224" s="546"/>
      <c r="G224" s="1880"/>
      <c r="H224" s="1880"/>
      <c r="I224" s="1880"/>
      <c r="J224" s="1880"/>
      <c r="K224" s="1880"/>
      <c r="L224" s="1880"/>
      <c r="M224" s="1880"/>
      <c r="N224" s="1880"/>
      <c r="O224" s="1880"/>
      <c r="P224" s="1880"/>
      <c r="Q224" s="1880"/>
      <c r="R224" s="2292"/>
      <c r="S224" s="2292"/>
      <c r="T224" s="2292"/>
      <c r="U224" s="2292"/>
      <c r="BO224" s="546"/>
      <c r="BP224" s="546"/>
      <c r="BQ224" s="546"/>
      <c r="BR224" s="546"/>
      <c r="BS224" s="546"/>
      <c r="BT224" s="546"/>
      <c r="BU224" s="546"/>
      <c r="BV224" s="546"/>
      <c r="BW224" s="546"/>
      <c r="BX224" s="546"/>
      <c r="BY224" s="546"/>
      <c r="BZ224" s="546"/>
      <c r="CA224" s="546"/>
      <c r="CB224" s="84"/>
      <c r="CC224" s="84"/>
      <c r="CD224" s="84"/>
      <c r="CE224" s="84"/>
      <c r="CF224" s="84"/>
      <c r="CG224" s="84"/>
      <c r="CH224" s="84"/>
      <c r="CI224" s="84"/>
      <c r="CJ224" s="84"/>
      <c r="CK224" s="84"/>
      <c r="CL224" s="84"/>
      <c r="CM224" s="84"/>
    </row>
    <row r="225" spans="5:91" s="354" customFormat="1" x14ac:dyDescent="0.2">
      <c r="E225" s="546"/>
      <c r="G225" s="1880"/>
      <c r="H225" s="1880"/>
      <c r="I225" s="1880"/>
      <c r="J225" s="1880"/>
      <c r="K225" s="1880"/>
      <c r="L225" s="1880"/>
      <c r="M225" s="1880"/>
      <c r="N225" s="1880"/>
      <c r="O225" s="1880"/>
      <c r="P225" s="1880"/>
      <c r="Q225" s="1880"/>
      <c r="R225" s="2292"/>
      <c r="S225" s="2292"/>
      <c r="T225" s="2292"/>
      <c r="U225" s="2292"/>
      <c r="BO225" s="546"/>
      <c r="BP225" s="546"/>
      <c r="BQ225" s="546"/>
      <c r="BR225" s="546"/>
      <c r="BS225" s="546"/>
      <c r="BT225" s="546"/>
      <c r="BU225" s="546"/>
      <c r="BV225" s="546"/>
      <c r="BW225" s="546"/>
      <c r="BX225" s="546"/>
      <c r="BY225" s="546"/>
      <c r="BZ225" s="546"/>
      <c r="CA225" s="546"/>
      <c r="CB225" s="84"/>
      <c r="CC225" s="84"/>
      <c r="CD225" s="84"/>
      <c r="CE225" s="84"/>
      <c r="CF225" s="84"/>
      <c r="CG225" s="84"/>
      <c r="CH225" s="84"/>
      <c r="CI225" s="84"/>
      <c r="CJ225" s="84"/>
      <c r="CK225" s="84"/>
      <c r="CL225" s="84"/>
      <c r="CM225" s="84"/>
    </row>
    <row r="226" spans="5:91" s="354" customFormat="1" x14ac:dyDescent="0.2">
      <c r="E226" s="546"/>
      <c r="G226" s="1880"/>
      <c r="H226" s="1880"/>
      <c r="I226" s="1880"/>
      <c r="J226" s="1880"/>
      <c r="K226" s="1880"/>
      <c r="L226" s="1880"/>
      <c r="M226" s="1880"/>
      <c r="N226" s="1880"/>
      <c r="O226" s="1880"/>
      <c r="P226" s="1880"/>
      <c r="Q226" s="1880"/>
      <c r="R226" s="2292"/>
      <c r="S226" s="2292"/>
      <c r="T226" s="2292"/>
      <c r="U226" s="2292"/>
      <c r="BO226" s="546"/>
      <c r="BP226" s="546"/>
      <c r="BQ226" s="546"/>
      <c r="BR226" s="546"/>
      <c r="BS226" s="546"/>
      <c r="BT226" s="546"/>
      <c r="BU226" s="546"/>
      <c r="BV226" s="546"/>
      <c r="BW226" s="546"/>
      <c r="BX226" s="546"/>
      <c r="BY226" s="546"/>
      <c r="BZ226" s="546"/>
      <c r="CA226" s="546"/>
      <c r="CB226" s="84"/>
      <c r="CC226" s="84"/>
      <c r="CD226" s="84"/>
      <c r="CE226" s="84"/>
      <c r="CF226" s="84"/>
      <c r="CG226" s="84"/>
      <c r="CH226" s="84"/>
      <c r="CI226" s="84"/>
      <c r="CJ226" s="84"/>
      <c r="CK226" s="84"/>
      <c r="CL226" s="84"/>
      <c r="CM226" s="84"/>
    </row>
    <row r="227" spans="5:91" s="354" customFormat="1" x14ac:dyDescent="0.2">
      <c r="E227" s="546"/>
      <c r="G227" s="1880"/>
      <c r="H227" s="1880"/>
      <c r="I227" s="1880"/>
      <c r="J227" s="1880"/>
      <c r="K227" s="1880"/>
      <c r="L227" s="1880"/>
      <c r="M227" s="1880"/>
      <c r="N227" s="1880"/>
      <c r="O227" s="1880"/>
      <c r="P227" s="1880"/>
      <c r="Q227" s="1880"/>
      <c r="R227" s="2292"/>
      <c r="S227" s="2292"/>
      <c r="T227" s="2292"/>
      <c r="U227" s="2292"/>
      <c r="BO227" s="546"/>
      <c r="BP227" s="546"/>
      <c r="BQ227" s="546"/>
      <c r="BR227" s="546"/>
      <c r="BS227" s="546"/>
      <c r="BT227" s="546"/>
      <c r="BU227" s="546"/>
      <c r="BV227" s="546"/>
      <c r="BW227" s="546"/>
      <c r="BX227" s="546"/>
      <c r="BY227" s="546"/>
      <c r="BZ227" s="546"/>
      <c r="CA227" s="546"/>
      <c r="CB227" s="84"/>
      <c r="CC227" s="84"/>
      <c r="CD227" s="84"/>
      <c r="CE227" s="84"/>
      <c r="CF227" s="84"/>
      <c r="CG227" s="84"/>
      <c r="CH227" s="84"/>
      <c r="CI227" s="84"/>
      <c r="CJ227" s="84"/>
      <c r="CK227" s="84"/>
      <c r="CL227" s="84"/>
      <c r="CM227" s="84"/>
    </row>
    <row r="228" spans="5:91" s="354" customFormat="1" x14ac:dyDescent="0.2">
      <c r="E228" s="546"/>
      <c r="G228" s="1880"/>
      <c r="H228" s="1880"/>
      <c r="I228" s="1880"/>
      <c r="J228" s="1880"/>
      <c r="K228" s="1880"/>
      <c r="L228" s="1880"/>
      <c r="M228" s="1880"/>
      <c r="N228" s="1880"/>
      <c r="O228" s="1880"/>
      <c r="P228" s="1880"/>
      <c r="Q228" s="1880"/>
      <c r="R228" s="2292"/>
      <c r="S228" s="2292"/>
      <c r="T228" s="2292"/>
      <c r="U228" s="2292"/>
      <c r="BO228" s="546"/>
      <c r="BP228" s="546"/>
      <c r="BQ228" s="546"/>
      <c r="BR228" s="546"/>
      <c r="BS228" s="546"/>
      <c r="BT228" s="546"/>
      <c r="BU228" s="546"/>
      <c r="BV228" s="546"/>
      <c r="BW228" s="546"/>
      <c r="BX228" s="546"/>
      <c r="BY228" s="546"/>
      <c r="BZ228" s="546"/>
      <c r="CA228" s="546"/>
      <c r="CB228" s="84"/>
      <c r="CC228" s="84"/>
      <c r="CD228" s="84"/>
      <c r="CE228" s="84"/>
      <c r="CF228" s="84"/>
      <c r="CG228" s="84"/>
      <c r="CH228" s="84"/>
      <c r="CI228" s="84"/>
      <c r="CJ228" s="84"/>
      <c r="CK228" s="84"/>
      <c r="CL228" s="84"/>
      <c r="CM228" s="84"/>
    </row>
    <row r="229" spans="5:91" s="354" customFormat="1" x14ac:dyDescent="0.2">
      <c r="E229" s="546"/>
      <c r="G229" s="1880"/>
      <c r="H229" s="1880"/>
      <c r="I229" s="1880"/>
      <c r="J229" s="1880"/>
      <c r="K229" s="1880"/>
      <c r="L229" s="1880"/>
      <c r="M229" s="1880"/>
      <c r="N229" s="1880"/>
      <c r="O229" s="1880"/>
      <c r="P229" s="1880"/>
      <c r="Q229" s="1880"/>
      <c r="R229" s="2292"/>
      <c r="S229" s="2292"/>
      <c r="T229" s="2292"/>
      <c r="U229" s="2292"/>
      <c r="BO229" s="546"/>
      <c r="BP229" s="546"/>
      <c r="BQ229" s="546"/>
      <c r="BR229" s="546"/>
      <c r="BS229" s="546"/>
      <c r="BT229" s="546"/>
      <c r="BU229" s="546"/>
      <c r="BV229" s="546"/>
      <c r="BW229" s="546"/>
      <c r="BX229" s="546"/>
      <c r="BY229" s="546"/>
      <c r="BZ229" s="546"/>
      <c r="CA229" s="546"/>
      <c r="CB229" s="84"/>
      <c r="CC229" s="84"/>
      <c r="CD229" s="84"/>
      <c r="CE229" s="84"/>
      <c r="CF229" s="84"/>
      <c r="CG229" s="84"/>
      <c r="CH229" s="84"/>
      <c r="CI229" s="84"/>
      <c r="CJ229" s="84"/>
      <c r="CK229" s="84"/>
      <c r="CL229" s="84"/>
      <c r="CM229" s="84"/>
    </row>
    <row r="230" spans="5:91" s="354" customFormat="1" x14ac:dyDescent="0.2">
      <c r="E230" s="546"/>
      <c r="G230" s="1880"/>
      <c r="H230" s="1880"/>
      <c r="I230" s="1880"/>
      <c r="J230" s="1880"/>
      <c r="K230" s="1880"/>
      <c r="L230" s="1880"/>
      <c r="M230" s="1880"/>
      <c r="N230" s="1880"/>
      <c r="O230" s="1880"/>
      <c r="P230" s="1880"/>
      <c r="Q230" s="1880"/>
      <c r="R230" s="2292"/>
      <c r="S230" s="2292"/>
      <c r="T230" s="2292"/>
      <c r="U230" s="2292"/>
      <c r="BO230" s="546"/>
      <c r="BP230" s="546"/>
      <c r="BQ230" s="546"/>
      <c r="BR230" s="546"/>
      <c r="BS230" s="546"/>
      <c r="BT230" s="546"/>
      <c r="BU230" s="546"/>
      <c r="BV230" s="546"/>
      <c r="BW230" s="546"/>
      <c r="BX230" s="546"/>
      <c r="BY230" s="546"/>
      <c r="BZ230" s="546"/>
      <c r="CA230" s="546"/>
      <c r="CB230" s="84"/>
      <c r="CC230" s="84"/>
      <c r="CD230" s="84"/>
      <c r="CE230" s="84"/>
      <c r="CF230" s="84"/>
      <c r="CG230" s="84"/>
      <c r="CH230" s="84"/>
      <c r="CI230" s="84"/>
      <c r="CJ230" s="84"/>
      <c r="CK230" s="84"/>
      <c r="CL230" s="84"/>
      <c r="CM230" s="84"/>
    </row>
    <row r="231" spans="5:91" s="354" customFormat="1" x14ac:dyDescent="0.2">
      <c r="E231" s="546"/>
      <c r="G231" s="1880"/>
      <c r="H231" s="1880"/>
      <c r="I231" s="1880"/>
      <c r="J231" s="1880"/>
      <c r="K231" s="1880"/>
      <c r="L231" s="1880"/>
      <c r="M231" s="1880"/>
      <c r="N231" s="1880"/>
      <c r="O231" s="1880"/>
      <c r="P231" s="1880"/>
      <c r="Q231" s="1880"/>
      <c r="R231" s="2292"/>
      <c r="S231" s="2292"/>
      <c r="T231" s="2292"/>
      <c r="U231" s="2292"/>
      <c r="BO231" s="546"/>
      <c r="BP231" s="546"/>
      <c r="BQ231" s="546"/>
      <c r="BR231" s="546"/>
      <c r="BS231" s="546"/>
      <c r="BT231" s="546"/>
      <c r="BU231" s="546"/>
      <c r="BV231" s="546"/>
      <c r="BW231" s="546"/>
      <c r="BX231" s="546"/>
      <c r="BY231" s="546"/>
      <c r="BZ231" s="546"/>
      <c r="CA231" s="546"/>
      <c r="CB231" s="84"/>
      <c r="CC231" s="84"/>
      <c r="CD231" s="84"/>
      <c r="CE231" s="84"/>
      <c r="CF231" s="84"/>
      <c r="CG231" s="84"/>
      <c r="CH231" s="84"/>
      <c r="CI231" s="84"/>
      <c r="CJ231" s="84"/>
      <c r="CK231" s="84"/>
      <c r="CL231" s="84"/>
      <c r="CM231" s="84"/>
    </row>
    <row r="232" spans="5:91" s="354" customFormat="1" x14ac:dyDescent="0.2">
      <c r="E232" s="546"/>
      <c r="G232" s="1880"/>
      <c r="H232" s="1880"/>
      <c r="I232" s="1880"/>
      <c r="J232" s="1880"/>
      <c r="K232" s="1880"/>
      <c r="L232" s="1880"/>
      <c r="M232" s="1880"/>
      <c r="N232" s="1880"/>
      <c r="O232" s="1880"/>
      <c r="P232" s="1880"/>
      <c r="Q232" s="1880"/>
      <c r="R232" s="2292"/>
      <c r="S232" s="2292"/>
      <c r="T232" s="2292"/>
      <c r="U232" s="2292"/>
      <c r="BO232" s="546"/>
      <c r="BP232" s="546"/>
      <c r="BQ232" s="546"/>
      <c r="BR232" s="546"/>
      <c r="BS232" s="546"/>
      <c r="BT232" s="546"/>
      <c r="BU232" s="546"/>
      <c r="BV232" s="546"/>
      <c r="BW232" s="546"/>
      <c r="BX232" s="546"/>
      <c r="BY232" s="546"/>
      <c r="BZ232" s="546"/>
      <c r="CA232" s="546"/>
      <c r="CB232" s="84"/>
      <c r="CC232" s="84"/>
      <c r="CD232" s="84"/>
      <c r="CE232" s="84"/>
      <c r="CF232" s="84"/>
      <c r="CG232" s="84"/>
      <c r="CH232" s="84"/>
      <c r="CI232" s="84"/>
      <c r="CJ232" s="84"/>
      <c r="CK232" s="84"/>
      <c r="CL232" s="84"/>
      <c r="CM232" s="84"/>
    </row>
    <row r="233" spans="5:91" s="354" customFormat="1" x14ac:dyDescent="0.2">
      <c r="E233" s="546"/>
      <c r="G233" s="1880"/>
      <c r="H233" s="1880"/>
      <c r="I233" s="1880"/>
      <c r="J233" s="1880"/>
      <c r="K233" s="1880"/>
      <c r="L233" s="1880"/>
      <c r="M233" s="1880"/>
      <c r="N233" s="1880"/>
      <c r="O233" s="1880"/>
      <c r="P233" s="1880"/>
      <c r="Q233" s="1880"/>
      <c r="R233" s="2292"/>
      <c r="S233" s="2292"/>
      <c r="T233" s="2292"/>
      <c r="U233" s="2292"/>
      <c r="BO233" s="546"/>
      <c r="BP233" s="546"/>
      <c r="BQ233" s="546"/>
      <c r="BR233" s="546"/>
      <c r="BS233" s="546"/>
      <c r="BT233" s="546"/>
      <c r="BU233" s="546"/>
      <c r="BV233" s="546"/>
      <c r="BW233" s="546"/>
      <c r="BX233" s="546"/>
      <c r="BY233" s="546"/>
      <c r="BZ233" s="546"/>
      <c r="CA233" s="546"/>
      <c r="CB233" s="84"/>
      <c r="CC233" s="84"/>
      <c r="CD233" s="84"/>
      <c r="CE233" s="84"/>
      <c r="CF233" s="84"/>
      <c r="CG233" s="84"/>
      <c r="CH233" s="84"/>
      <c r="CI233" s="84"/>
      <c r="CJ233" s="84"/>
      <c r="CK233" s="84"/>
      <c r="CL233" s="84"/>
      <c r="CM233" s="84"/>
    </row>
    <row r="234" spans="5:91" s="354" customFormat="1" x14ac:dyDescent="0.2">
      <c r="E234" s="546"/>
      <c r="G234" s="1880"/>
      <c r="H234" s="1880"/>
      <c r="I234" s="1880"/>
      <c r="J234" s="1880"/>
      <c r="K234" s="1880"/>
      <c r="L234" s="1880"/>
      <c r="M234" s="1880"/>
      <c r="N234" s="1880"/>
      <c r="O234" s="1880"/>
      <c r="P234" s="1880"/>
      <c r="Q234" s="1880"/>
      <c r="R234" s="2292"/>
      <c r="S234" s="2292"/>
      <c r="T234" s="2292"/>
      <c r="U234" s="2292"/>
      <c r="BO234" s="546"/>
      <c r="BP234" s="546"/>
      <c r="BQ234" s="546"/>
      <c r="BR234" s="546"/>
      <c r="BS234" s="546"/>
      <c r="BT234" s="546"/>
      <c r="BU234" s="546"/>
      <c r="BV234" s="546"/>
      <c r="BW234" s="546"/>
      <c r="BX234" s="546"/>
      <c r="BY234" s="546"/>
      <c r="BZ234" s="546"/>
      <c r="CA234" s="546"/>
      <c r="CB234" s="84"/>
      <c r="CC234" s="84"/>
      <c r="CD234" s="84"/>
      <c r="CE234" s="84"/>
      <c r="CF234" s="84"/>
      <c r="CG234" s="84"/>
      <c r="CH234" s="84"/>
      <c r="CI234" s="84"/>
      <c r="CJ234" s="84"/>
      <c r="CK234" s="84"/>
      <c r="CL234" s="84"/>
      <c r="CM234" s="84"/>
    </row>
    <row r="235" spans="5:91" s="354" customFormat="1" x14ac:dyDescent="0.2">
      <c r="E235" s="546"/>
      <c r="G235" s="1880"/>
      <c r="H235" s="1880"/>
      <c r="I235" s="1880"/>
      <c r="J235" s="1880"/>
      <c r="K235" s="1880"/>
      <c r="L235" s="1880"/>
      <c r="M235" s="1880"/>
      <c r="N235" s="1880"/>
      <c r="O235" s="1880"/>
      <c r="P235" s="1880"/>
      <c r="Q235" s="1880"/>
      <c r="R235" s="2292"/>
      <c r="S235" s="2292"/>
      <c r="T235" s="2292"/>
      <c r="U235" s="2292"/>
      <c r="BO235" s="546"/>
      <c r="BP235" s="546"/>
      <c r="BQ235" s="546"/>
      <c r="BR235" s="546"/>
      <c r="BS235" s="546"/>
      <c r="BT235" s="546"/>
      <c r="BU235" s="546"/>
      <c r="BV235" s="546"/>
      <c r="BW235" s="546"/>
      <c r="BX235" s="546"/>
      <c r="BY235" s="546"/>
      <c r="BZ235" s="546"/>
      <c r="CA235" s="546"/>
      <c r="CB235" s="84"/>
      <c r="CC235" s="84"/>
      <c r="CD235" s="84"/>
      <c r="CE235" s="84"/>
      <c r="CF235" s="84"/>
      <c r="CG235" s="84"/>
      <c r="CH235" s="84"/>
      <c r="CI235" s="84"/>
      <c r="CJ235" s="84"/>
      <c r="CK235" s="84"/>
      <c r="CL235" s="84"/>
      <c r="CM235" s="84"/>
    </row>
    <row r="236" spans="5:91" s="354" customFormat="1" x14ac:dyDescent="0.2">
      <c r="E236" s="546"/>
      <c r="G236" s="1880"/>
      <c r="H236" s="1880"/>
      <c r="I236" s="1880"/>
      <c r="J236" s="1880"/>
      <c r="K236" s="1880"/>
      <c r="L236" s="1880"/>
      <c r="M236" s="1880"/>
      <c r="N236" s="1880"/>
      <c r="O236" s="1880"/>
      <c r="P236" s="1880"/>
      <c r="Q236" s="1880"/>
      <c r="R236" s="2292"/>
      <c r="S236" s="2292"/>
      <c r="T236" s="2292"/>
      <c r="U236" s="2292"/>
      <c r="BO236" s="546"/>
      <c r="BP236" s="546"/>
      <c r="BQ236" s="546"/>
      <c r="BR236" s="546"/>
      <c r="BS236" s="546"/>
      <c r="BT236" s="546"/>
      <c r="BU236" s="546"/>
      <c r="BV236" s="546"/>
      <c r="BW236" s="546"/>
      <c r="BX236" s="546"/>
      <c r="BY236" s="546"/>
      <c r="BZ236" s="546"/>
      <c r="CA236" s="546"/>
      <c r="CB236" s="84"/>
      <c r="CC236" s="84"/>
      <c r="CD236" s="84"/>
      <c r="CE236" s="84"/>
      <c r="CF236" s="84"/>
      <c r="CG236" s="84"/>
      <c r="CH236" s="84"/>
      <c r="CI236" s="84"/>
      <c r="CJ236" s="84"/>
      <c r="CK236" s="84"/>
      <c r="CL236" s="84"/>
      <c r="CM236" s="84"/>
    </row>
    <row r="237" spans="5:91" s="354" customFormat="1" x14ac:dyDescent="0.2">
      <c r="E237" s="546"/>
      <c r="G237" s="1880"/>
      <c r="H237" s="1880"/>
      <c r="I237" s="1880"/>
      <c r="J237" s="1880"/>
      <c r="K237" s="1880"/>
      <c r="L237" s="1880"/>
      <c r="M237" s="1880"/>
      <c r="N237" s="1880"/>
      <c r="O237" s="1880"/>
      <c r="P237" s="1880"/>
      <c r="Q237" s="1880"/>
      <c r="R237" s="2292"/>
      <c r="S237" s="2292"/>
      <c r="T237" s="2292"/>
      <c r="U237" s="2292"/>
      <c r="BO237" s="546"/>
      <c r="BP237" s="546"/>
      <c r="BQ237" s="546"/>
      <c r="BR237" s="546"/>
      <c r="BS237" s="546"/>
      <c r="BT237" s="546"/>
      <c r="BU237" s="546"/>
      <c r="BV237" s="546"/>
      <c r="BW237" s="546"/>
      <c r="BX237" s="546"/>
      <c r="BY237" s="546"/>
      <c r="BZ237" s="546"/>
      <c r="CA237" s="546"/>
      <c r="CB237" s="84"/>
      <c r="CC237" s="84"/>
      <c r="CD237" s="84"/>
      <c r="CE237" s="84"/>
      <c r="CF237" s="84"/>
      <c r="CG237" s="84"/>
      <c r="CH237" s="84"/>
      <c r="CI237" s="84"/>
      <c r="CJ237" s="84"/>
      <c r="CK237" s="84"/>
      <c r="CL237" s="84"/>
      <c r="CM237" s="84"/>
    </row>
    <row r="238" spans="5:91" s="354" customFormat="1" x14ac:dyDescent="0.2">
      <c r="E238" s="546"/>
      <c r="G238" s="1880"/>
      <c r="H238" s="1880"/>
      <c r="I238" s="1880"/>
      <c r="J238" s="1880"/>
      <c r="K238" s="1880"/>
      <c r="L238" s="1880"/>
      <c r="M238" s="1880"/>
      <c r="N238" s="1880"/>
      <c r="O238" s="1880"/>
      <c r="P238" s="1880"/>
      <c r="Q238" s="1880"/>
      <c r="R238" s="2292"/>
      <c r="S238" s="2292"/>
      <c r="T238" s="2292"/>
      <c r="U238" s="2292"/>
      <c r="BO238" s="546"/>
      <c r="BP238" s="546"/>
      <c r="BQ238" s="546"/>
      <c r="BR238" s="546"/>
      <c r="BS238" s="546"/>
      <c r="BT238" s="546"/>
      <c r="BU238" s="546"/>
      <c r="BV238" s="546"/>
      <c r="BW238" s="546"/>
      <c r="BX238" s="546"/>
      <c r="BY238" s="546"/>
      <c r="BZ238" s="546"/>
      <c r="CA238" s="546"/>
      <c r="CB238" s="84"/>
      <c r="CC238" s="84"/>
      <c r="CD238" s="84"/>
      <c r="CE238" s="84"/>
      <c r="CF238" s="84"/>
      <c r="CG238" s="84"/>
      <c r="CH238" s="84"/>
      <c r="CI238" s="84"/>
      <c r="CJ238" s="84"/>
      <c r="CK238" s="84"/>
      <c r="CL238" s="84"/>
      <c r="CM238" s="84"/>
    </row>
    <row r="239" spans="5:91" s="354" customFormat="1" x14ac:dyDescent="0.2">
      <c r="E239" s="546"/>
      <c r="G239" s="1880"/>
      <c r="H239" s="1880"/>
      <c r="I239" s="1880"/>
      <c r="J239" s="1880"/>
      <c r="K239" s="1880"/>
      <c r="L239" s="1880"/>
      <c r="M239" s="1880"/>
      <c r="N239" s="1880"/>
      <c r="O239" s="1880"/>
      <c r="P239" s="1880"/>
      <c r="Q239" s="1880"/>
      <c r="R239" s="2292"/>
      <c r="S239" s="2292"/>
      <c r="T239" s="2292"/>
      <c r="U239" s="2292"/>
      <c r="BO239" s="546"/>
      <c r="BP239" s="546"/>
      <c r="BQ239" s="546"/>
      <c r="BR239" s="546"/>
      <c r="BS239" s="546"/>
      <c r="BT239" s="546"/>
      <c r="BU239" s="546"/>
      <c r="BV239" s="546"/>
      <c r="BW239" s="546"/>
      <c r="BX239" s="546"/>
      <c r="BY239" s="546"/>
      <c r="BZ239" s="546"/>
      <c r="CA239" s="546"/>
      <c r="CB239" s="84"/>
      <c r="CC239" s="84"/>
      <c r="CD239" s="84"/>
      <c r="CE239" s="84"/>
      <c r="CF239" s="84"/>
      <c r="CG239" s="84"/>
      <c r="CH239" s="84"/>
      <c r="CI239" s="84"/>
      <c r="CJ239" s="84"/>
      <c r="CK239" s="84"/>
      <c r="CL239" s="84"/>
      <c r="CM239" s="84"/>
    </row>
    <row r="240" spans="5:91" s="354" customFormat="1" x14ac:dyDescent="0.2">
      <c r="E240" s="546"/>
      <c r="G240" s="1880"/>
      <c r="H240" s="1880"/>
      <c r="I240" s="1880"/>
      <c r="J240" s="1880"/>
      <c r="K240" s="1880"/>
      <c r="L240" s="1880"/>
      <c r="M240" s="1880"/>
      <c r="N240" s="1880"/>
      <c r="O240" s="1880"/>
      <c r="P240" s="1880"/>
      <c r="Q240" s="1880"/>
      <c r="R240" s="2292"/>
      <c r="S240" s="2292"/>
      <c r="T240" s="2292"/>
      <c r="U240" s="2292"/>
      <c r="BO240" s="546"/>
      <c r="BP240" s="546"/>
      <c r="BQ240" s="546"/>
      <c r="BR240" s="546"/>
      <c r="BS240" s="546"/>
      <c r="BT240" s="546"/>
      <c r="BU240" s="546"/>
      <c r="BV240" s="546"/>
      <c r="BW240" s="546"/>
      <c r="BX240" s="546"/>
      <c r="BY240" s="546"/>
      <c r="BZ240" s="546"/>
      <c r="CA240" s="546"/>
      <c r="CB240" s="84"/>
      <c r="CC240" s="84"/>
      <c r="CD240" s="84"/>
      <c r="CE240" s="84"/>
      <c r="CF240" s="84"/>
      <c r="CG240" s="84"/>
      <c r="CH240" s="84"/>
      <c r="CI240" s="84"/>
      <c r="CJ240" s="84"/>
      <c r="CK240" s="84"/>
      <c r="CL240" s="84"/>
      <c r="CM240" s="84"/>
    </row>
    <row r="241" spans="5:91" s="354" customFormat="1" x14ac:dyDescent="0.2">
      <c r="E241" s="546"/>
      <c r="G241" s="1880"/>
      <c r="H241" s="1880"/>
      <c r="I241" s="1880"/>
      <c r="J241" s="1880"/>
      <c r="K241" s="1880"/>
      <c r="L241" s="1880"/>
      <c r="M241" s="1880"/>
      <c r="N241" s="1880"/>
      <c r="O241" s="1880"/>
      <c r="P241" s="1880"/>
      <c r="Q241" s="1880"/>
      <c r="R241" s="2292"/>
      <c r="S241" s="2292"/>
      <c r="T241" s="2292"/>
      <c r="U241" s="2292"/>
      <c r="BO241" s="546"/>
      <c r="BP241" s="546"/>
      <c r="BQ241" s="546"/>
      <c r="BR241" s="546"/>
      <c r="BS241" s="546"/>
      <c r="BT241" s="546"/>
      <c r="BU241" s="546"/>
      <c r="BV241" s="546"/>
      <c r="BW241" s="546"/>
      <c r="BX241" s="546"/>
      <c r="BY241" s="546"/>
      <c r="BZ241" s="546"/>
      <c r="CA241" s="546"/>
      <c r="CB241" s="84"/>
      <c r="CC241" s="84"/>
      <c r="CD241" s="84"/>
      <c r="CE241" s="84"/>
      <c r="CF241" s="84"/>
      <c r="CG241" s="84"/>
      <c r="CH241" s="84"/>
      <c r="CI241" s="84"/>
      <c r="CJ241" s="84"/>
      <c r="CK241" s="84"/>
      <c r="CL241" s="84"/>
      <c r="CM241" s="84"/>
    </row>
    <row r="242" spans="5:91" s="354" customFormat="1" x14ac:dyDescent="0.2">
      <c r="E242" s="546"/>
      <c r="G242" s="1880"/>
      <c r="H242" s="1880"/>
      <c r="I242" s="1880"/>
      <c r="J242" s="1880"/>
      <c r="K242" s="1880"/>
      <c r="L242" s="1880"/>
      <c r="M242" s="1880"/>
      <c r="N242" s="1880"/>
      <c r="O242" s="1880"/>
      <c r="P242" s="1880"/>
      <c r="Q242" s="1880"/>
      <c r="R242" s="2292"/>
      <c r="S242" s="2292"/>
      <c r="T242" s="2292"/>
      <c r="U242" s="2292"/>
      <c r="BO242" s="546"/>
      <c r="BP242" s="546"/>
      <c r="BQ242" s="546"/>
      <c r="BR242" s="546"/>
      <c r="BS242" s="546"/>
      <c r="BT242" s="546"/>
      <c r="BU242" s="546"/>
      <c r="BV242" s="546"/>
      <c r="BW242" s="546"/>
      <c r="BX242" s="546"/>
      <c r="BY242" s="546"/>
      <c r="BZ242" s="546"/>
      <c r="CA242" s="546"/>
      <c r="CB242" s="84"/>
      <c r="CC242" s="84"/>
      <c r="CD242" s="84"/>
      <c r="CE242" s="84"/>
      <c r="CF242" s="84"/>
      <c r="CG242" s="84"/>
      <c r="CH242" s="84"/>
      <c r="CI242" s="84"/>
      <c r="CJ242" s="84"/>
      <c r="CK242" s="84"/>
      <c r="CL242" s="84"/>
      <c r="CM242" s="84"/>
    </row>
    <row r="243" spans="5:91" s="354" customFormat="1" x14ac:dyDescent="0.2">
      <c r="E243" s="546"/>
      <c r="G243" s="1880"/>
      <c r="H243" s="1880"/>
      <c r="I243" s="1880"/>
      <c r="J243" s="1880"/>
      <c r="K243" s="1880"/>
      <c r="L243" s="1880"/>
      <c r="M243" s="1880"/>
      <c r="N243" s="1880"/>
      <c r="O243" s="1880"/>
      <c r="P243" s="1880"/>
      <c r="Q243" s="1880"/>
      <c r="R243" s="2292"/>
      <c r="S243" s="2292"/>
      <c r="T243" s="2292"/>
      <c r="U243" s="2292"/>
      <c r="BO243" s="546"/>
      <c r="BP243" s="546"/>
      <c r="BQ243" s="546"/>
      <c r="BR243" s="546"/>
      <c r="BS243" s="546"/>
      <c r="BT243" s="546"/>
      <c r="BU243" s="546"/>
      <c r="BV243" s="546"/>
      <c r="BW243" s="546"/>
      <c r="BX243" s="546"/>
      <c r="BY243" s="546"/>
      <c r="BZ243" s="546"/>
      <c r="CA243" s="546"/>
      <c r="CB243" s="84"/>
      <c r="CC243" s="84"/>
      <c r="CD243" s="84"/>
      <c r="CE243" s="84"/>
      <c r="CF243" s="84"/>
      <c r="CG243" s="84"/>
      <c r="CH243" s="84"/>
      <c r="CI243" s="84"/>
      <c r="CJ243" s="84"/>
      <c r="CK243" s="84"/>
      <c r="CL243" s="84"/>
      <c r="CM243" s="84"/>
    </row>
    <row r="244" spans="5:91" s="354" customFormat="1" x14ac:dyDescent="0.2">
      <c r="E244" s="546"/>
      <c r="G244" s="1880"/>
      <c r="H244" s="1880"/>
      <c r="I244" s="1880"/>
      <c r="J244" s="1880"/>
      <c r="K244" s="1880"/>
      <c r="L244" s="1880"/>
      <c r="M244" s="1880"/>
      <c r="N244" s="1880"/>
      <c r="O244" s="1880"/>
      <c r="P244" s="1880"/>
      <c r="Q244" s="1880"/>
      <c r="R244" s="2292"/>
      <c r="S244" s="2292"/>
      <c r="T244" s="2292"/>
      <c r="U244" s="2292"/>
      <c r="BO244" s="546"/>
      <c r="BP244" s="546"/>
      <c r="BQ244" s="546"/>
      <c r="BR244" s="546"/>
      <c r="BS244" s="546"/>
      <c r="BT244" s="546"/>
      <c r="BU244" s="546"/>
      <c r="BV244" s="546"/>
      <c r="BW244" s="546"/>
      <c r="BX244" s="546"/>
      <c r="BY244" s="546"/>
      <c r="BZ244" s="546"/>
      <c r="CA244" s="546"/>
      <c r="CB244" s="84"/>
      <c r="CC244" s="84"/>
      <c r="CD244" s="84"/>
      <c r="CE244" s="84"/>
      <c r="CF244" s="84"/>
      <c r="CG244" s="84"/>
      <c r="CH244" s="84"/>
      <c r="CI244" s="84"/>
      <c r="CJ244" s="84"/>
      <c r="CK244" s="84"/>
      <c r="CL244" s="84"/>
      <c r="CM244" s="84"/>
    </row>
    <row r="245" spans="5:91" s="354" customFormat="1" x14ac:dyDescent="0.2">
      <c r="E245" s="546"/>
      <c r="G245" s="1880"/>
      <c r="H245" s="1880"/>
      <c r="I245" s="1880"/>
      <c r="J245" s="1880"/>
      <c r="K245" s="1880"/>
      <c r="L245" s="1880"/>
      <c r="M245" s="1880"/>
      <c r="N245" s="1880"/>
      <c r="O245" s="1880"/>
      <c r="P245" s="1880"/>
      <c r="Q245" s="1880"/>
      <c r="R245" s="2292"/>
      <c r="S245" s="2292"/>
      <c r="T245" s="2292"/>
      <c r="U245" s="2292"/>
      <c r="BO245" s="546"/>
      <c r="BP245" s="546"/>
      <c r="BQ245" s="546"/>
      <c r="BR245" s="546"/>
      <c r="BS245" s="546"/>
      <c r="BT245" s="546"/>
      <c r="BU245" s="546"/>
      <c r="BV245" s="546"/>
      <c r="BW245" s="546"/>
      <c r="BX245" s="546"/>
      <c r="BY245" s="546"/>
      <c r="BZ245" s="546"/>
      <c r="CA245" s="546"/>
      <c r="CB245" s="84"/>
      <c r="CC245" s="84"/>
      <c r="CD245" s="84"/>
      <c r="CE245" s="84"/>
      <c r="CF245" s="84"/>
      <c r="CG245" s="84"/>
      <c r="CH245" s="84"/>
      <c r="CI245" s="84"/>
      <c r="CJ245" s="84"/>
      <c r="CK245" s="84"/>
      <c r="CL245" s="84"/>
      <c r="CM245" s="84"/>
    </row>
    <row r="246" spans="5:91" s="354" customFormat="1" x14ac:dyDescent="0.2">
      <c r="E246" s="546"/>
      <c r="G246" s="1880"/>
      <c r="H246" s="1880"/>
      <c r="I246" s="1880"/>
      <c r="J246" s="1880"/>
      <c r="K246" s="1880"/>
      <c r="L246" s="1880"/>
      <c r="M246" s="1880"/>
      <c r="N246" s="1880"/>
      <c r="O246" s="1880"/>
      <c r="P246" s="1880"/>
      <c r="Q246" s="1880"/>
      <c r="R246" s="2292"/>
      <c r="S246" s="2292"/>
      <c r="T246" s="2292"/>
      <c r="U246" s="2292"/>
      <c r="BO246" s="546"/>
      <c r="BP246" s="546"/>
      <c r="BQ246" s="546"/>
      <c r="BR246" s="546"/>
      <c r="BS246" s="546"/>
      <c r="BT246" s="546"/>
      <c r="BU246" s="546"/>
      <c r="BV246" s="546"/>
      <c r="BW246" s="546"/>
      <c r="BX246" s="546"/>
      <c r="BY246" s="546"/>
      <c r="BZ246" s="546"/>
      <c r="CA246" s="546"/>
      <c r="CB246" s="84"/>
      <c r="CC246" s="84"/>
      <c r="CD246" s="84"/>
      <c r="CE246" s="84"/>
      <c r="CF246" s="84"/>
      <c r="CG246" s="84"/>
      <c r="CH246" s="84"/>
      <c r="CI246" s="84"/>
      <c r="CJ246" s="84"/>
      <c r="CK246" s="84"/>
      <c r="CL246" s="84"/>
      <c r="CM246" s="84"/>
    </row>
    <row r="247" spans="5:91" s="354" customFormat="1" x14ac:dyDescent="0.2">
      <c r="E247" s="546"/>
      <c r="G247" s="1880"/>
      <c r="H247" s="1880"/>
      <c r="I247" s="1880"/>
      <c r="J247" s="1880"/>
      <c r="K247" s="1880"/>
      <c r="L247" s="1880"/>
      <c r="M247" s="1880"/>
      <c r="N247" s="1880"/>
      <c r="O247" s="1880"/>
      <c r="P247" s="1880"/>
      <c r="Q247" s="1880"/>
      <c r="R247" s="2292"/>
      <c r="S247" s="2292"/>
      <c r="T247" s="2292"/>
      <c r="U247" s="2292"/>
      <c r="BO247" s="546"/>
      <c r="BP247" s="546"/>
      <c r="BQ247" s="546"/>
      <c r="BR247" s="546"/>
      <c r="BS247" s="546"/>
      <c r="BT247" s="546"/>
      <c r="BU247" s="546"/>
      <c r="BV247" s="546"/>
      <c r="BW247" s="546"/>
      <c r="BX247" s="546"/>
      <c r="BY247" s="546"/>
      <c r="BZ247" s="546"/>
      <c r="CA247" s="546"/>
      <c r="CB247" s="84"/>
      <c r="CC247" s="84"/>
      <c r="CD247" s="84"/>
      <c r="CE247" s="84"/>
      <c r="CF247" s="84"/>
      <c r="CG247" s="84"/>
      <c r="CH247" s="84"/>
      <c r="CI247" s="84"/>
      <c r="CJ247" s="84"/>
      <c r="CK247" s="84"/>
      <c r="CL247" s="84"/>
      <c r="CM247" s="84"/>
    </row>
    <row r="248" spans="5:91" s="354" customFormat="1" x14ac:dyDescent="0.2">
      <c r="E248" s="546"/>
      <c r="G248" s="1880"/>
      <c r="H248" s="1880"/>
      <c r="I248" s="1880"/>
      <c r="J248" s="1880"/>
      <c r="K248" s="1880"/>
      <c r="L248" s="1880"/>
      <c r="M248" s="1880"/>
      <c r="N248" s="1880"/>
      <c r="O248" s="1880"/>
      <c r="P248" s="1880"/>
      <c r="Q248" s="1880"/>
      <c r="R248" s="2292"/>
      <c r="S248" s="2292"/>
      <c r="T248" s="2292"/>
      <c r="U248" s="2292"/>
      <c r="BO248" s="546"/>
      <c r="BP248" s="546"/>
      <c r="BQ248" s="546"/>
      <c r="BR248" s="546"/>
      <c r="BS248" s="546"/>
      <c r="BT248" s="546"/>
      <c r="BU248" s="546"/>
      <c r="BV248" s="546"/>
      <c r="BW248" s="546"/>
      <c r="BX248" s="546"/>
      <c r="BY248" s="546"/>
      <c r="BZ248" s="546"/>
      <c r="CA248" s="546"/>
      <c r="CB248" s="84"/>
      <c r="CC248" s="84"/>
      <c r="CD248" s="84"/>
      <c r="CE248" s="84"/>
      <c r="CF248" s="84"/>
      <c r="CG248" s="84"/>
      <c r="CH248" s="84"/>
      <c r="CI248" s="84"/>
      <c r="CJ248" s="84"/>
      <c r="CK248" s="84"/>
      <c r="CL248" s="84"/>
      <c r="CM248" s="84"/>
    </row>
    <row r="249" spans="5:91" s="354" customFormat="1" x14ac:dyDescent="0.2">
      <c r="E249" s="546"/>
      <c r="G249" s="1880"/>
      <c r="H249" s="1880"/>
      <c r="I249" s="1880"/>
      <c r="J249" s="1880"/>
      <c r="K249" s="1880"/>
      <c r="L249" s="1880"/>
      <c r="M249" s="1880"/>
      <c r="N249" s="1880"/>
      <c r="O249" s="1880"/>
      <c r="P249" s="1880"/>
      <c r="Q249" s="1880"/>
      <c r="R249" s="2292"/>
      <c r="S249" s="2292"/>
      <c r="T249" s="2292"/>
      <c r="U249" s="2292"/>
      <c r="BO249" s="546"/>
      <c r="BP249" s="546"/>
      <c r="BQ249" s="546"/>
      <c r="BR249" s="546"/>
      <c r="BS249" s="546"/>
      <c r="BT249" s="546"/>
      <c r="BU249" s="546"/>
      <c r="BV249" s="546"/>
      <c r="BW249" s="546"/>
      <c r="BX249" s="546"/>
      <c r="BY249" s="546"/>
      <c r="BZ249" s="546"/>
      <c r="CA249" s="546"/>
      <c r="CB249" s="84"/>
      <c r="CC249" s="84"/>
      <c r="CD249" s="84"/>
      <c r="CE249" s="84"/>
      <c r="CF249" s="84"/>
      <c r="CG249" s="84"/>
      <c r="CH249" s="84"/>
      <c r="CI249" s="84"/>
      <c r="CJ249" s="84"/>
      <c r="CK249" s="84"/>
      <c r="CL249" s="84"/>
      <c r="CM249" s="84"/>
    </row>
    <row r="250" spans="5:91" s="354" customFormat="1" x14ac:dyDescent="0.2">
      <c r="E250" s="546"/>
      <c r="G250" s="1880"/>
      <c r="H250" s="1880"/>
      <c r="I250" s="1880"/>
      <c r="J250" s="1880"/>
      <c r="K250" s="1880"/>
      <c r="L250" s="1880"/>
      <c r="M250" s="1880"/>
      <c r="N250" s="1880"/>
      <c r="O250" s="1880"/>
      <c r="P250" s="1880"/>
      <c r="Q250" s="1880"/>
      <c r="R250" s="2292"/>
      <c r="S250" s="2292"/>
      <c r="T250" s="2292"/>
      <c r="U250" s="2292"/>
      <c r="BO250" s="546"/>
      <c r="BP250" s="546"/>
      <c r="BQ250" s="546"/>
      <c r="BR250" s="546"/>
      <c r="BS250" s="546"/>
      <c r="BT250" s="546"/>
      <c r="BU250" s="546"/>
      <c r="BV250" s="546"/>
      <c r="BW250" s="546"/>
      <c r="BX250" s="546"/>
      <c r="BY250" s="546"/>
      <c r="BZ250" s="546"/>
      <c r="CA250" s="546"/>
      <c r="CB250" s="84"/>
      <c r="CC250" s="84"/>
      <c r="CD250" s="84"/>
      <c r="CE250" s="84"/>
      <c r="CF250" s="84"/>
      <c r="CG250" s="84"/>
      <c r="CH250" s="84"/>
      <c r="CI250" s="84"/>
      <c r="CJ250" s="84"/>
      <c r="CK250" s="84"/>
      <c r="CL250" s="84"/>
      <c r="CM250" s="84"/>
    </row>
    <row r="251" spans="5:91" s="354" customFormat="1" x14ac:dyDescent="0.2">
      <c r="E251" s="546"/>
      <c r="G251" s="1880"/>
      <c r="H251" s="1880"/>
      <c r="I251" s="1880"/>
      <c r="J251" s="1880"/>
      <c r="K251" s="1880"/>
      <c r="L251" s="1880"/>
      <c r="M251" s="1880"/>
      <c r="N251" s="1880"/>
      <c r="O251" s="1880"/>
      <c r="P251" s="1880"/>
      <c r="Q251" s="1880"/>
      <c r="R251" s="2292"/>
      <c r="S251" s="2292"/>
      <c r="T251" s="2292"/>
      <c r="U251" s="2292"/>
      <c r="BO251" s="546"/>
      <c r="BP251" s="546"/>
      <c r="BQ251" s="546"/>
      <c r="BR251" s="546"/>
      <c r="BS251" s="546"/>
      <c r="BT251" s="546"/>
      <c r="BU251" s="546"/>
      <c r="BV251" s="546"/>
      <c r="BW251" s="546"/>
      <c r="BX251" s="546"/>
      <c r="BY251" s="546"/>
      <c r="BZ251" s="546"/>
      <c r="CA251" s="546"/>
      <c r="CB251" s="84"/>
      <c r="CC251" s="84"/>
      <c r="CD251" s="84"/>
      <c r="CE251" s="84"/>
      <c r="CF251" s="84"/>
      <c r="CG251" s="84"/>
      <c r="CH251" s="84"/>
      <c r="CI251" s="84"/>
      <c r="CJ251" s="84"/>
      <c r="CK251" s="84"/>
      <c r="CL251" s="84"/>
      <c r="CM251" s="84"/>
    </row>
    <row r="252" spans="5:91" s="354" customFormat="1" x14ac:dyDescent="0.2">
      <c r="E252" s="546"/>
      <c r="G252" s="1880"/>
      <c r="H252" s="1880"/>
      <c r="I252" s="1880"/>
      <c r="J252" s="1880"/>
      <c r="K252" s="1880"/>
      <c r="L252" s="1880"/>
      <c r="M252" s="1880"/>
      <c r="N252" s="1880"/>
      <c r="O252" s="1880"/>
      <c r="P252" s="1880"/>
      <c r="Q252" s="1880"/>
      <c r="R252" s="2292"/>
      <c r="S252" s="2292"/>
      <c r="T252" s="2292"/>
      <c r="U252" s="2292"/>
      <c r="BO252" s="546"/>
      <c r="BP252" s="546"/>
      <c r="BQ252" s="546"/>
      <c r="BR252" s="546"/>
      <c r="BS252" s="546"/>
      <c r="BT252" s="546"/>
      <c r="BU252" s="546"/>
      <c r="BV252" s="546"/>
      <c r="BW252" s="546"/>
      <c r="BX252" s="546"/>
      <c r="BY252" s="546"/>
      <c r="BZ252" s="546"/>
      <c r="CA252" s="546"/>
      <c r="CB252" s="84"/>
      <c r="CC252" s="84"/>
      <c r="CD252" s="84"/>
      <c r="CE252" s="84"/>
      <c r="CF252" s="84"/>
      <c r="CG252" s="84"/>
      <c r="CH252" s="84"/>
      <c r="CI252" s="84"/>
      <c r="CJ252" s="84"/>
      <c r="CK252" s="84"/>
      <c r="CL252" s="84"/>
      <c r="CM252" s="84"/>
    </row>
    <row r="253" spans="5:91" s="354" customFormat="1" x14ac:dyDescent="0.2">
      <c r="E253" s="546"/>
      <c r="G253" s="1880"/>
      <c r="H253" s="1880"/>
      <c r="I253" s="1880"/>
      <c r="J253" s="1880"/>
      <c r="K253" s="1880"/>
      <c r="L253" s="1880"/>
      <c r="M253" s="1880"/>
      <c r="N253" s="1880"/>
      <c r="O253" s="1880"/>
      <c r="P253" s="1880"/>
      <c r="Q253" s="1880"/>
      <c r="R253" s="2292"/>
      <c r="S253" s="2292"/>
      <c r="T253" s="2292"/>
      <c r="U253" s="2292"/>
      <c r="BO253" s="546"/>
      <c r="BP253" s="546"/>
      <c r="BQ253" s="546"/>
      <c r="BR253" s="546"/>
      <c r="BS253" s="546"/>
      <c r="BT253" s="546"/>
      <c r="BU253" s="546"/>
      <c r="BV253" s="546"/>
      <c r="BW253" s="546"/>
      <c r="BX253" s="546"/>
      <c r="BY253" s="546"/>
      <c r="BZ253" s="546"/>
      <c r="CA253" s="546"/>
      <c r="CB253" s="84"/>
      <c r="CC253" s="84"/>
      <c r="CD253" s="84"/>
      <c r="CE253" s="84"/>
      <c r="CF253" s="84"/>
      <c r="CG253" s="84"/>
      <c r="CH253" s="84"/>
      <c r="CI253" s="84"/>
      <c r="CJ253" s="84"/>
      <c r="CK253" s="84"/>
      <c r="CL253" s="84"/>
      <c r="CM253" s="84"/>
    </row>
    <row r="254" spans="5:91" s="354" customFormat="1" x14ac:dyDescent="0.2">
      <c r="E254" s="546"/>
      <c r="G254" s="1880"/>
      <c r="H254" s="1880"/>
      <c r="I254" s="1880"/>
      <c r="J254" s="1880"/>
      <c r="K254" s="1880"/>
      <c r="L254" s="1880"/>
      <c r="M254" s="1880"/>
      <c r="N254" s="1880"/>
      <c r="O254" s="1880"/>
      <c r="P254" s="1880"/>
      <c r="Q254" s="1880"/>
      <c r="R254" s="2292"/>
      <c r="S254" s="2292"/>
      <c r="T254" s="2292"/>
      <c r="U254" s="2292"/>
      <c r="BO254" s="546"/>
      <c r="BP254" s="546"/>
      <c r="BQ254" s="546"/>
      <c r="BR254" s="546"/>
      <c r="BS254" s="546"/>
      <c r="BT254" s="546"/>
      <c r="BU254" s="546"/>
      <c r="BV254" s="546"/>
      <c r="BW254" s="546"/>
      <c r="BX254" s="546"/>
      <c r="BY254" s="546"/>
      <c r="BZ254" s="546"/>
      <c r="CA254" s="546"/>
      <c r="CB254" s="84"/>
      <c r="CC254" s="84"/>
      <c r="CD254" s="84"/>
      <c r="CE254" s="84"/>
      <c r="CF254" s="84"/>
      <c r="CG254" s="84"/>
      <c r="CH254" s="84"/>
      <c r="CI254" s="84"/>
      <c r="CJ254" s="84"/>
      <c r="CK254" s="84"/>
      <c r="CL254" s="84"/>
      <c r="CM254" s="84"/>
    </row>
    <row r="255" spans="5:91" s="354" customFormat="1" x14ac:dyDescent="0.2">
      <c r="E255" s="546"/>
      <c r="G255" s="1880"/>
      <c r="H255" s="1880"/>
      <c r="I255" s="1880"/>
      <c r="J255" s="1880"/>
      <c r="K255" s="1880"/>
      <c r="L255" s="1880"/>
      <c r="M255" s="1880"/>
      <c r="N255" s="1880"/>
      <c r="O255" s="1880"/>
      <c r="P255" s="1880"/>
      <c r="Q255" s="1880"/>
      <c r="R255" s="2292"/>
      <c r="S255" s="2292"/>
      <c r="T255" s="2292"/>
      <c r="U255" s="2292"/>
      <c r="BO255" s="546"/>
      <c r="BP255" s="546"/>
      <c r="BQ255" s="546"/>
      <c r="BR255" s="546"/>
      <c r="BS255" s="546"/>
      <c r="BT255" s="546"/>
      <c r="BU255" s="546"/>
      <c r="BV255" s="546"/>
      <c r="BW255" s="546"/>
      <c r="BX255" s="546"/>
      <c r="BY255" s="546"/>
      <c r="BZ255" s="546"/>
      <c r="CA255" s="546"/>
      <c r="CB255" s="84"/>
      <c r="CC255" s="84"/>
      <c r="CD255" s="84"/>
      <c r="CE255" s="84"/>
      <c r="CF255" s="84"/>
      <c r="CG255" s="84"/>
      <c r="CH255" s="84"/>
      <c r="CI255" s="84"/>
      <c r="CJ255" s="84"/>
      <c r="CK255" s="84"/>
      <c r="CL255" s="84"/>
      <c r="CM255" s="84"/>
    </row>
    <row r="256" spans="5:91" s="354" customFormat="1" x14ac:dyDescent="0.2">
      <c r="E256" s="546"/>
      <c r="G256" s="1880"/>
      <c r="H256" s="1880"/>
      <c r="I256" s="1880"/>
      <c r="J256" s="1880"/>
      <c r="K256" s="1880"/>
      <c r="L256" s="1880"/>
      <c r="M256" s="1880"/>
      <c r="N256" s="1880"/>
      <c r="O256" s="1880"/>
      <c r="P256" s="1880"/>
      <c r="Q256" s="1880"/>
      <c r="R256" s="2292"/>
      <c r="S256" s="2292"/>
      <c r="T256" s="2292"/>
      <c r="U256" s="2292"/>
      <c r="BO256" s="546"/>
      <c r="BP256" s="546"/>
      <c r="BQ256" s="546"/>
      <c r="BR256" s="546"/>
      <c r="BS256" s="546"/>
      <c r="BT256" s="546"/>
      <c r="BU256" s="546"/>
      <c r="BV256" s="546"/>
      <c r="BW256" s="546"/>
      <c r="BX256" s="546"/>
      <c r="BY256" s="546"/>
      <c r="BZ256" s="546"/>
      <c r="CA256" s="546"/>
      <c r="CB256" s="84"/>
      <c r="CC256" s="84"/>
      <c r="CD256" s="84"/>
      <c r="CE256" s="84"/>
      <c r="CF256" s="84"/>
      <c r="CG256" s="84"/>
      <c r="CH256" s="84"/>
      <c r="CI256" s="84"/>
      <c r="CJ256" s="84"/>
      <c r="CK256" s="84"/>
      <c r="CL256" s="84"/>
      <c r="CM256" s="84"/>
    </row>
    <row r="257" spans="5:91" s="354" customFormat="1" x14ac:dyDescent="0.2">
      <c r="E257" s="546"/>
      <c r="G257" s="1880"/>
      <c r="H257" s="1880"/>
      <c r="I257" s="1880"/>
      <c r="J257" s="1880"/>
      <c r="K257" s="1880"/>
      <c r="L257" s="1880"/>
      <c r="M257" s="1880"/>
      <c r="N257" s="1880"/>
      <c r="O257" s="1880"/>
      <c r="P257" s="1880"/>
      <c r="Q257" s="1880"/>
      <c r="R257" s="2292"/>
      <c r="S257" s="2292"/>
      <c r="T257" s="2292"/>
      <c r="U257" s="2292"/>
      <c r="BO257" s="546"/>
      <c r="BP257" s="546"/>
      <c r="BQ257" s="546"/>
      <c r="BR257" s="546"/>
      <c r="BS257" s="546"/>
      <c r="BT257" s="546"/>
      <c r="BU257" s="546"/>
      <c r="BV257" s="546"/>
      <c r="BW257" s="546"/>
      <c r="BX257" s="546"/>
      <c r="BY257" s="546"/>
      <c r="BZ257" s="546"/>
      <c r="CA257" s="546"/>
      <c r="CB257" s="84"/>
      <c r="CC257" s="84"/>
      <c r="CD257" s="84"/>
      <c r="CE257" s="84"/>
      <c r="CF257" s="84"/>
      <c r="CG257" s="84"/>
      <c r="CH257" s="84"/>
      <c r="CI257" s="84"/>
      <c r="CJ257" s="84"/>
      <c r="CK257" s="84"/>
      <c r="CL257" s="84"/>
      <c r="CM257" s="84"/>
    </row>
    <row r="258" spans="5:91" s="354" customFormat="1" x14ac:dyDescent="0.2">
      <c r="E258" s="546"/>
      <c r="G258" s="1880"/>
      <c r="H258" s="1880"/>
      <c r="I258" s="1880"/>
      <c r="J258" s="1880"/>
      <c r="K258" s="1880"/>
      <c r="L258" s="1880"/>
      <c r="M258" s="1880"/>
      <c r="N258" s="1880"/>
      <c r="O258" s="1880"/>
      <c r="P258" s="1880"/>
      <c r="Q258" s="1880"/>
      <c r="R258" s="2292"/>
      <c r="S258" s="2292"/>
      <c r="T258" s="2292"/>
      <c r="U258" s="2292"/>
      <c r="BO258" s="546"/>
      <c r="BP258" s="546"/>
      <c r="BQ258" s="546"/>
      <c r="BR258" s="546"/>
      <c r="BS258" s="546"/>
      <c r="BT258" s="546"/>
      <c r="BU258" s="546"/>
      <c r="BV258" s="546"/>
      <c r="BW258" s="546"/>
      <c r="BX258" s="546"/>
      <c r="BY258" s="546"/>
      <c r="BZ258" s="546"/>
      <c r="CA258" s="546"/>
      <c r="CB258" s="84"/>
      <c r="CC258" s="84"/>
      <c r="CD258" s="84"/>
      <c r="CE258" s="84"/>
      <c r="CF258" s="84"/>
      <c r="CG258" s="84"/>
      <c r="CH258" s="84"/>
      <c r="CI258" s="84"/>
      <c r="CJ258" s="84"/>
      <c r="CK258" s="84"/>
      <c r="CL258" s="84"/>
      <c r="CM258" s="84"/>
    </row>
    <row r="259" spans="5:91" s="354" customFormat="1" x14ac:dyDescent="0.2">
      <c r="E259" s="546"/>
      <c r="G259" s="1880"/>
      <c r="H259" s="1880"/>
      <c r="I259" s="1880"/>
      <c r="J259" s="1880"/>
      <c r="K259" s="1880"/>
      <c r="L259" s="1880"/>
      <c r="M259" s="1880"/>
      <c r="N259" s="1880"/>
      <c r="O259" s="1880"/>
      <c r="P259" s="1880"/>
      <c r="Q259" s="1880"/>
      <c r="R259" s="2292"/>
      <c r="S259" s="2292"/>
      <c r="T259" s="2292"/>
      <c r="U259" s="2292"/>
      <c r="BO259" s="546"/>
      <c r="BP259" s="546"/>
      <c r="BQ259" s="546"/>
      <c r="BR259" s="546"/>
      <c r="BS259" s="546"/>
      <c r="BT259" s="546"/>
      <c r="BU259" s="546"/>
      <c r="BV259" s="546"/>
      <c r="BW259" s="546"/>
      <c r="BX259" s="546"/>
      <c r="BY259" s="546"/>
      <c r="BZ259" s="546"/>
      <c r="CA259" s="546"/>
      <c r="CB259" s="84"/>
      <c r="CC259" s="84"/>
      <c r="CD259" s="84"/>
      <c r="CE259" s="84"/>
      <c r="CF259" s="84"/>
      <c r="CG259" s="84"/>
      <c r="CH259" s="84"/>
      <c r="CI259" s="84"/>
      <c r="CJ259" s="84"/>
      <c r="CK259" s="84"/>
      <c r="CL259" s="84"/>
      <c r="CM259" s="84"/>
    </row>
    <row r="260" spans="5:91" s="354" customFormat="1" x14ac:dyDescent="0.2">
      <c r="E260" s="546"/>
      <c r="G260" s="1880"/>
      <c r="H260" s="1880"/>
      <c r="I260" s="1880"/>
      <c r="J260" s="1880"/>
      <c r="K260" s="1880"/>
      <c r="L260" s="1880"/>
      <c r="M260" s="1880"/>
      <c r="N260" s="1880"/>
      <c r="O260" s="1880"/>
      <c r="P260" s="1880"/>
      <c r="Q260" s="1880"/>
      <c r="R260" s="2292"/>
      <c r="S260" s="2292"/>
      <c r="T260" s="2292"/>
      <c r="U260" s="2292"/>
      <c r="BO260" s="546"/>
      <c r="BP260" s="546"/>
      <c r="BQ260" s="546"/>
      <c r="BR260" s="546"/>
      <c r="BS260" s="546"/>
      <c r="BT260" s="546"/>
      <c r="BU260" s="546"/>
      <c r="BV260" s="546"/>
      <c r="BW260" s="546"/>
      <c r="BX260" s="546"/>
      <c r="BY260" s="546"/>
      <c r="BZ260" s="546"/>
      <c r="CA260" s="546"/>
      <c r="CB260" s="84"/>
      <c r="CC260" s="84"/>
      <c r="CD260" s="84"/>
      <c r="CE260" s="84"/>
      <c r="CF260" s="84"/>
      <c r="CG260" s="84"/>
      <c r="CH260" s="84"/>
      <c r="CI260" s="84"/>
      <c r="CJ260" s="84"/>
      <c r="CK260" s="84"/>
      <c r="CL260" s="84"/>
      <c r="CM260" s="84"/>
    </row>
    <row r="261" spans="5:91" s="354" customFormat="1" x14ac:dyDescent="0.2">
      <c r="E261" s="546"/>
      <c r="G261" s="1880"/>
      <c r="H261" s="1880"/>
      <c r="I261" s="1880"/>
      <c r="J261" s="1880"/>
      <c r="K261" s="1880"/>
      <c r="L261" s="1880"/>
      <c r="M261" s="1880"/>
      <c r="N261" s="1880"/>
      <c r="O261" s="1880"/>
      <c r="P261" s="1880"/>
      <c r="Q261" s="1880"/>
      <c r="R261" s="2292"/>
      <c r="S261" s="2292"/>
      <c r="T261" s="2292"/>
      <c r="U261" s="2292"/>
      <c r="BO261" s="546"/>
      <c r="BP261" s="546"/>
      <c r="BQ261" s="546"/>
      <c r="BR261" s="546"/>
      <c r="BS261" s="546"/>
      <c r="BT261" s="546"/>
      <c r="BU261" s="546"/>
      <c r="BV261" s="546"/>
      <c r="BW261" s="546"/>
      <c r="BX261" s="546"/>
      <c r="BY261" s="546"/>
      <c r="BZ261" s="546"/>
      <c r="CA261" s="546"/>
      <c r="CB261" s="84"/>
      <c r="CC261" s="84"/>
      <c r="CD261" s="84"/>
      <c r="CE261" s="84"/>
      <c r="CF261" s="84"/>
      <c r="CG261" s="84"/>
      <c r="CH261" s="84"/>
      <c r="CI261" s="84"/>
      <c r="CJ261" s="84"/>
      <c r="CK261" s="84"/>
      <c r="CL261" s="84"/>
      <c r="CM261" s="84"/>
    </row>
    <row r="262" spans="5:91" s="354" customFormat="1" x14ac:dyDescent="0.2">
      <c r="E262" s="546"/>
      <c r="G262" s="1880"/>
      <c r="H262" s="1880"/>
      <c r="I262" s="1880"/>
      <c r="J262" s="1880"/>
      <c r="K262" s="1880"/>
      <c r="L262" s="1880"/>
      <c r="M262" s="1880"/>
      <c r="N262" s="1880"/>
      <c r="O262" s="1880"/>
      <c r="P262" s="1880"/>
      <c r="Q262" s="1880"/>
      <c r="R262" s="2292"/>
      <c r="S262" s="2292"/>
      <c r="T262" s="2292"/>
      <c r="U262" s="2292"/>
      <c r="BO262" s="546"/>
      <c r="BP262" s="546"/>
      <c r="BQ262" s="546"/>
      <c r="BR262" s="546"/>
      <c r="BS262" s="546"/>
      <c r="BT262" s="546"/>
      <c r="BU262" s="546"/>
      <c r="BV262" s="546"/>
      <c r="BW262" s="546"/>
      <c r="BX262" s="546"/>
      <c r="BY262" s="546"/>
      <c r="BZ262" s="546"/>
      <c r="CA262" s="546"/>
      <c r="CB262" s="84"/>
      <c r="CC262" s="84"/>
      <c r="CD262" s="84"/>
      <c r="CE262" s="84"/>
      <c r="CF262" s="84"/>
      <c r="CG262" s="84"/>
      <c r="CH262" s="84"/>
      <c r="CI262" s="84"/>
      <c r="CJ262" s="84"/>
      <c r="CK262" s="84"/>
      <c r="CL262" s="84"/>
      <c r="CM262" s="84"/>
    </row>
    <row r="263" spans="5:91" x14ac:dyDescent="0.2">
      <c r="G263" s="1880"/>
      <c r="H263" s="1880"/>
      <c r="I263" s="1880"/>
      <c r="J263" s="1880"/>
      <c r="K263" s="1880"/>
      <c r="L263" s="1880"/>
      <c r="M263" s="1880"/>
      <c r="N263" s="1880"/>
      <c r="O263" s="1880"/>
      <c r="P263" s="1880"/>
      <c r="Q263" s="1880"/>
      <c r="BO263" s="546"/>
      <c r="BP263" s="546"/>
      <c r="BQ263" s="546"/>
      <c r="BR263" s="546"/>
      <c r="BS263" s="546"/>
      <c r="BT263" s="546"/>
      <c r="BU263" s="546"/>
      <c r="BV263" s="546"/>
      <c r="BW263" s="546"/>
      <c r="BX263" s="546"/>
      <c r="BY263" s="546"/>
      <c r="BZ263" s="546"/>
      <c r="CA263" s="546"/>
    </row>
    <row r="264" spans="5:91" x14ac:dyDescent="0.2">
      <c r="G264" s="1880"/>
      <c r="H264" s="1880"/>
      <c r="I264" s="1880"/>
      <c r="J264" s="1880"/>
      <c r="K264" s="1880"/>
      <c r="L264" s="1880"/>
      <c r="M264" s="1880"/>
      <c r="N264" s="1880"/>
      <c r="O264" s="1880"/>
      <c r="P264" s="1880"/>
      <c r="Q264" s="1880"/>
      <c r="BO264" s="546"/>
      <c r="BP264" s="546"/>
      <c r="BQ264" s="546"/>
      <c r="BR264" s="546"/>
      <c r="BS264" s="546"/>
      <c r="BT264" s="546"/>
      <c r="BU264" s="546"/>
      <c r="BV264" s="546"/>
      <c r="BW264" s="546"/>
      <c r="BX264" s="546"/>
      <c r="BY264" s="546"/>
      <c r="BZ264" s="546"/>
      <c r="CA264" s="546"/>
    </row>
    <row r="265" spans="5:91" x14ac:dyDescent="0.2">
      <c r="G265" s="1880"/>
      <c r="H265" s="1880"/>
      <c r="I265" s="1880"/>
      <c r="J265" s="1880"/>
      <c r="K265" s="1880"/>
      <c r="L265" s="1880"/>
      <c r="M265" s="1880"/>
      <c r="N265" s="1880"/>
      <c r="O265" s="1880"/>
      <c r="P265" s="1880"/>
      <c r="Q265" s="1880"/>
      <c r="BO265" s="546"/>
      <c r="BP265" s="546"/>
      <c r="BQ265" s="546"/>
      <c r="BR265" s="546"/>
      <c r="BS265" s="546"/>
      <c r="BT265" s="546"/>
      <c r="BU265" s="546"/>
      <c r="BV265" s="546"/>
      <c r="BW265" s="546"/>
      <c r="BX265" s="546"/>
      <c r="BY265" s="546"/>
      <c r="BZ265" s="546"/>
      <c r="CA265" s="546"/>
    </row>
    <row r="266" spans="5:91" x14ac:dyDescent="0.2">
      <c r="G266" s="1880"/>
      <c r="H266" s="1880"/>
      <c r="I266" s="1880"/>
      <c r="J266" s="1880"/>
      <c r="K266" s="1880"/>
      <c r="L266" s="1880"/>
      <c r="M266" s="1880"/>
      <c r="N266" s="1880"/>
      <c r="O266" s="1880"/>
      <c r="P266" s="1880"/>
      <c r="Q266" s="1880"/>
      <c r="BO266" s="546"/>
      <c r="BP266" s="546"/>
      <c r="BQ266" s="546"/>
      <c r="BR266" s="546"/>
      <c r="BS266" s="546"/>
      <c r="BT266" s="546"/>
      <c r="BU266" s="546"/>
      <c r="BV266" s="546"/>
      <c r="BW266" s="546"/>
      <c r="BX266" s="546"/>
      <c r="BY266" s="546"/>
      <c r="BZ266" s="546"/>
      <c r="CA266" s="546"/>
    </row>
    <row r="267" spans="5:91" x14ac:dyDescent="0.2">
      <c r="G267" s="1880"/>
      <c r="H267" s="1880"/>
      <c r="I267" s="1880"/>
      <c r="J267" s="1880"/>
      <c r="K267" s="1880"/>
      <c r="L267" s="1880"/>
      <c r="M267" s="1880"/>
      <c r="N267" s="1880"/>
      <c r="O267" s="1880"/>
      <c r="P267" s="1880"/>
      <c r="Q267" s="1880"/>
      <c r="BO267" s="546"/>
      <c r="BP267" s="546"/>
      <c r="BQ267" s="546"/>
      <c r="BR267" s="546"/>
      <c r="BS267" s="546"/>
      <c r="BT267" s="546"/>
      <c r="BU267" s="546"/>
      <c r="BV267" s="546"/>
      <c r="BW267" s="546"/>
      <c r="BX267" s="546"/>
      <c r="BY267" s="546"/>
      <c r="BZ267" s="546"/>
      <c r="CA267" s="546"/>
    </row>
    <row r="268" spans="5:91" x14ac:dyDescent="0.2">
      <c r="G268" s="1880"/>
      <c r="H268" s="1880"/>
      <c r="I268" s="1880"/>
      <c r="J268" s="1880"/>
      <c r="K268" s="1880"/>
      <c r="L268" s="1880"/>
      <c r="M268" s="1880"/>
      <c r="N268" s="1880"/>
      <c r="O268" s="1880"/>
      <c r="P268" s="1880"/>
      <c r="Q268" s="1880"/>
      <c r="BO268" s="546"/>
      <c r="BP268" s="546"/>
      <c r="BQ268" s="546"/>
      <c r="BR268" s="546"/>
      <c r="BS268" s="546"/>
      <c r="BT268" s="546"/>
      <c r="BU268" s="546"/>
      <c r="BV268" s="546"/>
      <c r="BW268" s="546"/>
      <c r="BX268" s="546"/>
      <c r="BY268" s="546"/>
      <c r="BZ268" s="546"/>
      <c r="CA268" s="546"/>
    </row>
    <row r="269" spans="5:91" x14ac:dyDescent="0.2">
      <c r="G269" s="1880"/>
      <c r="H269" s="1880"/>
      <c r="I269" s="1880"/>
      <c r="J269" s="1880"/>
      <c r="K269" s="1880"/>
      <c r="L269" s="1880"/>
      <c r="M269" s="1880"/>
      <c r="N269" s="1880"/>
      <c r="O269" s="1880"/>
      <c r="P269" s="1880"/>
      <c r="Q269" s="1880"/>
      <c r="BO269" s="546"/>
      <c r="BP269" s="546"/>
      <c r="BQ269" s="546"/>
      <c r="BR269" s="546"/>
      <c r="BS269" s="546"/>
      <c r="BT269" s="546"/>
      <c r="BU269" s="546"/>
      <c r="BV269" s="546"/>
      <c r="BW269" s="546"/>
      <c r="BX269" s="546"/>
      <c r="BY269" s="546"/>
      <c r="BZ269" s="546"/>
      <c r="CA269" s="546"/>
    </row>
    <row r="270" spans="5:91" x14ac:dyDescent="0.2">
      <c r="G270" s="1880"/>
      <c r="H270" s="1880"/>
      <c r="I270" s="1880"/>
      <c r="J270" s="1880"/>
      <c r="K270" s="1880"/>
      <c r="L270" s="1880"/>
      <c r="M270" s="1880"/>
      <c r="N270" s="1880"/>
      <c r="O270" s="1880"/>
      <c r="P270" s="1880"/>
      <c r="Q270" s="1880"/>
      <c r="BO270" s="546"/>
      <c r="BP270" s="546"/>
      <c r="BQ270" s="546"/>
      <c r="BR270" s="546"/>
      <c r="BS270" s="546"/>
      <c r="BT270" s="546"/>
      <c r="BU270" s="546"/>
      <c r="BV270" s="546"/>
      <c r="BW270" s="546"/>
      <c r="BX270" s="546"/>
      <c r="BY270" s="546"/>
      <c r="BZ270" s="546"/>
      <c r="CA270" s="546"/>
    </row>
    <row r="271" spans="5:91" x14ac:dyDescent="0.2">
      <c r="G271" s="1880"/>
      <c r="H271" s="1880"/>
      <c r="I271" s="1880"/>
      <c r="J271" s="1880"/>
      <c r="K271" s="1880"/>
      <c r="L271" s="1880"/>
      <c r="M271" s="1880"/>
      <c r="N271" s="1880"/>
      <c r="O271" s="1880"/>
      <c r="P271" s="1880"/>
      <c r="Q271" s="1880"/>
      <c r="BO271" s="546"/>
      <c r="BP271" s="546"/>
      <c r="BQ271" s="546"/>
      <c r="BR271" s="546"/>
      <c r="BS271" s="546"/>
      <c r="BT271" s="546"/>
      <c r="BU271" s="546"/>
      <c r="BV271" s="546"/>
      <c r="BW271" s="546"/>
      <c r="BX271" s="546"/>
      <c r="BY271" s="546"/>
      <c r="BZ271" s="546"/>
      <c r="CA271" s="546"/>
    </row>
    <row r="272" spans="5:91" x14ac:dyDescent="0.2">
      <c r="G272" s="1880"/>
      <c r="H272" s="1880"/>
      <c r="I272" s="1880"/>
      <c r="J272" s="1880"/>
      <c r="K272" s="1880"/>
      <c r="L272" s="1880"/>
      <c r="M272" s="1880"/>
      <c r="N272" s="1880"/>
      <c r="O272" s="1880"/>
      <c r="P272" s="1880"/>
      <c r="Q272" s="1880"/>
      <c r="BO272" s="546"/>
      <c r="BP272" s="546"/>
      <c r="BQ272" s="546"/>
      <c r="BR272" s="546"/>
      <c r="BS272" s="546"/>
      <c r="BT272" s="546"/>
      <c r="BU272" s="546"/>
      <c r="BV272" s="546"/>
      <c r="BW272" s="546"/>
      <c r="BX272" s="546"/>
      <c r="BY272" s="546"/>
      <c r="BZ272" s="546"/>
      <c r="CA272" s="546"/>
    </row>
    <row r="273" spans="7:79" x14ac:dyDescent="0.2">
      <c r="G273" s="1880"/>
      <c r="H273" s="1880"/>
      <c r="I273" s="1880"/>
      <c r="J273" s="1880"/>
      <c r="K273" s="1880"/>
      <c r="L273" s="1880"/>
      <c r="M273" s="1880"/>
      <c r="N273" s="1880"/>
      <c r="O273" s="1880"/>
      <c r="P273" s="1880"/>
      <c r="Q273" s="1880"/>
      <c r="BO273" s="546"/>
      <c r="BP273" s="546"/>
      <c r="BQ273" s="546"/>
      <c r="BR273" s="546"/>
      <c r="BS273" s="546"/>
      <c r="BT273" s="546"/>
      <c r="BU273" s="546"/>
      <c r="BV273" s="546"/>
      <c r="BW273" s="546"/>
      <c r="BX273" s="546"/>
      <c r="BY273" s="546"/>
      <c r="BZ273" s="546"/>
      <c r="CA273" s="546"/>
    </row>
    <row r="274" spans="7:79" x14ac:dyDescent="0.2">
      <c r="G274" s="1880"/>
      <c r="H274" s="1880"/>
      <c r="I274" s="1880"/>
      <c r="J274" s="1880"/>
      <c r="K274" s="1880"/>
      <c r="L274" s="1880"/>
      <c r="M274" s="1880"/>
      <c r="N274" s="1880"/>
      <c r="O274" s="1880"/>
      <c r="P274" s="1880"/>
      <c r="Q274" s="1880"/>
      <c r="BO274" s="546"/>
      <c r="BP274" s="546"/>
      <c r="BQ274" s="546"/>
      <c r="BR274" s="546"/>
      <c r="BS274" s="546"/>
      <c r="BT274" s="546"/>
      <c r="BU274" s="546"/>
      <c r="BV274" s="546"/>
      <c r="BW274" s="546"/>
      <c r="BX274" s="546"/>
      <c r="BY274" s="546"/>
      <c r="BZ274" s="546"/>
      <c r="CA274" s="546"/>
    </row>
    <row r="275" spans="7:79" x14ac:dyDescent="0.2">
      <c r="G275" s="1880"/>
      <c r="H275" s="1880"/>
      <c r="I275" s="1880"/>
      <c r="J275" s="1880"/>
      <c r="K275" s="1880"/>
      <c r="L275" s="1880"/>
      <c r="M275" s="1880"/>
      <c r="N275" s="1880"/>
      <c r="O275" s="1880"/>
      <c r="P275" s="1880"/>
      <c r="Q275" s="1880"/>
      <c r="BO275" s="546"/>
      <c r="BP275" s="546"/>
      <c r="BQ275" s="546"/>
      <c r="BR275" s="546"/>
      <c r="BS275" s="546"/>
      <c r="BT275" s="546"/>
      <c r="BU275" s="546"/>
      <c r="BV275" s="546"/>
      <c r="BW275" s="546"/>
      <c r="BX275" s="546"/>
      <c r="BY275" s="546"/>
      <c r="BZ275" s="546"/>
      <c r="CA275" s="546"/>
    </row>
    <row r="276" spans="7:79" x14ac:dyDescent="0.2">
      <c r="G276" s="1880"/>
      <c r="H276" s="1880"/>
      <c r="I276" s="1880"/>
      <c r="J276" s="1880"/>
      <c r="K276" s="1880"/>
      <c r="L276" s="1880"/>
      <c r="M276" s="1880"/>
      <c r="N276" s="1880"/>
      <c r="O276" s="1880"/>
      <c r="P276" s="1880"/>
      <c r="Q276" s="1880"/>
      <c r="BO276" s="546"/>
      <c r="BP276" s="546"/>
      <c r="BQ276" s="546"/>
      <c r="BR276" s="546"/>
      <c r="BS276" s="546"/>
      <c r="BT276" s="546"/>
      <c r="BU276" s="546"/>
      <c r="BV276" s="546"/>
      <c r="BW276" s="546"/>
      <c r="BX276" s="546"/>
      <c r="BY276" s="546"/>
      <c r="BZ276" s="546"/>
      <c r="CA276" s="546"/>
    </row>
    <row r="277" spans="7:79" x14ac:dyDescent="0.2">
      <c r="G277" s="1880"/>
      <c r="H277" s="1880"/>
      <c r="I277" s="1880"/>
      <c r="J277" s="1880"/>
      <c r="K277" s="1880"/>
      <c r="L277" s="1880"/>
      <c r="M277" s="1880"/>
      <c r="N277" s="1880"/>
      <c r="O277" s="1880"/>
      <c r="P277" s="1880"/>
      <c r="Q277" s="1880"/>
      <c r="BO277" s="546"/>
      <c r="BP277" s="546"/>
      <c r="BQ277" s="546"/>
      <c r="BR277" s="546"/>
      <c r="BS277" s="546"/>
      <c r="BT277" s="546"/>
      <c r="BU277" s="546"/>
      <c r="BV277" s="546"/>
      <c r="BW277" s="546"/>
      <c r="BX277" s="546"/>
      <c r="BY277" s="546"/>
      <c r="BZ277" s="546"/>
      <c r="CA277" s="546"/>
    </row>
    <row r="278" spans="7:79" x14ac:dyDescent="0.2">
      <c r="G278" s="1880"/>
      <c r="H278" s="1880"/>
      <c r="I278" s="1880"/>
      <c r="J278" s="1880"/>
      <c r="K278" s="1880"/>
      <c r="L278" s="1880"/>
      <c r="M278" s="1880"/>
      <c r="N278" s="1880"/>
      <c r="O278" s="1880"/>
      <c r="P278" s="1880"/>
      <c r="Q278" s="1880"/>
      <c r="BO278" s="546"/>
      <c r="BP278" s="546"/>
      <c r="BQ278" s="546"/>
      <c r="BR278" s="546"/>
      <c r="BS278" s="546"/>
      <c r="BT278" s="546"/>
      <c r="BU278" s="546"/>
      <c r="BV278" s="546"/>
      <c r="BW278" s="546"/>
      <c r="BX278" s="546"/>
      <c r="BY278" s="546"/>
      <c r="BZ278" s="546"/>
      <c r="CA278" s="546"/>
    </row>
    <row r="279" spans="7:79" x14ac:dyDescent="0.2">
      <c r="G279" s="1880"/>
      <c r="H279" s="1880"/>
      <c r="I279" s="1880"/>
      <c r="J279" s="1880"/>
      <c r="K279" s="1880"/>
      <c r="L279" s="1880"/>
      <c r="M279" s="1880"/>
      <c r="N279" s="1880"/>
      <c r="O279" s="1880"/>
      <c r="P279" s="1880"/>
      <c r="Q279" s="1880"/>
      <c r="BO279" s="546"/>
      <c r="BP279" s="546"/>
      <c r="BQ279" s="546"/>
      <c r="BR279" s="546"/>
      <c r="BS279" s="546"/>
      <c r="BT279" s="546"/>
      <c r="BU279" s="546"/>
      <c r="BV279" s="546"/>
      <c r="BW279" s="546"/>
      <c r="BX279" s="546"/>
      <c r="BY279" s="546"/>
      <c r="BZ279" s="546"/>
      <c r="CA279" s="546"/>
    </row>
    <row r="280" spans="7:79" x14ac:dyDescent="0.2">
      <c r="G280" s="1880"/>
      <c r="H280" s="1880"/>
      <c r="I280" s="1880"/>
      <c r="J280" s="1880"/>
      <c r="K280" s="1880"/>
      <c r="L280" s="1880"/>
      <c r="M280" s="1880"/>
      <c r="N280" s="1880"/>
      <c r="O280" s="1880"/>
      <c r="P280" s="1880"/>
      <c r="Q280" s="1880"/>
    </row>
    <row r="281" spans="7:79" x14ac:dyDescent="0.2">
      <c r="G281" s="1880"/>
      <c r="H281" s="1880"/>
      <c r="I281" s="1880"/>
      <c r="J281" s="1880"/>
      <c r="K281" s="1880"/>
      <c r="L281" s="1880"/>
      <c r="M281" s="1880"/>
      <c r="N281" s="1880"/>
      <c r="O281" s="1880"/>
      <c r="P281" s="1880"/>
      <c r="Q281" s="1880"/>
    </row>
    <row r="282" spans="7:79" x14ac:dyDescent="0.2">
      <c r="G282" s="1880"/>
      <c r="H282" s="1880"/>
      <c r="I282" s="1880"/>
      <c r="J282" s="1880"/>
      <c r="K282" s="1880"/>
      <c r="L282" s="1880"/>
      <c r="M282" s="1880"/>
      <c r="N282" s="1880"/>
      <c r="O282" s="1880"/>
      <c r="P282" s="1880"/>
      <c r="Q282" s="1880"/>
    </row>
    <row r="283" spans="7:79" x14ac:dyDescent="0.2">
      <c r="G283" s="1880"/>
      <c r="H283" s="1880"/>
      <c r="I283" s="1880"/>
      <c r="J283" s="1880"/>
      <c r="K283" s="1880"/>
      <c r="L283" s="1880"/>
      <c r="M283" s="1880"/>
      <c r="N283" s="1880"/>
      <c r="O283" s="1880"/>
      <c r="P283" s="1880"/>
      <c r="Q283" s="1880"/>
    </row>
    <row r="284" spans="7:79" x14ac:dyDescent="0.2">
      <c r="G284" s="1880"/>
      <c r="H284" s="1880"/>
      <c r="I284" s="1880"/>
      <c r="J284" s="1880"/>
      <c r="K284" s="1880"/>
      <c r="L284" s="1880"/>
      <c r="M284" s="1880"/>
      <c r="N284" s="1880"/>
      <c r="O284" s="1880"/>
      <c r="P284" s="1880"/>
      <c r="Q284" s="1880"/>
    </row>
    <row r="285" spans="7:79" x14ac:dyDescent="0.2">
      <c r="G285" s="1880"/>
      <c r="H285" s="1880"/>
      <c r="I285" s="1880"/>
      <c r="J285" s="1880"/>
      <c r="K285" s="1880"/>
      <c r="L285" s="1880"/>
      <c r="M285" s="1880"/>
      <c r="N285" s="1880"/>
      <c r="O285" s="1880"/>
      <c r="P285" s="1880"/>
      <c r="Q285" s="1880"/>
    </row>
    <row r="286" spans="7:79" x14ac:dyDescent="0.2">
      <c r="G286" s="1880"/>
      <c r="H286" s="1880"/>
      <c r="I286" s="1880"/>
      <c r="J286" s="1880"/>
      <c r="K286" s="1880"/>
      <c r="L286" s="1880"/>
      <c r="M286" s="1880"/>
      <c r="N286" s="1880"/>
      <c r="O286" s="1880"/>
      <c r="P286" s="1880"/>
      <c r="Q286" s="1880"/>
    </row>
    <row r="287" spans="7:79" x14ac:dyDescent="0.2">
      <c r="G287" s="1880"/>
      <c r="H287" s="1880"/>
      <c r="I287" s="1880"/>
      <c r="J287" s="1880"/>
      <c r="K287" s="1880"/>
      <c r="L287" s="1880"/>
      <c r="M287" s="1880"/>
      <c r="N287" s="1880"/>
      <c r="O287" s="1880"/>
      <c r="P287" s="1880"/>
      <c r="Q287" s="1880"/>
    </row>
    <row r="288" spans="7:79" x14ac:dyDescent="0.2">
      <c r="G288" s="1880"/>
      <c r="H288" s="1880"/>
      <c r="I288" s="1880"/>
      <c r="J288" s="1880"/>
      <c r="K288" s="1880"/>
      <c r="L288" s="1880"/>
      <c r="M288" s="1880"/>
      <c r="N288" s="1880"/>
      <c r="O288" s="1880"/>
      <c r="P288" s="1880"/>
      <c r="Q288" s="1880"/>
    </row>
    <row r="289" spans="7:17" x14ac:dyDescent="0.2">
      <c r="G289" s="1880"/>
      <c r="H289" s="1880"/>
      <c r="I289" s="1880"/>
      <c r="J289" s="1880"/>
      <c r="K289" s="1880"/>
      <c r="L289" s="1880"/>
      <c r="M289" s="1880"/>
      <c r="N289" s="1880"/>
      <c r="O289" s="1880"/>
      <c r="P289" s="1880"/>
      <c r="Q289" s="1880"/>
    </row>
    <row r="290" spans="7:17" x14ac:dyDescent="0.2">
      <c r="G290" s="1880"/>
      <c r="H290" s="1880"/>
      <c r="I290" s="1880"/>
      <c r="J290" s="1880"/>
      <c r="K290" s="1880"/>
      <c r="L290" s="1880"/>
      <c r="M290" s="1880"/>
      <c r="N290" s="1880"/>
      <c r="O290" s="1880"/>
      <c r="P290" s="1880"/>
      <c r="Q290" s="1880"/>
    </row>
    <row r="291" spans="7:17" x14ac:dyDescent="0.2">
      <c r="G291" s="1880"/>
      <c r="H291" s="1880"/>
      <c r="I291" s="1880"/>
      <c r="J291" s="1880"/>
      <c r="K291" s="1880"/>
      <c r="L291" s="1880"/>
      <c r="M291" s="1880"/>
      <c r="N291" s="1880"/>
      <c r="O291" s="1880"/>
      <c r="P291" s="1880"/>
      <c r="Q291" s="1880"/>
    </row>
    <row r="292" spans="7:17" x14ac:dyDescent="0.2">
      <c r="G292" s="1880"/>
      <c r="H292" s="1880"/>
      <c r="I292" s="1880"/>
      <c r="J292" s="1880"/>
      <c r="K292" s="1880"/>
      <c r="L292" s="1880"/>
      <c r="M292" s="1880"/>
      <c r="N292" s="1880"/>
      <c r="O292" s="1880"/>
      <c r="P292" s="1880"/>
      <c r="Q292" s="1880"/>
    </row>
    <row r="293" spans="7:17" x14ac:dyDescent="0.2">
      <c r="G293" s="1880"/>
      <c r="H293" s="1880"/>
      <c r="I293" s="1880"/>
      <c r="J293" s="1880"/>
      <c r="K293" s="1880"/>
      <c r="L293" s="1880"/>
      <c r="M293" s="1880"/>
      <c r="N293" s="1880"/>
      <c r="O293" s="1880"/>
      <c r="P293" s="1880"/>
      <c r="Q293" s="1880"/>
    </row>
    <row r="294" spans="7:17" x14ac:dyDescent="0.2">
      <c r="G294" s="1880"/>
      <c r="H294" s="1880"/>
      <c r="I294" s="1880"/>
      <c r="J294" s="1880"/>
      <c r="K294" s="1880"/>
      <c r="L294" s="1880"/>
      <c r="M294" s="1880"/>
      <c r="N294" s="1880"/>
      <c r="O294" s="1880"/>
      <c r="P294" s="1880"/>
      <c r="Q294" s="1880"/>
    </row>
    <row r="295" spans="7:17" x14ac:dyDescent="0.2">
      <c r="G295" s="1880"/>
      <c r="H295" s="1880"/>
      <c r="I295" s="1880"/>
      <c r="J295" s="1880"/>
      <c r="K295" s="1880"/>
      <c r="L295" s="1880"/>
      <c r="M295" s="1880"/>
      <c r="N295" s="1880"/>
      <c r="O295" s="1880"/>
      <c r="P295" s="1880"/>
      <c r="Q295" s="1880"/>
    </row>
    <row r="296" spans="7:17" x14ac:dyDescent="0.2">
      <c r="G296" s="1880"/>
      <c r="H296" s="1880"/>
      <c r="I296" s="1880"/>
      <c r="J296" s="1880"/>
      <c r="K296" s="1880"/>
      <c r="L296" s="1880"/>
      <c r="M296" s="1880"/>
      <c r="N296" s="1880"/>
      <c r="O296" s="1880"/>
      <c r="P296" s="1880"/>
      <c r="Q296" s="1880"/>
    </row>
    <row r="297" spans="7:17" x14ac:dyDescent="0.2">
      <c r="G297" s="1880"/>
      <c r="H297" s="1880"/>
      <c r="I297" s="1880"/>
      <c r="J297" s="1880"/>
      <c r="K297" s="1880"/>
      <c r="L297" s="1880"/>
      <c r="M297" s="1880"/>
      <c r="N297" s="1880"/>
      <c r="O297" s="1880"/>
      <c r="P297" s="1880"/>
      <c r="Q297" s="1880"/>
    </row>
    <row r="298" spans="7:17" x14ac:dyDescent="0.2">
      <c r="G298" s="1880"/>
      <c r="H298" s="1880"/>
      <c r="I298" s="1880"/>
      <c r="J298" s="1880"/>
      <c r="K298" s="1880"/>
      <c r="L298" s="1880"/>
      <c r="M298" s="1880"/>
      <c r="N298" s="1880"/>
      <c r="O298" s="1880"/>
      <c r="P298" s="1880"/>
      <c r="Q298" s="1880"/>
    </row>
    <row r="299" spans="7:17" x14ac:dyDescent="0.2">
      <c r="G299" s="1880"/>
      <c r="H299" s="1880"/>
      <c r="I299" s="1880"/>
      <c r="J299" s="1880"/>
      <c r="K299" s="1880"/>
      <c r="L299" s="1880"/>
      <c r="M299" s="1880"/>
      <c r="N299" s="1880"/>
      <c r="O299" s="1880"/>
      <c r="P299" s="1880"/>
      <c r="Q299" s="1880"/>
    </row>
    <row r="300" spans="7:17" x14ac:dyDescent="0.2">
      <c r="G300" s="1880"/>
      <c r="H300" s="1880"/>
      <c r="I300" s="1880"/>
      <c r="J300" s="1880"/>
      <c r="K300" s="1880"/>
      <c r="L300" s="1880"/>
      <c r="M300" s="1880"/>
      <c r="N300" s="1880"/>
      <c r="O300" s="1880"/>
      <c r="P300" s="1880"/>
      <c r="Q300" s="1880"/>
    </row>
    <row r="301" spans="7:17" x14ac:dyDescent="0.2">
      <c r="G301" s="1880"/>
      <c r="H301" s="1880"/>
      <c r="I301" s="1880"/>
      <c r="J301" s="1880"/>
      <c r="K301" s="1880"/>
      <c r="L301" s="1880"/>
      <c r="M301" s="1880"/>
      <c r="N301" s="1880"/>
      <c r="O301" s="1880"/>
      <c r="P301" s="1880"/>
      <c r="Q301" s="1880"/>
    </row>
    <row r="302" spans="7:17" x14ac:dyDescent="0.2">
      <c r="G302" s="1880"/>
      <c r="H302" s="1880"/>
      <c r="I302" s="1880"/>
      <c r="J302" s="1880"/>
      <c r="K302" s="1880"/>
      <c r="L302" s="1880"/>
      <c r="M302" s="1880"/>
      <c r="N302" s="1880"/>
      <c r="O302" s="1880"/>
      <c r="P302" s="1880"/>
      <c r="Q302" s="1880"/>
    </row>
    <row r="303" spans="7:17" x14ac:dyDescent="0.2">
      <c r="G303" s="1880"/>
      <c r="H303" s="1880"/>
      <c r="I303" s="1880"/>
      <c r="J303" s="1880"/>
      <c r="K303" s="1880"/>
      <c r="L303" s="1880"/>
      <c r="M303" s="1880"/>
      <c r="N303" s="1880"/>
      <c r="O303" s="1880"/>
      <c r="P303" s="1880"/>
      <c r="Q303" s="1880"/>
    </row>
    <row r="304" spans="7:17" x14ac:dyDescent="0.2">
      <c r="G304" s="1880"/>
      <c r="H304" s="1880"/>
      <c r="I304" s="1880"/>
      <c r="J304" s="1880"/>
      <c r="K304" s="1880"/>
      <c r="L304" s="1880"/>
      <c r="M304" s="1880"/>
      <c r="N304" s="1880"/>
      <c r="O304" s="1880"/>
      <c r="P304" s="1880"/>
      <c r="Q304" s="1880"/>
    </row>
    <row r="305" spans="7:17" x14ac:dyDescent="0.2">
      <c r="G305" s="1880"/>
      <c r="H305" s="1880"/>
      <c r="I305" s="1880"/>
      <c r="J305" s="1880"/>
      <c r="K305" s="1880"/>
      <c r="L305" s="1880"/>
      <c r="M305" s="1880"/>
      <c r="N305" s="1880"/>
      <c r="O305" s="1880"/>
      <c r="P305" s="1880"/>
      <c r="Q305" s="1880"/>
    </row>
    <row r="306" spans="7:17" x14ac:dyDescent="0.2">
      <c r="G306" s="1880"/>
      <c r="H306" s="1880"/>
      <c r="I306" s="1880"/>
      <c r="J306" s="1880"/>
      <c r="K306" s="1880"/>
      <c r="L306" s="1880"/>
      <c r="M306" s="1880"/>
      <c r="N306" s="1880"/>
      <c r="O306" s="1880"/>
      <c r="P306" s="1880"/>
      <c r="Q306" s="1880"/>
    </row>
    <row r="307" spans="7:17" x14ac:dyDescent="0.2">
      <c r="G307" s="1880"/>
      <c r="H307" s="1880"/>
      <c r="I307" s="1880"/>
      <c r="J307" s="1880"/>
      <c r="K307" s="1880"/>
      <c r="L307" s="1880"/>
      <c r="M307" s="1880"/>
      <c r="N307" s="1880"/>
      <c r="O307" s="1880"/>
      <c r="P307" s="1880"/>
      <c r="Q307" s="1880"/>
    </row>
    <row r="308" spans="7:17" x14ac:dyDescent="0.2">
      <c r="G308" s="1880"/>
      <c r="H308" s="1880"/>
      <c r="I308" s="1880"/>
      <c r="J308" s="1880"/>
      <c r="K308" s="1880"/>
      <c r="L308" s="1880"/>
      <c r="M308" s="1880"/>
      <c r="N308" s="1880"/>
      <c r="O308" s="1880"/>
      <c r="P308" s="1880"/>
      <c r="Q308" s="1880"/>
    </row>
    <row r="309" spans="7:17" x14ac:dyDescent="0.2">
      <c r="G309" s="1880"/>
      <c r="H309" s="1880"/>
      <c r="I309" s="1880"/>
      <c r="J309" s="1880"/>
      <c r="K309" s="1880"/>
      <c r="L309" s="1880"/>
      <c r="M309" s="1880"/>
      <c r="N309" s="1880"/>
      <c r="O309" s="1880"/>
      <c r="P309" s="1880"/>
      <c r="Q309" s="1880"/>
    </row>
    <row r="310" spans="7:17" x14ac:dyDescent="0.2">
      <c r="G310" s="1880"/>
      <c r="H310" s="1880"/>
      <c r="I310" s="1880"/>
      <c r="J310" s="1880"/>
      <c r="K310" s="1880"/>
      <c r="L310" s="1880"/>
      <c r="M310" s="1880"/>
      <c r="N310" s="1880"/>
      <c r="O310" s="1880"/>
      <c r="P310" s="1880"/>
      <c r="Q310" s="1880"/>
    </row>
    <row r="311" spans="7:17" x14ac:dyDescent="0.2">
      <c r="G311" s="1880"/>
      <c r="H311" s="1880"/>
      <c r="I311" s="1880"/>
      <c r="J311" s="1880"/>
      <c r="K311" s="1880"/>
      <c r="L311" s="1880"/>
      <c r="M311" s="1880"/>
      <c r="N311" s="1880"/>
      <c r="O311" s="1880"/>
      <c r="P311" s="1880"/>
      <c r="Q311" s="1880"/>
    </row>
    <row r="312" spans="7:17" x14ac:dyDescent="0.2">
      <c r="G312" s="1880"/>
      <c r="H312" s="1880"/>
      <c r="I312" s="1880"/>
      <c r="J312" s="1880"/>
      <c r="K312" s="1880"/>
      <c r="L312" s="1880"/>
      <c r="M312" s="1880"/>
      <c r="N312" s="1880"/>
      <c r="O312" s="1880"/>
      <c r="P312" s="1880"/>
      <c r="Q312" s="1880"/>
    </row>
    <row r="313" spans="7:17" x14ac:dyDescent="0.2">
      <c r="G313" s="1880"/>
      <c r="H313" s="1880"/>
      <c r="I313" s="1880"/>
      <c r="J313" s="1880"/>
      <c r="K313" s="1880"/>
      <c r="L313" s="1880"/>
      <c r="M313" s="1880"/>
      <c r="N313" s="1880"/>
      <c r="O313" s="1880"/>
      <c r="P313" s="1880"/>
      <c r="Q313" s="1880"/>
    </row>
    <row r="314" spans="7:17" x14ac:dyDescent="0.2">
      <c r="G314" s="1880"/>
      <c r="H314" s="1880"/>
      <c r="I314" s="1880"/>
      <c r="J314" s="1880"/>
      <c r="K314" s="1880"/>
      <c r="L314" s="1880"/>
      <c r="M314" s="1880"/>
      <c r="N314" s="1880"/>
      <c r="O314" s="1880"/>
      <c r="P314" s="1880"/>
      <c r="Q314" s="1880"/>
    </row>
    <row r="315" spans="7:17" x14ac:dyDescent="0.2">
      <c r="G315" s="1880"/>
      <c r="H315" s="1880"/>
      <c r="I315" s="1880"/>
      <c r="J315" s="1880"/>
      <c r="K315" s="1880"/>
      <c r="L315" s="1880"/>
      <c r="M315" s="1880"/>
      <c r="N315" s="1880"/>
      <c r="O315" s="1880"/>
      <c r="P315" s="1880"/>
      <c r="Q315" s="1880"/>
    </row>
    <row r="316" spans="7:17" x14ac:dyDescent="0.2">
      <c r="G316" s="1880"/>
      <c r="H316" s="1880"/>
      <c r="I316" s="1880"/>
      <c r="J316" s="1880"/>
      <c r="K316" s="1880"/>
      <c r="L316" s="1880"/>
      <c r="M316" s="1880"/>
      <c r="N316" s="1880"/>
      <c r="O316" s="1880"/>
      <c r="P316" s="1880"/>
      <c r="Q316" s="1880"/>
    </row>
    <row r="317" spans="7:17" x14ac:dyDescent="0.2">
      <c r="G317" s="1880"/>
      <c r="H317" s="1880"/>
      <c r="I317" s="1880"/>
      <c r="J317" s="1880"/>
      <c r="K317" s="1880"/>
      <c r="L317" s="1880"/>
      <c r="M317" s="1880"/>
      <c r="N317" s="1880"/>
      <c r="O317" s="1880"/>
      <c r="P317" s="1880"/>
      <c r="Q317" s="1880"/>
    </row>
    <row r="318" spans="7:17" x14ac:dyDescent="0.2">
      <c r="G318" s="1880"/>
      <c r="H318" s="1880"/>
      <c r="I318" s="1880"/>
      <c r="J318" s="1880"/>
      <c r="K318" s="1880"/>
      <c r="L318" s="1880"/>
      <c r="M318" s="1880"/>
      <c r="N318" s="1880"/>
      <c r="O318" s="1880"/>
      <c r="P318" s="1880"/>
      <c r="Q318" s="1880"/>
    </row>
    <row r="319" spans="7:17" x14ac:dyDescent="0.2">
      <c r="G319" s="1880"/>
      <c r="H319" s="1880"/>
      <c r="I319" s="1880"/>
      <c r="J319" s="1880"/>
      <c r="K319" s="1880"/>
      <c r="L319" s="1880"/>
      <c r="M319" s="1880"/>
      <c r="N319" s="1880"/>
      <c r="O319" s="1880"/>
      <c r="P319" s="1880"/>
      <c r="Q319" s="1880"/>
    </row>
    <row r="320" spans="7:17" x14ac:dyDescent="0.2">
      <c r="G320" s="1880"/>
      <c r="H320" s="1880"/>
      <c r="I320" s="1880"/>
      <c r="J320" s="1880"/>
      <c r="K320" s="1880"/>
      <c r="L320" s="1880"/>
      <c r="M320" s="1880"/>
      <c r="N320" s="1880"/>
      <c r="O320" s="1880"/>
      <c r="P320" s="1880"/>
      <c r="Q320" s="1880"/>
    </row>
    <row r="321" spans="7:17" x14ac:dyDescent="0.2">
      <c r="G321" s="1880"/>
      <c r="H321" s="1880"/>
      <c r="I321" s="1880"/>
      <c r="J321" s="1880"/>
      <c r="K321" s="1880"/>
      <c r="L321" s="1880"/>
      <c r="M321" s="1880"/>
      <c r="N321" s="1880"/>
      <c r="O321" s="1880"/>
      <c r="P321" s="1880"/>
      <c r="Q321" s="1880"/>
    </row>
    <row r="322" spans="7:17" x14ac:dyDescent="0.2">
      <c r="G322" s="1880"/>
      <c r="H322" s="1880"/>
      <c r="I322" s="1880"/>
      <c r="J322" s="1880"/>
      <c r="K322" s="1880"/>
      <c r="L322" s="1880"/>
      <c r="M322" s="1880"/>
      <c r="N322" s="1880"/>
      <c r="O322" s="1880"/>
      <c r="P322" s="1880"/>
      <c r="Q322" s="1880"/>
    </row>
    <row r="323" spans="7:17" x14ac:dyDescent="0.2">
      <c r="G323" s="1880"/>
      <c r="H323" s="1880"/>
      <c r="I323" s="1880"/>
      <c r="J323" s="1880"/>
      <c r="K323" s="1880"/>
      <c r="L323" s="1880"/>
      <c r="M323" s="1880"/>
      <c r="N323" s="1880"/>
      <c r="O323" s="1880"/>
      <c r="P323" s="1880"/>
      <c r="Q323" s="1880"/>
    </row>
    <row r="324" spans="7:17" x14ac:dyDescent="0.2">
      <c r="G324" s="1880"/>
      <c r="H324" s="1880"/>
      <c r="I324" s="1880"/>
      <c r="J324" s="1880"/>
      <c r="K324" s="1880"/>
      <c r="L324" s="1880"/>
      <c r="M324" s="1880"/>
      <c r="N324" s="1880"/>
      <c r="O324" s="1880"/>
      <c r="P324" s="1880"/>
      <c r="Q324" s="1880"/>
    </row>
    <row r="325" spans="7:17" x14ac:dyDescent="0.2">
      <c r="G325" s="1880"/>
      <c r="H325" s="1880"/>
      <c r="I325" s="1880"/>
      <c r="J325" s="1880"/>
      <c r="K325" s="1880"/>
      <c r="L325" s="1880"/>
      <c r="M325" s="1880"/>
      <c r="N325" s="1880"/>
      <c r="O325" s="1880"/>
      <c r="P325" s="1880"/>
      <c r="Q325" s="1880"/>
    </row>
    <row r="326" spans="7:17" x14ac:dyDescent="0.2">
      <c r="G326" s="1880"/>
      <c r="H326" s="1880"/>
      <c r="I326" s="1880"/>
      <c r="J326" s="1880"/>
      <c r="K326" s="1880"/>
      <c r="L326" s="1880"/>
      <c r="M326" s="1880"/>
      <c r="N326" s="1880"/>
      <c r="O326" s="1880"/>
      <c r="P326" s="1880"/>
      <c r="Q326" s="1880"/>
    </row>
    <row r="327" spans="7:17" x14ac:dyDescent="0.2">
      <c r="G327" s="1880"/>
      <c r="H327" s="1880"/>
      <c r="I327" s="1880"/>
      <c r="J327" s="1880"/>
      <c r="K327" s="1880"/>
      <c r="L327" s="1880"/>
      <c r="M327" s="1880"/>
      <c r="N327" s="1880"/>
      <c r="O327" s="1880"/>
      <c r="P327" s="1880"/>
      <c r="Q327" s="1880"/>
    </row>
    <row r="328" spans="7:17" x14ac:dyDescent="0.2">
      <c r="G328" s="1880"/>
      <c r="H328" s="1880"/>
      <c r="I328" s="1880"/>
      <c r="J328" s="1880"/>
      <c r="K328" s="1880"/>
      <c r="L328" s="1880"/>
      <c r="M328" s="1880"/>
      <c r="N328" s="1880"/>
      <c r="O328" s="1880"/>
      <c r="P328" s="1880"/>
      <c r="Q328" s="1880"/>
    </row>
    <row r="329" spans="7:17" x14ac:dyDescent="0.2">
      <c r="G329" s="1880"/>
      <c r="H329" s="1880"/>
      <c r="I329" s="1880"/>
      <c r="J329" s="1880"/>
      <c r="K329" s="1880"/>
      <c r="L329" s="1880"/>
      <c r="M329" s="1880"/>
      <c r="N329" s="1880"/>
      <c r="O329" s="1880"/>
      <c r="P329" s="1880"/>
      <c r="Q329" s="1880"/>
    </row>
    <row r="330" spans="7:17" x14ac:dyDescent="0.2">
      <c r="G330" s="1880"/>
      <c r="H330" s="1880"/>
      <c r="I330" s="1880"/>
      <c r="J330" s="1880"/>
      <c r="K330" s="1880"/>
      <c r="L330" s="1880"/>
      <c r="M330" s="1880"/>
      <c r="N330" s="1880"/>
      <c r="O330" s="1880"/>
      <c r="P330" s="1880"/>
      <c r="Q330" s="1880"/>
    </row>
    <row r="331" spans="7:17" x14ac:dyDescent="0.2">
      <c r="G331" s="1880"/>
      <c r="H331" s="1880"/>
      <c r="I331" s="1880"/>
      <c r="J331" s="1880"/>
      <c r="K331" s="1880"/>
      <c r="L331" s="1880"/>
      <c r="M331" s="1880"/>
      <c r="N331" s="1880"/>
      <c r="O331" s="1880"/>
      <c r="P331" s="1880"/>
      <c r="Q331" s="1880"/>
    </row>
    <row r="332" spans="7:17" x14ac:dyDescent="0.2">
      <c r="G332" s="1880"/>
      <c r="H332" s="1880"/>
      <c r="I332" s="1880"/>
      <c r="J332" s="1880"/>
      <c r="K332" s="1880"/>
      <c r="L332" s="1880"/>
      <c r="M332" s="1880"/>
      <c r="N332" s="1880"/>
      <c r="O332" s="1880"/>
      <c r="P332" s="1880"/>
      <c r="Q332" s="1880"/>
    </row>
    <row r="333" spans="7:17" x14ac:dyDescent="0.2">
      <c r="G333" s="1880"/>
      <c r="H333" s="1880"/>
      <c r="I333" s="1880"/>
      <c r="J333" s="1880"/>
      <c r="K333" s="1880"/>
      <c r="L333" s="1880"/>
      <c r="M333" s="1880"/>
      <c r="N333" s="1880"/>
      <c r="O333" s="1880"/>
      <c r="P333" s="1880"/>
      <c r="Q333" s="1880"/>
    </row>
    <row r="334" spans="7:17" x14ac:dyDescent="0.2">
      <c r="G334" s="1880"/>
      <c r="H334" s="1880"/>
      <c r="I334" s="1880"/>
      <c r="J334" s="1880"/>
      <c r="K334" s="1880"/>
      <c r="L334" s="1880"/>
      <c r="M334" s="1880"/>
      <c r="N334" s="1880"/>
      <c r="O334" s="1880"/>
      <c r="P334" s="1880"/>
      <c r="Q334" s="1880"/>
    </row>
    <row r="335" spans="7:17" x14ac:dyDescent="0.2">
      <c r="G335" s="1880"/>
      <c r="H335" s="1880"/>
      <c r="I335" s="1880"/>
      <c r="J335" s="1880"/>
      <c r="K335" s="1880"/>
      <c r="L335" s="1880"/>
      <c r="M335" s="1880"/>
      <c r="N335" s="1880"/>
      <c r="O335" s="1880"/>
      <c r="P335" s="1880"/>
      <c r="Q335" s="1880"/>
    </row>
    <row r="336" spans="7:17" x14ac:dyDescent="0.2">
      <c r="G336" s="1880"/>
      <c r="H336" s="1880"/>
      <c r="I336" s="1880"/>
      <c r="J336" s="1880"/>
      <c r="K336" s="1880"/>
      <c r="L336" s="1880"/>
      <c r="M336" s="1880"/>
      <c r="N336" s="1880"/>
      <c r="O336" s="1880"/>
      <c r="P336" s="1880"/>
      <c r="Q336" s="1880"/>
    </row>
    <row r="337" spans="7:17" x14ac:dyDescent="0.2">
      <c r="G337" s="1880"/>
      <c r="H337" s="1880"/>
      <c r="I337" s="1880"/>
      <c r="J337" s="1880"/>
      <c r="K337" s="1880"/>
      <c r="L337" s="1880"/>
      <c r="M337" s="1880"/>
      <c r="N337" s="1880"/>
      <c r="O337" s="1880"/>
      <c r="P337" s="1880"/>
      <c r="Q337" s="1880"/>
    </row>
    <row r="338" spans="7:17" x14ac:dyDescent="0.2">
      <c r="G338" s="1880"/>
      <c r="H338" s="1880"/>
      <c r="I338" s="1880"/>
      <c r="J338" s="1880"/>
      <c r="K338" s="1880"/>
      <c r="L338" s="1880"/>
      <c r="M338" s="1880"/>
      <c r="N338" s="1880"/>
      <c r="O338" s="1880"/>
      <c r="P338" s="1880"/>
      <c r="Q338" s="1880"/>
    </row>
    <row r="339" spans="7:17" x14ac:dyDescent="0.2">
      <c r="G339" s="1880"/>
      <c r="H339" s="1880"/>
      <c r="I339" s="1880"/>
      <c r="J339" s="1880"/>
      <c r="K339" s="1880"/>
      <c r="L339" s="1880"/>
      <c r="M339" s="1880"/>
      <c r="N339" s="1880"/>
      <c r="O339" s="1880"/>
      <c r="P339" s="1880"/>
      <c r="Q339" s="1880"/>
    </row>
    <row r="340" spans="7:17" x14ac:dyDescent="0.2">
      <c r="G340" s="1880"/>
      <c r="H340" s="1880"/>
      <c r="I340" s="1880"/>
      <c r="J340" s="1880"/>
      <c r="K340" s="1880"/>
      <c r="L340" s="1880"/>
      <c r="M340" s="1880"/>
      <c r="N340" s="1880"/>
      <c r="O340" s="1880"/>
      <c r="P340" s="1880"/>
      <c r="Q340" s="1880"/>
    </row>
    <row r="341" spans="7:17" x14ac:dyDescent="0.2">
      <c r="G341" s="1880"/>
      <c r="H341" s="1880"/>
      <c r="I341" s="1880"/>
      <c r="J341" s="1880"/>
      <c r="K341" s="1880"/>
      <c r="L341" s="1880"/>
      <c r="M341" s="1880"/>
      <c r="N341" s="1880"/>
      <c r="O341" s="1880"/>
      <c r="P341" s="1880"/>
      <c r="Q341" s="1880"/>
    </row>
    <row r="342" spans="7:17" x14ac:dyDescent="0.2">
      <c r="G342" s="1880"/>
      <c r="H342" s="1880"/>
      <c r="I342" s="1880"/>
      <c r="J342" s="1880"/>
      <c r="K342" s="1880"/>
      <c r="L342" s="1880"/>
      <c r="M342" s="1880"/>
      <c r="N342" s="1880"/>
      <c r="O342" s="1880"/>
      <c r="P342" s="1880"/>
      <c r="Q342" s="1880"/>
    </row>
    <row r="343" spans="7:17" x14ac:dyDescent="0.2">
      <c r="G343" s="1880"/>
      <c r="H343" s="1880"/>
      <c r="I343" s="1880"/>
      <c r="J343" s="1880"/>
      <c r="K343" s="1880"/>
      <c r="L343" s="1880"/>
      <c r="M343" s="1880"/>
      <c r="N343" s="1880"/>
      <c r="O343" s="1880"/>
      <c r="P343" s="1880"/>
      <c r="Q343" s="1880"/>
    </row>
    <row r="344" spans="7:17" x14ac:dyDescent="0.2">
      <c r="G344" s="1880"/>
      <c r="H344" s="1880"/>
      <c r="I344" s="1880"/>
      <c r="J344" s="1880"/>
      <c r="K344" s="1880"/>
      <c r="L344" s="1880"/>
      <c r="M344" s="1880"/>
      <c r="N344" s="1880"/>
      <c r="O344" s="1880"/>
      <c r="P344" s="1880"/>
      <c r="Q344" s="1880"/>
    </row>
    <row r="345" spans="7:17" x14ac:dyDescent="0.2">
      <c r="G345" s="1880"/>
      <c r="H345" s="1880"/>
      <c r="I345" s="1880"/>
      <c r="J345" s="1880"/>
      <c r="K345" s="1880"/>
      <c r="L345" s="1880"/>
      <c r="M345" s="1880"/>
      <c r="N345" s="1880"/>
      <c r="O345" s="1880"/>
      <c r="P345" s="1880"/>
      <c r="Q345" s="1880"/>
    </row>
    <row r="346" spans="7:17" x14ac:dyDescent="0.2">
      <c r="G346" s="1880"/>
      <c r="H346" s="1880"/>
      <c r="I346" s="1880"/>
      <c r="J346" s="1880"/>
      <c r="K346" s="1880"/>
      <c r="L346" s="1880"/>
      <c r="M346" s="1880"/>
      <c r="N346" s="1880"/>
      <c r="O346" s="1880"/>
      <c r="P346" s="1880"/>
      <c r="Q346" s="1880"/>
    </row>
    <row r="347" spans="7:17" x14ac:dyDescent="0.2">
      <c r="G347" s="1880"/>
      <c r="H347" s="1880"/>
      <c r="I347" s="1880"/>
      <c r="J347" s="1880"/>
      <c r="K347" s="1880"/>
      <c r="L347" s="1880"/>
      <c r="M347" s="1880"/>
      <c r="N347" s="1880"/>
      <c r="O347" s="1880"/>
      <c r="P347" s="1880"/>
      <c r="Q347" s="1880"/>
    </row>
    <row r="348" spans="7:17" x14ac:dyDescent="0.2">
      <c r="G348" s="1880"/>
      <c r="H348" s="1880"/>
      <c r="I348" s="1880"/>
      <c r="J348" s="1880"/>
      <c r="K348" s="1880"/>
      <c r="L348" s="1880"/>
      <c r="M348" s="1880"/>
      <c r="N348" s="1880"/>
      <c r="O348" s="1880"/>
      <c r="P348" s="1880"/>
      <c r="Q348" s="1880"/>
    </row>
    <row r="349" spans="7:17" x14ac:dyDescent="0.2">
      <c r="G349" s="1880"/>
      <c r="H349" s="1880"/>
      <c r="I349" s="1880"/>
      <c r="J349" s="1880"/>
      <c r="K349" s="1880"/>
      <c r="L349" s="1880"/>
      <c r="M349" s="1880"/>
      <c r="N349" s="1880"/>
      <c r="O349" s="1880"/>
      <c r="P349" s="1880"/>
      <c r="Q349" s="1880"/>
    </row>
    <row r="350" spans="7:17" x14ac:dyDescent="0.2">
      <c r="G350" s="1880"/>
      <c r="H350" s="1880"/>
      <c r="I350" s="1880"/>
      <c r="J350" s="1880"/>
      <c r="K350" s="1880"/>
      <c r="L350" s="1880"/>
      <c r="M350" s="1880"/>
      <c r="N350" s="1880"/>
      <c r="O350" s="1880"/>
      <c r="P350" s="1880"/>
      <c r="Q350" s="1880"/>
    </row>
    <row r="351" spans="7:17" x14ac:dyDescent="0.2">
      <c r="G351" s="1880"/>
      <c r="H351" s="1880"/>
      <c r="I351" s="1880"/>
      <c r="J351" s="1880"/>
      <c r="K351" s="1880"/>
      <c r="L351" s="1880"/>
      <c r="M351" s="1880"/>
      <c r="N351" s="1880"/>
      <c r="O351" s="1880"/>
      <c r="P351" s="1880"/>
      <c r="Q351" s="1880"/>
    </row>
    <row r="352" spans="7:17" x14ac:dyDescent="0.2">
      <c r="G352" s="1880"/>
      <c r="H352" s="1880"/>
      <c r="I352" s="1880"/>
      <c r="J352" s="1880"/>
      <c r="K352" s="1880"/>
      <c r="L352" s="1880"/>
      <c r="M352" s="1880"/>
      <c r="N352" s="1880"/>
      <c r="O352" s="1880"/>
      <c r="P352" s="1880"/>
      <c r="Q352" s="1880"/>
    </row>
    <row r="353" spans="7:17" x14ac:dyDescent="0.2">
      <c r="G353" s="1880"/>
      <c r="H353" s="1880"/>
      <c r="I353" s="1880"/>
      <c r="J353" s="1880"/>
      <c r="K353" s="1880"/>
      <c r="L353" s="1880"/>
      <c r="M353" s="1880"/>
      <c r="N353" s="1880"/>
      <c r="O353" s="1880"/>
      <c r="P353" s="1880"/>
      <c r="Q353" s="1880"/>
    </row>
    <row r="354" spans="7:17" x14ac:dyDescent="0.2">
      <c r="G354" s="1880"/>
      <c r="H354" s="1880"/>
      <c r="I354" s="1880"/>
      <c r="J354" s="1880"/>
      <c r="K354" s="1880"/>
      <c r="L354" s="1880"/>
      <c r="M354" s="1880"/>
      <c r="N354" s="1880"/>
      <c r="O354" s="1880"/>
      <c r="P354" s="1880"/>
      <c r="Q354" s="1880"/>
    </row>
    <row r="355" spans="7:17" x14ac:dyDescent="0.2">
      <c r="G355" s="1880"/>
      <c r="H355" s="1880"/>
      <c r="I355" s="1880"/>
      <c r="J355" s="1880"/>
      <c r="K355" s="1880"/>
      <c r="L355" s="1880"/>
      <c r="M355" s="1880"/>
      <c r="N355" s="1880"/>
      <c r="O355" s="1880"/>
      <c r="P355" s="1880"/>
      <c r="Q355" s="1880"/>
    </row>
    <row r="356" spans="7:17" x14ac:dyDescent="0.2">
      <c r="G356" s="1880"/>
      <c r="H356" s="1880"/>
      <c r="I356" s="1880"/>
      <c r="J356" s="1880"/>
      <c r="K356" s="1880"/>
      <c r="L356" s="1880"/>
      <c r="M356" s="1880"/>
      <c r="N356" s="1880"/>
      <c r="O356" s="1880"/>
      <c r="P356" s="1880"/>
      <c r="Q356" s="1880"/>
    </row>
    <row r="357" spans="7:17" x14ac:dyDescent="0.2">
      <c r="G357" s="1880"/>
      <c r="H357" s="1880"/>
      <c r="I357" s="1880"/>
      <c r="J357" s="1880"/>
      <c r="K357" s="1880"/>
      <c r="L357" s="1880"/>
      <c r="M357" s="1880"/>
      <c r="N357" s="1880"/>
      <c r="O357" s="1880"/>
      <c r="P357" s="1880"/>
      <c r="Q357" s="1880"/>
    </row>
    <row r="358" spans="7:17" x14ac:dyDescent="0.2">
      <c r="G358" s="1880"/>
      <c r="H358" s="1880"/>
      <c r="I358" s="1880"/>
      <c r="J358" s="1880"/>
      <c r="K358" s="1880"/>
      <c r="L358" s="1880"/>
      <c r="M358" s="1880"/>
      <c r="N358" s="1880"/>
      <c r="O358" s="1880"/>
      <c r="P358" s="1880"/>
      <c r="Q358" s="1880"/>
    </row>
    <row r="359" spans="7:17" x14ac:dyDescent="0.2">
      <c r="G359" s="1880"/>
      <c r="H359" s="1880"/>
      <c r="I359" s="1880"/>
      <c r="J359" s="1880"/>
      <c r="K359" s="1880"/>
      <c r="L359" s="1880"/>
      <c r="M359" s="1880"/>
      <c r="N359" s="1880"/>
      <c r="O359" s="1880"/>
      <c r="P359" s="1880"/>
      <c r="Q359" s="1880"/>
    </row>
    <row r="360" spans="7:17" x14ac:dyDescent="0.2">
      <c r="G360" s="1880"/>
      <c r="H360" s="1880"/>
      <c r="I360" s="1880"/>
      <c r="J360" s="1880"/>
      <c r="K360" s="1880"/>
      <c r="L360" s="1880"/>
      <c r="M360" s="1880"/>
      <c r="N360" s="1880"/>
      <c r="O360" s="1880"/>
      <c r="P360" s="1880"/>
      <c r="Q360" s="1880"/>
    </row>
    <row r="361" spans="7:17" x14ac:dyDescent="0.2">
      <c r="G361" s="1880"/>
      <c r="H361" s="1880"/>
      <c r="I361" s="1880"/>
      <c r="J361" s="1880"/>
      <c r="K361" s="1880"/>
      <c r="L361" s="1880"/>
      <c r="M361" s="1880"/>
      <c r="N361" s="1880"/>
      <c r="O361" s="1880"/>
      <c r="P361" s="1880"/>
      <c r="Q361" s="1880"/>
    </row>
    <row r="362" spans="7:17" x14ac:dyDescent="0.2">
      <c r="G362" s="1880"/>
      <c r="H362" s="1880"/>
      <c r="I362" s="1880"/>
      <c r="J362" s="1880"/>
      <c r="K362" s="1880"/>
      <c r="L362" s="1880"/>
      <c r="M362" s="1880"/>
      <c r="N362" s="1880"/>
      <c r="O362" s="1880"/>
      <c r="P362" s="1880"/>
      <c r="Q362" s="1880"/>
    </row>
    <row r="363" spans="7:17" x14ac:dyDescent="0.2">
      <c r="G363" s="1880"/>
      <c r="H363" s="1880"/>
      <c r="I363" s="1880"/>
      <c r="J363" s="1880"/>
      <c r="K363" s="1880"/>
      <c r="L363" s="1880"/>
      <c r="M363" s="1880"/>
      <c r="N363" s="1880"/>
      <c r="O363" s="1880"/>
      <c r="P363" s="1880"/>
      <c r="Q363" s="1880"/>
    </row>
    <row r="364" spans="7:17" x14ac:dyDescent="0.2">
      <c r="G364" s="1880"/>
      <c r="H364" s="1880"/>
      <c r="I364" s="1880"/>
      <c r="J364" s="1880"/>
      <c r="K364" s="1880"/>
      <c r="L364" s="1880"/>
      <c r="M364" s="1880"/>
      <c r="N364" s="1880"/>
      <c r="O364" s="1880"/>
      <c r="P364" s="1880"/>
      <c r="Q364" s="1880"/>
    </row>
    <row r="365" spans="7:17" x14ac:dyDescent="0.2">
      <c r="G365" s="1880"/>
      <c r="H365" s="1880"/>
      <c r="I365" s="1880"/>
      <c r="J365" s="1880"/>
      <c r="K365" s="1880"/>
      <c r="L365" s="1880"/>
      <c r="M365" s="1880"/>
      <c r="N365" s="1880"/>
      <c r="O365" s="1880"/>
      <c r="P365" s="1880"/>
      <c r="Q365" s="1880"/>
    </row>
    <row r="366" spans="7:17" x14ac:dyDescent="0.2">
      <c r="G366" s="1880"/>
      <c r="H366" s="1880"/>
      <c r="I366" s="1880"/>
      <c r="J366" s="1880"/>
      <c r="K366" s="1880"/>
      <c r="L366" s="1880"/>
      <c r="M366" s="1880"/>
      <c r="N366" s="1880"/>
      <c r="O366" s="1880"/>
      <c r="P366" s="1880"/>
      <c r="Q366" s="1880"/>
    </row>
    <row r="367" spans="7:17" x14ac:dyDescent="0.2">
      <c r="G367" s="1880"/>
      <c r="H367" s="1880"/>
      <c r="I367" s="1880"/>
      <c r="J367" s="1880"/>
      <c r="K367" s="1880"/>
      <c r="L367" s="1880"/>
      <c r="M367" s="1880"/>
      <c r="N367" s="1880"/>
      <c r="O367" s="1880"/>
      <c r="P367" s="1880"/>
      <c r="Q367" s="1880"/>
    </row>
    <row r="368" spans="7:17" x14ac:dyDescent="0.2">
      <c r="G368" s="1880"/>
      <c r="H368" s="1880"/>
      <c r="I368" s="1880"/>
      <c r="J368" s="1880"/>
      <c r="K368" s="1880"/>
      <c r="L368" s="1880"/>
      <c r="M368" s="1880"/>
      <c r="N368" s="1880"/>
      <c r="O368" s="1880"/>
      <c r="P368" s="1880"/>
      <c r="Q368" s="1880"/>
    </row>
    <row r="369" spans="7:17" x14ac:dyDescent="0.2">
      <c r="G369" s="1880"/>
      <c r="H369" s="1880"/>
      <c r="I369" s="1880"/>
      <c r="J369" s="1880"/>
      <c r="K369" s="1880"/>
      <c r="L369" s="1880"/>
      <c r="M369" s="1880"/>
      <c r="N369" s="1880"/>
      <c r="O369" s="1880"/>
      <c r="P369" s="1880"/>
      <c r="Q369" s="1880"/>
    </row>
    <row r="370" spans="7:17" x14ac:dyDescent="0.2">
      <c r="G370" s="1880"/>
      <c r="H370" s="1880"/>
      <c r="I370" s="1880"/>
      <c r="J370" s="1880"/>
      <c r="K370" s="1880"/>
      <c r="L370" s="1880"/>
      <c r="M370" s="1880"/>
      <c r="N370" s="1880"/>
      <c r="O370" s="1880"/>
      <c r="P370" s="1880"/>
      <c r="Q370" s="1880"/>
    </row>
    <row r="371" spans="7:17" x14ac:dyDescent="0.2">
      <c r="G371" s="1880"/>
      <c r="H371" s="1880"/>
      <c r="I371" s="1880"/>
      <c r="J371" s="1880"/>
      <c r="K371" s="1880"/>
      <c r="L371" s="1880"/>
      <c r="M371" s="1880"/>
      <c r="N371" s="1880"/>
      <c r="O371" s="1880"/>
      <c r="P371" s="1880"/>
      <c r="Q371" s="1880"/>
    </row>
    <row r="372" spans="7:17" x14ac:dyDescent="0.2">
      <c r="G372" s="1880"/>
      <c r="H372" s="1880"/>
      <c r="I372" s="1880"/>
      <c r="J372" s="1880"/>
      <c r="K372" s="1880"/>
      <c r="L372" s="1880"/>
      <c r="M372" s="1880"/>
      <c r="N372" s="1880"/>
      <c r="O372" s="1880"/>
      <c r="P372" s="1880"/>
      <c r="Q372" s="1880"/>
    </row>
    <row r="373" spans="7:17" x14ac:dyDescent="0.2">
      <c r="G373" s="1880"/>
      <c r="H373" s="1880"/>
      <c r="I373" s="1880"/>
      <c r="J373" s="1880"/>
      <c r="K373" s="1880"/>
      <c r="L373" s="1880"/>
      <c r="M373" s="1880"/>
      <c r="N373" s="1880"/>
      <c r="O373" s="1880"/>
      <c r="P373" s="1880"/>
      <c r="Q373" s="1880"/>
    </row>
    <row r="374" spans="7:17" x14ac:dyDescent="0.2">
      <c r="G374" s="1880"/>
      <c r="H374" s="1880"/>
      <c r="I374" s="1880"/>
      <c r="J374" s="1880"/>
      <c r="K374" s="1880"/>
      <c r="L374" s="1880"/>
      <c r="M374" s="1880"/>
      <c r="N374" s="1880"/>
      <c r="O374" s="1880"/>
      <c r="P374" s="1880"/>
      <c r="Q374" s="1880"/>
    </row>
    <row r="375" spans="7:17" x14ac:dyDescent="0.2">
      <c r="G375" s="1880"/>
      <c r="H375" s="1880"/>
      <c r="I375" s="1880"/>
      <c r="J375" s="1880"/>
      <c r="K375" s="1880"/>
      <c r="L375" s="1880"/>
      <c r="M375" s="1880"/>
      <c r="N375" s="1880"/>
      <c r="O375" s="1880"/>
      <c r="P375" s="1880"/>
      <c r="Q375" s="1880"/>
    </row>
    <row r="376" spans="7:17" x14ac:dyDescent="0.2">
      <c r="G376" s="1880"/>
      <c r="H376" s="1880"/>
      <c r="I376" s="1880"/>
      <c r="J376" s="1880"/>
      <c r="K376" s="1880"/>
      <c r="L376" s="1880"/>
      <c r="M376" s="1880"/>
      <c r="N376" s="1880"/>
      <c r="O376" s="1880"/>
      <c r="P376" s="1880"/>
      <c r="Q376" s="1880"/>
    </row>
    <row r="377" spans="7:17" x14ac:dyDescent="0.2">
      <c r="G377" s="1880"/>
      <c r="H377" s="1880"/>
      <c r="I377" s="1880"/>
      <c r="J377" s="1880"/>
      <c r="K377" s="1880"/>
      <c r="L377" s="1880"/>
      <c r="M377" s="1880"/>
      <c r="N377" s="1880"/>
      <c r="O377" s="1880"/>
      <c r="P377" s="1880"/>
      <c r="Q377" s="1880"/>
    </row>
    <row r="378" spans="7:17" x14ac:dyDescent="0.2">
      <c r="G378" s="1880"/>
      <c r="H378" s="1880"/>
      <c r="I378" s="1880"/>
      <c r="J378" s="1880"/>
      <c r="K378" s="1880"/>
      <c r="L378" s="1880"/>
      <c r="M378" s="1880"/>
      <c r="N378" s="1880"/>
      <c r="O378" s="1880"/>
      <c r="P378" s="1880"/>
      <c r="Q378" s="1880"/>
    </row>
    <row r="379" spans="7:17" x14ac:dyDescent="0.2">
      <c r="G379" s="1880"/>
      <c r="H379" s="1880"/>
      <c r="I379" s="1880"/>
      <c r="J379" s="1880"/>
      <c r="K379" s="1880"/>
      <c r="L379" s="1880"/>
      <c r="M379" s="1880"/>
      <c r="N379" s="1880"/>
      <c r="O379" s="1880"/>
      <c r="P379" s="1880"/>
      <c r="Q379" s="1880"/>
    </row>
    <row r="380" spans="7:17" x14ac:dyDescent="0.2">
      <c r="G380" s="1880"/>
      <c r="H380" s="1880"/>
      <c r="I380" s="1880"/>
      <c r="J380" s="1880"/>
      <c r="K380" s="1880"/>
      <c r="L380" s="1880"/>
      <c r="M380" s="1880"/>
      <c r="N380" s="1880"/>
      <c r="O380" s="1880"/>
      <c r="P380" s="1880"/>
      <c r="Q380" s="1880"/>
    </row>
    <row r="381" spans="7:17" x14ac:dyDescent="0.2">
      <c r="G381" s="1880"/>
      <c r="H381" s="1880"/>
      <c r="I381" s="1880"/>
      <c r="J381" s="1880"/>
      <c r="K381" s="1880"/>
      <c r="L381" s="1880"/>
      <c r="M381" s="1880"/>
      <c r="N381" s="1880"/>
      <c r="O381" s="1880"/>
      <c r="P381" s="1880"/>
      <c r="Q381" s="1880"/>
    </row>
    <row r="382" spans="7:17" x14ac:dyDescent="0.2">
      <c r="G382" s="1880"/>
      <c r="H382" s="1880"/>
      <c r="I382" s="1880"/>
      <c r="J382" s="1880"/>
      <c r="K382" s="1880"/>
      <c r="L382" s="1880"/>
      <c r="M382" s="1880"/>
      <c r="N382" s="1880"/>
      <c r="O382" s="1880"/>
      <c r="P382" s="1880"/>
      <c r="Q382" s="1880"/>
    </row>
    <row r="383" spans="7:17" x14ac:dyDescent="0.2">
      <c r="G383" s="1880"/>
      <c r="H383" s="1880"/>
      <c r="I383" s="1880"/>
      <c r="J383" s="1880"/>
      <c r="K383" s="1880"/>
      <c r="L383" s="1880"/>
      <c r="M383" s="1880"/>
      <c r="N383" s="1880"/>
      <c r="O383" s="1880"/>
      <c r="P383" s="1880"/>
      <c r="Q383" s="1880"/>
    </row>
    <row r="384" spans="7:17" x14ac:dyDescent="0.2">
      <c r="G384" s="1880"/>
      <c r="H384" s="1880"/>
      <c r="I384" s="1880"/>
      <c r="J384" s="1880"/>
      <c r="K384" s="1880"/>
      <c r="L384" s="1880"/>
      <c r="M384" s="1880"/>
      <c r="N384" s="1880"/>
      <c r="O384" s="1880"/>
      <c r="P384" s="1880"/>
      <c r="Q384" s="1880"/>
    </row>
    <row r="385" spans="7:17" x14ac:dyDescent="0.2">
      <c r="G385" s="1880"/>
      <c r="H385" s="1880"/>
      <c r="I385" s="1880"/>
      <c r="J385" s="1880"/>
      <c r="K385" s="1880"/>
      <c r="L385" s="1880"/>
      <c r="M385" s="1880"/>
      <c r="N385" s="1880"/>
      <c r="O385" s="1880"/>
      <c r="P385" s="1880"/>
      <c r="Q385" s="1880"/>
    </row>
    <row r="386" spans="7:17" x14ac:dyDescent="0.2">
      <c r="G386" s="1880"/>
      <c r="H386" s="1880"/>
      <c r="I386" s="1880"/>
      <c r="J386" s="1880"/>
      <c r="K386" s="1880"/>
      <c r="L386" s="1880"/>
      <c r="M386" s="1880"/>
      <c r="N386" s="1880"/>
      <c r="O386" s="1880"/>
      <c r="P386" s="1880"/>
      <c r="Q386" s="1880"/>
    </row>
    <row r="387" spans="7:17" x14ac:dyDescent="0.2">
      <c r="G387" s="1880"/>
      <c r="H387" s="1880"/>
      <c r="I387" s="1880"/>
      <c r="J387" s="1880"/>
      <c r="K387" s="1880"/>
      <c r="L387" s="1880"/>
      <c r="M387" s="1880"/>
      <c r="N387" s="1880"/>
      <c r="O387" s="1880"/>
      <c r="P387" s="1880"/>
      <c r="Q387" s="1880"/>
    </row>
    <row r="388" spans="7:17" x14ac:dyDescent="0.2">
      <c r="G388" s="1880"/>
      <c r="H388" s="1880"/>
      <c r="I388" s="1880"/>
      <c r="J388" s="1880"/>
      <c r="K388" s="1880"/>
      <c r="L388" s="1880"/>
      <c r="M388" s="1880"/>
      <c r="N388" s="1880"/>
      <c r="O388" s="1880"/>
      <c r="P388" s="1880"/>
      <c r="Q388" s="1880"/>
    </row>
    <row r="389" spans="7:17" x14ac:dyDescent="0.2">
      <c r="G389" s="1880"/>
      <c r="H389" s="1880"/>
      <c r="I389" s="1880"/>
      <c r="J389" s="1880"/>
      <c r="K389" s="1880"/>
      <c r="L389" s="1880"/>
      <c r="M389" s="1880"/>
      <c r="N389" s="1880"/>
      <c r="O389" s="1880"/>
      <c r="P389" s="1880"/>
      <c r="Q389" s="1880"/>
    </row>
    <row r="390" spans="7:17" x14ac:dyDescent="0.2">
      <c r="G390" s="1880"/>
      <c r="H390" s="1880"/>
      <c r="I390" s="1880"/>
      <c r="J390" s="1880"/>
      <c r="K390" s="1880"/>
      <c r="L390" s="1880"/>
      <c r="M390" s="1880"/>
      <c r="N390" s="1880"/>
      <c r="O390" s="1880"/>
      <c r="P390" s="1880"/>
      <c r="Q390" s="1880"/>
    </row>
    <row r="391" spans="7:17" x14ac:dyDescent="0.2">
      <c r="G391" s="1880"/>
      <c r="H391" s="1880"/>
      <c r="I391" s="1880"/>
      <c r="J391" s="1880"/>
      <c r="K391" s="1880"/>
      <c r="L391" s="1880"/>
      <c r="M391" s="1880"/>
      <c r="N391" s="1880"/>
      <c r="O391" s="1880"/>
      <c r="P391" s="1880"/>
      <c r="Q391" s="1880"/>
    </row>
    <row r="392" spans="7:17" x14ac:dyDescent="0.2">
      <c r="G392" s="1880"/>
      <c r="H392" s="1880"/>
      <c r="I392" s="1880"/>
      <c r="J392" s="1880"/>
      <c r="K392" s="1880"/>
      <c r="L392" s="1880"/>
      <c r="M392" s="1880"/>
      <c r="N392" s="1880"/>
      <c r="O392" s="1880"/>
      <c r="P392" s="1880"/>
      <c r="Q392" s="1880"/>
    </row>
    <row r="393" spans="7:17" x14ac:dyDescent="0.2">
      <c r="G393" s="1880"/>
      <c r="H393" s="1880"/>
      <c r="I393" s="1880"/>
      <c r="J393" s="1880"/>
      <c r="K393" s="1880"/>
      <c r="L393" s="1880"/>
      <c r="M393" s="1880"/>
      <c r="N393" s="1880"/>
      <c r="O393" s="1880"/>
      <c r="P393" s="1880"/>
      <c r="Q393" s="1880"/>
    </row>
    <row r="394" spans="7:17" x14ac:dyDescent="0.2">
      <c r="G394" s="1880"/>
      <c r="H394" s="1880"/>
      <c r="I394" s="1880"/>
      <c r="J394" s="1880"/>
      <c r="K394" s="1880"/>
      <c r="L394" s="1880"/>
      <c r="M394" s="1880"/>
      <c r="N394" s="1880"/>
      <c r="O394" s="1880"/>
      <c r="P394" s="1880"/>
      <c r="Q394" s="1880"/>
    </row>
    <row r="395" spans="7:17" x14ac:dyDescent="0.2">
      <c r="G395" s="1880"/>
      <c r="H395" s="1880"/>
      <c r="I395" s="1880"/>
      <c r="J395" s="1880"/>
      <c r="K395" s="1880"/>
      <c r="L395" s="1880"/>
      <c r="M395" s="1880"/>
      <c r="N395" s="1880"/>
      <c r="O395" s="1880"/>
      <c r="P395" s="1880"/>
      <c r="Q395" s="1880"/>
    </row>
    <row r="396" spans="7:17" x14ac:dyDescent="0.2">
      <c r="G396" s="1880"/>
      <c r="H396" s="1880"/>
      <c r="I396" s="1880"/>
      <c r="J396" s="1880"/>
      <c r="K396" s="1880"/>
      <c r="L396" s="1880"/>
      <c r="M396" s="1880"/>
      <c r="N396" s="1880"/>
      <c r="O396" s="1880"/>
      <c r="P396" s="1880"/>
      <c r="Q396" s="1880"/>
    </row>
    <row r="397" spans="7:17" x14ac:dyDescent="0.2">
      <c r="G397" s="1880"/>
      <c r="H397" s="1880"/>
      <c r="I397" s="1880"/>
      <c r="J397" s="1880"/>
      <c r="K397" s="1880"/>
      <c r="L397" s="1880"/>
      <c r="M397" s="1880"/>
      <c r="N397" s="1880"/>
      <c r="O397" s="1880"/>
      <c r="P397" s="1880"/>
      <c r="Q397" s="1880"/>
    </row>
    <row r="398" spans="7:17" x14ac:dyDescent="0.2">
      <c r="G398" s="1880"/>
      <c r="H398" s="1880"/>
      <c r="I398" s="1880"/>
      <c r="J398" s="1880"/>
      <c r="K398" s="1880"/>
      <c r="L398" s="1880"/>
      <c r="M398" s="1880"/>
      <c r="N398" s="1880"/>
      <c r="O398" s="1880"/>
      <c r="P398" s="1880"/>
      <c r="Q398" s="1880"/>
    </row>
    <row r="399" spans="7:17" x14ac:dyDescent="0.2">
      <c r="G399" s="1880"/>
      <c r="H399" s="1880"/>
      <c r="I399" s="1880"/>
      <c r="J399" s="1880"/>
      <c r="K399" s="1880"/>
      <c r="L399" s="1880"/>
      <c r="M399" s="1880"/>
      <c r="N399" s="1880"/>
      <c r="O399" s="1880"/>
      <c r="P399" s="1880"/>
      <c r="Q399" s="1880"/>
    </row>
    <row r="400" spans="7:17" x14ac:dyDescent="0.2">
      <c r="G400" s="1880"/>
      <c r="H400" s="1880"/>
      <c r="I400" s="1880"/>
      <c r="J400" s="1880"/>
      <c r="K400" s="1880"/>
      <c r="L400" s="1880"/>
      <c r="M400" s="1880"/>
      <c r="N400" s="1880"/>
      <c r="O400" s="1880"/>
      <c r="P400" s="1880"/>
      <c r="Q400" s="1880"/>
    </row>
    <row r="401" spans="7:17" x14ac:dyDescent="0.2">
      <c r="G401" s="1880"/>
      <c r="H401" s="1880"/>
      <c r="I401" s="1880"/>
      <c r="J401" s="1880"/>
      <c r="K401" s="1880"/>
      <c r="L401" s="1880"/>
      <c r="M401" s="1880"/>
      <c r="N401" s="1880"/>
      <c r="O401" s="1880"/>
      <c r="P401" s="1880"/>
      <c r="Q401" s="1880"/>
    </row>
    <row r="402" spans="7:17" x14ac:dyDescent="0.2">
      <c r="G402" s="1880"/>
      <c r="H402" s="1880"/>
      <c r="I402" s="1880"/>
      <c r="J402" s="1880"/>
      <c r="K402" s="1880"/>
      <c r="L402" s="1880"/>
      <c r="M402" s="1880"/>
      <c r="N402" s="1880"/>
      <c r="O402" s="1880"/>
      <c r="P402" s="1880"/>
      <c r="Q402" s="1880"/>
    </row>
    <row r="403" spans="7:17" x14ac:dyDescent="0.2">
      <c r="G403" s="1880"/>
      <c r="H403" s="1880"/>
      <c r="I403" s="1880"/>
      <c r="J403" s="1880"/>
      <c r="K403" s="1880"/>
      <c r="L403" s="1880"/>
      <c r="M403" s="1880"/>
      <c r="N403" s="1880"/>
      <c r="O403" s="1880"/>
      <c r="P403" s="1880"/>
      <c r="Q403" s="1880"/>
    </row>
    <row r="404" spans="7:17" x14ac:dyDescent="0.2">
      <c r="G404" s="1880"/>
      <c r="H404" s="1880"/>
      <c r="I404" s="1880"/>
      <c r="J404" s="1880"/>
      <c r="K404" s="1880"/>
      <c r="L404" s="1880"/>
      <c r="M404" s="1880"/>
      <c r="N404" s="1880"/>
      <c r="O404" s="1880"/>
      <c r="P404" s="1880"/>
      <c r="Q404" s="1880"/>
    </row>
    <row r="405" spans="7:17" x14ac:dyDescent="0.2">
      <c r="G405" s="1880"/>
      <c r="H405" s="1880"/>
      <c r="I405" s="1880"/>
      <c r="J405" s="1880"/>
      <c r="K405" s="1880"/>
      <c r="L405" s="1880"/>
      <c r="M405" s="1880"/>
      <c r="N405" s="1880"/>
      <c r="O405" s="1880"/>
      <c r="P405" s="1880"/>
      <c r="Q405" s="1880"/>
    </row>
    <row r="406" spans="7:17" x14ac:dyDescent="0.2">
      <c r="G406" s="1880"/>
      <c r="H406" s="1880"/>
      <c r="I406" s="1880"/>
      <c r="J406" s="1880"/>
      <c r="K406" s="1880"/>
      <c r="L406" s="1880"/>
      <c r="M406" s="1880"/>
      <c r="N406" s="1880"/>
      <c r="O406" s="1880"/>
      <c r="P406" s="1880"/>
      <c r="Q406" s="1880"/>
    </row>
    <row r="407" spans="7:17" x14ac:dyDescent="0.2">
      <c r="G407" s="1880"/>
      <c r="H407" s="1880"/>
      <c r="I407" s="1880"/>
      <c r="J407" s="1880"/>
      <c r="K407" s="1880"/>
      <c r="L407" s="1880"/>
      <c r="M407" s="1880"/>
      <c r="N407" s="1880"/>
      <c r="O407" s="1880"/>
      <c r="P407" s="1880"/>
      <c r="Q407" s="1880"/>
    </row>
    <row r="408" spans="7:17" x14ac:dyDescent="0.2">
      <c r="G408" s="1880"/>
      <c r="H408" s="1880"/>
      <c r="I408" s="1880"/>
      <c r="J408" s="1880"/>
      <c r="K408" s="1880"/>
      <c r="L408" s="1880"/>
      <c r="M408" s="1880"/>
      <c r="N408" s="1880"/>
      <c r="O408" s="1880"/>
      <c r="P408" s="1880"/>
      <c r="Q408" s="1880"/>
    </row>
    <row r="409" spans="7:17" x14ac:dyDescent="0.2">
      <c r="G409" s="1880"/>
      <c r="H409" s="1880"/>
      <c r="I409" s="1880"/>
      <c r="J409" s="1880"/>
      <c r="K409" s="1880"/>
      <c r="L409" s="1880"/>
      <c r="M409" s="1880"/>
      <c r="N409" s="1880"/>
      <c r="O409" s="1880"/>
      <c r="P409" s="1880"/>
      <c r="Q409" s="1880"/>
    </row>
    <row r="410" spans="7:17" x14ac:dyDescent="0.2">
      <c r="G410" s="1880"/>
      <c r="H410" s="1880"/>
      <c r="I410" s="1880"/>
      <c r="J410" s="1880"/>
      <c r="K410" s="1880"/>
      <c r="L410" s="1880"/>
      <c r="M410" s="1880"/>
      <c r="N410" s="1880"/>
      <c r="O410" s="1880"/>
      <c r="P410" s="1880"/>
      <c r="Q410" s="1880"/>
    </row>
    <row r="411" spans="7:17" x14ac:dyDescent="0.2">
      <c r="G411" s="1880"/>
      <c r="H411" s="1880"/>
      <c r="I411" s="1880"/>
      <c r="J411" s="1880"/>
      <c r="K411" s="1880"/>
      <c r="L411" s="1880"/>
      <c r="M411" s="1880"/>
      <c r="N411" s="1880"/>
      <c r="O411" s="1880"/>
      <c r="P411" s="1880"/>
      <c r="Q411" s="1880"/>
    </row>
    <row r="412" spans="7:17" x14ac:dyDescent="0.2">
      <c r="G412" s="1880"/>
      <c r="H412" s="1880"/>
      <c r="I412" s="1880"/>
      <c r="J412" s="1880"/>
      <c r="K412" s="1880"/>
      <c r="L412" s="1880"/>
      <c r="M412" s="1880"/>
      <c r="N412" s="1880"/>
      <c r="O412" s="1880"/>
      <c r="P412" s="1880"/>
      <c r="Q412" s="1880"/>
    </row>
    <row r="413" spans="7:17" x14ac:dyDescent="0.2">
      <c r="G413" s="1880"/>
      <c r="H413" s="1880"/>
      <c r="I413" s="1880"/>
      <c r="J413" s="1880"/>
      <c r="K413" s="1880"/>
      <c r="L413" s="1880"/>
      <c r="M413" s="1880"/>
      <c r="N413" s="1880"/>
      <c r="O413" s="1880"/>
      <c r="P413" s="1880"/>
      <c r="Q413" s="1880"/>
    </row>
    <row r="414" spans="7:17" x14ac:dyDescent="0.2">
      <c r="G414" s="1880"/>
      <c r="H414" s="1880"/>
      <c r="I414" s="1880"/>
      <c r="J414" s="1880"/>
      <c r="K414" s="1880"/>
      <c r="L414" s="1880"/>
      <c r="M414" s="1880"/>
      <c r="N414" s="1880"/>
      <c r="O414" s="1880"/>
      <c r="P414" s="1880"/>
      <c r="Q414" s="1880"/>
    </row>
    <row r="415" spans="7:17" x14ac:dyDescent="0.2">
      <c r="G415" s="1880"/>
      <c r="H415" s="1880"/>
      <c r="I415" s="1880"/>
      <c r="J415" s="1880"/>
      <c r="K415" s="1880"/>
      <c r="L415" s="1880"/>
      <c r="M415" s="1880"/>
      <c r="N415" s="1880"/>
      <c r="O415" s="1880"/>
      <c r="P415" s="1880"/>
      <c r="Q415" s="1880"/>
    </row>
    <row r="416" spans="7:17" x14ac:dyDescent="0.2">
      <c r="G416" s="1880"/>
      <c r="H416" s="1880"/>
      <c r="I416" s="1880"/>
      <c r="J416" s="1880"/>
      <c r="K416" s="1880"/>
      <c r="L416" s="1880"/>
      <c r="M416" s="1880"/>
      <c r="N416" s="1880"/>
      <c r="O416" s="1880"/>
      <c r="P416" s="1880"/>
      <c r="Q416" s="1880"/>
    </row>
    <row r="417" spans="7:17" x14ac:dyDescent="0.2">
      <c r="G417" s="1880"/>
      <c r="H417" s="1880"/>
      <c r="I417" s="1880"/>
      <c r="J417" s="1880"/>
      <c r="K417" s="1880"/>
      <c r="L417" s="1880"/>
      <c r="M417" s="1880"/>
      <c r="N417" s="1880"/>
      <c r="O417" s="1880"/>
      <c r="P417" s="1880"/>
      <c r="Q417" s="1880"/>
    </row>
    <row r="418" spans="7:17" x14ac:dyDescent="0.2">
      <c r="G418" s="1880"/>
      <c r="H418" s="1880"/>
      <c r="I418" s="1880"/>
      <c r="J418" s="1880"/>
      <c r="K418" s="1880"/>
      <c r="L418" s="1880"/>
      <c r="M418" s="1880"/>
      <c r="N418" s="1880"/>
      <c r="O418" s="1880"/>
      <c r="P418" s="1880"/>
      <c r="Q418" s="1880"/>
    </row>
    <row r="419" spans="7:17" x14ac:dyDescent="0.2">
      <c r="G419" s="1880"/>
      <c r="H419" s="1880"/>
      <c r="I419" s="1880"/>
      <c r="J419" s="1880"/>
      <c r="K419" s="1880"/>
      <c r="L419" s="1880"/>
      <c r="M419" s="1880"/>
      <c r="N419" s="1880"/>
      <c r="O419" s="1880"/>
      <c r="P419" s="1880"/>
      <c r="Q419" s="1880"/>
    </row>
    <row r="420" spans="7:17" x14ac:dyDescent="0.2">
      <c r="G420" s="1880"/>
      <c r="H420" s="1880"/>
      <c r="I420" s="1880"/>
      <c r="J420" s="1880"/>
      <c r="K420" s="1880"/>
      <c r="L420" s="1880"/>
      <c r="M420" s="1880"/>
      <c r="N420" s="1880"/>
      <c r="O420" s="1880"/>
      <c r="P420" s="1880"/>
      <c r="Q420" s="1880"/>
    </row>
    <row r="421" spans="7:17" x14ac:dyDescent="0.2">
      <c r="G421" s="1880"/>
      <c r="H421" s="1880"/>
      <c r="I421" s="1880"/>
      <c r="J421" s="1880"/>
      <c r="K421" s="1880"/>
      <c r="L421" s="1880"/>
      <c r="M421" s="1880"/>
      <c r="N421" s="1880"/>
      <c r="O421" s="1880"/>
      <c r="P421" s="1880"/>
      <c r="Q421" s="1880"/>
    </row>
    <row r="422" spans="7:17" x14ac:dyDescent="0.2">
      <c r="G422" s="1880"/>
      <c r="H422" s="1880"/>
      <c r="I422" s="1880"/>
      <c r="J422" s="1880"/>
      <c r="K422" s="1880"/>
      <c r="L422" s="1880"/>
      <c r="M422" s="1880"/>
      <c r="N422" s="1880"/>
      <c r="O422" s="1880"/>
      <c r="P422" s="1880"/>
      <c r="Q422" s="1880"/>
    </row>
    <row r="423" spans="7:17" x14ac:dyDescent="0.2">
      <c r="G423" s="1880"/>
      <c r="H423" s="1880"/>
      <c r="I423" s="1880"/>
      <c r="J423" s="1880"/>
      <c r="K423" s="1880"/>
      <c r="L423" s="1880"/>
      <c r="M423" s="1880"/>
      <c r="N423" s="1880"/>
      <c r="O423" s="1880"/>
      <c r="P423" s="1880"/>
      <c r="Q423" s="1880"/>
    </row>
    <row r="424" spans="7:17" x14ac:dyDescent="0.2">
      <c r="G424" s="1880"/>
      <c r="H424" s="1880"/>
      <c r="I424" s="1880"/>
      <c r="J424" s="1880"/>
      <c r="K424" s="1880"/>
      <c r="L424" s="1880"/>
      <c r="M424" s="1880"/>
      <c r="N424" s="1880"/>
      <c r="O424" s="1880"/>
      <c r="P424" s="1880"/>
      <c r="Q424" s="1880"/>
    </row>
    <row r="425" spans="7:17" x14ac:dyDescent="0.2">
      <c r="G425" s="1880"/>
      <c r="H425" s="1880"/>
      <c r="I425" s="1880"/>
      <c r="J425" s="1880"/>
      <c r="K425" s="1880"/>
      <c r="L425" s="1880"/>
      <c r="M425" s="1880"/>
      <c r="N425" s="1880"/>
      <c r="O425" s="1880"/>
      <c r="P425" s="1880"/>
      <c r="Q425" s="1880"/>
    </row>
    <row r="426" spans="7:17" x14ac:dyDescent="0.2">
      <c r="G426" s="1880"/>
      <c r="H426" s="1880"/>
      <c r="I426" s="1880"/>
      <c r="J426" s="1880"/>
      <c r="K426" s="1880"/>
      <c r="L426" s="1880"/>
      <c r="M426" s="1880"/>
      <c r="N426" s="1880"/>
      <c r="O426" s="1880"/>
      <c r="P426" s="1880"/>
      <c r="Q426" s="1880"/>
    </row>
    <row r="427" spans="7:17" x14ac:dyDescent="0.2">
      <c r="G427" s="1880"/>
      <c r="H427" s="1880"/>
      <c r="I427" s="1880"/>
      <c r="J427" s="1880"/>
      <c r="K427" s="1880"/>
      <c r="L427" s="1880"/>
      <c r="M427" s="1880"/>
      <c r="N427" s="1880"/>
      <c r="O427" s="1880"/>
      <c r="P427" s="1880"/>
      <c r="Q427" s="1880"/>
    </row>
    <row r="428" spans="7:17" x14ac:dyDescent="0.2">
      <c r="G428" s="1880"/>
      <c r="H428" s="1880"/>
      <c r="I428" s="1880"/>
      <c r="J428" s="1880"/>
      <c r="K428" s="1880"/>
      <c r="L428" s="1880"/>
      <c r="M428" s="1880"/>
      <c r="N428" s="1880"/>
      <c r="O428" s="1880"/>
      <c r="P428" s="1880"/>
      <c r="Q428" s="1880"/>
    </row>
    <row r="429" spans="7:17" x14ac:dyDescent="0.2">
      <c r="G429" s="1880"/>
      <c r="H429" s="1880"/>
      <c r="I429" s="1880"/>
      <c r="J429" s="1880"/>
      <c r="K429" s="1880"/>
      <c r="L429" s="1880"/>
      <c r="M429" s="1880"/>
      <c r="N429" s="1880"/>
      <c r="O429" s="1880"/>
      <c r="P429" s="1880"/>
      <c r="Q429" s="1880"/>
    </row>
    <row r="430" spans="7:17" x14ac:dyDescent="0.2">
      <c r="G430" s="1880"/>
      <c r="H430" s="1880"/>
      <c r="I430" s="1880"/>
      <c r="J430" s="1880"/>
      <c r="K430" s="1880"/>
      <c r="L430" s="1880"/>
      <c r="M430" s="1880"/>
      <c r="N430" s="1880"/>
      <c r="O430" s="1880"/>
      <c r="P430" s="1880"/>
      <c r="Q430" s="1880"/>
    </row>
    <row r="431" spans="7:17" x14ac:dyDescent="0.2">
      <c r="G431" s="1880"/>
      <c r="H431" s="1880"/>
      <c r="I431" s="1880"/>
      <c r="J431" s="1880"/>
      <c r="K431" s="1880"/>
      <c r="L431" s="1880"/>
      <c r="M431" s="1880"/>
      <c r="N431" s="1880"/>
      <c r="O431" s="1880"/>
      <c r="P431" s="1880"/>
      <c r="Q431" s="1880"/>
    </row>
    <row r="432" spans="7:17" x14ac:dyDescent="0.2">
      <c r="G432" s="1880"/>
      <c r="H432" s="1880"/>
      <c r="I432" s="1880"/>
      <c r="J432" s="1880"/>
      <c r="K432" s="1880"/>
      <c r="L432" s="1880"/>
      <c r="M432" s="1880"/>
      <c r="N432" s="1880"/>
      <c r="O432" s="1880"/>
      <c r="P432" s="1880"/>
      <c r="Q432" s="1880"/>
    </row>
    <row r="433" spans="7:17" x14ac:dyDescent="0.2">
      <c r="G433" s="1880"/>
      <c r="H433" s="1880"/>
      <c r="I433" s="1880"/>
      <c r="J433" s="1880"/>
      <c r="K433" s="1880"/>
      <c r="L433" s="1880"/>
      <c r="M433" s="1880"/>
      <c r="N433" s="1880"/>
      <c r="O433" s="1880"/>
      <c r="P433" s="1880"/>
      <c r="Q433" s="1880"/>
    </row>
    <row r="434" spans="7:17" x14ac:dyDescent="0.2">
      <c r="G434" s="1880"/>
      <c r="H434" s="1880"/>
      <c r="I434" s="1880"/>
      <c r="J434" s="1880"/>
      <c r="K434" s="1880"/>
      <c r="L434" s="1880"/>
      <c r="M434" s="1880"/>
      <c r="N434" s="1880"/>
      <c r="O434" s="1880"/>
      <c r="P434" s="1880"/>
      <c r="Q434" s="1880"/>
    </row>
    <row r="435" spans="7:17" x14ac:dyDescent="0.2">
      <c r="G435" s="1880"/>
      <c r="H435" s="1880"/>
      <c r="I435" s="1880"/>
      <c r="J435" s="1880"/>
      <c r="K435" s="1880"/>
      <c r="L435" s="1880"/>
      <c r="M435" s="1880"/>
      <c r="N435" s="1880"/>
      <c r="O435" s="1880"/>
      <c r="P435" s="1880"/>
      <c r="Q435" s="1880"/>
    </row>
    <row r="436" spans="7:17" x14ac:dyDescent="0.2">
      <c r="G436" s="1880"/>
      <c r="H436" s="1880"/>
      <c r="I436" s="1880"/>
      <c r="J436" s="1880"/>
      <c r="K436" s="1880"/>
      <c r="L436" s="1880"/>
      <c r="M436" s="1880"/>
      <c r="N436" s="1880"/>
      <c r="O436" s="1880"/>
      <c r="P436" s="1880"/>
      <c r="Q436" s="1880"/>
    </row>
    <row r="437" spans="7:17" x14ac:dyDescent="0.2">
      <c r="G437" s="1880"/>
      <c r="H437" s="1880"/>
      <c r="I437" s="1880"/>
      <c r="J437" s="1880"/>
      <c r="K437" s="1880"/>
      <c r="L437" s="1880"/>
      <c r="M437" s="1880"/>
      <c r="N437" s="1880"/>
      <c r="O437" s="1880"/>
      <c r="P437" s="1880"/>
      <c r="Q437" s="1880"/>
    </row>
    <row r="438" spans="7:17" x14ac:dyDescent="0.2">
      <c r="G438" s="1880"/>
      <c r="H438" s="1880"/>
      <c r="I438" s="1880"/>
      <c r="J438" s="1880"/>
      <c r="K438" s="1880"/>
      <c r="L438" s="1880"/>
      <c r="M438" s="1880"/>
      <c r="N438" s="1880"/>
      <c r="O438" s="1880"/>
      <c r="P438" s="1880"/>
      <c r="Q438" s="1880"/>
    </row>
    <row r="439" spans="7:17" x14ac:dyDescent="0.2">
      <c r="G439" s="1880"/>
      <c r="H439" s="1880"/>
      <c r="I439" s="1880"/>
      <c r="J439" s="1880"/>
      <c r="K439" s="1880"/>
      <c r="L439" s="1880"/>
      <c r="M439" s="1880"/>
      <c r="N439" s="1880"/>
      <c r="O439" s="1880"/>
      <c r="P439" s="1880"/>
      <c r="Q439" s="1880"/>
    </row>
    <row r="440" spans="7:17" x14ac:dyDescent="0.2">
      <c r="G440" s="1880"/>
      <c r="H440" s="1880"/>
      <c r="I440" s="1880"/>
      <c r="J440" s="1880"/>
      <c r="K440" s="1880"/>
      <c r="L440" s="1880"/>
      <c r="M440" s="1880"/>
      <c r="N440" s="1880"/>
      <c r="O440" s="1880"/>
      <c r="P440" s="1880"/>
      <c r="Q440" s="1880"/>
    </row>
    <row r="441" spans="7:17" x14ac:dyDescent="0.2">
      <c r="G441" s="1880"/>
      <c r="H441" s="1880"/>
      <c r="I441" s="1880"/>
      <c r="J441" s="1880"/>
      <c r="K441" s="1880"/>
      <c r="L441" s="1880"/>
      <c r="M441" s="1880"/>
      <c r="N441" s="1880"/>
      <c r="O441" s="1880"/>
      <c r="P441" s="1880"/>
      <c r="Q441" s="1880"/>
    </row>
    <row r="442" spans="7:17" x14ac:dyDescent="0.2">
      <c r="G442" s="1880"/>
      <c r="H442" s="1880"/>
      <c r="I442" s="1880"/>
      <c r="J442" s="1880"/>
      <c r="K442" s="1880"/>
      <c r="L442" s="1880"/>
      <c r="M442" s="1880"/>
      <c r="N442" s="1880"/>
      <c r="O442" s="1880"/>
      <c r="P442" s="1880"/>
      <c r="Q442" s="1880"/>
    </row>
    <row r="443" spans="7:17" x14ac:dyDescent="0.2">
      <c r="G443" s="1880"/>
      <c r="H443" s="1880"/>
      <c r="I443" s="1880"/>
      <c r="J443" s="1880"/>
      <c r="K443" s="1880"/>
      <c r="L443" s="1880"/>
      <c r="M443" s="1880"/>
      <c r="N443" s="1880"/>
      <c r="O443" s="1880"/>
      <c r="P443" s="1880"/>
      <c r="Q443" s="1880"/>
    </row>
    <row r="444" spans="7:17" x14ac:dyDescent="0.2">
      <c r="G444" s="1880"/>
      <c r="H444" s="1880"/>
      <c r="I444" s="1880"/>
      <c r="J444" s="1880"/>
      <c r="K444" s="1880"/>
      <c r="L444" s="1880"/>
      <c r="M444" s="1880"/>
      <c r="N444" s="1880"/>
      <c r="O444" s="1880"/>
      <c r="P444" s="1880"/>
      <c r="Q444" s="1880"/>
    </row>
    <row r="445" spans="7:17" x14ac:dyDescent="0.2">
      <c r="G445" s="1880"/>
      <c r="H445" s="1880"/>
      <c r="I445" s="1880"/>
      <c r="J445" s="1880"/>
      <c r="K445" s="1880"/>
      <c r="L445" s="1880"/>
      <c r="M445" s="1880"/>
      <c r="N445" s="1880"/>
      <c r="O445" s="1880"/>
      <c r="P445" s="1880"/>
      <c r="Q445" s="1880"/>
    </row>
    <row r="446" spans="7:17" x14ac:dyDescent="0.2">
      <c r="G446" s="1880"/>
      <c r="H446" s="1880"/>
      <c r="I446" s="1880"/>
      <c r="J446" s="1880"/>
      <c r="K446" s="1880"/>
      <c r="L446" s="1880"/>
      <c r="M446" s="1880"/>
      <c r="N446" s="1880"/>
      <c r="O446" s="1880"/>
      <c r="P446" s="1880"/>
      <c r="Q446" s="1880"/>
    </row>
    <row r="447" spans="7:17" x14ac:dyDescent="0.2">
      <c r="G447" s="1880"/>
      <c r="H447" s="1880"/>
      <c r="I447" s="1880"/>
      <c r="J447" s="1880"/>
      <c r="K447" s="1880"/>
      <c r="L447" s="1880"/>
      <c r="M447" s="1880"/>
      <c r="N447" s="1880"/>
      <c r="O447" s="1880"/>
      <c r="P447" s="1880"/>
      <c r="Q447" s="1880"/>
    </row>
    <row r="448" spans="7:17" x14ac:dyDescent="0.2">
      <c r="G448" s="1880"/>
      <c r="H448" s="1880"/>
      <c r="I448" s="1880"/>
      <c r="J448" s="1880"/>
      <c r="K448" s="1880"/>
      <c r="L448" s="1880"/>
      <c r="M448" s="1880"/>
      <c r="N448" s="1880"/>
      <c r="O448" s="1880"/>
      <c r="P448" s="1880"/>
      <c r="Q448" s="1880"/>
    </row>
    <row r="449" spans="7:17" x14ac:dyDescent="0.2">
      <c r="G449" s="1880"/>
      <c r="H449" s="1880"/>
      <c r="I449" s="1880"/>
      <c r="J449" s="1880"/>
      <c r="K449" s="1880"/>
      <c r="L449" s="1880"/>
      <c r="M449" s="1880"/>
      <c r="N449" s="1880"/>
      <c r="O449" s="1880"/>
      <c r="P449" s="1880"/>
      <c r="Q449" s="1880"/>
    </row>
    <row r="450" spans="7:17" x14ac:dyDescent="0.2">
      <c r="G450" s="1880"/>
      <c r="H450" s="1880"/>
      <c r="I450" s="1880"/>
      <c r="J450" s="1880"/>
      <c r="K450" s="1880"/>
      <c r="L450" s="1880"/>
      <c r="M450" s="1880"/>
      <c r="N450" s="1880"/>
      <c r="O450" s="1880"/>
      <c r="P450" s="1880"/>
      <c r="Q450" s="1880"/>
    </row>
    <row r="451" spans="7:17" x14ac:dyDescent="0.2">
      <c r="G451" s="1880"/>
      <c r="H451" s="1880"/>
      <c r="I451" s="1880"/>
      <c r="J451" s="1880"/>
      <c r="K451" s="1880"/>
      <c r="L451" s="1880"/>
      <c r="M451" s="1880"/>
      <c r="N451" s="1880"/>
      <c r="O451" s="1880"/>
      <c r="P451" s="1880"/>
      <c r="Q451" s="1880"/>
    </row>
    <row r="452" spans="7:17" x14ac:dyDescent="0.2">
      <c r="G452" s="1880"/>
      <c r="H452" s="1880"/>
      <c r="I452" s="1880"/>
      <c r="J452" s="1880"/>
      <c r="K452" s="1880"/>
      <c r="L452" s="1880"/>
      <c r="M452" s="1880"/>
      <c r="N452" s="1880"/>
      <c r="O452" s="1880"/>
      <c r="P452" s="1880"/>
      <c r="Q452" s="1880"/>
    </row>
    <row r="453" spans="7:17" x14ac:dyDescent="0.2">
      <c r="G453" s="1880"/>
      <c r="H453" s="1880"/>
      <c r="I453" s="1880"/>
      <c r="J453" s="1880"/>
      <c r="K453" s="1880"/>
      <c r="L453" s="1880"/>
      <c r="M453" s="1880"/>
      <c r="N453" s="1880"/>
      <c r="O453" s="1880"/>
      <c r="P453" s="1880"/>
      <c r="Q453" s="1880"/>
    </row>
    <row r="454" spans="7:17" x14ac:dyDescent="0.2">
      <c r="G454" s="1880"/>
      <c r="H454" s="1880"/>
      <c r="I454" s="1880"/>
      <c r="J454" s="1880"/>
      <c r="K454" s="1880"/>
      <c r="L454" s="1880"/>
      <c r="M454" s="1880"/>
      <c r="N454" s="1880"/>
      <c r="O454" s="1880"/>
      <c r="P454" s="1880"/>
      <c r="Q454" s="1880"/>
    </row>
    <row r="455" spans="7:17" x14ac:dyDescent="0.2">
      <c r="G455" s="1880"/>
      <c r="H455" s="1880"/>
      <c r="I455" s="1880"/>
      <c r="J455" s="1880"/>
      <c r="K455" s="1880"/>
      <c r="L455" s="1880"/>
      <c r="M455" s="1880"/>
      <c r="N455" s="1880"/>
      <c r="O455" s="1880"/>
      <c r="P455" s="1880"/>
      <c r="Q455" s="1880"/>
    </row>
    <row r="456" spans="7:17" x14ac:dyDescent="0.2">
      <c r="G456" s="1880"/>
      <c r="H456" s="1880"/>
      <c r="I456" s="1880"/>
      <c r="J456" s="1880"/>
      <c r="K456" s="1880"/>
      <c r="L456" s="1880"/>
      <c r="M456" s="1880"/>
      <c r="N456" s="1880"/>
      <c r="O456" s="1880"/>
      <c r="P456" s="1880"/>
      <c r="Q456" s="1880"/>
    </row>
    <row r="457" spans="7:17" x14ac:dyDescent="0.2">
      <c r="G457" s="1880"/>
      <c r="H457" s="1880"/>
      <c r="I457" s="1880"/>
      <c r="J457" s="1880"/>
      <c r="K457" s="1880"/>
      <c r="L457" s="1880"/>
      <c r="M457" s="1880"/>
      <c r="N457" s="1880"/>
      <c r="O457" s="1880"/>
      <c r="P457" s="1880"/>
      <c r="Q457" s="1880"/>
    </row>
    <row r="458" spans="7:17" x14ac:dyDescent="0.2">
      <c r="G458" s="1880"/>
      <c r="H458" s="1880"/>
      <c r="I458" s="1880"/>
      <c r="J458" s="1880"/>
      <c r="K458" s="1880"/>
      <c r="L458" s="1880"/>
      <c r="M458" s="1880"/>
      <c r="N458" s="1880"/>
      <c r="O458" s="1880"/>
      <c r="P458" s="1880"/>
      <c r="Q458" s="1880"/>
    </row>
    <row r="459" spans="7:17" x14ac:dyDescent="0.2">
      <c r="G459" s="1880"/>
      <c r="H459" s="1880"/>
      <c r="I459" s="1880"/>
      <c r="J459" s="1880"/>
      <c r="K459" s="1880"/>
      <c r="L459" s="1880"/>
      <c r="M459" s="1880"/>
      <c r="N459" s="1880"/>
      <c r="O459" s="1880"/>
      <c r="P459" s="1880"/>
      <c r="Q459" s="1880"/>
    </row>
    <row r="460" spans="7:17" x14ac:dyDescent="0.2">
      <c r="G460" s="1880"/>
      <c r="H460" s="1880"/>
      <c r="I460" s="1880"/>
      <c r="J460" s="1880"/>
      <c r="K460" s="1880"/>
      <c r="L460" s="1880"/>
      <c r="M460" s="1880"/>
      <c r="N460" s="1880"/>
      <c r="O460" s="1880"/>
      <c r="P460" s="1880"/>
      <c r="Q460" s="1880"/>
    </row>
    <row r="461" spans="7:17" x14ac:dyDescent="0.2">
      <c r="G461" s="1880"/>
      <c r="H461" s="1880"/>
      <c r="I461" s="1880"/>
      <c r="J461" s="1880"/>
      <c r="K461" s="1880"/>
      <c r="L461" s="1880"/>
      <c r="M461" s="1880"/>
      <c r="N461" s="1880"/>
      <c r="O461" s="1880"/>
      <c r="P461" s="1880"/>
      <c r="Q461" s="1880"/>
    </row>
    <row r="462" spans="7:17" x14ac:dyDescent="0.2">
      <c r="G462" s="1880"/>
      <c r="H462" s="1880"/>
      <c r="I462" s="1880"/>
      <c r="J462" s="1880"/>
      <c r="K462" s="1880"/>
      <c r="L462" s="1880"/>
      <c r="M462" s="1880"/>
      <c r="N462" s="1880"/>
      <c r="O462" s="1880"/>
      <c r="P462" s="1880"/>
      <c r="Q462" s="1880"/>
    </row>
    <row r="463" spans="7:17" x14ac:dyDescent="0.2">
      <c r="G463" s="1880"/>
      <c r="H463" s="1880"/>
      <c r="I463" s="1880"/>
      <c r="J463" s="1880"/>
      <c r="K463" s="1880"/>
      <c r="L463" s="1880"/>
      <c r="M463" s="1880"/>
      <c r="N463" s="1880"/>
      <c r="O463" s="1880"/>
      <c r="P463" s="1880"/>
      <c r="Q463" s="1880"/>
    </row>
    <row r="464" spans="7:17" x14ac:dyDescent="0.2">
      <c r="G464" s="1880"/>
      <c r="H464" s="1880"/>
      <c r="I464" s="1880"/>
      <c r="J464" s="1880"/>
      <c r="K464" s="1880"/>
      <c r="L464" s="1880"/>
      <c r="M464" s="1880"/>
      <c r="N464" s="1880"/>
      <c r="O464" s="1880"/>
      <c r="P464" s="1880"/>
      <c r="Q464" s="1880"/>
    </row>
    <row r="465" spans="7:17" x14ac:dyDescent="0.2">
      <c r="G465" s="1880"/>
      <c r="H465" s="1880"/>
      <c r="I465" s="1880"/>
      <c r="J465" s="1880"/>
      <c r="K465" s="1880"/>
      <c r="L465" s="1880"/>
      <c r="M465" s="1880"/>
      <c r="N465" s="1880"/>
      <c r="O465" s="1880"/>
      <c r="P465" s="1880"/>
      <c r="Q465" s="1880"/>
    </row>
    <row r="466" spans="7:17" x14ac:dyDescent="0.2">
      <c r="G466" s="1880"/>
      <c r="H466" s="1880"/>
      <c r="I466" s="1880"/>
      <c r="J466" s="1880"/>
      <c r="K466" s="1880"/>
      <c r="L466" s="1880"/>
      <c r="M466" s="1880"/>
      <c r="N466" s="1880"/>
      <c r="O466" s="1880"/>
      <c r="P466" s="1880"/>
      <c r="Q466" s="1880"/>
    </row>
    <row r="467" spans="7:17" x14ac:dyDescent="0.2">
      <c r="G467" s="1880"/>
      <c r="H467" s="1880"/>
      <c r="I467" s="1880"/>
      <c r="J467" s="1880"/>
      <c r="K467" s="1880"/>
      <c r="L467" s="1880"/>
      <c r="M467" s="1880"/>
      <c r="N467" s="1880"/>
      <c r="O467" s="1880"/>
      <c r="P467" s="1880"/>
      <c r="Q467" s="1880"/>
    </row>
    <row r="468" spans="7:17" x14ac:dyDescent="0.2">
      <c r="G468" s="1880"/>
      <c r="H468" s="1880"/>
      <c r="I468" s="1880"/>
      <c r="J468" s="1880"/>
      <c r="K468" s="1880"/>
      <c r="L468" s="1880"/>
      <c r="M468" s="1880"/>
      <c r="N468" s="1880"/>
      <c r="O468" s="1880"/>
      <c r="P468" s="1880"/>
      <c r="Q468" s="1880"/>
    </row>
    <row r="469" spans="7:17" x14ac:dyDescent="0.2">
      <c r="G469" s="1880"/>
      <c r="H469" s="1880"/>
      <c r="I469" s="1880"/>
      <c r="J469" s="1880"/>
      <c r="K469" s="1880"/>
      <c r="L469" s="1880"/>
      <c r="M469" s="1880"/>
      <c r="N469" s="1880"/>
      <c r="O469" s="1880"/>
      <c r="P469" s="1880"/>
      <c r="Q469" s="1880"/>
    </row>
    <row r="470" spans="7:17" x14ac:dyDescent="0.2">
      <c r="G470" s="1880"/>
      <c r="H470" s="1880"/>
      <c r="I470" s="1880"/>
      <c r="J470" s="1880"/>
      <c r="K470" s="1880"/>
      <c r="L470" s="1880"/>
      <c r="M470" s="1880"/>
      <c r="N470" s="1880"/>
      <c r="O470" s="1880"/>
      <c r="P470" s="1880"/>
      <c r="Q470" s="1880"/>
    </row>
    <row r="471" spans="7:17" x14ac:dyDescent="0.2">
      <c r="G471" s="1880"/>
      <c r="H471" s="1880"/>
      <c r="I471" s="1880"/>
      <c r="J471" s="1880"/>
      <c r="K471" s="1880"/>
      <c r="L471" s="1880"/>
      <c r="M471" s="1880"/>
      <c r="N471" s="1880"/>
      <c r="O471" s="1880"/>
      <c r="P471" s="1880"/>
      <c r="Q471" s="1880"/>
    </row>
    <row r="472" spans="7:17" x14ac:dyDescent="0.2">
      <c r="G472" s="1880"/>
      <c r="H472" s="1880"/>
      <c r="I472" s="1880"/>
      <c r="J472" s="1880"/>
      <c r="K472" s="1880"/>
      <c r="L472" s="1880"/>
      <c r="M472" s="1880"/>
      <c r="N472" s="1880"/>
      <c r="O472" s="1880"/>
      <c r="P472" s="1880"/>
      <c r="Q472" s="1880"/>
    </row>
    <row r="473" spans="7:17" x14ac:dyDescent="0.2">
      <c r="G473" s="1880"/>
      <c r="H473" s="1880"/>
      <c r="I473" s="1880"/>
      <c r="J473" s="1880"/>
      <c r="K473" s="1880"/>
      <c r="L473" s="1880"/>
      <c r="M473" s="1880"/>
      <c r="N473" s="1880"/>
      <c r="O473" s="1880"/>
      <c r="P473" s="1880"/>
      <c r="Q473" s="1880"/>
    </row>
    <row r="474" spans="7:17" x14ac:dyDescent="0.2">
      <c r="G474" s="1880"/>
      <c r="H474" s="1880"/>
      <c r="I474" s="1880"/>
      <c r="J474" s="1880"/>
      <c r="K474" s="1880"/>
      <c r="L474" s="1880"/>
      <c r="M474" s="1880"/>
      <c r="N474" s="1880"/>
      <c r="O474" s="1880"/>
      <c r="P474" s="1880"/>
      <c r="Q474" s="1880"/>
    </row>
    <row r="475" spans="7:17" x14ac:dyDescent="0.2">
      <c r="G475" s="1880"/>
      <c r="H475" s="1880"/>
      <c r="I475" s="1880"/>
      <c r="J475" s="1880"/>
      <c r="K475" s="1880"/>
      <c r="L475" s="1880"/>
      <c r="M475" s="1880"/>
      <c r="N475" s="1880"/>
      <c r="O475" s="1880"/>
      <c r="P475" s="1880"/>
      <c r="Q475" s="1880"/>
    </row>
    <row r="476" spans="7:17" x14ac:dyDescent="0.2">
      <c r="G476" s="1880"/>
      <c r="H476" s="1880"/>
      <c r="I476" s="1880"/>
      <c r="J476" s="1880"/>
      <c r="K476" s="1880"/>
      <c r="L476" s="1880"/>
      <c r="M476" s="1880"/>
      <c r="N476" s="1880"/>
      <c r="O476" s="1880"/>
      <c r="P476" s="1880"/>
      <c r="Q476" s="1880"/>
    </row>
    <row r="477" spans="7:17" x14ac:dyDescent="0.2">
      <c r="G477" s="1880"/>
      <c r="H477" s="1880"/>
      <c r="I477" s="1880"/>
      <c r="J477" s="1880"/>
      <c r="K477" s="1880"/>
      <c r="L477" s="1880"/>
      <c r="M477" s="1880"/>
      <c r="N477" s="1880"/>
      <c r="O477" s="1880"/>
      <c r="P477" s="1880"/>
      <c r="Q477" s="1880"/>
    </row>
    <row r="478" spans="7:17" x14ac:dyDescent="0.2">
      <c r="G478" s="1880"/>
      <c r="H478" s="1880"/>
      <c r="I478" s="1880"/>
      <c r="J478" s="1880"/>
      <c r="K478" s="1880"/>
      <c r="L478" s="1880"/>
      <c r="M478" s="1880"/>
      <c r="N478" s="1880"/>
      <c r="O478" s="1880"/>
      <c r="P478" s="1880"/>
      <c r="Q478" s="1880"/>
    </row>
    <row r="479" spans="7:17" x14ac:dyDescent="0.2">
      <c r="G479" s="87"/>
      <c r="H479" s="87"/>
      <c r="I479" s="87"/>
      <c r="J479" s="87"/>
      <c r="K479" s="87"/>
      <c r="L479" s="87"/>
      <c r="M479" s="87"/>
      <c r="N479" s="87"/>
      <c r="O479" s="87"/>
      <c r="P479" s="87"/>
      <c r="Q479" s="87"/>
    </row>
    <row r="480" spans="7:17" x14ac:dyDescent="0.2">
      <c r="G480" s="87"/>
      <c r="H480" s="87"/>
      <c r="I480" s="87"/>
      <c r="J480" s="87"/>
      <c r="K480" s="87"/>
      <c r="L480" s="87"/>
      <c r="M480" s="87"/>
      <c r="N480" s="87"/>
      <c r="O480" s="87"/>
      <c r="P480" s="87"/>
      <c r="Q480" s="87"/>
    </row>
    <row r="481" spans="7:17" x14ac:dyDescent="0.2">
      <c r="G481" s="87"/>
      <c r="H481" s="87"/>
      <c r="I481" s="87"/>
      <c r="J481" s="87"/>
      <c r="K481" s="87"/>
      <c r="L481" s="87"/>
      <c r="M481" s="87"/>
      <c r="N481" s="87"/>
      <c r="O481" s="87"/>
      <c r="P481" s="87"/>
      <c r="Q481" s="87"/>
    </row>
    <row r="482" spans="7:17" x14ac:dyDescent="0.2">
      <c r="G482" s="87"/>
      <c r="H482" s="87"/>
      <c r="I482" s="87"/>
      <c r="J482" s="87"/>
      <c r="K482" s="87"/>
      <c r="L482" s="87"/>
      <c r="M482" s="87"/>
      <c r="N482" s="87"/>
      <c r="O482" s="87"/>
      <c r="P482" s="87"/>
      <c r="Q482" s="87"/>
    </row>
  </sheetData>
  <mergeCells count="33">
    <mergeCell ref="BF77:BI77"/>
    <mergeCell ref="BJ2:BM2"/>
    <mergeCell ref="BJ77:BM77"/>
    <mergeCell ref="BO2:BZ2"/>
    <mergeCell ref="BB2:BE2"/>
    <mergeCell ref="AH77:AK77"/>
    <mergeCell ref="BB77:BE77"/>
    <mergeCell ref="AX77:BA77"/>
    <mergeCell ref="AT77:AW77"/>
    <mergeCell ref="AP77:AS77"/>
    <mergeCell ref="AL77:AO77"/>
    <mergeCell ref="Z2:AC2"/>
    <mergeCell ref="BF2:BI2"/>
    <mergeCell ref="A74:P74"/>
    <mergeCell ref="F2:Q2"/>
    <mergeCell ref="CB2:CJ2"/>
    <mergeCell ref="AH2:AK2"/>
    <mergeCell ref="F77:Q77"/>
    <mergeCell ref="AL1:BM1"/>
    <mergeCell ref="AL76:BM76"/>
    <mergeCell ref="A76:AK76"/>
    <mergeCell ref="AD77:AG77"/>
    <mergeCell ref="Z77:AC77"/>
    <mergeCell ref="R77:U77"/>
    <mergeCell ref="V77:Y77"/>
    <mergeCell ref="A1:AK1"/>
    <mergeCell ref="AD2:AG2"/>
    <mergeCell ref="AX2:BA2"/>
    <mergeCell ref="AL2:AO2"/>
    <mergeCell ref="AP2:AS2"/>
    <mergeCell ref="AT2:AW2"/>
    <mergeCell ref="R2:U2"/>
    <mergeCell ref="V2:Y2"/>
  </mergeCells>
  <phoneticPr fontId="9" type="noConversion"/>
  <printOptions horizontalCentered="1" verticalCentered="1"/>
  <pageMargins left="0.19685039370078741" right="0.19685039370078741" top="0.19685039370078741" bottom="0.19685039370078741" header="0.39370078740157483" footer="0.19685039370078741"/>
  <pageSetup paperSize="8" scale="70" fitToHeight="0" orientation="landscape" r:id="rId1"/>
  <headerFooter alignWithMargins="0"/>
  <rowBreaks count="1" manualBreakCount="1">
    <brk id="75" max="1638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Z133"/>
  <sheetViews>
    <sheetView topLeftCell="A89" workbookViewId="0">
      <selection activeCell="A94" sqref="A94"/>
    </sheetView>
  </sheetViews>
  <sheetFormatPr defaultColWidth="9.140625" defaultRowHeight="12.75" x14ac:dyDescent="0.2"/>
  <cols>
    <col min="1" max="1" width="14.140625" style="23" customWidth="1"/>
    <col min="2" max="2" width="12.28515625" style="23" bestFit="1" customWidth="1"/>
    <col min="3" max="3" width="12.28515625" style="207" bestFit="1" customWidth="1"/>
    <col min="4" max="4" width="33.5703125" style="23" customWidth="1"/>
    <col min="5" max="5" width="11.5703125" style="23" customWidth="1"/>
    <col min="6" max="6" width="13" style="23" customWidth="1"/>
    <col min="7" max="7" width="12" style="23" bestFit="1" customWidth="1"/>
    <col min="8" max="8" width="10.5703125" style="23" bestFit="1" customWidth="1"/>
    <col min="9" max="9" width="12" style="23" bestFit="1" customWidth="1"/>
    <col min="10" max="10" width="11.5703125" style="23" customWidth="1"/>
    <col min="11" max="11" width="12" style="23" bestFit="1" customWidth="1"/>
    <col min="12" max="12" width="11.5703125" style="23" customWidth="1"/>
    <col min="13" max="16" width="10.28515625" style="23" customWidth="1"/>
    <col min="17" max="17" width="12" style="23" bestFit="1" customWidth="1"/>
    <col min="18" max="19" width="10.28515625" style="23" customWidth="1"/>
    <col min="20" max="20" width="9.7109375" style="23" customWidth="1"/>
    <col min="21" max="21" width="9.140625" style="23"/>
    <col min="22" max="22" width="10.5703125" style="23" bestFit="1" customWidth="1"/>
    <col min="23" max="23" width="10.140625" style="23" customWidth="1"/>
    <col min="24" max="24" width="10.85546875" style="23" bestFit="1" customWidth="1"/>
    <col min="25" max="16384" width="9.140625" style="23"/>
  </cols>
  <sheetData>
    <row r="1" spans="1:16" ht="18.75" customHeight="1" thickTop="1" thickBot="1" x14ac:dyDescent="0.25">
      <c r="A1" s="2985" t="s">
        <v>7015</v>
      </c>
      <c r="B1" s="2986"/>
      <c r="C1" s="2986"/>
      <c r="D1" s="2986"/>
      <c r="E1" s="2986"/>
      <c r="F1" s="2986"/>
      <c r="G1" s="2986"/>
      <c r="H1" s="2986"/>
      <c r="I1" s="2986"/>
      <c r="J1" s="2986"/>
      <c r="K1" s="2986"/>
      <c r="L1" s="2986"/>
      <c r="M1" s="2986"/>
      <c r="N1" s="2986"/>
      <c r="O1" s="2986"/>
      <c r="P1" s="2987"/>
    </row>
    <row r="2" spans="1:16" s="44" customFormat="1" x14ac:dyDescent="0.2">
      <c r="A2" s="2888" t="s">
        <v>1856</v>
      </c>
      <c r="B2" s="2889"/>
      <c r="C2" s="2890"/>
      <c r="D2" s="2649" t="s">
        <v>2251</v>
      </c>
      <c r="E2" s="2650"/>
      <c r="F2" s="2885" t="s">
        <v>2253</v>
      </c>
      <c r="G2" s="2886"/>
      <c r="H2" s="2886"/>
      <c r="I2" s="2886"/>
      <c r="J2" s="2886"/>
      <c r="K2" s="2886"/>
      <c r="L2" s="2886"/>
      <c r="M2" s="2886"/>
      <c r="N2" s="2886"/>
      <c r="O2" s="2886"/>
      <c r="P2" s="2887"/>
    </row>
    <row r="3" spans="1:16" ht="13.5" thickBot="1" x14ac:dyDescent="0.25">
      <c r="A3" s="45" t="str">
        <f>LTFP!A182</f>
        <v>2013/14</v>
      </c>
      <c r="B3" s="218" t="str">
        <f>LTFP!B182</f>
        <v>2014/15</v>
      </c>
      <c r="C3" s="47" t="str">
        <f>LTFP!C182</f>
        <v>2015/16</v>
      </c>
      <c r="D3" s="43"/>
      <c r="E3" s="42"/>
      <c r="F3" s="47" t="str">
        <f>LTFP!E182</f>
        <v>2016/17</v>
      </c>
      <c r="G3" s="47" t="str">
        <f>LTFP!G182</f>
        <v>2017/18</v>
      </c>
      <c r="H3" s="47" t="str">
        <f>LTFP!H182</f>
        <v>2018/19</v>
      </c>
      <c r="I3" s="47" t="str">
        <f>LTFP!I182</f>
        <v>2019/20</v>
      </c>
      <c r="J3" s="47" t="str">
        <f>LTFP!J182</f>
        <v>2020/21</v>
      </c>
      <c r="K3" s="47" t="str">
        <f>LTFP!K182</f>
        <v>2021/22</v>
      </c>
      <c r="L3" s="47" t="str">
        <f>LTFP!L182</f>
        <v>2022/23</v>
      </c>
      <c r="M3" s="47" t="str">
        <f>LTFP!M182</f>
        <v>2023/24</v>
      </c>
      <c r="N3" s="47" t="str">
        <f>LTFP!N182</f>
        <v>2024/25</v>
      </c>
      <c r="O3" s="47" t="str">
        <f>LTFP!O182</f>
        <v>2025/26</v>
      </c>
      <c r="P3" s="220" t="str">
        <f>LTFP!P182</f>
        <v>2026/27</v>
      </c>
    </row>
    <row r="4" spans="1:16" x14ac:dyDescent="0.2">
      <c r="A4" s="50"/>
      <c r="B4" s="21"/>
      <c r="C4" s="21"/>
      <c r="D4" s="22"/>
      <c r="E4" s="22"/>
      <c r="F4" s="21"/>
      <c r="G4" s="21"/>
      <c r="H4" s="21"/>
      <c r="I4" s="21"/>
      <c r="J4" s="21"/>
      <c r="K4" s="21"/>
      <c r="L4" s="21"/>
      <c r="M4" s="21"/>
      <c r="N4" s="21"/>
      <c r="O4" s="21"/>
      <c r="P4" s="31"/>
    </row>
    <row r="5" spans="1:16" x14ac:dyDescent="0.2">
      <c r="A5" s="50"/>
      <c r="B5" s="21"/>
      <c r="C5" s="21"/>
      <c r="D5" s="221"/>
      <c r="E5" s="22"/>
      <c r="F5" s="21"/>
      <c r="G5" s="21"/>
      <c r="H5" s="21"/>
      <c r="I5" s="21"/>
      <c r="J5" s="21"/>
      <c r="K5" s="21"/>
      <c r="L5" s="21"/>
      <c r="M5" s="21"/>
      <c r="N5" s="21"/>
      <c r="O5" s="21"/>
      <c r="P5" s="31"/>
    </row>
    <row r="6" spans="1:16" x14ac:dyDescent="0.2">
      <c r="A6" s="50">
        <f>ROUND('W&amp;W'!B594,-2)</f>
        <v>10689100</v>
      </c>
      <c r="B6" s="21">
        <f>'W&amp;W'!C594</f>
        <v>10892500</v>
      </c>
      <c r="C6" s="21">
        <f>'W&amp;W'!D594</f>
        <v>11199100</v>
      </c>
      <c r="D6" s="59" t="s">
        <v>393</v>
      </c>
      <c r="E6" s="22"/>
      <c r="F6" s="21">
        <f>'W&amp;W'!G594</f>
        <v>11913600</v>
      </c>
      <c r="G6" s="21">
        <f>'W&amp;W'!I594</f>
        <v>12154300</v>
      </c>
      <c r="H6" s="21">
        <f>'W&amp;W'!J594</f>
        <v>12435300</v>
      </c>
      <c r="I6" s="21">
        <f>'W&amp;W'!K594</f>
        <v>12705200</v>
      </c>
      <c r="J6" s="21">
        <f>'W&amp;W'!L594</f>
        <v>13171700</v>
      </c>
      <c r="K6" s="21">
        <f>'W&amp;W'!M594</f>
        <v>13706300</v>
      </c>
      <c r="L6" s="21">
        <f>'W&amp;W'!N594</f>
        <v>14146300</v>
      </c>
      <c r="M6" s="21">
        <f>'W&amp;W'!O594</f>
        <v>14654900</v>
      </c>
      <c r="N6" s="21">
        <f>'W&amp;W'!P594</f>
        <v>15212700</v>
      </c>
      <c r="O6" s="21">
        <f>'W&amp;W'!Q594</f>
        <v>15802300</v>
      </c>
      <c r="P6" s="31">
        <f>'W&amp;W'!R594</f>
        <v>16499100</v>
      </c>
    </row>
    <row r="7" spans="1:16" x14ac:dyDescent="0.2">
      <c r="A7" s="50">
        <f>ROUND('W&amp;W'!B14-A10-A11-A12,-2)</f>
        <v>9141100</v>
      </c>
      <c r="B7" s="21">
        <f>'W&amp;W'!C14-B10-B11-B12</f>
        <v>9317700</v>
      </c>
      <c r="C7" s="21">
        <f>'W&amp;W'!D14-C10-C11-C12</f>
        <v>9313000</v>
      </c>
      <c r="D7" s="59" t="s">
        <v>1115</v>
      </c>
      <c r="E7" s="22"/>
      <c r="F7" s="21">
        <f>'W&amp;W'!G14-F10-F11-F12</f>
        <v>9841600</v>
      </c>
      <c r="G7" s="21">
        <f>'W&amp;W'!I14-G10-G11-G12</f>
        <v>9810400</v>
      </c>
      <c r="H7" s="21">
        <f>'W&amp;W'!J14-H10-H11-H12</f>
        <v>10098700</v>
      </c>
      <c r="I7" s="21">
        <f>'W&amp;W'!K14-I10-I11-I12</f>
        <v>10313600</v>
      </c>
      <c r="J7" s="21">
        <f>'W&amp;W'!L14-J10-J11-J12</f>
        <v>10574900</v>
      </c>
      <c r="K7" s="21">
        <f>'W&amp;W'!M14-K10-K11-K12</f>
        <v>10854500</v>
      </c>
      <c r="L7" s="21">
        <f>'W&amp;W'!N14-L10-L11-L12</f>
        <v>11191300</v>
      </c>
      <c r="M7" s="21">
        <f>'W&amp;W'!O14-M10-M11-M12</f>
        <v>11435600</v>
      </c>
      <c r="N7" s="21">
        <f>'W&amp;W'!P14-N10-N11-N12</f>
        <v>11738400</v>
      </c>
      <c r="O7" s="21">
        <f>'W&amp;W'!Q14-O10-O11-O12</f>
        <v>12049200</v>
      </c>
      <c r="P7" s="31">
        <f>'W&amp;W'!R14-P10-P11-P12</f>
        <v>12368900</v>
      </c>
    </row>
    <row r="8" spans="1:16" s="40" customFormat="1" x14ac:dyDescent="0.2">
      <c r="A8" s="212">
        <f>A6-A7</f>
        <v>1548000</v>
      </c>
      <c r="B8" s="82">
        <f>B6-B7</f>
        <v>1574800</v>
      </c>
      <c r="C8" s="82">
        <f>C6-C7</f>
        <v>1886100</v>
      </c>
      <c r="D8" s="61" t="s">
        <v>674</v>
      </c>
      <c r="E8" s="58"/>
      <c r="F8" s="82">
        <f t="shared" ref="F8:K8" si="0">F6-F7</f>
        <v>2072000</v>
      </c>
      <c r="G8" s="82">
        <f t="shared" si="0"/>
        <v>2343900</v>
      </c>
      <c r="H8" s="82">
        <f t="shared" si="0"/>
        <v>2336600</v>
      </c>
      <c r="I8" s="82">
        <f t="shared" si="0"/>
        <v>2391600</v>
      </c>
      <c r="J8" s="82">
        <f t="shared" si="0"/>
        <v>2596800</v>
      </c>
      <c r="K8" s="82">
        <f t="shared" si="0"/>
        <v>2851800</v>
      </c>
      <c r="L8" s="82">
        <f>L6-L7</f>
        <v>2955000</v>
      </c>
      <c r="M8" s="82">
        <f>M6-M7</f>
        <v>3219300</v>
      </c>
      <c r="N8" s="82">
        <f>N6-N7</f>
        <v>3474300</v>
      </c>
      <c r="O8" s="82">
        <f>O6-O7</f>
        <v>3753100</v>
      </c>
      <c r="P8" s="72">
        <f>P6-P7</f>
        <v>4130200</v>
      </c>
    </row>
    <row r="9" spans="1:16" x14ac:dyDescent="0.2">
      <c r="A9" s="50"/>
      <c r="B9" s="21"/>
      <c r="C9" s="21"/>
      <c r="D9" s="59"/>
      <c r="E9" s="22"/>
      <c r="F9" s="21"/>
      <c r="G9" s="21"/>
      <c r="H9" s="21"/>
      <c r="I9" s="21"/>
      <c r="J9" s="21"/>
      <c r="K9" s="21"/>
      <c r="L9" s="21"/>
      <c r="M9" s="21"/>
      <c r="N9" s="21"/>
      <c r="O9" s="21"/>
      <c r="P9" s="31"/>
    </row>
    <row r="10" spans="1:16" x14ac:dyDescent="0.2">
      <c r="A10" s="50">
        <f>A25</f>
        <v>1859500</v>
      </c>
      <c r="B10" s="21">
        <f>B25</f>
        <v>1478700</v>
      </c>
      <c r="C10" s="21">
        <f>C25</f>
        <v>1498900</v>
      </c>
      <c r="D10" s="59" t="s">
        <v>1769</v>
      </c>
      <c r="E10" s="22"/>
      <c r="F10" s="21">
        <f t="shared" ref="F10:N10" si="1">F25</f>
        <v>1428000</v>
      </c>
      <c r="G10" s="21">
        <f t="shared" si="1"/>
        <v>1380000</v>
      </c>
      <c r="H10" s="21">
        <f t="shared" si="1"/>
        <v>1407600</v>
      </c>
      <c r="I10" s="21">
        <f t="shared" si="1"/>
        <v>1435800</v>
      </c>
      <c r="J10" s="21">
        <f t="shared" si="1"/>
        <v>1464600</v>
      </c>
      <c r="K10" s="21">
        <f t="shared" si="1"/>
        <v>1493900</v>
      </c>
      <c r="L10" s="21">
        <f t="shared" si="1"/>
        <v>1523800</v>
      </c>
      <c r="M10" s="21">
        <f t="shared" si="1"/>
        <v>1554300</v>
      </c>
      <c r="N10" s="21">
        <f t="shared" si="1"/>
        <v>1585400</v>
      </c>
      <c r="O10" s="21">
        <f t="shared" ref="O10:P10" si="2">O25</f>
        <v>1617200</v>
      </c>
      <c r="P10" s="31">
        <f t="shared" si="2"/>
        <v>1649600</v>
      </c>
    </row>
    <row r="11" spans="1:16" s="84" customFormat="1" x14ac:dyDescent="0.2">
      <c r="A11" s="50">
        <f t="shared" ref="A11:B12" si="3">A26</f>
        <v>0</v>
      </c>
      <c r="B11" s="33">
        <f t="shared" si="3"/>
        <v>0</v>
      </c>
      <c r="C11" s="33">
        <f t="shared" ref="C11" si="4">C26</f>
        <v>0</v>
      </c>
      <c r="D11" s="111" t="s">
        <v>4239</v>
      </c>
      <c r="E11" s="99"/>
      <c r="F11" s="33">
        <f t="shared" ref="F11:N11" si="5">F26</f>
        <v>0</v>
      </c>
      <c r="G11" s="33">
        <f t="shared" si="5"/>
        <v>0</v>
      </c>
      <c r="H11" s="33">
        <f t="shared" si="5"/>
        <v>0</v>
      </c>
      <c r="I11" s="33">
        <f t="shared" si="5"/>
        <v>0</v>
      </c>
      <c r="J11" s="33">
        <f t="shared" si="5"/>
        <v>0</v>
      </c>
      <c r="K11" s="33">
        <f t="shared" si="5"/>
        <v>0</v>
      </c>
      <c r="L11" s="33">
        <f t="shared" si="5"/>
        <v>0</v>
      </c>
      <c r="M11" s="33">
        <f t="shared" si="5"/>
        <v>0</v>
      </c>
      <c r="N11" s="33">
        <f t="shared" si="5"/>
        <v>0</v>
      </c>
      <c r="O11" s="33">
        <f t="shared" ref="O11:P11" si="6">O26</f>
        <v>0</v>
      </c>
      <c r="P11" s="114">
        <f t="shared" si="6"/>
        <v>0</v>
      </c>
    </row>
    <row r="12" spans="1:16" s="84" customFormat="1" x14ac:dyDescent="0.2">
      <c r="A12" s="50">
        <f t="shared" si="3"/>
        <v>111000</v>
      </c>
      <c r="B12" s="33">
        <f t="shared" si="3"/>
        <v>20600</v>
      </c>
      <c r="C12" s="33">
        <f t="shared" ref="C12" si="7">C27</f>
        <v>38000</v>
      </c>
      <c r="D12" s="59" t="s">
        <v>4547</v>
      </c>
      <c r="E12" s="99"/>
      <c r="F12" s="33">
        <f t="shared" ref="F12:N12" si="8">F27</f>
        <v>0</v>
      </c>
      <c r="G12" s="33">
        <f t="shared" si="8"/>
        <v>0</v>
      </c>
      <c r="H12" s="33">
        <f t="shared" si="8"/>
        <v>0</v>
      </c>
      <c r="I12" s="33">
        <f t="shared" si="8"/>
        <v>0</v>
      </c>
      <c r="J12" s="33">
        <f t="shared" si="8"/>
        <v>0</v>
      </c>
      <c r="K12" s="33">
        <f t="shared" si="8"/>
        <v>0</v>
      </c>
      <c r="L12" s="33">
        <f t="shared" si="8"/>
        <v>0</v>
      </c>
      <c r="M12" s="33">
        <f t="shared" si="8"/>
        <v>0</v>
      </c>
      <c r="N12" s="33">
        <f t="shared" si="8"/>
        <v>0</v>
      </c>
      <c r="O12" s="33">
        <f t="shared" ref="O12:P12" si="9">O27</f>
        <v>0</v>
      </c>
      <c r="P12" s="114">
        <f t="shared" si="9"/>
        <v>0</v>
      </c>
    </row>
    <row r="13" spans="1:16" s="40" customFormat="1" x14ac:dyDescent="0.2">
      <c r="A13" s="212">
        <f>A8-A10-A11-A12</f>
        <v>-422500</v>
      </c>
      <c r="B13" s="82">
        <f>B8-B10-B11-B12</f>
        <v>75500</v>
      </c>
      <c r="C13" s="82">
        <f>C8-C10-C11-C12</f>
        <v>349200</v>
      </c>
      <c r="D13" s="61" t="s">
        <v>406</v>
      </c>
      <c r="E13" s="58"/>
      <c r="F13" s="82">
        <f t="shared" ref="F13:N13" si="10">F8-F10-F11-F12</f>
        <v>644000</v>
      </c>
      <c r="G13" s="82">
        <f t="shared" si="10"/>
        <v>963900</v>
      </c>
      <c r="H13" s="82">
        <f t="shared" si="10"/>
        <v>929000</v>
      </c>
      <c r="I13" s="82">
        <f t="shared" si="10"/>
        <v>955800</v>
      </c>
      <c r="J13" s="82">
        <f t="shared" si="10"/>
        <v>1132200</v>
      </c>
      <c r="K13" s="82">
        <f t="shared" si="10"/>
        <v>1357900</v>
      </c>
      <c r="L13" s="82">
        <f t="shared" si="10"/>
        <v>1431200</v>
      </c>
      <c r="M13" s="82">
        <f t="shared" si="10"/>
        <v>1665000</v>
      </c>
      <c r="N13" s="82">
        <f t="shared" si="10"/>
        <v>1888900</v>
      </c>
      <c r="O13" s="82">
        <f t="shared" ref="O13:P13" si="11">O8-O10-O11-O12</f>
        <v>2135900</v>
      </c>
      <c r="P13" s="72">
        <f t="shared" si="11"/>
        <v>2480600</v>
      </c>
    </row>
    <row r="14" spans="1:16" x14ac:dyDescent="0.2">
      <c r="A14" s="50"/>
      <c r="B14" s="21"/>
      <c r="C14" s="21"/>
      <c r="D14" s="60"/>
      <c r="E14" s="22"/>
      <c r="F14" s="21"/>
      <c r="G14" s="21"/>
      <c r="H14" s="21"/>
      <c r="I14" s="21"/>
      <c r="J14" s="21"/>
      <c r="K14" s="21"/>
      <c r="L14" s="21"/>
      <c r="M14" s="21"/>
      <c r="N14" s="21"/>
      <c r="O14" s="21"/>
      <c r="P14" s="31"/>
    </row>
    <row r="15" spans="1:16" x14ac:dyDescent="0.2">
      <c r="A15" s="50"/>
      <c r="B15" s="21"/>
      <c r="C15" s="21"/>
      <c r="D15" s="58" t="s">
        <v>1457</v>
      </c>
      <c r="E15" s="22"/>
      <c r="F15" s="21"/>
      <c r="G15" s="21"/>
      <c r="H15" s="21"/>
      <c r="I15" s="21"/>
      <c r="J15" s="21"/>
      <c r="K15" s="21"/>
      <c r="L15" s="21"/>
      <c r="M15" s="21"/>
      <c r="N15" s="21"/>
      <c r="O15" s="21"/>
      <c r="P15" s="31"/>
    </row>
    <row r="16" spans="1:16" x14ac:dyDescent="0.2">
      <c r="A16" s="211">
        <v>208100</v>
      </c>
      <c r="B16" s="21">
        <v>309400</v>
      </c>
      <c r="C16" s="21">
        <f>1649000-1427000</f>
        <v>222000</v>
      </c>
      <c r="D16" s="35" t="s">
        <v>3</v>
      </c>
      <c r="E16" s="22"/>
      <c r="F16" s="21">
        <v>309400</v>
      </c>
      <c r="G16" s="21">
        <v>200000</v>
      </c>
      <c r="H16" s="21">
        <f t="shared" ref="H16:K16" si="12">G16</f>
        <v>200000</v>
      </c>
      <c r="I16" s="21">
        <f t="shared" si="12"/>
        <v>200000</v>
      </c>
      <c r="J16" s="21">
        <f t="shared" si="12"/>
        <v>200000</v>
      </c>
      <c r="K16" s="21">
        <f t="shared" si="12"/>
        <v>200000</v>
      </c>
      <c r="L16" s="21">
        <f>K16</f>
        <v>200000</v>
      </c>
      <c r="M16" s="21">
        <f>L16</f>
        <v>200000</v>
      </c>
      <c r="N16" s="21">
        <f>M16</f>
        <v>200000</v>
      </c>
      <c r="O16" s="21">
        <f>N16</f>
        <v>200000</v>
      </c>
      <c r="P16" s="31">
        <f>O16</f>
        <v>200000</v>
      </c>
    </row>
    <row r="17" spans="1:16" x14ac:dyDescent="0.2">
      <c r="A17" s="50">
        <f>ROUND(A64,-2)</f>
        <v>368600</v>
      </c>
      <c r="B17" s="21">
        <f>B64</f>
        <v>336400</v>
      </c>
      <c r="C17" s="21">
        <f>C64</f>
        <v>0</v>
      </c>
      <c r="D17" s="60" t="s">
        <v>2718</v>
      </c>
      <c r="E17" s="22"/>
      <c r="F17" s="21">
        <f t="shared" ref="F17:K17" si="13">F64</f>
        <v>0</v>
      </c>
      <c r="G17" s="21">
        <f t="shared" si="13"/>
        <v>0</v>
      </c>
      <c r="H17" s="21">
        <f t="shared" si="13"/>
        <v>0</v>
      </c>
      <c r="I17" s="21">
        <f t="shared" si="13"/>
        <v>0</v>
      </c>
      <c r="J17" s="21">
        <f t="shared" si="13"/>
        <v>0</v>
      </c>
      <c r="K17" s="21">
        <f t="shared" si="13"/>
        <v>0</v>
      </c>
      <c r="L17" s="21">
        <f>L64</f>
        <v>0</v>
      </c>
      <c r="M17" s="21">
        <f>M64</f>
        <v>0</v>
      </c>
      <c r="N17" s="21">
        <f>N64</f>
        <v>0</v>
      </c>
      <c r="O17" s="21">
        <f>O64</f>
        <v>0</v>
      </c>
      <c r="P17" s="31">
        <f>P64</f>
        <v>0</v>
      </c>
    </row>
    <row r="18" spans="1:16" x14ac:dyDescent="0.2">
      <c r="A18" s="50">
        <v>430400</v>
      </c>
      <c r="B18" s="21">
        <v>454900</v>
      </c>
      <c r="C18" s="21">
        <v>837900</v>
      </c>
      <c r="D18" s="22" t="s">
        <v>2722</v>
      </c>
      <c r="E18" s="22"/>
      <c r="F18" s="187">
        <v>610000</v>
      </c>
      <c r="G18" s="33">
        <v>575000</v>
      </c>
      <c r="H18" s="33">
        <v>600000</v>
      </c>
      <c r="I18" s="33">
        <f>ROUNDUP(H18+(H18*Assumptions!I$5),-4)</f>
        <v>620000</v>
      </c>
      <c r="J18" s="33">
        <f>ROUNDUP(I18+(I18*Assumptions!J$5),-4)</f>
        <v>640000</v>
      </c>
      <c r="K18" s="33">
        <f>ROUNDUP(J18+(J18*Assumptions!K$5),-4)</f>
        <v>660000</v>
      </c>
      <c r="L18" s="33">
        <f>ROUNDUP(K18+(K18*Assumptions!L$5),-4)</f>
        <v>680000</v>
      </c>
      <c r="M18" s="33">
        <f>ROUNDUP(L18+(L18*Assumptions!M$5),-4)</f>
        <v>700000</v>
      </c>
      <c r="N18" s="33">
        <f>ROUNDUP(M18+(M18*Assumptions!N$5),-4)</f>
        <v>720000</v>
      </c>
      <c r="O18" s="33">
        <f>ROUNDUP(N18+(N18*Assumptions!O$5),-4)</f>
        <v>740000</v>
      </c>
      <c r="P18" s="114">
        <f>ROUNDUP(O18+(O18*Assumptions!P$5),-4)</f>
        <v>760000</v>
      </c>
    </row>
    <row r="19" spans="1:16" ht="13.5" thickBot="1" x14ac:dyDescent="0.25">
      <c r="A19" s="50"/>
      <c r="B19" s="21"/>
      <c r="C19" s="21"/>
      <c r="D19" s="22"/>
      <c r="E19" s="22"/>
      <c r="F19" s="21"/>
      <c r="G19" s="21"/>
      <c r="H19" s="21"/>
      <c r="I19" s="21"/>
      <c r="J19" s="21"/>
      <c r="K19" s="21"/>
      <c r="L19" s="21"/>
      <c r="M19" s="21"/>
      <c r="N19" s="21"/>
      <c r="O19" s="21"/>
      <c r="P19" s="31"/>
    </row>
    <row r="20" spans="1:16" s="40" customFormat="1" ht="13.5" thickBot="1" x14ac:dyDescent="0.25">
      <c r="A20" s="1752">
        <f>SUM(A13:A19)</f>
        <v>584600</v>
      </c>
      <c r="B20" s="228">
        <f>SUM(B13:B19)</f>
        <v>1176200</v>
      </c>
      <c r="C20" s="228">
        <f>SUM(C13:C19)</f>
        <v>1409100</v>
      </c>
      <c r="D20" s="226" t="s">
        <v>2772</v>
      </c>
      <c r="E20" s="227"/>
      <c r="F20" s="228">
        <f t="shared" ref="F20:K20" si="14">SUM(F13:F19)</f>
        <v>1563400</v>
      </c>
      <c r="G20" s="228">
        <f t="shared" si="14"/>
        <v>1738900</v>
      </c>
      <c r="H20" s="228">
        <f t="shared" si="14"/>
        <v>1729000</v>
      </c>
      <c r="I20" s="228">
        <f t="shared" si="14"/>
        <v>1775800</v>
      </c>
      <c r="J20" s="228">
        <f t="shared" si="14"/>
        <v>1972200</v>
      </c>
      <c r="K20" s="228">
        <f t="shared" si="14"/>
        <v>2217900</v>
      </c>
      <c r="L20" s="228">
        <f>SUM(L13:L19)</f>
        <v>2311200</v>
      </c>
      <c r="M20" s="228">
        <f>SUM(M13:M19)</f>
        <v>2565000</v>
      </c>
      <c r="N20" s="228">
        <f>SUM(N13:N19)</f>
        <v>2808900</v>
      </c>
      <c r="O20" s="228">
        <f>SUM(O13:O19)</f>
        <v>3075900</v>
      </c>
      <c r="P20" s="229">
        <f>SUM(P13:P19)</f>
        <v>3440600</v>
      </c>
    </row>
    <row r="21" spans="1:16" ht="13.5" thickTop="1" x14ac:dyDescent="0.2">
      <c r="A21" s="50"/>
      <c r="B21" s="21"/>
      <c r="C21" s="21"/>
      <c r="D21" s="22"/>
      <c r="E21" s="22"/>
      <c r="F21" s="21"/>
      <c r="G21" s="21"/>
      <c r="H21" s="21"/>
      <c r="I21" s="21"/>
      <c r="J21" s="21"/>
      <c r="K21" s="21"/>
      <c r="L21" s="21"/>
      <c r="M21" s="21"/>
      <c r="N21" s="21"/>
      <c r="O21" s="21"/>
      <c r="P21" s="31"/>
    </row>
    <row r="22" spans="1:16" x14ac:dyDescent="0.2">
      <c r="A22" s="50"/>
      <c r="B22" s="21"/>
      <c r="C22" s="21"/>
      <c r="D22" s="58" t="s">
        <v>2773</v>
      </c>
      <c r="E22" s="22"/>
      <c r="F22" s="21"/>
      <c r="G22" s="21"/>
      <c r="H22" s="21"/>
      <c r="I22" s="21"/>
      <c r="J22" s="21"/>
      <c r="K22" s="21"/>
      <c r="L22" s="21"/>
      <c r="M22" s="21"/>
      <c r="N22" s="21"/>
      <c r="O22" s="21"/>
      <c r="P22" s="31"/>
    </row>
    <row r="23" spans="1:16" x14ac:dyDescent="0.2">
      <c r="A23" s="50"/>
      <c r="B23" s="21"/>
      <c r="C23" s="21"/>
      <c r="D23" s="22"/>
      <c r="E23" s="22"/>
      <c r="F23" s="21"/>
      <c r="G23" s="21"/>
      <c r="H23" s="21"/>
      <c r="I23" s="21"/>
      <c r="J23" s="21"/>
      <c r="K23" s="21"/>
      <c r="L23" s="21"/>
      <c r="M23" s="21"/>
      <c r="N23" s="21"/>
      <c r="O23" s="21"/>
      <c r="P23" s="31"/>
    </row>
    <row r="24" spans="1:16" x14ac:dyDescent="0.2">
      <c r="A24" s="50"/>
      <c r="B24" s="21"/>
      <c r="C24" s="21"/>
      <c r="D24" s="58" t="s">
        <v>2368</v>
      </c>
      <c r="E24" s="22"/>
      <c r="F24" s="21"/>
      <c r="G24" s="21"/>
      <c r="H24" s="21"/>
      <c r="I24" s="21"/>
      <c r="J24" s="21"/>
      <c r="K24" s="21"/>
      <c r="L24" s="21"/>
      <c r="M24" s="21"/>
      <c r="N24" s="21"/>
      <c r="O24" s="21"/>
      <c r="P24" s="31"/>
    </row>
    <row r="25" spans="1:16" x14ac:dyDescent="0.2">
      <c r="A25" s="50">
        <f>ROUND('W&amp;W'!B78,-2)</f>
        <v>1859500</v>
      </c>
      <c r="B25" s="21">
        <f>'W&amp;W'!C78</f>
        <v>1478700</v>
      </c>
      <c r="C25" s="21">
        <f>'W&amp;W'!D78</f>
        <v>1498900</v>
      </c>
      <c r="D25" s="22" t="s">
        <v>2070</v>
      </c>
      <c r="E25" s="22"/>
      <c r="F25" s="21">
        <f>'W&amp;W'!G78</f>
        <v>1428000</v>
      </c>
      <c r="G25" s="21">
        <f>'W&amp;W'!I78</f>
        <v>1380000</v>
      </c>
      <c r="H25" s="21">
        <f>'W&amp;W'!J78</f>
        <v>1407600</v>
      </c>
      <c r="I25" s="21">
        <f>'W&amp;W'!K78</f>
        <v>1435800</v>
      </c>
      <c r="J25" s="21">
        <f>'W&amp;W'!L78</f>
        <v>1464600</v>
      </c>
      <c r="K25" s="21">
        <f>'W&amp;W'!M78</f>
        <v>1493900</v>
      </c>
      <c r="L25" s="21">
        <f>'W&amp;W'!N78</f>
        <v>1523800</v>
      </c>
      <c r="M25" s="21">
        <f>'W&amp;W'!O78</f>
        <v>1554300</v>
      </c>
      <c r="N25" s="21">
        <f>'W&amp;W'!P78</f>
        <v>1585400</v>
      </c>
      <c r="O25" s="21">
        <f>'W&amp;W'!Q78</f>
        <v>1617200</v>
      </c>
      <c r="P25" s="31">
        <f>'W&amp;W'!R78</f>
        <v>1649600</v>
      </c>
    </row>
    <row r="26" spans="1:16" s="84" customFormat="1" x14ac:dyDescent="0.2">
      <c r="A26" s="107">
        <v>0</v>
      </c>
      <c r="B26" s="33">
        <v>0</v>
      </c>
      <c r="C26" s="21">
        <v>0</v>
      </c>
      <c r="D26" s="99" t="s">
        <v>1250</v>
      </c>
      <c r="E26" s="99"/>
      <c r="F26" s="33">
        <v>0</v>
      </c>
      <c r="G26" s="33">
        <v>0</v>
      </c>
      <c r="H26" s="33">
        <v>0</v>
      </c>
      <c r="I26" s="33">
        <v>0</v>
      </c>
      <c r="J26" s="33">
        <v>0</v>
      </c>
      <c r="K26" s="33">
        <v>0</v>
      </c>
      <c r="L26" s="33">
        <v>0</v>
      </c>
      <c r="M26" s="33">
        <v>0</v>
      </c>
      <c r="N26" s="33">
        <v>0</v>
      </c>
      <c r="O26" s="33">
        <v>0</v>
      </c>
      <c r="P26" s="114">
        <v>0</v>
      </c>
    </row>
    <row r="27" spans="1:16" s="84" customFormat="1" x14ac:dyDescent="0.2">
      <c r="A27" s="107">
        <f>'W&amp;W'!B342</f>
        <v>111000</v>
      </c>
      <c r="B27" s="33">
        <f>'W&amp;W'!C342</f>
        <v>20600</v>
      </c>
      <c r="C27" s="21">
        <f>'W&amp;W'!D342-'W&amp;W'!D199</f>
        <v>38000</v>
      </c>
      <c r="D27" s="59" t="s">
        <v>4542</v>
      </c>
      <c r="E27" s="99"/>
      <c r="F27" s="33">
        <f>'W&amp;W'!G342</f>
        <v>0</v>
      </c>
      <c r="G27" s="33">
        <f>'W&amp;W'!I342</f>
        <v>0</v>
      </c>
      <c r="H27" s="33">
        <f>'W&amp;W'!J342</f>
        <v>0</v>
      </c>
      <c r="I27" s="33">
        <f>'W&amp;W'!K342</f>
        <v>0</v>
      </c>
      <c r="J27" s="33">
        <f>'W&amp;W'!L342</f>
        <v>0</v>
      </c>
      <c r="K27" s="33">
        <f>'W&amp;W'!M342</f>
        <v>0</v>
      </c>
      <c r="L27" s="33">
        <f>'W&amp;W'!N342</f>
        <v>0</v>
      </c>
      <c r="M27" s="33">
        <f>'W&amp;W'!O342</f>
        <v>0</v>
      </c>
      <c r="N27" s="33">
        <f>'W&amp;W'!P342</f>
        <v>0</v>
      </c>
      <c r="O27" s="33">
        <f>'W&amp;W'!Q342</f>
        <v>0</v>
      </c>
      <c r="P27" s="114">
        <f>'W&amp;W'!R342</f>
        <v>0</v>
      </c>
    </row>
    <row r="28" spans="1:16" x14ac:dyDescent="0.2">
      <c r="A28" s="50">
        <v>0</v>
      </c>
      <c r="B28" s="21">
        <v>0</v>
      </c>
      <c r="C28" s="21">
        <v>0</v>
      </c>
      <c r="D28" s="22" t="s">
        <v>957</v>
      </c>
      <c r="E28" s="22"/>
      <c r="F28" s="21">
        <v>0</v>
      </c>
      <c r="G28" s="21">
        <v>0</v>
      </c>
      <c r="H28" s="21">
        <v>0</v>
      </c>
      <c r="I28" s="21">
        <v>0</v>
      </c>
      <c r="J28" s="21">
        <v>0</v>
      </c>
      <c r="K28" s="21">
        <v>0</v>
      </c>
      <c r="L28" s="21">
        <v>0</v>
      </c>
      <c r="M28" s="21">
        <v>0</v>
      </c>
      <c r="N28" s="21">
        <v>0</v>
      </c>
      <c r="O28" s="21">
        <v>0</v>
      </c>
      <c r="P28" s="31">
        <v>0</v>
      </c>
    </row>
    <row r="29" spans="1:16" x14ac:dyDescent="0.2">
      <c r="A29" s="50"/>
      <c r="B29" s="21"/>
      <c r="C29" s="21"/>
      <c r="D29" s="22"/>
      <c r="E29" s="22"/>
      <c r="F29" s="21"/>
      <c r="G29" s="21"/>
      <c r="H29" s="21"/>
      <c r="I29" s="21"/>
      <c r="J29" s="21"/>
      <c r="K29" s="21"/>
      <c r="L29" s="21"/>
      <c r="M29" s="21"/>
      <c r="N29" s="21"/>
      <c r="O29" s="21"/>
      <c r="P29" s="31"/>
    </row>
    <row r="30" spans="1:16" x14ac:dyDescent="0.2">
      <c r="A30" s="50"/>
      <c r="B30" s="21"/>
      <c r="C30" s="21"/>
      <c r="D30" s="58" t="s">
        <v>752</v>
      </c>
      <c r="E30" s="22"/>
      <c r="F30" s="21"/>
      <c r="G30" s="21"/>
      <c r="H30" s="21"/>
      <c r="I30" s="21"/>
      <c r="J30" s="21"/>
      <c r="K30" s="21"/>
      <c r="L30" s="21"/>
      <c r="M30" s="21"/>
      <c r="N30" s="21"/>
      <c r="O30" s="21"/>
      <c r="P30" s="31"/>
    </row>
    <row r="31" spans="1:16" x14ac:dyDescent="0.2">
      <c r="A31" s="50">
        <f>-A16</f>
        <v>-208100</v>
      </c>
      <c r="B31" s="21">
        <f>-B16</f>
        <v>-309400</v>
      </c>
      <c r="C31" s="21">
        <f>-C16</f>
        <v>-222000</v>
      </c>
      <c r="D31" s="22" t="s">
        <v>3</v>
      </c>
      <c r="E31" s="22"/>
      <c r="F31" s="21">
        <f t="shared" ref="F31:N31" si="15">-F16</f>
        <v>-309400</v>
      </c>
      <c r="G31" s="21">
        <f t="shared" si="15"/>
        <v>-200000</v>
      </c>
      <c r="H31" s="21">
        <f t="shared" si="15"/>
        <v>-200000</v>
      </c>
      <c r="I31" s="21">
        <f t="shared" si="15"/>
        <v>-200000</v>
      </c>
      <c r="J31" s="21">
        <f t="shared" si="15"/>
        <v>-200000</v>
      </c>
      <c r="K31" s="21">
        <f t="shared" si="15"/>
        <v>-200000</v>
      </c>
      <c r="L31" s="21">
        <f t="shared" si="15"/>
        <v>-200000</v>
      </c>
      <c r="M31" s="21">
        <f t="shared" si="15"/>
        <v>-200000</v>
      </c>
      <c r="N31" s="21">
        <f t="shared" si="15"/>
        <v>-200000</v>
      </c>
      <c r="O31" s="21">
        <f t="shared" ref="O31:P31" si="16">-O16</f>
        <v>-200000</v>
      </c>
      <c r="P31" s="31">
        <f t="shared" si="16"/>
        <v>-200000</v>
      </c>
    </row>
    <row r="32" spans="1:16" x14ac:dyDescent="0.2">
      <c r="A32" s="50"/>
      <c r="B32" s="21"/>
      <c r="C32" s="21"/>
      <c r="D32" s="22"/>
      <c r="E32" s="22"/>
      <c r="F32" s="21"/>
      <c r="G32" s="21"/>
      <c r="H32" s="21"/>
      <c r="I32" s="21"/>
      <c r="J32" s="21"/>
      <c r="K32" s="21"/>
      <c r="L32" s="21"/>
      <c r="M32" s="21"/>
      <c r="N32" s="21"/>
      <c r="O32" s="21"/>
      <c r="P32" s="31"/>
    </row>
    <row r="33" spans="1:16" x14ac:dyDescent="0.2">
      <c r="A33" s="50"/>
      <c r="B33" s="21"/>
      <c r="C33" s="21"/>
      <c r="D33" s="58" t="s">
        <v>700</v>
      </c>
      <c r="E33" s="22"/>
      <c r="F33" s="21"/>
      <c r="G33" s="21"/>
      <c r="H33" s="21"/>
      <c r="I33" s="21"/>
      <c r="J33" s="21"/>
      <c r="K33" s="21"/>
      <c r="L33" s="21"/>
      <c r="M33" s="21"/>
      <c r="N33" s="21"/>
      <c r="O33" s="21"/>
      <c r="P33" s="31"/>
    </row>
    <row r="34" spans="1:16" x14ac:dyDescent="0.2">
      <c r="A34" s="50">
        <f>ROUND(A90,-2)</f>
        <v>137600</v>
      </c>
      <c r="B34" s="21">
        <f>B90</f>
        <v>136200</v>
      </c>
      <c r="C34" s="21">
        <f>C90</f>
        <v>23000</v>
      </c>
      <c r="D34" s="35" t="s">
        <v>3617</v>
      </c>
      <c r="E34" s="22"/>
      <c r="F34" s="21">
        <f t="shared" ref="F34:M34" si="17">F90</f>
        <v>100000</v>
      </c>
      <c r="G34" s="21">
        <f t="shared" si="17"/>
        <v>0</v>
      </c>
      <c r="H34" s="21">
        <f t="shared" si="17"/>
        <v>0</v>
      </c>
      <c r="I34" s="21">
        <f t="shared" si="17"/>
        <v>0</v>
      </c>
      <c r="J34" s="21">
        <f t="shared" si="17"/>
        <v>0</v>
      </c>
      <c r="K34" s="21">
        <f t="shared" si="17"/>
        <v>0</v>
      </c>
      <c r="L34" s="21">
        <f t="shared" si="17"/>
        <v>0</v>
      </c>
      <c r="M34" s="21">
        <f t="shared" si="17"/>
        <v>0</v>
      </c>
      <c r="N34" s="21">
        <f t="shared" ref="N34:O34" si="18">N90</f>
        <v>0</v>
      </c>
      <c r="O34" s="21">
        <f t="shared" si="18"/>
        <v>0</v>
      </c>
      <c r="P34" s="31">
        <f t="shared" ref="P34" si="19">P90</f>
        <v>0</v>
      </c>
    </row>
    <row r="35" spans="1:16" x14ac:dyDescent="0.2">
      <c r="A35" s="50">
        <v>0</v>
      </c>
      <c r="B35" s="21">
        <v>0</v>
      </c>
      <c r="C35" s="21">
        <v>0</v>
      </c>
      <c r="D35" s="111" t="s">
        <v>4514</v>
      </c>
      <c r="E35" s="22"/>
      <c r="F35" s="21">
        <v>0</v>
      </c>
      <c r="G35" s="21">
        <v>0</v>
      </c>
      <c r="H35" s="21">
        <v>0</v>
      </c>
      <c r="I35" s="21">
        <v>0</v>
      </c>
      <c r="J35" s="21">
        <v>0</v>
      </c>
      <c r="K35" s="21">
        <v>0</v>
      </c>
      <c r="L35" s="21">
        <v>0</v>
      </c>
      <c r="M35" s="21">
        <v>0</v>
      </c>
      <c r="N35" s="21">
        <v>0</v>
      </c>
      <c r="O35" s="21">
        <v>0</v>
      </c>
      <c r="P35" s="31">
        <v>0</v>
      </c>
    </row>
    <row r="36" spans="1:16" s="84" customFormat="1" x14ac:dyDescent="0.2">
      <c r="A36" s="50">
        <v>0</v>
      </c>
      <c r="B36" s="33">
        <v>0</v>
      </c>
      <c r="C36" s="33">
        <v>0</v>
      </c>
      <c r="D36" s="78" t="s">
        <v>225</v>
      </c>
      <c r="E36" s="22"/>
      <c r="F36" s="21">
        <v>0</v>
      </c>
      <c r="G36" s="21">
        <v>0</v>
      </c>
      <c r="H36" s="21">
        <v>0</v>
      </c>
      <c r="I36" s="21">
        <v>0</v>
      </c>
      <c r="J36" s="21">
        <v>0</v>
      </c>
      <c r="K36" s="21">
        <v>0</v>
      </c>
      <c r="L36" s="21">
        <v>0</v>
      </c>
      <c r="M36" s="21">
        <v>0</v>
      </c>
      <c r="N36" s="21">
        <v>0</v>
      </c>
      <c r="O36" s="21">
        <v>0</v>
      </c>
      <c r="P36" s="31">
        <v>0</v>
      </c>
    </row>
    <row r="37" spans="1:16" s="84" customFormat="1" x14ac:dyDescent="0.2">
      <c r="A37" s="107">
        <v>0</v>
      </c>
      <c r="B37" s="33">
        <v>0</v>
      </c>
      <c r="C37" s="33">
        <v>0</v>
      </c>
      <c r="D37" s="78" t="s">
        <v>3618</v>
      </c>
      <c r="E37" s="22"/>
      <c r="F37" s="21">
        <f t="shared" ref="F37:M37" si="20">F92</f>
        <v>0</v>
      </c>
      <c r="G37" s="21">
        <f t="shared" si="20"/>
        <v>0</v>
      </c>
      <c r="H37" s="21">
        <f t="shared" si="20"/>
        <v>0</v>
      </c>
      <c r="I37" s="21">
        <f t="shared" si="20"/>
        <v>0</v>
      </c>
      <c r="J37" s="21">
        <f t="shared" si="20"/>
        <v>0</v>
      </c>
      <c r="K37" s="21">
        <f t="shared" si="20"/>
        <v>0</v>
      </c>
      <c r="L37" s="21">
        <f t="shared" si="20"/>
        <v>0</v>
      </c>
      <c r="M37" s="21">
        <f t="shared" si="20"/>
        <v>0</v>
      </c>
      <c r="N37" s="21">
        <f t="shared" ref="N37:O37" si="21">N92</f>
        <v>0</v>
      </c>
      <c r="O37" s="21">
        <f t="shared" si="21"/>
        <v>0</v>
      </c>
      <c r="P37" s="31">
        <f t="shared" ref="P37" si="22">P92</f>
        <v>0</v>
      </c>
    </row>
    <row r="38" spans="1:16" x14ac:dyDescent="0.2">
      <c r="A38" s="50"/>
      <c r="B38" s="21"/>
      <c r="C38" s="21"/>
      <c r="D38" s="58"/>
      <c r="E38" s="22"/>
      <c r="F38" s="21"/>
      <c r="G38" s="21"/>
      <c r="H38" s="21"/>
      <c r="I38" s="21"/>
      <c r="J38" s="21"/>
      <c r="K38" s="21"/>
      <c r="L38" s="21"/>
      <c r="M38" s="21"/>
      <c r="N38" s="21"/>
      <c r="O38" s="21"/>
      <c r="P38" s="31"/>
    </row>
    <row r="39" spans="1:16" x14ac:dyDescent="0.2">
      <c r="A39" s="50"/>
      <c r="B39" s="21"/>
      <c r="C39" s="21"/>
      <c r="D39" s="58" t="s">
        <v>2905</v>
      </c>
      <c r="E39" s="22"/>
      <c r="F39" s="21"/>
      <c r="G39" s="21"/>
      <c r="H39" s="21"/>
      <c r="I39" s="21"/>
      <c r="J39" s="21"/>
      <c r="K39" s="21"/>
      <c r="L39" s="21"/>
      <c r="M39" s="21"/>
      <c r="N39" s="21"/>
      <c r="O39" s="21"/>
      <c r="P39" s="31"/>
    </row>
    <row r="40" spans="1:16" x14ac:dyDescent="0.2">
      <c r="A40" s="50">
        <v>-1827100</v>
      </c>
      <c r="B40" s="21">
        <v>-2821700</v>
      </c>
      <c r="C40" s="21">
        <f>-'Cap-Water'!E68</f>
        <v>-1427000</v>
      </c>
      <c r="D40" s="35" t="s">
        <v>1897</v>
      </c>
      <c r="E40" s="22"/>
      <c r="F40" s="21">
        <f>-'Cap-Water'!F68</f>
        <v>-3524000</v>
      </c>
      <c r="G40" s="21">
        <f>-'Cap-Water'!G68</f>
        <v>-3404000</v>
      </c>
      <c r="H40" s="21">
        <f>-'Cap-Water'!H68</f>
        <v>-3980000</v>
      </c>
      <c r="I40" s="21">
        <f>-'Cap-Water'!I68</f>
        <v>-3636000</v>
      </c>
      <c r="J40" s="21">
        <f>-'Cap-Water'!J68</f>
        <v>-2261000</v>
      </c>
      <c r="K40" s="21">
        <f>-'Cap-Water'!K68</f>
        <v>-5942400</v>
      </c>
      <c r="L40" s="21">
        <f>-'Cap-Water'!L68</f>
        <v>-4638000</v>
      </c>
      <c r="M40" s="21">
        <f>-'Cap-Water'!M68</f>
        <v>-4098000</v>
      </c>
      <c r="N40" s="21">
        <f>-'Cap-Water'!N68</f>
        <v>-4095000</v>
      </c>
      <c r="O40" s="21">
        <f>-'Cap-Water'!O68</f>
        <v>-1909000</v>
      </c>
      <c r="P40" s="31">
        <f>-'Cap-Water'!P68</f>
        <v>-1751000</v>
      </c>
    </row>
    <row r="41" spans="1:16" x14ac:dyDescent="0.2">
      <c r="A41" s="50">
        <f>'W&amp;W'!B353</f>
        <v>0</v>
      </c>
      <c r="B41" s="21">
        <f>'W&amp;W'!C353</f>
        <v>0</v>
      </c>
      <c r="C41" s="21">
        <f>'W&amp;W'!D353</f>
        <v>0</v>
      </c>
      <c r="D41" s="35" t="s">
        <v>1425</v>
      </c>
      <c r="E41" s="22"/>
      <c r="F41" s="21">
        <f>'W&amp;W'!G353</f>
        <v>0</v>
      </c>
      <c r="G41" s="21">
        <f>'W&amp;W'!I353</f>
        <v>0</v>
      </c>
      <c r="H41" s="21">
        <f>'W&amp;W'!J353</f>
        <v>0</v>
      </c>
      <c r="I41" s="21">
        <f>'W&amp;W'!K353</f>
        <v>0</v>
      </c>
      <c r="J41" s="21">
        <f>'W&amp;W'!L353</f>
        <v>0</v>
      </c>
      <c r="K41" s="21">
        <f>'W&amp;W'!M353</f>
        <v>0</v>
      </c>
      <c r="L41" s="21">
        <f>'W&amp;W'!N353</f>
        <v>0</v>
      </c>
      <c r="M41" s="21">
        <f>'W&amp;W'!O353</f>
        <v>0</v>
      </c>
      <c r="N41" s="21">
        <f>'W&amp;W'!P353</f>
        <v>0</v>
      </c>
      <c r="O41" s="21">
        <f>'W&amp;W'!Q353</f>
        <v>0</v>
      </c>
      <c r="P41" s="31">
        <f>'W&amp;W'!R353</f>
        <v>0</v>
      </c>
    </row>
    <row r="42" spans="1:16" x14ac:dyDescent="0.2">
      <c r="A42" s="50"/>
      <c r="B42" s="21"/>
      <c r="C42" s="21"/>
      <c r="D42" s="22"/>
      <c r="E42" s="22"/>
      <c r="F42" s="21"/>
      <c r="G42" s="21"/>
      <c r="H42" s="21"/>
      <c r="I42" s="21"/>
      <c r="J42" s="21"/>
      <c r="K42" s="21"/>
      <c r="L42" s="21"/>
      <c r="M42" s="21"/>
      <c r="N42" s="21"/>
      <c r="O42" s="21"/>
      <c r="P42" s="31"/>
    </row>
    <row r="43" spans="1:16" x14ac:dyDescent="0.2">
      <c r="A43" s="50"/>
      <c r="B43" s="21"/>
      <c r="C43" s="21"/>
      <c r="D43" s="58" t="s">
        <v>2907</v>
      </c>
      <c r="E43" s="22"/>
      <c r="F43" s="21"/>
      <c r="G43" s="21"/>
      <c r="H43" s="21"/>
      <c r="I43" s="21"/>
      <c r="J43" s="21"/>
      <c r="K43" s="21"/>
      <c r="L43" s="21"/>
      <c r="M43" s="21"/>
      <c r="N43" s="21"/>
      <c r="O43" s="21"/>
      <c r="P43" s="31"/>
    </row>
    <row r="44" spans="1:16" x14ac:dyDescent="0.2">
      <c r="A44" s="50">
        <v>607900</v>
      </c>
      <c r="B44" s="21">
        <v>1272100</v>
      </c>
      <c r="C44" s="21">
        <f>IF((C75-C18)&gt;0,C75-C18,-(C18-C75))</f>
        <v>-651500</v>
      </c>
      <c r="D44" s="22" t="s">
        <v>934</v>
      </c>
      <c r="E44" s="22"/>
      <c r="F44" s="21">
        <f t="shared" ref="F44:O44" si="23">IF((F75-F18)&gt;0,F75-F18,-(F18-F75))</f>
        <v>1250000</v>
      </c>
      <c r="G44" s="21">
        <f t="shared" si="23"/>
        <v>747000</v>
      </c>
      <c r="H44" s="21">
        <f t="shared" si="23"/>
        <v>2359000</v>
      </c>
      <c r="I44" s="21">
        <f t="shared" si="23"/>
        <v>865000</v>
      </c>
      <c r="J44" s="21">
        <f t="shared" si="23"/>
        <v>-402000</v>
      </c>
      <c r="K44" s="21">
        <f t="shared" si="23"/>
        <v>1003000</v>
      </c>
      <c r="L44" s="21">
        <f t="shared" si="23"/>
        <v>2531000</v>
      </c>
      <c r="M44" s="21">
        <f t="shared" si="23"/>
        <v>-112500</v>
      </c>
      <c r="N44" s="21">
        <f t="shared" si="23"/>
        <v>89300</v>
      </c>
      <c r="O44" s="21">
        <f t="shared" si="23"/>
        <v>-740000</v>
      </c>
      <c r="P44" s="31">
        <f t="shared" ref="P44" si="24">IF((P75-P18)&gt;0,P75-P18,-(P18-P75))</f>
        <v>-760000</v>
      </c>
    </row>
    <row r="45" spans="1:16" x14ac:dyDescent="0.2">
      <c r="A45" s="50">
        <f>ROUND(-'W&amp;W'!B195,-2)</f>
        <v>-286300</v>
      </c>
      <c r="B45" s="21">
        <f>-'W&amp;W'!C195</f>
        <v>-250400</v>
      </c>
      <c r="C45" s="21">
        <f>-'W&amp;W'!D195</f>
        <v>-207500</v>
      </c>
      <c r="D45" s="22" t="s">
        <v>925</v>
      </c>
      <c r="E45" s="22"/>
      <c r="F45" s="21">
        <f>-'W&amp;W'!G195</f>
        <v>-219100</v>
      </c>
      <c r="G45" s="21">
        <f>-'W&amp;W'!I195</f>
        <v>-212400</v>
      </c>
      <c r="H45" s="21">
        <f>-'W&amp;W'!J195</f>
        <v>-194400</v>
      </c>
      <c r="I45" s="21">
        <f>-'W&amp;W'!K195</f>
        <v>-121300</v>
      </c>
      <c r="J45" s="21">
        <f>-'W&amp;W'!L195</f>
        <v>-96200</v>
      </c>
      <c r="K45" s="21">
        <f>-'W&amp;W'!M195</f>
        <v>-113000</v>
      </c>
      <c r="L45" s="21">
        <f>-'W&amp;W'!N195</f>
        <v>-83000</v>
      </c>
      <c r="M45" s="21">
        <f>-'W&amp;W'!O195</f>
        <v>-400</v>
      </c>
      <c r="N45" s="21">
        <f>-'W&amp;W'!P195</f>
        <v>-4200</v>
      </c>
      <c r="O45" s="21">
        <f>-'W&amp;W'!Q195</f>
        <v>-1300</v>
      </c>
      <c r="P45" s="31">
        <f>-'W&amp;W'!R195</f>
        <v>-26300</v>
      </c>
    </row>
    <row r="46" spans="1:16" ht="13.5" thickBot="1" x14ac:dyDescent="0.25">
      <c r="A46" s="50"/>
      <c r="B46" s="21"/>
      <c r="C46" s="21"/>
      <c r="D46" s="22"/>
      <c r="E46" s="22"/>
      <c r="F46" s="21"/>
      <c r="G46" s="21"/>
      <c r="H46" s="21"/>
      <c r="I46" s="21"/>
      <c r="J46" s="21"/>
      <c r="K46" s="21"/>
      <c r="L46" s="21"/>
      <c r="M46" s="21"/>
      <c r="N46" s="21"/>
      <c r="O46" s="21"/>
      <c r="P46" s="31"/>
    </row>
    <row r="47" spans="1:16" s="40" customFormat="1" ht="13.5" thickBot="1" x14ac:dyDescent="0.25">
      <c r="A47" s="1752">
        <f>SUM(A20:A46)</f>
        <v>979100</v>
      </c>
      <c r="B47" s="228">
        <f>SUM(B20:B46)</f>
        <v>702300</v>
      </c>
      <c r="C47" s="228">
        <f>SUM(C20:C46)</f>
        <v>461000</v>
      </c>
      <c r="D47" s="226" t="s">
        <v>2314</v>
      </c>
      <c r="E47" s="227"/>
      <c r="F47" s="228">
        <f t="shared" ref="F47:O47" si="25">SUM(F20:F46)</f>
        <v>288900</v>
      </c>
      <c r="G47" s="228">
        <f t="shared" si="25"/>
        <v>49500</v>
      </c>
      <c r="H47" s="228">
        <f t="shared" si="25"/>
        <v>1121200</v>
      </c>
      <c r="I47" s="228">
        <f t="shared" si="25"/>
        <v>119300</v>
      </c>
      <c r="J47" s="228">
        <f t="shared" si="25"/>
        <v>477600</v>
      </c>
      <c r="K47" s="228">
        <f t="shared" si="25"/>
        <v>-1540600</v>
      </c>
      <c r="L47" s="228">
        <f t="shared" si="25"/>
        <v>1445000</v>
      </c>
      <c r="M47" s="228">
        <f t="shared" si="25"/>
        <v>-291600</v>
      </c>
      <c r="N47" s="228">
        <f t="shared" si="25"/>
        <v>184400</v>
      </c>
      <c r="O47" s="228">
        <f t="shared" si="25"/>
        <v>1842800</v>
      </c>
      <c r="P47" s="229">
        <f t="shared" ref="P47" si="26">SUM(P20:P46)</f>
        <v>2352900</v>
      </c>
    </row>
    <row r="48" spans="1:16" ht="13.5" thickTop="1" x14ac:dyDescent="0.2">
      <c r="A48" s="50"/>
      <c r="B48" s="21"/>
      <c r="C48" s="21"/>
      <c r="D48" s="22"/>
      <c r="E48" s="22"/>
      <c r="F48" s="21"/>
      <c r="G48" s="21"/>
      <c r="H48" s="21"/>
      <c r="I48" s="21"/>
      <c r="J48" s="21"/>
      <c r="K48" s="21"/>
      <c r="L48" s="21"/>
      <c r="M48" s="21"/>
      <c r="N48" s="21"/>
      <c r="O48" s="21"/>
      <c r="P48" s="31"/>
    </row>
    <row r="49" spans="1:26" x14ac:dyDescent="0.2">
      <c r="A49" s="50"/>
      <c r="B49" s="21"/>
      <c r="C49" s="21"/>
      <c r="D49" s="221" t="s">
        <v>2281</v>
      </c>
      <c r="E49" s="22"/>
      <c r="F49" s="21"/>
      <c r="G49" s="21"/>
      <c r="H49" s="21"/>
      <c r="I49" s="21"/>
      <c r="J49" s="21"/>
      <c r="K49" s="21"/>
      <c r="L49" s="21"/>
      <c r="M49" s="21"/>
      <c r="N49" s="21"/>
      <c r="O49" s="21"/>
      <c r="P49" s="31"/>
    </row>
    <row r="50" spans="1:26" x14ac:dyDescent="0.2">
      <c r="A50" s="50"/>
      <c r="B50" s="21"/>
      <c r="C50" s="21"/>
      <c r="D50" s="221"/>
      <c r="E50" s="22"/>
      <c r="F50" s="21"/>
      <c r="G50" s="21"/>
      <c r="H50" s="21"/>
      <c r="I50" s="21"/>
      <c r="J50" s="21"/>
      <c r="K50" s="21"/>
      <c r="L50" s="21"/>
      <c r="M50" s="21"/>
      <c r="N50" s="21"/>
      <c r="O50" s="21"/>
      <c r="P50" s="31"/>
    </row>
    <row r="51" spans="1:26" x14ac:dyDescent="0.2">
      <c r="A51" s="50">
        <f>A47</f>
        <v>979100</v>
      </c>
      <c r="B51" s="21">
        <f>B47</f>
        <v>702300</v>
      </c>
      <c r="C51" s="21">
        <f>C47</f>
        <v>461000</v>
      </c>
      <c r="D51" s="59" t="s">
        <v>4513</v>
      </c>
      <c r="E51" s="22"/>
      <c r="F51" s="21">
        <f t="shared" ref="F51:M51" si="27">F47</f>
        <v>288900</v>
      </c>
      <c r="G51" s="21">
        <f t="shared" si="27"/>
        <v>49500</v>
      </c>
      <c r="H51" s="21">
        <f t="shared" si="27"/>
        <v>1121200</v>
      </c>
      <c r="I51" s="21">
        <f t="shared" si="27"/>
        <v>119300</v>
      </c>
      <c r="J51" s="21">
        <f t="shared" si="27"/>
        <v>477600</v>
      </c>
      <c r="K51" s="21">
        <f t="shared" si="27"/>
        <v>-1540600</v>
      </c>
      <c r="L51" s="21">
        <f t="shared" si="27"/>
        <v>1445000</v>
      </c>
      <c r="M51" s="21">
        <f t="shared" si="27"/>
        <v>-291600</v>
      </c>
      <c r="N51" s="21">
        <f t="shared" ref="N51:O51" si="28">N47</f>
        <v>184400</v>
      </c>
      <c r="O51" s="21">
        <f t="shared" si="28"/>
        <v>1842800</v>
      </c>
      <c r="P51" s="31">
        <f t="shared" ref="P51" si="29">P47</f>
        <v>2352900</v>
      </c>
    </row>
    <row r="52" spans="1:26" ht="13.5" thickBot="1" x14ac:dyDescent="0.25">
      <c r="A52" s="1603"/>
      <c r="B52" s="27"/>
      <c r="C52" s="27"/>
      <c r="D52" s="67"/>
      <c r="E52" s="38"/>
      <c r="F52" s="27"/>
      <c r="G52" s="27"/>
      <c r="H52" s="27"/>
      <c r="I52" s="27"/>
      <c r="J52" s="27"/>
      <c r="K52" s="27"/>
      <c r="L52" s="27"/>
      <c r="M52" s="27"/>
      <c r="N52" s="27"/>
      <c r="O52" s="27"/>
      <c r="P52" s="39"/>
    </row>
    <row r="53" spans="1:26" s="22" customFormat="1" ht="13.5" thickTop="1" x14ac:dyDescent="0.2">
      <c r="E53" s="52"/>
    </row>
    <row r="54" spans="1:26" s="22" customFormat="1" x14ac:dyDescent="0.2">
      <c r="E54" s="52"/>
    </row>
    <row r="55" spans="1:26" s="22" customFormat="1" ht="13.5" thickBot="1" x14ac:dyDescent="0.25">
      <c r="C55" s="68"/>
      <c r="E55" s="55"/>
    </row>
    <row r="56" spans="1:26" ht="18.75" customHeight="1" thickTop="1" thickBot="1" x14ac:dyDescent="0.25">
      <c r="A56" s="2982" t="s">
        <v>4516</v>
      </c>
      <c r="B56" s="2983"/>
      <c r="C56" s="2983"/>
      <c r="D56" s="2983"/>
      <c r="E56" s="2983"/>
      <c r="F56" s="2983"/>
      <c r="G56" s="2983"/>
      <c r="H56" s="2983"/>
      <c r="I56" s="2983"/>
      <c r="J56" s="2983"/>
      <c r="K56" s="2983"/>
      <c r="L56" s="2983"/>
      <c r="M56" s="2983"/>
      <c r="N56" s="2983"/>
      <c r="O56" s="2983"/>
      <c r="P56" s="2984"/>
    </row>
    <row r="57" spans="1:26" s="44" customFormat="1" x14ac:dyDescent="0.2">
      <c r="A57" s="2546" t="s">
        <v>1856</v>
      </c>
      <c r="B57" s="2547"/>
      <c r="C57" s="2150" t="s">
        <v>2253</v>
      </c>
      <c r="D57" s="2649" t="s">
        <v>2251</v>
      </c>
      <c r="E57" s="2650"/>
      <c r="F57" s="2885" t="s">
        <v>2253</v>
      </c>
      <c r="G57" s="2886"/>
      <c r="H57" s="2886"/>
      <c r="I57" s="2886"/>
      <c r="J57" s="2886"/>
      <c r="K57" s="2886"/>
      <c r="L57" s="2886"/>
      <c r="M57" s="2886"/>
      <c r="N57" s="2886"/>
      <c r="O57" s="2886"/>
      <c r="P57" s="2887"/>
    </row>
    <row r="58" spans="1:26" ht="13.5" thickBot="1" x14ac:dyDescent="0.25">
      <c r="A58" s="1496" t="str">
        <f>$A$3</f>
        <v>2013/14</v>
      </c>
      <c r="B58" s="218" t="str">
        <f>$B$3</f>
        <v>2014/15</v>
      </c>
      <c r="C58" s="703" t="str">
        <f>C$3</f>
        <v>2015/16</v>
      </c>
      <c r="D58" s="89"/>
      <c r="E58" s="42"/>
      <c r="F58" s="47" t="str">
        <f t="shared" ref="F58:P58" si="30">F$3</f>
        <v>2016/17</v>
      </c>
      <c r="G58" s="47" t="str">
        <f t="shared" si="30"/>
        <v>2017/18</v>
      </c>
      <c r="H58" s="47" t="str">
        <f t="shared" si="30"/>
        <v>2018/19</v>
      </c>
      <c r="I58" s="47" t="str">
        <f t="shared" si="30"/>
        <v>2019/20</v>
      </c>
      <c r="J58" s="47" t="str">
        <f t="shared" si="30"/>
        <v>2020/21</v>
      </c>
      <c r="K58" s="47" t="str">
        <f t="shared" si="30"/>
        <v>2021/22</v>
      </c>
      <c r="L58" s="47" t="str">
        <f t="shared" si="30"/>
        <v>2022/23</v>
      </c>
      <c r="M58" s="47" t="str">
        <f t="shared" si="30"/>
        <v>2023/24</v>
      </c>
      <c r="N58" s="219" t="str">
        <f t="shared" si="30"/>
        <v>2024/25</v>
      </c>
      <c r="O58" s="220" t="str">
        <f t="shared" si="30"/>
        <v>2025/26</v>
      </c>
      <c r="P58" s="220" t="str">
        <f t="shared" si="30"/>
        <v>2026/27</v>
      </c>
    </row>
    <row r="59" spans="1:26" x14ac:dyDescent="0.2">
      <c r="A59" s="50"/>
      <c r="B59" s="21"/>
      <c r="C59" s="21"/>
      <c r="D59" s="22"/>
      <c r="E59" s="35"/>
      <c r="F59" s="21"/>
      <c r="G59" s="21"/>
      <c r="H59" s="21"/>
      <c r="I59" s="21"/>
      <c r="J59" s="21"/>
      <c r="K59" s="21"/>
      <c r="L59" s="21"/>
      <c r="M59" s="21"/>
      <c r="N59" s="21"/>
      <c r="O59" s="31"/>
      <c r="P59" s="31"/>
    </row>
    <row r="60" spans="1:26" s="25" customFormat="1" x14ac:dyDescent="0.2">
      <c r="A60" s="211">
        <v>0</v>
      </c>
      <c r="B60" s="24">
        <v>178500</v>
      </c>
      <c r="C60" s="24"/>
      <c r="D60" s="35" t="s">
        <v>3615</v>
      </c>
      <c r="E60" s="35"/>
      <c r="F60" s="24"/>
      <c r="G60" s="24"/>
      <c r="H60" s="24"/>
      <c r="I60" s="24"/>
      <c r="J60" s="24"/>
      <c r="K60" s="24"/>
      <c r="L60" s="24"/>
      <c r="M60" s="24"/>
      <c r="N60" s="24"/>
      <c r="O60" s="36"/>
      <c r="P60" s="36"/>
    </row>
    <row r="61" spans="1:26" s="25" customFormat="1" x14ac:dyDescent="0.2">
      <c r="A61" s="211">
        <v>368600</v>
      </c>
      <c r="B61" s="24">
        <v>152000</v>
      </c>
      <c r="C61" s="24"/>
      <c r="D61" s="35" t="s">
        <v>4185</v>
      </c>
      <c r="E61" s="35"/>
      <c r="F61" s="24"/>
      <c r="G61" s="24"/>
      <c r="H61" s="24"/>
      <c r="I61" s="24"/>
      <c r="J61" s="24"/>
      <c r="K61" s="24"/>
      <c r="L61" s="24"/>
      <c r="M61" s="24"/>
      <c r="N61" s="24"/>
      <c r="O61" s="36"/>
      <c r="P61" s="36"/>
    </row>
    <row r="62" spans="1:26" s="25" customFormat="1" x14ac:dyDescent="0.2">
      <c r="A62" s="211">
        <v>0</v>
      </c>
      <c r="B62" s="24">
        <v>5900</v>
      </c>
      <c r="C62" s="24"/>
      <c r="D62" s="35" t="s">
        <v>5348</v>
      </c>
      <c r="E62" s="35"/>
      <c r="F62" s="24"/>
      <c r="G62" s="24"/>
      <c r="H62" s="24"/>
      <c r="I62" s="24"/>
      <c r="J62" s="24"/>
      <c r="K62" s="24"/>
      <c r="L62" s="24"/>
      <c r="M62" s="24"/>
      <c r="N62" s="24"/>
      <c r="O62" s="36"/>
      <c r="P62" s="36"/>
    </row>
    <row r="63" spans="1:26" ht="13.5" thickBot="1" x14ac:dyDescent="0.25">
      <c r="A63" s="50"/>
      <c r="B63" s="21"/>
      <c r="C63" s="21"/>
      <c r="D63" s="22"/>
      <c r="E63" s="52"/>
      <c r="F63" s="21"/>
      <c r="G63" s="21"/>
      <c r="H63" s="21"/>
      <c r="I63" s="21"/>
      <c r="J63" s="21"/>
      <c r="K63" s="21"/>
      <c r="L63" s="21"/>
      <c r="M63" s="21"/>
      <c r="N63" s="21"/>
      <c r="O63" s="31"/>
      <c r="P63" s="31"/>
    </row>
    <row r="64" spans="1:26" s="44" customFormat="1" x14ac:dyDescent="0.2">
      <c r="A64" s="1601">
        <f>SUM(A60:A63)</f>
        <v>368600</v>
      </c>
      <c r="B64" s="56">
        <f>SUM(B60:B63)</f>
        <v>336400</v>
      </c>
      <c r="C64" s="56">
        <f>SUM(C60:C63)</f>
        <v>0</v>
      </c>
      <c r="D64" s="55"/>
      <c r="E64" s="54" t="s">
        <v>2453</v>
      </c>
      <c r="F64" s="56">
        <f t="shared" ref="F64:N64" si="31">SUM(F60:F63)</f>
        <v>0</v>
      </c>
      <c r="G64" s="56">
        <f t="shared" si="31"/>
        <v>0</v>
      </c>
      <c r="H64" s="56">
        <f t="shared" si="31"/>
        <v>0</v>
      </c>
      <c r="I64" s="56">
        <f t="shared" si="31"/>
        <v>0</v>
      </c>
      <c r="J64" s="56">
        <f t="shared" si="31"/>
        <v>0</v>
      </c>
      <c r="K64" s="56">
        <f t="shared" si="31"/>
        <v>0</v>
      </c>
      <c r="L64" s="56">
        <f t="shared" si="31"/>
        <v>0</v>
      </c>
      <c r="M64" s="56">
        <f t="shared" si="31"/>
        <v>0</v>
      </c>
      <c r="N64" s="56">
        <f t="shared" si="31"/>
        <v>0</v>
      </c>
      <c r="O64" s="213">
        <f t="shared" ref="O64:P64" si="32">SUM(O60:O63)</f>
        <v>0</v>
      </c>
      <c r="P64" s="213">
        <f t="shared" si="32"/>
        <v>0</v>
      </c>
      <c r="Q64" s="23"/>
      <c r="R64" s="23"/>
      <c r="S64" s="23"/>
      <c r="T64" s="23"/>
      <c r="U64" s="23"/>
      <c r="V64" s="23"/>
      <c r="W64" s="23"/>
      <c r="X64" s="23"/>
      <c r="Y64" s="23"/>
      <c r="Z64" s="23"/>
    </row>
    <row r="65" spans="1:26" ht="13.5" thickBot="1" x14ac:dyDescent="0.25">
      <c r="A65" s="1603"/>
      <c r="B65" s="27"/>
      <c r="C65" s="27"/>
      <c r="D65" s="38"/>
      <c r="E65" s="67"/>
      <c r="F65" s="27"/>
      <c r="G65" s="27"/>
      <c r="H65" s="27"/>
      <c r="I65" s="27"/>
      <c r="J65" s="27"/>
      <c r="K65" s="27"/>
      <c r="L65" s="27"/>
      <c r="M65" s="27"/>
      <c r="N65" s="27"/>
      <c r="O65" s="39"/>
      <c r="P65" s="39"/>
    </row>
    <row r="66" spans="1:26" s="22" customFormat="1" ht="13.5" thickTop="1" x14ac:dyDescent="0.2">
      <c r="C66" s="68"/>
      <c r="E66" s="55"/>
    </row>
    <row r="67" spans="1:26" s="22" customFormat="1" ht="13.5" thickBot="1" x14ac:dyDescent="0.25">
      <c r="C67" s="68"/>
      <c r="E67" s="55"/>
    </row>
    <row r="68" spans="1:26" ht="18.75" customHeight="1" thickTop="1" thickBot="1" x14ac:dyDescent="0.25">
      <c r="A68" s="2982" t="s">
        <v>4506</v>
      </c>
      <c r="B68" s="2983"/>
      <c r="C68" s="2983"/>
      <c r="D68" s="2983"/>
      <c r="E68" s="2983"/>
      <c r="F68" s="2983"/>
      <c r="G68" s="2983"/>
      <c r="H68" s="2983"/>
      <c r="I68" s="2983"/>
      <c r="J68" s="2983"/>
      <c r="K68" s="2983"/>
      <c r="L68" s="2983"/>
      <c r="M68" s="2983"/>
      <c r="N68" s="2983"/>
      <c r="O68" s="2983"/>
      <c r="P68" s="2984"/>
    </row>
    <row r="69" spans="1:26" s="44" customFormat="1" x14ac:dyDescent="0.2">
      <c r="A69" s="2546" t="s">
        <v>1856</v>
      </c>
      <c r="B69" s="2547"/>
      <c r="C69" s="2150" t="s">
        <v>2253</v>
      </c>
      <c r="D69" s="2542" t="s">
        <v>2251</v>
      </c>
      <c r="E69" s="2543"/>
      <c r="F69" s="2885" t="s">
        <v>2253</v>
      </c>
      <c r="G69" s="2886"/>
      <c r="H69" s="2886"/>
      <c r="I69" s="2886"/>
      <c r="J69" s="2886"/>
      <c r="K69" s="2886"/>
      <c r="L69" s="2886"/>
      <c r="M69" s="2886"/>
      <c r="N69" s="2886"/>
      <c r="O69" s="2886"/>
      <c r="P69" s="2887"/>
    </row>
    <row r="70" spans="1:26" ht="13.5" thickBot="1" x14ac:dyDescent="0.25">
      <c r="A70" s="1496" t="str">
        <f>$A$3</f>
        <v>2013/14</v>
      </c>
      <c r="B70" s="251" t="str">
        <f>$B$3</f>
        <v>2014/15</v>
      </c>
      <c r="C70" s="1293" t="str">
        <f>C58</f>
        <v>2015/16</v>
      </c>
      <c r="D70" s="42"/>
      <c r="E70" s="42"/>
      <c r="F70" s="47" t="str">
        <f t="shared" ref="F70:N70" si="33">F58</f>
        <v>2016/17</v>
      </c>
      <c r="G70" s="47" t="str">
        <f t="shared" si="33"/>
        <v>2017/18</v>
      </c>
      <c r="H70" s="47" t="str">
        <f t="shared" si="33"/>
        <v>2018/19</v>
      </c>
      <c r="I70" s="47" t="str">
        <f t="shared" si="33"/>
        <v>2019/20</v>
      </c>
      <c r="J70" s="47" t="str">
        <f t="shared" si="33"/>
        <v>2020/21</v>
      </c>
      <c r="K70" s="47" t="str">
        <f t="shared" si="33"/>
        <v>2021/22</v>
      </c>
      <c r="L70" s="47" t="str">
        <f t="shared" si="33"/>
        <v>2022/23</v>
      </c>
      <c r="M70" s="47" t="str">
        <f t="shared" si="33"/>
        <v>2023/24</v>
      </c>
      <c r="N70" s="219" t="str">
        <f t="shared" si="33"/>
        <v>2024/25</v>
      </c>
      <c r="O70" s="219" t="str">
        <f t="shared" ref="O70:P70" si="34">O58</f>
        <v>2025/26</v>
      </c>
      <c r="P70" s="220" t="str">
        <f t="shared" si="34"/>
        <v>2026/27</v>
      </c>
    </row>
    <row r="71" spans="1:26" x14ac:dyDescent="0.2">
      <c r="A71" s="1497"/>
      <c r="B71" s="30"/>
      <c r="C71" s="21"/>
      <c r="D71" s="22"/>
      <c r="E71" s="22"/>
      <c r="F71" s="21"/>
      <c r="G71" s="21"/>
      <c r="H71" s="21"/>
      <c r="I71" s="21"/>
      <c r="J71" s="21"/>
      <c r="K71" s="21"/>
      <c r="L71" s="21"/>
      <c r="M71" s="21"/>
      <c r="N71" s="21"/>
      <c r="O71" s="21"/>
      <c r="P71" s="31"/>
    </row>
    <row r="72" spans="1:26" x14ac:dyDescent="0.2">
      <c r="A72" s="1497">
        <v>1038300</v>
      </c>
      <c r="B72" s="30">
        <v>1727000</v>
      </c>
      <c r="C72" s="21">
        <f>'Cap-Water'!R68</f>
        <v>186400</v>
      </c>
      <c r="D72" s="22"/>
      <c r="E72" s="51"/>
      <c r="F72" s="21">
        <f>'Cap-Water'!V68</f>
        <v>1860000</v>
      </c>
      <c r="G72" s="21">
        <f>'Cap-Water'!Z68</f>
        <v>1322000</v>
      </c>
      <c r="H72" s="21">
        <f>'Cap-Water'!AD68</f>
        <v>2959000</v>
      </c>
      <c r="I72" s="21">
        <f>'Cap-Water'!AH68</f>
        <v>1485000</v>
      </c>
      <c r="J72" s="21">
        <f>'Cap-Water'!AL68</f>
        <v>238000</v>
      </c>
      <c r="K72" s="21">
        <f>'Cap-Water'!AP68</f>
        <v>1663000</v>
      </c>
      <c r="L72" s="21">
        <f>'Cap-Water'!AT68</f>
        <v>3211000</v>
      </c>
      <c r="M72" s="21">
        <f>'Cap-Water'!AX68</f>
        <v>587500</v>
      </c>
      <c r="N72" s="21">
        <f>'Cap-Water'!BB68</f>
        <v>809300</v>
      </c>
      <c r="O72" s="21">
        <f>'Cap-Water'!BF68</f>
        <v>0</v>
      </c>
      <c r="P72" s="31">
        <f>'Cap-Water'!BJ68</f>
        <v>0</v>
      </c>
    </row>
    <row r="73" spans="1:26" x14ac:dyDescent="0.2">
      <c r="A73" s="1497"/>
      <c r="B73" s="30"/>
      <c r="C73" s="21"/>
      <c r="D73" s="22"/>
      <c r="E73" s="35"/>
      <c r="F73" s="21"/>
      <c r="G73" s="21"/>
      <c r="H73" s="21"/>
      <c r="I73" s="21"/>
      <c r="J73" s="21"/>
      <c r="K73" s="21"/>
      <c r="L73" s="21"/>
      <c r="M73" s="21"/>
      <c r="N73" s="21"/>
      <c r="O73" s="21"/>
      <c r="P73" s="31"/>
    </row>
    <row r="74" spans="1:26" ht="13.5" thickBot="1" x14ac:dyDescent="0.25">
      <c r="A74" s="1497"/>
      <c r="B74" s="30"/>
      <c r="C74" s="21"/>
      <c r="D74" s="22"/>
      <c r="E74" s="52"/>
      <c r="F74" s="21"/>
      <c r="G74" s="21"/>
      <c r="H74" s="21"/>
      <c r="I74" s="21"/>
      <c r="J74" s="21"/>
      <c r="K74" s="21"/>
      <c r="L74" s="21"/>
      <c r="M74" s="21"/>
      <c r="N74" s="21"/>
      <c r="O74" s="21"/>
      <c r="P74" s="31"/>
    </row>
    <row r="75" spans="1:26" s="44" customFormat="1" x14ac:dyDescent="0.2">
      <c r="A75" s="1601">
        <f>SUM(A71:A74)</f>
        <v>1038300</v>
      </c>
      <c r="B75" s="56">
        <f>SUM(B71:B74)</f>
        <v>1727000</v>
      </c>
      <c r="C75" s="56">
        <f>SUM(C71:C74)</f>
        <v>186400</v>
      </c>
      <c r="D75" s="55"/>
      <c r="E75" s="54" t="s">
        <v>2453</v>
      </c>
      <c r="F75" s="56">
        <f t="shared" ref="F75:K75" si="35">SUM(F71:F74)</f>
        <v>1860000</v>
      </c>
      <c r="G75" s="56">
        <f t="shared" si="35"/>
        <v>1322000</v>
      </c>
      <c r="H75" s="56">
        <f t="shared" si="35"/>
        <v>2959000</v>
      </c>
      <c r="I75" s="56">
        <f t="shared" si="35"/>
        <v>1485000</v>
      </c>
      <c r="J75" s="56">
        <f t="shared" si="35"/>
        <v>238000</v>
      </c>
      <c r="K75" s="56">
        <f t="shared" si="35"/>
        <v>1663000</v>
      </c>
      <c r="L75" s="56">
        <f>SUM(L71:L74)</f>
        <v>3211000</v>
      </c>
      <c r="M75" s="56">
        <f>SUM(M71:M74)</f>
        <v>587500</v>
      </c>
      <c r="N75" s="56">
        <f>SUM(N71:N74)</f>
        <v>809300</v>
      </c>
      <c r="O75" s="56">
        <f>SUM(O71:O74)</f>
        <v>0</v>
      </c>
      <c r="P75" s="213">
        <f>SUM(P71:P74)</f>
        <v>0</v>
      </c>
      <c r="Q75" s="23"/>
      <c r="R75" s="23"/>
      <c r="S75" s="23"/>
      <c r="T75" s="23"/>
      <c r="U75" s="23"/>
      <c r="V75" s="23"/>
      <c r="W75" s="23"/>
      <c r="X75" s="23"/>
      <c r="Y75" s="23"/>
      <c r="Z75" s="23"/>
    </row>
    <row r="76" spans="1:26" ht="13.5" thickBot="1" x14ac:dyDescent="0.25">
      <c r="A76" s="1602"/>
      <c r="B76" s="41"/>
      <c r="C76" s="27"/>
      <c r="D76" s="38"/>
      <c r="E76" s="67"/>
      <c r="F76" s="27"/>
      <c r="G76" s="27"/>
      <c r="H76" s="27"/>
      <c r="I76" s="27"/>
      <c r="J76" s="27"/>
      <c r="K76" s="27"/>
      <c r="L76" s="27"/>
      <c r="M76" s="27"/>
      <c r="N76" s="27"/>
      <c r="O76" s="27"/>
      <c r="P76" s="39"/>
    </row>
    <row r="77" spans="1:26" ht="13.5" thickTop="1" x14ac:dyDescent="0.2">
      <c r="A77" s="22"/>
      <c r="B77" s="22"/>
      <c r="C77" s="68"/>
      <c r="D77" s="22"/>
      <c r="E77" s="55"/>
      <c r="F77" s="22"/>
      <c r="G77" s="22"/>
      <c r="H77" s="22"/>
      <c r="I77" s="22"/>
      <c r="J77" s="22"/>
      <c r="K77" s="22"/>
      <c r="L77" s="22"/>
      <c r="M77" s="22"/>
      <c r="N77" s="22"/>
      <c r="O77" s="22"/>
      <c r="P77" s="22"/>
      <c r="Q77" s="22"/>
      <c r="R77" s="22"/>
    </row>
    <row r="78" spans="1:26" ht="13.5" thickBot="1" x14ac:dyDescent="0.25">
      <c r="A78" s="22"/>
      <c r="B78" s="22"/>
      <c r="C78" s="68"/>
      <c r="D78" s="22"/>
      <c r="E78" s="55"/>
      <c r="F78" s="22"/>
      <c r="G78" s="22"/>
      <c r="H78" s="22"/>
      <c r="I78" s="22"/>
      <c r="J78" s="22"/>
      <c r="K78" s="22"/>
      <c r="L78" s="22"/>
      <c r="M78" s="22"/>
      <c r="N78" s="22"/>
      <c r="O78" s="22"/>
      <c r="P78" s="22"/>
      <c r="Q78" s="22"/>
      <c r="R78" s="22"/>
    </row>
    <row r="79" spans="1:26" ht="18.75" customHeight="1" thickTop="1" thickBot="1" x14ac:dyDescent="0.25">
      <c r="A79" s="2982" t="s">
        <v>4507</v>
      </c>
      <c r="B79" s="2983"/>
      <c r="C79" s="2983"/>
      <c r="D79" s="2983"/>
      <c r="E79" s="2983"/>
      <c r="F79" s="2983"/>
      <c r="G79" s="2983"/>
      <c r="H79" s="2983"/>
      <c r="I79" s="2983"/>
      <c r="J79" s="2983"/>
      <c r="K79" s="2983"/>
      <c r="L79" s="2983"/>
      <c r="M79" s="2983"/>
      <c r="N79" s="2983"/>
      <c r="O79" s="2983"/>
      <c r="P79" s="2984"/>
    </row>
    <row r="80" spans="1:26" s="44" customFormat="1" x14ac:dyDescent="0.2">
      <c r="A80" s="2546" t="s">
        <v>1856</v>
      </c>
      <c r="B80" s="2547"/>
      <c r="C80" s="2150" t="s">
        <v>2253</v>
      </c>
      <c r="D80" s="2542" t="s">
        <v>2251</v>
      </c>
      <c r="E80" s="2543"/>
      <c r="F80" s="2885" t="s">
        <v>2253</v>
      </c>
      <c r="G80" s="2886"/>
      <c r="H80" s="2886"/>
      <c r="I80" s="2886"/>
      <c r="J80" s="2886"/>
      <c r="K80" s="2886"/>
      <c r="L80" s="2886"/>
      <c r="M80" s="2886"/>
      <c r="N80" s="2886"/>
      <c r="O80" s="2886"/>
      <c r="P80" s="2887"/>
    </row>
    <row r="81" spans="1:25" ht="13.5" thickBot="1" x14ac:dyDescent="0.25">
      <c r="A81" s="1496" t="str">
        <f>$A$3</f>
        <v>2013/14</v>
      </c>
      <c r="B81" s="218" t="str">
        <f>$B$3</f>
        <v>2014/15</v>
      </c>
      <c r="C81" s="703" t="str">
        <f>C$3</f>
        <v>2015/16</v>
      </c>
      <c r="D81" s="89"/>
      <c r="E81" s="42"/>
      <c r="F81" s="47" t="str">
        <f t="shared" ref="F81:P81" si="36">F$3</f>
        <v>2016/17</v>
      </c>
      <c r="G81" s="47" t="str">
        <f t="shared" si="36"/>
        <v>2017/18</v>
      </c>
      <c r="H81" s="47" t="str">
        <f t="shared" si="36"/>
        <v>2018/19</v>
      </c>
      <c r="I81" s="47" t="str">
        <f t="shared" si="36"/>
        <v>2019/20</v>
      </c>
      <c r="J81" s="47" t="str">
        <f t="shared" si="36"/>
        <v>2020/21</v>
      </c>
      <c r="K81" s="47" t="str">
        <f t="shared" si="36"/>
        <v>2021/22</v>
      </c>
      <c r="L81" s="47" t="str">
        <f t="shared" si="36"/>
        <v>2022/23</v>
      </c>
      <c r="M81" s="47" t="str">
        <f t="shared" si="36"/>
        <v>2023/24</v>
      </c>
      <c r="N81" s="219" t="str">
        <f t="shared" si="36"/>
        <v>2024/25</v>
      </c>
      <c r="O81" s="219" t="str">
        <f t="shared" si="36"/>
        <v>2025/26</v>
      </c>
      <c r="P81" s="220" t="str">
        <f t="shared" si="36"/>
        <v>2026/27</v>
      </c>
    </row>
    <row r="82" spans="1:25" x14ac:dyDescent="0.2">
      <c r="A82" s="50"/>
      <c r="B82" s="21"/>
      <c r="C82" s="21"/>
      <c r="D82" s="22"/>
      <c r="E82" s="22"/>
      <c r="F82" s="21"/>
      <c r="G82" s="21"/>
      <c r="H82" s="21"/>
      <c r="I82" s="21"/>
      <c r="J82" s="21"/>
      <c r="K82" s="21"/>
      <c r="L82" s="21"/>
      <c r="M82" s="21"/>
      <c r="N82" s="21"/>
      <c r="O82" s="21"/>
      <c r="P82" s="31"/>
    </row>
    <row r="83" spans="1:25" x14ac:dyDescent="0.2">
      <c r="A83" s="50">
        <v>542400</v>
      </c>
      <c r="B83" s="21">
        <f>-B47</f>
        <v>-702300</v>
      </c>
      <c r="C83" s="21">
        <f>-C47</f>
        <v>-461000</v>
      </c>
      <c r="D83" s="35" t="s">
        <v>4512</v>
      </c>
      <c r="E83" s="35"/>
      <c r="F83" s="21">
        <f t="shared" ref="F83:N83" si="37">-F47</f>
        <v>-288900</v>
      </c>
      <c r="G83" s="21">
        <f t="shared" si="37"/>
        <v>-49500</v>
      </c>
      <c r="H83" s="21">
        <f t="shared" si="37"/>
        <v>-1121200</v>
      </c>
      <c r="I83" s="21">
        <f t="shared" si="37"/>
        <v>-119300</v>
      </c>
      <c r="J83" s="21">
        <f t="shared" si="37"/>
        <v>-477600</v>
      </c>
      <c r="K83" s="21">
        <f t="shared" si="37"/>
        <v>1540600</v>
      </c>
      <c r="L83" s="21">
        <f t="shared" si="37"/>
        <v>-1445000</v>
      </c>
      <c r="M83" s="21">
        <f t="shared" si="37"/>
        <v>291600</v>
      </c>
      <c r="N83" s="21">
        <f t="shared" si="37"/>
        <v>-184400</v>
      </c>
      <c r="O83" s="21">
        <f t="shared" ref="O83:P83" si="38">-O47</f>
        <v>-1842800</v>
      </c>
      <c r="P83" s="31">
        <f t="shared" si="38"/>
        <v>-2352900</v>
      </c>
    </row>
    <row r="84" spans="1:25" x14ac:dyDescent="0.2">
      <c r="A84" s="1604"/>
      <c r="B84" s="1124"/>
      <c r="C84" s="1124"/>
      <c r="D84" s="1078"/>
      <c r="E84" s="1125"/>
      <c r="F84" s="1124"/>
      <c r="G84" s="1124"/>
      <c r="H84" s="1124"/>
      <c r="I84" s="1124"/>
      <c r="J84" s="1124"/>
      <c r="K84" s="1124"/>
      <c r="L84" s="1124"/>
      <c r="M84" s="1124"/>
      <c r="N84" s="1124"/>
      <c r="O84" s="1124"/>
      <c r="P84" s="1126"/>
    </row>
    <row r="85" spans="1:25" x14ac:dyDescent="0.2">
      <c r="A85" s="212">
        <f>A83</f>
        <v>542400</v>
      </c>
      <c r="B85" s="82">
        <f>B83</f>
        <v>-702300</v>
      </c>
      <c r="C85" s="21">
        <f>C83</f>
        <v>-461000</v>
      </c>
      <c r="D85" s="22"/>
      <c r="E85" s="54" t="s">
        <v>2453</v>
      </c>
      <c r="F85" s="21">
        <f t="shared" ref="F85:M85" si="39">F83</f>
        <v>-288900</v>
      </c>
      <c r="G85" s="21">
        <f t="shared" si="39"/>
        <v>-49500</v>
      </c>
      <c r="H85" s="21">
        <f t="shared" si="39"/>
        <v>-1121200</v>
      </c>
      <c r="I85" s="21">
        <f t="shared" si="39"/>
        <v>-119300</v>
      </c>
      <c r="J85" s="21">
        <f t="shared" si="39"/>
        <v>-477600</v>
      </c>
      <c r="K85" s="21">
        <f t="shared" si="39"/>
        <v>1540600</v>
      </c>
      <c r="L85" s="21">
        <f t="shared" si="39"/>
        <v>-1445000</v>
      </c>
      <c r="M85" s="21">
        <f t="shared" si="39"/>
        <v>291600</v>
      </c>
      <c r="N85" s="21">
        <f t="shared" ref="N85:O85" si="40">N83</f>
        <v>-184400</v>
      </c>
      <c r="O85" s="21">
        <f t="shared" si="40"/>
        <v>-1842800</v>
      </c>
      <c r="P85" s="31">
        <f t="shared" ref="P85" si="41">P83</f>
        <v>-2352900</v>
      </c>
    </row>
    <row r="86" spans="1:25" x14ac:dyDescent="0.2">
      <c r="A86" s="50"/>
      <c r="B86" s="21"/>
      <c r="C86" s="21"/>
      <c r="D86" s="22"/>
      <c r="E86" s="35"/>
      <c r="F86" s="21"/>
      <c r="G86" s="21"/>
      <c r="H86" s="21"/>
      <c r="I86" s="21"/>
      <c r="J86" s="21"/>
      <c r="K86" s="21"/>
      <c r="L86" s="21"/>
      <c r="M86" s="21"/>
      <c r="N86" s="21"/>
      <c r="O86" s="21"/>
      <c r="P86" s="31"/>
    </row>
    <row r="87" spans="1:25" x14ac:dyDescent="0.2">
      <c r="A87" s="50">
        <f>'W&amp;W'!B218</f>
        <v>37600</v>
      </c>
      <c r="B87" s="21">
        <f>'W&amp;W'!C218</f>
        <v>36200</v>
      </c>
      <c r="C87" s="21">
        <f>'W&amp;W'!D218</f>
        <v>23000</v>
      </c>
      <c r="D87" s="35" t="s">
        <v>3209</v>
      </c>
      <c r="E87" s="35"/>
      <c r="F87" s="21">
        <f>'W&amp;W'!G218</f>
        <v>0</v>
      </c>
      <c r="G87" s="21">
        <f>'W&amp;W'!I218</f>
        <v>0</v>
      </c>
      <c r="H87" s="21">
        <f>'W&amp;W'!J218</f>
        <v>0</v>
      </c>
      <c r="I87" s="21">
        <f>'W&amp;W'!K218</f>
        <v>0</v>
      </c>
      <c r="J87" s="21">
        <f>'W&amp;W'!L218</f>
        <v>0</v>
      </c>
      <c r="K87" s="21">
        <f>'W&amp;W'!M218</f>
        <v>0</v>
      </c>
      <c r="L87" s="21">
        <f>'W&amp;W'!N218</f>
        <v>0</v>
      </c>
      <c r="M87" s="21">
        <f>'W&amp;W'!O218</f>
        <v>0</v>
      </c>
      <c r="N87" s="21">
        <f>'W&amp;W'!P218</f>
        <v>0</v>
      </c>
      <c r="O87" s="21">
        <f>'W&amp;W'!Q218</f>
        <v>0</v>
      </c>
      <c r="P87" s="31">
        <f>'W&amp;W'!R218</f>
        <v>0</v>
      </c>
    </row>
    <row r="88" spans="1:25" x14ac:dyDescent="0.2">
      <c r="A88" s="50">
        <f>'W&amp;W'!B219</f>
        <v>100000</v>
      </c>
      <c r="B88" s="21">
        <f>'W&amp;W'!C219</f>
        <v>100000</v>
      </c>
      <c r="C88" s="21">
        <f>'W&amp;W'!D219</f>
        <v>0</v>
      </c>
      <c r="D88" s="35" t="s">
        <v>3210</v>
      </c>
      <c r="E88" s="35"/>
      <c r="F88" s="21">
        <f>'W&amp;W'!G219</f>
        <v>100000</v>
      </c>
      <c r="G88" s="21">
        <f>'W&amp;W'!I219</f>
        <v>0</v>
      </c>
      <c r="H88" s="21">
        <f>'W&amp;W'!J219</f>
        <v>0</v>
      </c>
      <c r="I88" s="21">
        <f>'W&amp;W'!K219</f>
        <v>0</v>
      </c>
      <c r="J88" s="21">
        <f>'W&amp;W'!L219</f>
        <v>0</v>
      </c>
      <c r="K88" s="21">
        <f>'W&amp;W'!M219</f>
        <v>0</v>
      </c>
      <c r="L88" s="21">
        <f>'W&amp;W'!N219</f>
        <v>0</v>
      </c>
      <c r="M88" s="21">
        <f>'W&amp;W'!O219</f>
        <v>0</v>
      </c>
      <c r="N88" s="21">
        <f>'W&amp;W'!P219</f>
        <v>0</v>
      </c>
      <c r="O88" s="21">
        <f>'W&amp;W'!Q219</f>
        <v>0</v>
      </c>
      <c r="P88" s="31">
        <f>'W&amp;W'!R219</f>
        <v>0</v>
      </c>
    </row>
    <row r="89" spans="1:25" ht="13.5" thickBot="1" x14ac:dyDescent="0.25">
      <c r="A89" s="50"/>
      <c r="B89" s="21"/>
      <c r="C89" s="21"/>
      <c r="D89" s="22"/>
      <c r="E89" s="52"/>
      <c r="F89" s="21"/>
      <c r="G89" s="21"/>
      <c r="H89" s="21"/>
      <c r="I89" s="21"/>
      <c r="J89" s="21"/>
      <c r="K89" s="21"/>
      <c r="L89" s="21"/>
      <c r="M89" s="21"/>
      <c r="N89" s="21"/>
      <c r="O89" s="21"/>
      <c r="P89" s="31"/>
    </row>
    <row r="90" spans="1:25" s="44" customFormat="1" x14ac:dyDescent="0.2">
      <c r="A90" s="1601">
        <f>SUM(A86:A89)</f>
        <v>137600</v>
      </c>
      <c r="B90" s="56">
        <f>SUM(B86:B89)</f>
        <v>136200</v>
      </c>
      <c r="C90" s="56">
        <f>SUM(C86:C89)</f>
        <v>23000</v>
      </c>
      <c r="D90" s="55"/>
      <c r="E90" s="54" t="s">
        <v>2453</v>
      </c>
      <c r="F90" s="56">
        <f t="shared" ref="F90:M90" si="42">SUM(F86:F89)</f>
        <v>100000</v>
      </c>
      <c r="G90" s="56">
        <f t="shared" si="42"/>
        <v>0</v>
      </c>
      <c r="H90" s="56">
        <f t="shared" si="42"/>
        <v>0</v>
      </c>
      <c r="I90" s="56">
        <f t="shared" si="42"/>
        <v>0</v>
      </c>
      <c r="J90" s="56">
        <f t="shared" si="42"/>
        <v>0</v>
      </c>
      <c r="K90" s="56">
        <f t="shared" si="42"/>
        <v>0</v>
      </c>
      <c r="L90" s="56">
        <f t="shared" si="42"/>
        <v>0</v>
      </c>
      <c r="M90" s="56">
        <f t="shared" si="42"/>
        <v>0</v>
      </c>
      <c r="N90" s="56">
        <f t="shared" ref="N90:O90" si="43">SUM(N86:N89)</f>
        <v>0</v>
      </c>
      <c r="O90" s="56">
        <f t="shared" si="43"/>
        <v>0</v>
      </c>
      <c r="P90" s="213">
        <f t="shared" ref="P90" si="44">SUM(P86:P89)</f>
        <v>0</v>
      </c>
      <c r="Q90" s="23"/>
      <c r="R90" s="23"/>
      <c r="S90" s="23"/>
      <c r="T90" s="23"/>
      <c r="U90" s="23"/>
      <c r="V90" s="23"/>
      <c r="W90" s="23"/>
      <c r="X90" s="23"/>
      <c r="Y90" s="23"/>
    </row>
    <row r="91" spans="1:25" ht="13.5" thickBot="1" x14ac:dyDescent="0.25">
      <c r="A91" s="1603"/>
      <c r="B91" s="27"/>
      <c r="C91" s="27"/>
      <c r="D91" s="38"/>
      <c r="E91" s="67"/>
      <c r="F91" s="27"/>
      <c r="G91" s="27"/>
      <c r="H91" s="27"/>
      <c r="I91" s="27"/>
      <c r="J91" s="27"/>
      <c r="K91" s="27"/>
      <c r="L91" s="27"/>
      <c r="M91" s="27"/>
      <c r="N91" s="27"/>
      <c r="O91" s="27"/>
      <c r="P91" s="39"/>
    </row>
    <row r="92" spans="1:25" ht="14.25" thickTop="1" thickBot="1" x14ac:dyDescent="0.25">
      <c r="A92" s="22"/>
      <c r="B92" s="22"/>
      <c r="C92" s="22"/>
      <c r="D92" s="22"/>
      <c r="E92" s="52"/>
      <c r="F92" s="22"/>
      <c r="G92" s="22"/>
      <c r="H92" s="22"/>
      <c r="I92" s="22"/>
      <c r="J92" s="22"/>
      <c r="K92" s="22"/>
      <c r="L92" s="22"/>
      <c r="M92" s="22"/>
      <c r="N92" s="22"/>
      <c r="O92" s="22"/>
      <c r="P92" s="22"/>
    </row>
    <row r="93" spans="1:25" ht="18.75" customHeight="1" thickTop="1" thickBot="1" x14ac:dyDescent="0.25">
      <c r="A93" s="2982" t="s">
        <v>7044</v>
      </c>
      <c r="B93" s="2983"/>
      <c r="C93" s="2983"/>
      <c r="D93" s="2983"/>
      <c r="E93" s="2983"/>
      <c r="F93" s="2983"/>
      <c r="G93" s="2983"/>
      <c r="H93" s="2983"/>
      <c r="I93" s="2983"/>
      <c r="J93" s="2983"/>
      <c r="K93" s="2983"/>
      <c r="L93" s="2983"/>
      <c r="M93" s="2983"/>
      <c r="N93" s="2983"/>
      <c r="O93" s="2983"/>
      <c r="P93" s="2984"/>
    </row>
    <row r="94" spans="1:25" s="44" customFormat="1" x14ac:dyDescent="0.2">
      <c r="A94" s="2546" t="s">
        <v>1856</v>
      </c>
      <c r="B94" s="2547"/>
      <c r="C94" s="2150" t="s">
        <v>2253</v>
      </c>
      <c r="D94" s="2542" t="s">
        <v>2251</v>
      </c>
      <c r="E94" s="2543"/>
      <c r="F94" s="2885" t="s">
        <v>2253</v>
      </c>
      <c r="G94" s="2886"/>
      <c r="H94" s="2886"/>
      <c r="I94" s="2886"/>
      <c r="J94" s="2886"/>
      <c r="K94" s="2886"/>
      <c r="L94" s="2886"/>
      <c r="M94" s="2886"/>
      <c r="N94" s="2886"/>
      <c r="O94" s="2886"/>
      <c r="P94" s="2887"/>
    </row>
    <row r="95" spans="1:25" ht="13.5" thickBot="1" x14ac:dyDescent="0.25">
      <c r="A95" s="1496" t="str">
        <f>$A$3</f>
        <v>2013/14</v>
      </c>
      <c r="B95" s="218" t="str">
        <f>$B$3</f>
        <v>2014/15</v>
      </c>
      <c r="C95" s="703" t="str">
        <f>C$3</f>
        <v>2015/16</v>
      </c>
      <c r="D95" s="89"/>
      <c r="E95" s="42"/>
      <c r="F95" s="47" t="str">
        <f t="shared" ref="F95:P95" si="45">F$3</f>
        <v>2016/17</v>
      </c>
      <c r="G95" s="47" t="str">
        <f t="shared" si="45"/>
        <v>2017/18</v>
      </c>
      <c r="H95" s="47" t="str">
        <f t="shared" si="45"/>
        <v>2018/19</v>
      </c>
      <c r="I95" s="47" t="str">
        <f t="shared" si="45"/>
        <v>2019/20</v>
      </c>
      <c r="J95" s="47" t="str">
        <f t="shared" si="45"/>
        <v>2020/21</v>
      </c>
      <c r="K95" s="47" t="str">
        <f t="shared" si="45"/>
        <v>2021/22</v>
      </c>
      <c r="L95" s="47" t="str">
        <f t="shared" si="45"/>
        <v>2022/23</v>
      </c>
      <c r="M95" s="47" t="str">
        <f t="shared" si="45"/>
        <v>2023/24</v>
      </c>
      <c r="N95" s="219" t="str">
        <f t="shared" si="45"/>
        <v>2024/25</v>
      </c>
      <c r="O95" s="219" t="str">
        <f t="shared" si="45"/>
        <v>2025/26</v>
      </c>
      <c r="P95" s="220" t="str">
        <f t="shared" si="45"/>
        <v>2026/27</v>
      </c>
    </row>
    <row r="96" spans="1:25" x14ac:dyDescent="0.2">
      <c r="A96" s="50"/>
      <c r="B96" s="21"/>
      <c r="C96" s="21"/>
      <c r="D96" s="22"/>
      <c r="E96" s="35"/>
      <c r="F96" s="21"/>
      <c r="G96" s="21"/>
      <c r="H96" s="21"/>
      <c r="I96" s="21"/>
      <c r="J96" s="21"/>
      <c r="K96" s="21"/>
      <c r="L96" s="21"/>
      <c r="M96" s="21"/>
      <c r="N96" s="21"/>
      <c r="O96" s="21"/>
      <c r="P96" s="31"/>
    </row>
    <row r="97" spans="1:16" x14ac:dyDescent="0.2">
      <c r="A97" s="50"/>
      <c r="B97" s="21"/>
      <c r="C97" s="21"/>
      <c r="D97" s="58" t="s">
        <v>4508</v>
      </c>
      <c r="E97" s="22"/>
      <c r="F97" s="21"/>
      <c r="G97" s="21"/>
      <c r="H97" s="21"/>
      <c r="I97" s="21"/>
      <c r="J97" s="21"/>
      <c r="K97" s="21"/>
      <c r="L97" s="21"/>
      <c r="M97" s="21"/>
      <c r="N97" s="21"/>
      <c r="O97" s="21"/>
      <c r="P97" s="31"/>
    </row>
    <row r="98" spans="1:16" x14ac:dyDescent="0.2">
      <c r="A98" s="50"/>
      <c r="B98" s="21"/>
      <c r="C98" s="21"/>
      <c r="D98" s="35"/>
      <c r="E98" s="22"/>
      <c r="F98" s="21"/>
      <c r="G98" s="21"/>
      <c r="H98" s="21"/>
      <c r="I98" s="21"/>
      <c r="J98" s="21"/>
      <c r="K98" s="21"/>
      <c r="L98" s="21"/>
      <c r="M98" s="21"/>
      <c r="N98" s="21"/>
      <c r="O98" s="21"/>
      <c r="P98" s="31"/>
    </row>
    <row r="99" spans="1:16" x14ac:dyDescent="0.2">
      <c r="A99" s="50"/>
      <c r="B99" s="21"/>
      <c r="C99" s="21"/>
      <c r="D99" s="58" t="s">
        <v>697</v>
      </c>
      <c r="E99" s="22"/>
      <c r="F99" s="21"/>
      <c r="G99" s="21"/>
      <c r="H99" s="21"/>
      <c r="I99" s="21"/>
      <c r="J99" s="21"/>
      <c r="K99" s="21"/>
      <c r="L99" s="21"/>
      <c r="M99" s="21"/>
      <c r="N99" s="21"/>
      <c r="O99" s="21"/>
      <c r="P99" s="31"/>
    </row>
    <row r="100" spans="1:16" x14ac:dyDescent="0.2">
      <c r="A100" s="50">
        <f>A6</f>
        <v>10689100</v>
      </c>
      <c r="B100" s="21">
        <f>B6</f>
        <v>10892500</v>
      </c>
      <c r="C100" s="21">
        <f>C6</f>
        <v>11199100</v>
      </c>
      <c r="D100" s="210" t="s">
        <v>2264</v>
      </c>
      <c r="E100" s="22"/>
      <c r="F100" s="21">
        <f t="shared" ref="F100:O100" si="46">F6</f>
        <v>11913600</v>
      </c>
      <c r="G100" s="21">
        <f t="shared" si="46"/>
        <v>12154300</v>
      </c>
      <c r="H100" s="21">
        <f t="shared" si="46"/>
        <v>12435300</v>
      </c>
      <c r="I100" s="21">
        <f t="shared" si="46"/>
        <v>12705200</v>
      </c>
      <c r="J100" s="21">
        <f t="shared" si="46"/>
        <v>13171700</v>
      </c>
      <c r="K100" s="21">
        <f t="shared" si="46"/>
        <v>13706300</v>
      </c>
      <c r="L100" s="21">
        <f t="shared" si="46"/>
        <v>14146300</v>
      </c>
      <c r="M100" s="21">
        <f t="shared" si="46"/>
        <v>14654900</v>
      </c>
      <c r="N100" s="21">
        <f t="shared" si="46"/>
        <v>15212700</v>
      </c>
      <c r="O100" s="21">
        <f t="shared" si="46"/>
        <v>15802300</v>
      </c>
      <c r="P100" s="31">
        <f t="shared" ref="P100" si="47">P6</f>
        <v>16499100</v>
      </c>
    </row>
    <row r="101" spans="1:16" x14ac:dyDescent="0.2">
      <c r="A101" s="50">
        <f>A7+A10</f>
        <v>11000600</v>
      </c>
      <c r="B101" s="21">
        <f>B7+B10</f>
        <v>10796400</v>
      </c>
      <c r="C101" s="21">
        <f>C7+C10</f>
        <v>10811900</v>
      </c>
      <c r="D101" s="210" t="s">
        <v>2265</v>
      </c>
      <c r="E101" s="22"/>
      <c r="F101" s="21">
        <f t="shared" ref="F101:O101" si="48">F7+F10</f>
        <v>11269600</v>
      </c>
      <c r="G101" s="21">
        <f t="shared" si="48"/>
        <v>11190400</v>
      </c>
      <c r="H101" s="21">
        <f t="shared" si="48"/>
        <v>11506300</v>
      </c>
      <c r="I101" s="21">
        <f t="shared" si="48"/>
        <v>11749400</v>
      </c>
      <c r="J101" s="21">
        <f t="shared" si="48"/>
        <v>12039500</v>
      </c>
      <c r="K101" s="21">
        <f t="shared" si="48"/>
        <v>12348400</v>
      </c>
      <c r="L101" s="21">
        <f t="shared" si="48"/>
        <v>12715100</v>
      </c>
      <c r="M101" s="21">
        <f t="shared" si="48"/>
        <v>12989900</v>
      </c>
      <c r="N101" s="21">
        <f t="shared" si="48"/>
        <v>13323800</v>
      </c>
      <c r="O101" s="21">
        <f t="shared" si="48"/>
        <v>13666400</v>
      </c>
      <c r="P101" s="31">
        <f t="shared" ref="P101" si="49">P7+P10</f>
        <v>14018500</v>
      </c>
    </row>
    <row r="102" spans="1:16" s="40" customFormat="1" x14ac:dyDescent="0.2">
      <c r="A102" s="212">
        <f>A100-A101</f>
        <v>-311500</v>
      </c>
      <c r="B102" s="82">
        <f>B100-B101</f>
        <v>96100</v>
      </c>
      <c r="C102" s="82">
        <f>C100-C101</f>
        <v>387200</v>
      </c>
      <c r="D102" s="58" t="s">
        <v>2185</v>
      </c>
      <c r="E102" s="58"/>
      <c r="F102" s="82">
        <f t="shared" ref="F102:K102" si="50">F100-F101</f>
        <v>644000</v>
      </c>
      <c r="G102" s="82">
        <f t="shared" si="50"/>
        <v>963900</v>
      </c>
      <c r="H102" s="82">
        <f t="shared" si="50"/>
        <v>929000</v>
      </c>
      <c r="I102" s="82">
        <f t="shared" si="50"/>
        <v>955800</v>
      </c>
      <c r="J102" s="82">
        <f t="shared" si="50"/>
        <v>1132200</v>
      </c>
      <c r="K102" s="82">
        <f t="shared" si="50"/>
        <v>1357900</v>
      </c>
      <c r="L102" s="82">
        <f>L100-L101</f>
        <v>1431200</v>
      </c>
      <c r="M102" s="82">
        <f>M100-M101</f>
        <v>1665000</v>
      </c>
      <c r="N102" s="82">
        <f>N100-N101</f>
        <v>1888900</v>
      </c>
      <c r="O102" s="82">
        <f>O100-O101</f>
        <v>2135900</v>
      </c>
      <c r="P102" s="72">
        <f>P100-P101</f>
        <v>2480600</v>
      </c>
    </row>
    <row r="103" spans="1:16" x14ac:dyDescent="0.2">
      <c r="A103" s="50">
        <v>0</v>
      </c>
      <c r="B103" s="21">
        <v>0</v>
      </c>
      <c r="C103" s="21">
        <v>0</v>
      </c>
      <c r="D103" s="210" t="s">
        <v>2186</v>
      </c>
      <c r="E103" s="22"/>
      <c r="F103" s="21">
        <v>0</v>
      </c>
      <c r="G103" s="21">
        <v>0</v>
      </c>
      <c r="H103" s="21">
        <v>0</v>
      </c>
      <c r="I103" s="21">
        <v>0</v>
      </c>
      <c r="J103" s="21">
        <v>0</v>
      </c>
      <c r="K103" s="21">
        <v>0</v>
      </c>
      <c r="L103" s="21">
        <v>0</v>
      </c>
      <c r="M103" s="21">
        <v>0</v>
      </c>
      <c r="N103" s="21">
        <v>0</v>
      </c>
      <c r="O103" s="21">
        <v>0</v>
      </c>
      <c r="P103" s="31">
        <v>0</v>
      </c>
    </row>
    <row r="104" spans="1:16" s="40" customFormat="1" x14ac:dyDescent="0.2">
      <c r="A104" s="212">
        <f>A102+A103</f>
        <v>-311500</v>
      </c>
      <c r="B104" s="82">
        <f>B102+B103</f>
        <v>96100</v>
      </c>
      <c r="C104" s="82">
        <f>C102+C103</f>
        <v>387200</v>
      </c>
      <c r="D104" s="58" t="s">
        <v>1019</v>
      </c>
      <c r="E104" s="58"/>
      <c r="F104" s="82">
        <f t="shared" ref="F104:K104" si="51">F102+F103</f>
        <v>644000</v>
      </c>
      <c r="G104" s="82">
        <f t="shared" si="51"/>
        <v>963900</v>
      </c>
      <c r="H104" s="82">
        <f t="shared" si="51"/>
        <v>929000</v>
      </c>
      <c r="I104" s="82">
        <f t="shared" si="51"/>
        <v>955800</v>
      </c>
      <c r="J104" s="82">
        <f t="shared" si="51"/>
        <v>1132200</v>
      </c>
      <c r="K104" s="82">
        <f t="shared" si="51"/>
        <v>1357900</v>
      </c>
      <c r="L104" s="82">
        <f>L102+L103</f>
        <v>1431200</v>
      </c>
      <c r="M104" s="82">
        <f>M102+M103</f>
        <v>1665000</v>
      </c>
      <c r="N104" s="82">
        <f>N102+N103</f>
        <v>1888900</v>
      </c>
      <c r="O104" s="82">
        <f>O102+O103</f>
        <v>2135900</v>
      </c>
      <c r="P104" s="72">
        <f>P102+P103</f>
        <v>2480600</v>
      </c>
    </row>
    <row r="105" spans="1:16" x14ac:dyDescent="0.2">
      <c r="A105" s="50">
        <f>A10</f>
        <v>1859500</v>
      </c>
      <c r="B105" s="21">
        <f>B10</f>
        <v>1478700</v>
      </c>
      <c r="C105" s="21">
        <f>C10</f>
        <v>1498900</v>
      </c>
      <c r="D105" s="210" t="s">
        <v>2808</v>
      </c>
      <c r="E105" s="22"/>
      <c r="F105" s="21">
        <f t="shared" ref="F105:O105" si="52">F10</f>
        <v>1428000</v>
      </c>
      <c r="G105" s="21">
        <f t="shared" si="52"/>
        <v>1380000</v>
      </c>
      <c r="H105" s="21">
        <f t="shared" si="52"/>
        <v>1407600</v>
      </c>
      <c r="I105" s="21">
        <f t="shared" si="52"/>
        <v>1435800</v>
      </c>
      <c r="J105" s="21">
        <f t="shared" si="52"/>
        <v>1464600</v>
      </c>
      <c r="K105" s="21">
        <f t="shared" si="52"/>
        <v>1493900</v>
      </c>
      <c r="L105" s="21">
        <f t="shared" si="52"/>
        <v>1523800</v>
      </c>
      <c r="M105" s="21">
        <f t="shared" si="52"/>
        <v>1554300</v>
      </c>
      <c r="N105" s="21">
        <f t="shared" si="52"/>
        <v>1585400</v>
      </c>
      <c r="O105" s="21">
        <f t="shared" si="52"/>
        <v>1617200</v>
      </c>
      <c r="P105" s="31">
        <f t="shared" ref="P105" si="53">P10</f>
        <v>1649600</v>
      </c>
    </row>
    <row r="106" spans="1:16" s="40" customFormat="1" x14ac:dyDescent="0.2">
      <c r="A106" s="212">
        <f>A104+A105</f>
        <v>1548000</v>
      </c>
      <c r="B106" s="82">
        <f>B104+B105</f>
        <v>1574800</v>
      </c>
      <c r="C106" s="82">
        <f>C104+C105</f>
        <v>1886100</v>
      </c>
      <c r="D106" s="58" t="s">
        <v>2203</v>
      </c>
      <c r="E106" s="58"/>
      <c r="F106" s="82">
        <f t="shared" ref="F106:K106" si="54">F104+F105</f>
        <v>2072000</v>
      </c>
      <c r="G106" s="82">
        <f t="shared" si="54"/>
        <v>2343900</v>
      </c>
      <c r="H106" s="82">
        <f t="shared" si="54"/>
        <v>2336600</v>
      </c>
      <c r="I106" s="82">
        <f t="shared" si="54"/>
        <v>2391600</v>
      </c>
      <c r="J106" s="82">
        <f t="shared" si="54"/>
        <v>2596800</v>
      </c>
      <c r="K106" s="82">
        <f t="shared" si="54"/>
        <v>2851800</v>
      </c>
      <c r="L106" s="82">
        <f>L104+L105</f>
        <v>2955000</v>
      </c>
      <c r="M106" s="82">
        <f>M104+M105</f>
        <v>3219300</v>
      </c>
      <c r="N106" s="82">
        <f>N104+N105</f>
        <v>3474300</v>
      </c>
      <c r="O106" s="82">
        <f>O104+O105</f>
        <v>3753100</v>
      </c>
      <c r="P106" s="72">
        <f>P104+P105</f>
        <v>4130200</v>
      </c>
    </row>
    <row r="107" spans="1:16" x14ac:dyDescent="0.2">
      <c r="A107" s="50"/>
      <c r="B107" s="21"/>
      <c r="C107" s="21"/>
      <c r="D107" s="22"/>
      <c r="E107" s="210"/>
      <c r="F107" s="21"/>
      <c r="G107" s="21"/>
      <c r="H107" s="21"/>
      <c r="I107" s="21"/>
      <c r="J107" s="21"/>
      <c r="K107" s="21"/>
      <c r="L107" s="21"/>
      <c r="M107" s="21"/>
      <c r="N107" s="21"/>
      <c r="O107" s="21"/>
      <c r="P107" s="31"/>
    </row>
    <row r="108" spans="1:16" x14ac:dyDescent="0.2">
      <c r="A108" s="50"/>
      <c r="B108" s="21"/>
      <c r="C108" s="21"/>
      <c r="D108" s="58" t="s">
        <v>2353</v>
      </c>
      <c r="E108" s="22"/>
      <c r="F108" s="21"/>
      <c r="G108" s="21"/>
      <c r="H108" s="21"/>
      <c r="I108" s="21"/>
      <c r="J108" s="21"/>
      <c r="K108" s="21"/>
      <c r="L108" s="21"/>
      <c r="M108" s="21"/>
      <c r="N108" s="21"/>
      <c r="O108" s="21"/>
      <c r="P108" s="31"/>
    </row>
    <row r="109" spans="1:16" x14ac:dyDescent="0.2">
      <c r="A109" s="50"/>
      <c r="B109" s="21"/>
      <c r="C109" s="21"/>
      <c r="D109" s="210"/>
      <c r="E109" s="22"/>
      <c r="F109" s="21"/>
      <c r="G109" s="21"/>
      <c r="H109" s="21"/>
      <c r="I109" s="21"/>
      <c r="J109" s="21"/>
      <c r="K109" s="21"/>
      <c r="L109" s="21"/>
      <c r="M109" s="21"/>
      <c r="N109" s="21"/>
      <c r="O109" s="21"/>
      <c r="P109" s="31"/>
    </row>
    <row r="110" spans="1:16" x14ac:dyDescent="0.2">
      <c r="A110" s="50"/>
      <c r="B110" s="21"/>
      <c r="C110" s="21"/>
      <c r="D110" s="58" t="s">
        <v>1897</v>
      </c>
      <c r="E110" s="22"/>
      <c r="F110" s="21"/>
      <c r="G110" s="21"/>
      <c r="H110" s="21"/>
      <c r="I110" s="21"/>
      <c r="J110" s="21"/>
      <c r="K110" s="21"/>
      <c r="L110" s="21"/>
      <c r="M110" s="21"/>
      <c r="N110" s="21"/>
      <c r="O110" s="21"/>
      <c r="P110" s="31"/>
    </row>
    <row r="111" spans="1:16" x14ac:dyDescent="0.2">
      <c r="A111" s="50"/>
      <c r="B111" s="21"/>
      <c r="C111" s="21"/>
      <c r="D111" s="210" t="s">
        <v>2938</v>
      </c>
      <c r="E111" s="22"/>
      <c r="F111" s="21"/>
      <c r="G111" s="21"/>
      <c r="H111" s="21"/>
      <c r="I111" s="21"/>
      <c r="J111" s="21"/>
      <c r="K111" s="21"/>
      <c r="L111" s="21"/>
      <c r="M111" s="21"/>
      <c r="N111" s="21"/>
      <c r="O111" s="21"/>
      <c r="P111" s="31"/>
    </row>
    <row r="112" spans="1:16" x14ac:dyDescent="0.2">
      <c r="A112" s="107"/>
      <c r="B112" s="33"/>
      <c r="C112" s="21"/>
      <c r="D112" s="210" t="s">
        <v>1374</v>
      </c>
      <c r="E112" s="22"/>
      <c r="F112" s="21"/>
      <c r="G112" s="21"/>
      <c r="H112" s="21"/>
      <c r="I112" s="21"/>
      <c r="J112" s="21"/>
      <c r="K112" s="21"/>
      <c r="L112" s="21"/>
      <c r="M112" s="21"/>
      <c r="N112" s="21"/>
      <c r="O112" s="21"/>
      <c r="P112" s="31"/>
    </row>
    <row r="113" spans="1:16" x14ac:dyDescent="0.2">
      <c r="A113" s="50">
        <f t="shared" ref="A113:C114" si="55">-A40</f>
        <v>1827100</v>
      </c>
      <c r="B113" s="21">
        <f t="shared" si="55"/>
        <v>2821700</v>
      </c>
      <c r="C113" s="21">
        <f t="shared" si="55"/>
        <v>1427000</v>
      </c>
      <c r="D113" s="210" t="s">
        <v>1896</v>
      </c>
      <c r="E113" s="22"/>
      <c r="F113" s="21">
        <f t="shared" ref="F113:O113" si="56">-F40</f>
        <v>3524000</v>
      </c>
      <c r="G113" s="21">
        <f t="shared" si="56"/>
        <v>3404000</v>
      </c>
      <c r="H113" s="21">
        <f t="shared" si="56"/>
        <v>3980000</v>
      </c>
      <c r="I113" s="21">
        <f t="shared" si="56"/>
        <v>3636000</v>
      </c>
      <c r="J113" s="21">
        <f t="shared" si="56"/>
        <v>2261000</v>
      </c>
      <c r="K113" s="21">
        <f t="shared" si="56"/>
        <v>5942400</v>
      </c>
      <c r="L113" s="21">
        <f t="shared" si="56"/>
        <v>4638000</v>
      </c>
      <c r="M113" s="21">
        <f t="shared" si="56"/>
        <v>4098000</v>
      </c>
      <c r="N113" s="21">
        <f t="shared" si="56"/>
        <v>4095000</v>
      </c>
      <c r="O113" s="21">
        <f t="shared" si="56"/>
        <v>1909000</v>
      </c>
      <c r="P113" s="31">
        <f t="shared" ref="P113" si="57">-P40</f>
        <v>1751000</v>
      </c>
    </row>
    <row r="114" spans="1:16" x14ac:dyDescent="0.2">
      <c r="A114" s="50">
        <f t="shared" si="55"/>
        <v>0</v>
      </c>
      <c r="B114" s="21">
        <f t="shared" si="55"/>
        <v>0</v>
      </c>
      <c r="C114" s="21">
        <f t="shared" si="55"/>
        <v>0</v>
      </c>
      <c r="D114" s="210" t="s">
        <v>1485</v>
      </c>
      <c r="E114" s="22"/>
      <c r="F114" s="21">
        <f t="shared" ref="F114:O114" si="58">-F41</f>
        <v>0</v>
      </c>
      <c r="G114" s="21">
        <f t="shared" si="58"/>
        <v>0</v>
      </c>
      <c r="H114" s="21">
        <f t="shared" si="58"/>
        <v>0</v>
      </c>
      <c r="I114" s="21">
        <f t="shared" si="58"/>
        <v>0</v>
      </c>
      <c r="J114" s="21">
        <f t="shared" si="58"/>
        <v>0</v>
      </c>
      <c r="K114" s="21">
        <f t="shared" si="58"/>
        <v>0</v>
      </c>
      <c r="L114" s="21">
        <f t="shared" si="58"/>
        <v>0</v>
      </c>
      <c r="M114" s="21">
        <f t="shared" si="58"/>
        <v>0</v>
      </c>
      <c r="N114" s="21">
        <f t="shared" si="58"/>
        <v>0</v>
      </c>
      <c r="O114" s="21">
        <f t="shared" si="58"/>
        <v>0</v>
      </c>
      <c r="P114" s="31">
        <f t="shared" ref="P114" si="59">-P41</f>
        <v>0</v>
      </c>
    </row>
    <row r="115" spans="1:16" s="40" customFormat="1" x14ac:dyDescent="0.2">
      <c r="A115" s="212">
        <f>SUM(A110:A114)</f>
        <v>1827100</v>
      </c>
      <c r="B115" s="82">
        <f>SUM(B110:B114)</f>
        <v>2821700</v>
      </c>
      <c r="C115" s="82">
        <f>SUM(C110:C114)</f>
        <v>1427000</v>
      </c>
      <c r="D115" s="58" t="s">
        <v>1530</v>
      </c>
      <c r="E115" s="58"/>
      <c r="F115" s="82">
        <f t="shared" ref="F115:O115" si="60">SUM(F110:F114)</f>
        <v>3524000</v>
      </c>
      <c r="G115" s="82">
        <f t="shared" si="60"/>
        <v>3404000</v>
      </c>
      <c r="H115" s="82">
        <f t="shared" si="60"/>
        <v>3980000</v>
      </c>
      <c r="I115" s="82">
        <f t="shared" si="60"/>
        <v>3636000</v>
      </c>
      <c r="J115" s="82">
        <f t="shared" si="60"/>
        <v>2261000</v>
      </c>
      <c r="K115" s="82">
        <f t="shared" si="60"/>
        <v>5942400</v>
      </c>
      <c r="L115" s="82">
        <f t="shared" si="60"/>
        <v>4638000</v>
      </c>
      <c r="M115" s="82">
        <f t="shared" si="60"/>
        <v>4098000</v>
      </c>
      <c r="N115" s="82">
        <f t="shared" si="60"/>
        <v>4095000</v>
      </c>
      <c r="O115" s="82">
        <f t="shared" si="60"/>
        <v>1909000</v>
      </c>
      <c r="P115" s="72">
        <f t="shared" ref="P115" si="61">SUM(P110:P114)</f>
        <v>1751000</v>
      </c>
    </row>
    <row r="116" spans="1:16" x14ac:dyDescent="0.2">
      <c r="A116" s="50"/>
      <c r="B116" s="21"/>
      <c r="C116" s="21"/>
      <c r="D116" s="22"/>
      <c r="E116" s="210"/>
      <c r="F116" s="21"/>
      <c r="G116" s="21"/>
      <c r="H116" s="21"/>
      <c r="I116" s="21"/>
      <c r="J116" s="21"/>
      <c r="K116" s="21"/>
      <c r="L116" s="21"/>
      <c r="M116" s="21"/>
      <c r="N116" s="21"/>
      <c r="O116" s="21"/>
      <c r="P116" s="31"/>
    </row>
    <row r="117" spans="1:16" x14ac:dyDescent="0.2">
      <c r="A117" s="50"/>
      <c r="B117" s="21"/>
      <c r="C117" s="21"/>
      <c r="D117" s="58" t="s">
        <v>891</v>
      </c>
      <c r="E117" s="22"/>
      <c r="F117" s="21"/>
      <c r="G117" s="21"/>
      <c r="H117" s="21"/>
      <c r="I117" s="21"/>
      <c r="J117" s="21"/>
      <c r="K117" s="21"/>
      <c r="L117" s="21"/>
      <c r="M117" s="21"/>
      <c r="N117" s="21"/>
      <c r="O117" s="21"/>
      <c r="P117" s="31"/>
    </row>
    <row r="118" spans="1:16" x14ac:dyDescent="0.2">
      <c r="A118" s="50">
        <f>A8</f>
        <v>1548000</v>
      </c>
      <c r="B118" s="21">
        <f>B8</f>
        <v>1574800</v>
      </c>
      <c r="C118" s="21">
        <f>C8</f>
        <v>1886100</v>
      </c>
      <c r="D118" s="210" t="str">
        <f>D106</f>
        <v>Net Increase in Cash from Operations</v>
      </c>
      <c r="E118" s="22"/>
      <c r="F118" s="21">
        <f t="shared" ref="F118:O118" si="62">F8</f>
        <v>2072000</v>
      </c>
      <c r="G118" s="21">
        <f t="shared" si="62"/>
        <v>2343900</v>
      </c>
      <c r="H118" s="21">
        <f t="shared" si="62"/>
        <v>2336600</v>
      </c>
      <c r="I118" s="21">
        <f t="shared" si="62"/>
        <v>2391600</v>
      </c>
      <c r="J118" s="21">
        <f t="shared" si="62"/>
        <v>2596800</v>
      </c>
      <c r="K118" s="21">
        <f t="shared" si="62"/>
        <v>2851800</v>
      </c>
      <c r="L118" s="21">
        <f t="shared" si="62"/>
        <v>2955000</v>
      </c>
      <c r="M118" s="21">
        <f t="shared" si="62"/>
        <v>3219300</v>
      </c>
      <c r="N118" s="21">
        <f t="shared" si="62"/>
        <v>3474300</v>
      </c>
      <c r="O118" s="21">
        <f t="shared" si="62"/>
        <v>3753100</v>
      </c>
      <c r="P118" s="31">
        <f t="shared" ref="P118" si="63">P8</f>
        <v>4130200</v>
      </c>
    </row>
    <row r="119" spans="1:16" x14ac:dyDescent="0.2">
      <c r="A119" s="50">
        <f>A35-A51</f>
        <v>-979100</v>
      </c>
      <c r="B119" s="21">
        <f>-B51+B35</f>
        <v>-702300</v>
      </c>
      <c r="C119" s="21">
        <f>-C51+C35</f>
        <v>-461000</v>
      </c>
      <c r="D119" s="35" t="s">
        <v>4515</v>
      </c>
      <c r="E119" s="22"/>
      <c r="F119" s="21">
        <f t="shared" ref="F119:O119" si="64">-F51+F35</f>
        <v>-288900</v>
      </c>
      <c r="G119" s="21">
        <f t="shared" si="64"/>
        <v>-49500</v>
      </c>
      <c r="H119" s="21">
        <f t="shared" si="64"/>
        <v>-1121200</v>
      </c>
      <c r="I119" s="21">
        <f t="shared" si="64"/>
        <v>-119300</v>
      </c>
      <c r="J119" s="21">
        <f t="shared" si="64"/>
        <v>-477600</v>
      </c>
      <c r="K119" s="21">
        <f t="shared" si="64"/>
        <v>1540600</v>
      </c>
      <c r="L119" s="21">
        <f t="shared" si="64"/>
        <v>-1445000</v>
      </c>
      <c r="M119" s="21">
        <f t="shared" si="64"/>
        <v>291600</v>
      </c>
      <c r="N119" s="21">
        <f t="shared" si="64"/>
        <v>-184400</v>
      </c>
      <c r="O119" s="21">
        <f t="shared" si="64"/>
        <v>-1842800</v>
      </c>
      <c r="P119" s="31">
        <f t="shared" ref="P119" si="65">-P51+P35</f>
        <v>-2352900</v>
      </c>
    </row>
    <row r="120" spans="1:16" x14ac:dyDescent="0.2">
      <c r="A120" s="50">
        <f>A34+A44+A45</f>
        <v>459200</v>
      </c>
      <c r="B120" s="21">
        <f>B34+B44+B45</f>
        <v>1157900</v>
      </c>
      <c r="C120" s="21">
        <f>C34+C44+C45</f>
        <v>-836000</v>
      </c>
      <c r="D120" s="210" t="s">
        <v>1161</v>
      </c>
      <c r="E120" s="22"/>
      <c r="F120" s="21">
        <f t="shared" ref="F120:O120" si="66">F34+F44+F45</f>
        <v>1130900</v>
      </c>
      <c r="G120" s="21">
        <f t="shared" si="66"/>
        <v>534600</v>
      </c>
      <c r="H120" s="21">
        <f t="shared" si="66"/>
        <v>2164600</v>
      </c>
      <c r="I120" s="21">
        <f t="shared" si="66"/>
        <v>743700</v>
      </c>
      <c r="J120" s="21">
        <f t="shared" si="66"/>
        <v>-498200</v>
      </c>
      <c r="K120" s="21">
        <f t="shared" si="66"/>
        <v>890000</v>
      </c>
      <c r="L120" s="21">
        <f t="shared" si="66"/>
        <v>2448000</v>
      </c>
      <c r="M120" s="21">
        <f t="shared" si="66"/>
        <v>-112900</v>
      </c>
      <c r="N120" s="21">
        <f t="shared" si="66"/>
        <v>85100</v>
      </c>
      <c r="O120" s="21">
        <f t="shared" si="66"/>
        <v>-741300</v>
      </c>
      <c r="P120" s="31">
        <f t="shared" ref="P120" si="67">P34+P44+P45</f>
        <v>-786300</v>
      </c>
    </row>
    <row r="121" spans="1:16" x14ac:dyDescent="0.2">
      <c r="A121" s="50">
        <f>A18+A17</f>
        <v>799000</v>
      </c>
      <c r="B121" s="21">
        <f>B18+B17</f>
        <v>791300</v>
      </c>
      <c r="C121" s="21">
        <f>C18+C17</f>
        <v>837900</v>
      </c>
      <c r="D121" s="210" t="s">
        <v>2718</v>
      </c>
      <c r="E121" s="22"/>
      <c r="F121" s="21">
        <f t="shared" ref="F121:O121" si="68">F18+F17</f>
        <v>610000</v>
      </c>
      <c r="G121" s="21">
        <f t="shared" si="68"/>
        <v>575000</v>
      </c>
      <c r="H121" s="21">
        <f t="shared" si="68"/>
        <v>600000</v>
      </c>
      <c r="I121" s="21">
        <f t="shared" si="68"/>
        <v>620000</v>
      </c>
      <c r="J121" s="21">
        <f t="shared" si="68"/>
        <v>640000</v>
      </c>
      <c r="K121" s="21">
        <f t="shared" si="68"/>
        <v>660000</v>
      </c>
      <c r="L121" s="21">
        <f t="shared" si="68"/>
        <v>680000</v>
      </c>
      <c r="M121" s="21">
        <f t="shared" si="68"/>
        <v>700000</v>
      </c>
      <c r="N121" s="21">
        <f t="shared" si="68"/>
        <v>720000</v>
      </c>
      <c r="O121" s="21">
        <f t="shared" si="68"/>
        <v>740000</v>
      </c>
      <c r="P121" s="31">
        <f t="shared" ref="P121" si="69">P18+P17</f>
        <v>760000</v>
      </c>
    </row>
    <row r="122" spans="1:16" x14ac:dyDescent="0.2">
      <c r="A122" s="50">
        <f>A37</f>
        <v>0</v>
      </c>
      <c r="B122" s="21">
        <f>B37</f>
        <v>0</v>
      </c>
      <c r="C122" s="21">
        <f>C37</f>
        <v>0</v>
      </c>
      <c r="D122" s="210" t="s">
        <v>272</v>
      </c>
      <c r="E122" s="22"/>
      <c r="F122" s="21">
        <f t="shared" ref="F122:O122" si="70">F37</f>
        <v>0</v>
      </c>
      <c r="G122" s="21">
        <f t="shared" si="70"/>
        <v>0</v>
      </c>
      <c r="H122" s="21">
        <f t="shared" si="70"/>
        <v>0</v>
      </c>
      <c r="I122" s="21">
        <f t="shared" si="70"/>
        <v>0</v>
      </c>
      <c r="J122" s="21">
        <f t="shared" si="70"/>
        <v>0</v>
      </c>
      <c r="K122" s="21">
        <f t="shared" si="70"/>
        <v>0</v>
      </c>
      <c r="L122" s="21">
        <f t="shared" si="70"/>
        <v>0</v>
      </c>
      <c r="M122" s="21">
        <f t="shared" si="70"/>
        <v>0</v>
      </c>
      <c r="N122" s="21">
        <f t="shared" si="70"/>
        <v>0</v>
      </c>
      <c r="O122" s="21">
        <f t="shared" si="70"/>
        <v>0</v>
      </c>
      <c r="P122" s="31">
        <f t="shared" ref="P122" si="71">P37</f>
        <v>0</v>
      </c>
    </row>
    <row r="123" spans="1:16" s="40" customFormat="1" x14ac:dyDescent="0.2">
      <c r="A123" s="212">
        <f>SUM(A118:A122)</f>
        <v>1827100</v>
      </c>
      <c r="B123" s="82">
        <f>SUM(B118:B122)</f>
        <v>2821700</v>
      </c>
      <c r="C123" s="82">
        <f>SUM(C118:C122)</f>
        <v>1427000</v>
      </c>
      <c r="D123" s="58" t="s">
        <v>1530</v>
      </c>
      <c r="E123" s="58"/>
      <c r="F123" s="82">
        <f t="shared" ref="F123:M123" si="72">SUM(F118:F122)</f>
        <v>3524000</v>
      </c>
      <c r="G123" s="82">
        <f t="shared" si="72"/>
        <v>3404000</v>
      </c>
      <c r="H123" s="82">
        <f t="shared" si="72"/>
        <v>3980000</v>
      </c>
      <c r="I123" s="82">
        <f t="shared" si="72"/>
        <v>3636000</v>
      </c>
      <c r="J123" s="82">
        <f t="shared" si="72"/>
        <v>2261000</v>
      </c>
      <c r="K123" s="82">
        <f t="shared" si="72"/>
        <v>5942400</v>
      </c>
      <c r="L123" s="82">
        <f t="shared" si="72"/>
        <v>4638000</v>
      </c>
      <c r="M123" s="82">
        <f t="shared" si="72"/>
        <v>4098000</v>
      </c>
      <c r="N123" s="82">
        <f t="shared" ref="N123:O123" si="73">SUM(N118:N122)</f>
        <v>4095000</v>
      </c>
      <c r="O123" s="82">
        <f t="shared" si="73"/>
        <v>1909000</v>
      </c>
      <c r="P123" s="72">
        <f t="shared" ref="P123" si="74">SUM(P118:P122)</f>
        <v>1751000</v>
      </c>
    </row>
    <row r="124" spans="1:16" x14ac:dyDescent="0.2">
      <c r="A124" s="50"/>
      <c r="B124" s="21"/>
      <c r="C124" s="21"/>
      <c r="D124" s="35"/>
      <c r="E124" s="22"/>
      <c r="F124" s="21"/>
      <c r="G124" s="21"/>
      <c r="H124" s="21"/>
      <c r="I124" s="21"/>
      <c r="J124" s="21"/>
      <c r="K124" s="21"/>
      <c r="L124" s="21"/>
      <c r="M124" s="21"/>
      <c r="N124" s="21"/>
      <c r="O124" s="21"/>
      <c r="P124" s="31"/>
    </row>
    <row r="125" spans="1:16" x14ac:dyDescent="0.2">
      <c r="A125" s="50">
        <f>A123-A115</f>
        <v>0</v>
      </c>
      <c r="B125" s="21">
        <f>B123-B115</f>
        <v>0</v>
      </c>
      <c r="C125" s="21">
        <f>C123-C115</f>
        <v>0</v>
      </c>
      <c r="D125" s="35" t="s">
        <v>1189</v>
      </c>
      <c r="E125" s="22"/>
      <c r="F125" s="21">
        <f t="shared" ref="F125:M125" si="75">F123-F115</f>
        <v>0</v>
      </c>
      <c r="G125" s="21">
        <f t="shared" si="75"/>
        <v>0</v>
      </c>
      <c r="H125" s="21">
        <f t="shared" si="75"/>
        <v>0</v>
      </c>
      <c r="I125" s="21">
        <f t="shared" si="75"/>
        <v>0</v>
      </c>
      <c r="J125" s="21">
        <f t="shared" si="75"/>
        <v>0</v>
      </c>
      <c r="K125" s="21">
        <f t="shared" si="75"/>
        <v>0</v>
      </c>
      <c r="L125" s="21">
        <f t="shared" si="75"/>
        <v>0</v>
      </c>
      <c r="M125" s="21">
        <f t="shared" si="75"/>
        <v>0</v>
      </c>
      <c r="N125" s="21">
        <f t="shared" ref="N125:O125" si="76">N123-N115</f>
        <v>0</v>
      </c>
      <c r="O125" s="21">
        <f t="shared" si="76"/>
        <v>0</v>
      </c>
      <c r="P125" s="31">
        <f t="shared" ref="P125" si="77">P123-P115</f>
        <v>0</v>
      </c>
    </row>
    <row r="126" spans="1:16" x14ac:dyDescent="0.2">
      <c r="A126" s="50"/>
      <c r="B126" s="21"/>
      <c r="C126" s="21"/>
      <c r="D126" s="22"/>
      <c r="E126" s="35"/>
      <c r="F126" s="21"/>
      <c r="G126" s="21"/>
      <c r="H126" s="21"/>
      <c r="I126" s="21"/>
      <c r="J126" s="21"/>
      <c r="K126" s="21"/>
      <c r="L126" s="21"/>
      <c r="M126" s="21"/>
      <c r="N126" s="21"/>
      <c r="O126" s="21"/>
      <c r="P126" s="31"/>
    </row>
    <row r="127" spans="1:16" ht="13.5" thickBot="1" x14ac:dyDescent="0.25">
      <c r="A127" s="1603"/>
      <c r="B127" s="27"/>
      <c r="C127" s="27"/>
      <c r="D127" s="38"/>
      <c r="E127" s="215"/>
      <c r="F127" s="27"/>
      <c r="G127" s="27"/>
      <c r="H127" s="27"/>
      <c r="I127" s="27"/>
      <c r="J127" s="27"/>
      <c r="K127" s="27"/>
      <c r="L127" s="27"/>
      <c r="M127" s="27"/>
      <c r="N127" s="27"/>
      <c r="O127" s="27"/>
      <c r="P127" s="39"/>
    </row>
    <row r="128" spans="1:16" ht="13.5" thickTop="1" x14ac:dyDescent="0.2">
      <c r="C128" s="23"/>
    </row>
    <row r="129" spans="3:3" x14ac:dyDescent="0.2">
      <c r="C129" s="23"/>
    </row>
    <row r="130" spans="3:3" x14ac:dyDescent="0.2">
      <c r="C130" s="23"/>
    </row>
    <row r="131" spans="3:3" x14ac:dyDescent="0.2">
      <c r="C131" s="23"/>
    </row>
    <row r="132" spans="3:3" x14ac:dyDescent="0.2">
      <c r="C132" s="23"/>
    </row>
    <row r="133" spans="3:3" x14ac:dyDescent="0.2">
      <c r="C133" s="23"/>
    </row>
  </sheetData>
  <mergeCells count="11">
    <mergeCell ref="A2:C2"/>
    <mergeCell ref="F2:P2"/>
    <mergeCell ref="A1:P1"/>
    <mergeCell ref="F80:P80"/>
    <mergeCell ref="A93:P93"/>
    <mergeCell ref="F94:P94"/>
    <mergeCell ref="A56:P56"/>
    <mergeCell ref="F57:P57"/>
    <mergeCell ref="A68:P68"/>
    <mergeCell ref="F69:P69"/>
    <mergeCell ref="A79:P79"/>
  </mergeCells>
  <phoneticPr fontId="9" type="noConversion"/>
  <printOptions horizontalCentered="1" verticalCentered="1"/>
  <pageMargins left="0" right="0.39370078740157483" top="0" bottom="0" header="0" footer="0"/>
  <pageSetup paperSize="9" scale="98" orientation="portrait" horizontalDpi="4294967292" verticalDpi="360"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V130"/>
  <sheetViews>
    <sheetView workbookViewId="0">
      <pane ySplit="2" topLeftCell="A15" activePane="bottomLeft" state="frozen"/>
      <selection pane="bottomLeft" activeCell="J38" sqref="J38"/>
    </sheetView>
  </sheetViews>
  <sheetFormatPr defaultRowHeight="12.75" x14ac:dyDescent="0.2"/>
  <cols>
    <col min="1" max="1" width="11.7109375" customWidth="1"/>
    <col min="2" max="2" width="10.85546875" customWidth="1"/>
    <col min="3" max="3" width="20.42578125" customWidth="1"/>
    <col min="4" max="5" width="10.28515625" customWidth="1"/>
    <col min="6" max="6" width="12.28515625" bestFit="1" customWidth="1"/>
    <col min="7" max="7" width="10.28515625" style="16" bestFit="1" customWidth="1"/>
    <col min="8" max="17" width="10.28515625" bestFit="1" customWidth="1"/>
  </cols>
  <sheetData>
    <row r="1" spans="1:19" ht="16.5" thickTop="1" x14ac:dyDescent="0.25">
      <c r="A1" s="2836" t="s">
        <v>821</v>
      </c>
      <c r="B1" s="2837"/>
      <c r="C1" s="2837"/>
      <c r="D1" s="2837"/>
      <c r="E1" s="2837"/>
      <c r="F1" s="2837"/>
      <c r="G1" s="2837"/>
      <c r="H1" s="2837"/>
      <c r="I1" s="2837"/>
      <c r="J1" s="2837"/>
      <c r="K1" s="2837"/>
      <c r="L1" s="2837"/>
      <c r="M1" s="2837"/>
      <c r="N1" s="2837"/>
      <c r="O1" s="2837"/>
      <c r="P1" s="2837"/>
      <c r="Q1" s="2838"/>
    </row>
    <row r="2" spans="1:19" s="2" customFormat="1" ht="13.5" thickBot="1" x14ac:dyDescent="0.25">
      <c r="A2" s="806" t="s">
        <v>1042</v>
      </c>
      <c r="B2" s="14"/>
      <c r="C2" s="14"/>
      <c r="D2" s="815" t="str">
        <f>SP!B54</f>
        <v>2013/14</v>
      </c>
      <c r="E2" s="5" t="str">
        <f>SP!C3</f>
        <v>2014/15</v>
      </c>
      <c r="F2" s="5" t="str">
        <f>SP!D3</f>
        <v>2015/16</v>
      </c>
      <c r="G2" s="2227" t="str">
        <f>SP!G3</f>
        <v>2016/17</v>
      </c>
      <c r="H2" s="5" t="str">
        <f>SP!I3</f>
        <v>2017/18</v>
      </c>
      <c r="I2" s="5" t="str">
        <f>SP!J3</f>
        <v>2018/19</v>
      </c>
      <c r="J2" s="5" t="str">
        <f>SP!K3</f>
        <v>2019/20</v>
      </c>
      <c r="K2" s="5" t="str">
        <f>SP!L3</f>
        <v>2020/21</v>
      </c>
      <c r="L2" s="5" t="str">
        <f>SP!M3</f>
        <v>2021/22</v>
      </c>
      <c r="M2" s="5" t="str">
        <f>SP!N3</f>
        <v>2022/23</v>
      </c>
      <c r="N2" s="5" t="str">
        <f>SP!O3</f>
        <v>2023/24</v>
      </c>
      <c r="O2" s="5" t="str">
        <f>SP!P3</f>
        <v>2024/25</v>
      </c>
      <c r="P2" s="5" t="str">
        <f>SP!Q3</f>
        <v>2025/26</v>
      </c>
      <c r="Q2" s="1622" t="str">
        <f>SP!R3</f>
        <v>2026/27</v>
      </c>
    </row>
    <row r="3" spans="1:19" x14ac:dyDescent="0.2">
      <c r="A3" s="469"/>
      <c r="B3" s="9"/>
      <c r="C3" s="9"/>
      <c r="D3" s="816"/>
      <c r="E3" s="817"/>
      <c r="F3" s="817"/>
      <c r="G3" s="2228"/>
      <c r="H3" s="817"/>
      <c r="I3" s="817"/>
      <c r="J3" s="817"/>
      <c r="K3" s="817"/>
      <c r="L3" s="817"/>
      <c r="M3" s="817"/>
      <c r="N3" s="817"/>
      <c r="O3" s="817"/>
      <c r="P3" s="817"/>
      <c r="Q3" s="1623"/>
    </row>
    <row r="4" spans="1:19" x14ac:dyDescent="0.2">
      <c r="A4" s="754" t="s">
        <v>2005</v>
      </c>
      <c r="B4" s="9"/>
      <c r="C4" s="9"/>
      <c r="D4" s="816"/>
      <c r="E4" s="817"/>
      <c r="F4" s="817"/>
      <c r="G4" s="2228"/>
      <c r="H4" s="817"/>
      <c r="I4" s="817"/>
      <c r="J4" s="817"/>
      <c r="K4" s="819"/>
      <c r="L4" s="819"/>
      <c r="M4" s="819"/>
      <c r="N4" s="817"/>
      <c r="O4" s="817"/>
      <c r="P4" s="817"/>
      <c r="Q4" s="1623"/>
    </row>
    <row r="5" spans="1:19" s="11" customFormat="1" x14ac:dyDescent="0.2">
      <c r="A5" s="807" t="s">
        <v>831</v>
      </c>
      <c r="B5" s="13"/>
      <c r="C5" s="13"/>
      <c r="D5" s="1421">
        <v>0.03</v>
      </c>
      <c r="E5" s="1237">
        <v>0.03</v>
      </c>
      <c r="F5" s="1237">
        <v>2.4E-2</v>
      </c>
      <c r="G5" s="2229">
        <v>0.02</v>
      </c>
      <c r="H5" s="1237">
        <v>1.4999999999999999E-2</v>
      </c>
      <c r="I5" s="1237">
        <v>2.5000000000000001E-2</v>
      </c>
      <c r="J5" s="1237">
        <f t="shared" ref="J5:Q5" si="0">I5</f>
        <v>2.5000000000000001E-2</v>
      </c>
      <c r="K5" s="1238">
        <f t="shared" si="0"/>
        <v>2.5000000000000001E-2</v>
      </c>
      <c r="L5" s="1238">
        <v>0.02</v>
      </c>
      <c r="M5" s="1238">
        <f t="shared" si="0"/>
        <v>0.02</v>
      </c>
      <c r="N5" s="1237">
        <f t="shared" si="0"/>
        <v>0.02</v>
      </c>
      <c r="O5" s="1237">
        <f t="shared" si="0"/>
        <v>0.02</v>
      </c>
      <c r="P5" s="1237">
        <f t="shared" si="0"/>
        <v>0.02</v>
      </c>
      <c r="Q5" s="1624">
        <f t="shared" si="0"/>
        <v>0.02</v>
      </c>
    </row>
    <row r="6" spans="1:19" s="11" customFormat="1" x14ac:dyDescent="0.2">
      <c r="A6" s="807" t="s">
        <v>3970</v>
      </c>
      <c r="B6" s="13"/>
      <c r="C6" s="13"/>
      <c r="D6" s="1421">
        <v>0.03</v>
      </c>
      <c r="E6" s="1237">
        <v>0.03</v>
      </c>
      <c r="F6" s="1237">
        <v>0.03</v>
      </c>
      <c r="G6" s="2229">
        <v>0.04</v>
      </c>
      <c r="H6" s="1237">
        <f>G6</f>
        <v>0.04</v>
      </c>
      <c r="I6" s="1237">
        <f t="shared" ref="I6:Q6" si="1">H6</f>
        <v>0.04</v>
      </c>
      <c r="J6" s="1237">
        <f t="shared" si="1"/>
        <v>0.04</v>
      </c>
      <c r="K6" s="1237">
        <f>K5</f>
        <v>2.5000000000000001E-2</v>
      </c>
      <c r="L6" s="1237">
        <f t="shared" si="1"/>
        <v>2.5000000000000001E-2</v>
      </c>
      <c r="M6" s="1237">
        <f t="shared" si="1"/>
        <v>2.5000000000000001E-2</v>
      </c>
      <c r="N6" s="1237">
        <f t="shared" si="1"/>
        <v>2.5000000000000001E-2</v>
      </c>
      <c r="O6" s="1237">
        <f t="shared" si="1"/>
        <v>2.5000000000000001E-2</v>
      </c>
      <c r="P6" s="1237">
        <f t="shared" si="1"/>
        <v>2.5000000000000001E-2</v>
      </c>
      <c r="Q6" s="1624">
        <f t="shared" si="1"/>
        <v>2.5000000000000001E-2</v>
      </c>
    </row>
    <row r="7" spans="1:19" s="1" customFormat="1" x14ac:dyDescent="0.2">
      <c r="A7" s="807" t="s">
        <v>3715</v>
      </c>
      <c r="B7" s="8"/>
      <c r="C7" s="8"/>
      <c r="D7" s="1421">
        <v>5.8999999999999997E-2</v>
      </c>
      <c r="E7" s="1237">
        <v>2.3E-2</v>
      </c>
      <c r="F7" s="1237">
        <v>5.4100000000000002E-2</v>
      </c>
      <c r="G7" s="2229">
        <v>5.3400000000000003E-2</v>
      </c>
      <c r="H7" s="1237">
        <v>1.4999999999999999E-2</v>
      </c>
      <c r="I7" s="1237">
        <f>I5</f>
        <v>2.5000000000000001E-2</v>
      </c>
      <c r="J7" s="1237">
        <f t="shared" ref="J7:Q7" si="2">I7</f>
        <v>2.5000000000000001E-2</v>
      </c>
      <c r="K7" s="1237">
        <f t="shared" si="2"/>
        <v>2.5000000000000001E-2</v>
      </c>
      <c r="L7" s="1237">
        <f t="shared" si="2"/>
        <v>2.5000000000000001E-2</v>
      </c>
      <c r="M7" s="1237">
        <f t="shared" si="2"/>
        <v>2.5000000000000001E-2</v>
      </c>
      <c r="N7" s="1237">
        <f t="shared" si="2"/>
        <v>2.5000000000000001E-2</v>
      </c>
      <c r="O7" s="1237">
        <f t="shared" si="2"/>
        <v>2.5000000000000001E-2</v>
      </c>
      <c r="P7" s="1237">
        <f t="shared" si="2"/>
        <v>2.5000000000000001E-2</v>
      </c>
      <c r="Q7" s="1624">
        <f t="shared" si="2"/>
        <v>2.5000000000000001E-2</v>
      </c>
    </row>
    <row r="8" spans="1:19" s="1" customFormat="1" x14ac:dyDescent="0.2">
      <c r="A8" s="807" t="s">
        <v>3714</v>
      </c>
      <c r="B8" s="8"/>
      <c r="C8" s="8"/>
      <c r="D8" s="1421">
        <v>5.0000000000000001E-3</v>
      </c>
      <c r="E8" s="1239">
        <v>5.0000000000000001E-3</v>
      </c>
      <c r="F8" s="1239">
        <f>E8</f>
        <v>5.0000000000000001E-3</v>
      </c>
      <c r="G8" s="1243">
        <f t="shared" ref="G8:L8" si="3">F8</f>
        <v>5.0000000000000001E-3</v>
      </c>
      <c r="H8" s="1239">
        <f>G8</f>
        <v>5.0000000000000001E-3</v>
      </c>
      <c r="I8" s="1239">
        <f t="shared" si="3"/>
        <v>5.0000000000000001E-3</v>
      </c>
      <c r="J8" s="1239">
        <f t="shared" si="3"/>
        <v>5.0000000000000001E-3</v>
      </c>
      <c r="K8" s="1240">
        <f t="shared" si="3"/>
        <v>5.0000000000000001E-3</v>
      </c>
      <c r="L8" s="1240">
        <f t="shared" si="3"/>
        <v>5.0000000000000001E-3</v>
      </c>
      <c r="M8" s="1240">
        <f>L8</f>
        <v>5.0000000000000001E-3</v>
      </c>
      <c r="N8" s="1239">
        <f>M8</f>
        <v>5.0000000000000001E-3</v>
      </c>
      <c r="O8" s="1239">
        <f>N8</f>
        <v>5.0000000000000001E-3</v>
      </c>
      <c r="P8" s="1239">
        <f>O8</f>
        <v>5.0000000000000001E-3</v>
      </c>
      <c r="Q8" s="1241">
        <f>P8</f>
        <v>5.0000000000000001E-3</v>
      </c>
    </row>
    <row r="9" spans="1:19" s="1" customFormat="1" x14ac:dyDescent="0.2">
      <c r="A9" s="807" t="s">
        <v>4466</v>
      </c>
      <c r="B9" s="8"/>
      <c r="C9" s="8"/>
      <c r="D9" s="1421">
        <v>0</v>
      </c>
      <c r="E9" s="1239">
        <v>0</v>
      </c>
      <c r="F9" s="1239">
        <v>0</v>
      </c>
      <c r="G9" s="1243">
        <v>0</v>
      </c>
      <c r="H9" s="1239">
        <v>3.4000000000000002E-2</v>
      </c>
      <c r="I9" s="1239">
        <v>3.4000000000000002E-2</v>
      </c>
      <c r="J9" s="1239">
        <f>I9</f>
        <v>3.4000000000000002E-2</v>
      </c>
      <c r="K9" s="1240">
        <v>0</v>
      </c>
      <c r="L9" s="1240">
        <v>0</v>
      </c>
      <c r="M9" s="1240">
        <v>0</v>
      </c>
      <c r="N9" s="1239">
        <f>M9</f>
        <v>0</v>
      </c>
      <c r="O9" s="1239">
        <f>N9</f>
        <v>0</v>
      </c>
      <c r="P9" s="1239">
        <f>O9</f>
        <v>0</v>
      </c>
      <c r="Q9" s="1241">
        <f>P9</f>
        <v>0</v>
      </c>
      <c r="R9" s="1863"/>
      <c r="S9" s="1863"/>
    </row>
    <row r="10" spans="1:19" s="1" customFormat="1" x14ac:dyDescent="0.2">
      <c r="A10" s="807" t="s">
        <v>7016</v>
      </c>
      <c r="B10" s="8"/>
      <c r="C10" s="8"/>
      <c r="D10" s="1421">
        <f t="shared" ref="D10:J10" si="4">D9+D7</f>
        <v>5.8999999999999997E-2</v>
      </c>
      <c r="E10" s="1239">
        <f t="shared" si="4"/>
        <v>2.3E-2</v>
      </c>
      <c r="F10" s="1239">
        <f t="shared" si="4"/>
        <v>5.4100000000000002E-2</v>
      </c>
      <c r="G10" s="1243">
        <f t="shared" si="4"/>
        <v>5.3400000000000003E-2</v>
      </c>
      <c r="H10" s="1239">
        <f t="shared" si="4"/>
        <v>4.9000000000000002E-2</v>
      </c>
      <c r="I10" s="1239">
        <f t="shared" si="4"/>
        <v>5.9000000000000004E-2</v>
      </c>
      <c r="J10" s="1239">
        <f t="shared" si="4"/>
        <v>5.9000000000000004E-2</v>
      </c>
      <c r="K10" s="1240">
        <f t="shared" ref="K10:P10" si="5">K9+K7</f>
        <v>2.5000000000000001E-2</v>
      </c>
      <c r="L10" s="1240">
        <f t="shared" si="5"/>
        <v>2.5000000000000001E-2</v>
      </c>
      <c r="M10" s="1240">
        <f t="shared" si="5"/>
        <v>2.5000000000000001E-2</v>
      </c>
      <c r="N10" s="1239">
        <f t="shared" si="5"/>
        <v>2.5000000000000001E-2</v>
      </c>
      <c r="O10" s="1239">
        <f t="shared" si="5"/>
        <v>2.5000000000000001E-2</v>
      </c>
      <c r="P10" s="1239">
        <f t="shared" si="5"/>
        <v>2.5000000000000001E-2</v>
      </c>
      <c r="Q10" s="1241">
        <f t="shared" ref="Q10" si="6">Q9+Q7</f>
        <v>2.5000000000000001E-2</v>
      </c>
      <c r="R10" s="1863"/>
      <c r="S10" s="1863"/>
    </row>
    <row r="11" spans="1:19" s="1" customFormat="1" x14ac:dyDescent="0.2">
      <c r="A11" s="807" t="s">
        <v>4467</v>
      </c>
      <c r="B11" s="8"/>
      <c r="C11" s="8"/>
      <c r="D11" s="1421">
        <f t="shared" ref="D11:P11" si="7">SUM(D7:D9)</f>
        <v>6.4000000000000001E-2</v>
      </c>
      <c r="E11" s="1239">
        <f t="shared" si="7"/>
        <v>2.8000000000000001E-2</v>
      </c>
      <c r="F11" s="1239">
        <f t="shared" si="7"/>
        <v>5.91E-2</v>
      </c>
      <c r="G11" s="1243">
        <f t="shared" si="7"/>
        <v>5.8400000000000001E-2</v>
      </c>
      <c r="H11" s="1239">
        <f t="shared" si="7"/>
        <v>5.4000000000000006E-2</v>
      </c>
      <c r="I11" s="1239">
        <f t="shared" si="7"/>
        <v>6.4000000000000001E-2</v>
      </c>
      <c r="J11" s="1239">
        <f t="shared" si="7"/>
        <v>6.4000000000000001E-2</v>
      </c>
      <c r="K11" s="1239">
        <f t="shared" si="7"/>
        <v>3.0000000000000002E-2</v>
      </c>
      <c r="L11" s="1240">
        <f t="shared" si="7"/>
        <v>3.0000000000000002E-2</v>
      </c>
      <c r="M11" s="1240">
        <f t="shared" si="7"/>
        <v>3.0000000000000002E-2</v>
      </c>
      <c r="N11" s="1239">
        <f t="shared" si="7"/>
        <v>3.0000000000000002E-2</v>
      </c>
      <c r="O11" s="1239">
        <f t="shared" si="7"/>
        <v>3.0000000000000002E-2</v>
      </c>
      <c r="P11" s="1239">
        <f t="shared" si="7"/>
        <v>3.0000000000000002E-2</v>
      </c>
      <c r="Q11" s="1241">
        <f t="shared" ref="Q11" si="8">SUM(Q7:Q9)</f>
        <v>3.0000000000000002E-2</v>
      </c>
    </row>
    <row r="12" spans="1:19" s="1" customFormat="1" x14ac:dyDescent="0.2">
      <c r="A12" s="807" t="s">
        <v>3713</v>
      </c>
      <c r="B12" s="8"/>
      <c r="C12" s="8"/>
      <c r="D12" s="1421">
        <v>0.03</v>
      </c>
      <c r="E12" s="1239">
        <v>0</v>
      </c>
      <c r="F12" s="1239">
        <v>0</v>
      </c>
      <c r="G12" s="1243">
        <v>0</v>
      </c>
      <c r="H12" s="1239">
        <v>0.02</v>
      </c>
      <c r="I12" s="1239">
        <f>H12</f>
        <v>0.02</v>
      </c>
      <c r="J12" s="1239">
        <f t="shared" ref="J12:Q12" si="9">I12</f>
        <v>0.02</v>
      </c>
      <c r="K12" s="1240">
        <f t="shared" si="9"/>
        <v>0.02</v>
      </c>
      <c r="L12" s="1240">
        <f t="shared" si="9"/>
        <v>0.02</v>
      </c>
      <c r="M12" s="1240">
        <f t="shared" si="9"/>
        <v>0.02</v>
      </c>
      <c r="N12" s="1239">
        <f t="shared" si="9"/>
        <v>0.02</v>
      </c>
      <c r="O12" s="1239">
        <f t="shared" si="9"/>
        <v>0.02</v>
      </c>
      <c r="P12" s="1239">
        <f t="shared" si="9"/>
        <v>0.02</v>
      </c>
      <c r="Q12" s="1241">
        <f t="shared" si="9"/>
        <v>0.02</v>
      </c>
    </row>
    <row r="13" spans="1:19" s="1" customFormat="1" x14ac:dyDescent="0.2">
      <c r="A13" s="807" t="s">
        <v>3712</v>
      </c>
      <c r="B13" s="8"/>
      <c r="C13" s="8"/>
      <c r="D13" s="1421">
        <v>3.2500000000000001E-2</v>
      </c>
      <c r="E13" s="1239">
        <v>2.7E-2</v>
      </c>
      <c r="F13" s="1239">
        <v>2.8000000000000001E-2</v>
      </c>
      <c r="G13" s="1243">
        <v>0.02</v>
      </c>
      <c r="H13" s="1239">
        <f t="shared" ref="G13:L14" si="10">G13</f>
        <v>0.02</v>
      </c>
      <c r="I13" s="1239">
        <f>I5</f>
        <v>2.5000000000000001E-2</v>
      </c>
      <c r="J13" s="1239">
        <f t="shared" si="10"/>
        <v>2.5000000000000001E-2</v>
      </c>
      <c r="K13" s="1240">
        <f t="shared" si="10"/>
        <v>2.5000000000000001E-2</v>
      </c>
      <c r="L13" s="1240">
        <f t="shared" si="10"/>
        <v>2.5000000000000001E-2</v>
      </c>
      <c r="M13" s="1240">
        <f t="shared" ref="M13:Q15" si="11">L13</f>
        <v>2.5000000000000001E-2</v>
      </c>
      <c r="N13" s="1239">
        <f t="shared" si="11"/>
        <v>2.5000000000000001E-2</v>
      </c>
      <c r="O13" s="1239">
        <f t="shared" si="11"/>
        <v>2.5000000000000001E-2</v>
      </c>
      <c r="P13" s="1239">
        <f t="shared" si="11"/>
        <v>2.5000000000000001E-2</v>
      </c>
      <c r="Q13" s="1241">
        <f t="shared" si="11"/>
        <v>2.5000000000000001E-2</v>
      </c>
    </row>
    <row r="14" spans="1:19" s="1" customFormat="1" x14ac:dyDescent="0.2">
      <c r="A14" s="807" t="s">
        <v>3711</v>
      </c>
      <c r="B14" s="8"/>
      <c r="C14" s="8"/>
      <c r="D14" s="1421">
        <v>0.04</v>
      </c>
      <c r="E14" s="1239">
        <v>0.04</v>
      </c>
      <c r="F14" s="1239">
        <v>4.4999999999999998E-2</v>
      </c>
      <c r="G14" s="1243">
        <f t="shared" si="10"/>
        <v>4.4999999999999998E-2</v>
      </c>
      <c r="H14" s="1239">
        <f t="shared" si="10"/>
        <v>4.4999999999999998E-2</v>
      </c>
      <c r="I14" s="1239">
        <f t="shared" si="10"/>
        <v>4.4999999999999998E-2</v>
      </c>
      <c r="J14" s="1239">
        <f t="shared" si="10"/>
        <v>4.4999999999999998E-2</v>
      </c>
      <c r="K14" s="1240">
        <f t="shared" si="10"/>
        <v>4.4999999999999998E-2</v>
      </c>
      <c r="L14" s="1240">
        <f t="shared" si="10"/>
        <v>4.4999999999999998E-2</v>
      </c>
      <c r="M14" s="1239">
        <f t="shared" si="11"/>
        <v>4.4999999999999998E-2</v>
      </c>
      <c r="N14" s="1630">
        <f t="shared" si="11"/>
        <v>4.4999999999999998E-2</v>
      </c>
      <c r="O14" s="1239">
        <f t="shared" si="11"/>
        <v>4.4999999999999998E-2</v>
      </c>
      <c r="P14" s="1239">
        <f t="shared" si="11"/>
        <v>4.4999999999999998E-2</v>
      </c>
      <c r="Q14" s="1241">
        <f t="shared" si="11"/>
        <v>4.4999999999999998E-2</v>
      </c>
    </row>
    <row r="15" spans="1:19" s="1" customFormat="1" x14ac:dyDescent="0.2">
      <c r="A15" s="807" t="s">
        <v>3710</v>
      </c>
      <c r="B15" s="8"/>
      <c r="C15" s="8"/>
      <c r="D15" s="1421">
        <v>0.06</v>
      </c>
      <c r="E15" s="1239">
        <v>0.06</v>
      </c>
      <c r="F15" s="1239">
        <f t="shared" ref="F15:L15" si="12">E15</f>
        <v>0.06</v>
      </c>
      <c r="G15" s="1243">
        <f t="shared" si="12"/>
        <v>0.06</v>
      </c>
      <c r="H15" s="1239">
        <f t="shared" si="12"/>
        <v>0.06</v>
      </c>
      <c r="I15" s="1239">
        <f t="shared" si="12"/>
        <v>0.06</v>
      </c>
      <c r="J15" s="1239">
        <f t="shared" si="12"/>
        <v>0.06</v>
      </c>
      <c r="K15" s="1240">
        <f t="shared" si="12"/>
        <v>0.06</v>
      </c>
      <c r="L15" s="1240">
        <f t="shared" si="12"/>
        <v>0.06</v>
      </c>
      <c r="M15" s="1239">
        <f t="shared" si="11"/>
        <v>0.06</v>
      </c>
      <c r="N15" s="1630">
        <f t="shared" si="11"/>
        <v>0.06</v>
      </c>
      <c r="O15" s="1239">
        <f t="shared" si="11"/>
        <v>0.06</v>
      </c>
      <c r="P15" s="1239">
        <f t="shared" si="11"/>
        <v>0.06</v>
      </c>
      <c r="Q15" s="1241">
        <f t="shared" si="11"/>
        <v>0.06</v>
      </c>
    </row>
    <row r="16" spans="1:19" s="1" customFormat="1" x14ac:dyDescent="0.2">
      <c r="A16" s="807" t="s">
        <v>3709</v>
      </c>
      <c r="B16" s="8"/>
      <c r="C16" s="8"/>
      <c r="D16" s="1421">
        <v>0.02</v>
      </c>
      <c r="E16" s="1239">
        <v>0.02</v>
      </c>
      <c r="F16" s="1239">
        <v>0.03</v>
      </c>
      <c r="G16" s="1243">
        <f t="shared" ref="G16" si="13">F16</f>
        <v>0.03</v>
      </c>
      <c r="H16" s="1239">
        <f t="shared" ref="H16" si="14">G16</f>
        <v>0.03</v>
      </c>
      <c r="I16" s="1239">
        <f t="shared" ref="I16" si="15">H16</f>
        <v>0.03</v>
      </c>
      <c r="J16" s="1239">
        <f t="shared" ref="J16" si="16">I16</f>
        <v>0.03</v>
      </c>
      <c r="K16" s="1240">
        <f t="shared" ref="K16" si="17">J16</f>
        <v>0.03</v>
      </c>
      <c r="L16" s="1240">
        <f t="shared" ref="L16" si="18">K16</f>
        <v>0.03</v>
      </c>
      <c r="M16" s="1239">
        <f t="shared" ref="M16" si="19">L16</f>
        <v>0.03</v>
      </c>
      <c r="N16" s="1630">
        <f t="shared" ref="N16:Q16" si="20">M16</f>
        <v>0.03</v>
      </c>
      <c r="O16" s="1239">
        <f t="shared" si="20"/>
        <v>0.03</v>
      </c>
      <c r="P16" s="1239">
        <f t="shared" si="20"/>
        <v>0.03</v>
      </c>
      <c r="Q16" s="1241">
        <f t="shared" si="20"/>
        <v>0.03</v>
      </c>
    </row>
    <row r="17" spans="1:22" s="1" customFormat="1" x14ac:dyDescent="0.2">
      <c r="A17" s="807" t="s">
        <v>3789</v>
      </c>
      <c r="B17" s="8"/>
      <c r="C17" s="8"/>
      <c r="D17" s="1421">
        <v>8.0000000000000002E-3</v>
      </c>
      <c r="E17" s="1239">
        <v>8.5000000000000006E-3</v>
      </c>
      <c r="F17" s="1239">
        <f t="shared" ref="F17" si="21">E17</f>
        <v>8.5000000000000006E-3</v>
      </c>
      <c r="G17" s="1243">
        <f t="shared" ref="G17" si="22">F17</f>
        <v>8.5000000000000006E-3</v>
      </c>
      <c r="H17" s="1239">
        <f t="shared" ref="H17:H18" si="23">G17</f>
        <v>8.5000000000000006E-3</v>
      </c>
      <c r="I17" s="1239">
        <f t="shared" ref="I17:I18" si="24">H17</f>
        <v>8.5000000000000006E-3</v>
      </c>
      <c r="J17" s="1239">
        <f t="shared" ref="J17:J18" si="25">I17</f>
        <v>8.5000000000000006E-3</v>
      </c>
      <c r="K17" s="1240">
        <f t="shared" ref="K17:K18" si="26">J17</f>
        <v>8.5000000000000006E-3</v>
      </c>
      <c r="L17" s="1240">
        <f t="shared" ref="L17:L18" si="27">K17</f>
        <v>8.5000000000000006E-3</v>
      </c>
      <c r="M17" s="1239">
        <f t="shared" ref="M17:M18" si="28">L17</f>
        <v>8.5000000000000006E-3</v>
      </c>
      <c r="N17" s="1630">
        <f t="shared" ref="N17:Q18" si="29">M17</f>
        <v>8.5000000000000006E-3</v>
      </c>
      <c r="O17" s="1239">
        <f t="shared" si="29"/>
        <v>8.5000000000000006E-3</v>
      </c>
      <c r="P17" s="1239">
        <f t="shared" si="29"/>
        <v>8.5000000000000006E-3</v>
      </c>
      <c r="Q17" s="1241">
        <f t="shared" si="29"/>
        <v>8.5000000000000006E-3</v>
      </c>
    </row>
    <row r="18" spans="1:22" s="1" customFormat="1" x14ac:dyDescent="0.2">
      <c r="A18" s="807" t="s">
        <v>2070</v>
      </c>
      <c r="B18" s="8"/>
      <c r="C18" s="8"/>
      <c r="D18" s="1421"/>
      <c r="E18" s="1239">
        <v>0.03</v>
      </c>
      <c r="F18" s="1239">
        <f>E18</f>
        <v>0.03</v>
      </c>
      <c r="G18" s="1243">
        <v>0.02</v>
      </c>
      <c r="H18" s="1239">
        <f t="shared" si="23"/>
        <v>0.02</v>
      </c>
      <c r="I18" s="1239">
        <f t="shared" si="24"/>
        <v>0.02</v>
      </c>
      <c r="J18" s="1239">
        <f t="shared" si="25"/>
        <v>0.02</v>
      </c>
      <c r="K18" s="1240">
        <f t="shared" si="26"/>
        <v>0.02</v>
      </c>
      <c r="L18" s="1240">
        <f t="shared" si="27"/>
        <v>0.02</v>
      </c>
      <c r="M18" s="1239">
        <f t="shared" si="28"/>
        <v>0.02</v>
      </c>
      <c r="N18" s="1630">
        <f t="shared" si="29"/>
        <v>0.02</v>
      </c>
      <c r="O18" s="1239">
        <f t="shared" si="29"/>
        <v>0.02</v>
      </c>
      <c r="P18" s="1239">
        <f t="shared" si="29"/>
        <v>0.02</v>
      </c>
      <c r="Q18" s="1241">
        <f t="shared" si="29"/>
        <v>0.02</v>
      </c>
    </row>
    <row r="19" spans="1:22" s="1" customFormat="1" x14ac:dyDescent="0.2">
      <c r="A19" s="807"/>
      <c r="B19" s="8"/>
      <c r="C19" s="8"/>
      <c r="D19" s="1242"/>
      <c r="E19" s="1239"/>
      <c r="F19" s="1239"/>
      <c r="G19" s="1243"/>
      <c r="H19" s="1239"/>
      <c r="I19" s="1239"/>
      <c r="J19" s="1240"/>
      <c r="K19" s="1240"/>
      <c r="L19" s="1240"/>
      <c r="M19" s="1239"/>
      <c r="N19" s="1630"/>
      <c r="O19" s="1239"/>
      <c r="P19" s="1239"/>
      <c r="Q19" s="1241"/>
    </row>
    <row r="20" spans="1:22" s="1" customFormat="1" x14ac:dyDescent="0.2">
      <c r="A20" s="808" t="s">
        <v>820</v>
      </c>
      <c r="B20" s="8"/>
      <c r="C20" s="8"/>
      <c r="D20" s="1242"/>
      <c r="E20" s="1239"/>
      <c r="F20" s="1239"/>
      <c r="G20" s="1243"/>
      <c r="H20" s="1239"/>
      <c r="I20" s="1239"/>
      <c r="J20" s="1240"/>
      <c r="K20" s="1240"/>
      <c r="L20" s="1240"/>
      <c r="M20" s="1239"/>
      <c r="N20" s="1630"/>
      <c r="O20" s="1239"/>
      <c r="P20" s="1239"/>
      <c r="Q20" s="1241"/>
    </row>
    <row r="21" spans="1:22" s="1" customFormat="1" x14ac:dyDescent="0.2">
      <c r="A21" s="809" t="s">
        <v>3352</v>
      </c>
      <c r="B21" s="746"/>
      <c r="C21" s="746"/>
      <c r="D21" s="1242"/>
      <c r="E21" s="1243">
        <v>0.08</v>
      </c>
      <c r="F21" s="1243">
        <v>2.4E-2</v>
      </c>
      <c r="G21" s="1243">
        <v>0.02</v>
      </c>
      <c r="H21" s="1243">
        <v>0.02</v>
      </c>
      <c r="I21" s="1243">
        <f>I5</f>
        <v>2.5000000000000001E-2</v>
      </c>
      <c r="J21" s="1243">
        <f t="shared" ref="J21:Q21" si="30">I21</f>
        <v>2.5000000000000001E-2</v>
      </c>
      <c r="K21" s="1243">
        <f t="shared" si="30"/>
        <v>2.5000000000000001E-2</v>
      </c>
      <c r="L21" s="1243">
        <f t="shared" si="30"/>
        <v>2.5000000000000001E-2</v>
      </c>
      <c r="M21" s="1243">
        <f t="shared" si="30"/>
        <v>2.5000000000000001E-2</v>
      </c>
      <c r="N21" s="1243">
        <f t="shared" si="30"/>
        <v>2.5000000000000001E-2</v>
      </c>
      <c r="O21" s="1243">
        <f t="shared" si="30"/>
        <v>2.5000000000000001E-2</v>
      </c>
      <c r="P21" s="1243">
        <f t="shared" si="30"/>
        <v>2.5000000000000001E-2</v>
      </c>
      <c r="Q21" s="919">
        <f t="shared" si="30"/>
        <v>2.5000000000000001E-2</v>
      </c>
    </row>
    <row r="22" spans="1:22" s="1" customFormat="1" x14ac:dyDescent="0.2">
      <c r="A22" s="809" t="s">
        <v>3353</v>
      </c>
      <c r="B22" s="746"/>
      <c r="C22" s="746"/>
      <c r="D22" s="1244"/>
      <c r="E22" s="1243">
        <v>0.08</v>
      </c>
      <c r="F22" s="1243">
        <v>2.4E-2</v>
      </c>
      <c r="G22" s="1243">
        <v>0.02</v>
      </c>
      <c r="H22" s="1243">
        <f>H21</f>
        <v>0.02</v>
      </c>
      <c r="I22" s="1243">
        <f>I21</f>
        <v>2.5000000000000001E-2</v>
      </c>
      <c r="J22" s="1243">
        <f t="shared" ref="J22:Q22" si="31">I22</f>
        <v>2.5000000000000001E-2</v>
      </c>
      <c r="K22" s="1243">
        <f t="shared" si="31"/>
        <v>2.5000000000000001E-2</v>
      </c>
      <c r="L22" s="1243">
        <f t="shared" si="31"/>
        <v>2.5000000000000001E-2</v>
      </c>
      <c r="M22" s="1243">
        <f t="shared" si="31"/>
        <v>2.5000000000000001E-2</v>
      </c>
      <c r="N22" s="1243">
        <f t="shared" si="31"/>
        <v>2.5000000000000001E-2</v>
      </c>
      <c r="O22" s="1243">
        <f t="shared" si="31"/>
        <v>2.5000000000000001E-2</v>
      </c>
      <c r="P22" s="1243">
        <f t="shared" si="31"/>
        <v>2.5000000000000001E-2</v>
      </c>
      <c r="Q22" s="919">
        <f t="shared" si="31"/>
        <v>2.5000000000000001E-2</v>
      </c>
    </row>
    <row r="23" spans="1:22" s="1" customFormat="1" x14ac:dyDescent="0.2">
      <c r="A23" s="809" t="s">
        <v>3847</v>
      </c>
      <c r="B23" s="8"/>
      <c r="C23" s="8"/>
      <c r="D23" s="1245"/>
      <c r="E23" s="1239">
        <v>3.5000000000000003E-2</v>
      </c>
      <c r="F23" s="1239">
        <v>2.4E-2</v>
      </c>
      <c r="G23" s="1243">
        <v>0.02</v>
      </c>
      <c r="H23" s="1239">
        <f>H21</f>
        <v>0.02</v>
      </c>
      <c r="I23" s="1239">
        <f>I21</f>
        <v>2.5000000000000001E-2</v>
      </c>
      <c r="J23" s="1239">
        <f>J21</f>
        <v>2.5000000000000001E-2</v>
      </c>
      <c r="K23" s="1239">
        <f t="shared" ref="K23:Q23" si="32">J23</f>
        <v>2.5000000000000001E-2</v>
      </c>
      <c r="L23" s="1239">
        <f t="shared" si="32"/>
        <v>2.5000000000000001E-2</v>
      </c>
      <c r="M23" s="1239">
        <f t="shared" si="32"/>
        <v>2.5000000000000001E-2</v>
      </c>
      <c r="N23" s="1630">
        <f t="shared" si="32"/>
        <v>2.5000000000000001E-2</v>
      </c>
      <c r="O23" s="1239">
        <f t="shared" si="32"/>
        <v>2.5000000000000001E-2</v>
      </c>
      <c r="P23" s="1239">
        <f t="shared" si="32"/>
        <v>2.5000000000000001E-2</v>
      </c>
      <c r="Q23" s="1241">
        <f t="shared" si="32"/>
        <v>2.5000000000000001E-2</v>
      </c>
    </row>
    <row r="24" spans="1:22" x14ac:dyDescent="0.2">
      <c r="A24" s="818" t="s">
        <v>3850</v>
      </c>
      <c r="B24" s="9"/>
      <c r="C24" s="9"/>
      <c r="D24" s="1242">
        <v>0</v>
      </c>
      <c r="E24" s="1246">
        <v>70</v>
      </c>
      <c r="F24" s="1246">
        <f t="shared" ref="F24:Q24" si="33">E24*F23+E24</f>
        <v>71.680000000000007</v>
      </c>
      <c r="G24" s="2230">
        <f t="shared" si="33"/>
        <v>73.113600000000005</v>
      </c>
      <c r="H24" s="2230"/>
      <c r="I24" s="2230">
        <f t="shared" ref="I24" si="34">H24*I23+H24</f>
        <v>0</v>
      </c>
      <c r="J24" s="2230">
        <f t="shared" ref="J24" si="35">I24*J23+I24</f>
        <v>0</v>
      </c>
      <c r="K24" s="1596">
        <f t="shared" si="33"/>
        <v>0</v>
      </c>
      <c r="L24" s="1596">
        <f t="shared" si="33"/>
        <v>0</v>
      </c>
      <c r="M24" s="1596">
        <f t="shared" si="33"/>
        <v>0</v>
      </c>
      <c r="N24" s="1596">
        <f t="shared" si="33"/>
        <v>0</v>
      </c>
      <c r="O24" s="1596">
        <f t="shared" si="33"/>
        <v>0</v>
      </c>
      <c r="P24" s="1596">
        <f t="shared" si="33"/>
        <v>0</v>
      </c>
      <c r="Q24" s="1626">
        <f t="shared" si="33"/>
        <v>0</v>
      </c>
      <c r="R24" s="2552"/>
      <c r="S24" s="2552"/>
      <c r="T24" s="2552"/>
      <c r="U24" s="2552"/>
      <c r="V24" s="2552"/>
    </row>
    <row r="25" spans="1:22" x14ac:dyDescent="0.2">
      <c r="A25" s="818" t="s">
        <v>3848</v>
      </c>
      <c r="B25" s="9"/>
      <c r="C25" s="9"/>
      <c r="D25" s="1242">
        <v>408</v>
      </c>
      <c r="E25" s="1246">
        <f>422-E24</f>
        <v>352</v>
      </c>
      <c r="F25" s="1246">
        <f>ROUND(E25*F23+E25,)</f>
        <v>360</v>
      </c>
      <c r="G25" s="2230">
        <f t="shared" ref="G25:Q25" si="36">ROUND(F25*G23+F25,)</f>
        <v>367</v>
      </c>
      <c r="H25" s="1596">
        <f t="shared" si="36"/>
        <v>374</v>
      </c>
      <c r="I25" s="1596">
        <f t="shared" si="36"/>
        <v>383</v>
      </c>
      <c r="J25" s="1596">
        <f t="shared" si="36"/>
        <v>393</v>
      </c>
      <c r="K25" s="1596">
        <f t="shared" si="36"/>
        <v>403</v>
      </c>
      <c r="L25" s="1596">
        <f t="shared" si="36"/>
        <v>413</v>
      </c>
      <c r="M25" s="1596">
        <f t="shared" si="36"/>
        <v>423</v>
      </c>
      <c r="N25" s="1596">
        <f t="shared" si="36"/>
        <v>434</v>
      </c>
      <c r="O25" s="1596">
        <f t="shared" si="36"/>
        <v>445</v>
      </c>
      <c r="P25" s="1596">
        <f t="shared" si="36"/>
        <v>456</v>
      </c>
      <c r="Q25" s="1626">
        <f t="shared" si="36"/>
        <v>467</v>
      </c>
      <c r="S25" s="1561"/>
      <c r="T25" s="1561"/>
      <c r="U25" s="1561"/>
      <c r="V25" s="1561"/>
    </row>
    <row r="26" spans="1:22" x14ac:dyDescent="0.2">
      <c r="A26" s="818" t="s">
        <v>3849</v>
      </c>
      <c r="B26" s="9"/>
      <c r="C26" s="9"/>
      <c r="D26" s="1242">
        <v>408</v>
      </c>
      <c r="E26" s="1246">
        <f>377-E24</f>
        <v>307</v>
      </c>
      <c r="F26" s="1246">
        <f>ROUND(E26*F23+E26,)</f>
        <v>314</v>
      </c>
      <c r="G26" s="2230">
        <f t="shared" ref="G26:Q26" si="37">ROUND(F26*G23+F26,)</f>
        <v>320</v>
      </c>
      <c r="H26" s="1596">
        <f t="shared" si="37"/>
        <v>326</v>
      </c>
      <c r="I26" s="1596">
        <f t="shared" si="37"/>
        <v>334</v>
      </c>
      <c r="J26" s="1596">
        <f t="shared" si="37"/>
        <v>342</v>
      </c>
      <c r="K26" s="1596">
        <f t="shared" si="37"/>
        <v>351</v>
      </c>
      <c r="L26" s="1596">
        <f t="shared" si="37"/>
        <v>360</v>
      </c>
      <c r="M26" s="1596">
        <f t="shared" si="37"/>
        <v>369</v>
      </c>
      <c r="N26" s="1596">
        <f t="shared" si="37"/>
        <v>378</v>
      </c>
      <c r="O26" s="1596">
        <f t="shared" si="37"/>
        <v>387</v>
      </c>
      <c r="P26" s="1596">
        <f t="shared" si="37"/>
        <v>397</v>
      </c>
      <c r="Q26" s="1626">
        <f t="shared" si="37"/>
        <v>407</v>
      </c>
    </row>
    <row r="27" spans="1:22" x14ac:dyDescent="0.2">
      <c r="A27" s="818" t="s">
        <v>3962</v>
      </c>
      <c r="B27" s="9"/>
      <c r="C27" s="9"/>
      <c r="D27" s="1242">
        <v>37</v>
      </c>
      <c r="E27" s="1246">
        <v>38</v>
      </c>
      <c r="F27" s="1246">
        <f>ROUND(E27*F23+E27,)</f>
        <v>39</v>
      </c>
      <c r="G27" s="2230">
        <f t="shared" ref="G27:Q27" si="38">ROUND(F27*G23+F27,)</f>
        <v>40</v>
      </c>
      <c r="H27" s="1596">
        <f t="shared" si="38"/>
        <v>41</v>
      </c>
      <c r="I27" s="1596">
        <f t="shared" si="38"/>
        <v>42</v>
      </c>
      <c r="J27" s="1596">
        <f t="shared" si="38"/>
        <v>43</v>
      </c>
      <c r="K27" s="1596">
        <f t="shared" si="38"/>
        <v>44</v>
      </c>
      <c r="L27" s="1596">
        <f t="shared" si="38"/>
        <v>45</v>
      </c>
      <c r="M27" s="1596">
        <f t="shared" si="38"/>
        <v>46</v>
      </c>
      <c r="N27" s="1596">
        <f t="shared" si="38"/>
        <v>47</v>
      </c>
      <c r="O27" s="1596">
        <f t="shared" si="38"/>
        <v>48</v>
      </c>
      <c r="P27" s="1596">
        <f t="shared" si="38"/>
        <v>49</v>
      </c>
      <c r="Q27" s="1626">
        <f t="shared" si="38"/>
        <v>50</v>
      </c>
    </row>
    <row r="28" spans="1:22" x14ac:dyDescent="0.2">
      <c r="A28" s="818" t="s">
        <v>3852</v>
      </c>
      <c r="B28" s="9"/>
      <c r="C28" s="9"/>
      <c r="D28" s="1242"/>
      <c r="E28" s="1246">
        <v>14364</v>
      </c>
      <c r="F28" s="1246">
        <v>14488</v>
      </c>
      <c r="G28" s="2230">
        <v>14880</v>
      </c>
      <c r="H28" s="1596">
        <f t="shared" ref="H28:Q28" si="39">G28*H8*0.75+G28</f>
        <v>14935.8</v>
      </c>
      <c r="I28" s="1596">
        <f t="shared" si="39"/>
        <v>14991.809249999998</v>
      </c>
      <c r="J28" s="1596">
        <f t="shared" si="39"/>
        <v>15048.028534687499</v>
      </c>
      <c r="K28" s="2432">
        <f t="shared" si="39"/>
        <v>15104.458641692578</v>
      </c>
      <c r="L28" s="2432">
        <f t="shared" si="39"/>
        <v>15161.100361598925</v>
      </c>
      <c r="M28" s="2432">
        <f t="shared" si="39"/>
        <v>15217.954487954921</v>
      </c>
      <c r="N28" s="1596">
        <f t="shared" si="39"/>
        <v>15275.021817284753</v>
      </c>
      <c r="O28" s="1596">
        <f t="shared" si="39"/>
        <v>15332.303149099571</v>
      </c>
      <c r="P28" s="1596">
        <f t="shared" si="39"/>
        <v>15389.799285908693</v>
      </c>
      <c r="Q28" s="1626">
        <f t="shared" si="39"/>
        <v>15447.51103323085</v>
      </c>
    </row>
    <row r="29" spans="1:22" x14ac:dyDescent="0.2">
      <c r="A29" s="818" t="s">
        <v>3853</v>
      </c>
      <c r="B29" s="9"/>
      <c r="C29" s="9"/>
      <c r="D29" s="1242"/>
      <c r="E29" s="1246">
        <v>2647</v>
      </c>
      <c r="F29" s="1246">
        <v>2658</v>
      </c>
      <c r="G29" s="2230">
        <v>2712</v>
      </c>
      <c r="H29" s="1596">
        <f t="shared" ref="H29:Q29" si="40">G29</f>
        <v>2712</v>
      </c>
      <c r="I29" s="1596">
        <f t="shared" si="40"/>
        <v>2712</v>
      </c>
      <c r="J29" s="1596">
        <f t="shared" si="40"/>
        <v>2712</v>
      </c>
      <c r="K29" s="2432">
        <f t="shared" si="40"/>
        <v>2712</v>
      </c>
      <c r="L29" s="2432">
        <f t="shared" si="40"/>
        <v>2712</v>
      </c>
      <c r="M29" s="2432">
        <f t="shared" si="40"/>
        <v>2712</v>
      </c>
      <c r="N29" s="1596">
        <f t="shared" si="40"/>
        <v>2712</v>
      </c>
      <c r="O29" s="1596">
        <f t="shared" si="40"/>
        <v>2712</v>
      </c>
      <c r="P29" s="1596">
        <f t="shared" si="40"/>
        <v>2712</v>
      </c>
      <c r="Q29" s="1626">
        <f t="shared" si="40"/>
        <v>2712</v>
      </c>
    </row>
    <row r="30" spans="1:22" s="1" customFormat="1" x14ac:dyDescent="0.2">
      <c r="A30" s="807" t="s">
        <v>4335</v>
      </c>
      <c r="B30" s="8"/>
      <c r="C30" s="8"/>
      <c r="D30" s="1245"/>
      <c r="E30" s="1448">
        <f t="shared" ref="E30:P30" si="41">E29+E28</f>
        <v>17011</v>
      </c>
      <c r="F30" s="1246">
        <f t="shared" si="41"/>
        <v>17146</v>
      </c>
      <c r="G30" s="2231">
        <f t="shared" si="41"/>
        <v>17592</v>
      </c>
      <c r="H30" s="1059">
        <f t="shared" si="41"/>
        <v>17647.8</v>
      </c>
      <c r="I30" s="1059">
        <f t="shared" si="41"/>
        <v>17703.809249999998</v>
      </c>
      <c r="J30" s="1059">
        <f t="shared" si="41"/>
        <v>17760.028534687499</v>
      </c>
      <c r="K30" s="1059">
        <f t="shared" si="41"/>
        <v>17816.458641692578</v>
      </c>
      <c r="L30" s="1059">
        <f t="shared" si="41"/>
        <v>17873.100361598925</v>
      </c>
      <c r="M30" s="1059">
        <f t="shared" si="41"/>
        <v>17929.954487954921</v>
      </c>
      <c r="N30" s="1596">
        <f t="shared" si="41"/>
        <v>17987.021817284753</v>
      </c>
      <c r="O30" s="1596">
        <f t="shared" si="41"/>
        <v>18044.303149099571</v>
      </c>
      <c r="P30" s="1596">
        <f t="shared" si="41"/>
        <v>18101.799285908695</v>
      </c>
      <c r="Q30" s="1626">
        <f t="shared" ref="Q30" si="42">Q29+Q28</f>
        <v>18159.51103323085</v>
      </c>
    </row>
    <row r="31" spans="1:22" s="1" customFormat="1" x14ac:dyDescent="0.2">
      <c r="A31" s="807" t="s">
        <v>6943</v>
      </c>
      <c r="B31" s="8"/>
      <c r="C31" s="8"/>
      <c r="D31" s="1245"/>
      <c r="E31" s="1448"/>
      <c r="F31" s="1549">
        <f>(F30-E30)/E30</f>
        <v>7.9360413849861849E-3</v>
      </c>
      <c r="G31" s="1549">
        <f>(G30-F30)/F30</f>
        <v>2.6011897818733233E-2</v>
      </c>
      <c r="H31" s="1548">
        <f t="shared" ref="H31:Q31" si="43">(H30-G30)/G30</f>
        <v>3.1718963165074622E-3</v>
      </c>
      <c r="I31" s="1548">
        <f t="shared" si="43"/>
        <v>3.1737242035834016E-3</v>
      </c>
      <c r="J31" s="1548">
        <f t="shared" si="43"/>
        <v>3.1755473578377194E-3</v>
      </c>
      <c r="K31" s="2464">
        <f t="shared" si="43"/>
        <v>3.1773657849064759E-3</v>
      </c>
      <c r="L31" s="2464">
        <f t="shared" si="43"/>
        <v>3.1791794904627649E-3</v>
      </c>
      <c r="M31" s="2464">
        <f t="shared" si="43"/>
        <v>3.1809884802163251E-3</v>
      </c>
      <c r="N31" s="2465">
        <f t="shared" si="43"/>
        <v>3.182792759912938E-3</v>
      </c>
      <c r="O31" s="2465">
        <f t="shared" si="43"/>
        <v>3.1845923353344338E-3</v>
      </c>
      <c r="P31" s="2465">
        <f t="shared" si="43"/>
        <v>3.1863872122982789E-3</v>
      </c>
      <c r="Q31" s="2466">
        <f t="shared" si="43"/>
        <v>3.1881773966569564E-3</v>
      </c>
    </row>
    <row r="32" spans="1:22" x14ac:dyDescent="0.2">
      <c r="A32" s="818" t="s">
        <v>3963</v>
      </c>
      <c r="B32" s="9"/>
      <c r="C32" s="9"/>
      <c r="D32" s="1242"/>
      <c r="E32" s="1246">
        <v>584</v>
      </c>
      <c r="F32" s="1246">
        <v>601</v>
      </c>
      <c r="G32" s="2230">
        <v>583</v>
      </c>
      <c r="H32" s="1596">
        <f t="shared" ref="H32" si="44">G32</f>
        <v>583</v>
      </c>
      <c r="I32" s="1596">
        <f t="shared" ref="I32" si="45">H32</f>
        <v>583</v>
      </c>
      <c r="J32" s="1596">
        <f t="shared" ref="J32" si="46">I32</f>
        <v>583</v>
      </c>
      <c r="K32" s="2432">
        <f t="shared" ref="K32" si="47">J32</f>
        <v>583</v>
      </c>
      <c r="L32" s="2432">
        <f t="shared" ref="L32" si="48">K32</f>
        <v>583</v>
      </c>
      <c r="M32" s="2432">
        <f t="shared" ref="M32" si="49">L32</f>
        <v>583</v>
      </c>
      <c r="N32" s="1596">
        <f t="shared" ref="N32:Q32" si="50">M32</f>
        <v>583</v>
      </c>
      <c r="O32" s="1596">
        <f t="shared" si="50"/>
        <v>583</v>
      </c>
      <c r="P32" s="1596">
        <f t="shared" si="50"/>
        <v>583</v>
      </c>
      <c r="Q32" s="1626">
        <f t="shared" si="50"/>
        <v>583</v>
      </c>
    </row>
    <row r="33" spans="1:17" x14ac:dyDescent="0.2">
      <c r="A33" s="818"/>
      <c r="B33" s="9"/>
      <c r="C33" s="9"/>
      <c r="D33" s="1242"/>
      <c r="E33" s="1246"/>
      <c r="F33" s="1246"/>
      <c r="G33" s="2230"/>
      <c r="H33" s="1596"/>
      <c r="I33" s="1596"/>
      <c r="J33" s="1596"/>
      <c r="K33" s="2432"/>
      <c r="L33" s="2432"/>
      <c r="M33" s="2432"/>
      <c r="N33" s="1596"/>
      <c r="O33" s="1596"/>
      <c r="P33" s="1596"/>
      <c r="Q33" s="1626"/>
    </row>
    <row r="34" spans="1:17" x14ac:dyDescent="0.2">
      <c r="A34" s="756" t="s">
        <v>7020</v>
      </c>
      <c r="B34" s="9"/>
      <c r="C34" s="9"/>
      <c r="D34" s="1242"/>
      <c r="E34" s="1246"/>
      <c r="F34" s="1246"/>
      <c r="G34" s="2230"/>
      <c r="H34" s="1596"/>
      <c r="I34" s="1596"/>
      <c r="J34" s="1596"/>
      <c r="K34" s="2432"/>
      <c r="L34" s="2432"/>
      <c r="M34" s="2432"/>
      <c r="N34" s="1596"/>
      <c r="O34" s="1596"/>
      <c r="P34" s="1596"/>
      <c r="Q34" s="1626"/>
    </row>
    <row r="35" spans="1:17" x14ac:dyDescent="0.2">
      <c r="A35" s="818" t="s">
        <v>7021</v>
      </c>
      <c r="B35" s="9"/>
      <c r="C35" s="9"/>
      <c r="D35" s="2554"/>
      <c r="E35" s="1596"/>
      <c r="F35" s="1596">
        <f>IF(SUM(F$9:F$9)=0,0,'Cap-Gen'!E119)</f>
        <v>0</v>
      </c>
      <c r="G35" s="1596">
        <f>IF(SUM(G$9:G$9)=0,0,'Cap-Gen'!F119)</f>
        <v>0</v>
      </c>
      <c r="H35" s="1596">
        <f>IF(SUM(H$9:H$9)=0,0,'Cap-Gen'!G119)</f>
        <v>389600</v>
      </c>
      <c r="I35" s="1596">
        <f>IF(SUM(I$9:I$9)=0,0,'Cap-Gen'!H119)</f>
        <v>711100</v>
      </c>
      <c r="J35" s="1596">
        <f>IF(SUM(J$9:J$9)=0,0,'Cap-Gen'!I119)</f>
        <v>1174300</v>
      </c>
      <c r="K35" s="2432">
        <f>IF(SUM(K$9:K$9)=0,0,'Cap-Gen'!J119)</f>
        <v>0</v>
      </c>
      <c r="L35" s="2432">
        <f>IF(SUM(L$9:L$9)=0,0,'Cap-Gen'!K119)</f>
        <v>0</v>
      </c>
      <c r="M35" s="2432">
        <f>IF(SUM(M$9:M$9)=0,0,'Cap-Gen'!L119)</f>
        <v>0</v>
      </c>
      <c r="N35" s="1596">
        <f>IF(SUM(N$9:N$9)=0,0,'Cap-Gen'!M119)</f>
        <v>0</v>
      </c>
      <c r="O35" s="1596">
        <f>IF(SUM(O$9:O$9)=0,0,'Cap-Gen'!N119)</f>
        <v>0</v>
      </c>
      <c r="P35" s="1596">
        <f>IF(SUM(P$9:P$9)=0,0,'Cap-Gen'!O119)</f>
        <v>0</v>
      </c>
      <c r="Q35" s="1626">
        <f>IF(SUM(Q$9:Q$9)=0,0,'Cap-Gen'!Q119)</f>
        <v>0</v>
      </c>
    </row>
    <row r="36" spans="1:17" x14ac:dyDescent="0.2">
      <c r="A36" s="818" t="s">
        <v>3734</v>
      </c>
      <c r="B36" s="9"/>
      <c r="C36" s="9"/>
      <c r="D36" s="1242"/>
      <c r="E36" s="1246"/>
      <c r="F36" s="1596">
        <f>IF(SUM(F$9:F$9)=0,0,'Cap-Gen'!E98)</f>
        <v>0</v>
      </c>
      <c r="G36" s="1596">
        <f>IF(SUM(G$9:G$9)=0,0,'Cap-Gen'!F98)</f>
        <v>0</v>
      </c>
      <c r="H36" s="1596">
        <f>IF(SUM(H$9:H$9)=0,0,'Cap-Gen'!G98)</f>
        <v>0</v>
      </c>
      <c r="I36" s="1596">
        <f>IF(SUM(I$9:I$9)=0,0,'Cap-Gen'!H98)</f>
        <v>150000</v>
      </c>
      <c r="J36" s="1596">
        <f>IF(SUM(J$9:J$9)=0,0,'Cap-Gen'!I98)</f>
        <v>280000</v>
      </c>
      <c r="K36" s="2432">
        <f>IF(SUM(K$9:K$9)=0,0,'Cap-Gen'!J98)</f>
        <v>0</v>
      </c>
      <c r="L36" s="2432">
        <f>IF(SUM(L$9:L$9)=0,0,'Cap-Gen'!K98)</f>
        <v>0</v>
      </c>
      <c r="M36" s="2432">
        <f>IF(SUM(M$9:M$9)=0,0,'Cap-Gen'!L98)</f>
        <v>0</v>
      </c>
      <c r="N36" s="1596">
        <f>IF(SUM(N$9:N$9)=0,0,'Cap-Gen'!M98)</f>
        <v>0</v>
      </c>
      <c r="O36" s="1596">
        <f>IF(SUM(O$9:O$9)=0,0,'Cap-Gen'!N98)</f>
        <v>0</v>
      </c>
      <c r="P36" s="1596">
        <f>IF(SUM(P$9:P$9)=0,0,'Cap-Gen'!O98)</f>
        <v>0</v>
      </c>
      <c r="Q36" s="1626">
        <f>IF(SUM(Q$9:Q$9)=0,0,'Cap-Gen'!Q98)</f>
        <v>0</v>
      </c>
    </row>
    <row r="37" spans="1:17" x14ac:dyDescent="0.2">
      <c r="A37" s="818" t="s">
        <v>3939</v>
      </c>
      <c r="B37" s="9"/>
      <c r="C37" s="9"/>
      <c r="D37" s="1242"/>
      <c r="E37" s="1246"/>
      <c r="F37" s="1596">
        <f>IF(SUM(F$9:F$9)=0,0,'Cap-Gen'!E175)</f>
        <v>0</v>
      </c>
      <c r="G37" s="1596">
        <f>IF(SUM(G$9:G$9)=0,0,'Cap-Gen'!F175)</f>
        <v>0</v>
      </c>
      <c r="H37" s="1596">
        <f>IF(SUM(H$9:H$9)=0,0,'Cap-Gen'!G175)</f>
        <v>0</v>
      </c>
      <c r="I37" s="1596">
        <f>IF(SUM(I$9:I$9)=0,0,'Cap-Gen'!H175)</f>
        <v>270000</v>
      </c>
      <c r="J37" s="1596">
        <f>IF(SUM(J$9:J$9)=0,0,'Cap-Gen'!I175)</f>
        <v>480000</v>
      </c>
      <c r="K37" s="2432">
        <f>IF(SUM(K$9:K$9)=0,0,'Cap-Gen'!J175)</f>
        <v>0</v>
      </c>
      <c r="L37" s="2432">
        <f>IF(SUM(L$9:L$9)=0,0,'Cap-Gen'!K175)</f>
        <v>0</v>
      </c>
      <c r="M37" s="2432">
        <f>IF(SUM(M$9:M$9)=0,0,'Cap-Gen'!L175)</f>
        <v>0</v>
      </c>
      <c r="N37" s="1596">
        <f>IF(SUM(N$9:N$9)=0,0,'Cap-Gen'!M175)</f>
        <v>0</v>
      </c>
      <c r="O37" s="1596">
        <f>IF(SUM(O$9:O$9)=0,0,'Cap-Gen'!N175)</f>
        <v>0</v>
      </c>
      <c r="P37" s="1596">
        <f>IF(SUM(P$9:P$9)=0,0,'Cap-Gen'!O175)</f>
        <v>0</v>
      </c>
      <c r="Q37" s="1626">
        <f>IF(SUM(Q$9:Q$9)=0,0,'Cap-Gen'!Q175)</f>
        <v>0</v>
      </c>
    </row>
    <row r="38" spans="1:17" x14ac:dyDescent="0.2">
      <c r="A38" s="818" t="s">
        <v>7022</v>
      </c>
      <c r="B38" s="9"/>
      <c r="C38" s="9"/>
      <c r="D38" s="1242"/>
      <c r="E38" s="1246"/>
      <c r="F38" s="1596">
        <f>IF(SUM(F$9:F$9)=0,0,CIV!D983)</f>
        <v>0</v>
      </c>
      <c r="G38" s="1596">
        <f>IF(SUM(G$9:G$9)=0,0,CIV!G983)</f>
        <v>0</v>
      </c>
      <c r="H38" s="1596">
        <f>IF(SUM(H$9:H$9)=0,0,DEH!I380)</f>
        <v>307600</v>
      </c>
      <c r="I38" s="1596">
        <f>IF(SUM(I$9:I$9)=0,0,DEH!J380)</f>
        <v>315300</v>
      </c>
      <c r="J38" s="1596">
        <f>IF(SUM(J$9:J$9)=0,0,DEH!K380)</f>
        <v>323100</v>
      </c>
      <c r="K38" s="2432">
        <f>IF(SUM(K$9:K$9)=0,0,CIV!L983)</f>
        <v>0</v>
      </c>
      <c r="L38" s="2432">
        <f>IF(SUM(L$9:L$9)=0,0,CIV!M983)</f>
        <v>0</v>
      </c>
      <c r="M38" s="2432">
        <f>IF(SUM(M$9:M$9)=0,0,CIV!N983)</f>
        <v>0</v>
      </c>
      <c r="N38" s="1596">
        <f>IF(SUM(N$9:N$9)=0,0,CIV!O983)</f>
        <v>0</v>
      </c>
      <c r="O38" s="1596">
        <f>IF(SUM(O$9:O$9)=0,0,CIV!P983)</f>
        <v>0</v>
      </c>
      <c r="P38" s="1596">
        <f>IF(SUM(P$9:P$9)=0,0,CIV!Q983)</f>
        <v>0</v>
      </c>
      <c r="Q38" s="1626">
        <f>IF(SUM(Q$9:Q$9)=0,0,CIV!R983)</f>
        <v>0</v>
      </c>
    </row>
    <row r="39" spans="1:17" s="1" customFormat="1" x14ac:dyDescent="0.2">
      <c r="A39" s="1590" t="s">
        <v>2453</v>
      </c>
      <c r="B39" s="8"/>
      <c r="C39" s="8"/>
      <c r="D39" s="1245"/>
      <c r="E39" s="1056"/>
      <c r="F39" s="1594">
        <f>SUM(F35:F38)</f>
        <v>0</v>
      </c>
      <c r="G39" s="1594">
        <f t="shared" ref="G39:H39" si="51">SUM(G35:G38)</f>
        <v>0</v>
      </c>
      <c r="H39" s="1594">
        <f t="shared" si="51"/>
        <v>697200</v>
      </c>
      <c r="I39" s="1594">
        <f t="shared" ref="I39" si="52">SUM(I35:I38)</f>
        <v>1446400</v>
      </c>
      <c r="J39" s="1594">
        <f t="shared" ref="J39" si="53">SUM(J35:J38)</f>
        <v>2257400</v>
      </c>
      <c r="K39" s="1594">
        <f t="shared" ref="K39" si="54">SUM(K35:K38)</f>
        <v>0</v>
      </c>
      <c r="L39" s="1594">
        <f t="shared" ref="L39" si="55">SUM(L35:L38)</f>
        <v>0</v>
      </c>
      <c r="M39" s="1595">
        <f t="shared" ref="M39" si="56">SUM(M35:M38)</f>
        <v>0</v>
      </c>
      <c r="N39" s="1594">
        <f t="shared" ref="N39" si="57">SUM(N35:N38)</f>
        <v>0</v>
      </c>
      <c r="O39" s="1594">
        <f t="shared" ref="O39" si="58">SUM(O35:O38)</f>
        <v>0</v>
      </c>
      <c r="P39" s="1594">
        <f t="shared" ref="P39" si="59">SUM(P35:P38)</f>
        <v>0</v>
      </c>
      <c r="Q39" s="1625">
        <f t="shared" ref="Q39" si="60">SUM(Q35:Q38)</f>
        <v>0</v>
      </c>
    </row>
    <row r="40" spans="1:17" s="1" customFormat="1" x14ac:dyDescent="0.2">
      <c r="A40" s="807"/>
      <c r="B40" s="8"/>
      <c r="C40" s="8"/>
      <c r="D40" s="1245"/>
      <c r="E40" s="1448"/>
      <c r="F40" s="1246"/>
      <c r="G40" s="2231"/>
      <c r="H40" s="1448"/>
      <c r="I40" s="1448"/>
      <c r="J40" s="1448"/>
      <c r="K40" s="1522"/>
      <c r="L40" s="1522"/>
      <c r="M40" s="1522"/>
      <c r="N40" s="1246"/>
      <c r="O40" s="1246"/>
      <c r="P40" s="2230"/>
      <c r="Q40" s="2241"/>
    </row>
    <row r="41" spans="1:17" s="1" customFormat="1" x14ac:dyDescent="0.2">
      <c r="A41" s="1590" t="s">
        <v>4491</v>
      </c>
      <c r="B41" s="8"/>
      <c r="C41" s="8"/>
      <c r="D41" s="1245"/>
      <c r="E41" s="1448"/>
      <c r="F41" s="1246"/>
      <c r="G41" s="2231"/>
      <c r="H41" s="1448"/>
      <c r="I41" s="1448"/>
      <c r="J41" s="1448"/>
      <c r="K41" s="1522"/>
      <c r="L41" s="1522"/>
      <c r="M41" s="1522"/>
      <c r="N41" s="1246"/>
      <c r="O41" s="1246"/>
      <c r="P41" s="2230"/>
      <c r="Q41" s="2241"/>
    </row>
    <row r="42" spans="1:17" s="779" customFormat="1" x14ac:dyDescent="0.2">
      <c r="A42" s="807" t="s">
        <v>4493</v>
      </c>
      <c r="B42" s="890"/>
      <c r="C42" s="890"/>
      <c r="D42" s="1591"/>
      <c r="E42" s="1059">
        <v>0</v>
      </c>
      <c r="F42" s="1592">
        <v>0</v>
      </c>
      <c r="G42" s="949">
        <f>ROUND(F42*G$6+F42,-3)</f>
        <v>0</v>
      </c>
      <c r="H42" s="1059">
        <f t="shared" ref="H42" si="61">ROUND(G42*H$6+G42,-3)</f>
        <v>0</v>
      </c>
      <c r="I42" s="1059">
        <f t="shared" ref="I42:I44" si="62">H42</f>
        <v>0</v>
      </c>
      <c r="J42" s="1059">
        <v>0</v>
      </c>
      <c r="K42" s="1593">
        <v>500000</v>
      </c>
      <c r="L42" s="1593">
        <v>500000</v>
      </c>
      <c r="M42" s="1593">
        <v>500000</v>
      </c>
      <c r="N42" s="1592">
        <f t="shared" ref="N42:Q44" si="63">M42</f>
        <v>500000</v>
      </c>
      <c r="O42" s="1592">
        <f t="shared" si="63"/>
        <v>500000</v>
      </c>
      <c r="P42" s="2674">
        <f t="shared" si="63"/>
        <v>500000</v>
      </c>
      <c r="Q42" s="2242">
        <f t="shared" si="63"/>
        <v>500000</v>
      </c>
    </row>
    <row r="43" spans="1:17" s="779" customFormat="1" x14ac:dyDescent="0.2">
      <c r="A43" s="807" t="s">
        <v>4494</v>
      </c>
      <c r="B43" s="890"/>
      <c r="C43" s="890"/>
      <c r="D43" s="1591"/>
      <c r="E43" s="1059">
        <v>0</v>
      </c>
      <c r="F43" s="1592">
        <v>0</v>
      </c>
      <c r="G43" s="949">
        <f t="shared" ref="G43:H44" si="64">ROUND(F43*G$6+F43,-3)</f>
        <v>0</v>
      </c>
      <c r="H43" s="1059">
        <f t="shared" si="64"/>
        <v>0</v>
      </c>
      <c r="I43" s="1059">
        <f t="shared" si="62"/>
        <v>0</v>
      </c>
      <c r="J43" s="1059">
        <v>0</v>
      </c>
      <c r="K43" s="1593">
        <v>250000</v>
      </c>
      <c r="L43" s="1593">
        <v>250000</v>
      </c>
      <c r="M43" s="1593">
        <f>L43</f>
        <v>250000</v>
      </c>
      <c r="N43" s="1592">
        <f t="shared" si="63"/>
        <v>250000</v>
      </c>
      <c r="O43" s="1592">
        <f t="shared" si="63"/>
        <v>250000</v>
      </c>
      <c r="P43" s="2674">
        <f t="shared" si="63"/>
        <v>250000</v>
      </c>
      <c r="Q43" s="2242">
        <f t="shared" si="63"/>
        <v>250000</v>
      </c>
    </row>
    <row r="44" spans="1:17" s="779" customFormat="1" x14ac:dyDescent="0.2">
      <c r="A44" s="807" t="s">
        <v>4876</v>
      </c>
      <c r="B44" s="890"/>
      <c r="C44" s="890"/>
      <c r="D44" s="1591"/>
      <c r="E44" s="1059">
        <v>0</v>
      </c>
      <c r="F44" s="1592">
        <v>0</v>
      </c>
      <c r="G44" s="949">
        <f t="shared" si="64"/>
        <v>0</v>
      </c>
      <c r="H44" s="1059">
        <f t="shared" si="64"/>
        <v>0</v>
      </c>
      <c r="I44" s="1059">
        <f t="shared" si="62"/>
        <v>0</v>
      </c>
      <c r="J44" s="1059">
        <v>0</v>
      </c>
      <c r="K44" s="1593">
        <v>250000</v>
      </c>
      <c r="L44" s="1593">
        <v>250000</v>
      </c>
      <c r="M44" s="1593">
        <f>L44</f>
        <v>250000</v>
      </c>
      <c r="N44" s="1592">
        <f t="shared" si="63"/>
        <v>250000</v>
      </c>
      <c r="O44" s="1592">
        <f t="shared" si="63"/>
        <v>250000</v>
      </c>
      <c r="P44" s="2674">
        <f t="shared" si="63"/>
        <v>250000</v>
      </c>
      <c r="Q44" s="2242">
        <f t="shared" si="63"/>
        <v>250000</v>
      </c>
    </row>
    <row r="45" spans="1:17" s="1" customFormat="1" x14ac:dyDescent="0.2">
      <c r="A45" s="1590" t="s">
        <v>4492</v>
      </c>
      <c r="B45" s="8"/>
      <c r="C45" s="8"/>
      <c r="D45" s="1245"/>
      <c r="E45" s="1056">
        <f t="shared" ref="E45:P45" si="65">SUM(E42:E44)</f>
        <v>0</v>
      </c>
      <c r="F45" s="1594">
        <f t="shared" si="65"/>
        <v>0</v>
      </c>
      <c r="G45" s="1049">
        <f t="shared" si="65"/>
        <v>0</v>
      </c>
      <c r="H45" s="1056">
        <f t="shared" si="65"/>
        <v>0</v>
      </c>
      <c r="I45" s="1056">
        <f t="shared" si="65"/>
        <v>0</v>
      </c>
      <c r="J45" s="1056">
        <f t="shared" si="65"/>
        <v>0</v>
      </c>
      <c r="K45" s="1595">
        <f t="shared" si="65"/>
        <v>1000000</v>
      </c>
      <c r="L45" s="1595">
        <f t="shared" si="65"/>
        <v>1000000</v>
      </c>
      <c r="M45" s="1595">
        <f t="shared" si="65"/>
        <v>1000000</v>
      </c>
      <c r="N45" s="1594">
        <f t="shared" si="65"/>
        <v>1000000</v>
      </c>
      <c r="O45" s="1594">
        <f t="shared" si="65"/>
        <v>1000000</v>
      </c>
      <c r="P45" s="1594">
        <f t="shared" si="65"/>
        <v>1000000</v>
      </c>
      <c r="Q45" s="1625">
        <f t="shared" ref="Q45" si="66">SUM(Q42:Q44)</f>
        <v>1000000</v>
      </c>
    </row>
    <row r="46" spans="1:17" s="1" customFormat="1" x14ac:dyDescent="0.2">
      <c r="A46" s="807"/>
      <c r="B46" s="8"/>
      <c r="C46" s="8"/>
      <c r="D46" s="1245"/>
      <c r="E46" s="1059"/>
      <c r="F46" s="1596"/>
      <c r="G46" s="949"/>
      <c r="H46" s="1059"/>
      <c r="I46" s="1059"/>
      <c r="J46" s="1059"/>
      <c r="K46" s="1593"/>
      <c r="L46" s="1593"/>
      <c r="M46" s="1593"/>
      <c r="N46" s="1596"/>
      <c r="O46" s="1596"/>
      <c r="P46" s="1596"/>
      <c r="Q46" s="1626"/>
    </row>
    <row r="47" spans="1:17" s="1" customFormat="1" x14ac:dyDescent="0.2">
      <c r="A47" s="1140" t="s">
        <v>3300</v>
      </c>
      <c r="B47" s="8"/>
      <c r="C47" s="8"/>
      <c r="D47" s="1245"/>
      <c r="E47" s="1239"/>
      <c r="F47" s="1239"/>
      <c r="G47" s="1243"/>
      <c r="H47" s="1239"/>
      <c r="I47" s="1239"/>
      <c r="J47" s="1239"/>
      <c r="K47" s="1240"/>
      <c r="L47" s="1240"/>
      <c r="M47" s="1240"/>
      <c r="N47" s="1239"/>
      <c r="O47" s="1239"/>
      <c r="P47" s="1239"/>
      <c r="Q47" s="1241"/>
    </row>
    <row r="48" spans="1:17" s="805" customFormat="1" x14ac:dyDescent="0.2">
      <c r="A48" s="809" t="s">
        <v>3301</v>
      </c>
      <c r="B48" s="746"/>
      <c r="C48" s="746"/>
      <c r="D48" s="1839">
        <v>0.09</v>
      </c>
      <c r="E48" s="1243">
        <v>0.1</v>
      </c>
      <c r="F48" s="1243">
        <v>7.0000000000000007E-2</v>
      </c>
      <c r="G48" s="1243">
        <v>7.0000000000000007E-2</v>
      </c>
      <c r="H48" s="1243">
        <v>0.03</v>
      </c>
      <c r="I48" s="1243">
        <v>2.5000000000000001E-2</v>
      </c>
      <c r="J48" s="1243">
        <v>2.5000000000000001E-2</v>
      </c>
      <c r="K48" s="1247">
        <v>0.04</v>
      </c>
      <c r="L48" s="1247">
        <v>0.03</v>
      </c>
      <c r="M48" s="1247">
        <f>L48</f>
        <v>0.03</v>
      </c>
      <c r="N48" s="1243">
        <v>0.03</v>
      </c>
      <c r="O48" s="1243">
        <f>N48</f>
        <v>0.03</v>
      </c>
      <c r="P48" s="1243">
        <f t="shared" ref="P48:Q49" si="67">O48</f>
        <v>0.03</v>
      </c>
      <c r="Q48" s="919">
        <f t="shared" si="67"/>
        <v>0.03</v>
      </c>
    </row>
    <row r="49" spans="1:17" s="805" customFormat="1" x14ac:dyDescent="0.2">
      <c r="A49" s="809" t="s">
        <v>3302</v>
      </c>
      <c r="B49" s="746"/>
      <c r="C49" s="746"/>
      <c r="D49" s="1839">
        <v>0.09</v>
      </c>
      <c r="E49" s="1243">
        <v>0.1</v>
      </c>
      <c r="F49" s="1243">
        <f t="shared" ref="F49:I49" si="68">F48</f>
        <v>7.0000000000000007E-2</v>
      </c>
      <c r="G49" s="1243">
        <f t="shared" si="68"/>
        <v>7.0000000000000007E-2</v>
      </c>
      <c r="H49" s="1243">
        <f t="shared" si="68"/>
        <v>0.03</v>
      </c>
      <c r="I49" s="1243">
        <f t="shared" si="68"/>
        <v>2.5000000000000001E-2</v>
      </c>
      <c r="J49" s="1243">
        <f>J48</f>
        <v>2.5000000000000001E-2</v>
      </c>
      <c r="K49" s="1247">
        <v>0.04</v>
      </c>
      <c r="L49" s="1247">
        <v>0.03</v>
      </c>
      <c r="M49" s="1247">
        <f>L49</f>
        <v>0.03</v>
      </c>
      <c r="N49" s="1243">
        <v>0.03</v>
      </c>
      <c r="O49" s="1243">
        <f>N49</f>
        <v>0.03</v>
      </c>
      <c r="P49" s="1243">
        <f t="shared" si="67"/>
        <v>0.03</v>
      </c>
      <c r="Q49" s="919">
        <f t="shared" si="67"/>
        <v>0.03</v>
      </c>
    </row>
    <row r="50" spans="1:17" s="1" customFormat="1" x14ac:dyDescent="0.2">
      <c r="A50" s="807" t="s">
        <v>3965</v>
      </c>
      <c r="B50" s="8"/>
      <c r="C50" s="8"/>
      <c r="D50" s="1248"/>
      <c r="E50" s="1249">
        <v>14031</v>
      </c>
      <c r="F50" s="1249">
        <v>14159</v>
      </c>
      <c r="G50" s="1883">
        <v>14416</v>
      </c>
      <c r="H50" s="1249">
        <f t="shared" ref="H50:Q50" si="69">G50*H53+G50</f>
        <v>14524.12</v>
      </c>
      <c r="I50" s="1249">
        <f t="shared" si="69"/>
        <v>14633.0509</v>
      </c>
      <c r="J50" s="1249">
        <f t="shared" si="69"/>
        <v>14742.79878175</v>
      </c>
      <c r="K50" s="1249">
        <f t="shared" si="69"/>
        <v>14853.369772613125</v>
      </c>
      <c r="L50" s="1249">
        <f t="shared" si="69"/>
        <v>14964.770045907724</v>
      </c>
      <c r="M50" s="1249">
        <f t="shared" si="69"/>
        <v>15077.005821252033</v>
      </c>
      <c r="N50" s="1249">
        <f t="shared" si="69"/>
        <v>15190.083364911423</v>
      </c>
      <c r="O50" s="1249">
        <f t="shared" si="69"/>
        <v>15304.008990148259</v>
      </c>
      <c r="P50" s="1249">
        <f t="shared" si="69"/>
        <v>15418.789057574371</v>
      </c>
      <c r="Q50" s="1250">
        <f t="shared" si="69"/>
        <v>15534.429975506178</v>
      </c>
    </row>
    <row r="51" spans="1:17" s="1" customFormat="1" x14ac:dyDescent="0.2">
      <c r="A51" s="807" t="s">
        <v>3966</v>
      </c>
      <c r="B51" s="8"/>
      <c r="C51" s="8"/>
      <c r="D51" s="1248"/>
      <c r="E51" s="1249">
        <v>467</v>
      </c>
      <c r="F51" s="1249">
        <v>488</v>
      </c>
      <c r="G51" s="1883">
        <v>432</v>
      </c>
      <c r="H51" s="1249">
        <f t="shared" ref="H51:M51" si="70">G51</f>
        <v>432</v>
      </c>
      <c r="I51" s="1249">
        <f t="shared" si="70"/>
        <v>432</v>
      </c>
      <c r="J51" s="1249">
        <f t="shared" si="70"/>
        <v>432</v>
      </c>
      <c r="K51" s="1249">
        <f t="shared" si="70"/>
        <v>432</v>
      </c>
      <c r="L51" s="1249">
        <f t="shared" si="70"/>
        <v>432</v>
      </c>
      <c r="M51" s="1249">
        <f t="shared" si="70"/>
        <v>432</v>
      </c>
      <c r="N51" s="1249">
        <f>M51</f>
        <v>432</v>
      </c>
      <c r="O51" s="1249">
        <f>N51</f>
        <v>432</v>
      </c>
      <c r="P51" s="1249">
        <f>O51</f>
        <v>432</v>
      </c>
      <c r="Q51" s="1250">
        <f>P51</f>
        <v>432</v>
      </c>
    </row>
    <row r="52" spans="1:17" s="1" customFormat="1" x14ac:dyDescent="0.2">
      <c r="A52" s="807" t="s">
        <v>579</v>
      </c>
      <c r="B52" s="8"/>
      <c r="C52" s="8"/>
      <c r="D52" s="1248">
        <v>1380</v>
      </c>
      <c r="E52" s="1249">
        <f>D52*E54+D52</f>
        <v>1380</v>
      </c>
      <c r="F52" s="1249">
        <v>1203</v>
      </c>
      <c r="G52" s="1883">
        <f t="shared" ref="G52:Q52" si="71">F52*G54+F52</f>
        <v>1203</v>
      </c>
      <c r="H52" s="1249">
        <f t="shared" si="71"/>
        <v>1203</v>
      </c>
      <c r="I52" s="1249">
        <f t="shared" si="71"/>
        <v>1203</v>
      </c>
      <c r="J52" s="1249">
        <f t="shared" si="71"/>
        <v>1203</v>
      </c>
      <c r="K52" s="1249">
        <f t="shared" si="71"/>
        <v>1203</v>
      </c>
      <c r="L52" s="1249">
        <f t="shared" si="71"/>
        <v>1203</v>
      </c>
      <c r="M52" s="1249">
        <f t="shared" si="71"/>
        <v>1203</v>
      </c>
      <c r="N52" s="1631">
        <f t="shared" si="71"/>
        <v>1203</v>
      </c>
      <c r="O52" s="1249">
        <f t="shared" si="71"/>
        <v>1203</v>
      </c>
      <c r="P52" s="1249">
        <f t="shared" si="71"/>
        <v>1203</v>
      </c>
      <c r="Q52" s="1250">
        <f t="shared" si="71"/>
        <v>1203</v>
      </c>
    </row>
    <row r="53" spans="1:17" s="1" customFormat="1" x14ac:dyDescent="0.2">
      <c r="A53" s="807" t="s">
        <v>2578</v>
      </c>
      <c r="B53" s="8"/>
      <c r="C53" s="8"/>
      <c r="D53" s="1251"/>
      <c r="E53" s="1239">
        <v>7.4999999999999997E-3</v>
      </c>
      <c r="F53" s="1239">
        <f>E53</f>
        <v>7.4999999999999997E-3</v>
      </c>
      <c r="G53" s="1243">
        <f t="shared" ref="G53:Q53" si="72">F53</f>
        <v>7.4999999999999997E-3</v>
      </c>
      <c r="H53" s="1239">
        <f t="shared" si="72"/>
        <v>7.4999999999999997E-3</v>
      </c>
      <c r="I53" s="1239">
        <f t="shared" si="72"/>
        <v>7.4999999999999997E-3</v>
      </c>
      <c r="J53" s="1239">
        <f t="shared" si="72"/>
        <v>7.4999999999999997E-3</v>
      </c>
      <c r="K53" s="1240">
        <f t="shared" si="72"/>
        <v>7.4999999999999997E-3</v>
      </c>
      <c r="L53" s="1240">
        <f t="shared" si="72"/>
        <v>7.4999999999999997E-3</v>
      </c>
      <c r="M53" s="1239">
        <f t="shared" si="72"/>
        <v>7.4999999999999997E-3</v>
      </c>
      <c r="N53" s="1630">
        <f t="shared" si="72"/>
        <v>7.4999999999999997E-3</v>
      </c>
      <c r="O53" s="1239">
        <f t="shared" si="72"/>
        <v>7.4999999999999997E-3</v>
      </c>
      <c r="P53" s="1239">
        <f t="shared" si="72"/>
        <v>7.4999999999999997E-3</v>
      </c>
      <c r="Q53" s="1241">
        <f t="shared" si="72"/>
        <v>7.4999999999999997E-3</v>
      </c>
    </row>
    <row r="54" spans="1:17" s="1" customFormat="1" x14ac:dyDescent="0.2">
      <c r="A54" s="807" t="s">
        <v>991</v>
      </c>
      <c r="B54" s="8"/>
      <c r="C54" s="8"/>
      <c r="D54" s="1251"/>
      <c r="E54" s="1239">
        <v>0</v>
      </c>
      <c r="F54" s="1239">
        <f t="shared" ref="F54:Q54" si="73">E54</f>
        <v>0</v>
      </c>
      <c r="G54" s="1243">
        <f t="shared" si="73"/>
        <v>0</v>
      </c>
      <c r="H54" s="1239">
        <f t="shared" si="73"/>
        <v>0</v>
      </c>
      <c r="I54" s="1239">
        <f t="shared" si="73"/>
        <v>0</v>
      </c>
      <c r="J54" s="1239">
        <f t="shared" si="73"/>
        <v>0</v>
      </c>
      <c r="K54" s="1240">
        <f t="shared" si="73"/>
        <v>0</v>
      </c>
      <c r="L54" s="1240">
        <f t="shared" si="73"/>
        <v>0</v>
      </c>
      <c r="M54" s="1239">
        <f t="shared" si="73"/>
        <v>0</v>
      </c>
      <c r="N54" s="1630">
        <f t="shared" si="73"/>
        <v>0</v>
      </c>
      <c r="O54" s="1239">
        <f t="shared" si="73"/>
        <v>0</v>
      </c>
      <c r="P54" s="1239">
        <f t="shared" si="73"/>
        <v>0</v>
      </c>
      <c r="Q54" s="1241">
        <f t="shared" si="73"/>
        <v>0</v>
      </c>
    </row>
    <row r="55" spans="1:17" x14ac:dyDescent="0.2">
      <c r="A55" s="818" t="s">
        <v>3964</v>
      </c>
      <c r="B55" s="9"/>
      <c r="C55" s="9"/>
      <c r="D55" s="1252">
        <v>734</v>
      </c>
      <c r="E55" s="1246">
        <f t="shared" ref="E55:Q55" si="74">ROUND(D55*E48+D55,)</f>
        <v>807</v>
      </c>
      <c r="F55" s="1246">
        <f t="shared" si="74"/>
        <v>863</v>
      </c>
      <c r="G55" s="2230">
        <v>925</v>
      </c>
      <c r="H55" s="1246">
        <f t="shared" si="74"/>
        <v>953</v>
      </c>
      <c r="I55" s="1246">
        <f t="shared" si="74"/>
        <v>977</v>
      </c>
      <c r="J55" s="1246">
        <f t="shared" si="74"/>
        <v>1001</v>
      </c>
      <c r="K55" s="1246">
        <f t="shared" si="74"/>
        <v>1041</v>
      </c>
      <c r="L55" s="1246">
        <f t="shared" si="74"/>
        <v>1072</v>
      </c>
      <c r="M55" s="1246">
        <f t="shared" si="74"/>
        <v>1104</v>
      </c>
      <c r="N55" s="1632">
        <f t="shared" si="74"/>
        <v>1137</v>
      </c>
      <c r="O55" s="1246">
        <f t="shared" si="74"/>
        <v>1171</v>
      </c>
      <c r="P55" s="1246">
        <f t="shared" si="74"/>
        <v>1206</v>
      </c>
      <c r="Q55" s="1253">
        <f t="shared" si="74"/>
        <v>1242</v>
      </c>
    </row>
    <row r="56" spans="1:17" x14ac:dyDescent="0.2">
      <c r="A56" s="818" t="s">
        <v>3967</v>
      </c>
      <c r="B56" s="9"/>
      <c r="C56" s="9"/>
      <c r="D56" s="1252">
        <v>553</v>
      </c>
      <c r="E56" s="1246">
        <f t="shared" ref="E56:Q56" si="75">ROUND(D56*E48+D56,)</f>
        <v>608</v>
      </c>
      <c r="F56" s="1246">
        <f t="shared" si="75"/>
        <v>651</v>
      </c>
      <c r="G56" s="2230">
        <f t="shared" si="75"/>
        <v>697</v>
      </c>
      <c r="H56" s="1246">
        <f t="shared" si="75"/>
        <v>718</v>
      </c>
      <c r="I56" s="1246">
        <f t="shared" si="75"/>
        <v>736</v>
      </c>
      <c r="J56" s="1246">
        <f t="shared" si="75"/>
        <v>754</v>
      </c>
      <c r="K56" s="1246">
        <f t="shared" si="75"/>
        <v>784</v>
      </c>
      <c r="L56" s="1246">
        <f t="shared" si="75"/>
        <v>808</v>
      </c>
      <c r="M56" s="1246">
        <f t="shared" si="75"/>
        <v>832</v>
      </c>
      <c r="N56" s="1632">
        <f t="shared" si="75"/>
        <v>857</v>
      </c>
      <c r="O56" s="1246">
        <f t="shared" si="75"/>
        <v>883</v>
      </c>
      <c r="P56" s="1246">
        <f t="shared" si="75"/>
        <v>909</v>
      </c>
      <c r="Q56" s="1253">
        <f t="shared" si="75"/>
        <v>936</v>
      </c>
    </row>
    <row r="57" spans="1:17" x14ac:dyDescent="0.2">
      <c r="A57" s="818" t="s">
        <v>3968</v>
      </c>
      <c r="B57" s="9"/>
      <c r="C57" s="9"/>
      <c r="D57" s="1248">
        <v>640000</v>
      </c>
      <c r="E57" s="1246">
        <f t="shared" ref="E57:Q57" si="76">ROUND(D57*E49+D57,-2)</f>
        <v>704000</v>
      </c>
      <c r="F57" s="1246">
        <f t="shared" si="76"/>
        <v>753300</v>
      </c>
      <c r="G57" s="2230">
        <f t="shared" si="76"/>
        <v>806000</v>
      </c>
      <c r="H57" s="1246">
        <f t="shared" si="76"/>
        <v>830200</v>
      </c>
      <c r="I57" s="1246">
        <f t="shared" si="76"/>
        <v>851000</v>
      </c>
      <c r="J57" s="1246">
        <f t="shared" si="76"/>
        <v>872300</v>
      </c>
      <c r="K57" s="1254">
        <f t="shared" si="76"/>
        <v>907200</v>
      </c>
      <c r="L57" s="1254">
        <f t="shared" si="76"/>
        <v>934400</v>
      </c>
      <c r="M57" s="1246">
        <f t="shared" si="76"/>
        <v>962400</v>
      </c>
      <c r="N57" s="1632">
        <f t="shared" si="76"/>
        <v>991300</v>
      </c>
      <c r="O57" s="1246">
        <f t="shared" si="76"/>
        <v>1021000</v>
      </c>
      <c r="P57" s="1246">
        <f t="shared" si="76"/>
        <v>1051600</v>
      </c>
      <c r="Q57" s="1253">
        <f t="shared" si="76"/>
        <v>1083100</v>
      </c>
    </row>
    <row r="58" spans="1:17" s="805" customFormat="1" x14ac:dyDescent="0.2">
      <c r="A58" s="810"/>
      <c r="B58" s="746"/>
      <c r="C58" s="746"/>
      <c r="D58" s="1255"/>
      <c r="E58" s="1243"/>
      <c r="F58" s="1246"/>
      <c r="G58" s="1243"/>
      <c r="H58" s="1243"/>
      <c r="I58" s="1243"/>
      <c r="J58" s="1243"/>
      <c r="K58" s="1247"/>
      <c r="L58" s="1247"/>
      <c r="M58" s="1243"/>
      <c r="N58" s="1633"/>
      <c r="O58" s="1243"/>
      <c r="P58" s="1243"/>
      <c r="Q58" s="919"/>
    </row>
    <row r="59" spans="1:17" s="805" customFormat="1" x14ac:dyDescent="0.2">
      <c r="A59" s="808" t="s">
        <v>819</v>
      </c>
      <c r="B59" s="746"/>
      <c r="C59" s="746"/>
      <c r="D59" s="1252"/>
      <c r="E59" s="1243"/>
      <c r="F59" s="1246"/>
      <c r="G59" s="1243"/>
      <c r="H59" s="1243"/>
      <c r="I59" s="1243"/>
      <c r="J59" s="1243"/>
      <c r="K59" s="1247"/>
      <c r="L59" s="1247"/>
      <c r="M59" s="1243"/>
      <c r="N59" s="1633"/>
      <c r="O59" s="1243"/>
      <c r="P59" s="1243"/>
      <c r="Q59" s="919"/>
    </row>
    <row r="60" spans="1:17" s="1039" customFormat="1" x14ac:dyDescent="0.2">
      <c r="A60" s="809" t="s">
        <v>4336</v>
      </c>
      <c r="B60" s="1099"/>
      <c r="C60" s="1099"/>
      <c r="D60" s="1521"/>
      <c r="E60" s="1239">
        <v>0.06</v>
      </c>
      <c r="F60" s="1239">
        <v>0</v>
      </c>
      <c r="G60" s="1243">
        <v>1.7999999999999999E-2</v>
      </c>
      <c r="H60" s="1239">
        <v>0.02</v>
      </c>
      <c r="I60" s="1239">
        <f>I5</f>
        <v>2.5000000000000001E-2</v>
      </c>
      <c r="J60" s="1239">
        <f>I60</f>
        <v>2.5000000000000001E-2</v>
      </c>
      <c r="K60" s="1239">
        <f t="shared" ref="K60:Q60" si="77">J60</f>
        <v>2.5000000000000001E-2</v>
      </c>
      <c r="L60" s="1239">
        <v>0.03</v>
      </c>
      <c r="M60" s="1239">
        <v>0.03</v>
      </c>
      <c r="N60" s="1630">
        <f t="shared" si="77"/>
        <v>0.03</v>
      </c>
      <c r="O60" s="1239">
        <f t="shared" si="77"/>
        <v>0.03</v>
      </c>
      <c r="P60" s="1243">
        <f t="shared" si="77"/>
        <v>0.03</v>
      </c>
      <c r="Q60" s="919">
        <f t="shared" si="77"/>
        <v>0.03</v>
      </c>
    </row>
    <row r="61" spans="1:17" s="1" customFormat="1" x14ac:dyDescent="0.2">
      <c r="A61" s="807" t="s">
        <v>2483</v>
      </c>
      <c r="B61" s="8"/>
      <c r="C61" s="8"/>
      <c r="D61" s="1840">
        <v>0.08</v>
      </c>
      <c r="E61" s="1239">
        <v>0.06</v>
      </c>
      <c r="F61" s="1239">
        <v>0.03</v>
      </c>
      <c r="G61" s="1243">
        <v>2.8000000000000001E-2</v>
      </c>
      <c r="H61" s="1239">
        <f t="shared" ref="H61:J62" si="78">H60</f>
        <v>0.02</v>
      </c>
      <c r="I61" s="1239">
        <f t="shared" si="78"/>
        <v>2.5000000000000001E-2</v>
      </c>
      <c r="J61" s="1239">
        <f t="shared" si="78"/>
        <v>2.5000000000000001E-2</v>
      </c>
      <c r="K61" s="1239">
        <v>0.04</v>
      </c>
      <c r="L61" s="1239">
        <v>0.04</v>
      </c>
      <c r="M61" s="1239">
        <f>L61</f>
        <v>0.04</v>
      </c>
      <c r="N61" s="1630">
        <f t="shared" ref="N61:Q62" si="79">M61</f>
        <v>0.04</v>
      </c>
      <c r="O61" s="1239">
        <f t="shared" si="79"/>
        <v>0.04</v>
      </c>
      <c r="P61" s="1239">
        <f t="shared" si="79"/>
        <v>0.04</v>
      </c>
      <c r="Q61" s="1241">
        <f t="shared" si="79"/>
        <v>0.04</v>
      </c>
    </row>
    <row r="62" spans="1:17" s="1" customFormat="1" x14ac:dyDescent="0.2">
      <c r="A62" s="807" t="s">
        <v>4498</v>
      </c>
      <c r="B62" s="8"/>
      <c r="C62" s="8"/>
      <c r="D62" s="1840">
        <v>0.08</v>
      </c>
      <c r="E62" s="1239">
        <v>0.06</v>
      </c>
      <c r="F62" s="1239">
        <f>F61</f>
        <v>0.03</v>
      </c>
      <c r="G62" s="1243">
        <f t="shared" ref="G62" si="80">G61</f>
        <v>2.8000000000000001E-2</v>
      </c>
      <c r="H62" s="1239">
        <f t="shared" si="78"/>
        <v>0.02</v>
      </c>
      <c r="I62" s="1239">
        <f t="shared" si="78"/>
        <v>2.5000000000000001E-2</v>
      </c>
      <c r="J62" s="1239">
        <f t="shared" si="78"/>
        <v>2.5000000000000001E-2</v>
      </c>
      <c r="K62" s="1239">
        <v>0.04</v>
      </c>
      <c r="L62" s="1239">
        <v>0.04</v>
      </c>
      <c r="M62" s="1239">
        <f>L62</f>
        <v>0.04</v>
      </c>
      <c r="N62" s="1239">
        <f t="shared" si="79"/>
        <v>0.04</v>
      </c>
      <c r="O62" s="1239">
        <f t="shared" si="79"/>
        <v>0.04</v>
      </c>
      <c r="P62" s="1239">
        <f t="shared" si="79"/>
        <v>0.04</v>
      </c>
      <c r="Q62" s="1241">
        <f t="shared" si="79"/>
        <v>0.04</v>
      </c>
    </row>
    <row r="63" spans="1:17" s="1" customFormat="1" x14ac:dyDescent="0.2">
      <c r="A63" s="807" t="s">
        <v>2576</v>
      </c>
      <c r="B63" s="8"/>
      <c r="C63" s="8"/>
      <c r="D63" s="1256"/>
      <c r="E63" s="1249">
        <v>13647</v>
      </c>
      <c r="F63" s="1249">
        <v>14063</v>
      </c>
      <c r="G63" s="1883">
        <f>F63*G65+F63</f>
        <v>14168.4725</v>
      </c>
      <c r="H63" s="1249">
        <f t="shared" ref="H63:Q63" si="81">G63*H65+G63</f>
        <v>14239.314862499999</v>
      </c>
      <c r="I63" s="1249">
        <f t="shared" si="81"/>
        <v>14310.5114368125</v>
      </c>
      <c r="J63" s="1249">
        <f t="shared" si="81"/>
        <v>14382.063993996562</v>
      </c>
      <c r="K63" s="1249">
        <f t="shared" si="81"/>
        <v>14453.974313966544</v>
      </c>
      <c r="L63" s="1249">
        <f t="shared" si="81"/>
        <v>14526.244185536378</v>
      </c>
      <c r="M63" s="1249">
        <f t="shared" si="81"/>
        <v>14598.87540646406</v>
      </c>
      <c r="N63" s="1249">
        <f t="shared" si="81"/>
        <v>14671.86978349638</v>
      </c>
      <c r="O63" s="1249">
        <f t="shared" si="81"/>
        <v>14745.229132413862</v>
      </c>
      <c r="P63" s="1249">
        <f t="shared" si="81"/>
        <v>14818.955278075931</v>
      </c>
      <c r="Q63" s="1250">
        <f t="shared" si="81"/>
        <v>14893.050054466312</v>
      </c>
    </row>
    <row r="64" spans="1:17" s="1" customFormat="1" x14ac:dyDescent="0.2">
      <c r="A64" s="807" t="s">
        <v>2577</v>
      </c>
      <c r="B64" s="8"/>
      <c r="C64" s="8"/>
      <c r="D64" s="1242"/>
      <c r="E64" s="1249">
        <v>344</v>
      </c>
      <c r="F64" s="1249">
        <v>311</v>
      </c>
      <c r="G64" s="1883">
        <f t="shared" ref="G64:Q64" si="82">F64</f>
        <v>311</v>
      </c>
      <c r="H64" s="1249">
        <f t="shared" si="82"/>
        <v>311</v>
      </c>
      <c r="I64" s="1249">
        <f t="shared" si="82"/>
        <v>311</v>
      </c>
      <c r="J64" s="1249">
        <f t="shared" si="82"/>
        <v>311</v>
      </c>
      <c r="K64" s="1249">
        <f t="shared" si="82"/>
        <v>311</v>
      </c>
      <c r="L64" s="1249">
        <f t="shared" si="82"/>
        <v>311</v>
      </c>
      <c r="M64" s="1249">
        <f t="shared" si="82"/>
        <v>311</v>
      </c>
      <c r="N64" s="1249">
        <f t="shared" si="82"/>
        <v>311</v>
      </c>
      <c r="O64" s="1249">
        <f t="shared" si="82"/>
        <v>311</v>
      </c>
      <c r="P64" s="1249">
        <f t="shared" si="82"/>
        <v>311</v>
      </c>
      <c r="Q64" s="1250">
        <f t="shared" si="82"/>
        <v>311</v>
      </c>
    </row>
    <row r="65" spans="1:17" s="1" customFormat="1" x14ac:dyDescent="0.2">
      <c r="A65" s="807" t="s">
        <v>2578</v>
      </c>
      <c r="B65" s="8"/>
      <c r="C65" s="8"/>
      <c r="D65" s="1242"/>
      <c r="E65" s="1239">
        <v>7.4999999999999997E-3</v>
      </c>
      <c r="F65" s="1239">
        <f>E65</f>
        <v>7.4999999999999997E-3</v>
      </c>
      <c r="G65" s="1243">
        <f t="shared" ref="G65:Q65" si="83">F65</f>
        <v>7.4999999999999997E-3</v>
      </c>
      <c r="H65" s="1239">
        <v>5.0000000000000001E-3</v>
      </c>
      <c r="I65" s="1239">
        <f t="shared" si="83"/>
        <v>5.0000000000000001E-3</v>
      </c>
      <c r="J65" s="1239">
        <f t="shared" si="83"/>
        <v>5.0000000000000001E-3</v>
      </c>
      <c r="K65" s="1239">
        <f t="shared" si="83"/>
        <v>5.0000000000000001E-3</v>
      </c>
      <c r="L65" s="1239">
        <f t="shared" si="83"/>
        <v>5.0000000000000001E-3</v>
      </c>
      <c r="M65" s="1239">
        <f t="shared" si="83"/>
        <v>5.0000000000000001E-3</v>
      </c>
      <c r="N65" s="1239">
        <f t="shared" si="83"/>
        <v>5.0000000000000001E-3</v>
      </c>
      <c r="O65" s="1239">
        <f t="shared" si="83"/>
        <v>5.0000000000000001E-3</v>
      </c>
      <c r="P65" s="1239">
        <f t="shared" si="83"/>
        <v>5.0000000000000001E-3</v>
      </c>
      <c r="Q65" s="1241">
        <f t="shared" si="83"/>
        <v>5.0000000000000001E-3</v>
      </c>
    </row>
    <row r="66" spans="1:17" x14ac:dyDescent="0.2">
      <c r="A66" s="818" t="s">
        <v>2579</v>
      </c>
      <c r="B66" s="9"/>
      <c r="C66" s="9"/>
      <c r="D66" s="1242">
        <v>178</v>
      </c>
      <c r="E66" s="1246">
        <f t="shared" ref="E66:Q66" si="84">(D66*E61+D66)</f>
        <v>188.68</v>
      </c>
      <c r="F66" s="1246">
        <v>195</v>
      </c>
      <c r="G66" s="2230">
        <f t="shared" si="84"/>
        <v>200.46</v>
      </c>
      <c r="H66" s="1246">
        <f t="shared" si="84"/>
        <v>204.4692</v>
      </c>
      <c r="I66" s="1246">
        <f t="shared" si="84"/>
        <v>209.58093</v>
      </c>
      <c r="J66" s="1246">
        <f t="shared" si="84"/>
        <v>214.82045324999999</v>
      </c>
      <c r="K66" s="1246">
        <f t="shared" si="84"/>
        <v>223.41327138</v>
      </c>
      <c r="L66" s="1246">
        <f t="shared" si="84"/>
        <v>232.3498022352</v>
      </c>
      <c r="M66" s="1246">
        <f t="shared" si="84"/>
        <v>241.643794324608</v>
      </c>
      <c r="N66" s="1246">
        <f t="shared" si="84"/>
        <v>251.30954609759232</v>
      </c>
      <c r="O66" s="1246">
        <f t="shared" si="84"/>
        <v>261.36192794149599</v>
      </c>
      <c r="P66" s="1246">
        <f t="shared" si="84"/>
        <v>271.81640505915584</v>
      </c>
      <c r="Q66" s="1253">
        <f t="shared" si="84"/>
        <v>282.68906126152206</v>
      </c>
    </row>
    <row r="67" spans="1:17" x14ac:dyDescent="0.2">
      <c r="A67" s="818" t="s">
        <v>2580</v>
      </c>
      <c r="B67" s="9"/>
      <c r="C67" s="9"/>
      <c r="D67" s="1242">
        <v>1.91</v>
      </c>
      <c r="E67" s="1257">
        <f t="shared" ref="E67:Q67" si="85">D67*E62+D67</f>
        <v>2.0246</v>
      </c>
      <c r="F67" s="1257">
        <v>2.08</v>
      </c>
      <c r="G67" s="2232">
        <f t="shared" si="85"/>
        <v>2.1382400000000001</v>
      </c>
      <c r="H67" s="1257">
        <f t="shared" si="85"/>
        <v>2.1810048000000002</v>
      </c>
      <c r="I67" s="1257">
        <f t="shared" si="85"/>
        <v>2.2355299200000003</v>
      </c>
      <c r="J67" s="1257">
        <f t="shared" si="85"/>
        <v>2.2914181680000003</v>
      </c>
      <c r="K67" s="1257">
        <f t="shared" si="85"/>
        <v>2.3830748947200004</v>
      </c>
      <c r="L67" s="1257">
        <f t="shared" si="85"/>
        <v>2.4783978905088007</v>
      </c>
      <c r="M67" s="1257">
        <f t="shared" si="85"/>
        <v>2.5775338061291526</v>
      </c>
      <c r="N67" s="1257">
        <f t="shared" si="85"/>
        <v>2.6806351583743186</v>
      </c>
      <c r="O67" s="1257">
        <f t="shared" si="85"/>
        <v>2.7878605647092916</v>
      </c>
      <c r="P67" s="1257">
        <f t="shared" si="85"/>
        <v>2.8993749872976631</v>
      </c>
      <c r="Q67" s="1627">
        <f t="shared" si="85"/>
        <v>3.0153499867895697</v>
      </c>
    </row>
    <row r="68" spans="1:17" x14ac:dyDescent="0.2">
      <c r="A68" s="818" t="s">
        <v>2581</v>
      </c>
      <c r="B68" s="9"/>
      <c r="C68" s="9"/>
      <c r="D68" s="1242">
        <v>2.87</v>
      </c>
      <c r="E68" s="1257">
        <f t="shared" ref="E68:Q68" si="86">D68*E62+D68</f>
        <v>3.0422000000000002</v>
      </c>
      <c r="F68" s="1257">
        <v>3.13</v>
      </c>
      <c r="G68" s="2232">
        <f t="shared" si="86"/>
        <v>3.2176399999999998</v>
      </c>
      <c r="H68" s="1257">
        <f t="shared" si="86"/>
        <v>3.2819927999999998</v>
      </c>
      <c r="I68" s="1257">
        <f t="shared" si="86"/>
        <v>3.3640426199999998</v>
      </c>
      <c r="J68" s="1257">
        <f t="shared" si="86"/>
        <v>3.4481436854999998</v>
      </c>
      <c r="K68" s="1257">
        <f t="shared" si="86"/>
        <v>3.58606943292</v>
      </c>
      <c r="L68" s="1257">
        <f>K68*L62+K68</f>
        <v>3.7295122102368001</v>
      </c>
      <c r="M68" s="1257">
        <f t="shared" si="86"/>
        <v>3.878692698646272</v>
      </c>
      <c r="N68" s="1257">
        <f t="shared" si="86"/>
        <v>4.0338404065921232</v>
      </c>
      <c r="O68" s="1257">
        <f t="shared" si="86"/>
        <v>4.1951940228558078</v>
      </c>
      <c r="P68" s="1257">
        <f t="shared" si="86"/>
        <v>4.3630017837700397</v>
      </c>
      <c r="Q68" s="1627">
        <f t="shared" si="86"/>
        <v>4.5375218551208416</v>
      </c>
    </row>
    <row r="69" spans="1:17" x14ac:dyDescent="0.2">
      <c r="A69" s="818" t="s">
        <v>2582</v>
      </c>
      <c r="B69" s="9"/>
      <c r="C69" s="9"/>
      <c r="D69" s="1248">
        <v>1974000</v>
      </c>
      <c r="E69" s="1246">
        <v>2045000</v>
      </c>
      <c r="F69" s="1246">
        <f t="shared" ref="F69:Q69" si="87">E69*F70+E69</f>
        <v>2045000</v>
      </c>
      <c r="G69" s="2230">
        <f t="shared" si="87"/>
        <v>2045000</v>
      </c>
      <c r="H69" s="1246">
        <f t="shared" si="87"/>
        <v>2045000</v>
      </c>
      <c r="I69" s="1246">
        <f t="shared" si="87"/>
        <v>2045000</v>
      </c>
      <c r="J69" s="1246">
        <f t="shared" si="87"/>
        <v>2045000</v>
      </c>
      <c r="K69" s="1246">
        <f t="shared" si="87"/>
        <v>2045000</v>
      </c>
      <c r="L69" s="1246">
        <f t="shared" si="87"/>
        <v>2045000</v>
      </c>
      <c r="M69" s="1246">
        <f t="shared" si="87"/>
        <v>2045000</v>
      </c>
      <c r="N69" s="1246">
        <f t="shared" si="87"/>
        <v>2045000</v>
      </c>
      <c r="O69" s="1246">
        <f t="shared" si="87"/>
        <v>2045000</v>
      </c>
      <c r="P69" s="1246">
        <f t="shared" si="87"/>
        <v>2045000</v>
      </c>
      <c r="Q69" s="1253">
        <f t="shared" si="87"/>
        <v>2045000</v>
      </c>
    </row>
    <row r="70" spans="1:17" s="805" customFormat="1" x14ac:dyDescent="0.2">
      <c r="A70" s="809" t="s">
        <v>549</v>
      </c>
      <c r="B70" s="746"/>
      <c r="C70" s="746"/>
      <c r="D70" s="1236">
        <v>0</v>
      </c>
      <c r="E70" s="1258">
        <f>D70</f>
        <v>0</v>
      </c>
      <c r="F70" s="1258">
        <v>0</v>
      </c>
      <c r="G70" s="2233">
        <v>0</v>
      </c>
      <c r="H70" s="1258">
        <f t="shared" ref="F70:Q71" si="88">G70</f>
        <v>0</v>
      </c>
      <c r="I70" s="1258">
        <f t="shared" si="88"/>
        <v>0</v>
      </c>
      <c r="J70" s="1258">
        <f t="shared" si="88"/>
        <v>0</v>
      </c>
      <c r="K70" s="1258">
        <f t="shared" si="88"/>
        <v>0</v>
      </c>
      <c r="L70" s="1258">
        <f t="shared" si="88"/>
        <v>0</v>
      </c>
      <c r="M70" s="1258">
        <f t="shared" si="88"/>
        <v>0</v>
      </c>
      <c r="N70" s="1258">
        <f t="shared" si="88"/>
        <v>0</v>
      </c>
      <c r="O70" s="1258">
        <f t="shared" si="88"/>
        <v>0</v>
      </c>
      <c r="P70" s="1258">
        <f t="shared" si="88"/>
        <v>0</v>
      </c>
      <c r="Q70" s="1628">
        <f t="shared" si="88"/>
        <v>0</v>
      </c>
    </row>
    <row r="71" spans="1:17" x14ac:dyDescent="0.2">
      <c r="A71" s="818" t="s">
        <v>2584</v>
      </c>
      <c r="B71" s="9"/>
      <c r="C71" s="9"/>
      <c r="D71" s="1236">
        <v>0.08</v>
      </c>
      <c r="E71" s="1258">
        <v>0.08</v>
      </c>
      <c r="F71" s="1258">
        <f t="shared" si="88"/>
        <v>0.08</v>
      </c>
      <c r="G71" s="2233">
        <f t="shared" si="88"/>
        <v>0.08</v>
      </c>
      <c r="H71" s="1258">
        <f t="shared" si="88"/>
        <v>0.08</v>
      </c>
      <c r="I71" s="1258">
        <f t="shared" si="88"/>
        <v>0.08</v>
      </c>
      <c r="J71" s="1258">
        <f t="shared" si="88"/>
        <v>0.08</v>
      </c>
      <c r="K71" s="1258">
        <f t="shared" si="88"/>
        <v>0.08</v>
      </c>
      <c r="L71" s="1258">
        <f t="shared" si="88"/>
        <v>0.08</v>
      </c>
      <c r="M71" s="1258">
        <f t="shared" si="88"/>
        <v>0.08</v>
      </c>
      <c r="N71" s="1258">
        <f t="shared" si="88"/>
        <v>0.08</v>
      </c>
      <c r="O71" s="1258">
        <f t="shared" si="88"/>
        <v>0.08</v>
      </c>
      <c r="P71" s="1258">
        <f t="shared" si="88"/>
        <v>0.08</v>
      </c>
      <c r="Q71" s="1628">
        <f t="shared" si="88"/>
        <v>0.08</v>
      </c>
    </row>
    <row r="72" spans="1:17" x14ac:dyDescent="0.2">
      <c r="A72" s="818" t="s">
        <v>2583</v>
      </c>
      <c r="B72" s="9"/>
      <c r="C72" s="9"/>
      <c r="D72" s="1259"/>
      <c r="E72" s="1246">
        <f>E69/E63</f>
        <v>149.84978383527516</v>
      </c>
      <c r="F72" s="1246">
        <f t="shared" ref="F72:N72" si="89">F69/F63</f>
        <v>145.41705183815685</v>
      </c>
      <c r="G72" s="2230">
        <f t="shared" si="89"/>
        <v>144.33454276740136</v>
      </c>
      <c r="H72" s="1246">
        <f t="shared" si="89"/>
        <v>143.61646046507599</v>
      </c>
      <c r="I72" s="1246">
        <f t="shared" si="89"/>
        <v>142.9019507115184</v>
      </c>
      <c r="J72" s="1246">
        <f t="shared" si="89"/>
        <v>142.19099573285411</v>
      </c>
      <c r="K72" s="1246">
        <f t="shared" si="89"/>
        <v>141.48357784363594</v>
      </c>
      <c r="L72" s="1246">
        <f t="shared" si="89"/>
        <v>140.77967944640392</v>
      </c>
      <c r="M72" s="1246">
        <f t="shared" si="89"/>
        <v>140.07928303124768</v>
      </c>
      <c r="N72" s="1246">
        <f t="shared" si="89"/>
        <v>139.38237117537082</v>
      </c>
      <c r="O72" s="1246">
        <f t="shared" ref="O72:P72" si="90">O69/O63</f>
        <v>138.68892654265753</v>
      </c>
      <c r="P72" s="1246">
        <f t="shared" si="90"/>
        <v>137.99893188324134</v>
      </c>
      <c r="Q72" s="1253">
        <f t="shared" ref="Q72" si="91">Q69/Q63</f>
        <v>137.31237003307595</v>
      </c>
    </row>
    <row r="73" spans="1:17" x14ac:dyDescent="0.2">
      <c r="A73" s="818" t="s">
        <v>2392</v>
      </c>
      <c r="B73" s="9"/>
      <c r="C73" s="9"/>
      <c r="D73" s="1248">
        <v>557000</v>
      </c>
      <c r="E73" s="1246">
        <v>558000</v>
      </c>
      <c r="F73" s="1246">
        <f t="shared" ref="F73:Q73" si="92">E73*F74+E73</f>
        <v>558000</v>
      </c>
      <c r="G73" s="2230">
        <f t="shared" si="92"/>
        <v>558000</v>
      </c>
      <c r="H73" s="1246">
        <f t="shared" si="92"/>
        <v>558000</v>
      </c>
      <c r="I73" s="1246">
        <f t="shared" si="92"/>
        <v>558000</v>
      </c>
      <c r="J73" s="1246">
        <f t="shared" si="92"/>
        <v>558000</v>
      </c>
      <c r="K73" s="1246">
        <f t="shared" si="92"/>
        <v>558000</v>
      </c>
      <c r="L73" s="1246">
        <f t="shared" si="92"/>
        <v>558000</v>
      </c>
      <c r="M73" s="1246">
        <f t="shared" si="92"/>
        <v>558000</v>
      </c>
      <c r="N73" s="1246">
        <f t="shared" si="92"/>
        <v>558000</v>
      </c>
      <c r="O73" s="1246">
        <f t="shared" si="92"/>
        <v>558000</v>
      </c>
      <c r="P73" s="1246">
        <f t="shared" si="92"/>
        <v>558000</v>
      </c>
      <c r="Q73" s="1253">
        <f t="shared" si="92"/>
        <v>558000</v>
      </c>
    </row>
    <row r="74" spans="1:17" s="805" customFormat="1" x14ac:dyDescent="0.2">
      <c r="A74" s="809" t="s">
        <v>477</v>
      </c>
      <c r="B74" s="746"/>
      <c r="C74" s="746"/>
      <c r="D74" s="1236">
        <v>0</v>
      </c>
      <c r="E74" s="1258">
        <f>D74</f>
        <v>0</v>
      </c>
      <c r="F74" s="1258">
        <f t="shared" ref="F74:Q74" si="93">E74</f>
        <v>0</v>
      </c>
      <c r="G74" s="2233">
        <f t="shared" si="93"/>
        <v>0</v>
      </c>
      <c r="H74" s="1258">
        <f t="shared" si="93"/>
        <v>0</v>
      </c>
      <c r="I74" s="1258">
        <f t="shared" si="93"/>
        <v>0</v>
      </c>
      <c r="J74" s="1258">
        <f t="shared" si="93"/>
        <v>0</v>
      </c>
      <c r="K74" s="1258">
        <f t="shared" si="93"/>
        <v>0</v>
      </c>
      <c r="L74" s="1258">
        <f t="shared" si="93"/>
        <v>0</v>
      </c>
      <c r="M74" s="1258">
        <f t="shared" si="93"/>
        <v>0</v>
      </c>
      <c r="N74" s="1258">
        <f t="shared" si="93"/>
        <v>0</v>
      </c>
      <c r="O74" s="1258">
        <f t="shared" si="93"/>
        <v>0</v>
      </c>
      <c r="P74" s="1258">
        <f t="shared" si="93"/>
        <v>0</v>
      </c>
      <c r="Q74" s="1628">
        <f t="shared" si="93"/>
        <v>0</v>
      </c>
    </row>
    <row r="75" spans="1:17" x14ac:dyDescent="0.2">
      <c r="A75" s="818" t="s">
        <v>478</v>
      </c>
      <c r="B75" s="9"/>
      <c r="C75" s="9"/>
      <c r="D75" s="1236">
        <v>0.7</v>
      </c>
      <c r="E75" s="1258">
        <f>D75-0.02</f>
        <v>0.67999999999999994</v>
      </c>
      <c r="F75" s="1258">
        <f t="shared" ref="F75:Q75" si="94">E75-0.02</f>
        <v>0.65999999999999992</v>
      </c>
      <c r="G75" s="2233">
        <f t="shared" si="94"/>
        <v>0.6399999999999999</v>
      </c>
      <c r="H75" s="1258">
        <f t="shared" si="94"/>
        <v>0.61999999999999988</v>
      </c>
      <c r="I75" s="1258">
        <f t="shared" si="94"/>
        <v>0.59999999999999987</v>
      </c>
      <c r="J75" s="1258">
        <f t="shared" si="94"/>
        <v>0.57999999999999985</v>
      </c>
      <c r="K75" s="1258">
        <f t="shared" si="94"/>
        <v>0.55999999999999983</v>
      </c>
      <c r="L75" s="1258">
        <f t="shared" si="94"/>
        <v>0.53999999999999981</v>
      </c>
      <c r="M75" s="1258">
        <f t="shared" si="94"/>
        <v>0.5199999999999998</v>
      </c>
      <c r="N75" s="1258">
        <f t="shared" si="94"/>
        <v>0.49999999999999978</v>
      </c>
      <c r="O75" s="1258">
        <f t="shared" si="94"/>
        <v>0.47999999999999976</v>
      </c>
      <c r="P75" s="1258">
        <f t="shared" si="94"/>
        <v>0.45999999999999974</v>
      </c>
      <c r="Q75" s="1628">
        <f t="shared" si="94"/>
        <v>0.43999999999999972</v>
      </c>
    </row>
    <row r="76" spans="1:17" x14ac:dyDescent="0.2">
      <c r="A76" s="818" t="s">
        <v>2416</v>
      </c>
      <c r="B76" s="9"/>
      <c r="C76" s="9"/>
      <c r="D76" s="1248">
        <v>3200</v>
      </c>
      <c r="E76" s="1246">
        <v>3541</v>
      </c>
      <c r="F76" s="1246">
        <f>ROUND(F78*E76+E76,)</f>
        <v>3541</v>
      </c>
      <c r="G76" s="2230">
        <f t="shared" ref="G76:M76" si="95">ROUND(G78*F76+F76,)</f>
        <v>3541</v>
      </c>
      <c r="H76" s="1246">
        <f t="shared" si="95"/>
        <v>3541</v>
      </c>
      <c r="I76" s="1246">
        <f t="shared" si="95"/>
        <v>3541</v>
      </c>
      <c r="J76" s="1246">
        <f t="shared" si="95"/>
        <v>3541</v>
      </c>
      <c r="K76" s="1246">
        <f t="shared" si="95"/>
        <v>4249</v>
      </c>
      <c r="L76" s="1246">
        <f t="shared" si="95"/>
        <v>4249</v>
      </c>
      <c r="M76" s="1246">
        <f t="shared" si="95"/>
        <v>4249</v>
      </c>
      <c r="N76" s="1246">
        <f>ROUND(N78*M76+M76,)</f>
        <v>4249</v>
      </c>
      <c r="O76" s="1246">
        <f>ROUND(O78*N76+N76,)</f>
        <v>4249</v>
      </c>
      <c r="P76" s="1246">
        <f>ROUND(P78*O76+O76,)</f>
        <v>4249</v>
      </c>
      <c r="Q76" s="1253">
        <f>ROUND(Q78*P76+P76,)</f>
        <v>4249</v>
      </c>
    </row>
    <row r="77" spans="1:17" x14ac:dyDescent="0.2">
      <c r="A77" s="818" t="s">
        <v>2415</v>
      </c>
      <c r="B77" s="9"/>
      <c r="C77" s="9"/>
      <c r="D77" s="1248">
        <v>200</v>
      </c>
      <c r="E77" s="1246">
        <f>D77</f>
        <v>200</v>
      </c>
      <c r="F77" s="1246">
        <f t="shared" ref="F77:Q77" si="96">E77</f>
        <v>200</v>
      </c>
      <c r="G77" s="2230">
        <f t="shared" si="96"/>
        <v>200</v>
      </c>
      <c r="H77" s="1246">
        <f t="shared" si="96"/>
        <v>200</v>
      </c>
      <c r="I77" s="1246">
        <f t="shared" si="96"/>
        <v>200</v>
      </c>
      <c r="J77" s="1246">
        <f t="shared" si="96"/>
        <v>200</v>
      </c>
      <c r="K77" s="1246">
        <f t="shared" si="96"/>
        <v>200</v>
      </c>
      <c r="L77" s="1246">
        <f t="shared" si="96"/>
        <v>200</v>
      </c>
      <c r="M77" s="1246">
        <f t="shared" si="96"/>
        <v>200</v>
      </c>
      <c r="N77" s="1246">
        <f t="shared" si="96"/>
        <v>200</v>
      </c>
      <c r="O77" s="1246">
        <f t="shared" si="96"/>
        <v>200</v>
      </c>
      <c r="P77" s="1246">
        <f t="shared" si="96"/>
        <v>200</v>
      </c>
      <c r="Q77" s="1253">
        <f t="shared" si="96"/>
        <v>200</v>
      </c>
    </row>
    <row r="78" spans="1:17" x14ac:dyDescent="0.2">
      <c r="A78" s="818" t="s">
        <v>2417</v>
      </c>
      <c r="B78" s="9"/>
      <c r="C78" s="9"/>
      <c r="D78" s="1236">
        <v>0</v>
      </c>
      <c r="E78" s="1258">
        <f>D78</f>
        <v>0</v>
      </c>
      <c r="F78" s="1258">
        <v>0</v>
      </c>
      <c r="G78" s="2233">
        <v>0</v>
      </c>
      <c r="H78" s="1258">
        <f>G78</f>
        <v>0</v>
      </c>
      <c r="I78" s="1258">
        <f>H78</f>
        <v>0</v>
      </c>
      <c r="J78" s="1258">
        <f>I78</f>
        <v>0</v>
      </c>
      <c r="K78" s="1258">
        <v>0.2</v>
      </c>
      <c r="L78" s="1258">
        <v>0</v>
      </c>
      <c r="M78" s="1258">
        <f>L78</f>
        <v>0</v>
      </c>
      <c r="N78" s="1258">
        <f>M78</f>
        <v>0</v>
      </c>
      <c r="O78" s="1258">
        <f>N78</f>
        <v>0</v>
      </c>
      <c r="P78" s="1258">
        <f>O78</f>
        <v>0</v>
      </c>
      <c r="Q78" s="1628">
        <f>P78</f>
        <v>0</v>
      </c>
    </row>
    <row r="79" spans="1:17" ht="13.5" thickBot="1" x14ac:dyDescent="0.25">
      <c r="A79" s="563"/>
      <c r="B79" s="12"/>
      <c r="C79" s="12"/>
      <c r="D79" s="1260"/>
      <c r="E79" s="1261"/>
      <c r="F79" s="1262"/>
      <c r="G79" s="2234"/>
      <c r="H79" s="1261"/>
      <c r="I79" s="1261"/>
      <c r="J79" s="1261"/>
      <c r="K79" s="1261"/>
      <c r="L79" s="1261"/>
      <c r="M79" s="1261"/>
      <c r="N79" s="1261"/>
      <c r="O79" s="1261"/>
      <c r="P79" s="1261"/>
      <c r="Q79" s="1629"/>
    </row>
    <row r="80" spans="1:17" ht="13.5" thickTop="1" x14ac:dyDescent="0.2">
      <c r="A80" s="1578"/>
      <c r="B80" s="1579"/>
      <c r="C80" s="1579"/>
      <c r="D80" s="1582"/>
      <c r="E80" s="1582"/>
      <c r="F80" s="1582"/>
      <c r="G80" s="2235"/>
      <c r="H80" s="1582"/>
      <c r="I80" s="1582"/>
      <c r="J80" s="1582"/>
      <c r="K80" s="1582"/>
      <c r="L80" s="1582"/>
      <c r="M80" s="1582"/>
      <c r="N80" s="1634"/>
      <c r="O80" s="1582"/>
      <c r="P80" s="1582"/>
      <c r="Q80" s="1580"/>
    </row>
    <row r="81" spans="1:17" x14ac:dyDescent="0.2">
      <c r="A81" s="1581" t="s">
        <v>2872</v>
      </c>
      <c r="B81" s="9"/>
      <c r="C81" s="2659" t="s">
        <v>805</v>
      </c>
      <c r="D81" s="308" t="str">
        <f t="shared" ref="D81:P81" si="97">D2</f>
        <v>2013/14</v>
      </c>
      <c r="E81" s="308" t="str">
        <f t="shared" si="97"/>
        <v>2014/15</v>
      </c>
      <c r="F81" s="308" t="str">
        <f t="shared" si="97"/>
        <v>2015/16</v>
      </c>
      <c r="G81" s="309" t="str">
        <f t="shared" si="97"/>
        <v>2016/17</v>
      </c>
      <c r="H81" s="308" t="str">
        <f t="shared" si="97"/>
        <v>2017/18</v>
      </c>
      <c r="I81" s="308" t="str">
        <f t="shared" si="97"/>
        <v>2018/19</v>
      </c>
      <c r="J81" s="308" t="str">
        <f t="shared" si="97"/>
        <v>2019/20</v>
      </c>
      <c r="K81" s="308" t="str">
        <f t="shared" si="97"/>
        <v>2020/21</v>
      </c>
      <c r="L81" s="308" t="str">
        <f t="shared" si="97"/>
        <v>2021/22</v>
      </c>
      <c r="M81" s="308" t="str">
        <f t="shared" si="97"/>
        <v>2022/23</v>
      </c>
      <c r="N81" s="1470" t="str">
        <f t="shared" si="97"/>
        <v>2023/24</v>
      </c>
      <c r="O81" s="308" t="str">
        <f t="shared" si="97"/>
        <v>2024/25</v>
      </c>
      <c r="P81" s="308" t="str">
        <f t="shared" si="97"/>
        <v>2025/26</v>
      </c>
      <c r="Q81" s="1619" t="str">
        <f t="shared" ref="Q81" si="98">Q2</f>
        <v>2026/27</v>
      </c>
    </row>
    <row r="82" spans="1:17" x14ac:dyDescent="0.2">
      <c r="A82" s="469"/>
      <c r="B82" s="9"/>
      <c r="C82" s="9"/>
      <c r="D82" s="1458"/>
      <c r="E82" s="1458"/>
      <c r="F82" s="1458"/>
      <c r="G82" s="2236"/>
      <c r="H82" s="1458"/>
      <c r="I82" s="1458"/>
      <c r="J82" s="1458"/>
      <c r="K82" s="1458"/>
      <c r="L82" s="1458"/>
      <c r="M82" s="1458"/>
      <c r="N82" s="1635"/>
      <c r="O82" s="1458"/>
      <c r="P82" s="1458"/>
      <c r="Q82" s="470"/>
    </row>
    <row r="83" spans="1:17" x14ac:dyDescent="0.2">
      <c r="A83" s="754" t="s">
        <v>1173</v>
      </c>
      <c r="B83" s="9"/>
      <c r="C83" s="1424" t="s">
        <v>1789</v>
      </c>
      <c r="D83" s="817"/>
      <c r="E83" s="817">
        <v>1</v>
      </c>
      <c r="F83" s="817">
        <v>1</v>
      </c>
      <c r="G83" s="2228">
        <v>1</v>
      </c>
      <c r="H83" s="817">
        <v>1</v>
      </c>
      <c r="I83" s="817">
        <v>1</v>
      </c>
      <c r="J83" s="817">
        <v>1</v>
      </c>
      <c r="K83" s="817">
        <v>1</v>
      </c>
      <c r="L83" s="817">
        <v>1</v>
      </c>
      <c r="M83" s="817">
        <v>1</v>
      </c>
      <c r="N83" s="1832">
        <v>1</v>
      </c>
      <c r="O83" s="817">
        <v>1</v>
      </c>
      <c r="P83" s="817">
        <v>1</v>
      </c>
      <c r="Q83" s="1623">
        <v>1</v>
      </c>
    </row>
    <row r="84" spans="1:17" x14ac:dyDescent="0.2">
      <c r="A84" s="754" t="s">
        <v>522</v>
      </c>
      <c r="B84" s="9"/>
      <c r="C84" s="1424" t="s">
        <v>343</v>
      </c>
      <c r="D84" s="817"/>
      <c r="E84" s="817">
        <v>4</v>
      </c>
      <c r="F84" s="817">
        <v>1</v>
      </c>
      <c r="G84" s="2228">
        <v>1</v>
      </c>
      <c r="H84" s="817">
        <v>1</v>
      </c>
      <c r="I84" s="817">
        <v>1</v>
      </c>
      <c r="J84" s="817">
        <v>1</v>
      </c>
      <c r="K84" s="817">
        <v>1</v>
      </c>
      <c r="L84" s="817">
        <v>1</v>
      </c>
      <c r="M84" s="817">
        <v>1</v>
      </c>
      <c r="N84" s="1832">
        <v>1</v>
      </c>
      <c r="O84" s="817">
        <v>1</v>
      </c>
      <c r="P84" s="817">
        <v>1</v>
      </c>
      <c r="Q84" s="1623">
        <v>1</v>
      </c>
    </row>
    <row r="85" spans="1:17" x14ac:dyDescent="0.2">
      <c r="A85" s="754" t="s">
        <v>1428</v>
      </c>
      <c r="B85" s="9"/>
      <c r="C85" s="1424" t="s">
        <v>1570</v>
      </c>
      <c r="D85" s="817"/>
      <c r="E85" s="817">
        <v>1</v>
      </c>
      <c r="F85" s="817">
        <v>1</v>
      </c>
      <c r="G85" s="2228">
        <v>1</v>
      </c>
      <c r="H85" s="817">
        <v>1</v>
      </c>
      <c r="I85" s="817">
        <v>1</v>
      </c>
      <c r="J85" s="817">
        <v>1</v>
      </c>
      <c r="K85" s="817">
        <v>1</v>
      </c>
      <c r="L85" s="817">
        <v>1</v>
      </c>
      <c r="M85" s="817">
        <v>1</v>
      </c>
      <c r="N85" s="1832">
        <v>1</v>
      </c>
      <c r="O85" s="817">
        <v>1</v>
      </c>
      <c r="P85" s="817">
        <v>1</v>
      </c>
      <c r="Q85" s="1623">
        <v>1</v>
      </c>
    </row>
    <row r="86" spans="1:17" x14ac:dyDescent="0.2">
      <c r="A86" s="756" t="s">
        <v>3372</v>
      </c>
      <c r="B86" s="9"/>
      <c r="C86" s="1424"/>
      <c r="D86" s="817"/>
      <c r="E86" s="817"/>
      <c r="F86" s="817"/>
      <c r="G86" s="2228"/>
      <c r="H86" s="817"/>
      <c r="I86" s="817"/>
      <c r="J86" s="817"/>
      <c r="K86" s="817"/>
      <c r="L86" s="817"/>
      <c r="M86" s="817"/>
      <c r="N86" s="1832"/>
      <c r="O86" s="817"/>
      <c r="P86" s="817"/>
      <c r="Q86" s="1623"/>
    </row>
    <row r="87" spans="1:17" x14ac:dyDescent="0.2">
      <c r="A87" s="469" t="s">
        <v>2871</v>
      </c>
      <c r="B87" s="9"/>
      <c r="C87" s="1424" t="s">
        <v>1342</v>
      </c>
      <c r="D87" s="817"/>
      <c r="E87" s="817">
        <v>3</v>
      </c>
      <c r="F87" s="817">
        <f>E87</f>
        <v>3</v>
      </c>
      <c r="G87" s="2228">
        <f t="shared" ref="G87:L87" si="99">F87</f>
        <v>3</v>
      </c>
      <c r="H87" s="817">
        <f t="shared" si="99"/>
        <v>3</v>
      </c>
      <c r="I87" s="817">
        <f t="shared" si="99"/>
        <v>3</v>
      </c>
      <c r="J87" s="817">
        <f t="shared" si="99"/>
        <v>3</v>
      </c>
      <c r="K87" s="817">
        <f t="shared" si="99"/>
        <v>3</v>
      </c>
      <c r="L87" s="817">
        <f t="shared" si="99"/>
        <v>3</v>
      </c>
      <c r="M87" s="817">
        <f t="shared" ref="M87:Q89" si="100">L87</f>
        <v>3</v>
      </c>
      <c r="N87" s="1832">
        <f t="shared" si="100"/>
        <v>3</v>
      </c>
      <c r="O87" s="817">
        <f t="shared" si="100"/>
        <v>3</v>
      </c>
      <c r="P87" s="817">
        <f t="shared" si="100"/>
        <v>3</v>
      </c>
      <c r="Q87" s="1623">
        <f t="shared" si="100"/>
        <v>3</v>
      </c>
    </row>
    <row r="88" spans="1:17" x14ac:dyDescent="0.2">
      <c r="A88" s="469" t="s">
        <v>898</v>
      </c>
      <c r="B88" s="9"/>
      <c r="C88" s="1424" t="s">
        <v>1210</v>
      </c>
      <c r="D88" s="817"/>
      <c r="E88" s="817">
        <v>5</v>
      </c>
      <c r="F88" s="817">
        <f>E88</f>
        <v>5</v>
      </c>
      <c r="G88" s="2228">
        <f t="shared" ref="G88:L88" si="101">F88</f>
        <v>5</v>
      </c>
      <c r="H88" s="817">
        <f t="shared" si="101"/>
        <v>5</v>
      </c>
      <c r="I88" s="817">
        <f t="shared" si="101"/>
        <v>5</v>
      </c>
      <c r="J88" s="817">
        <f t="shared" si="101"/>
        <v>5</v>
      </c>
      <c r="K88" s="817">
        <f t="shared" si="101"/>
        <v>5</v>
      </c>
      <c r="L88" s="817">
        <f t="shared" si="101"/>
        <v>5</v>
      </c>
      <c r="M88" s="817">
        <f t="shared" si="100"/>
        <v>5</v>
      </c>
      <c r="N88" s="1832">
        <f t="shared" si="100"/>
        <v>5</v>
      </c>
      <c r="O88" s="817">
        <f t="shared" si="100"/>
        <v>5</v>
      </c>
      <c r="P88" s="817">
        <f t="shared" si="100"/>
        <v>5</v>
      </c>
      <c r="Q88" s="1623">
        <f t="shared" si="100"/>
        <v>5</v>
      </c>
    </row>
    <row r="89" spans="1:17" x14ac:dyDescent="0.2">
      <c r="A89" s="469" t="s">
        <v>993</v>
      </c>
      <c r="B89" s="9"/>
      <c r="C89" s="1424" t="s">
        <v>2823</v>
      </c>
      <c r="D89" s="817"/>
      <c r="E89" s="817">
        <v>2</v>
      </c>
      <c r="F89" s="817">
        <f>E89</f>
        <v>2</v>
      </c>
      <c r="G89" s="2228">
        <f t="shared" ref="G89:L89" si="102">F89</f>
        <v>2</v>
      </c>
      <c r="H89" s="817">
        <f t="shared" si="102"/>
        <v>2</v>
      </c>
      <c r="I89" s="817">
        <f t="shared" si="102"/>
        <v>2</v>
      </c>
      <c r="J89" s="817">
        <f t="shared" si="102"/>
        <v>2</v>
      </c>
      <c r="K89" s="817">
        <f t="shared" si="102"/>
        <v>2</v>
      </c>
      <c r="L89" s="817">
        <f t="shared" si="102"/>
        <v>2</v>
      </c>
      <c r="M89" s="817">
        <f t="shared" si="100"/>
        <v>2</v>
      </c>
      <c r="N89" s="1832">
        <f t="shared" si="100"/>
        <v>2</v>
      </c>
      <c r="O89" s="817">
        <f t="shared" si="100"/>
        <v>2</v>
      </c>
      <c r="P89" s="817">
        <f t="shared" si="100"/>
        <v>2</v>
      </c>
      <c r="Q89" s="1623">
        <f t="shared" si="100"/>
        <v>2</v>
      </c>
    </row>
    <row r="90" spans="1:17" x14ac:dyDescent="0.2">
      <c r="A90" s="469"/>
      <c r="B90" s="9"/>
      <c r="C90" s="1424"/>
      <c r="D90" s="817"/>
      <c r="E90" s="817"/>
      <c r="F90" s="817"/>
      <c r="G90" s="2228"/>
      <c r="H90" s="817"/>
      <c r="I90" s="817"/>
      <c r="J90" s="817"/>
      <c r="K90" s="817"/>
      <c r="L90" s="817"/>
      <c r="M90" s="817"/>
      <c r="N90" s="1832"/>
      <c r="O90" s="817"/>
      <c r="P90" s="817"/>
      <c r="Q90" s="1623"/>
    </row>
    <row r="91" spans="1:17" x14ac:dyDescent="0.2">
      <c r="A91" s="469"/>
      <c r="B91" s="9"/>
      <c r="C91" s="1424"/>
      <c r="D91" s="817"/>
      <c r="E91" s="817"/>
      <c r="F91" s="817"/>
      <c r="G91" s="2228"/>
      <c r="H91" s="817"/>
      <c r="I91" s="817"/>
      <c r="J91" s="817"/>
      <c r="K91" s="817"/>
      <c r="L91" s="817"/>
      <c r="M91" s="817"/>
      <c r="N91" s="1832"/>
      <c r="O91" s="817"/>
      <c r="P91" s="817"/>
      <c r="Q91" s="1623"/>
    </row>
    <row r="92" spans="1:17" x14ac:dyDescent="0.2">
      <c r="A92" s="754" t="s">
        <v>2313</v>
      </c>
      <c r="B92" s="9"/>
      <c r="C92" s="1424" t="s">
        <v>2053</v>
      </c>
      <c r="D92" s="817"/>
      <c r="E92" s="817">
        <v>9</v>
      </c>
      <c r="F92" s="817">
        <f>E92</f>
        <v>9</v>
      </c>
      <c r="G92" s="2228">
        <f t="shared" ref="G92:L92" si="103">F92</f>
        <v>9</v>
      </c>
      <c r="H92" s="817">
        <f t="shared" si="103"/>
        <v>9</v>
      </c>
      <c r="I92" s="817">
        <f t="shared" si="103"/>
        <v>9</v>
      </c>
      <c r="J92" s="817">
        <f t="shared" si="103"/>
        <v>9</v>
      </c>
      <c r="K92" s="817">
        <f t="shared" si="103"/>
        <v>9</v>
      </c>
      <c r="L92" s="817">
        <f t="shared" si="103"/>
        <v>9</v>
      </c>
      <c r="M92" s="817">
        <f>L92</f>
        <v>9</v>
      </c>
      <c r="N92" s="1832">
        <f>M92</f>
        <v>9</v>
      </c>
      <c r="O92" s="817">
        <f>N92</f>
        <v>9</v>
      </c>
      <c r="P92" s="817">
        <f>O92</f>
        <v>9</v>
      </c>
      <c r="Q92" s="1623">
        <f>P92</f>
        <v>9</v>
      </c>
    </row>
    <row r="93" spans="1:17" x14ac:dyDescent="0.2">
      <c r="A93" s="469"/>
      <c r="B93" s="9"/>
      <c r="C93" s="9"/>
      <c r="D93" s="817"/>
      <c r="E93" s="817"/>
      <c r="F93" s="817"/>
      <c r="G93" s="2228"/>
      <c r="H93" s="817"/>
      <c r="I93" s="817"/>
      <c r="J93" s="817"/>
      <c r="K93" s="817"/>
      <c r="L93" s="817"/>
      <c r="M93" s="817"/>
      <c r="N93" s="1832"/>
      <c r="O93" s="817"/>
      <c r="P93" s="817"/>
      <c r="Q93" s="1623"/>
    </row>
    <row r="94" spans="1:17" s="4" customFormat="1" x14ac:dyDescent="0.2">
      <c r="A94" s="754" t="s">
        <v>1530</v>
      </c>
      <c r="B94" s="6"/>
      <c r="C94" s="6"/>
      <c r="D94" s="308"/>
      <c r="E94" s="308">
        <f>SUM(E83:E93)</f>
        <v>25</v>
      </c>
      <c r="F94" s="308">
        <f t="shared" ref="F94:L94" si="104">SUM(F83:F93)</f>
        <v>22</v>
      </c>
      <c r="G94" s="309">
        <f t="shared" si="104"/>
        <v>22</v>
      </c>
      <c r="H94" s="308">
        <f t="shared" si="104"/>
        <v>22</v>
      </c>
      <c r="I94" s="308">
        <f t="shared" si="104"/>
        <v>22</v>
      </c>
      <c r="J94" s="308">
        <f t="shared" si="104"/>
        <v>22</v>
      </c>
      <c r="K94" s="308">
        <f t="shared" si="104"/>
        <v>22</v>
      </c>
      <c r="L94" s="308">
        <f t="shared" si="104"/>
        <v>22</v>
      </c>
      <c r="M94" s="308">
        <f>SUM(M83:M93)</f>
        <v>22</v>
      </c>
      <c r="N94" s="1470">
        <f>SUM(N83:N93)</f>
        <v>22</v>
      </c>
      <c r="O94" s="308">
        <f>SUM(O83:O93)</f>
        <v>22</v>
      </c>
      <c r="P94" s="308">
        <f>SUM(P83:P93)</f>
        <v>22</v>
      </c>
      <c r="Q94" s="1619">
        <f>SUM(Q83:Q93)</f>
        <v>22</v>
      </c>
    </row>
    <row r="95" spans="1:17" s="8" customFormat="1" x14ac:dyDescent="0.2">
      <c r="A95" s="1225"/>
      <c r="B95" s="694"/>
      <c r="C95" s="694"/>
      <c r="D95" s="1049"/>
      <c r="E95" s="1049"/>
      <c r="F95" s="1049"/>
      <c r="G95" s="1049"/>
      <c r="H95" s="1049"/>
      <c r="I95" s="1049"/>
      <c r="J95" s="1049"/>
      <c r="K95" s="1049"/>
      <c r="L95" s="1049"/>
      <c r="M95" s="1049"/>
      <c r="N95" s="1050"/>
      <c r="O95" s="1049"/>
      <c r="P95" s="1049"/>
      <c r="Q95" s="1051"/>
    </row>
    <row r="96" spans="1:17" s="8" customFormat="1" x14ac:dyDescent="0.2">
      <c r="A96" s="1225" t="s">
        <v>4483</v>
      </c>
      <c r="B96" s="694"/>
      <c r="C96" s="694"/>
      <c r="D96" s="1049"/>
      <c r="E96" s="1049"/>
      <c r="F96" s="1049"/>
      <c r="G96" s="1049"/>
      <c r="H96" s="1049"/>
      <c r="I96" s="1049"/>
      <c r="J96" s="1049"/>
      <c r="K96" s="1049"/>
      <c r="L96" s="1049"/>
      <c r="M96" s="1049"/>
      <c r="N96" s="1050"/>
      <c r="O96" s="1049"/>
      <c r="P96" s="1049"/>
      <c r="Q96" s="1051"/>
    </row>
    <row r="97" spans="1:17" s="8" customFormat="1" x14ac:dyDescent="0.2">
      <c r="A97" s="1225" t="s">
        <v>2335</v>
      </c>
      <c r="B97" s="694"/>
      <c r="C97" s="694"/>
      <c r="D97" s="1049"/>
      <c r="E97" s="1049"/>
      <c r="F97" s="1049"/>
      <c r="G97" s="1049"/>
      <c r="H97" s="1049"/>
      <c r="I97" s="1049"/>
      <c r="J97" s="1049"/>
      <c r="K97" s="1049"/>
      <c r="L97" s="1049"/>
      <c r="M97" s="1049"/>
      <c r="N97" s="971"/>
      <c r="O97" s="949"/>
      <c r="P97" s="949"/>
      <c r="Q97" s="950"/>
    </row>
    <row r="98" spans="1:17" s="779" customFormat="1" x14ac:dyDescent="0.2">
      <c r="A98" s="936" t="s">
        <v>4478</v>
      </c>
      <c r="B98" s="1101"/>
      <c r="C98" s="1101"/>
      <c r="D98" s="949">
        <v>266000</v>
      </c>
      <c r="E98" s="949">
        <f>ROUND(D98*Assumptions!E7+D98,-3)</f>
        <v>272000</v>
      </c>
      <c r="F98" s="949">
        <f>ROUND(E98*Assumptions!F7+E98,-3)</f>
        <v>287000</v>
      </c>
      <c r="G98" s="949">
        <f>ROUND(F98*Assumptions!G7+F98,-3)</f>
        <v>302000</v>
      </c>
      <c r="H98" s="949">
        <f>ROUND(G98*Assumptions!H7+G98,-3)</f>
        <v>307000</v>
      </c>
      <c r="I98" s="949">
        <f>ROUND(H98*Assumptions!I7+H98,-3)</f>
        <v>315000</v>
      </c>
      <c r="J98" s="949">
        <f>ROUND(I98*Assumptions!J7+I98,-3)</f>
        <v>323000</v>
      </c>
      <c r="K98" s="949">
        <f>ROUND(J98*Assumptions!K7+J98,-3)</f>
        <v>331000</v>
      </c>
      <c r="L98" s="949">
        <f>ROUND(K98*Assumptions!L7+K98,-3)</f>
        <v>339000</v>
      </c>
      <c r="M98" s="949">
        <f>ROUND(L98*Assumptions!M7+L98,-3)</f>
        <v>347000</v>
      </c>
      <c r="N98" s="971">
        <f>ROUND(M98*Assumptions!N7+M98,-3)</f>
        <v>356000</v>
      </c>
      <c r="O98" s="949">
        <f>ROUND(N98*Assumptions!O7+N98,-3)</f>
        <v>365000</v>
      </c>
      <c r="P98" s="949">
        <f>ROUND(O98*Assumptions!P7+O98,-3)</f>
        <v>374000</v>
      </c>
      <c r="Q98" s="950">
        <f>ROUND(P98*Assumptions!Q7+P98,-3)</f>
        <v>383000</v>
      </c>
    </row>
    <row r="99" spans="1:17" s="779" customFormat="1" x14ac:dyDescent="0.2">
      <c r="A99" s="1225" t="s">
        <v>60</v>
      </c>
      <c r="B99" s="1101"/>
      <c r="C99" s="1101"/>
      <c r="D99" s="949"/>
      <c r="E99" s="949"/>
      <c r="F99" s="949"/>
      <c r="G99" s="949"/>
      <c r="H99" s="949"/>
      <c r="I99" s="949"/>
      <c r="J99" s="949"/>
      <c r="K99" s="949"/>
      <c r="L99" s="949"/>
      <c r="M99" s="949"/>
      <c r="N99" s="971"/>
      <c r="O99" s="949"/>
      <c r="P99" s="949"/>
      <c r="Q99" s="950"/>
    </row>
    <row r="100" spans="1:17" s="779" customFormat="1" x14ac:dyDescent="0.2">
      <c r="A100" s="936" t="s">
        <v>3600</v>
      </c>
      <c r="B100" s="1101"/>
      <c r="C100" s="1101"/>
      <c r="D100" s="949">
        <v>4000</v>
      </c>
      <c r="E100" s="949">
        <f>ROUND(D100*Assumptions!E23+D100,-3)</f>
        <v>4000</v>
      </c>
      <c r="F100" s="949">
        <f>ROUND(E100*Assumptions!F23+E100,-3)</f>
        <v>4000</v>
      </c>
      <c r="G100" s="949">
        <f>ROUND(F100*Assumptions!G23+F100,-3)</f>
        <v>4000</v>
      </c>
      <c r="H100" s="949">
        <f>ROUND(G100*Assumptions!H23+G100,-3)</f>
        <v>4000</v>
      </c>
      <c r="I100" s="949">
        <f>ROUND(H100*Assumptions!I23+H100,-3)</f>
        <v>4000</v>
      </c>
      <c r="J100" s="949">
        <f>ROUND(I100*Assumptions!J23+I100,-3)</f>
        <v>4000</v>
      </c>
      <c r="K100" s="949">
        <f>ROUND(J100*Assumptions!K23+J100,-3)</f>
        <v>4000</v>
      </c>
      <c r="L100" s="949">
        <f>ROUND(K100*Assumptions!L23+K100,-3)</f>
        <v>4000</v>
      </c>
      <c r="M100" s="949">
        <f>ROUND(L100*Assumptions!M23+L100,-3)</f>
        <v>4000</v>
      </c>
      <c r="N100" s="971">
        <f>ROUND(M100*Assumptions!N23+M100,-3)</f>
        <v>4000</v>
      </c>
      <c r="O100" s="949">
        <f>ROUND(N100*Assumptions!O23+N100,-3)</f>
        <v>4000</v>
      </c>
      <c r="P100" s="949">
        <f>ROUND(O100*Assumptions!P23+O100,-3)</f>
        <v>4000</v>
      </c>
      <c r="Q100" s="950">
        <f>ROUND(P100*Assumptions!Q23+P100,-3)</f>
        <v>4000</v>
      </c>
    </row>
    <row r="101" spans="1:17" s="779" customFormat="1" x14ac:dyDescent="0.2">
      <c r="A101" s="936" t="s">
        <v>4481</v>
      </c>
      <c r="B101" s="1101"/>
      <c r="C101" s="1101"/>
      <c r="D101" s="949">
        <v>37000</v>
      </c>
      <c r="E101" s="949">
        <f>ROUND(D101*Assumptions!E21+D101,-3)</f>
        <v>40000</v>
      </c>
      <c r="F101" s="949">
        <f>ROUND(E101*Assumptions!F21+E101,-3)</f>
        <v>41000</v>
      </c>
      <c r="G101" s="949">
        <f>ROUND(F101*Assumptions!G21+F101,-3)</f>
        <v>42000</v>
      </c>
      <c r="H101" s="949">
        <f>ROUND(G101*Assumptions!H21+G101,-3)</f>
        <v>43000</v>
      </c>
      <c r="I101" s="949">
        <f>ROUND(H101*Assumptions!I21+H101,-3)</f>
        <v>44000</v>
      </c>
      <c r="J101" s="949">
        <f>ROUND(I101*Assumptions!J21+I101,-3)</f>
        <v>45000</v>
      </c>
      <c r="K101" s="949">
        <f>ROUND(J101*Assumptions!K21+J101,-3)</f>
        <v>46000</v>
      </c>
      <c r="L101" s="949">
        <f>ROUND(K101*Assumptions!L21+K101,-3)</f>
        <v>47000</v>
      </c>
      <c r="M101" s="949">
        <f>ROUND(L101*Assumptions!M21+L101,-3)</f>
        <v>48000</v>
      </c>
      <c r="N101" s="971">
        <f>ROUND(M101*Assumptions!N21+M101,-3)</f>
        <v>49000</v>
      </c>
      <c r="O101" s="949">
        <f>ROUND(N101*Assumptions!O21+N101,-3)</f>
        <v>50000</v>
      </c>
      <c r="P101" s="949">
        <f>ROUND(O101*Assumptions!P21+O101,-3)</f>
        <v>51000</v>
      </c>
      <c r="Q101" s="950">
        <f>ROUND(P101*Assumptions!Q21+P101,-3)</f>
        <v>52000</v>
      </c>
    </row>
    <row r="102" spans="1:17" s="779" customFormat="1" x14ac:dyDescent="0.2">
      <c r="A102" s="936" t="s">
        <v>4530</v>
      </c>
      <c r="B102" s="1101"/>
      <c r="C102" s="1101"/>
      <c r="D102" s="949">
        <v>269000</v>
      </c>
      <c r="E102" s="949"/>
      <c r="F102" s="949"/>
      <c r="G102" s="949"/>
      <c r="H102" s="949"/>
      <c r="I102" s="949"/>
      <c r="J102" s="949"/>
      <c r="K102" s="949"/>
      <c r="L102" s="949"/>
      <c r="M102" s="949"/>
      <c r="N102" s="971"/>
      <c r="O102" s="949"/>
      <c r="P102" s="949"/>
      <c r="Q102" s="950"/>
    </row>
    <row r="103" spans="1:17" s="779" customFormat="1" x14ac:dyDescent="0.2">
      <c r="A103" s="936" t="s">
        <v>4480</v>
      </c>
      <c r="B103" s="1101"/>
      <c r="C103" s="1101"/>
      <c r="D103" s="949">
        <v>234000</v>
      </c>
      <c r="E103" s="949">
        <f>ROUND(D103*Assumptions!E48+D103,-3)</f>
        <v>257000</v>
      </c>
      <c r="F103" s="949">
        <f>ROUND(E103*Assumptions!F48+E103,-3)</f>
        <v>275000</v>
      </c>
      <c r="G103" s="949">
        <f>ROUND(F103*Assumptions!G48+F103,-3)</f>
        <v>294000</v>
      </c>
      <c r="H103" s="949">
        <f>ROUND(G103*Assumptions!H48+G103,-3)</f>
        <v>303000</v>
      </c>
      <c r="I103" s="949">
        <f>ROUND(H103*Assumptions!I48+H103,-3)</f>
        <v>311000</v>
      </c>
      <c r="J103" s="949">
        <f>ROUND(I103*Assumptions!J48+I103,-3)</f>
        <v>319000</v>
      </c>
      <c r="K103" s="949">
        <f>ROUND(J103*Assumptions!K48+J103,-3)</f>
        <v>332000</v>
      </c>
      <c r="L103" s="949">
        <f>ROUND(K103*Assumptions!L48+K103,-3)</f>
        <v>342000</v>
      </c>
      <c r="M103" s="949">
        <f>ROUND(L103*Assumptions!M48+L103,-3)</f>
        <v>352000</v>
      </c>
      <c r="N103" s="971">
        <f>ROUND(M103*Assumptions!N48+M103,-3)</f>
        <v>363000</v>
      </c>
      <c r="O103" s="949">
        <f>ROUND(N103*Assumptions!O48+N103,-3)</f>
        <v>374000</v>
      </c>
      <c r="P103" s="949">
        <f>ROUND(O103*Assumptions!P48+O103,-3)</f>
        <v>385000</v>
      </c>
      <c r="Q103" s="950">
        <f>ROUND(P103*Assumptions!Q48+P103,-3)</f>
        <v>397000</v>
      </c>
    </row>
    <row r="104" spans="1:17" s="779" customFormat="1" x14ac:dyDescent="0.2">
      <c r="A104" s="936" t="s">
        <v>4479</v>
      </c>
      <c r="B104" s="1101"/>
      <c r="C104" s="1101"/>
      <c r="D104" s="949">
        <v>2000</v>
      </c>
      <c r="E104" s="949">
        <f>ROUND(D104*Assumptions!E61+D104,-3)</f>
        <v>2000</v>
      </c>
      <c r="F104" s="949">
        <f>ROUND(E104*Assumptions!F61+E104,-3)</f>
        <v>2000</v>
      </c>
      <c r="G104" s="949">
        <f>ROUND(F104*Assumptions!G61+F104,-3)</f>
        <v>2000</v>
      </c>
      <c r="H104" s="949">
        <f>ROUND(G104*Assumptions!H61+G104,-3)</f>
        <v>2000</v>
      </c>
      <c r="I104" s="949">
        <f>ROUND(H104*Assumptions!I61+H104,-3)</f>
        <v>2000</v>
      </c>
      <c r="J104" s="949">
        <f>ROUND(I104*Assumptions!J61+I104,-3)</f>
        <v>2000</v>
      </c>
      <c r="K104" s="949">
        <f>ROUND(J104*Assumptions!K61+J104,-3)</f>
        <v>2000</v>
      </c>
      <c r="L104" s="949">
        <f>ROUND(K104*Assumptions!L61+K104,-3)</f>
        <v>2000</v>
      </c>
      <c r="M104" s="949">
        <f>ROUND(L104*Assumptions!M61+L104,-3)</f>
        <v>2000</v>
      </c>
      <c r="N104" s="971">
        <f>ROUND(M104*Assumptions!N61+M104,-3)</f>
        <v>2000</v>
      </c>
      <c r="O104" s="949">
        <f>ROUND(N104*Assumptions!O61+N104,-3)</f>
        <v>2000</v>
      </c>
      <c r="P104" s="949">
        <f>ROUND(O104*Assumptions!P61+O104,-3)</f>
        <v>2000</v>
      </c>
      <c r="Q104" s="950">
        <f>ROUND(P104*Assumptions!Q61+P104,-3)</f>
        <v>2000</v>
      </c>
    </row>
    <row r="105" spans="1:17" s="1" customFormat="1" x14ac:dyDescent="0.2">
      <c r="A105" s="1225" t="s">
        <v>4805</v>
      </c>
      <c r="B105" s="694"/>
      <c r="C105" s="694"/>
      <c r="D105" s="1049">
        <f>SUM(D98:D104)</f>
        <v>812000</v>
      </c>
      <c r="E105" s="1049">
        <f t="shared" ref="E105:O105" si="105">SUM(E98:E104)</f>
        <v>575000</v>
      </c>
      <c r="F105" s="1049">
        <f t="shared" si="105"/>
        <v>609000</v>
      </c>
      <c r="G105" s="1049">
        <f t="shared" si="105"/>
        <v>644000</v>
      </c>
      <c r="H105" s="1049">
        <f t="shared" si="105"/>
        <v>659000</v>
      </c>
      <c r="I105" s="1049">
        <f t="shared" si="105"/>
        <v>676000</v>
      </c>
      <c r="J105" s="1049">
        <f t="shared" si="105"/>
        <v>693000</v>
      </c>
      <c r="K105" s="1049">
        <f t="shared" si="105"/>
        <v>715000</v>
      </c>
      <c r="L105" s="1049">
        <f t="shared" si="105"/>
        <v>734000</v>
      </c>
      <c r="M105" s="1049">
        <f t="shared" si="105"/>
        <v>753000</v>
      </c>
      <c r="N105" s="1050">
        <f t="shared" si="105"/>
        <v>774000</v>
      </c>
      <c r="O105" s="1049">
        <f t="shared" si="105"/>
        <v>795000</v>
      </c>
      <c r="P105" s="1049">
        <f t="shared" ref="P105" si="106">SUM(P98:P104)</f>
        <v>816000</v>
      </c>
      <c r="Q105" s="1051">
        <f t="shared" ref="Q105" si="107">SUM(Q98:Q104)</f>
        <v>838000</v>
      </c>
    </row>
    <row r="106" spans="1:17" s="1" customFormat="1" x14ac:dyDescent="0.2">
      <c r="A106" s="1225"/>
      <c r="B106" s="694"/>
      <c r="C106" s="694"/>
      <c r="D106" s="1049"/>
      <c r="E106" s="1049"/>
      <c r="F106" s="1049"/>
      <c r="G106" s="1049"/>
      <c r="H106" s="1049"/>
      <c r="I106" s="1049"/>
      <c r="J106" s="1049"/>
      <c r="K106" s="1049"/>
      <c r="L106" s="1049"/>
      <c r="M106" s="1049"/>
      <c r="N106" s="1050"/>
      <c r="O106" s="1049"/>
      <c r="P106" s="1049"/>
      <c r="Q106" s="1051"/>
    </row>
    <row r="107" spans="1:17" s="1" customFormat="1" x14ac:dyDescent="0.2">
      <c r="A107" s="1225" t="s">
        <v>836</v>
      </c>
      <c r="B107" s="694"/>
      <c r="C107" s="694"/>
      <c r="D107" s="1049"/>
      <c r="E107" s="1049"/>
      <c r="F107" s="1049"/>
      <c r="G107" s="1049"/>
      <c r="H107" s="1049"/>
      <c r="I107" s="1049"/>
      <c r="J107" s="1049"/>
      <c r="K107" s="1049"/>
      <c r="L107" s="1049"/>
      <c r="M107" s="1049"/>
      <c r="N107" s="1050"/>
      <c r="O107" s="1049"/>
      <c r="P107" s="1049"/>
      <c r="Q107" s="1051"/>
    </row>
    <row r="108" spans="1:17" s="779" customFormat="1" x14ac:dyDescent="0.2">
      <c r="A108" s="936" t="s">
        <v>4497</v>
      </c>
      <c r="B108" s="1101"/>
      <c r="C108" s="1101"/>
      <c r="D108" s="949">
        <v>289000</v>
      </c>
      <c r="E108" s="949">
        <f>ROUND(D108*Assumptions!E62+D108,-3)</f>
        <v>306000</v>
      </c>
      <c r="F108" s="949">
        <f>ROUND(E108*Assumptions!F62+E108,-3)</f>
        <v>315000</v>
      </c>
      <c r="G108" s="949">
        <f>ROUND(F108*Assumptions!G62+F108,-3)</f>
        <v>324000</v>
      </c>
      <c r="H108" s="949">
        <f>ROUND(G108*Assumptions!H62+G108,-3)</f>
        <v>330000</v>
      </c>
      <c r="I108" s="949">
        <f>ROUND(H108*Assumptions!I62+H108,-3)</f>
        <v>338000</v>
      </c>
      <c r="J108" s="949">
        <f>ROUND(I108*Assumptions!J62+I108,-3)</f>
        <v>346000</v>
      </c>
      <c r="K108" s="949">
        <f>ROUND(J108*Assumptions!K62+J108,-3)</f>
        <v>360000</v>
      </c>
      <c r="L108" s="949">
        <f>ROUND(K108*Assumptions!L62+K108,-3)</f>
        <v>374000</v>
      </c>
      <c r="M108" s="949">
        <f>ROUND(L108*Assumptions!M62+L108,-3)</f>
        <v>389000</v>
      </c>
      <c r="N108" s="971">
        <f>ROUND(M108*Assumptions!N62+M108,-3)</f>
        <v>405000</v>
      </c>
      <c r="O108" s="949">
        <f>ROUND(N108*Assumptions!O62+N108,-3)</f>
        <v>421000</v>
      </c>
      <c r="P108" s="949">
        <f>ROUND(O108*Assumptions!P62+O108,-3)</f>
        <v>438000</v>
      </c>
      <c r="Q108" s="950">
        <f>ROUND(P108*Assumptions!Q62+P108,-3)</f>
        <v>456000</v>
      </c>
    </row>
    <row r="109" spans="1:17" s="1" customFormat="1" x14ac:dyDescent="0.2">
      <c r="A109" s="1225"/>
      <c r="B109" s="694"/>
      <c r="C109" s="694"/>
      <c r="D109" s="1049"/>
      <c r="E109" s="1049"/>
      <c r="F109" s="1049"/>
      <c r="G109" s="1049"/>
      <c r="H109" s="1049"/>
      <c r="I109" s="1049"/>
      <c r="J109" s="1049"/>
      <c r="K109" s="1049"/>
      <c r="L109" s="1049"/>
      <c r="M109" s="1049"/>
      <c r="N109" s="1050"/>
      <c r="O109" s="1049"/>
      <c r="P109" s="1049"/>
      <c r="Q109" s="1051"/>
    </row>
    <row r="110" spans="1:17" s="1" customFormat="1" x14ac:dyDescent="0.2">
      <c r="A110" s="1225" t="s">
        <v>2718</v>
      </c>
      <c r="B110" s="694"/>
      <c r="C110" s="694"/>
      <c r="D110" s="1049"/>
      <c r="E110" s="1049"/>
      <c r="F110" s="1049"/>
      <c r="G110" s="1049"/>
      <c r="H110" s="1049"/>
      <c r="I110" s="1049"/>
      <c r="J110" s="1049"/>
      <c r="K110" s="1049"/>
      <c r="L110" s="1049"/>
      <c r="M110" s="1049"/>
      <c r="N110" s="1050"/>
      <c r="O110" s="1049"/>
      <c r="P110" s="1049"/>
      <c r="Q110" s="1051"/>
    </row>
    <row r="111" spans="1:17" s="779" customFormat="1" x14ac:dyDescent="0.2">
      <c r="A111" s="936" t="s">
        <v>4524</v>
      </c>
      <c r="B111" s="1101"/>
      <c r="C111" s="1101"/>
      <c r="D111" s="949">
        <v>71000</v>
      </c>
      <c r="E111" s="949">
        <f>'Cap Inc'!A21</f>
        <v>103800</v>
      </c>
      <c r="F111" s="949">
        <f>'Cap Inc'!B21</f>
        <v>330000</v>
      </c>
      <c r="G111" s="949">
        <f>'Cap Inc'!E21</f>
        <v>106400</v>
      </c>
      <c r="H111" s="949">
        <f>'Cap Inc'!F21</f>
        <v>107900</v>
      </c>
      <c r="I111" s="949">
        <f>'Cap Inc'!G21</f>
        <v>110100</v>
      </c>
      <c r="J111" s="949">
        <f>'Cap Inc'!H21</f>
        <v>112300</v>
      </c>
      <c r="K111" s="949">
        <f>'Cap Inc'!I21</f>
        <v>114700</v>
      </c>
      <c r="L111" s="949">
        <f>'Cap Inc'!J21</f>
        <v>116700</v>
      </c>
      <c r="M111" s="949">
        <f>'Cap Inc'!K21</f>
        <v>118700</v>
      </c>
      <c r="N111" s="971">
        <f>'Cap Inc'!L21</f>
        <v>120700</v>
      </c>
      <c r="O111" s="949">
        <f>'Cap Inc'!M21</f>
        <v>122700</v>
      </c>
      <c r="P111" s="949">
        <f>'Cap Inc'!N21</f>
        <v>124700</v>
      </c>
      <c r="Q111" s="950">
        <f>'Cap Inc'!O21</f>
        <v>126900</v>
      </c>
    </row>
    <row r="112" spans="1:17" s="779" customFormat="1" x14ac:dyDescent="0.2">
      <c r="A112" s="936" t="s">
        <v>4525</v>
      </c>
      <c r="B112" s="1101"/>
      <c r="C112" s="1101"/>
      <c r="D112" s="949">
        <v>60000</v>
      </c>
      <c r="E112" s="949"/>
      <c r="F112" s="949"/>
      <c r="G112" s="949"/>
      <c r="H112" s="949"/>
      <c r="I112" s="949"/>
      <c r="J112" s="949"/>
      <c r="K112" s="949"/>
      <c r="L112" s="949"/>
      <c r="M112" s="949"/>
      <c r="N112" s="971"/>
      <c r="O112" s="949"/>
      <c r="P112" s="949"/>
      <c r="Q112" s="950"/>
    </row>
    <row r="113" spans="1:17" s="779" customFormat="1" x14ac:dyDescent="0.2">
      <c r="A113" s="936" t="s">
        <v>4526</v>
      </c>
      <c r="B113" s="1101"/>
      <c r="C113" s="1101"/>
      <c r="D113" s="949">
        <v>40000</v>
      </c>
      <c r="E113" s="949"/>
      <c r="F113" s="949"/>
      <c r="G113" s="949"/>
      <c r="H113" s="949"/>
      <c r="I113" s="949"/>
      <c r="J113" s="949"/>
      <c r="K113" s="949"/>
      <c r="L113" s="949"/>
      <c r="M113" s="949"/>
      <c r="N113" s="971"/>
      <c r="O113" s="949"/>
      <c r="P113" s="949"/>
      <c r="Q113" s="950"/>
    </row>
    <row r="114" spans="1:17" s="1" customFormat="1" x14ac:dyDescent="0.2">
      <c r="A114" s="1225" t="s">
        <v>4527</v>
      </c>
      <c r="B114" s="694"/>
      <c r="C114" s="694"/>
      <c r="D114" s="1049">
        <f t="shared" ref="D114:O114" si="108">SUM(D111:D113)</f>
        <v>171000</v>
      </c>
      <c r="E114" s="1049">
        <f t="shared" si="108"/>
        <v>103800</v>
      </c>
      <c r="F114" s="1049">
        <f t="shared" si="108"/>
        <v>330000</v>
      </c>
      <c r="G114" s="1049">
        <f t="shared" si="108"/>
        <v>106400</v>
      </c>
      <c r="H114" s="1049">
        <f t="shared" si="108"/>
        <v>107900</v>
      </c>
      <c r="I114" s="1049">
        <f t="shared" si="108"/>
        <v>110100</v>
      </c>
      <c r="J114" s="1049">
        <f t="shared" si="108"/>
        <v>112300</v>
      </c>
      <c r="K114" s="1049">
        <f t="shared" si="108"/>
        <v>114700</v>
      </c>
      <c r="L114" s="1049">
        <f t="shared" si="108"/>
        <v>116700</v>
      </c>
      <c r="M114" s="1049">
        <f t="shared" si="108"/>
        <v>118700</v>
      </c>
      <c r="N114" s="1050">
        <f t="shared" si="108"/>
        <v>120700</v>
      </c>
      <c r="O114" s="1049">
        <f t="shared" si="108"/>
        <v>122700</v>
      </c>
      <c r="P114" s="1049">
        <f t="shared" ref="P114" si="109">SUM(P111:P113)</f>
        <v>124700</v>
      </c>
      <c r="Q114" s="1051">
        <f t="shared" ref="Q114" si="110">SUM(Q111:Q113)</f>
        <v>126900</v>
      </c>
    </row>
    <row r="115" spans="1:17" s="1" customFormat="1" x14ac:dyDescent="0.2">
      <c r="A115" s="1225"/>
      <c r="B115" s="694"/>
      <c r="C115" s="694"/>
      <c r="D115" s="1049"/>
      <c r="E115" s="1049"/>
      <c r="F115" s="1049"/>
      <c r="G115" s="1049"/>
      <c r="H115" s="1049"/>
      <c r="I115" s="1049"/>
      <c r="J115" s="1049"/>
      <c r="K115" s="1049"/>
      <c r="L115" s="1049"/>
      <c r="M115" s="1049"/>
      <c r="N115" s="1050"/>
      <c r="O115" s="1049"/>
      <c r="P115" s="1049"/>
      <c r="Q115" s="1051"/>
    </row>
    <row r="116" spans="1:17" s="1" customFormat="1" x14ac:dyDescent="0.2">
      <c r="A116" s="1225" t="s">
        <v>4804</v>
      </c>
      <c r="B116" s="694"/>
      <c r="C116" s="694"/>
      <c r="D116" s="1049">
        <f t="shared" ref="D116:O116" si="111">D114+D108+D105</f>
        <v>1272000</v>
      </c>
      <c r="E116" s="1049">
        <f t="shared" si="111"/>
        <v>984800</v>
      </c>
      <c r="F116" s="1049">
        <f t="shared" si="111"/>
        <v>1254000</v>
      </c>
      <c r="G116" s="1049">
        <f t="shared" si="111"/>
        <v>1074400</v>
      </c>
      <c r="H116" s="1049">
        <f t="shared" si="111"/>
        <v>1096900</v>
      </c>
      <c r="I116" s="1049">
        <f t="shared" si="111"/>
        <v>1124100</v>
      </c>
      <c r="J116" s="1049">
        <f t="shared" si="111"/>
        <v>1151300</v>
      </c>
      <c r="K116" s="1049">
        <f t="shared" si="111"/>
        <v>1189700</v>
      </c>
      <c r="L116" s="1049">
        <f t="shared" si="111"/>
        <v>1224700</v>
      </c>
      <c r="M116" s="1049">
        <f t="shared" si="111"/>
        <v>1260700</v>
      </c>
      <c r="N116" s="1050">
        <f t="shared" si="111"/>
        <v>1299700</v>
      </c>
      <c r="O116" s="1049">
        <f t="shared" si="111"/>
        <v>1338700</v>
      </c>
      <c r="P116" s="1049">
        <f t="shared" ref="P116" si="112">P114+P108+P105</f>
        <v>1378700</v>
      </c>
      <c r="Q116" s="1051">
        <f t="shared" ref="Q116" si="113">Q114+Q108+Q105</f>
        <v>1420900</v>
      </c>
    </row>
    <row r="117" spans="1:17" s="1" customFormat="1" x14ac:dyDescent="0.2">
      <c r="A117" s="1225"/>
      <c r="B117" s="694"/>
      <c r="C117" s="694"/>
      <c r="D117" s="1049"/>
      <c r="E117" s="1049"/>
      <c r="F117" s="1049"/>
      <c r="G117" s="1049"/>
      <c r="H117" s="1049"/>
      <c r="I117" s="1049"/>
      <c r="J117" s="1049"/>
      <c r="K117" s="1049"/>
      <c r="L117" s="1049"/>
      <c r="M117" s="1049"/>
      <c r="N117" s="1050"/>
      <c r="O117" s="1049"/>
      <c r="P117" s="1049"/>
      <c r="Q117" s="1051"/>
    </row>
    <row r="118" spans="1:17" s="1" customFormat="1" x14ac:dyDescent="0.2">
      <c r="A118" s="1225" t="s">
        <v>4366</v>
      </c>
      <c r="B118" s="694"/>
      <c r="C118" s="694"/>
      <c r="D118" s="1049"/>
      <c r="E118" s="1049"/>
      <c r="F118" s="1049"/>
      <c r="G118" s="1049"/>
      <c r="H118" s="1049"/>
      <c r="I118" s="1049"/>
      <c r="J118" s="1049"/>
      <c r="K118" s="1049"/>
      <c r="L118" s="1049"/>
      <c r="M118" s="1049"/>
      <c r="N118" s="1050"/>
      <c r="O118" s="1049"/>
      <c r="P118" s="1049"/>
      <c r="Q118" s="1051"/>
    </row>
    <row r="119" spans="1:17" s="779" customFormat="1" x14ac:dyDescent="0.2">
      <c r="A119" s="936" t="s">
        <v>1676</v>
      </c>
      <c r="B119" s="1101"/>
      <c r="C119" s="1101"/>
      <c r="D119" s="949">
        <v>333000</v>
      </c>
      <c r="E119" s="949"/>
      <c r="F119" s="949"/>
      <c r="G119" s="949"/>
      <c r="H119" s="949"/>
      <c r="I119" s="949"/>
      <c r="J119" s="949"/>
      <c r="K119" s="949"/>
      <c r="L119" s="949"/>
      <c r="M119" s="949"/>
      <c r="N119" s="971"/>
      <c r="O119" s="949"/>
      <c r="P119" s="949"/>
      <c r="Q119" s="950"/>
    </row>
    <row r="120" spans="1:17" s="779" customFormat="1" ht="13.5" thickBot="1" x14ac:dyDescent="0.25">
      <c r="A120" s="968"/>
      <c r="B120" s="1533"/>
      <c r="C120" s="1533"/>
      <c r="D120" s="969"/>
      <c r="E120" s="969"/>
      <c r="F120" s="969"/>
      <c r="G120" s="969"/>
      <c r="H120" s="969"/>
      <c r="I120" s="969"/>
      <c r="J120" s="969"/>
      <c r="K120" s="969"/>
      <c r="L120" s="969"/>
      <c r="M120" s="969"/>
      <c r="N120" s="1636"/>
      <c r="O120" s="969"/>
      <c r="P120" s="969"/>
      <c r="Q120" s="970"/>
    </row>
    <row r="121" spans="1:17" ht="13.5" thickTop="1" x14ac:dyDescent="0.2">
      <c r="A121" s="1881"/>
      <c r="B121" s="1579"/>
      <c r="C121" s="1634"/>
      <c r="D121" s="1579"/>
      <c r="E121" s="1579"/>
      <c r="F121" s="1582"/>
      <c r="G121" s="2235"/>
      <c r="H121" s="1582"/>
      <c r="I121" s="1582"/>
      <c r="J121" s="1582"/>
      <c r="K121" s="1582"/>
      <c r="L121" s="1582"/>
      <c r="M121" s="1582"/>
      <c r="N121" s="1582"/>
      <c r="O121" s="1582"/>
      <c r="P121" s="1582"/>
      <c r="Q121" s="1580"/>
    </row>
    <row r="122" spans="1:17" x14ac:dyDescent="0.2">
      <c r="A122" s="756" t="s">
        <v>1816</v>
      </c>
      <c r="B122" s="9"/>
      <c r="C122" s="1635"/>
      <c r="D122" s="9"/>
      <c r="E122" s="9"/>
      <c r="F122" s="1458"/>
      <c r="G122" s="2236"/>
      <c r="H122" s="1458"/>
      <c r="I122" s="1458"/>
      <c r="J122" s="1458"/>
      <c r="K122" s="1458"/>
      <c r="L122" s="1458"/>
      <c r="M122" s="1458"/>
      <c r="N122" s="1458"/>
      <c r="O122" s="1458"/>
      <c r="P122" s="1458"/>
      <c r="Q122" s="470"/>
    </row>
    <row r="123" spans="1:17" x14ac:dyDescent="0.2">
      <c r="A123" s="818" t="s">
        <v>1175</v>
      </c>
      <c r="B123" s="9"/>
      <c r="C123" s="1635"/>
      <c r="D123" s="1882"/>
      <c r="E123" s="1131">
        <v>859</v>
      </c>
      <c r="F123" s="1883">
        <f t="shared" ref="F123:Q123" si="114">E123*(F7+F9)+E123</f>
        <v>905.47190000000001</v>
      </c>
      <c r="G123" s="1883">
        <f t="shared" si="114"/>
        <v>953.82409945999996</v>
      </c>
      <c r="H123" s="1883">
        <f t="shared" si="114"/>
        <v>1000.56148033354</v>
      </c>
      <c r="I123" s="1883">
        <f t="shared" si="114"/>
        <v>1059.5946076732189</v>
      </c>
      <c r="J123" s="1883">
        <f t="shared" si="114"/>
        <v>1122.1106895259388</v>
      </c>
      <c r="K123" s="1883">
        <f t="shared" si="114"/>
        <v>1150.1634567640872</v>
      </c>
      <c r="L123" s="1883">
        <f t="shared" si="114"/>
        <v>1178.9175431831893</v>
      </c>
      <c r="M123" s="1883">
        <f t="shared" si="114"/>
        <v>1208.390481762769</v>
      </c>
      <c r="N123" s="1883">
        <f t="shared" si="114"/>
        <v>1238.6002438068383</v>
      </c>
      <c r="O123" s="1883">
        <f t="shared" si="114"/>
        <v>1269.5652499020093</v>
      </c>
      <c r="P123" s="1883">
        <f t="shared" si="114"/>
        <v>1301.3043811495595</v>
      </c>
      <c r="Q123" s="1884">
        <f t="shared" si="114"/>
        <v>1333.8369906782984</v>
      </c>
    </row>
    <row r="124" spans="1:17" x14ac:dyDescent="0.2">
      <c r="A124" s="818" t="s">
        <v>5028</v>
      </c>
      <c r="B124" s="9"/>
      <c r="C124" s="1635"/>
      <c r="D124" s="1882">
        <f>E124/E$123*100</f>
        <v>125.37834691501746</v>
      </c>
      <c r="E124" s="1131">
        <v>1077</v>
      </c>
      <c r="F124" s="1883">
        <f>E124*F$5+E124</f>
        <v>1102.848</v>
      </c>
      <c r="G124" s="1883">
        <f t="shared" ref="G124:Q124" si="115">F124*G$5+F124</f>
        <v>1124.9049599999998</v>
      </c>
      <c r="H124" s="1883">
        <f t="shared" si="115"/>
        <v>1141.7785343999999</v>
      </c>
      <c r="I124" s="1883">
        <f t="shared" si="115"/>
        <v>1170.3229977599999</v>
      </c>
      <c r="J124" s="1883">
        <f t="shared" si="115"/>
        <v>1199.581072704</v>
      </c>
      <c r="K124" s="1883">
        <f t="shared" si="115"/>
        <v>1229.5705995216001</v>
      </c>
      <c r="L124" s="1883">
        <f t="shared" si="115"/>
        <v>1254.1620115120322</v>
      </c>
      <c r="M124" s="1883">
        <f t="shared" si="115"/>
        <v>1279.2452517422728</v>
      </c>
      <c r="N124" s="1883">
        <f t="shared" si="115"/>
        <v>1304.8301567771182</v>
      </c>
      <c r="O124" s="1883">
        <f t="shared" si="115"/>
        <v>1330.9267599126606</v>
      </c>
      <c r="P124" s="1883">
        <f t="shared" si="115"/>
        <v>1357.5452951109139</v>
      </c>
      <c r="Q124" s="1884">
        <f t="shared" si="115"/>
        <v>1384.6962010131322</v>
      </c>
    </row>
    <row r="125" spans="1:17" x14ac:dyDescent="0.2">
      <c r="A125" s="818" t="s">
        <v>5029</v>
      </c>
      <c r="B125" s="9"/>
      <c r="C125" s="1635"/>
      <c r="D125" s="1882">
        <f t="shared" ref="D125:D128" si="116">E125/E$123*100</f>
        <v>117.11292200232828</v>
      </c>
      <c r="E125" s="1131">
        <v>1006</v>
      </c>
      <c r="F125" s="1883">
        <f t="shared" ref="F125:Q128" si="117">E125*F$5+E125</f>
        <v>1030.144</v>
      </c>
      <c r="G125" s="1883">
        <f t="shared" si="117"/>
        <v>1050.7468799999999</v>
      </c>
      <c r="H125" s="1883">
        <f t="shared" si="117"/>
        <v>1066.5080831999999</v>
      </c>
      <c r="I125" s="1883">
        <f t="shared" si="117"/>
        <v>1093.1707852799998</v>
      </c>
      <c r="J125" s="1883">
        <f t="shared" si="117"/>
        <v>1120.5000549119998</v>
      </c>
      <c r="K125" s="1883">
        <f t="shared" si="117"/>
        <v>1148.5125562847998</v>
      </c>
      <c r="L125" s="1883">
        <f t="shared" si="117"/>
        <v>1171.4828074104958</v>
      </c>
      <c r="M125" s="1883">
        <f t="shared" si="117"/>
        <v>1194.9124635587057</v>
      </c>
      <c r="N125" s="1883">
        <f t="shared" si="117"/>
        <v>1218.8107128298798</v>
      </c>
      <c r="O125" s="1883">
        <f t="shared" si="117"/>
        <v>1243.1869270864775</v>
      </c>
      <c r="P125" s="1883">
        <f t="shared" si="117"/>
        <v>1268.0506656282071</v>
      </c>
      <c r="Q125" s="1884">
        <f t="shared" si="117"/>
        <v>1293.4116789407713</v>
      </c>
    </row>
    <row r="126" spans="1:17" x14ac:dyDescent="0.2">
      <c r="A126" s="818" t="s">
        <v>5030</v>
      </c>
      <c r="B126" s="9"/>
      <c r="C126" s="1635"/>
      <c r="D126" s="1882">
        <f t="shared" si="116"/>
        <v>132.01396973224681</v>
      </c>
      <c r="E126" s="1885">
        <v>1134</v>
      </c>
      <c r="F126" s="1883">
        <f t="shared" si="117"/>
        <v>1161.2159999999999</v>
      </c>
      <c r="G126" s="1883">
        <f t="shared" si="117"/>
        <v>1184.4403199999999</v>
      </c>
      <c r="H126" s="1883">
        <f t="shared" si="117"/>
        <v>1202.2069248</v>
      </c>
      <c r="I126" s="1883">
        <f t="shared" si="117"/>
        <v>1232.2620979200001</v>
      </c>
      <c r="J126" s="1883">
        <f t="shared" si="117"/>
        <v>1263.0686503680001</v>
      </c>
      <c r="K126" s="1883">
        <f t="shared" si="117"/>
        <v>1294.6453666272002</v>
      </c>
      <c r="L126" s="1883">
        <f t="shared" si="117"/>
        <v>1320.5382739597442</v>
      </c>
      <c r="M126" s="1883">
        <f t="shared" si="117"/>
        <v>1346.9490394389391</v>
      </c>
      <c r="N126" s="1883">
        <f t="shared" si="117"/>
        <v>1373.8880202277178</v>
      </c>
      <c r="O126" s="1883">
        <f t="shared" si="117"/>
        <v>1401.3657806322722</v>
      </c>
      <c r="P126" s="1883">
        <f t="shared" si="117"/>
        <v>1429.3930962449176</v>
      </c>
      <c r="Q126" s="1884">
        <f t="shared" si="117"/>
        <v>1457.9809581698159</v>
      </c>
    </row>
    <row r="127" spans="1:17" x14ac:dyDescent="0.2">
      <c r="A127" s="818" t="s">
        <v>5032</v>
      </c>
      <c r="B127" s="9"/>
      <c r="C127" s="1635"/>
      <c r="D127" s="1882">
        <f t="shared" si="116"/>
        <v>91.385331781140863</v>
      </c>
      <c r="E127" s="1885">
        <v>785</v>
      </c>
      <c r="F127" s="1883">
        <f>E127*0.05+E127</f>
        <v>824.25</v>
      </c>
      <c r="G127" s="1883">
        <f t="shared" ref="G127:I127" si="118">F127*0.05+F127</f>
        <v>865.46249999999998</v>
      </c>
      <c r="H127" s="1883">
        <f t="shared" si="118"/>
        <v>908.73562500000003</v>
      </c>
      <c r="I127" s="1883">
        <f t="shared" si="118"/>
        <v>954.17240624999999</v>
      </c>
      <c r="J127" s="1883">
        <f t="shared" si="117"/>
        <v>978.02671640624999</v>
      </c>
      <c r="K127" s="1883">
        <f t="shared" si="117"/>
        <v>1002.4773843164062</v>
      </c>
      <c r="L127" s="1883">
        <f t="shared" si="117"/>
        <v>1022.5269320027343</v>
      </c>
      <c r="M127" s="1883">
        <f t="shared" si="117"/>
        <v>1042.9774706427891</v>
      </c>
      <c r="N127" s="1883">
        <f t="shared" si="117"/>
        <v>1063.8370200556449</v>
      </c>
      <c r="O127" s="1883">
        <f t="shared" si="117"/>
        <v>1085.1137604567577</v>
      </c>
      <c r="P127" s="1883">
        <f t="shared" si="117"/>
        <v>1106.816035665893</v>
      </c>
      <c r="Q127" s="1884">
        <f t="shared" si="117"/>
        <v>1128.9523563792109</v>
      </c>
    </row>
    <row r="128" spans="1:17" x14ac:dyDescent="0.2">
      <c r="A128" s="818" t="s">
        <v>5031</v>
      </c>
      <c r="B128" s="9"/>
      <c r="C128" s="1635"/>
      <c r="D128" s="1882">
        <f t="shared" si="116"/>
        <v>148.66123399301514</v>
      </c>
      <c r="E128" s="1131">
        <v>1277</v>
      </c>
      <c r="F128" s="1883">
        <f t="shared" si="117"/>
        <v>1307.6479999999999</v>
      </c>
      <c r="G128" s="1883">
        <f t="shared" si="117"/>
        <v>1333.8009599999998</v>
      </c>
      <c r="H128" s="1883">
        <f t="shared" si="117"/>
        <v>1353.8079743999997</v>
      </c>
      <c r="I128" s="1883">
        <f t="shared" si="117"/>
        <v>1387.6531737599996</v>
      </c>
      <c r="J128" s="1883">
        <f t="shared" si="117"/>
        <v>1422.3445031039996</v>
      </c>
      <c r="K128" s="1883">
        <f t="shared" si="117"/>
        <v>1457.9031156815995</v>
      </c>
      <c r="L128" s="1883">
        <f t="shared" si="117"/>
        <v>1487.0611779952314</v>
      </c>
      <c r="M128" s="1883">
        <f t="shared" si="117"/>
        <v>1516.8024015551362</v>
      </c>
      <c r="N128" s="1883">
        <f t="shared" si="117"/>
        <v>1547.1384495862389</v>
      </c>
      <c r="O128" s="1883">
        <f t="shared" si="117"/>
        <v>1578.0812185779637</v>
      </c>
      <c r="P128" s="1883">
        <f t="shared" si="117"/>
        <v>1609.6428429495229</v>
      </c>
      <c r="Q128" s="1884">
        <f t="shared" si="117"/>
        <v>1641.8356998085133</v>
      </c>
    </row>
    <row r="129" spans="1:17" ht="13.5" thickBot="1" x14ac:dyDescent="0.25">
      <c r="A129" s="563"/>
      <c r="B129" s="12"/>
      <c r="C129" s="1675"/>
      <c r="D129" s="12"/>
      <c r="E129" s="12"/>
      <c r="F129" s="15"/>
      <c r="G129" s="2237"/>
      <c r="H129" s="15"/>
      <c r="I129" s="15"/>
      <c r="J129" s="15"/>
      <c r="K129" s="15"/>
      <c r="L129" s="15"/>
      <c r="M129" s="15"/>
      <c r="N129" s="15"/>
      <c r="O129" s="969"/>
      <c r="P129" s="969"/>
      <c r="Q129" s="970"/>
    </row>
    <row r="130" spans="1:17" ht="13.5" thickTop="1" x14ac:dyDescent="0.2"/>
  </sheetData>
  <mergeCells count="1">
    <mergeCell ref="A1:Q1"/>
  </mergeCells>
  <phoneticPr fontId="9" type="noConversion"/>
  <printOptions horizontalCentered="1" verticalCentered="1"/>
  <pageMargins left="0" right="0" top="0" bottom="0" header="0" footer="0"/>
  <pageSetup paperSize="8" scale="50" orientation="landscape" verticalDpi="300"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Z302"/>
  <sheetViews>
    <sheetView topLeftCell="A89" workbookViewId="0">
      <selection activeCell="A110" sqref="A110"/>
    </sheetView>
  </sheetViews>
  <sheetFormatPr defaultColWidth="9.140625" defaultRowHeight="12.75" x14ac:dyDescent="0.2"/>
  <cols>
    <col min="1" max="2" width="13.28515625" style="84" customWidth="1"/>
    <col min="3" max="3" width="12.85546875" style="149" customWidth="1"/>
    <col min="4" max="4" width="13.85546875" style="84" customWidth="1"/>
    <col min="5" max="5" width="28.85546875" style="84" customWidth="1"/>
    <col min="6" max="6" width="12.140625" style="84" customWidth="1"/>
    <col min="7" max="7" width="13.140625" style="84" customWidth="1"/>
    <col min="8" max="8" width="11.140625" style="84" customWidth="1"/>
    <col min="9" max="9" width="13.5703125" style="84" customWidth="1"/>
    <col min="10" max="12" width="12.140625" style="84" customWidth="1"/>
    <col min="13" max="16" width="10.28515625" style="84" customWidth="1"/>
    <col min="17" max="17" width="12" style="84" bestFit="1" customWidth="1"/>
    <col min="18" max="18" width="12" style="84" customWidth="1"/>
    <col min="19" max="19" width="12.28515625" style="84" bestFit="1" customWidth="1"/>
    <col min="20" max="20" width="9.7109375" style="84" customWidth="1"/>
    <col min="21" max="21" width="12.28515625" style="84" bestFit="1" customWidth="1"/>
    <col min="22" max="22" width="10.42578125" style="84" customWidth="1"/>
    <col min="23" max="24" width="12.28515625" style="84" bestFit="1" customWidth="1"/>
    <col min="25" max="25" width="10.28515625" style="84" bestFit="1" customWidth="1"/>
    <col min="26" max="16384" width="9.140625" style="84"/>
  </cols>
  <sheetData>
    <row r="1" spans="1:16" ht="18.75" customHeight="1" thickTop="1" thickBot="1" x14ac:dyDescent="0.25">
      <c r="A1" s="2909" t="s">
        <v>7043</v>
      </c>
      <c r="B1" s="2910"/>
      <c r="C1" s="2910"/>
      <c r="D1" s="2910"/>
      <c r="E1" s="2910"/>
      <c r="F1" s="2910"/>
      <c r="G1" s="2910"/>
      <c r="H1" s="2910"/>
      <c r="I1" s="2910"/>
      <c r="J1" s="2910"/>
      <c r="K1" s="2910"/>
      <c r="L1" s="2910"/>
      <c r="M1" s="2910"/>
      <c r="N1" s="2910"/>
      <c r="O1" s="2910"/>
      <c r="P1" s="2911"/>
    </row>
    <row r="2" spans="1:16" s="44" customFormat="1" x14ac:dyDescent="0.2">
      <c r="A2" s="2888" t="s">
        <v>1856</v>
      </c>
      <c r="B2" s="2889"/>
      <c r="C2" s="2890"/>
      <c r="D2" s="2649" t="s">
        <v>2251</v>
      </c>
      <c r="E2" s="2650"/>
      <c r="F2" s="2885" t="s">
        <v>2253</v>
      </c>
      <c r="G2" s="2886"/>
      <c r="H2" s="2886"/>
      <c r="I2" s="2886"/>
      <c r="J2" s="2886"/>
      <c r="K2" s="2886"/>
      <c r="L2" s="2886"/>
      <c r="M2" s="2886"/>
      <c r="N2" s="2886"/>
      <c r="O2" s="2886"/>
      <c r="P2" s="2887"/>
    </row>
    <row r="3" spans="1:16" s="23" customFormat="1" ht="13.5" thickBot="1" x14ac:dyDescent="0.25">
      <c r="A3" s="45" t="str">
        <f>LTFP!A182</f>
        <v>2013/14</v>
      </c>
      <c r="B3" s="218" t="str">
        <f>LTFP!B182</f>
        <v>2014/15</v>
      </c>
      <c r="C3" s="47" t="str">
        <f>LTFP!C182</f>
        <v>2015/16</v>
      </c>
      <c r="D3" s="43"/>
      <c r="E3" s="42"/>
      <c r="F3" s="47" t="str">
        <f>LTFP!E182</f>
        <v>2016/17</v>
      </c>
      <c r="G3" s="47" t="str">
        <f>LTFP!G182</f>
        <v>2017/18</v>
      </c>
      <c r="H3" s="47" t="str">
        <f>LTFP!H182</f>
        <v>2018/19</v>
      </c>
      <c r="I3" s="47" t="str">
        <f>LTFP!I182</f>
        <v>2019/20</v>
      </c>
      <c r="J3" s="47" t="str">
        <f>LTFP!J182</f>
        <v>2020/21</v>
      </c>
      <c r="K3" s="47" t="str">
        <f>LTFP!K182</f>
        <v>2021/22</v>
      </c>
      <c r="L3" s="47" t="str">
        <f>LTFP!L182</f>
        <v>2022/23</v>
      </c>
      <c r="M3" s="47" t="str">
        <f>LTFP!M182</f>
        <v>2023/24</v>
      </c>
      <c r="N3" s="49" t="str">
        <f>LTFP!N182</f>
        <v>2024/25</v>
      </c>
      <c r="O3" s="219" t="str">
        <f>LTFP!O182</f>
        <v>2025/26</v>
      </c>
      <c r="P3" s="220" t="str">
        <f>LTFP!P182</f>
        <v>2026/27</v>
      </c>
    </row>
    <row r="4" spans="1:16" x14ac:dyDescent="0.2">
      <c r="A4" s="107"/>
      <c r="B4" s="33"/>
      <c r="C4" s="33"/>
      <c r="D4" s="99"/>
      <c r="E4" s="99"/>
      <c r="F4" s="33"/>
      <c r="G4" s="33"/>
      <c r="H4" s="33"/>
      <c r="I4" s="33"/>
      <c r="J4" s="33"/>
      <c r="K4" s="33"/>
      <c r="L4" s="33"/>
      <c r="M4" s="33"/>
      <c r="N4" s="142"/>
      <c r="O4" s="33"/>
      <c r="P4" s="114"/>
    </row>
    <row r="5" spans="1:16" x14ac:dyDescent="0.2">
      <c r="A5" s="107"/>
      <c r="B5" s="33"/>
      <c r="C5" s="33"/>
      <c r="D5" s="170"/>
      <c r="E5" s="99"/>
      <c r="F5" s="33"/>
      <c r="G5" s="33"/>
      <c r="H5" s="33"/>
      <c r="I5" s="33"/>
      <c r="J5" s="33"/>
      <c r="K5" s="33"/>
      <c r="L5" s="33"/>
      <c r="M5" s="33"/>
      <c r="N5" s="142"/>
      <c r="O5" s="33"/>
      <c r="P5" s="114"/>
    </row>
    <row r="6" spans="1:16" x14ac:dyDescent="0.2">
      <c r="A6" s="107">
        <f>ROUND('W&amp;W'!B8,-2)</f>
        <v>14462800</v>
      </c>
      <c r="B6" s="33">
        <f>'W&amp;W'!C8</f>
        <v>15355900</v>
      </c>
      <c r="C6" s="33">
        <f>'W&amp;W'!D8</f>
        <v>16363900</v>
      </c>
      <c r="D6" s="111" t="s">
        <v>393</v>
      </c>
      <c r="E6" s="99"/>
      <c r="F6" s="33">
        <f>'W&amp;W'!G8</f>
        <v>17705900</v>
      </c>
      <c r="G6" s="33">
        <f>'W&amp;W'!I8</f>
        <v>18138500</v>
      </c>
      <c r="H6" s="33">
        <f>'W&amp;W'!J8</f>
        <v>18603000</v>
      </c>
      <c r="I6" s="33">
        <f>'W&amp;W'!K8</f>
        <v>19115500</v>
      </c>
      <c r="J6" s="33">
        <f>'W&amp;W'!L8</f>
        <v>19843000</v>
      </c>
      <c r="K6" s="33">
        <f>'W&amp;W'!M8</f>
        <v>20400000</v>
      </c>
      <c r="L6" s="33">
        <f>'W&amp;W'!N8</f>
        <v>21021900</v>
      </c>
      <c r="M6" s="33">
        <f>'W&amp;W'!O8</f>
        <v>21627500</v>
      </c>
      <c r="N6" s="142">
        <f>'W&amp;W'!P8</f>
        <v>22327800</v>
      </c>
      <c r="O6" s="33">
        <f>'W&amp;W'!Q8</f>
        <v>23121500</v>
      </c>
      <c r="P6" s="114">
        <f>'W&amp;W'!R8</f>
        <v>23940600</v>
      </c>
    </row>
    <row r="7" spans="1:16" x14ac:dyDescent="0.2">
      <c r="A7" s="107">
        <f>'W&amp;W'!B15-A10-A11-A12</f>
        <v>13987000</v>
      </c>
      <c r="B7" s="33">
        <f>'W&amp;W'!C15-B10-B11-B12</f>
        <v>13866900</v>
      </c>
      <c r="C7" s="33">
        <f>'W&amp;W'!D15-C10-C11-C12</f>
        <v>13468900</v>
      </c>
      <c r="D7" s="111" t="s">
        <v>1115</v>
      </c>
      <c r="E7" s="99"/>
      <c r="F7" s="33">
        <f>'W&amp;W'!G15-F10-F11-F12</f>
        <v>14260700</v>
      </c>
      <c r="G7" s="33">
        <f>'W&amp;W'!I15-G10-G11-G12</f>
        <v>13831500</v>
      </c>
      <c r="H7" s="33">
        <f>'W&amp;W'!J15-H10-H11-H12</f>
        <v>13725400</v>
      </c>
      <c r="I7" s="33">
        <f>'W&amp;W'!K15-I10-I11-I12</f>
        <v>13831600</v>
      </c>
      <c r="J7" s="33">
        <f>'W&amp;W'!L15-J10-J11-J12</f>
        <v>13931700</v>
      </c>
      <c r="K7" s="33">
        <f>'W&amp;W'!M15-K10-K11-K12</f>
        <v>13944700</v>
      </c>
      <c r="L7" s="33">
        <f>'W&amp;W'!N15-L10-L11-L12</f>
        <v>14022200</v>
      </c>
      <c r="M7" s="33">
        <f>'W&amp;W'!O15-M10-M11-M12</f>
        <v>14000600</v>
      </c>
      <c r="N7" s="142">
        <f>'W&amp;W'!P15-N10-N11-N12</f>
        <v>14028500</v>
      </c>
      <c r="O7" s="33">
        <f>'W&amp;W'!Q15-O10-O11-O12</f>
        <v>13996300</v>
      </c>
      <c r="P7" s="114">
        <f>'W&amp;W'!R15-P10-P11-P12</f>
        <v>14028400</v>
      </c>
    </row>
    <row r="8" spans="1:16" s="118" customFormat="1" x14ac:dyDescent="0.2">
      <c r="A8" s="292">
        <f>A6-A7</f>
        <v>475800</v>
      </c>
      <c r="B8" s="116">
        <f>B6-B7</f>
        <v>1489000</v>
      </c>
      <c r="C8" s="116">
        <f>C6-C7</f>
        <v>2895000</v>
      </c>
      <c r="D8" s="109" t="s">
        <v>674</v>
      </c>
      <c r="E8" s="145"/>
      <c r="F8" s="116">
        <f t="shared" ref="F8:K8" si="0">F6-F7</f>
        <v>3445200</v>
      </c>
      <c r="G8" s="116">
        <f t="shared" si="0"/>
        <v>4307000</v>
      </c>
      <c r="H8" s="116">
        <f t="shared" si="0"/>
        <v>4877600</v>
      </c>
      <c r="I8" s="116">
        <f t="shared" si="0"/>
        <v>5283900</v>
      </c>
      <c r="J8" s="116">
        <f t="shared" si="0"/>
        <v>5911300</v>
      </c>
      <c r="K8" s="116">
        <f t="shared" si="0"/>
        <v>6455300</v>
      </c>
      <c r="L8" s="116">
        <f>L6-L7</f>
        <v>6999700</v>
      </c>
      <c r="M8" s="116">
        <f>M6-M7</f>
        <v>7626900</v>
      </c>
      <c r="N8" s="160">
        <f>N6-N7</f>
        <v>8299300</v>
      </c>
      <c r="O8" s="116">
        <f>O6-O7</f>
        <v>9125200</v>
      </c>
      <c r="P8" s="159">
        <f>P6-P7</f>
        <v>9912200</v>
      </c>
    </row>
    <row r="9" spans="1:16" x14ac:dyDescent="0.2">
      <c r="A9" s="107"/>
      <c r="B9" s="33"/>
      <c r="C9" s="33"/>
      <c r="D9" s="111"/>
      <c r="E9" s="99"/>
      <c r="F9" s="33"/>
      <c r="G9" s="33"/>
      <c r="H9" s="33"/>
      <c r="I9" s="33"/>
      <c r="J9" s="33"/>
      <c r="K9" s="33"/>
      <c r="L9" s="33"/>
      <c r="M9" s="33"/>
      <c r="N9" s="142"/>
      <c r="O9" s="33"/>
      <c r="P9" s="114"/>
    </row>
    <row r="10" spans="1:16" x14ac:dyDescent="0.2">
      <c r="A10" s="107">
        <f t="shared" ref="A10:B12" si="1">A25</f>
        <v>2643100</v>
      </c>
      <c r="B10" s="33">
        <f t="shared" si="1"/>
        <v>2314300</v>
      </c>
      <c r="C10" s="33">
        <f>C25</f>
        <v>3531900</v>
      </c>
      <c r="D10" s="111" t="s">
        <v>1769</v>
      </c>
      <c r="E10" s="99"/>
      <c r="F10" s="33">
        <f t="shared" ref="F10:M12" si="2">F25</f>
        <v>2678000</v>
      </c>
      <c r="G10" s="33">
        <f t="shared" si="2"/>
        <v>3775000</v>
      </c>
      <c r="H10" s="33">
        <f t="shared" si="2"/>
        <v>3851000</v>
      </c>
      <c r="I10" s="33">
        <f t="shared" si="2"/>
        <v>3928000</v>
      </c>
      <c r="J10" s="33">
        <f t="shared" si="2"/>
        <v>4007000</v>
      </c>
      <c r="K10" s="33">
        <f t="shared" si="2"/>
        <v>4087000</v>
      </c>
      <c r="L10" s="33">
        <f t="shared" si="2"/>
        <v>4169000</v>
      </c>
      <c r="M10" s="33">
        <f t="shared" si="2"/>
        <v>4252000</v>
      </c>
      <c r="N10" s="142">
        <f t="shared" ref="N10:O12" si="3">N25</f>
        <v>4337000</v>
      </c>
      <c r="O10" s="33">
        <f t="shared" si="3"/>
        <v>4424000</v>
      </c>
      <c r="P10" s="114">
        <f t="shared" ref="P10" si="4">P25</f>
        <v>4512000</v>
      </c>
    </row>
    <row r="11" spans="1:16" x14ac:dyDescent="0.2">
      <c r="A11" s="107">
        <f t="shared" si="1"/>
        <v>394000</v>
      </c>
      <c r="B11" s="33">
        <f t="shared" si="1"/>
        <v>349200</v>
      </c>
      <c r="C11" s="33">
        <f>C26</f>
        <v>301100</v>
      </c>
      <c r="D11" s="111" t="s">
        <v>4239</v>
      </c>
      <c r="E11" s="99"/>
      <c r="F11" s="33">
        <f t="shared" si="2"/>
        <v>249000</v>
      </c>
      <c r="G11" s="33">
        <f t="shared" si="2"/>
        <v>194000</v>
      </c>
      <c r="H11" s="33">
        <f t="shared" si="2"/>
        <v>134000</v>
      </c>
      <c r="I11" s="33">
        <f t="shared" si="2"/>
        <v>69000</v>
      </c>
      <c r="J11" s="33">
        <f t="shared" si="2"/>
        <v>0</v>
      </c>
      <c r="K11" s="33">
        <f t="shared" si="2"/>
        <v>0</v>
      </c>
      <c r="L11" s="33">
        <f t="shared" si="2"/>
        <v>0</v>
      </c>
      <c r="M11" s="33">
        <f t="shared" si="2"/>
        <v>0</v>
      </c>
      <c r="N11" s="142">
        <f t="shared" si="3"/>
        <v>0</v>
      </c>
      <c r="O11" s="33">
        <f t="shared" si="3"/>
        <v>0</v>
      </c>
      <c r="P11" s="114">
        <f t="shared" ref="P11" si="5">P26</f>
        <v>0</v>
      </c>
    </row>
    <row r="12" spans="1:16" x14ac:dyDescent="0.2">
      <c r="A12" s="107">
        <f t="shared" si="1"/>
        <v>20300</v>
      </c>
      <c r="B12" s="33">
        <f t="shared" si="1"/>
        <v>12216800</v>
      </c>
      <c r="C12" s="33">
        <f>C27</f>
        <v>10800</v>
      </c>
      <c r="D12" s="59" t="s">
        <v>4547</v>
      </c>
      <c r="E12" s="99"/>
      <c r="F12" s="33">
        <f t="shared" si="2"/>
        <v>0</v>
      </c>
      <c r="G12" s="33">
        <f t="shared" si="2"/>
        <v>0</v>
      </c>
      <c r="H12" s="33">
        <f t="shared" si="2"/>
        <v>0</v>
      </c>
      <c r="I12" s="33">
        <f t="shared" si="2"/>
        <v>0</v>
      </c>
      <c r="J12" s="33">
        <f t="shared" si="2"/>
        <v>0</v>
      </c>
      <c r="K12" s="33">
        <f t="shared" si="2"/>
        <v>0</v>
      </c>
      <c r="L12" s="33">
        <f t="shared" si="2"/>
        <v>0</v>
      </c>
      <c r="M12" s="33">
        <f t="shared" si="2"/>
        <v>0</v>
      </c>
      <c r="N12" s="142">
        <f t="shared" si="3"/>
        <v>0</v>
      </c>
      <c r="O12" s="33">
        <f t="shared" si="3"/>
        <v>0</v>
      </c>
      <c r="P12" s="114">
        <f t="shared" ref="P12" si="6">P27</f>
        <v>0</v>
      </c>
    </row>
    <row r="13" spans="1:16" s="118" customFormat="1" x14ac:dyDescent="0.2">
      <c r="A13" s="292">
        <f>A8-A10-A11-A12</f>
        <v>-2581600</v>
      </c>
      <c r="B13" s="116">
        <f>B8-B10-B11-B12</f>
        <v>-13391300</v>
      </c>
      <c r="C13" s="116">
        <f>C8-C10-C11-C12</f>
        <v>-948800</v>
      </c>
      <c r="D13" s="109" t="s">
        <v>406</v>
      </c>
      <c r="E13" s="145"/>
      <c r="F13" s="116">
        <f>F8-F10-F11-F12</f>
        <v>518200</v>
      </c>
      <c r="G13" s="116">
        <f t="shared" ref="G13:N13" si="7">G8-G10-G11-G12</f>
        <v>338000</v>
      </c>
      <c r="H13" s="116">
        <f t="shared" si="7"/>
        <v>892600</v>
      </c>
      <c r="I13" s="116">
        <f t="shared" si="7"/>
        <v>1286900</v>
      </c>
      <c r="J13" s="116">
        <f t="shared" si="7"/>
        <v>1904300</v>
      </c>
      <c r="K13" s="116">
        <f t="shared" si="7"/>
        <v>2368300</v>
      </c>
      <c r="L13" s="116">
        <f t="shared" si="7"/>
        <v>2830700</v>
      </c>
      <c r="M13" s="116">
        <f t="shared" si="7"/>
        <v>3374900</v>
      </c>
      <c r="N13" s="160">
        <f t="shared" si="7"/>
        <v>3962300</v>
      </c>
      <c r="O13" s="116">
        <f t="shared" ref="O13:P13" si="8">O8-O10-O11-O12</f>
        <v>4701200</v>
      </c>
      <c r="P13" s="159">
        <f t="shared" si="8"/>
        <v>5400200</v>
      </c>
    </row>
    <row r="14" spans="1:16" x14ac:dyDescent="0.2">
      <c r="A14" s="107"/>
      <c r="B14" s="33"/>
      <c r="C14" s="33"/>
      <c r="D14" s="151"/>
      <c r="E14" s="99"/>
      <c r="F14" s="33"/>
      <c r="G14" s="33"/>
      <c r="H14" s="33"/>
      <c r="I14" s="33"/>
      <c r="J14" s="33"/>
      <c r="K14" s="33"/>
      <c r="L14" s="33"/>
      <c r="M14" s="33"/>
      <c r="N14" s="142"/>
      <c r="O14" s="33"/>
      <c r="P14" s="114"/>
    </row>
    <row r="15" spans="1:16" x14ac:dyDescent="0.2">
      <c r="A15" s="107"/>
      <c r="B15" s="33"/>
      <c r="C15" s="33"/>
      <c r="D15" s="145" t="s">
        <v>1457</v>
      </c>
      <c r="E15" s="99"/>
      <c r="F15" s="33"/>
      <c r="G15" s="33"/>
      <c r="H15" s="33"/>
      <c r="I15" s="33"/>
      <c r="J15" s="33"/>
      <c r="K15" s="33"/>
      <c r="L15" s="33"/>
      <c r="M15" s="33"/>
      <c r="N15" s="142"/>
      <c r="O15" s="33"/>
      <c r="P15" s="114"/>
    </row>
    <row r="16" spans="1:16" x14ac:dyDescent="0.2">
      <c r="A16" s="107">
        <v>662300</v>
      </c>
      <c r="B16" s="33">
        <v>745500</v>
      </c>
      <c r="C16" s="33">
        <f>B16</f>
        <v>745500</v>
      </c>
      <c r="D16" s="78" t="s">
        <v>3</v>
      </c>
      <c r="E16" s="99"/>
      <c r="F16" s="33">
        <f>C16</f>
        <v>745500</v>
      </c>
      <c r="G16" s="33">
        <f t="shared" ref="G16:K16" si="9">F16</f>
        <v>745500</v>
      </c>
      <c r="H16" s="33">
        <f t="shared" si="9"/>
        <v>745500</v>
      </c>
      <c r="I16" s="33">
        <f t="shared" si="9"/>
        <v>745500</v>
      </c>
      <c r="J16" s="33">
        <f t="shared" si="9"/>
        <v>745500</v>
      </c>
      <c r="K16" s="33">
        <f t="shared" si="9"/>
        <v>745500</v>
      </c>
      <c r="L16" s="33">
        <f>K16</f>
        <v>745500</v>
      </c>
      <c r="M16" s="33">
        <f>L16</f>
        <v>745500</v>
      </c>
      <c r="N16" s="142">
        <f>M16</f>
        <v>745500</v>
      </c>
      <c r="O16" s="33">
        <f>N16</f>
        <v>745500</v>
      </c>
      <c r="P16" s="114">
        <f>O16</f>
        <v>745500</v>
      </c>
    </row>
    <row r="17" spans="1:16" x14ac:dyDescent="0.2">
      <c r="A17" s="107">
        <f>ROUND(A60,-2)</f>
        <v>0</v>
      </c>
      <c r="B17" s="33">
        <f>B60</f>
        <v>0</v>
      </c>
      <c r="C17" s="33">
        <f>C60</f>
        <v>0</v>
      </c>
      <c r="D17" s="151" t="s">
        <v>2718</v>
      </c>
      <c r="E17" s="99"/>
      <c r="F17" s="33">
        <f t="shared" ref="F17:N17" si="10">F60</f>
        <v>0</v>
      </c>
      <c r="G17" s="33">
        <f t="shared" si="10"/>
        <v>0</v>
      </c>
      <c r="H17" s="33">
        <f t="shared" si="10"/>
        <v>0</v>
      </c>
      <c r="I17" s="33">
        <f t="shared" si="10"/>
        <v>0</v>
      </c>
      <c r="J17" s="33">
        <f t="shared" si="10"/>
        <v>0</v>
      </c>
      <c r="K17" s="33">
        <f t="shared" si="10"/>
        <v>0</v>
      </c>
      <c r="L17" s="33">
        <f t="shared" si="10"/>
        <v>0</v>
      </c>
      <c r="M17" s="33">
        <f t="shared" si="10"/>
        <v>0</v>
      </c>
      <c r="N17" s="142">
        <f t="shared" si="10"/>
        <v>0</v>
      </c>
      <c r="O17" s="33">
        <f t="shared" ref="O17:P17" si="11">O60</f>
        <v>0</v>
      </c>
      <c r="P17" s="114">
        <f t="shared" si="11"/>
        <v>0</v>
      </c>
    </row>
    <row r="18" spans="1:16" x14ac:dyDescent="0.2">
      <c r="A18" s="107">
        <v>1351900</v>
      </c>
      <c r="B18" s="33">
        <v>1385900</v>
      </c>
      <c r="C18" s="33">
        <v>1724500</v>
      </c>
      <c r="D18" s="99" t="str">
        <f>'Cash-W'!D18</f>
        <v xml:space="preserve">Section 64 Contributions </v>
      </c>
      <c r="E18" s="99"/>
      <c r="F18" s="33">
        <v>1300000</v>
      </c>
      <c r="G18" s="33">
        <v>1500000</v>
      </c>
      <c r="H18" s="33">
        <f>ROUNDUP(G18+(G18*Assumptions!H$5),-4)</f>
        <v>1530000</v>
      </c>
      <c r="I18" s="33">
        <f>ROUNDUP(H18+(H18*Assumptions!I$5),-4)</f>
        <v>1570000</v>
      </c>
      <c r="J18" s="33">
        <f>ROUNDUP(I18+(I18*Assumptions!J$5),-4)</f>
        <v>1610000</v>
      </c>
      <c r="K18" s="33">
        <f>ROUNDUP(J18+(J18*Assumptions!K$5),-4)</f>
        <v>1660000</v>
      </c>
      <c r="L18" s="33">
        <f>ROUNDUP(K18+(K18*Assumptions!L$5),-4)</f>
        <v>1700000</v>
      </c>
      <c r="M18" s="33">
        <f>ROUNDUP(L18+(L18*Assumptions!M$5),-4)</f>
        <v>1740000</v>
      </c>
      <c r="N18" s="142">
        <f>ROUNDUP(M18+(M18*Assumptions!N$5),-4)</f>
        <v>1780000</v>
      </c>
      <c r="O18" s="33">
        <f>ROUNDUP(N18+(N18*Assumptions!O$5),-4)</f>
        <v>1820000</v>
      </c>
      <c r="P18" s="114">
        <f>ROUNDUP(O18+(O18*Assumptions!P$5),-4)</f>
        <v>1860000</v>
      </c>
    </row>
    <row r="19" spans="1:16" ht="13.5" thickBot="1" x14ac:dyDescent="0.25">
      <c r="A19" s="107"/>
      <c r="B19" s="33"/>
      <c r="C19" s="33"/>
      <c r="D19" s="99"/>
      <c r="E19" s="99"/>
      <c r="F19" s="33"/>
      <c r="G19" s="33"/>
      <c r="H19" s="33"/>
      <c r="I19" s="33"/>
      <c r="J19" s="33"/>
      <c r="K19" s="33"/>
      <c r="L19" s="33"/>
      <c r="M19" s="33"/>
      <c r="N19" s="142"/>
      <c r="O19" s="33"/>
      <c r="P19" s="114"/>
    </row>
    <row r="20" spans="1:16" s="118" customFormat="1" ht="13.5" thickBot="1" x14ac:dyDescent="0.25">
      <c r="A20" s="293">
        <f>A18+SUM(A13:A17)</f>
        <v>-567400</v>
      </c>
      <c r="B20" s="296">
        <f>B18+SUM(B13:B17)</f>
        <v>-11259900</v>
      </c>
      <c r="C20" s="296">
        <f>C18+SUM(C13:C17)</f>
        <v>1521200</v>
      </c>
      <c r="D20" s="294" t="s">
        <v>2772</v>
      </c>
      <c r="E20" s="295"/>
      <c r="F20" s="296">
        <f t="shared" ref="F20:K20" si="12">F18+SUM(F13:F17)</f>
        <v>2563700</v>
      </c>
      <c r="G20" s="296">
        <f t="shared" si="12"/>
        <v>2583500</v>
      </c>
      <c r="H20" s="296">
        <f t="shared" si="12"/>
        <v>3168100</v>
      </c>
      <c r="I20" s="296">
        <f t="shared" si="12"/>
        <v>3602400</v>
      </c>
      <c r="J20" s="296">
        <f t="shared" si="12"/>
        <v>4259800</v>
      </c>
      <c r="K20" s="296">
        <f t="shared" si="12"/>
        <v>4773800</v>
      </c>
      <c r="L20" s="296">
        <f>L18+SUM(L13:L17)</f>
        <v>5276200</v>
      </c>
      <c r="M20" s="296">
        <f>M18+SUM(M13:M17)</f>
        <v>5860400</v>
      </c>
      <c r="N20" s="298">
        <f>N18+SUM(N13:N17)</f>
        <v>6487800</v>
      </c>
      <c r="O20" s="296">
        <f>O18+SUM(O13:O17)</f>
        <v>7266700</v>
      </c>
      <c r="P20" s="297">
        <f>P18+SUM(P13:P17)</f>
        <v>8005700</v>
      </c>
    </row>
    <row r="21" spans="1:16" ht="13.5" thickTop="1" x14ac:dyDescent="0.2">
      <c r="A21" s="107"/>
      <c r="B21" s="33"/>
      <c r="C21" s="33"/>
      <c r="D21" s="99"/>
      <c r="E21" s="99"/>
      <c r="F21" s="33"/>
      <c r="G21" s="33"/>
      <c r="H21" s="33"/>
      <c r="I21" s="33"/>
      <c r="J21" s="33"/>
      <c r="K21" s="33"/>
      <c r="L21" s="33"/>
      <c r="M21" s="33"/>
      <c r="N21" s="142"/>
      <c r="O21" s="33"/>
      <c r="P21" s="114"/>
    </row>
    <row r="22" spans="1:16" x14ac:dyDescent="0.2">
      <c r="A22" s="107"/>
      <c r="B22" s="33"/>
      <c r="C22" s="33"/>
      <c r="D22" s="145" t="s">
        <v>2773</v>
      </c>
      <c r="E22" s="99"/>
      <c r="F22" s="33"/>
      <c r="G22" s="33"/>
      <c r="H22" s="33"/>
      <c r="I22" s="33"/>
      <c r="J22" s="33"/>
      <c r="K22" s="33"/>
      <c r="L22" s="33"/>
      <c r="M22" s="33"/>
      <c r="N22" s="142"/>
      <c r="O22" s="33"/>
      <c r="P22" s="114"/>
    </row>
    <row r="23" spans="1:16" x14ac:dyDescent="0.2">
      <c r="A23" s="107"/>
      <c r="B23" s="33"/>
      <c r="C23" s="33"/>
      <c r="D23" s="99"/>
      <c r="E23" s="99"/>
      <c r="F23" s="33"/>
      <c r="G23" s="33"/>
      <c r="H23" s="33"/>
      <c r="I23" s="33"/>
      <c r="J23" s="33"/>
      <c r="K23" s="33"/>
      <c r="L23" s="33"/>
      <c r="M23" s="33"/>
      <c r="N23" s="142"/>
      <c r="O23" s="33"/>
      <c r="P23" s="114"/>
    </row>
    <row r="24" spans="1:16" x14ac:dyDescent="0.2">
      <c r="A24" s="107"/>
      <c r="B24" s="33"/>
      <c r="C24" s="33"/>
      <c r="D24" s="145" t="s">
        <v>2368</v>
      </c>
      <c r="E24" s="99"/>
      <c r="F24" s="33"/>
      <c r="G24" s="33"/>
      <c r="H24" s="33"/>
      <c r="I24" s="33"/>
      <c r="J24" s="33"/>
      <c r="K24" s="33"/>
      <c r="L24" s="33"/>
      <c r="M24" s="33"/>
      <c r="N24" s="142"/>
      <c r="O24" s="33"/>
      <c r="P24" s="114"/>
    </row>
    <row r="25" spans="1:16" x14ac:dyDescent="0.2">
      <c r="A25" s="107">
        <f>'W&amp;W'!B141</f>
        <v>2643100</v>
      </c>
      <c r="B25" s="33">
        <f>'W&amp;W'!C141</f>
        <v>2314300</v>
      </c>
      <c r="C25" s="33">
        <f>'W&amp;W'!D141</f>
        <v>3531900</v>
      </c>
      <c r="D25" s="99" t="s">
        <v>2070</v>
      </c>
      <c r="E25" s="99"/>
      <c r="F25" s="33">
        <f>'W&amp;W'!G141</f>
        <v>2678000</v>
      </c>
      <c r="G25" s="33">
        <f>'W&amp;W'!I141</f>
        <v>3775000</v>
      </c>
      <c r="H25" s="33">
        <f>'W&amp;W'!J141</f>
        <v>3851000</v>
      </c>
      <c r="I25" s="33">
        <f>'W&amp;W'!K141</f>
        <v>3928000</v>
      </c>
      <c r="J25" s="33">
        <f>'W&amp;W'!L141</f>
        <v>4007000</v>
      </c>
      <c r="K25" s="33">
        <f>'W&amp;W'!M141</f>
        <v>4087000</v>
      </c>
      <c r="L25" s="33">
        <f>'W&amp;W'!N141</f>
        <v>4169000</v>
      </c>
      <c r="M25" s="33">
        <f>'W&amp;W'!O141</f>
        <v>4252000</v>
      </c>
      <c r="N25" s="142">
        <f>'W&amp;W'!P141</f>
        <v>4337000</v>
      </c>
      <c r="O25" s="33">
        <f>'W&amp;W'!Q141</f>
        <v>4424000</v>
      </c>
      <c r="P25" s="114">
        <f>'W&amp;W'!R141</f>
        <v>4512000</v>
      </c>
    </row>
    <row r="26" spans="1:16" x14ac:dyDescent="0.2">
      <c r="A26" s="107">
        <f>'W&amp;W'!B542</f>
        <v>394000</v>
      </c>
      <c r="B26" s="33">
        <f>'W&amp;W'!C542</f>
        <v>349200</v>
      </c>
      <c r="C26" s="33">
        <f>'W&amp;W'!D542</f>
        <v>301100</v>
      </c>
      <c r="D26" s="99" t="s">
        <v>1250</v>
      </c>
      <c r="E26" s="99"/>
      <c r="F26" s="33">
        <f>'W&amp;W'!G542</f>
        <v>249000</v>
      </c>
      <c r="G26" s="33">
        <f>'W&amp;W'!I542</f>
        <v>194000</v>
      </c>
      <c r="H26" s="33">
        <f>'W&amp;W'!J542</f>
        <v>134000</v>
      </c>
      <c r="I26" s="33">
        <f>'W&amp;W'!K542</f>
        <v>69000</v>
      </c>
      <c r="J26" s="33">
        <f>'W&amp;W'!L542</f>
        <v>0</v>
      </c>
      <c r="K26" s="33">
        <f>'W&amp;W'!M542</f>
        <v>0</v>
      </c>
      <c r="L26" s="33">
        <f>'W&amp;W'!N542</f>
        <v>0</v>
      </c>
      <c r="M26" s="33">
        <f>'W&amp;W'!O542</f>
        <v>0</v>
      </c>
      <c r="N26" s="142">
        <f>'W&amp;W'!P542</f>
        <v>0</v>
      </c>
      <c r="O26" s="33">
        <f>'W&amp;W'!Q542</f>
        <v>0</v>
      </c>
      <c r="P26" s="114">
        <f>'W&amp;W'!R542</f>
        <v>0</v>
      </c>
    </row>
    <row r="27" spans="1:16" x14ac:dyDescent="0.2">
      <c r="A27" s="107">
        <f>'W&amp;W'!B541</f>
        <v>20300</v>
      </c>
      <c r="B27" s="33">
        <f>'W&amp;W'!C541</f>
        <v>12216800</v>
      </c>
      <c r="C27" s="33">
        <f>'W&amp;W'!D541</f>
        <v>10800</v>
      </c>
      <c r="D27" s="59" t="s">
        <v>4542</v>
      </c>
      <c r="E27" s="99"/>
      <c r="F27" s="33">
        <f>'W&amp;W'!G541</f>
        <v>0</v>
      </c>
      <c r="G27" s="33">
        <f>'W&amp;W'!I541</f>
        <v>0</v>
      </c>
      <c r="H27" s="33">
        <f>'W&amp;W'!J541</f>
        <v>0</v>
      </c>
      <c r="I27" s="33">
        <f>'W&amp;W'!K541</f>
        <v>0</v>
      </c>
      <c r="J27" s="33">
        <f>'W&amp;W'!L541</f>
        <v>0</v>
      </c>
      <c r="K27" s="33">
        <f>'W&amp;W'!M541</f>
        <v>0</v>
      </c>
      <c r="L27" s="33">
        <f>'W&amp;W'!N541</f>
        <v>0</v>
      </c>
      <c r="M27" s="33">
        <f>'W&amp;W'!O541</f>
        <v>0</v>
      </c>
      <c r="N27" s="142">
        <f>'W&amp;W'!P541</f>
        <v>0</v>
      </c>
      <c r="O27" s="33">
        <f>'W&amp;W'!Q541</f>
        <v>0</v>
      </c>
      <c r="P27" s="114">
        <f>'W&amp;W'!R541</f>
        <v>0</v>
      </c>
    </row>
    <row r="28" spans="1:16" x14ac:dyDescent="0.2">
      <c r="A28" s="107">
        <v>0</v>
      </c>
      <c r="B28" s="33">
        <v>0</v>
      </c>
      <c r="C28" s="33">
        <v>0</v>
      </c>
      <c r="D28" s="99" t="s">
        <v>957</v>
      </c>
      <c r="E28" s="99"/>
      <c r="F28" s="33">
        <v>0</v>
      </c>
      <c r="G28" s="33">
        <v>0</v>
      </c>
      <c r="H28" s="33">
        <v>0</v>
      </c>
      <c r="I28" s="33">
        <v>0</v>
      </c>
      <c r="J28" s="33">
        <v>0</v>
      </c>
      <c r="K28" s="33">
        <v>0</v>
      </c>
      <c r="L28" s="33">
        <v>0</v>
      </c>
      <c r="M28" s="33">
        <v>0</v>
      </c>
      <c r="N28" s="142">
        <v>0</v>
      </c>
      <c r="O28" s="33">
        <v>0</v>
      </c>
      <c r="P28" s="114">
        <v>0</v>
      </c>
    </row>
    <row r="29" spans="1:16" x14ac:dyDescent="0.2">
      <c r="A29" s="107"/>
      <c r="B29" s="33"/>
      <c r="C29" s="33"/>
      <c r="D29" s="99"/>
      <c r="E29" s="99"/>
      <c r="F29" s="33"/>
      <c r="G29" s="33"/>
      <c r="H29" s="33"/>
      <c r="I29" s="33"/>
      <c r="J29" s="33"/>
      <c r="K29" s="33"/>
      <c r="L29" s="33"/>
      <c r="M29" s="33"/>
      <c r="N29" s="142"/>
      <c r="O29" s="33"/>
      <c r="P29" s="114"/>
    </row>
    <row r="30" spans="1:16" x14ac:dyDescent="0.2">
      <c r="A30" s="107"/>
      <c r="B30" s="33"/>
      <c r="C30" s="33"/>
      <c r="D30" s="145" t="s">
        <v>752</v>
      </c>
      <c r="E30" s="99"/>
      <c r="F30" s="33"/>
      <c r="G30" s="33"/>
      <c r="H30" s="33"/>
      <c r="I30" s="33"/>
      <c r="J30" s="33"/>
      <c r="K30" s="33"/>
      <c r="L30" s="33"/>
      <c r="M30" s="33"/>
      <c r="N30" s="142"/>
      <c r="O30" s="33"/>
      <c r="P30" s="114"/>
    </row>
    <row r="31" spans="1:16" x14ac:dyDescent="0.2">
      <c r="A31" s="107">
        <f>-A16</f>
        <v>-662300</v>
      </c>
      <c r="B31" s="33">
        <f>-B16</f>
        <v>-745500</v>
      </c>
      <c r="C31" s="33">
        <f>-C16</f>
        <v>-745500</v>
      </c>
      <c r="D31" s="99" t="s">
        <v>3</v>
      </c>
      <c r="E31" s="99"/>
      <c r="F31" s="33">
        <f t="shared" ref="F31:M31" si="13">-F16</f>
        <v>-745500</v>
      </c>
      <c r="G31" s="33">
        <f t="shared" si="13"/>
        <v>-745500</v>
      </c>
      <c r="H31" s="33">
        <f t="shared" si="13"/>
        <v>-745500</v>
      </c>
      <c r="I31" s="33">
        <f t="shared" si="13"/>
        <v>-745500</v>
      </c>
      <c r="J31" s="33">
        <f t="shared" si="13"/>
        <v>-745500</v>
      </c>
      <c r="K31" s="33">
        <f t="shared" si="13"/>
        <v>-745500</v>
      </c>
      <c r="L31" s="33">
        <f t="shared" si="13"/>
        <v>-745500</v>
      </c>
      <c r="M31" s="33">
        <f t="shared" si="13"/>
        <v>-745500</v>
      </c>
      <c r="N31" s="142">
        <f t="shared" ref="N31:O31" si="14">-N16</f>
        <v>-745500</v>
      </c>
      <c r="O31" s="33">
        <f t="shared" si="14"/>
        <v>-745500</v>
      </c>
      <c r="P31" s="114">
        <f t="shared" ref="P31" si="15">-P16</f>
        <v>-745500</v>
      </c>
    </row>
    <row r="32" spans="1:16" x14ac:dyDescent="0.2">
      <c r="A32" s="107"/>
      <c r="B32" s="33"/>
      <c r="C32" s="33"/>
      <c r="D32" s="99"/>
      <c r="E32" s="99"/>
      <c r="F32" s="33"/>
      <c r="G32" s="33"/>
      <c r="H32" s="33"/>
      <c r="I32" s="33"/>
      <c r="J32" s="33"/>
      <c r="K32" s="33"/>
      <c r="L32" s="33"/>
      <c r="M32" s="33"/>
      <c r="N32" s="142"/>
      <c r="O32" s="33"/>
      <c r="P32" s="114"/>
    </row>
    <row r="33" spans="1:16" x14ac:dyDescent="0.2">
      <c r="A33" s="107"/>
      <c r="B33" s="33"/>
      <c r="C33" s="33"/>
      <c r="D33" s="145" t="s">
        <v>700</v>
      </c>
      <c r="E33" s="99"/>
      <c r="F33" s="33"/>
      <c r="G33" s="33"/>
      <c r="H33" s="33"/>
      <c r="I33" s="33"/>
      <c r="J33" s="33"/>
      <c r="K33" s="33"/>
      <c r="L33" s="33"/>
      <c r="M33" s="33"/>
      <c r="N33" s="142"/>
      <c r="O33" s="33"/>
      <c r="P33" s="114"/>
    </row>
    <row r="34" spans="1:16" x14ac:dyDescent="0.2">
      <c r="A34" s="107">
        <f>ROUND(A89,-2)</f>
        <v>559600</v>
      </c>
      <c r="B34" s="33">
        <f>B89</f>
        <v>409000</v>
      </c>
      <c r="C34" s="33">
        <f>C89</f>
        <v>69000</v>
      </c>
      <c r="D34" s="35" t="s">
        <v>3619</v>
      </c>
      <c r="E34" s="99"/>
      <c r="F34" s="33">
        <f t="shared" ref="F34:N34" si="16">F89</f>
        <v>340000</v>
      </c>
      <c r="G34" s="33">
        <f t="shared" si="16"/>
        <v>0</v>
      </c>
      <c r="H34" s="33">
        <f t="shared" si="16"/>
        <v>0</v>
      </c>
      <c r="I34" s="33">
        <f t="shared" si="16"/>
        <v>0</v>
      </c>
      <c r="J34" s="33">
        <f t="shared" si="16"/>
        <v>0</v>
      </c>
      <c r="K34" s="33">
        <f t="shared" si="16"/>
        <v>0</v>
      </c>
      <c r="L34" s="33">
        <f t="shared" si="16"/>
        <v>0</v>
      </c>
      <c r="M34" s="33">
        <f t="shared" si="16"/>
        <v>0</v>
      </c>
      <c r="N34" s="142">
        <f t="shared" si="16"/>
        <v>0</v>
      </c>
      <c r="O34" s="33">
        <f t="shared" ref="O34:P34" si="17">O89</f>
        <v>0</v>
      </c>
      <c r="P34" s="114">
        <f t="shared" si="17"/>
        <v>0</v>
      </c>
    </row>
    <row r="35" spans="1:16" s="23" customFormat="1" x14ac:dyDescent="0.2">
      <c r="A35" s="50">
        <f>448200+20300</f>
        <v>468500</v>
      </c>
      <c r="B35" s="21">
        <v>0</v>
      </c>
      <c r="C35" s="21">
        <v>-305500</v>
      </c>
      <c r="D35" s="111" t="s">
        <v>4514</v>
      </c>
      <c r="E35" s="22"/>
      <c r="F35" s="21">
        <v>0</v>
      </c>
      <c r="G35" s="21">
        <v>0</v>
      </c>
      <c r="H35" s="21">
        <v>0</v>
      </c>
      <c r="I35" s="21">
        <v>0</v>
      </c>
      <c r="J35" s="21">
        <v>0</v>
      </c>
      <c r="K35" s="21">
        <v>0</v>
      </c>
      <c r="L35" s="21">
        <v>0</v>
      </c>
      <c r="M35" s="21">
        <v>0</v>
      </c>
      <c r="N35" s="20">
        <v>0</v>
      </c>
      <c r="O35" s="21">
        <v>0</v>
      </c>
      <c r="P35" s="31">
        <v>0</v>
      </c>
    </row>
    <row r="36" spans="1:16" x14ac:dyDescent="0.2">
      <c r="A36" s="107">
        <f>ROUND(A77,-2)</f>
        <v>690000</v>
      </c>
      <c r="B36" s="33">
        <f>ROUND(B77,-2)</f>
        <v>0</v>
      </c>
      <c r="C36" s="33">
        <f>'Cap-WW'!T121</f>
        <v>0</v>
      </c>
      <c r="D36" s="78" t="s">
        <v>3618</v>
      </c>
      <c r="E36" s="99"/>
      <c r="F36" s="33">
        <f>'Cap-WW'!X121</f>
        <v>0</v>
      </c>
      <c r="G36" s="33">
        <f>'Cap-WW'!AB121</f>
        <v>0</v>
      </c>
      <c r="H36" s="33">
        <f>'Cap-WW'!AF121</f>
        <v>0</v>
      </c>
      <c r="I36" s="33">
        <f>'Cap-WW'!AJ121</f>
        <v>0</v>
      </c>
      <c r="J36" s="33">
        <f>'Cap-WW'!AN121</f>
        <v>0</v>
      </c>
      <c r="K36" s="33">
        <f>'Cap-WW'!AR121</f>
        <v>0</v>
      </c>
      <c r="L36" s="33">
        <f>'Cap-WW'!AV121</f>
        <v>0</v>
      </c>
      <c r="M36" s="33">
        <f>'Cap-WW'!AZ121</f>
        <v>0</v>
      </c>
      <c r="N36" s="142">
        <f>'Cap-WW'!BD121</f>
        <v>0</v>
      </c>
      <c r="O36" s="33">
        <f>'Cap-WW'!BH121</f>
        <v>0</v>
      </c>
      <c r="P36" s="114">
        <f>'Cap-WW'!BL121</f>
        <v>0</v>
      </c>
    </row>
    <row r="37" spans="1:16" x14ac:dyDescent="0.2">
      <c r="A37" s="107"/>
      <c r="B37" s="33"/>
      <c r="C37" s="33"/>
      <c r="D37" s="145"/>
      <c r="E37" s="99"/>
      <c r="F37" s="33"/>
      <c r="G37" s="33"/>
      <c r="H37" s="33"/>
      <c r="I37" s="33"/>
      <c r="J37" s="33"/>
      <c r="K37" s="33"/>
      <c r="L37" s="33"/>
      <c r="M37" s="33"/>
      <c r="N37" s="142"/>
      <c r="O37" s="33"/>
      <c r="P37" s="114"/>
    </row>
    <row r="38" spans="1:16" x14ac:dyDescent="0.2">
      <c r="A38" s="107"/>
      <c r="B38" s="33"/>
      <c r="C38" s="33"/>
      <c r="D38" s="145" t="s">
        <v>2905</v>
      </c>
      <c r="E38" s="99"/>
      <c r="F38" s="33"/>
      <c r="G38" s="33"/>
      <c r="H38" s="33"/>
      <c r="I38" s="33"/>
      <c r="J38" s="33"/>
      <c r="K38" s="33"/>
      <c r="L38" s="33"/>
      <c r="M38" s="33"/>
      <c r="N38" s="142"/>
      <c r="O38" s="33"/>
      <c r="P38" s="114"/>
    </row>
    <row r="39" spans="1:16" x14ac:dyDescent="0.2">
      <c r="A39" s="107">
        <v>-8112100</v>
      </c>
      <c r="B39" s="33">
        <v>-4320400</v>
      </c>
      <c r="C39" s="33">
        <f>-'Cap-WW'!F121</f>
        <v>-2267300</v>
      </c>
      <c r="D39" s="78" t="s">
        <v>277</v>
      </c>
      <c r="E39" s="99"/>
      <c r="F39" s="33">
        <f>-'Cap-WW'!G121</f>
        <v>-5792000</v>
      </c>
      <c r="G39" s="33">
        <f>-'Cap-WW'!H121</f>
        <v>-5247000</v>
      </c>
      <c r="H39" s="33">
        <f>-'Cap-WW'!I121</f>
        <v>-4732000</v>
      </c>
      <c r="I39" s="33">
        <f>-'Cap-WW'!J121</f>
        <v>-6279400</v>
      </c>
      <c r="J39" s="33">
        <f>-'Cap-WW'!K121</f>
        <v>-6374300</v>
      </c>
      <c r="K39" s="33">
        <f>-'Cap-WW'!L121</f>
        <v>-4650000</v>
      </c>
      <c r="L39" s="33">
        <f>-'Cap-WW'!M121</f>
        <v>-4988000</v>
      </c>
      <c r="M39" s="33">
        <f>-'Cap-WW'!N121</f>
        <v>-1088000</v>
      </c>
      <c r="N39" s="142">
        <f>-'Cap-WW'!O121</f>
        <v>-1106000</v>
      </c>
      <c r="O39" s="33">
        <f>-'Cap-WW'!P121</f>
        <v>-1227000</v>
      </c>
      <c r="P39" s="114">
        <f>-'Cap-WW'!Q121</f>
        <v>-1168000</v>
      </c>
    </row>
    <row r="40" spans="1:16" x14ac:dyDescent="0.2">
      <c r="A40" s="107">
        <f>-'W&amp;W'!B554</f>
        <v>-2384800</v>
      </c>
      <c r="B40" s="33">
        <f>-'W&amp;W'!C554</f>
        <v>-2187900</v>
      </c>
      <c r="C40" s="33">
        <f>-'W&amp;W'!D554</f>
        <v>-2793300</v>
      </c>
      <c r="D40" s="78" t="s">
        <v>1425</v>
      </c>
      <c r="E40" s="99"/>
      <c r="F40" s="33">
        <f>-'W&amp;W'!G554</f>
        <v>-2957900</v>
      </c>
      <c r="G40" s="33">
        <f>-'W&amp;W'!I554</f>
        <v>-3095600</v>
      </c>
      <c r="H40" s="33">
        <f>-'W&amp;W'!J554</f>
        <v>-3134000</v>
      </c>
      <c r="I40" s="33">
        <f>-'W&amp;W'!K554</f>
        <v>-3280300</v>
      </c>
      <c r="J40" s="33">
        <f>-'W&amp;W'!L554</f>
        <v>-2453500</v>
      </c>
      <c r="K40" s="33">
        <f>-'W&amp;W'!M554</f>
        <v>-2654100</v>
      </c>
      <c r="L40" s="33">
        <f>-'W&amp;W'!N554</f>
        <v>-2844100</v>
      </c>
      <c r="M40" s="33">
        <f>-'W&amp;W'!O554</f>
        <v>-3037000</v>
      </c>
      <c r="N40" s="142">
        <f>-'W&amp;W'!P554</f>
        <v>-3235000</v>
      </c>
      <c r="O40" s="33">
        <f>-'W&amp;W'!Q554</f>
        <v>-3430000</v>
      </c>
      <c r="P40" s="114">
        <f>-'W&amp;W'!R554</f>
        <v>-3627000</v>
      </c>
    </row>
    <row r="41" spans="1:16" x14ac:dyDescent="0.2">
      <c r="A41" s="107"/>
      <c r="B41" s="33"/>
      <c r="C41" s="33"/>
      <c r="D41" s="99"/>
      <c r="E41" s="99"/>
      <c r="F41" s="33"/>
      <c r="G41" s="33"/>
      <c r="H41" s="33"/>
      <c r="I41" s="33"/>
      <c r="J41" s="33"/>
      <c r="K41" s="33"/>
      <c r="L41" s="33"/>
      <c r="M41" s="33"/>
      <c r="N41" s="142"/>
      <c r="O41" s="33"/>
      <c r="P41" s="114"/>
    </row>
    <row r="42" spans="1:16" x14ac:dyDescent="0.2">
      <c r="A42" s="107"/>
      <c r="B42" s="33"/>
      <c r="C42" s="33"/>
      <c r="D42" s="145" t="s">
        <v>2907</v>
      </c>
      <c r="E42" s="99"/>
      <c r="F42" s="33"/>
      <c r="G42" s="33"/>
      <c r="H42" s="33"/>
      <c r="I42" s="33"/>
      <c r="J42" s="33"/>
      <c r="K42" s="33"/>
      <c r="L42" s="33"/>
      <c r="M42" s="33"/>
      <c r="N42" s="142"/>
      <c r="O42" s="33"/>
      <c r="P42" s="114"/>
    </row>
    <row r="43" spans="1:16" x14ac:dyDescent="0.2">
      <c r="A43" s="107">
        <f>ROUND(0,-2)</f>
        <v>0</v>
      </c>
      <c r="B43" s="33">
        <v>0</v>
      </c>
      <c r="C43" s="33">
        <v>0</v>
      </c>
      <c r="D43" s="99" t="s">
        <v>2690</v>
      </c>
      <c r="E43" s="99"/>
      <c r="F43" s="33">
        <v>0</v>
      </c>
      <c r="G43" s="33">
        <v>0</v>
      </c>
      <c r="H43" s="33">
        <v>0</v>
      </c>
      <c r="I43" s="33">
        <v>0</v>
      </c>
      <c r="J43" s="33">
        <v>0</v>
      </c>
      <c r="K43" s="33">
        <v>0</v>
      </c>
      <c r="L43" s="33">
        <v>0</v>
      </c>
      <c r="M43" s="33">
        <v>0</v>
      </c>
      <c r="N43" s="142">
        <v>0</v>
      </c>
      <c r="O43" s="33">
        <v>0</v>
      </c>
      <c r="P43" s="114">
        <v>0</v>
      </c>
    </row>
    <row r="44" spans="1:16" x14ac:dyDescent="0.2">
      <c r="A44" s="107">
        <f>ROUND(IF((A70-A18)&gt;0,A70-A18,-(A18-A70)),-2)</f>
        <v>-1138200</v>
      </c>
      <c r="B44" s="33">
        <f>IF((B70-B18)&gt;0,B70-B18,-(B18-B70))</f>
        <v>-1385900</v>
      </c>
      <c r="C44" s="33">
        <f>IF((C70-C18)&gt;0,C70-C18,-(C18-C70))</f>
        <v>-1549900</v>
      </c>
      <c r="D44" s="99" t="s">
        <v>934</v>
      </c>
      <c r="E44" s="99"/>
      <c r="F44" s="33">
        <f t="shared" ref="F44:O44" si="18">IF((F70-F18)&gt;0,F70-F18,-(F18-F70))</f>
        <v>964000</v>
      </c>
      <c r="G44" s="33">
        <f t="shared" si="18"/>
        <v>1185000</v>
      </c>
      <c r="H44" s="33">
        <f t="shared" si="18"/>
        <v>3353000</v>
      </c>
      <c r="I44" s="33">
        <f t="shared" si="18"/>
        <v>5642000</v>
      </c>
      <c r="J44" s="33">
        <f t="shared" si="18"/>
        <v>1622500</v>
      </c>
      <c r="K44" s="33">
        <f t="shared" si="18"/>
        <v>-333000</v>
      </c>
      <c r="L44" s="33">
        <f t="shared" si="18"/>
        <v>241000</v>
      </c>
      <c r="M44" s="33">
        <f t="shared" si="18"/>
        <v>-221000</v>
      </c>
      <c r="N44" s="142">
        <f t="shared" si="18"/>
        <v>-162000</v>
      </c>
      <c r="O44" s="33">
        <f t="shared" si="18"/>
        <v>-105000</v>
      </c>
      <c r="P44" s="114">
        <f t="shared" ref="P44" si="19">IF((P70-P18)&gt;0,P70-P18,-(P18-P70))</f>
        <v>-46000</v>
      </c>
    </row>
    <row r="45" spans="1:16" x14ac:dyDescent="0.2">
      <c r="A45" s="107">
        <f>ROUND(-'W&amp;W'!B391,-2)</f>
        <v>-104300</v>
      </c>
      <c r="B45" s="33">
        <f>-'W&amp;W'!C391</f>
        <v>-143000</v>
      </c>
      <c r="C45" s="33">
        <f>-'W&amp;W'!D391</f>
        <v>-160400</v>
      </c>
      <c r="D45" s="22" t="s">
        <v>925</v>
      </c>
      <c r="E45" s="99"/>
      <c r="F45" s="33">
        <f>-'W&amp;W'!G391</f>
        <v>-126400</v>
      </c>
      <c r="G45" s="33">
        <f>-'W&amp;W'!I391</f>
        <v>-112600</v>
      </c>
      <c r="H45" s="33">
        <f>-'W&amp;W'!J391</f>
        <v>-88500</v>
      </c>
      <c r="I45" s="33">
        <f>-'W&amp;W'!K391</f>
        <v>-15000</v>
      </c>
      <c r="J45" s="33">
        <f>-'W&amp;W'!L391</f>
        <v>-36000</v>
      </c>
      <c r="K45" s="33">
        <f>-'W&amp;W'!M391</f>
        <v>-300</v>
      </c>
      <c r="L45" s="33">
        <f>-'W&amp;W'!N391</f>
        <v>-7800</v>
      </c>
      <c r="M45" s="33">
        <f>-'W&amp;W'!O391</f>
        <v>-2600</v>
      </c>
      <c r="N45" s="142">
        <f>-'W&amp;W'!P391</f>
        <v>-7600</v>
      </c>
      <c r="O45" s="33">
        <f>-'W&amp;W'!Q391</f>
        <v>-11400</v>
      </c>
      <c r="P45" s="114">
        <f>-'W&amp;W'!R391</f>
        <v>-14000</v>
      </c>
    </row>
    <row r="46" spans="1:16" ht="13.5" thickBot="1" x14ac:dyDescent="0.25">
      <c r="A46" s="107"/>
      <c r="B46" s="33"/>
      <c r="C46" s="33"/>
      <c r="D46" s="99"/>
      <c r="E46" s="99"/>
      <c r="F46" s="33"/>
      <c r="G46" s="33"/>
      <c r="H46" s="33"/>
      <c r="I46" s="33"/>
      <c r="J46" s="33"/>
      <c r="K46" s="33"/>
      <c r="L46" s="33"/>
      <c r="M46" s="33"/>
      <c r="N46" s="142"/>
      <c r="O46" s="33"/>
      <c r="P46" s="114"/>
    </row>
    <row r="47" spans="1:16" s="118" customFormat="1" ht="13.5" thickBot="1" x14ac:dyDescent="0.25">
      <c r="A47" s="293">
        <f>SUM(A20:A46)</f>
        <v>-8193600</v>
      </c>
      <c r="B47" s="296">
        <f>SUM(B20:B46)</f>
        <v>-4753300</v>
      </c>
      <c r="C47" s="296">
        <f>SUM(C20:C46)</f>
        <v>-2387900</v>
      </c>
      <c r="D47" s="294" t="s">
        <v>2314</v>
      </c>
      <c r="E47" s="295"/>
      <c r="F47" s="296">
        <f t="shared" ref="F47:O47" si="20">SUM(F20:F46)</f>
        <v>-2827100</v>
      </c>
      <c r="G47" s="296">
        <f t="shared" si="20"/>
        <v>-1463200</v>
      </c>
      <c r="H47" s="296">
        <f t="shared" si="20"/>
        <v>1806100</v>
      </c>
      <c r="I47" s="296">
        <f t="shared" si="20"/>
        <v>2921200</v>
      </c>
      <c r="J47" s="296">
        <f t="shared" si="20"/>
        <v>280000</v>
      </c>
      <c r="K47" s="296">
        <f t="shared" si="20"/>
        <v>477900</v>
      </c>
      <c r="L47" s="296">
        <f t="shared" si="20"/>
        <v>1100800</v>
      </c>
      <c r="M47" s="296">
        <f t="shared" si="20"/>
        <v>5018300</v>
      </c>
      <c r="N47" s="298">
        <f t="shared" si="20"/>
        <v>5568700</v>
      </c>
      <c r="O47" s="296">
        <f t="shared" si="20"/>
        <v>6171800</v>
      </c>
      <c r="P47" s="297">
        <f t="shared" ref="P47" si="21">SUM(P20:P46)</f>
        <v>6917200</v>
      </c>
    </row>
    <row r="48" spans="1:16" ht="13.5" thickTop="1" x14ac:dyDescent="0.2">
      <c r="A48" s="107"/>
      <c r="B48" s="33"/>
      <c r="C48" s="33"/>
      <c r="D48" s="99"/>
      <c r="E48" s="99"/>
      <c r="F48" s="33"/>
      <c r="G48" s="33"/>
      <c r="H48" s="33"/>
      <c r="I48" s="33"/>
      <c r="J48" s="33"/>
      <c r="K48" s="33"/>
      <c r="L48" s="33"/>
      <c r="M48" s="33"/>
      <c r="N48" s="142"/>
      <c r="O48" s="33"/>
      <c r="P48" s="114"/>
    </row>
    <row r="49" spans="1:26" x14ac:dyDescent="0.2">
      <c r="A49" s="107"/>
      <c r="B49" s="33"/>
      <c r="C49" s="33"/>
      <c r="D49" s="170" t="s">
        <v>2281</v>
      </c>
      <c r="E49" s="99"/>
      <c r="F49" s="33"/>
      <c r="G49" s="33"/>
      <c r="H49" s="33"/>
      <c r="I49" s="33"/>
      <c r="J49" s="33"/>
      <c r="K49" s="33"/>
      <c r="L49" s="33"/>
      <c r="M49" s="33"/>
      <c r="N49" s="142"/>
      <c r="O49" s="33"/>
      <c r="P49" s="114"/>
    </row>
    <row r="50" spans="1:26" x14ac:dyDescent="0.2">
      <c r="A50" s="107"/>
      <c r="B50" s="33"/>
      <c r="C50" s="33"/>
      <c r="D50" s="170"/>
      <c r="E50" s="99"/>
      <c r="F50" s="33"/>
      <c r="G50" s="33"/>
      <c r="H50" s="33"/>
      <c r="I50" s="33"/>
      <c r="J50" s="33"/>
      <c r="K50" s="33"/>
      <c r="L50" s="33"/>
      <c r="M50" s="33"/>
      <c r="N50" s="142"/>
      <c r="O50" s="33"/>
      <c r="P50" s="114"/>
    </row>
    <row r="51" spans="1:26" x14ac:dyDescent="0.2">
      <c r="A51" s="107">
        <f>A47</f>
        <v>-8193600</v>
      </c>
      <c r="B51" s="33">
        <f>B47</f>
        <v>-4753300</v>
      </c>
      <c r="C51" s="33">
        <f>C47</f>
        <v>-2387900</v>
      </c>
      <c r="D51" s="151" t="str">
        <f>'Cash-W'!D51</f>
        <v>Refurbishment / Working Cap - Increase / (Decrease)</v>
      </c>
      <c r="E51" s="99"/>
      <c r="F51" s="33">
        <f t="shared" ref="F51:M51" si="22">F47</f>
        <v>-2827100</v>
      </c>
      <c r="G51" s="33">
        <f t="shared" si="22"/>
        <v>-1463200</v>
      </c>
      <c r="H51" s="33">
        <f t="shared" si="22"/>
        <v>1806100</v>
      </c>
      <c r="I51" s="33">
        <f t="shared" si="22"/>
        <v>2921200</v>
      </c>
      <c r="J51" s="33">
        <f t="shared" si="22"/>
        <v>280000</v>
      </c>
      <c r="K51" s="33">
        <f t="shared" si="22"/>
        <v>477900</v>
      </c>
      <c r="L51" s="33">
        <f t="shared" si="22"/>
        <v>1100800</v>
      </c>
      <c r="M51" s="33">
        <f t="shared" si="22"/>
        <v>5018300</v>
      </c>
      <c r="N51" s="142">
        <f t="shared" ref="N51:O51" si="23">N47</f>
        <v>5568700</v>
      </c>
      <c r="O51" s="33">
        <f t="shared" si="23"/>
        <v>6171800</v>
      </c>
      <c r="P51" s="114">
        <f t="shared" ref="P51" si="24">P47</f>
        <v>6917200</v>
      </c>
    </row>
    <row r="52" spans="1:26" ht="13.5" thickBot="1" x14ac:dyDescent="0.25">
      <c r="A52" s="171"/>
      <c r="B52" s="66"/>
      <c r="C52" s="66"/>
      <c r="D52" s="173"/>
      <c r="E52" s="174"/>
      <c r="F52" s="66"/>
      <c r="G52" s="66"/>
      <c r="H52" s="66"/>
      <c r="I52" s="66"/>
      <c r="J52" s="66"/>
      <c r="K52" s="66"/>
      <c r="L52" s="66"/>
      <c r="M52" s="66"/>
      <c r="N52" s="166"/>
      <c r="O52" s="66"/>
      <c r="P52" s="165"/>
    </row>
    <row r="53" spans="1:26" ht="14.25" thickTop="1" thickBot="1" x14ac:dyDescent="0.25">
      <c r="A53" s="99"/>
      <c r="B53" s="99"/>
      <c r="C53" s="123"/>
      <c r="D53" s="99"/>
      <c r="F53" s="99"/>
      <c r="G53" s="99"/>
      <c r="H53" s="99"/>
      <c r="I53" s="99"/>
      <c r="J53" s="99"/>
      <c r="K53" s="99"/>
      <c r="L53" s="99"/>
      <c r="M53" s="99"/>
      <c r="N53" s="99"/>
      <c r="O53" s="99"/>
      <c r="P53" s="99"/>
    </row>
    <row r="54" spans="1:26" s="23" customFormat="1" ht="18.75" customHeight="1" thickTop="1" thickBot="1" x14ac:dyDescent="0.25">
      <c r="A54" s="2982" t="s">
        <v>4659</v>
      </c>
      <c r="B54" s="2983"/>
      <c r="C54" s="2983"/>
      <c r="D54" s="2983"/>
      <c r="E54" s="2983"/>
      <c r="F54" s="2983"/>
      <c r="G54" s="2983"/>
      <c r="H54" s="2983"/>
      <c r="I54" s="2983"/>
      <c r="J54" s="2983"/>
      <c r="K54" s="2983"/>
      <c r="L54" s="2983"/>
      <c r="M54" s="2983"/>
      <c r="N54" s="2983"/>
      <c r="O54" s="2983"/>
      <c r="P54" s="2984"/>
    </row>
    <row r="55" spans="1:26" s="44" customFormat="1" x14ac:dyDescent="0.2">
      <c r="A55" s="2546" t="s">
        <v>1856</v>
      </c>
      <c r="B55" s="2547"/>
      <c r="C55" s="2150" t="s">
        <v>2253</v>
      </c>
      <c r="D55" s="2548" t="s">
        <v>2251</v>
      </c>
      <c r="E55" s="2549"/>
      <c r="F55" s="2885" t="str">
        <f>F2</f>
        <v>ESTIMATED</v>
      </c>
      <c r="G55" s="2886"/>
      <c r="H55" s="2886"/>
      <c r="I55" s="2886"/>
      <c r="J55" s="2886"/>
      <c r="K55" s="2886"/>
      <c r="L55" s="2886"/>
      <c r="M55" s="2886"/>
      <c r="N55" s="2886"/>
      <c r="O55" s="2886"/>
      <c r="P55" s="2887"/>
    </row>
    <row r="56" spans="1:26" s="23" customFormat="1" ht="13.5" thickBot="1" x14ac:dyDescent="0.25">
      <c r="A56" s="45" t="str">
        <f>A3</f>
        <v>2013/14</v>
      </c>
      <c r="B56" s="218" t="str">
        <f>B3</f>
        <v>2014/15</v>
      </c>
      <c r="C56" s="47" t="str">
        <f>C3</f>
        <v>2015/16</v>
      </c>
      <c r="D56" s="43"/>
      <c r="E56" s="42"/>
      <c r="F56" s="47" t="str">
        <f t="shared" ref="F56:O56" si="25">F3</f>
        <v>2016/17</v>
      </c>
      <c r="G56" s="47" t="str">
        <f t="shared" si="25"/>
        <v>2017/18</v>
      </c>
      <c r="H56" s="47" t="str">
        <f t="shared" si="25"/>
        <v>2018/19</v>
      </c>
      <c r="I56" s="47" t="str">
        <f t="shared" si="25"/>
        <v>2019/20</v>
      </c>
      <c r="J56" s="47" t="str">
        <f t="shared" si="25"/>
        <v>2020/21</v>
      </c>
      <c r="K56" s="47" t="str">
        <f t="shared" si="25"/>
        <v>2021/22</v>
      </c>
      <c r="L56" s="47" t="str">
        <f t="shared" si="25"/>
        <v>2022/23</v>
      </c>
      <c r="M56" s="47" t="str">
        <f t="shared" si="25"/>
        <v>2023/24</v>
      </c>
      <c r="N56" s="219" t="str">
        <f t="shared" si="25"/>
        <v>2024/25</v>
      </c>
      <c r="O56" s="219" t="str">
        <f t="shared" si="25"/>
        <v>2025/26</v>
      </c>
      <c r="P56" s="220" t="str">
        <f t="shared" ref="P56" si="26">P3</f>
        <v>2026/27</v>
      </c>
    </row>
    <row r="57" spans="1:26" x14ac:dyDescent="0.2">
      <c r="A57" s="107"/>
      <c r="B57" s="33"/>
      <c r="C57" s="169"/>
      <c r="D57" s="99"/>
      <c r="E57" s="78"/>
      <c r="F57" s="33"/>
      <c r="G57" s="33"/>
      <c r="H57" s="33"/>
      <c r="I57" s="33"/>
      <c r="J57" s="33"/>
      <c r="K57" s="33"/>
      <c r="L57" s="33"/>
      <c r="M57" s="33"/>
      <c r="N57" s="33"/>
      <c r="O57" s="33"/>
      <c r="P57" s="114"/>
    </row>
    <row r="58" spans="1:26" x14ac:dyDescent="0.2">
      <c r="A58" s="107">
        <v>0</v>
      </c>
      <c r="B58" s="33">
        <v>0</v>
      </c>
      <c r="C58" s="33">
        <f>'Cap-WW'!R121</f>
        <v>0</v>
      </c>
      <c r="D58" s="99"/>
      <c r="E58" s="78"/>
      <c r="F58" s="33">
        <f>'Cap-WW'!V121</f>
        <v>0</v>
      </c>
      <c r="G58" s="33"/>
      <c r="H58" s="33"/>
      <c r="I58" s="33"/>
      <c r="J58" s="33"/>
      <c r="K58" s="33"/>
      <c r="L58" s="33"/>
      <c r="M58" s="33"/>
      <c r="N58" s="33"/>
      <c r="O58" s="33"/>
      <c r="P58" s="114"/>
    </row>
    <row r="59" spans="1:26" ht="13.5" thickBot="1" x14ac:dyDescent="0.25">
      <c r="A59" s="107"/>
      <c r="B59" s="33"/>
      <c r="C59" s="33"/>
      <c r="D59" s="99"/>
      <c r="E59" s="108"/>
      <c r="F59" s="33"/>
      <c r="G59" s="33"/>
      <c r="H59" s="33"/>
      <c r="I59" s="33"/>
      <c r="J59" s="33"/>
      <c r="K59" s="33"/>
      <c r="L59" s="33"/>
      <c r="M59" s="33"/>
      <c r="N59" s="33"/>
      <c r="O59" s="33"/>
      <c r="P59" s="114"/>
    </row>
    <row r="60" spans="1:26" s="92" customFormat="1" x14ac:dyDescent="0.2">
      <c r="A60" s="105">
        <f>SUM(A58:A59)</f>
        <v>0</v>
      </c>
      <c r="B60" s="53">
        <f>SUM(B58:B59)</f>
        <v>0</v>
      </c>
      <c r="C60" s="53">
        <f>SUM(C58:C59)</f>
        <v>0</v>
      </c>
      <c r="D60" s="74"/>
      <c r="E60" s="112" t="s">
        <v>2453</v>
      </c>
      <c r="F60" s="53">
        <f>SUM(F58:F59)</f>
        <v>0</v>
      </c>
      <c r="G60" s="53">
        <f t="shared" ref="G60:M60" si="27">SUM(G59:G59)</f>
        <v>0</v>
      </c>
      <c r="H60" s="53">
        <f t="shared" si="27"/>
        <v>0</v>
      </c>
      <c r="I60" s="53">
        <f t="shared" si="27"/>
        <v>0</v>
      </c>
      <c r="J60" s="53">
        <f t="shared" si="27"/>
        <v>0</v>
      </c>
      <c r="K60" s="53">
        <f t="shared" si="27"/>
        <v>0</v>
      </c>
      <c r="L60" s="53">
        <f t="shared" si="27"/>
        <v>0</v>
      </c>
      <c r="M60" s="53">
        <f t="shared" si="27"/>
        <v>0</v>
      </c>
      <c r="N60" s="53">
        <f t="shared" ref="N60:O60" si="28">SUM(N59:N59)</f>
        <v>0</v>
      </c>
      <c r="O60" s="53">
        <f t="shared" si="28"/>
        <v>0</v>
      </c>
      <c r="P60" s="113">
        <f t="shared" ref="P60" si="29">SUM(P59:P59)</f>
        <v>0</v>
      </c>
      <c r="Q60" s="84"/>
      <c r="R60" s="84"/>
      <c r="S60" s="84"/>
      <c r="T60" s="84"/>
      <c r="U60" s="84"/>
      <c r="V60" s="84"/>
      <c r="W60" s="84"/>
      <c r="X60" s="84"/>
      <c r="Y60" s="84"/>
      <c r="Z60" s="84"/>
    </row>
    <row r="61" spans="1:26" ht="13.5" thickBot="1" x14ac:dyDescent="0.25">
      <c r="A61" s="171"/>
      <c r="B61" s="66"/>
      <c r="C61" s="66"/>
      <c r="D61" s="174"/>
      <c r="E61" s="173"/>
      <c r="F61" s="66"/>
      <c r="G61" s="66"/>
      <c r="H61" s="66"/>
      <c r="I61" s="66"/>
      <c r="J61" s="66"/>
      <c r="K61" s="66"/>
      <c r="L61" s="66"/>
      <c r="M61" s="66"/>
      <c r="N61" s="66"/>
      <c r="O61" s="66"/>
      <c r="P61" s="165"/>
    </row>
    <row r="62" spans="1:26" ht="14.25" thickTop="1" thickBot="1" x14ac:dyDescent="0.25">
      <c r="A62" s="99"/>
      <c r="B62" s="99"/>
      <c r="C62" s="123"/>
      <c r="D62" s="99"/>
      <c r="F62" s="99"/>
      <c r="G62" s="99"/>
      <c r="H62" s="99"/>
      <c r="I62" s="99"/>
      <c r="J62" s="99"/>
      <c r="K62" s="99"/>
      <c r="L62" s="99"/>
      <c r="M62" s="99"/>
      <c r="N62" s="99"/>
      <c r="O62" s="99"/>
      <c r="P62" s="99"/>
    </row>
    <row r="63" spans="1:26" s="23" customFormat="1" ht="18.75" customHeight="1" thickTop="1" thickBot="1" x14ac:dyDescent="0.25">
      <c r="A63" s="2982" t="s">
        <v>6910</v>
      </c>
      <c r="B63" s="2983"/>
      <c r="C63" s="2983"/>
      <c r="D63" s="2983"/>
      <c r="E63" s="2983"/>
      <c r="F63" s="2983"/>
      <c r="G63" s="2983"/>
      <c r="H63" s="2983"/>
      <c r="I63" s="2983"/>
      <c r="J63" s="2983"/>
      <c r="K63" s="2983"/>
      <c r="L63" s="2983"/>
      <c r="M63" s="2983"/>
      <c r="N63" s="2983"/>
      <c r="O63" s="2983"/>
      <c r="P63" s="2984"/>
    </row>
    <row r="64" spans="1:26" s="92" customFormat="1" x14ac:dyDescent="0.2">
      <c r="A64" s="2546" t="s">
        <v>1856</v>
      </c>
      <c r="B64" s="2547"/>
      <c r="C64" s="2150"/>
      <c r="D64" s="2510" t="s">
        <v>2251</v>
      </c>
      <c r="E64" s="190"/>
      <c r="F64" s="2885" t="str">
        <f>F55</f>
        <v>ESTIMATED</v>
      </c>
      <c r="G64" s="2886"/>
      <c r="H64" s="2886"/>
      <c r="I64" s="2886"/>
      <c r="J64" s="2886"/>
      <c r="K64" s="2886"/>
      <c r="L64" s="2886"/>
      <c r="M64" s="2886"/>
      <c r="N64" s="2886"/>
      <c r="O64" s="2886"/>
      <c r="P64" s="2887"/>
    </row>
    <row r="65" spans="1:26" ht="13.5" thickBot="1" x14ac:dyDescent="0.25">
      <c r="A65" s="743" t="str">
        <f>A$3</f>
        <v>2013/14</v>
      </c>
      <c r="B65" s="75" t="str">
        <f>$B$3</f>
        <v>2014/15</v>
      </c>
      <c r="C65" s="147" t="str">
        <f>$C$3</f>
        <v>2015/16</v>
      </c>
      <c r="D65" s="299"/>
      <c r="E65" s="94"/>
      <c r="F65" s="147" t="str">
        <f>$F$3</f>
        <v>2016/17</v>
      </c>
      <c r="G65" s="147" t="str">
        <f>$G$3</f>
        <v>2017/18</v>
      </c>
      <c r="H65" s="147" t="str">
        <f>$H$3</f>
        <v>2018/19</v>
      </c>
      <c r="I65" s="147" t="str">
        <f>$I$3</f>
        <v>2019/20</v>
      </c>
      <c r="J65" s="147" t="str">
        <f>$J$3</f>
        <v>2020/21</v>
      </c>
      <c r="K65" s="147" t="str">
        <f t="shared" ref="K65:P65" si="30">K$3</f>
        <v>2021/22</v>
      </c>
      <c r="L65" s="147" t="str">
        <f t="shared" si="30"/>
        <v>2022/23</v>
      </c>
      <c r="M65" s="147" t="str">
        <f t="shared" si="30"/>
        <v>2023/24</v>
      </c>
      <c r="N65" s="147" t="str">
        <f t="shared" si="30"/>
        <v>2024/25</v>
      </c>
      <c r="O65" s="147" t="str">
        <f t="shared" si="30"/>
        <v>2025/26</v>
      </c>
      <c r="P65" s="148" t="str">
        <f t="shared" si="30"/>
        <v>2026/27</v>
      </c>
    </row>
    <row r="66" spans="1:26" x14ac:dyDescent="0.2">
      <c r="A66" s="107"/>
      <c r="B66" s="33"/>
      <c r="C66" s="33"/>
      <c r="D66" s="99"/>
      <c r="E66" s="99"/>
      <c r="F66" s="169"/>
      <c r="G66" s="33"/>
      <c r="H66" s="33"/>
      <c r="I66" s="33"/>
      <c r="J66" s="33"/>
      <c r="K66" s="33"/>
      <c r="L66" s="33"/>
      <c r="M66" s="33"/>
      <c r="N66" s="33"/>
      <c r="O66" s="33"/>
      <c r="P66" s="114"/>
    </row>
    <row r="67" spans="1:26" x14ac:dyDescent="0.2">
      <c r="A67" s="107">
        <v>213700</v>
      </c>
      <c r="B67" s="33">
        <v>0</v>
      </c>
      <c r="C67" s="33">
        <f>'Cap-WW'!S121</f>
        <v>174600</v>
      </c>
      <c r="D67" s="78" t="s">
        <v>6911</v>
      </c>
      <c r="E67" s="78"/>
      <c r="F67" s="33">
        <f>'Cap-WW'!W121</f>
        <v>2264000</v>
      </c>
      <c r="G67" s="33">
        <f>'Cap-WW'!AA121</f>
        <v>1137000</v>
      </c>
      <c r="H67" s="33">
        <f>'Cap-WW'!AE121</f>
        <v>1749000</v>
      </c>
      <c r="I67" s="33">
        <f>'Cap-WW'!AI121</f>
        <v>3932000</v>
      </c>
      <c r="J67" s="33">
        <f>'Cap-WW'!AM121</f>
        <v>2005500</v>
      </c>
      <c r="K67" s="33">
        <f>'Cap-WW'!AQ121</f>
        <v>0</v>
      </c>
      <c r="L67" s="33">
        <f>'Cap-WW'!AU121</f>
        <v>519000</v>
      </c>
      <c r="M67" s="33">
        <f>'Cap-WW'!AY121</f>
        <v>0</v>
      </c>
      <c r="N67" s="33">
        <f>'Cap-WW'!BC121</f>
        <v>0</v>
      </c>
      <c r="O67" s="33">
        <f>'Cap-WW'!BG121</f>
        <v>0</v>
      </c>
      <c r="P67" s="114">
        <f>'Cap-WW'!BK121</f>
        <v>0</v>
      </c>
    </row>
    <row r="68" spans="1:26" x14ac:dyDescent="0.2">
      <c r="A68" s="107">
        <v>0</v>
      </c>
      <c r="B68" s="33">
        <v>0</v>
      </c>
      <c r="C68" s="33">
        <v>0</v>
      </c>
      <c r="D68" s="78" t="s">
        <v>6912</v>
      </c>
      <c r="E68" s="78"/>
      <c r="F68" s="33">
        <v>0</v>
      </c>
      <c r="G68" s="33">
        <f>ROUND(-G40/2,-3)</f>
        <v>1548000</v>
      </c>
      <c r="H68" s="33">
        <f>ROUND(-H40,-3)</f>
        <v>3134000</v>
      </c>
      <c r="I68" s="33">
        <f>ROUND(-I40,-3)</f>
        <v>3280000</v>
      </c>
      <c r="J68" s="33">
        <f t="shared" ref="J68:O68" si="31">ROUND(-J40/2,-3)</f>
        <v>1227000</v>
      </c>
      <c r="K68" s="33">
        <f t="shared" si="31"/>
        <v>1327000</v>
      </c>
      <c r="L68" s="33">
        <f t="shared" si="31"/>
        <v>1422000</v>
      </c>
      <c r="M68" s="33">
        <f t="shared" si="31"/>
        <v>1519000</v>
      </c>
      <c r="N68" s="33">
        <f t="shared" si="31"/>
        <v>1618000</v>
      </c>
      <c r="O68" s="33">
        <f t="shared" si="31"/>
        <v>1715000</v>
      </c>
      <c r="P68" s="114">
        <f t="shared" ref="P68" si="32">ROUND(-P40/2,-3)</f>
        <v>1814000</v>
      </c>
    </row>
    <row r="69" spans="1:26" ht="13.5" thickBot="1" x14ac:dyDescent="0.25">
      <c r="A69" s="107"/>
      <c r="B69" s="33"/>
      <c r="C69" s="33"/>
      <c r="D69" s="99"/>
      <c r="E69" s="108"/>
      <c r="F69" s="121"/>
      <c r="G69" s="33"/>
      <c r="H69" s="33"/>
      <c r="I69" s="33"/>
      <c r="J69" s="33"/>
      <c r="K69" s="33"/>
      <c r="L69" s="33"/>
      <c r="M69" s="33"/>
      <c r="N69" s="33"/>
      <c r="O69" s="33"/>
      <c r="P69" s="114"/>
    </row>
    <row r="70" spans="1:26" s="92" customFormat="1" x14ac:dyDescent="0.2">
      <c r="A70" s="105">
        <f>SUM(A67:A69)</f>
        <v>213700</v>
      </c>
      <c r="B70" s="53">
        <f>SUM(B67:B69)</f>
        <v>0</v>
      </c>
      <c r="C70" s="53">
        <f>SUM(C67:C69)</f>
        <v>174600</v>
      </c>
      <c r="D70" s="74"/>
      <c r="E70" s="112" t="s">
        <v>2453</v>
      </c>
      <c r="F70" s="53">
        <f t="shared" ref="F70:N70" si="33">SUM(F67:F69)</f>
        <v>2264000</v>
      </c>
      <c r="G70" s="53">
        <f t="shared" si="33"/>
        <v>2685000</v>
      </c>
      <c r="H70" s="53">
        <f t="shared" si="33"/>
        <v>4883000</v>
      </c>
      <c r="I70" s="53">
        <f t="shared" si="33"/>
        <v>7212000</v>
      </c>
      <c r="J70" s="53">
        <f t="shared" si="33"/>
        <v>3232500</v>
      </c>
      <c r="K70" s="53">
        <f t="shared" si="33"/>
        <v>1327000</v>
      </c>
      <c r="L70" s="53">
        <f t="shared" si="33"/>
        <v>1941000</v>
      </c>
      <c r="M70" s="53">
        <f t="shared" si="33"/>
        <v>1519000</v>
      </c>
      <c r="N70" s="53">
        <f t="shared" si="33"/>
        <v>1618000</v>
      </c>
      <c r="O70" s="53">
        <f t="shared" ref="O70:P70" si="34">SUM(O67:O69)</f>
        <v>1715000</v>
      </c>
      <c r="P70" s="113">
        <f t="shared" si="34"/>
        <v>1814000</v>
      </c>
      <c r="Q70" s="84"/>
      <c r="R70" s="84"/>
      <c r="S70" s="84"/>
      <c r="T70" s="84"/>
      <c r="U70" s="84"/>
      <c r="V70" s="84"/>
      <c r="W70" s="84"/>
      <c r="X70" s="84"/>
      <c r="Y70" s="84"/>
      <c r="Z70" s="84"/>
    </row>
    <row r="71" spans="1:26" ht="13.5" thickBot="1" x14ac:dyDescent="0.25">
      <c r="A71" s="171"/>
      <c r="B71" s="66"/>
      <c r="C71" s="66"/>
      <c r="D71" s="174"/>
      <c r="E71" s="173"/>
      <c r="F71" s="66"/>
      <c r="G71" s="66"/>
      <c r="H71" s="66"/>
      <c r="I71" s="66"/>
      <c r="J71" s="66"/>
      <c r="K71" s="66"/>
      <c r="L71" s="66"/>
      <c r="M71" s="66"/>
      <c r="N71" s="66"/>
      <c r="O71" s="66"/>
      <c r="P71" s="165"/>
    </row>
    <row r="72" spans="1:26" ht="14.25" thickTop="1" thickBot="1" x14ac:dyDescent="0.25">
      <c r="A72" s="99"/>
      <c r="B72" s="99"/>
      <c r="C72" s="123"/>
      <c r="D72" s="99"/>
      <c r="E72" s="74"/>
      <c r="F72" s="99"/>
      <c r="G72" s="99"/>
      <c r="H72" s="99"/>
      <c r="I72" s="99"/>
      <c r="J72" s="99"/>
      <c r="K72" s="99"/>
      <c r="L72" s="99"/>
      <c r="M72" s="99"/>
      <c r="N72" s="99"/>
      <c r="O72" s="99"/>
      <c r="P72" s="99"/>
      <c r="Q72" s="99"/>
      <c r="R72" s="99"/>
    </row>
    <row r="73" spans="1:26" s="23" customFormat="1" ht="18.75" customHeight="1" thickTop="1" thickBot="1" x14ac:dyDescent="0.25">
      <c r="A73" s="2982" t="s">
        <v>4660</v>
      </c>
      <c r="B73" s="2983"/>
      <c r="C73" s="2983"/>
      <c r="D73" s="2983"/>
      <c r="E73" s="2983"/>
      <c r="F73" s="2983"/>
      <c r="G73" s="2983"/>
      <c r="H73" s="2983"/>
      <c r="I73" s="2983"/>
      <c r="J73" s="2983"/>
      <c r="K73" s="2983"/>
      <c r="L73" s="2983"/>
      <c r="M73" s="2983"/>
      <c r="N73" s="2983"/>
      <c r="O73" s="2983"/>
      <c r="P73" s="2984"/>
    </row>
    <row r="74" spans="1:26" s="92" customFormat="1" x14ac:dyDescent="0.2">
      <c r="A74" s="2546" t="s">
        <v>1856</v>
      </c>
      <c r="B74" s="2547"/>
      <c r="C74" s="2551"/>
      <c r="D74" s="2510" t="s">
        <v>2251</v>
      </c>
      <c r="E74" s="2550"/>
      <c r="F74" s="2991" t="str">
        <f>F64</f>
        <v>ESTIMATED</v>
      </c>
      <c r="G74" s="2992"/>
      <c r="H74" s="2992"/>
      <c r="I74" s="2992"/>
      <c r="J74" s="2992"/>
      <c r="K74" s="2992"/>
      <c r="L74" s="2992"/>
      <c r="M74" s="2992"/>
      <c r="N74" s="2992"/>
      <c r="O74" s="2992"/>
      <c r="P74" s="2993"/>
    </row>
    <row r="75" spans="1:26" ht="13.5" thickBot="1" x14ac:dyDescent="0.25">
      <c r="A75" s="743" t="str">
        <f>A$3</f>
        <v>2013/14</v>
      </c>
      <c r="B75" s="75" t="str">
        <f>$B$3</f>
        <v>2014/15</v>
      </c>
      <c r="C75" s="147" t="str">
        <f>$C$3</f>
        <v>2015/16</v>
      </c>
      <c r="D75" s="299"/>
      <c r="E75" s="94"/>
      <c r="F75" s="147" t="str">
        <f>$F$3</f>
        <v>2016/17</v>
      </c>
      <c r="G75" s="147" t="str">
        <f>$G$3</f>
        <v>2017/18</v>
      </c>
      <c r="H75" s="147" t="str">
        <f>$H$3</f>
        <v>2018/19</v>
      </c>
      <c r="I75" s="147" t="str">
        <f>$I$3</f>
        <v>2019/20</v>
      </c>
      <c r="J75" s="147" t="str">
        <f>$J$3</f>
        <v>2020/21</v>
      </c>
      <c r="K75" s="147" t="str">
        <f t="shared" ref="K75:P75" si="35">K$3</f>
        <v>2021/22</v>
      </c>
      <c r="L75" s="147" t="str">
        <f t="shared" si="35"/>
        <v>2022/23</v>
      </c>
      <c r="M75" s="147" t="str">
        <f t="shared" si="35"/>
        <v>2023/24</v>
      </c>
      <c r="N75" s="147" t="str">
        <f t="shared" si="35"/>
        <v>2024/25</v>
      </c>
      <c r="O75" s="147" t="str">
        <f t="shared" si="35"/>
        <v>2025/26</v>
      </c>
      <c r="P75" s="148" t="str">
        <f t="shared" si="35"/>
        <v>2026/27</v>
      </c>
    </row>
    <row r="76" spans="1:26" x14ac:dyDescent="0.2">
      <c r="A76" s="107"/>
      <c r="B76" s="33"/>
      <c r="C76" s="169"/>
      <c r="D76" s="99"/>
      <c r="E76" s="300"/>
      <c r="F76" s="33"/>
      <c r="G76" s="33"/>
      <c r="H76" s="33"/>
      <c r="I76" s="33"/>
      <c r="J76" s="33"/>
      <c r="K76" s="33"/>
      <c r="L76" s="33"/>
      <c r="M76" s="33"/>
      <c r="N76" s="33"/>
      <c r="O76" s="33"/>
      <c r="P76" s="114"/>
    </row>
    <row r="77" spans="1:26" x14ac:dyDescent="0.2">
      <c r="A77" s="107">
        <v>690000</v>
      </c>
      <c r="B77" s="33">
        <v>0</v>
      </c>
      <c r="C77" s="33">
        <f>C36</f>
        <v>0</v>
      </c>
      <c r="D77" s="99" t="s">
        <v>173</v>
      </c>
      <c r="E77" s="78"/>
      <c r="F77" s="33">
        <f>F36</f>
        <v>0</v>
      </c>
      <c r="G77" s="33"/>
      <c r="H77" s="33"/>
      <c r="I77" s="33"/>
      <c r="J77" s="33"/>
      <c r="K77" s="33"/>
      <c r="L77" s="33"/>
      <c r="M77" s="33"/>
      <c r="N77" s="33"/>
      <c r="O77" s="33"/>
      <c r="P77" s="114"/>
    </row>
    <row r="78" spans="1:26" ht="13.5" thickBot="1" x14ac:dyDescent="0.25">
      <c r="A78" s="107"/>
      <c r="B78" s="33"/>
      <c r="C78" s="121"/>
      <c r="D78" s="99"/>
      <c r="E78" s="108"/>
      <c r="F78" s="33"/>
      <c r="G78" s="33"/>
      <c r="H78" s="33"/>
      <c r="I78" s="33"/>
      <c r="J78" s="33"/>
      <c r="K78" s="33"/>
      <c r="L78" s="33"/>
      <c r="M78" s="33"/>
      <c r="N78" s="33"/>
      <c r="O78" s="33"/>
      <c r="P78" s="114"/>
    </row>
    <row r="79" spans="1:26" s="92" customFormat="1" x14ac:dyDescent="0.2">
      <c r="A79" s="105">
        <f>SUM(A77:A77)</f>
        <v>690000</v>
      </c>
      <c r="B79" s="53">
        <f>SUM(B77:B77)</f>
        <v>0</v>
      </c>
      <c r="C79" s="53">
        <f>SUM(C77:C77)</f>
        <v>0</v>
      </c>
      <c r="D79" s="74"/>
      <c r="E79" s="112" t="s">
        <v>2453</v>
      </c>
      <c r="F79" s="53">
        <f t="shared" ref="F79:N79" si="36">SUM(F77:F77)</f>
        <v>0</v>
      </c>
      <c r="G79" s="53">
        <f t="shared" si="36"/>
        <v>0</v>
      </c>
      <c r="H79" s="53">
        <f t="shared" si="36"/>
        <v>0</v>
      </c>
      <c r="I79" s="53">
        <f t="shared" si="36"/>
        <v>0</v>
      </c>
      <c r="J79" s="53">
        <f t="shared" si="36"/>
        <v>0</v>
      </c>
      <c r="K79" s="53">
        <f t="shared" si="36"/>
        <v>0</v>
      </c>
      <c r="L79" s="53">
        <f t="shared" si="36"/>
        <v>0</v>
      </c>
      <c r="M79" s="53">
        <f t="shared" si="36"/>
        <v>0</v>
      </c>
      <c r="N79" s="53">
        <f t="shared" si="36"/>
        <v>0</v>
      </c>
      <c r="O79" s="53">
        <f t="shared" ref="O79:P79" si="37">SUM(O77:O77)</f>
        <v>0</v>
      </c>
      <c r="P79" s="113">
        <f t="shared" si="37"/>
        <v>0</v>
      </c>
      <c r="Q79" s="84"/>
      <c r="R79" s="84"/>
      <c r="S79" s="84"/>
      <c r="T79" s="84"/>
      <c r="U79" s="84"/>
      <c r="V79" s="84"/>
      <c r="W79" s="84"/>
      <c r="X79" s="84"/>
      <c r="Y79" s="84"/>
      <c r="Z79" s="84"/>
    </row>
    <row r="80" spans="1:26" ht="13.5" thickBot="1" x14ac:dyDescent="0.25">
      <c r="A80" s="171"/>
      <c r="B80" s="66"/>
      <c r="C80" s="66"/>
      <c r="D80" s="174"/>
      <c r="E80" s="173"/>
      <c r="F80" s="66"/>
      <c r="G80" s="66"/>
      <c r="H80" s="66"/>
      <c r="I80" s="66"/>
      <c r="J80" s="66"/>
      <c r="K80" s="66"/>
      <c r="L80" s="66"/>
      <c r="M80" s="66"/>
      <c r="N80" s="66"/>
      <c r="O80" s="66"/>
      <c r="P80" s="165"/>
    </row>
    <row r="81" spans="1:26" ht="14.25" thickTop="1" thickBot="1" x14ac:dyDescent="0.25">
      <c r="A81" s="99"/>
      <c r="B81" s="99"/>
      <c r="C81" s="123"/>
      <c r="D81" s="99"/>
      <c r="E81" s="74"/>
      <c r="F81" s="99"/>
      <c r="G81" s="99"/>
      <c r="H81" s="99"/>
      <c r="I81" s="99"/>
      <c r="J81" s="99"/>
      <c r="K81" s="99"/>
      <c r="L81" s="99"/>
      <c r="M81" s="99"/>
      <c r="N81" s="99"/>
      <c r="O81" s="99"/>
      <c r="P81" s="99"/>
      <c r="Q81" s="99"/>
      <c r="R81" s="99"/>
      <c r="S81" s="99"/>
    </row>
    <row r="82" spans="1:26" s="23" customFormat="1" ht="18.75" customHeight="1" thickTop="1" thickBot="1" x14ac:dyDescent="0.25">
      <c r="A82" s="2982" t="s">
        <v>4660</v>
      </c>
      <c r="B82" s="2983"/>
      <c r="C82" s="2983"/>
      <c r="D82" s="2983"/>
      <c r="E82" s="2983"/>
      <c r="F82" s="2983"/>
      <c r="G82" s="2983"/>
      <c r="H82" s="2983"/>
      <c r="I82" s="2983"/>
      <c r="J82" s="2983"/>
      <c r="K82" s="2983"/>
      <c r="L82" s="2983"/>
      <c r="M82" s="2983"/>
      <c r="N82" s="2983"/>
      <c r="O82" s="2983"/>
      <c r="P82" s="2984"/>
    </row>
    <row r="83" spans="1:26" s="92" customFormat="1" x14ac:dyDescent="0.2">
      <c r="A83" s="2546" t="s">
        <v>1856</v>
      </c>
      <c r="B83" s="2547"/>
      <c r="C83" s="2150"/>
      <c r="D83" s="2510" t="s">
        <v>2251</v>
      </c>
      <c r="E83" s="190"/>
      <c r="F83" s="2885" t="str">
        <f>F74</f>
        <v>ESTIMATED</v>
      </c>
      <c r="G83" s="2886"/>
      <c r="H83" s="2886"/>
      <c r="I83" s="2886"/>
      <c r="J83" s="2886"/>
      <c r="K83" s="2886"/>
      <c r="L83" s="2886"/>
      <c r="M83" s="2886"/>
      <c r="N83" s="2886"/>
      <c r="O83" s="2886"/>
      <c r="P83" s="2887"/>
    </row>
    <row r="84" spans="1:26" ht="13.5" thickBot="1" x14ac:dyDescent="0.25">
      <c r="A84" s="743" t="str">
        <f>A$3</f>
        <v>2013/14</v>
      </c>
      <c r="B84" s="75" t="str">
        <f>$B$3</f>
        <v>2014/15</v>
      </c>
      <c r="C84" s="147" t="str">
        <f>$C$3</f>
        <v>2015/16</v>
      </c>
      <c r="D84" s="299"/>
      <c r="E84" s="94"/>
      <c r="F84" s="147" t="str">
        <f>$F$3</f>
        <v>2016/17</v>
      </c>
      <c r="G84" s="147" t="str">
        <f>$G$3</f>
        <v>2017/18</v>
      </c>
      <c r="H84" s="147" t="str">
        <f>$H$3</f>
        <v>2018/19</v>
      </c>
      <c r="I84" s="147" t="str">
        <f>$I$3</f>
        <v>2019/20</v>
      </c>
      <c r="J84" s="147" t="str">
        <f>$J$3</f>
        <v>2020/21</v>
      </c>
      <c r="K84" s="147" t="str">
        <f t="shared" ref="K84:P84" si="38">K$3</f>
        <v>2021/22</v>
      </c>
      <c r="L84" s="147" t="str">
        <f t="shared" si="38"/>
        <v>2022/23</v>
      </c>
      <c r="M84" s="147" t="str">
        <f t="shared" si="38"/>
        <v>2023/24</v>
      </c>
      <c r="N84" s="147" t="str">
        <f t="shared" si="38"/>
        <v>2024/25</v>
      </c>
      <c r="O84" s="147" t="str">
        <f t="shared" si="38"/>
        <v>2025/26</v>
      </c>
      <c r="P84" s="148" t="str">
        <f t="shared" si="38"/>
        <v>2026/27</v>
      </c>
    </row>
    <row r="85" spans="1:26" x14ac:dyDescent="0.2">
      <c r="A85" s="107"/>
      <c r="B85" s="33"/>
      <c r="C85" s="33"/>
      <c r="D85" s="78"/>
      <c r="E85" s="78"/>
      <c r="F85" s="33"/>
      <c r="G85" s="33"/>
      <c r="H85" s="33"/>
      <c r="I85" s="33"/>
      <c r="J85" s="33"/>
      <c r="K85" s="33"/>
      <c r="L85" s="33"/>
      <c r="M85" s="33"/>
      <c r="N85" s="33"/>
      <c r="O85" s="33"/>
      <c r="P85" s="114"/>
    </row>
    <row r="86" spans="1:26" x14ac:dyDescent="0.2">
      <c r="A86" s="107">
        <f>'W&amp;W'!B412</f>
        <v>219600</v>
      </c>
      <c r="B86" s="33">
        <f>'W&amp;W'!C412</f>
        <v>69000</v>
      </c>
      <c r="C86" s="33">
        <f>'W&amp;W'!D412</f>
        <v>69000</v>
      </c>
      <c r="D86" s="35" t="s">
        <v>3209</v>
      </c>
      <c r="E86" s="78"/>
      <c r="F86" s="33">
        <f>'W&amp;W'!G412</f>
        <v>0</v>
      </c>
      <c r="G86" s="33">
        <f>'W&amp;W'!I412</f>
        <v>0</v>
      </c>
      <c r="H86" s="33">
        <f>'W&amp;W'!J412</f>
        <v>0</v>
      </c>
      <c r="I86" s="33">
        <f>'W&amp;W'!K412</f>
        <v>0</v>
      </c>
      <c r="J86" s="33">
        <f>'W&amp;W'!L412</f>
        <v>0</v>
      </c>
      <c r="K86" s="33">
        <f>'W&amp;W'!M412</f>
        <v>0</v>
      </c>
      <c r="L86" s="33">
        <f>'W&amp;W'!N412</f>
        <v>0</v>
      </c>
      <c r="M86" s="33">
        <f>'W&amp;W'!O412</f>
        <v>0</v>
      </c>
      <c r="N86" s="33">
        <f>'W&amp;W'!P412</f>
        <v>0</v>
      </c>
      <c r="O86" s="33">
        <f>'W&amp;W'!Q412</f>
        <v>0</v>
      </c>
      <c r="P86" s="114">
        <f>'W&amp;W'!R412</f>
        <v>0</v>
      </c>
    </row>
    <row r="87" spans="1:26" x14ac:dyDescent="0.2">
      <c r="A87" s="107">
        <f>'W&amp;W'!B413</f>
        <v>340000</v>
      </c>
      <c r="B87" s="33">
        <f>'W&amp;W'!C413</f>
        <v>340000</v>
      </c>
      <c r="C87" s="33">
        <f>'W&amp;W'!D413</f>
        <v>0</v>
      </c>
      <c r="D87" s="35" t="s">
        <v>3210</v>
      </c>
      <c r="E87" s="78"/>
      <c r="F87" s="33">
        <f>'W&amp;W'!G413</f>
        <v>340000</v>
      </c>
      <c r="G87" s="33">
        <f>'W&amp;W'!I413</f>
        <v>0</v>
      </c>
      <c r="H87" s="33">
        <f>'W&amp;W'!J413</f>
        <v>0</v>
      </c>
      <c r="I87" s="33">
        <f>'W&amp;W'!K413</f>
        <v>0</v>
      </c>
      <c r="J87" s="33">
        <f>'W&amp;W'!L413</f>
        <v>0</v>
      </c>
      <c r="K87" s="33">
        <f>'W&amp;W'!M413</f>
        <v>0</v>
      </c>
      <c r="L87" s="33">
        <f>'W&amp;W'!N413</f>
        <v>0</v>
      </c>
      <c r="M87" s="33">
        <f>'W&amp;W'!O413</f>
        <v>0</v>
      </c>
      <c r="N87" s="33">
        <f>'W&amp;W'!P413</f>
        <v>0</v>
      </c>
      <c r="O87" s="33">
        <f>'W&amp;W'!Q413</f>
        <v>0</v>
      </c>
      <c r="P87" s="114">
        <f>'W&amp;W'!R413</f>
        <v>0</v>
      </c>
    </row>
    <row r="88" spans="1:26" ht="13.5" thickBot="1" x14ac:dyDescent="0.25">
      <c r="A88" s="107"/>
      <c r="B88" s="33"/>
      <c r="C88" s="33"/>
      <c r="D88" s="99"/>
      <c r="E88" s="108"/>
      <c r="F88" s="33"/>
      <c r="G88" s="33"/>
      <c r="H88" s="33"/>
      <c r="I88" s="33"/>
      <c r="J88" s="33"/>
      <c r="K88" s="33"/>
      <c r="L88" s="33"/>
      <c r="M88" s="33"/>
      <c r="N88" s="33"/>
      <c r="O88" s="33"/>
      <c r="P88" s="114"/>
    </row>
    <row r="89" spans="1:26" s="92" customFormat="1" x14ac:dyDescent="0.2">
      <c r="A89" s="105">
        <f>SUM(A85:A88)</f>
        <v>559600</v>
      </c>
      <c r="B89" s="53">
        <f>SUM(B85:B88)</f>
        <v>409000</v>
      </c>
      <c r="C89" s="53">
        <f>SUM(C85:C88)</f>
        <v>69000</v>
      </c>
      <c r="D89" s="74"/>
      <c r="E89" s="112" t="s">
        <v>2453</v>
      </c>
      <c r="F89" s="53">
        <f t="shared" ref="F89:M89" si="39">SUM(F85:F88)</f>
        <v>340000</v>
      </c>
      <c r="G89" s="53">
        <f t="shared" si="39"/>
        <v>0</v>
      </c>
      <c r="H89" s="53">
        <f t="shared" si="39"/>
        <v>0</v>
      </c>
      <c r="I89" s="53">
        <f t="shared" si="39"/>
        <v>0</v>
      </c>
      <c r="J89" s="53">
        <f t="shared" si="39"/>
        <v>0</v>
      </c>
      <c r="K89" s="53">
        <f t="shared" si="39"/>
        <v>0</v>
      </c>
      <c r="L89" s="53">
        <f t="shared" si="39"/>
        <v>0</v>
      </c>
      <c r="M89" s="53">
        <f t="shared" si="39"/>
        <v>0</v>
      </c>
      <c r="N89" s="53">
        <f t="shared" ref="N89:O89" si="40">SUM(N85:N88)</f>
        <v>0</v>
      </c>
      <c r="O89" s="53">
        <f t="shared" si="40"/>
        <v>0</v>
      </c>
      <c r="P89" s="113">
        <f t="shared" ref="P89" si="41">SUM(P85:P88)</f>
        <v>0</v>
      </c>
      <c r="Q89" s="84"/>
      <c r="R89" s="84"/>
      <c r="S89" s="84"/>
      <c r="T89" s="84"/>
      <c r="U89" s="84"/>
      <c r="V89" s="84"/>
      <c r="W89" s="84"/>
      <c r="X89" s="84"/>
      <c r="Y89" s="84"/>
      <c r="Z89" s="84"/>
    </row>
    <row r="90" spans="1:26" ht="13.5" thickBot="1" x14ac:dyDescent="0.25">
      <c r="A90" s="171"/>
      <c r="B90" s="66"/>
      <c r="C90" s="66"/>
      <c r="D90" s="174"/>
      <c r="E90" s="173"/>
      <c r="F90" s="66"/>
      <c r="G90" s="66"/>
      <c r="H90" s="66"/>
      <c r="I90" s="66"/>
      <c r="J90" s="66"/>
      <c r="K90" s="66"/>
      <c r="L90" s="66"/>
      <c r="M90" s="66"/>
      <c r="N90" s="66"/>
      <c r="O90" s="66"/>
      <c r="P90" s="165"/>
    </row>
    <row r="91" spans="1:26" ht="14.25" thickTop="1" thickBot="1" x14ac:dyDescent="0.25">
      <c r="C91" s="84"/>
    </row>
    <row r="92" spans="1:26" ht="18.75" customHeight="1" thickTop="1" x14ac:dyDescent="0.2">
      <c r="A92" s="2988" t="s">
        <v>7044</v>
      </c>
      <c r="B92" s="2989"/>
      <c r="C92" s="2989"/>
      <c r="D92" s="2989"/>
      <c r="E92" s="2989"/>
      <c r="F92" s="2989"/>
      <c r="G92" s="2989"/>
      <c r="H92" s="2989"/>
      <c r="I92" s="2989"/>
      <c r="J92" s="2989"/>
      <c r="K92" s="2989"/>
      <c r="L92" s="2989"/>
      <c r="M92" s="2989"/>
      <c r="N92" s="2989"/>
      <c r="O92" s="2989"/>
      <c r="P92" s="2990"/>
    </row>
    <row r="93" spans="1:26" ht="13.5" thickBot="1" x14ac:dyDescent="0.25">
      <c r="A93" s="2191" t="str">
        <f>A3</f>
        <v>2013/14</v>
      </c>
      <c r="B93" s="2192" t="str">
        <f>B3</f>
        <v>2014/15</v>
      </c>
      <c r="C93" s="97" t="str">
        <f>C3</f>
        <v>2015/16</v>
      </c>
      <c r="D93" s="299"/>
      <c r="E93" s="94"/>
      <c r="F93" s="97" t="str">
        <f t="shared" ref="F93:O93" si="42">F3</f>
        <v>2016/17</v>
      </c>
      <c r="G93" s="97" t="str">
        <f t="shared" si="42"/>
        <v>2017/18</v>
      </c>
      <c r="H93" s="97" t="str">
        <f t="shared" si="42"/>
        <v>2018/19</v>
      </c>
      <c r="I93" s="97" t="str">
        <f t="shared" si="42"/>
        <v>2019/20</v>
      </c>
      <c r="J93" s="97" t="str">
        <f t="shared" si="42"/>
        <v>2020/21</v>
      </c>
      <c r="K93" s="97" t="str">
        <f t="shared" si="42"/>
        <v>2021/22</v>
      </c>
      <c r="L93" s="97" t="str">
        <f t="shared" si="42"/>
        <v>2022/23</v>
      </c>
      <c r="M93" s="97" t="str">
        <f t="shared" si="42"/>
        <v>2023/24</v>
      </c>
      <c r="N93" s="147" t="str">
        <f t="shared" si="42"/>
        <v>2024/25</v>
      </c>
      <c r="O93" s="147" t="str">
        <f t="shared" si="42"/>
        <v>2025/26</v>
      </c>
      <c r="P93" s="148" t="str">
        <f t="shared" ref="P93" si="43">P3</f>
        <v>2026/27</v>
      </c>
    </row>
    <row r="94" spans="1:26" x14ac:dyDescent="0.2">
      <c r="A94" s="107"/>
      <c r="B94" s="33"/>
      <c r="C94" s="169"/>
      <c r="D94" s="99"/>
      <c r="E94" s="78"/>
      <c r="F94" s="33"/>
      <c r="G94" s="33"/>
      <c r="H94" s="33"/>
      <c r="I94" s="33"/>
      <c r="J94" s="33"/>
      <c r="K94" s="33"/>
      <c r="L94" s="33"/>
      <c r="M94" s="33"/>
      <c r="N94" s="33"/>
      <c r="O94" s="33"/>
      <c r="P94" s="114"/>
    </row>
    <row r="95" spans="1:26" x14ac:dyDescent="0.2">
      <c r="A95" s="107"/>
      <c r="B95" s="33"/>
      <c r="C95" s="33"/>
      <c r="D95" s="145" t="s">
        <v>2263</v>
      </c>
      <c r="E95" s="145"/>
      <c r="F95" s="33"/>
      <c r="G95" s="33"/>
      <c r="H95" s="33"/>
      <c r="I95" s="33"/>
      <c r="J95" s="33"/>
      <c r="K95" s="33"/>
      <c r="L95" s="33"/>
      <c r="M95" s="33"/>
      <c r="N95" s="33"/>
      <c r="O95" s="33"/>
      <c r="P95" s="114"/>
    </row>
    <row r="96" spans="1:26" x14ac:dyDescent="0.2">
      <c r="A96" s="107"/>
      <c r="B96" s="33"/>
      <c r="C96" s="33"/>
      <c r="D96" s="99"/>
      <c r="E96" s="78"/>
      <c r="F96" s="33"/>
      <c r="G96" s="33"/>
      <c r="H96" s="33"/>
      <c r="I96" s="33"/>
      <c r="J96" s="33"/>
      <c r="K96" s="33"/>
      <c r="L96" s="33"/>
      <c r="M96" s="33"/>
      <c r="N96" s="33"/>
      <c r="O96" s="33"/>
      <c r="P96" s="114"/>
    </row>
    <row r="97" spans="1:16" x14ac:dyDescent="0.2">
      <c r="A97" s="107"/>
      <c r="B97" s="33"/>
      <c r="C97" s="33"/>
      <c r="D97" s="145" t="s">
        <v>697</v>
      </c>
      <c r="E97" s="145"/>
      <c r="F97" s="33"/>
      <c r="G97" s="33"/>
      <c r="H97" s="33"/>
      <c r="I97" s="33"/>
      <c r="J97" s="33"/>
      <c r="K97" s="33"/>
      <c r="L97" s="33"/>
      <c r="M97" s="33"/>
      <c r="N97" s="33"/>
      <c r="O97" s="33"/>
      <c r="P97" s="114"/>
    </row>
    <row r="98" spans="1:16" x14ac:dyDescent="0.2">
      <c r="A98" s="107">
        <f>A6</f>
        <v>14462800</v>
      </c>
      <c r="B98" s="33">
        <f>B6</f>
        <v>15355900</v>
      </c>
      <c r="C98" s="33">
        <f>C6</f>
        <v>16363900</v>
      </c>
      <c r="D98" s="99" t="s">
        <v>2264</v>
      </c>
      <c r="E98" s="168"/>
      <c r="F98" s="33">
        <f t="shared" ref="F98:O98" si="44">F6</f>
        <v>17705900</v>
      </c>
      <c r="G98" s="33">
        <f t="shared" si="44"/>
        <v>18138500</v>
      </c>
      <c r="H98" s="33">
        <f t="shared" si="44"/>
        <v>18603000</v>
      </c>
      <c r="I98" s="33">
        <f t="shared" si="44"/>
        <v>19115500</v>
      </c>
      <c r="J98" s="33">
        <f t="shared" si="44"/>
        <v>19843000</v>
      </c>
      <c r="K98" s="33">
        <f t="shared" si="44"/>
        <v>20400000</v>
      </c>
      <c r="L98" s="33">
        <f t="shared" si="44"/>
        <v>21021900</v>
      </c>
      <c r="M98" s="33">
        <f t="shared" si="44"/>
        <v>21627500</v>
      </c>
      <c r="N98" s="33">
        <f t="shared" si="44"/>
        <v>22327800</v>
      </c>
      <c r="O98" s="33">
        <f t="shared" si="44"/>
        <v>23121500</v>
      </c>
      <c r="P98" s="114">
        <f t="shared" ref="P98" si="45">P6</f>
        <v>23940600</v>
      </c>
    </row>
    <row r="99" spans="1:16" x14ac:dyDescent="0.2">
      <c r="A99" s="107">
        <f>A7+A10</f>
        <v>16630100</v>
      </c>
      <c r="B99" s="33">
        <f>B7+B10</f>
        <v>16181200</v>
      </c>
      <c r="C99" s="33">
        <f>C7+C10</f>
        <v>17000800</v>
      </c>
      <c r="D99" s="99" t="s">
        <v>2265</v>
      </c>
      <c r="E99" s="168"/>
      <c r="F99" s="33">
        <f t="shared" ref="F99:O99" si="46">F7+F10</f>
        <v>16938700</v>
      </c>
      <c r="G99" s="33">
        <f t="shared" si="46"/>
        <v>17606500</v>
      </c>
      <c r="H99" s="33">
        <f t="shared" si="46"/>
        <v>17576400</v>
      </c>
      <c r="I99" s="33">
        <f t="shared" si="46"/>
        <v>17759600</v>
      </c>
      <c r="J99" s="33">
        <f t="shared" si="46"/>
        <v>17938700</v>
      </c>
      <c r="K99" s="33">
        <f t="shared" si="46"/>
        <v>18031700</v>
      </c>
      <c r="L99" s="33">
        <f t="shared" si="46"/>
        <v>18191200</v>
      </c>
      <c r="M99" s="33">
        <f t="shared" si="46"/>
        <v>18252600</v>
      </c>
      <c r="N99" s="33">
        <f t="shared" si="46"/>
        <v>18365500</v>
      </c>
      <c r="O99" s="33">
        <f t="shared" si="46"/>
        <v>18420300</v>
      </c>
      <c r="P99" s="114">
        <f t="shared" ref="P99" si="47">P7+P10</f>
        <v>18540400</v>
      </c>
    </row>
    <row r="100" spans="1:16" s="118" customFormat="1" x14ac:dyDescent="0.2">
      <c r="A100" s="292">
        <f>A98-A99</f>
        <v>-2167300</v>
      </c>
      <c r="B100" s="116">
        <f>B98-B99</f>
        <v>-825300</v>
      </c>
      <c r="C100" s="116">
        <f>C98-C99</f>
        <v>-636900</v>
      </c>
      <c r="D100" s="145" t="s">
        <v>2185</v>
      </c>
      <c r="E100" s="145"/>
      <c r="F100" s="116">
        <f t="shared" ref="F100:K100" si="48">F98-F99</f>
        <v>767200</v>
      </c>
      <c r="G100" s="116">
        <f t="shared" si="48"/>
        <v>532000</v>
      </c>
      <c r="H100" s="116">
        <f t="shared" si="48"/>
        <v>1026600</v>
      </c>
      <c r="I100" s="116">
        <f t="shared" si="48"/>
        <v>1355900</v>
      </c>
      <c r="J100" s="116">
        <f t="shared" si="48"/>
        <v>1904300</v>
      </c>
      <c r="K100" s="116">
        <f t="shared" si="48"/>
        <v>2368300</v>
      </c>
      <c r="L100" s="116">
        <f>L98-L99</f>
        <v>2830700</v>
      </c>
      <c r="M100" s="116">
        <f>M98-M99</f>
        <v>3374900</v>
      </c>
      <c r="N100" s="116">
        <f>N98-N99</f>
        <v>3962300</v>
      </c>
      <c r="O100" s="116">
        <f>O98-O99</f>
        <v>4701200</v>
      </c>
      <c r="P100" s="159">
        <f>P98-P99</f>
        <v>5400200</v>
      </c>
    </row>
    <row r="101" spans="1:16" x14ac:dyDescent="0.2">
      <c r="A101" s="107">
        <v>0</v>
      </c>
      <c r="B101" s="33">
        <v>0</v>
      </c>
      <c r="C101" s="33">
        <v>0</v>
      </c>
      <c r="D101" s="168" t="s">
        <v>2186</v>
      </c>
      <c r="E101" s="168"/>
      <c r="F101" s="33">
        <v>0</v>
      </c>
      <c r="G101" s="33">
        <v>0</v>
      </c>
      <c r="H101" s="33">
        <v>0</v>
      </c>
      <c r="I101" s="33">
        <v>0</v>
      </c>
      <c r="J101" s="33">
        <v>0</v>
      </c>
      <c r="K101" s="33">
        <v>0</v>
      </c>
      <c r="L101" s="33">
        <v>0</v>
      </c>
      <c r="M101" s="33">
        <v>0</v>
      </c>
      <c r="N101" s="33">
        <v>0</v>
      </c>
      <c r="O101" s="33">
        <v>0</v>
      </c>
      <c r="P101" s="114">
        <v>0</v>
      </c>
    </row>
    <row r="102" spans="1:16" s="118" customFormat="1" x14ac:dyDescent="0.2">
      <c r="A102" s="292">
        <f>A100+A101</f>
        <v>-2167300</v>
      </c>
      <c r="B102" s="116">
        <f>B100+B101</f>
        <v>-825300</v>
      </c>
      <c r="C102" s="116">
        <f>C100+C101</f>
        <v>-636900</v>
      </c>
      <c r="D102" s="145" t="s">
        <v>1019</v>
      </c>
      <c r="E102" s="145"/>
      <c r="F102" s="116">
        <f t="shared" ref="F102:K102" si="49">F100+F101</f>
        <v>767200</v>
      </c>
      <c r="G102" s="116">
        <f t="shared" si="49"/>
        <v>532000</v>
      </c>
      <c r="H102" s="116">
        <f t="shared" si="49"/>
        <v>1026600</v>
      </c>
      <c r="I102" s="116">
        <f t="shared" si="49"/>
        <v>1355900</v>
      </c>
      <c r="J102" s="116">
        <f t="shared" si="49"/>
        <v>1904300</v>
      </c>
      <c r="K102" s="116">
        <f t="shared" si="49"/>
        <v>2368300</v>
      </c>
      <c r="L102" s="116">
        <f>L100+L101</f>
        <v>2830700</v>
      </c>
      <c r="M102" s="116">
        <f>M100+M101</f>
        <v>3374900</v>
      </c>
      <c r="N102" s="116">
        <f>N100+N101</f>
        <v>3962300</v>
      </c>
      <c r="O102" s="116">
        <f>O100+O101</f>
        <v>4701200</v>
      </c>
      <c r="P102" s="159">
        <f>P100+P101</f>
        <v>5400200</v>
      </c>
    </row>
    <row r="103" spans="1:16" x14ac:dyDescent="0.2">
      <c r="A103" s="107">
        <f>A10</f>
        <v>2643100</v>
      </c>
      <c r="B103" s="33">
        <f>B10</f>
        <v>2314300</v>
      </c>
      <c r="C103" s="33">
        <f>C10</f>
        <v>3531900</v>
      </c>
      <c r="D103" s="168" t="s">
        <v>2808</v>
      </c>
      <c r="E103" s="168"/>
      <c r="F103" s="33">
        <f t="shared" ref="F103:O103" si="50">F10</f>
        <v>2678000</v>
      </c>
      <c r="G103" s="33">
        <f t="shared" si="50"/>
        <v>3775000</v>
      </c>
      <c r="H103" s="33">
        <f t="shared" si="50"/>
        <v>3851000</v>
      </c>
      <c r="I103" s="33">
        <f t="shared" si="50"/>
        <v>3928000</v>
      </c>
      <c r="J103" s="33">
        <f t="shared" si="50"/>
        <v>4007000</v>
      </c>
      <c r="K103" s="33">
        <f t="shared" si="50"/>
        <v>4087000</v>
      </c>
      <c r="L103" s="33">
        <f t="shared" si="50"/>
        <v>4169000</v>
      </c>
      <c r="M103" s="33">
        <f t="shared" si="50"/>
        <v>4252000</v>
      </c>
      <c r="N103" s="33">
        <f t="shared" si="50"/>
        <v>4337000</v>
      </c>
      <c r="O103" s="33">
        <f t="shared" si="50"/>
        <v>4424000</v>
      </c>
      <c r="P103" s="114">
        <f t="shared" ref="P103" si="51">P10</f>
        <v>4512000</v>
      </c>
    </row>
    <row r="104" spans="1:16" s="118" customFormat="1" x14ac:dyDescent="0.2">
      <c r="A104" s="292">
        <f>A102+A103</f>
        <v>475800</v>
      </c>
      <c r="B104" s="116">
        <f>B102+B103</f>
        <v>1489000</v>
      </c>
      <c r="C104" s="116">
        <f>C102+C103</f>
        <v>2895000</v>
      </c>
      <c r="D104" s="145" t="s">
        <v>2203</v>
      </c>
      <c r="E104" s="145"/>
      <c r="F104" s="116">
        <f t="shared" ref="F104:M104" si="52">F102+F103</f>
        <v>3445200</v>
      </c>
      <c r="G104" s="116">
        <f t="shared" si="52"/>
        <v>4307000</v>
      </c>
      <c r="H104" s="116">
        <f t="shared" si="52"/>
        <v>4877600</v>
      </c>
      <c r="I104" s="116">
        <f t="shared" si="52"/>
        <v>5283900</v>
      </c>
      <c r="J104" s="116">
        <f t="shared" si="52"/>
        <v>5911300</v>
      </c>
      <c r="K104" s="116">
        <f t="shared" si="52"/>
        <v>6455300</v>
      </c>
      <c r="L104" s="116">
        <f t="shared" si="52"/>
        <v>6999700</v>
      </c>
      <c r="M104" s="116">
        <f t="shared" si="52"/>
        <v>7626900</v>
      </c>
      <c r="N104" s="116">
        <f t="shared" ref="N104:O104" si="53">N102+N103</f>
        <v>8299300</v>
      </c>
      <c r="O104" s="116">
        <f t="shared" si="53"/>
        <v>9125200</v>
      </c>
      <c r="P104" s="159">
        <f t="shared" ref="P104" si="54">P102+P103</f>
        <v>9912200</v>
      </c>
    </row>
    <row r="105" spans="1:16" x14ac:dyDescent="0.2">
      <c r="A105" s="107"/>
      <c r="B105" s="33"/>
      <c r="C105" s="33"/>
      <c r="D105" s="99"/>
      <c r="E105" s="168"/>
      <c r="F105" s="33"/>
      <c r="G105" s="33"/>
      <c r="H105" s="33"/>
      <c r="I105" s="33"/>
      <c r="J105" s="33"/>
      <c r="K105" s="33"/>
      <c r="L105" s="33"/>
      <c r="M105" s="33"/>
      <c r="N105" s="33"/>
      <c r="O105" s="33"/>
      <c r="P105" s="114"/>
    </row>
    <row r="106" spans="1:16" x14ac:dyDescent="0.2">
      <c r="A106" s="107"/>
      <c r="B106" s="33"/>
      <c r="C106" s="33"/>
      <c r="D106" s="99" t="s">
        <v>2353</v>
      </c>
      <c r="E106" s="145"/>
      <c r="F106" s="33"/>
      <c r="G106" s="33"/>
      <c r="H106" s="33"/>
      <c r="I106" s="33"/>
      <c r="J106" s="33"/>
      <c r="K106" s="33"/>
      <c r="L106" s="33"/>
      <c r="M106" s="33"/>
      <c r="N106" s="33"/>
      <c r="O106" s="33"/>
      <c r="P106" s="114"/>
    </row>
    <row r="107" spans="1:16" x14ac:dyDescent="0.2">
      <c r="A107" s="107"/>
      <c r="B107" s="33"/>
      <c r="C107" s="33"/>
      <c r="D107" s="99"/>
      <c r="E107" s="168"/>
      <c r="F107" s="33"/>
      <c r="G107" s="33"/>
      <c r="H107" s="33"/>
      <c r="I107" s="33"/>
      <c r="J107" s="33"/>
      <c r="K107" s="33"/>
      <c r="L107" s="33"/>
      <c r="M107" s="33"/>
      <c r="N107" s="33"/>
      <c r="O107" s="33"/>
      <c r="P107" s="114"/>
    </row>
    <row r="108" spans="1:16" x14ac:dyDescent="0.2">
      <c r="A108" s="107"/>
      <c r="B108" s="33"/>
      <c r="C108" s="33"/>
      <c r="D108" s="99" t="s">
        <v>1897</v>
      </c>
      <c r="E108" s="145"/>
      <c r="F108" s="33"/>
      <c r="G108" s="33"/>
      <c r="H108" s="33"/>
      <c r="I108" s="33"/>
      <c r="J108" s="33"/>
      <c r="K108" s="33"/>
      <c r="L108" s="33"/>
      <c r="M108" s="33"/>
      <c r="N108" s="33"/>
      <c r="O108" s="33"/>
      <c r="P108" s="114"/>
    </row>
    <row r="109" spans="1:16" x14ac:dyDescent="0.2">
      <c r="A109" s="107">
        <v>0</v>
      </c>
      <c r="B109" s="33">
        <v>0</v>
      </c>
      <c r="C109" s="33">
        <v>0</v>
      </c>
      <c r="D109" s="99" t="s">
        <v>2938</v>
      </c>
      <c r="E109" s="168"/>
      <c r="F109" s="33">
        <v>0</v>
      </c>
      <c r="G109" s="33">
        <v>0</v>
      </c>
      <c r="H109" s="33">
        <v>0</v>
      </c>
      <c r="I109" s="33">
        <v>0</v>
      </c>
      <c r="J109" s="33">
        <v>0</v>
      </c>
      <c r="K109" s="33">
        <v>0</v>
      </c>
      <c r="L109" s="33">
        <v>0</v>
      </c>
      <c r="M109" s="33">
        <v>0</v>
      </c>
      <c r="N109" s="33">
        <v>0</v>
      </c>
      <c r="O109" s="33">
        <v>0</v>
      </c>
      <c r="P109" s="114">
        <v>0</v>
      </c>
    </row>
    <row r="110" spans="1:16" x14ac:dyDescent="0.2">
      <c r="A110" s="107"/>
      <c r="B110" s="33"/>
      <c r="C110" s="33"/>
      <c r="D110" s="99" t="s">
        <v>1374</v>
      </c>
      <c r="E110" s="168"/>
      <c r="F110" s="33"/>
      <c r="G110" s="33"/>
      <c r="H110" s="33"/>
      <c r="I110" s="33"/>
      <c r="J110" s="33"/>
      <c r="K110" s="33"/>
      <c r="L110" s="33"/>
      <c r="M110" s="33"/>
      <c r="N110" s="33"/>
      <c r="O110" s="33"/>
      <c r="P110" s="114"/>
    </row>
    <row r="111" spans="1:16" x14ac:dyDescent="0.2">
      <c r="A111" s="107">
        <f t="shared" ref="A111:C112" si="55">-A39</f>
        <v>8112100</v>
      </c>
      <c r="B111" s="33">
        <f t="shared" si="55"/>
        <v>4320400</v>
      </c>
      <c r="C111" s="33">
        <f t="shared" si="55"/>
        <v>2267300</v>
      </c>
      <c r="D111" s="99" t="s">
        <v>1896</v>
      </c>
      <c r="E111" s="168"/>
      <c r="F111" s="33">
        <f t="shared" ref="F111:O111" si="56">-F39</f>
        <v>5792000</v>
      </c>
      <c r="G111" s="33">
        <f t="shared" si="56"/>
        <v>5247000</v>
      </c>
      <c r="H111" s="33">
        <f t="shared" si="56"/>
        <v>4732000</v>
      </c>
      <c r="I111" s="33">
        <f t="shared" si="56"/>
        <v>6279400</v>
      </c>
      <c r="J111" s="33">
        <f t="shared" si="56"/>
        <v>6374300</v>
      </c>
      <c r="K111" s="33">
        <f t="shared" si="56"/>
        <v>4650000</v>
      </c>
      <c r="L111" s="33">
        <f t="shared" si="56"/>
        <v>4988000</v>
      </c>
      <c r="M111" s="33">
        <f t="shared" si="56"/>
        <v>1088000</v>
      </c>
      <c r="N111" s="33">
        <f t="shared" si="56"/>
        <v>1106000</v>
      </c>
      <c r="O111" s="33">
        <f t="shared" si="56"/>
        <v>1227000</v>
      </c>
      <c r="P111" s="114">
        <f t="shared" ref="P111" si="57">-P39</f>
        <v>1168000</v>
      </c>
    </row>
    <row r="112" spans="1:16" x14ac:dyDescent="0.2">
      <c r="A112" s="107">
        <f t="shared" si="55"/>
        <v>2384800</v>
      </c>
      <c r="B112" s="33">
        <f t="shared" si="55"/>
        <v>2187900</v>
      </c>
      <c r="C112" s="33">
        <f t="shared" si="55"/>
        <v>2793300</v>
      </c>
      <c r="D112" s="99" t="s">
        <v>1485</v>
      </c>
      <c r="E112" s="168"/>
      <c r="F112" s="33">
        <f t="shared" ref="F112:O112" si="58">-F40</f>
        <v>2957900</v>
      </c>
      <c r="G112" s="33">
        <f t="shared" si="58"/>
        <v>3095600</v>
      </c>
      <c r="H112" s="33">
        <f t="shared" si="58"/>
        <v>3134000</v>
      </c>
      <c r="I112" s="33">
        <f t="shared" si="58"/>
        <v>3280300</v>
      </c>
      <c r="J112" s="33">
        <f t="shared" si="58"/>
        <v>2453500</v>
      </c>
      <c r="K112" s="33">
        <f t="shared" si="58"/>
        <v>2654100</v>
      </c>
      <c r="L112" s="33">
        <f t="shared" si="58"/>
        <v>2844100</v>
      </c>
      <c r="M112" s="33">
        <f t="shared" si="58"/>
        <v>3037000</v>
      </c>
      <c r="N112" s="33">
        <f t="shared" si="58"/>
        <v>3235000</v>
      </c>
      <c r="O112" s="33">
        <f t="shared" si="58"/>
        <v>3430000</v>
      </c>
      <c r="P112" s="114">
        <f t="shared" ref="P112" si="59">-P40</f>
        <v>3627000</v>
      </c>
    </row>
    <row r="113" spans="1:16" s="118" customFormat="1" x14ac:dyDescent="0.2">
      <c r="A113" s="292">
        <f>SUM(A108:A112)</f>
        <v>10496900</v>
      </c>
      <c r="B113" s="116">
        <f>SUM(B108:B112)</f>
        <v>6508300</v>
      </c>
      <c r="C113" s="116">
        <f>SUM(C108:C112)</f>
        <v>5060600</v>
      </c>
      <c r="D113" s="145" t="s">
        <v>1530</v>
      </c>
      <c r="E113" s="145"/>
      <c r="F113" s="116">
        <f t="shared" ref="F113:O113" si="60">SUM(F108:F112)</f>
        <v>8749900</v>
      </c>
      <c r="G113" s="116">
        <f t="shared" si="60"/>
        <v>8342600</v>
      </c>
      <c r="H113" s="116">
        <f t="shared" si="60"/>
        <v>7866000</v>
      </c>
      <c r="I113" s="116">
        <f t="shared" si="60"/>
        <v>9559700</v>
      </c>
      <c r="J113" s="116">
        <f t="shared" si="60"/>
        <v>8827800</v>
      </c>
      <c r="K113" s="116">
        <f t="shared" si="60"/>
        <v>7304100</v>
      </c>
      <c r="L113" s="116">
        <f t="shared" si="60"/>
        <v>7832100</v>
      </c>
      <c r="M113" s="116">
        <f t="shared" si="60"/>
        <v>4125000</v>
      </c>
      <c r="N113" s="116">
        <f t="shared" si="60"/>
        <v>4341000</v>
      </c>
      <c r="O113" s="116">
        <f t="shared" si="60"/>
        <v>4657000</v>
      </c>
      <c r="P113" s="159">
        <f t="shared" ref="P113" si="61">SUM(P108:P112)</f>
        <v>4795000</v>
      </c>
    </row>
    <row r="114" spans="1:16" x14ac:dyDescent="0.2">
      <c r="A114" s="107"/>
      <c r="B114" s="33"/>
      <c r="C114" s="33"/>
      <c r="D114" s="99"/>
      <c r="E114" s="168"/>
      <c r="F114" s="33"/>
      <c r="G114" s="33"/>
      <c r="H114" s="33"/>
      <c r="I114" s="33"/>
      <c r="J114" s="33"/>
      <c r="K114" s="33"/>
      <c r="L114" s="33"/>
      <c r="M114" s="33"/>
      <c r="N114" s="33"/>
      <c r="O114" s="33"/>
      <c r="P114" s="114"/>
    </row>
    <row r="115" spans="1:16" x14ac:dyDescent="0.2">
      <c r="A115" s="107"/>
      <c r="B115" s="33"/>
      <c r="C115" s="33"/>
      <c r="D115" s="145" t="s">
        <v>891</v>
      </c>
      <c r="E115" s="145"/>
      <c r="F115" s="33"/>
      <c r="G115" s="33"/>
      <c r="H115" s="33"/>
      <c r="I115" s="33"/>
      <c r="J115" s="33"/>
      <c r="K115" s="33"/>
      <c r="L115" s="33"/>
      <c r="M115" s="33"/>
      <c r="N115" s="33"/>
      <c r="O115" s="33"/>
      <c r="P115" s="114"/>
    </row>
    <row r="116" spans="1:16" x14ac:dyDescent="0.2">
      <c r="A116" s="107">
        <f>A104</f>
        <v>475800</v>
      </c>
      <c r="B116" s="33">
        <f>B104</f>
        <v>1489000</v>
      </c>
      <c r="C116" s="33">
        <f>C104</f>
        <v>2895000</v>
      </c>
      <c r="D116" s="99" t="s">
        <v>2203</v>
      </c>
      <c r="E116" s="168"/>
      <c r="F116" s="33">
        <f t="shared" ref="F116:O116" si="62">F104</f>
        <v>3445200</v>
      </c>
      <c r="G116" s="33">
        <f t="shared" si="62"/>
        <v>4307000</v>
      </c>
      <c r="H116" s="33">
        <f t="shared" si="62"/>
        <v>4877600</v>
      </c>
      <c r="I116" s="33">
        <f t="shared" si="62"/>
        <v>5283900</v>
      </c>
      <c r="J116" s="33">
        <f t="shared" si="62"/>
        <v>5911300</v>
      </c>
      <c r="K116" s="33">
        <f t="shared" si="62"/>
        <v>6455300</v>
      </c>
      <c r="L116" s="33">
        <f t="shared" si="62"/>
        <v>6999700</v>
      </c>
      <c r="M116" s="33">
        <f t="shared" si="62"/>
        <v>7626900</v>
      </c>
      <c r="N116" s="33">
        <f t="shared" si="62"/>
        <v>8299300</v>
      </c>
      <c r="O116" s="33">
        <f t="shared" si="62"/>
        <v>9125200</v>
      </c>
      <c r="P116" s="114">
        <f t="shared" ref="P116" si="63">P104</f>
        <v>9912200</v>
      </c>
    </row>
    <row r="117" spans="1:16" x14ac:dyDescent="0.2">
      <c r="A117" s="107">
        <f>-A51+A35</f>
        <v>8662100</v>
      </c>
      <c r="B117" s="33">
        <f>-B51+B35</f>
        <v>4753300</v>
      </c>
      <c r="C117" s="33">
        <f>-C51+C35</f>
        <v>2082400</v>
      </c>
      <c r="D117" s="35" t="s">
        <v>4515</v>
      </c>
      <c r="E117" s="168"/>
      <c r="F117" s="33">
        <f t="shared" ref="F117:O117" si="64">-F51+F35</f>
        <v>2827100</v>
      </c>
      <c r="G117" s="33">
        <f t="shared" si="64"/>
        <v>1463200</v>
      </c>
      <c r="H117" s="33">
        <f t="shared" si="64"/>
        <v>-1806100</v>
      </c>
      <c r="I117" s="33">
        <f t="shared" si="64"/>
        <v>-2921200</v>
      </c>
      <c r="J117" s="33">
        <f t="shared" si="64"/>
        <v>-280000</v>
      </c>
      <c r="K117" s="33">
        <f t="shared" si="64"/>
        <v>-477900</v>
      </c>
      <c r="L117" s="33">
        <f t="shared" si="64"/>
        <v>-1100800</v>
      </c>
      <c r="M117" s="33">
        <f t="shared" si="64"/>
        <v>-5018300</v>
      </c>
      <c r="N117" s="33">
        <f t="shared" si="64"/>
        <v>-5568700</v>
      </c>
      <c r="O117" s="33">
        <f t="shared" si="64"/>
        <v>-6171800</v>
      </c>
      <c r="P117" s="114">
        <f t="shared" ref="P117" si="65">-P51+P35</f>
        <v>-6917200</v>
      </c>
    </row>
    <row r="118" spans="1:16" x14ac:dyDescent="0.2">
      <c r="A118" s="107">
        <f>A44+A45+A34</f>
        <v>-682900</v>
      </c>
      <c r="B118" s="33">
        <f>B44+B45+B34</f>
        <v>-1119900</v>
      </c>
      <c r="C118" s="33">
        <f>C44+C45+C34</f>
        <v>-1641300</v>
      </c>
      <c r="D118" s="99" t="s">
        <v>1161</v>
      </c>
      <c r="E118" s="168"/>
      <c r="F118" s="33">
        <f t="shared" ref="F118:O118" si="66">F44+F45+F34</f>
        <v>1177600</v>
      </c>
      <c r="G118" s="33">
        <f t="shared" si="66"/>
        <v>1072400</v>
      </c>
      <c r="H118" s="33">
        <f t="shared" si="66"/>
        <v>3264500</v>
      </c>
      <c r="I118" s="33">
        <f t="shared" si="66"/>
        <v>5627000</v>
      </c>
      <c r="J118" s="33">
        <f t="shared" si="66"/>
        <v>1586500</v>
      </c>
      <c r="K118" s="33">
        <f t="shared" si="66"/>
        <v>-333300</v>
      </c>
      <c r="L118" s="33">
        <f t="shared" si="66"/>
        <v>233200</v>
      </c>
      <c r="M118" s="33">
        <f t="shared" si="66"/>
        <v>-223600</v>
      </c>
      <c r="N118" s="33">
        <f t="shared" si="66"/>
        <v>-169600</v>
      </c>
      <c r="O118" s="33">
        <f t="shared" si="66"/>
        <v>-116400</v>
      </c>
      <c r="P118" s="114">
        <f t="shared" ref="P118" si="67">P44+P45+P34</f>
        <v>-60000</v>
      </c>
    </row>
    <row r="119" spans="1:16" x14ac:dyDescent="0.2">
      <c r="A119" s="107">
        <f>A17+A18</f>
        <v>1351900</v>
      </c>
      <c r="B119" s="33">
        <f>B17+B18</f>
        <v>1385900</v>
      </c>
      <c r="C119" s="33">
        <f>C17+C18</f>
        <v>1724500</v>
      </c>
      <c r="D119" s="99" t="s">
        <v>2718</v>
      </c>
      <c r="E119" s="168"/>
      <c r="F119" s="33">
        <f t="shared" ref="F119:O119" si="68">F17+F18</f>
        <v>1300000</v>
      </c>
      <c r="G119" s="33">
        <f t="shared" si="68"/>
        <v>1500000</v>
      </c>
      <c r="H119" s="33">
        <f t="shared" si="68"/>
        <v>1530000</v>
      </c>
      <c r="I119" s="33">
        <f t="shared" si="68"/>
        <v>1570000</v>
      </c>
      <c r="J119" s="33">
        <f t="shared" si="68"/>
        <v>1610000</v>
      </c>
      <c r="K119" s="33">
        <f t="shared" si="68"/>
        <v>1660000</v>
      </c>
      <c r="L119" s="33">
        <f t="shared" si="68"/>
        <v>1700000</v>
      </c>
      <c r="M119" s="33">
        <f t="shared" si="68"/>
        <v>1740000</v>
      </c>
      <c r="N119" s="33">
        <f t="shared" si="68"/>
        <v>1780000</v>
      </c>
      <c r="O119" s="33">
        <f t="shared" si="68"/>
        <v>1820000</v>
      </c>
      <c r="P119" s="114">
        <f t="shared" ref="P119" si="69">P17+P18</f>
        <v>1860000</v>
      </c>
    </row>
    <row r="120" spans="1:16" x14ac:dyDescent="0.2">
      <c r="A120" s="107">
        <f>A36</f>
        <v>690000</v>
      </c>
      <c r="B120" s="33">
        <f>B36</f>
        <v>0</v>
      </c>
      <c r="C120" s="33">
        <f>C36</f>
        <v>0</v>
      </c>
      <c r="D120" s="99" t="s">
        <v>272</v>
      </c>
      <c r="E120" s="168"/>
      <c r="F120" s="33">
        <f t="shared" ref="F120:O120" si="70">F36</f>
        <v>0</v>
      </c>
      <c r="G120" s="33">
        <f t="shared" si="70"/>
        <v>0</v>
      </c>
      <c r="H120" s="33">
        <f t="shared" si="70"/>
        <v>0</v>
      </c>
      <c r="I120" s="33">
        <f t="shared" si="70"/>
        <v>0</v>
      </c>
      <c r="J120" s="33">
        <f t="shared" si="70"/>
        <v>0</v>
      </c>
      <c r="K120" s="33">
        <f t="shared" si="70"/>
        <v>0</v>
      </c>
      <c r="L120" s="33">
        <f t="shared" si="70"/>
        <v>0</v>
      </c>
      <c r="M120" s="33">
        <f t="shared" si="70"/>
        <v>0</v>
      </c>
      <c r="N120" s="33">
        <f t="shared" si="70"/>
        <v>0</v>
      </c>
      <c r="O120" s="33">
        <f t="shared" si="70"/>
        <v>0</v>
      </c>
      <c r="P120" s="114">
        <f t="shared" ref="P120" si="71">P36</f>
        <v>0</v>
      </c>
    </row>
    <row r="121" spans="1:16" s="118" customFormat="1" x14ac:dyDescent="0.2">
      <c r="A121" s="292">
        <f>SUM(A116:A120)</f>
        <v>10496900</v>
      </c>
      <c r="B121" s="116">
        <f>SUM(B116:B120)</f>
        <v>6508300</v>
      </c>
      <c r="C121" s="116">
        <f>SUM(C116:C120)</f>
        <v>5060600</v>
      </c>
      <c r="D121" s="145" t="s">
        <v>1530</v>
      </c>
      <c r="E121" s="145"/>
      <c r="F121" s="116">
        <f t="shared" ref="F121:M121" si="72">SUM(F116:F120)</f>
        <v>8749900</v>
      </c>
      <c r="G121" s="116">
        <f t="shared" si="72"/>
        <v>8342600</v>
      </c>
      <c r="H121" s="116">
        <f t="shared" si="72"/>
        <v>7866000</v>
      </c>
      <c r="I121" s="116">
        <f t="shared" si="72"/>
        <v>9559700</v>
      </c>
      <c r="J121" s="116">
        <f t="shared" si="72"/>
        <v>8827800</v>
      </c>
      <c r="K121" s="116">
        <f t="shared" si="72"/>
        <v>7304100</v>
      </c>
      <c r="L121" s="116">
        <f t="shared" si="72"/>
        <v>7832100</v>
      </c>
      <c r="M121" s="116">
        <f t="shared" si="72"/>
        <v>4125000</v>
      </c>
      <c r="N121" s="116">
        <f t="shared" ref="N121:O121" si="73">SUM(N116:N120)</f>
        <v>4341000</v>
      </c>
      <c r="O121" s="116">
        <f t="shared" si="73"/>
        <v>4657000</v>
      </c>
      <c r="P121" s="159">
        <f t="shared" ref="P121" si="74">SUM(P116:P120)</f>
        <v>4795000</v>
      </c>
    </row>
    <row r="122" spans="1:16" x14ac:dyDescent="0.2">
      <c r="A122" s="107"/>
      <c r="B122" s="33"/>
      <c r="C122" s="33"/>
      <c r="D122" s="99"/>
      <c r="E122" s="78"/>
      <c r="F122" s="33"/>
      <c r="G122" s="33"/>
      <c r="H122" s="33"/>
      <c r="I122" s="33"/>
      <c r="J122" s="33"/>
      <c r="K122" s="33"/>
      <c r="L122" s="33"/>
      <c r="M122" s="33"/>
      <c r="N122" s="33"/>
      <c r="O122" s="33"/>
      <c r="P122" s="114"/>
    </row>
    <row r="123" spans="1:16" x14ac:dyDescent="0.2">
      <c r="A123" s="107">
        <f>A121-A113+A122</f>
        <v>0</v>
      </c>
      <c r="B123" s="33">
        <f>B121-B113+B122</f>
        <v>0</v>
      </c>
      <c r="C123" s="33">
        <f>C121-C113+C122</f>
        <v>0</v>
      </c>
      <c r="D123" s="99" t="s">
        <v>1189</v>
      </c>
      <c r="E123" s="78"/>
      <c r="F123" s="33">
        <f t="shared" ref="F123:M123" si="75">F121-F113+F122</f>
        <v>0</v>
      </c>
      <c r="G123" s="33">
        <f t="shared" si="75"/>
        <v>0</v>
      </c>
      <c r="H123" s="33">
        <f t="shared" si="75"/>
        <v>0</v>
      </c>
      <c r="I123" s="33">
        <f t="shared" si="75"/>
        <v>0</v>
      </c>
      <c r="J123" s="33">
        <f t="shared" si="75"/>
        <v>0</v>
      </c>
      <c r="K123" s="33">
        <f t="shared" si="75"/>
        <v>0</v>
      </c>
      <c r="L123" s="33">
        <f t="shared" si="75"/>
        <v>0</v>
      </c>
      <c r="M123" s="33">
        <f t="shared" si="75"/>
        <v>0</v>
      </c>
      <c r="N123" s="33">
        <f t="shared" ref="N123:O123" si="76">N121-N113+N122</f>
        <v>0</v>
      </c>
      <c r="O123" s="33">
        <f t="shared" si="76"/>
        <v>0</v>
      </c>
      <c r="P123" s="114">
        <f t="shared" ref="P123" si="77">P121-P113+P122</f>
        <v>0</v>
      </c>
    </row>
    <row r="124" spans="1:16" x14ac:dyDescent="0.2">
      <c r="A124" s="107"/>
      <c r="B124" s="33"/>
      <c r="C124" s="33"/>
      <c r="D124" s="99"/>
      <c r="E124" s="78"/>
      <c r="F124" s="33"/>
      <c r="G124" s="33"/>
      <c r="H124" s="33"/>
      <c r="I124" s="33"/>
      <c r="J124" s="33"/>
      <c r="K124" s="33"/>
      <c r="L124" s="33"/>
      <c r="M124" s="33"/>
      <c r="N124" s="33"/>
      <c r="O124" s="33"/>
      <c r="P124" s="114"/>
    </row>
    <row r="125" spans="1:16" ht="13.5" thickBot="1" x14ac:dyDescent="0.25">
      <c r="A125" s="171"/>
      <c r="B125" s="66"/>
      <c r="C125" s="66"/>
      <c r="D125" s="174"/>
      <c r="E125" s="302"/>
      <c r="F125" s="66"/>
      <c r="G125" s="66"/>
      <c r="H125" s="66"/>
      <c r="I125" s="66"/>
      <c r="J125" s="66"/>
      <c r="K125" s="66"/>
      <c r="L125" s="66"/>
      <c r="M125" s="66"/>
      <c r="N125" s="66"/>
      <c r="O125" s="66"/>
      <c r="P125" s="165"/>
    </row>
    <row r="126" spans="1:16" ht="13.5" thickTop="1" x14ac:dyDescent="0.2">
      <c r="C126" s="84"/>
    </row>
    <row r="127" spans="1:16" x14ac:dyDescent="0.2">
      <c r="C127" s="84"/>
    </row>
    <row r="128" spans="1:16" x14ac:dyDescent="0.2">
      <c r="C128" s="84"/>
    </row>
    <row r="129" spans="3:3" x14ac:dyDescent="0.2">
      <c r="C129" s="84"/>
    </row>
    <row r="301" spans="3:3" x14ac:dyDescent="0.2">
      <c r="C301" s="84"/>
    </row>
    <row r="302" spans="3:3" x14ac:dyDescent="0.2">
      <c r="C302" s="84"/>
    </row>
  </sheetData>
  <mergeCells count="12">
    <mergeCell ref="A2:C2"/>
    <mergeCell ref="A1:P1"/>
    <mergeCell ref="F2:P2"/>
    <mergeCell ref="F74:P74"/>
    <mergeCell ref="A82:P82"/>
    <mergeCell ref="F83:P83"/>
    <mergeCell ref="A92:P92"/>
    <mergeCell ref="A54:P54"/>
    <mergeCell ref="F55:P55"/>
    <mergeCell ref="F64:P64"/>
    <mergeCell ref="A63:P63"/>
    <mergeCell ref="A73:P73"/>
  </mergeCells>
  <phoneticPr fontId="9" type="noConversion"/>
  <printOptions horizontalCentered="1" verticalCentered="1"/>
  <pageMargins left="0" right="0.39370078740157483" top="0" bottom="0" header="0" footer="0"/>
  <pageSetup paperSize="9" orientation="portrait" horizontalDpi="4294967292" verticalDpi="36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D107"/>
  <sheetViews>
    <sheetView workbookViewId="0">
      <selection activeCell="P31" sqref="P31"/>
    </sheetView>
  </sheetViews>
  <sheetFormatPr defaultColWidth="9.140625" defaultRowHeight="12.75" x14ac:dyDescent="0.2"/>
  <cols>
    <col min="1" max="1" width="15.85546875" style="850" bestFit="1" customWidth="1"/>
    <col min="2" max="2" width="15" style="850" bestFit="1" customWidth="1"/>
    <col min="3" max="3" width="10.7109375" style="850" customWidth="1"/>
    <col min="4" max="4" width="10" style="850" customWidth="1"/>
    <col min="5" max="5" width="8.140625" style="850" customWidth="1"/>
    <col min="6" max="8" width="11.85546875" style="850" customWidth="1"/>
    <col min="9" max="9" width="9.140625" style="850"/>
    <col min="10" max="10" width="8.140625" style="850" customWidth="1"/>
    <col min="11" max="22" width="9.140625" style="850"/>
    <col min="23" max="24" width="10.28515625" style="850" bestFit="1" customWidth="1"/>
    <col min="25" max="16384" width="9.140625" style="850"/>
  </cols>
  <sheetData>
    <row r="1" spans="1:30" x14ac:dyDescent="0.2">
      <c r="J1" s="390"/>
    </row>
    <row r="2" spans="1:30" s="390" customFormat="1" x14ac:dyDescent="0.2">
      <c r="D2" s="2997" t="s">
        <v>1166</v>
      </c>
      <c r="E2" s="2997"/>
      <c r="F2" s="2997" t="s">
        <v>1167</v>
      </c>
      <c r="G2" s="2997"/>
      <c r="H2" s="2997" t="s">
        <v>888</v>
      </c>
      <c r="I2" s="2997"/>
      <c r="J2" s="2997" t="s">
        <v>502</v>
      </c>
      <c r="K2" s="2997"/>
      <c r="L2" s="2997"/>
      <c r="M2" s="2997"/>
      <c r="N2" s="2997"/>
      <c r="O2" s="2997"/>
      <c r="P2" s="1617"/>
      <c r="Q2" s="2091"/>
      <c r="R2" s="2655"/>
      <c r="S2" s="2997"/>
      <c r="T2" s="2997"/>
      <c r="U2" s="2997"/>
      <c r="V2" s="2997"/>
      <c r="W2" s="2997"/>
      <c r="X2" s="2997"/>
      <c r="Y2" s="2997"/>
      <c r="Z2" s="2997"/>
      <c r="AA2" s="2997"/>
      <c r="AB2" s="2997"/>
      <c r="AC2" s="2997"/>
      <c r="AD2" s="2997"/>
    </row>
    <row r="3" spans="1:30" x14ac:dyDescent="0.2">
      <c r="A3" s="390"/>
      <c r="B3" s="390"/>
      <c r="C3" s="390"/>
    </row>
    <row r="4" spans="1:30" x14ac:dyDescent="0.2">
      <c r="A4" s="390" t="s">
        <v>1279</v>
      </c>
      <c r="B4" s="390" t="s">
        <v>1280</v>
      </c>
      <c r="C4" s="390" t="s">
        <v>1978</v>
      </c>
      <c r="D4" s="390" t="s">
        <v>2604</v>
      </c>
      <c r="E4" s="390" t="s">
        <v>2671</v>
      </c>
      <c r="F4" s="390" t="str">
        <f>D4</f>
        <v>Principal</v>
      </c>
      <c r="G4" s="390" t="str">
        <f>E4</f>
        <v>Interest</v>
      </c>
      <c r="H4" s="390" t="str">
        <f t="shared" ref="H4:K4" si="0">F4</f>
        <v>Principal</v>
      </c>
      <c r="I4" s="390" t="str">
        <f t="shared" si="0"/>
        <v>Interest</v>
      </c>
      <c r="J4" s="390" t="str">
        <f t="shared" si="0"/>
        <v>Principal</v>
      </c>
      <c r="K4" s="390" t="str">
        <f t="shared" si="0"/>
        <v>Interest</v>
      </c>
      <c r="L4" s="390"/>
      <c r="M4" s="390"/>
      <c r="N4" s="390"/>
      <c r="O4" s="390"/>
      <c r="P4" s="390"/>
      <c r="Q4" s="390"/>
      <c r="R4" s="390"/>
      <c r="S4" s="390"/>
      <c r="T4" s="390"/>
      <c r="U4" s="390"/>
      <c r="V4" s="390"/>
      <c r="W4" s="390"/>
      <c r="X4" s="390"/>
      <c r="Y4" s="390"/>
      <c r="Z4" s="390"/>
      <c r="AA4" s="390"/>
      <c r="AB4" s="390"/>
      <c r="AC4" s="390"/>
      <c r="AD4" s="390"/>
    </row>
    <row r="5" spans="1:30" hidden="1" x14ac:dyDescent="0.2">
      <c r="A5" s="850">
        <v>65</v>
      </c>
      <c r="B5" s="850" t="s">
        <v>1773</v>
      </c>
      <c r="C5" s="851">
        <v>28306</v>
      </c>
    </row>
    <row r="6" spans="1:30" x14ac:dyDescent="0.2">
      <c r="C6" s="851"/>
    </row>
    <row r="7" spans="1:30" x14ac:dyDescent="0.2">
      <c r="A7" s="503"/>
      <c r="C7" s="851"/>
      <c r="D7" s="852"/>
      <c r="E7" s="852"/>
    </row>
    <row r="8" spans="1:30" x14ac:dyDescent="0.2">
      <c r="A8" s="248" t="s">
        <v>1930</v>
      </c>
      <c r="B8" s="390" t="s">
        <v>1929</v>
      </c>
      <c r="C8" s="389"/>
      <c r="D8" s="852"/>
      <c r="E8" s="852"/>
    </row>
    <row r="9" spans="1:30" s="1036" customFormat="1" x14ac:dyDescent="0.2">
      <c r="A9" s="1084">
        <v>4000</v>
      </c>
      <c r="B9" s="1039" t="s">
        <v>103</v>
      </c>
      <c r="C9" s="1085">
        <v>41320</v>
      </c>
      <c r="D9" s="854">
        <v>3554</v>
      </c>
      <c r="E9" s="854">
        <v>302</v>
      </c>
      <c r="F9" s="854">
        <v>3766</v>
      </c>
      <c r="G9" s="854">
        <v>84</v>
      </c>
      <c r="H9" s="854">
        <v>0</v>
      </c>
      <c r="I9" s="854">
        <v>0</v>
      </c>
      <c r="J9" s="854">
        <v>0</v>
      </c>
      <c r="K9" s="854">
        <v>0</v>
      </c>
      <c r="L9" s="854"/>
      <c r="M9" s="854"/>
      <c r="N9" s="854"/>
      <c r="O9" s="854"/>
      <c r="P9" s="854"/>
      <c r="Q9" s="854"/>
      <c r="R9" s="854"/>
    </row>
    <row r="11" spans="1:30" x14ac:dyDescent="0.2">
      <c r="B11" s="850" t="s">
        <v>873</v>
      </c>
      <c r="D11" s="853">
        <v>7320</v>
      </c>
      <c r="F11" s="853">
        <f>D14</f>
        <v>3766</v>
      </c>
      <c r="H11" s="853" t="e">
        <f>F14</f>
        <v>#REF!</v>
      </c>
      <c r="J11" s="853" t="e">
        <f>H14</f>
        <v>#REF!</v>
      </c>
    </row>
    <row r="12" spans="1:30" x14ac:dyDescent="0.2">
      <c r="B12" s="850" t="s">
        <v>2724</v>
      </c>
      <c r="D12" s="853">
        <f>D9</f>
        <v>3554</v>
      </c>
      <c r="F12" s="853">
        <f>F9</f>
        <v>3766</v>
      </c>
      <c r="H12" s="853">
        <f>H9</f>
        <v>0</v>
      </c>
      <c r="J12" s="853">
        <f>J9</f>
        <v>0</v>
      </c>
    </row>
    <row r="13" spans="1:30" x14ac:dyDescent="0.2">
      <c r="B13" s="850" t="s">
        <v>754</v>
      </c>
      <c r="D13" s="855">
        <v>0</v>
      </c>
      <c r="F13" s="853" t="e">
        <f>'Cap-Water'!#REF!</f>
        <v>#REF!</v>
      </c>
      <c r="H13" s="853" t="e">
        <f>'Cap-Water'!#REF!</f>
        <v>#REF!</v>
      </c>
      <c r="J13" s="853">
        <f>'Cap-Water'!S68</f>
        <v>0</v>
      </c>
    </row>
    <row r="14" spans="1:30" s="390" customFormat="1" ht="13.5" thickBot="1" x14ac:dyDescent="0.25">
      <c r="B14" s="390" t="s">
        <v>874</v>
      </c>
      <c r="D14" s="803">
        <f>D11-D12+D13</f>
        <v>3766</v>
      </c>
      <c r="F14" s="803" t="e">
        <f>F11-F12+F13</f>
        <v>#REF!</v>
      </c>
      <c r="H14" s="803" t="e">
        <f>H11-H12+H13</f>
        <v>#REF!</v>
      </c>
      <c r="J14" s="803" t="e">
        <f>J11-J12+J13</f>
        <v>#REF!</v>
      </c>
      <c r="L14" s="850"/>
      <c r="M14" s="850"/>
      <c r="N14" s="850"/>
      <c r="O14" s="850"/>
      <c r="P14" s="850"/>
      <c r="Q14" s="850"/>
      <c r="R14" s="850"/>
      <c r="S14" s="850"/>
      <c r="T14" s="850"/>
      <c r="U14" s="850"/>
      <c r="V14" s="850"/>
      <c r="W14" s="850"/>
      <c r="X14" s="850"/>
    </row>
    <row r="15" spans="1:30" ht="13.5" thickTop="1" x14ac:dyDescent="0.2">
      <c r="J15" s="390"/>
    </row>
    <row r="18" spans="1:19" ht="13.5" thickBot="1" x14ac:dyDescent="0.25"/>
    <row r="19" spans="1:19" s="133" customFormat="1" ht="18.75" customHeight="1" thickTop="1" thickBot="1" x14ac:dyDescent="0.25">
      <c r="A19" s="2994" t="s">
        <v>2266</v>
      </c>
      <c r="B19" s="2995"/>
      <c r="C19" s="2995"/>
      <c r="D19" s="2995"/>
      <c r="E19" s="2995"/>
      <c r="F19" s="2995"/>
      <c r="G19" s="2995"/>
      <c r="H19" s="2995"/>
      <c r="I19" s="2995"/>
      <c r="J19" s="2995"/>
      <c r="K19" s="2995"/>
      <c r="L19" s="2995"/>
      <c r="M19" s="2995"/>
      <c r="N19" s="2995"/>
      <c r="O19" s="2995"/>
      <c r="P19" s="2995"/>
      <c r="Q19" s="2995"/>
      <c r="R19" s="2995"/>
      <c r="S19" s="2996"/>
    </row>
    <row r="20" spans="1:19" s="133" customFormat="1" ht="13.5" thickBot="1" x14ac:dyDescent="0.25">
      <c r="A20" s="822" t="s">
        <v>422</v>
      </c>
      <c r="B20" s="428" t="s">
        <v>2267</v>
      </c>
      <c r="C20" s="428" t="s">
        <v>2268</v>
      </c>
      <c r="D20" s="429" t="s">
        <v>2269</v>
      </c>
      <c r="E20" s="1301" t="s">
        <v>943</v>
      </c>
      <c r="F20" s="651" t="str">
        <f>'Cash-W'!B3</f>
        <v>2014/15</v>
      </c>
      <c r="G20" s="75" t="str">
        <f>LTFP!C237</f>
        <v>2015/16</v>
      </c>
      <c r="H20" s="75" t="str">
        <f>LTFP!E237</f>
        <v>2016/17</v>
      </c>
      <c r="I20" s="75" t="str">
        <f>LTFP!G237</f>
        <v>2017/18</v>
      </c>
      <c r="J20" s="75" t="str">
        <f>LTFP!H237</f>
        <v>2018/19</v>
      </c>
      <c r="K20" s="75" t="str">
        <f>LTFP!I237</f>
        <v>2019/20</v>
      </c>
      <c r="L20" s="75" t="str">
        <f>LTFP!J237</f>
        <v>2020/21</v>
      </c>
      <c r="M20" s="75" t="str">
        <f>LTFP!K237</f>
        <v>2021/22</v>
      </c>
      <c r="N20" s="75" t="str">
        <f>LTFP!L237</f>
        <v>2022/23</v>
      </c>
      <c r="O20" s="75" t="str">
        <f>LTFP!M237</f>
        <v>2023/24</v>
      </c>
      <c r="P20" s="75" t="str">
        <f>LTFP!N237</f>
        <v>2024/25</v>
      </c>
      <c r="Q20" s="1709" t="str">
        <f>LTFP!O237</f>
        <v>2025/26</v>
      </c>
      <c r="R20" s="1709" t="str">
        <f>LTFP!P237</f>
        <v>2026/27</v>
      </c>
      <c r="S20" s="823" t="s">
        <v>2662</v>
      </c>
    </row>
    <row r="21" spans="1:19" s="133" customFormat="1" x14ac:dyDescent="0.2">
      <c r="A21" s="824"/>
      <c r="B21" s="132"/>
      <c r="C21" s="132"/>
      <c r="D21" s="825"/>
      <c r="E21" s="130"/>
      <c r="F21" s="130"/>
      <c r="G21" s="130"/>
      <c r="H21" s="132"/>
      <c r="I21" s="130"/>
      <c r="J21" s="132"/>
      <c r="K21" s="132"/>
      <c r="L21" s="132"/>
      <c r="M21" s="132"/>
      <c r="N21" s="132"/>
      <c r="O21" s="132"/>
      <c r="P21" s="132"/>
      <c r="Q21" s="830"/>
      <c r="R21" s="830"/>
      <c r="S21" s="131"/>
    </row>
    <row r="22" spans="1:19" s="133" customFormat="1" x14ac:dyDescent="0.2">
      <c r="A22" s="826" t="s">
        <v>550</v>
      </c>
      <c r="B22" s="827" t="s">
        <v>860</v>
      </c>
      <c r="C22" s="828" t="s">
        <v>860</v>
      </c>
      <c r="D22" s="829" t="s">
        <v>860</v>
      </c>
      <c r="E22" s="130">
        <v>0</v>
      </c>
      <c r="F22" s="130">
        <f>ROUND(H9+I9,-2)</f>
        <v>0</v>
      </c>
      <c r="G22" s="132">
        <v>0</v>
      </c>
      <c r="H22" s="132"/>
      <c r="I22" s="130"/>
      <c r="J22" s="132"/>
      <c r="K22" s="132"/>
      <c r="L22" s="132"/>
      <c r="M22" s="132"/>
      <c r="N22" s="132"/>
      <c r="O22" s="132"/>
      <c r="P22" s="132"/>
      <c r="Q22" s="830"/>
      <c r="R22" s="830"/>
      <c r="S22" s="131">
        <f>SUM(F22:P22)</f>
        <v>0</v>
      </c>
    </row>
    <row r="23" spans="1:19" s="133" customFormat="1" x14ac:dyDescent="0.2">
      <c r="A23" s="857" t="str">
        <f>E$20</f>
        <v>2013/14</v>
      </c>
      <c r="B23" s="827">
        <v>20</v>
      </c>
      <c r="C23" s="828">
        <f>Assumptions!D$15</f>
        <v>0.06</v>
      </c>
      <c r="D23" s="829" t="e">
        <f>'Cap-Water'!#REF!</f>
        <v>#REF!</v>
      </c>
      <c r="E23" s="130"/>
      <c r="F23" s="132" t="e">
        <f>ROUND(-PMT(C23,B23,D23),-3)</f>
        <v>#REF!</v>
      </c>
      <c r="G23" s="132" t="e">
        <f>F23</f>
        <v>#REF!</v>
      </c>
      <c r="H23" s="130"/>
      <c r="I23" s="132"/>
      <c r="J23" s="132"/>
      <c r="K23" s="132"/>
      <c r="L23" s="132"/>
      <c r="M23" s="132"/>
      <c r="N23" s="132"/>
      <c r="O23" s="132"/>
      <c r="P23" s="132"/>
      <c r="Q23" s="830"/>
      <c r="R23" s="830"/>
      <c r="S23" s="131" t="e">
        <f t="shared" ref="S23:S33" si="1">SUM(F23:P23)</f>
        <v>#REF!</v>
      </c>
    </row>
    <row r="24" spans="1:19" s="133" customFormat="1" x14ac:dyDescent="0.2">
      <c r="A24" s="857" t="str">
        <f>F$20</f>
        <v>2014/15</v>
      </c>
      <c r="B24" s="827">
        <f>B23</f>
        <v>20</v>
      </c>
      <c r="C24" s="828">
        <f>Assumptions!E$15</f>
        <v>0.06</v>
      </c>
      <c r="D24" s="829" t="e">
        <f>'Cap-Water'!#REF!</f>
        <v>#REF!</v>
      </c>
      <c r="E24" s="130"/>
      <c r="F24" s="132"/>
      <c r="G24" s="132" t="e">
        <f>ROUND(-PMT(C24,B24,D24),-3)</f>
        <v>#REF!</v>
      </c>
      <c r="H24" s="130"/>
      <c r="I24" s="132"/>
      <c r="J24" s="132"/>
      <c r="K24" s="132"/>
      <c r="L24" s="132"/>
      <c r="M24" s="132"/>
      <c r="N24" s="132"/>
      <c r="O24" s="132"/>
      <c r="P24" s="132"/>
      <c r="Q24" s="830"/>
      <c r="R24" s="830"/>
      <c r="S24" s="131" t="e">
        <f t="shared" si="1"/>
        <v>#REF!</v>
      </c>
    </row>
    <row r="25" spans="1:19" s="133" customFormat="1" x14ac:dyDescent="0.2">
      <c r="A25" s="857" t="str">
        <f>G$20</f>
        <v>2015/16</v>
      </c>
      <c r="B25" s="827">
        <f t="shared" ref="B25:B33" si="2">B24</f>
        <v>20</v>
      </c>
      <c r="C25" s="828">
        <f>Assumptions!F$15</f>
        <v>0.06</v>
      </c>
      <c r="D25" s="829">
        <f>'Cap-Water'!S$68</f>
        <v>0</v>
      </c>
      <c r="E25" s="130"/>
      <c r="F25" s="132"/>
      <c r="G25" s="132"/>
      <c r="H25" s="132"/>
      <c r="I25" s="132"/>
      <c r="J25" s="132"/>
      <c r="K25" s="132"/>
      <c r="L25" s="132"/>
      <c r="M25" s="132"/>
      <c r="N25" s="132"/>
      <c r="O25" s="132"/>
      <c r="P25" s="132"/>
      <c r="Q25" s="830"/>
      <c r="R25" s="830"/>
      <c r="S25" s="131">
        <f t="shared" si="1"/>
        <v>0</v>
      </c>
    </row>
    <row r="26" spans="1:19" s="133" customFormat="1" x14ac:dyDescent="0.2">
      <c r="A26" s="857" t="str">
        <f>H$20</f>
        <v>2016/17</v>
      </c>
      <c r="B26" s="827">
        <f t="shared" si="2"/>
        <v>20</v>
      </c>
      <c r="C26" s="828">
        <f>Assumptions!G$15</f>
        <v>0.06</v>
      </c>
      <c r="D26" s="829">
        <f>'Cap-Water'!W$68</f>
        <v>0</v>
      </c>
      <c r="E26" s="130"/>
      <c r="F26" s="130"/>
      <c r="G26" s="132"/>
      <c r="H26" s="132"/>
      <c r="I26" s="132"/>
      <c r="K26" s="132"/>
      <c r="L26" s="132"/>
      <c r="M26" s="132"/>
      <c r="N26" s="132"/>
      <c r="O26" s="132"/>
      <c r="P26" s="132"/>
      <c r="Q26" s="830"/>
      <c r="R26" s="830"/>
      <c r="S26" s="131">
        <f t="shared" si="1"/>
        <v>0</v>
      </c>
    </row>
    <row r="27" spans="1:19" s="133" customFormat="1" x14ac:dyDescent="0.2">
      <c r="A27" s="857" t="str">
        <f>I$20</f>
        <v>2017/18</v>
      </c>
      <c r="B27" s="827">
        <f t="shared" si="2"/>
        <v>20</v>
      </c>
      <c r="C27" s="828">
        <f>Assumptions!H$15</f>
        <v>0.06</v>
      </c>
      <c r="D27" s="829">
        <f>'Cap-Water'!AA$68</f>
        <v>0</v>
      </c>
      <c r="E27" s="130"/>
      <c r="F27" s="130"/>
      <c r="G27" s="132"/>
      <c r="H27" s="132"/>
      <c r="I27" s="130"/>
      <c r="J27" s="132"/>
      <c r="L27" s="132"/>
      <c r="M27" s="132"/>
      <c r="N27" s="132"/>
      <c r="O27" s="132"/>
      <c r="P27" s="132"/>
      <c r="Q27" s="830"/>
      <c r="R27" s="830"/>
      <c r="S27" s="131">
        <f t="shared" si="1"/>
        <v>0</v>
      </c>
    </row>
    <row r="28" spans="1:19" s="133" customFormat="1" x14ac:dyDescent="0.2">
      <c r="A28" s="857" t="str">
        <f>J$20</f>
        <v>2018/19</v>
      </c>
      <c r="B28" s="827">
        <f t="shared" si="2"/>
        <v>20</v>
      </c>
      <c r="C28" s="828">
        <f>Assumptions!I$15</f>
        <v>0.06</v>
      </c>
      <c r="D28" s="829">
        <f>'Cap-Water'!AE$68</f>
        <v>0</v>
      </c>
      <c r="E28" s="130"/>
      <c r="F28" s="130"/>
      <c r="G28" s="132"/>
      <c r="H28" s="132"/>
      <c r="I28" s="130"/>
      <c r="J28" s="132"/>
      <c r="K28" s="132"/>
      <c r="M28" s="132"/>
      <c r="N28" s="132"/>
      <c r="O28" s="132"/>
      <c r="P28" s="132"/>
      <c r="Q28" s="830"/>
      <c r="R28" s="830"/>
      <c r="S28" s="131">
        <f t="shared" si="1"/>
        <v>0</v>
      </c>
    </row>
    <row r="29" spans="1:19" s="133" customFormat="1" x14ac:dyDescent="0.2">
      <c r="A29" s="857" t="str">
        <f>K$20</f>
        <v>2019/20</v>
      </c>
      <c r="B29" s="827">
        <f t="shared" si="2"/>
        <v>20</v>
      </c>
      <c r="C29" s="828">
        <f>Assumptions!J$15</f>
        <v>0.06</v>
      </c>
      <c r="D29" s="829">
        <f>'Cap-Water'!AI$68</f>
        <v>0</v>
      </c>
      <c r="E29" s="130"/>
      <c r="F29" s="130"/>
      <c r="G29" s="132"/>
      <c r="H29" s="132"/>
      <c r="I29" s="130"/>
      <c r="J29" s="132"/>
      <c r="K29" s="132"/>
      <c r="L29" s="132"/>
      <c r="N29" s="132"/>
      <c r="O29" s="132"/>
      <c r="P29" s="132"/>
      <c r="Q29" s="830"/>
      <c r="R29" s="830"/>
      <c r="S29" s="131">
        <f t="shared" si="1"/>
        <v>0</v>
      </c>
    </row>
    <row r="30" spans="1:19" s="133" customFormat="1" x14ac:dyDescent="0.2">
      <c r="A30" s="857" t="str">
        <f>L$20</f>
        <v>2020/21</v>
      </c>
      <c r="B30" s="827">
        <f t="shared" si="2"/>
        <v>20</v>
      </c>
      <c r="C30" s="828">
        <f>Assumptions!J$15</f>
        <v>0.06</v>
      </c>
      <c r="D30" s="829">
        <f>'Cap-Water'!AM$68</f>
        <v>0</v>
      </c>
      <c r="E30" s="130"/>
      <c r="F30" s="130"/>
      <c r="G30" s="132"/>
      <c r="H30" s="132"/>
      <c r="I30" s="130"/>
      <c r="J30" s="132"/>
      <c r="K30" s="132"/>
      <c r="L30" s="132"/>
      <c r="M30" s="132"/>
      <c r="N30" s="132"/>
      <c r="O30" s="132"/>
      <c r="P30" s="132"/>
      <c r="Q30" s="830"/>
      <c r="R30" s="830"/>
      <c r="S30" s="131">
        <f t="shared" si="1"/>
        <v>0</v>
      </c>
    </row>
    <row r="31" spans="1:19" s="133" customFormat="1" x14ac:dyDescent="0.2">
      <c r="A31" s="857" t="str">
        <f>M$20</f>
        <v>2021/22</v>
      </c>
      <c r="B31" s="827">
        <f t="shared" si="2"/>
        <v>20</v>
      </c>
      <c r="C31" s="828">
        <f>Assumptions!L$15</f>
        <v>0.06</v>
      </c>
      <c r="D31" s="829">
        <f>'Cap-Water'!AQ$68</f>
        <v>0</v>
      </c>
      <c r="E31" s="130"/>
      <c r="F31" s="130"/>
      <c r="G31" s="132"/>
      <c r="H31" s="132"/>
      <c r="I31" s="130"/>
      <c r="J31" s="132"/>
      <c r="K31" s="132"/>
      <c r="L31" s="132"/>
      <c r="M31" s="132"/>
      <c r="N31" s="132"/>
      <c r="O31" s="132"/>
      <c r="P31" s="132"/>
      <c r="Q31" s="830"/>
      <c r="R31" s="830"/>
      <c r="S31" s="131">
        <f t="shared" si="1"/>
        <v>0</v>
      </c>
    </row>
    <row r="32" spans="1:19" s="133" customFormat="1" x14ac:dyDescent="0.2">
      <c r="A32" s="857" t="str">
        <f>N$20</f>
        <v>2022/23</v>
      </c>
      <c r="B32" s="827">
        <f t="shared" si="2"/>
        <v>20</v>
      </c>
      <c r="C32" s="828">
        <f>Assumptions!M$15</f>
        <v>0.06</v>
      </c>
      <c r="D32" s="829">
        <f>'Cap-Water'!AU68</f>
        <v>0</v>
      </c>
      <c r="E32" s="130"/>
      <c r="F32" s="130"/>
      <c r="G32" s="132"/>
      <c r="H32" s="132"/>
      <c r="I32" s="130"/>
      <c r="J32" s="132"/>
      <c r="K32" s="132"/>
      <c r="L32" s="132"/>
      <c r="M32" s="132"/>
      <c r="N32" s="132"/>
      <c r="O32" s="132"/>
      <c r="P32" s="132"/>
      <c r="Q32" s="830"/>
      <c r="R32" s="830"/>
      <c r="S32" s="131">
        <f t="shared" si="1"/>
        <v>0</v>
      </c>
    </row>
    <row r="33" spans="1:19" s="133" customFormat="1" x14ac:dyDescent="0.2">
      <c r="A33" s="857" t="str">
        <f>O$20</f>
        <v>2023/24</v>
      </c>
      <c r="B33" s="827">
        <f t="shared" si="2"/>
        <v>20</v>
      </c>
      <c r="C33" s="828">
        <f>Assumptions!N$15</f>
        <v>0.06</v>
      </c>
      <c r="D33" s="829">
        <f>'Cap-Water'!AY$68</f>
        <v>0</v>
      </c>
      <c r="E33" s="130"/>
      <c r="F33" s="130"/>
      <c r="G33" s="130"/>
      <c r="H33" s="132"/>
      <c r="I33" s="130"/>
      <c r="J33" s="132"/>
      <c r="K33" s="132"/>
      <c r="L33" s="132"/>
      <c r="M33" s="132"/>
      <c r="N33" s="132"/>
      <c r="O33" s="132"/>
      <c r="P33" s="132"/>
      <c r="Q33" s="830"/>
      <c r="R33" s="830"/>
      <c r="S33" s="131">
        <f t="shared" si="1"/>
        <v>0</v>
      </c>
    </row>
    <row r="34" spans="1:19" s="133" customFormat="1" ht="13.5" thickBot="1" x14ac:dyDescent="0.25">
      <c r="A34" s="857"/>
      <c r="B34" s="827"/>
      <c r="C34" s="828"/>
      <c r="D34" s="829"/>
      <c r="E34" s="130"/>
      <c r="F34" s="130"/>
      <c r="G34" s="130"/>
      <c r="H34" s="132"/>
      <c r="I34" s="130"/>
      <c r="J34" s="132"/>
      <c r="K34" s="132"/>
      <c r="L34" s="132"/>
      <c r="M34" s="132"/>
      <c r="N34" s="132"/>
      <c r="O34" s="835"/>
      <c r="P34" s="835"/>
      <c r="Q34" s="849"/>
      <c r="R34" s="849"/>
      <c r="S34" s="131"/>
    </row>
    <row r="35" spans="1:19" s="92" customFormat="1" ht="13.5" thickTop="1" x14ac:dyDescent="0.2">
      <c r="A35" s="820" t="s">
        <v>1530</v>
      </c>
      <c r="B35" s="505"/>
      <c r="C35" s="832"/>
      <c r="D35" s="833" t="e">
        <f>SUM(D23:D32)</f>
        <v>#REF!</v>
      </c>
      <c r="E35" s="122">
        <f>SUM(E22:E32)</f>
        <v>0</v>
      </c>
      <c r="F35" s="122" t="e">
        <f>SUM(F22:F32)</f>
        <v>#REF!</v>
      </c>
      <c r="G35" s="122" t="e">
        <f t="shared" ref="G35:S35" si="3">SUM(G22:G32)</f>
        <v>#REF!</v>
      </c>
      <c r="H35" s="162">
        <f t="shared" si="3"/>
        <v>0</v>
      </c>
      <c r="I35" s="122">
        <f t="shared" si="3"/>
        <v>0</v>
      </c>
      <c r="J35" s="162">
        <f t="shared" si="3"/>
        <v>0</v>
      </c>
      <c r="K35" s="162">
        <f t="shared" si="3"/>
        <v>0</v>
      </c>
      <c r="L35" s="162">
        <f t="shared" si="3"/>
        <v>0</v>
      </c>
      <c r="M35" s="162">
        <f t="shared" si="3"/>
        <v>0</v>
      </c>
      <c r="N35" s="162">
        <f t="shared" si="3"/>
        <v>0</v>
      </c>
      <c r="O35" s="162">
        <f t="shared" si="3"/>
        <v>0</v>
      </c>
      <c r="P35" s="162">
        <f t="shared" ref="P35:Q35" si="4">SUM(P22:P32)</f>
        <v>0</v>
      </c>
      <c r="Q35" s="385">
        <f t="shared" si="4"/>
        <v>0</v>
      </c>
      <c r="R35" s="385">
        <f t="shared" ref="R35" si="5">SUM(R22:R32)</f>
        <v>0</v>
      </c>
      <c r="S35" s="126" t="e">
        <f t="shared" si="3"/>
        <v>#REF!</v>
      </c>
    </row>
    <row r="36" spans="1:19" s="133" customFormat="1" ht="13.5" thickBot="1" x14ac:dyDescent="0.25">
      <c r="A36" s="834"/>
      <c r="B36" s="835"/>
      <c r="C36" s="835"/>
      <c r="D36" s="831"/>
      <c r="E36" s="836"/>
      <c r="F36" s="836"/>
      <c r="G36" s="836"/>
      <c r="H36" s="835"/>
      <c r="I36" s="836"/>
      <c r="J36" s="835"/>
      <c r="K36" s="835"/>
      <c r="L36" s="835"/>
      <c r="M36" s="835"/>
      <c r="N36" s="835"/>
      <c r="O36" s="835"/>
      <c r="P36" s="835"/>
      <c r="Q36" s="849"/>
      <c r="R36" s="849"/>
      <c r="S36" s="837"/>
    </row>
    <row r="37" spans="1:19" s="779" customFormat="1" ht="14.25" thickTop="1" thickBot="1" x14ac:dyDescent="0.25"/>
    <row r="38" spans="1:19" s="133" customFormat="1" ht="18.75" customHeight="1" thickTop="1" thickBot="1" x14ac:dyDescent="0.25">
      <c r="A38" s="2994" t="s">
        <v>1272</v>
      </c>
      <c r="B38" s="2995"/>
      <c r="C38" s="2995"/>
      <c r="D38" s="2995"/>
      <c r="E38" s="2995"/>
      <c r="F38" s="2995"/>
      <c r="G38" s="2995"/>
      <c r="H38" s="2995"/>
      <c r="I38" s="2995"/>
      <c r="J38" s="2995"/>
      <c r="K38" s="2995"/>
      <c r="L38" s="2995"/>
      <c r="M38" s="2995"/>
      <c r="N38" s="2995"/>
      <c r="O38" s="2995"/>
      <c r="P38" s="2995"/>
      <c r="Q38" s="2995"/>
      <c r="R38" s="2995"/>
      <c r="S38" s="2996"/>
    </row>
    <row r="39" spans="1:19" s="133" customFormat="1" ht="13.5" thickBot="1" x14ac:dyDescent="0.25">
      <c r="A39" s="822" t="s">
        <v>1273</v>
      </c>
      <c r="B39" s="428" t="str">
        <f>B20</f>
        <v>Term</v>
      </c>
      <c r="C39" s="428" t="str">
        <f>C20</f>
        <v>Rate</v>
      </c>
      <c r="D39" s="429" t="s">
        <v>2487</v>
      </c>
      <c r="E39" s="651" t="str">
        <f>E20</f>
        <v>2013/14</v>
      </c>
      <c r="F39" s="651" t="str">
        <f>F20</f>
        <v>2014/15</v>
      </c>
      <c r="G39" s="651" t="str">
        <f t="shared" ref="G39:O39" si="6">G20</f>
        <v>2015/16</v>
      </c>
      <c r="H39" s="651" t="str">
        <f t="shared" si="6"/>
        <v>2016/17</v>
      </c>
      <c r="I39" s="651" t="str">
        <f t="shared" si="6"/>
        <v>2017/18</v>
      </c>
      <c r="J39" s="651" t="str">
        <f t="shared" si="6"/>
        <v>2018/19</v>
      </c>
      <c r="K39" s="651" t="str">
        <f t="shared" si="6"/>
        <v>2019/20</v>
      </c>
      <c r="L39" s="651" t="str">
        <f t="shared" si="6"/>
        <v>2020/21</v>
      </c>
      <c r="M39" s="651" t="str">
        <f t="shared" si="6"/>
        <v>2021/22</v>
      </c>
      <c r="N39" s="651" t="str">
        <f t="shared" si="6"/>
        <v>2022/23</v>
      </c>
      <c r="O39" s="75" t="str">
        <f t="shared" si="6"/>
        <v>2023/24</v>
      </c>
      <c r="P39" s="75" t="str">
        <f t="shared" ref="P39:Q39" si="7">P20</f>
        <v>2024/25</v>
      </c>
      <c r="Q39" s="1709" t="str">
        <f t="shared" si="7"/>
        <v>2025/26</v>
      </c>
      <c r="R39" s="1709" t="str">
        <f t="shared" ref="R39" si="8">R20</f>
        <v>2026/27</v>
      </c>
      <c r="S39" s="823" t="str">
        <f>S20</f>
        <v>Totals</v>
      </c>
    </row>
    <row r="40" spans="1:19" s="133" customFormat="1" x14ac:dyDescent="0.2">
      <c r="A40" s="824"/>
      <c r="B40" s="132"/>
      <c r="C40" s="132"/>
      <c r="D40" s="825"/>
      <c r="E40" s="130"/>
      <c r="F40" s="130"/>
      <c r="G40" s="130"/>
      <c r="H40" s="132"/>
      <c r="I40" s="130"/>
      <c r="J40" s="132"/>
      <c r="K40" s="132"/>
      <c r="L40" s="132"/>
      <c r="M40" s="132"/>
      <c r="N40" s="132"/>
      <c r="O40" s="132"/>
      <c r="P40" s="132"/>
      <c r="Q40" s="830"/>
      <c r="R40" s="830"/>
      <c r="S40" s="131"/>
    </row>
    <row r="41" spans="1:19" s="133" customFormat="1" x14ac:dyDescent="0.2">
      <c r="A41" s="826" t="str">
        <f>A22</f>
        <v>Existing Loans</v>
      </c>
      <c r="B41" s="827" t="s">
        <v>860</v>
      </c>
      <c r="C41" s="828" t="s">
        <v>860</v>
      </c>
      <c r="D41" s="829" t="s">
        <v>860</v>
      </c>
      <c r="E41" s="130"/>
      <c r="F41" s="130"/>
      <c r="G41" s="132"/>
      <c r="H41" s="132"/>
      <c r="I41" s="130"/>
      <c r="J41" s="132"/>
      <c r="K41" s="132"/>
      <c r="L41" s="132"/>
      <c r="M41" s="132"/>
      <c r="N41" s="132"/>
      <c r="O41" s="132"/>
      <c r="P41" s="132"/>
      <c r="Q41" s="830"/>
      <c r="R41" s="830"/>
      <c r="S41" s="131"/>
    </row>
    <row r="42" spans="1:19" s="133" customFormat="1" x14ac:dyDescent="0.2">
      <c r="A42" s="856"/>
      <c r="B42" s="827"/>
      <c r="C42" s="828"/>
      <c r="D42" s="829" t="s">
        <v>1274</v>
      </c>
      <c r="E42" s="130">
        <v>3500</v>
      </c>
      <c r="F42" s="130">
        <v>3800</v>
      </c>
      <c r="G42" s="132">
        <v>0</v>
      </c>
      <c r="H42" s="132"/>
      <c r="I42" s="130"/>
      <c r="J42" s="132"/>
      <c r="K42" s="132"/>
      <c r="L42" s="132"/>
      <c r="M42" s="132"/>
      <c r="N42" s="132"/>
      <c r="O42" s="132"/>
      <c r="P42" s="132"/>
      <c r="Q42" s="830"/>
      <c r="R42" s="830"/>
      <c r="S42" s="131">
        <f>SUM(E42:O42)</f>
        <v>7300</v>
      </c>
    </row>
    <row r="43" spans="1:19" s="133" customFormat="1" x14ac:dyDescent="0.2">
      <c r="A43" s="856"/>
      <c r="B43" s="827"/>
      <c r="C43" s="828"/>
      <c r="D43" s="829" t="s">
        <v>2671</v>
      </c>
      <c r="E43" s="130">
        <v>500</v>
      </c>
      <c r="F43" s="130">
        <v>200</v>
      </c>
      <c r="G43" s="132">
        <v>0</v>
      </c>
      <c r="H43" s="132"/>
      <c r="I43" s="130"/>
      <c r="J43" s="132"/>
      <c r="K43" s="132"/>
      <c r="L43" s="132"/>
      <c r="M43" s="132"/>
      <c r="N43" s="132"/>
      <c r="O43" s="132"/>
      <c r="P43" s="132"/>
      <c r="Q43" s="830"/>
      <c r="R43" s="830"/>
      <c r="S43" s="131">
        <f>SUM(E43:O43)</f>
        <v>700</v>
      </c>
    </row>
    <row r="44" spans="1:19" s="92" customFormat="1" x14ac:dyDescent="0.2">
      <c r="A44" s="726"/>
      <c r="B44" s="179"/>
      <c r="C44" s="838"/>
      <c r="D44" s="839" t="s">
        <v>1275</v>
      </c>
      <c r="E44" s="128">
        <f>F42+G42</f>
        <v>3800</v>
      </c>
      <c r="F44" s="128">
        <f>E44-F42</f>
        <v>0</v>
      </c>
      <c r="G44" s="128">
        <f>F44-G42</f>
        <v>0</v>
      </c>
      <c r="H44" s="64"/>
      <c r="I44" s="128"/>
      <c r="J44" s="64"/>
      <c r="K44" s="64"/>
      <c r="L44" s="64"/>
      <c r="M44" s="64"/>
      <c r="N44" s="64"/>
      <c r="O44" s="64"/>
      <c r="P44" s="64"/>
      <c r="Q44" s="117"/>
      <c r="R44" s="117"/>
      <c r="S44" s="115"/>
    </row>
    <row r="45" spans="1:19" s="133" customFormat="1" x14ac:dyDescent="0.2">
      <c r="A45" s="856"/>
      <c r="B45" s="827"/>
      <c r="C45" s="828"/>
      <c r="D45" s="829"/>
      <c r="E45" s="130"/>
      <c r="F45" s="130"/>
      <c r="G45" s="132"/>
      <c r="H45" s="132"/>
      <c r="I45" s="130"/>
      <c r="J45" s="132"/>
      <c r="K45" s="132"/>
      <c r="L45" s="132"/>
      <c r="M45" s="132"/>
      <c r="N45" s="132"/>
      <c r="O45" s="132"/>
      <c r="P45" s="132"/>
      <c r="Q45" s="830"/>
      <c r="R45" s="830"/>
      <c r="S45" s="131"/>
    </row>
    <row r="46" spans="1:19" s="133" customFormat="1" x14ac:dyDescent="0.2">
      <c r="A46" s="856"/>
      <c r="B46" s="827"/>
      <c r="C46" s="828"/>
      <c r="D46" s="829"/>
      <c r="E46" s="130"/>
      <c r="F46" s="130"/>
      <c r="G46" s="132"/>
      <c r="H46" s="132"/>
      <c r="I46" s="130"/>
      <c r="J46" s="132"/>
      <c r="K46" s="132"/>
      <c r="L46" s="132"/>
      <c r="M46" s="132"/>
      <c r="N46" s="132"/>
      <c r="O46" s="132"/>
      <c r="P46" s="132"/>
      <c r="Q46" s="830"/>
      <c r="R46" s="830"/>
      <c r="S46" s="131"/>
    </row>
    <row r="47" spans="1:19" s="133" customFormat="1" x14ac:dyDescent="0.2">
      <c r="A47" s="856" t="str">
        <f>A23</f>
        <v>2013/14</v>
      </c>
      <c r="B47" s="827">
        <f>B23</f>
        <v>20</v>
      </c>
      <c r="C47" s="828">
        <f>Assumptions!D$15</f>
        <v>0.06</v>
      </c>
      <c r="D47" s="829" t="e">
        <f>D23</f>
        <v>#REF!</v>
      </c>
      <c r="E47" s="130"/>
      <c r="F47" s="130"/>
      <c r="G47" s="130"/>
      <c r="H47" s="132"/>
      <c r="I47" s="132"/>
      <c r="J47" s="132"/>
      <c r="K47" s="132"/>
      <c r="L47" s="132"/>
      <c r="M47" s="132"/>
      <c r="N47" s="132"/>
      <c r="O47" s="132"/>
      <c r="P47" s="132"/>
      <c r="Q47" s="830"/>
      <c r="R47" s="830"/>
      <c r="S47" s="131"/>
    </row>
    <row r="48" spans="1:19" s="133" customFormat="1" x14ac:dyDescent="0.2">
      <c r="A48" s="856"/>
      <c r="B48" s="827"/>
      <c r="C48" s="828"/>
      <c r="D48" s="829" t="str">
        <f>D42</f>
        <v xml:space="preserve">Principal </v>
      </c>
      <c r="E48" s="130"/>
      <c r="F48" s="132" t="e">
        <f>-ROUND(PMT($C$47,$B$47,$D$47),-3)-F49</f>
        <v>#REF!</v>
      </c>
      <c r="G48" s="132" t="e">
        <f t="shared" ref="G48" si="9">-ROUND(PMT($C$47,$B$47,$D$47),-3)-G49</f>
        <v>#REF!</v>
      </c>
      <c r="H48" s="132"/>
      <c r="I48" s="130"/>
      <c r="J48" s="132"/>
      <c r="K48" s="132"/>
      <c r="L48" s="132"/>
      <c r="M48" s="132"/>
      <c r="N48" s="132"/>
      <c r="O48" s="132"/>
      <c r="P48" s="132"/>
      <c r="Q48" s="830"/>
      <c r="R48" s="830"/>
      <c r="S48" s="131" t="e">
        <f>SUM(E48:O48)</f>
        <v>#REF!</v>
      </c>
    </row>
    <row r="49" spans="1:19" s="133" customFormat="1" x14ac:dyDescent="0.2">
      <c r="A49" s="856"/>
      <c r="B49" s="827"/>
      <c r="C49" s="828"/>
      <c r="D49" s="829" t="str">
        <f>D43</f>
        <v>Interest</v>
      </c>
      <c r="E49" s="130"/>
      <c r="F49" s="132" t="e">
        <f>ROUND(D47*$C$47,-3)</f>
        <v>#REF!</v>
      </c>
      <c r="G49" s="132" t="e">
        <f>ROUND(F50*$C$47,-3)</f>
        <v>#REF!</v>
      </c>
      <c r="H49" s="132"/>
      <c r="I49" s="132"/>
      <c r="J49" s="132"/>
      <c r="K49" s="132"/>
      <c r="L49" s="132"/>
      <c r="M49" s="132"/>
      <c r="N49" s="132"/>
      <c r="O49" s="132"/>
      <c r="P49" s="132"/>
      <c r="Q49" s="830"/>
      <c r="R49" s="830"/>
      <c r="S49" s="131" t="e">
        <f>SUM(E49:O49)</f>
        <v>#REF!</v>
      </c>
    </row>
    <row r="50" spans="1:19" s="92" customFormat="1" x14ac:dyDescent="0.2">
      <c r="A50" s="726"/>
      <c r="B50" s="179"/>
      <c r="C50" s="838"/>
      <c r="D50" s="839" t="str">
        <f>D44</f>
        <v>O/S Princ</v>
      </c>
      <c r="E50" s="128" t="e">
        <f>D47</f>
        <v>#REF!</v>
      </c>
      <c r="F50" s="128" t="e">
        <f>E50-F48</f>
        <v>#REF!</v>
      </c>
      <c r="G50" s="128" t="e">
        <f t="shared" ref="G50" si="10">F50-G48</f>
        <v>#REF!</v>
      </c>
      <c r="H50" s="128"/>
      <c r="I50" s="128"/>
      <c r="J50" s="128"/>
      <c r="K50" s="128"/>
      <c r="L50" s="128"/>
      <c r="M50" s="128"/>
      <c r="N50" s="128"/>
      <c r="O50" s="64"/>
      <c r="P50" s="64"/>
      <c r="Q50" s="117"/>
      <c r="R50" s="117"/>
      <c r="S50" s="115" t="e">
        <f>SUM(S48:S49)</f>
        <v>#REF!</v>
      </c>
    </row>
    <row r="51" spans="1:19" s="133" customFormat="1" x14ac:dyDescent="0.2">
      <c r="A51" s="856"/>
      <c r="B51" s="827"/>
      <c r="C51" s="828"/>
      <c r="D51" s="829"/>
      <c r="E51" s="130"/>
      <c r="F51" s="130"/>
      <c r="G51" s="132"/>
      <c r="H51" s="132"/>
      <c r="I51" s="130"/>
      <c r="J51" s="132"/>
      <c r="K51" s="132"/>
      <c r="L51" s="132"/>
      <c r="M51" s="132"/>
      <c r="N51" s="132"/>
      <c r="O51" s="132"/>
      <c r="P51" s="132"/>
      <c r="Q51" s="830"/>
      <c r="R51" s="830"/>
      <c r="S51" s="131"/>
    </row>
    <row r="52" spans="1:19" s="133" customFormat="1" x14ac:dyDescent="0.2">
      <c r="A52" s="856" t="str">
        <f>A24</f>
        <v>2014/15</v>
      </c>
      <c r="B52" s="827">
        <f>B24</f>
        <v>20</v>
      </c>
      <c r="C52" s="828">
        <f>Assumptions!E$15</f>
        <v>0.06</v>
      </c>
      <c r="D52" s="829" t="e">
        <f>D24</f>
        <v>#REF!</v>
      </c>
      <c r="E52" s="130"/>
      <c r="F52" s="130"/>
      <c r="G52" s="132"/>
      <c r="H52" s="132"/>
      <c r="I52" s="132"/>
      <c r="J52" s="132"/>
      <c r="K52" s="132"/>
      <c r="L52" s="132"/>
      <c r="M52" s="132"/>
      <c r="N52" s="132"/>
      <c r="O52" s="132"/>
      <c r="P52" s="132"/>
      <c r="Q52" s="830"/>
      <c r="R52" s="830"/>
      <c r="S52" s="131"/>
    </row>
    <row r="53" spans="1:19" s="133" customFormat="1" x14ac:dyDescent="0.2">
      <c r="A53" s="856"/>
      <c r="B53" s="827"/>
      <c r="C53" s="828"/>
      <c r="D53" s="829" t="str">
        <f>D48</f>
        <v xml:space="preserve">Principal </v>
      </c>
      <c r="E53" s="130"/>
      <c r="F53" s="130"/>
      <c r="G53" s="132" t="e">
        <f>-ROUND(PMT($C$52,$B$52,$D$52),-3)-G54</f>
        <v>#REF!</v>
      </c>
      <c r="H53" s="132"/>
      <c r="I53" s="132"/>
      <c r="J53" s="132"/>
      <c r="K53" s="132"/>
      <c r="L53" s="132"/>
      <c r="M53" s="132"/>
      <c r="N53" s="132"/>
      <c r="O53" s="132"/>
      <c r="P53" s="132"/>
      <c r="Q53" s="830"/>
      <c r="R53" s="830"/>
      <c r="S53" s="131" t="e">
        <f>SUM(E53:O53)</f>
        <v>#REF!</v>
      </c>
    </row>
    <row r="54" spans="1:19" s="133" customFormat="1" x14ac:dyDescent="0.2">
      <c r="A54" s="856"/>
      <c r="B54" s="827"/>
      <c r="C54" s="828"/>
      <c r="D54" s="829" t="str">
        <f>D49</f>
        <v>Interest</v>
      </c>
      <c r="E54" s="130"/>
      <c r="F54" s="130"/>
      <c r="G54" s="132" t="e">
        <f>ROUND(D52*$C$52,-3)</f>
        <v>#REF!</v>
      </c>
      <c r="H54" s="132"/>
      <c r="I54" s="132"/>
      <c r="J54" s="132"/>
      <c r="K54" s="132"/>
      <c r="L54" s="132"/>
      <c r="M54" s="132"/>
      <c r="N54" s="132"/>
      <c r="O54" s="132"/>
      <c r="P54" s="132"/>
      <c r="Q54" s="830"/>
      <c r="R54" s="830"/>
      <c r="S54" s="131" t="e">
        <f>SUM(E54:O54)</f>
        <v>#REF!</v>
      </c>
    </row>
    <row r="55" spans="1:19" s="92" customFormat="1" x14ac:dyDescent="0.2">
      <c r="A55" s="726"/>
      <c r="B55" s="179"/>
      <c r="C55" s="838"/>
      <c r="D55" s="839" t="str">
        <f>D50</f>
        <v>O/S Princ</v>
      </c>
      <c r="E55" s="128"/>
      <c r="F55" s="128" t="e">
        <f>D52</f>
        <v>#REF!</v>
      </c>
      <c r="G55" s="128" t="e">
        <f t="shared" ref="G55" si="11">F55-G53</f>
        <v>#REF!</v>
      </c>
      <c r="H55" s="128"/>
      <c r="I55" s="128"/>
      <c r="J55" s="128"/>
      <c r="K55" s="128"/>
      <c r="L55" s="128"/>
      <c r="M55" s="128"/>
      <c r="N55" s="128"/>
      <c r="O55" s="64"/>
      <c r="P55" s="64"/>
      <c r="Q55" s="117"/>
      <c r="R55" s="117"/>
      <c r="S55" s="115" t="e">
        <f>SUM(S53:S54)</f>
        <v>#REF!</v>
      </c>
    </row>
    <row r="56" spans="1:19" s="133" customFormat="1" x14ac:dyDescent="0.2">
      <c r="A56" s="856"/>
      <c r="B56" s="827"/>
      <c r="C56" s="828"/>
      <c r="D56" s="829"/>
      <c r="E56" s="130"/>
      <c r="F56" s="130"/>
      <c r="G56" s="132"/>
      <c r="H56" s="132"/>
      <c r="I56" s="130"/>
      <c r="J56" s="132"/>
      <c r="K56" s="132"/>
      <c r="L56" s="132"/>
      <c r="M56" s="132"/>
      <c r="N56" s="132"/>
      <c r="O56" s="132"/>
      <c r="P56" s="132"/>
      <c r="Q56" s="830"/>
      <c r="R56" s="830"/>
      <c r="S56" s="131"/>
    </row>
    <row r="57" spans="1:19" s="133" customFormat="1" x14ac:dyDescent="0.2">
      <c r="A57" s="856" t="str">
        <f>A25</f>
        <v>2015/16</v>
      </c>
      <c r="B57" s="827">
        <f>B25</f>
        <v>20</v>
      </c>
      <c r="C57" s="828">
        <f>Assumptions!F$15</f>
        <v>0.06</v>
      </c>
      <c r="D57" s="829">
        <f>D25</f>
        <v>0</v>
      </c>
      <c r="E57" s="130"/>
      <c r="F57" s="130"/>
      <c r="G57" s="132"/>
      <c r="H57" s="132"/>
      <c r="I57" s="132"/>
      <c r="J57" s="132"/>
      <c r="K57" s="132"/>
      <c r="L57" s="132"/>
      <c r="M57" s="132"/>
      <c r="N57" s="132"/>
      <c r="O57" s="132"/>
      <c r="P57" s="132"/>
      <c r="Q57" s="830"/>
      <c r="R57" s="830"/>
      <c r="S57" s="131"/>
    </row>
    <row r="58" spans="1:19" s="133" customFormat="1" x14ac:dyDescent="0.2">
      <c r="A58" s="856"/>
      <c r="B58" s="827"/>
      <c r="C58" s="828"/>
      <c r="D58" s="829" t="str">
        <f>D53</f>
        <v xml:space="preserve">Principal </v>
      </c>
      <c r="E58" s="130"/>
      <c r="F58" s="130"/>
      <c r="G58" s="132"/>
      <c r="H58" s="858"/>
      <c r="I58" s="132"/>
      <c r="J58" s="132"/>
      <c r="K58" s="132"/>
      <c r="L58" s="132"/>
      <c r="M58" s="132"/>
      <c r="N58" s="132"/>
      <c r="O58" s="132"/>
      <c r="P58" s="132"/>
      <c r="Q58" s="830"/>
      <c r="R58" s="830"/>
      <c r="S58" s="131">
        <f>SUM(E58:O58)</f>
        <v>0</v>
      </c>
    </row>
    <row r="59" spans="1:19" s="133" customFormat="1" x14ac:dyDescent="0.2">
      <c r="A59" s="856"/>
      <c r="B59" s="827"/>
      <c r="C59" s="828"/>
      <c r="D59" s="829" t="str">
        <f>D54</f>
        <v>Interest</v>
      </c>
      <c r="E59" s="130"/>
      <c r="F59" s="130"/>
      <c r="G59" s="132"/>
      <c r="H59" s="132"/>
      <c r="I59" s="132"/>
      <c r="J59" s="132"/>
      <c r="K59" s="132"/>
      <c r="L59" s="132"/>
      <c r="M59" s="132"/>
      <c r="N59" s="132"/>
      <c r="O59" s="132"/>
      <c r="P59" s="132"/>
      <c r="Q59" s="830"/>
      <c r="R59" s="830"/>
      <c r="S59" s="131">
        <f>SUM(E59:O59)</f>
        <v>0</v>
      </c>
    </row>
    <row r="60" spans="1:19" s="92" customFormat="1" x14ac:dyDescent="0.2">
      <c r="A60" s="726"/>
      <c r="B60" s="179"/>
      <c r="C60" s="838"/>
      <c r="D60" s="839" t="str">
        <f>D55</f>
        <v>O/S Princ</v>
      </c>
      <c r="E60" s="128"/>
      <c r="F60" s="128"/>
      <c r="G60" s="128">
        <f>D57</f>
        <v>0</v>
      </c>
      <c r="H60" s="128"/>
      <c r="I60" s="128"/>
      <c r="J60" s="128"/>
      <c r="K60" s="128"/>
      <c r="L60" s="128"/>
      <c r="M60" s="128"/>
      <c r="N60" s="128"/>
      <c r="O60" s="64"/>
      <c r="P60" s="64"/>
      <c r="Q60" s="117"/>
      <c r="R60" s="117"/>
      <c r="S60" s="115">
        <f>SUM(S58:S59)</f>
        <v>0</v>
      </c>
    </row>
    <row r="61" spans="1:19" s="92" customFormat="1" x14ac:dyDescent="0.2">
      <c r="A61" s="726"/>
      <c r="B61" s="179"/>
      <c r="C61" s="838"/>
      <c r="D61" s="839"/>
      <c r="E61" s="128"/>
      <c r="F61" s="128"/>
      <c r="G61" s="128"/>
      <c r="H61" s="128"/>
      <c r="I61" s="128"/>
      <c r="J61" s="128"/>
      <c r="K61" s="128"/>
      <c r="L61" s="128"/>
      <c r="M61" s="128"/>
      <c r="N61" s="128"/>
      <c r="O61" s="64"/>
      <c r="P61" s="64"/>
      <c r="Q61" s="117"/>
      <c r="R61" s="117"/>
      <c r="S61" s="115"/>
    </row>
    <row r="62" spans="1:19" s="133" customFormat="1" x14ac:dyDescent="0.2">
      <c r="A62" s="856" t="str">
        <f>A26</f>
        <v>2016/17</v>
      </c>
      <c r="B62" s="827">
        <f>B26</f>
        <v>20</v>
      </c>
      <c r="C62" s="828">
        <f>Assumptions!F$15</f>
        <v>0.06</v>
      </c>
      <c r="D62" s="829">
        <f>D26</f>
        <v>0</v>
      </c>
      <c r="E62" s="130"/>
      <c r="F62" s="130"/>
      <c r="G62" s="132"/>
      <c r="H62" s="132"/>
      <c r="I62" s="132"/>
      <c r="J62" s="132"/>
      <c r="K62" s="132"/>
      <c r="L62" s="132"/>
      <c r="M62" s="132"/>
      <c r="N62" s="132"/>
      <c r="O62" s="132"/>
      <c r="P62" s="132"/>
      <c r="Q62" s="830"/>
      <c r="R62" s="830"/>
      <c r="S62" s="131"/>
    </row>
    <row r="63" spans="1:19" s="133" customFormat="1" x14ac:dyDescent="0.2">
      <c r="A63" s="856"/>
      <c r="B63" s="827"/>
      <c r="C63" s="828"/>
      <c r="D63" s="829" t="str">
        <f>D58</f>
        <v xml:space="preserve">Principal </v>
      </c>
      <c r="E63" s="130"/>
      <c r="F63" s="130"/>
      <c r="G63" s="132"/>
      <c r="H63" s="132"/>
      <c r="I63" s="132"/>
      <c r="J63" s="132"/>
      <c r="K63" s="132"/>
      <c r="L63" s="132"/>
      <c r="M63" s="132"/>
      <c r="N63" s="132"/>
      <c r="O63" s="132"/>
      <c r="P63" s="132"/>
      <c r="Q63" s="830"/>
      <c r="R63" s="830"/>
      <c r="S63" s="131">
        <f>SUM(E63:O63)</f>
        <v>0</v>
      </c>
    </row>
    <row r="64" spans="1:19" s="133" customFormat="1" x14ac:dyDescent="0.2">
      <c r="A64" s="856"/>
      <c r="B64" s="827"/>
      <c r="C64" s="828"/>
      <c r="D64" s="829" t="str">
        <f>D59</f>
        <v>Interest</v>
      </c>
      <c r="E64" s="130"/>
      <c r="F64" s="130"/>
      <c r="G64" s="132"/>
      <c r="H64" s="132"/>
      <c r="I64" s="132"/>
      <c r="J64" s="132"/>
      <c r="K64" s="132"/>
      <c r="L64" s="132"/>
      <c r="M64" s="132"/>
      <c r="N64" s="132"/>
      <c r="O64" s="132"/>
      <c r="P64" s="132"/>
      <c r="Q64" s="830"/>
      <c r="R64" s="830"/>
      <c r="S64" s="131">
        <f>SUM(E64:O64)</f>
        <v>0</v>
      </c>
    </row>
    <row r="65" spans="1:19" s="92" customFormat="1" x14ac:dyDescent="0.2">
      <c r="A65" s="726"/>
      <c r="B65" s="179"/>
      <c r="C65" s="838"/>
      <c r="D65" s="839" t="str">
        <f>D60</f>
        <v>O/S Princ</v>
      </c>
      <c r="E65" s="128"/>
      <c r="F65" s="128"/>
      <c r="G65" s="128"/>
      <c r="H65" s="128"/>
      <c r="I65" s="128"/>
      <c r="J65" s="128"/>
      <c r="K65" s="128"/>
      <c r="L65" s="128"/>
      <c r="M65" s="128"/>
      <c r="N65" s="128"/>
      <c r="O65" s="64"/>
      <c r="P65" s="64"/>
      <c r="Q65" s="117"/>
      <c r="R65" s="117"/>
      <c r="S65" s="115">
        <f>SUM(S63:S64)</f>
        <v>0</v>
      </c>
    </row>
    <row r="66" spans="1:19" s="92" customFormat="1" x14ac:dyDescent="0.2">
      <c r="A66" s="726"/>
      <c r="B66" s="179"/>
      <c r="C66" s="838"/>
      <c r="D66" s="839"/>
      <c r="E66" s="128"/>
      <c r="F66" s="128"/>
      <c r="G66" s="128"/>
      <c r="H66" s="128"/>
      <c r="I66" s="128"/>
      <c r="J66" s="128"/>
      <c r="K66" s="128"/>
      <c r="L66" s="128"/>
      <c r="M66" s="128"/>
      <c r="N66" s="128"/>
      <c r="O66" s="64"/>
      <c r="P66" s="64"/>
      <c r="Q66" s="117"/>
      <c r="R66" s="117"/>
      <c r="S66" s="115"/>
    </row>
    <row r="67" spans="1:19" s="133" customFormat="1" x14ac:dyDescent="0.2">
      <c r="A67" s="856" t="str">
        <f>A27</f>
        <v>2017/18</v>
      </c>
      <c r="B67" s="827">
        <f>B27</f>
        <v>20</v>
      </c>
      <c r="C67" s="828">
        <f>Assumptions!H$15</f>
        <v>0.06</v>
      </c>
      <c r="D67" s="829">
        <f>D27</f>
        <v>0</v>
      </c>
      <c r="E67" s="130"/>
      <c r="F67" s="130"/>
      <c r="G67" s="132"/>
      <c r="H67" s="132"/>
      <c r="I67" s="132"/>
      <c r="J67" s="132"/>
      <c r="K67" s="132"/>
      <c r="L67" s="132"/>
      <c r="M67" s="132"/>
      <c r="N67" s="132"/>
      <c r="O67" s="132"/>
      <c r="P67" s="132"/>
      <c r="Q67" s="830"/>
      <c r="R67" s="830"/>
      <c r="S67" s="131"/>
    </row>
    <row r="68" spans="1:19" s="133" customFormat="1" x14ac:dyDescent="0.2">
      <c r="A68" s="856"/>
      <c r="B68" s="827"/>
      <c r="C68" s="828"/>
      <c r="D68" s="829" t="str">
        <f>D63</f>
        <v xml:space="preserve">Principal </v>
      </c>
      <c r="E68" s="130"/>
      <c r="F68" s="130"/>
      <c r="G68" s="132"/>
      <c r="H68" s="132"/>
      <c r="I68" s="132"/>
      <c r="J68" s="132"/>
      <c r="K68" s="132"/>
      <c r="L68" s="132"/>
      <c r="M68" s="132"/>
      <c r="N68" s="132"/>
      <c r="O68" s="132"/>
      <c r="P68" s="132"/>
      <c r="Q68" s="830"/>
      <c r="R68" s="830"/>
      <c r="S68" s="131">
        <f>SUM(E68:O68)</f>
        <v>0</v>
      </c>
    </row>
    <row r="69" spans="1:19" s="133" customFormat="1" x14ac:dyDescent="0.2">
      <c r="A69" s="856"/>
      <c r="B69" s="827"/>
      <c r="C69" s="828"/>
      <c r="D69" s="829" t="str">
        <f>D64</f>
        <v>Interest</v>
      </c>
      <c r="E69" s="130"/>
      <c r="F69" s="130"/>
      <c r="G69" s="132"/>
      <c r="H69" s="132"/>
      <c r="I69" s="132"/>
      <c r="J69" s="132"/>
      <c r="K69" s="132"/>
      <c r="L69" s="132"/>
      <c r="M69" s="132"/>
      <c r="N69" s="132"/>
      <c r="O69" s="132"/>
      <c r="P69" s="132"/>
      <c r="Q69" s="830"/>
      <c r="R69" s="830"/>
      <c r="S69" s="131">
        <f>SUM(E69:O69)</f>
        <v>0</v>
      </c>
    </row>
    <row r="70" spans="1:19" s="92" customFormat="1" x14ac:dyDescent="0.2">
      <c r="A70" s="726"/>
      <c r="B70" s="179"/>
      <c r="C70" s="838"/>
      <c r="D70" s="839" t="str">
        <f>D65</f>
        <v>O/S Princ</v>
      </c>
      <c r="E70" s="128"/>
      <c r="F70" s="128"/>
      <c r="G70" s="128"/>
      <c r="H70" s="128"/>
      <c r="I70" s="128"/>
      <c r="J70" s="128"/>
      <c r="K70" s="128"/>
      <c r="L70" s="128"/>
      <c r="M70" s="128"/>
      <c r="N70" s="128"/>
      <c r="O70" s="64"/>
      <c r="P70" s="64"/>
      <c r="Q70" s="117"/>
      <c r="R70" s="117"/>
      <c r="S70" s="115">
        <f>SUM(S68:S69)</f>
        <v>0</v>
      </c>
    </row>
    <row r="71" spans="1:19" s="92" customFormat="1" x14ac:dyDescent="0.2">
      <c r="A71" s="726"/>
      <c r="B71" s="179"/>
      <c r="C71" s="838"/>
      <c r="D71" s="839"/>
      <c r="E71" s="128"/>
      <c r="F71" s="128"/>
      <c r="G71" s="128"/>
      <c r="H71" s="128"/>
      <c r="I71" s="128"/>
      <c r="J71" s="128"/>
      <c r="K71" s="128"/>
      <c r="L71" s="128"/>
      <c r="M71" s="128"/>
      <c r="N71" s="128"/>
      <c r="O71" s="64"/>
      <c r="P71" s="64"/>
      <c r="Q71" s="117"/>
      <c r="R71" s="117"/>
      <c r="S71" s="115"/>
    </row>
    <row r="72" spans="1:19" s="133" customFormat="1" x14ac:dyDescent="0.2">
      <c r="A72" s="856" t="str">
        <f>A28</f>
        <v>2018/19</v>
      </c>
      <c r="B72" s="827">
        <f>B28</f>
        <v>20</v>
      </c>
      <c r="C72" s="828">
        <f>Assumptions!I$15</f>
        <v>0.06</v>
      </c>
      <c r="D72" s="829">
        <f>D28</f>
        <v>0</v>
      </c>
      <c r="E72" s="130"/>
      <c r="F72" s="130"/>
      <c r="G72" s="132"/>
      <c r="H72" s="132"/>
      <c r="I72" s="132"/>
      <c r="J72" s="132"/>
      <c r="K72" s="132"/>
      <c r="L72" s="132"/>
      <c r="M72" s="132"/>
      <c r="N72" s="132"/>
      <c r="O72" s="132"/>
      <c r="P72" s="132"/>
      <c r="Q72" s="830"/>
      <c r="R72" s="830"/>
      <c r="S72" s="131"/>
    </row>
    <row r="73" spans="1:19" s="133" customFormat="1" x14ac:dyDescent="0.2">
      <c r="A73" s="856"/>
      <c r="B73" s="827"/>
      <c r="C73" s="828"/>
      <c r="D73" s="829" t="str">
        <f>D68</f>
        <v xml:space="preserve">Principal </v>
      </c>
      <c r="E73" s="130"/>
      <c r="F73" s="130"/>
      <c r="G73" s="132"/>
      <c r="H73" s="132"/>
      <c r="I73" s="132"/>
      <c r="J73" s="132"/>
      <c r="K73" s="132"/>
      <c r="L73" s="132"/>
      <c r="M73" s="132"/>
      <c r="N73" s="132"/>
      <c r="O73" s="132"/>
      <c r="P73" s="132"/>
      <c r="Q73" s="830"/>
      <c r="R73" s="830"/>
      <c r="S73" s="131">
        <f>SUM(E73:O73)</f>
        <v>0</v>
      </c>
    </row>
    <row r="74" spans="1:19" s="133" customFormat="1" x14ac:dyDescent="0.2">
      <c r="A74" s="856"/>
      <c r="B74" s="827"/>
      <c r="C74" s="828"/>
      <c r="D74" s="829" t="str">
        <f>D69</f>
        <v>Interest</v>
      </c>
      <c r="E74" s="130"/>
      <c r="F74" s="130"/>
      <c r="G74" s="132"/>
      <c r="H74" s="132"/>
      <c r="I74" s="132"/>
      <c r="J74" s="132"/>
      <c r="K74" s="132"/>
      <c r="L74" s="132"/>
      <c r="M74" s="132"/>
      <c r="N74" s="132"/>
      <c r="O74" s="132"/>
      <c r="P74" s="132"/>
      <c r="Q74" s="830"/>
      <c r="R74" s="830"/>
      <c r="S74" s="131">
        <f>SUM(E74:O74)</f>
        <v>0</v>
      </c>
    </row>
    <row r="75" spans="1:19" s="92" customFormat="1" x14ac:dyDescent="0.2">
      <c r="A75" s="726"/>
      <c r="B75" s="179"/>
      <c r="C75" s="838"/>
      <c r="D75" s="839" t="str">
        <f>D70</f>
        <v>O/S Princ</v>
      </c>
      <c r="E75" s="128"/>
      <c r="F75" s="128"/>
      <c r="G75" s="128"/>
      <c r="H75" s="128"/>
      <c r="I75" s="128"/>
      <c r="J75" s="128"/>
      <c r="K75" s="128"/>
      <c r="L75" s="128"/>
      <c r="M75" s="128"/>
      <c r="N75" s="128"/>
      <c r="O75" s="64"/>
      <c r="P75" s="64"/>
      <c r="Q75" s="117"/>
      <c r="R75" s="117"/>
      <c r="S75" s="115">
        <f>SUM(S73:S74)</f>
        <v>0</v>
      </c>
    </row>
    <row r="76" spans="1:19" s="92" customFormat="1" x14ac:dyDescent="0.2">
      <c r="A76" s="726"/>
      <c r="B76" s="179"/>
      <c r="C76" s="838"/>
      <c r="D76" s="839"/>
      <c r="E76" s="128"/>
      <c r="F76" s="128"/>
      <c r="G76" s="128"/>
      <c r="H76" s="128"/>
      <c r="I76" s="128"/>
      <c r="J76" s="128"/>
      <c r="K76" s="128"/>
      <c r="L76" s="128"/>
      <c r="M76" s="128"/>
      <c r="N76" s="128"/>
      <c r="O76" s="64"/>
      <c r="P76" s="64"/>
      <c r="Q76" s="117"/>
      <c r="R76" s="117"/>
      <c r="S76" s="115"/>
    </row>
    <row r="77" spans="1:19" s="133" customFormat="1" x14ac:dyDescent="0.2">
      <c r="A77" s="856" t="str">
        <f>A29</f>
        <v>2019/20</v>
      </c>
      <c r="B77" s="827">
        <f>B29</f>
        <v>20</v>
      </c>
      <c r="C77" s="828">
        <f>Assumptions!J$15</f>
        <v>0.06</v>
      </c>
      <c r="D77" s="829">
        <f>D29</f>
        <v>0</v>
      </c>
      <c r="E77" s="130"/>
      <c r="F77" s="130"/>
      <c r="G77" s="132"/>
      <c r="H77" s="132"/>
      <c r="I77" s="132"/>
      <c r="J77" s="132"/>
      <c r="K77" s="132"/>
      <c r="L77" s="132"/>
      <c r="M77" s="132"/>
      <c r="N77" s="132"/>
      <c r="O77" s="132"/>
      <c r="P77" s="132"/>
      <c r="Q77" s="830"/>
      <c r="R77" s="830"/>
      <c r="S77" s="131"/>
    </row>
    <row r="78" spans="1:19" s="133" customFormat="1" x14ac:dyDescent="0.2">
      <c r="A78" s="856"/>
      <c r="B78" s="827"/>
      <c r="C78" s="828"/>
      <c r="D78" s="829" t="str">
        <f>D73</f>
        <v xml:space="preserve">Principal </v>
      </c>
      <c r="E78" s="130"/>
      <c r="F78" s="130"/>
      <c r="G78" s="132"/>
      <c r="H78" s="132"/>
      <c r="I78" s="132"/>
      <c r="J78" s="132"/>
      <c r="K78" s="132"/>
      <c r="L78" s="132"/>
      <c r="M78" s="132"/>
      <c r="N78" s="132"/>
      <c r="O78" s="132"/>
      <c r="P78" s="132"/>
      <c r="Q78" s="830"/>
      <c r="R78" s="830"/>
      <c r="S78" s="131">
        <f>SUM(E78:O78)</f>
        <v>0</v>
      </c>
    </row>
    <row r="79" spans="1:19" s="133" customFormat="1" x14ac:dyDescent="0.2">
      <c r="A79" s="856"/>
      <c r="B79" s="827"/>
      <c r="C79" s="828"/>
      <c r="D79" s="829" t="str">
        <f>D74</f>
        <v>Interest</v>
      </c>
      <c r="E79" s="130"/>
      <c r="F79" s="130"/>
      <c r="G79" s="132"/>
      <c r="H79" s="132"/>
      <c r="I79" s="132"/>
      <c r="J79" s="132"/>
      <c r="K79" s="132"/>
      <c r="L79" s="132"/>
      <c r="M79" s="132"/>
      <c r="N79" s="132"/>
      <c r="O79" s="132"/>
      <c r="P79" s="132"/>
      <c r="Q79" s="830"/>
      <c r="R79" s="830"/>
      <c r="S79" s="131">
        <f>SUM(E79:O79)</f>
        <v>0</v>
      </c>
    </row>
    <row r="80" spans="1:19" s="92" customFormat="1" x14ac:dyDescent="0.2">
      <c r="A80" s="726"/>
      <c r="B80" s="179"/>
      <c r="C80" s="838"/>
      <c r="D80" s="839" t="str">
        <f>D75</f>
        <v>O/S Princ</v>
      </c>
      <c r="E80" s="128"/>
      <c r="F80" s="128"/>
      <c r="G80" s="128"/>
      <c r="H80" s="128"/>
      <c r="I80" s="128"/>
      <c r="J80" s="128"/>
      <c r="K80" s="128"/>
      <c r="L80" s="128"/>
      <c r="M80" s="128"/>
      <c r="N80" s="128"/>
      <c r="O80" s="64"/>
      <c r="P80" s="64"/>
      <c r="Q80" s="117"/>
      <c r="R80" s="117"/>
      <c r="S80" s="115">
        <f>SUM(S78:S79)</f>
        <v>0</v>
      </c>
    </row>
    <row r="81" spans="1:19" s="92" customFormat="1" x14ac:dyDescent="0.2">
      <c r="A81" s="726"/>
      <c r="B81" s="179"/>
      <c r="C81" s="838"/>
      <c r="D81" s="839"/>
      <c r="E81" s="128"/>
      <c r="F81" s="128"/>
      <c r="G81" s="128"/>
      <c r="H81" s="128"/>
      <c r="I81" s="128"/>
      <c r="J81" s="128"/>
      <c r="K81" s="128"/>
      <c r="L81" s="128"/>
      <c r="M81" s="128"/>
      <c r="N81" s="128"/>
      <c r="O81" s="64"/>
      <c r="P81" s="64"/>
      <c r="Q81" s="117"/>
      <c r="R81" s="117"/>
      <c r="S81" s="115"/>
    </row>
    <row r="82" spans="1:19" s="133" customFormat="1" x14ac:dyDescent="0.2">
      <c r="A82" s="856" t="str">
        <f>A30</f>
        <v>2020/21</v>
      </c>
      <c r="B82" s="827">
        <f>B30</f>
        <v>20</v>
      </c>
      <c r="C82" s="828">
        <f>Assumptions!K$15</f>
        <v>0.06</v>
      </c>
      <c r="D82" s="829">
        <f>D30</f>
        <v>0</v>
      </c>
      <c r="E82" s="130"/>
      <c r="F82" s="130"/>
      <c r="G82" s="132"/>
      <c r="H82" s="132"/>
      <c r="I82" s="132"/>
      <c r="J82" s="132"/>
      <c r="K82" s="132"/>
      <c r="L82" s="132"/>
      <c r="M82" s="132"/>
      <c r="N82" s="132"/>
      <c r="O82" s="132"/>
      <c r="P82" s="132"/>
      <c r="Q82" s="830"/>
      <c r="R82" s="830"/>
      <c r="S82" s="131"/>
    </row>
    <row r="83" spans="1:19" s="133" customFormat="1" x14ac:dyDescent="0.2">
      <c r="A83" s="856"/>
      <c r="B83" s="827"/>
      <c r="C83" s="828"/>
      <c r="D83" s="829" t="str">
        <f>D78</f>
        <v xml:space="preserve">Principal </v>
      </c>
      <c r="E83" s="130"/>
      <c r="F83" s="130"/>
      <c r="G83" s="132"/>
      <c r="H83" s="132"/>
      <c r="I83" s="132"/>
      <c r="J83" s="132"/>
      <c r="K83" s="132"/>
      <c r="L83" s="132"/>
      <c r="M83" s="132"/>
      <c r="N83" s="132"/>
      <c r="O83" s="132"/>
      <c r="P83" s="132"/>
      <c r="Q83" s="830"/>
      <c r="R83" s="830"/>
      <c r="S83" s="131">
        <f>SUM(E83:O83)</f>
        <v>0</v>
      </c>
    </row>
    <row r="84" spans="1:19" s="133" customFormat="1" x14ac:dyDescent="0.2">
      <c r="A84" s="856"/>
      <c r="B84" s="827"/>
      <c r="C84" s="828"/>
      <c r="D84" s="829" t="str">
        <f>D79</f>
        <v>Interest</v>
      </c>
      <c r="E84" s="130"/>
      <c r="F84" s="130"/>
      <c r="G84" s="132"/>
      <c r="H84" s="132"/>
      <c r="I84" s="132"/>
      <c r="J84" s="132"/>
      <c r="K84" s="132"/>
      <c r="L84" s="132"/>
      <c r="M84" s="132"/>
      <c r="N84" s="132"/>
      <c r="O84" s="132"/>
      <c r="P84" s="132"/>
      <c r="Q84" s="830"/>
      <c r="R84" s="830"/>
      <c r="S84" s="131">
        <f>SUM(E84:O84)</f>
        <v>0</v>
      </c>
    </row>
    <row r="85" spans="1:19" s="92" customFormat="1" x14ac:dyDescent="0.2">
      <c r="A85" s="726"/>
      <c r="B85" s="179"/>
      <c r="C85" s="838"/>
      <c r="D85" s="839" t="str">
        <f>D80</f>
        <v>O/S Princ</v>
      </c>
      <c r="E85" s="128"/>
      <c r="F85" s="128"/>
      <c r="G85" s="128"/>
      <c r="H85" s="128"/>
      <c r="I85" s="128"/>
      <c r="J85" s="128"/>
      <c r="K85" s="128"/>
      <c r="L85" s="128"/>
      <c r="M85" s="128"/>
      <c r="N85" s="128"/>
      <c r="O85" s="64"/>
      <c r="P85" s="64"/>
      <c r="Q85" s="117"/>
      <c r="R85" s="117"/>
      <c r="S85" s="115">
        <f>SUM(S83:S84)</f>
        <v>0</v>
      </c>
    </row>
    <row r="86" spans="1:19" s="92" customFormat="1" x14ac:dyDescent="0.2">
      <c r="A86" s="726"/>
      <c r="B86" s="179"/>
      <c r="C86" s="838"/>
      <c r="D86" s="839"/>
      <c r="E86" s="128"/>
      <c r="F86" s="128"/>
      <c r="G86" s="128"/>
      <c r="H86" s="128"/>
      <c r="I86" s="128"/>
      <c r="J86" s="128"/>
      <c r="K86" s="128"/>
      <c r="L86" s="128"/>
      <c r="M86" s="128"/>
      <c r="N86" s="128"/>
      <c r="O86" s="64"/>
      <c r="P86" s="64"/>
      <c r="Q86" s="117"/>
      <c r="R86" s="117"/>
      <c r="S86" s="115"/>
    </row>
    <row r="87" spans="1:19" s="133" customFormat="1" x14ac:dyDescent="0.2">
      <c r="A87" s="856" t="str">
        <f>A31</f>
        <v>2021/22</v>
      </c>
      <c r="B87" s="827">
        <f>B31</f>
        <v>20</v>
      </c>
      <c r="C87" s="828">
        <f>Assumptions!L$15</f>
        <v>0.06</v>
      </c>
      <c r="D87" s="829">
        <f>D31</f>
        <v>0</v>
      </c>
      <c r="E87" s="130"/>
      <c r="F87" s="130"/>
      <c r="G87" s="132"/>
      <c r="H87" s="132"/>
      <c r="I87" s="132"/>
      <c r="J87" s="132"/>
      <c r="K87" s="132"/>
      <c r="L87" s="132"/>
      <c r="M87" s="132"/>
      <c r="N87" s="132"/>
      <c r="O87" s="132"/>
      <c r="P87" s="132"/>
      <c r="Q87" s="830"/>
      <c r="R87" s="830"/>
      <c r="S87" s="131"/>
    </row>
    <row r="88" spans="1:19" s="133" customFormat="1" x14ac:dyDescent="0.2">
      <c r="A88" s="856"/>
      <c r="B88" s="827"/>
      <c r="C88" s="828"/>
      <c r="D88" s="829" t="str">
        <f>D83</f>
        <v xml:space="preserve">Principal </v>
      </c>
      <c r="E88" s="130"/>
      <c r="F88" s="130"/>
      <c r="G88" s="132"/>
      <c r="H88" s="132"/>
      <c r="I88" s="132"/>
      <c r="J88" s="132"/>
      <c r="K88" s="132"/>
      <c r="L88" s="132"/>
      <c r="M88" s="132"/>
      <c r="N88" s="132"/>
      <c r="O88" s="132"/>
      <c r="P88" s="132"/>
      <c r="Q88" s="830"/>
      <c r="R88" s="830"/>
      <c r="S88" s="131">
        <f>SUM(E88:O88)</f>
        <v>0</v>
      </c>
    </row>
    <row r="89" spans="1:19" s="133" customFormat="1" x14ac:dyDescent="0.2">
      <c r="A89" s="856"/>
      <c r="B89" s="827"/>
      <c r="C89" s="828"/>
      <c r="D89" s="829" t="str">
        <f>D84</f>
        <v>Interest</v>
      </c>
      <c r="E89" s="130"/>
      <c r="F89" s="130"/>
      <c r="G89" s="132"/>
      <c r="H89" s="132"/>
      <c r="I89" s="132"/>
      <c r="J89" s="132"/>
      <c r="K89" s="132"/>
      <c r="L89" s="132"/>
      <c r="M89" s="132"/>
      <c r="N89" s="132"/>
      <c r="O89" s="132"/>
      <c r="P89" s="132"/>
      <c r="Q89" s="830"/>
      <c r="R89" s="830"/>
      <c r="S89" s="131">
        <f>SUM(E89:O89)</f>
        <v>0</v>
      </c>
    </row>
    <row r="90" spans="1:19" s="92" customFormat="1" x14ac:dyDescent="0.2">
      <c r="A90" s="726"/>
      <c r="B90" s="179"/>
      <c r="C90" s="838"/>
      <c r="D90" s="839" t="str">
        <f>D85</f>
        <v>O/S Princ</v>
      </c>
      <c r="E90" s="128"/>
      <c r="F90" s="128"/>
      <c r="G90" s="128"/>
      <c r="H90" s="128"/>
      <c r="I90" s="128"/>
      <c r="J90" s="128"/>
      <c r="K90" s="128"/>
      <c r="L90" s="128"/>
      <c r="M90" s="128"/>
      <c r="N90" s="128"/>
      <c r="O90" s="64"/>
      <c r="P90" s="64"/>
      <c r="Q90" s="117"/>
      <c r="R90" s="117"/>
      <c r="S90" s="115">
        <f>SUM(S88:S89)</f>
        <v>0</v>
      </c>
    </row>
    <row r="91" spans="1:19" s="92" customFormat="1" x14ac:dyDescent="0.2">
      <c r="A91" s="726"/>
      <c r="B91" s="179"/>
      <c r="C91" s="838"/>
      <c r="D91" s="839"/>
      <c r="E91" s="128"/>
      <c r="F91" s="128"/>
      <c r="G91" s="128"/>
      <c r="H91" s="128"/>
      <c r="I91" s="128"/>
      <c r="J91" s="128"/>
      <c r="K91" s="128"/>
      <c r="L91" s="128"/>
      <c r="M91" s="128"/>
      <c r="N91" s="128"/>
      <c r="O91" s="64"/>
      <c r="P91" s="64"/>
      <c r="Q91" s="117"/>
      <c r="R91" s="117"/>
      <c r="S91" s="115"/>
    </row>
    <row r="92" spans="1:19" s="133" customFormat="1" x14ac:dyDescent="0.2">
      <c r="A92" s="856" t="str">
        <f>A32</f>
        <v>2022/23</v>
      </c>
      <c r="B92" s="827">
        <f>B32</f>
        <v>20</v>
      </c>
      <c r="C92" s="828">
        <f>Assumptions!M$15</f>
        <v>0.06</v>
      </c>
      <c r="D92" s="829">
        <f>D32</f>
        <v>0</v>
      </c>
      <c r="E92" s="130"/>
      <c r="F92" s="130"/>
      <c r="G92" s="132"/>
      <c r="H92" s="132"/>
      <c r="I92" s="132"/>
      <c r="J92" s="132"/>
      <c r="K92" s="132"/>
      <c r="L92" s="132"/>
      <c r="M92" s="132"/>
      <c r="N92" s="132"/>
      <c r="O92" s="132"/>
      <c r="P92" s="132"/>
      <c r="Q92" s="830"/>
      <c r="R92" s="830"/>
      <c r="S92" s="131"/>
    </row>
    <row r="93" spans="1:19" s="133" customFormat="1" x14ac:dyDescent="0.2">
      <c r="A93" s="856"/>
      <c r="B93" s="827"/>
      <c r="C93" s="828"/>
      <c r="D93" s="829" t="str">
        <f>D88</f>
        <v xml:space="preserve">Principal </v>
      </c>
      <c r="E93" s="130"/>
      <c r="F93" s="130"/>
      <c r="G93" s="132"/>
      <c r="H93" s="132"/>
      <c r="I93" s="132"/>
      <c r="J93" s="132"/>
      <c r="K93" s="132"/>
      <c r="L93" s="132"/>
      <c r="M93" s="132"/>
      <c r="N93" s="132"/>
      <c r="O93" s="132"/>
      <c r="P93" s="132"/>
      <c r="Q93" s="830"/>
      <c r="R93" s="830"/>
      <c r="S93" s="131">
        <f>SUM(E93:O93)</f>
        <v>0</v>
      </c>
    </row>
    <row r="94" spans="1:19" s="133" customFormat="1" x14ac:dyDescent="0.2">
      <c r="A94" s="856"/>
      <c r="B94" s="827"/>
      <c r="C94" s="828"/>
      <c r="D94" s="829" t="str">
        <f>D89</f>
        <v>Interest</v>
      </c>
      <c r="E94" s="130"/>
      <c r="F94" s="130"/>
      <c r="G94" s="132"/>
      <c r="H94" s="132"/>
      <c r="I94" s="132"/>
      <c r="J94" s="132"/>
      <c r="K94" s="132"/>
      <c r="L94" s="132"/>
      <c r="M94" s="132"/>
      <c r="N94" s="132"/>
      <c r="O94" s="132"/>
      <c r="P94" s="132"/>
      <c r="Q94" s="830"/>
      <c r="R94" s="830"/>
      <c r="S94" s="131">
        <f>SUM(E94:O94)</f>
        <v>0</v>
      </c>
    </row>
    <row r="95" spans="1:19" s="92" customFormat="1" x14ac:dyDescent="0.2">
      <c r="A95" s="726"/>
      <c r="B95" s="179"/>
      <c r="C95" s="838"/>
      <c r="D95" s="839" t="str">
        <f>D90</f>
        <v>O/S Princ</v>
      </c>
      <c r="E95" s="128"/>
      <c r="F95" s="128"/>
      <c r="G95" s="128"/>
      <c r="H95" s="128"/>
      <c r="I95" s="128"/>
      <c r="J95" s="128"/>
      <c r="K95" s="128"/>
      <c r="L95" s="128"/>
      <c r="M95" s="128"/>
      <c r="N95" s="128"/>
      <c r="O95" s="64"/>
      <c r="P95" s="64"/>
      <c r="Q95" s="117"/>
      <c r="R95" s="117"/>
      <c r="S95" s="115">
        <f>SUM(S93:S94)</f>
        <v>0</v>
      </c>
    </row>
    <row r="96" spans="1:19" s="92" customFormat="1" x14ac:dyDescent="0.2">
      <c r="A96" s="726"/>
      <c r="B96" s="179"/>
      <c r="C96" s="838"/>
      <c r="D96" s="839"/>
      <c r="E96" s="128"/>
      <c r="F96" s="128"/>
      <c r="G96" s="128"/>
      <c r="H96" s="128"/>
      <c r="I96" s="128"/>
      <c r="J96" s="128"/>
      <c r="K96" s="128"/>
      <c r="L96" s="128"/>
      <c r="M96" s="128"/>
      <c r="N96" s="128"/>
      <c r="O96" s="64"/>
      <c r="P96" s="64"/>
      <c r="Q96" s="117"/>
      <c r="R96" s="117"/>
      <c r="S96" s="115"/>
    </row>
    <row r="97" spans="1:19" s="133" customFormat="1" x14ac:dyDescent="0.2">
      <c r="A97" s="857" t="str">
        <f>A33</f>
        <v>2023/24</v>
      </c>
      <c r="B97" s="827">
        <f>B33</f>
        <v>20</v>
      </c>
      <c r="C97" s="828">
        <f>Assumptions!N$15</f>
        <v>0.06</v>
      </c>
      <c r="D97" s="829">
        <f>D33</f>
        <v>0</v>
      </c>
      <c r="E97" s="130"/>
      <c r="F97" s="130"/>
      <c r="G97" s="132"/>
      <c r="H97" s="132"/>
      <c r="I97" s="132"/>
      <c r="J97" s="132"/>
      <c r="K97" s="132"/>
      <c r="L97" s="132"/>
      <c r="M97" s="132"/>
      <c r="N97" s="132"/>
      <c r="O97" s="132"/>
      <c r="P97" s="132"/>
      <c r="Q97" s="830"/>
      <c r="R97" s="830"/>
      <c r="S97" s="131"/>
    </row>
    <row r="98" spans="1:19" s="133" customFormat="1" x14ac:dyDescent="0.2">
      <c r="A98" s="856"/>
      <c r="B98" s="827"/>
      <c r="C98" s="828"/>
      <c r="D98" s="829" t="str">
        <f>D93</f>
        <v xml:space="preserve">Principal </v>
      </c>
      <c r="E98" s="130"/>
      <c r="F98" s="130"/>
      <c r="G98" s="132"/>
      <c r="H98" s="132"/>
      <c r="I98" s="132"/>
      <c r="J98" s="132"/>
      <c r="K98" s="132"/>
      <c r="L98" s="132"/>
      <c r="M98" s="132"/>
      <c r="N98" s="132"/>
      <c r="O98" s="132"/>
      <c r="P98" s="132"/>
      <c r="Q98" s="830"/>
      <c r="R98" s="830"/>
      <c r="S98" s="131">
        <f>SUM(E98:O98)</f>
        <v>0</v>
      </c>
    </row>
    <row r="99" spans="1:19" s="133" customFormat="1" x14ac:dyDescent="0.2">
      <c r="A99" s="856"/>
      <c r="B99" s="827"/>
      <c r="C99" s="828"/>
      <c r="D99" s="829" t="str">
        <f>D94</f>
        <v>Interest</v>
      </c>
      <c r="E99" s="130"/>
      <c r="F99" s="130"/>
      <c r="G99" s="132"/>
      <c r="H99" s="132"/>
      <c r="I99" s="132"/>
      <c r="J99" s="132"/>
      <c r="K99" s="132"/>
      <c r="L99" s="132"/>
      <c r="M99" s="132"/>
      <c r="N99" s="132"/>
      <c r="O99" s="132"/>
      <c r="P99" s="132"/>
      <c r="Q99" s="830"/>
      <c r="R99" s="830"/>
      <c r="S99" s="131">
        <f>SUM(E99:O99)</f>
        <v>0</v>
      </c>
    </row>
    <row r="100" spans="1:19" s="92" customFormat="1" x14ac:dyDescent="0.2">
      <c r="A100" s="726"/>
      <c r="B100" s="179"/>
      <c r="C100" s="838"/>
      <c r="D100" s="839" t="str">
        <f>D95</f>
        <v>O/S Princ</v>
      </c>
      <c r="E100" s="128"/>
      <c r="F100" s="128"/>
      <c r="G100" s="128"/>
      <c r="H100" s="128"/>
      <c r="I100" s="128"/>
      <c r="J100" s="128"/>
      <c r="K100" s="128"/>
      <c r="L100" s="128"/>
      <c r="M100" s="128"/>
      <c r="N100" s="128"/>
      <c r="O100" s="64"/>
      <c r="P100" s="64"/>
      <c r="Q100" s="117"/>
      <c r="R100" s="117"/>
      <c r="S100" s="115">
        <f>SUM(S98:S99)</f>
        <v>0</v>
      </c>
    </row>
    <row r="101" spans="1:19" s="133" customFormat="1" ht="13.5" thickBot="1" x14ac:dyDescent="0.25">
      <c r="A101" s="856"/>
      <c r="B101" s="827"/>
      <c r="C101" s="828"/>
      <c r="D101" s="829"/>
      <c r="E101" s="130"/>
      <c r="F101" s="130"/>
      <c r="G101" s="130"/>
      <c r="H101" s="132"/>
      <c r="I101" s="130"/>
      <c r="J101" s="132"/>
      <c r="K101" s="132"/>
      <c r="L101" s="132"/>
      <c r="M101" s="132"/>
      <c r="N101" s="132"/>
      <c r="O101" s="132"/>
      <c r="P101" s="132"/>
      <c r="Q101" s="830"/>
      <c r="R101" s="830"/>
      <c r="S101" s="131"/>
    </row>
    <row r="102" spans="1:19" s="92" customFormat="1" ht="13.5" thickTop="1" x14ac:dyDescent="0.2">
      <c r="A102" s="840" t="s">
        <v>2662</v>
      </c>
      <c r="B102" s="543"/>
      <c r="C102" s="841"/>
      <c r="D102" s="842"/>
      <c r="E102" s="122"/>
      <c r="F102" s="122"/>
      <c r="G102" s="122"/>
      <c r="H102" s="162"/>
      <c r="I102" s="122"/>
      <c r="J102" s="162"/>
      <c r="K102" s="162"/>
      <c r="L102" s="162"/>
      <c r="M102" s="162"/>
      <c r="N102" s="162"/>
      <c r="O102" s="162"/>
      <c r="P102" s="162"/>
      <c r="Q102" s="385"/>
      <c r="R102" s="385"/>
      <c r="S102" s="126"/>
    </row>
    <row r="103" spans="1:19" s="133" customFormat="1" x14ac:dyDescent="0.2">
      <c r="A103" s="843" t="s">
        <v>1276</v>
      </c>
      <c r="B103" s="844"/>
      <c r="C103" s="845"/>
      <c r="D103" s="846"/>
      <c r="E103" s="130">
        <f t="shared" ref="E103:P103" si="12">E42++E48+E53+E58+E63+E68+E73+E78+E83+E88+E93+E98</f>
        <v>3500</v>
      </c>
      <c r="F103" s="130" t="e">
        <f t="shared" si="12"/>
        <v>#REF!</v>
      </c>
      <c r="G103" s="130" t="e">
        <f t="shared" si="12"/>
        <v>#REF!</v>
      </c>
      <c r="H103" s="132">
        <f t="shared" si="12"/>
        <v>0</v>
      </c>
      <c r="I103" s="130">
        <f t="shared" si="12"/>
        <v>0</v>
      </c>
      <c r="J103" s="132">
        <f t="shared" si="12"/>
        <v>0</v>
      </c>
      <c r="K103" s="132">
        <f t="shared" si="12"/>
        <v>0</v>
      </c>
      <c r="L103" s="132">
        <f t="shared" si="12"/>
        <v>0</v>
      </c>
      <c r="M103" s="132">
        <f t="shared" si="12"/>
        <v>0</v>
      </c>
      <c r="N103" s="132">
        <f t="shared" si="12"/>
        <v>0</v>
      </c>
      <c r="O103" s="132">
        <f t="shared" si="12"/>
        <v>0</v>
      </c>
      <c r="P103" s="132">
        <f t="shared" si="12"/>
        <v>0</v>
      </c>
      <c r="Q103" s="830">
        <f t="shared" ref="Q103:R103" si="13">Q42++Q48+Q53+Q58+Q63+Q68+Q73+Q78+Q83+Q88+Q93+Q98</f>
        <v>0</v>
      </c>
      <c r="R103" s="830">
        <f t="shared" si="13"/>
        <v>0</v>
      </c>
      <c r="S103" s="131" t="e">
        <f>SUM(E103:O103)</f>
        <v>#REF!</v>
      </c>
    </row>
    <row r="104" spans="1:19" s="133" customFormat="1" x14ac:dyDescent="0.2">
      <c r="A104" s="843" t="s">
        <v>1277</v>
      </c>
      <c r="B104" s="844"/>
      <c r="C104" s="845"/>
      <c r="D104" s="846"/>
      <c r="E104" s="130">
        <f t="shared" ref="E104:P104" si="14">E43++E49+E54+E59+E64+E69+E74+E79+E84+E89+E94+E99</f>
        <v>500</v>
      </c>
      <c r="F104" s="130" t="e">
        <f t="shared" si="14"/>
        <v>#REF!</v>
      </c>
      <c r="G104" s="130" t="e">
        <f t="shared" si="14"/>
        <v>#REF!</v>
      </c>
      <c r="H104" s="132">
        <f t="shared" si="14"/>
        <v>0</v>
      </c>
      <c r="I104" s="130">
        <f t="shared" si="14"/>
        <v>0</v>
      </c>
      <c r="J104" s="132">
        <f t="shared" si="14"/>
        <v>0</v>
      </c>
      <c r="K104" s="132">
        <f t="shared" si="14"/>
        <v>0</v>
      </c>
      <c r="L104" s="132">
        <f t="shared" si="14"/>
        <v>0</v>
      </c>
      <c r="M104" s="132">
        <f t="shared" si="14"/>
        <v>0</v>
      </c>
      <c r="N104" s="132">
        <f t="shared" si="14"/>
        <v>0</v>
      </c>
      <c r="O104" s="132">
        <f t="shared" si="14"/>
        <v>0</v>
      </c>
      <c r="P104" s="132">
        <f t="shared" si="14"/>
        <v>0</v>
      </c>
      <c r="Q104" s="830">
        <f t="shared" ref="Q104:R104" si="15">Q43++Q49+Q54+Q59+Q64+Q69+Q74+Q79+Q84+Q89+Q94+Q99</f>
        <v>0</v>
      </c>
      <c r="R104" s="830">
        <f t="shared" si="15"/>
        <v>0</v>
      </c>
      <c r="S104" s="131" t="e">
        <f>SUM(E104:O104)</f>
        <v>#REF!</v>
      </c>
    </row>
    <row r="105" spans="1:19" s="92" customFormat="1" x14ac:dyDescent="0.2">
      <c r="A105" s="847" t="s">
        <v>1278</v>
      </c>
      <c r="B105" s="379"/>
      <c r="C105" s="848"/>
      <c r="D105" s="797"/>
      <c r="E105" s="128" t="e">
        <f t="shared" ref="E105:P105" si="16">E44++E50+E55+E60+E65+E70+E75+E80+E85+E90+E95+E100</f>
        <v>#REF!</v>
      </c>
      <c r="F105" s="128" t="e">
        <f t="shared" si="16"/>
        <v>#REF!</v>
      </c>
      <c r="G105" s="128" t="e">
        <f t="shared" si="16"/>
        <v>#REF!</v>
      </c>
      <c r="H105" s="64">
        <f t="shared" si="16"/>
        <v>0</v>
      </c>
      <c r="I105" s="128">
        <f t="shared" si="16"/>
        <v>0</v>
      </c>
      <c r="J105" s="64">
        <f t="shared" si="16"/>
        <v>0</v>
      </c>
      <c r="K105" s="64">
        <f t="shared" si="16"/>
        <v>0</v>
      </c>
      <c r="L105" s="64">
        <f t="shared" si="16"/>
        <v>0</v>
      </c>
      <c r="M105" s="64">
        <f t="shared" si="16"/>
        <v>0</v>
      </c>
      <c r="N105" s="64">
        <f t="shared" si="16"/>
        <v>0</v>
      </c>
      <c r="O105" s="64">
        <f t="shared" si="16"/>
        <v>0</v>
      </c>
      <c r="P105" s="64">
        <f t="shared" si="16"/>
        <v>0</v>
      </c>
      <c r="Q105" s="117">
        <f t="shared" ref="Q105:R105" si="17">Q44++Q50+Q55+Q60+Q65+Q70+Q75+Q80+Q85+Q90+Q95+Q100</f>
        <v>0</v>
      </c>
      <c r="R105" s="117">
        <f t="shared" si="17"/>
        <v>0</v>
      </c>
      <c r="S105" s="131"/>
    </row>
    <row r="106" spans="1:19" s="133" customFormat="1" ht="13.5" thickBot="1" x14ac:dyDescent="0.25">
      <c r="A106" s="834"/>
      <c r="B106" s="302"/>
      <c r="C106" s="302"/>
      <c r="D106" s="849"/>
      <c r="E106" s="836"/>
      <c r="F106" s="836"/>
      <c r="G106" s="836"/>
      <c r="H106" s="835"/>
      <c r="I106" s="836"/>
      <c r="J106" s="835"/>
      <c r="K106" s="835"/>
      <c r="L106" s="835"/>
      <c r="M106" s="835"/>
      <c r="N106" s="835"/>
      <c r="O106" s="835"/>
      <c r="P106" s="835"/>
      <c r="Q106" s="849"/>
      <c r="R106" s="849"/>
      <c r="S106" s="837"/>
    </row>
    <row r="107" spans="1:19" ht="13.5" thickTop="1" x14ac:dyDescent="0.2"/>
  </sheetData>
  <mergeCells count="14">
    <mergeCell ref="AC2:AD2"/>
    <mergeCell ref="AA2:AB2"/>
    <mergeCell ref="U2:V2"/>
    <mergeCell ref="W2:X2"/>
    <mergeCell ref="Y2:Z2"/>
    <mergeCell ref="A38:S38"/>
    <mergeCell ref="N2:O2"/>
    <mergeCell ref="L2:M2"/>
    <mergeCell ref="S2:T2"/>
    <mergeCell ref="H2:I2"/>
    <mergeCell ref="J2:K2"/>
    <mergeCell ref="D2:E2"/>
    <mergeCell ref="F2:G2"/>
    <mergeCell ref="A19:S19"/>
  </mergeCells>
  <phoneticPr fontId="9" type="noConversion"/>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pageSetUpPr fitToPage="1"/>
  </sheetPr>
  <dimension ref="A1:AT129"/>
  <sheetViews>
    <sheetView topLeftCell="P1" workbookViewId="0">
      <selection activeCell="AH16" sqref="AH16"/>
    </sheetView>
  </sheetViews>
  <sheetFormatPr defaultColWidth="9.140625" defaultRowHeight="12.75" x14ac:dyDescent="0.2"/>
  <cols>
    <col min="1" max="1" width="29.28515625" style="850" bestFit="1" customWidth="1"/>
    <col min="2" max="2" width="12.7109375" style="850" bestFit="1" customWidth="1"/>
    <col min="3" max="3" width="10" style="850" customWidth="1"/>
    <col min="4" max="4" width="13" style="850" customWidth="1"/>
    <col min="5" max="6" width="10.85546875" style="850" customWidth="1"/>
    <col min="7" max="7" width="11.28515625" style="850" customWidth="1"/>
    <col min="8" max="9" width="11.140625" style="1036" customWidth="1"/>
    <col min="10" max="11" width="10.85546875" style="850" customWidth="1"/>
    <col min="12" max="12" width="11" style="850" customWidth="1"/>
    <col min="13" max="13" width="11.140625" style="850" customWidth="1"/>
    <col min="14" max="14" width="11.5703125" style="850" customWidth="1"/>
    <col min="15" max="15" width="11" style="850" customWidth="1"/>
    <col min="16" max="16" width="11.140625" style="850" bestFit="1" customWidth="1"/>
    <col min="17" max="17" width="10.7109375" style="850" customWidth="1"/>
    <col min="18" max="18" width="10.140625" style="850" customWidth="1"/>
    <col min="19" max="19" width="11" style="850" bestFit="1" customWidth="1"/>
    <col min="20" max="20" width="10" style="850" bestFit="1" customWidth="1"/>
    <col min="21" max="21" width="11" style="850" bestFit="1" customWidth="1"/>
    <col min="22" max="22" width="10" style="850" bestFit="1" customWidth="1"/>
    <col min="23" max="23" width="11" style="850" bestFit="1" customWidth="1"/>
    <col min="24" max="24" width="10" style="850" bestFit="1" customWidth="1"/>
    <col min="25" max="25" width="11" style="850" bestFit="1" customWidth="1"/>
    <col min="26" max="26" width="10" style="850" bestFit="1" customWidth="1"/>
    <col min="27" max="27" width="11" style="850" bestFit="1" customWidth="1"/>
    <col min="28" max="28" width="11.28515625" style="850" bestFit="1" customWidth="1"/>
    <col min="29" max="29" width="12.85546875" style="850" customWidth="1"/>
    <col min="30" max="30" width="11.28515625" style="850" bestFit="1" customWidth="1"/>
    <col min="31" max="31" width="12.85546875" style="850" customWidth="1"/>
    <col min="32" max="32" width="11.28515625" style="850" bestFit="1" customWidth="1"/>
    <col min="33" max="33" width="12.85546875" style="850" customWidth="1"/>
    <col min="34" max="34" width="9.140625" style="2763" bestFit="1"/>
    <col min="35" max="35" width="10.28515625" style="850" bestFit="1" customWidth="1"/>
    <col min="36" max="36" width="9.140625" style="850" bestFit="1"/>
    <col min="37" max="39" width="9.140625" style="850"/>
    <col min="40" max="40" width="9.140625" style="850" bestFit="1"/>
    <col min="41" max="43" width="9.140625" style="850"/>
    <col min="44" max="44" width="9.140625" style="850" bestFit="1"/>
    <col min="45" max="45" width="9.140625" style="852"/>
    <col min="46" max="46" width="9.140625" style="852" bestFit="1"/>
    <col min="47" max="16384" width="9.140625" style="850"/>
  </cols>
  <sheetData>
    <row r="1" spans="1:46" ht="13.5" thickTop="1" x14ac:dyDescent="0.2">
      <c r="A1" s="3005"/>
      <c r="B1" s="3006"/>
      <c r="C1" s="3006"/>
      <c r="D1" s="3006"/>
      <c r="E1" s="3006"/>
      <c r="F1" s="3006"/>
      <c r="G1" s="3006"/>
      <c r="H1" s="3006"/>
      <c r="I1" s="3006"/>
      <c r="J1" s="3006"/>
      <c r="K1" s="3006"/>
      <c r="L1" s="3006"/>
      <c r="M1" s="3006"/>
      <c r="N1" s="3006"/>
      <c r="O1" s="3006"/>
      <c r="P1" s="3006"/>
      <c r="Q1" s="3006"/>
      <c r="R1" s="3006"/>
      <c r="S1" s="3006"/>
      <c r="T1" s="3006"/>
      <c r="U1" s="3006"/>
      <c r="V1" s="3006"/>
      <c r="W1" s="3006"/>
      <c r="X1" s="3006"/>
      <c r="Y1" s="3006"/>
      <c r="Z1" s="3006"/>
      <c r="AA1" s="3006"/>
      <c r="AB1" s="3006"/>
      <c r="AC1" s="3006"/>
      <c r="AD1" s="3006"/>
      <c r="AE1" s="3006"/>
      <c r="AF1" s="3006"/>
      <c r="AG1" s="3007"/>
      <c r="AR1" s="852"/>
      <c r="AT1" s="850"/>
    </row>
    <row r="2" spans="1:46" x14ac:dyDescent="0.2">
      <c r="A2" s="3008" t="s">
        <v>4702</v>
      </c>
      <c r="B2" s="3009"/>
      <c r="C2" s="3009"/>
      <c r="D2" s="3009"/>
      <c r="E2" s="3009"/>
      <c r="F2" s="3009"/>
      <c r="G2" s="3009"/>
      <c r="H2" s="3009"/>
      <c r="I2" s="3009"/>
      <c r="J2" s="3009"/>
      <c r="K2" s="3009"/>
      <c r="L2" s="3009"/>
      <c r="M2" s="3009"/>
      <c r="N2" s="3009"/>
      <c r="O2" s="3009"/>
      <c r="P2" s="3009"/>
      <c r="Q2" s="3009"/>
      <c r="R2" s="3009"/>
      <c r="S2" s="3009"/>
      <c r="T2" s="3009"/>
      <c r="U2" s="3009"/>
      <c r="V2" s="3009"/>
      <c r="W2" s="3009"/>
      <c r="X2" s="3009"/>
      <c r="Y2" s="3009"/>
      <c r="Z2" s="3009"/>
      <c r="AA2" s="3009"/>
      <c r="AB2" s="3009"/>
      <c r="AC2" s="3009"/>
      <c r="AD2" s="3009"/>
      <c r="AE2" s="3009"/>
      <c r="AF2" s="3009"/>
      <c r="AG2" s="3010"/>
      <c r="AR2" s="852"/>
      <c r="AT2" s="850"/>
    </row>
    <row r="3" spans="1:46" s="2758" customFormat="1" x14ac:dyDescent="0.2">
      <c r="A3" s="2660"/>
      <c r="B3" s="2659"/>
      <c r="C3" s="2659"/>
      <c r="D3" s="2656"/>
      <c r="E3" s="2656"/>
      <c r="F3" s="2656"/>
      <c r="G3" s="2656"/>
      <c r="H3" s="2656"/>
      <c r="I3" s="2656"/>
      <c r="J3" s="2656"/>
      <c r="K3" s="2656"/>
      <c r="L3" s="2656"/>
      <c r="M3" s="2656"/>
      <c r="N3" s="2656"/>
      <c r="O3" s="2656"/>
      <c r="P3" s="2656"/>
      <c r="Q3" s="2656"/>
      <c r="R3" s="2656"/>
      <c r="S3" s="2656"/>
      <c r="T3" s="2656"/>
      <c r="U3" s="2656"/>
      <c r="V3" s="2656"/>
      <c r="W3" s="2656"/>
      <c r="X3" s="2656"/>
      <c r="Y3" s="2656"/>
      <c r="Z3" s="2656"/>
      <c r="AA3" s="2656"/>
      <c r="AB3" s="2656"/>
      <c r="AC3" s="2656"/>
      <c r="AD3" s="2656"/>
      <c r="AE3" s="2656"/>
      <c r="AF3" s="2656"/>
      <c r="AG3" s="2657"/>
      <c r="AH3" s="2764"/>
      <c r="AR3" s="2759"/>
      <c r="AS3" s="2759"/>
    </row>
    <row r="4" spans="1:46" s="1770" customFormat="1" x14ac:dyDescent="0.2">
      <c r="A4" s="1769"/>
      <c r="B4" s="1793" t="s">
        <v>2671</v>
      </c>
      <c r="C4" s="1793" t="s">
        <v>4705</v>
      </c>
      <c r="D4" s="2998" t="s">
        <v>1167</v>
      </c>
      <c r="E4" s="2999"/>
      <c r="F4" s="2998" t="s">
        <v>888</v>
      </c>
      <c r="G4" s="2999"/>
      <c r="H4" s="3000" t="s">
        <v>502</v>
      </c>
      <c r="I4" s="3001"/>
      <c r="J4" s="2998" t="s">
        <v>1931</v>
      </c>
      <c r="K4" s="2999"/>
      <c r="L4" s="2998" t="s">
        <v>379</v>
      </c>
      <c r="M4" s="2999"/>
      <c r="N4" s="2998" t="s">
        <v>2922</v>
      </c>
      <c r="O4" s="2999"/>
      <c r="P4" s="2998" t="s">
        <v>1513</v>
      </c>
      <c r="Q4" s="2999"/>
      <c r="R4" s="2998" t="s">
        <v>2143</v>
      </c>
      <c r="S4" s="2999"/>
      <c r="T4" s="2998" t="s">
        <v>1001</v>
      </c>
      <c r="U4" s="2999"/>
      <c r="V4" s="2998" t="s">
        <v>2637</v>
      </c>
      <c r="W4" s="2999"/>
      <c r="X4" s="2998" t="s">
        <v>1991</v>
      </c>
      <c r="Y4" s="2999"/>
      <c r="Z4" s="2998" t="s">
        <v>2945</v>
      </c>
      <c r="AA4" s="2999"/>
      <c r="AB4" s="2998" t="s">
        <v>3530</v>
      </c>
      <c r="AC4" s="2999"/>
      <c r="AD4" s="2998" t="s">
        <v>7045</v>
      </c>
      <c r="AE4" s="2999"/>
      <c r="AF4" s="2998" t="s">
        <v>7046</v>
      </c>
      <c r="AG4" s="3011"/>
      <c r="AH4" s="2765"/>
    </row>
    <row r="5" spans="1:46" x14ac:dyDescent="0.2">
      <c r="A5" s="1771" t="s">
        <v>1929</v>
      </c>
      <c r="B5" s="1794" t="s">
        <v>2268</v>
      </c>
      <c r="C5" s="1794" t="s">
        <v>4706</v>
      </c>
      <c r="D5" s="2733" t="s">
        <v>2604</v>
      </c>
      <c r="E5" s="1460" t="s">
        <v>2671</v>
      </c>
      <c r="F5" s="1460" t="s">
        <v>2604</v>
      </c>
      <c r="G5" s="1460" t="s">
        <v>2671</v>
      </c>
      <c r="H5" s="2760" t="s">
        <v>2604</v>
      </c>
      <c r="I5" s="2760" t="s">
        <v>2671</v>
      </c>
      <c r="J5" s="1460" t="s">
        <v>2604</v>
      </c>
      <c r="K5" s="1460" t="s">
        <v>2671</v>
      </c>
      <c r="L5" s="1460" t="s">
        <v>2604</v>
      </c>
      <c r="M5" s="1460" t="s">
        <v>2671</v>
      </c>
      <c r="N5" s="1460" t="s">
        <v>2604</v>
      </c>
      <c r="O5" s="1460" t="s">
        <v>2671</v>
      </c>
      <c r="P5" s="1460" t="s">
        <v>2604</v>
      </c>
      <c r="Q5" s="1460" t="s">
        <v>2671</v>
      </c>
      <c r="R5" s="1460" t="s">
        <v>2604</v>
      </c>
      <c r="S5" s="1460" t="s">
        <v>2671</v>
      </c>
      <c r="T5" s="1460" t="s">
        <v>2604</v>
      </c>
      <c r="U5" s="1460" t="s">
        <v>2671</v>
      </c>
      <c r="V5" s="1460" t="s">
        <v>2604</v>
      </c>
      <c r="W5" s="1460" t="s">
        <v>2671</v>
      </c>
      <c r="X5" s="1460" t="s">
        <v>2604</v>
      </c>
      <c r="Y5" s="1460" t="s">
        <v>2671</v>
      </c>
      <c r="Z5" s="1460" t="s">
        <v>2604</v>
      </c>
      <c r="AA5" s="1460" t="s">
        <v>2671</v>
      </c>
      <c r="AB5" s="1460" t="s">
        <v>2604</v>
      </c>
      <c r="AC5" s="2734" t="s">
        <v>2671</v>
      </c>
      <c r="AD5" s="2734" t="s">
        <v>2604</v>
      </c>
      <c r="AE5" s="2734" t="s">
        <v>2671</v>
      </c>
      <c r="AF5" s="2734" t="s">
        <v>2604</v>
      </c>
      <c r="AG5" s="2092" t="s">
        <v>2671</v>
      </c>
      <c r="AS5" s="850"/>
      <c r="AT5" s="850"/>
    </row>
    <row r="6" spans="1:46" x14ac:dyDescent="0.2">
      <c r="A6" s="843"/>
      <c r="B6" s="1797"/>
      <c r="C6" s="1795"/>
      <c r="D6" s="1802"/>
      <c r="E6" s="1797"/>
      <c r="F6" s="1797"/>
      <c r="G6" s="1797"/>
      <c r="H6" s="1804"/>
      <c r="I6" s="1804"/>
      <c r="J6" s="1797"/>
      <c r="K6" s="1797"/>
      <c r="L6" s="1797"/>
      <c r="M6" s="1797"/>
      <c r="N6" s="1797"/>
      <c r="O6" s="1797"/>
      <c r="P6" s="1797"/>
      <c r="Q6" s="1797"/>
      <c r="R6" s="1797"/>
      <c r="S6" s="1797"/>
      <c r="T6" s="1797"/>
      <c r="U6" s="1797"/>
      <c r="V6" s="1797"/>
      <c r="W6" s="1797"/>
      <c r="X6" s="1797"/>
      <c r="Y6" s="1797"/>
      <c r="Z6" s="1797"/>
      <c r="AA6" s="1797"/>
      <c r="AB6" s="1797"/>
      <c r="AC6" s="2189"/>
      <c r="AD6" s="2189"/>
      <c r="AE6" s="2189"/>
      <c r="AF6" s="2189"/>
      <c r="AG6" s="1772"/>
      <c r="AS6" s="850"/>
      <c r="AT6" s="850"/>
    </row>
    <row r="7" spans="1:46" x14ac:dyDescent="0.2">
      <c r="A7" s="1773" t="s">
        <v>1929</v>
      </c>
      <c r="B7" s="1798"/>
      <c r="C7" s="1796"/>
      <c r="D7" s="1994"/>
      <c r="E7" s="1502"/>
      <c r="F7" s="1502"/>
      <c r="G7" s="1502"/>
      <c r="H7" s="891"/>
      <c r="I7" s="891"/>
      <c r="J7" s="1502"/>
      <c r="K7" s="1502"/>
      <c r="L7" s="1502"/>
      <c r="M7" s="1502"/>
      <c r="N7" s="1502"/>
      <c r="O7" s="1502"/>
      <c r="P7" s="1502"/>
      <c r="Q7" s="1502"/>
      <c r="R7" s="1502"/>
      <c r="S7" s="1502"/>
      <c r="T7" s="1502"/>
      <c r="U7" s="1502"/>
      <c r="V7" s="1502"/>
      <c r="W7" s="1502"/>
      <c r="X7" s="1502"/>
      <c r="Y7" s="1502"/>
      <c r="Z7" s="1502"/>
      <c r="AA7" s="1502"/>
      <c r="AB7" s="1502"/>
      <c r="AC7" s="2735"/>
      <c r="AD7" s="2735"/>
      <c r="AE7" s="2735"/>
      <c r="AF7" s="2735"/>
      <c r="AG7" s="2736"/>
      <c r="AS7" s="850"/>
      <c r="AT7" s="850"/>
    </row>
    <row r="8" spans="1:46" x14ac:dyDescent="0.2">
      <c r="A8" s="818" t="s">
        <v>4709</v>
      </c>
      <c r="B8" s="1801">
        <v>0</v>
      </c>
      <c r="C8" s="1800">
        <v>43830</v>
      </c>
      <c r="D8" s="2737">
        <v>750000</v>
      </c>
      <c r="E8" s="949"/>
      <c r="F8" s="949">
        <v>750000</v>
      </c>
      <c r="G8" s="949"/>
      <c r="H8" s="949">
        <v>750000</v>
      </c>
      <c r="I8" s="949"/>
      <c r="J8" s="949">
        <v>750000</v>
      </c>
      <c r="K8" s="949"/>
      <c r="L8" s="949">
        <v>750000</v>
      </c>
      <c r="M8" s="949"/>
      <c r="N8" s="949">
        <v>750000</v>
      </c>
      <c r="O8" s="949"/>
      <c r="P8" s="949">
        <v>750000</v>
      </c>
      <c r="Q8" s="949"/>
      <c r="R8" s="949">
        <v>750000</v>
      </c>
      <c r="S8" s="949"/>
      <c r="T8" s="949">
        <v>0</v>
      </c>
      <c r="U8" s="949"/>
      <c r="V8" s="949"/>
      <c r="W8" s="949"/>
      <c r="X8" s="891"/>
      <c r="Y8" s="891"/>
      <c r="Z8" s="891"/>
      <c r="AA8" s="891"/>
      <c r="AB8" s="891"/>
      <c r="AC8" s="1953"/>
      <c r="AD8" s="1953"/>
      <c r="AE8" s="1953"/>
      <c r="AF8" s="891"/>
      <c r="AG8" s="2738"/>
      <c r="AS8" s="850"/>
      <c r="AT8" s="850"/>
    </row>
    <row r="9" spans="1:46" x14ac:dyDescent="0.2">
      <c r="A9" s="818" t="s">
        <v>4709</v>
      </c>
      <c r="B9" s="1801">
        <v>0</v>
      </c>
      <c r="C9" s="1800">
        <v>43830</v>
      </c>
      <c r="D9" s="2737">
        <v>235000</v>
      </c>
      <c r="E9" s="949"/>
      <c r="F9" s="949">
        <v>235000</v>
      </c>
      <c r="G9" s="949"/>
      <c r="H9" s="949">
        <v>235000</v>
      </c>
      <c r="I9" s="949"/>
      <c r="J9" s="949">
        <v>235000</v>
      </c>
      <c r="K9" s="949"/>
      <c r="L9" s="949">
        <v>235000</v>
      </c>
      <c r="M9" s="949"/>
      <c r="N9" s="949">
        <v>235000</v>
      </c>
      <c r="O9" s="949"/>
      <c r="P9" s="949">
        <v>235000</v>
      </c>
      <c r="Q9" s="949"/>
      <c r="R9" s="949">
        <v>235000</v>
      </c>
      <c r="S9" s="949"/>
      <c r="T9" s="949">
        <v>0</v>
      </c>
      <c r="U9" s="949"/>
      <c r="V9" s="949"/>
      <c r="W9" s="949"/>
      <c r="X9" s="891"/>
      <c r="Y9" s="891"/>
      <c r="Z9" s="891"/>
      <c r="AA9" s="891"/>
      <c r="AB9" s="891"/>
      <c r="AC9" s="1953"/>
      <c r="AD9" s="1953"/>
      <c r="AE9" s="1953"/>
      <c r="AF9" s="891"/>
      <c r="AG9" s="2738"/>
      <c r="AS9" s="850"/>
      <c r="AT9" s="850"/>
    </row>
    <row r="10" spans="1:46" x14ac:dyDescent="0.2">
      <c r="A10" s="818" t="s">
        <v>4704</v>
      </c>
      <c r="B10" s="1897">
        <v>7.2099999999999997E-2</v>
      </c>
      <c r="C10" s="1898">
        <v>45096</v>
      </c>
      <c r="D10" s="2737"/>
      <c r="E10" s="949"/>
      <c r="F10" s="949">
        <v>1105574</v>
      </c>
      <c r="G10" s="949">
        <v>3803704</v>
      </c>
      <c r="H10" s="949">
        <v>886100</v>
      </c>
      <c r="I10" s="949">
        <f>3716436- (920560-807066)</f>
        <v>3602942</v>
      </c>
      <c r="J10" s="949">
        <f>335890+370378+377036+383813</f>
        <v>1467117</v>
      </c>
      <c r="K10" s="949">
        <f>891429+856942+850284+843507</f>
        <v>3442162</v>
      </c>
      <c r="L10" s="949">
        <f>390712+397736+404885+412163</f>
        <v>1605496</v>
      </c>
      <c r="M10" s="949">
        <f>836607+829584+822434+815156</f>
        <v>3303781</v>
      </c>
      <c r="N10" s="132">
        <f>410696+426955+443340+433975</f>
        <v>1714966</v>
      </c>
      <c r="O10" s="132">
        <f>816624+800365+783979+793344</f>
        <v>3194312</v>
      </c>
      <c r="P10" s="132">
        <f>441862+458342+474941+466853</f>
        <v>1841998</v>
      </c>
      <c r="Q10" s="132">
        <f>785458+768977+752378+760467</f>
        <v>3067280</v>
      </c>
      <c r="R10" s="949">
        <f>475337+492055+500900+502020</f>
        <v>1970312</v>
      </c>
      <c r="S10" s="949">
        <f>751983+735264+726419+725299</f>
        <v>2938965</v>
      </c>
      <c r="T10" s="132">
        <f>495575+527836+560072+524977</f>
        <v>2108460</v>
      </c>
      <c r="U10" s="132">
        <f>731745+699483+667248+702342</f>
        <v>2800818</v>
      </c>
      <c r="V10" s="949">
        <f>556829+566838+577028+587400</f>
        <v>2288095</v>
      </c>
      <c r="W10" s="1011">
        <f>670490+660481+650292+639919</f>
        <v>2621182</v>
      </c>
      <c r="X10" s="1011">
        <f>597959+608708+619650+630788</f>
        <v>2457105</v>
      </c>
      <c r="Y10" s="1011">
        <f>629361+618612+607670+596531</f>
        <v>2452174</v>
      </c>
      <c r="Z10" s="1011">
        <f>O53</f>
        <v>2626000</v>
      </c>
      <c r="AA10" s="1011">
        <f>O54</f>
        <v>2283300</v>
      </c>
      <c r="AB10" s="2739">
        <f>P53</f>
        <v>2800000</v>
      </c>
      <c r="AC10" s="2740">
        <f>P54</f>
        <v>2109300</v>
      </c>
      <c r="AD10" s="2740">
        <f>Q53</f>
        <v>2969000</v>
      </c>
      <c r="AE10" s="2740">
        <f>Q54</f>
        <v>1940300</v>
      </c>
      <c r="AF10" s="2739">
        <f>R53</f>
        <v>3138000</v>
      </c>
      <c r="AG10" s="2741">
        <f>R54</f>
        <v>1771300</v>
      </c>
      <c r="AH10" s="853">
        <f>AF10+(AF10-AD10)</f>
        <v>3307000</v>
      </c>
      <c r="AI10" s="2190"/>
      <c r="AS10" s="850"/>
      <c r="AT10" s="850"/>
    </row>
    <row r="11" spans="1:46" x14ac:dyDescent="0.2">
      <c r="A11" s="818" t="s">
        <v>4707</v>
      </c>
      <c r="B11" s="1801">
        <v>7.4700000000000003E-2</v>
      </c>
      <c r="C11" s="1800">
        <v>43281</v>
      </c>
      <c r="D11" s="2737"/>
      <c r="E11" s="949"/>
      <c r="F11" s="949">
        <v>294245</v>
      </c>
      <c r="G11" s="949">
        <v>962985</v>
      </c>
      <c r="H11" s="949">
        <v>316849</v>
      </c>
      <c r="I11" s="949">
        <v>940381</v>
      </c>
      <c r="J11" s="949">
        <v>341188</v>
      </c>
      <c r="K11" s="949">
        <v>916041</v>
      </c>
      <c r="L11" s="949">
        <v>367398</v>
      </c>
      <c r="M11" s="949">
        <v>889831</v>
      </c>
      <c r="N11" s="132">
        <v>395621</v>
      </c>
      <c r="O11" s="132">
        <v>861608</v>
      </c>
      <c r="P11" s="132"/>
      <c r="Q11" s="132"/>
      <c r="R11" s="949"/>
      <c r="S11" s="949"/>
      <c r="T11" s="132"/>
      <c r="U11" s="132"/>
      <c r="V11" s="949"/>
      <c r="W11" s="1011"/>
      <c r="X11" s="1011"/>
      <c r="Y11" s="1011"/>
      <c r="Z11" s="1011"/>
      <c r="AA11" s="1011"/>
      <c r="AB11" s="2739"/>
      <c r="AC11" s="2740"/>
      <c r="AD11" s="2740"/>
      <c r="AE11" s="2740"/>
      <c r="AF11" s="2739"/>
      <c r="AG11" s="2741"/>
      <c r="AS11" s="850"/>
      <c r="AT11" s="850"/>
    </row>
    <row r="12" spans="1:46" x14ac:dyDescent="0.2">
      <c r="A12" s="818" t="s">
        <v>4996</v>
      </c>
      <c r="B12" s="1801">
        <v>0.06</v>
      </c>
      <c r="C12" s="1800">
        <v>43281</v>
      </c>
      <c r="D12" s="2737"/>
      <c r="E12" s="949"/>
      <c r="F12" s="949"/>
      <c r="G12" s="949"/>
      <c r="H12" s="949"/>
      <c r="I12" s="949"/>
      <c r="J12" s="949"/>
      <c r="K12" s="949"/>
      <c r="L12" s="949"/>
      <c r="M12" s="949"/>
      <c r="N12" s="132"/>
      <c r="O12" s="132"/>
      <c r="P12" s="132">
        <f>J63</f>
        <v>307000</v>
      </c>
      <c r="Q12" s="132">
        <f>J64</f>
        <v>677000</v>
      </c>
      <c r="R12" s="949">
        <f>K63</f>
        <v>325000</v>
      </c>
      <c r="S12" s="949">
        <f>K64</f>
        <v>659000</v>
      </c>
      <c r="T12" s="132">
        <f>L63</f>
        <v>345000</v>
      </c>
      <c r="U12" s="132">
        <f>L64</f>
        <v>639000</v>
      </c>
      <c r="V12" s="949">
        <f>M63</f>
        <v>366000</v>
      </c>
      <c r="W12" s="1011">
        <f>M64</f>
        <v>618000</v>
      </c>
      <c r="X12" s="1011">
        <f>N63</f>
        <v>387000</v>
      </c>
      <c r="Y12" s="1011">
        <f>N64</f>
        <v>597000</v>
      </c>
      <c r="Z12" s="1011">
        <f>O63</f>
        <v>411000</v>
      </c>
      <c r="AA12" s="1011">
        <f>O64</f>
        <v>573000</v>
      </c>
      <c r="AB12" s="2739">
        <f>P63</f>
        <v>435000</v>
      </c>
      <c r="AC12" s="2740">
        <f>P64</f>
        <v>549000</v>
      </c>
      <c r="AD12" s="2740">
        <f>Q63</f>
        <v>461000</v>
      </c>
      <c r="AE12" s="2740">
        <f>Q64</f>
        <v>523000</v>
      </c>
      <c r="AF12" s="2739">
        <f>R63</f>
        <v>489000</v>
      </c>
      <c r="AG12" s="2741">
        <f>R64</f>
        <v>495000</v>
      </c>
      <c r="AH12" s="853">
        <f>AF12+(AF12-AD12)</f>
        <v>517000</v>
      </c>
      <c r="AS12" s="850"/>
      <c r="AT12" s="850"/>
    </row>
    <row r="13" spans="1:46" x14ac:dyDescent="0.2">
      <c r="A13" s="818" t="s">
        <v>4703</v>
      </c>
      <c r="B13" s="1801"/>
      <c r="C13" s="951"/>
      <c r="D13" s="1952"/>
      <c r="E13" s="949">
        <v>3266638</v>
      </c>
      <c r="F13" s="1502"/>
      <c r="G13" s="949"/>
      <c r="H13" s="891"/>
      <c r="I13" s="949"/>
      <c r="J13" s="949"/>
      <c r="K13" s="949"/>
      <c r="L13" s="949"/>
      <c r="M13" s="949"/>
      <c r="N13" s="949"/>
      <c r="O13" s="949"/>
      <c r="P13" s="949"/>
      <c r="Q13" s="949"/>
      <c r="R13" s="949"/>
      <c r="S13" s="949"/>
      <c r="T13" s="949"/>
      <c r="U13" s="949"/>
      <c r="V13" s="949"/>
      <c r="W13" s="1011"/>
      <c r="X13" s="1011"/>
      <c r="Y13" s="1011"/>
      <c r="Z13" s="2742"/>
      <c r="AA13" s="2742"/>
      <c r="AB13" s="2742"/>
      <c r="AC13" s="2030"/>
      <c r="AD13" s="2030"/>
      <c r="AE13" s="2030"/>
      <c r="AF13" s="2742"/>
      <c r="AG13" s="2743"/>
      <c r="AS13" s="850"/>
      <c r="AT13" s="850"/>
    </row>
    <row r="14" spans="1:46" x14ac:dyDescent="0.2">
      <c r="A14" s="818" t="s">
        <v>5375</v>
      </c>
      <c r="B14" s="1801"/>
      <c r="C14" s="951"/>
      <c r="D14" s="1952"/>
      <c r="E14" s="949"/>
      <c r="F14" s="1502"/>
      <c r="G14" s="949"/>
      <c r="H14" s="891"/>
      <c r="I14" s="949">
        <v>104300</v>
      </c>
      <c r="J14" s="949"/>
      <c r="K14" s="949"/>
      <c r="L14" s="949"/>
      <c r="M14" s="949"/>
      <c r="N14" s="949"/>
      <c r="O14" s="949"/>
      <c r="P14" s="949"/>
      <c r="Q14" s="949"/>
      <c r="R14" s="949"/>
      <c r="S14" s="949"/>
      <c r="T14" s="949"/>
      <c r="U14" s="949"/>
      <c r="V14" s="949"/>
      <c r="W14" s="1011"/>
      <c r="X14" s="1011"/>
      <c r="Y14" s="1011"/>
      <c r="Z14" s="2742"/>
      <c r="AA14" s="2742"/>
      <c r="AB14" s="2742"/>
      <c r="AC14" s="2030"/>
      <c r="AD14" s="2030"/>
      <c r="AE14" s="2030"/>
      <c r="AF14" s="2742"/>
      <c r="AG14" s="2743"/>
      <c r="AS14" s="850"/>
      <c r="AT14" s="850"/>
    </row>
    <row r="15" spans="1:46" x14ac:dyDescent="0.2">
      <c r="A15" s="843"/>
      <c r="B15" s="1797"/>
      <c r="C15" s="1797"/>
      <c r="D15" s="1994"/>
      <c r="E15" s="1502"/>
      <c r="F15" s="1502"/>
      <c r="G15" s="1502"/>
      <c r="H15" s="891"/>
      <c r="I15" s="891"/>
      <c r="J15" s="1502"/>
      <c r="K15" s="1502"/>
      <c r="L15" s="1502"/>
      <c r="M15" s="1502"/>
      <c r="N15" s="1502"/>
      <c r="O15" s="1502"/>
      <c r="P15" s="1502"/>
      <c r="Q15" s="1502"/>
      <c r="R15" s="1502"/>
      <c r="S15" s="1502"/>
      <c r="T15" s="1502"/>
      <c r="U15" s="1502"/>
      <c r="V15" s="1502"/>
      <c r="W15" s="1502"/>
      <c r="X15" s="1502"/>
      <c r="Y15" s="1502"/>
      <c r="Z15" s="1502"/>
      <c r="AA15" s="1502"/>
      <c r="AB15" s="1502"/>
      <c r="AC15" s="2735"/>
      <c r="AD15" s="2735"/>
      <c r="AE15" s="2735"/>
      <c r="AF15" s="1502"/>
      <c r="AG15" s="2736"/>
    </row>
    <row r="16" spans="1:46" s="1770" customFormat="1" ht="13.5" thickBot="1" x14ac:dyDescent="0.25">
      <c r="A16" s="1773" t="s">
        <v>54</v>
      </c>
      <c r="B16" s="1798"/>
      <c r="C16" s="1798"/>
      <c r="D16" s="2744">
        <f>ROUND(SUM(D7:D15),-2)</f>
        <v>985000</v>
      </c>
      <c r="E16" s="2744">
        <f t="shared" ref="E16:AB16" si="0">ROUND(SUM(E7:E15),-2)</f>
        <v>3266600</v>
      </c>
      <c r="F16" s="2744">
        <f t="shared" si="0"/>
        <v>2384800</v>
      </c>
      <c r="G16" s="2744">
        <f t="shared" si="0"/>
        <v>4766700</v>
      </c>
      <c r="H16" s="2744">
        <f t="shared" si="0"/>
        <v>2187900</v>
      </c>
      <c r="I16" s="2744">
        <f t="shared" si="0"/>
        <v>4647600</v>
      </c>
      <c r="J16" s="2744">
        <f t="shared" si="0"/>
        <v>2793300</v>
      </c>
      <c r="K16" s="2744">
        <f t="shared" si="0"/>
        <v>4358200</v>
      </c>
      <c r="L16" s="2744">
        <f t="shared" si="0"/>
        <v>2957900</v>
      </c>
      <c r="M16" s="2744">
        <f t="shared" si="0"/>
        <v>4193600</v>
      </c>
      <c r="N16" s="2744">
        <f t="shared" si="0"/>
        <v>3095600</v>
      </c>
      <c r="O16" s="2744">
        <f t="shared" si="0"/>
        <v>4055900</v>
      </c>
      <c r="P16" s="2744">
        <f t="shared" si="0"/>
        <v>3134000</v>
      </c>
      <c r="Q16" s="2744">
        <f t="shared" si="0"/>
        <v>3744300</v>
      </c>
      <c r="R16" s="2744">
        <f t="shared" si="0"/>
        <v>3280300</v>
      </c>
      <c r="S16" s="2744">
        <f t="shared" si="0"/>
        <v>3598000</v>
      </c>
      <c r="T16" s="2744">
        <f t="shared" si="0"/>
        <v>2453500</v>
      </c>
      <c r="U16" s="2744">
        <f t="shared" si="0"/>
        <v>3439800</v>
      </c>
      <c r="V16" s="2744">
        <f t="shared" si="0"/>
        <v>2654100</v>
      </c>
      <c r="W16" s="2744">
        <f t="shared" si="0"/>
        <v>3239200</v>
      </c>
      <c r="X16" s="2744">
        <f t="shared" si="0"/>
        <v>2844100</v>
      </c>
      <c r="Y16" s="2744">
        <f t="shared" si="0"/>
        <v>3049200</v>
      </c>
      <c r="Z16" s="2744">
        <f t="shared" si="0"/>
        <v>3037000</v>
      </c>
      <c r="AA16" s="2744">
        <f t="shared" si="0"/>
        <v>2856300</v>
      </c>
      <c r="AB16" s="2744">
        <f t="shared" si="0"/>
        <v>3235000</v>
      </c>
      <c r="AC16" s="2745">
        <f>ROUND(+SUM(AC7:AC15),-2)</f>
        <v>2658300</v>
      </c>
      <c r="AD16" s="2746">
        <f t="shared" ref="AD16:AF16" si="1">ROUND(SUM(AD7:AD15),-2)</f>
        <v>3430000</v>
      </c>
      <c r="AE16" s="2745">
        <f>ROUND(+SUM(AE7:AE15),-2)</f>
        <v>2463300</v>
      </c>
      <c r="AF16" s="2757">
        <f t="shared" si="1"/>
        <v>3627000</v>
      </c>
      <c r="AG16" s="2747">
        <f>ROUND(+SUM(AG7:AG15),-2)</f>
        <v>2266300</v>
      </c>
      <c r="AH16" s="2765">
        <f>SUM(AH9:AH15)</f>
        <v>3824000</v>
      </c>
      <c r="AS16" s="1774"/>
      <c r="AT16" s="1774"/>
    </row>
    <row r="17" spans="1:46" ht="13.5" thickTop="1" x14ac:dyDescent="0.2">
      <c r="A17" s="843" t="s">
        <v>4708</v>
      </c>
      <c r="B17" s="1797"/>
      <c r="C17" s="1797"/>
      <c r="D17" s="1994"/>
      <c r="E17" s="1502"/>
      <c r="F17" s="1502"/>
      <c r="G17" s="1502"/>
      <c r="H17" s="891"/>
      <c r="I17" s="891"/>
      <c r="J17" s="1502"/>
      <c r="K17" s="1502"/>
      <c r="L17" s="1502"/>
      <c r="M17" s="1502"/>
      <c r="N17" s="1502"/>
      <c r="O17" s="1502"/>
      <c r="P17" s="1502"/>
      <c r="Q17" s="1502"/>
      <c r="R17" s="1502"/>
      <c r="S17" s="1502"/>
      <c r="T17" s="1502"/>
      <c r="U17" s="1502"/>
      <c r="V17" s="1502"/>
      <c r="W17" s="1502"/>
      <c r="X17" s="1502"/>
      <c r="Y17" s="1502"/>
      <c r="Z17" s="1502"/>
      <c r="AA17" s="1502"/>
      <c r="AB17" s="1502"/>
      <c r="AC17" s="2735"/>
      <c r="AD17" s="2735"/>
      <c r="AE17" s="2735"/>
      <c r="AF17" s="1502"/>
      <c r="AG17" s="2736"/>
    </row>
    <row r="18" spans="1:46" x14ac:dyDescent="0.2">
      <c r="A18" s="843"/>
      <c r="B18" s="1797"/>
      <c r="C18" s="1797"/>
      <c r="D18" s="1994"/>
      <c r="E18" s="1502"/>
      <c r="F18" s="1502"/>
      <c r="G18" s="1502"/>
      <c r="H18" s="891"/>
      <c r="I18" s="891"/>
      <c r="J18" s="1502"/>
      <c r="K18" s="1502"/>
      <c r="L18" s="1502"/>
      <c r="M18" s="1502"/>
      <c r="N18" s="1502"/>
      <c r="O18" s="1502"/>
      <c r="P18" s="1502"/>
      <c r="Q18" s="1502"/>
      <c r="R18" s="1502"/>
      <c r="S18" s="1502"/>
      <c r="T18" s="1502"/>
      <c r="U18" s="1502"/>
      <c r="V18" s="1502"/>
      <c r="W18" s="1502"/>
      <c r="X18" s="1502"/>
      <c r="Y18" s="1502"/>
      <c r="Z18" s="1502"/>
      <c r="AA18" s="1502"/>
      <c r="AB18" s="1502"/>
      <c r="AC18" s="2735"/>
      <c r="AD18" s="2735"/>
      <c r="AE18" s="2735"/>
      <c r="AF18" s="1502"/>
      <c r="AG18" s="2736"/>
    </row>
    <row r="19" spans="1:46" x14ac:dyDescent="0.2">
      <c r="A19" s="1773" t="s">
        <v>94</v>
      </c>
      <c r="B19" s="1797"/>
      <c r="C19" s="1797"/>
      <c r="D19" s="1994"/>
      <c r="E19" s="1502"/>
      <c r="F19" s="1502"/>
      <c r="G19" s="1502"/>
      <c r="H19" s="891"/>
      <c r="I19" s="891"/>
      <c r="J19" s="1502"/>
      <c r="K19" s="1502"/>
      <c r="L19" s="1502"/>
      <c r="M19" s="1502"/>
      <c r="N19" s="1502"/>
      <c r="O19" s="1502"/>
      <c r="P19" s="1502"/>
      <c r="Q19" s="1502"/>
      <c r="R19" s="1502"/>
      <c r="S19" s="1502"/>
      <c r="T19" s="1502"/>
      <c r="U19" s="1502"/>
      <c r="V19" s="1502"/>
      <c r="W19" s="1502"/>
      <c r="X19" s="1502"/>
      <c r="Y19" s="1502"/>
      <c r="Z19" s="1502"/>
      <c r="AA19" s="1502"/>
      <c r="AB19" s="1502"/>
      <c r="AC19" s="2735"/>
      <c r="AD19" s="2735"/>
      <c r="AE19" s="2735"/>
      <c r="AF19" s="1502"/>
      <c r="AG19" s="2736"/>
    </row>
    <row r="20" spans="1:46" x14ac:dyDescent="0.2">
      <c r="A20" s="843" t="s">
        <v>52</v>
      </c>
      <c r="B20" s="1797"/>
      <c r="C20" s="1797"/>
      <c r="D20" s="1593">
        <f>ROUND(53298587,-3)-500</f>
        <v>53298500</v>
      </c>
      <c r="E20" s="1502"/>
      <c r="F20" s="1059">
        <f>D23</f>
        <v>69205200</v>
      </c>
      <c r="G20" s="1502"/>
      <c r="H20" s="949">
        <f>F23</f>
        <v>67510200</v>
      </c>
      <c r="I20" s="891"/>
      <c r="J20" s="1059">
        <f>H23</f>
        <v>65322300</v>
      </c>
      <c r="K20" s="1502"/>
      <c r="L20" s="1059">
        <f>J23</f>
        <v>62529000</v>
      </c>
      <c r="M20" s="1502"/>
      <c r="N20" s="1059">
        <f>L23</f>
        <v>59571100</v>
      </c>
      <c r="O20" s="1502"/>
      <c r="P20" s="1059">
        <f>N23</f>
        <v>56475500</v>
      </c>
      <c r="Q20" s="1502"/>
      <c r="R20" s="1059">
        <f>P23</f>
        <v>53341500</v>
      </c>
      <c r="S20" s="1502"/>
      <c r="T20" s="1059">
        <f>R23</f>
        <v>50061200</v>
      </c>
      <c r="U20" s="1502"/>
      <c r="V20" s="1059">
        <f>T23</f>
        <v>47607700</v>
      </c>
      <c r="W20" s="1502"/>
      <c r="X20" s="1059">
        <f>V23</f>
        <v>44953600</v>
      </c>
      <c r="Y20" s="1502"/>
      <c r="Z20" s="1059">
        <f>X23</f>
        <v>42109500</v>
      </c>
      <c r="AA20" s="1502"/>
      <c r="AB20" s="1059">
        <f>Z23</f>
        <v>39072500</v>
      </c>
      <c r="AC20" s="2735"/>
      <c r="AD20" s="1060">
        <f>AB23</f>
        <v>35837500</v>
      </c>
      <c r="AE20" s="2735"/>
      <c r="AF20" s="1059">
        <f>AD23</f>
        <v>32407500</v>
      </c>
      <c r="AG20" s="2736"/>
    </row>
    <row r="21" spans="1:46" x14ac:dyDescent="0.2">
      <c r="A21" s="843" t="s">
        <v>753</v>
      </c>
      <c r="B21" s="1797"/>
      <c r="C21" s="1797"/>
      <c r="D21" s="1593">
        <f>D16</f>
        <v>985000</v>
      </c>
      <c r="E21" s="1502"/>
      <c r="F21" s="1059">
        <f>F16</f>
        <v>2384800</v>
      </c>
      <c r="G21" s="1502"/>
      <c r="H21" s="949">
        <f>H16</f>
        <v>2187900</v>
      </c>
      <c r="I21" s="891"/>
      <c r="J21" s="1059">
        <f>J16</f>
        <v>2793300</v>
      </c>
      <c r="K21" s="1502"/>
      <c r="L21" s="1059">
        <f>L16</f>
        <v>2957900</v>
      </c>
      <c r="M21" s="1502"/>
      <c r="N21" s="1059">
        <f>N16</f>
        <v>3095600</v>
      </c>
      <c r="O21" s="1502"/>
      <c r="P21" s="1059">
        <f>P16</f>
        <v>3134000</v>
      </c>
      <c r="Q21" s="1502"/>
      <c r="R21" s="1059">
        <f>R16</f>
        <v>3280300</v>
      </c>
      <c r="S21" s="1502"/>
      <c r="T21" s="1059">
        <f>T16</f>
        <v>2453500</v>
      </c>
      <c r="U21" s="1502"/>
      <c r="V21" s="1059">
        <f>V16</f>
        <v>2654100</v>
      </c>
      <c r="W21" s="1502"/>
      <c r="X21" s="1059">
        <f>X16</f>
        <v>2844100</v>
      </c>
      <c r="Y21" s="1502"/>
      <c r="Z21" s="1059">
        <f>Z16</f>
        <v>3037000</v>
      </c>
      <c r="AA21" s="1502"/>
      <c r="AB21" s="1059">
        <f>AB16</f>
        <v>3235000</v>
      </c>
      <c r="AC21" s="2735"/>
      <c r="AD21" s="1060">
        <f>AD16</f>
        <v>3430000</v>
      </c>
      <c r="AE21" s="2735"/>
      <c r="AF21" s="1059">
        <f>AF16</f>
        <v>3627000</v>
      </c>
      <c r="AG21" s="2736"/>
    </row>
    <row r="22" spans="1:46" x14ac:dyDescent="0.2">
      <c r="A22" s="843" t="s">
        <v>754</v>
      </c>
      <c r="B22" s="1797"/>
      <c r="C22" s="1797"/>
      <c r="D22" s="1593">
        <f>ROUND(16891661,-2)</f>
        <v>16891700</v>
      </c>
      <c r="E22" s="1502"/>
      <c r="F22" s="1059">
        <f>ROUND(689752,-2)</f>
        <v>689800</v>
      </c>
      <c r="G22" s="1502"/>
      <c r="H22" s="949">
        <f>'Cash-WW'!B36</f>
        <v>0</v>
      </c>
      <c r="I22" s="949"/>
      <c r="J22" s="1059">
        <f>'Cash-WW'!C36</f>
        <v>0</v>
      </c>
      <c r="K22" s="1059"/>
      <c r="L22" s="1059">
        <f>'Cash-WW'!F36</f>
        <v>0</v>
      </c>
      <c r="M22" s="1502"/>
      <c r="N22" s="1059">
        <f>'Cash-WW'!G36</f>
        <v>0</v>
      </c>
      <c r="O22" s="1502"/>
      <c r="P22" s="1059">
        <f>'Cash-WW'!H36</f>
        <v>0</v>
      </c>
      <c r="Q22" s="1502"/>
      <c r="R22" s="2742">
        <f>'Cash-WW'!I36</f>
        <v>0</v>
      </c>
      <c r="S22" s="2742"/>
      <c r="T22" s="2742">
        <f>'Cash-WW'!J36</f>
        <v>0</v>
      </c>
      <c r="U22" s="2742"/>
      <c r="V22" s="2742">
        <f>'Cash-WW'!K36</f>
        <v>0</v>
      </c>
      <c r="W22" s="2742"/>
      <c r="X22" s="2742">
        <f>'Cash-WW'!L36</f>
        <v>0</v>
      </c>
      <c r="Y22" s="2742"/>
      <c r="Z22" s="2742">
        <f>'Cash-WW'!M36</f>
        <v>0</v>
      </c>
      <c r="AA22" s="2742"/>
      <c r="AB22" s="2742">
        <f>'Cash-WW'!N36</f>
        <v>0</v>
      </c>
      <c r="AC22" s="2735"/>
      <c r="AD22" s="2030">
        <f>'Cash-WW'!Q36</f>
        <v>0</v>
      </c>
      <c r="AE22" s="2735"/>
      <c r="AF22" s="2742">
        <f>'Cash-WW'!S36</f>
        <v>0</v>
      </c>
      <c r="AG22" s="2736"/>
    </row>
    <row r="23" spans="1:46" s="1770" customFormat="1" ht="13.5" thickBot="1" x14ac:dyDescent="0.25">
      <c r="A23" s="1773" t="s">
        <v>53</v>
      </c>
      <c r="B23" s="1798"/>
      <c r="C23" s="1798"/>
      <c r="D23" s="2748">
        <f>D20-D21+D22</f>
        <v>69205200</v>
      </c>
      <c r="E23" s="2749"/>
      <c r="F23" s="2750">
        <f>F20-F21+F22</f>
        <v>67510200</v>
      </c>
      <c r="G23" s="2749"/>
      <c r="H23" s="2751">
        <f>H20-H21+H22</f>
        <v>65322300</v>
      </c>
      <c r="I23" s="2752"/>
      <c r="J23" s="2750">
        <f>J20-J21</f>
        <v>62529000</v>
      </c>
      <c r="K23" s="2749"/>
      <c r="L23" s="2750">
        <f>L20-L21</f>
        <v>59571100</v>
      </c>
      <c r="M23" s="2749"/>
      <c r="N23" s="2750">
        <f>N20-N21</f>
        <v>56475500</v>
      </c>
      <c r="O23" s="2749"/>
      <c r="P23" s="2750">
        <f>P20-P21</f>
        <v>53341500</v>
      </c>
      <c r="Q23" s="2749"/>
      <c r="R23" s="2750">
        <f>R20-R21</f>
        <v>50061200</v>
      </c>
      <c r="S23" s="2749"/>
      <c r="T23" s="2750">
        <f>T20-T21</f>
        <v>47607700</v>
      </c>
      <c r="U23" s="2749"/>
      <c r="V23" s="2750">
        <f>V20-V21</f>
        <v>44953600</v>
      </c>
      <c r="W23" s="2749"/>
      <c r="X23" s="2750">
        <f>X20-X21</f>
        <v>42109500</v>
      </c>
      <c r="Y23" s="2749"/>
      <c r="Z23" s="2750">
        <f>Z20-Z21</f>
        <v>39072500</v>
      </c>
      <c r="AA23" s="2749"/>
      <c r="AB23" s="2750">
        <f t="shared" ref="AB23:AG23" si="2">AB20-AB21</f>
        <v>35837500</v>
      </c>
      <c r="AC23" s="2753">
        <f t="shared" si="2"/>
        <v>0</v>
      </c>
      <c r="AD23" s="2753">
        <f t="shared" si="2"/>
        <v>32407500</v>
      </c>
      <c r="AE23" s="2753">
        <f t="shared" si="2"/>
        <v>0</v>
      </c>
      <c r="AF23" s="2750">
        <f t="shared" si="2"/>
        <v>28780500</v>
      </c>
      <c r="AG23" s="2754">
        <f t="shared" si="2"/>
        <v>0</v>
      </c>
      <c r="AH23" s="2765"/>
      <c r="AS23" s="1774"/>
      <c r="AT23" s="1774"/>
    </row>
    <row r="24" spans="1:46" ht="13.5" thickBot="1" x14ac:dyDescent="0.25">
      <c r="A24" s="1775"/>
      <c r="B24" s="1799"/>
      <c r="C24" s="1799"/>
      <c r="D24" s="1996"/>
      <c r="E24" s="2755"/>
      <c r="F24" s="257"/>
      <c r="G24" s="257"/>
      <c r="H24" s="737"/>
      <c r="I24" s="737"/>
      <c r="J24" s="257"/>
      <c r="K24" s="257"/>
      <c r="L24" s="257"/>
      <c r="M24" s="257"/>
      <c r="N24" s="257"/>
      <c r="O24" s="257"/>
      <c r="P24" s="257"/>
      <c r="Q24" s="257"/>
      <c r="R24" s="257"/>
      <c r="S24" s="257"/>
      <c r="T24" s="257"/>
      <c r="U24" s="257"/>
      <c r="V24" s="257"/>
      <c r="W24" s="257"/>
      <c r="X24" s="257"/>
      <c r="Y24" s="257"/>
      <c r="Z24" s="257"/>
      <c r="AA24" s="257"/>
      <c r="AB24" s="257"/>
      <c r="AC24" s="257"/>
      <c r="AD24" s="257"/>
      <c r="AE24" s="2755"/>
      <c r="AF24" s="257"/>
      <c r="AG24" s="2756"/>
    </row>
    <row r="25" spans="1:46" ht="13.5" thickTop="1" x14ac:dyDescent="0.2">
      <c r="B25" s="852"/>
    </row>
    <row r="26" spans="1:46" ht="13.5" thickBot="1" x14ac:dyDescent="0.25">
      <c r="AS26" s="850"/>
      <c r="AT26" s="850"/>
    </row>
    <row r="27" spans="1:46" s="133" customFormat="1" ht="18.75" customHeight="1" thickTop="1" thickBot="1" x14ac:dyDescent="0.25">
      <c r="A27" s="3002" t="s">
        <v>4710</v>
      </c>
      <c r="B27" s="3003"/>
      <c r="C27" s="3003"/>
      <c r="D27" s="3003"/>
      <c r="E27" s="3003"/>
      <c r="F27" s="3003"/>
      <c r="G27" s="3003"/>
      <c r="H27" s="3003"/>
      <c r="I27" s="3003"/>
      <c r="J27" s="3003"/>
      <c r="K27" s="3003"/>
      <c r="L27" s="3003"/>
      <c r="M27" s="3003"/>
      <c r="N27" s="3003"/>
      <c r="O27" s="3003"/>
      <c r="P27" s="3003"/>
      <c r="Q27" s="3003"/>
      <c r="R27" s="3003"/>
      <c r="S27" s="3004"/>
      <c r="AH27" s="2766"/>
    </row>
    <row r="28" spans="1:46" s="133" customFormat="1" ht="13.5" thickBot="1" x14ac:dyDescent="0.25">
      <c r="A28" s="1776" t="s">
        <v>422</v>
      </c>
      <c r="B28" s="322" t="s">
        <v>2267</v>
      </c>
      <c r="C28" s="322" t="s">
        <v>2268</v>
      </c>
      <c r="D28" s="325" t="s">
        <v>2269</v>
      </c>
      <c r="E28" s="1301" t="str">
        <f>'Debt-Water'!E20</f>
        <v>2013/14</v>
      </c>
      <c r="F28" s="1301" t="str">
        <f>'Cash-WW'!B3</f>
        <v>2014/15</v>
      </c>
      <c r="G28" s="1301" t="str">
        <f>'Cash-WW'!C3</f>
        <v>2015/16</v>
      </c>
      <c r="H28" s="147" t="str">
        <f>'Cash-WW'!F3</f>
        <v>2016/17</v>
      </c>
      <c r="I28" s="147" t="str">
        <f>'Cash-WW'!G3</f>
        <v>2017/18</v>
      </c>
      <c r="J28" s="147" t="str">
        <f>'Cash-WW'!H3</f>
        <v>2018/19</v>
      </c>
      <c r="K28" s="147" t="str">
        <f>'Cash-WW'!I3</f>
        <v>2019/20</v>
      </c>
      <c r="L28" s="147" t="str">
        <f>'Cash-WW'!J3</f>
        <v>2020/21</v>
      </c>
      <c r="M28" s="147" t="str">
        <f>'Cash-WW'!K3</f>
        <v>2021/22</v>
      </c>
      <c r="N28" s="147" t="str">
        <f>'Cash-WW'!L3</f>
        <v>2022/23</v>
      </c>
      <c r="O28" s="147" t="str">
        <f>'Cash-WW'!M3</f>
        <v>2023/24</v>
      </c>
      <c r="P28" s="147" t="str">
        <f>'Cash-WW'!N3</f>
        <v>2024/25</v>
      </c>
      <c r="Q28" s="2730" t="str">
        <f>'Cash-WW'!O3</f>
        <v>2025/26</v>
      </c>
      <c r="R28" s="2732" t="str">
        <f>'Cash-WW'!P3</f>
        <v>2026/27</v>
      </c>
      <c r="S28" s="1777" t="str">
        <f>'Debt-Water'!S20</f>
        <v>Totals</v>
      </c>
      <c r="AH28" s="2766"/>
    </row>
    <row r="29" spans="1:46" s="133" customFormat="1" x14ac:dyDescent="0.2">
      <c r="A29" s="824"/>
      <c r="B29" s="132"/>
      <c r="C29" s="132"/>
      <c r="D29" s="825"/>
      <c r="E29" s="130"/>
      <c r="F29" s="130"/>
      <c r="G29" s="130"/>
      <c r="H29" s="132"/>
      <c r="I29" s="130"/>
      <c r="J29" s="132"/>
      <c r="K29" s="132"/>
      <c r="L29" s="132"/>
      <c r="M29" s="132"/>
      <c r="N29" s="132"/>
      <c r="O29" s="132"/>
      <c r="P29" s="132"/>
      <c r="Q29" s="77"/>
      <c r="R29" s="825"/>
      <c r="S29" s="131"/>
      <c r="AH29" s="2766"/>
    </row>
    <row r="30" spans="1:46" s="133" customFormat="1" x14ac:dyDescent="0.2">
      <c r="A30" s="826" t="str">
        <f>'Debt-Water'!A22</f>
        <v>Existing Loans</v>
      </c>
      <c r="B30" s="827" t="s">
        <v>860</v>
      </c>
      <c r="C30" s="828" t="s">
        <v>860</v>
      </c>
      <c r="D30" s="829" t="s">
        <v>860</v>
      </c>
      <c r="E30" s="130">
        <v>985000</v>
      </c>
      <c r="F30" s="130">
        <v>985000</v>
      </c>
      <c r="G30" s="132">
        <v>985000</v>
      </c>
      <c r="H30" s="132">
        <v>985000</v>
      </c>
      <c r="I30" s="130">
        <v>985000</v>
      </c>
      <c r="J30" s="132">
        <v>985000</v>
      </c>
      <c r="K30" s="132">
        <v>985000</v>
      </c>
      <c r="L30" s="132">
        <v>0</v>
      </c>
      <c r="M30" s="132">
        <v>0</v>
      </c>
      <c r="N30" s="132">
        <v>0</v>
      </c>
      <c r="O30" s="132">
        <v>0</v>
      </c>
      <c r="P30" s="132">
        <v>0</v>
      </c>
      <c r="Q30" s="77">
        <v>0</v>
      </c>
      <c r="R30" s="825">
        <v>0</v>
      </c>
      <c r="S30" s="131">
        <f>SUM(F30:Q30)</f>
        <v>5910000</v>
      </c>
      <c r="AH30" s="2766"/>
    </row>
    <row r="31" spans="1:46" s="133" customFormat="1" x14ac:dyDescent="0.2">
      <c r="A31" s="826" t="str">
        <f>'Debt-Water'!A26</f>
        <v>2016/17</v>
      </c>
      <c r="B31" s="827">
        <v>10</v>
      </c>
      <c r="C31" s="978">
        <v>7.2099999999999997E-2</v>
      </c>
      <c r="D31" s="829">
        <v>50000000</v>
      </c>
      <c r="E31" s="130">
        <v>4909300</v>
      </c>
      <c r="F31" s="130">
        <f>4909300-306759-(920560-807066)-47</f>
        <v>4489000</v>
      </c>
      <c r="G31" s="132">
        <v>4909300</v>
      </c>
      <c r="H31" s="132">
        <v>4909300</v>
      </c>
      <c r="I31" s="132">
        <v>4909300</v>
      </c>
      <c r="J31" s="78">
        <v>4909300</v>
      </c>
      <c r="K31" s="132">
        <v>4909300</v>
      </c>
      <c r="L31" s="132">
        <v>4909300</v>
      </c>
      <c r="M31" s="132">
        <v>4909300</v>
      </c>
      <c r="N31" s="132">
        <v>4909300</v>
      </c>
      <c r="O31" s="132">
        <v>4909300</v>
      </c>
      <c r="P31" s="132">
        <v>4909300</v>
      </c>
      <c r="Q31" s="77">
        <v>4909300</v>
      </c>
      <c r="R31" s="825">
        <v>4909300</v>
      </c>
      <c r="S31" s="131">
        <f t="shared" ref="S31:S36" si="3">Q31*B31</f>
        <v>49093000</v>
      </c>
      <c r="AH31" s="2766"/>
    </row>
    <row r="32" spans="1:46" s="133" customFormat="1" x14ac:dyDescent="0.2">
      <c r="A32" s="826" t="str">
        <f>A31</f>
        <v>2016/17</v>
      </c>
      <c r="B32" s="827">
        <v>5</v>
      </c>
      <c r="C32" s="978">
        <v>7.4700000000000003E-2</v>
      </c>
      <c r="D32" s="829">
        <v>13000000</v>
      </c>
      <c r="E32" s="130">
        <v>1257200</v>
      </c>
      <c r="F32" s="130">
        <v>1257200</v>
      </c>
      <c r="G32" s="132">
        <v>1257200</v>
      </c>
      <c r="H32" s="132">
        <v>1257200</v>
      </c>
      <c r="I32" s="132">
        <v>1257200</v>
      </c>
      <c r="J32" s="78">
        <v>0</v>
      </c>
      <c r="K32" s="132">
        <v>0</v>
      </c>
      <c r="L32" s="132">
        <v>0</v>
      </c>
      <c r="M32" s="132">
        <v>0</v>
      </c>
      <c r="N32" s="132">
        <v>0</v>
      </c>
      <c r="O32" s="132">
        <v>0</v>
      </c>
      <c r="P32" s="132">
        <v>0</v>
      </c>
      <c r="Q32" s="77">
        <v>0</v>
      </c>
      <c r="R32" s="825">
        <v>0</v>
      </c>
      <c r="S32" s="131">
        <f t="shared" si="3"/>
        <v>0</v>
      </c>
      <c r="AH32" s="2766"/>
    </row>
    <row r="33" spans="1:34" s="133" customFormat="1" x14ac:dyDescent="0.2">
      <c r="A33" s="826" t="str">
        <f>'Debt-Water'!A27</f>
        <v>2017/18</v>
      </c>
      <c r="B33" s="827">
        <v>20</v>
      </c>
      <c r="C33" s="828">
        <v>0.06</v>
      </c>
      <c r="D33" s="829">
        <f>'Cap-WW'!AB$121</f>
        <v>0</v>
      </c>
      <c r="E33" s="130"/>
      <c r="F33" s="130"/>
      <c r="G33" s="132"/>
      <c r="H33" s="132"/>
      <c r="I33" s="130"/>
      <c r="J33" s="132">
        <f>J63+J64</f>
        <v>984000</v>
      </c>
      <c r="K33" s="78">
        <f t="shared" ref="K33:O33" si="4">K63+K64</f>
        <v>984000</v>
      </c>
      <c r="L33" s="132">
        <f t="shared" si="4"/>
        <v>984000</v>
      </c>
      <c r="M33" s="132">
        <f t="shared" si="4"/>
        <v>984000</v>
      </c>
      <c r="N33" s="132">
        <f t="shared" si="4"/>
        <v>984000</v>
      </c>
      <c r="O33" s="132">
        <f t="shared" si="4"/>
        <v>984000</v>
      </c>
      <c r="P33" s="132">
        <f>O63+O64</f>
        <v>984000</v>
      </c>
      <c r="Q33" s="77">
        <f>P63+P64</f>
        <v>984000</v>
      </c>
      <c r="R33" s="825">
        <f>Q63+Q64</f>
        <v>984000</v>
      </c>
      <c r="S33" s="131">
        <f t="shared" si="3"/>
        <v>19680000</v>
      </c>
      <c r="AH33" s="2766"/>
    </row>
    <row r="34" spans="1:34" s="133" customFormat="1" x14ac:dyDescent="0.2">
      <c r="A34" s="826" t="str">
        <f>'Debt-Water'!A28</f>
        <v>2018/19</v>
      </c>
      <c r="B34" s="827">
        <v>20</v>
      </c>
      <c r="C34" s="828">
        <v>0.06</v>
      </c>
      <c r="D34" s="829">
        <f>'Cap-WW'!AF$121</f>
        <v>0</v>
      </c>
      <c r="E34" s="130"/>
      <c r="F34" s="130"/>
      <c r="G34" s="132"/>
      <c r="H34" s="132"/>
      <c r="I34" s="130"/>
      <c r="J34" s="132"/>
      <c r="K34" s="132">
        <v>0</v>
      </c>
      <c r="L34" s="78">
        <v>0</v>
      </c>
      <c r="M34" s="132">
        <v>0</v>
      </c>
      <c r="N34" s="132">
        <v>0</v>
      </c>
      <c r="O34" s="132">
        <f t="shared" ref="O34:O35" si="5">M34</f>
        <v>0</v>
      </c>
      <c r="P34" s="132">
        <f t="shared" ref="P34:R35" si="6">M34</f>
        <v>0</v>
      </c>
      <c r="Q34" s="77">
        <f t="shared" si="6"/>
        <v>0</v>
      </c>
      <c r="R34" s="825">
        <f t="shared" si="6"/>
        <v>0</v>
      </c>
      <c r="S34" s="131">
        <f t="shared" si="3"/>
        <v>0</v>
      </c>
      <c r="AH34" s="2766"/>
    </row>
    <row r="35" spans="1:34" s="133" customFormat="1" x14ac:dyDescent="0.2">
      <c r="A35" s="826" t="str">
        <f>'Debt-Water'!A29</f>
        <v>2019/20</v>
      </c>
      <c r="B35" s="827">
        <v>20</v>
      </c>
      <c r="C35" s="828">
        <v>0.06</v>
      </c>
      <c r="D35" s="829">
        <f>'Cap-WW'!AJ$121</f>
        <v>0</v>
      </c>
      <c r="E35" s="130"/>
      <c r="F35" s="130"/>
      <c r="G35" s="132"/>
      <c r="H35" s="132"/>
      <c r="I35" s="130"/>
      <c r="J35" s="132"/>
      <c r="K35" s="132"/>
      <c r="L35" s="132">
        <v>0</v>
      </c>
      <c r="M35" s="78">
        <v>0</v>
      </c>
      <c r="N35" s="132">
        <v>0</v>
      </c>
      <c r="O35" s="132">
        <f t="shared" si="5"/>
        <v>0</v>
      </c>
      <c r="P35" s="132">
        <f t="shared" si="6"/>
        <v>0</v>
      </c>
      <c r="Q35" s="77">
        <f t="shared" si="6"/>
        <v>0</v>
      </c>
      <c r="R35" s="825">
        <f t="shared" si="6"/>
        <v>0</v>
      </c>
      <c r="S35" s="131">
        <f t="shared" si="3"/>
        <v>0</v>
      </c>
      <c r="AH35" s="2766"/>
    </row>
    <row r="36" spans="1:34" s="133" customFormat="1" x14ac:dyDescent="0.2">
      <c r="A36" s="826" t="str">
        <f>'Debt-Water'!A30</f>
        <v>2020/21</v>
      </c>
      <c r="B36" s="827">
        <v>20</v>
      </c>
      <c r="C36" s="828">
        <v>0.06</v>
      </c>
      <c r="D36" s="829">
        <f>'Cap-WW'!AN$121</f>
        <v>0</v>
      </c>
      <c r="E36" s="130"/>
      <c r="F36" s="130"/>
      <c r="G36" s="132"/>
      <c r="H36" s="132"/>
      <c r="I36" s="130"/>
      <c r="J36" s="132"/>
      <c r="K36" s="132"/>
      <c r="L36" s="132"/>
      <c r="M36" s="132">
        <v>0</v>
      </c>
      <c r="N36" s="132">
        <v>0</v>
      </c>
      <c r="O36" s="132">
        <f>L36</f>
        <v>0</v>
      </c>
      <c r="P36" s="132">
        <f>L36</f>
        <v>0</v>
      </c>
      <c r="Q36" s="77">
        <f>M36</f>
        <v>0</v>
      </c>
      <c r="R36" s="825">
        <f>N36</f>
        <v>0</v>
      </c>
      <c r="S36" s="131">
        <f t="shared" si="3"/>
        <v>0</v>
      </c>
      <c r="AH36" s="2766"/>
    </row>
    <row r="37" spans="1:34" s="133" customFormat="1" x14ac:dyDescent="0.2">
      <c r="A37" s="826" t="str">
        <f>'Debt-Water'!A31</f>
        <v>2021/22</v>
      </c>
      <c r="B37" s="827">
        <f t="shared" ref="B37:B39" si="7">B36</f>
        <v>20</v>
      </c>
      <c r="C37" s="828">
        <v>0.06</v>
      </c>
      <c r="D37" s="829">
        <f>'Cap-WW'!AR$121</f>
        <v>0</v>
      </c>
      <c r="E37" s="130"/>
      <c r="F37" s="130"/>
      <c r="G37" s="132"/>
      <c r="H37" s="132"/>
      <c r="I37" s="130"/>
      <c r="J37" s="132"/>
      <c r="K37" s="132"/>
      <c r="L37" s="132"/>
      <c r="M37" s="132"/>
      <c r="N37" s="132">
        <v>0</v>
      </c>
      <c r="O37" s="132">
        <f>M37</f>
        <v>0</v>
      </c>
      <c r="P37" s="132">
        <f>M37</f>
        <v>0</v>
      </c>
      <c r="Q37" s="77">
        <f>N37</f>
        <v>0</v>
      </c>
      <c r="R37" s="825">
        <f>O37</f>
        <v>0</v>
      </c>
      <c r="S37" s="131">
        <f>N37*B37</f>
        <v>0</v>
      </c>
      <c r="AH37" s="2766"/>
    </row>
    <row r="38" spans="1:34" s="133" customFormat="1" x14ac:dyDescent="0.2">
      <c r="A38" s="826" t="str">
        <f>'Debt-Water'!A32</f>
        <v>2022/23</v>
      </c>
      <c r="B38" s="827">
        <f t="shared" si="7"/>
        <v>20</v>
      </c>
      <c r="C38" s="828">
        <v>0.06</v>
      </c>
      <c r="D38" s="829">
        <f>'Cap-WW'!AV$121</f>
        <v>0</v>
      </c>
      <c r="E38" s="130"/>
      <c r="F38" s="130"/>
      <c r="G38" s="132"/>
      <c r="H38" s="132"/>
      <c r="I38" s="130"/>
      <c r="J38" s="132"/>
      <c r="K38" s="132"/>
      <c r="L38" s="132"/>
      <c r="M38" s="132"/>
      <c r="N38" s="132"/>
      <c r="O38" s="132">
        <f>ROUND(-PMT($C38,$B38,$D38),-3)</f>
        <v>0</v>
      </c>
      <c r="P38" s="132">
        <f>ROUND(-PMT($C38,$B38,$D38),-3)</f>
        <v>0</v>
      </c>
      <c r="Q38" s="77">
        <f>ROUND(-PMT($C38,$B38,$D38),-3)</f>
        <v>0</v>
      </c>
      <c r="R38" s="825">
        <f>ROUND(-PMT($C38,$B38,$D38),-3)</f>
        <v>0</v>
      </c>
      <c r="S38" s="131">
        <f>Q38*B38</f>
        <v>0</v>
      </c>
      <c r="AH38" s="2766"/>
    </row>
    <row r="39" spans="1:34" s="133" customFormat="1" x14ac:dyDescent="0.2">
      <c r="A39" s="826" t="str">
        <f>'Debt-Water'!A33</f>
        <v>2023/24</v>
      </c>
      <c r="B39" s="827">
        <f t="shared" si="7"/>
        <v>20</v>
      </c>
      <c r="C39" s="828">
        <f>'Debt-Water'!C33</f>
        <v>0.06</v>
      </c>
      <c r="D39" s="829">
        <f>'Cap-WW'!AZ$121</f>
        <v>0</v>
      </c>
      <c r="E39" s="130"/>
      <c r="F39" s="130"/>
      <c r="G39" s="130"/>
      <c r="H39" s="132"/>
      <c r="I39" s="130"/>
      <c r="J39" s="132"/>
      <c r="K39" s="132"/>
      <c r="L39" s="132"/>
      <c r="M39" s="132"/>
      <c r="N39" s="132"/>
      <c r="O39" s="132"/>
      <c r="P39" s="132"/>
      <c r="Q39" s="77"/>
      <c r="R39" s="825"/>
      <c r="S39" s="131">
        <f>Q39*B39</f>
        <v>0</v>
      </c>
      <c r="AH39" s="2766"/>
    </row>
    <row r="40" spans="1:34" s="133" customFormat="1" ht="13.5" thickBot="1" x14ac:dyDescent="0.25">
      <c r="A40" s="857"/>
      <c r="B40" s="827"/>
      <c r="C40" s="828"/>
      <c r="D40" s="829"/>
      <c r="E40" s="130"/>
      <c r="F40" s="130"/>
      <c r="G40" s="130"/>
      <c r="H40" s="132"/>
      <c r="I40" s="130"/>
      <c r="J40" s="132"/>
      <c r="K40" s="132"/>
      <c r="L40" s="132"/>
      <c r="M40" s="132"/>
      <c r="N40" s="132"/>
      <c r="O40" s="835"/>
      <c r="P40" s="835"/>
      <c r="Q40" s="331"/>
      <c r="R40" s="831"/>
      <c r="S40" s="131"/>
      <c r="AH40" s="2766"/>
    </row>
    <row r="41" spans="1:34" s="118" customFormat="1" ht="13.5" thickTop="1" x14ac:dyDescent="0.2">
      <c r="A41" s="1778" t="s">
        <v>1530</v>
      </c>
      <c r="B41" s="1779"/>
      <c r="C41" s="1780"/>
      <c r="D41" s="1781">
        <f>SUM(D31:D38)</f>
        <v>63000000</v>
      </c>
      <c r="E41" s="1372">
        <f t="shared" ref="E41:S41" si="8">SUM(E30:E38)</f>
        <v>7151500</v>
      </c>
      <c r="F41" s="1372">
        <f t="shared" si="8"/>
        <v>6731200</v>
      </c>
      <c r="G41" s="1372">
        <f t="shared" si="8"/>
        <v>7151500</v>
      </c>
      <c r="H41" s="1348">
        <f t="shared" si="8"/>
        <v>7151500</v>
      </c>
      <c r="I41" s="1372">
        <f t="shared" si="8"/>
        <v>7151500</v>
      </c>
      <c r="J41" s="1348">
        <f t="shared" si="8"/>
        <v>6878300</v>
      </c>
      <c r="K41" s="1348">
        <f t="shared" si="8"/>
        <v>6878300</v>
      </c>
      <c r="L41" s="1348">
        <f t="shared" si="8"/>
        <v>5893300</v>
      </c>
      <c r="M41" s="1348">
        <f t="shared" si="8"/>
        <v>5893300</v>
      </c>
      <c r="N41" s="1348">
        <f t="shared" si="8"/>
        <v>5893300</v>
      </c>
      <c r="O41" s="1348">
        <f t="shared" si="8"/>
        <v>5893300</v>
      </c>
      <c r="P41" s="1348">
        <f t="shared" si="8"/>
        <v>5893300</v>
      </c>
      <c r="Q41" s="2731">
        <f t="shared" si="8"/>
        <v>5893300</v>
      </c>
      <c r="R41" s="1790">
        <f t="shared" si="8"/>
        <v>5893300</v>
      </c>
      <c r="S41" s="1782">
        <f t="shared" si="8"/>
        <v>74683000</v>
      </c>
      <c r="AH41" s="2767"/>
    </row>
    <row r="42" spans="1:34" s="133" customFormat="1" ht="13.5" thickBot="1" x14ac:dyDescent="0.25">
      <c r="A42" s="834"/>
      <c r="B42" s="835"/>
      <c r="C42" s="835"/>
      <c r="D42" s="831"/>
      <c r="E42" s="836"/>
      <c r="F42" s="836"/>
      <c r="G42" s="836"/>
      <c r="H42" s="835"/>
      <c r="I42" s="836"/>
      <c r="J42" s="835"/>
      <c r="K42" s="835"/>
      <c r="L42" s="835"/>
      <c r="M42" s="835"/>
      <c r="N42" s="835"/>
      <c r="O42" s="835"/>
      <c r="P42" s="835"/>
      <c r="Q42" s="331"/>
      <c r="R42" s="831"/>
      <c r="S42" s="837"/>
      <c r="AH42" s="2766"/>
    </row>
    <row r="43" spans="1:34" s="779" customFormat="1" ht="14.25" thickTop="1" thickBot="1" x14ac:dyDescent="0.25">
      <c r="H43" s="1039"/>
      <c r="I43" s="1039"/>
      <c r="AH43" s="2763"/>
    </row>
    <row r="44" spans="1:34" s="133" customFormat="1" ht="18.75" customHeight="1" thickTop="1" thickBot="1" x14ac:dyDescent="0.25">
      <c r="A44" s="2670" t="s">
        <v>776</v>
      </c>
      <c r="B44" s="2671"/>
      <c r="C44" s="2671"/>
      <c r="D44" s="2671"/>
      <c r="E44" s="2671"/>
      <c r="F44" s="2671"/>
      <c r="G44" s="2671"/>
      <c r="H44" s="2671"/>
      <c r="I44" s="2671"/>
      <c r="J44" s="2671"/>
      <c r="K44" s="2671"/>
      <c r="L44" s="2671"/>
      <c r="M44" s="2671"/>
      <c r="N44" s="2671"/>
      <c r="O44" s="2671"/>
      <c r="P44" s="2671"/>
      <c r="Q44" s="2671"/>
      <c r="R44" s="2671"/>
      <c r="S44" s="2672"/>
      <c r="AH44" s="2766"/>
    </row>
    <row r="45" spans="1:34" s="133" customFormat="1" ht="13.5" thickBot="1" x14ac:dyDescent="0.25">
      <c r="A45" s="1776" t="s">
        <v>1273</v>
      </c>
      <c r="B45" s="322" t="str">
        <f>B28</f>
        <v>Term</v>
      </c>
      <c r="C45" s="322" t="str">
        <f>C28</f>
        <v>Rate</v>
      </c>
      <c r="D45" s="325" t="s">
        <v>2487</v>
      </c>
      <c r="E45" s="1301" t="str">
        <f t="shared" ref="E45:S45" si="9">E28</f>
        <v>2013/14</v>
      </c>
      <c r="F45" s="1301" t="str">
        <f t="shared" si="9"/>
        <v>2014/15</v>
      </c>
      <c r="G45" s="1301" t="str">
        <f t="shared" si="9"/>
        <v>2015/16</v>
      </c>
      <c r="H45" s="1301" t="str">
        <f t="shared" si="9"/>
        <v>2016/17</v>
      </c>
      <c r="I45" s="1301" t="str">
        <f t="shared" si="9"/>
        <v>2017/18</v>
      </c>
      <c r="J45" s="1301" t="str">
        <f t="shared" si="9"/>
        <v>2018/19</v>
      </c>
      <c r="K45" s="1301" t="str">
        <f t="shared" si="9"/>
        <v>2019/20</v>
      </c>
      <c r="L45" s="1301" t="str">
        <f t="shared" si="9"/>
        <v>2020/21</v>
      </c>
      <c r="M45" s="1301" t="str">
        <f t="shared" si="9"/>
        <v>2021/22</v>
      </c>
      <c r="N45" s="1301" t="str">
        <f t="shared" si="9"/>
        <v>2022/23</v>
      </c>
      <c r="O45" s="147" t="str">
        <f t="shared" si="9"/>
        <v>2023/24</v>
      </c>
      <c r="P45" s="147" t="str">
        <f t="shared" si="9"/>
        <v>2024/25</v>
      </c>
      <c r="Q45" s="2730" t="str">
        <f t="shared" si="9"/>
        <v>2025/26</v>
      </c>
      <c r="R45" s="2732" t="str">
        <f t="shared" si="9"/>
        <v>2026/27</v>
      </c>
      <c r="S45" s="1777" t="str">
        <f t="shared" si="9"/>
        <v>Totals</v>
      </c>
      <c r="AH45" s="2766"/>
    </row>
    <row r="46" spans="1:34" s="133" customFormat="1" x14ac:dyDescent="0.2">
      <c r="A46" s="824"/>
      <c r="B46" s="132"/>
      <c r="C46" s="132"/>
      <c r="D46" s="825"/>
      <c r="E46" s="130"/>
      <c r="F46" s="130"/>
      <c r="G46" s="130"/>
      <c r="H46" s="132"/>
      <c r="I46" s="130"/>
      <c r="J46" s="132"/>
      <c r="K46" s="132"/>
      <c r="L46" s="132"/>
      <c r="M46" s="132"/>
      <c r="N46" s="132"/>
      <c r="O46" s="132"/>
      <c r="P46" s="132"/>
      <c r="Q46" s="78"/>
      <c r="R46" s="825"/>
      <c r="S46" s="131"/>
      <c r="AH46" s="2766"/>
    </row>
    <row r="47" spans="1:34" s="133" customFormat="1" x14ac:dyDescent="0.2">
      <c r="A47" s="826" t="str">
        <f>A30</f>
        <v>Existing Loans</v>
      </c>
      <c r="B47" s="827" t="s">
        <v>860</v>
      </c>
      <c r="C47" s="828" t="s">
        <v>860</v>
      </c>
      <c r="D47" s="829" t="s">
        <v>860</v>
      </c>
      <c r="E47" s="130"/>
      <c r="F47" s="130"/>
      <c r="G47" s="132"/>
      <c r="H47" s="132"/>
      <c r="I47" s="130"/>
      <c r="J47" s="132"/>
      <c r="K47" s="132"/>
      <c r="L47" s="132"/>
      <c r="M47" s="132"/>
      <c r="N47" s="132"/>
      <c r="O47" s="132"/>
      <c r="P47" s="132"/>
      <c r="Q47" s="78"/>
      <c r="R47" s="825"/>
      <c r="S47" s="131"/>
      <c r="AH47" s="2766"/>
    </row>
    <row r="48" spans="1:34" s="133" customFormat="1" x14ac:dyDescent="0.2">
      <c r="A48" s="856"/>
      <c r="B48" s="827"/>
      <c r="C48" s="828"/>
      <c r="D48" s="829" t="s">
        <v>1274</v>
      </c>
      <c r="E48" s="130">
        <f>F8+F9</f>
        <v>985000</v>
      </c>
      <c r="F48" s="130">
        <f>H8+H9</f>
        <v>985000</v>
      </c>
      <c r="G48" s="132">
        <f>J8+J9</f>
        <v>985000</v>
      </c>
      <c r="H48" s="132">
        <f>L8+L9</f>
        <v>985000</v>
      </c>
      <c r="I48" s="130">
        <f>N8+N9</f>
        <v>985000</v>
      </c>
      <c r="J48" s="132">
        <f>P8+P9</f>
        <v>985000</v>
      </c>
      <c r="K48" s="132">
        <f>R8+R9</f>
        <v>985000</v>
      </c>
      <c r="L48" s="132">
        <f>T8+T9</f>
        <v>0</v>
      </c>
      <c r="M48" s="132">
        <f>V8+V9</f>
        <v>0</v>
      </c>
      <c r="N48" s="132">
        <f>X8+X9</f>
        <v>0</v>
      </c>
      <c r="O48" s="132">
        <f>Y8+Y9</f>
        <v>0</v>
      </c>
      <c r="P48" s="132">
        <f>Z8+Z9</f>
        <v>0</v>
      </c>
      <c r="Q48" s="78">
        <f>AA8+AA9</f>
        <v>0</v>
      </c>
      <c r="R48" s="825">
        <f>AB8+AB9</f>
        <v>0</v>
      </c>
      <c r="S48" s="131">
        <f>SUM(E48:P48)</f>
        <v>6895000</v>
      </c>
      <c r="AH48" s="2766"/>
    </row>
    <row r="49" spans="1:34" s="133" customFormat="1" x14ac:dyDescent="0.2">
      <c r="A49" s="856"/>
      <c r="B49" s="827"/>
      <c r="C49" s="828"/>
      <c r="D49" s="829" t="s">
        <v>2671</v>
      </c>
      <c r="E49" s="130">
        <f>G8+G9</f>
        <v>0</v>
      </c>
      <c r="F49" s="130">
        <f>I8+I9</f>
        <v>0</v>
      </c>
      <c r="G49" s="132">
        <v>0</v>
      </c>
      <c r="H49" s="132">
        <v>0</v>
      </c>
      <c r="I49" s="130">
        <v>0</v>
      </c>
      <c r="J49" s="132">
        <v>0</v>
      </c>
      <c r="K49" s="132">
        <v>0</v>
      </c>
      <c r="L49" s="132">
        <v>0</v>
      </c>
      <c r="M49" s="132">
        <v>0</v>
      </c>
      <c r="N49" s="132">
        <v>0</v>
      </c>
      <c r="O49" s="132">
        <v>0</v>
      </c>
      <c r="P49" s="132">
        <v>0</v>
      </c>
      <c r="Q49" s="78">
        <v>0</v>
      </c>
      <c r="R49" s="825">
        <v>0</v>
      </c>
      <c r="S49" s="131">
        <f>SUM(E49:P49)</f>
        <v>0</v>
      </c>
      <c r="AH49" s="2766"/>
    </row>
    <row r="50" spans="1:34" s="118" customFormat="1" x14ac:dyDescent="0.2">
      <c r="A50" s="2660"/>
      <c r="B50" s="323"/>
      <c r="C50" s="1783"/>
      <c r="D50" s="552" t="s">
        <v>1275</v>
      </c>
      <c r="E50" s="160">
        <f>5910000+985000-E48</f>
        <v>5910000</v>
      </c>
      <c r="F50" s="160">
        <f>E50-F48</f>
        <v>4925000</v>
      </c>
      <c r="G50" s="160">
        <f t="shared" ref="G50:N50" si="10">F50-G48</f>
        <v>3940000</v>
      </c>
      <c r="H50" s="116">
        <f t="shared" si="10"/>
        <v>2955000</v>
      </c>
      <c r="I50" s="160">
        <f t="shared" si="10"/>
        <v>1970000</v>
      </c>
      <c r="J50" s="116">
        <f t="shared" si="10"/>
        <v>985000</v>
      </c>
      <c r="K50" s="116">
        <f t="shared" si="10"/>
        <v>0</v>
      </c>
      <c r="L50" s="116">
        <f t="shared" si="10"/>
        <v>0</v>
      </c>
      <c r="M50" s="116">
        <f t="shared" si="10"/>
        <v>0</v>
      </c>
      <c r="N50" s="116">
        <f t="shared" si="10"/>
        <v>0</v>
      </c>
      <c r="O50" s="116">
        <f>M50-O48</f>
        <v>0</v>
      </c>
      <c r="P50" s="116">
        <f>N50-P48</f>
        <v>0</v>
      </c>
      <c r="Q50" s="145">
        <f>O50-Q48</f>
        <v>0</v>
      </c>
      <c r="R50" s="1784">
        <f>P50-R48</f>
        <v>0</v>
      </c>
      <c r="S50" s="159"/>
      <c r="AH50" s="2767"/>
    </row>
    <row r="51" spans="1:34" s="118" customFormat="1" x14ac:dyDescent="0.2">
      <c r="A51" s="2660"/>
      <c r="B51" s="323"/>
      <c r="C51" s="1783"/>
      <c r="D51" s="552"/>
      <c r="E51" s="160"/>
      <c r="F51" s="160"/>
      <c r="G51" s="160"/>
      <c r="H51" s="160"/>
      <c r="I51" s="160"/>
      <c r="J51" s="160"/>
      <c r="K51" s="160"/>
      <c r="L51" s="160"/>
      <c r="M51" s="160"/>
      <c r="N51" s="160"/>
      <c r="O51" s="116"/>
      <c r="P51" s="116"/>
      <c r="Q51" s="145"/>
      <c r="R51" s="1784"/>
      <c r="S51" s="159"/>
      <c r="AH51" s="2767"/>
    </row>
    <row r="52" spans="1:34" s="133" customFormat="1" x14ac:dyDescent="0.2">
      <c r="A52" s="856" t="str">
        <f>A31</f>
        <v>2016/17</v>
      </c>
      <c r="B52" s="827">
        <v>10</v>
      </c>
      <c r="C52" s="978">
        <f>C31</f>
        <v>7.2099999999999997E-2</v>
      </c>
      <c r="D52" s="829">
        <f>D31</f>
        <v>50000000</v>
      </c>
      <c r="E52" s="130"/>
      <c r="F52" s="130"/>
      <c r="G52" s="132"/>
      <c r="H52" s="132"/>
      <c r="I52" s="132"/>
      <c r="J52" s="132"/>
      <c r="K52" s="132"/>
      <c r="L52" s="132"/>
      <c r="M52" s="132"/>
      <c r="N52" s="132"/>
      <c r="O52" s="132"/>
      <c r="P52" s="132"/>
      <c r="Q52" s="78"/>
      <c r="R52" s="825"/>
      <c r="S52" s="131"/>
      <c r="AH52" s="2766"/>
    </row>
    <row r="53" spans="1:34" s="133" customFormat="1" x14ac:dyDescent="0.2">
      <c r="A53" s="856"/>
      <c r="B53" s="827" t="s">
        <v>977</v>
      </c>
      <c r="C53" s="978"/>
      <c r="D53" s="829" t="s">
        <v>1274</v>
      </c>
      <c r="E53" s="130">
        <v>1105600</v>
      </c>
      <c r="F53" s="132">
        <f>1192900-306800</f>
        <v>886100</v>
      </c>
      <c r="G53" s="132">
        <v>1467100</v>
      </c>
      <c r="H53" s="132">
        <v>1605500</v>
      </c>
      <c r="I53" s="132">
        <v>1715000</v>
      </c>
      <c r="J53" s="132">
        <v>1842000</v>
      </c>
      <c r="K53" s="132">
        <v>1970300</v>
      </c>
      <c r="L53" s="132">
        <v>2108500</v>
      </c>
      <c r="M53" s="132">
        <v>2288100</v>
      </c>
      <c r="N53" s="132">
        <v>2457100</v>
      </c>
      <c r="O53" s="132">
        <v>2626000</v>
      </c>
      <c r="P53" s="132">
        <v>2800000</v>
      </c>
      <c r="Q53" s="78">
        <v>2969000</v>
      </c>
      <c r="R53" s="825">
        <f>Q53+(Q53-P53)</f>
        <v>3138000</v>
      </c>
      <c r="S53" s="131">
        <f>SUM(E53:P53)</f>
        <v>22871300</v>
      </c>
      <c r="U53" s="133">
        <f>N53+N54</f>
        <v>4909300</v>
      </c>
      <c r="V53" s="133">
        <f t="shared" ref="V53:X53" si="11">O53+O54</f>
        <v>4909300</v>
      </c>
      <c r="W53" s="133">
        <f t="shared" si="11"/>
        <v>4909300</v>
      </c>
      <c r="X53" s="133">
        <f t="shared" si="11"/>
        <v>4909300</v>
      </c>
      <c r="AH53" s="2766"/>
    </row>
    <row r="54" spans="1:34" s="133" customFormat="1" x14ac:dyDescent="0.2">
      <c r="A54" s="856"/>
      <c r="B54" s="827"/>
      <c r="C54" s="978"/>
      <c r="D54" s="829" t="s">
        <v>2671</v>
      </c>
      <c r="E54" s="130">
        <v>3803700</v>
      </c>
      <c r="F54" s="130">
        <f>3716400-(920560-807066)-6</f>
        <v>3602900</v>
      </c>
      <c r="G54" s="132">
        <v>3442200</v>
      </c>
      <c r="H54" s="132">
        <v>3303800</v>
      </c>
      <c r="I54" s="132">
        <v>3194300</v>
      </c>
      <c r="J54" s="132">
        <v>3067300</v>
      </c>
      <c r="K54" s="132">
        <v>2939000</v>
      </c>
      <c r="L54" s="132">
        <v>2800800</v>
      </c>
      <c r="M54" s="132">
        <v>2621200</v>
      </c>
      <c r="N54" s="132">
        <v>2452200</v>
      </c>
      <c r="O54" s="132">
        <f>2309300-26000</f>
        <v>2283300</v>
      </c>
      <c r="P54" s="132">
        <v>2109300</v>
      </c>
      <c r="Q54" s="78">
        <f>2109300-169000</f>
        <v>1940300</v>
      </c>
      <c r="R54" s="825">
        <f>Q53+Q54-R53</f>
        <v>1771300</v>
      </c>
      <c r="S54" s="131">
        <f>SUM(E54:P54)</f>
        <v>35620000</v>
      </c>
      <c r="V54" s="133">
        <f>V53-U53</f>
        <v>0</v>
      </c>
      <c r="W54" s="133">
        <f>W53-U53</f>
        <v>0</v>
      </c>
      <c r="X54" s="133">
        <f>X53-U53</f>
        <v>0</v>
      </c>
      <c r="AH54" s="2766"/>
    </row>
    <row r="55" spans="1:34" s="118" customFormat="1" x14ac:dyDescent="0.2">
      <c r="A55" s="2660"/>
      <c r="B55" s="323"/>
      <c r="C55" s="1785"/>
      <c r="D55" s="552" t="s">
        <v>1275</v>
      </c>
      <c r="E55" s="160">
        <v>48894400</v>
      </c>
      <c r="F55" s="160">
        <f>E55-F53</f>
        <v>48008300</v>
      </c>
      <c r="G55" s="160">
        <f>F55-G53</f>
        <v>46541200</v>
      </c>
      <c r="H55" s="160">
        <f>G55-H53</f>
        <v>44935700</v>
      </c>
      <c r="I55" s="160">
        <f>H55-I53</f>
        <v>43220700</v>
      </c>
      <c r="J55" s="160">
        <f t="shared" ref="J55:M55" si="12">I55-J53</f>
        <v>41378700</v>
      </c>
      <c r="K55" s="160">
        <f t="shared" si="12"/>
        <v>39408400</v>
      </c>
      <c r="L55" s="160">
        <f t="shared" si="12"/>
        <v>37299900</v>
      </c>
      <c r="M55" s="160">
        <f t="shared" si="12"/>
        <v>35011800</v>
      </c>
      <c r="N55" s="160">
        <f>M55-N53</f>
        <v>32554700</v>
      </c>
      <c r="O55" s="160">
        <f t="shared" ref="O55:R55" si="13">N55-O53</f>
        <v>29928700</v>
      </c>
      <c r="P55" s="116">
        <f t="shared" si="13"/>
        <v>27128700</v>
      </c>
      <c r="Q55" s="145">
        <f t="shared" si="13"/>
        <v>24159700</v>
      </c>
      <c r="R55" s="1784">
        <f t="shared" si="13"/>
        <v>21021700</v>
      </c>
      <c r="S55" s="159">
        <f>SUM(S53:S54)</f>
        <v>58491300</v>
      </c>
      <c r="AH55" s="2767"/>
    </row>
    <row r="56" spans="1:34" s="118" customFormat="1" x14ac:dyDescent="0.2">
      <c r="A56" s="2660"/>
      <c r="B56" s="323"/>
      <c r="C56" s="1785"/>
      <c r="D56" s="552"/>
      <c r="E56" s="160"/>
      <c r="F56" s="160"/>
      <c r="G56" s="160"/>
      <c r="H56" s="160"/>
      <c r="I56" s="160"/>
      <c r="J56" s="160"/>
      <c r="K56" s="160"/>
      <c r="L56" s="160"/>
      <c r="M56" s="160"/>
      <c r="N56" s="160"/>
      <c r="O56" s="160"/>
      <c r="P56" s="116"/>
      <c r="Q56" s="145"/>
      <c r="R56" s="1784"/>
      <c r="S56" s="159"/>
      <c r="AH56" s="2767"/>
    </row>
    <row r="57" spans="1:34" s="133" customFormat="1" x14ac:dyDescent="0.2">
      <c r="A57" s="856" t="str">
        <f>A52</f>
        <v>2016/17</v>
      </c>
      <c r="B57" s="827">
        <v>5</v>
      </c>
      <c r="C57" s="978">
        <f>C32</f>
        <v>7.4700000000000003E-2</v>
      </c>
      <c r="D57" s="829">
        <f>D32</f>
        <v>13000000</v>
      </c>
      <c r="E57" s="130"/>
      <c r="F57" s="130"/>
      <c r="G57" s="132"/>
      <c r="H57" s="132"/>
      <c r="I57" s="132"/>
      <c r="J57" s="132"/>
      <c r="K57" s="132"/>
      <c r="L57" s="132"/>
      <c r="M57" s="132"/>
      <c r="N57" s="132"/>
      <c r="O57" s="132"/>
      <c r="P57" s="132"/>
      <c r="Q57" s="78"/>
      <c r="R57" s="825"/>
      <c r="S57" s="131"/>
      <c r="AH57" s="2766"/>
    </row>
    <row r="58" spans="1:34" s="133" customFormat="1" x14ac:dyDescent="0.2">
      <c r="A58" s="856"/>
      <c r="B58" s="827" t="s">
        <v>978</v>
      </c>
      <c r="C58" s="828"/>
      <c r="D58" s="829" t="str">
        <f>D53</f>
        <v xml:space="preserve">Principal </v>
      </c>
      <c r="E58" s="130">
        <v>294200</v>
      </c>
      <c r="F58" s="132">
        <v>316800</v>
      </c>
      <c r="G58" s="132">
        <v>341200</v>
      </c>
      <c r="H58" s="132">
        <v>367500</v>
      </c>
      <c r="I58" s="132">
        <v>395600</v>
      </c>
      <c r="J58" s="132">
        <v>0</v>
      </c>
      <c r="K58" s="132">
        <v>0</v>
      </c>
      <c r="L58" s="132">
        <v>0</v>
      </c>
      <c r="M58" s="132">
        <v>0</v>
      </c>
      <c r="N58" s="132">
        <v>0</v>
      </c>
      <c r="O58" s="132">
        <v>0</v>
      </c>
      <c r="P58" s="132">
        <v>0</v>
      </c>
      <c r="Q58" s="78">
        <v>0</v>
      </c>
      <c r="R58" s="825">
        <v>0</v>
      </c>
      <c r="S58" s="131">
        <f>SUM(E58:P58)</f>
        <v>1715300</v>
      </c>
      <c r="AH58" s="2766"/>
    </row>
    <row r="59" spans="1:34" s="133" customFormat="1" x14ac:dyDescent="0.2">
      <c r="A59" s="856"/>
      <c r="B59" s="827"/>
      <c r="C59" s="828"/>
      <c r="D59" s="829" t="str">
        <f>D54</f>
        <v>Interest</v>
      </c>
      <c r="E59" s="130">
        <v>963000</v>
      </c>
      <c r="F59" s="130">
        <v>940400</v>
      </c>
      <c r="G59" s="132">
        <v>916000</v>
      </c>
      <c r="H59" s="132">
        <v>889700</v>
      </c>
      <c r="I59" s="132">
        <v>861600</v>
      </c>
      <c r="J59" s="132">
        <v>0</v>
      </c>
      <c r="K59" s="132">
        <v>0</v>
      </c>
      <c r="L59" s="132">
        <v>0</v>
      </c>
      <c r="M59" s="132">
        <v>0</v>
      </c>
      <c r="N59" s="132">
        <v>0</v>
      </c>
      <c r="O59" s="132">
        <v>0</v>
      </c>
      <c r="P59" s="132">
        <v>0</v>
      </c>
      <c r="Q59" s="78">
        <v>0</v>
      </c>
      <c r="R59" s="825">
        <v>0</v>
      </c>
      <c r="S59" s="131">
        <f>SUM(E59:P59)</f>
        <v>4570700</v>
      </c>
      <c r="AH59" s="2766"/>
    </row>
    <row r="60" spans="1:34" s="118" customFormat="1" x14ac:dyDescent="0.2">
      <c r="A60" s="2660"/>
      <c r="B60" s="323"/>
      <c r="C60" s="1783"/>
      <c r="D60" s="552" t="str">
        <f>D55</f>
        <v>O/S Princ</v>
      </c>
      <c r="E60" s="160">
        <v>12705800</v>
      </c>
      <c r="F60" s="160">
        <f t="shared" ref="F60:N60" si="14">E60-F58</f>
        <v>12389000</v>
      </c>
      <c r="G60" s="160">
        <f t="shared" si="14"/>
        <v>12047800</v>
      </c>
      <c r="H60" s="160">
        <f t="shared" si="14"/>
        <v>11680300</v>
      </c>
      <c r="I60" s="160">
        <f t="shared" si="14"/>
        <v>11284700</v>
      </c>
      <c r="J60" s="160">
        <v>0</v>
      </c>
      <c r="K60" s="160">
        <f t="shared" si="14"/>
        <v>0</v>
      </c>
      <c r="L60" s="160">
        <f t="shared" si="14"/>
        <v>0</v>
      </c>
      <c r="M60" s="160">
        <f t="shared" si="14"/>
        <v>0</v>
      </c>
      <c r="N60" s="160">
        <f t="shared" si="14"/>
        <v>0</v>
      </c>
      <c r="O60" s="116">
        <f>M60-O58</f>
        <v>0</v>
      </c>
      <c r="P60" s="116">
        <f>N60-P58</f>
        <v>0</v>
      </c>
      <c r="Q60" s="145">
        <f>O60-Q58</f>
        <v>0</v>
      </c>
      <c r="R60" s="1784">
        <f>P60-R58</f>
        <v>0</v>
      </c>
      <c r="S60" s="159">
        <f>SUM(S58:S59)</f>
        <v>6286000</v>
      </c>
      <c r="AH60" s="2767"/>
    </row>
    <row r="61" spans="1:34" s="118" customFormat="1" x14ac:dyDescent="0.2">
      <c r="A61" s="2660"/>
      <c r="B61" s="323"/>
      <c r="C61" s="1783"/>
      <c r="D61" s="552"/>
      <c r="E61" s="160"/>
      <c r="F61" s="160"/>
      <c r="G61" s="160"/>
      <c r="H61" s="160"/>
      <c r="I61" s="160"/>
      <c r="J61" s="160"/>
      <c r="K61" s="160"/>
      <c r="L61" s="160"/>
      <c r="M61" s="160"/>
      <c r="N61" s="160"/>
      <c r="O61" s="160"/>
      <c r="P61" s="132"/>
      <c r="Q61" s="78"/>
      <c r="R61" s="825"/>
      <c r="S61" s="159"/>
      <c r="AH61" s="2767"/>
    </row>
    <row r="62" spans="1:34" s="133" customFormat="1" x14ac:dyDescent="0.2">
      <c r="A62" s="856" t="str">
        <f>A33</f>
        <v>2017/18</v>
      </c>
      <c r="B62" s="827">
        <v>20</v>
      </c>
      <c r="C62" s="828">
        <f>Assumptions!H$15</f>
        <v>0.06</v>
      </c>
      <c r="D62" s="829">
        <v>11284700</v>
      </c>
      <c r="E62" s="130"/>
      <c r="F62" s="130"/>
      <c r="G62" s="132"/>
      <c r="H62" s="132"/>
      <c r="I62" s="132"/>
      <c r="J62" s="132"/>
      <c r="K62" s="132"/>
      <c r="L62" s="132"/>
      <c r="M62" s="132"/>
      <c r="N62" s="132"/>
      <c r="O62" s="132"/>
      <c r="P62" s="132"/>
      <c r="Q62" s="78"/>
      <c r="R62" s="825"/>
      <c r="S62" s="131"/>
      <c r="AH62" s="2766"/>
    </row>
    <row r="63" spans="1:34" s="133" customFormat="1" x14ac:dyDescent="0.2">
      <c r="A63" s="856"/>
      <c r="B63" s="827"/>
      <c r="C63" s="828"/>
      <c r="D63" s="829" t="str">
        <f>D53</f>
        <v xml:space="preserve">Principal </v>
      </c>
      <c r="E63" s="130"/>
      <c r="F63" s="130"/>
      <c r="G63" s="132"/>
      <c r="H63" s="132"/>
      <c r="I63" s="132"/>
      <c r="J63" s="132">
        <f>-ROUND(PMT($C$62,$B$62,$D$62),-3)-J64</f>
        <v>307000</v>
      </c>
      <c r="K63" s="132">
        <f t="shared" ref="K63:R63" si="15">-ROUND(PMT($C$62,$B$62,$D$62),-3)-K64</f>
        <v>325000</v>
      </c>
      <c r="L63" s="132">
        <f t="shared" si="15"/>
        <v>345000</v>
      </c>
      <c r="M63" s="132">
        <f t="shared" si="15"/>
        <v>366000</v>
      </c>
      <c r="N63" s="132">
        <f>-ROUND(PMT($C$62,$B$62,$D$62),-3)-N64</f>
        <v>387000</v>
      </c>
      <c r="O63" s="132">
        <f>-ROUND(PMT($C$62,$B$62,$D$62),-3)-O64</f>
        <v>411000</v>
      </c>
      <c r="P63" s="132">
        <f t="shared" si="15"/>
        <v>435000</v>
      </c>
      <c r="Q63" s="78">
        <f t="shared" si="15"/>
        <v>461000</v>
      </c>
      <c r="R63" s="825">
        <f t="shared" si="15"/>
        <v>489000</v>
      </c>
      <c r="S63" s="131">
        <f>SUM(E63:P63)</f>
        <v>2576000</v>
      </c>
      <c r="AH63" s="2766"/>
    </row>
    <row r="64" spans="1:34" s="133" customFormat="1" x14ac:dyDescent="0.2">
      <c r="A64" s="856"/>
      <c r="B64" s="827"/>
      <c r="C64" s="828"/>
      <c r="D64" s="829" t="str">
        <f>D54</f>
        <v>Interest</v>
      </c>
      <c r="E64" s="130"/>
      <c r="F64" s="130"/>
      <c r="G64" s="132"/>
      <c r="H64" s="132"/>
      <c r="I64" s="132"/>
      <c r="J64" s="132">
        <f>ROUND(D62*$C$62,-3)</f>
        <v>677000</v>
      </c>
      <c r="K64" s="132">
        <f t="shared" ref="K64:M64" si="16">ROUND(J65*$C$62,-3)</f>
        <v>659000</v>
      </c>
      <c r="L64" s="132">
        <f t="shared" si="16"/>
        <v>639000</v>
      </c>
      <c r="M64" s="132">
        <f t="shared" si="16"/>
        <v>618000</v>
      </c>
      <c r="N64" s="132">
        <f t="shared" ref="N64" si="17">ROUND(M65*$C$62,-3)</f>
        <v>597000</v>
      </c>
      <c r="O64" s="132">
        <f t="shared" ref="O64" si="18">ROUND(N65*$C$62,-3)</f>
        <v>573000</v>
      </c>
      <c r="P64" s="132">
        <f t="shared" ref="P64" si="19">ROUND(O65*$C$62,-3)</f>
        <v>549000</v>
      </c>
      <c r="Q64" s="78">
        <f t="shared" ref="Q64:R64" si="20">ROUND(P65*$C$62,-3)</f>
        <v>523000</v>
      </c>
      <c r="R64" s="825">
        <f t="shared" si="20"/>
        <v>495000</v>
      </c>
      <c r="S64" s="131">
        <f>SUM(E64:P64)</f>
        <v>4312000</v>
      </c>
      <c r="AH64" s="2766"/>
    </row>
    <row r="65" spans="1:34" s="118" customFormat="1" x14ac:dyDescent="0.2">
      <c r="A65" s="2660"/>
      <c r="B65" s="323"/>
      <c r="C65" s="1783"/>
      <c r="D65" s="552" t="str">
        <f>D55</f>
        <v>O/S Princ</v>
      </c>
      <c r="E65" s="160"/>
      <c r="F65" s="160"/>
      <c r="G65" s="160"/>
      <c r="H65" s="160"/>
      <c r="I65" s="160"/>
      <c r="J65" s="160">
        <f>D62-J63</f>
        <v>10977700</v>
      </c>
      <c r="K65" s="160">
        <f t="shared" ref="K65:N65" si="21">J65-K63</f>
        <v>10652700</v>
      </c>
      <c r="L65" s="160">
        <f t="shared" si="21"/>
        <v>10307700</v>
      </c>
      <c r="M65" s="160">
        <f t="shared" si="21"/>
        <v>9941700</v>
      </c>
      <c r="N65" s="160">
        <f t="shared" si="21"/>
        <v>9554700</v>
      </c>
      <c r="O65" s="160">
        <f t="shared" ref="O65" si="22">N65-O63</f>
        <v>9143700</v>
      </c>
      <c r="P65" s="116">
        <f>O65-P63</f>
        <v>8708700</v>
      </c>
      <c r="Q65" s="145">
        <f>P65-Q63</f>
        <v>8247700</v>
      </c>
      <c r="R65" s="1784">
        <f>Q65-R63</f>
        <v>7758700</v>
      </c>
      <c r="S65" s="159">
        <f>SUM(S63:S64)</f>
        <v>6888000</v>
      </c>
      <c r="AH65" s="2767"/>
    </row>
    <row r="66" spans="1:34" s="118" customFormat="1" x14ac:dyDescent="0.2">
      <c r="A66" s="2660"/>
      <c r="B66" s="323"/>
      <c r="C66" s="1783"/>
      <c r="D66" s="552"/>
      <c r="E66" s="160"/>
      <c r="F66" s="160"/>
      <c r="G66" s="160"/>
      <c r="H66" s="160"/>
      <c r="I66" s="160"/>
      <c r="J66" s="160"/>
      <c r="K66" s="160"/>
      <c r="L66" s="160"/>
      <c r="M66" s="160"/>
      <c r="N66" s="160"/>
      <c r="O66" s="116"/>
      <c r="P66" s="116"/>
      <c r="Q66" s="145"/>
      <c r="R66" s="1784"/>
      <c r="S66" s="159"/>
      <c r="AH66" s="2767"/>
    </row>
    <row r="67" spans="1:34" s="133" customFormat="1" x14ac:dyDescent="0.2">
      <c r="A67" s="856" t="str">
        <f>A34</f>
        <v>2018/19</v>
      </c>
      <c r="B67" s="827">
        <f>B34</f>
        <v>20</v>
      </c>
      <c r="C67" s="828">
        <f>Assumptions!I$15</f>
        <v>0.06</v>
      </c>
      <c r="D67" s="829"/>
      <c r="E67" s="130"/>
      <c r="F67" s="130"/>
      <c r="G67" s="132"/>
      <c r="H67" s="132"/>
      <c r="I67" s="132"/>
      <c r="J67" s="132"/>
      <c r="K67" s="132"/>
      <c r="L67" s="132"/>
      <c r="M67" s="132"/>
      <c r="N67" s="132"/>
      <c r="O67" s="132"/>
      <c r="P67" s="132"/>
      <c r="Q67" s="78"/>
      <c r="R67" s="825"/>
      <c r="S67" s="131"/>
      <c r="AH67" s="2766"/>
    </row>
    <row r="68" spans="1:34" s="133" customFormat="1" x14ac:dyDescent="0.2">
      <c r="A68" s="856"/>
      <c r="B68" s="827"/>
      <c r="C68" s="828"/>
      <c r="D68" s="829" t="str">
        <f>D63</f>
        <v xml:space="preserve">Principal </v>
      </c>
      <c r="E68" s="130"/>
      <c r="F68" s="130"/>
      <c r="G68" s="132"/>
      <c r="H68" s="132"/>
      <c r="I68" s="132"/>
      <c r="J68" s="132"/>
      <c r="K68" s="132">
        <f t="shared" ref="K68:R68" si="23">-ROUND(PMT($C$67,$B$67,$D$67),-3)-K69</f>
        <v>0</v>
      </c>
      <c r="L68" s="132">
        <f t="shared" si="23"/>
        <v>0</v>
      </c>
      <c r="M68" s="132">
        <f t="shared" si="23"/>
        <v>0</v>
      </c>
      <c r="N68" s="132">
        <f t="shared" si="23"/>
        <v>0</v>
      </c>
      <c r="O68" s="132">
        <f t="shared" si="23"/>
        <v>0</v>
      </c>
      <c r="P68" s="132">
        <f t="shared" si="23"/>
        <v>0</v>
      </c>
      <c r="Q68" s="78">
        <f t="shared" si="23"/>
        <v>0</v>
      </c>
      <c r="R68" s="825">
        <f t="shared" si="23"/>
        <v>0</v>
      </c>
      <c r="S68" s="131">
        <f>SUM(E68:P68)</f>
        <v>0</v>
      </c>
      <c r="AH68" s="2766"/>
    </row>
    <row r="69" spans="1:34" s="133" customFormat="1" x14ac:dyDescent="0.2">
      <c r="A69" s="856"/>
      <c r="B69" s="827"/>
      <c r="C69" s="828"/>
      <c r="D69" s="829" t="str">
        <f>D64</f>
        <v>Interest</v>
      </c>
      <c r="E69" s="130"/>
      <c r="F69" s="130"/>
      <c r="G69" s="132"/>
      <c r="H69" s="132"/>
      <c r="I69" s="132"/>
      <c r="J69" s="132"/>
      <c r="K69" s="132">
        <f>ROUND(J70*$C$67,-3)</f>
        <v>0</v>
      </c>
      <c r="L69" s="132">
        <f>ROUND(K70*$C$67,-3)</f>
        <v>0</v>
      </c>
      <c r="M69" s="132">
        <f>ROUND(L70*$C$67,-3)</f>
        <v>0</v>
      </c>
      <c r="N69" s="132">
        <f>ROUND(M70*$C$67,-3)</f>
        <v>0</v>
      </c>
      <c r="O69" s="132">
        <f>ROUND(M70*$C$67,-3)</f>
        <v>0</v>
      </c>
      <c r="P69" s="132">
        <f>ROUND(N70*$C$67,-3)</f>
        <v>0</v>
      </c>
      <c r="Q69" s="78">
        <f>ROUND(O70*$C$67,-3)</f>
        <v>0</v>
      </c>
      <c r="R69" s="825">
        <f>ROUND(P70*$C$67,-3)</f>
        <v>0</v>
      </c>
      <c r="S69" s="131">
        <f>SUM(E69:P69)</f>
        <v>0</v>
      </c>
      <c r="AH69" s="2766"/>
    </row>
    <row r="70" spans="1:34" s="118" customFormat="1" x14ac:dyDescent="0.2">
      <c r="A70" s="2660"/>
      <c r="B70" s="323"/>
      <c r="C70" s="1783"/>
      <c r="D70" s="552" t="str">
        <f>D65</f>
        <v>O/S Princ</v>
      </c>
      <c r="E70" s="160"/>
      <c r="F70" s="160"/>
      <c r="G70" s="160"/>
      <c r="H70" s="160"/>
      <c r="I70" s="160"/>
      <c r="J70" s="160">
        <f>D67</f>
        <v>0</v>
      </c>
      <c r="K70" s="160">
        <f>J70-K68</f>
        <v>0</v>
      </c>
      <c r="L70" s="160">
        <f>K70-L68</f>
        <v>0</v>
      </c>
      <c r="M70" s="160">
        <f>L70-M68</f>
        <v>0</v>
      </c>
      <c r="N70" s="160">
        <f>M70-N68</f>
        <v>0</v>
      </c>
      <c r="O70" s="116">
        <f>M70-O68</f>
        <v>0</v>
      </c>
      <c r="P70" s="116">
        <f>N70-P68</f>
        <v>0</v>
      </c>
      <c r="Q70" s="145">
        <f>O70-Q68</f>
        <v>0</v>
      </c>
      <c r="R70" s="1784">
        <f>P70-R68</f>
        <v>0</v>
      </c>
      <c r="S70" s="159">
        <f>SUM(S68:S69)</f>
        <v>0</v>
      </c>
      <c r="AH70" s="2767"/>
    </row>
    <row r="71" spans="1:34" s="118" customFormat="1" x14ac:dyDescent="0.2">
      <c r="A71" s="2660"/>
      <c r="B71" s="323"/>
      <c r="C71" s="1783"/>
      <c r="D71" s="552"/>
      <c r="E71" s="160"/>
      <c r="F71" s="160"/>
      <c r="G71" s="160"/>
      <c r="H71" s="160"/>
      <c r="I71" s="160"/>
      <c r="J71" s="160"/>
      <c r="K71" s="160"/>
      <c r="L71" s="160"/>
      <c r="M71" s="160"/>
      <c r="N71" s="160"/>
      <c r="O71" s="116"/>
      <c r="P71" s="116"/>
      <c r="Q71" s="145"/>
      <c r="R71" s="1784"/>
      <c r="S71" s="159"/>
      <c r="AH71" s="2767"/>
    </row>
    <row r="72" spans="1:34" s="133" customFormat="1" x14ac:dyDescent="0.2">
      <c r="A72" s="856" t="str">
        <f>A35</f>
        <v>2019/20</v>
      </c>
      <c r="B72" s="827">
        <v>20</v>
      </c>
      <c r="C72" s="828">
        <f>Assumptions!J$15</f>
        <v>0.06</v>
      </c>
      <c r="D72" s="829">
        <f>D35</f>
        <v>0</v>
      </c>
      <c r="E72" s="130"/>
      <c r="F72" s="130"/>
      <c r="G72" s="132"/>
      <c r="H72" s="132"/>
      <c r="I72" s="132"/>
      <c r="J72" s="132"/>
      <c r="K72" s="132"/>
      <c r="L72" s="132"/>
      <c r="M72" s="132"/>
      <c r="N72" s="132"/>
      <c r="O72" s="132"/>
      <c r="P72" s="132"/>
      <c r="Q72" s="78"/>
      <c r="R72" s="825"/>
      <c r="S72" s="131"/>
      <c r="AH72" s="2766"/>
    </row>
    <row r="73" spans="1:34" s="133" customFormat="1" x14ac:dyDescent="0.2">
      <c r="A73" s="856"/>
      <c r="B73" s="827"/>
      <c r="C73" s="828"/>
      <c r="D73" s="829" t="str">
        <f>D68</f>
        <v xml:space="preserve">Principal </v>
      </c>
      <c r="E73" s="130"/>
      <c r="F73" s="130"/>
      <c r="G73" s="132"/>
      <c r="H73" s="132"/>
      <c r="I73" s="132"/>
      <c r="J73" s="132"/>
      <c r="K73" s="132"/>
      <c r="L73" s="132">
        <f t="shared" ref="L73:R73" si="24">-ROUND(PMT($C$72,$B$72,$D$72),-3)-L74</f>
        <v>0</v>
      </c>
      <c r="M73" s="132">
        <f t="shared" si="24"/>
        <v>0</v>
      </c>
      <c r="N73" s="132">
        <f t="shared" si="24"/>
        <v>0</v>
      </c>
      <c r="O73" s="132">
        <f t="shared" si="24"/>
        <v>0</v>
      </c>
      <c r="P73" s="132">
        <f t="shared" si="24"/>
        <v>0</v>
      </c>
      <c r="Q73" s="78">
        <f t="shared" si="24"/>
        <v>0</v>
      </c>
      <c r="R73" s="825">
        <f t="shared" si="24"/>
        <v>0</v>
      </c>
      <c r="S73" s="131">
        <f>SUM(E73:P73)</f>
        <v>0</v>
      </c>
      <c r="AH73" s="2766"/>
    </row>
    <row r="74" spans="1:34" s="133" customFormat="1" x14ac:dyDescent="0.2">
      <c r="A74" s="856"/>
      <c r="B74" s="827"/>
      <c r="C74" s="828"/>
      <c r="D74" s="829" t="str">
        <f>D69</f>
        <v>Interest</v>
      </c>
      <c r="E74" s="130"/>
      <c r="F74" s="130"/>
      <c r="G74" s="132"/>
      <c r="H74" s="132"/>
      <c r="I74" s="132"/>
      <c r="J74" s="132"/>
      <c r="K74" s="132"/>
      <c r="L74" s="132">
        <f>ROUND(K75*$C$72,-3)</f>
        <v>0</v>
      </c>
      <c r="M74" s="132">
        <f>ROUND(L75*$C$72,-3)</f>
        <v>0</v>
      </c>
      <c r="N74" s="132">
        <f>ROUND(M75*$C$72,-3)</f>
        <v>0</v>
      </c>
      <c r="O74" s="132">
        <f>ROUND(M75*$C$72,-3)</f>
        <v>0</v>
      </c>
      <c r="P74" s="132">
        <f>ROUND(N75*$C$72,-3)</f>
        <v>0</v>
      </c>
      <c r="Q74" s="78">
        <f>ROUND(O75*$C$72,-3)</f>
        <v>0</v>
      </c>
      <c r="R74" s="825">
        <f>ROUND(P75*$C$72,-3)</f>
        <v>0</v>
      </c>
      <c r="S74" s="131">
        <f>SUM(E74:P74)</f>
        <v>0</v>
      </c>
      <c r="AH74" s="2766"/>
    </row>
    <row r="75" spans="1:34" s="118" customFormat="1" x14ac:dyDescent="0.2">
      <c r="A75" s="2660"/>
      <c r="B75" s="323"/>
      <c r="C75" s="1783"/>
      <c r="D75" s="552" t="str">
        <f>D70</f>
        <v>O/S Princ</v>
      </c>
      <c r="E75" s="160"/>
      <c r="F75" s="160"/>
      <c r="G75" s="160"/>
      <c r="H75" s="160"/>
      <c r="I75" s="160"/>
      <c r="J75" s="160"/>
      <c r="K75" s="160">
        <f>D72</f>
        <v>0</v>
      </c>
      <c r="L75" s="160">
        <f>K75-L73</f>
        <v>0</v>
      </c>
      <c r="M75" s="160">
        <f>L75-M73</f>
        <v>0</v>
      </c>
      <c r="N75" s="160">
        <f>M75-N73</f>
        <v>0</v>
      </c>
      <c r="O75" s="116">
        <f>M75-O73</f>
        <v>0</v>
      </c>
      <c r="P75" s="116">
        <f>N75-P73</f>
        <v>0</v>
      </c>
      <c r="Q75" s="145">
        <f>O75-Q73</f>
        <v>0</v>
      </c>
      <c r="R75" s="1784">
        <f>P75-R73</f>
        <v>0</v>
      </c>
      <c r="S75" s="159">
        <f>SUM(S73:S74)</f>
        <v>0</v>
      </c>
      <c r="AH75" s="2767"/>
    </row>
    <row r="76" spans="1:34" s="118" customFormat="1" x14ac:dyDescent="0.2">
      <c r="A76" s="2660"/>
      <c r="B76" s="323"/>
      <c r="C76" s="1783"/>
      <c r="D76" s="552"/>
      <c r="E76" s="160"/>
      <c r="F76" s="160"/>
      <c r="G76" s="160"/>
      <c r="H76" s="160"/>
      <c r="I76" s="160"/>
      <c r="J76" s="160"/>
      <c r="K76" s="160"/>
      <c r="L76" s="160"/>
      <c r="M76" s="160"/>
      <c r="N76" s="160"/>
      <c r="O76" s="116"/>
      <c r="P76" s="116"/>
      <c r="Q76" s="145"/>
      <c r="R76" s="1784"/>
      <c r="S76" s="159"/>
      <c r="AH76" s="2767"/>
    </row>
    <row r="77" spans="1:34" s="133" customFormat="1" x14ac:dyDescent="0.2">
      <c r="A77" s="856" t="str">
        <f>A36</f>
        <v>2020/21</v>
      </c>
      <c r="B77" s="827">
        <v>20</v>
      </c>
      <c r="C77" s="828">
        <f>Assumptions!K$15</f>
        <v>0.06</v>
      </c>
      <c r="D77" s="829">
        <f>D36</f>
        <v>0</v>
      </c>
      <c r="E77" s="130"/>
      <c r="F77" s="130"/>
      <c r="G77" s="132"/>
      <c r="H77" s="132"/>
      <c r="I77" s="132"/>
      <c r="J77" s="132"/>
      <c r="K77" s="132"/>
      <c r="L77" s="132"/>
      <c r="M77" s="132"/>
      <c r="N77" s="132"/>
      <c r="O77" s="132"/>
      <c r="P77" s="132"/>
      <c r="Q77" s="78"/>
      <c r="R77" s="825"/>
      <c r="S77" s="131"/>
      <c r="AH77" s="2766"/>
    </row>
    <row r="78" spans="1:34" s="133" customFormat="1" x14ac:dyDescent="0.2">
      <c r="A78" s="856"/>
      <c r="B78" s="827"/>
      <c r="C78" s="828"/>
      <c r="D78" s="829" t="str">
        <f>D73</f>
        <v xml:space="preserve">Principal </v>
      </c>
      <c r="E78" s="130"/>
      <c r="F78" s="130"/>
      <c r="G78" s="132"/>
      <c r="H78" s="132"/>
      <c r="I78" s="132"/>
      <c r="J78" s="132"/>
      <c r="K78" s="132"/>
      <c r="L78" s="132"/>
      <c r="M78" s="132">
        <f t="shared" ref="M78:R78" si="25">-ROUND(PMT($C$77,$B$77,$D$77),-3)-M79</f>
        <v>0</v>
      </c>
      <c r="N78" s="132">
        <f t="shared" si="25"/>
        <v>0</v>
      </c>
      <c r="O78" s="132">
        <f t="shared" si="25"/>
        <v>0</v>
      </c>
      <c r="P78" s="132">
        <f t="shared" si="25"/>
        <v>0</v>
      </c>
      <c r="Q78" s="78">
        <f t="shared" si="25"/>
        <v>0</v>
      </c>
      <c r="R78" s="825">
        <f t="shared" si="25"/>
        <v>0</v>
      </c>
      <c r="S78" s="131">
        <f>SUM(E78:P78)</f>
        <v>0</v>
      </c>
      <c r="AH78" s="2766"/>
    </row>
    <row r="79" spans="1:34" s="133" customFormat="1" x14ac:dyDescent="0.2">
      <c r="A79" s="856"/>
      <c r="B79" s="827"/>
      <c r="C79" s="828"/>
      <c r="D79" s="829" t="str">
        <f>D74</f>
        <v>Interest</v>
      </c>
      <c r="E79" s="130"/>
      <c r="F79" s="130"/>
      <c r="G79" s="132"/>
      <c r="H79" s="132"/>
      <c r="I79" s="132"/>
      <c r="J79" s="132"/>
      <c r="K79" s="132"/>
      <c r="L79" s="132"/>
      <c r="M79" s="132">
        <f>ROUND(L80*$C$77,-3)</f>
        <v>0</v>
      </c>
      <c r="N79" s="132">
        <f>ROUND(M80*$C$77,-3)</f>
        <v>0</v>
      </c>
      <c r="O79" s="132">
        <f>ROUND(M80*$C$77,-3)</f>
        <v>0</v>
      </c>
      <c r="P79" s="132">
        <f>ROUND(N80*$C$77,-3)</f>
        <v>0</v>
      </c>
      <c r="Q79" s="78">
        <f>ROUND(O80*$C$77,-3)</f>
        <v>0</v>
      </c>
      <c r="R79" s="825">
        <f>ROUND(P80*$C$77,-3)</f>
        <v>0</v>
      </c>
      <c r="S79" s="131">
        <f>SUM(E79:P79)</f>
        <v>0</v>
      </c>
      <c r="AH79" s="2766"/>
    </row>
    <row r="80" spans="1:34" s="118" customFormat="1" x14ac:dyDescent="0.2">
      <c r="A80" s="2660"/>
      <c r="B80" s="323"/>
      <c r="C80" s="1783"/>
      <c r="D80" s="552" t="str">
        <f>D75</f>
        <v>O/S Princ</v>
      </c>
      <c r="E80" s="160"/>
      <c r="F80" s="160"/>
      <c r="G80" s="160"/>
      <c r="H80" s="160"/>
      <c r="I80" s="160"/>
      <c r="J80" s="160"/>
      <c r="K80" s="160"/>
      <c r="L80" s="160">
        <f>D77</f>
        <v>0</v>
      </c>
      <c r="M80" s="160">
        <f>L80-M78</f>
        <v>0</v>
      </c>
      <c r="N80" s="160">
        <f>M80-N78</f>
        <v>0</v>
      </c>
      <c r="O80" s="116">
        <f>M80-O78</f>
        <v>0</v>
      </c>
      <c r="P80" s="116">
        <f>N80-P78</f>
        <v>0</v>
      </c>
      <c r="Q80" s="145">
        <f>O80-Q78</f>
        <v>0</v>
      </c>
      <c r="R80" s="1784">
        <f>P80-R78</f>
        <v>0</v>
      </c>
      <c r="S80" s="159">
        <f>SUM(S78:S79)</f>
        <v>0</v>
      </c>
      <c r="AH80" s="2767"/>
    </row>
    <row r="81" spans="1:34" s="118" customFormat="1" x14ac:dyDescent="0.2">
      <c r="A81" s="2660"/>
      <c r="B81" s="323"/>
      <c r="C81" s="1783"/>
      <c r="D81" s="552"/>
      <c r="E81" s="160"/>
      <c r="F81" s="160"/>
      <c r="G81" s="160"/>
      <c r="H81" s="160"/>
      <c r="I81" s="160"/>
      <c r="J81" s="160"/>
      <c r="K81" s="160"/>
      <c r="L81" s="160"/>
      <c r="M81" s="160"/>
      <c r="N81" s="160"/>
      <c r="O81" s="116"/>
      <c r="P81" s="116"/>
      <c r="Q81" s="145"/>
      <c r="R81" s="1784"/>
      <c r="S81" s="159"/>
      <c r="AH81" s="2767"/>
    </row>
    <row r="82" spans="1:34" s="133" customFormat="1" x14ac:dyDescent="0.2">
      <c r="A82" s="856" t="str">
        <f>A37</f>
        <v>2021/22</v>
      </c>
      <c r="B82" s="827">
        <v>20</v>
      </c>
      <c r="C82" s="828">
        <f>Assumptions!L$15</f>
        <v>0.06</v>
      </c>
      <c r="D82" s="829">
        <f>D37</f>
        <v>0</v>
      </c>
      <c r="E82" s="130"/>
      <c r="F82" s="130"/>
      <c r="G82" s="132"/>
      <c r="H82" s="132"/>
      <c r="I82" s="132"/>
      <c r="J82" s="132"/>
      <c r="K82" s="132"/>
      <c r="L82" s="132"/>
      <c r="M82" s="132"/>
      <c r="N82" s="132"/>
      <c r="O82" s="132"/>
      <c r="P82" s="132"/>
      <c r="Q82" s="78"/>
      <c r="R82" s="825"/>
      <c r="S82" s="131"/>
      <c r="AH82" s="2766"/>
    </row>
    <row r="83" spans="1:34" s="133" customFormat="1" x14ac:dyDescent="0.2">
      <c r="A83" s="856"/>
      <c r="B83" s="827"/>
      <c r="C83" s="828"/>
      <c r="D83" s="829" t="str">
        <f>D78</f>
        <v xml:space="preserve">Principal </v>
      </c>
      <c r="E83" s="130"/>
      <c r="F83" s="130"/>
      <c r="G83" s="132"/>
      <c r="H83" s="132"/>
      <c r="I83" s="132"/>
      <c r="J83" s="132"/>
      <c r="K83" s="132"/>
      <c r="L83" s="132"/>
      <c r="M83" s="132"/>
      <c r="N83" s="132">
        <f>-ROUND(PMT($C$82,$B$82,$D$82),-3)-N84</f>
        <v>0</v>
      </c>
      <c r="O83" s="132">
        <f>-ROUND(PMT($C$82,$B$82,$D$82),-3)-O84</f>
        <v>0</v>
      </c>
      <c r="P83" s="132">
        <f>-ROUND(PMT($C$82,$B$82,$D$82),-3)-P84</f>
        <v>0</v>
      </c>
      <c r="Q83" s="78">
        <f>-ROUND(PMT($C$82,$B$82,$D$82),-3)-Q84</f>
        <v>0</v>
      </c>
      <c r="R83" s="825">
        <f>-ROUND(PMT($C$82,$B$82,$D$82),-3)-R84</f>
        <v>0</v>
      </c>
      <c r="S83" s="131">
        <f>SUM(E83:P83)</f>
        <v>0</v>
      </c>
      <c r="AH83" s="2766"/>
    </row>
    <row r="84" spans="1:34" s="133" customFormat="1" x14ac:dyDescent="0.2">
      <c r="A84" s="856"/>
      <c r="B84" s="827"/>
      <c r="C84" s="828"/>
      <c r="D84" s="829" t="str">
        <f>D79</f>
        <v>Interest</v>
      </c>
      <c r="E84" s="130"/>
      <c r="F84" s="130"/>
      <c r="G84" s="132"/>
      <c r="H84" s="132"/>
      <c r="I84" s="132"/>
      <c r="J84" s="132"/>
      <c r="K84" s="132"/>
      <c r="L84" s="132"/>
      <c r="M84" s="132"/>
      <c r="N84" s="132">
        <f>ROUND(M85*$C$82,-3)</f>
        <v>0</v>
      </c>
      <c r="O84" s="132">
        <f>ROUND(M85*$C$82,-3)</f>
        <v>0</v>
      </c>
      <c r="P84" s="132">
        <f>ROUND(N85*$C$82,-3)</f>
        <v>0</v>
      </c>
      <c r="Q84" s="78">
        <f>ROUND(O85*$C$82,-3)</f>
        <v>0</v>
      </c>
      <c r="R84" s="825">
        <f>ROUND(P85*$C$82,-3)</f>
        <v>0</v>
      </c>
      <c r="S84" s="131">
        <f>SUM(E84:P84)</f>
        <v>0</v>
      </c>
      <c r="AH84" s="2766"/>
    </row>
    <row r="85" spans="1:34" s="118" customFormat="1" x14ac:dyDescent="0.2">
      <c r="A85" s="2660"/>
      <c r="B85" s="323"/>
      <c r="C85" s="1783"/>
      <c r="D85" s="552" t="str">
        <f>D80</f>
        <v>O/S Princ</v>
      </c>
      <c r="E85" s="160"/>
      <c r="F85" s="160"/>
      <c r="G85" s="160"/>
      <c r="H85" s="160"/>
      <c r="I85" s="160"/>
      <c r="J85" s="160"/>
      <c r="K85" s="160"/>
      <c r="L85" s="160"/>
      <c r="M85" s="160">
        <f>D82</f>
        <v>0</v>
      </c>
      <c r="N85" s="160">
        <f>M85-N83</f>
        <v>0</v>
      </c>
      <c r="O85" s="116">
        <f>M85-O83</f>
        <v>0</v>
      </c>
      <c r="P85" s="116">
        <f>N85-P83</f>
        <v>0</v>
      </c>
      <c r="Q85" s="145">
        <f>O85-Q83</f>
        <v>0</v>
      </c>
      <c r="R85" s="1784">
        <f>P85-R83</f>
        <v>0</v>
      </c>
      <c r="S85" s="159">
        <f>SUM(S83:S84)</f>
        <v>0</v>
      </c>
      <c r="AH85" s="2767"/>
    </row>
    <row r="86" spans="1:34" s="118" customFormat="1" x14ac:dyDescent="0.2">
      <c r="A86" s="2660"/>
      <c r="B86" s="323"/>
      <c r="C86" s="1783"/>
      <c r="D86" s="552"/>
      <c r="E86" s="160"/>
      <c r="F86" s="160"/>
      <c r="G86" s="160"/>
      <c r="H86" s="160"/>
      <c r="I86" s="160"/>
      <c r="J86" s="160"/>
      <c r="K86" s="160"/>
      <c r="L86" s="160"/>
      <c r="M86" s="160"/>
      <c r="N86" s="160"/>
      <c r="O86" s="116"/>
      <c r="P86" s="116"/>
      <c r="Q86" s="145"/>
      <c r="R86" s="1784"/>
      <c r="S86" s="159"/>
      <c r="AH86" s="2767"/>
    </row>
    <row r="87" spans="1:34" s="133" customFormat="1" x14ac:dyDescent="0.2">
      <c r="A87" s="856" t="str">
        <f>A38</f>
        <v>2022/23</v>
      </c>
      <c r="B87" s="827">
        <v>20</v>
      </c>
      <c r="C87" s="828">
        <f>Assumptions!M$15</f>
        <v>0.06</v>
      </c>
      <c r="D87" s="829">
        <f>D38</f>
        <v>0</v>
      </c>
      <c r="E87" s="130"/>
      <c r="F87" s="130"/>
      <c r="G87" s="132"/>
      <c r="H87" s="132"/>
      <c r="I87" s="132"/>
      <c r="J87" s="132"/>
      <c r="K87" s="132"/>
      <c r="L87" s="132"/>
      <c r="M87" s="132"/>
      <c r="N87" s="132"/>
      <c r="O87" s="132"/>
      <c r="P87" s="132"/>
      <c r="Q87" s="78"/>
      <c r="R87" s="825"/>
      <c r="S87" s="131"/>
      <c r="AH87" s="2766"/>
    </row>
    <row r="88" spans="1:34" s="133" customFormat="1" x14ac:dyDescent="0.2">
      <c r="A88" s="856"/>
      <c r="B88" s="827"/>
      <c r="C88" s="828"/>
      <c r="D88" s="829" t="str">
        <f>D83</f>
        <v xml:space="preserve">Principal </v>
      </c>
      <c r="E88" s="130"/>
      <c r="F88" s="130"/>
      <c r="G88" s="132"/>
      <c r="H88" s="132"/>
      <c r="I88" s="132"/>
      <c r="J88" s="132"/>
      <c r="K88" s="132"/>
      <c r="L88" s="132"/>
      <c r="M88" s="132"/>
      <c r="N88" s="132"/>
      <c r="O88" s="132">
        <f>-ROUND(PMT($C$87,$B$87,$D$87),-3)-O89</f>
        <v>0</v>
      </c>
      <c r="P88" s="132">
        <f>-ROUND(PMT($C$87,$B$87,$D$87),-3)-P89</f>
        <v>0</v>
      </c>
      <c r="Q88" s="78">
        <f>-ROUND(PMT($C$87,$B$87,$D$87),-3)-Q89</f>
        <v>0</v>
      </c>
      <c r="R88" s="825">
        <f>-ROUND(PMT($C$87,$B$87,$D$87),-3)-R89</f>
        <v>0</v>
      </c>
      <c r="S88" s="131">
        <f>SUM(E88:P88)</f>
        <v>0</v>
      </c>
      <c r="AH88" s="2766"/>
    </row>
    <row r="89" spans="1:34" s="133" customFormat="1" x14ac:dyDescent="0.2">
      <c r="A89" s="856"/>
      <c r="B89" s="827"/>
      <c r="C89" s="828"/>
      <c r="D89" s="829" t="str">
        <f>D84</f>
        <v>Interest</v>
      </c>
      <c r="E89" s="130"/>
      <c r="F89" s="130"/>
      <c r="G89" s="132"/>
      <c r="H89" s="132"/>
      <c r="I89" s="132"/>
      <c r="J89" s="132"/>
      <c r="K89" s="132"/>
      <c r="L89" s="132"/>
      <c r="M89" s="132"/>
      <c r="N89" s="132"/>
      <c r="O89" s="132">
        <f>ROUND(M90*$C$87,-3)</f>
        <v>0</v>
      </c>
      <c r="P89" s="132">
        <f>ROUND(N90*$C$87,-3)</f>
        <v>0</v>
      </c>
      <c r="Q89" s="78">
        <f>ROUND(O90*$C$87,-3)</f>
        <v>0</v>
      </c>
      <c r="R89" s="825">
        <f>ROUND(P90*$C$87,-3)</f>
        <v>0</v>
      </c>
      <c r="S89" s="131">
        <f>SUM(E89:P89)</f>
        <v>0</v>
      </c>
      <c r="AH89" s="2766"/>
    </row>
    <row r="90" spans="1:34" s="118" customFormat="1" x14ac:dyDescent="0.2">
      <c r="A90" s="2660"/>
      <c r="B90" s="323"/>
      <c r="C90" s="1783"/>
      <c r="D90" s="552" t="str">
        <f>D85</f>
        <v>O/S Princ</v>
      </c>
      <c r="E90" s="160"/>
      <c r="F90" s="160"/>
      <c r="G90" s="160"/>
      <c r="H90" s="160"/>
      <c r="I90" s="160"/>
      <c r="J90" s="160"/>
      <c r="K90" s="160"/>
      <c r="L90" s="160"/>
      <c r="M90" s="160"/>
      <c r="N90" s="160">
        <f>D87</f>
        <v>0</v>
      </c>
      <c r="O90" s="116">
        <f>M90-O88</f>
        <v>0</v>
      </c>
      <c r="P90" s="116">
        <f>N90-P88</f>
        <v>0</v>
      </c>
      <c r="Q90" s="145">
        <f>O90-Q88</f>
        <v>0</v>
      </c>
      <c r="R90" s="1784">
        <f>P90-R88</f>
        <v>0</v>
      </c>
      <c r="S90" s="159">
        <f>SUM(S88:S89)</f>
        <v>0</v>
      </c>
      <c r="AH90" s="2767"/>
    </row>
    <row r="91" spans="1:34" s="118" customFormat="1" x14ac:dyDescent="0.2">
      <c r="A91" s="2660"/>
      <c r="B91" s="323"/>
      <c r="C91" s="1783"/>
      <c r="D91" s="552"/>
      <c r="E91" s="160"/>
      <c r="F91" s="160"/>
      <c r="G91" s="160"/>
      <c r="H91" s="160"/>
      <c r="I91" s="160"/>
      <c r="J91" s="160"/>
      <c r="K91" s="160"/>
      <c r="L91" s="160"/>
      <c r="M91" s="160"/>
      <c r="N91" s="160"/>
      <c r="O91" s="116"/>
      <c r="P91" s="116"/>
      <c r="Q91" s="145"/>
      <c r="R91" s="1784"/>
      <c r="S91" s="159"/>
      <c r="AH91" s="2767"/>
    </row>
    <row r="92" spans="1:34" s="133" customFormat="1" x14ac:dyDescent="0.2">
      <c r="A92" s="857" t="str">
        <f>A39</f>
        <v>2023/24</v>
      </c>
      <c r="B92" s="827">
        <v>20</v>
      </c>
      <c r="C92" s="828">
        <f>Assumptions!N$15</f>
        <v>0.06</v>
      </c>
      <c r="D92" s="829">
        <f>D39</f>
        <v>0</v>
      </c>
      <c r="E92" s="130"/>
      <c r="F92" s="130"/>
      <c r="G92" s="132"/>
      <c r="H92" s="132"/>
      <c r="I92" s="132"/>
      <c r="J92" s="132"/>
      <c r="K92" s="132"/>
      <c r="L92" s="132"/>
      <c r="M92" s="132"/>
      <c r="N92" s="132"/>
      <c r="O92" s="132"/>
      <c r="P92" s="132"/>
      <c r="Q92" s="78"/>
      <c r="R92" s="825"/>
      <c r="S92" s="131"/>
      <c r="AH92" s="2766"/>
    </row>
    <row r="93" spans="1:34" s="133" customFormat="1" x14ac:dyDescent="0.2">
      <c r="A93" s="856"/>
      <c r="B93" s="827"/>
      <c r="C93" s="828"/>
      <c r="D93" s="829" t="str">
        <f>D88</f>
        <v xml:space="preserve">Principal </v>
      </c>
      <c r="E93" s="130"/>
      <c r="F93" s="130"/>
      <c r="G93" s="132"/>
      <c r="H93" s="132"/>
      <c r="I93" s="132"/>
      <c r="J93" s="132"/>
      <c r="K93" s="132"/>
      <c r="L93" s="132"/>
      <c r="M93" s="132"/>
      <c r="N93" s="132"/>
      <c r="O93" s="132"/>
      <c r="P93" s="132"/>
      <c r="Q93" s="78"/>
      <c r="R93" s="825"/>
      <c r="S93" s="131">
        <f>SUM(E93:P93)</f>
        <v>0</v>
      </c>
      <c r="AH93" s="2766"/>
    </row>
    <row r="94" spans="1:34" s="133" customFormat="1" x14ac:dyDescent="0.2">
      <c r="A94" s="856"/>
      <c r="B94" s="827"/>
      <c r="C94" s="828"/>
      <c r="D94" s="829" t="str">
        <f>D89</f>
        <v>Interest</v>
      </c>
      <c r="E94" s="130"/>
      <c r="F94" s="130"/>
      <c r="G94" s="132"/>
      <c r="H94" s="132"/>
      <c r="I94" s="132"/>
      <c r="J94" s="132"/>
      <c r="K94" s="132"/>
      <c r="L94" s="132"/>
      <c r="M94" s="132"/>
      <c r="N94" s="132"/>
      <c r="O94" s="132"/>
      <c r="P94" s="132"/>
      <c r="Q94" s="78"/>
      <c r="R94" s="825"/>
      <c r="S94" s="131">
        <f>SUM(E94:P94)</f>
        <v>0</v>
      </c>
      <c r="AH94" s="2766"/>
    </row>
    <row r="95" spans="1:34" s="118" customFormat="1" x14ac:dyDescent="0.2">
      <c r="A95" s="2660"/>
      <c r="B95" s="323"/>
      <c r="C95" s="1783"/>
      <c r="D95" s="552" t="str">
        <f>D90</f>
        <v>O/S Princ</v>
      </c>
      <c r="E95" s="160"/>
      <c r="F95" s="160"/>
      <c r="G95" s="160"/>
      <c r="H95" s="160"/>
      <c r="I95" s="160"/>
      <c r="J95" s="160"/>
      <c r="K95" s="160"/>
      <c r="L95" s="160"/>
      <c r="M95" s="160"/>
      <c r="N95" s="160"/>
      <c r="O95" s="116">
        <f>C92</f>
        <v>0.06</v>
      </c>
      <c r="P95" s="116">
        <f>D92</f>
        <v>0</v>
      </c>
      <c r="Q95" s="145">
        <f>E92</f>
        <v>0</v>
      </c>
      <c r="R95" s="1784">
        <f>F92</f>
        <v>0</v>
      </c>
      <c r="S95" s="159">
        <f>SUM(S93:S94)</f>
        <v>0</v>
      </c>
      <c r="AH95" s="2767"/>
    </row>
    <row r="96" spans="1:34" s="133" customFormat="1" ht="13.5" thickBot="1" x14ac:dyDescent="0.25">
      <c r="A96" s="856"/>
      <c r="B96" s="827"/>
      <c r="C96" s="828"/>
      <c r="D96" s="829"/>
      <c r="E96" s="130"/>
      <c r="F96" s="130"/>
      <c r="G96" s="130"/>
      <c r="H96" s="132"/>
      <c r="I96" s="130"/>
      <c r="J96" s="132"/>
      <c r="K96" s="132"/>
      <c r="L96" s="132"/>
      <c r="M96" s="132"/>
      <c r="N96" s="132"/>
      <c r="O96" s="132"/>
      <c r="P96" s="132"/>
      <c r="Q96" s="78"/>
      <c r="R96" s="825"/>
      <c r="S96" s="131"/>
      <c r="AH96" s="2766"/>
    </row>
    <row r="97" spans="1:46" s="118" customFormat="1" ht="13.5" thickTop="1" x14ac:dyDescent="0.2">
      <c r="A97" s="1786" t="s">
        <v>2662</v>
      </c>
      <c r="B97" s="1787"/>
      <c r="C97" s="1788"/>
      <c r="D97" s="1789"/>
      <c r="E97" s="1372"/>
      <c r="F97" s="1372"/>
      <c r="G97" s="1372"/>
      <c r="H97" s="1348"/>
      <c r="I97" s="1372"/>
      <c r="J97" s="1348"/>
      <c r="K97" s="1348"/>
      <c r="L97" s="1348"/>
      <c r="M97" s="1348"/>
      <c r="N97" s="1348"/>
      <c r="O97" s="1348"/>
      <c r="P97" s="1348"/>
      <c r="Q97" s="2673"/>
      <c r="R97" s="1790"/>
      <c r="S97" s="1782"/>
      <c r="AH97" s="2767"/>
    </row>
    <row r="98" spans="1:46" s="133" customFormat="1" x14ac:dyDescent="0.2">
      <c r="A98" s="843" t="s">
        <v>1276</v>
      </c>
      <c r="B98" s="844"/>
      <c r="C98" s="845"/>
      <c r="D98" s="846"/>
      <c r="E98" s="130">
        <f>E48+++E53++E58+E63+E68+E73+E78+E83+E88+E93</f>
        <v>2384800</v>
      </c>
      <c r="F98" s="130">
        <f t="shared" ref="F98:R98" si="26">F48+++F53++F58+F63+F68+F73+F78+F83+F88+F93</f>
        <v>2187900</v>
      </c>
      <c r="G98" s="130">
        <f t="shared" si="26"/>
        <v>2793300</v>
      </c>
      <c r="H98" s="132">
        <f t="shared" si="26"/>
        <v>2958000</v>
      </c>
      <c r="I98" s="132">
        <f t="shared" si="26"/>
        <v>3095600</v>
      </c>
      <c r="J98" s="132">
        <f t="shared" si="26"/>
        <v>3134000</v>
      </c>
      <c r="K98" s="132">
        <f t="shared" si="26"/>
        <v>3280300</v>
      </c>
      <c r="L98" s="132">
        <f t="shared" si="26"/>
        <v>2453500</v>
      </c>
      <c r="M98" s="132">
        <f t="shared" si="26"/>
        <v>2654100</v>
      </c>
      <c r="N98" s="132">
        <f t="shared" si="26"/>
        <v>2844100</v>
      </c>
      <c r="O98" s="132">
        <f t="shared" si="26"/>
        <v>3037000</v>
      </c>
      <c r="P98" s="132">
        <f t="shared" si="26"/>
        <v>3235000</v>
      </c>
      <c r="Q98" s="78">
        <f t="shared" si="26"/>
        <v>3430000</v>
      </c>
      <c r="R98" s="825">
        <f t="shared" si="26"/>
        <v>3627000</v>
      </c>
      <c r="S98" s="131">
        <f>SUM(E98:P98)</f>
        <v>34057600</v>
      </c>
      <c r="AH98" s="2766"/>
    </row>
    <row r="99" spans="1:46" s="133" customFormat="1" x14ac:dyDescent="0.2">
      <c r="A99" s="843" t="s">
        <v>1277</v>
      </c>
      <c r="B99" s="844"/>
      <c r="C99" s="845"/>
      <c r="D99" s="846"/>
      <c r="E99" s="130">
        <f>E49++E54+E59+E64+E69+E74+E79+E84+E89+E94</f>
        <v>4766700</v>
      </c>
      <c r="F99" s="130">
        <f t="shared" ref="F99:R99" si="27">F49++F54+F59+F64+F69+F74+F79+F84+F89+F94</f>
        <v>4543300</v>
      </c>
      <c r="G99" s="130">
        <f t="shared" si="27"/>
        <v>4358200</v>
      </c>
      <c r="H99" s="132">
        <f t="shared" si="27"/>
        <v>4193500</v>
      </c>
      <c r="I99" s="132">
        <f t="shared" si="27"/>
        <v>4055900</v>
      </c>
      <c r="J99" s="132">
        <f t="shared" si="27"/>
        <v>3744300</v>
      </c>
      <c r="K99" s="132">
        <f t="shared" si="27"/>
        <v>3598000</v>
      </c>
      <c r="L99" s="132">
        <f t="shared" si="27"/>
        <v>3439800</v>
      </c>
      <c r="M99" s="132">
        <f t="shared" si="27"/>
        <v>3239200</v>
      </c>
      <c r="N99" s="132">
        <f t="shared" si="27"/>
        <v>3049200</v>
      </c>
      <c r="O99" s="132">
        <f t="shared" si="27"/>
        <v>2856300</v>
      </c>
      <c r="P99" s="132">
        <f t="shared" si="27"/>
        <v>2658300</v>
      </c>
      <c r="Q99" s="78">
        <f t="shared" si="27"/>
        <v>2463300</v>
      </c>
      <c r="R99" s="825">
        <f t="shared" si="27"/>
        <v>2266300</v>
      </c>
      <c r="S99" s="131">
        <f>SUM(E99:P99)</f>
        <v>44502700</v>
      </c>
      <c r="AH99" s="2766"/>
    </row>
    <row r="100" spans="1:46" s="118" customFormat="1" x14ac:dyDescent="0.2">
      <c r="A100" s="1773" t="s">
        <v>1278</v>
      </c>
      <c r="B100" s="553"/>
      <c r="C100" s="1791"/>
      <c r="D100" s="1792"/>
      <c r="E100" s="160">
        <f>E50++E55+E65+E70+E75+E80+E85+E90+E95</f>
        <v>54804400</v>
      </c>
      <c r="F100" s="160">
        <f t="shared" ref="F100:R100" si="28">F50++F55+F65+F70+F75+F80+F85+F90+F95</f>
        <v>52933300</v>
      </c>
      <c r="G100" s="160">
        <f t="shared" si="28"/>
        <v>50481200</v>
      </c>
      <c r="H100" s="116">
        <f t="shared" si="28"/>
        <v>47890700</v>
      </c>
      <c r="I100" s="160">
        <f t="shared" si="28"/>
        <v>45190700</v>
      </c>
      <c r="J100" s="116">
        <f t="shared" si="28"/>
        <v>53341400</v>
      </c>
      <c r="K100" s="116">
        <f t="shared" si="28"/>
        <v>50061100</v>
      </c>
      <c r="L100" s="116">
        <f t="shared" si="28"/>
        <v>47607600</v>
      </c>
      <c r="M100" s="116">
        <f t="shared" si="28"/>
        <v>44953500</v>
      </c>
      <c r="N100" s="116">
        <f t="shared" si="28"/>
        <v>42109400</v>
      </c>
      <c r="O100" s="116">
        <f t="shared" si="28"/>
        <v>39072400.060000002</v>
      </c>
      <c r="P100" s="116">
        <f t="shared" si="28"/>
        <v>35837400</v>
      </c>
      <c r="Q100" s="145">
        <f t="shared" si="28"/>
        <v>32407400</v>
      </c>
      <c r="R100" s="1784">
        <f t="shared" si="28"/>
        <v>28780400</v>
      </c>
      <c r="S100" s="131"/>
      <c r="AH100" s="2767"/>
    </row>
    <row r="101" spans="1:46" s="118" customFormat="1" x14ac:dyDescent="0.2">
      <c r="A101" s="1773"/>
      <c r="B101" s="553"/>
      <c r="C101" s="1791"/>
      <c r="D101" s="1792"/>
      <c r="E101" s="160"/>
      <c r="F101" s="160"/>
      <c r="G101" s="160"/>
      <c r="H101" s="116"/>
      <c r="I101" s="160"/>
      <c r="J101" s="116"/>
      <c r="K101" s="116"/>
      <c r="L101" s="116"/>
      <c r="M101" s="116"/>
      <c r="N101" s="116"/>
      <c r="O101" s="116"/>
      <c r="P101" s="116"/>
      <c r="Q101" s="145"/>
      <c r="R101" s="1784"/>
      <c r="S101" s="131"/>
      <c r="AH101" s="2767"/>
    </row>
    <row r="102" spans="1:46" s="118" customFormat="1" x14ac:dyDescent="0.2">
      <c r="A102" s="1773" t="s">
        <v>5533</v>
      </c>
      <c r="B102" s="553"/>
      <c r="C102" s="1791"/>
      <c r="D102" s="1792"/>
      <c r="E102" s="160">
        <f t="shared" ref="E102:R102" si="29">E60+E55+E50+E65</f>
        <v>67510200</v>
      </c>
      <c r="F102" s="160">
        <f t="shared" si="29"/>
        <v>65322300</v>
      </c>
      <c r="G102" s="160">
        <f t="shared" si="29"/>
        <v>62529000</v>
      </c>
      <c r="H102" s="116">
        <f t="shared" si="29"/>
        <v>59571000</v>
      </c>
      <c r="I102" s="160">
        <f t="shared" si="29"/>
        <v>56475400</v>
      </c>
      <c r="J102" s="116">
        <f t="shared" si="29"/>
        <v>53341400</v>
      </c>
      <c r="K102" s="116">
        <f t="shared" si="29"/>
        <v>50061100</v>
      </c>
      <c r="L102" s="116">
        <f t="shared" si="29"/>
        <v>47607600</v>
      </c>
      <c r="M102" s="116">
        <f t="shared" si="29"/>
        <v>44953500</v>
      </c>
      <c r="N102" s="116">
        <f t="shared" si="29"/>
        <v>42109400</v>
      </c>
      <c r="O102" s="116">
        <f t="shared" si="29"/>
        <v>39072400</v>
      </c>
      <c r="P102" s="116">
        <f t="shared" si="29"/>
        <v>35837400</v>
      </c>
      <c r="Q102" s="145">
        <f t="shared" si="29"/>
        <v>32407400</v>
      </c>
      <c r="R102" s="1784">
        <f t="shared" si="29"/>
        <v>28780400</v>
      </c>
      <c r="S102" s="131"/>
      <c r="AH102" s="2767"/>
    </row>
    <row r="103" spans="1:46" s="133" customFormat="1" ht="13.5" thickBot="1" x14ac:dyDescent="0.25">
      <c r="A103" s="834"/>
      <c r="B103" s="302"/>
      <c r="C103" s="302"/>
      <c r="D103" s="849"/>
      <c r="E103" s="836"/>
      <c r="F103" s="836"/>
      <c r="G103" s="836"/>
      <c r="H103" s="835"/>
      <c r="I103" s="836"/>
      <c r="J103" s="835"/>
      <c r="K103" s="835"/>
      <c r="L103" s="835"/>
      <c r="M103" s="835"/>
      <c r="N103" s="835"/>
      <c r="O103" s="835"/>
      <c r="P103" s="835"/>
      <c r="Q103" s="302"/>
      <c r="R103" s="831"/>
      <c r="S103" s="837"/>
      <c r="AH103" s="2766"/>
    </row>
    <row r="104" spans="1:46" ht="13.5" thickTop="1" x14ac:dyDescent="0.2">
      <c r="AR104" s="852"/>
      <c r="AT104" s="850"/>
    </row>
    <row r="113" spans="4:44" x14ac:dyDescent="0.2">
      <c r="D113" s="852"/>
      <c r="E113" s="852"/>
      <c r="K113" s="852"/>
      <c r="L113" s="852"/>
      <c r="M113" s="852"/>
      <c r="N113" s="852"/>
      <c r="O113" s="852"/>
      <c r="P113" s="852"/>
      <c r="Q113" s="852"/>
      <c r="R113" s="852"/>
      <c r="S113" s="852"/>
      <c r="T113" s="852"/>
      <c r="U113" s="852"/>
      <c r="V113" s="852"/>
      <c r="W113" s="852"/>
      <c r="X113" s="852"/>
      <c r="Y113" s="852"/>
      <c r="Z113" s="852"/>
      <c r="AA113" s="852"/>
      <c r="AB113" s="852"/>
      <c r="AC113" s="852"/>
      <c r="AD113" s="852"/>
      <c r="AE113" s="852"/>
      <c r="AF113" s="852"/>
      <c r="AG113" s="852"/>
      <c r="AH113" s="853"/>
      <c r="AI113" s="852"/>
      <c r="AJ113" s="852"/>
      <c r="AK113" s="852"/>
      <c r="AL113" s="852"/>
      <c r="AM113" s="852"/>
      <c r="AN113" s="852"/>
      <c r="AO113" s="852"/>
      <c r="AP113" s="852"/>
      <c r="AQ113" s="852"/>
      <c r="AR113" s="852"/>
    </row>
    <row r="114" spans="4:44" x14ac:dyDescent="0.2">
      <c r="D114" s="852"/>
      <c r="E114" s="852"/>
      <c r="K114" s="852"/>
      <c r="L114" s="852"/>
      <c r="M114" s="852"/>
      <c r="N114" s="852"/>
      <c r="O114" s="852"/>
      <c r="P114" s="852"/>
      <c r="Q114" s="852"/>
      <c r="R114" s="852"/>
      <c r="S114" s="852"/>
      <c r="T114" s="852"/>
      <c r="U114" s="852"/>
      <c r="V114" s="852"/>
      <c r="W114" s="852"/>
      <c r="X114" s="852"/>
      <c r="Y114" s="852"/>
      <c r="Z114" s="852"/>
      <c r="AA114" s="852"/>
      <c r="AB114" s="852"/>
      <c r="AC114" s="852"/>
      <c r="AD114" s="852"/>
      <c r="AE114" s="852"/>
      <c r="AF114" s="852"/>
      <c r="AG114" s="852"/>
      <c r="AH114" s="853"/>
      <c r="AI114" s="852"/>
      <c r="AJ114" s="852"/>
      <c r="AK114" s="852"/>
      <c r="AL114" s="852"/>
      <c r="AM114" s="852"/>
      <c r="AN114" s="852"/>
      <c r="AO114" s="852"/>
      <c r="AP114" s="852"/>
      <c r="AQ114" s="852"/>
      <c r="AR114" s="852"/>
    </row>
    <row r="115" spans="4:44" x14ac:dyDescent="0.2">
      <c r="D115" s="852"/>
      <c r="E115" s="852"/>
      <c r="K115" s="852"/>
      <c r="L115" s="852"/>
      <c r="M115" s="852"/>
      <c r="N115" s="852"/>
      <c r="O115" s="852"/>
      <c r="P115" s="852"/>
      <c r="Q115" s="852"/>
      <c r="R115" s="852"/>
      <c r="S115" s="852"/>
      <c r="T115" s="852"/>
      <c r="U115" s="852"/>
      <c r="V115" s="852"/>
      <c r="W115" s="852"/>
      <c r="X115" s="852"/>
      <c r="Y115" s="852"/>
      <c r="Z115" s="852"/>
      <c r="AA115" s="852"/>
      <c r="AB115" s="852"/>
      <c r="AC115" s="852"/>
      <c r="AD115" s="852"/>
      <c r="AE115" s="852"/>
      <c r="AF115" s="852"/>
      <c r="AG115" s="852"/>
      <c r="AH115" s="853"/>
      <c r="AI115" s="852"/>
      <c r="AJ115" s="852"/>
      <c r="AK115" s="852"/>
      <c r="AL115" s="852"/>
      <c r="AM115" s="852"/>
      <c r="AN115" s="852"/>
      <c r="AO115" s="852"/>
      <c r="AP115" s="852"/>
      <c r="AQ115" s="852"/>
      <c r="AR115" s="852"/>
    </row>
    <row r="116" spans="4:44" x14ac:dyDescent="0.2">
      <c r="D116" s="852"/>
      <c r="E116" s="852"/>
      <c r="K116" s="852"/>
      <c r="L116" s="852"/>
      <c r="M116" s="852"/>
      <c r="N116" s="852"/>
      <c r="O116" s="852"/>
      <c r="P116" s="852"/>
      <c r="Q116" s="852"/>
      <c r="R116" s="852"/>
      <c r="S116" s="852"/>
      <c r="T116" s="852"/>
      <c r="U116" s="852"/>
      <c r="V116" s="852"/>
      <c r="W116" s="852"/>
      <c r="X116" s="852"/>
      <c r="Y116" s="852"/>
      <c r="Z116" s="852"/>
      <c r="AA116" s="852"/>
      <c r="AB116" s="852"/>
      <c r="AC116" s="852"/>
      <c r="AD116" s="852"/>
      <c r="AE116" s="852"/>
      <c r="AF116" s="852"/>
      <c r="AG116" s="852"/>
      <c r="AH116" s="853"/>
      <c r="AI116" s="852"/>
      <c r="AJ116" s="852"/>
      <c r="AK116" s="852"/>
      <c r="AL116" s="852"/>
      <c r="AM116" s="852"/>
      <c r="AN116" s="852"/>
      <c r="AO116" s="852"/>
      <c r="AP116" s="852"/>
      <c r="AQ116" s="852"/>
      <c r="AR116" s="852"/>
    </row>
    <row r="117" spans="4:44" x14ac:dyDescent="0.2">
      <c r="D117" s="852"/>
      <c r="E117" s="852"/>
      <c r="K117" s="852"/>
      <c r="L117" s="852"/>
      <c r="M117" s="852"/>
      <c r="N117" s="852"/>
      <c r="O117" s="852"/>
      <c r="P117" s="852"/>
      <c r="Q117" s="852"/>
      <c r="R117" s="852"/>
      <c r="S117" s="852"/>
      <c r="T117" s="852"/>
      <c r="U117" s="852"/>
      <c r="V117" s="852"/>
      <c r="W117" s="852"/>
      <c r="X117" s="852"/>
      <c r="Y117" s="852"/>
      <c r="Z117" s="852"/>
      <c r="AA117" s="852"/>
      <c r="AB117" s="852"/>
      <c r="AC117" s="852"/>
      <c r="AD117" s="852"/>
      <c r="AE117" s="852"/>
      <c r="AF117" s="852"/>
      <c r="AG117" s="852"/>
      <c r="AH117" s="853"/>
      <c r="AI117" s="852"/>
      <c r="AJ117" s="852"/>
      <c r="AK117" s="852"/>
      <c r="AL117" s="852"/>
      <c r="AM117" s="852"/>
      <c r="AN117" s="852"/>
      <c r="AO117" s="852"/>
      <c r="AP117" s="852"/>
      <c r="AQ117" s="852"/>
      <c r="AR117" s="852"/>
    </row>
    <row r="118" spans="4:44" x14ac:dyDescent="0.2">
      <c r="D118" s="852"/>
      <c r="E118" s="852"/>
      <c r="K118" s="852"/>
      <c r="L118" s="852"/>
      <c r="M118" s="852"/>
      <c r="N118" s="852"/>
      <c r="O118" s="852"/>
      <c r="P118" s="852"/>
      <c r="Q118" s="852"/>
      <c r="R118" s="852"/>
      <c r="S118" s="852"/>
      <c r="T118" s="852"/>
      <c r="U118" s="852"/>
      <c r="V118" s="852"/>
      <c r="W118" s="852"/>
      <c r="X118" s="852"/>
      <c r="Y118" s="852"/>
      <c r="Z118" s="852"/>
      <c r="AA118" s="852"/>
      <c r="AB118" s="852"/>
      <c r="AC118" s="852"/>
      <c r="AD118" s="852"/>
      <c r="AE118" s="852"/>
      <c r="AF118" s="852"/>
      <c r="AG118" s="852"/>
      <c r="AH118" s="853"/>
      <c r="AI118" s="852"/>
      <c r="AJ118" s="852"/>
      <c r="AK118" s="852"/>
      <c r="AL118" s="852"/>
      <c r="AM118" s="852"/>
      <c r="AN118" s="852"/>
      <c r="AO118" s="852"/>
      <c r="AP118" s="852"/>
      <c r="AQ118" s="852"/>
      <c r="AR118" s="852"/>
    </row>
    <row r="119" spans="4:44" x14ac:dyDescent="0.2">
      <c r="D119" s="852"/>
      <c r="E119" s="852"/>
      <c r="K119" s="852"/>
      <c r="L119" s="852"/>
      <c r="M119" s="852"/>
      <c r="N119" s="852"/>
      <c r="O119" s="852"/>
      <c r="P119" s="852"/>
      <c r="Q119" s="852"/>
      <c r="R119" s="852"/>
      <c r="S119" s="852"/>
      <c r="T119" s="852"/>
      <c r="U119" s="852"/>
      <c r="V119" s="852"/>
      <c r="W119" s="852"/>
      <c r="X119" s="852"/>
      <c r="Y119" s="852"/>
      <c r="Z119" s="852"/>
      <c r="AA119" s="852"/>
      <c r="AB119" s="852"/>
      <c r="AC119" s="852"/>
      <c r="AD119" s="852"/>
      <c r="AE119" s="852"/>
      <c r="AF119" s="852"/>
      <c r="AG119" s="852"/>
      <c r="AH119" s="853"/>
      <c r="AI119" s="852"/>
      <c r="AJ119" s="852"/>
      <c r="AK119" s="852"/>
      <c r="AL119" s="852"/>
      <c r="AM119" s="852"/>
      <c r="AN119" s="852"/>
      <c r="AO119" s="852"/>
      <c r="AP119" s="852"/>
      <c r="AQ119" s="852"/>
      <c r="AR119" s="852"/>
    </row>
    <row r="120" spans="4:44" x14ac:dyDescent="0.2">
      <c r="D120" s="852"/>
      <c r="E120" s="852"/>
      <c r="K120" s="852"/>
      <c r="L120" s="852"/>
      <c r="M120" s="852"/>
      <c r="N120" s="852"/>
      <c r="O120" s="852"/>
      <c r="P120" s="852"/>
      <c r="Q120" s="852"/>
      <c r="R120" s="852"/>
      <c r="S120" s="852"/>
      <c r="T120" s="852"/>
      <c r="U120" s="852"/>
      <c r="V120" s="852"/>
      <c r="W120" s="852"/>
      <c r="X120" s="852"/>
      <c r="Y120" s="852"/>
      <c r="Z120" s="852"/>
      <c r="AA120" s="852"/>
      <c r="AB120" s="852"/>
      <c r="AC120" s="852"/>
      <c r="AD120" s="852"/>
      <c r="AE120" s="852"/>
      <c r="AF120" s="852"/>
      <c r="AG120" s="852"/>
      <c r="AH120" s="853"/>
      <c r="AI120" s="852"/>
      <c r="AJ120" s="852"/>
      <c r="AK120" s="852"/>
      <c r="AL120" s="852"/>
      <c r="AM120" s="852"/>
      <c r="AN120" s="852"/>
      <c r="AO120" s="852"/>
      <c r="AP120" s="852"/>
      <c r="AQ120" s="852"/>
      <c r="AR120" s="852"/>
    </row>
    <row r="121" spans="4:44" x14ac:dyDescent="0.2">
      <c r="D121" s="852"/>
      <c r="E121" s="852"/>
      <c r="K121" s="852"/>
      <c r="L121" s="852"/>
      <c r="M121" s="852"/>
      <c r="N121" s="852"/>
      <c r="O121" s="852"/>
      <c r="P121" s="852"/>
      <c r="Q121" s="852"/>
      <c r="R121" s="852"/>
      <c r="S121" s="852"/>
      <c r="T121" s="852"/>
      <c r="AM121" s="852"/>
      <c r="AN121" s="852"/>
      <c r="AO121" s="852"/>
      <c r="AP121" s="852"/>
      <c r="AQ121" s="852"/>
      <c r="AR121" s="852"/>
    </row>
    <row r="122" spans="4:44" x14ac:dyDescent="0.2">
      <c r="D122" s="852"/>
      <c r="E122" s="852"/>
      <c r="G122" s="852"/>
      <c r="H122" s="1896"/>
      <c r="I122" s="1896"/>
      <c r="J122" s="852"/>
      <c r="K122" s="852"/>
      <c r="L122" s="852"/>
      <c r="M122" s="852"/>
      <c r="N122" s="852"/>
      <c r="O122" s="852"/>
      <c r="P122" s="852"/>
      <c r="Q122" s="852"/>
      <c r="R122" s="852"/>
      <c r="S122" s="852"/>
      <c r="T122" s="852"/>
    </row>
    <row r="123" spans="4:44" x14ac:dyDescent="0.2">
      <c r="D123" s="852"/>
      <c r="E123" s="852"/>
      <c r="G123" s="852"/>
      <c r="H123" s="1896"/>
      <c r="I123" s="1896"/>
      <c r="J123" s="852"/>
      <c r="K123" s="852"/>
      <c r="L123" s="852"/>
      <c r="M123" s="852"/>
      <c r="N123" s="852"/>
      <c r="O123" s="852"/>
      <c r="P123" s="852"/>
      <c r="Q123" s="852"/>
      <c r="R123" s="852"/>
      <c r="S123" s="852"/>
      <c r="T123" s="852"/>
    </row>
    <row r="124" spans="4:44" x14ac:dyDescent="0.2">
      <c r="D124" s="852"/>
      <c r="E124" s="852"/>
      <c r="G124" s="852"/>
      <c r="H124" s="1896"/>
      <c r="I124" s="1896"/>
      <c r="J124" s="852"/>
      <c r="K124" s="852"/>
      <c r="L124" s="852"/>
      <c r="M124" s="852"/>
      <c r="N124" s="852"/>
      <c r="O124" s="852"/>
      <c r="P124" s="852"/>
      <c r="Q124" s="852"/>
      <c r="R124" s="852"/>
      <c r="S124" s="852"/>
      <c r="T124" s="852"/>
    </row>
    <row r="125" spans="4:44" x14ac:dyDescent="0.2">
      <c r="D125" s="852"/>
      <c r="E125" s="852"/>
      <c r="G125" s="852"/>
      <c r="H125" s="1896"/>
      <c r="I125" s="1896"/>
      <c r="J125" s="852"/>
      <c r="K125" s="852"/>
      <c r="L125" s="852"/>
      <c r="M125" s="852"/>
      <c r="N125" s="852"/>
      <c r="O125" s="852"/>
      <c r="P125" s="852"/>
      <c r="Q125" s="852"/>
      <c r="R125" s="852"/>
      <c r="S125" s="852"/>
      <c r="T125" s="852"/>
    </row>
    <row r="126" spans="4:44" x14ac:dyDescent="0.2">
      <c r="D126" s="852"/>
      <c r="E126" s="852"/>
      <c r="G126" s="852"/>
      <c r="H126" s="1896"/>
      <c r="I126" s="1896"/>
      <c r="J126" s="852"/>
      <c r="K126" s="852"/>
      <c r="L126" s="852"/>
      <c r="M126" s="852"/>
      <c r="N126" s="852"/>
      <c r="O126" s="852"/>
      <c r="P126" s="852"/>
      <c r="Q126" s="852"/>
      <c r="R126" s="852"/>
      <c r="S126" s="852"/>
      <c r="T126" s="852"/>
    </row>
    <row r="127" spans="4:44" x14ac:dyDescent="0.2">
      <c r="D127" s="852"/>
      <c r="E127" s="852"/>
      <c r="F127" s="852"/>
      <c r="G127" s="852"/>
      <c r="H127" s="1896"/>
      <c r="I127" s="1896"/>
      <c r="J127" s="852"/>
      <c r="K127" s="852"/>
      <c r="L127" s="852"/>
      <c r="M127" s="852"/>
      <c r="N127" s="852"/>
      <c r="O127" s="852"/>
      <c r="P127" s="852"/>
      <c r="Q127" s="852"/>
      <c r="R127" s="852"/>
      <c r="S127" s="852"/>
      <c r="T127" s="852"/>
    </row>
    <row r="128" spans="4:44" x14ac:dyDescent="0.2">
      <c r="D128" s="852"/>
      <c r="E128" s="852"/>
      <c r="F128" s="852"/>
      <c r="G128" s="852"/>
      <c r="H128" s="1896"/>
      <c r="I128" s="1896"/>
      <c r="J128" s="852"/>
      <c r="K128" s="852"/>
      <c r="L128" s="852"/>
      <c r="M128" s="852"/>
      <c r="N128" s="852"/>
      <c r="O128" s="852"/>
      <c r="P128" s="852"/>
      <c r="Q128" s="852"/>
      <c r="R128" s="852"/>
      <c r="S128" s="852"/>
      <c r="T128" s="852"/>
    </row>
    <row r="129" spans="4:20" x14ac:dyDescent="0.2">
      <c r="D129" s="852"/>
      <c r="E129" s="852"/>
      <c r="F129" s="852"/>
      <c r="G129" s="852"/>
      <c r="H129" s="1896"/>
      <c r="I129" s="1896"/>
      <c r="J129" s="852"/>
      <c r="K129" s="852"/>
      <c r="L129" s="852"/>
      <c r="M129" s="852"/>
      <c r="N129" s="852"/>
      <c r="O129" s="852"/>
      <c r="P129" s="852"/>
      <c r="Q129" s="852"/>
      <c r="R129" s="852"/>
      <c r="S129" s="852"/>
      <c r="T129" s="852"/>
    </row>
  </sheetData>
  <mergeCells count="18">
    <mergeCell ref="A1:AG1"/>
    <mergeCell ref="A2:AG2"/>
    <mergeCell ref="AF4:AG4"/>
    <mergeCell ref="AD4:AE4"/>
    <mergeCell ref="AB4:AC4"/>
    <mergeCell ref="R4:S4"/>
    <mergeCell ref="X4:Y4"/>
    <mergeCell ref="T4:U4"/>
    <mergeCell ref="Z4:AA4"/>
    <mergeCell ref="V4:W4"/>
    <mergeCell ref="J4:K4"/>
    <mergeCell ref="D4:E4"/>
    <mergeCell ref="F4:G4"/>
    <mergeCell ref="P4:Q4"/>
    <mergeCell ref="H4:I4"/>
    <mergeCell ref="N4:O4"/>
    <mergeCell ref="L4:M4"/>
    <mergeCell ref="A27:S27"/>
  </mergeCells>
  <phoneticPr fontId="9" type="noConversion"/>
  <pageMargins left="0.74803149606299213" right="0.74803149606299213" top="0.98425196850393704" bottom="0.98425196850393704" header="0.51181102362204722" footer="0.51181102362204722"/>
  <pageSetup paperSize="8" scale="50" orientation="landscape" r:id="rId1"/>
  <headerFooter alignWithMargins="0"/>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2:AG552"/>
  <sheetViews>
    <sheetView workbookViewId="0">
      <pane xSplit="1" ySplit="3" topLeftCell="D4" activePane="bottomRight" state="frozen"/>
      <selection pane="topRight" activeCell="B1" sqref="B1"/>
      <selection pane="bottomLeft" activeCell="A4" sqref="A4"/>
      <selection pane="bottomRight" activeCell="W1" sqref="W1:W1048576"/>
    </sheetView>
  </sheetViews>
  <sheetFormatPr defaultColWidth="9" defaultRowHeight="12.75" x14ac:dyDescent="0.2"/>
  <cols>
    <col min="1" max="1" width="48" style="2" customWidth="1"/>
    <col min="2" max="2" width="11.42578125" style="2" customWidth="1"/>
    <col min="3" max="3" width="10.140625" style="2" bestFit="1" customWidth="1"/>
    <col min="4" max="4" width="10.28515625" style="2" customWidth="1"/>
    <col min="5" max="5" width="10.85546875" style="2" customWidth="1"/>
    <col min="6" max="6" width="10" style="2" customWidth="1"/>
    <col min="7" max="7" width="10.28515625" style="2" bestFit="1" customWidth="1"/>
    <col min="8" max="8" width="11.42578125" style="2" customWidth="1"/>
    <col min="9" max="9" width="10.5703125" style="2" customWidth="1"/>
    <col min="10" max="11" width="10.140625" style="2" customWidth="1"/>
    <col min="12" max="12" width="10.28515625" style="2" bestFit="1" customWidth="1"/>
    <col min="13" max="16" width="11.5703125" style="2" bestFit="1" customWidth="1"/>
    <col min="17" max="17" width="10.7109375" style="2" customWidth="1"/>
    <col min="18" max="18" width="11.42578125" style="2" customWidth="1"/>
    <col min="19" max="19" width="10.5703125" style="2" customWidth="1"/>
    <col min="20" max="23" width="10.7109375" style="2" customWidth="1"/>
    <col min="24" max="16384" width="9" style="2"/>
  </cols>
  <sheetData>
    <row r="2" spans="1:33" s="993" customFormat="1" ht="12" x14ac:dyDescent="0.2">
      <c r="A2" s="991" t="s">
        <v>4770</v>
      </c>
      <c r="B2" s="992" t="s">
        <v>1856</v>
      </c>
      <c r="C2" s="992" t="s">
        <v>1856</v>
      </c>
      <c r="D2" s="992" t="s">
        <v>1856</v>
      </c>
      <c r="E2" s="992" t="s">
        <v>1856</v>
      </c>
      <c r="F2" s="992" t="s">
        <v>1856</v>
      </c>
      <c r="G2" s="992" t="s">
        <v>1856</v>
      </c>
      <c r="H2" s="992" t="s">
        <v>1856</v>
      </c>
      <c r="I2" s="992" t="s">
        <v>1856</v>
      </c>
      <c r="J2" s="992" t="s">
        <v>1856</v>
      </c>
      <c r="K2" s="992" t="s">
        <v>1856</v>
      </c>
      <c r="L2" s="992" t="s">
        <v>1856</v>
      </c>
      <c r="M2" s="992" t="s">
        <v>987</v>
      </c>
      <c r="N2" s="992" t="s">
        <v>987</v>
      </c>
      <c r="O2" s="992" t="s">
        <v>987</v>
      </c>
      <c r="P2" s="992" t="s">
        <v>987</v>
      </c>
      <c r="Q2" s="992" t="s">
        <v>987</v>
      </c>
      <c r="R2" s="992" t="s">
        <v>987</v>
      </c>
      <c r="S2" s="992" t="s">
        <v>987</v>
      </c>
      <c r="T2" s="992" t="s">
        <v>987</v>
      </c>
      <c r="U2" s="992" t="s">
        <v>987</v>
      </c>
      <c r="V2" s="992" t="s">
        <v>987</v>
      </c>
      <c r="W2" s="992" t="s">
        <v>987</v>
      </c>
    </row>
    <row r="3" spans="1:33" x14ac:dyDescent="0.2">
      <c r="B3" s="248" t="s">
        <v>1987</v>
      </c>
      <c r="C3" s="248" t="s">
        <v>1988</v>
      </c>
      <c r="D3" s="248" t="s">
        <v>1989</v>
      </c>
      <c r="E3" s="248" t="s">
        <v>297</v>
      </c>
      <c r="F3" s="248" t="s">
        <v>2908</v>
      </c>
      <c r="G3" s="248" t="s">
        <v>226</v>
      </c>
      <c r="H3" s="248" t="s">
        <v>1104</v>
      </c>
      <c r="I3" s="248" t="s">
        <v>1668</v>
      </c>
      <c r="J3" s="248" t="s">
        <v>943</v>
      </c>
      <c r="K3" s="248" t="s">
        <v>897</v>
      </c>
      <c r="L3" s="248" t="s">
        <v>2072</v>
      </c>
      <c r="M3" s="248" t="s">
        <v>1614</v>
      </c>
      <c r="N3" s="248" t="s">
        <v>2180</v>
      </c>
      <c r="O3" s="248" t="s">
        <v>2177</v>
      </c>
      <c r="P3" s="248" t="s">
        <v>1547</v>
      </c>
      <c r="Q3" s="248" t="s">
        <v>1188</v>
      </c>
      <c r="R3" s="1149" t="s">
        <v>1328</v>
      </c>
      <c r="S3" s="1149" t="s">
        <v>2946</v>
      </c>
      <c r="T3" s="1149" t="s">
        <v>3529</v>
      </c>
      <c r="U3" s="1575" t="s">
        <v>4299</v>
      </c>
      <c r="V3" s="1575" t="s">
        <v>6056</v>
      </c>
      <c r="W3" s="1575" t="s">
        <v>6056</v>
      </c>
    </row>
    <row r="5" spans="1:33" x14ac:dyDescent="0.2">
      <c r="A5" s="779" t="s">
        <v>3538</v>
      </c>
      <c r="B5" s="247">
        <v>15493000</v>
      </c>
      <c r="C5" s="247">
        <v>16728000</v>
      </c>
      <c r="D5" s="247">
        <v>17230000</v>
      </c>
      <c r="E5" s="247">
        <v>18509000</v>
      </c>
      <c r="F5" s="247">
        <v>18482000</v>
      </c>
      <c r="G5" s="247">
        <v>18473000</v>
      </c>
      <c r="H5" s="247">
        <v>19024000</v>
      </c>
      <c r="I5" s="247">
        <v>18810000</v>
      </c>
      <c r="J5" s="247">
        <v>19711000</v>
      </c>
      <c r="K5" s="247">
        <f>K25*1000</f>
        <v>20435100</v>
      </c>
      <c r="L5" s="247">
        <f>L25*1000</f>
        <v>21690000</v>
      </c>
      <c r="M5" s="247">
        <f>ROUND(L5*$J$7+L5,-3)</f>
        <v>22364000</v>
      </c>
      <c r="N5" s="247">
        <f t="shared" ref="N5:W5" si="0">ROUND(M5*$J$7+M5,-3)</f>
        <v>23059000</v>
      </c>
      <c r="O5" s="247">
        <f t="shared" si="0"/>
        <v>23775000</v>
      </c>
      <c r="P5" s="247">
        <f t="shared" si="0"/>
        <v>24513000</v>
      </c>
      <c r="Q5" s="247">
        <f t="shared" si="0"/>
        <v>25274000</v>
      </c>
      <c r="R5" s="247">
        <f t="shared" si="0"/>
        <v>26059000</v>
      </c>
      <c r="S5" s="247">
        <f t="shared" si="0"/>
        <v>26868000</v>
      </c>
      <c r="T5" s="247">
        <f t="shared" si="0"/>
        <v>27703000</v>
      </c>
      <c r="U5" s="247">
        <f t="shared" si="0"/>
        <v>28563000</v>
      </c>
      <c r="V5" s="247">
        <f t="shared" si="0"/>
        <v>29450000</v>
      </c>
      <c r="W5" s="247">
        <f t="shared" si="0"/>
        <v>30365000</v>
      </c>
    </row>
    <row r="6" spans="1:33" x14ac:dyDescent="0.2">
      <c r="A6" s="2" t="s">
        <v>705</v>
      </c>
      <c r="B6" s="350"/>
      <c r="C6" s="1302">
        <f>(C5-B5)/B5</f>
        <v>7.9713418963402824E-2</v>
      </c>
      <c r="D6" s="1302">
        <f>(D5-C5)/C5</f>
        <v>3.0009564801530369E-2</v>
      </c>
      <c r="E6" s="1302">
        <f t="shared" ref="E6:J6" si="1">(E5-D5)/D5</f>
        <v>7.4230992455020309E-2</v>
      </c>
      <c r="F6" s="1302">
        <f t="shared" si="1"/>
        <v>-1.4587497973958614E-3</v>
      </c>
      <c r="G6" s="1302">
        <f t="shared" si="1"/>
        <v>-4.8696028568336763E-4</v>
      </c>
      <c r="H6" s="1302">
        <f t="shared" si="1"/>
        <v>2.9827315541601257E-2</v>
      </c>
      <c r="I6" s="1302">
        <f t="shared" si="1"/>
        <v>-1.1248948696383515E-2</v>
      </c>
      <c r="J6" s="1302">
        <f t="shared" si="1"/>
        <v>4.7900053163211061E-2</v>
      </c>
      <c r="K6" s="1302">
        <f>(K5-J5)/J5</f>
        <v>3.6735832783724824E-2</v>
      </c>
      <c r="L6" s="1302">
        <f>(L5-K5)/K5</f>
        <v>6.1409046199920728E-2</v>
      </c>
      <c r="M6" s="1302">
        <f>(M5-L5)/L5</f>
        <v>3.1074227754725681E-2</v>
      </c>
      <c r="N6" s="1302">
        <f t="shared" ref="N6:W6" si="2">(N5-M5)/M5</f>
        <v>3.1076730459667322E-2</v>
      </c>
      <c r="O6" s="1302">
        <f t="shared" si="2"/>
        <v>3.1050782774621623E-2</v>
      </c>
      <c r="P6" s="1302">
        <f t="shared" si="2"/>
        <v>3.1041009463722399E-2</v>
      </c>
      <c r="Q6" s="1302">
        <f t="shared" si="2"/>
        <v>3.1044751764369927E-2</v>
      </c>
      <c r="R6" s="1302">
        <f t="shared" si="2"/>
        <v>3.1059586927277043E-2</v>
      </c>
      <c r="S6" s="1302">
        <f t="shared" si="2"/>
        <v>3.1044936490272075E-2</v>
      </c>
      <c r="T6" s="1302">
        <f t="shared" si="2"/>
        <v>3.1077862140836684E-2</v>
      </c>
      <c r="U6" s="1302">
        <f t="shared" si="2"/>
        <v>3.1043569288524708E-2</v>
      </c>
      <c r="V6" s="1302">
        <f t="shared" si="2"/>
        <v>3.1054160977488358E-2</v>
      </c>
      <c r="W6" s="1302">
        <f t="shared" si="2"/>
        <v>3.1069609507640067E-2</v>
      </c>
    </row>
    <row r="7" spans="1:33" x14ac:dyDescent="0.2">
      <c r="A7" s="779" t="s">
        <v>4349</v>
      </c>
      <c r="B7" s="350"/>
      <c r="C7" s="350"/>
      <c r="D7" s="1302">
        <f>AVERAGE($C6:D6)</f>
        <v>5.4861491882466598E-2</v>
      </c>
      <c r="E7" s="1302">
        <f>AVERAGE($C6:E6)</f>
        <v>6.131799207331784E-2</v>
      </c>
      <c r="F7" s="1302">
        <f>AVERAGE($C6:F6)</f>
        <v>4.5623806605639416E-2</v>
      </c>
      <c r="G7" s="1302">
        <f>AVERAGE($C6:G6)</f>
        <v>3.6401653227374861E-2</v>
      </c>
      <c r="H7" s="1302">
        <f>AVERAGE($C6:H6)</f>
        <v>3.5305930279745927E-2</v>
      </c>
      <c r="I7" s="1302">
        <f>AVERAGE($C6:I6)</f>
        <v>2.8655233283156004E-2</v>
      </c>
      <c r="J7" s="1302">
        <f>AVERAGE($C6:J6)</f>
        <v>3.1060835768162886E-2</v>
      </c>
      <c r="K7" s="1302"/>
      <c r="L7" s="1302"/>
      <c r="M7" s="1302"/>
      <c r="N7" s="1302"/>
      <c r="O7" s="1302"/>
      <c r="P7" s="1302"/>
      <c r="Q7" s="1302"/>
      <c r="R7" s="1302"/>
      <c r="S7" s="1302"/>
      <c r="T7" s="1302"/>
      <c r="U7" s="1302"/>
      <c r="V7" s="1302"/>
      <c r="W7" s="1302"/>
    </row>
    <row r="8" spans="1:33" x14ac:dyDescent="0.2">
      <c r="B8" s="350"/>
      <c r="C8" s="350"/>
      <c r="D8" s="1302"/>
      <c r="E8" s="1302"/>
      <c r="F8" s="1302"/>
      <c r="G8" s="1302"/>
      <c r="H8" s="1302"/>
      <c r="I8" s="1302"/>
      <c r="J8" s="1302"/>
      <c r="K8" s="1302"/>
      <c r="L8" s="1302"/>
      <c r="M8" s="1302"/>
      <c r="N8" s="1302"/>
      <c r="O8" s="1302"/>
      <c r="P8" s="1302"/>
      <c r="Q8" s="1302"/>
      <c r="R8" s="1302"/>
      <c r="S8" s="1302"/>
      <c r="T8" s="1302"/>
      <c r="U8" s="1302"/>
      <c r="V8" s="1302"/>
      <c r="W8" s="1302"/>
    </row>
    <row r="10" spans="1:33" x14ac:dyDescent="0.2">
      <c r="A10" s="779" t="s">
        <v>4416</v>
      </c>
      <c r="B10" s="247">
        <f>B5*0.8</f>
        <v>12394400</v>
      </c>
      <c r="C10" s="247">
        <f>C5*0.8</f>
        <v>13382400</v>
      </c>
      <c r="D10" s="247">
        <f>D5*0.8</f>
        <v>13784000</v>
      </c>
      <c r="E10" s="247">
        <f>E5*0.8</f>
        <v>14807200</v>
      </c>
      <c r="F10" s="247">
        <f>ROUND(F5*0.8,-2)</f>
        <v>14785600</v>
      </c>
      <c r="G10" s="247">
        <f>ROUND(G5*0.8,-2)</f>
        <v>14778400</v>
      </c>
      <c r="H10" s="247">
        <f>ROUND(H5*0.8,-2)</f>
        <v>15219200</v>
      </c>
      <c r="I10" s="247">
        <f t="shared" ref="I10" si="3">ROUND(I5*0.8,-2)</f>
        <v>15048000</v>
      </c>
      <c r="J10" s="247">
        <f>ROUND(J5*0.7494,-2)</f>
        <v>14771400</v>
      </c>
      <c r="K10" s="247">
        <f>ROUND(K5*0.7494,-2)+139000</f>
        <v>15453100</v>
      </c>
      <c r="L10" s="247">
        <f>L5-L11-L12</f>
        <v>16138000</v>
      </c>
      <c r="M10" s="247">
        <f t="shared" ref="M10:V10" si="4">M5-M11-M12</f>
        <v>16640000</v>
      </c>
      <c r="N10" s="247">
        <f t="shared" si="4"/>
        <v>17157000</v>
      </c>
      <c r="O10" s="247">
        <f t="shared" si="4"/>
        <v>17690000</v>
      </c>
      <c r="P10" s="247">
        <f t="shared" si="4"/>
        <v>18239000</v>
      </c>
      <c r="Q10" s="247">
        <f t="shared" si="4"/>
        <v>18805000</v>
      </c>
      <c r="R10" s="247">
        <f t="shared" si="4"/>
        <v>19389000</v>
      </c>
      <c r="S10" s="247">
        <f t="shared" si="4"/>
        <v>19991000</v>
      </c>
      <c r="T10" s="247">
        <f t="shared" si="4"/>
        <v>20613000</v>
      </c>
      <c r="U10" s="247">
        <f t="shared" si="4"/>
        <v>21253000</v>
      </c>
      <c r="V10" s="247">
        <f t="shared" si="4"/>
        <v>21913000</v>
      </c>
      <c r="W10" s="247">
        <f t="shared" ref="W10" si="5">W5-W11-W12</f>
        <v>22594000</v>
      </c>
    </row>
    <row r="11" spans="1:33" x14ac:dyDescent="0.2">
      <c r="A11" s="779" t="s">
        <v>165</v>
      </c>
      <c r="B11" s="247">
        <f>B5*0.1</f>
        <v>1549300</v>
      </c>
      <c r="C11" s="247">
        <f>C5*0.1</f>
        <v>1672800</v>
      </c>
      <c r="D11" s="247">
        <f>D5*0.1</f>
        <v>1723000</v>
      </c>
      <c r="E11" s="247">
        <f>E5*0.1</f>
        <v>1850900</v>
      </c>
      <c r="F11" s="247">
        <f>ROUND(F5*0.1,-2)</f>
        <v>1848200</v>
      </c>
      <c r="G11" s="247">
        <f>ROUND(G5*0.1,-2)</f>
        <v>1847300</v>
      </c>
      <c r="H11" s="247">
        <f>ROUND(H5*0.1,-2)</f>
        <v>1902400</v>
      </c>
      <c r="I11" s="247">
        <f t="shared" ref="I11" si="6">ROUND(I5*0.1,-2)</f>
        <v>1881000</v>
      </c>
      <c r="J11" s="247">
        <f>ROUND(J5*0.0725,-2)</f>
        <v>1429000</v>
      </c>
      <c r="K11" s="247">
        <v>1763000</v>
      </c>
      <c r="L11" s="247">
        <v>1876000</v>
      </c>
      <c r="M11" s="247">
        <f>ROUND(L11*M$6+L11,-3)</f>
        <v>1934000</v>
      </c>
      <c r="N11" s="247">
        <f t="shared" ref="N11:W11" si="7">ROUND(M11*N$6+M11,-3)</f>
        <v>1994000</v>
      </c>
      <c r="O11" s="247">
        <f t="shared" si="7"/>
        <v>2056000</v>
      </c>
      <c r="P11" s="247">
        <f t="shared" si="7"/>
        <v>2120000</v>
      </c>
      <c r="Q11" s="247">
        <f t="shared" si="7"/>
        <v>2186000</v>
      </c>
      <c r="R11" s="247">
        <f t="shared" si="7"/>
        <v>2254000</v>
      </c>
      <c r="S11" s="247">
        <f t="shared" si="7"/>
        <v>2324000</v>
      </c>
      <c r="T11" s="247">
        <f t="shared" si="7"/>
        <v>2396000</v>
      </c>
      <c r="U11" s="247">
        <f t="shared" si="7"/>
        <v>2470000</v>
      </c>
      <c r="V11" s="247">
        <f t="shared" si="7"/>
        <v>2547000</v>
      </c>
      <c r="W11" s="247">
        <f t="shared" si="7"/>
        <v>2626000</v>
      </c>
    </row>
    <row r="12" spans="1:33" x14ac:dyDescent="0.2">
      <c r="A12" s="779" t="s">
        <v>3354</v>
      </c>
      <c r="B12" s="247">
        <f t="shared" ref="B12:H12" si="8">B5-B10-B11</f>
        <v>1549300</v>
      </c>
      <c r="C12" s="247">
        <f t="shared" si="8"/>
        <v>1672800</v>
      </c>
      <c r="D12" s="247">
        <f t="shared" si="8"/>
        <v>1723000</v>
      </c>
      <c r="E12" s="247">
        <f t="shared" si="8"/>
        <v>1850900</v>
      </c>
      <c r="F12" s="247">
        <f t="shared" si="8"/>
        <v>1848200</v>
      </c>
      <c r="G12" s="247">
        <f t="shared" si="8"/>
        <v>1847300</v>
      </c>
      <c r="H12" s="247">
        <f t="shared" si="8"/>
        <v>1902400</v>
      </c>
      <c r="I12" s="247">
        <f t="shared" ref="I12:J12" si="9">I5-I10-I11</f>
        <v>1881000</v>
      </c>
      <c r="J12" s="247">
        <f t="shared" si="9"/>
        <v>3510600</v>
      </c>
      <c r="K12" s="247">
        <f t="shared" ref="K12" si="10">K5-K10-K11</f>
        <v>3219000</v>
      </c>
      <c r="L12" s="247">
        <v>3676000</v>
      </c>
      <c r="M12" s="247">
        <f>ROUND(L12*M$6+L12,-3)</f>
        <v>3790000</v>
      </c>
      <c r="N12" s="247">
        <f t="shared" ref="N12:W12" si="11">ROUND(M12*N$6+M12,-3)</f>
        <v>3908000</v>
      </c>
      <c r="O12" s="247">
        <f t="shared" si="11"/>
        <v>4029000</v>
      </c>
      <c r="P12" s="247">
        <f t="shared" si="11"/>
        <v>4154000</v>
      </c>
      <c r="Q12" s="247">
        <f t="shared" si="11"/>
        <v>4283000</v>
      </c>
      <c r="R12" s="247">
        <f t="shared" si="11"/>
        <v>4416000</v>
      </c>
      <c r="S12" s="247">
        <f t="shared" si="11"/>
        <v>4553000</v>
      </c>
      <c r="T12" s="247">
        <f t="shared" si="11"/>
        <v>4694000</v>
      </c>
      <c r="U12" s="247">
        <f t="shared" si="11"/>
        <v>4840000</v>
      </c>
      <c r="V12" s="247">
        <f t="shared" si="11"/>
        <v>4990000</v>
      </c>
      <c r="W12" s="247">
        <f t="shared" si="11"/>
        <v>5145000</v>
      </c>
    </row>
    <row r="13" spans="1:33" x14ac:dyDescent="0.2">
      <c r="B13" s="352"/>
      <c r="K13" s="247"/>
    </row>
    <row r="14" spans="1:33" x14ac:dyDescent="0.2">
      <c r="A14" s="1" t="s">
        <v>4731</v>
      </c>
      <c r="B14" s="247"/>
      <c r="C14" s="247"/>
      <c r="D14" s="247"/>
      <c r="E14" s="247"/>
      <c r="F14" s="247"/>
      <c r="G14" s="247"/>
      <c r="H14" s="247"/>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c r="AG14" s="247"/>
    </row>
    <row r="15" spans="1:33" x14ac:dyDescent="0.2">
      <c r="A15" s="779" t="s">
        <v>4732</v>
      </c>
      <c r="B15" s="23">
        <v>11652</v>
      </c>
      <c r="C15" s="23">
        <v>12843</v>
      </c>
      <c r="D15" s="23">
        <v>13169</v>
      </c>
      <c r="E15" s="23">
        <v>14190</v>
      </c>
      <c r="F15" s="23">
        <v>13451</v>
      </c>
      <c r="G15" s="23">
        <v>14096</v>
      </c>
      <c r="H15" s="23">
        <v>14552</v>
      </c>
      <c r="I15" s="23">
        <v>15045</v>
      </c>
      <c r="J15" s="23">
        <v>15457</v>
      </c>
      <c r="K15" s="23">
        <v>16293</v>
      </c>
      <c r="L15" s="23">
        <v>17023</v>
      </c>
      <c r="M15" s="23">
        <f>Summaries!E17/1000-SUM(M16:M24)</f>
        <v>17799.466666666667</v>
      </c>
      <c r="N15" s="23">
        <f>Summaries!F17/1000-SUM(N16:N24)</f>
        <v>18447.055555555555</v>
      </c>
      <c r="O15" s="23">
        <f>Summaries!G17/1000-SUM(O16:O24)</f>
        <v>18972.440740740742</v>
      </c>
      <c r="P15" s="23">
        <f>Summaries!H17/1000-SUM(P16:P24)</f>
        <v>19532.22098765432</v>
      </c>
      <c r="Q15" s="23">
        <f>Summaries!I17/1000-SUM(Q16:Q24)</f>
        <v>20130.305761316871</v>
      </c>
      <c r="R15" s="23">
        <f>Summaries!J17/1000-SUM(R16:R24)</f>
        <v>20756.58916323731</v>
      </c>
      <c r="S15" s="23">
        <f>Summaries!K17/1000-SUM(S16:S24)</f>
        <v>21407.67197073617</v>
      </c>
      <c r="T15" s="23">
        <f>Summaries!L17/1000-SUM(T16:T24)</f>
        <v>22081.788965096785</v>
      </c>
      <c r="U15" s="23">
        <f>Summaries!M17/1000-SUM(U16:U24)</f>
        <v>22769.483366356755</v>
      </c>
      <c r="V15" s="23">
        <f>Summaries!N17/1000-SUM(V16:V24)</f>
        <v>23481.114767396568</v>
      </c>
      <c r="W15" s="23">
        <f>Summaries!P17/1000-SUM(W16:W24)</f>
        <v>8620.1956996167028</v>
      </c>
      <c r="X15" s="247"/>
      <c r="Y15" s="247"/>
      <c r="Z15" s="247"/>
      <c r="AA15" s="247"/>
      <c r="AB15" s="247"/>
      <c r="AC15" s="247"/>
      <c r="AD15" s="247"/>
      <c r="AE15" s="247"/>
      <c r="AF15" s="247"/>
      <c r="AG15" s="247"/>
    </row>
    <row r="16" spans="1:33" x14ac:dyDescent="0.2">
      <c r="A16" s="779" t="s">
        <v>4733</v>
      </c>
      <c r="B16" s="23">
        <v>2174</v>
      </c>
      <c r="C16" s="23">
        <v>2433</v>
      </c>
      <c r="D16" s="23">
        <v>2495</v>
      </c>
      <c r="E16" s="23">
        <v>2439</v>
      </c>
      <c r="F16" s="23">
        <v>2591</v>
      </c>
      <c r="G16" s="23">
        <v>2690</v>
      </c>
      <c r="H16" s="23">
        <v>2911</v>
      </c>
      <c r="I16" s="23">
        <v>3029</v>
      </c>
      <c r="J16" s="23">
        <v>2904</v>
      </c>
      <c r="K16" s="23">
        <v>3188</v>
      </c>
      <c r="L16" s="23">
        <v>3466</v>
      </c>
      <c r="M16" s="23">
        <f>(GM!G823+GM!G824+GM!G825+GM!G826+GM!G827+'W&amp;W'!G208+'W&amp;W'!G209+'W&amp;W'!G210+'W&amp;W'!G211+'W&amp;W'!G445+'W&amp;W'!G446+'W&amp;W'!G447+'W&amp;W'!G448+GM!G839+GM!G840+GM!G841+GM!G842)/1000</f>
        <v>3185.3</v>
      </c>
      <c r="N16" s="23">
        <f>(GM!I823+GM!I824+GM!I825+GM!I826+GM!I827+'W&amp;W'!I208+'W&amp;W'!I209+'W&amp;W'!I210+'W&amp;W'!I211+'W&amp;W'!I445+'W&amp;W'!I446+'W&amp;W'!I447+'W&amp;W'!I448+GM!I839+GM!I840+GM!I841+GM!I842)/1000</f>
        <v>3265.4</v>
      </c>
      <c r="O16" s="23">
        <f>(GM!J823+GM!J824+GM!J825+GM!J826+GM!J827+'W&amp;W'!J208+'W&amp;W'!J209+'W&amp;W'!J210+'W&amp;W'!J211+'W&amp;W'!J445+'W&amp;W'!J446+'W&amp;W'!J447+'W&amp;W'!J448+GM!J839+GM!J840+GM!J841+GM!J842)/1000</f>
        <v>3347.6</v>
      </c>
      <c r="P16" s="23">
        <f>(GM!K823+GM!K824+GM!K825+GM!K826+GM!K827+'W&amp;W'!K208+'W&amp;W'!K209+'W&amp;W'!K210+'W&amp;W'!K211+'W&amp;W'!K445+'W&amp;W'!K446+'W&amp;W'!K447+'W&amp;W'!K448+GM!K839+GM!K840+GM!K841+GM!K842)/1000</f>
        <v>3431.8</v>
      </c>
      <c r="Q16" s="23">
        <f>(GM!L823+GM!L824+GM!L825+GM!L826+GM!L827+'W&amp;W'!L208+'W&amp;W'!L209+'W&amp;W'!L210+'W&amp;W'!L211+'W&amp;W'!L445+'W&amp;W'!L446+'W&amp;W'!L447+'W&amp;W'!L448+GM!L839+GM!L840+GM!L841+GM!L842)/1000</f>
        <v>3518.3</v>
      </c>
      <c r="R16" s="23">
        <f>(GM!M823+GM!M824+GM!M825+GM!M826+GM!M827+'W&amp;W'!M208+'W&amp;W'!M209+'W&amp;W'!M210+'W&amp;W'!M211+'W&amp;W'!M445+'W&amp;W'!M446+'W&amp;W'!M447+'W&amp;W'!M448+GM!M839+GM!M840+GM!M841+GM!M842)/1000</f>
        <v>3589.4</v>
      </c>
      <c r="S16" s="23">
        <f>(GM!N823+GM!N824+GM!N825+GM!N826+GM!N827+'W&amp;W'!N208+'W&amp;W'!N209+'W&amp;W'!N210+'W&amp;W'!N211+'W&amp;W'!N445+'W&amp;W'!N446+'W&amp;W'!N447+'W&amp;W'!N448+GM!N839+GM!N840+GM!N841+GM!N842)/1000</f>
        <v>3662</v>
      </c>
      <c r="T16" s="23">
        <f>(GM!O823+GM!O824+GM!O825+GM!O826+GM!O827+'W&amp;W'!O208+'W&amp;W'!O209+'W&amp;W'!O210+'W&amp;W'!O211+'W&amp;W'!O445+'W&amp;W'!O446+'W&amp;W'!O447+'W&amp;W'!O448+GM!O839+GM!O840+GM!O841+GM!O842)/1000</f>
        <v>3735.9</v>
      </c>
      <c r="U16" s="23">
        <f>(GM!P823+GM!P824+GM!P825+GM!P826+GM!P827+'W&amp;W'!P208+'W&amp;W'!P209+'W&amp;W'!P210+'W&amp;W'!P211+'W&amp;W'!P445+'W&amp;W'!P446+'W&amp;W'!P447+'W&amp;W'!P448+GM!P839+GM!P840+GM!P841+GM!P842)/1000</f>
        <v>3811.4</v>
      </c>
      <c r="V16" s="23">
        <f>(GM!Q823+GM!Q824+GM!Q825+GM!Q826+GM!Q827+'W&amp;W'!Q208+'W&amp;W'!Q209+'W&amp;W'!Q210+'W&amp;W'!Q211+'W&amp;W'!Q445+'W&amp;W'!Q446+'W&amp;W'!Q447+'W&amp;W'!Q448+GM!Q839+GM!Q840+GM!Q841+GM!Q842)/1000</f>
        <v>3888.3</v>
      </c>
      <c r="W16" s="23">
        <f>(GM!R823+GM!R824+GM!R825+GM!R826+GM!R827+'W&amp;W'!R208+'W&amp;W'!R209+'W&amp;W'!R210+'W&amp;W'!R211+'W&amp;W'!R445+'W&amp;W'!R446+'W&amp;W'!R447+'W&amp;W'!R448+GM!R839+GM!R840+GM!R841+GM!R842)/1000</f>
        <v>3966.8</v>
      </c>
      <c r="X16" s="247"/>
      <c r="Y16" s="247"/>
      <c r="Z16" s="247"/>
      <c r="AA16" s="247"/>
      <c r="AB16" s="247"/>
      <c r="AC16" s="247"/>
      <c r="AD16" s="247"/>
      <c r="AE16" s="247"/>
      <c r="AF16" s="247"/>
      <c r="AG16" s="247"/>
    </row>
    <row r="17" spans="1:33" x14ac:dyDescent="0.2">
      <c r="A17" s="779" t="s">
        <v>4734</v>
      </c>
      <c r="B17" s="23">
        <v>685</v>
      </c>
      <c r="C17" s="23">
        <v>772</v>
      </c>
      <c r="D17" s="23">
        <v>806</v>
      </c>
      <c r="E17" s="23">
        <v>907</v>
      </c>
      <c r="F17" s="23">
        <v>1049</v>
      </c>
      <c r="G17" s="23">
        <v>1010</v>
      </c>
      <c r="H17" s="23">
        <v>1146</v>
      </c>
      <c r="I17" s="23">
        <v>1171</v>
      </c>
      <c r="J17" s="23">
        <v>1323</v>
      </c>
      <c r="K17" s="23">
        <v>1429</v>
      </c>
      <c r="L17" s="23">
        <v>1533</v>
      </c>
      <c r="M17" s="23">
        <f>GM!G809/1000</f>
        <v>1592</v>
      </c>
      <c r="N17" s="23">
        <f>GM!I809/1000</f>
        <v>1648</v>
      </c>
      <c r="O17" s="23">
        <f>GM!J809/1000</f>
        <v>1723</v>
      </c>
      <c r="P17" s="23">
        <f>GM!K809/1000</f>
        <v>1801</v>
      </c>
      <c r="Q17" s="23">
        <f>GM!L809/1000</f>
        <v>1883</v>
      </c>
      <c r="R17" s="23">
        <f>GM!M809/1000</f>
        <v>1959</v>
      </c>
      <c r="S17" s="23">
        <f>GM!N809/1000</f>
        <v>2038</v>
      </c>
      <c r="T17" s="23">
        <f>GM!O809/1000</f>
        <v>2120</v>
      </c>
      <c r="U17" s="23">
        <f>GM!P809/1000</f>
        <v>2206</v>
      </c>
      <c r="V17" s="23">
        <f>GM!Q809/1000</f>
        <v>2295</v>
      </c>
      <c r="W17" s="23">
        <f>GM!R809/1000</f>
        <v>2388</v>
      </c>
      <c r="X17" s="247"/>
      <c r="Y17" s="247"/>
      <c r="Z17" s="247"/>
      <c r="AA17" s="247"/>
      <c r="AB17" s="247"/>
      <c r="AC17" s="247"/>
      <c r="AD17" s="247"/>
      <c r="AE17" s="247"/>
      <c r="AF17" s="247"/>
      <c r="AG17" s="247"/>
    </row>
    <row r="18" spans="1:33" x14ac:dyDescent="0.2">
      <c r="A18" s="779" t="s">
        <v>4735</v>
      </c>
      <c r="B18" s="23">
        <v>270</v>
      </c>
      <c r="C18" s="23">
        <v>283</v>
      </c>
      <c r="D18" s="23">
        <v>277</v>
      </c>
      <c r="E18" s="23">
        <v>554</v>
      </c>
      <c r="F18" s="23">
        <v>1023</v>
      </c>
      <c r="G18" s="23">
        <v>1027</v>
      </c>
      <c r="H18" s="23">
        <v>828</v>
      </c>
      <c r="I18" s="23">
        <v>786</v>
      </c>
      <c r="J18" s="23">
        <v>718</v>
      </c>
      <c r="K18" s="23">
        <v>674</v>
      </c>
      <c r="L18" s="23">
        <v>625</v>
      </c>
      <c r="M18" s="23">
        <f>GM!G810/1000</f>
        <v>648</v>
      </c>
      <c r="N18" s="23">
        <f>GM!I810/1000</f>
        <v>622</v>
      </c>
      <c r="O18" s="23">
        <f>GM!J810/1000</f>
        <v>597</v>
      </c>
      <c r="P18" s="23">
        <f>GM!K810/1000</f>
        <v>573</v>
      </c>
      <c r="Q18" s="23">
        <f>GM!L810/1000</f>
        <v>550</v>
      </c>
      <c r="R18" s="23">
        <f>GM!M810/1000</f>
        <v>528</v>
      </c>
      <c r="S18" s="23">
        <f>GM!N810/1000</f>
        <v>507</v>
      </c>
      <c r="T18" s="23">
        <f>GM!O810/1000</f>
        <v>487</v>
      </c>
      <c r="U18" s="23">
        <f>GM!P810/1000</f>
        <v>468</v>
      </c>
      <c r="V18" s="23">
        <f>GM!Q810/1000</f>
        <v>449</v>
      </c>
      <c r="W18" s="23">
        <f>GM!R810/1000</f>
        <v>431</v>
      </c>
      <c r="X18" s="247"/>
      <c r="Y18" s="247"/>
      <c r="Z18" s="247"/>
      <c r="AA18" s="247"/>
      <c r="AB18" s="247"/>
      <c r="AC18" s="247"/>
      <c r="AD18" s="247"/>
      <c r="AE18" s="247"/>
      <c r="AF18" s="247"/>
      <c r="AG18" s="247"/>
    </row>
    <row r="19" spans="1:33" x14ac:dyDescent="0.2">
      <c r="A19" s="779" t="s">
        <v>4736</v>
      </c>
      <c r="B19" s="23">
        <v>506</v>
      </c>
      <c r="C19" s="23">
        <v>382</v>
      </c>
      <c r="D19" s="23">
        <v>440</v>
      </c>
      <c r="E19" s="23">
        <v>393</v>
      </c>
      <c r="F19" s="23">
        <v>436</v>
      </c>
      <c r="G19" s="23">
        <v>653</v>
      </c>
      <c r="H19" s="23">
        <v>804</v>
      </c>
      <c r="I19" s="23">
        <v>659</v>
      </c>
      <c r="J19" s="23">
        <v>500</v>
      </c>
      <c r="K19" s="23">
        <v>480</v>
      </c>
      <c r="L19" s="23">
        <v>485</v>
      </c>
      <c r="M19" s="23">
        <f>GM!G817/1000</f>
        <v>500</v>
      </c>
      <c r="N19" s="23">
        <f>GM!I817/1000</f>
        <v>507.5</v>
      </c>
      <c r="O19" s="23">
        <f>GM!J817/1000</f>
        <v>520.20000000000005</v>
      </c>
      <c r="P19" s="23">
        <f>GM!K817/1000</f>
        <v>533.29999999999995</v>
      </c>
      <c r="Q19" s="23">
        <f>GM!L817/1000</f>
        <v>546.70000000000005</v>
      </c>
      <c r="R19" s="23">
        <f>GM!M817/1000</f>
        <v>557.70000000000005</v>
      </c>
      <c r="S19" s="23">
        <f>GM!N817/1000</f>
        <v>568.9</v>
      </c>
      <c r="T19" s="23">
        <f>GM!O817/1000</f>
        <v>580.29999999999995</v>
      </c>
      <c r="U19" s="23">
        <f>GM!P817/1000</f>
        <v>592</v>
      </c>
      <c r="V19" s="23">
        <f>GM!Q817/1000</f>
        <v>603.9</v>
      </c>
      <c r="W19" s="23">
        <f>GM!R817/1000</f>
        <v>616</v>
      </c>
      <c r="X19" s="247"/>
      <c r="Y19" s="247"/>
      <c r="Z19" s="247"/>
      <c r="AA19" s="247"/>
      <c r="AB19" s="247"/>
      <c r="AC19" s="247"/>
      <c r="AD19" s="247"/>
      <c r="AE19" s="247"/>
      <c r="AF19" s="247"/>
      <c r="AG19" s="247"/>
    </row>
    <row r="20" spans="1:33" x14ac:dyDescent="0.2">
      <c r="A20" s="779" t="s">
        <v>4737</v>
      </c>
      <c r="B20" s="23">
        <v>29</v>
      </c>
      <c r="C20" s="23">
        <v>25</v>
      </c>
      <c r="D20" s="23">
        <v>20</v>
      </c>
      <c r="E20" s="23">
        <v>21</v>
      </c>
      <c r="F20" s="23">
        <v>22</v>
      </c>
      <c r="G20" s="23">
        <v>24</v>
      </c>
      <c r="H20" s="23">
        <v>5</v>
      </c>
      <c r="I20" s="23">
        <v>20</v>
      </c>
      <c r="J20" s="23">
        <v>17</v>
      </c>
      <c r="K20" s="23">
        <f>CIV!C1602/1000</f>
        <v>15.1</v>
      </c>
      <c r="L20" s="23">
        <v>16</v>
      </c>
      <c r="M20" s="23">
        <f>CIV!G1602/1000</f>
        <v>20</v>
      </c>
      <c r="N20" s="23">
        <f>CIV!I1602/1000</f>
        <v>20.3</v>
      </c>
      <c r="O20" s="23">
        <f>CIV!J1602/1000</f>
        <v>20.9</v>
      </c>
      <c r="P20" s="23">
        <f>CIV!K1602/1000</f>
        <v>21.5</v>
      </c>
      <c r="Q20" s="23">
        <f>CIV!L1602/1000</f>
        <v>22.1</v>
      </c>
      <c r="R20" s="23">
        <f>CIV!M1602/1000</f>
        <v>22.6</v>
      </c>
      <c r="S20" s="23">
        <f>CIV!N1602/1000</f>
        <v>23.1</v>
      </c>
      <c r="T20" s="23">
        <f>CIV!O1602/1000</f>
        <v>23.6</v>
      </c>
      <c r="U20" s="23">
        <f>CIV!P1602/1000</f>
        <v>24.1</v>
      </c>
      <c r="V20" s="23">
        <f>CIV!Q1602/1000</f>
        <v>24.6</v>
      </c>
      <c r="W20" s="23">
        <f>CIV!R1602/1000</f>
        <v>25.1</v>
      </c>
      <c r="X20" s="247"/>
      <c r="Y20" s="247"/>
      <c r="Z20" s="247"/>
      <c r="AA20" s="247"/>
      <c r="AB20" s="247"/>
      <c r="AC20" s="247"/>
      <c r="AD20" s="247"/>
      <c r="AE20" s="247"/>
      <c r="AF20" s="247"/>
      <c r="AG20" s="247"/>
    </row>
    <row r="21" spans="1:33" x14ac:dyDescent="0.2">
      <c r="A21" s="779" t="s">
        <v>1811</v>
      </c>
      <c r="B21" s="23">
        <v>116</v>
      </c>
      <c r="C21" s="23">
        <v>134</v>
      </c>
      <c r="D21" s="23">
        <v>133</v>
      </c>
      <c r="E21" s="23">
        <v>158</v>
      </c>
      <c r="F21" s="23">
        <v>178</v>
      </c>
      <c r="G21" s="23">
        <v>235</v>
      </c>
      <c r="H21" s="23">
        <v>235</v>
      </c>
      <c r="I21" s="23">
        <v>242</v>
      </c>
      <c r="J21" s="23">
        <v>242</v>
      </c>
      <c r="K21" s="23">
        <v>255</v>
      </c>
      <c r="L21" s="23">
        <v>272</v>
      </c>
      <c r="M21" s="23">
        <f>(CIV!G1479+'W&amp;W'!G429+'W&amp;W'!G233)/1000</f>
        <v>262.60000000000002</v>
      </c>
      <c r="N21" s="23">
        <f>(CIV!I1479+'W&amp;W'!I429+'W&amp;W'!I233)/1000</f>
        <v>266.7</v>
      </c>
      <c r="O21" s="23">
        <f>(CIV!J1479+'W&amp;W'!J429+'W&amp;W'!J233)/1000</f>
        <v>273.5</v>
      </c>
      <c r="P21" s="23">
        <f>(CIV!K1479+'W&amp;W'!K429+'W&amp;W'!K233)/1000</f>
        <v>280.60000000000002</v>
      </c>
      <c r="Q21" s="23">
        <f>(CIV!L1479+'W&amp;W'!L429+'W&amp;W'!L233)/1000</f>
        <v>287.8</v>
      </c>
      <c r="R21" s="23">
        <f>(CIV!M1479+'W&amp;W'!M429+'W&amp;W'!M233)/1000</f>
        <v>293.7</v>
      </c>
      <c r="S21" s="23">
        <f>(CIV!N1479+'W&amp;W'!N429+'W&amp;W'!N233)/1000</f>
        <v>299.8</v>
      </c>
      <c r="T21" s="23">
        <f>(CIV!O1479+'W&amp;W'!O429+'W&amp;W'!O233)/1000</f>
        <v>305.89999999999998</v>
      </c>
      <c r="U21" s="23">
        <f>(CIV!P1479+'W&amp;W'!P429+'W&amp;W'!P233)/1000</f>
        <v>312.2</v>
      </c>
      <c r="V21" s="23">
        <f>(CIV!Q1479+'W&amp;W'!Q429+'W&amp;W'!Q233)/1000</f>
        <v>318.60000000000002</v>
      </c>
      <c r="W21" s="23">
        <f>(CIV!R1479+'W&amp;W'!R429+'W&amp;W'!R233)/1000</f>
        <v>325.10000000000002</v>
      </c>
      <c r="X21" s="247"/>
      <c r="Y21" s="247"/>
      <c r="Z21" s="247"/>
      <c r="AA21" s="247"/>
      <c r="AB21" s="247"/>
      <c r="AC21" s="247"/>
      <c r="AD21" s="247"/>
      <c r="AE21" s="247"/>
      <c r="AF21" s="247"/>
      <c r="AG21" s="247"/>
    </row>
    <row r="22" spans="1:33" x14ac:dyDescent="0.2">
      <c r="A22" s="779" t="s">
        <v>4738</v>
      </c>
      <c r="B22" s="23">
        <v>297</v>
      </c>
      <c r="C22" s="23">
        <v>307</v>
      </c>
      <c r="D22" s="23">
        <v>318</v>
      </c>
      <c r="E22" s="23">
        <v>267</v>
      </c>
      <c r="F22" s="23">
        <v>238</v>
      </c>
      <c r="G22" s="23">
        <v>253</v>
      </c>
      <c r="H22" s="23">
        <v>240</v>
      </c>
      <c r="I22" s="23">
        <v>283</v>
      </c>
      <c r="J22" s="23">
        <v>290</v>
      </c>
      <c r="K22" s="23">
        <v>240</v>
      </c>
      <c r="L22" s="23">
        <v>315</v>
      </c>
      <c r="M22" s="23">
        <f>SUM(GM!G798:G800)/1000</f>
        <v>352</v>
      </c>
      <c r="N22" s="23">
        <f>SUM(GM!I798:I800)/1000</f>
        <v>357.4</v>
      </c>
      <c r="O22" s="23">
        <f>SUM(GM!J798:J800)/1000</f>
        <v>366.4</v>
      </c>
      <c r="P22" s="23">
        <f>SUM(GM!K798:K800)/1000</f>
        <v>375.7</v>
      </c>
      <c r="Q22" s="23">
        <f>SUM(GM!L798:L800)/1000</f>
        <v>385.2</v>
      </c>
      <c r="R22" s="23">
        <f>SUM(GM!M798:M800)/1000</f>
        <v>393</v>
      </c>
      <c r="S22" s="23">
        <f>SUM(GM!N798:N800)/1000</f>
        <v>401</v>
      </c>
      <c r="T22" s="23">
        <f>SUM(GM!O798:O800)/1000</f>
        <v>409.2</v>
      </c>
      <c r="U22" s="23">
        <f>SUM(GM!P798:P800)/1000</f>
        <v>417.5</v>
      </c>
      <c r="V22" s="23">
        <f>SUM(GM!Q798:Q800)/1000</f>
        <v>426</v>
      </c>
      <c r="W22" s="23">
        <f>SUM(GM!R798:R800)/1000</f>
        <v>434.7</v>
      </c>
      <c r="X22" s="247"/>
      <c r="Y22" s="247"/>
      <c r="Z22" s="247"/>
      <c r="AA22" s="247"/>
      <c r="AB22" s="247"/>
      <c r="AC22" s="247"/>
      <c r="AD22" s="247"/>
      <c r="AE22" s="247"/>
      <c r="AF22" s="247"/>
      <c r="AG22" s="247"/>
    </row>
    <row r="23" spans="1:33" x14ac:dyDescent="0.2">
      <c r="A23" s="779" t="s">
        <v>1771</v>
      </c>
      <c r="B23" s="23">
        <v>167</v>
      </c>
      <c r="C23" s="23">
        <v>109</v>
      </c>
      <c r="D23" s="23">
        <v>103</v>
      </c>
      <c r="E23" s="23">
        <f>104+9</f>
        <v>113</v>
      </c>
      <c r="F23" s="23">
        <v>180</v>
      </c>
      <c r="G23" s="23">
        <v>28</v>
      </c>
      <c r="H23" s="23">
        <v>23</v>
      </c>
      <c r="I23" s="23">
        <v>46</v>
      </c>
      <c r="J23" s="23">
        <v>62</v>
      </c>
      <c r="K23" s="23">
        <v>70</v>
      </c>
      <c r="L23" s="23">
        <v>78</v>
      </c>
      <c r="M23" s="23">
        <f>(GM!G807+GM!G806+GM!G805+GM!G802)/1000</f>
        <v>49.3</v>
      </c>
      <c r="N23" s="23">
        <f>(GM!I807+GM!I806+GM!I805+GM!I802)/1000</f>
        <v>50.2</v>
      </c>
      <c r="O23" s="23">
        <f>(GM!J807+GM!J806+GM!J805+GM!J802)/1000</f>
        <v>51.7</v>
      </c>
      <c r="P23" s="23">
        <f>(GM!K807+GM!K806+GM!K805+GM!K802)/1000</f>
        <v>53.2</v>
      </c>
      <c r="Q23" s="23">
        <f>(GM!L807+GM!L806+GM!L805+GM!L802)/1000</f>
        <v>54.8</v>
      </c>
      <c r="R23" s="23">
        <f>(GM!M807+GM!M806+GM!M805+GM!M802)/1000</f>
        <v>56.1</v>
      </c>
      <c r="S23" s="23">
        <f>(GM!N807+GM!N806+GM!N805+GM!N802)/1000</f>
        <v>57.4</v>
      </c>
      <c r="T23" s="23">
        <f>(GM!O807+GM!O806+GM!O805+GM!O802)/1000</f>
        <v>58.7</v>
      </c>
      <c r="U23" s="23">
        <f>(GM!P807+GM!P806+GM!P805+GM!P802)/1000</f>
        <v>60.1</v>
      </c>
      <c r="V23" s="23">
        <f>(GM!Q807+GM!Q806+GM!Q805+GM!Q802)/1000</f>
        <v>61.5</v>
      </c>
      <c r="W23" s="23">
        <f>(GM!R807+GM!R806+GM!R805+GM!R802)/1000</f>
        <v>62.9</v>
      </c>
      <c r="X23" s="247"/>
      <c r="Y23" s="247"/>
      <c r="Z23" s="247"/>
      <c r="AA23" s="247"/>
      <c r="AB23" s="247"/>
      <c r="AC23" s="247"/>
      <c r="AD23" s="247"/>
      <c r="AE23" s="247"/>
      <c r="AF23" s="247"/>
      <c r="AG23" s="247"/>
    </row>
    <row r="24" spans="1:33" x14ac:dyDescent="0.2">
      <c r="A24" s="779" t="s">
        <v>4739</v>
      </c>
      <c r="B24" s="23">
        <v>-403</v>
      </c>
      <c r="C24" s="23">
        <v>-560</v>
      </c>
      <c r="D24" s="23">
        <v>-531</v>
      </c>
      <c r="E24" s="23">
        <v>-533</v>
      </c>
      <c r="F24" s="23">
        <v>-686</v>
      </c>
      <c r="G24" s="23">
        <v>-1543</v>
      </c>
      <c r="H24" s="23">
        <v>-1720</v>
      </c>
      <c r="I24" s="23">
        <v>-2471</v>
      </c>
      <c r="J24" s="23">
        <v>-1802</v>
      </c>
      <c r="K24" s="23">
        <v>-2209</v>
      </c>
      <c r="L24" s="23">
        <v>-2123</v>
      </c>
      <c r="M24" s="23">
        <f t="shared" ref="M24:W24" si="12">AVERAGE(J24:L24)</f>
        <v>-2044.6666666666667</v>
      </c>
      <c r="N24" s="23">
        <f t="shared" si="12"/>
        <v>-2125.5555555555557</v>
      </c>
      <c r="O24" s="23">
        <f t="shared" si="12"/>
        <v>-2097.7407407407409</v>
      </c>
      <c r="P24" s="23">
        <f t="shared" si="12"/>
        <v>-2089.320987654321</v>
      </c>
      <c r="Q24" s="23">
        <f t="shared" si="12"/>
        <v>-2104.2057613168727</v>
      </c>
      <c r="R24" s="23">
        <f t="shared" si="12"/>
        <v>-2097.0891632373114</v>
      </c>
      <c r="S24" s="23">
        <f t="shared" si="12"/>
        <v>-2096.8719707361684</v>
      </c>
      <c r="T24" s="23">
        <f t="shared" si="12"/>
        <v>-2099.3889650967844</v>
      </c>
      <c r="U24" s="23">
        <f t="shared" si="12"/>
        <v>-2097.7833663567549</v>
      </c>
      <c r="V24" s="23">
        <f t="shared" si="12"/>
        <v>-2098.0147673965694</v>
      </c>
      <c r="W24" s="23">
        <f t="shared" si="12"/>
        <v>-2098.395699616703</v>
      </c>
      <c r="X24" s="247"/>
      <c r="Y24" s="247"/>
      <c r="Z24" s="247"/>
      <c r="AA24" s="247"/>
      <c r="AB24" s="247"/>
      <c r="AC24" s="247"/>
      <c r="AD24" s="247"/>
      <c r="AE24" s="247"/>
      <c r="AF24" s="247"/>
      <c r="AG24" s="247"/>
    </row>
    <row r="25" spans="1:33" s="1" customFormat="1" x14ac:dyDescent="0.2">
      <c r="A25" s="1" t="s">
        <v>4740</v>
      </c>
      <c r="B25" s="40">
        <f>SUM(B14:B24)</f>
        <v>15493</v>
      </c>
      <c r="C25" s="40">
        <f t="shared" ref="C25:U25" si="13">SUM(C14:C24)</f>
        <v>16728</v>
      </c>
      <c r="D25" s="40">
        <f t="shared" si="13"/>
        <v>17230</v>
      </c>
      <c r="E25" s="40">
        <f t="shared" si="13"/>
        <v>18509</v>
      </c>
      <c r="F25" s="40">
        <f t="shared" si="13"/>
        <v>18482</v>
      </c>
      <c r="G25" s="40">
        <f t="shared" si="13"/>
        <v>18473</v>
      </c>
      <c r="H25" s="40">
        <f t="shared" si="13"/>
        <v>19024</v>
      </c>
      <c r="I25" s="40">
        <f t="shared" si="13"/>
        <v>18810</v>
      </c>
      <c r="J25" s="40">
        <f t="shared" si="13"/>
        <v>19711</v>
      </c>
      <c r="K25" s="40">
        <f t="shared" si="13"/>
        <v>20435.099999999999</v>
      </c>
      <c r="L25" s="40">
        <f t="shared" si="13"/>
        <v>21690</v>
      </c>
      <c r="M25" s="40">
        <f t="shared" si="13"/>
        <v>22363.999999999996</v>
      </c>
      <c r="N25" s="40">
        <f t="shared" si="13"/>
        <v>23059.000000000004</v>
      </c>
      <c r="O25" s="40">
        <f t="shared" si="13"/>
        <v>23775.000000000004</v>
      </c>
      <c r="P25" s="40">
        <f t="shared" si="13"/>
        <v>24512.999999999996</v>
      </c>
      <c r="Q25" s="40">
        <f t="shared" si="13"/>
        <v>25273.999999999996</v>
      </c>
      <c r="R25" s="40">
        <f t="shared" si="13"/>
        <v>26059</v>
      </c>
      <c r="S25" s="40">
        <f t="shared" si="13"/>
        <v>26868.000000000004</v>
      </c>
      <c r="T25" s="40">
        <f t="shared" si="13"/>
        <v>27703.000000000004</v>
      </c>
      <c r="U25" s="40">
        <f t="shared" si="13"/>
        <v>28563</v>
      </c>
      <c r="V25" s="40">
        <f t="shared" ref="V25:W25" si="14">SUM(V14:V24)</f>
        <v>29449.999999999996</v>
      </c>
      <c r="W25" s="40">
        <f t="shared" si="14"/>
        <v>14771.400000000001</v>
      </c>
      <c r="X25" s="1817"/>
      <c r="Y25" s="1817"/>
      <c r="Z25" s="1817"/>
      <c r="AA25" s="1817"/>
      <c r="AB25" s="1817"/>
      <c r="AC25" s="1817"/>
      <c r="AD25" s="1817"/>
      <c r="AE25" s="1817"/>
      <c r="AF25" s="1817"/>
      <c r="AG25" s="1817"/>
    </row>
    <row r="26" spans="1:33" x14ac:dyDescent="0.2">
      <c r="B26" s="247"/>
      <c r="C26" s="247"/>
      <c r="D26" s="247"/>
      <c r="E26" s="247"/>
      <c r="F26" s="247"/>
      <c r="G26" s="247"/>
      <c r="H26" s="247"/>
      <c r="I26" s="247"/>
      <c r="J26" s="247"/>
      <c r="K26" s="247"/>
      <c r="L26" s="247"/>
      <c r="M26" s="247"/>
      <c r="N26" s="247"/>
      <c r="O26" s="247"/>
      <c r="P26" s="247"/>
      <c r="Q26" s="247"/>
      <c r="R26" s="247"/>
      <c r="S26" s="247"/>
      <c r="T26" s="247"/>
      <c r="U26" s="247"/>
      <c r="V26" s="247"/>
      <c r="W26" s="247"/>
      <c r="X26" s="247"/>
      <c r="Y26" s="247"/>
      <c r="Z26" s="247"/>
      <c r="AA26" s="247"/>
      <c r="AB26" s="247"/>
      <c r="AC26" s="247"/>
      <c r="AD26" s="247"/>
      <c r="AE26" s="247"/>
      <c r="AF26" s="247"/>
      <c r="AG26" s="247"/>
    </row>
    <row r="27" spans="1:33" s="1" customFormat="1" x14ac:dyDescent="0.2">
      <c r="A27" s="1" t="s">
        <v>2535</v>
      </c>
      <c r="B27" s="1817">
        <f t="shared" ref="B27:U27" si="15">B5/1000-B25</f>
        <v>0</v>
      </c>
      <c r="C27" s="1817">
        <f t="shared" si="15"/>
        <v>0</v>
      </c>
      <c r="D27" s="1817">
        <f t="shared" si="15"/>
        <v>0</v>
      </c>
      <c r="E27" s="1817">
        <f t="shared" si="15"/>
        <v>0</v>
      </c>
      <c r="F27" s="1817">
        <f t="shared" si="15"/>
        <v>0</v>
      </c>
      <c r="G27" s="1817">
        <f t="shared" si="15"/>
        <v>0</v>
      </c>
      <c r="H27" s="1817">
        <f t="shared" si="15"/>
        <v>0</v>
      </c>
      <c r="I27" s="1817">
        <f t="shared" si="15"/>
        <v>0</v>
      </c>
      <c r="J27" s="1817">
        <f t="shared" si="15"/>
        <v>0</v>
      </c>
      <c r="K27" s="1817">
        <f t="shared" si="15"/>
        <v>0</v>
      </c>
      <c r="L27" s="1817">
        <f t="shared" si="15"/>
        <v>0</v>
      </c>
      <c r="M27" s="1817">
        <f t="shared" si="15"/>
        <v>0</v>
      </c>
      <c r="N27" s="1817">
        <f t="shared" si="15"/>
        <v>0</v>
      </c>
      <c r="O27" s="1817">
        <f t="shared" si="15"/>
        <v>0</v>
      </c>
      <c r="P27" s="1817">
        <f t="shared" si="15"/>
        <v>0</v>
      </c>
      <c r="Q27" s="1817">
        <f t="shared" si="15"/>
        <v>0</v>
      </c>
      <c r="R27" s="1817">
        <f t="shared" si="15"/>
        <v>0</v>
      </c>
      <c r="S27" s="1817">
        <f t="shared" si="15"/>
        <v>0</v>
      </c>
      <c r="T27" s="1817">
        <f t="shared" si="15"/>
        <v>0</v>
      </c>
      <c r="U27" s="1817">
        <f t="shared" si="15"/>
        <v>0</v>
      </c>
      <c r="V27" s="1817">
        <f t="shared" ref="V27:W27" si="16">V5/1000-V25</f>
        <v>0</v>
      </c>
      <c r="W27" s="1817">
        <f t="shared" si="16"/>
        <v>15593.599999999999</v>
      </c>
      <c r="X27" s="1817"/>
      <c r="Y27" s="1817"/>
      <c r="Z27" s="1817"/>
      <c r="AA27" s="1817"/>
      <c r="AB27" s="1817"/>
      <c r="AC27" s="1817"/>
      <c r="AD27" s="1817"/>
      <c r="AE27" s="1817"/>
      <c r="AF27" s="1817"/>
      <c r="AG27" s="1817"/>
    </row>
    <row r="28" spans="1:33" s="1" customFormat="1" x14ac:dyDescent="0.2">
      <c r="B28" s="1817"/>
      <c r="C28" s="1817"/>
      <c r="D28" s="1817"/>
      <c r="E28" s="1817"/>
      <c r="F28" s="1817"/>
      <c r="G28" s="1817"/>
      <c r="H28" s="1817"/>
      <c r="I28" s="1817"/>
      <c r="J28" s="1817"/>
      <c r="K28" s="1817"/>
      <c r="L28" s="1817"/>
      <c r="M28" s="1817"/>
      <c r="N28" s="1817"/>
      <c r="O28" s="1817"/>
      <c r="P28" s="1817"/>
      <c r="Q28" s="1817"/>
      <c r="R28" s="1817"/>
      <c r="S28" s="1817"/>
      <c r="T28" s="1817"/>
      <c r="U28" s="1817"/>
      <c r="V28" s="1817"/>
      <c r="W28" s="1817"/>
      <c r="X28" s="1817"/>
      <c r="Y28" s="1817"/>
      <c r="Z28" s="1817"/>
      <c r="AA28" s="1817"/>
      <c r="AB28" s="1817"/>
      <c r="AC28" s="1817"/>
      <c r="AD28" s="1817"/>
      <c r="AE28" s="1817"/>
      <c r="AF28" s="1817"/>
      <c r="AG28" s="1817"/>
    </row>
    <row r="29" spans="1:33" s="1" customFormat="1" x14ac:dyDescent="0.2">
      <c r="A29" s="1" t="s">
        <v>4749</v>
      </c>
      <c r="C29" s="23">
        <f t="shared" ref="C29:I29" si="17">C39-B39</f>
        <v>479</v>
      </c>
      <c r="D29" s="23">
        <f t="shared" si="17"/>
        <v>586</v>
      </c>
      <c r="E29" s="23">
        <f t="shared" si="17"/>
        <v>443</v>
      </c>
      <c r="F29" s="23">
        <f t="shared" si="17"/>
        <v>477</v>
      </c>
      <c r="G29" s="23">
        <f t="shared" si="17"/>
        <v>-286</v>
      </c>
      <c r="H29" s="23">
        <f t="shared" si="17"/>
        <v>103</v>
      </c>
      <c r="I29" s="23">
        <f t="shared" si="17"/>
        <v>215</v>
      </c>
      <c r="J29" s="23">
        <f>J39-I39</f>
        <v>-732</v>
      </c>
      <c r="K29" s="23">
        <f>K39-J39</f>
        <v>-115</v>
      </c>
      <c r="L29" s="23">
        <f>AVERAGE(G29:I29)</f>
        <v>10.666666666666666</v>
      </c>
      <c r="M29" s="23">
        <f>AVERAGE(K29:L29,H29:I29)</f>
        <v>53.416666666666671</v>
      </c>
      <c r="N29" s="23">
        <f>AVERAGE(K29:M29)</f>
        <v>-16.972222222222218</v>
      </c>
      <c r="O29" s="23">
        <f t="shared" ref="O29:W29" si="18">AVERAGE(L29:N29)</f>
        <v>15.703703703703709</v>
      </c>
      <c r="P29" s="23">
        <f t="shared" si="18"/>
        <v>17.382716049382722</v>
      </c>
      <c r="Q29" s="23">
        <f t="shared" si="18"/>
        <v>5.3713991769547382</v>
      </c>
      <c r="R29" s="23">
        <f t="shared" si="18"/>
        <v>12.81927297668039</v>
      </c>
      <c r="S29" s="23">
        <f t="shared" si="18"/>
        <v>11.857796067672616</v>
      </c>
      <c r="T29" s="23">
        <f t="shared" si="18"/>
        <v>10.016156073769247</v>
      </c>
      <c r="U29" s="23">
        <f t="shared" si="18"/>
        <v>11.564408372707417</v>
      </c>
      <c r="V29" s="23">
        <f t="shared" si="18"/>
        <v>11.146120171383094</v>
      </c>
      <c r="W29" s="23">
        <f t="shared" si="18"/>
        <v>10.90889487261992</v>
      </c>
      <c r="X29" s="1817"/>
      <c r="Y29" s="1817"/>
      <c r="Z29" s="1817"/>
      <c r="AA29" s="1817"/>
      <c r="AB29" s="1817"/>
      <c r="AC29" s="1817"/>
      <c r="AD29" s="1817"/>
      <c r="AE29" s="1817"/>
      <c r="AF29" s="1817"/>
      <c r="AG29" s="1817"/>
    </row>
    <row r="30" spans="1:33" s="779" customFormat="1" x14ac:dyDescent="0.2">
      <c r="A30" s="779" t="s">
        <v>4750</v>
      </c>
      <c r="C30" s="25">
        <f t="shared" ref="C30:I30" si="19">C78-B78</f>
        <v>1</v>
      </c>
      <c r="D30" s="25">
        <f t="shared" si="19"/>
        <v>64</v>
      </c>
      <c r="E30" s="25">
        <f t="shared" si="19"/>
        <v>-3</v>
      </c>
      <c r="F30" s="25">
        <f t="shared" si="19"/>
        <v>-32</v>
      </c>
      <c r="G30" s="25">
        <f t="shared" si="19"/>
        <v>116</v>
      </c>
      <c r="H30" s="25">
        <f t="shared" si="19"/>
        <v>-155</v>
      </c>
      <c r="I30" s="25">
        <f t="shared" si="19"/>
        <v>36</v>
      </c>
      <c r="J30" s="25">
        <f>J78-I78</f>
        <v>-23</v>
      </c>
      <c r="K30" s="23">
        <v>0</v>
      </c>
      <c r="L30" s="23">
        <f t="shared" ref="L30" si="20">AVERAGE(I30:K30)</f>
        <v>4.333333333333333</v>
      </c>
      <c r="M30" s="23">
        <f t="shared" ref="M30" si="21">AVERAGE(J30:L30)</f>
        <v>-6.2222222222222223</v>
      </c>
      <c r="N30" s="23">
        <f t="shared" ref="N30" si="22">AVERAGE(K30:M30)</f>
        <v>-0.62962962962962976</v>
      </c>
      <c r="O30" s="23">
        <f t="shared" ref="O30" si="23">AVERAGE(L30:N30)</f>
        <v>-0.83950617283950635</v>
      </c>
      <c r="P30" s="23">
        <f t="shared" ref="P30" si="24">AVERAGE(M30:O30)</f>
        <v>-2.5637860082304527</v>
      </c>
      <c r="Q30" s="23">
        <f t="shared" ref="Q30" si="25">AVERAGE(N30:P30)</f>
        <v>-1.3443072702331964</v>
      </c>
      <c r="R30" s="23">
        <f t="shared" ref="R30" si="26">AVERAGE(O30:Q30)</f>
        <v>-1.5825331504343854</v>
      </c>
      <c r="S30" s="23">
        <f t="shared" ref="S30" si="27">AVERAGE(P30:R30)</f>
        <v>-1.8302088096326781</v>
      </c>
      <c r="T30" s="23">
        <f t="shared" ref="T30" si="28">AVERAGE(Q30:S30)</f>
        <v>-1.5856830767667534</v>
      </c>
      <c r="U30" s="23">
        <f t="shared" ref="U30:W30" si="29">AVERAGE(R30:T30)</f>
        <v>-1.6661416789446057</v>
      </c>
      <c r="V30" s="23">
        <f t="shared" si="29"/>
        <v>-1.6940111884480125</v>
      </c>
      <c r="W30" s="23">
        <f t="shared" si="29"/>
        <v>-1.6486119813864573</v>
      </c>
      <c r="X30" s="1818"/>
      <c r="Y30" s="1818"/>
      <c r="Z30" s="1818"/>
      <c r="AA30" s="1818"/>
      <c r="AB30" s="1818"/>
      <c r="AC30" s="1818"/>
      <c r="AD30" s="1818"/>
      <c r="AE30" s="1818"/>
      <c r="AF30" s="1818"/>
      <c r="AG30" s="1818"/>
    </row>
    <row r="31" spans="1:33" s="1" customFormat="1" x14ac:dyDescent="0.2">
      <c r="A31" s="1" t="s">
        <v>4751</v>
      </c>
      <c r="C31" s="40">
        <f t="shared" ref="C31:I31" si="30">C29-C30</f>
        <v>478</v>
      </c>
      <c r="D31" s="40">
        <f t="shared" si="30"/>
        <v>522</v>
      </c>
      <c r="E31" s="40">
        <f t="shared" si="30"/>
        <v>446</v>
      </c>
      <c r="F31" s="40">
        <f t="shared" si="30"/>
        <v>509</v>
      </c>
      <c r="G31" s="40">
        <f t="shared" si="30"/>
        <v>-402</v>
      </c>
      <c r="H31" s="40">
        <f t="shared" si="30"/>
        <v>258</v>
      </c>
      <c r="I31" s="40">
        <f t="shared" si="30"/>
        <v>179</v>
      </c>
      <c r="J31" s="40">
        <f>J29-J30</f>
        <v>-709</v>
      </c>
      <c r="K31" s="23">
        <f>SUM(K29:K30)</f>
        <v>-115</v>
      </c>
      <c r="L31" s="23">
        <f t="shared" ref="L31:U31" si="31">SUM(L29:L30)</f>
        <v>15</v>
      </c>
      <c r="M31" s="23">
        <f t="shared" si="31"/>
        <v>47.19444444444445</v>
      </c>
      <c r="N31" s="40">
        <f t="shared" si="31"/>
        <v>-17.601851851851848</v>
      </c>
      <c r="O31" s="40">
        <f t="shared" si="31"/>
        <v>14.864197530864203</v>
      </c>
      <c r="P31" s="40">
        <f t="shared" si="31"/>
        <v>14.818930041152269</v>
      </c>
      <c r="Q31" s="40">
        <f t="shared" si="31"/>
        <v>4.0270919067215418</v>
      </c>
      <c r="R31" s="40">
        <f t="shared" si="31"/>
        <v>11.236739826246005</v>
      </c>
      <c r="S31" s="40">
        <f t="shared" si="31"/>
        <v>10.027587258039938</v>
      </c>
      <c r="T31" s="40">
        <f t="shared" si="31"/>
        <v>8.430472997002493</v>
      </c>
      <c r="U31" s="40">
        <f t="shared" si="31"/>
        <v>9.8982666937628121</v>
      </c>
      <c r="V31" s="40">
        <f t="shared" ref="V31:W31" si="32">SUM(V29:V30)</f>
        <v>9.4521089829350817</v>
      </c>
      <c r="W31" s="40">
        <f t="shared" si="32"/>
        <v>9.2602828912334623</v>
      </c>
      <c r="X31" s="1817"/>
      <c r="Y31" s="1817"/>
      <c r="Z31" s="1817"/>
      <c r="AA31" s="1817"/>
      <c r="AB31" s="1817"/>
      <c r="AC31" s="1817"/>
      <c r="AD31" s="1817"/>
      <c r="AE31" s="1817"/>
      <c r="AF31" s="1817"/>
      <c r="AG31" s="1817"/>
    </row>
    <row r="32" spans="1:33" x14ac:dyDescent="0.2">
      <c r="B32" s="247"/>
      <c r="K32" s="247"/>
      <c r="L32" s="247"/>
      <c r="M32" s="247"/>
      <c r="N32" s="247"/>
      <c r="O32" s="247"/>
      <c r="P32" s="247"/>
      <c r="Q32" s="247"/>
      <c r="R32" s="247"/>
      <c r="S32" s="247"/>
      <c r="T32" s="247"/>
      <c r="U32" s="247"/>
      <c r="V32" s="247"/>
      <c r="W32" s="247"/>
      <c r="X32" s="247"/>
      <c r="Y32" s="247"/>
      <c r="Z32" s="247"/>
      <c r="AA32" s="247"/>
      <c r="AB32" s="247"/>
      <c r="AC32" s="247"/>
      <c r="AD32" s="247"/>
      <c r="AE32" s="247"/>
      <c r="AF32" s="247"/>
      <c r="AG32" s="247"/>
    </row>
    <row r="33" spans="1:33" x14ac:dyDescent="0.2">
      <c r="A33" s="1" t="s">
        <v>4748</v>
      </c>
      <c r="B33" s="247"/>
      <c r="C33" s="247"/>
      <c r="D33" s="247"/>
      <c r="E33" s="247"/>
      <c r="F33" s="247"/>
      <c r="G33" s="247"/>
      <c r="H33" s="247"/>
      <c r="I33" s="247"/>
      <c r="J33" s="247"/>
      <c r="K33" s="247"/>
      <c r="L33" s="247"/>
      <c r="M33" s="247"/>
      <c r="N33" s="247"/>
      <c r="O33" s="247"/>
      <c r="P33" s="247"/>
      <c r="Q33" s="247"/>
      <c r="R33" s="247"/>
      <c r="S33" s="247"/>
      <c r="T33" s="247"/>
      <c r="U33" s="247"/>
      <c r="V33" s="247"/>
      <c r="W33" s="247"/>
      <c r="X33" s="247"/>
      <c r="Y33" s="247"/>
      <c r="Z33" s="247"/>
      <c r="AA33" s="247"/>
      <c r="AB33" s="247"/>
      <c r="AC33" s="247"/>
      <c r="AD33" s="247"/>
      <c r="AE33" s="247"/>
      <c r="AF33" s="247"/>
      <c r="AG33" s="247"/>
    </row>
    <row r="34" spans="1:33" x14ac:dyDescent="0.2">
      <c r="B34" s="247"/>
      <c r="C34" s="247"/>
      <c r="D34" s="247"/>
      <c r="E34" s="247"/>
      <c r="F34" s="247"/>
      <c r="G34" s="247"/>
      <c r="H34" s="247"/>
      <c r="I34" s="247"/>
      <c r="J34" s="247"/>
      <c r="K34" s="247"/>
      <c r="L34" s="247"/>
      <c r="M34" s="247"/>
      <c r="N34" s="247"/>
      <c r="O34" s="247"/>
      <c r="P34" s="247"/>
      <c r="Q34" s="247"/>
      <c r="R34" s="247"/>
      <c r="S34" s="247"/>
      <c r="T34" s="247"/>
      <c r="U34" s="247"/>
      <c r="V34" s="247"/>
      <c r="W34" s="247"/>
      <c r="X34" s="247"/>
      <c r="Y34" s="247"/>
      <c r="Z34" s="247"/>
      <c r="AA34" s="247"/>
      <c r="AB34" s="247"/>
      <c r="AC34" s="247"/>
      <c r="AD34" s="247"/>
      <c r="AE34" s="247"/>
      <c r="AF34" s="247"/>
      <c r="AG34" s="247"/>
    </row>
    <row r="35" spans="1:33" s="1" customFormat="1" x14ac:dyDescent="0.2">
      <c r="A35" s="1" t="s">
        <v>4741</v>
      </c>
      <c r="B35" s="40"/>
      <c r="C35" s="40"/>
      <c r="D35" s="40"/>
      <c r="E35" s="40"/>
      <c r="F35" s="40"/>
      <c r="G35" s="40"/>
      <c r="H35" s="40"/>
      <c r="I35" s="40"/>
      <c r="J35" s="40"/>
      <c r="K35" s="40"/>
      <c r="L35" s="40"/>
      <c r="M35" s="40"/>
      <c r="N35" s="40"/>
      <c r="O35" s="40"/>
      <c r="P35" s="40"/>
      <c r="Q35" s="40"/>
      <c r="R35" s="40"/>
      <c r="S35" s="40"/>
      <c r="T35" s="40"/>
      <c r="U35" s="40"/>
      <c r="V35" s="40"/>
      <c r="W35" s="40"/>
      <c r="X35" s="1817"/>
      <c r="Y35" s="1817"/>
      <c r="Z35" s="1817"/>
      <c r="AA35" s="1817"/>
      <c r="AB35" s="1817"/>
      <c r="AC35" s="1817"/>
      <c r="AD35" s="1817"/>
      <c r="AE35" s="1817"/>
      <c r="AF35" s="1817"/>
      <c r="AG35" s="1817"/>
    </row>
    <row r="36" spans="1:33" x14ac:dyDescent="0.2">
      <c r="A36" s="779" t="s">
        <v>1465</v>
      </c>
      <c r="B36" s="23">
        <v>1293</v>
      </c>
      <c r="C36" s="23">
        <v>1382</v>
      </c>
      <c r="D36" s="23">
        <v>1515</v>
      </c>
      <c r="E36" s="23">
        <v>1576</v>
      </c>
      <c r="F36" s="23">
        <v>1757</v>
      </c>
      <c r="G36" s="23">
        <v>1750</v>
      </c>
      <c r="H36" s="23">
        <v>1918</v>
      </c>
      <c r="I36" s="23">
        <v>1959</v>
      </c>
      <c r="J36" s="23">
        <v>1798</v>
      </c>
      <c r="K36" s="23">
        <v>1890</v>
      </c>
      <c r="L36" s="23">
        <v>2060</v>
      </c>
      <c r="M36" s="23"/>
      <c r="N36" s="23"/>
      <c r="O36" s="23"/>
      <c r="P36" s="23"/>
      <c r="Q36" s="23"/>
      <c r="R36" s="23"/>
      <c r="S36" s="23"/>
      <c r="T36" s="23"/>
      <c r="U36" s="23"/>
      <c r="V36" s="23"/>
      <c r="W36" s="23"/>
      <c r="X36" s="247"/>
      <c r="Y36" s="247"/>
      <c r="Z36" s="247"/>
      <c r="AA36" s="247"/>
      <c r="AB36" s="247"/>
      <c r="AC36" s="247"/>
      <c r="AD36" s="247"/>
      <c r="AE36" s="247"/>
      <c r="AF36" s="247"/>
      <c r="AG36" s="247"/>
    </row>
    <row r="37" spans="1:33" x14ac:dyDescent="0.2">
      <c r="A37" s="779" t="s">
        <v>757</v>
      </c>
      <c r="B37" s="23">
        <v>1943</v>
      </c>
      <c r="C37" s="23">
        <v>2095</v>
      </c>
      <c r="D37" s="23">
        <v>2221</v>
      </c>
      <c r="E37" s="23">
        <v>2305</v>
      </c>
      <c r="F37" s="23">
        <v>2439</v>
      </c>
      <c r="G37" s="23">
        <v>2129</v>
      </c>
      <c r="H37" s="23">
        <v>2272</v>
      </c>
      <c r="I37" s="23">
        <v>2335</v>
      </c>
      <c r="J37" s="23">
        <v>2283</v>
      </c>
      <c r="K37" s="23">
        <v>2104</v>
      </c>
      <c r="L37" s="23">
        <v>2233</v>
      </c>
      <c r="M37" s="23"/>
      <c r="N37" s="23"/>
      <c r="O37" s="23"/>
      <c r="P37" s="23"/>
      <c r="Q37" s="23"/>
      <c r="R37" s="23"/>
      <c r="S37" s="23"/>
      <c r="T37" s="23"/>
      <c r="U37" s="23"/>
      <c r="V37" s="23"/>
      <c r="W37" s="23"/>
      <c r="X37" s="247"/>
      <c r="Y37" s="247"/>
      <c r="Z37" s="247"/>
      <c r="AA37" s="247"/>
      <c r="AB37" s="247"/>
      <c r="AC37" s="247"/>
      <c r="AD37" s="247"/>
      <c r="AE37" s="247"/>
      <c r="AF37" s="247"/>
      <c r="AG37" s="247"/>
    </row>
    <row r="38" spans="1:33" x14ac:dyDescent="0.2">
      <c r="A38" s="779" t="s">
        <v>756</v>
      </c>
      <c r="B38" s="23">
        <v>2640</v>
      </c>
      <c r="C38" s="23">
        <v>2878</v>
      </c>
      <c r="D38" s="23">
        <v>3205</v>
      </c>
      <c r="E38" s="23">
        <v>3503</v>
      </c>
      <c r="F38" s="23">
        <v>3665</v>
      </c>
      <c r="G38" s="23">
        <v>3696</v>
      </c>
      <c r="H38" s="23">
        <v>3488</v>
      </c>
      <c r="I38" s="23">
        <v>3599</v>
      </c>
      <c r="J38" s="23">
        <v>3080</v>
      </c>
      <c r="K38" s="23">
        <v>3052</v>
      </c>
      <c r="L38" s="23">
        <v>3258</v>
      </c>
      <c r="M38" s="23"/>
      <c r="N38" s="23"/>
      <c r="O38" s="23"/>
      <c r="P38" s="23"/>
      <c r="Q38" s="23"/>
      <c r="R38" s="23"/>
      <c r="S38" s="23"/>
      <c r="T38" s="23"/>
      <c r="U38" s="23"/>
      <c r="V38" s="23"/>
      <c r="W38" s="23"/>
      <c r="X38" s="247"/>
      <c r="Y38" s="247"/>
      <c r="Z38" s="247"/>
      <c r="AA38" s="247"/>
      <c r="AB38" s="247"/>
      <c r="AC38" s="247"/>
      <c r="AD38" s="247"/>
      <c r="AE38" s="247"/>
      <c r="AF38" s="247"/>
      <c r="AG38" s="247"/>
    </row>
    <row r="39" spans="1:33" s="1" customFormat="1" x14ac:dyDescent="0.2">
      <c r="A39" s="1" t="s">
        <v>1530</v>
      </c>
      <c r="B39" s="40">
        <f t="shared" ref="B39:I39" si="33">SUM(B36:B38)</f>
        <v>5876</v>
      </c>
      <c r="C39" s="40">
        <f t="shared" si="33"/>
        <v>6355</v>
      </c>
      <c r="D39" s="40">
        <f t="shared" si="33"/>
        <v>6941</v>
      </c>
      <c r="E39" s="40">
        <f t="shared" si="33"/>
        <v>7384</v>
      </c>
      <c r="F39" s="40">
        <f t="shared" si="33"/>
        <v>7861</v>
      </c>
      <c r="G39" s="40">
        <f t="shared" si="33"/>
        <v>7575</v>
      </c>
      <c r="H39" s="40">
        <f t="shared" si="33"/>
        <v>7678</v>
      </c>
      <c r="I39" s="40">
        <f t="shared" si="33"/>
        <v>7893</v>
      </c>
      <c r="J39" s="40">
        <f>SUM(J36:J38)</f>
        <v>7161</v>
      </c>
      <c r="K39" s="40">
        <f t="shared" ref="K39:U39" si="34">SUM(K36:K38)</f>
        <v>7046</v>
      </c>
      <c r="L39" s="40">
        <f t="shared" si="34"/>
        <v>7551</v>
      </c>
      <c r="M39" s="40">
        <f t="shared" si="34"/>
        <v>0</v>
      </c>
      <c r="N39" s="40">
        <f t="shared" si="34"/>
        <v>0</v>
      </c>
      <c r="O39" s="40">
        <f t="shared" si="34"/>
        <v>0</v>
      </c>
      <c r="P39" s="40">
        <f t="shared" si="34"/>
        <v>0</v>
      </c>
      <c r="Q39" s="40">
        <f t="shared" si="34"/>
        <v>0</v>
      </c>
      <c r="R39" s="40">
        <f t="shared" si="34"/>
        <v>0</v>
      </c>
      <c r="S39" s="40">
        <f t="shared" si="34"/>
        <v>0</v>
      </c>
      <c r="T39" s="40">
        <f t="shared" si="34"/>
        <v>0</v>
      </c>
      <c r="U39" s="40">
        <f t="shared" si="34"/>
        <v>0</v>
      </c>
      <c r="V39" s="40">
        <f t="shared" ref="V39:W39" si="35">SUM(V36:V38)</f>
        <v>0</v>
      </c>
      <c r="W39" s="40">
        <f t="shared" si="35"/>
        <v>0</v>
      </c>
      <c r="X39" s="1817"/>
      <c r="Y39" s="1817"/>
      <c r="Z39" s="1817"/>
      <c r="AA39" s="1817"/>
      <c r="AB39" s="1817"/>
      <c r="AC39" s="1817"/>
      <c r="AD39" s="1817"/>
      <c r="AE39" s="1817"/>
      <c r="AF39" s="1817"/>
      <c r="AG39" s="1817"/>
    </row>
    <row r="40" spans="1:33" x14ac:dyDescent="0.2">
      <c r="B40" s="23"/>
      <c r="C40" s="23"/>
      <c r="D40" s="23"/>
      <c r="E40" s="23"/>
      <c r="F40" s="23"/>
      <c r="G40" s="23"/>
      <c r="H40" s="23"/>
      <c r="I40" s="23"/>
      <c r="J40" s="23"/>
      <c r="K40" s="23"/>
      <c r="L40" s="23"/>
      <c r="M40" s="23"/>
      <c r="N40" s="23"/>
      <c r="O40" s="23"/>
      <c r="P40" s="23"/>
      <c r="Q40" s="23"/>
      <c r="R40" s="23"/>
      <c r="S40" s="23"/>
      <c r="T40" s="23"/>
      <c r="U40" s="23"/>
      <c r="V40" s="23"/>
      <c r="W40" s="23"/>
      <c r="X40" s="247"/>
      <c r="Y40" s="247"/>
      <c r="Z40" s="247"/>
      <c r="AA40" s="247"/>
      <c r="AB40" s="247"/>
      <c r="AC40" s="247"/>
      <c r="AD40" s="247"/>
      <c r="AE40" s="247"/>
      <c r="AF40" s="247"/>
      <c r="AG40" s="247"/>
    </row>
    <row r="41" spans="1:33" x14ac:dyDescent="0.2">
      <c r="A41" s="1" t="s">
        <v>4742</v>
      </c>
      <c r="B41" s="23"/>
      <c r="C41" s="23"/>
      <c r="D41" s="23"/>
      <c r="E41" s="23"/>
      <c r="F41" s="23"/>
      <c r="G41" s="23"/>
      <c r="H41" s="23"/>
      <c r="I41" s="23"/>
      <c r="J41" s="23"/>
      <c r="K41" s="23"/>
      <c r="L41" s="23"/>
      <c r="M41" s="23"/>
      <c r="N41" s="23"/>
      <c r="O41" s="23"/>
      <c r="P41" s="23"/>
      <c r="Q41" s="23"/>
      <c r="R41" s="23"/>
      <c r="S41" s="23"/>
      <c r="T41" s="23"/>
      <c r="U41" s="23"/>
      <c r="V41" s="23"/>
      <c r="W41" s="23"/>
      <c r="X41" s="247"/>
      <c r="Y41" s="247"/>
      <c r="Z41" s="247"/>
      <c r="AA41" s="247"/>
      <c r="AB41" s="247"/>
      <c r="AC41" s="247"/>
      <c r="AD41" s="247"/>
      <c r="AE41" s="247"/>
      <c r="AF41" s="247"/>
      <c r="AG41" s="247"/>
    </row>
    <row r="42" spans="1:33" x14ac:dyDescent="0.2">
      <c r="A42" s="779" t="s">
        <v>1465</v>
      </c>
      <c r="B42" s="23">
        <v>0</v>
      </c>
      <c r="C42" s="23">
        <v>0</v>
      </c>
      <c r="D42" s="23">
        <v>0</v>
      </c>
      <c r="E42" s="23">
        <v>0</v>
      </c>
      <c r="F42" s="23">
        <v>0</v>
      </c>
      <c r="G42" s="23">
        <v>0</v>
      </c>
      <c r="H42" s="23">
        <v>0</v>
      </c>
      <c r="I42" s="23">
        <v>0</v>
      </c>
      <c r="J42" s="23">
        <v>0</v>
      </c>
      <c r="K42" s="23">
        <v>0</v>
      </c>
      <c r="L42" s="23">
        <v>0</v>
      </c>
      <c r="M42" s="23"/>
      <c r="N42" s="23"/>
      <c r="O42" s="23"/>
      <c r="P42" s="23"/>
      <c r="Q42" s="23"/>
      <c r="R42" s="23"/>
      <c r="S42" s="23"/>
      <c r="T42" s="23"/>
      <c r="U42" s="23"/>
      <c r="V42" s="23"/>
      <c r="W42" s="23"/>
      <c r="X42" s="247"/>
      <c r="Y42" s="247"/>
      <c r="Z42" s="247"/>
      <c r="AA42" s="247"/>
      <c r="AB42" s="247"/>
      <c r="AC42" s="247"/>
      <c r="AD42" s="247"/>
      <c r="AE42" s="247"/>
      <c r="AF42" s="247"/>
      <c r="AG42" s="247"/>
    </row>
    <row r="43" spans="1:33" x14ac:dyDescent="0.2">
      <c r="A43" s="779" t="s">
        <v>757</v>
      </c>
      <c r="B43" s="23">
        <v>0</v>
      </c>
      <c r="C43" s="23">
        <v>0</v>
      </c>
      <c r="D43" s="23">
        <v>0</v>
      </c>
      <c r="E43" s="23">
        <v>0</v>
      </c>
      <c r="F43" s="23">
        <v>0</v>
      </c>
      <c r="G43" s="23">
        <v>0</v>
      </c>
      <c r="H43" s="23">
        <v>0</v>
      </c>
      <c r="I43" s="23">
        <v>0</v>
      </c>
      <c r="J43" s="23">
        <v>0</v>
      </c>
      <c r="K43" s="23">
        <v>0</v>
      </c>
      <c r="L43" s="23">
        <v>0</v>
      </c>
      <c r="M43" s="23"/>
      <c r="N43" s="23"/>
      <c r="O43" s="23"/>
      <c r="P43" s="23"/>
      <c r="Q43" s="23"/>
      <c r="R43" s="23"/>
      <c r="S43" s="23"/>
      <c r="T43" s="23"/>
      <c r="U43" s="23"/>
      <c r="V43" s="23"/>
      <c r="W43" s="23"/>
      <c r="X43" s="247"/>
      <c r="Y43" s="247"/>
      <c r="Z43" s="247"/>
      <c r="AA43" s="247"/>
      <c r="AB43" s="247"/>
      <c r="AC43" s="247"/>
      <c r="AD43" s="247"/>
      <c r="AE43" s="247"/>
      <c r="AF43" s="247"/>
      <c r="AG43" s="247"/>
    </row>
    <row r="44" spans="1:33" x14ac:dyDescent="0.2">
      <c r="A44" s="779" t="s">
        <v>756</v>
      </c>
      <c r="B44" s="23">
        <v>110</v>
      </c>
      <c r="C44" s="23">
        <v>170</v>
      </c>
      <c r="D44" s="23">
        <v>115</v>
      </c>
      <c r="E44" s="23">
        <v>118</v>
      </c>
      <c r="F44" s="23">
        <v>129</v>
      </c>
      <c r="G44" s="23">
        <v>126</v>
      </c>
      <c r="H44" s="23">
        <v>143</v>
      </c>
      <c r="I44" s="23">
        <v>272</v>
      </c>
      <c r="J44" s="23">
        <v>754</v>
      </c>
      <c r="K44" s="23">
        <v>824</v>
      </c>
      <c r="L44" s="23">
        <v>770</v>
      </c>
      <c r="M44" s="23"/>
      <c r="N44" s="23"/>
      <c r="O44" s="23"/>
      <c r="P44" s="23"/>
      <c r="Q44" s="23"/>
      <c r="R44" s="23"/>
      <c r="S44" s="23"/>
      <c r="T44" s="23"/>
      <c r="U44" s="23"/>
      <c r="V44" s="23"/>
      <c r="W44" s="23"/>
    </row>
    <row r="45" spans="1:33" s="1" customFormat="1" x14ac:dyDescent="0.2">
      <c r="A45" s="1" t="s">
        <v>1530</v>
      </c>
      <c r="B45" s="40">
        <f t="shared" ref="B45:I45" si="36">SUM(B42:B44)</f>
        <v>110</v>
      </c>
      <c r="C45" s="40">
        <f t="shared" si="36"/>
        <v>170</v>
      </c>
      <c r="D45" s="40">
        <f t="shared" si="36"/>
        <v>115</v>
      </c>
      <c r="E45" s="40">
        <f t="shared" si="36"/>
        <v>118</v>
      </c>
      <c r="F45" s="40">
        <f t="shared" si="36"/>
        <v>129</v>
      </c>
      <c r="G45" s="40">
        <f t="shared" si="36"/>
        <v>126</v>
      </c>
      <c r="H45" s="40">
        <f t="shared" si="36"/>
        <v>143</v>
      </c>
      <c r="I45" s="40">
        <f t="shared" si="36"/>
        <v>272</v>
      </c>
      <c r="J45" s="40">
        <f>SUM(J42:J44)</f>
        <v>754</v>
      </c>
      <c r="K45" s="40">
        <f t="shared" ref="K45:U45" si="37">SUM(K42:K44)</f>
        <v>824</v>
      </c>
      <c r="L45" s="40">
        <f t="shared" si="37"/>
        <v>770</v>
      </c>
      <c r="M45" s="40">
        <f t="shared" si="37"/>
        <v>0</v>
      </c>
      <c r="N45" s="40">
        <f t="shared" si="37"/>
        <v>0</v>
      </c>
      <c r="O45" s="40">
        <f t="shared" si="37"/>
        <v>0</v>
      </c>
      <c r="P45" s="40">
        <f t="shared" si="37"/>
        <v>0</v>
      </c>
      <c r="Q45" s="40">
        <f t="shared" si="37"/>
        <v>0</v>
      </c>
      <c r="R45" s="40">
        <f t="shared" si="37"/>
        <v>0</v>
      </c>
      <c r="S45" s="40">
        <f t="shared" si="37"/>
        <v>0</v>
      </c>
      <c r="T45" s="40">
        <f t="shared" si="37"/>
        <v>0</v>
      </c>
      <c r="U45" s="40">
        <f t="shared" si="37"/>
        <v>0</v>
      </c>
      <c r="V45" s="40">
        <f t="shared" ref="V45:W45" si="38">SUM(V42:V44)</f>
        <v>0</v>
      </c>
      <c r="W45" s="40">
        <f t="shared" si="38"/>
        <v>0</v>
      </c>
    </row>
    <row r="46" spans="1:33" x14ac:dyDescent="0.2">
      <c r="B46" s="207"/>
      <c r="C46" s="23"/>
      <c r="D46" s="23"/>
      <c r="E46" s="23"/>
      <c r="F46" s="23"/>
      <c r="G46" s="23"/>
      <c r="H46" s="23"/>
      <c r="I46" s="23"/>
      <c r="J46" s="23"/>
      <c r="K46" s="23"/>
      <c r="L46" s="23"/>
      <c r="M46" s="23"/>
      <c r="N46" s="23"/>
      <c r="O46" s="23"/>
      <c r="P46" s="23"/>
      <c r="Q46" s="23"/>
      <c r="R46" s="23"/>
      <c r="S46" s="23"/>
      <c r="T46" s="23"/>
      <c r="U46" s="23"/>
      <c r="V46" s="23"/>
      <c r="W46" s="23"/>
    </row>
    <row r="47" spans="1:33" x14ac:dyDescent="0.2">
      <c r="A47" s="1" t="s">
        <v>4743</v>
      </c>
      <c r="B47" s="207"/>
      <c r="C47" s="23"/>
      <c r="D47" s="23"/>
      <c r="E47" s="23"/>
      <c r="F47" s="23"/>
      <c r="G47" s="23"/>
      <c r="H47" s="23"/>
      <c r="I47" s="23"/>
      <c r="J47" s="23"/>
      <c r="K47" s="23"/>
      <c r="L47" s="23"/>
      <c r="M47" s="23"/>
      <c r="N47" s="23"/>
      <c r="O47" s="23"/>
      <c r="P47" s="23"/>
      <c r="Q47" s="23"/>
      <c r="R47" s="23"/>
      <c r="S47" s="23"/>
      <c r="T47" s="23"/>
      <c r="U47" s="23"/>
      <c r="V47" s="23"/>
      <c r="W47" s="23"/>
    </row>
    <row r="48" spans="1:33" s="1" customFormat="1" x14ac:dyDescent="0.2">
      <c r="A48" s="1" t="s">
        <v>1465</v>
      </c>
      <c r="B48" s="1017"/>
      <c r="C48" s="40"/>
      <c r="D48" s="40"/>
      <c r="E48" s="40"/>
      <c r="F48" s="40"/>
      <c r="G48" s="40"/>
      <c r="H48" s="40"/>
      <c r="I48" s="40"/>
      <c r="J48" s="40"/>
      <c r="K48" s="40"/>
      <c r="L48" s="40"/>
      <c r="M48" s="40"/>
      <c r="N48" s="40"/>
      <c r="O48" s="40"/>
      <c r="P48" s="40"/>
      <c r="Q48" s="40"/>
      <c r="R48" s="40"/>
      <c r="S48" s="40"/>
      <c r="T48" s="40"/>
      <c r="U48" s="40"/>
      <c r="V48" s="40"/>
      <c r="W48" s="40"/>
    </row>
    <row r="49" spans="1:23" s="1" customFormat="1" x14ac:dyDescent="0.2">
      <c r="A49" s="1" t="s">
        <v>4747</v>
      </c>
      <c r="B49" s="40">
        <v>0</v>
      </c>
      <c r="C49" s="40">
        <f t="shared" ref="C49:I49" si="39">B36+B42</f>
        <v>1293</v>
      </c>
      <c r="D49" s="40">
        <f t="shared" si="39"/>
        <v>1382</v>
      </c>
      <c r="E49" s="40">
        <f t="shared" si="39"/>
        <v>1515</v>
      </c>
      <c r="F49" s="40">
        <f t="shared" si="39"/>
        <v>1576</v>
      </c>
      <c r="G49" s="40">
        <f t="shared" si="39"/>
        <v>1757</v>
      </c>
      <c r="H49" s="40">
        <f t="shared" si="39"/>
        <v>1750</v>
      </c>
      <c r="I49" s="40">
        <f t="shared" si="39"/>
        <v>1918</v>
      </c>
      <c r="J49" s="40">
        <f>I36+I42</f>
        <v>1959</v>
      </c>
      <c r="K49" s="40">
        <f t="shared" ref="K49:W49" si="40">J36+J42</f>
        <v>1798</v>
      </c>
      <c r="L49" s="40">
        <f>K36+K42</f>
        <v>1890</v>
      </c>
      <c r="M49" s="40">
        <f>L36+L42</f>
        <v>2060</v>
      </c>
      <c r="N49" s="40">
        <f t="shared" si="40"/>
        <v>0</v>
      </c>
      <c r="O49" s="40">
        <f t="shared" si="40"/>
        <v>0</v>
      </c>
      <c r="P49" s="40">
        <f t="shared" si="40"/>
        <v>0</v>
      </c>
      <c r="Q49" s="40">
        <f t="shared" si="40"/>
        <v>0</v>
      </c>
      <c r="R49" s="40">
        <f t="shared" si="40"/>
        <v>0</v>
      </c>
      <c r="S49" s="40">
        <f t="shared" si="40"/>
        <v>0</v>
      </c>
      <c r="T49" s="40">
        <f t="shared" si="40"/>
        <v>0</v>
      </c>
      <c r="U49" s="40">
        <f t="shared" si="40"/>
        <v>0</v>
      </c>
      <c r="V49" s="40">
        <f t="shared" si="40"/>
        <v>0</v>
      </c>
      <c r="W49" s="40">
        <f t="shared" si="40"/>
        <v>0</v>
      </c>
    </row>
    <row r="50" spans="1:23" s="779" customFormat="1" x14ac:dyDescent="0.2">
      <c r="A50" s="779" t="s">
        <v>4744</v>
      </c>
      <c r="B50" s="25"/>
      <c r="C50" s="25">
        <v>944</v>
      </c>
      <c r="D50" s="25">
        <v>1063</v>
      </c>
      <c r="E50" s="25">
        <v>1087</v>
      </c>
      <c r="F50" s="25">
        <v>1213</v>
      </c>
      <c r="G50" s="25">
        <v>1066</v>
      </c>
      <c r="H50" s="25">
        <v>1217</v>
      </c>
      <c r="I50" s="25">
        <v>1296</v>
      </c>
      <c r="J50" s="25">
        <v>1273</v>
      </c>
      <c r="K50" s="25">
        <v>1444</v>
      </c>
      <c r="L50" s="25">
        <v>1540</v>
      </c>
      <c r="M50" s="25"/>
      <c r="N50" s="25"/>
      <c r="O50" s="25"/>
      <c r="P50" s="25"/>
      <c r="Q50" s="25"/>
      <c r="R50" s="25"/>
      <c r="S50" s="25"/>
      <c r="T50" s="25"/>
      <c r="U50" s="25"/>
      <c r="V50" s="25"/>
      <c r="W50" s="25"/>
    </row>
    <row r="51" spans="1:23" x14ac:dyDescent="0.2">
      <c r="A51" s="779" t="s">
        <v>4745</v>
      </c>
      <c r="B51" s="23"/>
      <c r="C51" s="23">
        <v>855</v>
      </c>
      <c r="D51" s="23">
        <v>930</v>
      </c>
      <c r="E51" s="23">
        <v>1026</v>
      </c>
      <c r="F51" s="23">
        <v>1032</v>
      </c>
      <c r="G51" s="23">
        <v>1073</v>
      </c>
      <c r="H51" s="23">
        <v>1049</v>
      </c>
      <c r="I51" s="23">
        <v>1255</v>
      </c>
      <c r="J51" s="23">
        <v>1434</v>
      </c>
      <c r="K51" s="23">
        <v>1352</v>
      </c>
      <c r="L51" s="23">
        <v>1370</v>
      </c>
      <c r="M51" s="23"/>
      <c r="N51" s="23"/>
      <c r="O51" s="23"/>
      <c r="P51" s="23"/>
      <c r="Q51" s="23"/>
      <c r="R51" s="23"/>
      <c r="S51" s="23"/>
      <c r="T51" s="23"/>
      <c r="U51" s="23"/>
      <c r="V51" s="23"/>
      <c r="W51" s="23"/>
    </row>
    <row r="52" spans="1:23" s="1" customFormat="1" x14ac:dyDescent="0.2">
      <c r="A52" s="1" t="s">
        <v>4746</v>
      </c>
      <c r="B52" s="40">
        <f t="shared" ref="B52:I52" si="41">B49+B50-B51</f>
        <v>0</v>
      </c>
      <c r="C52" s="40">
        <f t="shared" si="41"/>
        <v>1382</v>
      </c>
      <c r="D52" s="40">
        <f t="shared" si="41"/>
        <v>1515</v>
      </c>
      <c r="E52" s="40">
        <f t="shared" si="41"/>
        <v>1576</v>
      </c>
      <c r="F52" s="40">
        <f t="shared" si="41"/>
        <v>1757</v>
      </c>
      <c r="G52" s="40">
        <f t="shared" si="41"/>
        <v>1750</v>
      </c>
      <c r="H52" s="40">
        <f t="shared" si="41"/>
        <v>1918</v>
      </c>
      <c r="I52" s="40">
        <f t="shared" si="41"/>
        <v>1959</v>
      </c>
      <c r="J52" s="40">
        <f>J49+J50-J51</f>
        <v>1798</v>
      </c>
      <c r="K52" s="40">
        <f t="shared" ref="K52:U52" si="42">K49+K50-K51</f>
        <v>1890</v>
      </c>
      <c r="L52" s="40">
        <f t="shared" si="42"/>
        <v>2060</v>
      </c>
      <c r="M52" s="40">
        <f t="shared" si="42"/>
        <v>2060</v>
      </c>
      <c r="N52" s="40">
        <f t="shared" si="42"/>
        <v>0</v>
      </c>
      <c r="O52" s="40">
        <f t="shared" si="42"/>
        <v>0</v>
      </c>
      <c r="P52" s="40">
        <f t="shared" si="42"/>
        <v>0</v>
      </c>
      <c r="Q52" s="40">
        <f t="shared" si="42"/>
        <v>0</v>
      </c>
      <c r="R52" s="40">
        <f t="shared" si="42"/>
        <v>0</v>
      </c>
      <c r="S52" s="40">
        <f t="shared" si="42"/>
        <v>0</v>
      </c>
      <c r="T52" s="40">
        <f t="shared" si="42"/>
        <v>0</v>
      </c>
      <c r="U52" s="40">
        <f t="shared" si="42"/>
        <v>0</v>
      </c>
      <c r="V52" s="40">
        <f t="shared" ref="V52:W52" si="43">V49+V50-V51</f>
        <v>0</v>
      </c>
      <c r="W52" s="40">
        <f t="shared" si="43"/>
        <v>0</v>
      </c>
    </row>
    <row r="53" spans="1:23" s="1" customFormat="1" x14ac:dyDescent="0.2">
      <c r="A53" s="1" t="s">
        <v>6709</v>
      </c>
      <c r="B53" s="40"/>
      <c r="C53" s="40">
        <f>C52-C49</f>
        <v>89</v>
      </c>
      <c r="D53" s="40">
        <f t="shared" ref="D53:L53" si="44">D52-D49</f>
        <v>133</v>
      </c>
      <c r="E53" s="40">
        <f t="shared" si="44"/>
        <v>61</v>
      </c>
      <c r="F53" s="40">
        <f t="shared" si="44"/>
        <v>181</v>
      </c>
      <c r="G53" s="40">
        <f t="shared" si="44"/>
        <v>-7</v>
      </c>
      <c r="H53" s="40">
        <f t="shared" si="44"/>
        <v>168</v>
      </c>
      <c r="I53" s="40">
        <f t="shared" si="44"/>
        <v>41</v>
      </c>
      <c r="J53" s="40">
        <f t="shared" si="44"/>
        <v>-161</v>
      </c>
      <c r="K53" s="40">
        <f t="shared" si="44"/>
        <v>92</v>
      </c>
      <c r="L53" s="40">
        <f t="shared" si="44"/>
        <v>170</v>
      </c>
      <c r="M53" s="40"/>
      <c r="N53" s="40"/>
      <c r="O53" s="40"/>
      <c r="P53" s="40"/>
      <c r="Q53" s="40"/>
      <c r="R53" s="40"/>
      <c r="S53" s="40"/>
      <c r="T53" s="40"/>
      <c r="U53" s="40"/>
      <c r="V53" s="40"/>
      <c r="W53" s="40"/>
    </row>
    <row r="54" spans="1:23" x14ac:dyDescent="0.2">
      <c r="B54" s="23"/>
      <c r="C54" s="23"/>
      <c r="D54" s="23"/>
      <c r="E54" s="23"/>
      <c r="F54" s="23"/>
      <c r="G54" s="23"/>
      <c r="H54" s="23"/>
      <c r="I54" s="23"/>
      <c r="J54" s="23"/>
      <c r="K54" s="23"/>
      <c r="L54" s="23"/>
      <c r="M54" s="23"/>
      <c r="N54" s="23"/>
      <c r="O54" s="23"/>
      <c r="P54" s="23"/>
      <c r="Q54" s="23"/>
      <c r="R54" s="23"/>
      <c r="S54" s="23"/>
      <c r="T54" s="23"/>
      <c r="U54" s="23"/>
      <c r="V54" s="23"/>
      <c r="W54" s="23"/>
    </row>
    <row r="55" spans="1:23" s="1" customFormat="1" x14ac:dyDescent="0.2">
      <c r="A55" s="1" t="s">
        <v>757</v>
      </c>
      <c r="B55" s="40"/>
      <c r="C55" s="40"/>
      <c r="D55" s="40"/>
      <c r="E55" s="40"/>
      <c r="F55" s="40"/>
      <c r="G55" s="40"/>
      <c r="H55" s="40"/>
      <c r="I55" s="40"/>
      <c r="J55" s="40"/>
      <c r="K55" s="40"/>
      <c r="L55" s="40"/>
      <c r="M55" s="40"/>
      <c r="N55" s="40"/>
      <c r="O55" s="40"/>
      <c r="P55" s="40"/>
      <c r="Q55" s="40"/>
      <c r="R55" s="40"/>
      <c r="S55" s="40"/>
      <c r="T55" s="40"/>
      <c r="U55" s="40"/>
      <c r="V55" s="40"/>
      <c r="W55" s="40"/>
    </row>
    <row r="56" spans="1:23" s="1" customFormat="1" x14ac:dyDescent="0.2">
      <c r="A56" s="1" t="s">
        <v>4747</v>
      </c>
      <c r="B56" s="40">
        <v>0</v>
      </c>
      <c r="C56" s="40">
        <f t="shared" ref="C56:I56" si="45">B43+B37</f>
        <v>1943</v>
      </c>
      <c r="D56" s="40">
        <f t="shared" si="45"/>
        <v>2095</v>
      </c>
      <c r="E56" s="40">
        <f t="shared" si="45"/>
        <v>2221</v>
      </c>
      <c r="F56" s="40">
        <f t="shared" si="45"/>
        <v>2305</v>
      </c>
      <c r="G56" s="40">
        <f t="shared" si="45"/>
        <v>2439</v>
      </c>
      <c r="H56" s="40">
        <f t="shared" si="45"/>
        <v>2129</v>
      </c>
      <c r="I56" s="40">
        <f t="shared" si="45"/>
        <v>2272</v>
      </c>
      <c r="J56" s="40">
        <f>I43+I37</f>
        <v>2335</v>
      </c>
      <c r="K56" s="40">
        <f t="shared" ref="K56:W56" si="46">J43+J37</f>
        <v>2283</v>
      </c>
      <c r="L56" s="40">
        <f>K43+K37</f>
        <v>2104</v>
      </c>
      <c r="M56" s="40">
        <f>L43+L37</f>
        <v>2233</v>
      </c>
      <c r="N56" s="40">
        <f t="shared" si="46"/>
        <v>0</v>
      </c>
      <c r="O56" s="40">
        <f t="shared" si="46"/>
        <v>0</v>
      </c>
      <c r="P56" s="40">
        <f t="shared" si="46"/>
        <v>0</v>
      </c>
      <c r="Q56" s="40">
        <f t="shared" si="46"/>
        <v>0</v>
      </c>
      <c r="R56" s="40">
        <f t="shared" si="46"/>
        <v>0</v>
      </c>
      <c r="S56" s="40">
        <f t="shared" si="46"/>
        <v>0</v>
      </c>
      <c r="T56" s="40">
        <f t="shared" si="46"/>
        <v>0</v>
      </c>
      <c r="U56" s="40">
        <f t="shared" si="46"/>
        <v>0</v>
      </c>
      <c r="V56" s="40">
        <f t="shared" si="46"/>
        <v>0</v>
      </c>
      <c r="W56" s="40">
        <f t="shared" si="46"/>
        <v>0</v>
      </c>
    </row>
    <row r="57" spans="1:23" s="779" customFormat="1" x14ac:dyDescent="0.2">
      <c r="A57" s="779" t="s">
        <v>4744</v>
      </c>
      <c r="B57" s="25"/>
      <c r="C57" s="25">
        <v>533</v>
      </c>
      <c r="D57" s="25">
        <v>623</v>
      </c>
      <c r="E57" s="25">
        <v>569</v>
      </c>
      <c r="F57" s="25">
        <v>640</v>
      </c>
      <c r="G57" s="25">
        <v>558</v>
      </c>
      <c r="H57" s="25">
        <v>506</v>
      </c>
      <c r="I57" s="25">
        <v>652</v>
      </c>
      <c r="J57" s="25">
        <v>510</v>
      </c>
      <c r="K57" s="25">
        <v>649</v>
      </c>
      <c r="L57" s="25">
        <v>751</v>
      </c>
      <c r="M57" s="25"/>
      <c r="N57" s="25"/>
      <c r="O57" s="25"/>
      <c r="P57" s="25"/>
      <c r="Q57" s="25"/>
      <c r="R57" s="25"/>
      <c r="S57" s="25"/>
      <c r="T57" s="25"/>
      <c r="U57" s="25"/>
      <c r="V57" s="25"/>
      <c r="W57" s="25"/>
    </row>
    <row r="58" spans="1:23" x14ac:dyDescent="0.2">
      <c r="A58" s="779" t="s">
        <v>4745</v>
      </c>
      <c r="B58" s="23"/>
      <c r="C58" s="23">
        <v>381</v>
      </c>
      <c r="D58" s="23">
        <v>497</v>
      </c>
      <c r="E58" s="23">
        <v>485</v>
      </c>
      <c r="F58" s="23">
        <v>506</v>
      </c>
      <c r="G58" s="23">
        <v>868</v>
      </c>
      <c r="H58" s="23">
        <v>363</v>
      </c>
      <c r="I58" s="23">
        <v>589</v>
      </c>
      <c r="J58" s="23">
        <v>562</v>
      </c>
      <c r="K58" s="23">
        <v>828</v>
      </c>
      <c r="L58" s="23">
        <v>622</v>
      </c>
      <c r="M58" s="23"/>
      <c r="N58" s="23"/>
      <c r="O58" s="23"/>
      <c r="P58" s="23"/>
      <c r="Q58" s="23"/>
      <c r="R58" s="23"/>
      <c r="S58" s="23"/>
      <c r="T58" s="23"/>
      <c r="U58" s="23"/>
      <c r="V58" s="23"/>
      <c r="W58" s="23"/>
    </row>
    <row r="59" spans="1:23" x14ac:dyDescent="0.2">
      <c r="A59" s="1" t="s">
        <v>4746</v>
      </c>
      <c r="B59" s="40">
        <f t="shared" ref="B59:I59" si="47">B56+B57-B58</f>
        <v>0</v>
      </c>
      <c r="C59" s="40">
        <f t="shared" si="47"/>
        <v>2095</v>
      </c>
      <c r="D59" s="40">
        <f t="shared" si="47"/>
        <v>2221</v>
      </c>
      <c r="E59" s="40">
        <f t="shared" si="47"/>
        <v>2305</v>
      </c>
      <c r="F59" s="40">
        <f t="shared" si="47"/>
        <v>2439</v>
      </c>
      <c r="G59" s="40">
        <f t="shared" si="47"/>
        <v>2129</v>
      </c>
      <c r="H59" s="40">
        <f t="shared" si="47"/>
        <v>2272</v>
      </c>
      <c r="I59" s="40">
        <f t="shared" si="47"/>
        <v>2335</v>
      </c>
      <c r="J59" s="40">
        <f>J56+J57-J58</f>
        <v>2283</v>
      </c>
      <c r="K59" s="40">
        <f t="shared" ref="K59:U59" si="48">K56+K57-K58</f>
        <v>2104</v>
      </c>
      <c r="L59" s="40">
        <f t="shared" si="48"/>
        <v>2233</v>
      </c>
      <c r="M59" s="40">
        <f t="shared" si="48"/>
        <v>2233</v>
      </c>
      <c r="N59" s="40">
        <f t="shared" si="48"/>
        <v>0</v>
      </c>
      <c r="O59" s="40">
        <f t="shared" si="48"/>
        <v>0</v>
      </c>
      <c r="P59" s="40">
        <f t="shared" si="48"/>
        <v>0</v>
      </c>
      <c r="Q59" s="40">
        <f t="shared" si="48"/>
        <v>0</v>
      </c>
      <c r="R59" s="40">
        <f t="shared" si="48"/>
        <v>0</v>
      </c>
      <c r="S59" s="40">
        <f t="shared" si="48"/>
        <v>0</v>
      </c>
      <c r="T59" s="40">
        <f t="shared" si="48"/>
        <v>0</v>
      </c>
      <c r="U59" s="40">
        <f t="shared" si="48"/>
        <v>0</v>
      </c>
      <c r="V59" s="40">
        <f t="shared" ref="V59:W59" si="49">V56+V57-V58</f>
        <v>0</v>
      </c>
      <c r="W59" s="40">
        <f t="shared" si="49"/>
        <v>0</v>
      </c>
    </row>
    <row r="60" spans="1:23" s="1" customFormat="1" x14ac:dyDescent="0.2">
      <c r="A60" s="1" t="s">
        <v>6709</v>
      </c>
      <c r="B60" s="40"/>
      <c r="C60" s="40">
        <f>C59-C56</f>
        <v>152</v>
      </c>
      <c r="D60" s="40">
        <f t="shared" ref="D60" si="50">D59-D56</f>
        <v>126</v>
      </c>
      <c r="E60" s="40">
        <f t="shared" ref="E60" si="51">E59-E56</f>
        <v>84</v>
      </c>
      <c r="F60" s="40">
        <f t="shared" ref="F60" si="52">F59-F56</f>
        <v>134</v>
      </c>
      <c r="G60" s="40">
        <f t="shared" ref="G60" si="53">G59-G56</f>
        <v>-310</v>
      </c>
      <c r="H60" s="40">
        <f t="shared" ref="H60" si="54">H59-H56</f>
        <v>143</v>
      </c>
      <c r="I60" s="40">
        <f t="shared" ref="I60" si="55">I59-I56</f>
        <v>63</v>
      </c>
      <c r="J60" s="40">
        <f t="shared" ref="J60" si="56">J59-J56</f>
        <v>-52</v>
      </c>
      <c r="K60" s="40">
        <f t="shared" ref="K60" si="57">K59-K56</f>
        <v>-179</v>
      </c>
      <c r="L60" s="40">
        <f t="shared" ref="L60" si="58">L59-L56</f>
        <v>129</v>
      </c>
      <c r="M60" s="40"/>
      <c r="N60" s="40"/>
      <c r="O60" s="40"/>
      <c r="P60" s="40"/>
      <c r="Q60" s="40"/>
      <c r="R60" s="40"/>
      <c r="S60" s="40"/>
      <c r="T60" s="40"/>
      <c r="U60" s="40"/>
      <c r="V60" s="40"/>
      <c r="W60" s="40"/>
    </row>
    <row r="61" spans="1:23" x14ac:dyDescent="0.2">
      <c r="B61" s="23"/>
      <c r="C61" s="23"/>
      <c r="D61" s="23"/>
      <c r="E61" s="23"/>
      <c r="F61" s="23"/>
      <c r="G61" s="23"/>
      <c r="H61" s="23"/>
      <c r="I61" s="23"/>
      <c r="J61" s="23"/>
      <c r="K61" s="23"/>
      <c r="L61" s="23"/>
      <c r="M61" s="23"/>
      <c r="N61" s="23"/>
      <c r="O61" s="23"/>
      <c r="P61" s="23"/>
      <c r="Q61" s="23"/>
      <c r="R61" s="23"/>
      <c r="S61" s="23"/>
      <c r="T61" s="23"/>
      <c r="U61" s="23"/>
      <c r="V61" s="23"/>
      <c r="W61" s="23"/>
    </row>
    <row r="62" spans="1:23" s="1" customFormat="1" x14ac:dyDescent="0.2">
      <c r="A62" s="1" t="s">
        <v>756</v>
      </c>
      <c r="B62" s="40"/>
      <c r="C62" s="40"/>
      <c r="D62" s="40"/>
      <c r="E62" s="40"/>
      <c r="F62" s="40"/>
      <c r="G62" s="40"/>
      <c r="H62" s="40"/>
      <c r="I62" s="40"/>
      <c r="J62" s="40"/>
      <c r="K62" s="40"/>
      <c r="L62" s="40"/>
      <c r="M62" s="40"/>
      <c r="N62" s="40"/>
      <c r="O62" s="40"/>
      <c r="P62" s="40"/>
      <c r="Q62" s="40"/>
      <c r="R62" s="40"/>
      <c r="S62" s="40"/>
      <c r="T62" s="40"/>
      <c r="U62" s="40"/>
      <c r="V62" s="40"/>
      <c r="W62" s="40"/>
    </row>
    <row r="63" spans="1:23" s="1" customFormat="1" x14ac:dyDescent="0.2">
      <c r="A63" s="1" t="s">
        <v>4747</v>
      </c>
      <c r="B63" s="40">
        <v>0</v>
      </c>
      <c r="C63" s="40">
        <f t="shared" ref="C63:I63" si="59">B44+B38</f>
        <v>2750</v>
      </c>
      <c r="D63" s="40">
        <f t="shared" si="59"/>
        <v>3048</v>
      </c>
      <c r="E63" s="40">
        <f t="shared" si="59"/>
        <v>3320</v>
      </c>
      <c r="F63" s="40">
        <f t="shared" si="59"/>
        <v>3621</v>
      </c>
      <c r="G63" s="40">
        <f t="shared" si="59"/>
        <v>3794</v>
      </c>
      <c r="H63" s="40">
        <f t="shared" si="59"/>
        <v>3822</v>
      </c>
      <c r="I63" s="40">
        <f t="shared" si="59"/>
        <v>3631</v>
      </c>
      <c r="J63" s="40">
        <f>I44+I38</f>
        <v>3871</v>
      </c>
      <c r="K63" s="40">
        <f t="shared" ref="K63:W63" si="60">J44+J38</f>
        <v>3834</v>
      </c>
      <c r="L63" s="40">
        <f>K44+K38</f>
        <v>3876</v>
      </c>
      <c r="M63" s="40">
        <f>L44+L38</f>
        <v>4028</v>
      </c>
      <c r="N63" s="40">
        <f t="shared" si="60"/>
        <v>0</v>
      </c>
      <c r="O63" s="40">
        <f t="shared" si="60"/>
        <v>0</v>
      </c>
      <c r="P63" s="40">
        <f t="shared" si="60"/>
        <v>0</v>
      </c>
      <c r="Q63" s="40">
        <f t="shared" si="60"/>
        <v>0</v>
      </c>
      <c r="R63" s="40">
        <f t="shared" si="60"/>
        <v>0</v>
      </c>
      <c r="S63" s="40">
        <f t="shared" si="60"/>
        <v>0</v>
      </c>
      <c r="T63" s="40">
        <f t="shared" si="60"/>
        <v>0</v>
      </c>
      <c r="U63" s="40">
        <f t="shared" si="60"/>
        <v>0</v>
      </c>
      <c r="V63" s="40">
        <f t="shared" si="60"/>
        <v>0</v>
      </c>
      <c r="W63" s="40">
        <f t="shared" si="60"/>
        <v>0</v>
      </c>
    </row>
    <row r="64" spans="1:23" s="779" customFormat="1" x14ac:dyDescent="0.2">
      <c r="A64" s="779" t="s">
        <v>4744</v>
      </c>
      <c r="B64" s="25"/>
      <c r="C64" s="25">
        <v>555</v>
      </c>
      <c r="D64" s="25">
        <v>590</v>
      </c>
      <c r="E64" s="25">
        <v>501</v>
      </c>
      <c r="F64" s="25">
        <v>447</v>
      </c>
      <c r="G64" s="25">
        <v>500</v>
      </c>
      <c r="H64" s="25">
        <v>198</v>
      </c>
      <c r="I64" s="25">
        <v>827</v>
      </c>
      <c r="J64" s="25">
        <v>829</v>
      </c>
      <c r="K64" s="25">
        <v>788</v>
      </c>
      <c r="L64" s="25">
        <v>846</v>
      </c>
      <c r="M64" s="25"/>
      <c r="N64" s="25"/>
      <c r="O64" s="25"/>
      <c r="P64" s="25"/>
      <c r="Q64" s="25"/>
      <c r="R64" s="25"/>
      <c r="S64" s="25"/>
      <c r="T64" s="25"/>
      <c r="U64" s="25"/>
      <c r="V64" s="25"/>
      <c r="W64" s="25"/>
    </row>
    <row r="65" spans="1:23" x14ac:dyDescent="0.2">
      <c r="A65" s="779" t="s">
        <v>4745</v>
      </c>
      <c r="B65" s="23"/>
      <c r="C65" s="23">
        <v>257</v>
      </c>
      <c r="D65" s="23">
        <v>318</v>
      </c>
      <c r="E65" s="23">
        <v>200</v>
      </c>
      <c r="F65" s="23">
        <v>274</v>
      </c>
      <c r="G65" s="23">
        <v>472</v>
      </c>
      <c r="H65" s="23">
        <v>389</v>
      </c>
      <c r="I65" s="23">
        <v>587</v>
      </c>
      <c r="J65" s="23">
        <v>866</v>
      </c>
      <c r="K65" s="23">
        <v>746</v>
      </c>
      <c r="L65" s="23">
        <v>694</v>
      </c>
      <c r="M65" s="23"/>
      <c r="N65" s="23"/>
      <c r="O65" s="23"/>
      <c r="P65" s="23"/>
      <c r="Q65" s="23"/>
      <c r="R65" s="23"/>
      <c r="S65" s="23"/>
      <c r="T65" s="23"/>
      <c r="U65" s="23"/>
      <c r="V65" s="23"/>
      <c r="W65" s="23"/>
    </row>
    <row r="66" spans="1:23" x14ac:dyDescent="0.2">
      <c r="A66" s="1" t="s">
        <v>4746</v>
      </c>
      <c r="B66" s="40">
        <f t="shared" ref="B66:I66" si="61">B63+B64-B65</f>
        <v>0</v>
      </c>
      <c r="C66" s="40">
        <f t="shared" si="61"/>
        <v>3048</v>
      </c>
      <c r="D66" s="40">
        <f t="shared" si="61"/>
        <v>3320</v>
      </c>
      <c r="E66" s="40">
        <f t="shared" si="61"/>
        <v>3621</v>
      </c>
      <c r="F66" s="40">
        <f t="shared" si="61"/>
        <v>3794</v>
      </c>
      <c r="G66" s="40">
        <f t="shared" si="61"/>
        <v>3822</v>
      </c>
      <c r="H66" s="40">
        <f t="shared" si="61"/>
        <v>3631</v>
      </c>
      <c r="I66" s="40">
        <f t="shared" si="61"/>
        <v>3871</v>
      </c>
      <c r="J66" s="40">
        <f>J63+J64-J65</f>
        <v>3834</v>
      </c>
      <c r="K66" s="40">
        <f t="shared" ref="K66:U66" si="62">K63+K64-K65</f>
        <v>3876</v>
      </c>
      <c r="L66" s="40">
        <f t="shared" si="62"/>
        <v>4028</v>
      </c>
      <c r="M66" s="40">
        <f t="shared" si="62"/>
        <v>4028</v>
      </c>
      <c r="N66" s="40">
        <f t="shared" si="62"/>
        <v>0</v>
      </c>
      <c r="O66" s="40">
        <f t="shared" si="62"/>
        <v>0</v>
      </c>
      <c r="P66" s="40">
        <f t="shared" si="62"/>
        <v>0</v>
      </c>
      <c r="Q66" s="40">
        <f t="shared" si="62"/>
        <v>0</v>
      </c>
      <c r="R66" s="40">
        <f t="shared" si="62"/>
        <v>0</v>
      </c>
      <c r="S66" s="40">
        <f t="shared" si="62"/>
        <v>0</v>
      </c>
      <c r="T66" s="40">
        <f t="shared" si="62"/>
        <v>0</v>
      </c>
      <c r="U66" s="40">
        <f t="shared" si="62"/>
        <v>0</v>
      </c>
      <c r="V66" s="40">
        <f t="shared" ref="V66:W66" si="63">V63+V64-V65</f>
        <v>0</v>
      </c>
      <c r="W66" s="40">
        <f t="shared" si="63"/>
        <v>0</v>
      </c>
    </row>
    <row r="67" spans="1:23" s="1" customFormat="1" x14ac:dyDescent="0.2">
      <c r="A67" s="1" t="s">
        <v>6709</v>
      </c>
      <c r="B67" s="40"/>
      <c r="C67" s="40">
        <f>C66-C63</f>
        <v>298</v>
      </c>
      <c r="D67" s="40">
        <f t="shared" ref="D67" si="64">D66-D63</f>
        <v>272</v>
      </c>
      <c r="E67" s="40">
        <f t="shared" ref="E67" si="65">E66-E63</f>
        <v>301</v>
      </c>
      <c r="F67" s="40">
        <f t="shared" ref="F67" si="66">F66-F63</f>
        <v>173</v>
      </c>
      <c r="G67" s="40">
        <f t="shared" ref="G67" si="67">G66-G63</f>
        <v>28</v>
      </c>
      <c r="H67" s="40">
        <f t="shared" ref="H67" si="68">H66-H63</f>
        <v>-191</v>
      </c>
      <c r="I67" s="40">
        <f t="shared" ref="I67" si="69">I66-I63</f>
        <v>240</v>
      </c>
      <c r="J67" s="40">
        <f t="shared" ref="J67" si="70">J66-J63</f>
        <v>-37</v>
      </c>
      <c r="K67" s="40">
        <f t="shared" ref="K67" si="71">K66-K63</f>
        <v>42</v>
      </c>
      <c r="L67" s="40">
        <f t="shared" ref="L67" si="72">L66-L63</f>
        <v>152</v>
      </c>
      <c r="M67" s="40"/>
      <c r="N67" s="40"/>
      <c r="O67" s="40"/>
      <c r="P67" s="40"/>
      <c r="Q67" s="40"/>
      <c r="R67" s="40"/>
      <c r="S67" s="40"/>
      <c r="T67" s="40"/>
      <c r="U67" s="40"/>
      <c r="V67" s="40"/>
      <c r="W67" s="40"/>
    </row>
    <row r="68" spans="1:23" x14ac:dyDescent="0.2">
      <c r="B68" s="207"/>
      <c r="C68" s="23"/>
      <c r="D68" s="23"/>
      <c r="E68" s="23"/>
      <c r="F68" s="23"/>
      <c r="G68" s="23"/>
      <c r="H68" s="23"/>
      <c r="I68" s="23"/>
      <c r="J68" s="23"/>
      <c r="K68" s="23"/>
      <c r="L68" s="23"/>
      <c r="M68" s="23"/>
      <c r="N68" s="23"/>
      <c r="O68" s="23"/>
      <c r="P68" s="23"/>
      <c r="Q68" s="23"/>
      <c r="R68" s="23"/>
      <c r="S68" s="23"/>
      <c r="T68" s="23"/>
      <c r="U68" s="23"/>
      <c r="V68" s="23"/>
      <c r="W68" s="23"/>
    </row>
    <row r="69" spans="1:23" x14ac:dyDescent="0.2">
      <c r="A69" s="779" t="s">
        <v>408</v>
      </c>
      <c r="B69" s="23"/>
      <c r="C69" s="23">
        <f t="shared" ref="C69:J69" si="73">C63-B66+C56-B59+C49-B52</f>
        <v>5986</v>
      </c>
      <c r="D69" s="23">
        <f t="shared" si="73"/>
        <v>0</v>
      </c>
      <c r="E69" s="23">
        <f t="shared" si="73"/>
        <v>0</v>
      </c>
      <c r="F69" s="23">
        <f t="shared" si="73"/>
        <v>0</v>
      </c>
      <c r="G69" s="23">
        <f t="shared" si="73"/>
        <v>0</v>
      </c>
      <c r="H69" s="23">
        <f t="shared" si="73"/>
        <v>0</v>
      </c>
      <c r="I69" s="23">
        <f t="shared" si="73"/>
        <v>0</v>
      </c>
      <c r="J69" s="23">
        <f t="shared" si="73"/>
        <v>0</v>
      </c>
      <c r="K69" s="23">
        <f>K63-J66+K56-J59+K49-J52</f>
        <v>0</v>
      </c>
      <c r="L69" s="23">
        <f>L63-K66+L56-K59+L49-K52</f>
        <v>0</v>
      </c>
      <c r="M69" s="23">
        <f>M63-L66+M56-L59+M49-L52</f>
        <v>0</v>
      </c>
      <c r="N69" s="23">
        <f t="shared" ref="N69:W69" si="74">N63-M66+N56-M59+N49-M52</f>
        <v>-8321</v>
      </c>
      <c r="O69" s="23">
        <f t="shared" si="74"/>
        <v>0</v>
      </c>
      <c r="P69" s="23">
        <f t="shared" si="74"/>
        <v>0</v>
      </c>
      <c r="Q69" s="23">
        <f t="shared" si="74"/>
        <v>0</v>
      </c>
      <c r="R69" s="23">
        <f t="shared" si="74"/>
        <v>0</v>
      </c>
      <c r="S69" s="23">
        <f t="shared" si="74"/>
        <v>0</v>
      </c>
      <c r="T69" s="23">
        <f t="shared" si="74"/>
        <v>0</v>
      </c>
      <c r="U69" s="23">
        <f t="shared" si="74"/>
        <v>0</v>
      </c>
      <c r="V69" s="23">
        <f t="shared" si="74"/>
        <v>0</v>
      </c>
      <c r="W69" s="23">
        <f t="shared" si="74"/>
        <v>0</v>
      </c>
    </row>
    <row r="70" spans="1:23" x14ac:dyDescent="0.2">
      <c r="B70" s="207"/>
      <c r="C70" s="23"/>
      <c r="D70" s="23"/>
      <c r="E70" s="23"/>
      <c r="F70" s="23"/>
      <c r="G70" s="23"/>
      <c r="H70" s="23"/>
      <c r="I70" s="23"/>
      <c r="J70" s="23"/>
      <c r="K70" s="23"/>
      <c r="L70" s="23"/>
      <c r="M70" s="23"/>
      <c r="N70" s="23"/>
      <c r="O70" s="23"/>
      <c r="P70" s="23"/>
      <c r="Q70" s="23"/>
      <c r="R70" s="23"/>
      <c r="S70" s="23"/>
      <c r="T70" s="23"/>
      <c r="U70" s="23"/>
      <c r="V70" s="23"/>
      <c r="W70" s="23"/>
    </row>
    <row r="71" spans="1:23" s="1" customFormat="1" x14ac:dyDescent="0.2">
      <c r="A71" s="1" t="s">
        <v>6077</v>
      </c>
      <c r="B71" s="2224"/>
      <c r="C71" s="40">
        <f t="shared" ref="C71:J71" si="75">C65+C58+C51</f>
        <v>1493</v>
      </c>
      <c r="D71" s="40">
        <f t="shared" si="75"/>
        <v>1745</v>
      </c>
      <c r="E71" s="40">
        <f t="shared" si="75"/>
        <v>1711</v>
      </c>
      <c r="F71" s="40">
        <f t="shared" si="75"/>
        <v>1812</v>
      </c>
      <c r="G71" s="40">
        <f t="shared" si="75"/>
        <v>2413</v>
      </c>
      <c r="H71" s="40">
        <f t="shared" si="75"/>
        <v>1801</v>
      </c>
      <c r="I71" s="40">
        <f t="shared" si="75"/>
        <v>2431</v>
      </c>
      <c r="J71" s="40">
        <f t="shared" si="75"/>
        <v>2862</v>
      </c>
      <c r="K71" s="40">
        <f>K65+K58+K51</f>
        <v>2926</v>
      </c>
      <c r="L71" s="40">
        <f>L65+L58+L51</f>
        <v>2686</v>
      </c>
      <c r="M71" s="40"/>
      <c r="N71" s="40"/>
      <c r="O71" s="40"/>
      <c r="P71" s="40"/>
      <c r="Q71" s="40"/>
      <c r="R71" s="40"/>
      <c r="S71" s="40"/>
      <c r="T71" s="40"/>
      <c r="U71" s="40"/>
      <c r="V71" s="40"/>
      <c r="W71" s="40"/>
    </row>
    <row r="72" spans="1:23" x14ac:dyDescent="0.2">
      <c r="A72" s="779" t="s">
        <v>6079</v>
      </c>
      <c r="B72" s="207"/>
      <c r="C72" s="23"/>
      <c r="D72" s="23"/>
      <c r="E72" s="23"/>
      <c r="F72" s="23"/>
      <c r="G72" s="23"/>
      <c r="H72" s="23">
        <f t="shared" ref="H72:J72" si="76">H71*(H10/H5)</f>
        <v>1440.8000000000002</v>
      </c>
      <c r="I72" s="23">
        <f t="shared" si="76"/>
        <v>1944.8000000000002</v>
      </c>
      <c r="J72" s="23">
        <f t="shared" si="76"/>
        <v>2144.7794023641618</v>
      </c>
      <c r="K72" s="23">
        <f>K71*(K10/K5)</f>
        <v>2212.6522796560821</v>
      </c>
      <c r="L72" s="23">
        <f>L71*(L10/L5)</f>
        <v>1998.4632549562011</v>
      </c>
      <c r="M72" s="23"/>
      <c r="N72" s="23"/>
      <c r="O72" s="23"/>
      <c r="P72" s="23"/>
      <c r="Q72" s="23"/>
      <c r="R72" s="23"/>
      <c r="S72" s="23"/>
      <c r="T72" s="23"/>
      <c r="U72" s="23"/>
      <c r="V72" s="23"/>
      <c r="W72" s="23"/>
    </row>
    <row r="73" spans="1:23" ht="13.5" customHeight="1" x14ac:dyDescent="0.2">
      <c r="B73" s="352"/>
      <c r="H73" s="23"/>
      <c r="I73" s="23"/>
      <c r="J73" s="23"/>
      <c r="K73" s="23"/>
      <c r="L73" s="25"/>
    </row>
    <row r="74" spans="1:23" x14ac:dyDescent="0.2">
      <c r="A74" s="1" t="s">
        <v>4752</v>
      </c>
      <c r="B74" s="352"/>
    </row>
    <row r="75" spans="1:23" x14ac:dyDescent="0.2">
      <c r="A75" s="779" t="s">
        <v>3600</v>
      </c>
      <c r="B75" s="2">
        <v>113</v>
      </c>
      <c r="C75" s="2">
        <v>110</v>
      </c>
      <c r="D75" s="2">
        <v>124</v>
      </c>
      <c r="E75" s="2">
        <v>138</v>
      </c>
      <c r="F75" s="2">
        <v>101</v>
      </c>
      <c r="G75" s="2">
        <v>148</v>
      </c>
      <c r="H75" s="2">
        <v>151</v>
      </c>
      <c r="I75" s="2">
        <v>162</v>
      </c>
      <c r="J75" s="779">
        <v>170</v>
      </c>
    </row>
    <row r="76" spans="1:23" x14ac:dyDescent="0.2">
      <c r="A76" s="779" t="s">
        <v>1764</v>
      </c>
      <c r="B76" s="2">
        <v>208</v>
      </c>
      <c r="C76" s="2">
        <v>212</v>
      </c>
      <c r="D76" s="2">
        <v>281</v>
      </c>
      <c r="E76" s="2">
        <v>251</v>
      </c>
      <c r="F76" s="2">
        <v>260</v>
      </c>
      <c r="G76" s="2">
        <v>202</v>
      </c>
      <c r="H76" s="2">
        <v>134</v>
      </c>
      <c r="I76" s="2">
        <v>146</v>
      </c>
      <c r="J76" s="779">
        <v>124</v>
      </c>
    </row>
    <row r="77" spans="1:23" x14ac:dyDescent="0.2">
      <c r="A77" s="779" t="s">
        <v>3354</v>
      </c>
      <c r="B77" s="2">
        <v>421</v>
      </c>
      <c r="C77" s="2">
        <v>421</v>
      </c>
      <c r="D77" s="2">
        <v>402</v>
      </c>
      <c r="E77" s="2">
        <v>415</v>
      </c>
      <c r="F77" s="2">
        <v>411</v>
      </c>
      <c r="G77" s="2">
        <v>538</v>
      </c>
      <c r="H77" s="2">
        <v>448</v>
      </c>
      <c r="I77" s="2">
        <v>461</v>
      </c>
      <c r="J77" s="779">
        <v>452</v>
      </c>
    </row>
    <row r="78" spans="1:23" s="1" customFormat="1" x14ac:dyDescent="0.2">
      <c r="A78" s="1" t="s">
        <v>1530</v>
      </c>
      <c r="B78" s="1">
        <f>SUM(B75:B77)</f>
        <v>742</v>
      </c>
      <c r="C78" s="1">
        <f t="shared" ref="C78:J78" si="77">SUM(C75:C77)</f>
        <v>743</v>
      </c>
      <c r="D78" s="1">
        <f t="shared" si="77"/>
        <v>807</v>
      </c>
      <c r="E78" s="1">
        <f t="shared" si="77"/>
        <v>804</v>
      </c>
      <c r="F78" s="1">
        <f t="shared" si="77"/>
        <v>772</v>
      </c>
      <c r="G78" s="1">
        <f t="shared" si="77"/>
        <v>888</v>
      </c>
      <c r="H78" s="1">
        <f t="shared" si="77"/>
        <v>733</v>
      </c>
      <c r="I78" s="1">
        <f t="shared" si="77"/>
        <v>769</v>
      </c>
      <c r="J78" s="1">
        <f t="shared" si="77"/>
        <v>746</v>
      </c>
    </row>
    <row r="79" spans="1:23" x14ac:dyDescent="0.2">
      <c r="B79" s="352"/>
    </row>
    <row r="80" spans="1:23" x14ac:dyDescent="0.2">
      <c r="B80" s="352"/>
    </row>
    <row r="81" spans="1:13" x14ac:dyDescent="0.2">
      <c r="A81" s="1" t="s">
        <v>4771</v>
      </c>
      <c r="B81" s="779"/>
      <c r="C81" s="1575" t="s">
        <v>226</v>
      </c>
      <c r="H81" s="1575" t="s">
        <v>1104</v>
      </c>
      <c r="I81" s="1575" t="s">
        <v>1668</v>
      </c>
      <c r="J81" s="1575" t="s">
        <v>943</v>
      </c>
      <c r="K81" s="1575" t="str">
        <f>K3</f>
        <v>2014/15</v>
      </c>
      <c r="L81" s="1575" t="str">
        <f>L3</f>
        <v>2015/16</v>
      </c>
      <c r="M81" s="1575" t="str">
        <f>M3</f>
        <v>2016/17</v>
      </c>
    </row>
    <row r="82" spans="1:13" x14ac:dyDescent="0.2">
      <c r="A82" s="1"/>
      <c r="B82" s="779"/>
      <c r="H82" s="1575"/>
      <c r="I82" s="1575"/>
      <c r="J82" s="1575"/>
      <c r="K82" s="1575"/>
      <c r="L82" s="1575"/>
    </row>
    <row r="83" spans="1:13" x14ac:dyDescent="0.2">
      <c r="A83" s="1" t="s">
        <v>293</v>
      </c>
      <c r="K83" s="23"/>
      <c r="L83" s="23"/>
    </row>
    <row r="84" spans="1:13" x14ac:dyDescent="0.2">
      <c r="A84" s="2" t="s">
        <v>1465</v>
      </c>
      <c r="C84" s="23">
        <v>638000</v>
      </c>
      <c r="H84" s="23">
        <v>657000</v>
      </c>
      <c r="I84" s="23">
        <v>676800</v>
      </c>
      <c r="J84" s="23">
        <v>666000</v>
      </c>
      <c r="K84" s="23">
        <f>GM!C823</f>
        <v>700100</v>
      </c>
      <c r="L84" s="23">
        <f>GM!D823</f>
        <v>715200</v>
      </c>
      <c r="M84" s="23">
        <f>GM!G823</f>
        <v>810000</v>
      </c>
    </row>
    <row r="85" spans="1:13" x14ac:dyDescent="0.2">
      <c r="A85" s="2" t="s">
        <v>2341</v>
      </c>
      <c r="C85" s="23">
        <v>5500</v>
      </c>
      <c r="H85" s="23">
        <v>5500</v>
      </c>
      <c r="I85" s="23">
        <v>5700</v>
      </c>
      <c r="J85" s="23">
        <v>0</v>
      </c>
      <c r="K85" s="23">
        <f>GM!C824</f>
        <v>-10800</v>
      </c>
      <c r="L85" s="23">
        <f>GM!D824</f>
        <v>-11700</v>
      </c>
      <c r="M85" s="23">
        <f>GM!G824</f>
        <v>0</v>
      </c>
    </row>
    <row r="86" spans="1:13" x14ac:dyDescent="0.2">
      <c r="A86" s="2" t="s">
        <v>757</v>
      </c>
      <c r="C86" s="23">
        <v>350000</v>
      </c>
      <c r="H86" s="23">
        <v>360500</v>
      </c>
      <c r="I86" s="23">
        <v>371400</v>
      </c>
      <c r="J86" s="23">
        <v>218000</v>
      </c>
      <c r="K86" s="23">
        <f>GM!C825</f>
        <v>326400</v>
      </c>
      <c r="L86" s="23">
        <f>GM!D825</f>
        <v>309600</v>
      </c>
      <c r="M86" s="23">
        <f>GM!G825</f>
        <v>278000</v>
      </c>
    </row>
    <row r="87" spans="1:13" x14ac:dyDescent="0.2">
      <c r="A87" s="2" t="s">
        <v>756</v>
      </c>
      <c r="C87" s="23">
        <v>405000</v>
      </c>
      <c r="H87" s="23">
        <v>417000</v>
      </c>
      <c r="I87" s="23">
        <v>429600</v>
      </c>
      <c r="J87" s="23">
        <v>326000</v>
      </c>
      <c r="K87" s="23">
        <f>GM!C826</f>
        <v>477200</v>
      </c>
      <c r="L87" s="23">
        <f>GM!D826</f>
        <v>382600</v>
      </c>
      <c r="M87" s="23">
        <f>GM!G826</f>
        <v>438000</v>
      </c>
    </row>
    <row r="88" spans="1:13" x14ac:dyDescent="0.2">
      <c r="A88" s="779" t="s">
        <v>4775</v>
      </c>
      <c r="C88" s="23">
        <v>57000</v>
      </c>
      <c r="H88" s="23">
        <v>59000</v>
      </c>
      <c r="I88" s="23">
        <v>60800</v>
      </c>
      <c r="J88" s="23">
        <v>71000</v>
      </c>
      <c r="K88" s="23">
        <f>GM!C827</f>
        <v>20800</v>
      </c>
      <c r="L88" s="23">
        <f>GM!D827</f>
        <v>16200</v>
      </c>
      <c r="M88" s="23">
        <f>GM!G827</f>
        <v>30000</v>
      </c>
    </row>
    <row r="89" spans="1:13" x14ac:dyDescent="0.2">
      <c r="C89" s="23"/>
      <c r="H89" s="23"/>
      <c r="I89" s="23"/>
      <c r="J89" s="23"/>
      <c r="K89" s="23"/>
      <c r="L89" s="23"/>
      <c r="M89" s="23"/>
    </row>
    <row r="90" spans="1:13" x14ac:dyDescent="0.2">
      <c r="A90" s="1" t="s">
        <v>292</v>
      </c>
      <c r="C90" s="23"/>
      <c r="H90" s="23"/>
      <c r="I90" s="23"/>
      <c r="J90" s="23"/>
      <c r="K90" s="23"/>
      <c r="L90" s="23"/>
      <c r="M90" s="23"/>
    </row>
    <row r="91" spans="1:13" x14ac:dyDescent="0.2">
      <c r="A91" s="2" t="s">
        <v>1465</v>
      </c>
      <c r="C91" s="23">
        <v>500000</v>
      </c>
      <c r="H91" s="78">
        <v>515000</v>
      </c>
      <c r="I91" s="23">
        <v>530500</v>
      </c>
      <c r="J91" s="23">
        <v>343000</v>
      </c>
      <c r="K91" s="23">
        <f>GM!C839</f>
        <v>572200</v>
      </c>
      <c r="L91" s="23">
        <f>GM!D839</f>
        <v>639900</v>
      </c>
      <c r="M91" s="23">
        <f>GM!G839</f>
        <v>408000</v>
      </c>
    </row>
    <row r="92" spans="1:13" x14ac:dyDescent="0.2">
      <c r="A92" s="2" t="s">
        <v>2341</v>
      </c>
      <c r="C92" s="23">
        <v>201500</v>
      </c>
      <c r="H92" s="78">
        <v>207500</v>
      </c>
      <c r="I92" s="23">
        <v>213800</v>
      </c>
      <c r="J92" s="23">
        <v>224000</v>
      </c>
      <c r="K92" s="23">
        <f>GM!C840</f>
        <v>250900</v>
      </c>
      <c r="L92" s="23">
        <f>GM!D840</f>
        <v>268500</v>
      </c>
      <c r="M92" s="23">
        <f>GM!G840</f>
        <v>255000</v>
      </c>
    </row>
    <row r="93" spans="1:13" x14ac:dyDescent="0.2">
      <c r="A93" s="2" t="s">
        <v>757</v>
      </c>
      <c r="C93" s="23">
        <v>324500</v>
      </c>
      <c r="H93" s="78">
        <v>334500</v>
      </c>
      <c r="I93" s="23">
        <v>344600</v>
      </c>
      <c r="J93" s="23">
        <v>273000</v>
      </c>
      <c r="K93" s="23">
        <f>GM!C841</f>
        <v>242400</v>
      </c>
      <c r="L93" s="23">
        <f>GM!D841</f>
        <v>361700</v>
      </c>
      <c r="M93" s="23">
        <f>GM!G841</f>
        <v>290000</v>
      </c>
    </row>
    <row r="94" spans="1:13" x14ac:dyDescent="0.2">
      <c r="A94" s="779" t="s">
        <v>4773</v>
      </c>
      <c r="C94" s="23">
        <v>250000</v>
      </c>
      <c r="H94" s="78">
        <v>257500</v>
      </c>
      <c r="I94" s="23">
        <v>265300</v>
      </c>
      <c r="J94" s="23">
        <v>292000</v>
      </c>
      <c r="K94" s="23">
        <f>GM!C842</f>
        <v>238700</v>
      </c>
      <c r="L94" s="23">
        <f>GM!D842</f>
        <v>379400</v>
      </c>
      <c r="M94" s="23">
        <f>GM!G842</f>
        <v>302000</v>
      </c>
    </row>
    <row r="95" spans="1:13" x14ac:dyDescent="0.2">
      <c r="C95" s="23"/>
      <c r="H95" s="23"/>
      <c r="I95" s="23"/>
      <c r="J95" s="23"/>
      <c r="K95" s="23"/>
      <c r="L95" s="23"/>
      <c r="M95" s="23"/>
    </row>
    <row r="96" spans="1:13" x14ac:dyDescent="0.2">
      <c r="A96" s="779" t="s">
        <v>4774</v>
      </c>
      <c r="C96" s="23">
        <v>-721000</v>
      </c>
      <c r="H96" s="23">
        <v>-742500</v>
      </c>
      <c r="I96" s="23">
        <v>-764800</v>
      </c>
      <c r="J96" s="23">
        <v>-200000</v>
      </c>
      <c r="K96" s="23">
        <v>-200000</v>
      </c>
      <c r="L96" s="23">
        <f>-'Cash-Gen'!C76</f>
        <v>-2036000</v>
      </c>
      <c r="M96" s="23">
        <f>-'Cash-Gen'!E76</f>
        <v>-200000</v>
      </c>
    </row>
    <row r="97" spans="1:13" x14ac:dyDescent="0.2">
      <c r="K97" s="23"/>
      <c r="L97" s="23"/>
      <c r="M97" s="23"/>
    </row>
    <row r="98" spans="1:13" s="1" customFormat="1" x14ac:dyDescent="0.2">
      <c r="A98" s="1" t="s">
        <v>6078</v>
      </c>
      <c r="B98" s="1823"/>
      <c r="C98" s="40">
        <f t="shared" ref="C98" si="78">SUM(C83:C97)</f>
        <v>2010500</v>
      </c>
      <c r="H98" s="40">
        <f t="shared" ref="H98:M98" si="79">SUM(H83:H97)</f>
        <v>2071000</v>
      </c>
      <c r="I98" s="40">
        <f t="shared" si="79"/>
        <v>2133700</v>
      </c>
      <c r="J98" s="40">
        <f t="shared" si="79"/>
        <v>2213000</v>
      </c>
      <c r="K98" s="40">
        <f t="shared" si="79"/>
        <v>2617900</v>
      </c>
      <c r="L98" s="40">
        <f t="shared" si="79"/>
        <v>1025400</v>
      </c>
      <c r="M98" s="40">
        <f t="shared" si="79"/>
        <v>2611000</v>
      </c>
    </row>
    <row r="99" spans="1:13" s="1" customFormat="1" x14ac:dyDescent="0.2">
      <c r="B99" s="1823"/>
      <c r="C99" s="40"/>
      <c r="H99" s="40"/>
      <c r="I99" s="40"/>
      <c r="J99" s="40"/>
      <c r="K99" s="40"/>
      <c r="L99" s="40"/>
      <c r="M99" s="40"/>
    </row>
    <row r="100" spans="1:13" s="1" customFormat="1" x14ac:dyDescent="0.2">
      <c r="A100" s="1" t="s">
        <v>4776</v>
      </c>
      <c r="B100" s="1823"/>
      <c r="C100" s="40"/>
      <c r="H100" s="1825">
        <f>(H98-C98)/C98</f>
        <v>3.0092016911216116E-2</v>
      </c>
      <c r="I100" s="1825">
        <f>(I98-H98)/H98</f>
        <v>3.0275229357798167E-2</v>
      </c>
      <c r="J100" s="1825">
        <f>(J98-I98)/I98</f>
        <v>3.7165487181890611E-2</v>
      </c>
      <c r="K100" s="1825">
        <f t="shared" ref="K100:L100" si="80">(K98-J98)/J98</f>
        <v>0.18296430185268867</v>
      </c>
      <c r="L100" s="1825">
        <f t="shared" si="80"/>
        <v>-0.6083120058061805</v>
      </c>
      <c r="M100" s="1835">
        <f>(M98-L98)/L98</f>
        <v>1.5463233859957091</v>
      </c>
    </row>
    <row r="101" spans="1:13" x14ac:dyDescent="0.2">
      <c r="C101" s="78"/>
      <c r="K101" s="23"/>
      <c r="L101" s="23"/>
      <c r="M101" s="23"/>
    </row>
    <row r="102" spans="1:13" x14ac:dyDescent="0.2">
      <c r="A102" s="2" t="s">
        <v>205</v>
      </c>
      <c r="C102" s="78">
        <v>-2267000</v>
      </c>
      <c r="H102" s="78">
        <v>-2480000</v>
      </c>
      <c r="I102" s="23">
        <v>-2635000</v>
      </c>
      <c r="J102" s="23">
        <v>-2785000</v>
      </c>
      <c r="K102" s="23">
        <f>GM!C849</f>
        <v>-2623800</v>
      </c>
      <c r="L102" s="23">
        <f>GM!D849</f>
        <v>-2771900</v>
      </c>
      <c r="M102" s="23">
        <f>GM!G849</f>
        <v>-2975000</v>
      </c>
    </row>
    <row r="103" spans="1:13" x14ac:dyDescent="0.2">
      <c r="A103" s="2" t="s">
        <v>1666</v>
      </c>
      <c r="C103" s="78">
        <v>-2800000</v>
      </c>
      <c r="H103" s="78">
        <v>-2960000</v>
      </c>
      <c r="I103" s="23">
        <v>-3110000</v>
      </c>
      <c r="J103" s="23">
        <v>-3000000</v>
      </c>
      <c r="K103" s="23">
        <f>GM!C850</f>
        <v>-3105600</v>
      </c>
      <c r="L103" s="23">
        <f>GM!D850</f>
        <v>-3409100</v>
      </c>
      <c r="M103" s="23">
        <f>GM!G850</f>
        <v>-3485000</v>
      </c>
    </row>
    <row r="104" spans="1:13" s="1" customFormat="1" x14ac:dyDescent="0.2">
      <c r="A104" s="1" t="s">
        <v>4772</v>
      </c>
      <c r="C104" s="40">
        <f>SUM(C102:C103)</f>
        <v>-5067000</v>
      </c>
      <c r="H104" s="40">
        <f t="shared" ref="H104:J104" si="81">SUM(H102:H103)</f>
        <v>-5440000</v>
      </c>
      <c r="I104" s="40">
        <f t="shared" si="81"/>
        <v>-5745000</v>
      </c>
      <c r="J104" s="40">
        <f t="shared" si="81"/>
        <v>-5785000</v>
      </c>
      <c r="K104" s="40">
        <f>SUM(K102:K103)</f>
        <v>-5729400</v>
      </c>
      <c r="L104" s="40">
        <f>SUM(L102:L103)</f>
        <v>-6181000</v>
      </c>
      <c r="M104" s="40">
        <f>SUM(M102:M103)</f>
        <v>-6460000</v>
      </c>
    </row>
    <row r="105" spans="1:13" x14ac:dyDescent="0.2">
      <c r="B105" s="352"/>
    </row>
    <row r="106" spans="1:13" s="1" customFormat="1" x14ac:dyDescent="0.2">
      <c r="A106" s="1" t="s">
        <v>4776</v>
      </c>
      <c r="B106" s="1823"/>
      <c r="C106" s="40"/>
      <c r="H106" s="1824">
        <f>(H104-C104)/C104</f>
        <v>7.3613578054075396E-2</v>
      </c>
      <c r="I106" s="1824">
        <f>(I104-H104)/H104</f>
        <v>5.6066176470588237E-2</v>
      </c>
      <c r="J106" s="1824">
        <f>(J104-I104)/I104</f>
        <v>6.9625761531766752E-3</v>
      </c>
      <c r="K106" s="1824" t="e">
        <f>(K104-#REF!)/#REF!</f>
        <v>#REF!</v>
      </c>
      <c r="L106" s="1824" t="e">
        <f>(L104-#REF!)/#REF!</f>
        <v>#REF!</v>
      </c>
      <c r="M106" s="1824">
        <f>(M104-K104)/K104</f>
        <v>0.12751771564212658</v>
      </c>
    </row>
    <row r="107" spans="1:13" x14ac:dyDescent="0.2">
      <c r="B107" s="352"/>
    </row>
    <row r="108" spans="1:13" x14ac:dyDescent="0.2">
      <c r="B108" s="352"/>
    </row>
    <row r="109" spans="1:13" x14ac:dyDescent="0.2">
      <c r="B109" s="352"/>
    </row>
    <row r="110" spans="1:13" x14ac:dyDescent="0.2">
      <c r="B110" s="352"/>
    </row>
    <row r="111" spans="1:13" x14ac:dyDescent="0.2">
      <c r="B111" s="352"/>
    </row>
    <row r="112" spans="1:13" x14ac:dyDescent="0.2">
      <c r="B112" s="352"/>
    </row>
    <row r="113" spans="2:2" x14ac:dyDescent="0.2">
      <c r="B113" s="352"/>
    </row>
    <row r="114" spans="2:2" x14ac:dyDescent="0.2">
      <c r="B114" s="352"/>
    </row>
    <row r="115" spans="2:2" x14ac:dyDescent="0.2">
      <c r="B115" s="352"/>
    </row>
    <row r="116" spans="2:2" x14ac:dyDescent="0.2">
      <c r="B116" s="352"/>
    </row>
    <row r="117" spans="2:2" x14ac:dyDescent="0.2">
      <c r="B117" s="352"/>
    </row>
    <row r="118" spans="2:2" x14ac:dyDescent="0.2">
      <c r="B118" s="352"/>
    </row>
    <row r="119" spans="2:2" x14ac:dyDescent="0.2">
      <c r="B119" s="352"/>
    </row>
    <row r="120" spans="2:2" x14ac:dyDescent="0.2">
      <c r="B120" s="352"/>
    </row>
    <row r="121" spans="2:2" x14ac:dyDescent="0.2">
      <c r="B121" s="352"/>
    </row>
    <row r="122" spans="2:2" x14ac:dyDescent="0.2">
      <c r="B122" s="352"/>
    </row>
    <row r="123" spans="2:2" x14ac:dyDescent="0.2">
      <c r="B123" s="352"/>
    </row>
    <row r="124" spans="2:2" x14ac:dyDescent="0.2">
      <c r="B124" s="352"/>
    </row>
    <row r="125" spans="2:2" x14ac:dyDescent="0.2">
      <c r="B125" s="352"/>
    </row>
    <row r="126" spans="2:2" x14ac:dyDescent="0.2">
      <c r="B126" s="352"/>
    </row>
    <row r="127" spans="2:2" x14ac:dyDescent="0.2">
      <c r="B127" s="352"/>
    </row>
    <row r="128" spans="2:2" x14ac:dyDescent="0.2">
      <c r="B128" s="352"/>
    </row>
    <row r="129" spans="2:2" x14ac:dyDescent="0.2">
      <c r="B129" s="352"/>
    </row>
    <row r="130" spans="2:2" x14ac:dyDescent="0.2">
      <c r="B130" s="352"/>
    </row>
    <row r="131" spans="2:2" x14ac:dyDescent="0.2">
      <c r="B131" s="352"/>
    </row>
    <row r="132" spans="2:2" x14ac:dyDescent="0.2">
      <c r="B132" s="352"/>
    </row>
    <row r="133" spans="2:2" x14ac:dyDescent="0.2">
      <c r="B133" s="352"/>
    </row>
    <row r="134" spans="2:2" x14ac:dyDescent="0.2">
      <c r="B134" s="352"/>
    </row>
    <row r="135" spans="2:2" x14ac:dyDescent="0.2">
      <c r="B135" s="352"/>
    </row>
    <row r="136" spans="2:2" x14ac:dyDescent="0.2">
      <c r="B136" s="352"/>
    </row>
    <row r="137" spans="2:2" x14ac:dyDescent="0.2">
      <c r="B137" s="352"/>
    </row>
    <row r="138" spans="2:2" x14ac:dyDescent="0.2">
      <c r="B138" s="352"/>
    </row>
    <row r="139" spans="2:2" x14ac:dyDescent="0.2">
      <c r="B139" s="352"/>
    </row>
    <row r="140" spans="2:2" x14ac:dyDescent="0.2">
      <c r="B140" s="352"/>
    </row>
    <row r="141" spans="2:2" x14ac:dyDescent="0.2">
      <c r="B141" s="352"/>
    </row>
    <row r="142" spans="2:2" x14ac:dyDescent="0.2">
      <c r="B142" s="352"/>
    </row>
    <row r="143" spans="2:2" x14ac:dyDescent="0.2">
      <c r="B143" s="352"/>
    </row>
    <row r="144" spans="2:2" x14ac:dyDescent="0.2">
      <c r="B144" s="352"/>
    </row>
    <row r="145" spans="2:2" x14ac:dyDescent="0.2">
      <c r="B145" s="352"/>
    </row>
    <row r="146" spans="2:2" x14ac:dyDescent="0.2">
      <c r="B146" s="352"/>
    </row>
    <row r="147" spans="2:2" x14ac:dyDescent="0.2">
      <c r="B147" s="352"/>
    </row>
    <row r="148" spans="2:2" x14ac:dyDescent="0.2">
      <c r="B148" s="352"/>
    </row>
    <row r="149" spans="2:2" x14ac:dyDescent="0.2">
      <c r="B149" s="352"/>
    </row>
    <row r="150" spans="2:2" x14ac:dyDescent="0.2">
      <c r="B150" s="352"/>
    </row>
    <row r="151" spans="2:2" x14ac:dyDescent="0.2">
      <c r="B151" s="352"/>
    </row>
    <row r="152" spans="2:2" x14ac:dyDescent="0.2">
      <c r="B152" s="352"/>
    </row>
    <row r="153" spans="2:2" x14ac:dyDescent="0.2">
      <c r="B153" s="352"/>
    </row>
    <row r="154" spans="2:2" x14ac:dyDescent="0.2">
      <c r="B154" s="352"/>
    </row>
    <row r="155" spans="2:2" x14ac:dyDescent="0.2">
      <c r="B155" s="352"/>
    </row>
    <row r="156" spans="2:2" x14ac:dyDescent="0.2">
      <c r="B156" s="352"/>
    </row>
    <row r="157" spans="2:2" x14ac:dyDescent="0.2">
      <c r="B157" s="352"/>
    </row>
    <row r="158" spans="2:2" x14ac:dyDescent="0.2">
      <c r="B158" s="352"/>
    </row>
    <row r="159" spans="2:2" x14ac:dyDescent="0.2">
      <c r="B159" s="352"/>
    </row>
    <row r="160" spans="2:2" x14ac:dyDescent="0.2">
      <c r="B160" s="352"/>
    </row>
    <row r="161" spans="2:2" x14ac:dyDescent="0.2">
      <c r="B161" s="352"/>
    </row>
    <row r="162" spans="2:2" x14ac:dyDescent="0.2">
      <c r="B162" s="352"/>
    </row>
    <row r="163" spans="2:2" x14ac:dyDescent="0.2">
      <c r="B163" s="352"/>
    </row>
    <row r="164" spans="2:2" x14ac:dyDescent="0.2">
      <c r="B164" s="352"/>
    </row>
    <row r="165" spans="2:2" x14ac:dyDescent="0.2">
      <c r="B165" s="352"/>
    </row>
    <row r="166" spans="2:2" x14ac:dyDescent="0.2">
      <c r="B166" s="352"/>
    </row>
    <row r="167" spans="2:2" x14ac:dyDescent="0.2">
      <c r="B167" s="352"/>
    </row>
    <row r="168" spans="2:2" x14ac:dyDescent="0.2">
      <c r="B168" s="352"/>
    </row>
    <row r="169" spans="2:2" x14ac:dyDescent="0.2">
      <c r="B169" s="352"/>
    </row>
    <row r="170" spans="2:2" x14ac:dyDescent="0.2">
      <c r="B170" s="352"/>
    </row>
    <row r="171" spans="2:2" x14ac:dyDescent="0.2">
      <c r="B171" s="352"/>
    </row>
    <row r="172" spans="2:2" x14ac:dyDescent="0.2">
      <c r="B172" s="352"/>
    </row>
    <row r="173" spans="2:2" x14ac:dyDescent="0.2">
      <c r="B173" s="352"/>
    </row>
    <row r="174" spans="2:2" x14ac:dyDescent="0.2">
      <c r="B174" s="352"/>
    </row>
    <row r="175" spans="2:2" x14ac:dyDescent="0.2">
      <c r="B175" s="352"/>
    </row>
    <row r="176" spans="2:2" x14ac:dyDescent="0.2">
      <c r="B176" s="352"/>
    </row>
    <row r="177" spans="2:2" x14ac:dyDescent="0.2">
      <c r="B177" s="352"/>
    </row>
    <row r="178" spans="2:2" x14ac:dyDescent="0.2">
      <c r="B178" s="352"/>
    </row>
    <row r="179" spans="2:2" x14ac:dyDescent="0.2">
      <c r="B179" s="352"/>
    </row>
    <row r="180" spans="2:2" x14ac:dyDescent="0.2">
      <c r="B180" s="352"/>
    </row>
    <row r="181" spans="2:2" x14ac:dyDescent="0.2">
      <c r="B181" s="352"/>
    </row>
    <row r="182" spans="2:2" x14ac:dyDescent="0.2">
      <c r="B182" s="352"/>
    </row>
    <row r="183" spans="2:2" x14ac:dyDescent="0.2">
      <c r="B183" s="352"/>
    </row>
    <row r="184" spans="2:2" x14ac:dyDescent="0.2">
      <c r="B184" s="352"/>
    </row>
    <row r="185" spans="2:2" x14ac:dyDescent="0.2">
      <c r="B185" s="352"/>
    </row>
    <row r="186" spans="2:2" x14ac:dyDescent="0.2">
      <c r="B186" s="352"/>
    </row>
    <row r="187" spans="2:2" x14ac:dyDescent="0.2">
      <c r="B187" s="352"/>
    </row>
    <row r="188" spans="2:2" x14ac:dyDescent="0.2">
      <c r="B188" s="352"/>
    </row>
    <row r="189" spans="2:2" x14ac:dyDescent="0.2">
      <c r="B189" s="352"/>
    </row>
    <row r="190" spans="2:2" x14ac:dyDescent="0.2">
      <c r="B190" s="352"/>
    </row>
    <row r="191" spans="2:2" x14ac:dyDescent="0.2">
      <c r="B191" s="352"/>
    </row>
    <row r="192" spans="2:2" x14ac:dyDescent="0.2">
      <c r="B192" s="352"/>
    </row>
    <row r="193" spans="2:2" x14ac:dyDescent="0.2">
      <c r="B193" s="352"/>
    </row>
    <row r="194" spans="2:2" x14ac:dyDescent="0.2">
      <c r="B194" s="352"/>
    </row>
    <row r="195" spans="2:2" x14ac:dyDescent="0.2">
      <c r="B195" s="352"/>
    </row>
    <row r="196" spans="2:2" x14ac:dyDescent="0.2">
      <c r="B196" s="352"/>
    </row>
    <row r="197" spans="2:2" x14ac:dyDescent="0.2">
      <c r="B197" s="352"/>
    </row>
    <row r="198" spans="2:2" x14ac:dyDescent="0.2">
      <c r="B198" s="352"/>
    </row>
    <row r="199" spans="2:2" x14ac:dyDescent="0.2">
      <c r="B199" s="352"/>
    </row>
    <row r="200" spans="2:2" x14ac:dyDescent="0.2">
      <c r="B200" s="352"/>
    </row>
    <row r="201" spans="2:2" x14ac:dyDescent="0.2">
      <c r="B201" s="352"/>
    </row>
    <row r="202" spans="2:2" x14ac:dyDescent="0.2">
      <c r="B202" s="352"/>
    </row>
    <row r="203" spans="2:2" x14ac:dyDescent="0.2">
      <c r="B203" s="352"/>
    </row>
    <row r="204" spans="2:2" x14ac:dyDescent="0.2">
      <c r="B204" s="352"/>
    </row>
    <row r="205" spans="2:2" x14ac:dyDescent="0.2">
      <c r="B205" s="352"/>
    </row>
    <row r="206" spans="2:2" x14ac:dyDescent="0.2">
      <c r="B206" s="352"/>
    </row>
    <row r="207" spans="2:2" x14ac:dyDescent="0.2">
      <c r="B207" s="352"/>
    </row>
    <row r="208" spans="2:2" x14ac:dyDescent="0.2">
      <c r="B208" s="352"/>
    </row>
    <row r="209" spans="2:2" x14ac:dyDescent="0.2">
      <c r="B209" s="352"/>
    </row>
    <row r="210" spans="2:2" x14ac:dyDescent="0.2">
      <c r="B210" s="352"/>
    </row>
    <row r="211" spans="2:2" x14ac:dyDescent="0.2">
      <c r="B211" s="352"/>
    </row>
    <row r="212" spans="2:2" x14ac:dyDescent="0.2">
      <c r="B212" s="352"/>
    </row>
    <row r="213" spans="2:2" x14ac:dyDescent="0.2">
      <c r="B213" s="352"/>
    </row>
    <row r="214" spans="2:2" x14ac:dyDescent="0.2">
      <c r="B214" s="352"/>
    </row>
    <row r="215" spans="2:2" x14ac:dyDescent="0.2">
      <c r="B215" s="352"/>
    </row>
    <row r="216" spans="2:2" x14ac:dyDescent="0.2">
      <c r="B216" s="352"/>
    </row>
    <row r="217" spans="2:2" x14ac:dyDescent="0.2">
      <c r="B217" s="352"/>
    </row>
    <row r="218" spans="2:2" x14ac:dyDescent="0.2">
      <c r="B218" s="352"/>
    </row>
    <row r="219" spans="2:2" x14ac:dyDescent="0.2">
      <c r="B219" s="352"/>
    </row>
    <row r="220" spans="2:2" x14ac:dyDescent="0.2">
      <c r="B220" s="352"/>
    </row>
    <row r="221" spans="2:2" x14ac:dyDescent="0.2">
      <c r="B221" s="352"/>
    </row>
    <row r="222" spans="2:2" x14ac:dyDescent="0.2">
      <c r="B222" s="352"/>
    </row>
    <row r="223" spans="2:2" x14ac:dyDescent="0.2">
      <c r="B223" s="352"/>
    </row>
    <row r="224" spans="2:2" x14ac:dyDescent="0.2">
      <c r="B224" s="352"/>
    </row>
    <row r="225" spans="2:2" x14ac:dyDescent="0.2">
      <c r="B225" s="352"/>
    </row>
    <row r="226" spans="2:2" x14ac:dyDescent="0.2">
      <c r="B226" s="352"/>
    </row>
    <row r="227" spans="2:2" x14ac:dyDescent="0.2">
      <c r="B227" s="352"/>
    </row>
    <row r="228" spans="2:2" x14ac:dyDescent="0.2">
      <c r="B228" s="352"/>
    </row>
    <row r="229" spans="2:2" x14ac:dyDescent="0.2">
      <c r="B229" s="352"/>
    </row>
    <row r="230" spans="2:2" x14ac:dyDescent="0.2">
      <c r="B230" s="352"/>
    </row>
    <row r="231" spans="2:2" x14ac:dyDescent="0.2">
      <c r="B231" s="352"/>
    </row>
    <row r="232" spans="2:2" x14ac:dyDescent="0.2">
      <c r="B232" s="352"/>
    </row>
    <row r="233" spans="2:2" x14ac:dyDescent="0.2">
      <c r="B233" s="352"/>
    </row>
    <row r="234" spans="2:2" x14ac:dyDescent="0.2">
      <c r="B234" s="352"/>
    </row>
    <row r="235" spans="2:2" x14ac:dyDescent="0.2">
      <c r="B235" s="352"/>
    </row>
    <row r="236" spans="2:2" x14ac:dyDescent="0.2">
      <c r="B236" s="352"/>
    </row>
    <row r="237" spans="2:2" x14ac:dyDescent="0.2">
      <c r="B237" s="352"/>
    </row>
    <row r="238" spans="2:2" x14ac:dyDescent="0.2">
      <c r="B238" s="352"/>
    </row>
    <row r="239" spans="2:2" x14ac:dyDescent="0.2">
      <c r="B239" s="352"/>
    </row>
    <row r="240" spans="2:2" x14ac:dyDescent="0.2">
      <c r="B240" s="352"/>
    </row>
    <row r="241" spans="2:2" x14ac:dyDescent="0.2">
      <c r="B241" s="352"/>
    </row>
    <row r="242" spans="2:2" x14ac:dyDescent="0.2">
      <c r="B242" s="352"/>
    </row>
    <row r="243" spans="2:2" x14ac:dyDescent="0.2">
      <c r="B243" s="352"/>
    </row>
    <row r="244" spans="2:2" x14ac:dyDescent="0.2">
      <c r="B244" s="352"/>
    </row>
    <row r="245" spans="2:2" x14ac:dyDescent="0.2">
      <c r="B245" s="352"/>
    </row>
    <row r="246" spans="2:2" x14ac:dyDescent="0.2">
      <c r="B246" s="352"/>
    </row>
    <row r="247" spans="2:2" x14ac:dyDescent="0.2">
      <c r="B247" s="352"/>
    </row>
    <row r="248" spans="2:2" x14ac:dyDescent="0.2">
      <c r="B248" s="352"/>
    </row>
    <row r="249" spans="2:2" x14ac:dyDescent="0.2">
      <c r="B249" s="352"/>
    </row>
    <row r="250" spans="2:2" x14ac:dyDescent="0.2">
      <c r="B250" s="352"/>
    </row>
    <row r="251" spans="2:2" x14ac:dyDescent="0.2">
      <c r="B251" s="352"/>
    </row>
    <row r="252" spans="2:2" x14ac:dyDescent="0.2">
      <c r="B252" s="352"/>
    </row>
    <row r="253" spans="2:2" x14ac:dyDescent="0.2">
      <c r="B253" s="352"/>
    </row>
    <row r="254" spans="2:2" x14ac:dyDescent="0.2">
      <c r="B254" s="352"/>
    </row>
    <row r="255" spans="2:2" x14ac:dyDescent="0.2">
      <c r="B255" s="352"/>
    </row>
    <row r="256" spans="2:2" x14ac:dyDescent="0.2">
      <c r="B256" s="352"/>
    </row>
    <row r="257" spans="2:2" x14ac:dyDescent="0.2">
      <c r="B257" s="352"/>
    </row>
    <row r="258" spans="2:2" x14ac:dyDescent="0.2">
      <c r="B258" s="352"/>
    </row>
    <row r="259" spans="2:2" x14ac:dyDescent="0.2">
      <c r="B259" s="352"/>
    </row>
    <row r="260" spans="2:2" x14ac:dyDescent="0.2">
      <c r="B260" s="352"/>
    </row>
    <row r="261" spans="2:2" x14ac:dyDescent="0.2">
      <c r="B261" s="352"/>
    </row>
    <row r="262" spans="2:2" x14ac:dyDescent="0.2">
      <c r="B262" s="352"/>
    </row>
    <row r="263" spans="2:2" x14ac:dyDescent="0.2">
      <c r="B263" s="352"/>
    </row>
    <row r="264" spans="2:2" x14ac:dyDescent="0.2">
      <c r="B264" s="352"/>
    </row>
    <row r="265" spans="2:2" x14ac:dyDescent="0.2">
      <c r="B265" s="352"/>
    </row>
    <row r="266" spans="2:2" x14ac:dyDescent="0.2">
      <c r="B266" s="352"/>
    </row>
    <row r="267" spans="2:2" x14ac:dyDescent="0.2">
      <c r="B267" s="352"/>
    </row>
    <row r="268" spans="2:2" x14ac:dyDescent="0.2">
      <c r="B268" s="352"/>
    </row>
    <row r="269" spans="2:2" x14ac:dyDescent="0.2">
      <c r="B269" s="352"/>
    </row>
    <row r="270" spans="2:2" x14ac:dyDescent="0.2">
      <c r="B270" s="352"/>
    </row>
    <row r="271" spans="2:2" x14ac:dyDescent="0.2">
      <c r="B271" s="352"/>
    </row>
    <row r="272" spans="2:2" x14ac:dyDescent="0.2">
      <c r="B272" s="352"/>
    </row>
    <row r="273" spans="2:2" x14ac:dyDescent="0.2">
      <c r="B273" s="352"/>
    </row>
    <row r="274" spans="2:2" x14ac:dyDescent="0.2">
      <c r="B274" s="352"/>
    </row>
    <row r="275" spans="2:2" x14ac:dyDescent="0.2">
      <c r="B275" s="352"/>
    </row>
    <row r="276" spans="2:2" x14ac:dyDescent="0.2">
      <c r="B276" s="352"/>
    </row>
    <row r="277" spans="2:2" x14ac:dyDescent="0.2">
      <c r="B277" s="352"/>
    </row>
    <row r="278" spans="2:2" x14ac:dyDescent="0.2">
      <c r="B278" s="352"/>
    </row>
    <row r="279" spans="2:2" x14ac:dyDescent="0.2">
      <c r="B279" s="352"/>
    </row>
    <row r="280" spans="2:2" x14ac:dyDescent="0.2">
      <c r="B280" s="352"/>
    </row>
    <row r="281" spans="2:2" x14ac:dyDescent="0.2">
      <c r="B281" s="352"/>
    </row>
    <row r="282" spans="2:2" x14ac:dyDescent="0.2">
      <c r="B282" s="352"/>
    </row>
    <row r="283" spans="2:2" x14ac:dyDescent="0.2">
      <c r="B283" s="352"/>
    </row>
    <row r="284" spans="2:2" x14ac:dyDescent="0.2">
      <c r="B284" s="352"/>
    </row>
    <row r="285" spans="2:2" x14ac:dyDescent="0.2">
      <c r="B285" s="352"/>
    </row>
    <row r="286" spans="2:2" x14ac:dyDescent="0.2">
      <c r="B286" s="352"/>
    </row>
    <row r="287" spans="2:2" x14ac:dyDescent="0.2">
      <c r="B287" s="352"/>
    </row>
    <row r="288" spans="2:2" x14ac:dyDescent="0.2">
      <c r="B288" s="352"/>
    </row>
    <row r="289" spans="2:2" x14ac:dyDescent="0.2">
      <c r="B289" s="352"/>
    </row>
    <row r="290" spans="2:2" x14ac:dyDescent="0.2">
      <c r="B290" s="352"/>
    </row>
    <row r="291" spans="2:2" x14ac:dyDescent="0.2">
      <c r="B291" s="352"/>
    </row>
    <row r="292" spans="2:2" x14ac:dyDescent="0.2">
      <c r="B292" s="352"/>
    </row>
    <row r="293" spans="2:2" x14ac:dyDescent="0.2">
      <c r="B293" s="352"/>
    </row>
    <row r="294" spans="2:2" x14ac:dyDescent="0.2">
      <c r="B294" s="352"/>
    </row>
    <row r="295" spans="2:2" x14ac:dyDescent="0.2">
      <c r="B295" s="352"/>
    </row>
    <row r="296" spans="2:2" x14ac:dyDescent="0.2">
      <c r="B296" s="352"/>
    </row>
    <row r="297" spans="2:2" x14ac:dyDescent="0.2">
      <c r="B297" s="352"/>
    </row>
    <row r="298" spans="2:2" x14ac:dyDescent="0.2">
      <c r="B298" s="352"/>
    </row>
    <row r="299" spans="2:2" x14ac:dyDescent="0.2">
      <c r="B299" s="352"/>
    </row>
    <row r="300" spans="2:2" x14ac:dyDescent="0.2">
      <c r="B300" s="352"/>
    </row>
    <row r="301" spans="2:2" x14ac:dyDescent="0.2">
      <c r="B301" s="352"/>
    </row>
    <row r="302" spans="2:2" x14ac:dyDescent="0.2">
      <c r="B302" s="352"/>
    </row>
    <row r="303" spans="2:2" x14ac:dyDescent="0.2">
      <c r="B303" s="352"/>
    </row>
    <row r="304" spans="2:2" x14ac:dyDescent="0.2">
      <c r="B304" s="352"/>
    </row>
    <row r="305" spans="2:2" x14ac:dyDescent="0.2">
      <c r="B305" s="352"/>
    </row>
    <row r="306" spans="2:2" x14ac:dyDescent="0.2">
      <c r="B306" s="352"/>
    </row>
    <row r="307" spans="2:2" x14ac:dyDescent="0.2">
      <c r="B307" s="352"/>
    </row>
    <row r="308" spans="2:2" x14ac:dyDescent="0.2">
      <c r="B308" s="352"/>
    </row>
    <row r="309" spans="2:2" x14ac:dyDescent="0.2">
      <c r="B309" s="352"/>
    </row>
    <row r="310" spans="2:2" x14ac:dyDescent="0.2">
      <c r="B310" s="352"/>
    </row>
    <row r="311" spans="2:2" x14ac:dyDescent="0.2">
      <c r="B311" s="352"/>
    </row>
    <row r="312" spans="2:2" x14ac:dyDescent="0.2">
      <c r="B312" s="352"/>
    </row>
    <row r="313" spans="2:2" x14ac:dyDescent="0.2">
      <c r="B313" s="352"/>
    </row>
    <row r="314" spans="2:2" x14ac:dyDescent="0.2">
      <c r="B314" s="352"/>
    </row>
    <row r="315" spans="2:2" x14ac:dyDescent="0.2">
      <c r="B315" s="352"/>
    </row>
    <row r="316" spans="2:2" x14ac:dyDescent="0.2">
      <c r="B316" s="352"/>
    </row>
    <row r="317" spans="2:2" x14ac:dyDescent="0.2">
      <c r="B317" s="352"/>
    </row>
    <row r="318" spans="2:2" x14ac:dyDescent="0.2">
      <c r="B318" s="352"/>
    </row>
    <row r="319" spans="2:2" x14ac:dyDescent="0.2">
      <c r="B319" s="352"/>
    </row>
    <row r="320" spans="2:2" x14ac:dyDescent="0.2">
      <c r="B320" s="352"/>
    </row>
    <row r="321" spans="2:2" x14ac:dyDescent="0.2">
      <c r="B321" s="352"/>
    </row>
    <row r="322" spans="2:2" x14ac:dyDescent="0.2">
      <c r="B322" s="352"/>
    </row>
    <row r="323" spans="2:2" x14ac:dyDescent="0.2">
      <c r="B323" s="352"/>
    </row>
    <row r="324" spans="2:2" x14ac:dyDescent="0.2">
      <c r="B324" s="352"/>
    </row>
    <row r="325" spans="2:2" x14ac:dyDescent="0.2">
      <c r="B325" s="352"/>
    </row>
    <row r="326" spans="2:2" x14ac:dyDescent="0.2">
      <c r="B326" s="352"/>
    </row>
    <row r="327" spans="2:2" x14ac:dyDescent="0.2">
      <c r="B327" s="352"/>
    </row>
    <row r="328" spans="2:2" x14ac:dyDescent="0.2">
      <c r="B328" s="352"/>
    </row>
    <row r="329" spans="2:2" x14ac:dyDescent="0.2">
      <c r="B329" s="352"/>
    </row>
    <row r="330" spans="2:2" x14ac:dyDescent="0.2">
      <c r="B330" s="352"/>
    </row>
    <row r="331" spans="2:2" x14ac:dyDescent="0.2">
      <c r="B331" s="352"/>
    </row>
    <row r="332" spans="2:2" x14ac:dyDescent="0.2">
      <c r="B332" s="352"/>
    </row>
    <row r="333" spans="2:2" x14ac:dyDescent="0.2">
      <c r="B333" s="352"/>
    </row>
    <row r="334" spans="2:2" x14ac:dyDescent="0.2">
      <c r="B334" s="352"/>
    </row>
    <row r="335" spans="2:2" x14ac:dyDescent="0.2">
      <c r="B335" s="352"/>
    </row>
    <row r="336" spans="2:2" x14ac:dyDescent="0.2">
      <c r="B336" s="352"/>
    </row>
    <row r="337" spans="2:2" x14ac:dyDescent="0.2">
      <c r="B337" s="352"/>
    </row>
    <row r="338" spans="2:2" x14ac:dyDescent="0.2">
      <c r="B338" s="352"/>
    </row>
    <row r="339" spans="2:2" x14ac:dyDescent="0.2">
      <c r="B339" s="352"/>
    </row>
    <row r="340" spans="2:2" x14ac:dyDescent="0.2">
      <c r="B340" s="352"/>
    </row>
    <row r="341" spans="2:2" x14ac:dyDescent="0.2">
      <c r="B341" s="352"/>
    </row>
    <row r="342" spans="2:2" x14ac:dyDescent="0.2">
      <c r="B342" s="352"/>
    </row>
    <row r="343" spans="2:2" x14ac:dyDescent="0.2">
      <c r="B343" s="352"/>
    </row>
    <row r="344" spans="2:2" x14ac:dyDescent="0.2">
      <c r="B344" s="352"/>
    </row>
    <row r="345" spans="2:2" x14ac:dyDescent="0.2">
      <c r="B345" s="352"/>
    </row>
    <row r="346" spans="2:2" x14ac:dyDescent="0.2">
      <c r="B346" s="352"/>
    </row>
    <row r="347" spans="2:2" x14ac:dyDescent="0.2">
      <c r="B347" s="352"/>
    </row>
    <row r="348" spans="2:2" x14ac:dyDescent="0.2">
      <c r="B348" s="352"/>
    </row>
    <row r="349" spans="2:2" x14ac:dyDescent="0.2">
      <c r="B349" s="352"/>
    </row>
    <row r="350" spans="2:2" x14ac:dyDescent="0.2">
      <c r="B350" s="352"/>
    </row>
    <row r="351" spans="2:2" x14ac:dyDescent="0.2">
      <c r="B351" s="352"/>
    </row>
    <row r="352" spans="2:2" x14ac:dyDescent="0.2">
      <c r="B352" s="352"/>
    </row>
    <row r="353" spans="2:2" x14ac:dyDescent="0.2">
      <c r="B353" s="352"/>
    </row>
    <row r="354" spans="2:2" x14ac:dyDescent="0.2">
      <c r="B354" s="352"/>
    </row>
    <row r="355" spans="2:2" x14ac:dyDescent="0.2">
      <c r="B355" s="352"/>
    </row>
    <row r="356" spans="2:2" x14ac:dyDescent="0.2">
      <c r="B356" s="352"/>
    </row>
    <row r="357" spans="2:2" x14ac:dyDescent="0.2">
      <c r="B357" s="352"/>
    </row>
    <row r="358" spans="2:2" x14ac:dyDescent="0.2">
      <c r="B358" s="352"/>
    </row>
    <row r="359" spans="2:2" x14ac:dyDescent="0.2">
      <c r="B359" s="352"/>
    </row>
    <row r="360" spans="2:2" x14ac:dyDescent="0.2">
      <c r="B360" s="352"/>
    </row>
    <row r="361" spans="2:2" x14ac:dyDescent="0.2">
      <c r="B361" s="352"/>
    </row>
    <row r="362" spans="2:2" x14ac:dyDescent="0.2">
      <c r="B362" s="352"/>
    </row>
    <row r="363" spans="2:2" x14ac:dyDescent="0.2">
      <c r="B363" s="352"/>
    </row>
    <row r="364" spans="2:2" x14ac:dyDescent="0.2">
      <c r="B364" s="352"/>
    </row>
    <row r="365" spans="2:2" x14ac:dyDescent="0.2">
      <c r="B365" s="352"/>
    </row>
    <row r="366" spans="2:2" x14ac:dyDescent="0.2">
      <c r="B366" s="352"/>
    </row>
    <row r="367" spans="2:2" x14ac:dyDescent="0.2">
      <c r="B367" s="352"/>
    </row>
    <row r="368" spans="2:2" x14ac:dyDescent="0.2">
      <c r="B368" s="352"/>
    </row>
    <row r="369" spans="2:2" x14ac:dyDescent="0.2">
      <c r="B369" s="352"/>
    </row>
    <row r="370" spans="2:2" x14ac:dyDescent="0.2">
      <c r="B370" s="352"/>
    </row>
    <row r="371" spans="2:2" x14ac:dyDescent="0.2">
      <c r="B371" s="352"/>
    </row>
    <row r="372" spans="2:2" x14ac:dyDescent="0.2">
      <c r="B372" s="352"/>
    </row>
    <row r="373" spans="2:2" x14ac:dyDescent="0.2">
      <c r="B373" s="352"/>
    </row>
    <row r="374" spans="2:2" x14ac:dyDescent="0.2">
      <c r="B374" s="352"/>
    </row>
    <row r="375" spans="2:2" x14ac:dyDescent="0.2">
      <c r="B375" s="352"/>
    </row>
    <row r="376" spans="2:2" x14ac:dyDescent="0.2">
      <c r="B376" s="352"/>
    </row>
    <row r="377" spans="2:2" x14ac:dyDescent="0.2">
      <c r="B377" s="352"/>
    </row>
    <row r="378" spans="2:2" x14ac:dyDescent="0.2">
      <c r="B378" s="352"/>
    </row>
    <row r="379" spans="2:2" x14ac:dyDescent="0.2">
      <c r="B379" s="352"/>
    </row>
    <row r="380" spans="2:2" x14ac:dyDescent="0.2">
      <c r="B380" s="352"/>
    </row>
    <row r="381" spans="2:2" x14ac:dyDescent="0.2">
      <c r="B381" s="352"/>
    </row>
    <row r="382" spans="2:2" x14ac:dyDescent="0.2">
      <c r="B382" s="352"/>
    </row>
    <row r="383" spans="2:2" x14ac:dyDescent="0.2">
      <c r="B383" s="352"/>
    </row>
    <row r="384" spans="2:2" x14ac:dyDescent="0.2">
      <c r="B384" s="352"/>
    </row>
    <row r="385" spans="2:2" x14ac:dyDescent="0.2">
      <c r="B385" s="352"/>
    </row>
    <row r="386" spans="2:2" x14ac:dyDescent="0.2">
      <c r="B386" s="352"/>
    </row>
    <row r="387" spans="2:2" x14ac:dyDescent="0.2">
      <c r="B387" s="352"/>
    </row>
    <row r="388" spans="2:2" x14ac:dyDescent="0.2">
      <c r="B388" s="352"/>
    </row>
    <row r="389" spans="2:2" x14ac:dyDescent="0.2">
      <c r="B389" s="352"/>
    </row>
    <row r="390" spans="2:2" x14ac:dyDescent="0.2">
      <c r="B390" s="352"/>
    </row>
    <row r="391" spans="2:2" x14ac:dyDescent="0.2">
      <c r="B391" s="352"/>
    </row>
    <row r="392" spans="2:2" x14ac:dyDescent="0.2">
      <c r="B392" s="352"/>
    </row>
    <row r="393" spans="2:2" x14ac:dyDescent="0.2">
      <c r="B393" s="352"/>
    </row>
    <row r="394" spans="2:2" x14ac:dyDescent="0.2">
      <c r="B394" s="352"/>
    </row>
    <row r="395" spans="2:2" x14ac:dyDescent="0.2">
      <c r="B395" s="352"/>
    </row>
    <row r="396" spans="2:2" x14ac:dyDescent="0.2">
      <c r="B396" s="352"/>
    </row>
    <row r="397" spans="2:2" x14ac:dyDescent="0.2">
      <c r="B397" s="352"/>
    </row>
    <row r="398" spans="2:2" x14ac:dyDescent="0.2">
      <c r="B398" s="352"/>
    </row>
    <row r="399" spans="2:2" x14ac:dyDescent="0.2">
      <c r="B399" s="352"/>
    </row>
    <row r="400" spans="2:2" x14ac:dyDescent="0.2">
      <c r="B400" s="352"/>
    </row>
    <row r="401" spans="2:2" x14ac:dyDescent="0.2">
      <c r="B401" s="352"/>
    </row>
    <row r="402" spans="2:2" x14ac:dyDescent="0.2">
      <c r="B402" s="352"/>
    </row>
    <row r="403" spans="2:2" x14ac:dyDescent="0.2">
      <c r="B403" s="352"/>
    </row>
    <row r="404" spans="2:2" x14ac:dyDescent="0.2">
      <c r="B404" s="352"/>
    </row>
    <row r="405" spans="2:2" x14ac:dyDescent="0.2">
      <c r="B405" s="352"/>
    </row>
    <row r="406" spans="2:2" x14ac:dyDescent="0.2">
      <c r="B406" s="352"/>
    </row>
    <row r="407" spans="2:2" x14ac:dyDescent="0.2">
      <c r="B407" s="352"/>
    </row>
    <row r="408" spans="2:2" x14ac:dyDescent="0.2">
      <c r="B408" s="352"/>
    </row>
    <row r="409" spans="2:2" x14ac:dyDescent="0.2">
      <c r="B409" s="352"/>
    </row>
    <row r="410" spans="2:2" x14ac:dyDescent="0.2">
      <c r="B410" s="352"/>
    </row>
    <row r="411" spans="2:2" x14ac:dyDescent="0.2">
      <c r="B411" s="352"/>
    </row>
    <row r="412" spans="2:2" x14ac:dyDescent="0.2">
      <c r="B412" s="352"/>
    </row>
    <row r="413" spans="2:2" x14ac:dyDescent="0.2">
      <c r="B413" s="352"/>
    </row>
    <row r="414" spans="2:2" x14ac:dyDescent="0.2">
      <c r="B414" s="352"/>
    </row>
    <row r="415" spans="2:2" x14ac:dyDescent="0.2">
      <c r="B415" s="352"/>
    </row>
    <row r="416" spans="2:2" x14ac:dyDescent="0.2">
      <c r="B416" s="352"/>
    </row>
    <row r="417" spans="2:2" x14ac:dyDescent="0.2">
      <c r="B417" s="352"/>
    </row>
    <row r="418" spans="2:2" x14ac:dyDescent="0.2">
      <c r="B418" s="352"/>
    </row>
    <row r="419" spans="2:2" x14ac:dyDescent="0.2">
      <c r="B419" s="352"/>
    </row>
    <row r="420" spans="2:2" x14ac:dyDescent="0.2">
      <c r="B420" s="352"/>
    </row>
    <row r="421" spans="2:2" x14ac:dyDescent="0.2">
      <c r="B421" s="352"/>
    </row>
    <row r="422" spans="2:2" x14ac:dyDescent="0.2">
      <c r="B422" s="352"/>
    </row>
    <row r="423" spans="2:2" x14ac:dyDescent="0.2">
      <c r="B423" s="352"/>
    </row>
    <row r="424" spans="2:2" x14ac:dyDescent="0.2">
      <c r="B424" s="352"/>
    </row>
    <row r="425" spans="2:2" x14ac:dyDescent="0.2">
      <c r="B425" s="352"/>
    </row>
    <row r="426" spans="2:2" x14ac:dyDescent="0.2">
      <c r="B426" s="352"/>
    </row>
    <row r="427" spans="2:2" x14ac:dyDescent="0.2">
      <c r="B427" s="352"/>
    </row>
    <row r="428" spans="2:2" x14ac:dyDescent="0.2">
      <c r="B428" s="352"/>
    </row>
    <row r="429" spans="2:2" x14ac:dyDescent="0.2">
      <c r="B429" s="352"/>
    </row>
    <row r="430" spans="2:2" x14ac:dyDescent="0.2">
      <c r="B430" s="352"/>
    </row>
    <row r="431" spans="2:2" x14ac:dyDescent="0.2">
      <c r="B431" s="352"/>
    </row>
    <row r="432" spans="2:2" x14ac:dyDescent="0.2">
      <c r="B432" s="352"/>
    </row>
    <row r="433" spans="2:2" x14ac:dyDescent="0.2">
      <c r="B433" s="352"/>
    </row>
    <row r="434" spans="2:2" x14ac:dyDescent="0.2">
      <c r="B434" s="352"/>
    </row>
    <row r="435" spans="2:2" x14ac:dyDescent="0.2">
      <c r="B435" s="352"/>
    </row>
    <row r="436" spans="2:2" x14ac:dyDescent="0.2">
      <c r="B436" s="352"/>
    </row>
    <row r="437" spans="2:2" x14ac:dyDescent="0.2">
      <c r="B437" s="352"/>
    </row>
    <row r="438" spans="2:2" x14ac:dyDescent="0.2">
      <c r="B438" s="352"/>
    </row>
    <row r="439" spans="2:2" x14ac:dyDescent="0.2">
      <c r="B439" s="352"/>
    </row>
    <row r="440" spans="2:2" x14ac:dyDescent="0.2">
      <c r="B440" s="352"/>
    </row>
    <row r="441" spans="2:2" x14ac:dyDescent="0.2">
      <c r="B441" s="352"/>
    </row>
    <row r="442" spans="2:2" x14ac:dyDescent="0.2">
      <c r="B442" s="352"/>
    </row>
    <row r="443" spans="2:2" x14ac:dyDescent="0.2">
      <c r="B443" s="352"/>
    </row>
    <row r="444" spans="2:2" x14ac:dyDescent="0.2">
      <c r="B444" s="352"/>
    </row>
    <row r="445" spans="2:2" x14ac:dyDescent="0.2">
      <c r="B445" s="352"/>
    </row>
    <row r="446" spans="2:2" x14ac:dyDescent="0.2">
      <c r="B446" s="352"/>
    </row>
    <row r="447" spans="2:2" x14ac:dyDescent="0.2">
      <c r="B447" s="352"/>
    </row>
    <row r="448" spans="2:2" x14ac:dyDescent="0.2">
      <c r="B448" s="352"/>
    </row>
    <row r="449" spans="2:2" x14ac:dyDescent="0.2">
      <c r="B449" s="352"/>
    </row>
    <row r="450" spans="2:2" x14ac:dyDescent="0.2">
      <c r="B450" s="352"/>
    </row>
    <row r="451" spans="2:2" x14ac:dyDescent="0.2">
      <c r="B451" s="352"/>
    </row>
    <row r="452" spans="2:2" x14ac:dyDescent="0.2">
      <c r="B452" s="352"/>
    </row>
    <row r="453" spans="2:2" x14ac:dyDescent="0.2">
      <c r="B453" s="352"/>
    </row>
    <row r="454" spans="2:2" x14ac:dyDescent="0.2">
      <c r="B454" s="352"/>
    </row>
    <row r="455" spans="2:2" x14ac:dyDescent="0.2">
      <c r="B455" s="352"/>
    </row>
    <row r="456" spans="2:2" x14ac:dyDescent="0.2">
      <c r="B456" s="352"/>
    </row>
    <row r="457" spans="2:2" x14ac:dyDescent="0.2">
      <c r="B457" s="352"/>
    </row>
    <row r="458" spans="2:2" x14ac:dyDescent="0.2">
      <c r="B458" s="352"/>
    </row>
    <row r="459" spans="2:2" x14ac:dyDescent="0.2">
      <c r="B459" s="352"/>
    </row>
    <row r="460" spans="2:2" x14ac:dyDescent="0.2">
      <c r="B460" s="352"/>
    </row>
    <row r="461" spans="2:2" x14ac:dyDescent="0.2">
      <c r="B461" s="352"/>
    </row>
    <row r="462" spans="2:2" x14ac:dyDescent="0.2">
      <c r="B462" s="352"/>
    </row>
    <row r="463" spans="2:2" x14ac:dyDescent="0.2">
      <c r="B463" s="352"/>
    </row>
    <row r="464" spans="2:2" x14ac:dyDescent="0.2">
      <c r="B464" s="352"/>
    </row>
    <row r="465" spans="2:2" x14ac:dyDescent="0.2">
      <c r="B465" s="352"/>
    </row>
    <row r="466" spans="2:2" x14ac:dyDescent="0.2">
      <c r="B466" s="352"/>
    </row>
    <row r="467" spans="2:2" x14ac:dyDescent="0.2">
      <c r="B467" s="352"/>
    </row>
    <row r="468" spans="2:2" x14ac:dyDescent="0.2">
      <c r="B468" s="352"/>
    </row>
    <row r="469" spans="2:2" x14ac:dyDescent="0.2">
      <c r="B469" s="352"/>
    </row>
    <row r="470" spans="2:2" x14ac:dyDescent="0.2">
      <c r="B470" s="352"/>
    </row>
    <row r="471" spans="2:2" x14ac:dyDescent="0.2">
      <c r="B471" s="352"/>
    </row>
    <row r="472" spans="2:2" x14ac:dyDescent="0.2">
      <c r="B472" s="352"/>
    </row>
    <row r="473" spans="2:2" x14ac:dyDescent="0.2">
      <c r="B473" s="352"/>
    </row>
    <row r="474" spans="2:2" x14ac:dyDescent="0.2">
      <c r="B474" s="352"/>
    </row>
    <row r="475" spans="2:2" x14ac:dyDescent="0.2">
      <c r="B475" s="352"/>
    </row>
    <row r="476" spans="2:2" x14ac:dyDescent="0.2">
      <c r="B476" s="352"/>
    </row>
    <row r="477" spans="2:2" x14ac:dyDescent="0.2">
      <c r="B477" s="352"/>
    </row>
    <row r="478" spans="2:2" x14ac:dyDescent="0.2">
      <c r="B478" s="352"/>
    </row>
    <row r="479" spans="2:2" x14ac:dyDescent="0.2">
      <c r="B479" s="352"/>
    </row>
    <row r="480" spans="2:2" x14ac:dyDescent="0.2">
      <c r="B480" s="352"/>
    </row>
    <row r="481" spans="2:2" x14ac:dyDescent="0.2">
      <c r="B481" s="352"/>
    </row>
    <row r="482" spans="2:2" x14ac:dyDescent="0.2">
      <c r="B482" s="352"/>
    </row>
    <row r="483" spans="2:2" x14ac:dyDescent="0.2">
      <c r="B483" s="352"/>
    </row>
    <row r="484" spans="2:2" x14ac:dyDescent="0.2">
      <c r="B484" s="352"/>
    </row>
    <row r="485" spans="2:2" x14ac:dyDescent="0.2">
      <c r="B485" s="352"/>
    </row>
    <row r="486" spans="2:2" x14ac:dyDescent="0.2">
      <c r="B486" s="352"/>
    </row>
    <row r="487" spans="2:2" x14ac:dyDescent="0.2">
      <c r="B487" s="352"/>
    </row>
    <row r="488" spans="2:2" x14ac:dyDescent="0.2">
      <c r="B488" s="352"/>
    </row>
    <row r="489" spans="2:2" x14ac:dyDescent="0.2">
      <c r="B489" s="352"/>
    </row>
    <row r="490" spans="2:2" x14ac:dyDescent="0.2">
      <c r="B490" s="352"/>
    </row>
    <row r="491" spans="2:2" x14ac:dyDescent="0.2">
      <c r="B491" s="352"/>
    </row>
    <row r="492" spans="2:2" x14ac:dyDescent="0.2">
      <c r="B492" s="352"/>
    </row>
    <row r="493" spans="2:2" x14ac:dyDescent="0.2">
      <c r="B493" s="352"/>
    </row>
    <row r="494" spans="2:2" x14ac:dyDescent="0.2">
      <c r="B494" s="352"/>
    </row>
    <row r="495" spans="2:2" x14ac:dyDescent="0.2">
      <c r="B495" s="352"/>
    </row>
    <row r="496" spans="2:2" x14ac:dyDescent="0.2">
      <c r="B496" s="352"/>
    </row>
    <row r="497" spans="2:2" x14ac:dyDescent="0.2">
      <c r="B497" s="352"/>
    </row>
    <row r="498" spans="2:2" x14ac:dyDescent="0.2">
      <c r="B498" s="352"/>
    </row>
    <row r="499" spans="2:2" x14ac:dyDescent="0.2">
      <c r="B499" s="352"/>
    </row>
    <row r="500" spans="2:2" x14ac:dyDescent="0.2">
      <c r="B500" s="352"/>
    </row>
    <row r="501" spans="2:2" x14ac:dyDescent="0.2">
      <c r="B501" s="352"/>
    </row>
    <row r="502" spans="2:2" x14ac:dyDescent="0.2">
      <c r="B502" s="352"/>
    </row>
    <row r="503" spans="2:2" x14ac:dyDescent="0.2">
      <c r="B503" s="352"/>
    </row>
    <row r="504" spans="2:2" x14ac:dyDescent="0.2">
      <c r="B504" s="352"/>
    </row>
    <row r="505" spans="2:2" x14ac:dyDescent="0.2">
      <c r="B505" s="352"/>
    </row>
    <row r="506" spans="2:2" x14ac:dyDescent="0.2">
      <c r="B506" s="352"/>
    </row>
    <row r="507" spans="2:2" x14ac:dyDescent="0.2">
      <c r="B507" s="352"/>
    </row>
    <row r="508" spans="2:2" x14ac:dyDescent="0.2">
      <c r="B508" s="352"/>
    </row>
    <row r="509" spans="2:2" x14ac:dyDescent="0.2">
      <c r="B509" s="352"/>
    </row>
    <row r="510" spans="2:2" x14ac:dyDescent="0.2">
      <c r="B510" s="352"/>
    </row>
    <row r="511" spans="2:2" x14ac:dyDescent="0.2">
      <c r="B511" s="352"/>
    </row>
    <row r="512" spans="2:2" x14ac:dyDescent="0.2">
      <c r="B512" s="352"/>
    </row>
    <row r="513" spans="2:2" x14ac:dyDescent="0.2">
      <c r="B513" s="352"/>
    </row>
    <row r="514" spans="2:2" x14ac:dyDescent="0.2">
      <c r="B514" s="352"/>
    </row>
    <row r="515" spans="2:2" x14ac:dyDescent="0.2">
      <c r="B515" s="352"/>
    </row>
    <row r="516" spans="2:2" x14ac:dyDescent="0.2">
      <c r="B516" s="352"/>
    </row>
    <row r="517" spans="2:2" x14ac:dyDescent="0.2">
      <c r="B517" s="352"/>
    </row>
    <row r="518" spans="2:2" x14ac:dyDescent="0.2">
      <c r="B518" s="352"/>
    </row>
    <row r="519" spans="2:2" x14ac:dyDescent="0.2">
      <c r="B519" s="352"/>
    </row>
    <row r="520" spans="2:2" x14ac:dyDescent="0.2">
      <c r="B520" s="352"/>
    </row>
    <row r="521" spans="2:2" x14ac:dyDescent="0.2">
      <c r="B521" s="352"/>
    </row>
    <row r="522" spans="2:2" x14ac:dyDescent="0.2">
      <c r="B522" s="352"/>
    </row>
    <row r="523" spans="2:2" x14ac:dyDescent="0.2">
      <c r="B523" s="352"/>
    </row>
    <row r="524" spans="2:2" x14ac:dyDescent="0.2">
      <c r="B524" s="352"/>
    </row>
    <row r="525" spans="2:2" x14ac:dyDescent="0.2">
      <c r="B525" s="352"/>
    </row>
    <row r="526" spans="2:2" x14ac:dyDescent="0.2">
      <c r="B526" s="352"/>
    </row>
    <row r="527" spans="2:2" x14ac:dyDescent="0.2">
      <c r="B527" s="352"/>
    </row>
    <row r="528" spans="2:2" x14ac:dyDescent="0.2">
      <c r="B528" s="352"/>
    </row>
    <row r="529" spans="2:2" x14ac:dyDescent="0.2">
      <c r="B529" s="352"/>
    </row>
    <row r="530" spans="2:2" x14ac:dyDescent="0.2">
      <c r="B530" s="352"/>
    </row>
    <row r="531" spans="2:2" x14ac:dyDescent="0.2">
      <c r="B531" s="352"/>
    </row>
    <row r="532" spans="2:2" x14ac:dyDescent="0.2">
      <c r="B532" s="352"/>
    </row>
    <row r="533" spans="2:2" x14ac:dyDescent="0.2">
      <c r="B533" s="352"/>
    </row>
    <row r="534" spans="2:2" x14ac:dyDescent="0.2">
      <c r="B534" s="352"/>
    </row>
    <row r="535" spans="2:2" x14ac:dyDescent="0.2">
      <c r="B535" s="352"/>
    </row>
    <row r="536" spans="2:2" x14ac:dyDescent="0.2">
      <c r="B536" s="352"/>
    </row>
    <row r="537" spans="2:2" x14ac:dyDescent="0.2">
      <c r="B537" s="352"/>
    </row>
    <row r="538" spans="2:2" x14ac:dyDescent="0.2">
      <c r="B538" s="352"/>
    </row>
    <row r="539" spans="2:2" x14ac:dyDescent="0.2">
      <c r="B539" s="352"/>
    </row>
    <row r="540" spans="2:2" x14ac:dyDescent="0.2">
      <c r="B540" s="352"/>
    </row>
    <row r="541" spans="2:2" x14ac:dyDescent="0.2">
      <c r="B541" s="352"/>
    </row>
    <row r="542" spans="2:2" x14ac:dyDescent="0.2">
      <c r="B542" s="352"/>
    </row>
    <row r="543" spans="2:2" x14ac:dyDescent="0.2">
      <c r="B543" s="352"/>
    </row>
    <row r="544" spans="2:2" x14ac:dyDescent="0.2">
      <c r="B544" s="352"/>
    </row>
    <row r="545" spans="2:2" x14ac:dyDescent="0.2">
      <c r="B545" s="352"/>
    </row>
    <row r="546" spans="2:2" x14ac:dyDescent="0.2">
      <c r="B546" s="352"/>
    </row>
    <row r="547" spans="2:2" x14ac:dyDescent="0.2">
      <c r="B547" s="352"/>
    </row>
    <row r="548" spans="2:2" x14ac:dyDescent="0.2">
      <c r="B548" s="352"/>
    </row>
    <row r="549" spans="2:2" x14ac:dyDescent="0.2">
      <c r="B549" s="352"/>
    </row>
    <row r="550" spans="2:2" x14ac:dyDescent="0.2">
      <c r="B550" s="352"/>
    </row>
    <row r="551" spans="2:2" x14ac:dyDescent="0.2">
      <c r="B551" s="352"/>
    </row>
    <row r="552" spans="2:2" x14ac:dyDescent="0.2">
      <c r="B552" s="352"/>
    </row>
  </sheetData>
  <phoneticPr fontId="9" type="noConversion"/>
  <pageMargins left="0.75" right="0.75" top="1" bottom="1" header="0.5" footer="0.5"/>
  <pageSetup paperSize="9" orientation="portrait" r:id="rId1"/>
  <headerFooter alignWithMargins="0"/>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854"/>
  <sheetViews>
    <sheetView workbookViewId="0">
      <selection activeCell="G10" sqref="G10"/>
    </sheetView>
  </sheetViews>
  <sheetFormatPr defaultColWidth="9.140625" defaultRowHeight="12.75" x14ac:dyDescent="0.2"/>
  <cols>
    <col min="1" max="1" width="10" style="84" customWidth="1"/>
    <col min="2" max="2" width="9.7109375" style="84" customWidth="1"/>
    <col min="3" max="3" width="11" style="189" customWidth="1"/>
    <col min="4" max="4" width="10.28515625" style="189" customWidth="1"/>
    <col min="5" max="5" width="15.42578125" style="527" customWidth="1"/>
    <col min="6" max="6" width="36.5703125" style="84" customWidth="1"/>
    <col min="7" max="7" width="10.5703125" style="203" customWidth="1"/>
    <col min="8" max="8" width="5.5703125" style="149" bestFit="1" customWidth="1"/>
    <col min="9" max="9" width="10" style="84" customWidth="1"/>
    <col min="10" max="18" width="11.28515625" style="84" bestFit="1" customWidth="1"/>
    <col min="19" max="16384" width="9.140625" style="84"/>
  </cols>
  <sheetData>
    <row r="1" spans="1:18" ht="22.5" customHeight="1" thickTop="1" thickBot="1" x14ac:dyDescent="0.3">
      <c r="A1" s="2906" t="s">
        <v>3601</v>
      </c>
      <c r="B1" s="2907"/>
      <c r="C1" s="2907"/>
      <c r="D1" s="2907"/>
      <c r="E1" s="2907"/>
      <c r="F1" s="2907"/>
      <c r="G1" s="2907"/>
      <c r="H1" s="2907"/>
      <c r="I1" s="2907"/>
      <c r="J1" s="2907"/>
      <c r="K1" s="2907"/>
      <c r="L1" s="2907"/>
      <c r="M1" s="2907"/>
      <c r="N1" s="2907"/>
      <c r="O1" s="2907"/>
      <c r="P1" s="2907"/>
      <c r="Q1" s="2907"/>
      <c r="R1" s="2908"/>
    </row>
    <row r="2" spans="1:18" s="44" customFormat="1" x14ac:dyDescent="0.2">
      <c r="A2" s="3012" t="s">
        <v>1856</v>
      </c>
      <c r="B2" s="3013"/>
      <c r="C2" s="3013"/>
      <c r="D2" s="3013"/>
      <c r="E2" s="2697" t="s">
        <v>2663</v>
      </c>
      <c r="F2" s="2649" t="s">
        <v>2251</v>
      </c>
      <c r="G2" s="2839" t="s">
        <v>2253</v>
      </c>
      <c r="H2" s="2840"/>
      <c r="I2" s="2840"/>
      <c r="J2" s="2840"/>
      <c r="K2" s="2840"/>
      <c r="L2" s="2840"/>
      <c r="M2" s="2840"/>
      <c r="N2" s="2840"/>
      <c r="O2" s="2840"/>
      <c r="P2" s="2840"/>
      <c r="Q2" s="2840"/>
      <c r="R2" s="2841"/>
    </row>
    <row r="3" spans="1:18" s="23" customFormat="1" ht="12.75" customHeight="1" thickBot="1" x14ac:dyDescent="0.25">
      <c r="A3" s="2641" t="str">
        <f>SP!A3</f>
        <v>2012/13</v>
      </c>
      <c r="B3" s="370" t="str">
        <f>SP!B3</f>
        <v>2013/14</v>
      </c>
      <c r="C3" s="370" t="str">
        <f>SP!C3</f>
        <v>2014/15</v>
      </c>
      <c r="D3" s="93" t="str">
        <f>SP!D3</f>
        <v>2015/16</v>
      </c>
      <c r="E3" s="1965" t="s">
        <v>2664</v>
      </c>
      <c r="F3" s="42"/>
      <c r="G3" s="93" t="str">
        <f>SP!G3</f>
        <v>2016/17</v>
      </c>
      <c r="H3" s="97" t="s">
        <v>501</v>
      </c>
      <c r="I3" s="2192" t="str">
        <f>SP!I3</f>
        <v>2017/18</v>
      </c>
      <c r="J3" s="381" t="str">
        <f>SP!J3</f>
        <v>2018/19</v>
      </c>
      <c r="K3" s="370" t="str">
        <f>SP!K3</f>
        <v>2019/20</v>
      </c>
      <c r="L3" s="370" t="str">
        <f>SP!L3</f>
        <v>2020/21</v>
      </c>
      <c r="M3" s="370" t="str">
        <f>SP!M3</f>
        <v>2021/22</v>
      </c>
      <c r="N3" s="370" t="str">
        <f>SP!N3</f>
        <v>2022/23</v>
      </c>
      <c r="O3" s="370" t="str">
        <f>SP!O3</f>
        <v>2023/24</v>
      </c>
      <c r="P3" s="370" t="str">
        <f>SP!P3</f>
        <v>2024/25</v>
      </c>
      <c r="Q3" s="370" t="str">
        <f>SP!Q3</f>
        <v>2025/26</v>
      </c>
      <c r="R3" s="549" t="str">
        <f>SP!R3</f>
        <v>2026/27</v>
      </c>
    </row>
    <row r="4" spans="1:18" x14ac:dyDescent="0.2">
      <c r="A4" s="107"/>
      <c r="B4" s="33"/>
      <c r="C4" s="187"/>
      <c r="D4" s="187"/>
      <c r="E4" s="238"/>
      <c r="F4" s="76"/>
      <c r="G4" s="187"/>
      <c r="H4" s="138"/>
      <c r="I4" s="142"/>
      <c r="J4" s="142"/>
      <c r="K4" s="33"/>
      <c r="L4" s="33"/>
      <c r="M4" s="33"/>
      <c r="N4" s="33"/>
      <c r="O4" s="142"/>
      <c r="P4" s="33"/>
      <c r="Q4" s="33"/>
      <c r="R4" s="114"/>
    </row>
    <row r="5" spans="1:18" x14ac:dyDescent="0.2">
      <c r="A5" s="107"/>
      <c r="B5" s="33"/>
      <c r="C5" s="187"/>
      <c r="D5" s="187"/>
      <c r="E5" s="238"/>
      <c r="F5" s="103" t="s">
        <v>1073</v>
      </c>
      <c r="G5" s="187"/>
      <c r="H5" s="138"/>
      <c r="I5" s="142"/>
      <c r="J5" s="142"/>
      <c r="K5" s="33"/>
      <c r="L5" s="33"/>
      <c r="M5" s="33"/>
      <c r="N5" s="33"/>
      <c r="O5" s="142"/>
      <c r="P5" s="33"/>
      <c r="Q5" s="33"/>
      <c r="R5" s="114"/>
    </row>
    <row r="6" spans="1:18" x14ac:dyDescent="0.2">
      <c r="A6" s="107"/>
      <c r="B6" s="33"/>
      <c r="E6" s="1478"/>
      <c r="F6" s="1981"/>
      <c r="G6" s="187"/>
      <c r="H6" s="138"/>
      <c r="I6" s="142"/>
      <c r="J6" s="142"/>
      <c r="K6" s="33"/>
      <c r="L6" s="33"/>
      <c r="M6" s="33"/>
      <c r="N6" s="33"/>
      <c r="O6" s="142"/>
      <c r="P6" s="33"/>
      <c r="Q6" s="33"/>
      <c r="R6" s="114"/>
    </row>
    <row r="7" spans="1:18" x14ac:dyDescent="0.2">
      <c r="A7" s="107"/>
      <c r="B7" s="33"/>
      <c r="E7" s="437"/>
      <c r="F7" s="6" t="s">
        <v>2881</v>
      </c>
      <c r="G7" s="187"/>
      <c r="H7" s="138"/>
      <c r="I7" s="142"/>
      <c r="J7" s="142"/>
      <c r="K7" s="33"/>
      <c r="L7" s="33"/>
      <c r="M7" s="33"/>
      <c r="N7" s="33"/>
      <c r="O7" s="142"/>
      <c r="P7" s="33"/>
      <c r="Q7" s="33"/>
      <c r="R7" s="114"/>
    </row>
    <row r="8" spans="1:18" x14ac:dyDescent="0.2">
      <c r="A8" s="107">
        <v>2600</v>
      </c>
      <c r="B8" s="33">
        <v>1200</v>
      </c>
      <c r="C8" s="189">
        <v>0</v>
      </c>
      <c r="D8" s="189">
        <v>0</v>
      </c>
      <c r="E8" s="673" t="s">
        <v>2207</v>
      </c>
      <c r="F8" s="3" t="s">
        <v>2426</v>
      </c>
      <c r="G8" s="187">
        <v>2300</v>
      </c>
      <c r="H8" s="138">
        <f>IF(D8=G8,0,IF(D8=0,100,(G8-D8)/D8*100))</f>
        <v>100</v>
      </c>
      <c r="I8" s="142">
        <f>ROUNDUP(G8+(G8*Assumptions!H$5),-2)</f>
        <v>2400</v>
      </c>
      <c r="J8" s="142">
        <f>ROUNDUP(I8+(I8*Assumptions!I$5),-2)</f>
        <v>2500</v>
      </c>
      <c r="K8" s="33">
        <f>ROUNDUP(J8+(J8*Assumptions!J$5),-2)</f>
        <v>2600</v>
      </c>
      <c r="L8" s="33">
        <f>ROUNDUP(K8+(K8*Assumptions!K$5),-2)</f>
        <v>2700</v>
      </c>
      <c r="M8" s="33">
        <f>ROUNDUP(L8+(L8*Assumptions!L$5),-2)</f>
        <v>2800</v>
      </c>
      <c r="N8" s="33">
        <f>ROUNDUP(M8+(M8*Assumptions!M$5),-2)</f>
        <v>2900</v>
      </c>
      <c r="O8" s="33">
        <f>ROUNDUP(N8+(N8*Assumptions!N$5),-2)</f>
        <v>3000</v>
      </c>
      <c r="P8" s="33">
        <f>ROUNDUP(O8+(O8*Assumptions!O$5),-2)</f>
        <v>3100</v>
      </c>
      <c r="Q8" s="33">
        <f>ROUNDUP(P8+(P8*Assumptions!P$5),-2)</f>
        <v>3200</v>
      </c>
      <c r="R8" s="114">
        <f>ROUNDUP(Q8+(Q8*Assumptions!Q$5),-2)</f>
        <v>3300</v>
      </c>
    </row>
    <row r="9" spans="1:18" x14ac:dyDescent="0.2">
      <c r="A9" s="107">
        <v>96800</v>
      </c>
      <c r="B9" s="33">
        <v>87500</v>
      </c>
      <c r="C9" s="189">
        <v>73200</v>
      </c>
      <c r="D9" s="189">
        <v>54000</v>
      </c>
      <c r="E9" s="673" t="s">
        <v>2209</v>
      </c>
      <c r="F9" s="3" t="s">
        <v>1339</v>
      </c>
      <c r="G9" s="187">
        <f>70000-5000-15000</f>
        <v>50000</v>
      </c>
      <c r="H9" s="138">
        <f>IF(D9=G9,0,IF(D9=0,100,(G9-D9)/D9*100))</f>
        <v>-7.4074074074074066</v>
      </c>
      <c r="I9" s="142">
        <f>ROUNDUP(G9+(G9*Assumptions!H$5),-2)</f>
        <v>50800</v>
      </c>
      <c r="J9" s="142">
        <f>ROUNDUP(I9+(I9*Assumptions!I$5),-2)</f>
        <v>52100</v>
      </c>
      <c r="K9" s="33">
        <f>ROUNDUP(J9+(J9*Assumptions!J$5),-2)</f>
        <v>53500</v>
      </c>
      <c r="L9" s="33">
        <f>ROUNDUP(K9+(K9*Assumptions!K$5),-2)</f>
        <v>54900</v>
      </c>
      <c r="M9" s="33">
        <f>ROUNDUP(L9+(L9*Assumptions!L$5),-2)</f>
        <v>56000</v>
      </c>
      <c r="N9" s="33">
        <f>ROUNDUP(M9+(M9*Assumptions!M$5),-2)</f>
        <v>57200</v>
      </c>
      <c r="O9" s="33">
        <f>ROUNDUP(N9+(N9*Assumptions!N$5),-2)</f>
        <v>58400</v>
      </c>
      <c r="P9" s="33">
        <f>ROUNDUP(O9+(O9*Assumptions!O$5),-2)</f>
        <v>59600</v>
      </c>
      <c r="Q9" s="33">
        <f>ROUNDUP(P9+(P9*Assumptions!P$5),-2)</f>
        <v>60800</v>
      </c>
      <c r="R9" s="114">
        <f>ROUNDUP(Q9+(Q9*Assumptions!Q$5),-2)</f>
        <v>62100</v>
      </c>
    </row>
    <row r="10" spans="1:18" x14ac:dyDescent="0.2">
      <c r="A10" s="107"/>
      <c r="B10" s="33"/>
      <c r="E10" s="673"/>
      <c r="F10" s="3"/>
      <c r="G10" s="187"/>
      <c r="H10" s="138"/>
      <c r="I10" s="142"/>
      <c r="J10" s="142"/>
      <c r="K10" s="33"/>
      <c r="L10" s="33"/>
      <c r="M10" s="33"/>
      <c r="N10" s="33"/>
      <c r="O10" s="33"/>
      <c r="P10" s="33"/>
      <c r="Q10" s="33"/>
      <c r="R10" s="114"/>
    </row>
    <row r="11" spans="1:18" x14ac:dyDescent="0.2">
      <c r="A11" s="107"/>
      <c r="B11" s="33"/>
      <c r="E11" s="673"/>
      <c r="F11" s="6" t="s">
        <v>1486</v>
      </c>
      <c r="G11" s="187"/>
      <c r="H11" s="138"/>
      <c r="I11" s="142"/>
      <c r="J11" s="142"/>
      <c r="K11" s="33"/>
      <c r="L11" s="33"/>
      <c r="M11" s="33"/>
      <c r="N11" s="33"/>
      <c r="O11" s="33"/>
      <c r="P11" s="33"/>
      <c r="Q11" s="33"/>
      <c r="R11" s="114"/>
    </row>
    <row r="12" spans="1:18" x14ac:dyDescent="0.2">
      <c r="A12" s="107">
        <v>170000</v>
      </c>
      <c r="B12" s="33">
        <v>173600</v>
      </c>
      <c r="C12" s="189">
        <v>178800</v>
      </c>
      <c r="D12" s="189">
        <v>181500</v>
      </c>
      <c r="E12" s="673" t="s">
        <v>2210</v>
      </c>
      <c r="F12" s="890" t="s">
        <v>4531</v>
      </c>
      <c r="G12" s="187">
        <f>186500-2000</f>
        <v>184500</v>
      </c>
      <c r="H12" s="138">
        <f>IF(D12=G12,0,IF(D12=0,100,(G12-D12)/D12*100))</f>
        <v>1.6528925619834711</v>
      </c>
      <c r="I12" s="142">
        <f>ROUNDUP(G12+(G12*Assumptions!H$5),-2)</f>
        <v>187300</v>
      </c>
      <c r="J12" s="142">
        <f>ROUNDUP(I12+(I12*Assumptions!I$5),-2)</f>
        <v>192000</v>
      </c>
      <c r="K12" s="33">
        <f>ROUNDUP(J12+(J12*Assumptions!J$5),-2)</f>
        <v>196800</v>
      </c>
      <c r="L12" s="33">
        <f>ROUNDUP(K12+(K12*Assumptions!K$5),-2)</f>
        <v>201800</v>
      </c>
      <c r="M12" s="33">
        <f>ROUNDUP(L12+(L12*Assumptions!L$5),-2)</f>
        <v>205900</v>
      </c>
      <c r="N12" s="33">
        <f>ROUNDUP(M12+(M12*Assumptions!M$5),-2)</f>
        <v>210100</v>
      </c>
      <c r="O12" s="33">
        <f>ROUNDUP(N12+(N12*Assumptions!N$5),-2)</f>
        <v>214400</v>
      </c>
      <c r="P12" s="33">
        <f>ROUNDUP(O12+(O12*Assumptions!O$5),-2)</f>
        <v>218700</v>
      </c>
      <c r="Q12" s="33">
        <f>ROUNDUP(P12+(P12*Assumptions!P$5),-2)</f>
        <v>223100</v>
      </c>
      <c r="R12" s="114">
        <f>ROUNDUP(Q12+(Q12*Assumptions!Q$5),-2)</f>
        <v>227600</v>
      </c>
    </row>
    <row r="13" spans="1:18" x14ac:dyDescent="0.2">
      <c r="A13" s="107">
        <v>0</v>
      </c>
      <c r="B13" s="33">
        <v>0</v>
      </c>
      <c r="C13" s="189">
        <v>0</v>
      </c>
      <c r="D13" s="189">
        <f>ROUNDUP(C13+(C13*Assumptions!F$5),-2)</f>
        <v>0</v>
      </c>
      <c r="E13" s="673" t="s">
        <v>2211</v>
      </c>
      <c r="F13" s="3" t="s">
        <v>1605</v>
      </c>
      <c r="G13" s="187">
        <v>2000</v>
      </c>
      <c r="H13" s="138">
        <f>IF(D13=G13,0,IF(D13=0,100,(G13-D13)/D13*100))</f>
        <v>100</v>
      </c>
      <c r="I13" s="142">
        <v>0</v>
      </c>
      <c r="J13" s="142">
        <f>ROUNDUP(I13+(I13*Assumptions!I$5),-2)</f>
        <v>0</v>
      </c>
      <c r="K13" s="33">
        <f>ROUNDUP(J13+(J13*Assumptions!J$5),-2)</f>
        <v>0</v>
      </c>
      <c r="L13" s="33">
        <f>ROUNDUP(K13+(K13*Assumptions!K$5),-2)</f>
        <v>0</v>
      </c>
      <c r="M13" s="33">
        <f>ROUNDUP(L13+(L13*Assumptions!L$5),-2)</f>
        <v>0</v>
      </c>
      <c r="N13" s="33">
        <f>ROUNDUP(M13+(M13*Assumptions!M$5),-2)</f>
        <v>0</v>
      </c>
      <c r="O13" s="33">
        <f>ROUNDUP(N13+(N13*Assumptions!N$5),-2)</f>
        <v>0</v>
      </c>
      <c r="P13" s="33">
        <f>ROUNDUP(O13+(O13*Assumptions!O$5),-2)</f>
        <v>0</v>
      </c>
      <c r="Q13" s="33">
        <f>ROUNDUP(P13+(P13*Assumptions!P$5),-2)</f>
        <v>0</v>
      </c>
      <c r="R13" s="114">
        <f>ROUNDUP(Q13+(Q13*Assumptions!Q$5),-2)</f>
        <v>0</v>
      </c>
    </row>
    <row r="14" spans="1:18" x14ac:dyDescent="0.2">
      <c r="A14" s="107"/>
      <c r="B14" s="33"/>
      <c r="E14" s="673"/>
      <c r="F14" s="3"/>
      <c r="G14" s="187"/>
      <c r="H14" s="138"/>
      <c r="I14" s="142"/>
      <c r="J14" s="142"/>
      <c r="K14" s="33"/>
      <c r="L14" s="33"/>
      <c r="M14" s="33"/>
      <c r="N14" s="33"/>
      <c r="O14" s="33"/>
      <c r="P14" s="33"/>
      <c r="Q14" s="33"/>
      <c r="R14" s="114"/>
    </row>
    <row r="15" spans="1:18" x14ac:dyDescent="0.2">
      <c r="A15" s="107"/>
      <c r="B15" s="33"/>
      <c r="E15" s="673"/>
      <c r="F15" s="6" t="s">
        <v>428</v>
      </c>
      <c r="G15" s="187"/>
      <c r="H15" s="138"/>
      <c r="I15" s="142"/>
      <c r="J15" s="142"/>
      <c r="K15" s="33"/>
      <c r="L15" s="33"/>
      <c r="M15" s="33"/>
      <c r="N15" s="33"/>
      <c r="O15" s="33"/>
      <c r="P15" s="33"/>
      <c r="Q15" s="33"/>
      <c r="R15" s="114"/>
    </row>
    <row r="16" spans="1:18" ht="12.75" hidden="1" customHeight="1" x14ac:dyDescent="0.2">
      <c r="A16" s="107">
        <v>0</v>
      </c>
      <c r="B16" s="33">
        <v>0</v>
      </c>
      <c r="C16" s="189">
        <v>0</v>
      </c>
      <c r="D16" s="189">
        <f>ROUNDUP(C16+(C16*Assumptions!F$5),-2)</f>
        <v>0</v>
      </c>
      <c r="E16" s="673" t="s">
        <v>2208</v>
      </c>
      <c r="F16" s="3" t="s">
        <v>2427</v>
      </c>
      <c r="G16" s="187">
        <f>ROUNDUP(D16+(D16*Assumptions!G$5),-2)</f>
        <v>0</v>
      </c>
      <c r="H16" s="138" t="e">
        <f>IF(E16=G16,0,IF(E16=0,100,(G16-E16)/E16*100))</f>
        <v>#VALUE!</v>
      </c>
      <c r="I16" s="142">
        <f>ROUNDUP(G16+(G16*Assumptions!H$5),-2)</f>
        <v>0</v>
      </c>
      <c r="J16" s="142">
        <f>ROUNDUP(I16+(I16*Assumptions!I$5),-2)</f>
        <v>0</v>
      </c>
      <c r="K16" s="33">
        <f>ROUNDUP(J16+(J16*Assumptions!J$5),-2)</f>
        <v>0</v>
      </c>
      <c r="L16" s="33">
        <f>ROUNDUP(K16+(K16*Assumptions!K$5),-2)</f>
        <v>0</v>
      </c>
      <c r="M16" s="33">
        <f>ROUNDUP(L16+(L16*Assumptions!L$5),-2)</f>
        <v>0</v>
      </c>
      <c r="N16" s="33">
        <f>ROUNDUP(M16+(M16*Assumptions!M$5),-2)</f>
        <v>0</v>
      </c>
      <c r="O16" s="33">
        <f>ROUNDUP(N16+(N16*Assumptions!N$5),-2)</f>
        <v>0</v>
      </c>
      <c r="P16" s="33">
        <f>ROUNDUP(O16+(O16*Assumptions!O$5),-2)</f>
        <v>0</v>
      </c>
      <c r="Q16" s="33">
        <f>ROUNDUP(P16+(P16*Assumptions!P$5),-2)</f>
        <v>0</v>
      </c>
      <c r="R16" s="114">
        <f>ROUNDUP(Q16+(Q16*Assumptions!Q$5),-2)</f>
        <v>0</v>
      </c>
    </row>
    <row r="17" spans="1:18" x14ac:dyDescent="0.2">
      <c r="A17" s="107">
        <v>13400</v>
      </c>
      <c r="B17" s="33">
        <v>10000</v>
      </c>
      <c r="C17" s="189">
        <v>8800</v>
      </c>
      <c r="D17" s="189">
        <v>8000</v>
      </c>
      <c r="E17" s="673" t="s">
        <v>2212</v>
      </c>
      <c r="F17" s="3" t="s">
        <v>609</v>
      </c>
      <c r="G17" s="187">
        <v>8400</v>
      </c>
      <c r="H17" s="138">
        <f>IF(D17=G17,0,IF(D17=0,100,(G17-D17)/D17*100))</f>
        <v>5</v>
      </c>
      <c r="I17" s="142">
        <f>ROUNDUP(G17+(G17*Assumptions!H$5),-2)</f>
        <v>8600</v>
      </c>
      <c r="J17" s="142">
        <f>ROUNDUP(I17+(I17*Assumptions!I$5),-2)</f>
        <v>8900</v>
      </c>
      <c r="K17" s="33">
        <f>ROUNDUP(J17+(J17*Assumptions!J$5),-2)</f>
        <v>9200</v>
      </c>
      <c r="L17" s="33">
        <f>ROUNDUP(K17+(K17*Assumptions!K$5),-2)</f>
        <v>9500</v>
      </c>
      <c r="M17" s="33">
        <f>ROUNDUP(L17+(L17*Assumptions!L$5),-2)</f>
        <v>9700</v>
      </c>
      <c r="N17" s="33">
        <f>ROUNDUP(M17+(M17*Assumptions!M$5),-2)</f>
        <v>9900</v>
      </c>
      <c r="O17" s="33">
        <f>ROUNDUP(N17+(N17*Assumptions!N$5),-2)</f>
        <v>10100</v>
      </c>
      <c r="P17" s="33">
        <f>ROUNDUP(O17+(O17*Assumptions!O$5),-2)</f>
        <v>10400</v>
      </c>
      <c r="Q17" s="33">
        <f>ROUNDUP(P17+(P17*Assumptions!P$5),-2)</f>
        <v>10700</v>
      </c>
      <c r="R17" s="114">
        <f>ROUNDUP(Q17+(Q17*Assumptions!Q$5),-2)</f>
        <v>11000</v>
      </c>
    </row>
    <row r="18" spans="1:18" x14ac:dyDescent="0.2">
      <c r="A18" s="107">
        <v>0</v>
      </c>
      <c r="B18" s="33">
        <v>0</v>
      </c>
      <c r="C18" s="189">
        <v>0</v>
      </c>
      <c r="D18" s="189">
        <f>ROUNDUP(C18+(C18*Assumptions!F$5),-2)</f>
        <v>0</v>
      </c>
      <c r="E18" s="673"/>
      <c r="F18" s="3" t="s">
        <v>1387</v>
      </c>
      <c r="G18" s="187">
        <v>0</v>
      </c>
      <c r="H18" s="138">
        <f>IF(D18=G18,0,IF(D18=0,100,(G18-D18)/D18*100))</f>
        <v>0</v>
      </c>
      <c r="I18" s="142">
        <f>ROUNDUP(G18+(G18*Assumptions!H$5),-2)</f>
        <v>0</v>
      </c>
      <c r="J18" s="142">
        <f>ROUNDUP(I18+(I18*Assumptions!I$5),-2)</f>
        <v>0</v>
      </c>
      <c r="K18" s="33">
        <f>ROUNDUP(J18+(J18*Assumptions!J$5),-2)</f>
        <v>0</v>
      </c>
      <c r="L18" s="33">
        <f>ROUNDUP(K18+(K18*Assumptions!K$5),-2)</f>
        <v>0</v>
      </c>
      <c r="M18" s="33">
        <f>ROUNDUP(L18+(L18*Assumptions!L$5),-2)</f>
        <v>0</v>
      </c>
      <c r="N18" s="33">
        <f>ROUNDUP(M18+(M18*Assumptions!M$5),-2)</f>
        <v>0</v>
      </c>
      <c r="O18" s="33">
        <f>ROUNDUP(N18+(N18*Assumptions!N$5),-2)</f>
        <v>0</v>
      </c>
      <c r="P18" s="33">
        <f>ROUNDUP(O18+(O18*Assumptions!O$5),-2)</f>
        <v>0</v>
      </c>
      <c r="Q18" s="33">
        <f>ROUNDUP(P18+(P18*Assumptions!P$5),-2)</f>
        <v>0</v>
      </c>
      <c r="R18" s="114">
        <f>ROUNDUP(Q18+(Q18*Assumptions!Q$5),-2)</f>
        <v>0</v>
      </c>
    </row>
    <row r="19" spans="1:18" ht="13.5" thickBot="1" x14ac:dyDescent="0.25">
      <c r="A19" s="107"/>
      <c r="B19" s="33"/>
      <c r="C19" s="187"/>
      <c r="D19" s="187"/>
      <c r="E19" s="1955"/>
      <c r="F19" s="99"/>
      <c r="G19" s="187"/>
      <c r="H19" s="138"/>
      <c r="I19" s="142"/>
      <c r="J19" s="142"/>
      <c r="K19" s="33"/>
      <c r="L19" s="33"/>
      <c r="M19" s="33"/>
      <c r="N19" s="33"/>
      <c r="O19" s="142"/>
      <c r="P19" s="33"/>
      <c r="Q19" s="33"/>
      <c r="R19" s="114"/>
    </row>
    <row r="20" spans="1:18" s="92" customFormat="1" x14ac:dyDescent="0.2">
      <c r="A20" s="105">
        <f>SUM(A5:A19)</f>
        <v>282800</v>
      </c>
      <c r="B20" s="53">
        <f>SUM(B5:B19)</f>
        <v>272300</v>
      </c>
      <c r="C20" s="199">
        <f>SUM(C5:C19)</f>
        <v>260800</v>
      </c>
      <c r="D20" s="199">
        <f>SUM(D5:D19)</f>
        <v>243500</v>
      </c>
      <c r="E20" s="244"/>
      <c r="F20" s="1960" t="s">
        <v>2605</v>
      </c>
      <c r="G20" s="199">
        <f t="shared" ref="G20:M20" si="0">SUM(G5:G19)</f>
        <v>247200</v>
      </c>
      <c r="H20" s="180">
        <f>IF(D20=G20,0,IF(D20=0,100,(G20-D20)/D20*100))</f>
        <v>1.5195071868583163</v>
      </c>
      <c r="I20" s="155">
        <f t="shared" si="0"/>
        <v>249100</v>
      </c>
      <c r="J20" s="155">
        <f t="shared" si="0"/>
        <v>255500</v>
      </c>
      <c r="K20" s="53">
        <f t="shared" si="0"/>
        <v>262100</v>
      </c>
      <c r="L20" s="53">
        <f t="shared" si="0"/>
        <v>268900</v>
      </c>
      <c r="M20" s="53">
        <f t="shared" si="0"/>
        <v>274400</v>
      </c>
      <c r="N20" s="53">
        <f>SUM(N5:N19)</f>
        <v>280100</v>
      </c>
      <c r="O20" s="155">
        <f>SUM(O5:O19)</f>
        <v>285900</v>
      </c>
      <c r="P20" s="53">
        <f>SUM(P5:P19)</f>
        <v>291800</v>
      </c>
      <c r="Q20" s="53">
        <f>SUM(Q5:Q19)</f>
        <v>297800</v>
      </c>
      <c r="R20" s="113">
        <f>SUM(R5:R19)</f>
        <v>304000</v>
      </c>
    </row>
    <row r="21" spans="1:18" x14ac:dyDescent="0.2">
      <c r="A21" s="107"/>
      <c r="B21" s="33"/>
      <c r="C21" s="187"/>
      <c r="D21" s="187"/>
      <c r="E21" s="238"/>
      <c r="F21" s="79"/>
      <c r="G21" s="187"/>
      <c r="H21" s="138"/>
      <c r="I21" s="142"/>
      <c r="J21" s="142"/>
      <c r="K21" s="33"/>
      <c r="L21" s="33"/>
      <c r="M21" s="33"/>
      <c r="N21" s="33"/>
      <c r="O21" s="142"/>
      <c r="P21" s="33"/>
      <c r="Q21" s="33"/>
      <c r="R21" s="114"/>
    </row>
    <row r="22" spans="1:18" ht="12.75" customHeight="1" x14ac:dyDescent="0.2">
      <c r="A22" s="107"/>
      <c r="B22" s="33"/>
      <c r="C22" s="187"/>
      <c r="D22" s="187"/>
      <c r="E22" s="238"/>
      <c r="F22" s="103" t="s">
        <v>2205</v>
      </c>
      <c r="G22" s="187"/>
      <c r="H22" s="138"/>
      <c r="I22" s="142"/>
      <c r="J22" s="142"/>
      <c r="K22" s="33"/>
      <c r="L22" s="33"/>
      <c r="M22" s="33"/>
      <c r="N22" s="33"/>
      <c r="O22" s="142"/>
      <c r="P22" s="33"/>
      <c r="Q22" s="33"/>
      <c r="R22" s="114"/>
    </row>
    <row r="23" spans="1:18" ht="12.75" customHeight="1" x14ac:dyDescent="0.2">
      <c r="A23" s="107"/>
      <c r="B23" s="33"/>
      <c r="E23" s="443"/>
      <c r="F23" s="3"/>
      <c r="G23" s="187"/>
      <c r="H23" s="138"/>
      <c r="I23" s="142"/>
      <c r="J23" s="142"/>
      <c r="K23" s="33"/>
      <c r="L23" s="33"/>
      <c r="M23" s="33"/>
      <c r="N23" s="33"/>
      <c r="O23" s="142"/>
      <c r="P23" s="33"/>
      <c r="Q23" s="33"/>
      <c r="R23" s="114"/>
    </row>
    <row r="24" spans="1:18" x14ac:dyDescent="0.2">
      <c r="A24" s="107"/>
      <c r="B24" s="33"/>
      <c r="E24" s="123"/>
      <c r="F24" s="175" t="s">
        <v>473</v>
      </c>
      <c r="G24" s="187"/>
      <c r="H24" s="138"/>
      <c r="I24" s="142"/>
      <c r="J24" s="142"/>
      <c r="K24" s="33"/>
      <c r="L24" s="33"/>
      <c r="M24" s="33"/>
      <c r="N24" s="33"/>
      <c r="O24" s="142"/>
      <c r="P24" s="33"/>
      <c r="Q24" s="33"/>
      <c r="R24" s="114"/>
    </row>
    <row r="25" spans="1:18" x14ac:dyDescent="0.2">
      <c r="A25" s="107">
        <v>255700</v>
      </c>
      <c r="B25" s="132">
        <f>188800+68900</f>
        <v>257700</v>
      </c>
      <c r="C25" s="189">
        <f>199800+45600+21600</f>
        <v>267000</v>
      </c>
      <c r="D25" s="189">
        <f>302600-30200</f>
        <v>272400</v>
      </c>
      <c r="E25" s="673" t="s">
        <v>2869</v>
      </c>
      <c r="F25" s="3" t="s">
        <v>515</v>
      </c>
      <c r="G25" s="187">
        <v>264000</v>
      </c>
      <c r="H25" s="138">
        <f t="shared" ref="H25:H35" si="1">IF(D25=G25,0,IF(D25=0,100,(G25-D25)/D25*100))</f>
        <v>-3.0837004405286343</v>
      </c>
      <c r="I25" s="142">
        <f>ROUNDUP(G25+(G25*Assumptions!H$5),-2)</f>
        <v>268000</v>
      </c>
      <c r="J25" s="142">
        <f>ROUNDUP(I25+(I25*Assumptions!I$5),-2)</f>
        <v>274700</v>
      </c>
      <c r="K25" s="33">
        <f>ROUNDUP(J25+(J25*Assumptions!J$5),-2)</f>
        <v>281600</v>
      </c>
      <c r="L25" s="33">
        <f>ROUNDUP(K25+(K25*Assumptions!K$5),-2)</f>
        <v>288700</v>
      </c>
      <c r="M25" s="33">
        <f>ROUNDUP(L25+(L25*Assumptions!L$5),-2)</f>
        <v>294500</v>
      </c>
      <c r="N25" s="33">
        <f>ROUNDUP(M25+(M25*Assumptions!M$5),-2)</f>
        <v>300400</v>
      </c>
      <c r="O25" s="142">
        <f>ROUNDUP(N25+(N25*Assumptions!N$5),-2)</f>
        <v>306500</v>
      </c>
      <c r="P25" s="33">
        <f>ROUNDUP(O25+(O25*Assumptions!O$5),-2)</f>
        <v>312700</v>
      </c>
      <c r="Q25" s="33">
        <f>ROUNDUP(P25+(P25*Assumptions!P$5),-2)</f>
        <v>319000</v>
      </c>
      <c r="R25" s="114">
        <f>ROUNDUP(Q25+(Q25*Assumptions!Q$5),-2)</f>
        <v>325400</v>
      </c>
    </row>
    <row r="26" spans="1:18" x14ac:dyDescent="0.2">
      <c r="A26" s="107">
        <v>19100</v>
      </c>
      <c r="B26" s="33">
        <v>25200</v>
      </c>
      <c r="C26" s="189">
        <v>10400</v>
      </c>
      <c r="D26" s="189">
        <v>19800</v>
      </c>
      <c r="E26" s="673" t="s">
        <v>1431</v>
      </c>
      <c r="F26" s="3" t="s">
        <v>1465</v>
      </c>
      <c r="G26" s="187">
        <v>14300</v>
      </c>
      <c r="H26" s="138">
        <f t="shared" si="1"/>
        <v>-27.777777777777779</v>
      </c>
      <c r="I26" s="142">
        <f>ROUNDUP(G26+(G26*Assumptions!H$5),-2)</f>
        <v>14600</v>
      </c>
      <c r="J26" s="142">
        <f>ROUNDUP(I26+(I26*Assumptions!I$5),-2)</f>
        <v>15000</v>
      </c>
      <c r="K26" s="33">
        <f>ROUNDUP(J26+(J26*Assumptions!J$5),-2)</f>
        <v>15400</v>
      </c>
      <c r="L26" s="33">
        <f>ROUNDUP(K26+(K26*Assumptions!K$5),-2)</f>
        <v>15800</v>
      </c>
      <c r="M26" s="33">
        <f>ROUNDUP(L26+(L26*Assumptions!L$5),-2)</f>
        <v>16200</v>
      </c>
      <c r="N26" s="33">
        <f>ROUNDUP(M26+(M26*Assumptions!M$5),-2)</f>
        <v>16600</v>
      </c>
      <c r="O26" s="142">
        <f>ROUNDUP(N26+(N26*Assumptions!N$5),-2)</f>
        <v>17000</v>
      </c>
      <c r="P26" s="33">
        <f>ROUNDUP(O26+(O26*Assumptions!O$5),-2)</f>
        <v>17400</v>
      </c>
      <c r="Q26" s="33">
        <f>ROUNDUP(P26+(P26*Assumptions!P$5),-2)</f>
        <v>17800</v>
      </c>
      <c r="R26" s="114">
        <f>ROUNDUP(Q26+(Q26*Assumptions!Q$5),-2)</f>
        <v>18200</v>
      </c>
    </row>
    <row r="27" spans="1:18" x14ac:dyDescent="0.2">
      <c r="A27" s="107">
        <v>8400</v>
      </c>
      <c r="B27" s="33">
        <v>8300</v>
      </c>
      <c r="C27" s="189">
        <v>7200</v>
      </c>
      <c r="D27" s="189">
        <f>9800-1500</f>
        <v>8300</v>
      </c>
      <c r="E27" s="673" t="s">
        <v>2559</v>
      </c>
      <c r="F27" s="3" t="s">
        <v>2341</v>
      </c>
      <c r="G27" s="187">
        <v>9000</v>
      </c>
      <c r="H27" s="138">
        <f t="shared" si="1"/>
        <v>8.4337349397590362</v>
      </c>
      <c r="I27" s="142">
        <f>ROUNDUP(G27+(G27*Assumptions!H$5),-2)</f>
        <v>9200</v>
      </c>
      <c r="J27" s="142">
        <f>ROUNDUP(I27+(I27*Assumptions!I$5),-2)</f>
        <v>9500</v>
      </c>
      <c r="K27" s="33">
        <f>ROUNDUP(J27+(J27*Assumptions!J$5),-2)</f>
        <v>9800</v>
      </c>
      <c r="L27" s="33">
        <f>ROUNDUP(K27+(K27*Assumptions!K$5),-2)</f>
        <v>10100</v>
      </c>
      <c r="M27" s="33">
        <f>ROUNDUP(L27+(L27*Assumptions!L$5),-2)</f>
        <v>10400</v>
      </c>
      <c r="N27" s="33">
        <f>ROUNDUP(M27+(M27*Assumptions!M$5),-2)</f>
        <v>10700</v>
      </c>
      <c r="O27" s="142">
        <f>ROUNDUP(N27+(N27*Assumptions!N$5),-2)</f>
        <v>11000</v>
      </c>
      <c r="P27" s="33">
        <f>ROUNDUP(O27+(O27*Assumptions!O$5),-2)</f>
        <v>11300</v>
      </c>
      <c r="Q27" s="33">
        <f>ROUNDUP(P27+(P27*Assumptions!P$5),-2)</f>
        <v>11600</v>
      </c>
      <c r="R27" s="114">
        <f>ROUNDUP(Q27+(Q27*Assumptions!Q$5),-2)</f>
        <v>11900</v>
      </c>
    </row>
    <row r="28" spans="1:18" x14ac:dyDescent="0.2">
      <c r="A28" s="107">
        <v>18800</v>
      </c>
      <c r="B28" s="33">
        <v>8200</v>
      </c>
      <c r="C28" s="189">
        <v>12200</v>
      </c>
      <c r="D28" s="189">
        <v>10500</v>
      </c>
      <c r="E28" s="673" t="s">
        <v>2430</v>
      </c>
      <c r="F28" s="3" t="s">
        <v>757</v>
      </c>
      <c r="G28" s="187">
        <v>9000</v>
      </c>
      <c r="H28" s="138">
        <f t="shared" si="1"/>
        <v>-14.285714285714285</v>
      </c>
      <c r="I28" s="142">
        <f>ROUNDUP(G28+(G28*Assumptions!H$5),-2)</f>
        <v>9200</v>
      </c>
      <c r="J28" s="142">
        <f>ROUNDUP(I28+(I28*Assumptions!I$5),-2)</f>
        <v>9500</v>
      </c>
      <c r="K28" s="33">
        <f>ROUNDUP(J28+(J28*Assumptions!J$5),-2)</f>
        <v>9800</v>
      </c>
      <c r="L28" s="33">
        <f>ROUNDUP(K28+(K28*Assumptions!K$5),-2)</f>
        <v>10100</v>
      </c>
      <c r="M28" s="33">
        <f>ROUNDUP(L28+(L28*Assumptions!L$5),-2)</f>
        <v>10400</v>
      </c>
      <c r="N28" s="33">
        <f>ROUNDUP(M28+(M28*Assumptions!M$5),-2)</f>
        <v>10700</v>
      </c>
      <c r="O28" s="142">
        <f>ROUNDUP(N28+(N28*Assumptions!N$5),-2)</f>
        <v>11000</v>
      </c>
      <c r="P28" s="33">
        <f>ROUNDUP(O28+(O28*Assumptions!O$5),-2)</f>
        <v>11300</v>
      </c>
      <c r="Q28" s="33">
        <f>ROUNDUP(P28+(P28*Assumptions!P$5),-2)</f>
        <v>11600</v>
      </c>
      <c r="R28" s="114">
        <f>ROUNDUP(Q28+(Q28*Assumptions!Q$5),-2)</f>
        <v>11900</v>
      </c>
    </row>
    <row r="29" spans="1:18" x14ac:dyDescent="0.2">
      <c r="A29" s="107">
        <v>4800</v>
      </c>
      <c r="B29" s="33">
        <v>10700</v>
      </c>
      <c r="C29" s="189">
        <v>10300</v>
      </c>
      <c r="D29" s="189">
        <v>11100</v>
      </c>
      <c r="E29" s="673" t="s">
        <v>2357</v>
      </c>
      <c r="F29" s="3" t="s">
        <v>756</v>
      </c>
      <c r="G29" s="187">
        <v>6400</v>
      </c>
      <c r="H29" s="138">
        <f t="shared" si="1"/>
        <v>-42.342342342342342</v>
      </c>
      <c r="I29" s="142">
        <f>ROUNDUP(G29+(G29*Assumptions!H$5),-2)</f>
        <v>6500</v>
      </c>
      <c r="J29" s="142">
        <f>ROUNDUP(I29+(I29*Assumptions!I$5),-2)</f>
        <v>6700</v>
      </c>
      <c r="K29" s="33">
        <f>ROUNDUP(J29+(J29*Assumptions!J$5),-2)</f>
        <v>6900</v>
      </c>
      <c r="L29" s="33">
        <f>ROUNDUP(K29+(K29*Assumptions!K$5),-2)</f>
        <v>7100</v>
      </c>
      <c r="M29" s="33">
        <f>ROUNDUP(L29+(L29*Assumptions!L$5),-2)</f>
        <v>7300</v>
      </c>
      <c r="N29" s="33">
        <f>ROUNDUP(M29+(M29*Assumptions!M$5),-2)</f>
        <v>7500</v>
      </c>
      <c r="O29" s="142">
        <f>ROUNDUP(N29+(N29*Assumptions!N$5),-2)</f>
        <v>7700</v>
      </c>
      <c r="P29" s="33">
        <f>ROUNDUP(O29+(O29*Assumptions!O$5),-2)</f>
        <v>7900</v>
      </c>
      <c r="Q29" s="33">
        <f>ROUNDUP(P29+(P29*Assumptions!P$5),-2)</f>
        <v>8100</v>
      </c>
      <c r="R29" s="114">
        <f>ROUNDUP(Q29+(Q29*Assumptions!Q$5),-2)</f>
        <v>8300</v>
      </c>
    </row>
    <row r="30" spans="1:18" x14ac:dyDescent="0.2">
      <c r="A30" s="107">
        <v>600</v>
      </c>
      <c r="B30" s="33">
        <v>0</v>
      </c>
      <c r="C30" s="189">
        <v>2000</v>
      </c>
      <c r="D30" s="189">
        <v>0</v>
      </c>
      <c r="E30" s="673" t="s">
        <v>2026</v>
      </c>
      <c r="F30" s="355" t="s">
        <v>762</v>
      </c>
      <c r="G30" s="187">
        <v>1100</v>
      </c>
      <c r="H30" s="138">
        <f t="shared" si="1"/>
        <v>100</v>
      </c>
      <c r="I30" s="142">
        <f>ROUNDUP(G30+(G30*Assumptions!H$5),-2)</f>
        <v>1200</v>
      </c>
      <c r="J30" s="142">
        <f>ROUNDUP(I30+(I30*Assumptions!I$5),-2)</f>
        <v>1300</v>
      </c>
      <c r="K30" s="33">
        <f>ROUNDUP(J30+(J30*Assumptions!J$5),-2)</f>
        <v>1400</v>
      </c>
      <c r="L30" s="33">
        <f>ROUNDUP(K30+(K30*Assumptions!K$5),-2)</f>
        <v>1500</v>
      </c>
      <c r="M30" s="33">
        <f>ROUNDUP(L30+(L30*Assumptions!L$5),-2)</f>
        <v>1600</v>
      </c>
      <c r="N30" s="33">
        <f>ROUNDUP(M30+(M30*Assumptions!M$5),-2)</f>
        <v>1700</v>
      </c>
      <c r="O30" s="142">
        <f>ROUNDUP(N30+(N30*Assumptions!N$5),-2)</f>
        <v>1800</v>
      </c>
      <c r="P30" s="33">
        <f>ROUNDUP(O30+(O30*Assumptions!O$5),-2)</f>
        <v>1900</v>
      </c>
      <c r="Q30" s="33">
        <f>ROUNDUP(P30+(P30*Assumptions!P$5),-2)</f>
        <v>2000</v>
      </c>
      <c r="R30" s="114">
        <f>ROUNDUP(Q30+(Q30*Assumptions!Q$5),-2)</f>
        <v>2100</v>
      </c>
    </row>
    <row r="31" spans="1:18" x14ac:dyDescent="0.2">
      <c r="A31" s="107">
        <v>10100</v>
      </c>
      <c r="B31" s="33">
        <v>8600</v>
      </c>
      <c r="C31" s="189">
        <v>7700</v>
      </c>
      <c r="D31" s="189">
        <v>6900</v>
      </c>
      <c r="E31" s="673" t="s">
        <v>2563</v>
      </c>
      <c r="F31" s="355" t="s">
        <v>1300</v>
      </c>
      <c r="G31" s="187">
        <v>12600</v>
      </c>
      <c r="H31" s="138">
        <f t="shared" si="1"/>
        <v>82.608695652173907</v>
      </c>
      <c r="I31" s="142">
        <f>ROUNDUP(G31+(G31*Assumptions!H$5),-2)</f>
        <v>12800</v>
      </c>
      <c r="J31" s="142">
        <f>ROUNDUP(I31+(I31*Assumptions!I$5),-2)</f>
        <v>13200</v>
      </c>
      <c r="K31" s="33">
        <f>ROUNDUP(J31+(J31*Assumptions!J$5),-2)</f>
        <v>13600</v>
      </c>
      <c r="L31" s="33">
        <f>ROUNDUP(K31+(K31*Assumptions!K$5),-2)</f>
        <v>14000</v>
      </c>
      <c r="M31" s="33">
        <f>ROUNDUP(L31+(L31*Assumptions!L$5),-2)</f>
        <v>14300</v>
      </c>
      <c r="N31" s="33">
        <f>ROUNDUP(M31+(M31*Assumptions!M$5),-2)</f>
        <v>14600</v>
      </c>
      <c r="O31" s="142">
        <f>ROUNDUP(N31+(N31*Assumptions!N$5),-2)</f>
        <v>14900</v>
      </c>
      <c r="P31" s="33">
        <f>ROUNDUP(O31+(O31*Assumptions!O$5),-2)</f>
        <v>15200</v>
      </c>
      <c r="Q31" s="33">
        <f>ROUNDUP(P31+(P31*Assumptions!P$5),-2)</f>
        <v>15600</v>
      </c>
      <c r="R31" s="114">
        <f>ROUNDUP(Q31+(Q31*Assumptions!Q$5),-2)</f>
        <v>16000</v>
      </c>
    </row>
    <row r="32" spans="1:18" x14ac:dyDescent="0.2">
      <c r="A32" s="107">
        <v>21000</v>
      </c>
      <c r="B32" s="33">
        <v>26800</v>
      </c>
      <c r="C32" s="189">
        <v>27100</v>
      </c>
      <c r="D32" s="189">
        <v>22600</v>
      </c>
      <c r="E32" s="1098" t="s">
        <v>3036</v>
      </c>
      <c r="F32" s="355" t="s">
        <v>1011</v>
      </c>
      <c r="G32" s="187">
        <v>23100</v>
      </c>
      <c r="H32" s="138">
        <f t="shared" si="1"/>
        <v>2.2123893805309733</v>
      </c>
      <c r="I32" s="142">
        <f>ROUNDUP(G32+(G32*Assumptions!H$5),-2)</f>
        <v>23500</v>
      </c>
      <c r="J32" s="142">
        <f>ROUNDUP(I32+(I32*Assumptions!I$5),-2)</f>
        <v>24100</v>
      </c>
      <c r="K32" s="33">
        <f>ROUNDUP(J32+(J32*Assumptions!J$5),-2)</f>
        <v>24800</v>
      </c>
      <c r="L32" s="33">
        <f>ROUNDUP(K32+(K32*Assumptions!K$5),-2)</f>
        <v>25500</v>
      </c>
      <c r="M32" s="33">
        <f>ROUNDUP(L32+(L32*Assumptions!L$5),-2)</f>
        <v>26100</v>
      </c>
      <c r="N32" s="33">
        <f>ROUNDUP(M32+(M32*Assumptions!M$5),-2)</f>
        <v>26700</v>
      </c>
      <c r="O32" s="142">
        <f>ROUNDUP(N32+(N32*Assumptions!N$5),-2)</f>
        <v>27300</v>
      </c>
      <c r="P32" s="33">
        <f>ROUNDUP(O32+(O32*Assumptions!O$5),-2)</f>
        <v>27900</v>
      </c>
      <c r="Q32" s="33">
        <f>ROUNDUP(P32+(P32*Assumptions!P$5),-2)</f>
        <v>28500</v>
      </c>
      <c r="R32" s="114">
        <f>ROUNDUP(Q32+(Q32*Assumptions!Q$5),-2)</f>
        <v>29100</v>
      </c>
    </row>
    <row r="33" spans="1:18" x14ac:dyDescent="0.2">
      <c r="A33" s="107">
        <v>0</v>
      </c>
      <c r="B33" s="33">
        <v>0</v>
      </c>
      <c r="C33" s="189">
        <v>1000</v>
      </c>
      <c r="D33" s="189">
        <v>700</v>
      </c>
      <c r="E33" s="673" t="s">
        <v>2654</v>
      </c>
      <c r="F33" s="355" t="s">
        <v>945</v>
      </c>
      <c r="G33" s="187">
        <v>1100</v>
      </c>
      <c r="H33" s="138">
        <f t="shared" si="1"/>
        <v>57.142857142857139</v>
      </c>
      <c r="I33" s="142">
        <f>ROUNDUP(G33+(G33*Assumptions!H$5),-2)</f>
        <v>1200</v>
      </c>
      <c r="J33" s="142">
        <f>ROUNDUP(I33+(I33*Assumptions!I$5),-2)</f>
        <v>1300</v>
      </c>
      <c r="K33" s="33">
        <f>ROUNDUP(J33+(J33*Assumptions!J$5),-2)</f>
        <v>1400</v>
      </c>
      <c r="L33" s="33">
        <f>ROUNDUP(K33+(K33*Assumptions!K$5),-2)</f>
        <v>1500</v>
      </c>
      <c r="M33" s="33">
        <f>ROUNDUP(L33+(L33*Assumptions!L$5),-2)</f>
        <v>1600</v>
      </c>
      <c r="N33" s="33">
        <f>ROUNDUP(M33+(M33*Assumptions!M$5),-2)</f>
        <v>1700</v>
      </c>
      <c r="O33" s="142">
        <f>ROUNDUP(N33+(N33*Assumptions!N$5),-2)</f>
        <v>1800</v>
      </c>
      <c r="P33" s="33">
        <f>ROUNDUP(O33+(O33*Assumptions!O$5),-2)</f>
        <v>1900</v>
      </c>
      <c r="Q33" s="33">
        <f>ROUNDUP(P33+(P33*Assumptions!P$5),-2)</f>
        <v>2000</v>
      </c>
      <c r="R33" s="114">
        <f>ROUNDUP(Q33+(Q33*Assumptions!Q$5),-2)</f>
        <v>2100</v>
      </c>
    </row>
    <row r="34" spans="1:18" x14ac:dyDescent="0.2">
      <c r="A34" s="107">
        <v>31900</v>
      </c>
      <c r="B34" s="33">
        <v>25300</v>
      </c>
      <c r="C34" s="189">
        <v>23800</v>
      </c>
      <c r="D34" s="189">
        <v>24500</v>
      </c>
      <c r="E34" s="673" t="s">
        <v>2560</v>
      </c>
      <c r="F34" s="355" t="s">
        <v>1770</v>
      </c>
      <c r="G34" s="187">
        <v>31600</v>
      </c>
      <c r="H34" s="138">
        <f t="shared" si="1"/>
        <v>28.979591836734691</v>
      </c>
      <c r="I34" s="142">
        <f>ROUNDUP(G34+(G34*Assumptions!H$5),-2)</f>
        <v>32100</v>
      </c>
      <c r="J34" s="142">
        <f>ROUNDUP(I34+(I34*Assumptions!I$5),-2)</f>
        <v>33000</v>
      </c>
      <c r="K34" s="33">
        <f>ROUNDUP(J34+(J34*Assumptions!J$5),-2)</f>
        <v>33900</v>
      </c>
      <c r="L34" s="33">
        <f>ROUNDUP(K34+(K34*Assumptions!K$5),-2)</f>
        <v>34800</v>
      </c>
      <c r="M34" s="33">
        <f>ROUNDUP(L34+(L34*Assumptions!L$5),-2)</f>
        <v>35500</v>
      </c>
      <c r="N34" s="33">
        <f>ROUNDUP(M34+(M34*Assumptions!M$5),-2)</f>
        <v>36300</v>
      </c>
      <c r="O34" s="142">
        <f>ROUNDUP(N34+(N34*Assumptions!N$5),-2)</f>
        <v>37100</v>
      </c>
      <c r="P34" s="33">
        <f>ROUNDUP(O34+(O34*Assumptions!O$5),-2)</f>
        <v>37900</v>
      </c>
      <c r="Q34" s="33">
        <f>ROUNDUP(P34+(P34*Assumptions!P$5),-2)</f>
        <v>38700</v>
      </c>
      <c r="R34" s="114">
        <f>ROUNDUP(Q34+(Q34*Assumptions!Q$5),-2)</f>
        <v>39500</v>
      </c>
    </row>
    <row r="35" spans="1:18" x14ac:dyDescent="0.2">
      <c r="A35" s="107">
        <v>82000</v>
      </c>
      <c r="B35" s="33">
        <v>89000</v>
      </c>
      <c r="C35" s="189">
        <v>69000</v>
      </c>
      <c r="D35" s="189">
        <v>61000</v>
      </c>
      <c r="E35" s="673" t="s">
        <v>2655</v>
      </c>
      <c r="F35" s="890" t="s">
        <v>3974</v>
      </c>
      <c r="G35" s="187">
        <v>69000</v>
      </c>
      <c r="H35" s="138">
        <f t="shared" si="1"/>
        <v>13.114754098360656</v>
      </c>
      <c r="I35" s="142">
        <f>Overheads!I284</f>
        <v>70000</v>
      </c>
      <c r="J35" s="142">
        <f>ROUND(I35*Assumptions!I$5+NEWLOG!I35,-2)</f>
        <v>71800</v>
      </c>
      <c r="K35" s="33">
        <f>ROUND(J35*Assumptions!J$5+NEWLOG!J35,-2)</f>
        <v>73600</v>
      </c>
      <c r="L35" s="33">
        <f>ROUND(K35*Assumptions!K$5+NEWLOG!K35,-2)</f>
        <v>75400</v>
      </c>
      <c r="M35" s="33">
        <f>ROUND(L35*Assumptions!L$5+NEWLOG!L35,-2)</f>
        <v>76900</v>
      </c>
      <c r="N35" s="33">
        <f>ROUND(M35*Assumptions!M$5+NEWLOG!M35,-2)</f>
        <v>78400</v>
      </c>
      <c r="O35" s="142">
        <f>ROUND(N35*Assumptions!N$5+NEWLOG!N35,-2)</f>
        <v>80000</v>
      </c>
      <c r="P35" s="33">
        <f>ROUND(O35*Assumptions!O$5+NEWLOG!O35,-2)</f>
        <v>81600</v>
      </c>
      <c r="Q35" s="33">
        <f>ROUND(P35*Assumptions!P$5+NEWLOG!P35,-2)</f>
        <v>83200</v>
      </c>
      <c r="R35" s="114">
        <f>ROUND(Q35*Assumptions!Q$5+NEWLOG!Q35,-2)</f>
        <v>84900</v>
      </c>
    </row>
    <row r="36" spans="1:18" x14ac:dyDescent="0.2">
      <c r="A36" s="107"/>
      <c r="B36" s="33"/>
      <c r="E36" s="445"/>
      <c r="F36" s="3"/>
      <c r="G36" s="187"/>
      <c r="H36" s="138"/>
      <c r="I36" s="142"/>
      <c r="J36" s="142"/>
      <c r="K36" s="33"/>
      <c r="L36" s="33"/>
      <c r="M36" s="33"/>
      <c r="N36" s="33"/>
      <c r="O36" s="142"/>
      <c r="P36" s="33"/>
      <c r="Q36" s="33"/>
      <c r="R36" s="114"/>
    </row>
    <row r="37" spans="1:18" x14ac:dyDescent="0.2">
      <c r="A37" s="107"/>
      <c r="B37" s="33"/>
      <c r="E37" s="437"/>
      <c r="F37" s="6" t="s">
        <v>2656</v>
      </c>
      <c r="G37" s="187"/>
      <c r="H37" s="138"/>
      <c r="I37" s="142"/>
      <c r="J37" s="142"/>
      <c r="K37" s="33"/>
      <c r="L37" s="33"/>
      <c r="M37" s="33"/>
      <c r="N37" s="33"/>
      <c r="O37" s="142"/>
      <c r="P37" s="33"/>
      <c r="Q37" s="33"/>
      <c r="R37" s="114"/>
    </row>
    <row r="38" spans="1:18" x14ac:dyDescent="0.2">
      <c r="A38" s="107">
        <v>200</v>
      </c>
      <c r="B38" s="33">
        <f>3500-2900-500</f>
        <v>100</v>
      </c>
      <c r="C38" s="189">
        <f>100</f>
        <v>100</v>
      </c>
      <c r="D38" s="189">
        <v>1800</v>
      </c>
      <c r="E38" s="673" t="s">
        <v>1581</v>
      </c>
      <c r="F38" s="890" t="s">
        <v>5347</v>
      </c>
      <c r="G38" s="187">
        <v>1700</v>
      </c>
      <c r="H38" s="138">
        <f t="shared" ref="H38:H45" si="2">IF(D38=G38,0,IF(D38=0,100,(G38-D38)/D38*100))</f>
        <v>-5.5555555555555554</v>
      </c>
      <c r="I38" s="142">
        <f>ROUNDUP(G38+(G38*Assumptions!H$5),-2)</f>
        <v>1800</v>
      </c>
      <c r="J38" s="142">
        <f>ROUNDUP(I38+(I38*Assumptions!I$5),-2)</f>
        <v>1900</v>
      </c>
      <c r="K38" s="33">
        <f>ROUNDUP(J38+(J38*Assumptions!J$5),-2)</f>
        <v>2000</v>
      </c>
      <c r="L38" s="33">
        <f>ROUNDUP(K38+(K38*Assumptions!K$5),-2)</f>
        <v>2100</v>
      </c>
      <c r="M38" s="33">
        <f>ROUNDUP(L38+(L38*Assumptions!L$5),-2)</f>
        <v>2200</v>
      </c>
      <c r="N38" s="33">
        <f>ROUNDUP(M38+(M38*Assumptions!M$5),-2)</f>
        <v>2300</v>
      </c>
      <c r="O38" s="142">
        <f>ROUNDUP(N38+(N38*Assumptions!N$5),-2)</f>
        <v>2400</v>
      </c>
      <c r="P38" s="33">
        <f>ROUNDUP(O38+(O38*Assumptions!O$5),-2)</f>
        <v>2500</v>
      </c>
      <c r="Q38" s="33">
        <f>ROUNDUP(P38+(P38*Assumptions!P$5),-2)</f>
        <v>2600</v>
      </c>
      <c r="R38" s="114">
        <f>ROUNDUP(Q38+(Q38*Assumptions!Q$5),-2)</f>
        <v>2700</v>
      </c>
    </row>
    <row r="39" spans="1:18" x14ac:dyDescent="0.2">
      <c r="A39" s="107">
        <v>2800</v>
      </c>
      <c r="B39" s="33">
        <v>2900</v>
      </c>
      <c r="C39" s="189">
        <v>3000</v>
      </c>
      <c r="D39" s="189">
        <v>3100</v>
      </c>
      <c r="E39" s="673" t="s">
        <v>1917</v>
      </c>
      <c r="F39" s="3" t="s">
        <v>732</v>
      </c>
      <c r="G39" s="187">
        <v>3200</v>
      </c>
      <c r="H39" s="138">
        <f t="shared" si="2"/>
        <v>3.225806451612903</v>
      </c>
      <c r="I39" s="142">
        <f>ROUNDUP(G39+(G39*Assumptions!H$5),-2)</f>
        <v>3300</v>
      </c>
      <c r="J39" s="142">
        <f>ROUNDUP(I39+(I39*Assumptions!I$5),-2)</f>
        <v>3400</v>
      </c>
      <c r="K39" s="33">
        <f>ROUNDUP(J39+(J39*Assumptions!J$5),-2)</f>
        <v>3500</v>
      </c>
      <c r="L39" s="33">
        <f>ROUNDUP(K39+(K39*Assumptions!K$5),-2)</f>
        <v>3600</v>
      </c>
      <c r="M39" s="33">
        <f>ROUNDUP(L39+(L39*Assumptions!L$5),-2)</f>
        <v>3700</v>
      </c>
      <c r="N39" s="33">
        <f>ROUNDUP(M39+(M39*Assumptions!M$5),-2)</f>
        <v>3800</v>
      </c>
      <c r="O39" s="142">
        <f>ROUNDUP(N39+(N39*Assumptions!N$5),-2)</f>
        <v>3900</v>
      </c>
      <c r="P39" s="33">
        <f>ROUNDUP(O39+(O39*Assumptions!O$5),-2)</f>
        <v>4000</v>
      </c>
      <c r="Q39" s="33">
        <f>ROUNDUP(P39+(P39*Assumptions!P$5),-2)</f>
        <v>4100</v>
      </c>
      <c r="R39" s="114">
        <f>ROUNDUP(Q39+(Q39*Assumptions!Q$5),-2)</f>
        <v>4200</v>
      </c>
    </row>
    <row r="40" spans="1:18" x14ac:dyDescent="0.2">
      <c r="A40" s="107">
        <v>500</v>
      </c>
      <c r="B40" s="33">
        <v>500</v>
      </c>
      <c r="C40" s="189">
        <v>300</v>
      </c>
      <c r="D40" s="189">
        <v>200</v>
      </c>
      <c r="E40" s="673" t="s">
        <v>2028</v>
      </c>
      <c r="F40" s="3" t="s">
        <v>719</v>
      </c>
      <c r="G40" s="187">
        <v>700</v>
      </c>
      <c r="H40" s="138">
        <f t="shared" si="2"/>
        <v>250</v>
      </c>
      <c r="I40" s="142">
        <f>ROUNDUP(G40+(G40*Assumptions!H$5),-2)</f>
        <v>800</v>
      </c>
      <c r="J40" s="142">
        <f>ROUNDUP(I40+(I40*Assumptions!I$5),-2)</f>
        <v>900</v>
      </c>
      <c r="K40" s="33">
        <f>ROUNDUP(J40+(J40*Assumptions!J$5),-2)</f>
        <v>1000</v>
      </c>
      <c r="L40" s="33">
        <f>ROUNDUP(K40+(K40*Assumptions!K$5),-2)</f>
        <v>1100</v>
      </c>
      <c r="M40" s="33">
        <f>ROUNDUP(L40+(L40*Assumptions!L$5),-2)</f>
        <v>1200</v>
      </c>
      <c r="N40" s="33">
        <f>ROUNDUP(M40+(M40*Assumptions!M$5),-2)</f>
        <v>1300</v>
      </c>
      <c r="O40" s="142">
        <f>ROUNDUP(N40+(N40*Assumptions!N$5),-2)</f>
        <v>1400</v>
      </c>
      <c r="P40" s="33">
        <f>ROUNDUP(O40+(O40*Assumptions!O$5),-2)</f>
        <v>1500</v>
      </c>
      <c r="Q40" s="33">
        <f>ROUNDUP(P40+(P40*Assumptions!P$5),-2)</f>
        <v>1600</v>
      </c>
      <c r="R40" s="114">
        <f>ROUNDUP(Q40+(Q40*Assumptions!Q$5),-2)</f>
        <v>1700</v>
      </c>
    </row>
    <row r="41" spans="1:18" x14ac:dyDescent="0.2">
      <c r="A41" s="107">
        <v>2500</v>
      </c>
      <c r="B41" s="33">
        <v>100</v>
      </c>
      <c r="C41" s="189">
        <v>0</v>
      </c>
      <c r="D41" s="189">
        <v>0</v>
      </c>
      <c r="E41" s="673" t="s">
        <v>1579</v>
      </c>
      <c r="F41" s="3" t="s">
        <v>1868</v>
      </c>
      <c r="G41" s="187">
        <v>2700</v>
      </c>
      <c r="H41" s="138">
        <f t="shared" si="2"/>
        <v>100</v>
      </c>
      <c r="I41" s="142">
        <f>ROUNDUP(G41+(G41*Assumptions!H$5),-2)</f>
        <v>2800</v>
      </c>
      <c r="J41" s="142">
        <f>ROUNDUP(I41+(I41*Assumptions!I$5),-2)</f>
        <v>2900</v>
      </c>
      <c r="K41" s="33">
        <f>ROUNDUP(J41+(J41*Assumptions!J$5),-2)</f>
        <v>3000</v>
      </c>
      <c r="L41" s="33">
        <f>ROUNDUP(K41+(K41*Assumptions!K$5),-2)</f>
        <v>3100</v>
      </c>
      <c r="M41" s="33">
        <f>ROUNDUP(L41+(L41*Assumptions!L$5),-2)</f>
        <v>3200</v>
      </c>
      <c r="N41" s="33">
        <f>ROUNDUP(M41+(M41*Assumptions!M$5),-2)</f>
        <v>3300</v>
      </c>
      <c r="O41" s="142">
        <f>ROUNDUP(N41+(N41*Assumptions!N$5),-2)</f>
        <v>3400</v>
      </c>
      <c r="P41" s="33">
        <f>ROUNDUP(O41+(O41*Assumptions!O$5),-2)</f>
        <v>3500</v>
      </c>
      <c r="Q41" s="33">
        <f>ROUNDUP(P41+(P41*Assumptions!P$5),-2)</f>
        <v>3600</v>
      </c>
      <c r="R41" s="114">
        <f>ROUNDUP(Q41+(Q41*Assumptions!Q$5),-2)</f>
        <v>3700</v>
      </c>
    </row>
    <row r="42" spans="1:18" x14ac:dyDescent="0.2">
      <c r="A42" s="107">
        <v>4300</v>
      </c>
      <c r="B42" s="33">
        <v>600</v>
      </c>
      <c r="C42" s="189">
        <v>1100</v>
      </c>
      <c r="D42" s="189">
        <v>1800</v>
      </c>
      <c r="E42" s="673" t="s">
        <v>2027</v>
      </c>
      <c r="F42" s="3" t="s">
        <v>676</v>
      </c>
      <c r="G42" s="187">
        <v>2700</v>
      </c>
      <c r="H42" s="138">
        <f t="shared" si="2"/>
        <v>50</v>
      </c>
      <c r="I42" s="142">
        <f>ROUNDUP(G42+(G42*Assumptions!H$5),-2)</f>
        <v>2800</v>
      </c>
      <c r="J42" s="142">
        <f>ROUNDUP(I42+(I42*Assumptions!I$5),-2)</f>
        <v>2900</v>
      </c>
      <c r="K42" s="33">
        <f>ROUNDUP(J42+(J42*Assumptions!J$5),-2)</f>
        <v>3000</v>
      </c>
      <c r="L42" s="33">
        <f>ROUNDUP(K42+(K42*Assumptions!K$5),-2)</f>
        <v>3100</v>
      </c>
      <c r="M42" s="33">
        <f>ROUNDUP(L42+(L42*Assumptions!L$5),-2)</f>
        <v>3200</v>
      </c>
      <c r="N42" s="33">
        <f>ROUNDUP(M42+(M42*Assumptions!M$5),-2)</f>
        <v>3300</v>
      </c>
      <c r="O42" s="142">
        <f>ROUNDUP(N42+(N42*Assumptions!N$5),-2)</f>
        <v>3400</v>
      </c>
      <c r="P42" s="33">
        <f>ROUNDUP(O42+(O42*Assumptions!O$5),-2)</f>
        <v>3500</v>
      </c>
      <c r="Q42" s="33">
        <f>ROUNDUP(P42+(P42*Assumptions!P$5),-2)</f>
        <v>3600</v>
      </c>
      <c r="R42" s="114">
        <f>ROUNDUP(Q42+(Q42*Assumptions!Q$5),-2)</f>
        <v>3700</v>
      </c>
    </row>
    <row r="43" spans="1:18" x14ac:dyDescent="0.2">
      <c r="A43" s="107">
        <v>3900</v>
      </c>
      <c r="B43" s="33">
        <v>2800</v>
      </c>
      <c r="C43" s="189">
        <v>2900</v>
      </c>
      <c r="D43" s="189">
        <v>2800</v>
      </c>
      <c r="E43" s="673" t="s">
        <v>1580</v>
      </c>
      <c r="F43" s="3" t="s">
        <v>681</v>
      </c>
      <c r="G43" s="187">
        <v>4200</v>
      </c>
      <c r="H43" s="138">
        <f t="shared" si="2"/>
        <v>50</v>
      </c>
      <c r="I43" s="142">
        <f>ROUNDUP(G43+(G43*Assumptions!H$5),-2)</f>
        <v>4300</v>
      </c>
      <c r="J43" s="142">
        <f>ROUNDUP(I43+(I43*Assumptions!I$5),-2)</f>
        <v>4500</v>
      </c>
      <c r="K43" s="33">
        <f>ROUNDUP(J43+(J43*Assumptions!J$5),-2)</f>
        <v>4700</v>
      </c>
      <c r="L43" s="33">
        <f>ROUNDUP(K43+(K43*Assumptions!K$5),-2)</f>
        <v>4900</v>
      </c>
      <c r="M43" s="33">
        <f>ROUNDUP(L43+(L43*Assumptions!L$5),-2)</f>
        <v>5000</v>
      </c>
      <c r="N43" s="33">
        <f>ROUNDUP(M43+(M43*Assumptions!M$5),-2)</f>
        <v>5100</v>
      </c>
      <c r="O43" s="142">
        <f>ROUNDUP(N43+(N43*Assumptions!N$5),-2)</f>
        <v>5300</v>
      </c>
      <c r="P43" s="33">
        <f>ROUNDUP(O43+(O43*Assumptions!O$5),-2)</f>
        <v>5500</v>
      </c>
      <c r="Q43" s="33">
        <f>ROUNDUP(P43+(P43*Assumptions!P$5),-2)</f>
        <v>5700</v>
      </c>
      <c r="R43" s="114">
        <f>ROUNDUP(Q43+(Q43*Assumptions!Q$5),-2)</f>
        <v>5900</v>
      </c>
    </row>
    <row r="44" spans="1:18" x14ac:dyDescent="0.2">
      <c r="A44" s="107">
        <v>5000</v>
      </c>
      <c r="B44" s="33">
        <v>4700</v>
      </c>
      <c r="C44" s="189">
        <v>4700</v>
      </c>
      <c r="D44" s="189">
        <v>4700</v>
      </c>
      <c r="E44" s="673" t="s">
        <v>2025</v>
      </c>
      <c r="F44" s="3" t="s">
        <v>2774</v>
      </c>
      <c r="G44" s="187">
        <v>5400</v>
      </c>
      <c r="H44" s="138">
        <f t="shared" si="2"/>
        <v>14.893617021276595</v>
      </c>
      <c r="I44" s="142">
        <f>ROUNDUP(G44+(G44*Assumptions!H$5),-2)</f>
        <v>5500</v>
      </c>
      <c r="J44" s="142">
        <f>ROUNDUP(I44+(I44*Assumptions!I$5),-2)</f>
        <v>5700</v>
      </c>
      <c r="K44" s="33">
        <f>ROUNDUP(J44+(J44*Assumptions!J$5),-2)</f>
        <v>5900</v>
      </c>
      <c r="L44" s="33">
        <f>ROUNDUP(K44+(K44*Assumptions!K$5),-2)</f>
        <v>6100</v>
      </c>
      <c r="M44" s="33">
        <f>ROUNDUP(L44+(L44*Assumptions!L$5),-2)</f>
        <v>6300</v>
      </c>
      <c r="N44" s="33">
        <f>ROUNDUP(M44+(M44*Assumptions!M$5),-2)</f>
        <v>6500</v>
      </c>
      <c r="O44" s="142">
        <f>ROUNDUP(N44+(N44*Assumptions!N$5),-2)</f>
        <v>6700</v>
      </c>
      <c r="P44" s="33">
        <f>ROUNDUP(O44+(O44*Assumptions!O$5),-2)</f>
        <v>6900</v>
      </c>
      <c r="Q44" s="33">
        <f>ROUNDUP(P44+(P44*Assumptions!P$5),-2)</f>
        <v>7100</v>
      </c>
      <c r="R44" s="114">
        <f>ROUNDUP(Q44+(Q44*Assumptions!Q$5),-2)</f>
        <v>7300</v>
      </c>
    </row>
    <row r="45" spans="1:18" x14ac:dyDescent="0.2">
      <c r="A45" s="107">
        <v>3100</v>
      </c>
      <c r="B45" s="33">
        <v>6500</v>
      </c>
      <c r="C45" s="189">
        <v>3400</v>
      </c>
      <c r="D45" s="189">
        <v>4000</v>
      </c>
      <c r="E45" s="673" t="s">
        <v>2029</v>
      </c>
      <c r="F45" s="3" t="s">
        <v>1340</v>
      </c>
      <c r="G45" s="187">
        <v>5900</v>
      </c>
      <c r="H45" s="138">
        <f t="shared" si="2"/>
        <v>47.5</v>
      </c>
      <c r="I45" s="142">
        <f>ROUNDUP(G45+(G45*Assumptions!H$5),-2)</f>
        <v>6000</v>
      </c>
      <c r="J45" s="142">
        <f>ROUNDUP(I45+(I45*Assumptions!I$5),-2)</f>
        <v>6200</v>
      </c>
      <c r="K45" s="33">
        <f>ROUNDUP(J45+(J45*Assumptions!J$5),-2)</f>
        <v>6400</v>
      </c>
      <c r="L45" s="33">
        <f>ROUNDUP(K45+(K45*Assumptions!K$5),-2)</f>
        <v>6600</v>
      </c>
      <c r="M45" s="33">
        <f>ROUNDUP(L45+(L45*Assumptions!L$5),-2)</f>
        <v>6800</v>
      </c>
      <c r="N45" s="33">
        <f>ROUNDUP(M45+(M45*Assumptions!M$5),-2)</f>
        <v>7000</v>
      </c>
      <c r="O45" s="142">
        <f>ROUNDUP(N45+(N45*Assumptions!N$5),-2)</f>
        <v>7200</v>
      </c>
      <c r="P45" s="33">
        <f>ROUNDUP(O45+(O45*Assumptions!O$5),-2)</f>
        <v>7400</v>
      </c>
      <c r="Q45" s="33">
        <f>ROUNDUP(P45+(P45*Assumptions!P$5),-2)</f>
        <v>7600</v>
      </c>
      <c r="R45" s="114">
        <f>ROUNDUP(Q45+(Q45*Assumptions!Q$5),-2)</f>
        <v>7800</v>
      </c>
    </row>
    <row r="46" spans="1:18" x14ac:dyDescent="0.2">
      <c r="A46" s="107"/>
      <c r="B46" s="33"/>
      <c r="E46" s="445"/>
      <c r="F46" s="3"/>
      <c r="G46" s="187"/>
      <c r="H46" s="138"/>
      <c r="I46" s="142"/>
      <c r="J46" s="142"/>
      <c r="K46" s="33"/>
      <c r="L46" s="33"/>
      <c r="M46" s="33"/>
      <c r="N46" s="33"/>
      <c r="O46" s="142"/>
      <c r="P46" s="33"/>
      <c r="Q46" s="33"/>
      <c r="R46" s="114"/>
    </row>
    <row r="47" spans="1:18" x14ac:dyDescent="0.2">
      <c r="A47" s="107"/>
      <c r="B47" s="33"/>
      <c r="E47" s="443"/>
      <c r="F47" s="2640" t="s">
        <v>265</v>
      </c>
      <c r="G47" s="187"/>
      <c r="H47" s="138"/>
      <c r="I47" s="142"/>
      <c r="J47" s="142"/>
      <c r="K47" s="33"/>
      <c r="L47" s="33"/>
      <c r="M47" s="33"/>
      <c r="N47" s="33"/>
      <c r="O47" s="142"/>
      <c r="P47" s="33"/>
      <c r="Q47" s="33"/>
      <c r="R47" s="114"/>
    </row>
    <row r="48" spans="1:18" x14ac:dyDescent="0.2">
      <c r="A48" s="107">
        <v>0</v>
      </c>
      <c r="B48" s="33">
        <v>0</v>
      </c>
      <c r="C48" s="189">
        <v>0</v>
      </c>
      <c r="D48" s="189">
        <v>0</v>
      </c>
      <c r="E48" s="673" t="s">
        <v>2696</v>
      </c>
      <c r="F48" s="3" t="s">
        <v>1204</v>
      </c>
      <c r="G48" s="187">
        <v>0</v>
      </c>
      <c r="H48" s="138">
        <f>IF(D48=G48,0,IF(D48=0,100,(G48-D48)/D48*100))</f>
        <v>0</v>
      </c>
      <c r="I48" s="142">
        <v>12500</v>
      </c>
      <c r="J48" s="142">
        <v>13000</v>
      </c>
      <c r="K48" s="33">
        <v>0</v>
      </c>
      <c r="L48" s="33">
        <v>13700</v>
      </c>
      <c r="M48" s="33">
        <v>0</v>
      </c>
      <c r="N48" s="33">
        <v>14600</v>
      </c>
      <c r="O48" s="142">
        <v>0</v>
      </c>
      <c r="P48" s="33">
        <v>0</v>
      </c>
      <c r="Q48" s="33">
        <v>0</v>
      </c>
      <c r="R48" s="114">
        <v>0</v>
      </c>
    </row>
    <row r="49" spans="1:18" x14ac:dyDescent="0.2">
      <c r="A49" s="107">
        <v>29900</v>
      </c>
      <c r="B49" s="33">
        <v>23900</v>
      </c>
      <c r="C49" s="189">
        <v>21800</v>
      </c>
      <c r="D49" s="189">
        <v>19200</v>
      </c>
      <c r="E49" s="673" t="s">
        <v>2697</v>
      </c>
      <c r="F49" s="346" t="s">
        <v>2070</v>
      </c>
      <c r="G49" s="187">
        <v>30000</v>
      </c>
      <c r="H49" s="138">
        <f>IF(D49=G49,0,IF(D49=0,100,(G49-D49)/D49*100))</f>
        <v>56.25</v>
      </c>
      <c r="I49" s="142">
        <f>ROUNDUP(G49+(G49*Assumptions!H$5),-2)</f>
        <v>30500</v>
      </c>
      <c r="J49" s="142">
        <f>ROUNDUP(I49+(I49*Assumptions!I$5),-2)</f>
        <v>31300</v>
      </c>
      <c r="K49" s="33">
        <f>ROUNDUP(J49+(J49*Assumptions!J$5),-2)</f>
        <v>32100</v>
      </c>
      <c r="L49" s="33">
        <f>ROUNDUP(K49+(K49*Assumptions!K$5),-2)</f>
        <v>33000</v>
      </c>
      <c r="M49" s="33">
        <f>ROUNDUP(L49+(L49*Assumptions!L$5),-2)</f>
        <v>33700</v>
      </c>
      <c r="N49" s="33">
        <f>ROUNDUP(M49+(M49*Assumptions!M$5),-2)</f>
        <v>34400</v>
      </c>
      <c r="O49" s="142">
        <f>ROUNDUP(N49+(N49*Assumptions!N$5),-2)</f>
        <v>35100</v>
      </c>
      <c r="P49" s="33">
        <f>ROUNDUP(O49+(O49*Assumptions!O$5),-2)</f>
        <v>35900</v>
      </c>
      <c r="Q49" s="33">
        <f>ROUNDUP(P49+(P49*Assumptions!P$5),-2)</f>
        <v>36700</v>
      </c>
      <c r="R49" s="114">
        <f>ROUNDUP(Q49+(Q49*Assumptions!Q$5),-2)</f>
        <v>37500</v>
      </c>
    </row>
    <row r="50" spans="1:18" ht="13.5" thickBot="1" x14ac:dyDescent="0.25">
      <c r="A50" s="107"/>
      <c r="B50" s="33"/>
      <c r="C50" s="187"/>
      <c r="D50" s="187"/>
      <c r="E50" s="238"/>
      <c r="F50" s="76"/>
      <c r="G50" s="187"/>
      <c r="H50" s="138"/>
      <c r="I50" s="142"/>
      <c r="J50" s="142"/>
      <c r="K50" s="33"/>
      <c r="L50" s="33"/>
      <c r="M50" s="33"/>
      <c r="N50" s="33"/>
      <c r="O50" s="142"/>
      <c r="P50" s="33"/>
      <c r="Q50" s="33"/>
      <c r="R50" s="114"/>
    </row>
    <row r="51" spans="1:18" s="92" customFormat="1" x14ac:dyDescent="0.2">
      <c r="A51" s="105">
        <f>SUM(A23:A50)</f>
        <v>504600</v>
      </c>
      <c r="B51" s="53">
        <f>SUM(B23:B50)</f>
        <v>501900</v>
      </c>
      <c r="C51" s="190">
        <f>SUM(C23:C50)</f>
        <v>475000</v>
      </c>
      <c r="D51" s="190">
        <f>SUM(D23:D50)</f>
        <v>475400</v>
      </c>
      <c r="E51" s="237"/>
      <c r="F51" s="1960" t="s">
        <v>565</v>
      </c>
      <c r="G51" s="199">
        <f t="shared" ref="G51:O51" si="3">SUM(G23:G50)</f>
        <v>497700</v>
      </c>
      <c r="H51" s="1707">
        <f>IF(D51=G51,0,IF(D51=0,100,(G51-D51)/D51*100))</f>
        <v>4.6907867059318464</v>
      </c>
      <c r="I51" s="155">
        <f t="shared" si="3"/>
        <v>518600</v>
      </c>
      <c r="J51" s="155">
        <f t="shared" si="3"/>
        <v>532800</v>
      </c>
      <c r="K51" s="53">
        <f t="shared" si="3"/>
        <v>533800</v>
      </c>
      <c r="L51" s="53">
        <f t="shared" si="3"/>
        <v>561800</v>
      </c>
      <c r="M51" s="53">
        <f t="shared" si="3"/>
        <v>560100</v>
      </c>
      <c r="N51" s="53">
        <f t="shared" si="3"/>
        <v>586900</v>
      </c>
      <c r="O51" s="155">
        <f t="shared" si="3"/>
        <v>584900</v>
      </c>
      <c r="P51" s="53">
        <f t="shared" ref="P51:Q51" si="4">SUM(P23:P50)</f>
        <v>597700</v>
      </c>
      <c r="Q51" s="53">
        <f t="shared" si="4"/>
        <v>610700</v>
      </c>
      <c r="R51" s="113">
        <f t="shared" ref="R51" si="5">SUM(R23:R50)</f>
        <v>623900</v>
      </c>
    </row>
    <row r="52" spans="1:18" x14ac:dyDescent="0.2">
      <c r="A52" s="107"/>
      <c r="B52" s="33"/>
      <c r="E52" s="1955"/>
      <c r="F52" s="1981"/>
      <c r="G52" s="187"/>
      <c r="H52" s="138"/>
      <c r="I52" s="142"/>
      <c r="J52" s="142"/>
      <c r="K52" s="33"/>
      <c r="L52" s="33"/>
      <c r="M52" s="33"/>
      <c r="N52" s="33"/>
      <c r="O52" s="142"/>
      <c r="P52" s="33"/>
      <c r="Q52" s="33"/>
      <c r="R52" s="114"/>
    </row>
    <row r="53" spans="1:18" s="92" customFormat="1" x14ac:dyDescent="0.2">
      <c r="A53" s="70">
        <f>A20-A51</f>
        <v>-221800</v>
      </c>
      <c r="B53" s="64">
        <f>B20-B51</f>
        <v>-229600</v>
      </c>
      <c r="C53" s="193">
        <f>C20-C51</f>
        <v>-214200</v>
      </c>
      <c r="D53" s="193">
        <f>D20-D51</f>
        <v>-231900</v>
      </c>
      <c r="E53" s="237"/>
      <c r="F53" s="1962" t="s">
        <v>1019</v>
      </c>
      <c r="G53" s="192">
        <f t="shared" ref="G53:O53" si="6">G20-G51</f>
        <v>-250500</v>
      </c>
      <c r="H53" s="179">
        <f>IF(D53=G53,0,IF(D53=0,100,(G53-D53)/D53*100))</f>
        <v>8.0206985769728334</v>
      </c>
      <c r="I53" s="128">
        <f t="shared" si="6"/>
        <v>-269500</v>
      </c>
      <c r="J53" s="128">
        <f t="shared" si="6"/>
        <v>-277300</v>
      </c>
      <c r="K53" s="64">
        <f t="shared" si="6"/>
        <v>-271700</v>
      </c>
      <c r="L53" s="64">
        <f t="shared" si="6"/>
        <v>-292900</v>
      </c>
      <c r="M53" s="64">
        <f t="shared" si="6"/>
        <v>-285700</v>
      </c>
      <c r="N53" s="64">
        <f t="shared" si="6"/>
        <v>-306800</v>
      </c>
      <c r="O53" s="128">
        <f t="shared" si="6"/>
        <v>-299000</v>
      </c>
      <c r="P53" s="64">
        <f t="shared" ref="P53:Q53" si="7">P20-P51</f>
        <v>-305900</v>
      </c>
      <c r="Q53" s="64">
        <f t="shared" si="7"/>
        <v>-312900</v>
      </c>
      <c r="R53" s="115">
        <f t="shared" ref="R53" si="8">R20-R51</f>
        <v>-319900</v>
      </c>
    </row>
    <row r="54" spans="1:18" x14ac:dyDescent="0.2">
      <c r="A54" s="107">
        <f>A49+A48</f>
        <v>29900</v>
      </c>
      <c r="B54" s="33">
        <f>B49+B48</f>
        <v>23900</v>
      </c>
      <c r="C54" s="189">
        <f>C49+C48</f>
        <v>21800</v>
      </c>
      <c r="D54" s="189">
        <f>D49+D48</f>
        <v>19200</v>
      </c>
      <c r="E54" s="1955"/>
      <c r="F54" s="2531" t="s">
        <v>489</v>
      </c>
      <c r="G54" s="187">
        <f t="shared" ref="G54:O54" si="9">G49+G48</f>
        <v>30000</v>
      </c>
      <c r="H54" s="138">
        <f>IF(D54=G54,0,IF(D54=0,100,(G54-D54)/D54*100))</f>
        <v>56.25</v>
      </c>
      <c r="I54" s="142">
        <f t="shared" si="9"/>
        <v>43000</v>
      </c>
      <c r="J54" s="142">
        <f t="shared" si="9"/>
        <v>44300</v>
      </c>
      <c r="K54" s="33">
        <f t="shared" si="9"/>
        <v>32100</v>
      </c>
      <c r="L54" s="33">
        <f t="shared" si="9"/>
        <v>46700</v>
      </c>
      <c r="M54" s="33">
        <f t="shared" si="9"/>
        <v>33700</v>
      </c>
      <c r="N54" s="33">
        <f t="shared" si="9"/>
        <v>49000</v>
      </c>
      <c r="O54" s="142">
        <f t="shared" si="9"/>
        <v>35100</v>
      </c>
      <c r="P54" s="33">
        <f t="shared" ref="P54:Q54" si="10">P49+P48</f>
        <v>35900</v>
      </c>
      <c r="Q54" s="33">
        <f t="shared" si="10"/>
        <v>36700</v>
      </c>
      <c r="R54" s="114">
        <f t="shared" ref="R54" si="11">R49+R48</f>
        <v>37500</v>
      </c>
    </row>
    <row r="55" spans="1:18" s="92" customFormat="1" x14ac:dyDescent="0.2">
      <c r="A55" s="181">
        <f>A53+A54</f>
        <v>-191900</v>
      </c>
      <c r="B55" s="397">
        <f>B53+B54</f>
        <v>-205700</v>
      </c>
      <c r="C55" s="398">
        <f>C53+C54</f>
        <v>-192400</v>
      </c>
      <c r="D55" s="398">
        <f>D53+D54</f>
        <v>-212700</v>
      </c>
      <c r="E55" s="523"/>
      <c r="F55" s="1972" t="s">
        <v>1687</v>
      </c>
      <c r="G55" s="728">
        <f t="shared" ref="G55:M55" si="12">G53+G54</f>
        <v>-220500</v>
      </c>
      <c r="H55" s="395">
        <f>IF(D55=G55,0,IF(D55=0,100,(G55-D55)/D55*100))</f>
        <v>3.6671368124118473</v>
      </c>
      <c r="I55" s="377">
        <f t="shared" si="12"/>
        <v>-226500</v>
      </c>
      <c r="J55" s="377">
        <f t="shared" si="12"/>
        <v>-233000</v>
      </c>
      <c r="K55" s="397">
        <f t="shared" si="12"/>
        <v>-239600</v>
      </c>
      <c r="L55" s="397">
        <f t="shared" si="12"/>
        <v>-246200</v>
      </c>
      <c r="M55" s="397">
        <f t="shared" si="12"/>
        <v>-252000</v>
      </c>
      <c r="N55" s="397">
        <f>N53+N54</f>
        <v>-257800</v>
      </c>
      <c r="O55" s="377">
        <f>O53+O54</f>
        <v>-263900</v>
      </c>
      <c r="P55" s="397">
        <f>P53+P54</f>
        <v>-270000</v>
      </c>
      <c r="Q55" s="397">
        <f>Q53+Q54</f>
        <v>-276200</v>
      </c>
      <c r="R55" s="399">
        <f>R53+R54</f>
        <v>-282400</v>
      </c>
    </row>
    <row r="56" spans="1:18" ht="13.5" thickBot="1" x14ac:dyDescent="0.25">
      <c r="A56" s="73"/>
      <c r="B56" s="90"/>
      <c r="C56" s="200"/>
      <c r="D56" s="200"/>
      <c r="E56" s="360"/>
      <c r="F56" s="119"/>
      <c r="G56" s="200"/>
      <c r="H56" s="392"/>
      <c r="I56" s="95"/>
      <c r="J56" s="95"/>
      <c r="K56" s="121"/>
      <c r="L56" s="121"/>
      <c r="M56" s="121"/>
      <c r="N56" s="121"/>
      <c r="O56" s="95"/>
      <c r="P56" s="121"/>
      <c r="Q56" s="121"/>
      <c r="R56" s="161"/>
    </row>
    <row r="57" spans="1:18" ht="13.5" thickTop="1" x14ac:dyDescent="0.2">
      <c r="A57" s="70"/>
      <c r="B57" s="64"/>
      <c r="C57" s="193"/>
      <c r="D57" s="193"/>
      <c r="E57" s="238"/>
      <c r="F57" s="175"/>
      <c r="G57" s="192"/>
      <c r="H57" s="1990"/>
      <c r="I57" s="164"/>
      <c r="J57" s="164"/>
      <c r="K57" s="127"/>
      <c r="L57" s="127"/>
      <c r="M57" s="127"/>
      <c r="N57" s="127"/>
      <c r="O57" s="127"/>
      <c r="P57" s="127"/>
      <c r="Q57" s="127"/>
      <c r="R57" s="163"/>
    </row>
    <row r="58" spans="1:18" x14ac:dyDescent="0.2">
      <c r="A58" s="70"/>
      <c r="B58" s="64"/>
      <c r="C58" s="193"/>
      <c r="D58" s="193"/>
      <c r="E58" s="238"/>
      <c r="F58" s="1962" t="s">
        <v>196</v>
      </c>
      <c r="G58" s="192"/>
      <c r="H58" s="1990"/>
      <c r="I58" s="142"/>
      <c r="J58" s="142"/>
      <c r="K58" s="33"/>
      <c r="L58" s="33"/>
      <c r="M58" s="33"/>
      <c r="N58" s="33"/>
      <c r="O58" s="33"/>
      <c r="P58" s="33"/>
      <c r="Q58" s="33"/>
      <c r="R58" s="114"/>
    </row>
    <row r="59" spans="1:18" x14ac:dyDescent="0.2">
      <c r="A59" s="107">
        <v>181200</v>
      </c>
      <c r="B59" s="33">
        <v>187400</v>
      </c>
      <c r="C59" s="189">
        <v>217000</v>
      </c>
      <c r="D59" s="189">
        <v>221700</v>
      </c>
      <c r="E59" s="673" t="s">
        <v>2030</v>
      </c>
      <c r="F59" s="1952" t="s">
        <v>4180</v>
      </c>
      <c r="G59" s="187">
        <f>ROUNDUP(D59+(D59*Assumptions!G$5),-2)+5000</f>
        <v>231200</v>
      </c>
      <c r="H59" s="138"/>
      <c r="I59" s="142">
        <f>ROUNDUP(G59+(G59*Assumptions!H$5),-2)</f>
        <v>234700</v>
      </c>
      <c r="J59" s="142">
        <f>ROUNDUP(I59+(I59*Assumptions!I$5),-2)</f>
        <v>240600</v>
      </c>
      <c r="K59" s="33">
        <f>ROUNDUP(J59+(J59*Assumptions!J$5),-2)</f>
        <v>246700</v>
      </c>
      <c r="L59" s="33">
        <f>ROUNDUP(K59+(K59*Assumptions!K$5),-2)</f>
        <v>252900</v>
      </c>
      <c r="M59" s="33">
        <f>ROUNDUP(L59+(L59*Assumptions!L$5),-2)</f>
        <v>258000</v>
      </c>
      <c r="N59" s="33">
        <f>ROUNDUP(M59+(M59*Assumptions!M$5),-2)</f>
        <v>263200</v>
      </c>
      <c r="O59" s="33">
        <f>ROUNDUP(N59+(N59*Assumptions!N$5),-2)</f>
        <v>268500</v>
      </c>
      <c r="P59" s="33">
        <f>ROUNDUP(O59+(O59*Assumptions!O$5),-2)</f>
        <v>273900</v>
      </c>
      <c r="Q59" s="33">
        <f>ROUNDUP(P59+(P59*Assumptions!P$5),-2)</f>
        <v>279400</v>
      </c>
      <c r="R59" s="114">
        <f>ROUNDUP(Q59+(Q59*Assumptions!Q$5),-2)</f>
        <v>285000</v>
      </c>
    </row>
    <row r="60" spans="1:18" x14ac:dyDescent="0.2">
      <c r="A60" s="107">
        <v>0</v>
      </c>
      <c r="B60" s="33">
        <v>2500</v>
      </c>
      <c r="C60" s="189">
        <f>21500+24000-16000-4000-900</f>
        <v>24600</v>
      </c>
      <c r="D60" s="189">
        <f>D55+D59</f>
        <v>9000</v>
      </c>
      <c r="E60" s="673" t="s">
        <v>189</v>
      </c>
      <c r="F60" s="1981" t="s">
        <v>1942</v>
      </c>
      <c r="G60" s="187">
        <f>G55+G59</f>
        <v>10700</v>
      </c>
      <c r="H60" s="138"/>
      <c r="I60" s="142">
        <f t="shared" ref="I60:Q60" si="13">I55+I59</f>
        <v>8200</v>
      </c>
      <c r="J60" s="142">
        <f t="shared" si="13"/>
        <v>7600</v>
      </c>
      <c r="K60" s="33">
        <f t="shared" si="13"/>
        <v>7100</v>
      </c>
      <c r="L60" s="33">
        <f t="shared" si="13"/>
        <v>6700</v>
      </c>
      <c r="M60" s="33">
        <f t="shared" si="13"/>
        <v>6000</v>
      </c>
      <c r="N60" s="33">
        <f t="shared" si="13"/>
        <v>5400</v>
      </c>
      <c r="O60" s="33">
        <f t="shared" si="13"/>
        <v>4600</v>
      </c>
      <c r="P60" s="33">
        <f t="shared" si="13"/>
        <v>3900</v>
      </c>
      <c r="Q60" s="33">
        <f t="shared" si="13"/>
        <v>3200</v>
      </c>
      <c r="R60" s="114">
        <f t="shared" ref="R60" si="14">R55+R59</f>
        <v>2600</v>
      </c>
    </row>
    <row r="61" spans="1:18" x14ac:dyDescent="0.2">
      <c r="A61" s="107">
        <v>20800</v>
      </c>
      <c r="B61" s="33">
        <v>0</v>
      </c>
      <c r="C61" s="189">
        <v>0</v>
      </c>
      <c r="D61" s="189">
        <f>D62</f>
        <v>56000</v>
      </c>
      <c r="E61" s="673" t="s">
        <v>188</v>
      </c>
      <c r="F61" s="366" t="s">
        <v>2348</v>
      </c>
      <c r="G61" s="187">
        <f t="shared" ref="G61:R61" si="15">G62</f>
        <v>102000</v>
      </c>
      <c r="H61" s="1959"/>
      <c r="I61" s="142">
        <f t="shared" si="15"/>
        <v>58000</v>
      </c>
      <c r="J61" s="142">
        <f t="shared" si="15"/>
        <v>0</v>
      </c>
      <c r="K61" s="33">
        <f t="shared" si="15"/>
        <v>60000</v>
      </c>
      <c r="L61" s="33">
        <f t="shared" si="15"/>
        <v>0</v>
      </c>
      <c r="M61" s="33">
        <f t="shared" si="15"/>
        <v>63000</v>
      </c>
      <c r="N61" s="33">
        <f t="shared" si="15"/>
        <v>0</v>
      </c>
      <c r="O61" s="33">
        <f t="shared" si="15"/>
        <v>66000</v>
      </c>
      <c r="P61" s="33">
        <f t="shared" si="15"/>
        <v>0</v>
      </c>
      <c r="Q61" s="33">
        <f t="shared" si="15"/>
        <v>66000</v>
      </c>
      <c r="R61" s="114">
        <f t="shared" si="15"/>
        <v>0</v>
      </c>
    </row>
    <row r="62" spans="1:18" x14ac:dyDescent="0.2">
      <c r="A62" s="107">
        <v>0</v>
      </c>
      <c r="B62" s="33">
        <v>-20800</v>
      </c>
      <c r="C62" s="189">
        <v>0</v>
      </c>
      <c r="D62" s="189">
        <v>56000</v>
      </c>
      <c r="E62" s="673" t="s">
        <v>1096</v>
      </c>
      <c r="F62" s="366" t="s">
        <v>1438</v>
      </c>
      <c r="G62" s="187">
        <f>56000+46000</f>
        <v>102000</v>
      </c>
      <c r="H62" s="1959"/>
      <c r="I62" s="142">
        <v>58000</v>
      </c>
      <c r="J62" s="142"/>
      <c r="K62" s="33">
        <v>60000</v>
      </c>
      <c r="L62" s="33"/>
      <c r="M62" s="33">
        <v>63000</v>
      </c>
      <c r="N62" s="33"/>
      <c r="O62" s="33">
        <v>66000</v>
      </c>
      <c r="P62" s="33"/>
      <c r="Q62" s="33">
        <v>66000</v>
      </c>
      <c r="R62" s="114"/>
    </row>
    <row r="63" spans="1:18" x14ac:dyDescent="0.2">
      <c r="A63" s="107">
        <v>-10100</v>
      </c>
      <c r="B63" s="33">
        <v>0</v>
      </c>
      <c r="C63" s="189">
        <v>0</v>
      </c>
      <c r="E63" s="238"/>
      <c r="F63" s="366" t="s">
        <v>423</v>
      </c>
      <c r="G63" s="187"/>
      <c r="H63" s="1959"/>
      <c r="I63" s="142"/>
      <c r="J63" s="142"/>
      <c r="K63" s="33"/>
      <c r="L63" s="33"/>
      <c r="M63" s="33"/>
      <c r="N63" s="33"/>
      <c r="O63" s="33"/>
      <c r="P63" s="33"/>
      <c r="Q63" s="33"/>
      <c r="R63" s="114"/>
    </row>
    <row r="64" spans="1:18" x14ac:dyDescent="0.2">
      <c r="A64" s="107"/>
      <c r="B64" s="33"/>
      <c r="E64" s="238"/>
      <c r="F64" s="516"/>
      <c r="G64" s="187"/>
      <c r="H64" s="1959"/>
      <c r="I64" s="142"/>
      <c r="J64" s="142"/>
      <c r="K64" s="33"/>
      <c r="L64" s="33"/>
      <c r="M64" s="33"/>
      <c r="N64" s="33"/>
      <c r="O64" s="33"/>
      <c r="P64" s="33"/>
      <c r="Q64" s="33"/>
      <c r="R64" s="114"/>
    </row>
    <row r="65" spans="1:18" s="92" customFormat="1" x14ac:dyDescent="0.2">
      <c r="A65" s="181">
        <f>A55-A60+A61++A59--A62+A63</f>
        <v>0</v>
      </c>
      <c r="B65" s="397">
        <f>B55-B60+B61++B59--B62+B63</f>
        <v>-41600</v>
      </c>
      <c r="C65" s="398">
        <f>C55-C60+C61++C59--C62+C63</f>
        <v>0</v>
      </c>
      <c r="D65" s="398">
        <f>D55-D60+D61++D59-D62+D63</f>
        <v>0</v>
      </c>
      <c r="E65" s="526"/>
      <c r="F65" s="518" t="s">
        <v>2490</v>
      </c>
      <c r="G65" s="728">
        <f>G55-G60+G61++G59-G62+G63</f>
        <v>0</v>
      </c>
      <c r="H65" s="395"/>
      <c r="I65" s="377">
        <f t="shared" ref="I65:Q65" si="16">I55-I60+I61++I59-I62+I63</f>
        <v>0</v>
      </c>
      <c r="J65" s="377">
        <f t="shared" si="16"/>
        <v>0</v>
      </c>
      <c r="K65" s="397">
        <f t="shared" si="16"/>
        <v>0</v>
      </c>
      <c r="L65" s="397">
        <f t="shared" si="16"/>
        <v>0</v>
      </c>
      <c r="M65" s="397">
        <f t="shared" si="16"/>
        <v>0</v>
      </c>
      <c r="N65" s="397">
        <f t="shared" si="16"/>
        <v>0</v>
      </c>
      <c r="O65" s="397">
        <f t="shared" si="16"/>
        <v>0</v>
      </c>
      <c r="P65" s="397">
        <f t="shared" si="16"/>
        <v>0</v>
      </c>
      <c r="Q65" s="397">
        <f t="shared" si="16"/>
        <v>0</v>
      </c>
      <c r="R65" s="399">
        <f t="shared" ref="R65" si="17">R55-R60+R61++R59-R62+R63</f>
        <v>0</v>
      </c>
    </row>
    <row r="66" spans="1:18" s="92" customFormat="1" x14ac:dyDescent="0.2">
      <c r="A66" s="70"/>
      <c r="B66" s="64"/>
      <c r="C66" s="193"/>
      <c r="D66" s="193"/>
      <c r="E66" s="244"/>
      <c r="F66" s="516"/>
      <c r="G66" s="192"/>
      <c r="H66" s="1990"/>
      <c r="I66" s="128"/>
      <c r="J66" s="128"/>
      <c r="K66" s="64"/>
      <c r="L66" s="64"/>
      <c r="M66" s="64"/>
      <c r="N66" s="64"/>
      <c r="O66" s="64"/>
      <c r="P66" s="64"/>
      <c r="Q66" s="64"/>
      <c r="R66" s="115"/>
    </row>
    <row r="67" spans="1:18" s="92" customFormat="1" x14ac:dyDescent="0.2">
      <c r="A67" s="70"/>
      <c r="B67" s="64"/>
      <c r="C67" s="193"/>
      <c r="D67" s="193"/>
      <c r="E67" s="244"/>
      <c r="F67" s="1352" t="s">
        <v>4182</v>
      </c>
      <c r="G67" s="192"/>
      <c r="H67" s="1990"/>
      <c r="I67" s="128"/>
      <c r="J67" s="128"/>
      <c r="K67" s="64"/>
      <c r="L67" s="64"/>
      <c r="M67" s="64"/>
      <c r="N67" s="64"/>
      <c r="O67" s="64"/>
      <c r="P67" s="64"/>
      <c r="Q67" s="64"/>
      <c r="R67" s="115"/>
    </row>
    <row r="68" spans="1:18" x14ac:dyDescent="0.2">
      <c r="A68" s="2505">
        <f>A60-A61</f>
        <v>-20800</v>
      </c>
      <c r="B68" s="187">
        <f>B60-B61</f>
        <v>2500</v>
      </c>
      <c r="C68" s="189">
        <f>C60-C61</f>
        <v>24600</v>
      </c>
      <c r="D68" s="189">
        <f>D60-D61</f>
        <v>-47000</v>
      </c>
      <c r="E68" s="238"/>
      <c r="F68" s="891" t="s">
        <v>4181</v>
      </c>
      <c r="G68" s="187">
        <f>G60-G61</f>
        <v>-91300</v>
      </c>
      <c r="H68" s="1959"/>
      <c r="I68" s="142">
        <f t="shared" ref="I68:P68" si="18">I60-I61</f>
        <v>-49800</v>
      </c>
      <c r="J68" s="142">
        <f t="shared" si="18"/>
        <v>7600</v>
      </c>
      <c r="K68" s="33">
        <f t="shared" si="18"/>
        <v>-52900</v>
      </c>
      <c r="L68" s="33">
        <f t="shared" si="18"/>
        <v>6700</v>
      </c>
      <c r="M68" s="33">
        <f t="shared" si="18"/>
        <v>-57000</v>
      </c>
      <c r="N68" s="33">
        <f t="shared" si="18"/>
        <v>5400</v>
      </c>
      <c r="O68" s="33">
        <f t="shared" si="18"/>
        <v>-61400</v>
      </c>
      <c r="P68" s="33">
        <f t="shared" si="18"/>
        <v>3900</v>
      </c>
      <c r="Q68" s="33">
        <f t="shared" ref="Q68:R68" si="19">Q60-Q61</f>
        <v>-62800</v>
      </c>
      <c r="R68" s="114">
        <f t="shared" si="19"/>
        <v>2600</v>
      </c>
    </row>
    <row r="69" spans="1:18" x14ac:dyDescent="0.2">
      <c r="A69" s="107">
        <v>311900</v>
      </c>
      <c r="B69" s="33">
        <f>A71</f>
        <v>291100</v>
      </c>
      <c r="C69" s="189">
        <f>ROUND(B71,-3)</f>
        <v>294000</v>
      </c>
      <c r="D69" s="189">
        <f>C71</f>
        <v>318600</v>
      </c>
      <c r="E69" s="238"/>
      <c r="F69" s="891" t="s">
        <v>4183</v>
      </c>
      <c r="G69" s="187">
        <f>D71</f>
        <v>271600</v>
      </c>
      <c r="H69" s="1959"/>
      <c r="I69" s="142">
        <f>G71</f>
        <v>180300</v>
      </c>
      <c r="J69" s="142">
        <f t="shared" ref="J69:R69" si="20">I71</f>
        <v>130500</v>
      </c>
      <c r="K69" s="33">
        <f t="shared" si="20"/>
        <v>138100</v>
      </c>
      <c r="L69" s="33">
        <f t="shared" si="20"/>
        <v>85200</v>
      </c>
      <c r="M69" s="33">
        <f t="shared" si="20"/>
        <v>91900</v>
      </c>
      <c r="N69" s="33">
        <f t="shared" si="20"/>
        <v>34900</v>
      </c>
      <c r="O69" s="33">
        <f t="shared" si="20"/>
        <v>40300</v>
      </c>
      <c r="P69" s="33">
        <f t="shared" si="20"/>
        <v>-21100</v>
      </c>
      <c r="Q69" s="33">
        <f t="shared" si="20"/>
        <v>-17200</v>
      </c>
      <c r="R69" s="114">
        <f t="shared" si="20"/>
        <v>-80000</v>
      </c>
    </row>
    <row r="70" spans="1:18" x14ac:dyDescent="0.2">
      <c r="A70" s="592"/>
      <c r="B70" s="455"/>
      <c r="C70" s="643"/>
      <c r="D70" s="645"/>
      <c r="E70" s="238"/>
      <c r="F70" s="372"/>
      <c r="G70" s="643"/>
      <c r="H70" s="644"/>
      <c r="I70" s="642"/>
      <c r="J70" s="642"/>
      <c r="K70" s="455"/>
      <c r="L70" s="455"/>
      <c r="M70" s="455"/>
      <c r="N70" s="455"/>
      <c r="O70" s="455"/>
      <c r="P70" s="455"/>
      <c r="Q70" s="455"/>
      <c r="R70" s="761"/>
    </row>
    <row r="71" spans="1:18" s="92" customFormat="1" x14ac:dyDescent="0.2">
      <c r="A71" s="70">
        <f>SUM(A68:A69)</f>
        <v>291100</v>
      </c>
      <c r="B71" s="64">
        <f>SUM(B68:B69)</f>
        <v>293600</v>
      </c>
      <c r="C71" s="128">
        <f>SUM(C68:C69)</f>
        <v>318600</v>
      </c>
      <c r="D71" s="193">
        <f>SUM(D68:D69)</f>
        <v>271600</v>
      </c>
      <c r="E71" s="244"/>
      <c r="F71" s="1352" t="s">
        <v>4184</v>
      </c>
      <c r="G71" s="192">
        <f t="shared" ref="G71:O71" si="21">SUM(G68:G69)</f>
        <v>180300</v>
      </c>
      <c r="H71" s="1990"/>
      <c r="I71" s="128">
        <f t="shared" si="21"/>
        <v>130500</v>
      </c>
      <c r="J71" s="128">
        <f t="shared" si="21"/>
        <v>138100</v>
      </c>
      <c r="K71" s="64">
        <f t="shared" si="21"/>
        <v>85200</v>
      </c>
      <c r="L71" s="64">
        <f t="shared" si="21"/>
        <v>91900</v>
      </c>
      <c r="M71" s="64">
        <f t="shared" si="21"/>
        <v>34900</v>
      </c>
      <c r="N71" s="64">
        <f t="shared" si="21"/>
        <v>40300</v>
      </c>
      <c r="O71" s="64">
        <f t="shared" si="21"/>
        <v>-21100</v>
      </c>
      <c r="P71" s="64">
        <f t="shared" ref="P71:Q71" si="22">SUM(P68:P69)</f>
        <v>-17200</v>
      </c>
      <c r="Q71" s="64">
        <f t="shared" si="22"/>
        <v>-80000</v>
      </c>
      <c r="R71" s="115">
        <f t="shared" ref="R71" si="23">SUM(R68:R69)</f>
        <v>-77400</v>
      </c>
    </row>
    <row r="72" spans="1:18" ht="13.5" thickBot="1" x14ac:dyDescent="0.25">
      <c r="A72" s="73"/>
      <c r="B72" s="90"/>
      <c r="C72" s="195"/>
      <c r="D72" s="195"/>
      <c r="E72" s="575"/>
      <c r="F72" s="368"/>
      <c r="G72" s="200"/>
      <c r="H72" s="394"/>
      <c r="I72" s="166"/>
      <c r="J72" s="166"/>
      <c r="K72" s="66"/>
      <c r="L72" s="66"/>
      <c r="M72" s="66"/>
      <c r="N72" s="66"/>
      <c r="O72" s="66"/>
      <c r="P72" s="66"/>
      <c r="Q72" s="66"/>
      <c r="R72" s="165"/>
    </row>
    <row r="73" spans="1:18" s="99" customFormat="1" ht="13.5" thickTop="1" x14ac:dyDescent="0.2">
      <c r="C73" s="198"/>
      <c r="D73" s="198"/>
      <c r="E73" s="537"/>
      <c r="G73" s="198"/>
      <c r="H73" s="123"/>
    </row>
    <row r="74" spans="1:18" s="99" customFormat="1" x14ac:dyDescent="0.2">
      <c r="C74" s="198"/>
      <c r="D74" s="198"/>
      <c r="E74" s="537"/>
      <c r="G74" s="198"/>
      <c r="H74" s="123"/>
    </row>
    <row r="75" spans="1:18" s="99" customFormat="1" x14ac:dyDescent="0.2">
      <c r="C75" s="198"/>
      <c r="D75" s="198"/>
      <c r="E75" s="537"/>
      <c r="G75" s="198"/>
      <c r="H75" s="123"/>
    </row>
    <row r="76" spans="1:18" s="99" customFormat="1" x14ac:dyDescent="0.2">
      <c r="C76" s="198"/>
      <c r="D76" s="198"/>
      <c r="E76" s="537"/>
      <c r="G76" s="198"/>
      <c r="H76" s="123"/>
    </row>
    <row r="77" spans="1:18" s="99" customFormat="1" x14ac:dyDescent="0.2">
      <c r="C77" s="198"/>
      <c r="D77" s="198"/>
      <c r="E77" s="537"/>
      <c r="G77" s="198"/>
      <c r="H77" s="123"/>
    </row>
    <row r="78" spans="1:18" s="99" customFormat="1" x14ac:dyDescent="0.2">
      <c r="C78" s="198"/>
      <c r="D78" s="198"/>
      <c r="E78" s="537"/>
      <c r="G78" s="198"/>
      <c r="H78" s="123"/>
    </row>
    <row r="79" spans="1:18" s="99" customFormat="1" x14ac:dyDescent="0.2">
      <c r="C79" s="198"/>
      <c r="D79" s="198"/>
      <c r="E79" s="537"/>
      <c r="G79" s="198"/>
      <c r="H79" s="123"/>
    </row>
    <row r="80" spans="1:18" s="99" customFormat="1" x14ac:dyDescent="0.2">
      <c r="C80" s="198"/>
      <c r="D80" s="198"/>
      <c r="E80" s="537"/>
      <c r="G80" s="198"/>
      <c r="H80" s="123"/>
    </row>
    <row r="81" spans="3:8" s="99" customFormat="1" x14ac:dyDescent="0.2">
      <c r="C81" s="198"/>
      <c r="D81" s="198"/>
      <c r="E81" s="537"/>
      <c r="G81" s="198"/>
      <c r="H81" s="123"/>
    </row>
    <row r="82" spans="3:8" s="99" customFormat="1" x14ac:dyDescent="0.2">
      <c r="C82" s="198"/>
      <c r="D82" s="198"/>
      <c r="E82" s="537"/>
      <c r="G82" s="198"/>
      <c r="H82" s="123"/>
    </row>
    <row r="83" spans="3:8" s="99" customFormat="1" x14ac:dyDescent="0.2">
      <c r="C83" s="198"/>
      <c r="D83" s="198"/>
      <c r="E83" s="537"/>
      <c r="G83" s="198"/>
      <c r="H83" s="123"/>
    </row>
    <row r="84" spans="3:8" s="99" customFormat="1" x14ac:dyDescent="0.2">
      <c r="C84" s="198"/>
      <c r="D84" s="198"/>
      <c r="E84" s="537"/>
      <c r="G84" s="198"/>
      <c r="H84" s="123"/>
    </row>
    <row r="85" spans="3:8" s="99" customFormat="1" x14ac:dyDescent="0.2">
      <c r="C85" s="198"/>
      <c r="D85" s="198"/>
      <c r="E85" s="537"/>
      <c r="G85" s="198"/>
      <c r="H85" s="123"/>
    </row>
    <row r="86" spans="3:8" s="99" customFormat="1" x14ac:dyDescent="0.2">
      <c r="C86" s="198"/>
      <c r="D86" s="198"/>
      <c r="E86" s="537"/>
      <c r="G86" s="198"/>
      <c r="H86" s="123"/>
    </row>
    <row r="87" spans="3:8" s="99" customFormat="1" x14ac:dyDescent="0.2">
      <c r="C87" s="198"/>
      <c r="D87" s="198"/>
      <c r="E87" s="537"/>
      <c r="G87" s="198"/>
      <c r="H87" s="123"/>
    </row>
    <row r="88" spans="3:8" s="99" customFormat="1" x14ac:dyDescent="0.2">
      <c r="C88" s="198"/>
      <c r="D88" s="198"/>
      <c r="E88" s="537"/>
      <c r="G88" s="198"/>
      <c r="H88" s="123"/>
    </row>
    <row r="89" spans="3:8" s="99" customFormat="1" x14ac:dyDescent="0.2">
      <c r="C89" s="198"/>
      <c r="D89" s="198"/>
      <c r="E89" s="537"/>
      <c r="G89" s="198"/>
      <c r="H89" s="123"/>
    </row>
    <row r="90" spans="3:8" s="99" customFormat="1" x14ac:dyDescent="0.2">
      <c r="C90" s="198"/>
      <c r="D90" s="198"/>
      <c r="E90" s="537"/>
      <c r="G90" s="198"/>
      <c r="H90" s="123"/>
    </row>
    <row r="91" spans="3:8" s="99" customFormat="1" x14ac:dyDescent="0.2">
      <c r="C91" s="198"/>
      <c r="D91" s="198"/>
      <c r="E91" s="537"/>
      <c r="G91" s="198"/>
      <c r="H91" s="123"/>
    </row>
    <row r="92" spans="3:8" s="99" customFormat="1" x14ac:dyDescent="0.2">
      <c r="C92" s="198"/>
      <c r="D92" s="198"/>
      <c r="E92" s="537"/>
      <c r="G92" s="198"/>
      <c r="H92" s="123"/>
    </row>
    <row r="93" spans="3:8" s="99" customFormat="1" x14ac:dyDescent="0.2">
      <c r="C93" s="198"/>
      <c r="D93" s="198"/>
      <c r="E93" s="537"/>
      <c r="G93" s="198"/>
      <c r="H93" s="123"/>
    </row>
    <row r="94" spans="3:8" s="99" customFormat="1" x14ac:dyDescent="0.2">
      <c r="C94" s="198"/>
      <c r="D94" s="198"/>
      <c r="E94" s="537"/>
      <c r="G94" s="198"/>
      <c r="H94" s="123"/>
    </row>
    <row r="95" spans="3:8" s="99" customFormat="1" x14ac:dyDescent="0.2">
      <c r="C95" s="198"/>
      <c r="D95" s="198"/>
      <c r="E95" s="537"/>
      <c r="G95" s="198"/>
      <c r="H95" s="123"/>
    </row>
    <row r="96" spans="3:8" s="99" customFormat="1" x14ac:dyDescent="0.2">
      <c r="C96" s="198"/>
      <c r="D96" s="198"/>
      <c r="E96" s="537"/>
      <c r="G96" s="198"/>
      <c r="H96" s="123"/>
    </row>
    <row r="97" spans="3:8" s="99" customFormat="1" x14ac:dyDescent="0.2">
      <c r="C97" s="198"/>
      <c r="D97" s="198"/>
      <c r="E97" s="537"/>
      <c r="G97" s="198"/>
      <c r="H97" s="123"/>
    </row>
    <row r="98" spans="3:8" s="99" customFormat="1" x14ac:dyDescent="0.2">
      <c r="C98" s="198"/>
      <c r="D98" s="198"/>
      <c r="E98" s="537"/>
      <c r="G98" s="198"/>
      <c r="H98" s="123"/>
    </row>
    <row r="99" spans="3:8" s="99" customFormat="1" x14ac:dyDescent="0.2">
      <c r="C99" s="198"/>
      <c r="D99" s="198"/>
      <c r="E99" s="537"/>
      <c r="G99" s="198"/>
      <c r="H99" s="123"/>
    </row>
    <row r="100" spans="3:8" s="99" customFormat="1" x14ac:dyDescent="0.2">
      <c r="C100" s="198"/>
      <c r="D100" s="198"/>
      <c r="E100" s="537"/>
      <c r="G100" s="198"/>
      <c r="H100" s="123"/>
    </row>
    <row r="101" spans="3:8" s="99" customFormat="1" x14ac:dyDescent="0.2">
      <c r="C101" s="198"/>
      <c r="D101" s="198"/>
      <c r="E101" s="537"/>
      <c r="G101" s="198"/>
      <c r="H101" s="123"/>
    </row>
    <row r="102" spans="3:8" s="99" customFormat="1" x14ac:dyDescent="0.2">
      <c r="C102" s="198"/>
      <c r="D102" s="198"/>
      <c r="E102" s="537"/>
      <c r="G102" s="198"/>
      <c r="H102" s="123"/>
    </row>
    <row r="103" spans="3:8" s="99" customFormat="1" x14ac:dyDescent="0.2">
      <c r="C103" s="198"/>
      <c r="D103" s="198"/>
      <c r="E103" s="537"/>
      <c r="G103" s="198"/>
      <c r="H103" s="123"/>
    </row>
    <row r="104" spans="3:8" s="99" customFormat="1" x14ac:dyDescent="0.2">
      <c r="C104" s="198"/>
      <c r="D104" s="198"/>
      <c r="E104" s="537"/>
      <c r="G104" s="198"/>
      <c r="H104" s="123"/>
    </row>
    <row r="105" spans="3:8" s="99" customFormat="1" x14ac:dyDescent="0.2">
      <c r="C105" s="198"/>
      <c r="D105" s="198"/>
      <c r="E105" s="537"/>
      <c r="G105" s="198"/>
      <c r="H105" s="123"/>
    </row>
    <row r="106" spans="3:8" s="99" customFormat="1" x14ac:dyDescent="0.2">
      <c r="C106" s="198"/>
      <c r="D106" s="198"/>
      <c r="E106" s="537"/>
      <c r="G106" s="198"/>
      <c r="H106" s="123"/>
    </row>
    <row r="107" spans="3:8" s="99" customFormat="1" x14ac:dyDescent="0.2">
      <c r="C107" s="198"/>
      <c r="D107" s="198"/>
      <c r="E107" s="537"/>
      <c r="G107" s="198"/>
      <c r="H107" s="123"/>
    </row>
    <row r="108" spans="3:8" s="99" customFormat="1" x14ac:dyDescent="0.2">
      <c r="C108" s="198"/>
      <c r="D108" s="198"/>
      <c r="E108" s="537"/>
      <c r="G108" s="198"/>
      <c r="H108" s="123"/>
    </row>
    <row r="109" spans="3:8" s="99" customFormat="1" x14ac:dyDescent="0.2">
      <c r="C109" s="198"/>
      <c r="D109" s="198"/>
      <c r="E109" s="537"/>
      <c r="G109" s="198"/>
      <c r="H109" s="123"/>
    </row>
    <row r="110" spans="3:8" s="99" customFormat="1" x14ac:dyDescent="0.2">
      <c r="C110" s="198"/>
      <c r="D110" s="198"/>
      <c r="E110" s="537"/>
      <c r="G110" s="198"/>
      <c r="H110" s="123"/>
    </row>
    <row r="111" spans="3:8" s="99" customFormat="1" x14ac:dyDescent="0.2">
      <c r="C111" s="198"/>
      <c r="D111" s="198"/>
      <c r="E111" s="537"/>
      <c r="G111" s="198"/>
      <c r="H111" s="123"/>
    </row>
    <row r="112" spans="3:8" s="99" customFormat="1" x14ac:dyDescent="0.2">
      <c r="C112" s="198"/>
      <c r="D112" s="198"/>
      <c r="E112" s="537"/>
      <c r="G112" s="198"/>
      <c r="H112" s="123"/>
    </row>
    <row r="113" spans="3:8" s="99" customFormat="1" x14ac:dyDescent="0.2">
      <c r="C113" s="198"/>
      <c r="D113" s="198"/>
      <c r="E113" s="537"/>
      <c r="G113" s="198"/>
      <c r="H113" s="123"/>
    </row>
    <row r="114" spans="3:8" s="99" customFormat="1" x14ac:dyDescent="0.2">
      <c r="C114" s="198"/>
      <c r="D114" s="198"/>
      <c r="E114" s="537"/>
      <c r="G114" s="198"/>
      <c r="H114" s="123"/>
    </row>
    <row r="115" spans="3:8" s="99" customFormat="1" x14ac:dyDescent="0.2">
      <c r="C115" s="198"/>
      <c r="D115" s="198"/>
      <c r="E115" s="537"/>
      <c r="G115" s="198"/>
      <c r="H115" s="123"/>
    </row>
    <row r="116" spans="3:8" s="99" customFormat="1" x14ac:dyDescent="0.2">
      <c r="C116" s="198"/>
      <c r="D116" s="198"/>
      <c r="E116" s="537"/>
      <c r="G116" s="198"/>
      <c r="H116" s="123"/>
    </row>
    <row r="117" spans="3:8" s="99" customFormat="1" x14ac:dyDescent="0.2">
      <c r="C117" s="198"/>
      <c r="D117" s="198"/>
      <c r="E117" s="537"/>
      <c r="G117" s="198"/>
      <c r="H117" s="123"/>
    </row>
    <row r="118" spans="3:8" s="99" customFormat="1" x14ac:dyDescent="0.2">
      <c r="C118" s="198"/>
      <c r="D118" s="198"/>
      <c r="E118" s="537"/>
      <c r="G118" s="198"/>
      <c r="H118" s="123"/>
    </row>
    <row r="119" spans="3:8" s="99" customFormat="1" x14ac:dyDescent="0.2">
      <c r="C119" s="198"/>
      <c r="D119" s="198"/>
      <c r="E119" s="537"/>
      <c r="G119" s="198"/>
      <c r="H119" s="123"/>
    </row>
    <row r="120" spans="3:8" s="99" customFormat="1" x14ac:dyDescent="0.2">
      <c r="C120" s="198"/>
      <c r="D120" s="198"/>
      <c r="E120" s="537"/>
      <c r="G120" s="198"/>
      <c r="H120" s="123"/>
    </row>
    <row r="121" spans="3:8" s="99" customFormat="1" x14ac:dyDescent="0.2">
      <c r="C121" s="198"/>
      <c r="D121" s="198"/>
      <c r="E121" s="537"/>
      <c r="G121" s="198"/>
      <c r="H121" s="123"/>
    </row>
    <row r="122" spans="3:8" s="99" customFormat="1" x14ac:dyDescent="0.2">
      <c r="C122" s="198"/>
      <c r="D122" s="198"/>
      <c r="E122" s="537"/>
      <c r="G122" s="198"/>
      <c r="H122" s="123"/>
    </row>
    <row r="123" spans="3:8" s="99" customFormat="1" x14ac:dyDescent="0.2">
      <c r="C123" s="198"/>
      <c r="D123" s="198"/>
      <c r="E123" s="537"/>
      <c r="G123" s="198"/>
      <c r="H123" s="123"/>
    </row>
    <row r="124" spans="3:8" s="99" customFormat="1" x14ac:dyDescent="0.2">
      <c r="C124" s="198"/>
      <c r="D124" s="198"/>
      <c r="E124" s="537"/>
      <c r="G124" s="198"/>
      <c r="H124" s="123"/>
    </row>
    <row r="125" spans="3:8" s="99" customFormat="1" x14ac:dyDescent="0.2">
      <c r="C125" s="198"/>
      <c r="D125" s="198"/>
      <c r="E125" s="537"/>
      <c r="G125" s="198"/>
      <c r="H125" s="123"/>
    </row>
    <row r="126" spans="3:8" s="99" customFormat="1" x14ac:dyDescent="0.2">
      <c r="C126" s="198"/>
      <c r="D126" s="198"/>
      <c r="E126" s="537"/>
      <c r="G126" s="198"/>
      <c r="H126" s="123"/>
    </row>
    <row r="127" spans="3:8" s="99" customFormat="1" x14ac:dyDescent="0.2">
      <c r="C127" s="198"/>
      <c r="D127" s="198"/>
      <c r="E127" s="537"/>
      <c r="G127" s="198"/>
      <c r="H127" s="123"/>
    </row>
    <row r="128" spans="3:8" s="99" customFormat="1" x14ac:dyDescent="0.2">
      <c r="C128" s="198"/>
      <c r="D128" s="198"/>
      <c r="E128" s="537"/>
      <c r="G128" s="198"/>
      <c r="H128" s="123"/>
    </row>
    <row r="129" spans="3:8" s="99" customFormat="1" x14ac:dyDescent="0.2">
      <c r="C129" s="198"/>
      <c r="D129" s="198"/>
      <c r="E129" s="537"/>
      <c r="G129" s="198"/>
      <c r="H129" s="123"/>
    </row>
    <row r="130" spans="3:8" s="99" customFormat="1" x14ac:dyDescent="0.2">
      <c r="C130" s="198"/>
      <c r="D130" s="198"/>
      <c r="E130" s="537"/>
      <c r="G130" s="198"/>
      <c r="H130" s="123"/>
    </row>
    <row r="131" spans="3:8" s="99" customFormat="1" x14ac:dyDescent="0.2">
      <c r="C131" s="198"/>
      <c r="D131" s="198"/>
      <c r="E131" s="537"/>
      <c r="G131" s="198"/>
      <c r="H131" s="123"/>
    </row>
    <row r="132" spans="3:8" s="99" customFormat="1" x14ac:dyDescent="0.2">
      <c r="C132" s="198"/>
      <c r="D132" s="198"/>
      <c r="E132" s="537"/>
      <c r="G132" s="198"/>
      <c r="H132" s="123"/>
    </row>
    <row r="133" spans="3:8" s="99" customFormat="1" x14ac:dyDescent="0.2">
      <c r="C133" s="198"/>
      <c r="D133" s="198"/>
      <c r="E133" s="537"/>
      <c r="G133" s="198"/>
      <c r="H133" s="123"/>
    </row>
    <row r="134" spans="3:8" s="99" customFormat="1" x14ac:dyDescent="0.2">
      <c r="C134" s="198"/>
      <c r="D134" s="198"/>
      <c r="E134" s="537"/>
      <c r="G134" s="198"/>
      <c r="H134" s="123"/>
    </row>
    <row r="135" spans="3:8" s="99" customFormat="1" x14ac:dyDescent="0.2">
      <c r="C135" s="198"/>
      <c r="D135" s="198"/>
      <c r="E135" s="537"/>
      <c r="G135" s="198"/>
      <c r="H135" s="123"/>
    </row>
    <row r="136" spans="3:8" s="99" customFormat="1" x14ac:dyDescent="0.2">
      <c r="C136" s="198"/>
      <c r="D136" s="198"/>
      <c r="E136" s="537"/>
      <c r="G136" s="198"/>
      <c r="H136" s="123"/>
    </row>
    <row r="137" spans="3:8" s="99" customFormat="1" x14ac:dyDescent="0.2">
      <c r="C137" s="198"/>
      <c r="D137" s="198"/>
      <c r="E137" s="537"/>
      <c r="G137" s="198"/>
      <c r="H137" s="123"/>
    </row>
    <row r="138" spans="3:8" s="99" customFormat="1" x14ac:dyDescent="0.2">
      <c r="C138" s="198"/>
      <c r="D138" s="198"/>
      <c r="E138" s="537"/>
      <c r="G138" s="198"/>
      <c r="H138" s="123"/>
    </row>
    <row r="139" spans="3:8" s="99" customFormat="1" x14ac:dyDescent="0.2">
      <c r="C139" s="198"/>
      <c r="D139" s="198"/>
      <c r="E139" s="537"/>
      <c r="G139" s="198"/>
      <c r="H139" s="123"/>
    </row>
    <row r="140" spans="3:8" s="99" customFormat="1" x14ac:dyDescent="0.2">
      <c r="C140" s="198"/>
      <c r="D140" s="198"/>
      <c r="E140" s="537"/>
      <c r="G140" s="198"/>
      <c r="H140" s="123"/>
    </row>
    <row r="141" spans="3:8" s="99" customFormat="1" x14ac:dyDescent="0.2">
      <c r="C141" s="198"/>
      <c r="D141" s="198"/>
      <c r="E141" s="537"/>
      <c r="G141" s="198"/>
      <c r="H141" s="123"/>
    </row>
    <row r="142" spans="3:8" s="99" customFormat="1" x14ac:dyDescent="0.2">
      <c r="C142" s="198"/>
      <c r="D142" s="198"/>
      <c r="E142" s="537"/>
      <c r="G142" s="198"/>
      <c r="H142" s="123"/>
    </row>
    <row r="143" spans="3:8" s="99" customFormat="1" x14ac:dyDescent="0.2">
      <c r="C143" s="198"/>
      <c r="D143" s="198"/>
      <c r="E143" s="537"/>
      <c r="G143" s="198"/>
      <c r="H143" s="123"/>
    </row>
    <row r="144" spans="3:8" s="99" customFormat="1" x14ac:dyDescent="0.2">
      <c r="C144" s="198"/>
      <c r="D144" s="198"/>
      <c r="E144" s="537"/>
      <c r="G144" s="198"/>
      <c r="H144" s="123"/>
    </row>
    <row r="145" spans="3:8" s="99" customFormat="1" x14ac:dyDescent="0.2">
      <c r="C145" s="198"/>
      <c r="D145" s="198"/>
      <c r="E145" s="537"/>
      <c r="G145" s="198"/>
      <c r="H145" s="123"/>
    </row>
    <row r="146" spans="3:8" s="99" customFormat="1" x14ac:dyDescent="0.2">
      <c r="C146" s="198"/>
      <c r="D146" s="198"/>
      <c r="E146" s="537"/>
      <c r="G146" s="198"/>
      <c r="H146" s="123"/>
    </row>
    <row r="147" spans="3:8" s="99" customFormat="1" x14ac:dyDescent="0.2">
      <c r="C147" s="198"/>
      <c r="D147" s="198"/>
      <c r="E147" s="537"/>
      <c r="G147" s="198"/>
      <c r="H147" s="123"/>
    </row>
    <row r="148" spans="3:8" s="99" customFormat="1" x14ac:dyDescent="0.2">
      <c r="C148" s="198"/>
      <c r="D148" s="198"/>
      <c r="E148" s="537"/>
      <c r="G148" s="198"/>
      <c r="H148" s="123"/>
    </row>
    <row r="149" spans="3:8" s="99" customFormat="1" x14ac:dyDescent="0.2">
      <c r="C149" s="198"/>
      <c r="D149" s="198"/>
      <c r="E149" s="537"/>
      <c r="G149" s="198"/>
      <c r="H149" s="123"/>
    </row>
    <row r="150" spans="3:8" s="99" customFormat="1" x14ac:dyDescent="0.2">
      <c r="C150" s="198"/>
      <c r="D150" s="198"/>
      <c r="E150" s="537"/>
      <c r="G150" s="198"/>
      <c r="H150" s="123"/>
    </row>
    <row r="151" spans="3:8" s="99" customFormat="1" x14ac:dyDescent="0.2">
      <c r="C151" s="198"/>
      <c r="D151" s="198"/>
      <c r="E151" s="537"/>
      <c r="G151" s="198"/>
      <c r="H151" s="123"/>
    </row>
    <row r="152" spans="3:8" s="99" customFormat="1" x14ac:dyDescent="0.2">
      <c r="C152" s="198"/>
      <c r="D152" s="198"/>
      <c r="E152" s="537"/>
      <c r="G152" s="198"/>
      <c r="H152" s="123"/>
    </row>
    <row r="153" spans="3:8" s="99" customFormat="1" x14ac:dyDescent="0.2">
      <c r="C153" s="198"/>
      <c r="D153" s="198"/>
      <c r="E153" s="537"/>
      <c r="G153" s="198"/>
      <c r="H153" s="123"/>
    </row>
    <row r="154" spans="3:8" s="99" customFormat="1" x14ac:dyDescent="0.2">
      <c r="C154" s="198"/>
      <c r="D154" s="198"/>
      <c r="E154" s="537"/>
      <c r="G154" s="198"/>
      <c r="H154" s="123"/>
    </row>
    <row r="155" spans="3:8" s="99" customFormat="1" x14ac:dyDescent="0.2">
      <c r="C155" s="198"/>
      <c r="D155" s="198"/>
      <c r="E155" s="537"/>
      <c r="G155" s="198"/>
      <c r="H155" s="123"/>
    </row>
    <row r="156" spans="3:8" s="99" customFormat="1" x14ac:dyDescent="0.2">
      <c r="C156" s="198"/>
      <c r="D156" s="198"/>
      <c r="E156" s="537"/>
      <c r="G156" s="198"/>
      <c r="H156" s="123"/>
    </row>
    <row r="157" spans="3:8" s="99" customFormat="1" x14ac:dyDescent="0.2">
      <c r="C157" s="198"/>
      <c r="D157" s="198"/>
      <c r="E157" s="537"/>
      <c r="G157" s="198"/>
      <c r="H157" s="123"/>
    </row>
    <row r="158" spans="3:8" s="99" customFormat="1" x14ac:dyDescent="0.2">
      <c r="C158" s="198"/>
      <c r="D158" s="198"/>
      <c r="E158" s="537"/>
      <c r="G158" s="198"/>
      <c r="H158" s="123"/>
    </row>
    <row r="159" spans="3:8" s="99" customFormat="1" x14ac:dyDescent="0.2">
      <c r="C159" s="198"/>
      <c r="D159" s="198"/>
      <c r="E159" s="537"/>
      <c r="G159" s="198"/>
      <c r="H159" s="123"/>
    </row>
    <row r="160" spans="3:8" s="99" customFormat="1" x14ac:dyDescent="0.2">
      <c r="C160" s="198"/>
      <c r="D160" s="198"/>
      <c r="E160" s="537"/>
      <c r="G160" s="198"/>
      <c r="H160" s="123"/>
    </row>
    <row r="161" spans="3:8" s="99" customFormat="1" x14ac:dyDescent="0.2">
      <c r="C161" s="198"/>
      <c r="D161" s="198"/>
      <c r="E161" s="537"/>
      <c r="G161" s="198"/>
      <c r="H161" s="123"/>
    </row>
    <row r="162" spans="3:8" s="99" customFormat="1" x14ac:dyDescent="0.2">
      <c r="C162" s="198"/>
      <c r="D162" s="198"/>
      <c r="E162" s="537"/>
      <c r="G162" s="198"/>
      <c r="H162" s="123"/>
    </row>
    <row r="163" spans="3:8" s="99" customFormat="1" x14ac:dyDescent="0.2">
      <c r="C163" s="198"/>
      <c r="D163" s="198"/>
      <c r="E163" s="537"/>
      <c r="G163" s="198"/>
      <c r="H163" s="123"/>
    </row>
    <row r="164" spans="3:8" s="99" customFormat="1" x14ac:dyDescent="0.2">
      <c r="C164" s="198"/>
      <c r="D164" s="198"/>
      <c r="E164" s="537"/>
      <c r="G164" s="198"/>
      <c r="H164" s="123"/>
    </row>
    <row r="165" spans="3:8" s="99" customFormat="1" x14ac:dyDescent="0.2">
      <c r="C165" s="198"/>
      <c r="D165" s="198"/>
      <c r="E165" s="537"/>
      <c r="G165" s="198"/>
      <c r="H165" s="123"/>
    </row>
    <row r="166" spans="3:8" s="99" customFormat="1" x14ac:dyDescent="0.2">
      <c r="C166" s="198"/>
      <c r="D166" s="198"/>
      <c r="E166" s="537"/>
      <c r="G166" s="198"/>
      <c r="H166" s="123"/>
    </row>
    <row r="167" spans="3:8" s="99" customFormat="1" x14ac:dyDescent="0.2">
      <c r="C167" s="198"/>
      <c r="D167" s="198"/>
      <c r="E167" s="537"/>
      <c r="G167" s="198"/>
      <c r="H167" s="123"/>
    </row>
    <row r="168" spans="3:8" s="99" customFormat="1" x14ac:dyDescent="0.2">
      <c r="C168" s="198"/>
      <c r="D168" s="198"/>
      <c r="E168" s="537"/>
      <c r="G168" s="198"/>
      <c r="H168" s="123"/>
    </row>
    <row r="169" spans="3:8" s="99" customFormat="1" x14ac:dyDescent="0.2">
      <c r="C169" s="198"/>
      <c r="D169" s="198"/>
      <c r="E169" s="537"/>
      <c r="G169" s="198"/>
      <c r="H169" s="123"/>
    </row>
    <row r="170" spans="3:8" s="99" customFormat="1" x14ac:dyDescent="0.2">
      <c r="C170" s="198"/>
      <c r="D170" s="198"/>
      <c r="E170" s="537"/>
      <c r="G170" s="198"/>
      <c r="H170" s="123"/>
    </row>
    <row r="171" spans="3:8" s="99" customFormat="1" x14ac:dyDescent="0.2">
      <c r="C171" s="198"/>
      <c r="D171" s="198"/>
      <c r="E171" s="537"/>
      <c r="G171" s="198"/>
      <c r="H171" s="123"/>
    </row>
    <row r="172" spans="3:8" s="99" customFormat="1" x14ac:dyDescent="0.2">
      <c r="C172" s="198"/>
      <c r="D172" s="198"/>
      <c r="E172" s="537"/>
      <c r="G172" s="198"/>
      <c r="H172" s="123"/>
    </row>
    <row r="173" spans="3:8" s="99" customFormat="1" x14ac:dyDescent="0.2">
      <c r="C173" s="198"/>
      <c r="D173" s="198"/>
      <c r="E173" s="537"/>
      <c r="G173" s="198"/>
      <c r="H173" s="123"/>
    </row>
    <row r="174" spans="3:8" s="99" customFormat="1" x14ac:dyDescent="0.2">
      <c r="C174" s="198"/>
      <c r="D174" s="198"/>
      <c r="E174" s="537"/>
      <c r="G174" s="198"/>
      <c r="H174" s="123"/>
    </row>
    <row r="175" spans="3:8" s="99" customFormat="1" x14ac:dyDescent="0.2">
      <c r="C175" s="198"/>
      <c r="D175" s="198"/>
      <c r="E175" s="537"/>
      <c r="G175" s="198"/>
      <c r="H175" s="123"/>
    </row>
    <row r="176" spans="3:8" s="99" customFormat="1" x14ac:dyDescent="0.2">
      <c r="C176" s="198"/>
      <c r="D176" s="198"/>
      <c r="E176" s="537"/>
      <c r="G176" s="198"/>
      <c r="H176" s="123"/>
    </row>
    <row r="177" spans="3:8" s="99" customFormat="1" x14ac:dyDescent="0.2">
      <c r="C177" s="198"/>
      <c r="D177" s="198"/>
      <c r="E177" s="537"/>
      <c r="G177" s="198"/>
      <c r="H177" s="123"/>
    </row>
    <row r="178" spans="3:8" s="99" customFormat="1" x14ac:dyDescent="0.2">
      <c r="C178" s="198"/>
      <c r="D178" s="198"/>
      <c r="E178" s="537"/>
      <c r="G178" s="198"/>
      <c r="H178" s="123"/>
    </row>
    <row r="179" spans="3:8" s="99" customFormat="1" x14ac:dyDescent="0.2">
      <c r="C179" s="198"/>
      <c r="D179" s="198"/>
      <c r="E179" s="537"/>
      <c r="G179" s="198"/>
      <c r="H179" s="123"/>
    </row>
    <row r="180" spans="3:8" s="99" customFormat="1" x14ac:dyDescent="0.2">
      <c r="C180" s="198"/>
      <c r="D180" s="198"/>
      <c r="E180" s="537"/>
      <c r="G180" s="198"/>
      <c r="H180" s="123"/>
    </row>
    <row r="181" spans="3:8" s="99" customFormat="1" x14ac:dyDescent="0.2">
      <c r="C181" s="198"/>
      <c r="D181" s="198"/>
      <c r="E181" s="537"/>
      <c r="G181" s="198"/>
      <c r="H181" s="123"/>
    </row>
    <row r="182" spans="3:8" s="99" customFormat="1" x14ac:dyDescent="0.2">
      <c r="C182" s="198"/>
      <c r="D182" s="198"/>
      <c r="E182" s="537"/>
      <c r="G182" s="198"/>
      <c r="H182" s="123"/>
    </row>
    <row r="183" spans="3:8" s="99" customFormat="1" x14ac:dyDescent="0.2">
      <c r="C183" s="198"/>
      <c r="D183" s="198"/>
      <c r="E183" s="537"/>
      <c r="G183" s="198"/>
      <c r="H183" s="123"/>
    </row>
    <row r="184" spans="3:8" s="99" customFormat="1" x14ac:dyDescent="0.2">
      <c r="C184" s="198"/>
      <c r="D184" s="198"/>
      <c r="E184" s="537"/>
      <c r="G184" s="198"/>
      <c r="H184" s="123"/>
    </row>
    <row r="185" spans="3:8" s="99" customFormat="1" x14ac:dyDescent="0.2">
      <c r="C185" s="198"/>
      <c r="D185" s="198"/>
      <c r="E185" s="537"/>
      <c r="G185" s="198"/>
      <c r="H185" s="123"/>
    </row>
    <row r="186" spans="3:8" s="99" customFormat="1" x14ac:dyDescent="0.2">
      <c r="C186" s="198"/>
      <c r="D186" s="198"/>
      <c r="E186" s="537"/>
      <c r="G186" s="198"/>
      <c r="H186" s="123"/>
    </row>
    <row r="187" spans="3:8" s="99" customFormat="1" x14ac:dyDescent="0.2">
      <c r="C187" s="198"/>
      <c r="D187" s="198"/>
      <c r="E187" s="537"/>
      <c r="G187" s="198"/>
      <c r="H187" s="123"/>
    </row>
    <row r="188" spans="3:8" s="99" customFormat="1" x14ac:dyDescent="0.2">
      <c r="C188" s="198"/>
      <c r="D188" s="198"/>
      <c r="E188" s="537"/>
      <c r="G188" s="198"/>
      <c r="H188" s="123"/>
    </row>
    <row r="189" spans="3:8" s="99" customFormat="1" x14ac:dyDescent="0.2">
      <c r="C189" s="198"/>
      <c r="D189" s="198"/>
      <c r="E189" s="537"/>
      <c r="G189" s="198"/>
      <c r="H189" s="123"/>
    </row>
    <row r="190" spans="3:8" s="99" customFormat="1" x14ac:dyDescent="0.2">
      <c r="C190" s="198"/>
      <c r="D190" s="198"/>
      <c r="E190" s="537"/>
      <c r="G190" s="198"/>
      <c r="H190" s="123"/>
    </row>
    <row r="191" spans="3:8" s="99" customFormat="1" x14ac:dyDescent="0.2">
      <c r="C191" s="198"/>
      <c r="D191" s="198"/>
      <c r="E191" s="537"/>
      <c r="G191" s="198"/>
      <c r="H191" s="123"/>
    </row>
    <row r="192" spans="3:8" s="99" customFormat="1" x14ac:dyDescent="0.2">
      <c r="C192" s="198"/>
      <c r="D192" s="198"/>
      <c r="E192" s="537"/>
      <c r="G192" s="198"/>
      <c r="H192" s="123"/>
    </row>
    <row r="193" spans="3:8" s="99" customFormat="1" x14ac:dyDescent="0.2">
      <c r="C193" s="198"/>
      <c r="D193" s="198"/>
      <c r="E193" s="537"/>
      <c r="G193" s="198"/>
      <c r="H193" s="123"/>
    </row>
    <row r="194" spans="3:8" s="99" customFormat="1" x14ac:dyDescent="0.2">
      <c r="C194" s="198"/>
      <c r="D194" s="198"/>
      <c r="E194" s="537"/>
      <c r="G194" s="198"/>
      <c r="H194" s="123"/>
    </row>
    <row r="195" spans="3:8" s="99" customFormat="1" x14ac:dyDescent="0.2">
      <c r="C195" s="198"/>
      <c r="D195" s="198"/>
      <c r="E195" s="537"/>
      <c r="G195" s="198"/>
      <c r="H195" s="123"/>
    </row>
    <row r="196" spans="3:8" s="99" customFormat="1" x14ac:dyDescent="0.2">
      <c r="C196" s="198"/>
      <c r="D196" s="198"/>
      <c r="E196" s="537"/>
      <c r="G196" s="198"/>
      <c r="H196" s="123"/>
    </row>
    <row r="197" spans="3:8" s="99" customFormat="1" x14ac:dyDescent="0.2">
      <c r="C197" s="198"/>
      <c r="D197" s="198"/>
      <c r="E197" s="537"/>
      <c r="G197" s="198"/>
      <c r="H197" s="123"/>
    </row>
    <row r="198" spans="3:8" s="99" customFormat="1" x14ac:dyDescent="0.2">
      <c r="C198" s="198"/>
      <c r="D198" s="198"/>
      <c r="E198" s="537"/>
      <c r="G198" s="198"/>
      <c r="H198" s="123"/>
    </row>
    <row r="199" spans="3:8" s="99" customFormat="1" x14ac:dyDescent="0.2">
      <c r="C199" s="198"/>
      <c r="D199" s="198"/>
      <c r="E199" s="537"/>
      <c r="G199" s="198"/>
      <c r="H199" s="123"/>
    </row>
    <row r="200" spans="3:8" s="99" customFormat="1" x14ac:dyDescent="0.2">
      <c r="C200" s="198"/>
      <c r="D200" s="198"/>
      <c r="E200" s="537"/>
      <c r="G200" s="198"/>
      <c r="H200" s="123"/>
    </row>
    <row r="201" spans="3:8" s="99" customFormat="1" x14ac:dyDescent="0.2">
      <c r="C201" s="198"/>
      <c r="D201" s="198"/>
      <c r="E201" s="537"/>
      <c r="G201" s="198"/>
      <c r="H201" s="123"/>
    </row>
    <row r="202" spans="3:8" s="99" customFormat="1" x14ac:dyDescent="0.2">
      <c r="C202" s="198"/>
      <c r="D202" s="198"/>
      <c r="E202" s="537"/>
      <c r="G202" s="198"/>
      <c r="H202" s="123"/>
    </row>
    <row r="203" spans="3:8" s="99" customFormat="1" x14ac:dyDescent="0.2">
      <c r="C203" s="198"/>
      <c r="D203" s="198"/>
      <c r="E203" s="537"/>
      <c r="G203" s="198"/>
      <c r="H203" s="123"/>
    </row>
    <row r="204" spans="3:8" s="99" customFormat="1" x14ac:dyDescent="0.2">
      <c r="C204" s="198"/>
      <c r="D204" s="198"/>
      <c r="E204" s="537"/>
      <c r="G204" s="198"/>
      <c r="H204" s="123"/>
    </row>
    <row r="205" spans="3:8" s="99" customFormat="1" x14ac:dyDescent="0.2">
      <c r="C205" s="198"/>
      <c r="D205" s="198"/>
      <c r="E205" s="537"/>
      <c r="G205" s="198"/>
      <c r="H205" s="123"/>
    </row>
    <row r="206" spans="3:8" s="99" customFormat="1" x14ac:dyDescent="0.2">
      <c r="C206" s="198"/>
      <c r="D206" s="198"/>
      <c r="E206" s="537"/>
      <c r="G206" s="198"/>
      <c r="H206" s="123"/>
    </row>
    <row r="207" spans="3:8" s="99" customFormat="1" x14ac:dyDescent="0.2">
      <c r="C207" s="198"/>
      <c r="D207" s="198"/>
      <c r="E207" s="537"/>
      <c r="G207" s="198"/>
      <c r="H207" s="123"/>
    </row>
    <row r="208" spans="3:8" s="99" customFormat="1" x14ac:dyDescent="0.2">
      <c r="C208" s="198"/>
      <c r="D208" s="198"/>
      <c r="E208" s="537"/>
      <c r="G208" s="198"/>
      <c r="H208" s="123"/>
    </row>
    <row r="209" spans="3:8" s="99" customFormat="1" x14ac:dyDescent="0.2">
      <c r="C209" s="198"/>
      <c r="D209" s="198"/>
      <c r="E209" s="537"/>
      <c r="G209" s="198"/>
      <c r="H209" s="123"/>
    </row>
    <row r="210" spans="3:8" s="99" customFormat="1" x14ac:dyDescent="0.2">
      <c r="C210" s="198"/>
      <c r="D210" s="198"/>
      <c r="E210" s="537"/>
      <c r="G210" s="198"/>
      <c r="H210" s="123"/>
    </row>
    <row r="211" spans="3:8" s="99" customFormat="1" x14ac:dyDescent="0.2">
      <c r="C211" s="198"/>
      <c r="D211" s="198"/>
      <c r="E211" s="537"/>
      <c r="G211" s="198"/>
      <c r="H211" s="123"/>
    </row>
    <row r="212" spans="3:8" s="99" customFormat="1" x14ac:dyDescent="0.2">
      <c r="C212" s="198"/>
      <c r="D212" s="198"/>
      <c r="E212" s="537"/>
      <c r="G212" s="198"/>
      <c r="H212" s="123"/>
    </row>
    <row r="213" spans="3:8" s="99" customFormat="1" x14ac:dyDescent="0.2">
      <c r="C213" s="198"/>
      <c r="D213" s="198"/>
      <c r="E213" s="537"/>
      <c r="G213" s="198"/>
      <c r="H213" s="123"/>
    </row>
    <row r="214" spans="3:8" s="99" customFormat="1" x14ac:dyDescent="0.2">
      <c r="C214" s="198"/>
      <c r="D214" s="198"/>
      <c r="E214" s="537"/>
      <c r="G214" s="198"/>
      <c r="H214" s="123"/>
    </row>
    <row r="215" spans="3:8" s="99" customFormat="1" x14ac:dyDescent="0.2">
      <c r="C215" s="198"/>
      <c r="D215" s="198"/>
      <c r="E215" s="537"/>
      <c r="G215" s="198"/>
      <c r="H215" s="123"/>
    </row>
    <row r="216" spans="3:8" s="99" customFormat="1" x14ac:dyDescent="0.2">
      <c r="C216" s="198"/>
      <c r="D216" s="198"/>
      <c r="E216" s="537"/>
      <c r="G216" s="198"/>
      <c r="H216" s="123"/>
    </row>
    <row r="217" spans="3:8" s="99" customFormat="1" x14ac:dyDescent="0.2">
      <c r="C217" s="198"/>
      <c r="D217" s="198"/>
      <c r="E217" s="537"/>
      <c r="G217" s="198"/>
      <c r="H217" s="123"/>
    </row>
    <row r="218" spans="3:8" s="99" customFormat="1" x14ac:dyDescent="0.2">
      <c r="C218" s="198"/>
      <c r="D218" s="198"/>
      <c r="E218" s="537"/>
      <c r="G218" s="198"/>
      <c r="H218" s="123"/>
    </row>
    <row r="219" spans="3:8" s="99" customFormat="1" x14ac:dyDescent="0.2">
      <c r="C219" s="198"/>
      <c r="D219" s="198"/>
      <c r="E219" s="537"/>
      <c r="G219" s="198"/>
      <c r="H219" s="123"/>
    </row>
    <row r="220" spans="3:8" s="99" customFormat="1" x14ac:dyDescent="0.2">
      <c r="C220" s="198"/>
      <c r="D220" s="198"/>
      <c r="E220" s="537"/>
      <c r="G220" s="198"/>
      <c r="H220" s="123"/>
    </row>
    <row r="221" spans="3:8" s="99" customFormat="1" x14ac:dyDescent="0.2">
      <c r="C221" s="198"/>
      <c r="D221" s="198"/>
      <c r="E221" s="537"/>
      <c r="G221" s="198"/>
      <c r="H221" s="123"/>
    </row>
    <row r="222" spans="3:8" s="99" customFormat="1" x14ac:dyDescent="0.2">
      <c r="C222" s="198"/>
      <c r="D222" s="198"/>
      <c r="E222" s="537"/>
      <c r="G222" s="198"/>
      <c r="H222" s="123"/>
    </row>
    <row r="223" spans="3:8" s="99" customFormat="1" x14ac:dyDescent="0.2">
      <c r="C223" s="198"/>
      <c r="D223" s="198"/>
      <c r="E223" s="537"/>
      <c r="G223" s="198"/>
      <c r="H223" s="123"/>
    </row>
    <row r="224" spans="3:8" s="99" customFormat="1" x14ac:dyDescent="0.2">
      <c r="C224" s="198"/>
      <c r="D224" s="198"/>
      <c r="E224" s="537"/>
      <c r="G224" s="198"/>
      <c r="H224" s="123"/>
    </row>
    <row r="225" spans="3:8" s="99" customFormat="1" x14ac:dyDescent="0.2">
      <c r="C225" s="198"/>
      <c r="D225" s="198"/>
      <c r="E225" s="537"/>
      <c r="G225" s="198"/>
      <c r="H225" s="123"/>
    </row>
    <row r="226" spans="3:8" s="99" customFormat="1" x14ac:dyDescent="0.2">
      <c r="C226" s="198"/>
      <c r="D226" s="198"/>
      <c r="E226" s="537"/>
      <c r="G226" s="198"/>
      <c r="H226" s="123"/>
    </row>
    <row r="227" spans="3:8" s="99" customFormat="1" x14ac:dyDescent="0.2">
      <c r="C227" s="198"/>
      <c r="D227" s="198"/>
      <c r="E227" s="537"/>
      <c r="G227" s="198"/>
      <c r="H227" s="123"/>
    </row>
    <row r="228" spans="3:8" s="99" customFormat="1" x14ac:dyDescent="0.2">
      <c r="C228" s="198"/>
      <c r="D228" s="198"/>
      <c r="E228" s="537"/>
      <c r="G228" s="198"/>
      <c r="H228" s="123"/>
    </row>
    <row r="229" spans="3:8" s="99" customFormat="1" x14ac:dyDescent="0.2">
      <c r="C229" s="198"/>
      <c r="D229" s="198"/>
      <c r="E229" s="537"/>
      <c r="G229" s="198"/>
      <c r="H229" s="123"/>
    </row>
    <row r="230" spans="3:8" s="99" customFormat="1" x14ac:dyDescent="0.2">
      <c r="C230" s="198"/>
      <c r="D230" s="198"/>
      <c r="E230" s="537"/>
      <c r="G230" s="198"/>
      <c r="H230" s="123"/>
    </row>
    <row r="231" spans="3:8" s="99" customFormat="1" x14ac:dyDescent="0.2">
      <c r="C231" s="198"/>
      <c r="D231" s="198"/>
      <c r="E231" s="537"/>
      <c r="G231" s="198"/>
      <c r="H231" s="123"/>
    </row>
    <row r="232" spans="3:8" s="99" customFormat="1" x14ac:dyDescent="0.2">
      <c r="C232" s="198"/>
      <c r="D232" s="198"/>
      <c r="E232" s="537"/>
      <c r="G232" s="198"/>
      <c r="H232" s="123"/>
    </row>
    <row r="233" spans="3:8" s="99" customFormat="1" x14ac:dyDescent="0.2">
      <c r="C233" s="198"/>
      <c r="D233" s="198"/>
      <c r="E233" s="537"/>
      <c r="G233" s="198"/>
      <c r="H233" s="123"/>
    </row>
    <row r="234" spans="3:8" s="99" customFormat="1" x14ac:dyDescent="0.2">
      <c r="C234" s="198"/>
      <c r="D234" s="198"/>
      <c r="E234" s="537"/>
      <c r="G234" s="198"/>
      <c r="H234" s="123"/>
    </row>
    <row r="235" spans="3:8" s="99" customFormat="1" x14ac:dyDescent="0.2">
      <c r="C235" s="198"/>
      <c r="D235" s="198"/>
      <c r="E235" s="537"/>
      <c r="G235" s="198"/>
      <c r="H235" s="123"/>
    </row>
    <row r="236" spans="3:8" s="99" customFormat="1" x14ac:dyDescent="0.2">
      <c r="C236" s="198"/>
      <c r="D236" s="198"/>
      <c r="E236" s="537"/>
      <c r="G236" s="198"/>
      <c r="H236" s="123"/>
    </row>
    <row r="237" spans="3:8" s="99" customFormat="1" x14ac:dyDescent="0.2">
      <c r="C237" s="198"/>
      <c r="D237" s="198"/>
      <c r="E237" s="537"/>
      <c r="G237" s="198"/>
      <c r="H237" s="123"/>
    </row>
    <row r="238" spans="3:8" s="99" customFormat="1" x14ac:dyDescent="0.2">
      <c r="C238" s="198"/>
      <c r="D238" s="198"/>
      <c r="E238" s="537"/>
      <c r="G238" s="198"/>
      <c r="H238" s="123"/>
    </row>
    <row r="239" spans="3:8" s="99" customFormat="1" x14ac:dyDescent="0.2">
      <c r="C239" s="198"/>
      <c r="D239" s="198"/>
      <c r="E239" s="537"/>
      <c r="G239" s="198"/>
      <c r="H239" s="123"/>
    </row>
    <row r="240" spans="3:8" s="99" customFormat="1" x14ac:dyDescent="0.2">
      <c r="C240" s="198"/>
      <c r="D240" s="198"/>
      <c r="E240" s="537"/>
      <c r="G240" s="198"/>
      <c r="H240" s="123"/>
    </row>
    <row r="241" spans="3:8" s="99" customFormat="1" x14ac:dyDescent="0.2">
      <c r="C241" s="198"/>
      <c r="D241" s="198"/>
      <c r="E241" s="537"/>
      <c r="G241" s="198"/>
      <c r="H241" s="123"/>
    </row>
    <row r="242" spans="3:8" s="99" customFormat="1" x14ac:dyDescent="0.2">
      <c r="C242" s="198"/>
      <c r="D242" s="198"/>
      <c r="E242" s="537"/>
      <c r="G242" s="198"/>
      <c r="H242" s="123"/>
    </row>
    <row r="243" spans="3:8" s="99" customFormat="1" x14ac:dyDescent="0.2">
      <c r="C243" s="198"/>
      <c r="D243" s="198"/>
      <c r="E243" s="537"/>
      <c r="G243" s="198"/>
      <c r="H243" s="123"/>
    </row>
    <row r="244" spans="3:8" s="99" customFormat="1" x14ac:dyDescent="0.2">
      <c r="C244" s="198"/>
      <c r="D244" s="198"/>
      <c r="E244" s="537"/>
      <c r="G244" s="198"/>
      <c r="H244" s="123"/>
    </row>
    <row r="245" spans="3:8" s="99" customFormat="1" x14ac:dyDescent="0.2">
      <c r="C245" s="198"/>
      <c r="D245" s="198"/>
      <c r="E245" s="537"/>
      <c r="G245" s="198"/>
      <c r="H245" s="123"/>
    </row>
    <row r="246" spans="3:8" s="99" customFormat="1" x14ac:dyDescent="0.2">
      <c r="C246" s="198"/>
      <c r="D246" s="198"/>
      <c r="E246" s="537"/>
      <c r="G246" s="198"/>
      <c r="H246" s="123"/>
    </row>
    <row r="247" spans="3:8" s="99" customFormat="1" x14ac:dyDescent="0.2">
      <c r="C247" s="198"/>
      <c r="D247" s="198"/>
      <c r="E247" s="537"/>
      <c r="G247" s="198"/>
      <c r="H247" s="123"/>
    </row>
    <row r="248" spans="3:8" s="99" customFormat="1" x14ac:dyDescent="0.2">
      <c r="C248" s="198"/>
      <c r="D248" s="198"/>
      <c r="E248" s="537"/>
      <c r="G248" s="198"/>
      <c r="H248" s="123"/>
    </row>
    <row r="249" spans="3:8" s="99" customFormat="1" x14ac:dyDescent="0.2">
      <c r="C249" s="198"/>
      <c r="D249" s="198"/>
      <c r="E249" s="537"/>
      <c r="G249" s="198"/>
      <c r="H249" s="123"/>
    </row>
    <row r="250" spans="3:8" s="99" customFormat="1" x14ac:dyDescent="0.2">
      <c r="C250" s="198"/>
      <c r="D250" s="198"/>
      <c r="E250" s="537"/>
      <c r="G250" s="198"/>
      <c r="H250" s="123"/>
    </row>
    <row r="251" spans="3:8" s="99" customFormat="1" x14ac:dyDescent="0.2">
      <c r="C251" s="198"/>
      <c r="D251" s="198"/>
      <c r="E251" s="537"/>
      <c r="G251" s="198"/>
      <c r="H251" s="123"/>
    </row>
    <row r="252" spans="3:8" s="99" customFormat="1" x14ac:dyDescent="0.2">
      <c r="C252" s="198"/>
      <c r="D252" s="198"/>
      <c r="E252" s="537"/>
      <c r="G252" s="198"/>
      <c r="H252" s="123"/>
    </row>
    <row r="253" spans="3:8" s="99" customFormat="1" x14ac:dyDescent="0.2">
      <c r="C253" s="198"/>
      <c r="D253" s="198"/>
      <c r="E253" s="537"/>
      <c r="G253" s="198"/>
      <c r="H253" s="123"/>
    </row>
    <row r="254" spans="3:8" s="99" customFormat="1" x14ac:dyDescent="0.2">
      <c r="C254" s="198"/>
      <c r="D254" s="198"/>
      <c r="E254" s="537"/>
      <c r="G254" s="198"/>
      <c r="H254" s="123"/>
    </row>
    <row r="255" spans="3:8" s="99" customFormat="1" x14ac:dyDescent="0.2">
      <c r="C255" s="198"/>
      <c r="D255" s="198"/>
      <c r="E255" s="537"/>
      <c r="G255" s="198"/>
      <c r="H255" s="123"/>
    </row>
    <row r="256" spans="3:8" s="99" customFormat="1" x14ac:dyDescent="0.2">
      <c r="C256" s="198"/>
      <c r="D256" s="198"/>
      <c r="E256" s="537"/>
      <c r="G256" s="198"/>
      <c r="H256" s="123"/>
    </row>
    <row r="257" spans="3:8" s="99" customFormat="1" x14ac:dyDescent="0.2">
      <c r="C257" s="198"/>
      <c r="D257" s="198"/>
      <c r="E257" s="537"/>
      <c r="G257" s="198"/>
      <c r="H257" s="123"/>
    </row>
    <row r="258" spans="3:8" s="99" customFormat="1" x14ac:dyDescent="0.2">
      <c r="C258" s="198"/>
      <c r="D258" s="198"/>
      <c r="E258" s="537"/>
      <c r="G258" s="198"/>
      <c r="H258" s="123"/>
    </row>
    <row r="259" spans="3:8" s="99" customFormat="1" x14ac:dyDescent="0.2">
      <c r="C259" s="198"/>
      <c r="D259" s="198"/>
      <c r="E259" s="537"/>
      <c r="G259" s="198"/>
      <c r="H259" s="123"/>
    </row>
    <row r="260" spans="3:8" s="99" customFormat="1" x14ac:dyDescent="0.2">
      <c r="C260" s="198"/>
      <c r="D260" s="198"/>
      <c r="E260" s="537"/>
      <c r="G260" s="198"/>
      <c r="H260" s="123"/>
    </row>
    <row r="261" spans="3:8" s="99" customFormat="1" x14ac:dyDescent="0.2">
      <c r="C261" s="198"/>
      <c r="D261" s="198"/>
      <c r="E261" s="537"/>
      <c r="G261" s="198"/>
      <c r="H261" s="123"/>
    </row>
    <row r="262" spans="3:8" s="99" customFormat="1" x14ac:dyDescent="0.2">
      <c r="C262" s="198"/>
      <c r="D262" s="198"/>
      <c r="E262" s="537"/>
      <c r="G262" s="198"/>
      <c r="H262" s="123"/>
    </row>
    <row r="263" spans="3:8" s="99" customFormat="1" x14ac:dyDescent="0.2">
      <c r="C263" s="198"/>
      <c r="D263" s="198"/>
      <c r="E263" s="537"/>
      <c r="G263" s="198"/>
      <c r="H263" s="123"/>
    </row>
    <row r="264" spans="3:8" s="99" customFormat="1" x14ac:dyDescent="0.2">
      <c r="C264" s="198"/>
      <c r="D264" s="198"/>
      <c r="E264" s="537"/>
      <c r="G264" s="198"/>
      <c r="H264" s="123"/>
    </row>
    <row r="265" spans="3:8" s="99" customFormat="1" x14ac:dyDescent="0.2">
      <c r="C265" s="198"/>
      <c r="D265" s="198"/>
      <c r="E265" s="537"/>
      <c r="G265" s="198"/>
      <c r="H265" s="123"/>
    </row>
    <row r="266" spans="3:8" s="99" customFormat="1" x14ac:dyDescent="0.2">
      <c r="C266" s="198"/>
      <c r="D266" s="198"/>
      <c r="E266" s="537"/>
      <c r="G266" s="198"/>
      <c r="H266" s="123"/>
    </row>
    <row r="267" spans="3:8" s="99" customFormat="1" x14ac:dyDescent="0.2">
      <c r="C267" s="198"/>
      <c r="D267" s="198"/>
      <c r="E267" s="537"/>
      <c r="G267" s="198"/>
      <c r="H267" s="123"/>
    </row>
    <row r="268" spans="3:8" s="99" customFormat="1" x14ac:dyDescent="0.2">
      <c r="C268" s="198"/>
      <c r="D268" s="198"/>
      <c r="E268" s="537"/>
      <c r="G268" s="198"/>
      <c r="H268" s="123"/>
    </row>
    <row r="269" spans="3:8" s="99" customFormat="1" x14ac:dyDescent="0.2">
      <c r="C269" s="198"/>
      <c r="D269" s="198"/>
      <c r="E269" s="537"/>
      <c r="G269" s="198"/>
      <c r="H269" s="123"/>
    </row>
    <row r="270" spans="3:8" s="99" customFormat="1" x14ac:dyDescent="0.2">
      <c r="C270" s="198"/>
      <c r="D270" s="198"/>
      <c r="E270" s="537"/>
      <c r="G270" s="198"/>
      <c r="H270" s="123"/>
    </row>
    <row r="271" spans="3:8" s="99" customFormat="1" x14ac:dyDescent="0.2">
      <c r="C271" s="198"/>
      <c r="D271" s="198"/>
      <c r="E271" s="537"/>
      <c r="G271" s="198"/>
      <c r="H271" s="123"/>
    </row>
    <row r="272" spans="3:8" s="99" customFormat="1" x14ac:dyDescent="0.2">
      <c r="C272" s="198"/>
      <c r="D272" s="198"/>
      <c r="E272" s="537"/>
      <c r="G272" s="198"/>
      <c r="H272" s="123"/>
    </row>
    <row r="273" spans="3:8" s="99" customFormat="1" x14ac:dyDescent="0.2">
      <c r="C273" s="198"/>
      <c r="D273" s="198"/>
      <c r="E273" s="537"/>
      <c r="G273" s="198"/>
      <c r="H273" s="123"/>
    </row>
    <row r="274" spans="3:8" s="99" customFormat="1" x14ac:dyDescent="0.2">
      <c r="C274" s="198"/>
      <c r="D274" s="198"/>
      <c r="E274" s="537"/>
      <c r="G274" s="198"/>
      <c r="H274" s="123"/>
    </row>
    <row r="275" spans="3:8" s="99" customFormat="1" x14ac:dyDescent="0.2">
      <c r="C275" s="198"/>
      <c r="D275" s="198"/>
      <c r="E275" s="537"/>
      <c r="G275" s="198"/>
      <c r="H275" s="123"/>
    </row>
    <row r="276" spans="3:8" s="99" customFormat="1" x14ac:dyDescent="0.2">
      <c r="C276" s="198"/>
      <c r="D276" s="198"/>
      <c r="E276" s="537"/>
      <c r="G276" s="198"/>
      <c r="H276" s="123"/>
    </row>
    <row r="277" spans="3:8" s="99" customFormat="1" x14ac:dyDescent="0.2">
      <c r="C277" s="198"/>
      <c r="D277" s="198"/>
      <c r="E277" s="537"/>
      <c r="G277" s="198"/>
      <c r="H277" s="123"/>
    </row>
    <row r="278" spans="3:8" s="99" customFormat="1" x14ac:dyDescent="0.2">
      <c r="C278" s="198"/>
      <c r="D278" s="198"/>
      <c r="E278" s="537"/>
      <c r="G278" s="198"/>
      <c r="H278" s="123"/>
    </row>
    <row r="279" spans="3:8" s="99" customFormat="1" x14ac:dyDescent="0.2">
      <c r="C279" s="198"/>
      <c r="D279" s="198"/>
      <c r="E279" s="537"/>
      <c r="G279" s="198"/>
      <c r="H279" s="123"/>
    </row>
    <row r="280" spans="3:8" s="99" customFormat="1" x14ac:dyDescent="0.2">
      <c r="C280" s="198"/>
      <c r="D280" s="198"/>
      <c r="E280" s="537"/>
      <c r="G280" s="198"/>
      <c r="H280" s="123"/>
    </row>
    <row r="281" spans="3:8" s="99" customFormat="1" x14ac:dyDescent="0.2">
      <c r="C281" s="198"/>
      <c r="D281" s="198"/>
      <c r="E281" s="537"/>
      <c r="G281" s="198"/>
      <c r="H281" s="123"/>
    </row>
    <row r="282" spans="3:8" s="99" customFormat="1" x14ac:dyDescent="0.2">
      <c r="C282" s="198"/>
      <c r="D282" s="198"/>
      <c r="E282" s="537"/>
      <c r="G282" s="198"/>
      <c r="H282" s="123"/>
    </row>
    <row r="283" spans="3:8" s="99" customFormat="1" x14ac:dyDescent="0.2">
      <c r="C283" s="198"/>
      <c r="D283" s="198"/>
      <c r="E283" s="537"/>
      <c r="G283" s="198"/>
      <c r="H283" s="123"/>
    </row>
    <row r="284" spans="3:8" s="99" customFormat="1" x14ac:dyDescent="0.2">
      <c r="C284" s="198"/>
      <c r="D284" s="198"/>
      <c r="E284" s="537"/>
      <c r="G284" s="198"/>
      <c r="H284" s="123"/>
    </row>
    <row r="285" spans="3:8" s="99" customFormat="1" x14ac:dyDescent="0.2">
      <c r="C285" s="198"/>
      <c r="D285" s="198"/>
      <c r="E285" s="537"/>
      <c r="G285" s="198"/>
      <c r="H285" s="123"/>
    </row>
    <row r="286" spans="3:8" s="99" customFormat="1" x14ac:dyDescent="0.2">
      <c r="C286" s="198"/>
      <c r="D286" s="198"/>
      <c r="E286" s="537"/>
      <c r="G286" s="198"/>
      <c r="H286" s="123"/>
    </row>
    <row r="287" spans="3:8" s="99" customFormat="1" x14ac:dyDescent="0.2">
      <c r="C287" s="198"/>
      <c r="D287" s="198"/>
      <c r="E287" s="537"/>
      <c r="G287" s="198"/>
      <c r="H287" s="123"/>
    </row>
    <row r="288" spans="3:8" s="99" customFormat="1" x14ac:dyDescent="0.2">
      <c r="C288" s="198"/>
      <c r="D288" s="198"/>
      <c r="E288" s="537"/>
      <c r="G288" s="198"/>
      <c r="H288" s="123"/>
    </row>
    <row r="289" spans="3:8" s="99" customFormat="1" x14ac:dyDescent="0.2">
      <c r="C289" s="198"/>
      <c r="D289" s="198"/>
      <c r="E289" s="537"/>
      <c r="G289" s="198"/>
      <c r="H289" s="123"/>
    </row>
    <row r="290" spans="3:8" s="99" customFormat="1" x14ac:dyDescent="0.2">
      <c r="C290" s="198"/>
      <c r="D290" s="198"/>
      <c r="E290" s="537"/>
      <c r="G290" s="198"/>
      <c r="H290" s="123"/>
    </row>
    <row r="291" spans="3:8" s="99" customFormat="1" x14ac:dyDescent="0.2">
      <c r="C291" s="198"/>
      <c r="D291" s="198"/>
      <c r="E291" s="537"/>
      <c r="G291" s="198"/>
      <c r="H291" s="123"/>
    </row>
    <row r="292" spans="3:8" s="99" customFormat="1" x14ac:dyDescent="0.2">
      <c r="C292" s="198"/>
      <c r="D292" s="198"/>
      <c r="E292" s="537"/>
      <c r="G292" s="198"/>
      <c r="H292" s="123"/>
    </row>
    <row r="293" spans="3:8" s="99" customFormat="1" x14ac:dyDescent="0.2">
      <c r="C293" s="198"/>
      <c r="D293" s="198"/>
      <c r="E293" s="537"/>
      <c r="G293" s="198"/>
      <c r="H293" s="123"/>
    </row>
    <row r="294" spans="3:8" s="99" customFormat="1" x14ac:dyDescent="0.2">
      <c r="C294" s="198"/>
      <c r="D294" s="198"/>
      <c r="E294" s="537"/>
      <c r="G294" s="198"/>
      <c r="H294" s="123"/>
    </row>
    <row r="295" spans="3:8" s="99" customFormat="1" x14ac:dyDescent="0.2">
      <c r="C295" s="198"/>
      <c r="D295" s="198"/>
      <c r="E295" s="537"/>
      <c r="G295" s="198"/>
      <c r="H295" s="123"/>
    </row>
    <row r="296" spans="3:8" s="99" customFormat="1" x14ac:dyDescent="0.2">
      <c r="C296" s="198"/>
      <c r="D296" s="198"/>
      <c r="E296" s="537"/>
      <c r="G296" s="198"/>
      <c r="H296" s="123"/>
    </row>
    <row r="297" spans="3:8" s="99" customFormat="1" x14ac:dyDescent="0.2">
      <c r="C297" s="198"/>
      <c r="D297" s="198"/>
      <c r="E297" s="537"/>
      <c r="G297" s="198"/>
      <c r="H297" s="123"/>
    </row>
    <row r="298" spans="3:8" s="99" customFormat="1" x14ac:dyDescent="0.2">
      <c r="C298" s="198"/>
      <c r="D298" s="198"/>
      <c r="E298" s="537"/>
      <c r="G298" s="198"/>
      <c r="H298" s="123"/>
    </row>
    <row r="299" spans="3:8" s="99" customFormat="1" x14ac:dyDescent="0.2">
      <c r="C299" s="198"/>
      <c r="D299" s="198"/>
      <c r="E299" s="537"/>
      <c r="G299" s="198"/>
      <c r="H299" s="123"/>
    </row>
    <row r="300" spans="3:8" s="99" customFormat="1" x14ac:dyDescent="0.2">
      <c r="C300" s="198"/>
      <c r="D300" s="198"/>
      <c r="E300" s="537"/>
      <c r="G300" s="198"/>
      <c r="H300" s="123"/>
    </row>
    <row r="301" spans="3:8" s="99" customFormat="1" x14ac:dyDescent="0.2">
      <c r="C301" s="198"/>
      <c r="D301" s="198"/>
      <c r="E301" s="537"/>
      <c r="G301" s="198"/>
      <c r="H301" s="123"/>
    </row>
    <row r="302" spans="3:8" s="99" customFormat="1" x14ac:dyDescent="0.2">
      <c r="C302" s="198"/>
      <c r="D302" s="198"/>
      <c r="E302" s="537"/>
      <c r="G302" s="198"/>
      <c r="H302" s="123"/>
    </row>
    <row r="303" spans="3:8" s="99" customFormat="1" x14ac:dyDescent="0.2">
      <c r="C303" s="198"/>
      <c r="D303" s="198"/>
      <c r="E303" s="537"/>
      <c r="G303" s="198"/>
      <c r="H303" s="123"/>
    </row>
    <row r="304" spans="3:8" s="99" customFormat="1" x14ac:dyDescent="0.2">
      <c r="C304" s="198"/>
      <c r="D304" s="198"/>
      <c r="E304" s="537"/>
      <c r="G304" s="198"/>
      <c r="H304" s="123"/>
    </row>
    <row r="305" spans="3:8" s="99" customFormat="1" x14ac:dyDescent="0.2">
      <c r="C305" s="198"/>
      <c r="D305" s="198"/>
      <c r="E305" s="537"/>
      <c r="G305" s="198"/>
      <c r="H305" s="123"/>
    </row>
    <row r="306" spans="3:8" s="99" customFormat="1" x14ac:dyDescent="0.2">
      <c r="C306" s="198"/>
      <c r="D306" s="198"/>
      <c r="E306" s="537"/>
      <c r="G306" s="198"/>
      <c r="H306" s="123"/>
    </row>
    <row r="307" spans="3:8" s="99" customFormat="1" x14ac:dyDescent="0.2">
      <c r="C307" s="198"/>
      <c r="D307" s="198"/>
      <c r="E307" s="537"/>
      <c r="G307" s="198"/>
      <c r="H307" s="123"/>
    </row>
    <row r="308" spans="3:8" s="99" customFormat="1" x14ac:dyDescent="0.2">
      <c r="C308" s="198"/>
      <c r="D308" s="198"/>
      <c r="E308" s="537"/>
      <c r="G308" s="198"/>
      <c r="H308" s="123"/>
    </row>
    <row r="309" spans="3:8" s="99" customFormat="1" x14ac:dyDescent="0.2">
      <c r="C309" s="198"/>
      <c r="D309" s="198"/>
      <c r="E309" s="537"/>
      <c r="G309" s="198"/>
      <c r="H309" s="123"/>
    </row>
    <row r="310" spans="3:8" s="99" customFormat="1" x14ac:dyDescent="0.2">
      <c r="C310" s="198"/>
      <c r="D310" s="198"/>
      <c r="E310" s="537"/>
      <c r="G310" s="198"/>
      <c r="H310" s="123"/>
    </row>
    <row r="311" spans="3:8" s="99" customFormat="1" x14ac:dyDescent="0.2">
      <c r="C311" s="198"/>
      <c r="D311" s="198"/>
      <c r="E311" s="537"/>
      <c r="G311" s="198"/>
      <c r="H311" s="123"/>
    </row>
    <row r="312" spans="3:8" s="99" customFormat="1" x14ac:dyDescent="0.2">
      <c r="C312" s="198"/>
      <c r="D312" s="198"/>
      <c r="E312" s="537"/>
      <c r="G312" s="198"/>
      <c r="H312" s="123"/>
    </row>
    <row r="313" spans="3:8" s="99" customFormat="1" x14ac:dyDescent="0.2">
      <c r="C313" s="198"/>
      <c r="D313" s="198"/>
      <c r="E313" s="537"/>
      <c r="G313" s="198"/>
      <c r="H313" s="123"/>
    </row>
    <row r="314" spans="3:8" s="99" customFormat="1" x14ac:dyDescent="0.2">
      <c r="C314" s="198"/>
      <c r="D314" s="198"/>
      <c r="E314" s="537"/>
      <c r="G314" s="198"/>
      <c r="H314" s="123"/>
    </row>
    <row r="315" spans="3:8" s="99" customFormat="1" x14ac:dyDescent="0.2">
      <c r="C315" s="198"/>
      <c r="D315" s="198"/>
      <c r="E315" s="537"/>
      <c r="G315" s="198"/>
      <c r="H315" s="123"/>
    </row>
    <row r="316" spans="3:8" s="99" customFormat="1" x14ac:dyDescent="0.2">
      <c r="C316" s="198"/>
      <c r="D316" s="198"/>
      <c r="E316" s="537"/>
      <c r="G316" s="198"/>
      <c r="H316" s="123"/>
    </row>
    <row r="317" spans="3:8" s="99" customFormat="1" x14ac:dyDescent="0.2">
      <c r="C317" s="198"/>
      <c r="D317" s="198"/>
      <c r="E317" s="537"/>
      <c r="G317" s="198"/>
      <c r="H317" s="123"/>
    </row>
    <row r="318" spans="3:8" s="99" customFormat="1" x14ac:dyDescent="0.2">
      <c r="C318" s="198"/>
      <c r="D318" s="198"/>
      <c r="E318" s="537"/>
      <c r="G318" s="198"/>
      <c r="H318" s="123"/>
    </row>
    <row r="319" spans="3:8" s="99" customFormat="1" x14ac:dyDescent="0.2">
      <c r="C319" s="198"/>
      <c r="D319" s="198"/>
      <c r="E319" s="537"/>
      <c r="G319" s="198"/>
      <c r="H319" s="123"/>
    </row>
    <row r="320" spans="3:8" s="99" customFormat="1" x14ac:dyDescent="0.2">
      <c r="C320" s="198"/>
      <c r="D320" s="198"/>
      <c r="E320" s="537"/>
      <c r="G320" s="198"/>
      <c r="H320" s="123"/>
    </row>
    <row r="321" spans="3:8" s="99" customFormat="1" x14ac:dyDescent="0.2">
      <c r="C321" s="198"/>
      <c r="D321" s="198"/>
      <c r="E321" s="537"/>
      <c r="G321" s="198"/>
      <c r="H321" s="123"/>
    </row>
    <row r="322" spans="3:8" s="99" customFormat="1" x14ac:dyDescent="0.2">
      <c r="C322" s="198"/>
      <c r="D322" s="198"/>
      <c r="E322" s="537"/>
      <c r="G322" s="198"/>
      <c r="H322" s="123"/>
    </row>
    <row r="323" spans="3:8" s="99" customFormat="1" x14ac:dyDescent="0.2">
      <c r="C323" s="198"/>
      <c r="D323" s="198"/>
      <c r="E323" s="537"/>
      <c r="G323" s="198"/>
      <c r="H323" s="123"/>
    </row>
    <row r="324" spans="3:8" s="99" customFormat="1" x14ac:dyDescent="0.2">
      <c r="C324" s="198"/>
      <c r="D324" s="198"/>
      <c r="E324" s="537"/>
      <c r="G324" s="198"/>
      <c r="H324" s="123"/>
    </row>
    <row r="325" spans="3:8" s="99" customFormat="1" x14ac:dyDescent="0.2">
      <c r="C325" s="198"/>
      <c r="D325" s="198"/>
      <c r="E325" s="537"/>
      <c r="G325" s="198"/>
      <c r="H325" s="123"/>
    </row>
    <row r="326" spans="3:8" s="99" customFormat="1" x14ac:dyDescent="0.2">
      <c r="C326" s="198"/>
      <c r="D326" s="198"/>
      <c r="E326" s="537"/>
      <c r="G326" s="198"/>
      <c r="H326" s="123"/>
    </row>
    <row r="327" spans="3:8" s="99" customFormat="1" x14ac:dyDescent="0.2">
      <c r="C327" s="198"/>
      <c r="D327" s="198"/>
      <c r="E327" s="537"/>
      <c r="G327" s="198"/>
      <c r="H327" s="123"/>
    </row>
    <row r="328" spans="3:8" s="99" customFormat="1" x14ac:dyDescent="0.2">
      <c r="C328" s="198"/>
      <c r="D328" s="198"/>
      <c r="E328" s="537"/>
      <c r="G328" s="198"/>
      <c r="H328" s="123"/>
    </row>
    <row r="329" spans="3:8" s="99" customFormat="1" x14ac:dyDescent="0.2">
      <c r="C329" s="198"/>
      <c r="D329" s="198"/>
      <c r="E329" s="537"/>
      <c r="G329" s="198"/>
      <c r="H329" s="123"/>
    </row>
    <row r="330" spans="3:8" s="99" customFormat="1" x14ac:dyDescent="0.2">
      <c r="C330" s="198"/>
      <c r="D330" s="198"/>
      <c r="E330" s="537"/>
      <c r="G330" s="198"/>
      <c r="H330" s="123"/>
    </row>
    <row r="331" spans="3:8" s="99" customFormat="1" x14ac:dyDescent="0.2">
      <c r="C331" s="198"/>
      <c r="D331" s="198"/>
      <c r="E331" s="537"/>
      <c r="G331" s="198"/>
      <c r="H331" s="123"/>
    </row>
    <row r="332" spans="3:8" s="99" customFormat="1" x14ac:dyDescent="0.2">
      <c r="C332" s="198"/>
      <c r="D332" s="198"/>
      <c r="E332" s="537"/>
      <c r="G332" s="198"/>
      <c r="H332" s="123"/>
    </row>
    <row r="333" spans="3:8" s="99" customFormat="1" x14ac:dyDescent="0.2">
      <c r="C333" s="198"/>
      <c r="D333" s="198"/>
      <c r="E333" s="537"/>
      <c r="G333" s="198"/>
      <c r="H333" s="123"/>
    </row>
    <row r="334" spans="3:8" s="99" customFormat="1" x14ac:dyDescent="0.2">
      <c r="C334" s="198"/>
      <c r="D334" s="198"/>
      <c r="E334" s="537"/>
      <c r="G334" s="198"/>
      <c r="H334" s="123"/>
    </row>
    <row r="335" spans="3:8" s="99" customFormat="1" x14ac:dyDescent="0.2">
      <c r="C335" s="198"/>
      <c r="D335" s="198"/>
      <c r="E335" s="537"/>
      <c r="G335" s="198"/>
      <c r="H335" s="123"/>
    </row>
    <row r="336" spans="3:8" s="99" customFormat="1" x14ac:dyDescent="0.2">
      <c r="C336" s="198"/>
      <c r="D336" s="198"/>
      <c r="E336" s="537"/>
      <c r="G336" s="198"/>
      <c r="H336" s="123"/>
    </row>
    <row r="337" spans="3:8" s="99" customFormat="1" x14ac:dyDescent="0.2">
      <c r="C337" s="198"/>
      <c r="D337" s="198"/>
      <c r="E337" s="537"/>
      <c r="G337" s="198"/>
      <c r="H337" s="123"/>
    </row>
    <row r="338" spans="3:8" s="99" customFormat="1" x14ac:dyDescent="0.2">
      <c r="C338" s="198"/>
      <c r="D338" s="198"/>
      <c r="E338" s="537"/>
      <c r="G338" s="198"/>
      <c r="H338" s="123"/>
    </row>
    <row r="339" spans="3:8" s="99" customFormat="1" x14ac:dyDescent="0.2">
      <c r="C339" s="198"/>
      <c r="D339" s="198"/>
      <c r="E339" s="537"/>
      <c r="G339" s="198"/>
      <c r="H339" s="123"/>
    </row>
    <row r="340" spans="3:8" s="99" customFormat="1" x14ac:dyDescent="0.2">
      <c r="C340" s="198"/>
      <c r="D340" s="198"/>
      <c r="E340" s="537"/>
      <c r="G340" s="198"/>
      <c r="H340" s="123"/>
    </row>
    <row r="341" spans="3:8" s="99" customFormat="1" x14ac:dyDescent="0.2">
      <c r="C341" s="198"/>
      <c r="D341" s="198"/>
      <c r="E341" s="537"/>
      <c r="G341" s="198"/>
      <c r="H341" s="123"/>
    </row>
    <row r="342" spans="3:8" s="99" customFormat="1" x14ac:dyDescent="0.2">
      <c r="C342" s="198"/>
      <c r="D342" s="198"/>
      <c r="E342" s="537"/>
      <c r="G342" s="198"/>
      <c r="H342" s="123"/>
    </row>
    <row r="343" spans="3:8" s="99" customFormat="1" x14ac:dyDescent="0.2">
      <c r="C343" s="198"/>
      <c r="D343" s="198"/>
      <c r="E343" s="537"/>
      <c r="G343" s="198"/>
      <c r="H343" s="123"/>
    </row>
    <row r="344" spans="3:8" s="99" customFormat="1" x14ac:dyDescent="0.2">
      <c r="C344" s="198"/>
      <c r="D344" s="198"/>
      <c r="E344" s="537"/>
      <c r="G344" s="198"/>
      <c r="H344" s="123"/>
    </row>
    <row r="345" spans="3:8" s="99" customFormat="1" x14ac:dyDescent="0.2">
      <c r="C345" s="198"/>
      <c r="D345" s="198"/>
      <c r="E345" s="537"/>
      <c r="G345" s="198"/>
      <c r="H345" s="123"/>
    </row>
    <row r="346" spans="3:8" s="99" customFormat="1" x14ac:dyDescent="0.2">
      <c r="C346" s="198"/>
      <c r="D346" s="198"/>
      <c r="E346" s="537"/>
      <c r="G346" s="198"/>
      <c r="H346" s="123"/>
    </row>
    <row r="347" spans="3:8" s="99" customFormat="1" x14ac:dyDescent="0.2">
      <c r="C347" s="198"/>
      <c r="D347" s="198"/>
      <c r="E347" s="537"/>
      <c r="G347" s="198"/>
      <c r="H347" s="123"/>
    </row>
    <row r="348" spans="3:8" s="99" customFormat="1" x14ac:dyDescent="0.2">
      <c r="C348" s="198"/>
      <c r="D348" s="198"/>
      <c r="E348" s="537"/>
      <c r="G348" s="198"/>
      <c r="H348" s="123"/>
    </row>
    <row r="349" spans="3:8" s="99" customFormat="1" x14ac:dyDescent="0.2">
      <c r="C349" s="198"/>
      <c r="D349" s="198"/>
      <c r="E349" s="537"/>
      <c r="G349" s="198"/>
      <c r="H349" s="123"/>
    </row>
    <row r="350" spans="3:8" s="99" customFormat="1" x14ac:dyDescent="0.2">
      <c r="C350" s="198"/>
      <c r="D350" s="198"/>
      <c r="E350" s="537"/>
      <c r="G350" s="198"/>
      <c r="H350" s="123"/>
    </row>
    <row r="351" spans="3:8" s="99" customFormat="1" x14ac:dyDescent="0.2">
      <c r="C351" s="198"/>
      <c r="D351" s="198"/>
      <c r="E351" s="537"/>
      <c r="G351" s="198"/>
      <c r="H351" s="123"/>
    </row>
    <row r="352" spans="3:8" s="99" customFormat="1" x14ac:dyDescent="0.2">
      <c r="C352" s="198"/>
      <c r="D352" s="198"/>
      <c r="E352" s="537"/>
      <c r="G352" s="198"/>
      <c r="H352" s="123"/>
    </row>
    <row r="353" spans="3:8" s="99" customFormat="1" x14ac:dyDescent="0.2">
      <c r="C353" s="198"/>
      <c r="D353" s="198"/>
      <c r="E353" s="537"/>
      <c r="G353" s="198"/>
      <c r="H353" s="123"/>
    </row>
    <row r="354" spans="3:8" s="99" customFormat="1" x14ac:dyDescent="0.2">
      <c r="C354" s="198"/>
      <c r="D354" s="198"/>
      <c r="E354" s="537"/>
      <c r="G354" s="198"/>
      <c r="H354" s="123"/>
    </row>
    <row r="355" spans="3:8" s="99" customFormat="1" x14ac:dyDescent="0.2">
      <c r="C355" s="198"/>
      <c r="D355" s="198"/>
      <c r="E355" s="537"/>
      <c r="G355" s="198"/>
      <c r="H355" s="123"/>
    </row>
    <row r="356" spans="3:8" s="99" customFormat="1" x14ac:dyDescent="0.2">
      <c r="C356" s="198"/>
      <c r="D356" s="198"/>
      <c r="E356" s="537"/>
      <c r="G356" s="198"/>
      <c r="H356" s="123"/>
    </row>
    <row r="357" spans="3:8" s="99" customFormat="1" x14ac:dyDescent="0.2">
      <c r="C357" s="198"/>
      <c r="D357" s="198"/>
      <c r="E357" s="537"/>
      <c r="G357" s="198"/>
      <c r="H357" s="123"/>
    </row>
    <row r="358" spans="3:8" s="99" customFormat="1" x14ac:dyDescent="0.2">
      <c r="C358" s="198"/>
      <c r="D358" s="198"/>
      <c r="E358" s="537"/>
      <c r="G358" s="198"/>
      <c r="H358" s="123"/>
    </row>
    <row r="359" spans="3:8" s="99" customFormat="1" x14ac:dyDescent="0.2">
      <c r="C359" s="198"/>
      <c r="D359" s="198"/>
      <c r="E359" s="537"/>
      <c r="G359" s="198"/>
      <c r="H359" s="123"/>
    </row>
    <row r="360" spans="3:8" s="99" customFormat="1" x14ac:dyDescent="0.2">
      <c r="C360" s="198"/>
      <c r="D360" s="198"/>
      <c r="E360" s="537"/>
      <c r="G360" s="198"/>
      <c r="H360" s="123"/>
    </row>
    <row r="361" spans="3:8" s="99" customFormat="1" x14ac:dyDescent="0.2">
      <c r="C361" s="198"/>
      <c r="D361" s="198"/>
      <c r="E361" s="537"/>
      <c r="G361" s="198"/>
      <c r="H361" s="123"/>
    </row>
    <row r="362" spans="3:8" s="99" customFormat="1" x14ac:dyDescent="0.2">
      <c r="C362" s="198"/>
      <c r="D362" s="198"/>
      <c r="E362" s="537"/>
      <c r="G362" s="198"/>
      <c r="H362" s="123"/>
    </row>
    <row r="363" spans="3:8" s="99" customFormat="1" x14ac:dyDescent="0.2">
      <c r="C363" s="198"/>
      <c r="D363" s="198"/>
      <c r="E363" s="537"/>
      <c r="G363" s="198"/>
      <c r="H363" s="123"/>
    </row>
    <row r="364" spans="3:8" s="99" customFormat="1" x14ac:dyDescent="0.2">
      <c r="C364" s="198"/>
      <c r="D364" s="198"/>
      <c r="E364" s="537"/>
      <c r="G364" s="198"/>
      <c r="H364" s="123"/>
    </row>
    <row r="365" spans="3:8" s="99" customFormat="1" x14ac:dyDescent="0.2">
      <c r="C365" s="198"/>
      <c r="D365" s="198"/>
      <c r="E365" s="537"/>
      <c r="G365" s="198"/>
      <c r="H365" s="123"/>
    </row>
    <row r="366" spans="3:8" s="99" customFormat="1" x14ac:dyDescent="0.2">
      <c r="C366" s="198"/>
      <c r="D366" s="198"/>
      <c r="E366" s="537"/>
      <c r="G366" s="198"/>
      <c r="H366" s="123"/>
    </row>
    <row r="367" spans="3:8" s="99" customFormat="1" x14ac:dyDescent="0.2">
      <c r="C367" s="198"/>
      <c r="D367" s="198"/>
      <c r="E367" s="537"/>
      <c r="G367" s="198"/>
      <c r="H367" s="123"/>
    </row>
    <row r="368" spans="3:8" s="99" customFormat="1" x14ac:dyDescent="0.2">
      <c r="C368" s="198"/>
      <c r="D368" s="198"/>
      <c r="E368" s="537"/>
      <c r="G368" s="198"/>
      <c r="H368" s="123"/>
    </row>
    <row r="369" spans="3:8" s="99" customFormat="1" x14ac:dyDescent="0.2">
      <c r="C369" s="198"/>
      <c r="D369" s="198"/>
      <c r="E369" s="537"/>
      <c r="G369" s="198"/>
      <c r="H369" s="123"/>
    </row>
    <row r="370" spans="3:8" s="99" customFormat="1" x14ac:dyDescent="0.2">
      <c r="C370" s="198"/>
      <c r="D370" s="198"/>
      <c r="E370" s="537"/>
      <c r="G370" s="198"/>
      <c r="H370" s="123"/>
    </row>
    <row r="371" spans="3:8" s="99" customFormat="1" x14ac:dyDescent="0.2">
      <c r="C371" s="198"/>
      <c r="D371" s="198"/>
      <c r="E371" s="537"/>
      <c r="G371" s="198"/>
      <c r="H371" s="123"/>
    </row>
    <row r="372" spans="3:8" s="99" customFormat="1" x14ac:dyDescent="0.2">
      <c r="C372" s="198"/>
      <c r="D372" s="198"/>
      <c r="E372" s="537"/>
      <c r="G372" s="198"/>
      <c r="H372" s="123"/>
    </row>
    <row r="373" spans="3:8" s="99" customFormat="1" x14ac:dyDescent="0.2">
      <c r="C373" s="198"/>
      <c r="D373" s="198"/>
      <c r="E373" s="537"/>
      <c r="G373" s="198"/>
      <c r="H373" s="123"/>
    </row>
    <row r="374" spans="3:8" s="99" customFormat="1" x14ac:dyDescent="0.2">
      <c r="C374" s="198"/>
      <c r="D374" s="198"/>
      <c r="E374" s="537"/>
      <c r="G374" s="198"/>
      <c r="H374" s="123"/>
    </row>
    <row r="375" spans="3:8" s="99" customFormat="1" x14ac:dyDescent="0.2">
      <c r="C375" s="198"/>
      <c r="D375" s="198"/>
      <c r="E375" s="537"/>
      <c r="G375" s="198"/>
      <c r="H375" s="123"/>
    </row>
    <row r="376" spans="3:8" s="99" customFormat="1" x14ac:dyDescent="0.2">
      <c r="C376" s="198"/>
      <c r="D376" s="198"/>
      <c r="E376" s="537"/>
      <c r="G376" s="198"/>
      <c r="H376" s="123"/>
    </row>
    <row r="377" spans="3:8" s="99" customFormat="1" x14ac:dyDescent="0.2">
      <c r="C377" s="198"/>
      <c r="D377" s="198"/>
      <c r="E377" s="537"/>
      <c r="G377" s="198"/>
      <c r="H377" s="123"/>
    </row>
    <row r="378" spans="3:8" s="99" customFormat="1" x14ac:dyDescent="0.2">
      <c r="C378" s="198"/>
      <c r="D378" s="198"/>
      <c r="E378" s="537"/>
      <c r="G378" s="198"/>
      <c r="H378" s="123"/>
    </row>
    <row r="379" spans="3:8" s="99" customFormat="1" x14ac:dyDescent="0.2">
      <c r="C379" s="198"/>
      <c r="D379" s="198"/>
      <c r="E379" s="537"/>
      <c r="G379" s="198"/>
      <c r="H379" s="123"/>
    </row>
    <row r="380" spans="3:8" s="99" customFormat="1" x14ac:dyDescent="0.2">
      <c r="C380" s="198"/>
      <c r="D380" s="198"/>
      <c r="E380" s="537"/>
      <c r="G380" s="198"/>
      <c r="H380" s="123"/>
    </row>
    <row r="381" spans="3:8" s="99" customFormat="1" x14ac:dyDescent="0.2">
      <c r="C381" s="198"/>
      <c r="D381" s="198"/>
      <c r="E381" s="537"/>
      <c r="G381" s="198"/>
      <c r="H381" s="123"/>
    </row>
    <row r="382" spans="3:8" s="99" customFormat="1" x14ac:dyDescent="0.2">
      <c r="C382" s="198"/>
      <c r="D382" s="198"/>
      <c r="E382" s="537"/>
      <c r="G382" s="198"/>
      <c r="H382" s="123"/>
    </row>
    <row r="383" spans="3:8" s="99" customFormat="1" x14ac:dyDescent="0.2">
      <c r="C383" s="198"/>
      <c r="D383" s="198"/>
      <c r="E383" s="537"/>
      <c r="G383" s="198"/>
      <c r="H383" s="123"/>
    </row>
    <row r="384" spans="3:8" s="99" customFormat="1" x14ac:dyDescent="0.2">
      <c r="C384" s="198"/>
      <c r="D384" s="198"/>
      <c r="E384" s="537"/>
      <c r="G384" s="198"/>
      <c r="H384" s="123"/>
    </row>
    <row r="385" spans="3:8" s="99" customFormat="1" x14ac:dyDescent="0.2">
      <c r="C385" s="198"/>
      <c r="D385" s="198"/>
      <c r="E385" s="537"/>
      <c r="G385" s="198"/>
      <c r="H385" s="123"/>
    </row>
    <row r="386" spans="3:8" s="99" customFormat="1" x14ac:dyDescent="0.2">
      <c r="C386" s="198"/>
      <c r="D386" s="198"/>
      <c r="E386" s="537"/>
      <c r="G386" s="198"/>
      <c r="H386" s="123"/>
    </row>
    <row r="387" spans="3:8" s="99" customFormat="1" x14ac:dyDescent="0.2">
      <c r="C387" s="198"/>
      <c r="D387" s="198"/>
      <c r="E387" s="537"/>
      <c r="G387" s="198"/>
      <c r="H387" s="123"/>
    </row>
    <row r="388" spans="3:8" s="99" customFormat="1" x14ac:dyDescent="0.2">
      <c r="C388" s="198"/>
      <c r="D388" s="198"/>
      <c r="E388" s="537"/>
      <c r="G388" s="198"/>
      <c r="H388" s="123"/>
    </row>
    <row r="389" spans="3:8" s="99" customFormat="1" x14ac:dyDescent="0.2">
      <c r="C389" s="198"/>
      <c r="D389" s="198"/>
      <c r="E389" s="537"/>
      <c r="G389" s="198"/>
      <c r="H389" s="123"/>
    </row>
    <row r="390" spans="3:8" s="99" customFormat="1" x14ac:dyDescent="0.2">
      <c r="C390" s="198"/>
      <c r="D390" s="198"/>
      <c r="E390" s="537"/>
      <c r="G390" s="198"/>
      <c r="H390" s="123"/>
    </row>
    <row r="391" spans="3:8" s="99" customFormat="1" x14ac:dyDescent="0.2">
      <c r="C391" s="198"/>
      <c r="D391" s="198"/>
      <c r="E391" s="537"/>
      <c r="G391" s="198"/>
      <c r="H391" s="123"/>
    </row>
    <row r="392" spans="3:8" s="99" customFormat="1" x14ac:dyDescent="0.2">
      <c r="C392" s="198"/>
      <c r="D392" s="198"/>
      <c r="E392" s="537"/>
      <c r="G392" s="198"/>
      <c r="H392" s="123"/>
    </row>
    <row r="393" spans="3:8" s="99" customFormat="1" x14ac:dyDescent="0.2">
      <c r="C393" s="198"/>
      <c r="D393" s="198"/>
      <c r="E393" s="537"/>
      <c r="G393" s="198"/>
      <c r="H393" s="123"/>
    </row>
    <row r="394" spans="3:8" s="99" customFormat="1" x14ac:dyDescent="0.2">
      <c r="C394" s="198"/>
      <c r="D394" s="198"/>
      <c r="E394" s="537"/>
      <c r="G394" s="198"/>
      <c r="H394" s="123"/>
    </row>
    <row r="395" spans="3:8" s="99" customFormat="1" x14ac:dyDescent="0.2">
      <c r="C395" s="198"/>
      <c r="D395" s="198"/>
      <c r="E395" s="537"/>
      <c r="G395" s="198"/>
      <c r="H395" s="123"/>
    </row>
    <row r="396" spans="3:8" s="99" customFormat="1" x14ac:dyDescent="0.2">
      <c r="C396" s="198"/>
      <c r="D396" s="198"/>
      <c r="E396" s="537"/>
      <c r="G396" s="198"/>
      <c r="H396" s="123"/>
    </row>
    <row r="397" spans="3:8" s="99" customFormat="1" x14ac:dyDescent="0.2">
      <c r="C397" s="198"/>
      <c r="D397" s="198"/>
      <c r="E397" s="537"/>
      <c r="G397" s="198"/>
      <c r="H397" s="123"/>
    </row>
    <row r="398" spans="3:8" s="99" customFormat="1" x14ac:dyDescent="0.2">
      <c r="C398" s="198"/>
      <c r="D398" s="198"/>
      <c r="E398" s="537"/>
      <c r="G398" s="198"/>
      <c r="H398" s="123"/>
    </row>
    <row r="399" spans="3:8" s="99" customFormat="1" x14ac:dyDescent="0.2">
      <c r="C399" s="198"/>
      <c r="D399" s="198"/>
      <c r="E399" s="537"/>
      <c r="G399" s="198"/>
      <c r="H399" s="123"/>
    </row>
    <row r="400" spans="3:8" s="99" customFormat="1" x14ac:dyDescent="0.2">
      <c r="C400" s="198"/>
      <c r="D400" s="198"/>
      <c r="E400" s="537"/>
      <c r="G400" s="198"/>
      <c r="H400" s="123"/>
    </row>
    <row r="401" spans="3:8" s="99" customFormat="1" x14ac:dyDescent="0.2">
      <c r="C401" s="198"/>
      <c r="D401" s="198"/>
      <c r="E401" s="537"/>
      <c r="G401" s="198"/>
      <c r="H401" s="123"/>
    </row>
    <row r="402" spans="3:8" s="99" customFormat="1" x14ac:dyDescent="0.2">
      <c r="C402" s="198"/>
      <c r="D402" s="198"/>
      <c r="E402" s="537"/>
      <c r="G402" s="198"/>
      <c r="H402" s="123"/>
    </row>
    <row r="403" spans="3:8" s="99" customFormat="1" x14ac:dyDescent="0.2">
      <c r="C403" s="198"/>
      <c r="D403" s="198"/>
      <c r="E403" s="537"/>
      <c r="G403" s="198"/>
      <c r="H403" s="123"/>
    </row>
    <row r="404" spans="3:8" s="99" customFormat="1" x14ac:dyDescent="0.2">
      <c r="C404" s="198"/>
      <c r="D404" s="198"/>
      <c r="E404" s="537"/>
      <c r="G404" s="198"/>
      <c r="H404" s="123"/>
    </row>
    <row r="405" spans="3:8" s="99" customFormat="1" x14ac:dyDescent="0.2">
      <c r="C405" s="198"/>
      <c r="D405" s="198"/>
      <c r="E405" s="537"/>
      <c r="G405" s="198"/>
      <c r="H405" s="123"/>
    </row>
    <row r="406" spans="3:8" s="99" customFormat="1" x14ac:dyDescent="0.2">
      <c r="C406" s="198"/>
      <c r="D406" s="198"/>
      <c r="E406" s="537"/>
      <c r="G406" s="198"/>
      <c r="H406" s="123"/>
    </row>
    <row r="407" spans="3:8" s="99" customFormat="1" x14ac:dyDescent="0.2">
      <c r="C407" s="198"/>
      <c r="D407" s="198"/>
      <c r="E407" s="537"/>
      <c r="G407" s="198"/>
      <c r="H407" s="123"/>
    </row>
    <row r="408" spans="3:8" s="99" customFormat="1" x14ac:dyDescent="0.2">
      <c r="C408" s="198"/>
      <c r="D408" s="198"/>
      <c r="E408" s="537"/>
      <c r="G408" s="198"/>
      <c r="H408" s="123"/>
    </row>
    <row r="409" spans="3:8" s="99" customFormat="1" x14ac:dyDescent="0.2">
      <c r="C409" s="198"/>
      <c r="D409" s="198"/>
      <c r="E409" s="537"/>
      <c r="G409" s="198"/>
      <c r="H409" s="123"/>
    </row>
    <row r="410" spans="3:8" s="99" customFormat="1" x14ac:dyDescent="0.2">
      <c r="C410" s="198"/>
      <c r="D410" s="198"/>
      <c r="E410" s="537"/>
      <c r="G410" s="198"/>
      <c r="H410" s="123"/>
    </row>
    <row r="411" spans="3:8" s="99" customFormat="1" x14ac:dyDescent="0.2">
      <c r="C411" s="198"/>
      <c r="D411" s="198"/>
      <c r="E411" s="537"/>
      <c r="G411" s="198"/>
      <c r="H411" s="123"/>
    </row>
    <row r="412" spans="3:8" s="99" customFormat="1" x14ac:dyDescent="0.2">
      <c r="C412" s="198"/>
      <c r="D412" s="198"/>
      <c r="E412" s="537"/>
      <c r="G412" s="198"/>
      <c r="H412" s="123"/>
    </row>
    <row r="413" spans="3:8" s="99" customFormat="1" x14ac:dyDescent="0.2">
      <c r="C413" s="198"/>
      <c r="D413" s="198"/>
      <c r="E413" s="537"/>
      <c r="G413" s="198"/>
      <c r="H413" s="123"/>
    </row>
    <row r="414" spans="3:8" s="99" customFormat="1" x14ac:dyDescent="0.2">
      <c r="C414" s="198"/>
      <c r="D414" s="198"/>
      <c r="E414" s="537"/>
      <c r="G414" s="198"/>
      <c r="H414" s="123"/>
    </row>
    <row r="415" spans="3:8" s="99" customFormat="1" x14ac:dyDescent="0.2">
      <c r="C415" s="198"/>
      <c r="D415" s="198"/>
      <c r="E415" s="537"/>
      <c r="G415" s="198"/>
      <c r="H415" s="123"/>
    </row>
    <row r="416" spans="3:8" s="99" customFormat="1" x14ac:dyDescent="0.2">
      <c r="C416" s="198"/>
      <c r="D416" s="198"/>
      <c r="E416" s="537"/>
      <c r="G416" s="198"/>
      <c r="H416" s="123"/>
    </row>
    <row r="417" spans="3:8" s="99" customFormat="1" x14ac:dyDescent="0.2">
      <c r="C417" s="198"/>
      <c r="D417" s="198"/>
      <c r="E417" s="537"/>
      <c r="G417" s="198"/>
      <c r="H417" s="123"/>
    </row>
    <row r="418" spans="3:8" s="99" customFormat="1" x14ac:dyDescent="0.2">
      <c r="C418" s="198"/>
      <c r="D418" s="198"/>
      <c r="E418" s="537"/>
      <c r="G418" s="198"/>
      <c r="H418" s="123"/>
    </row>
    <row r="419" spans="3:8" s="99" customFormat="1" x14ac:dyDescent="0.2">
      <c r="C419" s="198"/>
      <c r="D419" s="198"/>
      <c r="E419" s="537"/>
      <c r="G419" s="198"/>
      <c r="H419" s="123"/>
    </row>
    <row r="420" spans="3:8" s="99" customFormat="1" x14ac:dyDescent="0.2">
      <c r="C420" s="198"/>
      <c r="D420" s="198"/>
      <c r="E420" s="537"/>
      <c r="G420" s="198"/>
      <c r="H420" s="123"/>
    </row>
    <row r="421" spans="3:8" s="99" customFormat="1" x14ac:dyDescent="0.2">
      <c r="C421" s="198"/>
      <c r="D421" s="198"/>
      <c r="E421" s="537"/>
      <c r="G421" s="198"/>
      <c r="H421" s="123"/>
    </row>
    <row r="422" spans="3:8" s="99" customFormat="1" x14ac:dyDescent="0.2">
      <c r="C422" s="198"/>
      <c r="D422" s="198"/>
      <c r="E422" s="537"/>
      <c r="G422" s="198"/>
      <c r="H422" s="123"/>
    </row>
    <row r="423" spans="3:8" s="99" customFormat="1" x14ac:dyDescent="0.2">
      <c r="C423" s="198"/>
      <c r="D423" s="198"/>
      <c r="E423" s="537"/>
      <c r="G423" s="198"/>
      <c r="H423" s="123"/>
    </row>
    <row r="424" spans="3:8" s="99" customFormat="1" x14ac:dyDescent="0.2">
      <c r="C424" s="198"/>
      <c r="D424" s="198"/>
      <c r="E424" s="537"/>
      <c r="G424" s="198"/>
      <c r="H424" s="123"/>
    </row>
    <row r="425" spans="3:8" s="99" customFormat="1" x14ac:dyDescent="0.2">
      <c r="C425" s="198"/>
      <c r="D425" s="198"/>
      <c r="E425" s="537"/>
      <c r="G425" s="198"/>
      <c r="H425" s="123"/>
    </row>
    <row r="426" spans="3:8" s="99" customFormat="1" x14ac:dyDescent="0.2">
      <c r="C426" s="198"/>
      <c r="D426" s="198"/>
      <c r="E426" s="537"/>
      <c r="G426" s="198"/>
      <c r="H426" s="123"/>
    </row>
    <row r="427" spans="3:8" s="99" customFormat="1" x14ac:dyDescent="0.2">
      <c r="C427" s="198"/>
      <c r="D427" s="198"/>
      <c r="E427" s="537"/>
      <c r="G427" s="198"/>
      <c r="H427" s="123"/>
    </row>
    <row r="428" spans="3:8" s="99" customFormat="1" x14ac:dyDescent="0.2">
      <c r="C428" s="198"/>
      <c r="D428" s="198"/>
      <c r="E428" s="537"/>
      <c r="G428" s="198"/>
      <c r="H428" s="123"/>
    </row>
    <row r="429" spans="3:8" s="99" customFormat="1" x14ac:dyDescent="0.2">
      <c r="C429" s="198"/>
      <c r="D429" s="198"/>
      <c r="E429" s="537"/>
      <c r="G429" s="198"/>
      <c r="H429" s="123"/>
    </row>
    <row r="430" spans="3:8" s="99" customFormat="1" x14ac:dyDescent="0.2">
      <c r="C430" s="198"/>
      <c r="D430" s="198"/>
      <c r="E430" s="537"/>
      <c r="G430" s="198"/>
      <c r="H430" s="123"/>
    </row>
    <row r="431" spans="3:8" s="99" customFormat="1" x14ac:dyDescent="0.2">
      <c r="C431" s="198"/>
      <c r="D431" s="198"/>
      <c r="E431" s="537"/>
      <c r="G431" s="198"/>
      <c r="H431" s="123"/>
    </row>
    <row r="432" spans="3:8" s="99" customFormat="1" x14ac:dyDescent="0.2">
      <c r="C432" s="198"/>
      <c r="D432" s="198"/>
      <c r="E432" s="537"/>
      <c r="G432" s="198"/>
      <c r="H432" s="123"/>
    </row>
    <row r="433" spans="3:8" s="99" customFormat="1" x14ac:dyDescent="0.2">
      <c r="C433" s="198"/>
      <c r="D433" s="198"/>
      <c r="E433" s="537"/>
      <c r="G433" s="198"/>
      <c r="H433" s="123"/>
    </row>
    <row r="434" spans="3:8" s="99" customFormat="1" x14ac:dyDescent="0.2">
      <c r="C434" s="198"/>
      <c r="D434" s="198"/>
      <c r="E434" s="537"/>
      <c r="G434" s="198"/>
      <c r="H434" s="123"/>
    </row>
    <row r="435" spans="3:8" s="99" customFormat="1" x14ac:dyDescent="0.2">
      <c r="C435" s="198"/>
      <c r="D435" s="198"/>
      <c r="E435" s="537"/>
      <c r="G435" s="198"/>
      <c r="H435" s="123"/>
    </row>
    <row r="436" spans="3:8" s="99" customFormat="1" x14ac:dyDescent="0.2">
      <c r="C436" s="198"/>
      <c r="D436" s="198"/>
      <c r="E436" s="537"/>
      <c r="G436" s="198"/>
      <c r="H436" s="123"/>
    </row>
    <row r="437" spans="3:8" s="99" customFormat="1" x14ac:dyDescent="0.2">
      <c r="C437" s="198"/>
      <c r="D437" s="198"/>
      <c r="E437" s="537"/>
      <c r="G437" s="198"/>
      <c r="H437" s="123"/>
    </row>
    <row r="438" spans="3:8" s="99" customFormat="1" x14ac:dyDescent="0.2">
      <c r="C438" s="198"/>
      <c r="D438" s="198"/>
      <c r="E438" s="537"/>
      <c r="G438" s="198"/>
      <c r="H438" s="123"/>
    </row>
    <row r="439" spans="3:8" s="99" customFormat="1" x14ac:dyDescent="0.2">
      <c r="C439" s="198"/>
      <c r="D439" s="198"/>
      <c r="E439" s="537"/>
      <c r="G439" s="198"/>
      <c r="H439" s="123"/>
    </row>
    <row r="440" spans="3:8" s="99" customFormat="1" x14ac:dyDescent="0.2">
      <c r="C440" s="198"/>
      <c r="D440" s="198"/>
      <c r="E440" s="537"/>
      <c r="G440" s="198"/>
      <c r="H440" s="123"/>
    </row>
    <row r="441" spans="3:8" s="99" customFormat="1" x14ac:dyDescent="0.2">
      <c r="C441" s="198"/>
      <c r="D441" s="198"/>
      <c r="E441" s="537"/>
      <c r="G441" s="198"/>
      <c r="H441" s="123"/>
    </row>
    <row r="442" spans="3:8" s="99" customFormat="1" x14ac:dyDescent="0.2">
      <c r="C442" s="198"/>
      <c r="D442" s="198"/>
      <c r="E442" s="537"/>
      <c r="G442" s="198"/>
      <c r="H442" s="123"/>
    </row>
    <row r="443" spans="3:8" s="99" customFormat="1" x14ac:dyDescent="0.2">
      <c r="C443" s="198"/>
      <c r="D443" s="198"/>
      <c r="E443" s="537"/>
      <c r="G443" s="198"/>
      <c r="H443" s="123"/>
    </row>
    <row r="444" spans="3:8" s="99" customFormat="1" x14ac:dyDescent="0.2">
      <c r="C444" s="198"/>
      <c r="D444" s="198"/>
      <c r="E444" s="537"/>
      <c r="G444" s="198"/>
      <c r="H444" s="123"/>
    </row>
    <row r="445" spans="3:8" s="99" customFormat="1" x14ac:dyDescent="0.2">
      <c r="C445" s="198"/>
      <c r="D445" s="198"/>
      <c r="E445" s="537"/>
      <c r="G445" s="198"/>
      <c r="H445" s="123"/>
    </row>
    <row r="446" spans="3:8" s="99" customFormat="1" x14ac:dyDescent="0.2">
      <c r="C446" s="198"/>
      <c r="D446" s="198"/>
      <c r="E446" s="537"/>
      <c r="G446" s="198"/>
      <c r="H446" s="123"/>
    </row>
    <row r="447" spans="3:8" s="99" customFormat="1" x14ac:dyDescent="0.2">
      <c r="C447" s="198"/>
      <c r="D447" s="198"/>
      <c r="E447" s="537"/>
      <c r="G447" s="198"/>
      <c r="H447" s="123"/>
    </row>
    <row r="448" spans="3:8" s="99" customFormat="1" x14ac:dyDescent="0.2">
      <c r="C448" s="198"/>
      <c r="D448" s="198"/>
      <c r="E448" s="537"/>
      <c r="G448" s="198"/>
      <c r="H448" s="123"/>
    </row>
    <row r="449" spans="3:8" s="99" customFormat="1" x14ac:dyDescent="0.2">
      <c r="C449" s="198"/>
      <c r="D449" s="198"/>
      <c r="E449" s="537"/>
      <c r="G449" s="198"/>
      <c r="H449" s="123"/>
    </row>
    <row r="450" spans="3:8" s="99" customFormat="1" x14ac:dyDescent="0.2">
      <c r="C450" s="198"/>
      <c r="D450" s="198"/>
      <c r="E450" s="537"/>
      <c r="G450" s="198"/>
      <c r="H450" s="123"/>
    </row>
    <row r="451" spans="3:8" s="99" customFormat="1" x14ac:dyDescent="0.2">
      <c r="C451" s="198"/>
      <c r="D451" s="198"/>
      <c r="E451" s="537"/>
      <c r="G451" s="198"/>
      <c r="H451" s="123"/>
    </row>
    <row r="452" spans="3:8" s="99" customFormat="1" x14ac:dyDescent="0.2">
      <c r="C452" s="198"/>
      <c r="D452" s="198"/>
      <c r="E452" s="537"/>
      <c r="G452" s="198"/>
      <c r="H452" s="123"/>
    </row>
    <row r="453" spans="3:8" s="99" customFormat="1" x14ac:dyDescent="0.2">
      <c r="C453" s="198"/>
      <c r="D453" s="198"/>
      <c r="E453" s="537"/>
      <c r="G453" s="198"/>
      <c r="H453" s="123"/>
    </row>
    <row r="454" spans="3:8" s="99" customFormat="1" x14ac:dyDescent="0.2">
      <c r="C454" s="198"/>
      <c r="D454" s="198"/>
      <c r="E454" s="537"/>
      <c r="G454" s="198"/>
      <c r="H454" s="123"/>
    </row>
    <row r="455" spans="3:8" s="99" customFormat="1" x14ac:dyDescent="0.2">
      <c r="C455" s="198"/>
      <c r="D455" s="198"/>
      <c r="E455" s="537"/>
      <c r="G455" s="198"/>
      <c r="H455" s="123"/>
    </row>
    <row r="456" spans="3:8" s="99" customFormat="1" x14ac:dyDescent="0.2">
      <c r="C456" s="198"/>
      <c r="D456" s="198"/>
      <c r="E456" s="537"/>
      <c r="G456" s="198"/>
      <c r="H456" s="123"/>
    </row>
    <row r="457" spans="3:8" s="99" customFormat="1" x14ac:dyDescent="0.2">
      <c r="C457" s="198"/>
      <c r="D457" s="198"/>
      <c r="E457" s="537"/>
      <c r="G457" s="198"/>
      <c r="H457" s="123"/>
    </row>
    <row r="458" spans="3:8" s="99" customFormat="1" x14ac:dyDescent="0.2">
      <c r="C458" s="198"/>
      <c r="D458" s="198"/>
      <c r="E458" s="537"/>
      <c r="G458" s="198"/>
      <c r="H458" s="123"/>
    </row>
    <row r="459" spans="3:8" s="99" customFormat="1" x14ac:dyDescent="0.2">
      <c r="C459" s="198"/>
      <c r="D459" s="198"/>
      <c r="E459" s="537"/>
      <c r="G459" s="198"/>
      <c r="H459" s="123"/>
    </row>
    <row r="460" spans="3:8" s="99" customFormat="1" x14ac:dyDescent="0.2">
      <c r="C460" s="198"/>
      <c r="D460" s="198"/>
      <c r="E460" s="537"/>
      <c r="G460" s="198"/>
      <c r="H460" s="123"/>
    </row>
    <row r="461" spans="3:8" s="99" customFormat="1" x14ac:dyDescent="0.2">
      <c r="C461" s="198"/>
      <c r="D461" s="198"/>
      <c r="E461" s="537"/>
      <c r="G461" s="198"/>
      <c r="H461" s="123"/>
    </row>
    <row r="462" spans="3:8" s="99" customFormat="1" x14ac:dyDescent="0.2">
      <c r="C462" s="198"/>
      <c r="D462" s="198"/>
      <c r="E462" s="537"/>
      <c r="G462" s="198"/>
      <c r="H462" s="123"/>
    </row>
    <row r="463" spans="3:8" s="99" customFormat="1" x14ac:dyDescent="0.2">
      <c r="C463" s="198"/>
      <c r="D463" s="198"/>
      <c r="E463" s="537"/>
      <c r="G463" s="198"/>
      <c r="H463" s="123"/>
    </row>
    <row r="464" spans="3:8" s="99" customFormat="1" x14ac:dyDescent="0.2">
      <c r="C464" s="198"/>
      <c r="D464" s="198"/>
      <c r="E464" s="537"/>
      <c r="G464" s="198"/>
      <c r="H464" s="123"/>
    </row>
    <row r="465" spans="3:8" s="99" customFormat="1" x14ac:dyDescent="0.2">
      <c r="C465" s="198"/>
      <c r="D465" s="198"/>
      <c r="E465" s="537"/>
      <c r="G465" s="198"/>
      <c r="H465" s="123"/>
    </row>
    <row r="466" spans="3:8" s="99" customFormat="1" x14ac:dyDescent="0.2">
      <c r="C466" s="198"/>
      <c r="D466" s="198"/>
      <c r="E466" s="537"/>
      <c r="G466" s="198"/>
      <c r="H466" s="123"/>
    </row>
    <row r="467" spans="3:8" s="99" customFormat="1" x14ac:dyDescent="0.2">
      <c r="C467" s="198"/>
      <c r="D467" s="198"/>
      <c r="E467" s="537"/>
      <c r="G467" s="198"/>
      <c r="H467" s="123"/>
    </row>
    <row r="468" spans="3:8" s="99" customFormat="1" x14ac:dyDescent="0.2">
      <c r="C468" s="198"/>
      <c r="D468" s="198"/>
      <c r="E468" s="537"/>
      <c r="G468" s="198"/>
      <c r="H468" s="123"/>
    </row>
    <row r="469" spans="3:8" s="99" customFormat="1" x14ac:dyDescent="0.2">
      <c r="C469" s="198"/>
      <c r="D469" s="198"/>
      <c r="E469" s="537"/>
      <c r="G469" s="198"/>
      <c r="H469" s="123"/>
    </row>
    <row r="470" spans="3:8" s="99" customFormat="1" x14ac:dyDescent="0.2">
      <c r="C470" s="198"/>
      <c r="D470" s="198"/>
      <c r="E470" s="537"/>
      <c r="G470" s="198"/>
      <c r="H470" s="123"/>
    </row>
    <row r="471" spans="3:8" s="99" customFormat="1" x14ac:dyDescent="0.2">
      <c r="C471" s="198"/>
      <c r="D471" s="198"/>
      <c r="E471" s="537"/>
      <c r="G471" s="198"/>
      <c r="H471" s="123"/>
    </row>
    <row r="472" spans="3:8" s="99" customFormat="1" x14ac:dyDescent="0.2">
      <c r="C472" s="198"/>
      <c r="D472" s="198"/>
      <c r="E472" s="537"/>
      <c r="G472" s="198"/>
      <c r="H472" s="123"/>
    </row>
    <row r="473" spans="3:8" s="99" customFormat="1" x14ac:dyDescent="0.2">
      <c r="C473" s="198"/>
      <c r="D473" s="198"/>
      <c r="E473" s="537"/>
      <c r="G473" s="198"/>
      <c r="H473" s="123"/>
    </row>
    <row r="474" spans="3:8" s="99" customFormat="1" x14ac:dyDescent="0.2">
      <c r="C474" s="198"/>
      <c r="D474" s="198"/>
      <c r="E474" s="537"/>
      <c r="G474" s="198"/>
      <c r="H474" s="123"/>
    </row>
    <row r="475" spans="3:8" s="99" customFormat="1" x14ac:dyDescent="0.2">
      <c r="C475" s="198"/>
      <c r="D475" s="198"/>
      <c r="E475" s="537"/>
      <c r="G475" s="198"/>
      <c r="H475" s="123"/>
    </row>
    <row r="476" spans="3:8" s="99" customFormat="1" x14ac:dyDescent="0.2">
      <c r="C476" s="198"/>
      <c r="D476" s="198"/>
      <c r="E476" s="537"/>
      <c r="G476" s="198"/>
      <c r="H476" s="123"/>
    </row>
    <row r="477" spans="3:8" s="99" customFormat="1" x14ac:dyDescent="0.2">
      <c r="C477" s="198"/>
      <c r="D477" s="198"/>
      <c r="E477" s="537"/>
      <c r="G477" s="198"/>
      <c r="H477" s="123"/>
    </row>
    <row r="478" spans="3:8" s="99" customFormat="1" x14ac:dyDescent="0.2">
      <c r="C478" s="198"/>
      <c r="D478" s="198"/>
      <c r="E478" s="537"/>
      <c r="G478" s="198"/>
      <c r="H478" s="123"/>
    </row>
    <row r="479" spans="3:8" s="99" customFormat="1" x14ac:dyDescent="0.2">
      <c r="C479" s="198"/>
      <c r="D479" s="198"/>
      <c r="E479" s="537"/>
      <c r="G479" s="198"/>
      <c r="H479" s="123"/>
    </row>
    <row r="480" spans="3:8" s="99" customFormat="1" x14ac:dyDescent="0.2">
      <c r="C480" s="198"/>
      <c r="D480" s="198"/>
      <c r="E480" s="537"/>
      <c r="G480" s="198"/>
      <c r="H480" s="123"/>
    </row>
    <row r="481" spans="3:8" s="99" customFormat="1" x14ac:dyDescent="0.2">
      <c r="C481" s="198"/>
      <c r="D481" s="198"/>
      <c r="E481" s="537"/>
      <c r="G481" s="198"/>
      <c r="H481" s="123"/>
    </row>
    <row r="482" spans="3:8" s="99" customFormat="1" x14ac:dyDescent="0.2">
      <c r="C482" s="198"/>
      <c r="D482" s="198"/>
      <c r="E482" s="537"/>
      <c r="G482" s="198"/>
      <c r="H482" s="123"/>
    </row>
    <row r="483" spans="3:8" s="99" customFormat="1" x14ac:dyDescent="0.2">
      <c r="C483" s="198"/>
      <c r="D483" s="198"/>
      <c r="E483" s="537"/>
      <c r="G483" s="198"/>
      <c r="H483" s="123"/>
    </row>
    <row r="484" spans="3:8" s="99" customFormat="1" x14ac:dyDescent="0.2">
      <c r="C484" s="198"/>
      <c r="D484" s="198"/>
      <c r="E484" s="537"/>
      <c r="G484" s="198"/>
      <c r="H484" s="123"/>
    </row>
    <row r="485" spans="3:8" s="99" customFormat="1" x14ac:dyDescent="0.2">
      <c r="C485" s="198"/>
      <c r="D485" s="198"/>
      <c r="E485" s="537"/>
      <c r="G485" s="198"/>
      <c r="H485" s="123"/>
    </row>
    <row r="486" spans="3:8" s="99" customFormat="1" x14ac:dyDescent="0.2">
      <c r="C486" s="198"/>
      <c r="D486" s="198"/>
      <c r="E486" s="537"/>
      <c r="G486" s="198"/>
      <c r="H486" s="123"/>
    </row>
    <row r="487" spans="3:8" s="99" customFormat="1" x14ac:dyDescent="0.2">
      <c r="C487" s="198"/>
      <c r="D487" s="198"/>
      <c r="E487" s="537"/>
      <c r="G487" s="198"/>
      <c r="H487" s="123"/>
    </row>
    <row r="488" spans="3:8" s="99" customFormat="1" x14ac:dyDescent="0.2">
      <c r="C488" s="198"/>
      <c r="D488" s="198"/>
      <c r="E488" s="537"/>
      <c r="G488" s="198"/>
      <c r="H488" s="123"/>
    </row>
    <row r="489" spans="3:8" s="99" customFormat="1" x14ac:dyDescent="0.2">
      <c r="C489" s="198"/>
      <c r="D489" s="198"/>
      <c r="E489" s="537"/>
      <c r="G489" s="198"/>
      <c r="H489" s="123"/>
    </row>
    <row r="490" spans="3:8" s="99" customFormat="1" x14ac:dyDescent="0.2">
      <c r="C490" s="198"/>
      <c r="D490" s="198"/>
      <c r="E490" s="537"/>
      <c r="G490" s="198"/>
      <c r="H490" s="123"/>
    </row>
    <row r="491" spans="3:8" s="99" customFormat="1" x14ac:dyDescent="0.2">
      <c r="C491" s="198"/>
      <c r="D491" s="198"/>
      <c r="E491" s="537"/>
      <c r="G491" s="198"/>
      <c r="H491" s="123"/>
    </row>
    <row r="492" spans="3:8" s="99" customFormat="1" x14ac:dyDescent="0.2">
      <c r="C492" s="198"/>
      <c r="D492" s="198"/>
      <c r="E492" s="537"/>
      <c r="G492" s="198"/>
      <c r="H492" s="123"/>
    </row>
    <row r="493" spans="3:8" s="99" customFormat="1" x14ac:dyDescent="0.2">
      <c r="C493" s="198"/>
      <c r="D493" s="198"/>
      <c r="E493" s="537"/>
      <c r="G493" s="198"/>
      <c r="H493" s="123"/>
    </row>
    <row r="494" spans="3:8" s="99" customFormat="1" x14ac:dyDescent="0.2">
      <c r="C494" s="198"/>
      <c r="D494" s="198"/>
      <c r="E494" s="537"/>
      <c r="G494" s="198"/>
      <c r="H494" s="123"/>
    </row>
    <row r="495" spans="3:8" s="99" customFormat="1" x14ac:dyDescent="0.2">
      <c r="C495" s="198"/>
      <c r="D495" s="198"/>
      <c r="E495" s="537"/>
      <c r="G495" s="198"/>
      <c r="H495" s="123"/>
    </row>
    <row r="496" spans="3:8" s="99" customFormat="1" x14ac:dyDescent="0.2">
      <c r="C496" s="198"/>
      <c r="D496" s="198"/>
      <c r="E496" s="537"/>
      <c r="G496" s="198"/>
      <c r="H496" s="123"/>
    </row>
    <row r="497" spans="3:8" s="99" customFormat="1" x14ac:dyDescent="0.2">
      <c r="C497" s="198"/>
      <c r="D497" s="198"/>
      <c r="E497" s="537"/>
      <c r="G497" s="198"/>
      <c r="H497" s="123"/>
    </row>
    <row r="498" spans="3:8" s="99" customFormat="1" x14ac:dyDescent="0.2">
      <c r="C498" s="198"/>
      <c r="D498" s="198"/>
      <c r="E498" s="537"/>
      <c r="G498" s="198"/>
      <c r="H498" s="123"/>
    </row>
    <row r="499" spans="3:8" s="99" customFormat="1" x14ac:dyDescent="0.2">
      <c r="C499" s="198"/>
      <c r="D499" s="198"/>
      <c r="E499" s="537"/>
      <c r="G499" s="198"/>
      <c r="H499" s="123"/>
    </row>
    <row r="500" spans="3:8" s="99" customFormat="1" x14ac:dyDescent="0.2">
      <c r="C500" s="198"/>
      <c r="D500" s="198"/>
      <c r="E500" s="537"/>
      <c r="G500" s="198"/>
      <c r="H500" s="123"/>
    </row>
    <row r="501" spans="3:8" s="99" customFormat="1" x14ac:dyDescent="0.2">
      <c r="C501" s="198"/>
      <c r="D501" s="198"/>
      <c r="E501" s="537"/>
      <c r="G501" s="198"/>
      <c r="H501" s="123"/>
    </row>
    <row r="502" spans="3:8" s="99" customFormat="1" x14ac:dyDescent="0.2">
      <c r="C502" s="198"/>
      <c r="D502" s="198"/>
      <c r="E502" s="537"/>
      <c r="G502" s="198"/>
      <c r="H502" s="123"/>
    </row>
    <row r="503" spans="3:8" s="99" customFormat="1" x14ac:dyDescent="0.2">
      <c r="C503" s="198"/>
      <c r="D503" s="198"/>
      <c r="E503" s="537"/>
      <c r="G503" s="198"/>
      <c r="H503" s="123"/>
    </row>
    <row r="504" spans="3:8" s="99" customFormat="1" x14ac:dyDescent="0.2">
      <c r="C504" s="198"/>
      <c r="D504" s="198"/>
      <c r="E504" s="537"/>
      <c r="G504" s="198"/>
      <c r="H504" s="123"/>
    </row>
    <row r="505" spans="3:8" s="99" customFormat="1" x14ac:dyDescent="0.2">
      <c r="C505" s="198"/>
      <c r="D505" s="198"/>
      <c r="E505" s="537"/>
      <c r="G505" s="198"/>
      <c r="H505" s="123"/>
    </row>
    <row r="506" spans="3:8" s="99" customFormat="1" x14ac:dyDescent="0.2">
      <c r="C506" s="198"/>
      <c r="D506" s="198"/>
      <c r="E506" s="537"/>
      <c r="G506" s="198"/>
      <c r="H506" s="123"/>
    </row>
    <row r="507" spans="3:8" s="99" customFormat="1" x14ac:dyDescent="0.2">
      <c r="C507" s="198"/>
      <c r="D507" s="198"/>
      <c r="E507" s="537"/>
      <c r="G507" s="198"/>
      <c r="H507" s="123"/>
    </row>
    <row r="508" spans="3:8" s="99" customFormat="1" x14ac:dyDescent="0.2">
      <c r="C508" s="198"/>
      <c r="D508" s="198"/>
      <c r="E508" s="537"/>
      <c r="G508" s="198"/>
      <c r="H508" s="123"/>
    </row>
    <row r="509" spans="3:8" s="99" customFormat="1" x14ac:dyDescent="0.2">
      <c r="C509" s="198"/>
      <c r="D509" s="198"/>
      <c r="E509" s="537"/>
      <c r="G509" s="198"/>
      <c r="H509" s="123"/>
    </row>
    <row r="510" spans="3:8" s="99" customFormat="1" x14ac:dyDescent="0.2">
      <c r="C510" s="198"/>
      <c r="D510" s="198"/>
      <c r="E510" s="537"/>
      <c r="G510" s="198"/>
      <c r="H510" s="123"/>
    </row>
    <row r="511" spans="3:8" s="99" customFormat="1" x14ac:dyDescent="0.2">
      <c r="C511" s="198"/>
      <c r="D511" s="198"/>
      <c r="E511" s="537"/>
      <c r="G511" s="198"/>
      <c r="H511" s="123"/>
    </row>
    <row r="512" spans="3:8" s="99" customFormat="1" x14ac:dyDescent="0.2">
      <c r="C512" s="198"/>
      <c r="D512" s="198"/>
      <c r="E512" s="537"/>
      <c r="G512" s="198"/>
      <c r="H512" s="123"/>
    </row>
    <row r="513" spans="3:8" s="99" customFormat="1" x14ac:dyDescent="0.2">
      <c r="C513" s="198"/>
      <c r="D513" s="198"/>
      <c r="E513" s="537"/>
      <c r="G513" s="198"/>
      <c r="H513" s="123"/>
    </row>
    <row r="514" spans="3:8" s="99" customFormat="1" x14ac:dyDescent="0.2">
      <c r="C514" s="198"/>
      <c r="D514" s="198"/>
      <c r="E514" s="537"/>
      <c r="G514" s="198"/>
      <c r="H514" s="123"/>
    </row>
    <row r="515" spans="3:8" s="99" customFormat="1" x14ac:dyDescent="0.2">
      <c r="C515" s="198"/>
      <c r="D515" s="198"/>
      <c r="E515" s="537"/>
      <c r="G515" s="198"/>
      <c r="H515" s="123"/>
    </row>
    <row r="516" spans="3:8" s="99" customFormat="1" x14ac:dyDescent="0.2">
      <c r="C516" s="198"/>
      <c r="D516" s="198"/>
      <c r="E516" s="537"/>
      <c r="G516" s="198"/>
      <c r="H516" s="123"/>
    </row>
    <row r="517" spans="3:8" s="99" customFormat="1" x14ac:dyDescent="0.2">
      <c r="C517" s="198"/>
      <c r="D517" s="198"/>
      <c r="E517" s="537"/>
      <c r="G517" s="198"/>
      <c r="H517" s="123"/>
    </row>
    <row r="518" spans="3:8" s="99" customFormat="1" x14ac:dyDescent="0.2">
      <c r="C518" s="198"/>
      <c r="D518" s="198"/>
      <c r="E518" s="537"/>
      <c r="G518" s="198"/>
      <c r="H518" s="123"/>
    </row>
    <row r="519" spans="3:8" s="99" customFormat="1" x14ac:dyDescent="0.2">
      <c r="C519" s="198"/>
      <c r="D519" s="198"/>
      <c r="E519" s="537"/>
      <c r="G519" s="198"/>
      <c r="H519" s="123"/>
    </row>
    <row r="520" spans="3:8" s="99" customFormat="1" x14ac:dyDescent="0.2">
      <c r="C520" s="198"/>
      <c r="D520" s="198"/>
      <c r="E520" s="537"/>
      <c r="G520" s="198"/>
      <c r="H520" s="123"/>
    </row>
    <row r="521" spans="3:8" s="99" customFormat="1" x14ac:dyDescent="0.2">
      <c r="C521" s="198"/>
      <c r="D521" s="198"/>
      <c r="E521" s="537"/>
      <c r="G521" s="198"/>
      <c r="H521" s="123"/>
    </row>
    <row r="522" spans="3:8" s="99" customFormat="1" x14ac:dyDescent="0.2">
      <c r="C522" s="198"/>
      <c r="D522" s="198"/>
      <c r="E522" s="537"/>
      <c r="G522" s="198"/>
      <c r="H522" s="123"/>
    </row>
    <row r="523" spans="3:8" s="99" customFormat="1" x14ac:dyDescent="0.2">
      <c r="C523" s="198"/>
      <c r="D523" s="198"/>
      <c r="E523" s="537"/>
      <c r="G523" s="198"/>
      <c r="H523" s="123"/>
    </row>
    <row r="524" spans="3:8" s="99" customFormat="1" x14ac:dyDescent="0.2">
      <c r="C524" s="198"/>
      <c r="D524" s="198"/>
      <c r="E524" s="537"/>
      <c r="G524" s="198"/>
      <c r="H524" s="123"/>
    </row>
    <row r="525" spans="3:8" s="99" customFormat="1" x14ac:dyDescent="0.2">
      <c r="C525" s="198"/>
      <c r="D525" s="198"/>
      <c r="E525" s="537"/>
      <c r="G525" s="198"/>
      <c r="H525" s="123"/>
    </row>
    <row r="526" spans="3:8" s="99" customFormat="1" x14ac:dyDescent="0.2">
      <c r="C526" s="198"/>
      <c r="D526" s="198"/>
      <c r="E526" s="537"/>
      <c r="G526" s="198"/>
      <c r="H526" s="123"/>
    </row>
    <row r="527" spans="3:8" s="99" customFormat="1" x14ac:dyDescent="0.2">
      <c r="C527" s="198"/>
      <c r="D527" s="198"/>
      <c r="E527" s="537"/>
      <c r="G527" s="198"/>
      <c r="H527" s="123"/>
    </row>
    <row r="528" spans="3:8" s="99" customFormat="1" x14ac:dyDescent="0.2">
      <c r="C528" s="198"/>
      <c r="D528" s="198"/>
      <c r="E528" s="537"/>
      <c r="G528" s="198"/>
      <c r="H528" s="123"/>
    </row>
    <row r="529" spans="3:8" s="99" customFormat="1" x14ac:dyDescent="0.2">
      <c r="C529" s="198"/>
      <c r="D529" s="198"/>
      <c r="E529" s="537"/>
      <c r="G529" s="198"/>
      <c r="H529" s="123"/>
    </row>
    <row r="530" spans="3:8" s="99" customFormat="1" x14ac:dyDescent="0.2">
      <c r="C530" s="198"/>
      <c r="D530" s="198"/>
      <c r="E530" s="537"/>
      <c r="G530" s="198"/>
      <c r="H530" s="123"/>
    </row>
    <row r="531" spans="3:8" s="99" customFormat="1" x14ac:dyDescent="0.2">
      <c r="C531" s="198"/>
      <c r="D531" s="198"/>
      <c r="E531" s="537"/>
      <c r="G531" s="198"/>
      <c r="H531" s="123"/>
    </row>
    <row r="532" spans="3:8" s="99" customFormat="1" x14ac:dyDescent="0.2">
      <c r="C532" s="198"/>
      <c r="D532" s="198"/>
      <c r="E532" s="537"/>
      <c r="G532" s="198"/>
      <c r="H532" s="123"/>
    </row>
    <row r="533" spans="3:8" s="99" customFormat="1" x14ac:dyDescent="0.2">
      <c r="C533" s="198"/>
      <c r="D533" s="198"/>
      <c r="E533" s="537"/>
      <c r="G533" s="198"/>
      <c r="H533" s="123"/>
    </row>
    <row r="534" spans="3:8" s="99" customFormat="1" x14ac:dyDescent="0.2">
      <c r="C534" s="198"/>
      <c r="D534" s="198"/>
      <c r="E534" s="537"/>
      <c r="G534" s="198"/>
      <c r="H534" s="123"/>
    </row>
    <row r="535" spans="3:8" s="99" customFormat="1" x14ac:dyDescent="0.2">
      <c r="C535" s="198"/>
      <c r="D535" s="198"/>
      <c r="E535" s="537"/>
      <c r="G535" s="198"/>
      <c r="H535" s="123"/>
    </row>
    <row r="536" spans="3:8" s="99" customFormat="1" x14ac:dyDescent="0.2">
      <c r="C536" s="198"/>
      <c r="D536" s="198"/>
      <c r="E536" s="537"/>
      <c r="G536" s="198"/>
      <c r="H536" s="123"/>
    </row>
    <row r="537" spans="3:8" s="99" customFormat="1" x14ac:dyDescent="0.2">
      <c r="C537" s="198"/>
      <c r="D537" s="198"/>
      <c r="E537" s="537"/>
      <c r="G537" s="198"/>
      <c r="H537" s="123"/>
    </row>
    <row r="538" spans="3:8" s="99" customFormat="1" x14ac:dyDescent="0.2">
      <c r="C538" s="198"/>
      <c r="D538" s="198"/>
      <c r="E538" s="537"/>
      <c r="G538" s="198"/>
      <c r="H538" s="123"/>
    </row>
    <row r="539" spans="3:8" s="99" customFormat="1" x14ac:dyDescent="0.2">
      <c r="C539" s="198"/>
      <c r="D539" s="198"/>
      <c r="E539" s="537"/>
      <c r="G539" s="198"/>
      <c r="H539" s="123"/>
    </row>
    <row r="540" spans="3:8" s="99" customFormat="1" x14ac:dyDescent="0.2">
      <c r="C540" s="198"/>
      <c r="D540" s="198"/>
      <c r="E540" s="537"/>
      <c r="G540" s="198"/>
      <c r="H540" s="123"/>
    </row>
    <row r="541" spans="3:8" s="99" customFormat="1" x14ac:dyDescent="0.2">
      <c r="C541" s="198"/>
      <c r="D541" s="198"/>
      <c r="E541" s="537"/>
      <c r="G541" s="198"/>
      <c r="H541" s="123"/>
    </row>
    <row r="542" spans="3:8" s="99" customFormat="1" x14ac:dyDescent="0.2">
      <c r="C542" s="198"/>
      <c r="D542" s="198"/>
      <c r="E542" s="537"/>
      <c r="G542" s="198"/>
      <c r="H542" s="123"/>
    </row>
    <row r="543" spans="3:8" s="99" customFormat="1" x14ac:dyDescent="0.2">
      <c r="C543" s="198"/>
      <c r="D543" s="198"/>
      <c r="E543" s="537"/>
      <c r="G543" s="198"/>
      <c r="H543" s="123"/>
    </row>
    <row r="544" spans="3:8" s="99" customFormat="1" x14ac:dyDescent="0.2">
      <c r="C544" s="198"/>
      <c r="D544" s="198"/>
      <c r="E544" s="537"/>
      <c r="G544" s="198"/>
      <c r="H544" s="123"/>
    </row>
    <row r="545" spans="3:8" s="99" customFormat="1" x14ac:dyDescent="0.2">
      <c r="C545" s="198"/>
      <c r="D545" s="198"/>
      <c r="E545" s="537"/>
      <c r="G545" s="198"/>
      <c r="H545" s="123"/>
    </row>
    <row r="546" spans="3:8" s="99" customFormat="1" x14ac:dyDescent="0.2">
      <c r="C546" s="198"/>
      <c r="D546" s="198"/>
      <c r="E546" s="537"/>
      <c r="G546" s="198"/>
      <c r="H546" s="123"/>
    </row>
    <row r="547" spans="3:8" s="99" customFormat="1" x14ac:dyDescent="0.2">
      <c r="C547" s="198"/>
      <c r="D547" s="198"/>
      <c r="E547" s="537"/>
      <c r="G547" s="198"/>
      <c r="H547" s="123"/>
    </row>
    <row r="548" spans="3:8" s="99" customFormat="1" x14ac:dyDescent="0.2">
      <c r="C548" s="198"/>
      <c r="D548" s="198"/>
      <c r="E548" s="537"/>
      <c r="G548" s="198"/>
      <c r="H548" s="123"/>
    </row>
    <row r="549" spans="3:8" s="99" customFormat="1" x14ac:dyDescent="0.2">
      <c r="C549" s="198"/>
      <c r="D549" s="198"/>
      <c r="E549" s="537"/>
      <c r="G549" s="198"/>
      <c r="H549" s="123"/>
    </row>
    <row r="550" spans="3:8" s="99" customFormat="1" x14ac:dyDescent="0.2">
      <c r="C550" s="198"/>
      <c r="D550" s="198"/>
      <c r="E550" s="537"/>
      <c r="G550" s="198"/>
      <c r="H550" s="123"/>
    </row>
    <row r="551" spans="3:8" s="99" customFormat="1" x14ac:dyDescent="0.2">
      <c r="C551" s="198"/>
      <c r="D551" s="198"/>
      <c r="E551" s="537"/>
      <c r="G551" s="198"/>
      <c r="H551" s="123"/>
    </row>
    <row r="552" spans="3:8" s="99" customFormat="1" x14ac:dyDescent="0.2">
      <c r="C552" s="198"/>
      <c r="D552" s="198"/>
      <c r="E552" s="537"/>
      <c r="G552" s="198"/>
      <c r="H552" s="123"/>
    </row>
    <row r="553" spans="3:8" s="99" customFormat="1" x14ac:dyDescent="0.2">
      <c r="C553" s="198"/>
      <c r="D553" s="198"/>
      <c r="E553" s="537"/>
      <c r="G553" s="198"/>
      <c r="H553" s="123"/>
    </row>
    <row r="554" spans="3:8" s="99" customFormat="1" x14ac:dyDescent="0.2">
      <c r="C554" s="198"/>
      <c r="D554" s="198"/>
      <c r="E554" s="537"/>
      <c r="G554" s="198"/>
      <c r="H554" s="123"/>
    </row>
    <row r="555" spans="3:8" s="99" customFormat="1" x14ac:dyDescent="0.2">
      <c r="C555" s="198"/>
      <c r="D555" s="198"/>
      <c r="E555" s="537"/>
      <c r="G555" s="198"/>
      <c r="H555" s="123"/>
    </row>
    <row r="556" spans="3:8" s="99" customFormat="1" x14ac:dyDescent="0.2">
      <c r="C556" s="198"/>
      <c r="D556" s="198"/>
      <c r="E556" s="537"/>
      <c r="G556" s="198"/>
      <c r="H556" s="123"/>
    </row>
    <row r="557" spans="3:8" s="99" customFormat="1" x14ac:dyDescent="0.2">
      <c r="C557" s="198"/>
      <c r="D557" s="198"/>
      <c r="E557" s="537"/>
      <c r="G557" s="198"/>
      <c r="H557" s="123"/>
    </row>
    <row r="558" spans="3:8" s="99" customFormat="1" x14ac:dyDescent="0.2">
      <c r="C558" s="198"/>
      <c r="D558" s="198"/>
      <c r="E558" s="537"/>
      <c r="G558" s="198"/>
      <c r="H558" s="123"/>
    </row>
    <row r="559" spans="3:8" s="99" customFormat="1" x14ac:dyDescent="0.2">
      <c r="C559" s="198"/>
      <c r="D559" s="198"/>
      <c r="E559" s="537"/>
      <c r="G559" s="198"/>
      <c r="H559" s="123"/>
    </row>
    <row r="560" spans="3:8" s="99" customFormat="1" x14ac:dyDescent="0.2">
      <c r="C560" s="198"/>
      <c r="D560" s="198"/>
      <c r="E560" s="537"/>
      <c r="G560" s="198"/>
      <c r="H560" s="123"/>
    </row>
    <row r="561" spans="3:8" s="99" customFormat="1" x14ac:dyDescent="0.2">
      <c r="C561" s="198"/>
      <c r="D561" s="198"/>
      <c r="E561" s="537"/>
      <c r="G561" s="198"/>
      <c r="H561" s="123"/>
    </row>
    <row r="562" spans="3:8" s="99" customFormat="1" x14ac:dyDescent="0.2">
      <c r="C562" s="198"/>
      <c r="D562" s="198"/>
      <c r="E562" s="537"/>
      <c r="G562" s="198"/>
      <c r="H562" s="123"/>
    </row>
    <row r="563" spans="3:8" s="99" customFormat="1" x14ac:dyDescent="0.2">
      <c r="C563" s="198"/>
      <c r="D563" s="198"/>
      <c r="E563" s="537"/>
      <c r="G563" s="198"/>
      <c r="H563" s="123"/>
    </row>
    <row r="564" spans="3:8" s="99" customFormat="1" x14ac:dyDescent="0.2">
      <c r="C564" s="198"/>
      <c r="D564" s="198"/>
      <c r="E564" s="537"/>
      <c r="G564" s="198"/>
      <c r="H564" s="123"/>
    </row>
    <row r="565" spans="3:8" s="99" customFormat="1" x14ac:dyDescent="0.2">
      <c r="C565" s="198"/>
      <c r="D565" s="198"/>
      <c r="E565" s="537"/>
      <c r="G565" s="198"/>
      <c r="H565" s="123"/>
    </row>
    <row r="566" spans="3:8" s="99" customFormat="1" x14ac:dyDescent="0.2">
      <c r="C566" s="198"/>
      <c r="D566" s="198"/>
      <c r="E566" s="537"/>
      <c r="G566" s="198"/>
      <c r="H566" s="123"/>
    </row>
    <row r="567" spans="3:8" s="99" customFormat="1" x14ac:dyDescent="0.2">
      <c r="C567" s="198"/>
      <c r="D567" s="198"/>
      <c r="E567" s="537"/>
      <c r="G567" s="198"/>
      <c r="H567" s="123"/>
    </row>
    <row r="568" spans="3:8" s="99" customFormat="1" x14ac:dyDescent="0.2">
      <c r="C568" s="198"/>
      <c r="D568" s="198"/>
      <c r="E568" s="537"/>
      <c r="G568" s="198"/>
      <c r="H568" s="123"/>
    </row>
    <row r="569" spans="3:8" s="99" customFormat="1" x14ac:dyDescent="0.2">
      <c r="C569" s="198"/>
      <c r="D569" s="198"/>
      <c r="E569" s="537"/>
      <c r="G569" s="198"/>
      <c r="H569" s="123"/>
    </row>
    <row r="570" spans="3:8" s="99" customFormat="1" x14ac:dyDescent="0.2">
      <c r="C570" s="198"/>
      <c r="D570" s="198"/>
      <c r="E570" s="537"/>
      <c r="G570" s="198"/>
      <c r="H570" s="123"/>
    </row>
    <row r="571" spans="3:8" s="99" customFormat="1" x14ac:dyDescent="0.2">
      <c r="C571" s="198"/>
      <c r="D571" s="198"/>
      <c r="E571" s="537"/>
      <c r="G571" s="198"/>
      <c r="H571" s="123"/>
    </row>
    <row r="572" spans="3:8" s="99" customFormat="1" x14ac:dyDescent="0.2">
      <c r="C572" s="198"/>
      <c r="D572" s="198"/>
      <c r="E572" s="537"/>
      <c r="G572" s="198"/>
      <c r="H572" s="123"/>
    </row>
    <row r="573" spans="3:8" s="99" customFormat="1" x14ac:dyDescent="0.2">
      <c r="C573" s="198"/>
      <c r="D573" s="198"/>
      <c r="E573" s="537"/>
      <c r="G573" s="198"/>
      <c r="H573" s="123"/>
    </row>
    <row r="574" spans="3:8" s="99" customFormat="1" x14ac:dyDescent="0.2">
      <c r="C574" s="198"/>
      <c r="D574" s="198"/>
      <c r="E574" s="537"/>
      <c r="G574" s="198"/>
      <c r="H574" s="123"/>
    </row>
    <row r="575" spans="3:8" s="99" customFormat="1" x14ac:dyDescent="0.2">
      <c r="C575" s="198"/>
      <c r="D575" s="198"/>
      <c r="E575" s="537"/>
      <c r="G575" s="198"/>
      <c r="H575" s="123"/>
    </row>
    <row r="576" spans="3:8" s="99" customFormat="1" x14ac:dyDescent="0.2">
      <c r="C576" s="198"/>
      <c r="D576" s="198"/>
      <c r="E576" s="537"/>
      <c r="G576" s="198"/>
      <c r="H576" s="123"/>
    </row>
    <row r="577" spans="3:8" s="99" customFormat="1" x14ac:dyDescent="0.2">
      <c r="C577" s="198"/>
      <c r="D577" s="198"/>
      <c r="E577" s="537"/>
      <c r="G577" s="198"/>
      <c r="H577" s="123"/>
    </row>
    <row r="578" spans="3:8" s="99" customFormat="1" x14ac:dyDescent="0.2">
      <c r="C578" s="198"/>
      <c r="D578" s="198"/>
      <c r="E578" s="537"/>
      <c r="G578" s="198"/>
      <c r="H578" s="123"/>
    </row>
    <row r="579" spans="3:8" s="99" customFormat="1" x14ac:dyDescent="0.2">
      <c r="C579" s="198"/>
      <c r="D579" s="198"/>
      <c r="E579" s="537"/>
      <c r="G579" s="198"/>
      <c r="H579" s="123"/>
    </row>
    <row r="580" spans="3:8" s="99" customFormat="1" x14ac:dyDescent="0.2">
      <c r="C580" s="198"/>
      <c r="D580" s="198"/>
      <c r="E580" s="537"/>
      <c r="G580" s="198"/>
      <c r="H580" s="123"/>
    </row>
    <row r="581" spans="3:8" s="99" customFormat="1" x14ac:dyDescent="0.2">
      <c r="C581" s="198"/>
      <c r="D581" s="198"/>
      <c r="E581" s="537"/>
      <c r="G581" s="198"/>
      <c r="H581" s="123"/>
    </row>
    <row r="582" spans="3:8" s="99" customFormat="1" x14ac:dyDescent="0.2">
      <c r="C582" s="198"/>
      <c r="D582" s="198"/>
      <c r="E582" s="537"/>
      <c r="G582" s="198"/>
      <c r="H582" s="123"/>
    </row>
    <row r="583" spans="3:8" s="99" customFormat="1" x14ac:dyDescent="0.2">
      <c r="C583" s="198"/>
      <c r="D583" s="198"/>
      <c r="E583" s="537"/>
      <c r="G583" s="198"/>
      <c r="H583" s="123"/>
    </row>
    <row r="584" spans="3:8" s="99" customFormat="1" x14ac:dyDescent="0.2">
      <c r="C584" s="198"/>
      <c r="D584" s="198"/>
      <c r="E584" s="537"/>
      <c r="G584" s="198"/>
      <c r="H584" s="123"/>
    </row>
    <row r="585" spans="3:8" s="99" customFormat="1" x14ac:dyDescent="0.2">
      <c r="C585" s="198"/>
      <c r="D585" s="198"/>
      <c r="E585" s="537"/>
      <c r="G585" s="198"/>
      <c r="H585" s="123"/>
    </row>
    <row r="586" spans="3:8" s="99" customFormat="1" x14ac:dyDescent="0.2">
      <c r="C586" s="198"/>
      <c r="D586" s="198"/>
      <c r="E586" s="537"/>
      <c r="G586" s="198"/>
      <c r="H586" s="123"/>
    </row>
    <row r="587" spans="3:8" s="99" customFormat="1" x14ac:dyDescent="0.2">
      <c r="C587" s="198"/>
      <c r="D587" s="198"/>
      <c r="E587" s="537"/>
      <c r="G587" s="198"/>
      <c r="H587" s="123"/>
    </row>
    <row r="588" spans="3:8" s="99" customFormat="1" x14ac:dyDescent="0.2">
      <c r="C588" s="198"/>
      <c r="D588" s="198"/>
      <c r="E588" s="537"/>
      <c r="G588" s="198"/>
      <c r="H588" s="123"/>
    </row>
    <row r="589" spans="3:8" s="99" customFormat="1" x14ac:dyDescent="0.2">
      <c r="C589" s="198"/>
      <c r="D589" s="198"/>
      <c r="E589" s="537"/>
      <c r="G589" s="198"/>
      <c r="H589" s="123"/>
    </row>
    <row r="590" spans="3:8" s="99" customFormat="1" x14ac:dyDescent="0.2">
      <c r="C590" s="198"/>
      <c r="D590" s="198"/>
      <c r="E590" s="537"/>
      <c r="G590" s="198"/>
      <c r="H590" s="123"/>
    </row>
    <row r="591" spans="3:8" s="99" customFormat="1" x14ac:dyDescent="0.2">
      <c r="C591" s="198"/>
      <c r="D591" s="198"/>
      <c r="E591" s="537"/>
      <c r="G591" s="198"/>
      <c r="H591" s="123"/>
    </row>
    <row r="592" spans="3:8" s="99" customFormat="1" x14ac:dyDescent="0.2">
      <c r="C592" s="198"/>
      <c r="D592" s="198"/>
      <c r="E592" s="537"/>
      <c r="G592" s="198"/>
      <c r="H592" s="123"/>
    </row>
    <row r="593" spans="3:8" s="99" customFormat="1" x14ac:dyDescent="0.2">
      <c r="C593" s="198"/>
      <c r="D593" s="198"/>
      <c r="E593" s="537"/>
      <c r="G593" s="198"/>
      <c r="H593" s="123"/>
    </row>
    <row r="594" spans="3:8" s="99" customFormat="1" x14ac:dyDescent="0.2">
      <c r="C594" s="198"/>
      <c r="D594" s="198"/>
      <c r="E594" s="537"/>
      <c r="G594" s="198"/>
      <c r="H594" s="123"/>
    </row>
    <row r="595" spans="3:8" s="99" customFormat="1" x14ac:dyDescent="0.2">
      <c r="C595" s="198"/>
      <c r="D595" s="198"/>
      <c r="E595" s="537"/>
      <c r="G595" s="198"/>
      <c r="H595" s="123"/>
    </row>
    <row r="596" spans="3:8" s="99" customFormat="1" x14ac:dyDescent="0.2">
      <c r="C596" s="198"/>
      <c r="D596" s="198"/>
      <c r="E596" s="537"/>
      <c r="G596" s="198"/>
      <c r="H596" s="123"/>
    </row>
    <row r="597" spans="3:8" s="99" customFormat="1" x14ac:dyDescent="0.2">
      <c r="C597" s="198"/>
      <c r="D597" s="198"/>
      <c r="E597" s="537"/>
      <c r="G597" s="198"/>
      <c r="H597" s="123"/>
    </row>
    <row r="598" spans="3:8" s="99" customFormat="1" x14ac:dyDescent="0.2">
      <c r="C598" s="198"/>
      <c r="D598" s="198"/>
      <c r="E598" s="537"/>
      <c r="G598" s="198"/>
      <c r="H598" s="123"/>
    </row>
    <row r="599" spans="3:8" s="99" customFormat="1" x14ac:dyDescent="0.2">
      <c r="C599" s="198"/>
      <c r="D599" s="198"/>
      <c r="E599" s="537"/>
      <c r="G599" s="198"/>
      <c r="H599" s="123"/>
    </row>
    <row r="600" spans="3:8" s="99" customFormat="1" x14ac:dyDescent="0.2">
      <c r="C600" s="198"/>
      <c r="D600" s="198"/>
      <c r="E600" s="537"/>
      <c r="G600" s="198"/>
      <c r="H600" s="123"/>
    </row>
    <row r="601" spans="3:8" s="99" customFormat="1" x14ac:dyDescent="0.2">
      <c r="C601" s="198"/>
      <c r="D601" s="198"/>
      <c r="E601" s="537"/>
      <c r="G601" s="198"/>
      <c r="H601" s="123"/>
    </row>
    <row r="602" spans="3:8" s="99" customFormat="1" x14ac:dyDescent="0.2">
      <c r="C602" s="198"/>
      <c r="D602" s="198"/>
      <c r="E602" s="537"/>
      <c r="G602" s="198"/>
      <c r="H602" s="123"/>
    </row>
    <row r="603" spans="3:8" s="99" customFormat="1" x14ac:dyDescent="0.2">
      <c r="C603" s="198"/>
      <c r="D603" s="198"/>
      <c r="E603" s="537"/>
      <c r="G603" s="198"/>
      <c r="H603" s="123"/>
    </row>
    <row r="604" spans="3:8" s="99" customFormat="1" x14ac:dyDescent="0.2">
      <c r="C604" s="198"/>
      <c r="D604" s="198"/>
      <c r="E604" s="537"/>
      <c r="G604" s="198"/>
      <c r="H604" s="123"/>
    </row>
    <row r="605" spans="3:8" s="99" customFormat="1" x14ac:dyDescent="0.2">
      <c r="C605" s="198"/>
      <c r="D605" s="198"/>
      <c r="E605" s="537"/>
      <c r="G605" s="198"/>
      <c r="H605" s="123"/>
    </row>
    <row r="606" spans="3:8" s="99" customFormat="1" x14ac:dyDescent="0.2">
      <c r="C606" s="198"/>
      <c r="D606" s="198"/>
      <c r="E606" s="537"/>
      <c r="G606" s="198"/>
      <c r="H606" s="123"/>
    </row>
    <row r="607" spans="3:8" s="99" customFormat="1" x14ac:dyDescent="0.2">
      <c r="C607" s="198"/>
      <c r="D607" s="198"/>
      <c r="E607" s="537"/>
      <c r="G607" s="198"/>
      <c r="H607" s="123"/>
    </row>
    <row r="608" spans="3:8" s="99" customFormat="1" x14ac:dyDescent="0.2">
      <c r="C608" s="198"/>
      <c r="D608" s="198"/>
      <c r="E608" s="537"/>
      <c r="G608" s="198"/>
      <c r="H608" s="123"/>
    </row>
    <row r="609" spans="3:8" s="99" customFormat="1" x14ac:dyDescent="0.2">
      <c r="C609" s="198"/>
      <c r="D609" s="198"/>
      <c r="E609" s="537"/>
      <c r="G609" s="198"/>
      <c r="H609" s="123"/>
    </row>
    <row r="610" spans="3:8" s="99" customFormat="1" x14ac:dyDescent="0.2">
      <c r="C610" s="198"/>
      <c r="D610" s="198"/>
      <c r="E610" s="537"/>
      <c r="G610" s="198"/>
      <c r="H610" s="123"/>
    </row>
    <row r="611" spans="3:8" s="99" customFormat="1" x14ac:dyDescent="0.2">
      <c r="C611" s="198"/>
      <c r="D611" s="198"/>
      <c r="E611" s="537"/>
      <c r="G611" s="198"/>
      <c r="H611" s="123"/>
    </row>
    <row r="612" spans="3:8" s="99" customFormat="1" x14ac:dyDescent="0.2">
      <c r="C612" s="198"/>
      <c r="D612" s="198"/>
      <c r="E612" s="537"/>
      <c r="G612" s="198"/>
      <c r="H612" s="123"/>
    </row>
    <row r="613" spans="3:8" s="99" customFormat="1" x14ac:dyDescent="0.2">
      <c r="C613" s="198"/>
      <c r="D613" s="198"/>
      <c r="E613" s="537"/>
      <c r="G613" s="198"/>
      <c r="H613" s="123"/>
    </row>
    <row r="614" spans="3:8" s="99" customFormat="1" x14ac:dyDescent="0.2">
      <c r="C614" s="198"/>
      <c r="D614" s="198"/>
      <c r="E614" s="537"/>
      <c r="G614" s="198"/>
      <c r="H614" s="123"/>
    </row>
    <row r="615" spans="3:8" s="99" customFormat="1" x14ac:dyDescent="0.2">
      <c r="C615" s="198"/>
      <c r="D615" s="198"/>
      <c r="E615" s="537"/>
      <c r="G615" s="198"/>
      <c r="H615" s="123"/>
    </row>
    <row r="616" spans="3:8" s="99" customFormat="1" x14ac:dyDescent="0.2">
      <c r="C616" s="198"/>
      <c r="D616" s="198"/>
      <c r="E616" s="537"/>
      <c r="G616" s="198"/>
      <c r="H616" s="123"/>
    </row>
    <row r="617" spans="3:8" s="99" customFormat="1" x14ac:dyDescent="0.2">
      <c r="C617" s="198"/>
      <c r="D617" s="198"/>
      <c r="E617" s="537"/>
      <c r="G617" s="198"/>
      <c r="H617" s="123"/>
    </row>
    <row r="618" spans="3:8" s="99" customFormat="1" x14ac:dyDescent="0.2">
      <c r="C618" s="198"/>
      <c r="D618" s="198"/>
      <c r="E618" s="537"/>
      <c r="G618" s="198"/>
      <c r="H618" s="123"/>
    </row>
    <row r="619" spans="3:8" s="99" customFormat="1" x14ac:dyDescent="0.2">
      <c r="C619" s="198"/>
      <c r="D619" s="198"/>
      <c r="E619" s="537"/>
      <c r="G619" s="198"/>
      <c r="H619" s="123"/>
    </row>
    <row r="620" spans="3:8" s="99" customFormat="1" x14ac:dyDescent="0.2">
      <c r="C620" s="198"/>
      <c r="D620" s="198"/>
      <c r="E620" s="537"/>
      <c r="G620" s="198"/>
      <c r="H620" s="123"/>
    </row>
    <row r="621" spans="3:8" s="99" customFormat="1" x14ac:dyDescent="0.2">
      <c r="C621" s="198"/>
      <c r="D621" s="198"/>
      <c r="E621" s="537"/>
      <c r="G621" s="198"/>
      <c r="H621" s="123"/>
    </row>
    <row r="622" spans="3:8" s="99" customFormat="1" x14ac:dyDescent="0.2">
      <c r="C622" s="198"/>
      <c r="D622" s="198"/>
      <c r="E622" s="537"/>
      <c r="G622" s="198"/>
      <c r="H622" s="123"/>
    </row>
    <row r="623" spans="3:8" s="99" customFormat="1" x14ac:dyDescent="0.2">
      <c r="C623" s="198"/>
      <c r="D623" s="198"/>
      <c r="E623" s="537"/>
      <c r="G623" s="198"/>
      <c r="H623" s="123"/>
    </row>
    <row r="624" spans="3:8" s="99" customFormat="1" x14ac:dyDescent="0.2">
      <c r="C624" s="198"/>
      <c r="D624" s="198"/>
      <c r="E624" s="537"/>
      <c r="G624" s="198"/>
      <c r="H624" s="123"/>
    </row>
    <row r="625" spans="3:8" s="99" customFormat="1" x14ac:dyDescent="0.2">
      <c r="C625" s="198"/>
      <c r="D625" s="198"/>
      <c r="E625" s="537"/>
      <c r="G625" s="198"/>
      <c r="H625" s="123"/>
    </row>
    <row r="626" spans="3:8" s="99" customFormat="1" x14ac:dyDescent="0.2">
      <c r="C626" s="198"/>
      <c r="D626" s="198"/>
      <c r="E626" s="537"/>
      <c r="G626" s="198"/>
      <c r="H626" s="123"/>
    </row>
    <row r="627" spans="3:8" s="99" customFormat="1" x14ac:dyDescent="0.2">
      <c r="C627" s="198"/>
      <c r="D627" s="198"/>
      <c r="E627" s="537"/>
      <c r="G627" s="198"/>
      <c r="H627" s="123"/>
    </row>
    <row r="628" spans="3:8" s="99" customFormat="1" x14ac:dyDescent="0.2">
      <c r="C628" s="198"/>
      <c r="D628" s="198"/>
      <c r="E628" s="537"/>
      <c r="G628" s="198"/>
      <c r="H628" s="123"/>
    </row>
    <row r="629" spans="3:8" s="99" customFormat="1" x14ac:dyDescent="0.2">
      <c r="C629" s="198"/>
      <c r="D629" s="198"/>
      <c r="E629" s="537"/>
      <c r="G629" s="198"/>
      <c r="H629" s="123"/>
    </row>
    <row r="630" spans="3:8" s="99" customFormat="1" x14ac:dyDescent="0.2">
      <c r="C630" s="198"/>
      <c r="D630" s="198"/>
      <c r="E630" s="537"/>
      <c r="G630" s="198"/>
      <c r="H630" s="123"/>
    </row>
    <row r="631" spans="3:8" s="99" customFormat="1" x14ac:dyDescent="0.2">
      <c r="C631" s="198"/>
      <c r="D631" s="198"/>
      <c r="E631" s="537"/>
      <c r="G631" s="198"/>
      <c r="H631" s="123"/>
    </row>
    <row r="632" spans="3:8" s="99" customFormat="1" x14ac:dyDescent="0.2">
      <c r="C632" s="198"/>
      <c r="D632" s="198"/>
      <c r="E632" s="537"/>
      <c r="G632" s="198"/>
      <c r="H632" s="123"/>
    </row>
    <row r="633" spans="3:8" s="99" customFormat="1" x14ac:dyDescent="0.2">
      <c r="C633" s="198"/>
      <c r="D633" s="198"/>
      <c r="E633" s="537"/>
      <c r="G633" s="198"/>
      <c r="H633" s="123"/>
    </row>
    <row r="634" spans="3:8" s="99" customFormat="1" x14ac:dyDescent="0.2">
      <c r="C634" s="198"/>
      <c r="D634" s="198"/>
      <c r="E634" s="537"/>
      <c r="G634" s="198"/>
      <c r="H634" s="123"/>
    </row>
    <row r="635" spans="3:8" s="99" customFormat="1" x14ac:dyDescent="0.2">
      <c r="C635" s="198"/>
      <c r="D635" s="198"/>
      <c r="E635" s="537"/>
      <c r="G635" s="198"/>
      <c r="H635" s="123"/>
    </row>
    <row r="636" spans="3:8" s="99" customFormat="1" x14ac:dyDescent="0.2">
      <c r="C636" s="198"/>
      <c r="D636" s="198"/>
      <c r="E636" s="537"/>
      <c r="G636" s="198"/>
      <c r="H636" s="123"/>
    </row>
    <row r="637" spans="3:8" s="99" customFormat="1" x14ac:dyDescent="0.2">
      <c r="C637" s="198"/>
      <c r="D637" s="198"/>
      <c r="E637" s="537"/>
      <c r="G637" s="198"/>
      <c r="H637" s="123"/>
    </row>
    <row r="638" spans="3:8" s="99" customFormat="1" x14ac:dyDescent="0.2">
      <c r="C638" s="198"/>
      <c r="D638" s="198"/>
      <c r="E638" s="537"/>
      <c r="G638" s="198"/>
      <c r="H638" s="123"/>
    </row>
    <row r="639" spans="3:8" s="99" customFormat="1" x14ac:dyDescent="0.2">
      <c r="C639" s="198"/>
      <c r="D639" s="198"/>
      <c r="E639" s="537"/>
      <c r="G639" s="198"/>
      <c r="H639" s="123"/>
    </row>
    <row r="640" spans="3:8" s="99" customFormat="1" x14ac:dyDescent="0.2">
      <c r="C640" s="198"/>
      <c r="D640" s="198"/>
      <c r="E640" s="537"/>
      <c r="G640" s="198"/>
      <c r="H640" s="123"/>
    </row>
    <row r="641" spans="3:8" s="99" customFormat="1" x14ac:dyDescent="0.2">
      <c r="C641" s="198"/>
      <c r="D641" s="198"/>
      <c r="E641" s="537"/>
      <c r="G641" s="198"/>
      <c r="H641" s="123"/>
    </row>
    <row r="642" spans="3:8" s="99" customFormat="1" x14ac:dyDescent="0.2">
      <c r="C642" s="198"/>
      <c r="D642" s="198"/>
      <c r="E642" s="537"/>
      <c r="G642" s="198"/>
      <c r="H642" s="123"/>
    </row>
    <row r="643" spans="3:8" s="99" customFormat="1" x14ac:dyDescent="0.2">
      <c r="C643" s="198"/>
      <c r="D643" s="198"/>
      <c r="E643" s="537"/>
      <c r="G643" s="198"/>
      <c r="H643" s="123"/>
    </row>
    <row r="644" spans="3:8" s="99" customFormat="1" x14ac:dyDescent="0.2">
      <c r="C644" s="198"/>
      <c r="D644" s="198"/>
      <c r="E644" s="537"/>
      <c r="G644" s="198"/>
      <c r="H644" s="123"/>
    </row>
    <row r="645" spans="3:8" s="99" customFormat="1" x14ac:dyDescent="0.2">
      <c r="C645" s="198"/>
      <c r="D645" s="198"/>
      <c r="E645" s="537"/>
      <c r="G645" s="198"/>
      <c r="H645" s="123"/>
    </row>
    <row r="646" spans="3:8" s="99" customFormat="1" x14ac:dyDescent="0.2">
      <c r="C646" s="198"/>
      <c r="D646" s="198"/>
      <c r="E646" s="537"/>
      <c r="G646" s="198"/>
      <c r="H646" s="123"/>
    </row>
    <row r="647" spans="3:8" s="99" customFormat="1" x14ac:dyDescent="0.2">
      <c r="C647" s="198"/>
      <c r="D647" s="198"/>
      <c r="E647" s="537"/>
      <c r="G647" s="198"/>
      <c r="H647" s="123"/>
    </row>
    <row r="648" spans="3:8" s="99" customFormat="1" x14ac:dyDescent="0.2">
      <c r="C648" s="198"/>
      <c r="D648" s="198"/>
      <c r="E648" s="537"/>
      <c r="G648" s="198"/>
      <c r="H648" s="123"/>
    </row>
    <row r="649" spans="3:8" s="99" customFormat="1" x14ac:dyDescent="0.2">
      <c r="C649" s="198"/>
      <c r="D649" s="198"/>
      <c r="E649" s="537"/>
      <c r="G649" s="198"/>
      <c r="H649" s="123"/>
    </row>
    <row r="650" spans="3:8" s="99" customFormat="1" x14ac:dyDescent="0.2">
      <c r="C650" s="198"/>
      <c r="D650" s="198"/>
      <c r="E650" s="537"/>
      <c r="G650" s="198"/>
      <c r="H650" s="123"/>
    </row>
    <row r="651" spans="3:8" s="99" customFormat="1" x14ac:dyDescent="0.2">
      <c r="C651" s="198"/>
      <c r="D651" s="198"/>
      <c r="E651" s="537"/>
      <c r="G651" s="198"/>
      <c r="H651" s="123"/>
    </row>
    <row r="652" spans="3:8" s="99" customFormat="1" x14ac:dyDescent="0.2">
      <c r="C652" s="198"/>
      <c r="D652" s="198"/>
      <c r="E652" s="537"/>
      <c r="G652" s="198"/>
      <c r="H652" s="123"/>
    </row>
    <row r="653" spans="3:8" s="99" customFormat="1" x14ac:dyDescent="0.2">
      <c r="C653" s="198"/>
      <c r="D653" s="198"/>
      <c r="E653" s="537"/>
      <c r="G653" s="198"/>
      <c r="H653" s="123"/>
    </row>
    <row r="654" spans="3:8" s="99" customFormat="1" x14ac:dyDescent="0.2">
      <c r="C654" s="198"/>
      <c r="D654" s="198"/>
      <c r="E654" s="537"/>
      <c r="G654" s="198"/>
      <c r="H654" s="123"/>
    </row>
    <row r="655" spans="3:8" s="99" customFormat="1" x14ac:dyDescent="0.2">
      <c r="C655" s="198"/>
      <c r="D655" s="198"/>
      <c r="E655" s="537"/>
      <c r="G655" s="198"/>
      <c r="H655" s="123"/>
    </row>
    <row r="656" spans="3:8" s="99" customFormat="1" x14ac:dyDescent="0.2">
      <c r="C656" s="198"/>
      <c r="D656" s="198"/>
      <c r="E656" s="537"/>
      <c r="G656" s="198"/>
      <c r="H656" s="123"/>
    </row>
    <row r="657" spans="3:8" s="99" customFormat="1" x14ac:dyDescent="0.2">
      <c r="C657" s="198"/>
      <c r="D657" s="198"/>
      <c r="E657" s="537"/>
      <c r="G657" s="198"/>
      <c r="H657" s="123"/>
    </row>
    <row r="658" spans="3:8" s="99" customFormat="1" x14ac:dyDescent="0.2">
      <c r="C658" s="198"/>
      <c r="D658" s="198"/>
      <c r="E658" s="537"/>
      <c r="G658" s="198"/>
      <c r="H658" s="123"/>
    </row>
    <row r="659" spans="3:8" s="99" customFormat="1" x14ac:dyDescent="0.2">
      <c r="C659" s="198"/>
      <c r="D659" s="198"/>
      <c r="E659" s="537"/>
      <c r="G659" s="198"/>
      <c r="H659" s="123"/>
    </row>
    <row r="660" spans="3:8" s="99" customFormat="1" x14ac:dyDescent="0.2">
      <c r="C660" s="198"/>
      <c r="D660" s="198"/>
      <c r="E660" s="537"/>
      <c r="G660" s="198"/>
      <c r="H660" s="123"/>
    </row>
    <row r="661" spans="3:8" s="99" customFormat="1" x14ac:dyDescent="0.2">
      <c r="C661" s="198"/>
      <c r="D661" s="198"/>
      <c r="E661" s="537"/>
      <c r="G661" s="198"/>
      <c r="H661" s="123"/>
    </row>
    <row r="662" spans="3:8" s="99" customFormat="1" x14ac:dyDescent="0.2">
      <c r="C662" s="198"/>
      <c r="D662" s="198"/>
      <c r="E662" s="537"/>
      <c r="G662" s="198"/>
      <c r="H662" s="123"/>
    </row>
    <row r="663" spans="3:8" s="99" customFormat="1" x14ac:dyDescent="0.2">
      <c r="C663" s="198"/>
      <c r="D663" s="198"/>
      <c r="E663" s="537"/>
      <c r="G663" s="198"/>
      <c r="H663" s="123"/>
    </row>
    <row r="664" spans="3:8" s="99" customFormat="1" x14ac:dyDescent="0.2">
      <c r="C664" s="198"/>
      <c r="D664" s="198"/>
      <c r="E664" s="537"/>
      <c r="G664" s="198"/>
      <c r="H664" s="123"/>
    </row>
    <row r="665" spans="3:8" s="99" customFormat="1" x14ac:dyDescent="0.2">
      <c r="C665" s="198"/>
      <c r="D665" s="198"/>
      <c r="E665" s="537"/>
      <c r="G665" s="198"/>
      <c r="H665" s="123"/>
    </row>
    <row r="666" spans="3:8" s="99" customFormat="1" x14ac:dyDescent="0.2">
      <c r="C666" s="198"/>
      <c r="D666" s="198"/>
      <c r="E666" s="537"/>
      <c r="G666" s="198"/>
      <c r="H666" s="123"/>
    </row>
    <row r="667" spans="3:8" s="99" customFormat="1" x14ac:dyDescent="0.2">
      <c r="C667" s="198"/>
      <c r="D667" s="198"/>
      <c r="E667" s="537"/>
      <c r="G667" s="198"/>
      <c r="H667" s="123"/>
    </row>
    <row r="668" spans="3:8" s="99" customFormat="1" x14ac:dyDescent="0.2">
      <c r="C668" s="198"/>
      <c r="D668" s="198"/>
      <c r="E668" s="537"/>
      <c r="G668" s="198"/>
      <c r="H668" s="123"/>
    </row>
    <row r="669" spans="3:8" s="99" customFormat="1" x14ac:dyDescent="0.2">
      <c r="C669" s="198"/>
      <c r="D669" s="198"/>
      <c r="E669" s="537"/>
      <c r="G669" s="198"/>
      <c r="H669" s="123"/>
    </row>
    <row r="670" spans="3:8" s="99" customFormat="1" x14ac:dyDescent="0.2">
      <c r="C670" s="198"/>
      <c r="D670" s="198"/>
      <c r="E670" s="537"/>
      <c r="G670" s="198"/>
      <c r="H670" s="123"/>
    </row>
    <row r="671" spans="3:8" s="99" customFormat="1" x14ac:dyDescent="0.2">
      <c r="C671" s="198"/>
      <c r="D671" s="198"/>
      <c r="E671" s="537"/>
      <c r="G671" s="198"/>
      <c r="H671" s="123"/>
    </row>
    <row r="672" spans="3:8" s="99" customFormat="1" x14ac:dyDescent="0.2">
      <c r="C672" s="198"/>
      <c r="D672" s="198"/>
      <c r="E672" s="537"/>
      <c r="G672" s="198"/>
      <c r="H672" s="123"/>
    </row>
    <row r="673" spans="3:8" s="99" customFormat="1" x14ac:dyDescent="0.2">
      <c r="C673" s="198"/>
      <c r="D673" s="198"/>
      <c r="E673" s="537"/>
      <c r="G673" s="198"/>
      <c r="H673" s="123"/>
    </row>
    <row r="674" spans="3:8" s="99" customFormat="1" x14ac:dyDescent="0.2">
      <c r="C674" s="198"/>
      <c r="D674" s="198"/>
      <c r="E674" s="537"/>
      <c r="G674" s="198"/>
      <c r="H674" s="123"/>
    </row>
    <row r="675" spans="3:8" s="99" customFormat="1" x14ac:dyDescent="0.2">
      <c r="C675" s="198"/>
      <c r="D675" s="198"/>
      <c r="E675" s="537"/>
      <c r="G675" s="198"/>
      <c r="H675" s="123"/>
    </row>
    <row r="676" spans="3:8" s="99" customFormat="1" x14ac:dyDescent="0.2">
      <c r="C676" s="198"/>
      <c r="D676" s="198"/>
      <c r="E676" s="537"/>
      <c r="G676" s="198"/>
      <c r="H676" s="123"/>
    </row>
    <row r="677" spans="3:8" s="99" customFormat="1" x14ac:dyDescent="0.2">
      <c r="C677" s="198"/>
      <c r="D677" s="198"/>
      <c r="E677" s="537"/>
      <c r="G677" s="198"/>
      <c r="H677" s="123"/>
    </row>
    <row r="678" spans="3:8" s="99" customFormat="1" x14ac:dyDescent="0.2">
      <c r="C678" s="198"/>
      <c r="D678" s="198"/>
      <c r="E678" s="537"/>
      <c r="G678" s="198"/>
      <c r="H678" s="123"/>
    </row>
    <row r="679" spans="3:8" s="99" customFormat="1" x14ac:dyDescent="0.2">
      <c r="C679" s="198"/>
      <c r="D679" s="198"/>
      <c r="E679" s="537"/>
      <c r="G679" s="198"/>
      <c r="H679" s="123"/>
    </row>
    <row r="680" spans="3:8" s="99" customFormat="1" x14ac:dyDescent="0.2">
      <c r="C680" s="198"/>
      <c r="D680" s="198"/>
      <c r="E680" s="537"/>
      <c r="G680" s="198"/>
      <c r="H680" s="123"/>
    </row>
    <row r="681" spans="3:8" s="99" customFormat="1" x14ac:dyDescent="0.2">
      <c r="C681" s="198"/>
      <c r="D681" s="198"/>
      <c r="E681" s="537"/>
      <c r="G681" s="198"/>
      <c r="H681" s="123"/>
    </row>
    <row r="682" spans="3:8" s="99" customFormat="1" x14ac:dyDescent="0.2">
      <c r="C682" s="198"/>
      <c r="D682" s="198"/>
      <c r="E682" s="537"/>
      <c r="G682" s="198"/>
      <c r="H682" s="123"/>
    </row>
    <row r="683" spans="3:8" s="99" customFormat="1" x14ac:dyDescent="0.2">
      <c r="C683" s="198"/>
      <c r="D683" s="198"/>
      <c r="E683" s="537"/>
      <c r="G683" s="198"/>
      <c r="H683" s="123"/>
    </row>
    <row r="684" spans="3:8" s="99" customFormat="1" x14ac:dyDescent="0.2">
      <c r="C684" s="198"/>
      <c r="D684" s="198"/>
      <c r="E684" s="537"/>
      <c r="G684" s="198"/>
      <c r="H684" s="123"/>
    </row>
    <row r="685" spans="3:8" s="99" customFormat="1" x14ac:dyDescent="0.2">
      <c r="C685" s="198"/>
      <c r="D685" s="198"/>
      <c r="E685" s="537"/>
      <c r="G685" s="198"/>
      <c r="H685" s="123"/>
    </row>
    <row r="686" spans="3:8" s="99" customFormat="1" x14ac:dyDescent="0.2">
      <c r="C686" s="198"/>
      <c r="D686" s="198"/>
      <c r="E686" s="537"/>
      <c r="G686" s="198"/>
      <c r="H686" s="123"/>
    </row>
    <row r="687" spans="3:8" s="99" customFormat="1" x14ac:dyDescent="0.2">
      <c r="C687" s="198"/>
      <c r="D687" s="198"/>
      <c r="E687" s="537"/>
      <c r="G687" s="198"/>
      <c r="H687" s="123"/>
    </row>
    <row r="688" spans="3:8" s="99" customFormat="1" x14ac:dyDescent="0.2">
      <c r="C688" s="198"/>
      <c r="D688" s="198"/>
      <c r="E688" s="537"/>
      <c r="G688" s="198"/>
      <c r="H688" s="123"/>
    </row>
    <row r="689" spans="3:8" s="99" customFormat="1" x14ac:dyDescent="0.2">
      <c r="C689" s="198"/>
      <c r="D689" s="198"/>
      <c r="E689" s="537"/>
      <c r="G689" s="198"/>
      <c r="H689" s="123"/>
    </row>
    <row r="690" spans="3:8" s="99" customFormat="1" x14ac:dyDescent="0.2">
      <c r="C690" s="198"/>
      <c r="D690" s="198"/>
      <c r="E690" s="537"/>
      <c r="G690" s="198"/>
      <c r="H690" s="123"/>
    </row>
    <row r="691" spans="3:8" s="99" customFormat="1" x14ac:dyDescent="0.2">
      <c r="C691" s="198"/>
      <c r="D691" s="198"/>
      <c r="E691" s="537"/>
      <c r="G691" s="198"/>
      <c r="H691" s="123"/>
    </row>
    <row r="692" spans="3:8" s="99" customFormat="1" x14ac:dyDescent="0.2">
      <c r="C692" s="198"/>
      <c r="D692" s="198"/>
      <c r="E692" s="537"/>
      <c r="G692" s="198"/>
      <c r="H692" s="123"/>
    </row>
    <row r="693" spans="3:8" s="99" customFormat="1" x14ac:dyDescent="0.2">
      <c r="C693" s="198"/>
      <c r="D693" s="198"/>
      <c r="E693" s="537"/>
      <c r="G693" s="198"/>
      <c r="H693" s="123"/>
    </row>
    <row r="694" spans="3:8" s="99" customFormat="1" x14ac:dyDescent="0.2">
      <c r="C694" s="198"/>
      <c r="D694" s="198"/>
      <c r="E694" s="537"/>
      <c r="G694" s="198"/>
      <c r="H694" s="123"/>
    </row>
    <row r="695" spans="3:8" s="99" customFormat="1" x14ac:dyDescent="0.2">
      <c r="C695" s="198"/>
      <c r="D695" s="198"/>
      <c r="E695" s="537"/>
      <c r="G695" s="198"/>
      <c r="H695" s="123"/>
    </row>
    <row r="696" spans="3:8" s="99" customFormat="1" x14ac:dyDescent="0.2">
      <c r="C696" s="198"/>
      <c r="D696" s="198"/>
      <c r="E696" s="537"/>
      <c r="G696" s="198"/>
      <c r="H696" s="123"/>
    </row>
    <row r="697" spans="3:8" s="99" customFormat="1" x14ac:dyDescent="0.2">
      <c r="C697" s="198"/>
      <c r="D697" s="198"/>
      <c r="E697" s="537"/>
      <c r="G697" s="198"/>
      <c r="H697" s="123"/>
    </row>
    <row r="698" spans="3:8" s="99" customFormat="1" x14ac:dyDescent="0.2">
      <c r="C698" s="198"/>
      <c r="D698" s="198"/>
      <c r="E698" s="537"/>
      <c r="G698" s="198"/>
      <c r="H698" s="123"/>
    </row>
    <row r="699" spans="3:8" s="99" customFormat="1" x14ac:dyDescent="0.2">
      <c r="C699" s="198"/>
      <c r="D699" s="198"/>
      <c r="E699" s="537"/>
      <c r="G699" s="198"/>
      <c r="H699" s="123"/>
    </row>
    <row r="700" spans="3:8" s="99" customFormat="1" x14ac:dyDescent="0.2">
      <c r="C700" s="198"/>
      <c r="D700" s="198"/>
      <c r="E700" s="537"/>
      <c r="G700" s="198"/>
      <c r="H700" s="123"/>
    </row>
    <row r="701" spans="3:8" s="99" customFormat="1" x14ac:dyDescent="0.2">
      <c r="C701" s="198"/>
      <c r="D701" s="198"/>
      <c r="E701" s="537"/>
      <c r="G701" s="198"/>
      <c r="H701" s="123"/>
    </row>
    <row r="702" spans="3:8" s="99" customFormat="1" x14ac:dyDescent="0.2">
      <c r="C702" s="198"/>
      <c r="D702" s="198"/>
      <c r="E702" s="537"/>
      <c r="G702" s="198"/>
      <c r="H702" s="123"/>
    </row>
    <row r="703" spans="3:8" s="99" customFormat="1" x14ac:dyDescent="0.2">
      <c r="C703" s="198"/>
      <c r="D703" s="198"/>
      <c r="E703" s="537"/>
      <c r="G703" s="198"/>
      <c r="H703" s="123"/>
    </row>
    <row r="704" spans="3:8" s="99" customFormat="1" x14ac:dyDescent="0.2">
      <c r="C704" s="198"/>
      <c r="D704" s="198"/>
      <c r="E704" s="537"/>
      <c r="G704" s="198"/>
      <c r="H704" s="123"/>
    </row>
    <row r="705" spans="3:8" s="99" customFormat="1" x14ac:dyDescent="0.2">
      <c r="C705" s="198"/>
      <c r="D705" s="198"/>
      <c r="E705" s="537"/>
      <c r="G705" s="198"/>
      <c r="H705" s="123"/>
    </row>
    <row r="706" spans="3:8" s="99" customFormat="1" x14ac:dyDescent="0.2">
      <c r="C706" s="198"/>
      <c r="D706" s="198"/>
      <c r="E706" s="537"/>
      <c r="G706" s="198"/>
      <c r="H706" s="123"/>
    </row>
    <row r="707" spans="3:8" s="99" customFormat="1" x14ac:dyDescent="0.2">
      <c r="C707" s="198"/>
      <c r="D707" s="198"/>
      <c r="E707" s="537"/>
      <c r="G707" s="198"/>
      <c r="H707" s="123"/>
    </row>
    <row r="708" spans="3:8" s="99" customFormat="1" x14ac:dyDescent="0.2">
      <c r="C708" s="198"/>
      <c r="D708" s="198"/>
      <c r="E708" s="537"/>
      <c r="G708" s="198"/>
      <c r="H708" s="123"/>
    </row>
    <row r="709" spans="3:8" s="99" customFormat="1" x14ac:dyDescent="0.2">
      <c r="C709" s="198"/>
      <c r="D709" s="198"/>
      <c r="E709" s="537"/>
      <c r="G709" s="198"/>
      <c r="H709" s="123"/>
    </row>
    <row r="710" spans="3:8" s="99" customFormat="1" x14ac:dyDescent="0.2">
      <c r="C710" s="198"/>
      <c r="D710" s="198"/>
      <c r="E710" s="537"/>
      <c r="G710" s="198"/>
      <c r="H710" s="123"/>
    </row>
    <row r="711" spans="3:8" s="99" customFormat="1" x14ac:dyDescent="0.2">
      <c r="C711" s="198"/>
      <c r="D711" s="198"/>
      <c r="E711" s="537"/>
      <c r="G711" s="198"/>
      <c r="H711" s="123"/>
    </row>
    <row r="712" spans="3:8" s="99" customFormat="1" x14ac:dyDescent="0.2">
      <c r="C712" s="198"/>
      <c r="D712" s="198"/>
      <c r="E712" s="537"/>
      <c r="G712" s="198"/>
      <c r="H712" s="123"/>
    </row>
    <row r="713" spans="3:8" s="99" customFormat="1" x14ac:dyDescent="0.2">
      <c r="C713" s="198"/>
      <c r="D713" s="198"/>
      <c r="E713" s="537"/>
      <c r="G713" s="198"/>
      <c r="H713" s="123"/>
    </row>
    <row r="714" spans="3:8" s="99" customFormat="1" x14ac:dyDescent="0.2">
      <c r="C714" s="198"/>
      <c r="D714" s="198"/>
      <c r="E714" s="537"/>
      <c r="G714" s="198"/>
      <c r="H714" s="123"/>
    </row>
    <row r="715" spans="3:8" s="99" customFormat="1" x14ac:dyDescent="0.2">
      <c r="C715" s="198"/>
      <c r="D715" s="198"/>
      <c r="E715" s="537"/>
      <c r="G715" s="198"/>
      <c r="H715" s="123"/>
    </row>
    <row r="716" spans="3:8" s="99" customFormat="1" x14ac:dyDescent="0.2">
      <c r="C716" s="198"/>
      <c r="D716" s="198"/>
      <c r="E716" s="537"/>
      <c r="G716" s="198"/>
      <c r="H716" s="123"/>
    </row>
    <row r="717" spans="3:8" s="99" customFormat="1" x14ac:dyDescent="0.2">
      <c r="C717" s="198"/>
      <c r="D717" s="198"/>
      <c r="E717" s="537"/>
      <c r="G717" s="198"/>
      <c r="H717" s="123"/>
    </row>
    <row r="718" spans="3:8" s="99" customFormat="1" x14ac:dyDescent="0.2">
      <c r="C718" s="198"/>
      <c r="D718" s="198"/>
      <c r="E718" s="537"/>
      <c r="G718" s="198"/>
      <c r="H718" s="123"/>
    </row>
    <row r="719" spans="3:8" s="99" customFormat="1" x14ac:dyDescent="0.2">
      <c r="C719" s="198"/>
      <c r="D719" s="198"/>
      <c r="E719" s="537"/>
      <c r="G719" s="198"/>
      <c r="H719" s="123"/>
    </row>
    <row r="720" spans="3:8" s="99" customFormat="1" x14ac:dyDescent="0.2">
      <c r="C720" s="198"/>
      <c r="D720" s="198"/>
      <c r="E720" s="537"/>
      <c r="G720" s="198"/>
      <c r="H720" s="123"/>
    </row>
    <row r="721" spans="3:8" s="99" customFormat="1" x14ac:dyDescent="0.2">
      <c r="C721" s="198"/>
      <c r="D721" s="198"/>
      <c r="E721" s="537"/>
      <c r="G721" s="198"/>
      <c r="H721" s="123"/>
    </row>
    <row r="722" spans="3:8" s="99" customFormat="1" x14ac:dyDescent="0.2">
      <c r="C722" s="198"/>
      <c r="D722" s="198"/>
      <c r="E722" s="537"/>
      <c r="G722" s="198"/>
      <c r="H722" s="123"/>
    </row>
    <row r="723" spans="3:8" s="99" customFormat="1" x14ac:dyDescent="0.2">
      <c r="C723" s="198"/>
      <c r="D723" s="198"/>
      <c r="E723" s="537"/>
      <c r="G723" s="198"/>
      <c r="H723" s="123"/>
    </row>
    <row r="724" spans="3:8" s="99" customFormat="1" x14ac:dyDescent="0.2">
      <c r="C724" s="198"/>
      <c r="D724" s="198"/>
      <c r="E724" s="537"/>
      <c r="G724" s="198"/>
      <c r="H724" s="123"/>
    </row>
    <row r="725" spans="3:8" s="99" customFormat="1" x14ac:dyDescent="0.2">
      <c r="C725" s="198"/>
      <c r="D725" s="198"/>
      <c r="E725" s="537"/>
      <c r="G725" s="198"/>
      <c r="H725" s="123"/>
    </row>
    <row r="726" spans="3:8" s="99" customFormat="1" x14ac:dyDescent="0.2">
      <c r="C726" s="198"/>
      <c r="D726" s="198"/>
      <c r="E726" s="537"/>
      <c r="G726" s="198"/>
      <c r="H726" s="123"/>
    </row>
    <row r="727" spans="3:8" s="99" customFormat="1" x14ac:dyDescent="0.2">
      <c r="C727" s="198"/>
      <c r="D727" s="198"/>
      <c r="E727" s="537"/>
      <c r="G727" s="198"/>
      <c r="H727" s="123"/>
    </row>
    <row r="728" spans="3:8" s="99" customFormat="1" x14ac:dyDescent="0.2">
      <c r="C728" s="198"/>
      <c r="D728" s="198"/>
      <c r="E728" s="537"/>
      <c r="G728" s="198"/>
      <c r="H728" s="123"/>
    </row>
    <row r="729" spans="3:8" s="99" customFormat="1" x14ac:dyDescent="0.2">
      <c r="C729" s="198"/>
      <c r="D729" s="198"/>
      <c r="E729" s="537"/>
      <c r="G729" s="198"/>
      <c r="H729" s="123"/>
    </row>
    <row r="730" spans="3:8" s="99" customFormat="1" x14ac:dyDescent="0.2">
      <c r="C730" s="198"/>
      <c r="D730" s="198"/>
      <c r="E730" s="537"/>
      <c r="G730" s="198"/>
      <c r="H730" s="123"/>
    </row>
    <row r="731" spans="3:8" s="99" customFormat="1" x14ac:dyDescent="0.2">
      <c r="C731" s="198"/>
      <c r="D731" s="198"/>
      <c r="E731" s="537"/>
      <c r="G731" s="198"/>
      <c r="H731" s="123"/>
    </row>
    <row r="732" spans="3:8" s="99" customFormat="1" x14ac:dyDescent="0.2">
      <c r="C732" s="198"/>
      <c r="D732" s="198"/>
      <c r="E732" s="537"/>
      <c r="G732" s="198"/>
      <c r="H732" s="123"/>
    </row>
    <row r="733" spans="3:8" s="99" customFormat="1" x14ac:dyDescent="0.2">
      <c r="C733" s="198"/>
      <c r="D733" s="198"/>
      <c r="E733" s="537"/>
      <c r="G733" s="198"/>
      <c r="H733" s="123"/>
    </row>
    <row r="734" spans="3:8" s="99" customFormat="1" x14ac:dyDescent="0.2">
      <c r="C734" s="198"/>
      <c r="D734" s="198"/>
      <c r="E734" s="537"/>
      <c r="G734" s="198"/>
      <c r="H734" s="123"/>
    </row>
    <row r="735" spans="3:8" s="99" customFormat="1" x14ac:dyDescent="0.2">
      <c r="C735" s="198"/>
      <c r="D735" s="198"/>
      <c r="E735" s="537"/>
      <c r="G735" s="198"/>
      <c r="H735" s="123"/>
    </row>
    <row r="736" spans="3:8" s="99" customFormat="1" x14ac:dyDescent="0.2">
      <c r="C736" s="198"/>
      <c r="D736" s="198"/>
      <c r="E736" s="537"/>
      <c r="G736" s="198"/>
      <c r="H736" s="123"/>
    </row>
    <row r="737" spans="3:8" s="99" customFormat="1" x14ac:dyDescent="0.2">
      <c r="C737" s="198"/>
      <c r="D737" s="198"/>
      <c r="E737" s="537"/>
      <c r="G737" s="198"/>
      <c r="H737" s="123"/>
    </row>
    <row r="738" spans="3:8" s="99" customFormat="1" x14ac:dyDescent="0.2">
      <c r="C738" s="198"/>
      <c r="D738" s="198"/>
      <c r="E738" s="537"/>
      <c r="G738" s="198"/>
      <c r="H738" s="123"/>
    </row>
    <row r="739" spans="3:8" s="99" customFormat="1" x14ac:dyDescent="0.2">
      <c r="C739" s="198"/>
      <c r="D739" s="198"/>
      <c r="E739" s="537"/>
      <c r="G739" s="198"/>
      <c r="H739" s="123"/>
    </row>
    <row r="740" spans="3:8" s="99" customFormat="1" x14ac:dyDescent="0.2">
      <c r="C740" s="198"/>
      <c r="D740" s="198"/>
      <c r="E740" s="537"/>
      <c r="G740" s="198"/>
      <c r="H740" s="123"/>
    </row>
    <row r="741" spans="3:8" s="99" customFormat="1" x14ac:dyDescent="0.2">
      <c r="C741" s="198"/>
      <c r="D741" s="198"/>
      <c r="E741" s="537"/>
      <c r="G741" s="198"/>
      <c r="H741" s="123"/>
    </row>
    <row r="742" spans="3:8" s="99" customFormat="1" x14ac:dyDescent="0.2">
      <c r="C742" s="198"/>
      <c r="D742" s="198"/>
      <c r="E742" s="537"/>
      <c r="G742" s="198"/>
      <c r="H742" s="123"/>
    </row>
    <row r="743" spans="3:8" s="99" customFormat="1" x14ac:dyDescent="0.2">
      <c r="C743" s="198"/>
      <c r="D743" s="198"/>
      <c r="E743" s="537"/>
      <c r="G743" s="198"/>
      <c r="H743" s="123"/>
    </row>
    <row r="744" spans="3:8" s="99" customFormat="1" x14ac:dyDescent="0.2">
      <c r="C744" s="198"/>
      <c r="D744" s="198"/>
      <c r="E744" s="537"/>
      <c r="G744" s="198"/>
      <c r="H744" s="123"/>
    </row>
    <row r="745" spans="3:8" s="99" customFormat="1" x14ac:dyDescent="0.2">
      <c r="C745" s="198"/>
      <c r="D745" s="198"/>
      <c r="E745" s="537"/>
      <c r="G745" s="198"/>
      <c r="H745" s="123"/>
    </row>
    <row r="746" spans="3:8" s="99" customFormat="1" x14ac:dyDescent="0.2">
      <c r="C746" s="198"/>
      <c r="D746" s="198"/>
      <c r="E746" s="537"/>
      <c r="G746" s="198"/>
      <c r="H746" s="123"/>
    </row>
    <row r="747" spans="3:8" s="99" customFormat="1" x14ac:dyDescent="0.2">
      <c r="C747" s="198"/>
      <c r="D747" s="198"/>
      <c r="E747" s="537"/>
      <c r="G747" s="198"/>
      <c r="H747" s="123"/>
    </row>
    <row r="748" spans="3:8" s="99" customFormat="1" x14ac:dyDescent="0.2">
      <c r="C748" s="198"/>
      <c r="D748" s="198"/>
      <c r="E748" s="537"/>
      <c r="G748" s="198"/>
      <c r="H748" s="123"/>
    </row>
    <row r="749" spans="3:8" s="99" customFormat="1" x14ac:dyDescent="0.2">
      <c r="C749" s="198"/>
      <c r="D749" s="198"/>
      <c r="E749" s="537"/>
      <c r="G749" s="198"/>
      <c r="H749" s="123"/>
    </row>
    <row r="750" spans="3:8" s="99" customFormat="1" x14ac:dyDescent="0.2">
      <c r="C750" s="198"/>
      <c r="D750" s="198"/>
      <c r="E750" s="537"/>
      <c r="G750" s="198"/>
      <c r="H750" s="123"/>
    </row>
    <row r="751" spans="3:8" s="99" customFormat="1" x14ac:dyDescent="0.2">
      <c r="C751" s="198"/>
      <c r="D751" s="198"/>
      <c r="E751" s="537"/>
      <c r="G751" s="198"/>
      <c r="H751" s="123"/>
    </row>
    <row r="752" spans="3:8" s="99" customFormat="1" x14ac:dyDescent="0.2">
      <c r="C752" s="198"/>
      <c r="D752" s="198"/>
      <c r="E752" s="537"/>
      <c r="G752" s="198"/>
      <c r="H752" s="123"/>
    </row>
    <row r="753" spans="3:8" s="99" customFormat="1" x14ac:dyDescent="0.2">
      <c r="C753" s="198"/>
      <c r="D753" s="198"/>
      <c r="E753" s="537"/>
      <c r="G753" s="198"/>
      <c r="H753" s="123"/>
    </row>
    <row r="754" spans="3:8" s="99" customFormat="1" x14ac:dyDescent="0.2">
      <c r="C754" s="198"/>
      <c r="D754" s="198"/>
      <c r="E754" s="537"/>
      <c r="G754" s="198"/>
      <c r="H754" s="123"/>
    </row>
    <row r="755" spans="3:8" s="99" customFormat="1" x14ac:dyDescent="0.2">
      <c r="C755" s="198"/>
      <c r="D755" s="198"/>
      <c r="E755" s="537"/>
      <c r="G755" s="198"/>
      <c r="H755" s="123"/>
    </row>
    <row r="756" spans="3:8" s="99" customFormat="1" x14ac:dyDescent="0.2">
      <c r="C756" s="198"/>
      <c r="D756" s="198"/>
      <c r="E756" s="537"/>
      <c r="G756" s="198"/>
      <c r="H756" s="123"/>
    </row>
    <row r="757" spans="3:8" s="99" customFormat="1" x14ac:dyDescent="0.2">
      <c r="C757" s="198"/>
      <c r="D757" s="198"/>
      <c r="E757" s="537"/>
      <c r="G757" s="198"/>
      <c r="H757" s="123"/>
    </row>
    <row r="758" spans="3:8" s="99" customFormat="1" x14ac:dyDescent="0.2">
      <c r="C758" s="198"/>
      <c r="D758" s="198"/>
      <c r="E758" s="537"/>
      <c r="G758" s="198"/>
      <c r="H758" s="123"/>
    </row>
    <row r="759" spans="3:8" s="99" customFormat="1" x14ac:dyDescent="0.2">
      <c r="C759" s="198"/>
      <c r="D759" s="198"/>
      <c r="E759" s="537"/>
      <c r="G759" s="198"/>
      <c r="H759" s="123"/>
    </row>
    <row r="760" spans="3:8" s="99" customFormat="1" x14ac:dyDescent="0.2">
      <c r="C760" s="198"/>
      <c r="D760" s="198"/>
      <c r="E760" s="537"/>
      <c r="G760" s="198"/>
      <c r="H760" s="123"/>
    </row>
    <row r="761" spans="3:8" s="99" customFormat="1" x14ac:dyDescent="0.2">
      <c r="C761" s="198"/>
      <c r="D761" s="198"/>
      <c r="E761" s="537"/>
      <c r="G761" s="198"/>
      <c r="H761" s="123"/>
    </row>
    <row r="762" spans="3:8" s="99" customFormat="1" x14ac:dyDescent="0.2">
      <c r="C762" s="198"/>
      <c r="D762" s="198"/>
      <c r="E762" s="537"/>
      <c r="G762" s="198"/>
      <c r="H762" s="123"/>
    </row>
    <row r="763" spans="3:8" s="99" customFormat="1" x14ac:dyDescent="0.2">
      <c r="C763" s="198"/>
      <c r="D763" s="198"/>
      <c r="E763" s="537"/>
      <c r="G763" s="198"/>
      <c r="H763" s="123"/>
    </row>
    <row r="764" spans="3:8" s="99" customFormat="1" x14ac:dyDescent="0.2">
      <c r="C764" s="198"/>
      <c r="D764" s="198"/>
      <c r="E764" s="537"/>
      <c r="G764" s="198"/>
      <c r="H764" s="123"/>
    </row>
    <row r="765" spans="3:8" s="99" customFormat="1" x14ac:dyDescent="0.2">
      <c r="C765" s="198"/>
      <c r="D765" s="198"/>
      <c r="E765" s="537"/>
      <c r="G765" s="198"/>
      <c r="H765" s="123"/>
    </row>
    <row r="766" spans="3:8" s="99" customFormat="1" x14ac:dyDescent="0.2">
      <c r="C766" s="198"/>
      <c r="D766" s="198"/>
      <c r="E766" s="537"/>
      <c r="G766" s="198"/>
      <c r="H766" s="123"/>
    </row>
    <row r="767" spans="3:8" s="99" customFormat="1" x14ac:dyDescent="0.2">
      <c r="C767" s="198"/>
      <c r="D767" s="198"/>
      <c r="E767" s="537"/>
      <c r="G767" s="198"/>
      <c r="H767" s="123"/>
    </row>
    <row r="768" spans="3:8" s="99" customFormat="1" x14ac:dyDescent="0.2">
      <c r="C768" s="198"/>
      <c r="D768" s="198"/>
      <c r="E768" s="537"/>
      <c r="G768" s="198"/>
      <c r="H768" s="123"/>
    </row>
    <row r="769" spans="3:8" s="99" customFormat="1" x14ac:dyDescent="0.2">
      <c r="C769" s="198"/>
      <c r="D769" s="198"/>
      <c r="E769" s="537"/>
      <c r="G769" s="198"/>
      <c r="H769" s="123"/>
    </row>
    <row r="770" spans="3:8" s="99" customFormat="1" x14ac:dyDescent="0.2">
      <c r="C770" s="198"/>
      <c r="D770" s="198"/>
      <c r="E770" s="537"/>
      <c r="G770" s="198"/>
      <c r="H770" s="123"/>
    </row>
    <row r="771" spans="3:8" s="99" customFormat="1" x14ac:dyDescent="0.2">
      <c r="C771" s="198"/>
      <c r="D771" s="198"/>
      <c r="E771" s="537"/>
      <c r="G771" s="198"/>
      <c r="H771" s="123"/>
    </row>
    <row r="772" spans="3:8" s="99" customFormat="1" x14ac:dyDescent="0.2">
      <c r="C772" s="198"/>
      <c r="D772" s="198"/>
      <c r="E772" s="537"/>
      <c r="G772" s="198"/>
      <c r="H772" s="123"/>
    </row>
    <row r="773" spans="3:8" s="99" customFormat="1" x14ac:dyDescent="0.2">
      <c r="C773" s="198"/>
      <c r="D773" s="198"/>
      <c r="E773" s="537"/>
      <c r="G773" s="198"/>
      <c r="H773" s="123"/>
    </row>
    <row r="774" spans="3:8" s="99" customFormat="1" x14ac:dyDescent="0.2">
      <c r="C774" s="198"/>
      <c r="D774" s="198"/>
      <c r="E774" s="537"/>
      <c r="G774" s="198"/>
      <c r="H774" s="123"/>
    </row>
    <row r="775" spans="3:8" s="99" customFormat="1" x14ac:dyDescent="0.2">
      <c r="C775" s="198"/>
      <c r="D775" s="198"/>
      <c r="E775" s="537"/>
      <c r="G775" s="198"/>
      <c r="H775" s="123"/>
    </row>
    <row r="776" spans="3:8" s="99" customFormat="1" x14ac:dyDescent="0.2">
      <c r="C776" s="198"/>
      <c r="D776" s="198"/>
      <c r="E776" s="537"/>
      <c r="G776" s="198"/>
      <c r="H776" s="123"/>
    </row>
    <row r="777" spans="3:8" s="99" customFormat="1" x14ac:dyDescent="0.2">
      <c r="C777" s="198"/>
      <c r="D777" s="198"/>
      <c r="E777" s="537"/>
      <c r="G777" s="198"/>
      <c r="H777" s="123"/>
    </row>
    <row r="778" spans="3:8" s="99" customFormat="1" x14ac:dyDescent="0.2">
      <c r="C778" s="198"/>
      <c r="D778" s="198"/>
      <c r="E778" s="537"/>
      <c r="G778" s="198"/>
      <c r="H778" s="123"/>
    </row>
    <row r="779" spans="3:8" s="99" customFormat="1" x14ac:dyDescent="0.2">
      <c r="C779" s="198"/>
      <c r="D779" s="198"/>
      <c r="E779" s="537"/>
      <c r="G779" s="198"/>
      <c r="H779" s="123"/>
    </row>
    <row r="780" spans="3:8" s="99" customFormat="1" x14ac:dyDescent="0.2">
      <c r="C780" s="198"/>
      <c r="D780" s="198"/>
      <c r="E780" s="537"/>
      <c r="G780" s="198"/>
      <c r="H780" s="123"/>
    </row>
    <row r="781" spans="3:8" s="99" customFormat="1" x14ac:dyDescent="0.2">
      <c r="C781" s="198"/>
      <c r="D781" s="198"/>
      <c r="E781" s="537"/>
      <c r="G781" s="198"/>
      <c r="H781" s="123"/>
    </row>
    <row r="782" spans="3:8" s="99" customFormat="1" x14ac:dyDescent="0.2">
      <c r="C782" s="198"/>
      <c r="D782" s="198"/>
      <c r="E782" s="537"/>
      <c r="G782" s="198"/>
      <c r="H782" s="123"/>
    </row>
    <row r="783" spans="3:8" s="99" customFormat="1" x14ac:dyDescent="0.2">
      <c r="C783" s="198"/>
      <c r="D783" s="198"/>
      <c r="E783" s="537"/>
      <c r="G783" s="198"/>
      <c r="H783" s="123"/>
    </row>
    <row r="784" spans="3:8" s="99" customFormat="1" x14ac:dyDescent="0.2">
      <c r="C784" s="198"/>
      <c r="D784" s="198"/>
      <c r="E784" s="537"/>
      <c r="G784" s="198"/>
      <c r="H784" s="123"/>
    </row>
    <row r="785" spans="3:8" s="99" customFormat="1" x14ac:dyDescent="0.2">
      <c r="C785" s="198"/>
      <c r="D785" s="198"/>
      <c r="E785" s="537"/>
      <c r="G785" s="198"/>
      <c r="H785" s="123"/>
    </row>
    <row r="786" spans="3:8" s="99" customFormat="1" x14ac:dyDescent="0.2">
      <c r="C786" s="198"/>
      <c r="D786" s="198"/>
      <c r="E786" s="537"/>
      <c r="G786" s="198"/>
      <c r="H786" s="123"/>
    </row>
    <row r="787" spans="3:8" s="99" customFormat="1" x14ac:dyDescent="0.2">
      <c r="C787" s="198"/>
      <c r="D787" s="198"/>
      <c r="E787" s="537"/>
      <c r="G787" s="198"/>
      <c r="H787" s="123"/>
    </row>
    <row r="788" spans="3:8" s="99" customFormat="1" x14ac:dyDescent="0.2">
      <c r="C788" s="198"/>
      <c r="D788" s="198"/>
      <c r="E788" s="537"/>
      <c r="G788" s="198"/>
      <c r="H788" s="123"/>
    </row>
    <row r="789" spans="3:8" s="99" customFormat="1" x14ac:dyDescent="0.2">
      <c r="C789" s="198"/>
      <c r="D789" s="198"/>
      <c r="E789" s="537"/>
      <c r="G789" s="198"/>
      <c r="H789" s="123"/>
    </row>
    <row r="790" spans="3:8" s="99" customFormat="1" x14ac:dyDescent="0.2">
      <c r="C790" s="198"/>
      <c r="D790" s="198"/>
      <c r="E790" s="537"/>
      <c r="G790" s="198"/>
      <c r="H790" s="123"/>
    </row>
    <row r="791" spans="3:8" s="99" customFormat="1" x14ac:dyDescent="0.2">
      <c r="C791" s="198"/>
      <c r="D791" s="198"/>
      <c r="E791" s="537"/>
      <c r="G791" s="198"/>
      <c r="H791" s="123"/>
    </row>
    <row r="792" spans="3:8" s="99" customFormat="1" x14ac:dyDescent="0.2">
      <c r="C792" s="198"/>
      <c r="D792" s="198"/>
      <c r="E792" s="537"/>
      <c r="G792" s="198"/>
      <c r="H792" s="123"/>
    </row>
    <row r="793" spans="3:8" s="99" customFormat="1" x14ac:dyDescent="0.2">
      <c r="C793" s="198"/>
      <c r="D793" s="198"/>
      <c r="E793" s="537"/>
      <c r="G793" s="198"/>
      <c r="H793" s="123"/>
    </row>
    <row r="794" spans="3:8" s="99" customFormat="1" x14ac:dyDescent="0.2">
      <c r="C794" s="198"/>
      <c r="D794" s="198"/>
      <c r="E794" s="537"/>
      <c r="G794" s="198"/>
      <c r="H794" s="123"/>
    </row>
    <row r="795" spans="3:8" s="99" customFormat="1" x14ac:dyDescent="0.2">
      <c r="C795" s="198"/>
      <c r="D795" s="198"/>
      <c r="E795" s="537"/>
      <c r="G795" s="198"/>
      <c r="H795" s="123"/>
    </row>
    <row r="796" spans="3:8" s="99" customFormat="1" x14ac:dyDescent="0.2">
      <c r="C796" s="198"/>
      <c r="D796" s="198"/>
      <c r="E796" s="537"/>
      <c r="G796" s="198"/>
      <c r="H796" s="123"/>
    </row>
    <row r="797" spans="3:8" s="99" customFormat="1" x14ac:dyDescent="0.2">
      <c r="C797" s="198"/>
      <c r="D797" s="198"/>
      <c r="E797" s="537"/>
      <c r="G797" s="198"/>
      <c r="H797" s="123"/>
    </row>
    <row r="798" spans="3:8" s="99" customFormat="1" x14ac:dyDescent="0.2">
      <c r="C798" s="198"/>
      <c r="D798" s="198"/>
      <c r="E798" s="537"/>
      <c r="G798" s="198"/>
      <c r="H798" s="123"/>
    </row>
    <row r="799" spans="3:8" s="99" customFormat="1" x14ac:dyDescent="0.2">
      <c r="C799" s="198"/>
      <c r="D799" s="198"/>
      <c r="E799" s="537"/>
      <c r="G799" s="198"/>
      <c r="H799" s="123"/>
    </row>
    <row r="800" spans="3:8" s="99" customFormat="1" x14ac:dyDescent="0.2">
      <c r="C800" s="198"/>
      <c r="D800" s="198"/>
      <c r="E800" s="537"/>
      <c r="G800" s="198"/>
      <c r="H800" s="123"/>
    </row>
    <row r="801" spans="3:8" s="99" customFormat="1" x14ac:dyDescent="0.2">
      <c r="C801" s="198"/>
      <c r="D801" s="198"/>
      <c r="E801" s="537"/>
      <c r="G801" s="198"/>
      <c r="H801" s="123"/>
    </row>
    <row r="802" spans="3:8" s="99" customFormat="1" x14ac:dyDescent="0.2">
      <c r="C802" s="198"/>
      <c r="D802" s="198"/>
      <c r="E802" s="537"/>
      <c r="G802" s="198"/>
      <c r="H802" s="123"/>
    </row>
    <row r="803" spans="3:8" s="99" customFormat="1" x14ac:dyDescent="0.2">
      <c r="C803" s="198"/>
      <c r="D803" s="198"/>
      <c r="E803" s="537"/>
      <c r="G803" s="198"/>
      <c r="H803" s="123"/>
    </row>
    <row r="804" spans="3:8" s="99" customFormat="1" x14ac:dyDescent="0.2">
      <c r="C804" s="198"/>
      <c r="D804" s="198"/>
      <c r="E804" s="537"/>
      <c r="G804" s="198"/>
      <c r="H804" s="123"/>
    </row>
    <row r="805" spans="3:8" s="99" customFormat="1" x14ac:dyDescent="0.2">
      <c r="C805" s="198"/>
      <c r="D805" s="198"/>
      <c r="E805" s="537"/>
      <c r="G805" s="198"/>
      <c r="H805" s="123"/>
    </row>
    <row r="806" spans="3:8" s="99" customFormat="1" x14ac:dyDescent="0.2">
      <c r="C806" s="198"/>
      <c r="D806" s="198"/>
      <c r="E806" s="537"/>
      <c r="G806" s="198"/>
      <c r="H806" s="123"/>
    </row>
    <row r="807" spans="3:8" s="99" customFormat="1" x14ac:dyDescent="0.2">
      <c r="C807" s="198"/>
      <c r="D807" s="198"/>
      <c r="E807" s="537"/>
      <c r="G807" s="198"/>
      <c r="H807" s="123"/>
    </row>
    <row r="808" spans="3:8" s="99" customFormat="1" x14ac:dyDescent="0.2">
      <c r="C808" s="198"/>
      <c r="D808" s="198"/>
      <c r="E808" s="537"/>
      <c r="G808" s="198"/>
      <c r="H808" s="123"/>
    </row>
    <row r="809" spans="3:8" s="99" customFormat="1" x14ac:dyDescent="0.2">
      <c r="C809" s="198"/>
      <c r="D809" s="198"/>
      <c r="E809" s="537"/>
      <c r="G809" s="198"/>
      <c r="H809" s="123"/>
    </row>
    <row r="810" spans="3:8" s="99" customFormat="1" x14ac:dyDescent="0.2">
      <c r="C810" s="198"/>
      <c r="D810" s="198"/>
      <c r="E810" s="537"/>
      <c r="G810" s="198"/>
      <c r="H810" s="123"/>
    </row>
    <row r="811" spans="3:8" s="99" customFormat="1" x14ac:dyDescent="0.2">
      <c r="C811" s="198"/>
      <c r="D811" s="198"/>
      <c r="E811" s="537"/>
      <c r="G811" s="198"/>
      <c r="H811" s="123"/>
    </row>
    <row r="812" spans="3:8" s="99" customFormat="1" x14ac:dyDescent="0.2">
      <c r="C812" s="198"/>
      <c r="D812" s="198"/>
      <c r="E812" s="537"/>
      <c r="G812" s="198"/>
      <c r="H812" s="123"/>
    </row>
    <row r="813" spans="3:8" s="99" customFormat="1" x14ac:dyDescent="0.2">
      <c r="C813" s="198"/>
      <c r="D813" s="198"/>
      <c r="E813" s="537"/>
      <c r="G813" s="198"/>
      <c r="H813" s="123"/>
    </row>
    <row r="814" spans="3:8" s="99" customFormat="1" x14ac:dyDescent="0.2">
      <c r="C814" s="198"/>
      <c r="D814" s="198"/>
      <c r="E814" s="537"/>
      <c r="G814" s="198"/>
      <c r="H814" s="123"/>
    </row>
    <row r="815" spans="3:8" s="99" customFormat="1" x14ac:dyDescent="0.2">
      <c r="C815" s="198"/>
      <c r="D815" s="198"/>
      <c r="E815" s="537"/>
      <c r="G815" s="198"/>
      <c r="H815" s="123"/>
    </row>
    <row r="816" spans="3:8" s="99" customFormat="1" x14ac:dyDescent="0.2">
      <c r="C816" s="198"/>
      <c r="D816" s="198"/>
      <c r="E816" s="537"/>
      <c r="G816" s="198"/>
      <c r="H816" s="123"/>
    </row>
    <row r="817" spans="3:8" s="99" customFormat="1" x14ac:dyDescent="0.2">
      <c r="C817" s="198"/>
      <c r="D817" s="198"/>
      <c r="E817" s="537"/>
      <c r="G817" s="198"/>
      <c r="H817" s="123"/>
    </row>
    <row r="818" spans="3:8" s="99" customFormat="1" x14ac:dyDescent="0.2">
      <c r="C818" s="198"/>
      <c r="D818" s="198"/>
      <c r="E818" s="537"/>
      <c r="G818" s="198"/>
      <c r="H818" s="123"/>
    </row>
    <row r="819" spans="3:8" s="99" customFormat="1" x14ac:dyDescent="0.2">
      <c r="C819" s="198"/>
      <c r="D819" s="198"/>
      <c r="E819" s="537"/>
      <c r="G819" s="198"/>
      <c r="H819" s="123"/>
    </row>
    <row r="820" spans="3:8" s="99" customFormat="1" x14ac:dyDescent="0.2">
      <c r="C820" s="198"/>
      <c r="D820" s="198"/>
      <c r="E820" s="537"/>
      <c r="G820" s="198"/>
      <c r="H820" s="123"/>
    </row>
    <row r="821" spans="3:8" s="99" customFormat="1" x14ac:dyDescent="0.2">
      <c r="C821" s="198"/>
      <c r="D821" s="198"/>
      <c r="E821" s="537"/>
      <c r="G821" s="198"/>
      <c r="H821" s="123"/>
    </row>
    <row r="822" spans="3:8" s="99" customFormat="1" x14ac:dyDescent="0.2">
      <c r="C822" s="198"/>
      <c r="D822" s="198"/>
      <c r="E822" s="537"/>
      <c r="G822" s="198"/>
      <c r="H822" s="123"/>
    </row>
    <row r="823" spans="3:8" s="99" customFormat="1" x14ac:dyDescent="0.2">
      <c r="C823" s="198"/>
      <c r="D823" s="198"/>
      <c r="E823" s="537"/>
      <c r="G823" s="198"/>
      <c r="H823" s="123"/>
    </row>
    <row r="824" spans="3:8" s="99" customFormat="1" x14ac:dyDescent="0.2">
      <c r="C824" s="198"/>
      <c r="D824" s="198"/>
      <c r="E824" s="537"/>
      <c r="G824" s="198"/>
      <c r="H824" s="123"/>
    </row>
    <row r="825" spans="3:8" s="99" customFormat="1" x14ac:dyDescent="0.2">
      <c r="C825" s="198"/>
      <c r="D825" s="198"/>
      <c r="E825" s="537"/>
      <c r="G825" s="198"/>
      <c r="H825" s="123"/>
    </row>
    <row r="826" spans="3:8" s="99" customFormat="1" x14ac:dyDescent="0.2">
      <c r="C826" s="198"/>
      <c r="D826" s="198"/>
      <c r="E826" s="537"/>
      <c r="G826" s="198"/>
      <c r="H826" s="123"/>
    </row>
    <row r="827" spans="3:8" s="99" customFormat="1" x14ac:dyDescent="0.2">
      <c r="C827" s="198"/>
      <c r="D827" s="198"/>
      <c r="E827" s="537"/>
      <c r="G827" s="198"/>
      <c r="H827" s="123"/>
    </row>
    <row r="828" spans="3:8" s="99" customFormat="1" x14ac:dyDescent="0.2">
      <c r="C828" s="198"/>
      <c r="D828" s="198"/>
      <c r="E828" s="537"/>
      <c r="G828" s="198"/>
      <c r="H828" s="123"/>
    </row>
    <row r="829" spans="3:8" s="99" customFormat="1" x14ac:dyDescent="0.2">
      <c r="C829" s="198"/>
      <c r="D829" s="198"/>
      <c r="E829" s="537"/>
      <c r="G829" s="198"/>
      <c r="H829" s="123"/>
    </row>
    <row r="830" spans="3:8" s="99" customFormat="1" x14ac:dyDescent="0.2">
      <c r="C830" s="198"/>
      <c r="D830" s="198"/>
      <c r="E830" s="537"/>
      <c r="G830" s="198"/>
      <c r="H830" s="123"/>
    </row>
    <row r="831" spans="3:8" s="99" customFormat="1" x14ac:dyDescent="0.2">
      <c r="C831" s="198"/>
      <c r="D831" s="198"/>
      <c r="E831" s="537"/>
      <c r="G831" s="198"/>
      <c r="H831" s="123"/>
    </row>
    <row r="832" spans="3:8" s="99" customFormat="1" x14ac:dyDescent="0.2">
      <c r="C832" s="198"/>
      <c r="D832" s="198"/>
      <c r="E832" s="537"/>
      <c r="G832" s="198"/>
      <c r="H832" s="123"/>
    </row>
    <row r="833" spans="3:8" s="99" customFormat="1" x14ac:dyDescent="0.2">
      <c r="C833" s="198"/>
      <c r="D833" s="198"/>
      <c r="E833" s="537"/>
      <c r="G833" s="198"/>
      <c r="H833" s="123"/>
    </row>
    <row r="834" spans="3:8" s="99" customFormat="1" x14ac:dyDescent="0.2">
      <c r="C834" s="198"/>
      <c r="D834" s="198"/>
      <c r="E834" s="537"/>
      <c r="G834" s="198"/>
      <c r="H834" s="123"/>
    </row>
    <row r="835" spans="3:8" s="99" customFormat="1" x14ac:dyDescent="0.2">
      <c r="C835" s="198"/>
      <c r="D835" s="198"/>
      <c r="E835" s="537"/>
      <c r="G835" s="198"/>
      <c r="H835" s="123"/>
    </row>
    <row r="836" spans="3:8" s="99" customFormat="1" x14ac:dyDescent="0.2">
      <c r="C836" s="198"/>
      <c r="D836" s="198"/>
      <c r="E836" s="537"/>
      <c r="G836" s="198"/>
      <c r="H836" s="123"/>
    </row>
    <row r="837" spans="3:8" s="99" customFormat="1" x14ac:dyDescent="0.2">
      <c r="C837" s="198"/>
      <c r="D837" s="198"/>
      <c r="E837" s="537"/>
      <c r="G837" s="198"/>
      <c r="H837" s="123"/>
    </row>
    <row r="838" spans="3:8" s="99" customFormat="1" x14ac:dyDescent="0.2">
      <c r="C838" s="198"/>
      <c r="D838" s="198"/>
      <c r="E838" s="537"/>
      <c r="G838" s="198"/>
      <c r="H838" s="123"/>
    </row>
    <row r="839" spans="3:8" s="99" customFormat="1" x14ac:dyDescent="0.2">
      <c r="C839" s="198"/>
      <c r="D839" s="198"/>
      <c r="E839" s="537"/>
      <c r="G839" s="198"/>
      <c r="H839" s="123"/>
    </row>
    <row r="840" spans="3:8" s="99" customFormat="1" x14ac:dyDescent="0.2">
      <c r="C840" s="198"/>
      <c r="D840" s="198"/>
      <c r="E840" s="537"/>
      <c r="G840" s="198"/>
      <c r="H840" s="123"/>
    </row>
    <row r="841" spans="3:8" s="99" customFormat="1" x14ac:dyDescent="0.2">
      <c r="C841" s="198"/>
      <c r="D841" s="198"/>
      <c r="E841" s="537"/>
      <c r="G841" s="198"/>
      <c r="H841" s="123"/>
    </row>
    <row r="842" spans="3:8" s="99" customFormat="1" x14ac:dyDescent="0.2">
      <c r="C842" s="198"/>
      <c r="D842" s="198"/>
      <c r="E842" s="537"/>
      <c r="G842" s="198"/>
      <c r="H842" s="123"/>
    </row>
    <row r="843" spans="3:8" s="99" customFormat="1" x14ac:dyDescent="0.2">
      <c r="C843" s="198"/>
      <c r="D843" s="198"/>
      <c r="E843" s="537"/>
      <c r="G843" s="198"/>
      <c r="H843" s="123"/>
    </row>
    <row r="844" spans="3:8" s="99" customFormat="1" x14ac:dyDescent="0.2">
      <c r="C844" s="198"/>
      <c r="D844" s="198"/>
      <c r="E844" s="537"/>
      <c r="G844" s="198"/>
      <c r="H844" s="123"/>
    </row>
    <row r="845" spans="3:8" s="99" customFormat="1" x14ac:dyDescent="0.2">
      <c r="C845" s="198"/>
      <c r="D845" s="198"/>
      <c r="E845" s="537"/>
      <c r="G845" s="198"/>
      <c r="H845" s="123"/>
    </row>
    <row r="846" spans="3:8" s="99" customFormat="1" x14ac:dyDescent="0.2">
      <c r="C846" s="198"/>
      <c r="D846" s="198"/>
      <c r="E846" s="537"/>
      <c r="G846" s="198"/>
      <c r="H846" s="123"/>
    </row>
    <row r="847" spans="3:8" s="99" customFormat="1" x14ac:dyDescent="0.2">
      <c r="C847" s="198"/>
      <c r="D847" s="198"/>
      <c r="E847" s="537"/>
      <c r="G847" s="198"/>
      <c r="H847" s="123"/>
    </row>
    <row r="848" spans="3:8" s="99" customFormat="1" x14ac:dyDescent="0.2">
      <c r="C848" s="198"/>
      <c r="D848" s="198"/>
      <c r="E848" s="537"/>
      <c r="G848" s="198"/>
      <c r="H848" s="123"/>
    </row>
    <row r="849" spans="3:8" s="99" customFormat="1" x14ac:dyDescent="0.2">
      <c r="C849" s="198"/>
      <c r="D849" s="198"/>
      <c r="E849" s="537"/>
      <c r="G849" s="198"/>
      <c r="H849" s="123"/>
    </row>
    <row r="850" spans="3:8" s="99" customFormat="1" x14ac:dyDescent="0.2">
      <c r="C850" s="198"/>
      <c r="D850" s="198"/>
      <c r="E850" s="537"/>
      <c r="G850" s="198"/>
      <c r="H850" s="123"/>
    </row>
    <row r="851" spans="3:8" s="99" customFormat="1" x14ac:dyDescent="0.2">
      <c r="C851" s="198"/>
      <c r="D851" s="198"/>
      <c r="E851" s="537"/>
      <c r="G851" s="198"/>
      <c r="H851" s="123"/>
    </row>
    <row r="852" spans="3:8" s="99" customFormat="1" x14ac:dyDescent="0.2">
      <c r="C852" s="198"/>
      <c r="D852" s="198"/>
      <c r="E852" s="537"/>
      <c r="G852" s="198"/>
      <c r="H852" s="123"/>
    </row>
    <row r="853" spans="3:8" s="99" customFormat="1" x14ac:dyDescent="0.2">
      <c r="C853" s="198"/>
      <c r="D853" s="198"/>
      <c r="E853" s="537"/>
      <c r="G853" s="198"/>
      <c r="H853" s="123"/>
    </row>
    <row r="854" spans="3:8" s="99" customFormat="1" x14ac:dyDescent="0.2">
      <c r="C854" s="198"/>
      <c r="D854" s="198"/>
      <c r="E854" s="537"/>
      <c r="G854" s="198"/>
      <c r="H854" s="123"/>
    </row>
    <row r="855" spans="3:8" s="99" customFormat="1" x14ac:dyDescent="0.2">
      <c r="C855" s="198"/>
      <c r="D855" s="198"/>
      <c r="E855" s="537"/>
      <c r="G855" s="198"/>
      <c r="H855" s="123"/>
    </row>
    <row r="856" spans="3:8" s="99" customFormat="1" x14ac:dyDescent="0.2">
      <c r="C856" s="198"/>
      <c r="D856" s="198"/>
      <c r="E856" s="537"/>
      <c r="G856" s="198"/>
      <c r="H856" s="123"/>
    </row>
    <row r="857" spans="3:8" s="99" customFormat="1" x14ac:dyDescent="0.2">
      <c r="C857" s="198"/>
      <c r="D857" s="198"/>
      <c r="E857" s="537"/>
      <c r="G857" s="198"/>
      <c r="H857" s="123"/>
    </row>
    <row r="858" spans="3:8" s="99" customFormat="1" x14ac:dyDescent="0.2">
      <c r="C858" s="198"/>
      <c r="D858" s="198"/>
      <c r="E858" s="537"/>
      <c r="G858" s="198"/>
      <c r="H858" s="123"/>
    </row>
    <row r="859" spans="3:8" s="99" customFormat="1" x14ac:dyDescent="0.2">
      <c r="C859" s="198"/>
      <c r="D859" s="198"/>
      <c r="E859" s="537"/>
      <c r="G859" s="198"/>
      <c r="H859" s="123"/>
    </row>
    <row r="860" spans="3:8" s="99" customFormat="1" x14ac:dyDescent="0.2">
      <c r="C860" s="198"/>
      <c r="D860" s="198"/>
      <c r="E860" s="537"/>
      <c r="G860" s="198"/>
      <c r="H860" s="123"/>
    </row>
    <row r="861" spans="3:8" s="99" customFormat="1" x14ac:dyDescent="0.2">
      <c r="C861" s="198"/>
      <c r="D861" s="198"/>
      <c r="E861" s="537"/>
      <c r="G861" s="198"/>
      <c r="H861" s="123"/>
    </row>
    <row r="862" spans="3:8" s="99" customFormat="1" x14ac:dyDescent="0.2">
      <c r="C862" s="198"/>
      <c r="D862" s="198"/>
      <c r="E862" s="537"/>
      <c r="G862" s="198"/>
      <c r="H862" s="123"/>
    </row>
    <row r="863" spans="3:8" s="99" customFormat="1" x14ac:dyDescent="0.2">
      <c r="C863" s="198"/>
      <c r="D863" s="198"/>
      <c r="E863" s="537"/>
      <c r="G863" s="198"/>
      <c r="H863" s="123"/>
    </row>
    <row r="864" spans="3:8" s="99" customFormat="1" x14ac:dyDescent="0.2">
      <c r="C864" s="198"/>
      <c r="D864" s="198"/>
      <c r="E864" s="537"/>
      <c r="G864" s="198"/>
      <c r="H864" s="123"/>
    </row>
    <row r="865" spans="3:8" s="99" customFormat="1" x14ac:dyDescent="0.2">
      <c r="C865" s="198"/>
      <c r="D865" s="198"/>
      <c r="E865" s="537"/>
      <c r="G865" s="198"/>
      <c r="H865" s="123"/>
    </row>
    <row r="866" spans="3:8" s="99" customFormat="1" x14ac:dyDescent="0.2">
      <c r="C866" s="198"/>
      <c r="D866" s="198"/>
      <c r="E866" s="537"/>
      <c r="G866" s="198"/>
      <c r="H866" s="123"/>
    </row>
    <row r="867" spans="3:8" s="99" customFormat="1" x14ac:dyDescent="0.2">
      <c r="C867" s="198"/>
      <c r="D867" s="198"/>
      <c r="E867" s="537"/>
      <c r="G867" s="198"/>
      <c r="H867" s="123"/>
    </row>
    <row r="868" spans="3:8" s="99" customFormat="1" x14ac:dyDescent="0.2">
      <c r="C868" s="198"/>
      <c r="D868" s="198"/>
      <c r="E868" s="537"/>
      <c r="G868" s="198"/>
      <c r="H868" s="123"/>
    </row>
    <row r="869" spans="3:8" s="99" customFormat="1" x14ac:dyDescent="0.2">
      <c r="C869" s="198"/>
      <c r="D869" s="198"/>
      <c r="E869" s="537"/>
      <c r="G869" s="198"/>
      <c r="H869" s="123"/>
    </row>
    <row r="870" spans="3:8" s="99" customFormat="1" x14ac:dyDescent="0.2">
      <c r="C870" s="198"/>
      <c r="D870" s="198"/>
      <c r="E870" s="537"/>
      <c r="G870" s="198"/>
      <c r="H870" s="123"/>
    </row>
    <row r="871" spans="3:8" s="99" customFormat="1" x14ac:dyDescent="0.2">
      <c r="C871" s="198"/>
      <c r="D871" s="198"/>
      <c r="E871" s="537"/>
      <c r="G871" s="198"/>
      <c r="H871" s="123"/>
    </row>
    <row r="872" spans="3:8" s="99" customFormat="1" x14ac:dyDescent="0.2">
      <c r="C872" s="198"/>
      <c r="D872" s="198"/>
      <c r="E872" s="537"/>
      <c r="G872" s="198"/>
      <c r="H872" s="123"/>
    </row>
    <row r="873" spans="3:8" s="99" customFormat="1" x14ac:dyDescent="0.2">
      <c r="C873" s="198"/>
      <c r="D873" s="198"/>
      <c r="E873" s="537"/>
      <c r="G873" s="198"/>
      <c r="H873" s="123"/>
    </row>
    <row r="874" spans="3:8" s="99" customFormat="1" x14ac:dyDescent="0.2">
      <c r="C874" s="198"/>
      <c r="D874" s="198"/>
      <c r="E874" s="537"/>
      <c r="G874" s="198"/>
      <c r="H874" s="123"/>
    </row>
    <row r="875" spans="3:8" s="99" customFormat="1" x14ac:dyDescent="0.2">
      <c r="C875" s="198"/>
      <c r="D875" s="198"/>
      <c r="E875" s="537"/>
      <c r="G875" s="198"/>
      <c r="H875" s="123"/>
    </row>
    <row r="876" spans="3:8" s="99" customFormat="1" x14ac:dyDescent="0.2">
      <c r="C876" s="198"/>
      <c r="D876" s="198"/>
      <c r="E876" s="537"/>
      <c r="G876" s="198"/>
      <c r="H876" s="123"/>
    </row>
    <row r="877" spans="3:8" s="99" customFormat="1" x14ac:dyDescent="0.2">
      <c r="C877" s="198"/>
      <c r="D877" s="198"/>
      <c r="E877" s="537"/>
      <c r="G877" s="198"/>
      <c r="H877" s="123"/>
    </row>
    <row r="878" spans="3:8" s="99" customFormat="1" x14ac:dyDescent="0.2">
      <c r="C878" s="198"/>
      <c r="D878" s="198"/>
      <c r="E878" s="537"/>
      <c r="G878" s="198"/>
      <c r="H878" s="123"/>
    </row>
    <row r="879" spans="3:8" s="99" customFormat="1" x14ac:dyDescent="0.2">
      <c r="C879" s="198"/>
      <c r="D879" s="198"/>
      <c r="E879" s="537"/>
      <c r="G879" s="198"/>
      <c r="H879" s="123"/>
    </row>
    <row r="880" spans="3:8" s="99" customFormat="1" x14ac:dyDescent="0.2">
      <c r="C880" s="198"/>
      <c r="D880" s="198"/>
      <c r="E880" s="537"/>
      <c r="G880" s="198"/>
      <c r="H880" s="123"/>
    </row>
    <row r="881" spans="3:8" s="99" customFormat="1" x14ac:dyDescent="0.2">
      <c r="C881" s="198"/>
      <c r="D881" s="198"/>
      <c r="E881" s="537"/>
      <c r="G881" s="198"/>
      <c r="H881" s="123"/>
    </row>
    <row r="882" spans="3:8" s="99" customFormat="1" x14ac:dyDescent="0.2">
      <c r="C882" s="198"/>
      <c r="D882" s="198"/>
      <c r="E882" s="537"/>
      <c r="G882" s="198"/>
      <c r="H882" s="123"/>
    </row>
    <row r="883" spans="3:8" s="99" customFormat="1" x14ac:dyDescent="0.2">
      <c r="C883" s="198"/>
      <c r="D883" s="198"/>
      <c r="E883" s="537"/>
      <c r="G883" s="198"/>
      <c r="H883" s="123"/>
    </row>
    <row r="884" spans="3:8" s="99" customFormat="1" x14ac:dyDescent="0.2">
      <c r="C884" s="198"/>
      <c r="D884" s="198"/>
      <c r="E884" s="537"/>
      <c r="G884" s="198"/>
      <c r="H884" s="123"/>
    </row>
    <row r="885" spans="3:8" s="99" customFormat="1" x14ac:dyDescent="0.2">
      <c r="C885" s="198"/>
      <c r="D885" s="198"/>
      <c r="E885" s="537"/>
      <c r="G885" s="198"/>
      <c r="H885" s="123"/>
    </row>
    <row r="886" spans="3:8" s="99" customFormat="1" x14ac:dyDescent="0.2">
      <c r="C886" s="198"/>
      <c r="D886" s="198"/>
      <c r="E886" s="537"/>
      <c r="G886" s="198"/>
      <c r="H886" s="123"/>
    </row>
    <row r="887" spans="3:8" s="99" customFormat="1" x14ac:dyDescent="0.2">
      <c r="C887" s="198"/>
      <c r="D887" s="198"/>
      <c r="E887" s="537"/>
      <c r="G887" s="198"/>
      <c r="H887" s="123"/>
    </row>
    <row r="888" spans="3:8" s="99" customFormat="1" x14ac:dyDescent="0.2">
      <c r="C888" s="198"/>
      <c r="D888" s="198"/>
      <c r="E888" s="537"/>
      <c r="G888" s="198"/>
      <c r="H888" s="123"/>
    </row>
    <row r="889" spans="3:8" s="99" customFormat="1" x14ac:dyDescent="0.2">
      <c r="C889" s="198"/>
      <c r="D889" s="198"/>
      <c r="E889" s="537"/>
      <c r="G889" s="198"/>
      <c r="H889" s="123"/>
    </row>
    <row r="890" spans="3:8" s="99" customFormat="1" x14ac:dyDescent="0.2">
      <c r="C890" s="198"/>
      <c r="D890" s="198"/>
      <c r="E890" s="537"/>
      <c r="G890" s="198"/>
      <c r="H890" s="123"/>
    </row>
    <row r="891" spans="3:8" s="99" customFormat="1" x14ac:dyDescent="0.2">
      <c r="C891" s="198"/>
      <c r="D891" s="198"/>
      <c r="E891" s="537"/>
      <c r="G891" s="198"/>
      <c r="H891" s="123"/>
    </row>
    <row r="892" spans="3:8" s="99" customFormat="1" x14ac:dyDescent="0.2">
      <c r="C892" s="198"/>
      <c r="D892" s="198"/>
      <c r="E892" s="537"/>
      <c r="G892" s="198"/>
      <c r="H892" s="123"/>
    </row>
    <row r="893" spans="3:8" s="99" customFormat="1" x14ac:dyDescent="0.2">
      <c r="C893" s="198"/>
      <c r="D893" s="198"/>
      <c r="E893" s="537"/>
      <c r="G893" s="198"/>
      <c r="H893" s="123"/>
    </row>
    <row r="894" spans="3:8" s="99" customFormat="1" x14ac:dyDescent="0.2">
      <c r="C894" s="198"/>
      <c r="D894" s="198"/>
      <c r="E894" s="537"/>
      <c r="G894" s="198"/>
      <c r="H894" s="123"/>
    </row>
    <row r="895" spans="3:8" s="99" customFormat="1" x14ac:dyDescent="0.2">
      <c r="C895" s="198"/>
      <c r="D895" s="198"/>
      <c r="E895" s="537"/>
      <c r="G895" s="198"/>
      <c r="H895" s="123"/>
    </row>
    <row r="896" spans="3:8" s="99" customFormat="1" x14ac:dyDescent="0.2">
      <c r="C896" s="198"/>
      <c r="D896" s="198"/>
      <c r="E896" s="537"/>
      <c r="G896" s="198"/>
      <c r="H896" s="123"/>
    </row>
    <row r="897" spans="3:8" s="99" customFormat="1" x14ac:dyDescent="0.2">
      <c r="C897" s="198"/>
      <c r="D897" s="198"/>
      <c r="E897" s="537"/>
      <c r="G897" s="198"/>
      <c r="H897" s="123"/>
    </row>
    <row r="898" spans="3:8" s="99" customFormat="1" x14ac:dyDescent="0.2">
      <c r="C898" s="198"/>
      <c r="D898" s="198"/>
      <c r="E898" s="537"/>
      <c r="G898" s="198"/>
      <c r="H898" s="123"/>
    </row>
    <row r="899" spans="3:8" s="99" customFormat="1" x14ac:dyDescent="0.2">
      <c r="C899" s="198"/>
      <c r="D899" s="198"/>
      <c r="E899" s="537"/>
      <c r="G899" s="198"/>
      <c r="H899" s="123"/>
    </row>
    <row r="900" spans="3:8" s="99" customFormat="1" x14ac:dyDescent="0.2">
      <c r="C900" s="198"/>
      <c r="D900" s="198"/>
      <c r="E900" s="537"/>
      <c r="G900" s="198"/>
      <c r="H900" s="123"/>
    </row>
    <row r="901" spans="3:8" s="99" customFormat="1" x14ac:dyDescent="0.2">
      <c r="C901" s="198"/>
      <c r="D901" s="198"/>
      <c r="E901" s="537"/>
      <c r="G901" s="198"/>
      <c r="H901" s="123"/>
    </row>
    <row r="902" spans="3:8" s="99" customFormat="1" x14ac:dyDescent="0.2">
      <c r="C902" s="198"/>
      <c r="D902" s="198"/>
      <c r="E902" s="537"/>
      <c r="G902" s="198"/>
      <c r="H902" s="123"/>
    </row>
    <row r="903" spans="3:8" s="99" customFormat="1" x14ac:dyDescent="0.2">
      <c r="C903" s="198"/>
      <c r="D903" s="198"/>
      <c r="E903" s="537"/>
      <c r="G903" s="198"/>
      <c r="H903" s="123"/>
    </row>
    <row r="904" spans="3:8" s="99" customFormat="1" x14ac:dyDescent="0.2">
      <c r="C904" s="198"/>
      <c r="D904" s="198"/>
      <c r="E904" s="537"/>
      <c r="G904" s="198"/>
      <c r="H904" s="123"/>
    </row>
    <row r="905" spans="3:8" s="99" customFormat="1" x14ac:dyDescent="0.2">
      <c r="C905" s="198"/>
      <c r="D905" s="198"/>
      <c r="E905" s="537"/>
      <c r="G905" s="198"/>
      <c r="H905" s="123"/>
    </row>
    <row r="906" spans="3:8" s="99" customFormat="1" x14ac:dyDescent="0.2">
      <c r="C906" s="198"/>
      <c r="D906" s="198"/>
      <c r="E906" s="537"/>
      <c r="G906" s="198"/>
      <c r="H906" s="123"/>
    </row>
    <row r="907" spans="3:8" s="99" customFormat="1" x14ac:dyDescent="0.2">
      <c r="C907" s="198"/>
      <c r="D907" s="198"/>
      <c r="E907" s="537"/>
      <c r="G907" s="198"/>
      <c r="H907" s="123"/>
    </row>
    <row r="908" spans="3:8" s="99" customFormat="1" x14ac:dyDescent="0.2">
      <c r="C908" s="198"/>
      <c r="D908" s="198"/>
      <c r="E908" s="537"/>
      <c r="G908" s="198"/>
      <c r="H908" s="123"/>
    </row>
    <row r="909" spans="3:8" s="99" customFormat="1" x14ac:dyDescent="0.2">
      <c r="C909" s="198"/>
      <c r="D909" s="198"/>
      <c r="E909" s="537"/>
      <c r="G909" s="198"/>
      <c r="H909" s="123"/>
    </row>
    <row r="910" spans="3:8" s="99" customFormat="1" x14ac:dyDescent="0.2">
      <c r="C910" s="198"/>
      <c r="D910" s="198"/>
      <c r="E910" s="537"/>
      <c r="G910" s="198"/>
      <c r="H910" s="123"/>
    </row>
    <row r="911" spans="3:8" s="99" customFormat="1" x14ac:dyDescent="0.2">
      <c r="C911" s="198"/>
      <c r="D911" s="198"/>
      <c r="E911" s="537"/>
      <c r="G911" s="198"/>
      <c r="H911" s="123"/>
    </row>
    <row r="912" spans="3:8" s="99" customFormat="1" x14ac:dyDescent="0.2">
      <c r="C912" s="198"/>
      <c r="D912" s="198"/>
      <c r="E912" s="537"/>
      <c r="G912" s="198"/>
      <c r="H912" s="123"/>
    </row>
    <row r="913" spans="3:8" s="99" customFormat="1" x14ac:dyDescent="0.2">
      <c r="C913" s="198"/>
      <c r="D913" s="198"/>
      <c r="E913" s="537"/>
      <c r="G913" s="198"/>
      <c r="H913" s="123"/>
    </row>
    <row r="914" spans="3:8" s="99" customFormat="1" x14ac:dyDescent="0.2">
      <c r="C914" s="198"/>
      <c r="D914" s="198"/>
      <c r="E914" s="537"/>
      <c r="G914" s="198"/>
      <c r="H914" s="123"/>
    </row>
    <row r="915" spans="3:8" s="99" customFormat="1" x14ac:dyDescent="0.2">
      <c r="C915" s="198"/>
      <c r="D915" s="198"/>
      <c r="E915" s="537"/>
      <c r="G915" s="198"/>
      <c r="H915" s="123"/>
    </row>
    <row r="916" spans="3:8" s="99" customFormat="1" x14ac:dyDescent="0.2">
      <c r="C916" s="198"/>
      <c r="D916" s="198"/>
      <c r="E916" s="537"/>
      <c r="G916" s="198"/>
      <c r="H916" s="123"/>
    </row>
    <row r="917" spans="3:8" s="99" customFormat="1" x14ac:dyDescent="0.2">
      <c r="C917" s="198"/>
      <c r="D917" s="198"/>
      <c r="E917" s="537"/>
      <c r="G917" s="198"/>
      <c r="H917" s="123"/>
    </row>
    <row r="918" spans="3:8" s="99" customFormat="1" x14ac:dyDescent="0.2">
      <c r="C918" s="198"/>
      <c r="D918" s="198"/>
      <c r="E918" s="537"/>
      <c r="G918" s="198"/>
      <c r="H918" s="123"/>
    </row>
    <row r="919" spans="3:8" s="99" customFormat="1" x14ac:dyDescent="0.2">
      <c r="C919" s="198"/>
      <c r="D919" s="198"/>
      <c r="E919" s="537"/>
      <c r="G919" s="198"/>
      <c r="H919" s="123"/>
    </row>
    <row r="920" spans="3:8" s="99" customFormat="1" x14ac:dyDescent="0.2">
      <c r="C920" s="198"/>
      <c r="D920" s="198"/>
      <c r="E920" s="537"/>
      <c r="G920" s="198"/>
      <c r="H920" s="123"/>
    </row>
    <row r="921" spans="3:8" s="99" customFormat="1" x14ac:dyDescent="0.2">
      <c r="C921" s="198"/>
      <c r="D921" s="198"/>
      <c r="E921" s="537"/>
      <c r="G921" s="198"/>
      <c r="H921" s="123"/>
    </row>
    <row r="922" spans="3:8" s="99" customFormat="1" x14ac:dyDescent="0.2">
      <c r="C922" s="198"/>
      <c r="D922" s="198"/>
      <c r="E922" s="537"/>
      <c r="G922" s="198"/>
      <c r="H922" s="123"/>
    </row>
    <row r="923" spans="3:8" s="99" customFormat="1" x14ac:dyDescent="0.2">
      <c r="C923" s="198"/>
      <c r="D923" s="198"/>
      <c r="E923" s="537"/>
      <c r="G923" s="198"/>
      <c r="H923" s="123"/>
    </row>
    <row r="924" spans="3:8" s="99" customFormat="1" x14ac:dyDescent="0.2">
      <c r="C924" s="198"/>
      <c r="D924" s="198"/>
      <c r="E924" s="537"/>
      <c r="G924" s="198"/>
      <c r="H924" s="123"/>
    </row>
    <row r="925" spans="3:8" s="99" customFormat="1" x14ac:dyDescent="0.2">
      <c r="C925" s="198"/>
      <c r="D925" s="198"/>
      <c r="E925" s="537"/>
      <c r="G925" s="198"/>
      <c r="H925" s="123"/>
    </row>
    <row r="926" spans="3:8" s="99" customFormat="1" x14ac:dyDescent="0.2">
      <c r="C926" s="198"/>
      <c r="D926" s="198"/>
      <c r="E926" s="537"/>
      <c r="G926" s="198"/>
      <c r="H926" s="123"/>
    </row>
    <row r="927" spans="3:8" s="99" customFormat="1" x14ac:dyDescent="0.2">
      <c r="C927" s="198"/>
      <c r="D927" s="198"/>
      <c r="E927" s="537"/>
      <c r="G927" s="198"/>
      <c r="H927" s="123"/>
    </row>
    <row r="928" spans="3:8" s="99" customFormat="1" x14ac:dyDescent="0.2">
      <c r="C928" s="198"/>
      <c r="D928" s="198"/>
      <c r="E928" s="537"/>
      <c r="G928" s="198"/>
      <c r="H928" s="123"/>
    </row>
    <row r="929" spans="3:8" s="99" customFormat="1" x14ac:dyDescent="0.2">
      <c r="C929" s="198"/>
      <c r="D929" s="198"/>
      <c r="E929" s="537"/>
      <c r="G929" s="198"/>
      <c r="H929" s="123"/>
    </row>
    <row r="930" spans="3:8" s="99" customFormat="1" x14ac:dyDescent="0.2">
      <c r="C930" s="198"/>
      <c r="D930" s="198"/>
      <c r="E930" s="537"/>
      <c r="G930" s="198"/>
      <c r="H930" s="123"/>
    </row>
    <row r="931" spans="3:8" s="99" customFormat="1" x14ac:dyDescent="0.2">
      <c r="C931" s="198"/>
      <c r="D931" s="198"/>
      <c r="E931" s="537"/>
      <c r="G931" s="198"/>
      <c r="H931" s="123"/>
    </row>
    <row r="932" spans="3:8" s="99" customFormat="1" x14ac:dyDescent="0.2">
      <c r="C932" s="198"/>
      <c r="D932" s="198"/>
      <c r="E932" s="537"/>
      <c r="G932" s="198"/>
      <c r="H932" s="123"/>
    </row>
    <row r="933" spans="3:8" s="99" customFormat="1" x14ac:dyDescent="0.2">
      <c r="C933" s="198"/>
      <c r="D933" s="198"/>
      <c r="E933" s="537"/>
      <c r="G933" s="198"/>
      <c r="H933" s="123"/>
    </row>
    <row r="934" spans="3:8" s="99" customFormat="1" x14ac:dyDescent="0.2">
      <c r="C934" s="198"/>
      <c r="D934" s="198"/>
      <c r="E934" s="537"/>
      <c r="G934" s="198"/>
      <c r="H934" s="123"/>
    </row>
    <row r="935" spans="3:8" s="99" customFormat="1" x14ac:dyDescent="0.2">
      <c r="C935" s="198"/>
      <c r="D935" s="198"/>
      <c r="E935" s="537"/>
      <c r="G935" s="198"/>
      <c r="H935" s="123"/>
    </row>
    <row r="936" spans="3:8" s="99" customFormat="1" x14ac:dyDescent="0.2">
      <c r="C936" s="198"/>
      <c r="D936" s="198"/>
      <c r="E936" s="537"/>
      <c r="G936" s="198"/>
      <c r="H936" s="123"/>
    </row>
    <row r="937" spans="3:8" s="99" customFormat="1" x14ac:dyDescent="0.2">
      <c r="C937" s="198"/>
      <c r="D937" s="198"/>
      <c r="E937" s="537"/>
      <c r="G937" s="198"/>
      <c r="H937" s="123"/>
    </row>
    <row r="938" spans="3:8" s="99" customFormat="1" x14ac:dyDescent="0.2">
      <c r="C938" s="198"/>
      <c r="D938" s="198"/>
      <c r="E938" s="537"/>
      <c r="G938" s="198"/>
      <c r="H938" s="123"/>
    </row>
    <row r="939" spans="3:8" s="99" customFormat="1" x14ac:dyDescent="0.2">
      <c r="C939" s="198"/>
      <c r="D939" s="198"/>
      <c r="E939" s="537"/>
      <c r="G939" s="198"/>
      <c r="H939" s="123"/>
    </row>
    <row r="940" spans="3:8" s="99" customFormat="1" x14ac:dyDescent="0.2">
      <c r="C940" s="198"/>
      <c r="D940" s="198"/>
      <c r="E940" s="537"/>
      <c r="G940" s="198"/>
      <c r="H940" s="123"/>
    </row>
    <row r="941" spans="3:8" s="99" customFormat="1" x14ac:dyDescent="0.2">
      <c r="C941" s="198"/>
      <c r="D941" s="198"/>
      <c r="E941" s="537"/>
      <c r="G941" s="198"/>
      <c r="H941" s="123"/>
    </row>
    <row r="942" spans="3:8" s="99" customFormat="1" x14ac:dyDescent="0.2">
      <c r="C942" s="198"/>
      <c r="D942" s="198"/>
      <c r="E942" s="537"/>
      <c r="G942" s="198"/>
      <c r="H942" s="123"/>
    </row>
    <row r="943" spans="3:8" s="99" customFormat="1" x14ac:dyDescent="0.2">
      <c r="C943" s="198"/>
      <c r="D943" s="198"/>
      <c r="E943" s="537"/>
      <c r="G943" s="198"/>
      <c r="H943" s="123"/>
    </row>
    <row r="944" spans="3:8" s="99" customFormat="1" x14ac:dyDescent="0.2">
      <c r="C944" s="198"/>
      <c r="D944" s="198"/>
      <c r="E944" s="537"/>
      <c r="G944" s="198"/>
      <c r="H944" s="123"/>
    </row>
    <row r="945" spans="3:8" s="99" customFormat="1" x14ac:dyDescent="0.2">
      <c r="C945" s="198"/>
      <c r="D945" s="198"/>
      <c r="E945" s="537"/>
      <c r="G945" s="198"/>
      <c r="H945" s="123"/>
    </row>
    <row r="946" spans="3:8" s="99" customFormat="1" x14ac:dyDescent="0.2">
      <c r="C946" s="198"/>
      <c r="D946" s="198"/>
      <c r="E946" s="537"/>
      <c r="G946" s="198"/>
      <c r="H946" s="123"/>
    </row>
    <row r="947" spans="3:8" s="99" customFormat="1" x14ac:dyDescent="0.2">
      <c r="C947" s="198"/>
      <c r="D947" s="198"/>
      <c r="E947" s="537"/>
      <c r="G947" s="198"/>
      <c r="H947" s="123"/>
    </row>
    <row r="948" spans="3:8" s="99" customFormat="1" x14ac:dyDescent="0.2">
      <c r="C948" s="198"/>
      <c r="D948" s="198"/>
      <c r="E948" s="537"/>
      <c r="G948" s="198"/>
      <c r="H948" s="123"/>
    </row>
    <row r="949" spans="3:8" s="99" customFormat="1" x14ac:dyDescent="0.2">
      <c r="C949" s="198"/>
      <c r="D949" s="198"/>
      <c r="E949" s="537"/>
      <c r="G949" s="198"/>
      <c r="H949" s="123"/>
    </row>
    <row r="950" spans="3:8" s="99" customFormat="1" x14ac:dyDescent="0.2">
      <c r="C950" s="198"/>
      <c r="D950" s="198"/>
      <c r="E950" s="537"/>
      <c r="G950" s="198"/>
      <c r="H950" s="123"/>
    </row>
    <row r="951" spans="3:8" s="99" customFormat="1" x14ac:dyDescent="0.2">
      <c r="C951" s="198"/>
      <c r="D951" s="198"/>
      <c r="E951" s="537"/>
      <c r="G951" s="198"/>
      <c r="H951" s="123"/>
    </row>
    <row r="952" spans="3:8" s="99" customFormat="1" x14ac:dyDescent="0.2">
      <c r="C952" s="198"/>
      <c r="D952" s="198"/>
      <c r="E952" s="537"/>
      <c r="G952" s="198"/>
      <c r="H952" s="123"/>
    </row>
    <row r="953" spans="3:8" s="99" customFormat="1" x14ac:dyDescent="0.2">
      <c r="C953" s="198"/>
      <c r="D953" s="198"/>
      <c r="E953" s="537"/>
      <c r="G953" s="198"/>
      <c r="H953" s="123"/>
    </row>
    <row r="954" spans="3:8" s="99" customFormat="1" x14ac:dyDescent="0.2">
      <c r="C954" s="198"/>
      <c r="D954" s="198"/>
      <c r="E954" s="537"/>
      <c r="G954" s="198"/>
      <c r="H954" s="123"/>
    </row>
    <row r="955" spans="3:8" s="99" customFormat="1" x14ac:dyDescent="0.2">
      <c r="C955" s="198"/>
      <c r="D955" s="198"/>
      <c r="E955" s="537"/>
      <c r="G955" s="198"/>
      <c r="H955" s="123"/>
    </row>
    <row r="956" spans="3:8" s="99" customFormat="1" x14ac:dyDescent="0.2">
      <c r="C956" s="198"/>
      <c r="D956" s="198"/>
      <c r="E956" s="537"/>
      <c r="G956" s="198"/>
      <c r="H956" s="123"/>
    </row>
    <row r="957" spans="3:8" s="99" customFormat="1" x14ac:dyDescent="0.2">
      <c r="C957" s="198"/>
      <c r="D957" s="198"/>
      <c r="E957" s="537"/>
      <c r="G957" s="198"/>
      <c r="H957" s="123"/>
    </row>
    <row r="958" spans="3:8" s="99" customFormat="1" x14ac:dyDescent="0.2">
      <c r="C958" s="198"/>
      <c r="D958" s="198"/>
      <c r="E958" s="537"/>
      <c r="G958" s="198"/>
      <c r="H958" s="123"/>
    </row>
    <row r="959" spans="3:8" s="99" customFormat="1" x14ac:dyDescent="0.2">
      <c r="C959" s="198"/>
      <c r="D959" s="198"/>
      <c r="E959" s="537"/>
      <c r="G959" s="198"/>
      <c r="H959" s="123"/>
    </row>
    <row r="960" spans="3:8" s="99" customFormat="1" x14ac:dyDescent="0.2">
      <c r="C960" s="198"/>
      <c r="D960" s="198"/>
      <c r="E960" s="537"/>
      <c r="G960" s="198"/>
      <c r="H960" s="123"/>
    </row>
    <row r="961" spans="3:8" s="99" customFormat="1" x14ac:dyDescent="0.2">
      <c r="C961" s="198"/>
      <c r="D961" s="198"/>
      <c r="E961" s="537"/>
      <c r="G961" s="198"/>
      <c r="H961" s="123"/>
    </row>
    <row r="962" spans="3:8" s="99" customFormat="1" x14ac:dyDescent="0.2">
      <c r="C962" s="198"/>
      <c r="D962" s="198"/>
      <c r="E962" s="537"/>
      <c r="G962" s="198"/>
      <c r="H962" s="123"/>
    </row>
    <row r="963" spans="3:8" s="99" customFormat="1" x14ac:dyDescent="0.2">
      <c r="C963" s="198"/>
      <c r="D963" s="198"/>
      <c r="E963" s="537"/>
      <c r="G963" s="198"/>
      <c r="H963" s="123"/>
    </row>
    <row r="964" spans="3:8" s="99" customFormat="1" x14ac:dyDescent="0.2">
      <c r="C964" s="198"/>
      <c r="D964" s="198"/>
      <c r="E964" s="537"/>
      <c r="G964" s="198"/>
      <c r="H964" s="123"/>
    </row>
    <row r="965" spans="3:8" s="99" customFormat="1" x14ac:dyDescent="0.2">
      <c r="C965" s="198"/>
      <c r="D965" s="198"/>
      <c r="E965" s="537"/>
      <c r="G965" s="198"/>
      <c r="H965" s="123"/>
    </row>
    <row r="966" spans="3:8" s="99" customFormat="1" x14ac:dyDescent="0.2">
      <c r="C966" s="198"/>
      <c r="D966" s="198"/>
      <c r="E966" s="537"/>
      <c r="G966" s="198"/>
      <c r="H966" s="123"/>
    </row>
    <row r="967" spans="3:8" s="99" customFormat="1" x14ac:dyDescent="0.2">
      <c r="C967" s="198"/>
      <c r="D967" s="198"/>
      <c r="E967" s="537"/>
      <c r="G967" s="198"/>
      <c r="H967" s="123"/>
    </row>
    <row r="968" spans="3:8" s="99" customFormat="1" x14ac:dyDescent="0.2">
      <c r="C968" s="198"/>
      <c r="D968" s="198"/>
      <c r="E968" s="537"/>
      <c r="G968" s="198"/>
      <c r="H968" s="123"/>
    </row>
    <row r="969" spans="3:8" s="99" customFormat="1" x14ac:dyDescent="0.2">
      <c r="C969" s="198"/>
      <c r="D969" s="198"/>
      <c r="E969" s="537"/>
      <c r="G969" s="198"/>
      <c r="H969" s="123"/>
    </row>
    <row r="970" spans="3:8" s="99" customFormat="1" x14ac:dyDescent="0.2">
      <c r="C970" s="198"/>
      <c r="D970" s="198"/>
      <c r="E970" s="537"/>
      <c r="G970" s="198"/>
      <c r="H970" s="123"/>
    </row>
    <row r="971" spans="3:8" s="99" customFormat="1" x14ac:dyDescent="0.2">
      <c r="C971" s="198"/>
      <c r="D971" s="198"/>
      <c r="E971" s="537"/>
      <c r="G971" s="198"/>
      <c r="H971" s="123"/>
    </row>
    <row r="972" spans="3:8" s="99" customFormat="1" x14ac:dyDescent="0.2">
      <c r="C972" s="198"/>
      <c r="D972" s="198"/>
      <c r="E972" s="537"/>
      <c r="G972" s="198"/>
      <c r="H972" s="123"/>
    </row>
    <row r="973" spans="3:8" s="99" customFormat="1" x14ac:dyDescent="0.2">
      <c r="C973" s="198"/>
      <c r="D973" s="198"/>
      <c r="E973" s="537"/>
      <c r="G973" s="198"/>
      <c r="H973" s="123"/>
    </row>
    <row r="974" spans="3:8" s="99" customFormat="1" x14ac:dyDescent="0.2">
      <c r="C974" s="198"/>
      <c r="D974" s="198"/>
      <c r="E974" s="537"/>
      <c r="G974" s="198"/>
      <c r="H974" s="123"/>
    </row>
    <row r="975" spans="3:8" s="99" customFormat="1" x14ac:dyDescent="0.2">
      <c r="C975" s="198"/>
      <c r="D975" s="198"/>
      <c r="E975" s="537"/>
      <c r="G975" s="198"/>
      <c r="H975" s="123"/>
    </row>
    <row r="976" spans="3:8" s="99" customFormat="1" x14ac:dyDescent="0.2">
      <c r="C976" s="198"/>
      <c r="D976" s="198"/>
      <c r="E976" s="537"/>
      <c r="G976" s="198"/>
      <c r="H976" s="123"/>
    </row>
    <row r="977" spans="3:8" s="99" customFormat="1" x14ac:dyDescent="0.2">
      <c r="C977" s="198"/>
      <c r="D977" s="198"/>
      <c r="E977" s="537"/>
      <c r="G977" s="198"/>
      <c r="H977" s="123"/>
    </row>
    <row r="978" spans="3:8" s="99" customFormat="1" x14ac:dyDescent="0.2">
      <c r="C978" s="198"/>
      <c r="D978" s="198"/>
      <c r="E978" s="537"/>
      <c r="G978" s="198"/>
      <c r="H978" s="123"/>
    </row>
    <row r="979" spans="3:8" s="99" customFormat="1" x14ac:dyDescent="0.2">
      <c r="C979" s="198"/>
      <c r="D979" s="198"/>
      <c r="E979" s="537"/>
      <c r="G979" s="198"/>
      <c r="H979" s="123"/>
    </row>
    <row r="980" spans="3:8" s="99" customFormat="1" x14ac:dyDescent="0.2">
      <c r="C980" s="198"/>
      <c r="D980" s="198"/>
      <c r="E980" s="537"/>
      <c r="G980" s="198"/>
      <c r="H980" s="123"/>
    </row>
    <row r="981" spans="3:8" s="99" customFormat="1" x14ac:dyDescent="0.2">
      <c r="C981" s="198"/>
      <c r="D981" s="198"/>
      <c r="E981" s="537"/>
      <c r="G981" s="198"/>
      <c r="H981" s="123"/>
    </row>
    <row r="982" spans="3:8" s="99" customFormat="1" x14ac:dyDescent="0.2">
      <c r="C982" s="198"/>
      <c r="D982" s="198"/>
      <c r="E982" s="537"/>
      <c r="G982" s="198"/>
      <c r="H982" s="123"/>
    </row>
    <row r="983" spans="3:8" s="99" customFormat="1" x14ac:dyDescent="0.2">
      <c r="C983" s="198"/>
      <c r="D983" s="198"/>
      <c r="E983" s="537"/>
      <c r="G983" s="198"/>
      <c r="H983" s="123"/>
    </row>
    <row r="984" spans="3:8" s="99" customFormat="1" x14ac:dyDescent="0.2">
      <c r="C984" s="198"/>
      <c r="D984" s="198"/>
      <c r="E984" s="537"/>
      <c r="G984" s="198"/>
      <c r="H984" s="123"/>
    </row>
    <row r="985" spans="3:8" s="99" customFormat="1" x14ac:dyDescent="0.2">
      <c r="C985" s="198"/>
      <c r="D985" s="198"/>
      <c r="E985" s="537"/>
      <c r="G985" s="198"/>
      <c r="H985" s="123"/>
    </row>
    <row r="986" spans="3:8" s="99" customFormat="1" x14ac:dyDescent="0.2">
      <c r="C986" s="198"/>
      <c r="D986" s="198"/>
      <c r="E986" s="537"/>
      <c r="G986" s="198"/>
      <c r="H986" s="123"/>
    </row>
    <row r="987" spans="3:8" s="99" customFormat="1" x14ac:dyDescent="0.2">
      <c r="C987" s="198"/>
      <c r="D987" s="198"/>
      <c r="E987" s="537"/>
      <c r="G987" s="198"/>
      <c r="H987" s="123"/>
    </row>
    <row r="988" spans="3:8" s="99" customFormat="1" x14ac:dyDescent="0.2">
      <c r="C988" s="198"/>
      <c r="D988" s="198"/>
      <c r="E988" s="537"/>
      <c r="G988" s="198"/>
      <c r="H988" s="123"/>
    </row>
    <row r="989" spans="3:8" s="99" customFormat="1" x14ac:dyDescent="0.2">
      <c r="C989" s="198"/>
      <c r="D989" s="198"/>
      <c r="E989" s="537"/>
      <c r="G989" s="198"/>
      <c r="H989" s="123"/>
    </row>
    <row r="990" spans="3:8" s="99" customFormat="1" x14ac:dyDescent="0.2">
      <c r="C990" s="198"/>
      <c r="D990" s="198"/>
      <c r="E990" s="537"/>
      <c r="G990" s="198"/>
      <c r="H990" s="123"/>
    </row>
    <row r="991" spans="3:8" s="99" customFormat="1" x14ac:dyDescent="0.2">
      <c r="C991" s="198"/>
      <c r="D991" s="198"/>
      <c r="E991" s="537"/>
      <c r="G991" s="198"/>
      <c r="H991" s="123"/>
    </row>
    <row r="992" spans="3:8" s="99" customFormat="1" x14ac:dyDescent="0.2">
      <c r="C992" s="198"/>
      <c r="D992" s="198"/>
      <c r="E992" s="537"/>
      <c r="G992" s="198"/>
      <c r="H992" s="123"/>
    </row>
    <row r="993" spans="3:8" s="99" customFormat="1" x14ac:dyDescent="0.2">
      <c r="C993" s="198"/>
      <c r="D993" s="198"/>
      <c r="E993" s="537"/>
      <c r="G993" s="198"/>
      <c r="H993" s="123"/>
    </row>
    <row r="994" spans="3:8" s="99" customFormat="1" x14ac:dyDescent="0.2">
      <c r="C994" s="198"/>
      <c r="D994" s="198"/>
      <c r="E994" s="537"/>
      <c r="G994" s="198"/>
      <c r="H994" s="123"/>
    </row>
    <row r="995" spans="3:8" s="99" customFormat="1" x14ac:dyDescent="0.2">
      <c r="C995" s="198"/>
      <c r="D995" s="198"/>
      <c r="E995" s="537"/>
      <c r="G995" s="198"/>
      <c r="H995" s="123"/>
    </row>
    <row r="996" spans="3:8" s="99" customFormat="1" x14ac:dyDescent="0.2">
      <c r="C996" s="198"/>
      <c r="D996" s="198"/>
      <c r="E996" s="537"/>
      <c r="G996" s="198"/>
      <c r="H996" s="123"/>
    </row>
    <row r="997" spans="3:8" s="99" customFormat="1" x14ac:dyDescent="0.2">
      <c r="C997" s="198"/>
      <c r="D997" s="198"/>
      <c r="E997" s="537"/>
      <c r="G997" s="198"/>
      <c r="H997" s="123"/>
    </row>
    <row r="998" spans="3:8" s="99" customFormat="1" x14ac:dyDescent="0.2">
      <c r="C998" s="198"/>
      <c r="D998" s="198"/>
      <c r="E998" s="537"/>
      <c r="G998" s="198"/>
      <c r="H998" s="123"/>
    </row>
    <row r="999" spans="3:8" s="99" customFormat="1" x14ac:dyDescent="0.2">
      <c r="C999" s="198"/>
      <c r="D999" s="198"/>
      <c r="E999" s="537"/>
      <c r="G999" s="198"/>
      <c r="H999" s="123"/>
    </row>
    <row r="1000" spans="3:8" s="99" customFormat="1" x14ac:dyDescent="0.2">
      <c r="C1000" s="198"/>
      <c r="D1000" s="198"/>
      <c r="E1000" s="537"/>
      <c r="G1000" s="198"/>
      <c r="H1000" s="123"/>
    </row>
    <row r="1001" spans="3:8" s="99" customFormat="1" x14ac:dyDescent="0.2">
      <c r="C1001" s="198"/>
      <c r="D1001" s="198"/>
      <c r="E1001" s="537"/>
      <c r="G1001" s="198"/>
      <c r="H1001" s="123"/>
    </row>
    <row r="1002" spans="3:8" s="99" customFormat="1" x14ac:dyDescent="0.2">
      <c r="C1002" s="198"/>
      <c r="D1002" s="198"/>
      <c r="E1002" s="537"/>
      <c r="G1002" s="198"/>
      <c r="H1002" s="123"/>
    </row>
    <row r="1003" spans="3:8" s="99" customFormat="1" x14ac:dyDescent="0.2">
      <c r="C1003" s="198"/>
      <c r="D1003" s="198"/>
      <c r="E1003" s="537"/>
      <c r="G1003" s="198"/>
      <c r="H1003" s="123"/>
    </row>
    <row r="1004" spans="3:8" s="99" customFormat="1" x14ac:dyDescent="0.2">
      <c r="C1004" s="198"/>
      <c r="D1004" s="198"/>
      <c r="E1004" s="537"/>
      <c r="G1004" s="198"/>
      <c r="H1004" s="123"/>
    </row>
    <row r="1005" spans="3:8" s="99" customFormat="1" x14ac:dyDescent="0.2">
      <c r="C1005" s="198"/>
      <c r="D1005" s="198"/>
      <c r="E1005" s="537"/>
      <c r="G1005" s="198"/>
      <c r="H1005" s="123"/>
    </row>
    <row r="1006" spans="3:8" s="99" customFormat="1" x14ac:dyDescent="0.2">
      <c r="C1006" s="198"/>
      <c r="D1006" s="198"/>
      <c r="E1006" s="537"/>
      <c r="G1006" s="198"/>
      <c r="H1006" s="123"/>
    </row>
    <row r="1007" spans="3:8" s="99" customFormat="1" x14ac:dyDescent="0.2">
      <c r="C1007" s="198"/>
      <c r="D1007" s="198"/>
      <c r="E1007" s="537"/>
      <c r="G1007" s="198"/>
      <c r="H1007" s="123"/>
    </row>
    <row r="1008" spans="3:8" s="99" customFormat="1" x14ac:dyDescent="0.2">
      <c r="C1008" s="198"/>
      <c r="D1008" s="198"/>
      <c r="E1008" s="537"/>
      <c r="G1008" s="198"/>
      <c r="H1008" s="123"/>
    </row>
    <row r="1009" spans="3:8" s="99" customFormat="1" x14ac:dyDescent="0.2">
      <c r="C1009" s="198"/>
      <c r="D1009" s="198"/>
      <c r="E1009" s="537"/>
      <c r="G1009" s="198"/>
      <c r="H1009" s="123"/>
    </row>
    <row r="1010" spans="3:8" s="99" customFormat="1" x14ac:dyDescent="0.2">
      <c r="C1010" s="198"/>
      <c r="D1010" s="198"/>
      <c r="E1010" s="537"/>
      <c r="G1010" s="198"/>
      <c r="H1010" s="123"/>
    </row>
    <row r="1011" spans="3:8" s="99" customFormat="1" x14ac:dyDescent="0.2">
      <c r="C1011" s="198"/>
      <c r="D1011" s="198"/>
      <c r="E1011" s="537"/>
      <c r="G1011" s="198"/>
      <c r="H1011" s="123"/>
    </row>
    <row r="1012" spans="3:8" s="99" customFormat="1" x14ac:dyDescent="0.2">
      <c r="C1012" s="198"/>
      <c r="D1012" s="198"/>
      <c r="E1012" s="537"/>
      <c r="G1012" s="198"/>
      <c r="H1012" s="123"/>
    </row>
    <row r="1013" spans="3:8" s="99" customFormat="1" x14ac:dyDescent="0.2">
      <c r="C1013" s="198"/>
      <c r="D1013" s="198"/>
      <c r="E1013" s="537"/>
      <c r="G1013" s="198"/>
      <c r="H1013" s="123"/>
    </row>
    <row r="1014" spans="3:8" s="99" customFormat="1" x14ac:dyDescent="0.2">
      <c r="C1014" s="198"/>
      <c r="D1014" s="198"/>
      <c r="E1014" s="537"/>
      <c r="G1014" s="198"/>
      <c r="H1014" s="123"/>
    </row>
    <row r="1015" spans="3:8" s="99" customFormat="1" x14ac:dyDescent="0.2">
      <c r="C1015" s="198"/>
      <c r="D1015" s="198"/>
      <c r="E1015" s="537"/>
      <c r="G1015" s="198"/>
      <c r="H1015" s="123"/>
    </row>
    <row r="1016" spans="3:8" s="99" customFormat="1" x14ac:dyDescent="0.2">
      <c r="C1016" s="198"/>
      <c r="D1016" s="198"/>
      <c r="E1016" s="537"/>
      <c r="G1016" s="198"/>
      <c r="H1016" s="123"/>
    </row>
    <row r="1017" spans="3:8" s="99" customFormat="1" x14ac:dyDescent="0.2">
      <c r="C1017" s="198"/>
      <c r="D1017" s="198"/>
      <c r="E1017" s="537"/>
      <c r="G1017" s="198"/>
      <c r="H1017" s="123"/>
    </row>
    <row r="1018" spans="3:8" s="99" customFormat="1" x14ac:dyDescent="0.2">
      <c r="C1018" s="198"/>
      <c r="D1018" s="198"/>
      <c r="E1018" s="537"/>
      <c r="G1018" s="198"/>
      <c r="H1018" s="123"/>
    </row>
    <row r="1019" spans="3:8" s="99" customFormat="1" x14ac:dyDescent="0.2">
      <c r="C1019" s="198"/>
      <c r="D1019" s="198"/>
      <c r="E1019" s="537"/>
      <c r="G1019" s="198"/>
      <c r="H1019" s="123"/>
    </row>
    <row r="1020" spans="3:8" s="99" customFormat="1" x14ac:dyDescent="0.2">
      <c r="C1020" s="198"/>
      <c r="D1020" s="198"/>
      <c r="E1020" s="537"/>
      <c r="G1020" s="198"/>
      <c r="H1020" s="123"/>
    </row>
    <row r="1021" spans="3:8" s="99" customFormat="1" x14ac:dyDescent="0.2">
      <c r="C1021" s="198"/>
      <c r="D1021" s="198"/>
      <c r="E1021" s="537"/>
      <c r="G1021" s="198"/>
      <c r="H1021" s="123"/>
    </row>
    <row r="1022" spans="3:8" s="99" customFormat="1" x14ac:dyDescent="0.2">
      <c r="C1022" s="198"/>
      <c r="D1022" s="198"/>
      <c r="E1022" s="537"/>
      <c r="G1022" s="198"/>
      <c r="H1022" s="123"/>
    </row>
    <row r="1023" spans="3:8" s="99" customFormat="1" x14ac:dyDescent="0.2">
      <c r="C1023" s="198"/>
      <c r="D1023" s="198"/>
      <c r="E1023" s="537"/>
      <c r="G1023" s="198"/>
      <c r="H1023" s="123"/>
    </row>
    <row r="1024" spans="3:8" s="99" customFormat="1" x14ac:dyDescent="0.2">
      <c r="C1024" s="198"/>
      <c r="D1024" s="198"/>
      <c r="E1024" s="537"/>
      <c r="G1024" s="198"/>
      <c r="H1024" s="123"/>
    </row>
    <row r="1025" spans="3:8" s="99" customFormat="1" x14ac:dyDescent="0.2">
      <c r="C1025" s="198"/>
      <c r="D1025" s="198"/>
      <c r="E1025" s="537"/>
      <c r="G1025" s="198"/>
      <c r="H1025" s="123"/>
    </row>
    <row r="1026" spans="3:8" s="99" customFormat="1" x14ac:dyDescent="0.2">
      <c r="C1026" s="198"/>
      <c r="D1026" s="198"/>
      <c r="E1026" s="537"/>
      <c r="G1026" s="198"/>
      <c r="H1026" s="123"/>
    </row>
    <row r="1027" spans="3:8" s="99" customFormat="1" x14ac:dyDescent="0.2">
      <c r="C1027" s="198"/>
      <c r="D1027" s="198"/>
      <c r="E1027" s="537"/>
      <c r="G1027" s="198"/>
      <c r="H1027" s="123"/>
    </row>
    <row r="1028" spans="3:8" s="99" customFormat="1" x14ac:dyDescent="0.2">
      <c r="C1028" s="198"/>
      <c r="D1028" s="198"/>
      <c r="E1028" s="537"/>
      <c r="G1028" s="198"/>
      <c r="H1028" s="123"/>
    </row>
    <row r="1029" spans="3:8" s="99" customFormat="1" x14ac:dyDescent="0.2">
      <c r="C1029" s="198"/>
      <c r="D1029" s="198"/>
      <c r="E1029" s="537"/>
      <c r="G1029" s="198"/>
      <c r="H1029" s="123"/>
    </row>
    <row r="1030" spans="3:8" s="99" customFormat="1" x14ac:dyDescent="0.2">
      <c r="C1030" s="198"/>
      <c r="D1030" s="198"/>
      <c r="E1030" s="537"/>
      <c r="G1030" s="198"/>
      <c r="H1030" s="123"/>
    </row>
    <row r="1031" spans="3:8" s="99" customFormat="1" x14ac:dyDescent="0.2">
      <c r="C1031" s="198"/>
      <c r="D1031" s="198"/>
      <c r="E1031" s="537"/>
      <c r="G1031" s="198"/>
      <c r="H1031" s="123"/>
    </row>
    <row r="1032" spans="3:8" s="99" customFormat="1" x14ac:dyDescent="0.2">
      <c r="C1032" s="198"/>
      <c r="D1032" s="198"/>
      <c r="E1032" s="537"/>
      <c r="G1032" s="198"/>
      <c r="H1032" s="123"/>
    </row>
    <row r="1033" spans="3:8" s="99" customFormat="1" x14ac:dyDescent="0.2">
      <c r="C1033" s="198"/>
      <c r="D1033" s="198"/>
      <c r="E1033" s="537"/>
      <c r="G1033" s="198"/>
      <c r="H1033" s="123"/>
    </row>
    <row r="1034" spans="3:8" s="99" customFormat="1" x14ac:dyDescent="0.2">
      <c r="C1034" s="198"/>
      <c r="D1034" s="198"/>
      <c r="E1034" s="537"/>
      <c r="G1034" s="198"/>
      <c r="H1034" s="123"/>
    </row>
    <row r="1035" spans="3:8" s="99" customFormat="1" x14ac:dyDescent="0.2">
      <c r="C1035" s="198"/>
      <c r="D1035" s="198"/>
      <c r="E1035" s="537"/>
      <c r="G1035" s="198"/>
      <c r="H1035" s="123"/>
    </row>
    <row r="1036" spans="3:8" s="99" customFormat="1" x14ac:dyDescent="0.2">
      <c r="C1036" s="198"/>
      <c r="D1036" s="198"/>
      <c r="E1036" s="537"/>
      <c r="G1036" s="198"/>
      <c r="H1036" s="123"/>
    </row>
    <row r="1037" spans="3:8" s="99" customFormat="1" x14ac:dyDescent="0.2">
      <c r="C1037" s="198"/>
      <c r="D1037" s="198"/>
      <c r="E1037" s="537"/>
      <c r="G1037" s="198"/>
      <c r="H1037" s="123"/>
    </row>
    <row r="1038" spans="3:8" s="99" customFormat="1" x14ac:dyDescent="0.2">
      <c r="C1038" s="198"/>
      <c r="D1038" s="198"/>
      <c r="E1038" s="537"/>
      <c r="G1038" s="198"/>
      <c r="H1038" s="123"/>
    </row>
    <row r="1039" spans="3:8" s="99" customFormat="1" x14ac:dyDescent="0.2">
      <c r="C1039" s="198"/>
      <c r="D1039" s="198"/>
      <c r="E1039" s="537"/>
      <c r="G1039" s="198"/>
      <c r="H1039" s="123"/>
    </row>
    <row r="1040" spans="3:8" s="99" customFormat="1" x14ac:dyDescent="0.2">
      <c r="C1040" s="198"/>
      <c r="D1040" s="198"/>
      <c r="E1040" s="537"/>
      <c r="G1040" s="198"/>
      <c r="H1040" s="123"/>
    </row>
    <row r="1041" spans="3:8" s="99" customFormat="1" x14ac:dyDescent="0.2">
      <c r="C1041" s="198"/>
      <c r="D1041" s="198"/>
      <c r="E1041" s="537"/>
      <c r="G1041" s="198"/>
      <c r="H1041" s="123"/>
    </row>
    <row r="1042" spans="3:8" s="99" customFormat="1" x14ac:dyDescent="0.2">
      <c r="C1042" s="198"/>
      <c r="D1042" s="198"/>
      <c r="E1042" s="537"/>
      <c r="G1042" s="198"/>
      <c r="H1042" s="123"/>
    </row>
    <row r="1043" spans="3:8" s="99" customFormat="1" x14ac:dyDescent="0.2">
      <c r="C1043" s="198"/>
      <c r="D1043" s="198"/>
      <c r="E1043" s="537"/>
      <c r="G1043" s="198"/>
      <c r="H1043" s="123"/>
    </row>
    <row r="1044" spans="3:8" s="99" customFormat="1" x14ac:dyDescent="0.2">
      <c r="C1044" s="198"/>
      <c r="D1044" s="198"/>
      <c r="E1044" s="537"/>
      <c r="G1044" s="198"/>
      <c r="H1044" s="123"/>
    </row>
    <row r="1045" spans="3:8" s="99" customFormat="1" x14ac:dyDescent="0.2">
      <c r="C1045" s="198"/>
      <c r="D1045" s="198"/>
      <c r="E1045" s="537"/>
      <c r="G1045" s="198"/>
      <c r="H1045" s="123"/>
    </row>
    <row r="1046" spans="3:8" s="99" customFormat="1" x14ac:dyDescent="0.2">
      <c r="C1046" s="198"/>
      <c r="D1046" s="198"/>
      <c r="E1046" s="537"/>
      <c r="G1046" s="198"/>
      <c r="H1046" s="123"/>
    </row>
    <row r="1047" spans="3:8" s="99" customFormat="1" x14ac:dyDescent="0.2">
      <c r="C1047" s="198"/>
      <c r="D1047" s="198"/>
      <c r="E1047" s="537"/>
      <c r="G1047" s="198"/>
      <c r="H1047" s="123"/>
    </row>
    <row r="1048" spans="3:8" s="99" customFormat="1" x14ac:dyDescent="0.2">
      <c r="C1048" s="198"/>
      <c r="D1048" s="198"/>
      <c r="E1048" s="537"/>
      <c r="G1048" s="198"/>
      <c r="H1048" s="123"/>
    </row>
    <row r="1049" spans="3:8" s="99" customFormat="1" x14ac:dyDescent="0.2">
      <c r="C1049" s="198"/>
      <c r="D1049" s="198"/>
      <c r="E1049" s="537"/>
      <c r="G1049" s="198"/>
      <c r="H1049" s="123"/>
    </row>
    <row r="1050" spans="3:8" s="99" customFormat="1" x14ac:dyDescent="0.2">
      <c r="C1050" s="198"/>
      <c r="D1050" s="198"/>
      <c r="E1050" s="537"/>
      <c r="G1050" s="198"/>
      <c r="H1050" s="123"/>
    </row>
    <row r="1051" spans="3:8" s="99" customFormat="1" x14ac:dyDescent="0.2">
      <c r="C1051" s="198"/>
      <c r="D1051" s="198"/>
      <c r="E1051" s="537"/>
      <c r="G1051" s="198"/>
      <c r="H1051" s="123"/>
    </row>
    <row r="1052" spans="3:8" s="99" customFormat="1" x14ac:dyDescent="0.2">
      <c r="C1052" s="198"/>
      <c r="D1052" s="198"/>
      <c r="E1052" s="537"/>
      <c r="G1052" s="198"/>
      <c r="H1052" s="123"/>
    </row>
    <row r="1053" spans="3:8" s="99" customFormat="1" x14ac:dyDescent="0.2">
      <c r="C1053" s="198"/>
      <c r="D1053" s="198"/>
      <c r="E1053" s="537"/>
      <c r="G1053" s="198"/>
      <c r="H1053" s="123"/>
    </row>
    <row r="1054" spans="3:8" s="99" customFormat="1" x14ac:dyDescent="0.2">
      <c r="C1054" s="198"/>
      <c r="D1054" s="198"/>
      <c r="E1054" s="537"/>
      <c r="G1054" s="198"/>
      <c r="H1054" s="123"/>
    </row>
    <row r="1055" spans="3:8" s="99" customFormat="1" x14ac:dyDescent="0.2">
      <c r="C1055" s="198"/>
      <c r="D1055" s="198"/>
      <c r="E1055" s="537"/>
      <c r="G1055" s="198"/>
      <c r="H1055" s="123"/>
    </row>
    <row r="1056" spans="3:8" s="99" customFormat="1" x14ac:dyDescent="0.2">
      <c r="C1056" s="198"/>
      <c r="D1056" s="198"/>
      <c r="E1056" s="537"/>
      <c r="G1056" s="198"/>
      <c r="H1056" s="123"/>
    </row>
    <row r="1057" spans="3:8" s="99" customFormat="1" x14ac:dyDescent="0.2">
      <c r="C1057" s="198"/>
      <c r="D1057" s="198"/>
      <c r="E1057" s="537"/>
      <c r="G1057" s="198"/>
      <c r="H1057" s="123"/>
    </row>
    <row r="1058" spans="3:8" s="99" customFormat="1" x14ac:dyDescent="0.2">
      <c r="C1058" s="198"/>
      <c r="D1058" s="198"/>
      <c r="E1058" s="537"/>
      <c r="G1058" s="198"/>
      <c r="H1058" s="123"/>
    </row>
    <row r="1059" spans="3:8" s="99" customFormat="1" x14ac:dyDescent="0.2">
      <c r="C1059" s="198"/>
      <c r="D1059" s="198"/>
      <c r="E1059" s="537"/>
      <c r="G1059" s="198"/>
      <c r="H1059" s="123"/>
    </row>
    <row r="1060" spans="3:8" s="99" customFormat="1" x14ac:dyDescent="0.2">
      <c r="C1060" s="198"/>
      <c r="D1060" s="198"/>
      <c r="E1060" s="537"/>
      <c r="G1060" s="198"/>
      <c r="H1060" s="123"/>
    </row>
    <row r="1061" spans="3:8" s="99" customFormat="1" x14ac:dyDescent="0.2">
      <c r="C1061" s="198"/>
      <c r="D1061" s="198"/>
      <c r="E1061" s="537"/>
      <c r="G1061" s="198"/>
      <c r="H1061" s="123"/>
    </row>
    <row r="1062" spans="3:8" s="99" customFormat="1" x14ac:dyDescent="0.2">
      <c r="C1062" s="198"/>
      <c r="D1062" s="198"/>
      <c r="E1062" s="537"/>
      <c r="G1062" s="198"/>
      <c r="H1062" s="123"/>
    </row>
    <row r="1063" spans="3:8" s="99" customFormat="1" x14ac:dyDescent="0.2">
      <c r="C1063" s="198"/>
      <c r="D1063" s="198"/>
      <c r="E1063" s="537"/>
      <c r="G1063" s="198"/>
      <c r="H1063" s="123"/>
    </row>
    <row r="1064" spans="3:8" s="99" customFormat="1" x14ac:dyDescent="0.2">
      <c r="C1064" s="198"/>
      <c r="D1064" s="198"/>
      <c r="E1064" s="537"/>
      <c r="G1064" s="198"/>
      <c r="H1064" s="123"/>
    </row>
    <row r="1065" spans="3:8" s="99" customFormat="1" x14ac:dyDescent="0.2">
      <c r="C1065" s="198"/>
      <c r="D1065" s="198"/>
      <c r="E1065" s="537"/>
      <c r="G1065" s="198"/>
      <c r="H1065" s="123"/>
    </row>
    <row r="1066" spans="3:8" s="99" customFormat="1" x14ac:dyDescent="0.2">
      <c r="C1066" s="198"/>
      <c r="D1066" s="198"/>
      <c r="E1066" s="537"/>
      <c r="G1066" s="198"/>
      <c r="H1066" s="123"/>
    </row>
    <row r="1067" spans="3:8" s="99" customFormat="1" x14ac:dyDescent="0.2">
      <c r="C1067" s="198"/>
      <c r="D1067" s="198"/>
      <c r="E1067" s="537"/>
      <c r="G1067" s="198"/>
      <c r="H1067" s="123"/>
    </row>
    <row r="1068" spans="3:8" s="99" customFormat="1" x14ac:dyDescent="0.2">
      <c r="C1068" s="198"/>
      <c r="D1068" s="198"/>
      <c r="E1068" s="537"/>
      <c r="G1068" s="198"/>
      <c r="H1068" s="123"/>
    </row>
    <row r="1069" spans="3:8" s="99" customFormat="1" x14ac:dyDescent="0.2">
      <c r="C1069" s="198"/>
      <c r="D1069" s="198"/>
      <c r="E1069" s="537"/>
      <c r="G1069" s="198"/>
      <c r="H1069" s="123"/>
    </row>
    <row r="1070" spans="3:8" s="99" customFormat="1" x14ac:dyDescent="0.2">
      <c r="C1070" s="198"/>
      <c r="D1070" s="198"/>
      <c r="E1070" s="537"/>
      <c r="G1070" s="198"/>
      <c r="H1070" s="123"/>
    </row>
    <row r="1071" spans="3:8" s="99" customFormat="1" x14ac:dyDescent="0.2">
      <c r="C1071" s="198"/>
      <c r="D1071" s="198"/>
      <c r="E1071" s="537"/>
      <c r="G1071" s="198"/>
      <c r="H1071" s="123"/>
    </row>
    <row r="1072" spans="3:8" s="99" customFormat="1" x14ac:dyDescent="0.2">
      <c r="C1072" s="198"/>
      <c r="D1072" s="198"/>
      <c r="E1072" s="537"/>
      <c r="G1072" s="198"/>
      <c r="H1072" s="123"/>
    </row>
    <row r="1073" spans="3:8" s="99" customFormat="1" x14ac:dyDescent="0.2">
      <c r="C1073" s="198"/>
      <c r="D1073" s="198"/>
      <c r="E1073" s="537"/>
      <c r="G1073" s="198"/>
      <c r="H1073" s="123"/>
    </row>
    <row r="1074" spans="3:8" s="99" customFormat="1" x14ac:dyDescent="0.2">
      <c r="C1074" s="198"/>
      <c r="D1074" s="198"/>
      <c r="E1074" s="537"/>
      <c r="G1074" s="198"/>
      <c r="H1074" s="123"/>
    </row>
    <row r="1075" spans="3:8" s="99" customFormat="1" x14ac:dyDescent="0.2">
      <c r="C1075" s="198"/>
      <c r="D1075" s="198"/>
      <c r="E1075" s="537"/>
      <c r="G1075" s="198"/>
      <c r="H1075" s="123"/>
    </row>
    <row r="1076" spans="3:8" s="99" customFormat="1" x14ac:dyDescent="0.2">
      <c r="C1076" s="198"/>
      <c r="D1076" s="198"/>
      <c r="E1076" s="537"/>
      <c r="G1076" s="198"/>
      <c r="H1076" s="123"/>
    </row>
    <row r="1077" spans="3:8" s="99" customFormat="1" x14ac:dyDescent="0.2">
      <c r="C1077" s="198"/>
      <c r="D1077" s="198"/>
      <c r="E1077" s="537"/>
      <c r="G1077" s="198"/>
      <c r="H1077" s="123"/>
    </row>
    <row r="1078" spans="3:8" s="99" customFormat="1" x14ac:dyDescent="0.2">
      <c r="C1078" s="198"/>
      <c r="D1078" s="198"/>
      <c r="E1078" s="537"/>
      <c r="G1078" s="198"/>
      <c r="H1078" s="123"/>
    </row>
    <row r="1079" spans="3:8" s="99" customFormat="1" x14ac:dyDescent="0.2">
      <c r="C1079" s="198"/>
      <c r="D1079" s="198"/>
      <c r="E1079" s="537"/>
      <c r="G1079" s="198"/>
      <c r="H1079" s="123"/>
    </row>
    <row r="1080" spans="3:8" s="99" customFormat="1" x14ac:dyDescent="0.2">
      <c r="C1080" s="198"/>
      <c r="D1080" s="198"/>
      <c r="E1080" s="537"/>
      <c r="G1080" s="198"/>
      <c r="H1080" s="123"/>
    </row>
    <row r="1081" spans="3:8" s="99" customFormat="1" x14ac:dyDescent="0.2">
      <c r="C1081" s="198"/>
      <c r="D1081" s="198"/>
      <c r="E1081" s="537"/>
      <c r="G1081" s="198"/>
      <c r="H1081" s="123"/>
    </row>
    <row r="1082" spans="3:8" s="99" customFormat="1" x14ac:dyDescent="0.2">
      <c r="C1082" s="198"/>
      <c r="D1082" s="198"/>
      <c r="E1082" s="537"/>
      <c r="G1082" s="198"/>
      <c r="H1082" s="123"/>
    </row>
    <row r="1083" spans="3:8" s="99" customFormat="1" x14ac:dyDescent="0.2">
      <c r="C1083" s="198"/>
      <c r="D1083" s="198"/>
      <c r="E1083" s="537"/>
      <c r="G1083" s="198"/>
      <c r="H1083" s="123"/>
    </row>
    <row r="1084" spans="3:8" s="99" customFormat="1" x14ac:dyDescent="0.2">
      <c r="C1084" s="198"/>
      <c r="D1084" s="198"/>
      <c r="E1084" s="537"/>
      <c r="G1084" s="198"/>
      <c r="H1084" s="123"/>
    </row>
    <row r="1085" spans="3:8" s="99" customFormat="1" x14ac:dyDescent="0.2">
      <c r="C1085" s="198"/>
      <c r="D1085" s="198"/>
      <c r="E1085" s="537"/>
      <c r="G1085" s="198"/>
      <c r="H1085" s="123"/>
    </row>
    <row r="1086" spans="3:8" s="99" customFormat="1" x14ac:dyDescent="0.2">
      <c r="C1086" s="198"/>
      <c r="D1086" s="198"/>
      <c r="E1086" s="537"/>
      <c r="G1086" s="198"/>
      <c r="H1086" s="123"/>
    </row>
    <row r="1087" spans="3:8" s="99" customFormat="1" x14ac:dyDescent="0.2">
      <c r="C1087" s="198"/>
      <c r="D1087" s="198"/>
      <c r="E1087" s="537"/>
      <c r="G1087" s="198"/>
      <c r="H1087" s="123"/>
    </row>
    <row r="1088" spans="3:8" s="99" customFormat="1" x14ac:dyDescent="0.2">
      <c r="C1088" s="198"/>
      <c r="D1088" s="198"/>
      <c r="E1088" s="537"/>
      <c r="G1088" s="198"/>
      <c r="H1088" s="123"/>
    </row>
    <row r="1089" spans="3:8" s="99" customFormat="1" x14ac:dyDescent="0.2">
      <c r="C1089" s="198"/>
      <c r="D1089" s="198"/>
      <c r="E1089" s="537"/>
      <c r="G1089" s="198"/>
      <c r="H1089" s="123"/>
    </row>
    <row r="1090" spans="3:8" s="99" customFormat="1" x14ac:dyDescent="0.2">
      <c r="C1090" s="198"/>
      <c r="D1090" s="198"/>
      <c r="E1090" s="537"/>
      <c r="G1090" s="198"/>
      <c r="H1090" s="123"/>
    </row>
    <row r="1091" spans="3:8" s="99" customFormat="1" x14ac:dyDescent="0.2">
      <c r="C1091" s="198"/>
      <c r="D1091" s="198"/>
      <c r="E1091" s="537"/>
      <c r="G1091" s="198"/>
      <c r="H1091" s="123"/>
    </row>
    <row r="1092" spans="3:8" s="99" customFormat="1" x14ac:dyDescent="0.2">
      <c r="C1092" s="198"/>
      <c r="D1092" s="198"/>
      <c r="E1092" s="537"/>
      <c r="G1092" s="198"/>
      <c r="H1092" s="123"/>
    </row>
    <row r="1093" spans="3:8" s="99" customFormat="1" x14ac:dyDescent="0.2">
      <c r="C1093" s="198"/>
      <c r="D1093" s="198"/>
      <c r="E1093" s="537"/>
      <c r="G1093" s="198"/>
      <c r="H1093" s="123"/>
    </row>
    <row r="1094" spans="3:8" s="99" customFormat="1" x14ac:dyDescent="0.2">
      <c r="C1094" s="198"/>
      <c r="D1094" s="198"/>
      <c r="E1094" s="537"/>
      <c r="G1094" s="198"/>
      <c r="H1094" s="123"/>
    </row>
    <row r="1095" spans="3:8" s="99" customFormat="1" x14ac:dyDescent="0.2">
      <c r="C1095" s="198"/>
      <c r="D1095" s="198"/>
      <c r="E1095" s="537"/>
      <c r="G1095" s="198"/>
      <c r="H1095" s="123"/>
    </row>
    <row r="1096" spans="3:8" s="99" customFormat="1" x14ac:dyDescent="0.2">
      <c r="C1096" s="198"/>
      <c r="D1096" s="198"/>
      <c r="E1096" s="537"/>
      <c r="G1096" s="198"/>
      <c r="H1096" s="123"/>
    </row>
    <row r="1097" spans="3:8" s="99" customFormat="1" x14ac:dyDescent="0.2">
      <c r="C1097" s="198"/>
      <c r="D1097" s="198"/>
      <c r="E1097" s="537"/>
      <c r="G1097" s="198"/>
      <c r="H1097" s="123"/>
    </row>
    <row r="1098" spans="3:8" s="99" customFormat="1" x14ac:dyDescent="0.2">
      <c r="C1098" s="198"/>
      <c r="D1098" s="198"/>
      <c r="E1098" s="537"/>
      <c r="G1098" s="198"/>
      <c r="H1098" s="123"/>
    </row>
    <row r="1099" spans="3:8" s="99" customFormat="1" x14ac:dyDescent="0.2">
      <c r="C1099" s="198"/>
      <c r="D1099" s="198"/>
      <c r="E1099" s="537"/>
      <c r="G1099" s="198"/>
      <c r="H1099" s="123"/>
    </row>
    <row r="1100" spans="3:8" s="99" customFormat="1" x14ac:dyDescent="0.2">
      <c r="C1100" s="198"/>
      <c r="D1100" s="198"/>
      <c r="E1100" s="537"/>
      <c r="G1100" s="198"/>
      <c r="H1100" s="123"/>
    </row>
    <row r="1101" spans="3:8" s="99" customFormat="1" x14ac:dyDescent="0.2">
      <c r="C1101" s="198"/>
      <c r="D1101" s="198"/>
      <c r="E1101" s="537"/>
      <c r="G1101" s="198"/>
      <c r="H1101" s="123"/>
    </row>
    <row r="1102" spans="3:8" s="99" customFormat="1" x14ac:dyDescent="0.2">
      <c r="C1102" s="198"/>
      <c r="D1102" s="198"/>
      <c r="E1102" s="537"/>
      <c r="G1102" s="198"/>
      <c r="H1102" s="123"/>
    </row>
    <row r="1103" spans="3:8" s="99" customFormat="1" x14ac:dyDescent="0.2">
      <c r="C1103" s="198"/>
      <c r="D1103" s="198"/>
      <c r="E1103" s="537"/>
      <c r="G1103" s="198"/>
      <c r="H1103" s="123"/>
    </row>
    <row r="1104" spans="3:8" s="99" customFormat="1" x14ac:dyDescent="0.2">
      <c r="C1104" s="198"/>
      <c r="D1104" s="198"/>
      <c r="E1104" s="537"/>
      <c r="G1104" s="198"/>
      <c r="H1104" s="123"/>
    </row>
    <row r="1105" spans="3:8" s="99" customFormat="1" x14ac:dyDescent="0.2">
      <c r="C1105" s="198"/>
      <c r="D1105" s="198"/>
      <c r="E1105" s="537"/>
      <c r="G1105" s="198"/>
      <c r="H1105" s="123"/>
    </row>
    <row r="1106" spans="3:8" s="99" customFormat="1" x14ac:dyDescent="0.2">
      <c r="C1106" s="198"/>
      <c r="D1106" s="198"/>
      <c r="E1106" s="537"/>
      <c r="G1106" s="198"/>
      <c r="H1106" s="123"/>
    </row>
    <row r="1107" spans="3:8" s="99" customFormat="1" x14ac:dyDescent="0.2">
      <c r="C1107" s="198"/>
      <c r="D1107" s="198"/>
      <c r="E1107" s="537"/>
      <c r="G1107" s="198"/>
      <c r="H1107" s="123"/>
    </row>
    <row r="1108" spans="3:8" s="99" customFormat="1" x14ac:dyDescent="0.2">
      <c r="C1108" s="198"/>
      <c r="D1108" s="198"/>
      <c r="E1108" s="537"/>
      <c r="G1108" s="198"/>
      <c r="H1108" s="123"/>
    </row>
    <row r="1109" spans="3:8" s="99" customFormat="1" x14ac:dyDescent="0.2">
      <c r="C1109" s="198"/>
      <c r="D1109" s="198"/>
      <c r="E1109" s="537"/>
      <c r="G1109" s="198"/>
      <c r="H1109" s="123"/>
    </row>
    <row r="1110" spans="3:8" s="99" customFormat="1" x14ac:dyDescent="0.2">
      <c r="C1110" s="198"/>
      <c r="D1110" s="198"/>
      <c r="E1110" s="537"/>
      <c r="G1110" s="198"/>
      <c r="H1110" s="123"/>
    </row>
    <row r="1111" spans="3:8" s="99" customFormat="1" x14ac:dyDescent="0.2">
      <c r="C1111" s="198"/>
      <c r="D1111" s="198"/>
      <c r="E1111" s="537"/>
      <c r="G1111" s="198"/>
      <c r="H1111" s="123"/>
    </row>
    <row r="1112" spans="3:8" s="99" customFormat="1" x14ac:dyDescent="0.2">
      <c r="C1112" s="198"/>
      <c r="D1112" s="198"/>
      <c r="E1112" s="537"/>
      <c r="G1112" s="198"/>
      <c r="H1112" s="123"/>
    </row>
    <row r="1113" spans="3:8" s="99" customFormat="1" x14ac:dyDescent="0.2">
      <c r="C1113" s="198"/>
      <c r="D1113" s="198"/>
      <c r="E1113" s="537"/>
      <c r="G1113" s="198"/>
      <c r="H1113" s="123"/>
    </row>
    <row r="1114" spans="3:8" s="99" customFormat="1" x14ac:dyDescent="0.2">
      <c r="C1114" s="198"/>
      <c r="D1114" s="198"/>
      <c r="E1114" s="537"/>
      <c r="G1114" s="198"/>
      <c r="H1114" s="123"/>
    </row>
    <row r="1115" spans="3:8" s="99" customFormat="1" x14ac:dyDescent="0.2">
      <c r="C1115" s="198"/>
      <c r="D1115" s="198"/>
      <c r="E1115" s="537"/>
      <c r="G1115" s="198"/>
      <c r="H1115" s="123"/>
    </row>
    <row r="1116" spans="3:8" s="99" customFormat="1" x14ac:dyDescent="0.2">
      <c r="C1116" s="198"/>
      <c r="D1116" s="198"/>
      <c r="E1116" s="537"/>
      <c r="G1116" s="198"/>
      <c r="H1116" s="123"/>
    </row>
    <row r="1117" spans="3:8" s="99" customFormat="1" x14ac:dyDescent="0.2">
      <c r="C1117" s="198"/>
      <c r="D1117" s="198"/>
      <c r="E1117" s="537"/>
      <c r="G1117" s="198"/>
      <c r="H1117" s="123"/>
    </row>
    <row r="1118" spans="3:8" s="99" customFormat="1" x14ac:dyDescent="0.2">
      <c r="C1118" s="198"/>
      <c r="D1118" s="198"/>
      <c r="E1118" s="537"/>
      <c r="G1118" s="198"/>
      <c r="H1118" s="123"/>
    </row>
    <row r="1119" spans="3:8" s="99" customFormat="1" x14ac:dyDescent="0.2">
      <c r="C1119" s="198"/>
      <c r="D1119" s="198"/>
      <c r="E1119" s="537"/>
      <c r="G1119" s="198"/>
      <c r="H1119" s="123"/>
    </row>
    <row r="1120" spans="3:8" s="99" customFormat="1" x14ac:dyDescent="0.2">
      <c r="C1120" s="198"/>
      <c r="D1120" s="198"/>
      <c r="E1120" s="537"/>
      <c r="G1120" s="198"/>
      <c r="H1120" s="123"/>
    </row>
    <row r="1121" spans="3:8" s="99" customFormat="1" x14ac:dyDescent="0.2">
      <c r="C1121" s="198"/>
      <c r="D1121" s="198"/>
      <c r="E1121" s="537"/>
      <c r="G1121" s="198"/>
      <c r="H1121" s="123"/>
    </row>
    <row r="1122" spans="3:8" s="99" customFormat="1" x14ac:dyDescent="0.2">
      <c r="C1122" s="198"/>
      <c r="D1122" s="198"/>
      <c r="E1122" s="537"/>
      <c r="G1122" s="198"/>
      <c r="H1122" s="123"/>
    </row>
    <row r="1123" spans="3:8" s="99" customFormat="1" x14ac:dyDescent="0.2">
      <c r="C1123" s="198"/>
      <c r="D1123" s="198"/>
      <c r="E1123" s="537"/>
      <c r="G1123" s="198"/>
      <c r="H1123" s="123"/>
    </row>
    <row r="1124" spans="3:8" s="99" customFormat="1" x14ac:dyDescent="0.2">
      <c r="C1124" s="198"/>
      <c r="D1124" s="198"/>
      <c r="E1124" s="537"/>
      <c r="G1124" s="198"/>
      <c r="H1124" s="123"/>
    </row>
    <row r="1125" spans="3:8" s="99" customFormat="1" x14ac:dyDescent="0.2">
      <c r="C1125" s="198"/>
      <c r="D1125" s="198"/>
      <c r="E1125" s="537"/>
      <c r="G1125" s="198"/>
      <c r="H1125" s="123"/>
    </row>
    <row r="1126" spans="3:8" s="99" customFormat="1" x14ac:dyDescent="0.2">
      <c r="C1126" s="198"/>
      <c r="D1126" s="198"/>
      <c r="E1126" s="537"/>
      <c r="G1126" s="198"/>
      <c r="H1126" s="123"/>
    </row>
    <row r="1127" spans="3:8" s="99" customFormat="1" x14ac:dyDescent="0.2">
      <c r="C1127" s="198"/>
      <c r="D1127" s="198"/>
      <c r="E1127" s="537"/>
      <c r="G1127" s="198"/>
      <c r="H1127" s="123"/>
    </row>
    <row r="1128" spans="3:8" s="99" customFormat="1" x14ac:dyDescent="0.2">
      <c r="C1128" s="198"/>
      <c r="D1128" s="198"/>
      <c r="E1128" s="537"/>
      <c r="G1128" s="198"/>
      <c r="H1128" s="123"/>
    </row>
    <row r="1129" spans="3:8" s="99" customFormat="1" x14ac:dyDescent="0.2">
      <c r="C1129" s="198"/>
      <c r="D1129" s="198"/>
      <c r="E1129" s="537"/>
      <c r="G1129" s="198"/>
      <c r="H1129" s="123"/>
    </row>
    <row r="1130" spans="3:8" s="99" customFormat="1" x14ac:dyDescent="0.2">
      <c r="C1130" s="198"/>
      <c r="D1130" s="198"/>
      <c r="E1130" s="537"/>
      <c r="G1130" s="198"/>
      <c r="H1130" s="123"/>
    </row>
    <row r="1131" spans="3:8" s="99" customFormat="1" x14ac:dyDescent="0.2">
      <c r="C1131" s="198"/>
      <c r="D1131" s="198"/>
      <c r="E1131" s="537"/>
      <c r="G1131" s="198"/>
      <c r="H1131" s="123"/>
    </row>
    <row r="1132" spans="3:8" s="99" customFormat="1" x14ac:dyDescent="0.2">
      <c r="C1132" s="198"/>
      <c r="D1132" s="198"/>
      <c r="E1132" s="537"/>
      <c r="G1132" s="198"/>
      <c r="H1132" s="123"/>
    </row>
    <row r="1133" spans="3:8" s="99" customFormat="1" x14ac:dyDescent="0.2">
      <c r="C1133" s="198"/>
      <c r="D1133" s="198"/>
      <c r="E1133" s="537"/>
      <c r="G1133" s="198"/>
      <c r="H1133" s="123"/>
    </row>
    <row r="1134" spans="3:8" s="99" customFormat="1" x14ac:dyDescent="0.2">
      <c r="C1134" s="198"/>
      <c r="D1134" s="198"/>
      <c r="E1134" s="537"/>
      <c r="G1134" s="198"/>
      <c r="H1134" s="123"/>
    </row>
    <row r="1135" spans="3:8" s="99" customFormat="1" x14ac:dyDescent="0.2">
      <c r="C1135" s="198"/>
      <c r="D1135" s="198"/>
      <c r="E1135" s="537"/>
      <c r="G1135" s="198"/>
      <c r="H1135" s="123"/>
    </row>
    <row r="1136" spans="3:8" s="99" customFormat="1" x14ac:dyDescent="0.2">
      <c r="C1136" s="198"/>
      <c r="D1136" s="198"/>
      <c r="E1136" s="537"/>
      <c r="G1136" s="198"/>
      <c r="H1136" s="123"/>
    </row>
    <row r="1137" spans="3:8" s="99" customFormat="1" x14ac:dyDescent="0.2">
      <c r="C1137" s="198"/>
      <c r="D1137" s="198"/>
      <c r="E1137" s="537"/>
      <c r="G1137" s="198"/>
      <c r="H1137" s="123"/>
    </row>
    <row r="1138" spans="3:8" s="99" customFormat="1" x14ac:dyDescent="0.2">
      <c r="C1138" s="198"/>
      <c r="D1138" s="198"/>
      <c r="E1138" s="537"/>
      <c r="G1138" s="198"/>
      <c r="H1138" s="123"/>
    </row>
    <row r="1139" spans="3:8" s="99" customFormat="1" x14ac:dyDescent="0.2">
      <c r="C1139" s="198"/>
      <c r="D1139" s="198"/>
      <c r="E1139" s="537"/>
      <c r="G1139" s="198"/>
      <c r="H1139" s="123"/>
    </row>
    <row r="1140" spans="3:8" s="99" customFormat="1" x14ac:dyDescent="0.2">
      <c r="C1140" s="198"/>
      <c r="D1140" s="198"/>
      <c r="E1140" s="537"/>
      <c r="G1140" s="198"/>
      <c r="H1140" s="123"/>
    </row>
    <row r="1141" spans="3:8" s="99" customFormat="1" x14ac:dyDescent="0.2">
      <c r="C1141" s="198"/>
      <c r="D1141" s="198"/>
      <c r="E1141" s="537"/>
      <c r="G1141" s="198"/>
      <c r="H1141" s="123"/>
    </row>
    <row r="1142" spans="3:8" s="99" customFormat="1" x14ac:dyDescent="0.2">
      <c r="C1142" s="198"/>
      <c r="D1142" s="198"/>
      <c r="E1142" s="537"/>
      <c r="G1142" s="198"/>
      <c r="H1142" s="123"/>
    </row>
    <row r="1143" spans="3:8" s="99" customFormat="1" x14ac:dyDescent="0.2">
      <c r="C1143" s="198"/>
      <c r="D1143" s="198"/>
      <c r="E1143" s="537"/>
      <c r="G1143" s="198"/>
      <c r="H1143" s="123"/>
    </row>
    <row r="1144" spans="3:8" s="99" customFormat="1" x14ac:dyDescent="0.2">
      <c r="C1144" s="198"/>
      <c r="D1144" s="198"/>
      <c r="E1144" s="537"/>
      <c r="G1144" s="198"/>
      <c r="H1144" s="123"/>
    </row>
    <row r="1145" spans="3:8" s="99" customFormat="1" x14ac:dyDescent="0.2">
      <c r="C1145" s="198"/>
      <c r="D1145" s="198"/>
      <c r="E1145" s="537"/>
      <c r="G1145" s="198"/>
      <c r="H1145" s="123"/>
    </row>
    <row r="1146" spans="3:8" s="99" customFormat="1" x14ac:dyDescent="0.2">
      <c r="C1146" s="198"/>
      <c r="D1146" s="198"/>
      <c r="E1146" s="537"/>
      <c r="G1146" s="198"/>
      <c r="H1146" s="123"/>
    </row>
    <row r="1147" spans="3:8" s="99" customFormat="1" x14ac:dyDescent="0.2">
      <c r="C1147" s="198"/>
      <c r="D1147" s="198"/>
      <c r="E1147" s="537"/>
      <c r="G1147" s="198"/>
      <c r="H1147" s="123"/>
    </row>
    <row r="1148" spans="3:8" s="99" customFormat="1" x14ac:dyDescent="0.2">
      <c r="C1148" s="198"/>
      <c r="D1148" s="198"/>
      <c r="E1148" s="537"/>
      <c r="G1148" s="198"/>
      <c r="H1148" s="123"/>
    </row>
    <row r="1149" spans="3:8" s="99" customFormat="1" x14ac:dyDescent="0.2">
      <c r="C1149" s="198"/>
      <c r="D1149" s="198"/>
      <c r="E1149" s="537"/>
      <c r="G1149" s="198"/>
      <c r="H1149" s="123"/>
    </row>
    <row r="1150" spans="3:8" s="99" customFormat="1" x14ac:dyDescent="0.2">
      <c r="C1150" s="198"/>
      <c r="D1150" s="198"/>
      <c r="E1150" s="537"/>
      <c r="G1150" s="198"/>
      <c r="H1150" s="123"/>
    </row>
    <row r="1151" spans="3:8" s="99" customFormat="1" x14ac:dyDescent="0.2">
      <c r="C1151" s="198"/>
      <c r="D1151" s="198"/>
      <c r="E1151" s="537"/>
      <c r="G1151" s="198"/>
      <c r="H1151" s="123"/>
    </row>
    <row r="1152" spans="3:8" s="99" customFormat="1" x14ac:dyDescent="0.2">
      <c r="C1152" s="198"/>
      <c r="D1152" s="198"/>
      <c r="E1152" s="537"/>
      <c r="G1152" s="198"/>
      <c r="H1152" s="123"/>
    </row>
    <row r="1153" spans="3:8" s="99" customFormat="1" x14ac:dyDescent="0.2">
      <c r="C1153" s="198"/>
      <c r="D1153" s="198"/>
      <c r="E1153" s="537"/>
      <c r="G1153" s="198"/>
      <c r="H1153" s="123"/>
    </row>
    <row r="1154" spans="3:8" s="99" customFormat="1" x14ac:dyDescent="0.2">
      <c r="C1154" s="198"/>
      <c r="D1154" s="198"/>
      <c r="E1154" s="537"/>
      <c r="G1154" s="198"/>
      <c r="H1154" s="123"/>
    </row>
    <row r="1155" spans="3:8" s="99" customFormat="1" x14ac:dyDescent="0.2">
      <c r="C1155" s="198"/>
      <c r="D1155" s="198"/>
      <c r="E1155" s="537"/>
      <c r="G1155" s="198"/>
      <c r="H1155" s="123"/>
    </row>
    <row r="1156" spans="3:8" s="99" customFormat="1" x14ac:dyDescent="0.2">
      <c r="C1156" s="198"/>
      <c r="D1156" s="198"/>
      <c r="E1156" s="537"/>
      <c r="G1156" s="198"/>
      <c r="H1156" s="123"/>
    </row>
    <row r="1157" spans="3:8" s="99" customFormat="1" x14ac:dyDescent="0.2">
      <c r="C1157" s="198"/>
      <c r="D1157" s="198"/>
      <c r="E1157" s="537"/>
      <c r="G1157" s="198"/>
      <c r="H1157" s="123"/>
    </row>
    <row r="1158" spans="3:8" s="99" customFormat="1" x14ac:dyDescent="0.2">
      <c r="C1158" s="198"/>
      <c r="D1158" s="198"/>
      <c r="E1158" s="537"/>
      <c r="G1158" s="198"/>
      <c r="H1158" s="123"/>
    </row>
    <row r="1159" spans="3:8" s="99" customFormat="1" x14ac:dyDescent="0.2">
      <c r="C1159" s="198"/>
      <c r="D1159" s="198"/>
      <c r="E1159" s="537"/>
      <c r="G1159" s="198"/>
      <c r="H1159" s="123"/>
    </row>
    <row r="1160" spans="3:8" s="99" customFormat="1" x14ac:dyDescent="0.2">
      <c r="C1160" s="198"/>
      <c r="D1160" s="198"/>
      <c r="E1160" s="537"/>
      <c r="G1160" s="198"/>
      <c r="H1160" s="123"/>
    </row>
    <row r="1161" spans="3:8" s="99" customFormat="1" x14ac:dyDescent="0.2">
      <c r="C1161" s="198"/>
      <c r="D1161" s="198"/>
      <c r="E1161" s="537"/>
      <c r="G1161" s="198"/>
      <c r="H1161" s="123"/>
    </row>
    <row r="1162" spans="3:8" s="99" customFormat="1" x14ac:dyDescent="0.2">
      <c r="C1162" s="198"/>
      <c r="D1162" s="198"/>
      <c r="E1162" s="537"/>
      <c r="G1162" s="198"/>
      <c r="H1162" s="123"/>
    </row>
    <row r="1163" spans="3:8" s="99" customFormat="1" x14ac:dyDescent="0.2">
      <c r="C1163" s="198"/>
      <c r="D1163" s="198"/>
      <c r="E1163" s="537"/>
      <c r="G1163" s="198"/>
      <c r="H1163" s="123"/>
    </row>
    <row r="1164" spans="3:8" s="99" customFormat="1" x14ac:dyDescent="0.2">
      <c r="C1164" s="198"/>
      <c r="D1164" s="198"/>
      <c r="E1164" s="537"/>
      <c r="G1164" s="198"/>
      <c r="H1164" s="123"/>
    </row>
    <row r="1165" spans="3:8" s="99" customFormat="1" x14ac:dyDescent="0.2">
      <c r="C1165" s="198"/>
      <c r="D1165" s="198"/>
      <c r="E1165" s="537"/>
      <c r="G1165" s="198"/>
      <c r="H1165" s="123"/>
    </row>
    <row r="1166" spans="3:8" s="99" customFormat="1" x14ac:dyDescent="0.2">
      <c r="C1166" s="198"/>
      <c r="D1166" s="198"/>
      <c r="E1166" s="537"/>
      <c r="G1166" s="198"/>
      <c r="H1166" s="123"/>
    </row>
    <row r="1167" spans="3:8" s="99" customFormat="1" x14ac:dyDescent="0.2">
      <c r="C1167" s="198"/>
      <c r="D1167" s="198"/>
      <c r="E1167" s="537"/>
      <c r="G1167" s="198"/>
      <c r="H1167" s="123"/>
    </row>
    <row r="1168" spans="3:8" s="99" customFormat="1" x14ac:dyDescent="0.2">
      <c r="C1168" s="198"/>
      <c r="D1168" s="198"/>
      <c r="E1168" s="537"/>
      <c r="G1168" s="198"/>
      <c r="H1168" s="123"/>
    </row>
    <row r="1169" spans="3:8" s="99" customFormat="1" x14ac:dyDescent="0.2">
      <c r="C1169" s="198"/>
      <c r="D1169" s="198"/>
      <c r="E1169" s="537"/>
      <c r="G1169" s="198"/>
      <c r="H1169" s="123"/>
    </row>
    <row r="1170" spans="3:8" s="99" customFormat="1" x14ac:dyDescent="0.2">
      <c r="C1170" s="198"/>
      <c r="D1170" s="198"/>
      <c r="E1170" s="537"/>
      <c r="G1170" s="198"/>
      <c r="H1170" s="123"/>
    </row>
    <row r="1171" spans="3:8" s="99" customFormat="1" x14ac:dyDescent="0.2">
      <c r="C1171" s="198"/>
      <c r="D1171" s="198"/>
      <c r="E1171" s="537"/>
      <c r="G1171" s="198"/>
      <c r="H1171" s="123"/>
    </row>
    <row r="1172" spans="3:8" s="99" customFormat="1" x14ac:dyDescent="0.2">
      <c r="C1172" s="198"/>
      <c r="D1172" s="198"/>
      <c r="E1172" s="537"/>
      <c r="G1172" s="198"/>
      <c r="H1172" s="123"/>
    </row>
    <row r="1173" spans="3:8" s="99" customFormat="1" x14ac:dyDescent="0.2">
      <c r="C1173" s="198"/>
      <c r="D1173" s="198"/>
      <c r="E1173" s="537"/>
      <c r="G1173" s="198"/>
      <c r="H1173" s="123"/>
    </row>
    <row r="1174" spans="3:8" s="99" customFormat="1" x14ac:dyDescent="0.2">
      <c r="C1174" s="198"/>
      <c r="D1174" s="198"/>
      <c r="E1174" s="537"/>
      <c r="G1174" s="198"/>
      <c r="H1174" s="123"/>
    </row>
    <row r="1175" spans="3:8" s="99" customFormat="1" x14ac:dyDescent="0.2">
      <c r="C1175" s="198"/>
      <c r="D1175" s="198"/>
      <c r="E1175" s="537"/>
      <c r="G1175" s="198"/>
      <c r="H1175" s="123"/>
    </row>
    <row r="1176" spans="3:8" s="99" customFormat="1" x14ac:dyDescent="0.2">
      <c r="C1176" s="198"/>
      <c r="D1176" s="198"/>
      <c r="E1176" s="537"/>
      <c r="G1176" s="198"/>
      <c r="H1176" s="123"/>
    </row>
    <row r="1177" spans="3:8" s="99" customFormat="1" x14ac:dyDescent="0.2">
      <c r="C1177" s="198"/>
      <c r="D1177" s="198"/>
      <c r="E1177" s="537"/>
      <c r="G1177" s="198"/>
      <c r="H1177" s="123"/>
    </row>
    <row r="1178" spans="3:8" s="99" customFormat="1" x14ac:dyDescent="0.2">
      <c r="C1178" s="198"/>
      <c r="D1178" s="198"/>
      <c r="E1178" s="537"/>
      <c r="G1178" s="198"/>
      <c r="H1178" s="123"/>
    </row>
    <row r="1179" spans="3:8" s="99" customFormat="1" x14ac:dyDescent="0.2">
      <c r="C1179" s="198"/>
      <c r="D1179" s="198"/>
      <c r="E1179" s="537"/>
      <c r="G1179" s="198"/>
      <c r="H1179" s="123"/>
    </row>
    <row r="1180" spans="3:8" s="99" customFormat="1" x14ac:dyDescent="0.2">
      <c r="C1180" s="198"/>
      <c r="D1180" s="198"/>
      <c r="E1180" s="537"/>
      <c r="G1180" s="198"/>
      <c r="H1180" s="123"/>
    </row>
    <row r="1181" spans="3:8" s="99" customFormat="1" x14ac:dyDescent="0.2">
      <c r="C1181" s="198"/>
      <c r="D1181" s="198"/>
      <c r="E1181" s="537"/>
      <c r="G1181" s="198"/>
      <c r="H1181" s="123"/>
    </row>
    <row r="1182" spans="3:8" s="99" customFormat="1" x14ac:dyDescent="0.2">
      <c r="C1182" s="198"/>
      <c r="D1182" s="198"/>
      <c r="E1182" s="537"/>
      <c r="G1182" s="198"/>
      <c r="H1182" s="123"/>
    </row>
    <row r="1183" spans="3:8" s="99" customFormat="1" x14ac:dyDescent="0.2">
      <c r="C1183" s="198"/>
      <c r="D1183" s="198"/>
      <c r="E1183" s="537"/>
      <c r="G1183" s="198"/>
      <c r="H1183" s="123"/>
    </row>
    <row r="1184" spans="3:8" s="99" customFormat="1" x14ac:dyDescent="0.2">
      <c r="C1184" s="198"/>
      <c r="D1184" s="198"/>
      <c r="E1184" s="537"/>
      <c r="G1184" s="198"/>
      <c r="H1184" s="123"/>
    </row>
    <row r="1185" spans="3:8" s="99" customFormat="1" x14ac:dyDescent="0.2">
      <c r="C1185" s="198"/>
      <c r="D1185" s="198"/>
      <c r="E1185" s="537"/>
      <c r="G1185" s="198"/>
      <c r="H1185" s="123"/>
    </row>
    <row r="1186" spans="3:8" s="99" customFormat="1" x14ac:dyDescent="0.2">
      <c r="C1186" s="198"/>
      <c r="D1186" s="198"/>
      <c r="E1186" s="537"/>
      <c r="G1186" s="198"/>
      <c r="H1186" s="123"/>
    </row>
    <row r="1187" spans="3:8" s="99" customFormat="1" x14ac:dyDescent="0.2">
      <c r="C1187" s="198"/>
      <c r="D1187" s="198"/>
      <c r="E1187" s="537"/>
      <c r="G1187" s="198"/>
      <c r="H1187" s="123"/>
    </row>
    <row r="1188" spans="3:8" s="99" customFormat="1" x14ac:dyDescent="0.2">
      <c r="C1188" s="198"/>
      <c r="D1188" s="198"/>
      <c r="E1188" s="537"/>
      <c r="G1188" s="198"/>
      <c r="H1188" s="123"/>
    </row>
    <row r="1189" spans="3:8" s="99" customFormat="1" x14ac:dyDescent="0.2">
      <c r="C1189" s="198"/>
      <c r="D1189" s="198"/>
      <c r="E1189" s="537"/>
      <c r="G1189" s="198"/>
      <c r="H1189" s="123"/>
    </row>
    <row r="1190" spans="3:8" s="99" customFormat="1" x14ac:dyDescent="0.2">
      <c r="C1190" s="198"/>
      <c r="D1190" s="198"/>
      <c r="E1190" s="537"/>
      <c r="G1190" s="198"/>
      <c r="H1190" s="123"/>
    </row>
    <row r="1191" spans="3:8" s="99" customFormat="1" x14ac:dyDescent="0.2">
      <c r="C1191" s="198"/>
      <c r="D1191" s="198"/>
      <c r="E1191" s="537"/>
      <c r="G1191" s="198"/>
      <c r="H1191" s="123"/>
    </row>
    <row r="1192" spans="3:8" s="99" customFormat="1" x14ac:dyDescent="0.2">
      <c r="C1192" s="198"/>
      <c r="D1192" s="198"/>
      <c r="E1192" s="537"/>
      <c r="G1192" s="198"/>
      <c r="H1192" s="123"/>
    </row>
    <row r="1193" spans="3:8" s="99" customFormat="1" x14ac:dyDescent="0.2">
      <c r="C1193" s="198"/>
      <c r="D1193" s="198"/>
      <c r="E1193" s="537"/>
      <c r="G1193" s="198"/>
      <c r="H1193" s="123"/>
    </row>
    <row r="1194" spans="3:8" s="99" customFormat="1" x14ac:dyDescent="0.2">
      <c r="C1194" s="198"/>
      <c r="D1194" s="198"/>
      <c r="E1194" s="537"/>
      <c r="G1194" s="198"/>
      <c r="H1194" s="123"/>
    </row>
    <row r="1195" spans="3:8" s="99" customFormat="1" x14ac:dyDescent="0.2">
      <c r="C1195" s="198"/>
      <c r="D1195" s="198"/>
      <c r="E1195" s="537"/>
      <c r="G1195" s="198"/>
      <c r="H1195" s="123"/>
    </row>
    <row r="1196" spans="3:8" s="99" customFormat="1" x14ac:dyDescent="0.2">
      <c r="C1196" s="198"/>
      <c r="D1196" s="198"/>
      <c r="E1196" s="537"/>
      <c r="G1196" s="198"/>
      <c r="H1196" s="123"/>
    </row>
    <row r="1197" spans="3:8" s="99" customFormat="1" x14ac:dyDescent="0.2">
      <c r="C1197" s="198"/>
      <c r="D1197" s="198"/>
      <c r="E1197" s="537"/>
      <c r="G1197" s="198"/>
      <c r="H1197" s="123"/>
    </row>
    <row r="1198" spans="3:8" s="99" customFormat="1" x14ac:dyDescent="0.2">
      <c r="C1198" s="198"/>
      <c r="D1198" s="198"/>
      <c r="E1198" s="537"/>
      <c r="G1198" s="198"/>
      <c r="H1198" s="123"/>
    </row>
    <row r="1199" spans="3:8" s="99" customFormat="1" x14ac:dyDescent="0.2">
      <c r="C1199" s="198"/>
      <c r="D1199" s="198"/>
      <c r="E1199" s="537"/>
      <c r="G1199" s="198"/>
      <c r="H1199" s="123"/>
    </row>
    <row r="1200" spans="3:8" s="99" customFormat="1" x14ac:dyDescent="0.2">
      <c r="C1200" s="198"/>
      <c r="D1200" s="198"/>
      <c r="E1200" s="537"/>
      <c r="G1200" s="198"/>
      <c r="H1200" s="123"/>
    </row>
    <row r="1201" spans="3:8" s="99" customFormat="1" x14ac:dyDescent="0.2">
      <c r="C1201" s="198"/>
      <c r="D1201" s="198"/>
      <c r="E1201" s="537"/>
      <c r="G1201" s="198"/>
      <c r="H1201" s="123"/>
    </row>
    <row r="1202" spans="3:8" s="99" customFormat="1" x14ac:dyDescent="0.2">
      <c r="C1202" s="198"/>
      <c r="D1202" s="198"/>
      <c r="E1202" s="537"/>
      <c r="G1202" s="198"/>
      <c r="H1202" s="123"/>
    </row>
    <row r="1203" spans="3:8" s="99" customFormat="1" x14ac:dyDescent="0.2">
      <c r="C1203" s="198"/>
      <c r="D1203" s="198"/>
      <c r="E1203" s="537"/>
      <c r="G1203" s="198"/>
      <c r="H1203" s="123"/>
    </row>
    <row r="1204" spans="3:8" s="99" customFormat="1" x14ac:dyDescent="0.2">
      <c r="C1204" s="198"/>
      <c r="D1204" s="198"/>
      <c r="E1204" s="537"/>
      <c r="G1204" s="198"/>
      <c r="H1204" s="123"/>
    </row>
    <row r="1205" spans="3:8" s="99" customFormat="1" x14ac:dyDescent="0.2">
      <c r="C1205" s="198"/>
      <c r="D1205" s="198"/>
      <c r="E1205" s="537"/>
      <c r="G1205" s="198"/>
      <c r="H1205" s="123"/>
    </row>
    <row r="1206" spans="3:8" s="99" customFormat="1" x14ac:dyDescent="0.2">
      <c r="C1206" s="198"/>
      <c r="D1206" s="198"/>
      <c r="E1206" s="537"/>
      <c r="G1206" s="198"/>
      <c r="H1206" s="123"/>
    </row>
    <row r="1207" spans="3:8" s="99" customFormat="1" x14ac:dyDescent="0.2">
      <c r="C1207" s="198"/>
      <c r="D1207" s="198"/>
      <c r="E1207" s="537"/>
      <c r="G1207" s="198"/>
      <c r="H1207" s="123"/>
    </row>
    <row r="1208" spans="3:8" s="99" customFormat="1" x14ac:dyDescent="0.2">
      <c r="C1208" s="198"/>
      <c r="D1208" s="198"/>
      <c r="E1208" s="537"/>
      <c r="G1208" s="198"/>
      <c r="H1208" s="123"/>
    </row>
    <row r="1209" spans="3:8" s="99" customFormat="1" x14ac:dyDescent="0.2">
      <c r="C1209" s="198"/>
      <c r="D1209" s="198"/>
      <c r="E1209" s="537"/>
      <c r="G1209" s="198"/>
      <c r="H1209" s="123"/>
    </row>
    <row r="1210" spans="3:8" s="99" customFormat="1" x14ac:dyDescent="0.2">
      <c r="C1210" s="198"/>
      <c r="D1210" s="198"/>
      <c r="E1210" s="537"/>
      <c r="G1210" s="198"/>
      <c r="H1210" s="123"/>
    </row>
    <row r="1211" spans="3:8" s="99" customFormat="1" x14ac:dyDescent="0.2">
      <c r="C1211" s="198"/>
      <c r="D1211" s="198"/>
      <c r="E1211" s="537"/>
      <c r="G1211" s="198"/>
      <c r="H1211" s="123"/>
    </row>
    <row r="1212" spans="3:8" s="99" customFormat="1" x14ac:dyDescent="0.2">
      <c r="C1212" s="198"/>
      <c r="D1212" s="198"/>
      <c r="E1212" s="537"/>
      <c r="G1212" s="198"/>
      <c r="H1212" s="123"/>
    </row>
    <row r="1213" spans="3:8" s="99" customFormat="1" x14ac:dyDescent="0.2">
      <c r="C1213" s="198"/>
      <c r="D1213" s="198"/>
      <c r="E1213" s="537"/>
      <c r="G1213" s="198"/>
      <c r="H1213" s="123"/>
    </row>
    <row r="1214" spans="3:8" s="99" customFormat="1" x14ac:dyDescent="0.2">
      <c r="C1214" s="198"/>
      <c r="D1214" s="198"/>
      <c r="E1214" s="537"/>
      <c r="G1214" s="198"/>
      <c r="H1214" s="123"/>
    </row>
    <row r="1215" spans="3:8" s="99" customFormat="1" x14ac:dyDescent="0.2">
      <c r="C1215" s="198"/>
      <c r="D1215" s="198"/>
      <c r="E1215" s="537"/>
      <c r="G1215" s="198"/>
      <c r="H1215" s="123"/>
    </row>
    <row r="1216" spans="3:8" s="99" customFormat="1" x14ac:dyDescent="0.2">
      <c r="C1216" s="198"/>
      <c r="D1216" s="198"/>
      <c r="E1216" s="537"/>
      <c r="G1216" s="198"/>
      <c r="H1216" s="123"/>
    </row>
    <row r="1217" spans="3:8" s="99" customFormat="1" x14ac:dyDescent="0.2">
      <c r="C1217" s="198"/>
      <c r="D1217" s="198"/>
      <c r="E1217" s="537"/>
      <c r="G1217" s="198"/>
      <c r="H1217" s="123"/>
    </row>
    <row r="1218" spans="3:8" s="99" customFormat="1" x14ac:dyDescent="0.2">
      <c r="C1218" s="198"/>
      <c r="D1218" s="198"/>
      <c r="E1218" s="537"/>
      <c r="G1218" s="198"/>
      <c r="H1218" s="123"/>
    </row>
    <row r="1219" spans="3:8" s="99" customFormat="1" x14ac:dyDescent="0.2">
      <c r="C1219" s="198"/>
      <c r="D1219" s="198"/>
      <c r="E1219" s="537"/>
      <c r="G1219" s="198"/>
      <c r="H1219" s="123"/>
    </row>
    <row r="1220" spans="3:8" s="99" customFormat="1" x14ac:dyDescent="0.2">
      <c r="C1220" s="198"/>
      <c r="D1220" s="198"/>
      <c r="E1220" s="537"/>
      <c r="G1220" s="198"/>
      <c r="H1220" s="123"/>
    </row>
    <row r="1221" spans="3:8" s="99" customFormat="1" x14ac:dyDescent="0.2">
      <c r="C1221" s="198"/>
      <c r="D1221" s="198"/>
      <c r="E1221" s="537"/>
      <c r="G1221" s="198"/>
      <c r="H1221" s="123"/>
    </row>
    <row r="1222" spans="3:8" s="99" customFormat="1" x14ac:dyDescent="0.2">
      <c r="C1222" s="198"/>
      <c r="D1222" s="198"/>
      <c r="E1222" s="537"/>
      <c r="G1222" s="198"/>
      <c r="H1222" s="123"/>
    </row>
    <row r="1223" spans="3:8" s="99" customFormat="1" x14ac:dyDescent="0.2">
      <c r="C1223" s="198"/>
      <c r="D1223" s="198"/>
      <c r="E1223" s="537"/>
      <c r="G1223" s="198"/>
      <c r="H1223" s="123"/>
    </row>
    <row r="1224" spans="3:8" s="99" customFormat="1" x14ac:dyDescent="0.2">
      <c r="C1224" s="198"/>
      <c r="D1224" s="198"/>
      <c r="E1224" s="537"/>
      <c r="G1224" s="198"/>
      <c r="H1224" s="123"/>
    </row>
    <row r="1225" spans="3:8" s="99" customFormat="1" x14ac:dyDescent="0.2">
      <c r="C1225" s="198"/>
      <c r="D1225" s="198"/>
      <c r="E1225" s="537"/>
      <c r="G1225" s="198"/>
      <c r="H1225" s="123"/>
    </row>
    <row r="1226" spans="3:8" s="99" customFormat="1" x14ac:dyDescent="0.2">
      <c r="C1226" s="198"/>
      <c r="D1226" s="198"/>
      <c r="E1226" s="537"/>
      <c r="G1226" s="198"/>
      <c r="H1226" s="123"/>
    </row>
    <row r="1227" spans="3:8" s="99" customFormat="1" x14ac:dyDescent="0.2">
      <c r="C1227" s="198"/>
      <c r="D1227" s="198"/>
      <c r="E1227" s="537"/>
      <c r="G1227" s="198"/>
      <c r="H1227" s="123"/>
    </row>
    <row r="1228" spans="3:8" s="99" customFormat="1" x14ac:dyDescent="0.2">
      <c r="C1228" s="198"/>
      <c r="D1228" s="198"/>
      <c r="E1228" s="537"/>
      <c r="G1228" s="198"/>
      <c r="H1228" s="123"/>
    </row>
    <row r="1229" spans="3:8" s="99" customFormat="1" x14ac:dyDescent="0.2">
      <c r="C1229" s="198"/>
      <c r="D1229" s="198"/>
      <c r="E1229" s="537"/>
      <c r="G1229" s="198"/>
      <c r="H1229" s="123"/>
    </row>
    <row r="1230" spans="3:8" s="99" customFormat="1" x14ac:dyDescent="0.2">
      <c r="C1230" s="198"/>
      <c r="D1230" s="198"/>
      <c r="E1230" s="537"/>
      <c r="G1230" s="198"/>
      <c r="H1230" s="123"/>
    </row>
    <row r="1231" spans="3:8" s="99" customFormat="1" x14ac:dyDescent="0.2">
      <c r="C1231" s="198"/>
      <c r="D1231" s="198"/>
      <c r="E1231" s="537"/>
      <c r="G1231" s="198"/>
      <c r="H1231" s="123"/>
    </row>
    <row r="1232" spans="3:8" s="99" customFormat="1" x14ac:dyDescent="0.2">
      <c r="C1232" s="198"/>
      <c r="D1232" s="198"/>
      <c r="E1232" s="537"/>
      <c r="G1232" s="198"/>
      <c r="H1232" s="123"/>
    </row>
    <row r="1233" spans="3:8" s="99" customFormat="1" x14ac:dyDescent="0.2">
      <c r="C1233" s="198"/>
      <c r="D1233" s="198"/>
      <c r="E1233" s="537"/>
      <c r="G1233" s="198"/>
      <c r="H1233" s="123"/>
    </row>
    <row r="1234" spans="3:8" s="99" customFormat="1" x14ac:dyDescent="0.2">
      <c r="C1234" s="198"/>
      <c r="D1234" s="198"/>
      <c r="E1234" s="537"/>
      <c r="G1234" s="198"/>
      <c r="H1234" s="123"/>
    </row>
    <row r="1235" spans="3:8" s="99" customFormat="1" x14ac:dyDescent="0.2">
      <c r="C1235" s="198"/>
      <c r="D1235" s="198"/>
      <c r="E1235" s="537"/>
      <c r="G1235" s="198"/>
      <c r="H1235" s="123"/>
    </row>
    <row r="1236" spans="3:8" s="99" customFormat="1" x14ac:dyDescent="0.2">
      <c r="C1236" s="198"/>
      <c r="D1236" s="198"/>
      <c r="E1236" s="537"/>
      <c r="G1236" s="198"/>
      <c r="H1236" s="123"/>
    </row>
    <row r="1237" spans="3:8" s="99" customFormat="1" x14ac:dyDescent="0.2">
      <c r="C1237" s="198"/>
      <c r="D1237" s="198"/>
      <c r="E1237" s="537"/>
      <c r="G1237" s="198"/>
      <c r="H1237" s="123"/>
    </row>
    <row r="1238" spans="3:8" s="99" customFormat="1" x14ac:dyDescent="0.2">
      <c r="C1238" s="198"/>
      <c r="D1238" s="198"/>
      <c r="E1238" s="537"/>
      <c r="G1238" s="198"/>
      <c r="H1238" s="123"/>
    </row>
    <row r="1239" spans="3:8" s="99" customFormat="1" x14ac:dyDescent="0.2">
      <c r="C1239" s="198"/>
      <c r="D1239" s="198"/>
      <c r="E1239" s="537"/>
      <c r="G1239" s="198"/>
      <c r="H1239" s="123"/>
    </row>
    <row r="1240" spans="3:8" s="99" customFormat="1" x14ac:dyDescent="0.2">
      <c r="C1240" s="198"/>
      <c r="D1240" s="198"/>
      <c r="E1240" s="537"/>
      <c r="G1240" s="198"/>
      <c r="H1240" s="123"/>
    </row>
    <row r="1241" spans="3:8" s="99" customFormat="1" x14ac:dyDescent="0.2">
      <c r="C1241" s="198"/>
      <c r="D1241" s="198"/>
      <c r="E1241" s="537"/>
      <c r="G1241" s="198"/>
      <c r="H1241" s="123"/>
    </row>
    <row r="1242" spans="3:8" s="99" customFormat="1" x14ac:dyDescent="0.2">
      <c r="C1242" s="198"/>
      <c r="D1242" s="198"/>
      <c r="E1242" s="537"/>
      <c r="G1242" s="198"/>
      <c r="H1242" s="123"/>
    </row>
    <row r="1243" spans="3:8" s="99" customFormat="1" x14ac:dyDescent="0.2">
      <c r="C1243" s="198"/>
      <c r="D1243" s="198"/>
      <c r="E1243" s="537"/>
      <c r="G1243" s="198"/>
      <c r="H1243" s="123"/>
    </row>
    <row r="1244" spans="3:8" s="99" customFormat="1" x14ac:dyDescent="0.2">
      <c r="C1244" s="198"/>
      <c r="D1244" s="198"/>
      <c r="E1244" s="537"/>
      <c r="G1244" s="198"/>
      <c r="H1244" s="123"/>
    </row>
    <row r="1245" spans="3:8" s="99" customFormat="1" x14ac:dyDescent="0.2">
      <c r="C1245" s="198"/>
      <c r="D1245" s="198"/>
      <c r="E1245" s="537"/>
      <c r="G1245" s="198"/>
      <c r="H1245" s="123"/>
    </row>
    <row r="1246" spans="3:8" s="99" customFormat="1" x14ac:dyDescent="0.2">
      <c r="C1246" s="198"/>
      <c r="D1246" s="198"/>
      <c r="E1246" s="537"/>
      <c r="G1246" s="198"/>
      <c r="H1246" s="123"/>
    </row>
    <row r="1247" spans="3:8" s="99" customFormat="1" x14ac:dyDescent="0.2">
      <c r="C1247" s="198"/>
      <c r="D1247" s="198"/>
      <c r="E1247" s="537"/>
      <c r="G1247" s="198"/>
      <c r="H1247" s="123"/>
    </row>
    <row r="1248" spans="3:8" s="99" customFormat="1" x14ac:dyDescent="0.2">
      <c r="C1248" s="198"/>
      <c r="D1248" s="198"/>
      <c r="E1248" s="537"/>
      <c r="G1248" s="198"/>
      <c r="H1248" s="123"/>
    </row>
    <row r="1249" spans="3:8" s="99" customFormat="1" x14ac:dyDescent="0.2">
      <c r="C1249" s="198"/>
      <c r="D1249" s="198"/>
      <c r="E1249" s="537"/>
      <c r="G1249" s="198"/>
      <c r="H1249" s="123"/>
    </row>
    <row r="1250" spans="3:8" s="99" customFormat="1" x14ac:dyDescent="0.2">
      <c r="C1250" s="198"/>
      <c r="D1250" s="198"/>
      <c r="E1250" s="537"/>
      <c r="G1250" s="198"/>
      <c r="H1250" s="123"/>
    </row>
    <row r="1251" spans="3:8" s="99" customFormat="1" x14ac:dyDescent="0.2">
      <c r="C1251" s="198"/>
      <c r="D1251" s="198"/>
      <c r="E1251" s="537"/>
      <c r="G1251" s="198"/>
      <c r="H1251" s="123"/>
    </row>
    <row r="1252" spans="3:8" s="99" customFormat="1" x14ac:dyDescent="0.2">
      <c r="C1252" s="198"/>
      <c r="D1252" s="198"/>
      <c r="E1252" s="537"/>
      <c r="G1252" s="198"/>
      <c r="H1252" s="123"/>
    </row>
    <row r="1253" spans="3:8" s="99" customFormat="1" x14ac:dyDescent="0.2">
      <c r="C1253" s="198"/>
      <c r="D1253" s="198"/>
      <c r="E1253" s="537"/>
      <c r="G1253" s="198"/>
      <c r="H1253" s="123"/>
    </row>
    <row r="1254" spans="3:8" s="99" customFormat="1" x14ac:dyDescent="0.2">
      <c r="C1254" s="198"/>
      <c r="D1254" s="198"/>
      <c r="E1254" s="537"/>
      <c r="G1254" s="198"/>
      <c r="H1254" s="123"/>
    </row>
    <row r="1255" spans="3:8" s="99" customFormat="1" x14ac:dyDescent="0.2">
      <c r="C1255" s="198"/>
      <c r="D1255" s="198"/>
      <c r="E1255" s="537"/>
      <c r="G1255" s="198"/>
      <c r="H1255" s="123"/>
    </row>
    <row r="1256" spans="3:8" s="99" customFormat="1" x14ac:dyDescent="0.2">
      <c r="C1256" s="198"/>
      <c r="D1256" s="198"/>
      <c r="E1256" s="537"/>
      <c r="G1256" s="198"/>
      <c r="H1256" s="123"/>
    </row>
    <row r="1257" spans="3:8" s="99" customFormat="1" x14ac:dyDescent="0.2">
      <c r="C1257" s="198"/>
      <c r="D1257" s="198"/>
      <c r="E1257" s="537"/>
      <c r="G1257" s="198"/>
      <c r="H1257" s="123"/>
    </row>
    <row r="1258" spans="3:8" s="99" customFormat="1" x14ac:dyDescent="0.2">
      <c r="C1258" s="198"/>
      <c r="D1258" s="198"/>
      <c r="E1258" s="537"/>
      <c r="G1258" s="198"/>
      <c r="H1258" s="123"/>
    </row>
    <row r="1259" spans="3:8" s="99" customFormat="1" x14ac:dyDescent="0.2">
      <c r="C1259" s="198"/>
      <c r="D1259" s="198"/>
      <c r="E1259" s="537"/>
      <c r="G1259" s="198"/>
      <c r="H1259" s="123"/>
    </row>
    <row r="1260" spans="3:8" s="99" customFormat="1" x14ac:dyDescent="0.2">
      <c r="C1260" s="198"/>
      <c r="D1260" s="198"/>
      <c r="E1260" s="537"/>
      <c r="G1260" s="198"/>
      <c r="H1260" s="123"/>
    </row>
    <row r="1261" spans="3:8" s="99" customFormat="1" x14ac:dyDescent="0.2">
      <c r="C1261" s="198"/>
      <c r="D1261" s="198"/>
      <c r="E1261" s="537"/>
      <c r="G1261" s="198"/>
      <c r="H1261" s="123"/>
    </row>
    <row r="1262" spans="3:8" s="99" customFormat="1" x14ac:dyDescent="0.2">
      <c r="C1262" s="198"/>
      <c r="D1262" s="198"/>
      <c r="E1262" s="537"/>
      <c r="G1262" s="198"/>
      <c r="H1262" s="123"/>
    </row>
    <row r="1263" spans="3:8" s="99" customFormat="1" x14ac:dyDescent="0.2">
      <c r="C1263" s="198"/>
      <c r="D1263" s="198"/>
      <c r="E1263" s="537"/>
      <c r="G1263" s="198"/>
      <c r="H1263" s="123"/>
    </row>
    <row r="1264" spans="3:8" s="99" customFormat="1" x14ac:dyDescent="0.2">
      <c r="C1264" s="198"/>
      <c r="D1264" s="198"/>
      <c r="E1264" s="537"/>
      <c r="G1264" s="198"/>
      <c r="H1264" s="123"/>
    </row>
    <row r="1265" spans="3:8" s="99" customFormat="1" x14ac:dyDescent="0.2">
      <c r="C1265" s="198"/>
      <c r="D1265" s="198"/>
      <c r="E1265" s="537"/>
      <c r="G1265" s="198"/>
      <c r="H1265" s="123"/>
    </row>
    <row r="1266" spans="3:8" s="99" customFormat="1" x14ac:dyDescent="0.2">
      <c r="C1266" s="198"/>
      <c r="D1266" s="198"/>
      <c r="E1266" s="537"/>
      <c r="G1266" s="198"/>
      <c r="H1266" s="123"/>
    </row>
    <row r="1267" spans="3:8" s="99" customFormat="1" x14ac:dyDescent="0.2">
      <c r="C1267" s="198"/>
      <c r="D1267" s="198"/>
      <c r="E1267" s="537"/>
      <c r="G1267" s="198"/>
      <c r="H1267" s="123"/>
    </row>
    <row r="1268" spans="3:8" s="99" customFormat="1" x14ac:dyDescent="0.2">
      <c r="C1268" s="198"/>
      <c r="D1268" s="198"/>
      <c r="E1268" s="537"/>
      <c r="G1268" s="198"/>
      <c r="H1268" s="123"/>
    </row>
    <row r="1269" spans="3:8" s="99" customFormat="1" x14ac:dyDescent="0.2">
      <c r="C1269" s="198"/>
      <c r="D1269" s="198"/>
      <c r="E1269" s="537"/>
      <c r="G1269" s="198"/>
      <c r="H1269" s="123"/>
    </row>
    <row r="1270" spans="3:8" s="99" customFormat="1" x14ac:dyDescent="0.2">
      <c r="C1270" s="198"/>
      <c r="D1270" s="198"/>
      <c r="E1270" s="537"/>
      <c r="G1270" s="198"/>
      <c r="H1270" s="123"/>
    </row>
    <row r="1271" spans="3:8" s="99" customFormat="1" x14ac:dyDescent="0.2">
      <c r="C1271" s="198"/>
      <c r="D1271" s="198"/>
      <c r="E1271" s="537"/>
      <c r="G1271" s="198"/>
      <c r="H1271" s="123"/>
    </row>
    <row r="1272" spans="3:8" s="99" customFormat="1" x14ac:dyDescent="0.2">
      <c r="C1272" s="198"/>
      <c r="D1272" s="198"/>
      <c r="E1272" s="537"/>
      <c r="G1272" s="198"/>
      <c r="H1272" s="123"/>
    </row>
    <row r="1273" spans="3:8" s="99" customFormat="1" x14ac:dyDescent="0.2">
      <c r="C1273" s="198"/>
      <c r="D1273" s="198"/>
      <c r="E1273" s="537"/>
      <c r="G1273" s="198"/>
      <c r="H1273" s="123"/>
    </row>
    <row r="1274" spans="3:8" s="99" customFormat="1" x14ac:dyDescent="0.2">
      <c r="C1274" s="198"/>
      <c r="D1274" s="198"/>
      <c r="E1274" s="537"/>
      <c r="G1274" s="198"/>
      <c r="H1274" s="123"/>
    </row>
    <row r="1275" spans="3:8" s="99" customFormat="1" x14ac:dyDescent="0.2">
      <c r="C1275" s="198"/>
      <c r="D1275" s="198"/>
      <c r="E1275" s="537"/>
      <c r="G1275" s="198"/>
      <c r="H1275" s="123"/>
    </row>
    <row r="1276" spans="3:8" s="99" customFormat="1" x14ac:dyDescent="0.2">
      <c r="C1276" s="198"/>
      <c r="D1276" s="198"/>
      <c r="E1276" s="537"/>
      <c r="G1276" s="198"/>
      <c r="H1276" s="123"/>
    </row>
    <row r="1277" spans="3:8" s="99" customFormat="1" x14ac:dyDescent="0.2">
      <c r="C1277" s="198"/>
      <c r="D1277" s="198"/>
      <c r="E1277" s="537"/>
      <c r="G1277" s="198"/>
      <c r="H1277" s="123"/>
    </row>
    <row r="1278" spans="3:8" s="99" customFormat="1" x14ac:dyDescent="0.2">
      <c r="C1278" s="198"/>
      <c r="D1278" s="198"/>
      <c r="E1278" s="537"/>
      <c r="G1278" s="198"/>
      <c r="H1278" s="123"/>
    </row>
    <row r="1279" spans="3:8" s="99" customFormat="1" x14ac:dyDescent="0.2">
      <c r="C1279" s="198"/>
      <c r="D1279" s="198"/>
      <c r="E1279" s="537"/>
      <c r="G1279" s="198"/>
      <c r="H1279" s="123"/>
    </row>
    <row r="1280" spans="3:8" s="99" customFormat="1" x14ac:dyDescent="0.2">
      <c r="C1280" s="198"/>
      <c r="D1280" s="198"/>
      <c r="E1280" s="537"/>
      <c r="G1280" s="198"/>
      <c r="H1280" s="123"/>
    </row>
    <row r="1281" spans="3:8" s="99" customFormat="1" x14ac:dyDescent="0.2">
      <c r="C1281" s="198"/>
      <c r="D1281" s="198"/>
      <c r="E1281" s="537"/>
      <c r="G1281" s="198"/>
      <c r="H1281" s="123"/>
    </row>
    <row r="1282" spans="3:8" s="99" customFormat="1" x14ac:dyDescent="0.2">
      <c r="C1282" s="198"/>
      <c r="D1282" s="198"/>
      <c r="E1282" s="537"/>
      <c r="G1282" s="198"/>
      <c r="H1282" s="123"/>
    </row>
    <row r="1283" spans="3:8" s="99" customFormat="1" x14ac:dyDescent="0.2">
      <c r="C1283" s="198"/>
      <c r="D1283" s="198"/>
      <c r="E1283" s="537"/>
      <c r="G1283" s="198"/>
      <c r="H1283" s="123"/>
    </row>
    <row r="1284" spans="3:8" s="99" customFormat="1" x14ac:dyDescent="0.2">
      <c r="C1284" s="198"/>
      <c r="D1284" s="198"/>
      <c r="E1284" s="537"/>
      <c r="G1284" s="198"/>
      <c r="H1284" s="123"/>
    </row>
    <row r="1285" spans="3:8" s="99" customFormat="1" x14ac:dyDescent="0.2">
      <c r="C1285" s="198"/>
      <c r="D1285" s="198"/>
      <c r="E1285" s="537"/>
      <c r="G1285" s="198"/>
      <c r="H1285" s="123"/>
    </row>
    <row r="1286" spans="3:8" s="99" customFormat="1" x14ac:dyDescent="0.2">
      <c r="C1286" s="198"/>
      <c r="D1286" s="198"/>
      <c r="E1286" s="537"/>
      <c r="G1286" s="198"/>
      <c r="H1286" s="123"/>
    </row>
    <row r="1287" spans="3:8" s="99" customFormat="1" x14ac:dyDescent="0.2">
      <c r="C1287" s="198"/>
      <c r="D1287" s="198"/>
      <c r="E1287" s="537"/>
      <c r="G1287" s="198"/>
      <c r="H1287" s="123"/>
    </row>
    <row r="1288" spans="3:8" s="99" customFormat="1" x14ac:dyDescent="0.2">
      <c r="C1288" s="198"/>
      <c r="D1288" s="198"/>
      <c r="E1288" s="537"/>
      <c r="G1288" s="198"/>
      <c r="H1288" s="123"/>
    </row>
    <row r="1289" spans="3:8" s="99" customFormat="1" x14ac:dyDescent="0.2">
      <c r="C1289" s="198"/>
      <c r="D1289" s="198"/>
      <c r="E1289" s="537"/>
      <c r="G1289" s="198"/>
      <c r="H1289" s="123"/>
    </row>
    <row r="1290" spans="3:8" s="99" customFormat="1" x14ac:dyDescent="0.2">
      <c r="C1290" s="198"/>
      <c r="D1290" s="198"/>
      <c r="E1290" s="537"/>
      <c r="G1290" s="198"/>
      <c r="H1290" s="123"/>
    </row>
    <row r="1291" spans="3:8" s="99" customFormat="1" x14ac:dyDescent="0.2">
      <c r="C1291" s="198"/>
      <c r="D1291" s="198"/>
      <c r="E1291" s="537"/>
      <c r="G1291" s="198"/>
      <c r="H1291" s="123"/>
    </row>
    <row r="1292" spans="3:8" s="99" customFormat="1" x14ac:dyDescent="0.2">
      <c r="C1292" s="198"/>
      <c r="D1292" s="198"/>
      <c r="E1292" s="537"/>
      <c r="G1292" s="198"/>
      <c r="H1292" s="123"/>
    </row>
    <row r="1293" spans="3:8" s="99" customFormat="1" x14ac:dyDescent="0.2">
      <c r="C1293" s="198"/>
      <c r="D1293" s="198"/>
      <c r="E1293" s="537"/>
      <c r="G1293" s="198"/>
      <c r="H1293" s="123"/>
    </row>
    <row r="1294" spans="3:8" s="99" customFormat="1" x14ac:dyDescent="0.2">
      <c r="C1294" s="198"/>
      <c r="D1294" s="198"/>
      <c r="E1294" s="537"/>
      <c r="G1294" s="198"/>
      <c r="H1294" s="123"/>
    </row>
    <row r="1295" spans="3:8" s="99" customFormat="1" x14ac:dyDescent="0.2">
      <c r="C1295" s="198"/>
      <c r="D1295" s="198"/>
      <c r="E1295" s="537"/>
      <c r="G1295" s="198"/>
      <c r="H1295" s="123"/>
    </row>
    <row r="1296" spans="3:8" s="99" customFormat="1" x14ac:dyDescent="0.2">
      <c r="C1296" s="198"/>
      <c r="D1296" s="198"/>
      <c r="E1296" s="537"/>
      <c r="G1296" s="198"/>
      <c r="H1296" s="123"/>
    </row>
    <row r="1297" spans="3:8" s="99" customFormat="1" x14ac:dyDescent="0.2">
      <c r="C1297" s="198"/>
      <c r="D1297" s="198"/>
      <c r="E1297" s="537"/>
      <c r="G1297" s="198"/>
      <c r="H1297" s="123"/>
    </row>
    <row r="1298" spans="3:8" s="99" customFormat="1" x14ac:dyDescent="0.2">
      <c r="C1298" s="198"/>
      <c r="D1298" s="198"/>
      <c r="E1298" s="537"/>
      <c r="G1298" s="198"/>
      <c r="H1298" s="123"/>
    </row>
    <row r="1299" spans="3:8" s="99" customFormat="1" x14ac:dyDescent="0.2">
      <c r="C1299" s="198"/>
      <c r="D1299" s="198"/>
      <c r="E1299" s="537"/>
      <c r="G1299" s="198"/>
      <c r="H1299" s="123"/>
    </row>
    <row r="1300" spans="3:8" s="99" customFormat="1" x14ac:dyDescent="0.2">
      <c r="C1300" s="198"/>
      <c r="D1300" s="198"/>
      <c r="E1300" s="537"/>
      <c r="G1300" s="198"/>
      <c r="H1300" s="123"/>
    </row>
    <row r="1301" spans="3:8" s="99" customFormat="1" x14ac:dyDescent="0.2">
      <c r="C1301" s="198"/>
      <c r="D1301" s="198"/>
      <c r="E1301" s="537"/>
      <c r="G1301" s="198"/>
      <c r="H1301" s="123"/>
    </row>
    <row r="1302" spans="3:8" s="99" customFormat="1" x14ac:dyDescent="0.2">
      <c r="C1302" s="198"/>
      <c r="D1302" s="198"/>
      <c r="E1302" s="537"/>
      <c r="G1302" s="198"/>
      <c r="H1302" s="123"/>
    </row>
    <row r="1303" spans="3:8" s="99" customFormat="1" x14ac:dyDescent="0.2">
      <c r="C1303" s="198"/>
      <c r="D1303" s="198"/>
      <c r="E1303" s="537"/>
      <c r="G1303" s="198"/>
      <c r="H1303" s="123"/>
    </row>
    <row r="1304" spans="3:8" s="99" customFormat="1" x14ac:dyDescent="0.2">
      <c r="C1304" s="198"/>
      <c r="D1304" s="198"/>
      <c r="E1304" s="537"/>
      <c r="G1304" s="198"/>
      <c r="H1304" s="123"/>
    </row>
    <row r="1305" spans="3:8" s="99" customFormat="1" x14ac:dyDescent="0.2">
      <c r="C1305" s="198"/>
      <c r="D1305" s="198"/>
      <c r="E1305" s="537"/>
      <c r="G1305" s="198"/>
      <c r="H1305" s="123"/>
    </row>
    <row r="1306" spans="3:8" s="99" customFormat="1" x14ac:dyDescent="0.2">
      <c r="C1306" s="198"/>
      <c r="D1306" s="198"/>
      <c r="E1306" s="537"/>
      <c r="G1306" s="198"/>
      <c r="H1306" s="123"/>
    </row>
    <row r="1307" spans="3:8" s="99" customFormat="1" x14ac:dyDescent="0.2">
      <c r="C1307" s="198"/>
      <c r="D1307" s="198"/>
      <c r="E1307" s="537"/>
      <c r="G1307" s="198"/>
      <c r="H1307" s="123"/>
    </row>
    <row r="1308" spans="3:8" s="99" customFormat="1" x14ac:dyDescent="0.2">
      <c r="C1308" s="198"/>
      <c r="D1308" s="198"/>
      <c r="E1308" s="537"/>
      <c r="G1308" s="198"/>
      <c r="H1308" s="123"/>
    </row>
    <row r="1309" spans="3:8" s="99" customFormat="1" x14ac:dyDescent="0.2">
      <c r="C1309" s="198"/>
      <c r="D1309" s="198"/>
      <c r="E1309" s="537"/>
      <c r="G1309" s="198"/>
      <c r="H1309" s="123"/>
    </row>
    <row r="1310" spans="3:8" s="99" customFormat="1" x14ac:dyDescent="0.2">
      <c r="C1310" s="198"/>
      <c r="D1310" s="198"/>
      <c r="E1310" s="537"/>
      <c r="G1310" s="198"/>
      <c r="H1310" s="123"/>
    </row>
    <row r="1311" spans="3:8" s="99" customFormat="1" x14ac:dyDescent="0.2">
      <c r="C1311" s="198"/>
      <c r="D1311" s="198"/>
      <c r="E1311" s="537"/>
      <c r="G1311" s="198"/>
      <c r="H1311" s="123"/>
    </row>
    <row r="1312" spans="3:8" s="99" customFormat="1" x14ac:dyDescent="0.2">
      <c r="C1312" s="198"/>
      <c r="D1312" s="198"/>
      <c r="E1312" s="537"/>
      <c r="G1312" s="198"/>
      <c r="H1312" s="123"/>
    </row>
    <row r="1313" spans="3:8" s="99" customFormat="1" x14ac:dyDescent="0.2">
      <c r="C1313" s="198"/>
      <c r="D1313" s="198"/>
      <c r="E1313" s="537"/>
      <c r="G1313" s="198"/>
      <c r="H1313" s="123"/>
    </row>
    <row r="1314" spans="3:8" s="99" customFormat="1" x14ac:dyDescent="0.2">
      <c r="C1314" s="198"/>
      <c r="D1314" s="198"/>
      <c r="E1314" s="537"/>
      <c r="G1314" s="198"/>
      <c r="H1314" s="123"/>
    </row>
    <row r="1315" spans="3:8" s="99" customFormat="1" x14ac:dyDescent="0.2">
      <c r="C1315" s="198"/>
      <c r="D1315" s="198"/>
      <c r="E1315" s="537"/>
      <c r="G1315" s="198"/>
      <c r="H1315" s="123"/>
    </row>
    <row r="1316" spans="3:8" s="99" customFormat="1" x14ac:dyDescent="0.2">
      <c r="C1316" s="198"/>
      <c r="D1316" s="198"/>
      <c r="E1316" s="537"/>
      <c r="G1316" s="198"/>
      <c r="H1316" s="123"/>
    </row>
    <row r="1317" spans="3:8" s="99" customFormat="1" x14ac:dyDescent="0.2">
      <c r="C1317" s="198"/>
      <c r="D1317" s="198"/>
      <c r="E1317" s="537"/>
      <c r="G1317" s="198"/>
      <c r="H1317" s="123"/>
    </row>
    <row r="1318" spans="3:8" s="99" customFormat="1" x14ac:dyDescent="0.2">
      <c r="C1318" s="198"/>
      <c r="D1318" s="198"/>
      <c r="E1318" s="537"/>
      <c r="G1318" s="198"/>
      <c r="H1318" s="123"/>
    </row>
    <row r="1319" spans="3:8" s="99" customFormat="1" x14ac:dyDescent="0.2">
      <c r="C1319" s="198"/>
      <c r="D1319" s="198"/>
      <c r="E1319" s="537"/>
      <c r="G1319" s="198"/>
      <c r="H1319" s="123"/>
    </row>
    <row r="1320" spans="3:8" s="99" customFormat="1" x14ac:dyDescent="0.2">
      <c r="C1320" s="198"/>
      <c r="D1320" s="198"/>
      <c r="E1320" s="537"/>
      <c r="G1320" s="198"/>
      <c r="H1320" s="123"/>
    </row>
    <row r="1321" spans="3:8" s="99" customFormat="1" x14ac:dyDescent="0.2">
      <c r="C1321" s="198"/>
      <c r="D1321" s="198"/>
      <c r="E1321" s="537"/>
      <c r="G1321" s="198"/>
      <c r="H1321" s="123"/>
    </row>
    <row r="1322" spans="3:8" s="99" customFormat="1" x14ac:dyDescent="0.2">
      <c r="C1322" s="198"/>
      <c r="D1322" s="198"/>
      <c r="E1322" s="537"/>
      <c r="G1322" s="198"/>
      <c r="H1322" s="123"/>
    </row>
    <row r="1323" spans="3:8" s="99" customFormat="1" x14ac:dyDescent="0.2">
      <c r="C1323" s="198"/>
      <c r="D1323" s="198"/>
      <c r="E1323" s="537"/>
      <c r="G1323" s="198"/>
      <c r="H1323" s="123"/>
    </row>
    <row r="1324" spans="3:8" s="99" customFormat="1" x14ac:dyDescent="0.2">
      <c r="C1324" s="198"/>
      <c r="D1324" s="198"/>
      <c r="E1324" s="537"/>
      <c r="G1324" s="198"/>
      <c r="H1324" s="123"/>
    </row>
    <row r="1325" spans="3:8" s="99" customFormat="1" x14ac:dyDescent="0.2">
      <c r="C1325" s="198"/>
      <c r="D1325" s="198"/>
      <c r="E1325" s="537"/>
      <c r="G1325" s="198"/>
      <c r="H1325" s="123"/>
    </row>
    <row r="1326" spans="3:8" s="99" customFormat="1" x14ac:dyDescent="0.2">
      <c r="C1326" s="198"/>
      <c r="D1326" s="198"/>
      <c r="E1326" s="537"/>
      <c r="G1326" s="198"/>
      <c r="H1326" s="123"/>
    </row>
    <row r="1327" spans="3:8" s="99" customFormat="1" x14ac:dyDescent="0.2">
      <c r="C1327" s="198"/>
      <c r="D1327" s="198"/>
      <c r="E1327" s="537"/>
      <c r="G1327" s="198"/>
      <c r="H1327" s="123"/>
    </row>
    <row r="1328" spans="3:8" s="99" customFormat="1" x14ac:dyDescent="0.2">
      <c r="C1328" s="198"/>
      <c r="D1328" s="198"/>
      <c r="E1328" s="537"/>
      <c r="G1328" s="198"/>
      <c r="H1328" s="123"/>
    </row>
    <row r="1329" spans="3:8" s="99" customFormat="1" x14ac:dyDescent="0.2">
      <c r="C1329" s="198"/>
      <c r="D1329" s="198"/>
      <c r="E1329" s="537"/>
      <c r="G1329" s="198"/>
      <c r="H1329" s="123"/>
    </row>
    <row r="1330" spans="3:8" s="99" customFormat="1" x14ac:dyDescent="0.2">
      <c r="C1330" s="198"/>
      <c r="D1330" s="198"/>
      <c r="E1330" s="537"/>
      <c r="G1330" s="198"/>
      <c r="H1330" s="123"/>
    </row>
    <row r="1331" spans="3:8" s="99" customFormat="1" x14ac:dyDescent="0.2">
      <c r="C1331" s="198"/>
      <c r="D1331" s="198"/>
      <c r="E1331" s="537"/>
      <c r="G1331" s="198"/>
      <c r="H1331" s="123"/>
    </row>
    <row r="1332" spans="3:8" s="99" customFormat="1" x14ac:dyDescent="0.2">
      <c r="C1332" s="198"/>
      <c r="D1332" s="198"/>
      <c r="E1332" s="537"/>
      <c r="G1332" s="198"/>
      <c r="H1332" s="123"/>
    </row>
    <row r="1333" spans="3:8" s="99" customFormat="1" x14ac:dyDescent="0.2">
      <c r="C1333" s="198"/>
      <c r="D1333" s="198"/>
      <c r="E1333" s="537"/>
      <c r="G1333" s="198"/>
      <c r="H1333" s="123"/>
    </row>
    <row r="1334" spans="3:8" s="99" customFormat="1" x14ac:dyDescent="0.2">
      <c r="C1334" s="198"/>
      <c r="D1334" s="198"/>
      <c r="E1334" s="537"/>
      <c r="G1334" s="198"/>
      <c r="H1334" s="123"/>
    </row>
    <row r="1335" spans="3:8" s="99" customFormat="1" x14ac:dyDescent="0.2">
      <c r="C1335" s="198"/>
      <c r="D1335" s="198"/>
      <c r="E1335" s="537"/>
      <c r="G1335" s="198"/>
      <c r="H1335" s="123"/>
    </row>
    <row r="1336" spans="3:8" s="99" customFormat="1" x14ac:dyDescent="0.2">
      <c r="C1336" s="198"/>
      <c r="D1336" s="198"/>
      <c r="E1336" s="537"/>
      <c r="G1336" s="198"/>
      <c r="H1336" s="123"/>
    </row>
    <row r="1337" spans="3:8" s="99" customFormat="1" x14ac:dyDescent="0.2">
      <c r="C1337" s="198"/>
      <c r="D1337" s="198"/>
      <c r="E1337" s="537"/>
      <c r="G1337" s="198"/>
      <c r="H1337" s="123"/>
    </row>
    <row r="1338" spans="3:8" s="99" customFormat="1" x14ac:dyDescent="0.2">
      <c r="C1338" s="198"/>
      <c r="D1338" s="198"/>
      <c r="E1338" s="537"/>
      <c r="G1338" s="198"/>
      <c r="H1338" s="123"/>
    </row>
    <row r="1339" spans="3:8" s="99" customFormat="1" x14ac:dyDescent="0.2">
      <c r="C1339" s="198"/>
      <c r="D1339" s="198"/>
      <c r="E1339" s="537"/>
      <c r="G1339" s="198"/>
      <c r="H1339" s="123"/>
    </row>
    <row r="1340" spans="3:8" s="99" customFormat="1" x14ac:dyDescent="0.2">
      <c r="C1340" s="198"/>
      <c r="D1340" s="198"/>
      <c r="E1340" s="537"/>
      <c r="G1340" s="198"/>
      <c r="H1340" s="123"/>
    </row>
    <row r="1341" spans="3:8" s="99" customFormat="1" x14ac:dyDescent="0.2">
      <c r="C1341" s="198"/>
      <c r="D1341" s="198"/>
      <c r="E1341" s="537"/>
      <c r="G1341" s="198"/>
      <c r="H1341" s="123"/>
    </row>
    <row r="1342" spans="3:8" s="99" customFormat="1" x14ac:dyDescent="0.2">
      <c r="C1342" s="198"/>
      <c r="D1342" s="198"/>
      <c r="E1342" s="537"/>
      <c r="G1342" s="198"/>
      <c r="H1342" s="123"/>
    </row>
    <row r="1343" spans="3:8" s="99" customFormat="1" x14ac:dyDescent="0.2">
      <c r="C1343" s="198"/>
      <c r="D1343" s="198"/>
      <c r="E1343" s="537"/>
      <c r="G1343" s="198"/>
      <c r="H1343" s="123"/>
    </row>
    <row r="1344" spans="3:8" s="99" customFormat="1" x14ac:dyDescent="0.2">
      <c r="C1344" s="198"/>
      <c r="D1344" s="198"/>
      <c r="E1344" s="537"/>
      <c r="G1344" s="198"/>
      <c r="H1344" s="123"/>
    </row>
    <row r="1345" spans="3:8" s="99" customFormat="1" x14ac:dyDescent="0.2">
      <c r="C1345" s="198"/>
      <c r="D1345" s="198"/>
      <c r="E1345" s="537"/>
      <c r="G1345" s="198"/>
      <c r="H1345" s="123"/>
    </row>
    <row r="1346" spans="3:8" s="99" customFormat="1" x14ac:dyDescent="0.2">
      <c r="C1346" s="198"/>
      <c r="D1346" s="198"/>
      <c r="E1346" s="537"/>
      <c r="G1346" s="198"/>
      <c r="H1346" s="123"/>
    </row>
    <row r="1347" spans="3:8" s="99" customFormat="1" x14ac:dyDescent="0.2">
      <c r="C1347" s="198"/>
      <c r="D1347" s="198"/>
      <c r="E1347" s="537"/>
      <c r="G1347" s="198"/>
      <c r="H1347" s="123"/>
    </row>
    <row r="1348" spans="3:8" s="99" customFormat="1" x14ac:dyDescent="0.2">
      <c r="C1348" s="198"/>
      <c r="D1348" s="198"/>
      <c r="E1348" s="537"/>
      <c r="G1348" s="198"/>
      <c r="H1348" s="123"/>
    </row>
    <row r="1349" spans="3:8" s="99" customFormat="1" x14ac:dyDescent="0.2">
      <c r="C1349" s="198"/>
      <c r="D1349" s="198"/>
      <c r="E1349" s="537"/>
      <c r="G1349" s="198"/>
      <c r="H1349" s="123"/>
    </row>
    <row r="1350" spans="3:8" s="99" customFormat="1" x14ac:dyDescent="0.2">
      <c r="C1350" s="198"/>
      <c r="D1350" s="198"/>
      <c r="E1350" s="537"/>
      <c r="G1350" s="198"/>
      <c r="H1350" s="123"/>
    </row>
    <row r="1351" spans="3:8" s="99" customFormat="1" x14ac:dyDescent="0.2">
      <c r="C1351" s="198"/>
      <c r="D1351" s="198"/>
      <c r="E1351" s="537"/>
      <c r="G1351" s="198"/>
      <c r="H1351" s="123"/>
    </row>
    <row r="1352" spans="3:8" s="99" customFormat="1" x14ac:dyDescent="0.2">
      <c r="C1352" s="198"/>
      <c r="D1352" s="198"/>
      <c r="E1352" s="537"/>
      <c r="G1352" s="198"/>
      <c r="H1352" s="123"/>
    </row>
    <row r="1353" spans="3:8" s="99" customFormat="1" x14ac:dyDescent="0.2">
      <c r="C1353" s="198"/>
      <c r="D1353" s="198"/>
      <c r="E1353" s="537"/>
      <c r="G1353" s="198"/>
      <c r="H1353" s="123"/>
    </row>
    <row r="1354" spans="3:8" s="99" customFormat="1" x14ac:dyDescent="0.2">
      <c r="C1354" s="198"/>
      <c r="D1354" s="198"/>
      <c r="E1354" s="537"/>
      <c r="G1354" s="198"/>
      <c r="H1354" s="123"/>
    </row>
    <row r="1355" spans="3:8" s="99" customFormat="1" x14ac:dyDescent="0.2">
      <c r="C1355" s="198"/>
      <c r="D1355" s="198"/>
      <c r="E1355" s="537"/>
      <c r="G1355" s="198"/>
      <c r="H1355" s="123"/>
    </row>
    <row r="1356" spans="3:8" s="99" customFormat="1" x14ac:dyDescent="0.2">
      <c r="C1356" s="198"/>
      <c r="D1356" s="198"/>
      <c r="E1356" s="537"/>
      <c r="G1356" s="198"/>
      <c r="H1356" s="123"/>
    </row>
    <row r="1357" spans="3:8" s="99" customFormat="1" x14ac:dyDescent="0.2">
      <c r="C1357" s="198"/>
      <c r="D1357" s="198"/>
      <c r="E1357" s="537"/>
      <c r="G1357" s="198"/>
      <c r="H1357" s="123"/>
    </row>
    <row r="1358" spans="3:8" s="99" customFormat="1" x14ac:dyDescent="0.2">
      <c r="C1358" s="198"/>
      <c r="D1358" s="198"/>
      <c r="E1358" s="537"/>
      <c r="G1358" s="198"/>
      <c r="H1358" s="123"/>
    </row>
    <row r="1359" spans="3:8" s="99" customFormat="1" x14ac:dyDescent="0.2">
      <c r="C1359" s="198"/>
      <c r="D1359" s="198"/>
      <c r="E1359" s="537"/>
      <c r="G1359" s="198"/>
      <c r="H1359" s="123"/>
    </row>
    <row r="1360" spans="3:8" s="99" customFormat="1" x14ac:dyDescent="0.2">
      <c r="C1360" s="198"/>
      <c r="D1360" s="198"/>
      <c r="E1360" s="537"/>
      <c r="G1360" s="198"/>
      <c r="H1360" s="123"/>
    </row>
    <row r="1361" spans="3:8" s="99" customFormat="1" x14ac:dyDescent="0.2">
      <c r="C1361" s="198"/>
      <c r="D1361" s="198"/>
      <c r="E1361" s="537"/>
      <c r="G1361" s="198"/>
      <c r="H1361" s="123"/>
    </row>
    <row r="1362" spans="3:8" s="99" customFormat="1" x14ac:dyDescent="0.2">
      <c r="C1362" s="198"/>
      <c r="D1362" s="198"/>
      <c r="E1362" s="537"/>
      <c r="G1362" s="198"/>
      <c r="H1362" s="123"/>
    </row>
    <row r="1363" spans="3:8" s="99" customFormat="1" x14ac:dyDescent="0.2">
      <c r="C1363" s="198"/>
      <c r="D1363" s="198"/>
      <c r="E1363" s="537"/>
      <c r="G1363" s="198"/>
      <c r="H1363" s="123"/>
    </row>
    <row r="1364" spans="3:8" s="99" customFormat="1" x14ac:dyDescent="0.2">
      <c r="C1364" s="198"/>
      <c r="D1364" s="198"/>
      <c r="E1364" s="537"/>
      <c r="G1364" s="198"/>
      <c r="H1364" s="123"/>
    </row>
    <row r="1365" spans="3:8" s="99" customFormat="1" x14ac:dyDescent="0.2">
      <c r="C1365" s="198"/>
      <c r="D1365" s="198"/>
      <c r="E1365" s="537"/>
      <c r="G1365" s="198"/>
      <c r="H1365" s="123"/>
    </row>
    <row r="1366" spans="3:8" s="99" customFormat="1" x14ac:dyDescent="0.2">
      <c r="C1366" s="198"/>
      <c r="D1366" s="198"/>
      <c r="E1366" s="537"/>
      <c r="G1366" s="198"/>
      <c r="H1366" s="123"/>
    </row>
    <row r="1367" spans="3:8" s="99" customFormat="1" x14ac:dyDescent="0.2">
      <c r="C1367" s="198"/>
      <c r="D1367" s="198"/>
      <c r="E1367" s="537"/>
      <c r="G1367" s="198"/>
      <c r="H1367" s="123"/>
    </row>
    <row r="1368" spans="3:8" s="99" customFormat="1" x14ac:dyDescent="0.2">
      <c r="C1368" s="198"/>
      <c r="D1368" s="198"/>
      <c r="E1368" s="537"/>
      <c r="G1368" s="198"/>
      <c r="H1368" s="123"/>
    </row>
    <row r="1369" spans="3:8" s="99" customFormat="1" x14ac:dyDescent="0.2">
      <c r="C1369" s="198"/>
      <c r="D1369" s="198"/>
      <c r="E1369" s="537"/>
      <c r="G1369" s="198"/>
      <c r="H1369" s="123"/>
    </row>
    <row r="1370" spans="3:8" s="99" customFormat="1" x14ac:dyDescent="0.2">
      <c r="C1370" s="198"/>
      <c r="D1370" s="198"/>
      <c r="E1370" s="537"/>
      <c r="G1370" s="198"/>
      <c r="H1370" s="123"/>
    </row>
    <row r="1371" spans="3:8" s="99" customFormat="1" x14ac:dyDescent="0.2">
      <c r="C1371" s="198"/>
      <c r="D1371" s="198"/>
      <c r="E1371" s="537"/>
      <c r="G1371" s="198"/>
      <c r="H1371" s="123"/>
    </row>
    <row r="1372" spans="3:8" s="99" customFormat="1" x14ac:dyDescent="0.2">
      <c r="C1372" s="198"/>
      <c r="D1372" s="198"/>
      <c r="E1372" s="537"/>
      <c r="G1372" s="198"/>
      <c r="H1372" s="123"/>
    </row>
    <row r="1373" spans="3:8" s="99" customFormat="1" x14ac:dyDescent="0.2">
      <c r="C1373" s="198"/>
      <c r="D1373" s="198"/>
      <c r="E1373" s="537"/>
      <c r="G1373" s="198"/>
      <c r="H1373" s="123"/>
    </row>
    <row r="1374" spans="3:8" s="99" customFormat="1" x14ac:dyDescent="0.2">
      <c r="C1374" s="198"/>
      <c r="D1374" s="198"/>
      <c r="E1374" s="537"/>
      <c r="G1374" s="198"/>
      <c r="H1374" s="123"/>
    </row>
    <row r="1375" spans="3:8" s="99" customFormat="1" x14ac:dyDescent="0.2">
      <c r="C1375" s="198"/>
      <c r="D1375" s="198"/>
      <c r="E1375" s="537"/>
      <c r="G1375" s="198"/>
      <c r="H1375" s="123"/>
    </row>
    <row r="1376" spans="3:8" s="99" customFormat="1" x14ac:dyDescent="0.2">
      <c r="C1376" s="198"/>
      <c r="D1376" s="198"/>
      <c r="E1376" s="537"/>
      <c r="G1376" s="198"/>
      <c r="H1376" s="123"/>
    </row>
    <row r="1377" spans="3:8" s="99" customFormat="1" x14ac:dyDescent="0.2">
      <c r="C1377" s="198"/>
      <c r="D1377" s="198"/>
      <c r="E1377" s="537"/>
      <c r="G1377" s="198"/>
      <c r="H1377" s="123"/>
    </row>
    <row r="1378" spans="3:8" s="99" customFormat="1" x14ac:dyDescent="0.2">
      <c r="C1378" s="198"/>
      <c r="D1378" s="198"/>
      <c r="E1378" s="537"/>
      <c r="G1378" s="198"/>
      <c r="H1378" s="123"/>
    </row>
    <row r="1379" spans="3:8" s="99" customFormat="1" x14ac:dyDescent="0.2">
      <c r="C1379" s="198"/>
      <c r="D1379" s="198"/>
      <c r="E1379" s="537"/>
      <c r="G1379" s="198"/>
      <c r="H1379" s="123"/>
    </row>
    <row r="1380" spans="3:8" s="99" customFormat="1" x14ac:dyDescent="0.2">
      <c r="C1380" s="198"/>
      <c r="D1380" s="198"/>
      <c r="E1380" s="537"/>
      <c r="G1380" s="198"/>
      <c r="H1380" s="123"/>
    </row>
    <row r="1381" spans="3:8" s="99" customFormat="1" x14ac:dyDescent="0.2">
      <c r="C1381" s="198"/>
      <c r="D1381" s="198"/>
      <c r="E1381" s="537"/>
      <c r="G1381" s="198"/>
      <c r="H1381" s="123"/>
    </row>
    <row r="1382" spans="3:8" s="99" customFormat="1" x14ac:dyDescent="0.2">
      <c r="C1382" s="198"/>
      <c r="D1382" s="198"/>
      <c r="E1382" s="537"/>
      <c r="G1382" s="198"/>
      <c r="H1382" s="123"/>
    </row>
    <row r="1383" spans="3:8" s="99" customFormat="1" x14ac:dyDescent="0.2">
      <c r="C1383" s="198"/>
      <c r="D1383" s="198"/>
      <c r="E1383" s="537"/>
      <c r="G1383" s="198"/>
      <c r="H1383" s="123"/>
    </row>
    <row r="1384" spans="3:8" s="99" customFormat="1" x14ac:dyDescent="0.2">
      <c r="C1384" s="198"/>
      <c r="D1384" s="198"/>
      <c r="E1384" s="537"/>
      <c r="G1384" s="198"/>
      <c r="H1384" s="123"/>
    </row>
    <row r="1385" spans="3:8" s="99" customFormat="1" x14ac:dyDescent="0.2">
      <c r="C1385" s="198"/>
      <c r="D1385" s="198"/>
      <c r="E1385" s="537"/>
      <c r="G1385" s="198"/>
      <c r="H1385" s="123"/>
    </row>
    <row r="1386" spans="3:8" s="99" customFormat="1" x14ac:dyDescent="0.2">
      <c r="C1386" s="198"/>
      <c r="D1386" s="198"/>
      <c r="E1386" s="537"/>
      <c r="G1386" s="198"/>
      <c r="H1386" s="123"/>
    </row>
    <row r="1387" spans="3:8" s="99" customFormat="1" x14ac:dyDescent="0.2">
      <c r="C1387" s="198"/>
      <c r="D1387" s="198"/>
      <c r="E1387" s="537"/>
      <c r="G1387" s="198"/>
      <c r="H1387" s="123"/>
    </row>
    <row r="1388" spans="3:8" s="99" customFormat="1" x14ac:dyDescent="0.2">
      <c r="C1388" s="198"/>
      <c r="D1388" s="198"/>
      <c r="E1388" s="537"/>
      <c r="G1388" s="198"/>
      <c r="H1388" s="123"/>
    </row>
    <row r="1389" spans="3:8" s="99" customFormat="1" x14ac:dyDescent="0.2">
      <c r="C1389" s="198"/>
      <c r="D1389" s="198"/>
      <c r="E1389" s="537"/>
      <c r="G1389" s="198"/>
      <c r="H1389" s="123"/>
    </row>
    <row r="1390" spans="3:8" s="99" customFormat="1" x14ac:dyDescent="0.2">
      <c r="C1390" s="198"/>
      <c r="D1390" s="198"/>
      <c r="E1390" s="537"/>
      <c r="G1390" s="198"/>
      <c r="H1390" s="123"/>
    </row>
    <row r="1391" spans="3:8" s="99" customFormat="1" x14ac:dyDescent="0.2">
      <c r="C1391" s="198"/>
      <c r="D1391" s="198"/>
      <c r="E1391" s="537"/>
      <c r="G1391" s="198"/>
      <c r="H1391" s="123"/>
    </row>
    <row r="1392" spans="3:8" s="99" customFormat="1" x14ac:dyDescent="0.2">
      <c r="C1392" s="198"/>
      <c r="D1392" s="198"/>
      <c r="E1392" s="537"/>
      <c r="G1392" s="198"/>
      <c r="H1392" s="123"/>
    </row>
    <row r="1393" spans="3:8" s="99" customFormat="1" x14ac:dyDescent="0.2">
      <c r="C1393" s="198"/>
      <c r="D1393" s="198"/>
      <c r="E1393" s="537"/>
      <c r="G1393" s="198"/>
      <c r="H1393" s="123"/>
    </row>
    <row r="1394" spans="3:8" s="99" customFormat="1" x14ac:dyDescent="0.2">
      <c r="C1394" s="198"/>
      <c r="D1394" s="198"/>
      <c r="E1394" s="537"/>
      <c r="G1394" s="198"/>
      <c r="H1394" s="123"/>
    </row>
    <row r="1395" spans="3:8" s="99" customFormat="1" x14ac:dyDescent="0.2">
      <c r="C1395" s="198"/>
      <c r="D1395" s="198"/>
      <c r="E1395" s="537"/>
      <c r="G1395" s="198"/>
      <c r="H1395" s="123"/>
    </row>
    <row r="1396" spans="3:8" s="99" customFormat="1" x14ac:dyDescent="0.2">
      <c r="C1396" s="198"/>
      <c r="D1396" s="198"/>
      <c r="E1396" s="537"/>
      <c r="G1396" s="198"/>
      <c r="H1396" s="123"/>
    </row>
    <row r="1397" spans="3:8" s="99" customFormat="1" x14ac:dyDescent="0.2">
      <c r="C1397" s="198"/>
      <c r="D1397" s="198"/>
      <c r="E1397" s="537"/>
      <c r="G1397" s="198"/>
      <c r="H1397" s="123"/>
    </row>
    <row r="1398" spans="3:8" s="99" customFormat="1" x14ac:dyDescent="0.2">
      <c r="C1398" s="198"/>
      <c r="D1398" s="198"/>
      <c r="E1398" s="537"/>
      <c r="G1398" s="198"/>
      <c r="H1398" s="123"/>
    </row>
    <row r="1399" spans="3:8" s="99" customFormat="1" x14ac:dyDescent="0.2">
      <c r="C1399" s="198"/>
      <c r="D1399" s="198"/>
      <c r="E1399" s="537"/>
      <c r="G1399" s="198"/>
      <c r="H1399" s="123"/>
    </row>
    <row r="1400" spans="3:8" s="99" customFormat="1" x14ac:dyDescent="0.2">
      <c r="C1400" s="198"/>
      <c r="D1400" s="198"/>
      <c r="E1400" s="537"/>
      <c r="G1400" s="198"/>
      <c r="H1400" s="123"/>
    </row>
    <row r="1401" spans="3:8" s="99" customFormat="1" x14ac:dyDescent="0.2">
      <c r="C1401" s="198"/>
      <c r="D1401" s="198"/>
      <c r="E1401" s="537"/>
      <c r="G1401" s="198"/>
      <c r="H1401" s="123"/>
    </row>
    <row r="1402" spans="3:8" s="99" customFormat="1" x14ac:dyDescent="0.2">
      <c r="C1402" s="198"/>
      <c r="D1402" s="198"/>
      <c r="E1402" s="537"/>
      <c r="G1402" s="198"/>
      <c r="H1402" s="123"/>
    </row>
    <row r="1403" spans="3:8" s="99" customFormat="1" x14ac:dyDescent="0.2">
      <c r="C1403" s="198"/>
      <c r="D1403" s="198"/>
      <c r="E1403" s="537"/>
      <c r="G1403" s="198"/>
      <c r="H1403" s="123"/>
    </row>
    <row r="1404" spans="3:8" s="99" customFormat="1" x14ac:dyDescent="0.2">
      <c r="C1404" s="198"/>
      <c r="D1404" s="198"/>
      <c r="E1404" s="537"/>
      <c r="G1404" s="198"/>
      <c r="H1404" s="123"/>
    </row>
    <row r="1405" spans="3:8" s="99" customFormat="1" x14ac:dyDescent="0.2">
      <c r="C1405" s="198"/>
      <c r="D1405" s="198"/>
      <c r="E1405" s="537"/>
      <c r="G1405" s="198"/>
      <c r="H1405" s="123"/>
    </row>
    <row r="1406" spans="3:8" s="99" customFormat="1" x14ac:dyDescent="0.2">
      <c r="C1406" s="198"/>
      <c r="D1406" s="198"/>
      <c r="E1406" s="537"/>
      <c r="G1406" s="198"/>
      <c r="H1406" s="123"/>
    </row>
    <row r="1407" spans="3:8" s="99" customFormat="1" x14ac:dyDescent="0.2">
      <c r="C1407" s="198"/>
      <c r="D1407" s="198"/>
      <c r="E1407" s="537"/>
      <c r="G1407" s="198"/>
      <c r="H1407" s="123"/>
    </row>
    <row r="1408" spans="3:8" s="99" customFormat="1" x14ac:dyDescent="0.2">
      <c r="C1408" s="198"/>
      <c r="D1408" s="198"/>
      <c r="E1408" s="537"/>
      <c r="G1408" s="198"/>
      <c r="H1408" s="123"/>
    </row>
    <row r="1409" spans="3:8" s="99" customFormat="1" x14ac:dyDescent="0.2">
      <c r="C1409" s="198"/>
      <c r="D1409" s="198"/>
      <c r="E1409" s="537"/>
      <c r="G1409" s="198"/>
      <c r="H1409" s="123"/>
    </row>
    <row r="1410" spans="3:8" s="99" customFormat="1" x14ac:dyDescent="0.2">
      <c r="C1410" s="198"/>
      <c r="D1410" s="198"/>
      <c r="E1410" s="537"/>
      <c r="G1410" s="198"/>
      <c r="H1410" s="123"/>
    </row>
    <row r="1411" spans="3:8" s="99" customFormat="1" x14ac:dyDescent="0.2">
      <c r="C1411" s="198"/>
      <c r="D1411" s="198"/>
      <c r="E1411" s="537"/>
      <c r="G1411" s="198"/>
      <c r="H1411" s="123"/>
    </row>
    <row r="1412" spans="3:8" s="99" customFormat="1" x14ac:dyDescent="0.2">
      <c r="C1412" s="198"/>
      <c r="D1412" s="198"/>
      <c r="E1412" s="537"/>
      <c r="G1412" s="198"/>
      <c r="H1412" s="123"/>
    </row>
    <row r="1413" spans="3:8" s="99" customFormat="1" x14ac:dyDescent="0.2">
      <c r="C1413" s="198"/>
      <c r="D1413" s="198"/>
      <c r="E1413" s="537"/>
      <c r="G1413" s="198"/>
      <c r="H1413" s="123"/>
    </row>
    <row r="1414" spans="3:8" s="99" customFormat="1" x14ac:dyDescent="0.2">
      <c r="C1414" s="198"/>
      <c r="D1414" s="198"/>
      <c r="E1414" s="537"/>
      <c r="G1414" s="198"/>
      <c r="H1414" s="123"/>
    </row>
    <row r="1415" spans="3:8" s="99" customFormat="1" x14ac:dyDescent="0.2">
      <c r="C1415" s="198"/>
      <c r="D1415" s="198"/>
      <c r="E1415" s="537"/>
      <c r="G1415" s="198"/>
      <c r="H1415" s="123"/>
    </row>
    <row r="1416" spans="3:8" s="99" customFormat="1" x14ac:dyDescent="0.2">
      <c r="C1416" s="198"/>
      <c r="D1416" s="198"/>
      <c r="E1416" s="537"/>
      <c r="G1416" s="198"/>
      <c r="H1416" s="123"/>
    </row>
    <row r="1417" spans="3:8" s="99" customFormat="1" x14ac:dyDescent="0.2">
      <c r="C1417" s="198"/>
      <c r="D1417" s="198"/>
      <c r="E1417" s="537"/>
      <c r="G1417" s="198"/>
      <c r="H1417" s="123"/>
    </row>
    <row r="1418" spans="3:8" s="99" customFormat="1" x14ac:dyDescent="0.2">
      <c r="C1418" s="198"/>
      <c r="D1418" s="198"/>
      <c r="E1418" s="537"/>
      <c r="G1418" s="198"/>
      <c r="H1418" s="123"/>
    </row>
    <row r="1419" spans="3:8" s="99" customFormat="1" x14ac:dyDescent="0.2">
      <c r="C1419" s="198"/>
      <c r="D1419" s="198"/>
      <c r="E1419" s="537"/>
      <c r="G1419" s="198"/>
      <c r="H1419" s="123"/>
    </row>
    <row r="1420" spans="3:8" s="99" customFormat="1" x14ac:dyDescent="0.2">
      <c r="C1420" s="198"/>
      <c r="D1420" s="198"/>
      <c r="E1420" s="537"/>
      <c r="G1420" s="198"/>
      <c r="H1420" s="123"/>
    </row>
    <row r="1421" spans="3:8" s="99" customFormat="1" x14ac:dyDescent="0.2">
      <c r="C1421" s="198"/>
      <c r="D1421" s="198"/>
      <c r="E1421" s="537"/>
      <c r="G1421" s="198"/>
      <c r="H1421" s="123"/>
    </row>
    <row r="1422" spans="3:8" s="99" customFormat="1" x14ac:dyDescent="0.2">
      <c r="C1422" s="198"/>
      <c r="D1422" s="198"/>
      <c r="E1422" s="537"/>
      <c r="G1422" s="198"/>
      <c r="H1422" s="123"/>
    </row>
    <row r="1423" spans="3:8" s="99" customFormat="1" x14ac:dyDescent="0.2">
      <c r="C1423" s="198"/>
      <c r="D1423" s="198"/>
      <c r="E1423" s="537"/>
      <c r="G1423" s="198"/>
      <c r="H1423" s="123"/>
    </row>
    <row r="1424" spans="3:8" s="99" customFormat="1" x14ac:dyDescent="0.2">
      <c r="C1424" s="198"/>
      <c r="D1424" s="198"/>
      <c r="E1424" s="537"/>
      <c r="G1424" s="198"/>
      <c r="H1424" s="123"/>
    </row>
    <row r="1425" spans="3:8" s="99" customFormat="1" x14ac:dyDescent="0.2">
      <c r="C1425" s="198"/>
      <c r="D1425" s="198"/>
      <c r="E1425" s="537"/>
      <c r="G1425" s="198"/>
      <c r="H1425" s="123"/>
    </row>
    <row r="1426" spans="3:8" s="99" customFormat="1" x14ac:dyDescent="0.2">
      <c r="C1426" s="198"/>
      <c r="D1426" s="198"/>
      <c r="E1426" s="537"/>
      <c r="G1426" s="198"/>
      <c r="H1426" s="123"/>
    </row>
    <row r="1427" spans="3:8" s="99" customFormat="1" x14ac:dyDescent="0.2">
      <c r="C1427" s="198"/>
      <c r="D1427" s="198"/>
      <c r="E1427" s="537"/>
      <c r="G1427" s="198"/>
      <c r="H1427" s="123"/>
    </row>
    <row r="1428" spans="3:8" s="99" customFormat="1" x14ac:dyDescent="0.2">
      <c r="C1428" s="198"/>
      <c r="D1428" s="198"/>
      <c r="E1428" s="537"/>
      <c r="G1428" s="198"/>
      <c r="H1428" s="123"/>
    </row>
    <row r="1429" spans="3:8" s="99" customFormat="1" x14ac:dyDescent="0.2">
      <c r="C1429" s="198"/>
      <c r="D1429" s="198"/>
      <c r="E1429" s="537"/>
      <c r="G1429" s="198"/>
      <c r="H1429" s="123"/>
    </row>
    <row r="1430" spans="3:8" s="99" customFormat="1" x14ac:dyDescent="0.2">
      <c r="C1430" s="198"/>
      <c r="D1430" s="198"/>
      <c r="E1430" s="537"/>
      <c r="G1430" s="198"/>
      <c r="H1430" s="123"/>
    </row>
    <row r="1431" spans="3:8" s="99" customFormat="1" x14ac:dyDescent="0.2">
      <c r="C1431" s="198"/>
      <c r="D1431" s="198"/>
      <c r="E1431" s="537"/>
      <c r="G1431" s="198"/>
      <c r="H1431" s="123"/>
    </row>
    <row r="1432" spans="3:8" s="99" customFormat="1" x14ac:dyDescent="0.2">
      <c r="C1432" s="198"/>
      <c r="D1432" s="198"/>
      <c r="E1432" s="537"/>
      <c r="G1432" s="198"/>
      <c r="H1432" s="123"/>
    </row>
    <row r="1433" spans="3:8" s="99" customFormat="1" x14ac:dyDescent="0.2">
      <c r="C1433" s="198"/>
      <c r="D1433" s="198"/>
      <c r="E1433" s="537"/>
      <c r="G1433" s="198"/>
      <c r="H1433" s="123"/>
    </row>
    <row r="1434" spans="3:8" s="99" customFormat="1" x14ac:dyDescent="0.2">
      <c r="C1434" s="198"/>
      <c r="D1434" s="198"/>
      <c r="E1434" s="537"/>
      <c r="G1434" s="198"/>
      <c r="H1434" s="123"/>
    </row>
    <row r="1435" spans="3:8" s="99" customFormat="1" x14ac:dyDescent="0.2">
      <c r="C1435" s="198"/>
      <c r="D1435" s="198"/>
      <c r="E1435" s="537"/>
      <c r="G1435" s="198"/>
      <c r="H1435" s="123"/>
    </row>
    <row r="1436" spans="3:8" s="99" customFormat="1" x14ac:dyDescent="0.2">
      <c r="C1436" s="198"/>
      <c r="D1436" s="198"/>
      <c r="E1436" s="537"/>
      <c r="G1436" s="198"/>
      <c r="H1436" s="123"/>
    </row>
    <row r="1437" spans="3:8" s="99" customFormat="1" x14ac:dyDescent="0.2">
      <c r="C1437" s="198"/>
      <c r="D1437" s="198"/>
      <c r="E1437" s="537"/>
      <c r="G1437" s="198"/>
      <c r="H1437" s="123"/>
    </row>
    <row r="1438" spans="3:8" s="99" customFormat="1" x14ac:dyDescent="0.2">
      <c r="C1438" s="198"/>
      <c r="D1438" s="198"/>
      <c r="E1438" s="537"/>
      <c r="G1438" s="198"/>
      <c r="H1438" s="123"/>
    </row>
    <row r="1439" spans="3:8" s="99" customFormat="1" x14ac:dyDescent="0.2">
      <c r="C1439" s="198"/>
      <c r="D1439" s="198"/>
      <c r="E1439" s="537"/>
      <c r="G1439" s="198"/>
      <c r="H1439" s="123"/>
    </row>
    <row r="1440" spans="3:8" s="99" customFormat="1" x14ac:dyDescent="0.2">
      <c r="C1440" s="198"/>
      <c r="D1440" s="198"/>
      <c r="E1440" s="537"/>
      <c r="G1440" s="198"/>
      <c r="H1440" s="123"/>
    </row>
    <row r="1441" spans="3:8" s="99" customFormat="1" x14ac:dyDescent="0.2">
      <c r="C1441" s="198"/>
      <c r="D1441" s="198"/>
      <c r="E1441" s="537"/>
      <c r="G1441" s="198"/>
      <c r="H1441" s="123"/>
    </row>
    <row r="1442" spans="3:8" s="99" customFormat="1" x14ac:dyDescent="0.2">
      <c r="C1442" s="198"/>
      <c r="D1442" s="198"/>
      <c r="E1442" s="537"/>
      <c r="G1442" s="198"/>
      <c r="H1442" s="123"/>
    </row>
    <row r="1443" spans="3:8" s="99" customFormat="1" x14ac:dyDescent="0.2">
      <c r="C1443" s="198"/>
      <c r="D1443" s="198"/>
      <c r="E1443" s="537"/>
      <c r="G1443" s="198"/>
      <c r="H1443" s="123"/>
    </row>
    <row r="1444" spans="3:8" s="99" customFormat="1" x14ac:dyDescent="0.2">
      <c r="C1444" s="198"/>
      <c r="D1444" s="198"/>
      <c r="E1444" s="537"/>
      <c r="G1444" s="198"/>
      <c r="H1444" s="123"/>
    </row>
    <row r="1445" spans="3:8" s="99" customFormat="1" x14ac:dyDescent="0.2">
      <c r="C1445" s="198"/>
      <c r="D1445" s="198"/>
      <c r="E1445" s="537"/>
      <c r="G1445" s="198"/>
      <c r="H1445" s="123"/>
    </row>
    <row r="1446" spans="3:8" s="99" customFormat="1" x14ac:dyDescent="0.2">
      <c r="C1446" s="198"/>
      <c r="D1446" s="198"/>
      <c r="E1446" s="537"/>
      <c r="G1446" s="198"/>
      <c r="H1446" s="123"/>
    </row>
    <row r="1447" spans="3:8" s="99" customFormat="1" x14ac:dyDescent="0.2">
      <c r="C1447" s="198"/>
      <c r="D1447" s="198"/>
      <c r="E1447" s="537"/>
      <c r="G1447" s="198"/>
      <c r="H1447" s="123"/>
    </row>
    <row r="1448" spans="3:8" s="99" customFormat="1" x14ac:dyDescent="0.2">
      <c r="C1448" s="198"/>
      <c r="D1448" s="198"/>
      <c r="E1448" s="537"/>
      <c r="G1448" s="198"/>
      <c r="H1448" s="123"/>
    </row>
    <row r="1449" spans="3:8" s="99" customFormat="1" x14ac:dyDescent="0.2">
      <c r="C1449" s="198"/>
      <c r="D1449" s="198"/>
      <c r="E1449" s="537"/>
      <c r="G1449" s="198"/>
      <c r="H1449" s="123"/>
    </row>
    <row r="1450" spans="3:8" s="99" customFormat="1" x14ac:dyDescent="0.2">
      <c r="C1450" s="198"/>
      <c r="D1450" s="198"/>
      <c r="E1450" s="537"/>
      <c r="G1450" s="198"/>
      <c r="H1450" s="123"/>
    </row>
    <row r="1451" spans="3:8" s="99" customFormat="1" x14ac:dyDescent="0.2">
      <c r="C1451" s="198"/>
      <c r="D1451" s="198"/>
      <c r="E1451" s="537"/>
      <c r="G1451" s="198"/>
      <c r="H1451" s="123"/>
    </row>
    <row r="1452" spans="3:8" s="99" customFormat="1" x14ac:dyDescent="0.2">
      <c r="C1452" s="198"/>
      <c r="D1452" s="198"/>
      <c r="E1452" s="537"/>
      <c r="G1452" s="198"/>
      <c r="H1452" s="123"/>
    </row>
    <row r="1453" spans="3:8" s="99" customFormat="1" x14ac:dyDescent="0.2">
      <c r="C1453" s="198"/>
      <c r="D1453" s="198"/>
      <c r="E1453" s="537"/>
      <c r="G1453" s="198"/>
      <c r="H1453" s="123"/>
    </row>
    <row r="1454" spans="3:8" s="99" customFormat="1" x14ac:dyDescent="0.2">
      <c r="C1454" s="198"/>
      <c r="D1454" s="198"/>
      <c r="E1454" s="537"/>
      <c r="G1454" s="198"/>
      <c r="H1454" s="123"/>
    </row>
    <row r="1455" spans="3:8" s="99" customFormat="1" x14ac:dyDescent="0.2">
      <c r="C1455" s="198"/>
      <c r="D1455" s="198"/>
      <c r="E1455" s="537"/>
      <c r="G1455" s="198"/>
      <c r="H1455" s="123"/>
    </row>
    <row r="1456" spans="3:8" s="99" customFormat="1" x14ac:dyDescent="0.2">
      <c r="C1456" s="198"/>
      <c r="D1456" s="198"/>
      <c r="E1456" s="537"/>
      <c r="G1456" s="198"/>
      <c r="H1456" s="123"/>
    </row>
    <row r="1457" spans="3:8" s="99" customFormat="1" x14ac:dyDescent="0.2">
      <c r="C1457" s="198"/>
      <c r="D1457" s="198"/>
      <c r="E1457" s="537"/>
      <c r="G1457" s="198"/>
      <c r="H1457" s="123"/>
    </row>
    <row r="1458" spans="3:8" s="99" customFormat="1" x14ac:dyDescent="0.2">
      <c r="C1458" s="198"/>
      <c r="D1458" s="198"/>
      <c r="E1458" s="537"/>
      <c r="G1458" s="198"/>
      <c r="H1458" s="123"/>
    </row>
    <row r="1459" spans="3:8" s="99" customFormat="1" x14ac:dyDescent="0.2">
      <c r="C1459" s="198"/>
      <c r="D1459" s="198"/>
      <c r="E1459" s="537"/>
      <c r="G1459" s="198"/>
      <c r="H1459" s="123"/>
    </row>
    <row r="1460" spans="3:8" s="99" customFormat="1" x14ac:dyDescent="0.2">
      <c r="C1460" s="198"/>
      <c r="D1460" s="198"/>
      <c r="E1460" s="537"/>
      <c r="G1460" s="198"/>
      <c r="H1460" s="123"/>
    </row>
    <row r="1461" spans="3:8" s="99" customFormat="1" x14ac:dyDescent="0.2">
      <c r="C1461" s="198"/>
      <c r="D1461" s="198"/>
      <c r="E1461" s="537"/>
      <c r="G1461" s="198"/>
      <c r="H1461" s="123"/>
    </row>
    <row r="1462" spans="3:8" s="99" customFormat="1" x14ac:dyDescent="0.2">
      <c r="C1462" s="198"/>
      <c r="D1462" s="198"/>
      <c r="E1462" s="537"/>
      <c r="G1462" s="198"/>
      <c r="H1462" s="123"/>
    </row>
    <row r="1463" spans="3:8" s="99" customFormat="1" x14ac:dyDescent="0.2">
      <c r="C1463" s="198"/>
      <c r="D1463" s="198"/>
      <c r="E1463" s="537"/>
      <c r="G1463" s="198"/>
      <c r="H1463" s="123"/>
    </row>
    <row r="1464" spans="3:8" s="99" customFormat="1" x14ac:dyDescent="0.2">
      <c r="C1464" s="198"/>
      <c r="D1464" s="198"/>
      <c r="E1464" s="537"/>
      <c r="G1464" s="198"/>
      <c r="H1464" s="123"/>
    </row>
    <row r="1465" spans="3:8" s="99" customFormat="1" x14ac:dyDescent="0.2">
      <c r="C1465" s="198"/>
      <c r="D1465" s="198"/>
      <c r="E1465" s="537"/>
      <c r="G1465" s="198"/>
      <c r="H1465" s="123"/>
    </row>
    <row r="1466" spans="3:8" s="99" customFormat="1" x14ac:dyDescent="0.2">
      <c r="C1466" s="198"/>
      <c r="D1466" s="198"/>
      <c r="E1466" s="537"/>
      <c r="G1466" s="198"/>
      <c r="H1466" s="123"/>
    </row>
    <row r="1467" spans="3:8" s="99" customFormat="1" x14ac:dyDescent="0.2">
      <c r="C1467" s="198"/>
      <c r="D1467" s="198"/>
      <c r="E1467" s="537"/>
      <c r="G1467" s="198"/>
      <c r="H1467" s="123"/>
    </row>
    <row r="1468" spans="3:8" s="99" customFormat="1" x14ac:dyDescent="0.2">
      <c r="C1468" s="198"/>
      <c r="D1468" s="198"/>
      <c r="E1468" s="537"/>
      <c r="G1468" s="198"/>
      <c r="H1468" s="123"/>
    </row>
    <row r="1469" spans="3:8" s="99" customFormat="1" x14ac:dyDescent="0.2">
      <c r="C1469" s="198"/>
      <c r="D1469" s="198"/>
      <c r="E1469" s="537"/>
      <c r="G1469" s="198"/>
      <c r="H1469" s="123"/>
    </row>
    <row r="1470" spans="3:8" s="99" customFormat="1" x14ac:dyDescent="0.2">
      <c r="C1470" s="198"/>
      <c r="D1470" s="198"/>
      <c r="E1470" s="537"/>
      <c r="G1470" s="198"/>
      <c r="H1470" s="123"/>
    </row>
    <row r="1471" spans="3:8" s="99" customFormat="1" x14ac:dyDescent="0.2">
      <c r="C1471" s="198"/>
      <c r="D1471" s="198"/>
      <c r="E1471" s="537"/>
      <c r="G1471" s="198"/>
      <c r="H1471" s="123"/>
    </row>
    <row r="1472" spans="3:8" s="99" customFormat="1" x14ac:dyDescent="0.2">
      <c r="C1472" s="198"/>
      <c r="D1472" s="198"/>
      <c r="E1472" s="537"/>
      <c r="G1472" s="198"/>
      <c r="H1472" s="123"/>
    </row>
    <row r="1473" spans="3:8" s="99" customFormat="1" x14ac:dyDescent="0.2">
      <c r="C1473" s="198"/>
      <c r="D1473" s="198"/>
      <c r="E1473" s="537"/>
      <c r="G1473" s="198"/>
      <c r="H1473" s="123"/>
    </row>
    <row r="1474" spans="3:8" s="99" customFormat="1" x14ac:dyDescent="0.2">
      <c r="C1474" s="198"/>
      <c r="D1474" s="198"/>
      <c r="E1474" s="537"/>
      <c r="G1474" s="198"/>
      <c r="H1474" s="123"/>
    </row>
    <row r="1475" spans="3:8" s="99" customFormat="1" x14ac:dyDescent="0.2">
      <c r="C1475" s="198"/>
      <c r="D1475" s="198"/>
      <c r="E1475" s="537"/>
      <c r="G1475" s="198"/>
      <c r="H1475" s="123"/>
    </row>
    <row r="1476" spans="3:8" s="99" customFormat="1" x14ac:dyDescent="0.2">
      <c r="C1476" s="198"/>
      <c r="D1476" s="198"/>
      <c r="E1476" s="537"/>
      <c r="G1476" s="198"/>
      <c r="H1476" s="123"/>
    </row>
    <row r="1477" spans="3:8" s="99" customFormat="1" x14ac:dyDescent="0.2">
      <c r="C1477" s="198"/>
      <c r="D1477" s="198"/>
      <c r="E1477" s="537"/>
      <c r="G1477" s="198"/>
      <c r="H1477" s="123"/>
    </row>
    <row r="1478" spans="3:8" s="99" customFormat="1" x14ac:dyDescent="0.2">
      <c r="C1478" s="198"/>
      <c r="D1478" s="198"/>
      <c r="E1478" s="537"/>
      <c r="G1478" s="198"/>
      <c r="H1478" s="123"/>
    </row>
    <row r="1479" spans="3:8" s="99" customFormat="1" x14ac:dyDescent="0.2">
      <c r="C1479" s="198"/>
      <c r="D1479" s="198"/>
      <c r="E1479" s="537"/>
      <c r="G1479" s="198"/>
      <c r="H1479" s="123"/>
    </row>
    <row r="1480" spans="3:8" s="99" customFormat="1" x14ac:dyDescent="0.2">
      <c r="C1480" s="198"/>
      <c r="D1480" s="198"/>
      <c r="E1480" s="537"/>
      <c r="G1480" s="198"/>
      <c r="H1480" s="123"/>
    </row>
    <row r="1481" spans="3:8" s="99" customFormat="1" x14ac:dyDescent="0.2">
      <c r="C1481" s="198"/>
      <c r="D1481" s="198"/>
      <c r="E1481" s="537"/>
      <c r="G1481" s="198"/>
      <c r="H1481" s="123"/>
    </row>
    <row r="1482" spans="3:8" s="99" customFormat="1" x14ac:dyDescent="0.2">
      <c r="C1482" s="198"/>
      <c r="D1482" s="198"/>
      <c r="E1482" s="537"/>
      <c r="G1482" s="198"/>
      <c r="H1482" s="123"/>
    </row>
    <row r="1483" spans="3:8" s="99" customFormat="1" x14ac:dyDescent="0.2">
      <c r="C1483" s="198"/>
      <c r="D1483" s="198"/>
      <c r="E1483" s="537"/>
      <c r="G1483" s="198"/>
      <c r="H1483" s="123"/>
    </row>
    <row r="1484" spans="3:8" s="99" customFormat="1" x14ac:dyDescent="0.2">
      <c r="C1484" s="198"/>
      <c r="D1484" s="198"/>
      <c r="E1484" s="537"/>
      <c r="G1484" s="198"/>
      <c r="H1484" s="123"/>
    </row>
    <row r="1485" spans="3:8" s="99" customFormat="1" x14ac:dyDescent="0.2">
      <c r="C1485" s="198"/>
      <c r="D1485" s="198"/>
      <c r="E1485" s="537"/>
      <c r="G1485" s="198"/>
      <c r="H1485" s="123"/>
    </row>
    <row r="1486" spans="3:8" s="99" customFormat="1" x14ac:dyDescent="0.2">
      <c r="C1486" s="198"/>
      <c r="D1486" s="198"/>
      <c r="E1486" s="537"/>
      <c r="G1486" s="198"/>
      <c r="H1486" s="123"/>
    </row>
    <row r="1487" spans="3:8" s="99" customFormat="1" x14ac:dyDescent="0.2">
      <c r="C1487" s="198"/>
      <c r="D1487" s="198"/>
      <c r="E1487" s="537"/>
      <c r="G1487" s="198"/>
      <c r="H1487" s="123"/>
    </row>
    <row r="1488" spans="3:8" s="99" customFormat="1" x14ac:dyDescent="0.2">
      <c r="C1488" s="198"/>
      <c r="D1488" s="198"/>
      <c r="E1488" s="537"/>
      <c r="G1488" s="198"/>
      <c r="H1488" s="123"/>
    </row>
    <row r="1489" spans="3:8" s="99" customFormat="1" x14ac:dyDescent="0.2">
      <c r="C1489" s="198"/>
      <c r="D1489" s="198"/>
      <c r="E1489" s="537"/>
      <c r="G1489" s="198"/>
      <c r="H1489" s="123"/>
    </row>
    <row r="1490" spans="3:8" s="99" customFormat="1" x14ac:dyDescent="0.2">
      <c r="C1490" s="198"/>
      <c r="D1490" s="198"/>
      <c r="E1490" s="537"/>
      <c r="G1490" s="198"/>
      <c r="H1490" s="123"/>
    </row>
    <row r="1491" spans="3:8" s="99" customFormat="1" x14ac:dyDescent="0.2">
      <c r="C1491" s="198"/>
      <c r="D1491" s="198"/>
      <c r="E1491" s="537"/>
      <c r="G1491" s="198"/>
      <c r="H1491" s="123"/>
    </row>
    <row r="1492" spans="3:8" s="99" customFormat="1" x14ac:dyDescent="0.2">
      <c r="C1492" s="198"/>
      <c r="D1492" s="198"/>
      <c r="E1492" s="537"/>
      <c r="G1492" s="198"/>
      <c r="H1492" s="123"/>
    </row>
    <row r="1493" spans="3:8" s="99" customFormat="1" x14ac:dyDescent="0.2">
      <c r="C1493" s="198"/>
      <c r="D1493" s="198"/>
      <c r="E1493" s="537"/>
      <c r="G1493" s="198"/>
      <c r="H1493" s="123"/>
    </row>
    <row r="1494" spans="3:8" s="99" customFormat="1" x14ac:dyDescent="0.2">
      <c r="C1494" s="198"/>
      <c r="D1494" s="198"/>
      <c r="E1494" s="537"/>
      <c r="G1494" s="198"/>
      <c r="H1494" s="123"/>
    </row>
    <row r="1495" spans="3:8" s="99" customFormat="1" x14ac:dyDescent="0.2">
      <c r="C1495" s="198"/>
      <c r="D1495" s="198"/>
      <c r="E1495" s="537"/>
      <c r="G1495" s="198"/>
      <c r="H1495" s="123"/>
    </row>
    <row r="1496" spans="3:8" s="99" customFormat="1" x14ac:dyDescent="0.2">
      <c r="C1496" s="198"/>
      <c r="D1496" s="198"/>
      <c r="E1496" s="537"/>
      <c r="G1496" s="198"/>
      <c r="H1496" s="123"/>
    </row>
    <row r="1497" spans="3:8" s="99" customFormat="1" x14ac:dyDescent="0.2">
      <c r="C1497" s="198"/>
      <c r="D1497" s="198"/>
      <c r="E1497" s="537"/>
      <c r="G1497" s="198"/>
      <c r="H1497" s="123"/>
    </row>
    <row r="1498" spans="3:8" s="99" customFormat="1" x14ac:dyDescent="0.2">
      <c r="C1498" s="198"/>
      <c r="D1498" s="198"/>
      <c r="E1498" s="537"/>
      <c r="G1498" s="198"/>
      <c r="H1498" s="123"/>
    </row>
    <row r="1499" spans="3:8" s="99" customFormat="1" x14ac:dyDescent="0.2">
      <c r="C1499" s="198"/>
      <c r="D1499" s="198"/>
      <c r="E1499" s="537"/>
      <c r="G1499" s="198"/>
      <c r="H1499" s="123"/>
    </row>
    <row r="1500" spans="3:8" s="99" customFormat="1" x14ac:dyDescent="0.2">
      <c r="C1500" s="198"/>
      <c r="D1500" s="198"/>
      <c r="E1500" s="537"/>
      <c r="G1500" s="198"/>
      <c r="H1500" s="123"/>
    </row>
    <row r="1501" spans="3:8" s="99" customFormat="1" x14ac:dyDescent="0.2">
      <c r="C1501" s="198"/>
      <c r="D1501" s="198"/>
      <c r="E1501" s="537"/>
      <c r="G1501" s="198"/>
      <c r="H1501" s="123"/>
    </row>
    <row r="1502" spans="3:8" s="99" customFormat="1" x14ac:dyDescent="0.2">
      <c r="C1502" s="198"/>
      <c r="D1502" s="198"/>
      <c r="E1502" s="537"/>
      <c r="G1502" s="198"/>
      <c r="H1502" s="123"/>
    </row>
    <row r="1503" spans="3:8" s="99" customFormat="1" x14ac:dyDescent="0.2">
      <c r="C1503" s="198"/>
      <c r="D1503" s="198"/>
      <c r="E1503" s="537"/>
      <c r="G1503" s="198"/>
      <c r="H1503" s="123"/>
    </row>
    <row r="1504" spans="3:8" s="99" customFormat="1" x14ac:dyDescent="0.2">
      <c r="C1504" s="198"/>
      <c r="D1504" s="198"/>
      <c r="E1504" s="537"/>
      <c r="G1504" s="198"/>
      <c r="H1504" s="123"/>
    </row>
    <row r="1505" spans="3:8" s="99" customFormat="1" x14ac:dyDescent="0.2">
      <c r="C1505" s="198"/>
      <c r="D1505" s="198"/>
      <c r="E1505" s="537"/>
      <c r="G1505" s="198"/>
      <c r="H1505" s="123"/>
    </row>
    <row r="1506" spans="3:8" s="99" customFormat="1" x14ac:dyDescent="0.2">
      <c r="C1506" s="198"/>
      <c r="D1506" s="198"/>
      <c r="E1506" s="537"/>
      <c r="G1506" s="198"/>
      <c r="H1506" s="123"/>
    </row>
    <row r="1507" spans="3:8" s="99" customFormat="1" x14ac:dyDescent="0.2">
      <c r="C1507" s="198"/>
      <c r="D1507" s="198"/>
      <c r="E1507" s="537"/>
      <c r="G1507" s="198"/>
      <c r="H1507" s="123"/>
    </row>
    <row r="1508" spans="3:8" s="99" customFormat="1" x14ac:dyDescent="0.2">
      <c r="C1508" s="198"/>
      <c r="D1508" s="198"/>
      <c r="E1508" s="537"/>
      <c r="G1508" s="198"/>
      <c r="H1508" s="123"/>
    </row>
    <row r="1509" spans="3:8" s="99" customFormat="1" x14ac:dyDescent="0.2">
      <c r="C1509" s="198"/>
      <c r="D1509" s="198"/>
      <c r="E1509" s="537"/>
      <c r="G1509" s="198"/>
      <c r="H1509" s="123"/>
    </row>
    <row r="1510" spans="3:8" s="99" customFormat="1" x14ac:dyDescent="0.2">
      <c r="C1510" s="198"/>
      <c r="D1510" s="198"/>
      <c r="E1510" s="537"/>
      <c r="G1510" s="198"/>
      <c r="H1510" s="123"/>
    </row>
    <row r="1511" spans="3:8" s="99" customFormat="1" x14ac:dyDescent="0.2">
      <c r="C1511" s="198"/>
      <c r="D1511" s="198"/>
      <c r="E1511" s="537"/>
      <c r="G1511" s="198"/>
      <c r="H1511" s="123"/>
    </row>
    <row r="1512" spans="3:8" s="99" customFormat="1" x14ac:dyDescent="0.2">
      <c r="C1512" s="198"/>
      <c r="D1512" s="198"/>
      <c r="E1512" s="537"/>
      <c r="G1512" s="198"/>
      <c r="H1512" s="123"/>
    </row>
    <row r="1513" spans="3:8" s="99" customFormat="1" x14ac:dyDescent="0.2">
      <c r="C1513" s="198"/>
      <c r="D1513" s="198"/>
      <c r="E1513" s="537"/>
      <c r="G1513" s="198"/>
      <c r="H1513" s="123"/>
    </row>
    <row r="1514" spans="3:8" s="99" customFormat="1" x14ac:dyDescent="0.2">
      <c r="C1514" s="198"/>
      <c r="D1514" s="198"/>
      <c r="E1514" s="537"/>
      <c r="G1514" s="198"/>
      <c r="H1514" s="123"/>
    </row>
    <row r="1515" spans="3:8" s="99" customFormat="1" x14ac:dyDescent="0.2">
      <c r="C1515" s="198"/>
      <c r="D1515" s="198"/>
      <c r="E1515" s="537"/>
      <c r="G1515" s="198"/>
      <c r="H1515" s="123"/>
    </row>
    <row r="1516" spans="3:8" s="99" customFormat="1" x14ac:dyDescent="0.2">
      <c r="C1516" s="198"/>
      <c r="D1516" s="198"/>
      <c r="E1516" s="537"/>
      <c r="G1516" s="198"/>
      <c r="H1516" s="123"/>
    </row>
    <row r="1517" spans="3:8" s="99" customFormat="1" x14ac:dyDescent="0.2">
      <c r="C1517" s="198"/>
      <c r="D1517" s="198"/>
      <c r="E1517" s="537"/>
      <c r="G1517" s="198"/>
      <c r="H1517" s="123"/>
    </row>
    <row r="1518" spans="3:8" s="99" customFormat="1" x14ac:dyDescent="0.2">
      <c r="C1518" s="198"/>
      <c r="D1518" s="198"/>
      <c r="E1518" s="537"/>
      <c r="G1518" s="198"/>
      <c r="H1518" s="123"/>
    </row>
    <row r="1519" spans="3:8" s="99" customFormat="1" x14ac:dyDescent="0.2">
      <c r="C1519" s="198"/>
      <c r="D1519" s="198"/>
      <c r="E1519" s="537"/>
      <c r="G1519" s="198"/>
      <c r="H1519" s="123"/>
    </row>
    <row r="1520" spans="3:8" s="99" customFormat="1" x14ac:dyDescent="0.2">
      <c r="C1520" s="198"/>
      <c r="D1520" s="198"/>
      <c r="E1520" s="537"/>
      <c r="G1520" s="198"/>
      <c r="H1520" s="123"/>
    </row>
    <row r="1521" spans="3:8" s="99" customFormat="1" x14ac:dyDescent="0.2">
      <c r="C1521" s="198"/>
      <c r="D1521" s="198"/>
      <c r="E1521" s="537"/>
      <c r="G1521" s="198"/>
      <c r="H1521" s="123"/>
    </row>
    <row r="1522" spans="3:8" s="99" customFormat="1" x14ac:dyDescent="0.2">
      <c r="C1522" s="198"/>
      <c r="D1522" s="198"/>
      <c r="E1522" s="537"/>
      <c r="G1522" s="198"/>
      <c r="H1522" s="123"/>
    </row>
    <row r="1523" spans="3:8" s="99" customFormat="1" x14ac:dyDescent="0.2">
      <c r="C1523" s="198"/>
      <c r="D1523" s="198"/>
      <c r="E1523" s="537"/>
      <c r="G1523" s="198"/>
      <c r="H1523" s="123"/>
    </row>
    <row r="1524" spans="3:8" s="99" customFormat="1" x14ac:dyDescent="0.2">
      <c r="C1524" s="198"/>
      <c r="D1524" s="198"/>
      <c r="E1524" s="537"/>
      <c r="G1524" s="198"/>
      <c r="H1524" s="123"/>
    </row>
    <row r="1525" spans="3:8" s="99" customFormat="1" x14ac:dyDescent="0.2">
      <c r="C1525" s="198"/>
      <c r="D1525" s="198"/>
      <c r="E1525" s="537"/>
      <c r="G1525" s="198"/>
      <c r="H1525" s="123"/>
    </row>
    <row r="1526" spans="3:8" s="99" customFormat="1" x14ac:dyDescent="0.2">
      <c r="C1526" s="198"/>
      <c r="D1526" s="198"/>
      <c r="E1526" s="537"/>
      <c r="G1526" s="198"/>
      <c r="H1526" s="123"/>
    </row>
    <row r="1527" spans="3:8" s="99" customFormat="1" x14ac:dyDescent="0.2">
      <c r="C1527" s="198"/>
      <c r="D1527" s="198"/>
      <c r="E1527" s="537"/>
      <c r="G1527" s="198"/>
      <c r="H1527" s="123"/>
    </row>
    <row r="1528" spans="3:8" s="99" customFormat="1" x14ac:dyDescent="0.2">
      <c r="C1528" s="198"/>
      <c r="D1528" s="198"/>
      <c r="E1528" s="537"/>
      <c r="G1528" s="198"/>
      <c r="H1528" s="123"/>
    </row>
    <row r="1529" spans="3:8" s="99" customFormat="1" x14ac:dyDescent="0.2">
      <c r="C1529" s="198"/>
      <c r="D1529" s="198"/>
      <c r="E1529" s="537"/>
      <c r="G1529" s="198"/>
      <c r="H1529" s="123"/>
    </row>
    <row r="1530" spans="3:8" s="99" customFormat="1" x14ac:dyDescent="0.2">
      <c r="C1530" s="198"/>
      <c r="D1530" s="198"/>
      <c r="E1530" s="537"/>
      <c r="G1530" s="198"/>
      <c r="H1530" s="123"/>
    </row>
    <row r="1531" spans="3:8" s="99" customFormat="1" x14ac:dyDescent="0.2">
      <c r="C1531" s="198"/>
      <c r="D1531" s="198"/>
      <c r="E1531" s="537"/>
      <c r="G1531" s="198"/>
      <c r="H1531" s="123"/>
    </row>
    <row r="1532" spans="3:8" s="99" customFormat="1" x14ac:dyDescent="0.2">
      <c r="C1532" s="198"/>
      <c r="D1532" s="198"/>
      <c r="E1532" s="537"/>
      <c r="G1532" s="198"/>
      <c r="H1532" s="123"/>
    </row>
    <row r="1533" spans="3:8" s="99" customFormat="1" x14ac:dyDescent="0.2">
      <c r="C1533" s="198"/>
      <c r="D1533" s="198"/>
      <c r="E1533" s="537"/>
      <c r="G1533" s="198"/>
      <c r="H1533" s="123"/>
    </row>
    <row r="1534" spans="3:8" s="99" customFormat="1" x14ac:dyDescent="0.2">
      <c r="C1534" s="198"/>
      <c r="D1534" s="198"/>
      <c r="E1534" s="537"/>
      <c r="G1534" s="198"/>
      <c r="H1534" s="123"/>
    </row>
    <row r="1535" spans="3:8" s="99" customFormat="1" x14ac:dyDescent="0.2">
      <c r="C1535" s="198"/>
      <c r="D1535" s="198"/>
      <c r="E1535" s="537"/>
      <c r="G1535" s="198"/>
      <c r="H1535" s="123"/>
    </row>
    <row r="1536" spans="3:8" s="99" customFormat="1" x14ac:dyDescent="0.2">
      <c r="C1536" s="198"/>
      <c r="D1536" s="198"/>
      <c r="E1536" s="537"/>
      <c r="G1536" s="198"/>
      <c r="H1536" s="123"/>
    </row>
    <row r="1537" spans="3:8" s="99" customFormat="1" x14ac:dyDescent="0.2">
      <c r="C1537" s="198"/>
      <c r="D1537" s="198"/>
      <c r="E1537" s="537"/>
      <c r="G1537" s="198"/>
      <c r="H1537" s="123"/>
    </row>
    <row r="1538" spans="3:8" s="99" customFormat="1" x14ac:dyDescent="0.2">
      <c r="C1538" s="198"/>
      <c r="D1538" s="198"/>
      <c r="E1538" s="537"/>
      <c r="G1538" s="198"/>
      <c r="H1538" s="123"/>
    </row>
    <row r="1539" spans="3:8" s="99" customFormat="1" x14ac:dyDescent="0.2">
      <c r="C1539" s="198"/>
      <c r="D1539" s="198"/>
      <c r="E1539" s="537"/>
      <c r="G1539" s="198"/>
      <c r="H1539" s="123"/>
    </row>
    <row r="1540" spans="3:8" s="99" customFormat="1" x14ac:dyDescent="0.2">
      <c r="C1540" s="198"/>
      <c r="D1540" s="198"/>
      <c r="E1540" s="537"/>
      <c r="G1540" s="198"/>
      <c r="H1540" s="123"/>
    </row>
    <row r="1541" spans="3:8" s="99" customFormat="1" x14ac:dyDescent="0.2">
      <c r="C1541" s="198"/>
      <c r="D1541" s="198"/>
      <c r="E1541" s="537"/>
      <c r="G1541" s="198"/>
      <c r="H1541" s="123"/>
    </row>
    <row r="1542" spans="3:8" s="99" customFormat="1" x14ac:dyDescent="0.2">
      <c r="C1542" s="198"/>
      <c r="D1542" s="198"/>
      <c r="E1542" s="537"/>
      <c r="G1542" s="198"/>
      <c r="H1542" s="123"/>
    </row>
    <row r="1543" spans="3:8" s="99" customFormat="1" x14ac:dyDescent="0.2">
      <c r="C1543" s="198"/>
      <c r="D1543" s="198"/>
      <c r="E1543" s="537"/>
      <c r="G1543" s="198"/>
      <c r="H1543" s="123"/>
    </row>
    <row r="1544" spans="3:8" s="99" customFormat="1" x14ac:dyDescent="0.2">
      <c r="C1544" s="198"/>
      <c r="D1544" s="198"/>
      <c r="E1544" s="537"/>
      <c r="G1544" s="198"/>
      <c r="H1544" s="123"/>
    </row>
    <row r="1545" spans="3:8" s="99" customFormat="1" x14ac:dyDescent="0.2">
      <c r="C1545" s="198"/>
      <c r="D1545" s="198"/>
      <c r="E1545" s="537"/>
      <c r="G1545" s="198"/>
      <c r="H1545" s="123"/>
    </row>
    <row r="1546" spans="3:8" s="99" customFormat="1" x14ac:dyDescent="0.2">
      <c r="C1546" s="198"/>
      <c r="D1546" s="198"/>
      <c r="E1546" s="537"/>
      <c r="G1546" s="198"/>
      <c r="H1546" s="123"/>
    </row>
    <row r="1547" spans="3:8" s="99" customFormat="1" x14ac:dyDescent="0.2">
      <c r="C1547" s="198"/>
      <c r="D1547" s="198"/>
      <c r="E1547" s="537"/>
      <c r="G1547" s="198"/>
      <c r="H1547" s="123"/>
    </row>
    <row r="1548" spans="3:8" s="99" customFormat="1" x14ac:dyDescent="0.2">
      <c r="C1548" s="198"/>
      <c r="D1548" s="198"/>
      <c r="E1548" s="537"/>
      <c r="G1548" s="198"/>
      <c r="H1548" s="123"/>
    </row>
    <row r="1549" spans="3:8" s="99" customFormat="1" x14ac:dyDescent="0.2">
      <c r="C1549" s="198"/>
      <c r="D1549" s="198"/>
      <c r="E1549" s="537"/>
      <c r="G1549" s="198"/>
      <c r="H1549" s="123"/>
    </row>
    <row r="1550" spans="3:8" s="99" customFormat="1" x14ac:dyDescent="0.2">
      <c r="C1550" s="198"/>
      <c r="D1550" s="198"/>
      <c r="E1550" s="537"/>
      <c r="G1550" s="198"/>
      <c r="H1550" s="123"/>
    </row>
    <row r="1551" spans="3:8" s="99" customFormat="1" x14ac:dyDescent="0.2">
      <c r="C1551" s="198"/>
      <c r="D1551" s="198"/>
      <c r="E1551" s="537"/>
      <c r="G1551" s="198"/>
      <c r="H1551" s="123"/>
    </row>
    <row r="1552" spans="3:8" s="99" customFormat="1" x14ac:dyDescent="0.2">
      <c r="C1552" s="198"/>
      <c r="D1552" s="198"/>
      <c r="E1552" s="537"/>
      <c r="G1552" s="198"/>
      <c r="H1552" s="123"/>
    </row>
    <row r="1553" spans="3:8" s="99" customFormat="1" x14ac:dyDescent="0.2">
      <c r="C1553" s="198"/>
      <c r="D1553" s="198"/>
      <c r="E1553" s="537"/>
      <c r="G1553" s="198"/>
      <c r="H1553" s="123"/>
    </row>
    <row r="1554" spans="3:8" s="99" customFormat="1" x14ac:dyDescent="0.2">
      <c r="C1554" s="198"/>
      <c r="D1554" s="198"/>
      <c r="E1554" s="537"/>
      <c r="G1554" s="198"/>
      <c r="H1554" s="123"/>
    </row>
    <row r="1555" spans="3:8" s="99" customFormat="1" x14ac:dyDescent="0.2">
      <c r="C1555" s="198"/>
      <c r="D1555" s="198"/>
      <c r="E1555" s="537"/>
      <c r="G1555" s="198"/>
      <c r="H1555" s="123"/>
    </row>
    <row r="1556" spans="3:8" s="99" customFormat="1" x14ac:dyDescent="0.2">
      <c r="C1556" s="198"/>
      <c r="D1556" s="198"/>
      <c r="E1556" s="537"/>
      <c r="G1556" s="198"/>
      <c r="H1556" s="123"/>
    </row>
    <row r="1557" spans="3:8" s="99" customFormat="1" x14ac:dyDescent="0.2">
      <c r="C1557" s="198"/>
      <c r="D1557" s="198"/>
      <c r="E1557" s="537"/>
      <c r="G1557" s="198"/>
      <c r="H1557" s="123"/>
    </row>
    <row r="1558" spans="3:8" s="99" customFormat="1" x14ac:dyDescent="0.2">
      <c r="C1558" s="198"/>
      <c r="D1558" s="198"/>
      <c r="E1558" s="537"/>
      <c r="G1558" s="198"/>
      <c r="H1558" s="123"/>
    </row>
    <row r="1559" spans="3:8" s="99" customFormat="1" x14ac:dyDescent="0.2">
      <c r="C1559" s="198"/>
      <c r="D1559" s="198"/>
      <c r="E1559" s="537"/>
      <c r="G1559" s="198"/>
      <c r="H1559" s="123"/>
    </row>
    <row r="1560" spans="3:8" s="99" customFormat="1" x14ac:dyDescent="0.2">
      <c r="C1560" s="198"/>
      <c r="D1560" s="198"/>
      <c r="E1560" s="537"/>
      <c r="G1560" s="198"/>
      <c r="H1560" s="123"/>
    </row>
    <row r="1561" spans="3:8" s="99" customFormat="1" x14ac:dyDescent="0.2">
      <c r="C1561" s="198"/>
      <c r="D1561" s="198"/>
      <c r="E1561" s="537"/>
      <c r="G1561" s="198"/>
      <c r="H1561" s="123"/>
    </row>
    <row r="1562" spans="3:8" s="99" customFormat="1" x14ac:dyDescent="0.2">
      <c r="C1562" s="198"/>
      <c r="D1562" s="198"/>
      <c r="E1562" s="537"/>
      <c r="G1562" s="198"/>
      <c r="H1562" s="123"/>
    </row>
    <row r="1563" spans="3:8" s="99" customFormat="1" x14ac:dyDescent="0.2">
      <c r="C1563" s="198"/>
      <c r="D1563" s="198"/>
      <c r="E1563" s="537"/>
      <c r="G1563" s="198"/>
      <c r="H1563" s="123"/>
    </row>
    <row r="1564" spans="3:8" s="99" customFormat="1" x14ac:dyDescent="0.2">
      <c r="C1564" s="198"/>
      <c r="D1564" s="198"/>
      <c r="E1564" s="537"/>
      <c r="G1564" s="198"/>
      <c r="H1564" s="123"/>
    </row>
    <row r="1565" spans="3:8" s="99" customFormat="1" x14ac:dyDescent="0.2">
      <c r="C1565" s="198"/>
      <c r="D1565" s="198"/>
      <c r="E1565" s="537"/>
      <c r="G1565" s="198"/>
      <c r="H1565" s="123"/>
    </row>
    <row r="1566" spans="3:8" s="99" customFormat="1" x14ac:dyDescent="0.2">
      <c r="C1566" s="198"/>
      <c r="D1566" s="198"/>
      <c r="E1566" s="537"/>
      <c r="G1566" s="198"/>
      <c r="H1566" s="123"/>
    </row>
    <row r="1567" spans="3:8" s="99" customFormat="1" x14ac:dyDescent="0.2">
      <c r="C1567" s="198"/>
      <c r="D1567" s="198"/>
      <c r="E1567" s="537"/>
      <c r="G1567" s="198"/>
      <c r="H1567" s="123"/>
    </row>
    <row r="1568" spans="3:8" s="99" customFormat="1" x14ac:dyDescent="0.2">
      <c r="C1568" s="198"/>
      <c r="D1568" s="198"/>
      <c r="E1568" s="537"/>
      <c r="G1568" s="198"/>
      <c r="H1568" s="123"/>
    </row>
    <row r="1569" spans="3:8" s="99" customFormat="1" x14ac:dyDescent="0.2">
      <c r="C1569" s="198"/>
      <c r="D1569" s="198"/>
      <c r="E1569" s="537"/>
      <c r="G1569" s="198"/>
      <c r="H1569" s="123"/>
    </row>
    <row r="1570" spans="3:8" s="99" customFormat="1" x14ac:dyDescent="0.2">
      <c r="C1570" s="198"/>
      <c r="D1570" s="198"/>
      <c r="E1570" s="537"/>
      <c r="G1570" s="198"/>
      <c r="H1570" s="123"/>
    </row>
    <row r="1571" spans="3:8" s="99" customFormat="1" x14ac:dyDescent="0.2">
      <c r="C1571" s="198"/>
      <c r="D1571" s="198"/>
      <c r="E1571" s="537"/>
      <c r="G1571" s="198"/>
      <c r="H1571" s="123"/>
    </row>
    <row r="1572" spans="3:8" s="99" customFormat="1" x14ac:dyDescent="0.2">
      <c r="C1572" s="198"/>
      <c r="D1572" s="198"/>
      <c r="E1572" s="537"/>
      <c r="G1572" s="198"/>
      <c r="H1572" s="123"/>
    </row>
    <row r="1573" spans="3:8" s="99" customFormat="1" x14ac:dyDescent="0.2">
      <c r="C1573" s="198"/>
      <c r="D1573" s="198"/>
      <c r="E1573" s="537"/>
      <c r="G1573" s="198"/>
      <c r="H1573" s="123"/>
    </row>
    <row r="1574" spans="3:8" s="99" customFormat="1" x14ac:dyDescent="0.2">
      <c r="C1574" s="198"/>
      <c r="D1574" s="198"/>
      <c r="E1574" s="537"/>
      <c r="G1574" s="198"/>
      <c r="H1574" s="123"/>
    </row>
    <row r="1575" spans="3:8" s="99" customFormat="1" x14ac:dyDescent="0.2">
      <c r="C1575" s="198"/>
      <c r="D1575" s="198"/>
      <c r="E1575" s="537"/>
      <c r="G1575" s="198"/>
      <c r="H1575" s="123"/>
    </row>
    <row r="1576" spans="3:8" s="99" customFormat="1" x14ac:dyDescent="0.2">
      <c r="C1576" s="198"/>
      <c r="D1576" s="198"/>
      <c r="E1576" s="537"/>
      <c r="G1576" s="198"/>
      <c r="H1576" s="123"/>
    </row>
    <row r="1577" spans="3:8" s="99" customFormat="1" x14ac:dyDescent="0.2">
      <c r="C1577" s="198"/>
      <c r="D1577" s="198"/>
      <c r="E1577" s="537"/>
      <c r="G1577" s="198"/>
      <c r="H1577" s="123"/>
    </row>
    <row r="1578" spans="3:8" s="99" customFormat="1" x14ac:dyDescent="0.2">
      <c r="C1578" s="198"/>
      <c r="D1578" s="198"/>
      <c r="E1578" s="537"/>
      <c r="G1578" s="198"/>
      <c r="H1578" s="123"/>
    </row>
    <row r="1579" spans="3:8" s="99" customFormat="1" x14ac:dyDescent="0.2">
      <c r="C1579" s="198"/>
      <c r="D1579" s="198"/>
      <c r="E1579" s="537"/>
      <c r="G1579" s="198"/>
      <c r="H1579" s="123"/>
    </row>
    <row r="1580" spans="3:8" s="99" customFormat="1" x14ac:dyDescent="0.2">
      <c r="C1580" s="198"/>
      <c r="D1580" s="198"/>
      <c r="E1580" s="537"/>
      <c r="G1580" s="198"/>
      <c r="H1580" s="123"/>
    </row>
    <row r="1581" spans="3:8" s="99" customFormat="1" x14ac:dyDescent="0.2">
      <c r="C1581" s="198"/>
      <c r="D1581" s="198"/>
      <c r="E1581" s="537"/>
      <c r="G1581" s="198"/>
      <c r="H1581" s="123"/>
    </row>
    <row r="1582" spans="3:8" s="99" customFormat="1" x14ac:dyDescent="0.2">
      <c r="C1582" s="198"/>
      <c r="D1582" s="198"/>
      <c r="E1582" s="537"/>
      <c r="G1582" s="198"/>
      <c r="H1582" s="123"/>
    </row>
    <row r="1583" spans="3:8" s="99" customFormat="1" x14ac:dyDescent="0.2">
      <c r="C1583" s="198"/>
      <c r="D1583" s="198"/>
      <c r="E1583" s="537"/>
      <c r="G1583" s="198"/>
      <c r="H1583" s="123"/>
    </row>
    <row r="1584" spans="3:8" s="99" customFormat="1" x14ac:dyDescent="0.2">
      <c r="C1584" s="198"/>
      <c r="D1584" s="198"/>
      <c r="E1584" s="537"/>
      <c r="G1584" s="198"/>
      <c r="H1584" s="123"/>
    </row>
    <row r="1585" spans="3:8" s="99" customFormat="1" x14ac:dyDescent="0.2">
      <c r="C1585" s="198"/>
      <c r="D1585" s="198"/>
      <c r="E1585" s="537"/>
      <c r="G1585" s="198"/>
      <c r="H1585" s="123"/>
    </row>
    <row r="1586" spans="3:8" s="99" customFormat="1" x14ac:dyDescent="0.2">
      <c r="C1586" s="198"/>
      <c r="D1586" s="198"/>
      <c r="E1586" s="537"/>
      <c r="G1586" s="198"/>
      <c r="H1586" s="123"/>
    </row>
    <row r="1587" spans="3:8" s="99" customFormat="1" x14ac:dyDescent="0.2">
      <c r="C1587" s="198"/>
      <c r="D1587" s="198"/>
      <c r="E1587" s="537"/>
      <c r="G1587" s="198"/>
      <c r="H1587" s="123"/>
    </row>
    <row r="1588" spans="3:8" s="99" customFormat="1" x14ac:dyDescent="0.2">
      <c r="C1588" s="198"/>
      <c r="D1588" s="198"/>
      <c r="E1588" s="537"/>
      <c r="G1588" s="198"/>
      <c r="H1588" s="123"/>
    </row>
    <row r="1589" spans="3:8" s="99" customFormat="1" x14ac:dyDescent="0.2">
      <c r="C1589" s="198"/>
      <c r="D1589" s="198"/>
      <c r="E1589" s="537"/>
      <c r="G1589" s="198"/>
      <c r="H1589" s="123"/>
    </row>
    <row r="1590" spans="3:8" s="99" customFormat="1" x14ac:dyDescent="0.2">
      <c r="C1590" s="198"/>
      <c r="D1590" s="198"/>
      <c r="E1590" s="537"/>
      <c r="G1590" s="198"/>
      <c r="H1590" s="123"/>
    </row>
    <row r="1591" spans="3:8" s="99" customFormat="1" x14ac:dyDescent="0.2">
      <c r="C1591" s="198"/>
      <c r="D1591" s="198"/>
      <c r="E1591" s="537"/>
      <c r="G1591" s="198"/>
      <c r="H1591" s="123"/>
    </row>
    <row r="1592" spans="3:8" s="99" customFormat="1" x14ac:dyDescent="0.2">
      <c r="C1592" s="198"/>
      <c r="D1592" s="198"/>
      <c r="E1592" s="537"/>
      <c r="G1592" s="198"/>
      <c r="H1592" s="123"/>
    </row>
    <row r="1593" spans="3:8" s="99" customFormat="1" x14ac:dyDescent="0.2">
      <c r="C1593" s="198"/>
      <c r="D1593" s="198"/>
      <c r="E1593" s="537"/>
      <c r="G1593" s="198"/>
      <c r="H1593" s="123"/>
    </row>
    <row r="1594" spans="3:8" s="99" customFormat="1" x14ac:dyDescent="0.2">
      <c r="C1594" s="198"/>
      <c r="D1594" s="198"/>
      <c r="E1594" s="537"/>
      <c r="G1594" s="198"/>
      <c r="H1594" s="123"/>
    </row>
    <row r="1595" spans="3:8" s="99" customFormat="1" x14ac:dyDescent="0.2">
      <c r="C1595" s="198"/>
      <c r="D1595" s="198"/>
      <c r="E1595" s="537"/>
      <c r="G1595" s="198"/>
      <c r="H1595" s="123"/>
    </row>
    <row r="1596" spans="3:8" s="99" customFormat="1" x14ac:dyDescent="0.2">
      <c r="C1596" s="198"/>
      <c r="D1596" s="198"/>
      <c r="E1596" s="537"/>
      <c r="G1596" s="198"/>
      <c r="H1596" s="123"/>
    </row>
    <row r="1597" spans="3:8" s="99" customFormat="1" x14ac:dyDescent="0.2">
      <c r="C1597" s="198"/>
      <c r="D1597" s="198"/>
      <c r="E1597" s="537"/>
      <c r="G1597" s="198"/>
      <c r="H1597" s="123"/>
    </row>
    <row r="1598" spans="3:8" s="99" customFormat="1" x14ac:dyDescent="0.2">
      <c r="C1598" s="198"/>
      <c r="D1598" s="198"/>
      <c r="E1598" s="537"/>
      <c r="G1598" s="198"/>
      <c r="H1598" s="123"/>
    </row>
    <row r="1599" spans="3:8" s="99" customFormat="1" x14ac:dyDescent="0.2">
      <c r="C1599" s="198"/>
      <c r="D1599" s="198"/>
      <c r="E1599" s="537"/>
      <c r="G1599" s="198"/>
      <c r="H1599" s="123"/>
    </row>
    <row r="1600" spans="3:8" s="99" customFormat="1" x14ac:dyDescent="0.2">
      <c r="C1600" s="198"/>
      <c r="D1600" s="198"/>
      <c r="E1600" s="537"/>
      <c r="G1600" s="198"/>
      <c r="H1600" s="123"/>
    </row>
    <row r="1601" spans="3:8" s="99" customFormat="1" x14ac:dyDescent="0.2">
      <c r="C1601" s="198"/>
      <c r="D1601" s="198"/>
      <c r="E1601" s="537"/>
      <c r="G1601" s="198"/>
      <c r="H1601" s="123"/>
    </row>
    <row r="1602" spans="3:8" s="99" customFormat="1" x14ac:dyDescent="0.2">
      <c r="C1602" s="198"/>
      <c r="D1602" s="198"/>
      <c r="E1602" s="537"/>
      <c r="G1602" s="198"/>
      <c r="H1602" s="123"/>
    </row>
    <row r="1603" spans="3:8" s="99" customFormat="1" x14ac:dyDescent="0.2">
      <c r="C1603" s="198"/>
      <c r="D1603" s="198"/>
      <c r="E1603" s="537"/>
      <c r="G1603" s="198"/>
      <c r="H1603" s="123"/>
    </row>
    <row r="1604" spans="3:8" s="99" customFormat="1" x14ac:dyDescent="0.2">
      <c r="C1604" s="198"/>
      <c r="D1604" s="198"/>
      <c r="E1604" s="537"/>
      <c r="G1604" s="198"/>
      <c r="H1604" s="123"/>
    </row>
    <row r="1605" spans="3:8" s="99" customFormat="1" x14ac:dyDescent="0.2">
      <c r="C1605" s="198"/>
      <c r="D1605" s="198"/>
      <c r="E1605" s="537"/>
      <c r="G1605" s="198"/>
      <c r="H1605" s="123"/>
    </row>
    <row r="1606" spans="3:8" s="99" customFormat="1" x14ac:dyDescent="0.2">
      <c r="C1606" s="198"/>
      <c r="D1606" s="198"/>
      <c r="E1606" s="537"/>
      <c r="G1606" s="198"/>
      <c r="H1606" s="123"/>
    </row>
    <row r="1607" spans="3:8" s="99" customFormat="1" x14ac:dyDescent="0.2">
      <c r="C1607" s="198"/>
      <c r="D1607" s="198"/>
      <c r="E1607" s="537"/>
      <c r="G1607" s="198"/>
      <c r="H1607" s="123"/>
    </row>
    <row r="1608" spans="3:8" s="99" customFormat="1" x14ac:dyDescent="0.2">
      <c r="C1608" s="198"/>
      <c r="D1608" s="198"/>
      <c r="E1608" s="537"/>
      <c r="G1608" s="198"/>
      <c r="H1608" s="123"/>
    </row>
    <row r="1609" spans="3:8" s="99" customFormat="1" x14ac:dyDescent="0.2">
      <c r="C1609" s="198"/>
      <c r="D1609" s="198"/>
      <c r="E1609" s="537"/>
      <c r="G1609" s="198"/>
      <c r="H1609" s="123"/>
    </row>
    <row r="1610" spans="3:8" s="99" customFormat="1" x14ac:dyDescent="0.2">
      <c r="C1610" s="198"/>
      <c r="D1610" s="198"/>
      <c r="E1610" s="537"/>
      <c r="G1610" s="198"/>
      <c r="H1610" s="123"/>
    </row>
    <row r="1611" spans="3:8" s="99" customFormat="1" x14ac:dyDescent="0.2">
      <c r="C1611" s="198"/>
      <c r="D1611" s="198"/>
      <c r="E1611" s="537"/>
      <c r="G1611" s="198"/>
      <c r="H1611" s="123"/>
    </row>
    <row r="1612" spans="3:8" s="99" customFormat="1" x14ac:dyDescent="0.2">
      <c r="C1612" s="198"/>
      <c r="D1612" s="198"/>
      <c r="E1612" s="537"/>
      <c r="G1612" s="198"/>
      <c r="H1612" s="123"/>
    </row>
    <row r="1613" spans="3:8" s="99" customFormat="1" x14ac:dyDescent="0.2">
      <c r="C1613" s="198"/>
      <c r="D1613" s="198"/>
      <c r="E1613" s="537"/>
      <c r="G1613" s="198"/>
      <c r="H1613" s="123"/>
    </row>
    <row r="1614" spans="3:8" s="99" customFormat="1" x14ac:dyDescent="0.2">
      <c r="C1614" s="198"/>
      <c r="D1614" s="198"/>
      <c r="E1614" s="537"/>
      <c r="G1614" s="198"/>
      <c r="H1614" s="123"/>
    </row>
    <row r="1615" spans="3:8" s="99" customFormat="1" x14ac:dyDescent="0.2">
      <c r="C1615" s="198"/>
      <c r="D1615" s="198"/>
      <c r="E1615" s="537"/>
      <c r="G1615" s="198"/>
      <c r="H1615" s="123"/>
    </row>
    <row r="1616" spans="3:8" s="99" customFormat="1" x14ac:dyDescent="0.2">
      <c r="C1616" s="198"/>
      <c r="D1616" s="198"/>
      <c r="E1616" s="537"/>
      <c r="G1616" s="198"/>
      <c r="H1616" s="123"/>
    </row>
    <row r="1617" spans="3:8" s="99" customFormat="1" x14ac:dyDescent="0.2">
      <c r="C1617" s="198"/>
      <c r="D1617" s="198"/>
      <c r="E1617" s="537"/>
      <c r="G1617" s="198"/>
      <c r="H1617" s="123"/>
    </row>
    <row r="1618" spans="3:8" s="99" customFormat="1" x14ac:dyDescent="0.2">
      <c r="C1618" s="198"/>
      <c r="D1618" s="198"/>
      <c r="E1618" s="537"/>
      <c r="G1618" s="198"/>
      <c r="H1618" s="123"/>
    </row>
    <row r="1619" spans="3:8" s="99" customFormat="1" x14ac:dyDescent="0.2">
      <c r="C1619" s="198"/>
      <c r="D1619" s="198"/>
      <c r="E1619" s="537"/>
      <c r="G1619" s="198"/>
      <c r="H1619" s="123"/>
    </row>
    <row r="1620" spans="3:8" s="99" customFormat="1" x14ac:dyDescent="0.2">
      <c r="C1620" s="198"/>
      <c r="D1620" s="198"/>
      <c r="E1620" s="537"/>
      <c r="G1620" s="198"/>
      <c r="H1620" s="123"/>
    </row>
    <row r="1621" spans="3:8" s="99" customFormat="1" x14ac:dyDescent="0.2">
      <c r="C1621" s="198"/>
      <c r="D1621" s="198"/>
      <c r="E1621" s="537"/>
      <c r="G1621" s="198"/>
      <c r="H1621" s="123"/>
    </row>
    <row r="1622" spans="3:8" s="99" customFormat="1" x14ac:dyDescent="0.2">
      <c r="C1622" s="198"/>
      <c r="D1622" s="198"/>
      <c r="E1622" s="537"/>
      <c r="G1622" s="198"/>
      <c r="H1622" s="123"/>
    </row>
    <row r="1623" spans="3:8" s="99" customFormat="1" x14ac:dyDescent="0.2">
      <c r="C1623" s="198"/>
      <c r="D1623" s="198"/>
      <c r="E1623" s="537"/>
      <c r="G1623" s="198"/>
      <c r="H1623" s="123"/>
    </row>
    <row r="1624" spans="3:8" s="99" customFormat="1" x14ac:dyDescent="0.2">
      <c r="C1624" s="198"/>
      <c r="D1624" s="198"/>
      <c r="E1624" s="537"/>
      <c r="G1624" s="198"/>
      <c r="H1624" s="123"/>
    </row>
    <row r="1625" spans="3:8" s="99" customFormat="1" x14ac:dyDescent="0.2">
      <c r="C1625" s="198"/>
      <c r="D1625" s="198"/>
      <c r="E1625" s="537"/>
      <c r="G1625" s="198"/>
      <c r="H1625" s="123"/>
    </row>
    <row r="1626" spans="3:8" s="99" customFormat="1" x14ac:dyDescent="0.2">
      <c r="C1626" s="198"/>
      <c r="D1626" s="198"/>
      <c r="E1626" s="537"/>
      <c r="G1626" s="198"/>
      <c r="H1626" s="123"/>
    </row>
    <row r="1627" spans="3:8" s="99" customFormat="1" x14ac:dyDescent="0.2">
      <c r="C1627" s="198"/>
      <c r="D1627" s="198"/>
      <c r="E1627" s="537"/>
      <c r="G1627" s="198"/>
      <c r="H1627" s="123"/>
    </row>
    <row r="1628" spans="3:8" s="99" customFormat="1" x14ac:dyDescent="0.2">
      <c r="C1628" s="198"/>
      <c r="D1628" s="198"/>
      <c r="E1628" s="537"/>
      <c r="G1628" s="198"/>
      <c r="H1628" s="123"/>
    </row>
    <row r="1629" spans="3:8" s="99" customFormat="1" x14ac:dyDescent="0.2">
      <c r="C1629" s="198"/>
      <c r="D1629" s="198"/>
      <c r="E1629" s="537"/>
      <c r="G1629" s="198"/>
      <c r="H1629" s="123"/>
    </row>
    <row r="1630" spans="3:8" s="99" customFormat="1" x14ac:dyDescent="0.2">
      <c r="C1630" s="198"/>
      <c r="D1630" s="198"/>
      <c r="E1630" s="537"/>
      <c r="G1630" s="198"/>
      <c r="H1630" s="123"/>
    </row>
    <row r="1631" spans="3:8" s="99" customFormat="1" x14ac:dyDescent="0.2">
      <c r="C1631" s="198"/>
      <c r="D1631" s="198"/>
      <c r="E1631" s="537"/>
      <c r="G1631" s="198"/>
      <c r="H1631" s="123"/>
    </row>
    <row r="1632" spans="3:8" s="99" customFormat="1" x14ac:dyDescent="0.2">
      <c r="C1632" s="198"/>
      <c r="D1632" s="198"/>
      <c r="E1632" s="537"/>
      <c r="G1632" s="198"/>
      <c r="H1632" s="123"/>
    </row>
    <row r="1633" spans="3:8" s="99" customFormat="1" x14ac:dyDescent="0.2">
      <c r="C1633" s="198"/>
      <c r="D1633" s="198"/>
      <c r="E1633" s="537"/>
      <c r="G1633" s="198"/>
      <c r="H1633" s="123"/>
    </row>
    <row r="1634" spans="3:8" s="99" customFormat="1" x14ac:dyDescent="0.2">
      <c r="C1634" s="198"/>
      <c r="D1634" s="198"/>
      <c r="E1634" s="537"/>
      <c r="G1634" s="198"/>
      <c r="H1634" s="123"/>
    </row>
    <row r="1635" spans="3:8" s="99" customFormat="1" x14ac:dyDescent="0.2">
      <c r="C1635" s="198"/>
      <c r="D1635" s="198"/>
      <c r="E1635" s="537"/>
      <c r="G1635" s="198"/>
      <c r="H1635" s="123"/>
    </row>
    <row r="1636" spans="3:8" s="99" customFormat="1" x14ac:dyDescent="0.2">
      <c r="C1636" s="198"/>
      <c r="D1636" s="198"/>
      <c r="E1636" s="537"/>
      <c r="G1636" s="198"/>
      <c r="H1636" s="123"/>
    </row>
    <row r="1637" spans="3:8" s="99" customFormat="1" x14ac:dyDescent="0.2">
      <c r="C1637" s="198"/>
      <c r="D1637" s="198"/>
      <c r="E1637" s="537"/>
      <c r="G1637" s="198"/>
      <c r="H1637" s="123"/>
    </row>
    <row r="1638" spans="3:8" s="99" customFormat="1" x14ac:dyDescent="0.2">
      <c r="C1638" s="198"/>
      <c r="D1638" s="198"/>
      <c r="E1638" s="537"/>
      <c r="G1638" s="198"/>
      <c r="H1638" s="123"/>
    </row>
    <row r="1639" spans="3:8" s="99" customFormat="1" x14ac:dyDescent="0.2">
      <c r="C1639" s="198"/>
      <c r="D1639" s="198"/>
      <c r="E1639" s="537"/>
      <c r="G1639" s="198"/>
      <c r="H1639" s="123"/>
    </row>
    <row r="1640" spans="3:8" s="99" customFormat="1" x14ac:dyDescent="0.2">
      <c r="C1640" s="198"/>
      <c r="D1640" s="198"/>
      <c r="E1640" s="537"/>
      <c r="G1640" s="198"/>
      <c r="H1640" s="123"/>
    </row>
    <row r="1641" spans="3:8" s="99" customFormat="1" x14ac:dyDescent="0.2">
      <c r="C1641" s="198"/>
      <c r="D1641" s="198"/>
      <c r="E1641" s="537"/>
      <c r="G1641" s="198"/>
      <c r="H1641" s="123"/>
    </row>
    <row r="1642" spans="3:8" s="99" customFormat="1" x14ac:dyDescent="0.2">
      <c r="C1642" s="198"/>
      <c r="D1642" s="198"/>
      <c r="E1642" s="537"/>
      <c r="G1642" s="198"/>
      <c r="H1642" s="123"/>
    </row>
    <row r="1643" spans="3:8" s="99" customFormat="1" x14ac:dyDescent="0.2">
      <c r="C1643" s="198"/>
      <c r="D1643" s="198"/>
      <c r="E1643" s="537"/>
      <c r="G1643" s="198"/>
      <c r="H1643" s="123"/>
    </row>
    <row r="1644" spans="3:8" s="99" customFormat="1" x14ac:dyDescent="0.2">
      <c r="C1644" s="198"/>
      <c r="D1644" s="198"/>
      <c r="E1644" s="537"/>
      <c r="G1644" s="198"/>
      <c r="H1644" s="123"/>
    </row>
    <row r="1645" spans="3:8" s="99" customFormat="1" x14ac:dyDescent="0.2">
      <c r="C1645" s="198"/>
      <c r="D1645" s="198"/>
      <c r="E1645" s="537"/>
      <c r="G1645" s="198"/>
      <c r="H1645" s="123"/>
    </row>
    <row r="1646" spans="3:8" s="99" customFormat="1" x14ac:dyDescent="0.2">
      <c r="C1646" s="198"/>
      <c r="D1646" s="198"/>
      <c r="E1646" s="537"/>
      <c r="G1646" s="198"/>
      <c r="H1646" s="123"/>
    </row>
    <row r="1647" spans="3:8" s="99" customFormat="1" x14ac:dyDescent="0.2">
      <c r="C1647" s="198"/>
      <c r="D1647" s="198"/>
      <c r="E1647" s="537"/>
      <c r="G1647" s="198"/>
      <c r="H1647" s="123"/>
    </row>
    <row r="1648" spans="3:8" s="99" customFormat="1" x14ac:dyDescent="0.2">
      <c r="C1648" s="198"/>
      <c r="D1648" s="198"/>
      <c r="E1648" s="537"/>
      <c r="G1648" s="198"/>
      <c r="H1648" s="123"/>
    </row>
    <row r="1649" spans="3:8" s="99" customFormat="1" x14ac:dyDescent="0.2">
      <c r="C1649" s="198"/>
      <c r="D1649" s="198"/>
      <c r="E1649" s="537"/>
      <c r="G1649" s="198"/>
      <c r="H1649" s="123"/>
    </row>
    <row r="1650" spans="3:8" s="99" customFormat="1" x14ac:dyDescent="0.2">
      <c r="C1650" s="198"/>
      <c r="D1650" s="198"/>
      <c r="E1650" s="537"/>
      <c r="G1650" s="198"/>
      <c r="H1650" s="123"/>
    </row>
    <row r="1651" spans="3:8" s="99" customFormat="1" x14ac:dyDescent="0.2">
      <c r="C1651" s="198"/>
      <c r="D1651" s="198"/>
      <c r="E1651" s="537"/>
      <c r="G1651" s="198"/>
      <c r="H1651" s="123"/>
    </row>
    <row r="1652" spans="3:8" s="99" customFormat="1" x14ac:dyDescent="0.2">
      <c r="C1652" s="198"/>
      <c r="D1652" s="198"/>
      <c r="E1652" s="537"/>
      <c r="G1652" s="198"/>
      <c r="H1652" s="123"/>
    </row>
    <row r="1653" spans="3:8" s="99" customFormat="1" x14ac:dyDescent="0.2">
      <c r="C1653" s="198"/>
      <c r="D1653" s="198"/>
      <c r="E1653" s="537"/>
      <c r="G1653" s="198"/>
      <c r="H1653" s="123"/>
    </row>
    <row r="1654" spans="3:8" s="99" customFormat="1" x14ac:dyDescent="0.2">
      <c r="C1654" s="198"/>
      <c r="D1654" s="198"/>
      <c r="E1654" s="537"/>
      <c r="G1654" s="198"/>
      <c r="H1654" s="123"/>
    </row>
    <row r="1655" spans="3:8" s="99" customFormat="1" x14ac:dyDescent="0.2">
      <c r="C1655" s="198"/>
      <c r="D1655" s="198"/>
      <c r="E1655" s="537"/>
      <c r="G1655" s="198"/>
      <c r="H1655" s="123"/>
    </row>
    <row r="1656" spans="3:8" s="99" customFormat="1" x14ac:dyDescent="0.2">
      <c r="C1656" s="198"/>
      <c r="D1656" s="198"/>
      <c r="E1656" s="537"/>
      <c r="G1656" s="198"/>
      <c r="H1656" s="123"/>
    </row>
    <row r="1657" spans="3:8" s="99" customFormat="1" x14ac:dyDescent="0.2">
      <c r="C1657" s="198"/>
      <c r="D1657" s="198"/>
      <c r="E1657" s="537"/>
      <c r="G1657" s="198"/>
      <c r="H1657" s="123"/>
    </row>
    <row r="1658" spans="3:8" s="99" customFormat="1" x14ac:dyDescent="0.2">
      <c r="C1658" s="198"/>
      <c r="D1658" s="198"/>
      <c r="E1658" s="537"/>
      <c r="G1658" s="198"/>
      <c r="H1658" s="123"/>
    </row>
    <row r="1659" spans="3:8" s="99" customFormat="1" x14ac:dyDescent="0.2">
      <c r="C1659" s="198"/>
      <c r="D1659" s="198"/>
      <c r="E1659" s="537"/>
      <c r="G1659" s="198"/>
      <c r="H1659" s="123"/>
    </row>
    <row r="1660" spans="3:8" s="99" customFormat="1" x14ac:dyDescent="0.2">
      <c r="C1660" s="198"/>
      <c r="D1660" s="198"/>
      <c r="E1660" s="537"/>
      <c r="G1660" s="198"/>
      <c r="H1660" s="123"/>
    </row>
    <row r="1661" spans="3:8" s="99" customFormat="1" x14ac:dyDescent="0.2">
      <c r="C1661" s="198"/>
      <c r="D1661" s="198"/>
      <c r="E1661" s="537"/>
      <c r="G1661" s="198"/>
      <c r="H1661" s="123"/>
    </row>
    <row r="1662" spans="3:8" s="99" customFormat="1" x14ac:dyDescent="0.2">
      <c r="C1662" s="198"/>
      <c r="D1662" s="198"/>
      <c r="E1662" s="537"/>
      <c r="G1662" s="198"/>
      <c r="H1662" s="123"/>
    </row>
    <row r="1663" spans="3:8" s="99" customFormat="1" x14ac:dyDescent="0.2">
      <c r="C1663" s="198"/>
      <c r="D1663" s="198"/>
      <c r="E1663" s="537"/>
      <c r="G1663" s="198"/>
      <c r="H1663" s="123"/>
    </row>
    <row r="1664" spans="3:8" s="99" customFormat="1" x14ac:dyDescent="0.2">
      <c r="C1664" s="198"/>
      <c r="D1664" s="198"/>
      <c r="E1664" s="537"/>
      <c r="G1664" s="198"/>
      <c r="H1664" s="123"/>
    </row>
    <row r="1665" spans="3:8" s="99" customFormat="1" x14ac:dyDescent="0.2">
      <c r="C1665" s="198"/>
      <c r="D1665" s="198"/>
      <c r="E1665" s="537"/>
      <c r="G1665" s="198"/>
      <c r="H1665" s="123"/>
    </row>
    <row r="1666" spans="3:8" s="99" customFormat="1" x14ac:dyDescent="0.2">
      <c r="C1666" s="198"/>
      <c r="D1666" s="198"/>
      <c r="E1666" s="537"/>
      <c r="G1666" s="198"/>
      <c r="H1666" s="123"/>
    </row>
    <row r="1667" spans="3:8" s="99" customFormat="1" x14ac:dyDescent="0.2">
      <c r="C1667" s="198"/>
      <c r="D1667" s="198"/>
      <c r="E1667" s="537"/>
      <c r="G1667" s="198"/>
      <c r="H1667" s="123"/>
    </row>
    <row r="1668" spans="3:8" s="99" customFormat="1" x14ac:dyDescent="0.2">
      <c r="C1668" s="198"/>
      <c r="D1668" s="198"/>
      <c r="E1668" s="537"/>
      <c r="G1668" s="198"/>
      <c r="H1668" s="123"/>
    </row>
    <row r="1669" spans="3:8" s="99" customFormat="1" x14ac:dyDescent="0.2">
      <c r="C1669" s="198"/>
      <c r="D1669" s="198"/>
      <c r="E1669" s="537"/>
      <c r="G1669" s="198"/>
      <c r="H1669" s="123"/>
    </row>
    <row r="1670" spans="3:8" s="99" customFormat="1" x14ac:dyDescent="0.2">
      <c r="C1670" s="198"/>
      <c r="D1670" s="198"/>
      <c r="E1670" s="537"/>
      <c r="G1670" s="198"/>
      <c r="H1670" s="123"/>
    </row>
    <row r="1671" spans="3:8" s="99" customFormat="1" x14ac:dyDescent="0.2">
      <c r="C1671" s="198"/>
      <c r="D1671" s="198"/>
      <c r="E1671" s="537"/>
      <c r="G1671" s="198"/>
      <c r="H1671" s="123"/>
    </row>
    <row r="1672" spans="3:8" s="99" customFormat="1" x14ac:dyDescent="0.2">
      <c r="C1672" s="198"/>
      <c r="D1672" s="198"/>
      <c r="E1672" s="537"/>
      <c r="G1672" s="198"/>
      <c r="H1672" s="123"/>
    </row>
    <row r="1673" spans="3:8" s="99" customFormat="1" x14ac:dyDescent="0.2">
      <c r="C1673" s="198"/>
      <c r="D1673" s="198"/>
      <c r="E1673" s="537"/>
      <c r="G1673" s="198"/>
      <c r="H1673" s="123"/>
    </row>
    <row r="1674" spans="3:8" s="99" customFormat="1" x14ac:dyDescent="0.2">
      <c r="C1674" s="198"/>
      <c r="D1674" s="198"/>
      <c r="E1674" s="537"/>
      <c r="G1674" s="198"/>
      <c r="H1674" s="123"/>
    </row>
    <row r="1675" spans="3:8" s="99" customFormat="1" x14ac:dyDescent="0.2">
      <c r="C1675" s="198"/>
      <c r="D1675" s="198"/>
      <c r="E1675" s="537"/>
      <c r="G1675" s="198"/>
      <c r="H1675" s="123"/>
    </row>
    <row r="1676" spans="3:8" s="99" customFormat="1" x14ac:dyDescent="0.2">
      <c r="C1676" s="198"/>
      <c r="D1676" s="198"/>
      <c r="E1676" s="537"/>
      <c r="G1676" s="198"/>
      <c r="H1676" s="123"/>
    </row>
    <row r="1677" spans="3:8" s="99" customFormat="1" x14ac:dyDescent="0.2">
      <c r="C1677" s="198"/>
      <c r="D1677" s="198"/>
      <c r="E1677" s="537"/>
      <c r="G1677" s="198"/>
      <c r="H1677" s="123"/>
    </row>
    <row r="1678" spans="3:8" s="99" customFormat="1" x14ac:dyDescent="0.2">
      <c r="C1678" s="198"/>
      <c r="D1678" s="198"/>
      <c r="E1678" s="537"/>
      <c r="G1678" s="198"/>
      <c r="H1678" s="123"/>
    </row>
    <row r="1679" spans="3:8" s="99" customFormat="1" x14ac:dyDescent="0.2">
      <c r="C1679" s="198"/>
      <c r="D1679" s="198"/>
      <c r="E1679" s="537"/>
      <c r="G1679" s="198"/>
      <c r="H1679" s="123"/>
    </row>
    <row r="1680" spans="3:8" s="99" customFormat="1" x14ac:dyDescent="0.2">
      <c r="C1680" s="198"/>
      <c r="D1680" s="198"/>
      <c r="E1680" s="537"/>
      <c r="G1680" s="198"/>
      <c r="H1680" s="123"/>
    </row>
    <row r="1681" spans="3:8" s="99" customFormat="1" x14ac:dyDescent="0.2">
      <c r="C1681" s="198"/>
      <c r="D1681" s="198"/>
      <c r="E1681" s="537"/>
      <c r="G1681" s="198"/>
      <c r="H1681" s="123"/>
    </row>
    <row r="1682" spans="3:8" s="99" customFormat="1" x14ac:dyDescent="0.2">
      <c r="C1682" s="198"/>
      <c r="D1682" s="198"/>
      <c r="E1682" s="537"/>
      <c r="G1682" s="198"/>
      <c r="H1682" s="123"/>
    </row>
    <row r="1683" spans="3:8" s="99" customFormat="1" x14ac:dyDescent="0.2">
      <c r="C1683" s="198"/>
      <c r="D1683" s="198"/>
      <c r="E1683" s="537"/>
      <c r="G1683" s="198"/>
      <c r="H1683" s="123"/>
    </row>
    <row r="1684" spans="3:8" s="99" customFormat="1" x14ac:dyDescent="0.2">
      <c r="C1684" s="198"/>
      <c r="D1684" s="198"/>
      <c r="E1684" s="537"/>
      <c r="G1684" s="198"/>
      <c r="H1684" s="123"/>
    </row>
    <row r="1685" spans="3:8" s="99" customFormat="1" x14ac:dyDescent="0.2">
      <c r="C1685" s="198"/>
      <c r="D1685" s="198"/>
      <c r="E1685" s="537"/>
      <c r="G1685" s="198"/>
      <c r="H1685" s="123"/>
    </row>
    <row r="1686" spans="3:8" s="99" customFormat="1" x14ac:dyDescent="0.2">
      <c r="C1686" s="198"/>
      <c r="D1686" s="198"/>
      <c r="E1686" s="537"/>
      <c r="G1686" s="198"/>
      <c r="H1686" s="123"/>
    </row>
    <row r="1687" spans="3:8" s="99" customFormat="1" x14ac:dyDescent="0.2">
      <c r="C1687" s="198"/>
      <c r="D1687" s="198"/>
      <c r="E1687" s="537"/>
      <c r="G1687" s="198"/>
      <c r="H1687" s="123"/>
    </row>
    <row r="1688" spans="3:8" s="99" customFormat="1" x14ac:dyDescent="0.2">
      <c r="C1688" s="198"/>
      <c r="D1688" s="198"/>
      <c r="E1688" s="537"/>
      <c r="G1688" s="198"/>
      <c r="H1688" s="123"/>
    </row>
    <row r="1689" spans="3:8" s="99" customFormat="1" x14ac:dyDescent="0.2">
      <c r="C1689" s="198"/>
      <c r="D1689" s="198"/>
      <c r="E1689" s="537"/>
      <c r="G1689" s="198"/>
      <c r="H1689" s="123"/>
    </row>
    <row r="1690" spans="3:8" s="99" customFormat="1" x14ac:dyDescent="0.2">
      <c r="C1690" s="198"/>
      <c r="D1690" s="198"/>
      <c r="E1690" s="537"/>
      <c r="G1690" s="198"/>
      <c r="H1690" s="123"/>
    </row>
    <row r="1691" spans="3:8" s="99" customFormat="1" x14ac:dyDescent="0.2">
      <c r="C1691" s="198"/>
      <c r="D1691" s="198"/>
      <c r="E1691" s="537"/>
      <c r="G1691" s="198"/>
      <c r="H1691" s="123"/>
    </row>
    <row r="1692" spans="3:8" s="99" customFormat="1" x14ac:dyDescent="0.2">
      <c r="C1692" s="198"/>
      <c r="D1692" s="198"/>
      <c r="E1692" s="537"/>
      <c r="G1692" s="198"/>
      <c r="H1692" s="123"/>
    </row>
    <row r="1693" spans="3:8" s="99" customFormat="1" x14ac:dyDescent="0.2">
      <c r="C1693" s="198"/>
      <c r="D1693" s="198"/>
      <c r="E1693" s="537"/>
      <c r="G1693" s="198"/>
      <c r="H1693" s="123"/>
    </row>
    <row r="1694" spans="3:8" s="99" customFormat="1" x14ac:dyDescent="0.2">
      <c r="C1694" s="198"/>
      <c r="D1694" s="198"/>
      <c r="E1694" s="537"/>
      <c r="G1694" s="198"/>
      <c r="H1694" s="123"/>
    </row>
    <row r="1695" spans="3:8" s="99" customFormat="1" x14ac:dyDescent="0.2">
      <c r="C1695" s="198"/>
      <c r="D1695" s="198"/>
      <c r="E1695" s="537"/>
      <c r="G1695" s="198"/>
      <c r="H1695" s="123"/>
    </row>
    <row r="1696" spans="3:8" s="99" customFormat="1" x14ac:dyDescent="0.2">
      <c r="C1696" s="198"/>
      <c r="D1696" s="198"/>
      <c r="E1696" s="537"/>
      <c r="G1696" s="198"/>
      <c r="H1696" s="123"/>
    </row>
    <row r="1697" spans="3:8" s="99" customFormat="1" x14ac:dyDescent="0.2">
      <c r="C1697" s="198"/>
      <c r="D1697" s="198"/>
      <c r="E1697" s="537"/>
      <c r="G1697" s="198"/>
      <c r="H1697" s="123"/>
    </row>
    <row r="1698" spans="3:8" s="99" customFormat="1" x14ac:dyDescent="0.2">
      <c r="C1698" s="198"/>
      <c r="D1698" s="198"/>
      <c r="E1698" s="537"/>
      <c r="G1698" s="198"/>
      <c r="H1698" s="123"/>
    </row>
    <row r="1699" spans="3:8" s="99" customFormat="1" x14ac:dyDescent="0.2">
      <c r="C1699" s="198"/>
      <c r="D1699" s="198"/>
      <c r="E1699" s="537"/>
      <c r="G1699" s="198"/>
      <c r="H1699" s="123"/>
    </row>
    <row r="1700" spans="3:8" s="99" customFormat="1" x14ac:dyDescent="0.2">
      <c r="C1700" s="198"/>
      <c r="D1700" s="198"/>
      <c r="E1700" s="537"/>
      <c r="G1700" s="198"/>
      <c r="H1700" s="123"/>
    </row>
    <row r="1701" spans="3:8" s="99" customFormat="1" x14ac:dyDescent="0.2">
      <c r="C1701" s="198"/>
      <c r="D1701" s="198"/>
      <c r="E1701" s="537"/>
      <c r="G1701" s="198"/>
      <c r="H1701" s="123"/>
    </row>
    <row r="1702" spans="3:8" s="99" customFormat="1" x14ac:dyDescent="0.2">
      <c r="C1702" s="198"/>
      <c r="D1702" s="198"/>
      <c r="E1702" s="537"/>
      <c r="G1702" s="198"/>
      <c r="H1702" s="123"/>
    </row>
    <row r="1703" spans="3:8" s="99" customFormat="1" x14ac:dyDescent="0.2">
      <c r="C1703" s="198"/>
      <c r="D1703" s="198"/>
      <c r="E1703" s="537"/>
      <c r="G1703" s="198"/>
      <c r="H1703" s="123"/>
    </row>
    <row r="1704" spans="3:8" s="99" customFormat="1" x14ac:dyDescent="0.2">
      <c r="C1704" s="198"/>
      <c r="D1704" s="198"/>
      <c r="E1704" s="537"/>
      <c r="G1704" s="198"/>
      <c r="H1704" s="123"/>
    </row>
    <row r="1705" spans="3:8" s="99" customFormat="1" x14ac:dyDescent="0.2">
      <c r="C1705" s="198"/>
      <c r="D1705" s="198"/>
      <c r="E1705" s="537"/>
      <c r="G1705" s="198"/>
      <c r="H1705" s="123"/>
    </row>
    <row r="1706" spans="3:8" s="99" customFormat="1" x14ac:dyDescent="0.2">
      <c r="C1706" s="198"/>
      <c r="D1706" s="198"/>
      <c r="E1706" s="537"/>
      <c r="G1706" s="198"/>
      <c r="H1706" s="123"/>
    </row>
    <row r="1707" spans="3:8" s="99" customFormat="1" x14ac:dyDescent="0.2">
      <c r="C1707" s="198"/>
      <c r="D1707" s="198"/>
      <c r="E1707" s="537"/>
      <c r="G1707" s="198"/>
      <c r="H1707" s="123"/>
    </row>
    <row r="1708" spans="3:8" s="99" customFormat="1" x14ac:dyDescent="0.2">
      <c r="C1708" s="198"/>
      <c r="D1708" s="198"/>
      <c r="E1708" s="537"/>
      <c r="G1708" s="198"/>
      <c r="H1708" s="123"/>
    </row>
    <row r="1709" spans="3:8" s="99" customFormat="1" x14ac:dyDescent="0.2">
      <c r="C1709" s="198"/>
      <c r="D1709" s="198"/>
      <c r="E1709" s="537"/>
      <c r="G1709" s="198"/>
      <c r="H1709" s="123"/>
    </row>
    <row r="1710" spans="3:8" s="99" customFormat="1" x14ac:dyDescent="0.2">
      <c r="C1710" s="198"/>
      <c r="D1710" s="198"/>
      <c r="E1710" s="537"/>
      <c r="G1710" s="198"/>
      <c r="H1710" s="123"/>
    </row>
    <row r="1711" spans="3:8" s="99" customFormat="1" x14ac:dyDescent="0.2">
      <c r="C1711" s="198"/>
      <c r="D1711" s="198"/>
      <c r="E1711" s="537"/>
      <c r="G1711" s="198"/>
      <c r="H1711" s="123"/>
    </row>
    <row r="1712" spans="3:8" s="99" customFormat="1" x14ac:dyDescent="0.2">
      <c r="C1712" s="198"/>
      <c r="D1712" s="198"/>
      <c r="E1712" s="537"/>
      <c r="G1712" s="198"/>
      <c r="H1712" s="123"/>
    </row>
    <row r="1713" spans="3:8" s="99" customFormat="1" x14ac:dyDescent="0.2">
      <c r="C1713" s="198"/>
      <c r="D1713" s="198"/>
      <c r="E1713" s="537"/>
      <c r="G1713" s="198"/>
      <c r="H1713" s="123"/>
    </row>
    <row r="1714" spans="3:8" s="99" customFormat="1" x14ac:dyDescent="0.2">
      <c r="C1714" s="198"/>
      <c r="D1714" s="198"/>
      <c r="E1714" s="537"/>
      <c r="G1714" s="198"/>
      <c r="H1714" s="123"/>
    </row>
    <row r="1715" spans="3:8" s="99" customFormat="1" x14ac:dyDescent="0.2">
      <c r="C1715" s="198"/>
      <c r="D1715" s="198"/>
      <c r="E1715" s="537"/>
      <c r="G1715" s="198"/>
      <c r="H1715" s="123"/>
    </row>
    <row r="1716" spans="3:8" s="99" customFormat="1" x14ac:dyDescent="0.2">
      <c r="C1716" s="198"/>
      <c r="D1716" s="198"/>
      <c r="E1716" s="537"/>
      <c r="G1716" s="198"/>
      <c r="H1716" s="123"/>
    </row>
    <row r="1717" spans="3:8" s="99" customFormat="1" x14ac:dyDescent="0.2">
      <c r="C1717" s="198"/>
      <c r="D1717" s="198"/>
      <c r="E1717" s="537"/>
      <c r="G1717" s="198"/>
      <c r="H1717" s="123"/>
    </row>
    <row r="1718" spans="3:8" s="99" customFormat="1" x14ac:dyDescent="0.2">
      <c r="C1718" s="198"/>
      <c r="D1718" s="198"/>
      <c r="E1718" s="537"/>
      <c r="G1718" s="198"/>
      <c r="H1718" s="123"/>
    </row>
    <row r="1719" spans="3:8" s="99" customFormat="1" x14ac:dyDescent="0.2">
      <c r="C1719" s="198"/>
      <c r="D1719" s="198"/>
      <c r="E1719" s="537"/>
      <c r="G1719" s="198"/>
      <c r="H1719" s="123"/>
    </row>
    <row r="1720" spans="3:8" s="99" customFormat="1" x14ac:dyDescent="0.2">
      <c r="C1720" s="198"/>
      <c r="D1720" s="198"/>
      <c r="E1720" s="537"/>
      <c r="G1720" s="198"/>
      <c r="H1720" s="123"/>
    </row>
    <row r="1721" spans="3:8" s="99" customFormat="1" x14ac:dyDescent="0.2">
      <c r="C1721" s="198"/>
      <c r="D1721" s="198"/>
      <c r="E1721" s="537"/>
      <c r="G1721" s="198"/>
      <c r="H1721" s="123"/>
    </row>
    <row r="1722" spans="3:8" s="99" customFormat="1" x14ac:dyDescent="0.2">
      <c r="C1722" s="198"/>
      <c r="D1722" s="198"/>
      <c r="E1722" s="537"/>
      <c r="G1722" s="198"/>
      <c r="H1722" s="123"/>
    </row>
    <row r="1723" spans="3:8" s="99" customFormat="1" x14ac:dyDescent="0.2">
      <c r="C1723" s="198"/>
      <c r="D1723" s="198"/>
      <c r="E1723" s="537"/>
      <c r="G1723" s="198"/>
      <c r="H1723" s="123"/>
    </row>
    <row r="1724" spans="3:8" s="99" customFormat="1" x14ac:dyDescent="0.2">
      <c r="C1724" s="198"/>
      <c r="D1724" s="198"/>
      <c r="E1724" s="537"/>
      <c r="G1724" s="198"/>
      <c r="H1724" s="123"/>
    </row>
    <row r="1725" spans="3:8" s="99" customFormat="1" x14ac:dyDescent="0.2">
      <c r="C1725" s="198"/>
      <c r="D1725" s="198"/>
      <c r="E1725" s="537"/>
      <c r="G1725" s="198"/>
      <c r="H1725" s="123"/>
    </row>
    <row r="1726" spans="3:8" s="99" customFormat="1" x14ac:dyDescent="0.2">
      <c r="C1726" s="198"/>
      <c r="D1726" s="198"/>
      <c r="E1726" s="537"/>
      <c r="G1726" s="198"/>
      <c r="H1726" s="123"/>
    </row>
    <row r="1727" spans="3:8" s="99" customFormat="1" x14ac:dyDescent="0.2">
      <c r="C1727" s="198"/>
      <c r="D1727" s="198"/>
      <c r="E1727" s="537"/>
      <c r="G1727" s="198"/>
      <c r="H1727" s="123"/>
    </row>
    <row r="1728" spans="3:8" s="99" customFormat="1" x14ac:dyDescent="0.2">
      <c r="C1728" s="198"/>
      <c r="D1728" s="198"/>
      <c r="E1728" s="537"/>
      <c r="G1728" s="198"/>
      <c r="H1728" s="123"/>
    </row>
    <row r="1729" spans="3:8" s="99" customFormat="1" x14ac:dyDescent="0.2">
      <c r="C1729" s="198"/>
      <c r="D1729" s="198"/>
      <c r="E1729" s="537"/>
      <c r="G1729" s="198"/>
      <c r="H1729" s="123"/>
    </row>
    <row r="1730" spans="3:8" s="99" customFormat="1" x14ac:dyDescent="0.2">
      <c r="C1730" s="198"/>
      <c r="D1730" s="198"/>
      <c r="E1730" s="537"/>
      <c r="G1730" s="198"/>
      <c r="H1730" s="123"/>
    </row>
    <row r="1731" spans="3:8" s="99" customFormat="1" x14ac:dyDescent="0.2">
      <c r="C1731" s="198"/>
      <c r="D1731" s="198"/>
      <c r="E1731" s="537"/>
      <c r="G1731" s="198"/>
      <c r="H1731" s="123"/>
    </row>
    <row r="1732" spans="3:8" s="99" customFormat="1" x14ac:dyDescent="0.2">
      <c r="C1732" s="198"/>
      <c r="D1732" s="198"/>
      <c r="E1732" s="537"/>
      <c r="G1732" s="198"/>
      <c r="H1732" s="123"/>
    </row>
    <row r="1733" spans="3:8" s="99" customFormat="1" x14ac:dyDescent="0.2">
      <c r="C1733" s="198"/>
      <c r="D1733" s="198"/>
      <c r="E1733" s="537"/>
      <c r="G1733" s="198"/>
      <c r="H1733" s="123"/>
    </row>
    <row r="1734" spans="3:8" s="99" customFormat="1" x14ac:dyDescent="0.2">
      <c r="C1734" s="198"/>
      <c r="D1734" s="198"/>
      <c r="E1734" s="537"/>
      <c r="G1734" s="198"/>
      <c r="H1734" s="123"/>
    </row>
    <row r="1735" spans="3:8" s="99" customFormat="1" x14ac:dyDescent="0.2">
      <c r="C1735" s="198"/>
      <c r="D1735" s="198"/>
      <c r="E1735" s="537"/>
      <c r="G1735" s="198"/>
      <c r="H1735" s="123"/>
    </row>
    <row r="1736" spans="3:8" s="99" customFormat="1" x14ac:dyDescent="0.2">
      <c r="C1736" s="198"/>
      <c r="D1736" s="198"/>
      <c r="E1736" s="537"/>
      <c r="G1736" s="198"/>
      <c r="H1736" s="123"/>
    </row>
    <row r="1737" spans="3:8" s="99" customFormat="1" x14ac:dyDescent="0.2">
      <c r="C1737" s="198"/>
      <c r="D1737" s="198"/>
      <c r="E1737" s="537"/>
      <c r="G1737" s="198"/>
      <c r="H1737" s="123"/>
    </row>
    <row r="1738" spans="3:8" s="99" customFormat="1" x14ac:dyDescent="0.2">
      <c r="C1738" s="198"/>
      <c r="D1738" s="198"/>
      <c r="E1738" s="537"/>
      <c r="G1738" s="198"/>
      <c r="H1738" s="123"/>
    </row>
    <row r="1739" spans="3:8" s="99" customFormat="1" x14ac:dyDescent="0.2">
      <c r="C1739" s="198"/>
      <c r="D1739" s="198"/>
      <c r="E1739" s="537"/>
      <c r="G1739" s="198"/>
      <c r="H1739" s="123"/>
    </row>
    <row r="1740" spans="3:8" s="99" customFormat="1" x14ac:dyDescent="0.2">
      <c r="C1740" s="198"/>
      <c r="D1740" s="198"/>
      <c r="E1740" s="537"/>
      <c r="G1740" s="198"/>
      <c r="H1740" s="123"/>
    </row>
    <row r="1741" spans="3:8" s="99" customFormat="1" x14ac:dyDescent="0.2">
      <c r="C1741" s="198"/>
      <c r="D1741" s="198"/>
      <c r="E1741" s="537"/>
      <c r="G1741" s="198"/>
      <c r="H1741" s="123"/>
    </row>
    <row r="1742" spans="3:8" s="99" customFormat="1" x14ac:dyDescent="0.2">
      <c r="C1742" s="198"/>
      <c r="D1742" s="198"/>
      <c r="E1742" s="537"/>
      <c r="G1742" s="198"/>
      <c r="H1742" s="123"/>
    </row>
    <row r="1743" spans="3:8" s="99" customFormat="1" x14ac:dyDescent="0.2">
      <c r="C1743" s="198"/>
      <c r="D1743" s="198"/>
      <c r="E1743" s="537"/>
      <c r="G1743" s="198"/>
      <c r="H1743" s="123"/>
    </row>
    <row r="1744" spans="3:8" s="99" customFormat="1" x14ac:dyDescent="0.2">
      <c r="C1744" s="198"/>
      <c r="D1744" s="198"/>
      <c r="E1744" s="537"/>
      <c r="G1744" s="198"/>
      <c r="H1744" s="123"/>
    </row>
    <row r="1745" spans="3:8" s="99" customFormat="1" x14ac:dyDescent="0.2">
      <c r="C1745" s="198"/>
      <c r="D1745" s="198"/>
      <c r="E1745" s="537"/>
      <c r="G1745" s="198"/>
      <c r="H1745" s="123"/>
    </row>
    <row r="1746" spans="3:8" s="99" customFormat="1" x14ac:dyDescent="0.2">
      <c r="C1746" s="198"/>
      <c r="D1746" s="198"/>
      <c r="E1746" s="537"/>
      <c r="G1746" s="198"/>
      <c r="H1746" s="123"/>
    </row>
    <row r="1747" spans="3:8" s="99" customFormat="1" x14ac:dyDescent="0.2">
      <c r="C1747" s="198"/>
      <c r="D1747" s="198"/>
      <c r="E1747" s="537"/>
      <c r="G1747" s="198"/>
      <c r="H1747" s="123"/>
    </row>
    <row r="1748" spans="3:8" s="99" customFormat="1" x14ac:dyDescent="0.2">
      <c r="C1748" s="198"/>
      <c r="D1748" s="198"/>
      <c r="E1748" s="537"/>
      <c r="G1748" s="198"/>
      <c r="H1748" s="123"/>
    </row>
    <row r="1749" spans="3:8" s="99" customFormat="1" x14ac:dyDescent="0.2">
      <c r="C1749" s="198"/>
      <c r="D1749" s="198"/>
      <c r="E1749" s="537"/>
      <c r="G1749" s="198"/>
      <c r="H1749" s="123"/>
    </row>
    <row r="1750" spans="3:8" s="99" customFormat="1" x14ac:dyDescent="0.2">
      <c r="C1750" s="198"/>
      <c r="D1750" s="198"/>
      <c r="E1750" s="537"/>
      <c r="G1750" s="198"/>
      <c r="H1750" s="123"/>
    </row>
    <row r="1751" spans="3:8" s="99" customFormat="1" x14ac:dyDescent="0.2">
      <c r="C1751" s="198"/>
      <c r="D1751" s="198"/>
      <c r="E1751" s="537"/>
      <c r="G1751" s="198"/>
      <c r="H1751" s="123"/>
    </row>
    <row r="1752" spans="3:8" s="99" customFormat="1" x14ac:dyDescent="0.2">
      <c r="C1752" s="198"/>
      <c r="D1752" s="198"/>
      <c r="E1752" s="537"/>
      <c r="G1752" s="198"/>
      <c r="H1752" s="123"/>
    </row>
    <row r="1753" spans="3:8" s="99" customFormat="1" x14ac:dyDescent="0.2">
      <c r="C1753" s="198"/>
      <c r="D1753" s="198"/>
      <c r="E1753" s="537"/>
      <c r="G1753" s="198"/>
      <c r="H1753" s="123"/>
    </row>
    <row r="1754" spans="3:8" s="99" customFormat="1" x14ac:dyDescent="0.2">
      <c r="C1754" s="198"/>
      <c r="D1754" s="198"/>
      <c r="E1754" s="537"/>
      <c r="G1754" s="198"/>
      <c r="H1754" s="123"/>
    </row>
    <row r="1755" spans="3:8" s="99" customFormat="1" x14ac:dyDescent="0.2">
      <c r="C1755" s="198"/>
      <c r="D1755" s="198"/>
      <c r="E1755" s="537"/>
      <c r="G1755" s="198"/>
      <c r="H1755" s="123"/>
    </row>
    <row r="1756" spans="3:8" s="99" customFormat="1" x14ac:dyDescent="0.2">
      <c r="C1756" s="198"/>
      <c r="D1756" s="198"/>
      <c r="E1756" s="537"/>
      <c r="G1756" s="198"/>
      <c r="H1756" s="123"/>
    </row>
    <row r="1757" spans="3:8" s="99" customFormat="1" x14ac:dyDescent="0.2">
      <c r="C1757" s="198"/>
      <c r="D1757" s="198"/>
      <c r="E1757" s="537"/>
      <c r="G1757" s="198"/>
      <c r="H1757" s="123"/>
    </row>
    <row r="1758" spans="3:8" s="99" customFormat="1" x14ac:dyDescent="0.2">
      <c r="C1758" s="198"/>
      <c r="D1758" s="198"/>
      <c r="E1758" s="537"/>
      <c r="G1758" s="198"/>
      <c r="H1758" s="123"/>
    </row>
    <row r="1759" spans="3:8" s="99" customFormat="1" x14ac:dyDescent="0.2">
      <c r="C1759" s="198"/>
      <c r="D1759" s="198"/>
      <c r="E1759" s="537"/>
      <c r="G1759" s="198"/>
      <c r="H1759" s="123"/>
    </row>
    <row r="1760" spans="3:8" s="99" customFormat="1" x14ac:dyDescent="0.2">
      <c r="C1760" s="198"/>
      <c r="D1760" s="198"/>
      <c r="E1760" s="537"/>
      <c r="G1760" s="198"/>
      <c r="H1760" s="123"/>
    </row>
    <row r="1761" spans="3:8" s="99" customFormat="1" x14ac:dyDescent="0.2">
      <c r="C1761" s="198"/>
      <c r="D1761" s="198"/>
      <c r="E1761" s="537"/>
      <c r="G1761" s="198"/>
      <c r="H1761" s="123"/>
    </row>
    <row r="1762" spans="3:8" s="99" customFormat="1" x14ac:dyDescent="0.2">
      <c r="C1762" s="198"/>
      <c r="D1762" s="198"/>
      <c r="E1762" s="537"/>
      <c r="G1762" s="198"/>
      <c r="H1762" s="123"/>
    </row>
    <row r="1763" spans="3:8" s="99" customFormat="1" x14ac:dyDescent="0.2">
      <c r="C1763" s="198"/>
      <c r="D1763" s="198"/>
      <c r="E1763" s="537"/>
      <c r="G1763" s="198"/>
      <c r="H1763" s="123"/>
    </row>
    <row r="1764" spans="3:8" s="99" customFormat="1" x14ac:dyDescent="0.2">
      <c r="C1764" s="198"/>
      <c r="D1764" s="198"/>
      <c r="E1764" s="537"/>
      <c r="G1764" s="198"/>
      <c r="H1764" s="123"/>
    </row>
    <row r="1765" spans="3:8" s="99" customFormat="1" x14ac:dyDescent="0.2">
      <c r="C1765" s="198"/>
      <c r="D1765" s="198"/>
      <c r="E1765" s="537"/>
      <c r="G1765" s="198"/>
      <c r="H1765" s="123"/>
    </row>
    <row r="1766" spans="3:8" s="99" customFormat="1" x14ac:dyDescent="0.2">
      <c r="C1766" s="198"/>
      <c r="D1766" s="198"/>
      <c r="E1766" s="537"/>
      <c r="G1766" s="198"/>
      <c r="H1766" s="123"/>
    </row>
    <row r="1767" spans="3:8" s="99" customFormat="1" x14ac:dyDescent="0.2">
      <c r="C1767" s="198"/>
      <c r="D1767" s="198"/>
      <c r="E1767" s="537"/>
      <c r="G1767" s="198"/>
      <c r="H1767" s="123"/>
    </row>
    <row r="1768" spans="3:8" s="99" customFormat="1" x14ac:dyDescent="0.2">
      <c r="C1768" s="198"/>
      <c r="D1768" s="198"/>
      <c r="E1768" s="537"/>
      <c r="G1768" s="198"/>
      <c r="H1768" s="123"/>
    </row>
    <row r="1769" spans="3:8" s="99" customFormat="1" x14ac:dyDescent="0.2">
      <c r="C1769" s="198"/>
      <c r="D1769" s="198"/>
      <c r="E1769" s="537"/>
      <c r="G1769" s="198"/>
      <c r="H1769" s="123"/>
    </row>
    <row r="1770" spans="3:8" s="99" customFormat="1" x14ac:dyDescent="0.2">
      <c r="C1770" s="198"/>
      <c r="D1770" s="198"/>
      <c r="E1770" s="537"/>
      <c r="G1770" s="198"/>
      <c r="H1770" s="123"/>
    </row>
    <row r="1771" spans="3:8" s="99" customFormat="1" x14ac:dyDescent="0.2">
      <c r="C1771" s="198"/>
      <c r="D1771" s="198"/>
      <c r="E1771" s="537"/>
      <c r="G1771" s="198"/>
      <c r="H1771" s="123"/>
    </row>
    <row r="1772" spans="3:8" s="99" customFormat="1" x14ac:dyDescent="0.2">
      <c r="C1772" s="198"/>
      <c r="D1772" s="198"/>
      <c r="E1772" s="537"/>
      <c r="G1772" s="198"/>
      <c r="H1772" s="123"/>
    </row>
    <row r="1773" spans="3:8" s="99" customFormat="1" x14ac:dyDescent="0.2">
      <c r="C1773" s="198"/>
      <c r="D1773" s="198"/>
      <c r="E1773" s="537"/>
      <c r="G1773" s="198"/>
      <c r="H1773" s="123"/>
    </row>
    <row r="1774" spans="3:8" s="99" customFormat="1" x14ac:dyDescent="0.2">
      <c r="C1774" s="198"/>
      <c r="D1774" s="198"/>
      <c r="E1774" s="537"/>
      <c r="G1774" s="198"/>
      <c r="H1774" s="123"/>
    </row>
    <row r="1775" spans="3:8" s="99" customFormat="1" x14ac:dyDescent="0.2">
      <c r="C1775" s="198"/>
      <c r="D1775" s="198"/>
      <c r="E1775" s="537"/>
      <c r="G1775" s="198"/>
      <c r="H1775" s="123"/>
    </row>
    <row r="1776" spans="3:8" s="99" customFormat="1" x14ac:dyDescent="0.2">
      <c r="C1776" s="198"/>
      <c r="D1776" s="198"/>
      <c r="E1776" s="537"/>
      <c r="G1776" s="198"/>
      <c r="H1776" s="123"/>
    </row>
    <row r="1777" spans="3:8" s="99" customFormat="1" x14ac:dyDescent="0.2">
      <c r="C1777" s="198"/>
      <c r="D1777" s="198"/>
      <c r="E1777" s="537"/>
      <c r="G1777" s="198"/>
      <c r="H1777" s="123"/>
    </row>
    <row r="1778" spans="3:8" s="99" customFormat="1" x14ac:dyDescent="0.2">
      <c r="C1778" s="198"/>
      <c r="D1778" s="198"/>
      <c r="E1778" s="537"/>
      <c r="G1778" s="198"/>
      <c r="H1778" s="123"/>
    </row>
    <row r="1779" spans="3:8" s="99" customFormat="1" x14ac:dyDescent="0.2">
      <c r="C1779" s="198"/>
      <c r="D1779" s="198"/>
      <c r="E1779" s="537"/>
      <c r="G1779" s="198"/>
      <c r="H1779" s="123"/>
    </row>
    <row r="1780" spans="3:8" s="99" customFormat="1" x14ac:dyDescent="0.2">
      <c r="C1780" s="198"/>
      <c r="D1780" s="198"/>
      <c r="E1780" s="537"/>
      <c r="G1780" s="198"/>
      <c r="H1780" s="123"/>
    </row>
    <row r="1781" spans="3:8" s="99" customFormat="1" x14ac:dyDescent="0.2">
      <c r="C1781" s="198"/>
      <c r="D1781" s="198"/>
      <c r="E1781" s="537"/>
      <c r="G1781" s="198"/>
      <c r="H1781" s="123"/>
    </row>
    <row r="1782" spans="3:8" s="99" customFormat="1" x14ac:dyDescent="0.2">
      <c r="C1782" s="198"/>
      <c r="D1782" s="198"/>
      <c r="E1782" s="537"/>
      <c r="G1782" s="198"/>
      <c r="H1782" s="123"/>
    </row>
    <row r="1783" spans="3:8" s="99" customFormat="1" x14ac:dyDescent="0.2">
      <c r="C1783" s="198"/>
      <c r="D1783" s="198"/>
      <c r="E1783" s="537"/>
      <c r="G1783" s="198"/>
      <c r="H1783" s="123"/>
    </row>
    <row r="1784" spans="3:8" s="99" customFormat="1" x14ac:dyDescent="0.2">
      <c r="C1784" s="198"/>
      <c r="D1784" s="198"/>
      <c r="E1784" s="537"/>
      <c r="G1784" s="198"/>
      <c r="H1784" s="123"/>
    </row>
    <row r="1785" spans="3:8" s="99" customFormat="1" x14ac:dyDescent="0.2">
      <c r="C1785" s="198"/>
      <c r="D1785" s="198"/>
      <c r="E1785" s="537"/>
      <c r="G1785" s="198"/>
      <c r="H1785" s="123"/>
    </row>
    <row r="1786" spans="3:8" s="99" customFormat="1" x14ac:dyDescent="0.2">
      <c r="C1786" s="198"/>
      <c r="D1786" s="198"/>
      <c r="E1786" s="537"/>
      <c r="G1786" s="198"/>
      <c r="H1786" s="123"/>
    </row>
    <row r="1787" spans="3:8" s="99" customFormat="1" x14ac:dyDescent="0.2">
      <c r="C1787" s="198"/>
      <c r="D1787" s="198"/>
      <c r="E1787" s="537"/>
      <c r="G1787" s="198"/>
      <c r="H1787" s="123"/>
    </row>
    <row r="1788" spans="3:8" s="99" customFormat="1" x14ac:dyDescent="0.2">
      <c r="C1788" s="198"/>
      <c r="D1788" s="198"/>
      <c r="E1788" s="537"/>
      <c r="G1788" s="198"/>
      <c r="H1788" s="123"/>
    </row>
    <row r="1789" spans="3:8" s="99" customFormat="1" x14ac:dyDescent="0.2">
      <c r="C1789" s="198"/>
      <c r="D1789" s="198"/>
      <c r="E1789" s="537"/>
      <c r="G1789" s="198"/>
      <c r="H1789" s="123"/>
    </row>
    <row r="1790" spans="3:8" s="99" customFormat="1" x14ac:dyDescent="0.2">
      <c r="C1790" s="198"/>
      <c r="D1790" s="198"/>
      <c r="E1790" s="537"/>
      <c r="G1790" s="198"/>
      <c r="H1790" s="123"/>
    </row>
    <row r="1791" spans="3:8" s="99" customFormat="1" x14ac:dyDescent="0.2">
      <c r="C1791" s="198"/>
      <c r="D1791" s="198"/>
      <c r="E1791" s="537"/>
      <c r="G1791" s="198"/>
      <c r="H1791" s="123"/>
    </row>
    <row r="1792" spans="3:8" s="99" customFormat="1" x14ac:dyDescent="0.2">
      <c r="C1792" s="198"/>
      <c r="D1792" s="198"/>
      <c r="E1792" s="537"/>
      <c r="G1792" s="198"/>
      <c r="H1792" s="123"/>
    </row>
    <row r="1793" spans="3:8" s="99" customFormat="1" x14ac:dyDescent="0.2">
      <c r="C1793" s="198"/>
      <c r="D1793" s="198"/>
      <c r="E1793" s="537"/>
      <c r="G1793" s="198"/>
      <c r="H1793" s="123"/>
    </row>
    <row r="1794" spans="3:8" s="99" customFormat="1" x14ac:dyDescent="0.2">
      <c r="C1794" s="198"/>
      <c r="D1794" s="198"/>
      <c r="E1794" s="537"/>
      <c r="G1794" s="198"/>
      <c r="H1794" s="123"/>
    </row>
    <row r="1795" spans="3:8" s="99" customFormat="1" x14ac:dyDescent="0.2">
      <c r="C1795" s="198"/>
      <c r="D1795" s="198"/>
      <c r="E1795" s="537"/>
      <c r="G1795" s="198"/>
      <c r="H1795" s="123"/>
    </row>
    <row r="1796" spans="3:8" s="99" customFormat="1" x14ac:dyDescent="0.2">
      <c r="C1796" s="198"/>
      <c r="D1796" s="198"/>
      <c r="E1796" s="537"/>
      <c r="G1796" s="198"/>
      <c r="H1796" s="123"/>
    </row>
    <row r="1797" spans="3:8" s="99" customFormat="1" x14ac:dyDescent="0.2">
      <c r="C1797" s="198"/>
      <c r="D1797" s="198"/>
      <c r="E1797" s="537"/>
      <c r="G1797" s="198"/>
      <c r="H1797" s="123"/>
    </row>
    <row r="1798" spans="3:8" s="99" customFormat="1" x14ac:dyDescent="0.2">
      <c r="C1798" s="198"/>
      <c r="D1798" s="198"/>
      <c r="E1798" s="537"/>
      <c r="G1798" s="198"/>
      <c r="H1798" s="123"/>
    </row>
    <row r="1799" spans="3:8" s="99" customFormat="1" x14ac:dyDescent="0.2">
      <c r="C1799" s="198"/>
      <c r="D1799" s="198"/>
      <c r="E1799" s="537"/>
      <c r="G1799" s="198"/>
      <c r="H1799" s="123"/>
    </row>
    <row r="1800" spans="3:8" s="99" customFormat="1" x14ac:dyDescent="0.2">
      <c r="C1800" s="198"/>
      <c r="D1800" s="198"/>
      <c r="E1800" s="537"/>
      <c r="G1800" s="198"/>
      <c r="H1800" s="123"/>
    </row>
    <row r="1801" spans="3:8" s="99" customFormat="1" x14ac:dyDescent="0.2">
      <c r="C1801" s="198"/>
      <c r="D1801" s="198"/>
      <c r="E1801" s="537"/>
      <c r="G1801" s="198"/>
      <c r="H1801" s="123"/>
    </row>
    <row r="1802" spans="3:8" s="99" customFormat="1" x14ac:dyDescent="0.2">
      <c r="C1802" s="198"/>
      <c r="D1802" s="198"/>
      <c r="E1802" s="537"/>
      <c r="G1802" s="198"/>
      <c r="H1802" s="123"/>
    </row>
    <row r="1803" spans="3:8" s="99" customFormat="1" x14ac:dyDescent="0.2">
      <c r="C1803" s="198"/>
      <c r="D1803" s="198"/>
      <c r="E1803" s="537"/>
      <c r="G1803" s="198"/>
      <c r="H1803" s="123"/>
    </row>
    <row r="1804" spans="3:8" s="99" customFormat="1" x14ac:dyDescent="0.2">
      <c r="C1804" s="198"/>
      <c r="D1804" s="198"/>
      <c r="E1804" s="537"/>
      <c r="G1804" s="198"/>
      <c r="H1804" s="123"/>
    </row>
    <row r="1805" spans="3:8" s="99" customFormat="1" x14ac:dyDescent="0.2">
      <c r="C1805" s="198"/>
      <c r="D1805" s="198"/>
      <c r="E1805" s="537"/>
      <c r="G1805" s="198"/>
      <c r="H1805" s="123"/>
    </row>
    <row r="1806" spans="3:8" s="99" customFormat="1" x14ac:dyDescent="0.2">
      <c r="C1806" s="198"/>
      <c r="D1806" s="198"/>
      <c r="E1806" s="537"/>
      <c r="G1806" s="198"/>
      <c r="H1806" s="123"/>
    </row>
    <row r="1807" spans="3:8" s="99" customFormat="1" x14ac:dyDescent="0.2">
      <c r="C1807" s="198"/>
      <c r="D1807" s="198"/>
      <c r="E1807" s="537"/>
      <c r="G1807" s="198"/>
      <c r="H1807" s="123"/>
    </row>
    <row r="1808" spans="3:8" s="99" customFormat="1" x14ac:dyDescent="0.2">
      <c r="C1808" s="198"/>
      <c r="D1808" s="198"/>
      <c r="E1808" s="537"/>
      <c r="G1808" s="198"/>
      <c r="H1808" s="123"/>
    </row>
    <row r="1809" spans="3:8" s="99" customFormat="1" x14ac:dyDescent="0.2">
      <c r="C1809" s="198"/>
      <c r="D1809" s="198"/>
      <c r="E1809" s="537"/>
      <c r="G1809" s="198"/>
      <c r="H1809" s="123"/>
    </row>
    <row r="1810" spans="3:8" s="99" customFormat="1" x14ac:dyDescent="0.2">
      <c r="C1810" s="198"/>
      <c r="D1810" s="198"/>
      <c r="E1810" s="537"/>
      <c r="G1810" s="198"/>
      <c r="H1810" s="123"/>
    </row>
    <row r="1811" spans="3:8" s="99" customFormat="1" x14ac:dyDescent="0.2">
      <c r="C1811" s="198"/>
      <c r="D1811" s="198"/>
      <c r="E1811" s="537"/>
      <c r="G1811" s="198"/>
      <c r="H1811" s="123"/>
    </row>
    <row r="1812" spans="3:8" s="99" customFormat="1" x14ac:dyDescent="0.2">
      <c r="C1812" s="198"/>
      <c r="D1812" s="198"/>
      <c r="E1812" s="537"/>
      <c r="G1812" s="198"/>
      <c r="H1812" s="123"/>
    </row>
    <row r="1813" spans="3:8" s="99" customFormat="1" x14ac:dyDescent="0.2">
      <c r="C1813" s="198"/>
      <c r="D1813" s="198"/>
      <c r="E1813" s="537"/>
      <c r="G1813" s="198"/>
      <c r="H1813" s="123"/>
    </row>
    <row r="1814" spans="3:8" s="99" customFormat="1" x14ac:dyDescent="0.2">
      <c r="C1814" s="198"/>
      <c r="D1814" s="198"/>
      <c r="E1814" s="537"/>
      <c r="G1814" s="198"/>
      <c r="H1814" s="123"/>
    </row>
    <row r="1815" spans="3:8" s="99" customFormat="1" x14ac:dyDescent="0.2">
      <c r="C1815" s="198"/>
      <c r="D1815" s="198"/>
      <c r="E1815" s="537"/>
      <c r="G1815" s="198"/>
      <c r="H1815" s="123"/>
    </row>
    <row r="1816" spans="3:8" s="99" customFormat="1" x14ac:dyDescent="0.2">
      <c r="C1816" s="198"/>
      <c r="D1816" s="198"/>
      <c r="E1816" s="537"/>
      <c r="G1816" s="198"/>
      <c r="H1816" s="123"/>
    </row>
    <row r="1817" spans="3:8" s="99" customFormat="1" x14ac:dyDescent="0.2">
      <c r="C1817" s="198"/>
      <c r="D1817" s="198"/>
      <c r="E1817" s="537"/>
      <c r="G1817" s="198"/>
      <c r="H1817" s="123"/>
    </row>
    <row r="1818" spans="3:8" s="99" customFormat="1" x14ac:dyDescent="0.2">
      <c r="C1818" s="198"/>
      <c r="D1818" s="198"/>
      <c r="E1818" s="537"/>
      <c r="G1818" s="198"/>
      <c r="H1818" s="123"/>
    </row>
    <row r="1819" spans="3:8" s="99" customFormat="1" x14ac:dyDescent="0.2">
      <c r="C1819" s="198"/>
      <c r="D1819" s="198"/>
      <c r="E1819" s="537"/>
      <c r="G1819" s="198"/>
      <c r="H1819" s="123"/>
    </row>
    <row r="1820" spans="3:8" s="99" customFormat="1" x14ac:dyDescent="0.2">
      <c r="C1820" s="198"/>
      <c r="D1820" s="198"/>
      <c r="E1820" s="537"/>
      <c r="G1820" s="198"/>
      <c r="H1820" s="123"/>
    </row>
    <row r="1821" spans="3:8" s="99" customFormat="1" x14ac:dyDescent="0.2">
      <c r="C1821" s="198"/>
      <c r="D1821" s="198"/>
      <c r="E1821" s="537"/>
      <c r="G1821" s="198"/>
      <c r="H1821" s="123"/>
    </row>
    <row r="1822" spans="3:8" s="99" customFormat="1" x14ac:dyDescent="0.2">
      <c r="C1822" s="198"/>
      <c r="D1822" s="198"/>
      <c r="E1822" s="537"/>
      <c r="G1822" s="198"/>
      <c r="H1822" s="123"/>
    </row>
    <row r="1823" spans="3:8" s="99" customFormat="1" x14ac:dyDescent="0.2">
      <c r="C1823" s="198"/>
      <c r="D1823" s="198"/>
      <c r="E1823" s="537"/>
      <c r="G1823" s="198"/>
      <c r="H1823" s="123"/>
    </row>
    <row r="1824" spans="3:8" s="99" customFormat="1" x14ac:dyDescent="0.2">
      <c r="C1824" s="198"/>
      <c r="D1824" s="198"/>
      <c r="E1824" s="537"/>
      <c r="G1824" s="198"/>
      <c r="H1824" s="123"/>
    </row>
    <row r="1825" spans="3:8" s="99" customFormat="1" x14ac:dyDescent="0.2">
      <c r="C1825" s="198"/>
      <c r="D1825" s="198"/>
      <c r="E1825" s="537"/>
      <c r="G1825" s="198"/>
      <c r="H1825" s="123"/>
    </row>
    <row r="1826" spans="3:8" s="99" customFormat="1" x14ac:dyDescent="0.2">
      <c r="C1826" s="198"/>
      <c r="D1826" s="198"/>
      <c r="E1826" s="537"/>
      <c r="G1826" s="198"/>
      <c r="H1826" s="123"/>
    </row>
    <row r="1827" spans="3:8" s="99" customFormat="1" x14ac:dyDescent="0.2">
      <c r="C1827" s="198"/>
      <c r="D1827" s="198"/>
      <c r="E1827" s="537"/>
      <c r="G1827" s="198"/>
      <c r="H1827" s="123"/>
    </row>
    <row r="1828" spans="3:8" s="99" customFormat="1" x14ac:dyDescent="0.2">
      <c r="C1828" s="198"/>
      <c r="D1828" s="198"/>
      <c r="E1828" s="537"/>
      <c r="G1828" s="198"/>
      <c r="H1828" s="123"/>
    </row>
    <row r="1829" spans="3:8" s="99" customFormat="1" x14ac:dyDescent="0.2">
      <c r="C1829" s="198"/>
      <c r="D1829" s="198"/>
      <c r="E1829" s="537"/>
      <c r="G1829" s="198"/>
      <c r="H1829" s="123"/>
    </row>
    <row r="1830" spans="3:8" s="99" customFormat="1" x14ac:dyDescent="0.2">
      <c r="C1830" s="198"/>
      <c r="D1830" s="198"/>
      <c r="E1830" s="537"/>
      <c r="G1830" s="198"/>
      <c r="H1830" s="123"/>
    </row>
    <row r="1831" spans="3:8" s="99" customFormat="1" x14ac:dyDescent="0.2">
      <c r="C1831" s="198"/>
      <c r="D1831" s="198"/>
      <c r="E1831" s="537"/>
      <c r="G1831" s="198"/>
      <c r="H1831" s="123"/>
    </row>
    <row r="1832" spans="3:8" s="99" customFormat="1" x14ac:dyDescent="0.2">
      <c r="C1832" s="198"/>
      <c r="D1832" s="198"/>
      <c r="E1832" s="537"/>
      <c r="G1832" s="198"/>
      <c r="H1832" s="123"/>
    </row>
    <row r="1833" spans="3:8" s="99" customFormat="1" x14ac:dyDescent="0.2">
      <c r="C1833" s="198"/>
      <c r="D1833" s="198"/>
      <c r="E1833" s="537"/>
      <c r="G1833" s="198"/>
      <c r="H1833" s="123"/>
    </row>
    <row r="1834" spans="3:8" s="99" customFormat="1" x14ac:dyDescent="0.2">
      <c r="C1834" s="198"/>
      <c r="D1834" s="198"/>
      <c r="E1834" s="537"/>
      <c r="G1834" s="198"/>
      <c r="H1834" s="123"/>
    </row>
    <row r="1835" spans="3:8" s="99" customFormat="1" x14ac:dyDescent="0.2">
      <c r="C1835" s="198"/>
      <c r="D1835" s="198"/>
      <c r="E1835" s="537"/>
      <c r="G1835" s="198"/>
      <c r="H1835" s="123"/>
    </row>
    <row r="1836" spans="3:8" s="99" customFormat="1" x14ac:dyDescent="0.2">
      <c r="C1836" s="198"/>
      <c r="D1836" s="198"/>
      <c r="E1836" s="537"/>
      <c r="G1836" s="198"/>
      <c r="H1836" s="123"/>
    </row>
    <row r="1837" spans="3:8" s="99" customFormat="1" x14ac:dyDescent="0.2">
      <c r="C1837" s="198"/>
      <c r="D1837" s="198"/>
      <c r="E1837" s="537"/>
      <c r="G1837" s="198"/>
      <c r="H1837" s="123"/>
    </row>
    <row r="1838" spans="3:8" s="99" customFormat="1" x14ac:dyDescent="0.2">
      <c r="C1838" s="198"/>
      <c r="D1838" s="198"/>
      <c r="E1838" s="537"/>
      <c r="G1838" s="198"/>
      <c r="H1838" s="123"/>
    </row>
    <row r="1839" spans="3:8" s="99" customFormat="1" x14ac:dyDescent="0.2">
      <c r="C1839" s="198"/>
      <c r="D1839" s="198"/>
      <c r="E1839" s="537"/>
      <c r="G1839" s="198"/>
      <c r="H1839" s="123"/>
    </row>
    <row r="1840" spans="3:8" s="99" customFormat="1" x14ac:dyDescent="0.2">
      <c r="C1840" s="198"/>
      <c r="D1840" s="198"/>
      <c r="E1840" s="537"/>
      <c r="G1840" s="198"/>
      <c r="H1840" s="123"/>
    </row>
    <row r="1841" spans="3:8" s="99" customFormat="1" x14ac:dyDescent="0.2">
      <c r="C1841" s="198"/>
      <c r="D1841" s="198"/>
      <c r="E1841" s="537"/>
      <c r="G1841" s="198"/>
      <c r="H1841" s="123"/>
    </row>
    <row r="1842" spans="3:8" s="99" customFormat="1" x14ac:dyDescent="0.2">
      <c r="C1842" s="198"/>
      <c r="D1842" s="198"/>
      <c r="E1842" s="537"/>
      <c r="G1842" s="198"/>
      <c r="H1842" s="123"/>
    </row>
    <row r="1843" spans="3:8" s="99" customFormat="1" x14ac:dyDescent="0.2">
      <c r="C1843" s="198"/>
      <c r="D1843" s="198"/>
      <c r="E1843" s="537"/>
      <c r="G1843" s="198"/>
      <c r="H1843" s="123"/>
    </row>
    <row r="1844" spans="3:8" s="99" customFormat="1" x14ac:dyDescent="0.2">
      <c r="C1844" s="198"/>
      <c r="D1844" s="198"/>
      <c r="E1844" s="537"/>
      <c r="G1844" s="198"/>
      <c r="H1844" s="123"/>
    </row>
    <row r="1845" spans="3:8" s="99" customFormat="1" x14ac:dyDescent="0.2">
      <c r="C1845" s="198"/>
      <c r="D1845" s="198"/>
      <c r="E1845" s="537"/>
      <c r="G1845" s="198"/>
      <c r="H1845" s="123"/>
    </row>
    <row r="1846" spans="3:8" s="99" customFormat="1" x14ac:dyDescent="0.2">
      <c r="C1846" s="198"/>
      <c r="D1846" s="198"/>
      <c r="E1846" s="537"/>
      <c r="G1846" s="198"/>
      <c r="H1846" s="123"/>
    </row>
    <row r="1847" spans="3:8" s="99" customFormat="1" x14ac:dyDescent="0.2">
      <c r="C1847" s="198"/>
      <c r="D1847" s="198"/>
      <c r="E1847" s="537"/>
      <c r="G1847" s="198"/>
      <c r="H1847" s="123"/>
    </row>
    <row r="1848" spans="3:8" s="99" customFormat="1" x14ac:dyDescent="0.2">
      <c r="C1848" s="198"/>
      <c r="D1848" s="198"/>
      <c r="E1848" s="537"/>
      <c r="G1848" s="198"/>
      <c r="H1848" s="123"/>
    </row>
    <row r="1849" spans="3:8" s="99" customFormat="1" x14ac:dyDescent="0.2">
      <c r="C1849" s="198"/>
      <c r="D1849" s="198"/>
      <c r="E1849" s="537"/>
      <c r="G1849" s="198"/>
      <c r="H1849" s="123"/>
    </row>
    <row r="1850" spans="3:8" s="99" customFormat="1" x14ac:dyDescent="0.2">
      <c r="C1850" s="198"/>
      <c r="D1850" s="198"/>
      <c r="E1850" s="537"/>
      <c r="G1850" s="198"/>
      <c r="H1850" s="123"/>
    </row>
    <row r="1851" spans="3:8" s="99" customFormat="1" x14ac:dyDescent="0.2">
      <c r="C1851" s="198"/>
      <c r="D1851" s="198"/>
      <c r="E1851" s="537"/>
      <c r="G1851" s="198"/>
      <c r="H1851" s="123"/>
    </row>
    <row r="1852" spans="3:8" s="99" customFormat="1" x14ac:dyDescent="0.2">
      <c r="C1852" s="198"/>
      <c r="D1852" s="198"/>
      <c r="E1852" s="537"/>
      <c r="G1852" s="198"/>
      <c r="H1852" s="123"/>
    </row>
    <row r="1853" spans="3:8" s="99" customFormat="1" x14ac:dyDescent="0.2">
      <c r="C1853" s="198"/>
      <c r="D1853" s="198"/>
      <c r="E1853" s="537"/>
      <c r="G1853" s="198"/>
      <c r="H1853" s="123"/>
    </row>
    <row r="1854" spans="3:8" s="99" customFormat="1" x14ac:dyDescent="0.2">
      <c r="C1854" s="198"/>
      <c r="D1854" s="198"/>
      <c r="E1854" s="537"/>
      <c r="G1854" s="198"/>
      <c r="H1854" s="123"/>
    </row>
    <row r="1855" spans="3:8" s="99" customFormat="1" x14ac:dyDescent="0.2">
      <c r="C1855" s="198"/>
      <c r="D1855" s="198"/>
      <c r="E1855" s="537"/>
      <c r="G1855" s="198"/>
      <c r="H1855" s="123"/>
    </row>
    <row r="1856" spans="3:8" s="99" customFormat="1" x14ac:dyDescent="0.2">
      <c r="C1856" s="198"/>
      <c r="D1856" s="198"/>
      <c r="E1856" s="537"/>
      <c r="G1856" s="198"/>
      <c r="H1856" s="123"/>
    </row>
    <row r="1857" spans="3:8" s="99" customFormat="1" x14ac:dyDescent="0.2">
      <c r="C1857" s="198"/>
      <c r="D1857" s="198"/>
      <c r="E1857" s="537"/>
      <c r="G1857" s="198"/>
      <c r="H1857" s="123"/>
    </row>
    <row r="1858" spans="3:8" s="99" customFormat="1" x14ac:dyDescent="0.2">
      <c r="C1858" s="198"/>
      <c r="D1858" s="198"/>
      <c r="E1858" s="537"/>
      <c r="G1858" s="198"/>
      <c r="H1858" s="123"/>
    </row>
    <row r="1859" spans="3:8" s="99" customFormat="1" x14ac:dyDescent="0.2">
      <c r="C1859" s="198"/>
      <c r="D1859" s="198"/>
      <c r="E1859" s="537"/>
      <c r="G1859" s="198"/>
      <c r="H1859" s="123"/>
    </row>
    <row r="1860" spans="3:8" s="99" customFormat="1" x14ac:dyDescent="0.2">
      <c r="C1860" s="198"/>
      <c r="D1860" s="198"/>
      <c r="E1860" s="537"/>
      <c r="G1860" s="198"/>
      <c r="H1860" s="123"/>
    </row>
    <row r="1861" spans="3:8" s="99" customFormat="1" x14ac:dyDescent="0.2">
      <c r="C1861" s="198"/>
      <c r="D1861" s="198"/>
      <c r="E1861" s="537"/>
      <c r="G1861" s="198"/>
      <c r="H1861" s="123"/>
    </row>
    <row r="1862" spans="3:8" s="99" customFormat="1" x14ac:dyDescent="0.2">
      <c r="C1862" s="198"/>
      <c r="D1862" s="198"/>
      <c r="E1862" s="537"/>
      <c r="G1862" s="198"/>
      <c r="H1862" s="123"/>
    </row>
    <row r="1863" spans="3:8" s="99" customFormat="1" x14ac:dyDescent="0.2">
      <c r="C1863" s="198"/>
      <c r="D1863" s="198"/>
      <c r="E1863" s="537"/>
      <c r="G1863" s="198"/>
      <c r="H1863" s="123"/>
    </row>
    <row r="1864" spans="3:8" s="99" customFormat="1" x14ac:dyDescent="0.2">
      <c r="C1864" s="198"/>
      <c r="D1864" s="198"/>
      <c r="E1864" s="537"/>
      <c r="G1864" s="198"/>
      <c r="H1864" s="123"/>
    </row>
    <row r="1865" spans="3:8" s="99" customFormat="1" x14ac:dyDescent="0.2">
      <c r="C1865" s="198"/>
      <c r="D1865" s="198"/>
      <c r="E1865" s="537"/>
      <c r="G1865" s="198"/>
      <c r="H1865" s="123"/>
    </row>
    <row r="1866" spans="3:8" s="99" customFormat="1" x14ac:dyDescent="0.2">
      <c r="C1866" s="198"/>
      <c r="D1866" s="198"/>
      <c r="E1866" s="537"/>
      <c r="G1866" s="198"/>
      <c r="H1866" s="123"/>
    </row>
    <row r="1867" spans="3:8" s="99" customFormat="1" x14ac:dyDescent="0.2">
      <c r="C1867" s="198"/>
      <c r="D1867" s="198"/>
      <c r="E1867" s="537"/>
      <c r="G1867" s="198"/>
      <c r="H1867" s="123"/>
    </row>
    <row r="1868" spans="3:8" s="99" customFormat="1" x14ac:dyDescent="0.2">
      <c r="C1868" s="198"/>
      <c r="D1868" s="198"/>
      <c r="E1868" s="537"/>
      <c r="G1868" s="198"/>
      <c r="H1868" s="123"/>
    </row>
    <row r="1869" spans="3:8" s="99" customFormat="1" x14ac:dyDescent="0.2">
      <c r="C1869" s="198"/>
      <c r="D1869" s="198"/>
      <c r="E1869" s="537"/>
      <c r="G1869" s="198"/>
      <c r="H1869" s="123"/>
    </row>
    <row r="1870" spans="3:8" s="99" customFormat="1" x14ac:dyDescent="0.2">
      <c r="C1870" s="198"/>
      <c r="D1870" s="198"/>
      <c r="E1870" s="537"/>
      <c r="G1870" s="198"/>
      <c r="H1870" s="123"/>
    </row>
    <row r="1871" spans="3:8" s="99" customFormat="1" x14ac:dyDescent="0.2">
      <c r="C1871" s="198"/>
      <c r="D1871" s="198"/>
      <c r="E1871" s="537"/>
      <c r="G1871" s="198"/>
      <c r="H1871" s="123"/>
    </row>
    <row r="1872" spans="3:8" s="99" customFormat="1" x14ac:dyDescent="0.2">
      <c r="C1872" s="198"/>
      <c r="D1872" s="198"/>
      <c r="E1872" s="537"/>
      <c r="G1872" s="198"/>
      <c r="H1872" s="123"/>
    </row>
    <row r="1873" spans="3:8" s="99" customFormat="1" x14ac:dyDescent="0.2">
      <c r="C1873" s="198"/>
      <c r="D1873" s="198"/>
      <c r="E1873" s="537"/>
      <c r="G1873" s="198"/>
      <c r="H1873" s="123"/>
    </row>
    <row r="1874" spans="3:8" s="99" customFormat="1" x14ac:dyDescent="0.2">
      <c r="C1874" s="198"/>
      <c r="D1874" s="198"/>
      <c r="E1874" s="537"/>
      <c r="G1874" s="198"/>
      <c r="H1874" s="123"/>
    </row>
    <row r="1875" spans="3:8" s="99" customFormat="1" x14ac:dyDescent="0.2">
      <c r="C1875" s="198"/>
      <c r="D1875" s="198"/>
      <c r="E1875" s="537"/>
      <c r="G1875" s="198"/>
      <c r="H1875" s="123"/>
    </row>
    <row r="1876" spans="3:8" s="99" customFormat="1" x14ac:dyDescent="0.2">
      <c r="C1876" s="198"/>
      <c r="D1876" s="198"/>
      <c r="E1876" s="537"/>
      <c r="G1876" s="198"/>
      <c r="H1876" s="123"/>
    </row>
    <row r="1877" spans="3:8" s="99" customFormat="1" x14ac:dyDescent="0.2">
      <c r="C1877" s="198"/>
      <c r="D1877" s="198"/>
      <c r="E1877" s="537"/>
      <c r="G1877" s="198"/>
      <c r="H1877" s="123"/>
    </row>
    <row r="1878" spans="3:8" s="99" customFormat="1" x14ac:dyDescent="0.2">
      <c r="C1878" s="198"/>
      <c r="D1878" s="198"/>
      <c r="E1878" s="537"/>
      <c r="G1878" s="198"/>
      <c r="H1878" s="123"/>
    </row>
    <row r="1879" spans="3:8" s="99" customFormat="1" x14ac:dyDescent="0.2">
      <c r="C1879" s="198"/>
      <c r="D1879" s="198"/>
      <c r="E1879" s="537"/>
      <c r="G1879" s="198"/>
      <c r="H1879" s="123"/>
    </row>
    <row r="1880" spans="3:8" s="99" customFormat="1" x14ac:dyDescent="0.2">
      <c r="C1880" s="198"/>
      <c r="D1880" s="198"/>
      <c r="E1880" s="537"/>
      <c r="G1880" s="198"/>
      <c r="H1880" s="123"/>
    </row>
    <row r="1881" spans="3:8" s="99" customFormat="1" x14ac:dyDescent="0.2">
      <c r="C1881" s="198"/>
      <c r="D1881" s="198"/>
      <c r="E1881" s="537"/>
      <c r="G1881" s="198"/>
      <c r="H1881" s="123"/>
    </row>
    <row r="1882" spans="3:8" s="99" customFormat="1" x14ac:dyDescent="0.2">
      <c r="C1882" s="198"/>
      <c r="D1882" s="198"/>
      <c r="E1882" s="537"/>
      <c r="G1882" s="198"/>
      <c r="H1882" s="123"/>
    </row>
    <row r="1883" spans="3:8" s="99" customFormat="1" x14ac:dyDescent="0.2">
      <c r="C1883" s="198"/>
      <c r="D1883" s="198"/>
      <c r="E1883" s="537"/>
      <c r="G1883" s="198"/>
      <c r="H1883" s="123"/>
    </row>
    <row r="1884" spans="3:8" s="99" customFormat="1" x14ac:dyDescent="0.2">
      <c r="C1884" s="198"/>
      <c r="D1884" s="198"/>
      <c r="E1884" s="537"/>
      <c r="G1884" s="198"/>
      <c r="H1884" s="123"/>
    </row>
    <row r="1885" spans="3:8" s="99" customFormat="1" x14ac:dyDescent="0.2">
      <c r="C1885" s="198"/>
      <c r="D1885" s="198"/>
      <c r="E1885" s="537"/>
      <c r="G1885" s="198"/>
      <c r="H1885" s="123"/>
    </row>
    <row r="1886" spans="3:8" s="99" customFormat="1" x14ac:dyDescent="0.2">
      <c r="C1886" s="198"/>
      <c r="D1886" s="198"/>
      <c r="E1886" s="537"/>
      <c r="G1886" s="198"/>
      <c r="H1886" s="123"/>
    </row>
    <row r="1887" spans="3:8" s="99" customFormat="1" x14ac:dyDescent="0.2">
      <c r="C1887" s="198"/>
      <c r="D1887" s="198"/>
      <c r="E1887" s="537"/>
      <c r="G1887" s="198"/>
      <c r="H1887" s="123"/>
    </row>
    <row r="1888" spans="3:8" s="99" customFormat="1" x14ac:dyDescent="0.2">
      <c r="C1888" s="198"/>
      <c r="D1888" s="198"/>
      <c r="E1888" s="537"/>
      <c r="G1888" s="198"/>
      <c r="H1888" s="123"/>
    </row>
    <row r="1889" spans="3:8" s="99" customFormat="1" x14ac:dyDescent="0.2">
      <c r="C1889" s="198"/>
      <c r="D1889" s="198"/>
      <c r="E1889" s="537"/>
      <c r="G1889" s="198"/>
      <c r="H1889" s="123"/>
    </row>
    <row r="1890" spans="3:8" s="99" customFormat="1" x14ac:dyDescent="0.2">
      <c r="C1890" s="198"/>
      <c r="D1890" s="198"/>
      <c r="E1890" s="537"/>
      <c r="G1890" s="198"/>
      <c r="H1890" s="123"/>
    </row>
    <row r="1891" spans="3:8" s="99" customFormat="1" x14ac:dyDescent="0.2">
      <c r="C1891" s="198"/>
      <c r="D1891" s="198"/>
      <c r="E1891" s="537"/>
      <c r="G1891" s="198"/>
      <c r="H1891" s="123"/>
    </row>
    <row r="1892" spans="3:8" s="99" customFormat="1" x14ac:dyDescent="0.2">
      <c r="C1892" s="198"/>
      <c r="D1892" s="198"/>
      <c r="E1892" s="537"/>
      <c r="G1892" s="198"/>
      <c r="H1892" s="123"/>
    </row>
    <row r="1893" spans="3:8" s="99" customFormat="1" x14ac:dyDescent="0.2">
      <c r="C1893" s="198"/>
      <c r="D1893" s="198"/>
      <c r="E1893" s="537"/>
      <c r="G1893" s="198"/>
      <c r="H1893" s="123"/>
    </row>
    <row r="1894" spans="3:8" s="99" customFormat="1" x14ac:dyDescent="0.2">
      <c r="C1894" s="198"/>
      <c r="D1894" s="198"/>
      <c r="E1894" s="537"/>
      <c r="G1894" s="198"/>
      <c r="H1894" s="123"/>
    </row>
    <row r="1895" spans="3:8" s="99" customFormat="1" x14ac:dyDescent="0.2">
      <c r="C1895" s="198"/>
      <c r="D1895" s="198"/>
      <c r="E1895" s="537"/>
      <c r="G1895" s="198"/>
      <c r="H1895" s="123"/>
    </row>
    <row r="1896" spans="3:8" s="99" customFormat="1" x14ac:dyDescent="0.2">
      <c r="C1896" s="198"/>
      <c r="D1896" s="198"/>
      <c r="E1896" s="537"/>
      <c r="G1896" s="198"/>
      <c r="H1896" s="123"/>
    </row>
    <row r="1897" spans="3:8" s="99" customFormat="1" x14ac:dyDescent="0.2">
      <c r="C1897" s="198"/>
      <c r="D1897" s="198"/>
      <c r="E1897" s="537"/>
      <c r="G1897" s="198"/>
      <c r="H1897" s="123"/>
    </row>
    <row r="1898" spans="3:8" s="99" customFormat="1" x14ac:dyDescent="0.2">
      <c r="C1898" s="198"/>
      <c r="D1898" s="198"/>
      <c r="E1898" s="537"/>
      <c r="G1898" s="198"/>
      <c r="H1898" s="123"/>
    </row>
    <row r="1899" spans="3:8" s="99" customFormat="1" x14ac:dyDescent="0.2">
      <c r="C1899" s="198"/>
      <c r="D1899" s="198"/>
      <c r="E1899" s="537"/>
      <c r="G1899" s="198"/>
      <c r="H1899" s="123"/>
    </row>
    <row r="1900" spans="3:8" s="99" customFormat="1" x14ac:dyDescent="0.2">
      <c r="C1900" s="198"/>
      <c r="D1900" s="198"/>
      <c r="E1900" s="537"/>
      <c r="G1900" s="198"/>
      <c r="H1900" s="123"/>
    </row>
    <row r="1901" spans="3:8" s="99" customFormat="1" x14ac:dyDescent="0.2">
      <c r="C1901" s="198"/>
      <c r="D1901" s="198"/>
      <c r="E1901" s="537"/>
      <c r="G1901" s="198"/>
      <c r="H1901" s="123"/>
    </row>
    <row r="1902" spans="3:8" s="99" customFormat="1" x14ac:dyDescent="0.2">
      <c r="C1902" s="198"/>
      <c r="D1902" s="198"/>
      <c r="E1902" s="537"/>
      <c r="G1902" s="198"/>
      <c r="H1902" s="123"/>
    </row>
    <row r="1903" spans="3:8" s="99" customFormat="1" x14ac:dyDescent="0.2">
      <c r="C1903" s="198"/>
      <c r="D1903" s="198"/>
      <c r="E1903" s="537"/>
      <c r="G1903" s="198"/>
      <c r="H1903" s="123"/>
    </row>
    <row r="1904" spans="3:8" s="99" customFormat="1" x14ac:dyDescent="0.2">
      <c r="C1904" s="198"/>
      <c r="D1904" s="198"/>
      <c r="E1904" s="537"/>
      <c r="G1904" s="198"/>
      <c r="H1904" s="123"/>
    </row>
    <row r="1905" spans="3:8" s="99" customFormat="1" x14ac:dyDescent="0.2">
      <c r="C1905" s="198"/>
      <c r="D1905" s="198"/>
      <c r="E1905" s="537"/>
      <c r="G1905" s="198"/>
      <c r="H1905" s="123"/>
    </row>
    <row r="1906" spans="3:8" s="99" customFormat="1" x14ac:dyDescent="0.2">
      <c r="C1906" s="198"/>
      <c r="D1906" s="198"/>
      <c r="E1906" s="537"/>
      <c r="G1906" s="198"/>
      <c r="H1906" s="123"/>
    </row>
    <row r="1907" spans="3:8" s="99" customFormat="1" x14ac:dyDescent="0.2">
      <c r="C1907" s="198"/>
      <c r="D1907" s="198"/>
      <c r="E1907" s="537"/>
      <c r="G1907" s="198"/>
      <c r="H1907" s="123"/>
    </row>
    <row r="1908" spans="3:8" s="99" customFormat="1" x14ac:dyDescent="0.2">
      <c r="C1908" s="198"/>
      <c r="D1908" s="198"/>
      <c r="E1908" s="537"/>
      <c r="G1908" s="198"/>
      <c r="H1908" s="123"/>
    </row>
    <row r="1909" spans="3:8" s="99" customFormat="1" x14ac:dyDescent="0.2">
      <c r="C1909" s="198"/>
      <c r="D1909" s="198"/>
      <c r="E1909" s="537"/>
      <c r="G1909" s="198"/>
      <c r="H1909" s="123"/>
    </row>
    <row r="1910" spans="3:8" s="99" customFormat="1" x14ac:dyDescent="0.2">
      <c r="C1910" s="198"/>
      <c r="D1910" s="198"/>
      <c r="E1910" s="537"/>
      <c r="G1910" s="198"/>
      <c r="H1910" s="123"/>
    </row>
    <row r="1911" spans="3:8" s="99" customFormat="1" x14ac:dyDescent="0.2">
      <c r="C1911" s="198"/>
      <c r="D1911" s="198"/>
      <c r="E1911" s="537"/>
      <c r="G1911" s="198"/>
      <c r="H1911" s="123"/>
    </row>
    <row r="1912" spans="3:8" s="99" customFormat="1" x14ac:dyDescent="0.2">
      <c r="C1912" s="198"/>
      <c r="D1912" s="198"/>
      <c r="E1912" s="537"/>
      <c r="G1912" s="198"/>
      <c r="H1912" s="123"/>
    </row>
    <row r="1913" spans="3:8" s="99" customFormat="1" x14ac:dyDescent="0.2">
      <c r="C1913" s="198"/>
      <c r="D1913" s="198"/>
      <c r="E1913" s="537"/>
      <c r="G1913" s="198"/>
      <c r="H1913" s="123"/>
    </row>
    <row r="1914" spans="3:8" s="99" customFormat="1" x14ac:dyDescent="0.2">
      <c r="C1914" s="198"/>
      <c r="D1914" s="198"/>
      <c r="E1914" s="537"/>
      <c r="G1914" s="198"/>
      <c r="H1914" s="123"/>
    </row>
    <row r="1915" spans="3:8" s="99" customFormat="1" x14ac:dyDescent="0.2">
      <c r="C1915" s="198"/>
      <c r="D1915" s="198"/>
      <c r="E1915" s="537"/>
      <c r="G1915" s="198"/>
      <c r="H1915" s="123"/>
    </row>
    <row r="1916" spans="3:8" s="99" customFormat="1" x14ac:dyDescent="0.2">
      <c r="C1916" s="198"/>
      <c r="D1916" s="198"/>
      <c r="E1916" s="537"/>
      <c r="G1916" s="198"/>
      <c r="H1916" s="123"/>
    </row>
    <row r="1917" spans="3:8" s="99" customFormat="1" x14ac:dyDescent="0.2">
      <c r="C1917" s="198"/>
      <c r="D1917" s="198"/>
      <c r="E1917" s="537"/>
      <c r="G1917" s="198"/>
      <c r="H1917" s="123"/>
    </row>
    <row r="1918" spans="3:8" s="99" customFormat="1" x14ac:dyDescent="0.2">
      <c r="C1918" s="198"/>
      <c r="D1918" s="198"/>
      <c r="E1918" s="537"/>
      <c r="G1918" s="198"/>
      <c r="H1918" s="123"/>
    </row>
    <row r="1919" spans="3:8" s="99" customFormat="1" x14ac:dyDescent="0.2">
      <c r="C1919" s="198"/>
      <c r="D1919" s="198"/>
      <c r="E1919" s="537"/>
      <c r="G1919" s="198"/>
      <c r="H1919" s="123"/>
    </row>
    <row r="1920" spans="3:8" s="99" customFormat="1" x14ac:dyDescent="0.2">
      <c r="C1920" s="198"/>
      <c r="D1920" s="198"/>
      <c r="E1920" s="537"/>
      <c r="G1920" s="198"/>
      <c r="H1920" s="123"/>
    </row>
    <row r="1921" spans="3:8" s="99" customFormat="1" x14ac:dyDescent="0.2">
      <c r="C1921" s="198"/>
      <c r="D1921" s="198"/>
      <c r="E1921" s="537"/>
      <c r="G1921" s="198"/>
      <c r="H1921" s="123"/>
    </row>
    <row r="1922" spans="3:8" s="99" customFormat="1" x14ac:dyDescent="0.2">
      <c r="C1922" s="198"/>
      <c r="D1922" s="198"/>
      <c r="E1922" s="537"/>
      <c r="G1922" s="198"/>
      <c r="H1922" s="123"/>
    </row>
    <row r="1923" spans="3:8" s="99" customFormat="1" x14ac:dyDescent="0.2">
      <c r="C1923" s="198"/>
      <c r="D1923" s="198"/>
      <c r="E1923" s="537"/>
      <c r="G1923" s="198"/>
      <c r="H1923" s="123"/>
    </row>
    <row r="1924" spans="3:8" s="99" customFormat="1" x14ac:dyDescent="0.2">
      <c r="C1924" s="198"/>
      <c r="D1924" s="198"/>
      <c r="E1924" s="537"/>
      <c r="G1924" s="198"/>
      <c r="H1924" s="123"/>
    </row>
    <row r="1925" spans="3:8" s="99" customFormat="1" x14ac:dyDescent="0.2">
      <c r="C1925" s="198"/>
      <c r="D1925" s="198"/>
      <c r="E1925" s="537"/>
      <c r="G1925" s="198"/>
      <c r="H1925" s="123"/>
    </row>
    <row r="1926" spans="3:8" s="99" customFormat="1" x14ac:dyDescent="0.2">
      <c r="C1926" s="198"/>
      <c r="D1926" s="198"/>
      <c r="E1926" s="537"/>
      <c r="G1926" s="198"/>
      <c r="H1926" s="123"/>
    </row>
    <row r="1927" spans="3:8" s="99" customFormat="1" x14ac:dyDescent="0.2">
      <c r="C1927" s="198"/>
      <c r="D1927" s="198"/>
      <c r="E1927" s="537"/>
      <c r="G1927" s="198"/>
      <c r="H1927" s="123"/>
    </row>
    <row r="1928" spans="3:8" s="99" customFormat="1" x14ac:dyDescent="0.2">
      <c r="C1928" s="198"/>
      <c r="D1928" s="198"/>
      <c r="E1928" s="537"/>
      <c r="G1928" s="198"/>
      <c r="H1928" s="123"/>
    </row>
    <row r="1929" spans="3:8" s="99" customFormat="1" x14ac:dyDescent="0.2">
      <c r="C1929" s="198"/>
      <c r="D1929" s="198"/>
      <c r="E1929" s="537"/>
      <c r="G1929" s="198"/>
      <c r="H1929" s="123"/>
    </row>
    <row r="1930" spans="3:8" s="99" customFormat="1" x14ac:dyDescent="0.2">
      <c r="C1930" s="198"/>
      <c r="D1930" s="198"/>
      <c r="E1930" s="537"/>
      <c r="G1930" s="198"/>
      <c r="H1930" s="123"/>
    </row>
    <row r="1931" spans="3:8" s="99" customFormat="1" x14ac:dyDescent="0.2">
      <c r="C1931" s="198"/>
      <c r="D1931" s="198"/>
      <c r="E1931" s="537"/>
      <c r="G1931" s="198"/>
      <c r="H1931" s="123"/>
    </row>
    <row r="1932" spans="3:8" s="99" customFormat="1" x14ac:dyDescent="0.2">
      <c r="C1932" s="198"/>
      <c r="D1932" s="198"/>
      <c r="E1932" s="537"/>
      <c r="G1932" s="198"/>
      <c r="H1932" s="123"/>
    </row>
    <row r="1933" spans="3:8" s="99" customFormat="1" x14ac:dyDescent="0.2">
      <c r="C1933" s="198"/>
      <c r="D1933" s="198"/>
      <c r="E1933" s="537"/>
      <c r="G1933" s="198"/>
      <c r="H1933" s="123"/>
    </row>
    <row r="1934" spans="3:8" s="99" customFormat="1" x14ac:dyDescent="0.2">
      <c r="C1934" s="198"/>
      <c r="D1934" s="198"/>
      <c r="E1934" s="537"/>
      <c r="G1934" s="198"/>
      <c r="H1934" s="123"/>
    </row>
    <row r="1935" spans="3:8" s="99" customFormat="1" x14ac:dyDescent="0.2">
      <c r="C1935" s="198"/>
      <c r="D1935" s="198"/>
      <c r="E1935" s="537"/>
      <c r="G1935" s="198"/>
      <c r="H1935" s="123"/>
    </row>
    <row r="1936" spans="3:8" s="99" customFormat="1" x14ac:dyDescent="0.2">
      <c r="C1936" s="198"/>
      <c r="D1936" s="198"/>
      <c r="E1936" s="537"/>
      <c r="G1936" s="198"/>
      <c r="H1936" s="123"/>
    </row>
    <row r="1937" spans="3:8" s="99" customFormat="1" x14ac:dyDescent="0.2">
      <c r="C1937" s="198"/>
      <c r="D1937" s="198"/>
      <c r="E1937" s="537"/>
      <c r="G1937" s="198"/>
      <c r="H1937" s="123"/>
    </row>
    <row r="1938" spans="3:8" s="99" customFormat="1" x14ac:dyDescent="0.2">
      <c r="C1938" s="198"/>
      <c r="D1938" s="198"/>
      <c r="E1938" s="537"/>
      <c r="G1938" s="198"/>
      <c r="H1938" s="123"/>
    </row>
    <row r="1939" spans="3:8" s="99" customFormat="1" x14ac:dyDescent="0.2">
      <c r="C1939" s="198"/>
      <c r="D1939" s="198"/>
      <c r="E1939" s="537"/>
      <c r="G1939" s="198"/>
      <c r="H1939" s="123"/>
    </row>
    <row r="1940" spans="3:8" s="99" customFormat="1" x14ac:dyDescent="0.2">
      <c r="C1940" s="198"/>
      <c r="D1940" s="198"/>
      <c r="E1940" s="537"/>
      <c r="G1940" s="198"/>
      <c r="H1940" s="123"/>
    </row>
    <row r="1941" spans="3:8" s="99" customFormat="1" x14ac:dyDescent="0.2">
      <c r="C1941" s="198"/>
      <c r="D1941" s="198"/>
      <c r="E1941" s="537"/>
      <c r="G1941" s="198"/>
      <c r="H1941" s="123"/>
    </row>
    <row r="1942" spans="3:8" s="99" customFormat="1" x14ac:dyDescent="0.2">
      <c r="C1942" s="198"/>
      <c r="D1942" s="198"/>
      <c r="E1942" s="537"/>
      <c r="G1942" s="198"/>
      <c r="H1942" s="123"/>
    </row>
    <row r="1943" spans="3:8" s="99" customFormat="1" x14ac:dyDescent="0.2">
      <c r="C1943" s="198"/>
      <c r="D1943" s="198"/>
      <c r="E1943" s="537"/>
      <c r="G1943" s="198"/>
      <c r="H1943" s="123"/>
    </row>
    <row r="1944" spans="3:8" s="99" customFormat="1" x14ac:dyDescent="0.2">
      <c r="C1944" s="198"/>
      <c r="D1944" s="198"/>
      <c r="E1944" s="537"/>
      <c r="G1944" s="198"/>
      <c r="H1944" s="123"/>
    </row>
    <row r="1945" spans="3:8" s="99" customFormat="1" x14ac:dyDescent="0.2">
      <c r="C1945" s="198"/>
      <c r="D1945" s="198"/>
      <c r="E1945" s="537"/>
      <c r="G1945" s="198"/>
      <c r="H1945" s="123"/>
    </row>
    <row r="1946" spans="3:8" s="99" customFormat="1" x14ac:dyDescent="0.2">
      <c r="C1946" s="198"/>
      <c r="D1946" s="198"/>
      <c r="E1946" s="537"/>
      <c r="G1946" s="198"/>
      <c r="H1946" s="123"/>
    </row>
    <row r="1947" spans="3:8" s="99" customFormat="1" x14ac:dyDescent="0.2">
      <c r="C1947" s="198"/>
      <c r="D1947" s="198"/>
      <c r="E1947" s="537"/>
      <c r="G1947" s="198"/>
      <c r="H1947" s="123"/>
    </row>
    <row r="1948" spans="3:8" s="99" customFormat="1" x14ac:dyDescent="0.2">
      <c r="C1948" s="198"/>
      <c r="D1948" s="198"/>
      <c r="E1948" s="537"/>
      <c r="G1948" s="198"/>
      <c r="H1948" s="123"/>
    </row>
    <row r="1949" spans="3:8" s="99" customFormat="1" x14ac:dyDescent="0.2">
      <c r="C1949" s="198"/>
      <c r="D1949" s="198"/>
      <c r="E1949" s="537"/>
      <c r="G1949" s="198"/>
      <c r="H1949" s="123"/>
    </row>
    <row r="1950" spans="3:8" s="99" customFormat="1" x14ac:dyDescent="0.2">
      <c r="C1950" s="198"/>
      <c r="D1950" s="198"/>
      <c r="E1950" s="537"/>
      <c r="G1950" s="198"/>
      <c r="H1950" s="123"/>
    </row>
    <row r="1951" spans="3:8" s="99" customFormat="1" x14ac:dyDescent="0.2">
      <c r="C1951" s="198"/>
      <c r="D1951" s="198"/>
      <c r="E1951" s="537"/>
      <c r="G1951" s="198"/>
      <c r="H1951" s="123"/>
    </row>
    <row r="1952" spans="3:8" s="99" customFormat="1" x14ac:dyDescent="0.2">
      <c r="C1952" s="198"/>
      <c r="D1952" s="198"/>
      <c r="E1952" s="537"/>
      <c r="G1952" s="198"/>
      <c r="H1952" s="123"/>
    </row>
    <row r="1953" spans="3:8" s="99" customFormat="1" x14ac:dyDescent="0.2">
      <c r="C1953" s="198"/>
      <c r="D1953" s="198"/>
      <c r="E1953" s="537"/>
      <c r="G1953" s="198"/>
      <c r="H1953" s="123"/>
    </row>
    <row r="1954" spans="3:8" s="99" customFormat="1" x14ac:dyDescent="0.2">
      <c r="C1954" s="198"/>
      <c r="D1954" s="198"/>
      <c r="E1954" s="537"/>
      <c r="G1954" s="198"/>
      <c r="H1954" s="123"/>
    </row>
    <row r="1955" spans="3:8" s="99" customFormat="1" x14ac:dyDescent="0.2">
      <c r="C1955" s="198"/>
      <c r="D1955" s="198"/>
      <c r="E1955" s="537"/>
      <c r="G1955" s="198"/>
      <c r="H1955" s="123"/>
    </row>
    <row r="1956" spans="3:8" s="99" customFormat="1" x14ac:dyDescent="0.2">
      <c r="C1956" s="198"/>
      <c r="D1956" s="198"/>
      <c r="E1956" s="537"/>
      <c r="G1956" s="198"/>
      <c r="H1956" s="123"/>
    </row>
    <row r="1957" spans="3:8" s="99" customFormat="1" x14ac:dyDescent="0.2">
      <c r="C1957" s="198"/>
      <c r="D1957" s="198"/>
      <c r="E1957" s="537"/>
      <c r="G1957" s="198"/>
      <c r="H1957" s="123"/>
    </row>
    <row r="1958" spans="3:8" s="99" customFormat="1" x14ac:dyDescent="0.2">
      <c r="C1958" s="198"/>
      <c r="D1958" s="198"/>
      <c r="E1958" s="537"/>
      <c r="G1958" s="198"/>
      <c r="H1958" s="123"/>
    </row>
    <row r="1959" spans="3:8" s="99" customFormat="1" x14ac:dyDescent="0.2">
      <c r="C1959" s="198"/>
      <c r="D1959" s="198"/>
      <c r="E1959" s="537"/>
      <c r="G1959" s="198"/>
      <c r="H1959" s="123"/>
    </row>
    <row r="1960" spans="3:8" s="99" customFormat="1" x14ac:dyDescent="0.2">
      <c r="C1960" s="198"/>
      <c r="D1960" s="198"/>
      <c r="E1960" s="537"/>
      <c r="G1960" s="198"/>
      <c r="H1960" s="123"/>
    </row>
    <row r="1961" spans="3:8" s="99" customFormat="1" x14ac:dyDescent="0.2">
      <c r="C1961" s="198"/>
      <c r="D1961" s="198"/>
      <c r="E1961" s="537"/>
      <c r="G1961" s="198"/>
      <c r="H1961" s="123"/>
    </row>
    <row r="1962" spans="3:8" s="99" customFormat="1" x14ac:dyDescent="0.2">
      <c r="C1962" s="198"/>
      <c r="D1962" s="198"/>
      <c r="E1962" s="537"/>
      <c r="G1962" s="198"/>
      <c r="H1962" s="123"/>
    </row>
    <row r="1963" spans="3:8" s="99" customFormat="1" x14ac:dyDescent="0.2">
      <c r="C1963" s="198"/>
      <c r="D1963" s="198"/>
      <c r="E1963" s="537"/>
      <c r="G1963" s="198"/>
      <c r="H1963" s="123"/>
    </row>
    <row r="1964" spans="3:8" s="99" customFormat="1" x14ac:dyDescent="0.2">
      <c r="C1964" s="198"/>
      <c r="D1964" s="198"/>
      <c r="E1964" s="537"/>
      <c r="G1964" s="198"/>
      <c r="H1964" s="123"/>
    </row>
    <row r="1965" spans="3:8" s="99" customFormat="1" x14ac:dyDescent="0.2">
      <c r="C1965" s="198"/>
      <c r="D1965" s="198"/>
      <c r="E1965" s="537"/>
      <c r="G1965" s="198"/>
      <c r="H1965" s="123"/>
    </row>
    <row r="1966" spans="3:8" s="99" customFormat="1" x14ac:dyDescent="0.2">
      <c r="C1966" s="198"/>
      <c r="D1966" s="198"/>
      <c r="E1966" s="537"/>
      <c r="G1966" s="198"/>
      <c r="H1966" s="123"/>
    </row>
    <row r="1967" spans="3:8" s="99" customFormat="1" x14ac:dyDescent="0.2">
      <c r="C1967" s="198"/>
      <c r="D1967" s="198"/>
      <c r="E1967" s="537"/>
      <c r="G1967" s="198"/>
      <c r="H1967" s="123"/>
    </row>
    <row r="1968" spans="3:8" s="99" customFormat="1" x14ac:dyDescent="0.2">
      <c r="C1968" s="198"/>
      <c r="D1968" s="198"/>
      <c r="E1968" s="537"/>
      <c r="G1968" s="198"/>
      <c r="H1968" s="123"/>
    </row>
    <row r="1969" spans="3:8" s="99" customFormat="1" x14ac:dyDescent="0.2">
      <c r="C1969" s="198"/>
      <c r="D1969" s="198"/>
      <c r="E1969" s="537"/>
      <c r="G1969" s="198"/>
      <c r="H1969" s="123"/>
    </row>
    <row r="1970" spans="3:8" s="99" customFormat="1" x14ac:dyDescent="0.2">
      <c r="C1970" s="198"/>
      <c r="D1970" s="198"/>
      <c r="E1970" s="537"/>
      <c r="G1970" s="198"/>
      <c r="H1970" s="123"/>
    </row>
    <row r="1971" spans="3:8" s="99" customFormat="1" x14ac:dyDescent="0.2">
      <c r="C1971" s="198"/>
      <c r="D1971" s="198"/>
      <c r="E1971" s="537"/>
      <c r="G1971" s="198"/>
      <c r="H1971" s="123"/>
    </row>
    <row r="1972" spans="3:8" s="99" customFormat="1" x14ac:dyDescent="0.2">
      <c r="C1972" s="198"/>
      <c r="D1972" s="198"/>
      <c r="E1972" s="537"/>
      <c r="G1972" s="198"/>
      <c r="H1972" s="123"/>
    </row>
    <row r="1973" spans="3:8" s="99" customFormat="1" x14ac:dyDescent="0.2">
      <c r="C1973" s="198"/>
      <c r="D1973" s="198"/>
      <c r="E1973" s="537"/>
      <c r="G1973" s="198"/>
      <c r="H1973" s="123"/>
    </row>
    <row r="1974" spans="3:8" s="99" customFormat="1" x14ac:dyDescent="0.2">
      <c r="C1974" s="198"/>
      <c r="D1974" s="198"/>
      <c r="E1974" s="537"/>
      <c r="G1974" s="198"/>
      <c r="H1974" s="123"/>
    </row>
    <row r="1975" spans="3:8" s="99" customFormat="1" x14ac:dyDescent="0.2">
      <c r="C1975" s="198"/>
      <c r="D1975" s="198"/>
      <c r="E1975" s="537"/>
      <c r="G1975" s="198"/>
      <c r="H1975" s="123"/>
    </row>
    <row r="1976" spans="3:8" s="99" customFormat="1" x14ac:dyDescent="0.2">
      <c r="C1976" s="198"/>
      <c r="D1976" s="198"/>
      <c r="E1976" s="537"/>
      <c r="G1976" s="198"/>
      <c r="H1976" s="123"/>
    </row>
    <row r="1977" spans="3:8" s="99" customFormat="1" x14ac:dyDescent="0.2">
      <c r="C1977" s="198"/>
      <c r="D1977" s="198"/>
      <c r="E1977" s="537"/>
      <c r="G1977" s="198"/>
      <c r="H1977" s="123"/>
    </row>
    <row r="1978" spans="3:8" s="99" customFormat="1" x14ac:dyDescent="0.2">
      <c r="C1978" s="198"/>
      <c r="D1978" s="198"/>
      <c r="E1978" s="537"/>
      <c r="G1978" s="198"/>
      <c r="H1978" s="123"/>
    </row>
    <row r="1979" spans="3:8" s="99" customFormat="1" x14ac:dyDescent="0.2">
      <c r="C1979" s="198"/>
      <c r="D1979" s="198"/>
      <c r="E1979" s="537"/>
      <c r="G1979" s="198"/>
      <c r="H1979" s="123"/>
    </row>
    <row r="1980" spans="3:8" s="99" customFormat="1" x14ac:dyDescent="0.2">
      <c r="C1980" s="198"/>
      <c r="D1980" s="198"/>
      <c r="E1980" s="537"/>
      <c r="G1980" s="198"/>
      <c r="H1980" s="123"/>
    </row>
    <row r="1981" spans="3:8" s="99" customFormat="1" x14ac:dyDescent="0.2">
      <c r="C1981" s="198"/>
      <c r="D1981" s="198"/>
      <c r="E1981" s="537"/>
      <c r="G1981" s="198"/>
      <c r="H1981" s="123"/>
    </row>
    <row r="1982" spans="3:8" s="99" customFormat="1" x14ac:dyDescent="0.2">
      <c r="C1982" s="198"/>
      <c r="D1982" s="198"/>
      <c r="E1982" s="537"/>
      <c r="G1982" s="198"/>
      <c r="H1982" s="123"/>
    </row>
    <row r="1983" spans="3:8" s="99" customFormat="1" x14ac:dyDescent="0.2">
      <c r="C1983" s="198"/>
      <c r="D1983" s="198"/>
      <c r="E1983" s="537"/>
      <c r="G1983" s="198"/>
      <c r="H1983" s="123"/>
    </row>
    <row r="1984" spans="3:8" s="99" customFormat="1" x14ac:dyDescent="0.2">
      <c r="C1984" s="198"/>
      <c r="D1984" s="198"/>
      <c r="E1984" s="537"/>
      <c r="G1984" s="198"/>
      <c r="H1984" s="123"/>
    </row>
    <row r="1985" spans="3:8" s="99" customFormat="1" x14ac:dyDescent="0.2">
      <c r="C1985" s="198"/>
      <c r="D1985" s="198"/>
      <c r="E1985" s="537"/>
      <c r="G1985" s="198"/>
      <c r="H1985" s="123"/>
    </row>
    <row r="1986" spans="3:8" s="99" customFormat="1" x14ac:dyDescent="0.2">
      <c r="C1986" s="198"/>
      <c r="D1986" s="198"/>
      <c r="E1986" s="537"/>
      <c r="G1986" s="198"/>
      <c r="H1986" s="123"/>
    </row>
    <row r="1987" spans="3:8" s="99" customFormat="1" x14ac:dyDescent="0.2">
      <c r="C1987" s="198"/>
      <c r="D1987" s="198"/>
      <c r="E1987" s="537"/>
      <c r="G1987" s="198"/>
      <c r="H1987" s="123"/>
    </row>
    <row r="1988" spans="3:8" s="99" customFormat="1" x14ac:dyDescent="0.2">
      <c r="C1988" s="198"/>
      <c r="D1988" s="198"/>
      <c r="E1988" s="537"/>
      <c r="G1988" s="198"/>
      <c r="H1988" s="123"/>
    </row>
    <row r="1989" spans="3:8" s="99" customFormat="1" x14ac:dyDescent="0.2">
      <c r="C1989" s="198"/>
      <c r="D1989" s="198"/>
      <c r="E1989" s="537"/>
      <c r="G1989" s="198"/>
      <c r="H1989" s="123"/>
    </row>
    <row r="1990" spans="3:8" s="99" customFormat="1" x14ac:dyDescent="0.2">
      <c r="C1990" s="198"/>
      <c r="D1990" s="198"/>
      <c r="E1990" s="537"/>
      <c r="G1990" s="198"/>
      <c r="H1990" s="123"/>
    </row>
    <row r="1991" spans="3:8" s="99" customFormat="1" x14ac:dyDescent="0.2">
      <c r="C1991" s="198"/>
      <c r="D1991" s="198"/>
      <c r="E1991" s="537"/>
      <c r="G1991" s="198"/>
      <c r="H1991" s="123"/>
    </row>
    <row r="1992" spans="3:8" s="99" customFormat="1" x14ac:dyDescent="0.2">
      <c r="C1992" s="198"/>
      <c r="D1992" s="198"/>
      <c r="E1992" s="537"/>
      <c r="G1992" s="198"/>
      <c r="H1992" s="123"/>
    </row>
    <row r="1993" spans="3:8" s="99" customFormat="1" x14ac:dyDescent="0.2">
      <c r="C1993" s="198"/>
      <c r="D1993" s="198"/>
      <c r="E1993" s="537"/>
      <c r="G1993" s="198"/>
      <c r="H1993" s="123"/>
    </row>
    <row r="1994" spans="3:8" s="99" customFormat="1" x14ac:dyDescent="0.2">
      <c r="C1994" s="198"/>
      <c r="D1994" s="198"/>
      <c r="E1994" s="537"/>
      <c r="G1994" s="198"/>
      <c r="H1994" s="123"/>
    </row>
    <row r="1995" spans="3:8" s="99" customFormat="1" x14ac:dyDescent="0.2">
      <c r="C1995" s="198"/>
      <c r="D1995" s="198"/>
      <c r="E1995" s="537"/>
      <c r="G1995" s="198"/>
      <c r="H1995" s="123"/>
    </row>
    <row r="1996" spans="3:8" s="99" customFormat="1" x14ac:dyDescent="0.2">
      <c r="C1996" s="198"/>
      <c r="D1996" s="198"/>
      <c r="E1996" s="537"/>
      <c r="G1996" s="198"/>
      <c r="H1996" s="123"/>
    </row>
    <row r="1997" spans="3:8" s="99" customFormat="1" x14ac:dyDescent="0.2">
      <c r="C1997" s="198"/>
      <c r="D1997" s="198"/>
      <c r="E1997" s="537"/>
      <c r="G1997" s="198"/>
      <c r="H1997" s="123"/>
    </row>
    <row r="1998" spans="3:8" s="99" customFormat="1" x14ac:dyDescent="0.2">
      <c r="C1998" s="198"/>
      <c r="D1998" s="198"/>
      <c r="E1998" s="537"/>
      <c r="G1998" s="198"/>
      <c r="H1998" s="123"/>
    </row>
    <row r="1999" spans="3:8" s="99" customFormat="1" x14ac:dyDescent="0.2">
      <c r="C1999" s="198"/>
      <c r="D1999" s="198"/>
      <c r="E1999" s="537"/>
      <c r="G1999" s="198"/>
      <c r="H1999" s="123"/>
    </row>
    <row r="2000" spans="3:8" s="99" customFormat="1" x14ac:dyDescent="0.2">
      <c r="C2000" s="198"/>
      <c r="D2000" s="198"/>
      <c r="E2000" s="537"/>
      <c r="G2000" s="198"/>
      <c r="H2000" s="123"/>
    </row>
    <row r="2001" spans="3:8" s="99" customFormat="1" x14ac:dyDescent="0.2">
      <c r="C2001" s="198"/>
      <c r="D2001" s="198"/>
      <c r="E2001" s="537"/>
      <c r="G2001" s="198"/>
      <c r="H2001" s="123"/>
    </row>
    <row r="2002" spans="3:8" s="99" customFormat="1" x14ac:dyDescent="0.2">
      <c r="C2002" s="198"/>
      <c r="D2002" s="198"/>
      <c r="E2002" s="537"/>
      <c r="G2002" s="198"/>
      <c r="H2002" s="123"/>
    </row>
    <row r="2003" spans="3:8" s="99" customFormat="1" x14ac:dyDescent="0.2">
      <c r="C2003" s="198"/>
      <c r="D2003" s="198"/>
      <c r="E2003" s="537"/>
      <c r="G2003" s="198"/>
      <c r="H2003" s="123"/>
    </row>
    <row r="2004" spans="3:8" s="99" customFormat="1" x14ac:dyDescent="0.2">
      <c r="C2004" s="198"/>
      <c r="D2004" s="198"/>
      <c r="E2004" s="537"/>
      <c r="G2004" s="198"/>
      <c r="H2004" s="123"/>
    </row>
    <row r="2005" spans="3:8" s="99" customFormat="1" x14ac:dyDescent="0.2">
      <c r="C2005" s="198"/>
      <c r="D2005" s="198"/>
      <c r="E2005" s="537"/>
      <c r="G2005" s="198"/>
      <c r="H2005" s="123"/>
    </row>
    <row r="2006" spans="3:8" s="99" customFormat="1" x14ac:dyDescent="0.2">
      <c r="C2006" s="198"/>
      <c r="D2006" s="198"/>
      <c r="E2006" s="537"/>
      <c r="G2006" s="198"/>
      <c r="H2006" s="123"/>
    </row>
    <row r="2007" spans="3:8" s="99" customFormat="1" x14ac:dyDescent="0.2">
      <c r="C2007" s="198"/>
      <c r="D2007" s="198"/>
      <c r="E2007" s="537"/>
      <c r="G2007" s="198"/>
      <c r="H2007" s="123"/>
    </row>
    <row r="2008" spans="3:8" s="99" customFormat="1" x14ac:dyDescent="0.2">
      <c r="C2008" s="198"/>
      <c r="D2008" s="198"/>
      <c r="E2008" s="537"/>
      <c r="G2008" s="198"/>
      <c r="H2008" s="123"/>
    </row>
    <row r="2009" spans="3:8" s="99" customFormat="1" x14ac:dyDescent="0.2">
      <c r="C2009" s="198"/>
      <c r="D2009" s="198"/>
      <c r="E2009" s="537"/>
      <c r="G2009" s="198"/>
      <c r="H2009" s="123"/>
    </row>
    <row r="2010" spans="3:8" s="99" customFormat="1" x14ac:dyDescent="0.2">
      <c r="C2010" s="198"/>
      <c r="D2010" s="198"/>
      <c r="E2010" s="537"/>
      <c r="G2010" s="198"/>
      <c r="H2010" s="123"/>
    </row>
    <row r="2011" spans="3:8" s="99" customFormat="1" x14ac:dyDescent="0.2">
      <c r="C2011" s="198"/>
      <c r="D2011" s="198"/>
      <c r="E2011" s="537"/>
      <c r="G2011" s="198"/>
      <c r="H2011" s="123"/>
    </row>
    <row r="2012" spans="3:8" s="99" customFormat="1" x14ac:dyDescent="0.2">
      <c r="C2012" s="198"/>
      <c r="D2012" s="198"/>
      <c r="E2012" s="537"/>
      <c r="G2012" s="198"/>
      <c r="H2012" s="123"/>
    </row>
    <row r="2013" spans="3:8" s="99" customFormat="1" x14ac:dyDescent="0.2">
      <c r="C2013" s="198"/>
      <c r="D2013" s="198"/>
      <c r="E2013" s="537"/>
      <c r="G2013" s="198"/>
      <c r="H2013" s="123"/>
    </row>
    <row r="2014" spans="3:8" s="99" customFormat="1" x14ac:dyDescent="0.2">
      <c r="C2014" s="198"/>
      <c r="D2014" s="198"/>
      <c r="E2014" s="537"/>
      <c r="G2014" s="198"/>
      <c r="H2014" s="123"/>
    </row>
    <row r="2015" spans="3:8" s="99" customFormat="1" x14ac:dyDescent="0.2">
      <c r="C2015" s="198"/>
      <c r="D2015" s="198"/>
      <c r="E2015" s="537"/>
      <c r="G2015" s="198"/>
      <c r="H2015" s="123"/>
    </row>
    <row r="2016" spans="3:8" s="99" customFormat="1" x14ac:dyDescent="0.2">
      <c r="C2016" s="198"/>
      <c r="D2016" s="198"/>
      <c r="E2016" s="537"/>
      <c r="G2016" s="198"/>
      <c r="H2016" s="123"/>
    </row>
    <row r="2017" spans="3:8" s="99" customFormat="1" x14ac:dyDescent="0.2">
      <c r="C2017" s="198"/>
      <c r="D2017" s="198"/>
      <c r="E2017" s="537"/>
      <c r="G2017" s="198"/>
      <c r="H2017" s="123"/>
    </row>
    <row r="2018" spans="3:8" s="99" customFormat="1" x14ac:dyDescent="0.2">
      <c r="C2018" s="198"/>
      <c r="D2018" s="198"/>
      <c r="E2018" s="537"/>
      <c r="G2018" s="198"/>
      <c r="H2018" s="123"/>
    </row>
    <row r="2019" spans="3:8" s="99" customFormat="1" x14ac:dyDescent="0.2">
      <c r="C2019" s="198"/>
      <c r="D2019" s="198"/>
      <c r="E2019" s="537"/>
      <c r="G2019" s="198"/>
      <c r="H2019" s="123"/>
    </row>
    <row r="2020" spans="3:8" s="99" customFormat="1" x14ac:dyDescent="0.2">
      <c r="C2020" s="198"/>
      <c r="D2020" s="198"/>
      <c r="E2020" s="537"/>
      <c r="G2020" s="198"/>
      <c r="H2020" s="123"/>
    </row>
    <row r="2021" spans="3:8" s="99" customFormat="1" x14ac:dyDescent="0.2">
      <c r="C2021" s="198"/>
      <c r="D2021" s="198"/>
      <c r="E2021" s="537"/>
      <c r="G2021" s="198"/>
      <c r="H2021" s="123"/>
    </row>
    <row r="2022" spans="3:8" s="99" customFormat="1" x14ac:dyDescent="0.2">
      <c r="C2022" s="198"/>
      <c r="D2022" s="198"/>
      <c r="E2022" s="537"/>
      <c r="G2022" s="198"/>
      <c r="H2022" s="123"/>
    </row>
    <row r="2023" spans="3:8" s="99" customFormat="1" x14ac:dyDescent="0.2">
      <c r="C2023" s="198"/>
      <c r="D2023" s="198"/>
      <c r="E2023" s="537"/>
      <c r="G2023" s="198"/>
      <c r="H2023" s="123"/>
    </row>
    <row r="2024" spans="3:8" s="99" customFormat="1" x14ac:dyDescent="0.2">
      <c r="C2024" s="198"/>
      <c r="D2024" s="198"/>
      <c r="E2024" s="537"/>
      <c r="G2024" s="198"/>
      <c r="H2024" s="123"/>
    </row>
    <row r="2025" spans="3:8" s="99" customFormat="1" x14ac:dyDescent="0.2">
      <c r="C2025" s="198"/>
      <c r="D2025" s="198"/>
      <c r="E2025" s="537"/>
      <c r="G2025" s="198"/>
      <c r="H2025" s="123"/>
    </row>
    <row r="2026" spans="3:8" s="99" customFormat="1" x14ac:dyDescent="0.2">
      <c r="C2026" s="198"/>
      <c r="D2026" s="198"/>
      <c r="E2026" s="537"/>
      <c r="G2026" s="198"/>
      <c r="H2026" s="123"/>
    </row>
    <row r="2027" spans="3:8" s="99" customFormat="1" x14ac:dyDescent="0.2">
      <c r="C2027" s="198"/>
      <c r="D2027" s="198"/>
      <c r="E2027" s="537"/>
      <c r="G2027" s="198"/>
      <c r="H2027" s="123"/>
    </row>
    <row r="2028" spans="3:8" s="99" customFormat="1" x14ac:dyDescent="0.2">
      <c r="C2028" s="198"/>
      <c r="D2028" s="198"/>
      <c r="E2028" s="537"/>
      <c r="G2028" s="198"/>
      <c r="H2028" s="123"/>
    </row>
    <row r="2029" spans="3:8" s="99" customFormat="1" x14ac:dyDescent="0.2">
      <c r="C2029" s="198"/>
      <c r="D2029" s="198"/>
      <c r="E2029" s="537"/>
      <c r="G2029" s="198"/>
      <c r="H2029" s="123"/>
    </row>
    <row r="2030" spans="3:8" s="99" customFormat="1" x14ac:dyDescent="0.2">
      <c r="C2030" s="198"/>
      <c r="D2030" s="198"/>
      <c r="E2030" s="537"/>
      <c r="G2030" s="198"/>
      <c r="H2030" s="123"/>
    </row>
    <row r="2031" spans="3:8" s="99" customFormat="1" x14ac:dyDescent="0.2">
      <c r="C2031" s="198"/>
      <c r="D2031" s="198"/>
      <c r="E2031" s="537"/>
      <c r="G2031" s="198"/>
      <c r="H2031" s="123"/>
    </row>
    <row r="2032" spans="3:8" s="99" customFormat="1" x14ac:dyDescent="0.2">
      <c r="C2032" s="198"/>
      <c r="D2032" s="198"/>
      <c r="E2032" s="537"/>
      <c r="G2032" s="198"/>
      <c r="H2032" s="123"/>
    </row>
    <row r="2033" spans="3:8" s="99" customFormat="1" x14ac:dyDescent="0.2">
      <c r="C2033" s="198"/>
      <c r="D2033" s="198"/>
      <c r="E2033" s="537"/>
      <c r="G2033" s="198"/>
      <c r="H2033" s="123"/>
    </row>
    <row r="2034" spans="3:8" s="99" customFormat="1" x14ac:dyDescent="0.2">
      <c r="C2034" s="198"/>
      <c r="D2034" s="198"/>
      <c r="E2034" s="537"/>
      <c r="G2034" s="198"/>
      <c r="H2034" s="123"/>
    </row>
    <row r="2035" spans="3:8" s="99" customFormat="1" x14ac:dyDescent="0.2">
      <c r="C2035" s="198"/>
      <c r="D2035" s="198"/>
      <c r="E2035" s="537"/>
      <c r="G2035" s="198"/>
      <c r="H2035" s="123"/>
    </row>
    <row r="2036" spans="3:8" s="99" customFormat="1" x14ac:dyDescent="0.2">
      <c r="C2036" s="198"/>
      <c r="D2036" s="198"/>
      <c r="E2036" s="537"/>
      <c r="G2036" s="198"/>
      <c r="H2036" s="123"/>
    </row>
    <row r="2037" spans="3:8" s="99" customFormat="1" x14ac:dyDescent="0.2">
      <c r="C2037" s="198"/>
      <c r="D2037" s="198"/>
      <c r="E2037" s="537"/>
      <c r="G2037" s="198"/>
      <c r="H2037" s="123"/>
    </row>
    <row r="2038" spans="3:8" s="99" customFormat="1" x14ac:dyDescent="0.2">
      <c r="C2038" s="198"/>
      <c r="D2038" s="198"/>
      <c r="E2038" s="537"/>
      <c r="G2038" s="198"/>
      <c r="H2038" s="123"/>
    </row>
    <row r="2039" spans="3:8" s="99" customFormat="1" x14ac:dyDescent="0.2">
      <c r="C2039" s="198"/>
      <c r="D2039" s="198"/>
      <c r="E2039" s="537"/>
      <c r="G2039" s="198"/>
      <c r="H2039" s="123"/>
    </row>
    <row r="2040" spans="3:8" s="99" customFormat="1" x14ac:dyDescent="0.2">
      <c r="C2040" s="198"/>
      <c r="D2040" s="198"/>
      <c r="E2040" s="537"/>
      <c r="G2040" s="198"/>
      <c r="H2040" s="123"/>
    </row>
    <row r="2041" spans="3:8" s="99" customFormat="1" x14ac:dyDescent="0.2">
      <c r="C2041" s="198"/>
      <c r="D2041" s="198"/>
      <c r="E2041" s="537"/>
      <c r="G2041" s="198"/>
      <c r="H2041" s="123"/>
    </row>
    <row r="2042" spans="3:8" s="99" customFormat="1" x14ac:dyDescent="0.2">
      <c r="C2042" s="198"/>
      <c r="D2042" s="198"/>
      <c r="E2042" s="537"/>
      <c r="G2042" s="198"/>
      <c r="H2042" s="123"/>
    </row>
    <row r="2043" spans="3:8" s="99" customFormat="1" x14ac:dyDescent="0.2">
      <c r="C2043" s="198"/>
      <c r="D2043" s="198"/>
      <c r="E2043" s="537"/>
      <c r="G2043" s="198"/>
      <c r="H2043" s="123"/>
    </row>
    <row r="2044" spans="3:8" s="99" customFormat="1" x14ac:dyDescent="0.2">
      <c r="C2044" s="198"/>
      <c r="D2044" s="198"/>
      <c r="E2044" s="537"/>
      <c r="G2044" s="198"/>
      <c r="H2044" s="123"/>
    </row>
    <row r="2045" spans="3:8" s="99" customFormat="1" x14ac:dyDescent="0.2">
      <c r="C2045" s="198"/>
      <c r="D2045" s="198"/>
      <c r="E2045" s="537"/>
      <c r="G2045" s="198"/>
      <c r="H2045" s="123"/>
    </row>
    <row r="2046" spans="3:8" s="99" customFormat="1" x14ac:dyDescent="0.2">
      <c r="C2046" s="198"/>
      <c r="D2046" s="198"/>
      <c r="E2046" s="537"/>
      <c r="G2046" s="198"/>
      <c r="H2046" s="123"/>
    </row>
    <row r="2047" spans="3:8" s="99" customFormat="1" x14ac:dyDescent="0.2">
      <c r="C2047" s="198"/>
      <c r="D2047" s="198"/>
      <c r="E2047" s="537"/>
      <c r="G2047" s="198"/>
      <c r="H2047" s="123"/>
    </row>
    <row r="2048" spans="3:8" s="99" customFormat="1" x14ac:dyDescent="0.2">
      <c r="C2048" s="198"/>
      <c r="D2048" s="198"/>
      <c r="E2048" s="537"/>
      <c r="G2048" s="198"/>
      <c r="H2048" s="123"/>
    </row>
    <row r="2049" spans="3:8" s="99" customFormat="1" x14ac:dyDescent="0.2">
      <c r="C2049" s="198"/>
      <c r="D2049" s="198"/>
      <c r="E2049" s="537"/>
      <c r="G2049" s="198"/>
      <c r="H2049" s="123"/>
    </row>
    <row r="2050" spans="3:8" s="99" customFormat="1" x14ac:dyDescent="0.2">
      <c r="C2050" s="198"/>
      <c r="D2050" s="198"/>
      <c r="E2050" s="537"/>
      <c r="G2050" s="198"/>
      <c r="H2050" s="123"/>
    </row>
    <row r="2051" spans="3:8" s="99" customFormat="1" x14ac:dyDescent="0.2">
      <c r="C2051" s="198"/>
      <c r="D2051" s="198"/>
      <c r="E2051" s="537"/>
      <c r="G2051" s="198"/>
      <c r="H2051" s="123"/>
    </row>
    <row r="2052" spans="3:8" s="99" customFormat="1" x14ac:dyDescent="0.2">
      <c r="C2052" s="198"/>
      <c r="D2052" s="198"/>
      <c r="E2052" s="537"/>
      <c r="G2052" s="198"/>
      <c r="H2052" s="123"/>
    </row>
    <row r="2053" spans="3:8" s="99" customFormat="1" x14ac:dyDescent="0.2">
      <c r="C2053" s="198"/>
      <c r="D2053" s="198"/>
      <c r="E2053" s="537"/>
      <c r="G2053" s="198"/>
      <c r="H2053" s="123"/>
    </row>
    <row r="2054" spans="3:8" s="99" customFormat="1" x14ac:dyDescent="0.2">
      <c r="C2054" s="198"/>
      <c r="D2054" s="198"/>
      <c r="E2054" s="537"/>
      <c r="G2054" s="198"/>
      <c r="H2054" s="123"/>
    </row>
    <row r="2055" spans="3:8" s="99" customFormat="1" x14ac:dyDescent="0.2">
      <c r="C2055" s="198"/>
      <c r="D2055" s="198"/>
      <c r="E2055" s="537"/>
      <c r="G2055" s="198"/>
      <c r="H2055" s="123"/>
    </row>
    <row r="2056" spans="3:8" s="99" customFormat="1" x14ac:dyDescent="0.2">
      <c r="C2056" s="198"/>
      <c r="D2056" s="198"/>
      <c r="E2056" s="537"/>
      <c r="G2056" s="198"/>
      <c r="H2056" s="123"/>
    </row>
    <row r="2057" spans="3:8" s="99" customFormat="1" x14ac:dyDescent="0.2">
      <c r="C2057" s="198"/>
      <c r="D2057" s="198"/>
      <c r="E2057" s="537"/>
      <c r="G2057" s="198"/>
      <c r="H2057" s="123"/>
    </row>
    <row r="2058" spans="3:8" s="99" customFormat="1" x14ac:dyDescent="0.2">
      <c r="C2058" s="198"/>
      <c r="D2058" s="198"/>
      <c r="E2058" s="537"/>
      <c r="G2058" s="198"/>
      <c r="H2058" s="123"/>
    </row>
    <row r="2059" spans="3:8" s="99" customFormat="1" x14ac:dyDescent="0.2">
      <c r="C2059" s="198"/>
      <c r="D2059" s="198"/>
      <c r="E2059" s="537"/>
      <c r="G2059" s="198"/>
      <c r="H2059" s="123"/>
    </row>
    <row r="2060" spans="3:8" s="99" customFormat="1" x14ac:dyDescent="0.2">
      <c r="C2060" s="198"/>
      <c r="D2060" s="198"/>
      <c r="E2060" s="537"/>
      <c r="G2060" s="198"/>
      <c r="H2060" s="123"/>
    </row>
    <row r="2061" spans="3:8" s="99" customFormat="1" x14ac:dyDescent="0.2">
      <c r="C2061" s="198"/>
      <c r="D2061" s="198"/>
      <c r="E2061" s="537"/>
      <c r="G2061" s="198"/>
      <c r="H2061" s="123"/>
    </row>
    <row r="2062" spans="3:8" s="99" customFormat="1" x14ac:dyDescent="0.2">
      <c r="C2062" s="198"/>
      <c r="D2062" s="198"/>
      <c r="E2062" s="537"/>
      <c r="G2062" s="198"/>
      <c r="H2062" s="123"/>
    </row>
    <row r="2063" spans="3:8" s="99" customFormat="1" x14ac:dyDescent="0.2">
      <c r="C2063" s="198"/>
      <c r="D2063" s="198"/>
      <c r="E2063" s="537"/>
      <c r="G2063" s="198"/>
      <c r="H2063" s="123"/>
    </row>
    <row r="2064" spans="3:8" s="99" customFormat="1" x14ac:dyDescent="0.2">
      <c r="C2064" s="198"/>
      <c r="D2064" s="198"/>
      <c r="E2064" s="537"/>
      <c r="G2064" s="198"/>
      <c r="H2064" s="123"/>
    </row>
    <row r="2065" spans="3:8" s="99" customFormat="1" x14ac:dyDescent="0.2">
      <c r="C2065" s="198"/>
      <c r="D2065" s="198"/>
      <c r="E2065" s="537"/>
      <c r="G2065" s="198"/>
      <c r="H2065" s="123"/>
    </row>
    <row r="2066" spans="3:8" s="99" customFormat="1" x14ac:dyDescent="0.2">
      <c r="C2066" s="198"/>
      <c r="D2066" s="198"/>
      <c r="E2066" s="537"/>
      <c r="G2066" s="198"/>
      <c r="H2066" s="123"/>
    </row>
    <row r="2067" spans="3:8" s="99" customFormat="1" x14ac:dyDescent="0.2">
      <c r="C2067" s="198"/>
      <c r="D2067" s="198"/>
      <c r="E2067" s="537"/>
      <c r="G2067" s="198"/>
      <c r="H2067" s="123"/>
    </row>
    <row r="2068" spans="3:8" s="99" customFormat="1" x14ac:dyDescent="0.2">
      <c r="C2068" s="198"/>
      <c r="D2068" s="198"/>
      <c r="E2068" s="537"/>
      <c r="G2068" s="198"/>
      <c r="H2068" s="123"/>
    </row>
    <row r="2069" spans="3:8" s="99" customFormat="1" x14ac:dyDescent="0.2">
      <c r="C2069" s="198"/>
      <c r="D2069" s="198"/>
      <c r="E2069" s="537"/>
      <c r="G2069" s="198"/>
      <c r="H2069" s="123"/>
    </row>
    <row r="2070" spans="3:8" s="99" customFormat="1" x14ac:dyDescent="0.2">
      <c r="C2070" s="198"/>
      <c r="D2070" s="198"/>
      <c r="E2070" s="537"/>
      <c r="G2070" s="198"/>
      <c r="H2070" s="123"/>
    </row>
    <row r="2071" spans="3:8" s="99" customFormat="1" x14ac:dyDescent="0.2">
      <c r="C2071" s="198"/>
      <c r="D2071" s="198"/>
      <c r="E2071" s="537"/>
      <c r="G2071" s="198"/>
      <c r="H2071" s="123"/>
    </row>
    <row r="2072" spans="3:8" s="99" customFormat="1" x14ac:dyDescent="0.2">
      <c r="C2072" s="198"/>
      <c r="D2072" s="198"/>
      <c r="E2072" s="537"/>
      <c r="G2072" s="198"/>
      <c r="H2072" s="123"/>
    </row>
    <row r="2073" spans="3:8" s="99" customFormat="1" x14ac:dyDescent="0.2">
      <c r="C2073" s="198"/>
      <c r="D2073" s="198"/>
      <c r="E2073" s="537"/>
      <c r="G2073" s="198"/>
      <c r="H2073" s="123"/>
    </row>
    <row r="2074" spans="3:8" s="99" customFormat="1" x14ac:dyDescent="0.2">
      <c r="C2074" s="198"/>
      <c r="D2074" s="198"/>
      <c r="E2074" s="537"/>
      <c r="G2074" s="198"/>
      <c r="H2074" s="123"/>
    </row>
    <row r="2075" spans="3:8" s="99" customFormat="1" x14ac:dyDescent="0.2">
      <c r="C2075" s="198"/>
      <c r="D2075" s="198"/>
      <c r="E2075" s="537"/>
      <c r="G2075" s="198"/>
      <c r="H2075" s="123"/>
    </row>
    <row r="2076" spans="3:8" s="99" customFormat="1" x14ac:dyDescent="0.2">
      <c r="C2076" s="198"/>
      <c r="D2076" s="198"/>
      <c r="E2076" s="537"/>
      <c r="G2076" s="198"/>
      <c r="H2076" s="123"/>
    </row>
    <row r="2077" spans="3:8" s="99" customFormat="1" x14ac:dyDescent="0.2">
      <c r="C2077" s="198"/>
      <c r="D2077" s="198"/>
      <c r="E2077" s="537"/>
      <c r="G2077" s="198"/>
      <c r="H2077" s="123"/>
    </row>
    <row r="2078" spans="3:8" s="99" customFormat="1" x14ac:dyDescent="0.2">
      <c r="C2078" s="198"/>
      <c r="D2078" s="198"/>
      <c r="E2078" s="537"/>
      <c r="G2078" s="198"/>
      <c r="H2078" s="123"/>
    </row>
    <row r="2079" spans="3:8" s="99" customFormat="1" x14ac:dyDescent="0.2">
      <c r="C2079" s="198"/>
      <c r="D2079" s="198"/>
      <c r="E2079" s="537"/>
      <c r="G2079" s="198"/>
      <c r="H2079" s="123"/>
    </row>
    <row r="2080" spans="3:8" s="99" customFormat="1" x14ac:dyDescent="0.2">
      <c r="C2080" s="198"/>
      <c r="D2080" s="198"/>
      <c r="E2080" s="537"/>
      <c r="G2080" s="198"/>
      <c r="H2080" s="123"/>
    </row>
    <row r="2081" spans="3:8" s="99" customFormat="1" x14ac:dyDescent="0.2">
      <c r="C2081" s="198"/>
      <c r="D2081" s="198"/>
      <c r="E2081" s="537"/>
      <c r="G2081" s="198"/>
      <c r="H2081" s="123"/>
    </row>
    <row r="2082" spans="3:8" s="99" customFormat="1" x14ac:dyDescent="0.2">
      <c r="C2082" s="198"/>
      <c r="D2082" s="198"/>
      <c r="E2082" s="537"/>
      <c r="G2082" s="198"/>
      <c r="H2082" s="123"/>
    </row>
    <row r="2083" spans="3:8" s="99" customFormat="1" x14ac:dyDescent="0.2">
      <c r="C2083" s="198"/>
      <c r="D2083" s="198"/>
      <c r="E2083" s="537"/>
      <c r="G2083" s="198"/>
      <c r="H2083" s="123"/>
    </row>
    <row r="2084" spans="3:8" s="99" customFormat="1" x14ac:dyDescent="0.2">
      <c r="C2084" s="198"/>
      <c r="D2084" s="198"/>
      <c r="E2084" s="537"/>
      <c r="G2084" s="198"/>
      <c r="H2084" s="123"/>
    </row>
    <row r="2085" spans="3:8" s="99" customFormat="1" x14ac:dyDescent="0.2">
      <c r="C2085" s="198"/>
      <c r="D2085" s="198"/>
      <c r="E2085" s="537"/>
      <c r="G2085" s="198"/>
      <c r="H2085" s="123"/>
    </row>
    <row r="2086" spans="3:8" s="99" customFormat="1" x14ac:dyDescent="0.2">
      <c r="C2086" s="198"/>
      <c r="D2086" s="198"/>
      <c r="E2086" s="537"/>
      <c r="G2086" s="198"/>
      <c r="H2086" s="123"/>
    </row>
    <row r="2087" spans="3:8" s="99" customFormat="1" x14ac:dyDescent="0.2">
      <c r="C2087" s="198"/>
      <c r="D2087" s="198"/>
      <c r="E2087" s="537"/>
      <c r="G2087" s="198"/>
      <c r="H2087" s="123"/>
    </row>
    <row r="2088" spans="3:8" s="99" customFormat="1" x14ac:dyDescent="0.2">
      <c r="C2088" s="198"/>
      <c r="D2088" s="198"/>
      <c r="E2088" s="537"/>
      <c r="G2088" s="198"/>
      <c r="H2088" s="123"/>
    </row>
    <row r="2089" spans="3:8" s="99" customFormat="1" x14ac:dyDescent="0.2">
      <c r="C2089" s="198"/>
      <c r="D2089" s="198"/>
      <c r="E2089" s="537"/>
      <c r="G2089" s="198"/>
      <c r="H2089" s="123"/>
    </row>
    <row r="2090" spans="3:8" s="99" customFormat="1" x14ac:dyDescent="0.2">
      <c r="C2090" s="198"/>
      <c r="D2090" s="198"/>
      <c r="E2090" s="537"/>
      <c r="G2090" s="198"/>
      <c r="H2090" s="123"/>
    </row>
    <row r="2091" spans="3:8" s="99" customFormat="1" x14ac:dyDescent="0.2">
      <c r="C2091" s="198"/>
      <c r="D2091" s="198"/>
      <c r="E2091" s="537"/>
      <c r="G2091" s="198"/>
      <c r="H2091" s="123"/>
    </row>
    <row r="2092" spans="3:8" s="99" customFormat="1" x14ac:dyDescent="0.2">
      <c r="C2092" s="198"/>
      <c r="D2092" s="198"/>
      <c r="E2092" s="537"/>
      <c r="G2092" s="198"/>
      <c r="H2092" s="123"/>
    </row>
    <row r="2093" spans="3:8" s="99" customFormat="1" x14ac:dyDescent="0.2">
      <c r="C2093" s="198"/>
      <c r="D2093" s="198"/>
      <c r="E2093" s="537"/>
      <c r="G2093" s="198"/>
      <c r="H2093" s="123"/>
    </row>
    <row r="2094" spans="3:8" s="99" customFormat="1" x14ac:dyDescent="0.2">
      <c r="C2094" s="198"/>
      <c r="D2094" s="198"/>
      <c r="E2094" s="537"/>
      <c r="G2094" s="198"/>
      <c r="H2094" s="123"/>
    </row>
    <row r="2095" spans="3:8" s="99" customFormat="1" x14ac:dyDescent="0.2">
      <c r="C2095" s="198"/>
      <c r="D2095" s="198"/>
      <c r="E2095" s="537"/>
      <c r="G2095" s="198"/>
      <c r="H2095" s="123"/>
    </row>
    <row r="2096" spans="3:8" s="99" customFormat="1" x14ac:dyDescent="0.2">
      <c r="C2096" s="198"/>
      <c r="D2096" s="198"/>
      <c r="E2096" s="537"/>
      <c r="G2096" s="198"/>
      <c r="H2096" s="123"/>
    </row>
    <row r="2097" spans="3:8" s="99" customFormat="1" x14ac:dyDescent="0.2">
      <c r="C2097" s="198"/>
      <c r="D2097" s="198"/>
      <c r="E2097" s="537"/>
      <c r="G2097" s="198"/>
      <c r="H2097" s="123"/>
    </row>
    <row r="2098" spans="3:8" s="99" customFormat="1" x14ac:dyDescent="0.2">
      <c r="C2098" s="198"/>
      <c r="D2098" s="198"/>
      <c r="E2098" s="537"/>
      <c r="G2098" s="198"/>
      <c r="H2098" s="123"/>
    </row>
    <row r="2099" spans="3:8" s="99" customFormat="1" x14ac:dyDescent="0.2">
      <c r="C2099" s="198"/>
      <c r="D2099" s="198"/>
      <c r="E2099" s="537"/>
      <c r="G2099" s="198"/>
      <c r="H2099" s="123"/>
    </row>
    <row r="2100" spans="3:8" s="99" customFormat="1" x14ac:dyDescent="0.2">
      <c r="C2100" s="198"/>
      <c r="D2100" s="198"/>
      <c r="E2100" s="537"/>
      <c r="G2100" s="198"/>
      <c r="H2100" s="123"/>
    </row>
    <row r="2101" spans="3:8" s="99" customFormat="1" x14ac:dyDescent="0.2">
      <c r="C2101" s="198"/>
      <c r="D2101" s="198"/>
      <c r="E2101" s="537"/>
      <c r="G2101" s="198"/>
      <c r="H2101" s="123"/>
    </row>
    <row r="2102" spans="3:8" s="99" customFormat="1" x14ac:dyDescent="0.2">
      <c r="C2102" s="198"/>
      <c r="D2102" s="198"/>
      <c r="E2102" s="537"/>
      <c r="G2102" s="198"/>
      <c r="H2102" s="123"/>
    </row>
    <row r="2103" spans="3:8" s="99" customFormat="1" x14ac:dyDescent="0.2">
      <c r="C2103" s="198"/>
      <c r="D2103" s="198"/>
      <c r="E2103" s="537"/>
      <c r="G2103" s="198"/>
      <c r="H2103" s="123"/>
    </row>
    <row r="2104" spans="3:8" s="99" customFormat="1" x14ac:dyDescent="0.2">
      <c r="C2104" s="198"/>
      <c r="D2104" s="198"/>
      <c r="E2104" s="537"/>
      <c r="G2104" s="198"/>
      <c r="H2104" s="123"/>
    </row>
    <row r="2105" spans="3:8" s="99" customFormat="1" x14ac:dyDescent="0.2">
      <c r="C2105" s="198"/>
      <c r="D2105" s="198"/>
      <c r="E2105" s="537"/>
      <c r="G2105" s="198"/>
      <c r="H2105" s="123"/>
    </row>
    <row r="2106" spans="3:8" s="99" customFormat="1" x14ac:dyDescent="0.2">
      <c r="C2106" s="198"/>
      <c r="D2106" s="198"/>
      <c r="E2106" s="537"/>
      <c r="G2106" s="198"/>
      <c r="H2106" s="123"/>
    </row>
    <row r="2107" spans="3:8" s="99" customFormat="1" x14ac:dyDescent="0.2">
      <c r="C2107" s="198"/>
      <c r="D2107" s="198"/>
      <c r="E2107" s="537"/>
      <c r="G2107" s="198"/>
      <c r="H2107" s="123"/>
    </row>
    <row r="2108" spans="3:8" s="99" customFormat="1" x14ac:dyDescent="0.2">
      <c r="C2108" s="198"/>
      <c r="D2108" s="198"/>
      <c r="E2108" s="537"/>
      <c r="G2108" s="198"/>
      <c r="H2108" s="123"/>
    </row>
    <row r="2109" spans="3:8" s="99" customFormat="1" x14ac:dyDescent="0.2">
      <c r="C2109" s="198"/>
      <c r="D2109" s="198"/>
      <c r="E2109" s="537"/>
      <c r="G2109" s="198"/>
      <c r="H2109" s="123"/>
    </row>
    <row r="2110" spans="3:8" s="99" customFormat="1" x14ac:dyDescent="0.2">
      <c r="C2110" s="198"/>
      <c r="D2110" s="198"/>
      <c r="E2110" s="537"/>
      <c r="G2110" s="198"/>
      <c r="H2110" s="123"/>
    </row>
    <row r="2111" spans="3:8" s="99" customFormat="1" x14ac:dyDescent="0.2">
      <c r="C2111" s="198"/>
      <c r="D2111" s="198"/>
      <c r="E2111" s="537"/>
      <c r="G2111" s="198"/>
      <c r="H2111" s="123"/>
    </row>
    <row r="2112" spans="3:8" s="99" customFormat="1" x14ac:dyDescent="0.2">
      <c r="C2112" s="198"/>
      <c r="D2112" s="198"/>
      <c r="E2112" s="537"/>
      <c r="G2112" s="198"/>
      <c r="H2112" s="123"/>
    </row>
    <row r="2113" spans="3:8" s="99" customFormat="1" x14ac:dyDescent="0.2">
      <c r="C2113" s="198"/>
      <c r="D2113" s="198"/>
      <c r="E2113" s="537"/>
      <c r="G2113" s="198"/>
      <c r="H2113" s="123"/>
    </row>
    <row r="2114" spans="3:8" s="99" customFormat="1" x14ac:dyDescent="0.2">
      <c r="C2114" s="198"/>
      <c r="D2114" s="198"/>
      <c r="E2114" s="537"/>
      <c r="G2114" s="198"/>
      <c r="H2114" s="123"/>
    </row>
    <row r="2115" spans="3:8" s="99" customFormat="1" x14ac:dyDescent="0.2">
      <c r="C2115" s="198"/>
      <c r="D2115" s="198"/>
      <c r="E2115" s="537"/>
      <c r="G2115" s="198"/>
      <c r="H2115" s="123"/>
    </row>
    <row r="2116" spans="3:8" s="99" customFormat="1" x14ac:dyDescent="0.2">
      <c r="C2116" s="198"/>
      <c r="D2116" s="198"/>
      <c r="E2116" s="537"/>
      <c r="G2116" s="198"/>
      <c r="H2116" s="123"/>
    </row>
    <row r="2117" spans="3:8" s="99" customFormat="1" x14ac:dyDescent="0.2">
      <c r="C2117" s="198"/>
      <c r="D2117" s="198"/>
      <c r="E2117" s="537"/>
      <c r="G2117" s="198"/>
      <c r="H2117" s="123"/>
    </row>
    <row r="2118" spans="3:8" s="99" customFormat="1" x14ac:dyDescent="0.2">
      <c r="C2118" s="198"/>
      <c r="D2118" s="198"/>
      <c r="E2118" s="537"/>
      <c r="G2118" s="198"/>
      <c r="H2118" s="123"/>
    </row>
    <row r="2119" spans="3:8" s="99" customFormat="1" x14ac:dyDescent="0.2">
      <c r="C2119" s="198"/>
      <c r="D2119" s="198"/>
      <c r="E2119" s="537"/>
      <c r="G2119" s="198"/>
      <c r="H2119" s="123"/>
    </row>
    <row r="2120" spans="3:8" s="99" customFormat="1" x14ac:dyDescent="0.2">
      <c r="C2120" s="198"/>
      <c r="D2120" s="198"/>
      <c r="E2120" s="537"/>
      <c r="G2120" s="198"/>
      <c r="H2120" s="123"/>
    </row>
    <row r="2121" spans="3:8" s="99" customFormat="1" x14ac:dyDescent="0.2">
      <c r="C2121" s="198"/>
      <c r="D2121" s="198"/>
      <c r="E2121" s="537"/>
      <c r="G2121" s="198"/>
      <c r="H2121" s="123"/>
    </row>
    <row r="2122" spans="3:8" s="99" customFormat="1" x14ac:dyDescent="0.2">
      <c r="C2122" s="198"/>
      <c r="D2122" s="198"/>
      <c r="E2122" s="537"/>
      <c r="G2122" s="198"/>
      <c r="H2122" s="123"/>
    </row>
    <row r="2123" spans="3:8" s="99" customFormat="1" x14ac:dyDescent="0.2">
      <c r="C2123" s="198"/>
      <c r="D2123" s="198"/>
      <c r="E2123" s="537"/>
      <c r="G2123" s="198"/>
      <c r="H2123" s="123"/>
    </row>
    <row r="2124" spans="3:8" s="99" customFormat="1" x14ac:dyDescent="0.2">
      <c r="C2124" s="198"/>
      <c r="D2124" s="198"/>
      <c r="E2124" s="537"/>
      <c r="G2124" s="198"/>
      <c r="H2124" s="123"/>
    </row>
    <row r="2125" spans="3:8" s="99" customFormat="1" x14ac:dyDescent="0.2">
      <c r="C2125" s="198"/>
      <c r="D2125" s="198"/>
      <c r="E2125" s="537"/>
      <c r="G2125" s="198"/>
      <c r="H2125" s="123"/>
    </row>
    <row r="2126" spans="3:8" s="99" customFormat="1" x14ac:dyDescent="0.2">
      <c r="C2126" s="198"/>
      <c r="D2126" s="198"/>
      <c r="E2126" s="537"/>
      <c r="G2126" s="198"/>
      <c r="H2126" s="123"/>
    </row>
    <row r="2127" spans="3:8" s="99" customFormat="1" x14ac:dyDescent="0.2">
      <c r="C2127" s="198"/>
      <c r="D2127" s="198"/>
      <c r="E2127" s="537"/>
      <c r="G2127" s="198"/>
      <c r="H2127" s="123"/>
    </row>
    <row r="2128" spans="3:8" s="99" customFormat="1" x14ac:dyDescent="0.2">
      <c r="C2128" s="198"/>
      <c r="D2128" s="198"/>
      <c r="E2128" s="537"/>
      <c r="G2128" s="198"/>
      <c r="H2128" s="123"/>
    </row>
    <row r="2129" spans="3:8" s="99" customFormat="1" x14ac:dyDescent="0.2">
      <c r="C2129" s="198"/>
      <c r="D2129" s="198"/>
      <c r="E2129" s="537"/>
      <c r="G2129" s="198"/>
      <c r="H2129" s="123"/>
    </row>
    <row r="2130" spans="3:8" s="99" customFormat="1" x14ac:dyDescent="0.2">
      <c r="C2130" s="198"/>
      <c r="D2130" s="198"/>
      <c r="E2130" s="537"/>
      <c r="G2130" s="198"/>
      <c r="H2130" s="123"/>
    </row>
    <row r="2131" spans="3:8" s="99" customFormat="1" x14ac:dyDescent="0.2">
      <c r="C2131" s="198"/>
      <c r="D2131" s="198"/>
      <c r="E2131" s="537"/>
      <c r="G2131" s="198"/>
      <c r="H2131" s="123"/>
    </row>
    <row r="2132" spans="3:8" s="99" customFormat="1" x14ac:dyDescent="0.2">
      <c r="C2132" s="198"/>
      <c r="D2132" s="198"/>
      <c r="E2132" s="537"/>
      <c r="G2132" s="198"/>
      <c r="H2132" s="123"/>
    </row>
    <row r="2133" spans="3:8" s="99" customFormat="1" x14ac:dyDescent="0.2">
      <c r="C2133" s="198"/>
      <c r="D2133" s="198"/>
      <c r="E2133" s="537"/>
      <c r="G2133" s="198"/>
      <c r="H2133" s="123"/>
    </row>
    <row r="2134" spans="3:8" s="99" customFormat="1" x14ac:dyDescent="0.2">
      <c r="C2134" s="198"/>
      <c r="D2134" s="198"/>
      <c r="E2134" s="537"/>
      <c r="G2134" s="198"/>
      <c r="H2134" s="123"/>
    </row>
    <row r="2135" spans="3:8" s="99" customFormat="1" x14ac:dyDescent="0.2">
      <c r="C2135" s="198"/>
      <c r="D2135" s="198"/>
      <c r="E2135" s="537"/>
      <c r="G2135" s="198"/>
      <c r="H2135" s="123"/>
    </row>
    <row r="2136" spans="3:8" s="99" customFormat="1" x14ac:dyDescent="0.2">
      <c r="C2136" s="198"/>
      <c r="D2136" s="198"/>
      <c r="E2136" s="537"/>
      <c r="G2136" s="198"/>
      <c r="H2136" s="123"/>
    </row>
    <row r="2137" spans="3:8" s="99" customFormat="1" x14ac:dyDescent="0.2">
      <c r="C2137" s="198"/>
      <c r="D2137" s="198"/>
      <c r="E2137" s="537"/>
      <c r="G2137" s="198"/>
      <c r="H2137" s="123"/>
    </row>
    <row r="2138" spans="3:8" s="99" customFormat="1" x14ac:dyDescent="0.2">
      <c r="C2138" s="198"/>
      <c r="D2138" s="198"/>
      <c r="E2138" s="537"/>
      <c r="G2138" s="198"/>
      <c r="H2138" s="123"/>
    </row>
    <row r="2139" spans="3:8" s="99" customFormat="1" x14ac:dyDescent="0.2">
      <c r="C2139" s="198"/>
      <c r="D2139" s="198"/>
      <c r="E2139" s="537"/>
      <c r="G2139" s="198"/>
      <c r="H2139" s="123"/>
    </row>
    <row r="2140" spans="3:8" s="99" customFormat="1" x14ac:dyDescent="0.2">
      <c r="C2140" s="198"/>
      <c r="D2140" s="198"/>
      <c r="E2140" s="537"/>
      <c r="G2140" s="198"/>
      <c r="H2140" s="123"/>
    </row>
    <row r="2141" spans="3:8" s="99" customFormat="1" x14ac:dyDescent="0.2">
      <c r="C2141" s="198"/>
      <c r="D2141" s="198"/>
      <c r="E2141" s="537"/>
      <c r="G2141" s="198"/>
      <c r="H2141" s="123"/>
    </row>
    <row r="2142" spans="3:8" s="99" customFormat="1" x14ac:dyDescent="0.2">
      <c r="C2142" s="198"/>
      <c r="D2142" s="198"/>
      <c r="E2142" s="537"/>
      <c r="G2142" s="198"/>
      <c r="H2142" s="123"/>
    </row>
    <row r="2143" spans="3:8" s="99" customFormat="1" x14ac:dyDescent="0.2">
      <c r="C2143" s="198"/>
      <c r="D2143" s="198"/>
      <c r="E2143" s="537"/>
      <c r="G2143" s="198"/>
      <c r="H2143" s="123"/>
    </row>
    <row r="2144" spans="3:8" s="99" customFormat="1" x14ac:dyDescent="0.2">
      <c r="C2144" s="198"/>
      <c r="D2144" s="198"/>
      <c r="E2144" s="537"/>
      <c r="G2144" s="198"/>
      <c r="H2144" s="123"/>
    </row>
    <row r="2145" spans="3:8" s="99" customFormat="1" x14ac:dyDescent="0.2">
      <c r="C2145" s="198"/>
      <c r="D2145" s="198"/>
      <c r="E2145" s="537"/>
      <c r="G2145" s="198"/>
      <c r="H2145" s="123"/>
    </row>
    <row r="2146" spans="3:8" s="99" customFormat="1" x14ac:dyDescent="0.2">
      <c r="C2146" s="198"/>
      <c r="D2146" s="198"/>
      <c r="E2146" s="537"/>
      <c r="G2146" s="198"/>
      <c r="H2146" s="123"/>
    </row>
    <row r="2147" spans="3:8" s="99" customFormat="1" x14ac:dyDescent="0.2">
      <c r="C2147" s="198"/>
      <c r="D2147" s="198"/>
      <c r="E2147" s="537"/>
      <c r="G2147" s="198"/>
      <c r="H2147" s="123"/>
    </row>
    <row r="2148" spans="3:8" s="99" customFormat="1" x14ac:dyDescent="0.2">
      <c r="C2148" s="198"/>
      <c r="D2148" s="198"/>
      <c r="E2148" s="537"/>
      <c r="G2148" s="198"/>
      <c r="H2148" s="123"/>
    </row>
    <row r="2149" spans="3:8" s="99" customFormat="1" x14ac:dyDescent="0.2">
      <c r="C2149" s="198"/>
      <c r="D2149" s="198"/>
      <c r="E2149" s="537"/>
      <c r="G2149" s="198"/>
      <c r="H2149" s="123"/>
    </row>
    <row r="2150" spans="3:8" s="99" customFormat="1" x14ac:dyDescent="0.2">
      <c r="C2150" s="198"/>
      <c r="D2150" s="198"/>
      <c r="E2150" s="537"/>
      <c r="G2150" s="198"/>
      <c r="H2150" s="123"/>
    </row>
    <row r="2151" spans="3:8" s="99" customFormat="1" x14ac:dyDescent="0.2">
      <c r="C2151" s="198"/>
      <c r="D2151" s="198"/>
      <c r="E2151" s="537"/>
      <c r="G2151" s="198"/>
      <c r="H2151" s="123"/>
    </row>
    <row r="2152" spans="3:8" s="99" customFormat="1" x14ac:dyDescent="0.2">
      <c r="C2152" s="198"/>
      <c r="D2152" s="198"/>
      <c r="E2152" s="537"/>
      <c r="G2152" s="198"/>
      <c r="H2152" s="123"/>
    </row>
    <row r="2153" spans="3:8" s="99" customFormat="1" x14ac:dyDescent="0.2">
      <c r="C2153" s="198"/>
      <c r="D2153" s="198"/>
      <c r="E2153" s="537"/>
      <c r="G2153" s="198"/>
      <c r="H2153" s="123"/>
    </row>
    <row r="2154" spans="3:8" s="99" customFormat="1" x14ac:dyDescent="0.2">
      <c r="C2154" s="198"/>
      <c r="D2154" s="198"/>
      <c r="E2154" s="537"/>
      <c r="G2154" s="198"/>
      <c r="H2154" s="123"/>
    </row>
    <row r="2155" spans="3:8" s="99" customFormat="1" x14ac:dyDescent="0.2">
      <c r="C2155" s="198"/>
      <c r="D2155" s="198"/>
      <c r="E2155" s="537"/>
      <c r="G2155" s="198"/>
      <c r="H2155" s="123"/>
    </row>
    <row r="2156" spans="3:8" s="99" customFormat="1" x14ac:dyDescent="0.2">
      <c r="C2156" s="198"/>
      <c r="D2156" s="198"/>
      <c r="E2156" s="537"/>
      <c r="G2156" s="198"/>
      <c r="H2156" s="123"/>
    </row>
    <row r="2157" spans="3:8" s="99" customFormat="1" x14ac:dyDescent="0.2">
      <c r="C2157" s="198"/>
      <c r="D2157" s="198"/>
      <c r="E2157" s="537"/>
      <c r="G2157" s="198"/>
      <c r="H2157" s="123"/>
    </row>
    <row r="2158" spans="3:8" s="99" customFormat="1" x14ac:dyDescent="0.2">
      <c r="C2158" s="198"/>
      <c r="D2158" s="198"/>
      <c r="E2158" s="537"/>
      <c r="G2158" s="198"/>
      <c r="H2158" s="123"/>
    </row>
    <row r="2159" spans="3:8" s="99" customFormat="1" x14ac:dyDescent="0.2">
      <c r="C2159" s="198"/>
      <c r="D2159" s="198"/>
      <c r="E2159" s="537"/>
      <c r="G2159" s="198"/>
      <c r="H2159" s="123"/>
    </row>
    <row r="2160" spans="3:8" s="99" customFormat="1" x14ac:dyDescent="0.2">
      <c r="C2160" s="198"/>
      <c r="D2160" s="198"/>
      <c r="E2160" s="537"/>
      <c r="G2160" s="198"/>
      <c r="H2160" s="123"/>
    </row>
    <row r="2161" spans="3:8" s="99" customFormat="1" x14ac:dyDescent="0.2">
      <c r="C2161" s="198"/>
      <c r="D2161" s="198"/>
      <c r="E2161" s="537"/>
      <c r="G2161" s="198"/>
      <c r="H2161" s="123"/>
    </row>
    <row r="2162" spans="3:8" s="99" customFormat="1" x14ac:dyDescent="0.2">
      <c r="C2162" s="198"/>
      <c r="D2162" s="198"/>
      <c r="E2162" s="537"/>
      <c r="G2162" s="198"/>
      <c r="H2162" s="123"/>
    </row>
    <row r="2163" spans="3:8" s="99" customFormat="1" x14ac:dyDescent="0.2">
      <c r="C2163" s="198"/>
      <c r="D2163" s="198"/>
      <c r="E2163" s="537"/>
      <c r="G2163" s="198"/>
      <c r="H2163" s="123"/>
    </row>
    <row r="2164" spans="3:8" s="99" customFormat="1" x14ac:dyDescent="0.2">
      <c r="C2164" s="198"/>
      <c r="D2164" s="198"/>
      <c r="E2164" s="537"/>
      <c r="G2164" s="198"/>
      <c r="H2164" s="123"/>
    </row>
    <row r="2165" spans="3:8" s="99" customFormat="1" x14ac:dyDescent="0.2">
      <c r="C2165" s="198"/>
      <c r="D2165" s="198"/>
      <c r="E2165" s="537"/>
      <c r="G2165" s="198"/>
      <c r="H2165" s="123"/>
    </row>
    <row r="2166" spans="3:8" s="99" customFormat="1" x14ac:dyDescent="0.2">
      <c r="C2166" s="198"/>
      <c r="D2166" s="198"/>
      <c r="E2166" s="537"/>
      <c r="G2166" s="198"/>
      <c r="H2166" s="123"/>
    </row>
    <row r="2167" spans="3:8" s="99" customFormat="1" x14ac:dyDescent="0.2">
      <c r="C2167" s="198"/>
      <c r="D2167" s="198"/>
      <c r="E2167" s="537"/>
      <c r="G2167" s="198"/>
      <c r="H2167" s="123"/>
    </row>
    <row r="2168" spans="3:8" s="99" customFormat="1" x14ac:dyDescent="0.2">
      <c r="C2168" s="198"/>
      <c r="D2168" s="198"/>
      <c r="E2168" s="537"/>
      <c r="G2168" s="198"/>
      <c r="H2168" s="123"/>
    </row>
    <row r="2169" spans="3:8" s="99" customFormat="1" x14ac:dyDescent="0.2">
      <c r="C2169" s="198"/>
      <c r="D2169" s="198"/>
      <c r="E2169" s="537"/>
      <c r="G2169" s="198"/>
      <c r="H2169" s="123"/>
    </row>
    <row r="2170" spans="3:8" s="99" customFormat="1" x14ac:dyDescent="0.2">
      <c r="C2170" s="198"/>
      <c r="D2170" s="198"/>
      <c r="E2170" s="537"/>
      <c r="G2170" s="198"/>
      <c r="H2170" s="123"/>
    </row>
    <row r="2171" spans="3:8" s="99" customFormat="1" x14ac:dyDescent="0.2">
      <c r="C2171" s="198"/>
      <c r="D2171" s="198"/>
      <c r="E2171" s="537"/>
      <c r="G2171" s="198"/>
      <c r="H2171" s="123"/>
    </row>
    <row r="2172" spans="3:8" s="99" customFormat="1" x14ac:dyDescent="0.2">
      <c r="C2172" s="198"/>
      <c r="D2172" s="198"/>
      <c r="E2172" s="537"/>
      <c r="G2172" s="198"/>
      <c r="H2172" s="123"/>
    </row>
    <row r="2173" spans="3:8" s="99" customFormat="1" x14ac:dyDescent="0.2">
      <c r="C2173" s="198"/>
      <c r="D2173" s="198"/>
      <c r="E2173" s="537"/>
      <c r="G2173" s="198"/>
      <c r="H2173" s="123"/>
    </row>
    <row r="2174" spans="3:8" s="99" customFormat="1" x14ac:dyDescent="0.2">
      <c r="C2174" s="198"/>
      <c r="D2174" s="198"/>
      <c r="E2174" s="537"/>
      <c r="G2174" s="198"/>
      <c r="H2174" s="123"/>
    </row>
    <row r="2175" spans="3:8" s="99" customFormat="1" x14ac:dyDescent="0.2">
      <c r="C2175" s="198"/>
      <c r="D2175" s="198"/>
      <c r="E2175" s="537"/>
      <c r="G2175" s="198"/>
      <c r="H2175" s="123"/>
    </row>
    <row r="2176" spans="3:8" s="99" customFormat="1" x14ac:dyDescent="0.2">
      <c r="C2176" s="198"/>
      <c r="D2176" s="198"/>
      <c r="E2176" s="537"/>
      <c r="G2176" s="198"/>
      <c r="H2176" s="123"/>
    </row>
    <row r="2177" spans="3:8" s="99" customFormat="1" x14ac:dyDescent="0.2">
      <c r="C2177" s="198"/>
      <c r="D2177" s="198"/>
      <c r="E2177" s="537"/>
      <c r="G2177" s="198"/>
      <c r="H2177" s="123"/>
    </row>
    <row r="2178" spans="3:8" s="99" customFormat="1" x14ac:dyDescent="0.2">
      <c r="C2178" s="198"/>
      <c r="D2178" s="198"/>
      <c r="E2178" s="537"/>
      <c r="G2178" s="198"/>
      <c r="H2178" s="123"/>
    </row>
    <row r="2179" spans="3:8" s="99" customFormat="1" x14ac:dyDescent="0.2">
      <c r="C2179" s="198"/>
      <c r="D2179" s="198"/>
      <c r="E2179" s="537"/>
      <c r="G2179" s="198"/>
      <c r="H2179" s="123"/>
    </row>
    <row r="2180" spans="3:8" s="99" customFormat="1" x14ac:dyDescent="0.2">
      <c r="C2180" s="198"/>
      <c r="D2180" s="198"/>
      <c r="E2180" s="537"/>
      <c r="G2180" s="198"/>
      <c r="H2180" s="123"/>
    </row>
    <row r="2181" spans="3:8" s="99" customFormat="1" x14ac:dyDescent="0.2">
      <c r="C2181" s="198"/>
      <c r="D2181" s="198"/>
      <c r="E2181" s="537"/>
      <c r="G2181" s="198"/>
      <c r="H2181" s="123"/>
    </row>
    <row r="2182" spans="3:8" s="99" customFormat="1" x14ac:dyDescent="0.2">
      <c r="C2182" s="198"/>
      <c r="D2182" s="198"/>
      <c r="E2182" s="537"/>
      <c r="G2182" s="198"/>
      <c r="H2182" s="123"/>
    </row>
    <row r="2183" spans="3:8" s="99" customFormat="1" x14ac:dyDescent="0.2">
      <c r="C2183" s="198"/>
      <c r="D2183" s="198"/>
      <c r="E2183" s="537"/>
      <c r="G2183" s="198"/>
      <c r="H2183" s="123"/>
    </row>
    <row r="2184" spans="3:8" s="99" customFormat="1" x14ac:dyDescent="0.2">
      <c r="C2184" s="198"/>
      <c r="D2184" s="198"/>
      <c r="E2184" s="537"/>
      <c r="G2184" s="198"/>
      <c r="H2184" s="123"/>
    </row>
    <row r="2185" spans="3:8" s="99" customFormat="1" x14ac:dyDescent="0.2">
      <c r="C2185" s="198"/>
      <c r="D2185" s="198"/>
      <c r="E2185" s="537"/>
      <c r="G2185" s="198"/>
      <c r="H2185" s="123"/>
    </row>
    <row r="2186" spans="3:8" s="99" customFormat="1" x14ac:dyDescent="0.2">
      <c r="C2186" s="198"/>
      <c r="D2186" s="198"/>
      <c r="E2186" s="537"/>
      <c r="G2186" s="198"/>
      <c r="H2186" s="123"/>
    </row>
    <row r="2187" spans="3:8" s="99" customFormat="1" x14ac:dyDescent="0.2">
      <c r="C2187" s="198"/>
      <c r="D2187" s="198"/>
      <c r="E2187" s="537"/>
      <c r="G2187" s="198"/>
      <c r="H2187" s="123"/>
    </row>
    <row r="2188" spans="3:8" s="99" customFormat="1" x14ac:dyDescent="0.2">
      <c r="C2188" s="198"/>
      <c r="D2188" s="198"/>
      <c r="E2188" s="537"/>
      <c r="G2188" s="198"/>
      <c r="H2188" s="123"/>
    </row>
    <row r="2189" spans="3:8" s="99" customFormat="1" x14ac:dyDescent="0.2">
      <c r="C2189" s="198"/>
      <c r="D2189" s="198"/>
      <c r="E2189" s="537"/>
      <c r="G2189" s="198"/>
      <c r="H2189" s="123"/>
    </row>
    <row r="2190" spans="3:8" s="99" customFormat="1" x14ac:dyDescent="0.2">
      <c r="C2190" s="198"/>
      <c r="D2190" s="198"/>
      <c r="E2190" s="537"/>
      <c r="G2190" s="198"/>
      <c r="H2190" s="123"/>
    </row>
    <row r="2191" spans="3:8" s="99" customFormat="1" x14ac:dyDescent="0.2">
      <c r="C2191" s="198"/>
      <c r="D2191" s="198"/>
      <c r="E2191" s="537"/>
      <c r="G2191" s="198"/>
      <c r="H2191" s="123"/>
    </row>
    <row r="2192" spans="3:8" s="99" customFormat="1" x14ac:dyDescent="0.2">
      <c r="C2192" s="198"/>
      <c r="D2192" s="198"/>
      <c r="E2192" s="537"/>
      <c r="G2192" s="198"/>
      <c r="H2192" s="123"/>
    </row>
    <row r="2193" spans="3:8" s="99" customFormat="1" x14ac:dyDescent="0.2">
      <c r="C2193" s="198"/>
      <c r="D2193" s="198"/>
      <c r="E2193" s="537"/>
      <c r="G2193" s="198"/>
      <c r="H2193" s="123"/>
    </row>
    <row r="2194" spans="3:8" s="99" customFormat="1" x14ac:dyDescent="0.2">
      <c r="C2194" s="198"/>
      <c r="D2194" s="198"/>
      <c r="E2194" s="537"/>
      <c r="G2194" s="198"/>
      <c r="H2194" s="123"/>
    </row>
    <row r="2195" spans="3:8" s="99" customFormat="1" x14ac:dyDescent="0.2">
      <c r="C2195" s="198"/>
      <c r="D2195" s="198"/>
      <c r="E2195" s="537"/>
      <c r="G2195" s="198"/>
      <c r="H2195" s="123"/>
    </row>
    <row r="2196" spans="3:8" s="99" customFormat="1" x14ac:dyDescent="0.2">
      <c r="C2196" s="198"/>
      <c r="D2196" s="198"/>
      <c r="E2196" s="537"/>
      <c r="G2196" s="198"/>
      <c r="H2196" s="123"/>
    </row>
    <row r="2197" spans="3:8" s="99" customFormat="1" x14ac:dyDescent="0.2">
      <c r="C2197" s="198"/>
      <c r="D2197" s="198"/>
      <c r="E2197" s="537"/>
      <c r="G2197" s="198"/>
      <c r="H2197" s="123"/>
    </row>
    <row r="2198" spans="3:8" s="99" customFormat="1" x14ac:dyDescent="0.2">
      <c r="C2198" s="198"/>
      <c r="D2198" s="198"/>
      <c r="E2198" s="537"/>
      <c r="G2198" s="198"/>
      <c r="H2198" s="123"/>
    </row>
    <row r="2199" spans="3:8" s="99" customFormat="1" x14ac:dyDescent="0.2">
      <c r="C2199" s="198"/>
      <c r="D2199" s="198"/>
      <c r="E2199" s="537"/>
      <c r="G2199" s="198"/>
      <c r="H2199" s="123"/>
    </row>
    <row r="2200" spans="3:8" s="99" customFormat="1" x14ac:dyDescent="0.2">
      <c r="C2200" s="198"/>
      <c r="D2200" s="198"/>
      <c r="E2200" s="537"/>
      <c r="G2200" s="198"/>
      <c r="H2200" s="123"/>
    </row>
    <row r="2201" spans="3:8" s="99" customFormat="1" x14ac:dyDescent="0.2">
      <c r="C2201" s="198"/>
      <c r="D2201" s="198"/>
      <c r="E2201" s="537"/>
      <c r="G2201" s="198"/>
      <c r="H2201" s="123"/>
    </row>
    <row r="2202" spans="3:8" s="99" customFormat="1" x14ac:dyDescent="0.2">
      <c r="C2202" s="198"/>
      <c r="D2202" s="198"/>
      <c r="E2202" s="537"/>
      <c r="G2202" s="198"/>
      <c r="H2202" s="123"/>
    </row>
    <row r="2203" spans="3:8" s="99" customFormat="1" x14ac:dyDescent="0.2">
      <c r="C2203" s="198"/>
      <c r="D2203" s="198"/>
      <c r="E2203" s="537"/>
      <c r="G2203" s="198"/>
      <c r="H2203" s="123"/>
    </row>
    <row r="2204" spans="3:8" s="99" customFormat="1" x14ac:dyDescent="0.2">
      <c r="C2204" s="198"/>
      <c r="D2204" s="198"/>
      <c r="E2204" s="537"/>
      <c r="G2204" s="198"/>
      <c r="H2204" s="123"/>
    </row>
    <row r="2205" spans="3:8" s="99" customFormat="1" x14ac:dyDescent="0.2">
      <c r="C2205" s="198"/>
      <c r="D2205" s="198"/>
      <c r="E2205" s="537"/>
      <c r="G2205" s="198"/>
      <c r="H2205" s="123"/>
    </row>
    <row r="2206" spans="3:8" s="99" customFormat="1" x14ac:dyDescent="0.2">
      <c r="C2206" s="198"/>
      <c r="D2206" s="198"/>
      <c r="E2206" s="537"/>
      <c r="G2206" s="198"/>
      <c r="H2206" s="123"/>
    </row>
    <row r="2207" spans="3:8" s="99" customFormat="1" x14ac:dyDescent="0.2">
      <c r="C2207" s="198"/>
      <c r="D2207" s="198"/>
      <c r="E2207" s="537"/>
      <c r="G2207" s="198"/>
      <c r="H2207" s="123"/>
    </row>
    <row r="2208" spans="3:8" s="99" customFormat="1" x14ac:dyDescent="0.2">
      <c r="C2208" s="198"/>
      <c r="D2208" s="198"/>
      <c r="E2208" s="537"/>
      <c r="G2208" s="198"/>
      <c r="H2208" s="123"/>
    </row>
    <row r="2209" spans="3:8" s="99" customFormat="1" x14ac:dyDescent="0.2">
      <c r="C2209" s="198"/>
      <c r="D2209" s="198"/>
      <c r="E2209" s="537"/>
      <c r="G2209" s="198"/>
      <c r="H2209" s="123"/>
    </row>
    <row r="2210" spans="3:8" s="99" customFormat="1" x14ac:dyDescent="0.2">
      <c r="C2210" s="198"/>
      <c r="D2210" s="198"/>
      <c r="E2210" s="537"/>
      <c r="G2210" s="198"/>
      <c r="H2210" s="123"/>
    </row>
    <row r="2211" spans="3:8" s="99" customFormat="1" x14ac:dyDescent="0.2">
      <c r="C2211" s="198"/>
      <c r="D2211" s="198"/>
      <c r="E2211" s="537"/>
      <c r="G2211" s="198"/>
      <c r="H2211" s="123"/>
    </row>
    <row r="2212" spans="3:8" s="99" customFormat="1" x14ac:dyDescent="0.2">
      <c r="C2212" s="198"/>
      <c r="D2212" s="198"/>
      <c r="E2212" s="537"/>
      <c r="G2212" s="198"/>
      <c r="H2212" s="123"/>
    </row>
    <row r="2213" spans="3:8" s="99" customFormat="1" x14ac:dyDescent="0.2">
      <c r="C2213" s="198"/>
      <c r="D2213" s="198"/>
      <c r="E2213" s="537"/>
      <c r="G2213" s="198"/>
      <c r="H2213" s="123"/>
    </row>
    <row r="2214" spans="3:8" s="99" customFormat="1" x14ac:dyDescent="0.2">
      <c r="C2214" s="198"/>
      <c r="D2214" s="198"/>
      <c r="E2214" s="537"/>
      <c r="G2214" s="198"/>
      <c r="H2214" s="123"/>
    </row>
    <row r="2215" spans="3:8" s="99" customFormat="1" x14ac:dyDescent="0.2">
      <c r="C2215" s="198"/>
      <c r="D2215" s="198"/>
      <c r="E2215" s="537"/>
      <c r="G2215" s="198"/>
      <c r="H2215" s="123"/>
    </row>
    <row r="2216" spans="3:8" s="99" customFormat="1" x14ac:dyDescent="0.2">
      <c r="C2216" s="198"/>
      <c r="D2216" s="198"/>
      <c r="E2216" s="537"/>
      <c r="G2216" s="198"/>
      <c r="H2216" s="123"/>
    </row>
    <row r="2217" spans="3:8" s="99" customFormat="1" x14ac:dyDescent="0.2">
      <c r="C2217" s="198"/>
      <c r="D2217" s="198"/>
      <c r="E2217" s="537"/>
      <c r="G2217" s="198"/>
      <c r="H2217" s="123"/>
    </row>
    <row r="2218" spans="3:8" s="99" customFormat="1" x14ac:dyDescent="0.2">
      <c r="C2218" s="198"/>
      <c r="D2218" s="198"/>
      <c r="E2218" s="537"/>
      <c r="G2218" s="198"/>
      <c r="H2218" s="123"/>
    </row>
    <row r="2219" spans="3:8" s="99" customFormat="1" x14ac:dyDescent="0.2">
      <c r="C2219" s="198"/>
      <c r="D2219" s="198"/>
      <c r="E2219" s="537"/>
      <c r="G2219" s="198"/>
      <c r="H2219" s="123"/>
    </row>
    <row r="2220" spans="3:8" s="99" customFormat="1" x14ac:dyDescent="0.2">
      <c r="C2220" s="198"/>
      <c r="D2220" s="198"/>
      <c r="E2220" s="537"/>
      <c r="G2220" s="198"/>
      <c r="H2220" s="123"/>
    </row>
    <row r="2221" spans="3:8" s="99" customFormat="1" x14ac:dyDescent="0.2">
      <c r="C2221" s="198"/>
      <c r="D2221" s="198"/>
      <c r="E2221" s="537"/>
      <c r="G2221" s="198"/>
      <c r="H2221" s="123"/>
    </row>
    <row r="2222" spans="3:8" s="99" customFormat="1" x14ac:dyDescent="0.2">
      <c r="C2222" s="198"/>
      <c r="D2222" s="198"/>
      <c r="E2222" s="537"/>
      <c r="G2222" s="198"/>
      <c r="H2222" s="123"/>
    </row>
    <row r="2223" spans="3:8" s="99" customFormat="1" x14ac:dyDescent="0.2">
      <c r="C2223" s="198"/>
      <c r="D2223" s="198"/>
      <c r="E2223" s="537"/>
      <c r="G2223" s="198"/>
      <c r="H2223" s="123"/>
    </row>
    <row r="2224" spans="3:8" s="99" customFormat="1" x14ac:dyDescent="0.2">
      <c r="C2224" s="198"/>
      <c r="D2224" s="198"/>
      <c r="E2224" s="537"/>
      <c r="G2224" s="198"/>
      <c r="H2224" s="123"/>
    </row>
    <row r="2225" spans="3:8" s="99" customFormat="1" x14ac:dyDescent="0.2">
      <c r="C2225" s="198"/>
      <c r="D2225" s="198"/>
      <c r="E2225" s="537"/>
      <c r="G2225" s="198"/>
      <c r="H2225" s="123"/>
    </row>
    <row r="2226" spans="3:8" s="99" customFormat="1" x14ac:dyDescent="0.2">
      <c r="C2226" s="198"/>
      <c r="D2226" s="198"/>
      <c r="E2226" s="537"/>
      <c r="G2226" s="198"/>
      <c r="H2226" s="123"/>
    </row>
    <row r="2227" spans="3:8" s="99" customFormat="1" x14ac:dyDescent="0.2">
      <c r="C2227" s="198"/>
      <c r="D2227" s="198"/>
      <c r="E2227" s="537"/>
      <c r="G2227" s="198"/>
      <c r="H2227" s="123"/>
    </row>
    <row r="2228" spans="3:8" s="99" customFormat="1" x14ac:dyDescent="0.2">
      <c r="C2228" s="198"/>
      <c r="D2228" s="198"/>
      <c r="E2228" s="537"/>
      <c r="G2228" s="198"/>
      <c r="H2228" s="123"/>
    </row>
    <row r="2229" spans="3:8" s="99" customFormat="1" x14ac:dyDescent="0.2">
      <c r="C2229" s="198"/>
      <c r="D2229" s="198"/>
      <c r="E2229" s="537"/>
      <c r="G2229" s="198"/>
      <c r="H2229" s="123"/>
    </row>
    <row r="2230" spans="3:8" s="99" customFormat="1" x14ac:dyDescent="0.2">
      <c r="C2230" s="198"/>
      <c r="D2230" s="198"/>
      <c r="E2230" s="537"/>
      <c r="G2230" s="198"/>
      <c r="H2230" s="123"/>
    </row>
    <row r="2231" spans="3:8" s="99" customFormat="1" x14ac:dyDescent="0.2">
      <c r="C2231" s="198"/>
      <c r="D2231" s="198"/>
      <c r="E2231" s="537"/>
      <c r="G2231" s="198"/>
      <c r="H2231" s="123"/>
    </row>
    <row r="2232" spans="3:8" s="99" customFormat="1" x14ac:dyDescent="0.2">
      <c r="C2232" s="198"/>
      <c r="D2232" s="198"/>
      <c r="E2232" s="537"/>
      <c r="G2232" s="198"/>
      <c r="H2232" s="123"/>
    </row>
    <row r="2233" spans="3:8" s="99" customFormat="1" x14ac:dyDescent="0.2">
      <c r="C2233" s="198"/>
      <c r="D2233" s="198"/>
      <c r="E2233" s="537"/>
      <c r="G2233" s="198"/>
      <c r="H2233" s="123"/>
    </row>
    <row r="2234" spans="3:8" s="99" customFormat="1" x14ac:dyDescent="0.2">
      <c r="C2234" s="198"/>
      <c r="D2234" s="198"/>
      <c r="E2234" s="537"/>
      <c r="G2234" s="198"/>
      <c r="H2234" s="123"/>
    </row>
    <row r="2235" spans="3:8" s="99" customFormat="1" x14ac:dyDescent="0.2">
      <c r="C2235" s="198"/>
      <c r="D2235" s="198"/>
      <c r="E2235" s="537"/>
      <c r="G2235" s="198"/>
      <c r="H2235" s="123"/>
    </row>
    <row r="2236" spans="3:8" s="99" customFormat="1" x14ac:dyDescent="0.2">
      <c r="C2236" s="198"/>
      <c r="D2236" s="198"/>
      <c r="E2236" s="537"/>
      <c r="G2236" s="198"/>
      <c r="H2236" s="123"/>
    </row>
    <row r="2237" spans="3:8" s="99" customFormat="1" x14ac:dyDescent="0.2">
      <c r="C2237" s="198"/>
      <c r="D2237" s="198"/>
      <c r="E2237" s="537"/>
      <c r="G2237" s="198"/>
      <c r="H2237" s="123"/>
    </row>
    <row r="2238" spans="3:8" s="99" customFormat="1" x14ac:dyDescent="0.2">
      <c r="C2238" s="198"/>
      <c r="D2238" s="198"/>
      <c r="E2238" s="537"/>
      <c r="G2238" s="198"/>
      <c r="H2238" s="123"/>
    </row>
    <row r="2239" spans="3:8" s="99" customFormat="1" x14ac:dyDescent="0.2">
      <c r="C2239" s="198"/>
      <c r="D2239" s="198"/>
      <c r="E2239" s="537"/>
      <c r="G2239" s="198"/>
      <c r="H2239" s="123"/>
    </row>
    <row r="2240" spans="3:8" s="99" customFormat="1" x14ac:dyDescent="0.2">
      <c r="C2240" s="198"/>
      <c r="D2240" s="198"/>
      <c r="E2240" s="537"/>
      <c r="G2240" s="198"/>
      <c r="H2240" s="123"/>
    </row>
    <row r="2241" spans="3:8" s="99" customFormat="1" x14ac:dyDescent="0.2">
      <c r="C2241" s="198"/>
      <c r="D2241" s="198"/>
      <c r="E2241" s="537"/>
      <c r="G2241" s="198"/>
      <c r="H2241" s="123"/>
    </row>
    <row r="2242" spans="3:8" s="99" customFormat="1" x14ac:dyDescent="0.2">
      <c r="C2242" s="198"/>
      <c r="D2242" s="198"/>
      <c r="E2242" s="537"/>
      <c r="G2242" s="198"/>
      <c r="H2242" s="123"/>
    </row>
    <row r="2243" spans="3:8" s="99" customFormat="1" x14ac:dyDescent="0.2">
      <c r="C2243" s="198"/>
      <c r="D2243" s="198"/>
      <c r="E2243" s="537"/>
      <c r="G2243" s="198"/>
      <c r="H2243" s="123"/>
    </row>
    <row r="2244" spans="3:8" s="99" customFormat="1" x14ac:dyDescent="0.2">
      <c r="C2244" s="198"/>
      <c r="D2244" s="198"/>
      <c r="E2244" s="537"/>
      <c r="G2244" s="198"/>
      <c r="H2244" s="123"/>
    </row>
    <row r="2245" spans="3:8" s="99" customFormat="1" x14ac:dyDescent="0.2">
      <c r="C2245" s="198"/>
      <c r="D2245" s="198"/>
      <c r="E2245" s="537"/>
      <c r="G2245" s="198"/>
      <c r="H2245" s="123"/>
    </row>
    <row r="2246" spans="3:8" s="99" customFormat="1" x14ac:dyDescent="0.2">
      <c r="C2246" s="198"/>
      <c r="D2246" s="198"/>
      <c r="E2246" s="537"/>
      <c r="G2246" s="198"/>
      <c r="H2246" s="123"/>
    </row>
    <row r="2247" spans="3:8" s="99" customFormat="1" x14ac:dyDescent="0.2">
      <c r="C2247" s="198"/>
      <c r="D2247" s="198"/>
      <c r="E2247" s="537"/>
      <c r="G2247" s="198"/>
      <c r="H2247" s="123"/>
    </row>
    <row r="2248" spans="3:8" s="99" customFormat="1" x14ac:dyDescent="0.2">
      <c r="C2248" s="198"/>
      <c r="D2248" s="198"/>
      <c r="E2248" s="537"/>
      <c r="G2248" s="198"/>
      <c r="H2248" s="123"/>
    </row>
    <row r="2249" spans="3:8" s="99" customFormat="1" x14ac:dyDescent="0.2">
      <c r="C2249" s="198"/>
      <c r="D2249" s="198"/>
      <c r="E2249" s="537"/>
      <c r="G2249" s="198"/>
      <c r="H2249" s="123"/>
    </row>
    <row r="2250" spans="3:8" s="99" customFormat="1" x14ac:dyDescent="0.2">
      <c r="C2250" s="198"/>
      <c r="D2250" s="198"/>
      <c r="E2250" s="537"/>
      <c r="G2250" s="198"/>
      <c r="H2250" s="123"/>
    </row>
    <row r="2251" spans="3:8" s="99" customFormat="1" x14ac:dyDescent="0.2">
      <c r="C2251" s="198"/>
      <c r="D2251" s="198"/>
      <c r="E2251" s="537"/>
      <c r="G2251" s="198"/>
      <c r="H2251" s="123"/>
    </row>
    <row r="2252" spans="3:8" s="99" customFormat="1" x14ac:dyDescent="0.2">
      <c r="C2252" s="198"/>
      <c r="D2252" s="198"/>
      <c r="E2252" s="537"/>
      <c r="G2252" s="198"/>
      <c r="H2252" s="123"/>
    </row>
    <row r="2253" spans="3:8" s="99" customFormat="1" x14ac:dyDescent="0.2">
      <c r="C2253" s="198"/>
      <c r="D2253" s="198"/>
      <c r="E2253" s="537"/>
      <c r="G2253" s="198"/>
      <c r="H2253" s="123"/>
    </row>
    <row r="2254" spans="3:8" s="99" customFormat="1" x14ac:dyDescent="0.2">
      <c r="C2254" s="198"/>
      <c r="D2254" s="198"/>
      <c r="E2254" s="537"/>
      <c r="G2254" s="198"/>
      <c r="H2254" s="123"/>
    </row>
    <row r="2255" spans="3:8" s="99" customFormat="1" x14ac:dyDescent="0.2">
      <c r="C2255" s="198"/>
      <c r="D2255" s="198"/>
      <c r="E2255" s="537"/>
      <c r="G2255" s="198"/>
      <c r="H2255" s="123"/>
    </row>
    <row r="2256" spans="3:8" s="99" customFormat="1" x14ac:dyDescent="0.2">
      <c r="C2256" s="198"/>
      <c r="D2256" s="198"/>
      <c r="E2256" s="537"/>
      <c r="G2256" s="198"/>
      <c r="H2256" s="123"/>
    </row>
    <row r="2257" spans="3:8" s="99" customFormat="1" x14ac:dyDescent="0.2">
      <c r="C2257" s="198"/>
      <c r="D2257" s="198"/>
      <c r="E2257" s="537"/>
      <c r="G2257" s="198"/>
      <c r="H2257" s="123"/>
    </row>
    <row r="2258" spans="3:8" s="99" customFormat="1" x14ac:dyDescent="0.2">
      <c r="C2258" s="198"/>
      <c r="D2258" s="198"/>
      <c r="E2258" s="537"/>
      <c r="G2258" s="198"/>
      <c r="H2258" s="123"/>
    </row>
    <row r="2259" spans="3:8" s="99" customFormat="1" x14ac:dyDescent="0.2">
      <c r="C2259" s="198"/>
      <c r="D2259" s="198"/>
      <c r="E2259" s="537"/>
      <c r="G2259" s="198"/>
      <c r="H2259" s="123"/>
    </row>
    <row r="2260" spans="3:8" s="99" customFormat="1" x14ac:dyDescent="0.2">
      <c r="C2260" s="198"/>
      <c r="D2260" s="198"/>
      <c r="E2260" s="537"/>
      <c r="G2260" s="198"/>
      <c r="H2260" s="123"/>
    </row>
    <row r="2261" spans="3:8" s="99" customFormat="1" x14ac:dyDescent="0.2">
      <c r="C2261" s="198"/>
      <c r="D2261" s="198"/>
      <c r="E2261" s="537"/>
      <c r="G2261" s="198"/>
      <c r="H2261" s="123"/>
    </row>
    <row r="2262" spans="3:8" s="99" customFormat="1" x14ac:dyDescent="0.2">
      <c r="C2262" s="198"/>
      <c r="D2262" s="198"/>
      <c r="E2262" s="537"/>
      <c r="G2262" s="198"/>
      <c r="H2262" s="123"/>
    </row>
    <row r="2263" spans="3:8" s="99" customFormat="1" x14ac:dyDescent="0.2">
      <c r="C2263" s="198"/>
      <c r="D2263" s="198"/>
      <c r="E2263" s="537"/>
      <c r="G2263" s="198"/>
      <c r="H2263" s="123"/>
    </row>
    <row r="2264" spans="3:8" s="99" customFormat="1" x14ac:dyDescent="0.2">
      <c r="C2264" s="198"/>
      <c r="D2264" s="198"/>
      <c r="E2264" s="537"/>
      <c r="G2264" s="198"/>
      <c r="H2264" s="123"/>
    </row>
    <row r="2265" spans="3:8" s="99" customFormat="1" x14ac:dyDescent="0.2">
      <c r="C2265" s="198"/>
      <c r="D2265" s="198"/>
      <c r="E2265" s="537"/>
      <c r="G2265" s="198"/>
      <c r="H2265" s="123"/>
    </row>
    <row r="2266" spans="3:8" s="99" customFormat="1" x14ac:dyDescent="0.2">
      <c r="C2266" s="198"/>
      <c r="D2266" s="198"/>
      <c r="E2266" s="537"/>
      <c r="G2266" s="198"/>
      <c r="H2266" s="123"/>
    </row>
    <row r="2267" spans="3:8" s="99" customFormat="1" x14ac:dyDescent="0.2">
      <c r="C2267" s="198"/>
      <c r="D2267" s="198"/>
      <c r="E2267" s="537"/>
      <c r="G2267" s="198"/>
      <c r="H2267" s="123"/>
    </row>
    <row r="2268" spans="3:8" s="99" customFormat="1" x14ac:dyDescent="0.2">
      <c r="C2268" s="198"/>
      <c r="D2268" s="198"/>
      <c r="E2268" s="537"/>
      <c r="G2268" s="198"/>
      <c r="H2268" s="123"/>
    </row>
    <row r="2269" spans="3:8" s="99" customFormat="1" x14ac:dyDescent="0.2">
      <c r="C2269" s="198"/>
      <c r="D2269" s="198"/>
      <c r="E2269" s="537"/>
      <c r="G2269" s="198"/>
      <c r="H2269" s="123"/>
    </row>
    <row r="2270" spans="3:8" s="99" customFormat="1" x14ac:dyDescent="0.2">
      <c r="C2270" s="198"/>
      <c r="D2270" s="198"/>
      <c r="E2270" s="537"/>
      <c r="G2270" s="198"/>
      <c r="H2270" s="123"/>
    </row>
    <row r="2271" spans="3:8" s="99" customFormat="1" x14ac:dyDescent="0.2">
      <c r="C2271" s="198"/>
      <c r="D2271" s="198"/>
      <c r="E2271" s="537"/>
      <c r="G2271" s="198"/>
      <c r="H2271" s="123"/>
    </row>
    <row r="2272" spans="3:8" s="99" customFormat="1" x14ac:dyDescent="0.2">
      <c r="C2272" s="198"/>
      <c r="D2272" s="198"/>
      <c r="E2272" s="537"/>
      <c r="G2272" s="198"/>
      <c r="H2272" s="123"/>
    </row>
    <row r="2273" spans="3:8" s="99" customFormat="1" x14ac:dyDescent="0.2">
      <c r="C2273" s="198"/>
      <c r="D2273" s="198"/>
      <c r="E2273" s="537"/>
      <c r="G2273" s="198"/>
      <c r="H2273" s="123"/>
    </row>
    <row r="2274" spans="3:8" s="99" customFormat="1" x14ac:dyDescent="0.2">
      <c r="C2274" s="198"/>
      <c r="D2274" s="198"/>
      <c r="E2274" s="537"/>
      <c r="G2274" s="198"/>
      <c r="H2274" s="123"/>
    </row>
    <row r="2275" spans="3:8" s="99" customFormat="1" x14ac:dyDescent="0.2">
      <c r="C2275" s="198"/>
      <c r="D2275" s="198"/>
      <c r="E2275" s="537"/>
      <c r="G2275" s="198"/>
      <c r="H2275" s="123"/>
    </row>
    <row r="2276" spans="3:8" s="99" customFormat="1" x14ac:dyDescent="0.2">
      <c r="C2276" s="198"/>
      <c r="D2276" s="198"/>
      <c r="E2276" s="537"/>
      <c r="G2276" s="198"/>
      <c r="H2276" s="123"/>
    </row>
    <row r="2277" spans="3:8" s="99" customFormat="1" x14ac:dyDescent="0.2">
      <c r="C2277" s="198"/>
      <c r="D2277" s="198"/>
      <c r="E2277" s="537"/>
      <c r="G2277" s="198"/>
      <c r="H2277" s="123"/>
    </row>
    <row r="2278" spans="3:8" s="99" customFormat="1" x14ac:dyDescent="0.2">
      <c r="C2278" s="198"/>
      <c r="D2278" s="198"/>
      <c r="E2278" s="537"/>
      <c r="G2278" s="198"/>
      <c r="H2278" s="123"/>
    </row>
    <row r="2279" spans="3:8" s="99" customFormat="1" x14ac:dyDescent="0.2">
      <c r="C2279" s="198"/>
      <c r="D2279" s="198"/>
      <c r="E2279" s="537"/>
      <c r="G2279" s="198"/>
      <c r="H2279" s="123"/>
    </row>
    <row r="2280" spans="3:8" s="99" customFormat="1" x14ac:dyDescent="0.2">
      <c r="C2280" s="198"/>
      <c r="D2280" s="198"/>
      <c r="E2280" s="537"/>
      <c r="G2280" s="198"/>
      <c r="H2280" s="123"/>
    </row>
    <row r="2281" spans="3:8" s="99" customFormat="1" x14ac:dyDescent="0.2">
      <c r="C2281" s="198"/>
      <c r="D2281" s="198"/>
      <c r="E2281" s="537"/>
      <c r="G2281" s="198"/>
      <c r="H2281" s="123"/>
    </row>
    <row r="2282" spans="3:8" s="99" customFormat="1" x14ac:dyDescent="0.2">
      <c r="C2282" s="198"/>
      <c r="D2282" s="198"/>
      <c r="E2282" s="537"/>
      <c r="G2282" s="198"/>
      <c r="H2282" s="123"/>
    </row>
    <row r="2283" spans="3:8" s="99" customFormat="1" x14ac:dyDescent="0.2">
      <c r="C2283" s="198"/>
      <c r="D2283" s="198"/>
      <c r="E2283" s="537"/>
      <c r="G2283" s="198"/>
      <c r="H2283" s="123"/>
    </row>
    <row r="2284" spans="3:8" s="99" customFormat="1" x14ac:dyDescent="0.2">
      <c r="C2284" s="198"/>
      <c r="D2284" s="198"/>
      <c r="E2284" s="537"/>
      <c r="G2284" s="198"/>
      <c r="H2284" s="123"/>
    </row>
    <row r="2285" spans="3:8" s="99" customFormat="1" x14ac:dyDescent="0.2">
      <c r="C2285" s="198"/>
      <c r="D2285" s="198"/>
      <c r="E2285" s="537"/>
      <c r="G2285" s="198"/>
      <c r="H2285" s="123"/>
    </row>
    <row r="2286" spans="3:8" s="99" customFormat="1" x14ac:dyDescent="0.2">
      <c r="C2286" s="198"/>
      <c r="D2286" s="198"/>
      <c r="E2286" s="537"/>
      <c r="G2286" s="198"/>
      <c r="H2286" s="123"/>
    </row>
    <row r="2287" spans="3:8" s="99" customFormat="1" x14ac:dyDescent="0.2">
      <c r="C2287" s="198"/>
      <c r="D2287" s="198"/>
      <c r="E2287" s="537"/>
      <c r="G2287" s="198"/>
      <c r="H2287" s="123"/>
    </row>
    <row r="2288" spans="3:8" s="99" customFormat="1" x14ac:dyDescent="0.2">
      <c r="C2288" s="198"/>
      <c r="D2288" s="198"/>
      <c r="E2288" s="537"/>
      <c r="G2288" s="198"/>
      <c r="H2288" s="123"/>
    </row>
    <row r="2289" spans="3:8" s="99" customFormat="1" x14ac:dyDescent="0.2">
      <c r="C2289" s="198"/>
      <c r="D2289" s="198"/>
      <c r="E2289" s="537"/>
      <c r="G2289" s="198"/>
      <c r="H2289" s="123"/>
    </row>
    <row r="2290" spans="3:8" s="99" customFormat="1" x14ac:dyDescent="0.2">
      <c r="C2290" s="198"/>
      <c r="D2290" s="198"/>
      <c r="E2290" s="537"/>
      <c r="G2290" s="198"/>
      <c r="H2290" s="123"/>
    </row>
    <row r="2291" spans="3:8" s="99" customFormat="1" x14ac:dyDescent="0.2">
      <c r="C2291" s="198"/>
      <c r="D2291" s="198"/>
      <c r="E2291" s="537"/>
      <c r="G2291" s="198"/>
      <c r="H2291" s="123"/>
    </row>
    <row r="2292" spans="3:8" s="99" customFormat="1" x14ac:dyDescent="0.2">
      <c r="C2292" s="198"/>
      <c r="D2292" s="198"/>
      <c r="E2292" s="537"/>
      <c r="G2292" s="198"/>
      <c r="H2292" s="123"/>
    </row>
    <row r="2293" spans="3:8" s="99" customFormat="1" x14ac:dyDescent="0.2">
      <c r="C2293" s="198"/>
      <c r="D2293" s="198"/>
      <c r="E2293" s="537"/>
      <c r="G2293" s="198"/>
      <c r="H2293" s="123"/>
    </row>
    <row r="2294" spans="3:8" s="99" customFormat="1" x14ac:dyDescent="0.2">
      <c r="C2294" s="198"/>
      <c r="D2294" s="198"/>
      <c r="E2294" s="537"/>
      <c r="G2294" s="198"/>
      <c r="H2294" s="123"/>
    </row>
    <row r="2295" spans="3:8" s="99" customFormat="1" x14ac:dyDescent="0.2">
      <c r="C2295" s="198"/>
      <c r="D2295" s="198"/>
      <c r="E2295" s="537"/>
      <c r="G2295" s="198"/>
      <c r="H2295" s="123"/>
    </row>
    <row r="2296" spans="3:8" s="99" customFormat="1" x14ac:dyDescent="0.2">
      <c r="C2296" s="198"/>
      <c r="D2296" s="198"/>
      <c r="E2296" s="537"/>
      <c r="G2296" s="198"/>
      <c r="H2296" s="123"/>
    </row>
    <row r="2297" spans="3:8" s="99" customFormat="1" x14ac:dyDescent="0.2">
      <c r="C2297" s="198"/>
      <c r="D2297" s="198"/>
      <c r="E2297" s="537"/>
      <c r="G2297" s="198"/>
      <c r="H2297" s="123"/>
    </row>
    <row r="2298" spans="3:8" s="99" customFormat="1" x14ac:dyDescent="0.2">
      <c r="C2298" s="198"/>
      <c r="D2298" s="198"/>
      <c r="E2298" s="537"/>
      <c r="G2298" s="198"/>
      <c r="H2298" s="123"/>
    </row>
    <row r="2299" spans="3:8" s="99" customFormat="1" x14ac:dyDescent="0.2">
      <c r="C2299" s="198"/>
      <c r="D2299" s="198"/>
      <c r="E2299" s="537"/>
      <c r="G2299" s="198"/>
      <c r="H2299" s="123"/>
    </row>
    <row r="2300" spans="3:8" s="99" customFormat="1" x14ac:dyDescent="0.2">
      <c r="C2300" s="198"/>
      <c r="D2300" s="198"/>
      <c r="E2300" s="537"/>
      <c r="G2300" s="198"/>
      <c r="H2300" s="123"/>
    </row>
    <row r="2301" spans="3:8" s="99" customFormat="1" x14ac:dyDescent="0.2">
      <c r="C2301" s="198"/>
      <c r="D2301" s="198"/>
      <c r="E2301" s="537"/>
      <c r="G2301" s="198"/>
      <c r="H2301" s="123"/>
    </row>
    <row r="2302" spans="3:8" s="99" customFormat="1" x14ac:dyDescent="0.2">
      <c r="C2302" s="198"/>
      <c r="D2302" s="198"/>
      <c r="E2302" s="537"/>
      <c r="G2302" s="198"/>
      <c r="H2302" s="123"/>
    </row>
    <row r="2303" spans="3:8" s="99" customFormat="1" x14ac:dyDescent="0.2">
      <c r="C2303" s="198"/>
      <c r="D2303" s="198"/>
      <c r="E2303" s="537"/>
      <c r="G2303" s="198"/>
      <c r="H2303" s="123"/>
    </row>
    <row r="2304" spans="3:8" s="99" customFormat="1" x14ac:dyDescent="0.2">
      <c r="C2304" s="198"/>
      <c r="D2304" s="198"/>
      <c r="E2304" s="537"/>
      <c r="G2304" s="198"/>
      <c r="H2304" s="123"/>
    </row>
    <row r="2305" spans="3:8" s="99" customFormat="1" x14ac:dyDescent="0.2">
      <c r="C2305" s="198"/>
      <c r="D2305" s="198"/>
      <c r="E2305" s="537"/>
      <c r="G2305" s="198"/>
      <c r="H2305" s="123"/>
    </row>
    <row r="2306" spans="3:8" s="99" customFormat="1" x14ac:dyDescent="0.2">
      <c r="C2306" s="198"/>
      <c r="D2306" s="198"/>
      <c r="E2306" s="537"/>
      <c r="G2306" s="198"/>
      <c r="H2306" s="123"/>
    </row>
    <row r="2307" spans="3:8" s="99" customFormat="1" x14ac:dyDescent="0.2">
      <c r="C2307" s="198"/>
      <c r="D2307" s="198"/>
      <c r="E2307" s="537"/>
      <c r="G2307" s="198"/>
      <c r="H2307" s="123"/>
    </row>
    <row r="2308" spans="3:8" s="99" customFormat="1" x14ac:dyDescent="0.2">
      <c r="C2308" s="198"/>
      <c r="D2308" s="198"/>
      <c r="E2308" s="537"/>
      <c r="G2308" s="198"/>
      <c r="H2308" s="123"/>
    </row>
    <row r="2309" spans="3:8" s="99" customFormat="1" x14ac:dyDescent="0.2">
      <c r="C2309" s="198"/>
      <c r="D2309" s="198"/>
      <c r="E2309" s="537"/>
      <c r="G2309" s="198"/>
      <c r="H2309" s="123"/>
    </row>
    <row r="2310" spans="3:8" s="99" customFormat="1" x14ac:dyDescent="0.2">
      <c r="C2310" s="198"/>
      <c r="D2310" s="198"/>
      <c r="E2310" s="537"/>
      <c r="G2310" s="198"/>
      <c r="H2310" s="123"/>
    </row>
    <row r="2311" spans="3:8" s="99" customFormat="1" x14ac:dyDescent="0.2">
      <c r="C2311" s="198"/>
      <c r="D2311" s="198"/>
      <c r="E2311" s="537"/>
      <c r="G2311" s="198"/>
      <c r="H2311" s="123"/>
    </row>
    <row r="2312" spans="3:8" s="99" customFormat="1" x14ac:dyDescent="0.2">
      <c r="C2312" s="198"/>
      <c r="D2312" s="198"/>
      <c r="E2312" s="537"/>
      <c r="G2312" s="198"/>
      <c r="H2312" s="123"/>
    </row>
    <row r="2313" spans="3:8" s="99" customFormat="1" x14ac:dyDescent="0.2">
      <c r="C2313" s="198"/>
      <c r="D2313" s="198"/>
      <c r="E2313" s="537"/>
      <c r="G2313" s="198"/>
      <c r="H2313" s="123"/>
    </row>
    <row r="2314" spans="3:8" s="99" customFormat="1" x14ac:dyDescent="0.2">
      <c r="C2314" s="198"/>
      <c r="D2314" s="198"/>
      <c r="E2314" s="537"/>
      <c r="G2314" s="198"/>
      <c r="H2314" s="123"/>
    </row>
    <row r="2315" spans="3:8" s="99" customFormat="1" x14ac:dyDescent="0.2">
      <c r="C2315" s="198"/>
      <c r="D2315" s="198"/>
      <c r="E2315" s="537"/>
      <c r="G2315" s="198"/>
      <c r="H2315" s="123"/>
    </row>
    <row r="2316" spans="3:8" s="99" customFormat="1" x14ac:dyDescent="0.2">
      <c r="C2316" s="198"/>
      <c r="D2316" s="198"/>
      <c r="E2316" s="537"/>
      <c r="G2316" s="198"/>
      <c r="H2316" s="123"/>
    </row>
    <row r="2317" spans="3:8" s="99" customFormat="1" x14ac:dyDescent="0.2">
      <c r="C2317" s="198"/>
      <c r="D2317" s="198"/>
      <c r="E2317" s="537"/>
      <c r="G2317" s="198"/>
      <c r="H2317" s="123"/>
    </row>
    <row r="2318" spans="3:8" s="99" customFormat="1" x14ac:dyDescent="0.2">
      <c r="C2318" s="198"/>
      <c r="D2318" s="198"/>
      <c r="E2318" s="537"/>
      <c r="G2318" s="198"/>
      <c r="H2318" s="123"/>
    </row>
    <row r="2319" spans="3:8" s="99" customFormat="1" x14ac:dyDescent="0.2">
      <c r="C2319" s="198"/>
      <c r="D2319" s="198"/>
      <c r="E2319" s="537"/>
      <c r="G2319" s="198"/>
      <c r="H2319" s="123"/>
    </row>
    <row r="2320" spans="3:8" s="99" customFormat="1" x14ac:dyDescent="0.2">
      <c r="C2320" s="198"/>
      <c r="D2320" s="198"/>
      <c r="E2320" s="537"/>
      <c r="G2320" s="198"/>
      <c r="H2320" s="123"/>
    </row>
    <row r="2321" spans="3:8" s="99" customFormat="1" x14ac:dyDescent="0.2">
      <c r="C2321" s="198"/>
      <c r="D2321" s="198"/>
      <c r="E2321" s="537"/>
      <c r="G2321" s="198"/>
      <c r="H2321" s="123"/>
    </row>
    <row r="2322" spans="3:8" s="99" customFormat="1" x14ac:dyDescent="0.2">
      <c r="C2322" s="198"/>
      <c r="D2322" s="198"/>
      <c r="E2322" s="537"/>
      <c r="G2322" s="198"/>
      <c r="H2322" s="123"/>
    </row>
    <row r="2323" spans="3:8" s="99" customFormat="1" x14ac:dyDescent="0.2">
      <c r="C2323" s="198"/>
      <c r="D2323" s="198"/>
      <c r="E2323" s="537"/>
      <c r="G2323" s="198"/>
      <c r="H2323" s="123"/>
    </row>
    <row r="2324" spans="3:8" s="99" customFormat="1" x14ac:dyDescent="0.2">
      <c r="C2324" s="198"/>
      <c r="D2324" s="198"/>
      <c r="E2324" s="537"/>
      <c r="G2324" s="198"/>
      <c r="H2324" s="123"/>
    </row>
    <row r="2325" spans="3:8" s="99" customFormat="1" x14ac:dyDescent="0.2">
      <c r="C2325" s="198"/>
      <c r="D2325" s="198"/>
      <c r="E2325" s="537"/>
      <c r="G2325" s="198"/>
      <c r="H2325" s="123"/>
    </row>
    <row r="2326" spans="3:8" s="99" customFormat="1" x14ac:dyDescent="0.2">
      <c r="C2326" s="198"/>
      <c r="D2326" s="198"/>
      <c r="E2326" s="537"/>
      <c r="G2326" s="198"/>
      <c r="H2326" s="123"/>
    </row>
    <row r="2327" spans="3:8" s="99" customFormat="1" x14ac:dyDescent="0.2">
      <c r="C2327" s="198"/>
      <c r="D2327" s="198"/>
      <c r="E2327" s="537"/>
      <c r="G2327" s="198"/>
      <c r="H2327" s="123"/>
    </row>
    <row r="2328" spans="3:8" s="99" customFormat="1" x14ac:dyDescent="0.2">
      <c r="C2328" s="198"/>
      <c r="D2328" s="198"/>
      <c r="E2328" s="537"/>
      <c r="G2328" s="198"/>
      <c r="H2328" s="123"/>
    </row>
    <row r="2329" spans="3:8" s="99" customFormat="1" x14ac:dyDescent="0.2">
      <c r="C2329" s="198"/>
      <c r="D2329" s="198"/>
      <c r="E2329" s="537"/>
      <c r="G2329" s="198"/>
      <c r="H2329" s="123"/>
    </row>
    <row r="2330" spans="3:8" s="99" customFormat="1" x14ac:dyDescent="0.2">
      <c r="C2330" s="198"/>
      <c r="D2330" s="198"/>
      <c r="E2330" s="537"/>
      <c r="G2330" s="198"/>
      <c r="H2330" s="123"/>
    </row>
    <row r="2331" spans="3:8" s="99" customFormat="1" x14ac:dyDescent="0.2">
      <c r="C2331" s="198"/>
      <c r="D2331" s="198"/>
      <c r="E2331" s="537"/>
      <c r="G2331" s="198"/>
      <c r="H2331" s="123"/>
    </row>
    <row r="2332" spans="3:8" s="99" customFormat="1" x14ac:dyDescent="0.2">
      <c r="C2332" s="198"/>
      <c r="D2332" s="198"/>
      <c r="E2332" s="537"/>
      <c r="G2332" s="198"/>
      <c r="H2332" s="123"/>
    </row>
    <row r="2333" spans="3:8" s="99" customFormat="1" x14ac:dyDescent="0.2">
      <c r="C2333" s="198"/>
      <c r="D2333" s="198"/>
      <c r="E2333" s="537"/>
      <c r="G2333" s="198"/>
      <c r="H2333" s="123"/>
    </row>
    <row r="2334" spans="3:8" s="99" customFormat="1" x14ac:dyDescent="0.2">
      <c r="C2334" s="198"/>
      <c r="D2334" s="198"/>
      <c r="E2334" s="537"/>
      <c r="G2334" s="198"/>
      <c r="H2334" s="123"/>
    </row>
    <row r="2335" spans="3:8" s="99" customFormat="1" x14ac:dyDescent="0.2">
      <c r="C2335" s="198"/>
      <c r="D2335" s="198"/>
      <c r="E2335" s="537"/>
      <c r="G2335" s="198"/>
      <c r="H2335" s="123"/>
    </row>
    <row r="2336" spans="3:8" s="99" customFormat="1" x14ac:dyDescent="0.2">
      <c r="C2336" s="198"/>
      <c r="D2336" s="198"/>
      <c r="E2336" s="537"/>
      <c r="G2336" s="198"/>
      <c r="H2336" s="123"/>
    </row>
    <row r="2337" spans="3:8" s="99" customFormat="1" x14ac:dyDescent="0.2">
      <c r="C2337" s="198"/>
      <c r="D2337" s="198"/>
      <c r="E2337" s="537"/>
      <c r="G2337" s="198"/>
      <c r="H2337" s="123"/>
    </row>
    <row r="2338" spans="3:8" s="99" customFormat="1" x14ac:dyDescent="0.2">
      <c r="C2338" s="198"/>
      <c r="D2338" s="198"/>
      <c r="E2338" s="537"/>
      <c r="G2338" s="198"/>
      <c r="H2338" s="123"/>
    </row>
    <row r="2339" spans="3:8" s="99" customFormat="1" x14ac:dyDescent="0.2">
      <c r="C2339" s="198"/>
      <c r="D2339" s="198"/>
      <c r="E2339" s="537"/>
      <c r="G2339" s="198"/>
      <c r="H2339" s="123"/>
    </row>
    <row r="2340" spans="3:8" s="99" customFormat="1" x14ac:dyDescent="0.2">
      <c r="C2340" s="198"/>
      <c r="D2340" s="198"/>
      <c r="E2340" s="537"/>
      <c r="G2340" s="198"/>
      <c r="H2340" s="123"/>
    </row>
    <row r="2341" spans="3:8" s="99" customFormat="1" x14ac:dyDescent="0.2">
      <c r="C2341" s="198"/>
      <c r="D2341" s="198"/>
      <c r="E2341" s="537"/>
      <c r="G2341" s="198"/>
      <c r="H2341" s="123"/>
    </row>
    <row r="2342" spans="3:8" s="99" customFormat="1" x14ac:dyDescent="0.2">
      <c r="C2342" s="198"/>
      <c r="D2342" s="198"/>
      <c r="E2342" s="537"/>
      <c r="G2342" s="198"/>
      <c r="H2342" s="123"/>
    </row>
    <row r="2343" spans="3:8" s="99" customFormat="1" x14ac:dyDescent="0.2">
      <c r="C2343" s="198"/>
      <c r="D2343" s="198"/>
      <c r="E2343" s="537"/>
      <c r="G2343" s="198"/>
      <c r="H2343" s="123"/>
    </row>
    <row r="2344" spans="3:8" s="99" customFormat="1" x14ac:dyDescent="0.2">
      <c r="C2344" s="198"/>
      <c r="D2344" s="198"/>
      <c r="E2344" s="537"/>
      <c r="G2344" s="198"/>
      <c r="H2344" s="123"/>
    </row>
    <row r="2345" spans="3:8" s="99" customFormat="1" x14ac:dyDescent="0.2">
      <c r="C2345" s="198"/>
      <c r="D2345" s="198"/>
      <c r="E2345" s="537"/>
      <c r="G2345" s="198"/>
      <c r="H2345" s="123"/>
    </row>
    <row r="2346" spans="3:8" s="99" customFormat="1" x14ac:dyDescent="0.2">
      <c r="C2346" s="198"/>
      <c r="D2346" s="198"/>
      <c r="E2346" s="537"/>
      <c r="G2346" s="198"/>
      <c r="H2346" s="123"/>
    </row>
    <row r="2347" spans="3:8" s="99" customFormat="1" x14ac:dyDescent="0.2">
      <c r="C2347" s="198"/>
      <c r="D2347" s="198"/>
      <c r="E2347" s="537"/>
      <c r="G2347" s="198"/>
      <c r="H2347" s="123"/>
    </row>
    <row r="2348" spans="3:8" s="99" customFormat="1" x14ac:dyDescent="0.2">
      <c r="C2348" s="198"/>
      <c r="D2348" s="198"/>
      <c r="E2348" s="537"/>
      <c r="G2348" s="198"/>
      <c r="H2348" s="123"/>
    </row>
    <row r="2349" spans="3:8" s="99" customFormat="1" x14ac:dyDescent="0.2">
      <c r="C2349" s="198"/>
      <c r="D2349" s="198"/>
      <c r="E2349" s="537"/>
      <c r="G2349" s="198"/>
      <c r="H2349" s="123"/>
    </row>
    <row r="2350" spans="3:8" s="99" customFormat="1" x14ac:dyDescent="0.2">
      <c r="C2350" s="198"/>
      <c r="D2350" s="198"/>
      <c r="E2350" s="537"/>
      <c r="G2350" s="198"/>
      <c r="H2350" s="123"/>
    </row>
    <row r="2351" spans="3:8" s="99" customFormat="1" x14ac:dyDescent="0.2">
      <c r="C2351" s="198"/>
      <c r="D2351" s="198"/>
      <c r="E2351" s="537"/>
      <c r="G2351" s="198"/>
      <c r="H2351" s="123"/>
    </row>
    <row r="2352" spans="3:8" s="99" customFormat="1" x14ac:dyDescent="0.2">
      <c r="C2352" s="198"/>
      <c r="D2352" s="198"/>
      <c r="E2352" s="537"/>
      <c r="G2352" s="198"/>
      <c r="H2352" s="123"/>
    </row>
    <row r="2353" spans="3:8" s="99" customFormat="1" x14ac:dyDescent="0.2">
      <c r="C2353" s="198"/>
      <c r="D2353" s="198"/>
      <c r="E2353" s="537"/>
      <c r="G2353" s="198"/>
      <c r="H2353" s="123"/>
    </row>
    <row r="2354" spans="3:8" s="99" customFormat="1" x14ac:dyDescent="0.2">
      <c r="C2354" s="198"/>
      <c r="D2354" s="198"/>
      <c r="E2354" s="537"/>
      <c r="G2354" s="198"/>
      <c r="H2354" s="123"/>
    </row>
    <row r="2355" spans="3:8" s="99" customFormat="1" x14ac:dyDescent="0.2">
      <c r="C2355" s="198"/>
      <c r="D2355" s="198"/>
      <c r="E2355" s="537"/>
      <c r="G2355" s="198"/>
      <c r="H2355" s="123"/>
    </row>
    <row r="2356" spans="3:8" s="99" customFormat="1" x14ac:dyDescent="0.2">
      <c r="C2356" s="198"/>
      <c r="D2356" s="198"/>
      <c r="E2356" s="537"/>
      <c r="G2356" s="198"/>
      <c r="H2356" s="123"/>
    </row>
    <row r="2357" spans="3:8" s="99" customFormat="1" x14ac:dyDescent="0.2">
      <c r="C2357" s="198"/>
      <c r="D2357" s="198"/>
      <c r="E2357" s="537"/>
      <c r="G2357" s="198"/>
      <c r="H2357" s="123"/>
    </row>
    <row r="2358" spans="3:8" s="99" customFormat="1" x14ac:dyDescent="0.2">
      <c r="C2358" s="198"/>
      <c r="D2358" s="198"/>
      <c r="E2358" s="537"/>
      <c r="G2358" s="198"/>
      <c r="H2358" s="123"/>
    </row>
    <row r="2359" spans="3:8" s="99" customFormat="1" x14ac:dyDescent="0.2">
      <c r="C2359" s="198"/>
      <c r="D2359" s="198"/>
      <c r="E2359" s="537"/>
      <c r="G2359" s="198"/>
      <c r="H2359" s="123"/>
    </row>
    <row r="2360" spans="3:8" s="99" customFormat="1" x14ac:dyDescent="0.2">
      <c r="C2360" s="198"/>
      <c r="D2360" s="198"/>
      <c r="E2360" s="537"/>
      <c r="G2360" s="198"/>
      <c r="H2360" s="123"/>
    </row>
    <row r="2361" spans="3:8" s="99" customFormat="1" x14ac:dyDescent="0.2">
      <c r="C2361" s="198"/>
      <c r="D2361" s="198"/>
      <c r="E2361" s="537"/>
      <c r="G2361" s="198"/>
      <c r="H2361" s="123"/>
    </row>
    <row r="2362" spans="3:8" s="99" customFormat="1" x14ac:dyDescent="0.2">
      <c r="C2362" s="198"/>
      <c r="D2362" s="198"/>
      <c r="E2362" s="537"/>
      <c r="G2362" s="198"/>
      <c r="H2362" s="123"/>
    </row>
    <row r="2363" spans="3:8" s="99" customFormat="1" x14ac:dyDescent="0.2">
      <c r="C2363" s="198"/>
      <c r="D2363" s="198"/>
      <c r="E2363" s="537"/>
      <c r="G2363" s="198"/>
      <c r="H2363" s="123"/>
    </row>
    <row r="2364" spans="3:8" s="99" customFormat="1" x14ac:dyDescent="0.2">
      <c r="C2364" s="198"/>
      <c r="D2364" s="198"/>
      <c r="E2364" s="537"/>
      <c r="G2364" s="198"/>
      <c r="H2364" s="123"/>
    </row>
    <row r="2365" spans="3:8" s="99" customFormat="1" x14ac:dyDescent="0.2">
      <c r="C2365" s="198"/>
      <c r="D2365" s="198"/>
      <c r="E2365" s="537"/>
      <c r="G2365" s="198"/>
      <c r="H2365" s="123"/>
    </row>
    <row r="2366" spans="3:8" s="99" customFormat="1" x14ac:dyDescent="0.2">
      <c r="C2366" s="198"/>
      <c r="D2366" s="198"/>
      <c r="E2366" s="537"/>
      <c r="G2366" s="198"/>
      <c r="H2366" s="123"/>
    </row>
    <row r="2367" spans="3:8" s="99" customFormat="1" x14ac:dyDescent="0.2">
      <c r="C2367" s="198"/>
      <c r="D2367" s="198"/>
      <c r="E2367" s="537"/>
      <c r="G2367" s="198"/>
      <c r="H2367" s="123"/>
    </row>
    <row r="2368" spans="3:8" s="99" customFormat="1" x14ac:dyDescent="0.2">
      <c r="C2368" s="198"/>
      <c r="D2368" s="198"/>
      <c r="E2368" s="537"/>
      <c r="G2368" s="198"/>
      <c r="H2368" s="123"/>
    </row>
    <row r="2369" spans="3:8" s="99" customFormat="1" x14ac:dyDescent="0.2">
      <c r="C2369" s="198"/>
      <c r="D2369" s="198"/>
      <c r="E2369" s="537"/>
      <c r="G2369" s="198"/>
      <c r="H2369" s="123"/>
    </row>
    <row r="2370" spans="3:8" s="99" customFormat="1" x14ac:dyDescent="0.2">
      <c r="C2370" s="198"/>
      <c r="D2370" s="198"/>
      <c r="E2370" s="537"/>
      <c r="G2370" s="198"/>
      <c r="H2370" s="123"/>
    </row>
    <row r="2371" spans="3:8" s="99" customFormat="1" x14ac:dyDescent="0.2">
      <c r="C2371" s="198"/>
      <c r="D2371" s="198"/>
      <c r="E2371" s="537"/>
      <c r="G2371" s="198"/>
      <c r="H2371" s="123"/>
    </row>
    <row r="2372" spans="3:8" s="99" customFormat="1" x14ac:dyDescent="0.2">
      <c r="C2372" s="198"/>
      <c r="D2372" s="198"/>
      <c r="E2372" s="537"/>
      <c r="G2372" s="198"/>
      <c r="H2372" s="123"/>
    </row>
    <row r="2373" spans="3:8" s="99" customFormat="1" x14ac:dyDescent="0.2">
      <c r="C2373" s="198"/>
      <c r="D2373" s="198"/>
      <c r="E2373" s="537"/>
      <c r="G2373" s="198"/>
      <c r="H2373" s="123"/>
    </row>
    <row r="2374" spans="3:8" s="99" customFormat="1" x14ac:dyDescent="0.2">
      <c r="C2374" s="198"/>
      <c r="D2374" s="198"/>
      <c r="E2374" s="537"/>
      <c r="G2374" s="198"/>
      <c r="H2374" s="123"/>
    </row>
    <row r="2375" spans="3:8" s="99" customFormat="1" x14ac:dyDescent="0.2">
      <c r="C2375" s="198"/>
      <c r="D2375" s="198"/>
      <c r="E2375" s="537"/>
      <c r="G2375" s="198"/>
      <c r="H2375" s="123"/>
    </row>
    <row r="2376" spans="3:8" s="99" customFormat="1" x14ac:dyDescent="0.2">
      <c r="C2376" s="198"/>
      <c r="D2376" s="198"/>
      <c r="E2376" s="537"/>
      <c r="G2376" s="198"/>
      <c r="H2376" s="123"/>
    </row>
    <row r="2377" spans="3:8" s="99" customFormat="1" x14ac:dyDescent="0.2">
      <c r="C2377" s="198"/>
      <c r="D2377" s="198"/>
      <c r="E2377" s="537"/>
      <c r="G2377" s="198"/>
      <c r="H2377" s="123"/>
    </row>
    <row r="2378" spans="3:8" s="99" customFormat="1" x14ac:dyDescent="0.2">
      <c r="C2378" s="198"/>
      <c r="D2378" s="198"/>
      <c r="E2378" s="537"/>
      <c r="G2378" s="198"/>
      <c r="H2378" s="123"/>
    </row>
    <row r="2379" spans="3:8" s="99" customFormat="1" x14ac:dyDescent="0.2">
      <c r="C2379" s="198"/>
      <c r="D2379" s="198"/>
      <c r="E2379" s="537"/>
      <c r="G2379" s="198"/>
      <c r="H2379" s="123"/>
    </row>
    <row r="2380" spans="3:8" s="99" customFormat="1" x14ac:dyDescent="0.2">
      <c r="C2380" s="198"/>
      <c r="D2380" s="198"/>
      <c r="E2380" s="537"/>
      <c r="G2380" s="198"/>
      <c r="H2380" s="123"/>
    </row>
    <row r="2381" spans="3:8" s="99" customFormat="1" x14ac:dyDescent="0.2">
      <c r="C2381" s="198"/>
      <c r="D2381" s="198"/>
      <c r="E2381" s="537"/>
      <c r="G2381" s="198"/>
      <c r="H2381" s="123"/>
    </row>
    <row r="2382" spans="3:8" s="99" customFormat="1" x14ac:dyDescent="0.2">
      <c r="C2382" s="198"/>
      <c r="D2382" s="198"/>
      <c r="E2382" s="537"/>
      <c r="G2382" s="198"/>
      <c r="H2382" s="123"/>
    </row>
    <row r="2383" spans="3:8" s="99" customFormat="1" x14ac:dyDescent="0.2">
      <c r="C2383" s="198"/>
      <c r="D2383" s="198"/>
      <c r="E2383" s="537"/>
      <c r="G2383" s="198"/>
      <c r="H2383" s="123"/>
    </row>
    <row r="2384" spans="3:8" s="99" customFormat="1" x14ac:dyDescent="0.2">
      <c r="C2384" s="198"/>
      <c r="D2384" s="198"/>
      <c r="E2384" s="537"/>
      <c r="G2384" s="198"/>
      <c r="H2384" s="123"/>
    </row>
    <row r="2385" spans="3:8" s="99" customFormat="1" x14ac:dyDescent="0.2">
      <c r="C2385" s="198"/>
      <c r="D2385" s="198"/>
      <c r="E2385" s="537"/>
      <c r="G2385" s="198"/>
      <c r="H2385" s="123"/>
    </row>
    <row r="2386" spans="3:8" s="99" customFormat="1" x14ac:dyDescent="0.2">
      <c r="C2386" s="198"/>
      <c r="D2386" s="198"/>
      <c r="E2386" s="537"/>
      <c r="G2386" s="198"/>
      <c r="H2386" s="123"/>
    </row>
    <row r="2387" spans="3:8" s="99" customFormat="1" x14ac:dyDescent="0.2">
      <c r="C2387" s="198"/>
      <c r="D2387" s="198"/>
      <c r="E2387" s="537"/>
      <c r="G2387" s="198"/>
      <c r="H2387" s="123"/>
    </row>
    <row r="2388" spans="3:8" s="99" customFormat="1" x14ac:dyDescent="0.2">
      <c r="C2388" s="198"/>
      <c r="D2388" s="198"/>
      <c r="E2388" s="537"/>
      <c r="G2388" s="198"/>
      <c r="H2388" s="123"/>
    </row>
    <row r="2389" spans="3:8" s="99" customFormat="1" x14ac:dyDescent="0.2">
      <c r="C2389" s="198"/>
      <c r="D2389" s="198"/>
      <c r="E2389" s="537"/>
      <c r="G2389" s="198"/>
      <c r="H2389" s="123"/>
    </row>
    <row r="2390" spans="3:8" s="99" customFormat="1" x14ac:dyDescent="0.2">
      <c r="C2390" s="198"/>
      <c r="D2390" s="198"/>
      <c r="E2390" s="537"/>
      <c r="G2390" s="198"/>
      <c r="H2390" s="123"/>
    </row>
    <row r="2391" spans="3:8" s="99" customFormat="1" x14ac:dyDescent="0.2">
      <c r="C2391" s="198"/>
      <c r="D2391" s="198"/>
      <c r="E2391" s="537"/>
      <c r="G2391" s="198"/>
      <c r="H2391" s="123"/>
    </row>
    <row r="2392" spans="3:8" s="99" customFormat="1" x14ac:dyDescent="0.2">
      <c r="C2392" s="198"/>
      <c r="D2392" s="198"/>
      <c r="E2392" s="537"/>
      <c r="G2392" s="198"/>
      <c r="H2392" s="123"/>
    </row>
    <row r="2393" spans="3:8" s="99" customFormat="1" x14ac:dyDescent="0.2">
      <c r="C2393" s="198"/>
      <c r="D2393" s="198"/>
      <c r="E2393" s="537"/>
      <c r="G2393" s="198"/>
      <c r="H2393" s="123"/>
    </row>
    <row r="2394" spans="3:8" s="99" customFormat="1" x14ac:dyDescent="0.2">
      <c r="C2394" s="198"/>
      <c r="D2394" s="198"/>
      <c r="E2394" s="537"/>
      <c r="G2394" s="198"/>
      <c r="H2394" s="123"/>
    </row>
    <row r="2395" spans="3:8" s="99" customFormat="1" x14ac:dyDescent="0.2">
      <c r="C2395" s="198"/>
      <c r="D2395" s="198"/>
      <c r="E2395" s="537"/>
      <c r="G2395" s="198"/>
      <c r="H2395" s="123"/>
    </row>
    <row r="2396" spans="3:8" s="99" customFormat="1" x14ac:dyDescent="0.2">
      <c r="C2396" s="198"/>
      <c r="D2396" s="198"/>
      <c r="E2396" s="537"/>
      <c r="G2396" s="198"/>
      <c r="H2396" s="123"/>
    </row>
    <row r="2397" spans="3:8" s="99" customFormat="1" x14ac:dyDescent="0.2">
      <c r="C2397" s="198"/>
      <c r="D2397" s="198"/>
      <c r="E2397" s="537"/>
      <c r="G2397" s="198"/>
      <c r="H2397" s="123"/>
    </row>
    <row r="2398" spans="3:8" s="99" customFormat="1" x14ac:dyDescent="0.2">
      <c r="C2398" s="198"/>
      <c r="D2398" s="198"/>
      <c r="E2398" s="537"/>
      <c r="G2398" s="198"/>
      <c r="H2398" s="123"/>
    </row>
    <row r="2399" spans="3:8" s="99" customFormat="1" x14ac:dyDescent="0.2">
      <c r="C2399" s="198"/>
      <c r="D2399" s="198"/>
      <c r="E2399" s="537"/>
      <c r="G2399" s="198"/>
      <c r="H2399" s="123"/>
    </row>
    <row r="2400" spans="3:8" s="99" customFormat="1" x14ac:dyDescent="0.2">
      <c r="C2400" s="198"/>
      <c r="D2400" s="198"/>
      <c r="E2400" s="537"/>
      <c r="G2400" s="198"/>
      <c r="H2400" s="123"/>
    </row>
    <row r="2401" spans="3:8" s="99" customFormat="1" x14ac:dyDescent="0.2">
      <c r="C2401" s="198"/>
      <c r="D2401" s="198"/>
      <c r="E2401" s="537"/>
      <c r="G2401" s="198"/>
      <c r="H2401" s="123"/>
    </row>
    <row r="2402" spans="3:8" s="99" customFormat="1" x14ac:dyDescent="0.2">
      <c r="C2402" s="198"/>
      <c r="D2402" s="198"/>
      <c r="E2402" s="537"/>
      <c r="G2402" s="198"/>
      <c r="H2402" s="123"/>
    </row>
    <row r="2403" spans="3:8" s="99" customFormat="1" x14ac:dyDescent="0.2">
      <c r="C2403" s="198"/>
      <c r="D2403" s="198"/>
      <c r="E2403" s="537"/>
      <c r="G2403" s="198"/>
      <c r="H2403" s="123"/>
    </row>
    <row r="2404" spans="3:8" s="99" customFormat="1" x14ac:dyDescent="0.2">
      <c r="C2404" s="198"/>
      <c r="D2404" s="198"/>
      <c r="E2404" s="537"/>
      <c r="G2404" s="198"/>
      <c r="H2404" s="123"/>
    </row>
    <row r="2405" spans="3:8" s="99" customFormat="1" x14ac:dyDescent="0.2">
      <c r="C2405" s="198"/>
      <c r="D2405" s="198"/>
      <c r="E2405" s="537"/>
      <c r="G2405" s="198"/>
      <c r="H2405" s="123"/>
    </row>
    <row r="2406" spans="3:8" s="99" customFormat="1" x14ac:dyDescent="0.2">
      <c r="C2406" s="198"/>
      <c r="D2406" s="198"/>
      <c r="E2406" s="537"/>
      <c r="G2406" s="198"/>
      <c r="H2406" s="123"/>
    </row>
    <row r="2407" spans="3:8" s="99" customFormat="1" x14ac:dyDescent="0.2">
      <c r="C2407" s="198"/>
      <c r="D2407" s="198"/>
      <c r="E2407" s="537"/>
      <c r="G2407" s="198"/>
      <c r="H2407" s="123"/>
    </row>
    <row r="2408" spans="3:8" s="99" customFormat="1" x14ac:dyDescent="0.2">
      <c r="C2408" s="198"/>
      <c r="D2408" s="198"/>
      <c r="E2408" s="537"/>
      <c r="G2408" s="198"/>
      <c r="H2408" s="123"/>
    </row>
    <row r="2409" spans="3:8" s="99" customFormat="1" x14ac:dyDescent="0.2">
      <c r="C2409" s="198"/>
      <c r="D2409" s="198"/>
      <c r="E2409" s="537"/>
      <c r="G2409" s="198"/>
      <c r="H2409" s="123"/>
    </row>
    <row r="2410" spans="3:8" s="99" customFormat="1" x14ac:dyDescent="0.2">
      <c r="C2410" s="198"/>
      <c r="D2410" s="198"/>
      <c r="E2410" s="537"/>
      <c r="G2410" s="198"/>
      <c r="H2410" s="123"/>
    </row>
    <row r="2411" spans="3:8" s="99" customFormat="1" x14ac:dyDescent="0.2">
      <c r="C2411" s="198"/>
      <c r="D2411" s="198"/>
      <c r="E2411" s="537"/>
      <c r="G2411" s="198"/>
      <c r="H2411" s="123"/>
    </row>
    <row r="2412" spans="3:8" s="99" customFormat="1" x14ac:dyDescent="0.2">
      <c r="C2412" s="198"/>
      <c r="D2412" s="198"/>
      <c r="E2412" s="537"/>
      <c r="G2412" s="198"/>
      <c r="H2412" s="123"/>
    </row>
    <row r="2413" spans="3:8" s="99" customFormat="1" x14ac:dyDescent="0.2">
      <c r="C2413" s="198"/>
      <c r="D2413" s="198"/>
      <c r="E2413" s="537"/>
      <c r="G2413" s="198"/>
      <c r="H2413" s="123"/>
    </row>
    <row r="2414" spans="3:8" s="99" customFormat="1" x14ac:dyDescent="0.2">
      <c r="C2414" s="198"/>
      <c r="D2414" s="198"/>
      <c r="E2414" s="537"/>
      <c r="G2414" s="198"/>
      <c r="H2414" s="123"/>
    </row>
    <row r="2415" spans="3:8" s="99" customFormat="1" x14ac:dyDescent="0.2">
      <c r="C2415" s="198"/>
      <c r="D2415" s="198"/>
      <c r="E2415" s="537"/>
      <c r="G2415" s="198"/>
      <c r="H2415" s="123"/>
    </row>
    <row r="2416" spans="3:8" s="99" customFormat="1" x14ac:dyDescent="0.2">
      <c r="C2416" s="198"/>
      <c r="D2416" s="198"/>
      <c r="E2416" s="537"/>
      <c r="G2416" s="198"/>
      <c r="H2416" s="123"/>
    </row>
    <row r="2417" spans="3:8" s="99" customFormat="1" x14ac:dyDescent="0.2">
      <c r="C2417" s="198"/>
      <c r="D2417" s="198"/>
      <c r="E2417" s="537"/>
      <c r="G2417" s="198"/>
      <c r="H2417" s="123"/>
    </row>
    <row r="2418" spans="3:8" s="99" customFormat="1" x14ac:dyDescent="0.2">
      <c r="C2418" s="198"/>
      <c r="D2418" s="198"/>
      <c r="E2418" s="537"/>
      <c r="G2418" s="198"/>
      <c r="H2418" s="123"/>
    </row>
    <row r="2419" spans="3:8" s="99" customFormat="1" x14ac:dyDescent="0.2">
      <c r="C2419" s="198"/>
      <c r="D2419" s="198"/>
      <c r="E2419" s="537"/>
      <c r="G2419" s="198"/>
      <c r="H2419" s="123"/>
    </row>
    <row r="2420" spans="3:8" s="99" customFormat="1" x14ac:dyDescent="0.2">
      <c r="C2420" s="198"/>
      <c r="D2420" s="198"/>
      <c r="E2420" s="537"/>
      <c r="G2420" s="198"/>
      <c r="H2420" s="123"/>
    </row>
    <row r="2421" spans="3:8" s="99" customFormat="1" x14ac:dyDescent="0.2">
      <c r="C2421" s="198"/>
      <c r="D2421" s="198"/>
      <c r="E2421" s="537"/>
      <c r="G2421" s="198"/>
      <c r="H2421" s="123"/>
    </row>
    <row r="2422" spans="3:8" s="99" customFormat="1" x14ac:dyDescent="0.2">
      <c r="C2422" s="198"/>
      <c r="D2422" s="198"/>
      <c r="E2422" s="537"/>
      <c r="G2422" s="198"/>
      <c r="H2422" s="123"/>
    </row>
    <row r="2423" spans="3:8" s="99" customFormat="1" x14ac:dyDescent="0.2">
      <c r="C2423" s="198"/>
      <c r="D2423" s="198"/>
      <c r="E2423" s="537"/>
      <c r="G2423" s="198"/>
      <c r="H2423" s="123"/>
    </row>
    <row r="2424" spans="3:8" s="99" customFormat="1" x14ac:dyDescent="0.2">
      <c r="C2424" s="198"/>
      <c r="D2424" s="198"/>
      <c r="E2424" s="537"/>
      <c r="G2424" s="198"/>
      <c r="H2424" s="123"/>
    </row>
    <row r="2425" spans="3:8" s="99" customFormat="1" x14ac:dyDescent="0.2">
      <c r="C2425" s="198"/>
      <c r="D2425" s="198"/>
      <c r="E2425" s="537"/>
      <c r="G2425" s="198"/>
      <c r="H2425" s="123"/>
    </row>
    <row r="2426" spans="3:8" s="99" customFormat="1" x14ac:dyDescent="0.2">
      <c r="C2426" s="198"/>
      <c r="D2426" s="198"/>
      <c r="E2426" s="537"/>
      <c r="G2426" s="198"/>
      <c r="H2426" s="123"/>
    </row>
    <row r="2427" spans="3:8" s="99" customFormat="1" x14ac:dyDescent="0.2">
      <c r="C2427" s="198"/>
      <c r="D2427" s="198"/>
      <c r="E2427" s="537"/>
      <c r="G2427" s="198"/>
      <c r="H2427" s="123"/>
    </row>
    <row r="2428" spans="3:8" s="99" customFormat="1" x14ac:dyDescent="0.2">
      <c r="C2428" s="198"/>
      <c r="D2428" s="198"/>
      <c r="E2428" s="537"/>
      <c r="G2428" s="198"/>
      <c r="H2428" s="123"/>
    </row>
    <row r="2429" spans="3:8" s="99" customFormat="1" x14ac:dyDescent="0.2">
      <c r="C2429" s="198"/>
      <c r="D2429" s="198"/>
      <c r="E2429" s="537"/>
      <c r="G2429" s="198"/>
      <c r="H2429" s="123"/>
    </row>
    <row r="2430" spans="3:8" s="99" customFormat="1" x14ac:dyDescent="0.2">
      <c r="C2430" s="198"/>
      <c r="D2430" s="198"/>
      <c r="E2430" s="537"/>
      <c r="G2430" s="198"/>
      <c r="H2430" s="123"/>
    </row>
    <row r="2431" spans="3:8" s="99" customFormat="1" x14ac:dyDescent="0.2">
      <c r="C2431" s="198"/>
      <c r="D2431" s="198"/>
      <c r="E2431" s="537"/>
      <c r="G2431" s="198"/>
      <c r="H2431" s="123"/>
    </row>
    <row r="2432" spans="3:8" s="99" customFormat="1" x14ac:dyDescent="0.2">
      <c r="C2432" s="198"/>
      <c r="D2432" s="198"/>
      <c r="E2432" s="537"/>
      <c r="G2432" s="198"/>
      <c r="H2432" s="123"/>
    </row>
    <row r="2433" spans="3:8" s="99" customFormat="1" x14ac:dyDescent="0.2">
      <c r="C2433" s="198"/>
      <c r="D2433" s="198"/>
      <c r="E2433" s="537"/>
      <c r="G2433" s="198"/>
      <c r="H2433" s="123"/>
    </row>
    <row r="2434" spans="3:8" s="99" customFormat="1" x14ac:dyDescent="0.2">
      <c r="C2434" s="198"/>
      <c r="D2434" s="198"/>
      <c r="E2434" s="537"/>
      <c r="G2434" s="198"/>
      <c r="H2434" s="123"/>
    </row>
    <row r="2435" spans="3:8" s="99" customFormat="1" x14ac:dyDescent="0.2">
      <c r="C2435" s="198"/>
      <c r="D2435" s="198"/>
      <c r="E2435" s="537"/>
      <c r="G2435" s="198"/>
      <c r="H2435" s="123"/>
    </row>
    <row r="2436" spans="3:8" s="99" customFormat="1" x14ac:dyDescent="0.2">
      <c r="C2436" s="198"/>
      <c r="D2436" s="198"/>
      <c r="E2436" s="537"/>
      <c r="G2436" s="198"/>
      <c r="H2436" s="123"/>
    </row>
    <row r="2437" spans="3:8" s="99" customFormat="1" x14ac:dyDescent="0.2">
      <c r="C2437" s="198"/>
      <c r="D2437" s="198"/>
      <c r="E2437" s="537"/>
      <c r="G2437" s="198"/>
      <c r="H2437" s="123"/>
    </row>
    <row r="2438" spans="3:8" s="99" customFormat="1" x14ac:dyDescent="0.2">
      <c r="C2438" s="198"/>
      <c r="D2438" s="198"/>
      <c r="E2438" s="537"/>
      <c r="G2438" s="198"/>
      <c r="H2438" s="123"/>
    </row>
    <row r="2439" spans="3:8" s="99" customFormat="1" x14ac:dyDescent="0.2">
      <c r="C2439" s="198"/>
      <c r="D2439" s="198"/>
      <c r="E2439" s="537"/>
      <c r="G2439" s="198"/>
      <c r="H2439" s="123"/>
    </row>
    <row r="2440" spans="3:8" s="99" customFormat="1" x14ac:dyDescent="0.2">
      <c r="C2440" s="198"/>
      <c r="D2440" s="198"/>
      <c r="E2440" s="537"/>
      <c r="G2440" s="198"/>
      <c r="H2440" s="123"/>
    </row>
    <row r="2441" spans="3:8" s="99" customFormat="1" x14ac:dyDescent="0.2">
      <c r="C2441" s="198"/>
      <c r="D2441" s="198"/>
      <c r="E2441" s="537"/>
      <c r="G2441" s="198"/>
      <c r="H2441" s="123"/>
    </row>
    <row r="2442" spans="3:8" s="99" customFormat="1" x14ac:dyDescent="0.2">
      <c r="C2442" s="198"/>
      <c r="D2442" s="198"/>
      <c r="E2442" s="537"/>
      <c r="G2442" s="198"/>
      <c r="H2442" s="123"/>
    </row>
    <row r="2443" spans="3:8" s="99" customFormat="1" x14ac:dyDescent="0.2">
      <c r="C2443" s="198"/>
      <c r="D2443" s="198"/>
      <c r="E2443" s="537"/>
      <c r="G2443" s="198"/>
      <c r="H2443" s="123"/>
    </row>
    <row r="2444" spans="3:8" s="99" customFormat="1" x14ac:dyDescent="0.2">
      <c r="C2444" s="198"/>
      <c r="D2444" s="198"/>
      <c r="E2444" s="537"/>
      <c r="G2444" s="198"/>
      <c r="H2444" s="123"/>
    </row>
    <row r="2445" spans="3:8" s="99" customFormat="1" x14ac:dyDescent="0.2">
      <c r="C2445" s="198"/>
      <c r="D2445" s="198"/>
      <c r="E2445" s="537"/>
      <c r="G2445" s="198"/>
      <c r="H2445" s="123"/>
    </row>
    <row r="2446" spans="3:8" s="99" customFormat="1" x14ac:dyDescent="0.2">
      <c r="C2446" s="198"/>
      <c r="D2446" s="198"/>
      <c r="E2446" s="537"/>
      <c r="G2446" s="198"/>
      <c r="H2446" s="123"/>
    </row>
    <row r="2447" spans="3:8" s="99" customFormat="1" x14ac:dyDescent="0.2">
      <c r="C2447" s="198"/>
      <c r="D2447" s="198"/>
      <c r="E2447" s="537"/>
      <c r="G2447" s="198"/>
      <c r="H2447" s="123"/>
    </row>
    <row r="2448" spans="3:8" s="99" customFormat="1" x14ac:dyDescent="0.2">
      <c r="C2448" s="198"/>
      <c r="D2448" s="198"/>
      <c r="E2448" s="537"/>
      <c r="G2448" s="198"/>
      <c r="H2448" s="123"/>
    </row>
    <row r="2449" spans="3:8" s="99" customFormat="1" x14ac:dyDescent="0.2">
      <c r="C2449" s="198"/>
      <c r="D2449" s="198"/>
      <c r="E2449" s="537"/>
      <c r="G2449" s="198"/>
      <c r="H2449" s="123"/>
    </row>
    <row r="2450" spans="3:8" s="99" customFormat="1" x14ac:dyDescent="0.2">
      <c r="C2450" s="198"/>
      <c r="D2450" s="198"/>
      <c r="E2450" s="537"/>
      <c r="G2450" s="198"/>
      <c r="H2450" s="123"/>
    </row>
    <row r="2451" spans="3:8" s="99" customFormat="1" x14ac:dyDescent="0.2">
      <c r="C2451" s="198"/>
      <c r="D2451" s="198"/>
      <c r="E2451" s="537"/>
      <c r="G2451" s="198"/>
      <c r="H2451" s="123"/>
    </row>
    <row r="2452" spans="3:8" s="99" customFormat="1" x14ac:dyDescent="0.2">
      <c r="C2452" s="198"/>
      <c r="D2452" s="198"/>
      <c r="E2452" s="537"/>
      <c r="G2452" s="198"/>
      <c r="H2452" s="123"/>
    </row>
    <row r="2453" spans="3:8" s="99" customFormat="1" x14ac:dyDescent="0.2">
      <c r="C2453" s="198"/>
      <c r="D2453" s="198"/>
      <c r="E2453" s="537"/>
      <c r="G2453" s="198"/>
      <c r="H2453" s="123"/>
    </row>
    <row r="2454" spans="3:8" s="99" customFormat="1" x14ac:dyDescent="0.2">
      <c r="C2454" s="198"/>
      <c r="D2454" s="198"/>
      <c r="E2454" s="537"/>
      <c r="G2454" s="198"/>
      <c r="H2454" s="123"/>
    </row>
    <row r="2455" spans="3:8" s="99" customFormat="1" x14ac:dyDescent="0.2">
      <c r="C2455" s="198"/>
      <c r="D2455" s="198"/>
      <c r="E2455" s="537"/>
      <c r="G2455" s="198"/>
      <c r="H2455" s="123"/>
    </row>
    <row r="2456" spans="3:8" s="99" customFormat="1" x14ac:dyDescent="0.2">
      <c r="C2456" s="198"/>
      <c r="D2456" s="198"/>
      <c r="E2456" s="537"/>
      <c r="G2456" s="198"/>
      <c r="H2456" s="123"/>
    </row>
    <row r="2457" spans="3:8" s="99" customFormat="1" x14ac:dyDescent="0.2">
      <c r="C2457" s="198"/>
      <c r="D2457" s="198"/>
      <c r="E2457" s="537"/>
      <c r="G2457" s="198"/>
      <c r="H2457" s="123"/>
    </row>
    <row r="2458" spans="3:8" s="99" customFormat="1" x14ac:dyDescent="0.2">
      <c r="C2458" s="198"/>
      <c r="D2458" s="198"/>
      <c r="E2458" s="537"/>
      <c r="G2458" s="198"/>
      <c r="H2458" s="123"/>
    </row>
    <row r="2459" spans="3:8" s="99" customFormat="1" x14ac:dyDescent="0.2">
      <c r="C2459" s="198"/>
      <c r="D2459" s="198"/>
      <c r="E2459" s="537"/>
      <c r="G2459" s="198"/>
      <c r="H2459" s="123"/>
    </row>
    <row r="2460" spans="3:8" s="99" customFormat="1" x14ac:dyDescent="0.2">
      <c r="C2460" s="198"/>
      <c r="D2460" s="198"/>
      <c r="E2460" s="537"/>
      <c r="G2460" s="198"/>
      <c r="H2460" s="123"/>
    </row>
    <row r="2461" spans="3:8" s="99" customFormat="1" x14ac:dyDescent="0.2">
      <c r="C2461" s="198"/>
      <c r="D2461" s="198"/>
      <c r="E2461" s="537"/>
      <c r="G2461" s="198"/>
      <c r="H2461" s="123"/>
    </row>
    <row r="2462" spans="3:8" s="99" customFormat="1" x14ac:dyDescent="0.2">
      <c r="C2462" s="198"/>
      <c r="D2462" s="198"/>
      <c r="E2462" s="537"/>
      <c r="G2462" s="198"/>
      <c r="H2462" s="123"/>
    </row>
    <row r="2463" spans="3:8" s="99" customFormat="1" x14ac:dyDescent="0.2">
      <c r="C2463" s="198"/>
      <c r="D2463" s="198"/>
      <c r="E2463" s="537"/>
      <c r="G2463" s="198"/>
      <c r="H2463" s="123"/>
    </row>
    <row r="2464" spans="3:8" s="99" customFormat="1" x14ac:dyDescent="0.2">
      <c r="C2464" s="198"/>
      <c r="D2464" s="198"/>
      <c r="E2464" s="537"/>
      <c r="G2464" s="198"/>
      <c r="H2464" s="123"/>
    </row>
    <row r="2465" spans="3:8" s="99" customFormat="1" x14ac:dyDescent="0.2">
      <c r="C2465" s="198"/>
      <c r="D2465" s="198"/>
      <c r="E2465" s="537"/>
      <c r="G2465" s="198"/>
      <c r="H2465" s="123"/>
    </row>
    <row r="2466" spans="3:8" s="99" customFormat="1" x14ac:dyDescent="0.2">
      <c r="C2466" s="198"/>
      <c r="D2466" s="198"/>
      <c r="E2466" s="537"/>
      <c r="G2466" s="198"/>
      <c r="H2466" s="123"/>
    </row>
    <row r="2467" spans="3:8" s="99" customFormat="1" x14ac:dyDescent="0.2">
      <c r="C2467" s="198"/>
      <c r="D2467" s="198"/>
      <c r="E2467" s="537"/>
      <c r="G2467" s="198"/>
      <c r="H2467" s="123"/>
    </row>
    <row r="2468" spans="3:8" s="99" customFormat="1" x14ac:dyDescent="0.2">
      <c r="C2468" s="198"/>
      <c r="D2468" s="198"/>
      <c r="E2468" s="537"/>
      <c r="G2468" s="198"/>
      <c r="H2468" s="123"/>
    </row>
    <row r="2469" spans="3:8" s="99" customFormat="1" x14ac:dyDescent="0.2">
      <c r="C2469" s="198"/>
      <c r="D2469" s="198"/>
      <c r="E2469" s="537"/>
      <c r="G2469" s="198"/>
      <c r="H2469" s="123"/>
    </row>
    <row r="2470" spans="3:8" s="99" customFormat="1" x14ac:dyDescent="0.2">
      <c r="C2470" s="198"/>
      <c r="D2470" s="198"/>
      <c r="E2470" s="537"/>
      <c r="G2470" s="198"/>
      <c r="H2470" s="123"/>
    </row>
    <row r="2471" spans="3:8" s="99" customFormat="1" x14ac:dyDescent="0.2">
      <c r="C2471" s="198"/>
      <c r="D2471" s="198"/>
      <c r="E2471" s="537"/>
      <c r="G2471" s="198"/>
      <c r="H2471" s="123"/>
    </row>
    <row r="2472" spans="3:8" s="99" customFormat="1" x14ac:dyDescent="0.2">
      <c r="C2472" s="198"/>
      <c r="D2472" s="198"/>
      <c r="E2472" s="537"/>
      <c r="G2472" s="198"/>
      <c r="H2472" s="123"/>
    </row>
    <row r="2473" spans="3:8" s="99" customFormat="1" x14ac:dyDescent="0.2">
      <c r="C2473" s="198"/>
      <c r="D2473" s="198"/>
      <c r="E2473" s="537"/>
      <c r="G2473" s="198"/>
      <c r="H2473" s="123"/>
    </row>
    <row r="2474" spans="3:8" s="99" customFormat="1" x14ac:dyDescent="0.2">
      <c r="C2474" s="198"/>
      <c r="D2474" s="198"/>
      <c r="E2474" s="537"/>
      <c r="G2474" s="198"/>
      <c r="H2474" s="123"/>
    </row>
    <row r="2475" spans="3:8" s="99" customFormat="1" x14ac:dyDescent="0.2">
      <c r="C2475" s="198"/>
      <c r="D2475" s="198"/>
      <c r="E2475" s="537"/>
      <c r="G2475" s="198"/>
      <c r="H2475" s="123"/>
    </row>
    <row r="2476" spans="3:8" s="99" customFormat="1" x14ac:dyDescent="0.2">
      <c r="C2476" s="198"/>
      <c r="D2476" s="198"/>
      <c r="E2476" s="537"/>
      <c r="G2476" s="198"/>
      <c r="H2476" s="123"/>
    </row>
    <row r="2477" spans="3:8" s="99" customFormat="1" x14ac:dyDescent="0.2">
      <c r="C2477" s="198"/>
      <c r="D2477" s="198"/>
      <c r="E2477" s="537"/>
      <c r="G2477" s="198"/>
      <c r="H2477" s="123"/>
    </row>
    <row r="2478" spans="3:8" s="99" customFormat="1" x14ac:dyDescent="0.2">
      <c r="C2478" s="198"/>
      <c r="D2478" s="198"/>
      <c r="E2478" s="537"/>
      <c r="G2478" s="198"/>
      <c r="H2478" s="123"/>
    </row>
    <row r="2479" spans="3:8" s="99" customFormat="1" x14ac:dyDescent="0.2">
      <c r="C2479" s="198"/>
      <c r="D2479" s="198"/>
      <c r="E2479" s="537"/>
      <c r="G2479" s="198"/>
      <c r="H2479" s="123"/>
    </row>
    <row r="2480" spans="3:8" s="99" customFormat="1" x14ac:dyDescent="0.2">
      <c r="C2480" s="198"/>
      <c r="D2480" s="198"/>
      <c r="E2480" s="537"/>
      <c r="G2480" s="198"/>
      <c r="H2480" s="123"/>
    </row>
    <row r="2481" spans="3:8" s="99" customFormat="1" x14ac:dyDescent="0.2">
      <c r="C2481" s="198"/>
      <c r="D2481" s="198"/>
      <c r="E2481" s="537"/>
      <c r="G2481" s="198"/>
      <c r="H2481" s="123"/>
    </row>
    <row r="2482" spans="3:8" s="99" customFormat="1" x14ac:dyDescent="0.2">
      <c r="C2482" s="198"/>
      <c r="D2482" s="198"/>
      <c r="E2482" s="537"/>
      <c r="G2482" s="198"/>
      <c r="H2482" s="123"/>
    </row>
    <row r="2483" spans="3:8" s="99" customFormat="1" x14ac:dyDescent="0.2">
      <c r="C2483" s="198"/>
      <c r="D2483" s="198"/>
      <c r="E2483" s="537"/>
      <c r="G2483" s="198"/>
      <c r="H2483" s="123"/>
    </row>
    <row r="2484" spans="3:8" s="99" customFormat="1" x14ac:dyDescent="0.2">
      <c r="C2484" s="198"/>
      <c r="D2484" s="198"/>
      <c r="E2484" s="537"/>
      <c r="G2484" s="198"/>
      <c r="H2484" s="123"/>
    </row>
    <row r="2485" spans="3:8" s="99" customFormat="1" x14ac:dyDescent="0.2">
      <c r="C2485" s="198"/>
      <c r="D2485" s="198"/>
      <c r="E2485" s="537"/>
      <c r="G2485" s="198"/>
      <c r="H2485" s="123"/>
    </row>
    <row r="2486" spans="3:8" s="99" customFormat="1" x14ac:dyDescent="0.2">
      <c r="C2486" s="198"/>
      <c r="D2486" s="198"/>
      <c r="E2486" s="537"/>
      <c r="G2486" s="198"/>
      <c r="H2486" s="123"/>
    </row>
    <row r="2487" spans="3:8" s="99" customFormat="1" x14ac:dyDescent="0.2">
      <c r="C2487" s="198"/>
      <c r="D2487" s="198"/>
      <c r="E2487" s="537"/>
      <c r="G2487" s="198"/>
      <c r="H2487" s="123"/>
    </row>
    <row r="2488" spans="3:8" s="99" customFormat="1" x14ac:dyDescent="0.2">
      <c r="C2488" s="198"/>
      <c r="D2488" s="198"/>
      <c r="E2488" s="537"/>
      <c r="G2488" s="198"/>
      <c r="H2488" s="123"/>
    </row>
    <row r="2489" spans="3:8" s="99" customFormat="1" x14ac:dyDescent="0.2">
      <c r="C2489" s="198"/>
      <c r="D2489" s="198"/>
      <c r="E2489" s="537"/>
      <c r="G2489" s="198"/>
      <c r="H2489" s="123"/>
    </row>
    <row r="2490" spans="3:8" s="99" customFormat="1" x14ac:dyDescent="0.2">
      <c r="C2490" s="198"/>
      <c r="D2490" s="198"/>
      <c r="E2490" s="537"/>
      <c r="G2490" s="198"/>
      <c r="H2490" s="123"/>
    </row>
    <row r="2491" spans="3:8" s="99" customFormat="1" x14ac:dyDescent="0.2">
      <c r="C2491" s="198"/>
      <c r="D2491" s="198"/>
      <c r="E2491" s="537"/>
      <c r="G2491" s="198"/>
      <c r="H2491" s="123"/>
    </row>
    <row r="2492" spans="3:8" s="99" customFormat="1" x14ac:dyDescent="0.2">
      <c r="C2492" s="198"/>
      <c r="D2492" s="198"/>
      <c r="E2492" s="537"/>
      <c r="G2492" s="198"/>
      <c r="H2492" s="123"/>
    </row>
    <row r="2493" spans="3:8" s="99" customFormat="1" x14ac:dyDescent="0.2">
      <c r="C2493" s="198"/>
      <c r="D2493" s="198"/>
      <c r="E2493" s="537"/>
      <c r="G2493" s="198"/>
      <c r="H2493" s="123"/>
    </row>
    <row r="2494" spans="3:8" s="99" customFormat="1" x14ac:dyDescent="0.2">
      <c r="C2494" s="198"/>
      <c r="D2494" s="198"/>
      <c r="E2494" s="537"/>
      <c r="G2494" s="198"/>
      <c r="H2494" s="123"/>
    </row>
    <row r="2495" spans="3:8" s="99" customFormat="1" x14ac:dyDescent="0.2">
      <c r="C2495" s="198"/>
      <c r="D2495" s="198"/>
      <c r="E2495" s="537"/>
      <c r="G2495" s="198"/>
      <c r="H2495" s="123"/>
    </row>
    <row r="2496" spans="3:8" s="99" customFormat="1" x14ac:dyDescent="0.2">
      <c r="C2496" s="198"/>
      <c r="D2496" s="198"/>
      <c r="E2496" s="537"/>
      <c r="G2496" s="198"/>
      <c r="H2496" s="123"/>
    </row>
    <row r="2497" spans="3:8" s="99" customFormat="1" x14ac:dyDescent="0.2">
      <c r="C2497" s="198"/>
      <c r="D2497" s="198"/>
      <c r="E2497" s="537"/>
      <c r="G2497" s="198"/>
      <c r="H2497" s="123"/>
    </row>
    <row r="2498" spans="3:8" s="99" customFormat="1" x14ac:dyDescent="0.2">
      <c r="C2498" s="198"/>
      <c r="D2498" s="198"/>
      <c r="E2498" s="537"/>
      <c r="G2498" s="198"/>
      <c r="H2498" s="123"/>
    </row>
    <row r="2499" spans="3:8" s="99" customFormat="1" x14ac:dyDescent="0.2">
      <c r="C2499" s="198"/>
      <c r="D2499" s="198"/>
      <c r="E2499" s="537"/>
      <c r="G2499" s="198"/>
      <c r="H2499" s="123"/>
    </row>
    <row r="2500" spans="3:8" s="99" customFormat="1" x14ac:dyDescent="0.2">
      <c r="C2500" s="198"/>
      <c r="D2500" s="198"/>
      <c r="E2500" s="537"/>
      <c r="G2500" s="198"/>
      <c r="H2500" s="123"/>
    </row>
    <row r="2501" spans="3:8" s="99" customFormat="1" x14ac:dyDescent="0.2">
      <c r="C2501" s="198"/>
      <c r="D2501" s="198"/>
      <c r="E2501" s="537"/>
      <c r="G2501" s="198"/>
      <c r="H2501" s="123"/>
    </row>
    <row r="2502" spans="3:8" s="99" customFormat="1" x14ac:dyDescent="0.2">
      <c r="C2502" s="198"/>
      <c r="D2502" s="198"/>
      <c r="E2502" s="537"/>
      <c r="G2502" s="198"/>
      <c r="H2502" s="123"/>
    </row>
    <row r="2503" spans="3:8" s="99" customFormat="1" x14ac:dyDescent="0.2">
      <c r="C2503" s="198"/>
      <c r="D2503" s="198"/>
      <c r="E2503" s="537"/>
      <c r="G2503" s="198"/>
      <c r="H2503" s="123"/>
    </row>
    <row r="2504" spans="3:8" s="99" customFormat="1" x14ac:dyDescent="0.2">
      <c r="C2504" s="198"/>
      <c r="D2504" s="198"/>
      <c r="E2504" s="537"/>
      <c r="G2504" s="198"/>
      <c r="H2504" s="123"/>
    </row>
    <row r="2505" spans="3:8" s="99" customFormat="1" x14ac:dyDescent="0.2">
      <c r="C2505" s="198"/>
      <c r="D2505" s="198"/>
      <c r="E2505" s="537"/>
      <c r="G2505" s="198"/>
      <c r="H2505" s="123"/>
    </row>
    <row r="2506" spans="3:8" s="99" customFormat="1" x14ac:dyDescent="0.2">
      <c r="C2506" s="198"/>
      <c r="D2506" s="198"/>
      <c r="E2506" s="537"/>
      <c r="G2506" s="198"/>
      <c r="H2506" s="123"/>
    </row>
    <row r="2507" spans="3:8" s="99" customFormat="1" x14ac:dyDescent="0.2">
      <c r="C2507" s="198"/>
      <c r="D2507" s="198"/>
      <c r="E2507" s="537"/>
      <c r="G2507" s="198"/>
      <c r="H2507" s="123"/>
    </row>
    <row r="2508" spans="3:8" s="99" customFormat="1" x14ac:dyDescent="0.2">
      <c r="C2508" s="198"/>
      <c r="D2508" s="198"/>
      <c r="E2508" s="537"/>
      <c r="G2508" s="198"/>
      <c r="H2508" s="123"/>
    </row>
    <row r="2509" spans="3:8" s="99" customFormat="1" x14ac:dyDescent="0.2">
      <c r="C2509" s="198"/>
      <c r="D2509" s="198"/>
      <c r="E2509" s="537"/>
      <c r="G2509" s="198"/>
      <c r="H2509" s="123"/>
    </row>
    <row r="2510" spans="3:8" s="99" customFormat="1" x14ac:dyDescent="0.2">
      <c r="C2510" s="198"/>
      <c r="D2510" s="198"/>
      <c r="E2510" s="537"/>
      <c r="G2510" s="198"/>
      <c r="H2510" s="123"/>
    </row>
    <row r="2511" spans="3:8" s="99" customFormat="1" x14ac:dyDescent="0.2">
      <c r="C2511" s="198"/>
      <c r="D2511" s="198"/>
      <c r="E2511" s="537"/>
      <c r="G2511" s="198"/>
      <c r="H2511" s="123"/>
    </row>
    <row r="2512" spans="3:8" s="99" customFormat="1" x14ac:dyDescent="0.2">
      <c r="C2512" s="198"/>
      <c r="D2512" s="198"/>
      <c r="E2512" s="537"/>
      <c r="G2512" s="198"/>
      <c r="H2512" s="123"/>
    </row>
    <row r="2513" spans="3:8" s="99" customFormat="1" x14ac:dyDescent="0.2">
      <c r="C2513" s="198"/>
      <c r="D2513" s="198"/>
      <c r="E2513" s="537"/>
      <c r="G2513" s="198"/>
      <c r="H2513" s="123"/>
    </row>
    <row r="2514" spans="3:8" s="99" customFormat="1" x14ac:dyDescent="0.2">
      <c r="C2514" s="198"/>
      <c r="D2514" s="198"/>
      <c r="E2514" s="537"/>
      <c r="G2514" s="198"/>
      <c r="H2514" s="123"/>
    </row>
    <row r="2515" spans="3:8" s="99" customFormat="1" x14ac:dyDescent="0.2">
      <c r="C2515" s="198"/>
      <c r="D2515" s="198"/>
      <c r="E2515" s="537"/>
      <c r="G2515" s="198"/>
      <c r="H2515" s="123"/>
    </row>
    <row r="2516" spans="3:8" s="99" customFormat="1" x14ac:dyDescent="0.2">
      <c r="C2516" s="198"/>
      <c r="D2516" s="198"/>
      <c r="E2516" s="537"/>
      <c r="G2516" s="198"/>
      <c r="H2516" s="123"/>
    </row>
    <row r="2517" spans="3:8" s="99" customFormat="1" x14ac:dyDescent="0.2">
      <c r="C2517" s="198"/>
      <c r="D2517" s="198"/>
      <c r="E2517" s="537"/>
      <c r="G2517" s="198"/>
      <c r="H2517" s="123"/>
    </row>
    <row r="2518" spans="3:8" s="99" customFormat="1" x14ac:dyDescent="0.2">
      <c r="C2518" s="198"/>
      <c r="D2518" s="198"/>
      <c r="E2518" s="537"/>
      <c r="G2518" s="198"/>
      <c r="H2518" s="123"/>
    </row>
    <row r="2519" spans="3:8" s="99" customFormat="1" x14ac:dyDescent="0.2">
      <c r="C2519" s="198"/>
      <c r="D2519" s="198"/>
      <c r="E2519" s="537"/>
      <c r="G2519" s="198"/>
      <c r="H2519" s="123"/>
    </row>
    <row r="2520" spans="3:8" s="99" customFormat="1" x14ac:dyDescent="0.2">
      <c r="C2520" s="198"/>
      <c r="D2520" s="198"/>
      <c r="E2520" s="537"/>
      <c r="G2520" s="198"/>
      <c r="H2520" s="123"/>
    </row>
    <row r="2521" spans="3:8" s="99" customFormat="1" x14ac:dyDescent="0.2">
      <c r="C2521" s="198"/>
      <c r="D2521" s="198"/>
      <c r="E2521" s="537"/>
      <c r="G2521" s="198"/>
      <c r="H2521" s="123"/>
    </row>
    <row r="2522" spans="3:8" s="99" customFormat="1" x14ac:dyDescent="0.2">
      <c r="C2522" s="198"/>
      <c r="D2522" s="198"/>
      <c r="E2522" s="537"/>
      <c r="G2522" s="198"/>
      <c r="H2522" s="123"/>
    </row>
    <row r="2523" spans="3:8" s="99" customFormat="1" x14ac:dyDescent="0.2">
      <c r="C2523" s="198"/>
      <c r="D2523" s="198"/>
      <c r="E2523" s="537"/>
      <c r="G2523" s="198"/>
      <c r="H2523" s="123"/>
    </row>
    <row r="2524" spans="3:8" s="99" customFormat="1" x14ac:dyDescent="0.2">
      <c r="C2524" s="198"/>
      <c r="D2524" s="198"/>
      <c r="E2524" s="537"/>
      <c r="G2524" s="198"/>
      <c r="H2524" s="123"/>
    </row>
    <row r="2525" spans="3:8" s="99" customFormat="1" x14ac:dyDescent="0.2">
      <c r="C2525" s="198"/>
      <c r="D2525" s="198"/>
      <c r="E2525" s="537"/>
      <c r="G2525" s="198"/>
      <c r="H2525" s="123"/>
    </row>
    <row r="2526" spans="3:8" s="99" customFormat="1" x14ac:dyDescent="0.2">
      <c r="C2526" s="198"/>
      <c r="D2526" s="198"/>
      <c r="E2526" s="537"/>
      <c r="G2526" s="198"/>
      <c r="H2526" s="123"/>
    </row>
    <row r="2527" spans="3:8" s="99" customFormat="1" x14ac:dyDescent="0.2">
      <c r="C2527" s="198"/>
      <c r="D2527" s="198"/>
      <c r="E2527" s="537"/>
      <c r="G2527" s="198"/>
      <c r="H2527" s="123"/>
    </row>
    <row r="2528" spans="3:8" s="99" customFormat="1" x14ac:dyDescent="0.2">
      <c r="C2528" s="198"/>
      <c r="D2528" s="198"/>
      <c r="E2528" s="537"/>
      <c r="G2528" s="198"/>
      <c r="H2528" s="123"/>
    </row>
    <row r="2529" spans="3:8" s="99" customFormat="1" x14ac:dyDescent="0.2">
      <c r="C2529" s="198"/>
      <c r="D2529" s="198"/>
      <c r="E2529" s="537"/>
      <c r="G2529" s="198"/>
      <c r="H2529" s="123"/>
    </row>
    <row r="2530" spans="3:8" s="99" customFormat="1" x14ac:dyDescent="0.2">
      <c r="C2530" s="198"/>
      <c r="D2530" s="198"/>
      <c r="E2530" s="537"/>
      <c r="G2530" s="198"/>
      <c r="H2530" s="123"/>
    </row>
    <row r="2531" spans="3:8" s="99" customFormat="1" x14ac:dyDescent="0.2">
      <c r="C2531" s="198"/>
      <c r="D2531" s="198"/>
      <c r="E2531" s="537"/>
      <c r="G2531" s="198"/>
      <c r="H2531" s="123"/>
    </row>
    <row r="2532" spans="3:8" s="99" customFormat="1" x14ac:dyDescent="0.2">
      <c r="C2532" s="198"/>
      <c r="D2532" s="198"/>
      <c r="E2532" s="537"/>
      <c r="G2532" s="198"/>
      <c r="H2532" s="123"/>
    </row>
    <row r="2533" spans="3:8" s="99" customFormat="1" x14ac:dyDescent="0.2">
      <c r="C2533" s="198"/>
      <c r="D2533" s="198"/>
      <c r="E2533" s="537"/>
      <c r="G2533" s="198"/>
      <c r="H2533" s="123"/>
    </row>
    <row r="2534" spans="3:8" s="99" customFormat="1" x14ac:dyDescent="0.2">
      <c r="C2534" s="198"/>
      <c r="D2534" s="198"/>
      <c r="E2534" s="537"/>
      <c r="G2534" s="198"/>
      <c r="H2534" s="123"/>
    </row>
    <row r="2535" spans="3:8" s="99" customFormat="1" x14ac:dyDescent="0.2">
      <c r="C2535" s="198"/>
      <c r="D2535" s="198"/>
      <c r="E2535" s="537"/>
      <c r="G2535" s="198"/>
      <c r="H2535" s="123"/>
    </row>
    <row r="2536" spans="3:8" s="99" customFormat="1" x14ac:dyDescent="0.2">
      <c r="C2536" s="198"/>
      <c r="D2536" s="198"/>
      <c r="E2536" s="537"/>
      <c r="G2536" s="198"/>
      <c r="H2536" s="123"/>
    </row>
    <row r="2537" spans="3:8" s="99" customFormat="1" x14ac:dyDescent="0.2">
      <c r="C2537" s="198"/>
      <c r="D2537" s="198"/>
      <c r="E2537" s="537"/>
      <c r="G2537" s="198"/>
      <c r="H2537" s="123"/>
    </row>
    <row r="2538" spans="3:8" s="99" customFormat="1" x14ac:dyDescent="0.2">
      <c r="C2538" s="198"/>
      <c r="D2538" s="198"/>
      <c r="E2538" s="537"/>
      <c r="G2538" s="198"/>
      <c r="H2538" s="123"/>
    </row>
    <row r="2539" spans="3:8" s="99" customFormat="1" x14ac:dyDescent="0.2">
      <c r="C2539" s="198"/>
      <c r="D2539" s="198"/>
      <c r="E2539" s="537"/>
      <c r="G2539" s="198"/>
      <c r="H2539" s="123"/>
    </row>
    <row r="2540" spans="3:8" s="99" customFormat="1" x14ac:dyDescent="0.2">
      <c r="C2540" s="198"/>
      <c r="D2540" s="198"/>
      <c r="E2540" s="537"/>
      <c r="G2540" s="198"/>
      <c r="H2540" s="123"/>
    </row>
    <row r="2541" spans="3:8" s="99" customFormat="1" x14ac:dyDescent="0.2">
      <c r="C2541" s="198"/>
      <c r="D2541" s="198"/>
      <c r="E2541" s="537"/>
      <c r="G2541" s="198"/>
      <c r="H2541" s="123"/>
    </row>
    <row r="2542" spans="3:8" s="99" customFormat="1" x14ac:dyDescent="0.2">
      <c r="C2542" s="198"/>
      <c r="D2542" s="198"/>
      <c r="E2542" s="537"/>
      <c r="G2542" s="198"/>
      <c r="H2542" s="123"/>
    </row>
    <row r="2543" spans="3:8" s="99" customFormat="1" x14ac:dyDescent="0.2">
      <c r="C2543" s="198"/>
      <c r="D2543" s="198"/>
      <c r="E2543" s="537"/>
      <c r="G2543" s="198"/>
      <c r="H2543" s="123"/>
    </row>
    <row r="2544" spans="3:8" s="99" customFormat="1" x14ac:dyDescent="0.2">
      <c r="C2544" s="198"/>
      <c r="D2544" s="198"/>
      <c r="E2544" s="537"/>
      <c r="G2544" s="198"/>
      <c r="H2544" s="123"/>
    </row>
    <row r="2545" spans="3:8" s="99" customFormat="1" x14ac:dyDescent="0.2">
      <c r="C2545" s="198"/>
      <c r="D2545" s="198"/>
      <c r="E2545" s="537"/>
      <c r="G2545" s="198"/>
      <c r="H2545" s="123"/>
    </row>
    <row r="2546" spans="3:8" s="99" customFormat="1" x14ac:dyDescent="0.2">
      <c r="C2546" s="198"/>
      <c r="D2546" s="198"/>
      <c r="E2546" s="537"/>
      <c r="G2546" s="198"/>
      <c r="H2546" s="123"/>
    </row>
    <row r="2547" spans="3:8" s="99" customFormat="1" x14ac:dyDescent="0.2">
      <c r="C2547" s="198"/>
      <c r="D2547" s="198"/>
      <c r="E2547" s="537"/>
      <c r="G2547" s="198"/>
      <c r="H2547" s="123"/>
    </row>
    <row r="2548" spans="3:8" s="99" customFormat="1" x14ac:dyDescent="0.2">
      <c r="C2548" s="198"/>
      <c r="D2548" s="198"/>
      <c r="E2548" s="537"/>
      <c r="G2548" s="198"/>
      <c r="H2548" s="123"/>
    </row>
    <row r="2549" spans="3:8" s="99" customFormat="1" x14ac:dyDescent="0.2">
      <c r="C2549" s="198"/>
      <c r="D2549" s="198"/>
      <c r="E2549" s="537"/>
      <c r="G2549" s="198"/>
      <c r="H2549" s="123"/>
    </row>
    <row r="2550" spans="3:8" s="99" customFormat="1" x14ac:dyDescent="0.2">
      <c r="C2550" s="198"/>
      <c r="D2550" s="198"/>
      <c r="E2550" s="537"/>
      <c r="G2550" s="198"/>
      <c r="H2550" s="123"/>
    </row>
    <row r="2551" spans="3:8" s="99" customFormat="1" x14ac:dyDescent="0.2">
      <c r="C2551" s="198"/>
      <c r="D2551" s="198"/>
      <c r="E2551" s="537"/>
      <c r="G2551" s="198"/>
      <c r="H2551" s="123"/>
    </row>
    <row r="2552" spans="3:8" s="99" customFormat="1" x14ac:dyDescent="0.2">
      <c r="C2552" s="198"/>
      <c r="D2552" s="198"/>
      <c r="E2552" s="537"/>
      <c r="G2552" s="198"/>
      <c r="H2552" s="123"/>
    </row>
    <row r="2553" spans="3:8" s="99" customFormat="1" x14ac:dyDescent="0.2">
      <c r="C2553" s="198"/>
      <c r="D2553" s="198"/>
      <c r="E2553" s="537"/>
      <c r="G2553" s="198"/>
      <c r="H2553" s="123"/>
    </row>
    <row r="2554" spans="3:8" s="99" customFormat="1" x14ac:dyDescent="0.2">
      <c r="C2554" s="198"/>
      <c r="D2554" s="198"/>
      <c r="E2554" s="537"/>
      <c r="G2554" s="198"/>
      <c r="H2554" s="123"/>
    </row>
    <row r="2555" spans="3:8" s="99" customFormat="1" x14ac:dyDescent="0.2">
      <c r="C2555" s="198"/>
      <c r="D2555" s="198"/>
      <c r="E2555" s="537"/>
      <c r="G2555" s="198"/>
      <c r="H2555" s="123"/>
    </row>
    <row r="2556" spans="3:8" s="99" customFormat="1" x14ac:dyDescent="0.2">
      <c r="C2556" s="198"/>
      <c r="D2556" s="198"/>
      <c r="E2556" s="537"/>
      <c r="G2556" s="198"/>
      <c r="H2556" s="123"/>
    </row>
    <row r="2557" spans="3:8" s="99" customFormat="1" x14ac:dyDescent="0.2">
      <c r="C2557" s="198"/>
      <c r="D2557" s="198"/>
      <c r="E2557" s="537"/>
      <c r="G2557" s="198"/>
      <c r="H2557" s="123"/>
    </row>
    <row r="2558" spans="3:8" s="99" customFormat="1" x14ac:dyDescent="0.2">
      <c r="C2558" s="198"/>
      <c r="D2558" s="198"/>
      <c r="E2558" s="537"/>
      <c r="G2558" s="198"/>
      <c r="H2558" s="123"/>
    </row>
    <row r="2559" spans="3:8" s="99" customFormat="1" x14ac:dyDescent="0.2">
      <c r="C2559" s="198"/>
      <c r="D2559" s="198"/>
      <c r="E2559" s="537"/>
      <c r="G2559" s="198"/>
      <c r="H2559" s="123"/>
    </row>
    <row r="2560" spans="3:8" s="99" customFormat="1" x14ac:dyDescent="0.2">
      <c r="C2560" s="198"/>
      <c r="D2560" s="198"/>
      <c r="E2560" s="537"/>
      <c r="G2560" s="198"/>
      <c r="H2560" s="123"/>
    </row>
    <row r="2561" spans="3:8" s="99" customFormat="1" x14ac:dyDescent="0.2">
      <c r="C2561" s="198"/>
      <c r="D2561" s="198"/>
      <c r="E2561" s="537"/>
      <c r="G2561" s="198"/>
      <c r="H2561" s="123"/>
    </row>
    <row r="2562" spans="3:8" s="99" customFormat="1" x14ac:dyDescent="0.2">
      <c r="C2562" s="198"/>
      <c r="D2562" s="198"/>
      <c r="E2562" s="537"/>
      <c r="G2562" s="198"/>
      <c r="H2562" s="123"/>
    </row>
    <row r="2563" spans="3:8" s="99" customFormat="1" x14ac:dyDescent="0.2">
      <c r="C2563" s="198"/>
      <c r="D2563" s="198"/>
      <c r="E2563" s="537"/>
      <c r="G2563" s="198"/>
      <c r="H2563" s="123"/>
    </row>
    <row r="2564" spans="3:8" s="99" customFormat="1" x14ac:dyDescent="0.2">
      <c r="C2564" s="198"/>
      <c r="D2564" s="198"/>
      <c r="E2564" s="537"/>
      <c r="G2564" s="198"/>
      <c r="H2564" s="123"/>
    </row>
    <row r="2565" spans="3:8" s="99" customFormat="1" x14ac:dyDescent="0.2">
      <c r="C2565" s="198"/>
      <c r="D2565" s="198"/>
      <c r="E2565" s="537"/>
      <c r="G2565" s="198"/>
      <c r="H2565" s="123"/>
    </row>
    <row r="2566" spans="3:8" s="99" customFormat="1" x14ac:dyDescent="0.2">
      <c r="C2566" s="198"/>
      <c r="D2566" s="198"/>
      <c r="E2566" s="537"/>
      <c r="G2566" s="198"/>
      <c r="H2566" s="123"/>
    </row>
    <row r="2567" spans="3:8" s="99" customFormat="1" x14ac:dyDescent="0.2">
      <c r="C2567" s="198"/>
      <c r="D2567" s="198"/>
      <c r="E2567" s="537"/>
      <c r="G2567" s="198"/>
      <c r="H2567" s="123"/>
    </row>
    <row r="2568" spans="3:8" s="99" customFormat="1" x14ac:dyDescent="0.2">
      <c r="C2568" s="198"/>
      <c r="D2568" s="198"/>
      <c r="E2568" s="537"/>
      <c r="G2568" s="198"/>
      <c r="H2568" s="123"/>
    </row>
    <row r="2569" spans="3:8" s="99" customFormat="1" x14ac:dyDescent="0.2">
      <c r="C2569" s="198"/>
      <c r="D2569" s="198"/>
      <c r="E2569" s="537"/>
      <c r="G2569" s="198"/>
      <c r="H2569" s="123"/>
    </row>
    <row r="2570" spans="3:8" s="99" customFormat="1" x14ac:dyDescent="0.2">
      <c r="C2570" s="198"/>
      <c r="D2570" s="198"/>
      <c r="E2570" s="537"/>
      <c r="G2570" s="198"/>
      <c r="H2570" s="123"/>
    </row>
    <row r="2571" spans="3:8" s="99" customFormat="1" x14ac:dyDescent="0.2">
      <c r="C2571" s="198"/>
      <c r="D2571" s="198"/>
      <c r="E2571" s="537"/>
      <c r="G2571" s="198"/>
      <c r="H2571" s="123"/>
    </row>
    <row r="2572" spans="3:8" s="99" customFormat="1" x14ac:dyDescent="0.2">
      <c r="C2572" s="198"/>
      <c r="D2572" s="198"/>
      <c r="E2572" s="537"/>
      <c r="G2572" s="198"/>
      <c r="H2572" s="123"/>
    </row>
    <row r="2573" spans="3:8" s="99" customFormat="1" x14ac:dyDescent="0.2">
      <c r="C2573" s="198"/>
      <c r="D2573" s="198"/>
      <c r="E2573" s="537"/>
      <c r="G2573" s="198"/>
      <c r="H2573" s="123"/>
    </row>
    <row r="2574" spans="3:8" s="99" customFormat="1" x14ac:dyDescent="0.2">
      <c r="C2574" s="198"/>
      <c r="D2574" s="198"/>
      <c r="E2574" s="537"/>
      <c r="G2574" s="198"/>
      <c r="H2574" s="123"/>
    </row>
    <row r="2575" spans="3:8" s="99" customFormat="1" x14ac:dyDescent="0.2">
      <c r="C2575" s="198"/>
      <c r="D2575" s="198"/>
      <c r="E2575" s="537"/>
      <c r="G2575" s="198"/>
      <c r="H2575" s="123"/>
    </row>
    <row r="2576" spans="3:8" s="99" customFormat="1" x14ac:dyDescent="0.2">
      <c r="C2576" s="198"/>
      <c r="D2576" s="198"/>
      <c r="E2576" s="537"/>
      <c r="G2576" s="198"/>
      <c r="H2576" s="123"/>
    </row>
    <row r="2577" spans="3:8" s="99" customFormat="1" x14ac:dyDescent="0.2">
      <c r="C2577" s="198"/>
      <c r="D2577" s="198"/>
      <c r="E2577" s="537"/>
      <c r="G2577" s="198"/>
      <c r="H2577" s="123"/>
    </row>
    <row r="2578" spans="3:8" s="99" customFormat="1" x14ac:dyDescent="0.2">
      <c r="C2578" s="198"/>
      <c r="D2578" s="198"/>
      <c r="E2578" s="537"/>
      <c r="G2578" s="198"/>
      <c r="H2578" s="123"/>
    </row>
    <row r="2579" spans="3:8" s="99" customFormat="1" x14ac:dyDescent="0.2">
      <c r="C2579" s="198"/>
      <c r="D2579" s="198"/>
      <c r="E2579" s="537"/>
      <c r="G2579" s="198"/>
      <c r="H2579" s="123"/>
    </row>
    <row r="2580" spans="3:8" s="99" customFormat="1" x14ac:dyDescent="0.2">
      <c r="C2580" s="198"/>
      <c r="D2580" s="198"/>
      <c r="E2580" s="537"/>
      <c r="G2580" s="198"/>
      <c r="H2580" s="123"/>
    </row>
    <row r="2581" spans="3:8" s="99" customFormat="1" x14ac:dyDescent="0.2">
      <c r="C2581" s="198"/>
      <c r="D2581" s="198"/>
      <c r="E2581" s="537"/>
      <c r="G2581" s="198"/>
      <c r="H2581" s="123"/>
    </row>
    <row r="2582" spans="3:8" s="99" customFormat="1" x14ac:dyDescent="0.2">
      <c r="C2582" s="198"/>
      <c r="D2582" s="198"/>
      <c r="E2582" s="537"/>
      <c r="G2582" s="198"/>
      <c r="H2582" s="123"/>
    </row>
    <row r="2583" spans="3:8" s="99" customFormat="1" x14ac:dyDescent="0.2">
      <c r="C2583" s="198"/>
      <c r="D2583" s="198"/>
      <c r="E2583" s="537"/>
      <c r="G2583" s="198"/>
      <c r="H2583" s="123"/>
    </row>
    <row r="2584" spans="3:8" s="99" customFormat="1" x14ac:dyDescent="0.2">
      <c r="C2584" s="198"/>
      <c r="D2584" s="198"/>
      <c r="E2584" s="537"/>
      <c r="G2584" s="198"/>
      <c r="H2584" s="123"/>
    </row>
    <row r="2585" spans="3:8" s="99" customFormat="1" x14ac:dyDescent="0.2">
      <c r="C2585" s="198"/>
      <c r="D2585" s="198"/>
      <c r="E2585" s="537"/>
      <c r="G2585" s="198"/>
      <c r="H2585" s="123"/>
    </row>
    <row r="2586" spans="3:8" s="99" customFormat="1" x14ac:dyDescent="0.2">
      <c r="C2586" s="198"/>
      <c r="D2586" s="198"/>
      <c r="E2586" s="537"/>
      <c r="G2586" s="198"/>
      <c r="H2586" s="123"/>
    </row>
    <row r="2587" spans="3:8" s="99" customFormat="1" x14ac:dyDescent="0.2">
      <c r="C2587" s="198"/>
      <c r="D2587" s="198"/>
      <c r="E2587" s="537"/>
      <c r="G2587" s="198"/>
      <c r="H2587" s="123"/>
    </row>
    <row r="2588" spans="3:8" s="99" customFormat="1" x14ac:dyDescent="0.2">
      <c r="C2588" s="198"/>
      <c r="D2588" s="198"/>
      <c r="E2588" s="537"/>
      <c r="G2588" s="198"/>
      <c r="H2588" s="123"/>
    </row>
    <row r="2589" spans="3:8" s="99" customFormat="1" x14ac:dyDescent="0.2">
      <c r="C2589" s="198"/>
      <c r="D2589" s="198"/>
      <c r="E2589" s="537"/>
      <c r="G2589" s="198"/>
      <c r="H2589" s="123"/>
    </row>
    <row r="2590" spans="3:8" s="99" customFormat="1" x14ac:dyDescent="0.2">
      <c r="C2590" s="198"/>
      <c r="D2590" s="198"/>
      <c r="E2590" s="537"/>
      <c r="G2590" s="198"/>
      <c r="H2590" s="123"/>
    </row>
    <row r="2591" spans="3:8" s="99" customFormat="1" x14ac:dyDescent="0.2">
      <c r="C2591" s="198"/>
      <c r="D2591" s="198"/>
      <c r="E2591" s="537"/>
      <c r="G2591" s="198"/>
      <c r="H2591" s="123"/>
    </row>
    <row r="2592" spans="3:8" s="99" customFormat="1" x14ac:dyDescent="0.2">
      <c r="C2592" s="198"/>
      <c r="D2592" s="198"/>
      <c r="E2592" s="537"/>
      <c r="G2592" s="198"/>
      <c r="H2592" s="123"/>
    </row>
    <row r="2593" spans="3:8" s="99" customFormat="1" x14ac:dyDescent="0.2">
      <c r="C2593" s="198"/>
      <c r="D2593" s="198"/>
      <c r="E2593" s="537"/>
      <c r="G2593" s="198"/>
      <c r="H2593" s="123"/>
    </row>
    <row r="2594" spans="3:8" s="99" customFormat="1" x14ac:dyDescent="0.2">
      <c r="C2594" s="198"/>
      <c r="D2594" s="198"/>
      <c r="E2594" s="537"/>
      <c r="G2594" s="198"/>
      <c r="H2594" s="123"/>
    </row>
    <row r="2595" spans="3:8" s="99" customFormat="1" x14ac:dyDescent="0.2">
      <c r="C2595" s="198"/>
      <c r="D2595" s="198"/>
      <c r="E2595" s="537"/>
      <c r="G2595" s="198"/>
      <c r="H2595" s="123"/>
    </row>
    <row r="2596" spans="3:8" s="99" customFormat="1" x14ac:dyDescent="0.2">
      <c r="C2596" s="198"/>
      <c r="D2596" s="198"/>
      <c r="E2596" s="537"/>
      <c r="G2596" s="198"/>
      <c r="H2596" s="123"/>
    </row>
    <row r="2597" spans="3:8" s="99" customFormat="1" x14ac:dyDescent="0.2">
      <c r="C2597" s="198"/>
      <c r="D2597" s="198"/>
      <c r="E2597" s="537"/>
      <c r="G2597" s="198"/>
      <c r="H2597" s="123"/>
    </row>
    <row r="2598" spans="3:8" s="99" customFormat="1" x14ac:dyDescent="0.2">
      <c r="C2598" s="198"/>
      <c r="D2598" s="198"/>
      <c r="E2598" s="537"/>
      <c r="G2598" s="198"/>
      <c r="H2598" s="123"/>
    </row>
    <row r="2599" spans="3:8" s="99" customFormat="1" x14ac:dyDescent="0.2">
      <c r="C2599" s="198"/>
      <c r="D2599" s="198"/>
      <c r="E2599" s="537"/>
      <c r="G2599" s="198"/>
      <c r="H2599" s="123"/>
    </row>
    <row r="2600" spans="3:8" s="99" customFormat="1" x14ac:dyDescent="0.2">
      <c r="C2600" s="198"/>
      <c r="D2600" s="198"/>
      <c r="E2600" s="537"/>
      <c r="G2600" s="198"/>
      <c r="H2600" s="123"/>
    </row>
    <row r="2601" spans="3:8" s="99" customFormat="1" x14ac:dyDescent="0.2">
      <c r="C2601" s="198"/>
      <c r="D2601" s="198"/>
      <c r="E2601" s="537"/>
      <c r="G2601" s="198"/>
      <c r="H2601" s="123"/>
    </row>
    <row r="2602" spans="3:8" s="99" customFormat="1" x14ac:dyDescent="0.2">
      <c r="C2602" s="198"/>
      <c r="D2602" s="198"/>
      <c r="E2602" s="537"/>
      <c r="G2602" s="198"/>
      <c r="H2602" s="123"/>
    </row>
    <row r="2603" spans="3:8" s="99" customFormat="1" x14ac:dyDescent="0.2">
      <c r="C2603" s="198"/>
      <c r="D2603" s="198"/>
      <c r="E2603" s="537"/>
      <c r="G2603" s="198"/>
      <c r="H2603" s="123"/>
    </row>
    <row r="2604" spans="3:8" s="99" customFormat="1" x14ac:dyDescent="0.2">
      <c r="C2604" s="198"/>
      <c r="D2604" s="198"/>
      <c r="E2604" s="537"/>
      <c r="G2604" s="198"/>
      <c r="H2604" s="123"/>
    </row>
    <row r="2605" spans="3:8" s="99" customFormat="1" x14ac:dyDescent="0.2">
      <c r="C2605" s="198"/>
      <c r="D2605" s="198"/>
      <c r="E2605" s="537"/>
      <c r="G2605" s="198"/>
      <c r="H2605" s="123"/>
    </row>
    <row r="2606" spans="3:8" s="99" customFormat="1" x14ac:dyDescent="0.2">
      <c r="C2606" s="198"/>
      <c r="D2606" s="198"/>
      <c r="E2606" s="537"/>
      <c r="G2606" s="198"/>
      <c r="H2606" s="123"/>
    </row>
    <row r="2607" spans="3:8" s="99" customFormat="1" x14ac:dyDescent="0.2">
      <c r="C2607" s="198"/>
      <c r="D2607" s="198"/>
      <c r="E2607" s="537"/>
      <c r="G2607" s="198"/>
      <c r="H2607" s="123"/>
    </row>
    <row r="2608" spans="3:8" s="99" customFormat="1" x14ac:dyDescent="0.2">
      <c r="C2608" s="198"/>
      <c r="D2608" s="198"/>
      <c r="E2608" s="537"/>
      <c r="G2608" s="198"/>
      <c r="H2608" s="123"/>
    </row>
    <row r="2609" spans="3:8" s="99" customFormat="1" x14ac:dyDescent="0.2">
      <c r="C2609" s="198"/>
      <c r="D2609" s="198"/>
      <c r="E2609" s="537"/>
      <c r="G2609" s="198"/>
      <c r="H2609" s="123"/>
    </row>
    <row r="2610" spans="3:8" s="99" customFormat="1" x14ac:dyDescent="0.2">
      <c r="C2610" s="198"/>
      <c r="D2610" s="198"/>
      <c r="E2610" s="537"/>
      <c r="G2610" s="198"/>
      <c r="H2610" s="123"/>
    </row>
    <row r="2611" spans="3:8" s="99" customFormat="1" x14ac:dyDescent="0.2">
      <c r="C2611" s="198"/>
      <c r="D2611" s="198"/>
      <c r="E2611" s="537"/>
      <c r="G2611" s="198"/>
      <c r="H2611" s="123"/>
    </row>
    <row r="2612" spans="3:8" s="99" customFormat="1" x14ac:dyDescent="0.2">
      <c r="C2612" s="198"/>
      <c r="D2612" s="198"/>
      <c r="E2612" s="537"/>
      <c r="G2612" s="198"/>
      <c r="H2612" s="123"/>
    </row>
    <row r="2613" spans="3:8" s="99" customFormat="1" x14ac:dyDescent="0.2">
      <c r="C2613" s="198"/>
      <c r="D2613" s="198"/>
      <c r="E2613" s="537"/>
      <c r="G2613" s="198"/>
      <c r="H2613" s="123"/>
    </row>
    <row r="2614" spans="3:8" s="99" customFormat="1" x14ac:dyDescent="0.2">
      <c r="C2614" s="198"/>
      <c r="D2614" s="198"/>
      <c r="E2614" s="537"/>
      <c r="G2614" s="198"/>
      <c r="H2614" s="123"/>
    </row>
    <row r="2615" spans="3:8" s="99" customFormat="1" x14ac:dyDescent="0.2">
      <c r="C2615" s="198"/>
      <c r="D2615" s="198"/>
      <c r="E2615" s="537"/>
      <c r="G2615" s="198"/>
      <c r="H2615" s="123"/>
    </row>
    <row r="2616" spans="3:8" s="99" customFormat="1" x14ac:dyDescent="0.2">
      <c r="C2616" s="198"/>
      <c r="D2616" s="198"/>
      <c r="E2616" s="537"/>
      <c r="G2616" s="198"/>
      <c r="H2616" s="123"/>
    </row>
    <row r="2617" spans="3:8" s="99" customFormat="1" x14ac:dyDescent="0.2">
      <c r="C2617" s="198"/>
      <c r="D2617" s="198"/>
      <c r="E2617" s="537"/>
      <c r="G2617" s="198"/>
      <c r="H2617" s="123"/>
    </row>
    <row r="2618" spans="3:8" s="99" customFormat="1" x14ac:dyDescent="0.2">
      <c r="C2618" s="198"/>
      <c r="D2618" s="198"/>
      <c r="E2618" s="537"/>
      <c r="G2618" s="198"/>
      <c r="H2618" s="123"/>
    </row>
    <row r="2619" spans="3:8" s="99" customFormat="1" x14ac:dyDescent="0.2">
      <c r="C2619" s="198"/>
      <c r="D2619" s="198"/>
      <c r="E2619" s="537"/>
      <c r="G2619" s="198"/>
      <c r="H2619" s="123"/>
    </row>
    <row r="2620" spans="3:8" s="99" customFormat="1" x14ac:dyDescent="0.2">
      <c r="C2620" s="198"/>
      <c r="D2620" s="198"/>
      <c r="E2620" s="537"/>
      <c r="G2620" s="198"/>
      <c r="H2620" s="123"/>
    </row>
    <row r="2621" spans="3:8" s="99" customFormat="1" x14ac:dyDescent="0.2">
      <c r="C2621" s="198"/>
      <c r="D2621" s="198"/>
      <c r="E2621" s="537"/>
      <c r="G2621" s="198"/>
      <c r="H2621" s="123"/>
    </row>
    <row r="2622" spans="3:8" s="99" customFormat="1" x14ac:dyDescent="0.2">
      <c r="C2622" s="198"/>
      <c r="D2622" s="198"/>
      <c r="E2622" s="537"/>
      <c r="G2622" s="198"/>
      <c r="H2622" s="123"/>
    </row>
    <row r="2623" spans="3:8" s="99" customFormat="1" x14ac:dyDescent="0.2">
      <c r="C2623" s="198"/>
      <c r="D2623" s="198"/>
      <c r="E2623" s="537"/>
      <c r="G2623" s="198"/>
      <c r="H2623" s="123"/>
    </row>
    <row r="2624" spans="3:8" s="99" customFormat="1" x14ac:dyDescent="0.2">
      <c r="C2624" s="198"/>
      <c r="D2624" s="198"/>
      <c r="E2624" s="537"/>
      <c r="G2624" s="198"/>
      <c r="H2624" s="123"/>
    </row>
    <row r="2625" spans="3:8" s="99" customFormat="1" x14ac:dyDescent="0.2">
      <c r="C2625" s="198"/>
      <c r="D2625" s="198"/>
      <c r="E2625" s="537"/>
      <c r="G2625" s="198"/>
      <c r="H2625" s="123"/>
    </row>
    <row r="2626" spans="3:8" s="99" customFormat="1" x14ac:dyDescent="0.2">
      <c r="C2626" s="198"/>
      <c r="D2626" s="198"/>
      <c r="E2626" s="537"/>
      <c r="G2626" s="198"/>
      <c r="H2626" s="123"/>
    </row>
    <row r="2627" spans="3:8" s="99" customFormat="1" x14ac:dyDescent="0.2">
      <c r="C2627" s="198"/>
      <c r="D2627" s="198"/>
      <c r="E2627" s="537"/>
      <c r="G2627" s="198"/>
      <c r="H2627" s="123"/>
    </row>
    <row r="2628" spans="3:8" s="99" customFormat="1" x14ac:dyDescent="0.2">
      <c r="C2628" s="198"/>
      <c r="D2628" s="198"/>
      <c r="E2628" s="537"/>
      <c r="G2628" s="198"/>
      <c r="H2628" s="123"/>
    </row>
    <row r="2629" spans="3:8" s="99" customFormat="1" x14ac:dyDescent="0.2">
      <c r="C2629" s="198"/>
      <c r="D2629" s="198"/>
      <c r="E2629" s="537"/>
      <c r="G2629" s="198"/>
      <c r="H2629" s="123"/>
    </row>
    <row r="2630" spans="3:8" s="99" customFormat="1" x14ac:dyDescent="0.2">
      <c r="C2630" s="198"/>
      <c r="D2630" s="198"/>
      <c r="E2630" s="537"/>
      <c r="G2630" s="198"/>
      <c r="H2630" s="123"/>
    </row>
    <row r="2631" spans="3:8" s="99" customFormat="1" x14ac:dyDescent="0.2">
      <c r="C2631" s="198"/>
      <c r="D2631" s="198"/>
      <c r="E2631" s="537"/>
      <c r="G2631" s="198"/>
      <c r="H2631" s="123"/>
    </row>
    <row r="2632" spans="3:8" s="99" customFormat="1" x14ac:dyDescent="0.2">
      <c r="C2632" s="198"/>
      <c r="D2632" s="198"/>
      <c r="E2632" s="537"/>
      <c r="G2632" s="198"/>
      <c r="H2632" s="123"/>
    </row>
    <row r="2633" spans="3:8" s="99" customFormat="1" x14ac:dyDescent="0.2">
      <c r="C2633" s="198"/>
      <c r="D2633" s="198"/>
      <c r="E2633" s="537"/>
      <c r="G2633" s="198"/>
      <c r="H2633" s="123"/>
    </row>
    <row r="2634" spans="3:8" s="99" customFormat="1" x14ac:dyDescent="0.2">
      <c r="C2634" s="198"/>
      <c r="D2634" s="198"/>
      <c r="E2634" s="537"/>
      <c r="G2634" s="198"/>
      <c r="H2634" s="123"/>
    </row>
    <row r="2635" spans="3:8" s="99" customFormat="1" x14ac:dyDescent="0.2">
      <c r="C2635" s="198"/>
      <c r="D2635" s="198"/>
      <c r="E2635" s="537"/>
      <c r="G2635" s="198"/>
      <c r="H2635" s="123"/>
    </row>
    <row r="2636" spans="3:8" s="99" customFormat="1" x14ac:dyDescent="0.2">
      <c r="C2636" s="198"/>
      <c r="D2636" s="198"/>
      <c r="E2636" s="537"/>
      <c r="G2636" s="198"/>
      <c r="H2636" s="123"/>
    </row>
    <row r="2637" spans="3:8" s="99" customFormat="1" x14ac:dyDescent="0.2">
      <c r="C2637" s="198"/>
      <c r="D2637" s="198"/>
      <c r="E2637" s="537"/>
      <c r="G2637" s="198"/>
      <c r="H2637" s="123"/>
    </row>
    <row r="2638" spans="3:8" s="99" customFormat="1" x14ac:dyDescent="0.2">
      <c r="C2638" s="198"/>
      <c r="D2638" s="198"/>
      <c r="E2638" s="537"/>
      <c r="G2638" s="198"/>
      <c r="H2638" s="123"/>
    </row>
    <row r="2639" spans="3:8" s="99" customFormat="1" x14ac:dyDescent="0.2">
      <c r="C2639" s="198"/>
      <c r="D2639" s="198"/>
      <c r="E2639" s="537"/>
      <c r="G2639" s="198"/>
      <c r="H2639" s="123"/>
    </row>
    <row r="2640" spans="3:8" s="99" customFormat="1" x14ac:dyDescent="0.2">
      <c r="C2640" s="198"/>
      <c r="D2640" s="198"/>
      <c r="E2640" s="537"/>
      <c r="G2640" s="198"/>
      <c r="H2640" s="123"/>
    </row>
    <row r="2641" spans="3:8" s="99" customFormat="1" x14ac:dyDescent="0.2">
      <c r="C2641" s="198"/>
      <c r="D2641" s="198"/>
      <c r="E2641" s="537"/>
      <c r="G2641" s="198"/>
      <c r="H2641" s="123"/>
    </row>
    <row r="2642" spans="3:8" s="99" customFormat="1" x14ac:dyDescent="0.2">
      <c r="C2642" s="198"/>
      <c r="D2642" s="198"/>
      <c r="E2642" s="537"/>
      <c r="G2642" s="198"/>
      <c r="H2642" s="123"/>
    </row>
    <row r="2643" spans="3:8" s="99" customFormat="1" x14ac:dyDescent="0.2">
      <c r="C2643" s="198"/>
      <c r="D2643" s="198"/>
      <c r="E2643" s="537"/>
      <c r="G2643" s="198"/>
      <c r="H2643" s="123"/>
    </row>
    <row r="2644" spans="3:8" s="99" customFormat="1" x14ac:dyDescent="0.2">
      <c r="C2644" s="198"/>
      <c r="D2644" s="198"/>
      <c r="E2644" s="537"/>
      <c r="G2644" s="198"/>
      <c r="H2644" s="123"/>
    </row>
    <row r="2645" spans="3:8" s="99" customFormat="1" x14ac:dyDescent="0.2">
      <c r="C2645" s="198"/>
      <c r="D2645" s="198"/>
      <c r="E2645" s="537"/>
      <c r="G2645" s="198"/>
      <c r="H2645" s="123"/>
    </row>
    <row r="2646" spans="3:8" s="99" customFormat="1" x14ac:dyDescent="0.2">
      <c r="C2646" s="198"/>
      <c r="D2646" s="198"/>
      <c r="E2646" s="537"/>
      <c r="G2646" s="198"/>
      <c r="H2646" s="123"/>
    </row>
    <row r="2647" spans="3:8" s="99" customFormat="1" x14ac:dyDescent="0.2">
      <c r="C2647" s="198"/>
      <c r="D2647" s="198"/>
      <c r="E2647" s="537"/>
      <c r="G2647" s="198"/>
      <c r="H2647" s="123"/>
    </row>
    <row r="2648" spans="3:8" s="99" customFormat="1" x14ac:dyDescent="0.2">
      <c r="C2648" s="198"/>
      <c r="D2648" s="198"/>
      <c r="E2648" s="537"/>
      <c r="G2648" s="198"/>
      <c r="H2648" s="123"/>
    </row>
    <row r="2649" spans="3:8" s="99" customFormat="1" x14ac:dyDescent="0.2">
      <c r="C2649" s="198"/>
      <c r="D2649" s="198"/>
      <c r="E2649" s="537"/>
      <c r="G2649" s="198"/>
      <c r="H2649" s="123"/>
    </row>
    <row r="2650" spans="3:8" s="99" customFormat="1" x14ac:dyDescent="0.2">
      <c r="C2650" s="198"/>
      <c r="D2650" s="198"/>
      <c r="E2650" s="537"/>
      <c r="G2650" s="198"/>
      <c r="H2650" s="123"/>
    </row>
    <row r="2651" spans="3:8" s="99" customFormat="1" x14ac:dyDescent="0.2">
      <c r="C2651" s="198"/>
      <c r="D2651" s="198"/>
      <c r="E2651" s="537"/>
      <c r="G2651" s="198"/>
      <c r="H2651" s="123"/>
    </row>
    <row r="2652" spans="3:8" s="99" customFormat="1" x14ac:dyDescent="0.2">
      <c r="C2652" s="198"/>
      <c r="D2652" s="198"/>
      <c r="E2652" s="537"/>
      <c r="G2652" s="198"/>
      <c r="H2652" s="123"/>
    </row>
    <row r="2653" spans="3:8" s="99" customFormat="1" x14ac:dyDescent="0.2">
      <c r="C2653" s="198"/>
      <c r="D2653" s="198"/>
      <c r="E2653" s="537"/>
      <c r="G2653" s="198"/>
      <c r="H2653" s="123"/>
    </row>
    <row r="2654" spans="3:8" s="99" customFormat="1" x14ac:dyDescent="0.2">
      <c r="C2654" s="198"/>
      <c r="D2654" s="198"/>
      <c r="E2654" s="537"/>
      <c r="G2654" s="198"/>
      <c r="H2654" s="123"/>
    </row>
    <row r="2655" spans="3:8" s="99" customFormat="1" x14ac:dyDescent="0.2">
      <c r="C2655" s="198"/>
      <c r="D2655" s="198"/>
      <c r="E2655" s="537"/>
      <c r="G2655" s="198"/>
      <c r="H2655" s="123"/>
    </row>
    <row r="2656" spans="3:8" s="99" customFormat="1" x14ac:dyDescent="0.2">
      <c r="C2656" s="198"/>
      <c r="D2656" s="198"/>
      <c r="E2656" s="537"/>
      <c r="G2656" s="198"/>
      <c r="H2656" s="123"/>
    </row>
    <row r="2657" spans="3:8" s="99" customFormat="1" x14ac:dyDescent="0.2">
      <c r="C2657" s="198"/>
      <c r="D2657" s="198"/>
      <c r="E2657" s="537"/>
      <c r="G2657" s="198"/>
      <c r="H2657" s="123"/>
    </row>
    <row r="2658" spans="3:8" s="99" customFormat="1" x14ac:dyDescent="0.2">
      <c r="C2658" s="198"/>
      <c r="D2658" s="198"/>
      <c r="E2658" s="537"/>
      <c r="G2658" s="198"/>
      <c r="H2658" s="123"/>
    </row>
    <row r="2659" spans="3:8" s="99" customFormat="1" x14ac:dyDescent="0.2">
      <c r="C2659" s="198"/>
      <c r="D2659" s="198"/>
      <c r="E2659" s="537"/>
      <c r="G2659" s="198"/>
      <c r="H2659" s="123"/>
    </row>
    <row r="2660" spans="3:8" s="99" customFormat="1" x14ac:dyDescent="0.2">
      <c r="C2660" s="198"/>
      <c r="D2660" s="198"/>
      <c r="E2660" s="537"/>
      <c r="G2660" s="198"/>
      <c r="H2660" s="123"/>
    </row>
    <row r="2661" spans="3:8" s="99" customFormat="1" x14ac:dyDescent="0.2">
      <c r="C2661" s="198"/>
      <c r="D2661" s="198"/>
      <c r="E2661" s="537"/>
      <c r="G2661" s="198"/>
      <c r="H2661" s="123"/>
    </row>
    <row r="2662" spans="3:8" s="99" customFormat="1" x14ac:dyDescent="0.2">
      <c r="C2662" s="198"/>
      <c r="D2662" s="198"/>
      <c r="E2662" s="537"/>
      <c r="G2662" s="198"/>
      <c r="H2662" s="123"/>
    </row>
    <row r="2663" spans="3:8" s="99" customFormat="1" x14ac:dyDescent="0.2">
      <c r="C2663" s="198"/>
      <c r="D2663" s="198"/>
      <c r="E2663" s="537"/>
      <c r="G2663" s="198"/>
      <c r="H2663" s="123"/>
    </row>
    <row r="2664" spans="3:8" s="99" customFormat="1" x14ac:dyDescent="0.2">
      <c r="C2664" s="198"/>
      <c r="D2664" s="198"/>
      <c r="E2664" s="537"/>
      <c r="G2664" s="198"/>
      <c r="H2664" s="123"/>
    </row>
    <row r="2665" spans="3:8" s="99" customFormat="1" x14ac:dyDescent="0.2">
      <c r="C2665" s="198"/>
      <c r="D2665" s="198"/>
      <c r="E2665" s="537"/>
      <c r="G2665" s="198"/>
      <c r="H2665" s="123"/>
    </row>
    <row r="2666" spans="3:8" s="99" customFormat="1" x14ac:dyDescent="0.2">
      <c r="C2666" s="198"/>
      <c r="D2666" s="198"/>
      <c r="E2666" s="537"/>
      <c r="G2666" s="198"/>
      <c r="H2666" s="123"/>
    </row>
    <row r="2667" spans="3:8" s="99" customFormat="1" x14ac:dyDescent="0.2">
      <c r="C2667" s="198"/>
      <c r="D2667" s="198"/>
      <c r="E2667" s="537"/>
      <c r="G2667" s="198"/>
      <c r="H2667" s="123"/>
    </row>
    <row r="2668" spans="3:8" s="99" customFormat="1" x14ac:dyDescent="0.2">
      <c r="C2668" s="198"/>
      <c r="D2668" s="198"/>
      <c r="E2668" s="537"/>
      <c r="G2668" s="198"/>
      <c r="H2668" s="123"/>
    </row>
    <row r="2669" spans="3:8" s="99" customFormat="1" x14ac:dyDescent="0.2">
      <c r="C2669" s="198"/>
      <c r="D2669" s="198"/>
      <c r="E2669" s="537"/>
      <c r="G2669" s="198"/>
      <c r="H2669" s="123"/>
    </row>
    <row r="2670" spans="3:8" s="99" customFormat="1" x14ac:dyDescent="0.2">
      <c r="C2670" s="198"/>
      <c r="D2670" s="198"/>
      <c r="E2670" s="537"/>
      <c r="G2670" s="198"/>
      <c r="H2670" s="123"/>
    </row>
    <row r="2671" spans="3:8" s="99" customFormat="1" x14ac:dyDescent="0.2">
      <c r="C2671" s="198"/>
      <c r="D2671" s="198"/>
      <c r="E2671" s="537"/>
      <c r="G2671" s="198"/>
      <c r="H2671" s="123"/>
    </row>
    <row r="2672" spans="3:8" s="99" customFormat="1" x14ac:dyDescent="0.2">
      <c r="C2672" s="198"/>
      <c r="D2672" s="198"/>
      <c r="E2672" s="537"/>
      <c r="G2672" s="198"/>
      <c r="H2672" s="123"/>
    </row>
    <row r="2673" spans="3:8" s="99" customFormat="1" x14ac:dyDescent="0.2">
      <c r="C2673" s="198"/>
      <c r="D2673" s="198"/>
      <c r="E2673" s="537"/>
      <c r="G2673" s="198"/>
      <c r="H2673" s="123"/>
    </row>
    <row r="2674" spans="3:8" s="99" customFormat="1" x14ac:dyDescent="0.2">
      <c r="C2674" s="198"/>
      <c r="D2674" s="198"/>
      <c r="E2674" s="537"/>
      <c r="G2674" s="198"/>
      <c r="H2674" s="123"/>
    </row>
    <row r="2675" spans="3:8" s="99" customFormat="1" x14ac:dyDescent="0.2">
      <c r="C2675" s="198"/>
      <c r="D2675" s="198"/>
      <c r="E2675" s="537"/>
      <c r="G2675" s="198"/>
      <c r="H2675" s="123"/>
    </row>
    <row r="2676" spans="3:8" s="99" customFormat="1" x14ac:dyDescent="0.2">
      <c r="C2676" s="198"/>
      <c r="D2676" s="198"/>
      <c r="E2676" s="537"/>
      <c r="G2676" s="198"/>
      <c r="H2676" s="123"/>
    </row>
    <row r="2677" spans="3:8" s="99" customFormat="1" x14ac:dyDescent="0.2">
      <c r="C2677" s="198"/>
      <c r="D2677" s="198"/>
      <c r="E2677" s="537"/>
      <c r="G2677" s="198"/>
      <c r="H2677" s="123"/>
    </row>
    <row r="2678" spans="3:8" s="99" customFormat="1" x14ac:dyDescent="0.2">
      <c r="C2678" s="198"/>
      <c r="D2678" s="198"/>
      <c r="E2678" s="537"/>
      <c r="G2678" s="198"/>
      <c r="H2678" s="123"/>
    </row>
    <row r="2679" spans="3:8" s="99" customFormat="1" x14ac:dyDescent="0.2">
      <c r="C2679" s="198"/>
      <c r="D2679" s="198"/>
      <c r="E2679" s="537"/>
      <c r="G2679" s="198"/>
      <c r="H2679" s="123"/>
    </row>
    <row r="2680" spans="3:8" s="99" customFormat="1" x14ac:dyDescent="0.2">
      <c r="C2680" s="198"/>
      <c r="D2680" s="198"/>
      <c r="E2680" s="537"/>
      <c r="G2680" s="198"/>
      <c r="H2680" s="123"/>
    </row>
    <row r="2681" spans="3:8" s="99" customFormat="1" x14ac:dyDescent="0.2">
      <c r="C2681" s="198"/>
      <c r="D2681" s="198"/>
      <c r="E2681" s="537"/>
      <c r="G2681" s="198"/>
      <c r="H2681" s="123"/>
    </row>
    <row r="2682" spans="3:8" s="99" customFormat="1" x14ac:dyDescent="0.2">
      <c r="C2682" s="198"/>
      <c r="D2682" s="198"/>
      <c r="E2682" s="537"/>
      <c r="G2682" s="198"/>
      <c r="H2682" s="123"/>
    </row>
    <row r="2683" spans="3:8" s="99" customFormat="1" x14ac:dyDescent="0.2">
      <c r="C2683" s="198"/>
      <c r="D2683" s="198"/>
      <c r="E2683" s="537"/>
      <c r="G2683" s="198"/>
      <c r="H2683" s="123"/>
    </row>
    <row r="2684" spans="3:8" s="99" customFormat="1" x14ac:dyDescent="0.2">
      <c r="C2684" s="198"/>
      <c r="D2684" s="198"/>
      <c r="E2684" s="537"/>
      <c r="G2684" s="198"/>
      <c r="H2684" s="123"/>
    </row>
    <row r="2685" spans="3:8" s="99" customFormat="1" x14ac:dyDescent="0.2">
      <c r="C2685" s="198"/>
      <c r="D2685" s="198"/>
      <c r="E2685" s="537"/>
      <c r="G2685" s="198"/>
      <c r="H2685" s="123"/>
    </row>
    <row r="2686" spans="3:8" s="99" customFormat="1" x14ac:dyDescent="0.2">
      <c r="C2686" s="198"/>
      <c r="D2686" s="198"/>
      <c r="E2686" s="537"/>
      <c r="G2686" s="198"/>
      <c r="H2686" s="123"/>
    </row>
    <row r="2687" spans="3:8" s="99" customFormat="1" x14ac:dyDescent="0.2">
      <c r="C2687" s="198"/>
      <c r="D2687" s="198"/>
      <c r="E2687" s="537"/>
      <c r="G2687" s="198"/>
      <c r="H2687" s="123"/>
    </row>
    <row r="2688" spans="3:8" s="99" customFormat="1" x14ac:dyDescent="0.2">
      <c r="C2688" s="198"/>
      <c r="D2688" s="198"/>
      <c r="E2688" s="537"/>
      <c r="G2688" s="198"/>
      <c r="H2688" s="123"/>
    </row>
    <row r="2689" spans="3:8" s="99" customFormat="1" x14ac:dyDescent="0.2">
      <c r="C2689" s="198"/>
      <c r="D2689" s="198"/>
      <c r="E2689" s="537"/>
      <c r="G2689" s="198"/>
      <c r="H2689" s="123"/>
    </row>
    <row r="2690" spans="3:8" s="99" customFormat="1" x14ac:dyDescent="0.2">
      <c r="C2690" s="198"/>
      <c r="D2690" s="198"/>
      <c r="E2690" s="537"/>
      <c r="G2690" s="198"/>
      <c r="H2690" s="123"/>
    </row>
    <row r="2691" spans="3:8" s="99" customFormat="1" x14ac:dyDescent="0.2">
      <c r="C2691" s="198"/>
      <c r="D2691" s="198"/>
      <c r="E2691" s="537"/>
      <c r="G2691" s="198"/>
      <c r="H2691" s="123"/>
    </row>
    <row r="2692" spans="3:8" s="99" customFormat="1" x14ac:dyDescent="0.2">
      <c r="C2692" s="198"/>
      <c r="D2692" s="198"/>
      <c r="E2692" s="537"/>
      <c r="G2692" s="198"/>
      <c r="H2692" s="123"/>
    </row>
    <row r="2693" spans="3:8" s="99" customFormat="1" x14ac:dyDescent="0.2">
      <c r="C2693" s="198"/>
      <c r="D2693" s="198"/>
      <c r="E2693" s="537"/>
      <c r="G2693" s="198"/>
      <c r="H2693" s="123"/>
    </row>
    <row r="2694" spans="3:8" s="99" customFormat="1" x14ac:dyDescent="0.2">
      <c r="C2694" s="198"/>
      <c r="D2694" s="198"/>
      <c r="E2694" s="537"/>
      <c r="G2694" s="198"/>
      <c r="H2694" s="123"/>
    </row>
    <row r="2695" spans="3:8" s="99" customFormat="1" x14ac:dyDescent="0.2">
      <c r="C2695" s="198"/>
      <c r="D2695" s="198"/>
      <c r="E2695" s="537"/>
      <c r="G2695" s="198"/>
      <c r="H2695" s="123"/>
    </row>
    <row r="2696" spans="3:8" s="99" customFormat="1" x14ac:dyDescent="0.2">
      <c r="C2696" s="198"/>
      <c r="D2696" s="198"/>
      <c r="E2696" s="537"/>
      <c r="G2696" s="198"/>
      <c r="H2696" s="123"/>
    </row>
    <row r="2697" spans="3:8" s="99" customFormat="1" x14ac:dyDescent="0.2">
      <c r="C2697" s="198"/>
      <c r="D2697" s="198"/>
      <c r="E2697" s="537"/>
      <c r="G2697" s="198"/>
      <c r="H2697" s="123"/>
    </row>
    <row r="2698" spans="3:8" s="99" customFormat="1" x14ac:dyDescent="0.2">
      <c r="C2698" s="198"/>
      <c r="D2698" s="198"/>
      <c r="E2698" s="537"/>
      <c r="G2698" s="198"/>
      <c r="H2698" s="123"/>
    </row>
    <row r="2699" spans="3:8" s="99" customFormat="1" x14ac:dyDescent="0.2">
      <c r="C2699" s="198"/>
      <c r="D2699" s="198"/>
      <c r="E2699" s="537"/>
      <c r="G2699" s="198"/>
      <c r="H2699" s="123"/>
    </row>
    <row r="2700" spans="3:8" s="99" customFormat="1" x14ac:dyDescent="0.2">
      <c r="C2700" s="198"/>
      <c r="D2700" s="198"/>
      <c r="E2700" s="537"/>
      <c r="G2700" s="198"/>
      <c r="H2700" s="123"/>
    </row>
    <row r="2701" spans="3:8" s="99" customFormat="1" x14ac:dyDescent="0.2">
      <c r="C2701" s="198"/>
      <c r="D2701" s="198"/>
      <c r="E2701" s="537"/>
      <c r="G2701" s="198"/>
      <c r="H2701" s="123"/>
    </row>
    <row r="2702" spans="3:8" s="99" customFormat="1" x14ac:dyDescent="0.2">
      <c r="C2702" s="198"/>
      <c r="D2702" s="198"/>
      <c r="E2702" s="537"/>
      <c r="G2702" s="198"/>
      <c r="H2702" s="123"/>
    </row>
    <row r="2703" spans="3:8" s="99" customFormat="1" x14ac:dyDescent="0.2">
      <c r="C2703" s="198"/>
      <c r="D2703" s="198"/>
      <c r="E2703" s="537"/>
      <c r="G2703" s="198"/>
      <c r="H2703" s="123"/>
    </row>
    <row r="2704" spans="3:8" s="99" customFormat="1" x14ac:dyDescent="0.2">
      <c r="C2704" s="198"/>
      <c r="D2704" s="198"/>
      <c r="E2704" s="537"/>
      <c r="G2704" s="198"/>
      <c r="H2704" s="123"/>
    </row>
    <row r="2705" spans="3:8" s="99" customFormat="1" x14ac:dyDescent="0.2">
      <c r="C2705" s="198"/>
      <c r="D2705" s="198"/>
      <c r="E2705" s="537"/>
      <c r="G2705" s="198"/>
      <c r="H2705" s="123"/>
    </row>
    <row r="2706" spans="3:8" s="99" customFormat="1" x14ac:dyDescent="0.2">
      <c r="C2706" s="198"/>
      <c r="D2706" s="198"/>
      <c r="E2706" s="537"/>
      <c r="G2706" s="198"/>
      <c r="H2706" s="123"/>
    </row>
    <row r="2707" spans="3:8" s="99" customFormat="1" x14ac:dyDescent="0.2">
      <c r="C2707" s="198"/>
      <c r="D2707" s="198"/>
      <c r="E2707" s="537"/>
      <c r="G2707" s="198"/>
      <c r="H2707" s="123"/>
    </row>
    <row r="2708" spans="3:8" s="99" customFormat="1" x14ac:dyDescent="0.2">
      <c r="C2708" s="198"/>
      <c r="D2708" s="198"/>
      <c r="E2708" s="537"/>
      <c r="G2708" s="198"/>
      <c r="H2708" s="123"/>
    </row>
    <row r="2709" spans="3:8" s="99" customFormat="1" x14ac:dyDescent="0.2">
      <c r="C2709" s="198"/>
      <c r="D2709" s="198"/>
      <c r="E2709" s="537"/>
      <c r="G2709" s="198"/>
      <c r="H2709" s="123"/>
    </row>
    <row r="2710" spans="3:8" s="99" customFormat="1" x14ac:dyDescent="0.2">
      <c r="C2710" s="198"/>
      <c r="D2710" s="198"/>
      <c r="E2710" s="537"/>
      <c r="G2710" s="198"/>
      <c r="H2710" s="123"/>
    </row>
    <row r="2711" spans="3:8" s="99" customFormat="1" x14ac:dyDescent="0.2">
      <c r="C2711" s="198"/>
      <c r="D2711" s="198"/>
      <c r="E2711" s="537"/>
      <c r="G2711" s="198"/>
      <c r="H2711" s="123"/>
    </row>
    <row r="2712" spans="3:8" s="99" customFormat="1" x14ac:dyDescent="0.2">
      <c r="C2712" s="198"/>
      <c r="D2712" s="198"/>
      <c r="E2712" s="537"/>
      <c r="G2712" s="198"/>
      <c r="H2712" s="123"/>
    </row>
    <row r="2713" spans="3:8" s="99" customFormat="1" x14ac:dyDescent="0.2">
      <c r="C2713" s="198"/>
      <c r="D2713" s="198"/>
      <c r="E2713" s="537"/>
      <c r="G2713" s="198"/>
      <c r="H2713" s="123"/>
    </row>
    <row r="2714" spans="3:8" s="99" customFormat="1" x14ac:dyDescent="0.2">
      <c r="C2714" s="198"/>
      <c r="D2714" s="198"/>
      <c r="E2714" s="537"/>
      <c r="G2714" s="198"/>
      <c r="H2714" s="123"/>
    </row>
    <row r="2715" spans="3:8" s="99" customFormat="1" x14ac:dyDescent="0.2">
      <c r="C2715" s="198"/>
      <c r="D2715" s="198"/>
      <c r="E2715" s="537"/>
      <c r="G2715" s="198"/>
      <c r="H2715" s="123"/>
    </row>
    <row r="2716" spans="3:8" s="99" customFormat="1" x14ac:dyDescent="0.2">
      <c r="C2716" s="198"/>
      <c r="D2716" s="198"/>
      <c r="E2716" s="537"/>
      <c r="G2716" s="198"/>
      <c r="H2716" s="123"/>
    </row>
    <row r="2717" spans="3:8" s="99" customFormat="1" x14ac:dyDescent="0.2">
      <c r="C2717" s="198"/>
      <c r="D2717" s="198"/>
      <c r="E2717" s="537"/>
      <c r="G2717" s="198"/>
      <c r="H2717" s="123"/>
    </row>
    <row r="2718" spans="3:8" s="99" customFormat="1" x14ac:dyDescent="0.2">
      <c r="C2718" s="198"/>
      <c r="D2718" s="198"/>
      <c r="E2718" s="537"/>
      <c r="G2718" s="198"/>
      <c r="H2718" s="123"/>
    </row>
    <row r="2719" spans="3:8" s="99" customFormat="1" x14ac:dyDescent="0.2">
      <c r="C2719" s="198"/>
      <c r="D2719" s="198"/>
      <c r="E2719" s="537"/>
      <c r="G2719" s="198"/>
      <c r="H2719" s="123"/>
    </row>
    <row r="2720" spans="3:8" s="99" customFormat="1" x14ac:dyDescent="0.2">
      <c r="C2720" s="198"/>
      <c r="D2720" s="198"/>
      <c r="E2720" s="537"/>
      <c r="G2720" s="198"/>
      <c r="H2720" s="123"/>
    </row>
    <row r="2721" spans="3:8" s="99" customFormat="1" x14ac:dyDescent="0.2">
      <c r="C2721" s="198"/>
      <c r="D2721" s="198"/>
      <c r="E2721" s="537"/>
      <c r="G2721" s="198"/>
      <c r="H2721" s="123"/>
    </row>
    <row r="2722" spans="3:8" s="99" customFormat="1" x14ac:dyDescent="0.2">
      <c r="C2722" s="198"/>
      <c r="D2722" s="198"/>
      <c r="E2722" s="537"/>
      <c r="G2722" s="198"/>
      <c r="H2722" s="123"/>
    </row>
    <row r="2723" spans="3:8" s="99" customFormat="1" x14ac:dyDescent="0.2">
      <c r="C2723" s="198"/>
      <c r="D2723" s="198"/>
      <c r="E2723" s="537"/>
      <c r="G2723" s="198"/>
      <c r="H2723" s="123"/>
    </row>
    <row r="2724" spans="3:8" s="99" customFormat="1" x14ac:dyDescent="0.2">
      <c r="C2724" s="198"/>
      <c r="D2724" s="198"/>
      <c r="E2724" s="537"/>
      <c r="G2724" s="198"/>
      <c r="H2724" s="123"/>
    </row>
    <row r="2725" spans="3:8" s="99" customFormat="1" x14ac:dyDescent="0.2">
      <c r="C2725" s="198"/>
      <c r="D2725" s="198"/>
      <c r="E2725" s="537"/>
      <c r="G2725" s="198"/>
      <c r="H2725" s="123"/>
    </row>
    <row r="2726" spans="3:8" s="99" customFormat="1" x14ac:dyDescent="0.2">
      <c r="C2726" s="198"/>
      <c r="D2726" s="198"/>
      <c r="E2726" s="537"/>
      <c r="G2726" s="198"/>
      <c r="H2726" s="123"/>
    </row>
    <row r="2727" spans="3:8" s="99" customFormat="1" x14ac:dyDescent="0.2">
      <c r="C2727" s="198"/>
      <c r="D2727" s="198"/>
      <c r="E2727" s="537"/>
      <c r="G2727" s="198"/>
      <c r="H2727" s="123"/>
    </row>
    <row r="2728" spans="3:8" s="99" customFormat="1" x14ac:dyDescent="0.2">
      <c r="C2728" s="198"/>
      <c r="D2728" s="198"/>
      <c r="E2728" s="537"/>
      <c r="G2728" s="198"/>
      <c r="H2728" s="123"/>
    </row>
    <row r="2729" spans="3:8" s="99" customFormat="1" x14ac:dyDescent="0.2">
      <c r="C2729" s="198"/>
      <c r="D2729" s="198"/>
      <c r="E2729" s="537"/>
      <c r="G2729" s="198"/>
      <c r="H2729" s="123"/>
    </row>
    <row r="2730" spans="3:8" s="99" customFormat="1" x14ac:dyDescent="0.2">
      <c r="C2730" s="198"/>
      <c r="D2730" s="198"/>
      <c r="E2730" s="537"/>
      <c r="G2730" s="198"/>
      <c r="H2730" s="123"/>
    </row>
    <row r="2731" spans="3:8" s="99" customFormat="1" x14ac:dyDescent="0.2">
      <c r="C2731" s="198"/>
      <c r="D2731" s="198"/>
      <c r="E2731" s="537"/>
      <c r="G2731" s="198"/>
      <c r="H2731" s="123"/>
    </row>
    <row r="2732" spans="3:8" s="99" customFormat="1" x14ac:dyDescent="0.2">
      <c r="C2732" s="198"/>
      <c r="D2732" s="198"/>
      <c r="E2732" s="537"/>
      <c r="G2732" s="198"/>
      <c r="H2732" s="123"/>
    </row>
    <row r="2733" spans="3:8" s="99" customFormat="1" x14ac:dyDescent="0.2">
      <c r="C2733" s="198"/>
      <c r="D2733" s="198"/>
      <c r="E2733" s="537"/>
      <c r="G2733" s="198"/>
      <c r="H2733" s="123"/>
    </row>
    <row r="2734" spans="3:8" s="99" customFormat="1" x14ac:dyDescent="0.2">
      <c r="C2734" s="198"/>
      <c r="D2734" s="198"/>
      <c r="E2734" s="537"/>
      <c r="G2734" s="198"/>
      <c r="H2734" s="123"/>
    </row>
    <row r="2735" spans="3:8" s="99" customFormat="1" x14ac:dyDescent="0.2">
      <c r="C2735" s="198"/>
      <c r="D2735" s="198"/>
      <c r="E2735" s="537"/>
      <c r="G2735" s="198"/>
      <c r="H2735" s="123"/>
    </row>
    <row r="2736" spans="3:8" s="99" customFormat="1" x14ac:dyDescent="0.2">
      <c r="C2736" s="198"/>
      <c r="D2736" s="198"/>
      <c r="E2736" s="537"/>
      <c r="G2736" s="198"/>
      <c r="H2736" s="123"/>
    </row>
    <row r="2737" spans="3:8" s="99" customFormat="1" x14ac:dyDescent="0.2">
      <c r="C2737" s="198"/>
      <c r="D2737" s="198"/>
      <c r="E2737" s="537"/>
      <c r="G2737" s="198"/>
      <c r="H2737" s="123"/>
    </row>
    <row r="2738" spans="3:8" s="99" customFormat="1" x14ac:dyDescent="0.2">
      <c r="C2738" s="198"/>
      <c r="D2738" s="198"/>
      <c r="E2738" s="537"/>
      <c r="G2738" s="198"/>
      <c r="H2738" s="123"/>
    </row>
    <row r="2739" spans="3:8" s="99" customFormat="1" x14ac:dyDescent="0.2">
      <c r="C2739" s="198"/>
      <c r="D2739" s="198"/>
      <c r="E2739" s="537"/>
      <c r="G2739" s="198"/>
      <c r="H2739" s="123"/>
    </row>
    <row r="2740" spans="3:8" s="99" customFormat="1" x14ac:dyDescent="0.2">
      <c r="C2740" s="198"/>
      <c r="D2740" s="198"/>
      <c r="E2740" s="537"/>
      <c r="G2740" s="198"/>
      <c r="H2740" s="123"/>
    </row>
    <row r="2741" spans="3:8" s="99" customFormat="1" x14ac:dyDescent="0.2">
      <c r="C2741" s="198"/>
      <c r="D2741" s="198"/>
      <c r="E2741" s="537"/>
      <c r="G2741" s="198"/>
      <c r="H2741" s="123"/>
    </row>
    <row r="2742" spans="3:8" s="99" customFormat="1" x14ac:dyDescent="0.2">
      <c r="C2742" s="198"/>
      <c r="D2742" s="198"/>
      <c r="E2742" s="537"/>
      <c r="G2742" s="198"/>
      <c r="H2742" s="123"/>
    </row>
    <row r="2743" spans="3:8" s="99" customFormat="1" x14ac:dyDescent="0.2">
      <c r="C2743" s="198"/>
      <c r="D2743" s="198"/>
      <c r="E2743" s="537"/>
      <c r="G2743" s="198"/>
      <c r="H2743" s="123"/>
    </row>
    <row r="2744" spans="3:8" s="99" customFormat="1" x14ac:dyDescent="0.2">
      <c r="C2744" s="198"/>
      <c r="D2744" s="198"/>
      <c r="E2744" s="537"/>
      <c r="G2744" s="198"/>
      <c r="H2744" s="123"/>
    </row>
    <row r="2745" spans="3:8" s="99" customFormat="1" x14ac:dyDescent="0.2">
      <c r="C2745" s="198"/>
      <c r="D2745" s="198"/>
      <c r="E2745" s="537"/>
      <c r="G2745" s="198"/>
      <c r="H2745" s="123"/>
    </row>
    <row r="2746" spans="3:8" s="99" customFormat="1" x14ac:dyDescent="0.2">
      <c r="C2746" s="198"/>
      <c r="D2746" s="198"/>
      <c r="E2746" s="537"/>
      <c r="G2746" s="198"/>
      <c r="H2746" s="123"/>
    </row>
    <row r="2747" spans="3:8" s="99" customFormat="1" x14ac:dyDescent="0.2">
      <c r="C2747" s="198"/>
      <c r="D2747" s="198"/>
      <c r="E2747" s="537"/>
      <c r="G2747" s="198"/>
      <c r="H2747" s="123"/>
    </row>
    <row r="2748" spans="3:8" s="99" customFormat="1" x14ac:dyDescent="0.2">
      <c r="C2748" s="198"/>
      <c r="D2748" s="198"/>
      <c r="E2748" s="537"/>
      <c r="G2748" s="198"/>
      <c r="H2748" s="123"/>
    </row>
    <row r="2749" spans="3:8" s="99" customFormat="1" x14ac:dyDescent="0.2">
      <c r="C2749" s="198"/>
      <c r="D2749" s="198"/>
      <c r="E2749" s="537"/>
      <c r="G2749" s="198"/>
      <c r="H2749" s="123"/>
    </row>
    <row r="2750" spans="3:8" s="99" customFormat="1" x14ac:dyDescent="0.2">
      <c r="C2750" s="198"/>
      <c r="D2750" s="198"/>
      <c r="E2750" s="537"/>
      <c r="G2750" s="198"/>
      <c r="H2750" s="123"/>
    </row>
    <row r="2751" spans="3:8" s="99" customFormat="1" x14ac:dyDescent="0.2">
      <c r="C2751" s="198"/>
      <c r="D2751" s="198"/>
      <c r="E2751" s="537"/>
      <c r="G2751" s="198"/>
      <c r="H2751" s="123"/>
    </row>
    <row r="2752" spans="3:8" s="99" customFormat="1" x14ac:dyDescent="0.2">
      <c r="C2752" s="198"/>
      <c r="D2752" s="198"/>
      <c r="E2752" s="537"/>
      <c r="G2752" s="198"/>
      <c r="H2752" s="123"/>
    </row>
    <row r="2753" spans="3:8" s="99" customFormat="1" x14ac:dyDescent="0.2">
      <c r="C2753" s="198"/>
      <c r="D2753" s="198"/>
      <c r="E2753" s="537"/>
      <c r="G2753" s="198"/>
      <c r="H2753" s="123"/>
    </row>
    <row r="2754" spans="3:8" s="99" customFormat="1" x14ac:dyDescent="0.2">
      <c r="C2754" s="198"/>
      <c r="D2754" s="198"/>
      <c r="E2754" s="537"/>
      <c r="G2754" s="198"/>
      <c r="H2754" s="123"/>
    </row>
    <row r="2755" spans="3:8" s="99" customFormat="1" x14ac:dyDescent="0.2">
      <c r="C2755" s="198"/>
      <c r="D2755" s="198"/>
      <c r="E2755" s="537"/>
      <c r="G2755" s="198"/>
      <c r="H2755" s="123"/>
    </row>
    <row r="2756" spans="3:8" s="99" customFormat="1" x14ac:dyDescent="0.2">
      <c r="C2756" s="198"/>
      <c r="D2756" s="198"/>
      <c r="E2756" s="537"/>
      <c r="G2756" s="198"/>
      <c r="H2756" s="123"/>
    </row>
    <row r="2757" spans="3:8" s="99" customFormat="1" x14ac:dyDescent="0.2">
      <c r="C2757" s="198"/>
      <c r="D2757" s="198"/>
      <c r="E2757" s="537"/>
      <c r="G2757" s="198"/>
      <c r="H2757" s="123"/>
    </row>
    <row r="2758" spans="3:8" s="99" customFormat="1" x14ac:dyDescent="0.2">
      <c r="C2758" s="198"/>
      <c r="D2758" s="198"/>
      <c r="E2758" s="537"/>
      <c r="G2758" s="198"/>
      <c r="H2758" s="123"/>
    </row>
    <row r="2759" spans="3:8" s="99" customFormat="1" x14ac:dyDescent="0.2">
      <c r="C2759" s="198"/>
      <c r="D2759" s="198"/>
      <c r="E2759" s="537"/>
      <c r="G2759" s="198"/>
      <c r="H2759" s="123"/>
    </row>
    <row r="2760" spans="3:8" s="99" customFormat="1" x14ac:dyDescent="0.2">
      <c r="C2760" s="198"/>
      <c r="D2760" s="198"/>
      <c r="E2760" s="537"/>
      <c r="G2760" s="198"/>
      <c r="H2760" s="123"/>
    </row>
    <row r="2761" spans="3:8" s="99" customFormat="1" x14ac:dyDescent="0.2">
      <c r="C2761" s="198"/>
      <c r="D2761" s="198"/>
      <c r="E2761" s="537"/>
      <c r="G2761" s="198"/>
      <c r="H2761" s="123"/>
    </row>
    <row r="2762" spans="3:8" s="99" customFormat="1" x14ac:dyDescent="0.2">
      <c r="C2762" s="198"/>
      <c r="D2762" s="198"/>
      <c r="E2762" s="537"/>
      <c r="G2762" s="198"/>
      <c r="H2762" s="123"/>
    </row>
    <row r="2763" spans="3:8" s="99" customFormat="1" x14ac:dyDescent="0.2">
      <c r="C2763" s="198"/>
      <c r="D2763" s="198"/>
      <c r="E2763" s="537"/>
      <c r="G2763" s="198"/>
      <c r="H2763" s="123"/>
    </row>
    <row r="2764" spans="3:8" s="99" customFormat="1" x14ac:dyDescent="0.2">
      <c r="C2764" s="198"/>
      <c r="D2764" s="198"/>
      <c r="E2764" s="537"/>
      <c r="G2764" s="198"/>
      <c r="H2764" s="123"/>
    </row>
    <row r="2765" spans="3:8" s="99" customFormat="1" x14ac:dyDescent="0.2">
      <c r="C2765" s="198"/>
      <c r="D2765" s="198"/>
      <c r="E2765" s="537"/>
      <c r="G2765" s="198"/>
      <c r="H2765" s="123"/>
    </row>
    <row r="2766" spans="3:8" s="99" customFormat="1" x14ac:dyDescent="0.2">
      <c r="C2766" s="198"/>
      <c r="D2766" s="198"/>
      <c r="E2766" s="537"/>
      <c r="G2766" s="198"/>
      <c r="H2766" s="123"/>
    </row>
    <row r="2767" spans="3:8" s="99" customFormat="1" x14ac:dyDescent="0.2">
      <c r="C2767" s="198"/>
      <c r="D2767" s="198"/>
      <c r="E2767" s="537"/>
      <c r="G2767" s="198"/>
      <c r="H2767" s="123"/>
    </row>
    <row r="2768" spans="3:8" s="99" customFormat="1" x14ac:dyDescent="0.2">
      <c r="C2768" s="198"/>
      <c r="D2768" s="198"/>
      <c r="E2768" s="537"/>
      <c r="G2768" s="198"/>
      <c r="H2768" s="123"/>
    </row>
    <row r="2769" spans="3:8" s="99" customFormat="1" x14ac:dyDescent="0.2">
      <c r="C2769" s="198"/>
      <c r="D2769" s="198"/>
      <c r="E2769" s="537"/>
      <c r="G2769" s="198"/>
      <c r="H2769" s="123"/>
    </row>
    <row r="2770" spans="3:8" s="99" customFormat="1" x14ac:dyDescent="0.2">
      <c r="C2770" s="198"/>
      <c r="D2770" s="198"/>
      <c r="E2770" s="537"/>
      <c r="G2770" s="198"/>
      <c r="H2770" s="123"/>
    </row>
    <row r="2771" spans="3:8" s="99" customFormat="1" x14ac:dyDescent="0.2">
      <c r="C2771" s="198"/>
      <c r="D2771" s="198"/>
      <c r="E2771" s="537"/>
      <c r="G2771" s="198"/>
      <c r="H2771" s="123"/>
    </row>
    <row r="2772" spans="3:8" s="99" customFormat="1" x14ac:dyDescent="0.2">
      <c r="C2772" s="198"/>
      <c r="D2772" s="198"/>
      <c r="E2772" s="537"/>
      <c r="G2772" s="198"/>
      <c r="H2772" s="123"/>
    </row>
    <row r="2773" spans="3:8" s="99" customFormat="1" x14ac:dyDescent="0.2">
      <c r="C2773" s="198"/>
      <c r="D2773" s="198"/>
      <c r="E2773" s="537"/>
      <c r="G2773" s="198"/>
      <c r="H2773" s="123"/>
    </row>
    <row r="2774" spans="3:8" s="99" customFormat="1" x14ac:dyDescent="0.2">
      <c r="C2774" s="198"/>
      <c r="D2774" s="198"/>
      <c r="E2774" s="537"/>
      <c r="G2774" s="198"/>
      <c r="H2774" s="123"/>
    </row>
    <row r="2775" spans="3:8" s="99" customFormat="1" x14ac:dyDescent="0.2">
      <c r="C2775" s="198"/>
      <c r="D2775" s="198"/>
      <c r="E2775" s="537"/>
      <c r="G2775" s="198"/>
      <c r="H2775" s="123"/>
    </row>
    <row r="2776" spans="3:8" s="99" customFormat="1" x14ac:dyDescent="0.2">
      <c r="C2776" s="198"/>
      <c r="D2776" s="198"/>
      <c r="E2776" s="537"/>
      <c r="G2776" s="198"/>
      <c r="H2776" s="123"/>
    </row>
    <row r="2777" spans="3:8" s="99" customFormat="1" x14ac:dyDescent="0.2">
      <c r="C2777" s="198"/>
      <c r="D2777" s="198"/>
      <c r="E2777" s="537"/>
      <c r="G2777" s="198"/>
      <c r="H2777" s="123"/>
    </row>
    <row r="2778" spans="3:8" s="99" customFormat="1" x14ac:dyDescent="0.2">
      <c r="C2778" s="198"/>
      <c r="D2778" s="198"/>
      <c r="E2778" s="537"/>
      <c r="G2778" s="198"/>
      <c r="H2778" s="123"/>
    </row>
    <row r="2779" spans="3:8" s="99" customFormat="1" x14ac:dyDescent="0.2">
      <c r="C2779" s="198"/>
      <c r="D2779" s="198"/>
      <c r="E2779" s="537"/>
      <c r="G2779" s="198"/>
      <c r="H2779" s="123"/>
    </row>
    <row r="2780" spans="3:8" s="99" customFormat="1" x14ac:dyDescent="0.2">
      <c r="C2780" s="198"/>
      <c r="D2780" s="198"/>
      <c r="E2780" s="537"/>
      <c r="G2780" s="198"/>
      <c r="H2780" s="123"/>
    </row>
    <row r="2781" spans="3:8" s="99" customFormat="1" x14ac:dyDescent="0.2">
      <c r="C2781" s="198"/>
      <c r="D2781" s="198"/>
      <c r="E2781" s="537"/>
      <c r="G2781" s="198"/>
      <c r="H2781" s="123"/>
    </row>
    <row r="2782" spans="3:8" s="99" customFormat="1" x14ac:dyDescent="0.2">
      <c r="C2782" s="198"/>
      <c r="D2782" s="198"/>
      <c r="E2782" s="537"/>
      <c r="G2782" s="198"/>
      <c r="H2782" s="123"/>
    </row>
    <row r="2783" spans="3:8" s="99" customFormat="1" x14ac:dyDescent="0.2">
      <c r="C2783" s="198"/>
      <c r="D2783" s="198"/>
      <c r="E2783" s="537"/>
      <c r="G2783" s="198"/>
      <c r="H2783" s="123"/>
    </row>
    <row r="2784" spans="3:8" s="99" customFormat="1" x14ac:dyDescent="0.2">
      <c r="C2784" s="198"/>
      <c r="D2784" s="198"/>
      <c r="E2784" s="537"/>
      <c r="G2784" s="198"/>
      <c r="H2784" s="123"/>
    </row>
    <row r="2785" spans="3:8" s="99" customFormat="1" x14ac:dyDescent="0.2">
      <c r="C2785" s="198"/>
      <c r="D2785" s="198"/>
      <c r="E2785" s="537"/>
      <c r="G2785" s="198"/>
      <c r="H2785" s="123"/>
    </row>
    <row r="2786" spans="3:8" s="99" customFormat="1" x14ac:dyDescent="0.2">
      <c r="C2786" s="198"/>
      <c r="D2786" s="198"/>
      <c r="E2786" s="537"/>
      <c r="G2786" s="198"/>
      <c r="H2786" s="123"/>
    </row>
    <row r="2787" spans="3:8" s="99" customFormat="1" x14ac:dyDescent="0.2">
      <c r="C2787" s="198"/>
      <c r="D2787" s="198"/>
      <c r="E2787" s="537"/>
      <c r="G2787" s="198"/>
      <c r="H2787" s="123"/>
    </row>
    <row r="2788" spans="3:8" s="99" customFormat="1" x14ac:dyDescent="0.2">
      <c r="C2788" s="198"/>
      <c r="D2788" s="198"/>
      <c r="E2788" s="537"/>
      <c r="G2788" s="198"/>
      <c r="H2788" s="123"/>
    </row>
    <row r="2789" spans="3:8" s="99" customFormat="1" x14ac:dyDescent="0.2">
      <c r="C2789" s="198"/>
      <c r="D2789" s="198"/>
      <c r="E2789" s="537"/>
      <c r="G2789" s="198"/>
      <c r="H2789" s="123"/>
    </row>
    <row r="2790" spans="3:8" s="99" customFormat="1" x14ac:dyDescent="0.2">
      <c r="C2790" s="198"/>
      <c r="D2790" s="198"/>
      <c r="E2790" s="537"/>
      <c r="G2790" s="198"/>
      <c r="H2790" s="123"/>
    </row>
    <row r="2791" spans="3:8" s="99" customFormat="1" x14ac:dyDescent="0.2">
      <c r="C2791" s="198"/>
      <c r="D2791" s="198"/>
      <c r="E2791" s="537"/>
      <c r="G2791" s="198"/>
      <c r="H2791" s="123"/>
    </row>
    <row r="2792" spans="3:8" s="99" customFormat="1" x14ac:dyDescent="0.2">
      <c r="C2792" s="198"/>
      <c r="D2792" s="198"/>
      <c r="E2792" s="537"/>
      <c r="G2792" s="198"/>
      <c r="H2792" s="123"/>
    </row>
    <row r="2793" spans="3:8" s="99" customFormat="1" x14ac:dyDescent="0.2">
      <c r="C2793" s="198"/>
      <c r="D2793" s="198"/>
      <c r="E2793" s="537"/>
      <c r="G2793" s="198"/>
      <c r="H2793" s="123"/>
    </row>
    <row r="2794" spans="3:8" s="99" customFormat="1" x14ac:dyDescent="0.2">
      <c r="C2794" s="198"/>
      <c r="D2794" s="198"/>
      <c r="E2794" s="537"/>
      <c r="G2794" s="198"/>
      <c r="H2794" s="123"/>
    </row>
    <row r="2795" spans="3:8" s="99" customFormat="1" x14ac:dyDescent="0.2">
      <c r="C2795" s="198"/>
      <c r="D2795" s="198"/>
      <c r="E2795" s="537"/>
      <c r="G2795" s="198"/>
      <c r="H2795" s="123"/>
    </row>
    <row r="2796" spans="3:8" s="99" customFormat="1" x14ac:dyDescent="0.2">
      <c r="C2796" s="198"/>
      <c r="D2796" s="198"/>
      <c r="E2796" s="537"/>
      <c r="G2796" s="198"/>
      <c r="H2796" s="123"/>
    </row>
    <row r="2797" spans="3:8" s="99" customFormat="1" x14ac:dyDescent="0.2">
      <c r="C2797" s="198"/>
      <c r="D2797" s="198"/>
      <c r="E2797" s="537"/>
      <c r="G2797" s="198"/>
      <c r="H2797" s="123"/>
    </row>
    <row r="2798" spans="3:8" s="99" customFormat="1" x14ac:dyDescent="0.2">
      <c r="C2798" s="198"/>
      <c r="D2798" s="198"/>
      <c r="E2798" s="537"/>
      <c r="G2798" s="198"/>
      <c r="H2798" s="123"/>
    </row>
    <row r="2799" spans="3:8" s="99" customFormat="1" x14ac:dyDescent="0.2">
      <c r="C2799" s="198"/>
      <c r="D2799" s="198"/>
      <c r="E2799" s="537"/>
      <c r="G2799" s="198"/>
      <c r="H2799" s="123"/>
    </row>
    <row r="2800" spans="3:8" s="99" customFormat="1" x14ac:dyDescent="0.2">
      <c r="C2800" s="198"/>
      <c r="D2800" s="198"/>
      <c r="E2800" s="537"/>
      <c r="G2800" s="198"/>
      <c r="H2800" s="123"/>
    </row>
    <row r="2801" spans="3:8" s="99" customFormat="1" x14ac:dyDescent="0.2">
      <c r="C2801" s="198"/>
      <c r="D2801" s="198"/>
      <c r="E2801" s="537"/>
      <c r="G2801" s="198"/>
      <c r="H2801" s="123"/>
    </row>
    <row r="2802" spans="3:8" s="99" customFormat="1" x14ac:dyDescent="0.2">
      <c r="C2802" s="198"/>
      <c r="D2802" s="198"/>
      <c r="E2802" s="537"/>
      <c r="G2802" s="198"/>
      <c r="H2802" s="123"/>
    </row>
    <row r="2803" spans="3:8" s="99" customFormat="1" x14ac:dyDescent="0.2">
      <c r="C2803" s="198"/>
      <c r="D2803" s="198"/>
      <c r="E2803" s="537"/>
      <c r="G2803" s="198"/>
      <c r="H2803" s="123"/>
    </row>
    <row r="2804" spans="3:8" s="99" customFormat="1" x14ac:dyDescent="0.2">
      <c r="C2804" s="198"/>
      <c r="D2804" s="198"/>
      <c r="E2804" s="537"/>
      <c r="G2804" s="198"/>
      <c r="H2804" s="123"/>
    </row>
    <row r="2805" spans="3:8" s="99" customFormat="1" x14ac:dyDescent="0.2">
      <c r="C2805" s="198"/>
      <c r="D2805" s="198"/>
      <c r="E2805" s="537"/>
      <c r="G2805" s="198"/>
      <c r="H2805" s="123"/>
    </row>
    <row r="2806" spans="3:8" s="99" customFormat="1" x14ac:dyDescent="0.2">
      <c r="C2806" s="198"/>
      <c r="D2806" s="198"/>
      <c r="E2806" s="537"/>
      <c r="G2806" s="198"/>
      <c r="H2806" s="123"/>
    </row>
    <row r="2807" spans="3:8" s="99" customFormat="1" x14ac:dyDescent="0.2">
      <c r="C2807" s="198"/>
      <c r="D2807" s="198"/>
      <c r="E2807" s="537"/>
      <c r="G2807" s="198"/>
      <c r="H2807" s="123"/>
    </row>
    <row r="2808" spans="3:8" s="99" customFormat="1" x14ac:dyDescent="0.2">
      <c r="C2808" s="198"/>
      <c r="D2808" s="198"/>
      <c r="E2808" s="537"/>
      <c r="G2808" s="198"/>
      <c r="H2808" s="123"/>
    </row>
    <row r="2809" spans="3:8" s="99" customFormat="1" x14ac:dyDescent="0.2">
      <c r="C2809" s="198"/>
      <c r="D2809" s="198"/>
      <c r="E2809" s="537"/>
      <c r="G2809" s="198"/>
      <c r="H2809" s="123"/>
    </row>
    <row r="2810" spans="3:8" s="99" customFormat="1" x14ac:dyDescent="0.2">
      <c r="C2810" s="198"/>
      <c r="D2810" s="198"/>
      <c r="E2810" s="537"/>
      <c r="G2810" s="198"/>
      <c r="H2810" s="123"/>
    </row>
    <row r="2811" spans="3:8" s="99" customFormat="1" x14ac:dyDescent="0.2">
      <c r="C2811" s="198"/>
      <c r="D2811" s="198"/>
      <c r="E2811" s="537"/>
      <c r="G2811" s="198"/>
      <c r="H2811" s="123"/>
    </row>
    <row r="2812" spans="3:8" s="99" customFormat="1" x14ac:dyDescent="0.2">
      <c r="C2812" s="198"/>
      <c r="D2812" s="198"/>
      <c r="E2812" s="537"/>
      <c r="G2812" s="198"/>
      <c r="H2812" s="123"/>
    </row>
    <row r="2813" spans="3:8" s="99" customFormat="1" x14ac:dyDescent="0.2">
      <c r="C2813" s="198"/>
      <c r="D2813" s="198"/>
      <c r="E2813" s="537"/>
      <c r="G2813" s="198"/>
      <c r="H2813" s="123"/>
    </row>
    <row r="2814" spans="3:8" s="99" customFormat="1" x14ac:dyDescent="0.2">
      <c r="C2814" s="198"/>
      <c r="D2814" s="198"/>
      <c r="E2814" s="537"/>
      <c r="G2814" s="198"/>
      <c r="H2814" s="123"/>
    </row>
    <row r="2815" spans="3:8" s="99" customFormat="1" x14ac:dyDescent="0.2">
      <c r="C2815" s="198"/>
      <c r="D2815" s="198"/>
      <c r="E2815" s="537"/>
      <c r="G2815" s="198"/>
      <c r="H2815" s="123"/>
    </row>
    <row r="2816" spans="3:8" s="99" customFormat="1" x14ac:dyDescent="0.2">
      <c r="C2816" s="198"/>
      <c r="D2816" s="198"/>
      <c r="E2816" s="537"/>
      <c r="G2816" s="198"/>
      <c r="H2816" s="123"/>
    </row>
    <row r="2817" spans="3:8" s="99" customFormat="1" x14ac:dyDescent="0.2">
      <c r="C2817" s="198"/>
      <c r="D2817" s="198"/>
      <c r="E2817" s="537"/>
      <c r="G2817" s="198"/>
      <c r="H2817" s="123"/>
    </row>
    <row r="2818" spans="3:8" s="99" customFormat="1" x14ac:dyDescent="0.2">
      <c r="C2818" s="198"/>
      <c r="D2818" s="198"/>
      <c r="E2818" s="537"/>
      <c r="G2818" s="198"/>
      <c r="H2818" s="123"/>
    </row>
    <row r="2819" spans="3:8" s="99" customFormat="1" x14ac:dyDescent="0.2">
      <c r="C2819" s="198"/>
      <c r="D2819" s="198"/>
      <c r="E2819" s="537"/>
      <c r="G2819" s="198"/>
      <c r="H2819" s="123"/>
    </row>
    <row r="2820" spans="3:8" s="99" customFormat="1" x14ac:dyDescent="0.2">
      <c r="C2820" s="198"/>
      <c r="D2820" s="198"/>
      <c r="E2820" s="537"/>
      <c r="G2820" s="198"/>
      <c r="H2820" s="123"/>
    </row>
    <row r="2821" spans="3:8" s="99" customFormat="1" x14ac:dyDescent="0.2">
      <c r="C2821" s="198"/>
      <c r="D2821" s="198"/>
      <c r="E2821" s="537"/>
      <c r="G2821" s="198"/>
      <c r="H2821" s="123"/>
    </row>
    <row r="2822" spans="3:8" s="99" customFormat="1" x14ac:dyDescent="0.2">
      <c r="C2822" s="198"/>
      <c r="D2822" s="198"/>
      <c r="E2822" s="537"/>
      <c r="G2822" s="198"/>
      <c r="H2822" s="123"/>
    </row>
    <row r="2823" spans="3:8" s="99" customFormat="1" x14ac:dyDescent="0.2">
      <c r="C2823" s="198"/>
      <c r="D2823" s="198"/>
      <c r="E2823" s="537"/>
      <c r="G2823" s="198"/>
      <c r="H2823" s="123"/>
    </row>
    <row r="2824" spans="3:8" s="99" customFormat="1" x14ac:dyDescent="0.2">
      <c r="C2824" s="198"/>
      <c r="D2824" s="198"/>
      <c r="E2824" s="537"/>
      <c r="G2824" s="198"/>
      <c r="H2824" s="123"/>
    </row>
    <row r="2825" spans="3:8" s="99" customFormat="1" x14ac:dyDescent="0.2">
      <c r="C2825" s="198"/>
      <c r="D2825" s="198"/>
      <c r="E2825" s="537"/>
      <c r="G2825" s="198"/>
      <c r="H2825" s="123"/>
    </row>
    <row r="2826" spans="3:8" s="99" customFormat="1" x14ac:dyDescent="0.2">
      <c r="C2826" s="198"/>
      <c r="D2826" s="198"/>
      <c r="E2826" s="537"/>
      <c r="G2826" s="198"/>
      <c r="H2826" s="123"/>
    </row>
    <row r="2827" spans="3:8" s="99" customFormat="1" x14ac:dyDescent="0.2">
      <c r="C2827" s="198"/>
      <c r="D2827" s="198"/>
      <c r="E2827" s="537"/>
      <c r="G2827" s="198"/>
      <c r="H2827" s="123"/>
    </row>
    <row r="2828" spans="3:8" s="99" customFormat="1" x14ac:dyDescent="0.2">
      <c r="C2828" s="198"/>
      <c r="D2828" s="198"/>
      <c r="E2828" s="537"/>
      <c r="G2828" s="198"/>
      <c r="H2828" s="123"/>
    </row>
    <row r="2829" spans="3:8" s="99" customFormat="1" x14ac:dyDescent="0.2">
      <c r="C2829" s="198"/>
      <c r="D2829" s="198"/>
      <c r="E2829" s="537"/>
      <c r="G2829" s="198"/>
      <c r="H2829" s="123"/>
    </row>
    <row r="2830" spans="3:8" s="99" customFormat="1" x14ac:dyDescent="0.2">
      <c r="C2830" s="198"/>
      <c r="D2830" s="198"/>
      <c r="E2830" s="537"/>
      <c r="G2830" s="198"/>
      <c r="H2830" s="123"/>
    </row>
    <row r="2831" spans="3:8" s="99" customFormat="1" x14ac:dyDescent="0.2">
      <c r="C2831" s="198"/>
      <c r="D2831" s="198"/>
      <c r="E2831" s="537"/>
      <c r="G2831" s="198"/>
      <c r="H2831" s="123"/>
    </row>
    <row r="2832" spans="3:8" s="99" customFormat="1" x14ac:dyDescent="0.2">
      <c r="C2832" s="198"/>
      <c r="D2832" s="198"/>
      <c r="E2832" s="537"/>
      <c r="G2832" s="198"/>
      <c r="H2832" s="123"/>
    </row>
    <row r="2833" spans="3:8" s="99" customFormat="1" x14ac:dyDescent="0.2">
      <c r="C2833" s="198"/>
      <c r="D2833" s="198"/>
      <c r="E2833" s="537"/>
      <c r="G2833" s="198"/>
      <c r="H2833" s="123"/>
    </row>
    <row r="2834" spans="3:8" s="99" customFormat="1" x14ac:dyDescent="0.2">
      <c r="C2834" s="198"/>
      <c r="D2834" s="198"/>
      <c r="E2834" s="537"/>
      <c r="G2834" s="198"/>
      <c r="H2834" s="123"/>
    </row>
    <row r="2835" spans="3:8" s="99" customFormat="1" x14ac:dyDescent="0.2">
      <c r="C2835" s="198"/>
      <c r="D2835" s="198"/>
      <c r="E2835" s="537"/>
      <c r="G2835" s="198"/>
      <c r="H2835" s="123"/>
    </row>
    <row r="2836" spans="3:8" s="99" customFormat="1" x14ac:dyDescent="0.2">
      <c r="C2836" s="198"/>
      <c r="D2836" s="198"/>
      <c r="E2836" s="537"/>
      <c r="G2836" s="198"/>
      <c r="H2836" s="123"/>
    </row>
    <row r="2837" spans="3:8" s="99" customFormat="1" x14ac:dyDescent="0.2">
      <c r="C2837" s="198"/>
      <c r="D2837" s="198"/>
      <c r="E2837" s="537"/>
      <c r="G2837" s="198"/>
      <c r="H2837" s="123"/>
    </row>
    <row r="2838" spans="3:8" s="99" customFormat="1" x14ac:dyDescent="0.2">
      <c r="C2838" s="198"/>
      <c r="D2838" s="198"/>
      <c r="E2838" s="537"/>
      <c r="G2838" s="198"/>
      <c r="H2838" s="123"/>
    </row>
    <row r="2839" spans="3:8" s="99" customFormat="1" x14ac:dyDescent="0.2">
      <c r="C2839" s="198"/>
      <c r="D2839" s="198"/>
      <c r="E2839" s="537"/>
      <c r="G2839" s="198"/>
      <c r="H2839" s="123"/>
    </row>
    <row r="2840" spans="3:8" s="99" customFormat="1" x14ac:dyDescent="0.2">
      <c r="C2840" s="198"/>
      <c r="D2840" s="198"/>
      <c r="E2840" s="537"/>
      <c r="G2840" s="198"/>
      <c r="H2840" s="123"/>
    </row>
    <row r="2841" spans="3:8" s="99" customFormat="1" x14ac:dyDescent="0.2">
      <c r="C2841" s="198"/>
      <c r="D2841" s="198"/>
      <c r="E2841" s="537"/>
      <c r="G2841" s="198"/>
      <c r="H2841" s="123"/>
    </row>
    <row r="2842" spans="3:8" s="99" customFormat="1" x14ac:dyDescent="0.2">
      <c r="C2842" s="198"/>
      <c r="D2842" s="198"/>
      <c r="E2842" s="537"/>
      <c r="G2842" s="198"/>
      <c r="H2842" s="123"/>
    </row>
    <row r="2843" spans="3:8" s="99" customFormat="1" x14ac:dyDescent="0.2">
      <c r="C2843" s="198"/>
      <c r="D2843" s="198"/>
      <c r="E2843" s="537"/>
      <c r="G2843" s="198"/>
      <c r="H2843" s="123"/>
    </row>
    <row r="2844" spans="3:8" s="99" customFormat="1" x14ac:dyDescent="0.2">
      <c r="C2844" s="198"/>
      <c r="D2844" s="198"/>
      <c r="E2844" s="537"/>
      <c r="G2844" s="198"/>
      <c r="H2844" s="123"/>
    </row>
    <row r="2845" spans="3:8" s="99" customFormat="1" x14ac:dyDescent="0.2">
      <c r="C2845" s="198"/>
      <c r="D2845" s="198"/>
      <c r="E2845" s="537"/>
      <c r="G2845" s="198"/>
      <c r="H2845" s="123"/>
    </row>
    <row r="2846" spans="3:8" s="99" customFormat="1" x14ac:dyDescent="0.2">
      <c r="C2846" s="198"/>
      <c r="D2846" s="198"/>
      <c r="E2846" s="537"/>
      <c r="G2846" s="198"/>
      <c r="H2846" s="123"/>
    </row>
    <row r="2847" spans="3:8" s="99" customFormat="1" x14ac:dyDescent="0.2">
      <c r="C2847" s="198"/>
      <c r="D2847" s="198"/>
      <c r="E2847" s="537"/>
      <c r="G2847" s="198"/>
      <c r="H2847" s="123"/>
    </row>
    <row r="2848" spans="3:8" s="99" customFormat="1" x14ac:dyDescent="0.2">
      <c r="C2848" s="198"/>
      <c r="D2848" s="198"/>
      <c r="E2848" s="537"/>
      <c r="G2848" s="198"/>
      <c r="H2848" s="123"/>
    </row>
    <row r="2849" spans="3:8" s="99" customFormat="1" x14ac:dyDescent="0.2">
      <c r="C2849" s="198"/>
      <c r="D2849" s="198"/>
      <c r="E2849" s="537"/>
      <c r="G2849" s="198"/>
      <c r="H2849" s="123"/>
    </row>
    <row r="2850" spans="3:8" s="99" customFormat="1" x14ac:dyDescent="0.2">
      <c r="C2850" s="198"/>
      <c r="D2850" s="198"/>
      <c r="E2850" s="537"/>
      <c r="G2850" s="198"/>
      <c r="H2850" s="123"/>
    </row>
    <row r="2851" spans="3:8" s="99" customFormat="1" x14ac:dyDescent="0.2">
      <c r="C2851" s="198"/>
      <c r="D2851" s="198"/>
      <c r="E2851" s="537"/>
      <c r="G2851" s="198"/>
      <c r="H2851" s="123"/>
    </row>
    <row r="2852" spans="3:8" s="99" customFormat="1" x14ac:dyDescent="0.2">
      <c r="C2852" s="198"/>
      <c r="D2852" s="198"/>
      <c r="E2852" s="537"/>
      <c r="G2852" s="198"/>
      <c r="H2852" s="123"/>
    </row>
    <row r="2853" spans="3:8" s="99" customFormat="1" x14ac:dyDescent="0.2">
      <c r="C2853" s="198"/>
      <c r="D2853" s="198"/>
      <c r="E2853" s="537"/>
      <c r="G2853" s="198"/>
      <c r="H2853" s="123"/>
    </row>
    <row r="2854" spans="3:8" s="99" customFormat="1" x14ac:dyDescent="0.2">
      <c r="C2854" s="198"/>
      <c r="D2854" s="198"/>
      <c r="E2854" s="537"/>
      <c r="G2854" s="198"/>
      <c r="H2854" s="123"/>
    </row>
    <row r="2855" spans="3:8" s="99" customFormat="1" x14ac:dyDescent="0.2">
      <c r="C2855" s="198"/>
      <c r="D2855" s="198"/>
      <c r="E2855" s="537"/>
      <c r="G2855" s="198"/>
      <c r="H2855" s="123"/>
    </row>
    <row r="2856" spans="3:8" s="99" customFormat="1" x14ac:dyDescent="0.2">
      <c r="C2856" s="198"/>
      <c r="D2856" s="198"/>
      <c r="E2856" s="537"/>
      <c r="G2856" s="198"/>
      <c r="H2856" s="123"/>
    </row>
    <row r="2857" spans="3:8" s="99" customFormat="1" x14ac:dyDescent="0.2">
      <c r="C2857" s="198"/>
      <c r="D2857" s="198"/>
      <c r="E2857" s="537"/>
      <c r="G2857" s="198"/>
      <c r="H2857" s="123"/>
    </row>
    <row r="2858" spans="3:8" s="99" customFormat="1" x14ac:dyDescent="0.2">
      <c r="C2858" s="198"/>
      <c r="D2858" s="198"/>
      <c r="E2858" s="537"/>
      <c r="G2858" s="198"/>
      <c r="H2858" s="123"/>
    </row>
    <row r="2859" spans="3:8" s="99" customFormat="1" x14ac:dyDescent="0.2">
      <c r="C2859" s="198"/>
      <c r="D2859" s="198"/>
      <c r="E2859" s="537"/>
      <c r="G2859" s="198"/>
      <c r="H2859" s="123"/>
    </row>
    <row r="2860" spans="3:8" s="99" customFormat="1" x14ac:dyDescent="0.2">
      <c r="C2860" s="198"/>
      <c r="D2860" s="198"/>
      <c r="E2860" s="537"/>
      <c r="G2860" s="198"/>
      <c r="H2860" s="123"/>
    </row>
    <row r="2861" spans="3:8" s="99" customFormat="1" x14ac:dyDescent="0.2">
      <c r="C2861" s="198"/>
      <c r="D2861" s="198"/>
      <c r="E2861" s="537"/>
      <c r="G2861" s="198"/>
      <c r="H2861" s="123"/>
    </row>
    <row r="2862" spans="3:8" s="99" customFormat="1" x14ac:dyDescent="0.2">
      <c r="C2862" s="198"/>
      <c r="D2862" s="198"/>
      <c r="E2862" s="537"/>
      <c r="G2862" s="198"/>
      <c r="H2862" s="123"/>
    </row>
    <row r="2863" spans="3:8" s="99" customFormat="1" x14ac:dyDescent="0.2">
      <c r="C2863" s="198"/>
      <c r="D2863" s="198"/>
      <c r="E2863" s="537"/>
      <c r="G2863" s="198"/>
      <c r="H2863" s="123"/>
    </row>
    <row r="2864" spans="3:8" s="99" customFormat="1" x14ac:dyDescent="0.2">
      <c r="C2864" s="198"/>
      <c r="D2864" s="198"/>
      <c r="E2864" s="537"/>
      <c r="G2864" s="198"/>
      <c r="H2864" s="123"/>
    </row>
    <row r="2865" spans="3:8" s="99" customFormat="1" x14ac:dyDescent="0.2">
      <c r="C2865" s="198"/>
      <c r="D2865" s="198"/>
      <c r="E2865" s="537"/>
      <c r="G2865" s="198"/>
      <c r="H2865" s="123"/>
    </row>
    <row r="2866" spans="3:8" s="99" customFormat="1" x14ac:dyDescent="0.2">
      <c r="C2866" s="198"/>
      <c r="D2866" s="198"/>
      <c r="E2866" s="537"/>
      <c r="G2866" s="198"/>
      <c r="H2866" s="123"/>
    </row>
    <row r="2867" spans="3:8" s="99" customFormat="1" x14ac:dyDescent="0.2">
      <c r="C2867" s="198"/>
      <c r="D2867" s="198"/>
      <c r="E2867" s="537"/>
      <c r="G2867" s="198"/>
      <c r="H2867" s="123"/>
    </row>
    <row r="2868" spans="3:8" s="99" customFormat="1" x14ac:dyDescent="0.2">
      <c r="C2868" s="198"/>
      <c r="D2868" s="198"/>
      <c r="E2868" s="537"/>
      <c r="G2868" s="198"/>
      <c r="H2868" s="123"/>
    </row>
    <row r="2869" spans="3:8" s="99" customFormat="1" x14ac:dyDescent="0.2">
      <c r="C2869" s="198"/>
      <c r="D2869" s="198"/>
      <c r="E2869" s="537"/>
      <c r="G2869" s="198"/>
      <c r="H2869" s="123"/>
    </row>
    <row r="2870" spans="3:8" s="99" customFormat="1" x14ac:dyDescent="0.2">
      <c r="C2870" s="198"/>
      <c r="D2870" s="198"/>
      <c r="E2870" s="537"/>
      <c r="G2870" s="198"/>
      <c r="H2870" s="123"/>
    </row>
    <row r="2871" spans="3:8" s="99" customFormat="1" x14ac:dyDescent="0.2">
      <c r="C2871" s="198"/>
      <c r="D2871" s="198"/>
      <c r="E2871" s="537"/>
      <c r="G2871" s="198"/>
      <c r="H2871" s="123"/>
    </row>
    <row r="2872" spans="3:8" s="99" customFormat="1" x14ac:dyDescent="0.2">
      <c r="C2872" s="198"/>
      <c r="D2872" s="198"/>
      <c r="E2872" s="537"/>
      <c r="G2872" s="198"/>
      <c r="H2872" s="123"/>
    </row>
    <row r="2873" spans="3:8" s="99" customFormat="1" x14ac:dyDescent="0.2">
      <c r="C2873" s="198"/>
      <c r="D2873" s="198"/>
      <c r="E2873" s="537"/>
      <c r="G2873" s="198"/>
      <c r="H2873" s="123"/>
    </row>
    <row r="2874" spans="3:8" s="99" customFormat="1" x14ac:dyDescent="0.2">
      <c r="C2874" s="198"/>
      <c r="D2874" s="198"/>
      <c r="E2874" s="537"/>
      <c r="G2874" s="198"/>
      <c r="H2874" s="123"/>
    </row>
    <row r="2875" spans="3:8" s="99" customFormat="1" x14ac:dyDescent="0.2">
      <c r="C2875" s="198"/>
      <c r="D2875" s="198"/>
      <c r="E2875" s="537"/>
      <c r="G2875" s="198"/>
      <c r="H2875" s="123"/>
    </row>
    <row r="2876" spans="3:8" s="99" customFormat="1" x14ac:dyDescent="0.2">
      <c r="C2876" s="198"/>
      <c r="D2876" s="198"/>
      <c r="E2876" s="537"/>
      <c r="G2876" s="198"/>
      <c r="H2876" s="123"/>
    </row>
    <row r="2877" spans="3:8" s="99" customFormat="1" x14ac:dyDescent="0.2">
      <c r="C2877" s="198"/>
      <c r="D2877" s="198"/>
      <c r="E2877" s="537"/>
      <c r="G2877" s="198"/>
      <c r="H2877" s="123"/>
    </row>
    <row r="2878" spans="3:8" s="99" customFormat="1" x14ac:dyDescent="0.2">
      <c r="C2878" s="198"/>
      <c r="D2878" s="198"/>
      <c r="E2878" s="537"/>
      <c r="G2878" s="198"/>
      <c r="H2878" s="123"/>
    </row>
    <row r="2879" spans="3:8" s="99" customFormat="1" x14ac:dyDescent="0.2">
      <c r="C2879" s="198"/>
      <c r="D2879" s="198"/>
      <c r="E2879" s="537"/>
      <c r="G2879" s="198"/>
      <c r="H2879" s="123"/>
    </row>
    <row r="2880" spans="3:8" s="99" customFormat="1" x14ac:dyDescent="0.2">
      <c r="C2880" s="198"/>
      <c r="D2880" s="198"/>
      <c r="E2880" s="537"/>
      <c r="G2880" s="198"/>
      <c r="H2880" s="123"/>
    </row>
    <row r="2881" spans="3:8" s="99" customFormat="1" x14ac:dyDescent="0.2">
      <c r="C2881" s="198"/>
      <c r="D2881" s="198"/>
      <c r="E2881" s="537"/>
      <c r="G2881" s="198"/>
      <c r="H2881" s="123"/>
    </row>
    <row r="2882" spans="3:8" s="99" customFormat="1" x14ac:dyDescent="0.2">
      <c r="C2882" s="198"/>
      <c r="D2882" s="198"/>
      <c r="E2882" s="537"/>
      <c r="G2882" s="198"/>
      <c r="H2882" s="123"/>
    </row>
    <row r="2883" spans="3:8" s="99" customFormat="1" x14ac:dyDescent="0.2">
      <c r="C2883" s="198"/>
      <c r="D2883" s="198"/>
      <c r="E2883" s="537"/>
      <c r="G2883" s="198"/>
      <c r="H2883" s="123"/>
    </row>
    <row r="2884" spans="3:8" s="99" customFormat="1" x14ac:dyDescent="0.2">
      <c r="C2884" s="198"/>
      <c r="D2884" s="198"/>
      <c r="E2884" s="537"/>
      <c r="G2884" s="198"/>
      <c r="H2884" s="123"/>
    </row>
    <row r="2885" spans="3:8" s="99" customFormat="1" x14ac:dyDescent="0.2">
      <c r="C2885" s="198"/>
      <c r="D2885" s="198"/>
      <c r="E2885" s="537"/>
      <c r="G2885" s="198"/>
      <c r="H2885" s="123"/>
    </row>
    <row r="2886" spans="3:8" s="99" customFormat="1" x14ac:dyDescent="0.2">
      <c r="C2886" s="198"/>
      <c r="D2886" s="198"/>
      <c r="E2886" s="537"/>
      <c r="G2886" s="198"/>
      <c r="H2886" s="123"/>
    </row>
    <row r="2887" spans="3:8" s="99" customFormat="1" x14ac:dyDescent="0.2">
      <c r="C2887" s="198"/>
      <c r="D2887" s="198"/>
      <c r="E2887" s="537"/>
      <c r="G2887" s="198"/>
      <c r="H2887" s="123"/>
    </row>
    <row r="2888" spans="3:8" s="99" customFormat="1" x14ac:dyDescent="0.2">
      <c r="C2888" s="198"/>
      <c r="D2888" s="198"/>
      <c r="E2888" s="537"/>
      <c r="G2888" s="198"/>
      <c r="H2888" s="123"/>
    </row>
    <row r="2889" spans="3:8" s="99" customFormat="1" x14ac:dyDescent="0.2">
      <c r="C2889" s="198"/>
      <c r="D2889" s="198"/>
      <c r="E2889" s="537"/>
      <c r="G2889" s="198"/>
      <c r="H2889" s="123"/>
    </row>
    <row r="2890" spans="3:8" s="99" customFormat="1" x14ac:dyDescent="0.2">
      <c r="C2890" s="198"/>
      <c r="D2890" s="198"/>
      <c r="E2890" s="537"/>
      <c r="G2890" s="198"/>
      <c r="H2890" s="123"/>
    </row>
    <row r="2891" spans="3:8" s="99" customFormat="1" x14ac:dyDescent="0.2">
      <c r="C2891" s="198"/>
      <c r="D2891" s="198"/>
      <c r="E2891" s="537"/>
      <c r="G2891" s="198"/>
      <c r="H2891" s="123"/>
    </row>
    <row r="2892" spans="3:8" s="99" customFormat="1" x14ac:dyDescent="0.2">
      <c r="C2892" s="198"/>
      <c r="D2892" s="198"/>
      <c r="E2892" s="537"/>
      <c r="G2892" s="198"/>
      <c r="H2892" s="123"/>
    </row>
    <row r="2893" spans="3:8" s="99" customFormat="1" x14ac:dyDescent="0.2">
      <c r="C2893" s="198"/>
      <c r="D2893" s="198"/>
      <c r="E2893" s="537"/>
      <c r="G2893" s="198"/>
      <c r="H2893" s="123"/>
    </row>
    <row r="2894" spans="3:8" s="99" customFormat="1" x14ac:dyDescent="0.2">
      <c r="C2894" s="198"/>
      <c r="D2894" s="198"/>
      <c r="E2894" s="537"/>
      <c r="G2894" s="198"/>
      <c r="H2894" s="123"/>
    </row>
    <row r="2895" spans="3:8" s="99" customFormat="1" x14ac:dyDescent="0.2">
      <c r="C2895" s="198"/>
      <c r="D2895" s="198"/>
      <c r="E2895" s="537"/>
      <c r="G2895" s="198"/>
      <c r="H2895" s="123"/>
    </row>
    <row r="2896" spans="3:8" s="99" customFormat="1" x14ac:dyDescent="0.2">
      <c r="C2896" s="198"/>
      <c r="D2896" s="198"/>
      <c r="E2896" s="537"/>
      <c r="G2896" s="198"/>
      <c r="H2896" s="123"/>
    </row>
    <row r="2897" spans="3:8" s="99" customFormat="1" x14ac:dyDescent="0.2">
      <c r="C2897" s="198"/>
      <c r="D2897" s="198"/>
      <c r="E2897" s="537"/>
      <c r="G2897" s="198"/>
      <c r="H2897" s="123"/>
    </row>
    <row r="2898" spans="3:8" s="99" customFormat="1" x14ac:dyDescent="0.2">
      <c r="C2898" s="198"/>
      <c r="D2898" s="198"/>
      <c r="E2898" s="537"/>
      <c r="G2898" s="198"/>
      <c r="H2898" s="123"/>
    </row>
    <row r="2899" spans="3:8" s="99" customFormat="1" x14ac:dyDescent="0.2">
      <c r="C2899" s="198"/>
      <c r="D2899" s="198"/>
      <c r="E2899" s="537"/>
      <c r="G2899" s="198"/>
      <c r="H2899" s="123"/>
    </row>
    <row r="2900" spans="3:8" s="99" customFormat="1" x14ac:dyDescent="0.2">
      <c r="C2900" s="198"/>
      <c r="D2900" s="198"/>
      <c r="E2900" s="537"/>
      <c r="G2900" s="198"/>
      <c r="H2900" s="123"/>
    </row>
    <row r="2901" spans="3:8" s="99" customFormat="1" x14ac:dyDescent="0.2">
      <c r="C2901" s="198"/>
      <c r="D2901" s="198"/>
      <c r="E2901" s="537"/>
      <c r="G2901" s="198"/>
      <c r="H2901" s="123"/>
    </row>
    <row r="2902" spans="3:8" s="99" customFormat="1" x14ac:dyDescent="0.2">
      <c r="C2902" s="198"/>
      <c r="D2902" s="198"/>
      <c r="E2902" s="537"/>
      <c r="G2902" s="198"/>
      <c r="H2902" s="123"/>
    </row>
    <row r="2903" spans="3:8" s="99" customFormat="1" x14ac:dyDescent="0.2">
      <c r="C2903" s="198"/>
      <c r="D2903" s="198"/>
      <c r="E2903" s="537"/>
      <c r="G2903" s="198"/>
      <c r="H2903" s="123"/>
    </row>
    <row r="2904" spans="3:8" s="99" customFormat="1" x14ac:dyDescent="0.2">
      <c r="C2904" s="198"/>
      <c r="D2904" s="198"/>
      <c r="E2904" s="537"/>
      <c r="G2904" s="198"/>
      <c r="H2904" s="123"/>
    </row>
    <row r="2905" spans="3:8" s="99" customFormat="1" x14ac:dyDescent="0.2">
      <c r="C2905" s="198"/>
      <c r="D2905" s="198"/>
      <c r="E2905" s="537"/>
      <c r="G2905" s="198"/>
      <c r="H2905" s="123"/>
    </row>
    <row r="2906" spans="3:8" s="99" customFormat="1" x14ac:dyDescent="0.2">
      <c r="C2906" s="198"/>
      <c r="D2906" s="198"/>
      <c r="E2906" s="537"/>
      <c r="G2906" s="198"/>
      <c r="H2906" s="123"/>
    </row>
    <row r="2907" spans="3:8" s="99" customFormat="1" x14ac:dyDescent="0.2">
      <c r="C2907" s="198"/>
      <c r="D2907" s="198"/>
      <c r="E2907" s="537"/>
      <c r="G2907" s="198"/>
      <c r="H2907" s="123"/>
    </row>
    <row r="2908" spans="3:8" s="99" customFormat="1" x14ac:dyDescent="0.2">
      <c r="C2908" s="198"/>
      <c r="D2908" s="198"/>
      <c r="E2908" s="537"/>
      <c r="G2908" s="198"/>
      <c r="H2908" s="123"/>
    </row>
    <row r="2909" spans="3:8" s="99" customFormat="1" x14ac:dyDescent="0.2">
      <c r="C2909" s="198"/>
      <c r="D2909" s="198"/>
      <c r="E2909" s="537"/>
      <c r="G2909" s="198"/>
      <c r="H2909" s="123"/>
    </row>
    <row r="2910" spans="3:8" s="99" customFormat="1" x14ac:dyDescent="0.2">
      <c r="C2910" s="198"/>
      <c r="D2910" s="198"/>
      <c r="E2910" s="537"/>
      <c r="G2910" s="198"/>
      <c r="H2910" s="123"/>
    </row>
    <row r="2911" spans="3:8" s="99" customFormat="1" x14ac:dyDescent="0.2">
      <c r="C2911" s="198"/>
      <c r="D2911" s="198"/>
      <c r="E2911" s="537"/>
      <c r="G2911" s="198"/>
      <c r="H2911" s="123"/>
    </row>
    <row r="2912" spans="3:8" s="99" customFormat="1" x14ac:dyDescent="0.2">
      <c r="C2912" s="198"/>
      <c r="D2912" s="198"/>
      <c r="E2912" s="537"/>
      <c r="G2912" s="198"/>
      <c r="H2912" s="123"/>
    </row>
    <row r="2913" spans="3:8" s="99" customFormat="1" x14ac:dyDescent="0.2">
      <c r="C2913" s="198"/>
      <c r="D2913" s="198"/>
      <c r="E2913" s="537"/>
      <c r="G2913" s="198"/>
      <c r="H2913" s="123"/>
    </row>
    <row r="2914" spans="3:8" s="99" customFormat="1" x14ac:dyDescent="0.2">
      <c r="C2914" s="198"/>
      <c r="D2914" s="198"/>
      <c r="E2914" s="537"/>
      <c r="G2914" s="198"/>
      <c r="H2914" s="123"/>
    </row>
    <row r="2915" spans="3:8" s="99" customFormat="1" x14ac:dyDescent="0.2">
      <c r="C2915" s="198"/>
      <c r="D2915" s="198"/>
      <c r="E2915" s="537"/>
      <c r="G2915" s="198"/>
      <c r="H2915" s="123"/>
    </row>
    <row r="2916" spans="3:8" s="99" customFormat="1" x14ac:dyDescent="0.2">
      <c r="C2916" s="198"/>
      <c r="D2916" s="198"/>
      <c r="E2916" s="537"/>
      <c r="G2916" s="198"/>
      <c r="H2916" s="123"/>
    </row>
    <row r="2917" spans="3:8" s="99" customFormat="1" x14ac:dyDescent="0.2">
      <c r="C2917" s="198"/>
      <c r="D2917" s="198"/>
      <c r="E2917" s="537"/>
      <c r="G2917" s="198"/>
      <c r="H2917" s="123"/>
    </row>
    <row r="2918" spans="3:8" s="99" customFormat="1" x14ac:dyDescent="0.2">
      <c r="C2918" s="198"/>
      <c r="D2918" s="198"/>
      <c r="E2918" s="537"/>
      <c r="G2918" s="198"/>
      <c r="H2918" s="123"/>
    </row>
    <row r="2919" spans="3:8" s="99" customFormat="1" x14ac:dyDescent="0.2">
      <c r="C2919" s="198"/>
      <c r="D2919" s="198"/>
      <c r="E2919" s="537"/>
      <c r="G2919" s="198"/>
      <c r="H2919" s="123"/>
    </row>
    <row r="2920" spans="3:8" s="99" customFormat="1" x14ac:dyDescent="0.2">
      <c r="C2920" s="198"/>
      <c r="D2920" s="198"/>
      <c r="E2920" s="537"/>
      <c r="G2920" s="198"/>
      <c r="H2920" s="123"/>
    </row>
    <row r="2921" spans="3:8" s="99" customFormat="1" x14ac:dyDescent="0.2">
      <c r="C2921" s="198"/>
      <c r="D2921" s="198"/>
      <c r="E2921" s="537"/>
      <c r="G2921" s="198"/>
      <c r="H2921" s="123"/>
    </row>
    <row r="2922" spans="3:8" s="99" customFormat="1" x14ac:dyDescent="0.2">
      <c r="C2922" s="198"/>
      <c r="D2922" s="198"/>
      <c r="E2922" s="537"/>
      <c r="G2922" s="198"/>
      <c r="H2922" s="123"/>
    </row>
    <row r="2923" spans="3:8" s="99" customFormat="1" x14ac:dyDescent="0.2">
      <c r="C2923" s="198"/>
      <c r="D2923" s="198"/>
      <c r="E2923" s="537"/>
      <c r="G2923" s="198"/>
      <c r="H2923" s="123"/>
    </row>
    <row r="2924" spans="3:8" s="99" customFormat="1" x14ac:dyDescent="0.2">
      <c r="C2924" s="198"/>
      <c r="D2924" s="198"/>
      <c r="E2924" s="537"/>
      <c r="G2924" s="198"/>
      <c r="H2924" s="123"/>
    </row>
    <row r="2925" spans="3:8" s="99" customFormat="1" x14ac:dyDescent="0.2">
      <c r="C2925" s="198"/>
      <c r="D2925" s="198"/>
      <c r="E2925" s="537"/>
      <c r="G2925" s="198"/>
      <c r="H2925" s="123"/>
    </row>
    <row r="2926" spans="3:8" s="99" customFormat="1" x14ac:dyDescent="0.2">
      <c r="C2926" s="198"/>
      <c r="D2926" s="198"/>
      <c r="E2926" s="537"/>
      <c r="G2926" s="198"/>
      <c r="H2926" s="123"/>
    </row>
    <row r="2927" spans="3:8" s="99" customFormat="1" x14ac:dyDescent="0.2">
      <c r="C2927" s="198"/>
      <c r="D2927" s="198"/>
      <c r="E2927" s="537"/>
      <c r="G2927" s="198"/>
      <c r="H2927" s="123"/>
    </row>
    <row r="2928" spans="3:8" s="99" customFormat="1" x14ac:dyDescent="0.2">
      <c r="C2928" s="198"/>
      <c r="D2928" s="198"/>
      <c r="E2928" s="537"/>
      <c r="G2928" s="198"/>
      <c r="H2928" s="123"/>
    </row>
    <row r="2929" spans="3:8" s="99" customFormat="1" x14ac:dyDescent="0.2">
      <c r="C2929" s="198"/>
      <c r="D2929" s="198"/>
      <c r="E2929" s="537"/>
      <c r="G2929" s="198"/>
      <c r="H2929" s="123"/>
    </row>
    <row r="2930" spans="3:8" s="99" customFormat="1" x14ac:dyDescent="0.2">
      <c r="C2930" s="198"/>
      <c r="D2930" s="198"/>
      <c r="E2930" s="537"/>
      <c r="G2930" s="198"/>
      <c r="H2930" s="123"/>
    </row>
    <row r="2931" spans="3:8" s="99" customFormat="1" x14ac:dyDescent="0.2">
      <c r="C2931" s="198"/>
      <c r="D2931" s="198"/>
      <c r="E2931" s="537"/>
      <c r="G2931" s="198"/>
      <c r="H2931" s="123"/>
    </row>
    <row r="2932" spans="3:8" s="99" customFormat="1" x14ac:dyDescent="0.2">
      <c r="C2932" s="198"/>
      <c r="D2932" s="198"/>
      <c r="E2932" s="537"/>
      <c r="G2932" s="198"/>
      <c r="H2932" s="123"/>
    </row>
    <row r="2933" spans="3:8" s="99" customFormat="1" x14ac:dyDescent="0.2">
      <c r="C2933" s="198"/>
      <c r="D2933" s="198"/>
      <c r="E2933" s="537"/>
      <c r="G2933" s="198"/>
      <c r="H2933" s="123"/>
    </row>
    <row r="2934" spans="3:8" s="99" customFormat="1" x14ac:dyDescent="0.2">
      <c r="C2934" s="198"/>
      <c r="D2934" s="198"/>
      <c r="E2934" s="537"/>
      <c r="G2934" s="198"/>
      <c r="H2934" s="123"/>
    </row>
    <row r="2935" spans="3:8" s="99" customFormat="1" x14ac:dyDescent="0.2">
      <c r="C2935" s="198"/>
      <c r="D2935" s="198"/>
      <c r="E2935" s="537"/>
      <c r="G2935" s="198"/>
      <c r="H2935" s="123"/>
    </row>
    <row r="2936" spans="3:8" s="99" customFormat="1" x14ac:dyDescent="0.2">
      <c r="C2936" s="198"/>
      <c r="D2936" s="198"/>
      <c r="E2936" s="537"/>
      <c r="G2936" s="198"/>
      <c r="H2936" s="123"/>
    </row>
    <row r="2937" spans="3:8" s="99" customFormat="1" x14ac:dyDescent="0.2">
      <c r="C2937" s="198"/>
      <c r="D2937" s="198"/>
      <c r="E2937" s="537"/>
      <c r="G2937" s="198"/>
      <c r="H2937" s="123"/>
    </row>
    <row r="2938" spans="3:8" s="99" customFormat="1" x14ac:dyDescent="0.2">
      <c r="C2938" s="198"/>
      <c r="D2938" s="198"/>
      <c r="E2938" s="537"/>
      <c r="G2938" s="198"/>
      <c r="H2938" s="123"/>
    </row>
    <row r="2939" spans="3:8" s="99" customFormat="1" x14ac:dyDescent="0.2">
      <c r="C2939" s="198"/>
      <c r="D2939" s="198"/>
      <c r="E2939" s="537"/>
      <c r="G2939" s="198"/>
      <c r="H2939" s="123"/>
    </row>
    <row r="2940" spans="3:8" s="99" customFormat="1" x14ac:dyDescent="0.2">
      <c r="C2940" s="198"/>
      <c r="D2940" s="198"/>
      <c r="E2940" s="537"/>
      <c r="G2940" s="198"/>
      <c r="H2940" s="123"/>
    </row>
    <row r="2941" spans="3:8" s="99" customFormat="1" x14ac:dyDescent="0.2">
      <c r="C2941" s="198"/>
      <c r="D2941" s="198"/>
      <c r="E2941" s="537"/>
      <c r="G2941" s="198"/>
      <c r="H2941" s="123"/>
    </row>
    <row r="2942" spans="3:8" s="99" customFormat="1" x14ac:dyDescent="0.2">
      <c r="C2942" s="198"/>
      <c r="D2942" s="198"/>
      <c r="E2942" s="537"/>
      <c r="G2942" s="198"/>
      <c r="H2942" s="123"/>
    </row>
    <row r="2943" spans="3:8" s="99" customFormat="1" x14ac:dyDescent="0.2">
      <c r="C2943" s="198"/>
      <c r="D2943" s="198"/>
      <c r="E2943" s="537"/>
      <c r="G2943" s="198"/>
      <c r="H2943" s="123"/>
    </row>
    <row r="2944" spans="3:8" s="99" customFormat="1" x14ac:dyDescent="0.2">
      <c r="C2944" s="198"/>
      <c r="D2944" s="198"/>
      <c r="E2944" s="537"/>
      <c r="G2944" s="198"/>
      <c r="H2944" s="123"/>
    </row>
    <row r="2945" spans="3:8" s="99" customFormat="1" x14ac:dyDescent="0.2">
      <c r="C2945" s="198"/>
      <c r="D2945" s="198"/>
      <c r="E2945" s="537"/>
      <c r="G2945" s="198"/>
      <c r="H2945" s="123"/>
    </row>
    <row r="2946" spans="3:8" s="99" customFormat="1" x14ac:dyDescent="0.2">
      <c r="C2946" s="198"/>
      <c r="D2946" s="198"/>
      <c r="E2946" s="537"/>
      <c r="G2946" s="198"/>
      <c r="H2946" s="123"/>
    </row>
    <row r="2947" spans="3:8" s="99" customFormat="1" x14ac:dyDescent="0.2">
      <c r="C2947" s="198"/>
      <c r="D2947" s="198"/>
      <c r="E2947" s="537"/>
      <c r="G2947" s="198"/>
      <c r="H2947" s="123"/>
    </row>
    <row r="2948" spans="3:8" s="99" customFormat="1" x14ac:dyDescent="0.2">
      <c r="C2948" s="198"/>
      <c r="D2948" s="198"/>
      <c r="E2948" s="537"/>
      <c r="G2948" s="198"/>
      <c r="H2948" s="123"/>
    </row>
    <row r="2949" spans="3:8" s="99" customFormat="1" x14ac:dyDescent="0.2">
      <c r="C2949" s="198"/>
      <c r="D2949" s="198"/>
      <c r="E2949" s="537"/>
      <c r="G2949" s="198"/>
      <c r="H2949" s="123"/>
    </row>
    <row r="2950" spans="3:8" s="99" customFormat="1" x14ac:dyDescent="0.2">
      <c r="C2950" s="198"/>
      <c r="D2950" s="198"/>
      <c r="E2950" s="537"/>
      <c r="G2950" s="198"/>
      <c r="H2950" s="123"/>
    </row>
    <row r="2951" spans="3:8" s="99" customFormat="1" x14ac:dyDescent="0.2">
      <c r="C2951" s="198"/>
      <c r="D2951" s="198"/>
      <c r="E2951" s="537"/>
      <c r="G2951" s="198"/>
      <c r="H2951" s="123"/>
    </row>
    <row r="2952" spans="3:8" s="99" customFormat="1" x14ac:dyDescent="0.2">
      <c r="C2952" s="198"/>
      <c r="D2952" s="198"/>
      <c r="E2952" s="537"/>
      <c r="G2952" s="198"/>
      <c r="H2952" s="123"/>
    </row>
    <row r="2953" spans="3:8" s="99" customFormat="1" x14ac:dyDescent="0.2">
      <c r="C2953" s="198"/>
      <c r="D2953" s="198"/>
      <c r="E2953" s="537"/>
      <c r="G2953" s="198"/>
      <c r="H2953" s="123"/>
    </row>
    <row r="2954" spans="3:8" s="99" customFormat="1" x14ac:dyDescent="0.2">
      <c r="C2954" s="198"/>
      <c r="D2954" s="198"/>
      <c r="E2954" s="537"/>
      <c r="G2954" s="198"/>
      <c r="H2954" s="123"/>
    </row>
    <row r="2955" spans="3:8" s="99" customFormat="1" x14ac:dyDescent="0.2">
      <c r="C2955" s="198"/>
      <c r="D2955" s="198"/>
      <c r="E2955" s="537"/>
      <c r="G2955" s="198"/>
      <c r="H2955" s="123"/>
    </row>
    <row r="2956" spans="3:8" s="99" customFormat="1" x14ac:dyDescent="0.2">
      <c r="C2956" s="198"/>
      <c r="D2956" s="198"/>
      <c r="E2956" s="537"/>
      <c r="G2956" s="198"/>
      <c r="H2956" s="123"/>
    </row>
    <row r="2957" spans="3:8" s="99" customFormat="1" x14ac:dyDescent="0.2">
      <c r="C2957" s="198"/>
      <c r="D2957" s="198"/>
      <c r="E2957" s="537"/>
      <c r="G2957" s="198"/>
      <c r="H2957" s="123"/>
    </row>
    <row r="2958" spans="3:8" s="99" customFormat="1" x14ac:dyDescent="0.2">
      <c r="C2958" s="198"/>
      <c r="D2958" s="198"/>
      <c r="E2958" s="537"/>
      <c r="G2958" s="198"/>
      <c r="H2958" s="123"/>
    </row>
    <row r="2959" spans="3:8" s="99" customFormat="1" x14ac:dyDescent="0.2">
      <c r="C2959" s="198"/>
      <c r="D2959" s="198"/>
      <c r="E2959" s="537"/>
      <c r="G2959" s="198"/>
      <c r="H2959" s="123"/>
    </row>
    <row r="2960" spans="3:8" s="99" customFormat="1" x14ac:dyDescent="0.2">
      <c r="C2960" s="198"/>
      <c r="D2960" s="198"/>
      <c r="E2960" s="537"/>
      <c r="G2960" s="198"/>
      <c r="H2960" s="123"/>
    </row>
    <row r="2961" spans="3:8" s="99" customFormat="1" x14ac:dyDescent="0.2">
      <c r="C2961" s="198"/>
      <c r="D2961" s="198"/>
      <c r="E2961" s="537"/>
      <c r="G2961" s="198"/>
      <c r="H2961" s="123"/>
    </row>
    <row r="2962" spans="3:8" s="99" customFormat="1" x14ac:dyDescent="0.2">
      <c r="C2962" s="198"/>
      <c r="D2962" s="198"/>
      <c r="E2962" s="537"/>
      <c r="G2962" s="198"/>
      <c r="H2962" s="123"/>
    </row>
    <row r="2963" spans="3:8" s="99" customFormat="1" x14ac:dyDescent="0.2">
      <c r="C2963" s="198"/>
      <c r="D2963" s="198"/>
      <c r="E2963" s="537"/>
      <c r="G2963" s="198"/>
      <c r="H2963" s="123"/>
    </row>
    <row r="2964" spans="3:8" s="99" customFormat="1" x14ac:dyDescent="0.2">
      <c r="C2964" s="198"/>
      <c r="D2964" s="198"/>
      <c r="E2964" s="537"/>
      <c r="G2964" s="198"/>
      <c r="H2964" s="123"/>
    </row>
    <row r="2965" spans="3:8" s="99" customFormat="1" x14ac:dyDescent="0.2">
      <c r="C2965" s="198"/>
      <c r="D2965" s="198"/>
      <c r="E2965" s="537"/>
      <c r="G2965" s="198"/>
      <c r="H2965" s="123"/>
    </row>
    <row r="2966" spans="3:8" s="99" customFormat="1" x14ac:dyDescent="0.2">
      <c r="C2966" s="198"/>
      <c r="D2966" s="198"/>
      <c r="E2966" s="537"/>
      <c r="G2966" s="198"/>
      <c r="H2966" s="123"/>
    </row>
    <row r="2967" spans="3:8" s="99" customFormat="1" x14ac:dyDescent="0.2">
      <c r="C2967" s="198"/>
      <c r="D2967" s="198"/>
      <c r="E2967" s="537"/>
      <c r="G2967" s="198"/>
      <c r="H2967" s="123"/>
    </row>
    <row r="2968" spans="3:8" s="99" customFormat="1" x14ac:dyDescent="0.2">
      <c r="C2968" s="198"/>
      <c r="D2968" s="198"/>
      <c r="E2968" s="537"/>
      <c r="G2968" s="198"/>
      <c r="H2968" s="123"/>
    </row>
    <row r="2969" spans="3:8" s="99" customFormat="1" x14ac:dyDescent="0.2">
      <c r="C2969" s="198"/>
      <c r="D2969" s="198"/>
      <c r="E2969" s="537"/>
      <c r="G2969" s="198"/>
      <c r="H2969" s="123"/>
    </row>
    <row r="2970" spans="3:8" s="99" customFormat="1" x14ac:dyDescent="0.2">
      <c r="C2970" s="198"/>
      <c r="D2970" s="198"/>
      <c r="E2970" s="537"/>
      <c r="G2970" s="198"/>
      <c r="H2970" s="123"/>
    </row>
    <row r="2971" spans="3:8" s="99" customFormat="1" x14ac:dyDescent="0.2">
      <c r="C2971" s="198"/>
      <c r="D2971" s="198"/>
      <c r="E2971" s="537"/>
      <c r="G2971" s="198"/>
      <c r="H2971" s="123"/>
    </row>
    <row r="2972" spans="3:8" s="99" customFormat="1" x14ac:dyDescent="0.2">
      <c r="C2972" s="198"/>
      <c r="D2972" s="198"/>
      <c r="E2972" s="537"/>
      <c r="G2972" s="198"/>
      <c r="H2972" s="123"/>
    </row>
    <row r="2973" spans="3:8" s="99" customFormat="1" x14ac:dyDescent="0.2">
      <c r="C2973" s="198"/>
      <c r="D2973" s="198"/>
      <c r="E2973" s="537"/>
      <c r="G2973" s="198"/>
      <c r="H2973" s="123"/>
    </row>
    <row r="2974" spans="3:8" s="99" customFormat="1" x14ac:dyDescent="0.2">
      <c r="C2974" s="198"/>
      <c r="D2974" s="198"/>
      <c r="E2974" s="537"/>
      <c r="G2974" s="198"/>
      <c r="H2974" s="123"/>
    </row>
    <row r="2975" spans="3:8" s="99" customFormat="1" x14ac:dyDescent="0.2">
      <c r="C2975" s="198"/>
      <c r="D2975" s="198"/>
      <c r="E2975" s="537"/>
      <c r="G2975" s="198"/>
      <c r="H2975" s="123"/>
    </row>
    <row r="2976" spans="3:8" s="99" customFormat="1" x14ac:dyDescent="0.2">
      <c r="C2976" s="198"/>
      <c r="D2976" s="198"/>
      <c r="E2976" s="537"/>
      <c r="G2976" s="198"/>
      <c r="H2976" s="123"/>
    </row>
    <row r="2977" spans="3:8" s="99" customFormat="1" x14ac:dyDescent="0.2">
      <c r="C2977" s="198"/>
      <c r="D2977" s="198"/>
      <c r="E2977" s="537"/>
      <c r="G2977" s="198"/>
      <c r="H2977" s="123"/>
    </row>
    <row r="2978" spans="3:8" s="99" customFormat="1" x14ac:dyDescent="0.2">
      <c r="C2978" s="198"/>
      <c r="D2978" s="198"/>
      <c r="E2978" s="537"/>
      <c r="G2978" s="198"/>
      <c r="H2978" s="123"/>
    </row>
    <row r="2979" spans="3:8" s="99" customFormat="1" x14ac:dyDescent="0.2">
      <c r="C2979" s="198"/>
      <c r="D2979" s="198"/>
      <c r="E2979" s="537"/>
      <c r="G2979" s="198"/>
      <c r="H2979" s="123"/>
    </row>
    <row r="2980" spans="3:8" s="99" customFormat="1" x14ac:dyDescent="0.2">
      <c r="C2980" s="198"/>
      <c r="D2980" s="198"/>
      <c r="E2980" s="537"/>
      <c r="G2980" s="198"/>
      <c r="H2980" s="123"/>
    </row>
    <row r="2981" spans="3:8" s="99" customFormat="1" x14ac:dyDescent="0.2">
      <c r="C2981" s="198"/>
      <c r="D2981" s="198"/>
      <c r="E2981" s="537"/>
      <c r="G2981" s="198"/>
      <c r="H2981" s="123"/>
    </row>
    <row r="2982" spans="3:8" s="99" customFormat="1" x14ac:dyDescent="0.2">
      <c r="C2982" s="198"/>
      <c r="D2982" s="198"/>
      <c r="E2982" s="537"/>
      <c r="G2982" s="198"/>
      <c r="H2982" s="123"/>
    </row>
    <row r="2983" spans="3:8" s="99" customFormat="1" x14ac:dyDescent="0.2">
      <c r="C2983" s="198"/>
      <c r="D2983" s="198"/>
      <c r="E2983" s="537"/>
      <c r="G2983" s="198"/>
      <c r="H2983" s="123"/>
    </row>
    <row r="2984" spans="3:8" s="99" customFormat="1" x14ac:dyDescent="0.2">
      <c r="C2984" s="198"/>
      <c r="D2984" s="198"/>
      <c r="E2984" s="537"/>
      <c r="G2984" s="198"/>
      <c r="H2984" s="123"/>
    </row>
    <row r="2985" spans="3:8" s="99" customFormat="1" x14ac:dyDescent="0.2">
      <c r="C2985" s="198"/>
      <c r="D2985" s="198"/>
      <c r="E2985" s="537"/>
      <c r="G2985" s="198"/>
      <c r="H2985" s="123"/>
    </row>
    <row r="2986" spans="3:8" s="99" customFormat="1" x14ac:dyDescent="0.2">
      <c r="C2986" s="198"/>
      <c r="D2986" s="198"/>
      <c r="E2986" s="537"/>
      <c r="G2986" s="198"/>
      <c r="H2986" s="123"/>
    </row>
    <row r="2987" spans="3:8" s="99" customFormat="1" x14ac:dyDescent="0.2">
      <c r="C2987" s="198"/>
      <c r="D2987" s="198"/>
      <c r="E2987" s="537"/>
      <c r="G2987" s="198"/>
      <c r="H2987" s="123"/>
    </row>
    <row r="2988" spans="3:8" s="99" customFormat="1" x14ac:dyDescent="0.2">
      <c r="C2988" s="198"/>
      <c r="D2988" s="198"/>
      <c r="E2988" s="537"/>
      <c r="G2988" s="198"/>
      <c r="H2988" s="123"/>
    </row>
    <row r="2989" spans="3:8" s="99" customFormat="1" x14ac:dyDescent="0.2">
      <c r="C2989" s="198"/>
      <c r="D2989" s="198"/>
      <c r="E2989" s="537"/>
      <c r="G2989" s="198"/>
      <c r="H2989" s="123"/>
    </row>
    <row r="2990" spans="3:8" s="99" customFormat="1" x14ac:dyDescent="0.2">
      <c r="C2990" s="198"/>
      <c r="D2990" s="198"/>
      <c r="E2990" s="537"/>
      <c r="G2990" s="198"/>
      <c r="H2990" s="123"/>
    </row>
    <row r="2991" spans="3:8" s="99" customFormat="1" x14ac:dyDescent="0.2">
      <c r="C2991" s="198"/>
      <c r="D2991" s="198"/>
      <c r="E2991" s="537"/>
      <c r="G2991" s="198"/>
      <c r="H2991" s="123"/>
    </row>
    <row r="2992" spans="3:8" s="99" customFormat="1" x14ac:dyDescent="0.2">
      <c r="C2992" s="198"/>
      <c r="D2992" s="198"/>
      <c r="E2992" s="537"/>
      <c r="G2992" s="198"/>
      <c r="H2992" s="123"/>
    </row>
    <row r="2993" spans="3:8" s="99" customFormat="1" x14ac:dyDescent="0.2">
      <c r="C2993" s="198"/>
      <c r="D2993" s="198"/>
      <c r="E2993" s="537"/>
      <c r="G2993" s="198"/>
      <c r="H2993" s="123"/>
    </row>
    <row r="2994" spans="3:8" s="99" customFormat="1" x14ac:dyDescent="0.2">
      <c r="C2994" s="198"/>
      <c r="D2994" s="198"/>
      <c r="E2994" s="537"/>
      <c r="G2994" s="198"/>
      <c r="H2994" s="123"/>
    </row>
    <row r="2995" spans="3:8" s="99" customFormat="1" x14ac:dyDescent="0.2">
      <c r="C2995" s="198"/>
      <c r="D2995" s="198"/>
      <c r="E2995" s="537"/>
      <c r="G2995" s="198"/>
      <c r="H2995" s="123"/>
    </row>
    <row r="2996" spans="3:8" s="99" customFormat="1" x14ac:dyDescent="0.2">
      <c r="C2996" s="198"/>
      <c r="D2996" s="198"/>
      <c r="E2996" s="537"/>
      <c r="G2996" s="198"/>
      <c r="H2996" s="123"/>
    </row>
    <row r="2997" spans="3:8" s="99" customFormat="1" x14ac:dyDescent="0.2">
      <c r="C2997" s="198"/>
      <c r="D2997" s="198"/>
      <c r="E2997" s="537"/>
      <c r="G2997" s="198"/>
      <c r="H2997" s="123"/>
    </row>
    <row r="2998" spans="3:8" s="99" customFormat="1" x14ac:dyDescent="0.2">
      <c r="C2998" s="198"/>
      <c r="D2998" s="198"/>
      <c r="E2998" s="537"/>
      <c r="G2998" s="198"/>
      <c r="H2998" s="123"/>
    </row>
    <row r="2999" spans="3:8" s="99" customFormat="1" x14ac:dyDescent="0.2">
      <c r="C2999" s="198"/>
      <c r="D2999" s="198"/>
      <c r="E2999" s="537"/>
      <c r="G2999" s="198"/>
      <c r="H2999" s="123"/>
    </row>
    <row r="3000" spans="3:8" s="99" customFormat="1" x14ac:dyDescent="0.2">
      <c r="C3000" s="198"/>
      <c r="D3000" s="198"/>
      <c r="E3000" s="537"/>
      <c r="G3000" s="198"/>
      <c r="H3000" s="123"/>
    </row>
    <row r="3001" spans="3:8" s="99" customFormat="1" x14ac:dyDescent="0.2">
      <c r="C3001" s="198"/>
      <c r="D3001" s="198"/>
      <c r="E3001" s="537"/>
      <c r="G3001" s="198"/>
      <c r="H3001" s="123"/>
    </row>
    <row r="3002" spans="3:8" s="99" customFormat="1" x14ac:dyDescent="0.2">
      <c r="C3002" s="198"/>
      <c r="D3002" s="198"/>
      <c r="E3002" s="537"/>
      <c r="G3002" s="198"/>
      <c r="H3002" s="123"/>
    </row>
    <row r="3003" spans="3:8" s="99" customFormat="1" x14ac:dyDescent="0.2">
      <c r="C3003" s="198"/>
      <c r="D3003" s="198"/>
      <c r="E3003" s="537"/>
      <c r="G3003" s="198"/>
      <c r="H3003" s="123"/>
    </row>
    <row r="3004" spans="3:8" s="99" customFormat="1" x14ac:dyDescent="0.2">
      <c r="C3004" s="198"/>
      <c r="D3004" s="198"/>
      <c r="E3004" s="537"/>
      <c r="G3004" s="198"/>
      <c r="H3004" s="123"/>
    </row>
    <row r="3005" spans="3:8" s="99" customFormat="1" x14ac:dyDescent="0.2">
      <c r="C3005" s="198"/>
      <c r="D3005" s="198"/>
      <c r="E3005" s="537"/>
      <c r="G3005" s="198"/>
      <c r="H3005" s="123"/>
    </row>
    <row r="3006" spans="3:8" s="99" customFormat="1" x14ac:dyDescent="0.2">
      <c r="C3006" s="198"/>
      <c r="D3006" s="198"/>
      <c r="E3006" s="537"/>
      <c r="G3006" s="198"/>
      <c r="H3006" s="123"/>
    </row>
    <row r="3007" spans="3:8" s="99" customFormat="1" x14ac:dyDescent="0.2">
      <c r="C3007" s="198"/>
      <c r="D3007" s="198"/>
      <c r="E3007" s="537"/>
      <c r="G3007" s="198"/>
      <c r="H3007" s="123"/>
    </row>
    <row r="3008" spans="3:8" s="99" customFormat="1" x14ac:dyDescent="0.2">
      <c r="C3008" s="198"/>
      <c r="D3008" s="198"/>
      <c r="E3008" s="537"/>
      <c r="G3008" s="198"/>
      <c r="H3008" s="123"/>
    </row>
    <row r="3009" spans="3:8" s="99" customFormat="1" x14ac:dyDescent="0.2">
      <c r="C3009" s="198"/>
      <c r="D3009" s="198"/>
      <c r="E3009" s="537"/>
      <c r="G3009" s="198"/>
      <c r="H3009" s="123"/>
    </row>
    <row r="3010" spans="3:8" s="99" customFormat="1" x14ac:dyDescent="0.2">
      <c r="C3010" s="198"/>
      <c r="D3010" s="198"/>
      <c r="E3010" s="537"/>
      <c r="G3010" s="198"/>
      <c r="H3010" s="123"/>
    </row>
    <row r="3011" spans="3:8" s="99" customFormat="1" x14ac:dyDescent="0.2">
      <c r="C3011" s="198"/>
      <c r="D3011" s="198"/>
      <c r="E3011" s="537"/>
      <c r="G3011" s="198"/>
      <c r="H3011" s="123"/>
    </row>
    <row r="3012" spans="3:8" s="99" customFormat="1" x14ac:dyDescent="0.2">
      <c r="C3012" s="198"/>
      <c r="D3012" s="198"/>
      <c r="E3012" s="537"/>
      <c r="G3012" s="198"/>
      <c r="H3012" s="123"/>
    </row>
    <row r="3013" spans="3:8" s="99" customFormat="1" x14ac:dyDescent="0.2">
      <c r="C3013" s="198"/>
      <c r="D3013" s="198"/>
      <c r="E3013" s="537"/>
      <c r="G3013" s="198"/>
      <c r="H3013" s="123"/>
    </row>
    <row r="3014" spans="3:8" s="99" customFormat="1" x14ac:dyDescent="0.2">
      <c r="C3014" s="198"/>
      <c r="D3014" s="198"/>
      <c r="E3014" s="537"/>
      <c r="G3014" s="198"/>
      <c r="H3014" s="123"/>
    </row>
    <row r="3015" spans="3:8" s="99" customFormat="1" x14ac:dyDescent="0.2">
      <c r="C3015" s="198"/>
      <c r="D3015" s="198"/>
      <c r="E3015" s="537"/>
      <c r="G3015" s="198"/>
      <c r="H3015" s="123"/>
    </row>
    <row r="3016" spans="3:8" s="99" customFormat="1" x14ac:dyDescent="0.2">
      <c r="C3016" s="198"/>
      <c r="D3016" s="198"/>
      <c r="E3016" s="537"/>
      <c r="G3016" s="198"/>
      <c r="H3016" s="123"/>
    </row>
    <row r="3017" spans="3:8" s="99" customFormat="1" x14ac:dyDescent="0.2">
      <c r="C3017" s="198"/>
      <c r="D3017" s="198"/>
      <c r="E3017" s="537"/>
      <c r="G3017" s="198"/>
      <c r="H3017" s="123"/>
    </row>
    <row r="3018" spans="3:8" s="99" customFormat="1" x14ac:dyDescent="0.2">
      <c r="C3018" s="198"/>
      <c r="D3018" s="198"/>
      <c r="E3018" s="537"/>
      <c r="G3018" s="198"/>
      <c r="H3018" s="123"/>
    </row>
    <row r="3019" spans="3:8" s="99" customFormat="1" x14ac:dyDescent="0.2">
      <c r="C3019" s="198"/>
      <c r="D3019" s="198"/>
      <c r="E3019" s="537"/>
      <c r="G3019" s="198"/>
      <c r="H3019" s="123"/>
    </row>
    <row r="3020" spans="3:8" s="99" customFormat="1" x14ac:dyDescent="0.2">
      <c r="C3020" s="198"/>
      <c r="D3020" s="198"/>
      <c r="E3020" s="537"/>
      <c r="G3020" s="198"/>
      <c r="H3020" s="123"/>
    </row>
    <row r="3021" spans="3:8" s="99" customFormat="1" x14ac:dyDescent="0.2">
      <c r="C3021" s="198"/>
      <c r="D3021" s="198"/>
      <c r="E3021" s="537"/>
      <c r="G3021" s="198"/>
      <c r="H3021" s="123"/>
    </row>
    <row r="3022" spans="3:8" s="99" customFormat="1" x14ac:dyDescent="0.2">
      <c r="C3022" s="198"/>
      <c r="D3022" s="198"/>
      <c r="E3022" s="537"/>
      <c r="G3022" s="198"/>
      <c r="H3022" s="123"/>
    </row>
    <row r="3023" spans="3:8" s="99" customFormat="1" x14ac:dyDescent="0.2">
      <c r="C3023" s="198"/>
      <c r="D3023" s="198"/>
      <c r="E3023" s="537"/>
      <c r="G3023" s="198"/>
      <c r="H3023" s="123"/>
    </row>
    <row r="3024" spans="3:8" s="99" customFormat="1" x14ac:dyDescent="0.2">
      <c r="C3024" s="198"/>
      <c r="D3024" s="198"/>
      <c r="E3024" s="537"/>
      <c r="G3024" s="198"/>
      <c r="H3024" s="123"/>
    </row>
    <row r="3025" spans="3:8" s="99" customFormat="1" x14ac:dyDescent="0.2">
      <c r="C3025" s="198"/>
      <c r="D3025" s="198"/>
      <c r="E3025" s="537"/>
      <c r="G3025" s="198"/>
      <c r="H3025" s="123"/>
    </row>
    <row r="3026" spans="3:8" s="99" customFormat="1" x14ac:dyDescent="0.2">
      <c r="C3026" s="198"/>
      <c r="D3026" s="198"/>
      <c r="E3026" s="537"/>
      <c r="G3026" s="198"/>
      <c r="H3026" s="123"/>
    </row>
    <row r="3027" spans="3:8" s="99" customFormat="1" x14ac:dyDescent="0.2">
      <c r="C3027" s="198"/>
      <c r="D3027" s="198"/>
      <c r="E3027" s="537"/>
      <c r="G3027" s="198"/>
      <c r="H3027" s="123"/>
    </row>
    <row r="3028" spans="3:8" s="99" customFormat="1" x14ac:dyDescent="0.2">
      <c r="C3028" s="198"/>
      <c r="D3028" s="198"/>
      <c r="E3028" s="537"/>
      <c r="G3028" s="198"/>
      <c r="H3028" s="123"/>
    </row>
    <row r="3029" spans="3:8" s="99" customFormat="1" x14ac:dyDescent="0.2">
      <c r="C3029" s="198"/>
      <c r="D3029" s="198"/>
      <c r="E3029" s="537"/>
      <c r="G3029" s="198"/>
      <c r="H3029" s="123"/>
    </row>
    <row r="3030" spans="3:8" s="99" customFormat="1" x14ac:dyDescent="0.2">
      <c r="C3030" s="198"/>
      <c r="D3030" s="198"/>
      <c r="E3030" s="537"/>
      <c r="G3030" s="198"/>
      <c r="H3030" s="123"/>
    </row>
    <row r="3031" spans="3:8" s="99" customFormat="1" x14ac:dyDescent="0.2">
      <c r="C3031" s="198"/>
      <c r="D3031" s="198"/>
      <c r="E3031" s="537"/>
      <c r="G3031" s="198"/>
      <c r="H3031" s="123"/>
    </row>
    <row r="3032" spans="3:8" s="99" customFormat="1" x14ac:dyDescent="0.2">
      <c r="C3032" s="198"/>
      <c r="D3032" s="198"/>
      <c r="E3032" s="537"/>
      <c r="G3032" s="198"/>
      <c r="H3032" s="123"/>
    </row>
    <row r="3033" spans="3:8" s="99" customFormat="1" x14ac:dyDescent="0.2">
      <c r="C3033" s="198"/>
      <c r="D3033" s="198"/>
      <c r="E3033" s="537"/>
      <c r="G3033" s="198"/>
      <c r="H3033" s="123"/>
    </row>
    <row r="3034" spans="3:8" s="99" customFormat="1" x14ac:dyDescent="0.2">
      <c r="C3034" s="198"/>
      <c r="D3034" s="198"/>
      <c r="E3034" s="537"/>
      <c r="G3034" s="198"/>
      <c r="H3034" s="123"/>
    </row>
    <row r="3035" spans="3:8" s="99" customFormat="1" x14ac:dyDescent="0.2">
      <c r="C3035" s="198"/>
      <c r="D3035" s="198"/>
      <c r="E3035" s="537"/>
      <c r="G3035" s="198"/>
      <c r="H3035" s="123"/>
    </row>
    <row r="3036" spans="3:8" s="99" customFormat="1" x14ac:dyDescent="0.2">
      <c r="C3036" s="198"/>
      <c r="D3036" s="198"/>
      <c r="E3036" s="537"/>
      <c r="G3036" s="198"/>
      <c r="H3036" s="123"/>
    </row>
    <row r="3037" spans="3:8" s="99" customFormat="1" x14ac:dyDescent="0.2">
      <c r="C3037" s="198"/>
      <c r="D3037" s="198"/>
      <c r="E3037" s="537"/>
      <c r="G3037" s="198"/>
      <c r="H3037" s="123"/>
    </row>
    <row r="3038" spans="3:8" s="99" customFormat="1" x14ac:dyDescent="0.2">
      <c r="C3038" s="198"/>
      <c r="D3038" s="198"/>
      <c r="E3038" s="537"/>
      <c r="G3038" s="198"/>
      <c r="H3038" s="123"/>
    </row>
    <row r="3039" spans="3:8" s="99" customFormat="1" x14ac:dyDescent="0.2">
      <c r="C3039" s="198"/>
      <c r="D3039" s="198"/>
      <c r="E3039" s="537"/>
      <c r="G3039" s="198"/>
      <c r="H3039" s="123"/>
    </row>
    <row r="3040" spans="3:8" s="99" customFormat="1" x14ac:dyDescent="0.2">
      <c r="C3040" s="198"/>
      <c r="D3040" s="198"/>
      <c r="E3040" s="537"/>
      <c r="G3040" s="198"/>
      <c r="H3040" s="123"/>
    </row>
    <row r="3041" spans="3:8" s="99" customFormat="1" x14ac:dyDescent="0.2">
      <c r="C3041" s="198"/>
      <c r="D3041" s="198"/>
      <c r="E3041" s="537"/>
      <c r="G3041" s="198"/>
      <c r="H3041" s="123"/>
    </row>
    <row r="3042" spans="3:8" s="99" customFormat="1" x14ac:dyDescent="0.2">
      <c r="C3042" s="198"/>
      <c r="D3042" s="198"/>
      <c r="E3042" s="537"/>
      <c r="G3042" s="198"/>
      <c r="H3042" s="123"/>
    </row>
    <row r="3043" spans="3:8" s="99" customFormat="1" x14ac:dyDescent="0.2">
      <c r="C3043" s="198"/>
      <c r="D3043" s="198"/>
      <c r="E3043" s="537"/>
      <c r="G3043" s="198"/>
      <c r="H3043" s="123"/>
    </row>
    <row r="3044" spans="3:8" s="99" customFormat="1" x14ac:dyDescent="0.2">
      <c r="C3044" s="198"/>
      <c r="D3044" s="198"/>
      <c r="E3044" s="537"/>
      <c r="G3044" s="198"/>
      <c r="H3044" s="123"/>
    </row>
    <row r="3045" spans="3:8" s="99" customFormat="1" x14ac:dyDescent="0.2">
      <c r="C3045" s="198"/>
      <c r="D3045" s="198"/>
      <c r="E3045" s="537"/>
      <c r="G3045" s="198"/>
      <c r="H3045" s="123"/>
    </row>
    <row r="3046" spans="3:8" s="99" customFormat="1" x14ac:dyDescent="0.2">
      <c r="C3046" s="198"/>
      <c r="D3046" s="198"/>
      <c r="E3046" s="537"/>
      <c r="G3046" s="198"/>
      <c r="H3046" s="123"/>
    </row>
    <row r="3047" spans="3:8" s="99" customFormat="1" x14ac:dyDescent="0.2">
      <c r="C3047" s="198"/>
      <c r="D3047" s="198"/>
      <c r="E3047" s="537"/>
      <c r="G3047" s="198"/>
      <c r="H3047" s="123"/>
    </row>
    <row r="3048" spans="3:8" s="99" customFormat="1" x14ac:dyDescent="0.2">
      <c r="C3048" s="198"/>
      <c r="D3048" s="198"/>
      <c r="E3048" s="537"/>
      <c r="G3048" s="198"/>
      <c r="H3048" s="123"/>
    </row>
    <row r="3049" spans="3:8" s="99" customFormat="1" x14ac:dyDescent="0.2">
      <c r="C3049" s="198"/>
      <c r="D3049" s="198"/>
      <c r="E3049" s="537"/>
      <c r="G3049" s="198"/>
      <c r="H3049" s="123"/>
    </row>
    <row r="3050" spans="3:8" s="99" customFormat="1" x14ac:dyDescent="0.2">
      <c r="C3050" s="198"/>
      <c r="D3050" s="198"/>
      <c r="E3050" s="537"/>
      <c r="G3050" s="198"/>
      <c r="H3050" s="123"/>
    </row>
    <row r="3051" spans="3:8" s="99" customFormat="1" x14ac:dyDescent="0.2">
      <c r="C3051" s="198"/>
      <c r="D3051" s="198"/>
      <c r="E3051" s="537"/>
      <c r="G3051" s="198"/>
      <c r="H3051" s="123"/>
    </row>
    <row r="3052" spans="3:8" s="99" customFormat="1" x14ac:dyDescent="0.2">
      <c r="C3052" s="198"/>
      <c r="D3052" s="198"/>
      <c r="E3052" s="537"/>
      <c r="G3052" s="198"/>
      <c r="H3052" s="123"/>
    </row>
    <row r="3053" spans="3:8" s="99" customFormat="1" x14ac:dyDescent="0.2">
      <c r="C3053" s="198"/>
      <c r="D3053" s="198"/>
      <c r="E3053" s="537"/>
      <c r="G3053" s="198"/>
      <c r="H3053" s="123"/>
    </row>
    <row r="3054" spans="3:8" s="99" customFormat="1" x14ac:dyDescent="0.2">
      <c r="C3054" s="198"/>
      <c r="D3054" s="198"/>
      <c r="E3054" s="537"/>
      <c r="G3054" s="198"/>
      <c r="H3054" s="123"/>
    </row>
    <row r="3055" spans="3:8" s="99" customFormat="1" x14ac:dyDescent="0.2">
      <c r="C3055" s="198"/>
      <c r="D3055" s="198"/>
      <c r="E3055" s="537"/>
      <c r="G3055" s="198"/>
      <c r="H3055" s="123"/>
    </row>
    <row r="3056" spans="3:8" s="99" customFormat="1" x14ac:dyDescent="0.2">
      <c r="C3056" s="198"/>
      <c r="D3056" s="198"/>
      <c r="E3056" s="537"/>
      <c r="G3056" s="198"/>
      <c r="H3056" s="123"/>
    </row>
    <row r="3057" spans="3:8" s="99" customFormat="1" x14ac:dyDescent="0.2">
      <c r="C3057" s="198"/>
      <c r="D3057" s="198"/>
      <c r="E3057" s="537"/>
      <c r="G3057" s="198"/>
      <c r="H3057" s="123"/>
    </row>
    <row r="3058" spans="3:8" s="99" customFormat="1" x14ac:dyDescent="0.2">
      <c r="C3058" s="198"/>
      <c r="D3058" s="198"/>
      <c r="E3058" s="537"/>
      <c r="G3058" s="198"/>
      <c r="H3058" s="123"/>
    </row>
    <row r="3059" spans="3:8" s="99" customFormat="1" x14ac:dyDescent="0.2">
      <c r="C3059" s="198"/>
      <c r="D3059" s="198"/>
      <c r="E3059" s="537"/>
      <c r="G3059" s="198"/>
      <c r="H3059" s="123"/>
    </row>
    <row r="3060" spans="3:8" s="99" customFormat="1" x14ac:dyDescent="0.2">
      <c r="C3060" s="198"/>
      <c r="D3060" s="198"/>
      <c r="E3060" s="537"/>
      <c r="G3060" s="198"/>
      <c r="H3060" s="123"/>
    </row>
    <row r="3061" spans="3:8" s="99" customFormat="1" x14ac:dyDescent="0.2">
      <c r="C3061" s="198"/>
      <c r="D3061" s="198"/>
      <c r="E3061" s="537"/>
      <c r="G3061" s="198"/>
      <c r="H3061" s="123"/>
    </row>
    <row r="3062" spans="3:8" s="99" customFormat="1" x14ac:dyDescent="0.2">
      <c r="C3062" s="198"/>
      <c r="D3062" s="198"/>
      <c r="E3062" s="537"/>
      <c r="G3062" s="198"/>
      <c r="H3062" s="123"/>
    </row>
    <row r="3063" spans="3:8" s="99" customFormat="1" x14ac:dyDescent="0.2">
      <c r="C3063" s="198"/>
      <c r="D3063" s="198"/>
      <c r="E3063" s="537"/>
      <c r="G3063" s="198"/>
      <c r="H3063" s="123"/>
    </row>
    <row r="3064" spans="3:8" s="99" customFormat="1" x14ac:dyDescent="0.2">
      <c r="C3064" s="198"/>
      <c r="D3064" s="198"/>
      <c r="E3064" s="537"/>
      <c r="G3064" s="198"/>
      <c r="H3064" s="123"/>
    </row>
    <row r="3065" spans="3:8" s="99" customFormat="1" x14ac:dyDescent="0.2">
      <c r="C3065" s="198"/>
      <c r="D3065" s="198"/>
      <c r="E3065" s="537"/>
      <c r="G3065" s="198"/>
      <c r="H3065" s="123"/>
    </row>
    <row r="3066" spans="3:8" s="99" customFormat="1" x14ac:dyDescent="0.2">
      <c r="C3066" s="198"/>
      <c r="D3066" s="198"/>
      <c r="E3066" s="537"/>
      <c r="G3066" s="198"/>
      <c r="H3066" s="123"/>
    </row>
    <row r="3067" spans="3:8" s="99" customFormat="1" x14ac:dyDescent="0.2">
      <c r="C3067" s="198"/>
      <c r="D3067" s="198"/>
      <c r="E3067" s="537"/>
      <c r="G3067" s="198"/>
      <c r="H3067" s="123"/>
    </row>
    <row r="3068" spans="3:8" s="99" customFormat="1" x14ac:dyDescent="0.2">
      <c r="C3068" s="198"/>
      <c r="D3068" s="198"/>
      <c r="E3068" s="537"/>
      <c r="G3068" s="198"/>
      <c r="H3068" s="123"/>
    </row>
    <row r="3069" spans="3:8" s="99" customFormat="1" x14ac:dyDescent="0.2">
      <c r="C3069" s="198"/>
      <c r="D3069" s="198"/>
      <c r="E3069" s="537"/>
      <c r="G3069" s="198"/>
      <c r="H3069" s="123"/>
    </row>
    <row r="3070" spans="3:8" s="99" customFormat="1" x14ac:dyDescent="0.2">
      <c r="C3070" s="198"/>
      <c r="D3070" s="198"/>
      <c r="E3070" s="537"/>
      <c r="G3070" s="198"/>
      <c r="H3070" s="123"/>
    </row>
    <row r="3071" spans="3:8" s="99" customFormat="1" x14ac:dyDescent="0.2">
      <c r="C3071" s="198"/>
      <c r="D3071" s="198"/>
      <c r="E3071" s="537"/>
      <c r="G3071" s="198"/>
      <c r="H3071" s="123"/>
    </row>
    <row r="3072" spans="3:8" s="99" customFormat="1" x14ac:dyDescent="0.2">
      <c r="C3072" s="198"/>
      <c r="D3072" s="198"/>
      <c r="E3072" s="537"/>
      <c r="G3072" s="198"/>
      <c r="H3072" s="123"/>
    </row>
    <row r="3073" spans="3:8" s="99" customFormat="1" x14ac:dyDescent="0.2">
      <c r="C3073" s="198"/>
      <c r="D3073" s="198"/>
      <c r="E3073" s="537"/>
      <c r="G3073" s="198"/>
      <c r="H3073" s="123"/>
    </row>
    <row r="3074" spans="3:8" s="99" customFormat="1" x14ac:dyDescent="0.2">
      <c r="C3074" s="198"/>
      <c r="D3074" s="198"/>
      <c r="E3074" s="537"/>
      <c r="G3074" s="198"/>
      <c r="H3074" s="123"/>
    </row>
    <row r="3075" spans="3:8" s="99" customFormat="1" x14ac:dyDescent="0.2">
      <c r="C3075" s="198"/>
      <c r="D3075" s="198"/>
      <c r="E3075" s="537"/>
      <c r="G3075" s="198"/>
      <c r="H3075" s="123"/>
    </row>
    <row r="3076" spans="3:8" s="99" customFormat="1" x14ac:dyDescent="0.2">
      <c r="C3076" s="198"/>
      <c r="D3076" s="198"/>
      <c r="E3076" s="537"/>
      <c r="G3076" s="198"/>
      <c r="H3076" s="123"/>
    </row>
    <row r="3077" spans="3:8" s="99" customFormat="1" x14ac:dyDescent="0.2">
      <c r="C3077" s="198"/>
      <c r="D3077" s="198"/>
      <c r="E3077" s="537"/>
      <c r="G3077" s="198"/>
      <c r="H3077" s="123"/>
    </row>
    <row r="3078" spans="3:8" s="99" customFormat="1" x14ac:dyDescent="0.2">
      <c r="C3078" s="198"/>
      <c r="D3078" s="198"/>
      <c r="E3078" s="537"/>
      <c r="G3078" s="198"/>
      <c r="H3078" s="123"/>
    </row>
    <row r="3079" spans="3:8" s="99" customFormat="1" x14ac:dyDescent="0.2">
      <c r="C3079" s="198"/>
      <c r="D3079" s="198"/>
      <c r="E3079" s="537"/>
      <c r="G3079" s="198"/>
      <c r="H3079" s="123"/>
    </row>
    <row r="3080" spans="3:8" s="99" customFormat="1" x14ac:dyDescent="0.2">
      <c r="C3080" s="198"/>
      <c r="D3080" s="198"/>
      <c r="E3080" s="537"/>
      <c r="G3080" s="198"/>
      <c r="H3080" s="123"/>
    </row>
    <row r="3081" spans="3:8" s="99" customFormat="1" x14ac:dyDescent="0.2">
      <c r="C3081" s="198"/>
      <c r="D3081" s="198"/>
      <c r="E3081" s="537"/>
      <c r="G3081" s="198"/>
      <c r="H3081" s="123"/>
    </row>
    <row r="3082" spans="3:8" s="99" customFormat="1" x14ac:dyDescent="0.2">
      <c r="C3082" s="198"/>
      <c r="D3082" s="198"/>
      <c r="E3082" s="537"/>
      <c r="G3082" s="198"/>
      <c r="H3082" s="123"/>
    </row>
    <row r="3083" spans="3:8" s="99" customFormat="1" x14ac:dyDescent="0.2">
      <c r="C3083" s="198"/>
      <c r="D3083" s="198"/>
      <c r="E3083" s="537"/>
      <c r="G3083" s="198"/>
      <c r="H3083" s="123"/>
    </row>
    <row r="3084" spans="3:8" s="99" customFormat="1" x14ac:dyDescent="0.2">
      <c r="C3084" s="198"/>
      <c r="D3084" s="198"/>
      <c r="E3084" s="537"/>
      <c r="G3084" s="198"/>
      <c r="H3084" s="123"/>
    </row>
    <row r="3085" spans="3:8" s="99" customFormat="1" x14ac:dyDescent="0.2">
      <c r="C3085" s="198"/>
      <c r="D3085" s="198"/>
      <c r="E3085" s="537"/>
      <c r="G3085" s="198"/>
      <c r="H3085" s="123"/>
    </row>
    <row r="3086" spans="3:8" s="99" customFormat="1" x14ac:dyDescent="0.2">
      <c r="C3086" s="198"/>
      <c r="D3086" s="198"/>
      <c r="E3086" s="537"/>
      <c r="G3086" s="198"/>
      <c r="H3086" s="123"/>
    </row>
    <row r="3087" spans="3:8" s="99" customFormat="1" x14ac:dyDescent="0.2">
      <c r="C3087" s="198"/>
      <c r="D3087" s="198"/>
      <c r="E3087" s="537"/>
      <c r="G3087" s="198"/>
      <c r="H3087" s="123"/>
    </row>
    <row r="3088" spans="3:8" s="99" customFormat="1" x14ac:dyDescent="0.2">
      <c r="C3088" s="198"/>
      <c r="D3088" s="198"/>
      <c r="E3088" s="537"/>
      <c r="G3088" s="198"/>
      <c r="H3088" s="123"/>
    </row>
    <row r="3089" spans="3:8" s="99" customFormat="1" x14ac:dyDescent="0.2">
      <c r="C3089" s="198"/>
      <c r="D3089" s="198"/>
      <c r="E3089" s="537"/>
      <c r="G3089" s="198"/>
      <c r="H3089" s="123"/>
    </row>
    <row r="3090" spans="3:8" s="99" customFormat="1" x14ac:dyDescent="0.2">
      <c r="C3090" s="198"/>
      <c r="D3090" s="198"/>
      <c r="E3090" s="537"/>
      <c r="G3090" s="198"/>
      <c r="H3090" s="123"/>
    </row>
    <row r="3091" spans="3:8" s="99" customFormat="1" x14ac:dyDescent="0.2">
      <c r="C3091" s="198"/>
      <c r="D3091" s="198"/>
      <c r="E3091" s="537"/>
      <c r="G3091" s="198"/>
      <c r="H3091" s="123"/>
    </row>
    <row r="3092" spans="3:8" s="99" customFormat="1" x14ac:dyDescent="0.2">
      <c r="C3092" s="198"/>
      <c r="D3092" s="198"/>
      <c r="E3092" s="537"/>
      <c r="G3092" s="198"/>
      <c r="H3092" s="123"/>
    </row>
    <row r="3093" spans="3:8" s="99" customFormat="1" x14ac:dyDescent="0.2">
      <c r="C3093" s="198"/>
      <c r="D3093" s="198"/>
      <c r="E3093" s="537"/>
      <c r="G3093" s="198"/>
      <c r="H3093" s="123"/>
    </row>
    <row r="3094" spans="3:8" s="99" customFormat="1" x14ac:dyDescent="0.2">
      <c r="C3094" s="198"/>
      <c r="D3094" s="198"/>
      <c r="E3094" s="537"/>
      <c r="G3094" s="198"/>
      <c r="H3094" s="123"/>
    </row>
    <row r="3095" spans="3:8" s="99" customFormat="1" x14ac:dyDescent="0.2">
      <c r="C3095" s="198"/>
      <c r="D3095" s="198"/>
      <c r="E3095" s="537"/>
      <c r="G3095" s="198"/>
      <c r="H3095" s="123"/>
    </row>
    <row r="3096" spans="3:8" s="99" customFormat="1" x14ac:dyDescent="0.2">
      <c r="C3096" s="198"/>
      <c r="D3096" s="198"/>
      <c r="E3096" s="537"/>
      <c r="G3096" s="198"/>
      <c r="H3096" s="123"/>
    </row>
    <row r="3097" spans="3:8" s="99" customFormat="1" x14ac:dyDescent="0.2">
      <c r="C3097" s="198"/>
      <c r="D3097" s="198"/>
      <c r="E3097" s="537"/>
      <c r="G3097" s="198"/>
      <c r="H3097" s="123"/>
    </row>
    <row r="3098" spans="3:8" s="99" customFormat="1" x14ac:dyDescent="0.2">
      <c r="C3098" s="198"/>
      <c r="D3098" s="198"/>
      <c r="E3098" s="537"/>
      <c r="G3098" s="198"/>
      <c r="H3098" s="123"/>
    </row>
    <row r="3099" spans="3:8" s="99" customFormat="1" x14ac:dyDescent="0.2">
      <c r="C3099" s="198"/>
      <c r="D3099" s="198"/>
      <c r="E3099" s="537"/>
      <c r="G3099" s="198"/>
      <c r="H3099" s="123"/>
    </row>
    <row r="3100" spans="3:8" s="99" customFormat="1" x14ac:dyDescent="0.2">
      <c r="C3100" s="198"/>
      <c r="D3100" s="198"/>
      <c r="E3100" s="537"/>
      <c r="G3100" s="198"/>
      <c r="H3100" s="123"/>
    </row>
    <row r="3101" spans="3:8" s="99" customFormat="1" x14ac:dyDescent="0.2">
      <c r="C3101" s="198"/>
      <c r="D3101" s="198"/>
      <c r="E3101" s="537"/>
      <c r="G3101" s="198"/>
      <c r="H3101" s="123"/>
    </row>
    <row r="3102" spans="3:8" s="99" customFormat="1" x14ac:dyDescent="0.2">
      <c r="C3102" s="198"/>
      <c r="D3102" s="198"/>
      <c r="E3102" s="537"/>
      <c r="G3102" s="198"/>
      <c r="H3102" s="123"/>
    </row>
    <row r="3103" spans="3:8" s="99" customFormat="1" x14ac:dyDescent="0.2">
      <c r="C3103" s="198"/>
      <c r="D3103" s="198"/>
      <c r="E3103" s="537"/>
      <c r="G3103" s="198"/>
      <c r="H3103" s="123"/>
    </row>
    <row r="3104" spans="3:8" s="99" customFormat="1" x14ac:dyDescent="0.2">
      <c r="C3104" s="198"/>
      <c r="D3104" s="198"/>
      <c r="E3104" s="537"/>
      <c r="G3104" s="198"/>
      <c r="H3104" s="123"/>
    </row>
    <row r="3105" spans="3:8" s="99" customFormat="1" x14ac:dyDescent="0.2">
      <c r="C3105" s="198"/>
      <c r="D3105" s="198"/>
      <c r="E3105" s="537"/>
      <c r="G3105" s="198"/>
      <c r="H3105" s="123"/>
    </row>
    <row r="3106" spans="3:8" s="99" customFormat="1" x14ac:dyDescent="0.2">
      <c r="C3106" s="198"/>
      <c r="D3106" s="198"/>
      <c r="E3106" s="537"/>
      <c r="G3106" s="198"/>
      <c r="H3106" s="123"/>
    </row>
    <row r="3107" spans="3:8" s="99" customFormat="1" x14ac:dyDescent="0.2">
      <c r="C3107" s="198"/>
      <c r="D3107" s="198"/>
      <c r="E3107" s="537"/>
      <c r="G3107" s="198"/>
      <c r="H3107" s="123"/>
    </row>
    <row r="3108" spans="3:8" s="99" customFormat="1" x14ac:dyDescent="0.2">
      <c r="C3108" s="198"/>
      <c r="D3108" s="198"/>
      <c r="E3108" s="537"/>
      <c r="G3108" s="198"/>
      <c r="H3108" s="123"/>
    </row>
    <row r="3109" spans="3:8" s="99" customFormat="1" x14ac:dyDescent="0.2">
      <c r="C3109" s="198"/>
      <c r="D3109" s="198"/>
      <c r="E3109" s="537"/>
      <c r="G3109" s="198"/>
      <c r="H3109" s="123"/>
    </row>
    <row r="3110" spans="3:8" s="99" customFormat="1" x14ac:dyDescent="0.2">
      <c r="C3110" s="198"/>
      <c r="D3110" s="198"/>
      <c r="E3110" s="537"/>
      <c r="G3110" s="198"/>
      <c r="H3110" s="123"/>
    </row>
    <row r="3111" spans="3:8" s="99" customFormat="1" x14ac:dyDescent="0.2">
      <c r="C3111" s="198"/>
      <c r="D3111" s="198"/>
      <c r="E3111" s="537"/>
      <c r="G3111" s="198"/>
      <c r="H3111" s="123"/>
    </row>
    <row r="3112" spans="3:8" s="99" customFormat="1" x14ac:dyDescent="0.2">
      <c r="C3112" s="198"/>
      <c r="D3112" s="198"/>
      <c r="E3112" s="537"/>
      <c r="G3112" s="198"/>
      <c r="H3112" s="123"/>
    </row>
    <row r="3113" spans="3:8" s="99" customFormat="1" x14ac:dyDescent="0.2">
      <c r="C3113" s="198"/>
      <c r="D3113" s="198"/>
      <c r="E3113" s="537"/>
      <c r="G3113" s="198"/>
      <c r="H3113" s="123"/>
    </row>
    <row r="3114" spans="3:8" s="99" customFormat="1" x14ac:dyDescent="0.2">
      <c r="C3114" s="198"/>
      <c r="D3114" s="198"/>
      <c r="E3114" s="537"/>
      <c r="G3114" s="198"/>
      <c r="H3114" s="123"/>
    </row>
    <row r="3115" spans="3:8" s="99" customFormat="1" x14ac:dyDescent="0.2">
      <c r="C3115" s="198"/>
      <c r="D3115" s="198"/>
      <c r="E3115" s="537"/>
      <c r="G3115" s="198"/>
      <c r="H3115" s="123"/>
    </row>
    <row r="3116" spans="3:8" s="99" customFormat="1" x14ac:dyDescent="0.2">
      <c r="C3116" s="198"/>
      <c r="D3116" s="198"/>
      <c r="E3116" s="537"/>
      <c r="G3116" s="198"/>
      <c r="H3116" s="123"/>
    </row>
    <row r="3117" spans="3:8" s="99" customFormat="1" x14ac:dyDescent="0.2">
      <c r="C3117" s="198"/>
      <c r="D3117" s="198"/>
      <c r="E3117" s="537"/>
      <c r="G3117" s="198"/>
      <c r="H3117" s="123"/>
    </row>
    <row r="3118" spans="3:8" s="99" customFormat="1" x14ac:dyDescent="0.2">
      <c r="C3118" s="198"/>
      <c r="D3118" s="198"/>
      <c r="E3118" s="537"/>
      <c r="G3118" s="198"/>
      <c r="H3118" s="123"/>
    </row>
    <row r="3119" spans="3:8" s="99" customFormat="1" x14ac:dyDescent="0.2">
      <c r="C3119" s="198"/>
      <c r="D3119" s="198"/>
      <c r="E3119" s="537"/>
      <c r="G3119" s="198"/>
      <c r="H3119" s="123"/>
    </row>
    <row r="3120" spans="3:8" s="99" customFormat="1" x14ac:dyDescent="0.2">
      <c r="C3120" s="198"/>
      <c r="D3120" s="198"/>
      <c r="E3120" s="537"/>
      <c r="G3120" s="198"/>
      <c r="H3120" s="123"/>
    </row>
    <row r="3121" spans="3:8" s="99" customFormat="1" x14ac:dyDescent="0.2">
      <c r="C3121" s="198"/>
      <c r="D3121" s="198"/>
      <c r="E3121" s="537"/>
      <c r="G3121" s="198"/>
      <c r="H3121" s="123"/>
    </row>
    <row r="3122" spans="3:8" s="99" customFormat="1" x14ac:dyDescent="0.2">
      <c r="C3122" s="198"/>
      <c r="D3122" s="198"/>
      <c r="E3122" s="537"/>
      <c r="G3122" s="198"/>
      <c r="H3122" s="123"/>
    </row>
    <row r="3123" spans="3:8" s="99" customFormat="1" x14ac:dyDescent="0.2">
      <c r="C3123" s="198"/>
      <c r="D3123" s="198"/>
      <c r="E3123" s="537"/>
      <c r="G3123" s="198"/>
      <c r="H3123" s="123"/>
    </row>
    <row r="3124" spans="3:8" s="99" customFormat="1" x14ac:dyDescent="0.2">
      <c r="C3124" s="198"/>
      <c r="D3124" s="198"/>
      <c r="E3124" s="537"/>
      <c r="G3124" s="198"/>
      <c r="H3124" s="123"/>
    </row>
    <row r="3125" spans="3:8" s="99" customFormat="1" x14ac:dyDescent="0.2">
      <c r="C3125" s="198"/>
      <c r="D3125" s="198"/>
      <c r="E3125" s="537"/>
      <c r="G3125" s="198"/>
      <c r="H3125" s="123"/>
    </row>
    <row r="3126" spans="3:8" s="99" customFormat="1" x14ac:dyDescent="0.2">
      <c r="C3126" s="198"/>
      <c r="D3126" s="198"/>
      <c r="E3126" s="537"/>
      <c r="G3126" s="198"/>
      <c r="H3126" s="123"/>
    </row>
    <row r="3127" spans="3:8" s="99" customFormat="1" x14ac:dyDescent="0.2">
      <c r="C3127" s="198"/>
      <c r="D3127" s="198"/>
      <c r="E3127" s="537"/>
      <c r="G3127" s="198"/>
      <c r="H3127" s="123"/>
    </row>
    <row r="3128" spans="3:8" s="99" customFormat="1" x14ac:dyDescent="0.2">
      <c r="C3128" s="198"/>
      <c r="D3128" s="198"/>
      <c r="E3128" s="537"/>
      <c r="G3128" s="198"/>
      <c r="H3128" s="123"/>
    </row>
    <row r="3129" spans="3:8" s="99" customFormat="1" x14ac:dyDescent="0.2">
      <c r="C3129" s="198"/>
      <c r="D3129" s="198"/>
      <c r="E3129" s="537"/>
      <c r="G3129" s="198"/>
      <c r="H3129" s="123"/>
    </row>
    <row r="3130" spans="3:8" s="99" customFormat="1" x14ac:dyDescent="0.2">
      <c r="C3130" s="198"/>
      <c r="D3130" s="198"/>
      <c r="E3130" s="537"/>
      <c r="G3130" s="198"/>
      <c r="H3130" s="123"/>
    </row>
    <row r="3131" spans="3:8" s="99" customFormat="1" x14ac:dyDescent="0.2">
      <c r="C3131" s="198"/>
      <c r="D3131" s="198"/>
      <c r="E3131" s="537"/>
      <c r="G3131" s="198"/>
      <c r="H3131" s="123"/>
    </row>
    <row r="3132" spans="3:8" s="99" customFormat="1" x14ac:dyDescent="0.2">
      <c r="C3132" s="198"/>
      <c r="D3132" s="198"/>
      <c r="E3132" s="537"/>
      <c r="G3132" s="198"/>
      <c r="H3132" s="123"/>
    </row>
    <row r="3133" spans="3:8" s="99" customFormat="1" x14ac:dyDescent="0.2">
      <c r="C3133" s="198"/>
      <c r="D3133" s="198"/>
      <c r="E3133" s="537"/>
      <c r="G3133" s="198"/>
      <c r="H3133" s="123"/>
    </row>
    <row r="3134" spans="3:8" s="99" customFormat="1" x14ac:dyDescent="0.2">
      <c r="C3134" s="198"/>
      <c r="D3134" s="198"/>
      <c r="E3134" s="537"/>
      <c r="G3134" s="198"/>
      <c r="H3134" s="123"/>
    </row>
    <row r="3135" spans="3:8" s="99" customFormat="1" x14ac:dyDescent="0.2">
      <c r="C3135" s="198"/>
      <c r="D3135" s="198"/>
      <c r="E3135" s="537"/>
      <c r="G3135" s="198"/>
      <c r="H3135" s="123"/>
    </row>
    <row r="3136" spans="3:8" s="99" customFormat="1" x14ac:dyDescent="0.2">
      <c r="C3136" s="198"/>
      <c r="D3136" s="198"/>
      <c r="E3136" s="537"/>
      <c r="G3136" s="198"/>
      <c r="H3136" s="123"/>
    </row>
    <row r="3137" spans="3:8" s="99" customFormat="1" x14ac:dyDescent="0.2">
      <c r="C3137" s="198"/>
      <c r="D3137" s="198"/>
      <c r="E3137" s="537"/>
      <c r="G3137" s="198"/>
      <c r="H3137" s="123"/>
    </row>
    <row r="3138" spans="3:8" s="99" customFormat="1" x14ac:dyDescent="0.2">
      <c r="C3138" s="198"/>
      <c r="D3138" s="198"/>
      <c r="E3138" s="537"/>
      <c r="G3138" s="198"/>
      <c r="H3138" s="123"/>
    </row>
    <row r="3139" spans="3:8" s="99" customFormat="1" x14ac:dyDescent="0.2">
      <c r="C3139" s="198"/>
      <c r="D3139" s="198"/>
      <c r="E3139" s="537"/>
      <c r="G3139" s="198"/>
      <c r="H3139" s="123"/>
    </row>
    <row r="3140" spans="3:8" s="99" customFormat="1" x14ac:dyDescent="0.2">
      <c r="C3140" s="198"/>
      <c r="D3140" s="198"/>
      <c r="E3140" s="537"/>
      <c r="G3140" s="198"/>
      <c r="H3140" s="123"/>
    </row>
    <row r="3141" spans="3:8" s="99" customFormat="1" x14ac:dyDescent="0.2">
      <c r="C3141" s="198"/>
      <c r="D3141" s="198"/>
      <c r="E3141" s="537"/>
      <c r="G3141" s="198"/>
      <c r="H3141" s="123"/>
    </row>
    <row r="3142" spans="3:8" s="99" customFormat="1" x14ac:dyDescent="0.2">
      <c r="C3142" s="198"/>
      <c r="D3142" s="198"/>
      <c r="E3142" s="537"/>
      <c r="G3142" s="198"/>
      <c r="H3142" s="123"/>
    </row>
    <row r="3143" spans="3:8" s="99" customFormat="1" x14ac:dyDescent="0.2">
      <c r="C3143" s="198"/>
      <c r="D3143" s="198"/>
      <c r="E3143" s="537"/>
      <c r="G3143" s="198"/>
      <c r="H3143" s="123"/>
    </row>
    <row r="3144" spans="3:8" s="99" customFormat="1" x14ac:dyDescent="0.2">
      <c r="C3144" s="198"/>
      <c r="D3144" s="198"/>
      <c r="E3144" s="537"/>
      <c r="G3144" s="198"/>
      <c r="H3144" s="123"/>
    </row>
    <row r="3145" spans="3:8" s="99" customFormat="1" x14ac:dyDescent="0.2">
      <c r="C3145" s="198"/>
      <c r="D3145" s="198"/>
      <c r="E3145" s="537"/>
      <c r="G3145" s="198"/>
      <c r="H3145" s="123"/>
    </row>
    <row r="3146" spans="3:8" s="99" customFormat="1" x14ac:dyDescent="0.2">
      <c r="C3146" s="198"/>
      <c r="D3146" s="198"/>
      <c r="E3146" s="537"/>
      <c r="G3146" s="198"/>
      <c r="H3146" s="123"/>
    </row>
    <row r="3147" spans="3:8" s="99" customFormat="1" x14ac:dyDescent="0.2">
      <c r="C3147" s="198"/>
      <c r="D3147" s="198"/>
      <c r="E3147" s="537"/>
      <c r="G3147" s="198"/>
      <c r="H3147" s="123"/>
    </row>
    <row r="3148" spans="3:8" s="99" customFormat="1" x14ac:dyDescent="0.2">
      <c r="C3148" s="198"/>
      <c r="D3148" s="198"/>
      <c r="E3148" s="537"/>
      <c r="G3148" s="198"/>
      <c r="H3148" s="123"/>
    </row>
    <row r="3149" spans="3:8" s="99" customFormat="1" x14ac:dyDescent="0.2">
      <c r="C3149" s="198"/>
      <c r="D3149" s="198"/>
      <c r="E3149" s="537"/>
      <c r="G3149" s="198"/>
      <c r="H3149" s="123"/>
    </row>
    <row r="3150" spans="3:8" s="99" customFormat="1" x14ac:dyDescent="0.2">
      <c r="C3150" s="198"/>
      <c r="D3150" s="198"/>
      <c r="E3150" s="537"/>
      <c r="G3150" s="198"/>
      <c r="H3150" s="123"/>
    </row>
    <row r="3151" spans="3:8" s="99" customFormat="1" x14ac:dyDescent="0.2">
      <c r="C3151" s="198"/>
      <c r="D3151" s="198"/>
      <c r="E3151" s="537"/>
      <c r="G3151" s="198"/>
      <c r="H3151" s="123"/>
    </row>
    <row r="3152" spans="3:8" s="99" customFormat="1" x14ac:dyDescent="0.2">
      <c r="C3152" s="198"/>
      <c r="D3152" s="198"/>
      <c r="E3152" s="537"/>
      <c r="G3152" s="198"/>
      <c r="H3152" s="123"/>
    </row>
    <row r="3153" spans="3:8" s="99" customFormat="1" x14ac:dyDescent="0.2">
      <c r="C3153" s="198"/>
      <c r="D3153" s="198"/>
      <c r="E3153" s="537"/>
      <c r="G3153" s="198"/>
      <c r="H3153" s="123"/>
    </row>
    <row r="3154" spans="3:8" s="99" customFormat="1" x14ac:dyDescent="0.2">
      <c r="C3154" s="198"/>
      <c r="D3154" s="198"/>
      <c r="E3154" s="537"/>
      <c r="G3154" s="198"/>
      <c r="H3154" s="123"/>
    </row>
    <row r="3155" spans="3:8" s="99" customFormat="1" x14ac:dyDescent="0.2">
      <c r="C3155" s="198"/>
      <c r="D3155" s="198"/>
      <c r="E3155" s="537"/>
      <c r="G3155" s="198"/>
      <c r="H3155" s="123"/>
    </row>
    <row r="3156" spans="3:8" s="99" customFormat="1" x14ac:dyDescent="0.2">
      <c r="C3156" s="198"/>
      <c r="D3156" s="198"/>
      <c r="E3156" s="537"/>
      <c r="G3156" s="198"/>
      <c r="H3156" s="123"/>
    </row>
    <row r="3157" spans="3:8" s="99" customFormat="1" x14ac:dyDescent="0.2">
      <c r="C3157" s="198"/>
      <c r="D3157" s="198"/>
      <c r="E3157" s="537"/>
      <c r="G3157" s="198"/>
      <c r="H3157" s="123"/>
    </row>
    <row r="3158" spans="3:8" s="99" customFormat="1" x14ac:dyDescent="0.2">
      <c r="C3158" s="198"/>
      <c r="D3158" s="198"/>
      <c r="E3158" s="537"/>
      <c r="G3158" s="198"/>
      <c r="H3158" s="123"/>
    </row>
    <row r="3159" spans="3:8" s="99" customFormat="1" x14ac:dyDescent="0.2">
      <c r="C3159" s="198"/>
      <c r="D3159" s="198"/>
      <c r="E3159" s="537"/>
      <c r="G3159" s="198"/>
      <c r="H3159" s="123"/>
    </row>
    <row r="3160" spans="3:8" s="99" customFormat="1" x14ac:dyDescent="0.2">
      <c r="C3160" s="198"/>
      <c r="D3160" s="198"/>
      <c r="E3160" s="537"/>
      <c r="G3160" s="198"/>
      <c r="H3160" s="123"/>
    </row>
    <row r="3161" spans="3:8" s="99" customFormat="1" x14ac:dyDescent="0.2">
      <c r="C3161" s="198"/>
      <c r="D3161" s="198"/>
      <c r="E3161" s="537"/>
      <c r="G3161" s="198"/>
      <c r="H3161" s="123"/>
    </row>
    <row r="3162" spans="3:8" s="99" customFormat="1" x14ac:dyDescent="0.2">
      <c r="C3162" s="198"/>
      <c r="D3162" s="198"/>
      <c r="E3162" s="537"/>
      <c r="G3162" s="198"/>
      <c r="H3162" s="123"/>
    </row>
    <row r="3163" spans="3:8" s="99" customFormat="1" x14ac:dyDescent="0.2">
      <c r="C3163" s="198"/>
      <c r="D3163" s="198"/>
      <c r="E3163" s="537"/>
      <c r="G3163" s="198"/>
      <c r="H3163" s="123"/>
    </row>
    <row r="3164" spans="3:8" s="99" customFormat="1" x14ac:dyDescent="0.2">
      <c r="C3164" s="198"/>
      <c r="D3164" s="198"/>
      <c r="E3164" s="537"/>
      <c r="G3164" s="198"/>
      <c r="H3164" s="123"/>
    </row>
    <row r="3165" spans="3:8" s="99" customFormat="1" x14ac:dyDescent="0.2">
      <c r="C3165" s="198"/>
      <c r="D3165" s="198"/>
      <c r="E3165" s="537"/>
      <c r="G3165" s="198"/>
      <c r="H3165" s="123"/>
    </row>
    <row r="3166" spans="3:8" s="99" customFormat="1" x14ac:dyDescent="0.2">
      <c r="C3166" s="198"/>
      <c r="D3166" s="198"/>
      <c r="E3166" s="537"/>
      <c r="G3166" s="198"/>
      <c r="H3166" s="123"/>
    </row>
    <row r="3167" spans="3:8" s="99" customFormat="1" x14ac:dyDescent="0.2">
      <c r="C3167" s="198"/>
      <c r="D3167" s="198"/>
      <c r="E3167" s="537"/>
      <c r="G3167" s="198"/>
      <c r="H3167" s="123"/>
    </row>
    <row r="3168" spans="3:8" s="99" customFormat="1" x14ac:dyDescent="0.2">
      <c r="C3168" s="198"/>
      <c r="D3168" s="198"/>
      <c r="E3168" s="537"/>
      <c r="G3168" s="198"/>
      <c r="H3168" s="123"/>
    </row>
    <row r="3169" spans="3:8" s="99" customFormat="1" x14ac:dyDescent="0.2">
      <c r="C3169" s="198"/>
      <c r="D3169" s="198"/>
      <c r="E3169" s="537"/>
      <c r="G3169" s="198"/>
      <c r="H3169" s="123"/>
    </row>
    <row r="3170" spans="3:8" s="99" customFormat="1" x14ac:dyDescent="0.2">
      <c r="C3170" s="198"/>
      <c r="D3170" s="198"/>
      <c r="E3170" s="537"/>
      <c r="G3170" s="198"/>
      <c r="H3170" s="123"/>
    </row>
    <row r="3171" spans="3:8" s="99" customFormat="1" x14ac:dyDescent="0.2">
      <c r="C3171" s="198"/>
      <c r="D3171" s="198"/>
      <c r="E3171" s="537"/>
      <c r="G3171" s="198"/>
      <c r="H3171" s="123"/>
    </row>
    <row r="3172" spans="3:8" s="99" customFormat="1" x14ac:dyDescent="0.2">
      <c r="C3172" s="198"/>
      <c r="D3172" s="198"/>
      <c r="E3172" s="537"/>
      <c r="G3172" s="198"/>
      <c r="H3172" s="123"/>
    </row>
    <row r="3173" spans="3:8" s="99" customFormat="1" x14ac:dyDescent="0.2">
      <c r="C3173" s="198"/>
      <c r="D3173" s="198"/>
      <c r="E3173" s="537"/>
      <c r="G3173" s="198"/>
      <c r="H3173" s="123"/>
    </row>
    <row r="3174" spans="3:8" s="99" customFormat="1" x14ac:dyDescent="0.2">
      <c r="C3174" s="198"/>
      <c r="D3174" s="198"/>
      <c r="E3174" s="537"/>
      <c r="G3174" s="198"/>
      <c r="H3174" s="123"/>
    </row>
    <row r="3175" spans="3:8" s="99" customFormat="1" x14ac:dyDescent="0.2">
      <c r="C3175" s="198"/>
      <c r="D3175" s="198"/>
      <c r="E3175" s="537"/>
      <c r="G3175" s="198"/>
      <c r="H3175" s="123"/>
    </row>
    <row r="3176" spans="3:8" s="99" customFormat="1" x14ac:dyDescent="0.2">
      <c r="C3176" s="198"/>
      <c r="D3176" s="198"/>
      <c r="E3176" s="537"/>
      <c r="G3176" s="198"/>
      <c r="H3176" s="123"/>
    </row>
    <row r="3177" spans="3:8" s="99" customFormat="1" x14ac:dyDescent="0.2">
      <c r="C3177" s="198"/>
      <c r="D3177" s="198"/>
      <c r="E3177" s="537"/>
      <c r="G3177" s="198"/>
      <c r="H3177" s="123"/>
    </row>
    <row r="3178" spans="3:8" s="99" customFormat="1" x14ac:dyDescent="0.2">
      <c r="C3178" s="198"/>
      <c r="D3178" s="198"/>
      <c r="E3178" s="537"/>
      <c r="G3178" s="198"/>
      <c r="H3178" s="123"/>
    </row>
    <row r="3179" spans="3:8" s="99" customFormat="1" x14ac:dyDescent="0.2">
      <c r="C3179" s="198"/>
      <c r="D3179" s="198"/>
      <c r="E3179" s="537"/>
      <c r="G3179" s="198"/>
      <c r="H3179" s="123"/>
    </row>
    <row r="3180" spans="3:8" s="99" customFormat="1" x14ac:dyDescent="0.2">
      <c r="C3180" s="198"/>
      <c r="D3180" s="198"/>
      <c r="E3180" s="537"/>
      <c r="G3180" s="198"/>
      <c r="H3180" s="123"/>
    </row>
    <row r="3181" spans="3:8" s="99" customFormat="1" x14ac:dyDescent="0.2">
      <c r="C3181" s="198"/>
      <c r="D3181" s="198"/>
      <c r="E3181" s="537"/>
      <c r="G3181" s="198"/>
      <c r="H3181" s="123"/>
    </row>
    <row r="3182" spans="3:8" s="99" customFormat="1" x14ac:dyDescent="0.2">
      <c r="C3182" s="198"/>
      <c r="D3182" s="198"/>
      <c r="E3182" s="537"/>
      <c r="G3182" s="198"/>
      <c r="H3182" s="123"/>
    </row>
    <row r="3183" spans="3:8" s="99" customFormat="1" x14ac:dyDescent="0.2">
      <c r="C3183" s="198"/>
      <c r="D3183" s="198"/>
      <c r="E3183" s="537"/>
      <c r="G3183" s="198"/>
      <c r="H3183" s="123"/>
    </row>
    <row r="3184" spans="3:8" s="99" customFormat="1" x14ac:dyDescent="0.2">
      <c r="C3184" s="198"/>
      <c r="D3184" s="198"/>
      <c r="E3184" s="537"/>
      <c r="G3184" s="198"/>
      <c r="H3184" s="123"/>
    </row>
    <row r="3185" spans="3:8" s="99" customFormat="1" x14ac:dyDescent="0.2">
      <c r="C3185" s="198"/>
      <c r="D3185" s="198"/>
      <c r="E3185" s="537"/>
      <c r="G3185" s="198"/>
      <c r="H3185" s="123"/>
    </row>
    <row r="3186" spans="3:8" s="99" customFormat="1" x14ac:dyDescent="0.2">
      <c r="C3186" s="198"/>
      <c r="D3186" s="198"/>
      <c r="E3186" s="537"/>
      <c r="G3186" s="198"/>
      <c r="H3186" s="123"/>
    </row>
    <row r="3187" spans="3:8" s="99" customFormat="1" x14ac:dyDescent="0.2">
      <c r="C3187" s="198"/>
      <c r="D3187" s="198"/>
      <c r="E3187" s="537"/>
      <c r="G3187" s="198"/>
      <c r="H3187" s="123"/>
    </row>
    <row r="3188" spans="3:8" s="99" customFormat="1" x14ac:dyDescent="0.2">
      <c r="C3188" s="198"/>
      <c r="D3188" s="198"/>
      <c r="E3188" s="537"/>
      <c r="G3188" s="198"/>
      <c r="H3188" s="123"/>
    </row>
    <row r="3189" spans="3:8" s="99" customFormat="1" x14ac:dyDescent="0.2">
      <c r="C3189" s="198"/>
      <c r="D3189" s="198"/>
      <c r="E3189" s="537"/>
      <c r="G3189" s="198"/>
      <c r="H3189" s="123"/>
    </row>
    <row r="3190" spans="3:8" s="99" customFormat="1" x14ac:dyDescent="0.2">
      <c r="C3190" s="198"/>
      <c r="D3190" s="198"/>
      <c r="E3190" s="537"/>
      <c r="G3190" s="198"/>
      <c r="H3190" s="123"/>
    </row>
    <row r="3191" spans="3:8" s="99" customFormat="1" x14ac:dyDescent="0.2">
      <c r="C3191" s="198"/>
      <c r="D3191" s="198"/>
      <c r="E3191" s="537"/>
      <c r="G3191" s="198"/>
      <c r="H3191" s="123"/>
    </row>
    <row r="3192" spans="3:8" s="99" customFormat="1" x14ac:dyDescent="0.2">
      <c r="C3192" s="198"/>
      <c r="D3192" s="198"/>
      <c r="E3192" s="537"/>
      <c r="G3192" s="198"/>
      <c r="H3192" s="123"/>
    </row>
    <row r="3193" spans="3:8" s="99" customFormat="1" x14ac:dyDescent="0.2">
      <c r="C3193" s="198"/>
      <c r="D3193" s="198"/>
      <c r="E3193" s="537"/>
      <c r="G3193" s="198"/>
      <c r="H3193" s="123"/>
    </row>
    <row r="3194" spans="3:8" s="99" customFormat="1" x14ac:dyDescent="0.2">
      <c r="C3194" s="198"/>
      <c r="D3194" s="198"/>
      <c r="E3194" s="537"/>
      <c r="G3194" s="198"/>
      <c r="H3194" s="123"/>
    </row>
    <row r="3195" spans="3:8" s="99" customFormat="1" x14ac:dyDescent="0.2">
      <c r="C3195" s="198"/>
      <c r="D3195" s="198"/>
      <c r="E3195" s="537"/>
      <c r="G3195" s="198"/>
      <c r="H3195" s="123"/>
    </row>
    <row r="3196" spans="3:8" s="99" customFormat="1" x14ac:dyDescent="0.2">
      <c r="C3196" s="198"/>
      <c r="D3196" s="198"/>
      <c r="E3196" s="537"/>
      <c r="G3196" s="198"/>
      <c r="H3196" s="123"/>
    </row>
    <row r="3197" spans="3:8" s="99" customFormat="1" x14ac:dyDescent="0.2">
      <c r="C3197" s="198"/>
      <c r="D3197" s="198"/>
      <c r="E3197" s="537"/>
      <c r="G3197" s="198"/>
      <c r="H3197" s="123"/>
    </row>
    <row r="3198" spans="3:8" s="99" customFormat="1" x14ac:dyDescent="0.2">
      <c r="C3198" s="198"/>
      <c r="D3198" s="198"/>
      <c r="E3198" s="537"/>
      <c r="G3198" s="198"/>
      <c r="H3198" s="123"/>
    </row>
    <row r="3199" spans="3:8" s="99" customFormat="1" x14ac:dyDescent="0.2">
      <c r="C3199" s="198"/>
      <c r="D3199" s="198"/>
      <c r="E3199" s="537"/>
      <c r="G3199" s="198"/>
      <c r="H3199" s="123"/>
    </row>
    <row r="3200" spans="3:8" s="99" customFormat="1" x14ac:dyDescent="0.2">
      <c r="C3200" s="198"/>
      <c r="D3200" s="198"/>
      <c r="E3200" s="537"/>
      <c r="G3200" s="198"/>
      <c r="H3200" s="123"/>
    </row>
    <row r="3201" spans="3:8" s="99" customFormat="1" x14ac:dyDescent="0.2">
      <c r="C3201" s="198"/>
      <c r="D3201" s="198"/>
      <c r="E3201" s="537"/>
      <c r="G3201" s="198"/>
      <c r="H3201" s="123"/>
    </row>
    <row r="3202" spans="3:8" s="99" customFormat="1" x14ac:dyDescent="0.2">
      <c r="C3202" s="198"/>
      <c r="D3202" s="198"/>
      <c r="E3202" s="537"/>
      <c r="G3202" s="198"/>
      <c r="H3202" s="123"/>
    </row>
    <row r="3203" spans="3:8" s="99" customFormat="1" x14ac:dyDescent="0.2">
      <c r="C3203" s="198"/>
      <c r="D3203" s="198"/>
      <c r="E3203" s="537"/>
      <c r="G3203" s="198"/>
      <c r="H3203" s="123"/>
    </row>
    <row r="3204" spans="3:8" s="99" customFormat="1" x14ac:dyDescent="0.2">
      <c r="C3204" s="198"/>
      <c r="D3204" s="198"/>
      <c r="E3204" s="537"/>
      <c r="G3204" s="198"/>
      <c r="H3204" s="123"/>
    </row>
    <row r="3205" spans="3:8" s="99" customFormat="1" x14ac:dyDescent="0.2">
      <c r="C3205" s="198"/>
      <c r="D3205" s="198"/>
      <c r="E3205" s="537"/>
      <c r="G3205" s="198"/>
      <c r="H3205" s="123"/>
    </row>
    <row r="3206" spans="3:8" s="99" customFormat="1" x14ac:dyDescent="0.2">
      <c r="C3206" s="198"/>
      <c r="D3206" s="198"/>
      <c r="E3206" s="537"/>
      <c r="G3206" s="198"/>
      <c r="H3206" s="123"/>
    </row>
    <row r="3207" spans="3:8" s="99" customFormat="1" x14ac:dyDescent="0.2">
      <c r="C3207" s="198"/>
      <c r="D3207" s="198"/>
      <c r="E3207" s="537"/>
      <c r="G3207" s="198"/>
      <c r="H3207" s="123"/>
    </row>
    <row r="3208" spans="3:8" s="99" customFormat="1" x14ac:dyDescent="0.2">
      <c r="C3208" s="198"/>
      <c r="D3208" s="198"/>
      <c r="E3208" s="537"/>
      <c r="G3208" s="198"/>
      <c r="H3208" s="123"/>
    </row>
    <row r="3209" spans="3:8" s="99" customFormat="1" x14ac:dyDescent="0.2">
      <c r="C3209" s="198"/>
      <c r="D3209" s="198"/>
      <c r="E3209" s="537"/>
      <c r="G3209" s="198"/>
      <c r="H3209" s="123"/>
    </row>
    <row r="3210" spans="3:8" s="99" customFormat="1" x14ac:dyDescent="0.2">
      <c r="C3210" s="198"/>
      <c r="D3210" s="198"/>
      <c r="E3210" s="537"/>
      <c r="G3210" s="198"/>
      <c r="H3210" s="123"/>
    </row>
    <row r="3211" spans="3:8" s="99" customFormat="1" x14ac:dyDescent="0.2">
      <c r="C3211" s="198"/>
      <c r="D3211" s="198"/>
      <c r="E3211" s="537"/>
      <c r="G3211" s="198"/>
      <c r="H3211" s="123"/>
    </row>
    <row r="3212" spans="3:8" s="99" customFormat="1" x14ac:dyDescent="0.2">
      <c r="C3212" s="198"/>
      <c r="D3212" s="198"/>
      <c r="E3212" s="537"/>
      <c r="G3212" s="198"/>
      <c r="H3212" s="123"/>
    </row>
    <row r="3213" spans="3:8" s="99" customFormat="1" x14ac:dyDescent="0.2">
      <c r="C3213" s="198"/>
      <c r="D3213" s="198"/>
      <c r="E3213" s="537"/>
      <c r="G3213" s="198"/>
      <c r="H3213" s="123"/>
    </row>
    <row r="3214" spans="3:8" s="99" customFormat="1" x14ac:dyDescent="0.2">
      <c r="C3214" s="198"/>
      <c r="D3214" s="198"/>
      <c r="E3214" s="537"/>
      <c r="G3214" s="198"/>
      <c r="H3214" s="123"/>
    </row>
    <row r="3215" spans="3:8" s="99" customFormat="1" x14ac:dyDescent="0.2">
      <c r="C3215" s="198"/>
      <c r="D3215" s="198"/>
      <c r="E3215" s="537"/>
      <c r="G3215" s="198"/>
      <c r="H3215" s="123"/>
    </row>
    <row r="3216" spans="3:8" s="99" customFormat="1" x14ac:dyDescent="0.2">
      <c r="C3216" s="198"/>
      <c r="D3216" s="198"/>
      <c r="E3216" s="537"/>
      <c r="G3216" s="198"/>
      <c r="H3216" s="123"/>
    </row>
    <row r="3217" spans="3:8" s="99" customFormat="1" x14ac:dyDescent="0.2">
      <c r="C3217" s="198"/>
      <c r="D3217" s="198"/>
      <c r="E3217" s="537"/>
      <c r="G3217" s="198"/>
      <c r="H3217" s="123"/>
    </row>
    <row r="3218" spans="3:8" s="99" customFormat="1" x14ac:dyDescent="0.2">
      <c r="C3218" s="198"/>
      <c r="D3218" s="198"/>
      <c r="E3218" s="537"/>
      <c r="G3218" s="198"/>
      <c r="H3218" s="123"/>
    </row>
    <row r="3219" spans="3:8" s="99" customFormat="1" x14ac:dyDescent="0.2">
      <c r="C3219" s="198"/>
      <c r="D3219" s="198"/>
      <c r="E3219" s="537"/>
      <c r="G3219" s="198"/>
      <c r="H3219" s="123"/>
    </row>
    <row r="3220" spans="3:8" s="99" customFormat="1" x14ac:dyDescent="0.2">
      <c r="C3220" s="198"/>
      <c r="D3220" s="198"/>
      <c r="E3220" s="537"/>
      <c r="G3220" s="198"/>
      <c r="H3220" s="123"/>
    </row>
    <row r="3221" spans="3:8" s="99" customFormat="1" x14ac:dyDescent="0.2">
      <c r="C3221" s="198"/>
      <c r="D3221" s="198"/>
      <c r="E3221" s="537"/>
      <c r="G3221" s="198"/>
      <c r="H3221" s="123"/>
    </row>
    <row r="3222" spans="3:8" s="99" customFormat="1" x14ac:dyDescent="0.2">
      <c r="C3222" s="198"/>
      <c r="D3222" s="198"/>
      <c r="E3222" s="537"/>
      <c r="G3222" s="198"/>
      <c r="H3222" s="123"/>
    </row>
    <row r="3223" spans="3:8" s="99" customFormat="1" x14ac:dyDescent="0.2">
      <c r="C3223" s="198"/>
      <c r="D3223" s="198"/>
      <c r="E3223" s="537"/>
      <c r="G3223" s="198"/>
      <c r="H3223" s="123"/>
    </row>
    <row r="3224" spans="3:8" s="99" customFormat="1" x14ac:dyDescent="0.2">
      <c r="C3224" s="198"/>
      <c r="D3224" s="198"/>
      <c r="E3224" s="537"/>
      <c r="G3224" s="198"/>
      <c r="H3224" s="123"/>
    </row>
    <row r="3225" spans="3:8" s="99" customFormat="1" x14ac:dyDescent="0.2">
      <c r="C3225" s="198"/>
      <c r="D3225" s="198"/>
      <c r="E3225" s="537"/>
      <c r="G3225" s="198"/>
      <c r="H3225" s="123"/>
    </row>
    <row r="3226" spans="3:8" s="99" customFormat="1" x14ac:dyDescent="0.2">
      <c r="C3226" s="198"/>
      <c r="D3226" s="198"/>
      <c r="E3226" s="537"/>
      <c r="G3226" s="198"/>
      <c r="H3226" s="123"/>
    </row>
    <row r="3227" spans="3:8" s="99" customFormat="1" x14ac:dyDescent="0.2">
      <c r="C3227" s="198"/>
      <c r="D3227" s="198"/>
      <c r="E3227" s="537"/>
      <c r="G3227" s="198"/>
      <c r="H3227" s="123"/>
    </row>
    <row r="3228" spans="3:8" s="99" customFormat="1" x14ac:dyDescent="0.2">
      <c r="C3228" s="198"/>
      <c r="D3228" s="198"/>
      <c r="E3228" s="537"/>
      <c r="G3228" s="198"/>
      <c r="H3228" s="123"/>
    </row>
    <row r="3229" spans="3:8" s="99" customFormat="1" x14ac:dyDescent="0.2">
      <c r="C3229" s="198"/>
      <c r="D3229" s="198"/>
      <c r="E3229" s="537"/>
      <c r="G3229" s="198"/>
      <c r="H3229" s="123"/>
    </row>
    <row r="3230" spans="3:8" s="99" customFormat="1" x14ac:dyDescent="0.2">
      <c r="C3230" s="198"/>
      <c r="D3230" s="198"/>
      <c r="E3230" s="537"/>
      <c r="G3230" s="198"/>
      <c r="H3230" s="123"/>
    </row>
    <row r="3231" spans="3:8" s="99" customFormat="1" x14ac:dyDescent="0.2">
      <c r="C3231" s="198"/>
      <c r="D3231" s="198"/>
      <c r="E3231" s="537"/>
      <c r="G3231" s="198"/>
      <c r="H3231" s="123"/>
    </row>
    <row r="3232" spans="3:8" s="99" customFormat="1" x14ac:dyDescent="0.2">
      <c r="C3232" s="198"/>
      <c r="D3232" s="198"/>
      <c r="E3232" s="537"/>
      <c r="G3232" s="198"/>
      <c r="H3232" s="123"/>
    </row>
    <row r="3233" spans="3:8" s="99" customFormat="1" x14ac:dyDescent="0.2">
      <c r="C3233" s="198"/>
      <c r="D3233" s="198"/>
      <c r="E3233" s="537"/>
      <c r="G3233" s="198"/>
      <c r="H3233" s="123"/>
    </row>
    <row r="3234" spans="3:8" s="99" customFormat="1" x14ac:dyDescent="0.2">
      <c r="C3234" s="198"/>
      <c r="D3234" s="198"/>
      <c r="E3234" s="537"/>
      <c r="G3234" s="198"/>
      <c r="H3234" s="123"/>
    </row>
    <row r="3235" spans="3:8" s="99" customFormat="1" x14ac:dyDescent="0.2">
      <c r="C3235" s="198"/>
      <c r="D3235" s="198"/>
      <c r="E3235" s="537"/>
      <c r="G3235" s="198"/>
      <c r="H3235" s="123"/>
    </row>
    <row r="3236" spans="3:8" s="99" customFormat="1" x14ac:dyDescent="0.2">
      <c r="C3236" s="198"/>
      <c r="D3236" s="198"/>
      <c r="E3236" s="537"/>
      <c r="G3236" s="198"/>
      <c r="H3236" s="123"/>
    </row>
    <row r="3237" spans="3:8" s="99" customFormat="1" x14ac:dyDescent="0.2">
      <c r="C3237" s="198"/>
      <c r="D3237" s="198"/>
      <c r="E3237" s="537"/>
      <c r="G3237" s="198"/>
      <c r="H3237" s="123"/>
    </row>
    <row r="3238" spans="3:8" s="99" customFormat="1" x14ac:dyDescent="0.2">
      <c r="C3238" s="198"/>
      <c r="D3238" s="198"/>
      <c r="E3238" s="537"/>
      <c r="G3238" s="198"/>
      <c r="H3238" s="123"/>
    </row>
    <row r="3239" spans="3:8" s="99" customFormat="1" x14ac:dyDescent="0.2">
      <c r="C3239" s="198"/>
      <c r="D3239" s="198"/>
      <c r="E3239" s="537"/>
      <c r="G3239" s="198"/>
      <c r="H3239" s="123"/>
    </row>
    <row r="3240" spans="3:8" s="99" customFormat="1" x14ac:dyDescent="0.2">
      <c r="C3240" s="198"/>
      <c r="D3240" s="198"/>
      <c r="E3240" s="537"/>
      <c r="G3240" s="198"/>
      <c r="H3240" s="123"/>
    </row>
    <row r="3241" spans="3:8" s="99" customFormat="1" x14ac:dyDescent="0.2">
      <c r="C3241" s="198"/>
      <c r="D3241" s="198"/>
      <c r="E3241" s="537"/>
      <c r="G3241" s="198"/>
      <c r="H3241" s="123"/>
    </row>
    <row r="3242" spans="3:8" s="99" customFormat="1" x14ac:dyDescent="0.2">
      <c r="C3242" s="198"/>
      <c r="D3242" s="198"/>
      <c r="E3242" s="537"/>
      <c r="G3242" s="198"/>
      <c r="H3242" s="123"/>
    </row>
    <row r="3243" spans="3:8" s="99" customFormat="1" x14ac:dyDescent="0.2">
      <c r="C3243" s="198"/>
      <c r="D3243" s="198"/>
      <c r="E3243" s="537"/>
      <c r="G3243" s="198"/>
      <c r="H3243" s="123"/>
    </row>
    <row r="3244" spans="3:8" s="99" customFormat="1" x14ac:dyDescent="0.2">
      <c r="C3244" s="198"/>
      <c r="D3244" s="198"/>
      <c r="E3244" s="537"/>
      <c r="G3244" s="198"/>
      <c r="H3244" s="123"/>
    </row>
    <row r="3245" spans="3:8" s="99" customFormat="1" x14ac:dyDescent="0.2">
      <c r="C3245" s="198"/>
      <c r="D3245" s="198"/>
      <c r="E3245" s="537"/>
      <c r="G3245" s="198"/>
      <c r="H3245" s="123"/>
    </row>
    <row r="3246" spans="3:8" s="99" customFormat="1" x14ac:dyDescent="0.2">
      <c r="C3246" s="198"/>
      <c r="D3246" s="198"/>
      <c r="E3246" s="537"/>
      <c r="G3246" s="198"/>
      <c r="H3246" s="123"/>
    </row>
    <row r="3247" spans="3:8" s="99" customFormat="1" x14ac:dyDescent="0.2">
      <c r="C3247" s="198"/>
      <c r="D3247" s="198"/>
      <c r="E3247" s="537"/>
      <c r="G3247" s="198"/>
      <c r="H3247" s="123"/>
    </row>
    <row r="3248" spans="3:8" s="99" customFormat="1" x14ac:dyDescent="0.2">
      <c r="C3248" s="198"/>
      <c r="D3248" s="198"/>
      <c r="E3248" s="537"/>
      <c r="G3248" s="198"/>
      <c r="H3248" s="123"/>
    </row>
    <row r="3249" spans="3:8" s="99" customFormat="1" x14ac:dyDescent="0.2">
      <c r="C3249" s="198"/>
      <c r="D3249" s="198"/>
      <c r="E3249" s="537"/>
      <c r="G3249" s="198"/>
      <c r="H3249" s="123"/>
    </row>
    <row r="3250" spans="3:8" s="99" customFormat="1" x14ac:dyDescent="0.2">
      <c r="C3250" s="198"/>
      <c r="D3250" s="198"/>
      <c r="E3250" s="537"/>
      <c r="G3250" s="198"/>
      <c r="H3250" s="123"/>
    </row>
    <row r="3251" spans="3:8" s="99" customFormat="1" x14ac:dyDescent="0.2">
      <c r="C3251" s="198"/>
      <c r="D3251" s="198"/>
      <c r="E3251" s="537"/>
      <c r="G3251" s="198"/>
      <c r="H3251" s="123"/>
    </row>
    <row r="3252" spans="3:8" s="99" customFormat="1" x14ac:dyDescent="0.2">
      <c r="C3252" s="198"/>
      <c r="D3252" s="198"/>
      <c r="E3252" s="537"/>
      <c r="G3252" s="198"/>
      <c r="H3252" s="123"/>
    </row>
    <row r="3253" spans="3:8" s="99" customFormat="1" x14ac:dyDescent="0.2">
      <c r="C3253" s="198"/>
      <c r="D3253" s="198"/>
      <c r="E3253" s="537"/>
      <c r="G3253" s="198"/>
      <c r="H3253" s="123"/>
    </row>
    <row r="3254" spans="3:8" s="99" customFormat="1" x14ac:dyDescent="0.2">
      <c r="C3254" s="198"/>
      <c r="D3254" s="198"/>
      <c r="E3254" s="537"/>
      <c r="G3254" s="198"/>
      <c r="H3254" s="123"/>
    </row>
    <row r="3255" spans="3:8" s="99" customFormat="1" x14ac:dyDescent="0.2">
      <c r="C3255" s="198"/>
      <c r="D3255" s="198"/>
      <c r="E3255" s="537"/>
      <c r="G3255" s="198"/>
      <c r="H3255" s="123"/>
    </row>
    <row r="3256" spans="3:8" s="99" customFormat="1" x14ac:dyDescent="0.2">
      <c r="C3256" s="198"/>
      <c r="D3256" s="198"/>
      <c r="E3256" s="537"/>
      <c r="G3256" s="198"/>
      <c r="H3256" s="123"/>
    </row>
    <row r="3257" spans="3:8" s="99" customFormat="1" x14ac:dyDescent="0.2">
      <c r="C3257" s="198"/>
      <c r="D3257" s="198"/>
      <c r="E3257" s="537"/>
      <c r="G3257" s="198"/>
      <c r="H3257" s="123"/>
    </row>
    <row r="3258" spans="3:8" s="99" customFormat="1" x14ac:dyDescent="0.2">
      <c r="C3258" s="198"/>
      <c r="D3258" s="198"/>
      <c r="E3258" s="537"/>
      <c r="G3258" s="198"/>
      <c r="H3258" s="123"/>
    </row>
    <row r="3259" spans="3:8" s="99" customFormat="1" x14ac:dyDescent="0.2">
      <c r="C3259" s="198"/>
      <c r="D3259" s="198"/>
      <c r="E3259" s="537"/>
      <c r="G3259" s="198"/>
      <c r="H3259" s="123"/>
    </row>
    <row r="3260" spans="3:8" s="99" customFormat="1" x14ac:dyDescent="0.2">
      <c r="C3260" s="198"/>
      <c r="D3260" s="198"/>
      <c r="E3260" s="537"/>
      <c r="G3260" s="198"/>
      <c r="H3260" s="123"/>
    </row>
    <row r="3261" spans="3:8" s="99" customFormat="1" x14ac:dyDescent="0.2">
      <c r="C3261" s="198"/>
      <c r="D3261" s="198"/>
      <c r="E3261" s="537"/>
      <c r="G3261" s="198"/>
      <c r="H3261" s="123"/>
    </row>
    <row r="3262" spans="3:8" s="99" customFormat="1" x14ac:dyDescent="0.2">
      <c r="C3262" s="198"/>
      <c r="D3262" s="198"/>
      <c r="E3262" s="537"/>
      <c r="G3262" s="198"/>
      <c r="H3262" s="123"/>
    </row>
    <row r="3263" spans="3:8" s="99" customFormat="1" x14ac:dyDescent="0.2">
      <c r="C3263" s="198"/>
      <c r="D3263" s="198"/>
      <c r="E3263" s="537"/>
      <c r="G3263" s="198"/>
      <c r="H3263" s="123"/>
    </row>
    <row r="3264" spans="3:8" s="99" customFormat="1" x14ac:dyDescent="0.2">
      <c r="C3264" s="198"/>
      <c r="D3264" s="198"/>
      <c r="E3264" s="537"/>
      <c r="G3264" s="198"/>
      <c r="H3264" s="123"/>
    </row>
    <row r="3265" spans="3:8" s="99" customFormat="1" x14ac:dyDescent="0.2">
      <c r="C3265" s="198"/>
      <c r="D3265" s="198"/>
      <c r="E3265" s="537"/>
      <c r="G3265" s="198"/>
      <c r="H3265" s="123"/>
    </row>
    <row r="3266" spans="3:8" s="99" customFormat="1" x14ac:dyDescent="0.2">
      <c r="C3266" s="198"/>
      <c r="D3266" s="198"/>
      <c r="E3266" s="537"/>
      <c r="G3266" s="198"/>
      <c r="H3266" s="123"/>
    </row>
    <row r="3267" spans="3:8" s="99" customFormat="1" x14ac:dyDescent="0.2">
      <c r="C3267" s="198"/>
      <c r="D3267" s="198"/>
      <c r="E3267" s="537"/>
      <c r="G3267" s="198"/>
      <c r="H3267" s="123"/>
    </row>
    <row r="3268" spans="3:8" s="99" customFormat="1" x14ac:dyDescent="0.2">
      <c r="C3268" s="198"/>
      <c r="D3268" s="198"/>
      <c r="E3268" s="537"/>
      <c r="G3268" s="198"/>
      <c r="H3268" s="123"/>
    </row>
    <row r="3269" spans="3:8" s="99" customFormat="1" x14ac:dyDescent="0.2">
      <c r="C3269" s="198"/>
      <c r="D3269" s="198"/>
      <c r="E3269" s="537"/>
      <c r="G3269" s="198"/>
      <c r="H3269" s="123"/>
    </row>
    <row r="3270" spans="3:8" s="99" customFormat="1" x14ac:dyDescent="0.2">
      <c r="C3270" s="198"/>
      <c r="D3270" s="198"/>
      <c r="E3270" s="537"/>
      <c r="G3270" s="198"/>
      <c r="H3270" s="123"/>
    </row>
    <row r="3271" spans="3:8" s="99" customFormat="1" x14ac:dyDescent="0.2">
      <c r="C3271" s="198"/>
      <c r="D3271" s="198"/>
      <c r="E3271" s="537"/>
      <c r="G3271" s="198"/>
      <c r="H3271" s="123"/>
    </row>
    <row r="3272" spans="3:8" s="99" customFormat="1" x14ac:dyDescent="0.2">
      <c r="C3272" s="198"/>
      <c r="D3272" s="198"/>
      <c r="E3272" s="537"/>
      <c r="G3272" s="198"/>
      <c r="H3272" s="123"/>
    </row>
    <row r="3273" spans="3:8" s="99" customFormat="1" x14ac:dyDescent="0.2">
      <c r="C3273" s="198"/>
      <c r="D3273" s="198"/>
      <c r="E3273" s="537"/>
      <c r="G3273" s="198"/>
      <c r="H3273" s="123"/>
    </row>
    <row r="3274" spans="3:8" s="99" customFormat="1" x14ac:dyDescent="0.2">
      <c r="C3274" s="198"/>
      <c r="D3274" s="198"/>
      <c r="E3274" s="537"/>
      <c r="G3274" s="198"/>
      <c r="H3274" s="123"/>
    </row>
    <row r="3275" spans="3:8" s="99" customFormat="1" x14ac:dyDescent="0.2">
      <c r="C3275" s="198"/>
      <c r="D3275" s="198"/>
      <c r="E3275" s="537"/>
      <c r="G3275" s="198"/>
      <c r="H3275" s="123"/>
    </row>
    <row r="3276" spans="3:8" s="99" customFormat="1" x14ac:dyDescent="0.2">
      <c r="C3276" s="198"/>
      <c r="D3276" s="198"/>
      <c r="E3276" s="537"/>
      <c r="G3276" s="198"/>
      <c r="H3276" s="123"/>
    </row>
    <row r="3277" spans="3:8" s="99" customFormat="1" x14ac:dyDescent="0.2">
      <c r="C3277" s="198"/>
      <c r="D3277" s="198"/>
      <c r="E3277" s="537"/>
      <c r="G3277" s="198"/>
      <c r="H3277" s="123"/>
    </row>
    <row r="3278" spans="3:8" s="99" customFormat="1" x14ac:dyDescent="0.2">
      <c r="C3278" s="198"/>
      <c r="D3278" s="198"/>
      <c r="E3278" s="537"/>
      <c r="G3278" s="198"/>
      <c r="H3278" s="123"/>
    </row>
    <row r="3279" spans="3:8" s="99" customFormat="1" x14ac:dyDescent="0.2">
      <c r="C3279" s="198"/>
      <c r="D3279" s="198"/>
      <c r="E3279" s="537"/>
      <c r="G3279" s="198"/>
      <c r="H3279" s="123"/>
    </row>
    <row r="3280" spans="3:8" s="99" customFormat="1" x14ac:dyDescent="0.2">
      <c r="C3280" s="198"/>
      <c r="D3280" s="198"/>
      <c r="E3280" s="537"/>
      <c r="G3280" s="198"/>
      <c r="H3280" s="123"/>
    </row>
    <row r="3281" spans="3:8" s="99" customFormat="1" x14ac:dyDescent="0.2">
      <c r="C3281" s="198"/>
      <c r="D3281" s="198"/>
      <c r="E3281" s="537"/>
      <c r="G3281" s="198"/>
      <c r="H3281" s="123"/>
    </row>
    <row r="3282" spans="3:8" s="99" customFormat="1" x14ac:dyDescent="0.2">
      <c r="C3282" s="198"/>
      <c r="D3282" s="198"/>
      <c r="E3282" s="537"/>
      <c r="G3282" s="198"/>
      <c r="H3282" s="123"/>
    </row>
    <row r="3283" spans="3:8" s="99" customFormat="1" x14ac:dyDescent="0.2">
      <c r="C3283" s="198"/>
      <c r="D3283" s="198"/>
      <c r="E3283" s="537"/>
      <c r="G3283" s="198"/>
      <c r="H3283" s="123"/>
    </row>
    <row r="3284" spans="3:8" s="99" customFormat="1" x14ac:dyDescent="0.2">
      <c r="C3284" s="198"/>
      <c r="D3284" s="198"/>
      <c r="E3284" s="537"/>
      <c r="G3284" s="198"/>
      <c r="H3284" s="123"/>
    </row>
    <row r="3285" spans="3:8" s="99" customFormat="1" x14ac:dyDescent="0.2">
      <c r="C3285" s="198"/>
      <c r="D3285" s="198"/>
      <c r="E3285" s="537"/>
      <c r="G3285" s="198"/>
      <c r="H3285" s="123"/>
    </row>
    <row r="3286" spans="3:8" s="99" customFormat="1" x14ac:dyDescent="0.2">
      <c r="C3286" s="198"/>
      <c r="D3286" s="198"/>
      <c r="E3286" s="537"/>
      <c r="G3286" s="198"/>
      <c r="H3286" s="123"/>
    </row>
    <row r="3287" spans="3:8" s="99" customFormat="1" x14ac:dyDescent="0.2">
      <c r="C3287" s="198"/>
      <c r="D3287" s="198"/>
      <c r="E3287" s="537"/>
      <c r="G3287" s="198"/>
      <c r="H3287" s="123"/>
    </row>
    <row r="3288" spans="3:8" s="99" customFormat="1" x14ac:dyDescent="0.2">
      <c r="C3288" s="198"/>
      <c r="D3288" s="198"/>
      <c r="E3288" s="537"/>
      <c r="G3288" s="198"/>
      <c r="H3288" s="123"/>
    </row>
    <row r="3289" spans="3:8" s="99" customFormat="1" x14ac:dyDescent="0.2">
      <c r="C3289" s="198"/>
      <c r="D3289" s="198"/>
      <c r="E3289" s="537"/>
      <c r="G3289" s="198"/>
      <c r="H3289" s="123"/>
    </row>
    <row r="3290" spans="3:8" s="99" customFormat="1" x14ac:dyDescent="0.2">
      <c r="C3290" s="198"/>
      <c r="D3290" s="198"/>
      <c r="E3290" s="537"/>
      <c r="G3290" s="198"/>
      <c r="H3290" s="123"/>
    </row>
    <row r="3291" spans="3:8" s="99" customFormat="1" x14ac:dyDescent="0.2">
      <c r="C3291" s="198"/>
      <c r="D3291" s="198"/>
      <c r="E3291" s="537"/>
      <c r="G3291" s="198"/>
      <c r="H3291" s="123"/>
    </row>
    <row r="3292" spans="3:8" s="99" customFormat="1" x14ac:dyDescent="0.2">
      <c r="C3292" s="198"/>
      <c r="D3292" s="198"/>
      <c r="E3292" s="537"/>
      <c r="G3292" s="198"/>
      <c r="H3292" s="123"/>
    </row>
    <row r="3293" spans="3:8" s="99" customFormat="1" x14ac:dyDescent="0.2">
      <c r="C3293" s="198"/>
      <c r="D3293" s="198"/>
      <c r="E3293" s="537"/>
      <c r="G3293" s="198"/>
      <c r="H3293" s="123"/>
    </row>
    <row r="3294" spans="3:8" s="99" customFormat="1" x14ac:dyDescent="0.2">
      <c r="C3294" s="198"/>
      <c r="D3294" s="198"/>
      <c r="E3294" s="537"/>
      <c r="G3294" s="198"/>
      <c r="H3294" s="123"/>
    </row>
    <row r="3295" spans="3:8" s="99" customFormat="1" x14ac:dyDescent="0.2">
      <c r="C3295" s="198"/>
      <c r="D3295" s="198"/>
      <c r="E3295" s="537"/>
      <c r="G3295" s="198"/>
      <c r="H3295" s="123"/>
    </row>
    <row r="3296" spans="3:8" s="99" customFormat="1" x14ac:dyDescent="0.2">
      <c r="C3296" s="198"/>
      <c r="D3296" s="198"/>
      <c r="E3296" s="537"/>
      <c r="G3296" s="198"/>
      <c r="H3296" s="123"/>
    </row>
    <row r="3297" spans="3:8" s="99" customFormat="1" x14ac:dyDescent="0.2">
      <c r="C3297" s="198"/>
      <c r="D3297" s="198"/>
      <c r="E3297" s="537"/>
      <c r="G3297" s="198"/>
      <c r="H3297" s="123"/>
    </row>
    <row r="3298" spans="3:8" s="99" customFormat="1" x14ac:dyDescent="0.2">
      <c r="C3298" s="198"/>
      <c r="D3298" s="198"/>
      <c r="E3298" s="537"/>
      <c r="G3298" s="198"/>
      <c r="H3298" s="123"/>
    </row>
    <row r="3299" spans="3:8" s="99" customFormat="1" x14ac:dyDescent="0.2">
      <c r="C3299" s="198"/>
      <c r="D3299" s="198"/>
      <c r="E3299" s="537"/>
      <c r="G3299" s="198"/>
      <c r="H3299" s="123"/>
    </row>
    <row r="3300" spans="3:8" s="99" customFormat="1" x14ac:dyDescent="0.2">
      <c r="C3300" s="198"/>
      <c r="D3300" s="198"/>
      <c r="E3300" s="537"/>
      <c r="G3300" s="198"/>
      <c r="H3300" s="123"/>
    </row>
    <row r="3301" spans="3:8" s="99" customFormat="1" x14ac:dyDescent="0.2">
      <c r="C3301" s="198"/>
      <c r="D3301" s="198"/>
      <c r="E3301" s="537"/>
      <c r="G3301" s="198"/>
      <c r="H3301" s="123"/>
    </row>
    <row r="3302" spans="3:8" s="99" customFormat="1" x14ac:dyDescent="0.2">
      <c r="C3302" s="198"/>
      <c r="D3302" s="198"/>
      <c r="E3302" s="537"/>
      <c r="G3302" s="198"/>
      <c r="H3302" s="123"/>
    </row>
    <row r="3303" spans="3:8" s="99" customFormat="1" x14ac:dyDescent="0.2">
      <c r="C3303" s="198"/>
      <c r="D3303" s="198"/>
      <c r="E3303" s="537"/>
      <c r="G3303" s="198"/>
      <c r="H3303" s="123"/>
    </row>
    <row r="3304" spans="3:8" s="99" customFormat="1" x14ac:dyDescent="0.2">
      <c r="C3304" s="198"/>
      <c r="D3304" s="198"/>
      <c r="E3304" s="537"/>
      <c r="G3304" s="198"/>
      <c r="H3304" s="123"/>
    </row>
    <row r="3305" spans="3:8" s="99" customFormat="1" x14ac:dyDescent="0.2">
      <c r="C3305" s="198"/>
      <c r="D3305" s="198"/>
      <c r="E3305" s="537"/>
      <c r="G3305" s="198"/>
      <c r="H3305" s="123"/>
    </row>
    <row r="3306" spans="3:8" s="99" customFormat="1" x14ac:dyDescent="0.2">
      <c r="C3306" s="198"/>
      <c r="D3306" s="198"/>
      <c r="E3306" s="537"/>
      <c r="G3306" s="198"/>
      <c r="H3306" s="123"/>
    </row>
    <row r="3307" spans="3:8" s="99" customFormat="1" x14ac:dyDescent="0.2">
      <c r="C3307" s="198"/>
      <c r="D3307" s="198"/>
      <c r="E3307" s="537"/>
      <c r="G3307" s="198"/>
      <c r="H3307" s="123"/>
    </row>
    <row r="3308" spans="3:8" s="99" customFormat="1" x14ac:dyDescent="0.2">
      <c r="C3308" s="198"/>
      <c r="D3308" s="198"/>
      <c r="E3308" s="537"/>
      <c r="G3308" s="198"/>
      <c r="H3308" s="123"/>
    </row>
    <row r="3309" spans="3:8" s="99" customFormat="1" x14ac:dyDescent="0.2">
      <c r="C3309" s="198"/>
      <c r="D3309" s="198"/>
      <c r="E3309" s="537"/>
      <c r="G3309" s="198"/>
      <c r="H3309" s="123"/>
    </row>
    <row r="3310" spans="3:8" s="99" customFormat="1" x14ac:dyDescent="0.2">
      <c r="C3310" s="198"/>
      <c r="D3310" s="198"/>
      <c r="E3310" s="537"/>
      <c r="G3310" s="198"/>
      <c r="H3310" s="123"/>
    </row>
    <row r="3311" spans="3:8" s="99" customFormat="1" x14ac:dyDescent="0.2">
      <c r="C3311" s="198"/>
      <c r="D3311" s="198"/>
      <c r="E3311" s="537"/>
      <c r="G3311" s="198"/>
      <c r="H3311" s="123"/>
    </row>
    <row r="3312" spans="3:8" s="99" customFormat="1" x14ac:dyDescent="0.2">
      <c r="C3312" s="198"/>
      <c r="D3312" s="198"/>
      <c r="E3312" s="537"/>
      <c r="G3312" s="198"/>
      <c r="H3312" s="123"/>
    </row>
    <row r="3313" spans="3:8" s="99" customFormat="1" x14ac:dyDescent="0.2">
      <c r="C3313" s="198"/>
      <c r="D3313" s="198"/>
      <c r="E3313" s="537"/>
      <c r="G3313" s="198"/>
      <c r="H3313" s="123"/>
    </row>
    <row r="3314" spans="3:8" s="99" customFormat="1" x14ac:dyDescent="0.2">
      <c r="C3314" s="198"/>
      <c r="D3314" s="198"/>
      <c r="E3314" s="537"/>
      <c r="G3314" s="198"/>
      <c r="H3314" s="123"/>
    </row>
    <row r="3315" spans="3:8" s="99" customFormat="1" x14ac:dyDescent="0.2">
      <c r="C3315" s="198"/>
      <c r="D3315" s="198"/>
      <c r="E3315" s="537"/>
      <c r="G3315" s="198"/>
      <c r="H3315" s="123"/>
    </row>
    <row r="3316" spans="3:8" s="99" customFormat="1" x14ac:dyDescent="0.2">
      <c r="C3316" s="198"/>
      <c r="D3316" s="198"/>
      <c r="E3316" s="537"/>
      <c r="G3316" s="198"/>
      <c r="H3316" s="123"/>
    </row>
    <row r="3317" spans="3:8" s="99" customFormat="1" x14ac:dyDescent="0.2">
      <c r="C3317" s="198"/>
      <c r="D3317" s="198"/>
      <c r="E3317" s="537"/>
      <c r="G3317" s="198"/>
      <c r="H3317" s="123"/>
    </row>
    <row r="3318" spans="3:8" s="99" customFormat="1" x14ac:dyDescent="0.2">
      <c r="C3318" s="198"/>
      <c r="D3318" s="198"/>
      <c r="E3318" s="537"/>
      <c r="G3318" s="198"/>
      <c r="H3318" s="123"/>
    </row>
    <row r="3319" spans="3:8" s="99" customFormat="1" x14ac:dyDescent="0.2">
      <c r="C3319" s="198"/>
      <c r="D3319" s="198"/>
      <c r="E3319" s="537"/>
      <c r="G3319" s="198"/>
      <c r="H3319" s="123"/>
    </row>
    <row r="3320" spans="3:8" s="99" customFormat="1" x14ac:dyDescent="0.2">
      <c r="C3320" s="198"/>
      <c r="D3320" s="198"/>
      <c r="E3320" s="537"/>
      <c r="G3320" s="198"/>
      <c r="H3320" s="123"/>
    </row>
    <row r="3321" spans="3:8" s="99" customFormat="1" x14ac:dyDescent="0.2">
      <c r="C3321" s="198"/>
      <c r="D3321" s="198"/>
      <c r="E3321" s="537"/>
      <c r="G3321" s="198"/>
      <c r="H3321" s="123"/>
    </row>
    <row r="3322" spans="3:8" s="99" customFormat="1" x14ac:dyDescent="0.2">
      <c r="C3322" s="198"/>
      <c r="D3322" s="198"/>
      <c r="E3322" s="537"/>
      <c r="G3322" s="198"/>
      <c r="H3322" s="123"/>
    </row>
    <row r="3323" spans="3:8" s="99" customFormat="1" x14ac:dyDescent="0.2">
      <c r="C3323" s="198"/>
      <c r="D3323" s="198"/>
      <c r="E3323" s="537"/>
      <c r="G3323" s="198"/>
      <c r="H3323" s="123"/>
    </row>
    <row r="3324" spans="3:8" s="99" customFormat="1" x14ac:dyDescent="0.2">
      <c r="C3324" s="198"/>
      <c r="D3324" s="198"/>
      <c r="E3324" s="537"/>
      <c r="G3324" s="198"/>
      <c r="H3324" s="123"/>
    </row>
    <row r="3325" spans="3:8" s="99" customFormat="1" x14ac:dyDescent="0.2">
      <c r="C3325" s="198"/>
      <c r="D3325" s="198"/>
      <c r="E3325" s="537"/>
      <c r="G3325" s="198"/>
      <c r="H3325" s="123"/>
    </row>
    <row r="3326" spans="3:8" s="99" customFormat="1" x14ac:dyDescent="0.2">
      <c r="C3326" s="198"/>
      <c r="D3326" s="198"/>
      <c r="E3326" s="537"/>
      <c r="G3326" s="198"/>
      <c r="H3326" s="123"/>
    </row>
    <row r="3327" spans="3:8" s="99" customFormat="1" x14ac:dyDescent="0.2">
      <c r="C3327" s="198"/>
      <c r="D3327" s="198"/>
      <c r="E3327" s="537"/>
      <c r="G3327" s="198"/>
      <c r="H3327" s="123"/>
    </row>
    <row r="3328" spans="3:8" s="99" customFormat="1" x14ac:dyDescent="0.2">
      <c r="C3328" s="198"/>
      <c r="D3328" s="198"/>
      <c r="E3328" s="537"/>
      <c r="G3328" s="198"/>
      <c r="H3328" s="123"/>
    </row>
    <row r="3329" spans="3:8" s="99" customFormat="1" x14ac:dyDescent="0.2">
      <c r="C3329" s="198"/>
      <c r="D3329" s="198"/>
      <c r="E3329" s="537"/>
      <c r="G3329" s="198"/>
      <c r="H3329" s="123"/>
    </row>
    <row r="3330" spans="3:8" s="99" customFormat="1" x14ac:dyDescent="0.2">
      <c r="C3330" s="198"/>
      <c r="D3330" s="198"/>
      <c r="E3330" s="537"/>
      <c r="G3330" s="198"/>
      <c r="H3330" s="123"/>
    </row>
    <row r="3331" spans="3:8" s="99" customFormat="1" x14ac:dyDescent="0.2">
      <c r="C3331" s="198"/>
      <c r="D3331" s="198"/>
      <c r="E3331" s="537"/>
      <c r="G3331" s="198"/>
      <c r="H3331" s="123"/>
    </row>
    <row r="3332" spans="3:8" s="99" customFormat="1" x14ac:dyDescent="0.2">
      <c r="C3332" s="198"/>
      <c r="D3332" s="198"/>
      <c r="E3332" s="537"/>
      <c r="G3332" s="198"/>
      <c r="H3332" s="123"/>
    </row>
    <row r="3333" spans="3:8" s="99" customFormat="1" x14ac:dyDescent="0.2">
      <c r="C3333" s="198"/>
      <c r="D3333" s="198"/>
      <c r="E3333" s="537"/>
      <c r="G3333" s="198"/>
      <c r="H3333" s="123"/>
    </row>
    <row r="3334" spans="3:8" s="99" customFormat="1" x14ac:dyDescent="0.2">
      <c r="C3334" s="198"/>
      <c r="D3334" s="198"/>
      <c r="E3334" s="537"/>
      <c r="G3334" s="198"/>
      <c r="H3334" s="123"/>
    </row>
    <row r="3335" spans="3:8" s="99" customFormat="1" x14ac:dyDescent="0.2">
      <c r="C3335" s="198"/>
      <c r="D3335" s="198"/>
      <c r="E3335" s="537"/>
      <c r="G3335" s="198"/>
      <c r="H3335" s="123"/>
    </row>
    <row r="3336" spans="3:8" s="99" customFormat="1" x14ac:dyDescent="0.2">
      <c r="C3336" s="198"/>
      <c r="D3336" s="198"/>
      <c r="E3336" s="537"/>
      <c r="G3336" s="198"/>
      <c r="H3336" s="123"/>
    </row>
    <row r="3337" spans="3:8" s="99" customFormat="1" x14ac:dyDescent="0.2">
      <c r="C3337" s="198"/>
      <c r="D3337" s="198"/>
      <c r="E3337" s="537"/>
      <c r="G3337" s="198"/>
      <c r="H3337" s="123"/>
    </row>
    <row r="3338" spans="3:8" s="99" customFormat="1" x14ac:dyDescent="0.2">
      <c r="C3338" s="198"/>
      <c r="D3338" s="198"/>
      <c r="E3338" s="537"/>
      <c r="G3338" s="198"/>
      <c r="H3338" s="123"/>
    </row>
    <row r="3339" spans="3:8" s="99" customFormat="1" x14ac:dyDescent="0.2">
      <c r="C3339" s="198"/>
      <c r="D3339" s="198"/>
      <c r="E3339" s="537"/>
      <c r="G3339" s="198"/>
      <c r="H3339" s="123"/>
    </row>
    <row r="3340" spans="3:8" s="99" customFormat="1" x14ac:dyDescent="0.2">
      <c r="C3340" s="198"/>
      <c r="D3340" s="198"/>
      <c r="E3340" s="537"/>
      <c r="G3340" s="198"/>
      <c r="H3340" s="123"/>
    </row>
    <row r="3341" spans="3:8" s="99" customFormat="1" x14ac:dyDescent="0.2">
      <c r="C3341" s="198"/>
      <c r="D3341" s="198"/>
      <c r="E3341" s="537"/>
      <c r="G3341" s="198"/>
      <c r="H3341" s="123"/>
    </row>
    <row r="3342" spans="3:8" s="99" customFormat="1" x14ac:dyDescent="0.2">
      <c r="C3342" s="198"/>
      <c r="D3342" s="198"/>
      <c r="E3342" s="537"/>
      <c r="G3342" s="198"/>
      <c r="H3342" s="123"/>
    </row>
    <row r="3343" spans="3:8" s="99" customFormat="1" x14ac:dyDescent="0.2">
      <c r="C3343" s="198"/>
      <c r="D3343" s="198"/>
      <c r="E3343" s="537"/>
      <c r="G3343" s="198"/>
      <c r="H3343" s="123"/>
    </row>
    <row r="3344" spans="3:8" s="99" customFormat="1" x14ac:dyDescent="0.2">
      <c r="C3344" s="198"/>
      <c r="D3344" s="198"/>
      <c r="E3344" s="537"/>
      <c r="G3344" s="198"/>
      <c r="H3344" s="123"/>
    </row>
    <row r="3345" spans="3:8" s="99" customFormat="1" x14ac:dyDescent="0.2">
      <c r="C3345" s="198"/>
      <c r="D3345" s="198"/>
      <c r="E3345" s="537"/>
      <c r="G3345" s="198"/>
      <c r="H3345" s="123"/>
    </row>
    <row r="3346" spans="3:8" s="99" customFormat="1" x14ac:dyDescent="0.2">
      <c r="C3346" s="198"/>
      <c r="D3346" s="198"/>
      <c r="E3346" s="537"/>
      <c r="G3346" s="198"/>
      <c r="H3346" s="123"/>
    </row>
    <row r="3347" spans="3:8" s="99" customFormat="1" x14ac:dyDescent="0.2">
      <c r="C3347" s="198"/>
      <c r="D3347" s="198"/>
      <c r="E3347" s="537"/>
      <c r="G3347" s="198"/>
      <c r="H3347" s="123"/>
    </row>
    <row r="3348" spans="3:8" s="99" customFormat="1" x14ac:dyDescent="0.2">
      <c r="C3348" s="198"/>
      <c r="D3348" s="198"/>
      <c r="E3348" s="537"/>
      <c r="G3348" s="198"/>
      <c r="H3348" s="123"/>
    </row>
    <row r="3349" spans="3:8" s="99" customFormat="1" x14ac:dyDescent="0.2">
      <c r="C3349" s="198"/>
      <c r="D3349" s="198"/>
      <c r="E3349" s="537"/>
      <c r="G3349" s="198"/>
      <c r="H3349" s="123"/>
    </row>
    <row r="3350" spans="3:8" s="99" customFormat="1" x14ac:dyDescent="0.2">
      <c r="C3350" s="198"/>
      <c r="D3350" s="198"/>
      <c r="E3350" s="537"/>
      <c r="G3350" s="198"/>
      <c r="H3350" s="123"/>
    </row>
    <row r="3351" spans="3:8" s="99" customFormat="1" x14ac:dyDescent="0.2">
      <c r="C3351" s="198"/>
      <c r="D3351" s="198"/>
      <c r="E3351" s="537"/>
      <c r="G3351" s="198"/>
      <c r="H3351" s="123"/>
    </row>
    <row r="3352" spans="3:8" s="99" customFormat="1" x14ac:dyDescent="0.2">
      <c r="C3352" s="198"/>
      <c r="D3352" s="198"/>
      <c r="E3352" s="537"/>
      <c r="G3352" s="198"/>
      <c r="H3352" s="123"/>
    </row>
    <row r="3353" spans="3:8" s="99" customFormat="1" x14ac:dyDescent="0.2">
      <c r="C3353" s="198"/>
      <c r="D3353" s="198"/>
      <c r="E3353" s="537"/>
      <c r="G3353" s="198"/>
      <c r="H3353" s="123"/>
    </row>
    <row r="3354" spans="3:8" s="99" customFormat="1" x14ac:dyDescent="0.2">
      <c r="C3354" s="198"/>
      <c r="D3354" s="198"/>
      <c r="E3354" s="537"/>
      <c r="G3354" s="198"/>
      <c r="H3354" s="123"/>
    </row>
    <row r="3355" spans="3:8" s="99" customFormat="1" x14ac:dyDescent="0.2">
      <c r="C3355" s="198"/>
      <c r="D3355" s="198"/>
      <c r="E3355" s="537"/>
      <c r="G3355" s="198"/>
      <c r="H3355" s="123"/>
    </row>
    <row r="3356" spans="3:8" s="99" customFormat="1" x14ac:dyDescent="0.2">
      <c r="C3356" s="198"/>
      <c r="D3356" s="198"/>
      <c r="E3356" s="537"/>
      <c r="G3356" s="198"/>
      <c r="H3356" s="123"/>
    </row>
    <row r="3357" spans="3:8" s="99" customFormat="1" x14ac:dyDescent="0.2">
      <c r="C3357" s="198"/>
      <c r="D3357" s="198"/>
      <c r="E3357" s="537"/>
      <c r="G3357" s="198"/>
      <c r="H3357" s="123"/>
    </row>
    <row r="3358" spans="3:8" s="99" customFormat="1" x14ac:dyDescent="0.2">
      <c r="C3358" s="198"/>
      <c r="D3358" s="198"/>
      <c r="E3358" s="537"/>
      <c r="G3358" s="198"/>
      <c r="H3358" s="123"/>
    </row>
    <row r="3359" spans="3:8" s="99" customFormat="1" x14ac:dyDescent="0.2">
      <c r="C3359" s="198"/>
      <c r="D3359" s="198"/>
      <c r="E3359" s="537"/>
      <c r="G3359" s="198"/>
      <c r="H3359" s="123"/>
    </row>
    <row r="3360" spans="3:8" s="99" customFormat="1" x14ac:dyDescent="0.2">
      <c r="C3360" s="198"/>
      <c r="D3360" s="198"/>
      <c r="E3360" s="537"/>
      <c r="G3360" s="198"/>
      <c r="H3360" s="123"/>
    </row>
    <row r="3361" spans="3:8" s="99" customFormat="1" x14ac:dyDescent="0.2">
      <c r="C3361" s="198"/>
      <c r="D3361" s="198"/>
      <c r="E3361" s="537"/>
      <c r="G3361" s="198"/>
      <c r="H3361" s="123"/>
    </row>
    <row r="3362" spans="3:8" s="99" customFormat="1" x14ac:dyDescent="0.2">
      <c r="C3362" s="198"/>
      <c r="D3362" s="198"/>
      <c r="E3362" s="537"/>
      <c r="G3362" s="198"/>
      <c r="H3362" s="123"/>
    </row>
    <row r="3363" spans="3:8" s="99" customFormat="1" x14ac:dyDescent="0.2">
      <c r="C3363" s="198"/>
      <c r="D3363" s="198"/>
      <c r="E3363" s="537"/>
      <c r="G3363" s="198"/>
      <c r="H3363" s="123"/>
    </row>
    <row r="3364" spans="3:8" s="99" customFormat="1" x14ac:dyDescent="0.2">
      <c r="C3364" s="198"/>
      <c r="D3364" s="198"/>
      <c r="E3364" s="537"/>
      <c r="G3364" s="198"/>
      <c r="H3364" s="123"/>
    </row>
    <row r="3365" spans="3:8" s="99" customFormat="1" x14ac:dyDescent="0.2">
      <c r="C3365" s="198"/>
      <c r="D3365" s="198"/>
      <c r="E3365" s="537"/>
      <c r="G3365" s="198"/>
      <c r="H3365" s="123"/>
    </row>
    <row r="3366" spans="3:8" s="99" customFormat="1" x14ac:dyDescent="0.2">
      <c r="C3366" s="198"/>
      <c r="D3366" s="198"/>
      <c r="E3366" s="537"/>
      <c r="G3366" s="198"/>
      <c r="H3366" s="123"/>
    </row>
    <row r="3367" spans="3:8" s="99" customFormat="1" x14ac:dyDescent="0.2">
      <c r="C3367" s="198"/>
      <c r="D3367" s="198"/>
      <c r="E3367" s="537"/>
      <c r="G3367" s="198"/>
      <c r="H3367" s="123"/>
    </row>
    <row r="3368" spans="3:8" s="99" customFormat="1" x14ac:dyDescent="0.2">
      <c r="C3368" s="198"/>
      <c r="D3368" s="198"/>
      <c r="E3368" s="537"/>
      <c r="G3368" s="198"/>
      <c r="H3368" s="123"/>
    </row>
    <row r="3369" spans="3:8" s="99" customFormat="1" x14ac:dyDescent="0.2">
      <c r="C3369" s="198"/>
      <c r="D3369" s="198"/>
      <c r="E3369" s="537"/>
      <c r="G3369" s="198"/>
      <c r="H3369" s="123"/>
    </row>
    <row r="3370" spans="3:8" s="99" customFormat="1" x14ac:dyDescent="0.2">
      <c r="C3370" s="198"/>
      <c r="D3370" s="198"/>
      <c r="E3370" s="537"/>
      <c r="G3370" s="198"/>
      <c r="H3370" s="123"/>
    </row>
    <row r="3371" spans="3:8" s="99" customFormat="1" x14ac:dyDescent="0.2">
      <c r="C3371" s="198"/>
      <c r="D3371" s="198"/>
      <c r="E3371" s="537"/>
      <c r="G3371" s="198"/>
      <c r="H3371" s="123"/>
    </row>
    <row r="3372" spans="3:8" s="99" customFormat="1" x14ac:dyDescent="0.2">
      <c r="C3372" s="198"/>
      <c r="D3372" s="198"/>
      <c r="E3372" s="537"/>
      <c r="G3372" s="198"/>
      <c r="H3372" s="123"/>
    </row>
    <row r="3373" spans="3:8" s="99" customFormat="1" x14ac:dyDescent="0.2">
      <c r="C3373" s="198"/>
      <c r="D3373" s="198"/>
      <c r="E3373" s="537"/>
      <c r="G3373" s="198"/>
      <c r="H3373" s="123"/>
    </row>
    <row r="3374" spans="3:8" s="99" customFormat="1" x14ac:dyDescent="0.2">
      <c r="C3374" s="198"/>
      <c r="D3374" s="198"/>
      <c r="E3374" s="537"/>
      <c r="G3374" s="198"/>
      <c r="H3374" s="123"/>
    </row>
    <row r="3375" spans="3:8" s="99" customFormat="1" x14ac:dyDescent="0.2">
      <c r="C3375" s="198"/>
      <c r="D3375" s="198"/>
      <c r="E3375" s="537"/>
      <c r="G3375" s="198"/>
      <c r="H3375" s="123"/>
    </row>
    <row r="3376" spans="3:8" s="99" customFormat="1" x14ac:dyDescent="0.2">
      <c r="C3376" s="198"/>
      <c r="D3376" s="198"/>
      <c r="E3376" s="537"/>
      <c r="G3376" s="198"/>
      <c r="H3376" s="123"/>
    </row>
    <row r="3377" spans="3:8" s="99" customFormat="1" x14ac:dyDescent="0.2">
      <c r="C3377" s="198"/>
      <c r="D3377" s="198"/>
      <c r="E3377" s="537"/>
      <c r="G3377" s="198"/>
      <c r="H3377" s="123"/>
    </row>
    <row r="3378" spans="3:8" s="99" customFormat="1" x14ac:dyDescent="0.2">
      <c r="C3378" s="198"/>
      <c r="D3378" s="198"/>
      <c r="E3378" s="537"/>
      <c r="G3378" s="198"/>
      <c r="H3378" s="123"/>
    </row>
    <row r="3379" spans="3:8" s="99" customFormat="1" x14ac:dyDescent="0.2">
      <c r="C3379" s="198"/>
      <c r="D3379" s="198"/>
      <c r="E3379" s="537"/>
      <c r="G3379" s="198"/>
      <c r="H3379" s="123"/>
    </row>
    <row r="3380" spans="3:8" s="99" customFormat="1" x14ac:dyDescent="0.2">
      <c r="C3380" s="198"/>
      <c r="D3380" s="198"/>
      <c r="E3380" s="537"/>
      <c r="G3380" s="198"/>
      <c r="H3380" s="123"/>
    </row>
    <row r="3381" spans="3:8" s="99" customFormat="1" x14ac:dyDescent="0.2">
      <c r="C3381" s="198"/>
      <c r="D3381" s="198"/>
      <c r="E3381" s="537"/>
      <c r="G3381" s="198"/>
      <c r="H3381" s="123"/>
    </row>
    <row r="3382" spans="3:8" s="99" customFormat="1" x14ac:dyDescent="0.2">
      <c r="C3382" s="198"/>
      <c r="D3382" s="198"/>
      <c r="E3382" s="537"/>
      <c r="G3382" s="198"/>
      <c r="H3382" s="123"/>
    </row>
    <row r="3383" spans="3:8" s="99" customFormat="1" x14ac:dyDescent="0.2">
      <c r="C3383" s="198"/>
      <c r="D3383" s="198"/>
      <c r="E3383" s="537"/>
      <c r="G3383" s="198"/>
      <c r="H3383" s="123"/>
    </row>
    <row r="3384" spans="3:8" s="99" customFormat="1" x14ac:dyDescent="0.2">
      <c r="C3384" s="198"/>
      <c r="D3384" s="198"/>
      <c r="E3384" s="537"/>
      <c r="G3384" s="198"/>
      <c r="H3384" s="123"/>
    </row>
    <row r="3385" spans="3:8" s="99" customFormat="1" x14ac:dyDescent="0.2">
      <c r="C3385" s="198"/>
      <c r="D3385" s="198"/>
      <c r="E3385" s="537"/>
      <c r="G3385" s="198"/>
      <c r="H3385" s="123"/>
    </row>
    <row r="3386" spans="3:8" s="99" customFormat="1" x14ac:dyDescent="0.2">
      <c r="C3386" s="198"/>
      <c r="D3386" s="198"/>
      <c r="E3386" s="537"/>
      <c r="G3386" s="198"/>
      <c r="H3386" s="123"/>
    </row>
    <row r="3387" spans="3:8" s="99" customFormat="1" x14ac:dyDescent="0.2">
      <c r="C3387" s="198"/>
      <c r="D3387" s="198"/>
      <c r="E3387" s="537"/>
      <c r="G3387" s="198"/>
      <c r="H3387" s="123"/>
    </row>
    <row r="3388" spans="3:8" s="99" customFormat="1" x14ac:dyDescent="0.2">
      <c r="C3388" s="198"/>
      <c r="D3388" s="198"/>
      <c r="E3388" s="537"/>
      <c r="G3388" s="198"/>
      <c r="H3388" s="123"/>
    </row>
    <row r="3389" spans="3:8" s="99" customFormat="1" x14ac:dyDescent="0.2">
      <c r="C3389" s="198"/>
      <c r="D3389" s="198"/>
      <c r="E3389" s="537"/>
      <c r="G3389" s="198"/>
      <c r="H3389" s="123"/>
    </row>
    <row r="3390" spans="3:8" s="99" customFormat="1" x14ac:dyDescent="0.2">
      <c r="C3390" s="198"/>
      <c r="D3390" s="198"/>
      <c r="E3390" s="537"/>
      <c r="G3390" s="198"/>
      <c r="H3390" s="123"/>
    </row>
    <row r="3391" spans="3:8" s="99" customFormat="1" x14ac:dyDescent="0.2">
      <c r="C3391" s="198"/>
      <c r="D3391" s="198"/>
      <c r="E3391" s="537"/>
      <c r="G3391" s="198"/>
      <c r="H3391" s="123"/>
    </row>
    <row r="3392" spans="3:8" s="99" customFormat="1" x14ac:dyDescent="0.2">
      <c r="C3392" s="198"/>
      <c r="D3392" s="198"/>
      <c r="E3392" s="537"/>
      <c r="G3392" s="198"/>
      <c r="H3392" s="123"/>
    </row>
    <row r="3393" spans="3:8" s="99" customFormat="1" x14ac:dyDescent="0.2">
      <c r="C3393" s="198"/>
      <c r="D3393" s="198"/>
      <c r="E3393" s="537"/>
      <c r="G3393" s="198"/>
      <c r="H3393" s="123"/>
    </row>
    <row r="3394" spans="3:8" s="99" customFormat="1" x14ac:dyDescent="0.2">
      <c r="C3394" s="198"/>
      <c r="D3394" s="198"/>
      <c r="E3394" s="537"/>
      <c r="G3394" s="198"/>
      <c r="H3394" s="123"/>
    </row>
    <row r="3395" spans="3:8" s="99" customFormat="1" x14ac:dyDescent="0.2">
      <c r="C3395" s="198"/>
      <c r="D3395" s="198"/>
      <c r="E3395" s="537"/>
      <c r="G3395" s="198"/>
      <c r="H3395" s="123"/>
    </row>
    <row r="3396" spans="3:8" s="99" customFormat="1" x14ac:dyDescent="0.2">
      <c r="C3396" s="198"/>
      <c r="D3396" s="198"/>
      <c r="E3396" s="537"/>
      <c r="G3396" s="198"/>
      <c r="H3396" s="123"/>
    </row>
    <row r="3397" spans="3:8" s="99" customFormat="1" x14ac:dyDescent="0.2">
      <c r="C3397" s="198"/>
      <c r="D3397" s="198"/>
      <c r="E3397" s="537"/>
      <c r="G3397" s="198"/>
      <c r="H3397" s="123"/>
    </row>
    <row r="3398" spans="3:8" s="99" customFormat="1" x14ac:dyDescent="0.2">
      <c r="C3398" s="198"/>
      <c r="D3398" s="198"/>
      <c r="E3398" s="537"/>
      <c r="G3398" s="198"/>
      <c r="H3398" s="123"/>
    </row>
    <row r="3399" spans="3:8" s="99" customFormat="1" x14ac:dyDescent="0.2">
      <c r="C3399" s="198"/>
      <c r="D3399" s="198"/>
      <c r="E3399" s="537"/>
      <c r="G3399" s="198"/>
      <c r="H3399" s="123"/>
    </row>
    <row r="3400" spans="3:8" s="99" customFormat="1" x14ac:dyDescent="0.2">
      <c r="C3400" s="198"/>
      <c r="D3400" s="198"/>
      <c r="E3400" s="537"/>
      <c r="G3400" s="198"/>
      <c r="H3400" s="123"/>
    </row>
    <row r="3401" spans="3:8" s="99" customFormat="1" x14ac:dyDescent="0.2">
      <c r="C3401" s="198"/>
      <c r="D3401" s="198"/>
      <c r="E3401" s="537"/>
      <c r="G3401" s="198"/>
      <c r="H3401" s="123"/>
    </row>
    <row r="3402" spans="3:8" s="99" customFormat="1" x14ac:dyDescent="0.2">
      <c r="C3402" s="198"/>
      <c r="D3402" s="198"/>
      <c r="E3402" s="537"/>
      <c r="G3402" s="198"/>
      <c r="H3402" s="123"/>
    </row>
    <row r="3403" spans="3:8" s="99" customFormat="1" x14ac:dyDescent="0.2">
      <c r="C3403" s="198"/>
      <c r="D3403" s="198"/>
      <c r="E3403" s="537"/>
      <c r="G3403" s="198"/>
      <c r="H3403" s="123"/>
    </row>
    <row r="3404" spans="3:8" s="99" customFormat="1" x14ac:dyDescent="0.2">
      <c r="C3404" s="198"/>
      <c r="D3404" s="198"/>
      <c r="E3404" s="537"/>
      <c r="G3404" s="198"/>
      <c r="H3404" s="123"/>
    </row>
    <row r="3405" spans="3:8" s="99" customFormat="1" x14ac:dyDescent="0.2">
      <c r="C3405" s="198"/>
      <c r="D3405" s="198"/>
      <c r="E3405" s="537"/>
      <c r="G3405" s="198"/>
      <c r="H3405" s="123"/>
    </row>
    <row r="3406" spans="3:8" s="99" customFormat="1" x14ac:dyDescent="0.2">
      <c r="C3406" s="198"/>
      <c r="D3406" s="198"/>
      <c r="E3406" s="537"/>
      <c r="G3406" s="198"/>
      <c r="H3406" s="123"/>
    </row>
    <row r="3407" spans="3:8" s="99" customFormat="1" x14ac:dyDescent="0.2">
      <c r="C3407" s="198"/>
      <c r="D3407" s="198"/>
      <c r="E3407" s="537"/>
      <c r="G3407" s="198"/>
      <c r="H3407" s="123"/>
    </row>
    <row r="3408" spans="3:8" s="99" customFormat="1" x14ac:dyDescent="0.2">
      <c r="C3408" s="198"/>
      <c r="D3408" s="198"/>
      <c r="E3408" s="537"/>
      <c r="G3408" s="198"/>
      <c r="H3408" s="123"/>
    </row>
    <row r="3409" spans="3:8" s="99" customFormat="1" x14ac:dyDescent="0.2">
      <c r="C3409" s="198"/>
      <c r="D3409" s="198"/>
      <c r="E3409" s="537"/>
      <c r="G3409" s="198"/>
      <c r="H3409" s="123"/>
    </row>
    <row r="3410" spans="3:8" s="99" customFormat="1" x14ac:dyDescent="0.2">
      <c r="C3410" s="198"/>
      <c r="D3410" s="198"/>
      <c r="E3410" s="537"/>
      <c r="G3410" s="198"/>
      <c r="H3410" s="123"/>
    </row>
    <row r="3411" spans="3:8" s="99" customFormat="1" x14ac:dyDescent="0.2">
      <c r="C3411" s="198"/>
      <c r="D3411" s="198"/>
      <c r="E3411" s="537"/>
      <c r="G3411" s="198"/>
      <c r="H3411" s="123"/>
    </row>
    <row r="3412" spans="3:8" s="99" customFormat="1" x14ac:dyDescent="0.2">
      <c r="C3412" s="198"/>
      <c r="D3412" s="198"/>
      <c r="E3412" s="537"/>
      <c r="G3412" s="198"/>
      <c r="H3412" s="123"/>
    </row>
    <row r="3413" spans="3:8" s="99" customFormat="1" x14ac:dyDescent="0.2">
      <c r="C3413" s="198"/>
      <c r="D3413" s="198"/>
      <c r="E3413" s="537"/>
      <c r="G3413" s="198"/>
      <c r="H3413" s="123"/>
    </row>
    <row r="3414" spans="3:8" s="99" customFormat="1" x14ac:dyDescent="0.2">
      <c r="C3414" s="198"/>
      <c r="D3414" s="198"/>
      <c r="E3414" s="537"/>
      <c r="G3414" s="198"/>
      <c r="H3414" s="123"/>
    </row>
    <row r="3415" spans="3:8" s="99" customFormat="1" x14ac:dyDescent="0.2">
      <c r="C3415" s="198"/>
      <c r="D3415" s="198"/>
      <c r="E3415" s="537"/>
      <c r="G3415" s="198"/>
      <c r="H3415" s="123"/>
    </row>
    <row r="3416" spans="3:8" s="99" customFormat="1" x14ac:dyDescent="0.2">
      <c r="C3416" s="198"/>
      <c r="D3416" s="198"/>
      <c r="E3416" s="537"/>
      <c r="G3416" s="198"/>
      <c r="H3416" s="123"/>
    </row>
    <row r="3417" spans="3:8" s="99" customFormat="1" x14ac:dyDescent="0.2">
      <c r="C3417" s="198"/>
      <c r="D3417" s="198"/>
      <c r="E3417" s="537"/>
      <c r="G3417" s="198"/>
      <c r="H3417" s="123"/>
    </row>
    <row r="3418" spans="3:8" s="99" customFormat="1" x14ac:dyDescent="0.2">
      <c r="C3418" s="198"/>
      <c r="D3418" s="198"/>
      <c r="E3418" s="537"/>
      <c r="G3418" s="198"/>
      <c r="H3418" s="123"/>
    </row>
    <row r="3419" spans="3:8" s="99" customFormat="1" x14ac:dyDescent="0.2">
      <c r="C3419" s="198"/>
      <c r="D3419" s="198"/>
      <c r="E3419" s="537"/>
      <c r="G3419" s="198"/>
      <c r="H3419" s="123"/>
    </row>
    <row r="3420" spans="3:8" s="99" customFormat="1" x14ac:dyDescent="0.2">
      <c r="C3420" s="198"/>
      <c r="D3420" s="198"/>
      <c r="E3420" s="537"/>
      <c r="G3420" s="198"/>
      <c r="H3420" s="123"/>
    </row>
    <row r="3421" spans="3:8" s="99" customFormat="1" x14ac:dyDescent="0.2">
      <c r="C3421" s="198"/>
      <c r="D3421" s="198"/>
      <c r="E3421" s="537"/>
      <c r="G3421" s="198"/>
      <c r="H3421" s="123"/>
    </row>
    <row r="3422" spans="3:8" s="99" customFormat="1" x14ac:dyDescent="0.2">
      <c r="C3422" s="198"/>
      <c r="D3422" s="198"/>
      <c r="E3422" s="537"/>
      <c r="G3422" s="198"/>
      <c r="H3422" s="123"/>
    </row>
    <row r="3423" spans="3:8" s="99" customFormat="1" x14ac:dyDescent="0.2">
      <c r="C3423" s="198"/>
      <c r="D3423" s="198"/>
      <c r="E3423" s="537"/>
      <c r="G3423" s="198"/>
      <c r="H3423" s="123"/>
    </row>
    <row r="3424" spans="3:8" s="99" customFormat="1" x14ac:dyDescent="0.2">
      <c r="C3424" s="198"/>
      <c r="D3424" s="198"/>
      <c r="E3424" s="537"/>
      <c r="G3424" s="198"/>
      <c r="H3424" s="123"/>
    </row>
    <row r="3425" spans="3:8" s="99" customFormat="1" x14ac:dyDescent="0.2">
      <c r="C3425" s="198"/>
      <c r="D3425" s="198"/>
      <c r="E3425" s="537"/>
      <c r="G3425" s="198"/>
      <c r="H3425" s="123"/>
    </row>
    <row r="3426" spans="3:8" s="99" customFormat="1" x14ac:dyDescent="0.2">
      <c r="C3426" s="198"/>
      <c r="D3426" s="198"/>
      <c r="E3426" s="537"/>
      <c r="G3426" s="198"/>
      <c r="H3426" s="123"/>
    </row>
    <row r="3427" spans="3:8" s="99" customFormat="1" x14ac:dyDescent="0.2">
      <c r="C3427" s="198"/>
      <c r="D3427" s="198"/>
      <c r="E3427" s="537"/>
      <c r="G3427" s="198"/>
      <c r="H3427" s="123"/>
    </row>
    <row r="3428" spans="3:8" s="99" customFormat="1" x14ac:dyDescent="0.2">
      <c r="C3428" s="198"/>
      <c r="D3428" s="198"/>
      <c r="E3428" s="537"/>
      <c r="G3428" s="198"/>
      <c r="H3428" s="123"/>
    </row>
    <row r="3429" spans="3:8" s="99" customFormat="1" x14ac:dyDescent="0.2">
      <c r="C3429" s="198"/>
      <c r="D3429" s="198"/>
      <c r="E3429" s="537"/>
      <c r="G3429" s="198"/>
      <c r="H3429" s="123"/>
    </row>
    <row r="3430" spans="3:8" s="99" customFormat="1" x14ac:dyDescent="0.2">
      <c r="C3430" s="198"/>
      <c r="D3430" s="198"/>
      <c r="E3430" s="537"/>
      <c r="G3430" s="198"/>
      <c r="H3430" s="123"/>
    </row>
    <row r="3431" spans="3:8" s="99" customFormat="1" x14ac:dyDescent="0.2">
      <c r="C3431" s="198"/>
      <c r="D3431" s="198"/>
      <c r="E3431" s="537"/>
      <c r="G3431" s="198"/>
      <c r="H3431" s="123"/>
    </row>
    <row r="3432" spans="3:8" s="99" customFormat="1" x14ac:dyDescent="0.2">
      <c r="C3432" s="198"/>
      <c r="D3432" s="198"/>
      <c r="E3432" s="537"/>
      <c r="G3432" s="198"/>
      <c r="H3432" s="123"/>
    </row>
    <row r="3433" spans="3:8" s="99" customFormat="1" x14ac:dyDescent="0.2">
      <c r="C3433" s="198"/>
      <c r="D3433" s="198"/>
      <c r="E3433" s="537"/>
      <c r="G3433" s="198"/>
      <c r="H3433" s="123"/>
    </row>
    <row r="3434" spans="3:8" s="99" customFormat="1" x14ac:dyDescent="0.2">
      <c r="C3434" s="198"/>
      <c r="D3434" s="198"/>
      <c r="E3434" s="537"/>
      <c r="G3434" s="198"/>
      <c r="H3434" s="123"/>
    </row>
    <row r="3435" spans="3:8" s="99" customFormat="1" x14ac:dyDescent="0.2">
      <c r="C3435" s="198"/>
      <c r="D3435" s="198"/>
      <c r="E3435" s="537"/>
      <c r="G3435" s="198"/>
      <c r="H3435" s="123"/>
    </row>
    <row r="3436" spans="3:8" s="99" customFormat="1" x14ac:dyDescent="0.2">
      <c r="C3436" s="198"/>
      <c r="D3436" s="198"/>
      <c r="E3436" s="537"/>
      <c r="G3436" s="198"/>
      <c r="H3436" s="123"/>
    </row>
    <row r="3437" spans="3:8" s="99" customFormat="1" x14ac:dyDescent="0.2">
      <c r="C3437" s="198"/>
      <c r="D3437" s="198"/>
      <c r="E3437" s="537"/>
      <c r="G3437" s="198"/>
      <c r="H3437" s="123"/>
    </row>
    <row r="3438" spans="3:8" s="99" customFormat="1" x14ac:dyDescent="0.2">
      <c r="C3438" s="198"/>
      <c r="D3438" s="198"/>
      <c r="E3438" s="537"/>
      <c r="G3438" s="198"/>
      <c r="H3438" s="123"/>
    </row>
    <row r="3439" spans="3:8" s="99" customFormat="1" x14ac:dyDescent="0.2">
      <c r="C3439" s="198"/>
      <c r="D3439" s="198"/>
      <c r="E3439" s="537"/>
      <c r="G3439" s="198"/>
      <c r="H3439" s="123"/>
    </row>
    <row r="3440" spans="3:8" s="99" customFormat="1" x14ac:dyDescent="0.2">
      <c r="C3440" s="198"/>
      <c r="D3440" s="198"/>
      <c r="E3440" s="537"/>
      <c r="G3440" s="198"/>
      <c r="H3440" s="123"/>
    </row>
    <row r="3441" spans="3:8" s="99" customFormat="1" x14ac:dyDescent="0.2">
      <c r="C3441" s="198"/>
      <c r="D3441" s="198"/>
      <c r="E3441" s="537"/>
      <c r="G3441" s="198"/>
      <c r="H3441" s="123"/>
    </row>
    <row r="3442" spans="3:8" s="99" customFormat="1" x14ac:dyDescent="0.2">
      <c r="C3442" s="198"/>
      <c r="D3442" s="198"/>
      <c r="E3442" s="537"/>
      <c r="G3442" s="198"/>
      <c r="H3442" s="123"/>
    </row>
    <row r="3443" spans="3:8" s="99" customFormat="1" x14ac:dyDescent="0.2">
      <c r="C3443" s="198"/>
      <c r="D3443" s="198"/>
      <c r="E3443" s="537"/>
      <c r="G3443" s="198"/>
      <c r="H3443" s="123"/>
    </row>
    <row r="3444" spans="3:8" s="99" customFormat="1" x14ac:dyDescent="0.2">
      <c r="C3444" s="198"/>
      <c r="D3444" s="198"/>
      <c r="E3444" s="537"/>
      <c r="G3444" s="198"/>
      <c r="H3444" s="123"/>
    </row>
    <row r="3445" spans="3:8" s="99" customFormat="1" x14ac:dyDescent="0.2">
      <c r="C3445" s="198"/>
      <c r="D3445" s="198"/>
      <c r="E3445" s="537"/>
      <c r="G3445" s="198"/>
      <c r="H3445" s="123"/>
    </row>
    <row r="3446" spans="3:8" s="99" customFormat="1" x14ac:dyDescent="0.2">
      <c r="C3446" s="198"/>
      <c r="D3446" s="198"/>
      <c r="E3446" s="537"/>
      <c r="G3446" s="198"/>
      <c r="H3446" s="123"/>
    </row>
    <row r="3447" spans="3:8" s="99" customFormat="1" x14ac:dyDescent="0.2">
      <c r="C3447" s="198"/>
      <c r="D3447" s="198"/>
      <c r="E3447" s="537"/>
      <c r="G3447" s="198"/>
      <c r="H3447" s="123"/>
    </row>
    <row r="3448" spans="3:8" s="99" customFormat="1" x14ac:dyDescent="0.2">
      <c r="C3448" s="198"/>
      <c r="D3448" s="198"/>
      <c r="E3448" s="537"/>
      <c r="G3448" s="198"/>
      <c r="H3448" s="123"/>
    </row>
    <row r="3449" spans="3:8" s="99" customFormat="1" x14ac:dyDescent="0.2">
      <c r="C3449" s="198"/>
      <c r="D3449" s="198"/>
      <c r="E3449" s="537"/>
      <c r="G3449" s="198"/>
      <c r="H3449" s="123"/>
    </row>
    <row r="3450" spans="3:8" s="99" customFormat="1" x14ac:dyDescent="0.2">
      <c r="C3450" s="198"/>
      <c r="D3450" s="198"/>
      <c r="E3450" s="537"/>
      <c r="G3450" s="198"/>
      <c r="H3450" s="123"/>
    </row>
    <row r="3451" spans="3:8" s="99" customFormat="1" x14ac:dyDescent="0.2">
      <c r="C3451" s="198"/>
      <c r="D3451" s="198"/>
      <c r="E3451" s="537"/>
      <c r="G3451" s="198"/>
      <c r="H3451" s="123"/>
    </row>
    <row r="3452" spans="3:8" s="99" customFormat="1" x14ac:dyDescent="0.2">
      <c r="C3452" s="198"/>
      <c r="D3452" s="198"/>
      <c r="E3452" s="537"/>
      <c r="G3452" s="198"/>
      <c r="H3452" s="123"/>
    </row>
    <row r="3453" spans="3:8" s="99" customFormat="1" x14ac:dyDescent="0.2">
      <c r="C3453" s="198"/>
      <c r="D3453" s="198"/>
      <c r="E3453" s="537"/>
      <c r="G3453" s="198"/>
      <c r="H3453" s="123"/>
    </row>
    <row r="3454" spans="3:8" s="99" customFormat="1" x14ac:dyDescent="0.2">
      <c r="C3454" s="198"/>
      <c r="D3454" s="198"/>
      <c r="E3454" s="537"/>
      <c r="G3454" s="198"/>
      <c r="H3454" s="123"/>
    </row>
    <row r="3455" spans="3:8" s="99" customFormat="1" x14ac:dyDescent="0.2">
      <c r="C3455" s="198"/>
      <c r="D3455" s="198"/>
      <c r="E3455" s="537"/>
      <c r="G3455" s="198"/>
      <c r="H3455" s="123"/>
    </row>
    <row r="3456" spans="3:8" s="99" customFormat="1" x14ac:dyDescent="0.2">
      <c r="C3456" s="198"/>
      <c r="D3456" s="198"/>
      <c r="E3456" s="537"/>
      <c r="G3456" s="198"/>
      <c r="H3456" s="123"/>
    </row>
    <row r="3457" spans="3:8" s="99" customFormat="1" x14ac:dyDescent="0.2">
      <c r="C3457" s="198"/>
      <c r="D3457" s="198"/>
      <c r="E3457" s="537"/>
      <c r="G3457" s="198"/>
      <c r="H3457" s="123"/>
    </row>
    <row r="3458" spans="3:8" s="99" customFormat="1" x14ac:dyDescent="0.2">
      <c r="C3458" s="198"/>
      <c r="D3458" s="198"/>
      <c r="E3458" s="537"/>
      <c r="G3458" s="198"/>
      <c r="H3458" s="123"/>
    </row>
    <row r="3459" spans="3:8" s="99" customFormat="1" x14ac:dyDescent="0.2">
      <c r="C3459" s="198"/>
      <c r="D3459" s="198"/>
      <c r="E3459" s="537"/>
      <c r="G3459" s="198"/>
      <c r="H3459" s="123"/>
    </row>
    <row r="3460" spans="3:8" s="99" customFormat="1" x14ac:dyDescent="0.2">
      <c r="C3460" s="198"/>
      <c r="D3460" s="198"/>
      <c r="E3460" s="537"/>
      <c r="G3460" s="198"/>
      <c r="H3460" s="123"/>
    </row>
    <row r="3461" spans="3:8" s="99" customFormat="1" x14ac:dyDescent="0.2">
      <c r="C3461" s="198"/>
      <c r="D3461" s="198"/>
      <c r="E3461" s="537"/>
      <c r="G3461" s="198"/>
      <c r="H3461" s="123"/>
    </row>
    <row r="3462" spans="3:8" s="99" customFormat="1" x14ac:dyDescent="0.2">
      <c r="C3462" s="198"/>
      <c r="D3462" s="198"/>
      <c r="E3462" s="537"/>
      <c r="G3462" s="198"/>
      <c r="H3462" s="123"/>
    </row>
    <row r="3463" spans="3:8" s="99" customFormat="1" x14ac:dyDescent="0.2">
      <c r="C3463" s="198"/>
      <c r="D3463" s="198"/>
      <c r="E3463" s="537"/>
      <c r="G3463" s="198"/>
      <c r="H3463" s="123"/>
    </row>
    <row r="3464" spans="3:8" s="99" customFormat="1" x14ac:dyDescent="0.2">
      <c r="C3464" s="198"/>
      <c r="D3464" s="198"/>
      <c r="E3464" s="537"/>
      <c r="G3464" s="198"/>
      <c r="H3464" s="123"/>
    </row>
    <row r="3465" spans="3:8" s="99" customFormat="1" x14ac:dyDescent="0.2">
      <c r="C3465" s="198"/>
      <c r="D3465" s="198"/>
      <c r="E3465" s="537"/>
      <c r="G3465" s="198"/>
      <c r="H3465" s="123"/>
    </row>
    <row r="3466" spans="3:8" s="99" customFormat="1" x14ac:dyDescent="0.2">
      <c r="C3466" s="198"/>
      <c r="D3466" s="198"/>
      <c r="E3466" s="537"/>
      <c r="G3466" s="198"/>
      <c r="H3466" s="123"/>
    </row>
    <row r="3467" spans="3:8" s="99" customFormat="1" x14ac:dyDescent="0.2">
      <c r="C3467" s="198"/>
      <c r="D3467" s="198"/>
      <c r="E3467" s="537"/>
      <c r="G3467" s="198"/>
      <c r="H3467" s="123"/>
    </row>
    <row r="3468" spans="3:8" s="99" customFormat="1" x14ac:dyDescent="0.2">
      <c r="C3468" s="198"/>
      <c r="D3468" s="198"/>
      <c r="E3468" s="537"/>
      <c r="G3468" s="198"/>
      <c r="H3468" s="123"/>
    </row>
    <row r="3469" spans="3:8" s="99" customFormat="1" x14ac:dyDescent="0.2">
      <c r="C3469" s="198"/>
      <c r="D3469" s="198"/>
      <c r="E3469" s="537"/>
      <c r="G3469" s="198"/>
      <c r="H3469" s="123"/>
    </row>
    <row r="3470" spans="3:8" s="99" customFormat="1" x14ac:dyDescent="0.2">
      <c r="C3470" s="198"/>
      <c r="D3470" s="198"/>
      <c r="E3470" s="537"/>
      <c r="G3470" s="198"/>
      <c r="H3470" s="123"/>
    </row>
    <row r="3471" spans="3:8" s="99" customFormat="1" x14ac:dyDescent="0.2">
      <c r="C3471" s="198"/>
      <c r="D3471" s="198"/>
      <c r="E3471" s="537"/>
      <c r="G3471" s="198"/>
      <c r="H3471" s="123"/>
    </row>
    <row r="3472" spans="3:8" s="99" customFormat="1" x14ac:dyDescent="0.2">
      <c r="C3472" s="198"/>
      <c r="D3472" s="198"/>
      <c r="E3472" s="537"/>
      <c r="G3472" s="198"/>
      <c r="H3472" s="123"/>
    </row>
    <row r="3473" spans="3:8" s="99" customFormat="1" x14ac:dyDescent="0.2">
      <c r="C3473" s="198"/>
      <c r="D3473" s="198"/>
      <c r="E3473" s="537"/>
      <c r="G3473" s="198"/>
      <c r="H3473" s="123"/>
    </row>
    <row r="3474" spans="3:8" s="99" customFormat="1" x14ac:dyDescent="0.2">
      <c r="C3474" s="198"/>
      <c r="D3474" s="198"/>
      <c r="E3474" s="537"/>
      <c r="G3474" s="198"/>
      <c r="H3474" s="123"/>
    </row>
    <row r="3475" spans="3:8" s="99" customFormat="1" x14ac:dyDescent="0.2">
      <c r="C3475" s="198"/>
      <c r="D3475" s="198"/>
      <c r="E3475" s="537"/>
      <c r="G3475" s="198"/>
      <c r="H3475" s="123"/>
    </row>
    <row r="3476" spans="3:8" s="99" customFormat="1" x14ac:dyDescent="0.2">
      <c r="C3476" s="198"/>
      <c r="D3476" s="198"/>
      <c r="E3476" s="537"/>
      <c r="G3476" s="198"/>
      <c r="H3476" s="123"/>
    </row>
    <row r="3477" spans="3:8" s="99" customFormat="1" x14ac:dyDescent="0.2">
      <c r="C3477" s="198"/>
      <c r="D3477" s="198"/>
      <c r="E3477" s="537"/>
      <c r="G3477" s="198"/>
      <c r="H3477" s="123"/>
    </row>
    <row r="3478" spans="3:8" s="99" customFormat="1" x14ac:dyDescent="0.2">
      <c r="C3478" s="198"/>
      <c r="D3478" s="198"/>
      <c r="E3478" s="537"/>
      <c r="G3478" s="198"/>
      <c r="H3478" s="123"/>
    </row>
    <row r="3479" spans="3:8" s="99" customFormat="1" x14ac:dyDescent="0.2">
      <c r="C3479" s="198"/>
      <c r="D3479" s="198"/>
      <c r="E3479" s="537"/>
      <c r="G3479" s="198"/>
      <c r="H3479" s="123"/>
    </row>
    <row r="3480" spans="3:8" s="99" customFormat="1" x14ac:dyDescent="0.2">
      <c r="C3480" s="198"/>
      <c r="D3480" s="198"/>
      <c r="E3480" s="537"/>
      <c r="G3480" s="198"/>
      <c r="H3480" s="123"/>
    </row>
    <row r="3481" spans="3:8" s="99" customFormat="1" x14ac:dyDescent="0.2">
      <c r="C3481" s="198"/>
      <c r="D3481" s="198"/>
      <c r="E3481" s="537"/>
      <c r="G3481" s="198"/>
      <c r="H3481" s="123"/>
    </row>
    <row r="3482" spans="3:8" s="99" customFormat="1" x14ac:dyDescent="0.2">
      <c r="C3482" s="198"/>
      <c r="D3482" s="198"/>
      <c r="E3482" s="537"/>
      <c r="G3482" s="198"/>
      <c r="H3482" s="123"/>
    </row>
    <row r="3483" spans="3:8" s="99" customFormat="1" x14ac:dyDescent="0.2">
      <c r="C3483" s="198"/>
      <c r="D3483" s="198"/>
      <c r="E3483" s="537"/>
      <c r="G3483" s="198"/>
      <c r="H3483" s="123"/>
    </row>
    <row r="3484" spans="3:8" s="99" customFormat="1" x14ac:dyDescent="0.2">
      <c r="C3484" s="198"/>
      <c r="D3484" s="198"/>
      <c r="E3484" s="537"/>
      <c r="G3484" s="198"/>
      <c r="H3484" s="123"/>
    </row>
    <row r="3485" spans="3:8" s="99" customFormat="1" x14ac:dyDescent="0.2">
      <c r="C3485" s="198"/>
      <c r="D3485" s="198"/>
      <c r="E3485" s="537"/>
      <c r="G3485" s="198"/>
      <c r="H3485" s="123"/>
    </row>
    <row r="3486" spans="3:8" s="99" customFormat="1" x14ac:dyDescent="0.2">
      <c r="C3486" s="198"/>
      <c r="D3486" s="198"/>
      <c r="E3486" s="537"/>
      <c r="G3486" s="198"/>
      <c r="H3486" s="123"/>
    </row>
    <row r="3487" spans="3:8" s="99" customFormat="1" x14ac:dyDescent="0.2">
      <c r="C3487" s="198"/>
      <c r="D3487" s="198"/>
      <c r="E3487" s="537"/>
      <c r="G3487" s="198"/>
      <c r="H3487" s="123"/>
    </row>
    <row r="3488" spans="3:8" s="99" customFormat="1" x14ac:dyDescent="0.2">
      <c r="C3488" s="198"/>
      <c r="D3488" s="198"/>
      <c r="E3488" s="537"/>
      <c r="G3488" s="198"/>
      <c r="H3488" s="123"/>
    </row>
    <row r="3489" spans="3:8" s="99" customFormat="1" x14ac:dyDescent="0.2">
      <c r="C3489" s="198"/>
      <c r="D3489" s="198"/>
      <c r="E3489" s="537"/>
      <c r="G3489" s="198"/>
      <c r="H3489" s="123"/>
    </row>
    <row r="3490" spans="3:8" s="99" customFormat="1" x14ac:dyDescent="0.2">
      <c r="C3490" s="198"/>
      <c r="D3490" s="198"/>
      <c r="E3490" s="537"/>
      <c r="G3490" s="198"/>
      <c r="H3490" s="123"/>
    </row>
    <row r="3491" spans="3:8" s="99" customFormat="1" x14ac:dyDescent="0.2">
      <c r="C3491" s="198"/>
      <c r="D3491" s="198"/>
      <c r="E3491" s="537"/>
      <c r="G3491" s="198"/>
      <c r="H3491" s="123"/>
    </row>
    <row r="3492" spans="3:8" s="99" customFormat="1" x14ac:dyDescent="0.2">
      <c r="C3492" s="198"/>
      <c r="D3492" s="198"/>
      <c r="E3492" s="537"/>
      <c r="G3492" s="198"/>
      <c r="H3492" s="123"/>
    </row>
    <row r="3493" spans="3:8" s="99" customFormat="1" x14ac:dyDescent="0.2">
      <c r="C3493" s="198"/>
      <c r="D3493" s="198"/>
      <c r="E3493" s="537"/>
      <c r="G3493" s="198"/>
      <c r="H3493" s="123"/>
    </row>
    <row r="3494" spans="3:8" s="99" customFormat="1" x14ac:dyDescent="0.2">
      <c r="C3494" s="198"/>
      <c r="D3494" s="198"/>
      <c r="E3494" s="537"/>
      <c r="G3494" s="198"/>
      <c r="H3494" s="123"/>
    </row>
    <row r="3495" spans="3:8" s="99" customFormat="1" x14ac:dyDescent="0.2">
      <c r="C3495" s="198"/>
      <c r="D3495" s="198"/>
      <c r="E3495" s="537"/>
      <c r="G3495" s="198"/>
      <c r="H3495" s="123"/>
    </row>
    <row r="3496" spans="3:8" s="99" customFormat="1" x14ac:dyDescent="0.2">
      <c r="C3496" s="198"/>
      <c r="D3496" s="198"/>
      <c r="E3496" s="537"/>
      <c r="G3496" s="198"/>
      <c r="H3496" s="123"/>
    </row>
    <row r="3497" spans="3:8" s="99" customFormat="1" x14ac:dyDescent="0.2">
      <c r="C3497" s="198"/>
      <c r="D3497" s="198"/>
      <c r="E3497" s="537"/>
      <c r="G3497" s="198"/>
      <c r="H3497" s="123"/>
    </row>
    <row r="3498" spans="3:8" s="99" customFormat="1" x14ac:dyDescent="0.2">
      <c r="C3498" s="198"/>
      <c r="D3498" s="198"/>
      <c r="E3498" s="537"/>
      <c r="G3498" s="198"/>
      <c r="H3498" s="123"/>
    </row>
    <row r="3499" spans="3:8" s="99" customFormat="1" x14ac:dyDescent="0.2">
      <c r="C3499" s="198"/>
      <c r="D3499" s="198"/>
      <c r="E3499" s="537"/>
      <c r="G3499" s="198"/>
      <c r="H3499" s="123"/>
    </row>
    <row r="3500" spans="3:8" s="99" customFormat="1" x14ac:dyDescent="0.2">
      <c r="C3500" s="198"/>
      <c r="D3500" s="198"/>
      <c r="E3500" s="537"/>
      <c r="G3500" s="198"/>
      <c r="H3500" s="123"/>
    </row>
    <row r="3501" spans="3:8" s="99" customFormat="1" x14ac:dyDescent="0.2">
      <c r="C3501" s="198"/>
      <c r="D3501" s="198"/>
      <c r="E3501" s="537"/>
      <c r="G3501" s="198"/>
      <c r="H3501" s="123"/>
    </row>
    <row r="3502" spans="3:8" s="99" customFormat="1" x14ac:dyDescent="0.2">
      <c r="C3502" s="198"/>
      <c r="D3502" s="198"/>
      <c r="E3502" s="537"/>
      <c r="G3502" s="198"/>
      <c r="H3502" s="123"/>
    </row>
    <row r="3503" spans="3:8" s="99" customFormat="1" x14ac:dyDescent="0.2">
      <c r="C3503" s="198"/>
      <c r="D3503" s="198"/>
      <c r="E3503" s="537"/>
      <c r="G3503" s="198"/>
      <c r="H3503" s="123"/>
    </row>
    <row r="3504" spans="3:8" s="99" customFormat="1" x14ac:dyDescent="0.2">
      <c r="C3504" s="198"/>
      <c r="D3504" s="198"/>
      <c r="E3504" s="537"/>
      <c r="G3504" s="198"/>
      <c r="H3504" s="123"/>
    </row>
    <row r="3505" spans="3:8" s="99" customFormat="1" x14ac:dyDescent="0.2">
      <c r="C3505" s="198"/>
      <c r="D3505" s="198"/>
      <c r="E3505" s="537"/>
      <c r="G3505" s="198"/>
      <c r="H3505" s="123"/>
    </row>
    <row r="3506" spans="3:8" s="99" customFormat="1" x14ac:dyDescent="0.2">
      <c r="C3506" s="198"/>
      <c r="D3506" s="198"/>
      <c r="E3506" s="537"/>
      <c r="G3506" s="198"/>
      <c r="H3506" s="123"/>
    </row>
    <row r="3507" spans="3:8" s="99" customFormat="1" x14ac:dyDescent="0.2">
      <c r="C3507" s="198"/>
      <c r="D3507" s="198"/>
      <c r="E3507" s="537"/>
      <c r="G3507" s="198"/>
      <c r="H3507" s="123"/>
    </row>
    <row r="3508" spans="3:8" s="99" customFormat="1" x14ac:dyDescent="0.2">
      <c r="C3508" s="198"/>
      <c r="D3508" s="198"/>
      <c r="E3508" s="537"/>
      <c r="G3508" s="198"/>
      <c r="H3508" s="123"/>
    </row>
    <row r="3509" spans="3:8" s="99" customFormat="1" x14ac:dyDescent="0.2">
      <c r="C3509" s="198"/>
      <c r="D3509" s="198"/>
      <c r="E3509" s="537"/>
      <c r="G3509" s="198"/>
      <c r="H3509" s="123"/>
    </row>
    <row r="3510" spans="3:8" s="99" customFormat="1" x14ac:dyDescent="0.2">
      <c r="C3510" s="198"/>
      <c r="D3510" s="198"/>
      <c r="E3510" s="537"/>
      <c r="G3510" s="198"/>
      <c r="H3510" s="123"/>
    </row>
    <row r="3511" spans="3:8" s="99" customFormat="1" x14ac:dyDescent="0.2">
      <c r="C3511" s="198"/>
      <c r="D3511" s="198"/>
      <c r="E3511" s="537"/>
      <c r="G3511" s="198"/>
      <c r="H3511" s="123"/>
    </row>
    <row r="3512" spans="3:8" s="99" customFormat="1" x14ac:dyDescent="0.2">
      <c r="C3512" s="198"/>
      <c r="D3512" s="198"/>
      <c r="E3512" s="537"/>
      <c r="G3512" s="198"/>
      <c r="H3512" s="123"/>
    </row>
    <row r="3513" spans="3:8" s="99" customFormat="1" x14ac:dyDescent="0.2">
      <c r="C3513" s="198"/>
      <c r="D3513" s="198"/>
      <c r="E3513" s="537"/>
      <c r="G3513" s="198"/>
      <c r="H3513" s="123"/>
    </row>
    <row r="3514" spans="3:8" s="99" customFormat="1" x14ac:dyDescent="0.2">
      <c r="C3514" s="198"/>
      <c r="D3514" s="198"/>
      <c r="E3514" s="537"/>
      <c r="G3514" s="198"/>
      <c r="H3514" s="123"/>
    </row>
    <row r="3515" spans="3:8" s="99" customFormat="1" x14ac:dyDescent="0.2">
      <c r="C3515" s="198"/>
      <c r="D3515" s="198"/>
      <c r="E3515" s="537"/>
      <c r="G3515" s="198"/>
      <c r="H3515" s="123"/>
    </row>
    <row r="3516" spans="3:8" s="99" customFormat="1" x14ac:dyDescent="0.2">
      <c r="C3516" s="198"/>
      <c r="D3516" s="198"/>
      <c r="E3516" s="537"/>
      <c r="G3516" s="198"/>
      <c r="H3516" s="123"/>
    </row>
    <row r="3517" spans="3:8" s="99" customFormat="1" x14ac:dyDescent="0.2">
      <c r="C3517" s="198"/>
      <c r="D3517" s="198"/>
      <c r="E3517" s="537"/>
      <c r="G3517" s="198"/>
      <c r="H3517" s="123"/>
    </row>
    <row r="3518" spans="3:8" s="99" customFormat="1" x14ac:dyDescent="0.2">
      <c r="C3518" s="198"/>
      <c r="D3518" s="198"/>
      <c r="E3518" s="537"/>
      <c r="G3518" s="198"/>
      <c r="H3518" s="123"/>
    </row>
    <row r="3519" spans="3:8" s="99" customFormat="1" x14ac:dyDescent="0.2">
      <c r="C3519" s="198"/>
      <c r="D3519" s="198"/>
      <c r="E3519" s="537"/>
      <c r="G3519" s="198"/>
      <c r="H3519" s="123"/>
    </row>
    <row r="3520" spans="3:8" s="99" customFormat="1" x14ac:dyDescent="0.2">
      <c r="C3520" s="198"/>
      <c r="D3520" s="198"/>
      <c r="E3520" s="537"/>
      <c r="G3520" s="198"/>
      <c r="H3520" s="123"/>
    </row>
    <row r="3521" spans="3:8" s="99" customFormat="1" x14ac:dyDescent="0.2">
      <c r="C3521" s="198"/>
      <c r="D3521" s="198"/>
      <c r="E3521" s="537"/>
      <c r="G3521" s="198"/>
      <c r="H3521" s="123"/>
    </row>
    <row r="3522" spans="3:8" s="99" customFormat="1" x14ac:dyDescent="0.2">
      <c r="C3522" s="198"/>
      <c r="D3522" s="198"/>
      <c r="E3522" s="537"/>
      <c r="G3522" s="198"/>
      <c r="H3522" s="123"/>
    </row>
    <row r="3523" spans="3:8" s="99" customFormat="1" x14ac:dyDescent="0.2">
      <c r="C3523" s="198"/>
      <c r="D3523" s="198"/>
      <c r="E3523" s="537"/>
      <c r="G3523" s="198"/>
      <c r="H3523" s="123"/>
    </row>
    <row r="3524" spans="3:8" s="99" customFormat="1" x14ac:dyDescent="0.2">
      <c r="C3524" s="198"/>
      <c r="D3524" s="198"/>
      <c r="E3524" s="537"/>
      <c r="G3524" s="198"/>
      <c r="H3524" s="123"/>
    </row>
    <row r="3525" spans="3:8" s="99" customFormat="1" x14ac:dyDescent="0.2">
      <c r="C3525" s="198"/>
      <c r="D3525" s="198"/>
      <c r="E3525" s="537"/>
      <c r="G3525" s="198"/>
      <c r="H3525" s="123"/>
    </row>
    <row r="3526" spans="3:8" s="99" customFormat="1" x14ac:dyDescent="0.2">
      <c r="C3526" s="198"/>
      <c r="D3526" s="198"/>
      <c r="E3526" s="537"/>
      <c r="G3526" s="198"/>
      <c r="H3526" s="123"/>
    </row>
    <row r="3527" spans="3:8" s="99" customFormat="1" x14ac:dyDescent="0.2">
      <c r="C3527" s="198"/>
      <c r="D3527" s="198"/>
      <c r="E3527" s="537"/>
      <c r="G3527" s="198"/>
      <c r="H3527" s="123"/>
    </row>
    <row r="3528" spans="3:8" s="99" customFormat="1" x14ac:dyDescent="0.2">
      <c r="C3528" s="198"/>
      <c r="D3528" s="198"/>
      <c r="E3528" s="537"/>
      <c r="G3528" s="198"/>
      <c r="H3528" s="123"/>
    </row>
    <row r="3529" spans="3:8" s="99" customFormat="1" x14ac:dyDescent="0.2">
      <c r="C3529" s="198"/>
      <c r="D3529" s="198"/>
      <c r="E3529" s="537"/>
      <c r="G3529" s="198"/>
      <c r="H3529" s="123"/>
    </row>
    <row r="3530" spans="3:8" s="99" customFormat="1" x14ac:dyDescent="0.2">
      <c r="C3530" s="198"/>
      <c r="D3530" s="198"/>
      <c r="E3530" s="537"/>
      <c r="G3530" s="198"/>
      <c r="H3530" s="123"/>
    </row>
    <row r="3531" spans="3:8" s="99" customFormat="1" x14ac:dyDescent="0.2">
      <c r="C3531" s="198"/>
      <c r="D3531" s="198"/>
      <c r="E3531" s="537"/>
      <c r="G3531" s="198"/>
      <c r="H3531" s="123"/>
    </row>
    <row r="3532" spans="3:8" s="99" customFormat="1" x14ac:dyDescent="0.2">
      <c r="C3532" s="198"/>
      <c r="D3532" s="198"/>
      <c r="E3532" s="537"/>
      <c r="G3532" s="198"/>
      <c r="H3532" s="123"/>
    </row>
    <row r="3533" spans="3:8" s="99" customFormat="1" x14ac:dyDescent="0.2">
      <c r="C3533" s="198"/>
      <c r="D3533" s="198"/>
      <c r="E3533" s="537"/>
      <c r="G3533" s="198"/>
      <c r="H3533" s="123"/>
    </row>
    <row r="3534" spans="3:8" s="99" customFormat="1" x14ac:dyDescent="0.2">
      <c r="C3534" s="198"/>
      <c r="D3534" s="198"/>
      <c r="E3534" s="537"/>
      <c r="G3534" s="198"/>
      <c r="H3534" s="123"/>
    </row>
    <row r="3535" spans="3:8" s="99" customFormat="1" x14ac:dyDescent="0.2">
      <c r="C3535" s="198"/>
      <c r="D3535" s="198"/>
      <c r="E3535" s="537"/>
      <c r="G3535" s="198"/>
      <c r="H3535" s="123"/>
    </row>
    <row r="3536" spans="3:8" s="99" customFormat="1" x14ac:dyDescent="0.2">
      <c r="C3536" s="198"/>
      <c r="D3536" s="198"/>
      <c r="E3536" s="537"/>
      <c r="G3536" s="198"/>
      <c r="H3536" s="123"/>
    </row>
    <row r="3537" spans="3:8" s="99" customFormat="1" x14ac:dyDescent="0.2">
      <c r="C3537" s="198"/>
      <c r="D3537" s="198"/>
      <c r="E3537" s="537"/>
      <c r="G3537" s="198"/>
      <c r="H3537" s="123"/>
    </row>
    <row r="3538" spans="3:8" s="99" customFormat="1" x14ac:dyDescent="0.2">
      <c r="C3538" s="198"/>
      <c r="D3538" s="198"/>
      <c r="E3538" s="537"/>
      <c r="G3538" s="198"/>
      <c r="H3538" s="123"/>
    </row>
    <row r="3539" spans="3:8" s="99" customFormat="1" x14ac:dyDescent="0.2">
      <c r="C3539" s="198"/>
      <c r="D3539" s="198"/>
      <c r="E3539" s="537"/>
      <c r="G3539" s="198"/>
      <c r="H3539" s="123"/>
    </row>
    <row r="3540" spans="3:8" s="99" customFormat="1" x14ac:dyDescent="0.2">
      <c r="C3540" s="198"/>
      <c r="D3540" s="198"/>
      <c r="E3540" s="537"/>
      <c r="G3540" s="198"/>
      <c r="H3540" s="123"/>
    </row>
    <row r="3541" spans="3:8" s="99" customFormat="1" x14ac:dyDescent="0.2">
      <c r="C3541" s="198"/>
      <c r="D3541" s="198"/>
      <c r="E3541" s="537"/>
      <c r="G3541" s="198"/>
      <c r="H3541" s="123"/>
    </row>
    <row r="3542" spans="3:8" s="99" customFormat="1" x14ac:dyDescent="0.2">
      <c r="C3542" s="198"/>
      <c r="D3542" s="198"/>
      <c r="E3542" s="537"/>
      <c r="G3542" s="198"/>
      <c r="H3542" s="123"/>
    </row>
    <row r="3543" spans="3:8" s="99" customFormat="1" x14ac:dyDescent="0.2">
      <c r="C3543" s="198"/>
      <c r="D3543" s="198"/>
      <c r="E3543" s="537"/>
      <c r="G3543" s="198"/>
      <c r="H3543" s="123"/>
    </row>
    <row r="3544" spans="3:8" s="99" customFormat="1" x14ac:dyDescent="0.2">
      <c r="C3544" s="198"/>
      <c r="D3544" s="198"/>
      <c r="E3544" s="537"/>
      <c r="G3544" s="198"/>
      <c r="H3544" s="123"/>
    </row>
    <row r="3545" spans="3:8" s="99" customFormat="1" x14ac:dyDescent="0.2">
      <c r="C3545" s="198"/>
      <c r="D3545" s="198"/>
      <c r="E3545" s="537"/>
      <c r="G3545" s="198"/>
      <c r="H3545" s="123"/>
    </row>
    <row r="3546" spans="3:8" s="99" customFormat="1" x14ac:dyDescent="0.2">
      <c r="C3546" s="198"/>
      <c r="D3546" s="198"/>
      <c r="E3546" s="537"/>
      <c r="G3546" s="198"/>
      <c r="H3546" s="123"/>
    </row>
    <row r="3547" spans="3:8" s="99" customFormat="1" x14ac:dyDescent="0.2">
      <c r="C3547" s="198"/>
      <c r="D3547" s="198"/>
      <c r="E3547" s="537"/>
      <c r="G3547" s="198"/>
      <c r="H3547" s="123"/>
    </row>
    <row r="3548" spans="3:8" s="99" customFormat="1" x14ac:dyDescent="0.2">
      <c r="C3548" s="198"/>
      <c r="D3548" s="198"/>
      <c r="E3548" s="537"/>
      <c r="G3548" s="198"/>
      <c r="H3548" s="123"/>
    </row>
    <row r="3549" spans="3:8" s="99" customFormat="1" x14ac:dyDescent="0.2">
      <c r="C3549" s="198"/>
      <c r="D3549" s="198"/>
      <c r="E3549" s="537"/>
      <c r="G3549" s="198"/>
      <c r="H3549" s="123"/>
    </row>
    <row r="3550" spans="3:8" s="99" customFormat="1" x14ac:dyDescent="0.2">
      <c r="C3550" s="198"/>
      <c r="D3550" s="198"/>
      <c r="E3550" s="537"/>
      <c r="G3550" s="198"/>
      <c r="H3550" s="123"/>
    </row>
    <row r="3551" spans="3:8" s="99" customFormat="1" x14ac:dyDescent="0.2">
      <c r="C3551" s="198"/>
      <c r="D3551" s="198"/>
      <c r="E3551" s="537"/>
      <c r="G3551" s="198"/>
      <c r="H3551" s="123"/>
    </row>
    <row r="3552" spans="3:8" s="99" customFormat="1" x14ac:dyDescent="0.2">
      <c r="C3552" s="198"/>
      <c r="D3552" s="198"/>
      <c r="E3552" s="537"/>
      <c r="G3552" s="198"/>
      <c r="H3552" s="123"/>
    </row>
    <row r="3553" spans="3:8" s="99" customFormat="1" x14ac:dyDescent="0.2">
      <c r="C3553" s="198"/>
      <c r="D3553" s="198"/>
      <c r="E3553" s="537"/>
      <c r="G3553" s="198"/>
      <c r="H3553" s="123"/>
    </row>
    <row r="3554" spans="3:8" s="99" customFormat="1" x14ac:dyDescent="0.2">
      <c r="C3554" s="198"/>
      <c r="D3554" s="198"/>
      <c r="E3554" s="537"/>
      <c r="G3554" s="198"/>
      <c r="H3554" s="123"/>
    </row>
    <row r="3555" spans="3:8" s="99" customFormat="1" x14ac:dyDescent="0.2">
      <c r="C3555" s="198"/>
      <c r="D3555" s="198"/>
      <c r="E3555" s="537"/>
      <c r="G3555" s="198"/>
      <c r="H3555" s="123"/>
    </row>
    <row r="3556" spans="3:8" s="99" customFormat="1" x14ac:dyDescent="0.2">
      <c r="C3556" s="198"/>
      <c r="D3556" s="198"/>
      <c r="E3556" s="537"/>
      <c r="G3556" s="198"/>
      <c r="H3556" s="123"/>
    </row>
    <row r="3557" spans="3:8" s="99" customFormat="1" x14ac:dyDescent="0.2">
      <c r="C3557" s="198"/>
      <c r="D3557" s="198"/>
      <c r="E3557" s="537"/>
      <c r="G3557" s="198"/>
      <c r="H3557" s="123"/>
    </row>
    <row r="3558" spans="3:8" s="99" customFormat="1" x14ac:dyDescent="0.2">
      <c r="C3558" s="198"/>
      <c r="D3558" s="198"/>
      <c r="E3558" s="537"/>
      <c r="G3558" s="198"/>
      <c r="H3558" s="123"/>
    </row>
    <row r="3559" spans="3:8" s="99" customFormat="1" x14ac:dyDescent="0.2">
      <c r="C3559" s="198"/>
      <c r="D3559" s="198"/>
      <c r="E3559" s="537"/>
      <c r="G3559" s="198"/>
      <c r="H3559" s="123"/>
    </row>
    <row r="3560" spans="3:8" s="99" customFormat="1" x14ac:dyDescent="0.2">
      <c r="C3560" s="198"/>
      <c r="D3560" s="198"/>
      <c r="E3560" s="537"/>
      <c r="G3560" s="198"/>
      <c r="H3560" s="123"/>
    </row>
    <row r="3561" spans="3:8" s="99" customFormat="1" x14ac:dyDescent="0.2">
      <c r="C3561" s="198"/>
      <c r="D3561" s="198"/>
      <c r="E3561" s="537"/>
      <c r="G3561" s="198"/>
      <c r="H3561" s="123"/>
    </row>
    <row r="3562" spans="3:8" s="99" customFormat="1" x14ac:dyDescent="0.2">
      <c r="C3562" s="198"/>
      <c r="D3562" s="198"/>
      <c r="E3562" s="537"/>
      <c r="G3562" s="198"/>
      <c r="H3562" s="123"/>
    </row>
    <row r="3563" spans="3:8" s="99" customFormat="1" x14ac:dyDescent="0.2">
      <c r="C3563" s="198"/>
      <c r="D3563" s="198"/>
      <c r="E3563" s="537"/>
      <c r="G3563" s="198"/>
      <c r="H3563" s="123"/>
    </row>
    <row r="3564" spans="3:8" s="99" customFormat="1" x14ac:dyDescent="0.2">
      <c r="C3564" s="198"/>
      <c r="D3564" s="198"/>
      <c r="E3564" s="537"/>
      <c r="G3564" s="198"/>
      <c r="H3564" s="123"/>
    </row>
    <row r="3565" spans="3:8" s="99" customFormat="1" x14ac:dyDescent="0.2">
      <c r="C3565" s="198"/>
      <c r="D3565" s="198"/>
      <c r="E3565" s="537"/>
      <c r="G3565" s="198"/>
      <c r="H3565" s="123"/>
    </row>
    <row r="3566" spans="3:8" s="99" customFormat="1" x14ac:dyDescent="0.2">
      <c r="C3566" s="198"/>
      <c r="D3566" s="198"/>
      <c r="E3566" s="537"/>
      <c r="G3566" s="198"/>
      <c r="H3566" s="123"/>
    </row>
    <row r="3567" spans="3:8" s="99" customFormat="1" x14ac:dyDescent="0.2">
      <c r="C3567" s="198"/>
      <c r="D3567" s="198"/>
      <c r="E3567" s="537"/>
      <c r="G3567" s="198"/>
      <c r="H3567" s="123"/>
    </row>
    <row r="3568" spans="3:8" s="99" customFormat="1" x14ac:dyDescent="0.2">
      <c r="C3568" s="198"/>
      <c r="D3568" s="198"/>
      <c r="E3568" s="537"/>
      <c r="G3568" s="198"/>
      <c r="H3568" s="123"/>
    </row>
    <row r="3569" spans="3:8" s="99" customFormat="1" x14ac:dyDescent="0.2">
      <c r="C3569" s="198"/>
      <c r="D3569" s="198"/>
      <c r="E3569" s="537"/>
      <c r="G3569" s="198"/>
      <c r="H3569" s="123"/>
    </row>
    <row r="3570" spans="3:8" s="99" customFormat="1" x14ac:dyDescent="0.2">
      <c r="C3570" s="198"/>
      <c r="D3570" s="198"/>
      <c r="E3570" s="537"/>
      <c r="G3570" s="198"/>
      <c r="H3570" s="123"/>
    </row>
    <row r="3571" spans="3:8" s="99" customFormat="1" x14ac:dyDescent="0.2">
      <c r="C3571" s="198"/>
      <c r="D3571" s="198"/>
      <c r="E3571" s="537"/>
      <c r="G3571" s="198"/>
      <c r="H3571" s="123"/>
    </row>
    <row r="3572" spans="3:8" s="99" customFormat="1" x14ac:dyDescent="0.2">
      <c r="C3572" s="198"/>
      <c r="D3572" s="198"/>
      <c r="E3572" s="537"/>
      <c r="G3572" s="198"/>
      <c r="H3572" s="123"/>
    </row>
    <row r="3573" spans="3:8" s="99" customFormat="1" x14ac:dyDescent="0.2">
      <c r="C3573" s="198"/>
      <c r="D3573" s="198"/>
      <c r="E3573" s="537"/>
      <c r="G3573" s="198"/>
      <c r="H3573" s="123"/>
    </row>
    <row r="3574" spans="3:8" s="99" customFormat="1" x14ac:dyDescent="0.2">
      <c r="C3574" s="198"/>
      <c r="D3574" s="198"/>
      <c r="E3574" s="537"/>
      <c r="G3574" s="198"/>
      <c r="H3574" s="123"/>
    </row>
    <row r="3575" spans="3:8" s="99" customFormat="1" x14ac:dyDescent="0.2">
      <c r="C3575" s="198"/>
      <c r="D3575" s="198"/>
      <c r="E3575" s="537"/>
      <c r="G3575" s="198"/>
      <c r="H3575" s="123"/>
    </row>
    <row r="3576" spans="3:8" s="99" customFormat="1" x14ac:dyDescent="0.2">
      <c r="C3576" s="198"/>
      <c r="D3576" s="198"/>
      <c r="E3576" s="537"/>
      <c r="G3576" s="198"/>
      <c r="H3576" s="123"/>
    </row>
    <row r="3577" spans="3:8" s="99" customFormat="1" x14ac:dyDescent="0.2">
      <c r="C3577" s="198"/>
      <c r="D3577" s="198"/>
      <c r="E3577" s="537"/>
      <c r="G3577" s="198"/>
      <c r="H3577" s="123"/>
    </row>
    <row r="3578" spans="3:8" s="99" customFormat="1" x14ac:dyDescent="0.2">
      <c r="C3578" s="198"/>
      <c r="D3578" s="198"/>
      <c r="E3578" s="537"/>
      <c r="G3578" s="198"/>
      <c r="H3578" s="123"/>
    </row>
    <row r="3579" spans="3:8" s="99" customFormat="1" x14ac:dyDescent="0.2">
      <c r="C3579" s="198"/>
      <c r="D3579" s="198"/>
      <c r="E3579" s="537"/>
      <c r="G3579" s="198"/>
      <c r="H3579" s="123"/>
    </row>
    <row r="3580" spans="3:8" s="99" customFormat="1" x14ac:dyDescent="0.2">
      <c r="C3580" s="198"/>
      <c r="D3580" s="198"/>
      <c r="E3580" s="537"/>
      <c r="G3580" s="198"/>
      <c r="H3580" s="123"/>
    </row>
    <row r="3581" spans="3:8" s="99" customFormat="1" x14ac:dyDescent="0.2">
      <c r="C3581" s="198"/>
      <c r="D3581" s="198"/>
      <c r="E3581" s="537"/>
      <c r="G3581" s="198"/>
      <c r="H3581" s="123"/>
    </row>
    <row r="3582" spans="3:8" s="99" customFormat="1" x14ac:dyDescent="0.2">
      <c r="C3582" s="198"/>
      <c r="D3582" s="198"/>
      <c r="E3582" s="537"/>
      <c r="G3582" s="198"/>
      <c r="H3582" s="123"/>
    </row>
    <row r="3583" spans="3:8" s="99" customFormat="1" x14ac:dyDescent="0.2">
      <c r="C3583" s="198"/>
      <c r="D3583" s="198"/>
      <c r="E3583" s="537"/>
      <c r="G3583" s="198"/>
      <c r="H3583" s="123"/>
    </row>
    <row r="3584" spans="3:8" s="99" customFormat="1" x14ac:dyDescent="0.2">
      <c r="C3584" s="198"/>
      <c r="D3584" s="198"/>
      <c r="E3584" s="537"/>
      <c r="G3584" s="198"/>
      <c r="H3584" s="123"/>
    </row>
    <row r="3585" spans="3:8" s="99" customFormat="1" x14ac:dyDescent="0.2">
      <c r="C3585" s="198"/>
      <c r="D3585" s="198"/>
      <c r="E3585" s="537"/>
      <c r="G3585" s="198"/>
      <c r="H3585" s="123"/>
    </row>
    <row r="3586" spans="3:8" s="99" customFormat="1" x14ac:dyDescent="0.2">
      <c r="C3586" s="198"/>
      <c r="D3586" s="198"/>
      <c r="E3586" s="537"/>
      <c r="G3586" s="198"/>
      <c r="H3586" s="123"/>
    </row>
    <row r="3587" spans="3:8" s="99" customFormat="1" x14ac:dyDescent="0.2">
      <c r="C3587" s="198"/>
      <c r="D3587" s="198"/>
      <c r="E3587" s="537"/>
      <c r="G3587" s="198"/>
      <c r="H3587" s="123"/>
    </row>
    <row r="3588" spans="3:8" s="99" customFormat="1" x14ac:dyDescent="0.2">
      <c r="C3588" s="198"/>
      <c r="D3588" s="198"/>
      <c r="E3588" s="537"/>
      <c r="G3588" s="198"/>
      <c r="H3588" s="123"/>
    </row>
    <row r="3589" spans="3:8" s="99" customFormat="1" x14ac:dyDescent="0.2">
      <c r="C3589" s="198"/>
      <c r="D3589" s="198"/>
      <c r="E3589" s="537"/>
      <c r="G3589" s="198"/>
      <c r="H3589" s="123"/>
    </row>
    <row r="3590" spans="3:8" s="99" customFormat="1" x14ac:dyDescent="0.2">
      <c r="C3590" s="198"/>
      <c r="D3590" s="198"/>
      <c r="E3590" s="537"/>
      <c r="G3590" s="198"/>
      <c r="H3590" s="123"/>
    </row>
    <row r="3591" spans="3:8" s="99" customFormat="1" x14ac:dyDescent="0.2">
      <c r="C3591" s="198"/>
      <c r="D3591" s="198"/>
      <c r="E3591" s="537"/>
      <c r="G3591" s="198"/>
      <c r="H3591" s="123"/>
    </row>
    <row r="3592" spans="3:8" s="99" customFormat="1" x14ac:dyDescent="0.2">
      <c r="C3592" s="198"/>
      <c r="D3592" s="198"/>
      <c r="E3592" s="537"/>
      <c r="G3592" s="198"/>
      <c r="H3592" s="123"/>
    </row>
    <row r="3593" spans="3:8" s="99" customFormat="1" x14ac:dyDescent="0.2">
      <c r="C3593" s="198"/>
      <c r="D3593" s="198"/>
      <c r="E3593" s="537"/>
      <c r="G3593" s="198"/>
      <c r="H3593" s="123"/>
    </row>
    <row r="3594" spans="3:8" s="99" customFormat="1" x14ac:dyDescent="0.2">
      <c r="C3594" s="198"/>
      <c r="D3594" s="198"/>
      <c r="E3594" s="537"/>
      <c r="G3594" s="198"/>
      <c r="H3594" s="123"/>
    </row>
    <row r="3595" spans="3:8" s="99" customFormat="1" x14ac:dyDescent="0.2">
      <c r="C3595" s="198"/>
      <c r="D3595" s="198"/>
      <c r="E3595" s="537"/>
      <c r="G3595" s="198"/>
      <c r="H3595" s="123"/>
    </row>
    <row r="3596" spans="3:8" s="99" customFormat="1" x14ac:dyDescent="0.2">
      <c r="C3596" s="198"/>
      <c r="D3596" s="198"/>
      <c r="E3596" s="537"/>
      <c r="G3596" s="198"/>
      <c r="H3596" s="123"/>
    </row>
    <row r="3597" spans="3:8" s="99" customFormat="1" x14ac:dyDescent="0.2">
      <c r="C3597" s="198"/>
      <c r="D3597" s="198"/>
      <c r="E3597" s="537"/>
      <c r="G3597" s="198"/>
      <c r="H3597" s="123"/>
    </row>
    <row r="3598" spans="3:8" s="99" customFormat="1" x14ac:dyDescent="0.2">
      <c r="C3598" s="198"/>
      <c r="D3598" s="198"/>
      <c r="E3598" s="537"/>
      <c r="G3598" s="198"/>
      <c r="H3598" s="123"/>
    </row>
    <row r="3599" spans="3:8" s="99" customFormat="1" x14ac:dyDescent="0.2">
      <c r="C3599" s="198"/>
      <c r="D3599" s="198"/>
      <c r="E3599" s="537"/>
      <c r="G3599" s="198"/>
      <c r="H3599" s="123"/>
    </row>
    <row r="3600" spans="3:8" s="99" customFormat="1" x14ac:dyDescent="0.2">
      <c r="C3600" s="198"/>
      <c r="D3600" s="198"/>
      <c r="E3600" s="537"/>
      <c r="G3600" s="198"/>
      <c r="H3600" s="123"/>
    </row>
    <row r="3601" spans="3:8" s="99" customFormat="1" x14ac:dyDescent="0.2">
      <c r="C3601" s="198"/>
      <c r="D3601" s="198"/>
      <c r="E3601" s="537"/>
      <c r="G3601" s="198"/>
      <c r="H3601" s="123"/>
    </row>
    <row r="3602" spans="3:8" s="99" customFormat="1" x14ac:dyDescent="0.2">
      <c r="C3602" s="198"/>
      <c r="D3602" s="198"/>
      <c r="E3602" s="537"/>
      <c r="G3602" s="198"/>
      <c r="H3602" s="123"/>
    </row>
    <row r="3603" spans="3:8" s="99" customFormat="1" x14ac:dyDescent="0.2">
      <c r="C3603" s="198"/>
      <c r="D3603" s="198"/>
      <c r="E3603" s="537"/>
      <c r="G3603" s="198"/>
      <c r="H3603" s="123"/>
    </row>
    <row r="3604" spans="3:8" s="99" customFormat="1" x14ac:dyDescent="0.2">
      <c r="C3604" s="198"/>
      <c r="D3604" s="198"/>
      <c r="E3604" s="537"/>
      <c r="G3604" s="198"/>
      <c r="H3604" s="123"/>
    </row>
    <row r="3605" spans="3:8" s="99" customFormat="1" x14ac:dyDescent="0.2">
      <c r="C3605" s="198"/>
      <c r="D3605" s="198"/>
      <c r="E3605" s="537"/>
      <c r="G3605" s="198"/>
      <c r="H3605" s="123"/>
    </row>
    <row r="3606" spans="3:8" s="99" customFormat="1" x14ac:dyDescent="0.2">
      <c r="C3606" s="198"/>
      <c r="D3606" s="198"/>
      <c r="E3606" s="537"/>
      <c r="G3606" s="198"/>
      <c r="H3606" s="123"/>
    </row>
    <row r="3607" spans="3:8" s="99" customFormat="1" x14ac:dyDescent="0.2">
      <c r="C3607" s="198"/>
      <c r="D3607" s="198"/>
      <c r="E3607" s="537"/>
      <c r="G3607" s="198"/>
      <c r="H3607" s="123"/>
    </row>
    <row r="3608" spans="3:8" s="99" customFormat="1" x14ac:dyDescent="0.2">
      <c r="C3608" s="198"/>
      <c r="D3608" s="198"/>
      <c r="E3608" s="537"/>
      <c r="G3608" s="198"/>
      <c r="H3608" s="123"/>
    </row>
    <row r="3609" spans="3:8" s="99" customFormat="1" x14ac:dyDescent="0.2">
      <c r="C3609" s="198"/>
      <c r="D3609" s="198"/>
      <c r="E3609" s="537"/>
      <c r="G3609" s="198"/>
      <c r="H3609" s="123"/>
    </row>
    <row r="3610" spans="3:8" s="99" customFormat="1" x14ac:dyDescent="0.2">
      <c r="C3610" s="198"/>
      <c r="D3610" s="198"/>
      <c r="E3610" s="537"/>
      <c r="G3610" s="198"/>
      <c r="H3610" s="123"/>
    </row>
    <row r="3611" spans="3:8" s="99" customFormat="1" x14ac:dyDescent="0.2">
      <c r="C3611" s="198"/>
      <c r="D3611" s="198"/>
      <c r="E3611" s="537"/>
      <c r="G3611" s="198"/>
      <c r="H3611" s="123"/>
    </row>
    <row r="3612" spans="3:8" s="99" customFormat="1" x14ac:dyDescent="0.2">
      <c r="C3612" s="198"/>
      <c r="D3612" s="198"/>
      <c r="E3612" s="537"/>
      <c r="G3612" s="198"/>
      <c r="H3612" s="123"/>
    </row>
    <row r="3613" spans="3:8" s="99" customFormat="1" x14ac:dyDescent="0.2">
      <c r="C3613" s="198"/>
      <c r="D3613" s="198"/>
      <c r="E3613" s="537"/>
      <c r="G3613" s="198"/>
      <c r="H3613" s="123"/>
    </row>
    <row r="3614" spans="3:8" s="99" customFormat="1" x14ac:dyDescent="0.2">
      <c r="C3614" s="198"/>
      <c r="D3614" s="198"/>
      <c r="E3614" s="537"/>
      <c r="G3614" s="198"/>
      <c r="H3614" s="123"/>
    </row>
    <row r="3615" spans="3:8" s="99" customFormat="1" x14ac:dyDescent="0.2">
      <c r="C3615" s="198"/>
      <c r="D3615" s="198"/>
      <c r="E3615" s="537"/>
      <c r="G3615" s="198"/>
      <c r="H3615" s="123"/>
    </row>
    <row r="3616" spans="3:8" s="99" customFormat="1" x14ac:dyDescent="0.2">
      <c r="C3616" s="198"/>
      <c r="D3616" s="198"/>
      <c r="E3616" s="537"/>
      <c r="G3616" s="198"/>
      <c r="H3616" s="123"/>
    </row>
    <row r="3617" spans="3:8" s="99" customFormat="1" x14ac:dyDescent="0.2">
      <c r="C3617" s="198"/>
      <c r="D3617" s="198"/>
      <c r="E3617" s="537"/>
      <c r="G3617" s="198"/>
      <c r="H3617" s="123"/>
    </row>
    <row r="3618" spans="3:8" s="99" customFormat="1" x14ac:dyDescent="0.2">
      <c r="C3618" s="198"/>
      <c r="D3618" s="198"/>
      <c r="E3618" s="537"/>
      <c r="G3618" s="198"/>
      <c r="H3618" s="123"/>
    </row>
    <row r="3619" spans="3:8" s="99" customFormat="1" x14ac:dyDescent="0.2">
      <c r="C3619" s="198"/>
      <c r="D3619" s="198"/>
      <c r="E3619" s="537"/>
      <c r="G3619" s="198"/>
      <c r="H3619" s="123"/>
    </row>
    <row r="3620" spans="3:8" s="99" customFormat="1" x14ac:dyDescent="0.2">
      <c r="C3620" s="198"/>
      <c r="D3620" s="198"/>
      <c r="E3620" s="537"/>
      <c r="G3620" s="198"/>
      <c r="H3620" s="123"/>
    </row>
    <row r="3621" spans="3:8" s="99" customFormat="1" x14ac:dyDescent="0.2">
      <c r="C3621" s="198"/>
      <c r="D3621" s="198"/>
      <c r="E3621" s="537"/>
      <c r="G3621" s="198"/>
      <c r="H3621" s="123"/>
    </row>
    <row r="3622" spans="3:8" s="99" customFormat="1" x14ac:dyDescent="0.2">
      <c r="C3622" s="198"/>
      <c r="D3622" s="198"/>
      <c r="E3622" s="537"/>
      <c r="G3622" s="198"/>
      <c r="H3622" s="123"/>
    </row>
    <row r="3623" spans="3:8" s="99" customFormat="1" x14ac:dyDescent="0.2">
      <c r="C3623" s="198"/>
      <c r="D3623" s="198"/>
      <c r="E3623" s="537"/>
      <c r="G3623" s="198"/>
      <c r="H3623" s="123"/>
    </row>
    <row r="3624" spans="3:8" s="99" customFormat="1" x14ac:dyDescent="0.2">
      <c r="C3624" s="198"/>
      <c r="D3624" s="198"/>
      <c r="E3624" s="537"/>
      <c r="G3624" s="198"/>
      <c r="H3624" s="123"/>
    </row>
    <row r="3625" spans="3:8" s="99" customFormat="1" x14ac:dyDescent="0.2">
      <c r="C3625" s="198"/>
      <c r="D3625" s="198"/>
      <c r="E3625" s="537"/>
      <c r="G3625" s="198"/>
      <c r="H3625" s="123"/>
    </row>
    <row r="3626" spans="3:8" s="99" customFormat="1" x14ac:dyDescent="0.2">
      <c r="C3626" s="198"/>
      <c r="D3626" s="198"/>
      <c r="E3626" s="537"/>
      <c r="G3626" s="198"/>
      <c r="H3626" s="123"/>
    </row>
    <row r="3627" spans="3:8" s="99" customFormat="1" x14ac:dyDescent="0.2">
      <c r="C3627" s="198"/>
      <c r="D3627" s="198"/>
      <c r="E3627" s="537"/>
      <c r="G3627" s="198"/>
      <c r="H3627" s="123"/>
    </row>
    <row r="3628" spans="3:8" s="99" customFormat="1" x14ac:dyDescent="0.2">
      <c r="C3628" s="198"/>
      <c r="D3628" s="198"/>
      <c r="E3628" s="537"/>
      <c r="G3628" s="198"/>
      <c r="H3628" s="123"/>
    </row>
    <row r="3629" spans="3:8" s="99" customFormat="1" x14ac:dyDescent="0.2">
      <c r="C3629" s="198"/>
      <c r="D3629" s="198"/>
      <c r="E3629" s="537"/>
      <c r="G3629" s="198"/>
      <c r="H3629" s="123"/>
    </row>
    <row r="3630" spans="3:8" s="99" customFormat="1" x14ac:dyDescent="0.2">
      <c r="C3630" s="198"/>
      <c r="D3630" s="198"/>
      <c r="E3630" s="537"/>
      <c r="G3630" s="198"/>
      <c r="H3630" s="123"/>
    </row>
    <row r="3631" spans="3:8" s="99" customFormat="1" x14ac:dyDescent="0.2">
      <c r="C3631" s="198"/>
      <c r="D3631" s="198"/>
      <c r="E3631" s="537"/>
      <c r="G3631" s="198"/>
      <c r="H3631" s="123"/>
    </row>
    <row r="3632" spans="3:8" s="99" customFormat="1" x14ac:dyDescent="0.2">
      <c r="C3632" s="198"/>
      <c r="D3632" s="198"/>
      <c r="E3632" s="537"/>
      <c r="G3632" s="198"/>
      <c r="H3632" s="123"/>
    </row>
    <row r="3633" spans="3:8" s="99" customFormat="1" x14ac:dyDescent="0.2">
      <c r="C3633" s="198"/>
      <c r="D3633" s="198"/>
      <c r="E3633" s="537"/>
      <c r="G3633" s="198"/>
      <c r="H3633" s="123"/>
    </row>
    <row r="3634" spans="3:8" s="99" customFormat="1" x14ac:dyDescent="0.2">
      <c r="C3634" s="198"/>
      <c r="D3634" s="198"/>
      <c r="E3634" s="537"/>
      <c r="G3634" s="198"/>
      <c r="H3634" s="123"/>
    </row>
    <row r="3635" spans="3:8" s="99" customFormat="1" x14ac:dyDescent="0.2">
      <c r="C3635" s="198"/>
      <c r="D3635" s="198"/>
      <c r="E3635" s="537"/>
      <c r="G3635" s="198"/>
      <c r="H3635" s="123"/>
    </row>
    <row r="3636" spans="3:8" s="99" customFormat="1" x14ac:dyDescent="0.2">
      <c r="C3636" s="198"/>
      <c r="D3636" s="198"/>
      <c r="E3636" s="537"/>
      <c r="G3636" s="198"/>
      <c r="H3636" s="123"/>
    </row>
    <row r="3637" spans="3:8" s="99" customFormat="1" x14ac:dyDescent="0.2">
      <c r="C3637" s="198"/>
      <c r="D3637" s="198"/>
      <c r="E3637" s="537"/>
      <c r="G3637" s="198"/>
      <c r="H3637" s="123"/>
    </row>
    <row r="3638" spans="3:8" s="99" customFormat="1" x14ac:dyDescent="0.2">
      <c r="C3638" s="198"/>
      <c r="D3638" s="198"/>
      <c r="E3638" s="537"/>
      <c r="G3638" s="198"/>
      <c r="H3638" s="123"/>
    </row>
    <row r="3639" spans="3:8" s="99" customFormat="1" x14ac:dyDescent="0.2">
      <c r="C3639" s="198"/>
      <c r="D3639" s="198"/>
      <c r="E3639" s="537"/>
      <c r="G3639" s="198"/>
      <c r="H3639" s="123"/>
    </row>
    <row r="3640" spans="3:8" s="99" customFormat="1" x14ac:dyDescent="0.2">
      <c r="C3640" s="198"/>
      <c r="D3640" s="198"/>
      <c r="E3640" s="537"/>
      <c r="G3640" s="198"/>
      <c r="H3640" s="123"/>
    </row>
    <row r="3641" spans="3:8" s="99" customFormat="1" x14ac:dyDescent="0.2">
      <c r="C3641" s="198"/>
      <c r="D3641" s="198"/>
      <c r="E3641" s="537"/>
      <c r="G3641" s="198"/>
      <c r="H3641" s="123"/>
    </row>
    <row r="3642" spans="3:8" s="99" customFormat="1" x14ac:dyDescent="0.2">
      <c r="C3642" s="198"/>
      <c r="D3642" s="198"/>
      <c r="E3642" s="537"/>
      <c r="G3642" s="198"/>
      <c r="H3642" s="123"/>
    </row>
    <row r="3643" spans="3:8" s="99" customFormat="1" x14ac:dyDescent="0.2">
      <c r="C3643" s="198"/>
      <c r="D3643" s="198"/>
      <c r="E3643" s="537"/>
      <c r="G3643" s="198"/>
      <c r="H3643" s="123"/>
    </row>
    <row r="3644" spans="3:8" s="99" customFormat="1" x14ac:dyDescent="0.2">
      <c r="C3644" s="198"/>
      <c r="D3644" s="198"/>
      <c r="E3644" s="537"/>
      <c r="G3644" s="198"/>
      <c r="H3644" s="123"/>
    </row>
    <row r="3645" spans="3:8" s="99" customFormat="1" x14ac:dyDescent="0.2">
      <c r="C3645" s="198"/>
      <c r="D3645" s="198"/>
      <c r="E3645" s="537"/>
      <c r="G3645" s="198"/>
      <c r="H3645" s="123"/>
    </row>
    <row r="3646" spans="3:8" s="99" customFormat="1" x14ac:dyDescent="0.2">
      <c r="C3646" s="198"/>
      <c r="D3646" s="198"/>
      <c r="E3646" s="537"/>
      <c r="G3646" s="198"/>
      <c r="H3646" s="123"/>
    </row>
    <row r="3647" spans="3:8" s="99" customFormat="1" x14ac:dyDescent="0.2">
      <c r="C3647" s="198"/>
      <c r="D3647" s="198"/>
      <c r="E3647" s="537"/>
      <c r="G3647" s="198"/>
      <c r="H3647" s="123"/>
    </row>
    <row r="3648" spans="3:8" s="99" customFormat="1" x14ac:dyDescent="0.2">
      <c r="C3648" s="198"/>
      <c r="D3648" s="198"/>
      <c r="E3648" s="537"/>
      <c r="G3648" s="198"/>
      <c r="H3648" s="123"/>
    </row>
    <row r="3649" spans="3:8" s="99" customFormat="1" x14ac:dyDescent="0.2">
      <c r="C3649" s="198"/>
      <c r="D3649" s="198"/>
      <c r="E3649" s="537"/>
      <c r="G3649" s="198"/>
      <c r="H3649" s="123"/>
    </row>
    <row r="3650" spans="3:8" s="99" customFormat="1" x14ac:dyDescent="0.2">
      <c r="C3650" s="198"/>
      <c r="D3650" s="198"/>
      <c r="E3650" s="537"/>
      <c r="G3650" s="198"/>
      <c r="H3650" s="123"/>
    </row>
    <row r="3651" spans="3:8" s="99" customFormat="1" x14ac:dyDescent="0.2">
      <c r="C3651" s="198"/>
      <c r="D3651" s="198"/>
      <c r="E3651" s="537"/>
      <c r="G3651" s="198"/>
      <c r="H3651" s="123"/>
    </row>
    <row r="3652" spans="3:8" s="99" customFormat="1" x14ac:dyDescent="0.2">
      <c r="C3652" s="198"/>
      <c r="D3652" s="198"/>
      <c r="E3652" s="537"/>
      <c r="G3652" s="198"/>
      <c r="H3652" s="123"/>
    </row>
    <row r="3653" spans="3:8" s="99" customFormat="1" x14ac:dyDescent="0.2">
      <c r="C3653" s="198"/>
      <c r="D3653" s="198"/>
      <c r="E3653" s="537"/>
      <c r="G3653" s="198"/>
      <c r="H3653" s="123"/>
    </row>
    <row r="3654" spans="3:8" s="99" customFormat="1" x14ac:dyDescent="0.2">
      <c r="C3654" s="198"/>
      <c r="D3654" s="198"/>
      <c r="E3654" s="537"/>
      <c r="G3654" s="198"/>
      <c r="H3654" s="123"/>
    </row>
    <row r="3655" spans="3:8" s="99" customFormat="1" x14ac:dyDescent="0.2">
      <c r="C3655" s="198"/>
      <c r="D3655" s="198"/>
      <c r="E3655" s="537"/>
      <c r="G3655" s="198"/>
      <c r="H3655" s="123"/>
    </row>
    <row r="3656" spans="3:8" s="99" customFormat="1" x14ac:dyDescent="0.2">
      <c r="C3656" s="198"/>
      <c r="D3656" s="198"/>
      <c r="E3656" s="537"/>
      <c r="G3656" s="198"/>
      <c r="H3656" s="123"/>
    </row>
    <row r="3657" spans="3:8" s="99" customFormat="1" x14ac:dyDescent="0.2">
      <c r="C3657" s="198"/>
      <c r="D3657" s="198"/>
      <c r="E3657" s="537"/>
      <c r="G3657" s="198"/>
      <c r="H3657" s="123"/>
    </row>
    <row r="3658" spans="3:8" s="99" customFormat="1" x14ac:dyDescent="0.2">
      <c r="C3658" s="198"/>
      <c r="D3658" s="198"/>
      <c r="E3658" s="537"/>
      <c r="G3658" s="198"/>
      <c r="H3658" s="123"/>
    </row>
    <row r="3659" spans="3:8" s="99" customFormat="1" x14ac:dyDescent="0.2">
      <c r="C3659" s="198"/>
      <c r="D3659" s="198"/>
      <c r="E3659" s="537"/>
      <c r="G3659" s="198"/>
      <c r="H3659" s="123"/>
    </row>
    <row r="3660" spans="3:8" s="99" customFormat="1" x14ac:dyDescent="0.2">
      <c r="C3660" s="198"/>
      <c r="D3660" s="198"/>
      <c r="E3660" s="537"/>
      <c r="G3660" s="198"/>
      <c r="H3660" s="123"/>
    </row>
    <row r="3661" spans="3:8" s="99" customFormat="1" x14ac:dyDescent="0.2">
      <c r="C3661" s="198"/>
      <c r="D3661" s="198"/>
      <c r="E3661" s="537"/>
      <c r="G3661" s="198"/>
      <c r="H3661" s="123"/>
    </row>
    <row r="3662" spans="3:8" s="99" customFormat="1" x14ac:dyDescent="0.2">
      <c r="C3662" s="198"/>
      <c r="D3662" s="198"/>
      <c r="E3662" s="537"/>
      <c r="G3662" s="198"/>
      <c r="H3662" s="123"/>
    </row>
    <row r="3663" spans="3:8" s="99" customFormat="1" x14ac:dyDescent="0.2">
      <c r="C3663" s="198"/>
      <c r="D3663" s="198"/>
      <c r="E3663" s="537"/>
      <c r="G3663" s="198"/>
      <c r="H3663" s="123"/>
    </row>
    <row r="3664" spans="3:8" s="99" customFormat="1" x14ac:dyDescent="0.2">
      <c r="C3664" s="198"/>
      <c r="D3664" s="198"/>
      <c r="E3664" s="537"/>
      <c r="G3664" s="198"/>
      <c r="H3664" s="123"/>
    </row>
    <row r="3665" spans="3:8" s="99" customFormat="1" x14ac:dyDescent="0.2">
      <c r="C3665" s="198"/>
      <c r="D3665" s="198"/>
      <c r="E3665" s="537"/>
      <c r="G3665" s="198"/>
      <c r="H3665" s="123"/>
    </row>
    <row r="3666" spans="3:8" s="99" customFormat="1" x14ac:dyDescent="0.2">
      <c r="C3666" s="198"/>
      <c r="D3666" s="198"/>
      <c r="E3666" s="537"/>
      <c r="G3666" s="198"/>
      <c r="H3666" s="123"/>
    </row>
    <row r="3667" spans="3:8" s="99" customFormat="1" x14ac:dyDescent="0.2">
      <c r="C3667" s="198"/>
      <c r="D3667" s="198"/>
      <c r="E3667" s="537"/>
      <c r="G3667" s="198"/>
      <c r="H3667" s="123"/>
    </row>
    <row r="3668" spans="3:8" s="99" customFormat="1" x14ac:dyDescent="0.2">
      <c r="C3668" s="198"/>
      <c r="D3668" s="198"/>
      <c r="E3668" s="537"/>
      <c r="G3668" s="198"/>
      <c r="H3668" s="123"/>
    </row>
    <row r="3669" spans="3:8" s="99" customFormat="1" x14ac:dyDescent="0.2">
      <c r="C3669" s="198"/>
      <c r="D3669" s="198"/>
      <c r="E3669" s="537"/>
      <c r="G3669" s="198"/>
      <c r="H3669" s="123"/>
    </row>
    <row r="3670" spans="3:8" s="99" customFormat="1" x14ac:dyDescent="0.2">
      <c r="C3670" s="198"/>
      <c r="D3670" s="198"/>
      <c r="E3670" s="537"/>
      <c r="G3670" s="198"/>
      <c r="H3670" s="123"/>
    </row>
    <row r="3671" spans="3:8" s="99" customFormat="1" x14ac:dyDescent="0.2">
      <c r="C3671" s="198"/>
      <c r="D3671" s="198"/>
      <c r="E3671" s="537"/>
      <c r="G3671" s="198"/>
      <c r="H3671" s="123"/>
    </row>
    <row r="3672" spans="3:8" s="99" customFormat="1" x14ac:dyDescent="0.2">
      <c r="C3672" s="198"/>
      <c r="D3672" s="198"/>
      <c r="E3672" s="537"/>
      <c r="G3672" s="198"/>
      <c r="H3672" s="123"/>
    </row>
    <row r="3673" spans="3:8" s="99" customFormat="1" x14ac:dyDescent="0.2">
      <c r="C3673" s="198"/>
      <c r="D3673" s="198"/>
      <c r="E3673" s="537"/>
      <c r="G3673" s="198"/>
      <c r="H3673" s="123"/>
    </row>
    <row r="3674" spans="3:8" s="99" customFormat="1" x14ac:dyDescent="0.2">
      <c r="C3674" s="198"/>
      <c r="D3674" s="198"/>
      <c r="E3674" s="537"/>
      <c r="G3674" s="198"/>
      <c r="H3674" s="123"/>
    </row>
    <row r="3675" spans="3:8" s="99" customFormat="1" x14ac:dyDescent="0.2">
      <c r="C3675" s="198"/>
      <c r="D3675" s="198"/>
      <c r="E3675" s="537"/>
      <c r="G3675" s="198"/>
      <c r="H3675" s="123"/>
    </row>
    <row r="3676" spans="3:8" s="99" customFormat="1" x14ac:dyDescent="0.2">
      <c r="C3676" s="198"/>
      <c r="D3676" s="198"/>
      <c r="E3676" s="537"/>
      <c r="G3676" s="198"/>
      <c r="H3676" s="123"/>
    </row>
    <row r="3677" spans="3:8" s="99" customFormat="1" x14ac:dyDescent="0.2">
      <c r="C3677" s="198"/>
      <c r="D3677" s="198"/>
      <c r="E3677" s="537"/>
      <c r="G3677" s="198"/>
      <c r="H3677" s="123"/>
    </row>
    <row r="3678" spans="3:8" s="99" customFormat="1" x14ac:dyDescent="0.2">
      <c r="C3678" s="198"/>
      <c r="D3678" s="198"/>
      <c r="E3678" s="537"/>
      <c r="G3678" s="198"/>
      <c r="H3678" s="123"/>
    </row>
    <row r="3679" spans="3:8" s="99" customFormat="1" x14ac:dyDescent="0.2">
      <c r="C3679" s="198"/>
      <c r="D3679" s="198"/>
      <c r="E3679" s="537"/>
      <c r="G3679" s="198"/>
      <c r="H3679" s="123"/>
    </row>
    <row r="3680" spans="3:8" s="99" customFormat="1" x14ac:dyDescent="0.2">
      <c r="C3680" s="198"/>
      <c r="D3680" s="198"/>
      <c r="E3680" s="537"/>
      <c r="G3680" s="198"/>
      <c r="H3680" s="123"/>
    </row>
    <row r="3681" spans="3:8" s="99" customFormat="1" x14ac:dyDescent="0.2">
      <c r="C3681" s="198"/>
      <c r="D3681" s="198"/>
      <c r="E3681" s="537"/>
      <c r="G3681" s="198"/>
      <c r="H3681" s="123"/>
    </row>
    <row r="3682" spans="3:8" s="99" customFormat="1" x14ac:dyDescent="0.2">
      <c r="C3682" s="198"/>
      <c r="D3682" s="198"/>
      <c r="E3682" s="537"/>
      <c r="G3682" s="198"/>
      <c r="H3682" s="123"/>
    </row>
    <row r="3683" spans="3:8" s="99" customFormat="1" x14ac:dyDescent="0.2">
      <c r="C3683" s="198"/>
      <c r="D3683" s="198"/>
      <c r="E3683" s="537"/>
      <c r="G3683" s="198"/>
      <c r="H3683" s="123"/>
    </row>
    <row r="3684" spans="3:8" s="99" customFormat="1" x14ac:dyDescent="0.2">
      <c r="C3684" s="198"/>
      <c r="D3684" s="198"/>
      <c r="E3684" s="537"/>
      <c r="G3684" s="198"/>
      <c r="H3684" s="123"/>
    </row>
    <row r="3685" spans="3:8" s="99" customFormat="1" x14ac:dyDescent="0.2">
      <c r="C3685" s="198"/>
      <c r="D3685" s="198"/>
      <c r="E3685" s="537"/>
      <c r="G3685" s="198"/>
      <c r="H3685" s="123"/>
    </row>
    <row r="3686" spans="3:8" s="99" customFormat="1" x14ac:dyDescent="0.2">
      <c r="C3686" s="198"/>
      <c r="D3686" s="198"/>
      <c r="E3686" s="537"/>
      <c r="G3686" s="198"/>
      <c r="H3686" s="123"/>
    </row>
    <row r="3687" spans="3:8" s="99" customFormat="1" x14ac:dyDescent="0.2">
      <c r="C3687" s="198"/>
      <c r="D3687" s="198"/>
      <c r="E3687" s="537"/>
      <c r="G3687" s="198"/>
      <c r="H3687" s="123"/>
    </row>
    <row r="3688" spans="3:8" s="99" customFormat="1" x14ac:dyDescent="0.2">
      <c r="C3688" s="198"/>
      <c r="D3688" s="198"/>
      <c r="E3688" s="537"/>
      <c r="G3688" s="198"/>
      <c r="H3688" s="123"/>
    </row>
    <row r="3689" spans="3:8" s="99" customFormat="1" x14ac:dyDescent="0.2">
      <c r="C3689" s="198"/>
      <c r="D3689" s="198"/>
      <c r="E3689" s="537"/>
      <c r="G3689" s="198"/>
      <c r="H3689" s="123"/>
    </row>
    <row r="3690" spans="3:8" s="99" customFormat="1" x14ac:dyDescent="0.2">
      <c r="C3690" s="198"/>
      <c r="D3690" s="198"/>
      <c r="E3690" s="537"/>
      <c r="G3690" s="198"/>
      <c r="H3690" s="123"/>
    </row>
    <row r="3691" spans="3:8" s="99" customFormat="1" x14ac:dyDescent="0.2">
      <c r="C3691" s="198"/>
      <c r="D3691" s="198"/>
      <c r="E3691" s="537"/>
      <c r="G3691" s="198"/>
      <c r="H3691" s="123"/>
    </row>
    <row r="3692" spans="3:8" s="99" customFormat="1" x14ac:dyDescent="0.2">
      <c r="C3692" s="198"/>
      <c r="D3692" s="198"/>
      <c r="E3692" s="537"/>
      <c r="G3692" s="198"/>
      <c r="H3692" s="123"/>
    </row>
    <row r="3693" spans="3:8" s="99" customFormat="1" x14ac:dyDescent="0.2">
      <c r="C3693" s="198"/>
      <c r="D3693" s="198"/>
      <c r="E3693" s="537"/>
      <c r="G3693" s="198"/>
      <c r="H3693" s="123"/>
    </row>
    <row r="3694" spans="3:8" s="99" customFormat="1" x14ac:dyDescent="0.2">
      <c r="C3694" s="198"/>
      <c r="D3694" s="198"/>
      <c r="E3694" s="537"/>
      <c r="G3694" s="198"/>
      <c r="H3694" s="123"/>
    </row>
    <row r="3695" spans="3:8" s="99" customFormat="1" x14ac:dyDescent="0.2">
      <c r="C3695" s="198"/>
      <c r="D3695" s="198"/>
      <c r="E3695" s="537"/>
      <c r="G3695" s="198"/>
      <c r="H3695" s="123"/>
    </row>
    <row r="3696" spans="3:8" s="99" customFormat="1" x14ac:dyDescent="0.2">
      <c r="C3696" s="198"/>
      <c r="D3696" s="198"/>
      <c r="E3696" s="537"/>
      <c r="G3696" s="198"/>
      <c r="H3696" s="123"/>
    </row>
    <row r="3697" spans="3:8" s="99" customFormat="1" x14ac:dyDescent="0.2">
      <c r="C3697" s="198"/>
      <c r="D3697" s="198"/>
      <c r="E3697" s="537"/>
      <c r="G3697" s="198"/>
      <c r="H3697" s="123"/>
    </row>
    <row r="3698" spans="3:8" s="99" customFormat="1" x14ac:dyDescent="0.2">
      <c r="C3698" s="198"/>
      <c r="D3698" s="198"/>
      <c r="E3698" s="537"/>
      <c r="G3698" s="198"/>
      <c r="H3698" s="123"/>
    </row>
    <row r="3699" spans="3:8" s="99" customFormat="1" x14ac:dyDescent="0.2">
      <c r="C3699" s="198"/>
      <c r="D3699" s="198"/>
      <c r="E3699" s="537"/>
      <c r="G3699" s="198"/>
      <c r="H3699" s="123"/>
    </row>
    <row r="3700" spans="3:8" s="99" customFormat="1" x14ac:dyDescent="0.2">
      <c r="C3700" s="198"/>
      <c r="D3700" s="198"/>
      <c r="E3700" s="537"/>
      <c r="G3700" s="198"/>
      <c r="H3700" s="123"/>
    </row>
    <row r="3701" spans="3:8" s="99" customFormat="1" x14ac:dyDescent="0.2">
      <c r="C3701" s="198"/>
      <c r="D3701" s="198"/>
      <c r="E3701" s="537"/>
      <c r="G3701" s="198"/>
      <c r="H3701" s="123"/>
    </row>
    <row r="3702" spans="3:8" s="99" customFormat="1" x14ac:dyDescent="0.2">
      <c r="C3702" s="198"/>
      <c r="D3702" s="198"/>
      <c r="E3702" s="537"/>
      <c r="G3702" s="198"/>
      <c r="H3702" s="123"/>
    </row>
    <row r="3703" spans="3:8" s="99" customFormat="1" x14ac:dyDescent="0.2">
      <c r="C3703" s="198"/>
      <c r="D3703" s="198"/>
      <c r="E3703" s="537"/>
      <c r="G3703" s="198"/>
      <c r="H3703" s="123"/>
    </row>
    <row r="3704" spans="3:8" s="99" customFormat="1" x14ac:dyDescent="0.2">
      <c r="C3704" s="198"/>
      <c r="D3704" s="198"/>
      <c r="E3704" s="537"/>
      <c r="G3704" s="198"/>
      <c r="H3704" s="123"/>
    </row>
    <row r="3705" spans="3:8" s="99" customFormat="1" x14ac:dyDescent="0.2">
      <c r="C3705" s="198"/>
      <c r="D3705" s="198"/>
      <c r="E3705" s="537"/>
      <c r="G3705" s="198"/>
      <c r="H3705" s="123"/>
    </row>
    <row r="3706" spans="3:8" s="99" customFormat="1" x14ac:dyDescent="0.2">
      <c r="C3706" s="198"/>
      <c r="D3706" s="198"/>
      <c r="E3706" s="537"/>
      <c r="G3706" s="198"/>
      <c r="H3706" s="123"/>
    </row>
    <row r="3707" spans="3:8" s="99" customFormat="1" x14ac:dyDescent="0.2">
      <c r="C3707" s="198"/>
      <c r="D3707" s="198"/>
      <c r="E3707" s="537"/>
      <c r="G3707" s="198"/>
      <c r="H3707" s="123"/>
    </row>
    <row r="3708" spans="3:8" s="99" customFormat="1" x14ac:dyDescent="0.2">
      <c r="C3708" s="198"/>
      <c r="D3708" s="198"/>
      <c r="E3708" s="537"/>
      <c r="G3708" s="198"/>
      <c r="H3708" s="123"/>
    </row>
    <row r="3709" spans="3:8" s="99" customFormat="1" x14ac:dyDescent="0.2">
      <c r="C3709" s="198"/>
      <c r="D3709" s="198"/>
      <c r="E3709" s="537"/>
      <c r="G3709" s="198"/>
      <c r="H3709" s="123"/>
    </row>
    <row r="3710" spans="3:8" s="99" customFormat="1" x14ac:dyDescent="0.2">
      <c r="C3710" s="198"/>
      <c r="D3710" s="198"/>
      <c r="E3710" s="537"/>
      <c r="G3710" s="198"/>
      <c r="H3710" s="123"/>
    </row>
    <row r="3711" spans="3:8" s="99" customFormat="1" x14ac:dyDescent="0.2">
      <c r="C3711" s="198"/>
      <c r="D3711" s="198"/>
      <c r="E3711" s="537"/>
      <c r="G3711" s="198"/>
      <c r="H3711" s="123"/>
    </row>
    <row r="3712" spans="3:8" s="99" customFormat="1" x14ac:dyDescent="0.2">
      <c r="C3712" s="198"/>
      <c r="D3712" s="198"/>
      <c r="E3712" s="537"/>
      <c r="G3712" s="198"/>
      <c r="H3712" s="123"/>
    </row>
    <row r="3713" spans="3:8" s="99" customFormat="1" x14ac:dyDescent="0.2">
      <c r="C3713" s="198"/>
      <c r="D3713" s="198"/>
      <c r="E3713" s="537"/>
      <c r="G3713" s="198"/>
      <c r="H3713" s="123"/>
    </row>
    <row r="3714" spans="3:8" s="99" customFormat="1" x14ac:dyDescent="0.2">
      <c r="C3714" s="198"/>
      <c r="D3714" s="198"/>
      <c r="E3714" s="537"/>
      <c r="G3714" s="198"/>
      <c r="H3714" s="123"/>
    </row>
    <row r="3715" spans="3:8" s="99" customFormat="1" x14ac:dyDescent="0.2">
      <c r="C3715" s="198"/>
      <c r="D3715" s="198"/>
      <c r="E3715" s="537"/>
      <c r="G3715" s="198"/>
      <c r="H3715" s="123"/>
    </row>
    <row r="3716" spans="3:8" s="99" customFormat="1" x14ac:dyDescent="0.2">
      <c r="C3716" s="198"/>
      <c r="D3716" s="198"/>
      <c r="E3716" s="537"/>
      <c r="G3716" s="198"/>
      <c r="H3716" s="123"/>
    </row>
    <row r="3717" spans="3:8" s="99" customFormat="1" x14ac:dyDescent="0.2">
      <c r="C3717" s="198"/>
      <c r="D3717" s="198"/>
      <c r="E3717" s="537"/>
      <c r="G3717" s="198"/>
      <c r="H3717" s="123"/>
    </row>
    <row r="3718" spans="3:8" s="99" customFormat="1" x14ac:dyDescent="0.2">
      <c r="C3718" s="198"/>
      <c r="D3718" s="198"/>
      <c r="E3718" s="537"/>
      <c r="G3718" s="198"/>
      <c r="H3718" s="123"/>
    </row>
    <row r="3719" spans="3:8" s="99" customFormat="1" x14ac:dyDescent="0.2">
      <c r="C3719" s="198"/>
      <c r="D3719" s="198"/>
      <c r="E3719" s="537"/>
      <c r="G3719" s="198"/>
      <c r="H3719" s="123"/>
    </row>
    <row r="3720" spans="3:8" s="99" customFormat="1" x14ac:dyDescent="0.2">
      <c r="C3720" s="198"/>
      <c r="D3720" s="198"/>
      <c r="E3720" s="537"/>
      <c r="G3720" s="198"/>
      <c r="H3720" s="123"/>
    </row>
    <row r="3721" spans="3:8" s="99" customFormat="1" x14ac:dyDescent="0.2">
      <c r="C3721" s="198"/>
      <c r="D3721" s="198"/>
      <c r="E3721" s="537"/>
      <c r="G3721" s="198"/>
      <c r="H3721" s="123"/>
    </row>
    <row r="3722" spans="3:8" s="99" customFormat="1" x14ac:dyDescent="0.2">
      <c r="C3722" s="198"/>
      <c r="D3722" s="198"/>
      <c r="E3722" s="537"/>
      <c r="G3722" s="198"/>
      <c r="H3722" s="123"/>
    </row>
    <row r="3723" spans="3:8" s="99" customFormat="1" x14ac:dyDescent="0.2">
      <c r="C3723" s="198"/>
      <c r="D3723" s="198"/>
      <c r="E3723" s="537"/>
      <c r="G3723" s="198"/>
      <c r="H3723" s="123"/>
    </row>
    <row r="3724" spans="3:8" s="99" customFormat="1" x14ac:dyDescent="0.2">
      <c r="C3724" s="198"/>
      <c r="D3724" s="198"/>
      <c r="E3724" s="537"/>
      <c r="G3724" s="198"/>
      <c r="H3724" s="123"/>
    </row>
    <row r="3725" spans="3:8" s="99" customFormat="1" x14ac:dyDescent="0.2">
      <c r="C3725" s="198"/>
      <c r="D3725" s="198"/>
      <c r="E3725" s="537"/>
      <c r="G3725" s="198"/>
      <c r="H3725" s="123"/>
    </row>
    <row r="3726" spans="3:8" s="99" customFormat="1" x14ac:dyDescent="0.2">
      <c r="C3726" s="198"/>
      <c r="D3726" s="198"/>
      <c r="E3726" s="537"/>
      <c r="G3726" s="198"/>
      <c r="H3726" s="123"/>
    </row>
    <row r="3727" spans="3:8" s="99" customFormat="1" x14ac:dyDescent="0.2">
      <c r="C3727" s="198"/>
      <c r="D3727" s="198"/>
      <c r="E3727" s="537"/>
      <c r="G3727" s="198"/>
      <c r="H3727" s="123"/>
    </row>
    <row r="3728" spans="3:8" s="99" customFormat="1" x14ac:dyDescent="0.2">
      <c r="C3728" s="198"/>
      <c r="D3728" s="198"/>
      <c r="E3728" s="537"/>
      <c r="G3728" s="198"/>
      <c r="H3728" s="123"/>
    </row>
    <row r="3729" spans="3:8" s="99" customFormat="1" x14ac:dyDescent="0.2">
      <c r="C3729" s="198"/>
      <c r="D3729" s="198"/>
      <c r="E3729" s="537"/>
      <c r="G3729" s="198"/>
      <c r="H3729" s="123"/>
    </row>
    <row r="3730" spans="3:8" s="99" customFormat="1" x14ac:dyDescent="0.2">
      <c r="C3730" s="198"/>
      <c r="D3730" s="198"/>
      <c r="E3730" s="537"/>
      <c r="G3730" s="198"/>
      <c r="H3730" s="123"/>
    </row>
    <row r="3731" spans="3:8" s="99" customFormat="1" x14ac:dyDescent="0.2">
      <c r="C3731" s="198"/>
      <c r="D3731" s="198"/>
      <c r="E3731" s="537"/>
      <c r="G3731" s="198"/>
      <c r="H3731" s="123"/>
    </row>
    <row r="3732" spans="3:8" s="99" customFormat="1" x14ac:dyDescent="0.2">
      <c r="C3732" s="198"/>
      <c r="D3732" s="198"/>
      <c r="E3732" s="537"/>
      <c r="G3732" s="198"/>
      <c r="H3732" s="123"/>
    </row>
    <row r="3733" spans="3:8" s="99" customFormat="1" x14ac:dyDescent="0.2">
      <c r="C3733" s="198"/>
      <c r="D3733" s="198"/>
      <c r="E3733" s="537"/>
      <c r="G3733" s="198"/>
      <c r="H3733" s="123"/>
    </row>
    <row r="3734" spans="3:8" s="99" customFormat="1" x14ac:dyDescent="0.2">
      <c r="C3734" s="198"/>
      <c r="D3734" s="198"/>
      <c r="E3734" s="537"/>
      <c r="G3734" s="198"/>
      <c r="H3734" s="123"/>
    </row>
    <row r="3735" spans="3:8" s="99" customFormat="1" x14ac:dyDescent="0.2">
      <c r="C3735" s="198"/>
      <c r="D3735" s="198"/>
      <c r="E3735" s="537"/>
      <c r="G3735" s="198"/>
      <c r="H3735" s="123"/>
    </row>
    <row r="3736" spans="3:8" s="99" customFormat="1" x14ac:dyDescent="0.2">
      <c r="C3736" s="198"/>
      <c r="D3736" s="198"/>
      <c r="E3736" s="537"/>
      <c r="G3736" s="198"/>
      <c r="H3736" s="123"/>
    </row>
    <row r="3737" spans="3:8" s="99" customFormat="1" x14ac:dyDescent="0.2">
      <c r="C3737" s="198"/>
      <c r="D3737" s="198"/>
      <c r="E3737" s="537"/>
      <c r="G3737" s="198"/>
      <c r="H3737" s="123"/>
    </row>
    <row r="3738" spans="3:8" s="99" customFormat="1" x14ac:dyDescent="0.2">
      <c r="C3738" s="198"/>
      <c r="D3738" s="198"/>
      <c r="E3738" s="537"/>
      <c r="G3738" s="198"/>
      <c r="H3738" s="123"/>
    </row>
    <row r="3739" spans="3:8" s="99" customFormat="1" x14ac:dyDescent="0.2">
      <c r="C3739" s="198"/>
      <c r="D3739" s="198"/>
      <c r="E3739" s="537"/>
      <c r="G3739" s="198"/>
      <c r="H3739" s="123"/>
    </row>
    <row r="3740" spans="3:8" s="99" customFormat="1" x14ac:dyDescent="0.2">
      <c r="C3740" s="198"/>
      <c r="D3740" s="198"/>
      <c r="E3740" s="537"/>
      <c r="G3740" s="198"/>
      <c r="H3740" s="123"/>
    </row>
    <row r="3741" spans="3:8" s="99" customFormat="1" x14ac:dyDescent="0.2">
      <c r="C3741" s="198"/>
      <c r="D3741" s="198"/>
      <c r="E3741" s="537"/>
      <c r="G3741" s="198"/>
      <c r="H3741" s="123"/>
    </row>
    <row r="3742" spans="3:8" s="99" customFormat="1" x14ac:dyDescent="0.2">
      <c r="C3742" s="198"/>
      <c r="D3742" s="198"/>
      <c r="E3742" s="537"/>
      <c r="G3742" s="198"/>
      <c r="H3742" s="123"/>
    </row>
    <row r="3743" spans="3:8" s="99" customFormat="1" x14ac:dyDescent="0.2">
      <c r="C3743" s="198"/>
      <c r="D3743" s="198"/>
      <c r="E3743" s="537"/>
      <c r="G3743" s="198"/>
      <c r="H3743" s="123"/>
    </row>
    <row r="3744" spans="3:8" s="99" customFormat="1" x14ac:dyDescent="0.2">
      <c r="C3744" s="198"/>
      <c r="D3744" s="198"/>
      <c r="E3744" s="537"/>
      <c r="G3744" s="198"/>
      <c r="H3744" s="123"/>
    </row>
    <row r="3745" spans="3:8" s="99" customFormat="1" x14ac:dyDescent="0.2">
      <c r="C3745" s="198"/>
      <c r="D3745" s="198"/>
      <c r="E3745" s="537"/>
      <c r="G3745" s="198"/>
      <c r="H3745" s="123"/>
    </row>
    <row r="3746" spans="3:8" s="99" customFormat="1" x14ac:dyDescent="0.2">
      <c r="C3746" s="198"/>
      <c r="D3746" s="198"/>
      <c r="E3746" s="537"/>
      <c r="G3746" s="198"/>
      <c r="H3746" s="123"/>
    </row>
    <row r="3747" spans="3:8" s="99" customFormat="1" x14ac:dyDescent="0.2">
      <c r="C3747" s="198"/>
      <c r="D3747" s="198"/>
      <c r="E3747" s="537"/>
      <c r="G3747" s="198"/>
      <c r="H3747" s="123"/>
    </row>
    <row r="3748" spans="3:8" s="99" customFormat="1" x14ac:dyDescent="0.2">
      <c r="C3748" s="198"/>
      <c r="D3748" s="198"/>
      <c r="E3748" s="537"/>
      <c r="G3748" s="198"/>
      <c r="H3748" s="123"/>
    </row>
    <row r="3749" spans="3:8" s="99" customFormat="1" x14ac:dyDescent="0.2">
      <c r="C3749" s="198"/>
      <c r="D3749" s="198"/>
      <c r="E3749" s="537"/>
      <c r="G3749" s="198"/>
      <c r="H3749" s="123"/>
    </row>
    <row r="3750" spans="3:8" s="99" customFormat="1" x14ac:dyDescent="0.2">
      <c r="C3750" s="198"/>
      <c r="D3750" s="198"/>
      <c r="E3750" s="537"/>
      <c r="G3750" s="198"/>
      <c r="H3750" s="123"/>
    </row>
    <row r="3751" spans="3:8" s="99" customFormat="1" x14ac:dyDescent="0.2">
      <c r="C3751" s="198"/>
      <c r="D3751" s="198"/>
      <c r="E3751" s="537"/>
      <c r="G3751" s="198"/>
      <c r="H3751" s="123"/>
    </row>
    <row r="3752" spans="3:8" s="99" customFormat="1" x14ac:dyDescent="0.2">
      <c r="C3752" s="198"/>
      <c r="D3752" s="198"/>
      <c r="E3752" s="537"/>
      <c r="G3752" s="198"/>
      <c r="H3752" s="123"/>
    </row>
    <row r="3753" spans="3:8" s="99" customFormat="1" x14ac:dyDescent="0.2">
      <c r="C3753" s="198"/>
      <c r="D3753" s="198"/>
      <c r="E3753" s="537"/>
      <c r="G3753" s="198"/>
      <c r="H3753" s="123"/>
    </row>
    <row r="3754" spans="3:8" s="99" customFormat="1" x14ac:dyDescent="0.2">
      <c r="C3754" s="198"/>
      <c r="D3754" s="198"/>
      <c r="E3754" s="537"/>
      <c r="G3754" s="198"/>
      <c r="H3754" s="123"/>
    </row>
    <row r="3755" spans="3:8" s="99" customFormat="1" x14ac:dyDescent="0.2">
      <c r="C3755" s="198"/>
      <c r="D3755" s="198"/>
      <c r="E3755" s="537"/>
      <c r="G3755" s="198"/>
      <c r="H3755" s="123"/>
    </row>
    <row r="3756" spans="3:8" s="99" customFormat="1" x14ac:dyDescent="0.2">
      <c r="C3756" s="198"/>
      <c r="D3756" s="198"/>
      <c r="E3756" s="537"/>
      <c r="G3756" s="198"/>
      <c r="H3756" s="123"/>
    </row>
    <row r="3757" spans="3:8" s="99" customFormat="1" x14ac:dyDescent="0.2">
      <c r="C3757" s="198"/>
      <c r="D3757" s="198"/>
      <c r="E3757" s="537"/>
      <c r="G3757" s="198"/>
      <c r="H3757" s="123"/>
    </row>
    <row r="3758" spans="3:8" s="99" customFormat="1" x14ac:dyDescent="0.2">
      <c r="C3758" s="198"/>
      <c r="D3758" s="198"/>
      <c r="E3758" s="537"/>
      <c r="G3758" s="198"/>
      <c r="H3758" s="123"/>
    </row>
    <row r="3759" spans="3:8" s="99" customFormat="1" x14ac:dyDescent="0.2">
      <c r="C3759" s="198"/>
      <c r="D3759" s="198"/>
      <c r="E3759" s="537"/>
      <c r="G3759" s="198"/>
      <c r="H3759" s="123"/>
    </row>
    <row r="3760" spans="3:8" s="99" customFormat="1" x14ac:dyDescent="0.2">
      <c r="C3760" s="198"/>
      <c r="D3760" s="198"/>
      <c r="E3760" s="537"/>
      <c r="G3760" s="198"/>
      <c r="H3760" s="123"/>
    </row>
    <row r="3761" spans="3:8" s="99" customFormat="1" x14ac:dyDescent="0.2">
      <c r="C3761" s="198"/>
      <c r="D3761" s="198"/>
      <c r="E3761" s="537"/>
      <c r="G3761" s="198"/>
      <c r="H3761" s="123"/>
    </row>
    <row r="3762" spans="3:8" s="99" customFormat="1" x14ac:dyDescent="0.2">
      <c r="C3762" s="198"/>
      <c r="D3762" s="198"/>
      <c r="E3762" s="537"/>
      <c r="G3762" s="198"/>
      <c r="H3762" s="123"/>
    </row>
    <row r="3763" spans="3:8" s="99" customFormat="1" x14ac:dyDescent="0.2">
      <c r="C3763" s="198"/>
      <c r="D3763" s="198"/>
      <c r="E3763" s="537"/>
      <c r="G3763" s="198"/>
      <c r="H3763" s="123"/>
    </row>
    <row r="3764" spans="3:8" s="99" customFormat="1" x14ac:dyDescent="0.2">
      <c r="C3764" s="198"/>
      <c r="D3764" s="198"/>
      <c r="E3764" s="537"/>
      <c r="G3764" s="198"/>
      <c r="H3764" s="123"/>
    </row>
    <row r="3765" spans="3:8" s="99" customFormat="1" x14ac:dyDescent="0.2">
      <c r="C3765" s="198"/>
      <c r="D3765" s="198"/>
      <c r="E3765" s="537"/>
      <c r="G3765" s="198"/>
      <c r="H3765" s="123"/>
    </row>
    <row r="3766" spans="3:8" s="99" customFormat="1" x14ac:dyDescent="0.2">
      <c r="C3766" s="198"/>
      <c r="D3766" s="198"/>
      <c r="E3766" s="537"/>
      <c r="G3766" s="198"/>
      <c r="H3766" s="123"/>
    </row>
    <row r="3767" spans="3:8" s="99" customFormat="1" x14ac:dyDescent="0.2">
      <c r="C3767" s="198"/>
      <c r="D3767" s="198"/>
      <c r="E3767" s="537"/>
      <c r="G3767" s="198"/>
      <c r="H3767" s="123"/>
    </row>
    <row r="3768" spans="3:8" s="99" customFormat="1" x14ac:dyDescent="0.2">
      <c r="C3768" s="198"/>
      <c r="D3768" s="198"/>
      <c r="E3768" s="537"/>
      <c r="G3768" s="198"/>
      <c r="H3768" s="123"/>
    </row>
    <row r="3769" spans="3:8" s="99" customFormat="1" x14ac:dyDescent="0.2">
      <c r="C3769" s="198"/>
      <c r="D3769" s="198"/>
      <c r="E3769" s="537"/>
      <c r="G3769" s="198"/>
      <c r="H3769" s="123"/>
    </row>
    <row r="3770" spans="3:8" s="99" customFormat="1" x14ac:dyDescent="0.2">
      <c r="C3770" s="198"/>
      <c r="D3770" s="198"/>
      <c r="E3770" s="537"/>
      <c r="G3770" s="198"/>
      <c r="H3770" s="123"/>
    </row>
    <row r="3771" spans="3:8" s="99" customFormat="1" x14ac:dyDescent="0.2">
      <c r="C3771" s="198"/>
      <c r="D3771" s="198"/>
      <c r="E3771" s="537"/>
      <c r="G3771" s="198"/>
      <c r="H3771" s="123"/>
    </row>
    <row r="3772" spans="3:8" s="99" customFormat="1" x14ac:dyDescent="0.2">
      <c r="C3772" s="198"/>
      <c r="D3772" s="198"/>
      <c r="E3772" s="537"/>
      <c r="G3772" s="198"/>
      <c r="H3772" s="123"/>
    </row>
    <row r="3773" spans="3:8" s="99" customFormat="1" x14ac:dyDescent="0.2">
      <c r="C3773" s="198"/>
      <c r="D3773" s="198"/>
      <c r="E3773" s="537"/>
      <c r="G3773" s="198"/>
      <c r="H3773" s="123"/>
    </row>
    <row r="3774" spans="3:8" s="99" customFormat="1" x14ac:dyDescent="0.2">
      <c r="C3774" s="198"/>
      <c r="D3774" s="198"/>
      <c r="E3774" s="537"/>
      <c r="G3774" s="198"/>
      <c r="H3774" s="123"/>
    </row>
    <row r="3775" spans="3:8" s="99" customFormat="1" x14ac:dyDescent="0.2">
      <c r="C3775" s="198"/>
      <c r="D3775" s="198"/>
      <c r="E3775" s="537"/>
      <c r="G3775" s="198"/>
      <c r="H3775" s="123"/>
    </row>
    <row r="3776" spans="3:8" s="99" customFormat="1" x14ac:dyDescent="0.2">
      <c r="C3776" s="198"/>
      <c r="D3776" s="198"/>
      <c r="E3776" s="537"/>
      <c r="G3776" s="198"/>
      <c r="H3776" s="123"/>
    </row>
    <row r="3777" spans="3:8" s="99" customFormat="1" x14ac:dyDescent="0.2">
      <c r="C3777" s="198"/>
      <c r="D3777" s="198"/>
      <c r="E3777" s="537"/>
      <c r="G3777" s="198"/>
      <c r="H3777" s="123"/>
    </row>
    <row r="3778" spans="3:8" s="99" customFormat="1" x14ac:dyDescent="0.2">
      <c r="C3778" s="198"/>
      <c r="D3778" s="198"/>
      <c r="E3778" s="537"/>
      <c r="G3778" s="198"/>
      <c r="H3778" s="123"/>
    </row>
    <row r="3779" spans="3:8" s="99" customFormat="1" x14ac:dyDescent="0.2">
      <c r="C3779" s="198"/>
      <c r="D3779" s="198"/>
      <c r="E3779" s="537"/>
      <c r="G3779" s="198"/>
      <c r="H3779" s="123"/>
    </row>
    <row r="3780" spans="3:8" s="99" customFormat="1" x14ac:dyDescent="0.2">
      <c r="C3780" s="198"/>
      <c r="D3780" s="198"/>
      <c r="E3780" s="537"/>
      <c r="G3780" s="198"/>
      <c r="H3780" s="123"/>
    </row>
    <row r="3781" spans="3:8" s="99" customFormat="1" x14ac:dyDescent="0.2">
      <c r="C3781" s="198"/>
      <c r="D3781" s="198"/>
      <c r="E3781" s="537"/>
      <c r="G3781" s="198"/>
      <c r="H3781" s="123"/>
    </row>
    <row r="3782" spans="3:8" s="99" customFormat="1" x14ac:dyDescent="0.2">
      <c r="C3782" s="198"/>
      <c r="D3782" s="198"/>
      <c r="E3782" s="537"/>
      <c r="G3782" s="198"/>
      <c r="H3782" s="123"/>
    </row>
    <row r="3783" spans="3:8" s="99" customFormat="1" x14ac:dyDescent="0.2">
      <c r="C3783" s="198"/>
      <c r="D3783" s="198"/>
      <c r="E3783" s="537"/>
      <c r="G3783" s="198"/>
      <c r="H3783" s="123"/>
    </row>
    <row r="3784" spans="3:8" s="99" customFormat="1" x14ac:dyDescent="0.2">
      <c r="C3784" s="198"/>
      <c r="D3784" s="198"/>
      <c r="E3784" s="537"/>
      <c r="G3784" s="198"/>
      <c r="H3784" s="123"/>
    </row>
    <row r="3785" spans="3:8" s="99" customFormat="1" x14ac:dyDescent="0.2">
      <c r="C3785" s="198"/>
      <c r="D3785" s="198"/>
      <c r="E3785" s="537"/>
      <c r="G3785" s="198"/>
      <c r="H3785" s="123"/>
    </row>
    <row r="3786" spans="3:8" s="99" customFormat="1" x14ac:dyDescent="0.2">
      <c r="C3786" s="198"/>
      <c r="D3786" s="198"/>
      <c r="E3786" s="537"/>
      <c r="G3786" s="198"/>
      <c r="H3786" s="123"/>
    </row>
    <row r="3787" spans="3:8" s="99" customFormat="1" x14ac:dyDescent="0.2">
      <c r="C3787" s="198"/>
      <c r="D3787" s="198"/>
      <c r="E3787" s="537"/>
      <c r="G3787" s="198"/>
      <c r="H3787" s="123"/>
    </row>
    <row r="3788" spans="3:8" s="99" customFormat="1" x14ac:dyDescent="0.2">
      <c r="C3788" s="198"/>
      <c r="D3788" s="198"/>
      <c r="E3788" s="537"/>
      <c r="G3788" s="198"/>
      <c r="H3788" s="123"/>
    </row>
    <row r="3789" spans="3:8" s="99" customFormat="1" x14ac:dyDescent="0.2">
      <c r="C3789" s="198"/>
      <c r="D3789" s="198"/>
      <c r="E3789" s="537"/>
      <c r="G3789" s="198"/>
      <c r="H3789" s="123"/>
    </row>
    <row r="3790" spans="3:8" s="99" customFormat="1" x14ac:dyDescent="0.2">
      <c r="C3790" s="198"/>
      <c r="D3790" s="198"/>
      <c r="E3790" s="537"/>
      <c r="G3790" s="198"/>
      <c r="H3790" s="123"/>
    </row>
    <row r="3791" spans="3:8" s="99" customFormat="1" x14ac:dyDescent="0.2">
      <c r="C3791" s="198"/>
      <c r="D3791" s="198"/>
      <c r="E3791" s="537"/>
      <c r="G3791" s="198"/>
      <c r="H3791" s="123"/>
    </row>
    <row r="3792" spans="3:8" s="99" customFormat="1" x14ac:dyDescent="0.2">
      <c r="C3792" s="198"/>
      <c r="D3792" s="198"/>
      <c r="E3792" s="537"/>
      <c r="G3792" s="198"/>
      <c r="H3792" s="123"/>
    </row>
    <row r="3793" spans="3:8" s="99" customFormat="1" x14ac:dyDescent="0.2">
      <c r="C3793" s="198"/>
      <c r="D3793" s="198"/>
      <c r="E3793" s="537"/>
      <c r="G3793" s="198"/>
      <c r="H3793" s="123"/>
    </row>
    <row r="3794" spans="3:8" s="99" customFormat="1" x14ac:dyDescent="0.2">
      <c r="C3794" s="198"/>
      <c r="D3794" s="198"/>
      <c r="E3794" s="537"/>
      <c r="G3794" s="198"/>
      <c r="H3794" s="123"/>
    </row>
    <row r="3795" spans="3:8" s="99" customFormat="1" x14ac:dyDescent="0.2">
      <c r="C3795" s="198"/>
      <c r="D3795" s="198"/>
      <c r="E3795" s="537"/>
      <c r="G3795" s="198"/>
      <c r="H3795" s="123"/>
    </row>
    <row r="3796" spans="3:8" s="99" customFormat="1" x14ac:dyDescent="0.2">
      <c r="C3796" s="198"/>
      <c r="D3796" s="198"/>
      <c r="E3796" s="537"/>
      <c r="G3796" s="198"/>
      <c r="H3796" s="123"/>
    </row>
    <row r="3797" spans="3:8" s="99" customFormat="1" x14ac:dyDescent="0.2">
      <c r="C3797" s="198"/>
      <c r="D3797" s="198"/>
      <c r="E3797" s="537"/>
      <c r="G3797" s="198"/>
      <c r="H3797" s="123"/>
    </row>
    <row r="3798" spans="3:8" s="99" customFormat="1" x14ac:dyDescent="0.2">
      <c r="C3798" s="198"/>
      <c r="D3798" s="198"/>
      <c r="E3798" s="537"/>
      <c r="G3798" s="198"/>
      <c r="H3798" s="123"/>
    </row>
    <row r="3799" spans="3:8" s="99" customFormat="1" x14ac:dyDescent="0.2">
      <c r="C3799" s="198"/>
      <c r="D3799" s="198"/>
      <c r="E3799" s="537"/>
      <c r="G3799" s="198"/>
      <c r="H3799" s="123"/>
    </row>
    <row r="3800" spans="3:8" s="99" customFormat="1" x14ac:dyDescent="0.2">
      <c r="C3800" s="198"/>
      <c r="D3800" s="198"/>
      <c r="E3800" s="537"/>
      <c r="G3800" s="198"/>
      <c r="H3800" s="123"/>
    </row>
    <row r="3801" spans="3:8" s="99" customFormat="1" x14ac:dyDescent="0.2">
      <c r="C3801" s="198"/>
      <c r="D3801" s="198"/>
      <c r="E3801" s="537"/>
      <c r="G3801" s="198"/>
      <c r="H3801" s="123"/>
    </row>
    <row r="3802" spans="3:8" s="99" customFormat="1" x14ac:dyDescent="0.2">
      <c r="C3802" s="198"/>
      <c r="D3802" s="198"/>
      <c r="E3802" s="537"/>
      <c r="G3802" s="198"/>
      <c r="H3802" s="123"/>
    </row>
    <row r="3803" spans="3:8" s="99" customFormat="1" x14ac:dyDescent="0.2">
      <c r="C3803" s="198"/>
      <c r="D3803" s="198"/>
      <c r="E3803" s="537"/>
      <c r="G3803" s="198"/>
      <c r="H3803" s="123"/>
    </row>
    <row r="3804" spans="3:8" s="99" customFormat="1" x14ac:dyDescent="0.2">
      <c r="C3804" s="198"/>
      <c r="D3804" s="198"/>
      <c r="E3804" s="537"/>
      <c r="G3804" s="198"/>
      <c r="H3804" s="123"/>
    </row>
    <row r="3805" spans="3:8" s="99" customFormat="1" x14ac:dyDescent="0.2">
      <c r="C3805" s="198"/>
      <c r="D3805" s="198"/>
      <c r="E3805" s="537"/>
      <c r="G3805" s="198"/>
      <c r="H3805" s="123"/>
    </row>
    <row r="3806" spans="3:8" s="99" customFormat="1" x14ac:dyDescent="0.2">
      <c r="C3806" s="198"/>
      <c r="D3806" s="198"/>
      <c r="E3806" s="537"/>
      <c r="G3806" s="198"/>
      <c r="H3806" s="123"/>
    </row>
    <row r="3807" spans="3:8" s="99" customFormat="1" x14ac:dyDescent="0.2">
      <c r="C3807" s="198"/>
      <c r="D3807" s="198"/>
      <c r="E3807" s="537"/>
      <c r="G3807" s="198"/>
      <c r="H3807" s="123"/>
    </row>
    <row r="3808" spans="3:8" s="99" customFormat="1" x14ac:dyDescent="0.2">
      <c r="C3808" s="198"/>
      <c r="D3808" s="198"/>
      <c r="E3808" s="537"/>
      <c r="G3808" s="198"/>
      <c r="H3808" s="123"/>
    </row>
    <row r="3809" spans="3:8" s="99" customFormat="1" x14ac:dyDescent="0.2">
      <c r="C3809" s="198"/>
      <c r="D3809" s="198"/>
      <c r="E3809" s="537"/>
      <c r="G3809" s="198"/>
      <c r="H3809" s="123"/>
    </row>
    <row r="3810" spans="3:8" s="99" customFormat="1" x14ac:dyDescent="0.2">
      <c r="C3810" s="198"/>
      <c r="D3810" s="198"/>
      <c r="E3810" s="537"/>
      <c r="G3810" s="198"/>
      <c r="H3810" s="123"/>
    </row>
    <row r="3811" spans="3:8" s="99" customFormat="1" x14ac:dyDescent="0.2">
      <c r="C3811" s="198"/>
      <c r="D3811" s="198"/>
      <c r="E3811" s="537"/>
      <c r="G3811" s="198"/>
      <c r="H3811" s="123"/>
    </row>
    <row r="3812" spans="3:8" s="99" customFormat="1" x14ac:dyDescent="0.2">
      <c r="C3812" s="198"/>
      <c r="D3812" s="198"/>
      <c r="E3812" s="537"/>
      <c r="G3812" s="198"/>
      <c r="H3812" s="123"/>
    </row>
    <row r="3813" spans="3:8" s="99" customFormat="1" x14ac:dyDescent="0.2">
      <c r="C3813" s="198"/>
      <c r="D3813" s="198"/>
      <c r="E3813" s="537"/>
      <c r="G3813" s="198"/>
      <c r="H3813" s="123"/>
    </row>
    <row r="3814" spans="3:8" s="99" customFormat="1" x14ac:dyDescent="0.2">
      <c r="C3814" s="198"/>
      <c r="D3814" s="198"/>
      <c r="E3814" s="537"/>
      <c r="G3814" s="198"/>
      <c r="H3814" s="123"/>
    </row>
    <row r="3815" spans="3:8" s="99" customFormat="1" x14ac:dyDescent="0.2">
      <c r="C3815" s="198"/>
      <c r="D3815" s="198"/>
      <c r="E3815" s="537"/>
      <c r="G3815" s="198"/>
      <c r="H3815" s="123"/>
    </row>
    <row r="3816" spans="3:8" s="99" customFormat="1" x14ac:dyDescent="0.2">
      <c r="C3816" s="198"/>
      <c r="D3816" s="198"/>
      <c r="E3816" s="537"/>
      <c r="G3816" s="198"/>
      <c r="H3816" s="123"/>
    </row>
    <row r="3817" spans="3:8" s="99" customFormat="1" x14ac:dyDescent="0.2">
      <c r="C3817" s="198"/>
      <c r="D3817" s="198"/>
      <c r="E3817" s="537"/>
      <c r="G3817" s="198"/>
      <c r="H3817" s="123"/>
    </row>
    <row r="3818" spans="3:8" s="99" customFormat="1" x14ac:dyDescent="0.2">
      <c r="C3818" s="198"/>
      <c r="D3818" s="198"/>
      <c r="E3818" s="537"/>
      <c r="G3818" s="198"/>
      <c r="H3818" s="123"/>
    </row>
    <row r="3819" spans="3:8" s="99" customFormat="1" x14ac:dyDescent="0.2">
      <c r="C3819" s="198"/>
      <c r="D3819" s="198"/>
      <c r="E3819" s="537"/>
      <c r="G3819" s="198"/>
      <c r="H3819" s="123"/>
    </row>
    <row r="3820" spans="3:8" s="99" customFormat="1" x14ac:dyDescent="0.2">
      <c r="C3820" s="198"/>
      <c r="D3820" s="198"/>
      <c r="E3820" s="537"/>
      <c r="G3820" s="198"/>
      <c r="H3820" s="123"/>
    </row>
    <row r="3821" spans="3:8" s="99" customFormat="1" x14ac:dyDescent="0.2">
      <c r="C3821" s="198"/>
      <c r="D3821" s="198"/>
      <c r="E3821" s="537"/>
      <c r="G3821" s="198"/>
      <c r="H3821" s="123"/>
    </row>
    <row r="3822" spans="3:8" s="99" customFormat="1" x14ac:dyDescent="0.2">
      <c r="C3822" s="198"/>
      <c r="D3822" s="198"/>
      <c r="E3822" s="537"/>
      <c r="G3822" s="198"/>
      <c r="H3822" s="123"/>
    </row>
    <row r="3823" spans="3:8" s="99" customFormat="1" x14ac:dyDescent="0.2">
      <c r="C3823" s="198"/>
      <c r="D3823" s="198"/>
      <c r="E3823" s="537"/>
      <c r="G3823" s="198"/>
      <c r="H3823" s="123"/>
    </row>
    <row r="3824" spans="3:8" s="99" customFormat="1" x14ac:dyDescent="0.2">
      <c r="C3824" s="198"/>
      <c r="D3824" s="198"/>
      <c r="E3824" s="537"/>
      <c r="G3824" s="198"/>
      <c r="H3824" s="123"/>
    </row>
    <row r="3825" spans="3:8" s="99" customFormat="1" x14ac:dyDescent="0.2">
      <c r="C3825" s="198"/>
      <c r="D3825" s="198"/>
      <c r="E3825" s="537"/>
      <c r="G3825" s="198"/>
      <c r="H3825" s="123"/>
    </row>
    <row r="3826" spans="3:8" s="99" customFormat="1" x14ac:dyDescent="0.2">
      <c r="C3826" s="198"/>
      <c r="D3826" s="198"/>
      <c r="E3826" s="537"/>
      <c r="G3826" s="198"/>
      <c r="H3826" s="123"/>
    </row>
    <row r="3827" spans="3:8" s="99" customFormat="1" x14ac:dyDescent="0.2">
      <c r="C3827" s="198"/>
      <c r="D3827" s="198"/>
      <c r="E3827" s="537"/>
      <c r="G3827" s="198"/>
      <c r="H3827" s="123"/>
    </row>
    <row r="3828" spans="3:8" s="99" customFormat="1" x14ac:dyDescent="0.2">
      <c r="C3828" s="198"/>
      <c r="D3828" s="198"/>
      <c r="E3828" s="537"/>
      <c r="G3828" s="198"/>
      <c r="H3828" s="123"/>
    </row>
    <row r="3829" spans="3:8" s="99" customFormat="1" x14ac:dyDescent="0.2">
      <c r="C3829" s="198"/>
      <c r="D3829" s="198"/>
      <c r="E3829" s="537"/>
      <c r="G3829" s="198"/>
      <c r="H3829" s="123"/>
    </row>
    <row r="3830" spans="3:8" s="99" customFormat="1" x14ac:dyDescent="0.2">
      <c r="C3830" s="198"/>
      <c r="D3830" s="198"/>
      <c r="E3830" s="537"/>
      <c r="G3830" s="198"/>
      <c r="H3830" s="123"/>
    </row>
    <row r="3831" spans="3:8" s="99" customFormat="1" x14ac:dyDescent="0.2">
      <c r="C3831" s="198"/>
      <c r="D3831" s="198"/>
      <c r="E3831" s="537"/>
      <c r="G3831" s="198"/>
      <c r="H3831" s="123"/>
    </row>
    <row r="3832" spans="3:8" s="99" customFormat="1" x14ac:dyDescent="0.2">
      <c r="C3832" s="198"/>
      <c r="D3832" s="198"/>
      <c r="E3832" s="537"/>
      <c r="G3832" s="198"/>
      <c r="H3832" s="123"/>
    </row>
    <row r="3833" spans="3:8" s="99" customFormat="1" x14ac:dyDescent="0.2">
      <c r="C3833" s="198"/>
      <c r="D3833" s="198"/>
      <c r="E3833" s="537"/>
      <c r="G3833" s="198"/>
      <c r="H3833" s="123"/>
    </row>
    <row r="3834" spans="3:8" s="99" customFormat="1" x14ac:dyDescent="0.2">
      <c r="C3834" s="198"/>
      <c r="D3834" s="198"/>
      <c r="E3834" s="537"/>
      <c r="G3834" s="198"/>
      <c r="H3834" s="123"/>
    </row>
    <row r="3835" spans="3:8" s="99" customFormat="1" x14ac:dyDescent="0.2">
      <c r="C3835" s="198"/>
      <c r="D3835" s="198"/>
      <c r="E3835" s="537"/>
      <c r="G3835" s="198"/>
      <c r="H3835" s="123"/>
    </row>
    <row r="3836" spans="3:8" s="99" customFormat="1" x14ac:dyDescent="0.2">
      <c r="C3836" s="198"/>
      <c r="D3836" s="198"/>
      <c r="E3836" s="537"/>
      <c r="G3836" s="198"/>
      <c r="H3836" s="123"/>
    </row>
    <row r="3837" spans="3:8" s="99" customFormat="1" x14ac:dyDescent="0.2">
      <c r="C3837" s="198"/>
      <c r="D3837" s="198"/>
      <c r="E3837" s="537"/>
      <c r="G3837" s="198"/>
      <c r="H3837" s="123"/>
    </row>
    <row r="3838" spans="3:8" s="99" customFormat="1" x14ac:dyDescent="0.2">
      <c r="C3838" s="198"/>
      <c r="D3838" s="198"/>
      <c r="E3838" s="537"/>
      <c r="G3838" s="198"/>
      <c r="H3838" s="123"/>
    </row>
    <row r="3839" spans="3:8" s="99" customFormat="1" x14ac:dyDescent="0.2">
      <c r="C3839" s="198"/>
      <c r="D3839" s="198"/>
      <c r="E3839" s="537"/>
      <c r="G3839" s="198"/>
      <c r="H3839" s="123"/>
    </row>
    <row r="3840" spans="3:8" s="99" customFormat="1" x14ac:dyDescent="0.2">
      <c r="C3840" s="198"/>
      <c r="D3840" s="198"/>
      <c r="E3840" s="537"/>
      <c r="G3840" s="198"/>
      <c r="H3840" s="123"/>
    </row>
    <row r="3841" spans="3:8" s="99" customFormat="1" x14ac:dyDescent="0.2">
      <c r="C3841" s="198"/>
      <c r="D3841" s="198"/>
      <c r="E3841" s="537"/>
      <c r="G3841" s="198"/>
      <c r="H3841" s="123"/>
    </row>
    <row r="3842" spans="3:8" s="99" customFormat="1" x14ac:dyDescent="0.2">
      <c r="C3842" s="198"/>
      <c r="D3842" s="198"/>
      <c r="E3842" s="537"/>
      <c r="G3842" s="198"/>
      <c r="H3842" s="123"/>
    </row>
    <row r="3843" spans="3:8" s="99" customFormat="1" x14ac:dyDescent="0.2">
      <c r="C3843" s="198"/>
      <c r="D3843" s="198"/>
      <c r="E3843" s="537"/>
      <c r="G3843" s="198"/>
      <c r="H3843" s="123"/>
    </row>
    <row r="3844" spans="3:8" s="99" customFormat="1" x14ac:dyDescent="0.2">
      <c r="C3844" s="198"/>
      <c r="D3844" s="198"/>
      <c r="E3844" s="537"/>
      <c r="G3844" s="198"/>
      <c r="H3844" s="123"/>
    </row>
    <row r="3845" spans="3:8" s="99" customFormat="1" x14ac:dyDescent="0.2">
      <c r="C3845" s="198"/>
      <c r="D3845" s="198"/>
      <c r="E3845" s="537"/>
      <c r="G3845" s="198"/>
      <c r="H3845" s="123"/>
    </row>
    <row r="3846" spans="3:8" s="99" customFormat="1" x14ac:dyDescent="0.2">
      <c r="C3846" s="198"/>
      <c r="D3846" s="198"/>
      <c r="E3846" s="537"/>
      <c r="G3846" s="198"/>
      <c r="H3846" s="123"/>
    </row>
    <row r="3847" spans="3:8" s="99" customFormat="1" x14ac:dyDescent="0.2">
      <c r="C3847" s="198"/>
      <c r="D3847" s="198"/>
      <c r="E3847" s="537"/>
      <c r="G3847" s="198"/>
      <c r="H3847" s="123"/>
    </row>
    <row r="3848" spans="3:8" s="99" customFormat="1" x14ac:dyDescent="0.2">
      <c r="C3848" s="198"/>
      <c r="D3848" s="198"/>
      <c r="E3848" s="537"/>
      <c r="G3848" s="198"/>
      <c r="H3848" s="123"/>
    </row>
    <row r="3849" spans="3:8" s="99" customFormat="1" x14ac:dyDescent="0.2">
      <c r="C3849" s="198"/>
      <c r="D3849" s="198"/>
      <c r="E3849" s="537"/>
      <c r="G3849" s="198"/>
      <c r="H3849" s="123"/>
    </row>
    <row r="3850" spans="3:8" s="99" customFormat="1" x14ac:dyDescent="0.2">
      <c r="C3850" s="198"/>
      <c r="D3850" s="198"/>
      <c r="E3850" s="537"/>
      <c r="G3850" s="198"/>
      <c r="H3850" s="123"/>
    </row>
    <row r="3851" spans="3:8" s="99" customFormat="1" x14ac:dyDescent="0.2">
      <c r="C3851" s="198"/>
      <c r="D3851" s="198"/>
      <c r="E3851" s="537"/>
      <c r="G3851" s="198"/>
      <c r="H3851" s="123"/>
    </row>
    <row r="3852" spans="3:8" s="99" customFormat="1" x14ac:dyDescent="0.2">
      <c r="C3852" s="198"/>
      <c r="D3852" s="198"/>
      <c r="E3852" s="537"/>
      <c r="G3852" s="198"/>
      <c r="H3852" s="123"/>
    </row>
    <row r="3853" spans="3:8" s="99" customFormat="1" x14ac:dyDescent="0.2">
      <c r="C3853" s="198"/>
      <c r="D3853" s="198"/>
      <c r="E3853" s="537"/>
      <c r="G3853" s="198"/>
      <c r="H3853" s="123"/>
    </row>
    <row r="3854" spans="3:8" s="99" customFormat="1" x14ac:dyDescent="0.2">
      <c r="C3854" s="198"/>
      <c r="D3854" s="198"/>
      <c r="E3854" s="537"/>
      <c r="G3854" s="198"/>
      <c r="H3854" s="123"/>
    </row>
    <row r="3855" spans="3:8" s="99" customFormat="1" x14ac:dyDescent="0.2">
      <c r="C3855" s="198"/>
      <c r="D3855" s="198"/>
      <c r="E3855" s="537"/>
      <c r="G3855" s="198"/>
      <c r="H3855" s="123"/>
    </row>
    <row r="3856" spans="3:8" s="99" customFormat="1" x14ac:dyDescent="0.2">
      <c r="C3856" s="198"/>
      <c r="D3856" s="198"/>
      <c r="E3856" s="537"/>
      <c r="G3856" s="198"/>
      <c r="H3856" s="123"/>
    </row>
    <row r="3857" spans="3:8" s="99" customFormat="1" x14ac:dyDescent="0.2">
      <c r="C3857" s="198"/>
      <c r="D3857" s="198"/>
      <c r="E3857" s="537"/>
      <c r="G3857" s="198"/>
      <c r="H3857" s="123"/>
    </row>
    <row r="3858" spans="3:8" s="99" customFormat="1" x14ac:dyDescent="0.2">
      <c r="C3858" s="198"/>
      <c r="D3858" s="198"/>
      <c r="E3858" s="537"/>
      <c r="G3858" s="198"/>
      <c r="H3858" s="123"/>
    </row>
    <row r="3859" spans="3:8" s="99" customFormat="1" x14ac:dyDescent="0.2">
      <c r="C3859" s="198"/>
      <c r="D3859" s="198"/>
      <c r="E3859" s="537"/>
      <c r="G3859" s="198"/>
      <c r="H3859" s="123"/>
    </row>
    <row r="3860" spans="3:8" s="99" customFormat="1" x14ac:dyDescent="0.2">
      <c r="C3860" s="198"/>
      <c r="D3860" s="198"/>
      <c r="E3860" s="537"/>
      <c r="G3860" s="198"/>
      <c r="H3860" s="123"/>
    </row>
    <row r="3861" spans="3:8" s="99" customFormat="1" x14ac:dyDescent="0.2">
      <c r="C3861" s="198"/>
      <c r="D3861" s="198"/>
      <c r="E3861" s="537"/>
      <c r="G3861" s="198"/>
      <c r="H3861" s="123"/>
    </row>
    <row r="3862" spans="3:8" s="99" customFormat="1" x14ac:dyDescent="0.2">
      <c r="C3862" s="198"/>
      <c r="D3862" s="198"/>
      <c r="E3862" s="537"/>
      <c r="G3862" s="198"/>
      <c r="H3862" s="123"/>
    </row>
    <row r="3863" spans="3:8" s="99" customFormat="1" x14ac:dyDescent="0.2">
      <c r="C3863" s="198"/>
      <c r="D3863" s="198"/>
      <c r="E3863" s="537"/>
      <c r="G3863" s="198"/>
      <c r="H3863" s="123"/>
    </row>
    <row r="3864" spans="3:8" s="99" customFormat="1" x14ac:dyDescent="0.2">
      <c r="C3864" s="198"/>
      <c r="D3864" s="198"/>
      <c r="E3864" s="537"/>
      <c r="G3864" s="198"/>
      <c r="H3864" s="123"/>
    </row>
    <row r="3865" spans="3:8" s="99" customFormat="1" x14ac:dyDescent="0.2">
      <c r="C3865" s="198"/>
      <c r="D3865" s="198"/>
      <c r="E3865" s="537"/>
      <c r="G3865" s="198"/>
      <c r="H3865" s="123"/>
    </row>
    <row r="3866" spans="3:8" s="99" customFormat="1" x14ac:dyDescent="0.2">
      <c r="C3866" s="198"/>
      <c r="D3866" s="198"/>
      <c r="E3866" s="537"/>
      <c r="G3866" s="198"/>
      <c r="H3866" s="123"/>
    </row>
    <row r="3867" spans="3:8" s="99" customFormat="1" x14ac:dyDescent="0.2">
      <c r="C3867" s="198"/>
      <c r="D3867" s="198"/>
      <c r="E3867" s="537"/>
      <c r="G3867" s="198"/>
      <c r="H3867" s="123"/>
    </row>
    <row r="3868" spans="3:8" s="99" customFormat="1" x14ac:dyDescent="0.2">
      <c r="C3868" s="198"/>
      <c r="D3868" s="198"/>
      <c r="E3868" s="537"/>
      <c r="G3868" s="198"/>
      <c r="H3868" s="123"/>
    </row>
    <row r="3869" spans="3:8" s="99" customFormat="1" x14ac:dyDescent="0.2">
      <c r="C3869" s="198"/>
      <c r="D3869" s="198"/>
      <c r="E3869" s="537"/>
      <c r="G3869" s="198"/>
      <c r="H3869" s="123"/>
    </row>
    <row r="3870" spans="3:8" s="99" customFormat="1" x14ac:dyDescent="0.2">
      <c r="C3870" s="198"/>
      <c r="D3870" s="198"/>
      <c r="E3870" s="537"/>
      <c r="G3870" s="198"/>
      <c r="H3870" s="123"/>
    </row>
    <row r="3871" spans="3:8" s="99" customFormat="1" x14ac:dyDescent="0.2">
      <c r="C3871" s="198"/>
      <c r="D3871" s="198"/>
      <c r="E3871" s="537"/>
      <c r="G3871" s="198"/>
      <c r="H3871" s="123"/>
    </row>
    <row r="3872" spans="3:8" s="99" customFormat="1" x14ac:dyDescent="0.2">
      <c r="C3872" s="198"/>
      <c r="D3872" s="198"/>
      <c r="E3872" s="537"/>
      <c r="G3872" s="198"/>
      <c r="H3872" s="123"/>
    </row>
    <row r="3873" spans="3:8" s="99" customFormat="1" x14ac:dyDescent="0.2">
      <c r="C3873" s="198"/>
      <c r="D3873" s="198"/>
      <c r="E3873" s="537"/>
      <c r="G3873" s="198"/>
      <c r="H3873" s="123"/>
    </row>
    <row r="3874" spans="3:8" s="99" customFormat="1" x14ac:dyDescent="0.2">
      <c r="C3874" s="198"/>
      <c r="D3874" s="198"/>
      <c r="E3874" s="537"/>
      <c r="G3874" s="198"/>
      <c r="H3874" s="123"/>
    </row>
    <row r="3875" spans="3:8" s="99" customFormat="1" x14ac:dyDescent="0.2">
      <c r="C3875" s="198"/>
      <c r="D3875" s="198"/>
      <c r="E3875" s="537"/>
      <c r="G3875" s="198"/>
      <c r="H3875" s="123"/>
    </row>
    <row r="3876" spans="3:8" s="99" customFormat="1" x14ac:dyDescent="0.2">
      <c r="C3876" s="198"/>
      <c r="D3876" s="198"/>
      <c r="E3876" s="537"/>
      <c r="G3876" s="198"/>
      <c r="H3876" s="123"/>
    </row>
    <row r="3877" spans="3:8" s="99" customFormat="1" x14ac:dyDescent="0.2">
      <c r="C3877" s="198"/>
      <c r="D3877" s="198"/>
      <c r="E3877" s="537"/>
      <c r="G3877" s="198"/>
      <c r="H3877" s="123"/>
    </row>
    <row r="3878" spans="3:8" s="99" customFormat="1" x14ac:dyDescent="0.2">
      <c r="C3878" s="198"/>
      <c r="D3878" s="198"/>
      <c r="E3878" s="537"/>
      <c r="G3878" s="198"/>
      <c r="H3878" s="123"/>
    </row>
    <row r="3879" spans="3:8" s="99" customFormat="1" x14ac:dyDescent="0.2">
      <c r="C3879" s="198"/>
      <c r="D3879" s="198"/>
      <c r="E3879" s="537"/>
      <c r="G3879" s="198"/>
      <c r="H3879" s="123"/>
    </row>
    <row r="3880" spans="3:8" s="99" customFormat="1" x14ac:dyDescent="0.2">
      <c r="C3880" s="198"/>
      <c r="D3880" s="198"/>
      <c r="E3880" s="537"/>
      <c r="G3880" s="198"/>
      <c r="H3880" s="123"/>
    </row>
    <row r="3881" spans="3:8" s="99" customFormat="1" x14ac:dyDescent="0.2">
      <c r="C3881" s="198"/>
      <c r="D3881" s="198"/>
      <c r="E3881" s="537"/>
      <c r="G3881" s="198"/>
      <c r="H3881" s="123"/>
    </row>
    <row r="3882" spans="3:8" s="99" customFormat="1" x14ac:dyDescent="0.2">
      <c r="C3882" s="198"/>
      <c r="D3882" s="198"/>
      <c r="E3882" s="537"/>
      <c r="G3882" s="198"/>
      <c r="H3882" s="123"/>
    </row>
    <row r="3883" spans="3:8" s="99" customFormat="1" x14ac:dyDescent="0.2">
      <c r="C3883" s="198"/>
      <c r="D3883" s="198"/>
      <c r="E3883" s="537"/>
      <c r="G3883" s="198"/>
      <c r="H3883" s="123"/>
    </row>
    <row r="3884" spans="3:8" s="99" customFormat="1" x14ac:dyDescent="0.2">
      <c r="C3884" s="198"/>
      <c r="D3884" s="198"/>
      <c r="E3884" s="537"/>
      <c r="G3884" s="198"/>
      <c r="H3884" s="123"/>
    </row>
    <row r="3885" spans="3:8" s="99" customFormat="1" x14ac:dyDescent="0.2">
      <c r="C3885" s="198"/>
      <c r="D3885" s="198"/>
      <c r="E3885" s="537"/>
      <c r="G3885" s="198"/>
      <c r="H3885" s="123"/>
    </row>
    <row r="3886" spans="3:8" s="99" customFormat="1" x14ac:dyDescent="0.2">
      <c r="C3886" s="198"/>
      <c r="D3886" s="198"/>
      <c r="E3886" s="537"/>
      <c r="G3886" s="198"/>
      <c r="H3886" s="123"/>
    </row>
    <row r="3887" spans="3:8" s="99" customFormat="1" x14ac:dyDescent="0.2">
      <c r="C3887" s="198"/>
      <c r="D3887" s="198"/>
      <c r="E3887" s="537"/>
      <c r="G3887" s="198"/>
      <c r="H3887" s="123"/>
    </row>
    <row r="3888" spans="3:8" s="99" customFormat="1" x14ac:dyDescent="0.2">
      <c r="C3888" s="198"/>
      <c r="D3888" s="198"/>
      <c r="E3888" s="537"/>
      <c r="G3888" s="198"/>
      <c r="H3888" s="123"/>
    </row>
    <row r="3889" spans="3:8" s="99" customFormat="1" x14ac:dyDescent="0.2">
      <c r="C3889" s="198"/>
      <c r="D3889" s="198"/>
      <c r="E3889" s="537"/>
      <c r="G3889" s="198"/>
      <c r="H3889" s="123"/>
    </row>
    <row r="3890" spans="3:8" s="99" customFormat="1" x14ac:dyDescent="0.2">
      <c r="C3890" s="198"/>
      <c r="D3890" s="198"/>
      <c r="E3890" s="537"/>
      <c r="G3890" s="198"/>
      <c r="H3890" s="123"/>
    </row>
    <row r="3891" spans="3:8" s="99" customFormat="1" x14ac:dyDescent="0.2">
      <c r="C3891" s="198"/>
      <c r="D3891" s="198"/>
      <c r="E3891" s="537"/>
      <c r="G3891" s="198"/>
      <c r="H3891" s="123"/>
    </row>
    <row r="3892" spans="3:8" s="99" customFormat="1" x14ac:dyDescent="0.2">
      <c r="C3892" s="198"/>
      <c r="D3892" s="198"/>
      <c r="E3892" s="537"/>
      <c r="G3892" s="198"/>
      <c r="H3892" s="123"/>
    </row>
    <row r="3893" spans="3:8" s="99" customFormat="1" x14ac:dyDescent="0.2">
      <c r="C3893" s="198"/>
      <c r="D3893" s="198"/>
      <c r="E3893" s="537"/>
      <c r="G3893" s="198"/>
      <c r="H3893" s="123"/>
    </row>
    <row r="3894" spans="3:8" s="99" customFormat="1" x14ac:dyDescent="0.2">
      <c r="C3894" s="198"/>
      <c r="D3894" s="198"/>
      <c r="E3894" s="537"/>
      <c r="G3894" s="198"/>
      <c r="H3894" s="123"/>
    </row>
    <row r="3895" spans="3:8" s="99" customFormat="1" x14ac:dyDescent="0.2">
      <c r="C3895" s="198"/>
      <c r="D3895" s="198"/>
      <c r="E3895" s="537"/>
      <c r="G3895" s="198"/>
      <c r="H3895" s="123"/>
    </row>
    <row r="3896" spans="3:8" s="99" customFormat="1" x14ac:dyDescent="0.2">
      <c r="C3896" s="198"/>
      <c r="D3896" s="198"/>
      <c r="E3896" s="537"/>
      <c r="G3896" s="198"/>
      <c r="H3896" s="123"/>
    </row>
    <row r="3897" spans="3:8" s="99" customFormat="1" x14ac:dyDescent="0.2">
      <c r="C3897" s="198"/>
      <c r="D3897" s="198"/>
      <c r="E3897" s="537"/>
      <c r="G3897" s="198"/>
      <c r="H3897" s="123"/>
    </row>
    <row r="3898" spans="3:8" s="99" customFormat="1" x14ac:dyDescent="0.2">
      <c r="C3898" s="198"/>
      <c r="D3898" s="198"/>
      <c r="E3898" s="537"/>
      <c r="G3898" s="198"/>
      <c r="H3898" s="123"/>
    </row>
    <row r="3899" spans="3:8" s="99" customFormat="1" x14ac:dyDescent="0.2">
      <c r="C3899" s="198"/>
      <c r="D3899" s="198"/>
      <c r="E3899" s="537"/>
      <c r="G3899" s="198"/>
      <c r="H3899" s="123"/>
    </row>
    <row r="3900" spans="3:8" s="99" customFormat="1" x14ac:dyDescent="0.2">
      <c r="C3900" s="198"/>
      <c r="D3900" s="198"/>
      <c r="E3900" s="537"/>
      <c r="G3900" s="198"/>
      <c r="H3900" s="123"/>
    </row>
    <row r="3901" spans="3:8" s="99" customFormat="1" x14ac:dyDescent="0.2">
      <c r="C3901" s="198"/>
      <c r="D3901" s="198"/>
      <c r="E3901" s="537"/>
      <c r="G3901" s="198"/>
      <c r="H3901" s="123"/>
    </row>
    <row r="3902" spans="3:8" s="99" customFormat="1" x14ac:dyDescent="0.2">
      <c r="C3902" s="198"/>
      <c r="D3902" s="198"/>
      <c r="E3902" s="537"/>
      <c r="G3902" s="198"/>
      <c r="H3902" s="123"/>
    </row>
    <row r="3903" spans="3:8" s="99" customFormat="1" x14ac:dyDescent="0.2">
      <c r="C3903" s="198"/>
      <c r="D3903" s="198"/>
      <c r="E3903" s="537"/>
      <c r="G3903" s="198"/>
      <c r="H3903" s="123"/>
    </row>
    <row r="3904" spans="3:8" s="99" customFormat="1" x14ac:dyDescent="0.2">
      <c r="C3904" s="198"/>
      <c r="D3904" s="198"/>
      <c r="E3904" s="537"/>
      <c r="G3904" s="198"/>
      <c r="H3904" s="123"/>
    </row>
    <row r="3905" spans="3:8" s="99" customFormat="1" x14ac:dyDescent="0.2">
      <c r="C3905" s="198"/>
      <c r="D3905" s="198"/>
      <c r="E3905" s="537"/>
      <c r="G3905" s="198"/>
      <c r="H3905" s="123"/>
    </row>
    <row r="3906" spans="3:8" s="99" customFormat="1" x14ac:dyDescent="0.2">
      <c r="C3906" s="198"/>
      <c r="D3906" s="198"/>
      <c r="E3906" s="537"/>
      <c r="G3906" s="198"/>
      <c r="H3906" s="123"/>
    </row>
    <row r="3907" spans="3:8" s="99" customFormat="1" x14ac:dyDescent="0.2">
      <c r="C3907" s="198"/>
      <c r="D3907" s="198"/>
      <c r="E3907" s="537"/>
      <c r="G3907" s="198"/>
      <c r="H3907" s="123"/>
    </row>
    <row r="3908" spans="3:8" s="99" customFormat="1" x14ac:dyDescent="0.2">
      <c r="C3908" s="198"/>
      <c r="D3908" s="198"/>
      <c r="E3908" s="537"/>
      <c r="G3908" s="198"/>
      <c r="H3908" s="123"/>
    </row>
    <row r="3909" spans="3:8" s="99" customFormat="1" x14ac:dyDescent="0.2">
      <c r="C3909" s="198"/>
      <c r="D3909" s="198"/>
      <c r="E3909" s="537"/>
      <c r="G3909" s="198"/>
      <c r="H3909" s="123"/>
    </row>
    <row r="3910" spans="3:8" s="99" customFormat="1" x14ac:dyDescent="0.2">
      <c r="C3910" s="198"/>
      <c r="D3910" s="198"/>
      <c r="E3910" s="537"/>
      <c r="G3910" s="198"/>
      <c r="H3910" s="123"/>
    </row>
    <row r="3911" spans="3:8" s="99" customFormat="1" x14ac:dyDescent="0.2">
      <c r="C3911" s="198"/>
      <c r="D3911" s="198"/>
      <c r="E3911" s="537"/>
      <c r="G3911" s="198"/>
      <c r="H3911" s="123"/>
    </row>
    <row r="3912" spans="3:8" s="99" customFormat="1" x14ac:dyDescent="0.2">
      <c r="C3912" s="198"/>
      <c r="D3912" s="198"/>
      <c r="E3912" s="537"/>
      <c r="G3912" s="198"/>
      <c r="H3912" s="123"/>
    </row>
    <row r="3913" spans="3:8" s="99" customFormat="1" x14ac:dyDescent="0.2">
      <c r="C3913" s="198"/>
      <c r="D3913" s="198"/>
      <c r="E3913" s="537"/>
      <c r="G3913" s="198"/>
      <c r="H3913" s="123"/>
    </row>
    <row r="3914" spans="3:8" s="99" customFormat="1" x14ac:dyDescent="0.2">
      <c r="C3914" s="198"/>
      <c r="D3914" s="198"/>
      <c r="E3914" s="537"/>
      <c r="G3914" s="198"/>
      <c r="H3914" s="123"/>
    </row>
    <row r="3915" spans="3:8" s="99" customFormat="1" x14ac:dyDescent="0.2">
      <c r="C3915" s="198"/>
      <c r="D3915" s="198"/>
      <c r="E3915" s="537"/>
      <c r="G3915" s="198"/>
      <c r="H3915" s="123"/>
    </row>
    <row r="3916" spans="3:8" s="99" customFormat="1" x14ac:dyDescent="0.2">
      <c r="C3916" s="198"/>
      <c r="D3916" s="198"/>
      <c r="E3916" s="537"/>
      <c r="G3916" s="198"/>
      <c r="H3916" s="123"/>
    </row>
    <row r="3917" spans="3:8" s="99" customFormat="1" x14ac:dyDescent="0.2">
      <c r="C3917" s="198"/>
      <c r="D3917" s="198"/>
      <c r="E3917" s="537"/>
      <c r="G3917" s="198"/>
      <c r="H3917" s="123"/>
    </row>
    <row r="3918" spans="3:8" s="99" customFormat="1" x14ac:dyDescent="0.2">
      <c r="C3918" s="198"/>
      <c r="D3918" s="198"/>
      <c r="E3918" s="537"/>
      <c r="G3918" s="198"/>
      <c r="H3918" s="123"/>
    </row>
    <row r="3919" spans="3:8" s="99" customFormat="1" x14ac:dyDescent="0.2">
      <c r="C3919" s="198"/>
      <c r="D3919" s="198"/>
      <c r="E3919" s="537"/>
      <c r="G3919" s="198"/>
      <c r="H3919" s="123"/>
    </row>
    <row r="3920" spans="3:8" s="99" customFormat="1" x14ac:dyDescent="0.2">
      <c r="C3920" s="198"/>
      <c r="D3920" s="198"/>
      <c r="E3920" s="537"/>
      <c r="G3920" s="198"/>
      <c r="H3920" s="123"/>
    </row>
    <row r="3921" spans="3:8" s="99" customFormat="1" x14ac:dyDescent="0.2">
      <c r="C3921" s="198"/>
      <c r="D3921" s="198"/>
      <c r="E3921" s="537"/>
      <c r="G3921" s="198"/>
      <c r="H3921" s="123"/>
    </row>
    <row r="3922" spans="3:8" s="99" customFormat="1" x14ac:dyDescent="0.2">
      <c r="C3922" s="198"/>
      <c r="D3922" s="198"/>
      <c r="E3922" s="537"/>
      <c r="G3922" s="198"/>
      <c r="H3922" s="123"/>
    </row>
    <row r="3923" spans="3:8" s="99" customFormat="1" x14ac:dyDescent="0.2">
      <c r="C3923" s="198"/>
      <c r="D3923" s="198"/>
      <c r="E3923" s="537"/>
      <c r="G3923" s="198"/>
      <c r="H3923" s="123"/>
    </row>
    <row r="3924" spans="3:8" s="99" customFormat="1" x14ac:dyDescent="0.2">
      <c r="C3924" s="198"/>
      <c r="D3924" s="198"/>
      <c r="E3924" s="537"/>
      <c r="G3924" s="198"/>
      <c r="H3924" s="123"/>
    </row>
    <row r="3925" spans="3:8" s="99" customFormat="1" x14ac:dyDescent="0.2">
      <c r="C3925" s="198"/>
      <c r="D3925" s="198"/>
      <c r="E3925" s="537"/>
      <c r="G3925" s="198"/>
      <c r="H3925" s="123"/>
    </row>
    <row r="3926" spans="3:8" s="99" customFormat="1" x14ac:dyDescent="0.2">
      <c r="C3926" s="198"/>
      <c r="D3926" s="198"/>
      <c r="E3926" s="537"/>
      <c r="G3926" s="198"/>
      <c r="H3926" s="123"/>
    </row>
    <row r="3927" spans="3:8" s="99" customFormat="1" x14ac:dyDescent="0.2">
      <c r="C3927" s="198"/>
      <c r="D3927" s="198"/>
      <c r="E3927" s="537"/>
      <c r="G3927" s="198"/>
      <c r="H3927" s="123"/>
    </row>
    <row r="3928" spans="3:8" s="99" customFormat="1" x14ac:dyDescent="0.2">
      <c r="C3928" s="198"/>
      <c r="D3928" s="198"/>
      <c r="E3928" s="537"/>
      <c r="G3928" s="198"/>
      <c r="H3928" s="123"/>
    </row>
    <row r="3929" spans="3:8" s="99" customFormat="1" x14ac:dyDescent="0.2">
      <c r="C3929" s="198"/>
      <c r="D3929" s="198"/>
      <c r="E3929" s="537"/>
      <c r="G3929" s="198"/>
      <c r="H3929" s="123"/>
    </row>
    <row r="3930" spans="3:8" s="99" customFormat="1" x14ac:dyDescent="0.2">
      <c r="C3930" s="198"/>
      <c r="D3930" s="198"/>
      <c r="E3930" s="537"/>
      <c r="G3930" s="198"/>
      <c r="H3930" s="123"/>
    </row>
    <row r="3931" spans="3:8" s="99" customFormat="1" x14ac:dyDescent="0.2">
      <c r="C3931" s="198"/>
      <c r="D3931" s="198"/>
      <c r="E3931" s="537"/>
      <c r="G3931" s="198"/>
      <c r="H3931" s="123"/>
    </row>
    <row r="3932" spans="3:8" s="99" customFormat="1" x14ac:dyDescent="0.2">
      <c r="C3932" s="198"/>
      <c r="D3932" s="198"/>
      <c r="E3932" s="537"/>
      <c r="G3932" s="198"/>
      <c r="H3932" s="123"/>
    </row>
    <row r="3933" spans="3:8" s="99" customFormat="1" x14ac:dyDescent="0.2">
      <c r="C3933" s="198"/>
      <c r="D3933" s="198"/>
      <c r="E3933" s="537"/>
      <c r="G3933" s="198"/>
      <c r="H3933" s="123"/>
    </row>
    <row r="3934" spans="3:8" s="99" customFormat="1" x14ac:dyDescent="0.2">
      <c r="C3934" s="198"/>
      <c r="D3934" s="198"/>
      <c r="E3934" s="537"/>
      <c r="G3934" s="198"/>
      <c r="H3934" s="123"/>
    </row>
    <row r="3935" spans="3:8" s="99" customFormat="1" x14ac:dyDescent="0.2">
      <c r="C3935" s="198"/>
      <c r="D3935" s="198"/>
      <c r="E3935" s="537"/>
      <c r="G3935" s="198"/>
      <c r="H3935" s="123"/>
    </row>
    <row r="3936" spans="3:8" s="99" customFormat="1" x14ac:dyDescent="0.2">
      <c r="C3936" s="198"/>
      <c r="D3936" s="198"/>
      <c r="E3936" s="537"/>
      <c r="G3936" s="198"/>
      <c r="H3936" s="123"/>
    </row>
    <row r="3937" spans="3:8" s="99" customFormat="1" x14ac:dyDescent="0.2">
      <c r="C3937" s="198"/>
      <c r="D3937" s="198"/>
      <c r="E3937" s="537"/>
      <c r="G3937" s="198"/>
      <c r="H3937" s="123"/>
    </row>
    <row r="3938" spans="3:8" s="99" customFormat="1" x14ac:dyDescent="0.2">
      <c r="C3938" s="198"/>
      <c r="D3938" s="198"/>
      <c r="E3938" s="537"/>
      <c r="G3938" s="198"/>
      <c r="H3938" s="123"/>
    </row>
    <row r="3939" spans="3:8" s="99" customFormat="1" x14ac:dyDescent="0.2">
      <c r="C3939" s="198"/>
      <c r="D3939" s="198"/>
      <c r="E3939" s="537"/>
      <c r="G3939" s="198"/>
      <c r="H3939" s="123"/>
    </row>
    <row r="3940" spans="3:8" s="99" customFormat="1" x14ac:dyDescent="0.2">
      <c r="C3940" s="198"/>
      <c r="D3940" s="198"/>
      <c r="E3940" s="537"/>
      <c r="G3940" s="198"/>
      <c r="H3940" s="123"/>
    </row>
    <row r="3941" spans="3:8" s="99" customFormat="1" x14ac:dyDescent="0.2">
      <c r="C3941" s="198"/>
      <c r="D3941" s="198"/>
      <c r="E3941" s="537"/>
      <c r="G3941" s="198"/>
      <c r="H3941" s="123"/>
    </row>
    <row r="3942" spans="3:8" s="99" customFormat="1" x14ac:dyDescent="0.2">
      <c r="C3942" s="198"/>
      <c r="D3942" s="198"/>
      <c r="E3942" s="537"/>
      <c r="G3942" s="198"/>
      <c r="H3942" s="123"/>
    </row>
    <row r="3943" spans="3:8" s="99" customFormat="1" x14ac:dyDescent="0.2">
      <c r="C3943" s="198"/>
      <c r="D3943" s="198"/>
      <c r="E3943" s="537"/>
      <c r="G3943" s="198"/>
      <c r="H3943" s="123"/>
    </row>
    <row r="3944" spans="3:8" s="99" customFormat="1" x14ac:dyDescent="0.2">
      <c r="C3944" s="198"/>
      <c r="D3944" s="198"/>
      <c r="E3944" s="537"/>
      <c r="G3944" s="198"/>
      <c r="H3944" s="123"/>
    </row>
    <row r="3945" spans="3:8" s="99" customFormat="1" x14ac:dyDescent="0.2">
      <c r="C3945" s="198"/>
      <c r="D3945" s="198"/>
      <c r="E3945" s="537"/>
      <c r="G3945" s="198"/>
      <c r="H3945" s="123"/>
    </row>
    <row r="3946" spans="3:8" s="99" customFormat="1" x14ac:dyDescent="0.2">
      <c r="C3946" s="198"/>
      <c r="D3946" s="198"/>
      <c r="E3946" s="537"/>
      <c r="G3946" s="198"/>
      <c r="H3946" s="123"/>
    </row>
    <row r="3947" spans="3:8" s="99" customFormat="1" x14ac:dyDescent="0.2">
      <c r="C3947" s="198"/>
      <c r="D3947" s="198"/>
      <c r="E3947" s="537"/>
      <c r="G3947" s="198"/>
      <c r="H3947" s="123"/>
    </row>
    <row r="3948" spans="3:8" s="99" customFormat="1" x14ac:dyDescent="0.2">
      <c r="C3948" s="198"/>
      <c r="D3948" s="198"/>
      <c r="E3948" s="537"/>
      <c r="G3948" s="198"/>
      <c r="H3948" s="123"/>
    </row>
    <row r="3949" spans="3:8" s="99" customFormat="1" x14ac:dyDescent="0.2">
      <c r="C3949" s="198"/>
      <c r="D3949" s="198"/>
      <c r="E3949" s="537"/>
      <c r="G3949" s="198"/>
      <c r="H3949" s="123"/>
    </row>
    <row r="3950" spans="3:8" s="99" customFormat="1" x14ac:dyDescent="0.2">
      <c r="C3950" s="198"/>
      <c r="D3950" s="198"/>
      <c r="E3950" s="537"/>
      <c r="G3950" s="198"/>
      <c r="H3950" s="123"/>
    </row>
    <row r="3951" spans="3:8" s="99" customFormat="1" x14ac:dyDescent="0.2">
      <c r="C3951" s="198"/>
      <c r="D3951" s="198"/>
      <c r="E3951" s="537"/>
      <c r="G3951" s="198"/>
      <c r="H3951" s="123"/>
    </row>
    <row r="3952" spans="3:8" s="99" customFormat="1" x14ac:dyDescent="0.2">
      <c r="C3952" s="198"/>
      <c r="D3952" s="198"/>
      <c r="E3952" s="537"/>
      <c r="G3952" s="198"/>
      <c r="H3952" s="123"/>
    </row>
    <row r="3953" spans="3:8" s="99" customFormat="1" x14ac:dyDescent="0.2">
      <c r="C3953" s="198"/>
      <c r="D3953" s="198"/>
      <c r="E3953" s="537"/>
      <c r="G3953" s="198"/>
      <c r="H3953" s="123"/>
    </row>
    <row r="3954" spans="3:8" s="99" customFormat="1" x14ac:dyDescent="0.2">
      <c r="C3954" s="198"/>
      <c r="D3954" s="198"/>
      <c r="E3954" s="537"/>
      <c r="G3954" s="198"/>
      <c r="H3954" s="123"/>
    </row>
    <row r="3955" spans="3:8" s="99" customFormat="1" x14ac:dyDescent="0.2">
      <c r="C3955" s="198"/>
      <c r="D3955" s="198"/>
      <c r="E3955" s="537"/>
      <c r="G3955" s="198"/>
      <c r="H3955" s="123"/>
    </row>
    <row r="3956" spans="3:8" s="99" customFormat="1" x14ac:dyDescent="0.2">
      <c r="C3956" s="198"/>
      <c r="D3956" s="198"/>
      <c r="E3956" s="537"/>
      <c r="G3956" s="198"/>
      <c r="H3956" s="123"/>
    </row>
    <row r="3957" spans="3:8" s="99" customFormat="1" x14ac:dyDescent="0.2">
      <c r="C3957" s="198"/>
      <c r="D3957" s="198"/>
      <c r="E3957" s="537"/>
      <c r="G3957" s="198"/>
      <c r="H3957" s="123"/>
    </row>
    <row r="3958" spans="3:8" s="99" customFormat="1" x14ac:dyDescent="0.2">
      <c r="C3958" s="198"/>
      <c r="D3958" s="198"/>
      <c r="E3958" s="537"/>
      <c r="G3958" s="198"/>
      <c r="H3958" s="123"/>
    </row>
    <row r="3959" spans="3:8" s="99" customFormat="1" x14ac:dyDescent="0.2">
      <c r="C3959" s="198"/>
      <c r="D3959" s="198"/>
      <c r="E3959" s="537"/>
      <c r="G3959" s="198"/>
      <c r="H3959" s="123"/>
    </row>
    <row r="3960" spans="3:8" s="99" customFormat="1" x14ac:dyDescent="0.2">
      <c r="C3960" s="198"/>
      <c r="D3960" s="198"/>
      <c r="E3960" s="537"/>
      <c r="G3960" s="198"/>
      <c r="H3960" s="123"/>
    </row>
    <row r="3961" spans="3:8" s="99" customFormat="1" x14ac:dyDescent="0.2">
      <c r="C3961" s="198"/>
      <c r="D3961" s="198"/>
      <c r="E3961" s="537"/>
      <c r="G3961" s="198"/>
      <c r="H3961" s="123"/>
    </row>
    <row r="3962" spans="3:8" s="99" customFormat="1" x14ac:dyDescent="0.2">
      <c r="C3962" s="198"/>
      <c r="D3962" s="198"/>
      <c r="E3962" s="537"/>
      <c r="G3962" s="198"/>
      <c r="H3962" s="123"/>
    </row>
    <row r="3963" spans="3:8" s="99" customFormat="1" x14ac:dyDescent="0.2">
      <c r="C3963" s="198"/>
      <c r="D3963" s="198"/>
      <c r="E3963" s="537"/>
      <c r="G3963" s="198"/>
      <c r="H3963" s="123"/>
    </row>
    <row r="3964" spans="3:8" s="99" customFormat="1" x14ac:dyDescent="0.2">
      <c r="C3964" s="198"/>
      <c r="D3964" s="198"/>
      <c r="E3964" s="537"/>
      <c r="G3964" s="198"/>
      <c r="H3964" s="123"/>
    </row>
    <row r="3965" spans="3:8" s="99" customFormat="1" x14ac:dyDescent="0.2">
      <c r="C3965" s="198"/>
      <c r="D3965" s="198"/>
      <c r="E3965" s="537"/>
      <c r="G3965" s="198"/>
      <c r="H3965" s="123"/>
    </row>
    <row r="3966" spans="3:8" s="99" customFormat="1" x14ac:dyDescent="0.2">
      <c r="C3966" s="198"/>
      <c r="D3966" s="198"/>
      <c r="E3966" s="537"/>
      <c r="G3966" s="198"/>
      <c r="H3966" s="123"/>
    </row>
    <row r="3967" spans="3:8" s="99" customFormat="1" x14ac:dyDescent="0.2">
      <c r="C3967" s="198"/>
      <c r="D3967" s="198"/>
      <c r="E3967" s="537"/>
      <c r="G3967" s="198"/>
      <c r="H3967" s="123"/>
    </row>
    <row r="3968" spans="3:8" s="99" customFormat="1" x14ac:dyDescent="0.2">
      <c r="C3968" s="198"/>
      <c r="D3968" s="198"/>
      <c r="E3968" s="537"/>
      <c r="G3968" s="198"/>
      <c r="H3968" s="123"/>
    </row>
    <row r="3969" spans="3:8" s="99" customFormat="1" x14ac:dyDescent="0.2">
      <c r="C3969" s="198"/>
      <c r="D3969" s="198"/>
      <c r="E3969" s="537"/>
      <c r="G3969" s="198"/>
      <c r="H3969" s="123"/>
    </row>
    <row r="3970" spans="3:8" s="99" customFormat="1" x14ac:dyDescent="0.2">
      <c r="C3970" s="198"/>
      <c r="D3970" s="198"/>
      <c r="E3970" s="537"/>
      <c r="G3970" s="198"/>
      <c r="H3970" s="123"/>
    </row>
    <row r="3971" spans="3:8" s="99" customFormat="1" x14ac:dyDescent="0.2">
      <c r="C3971" s="198"/>
      <c r="D3971" s="198"/>
      <c r="E3971" s="537"/>
      <c r="G3971" s="198"/>
      <c r="H3971" s="123"/>
    </row>
    <row r="3972" spans="3:8" s="99" customFormat="1" x14ac:dyDescent="0.2">
      <c r="C3972" s="198"/>
      <c r="D3972" s="198"/>
      <c r="E3972" s="537"/>
      <c r="G3972" s="198"/>
      <c r="H3972" s="123"/>
    </row>
    <row r="3973" spans="3:8" s="99" customFormat="1" x14ac:dyDescent="0.2">
      <c r="C3973" s="198"/>
      <c r="D3973" s="198"/>
      <c r="E3973" s="537"/>
      <c r="G3973" s="198"/>
      <c r="H3973" s="123"/>
    </row>
    <row r="3974" spans="3:8" s="99" customFormat="1" x14ac:dyDescent="0.2">
      <c r="C3974" s="198"/>
      <c r="D3974" s="198"/>
      <c r="E3974" s="537"/>
      <c r="G3974" s="198"/>
      <c r="H3974" s="123"/>
    </row>
    <row r="3975" spans="3:8" s="99" customFormat="1" x14ac:dyDescent="0.2">
      <c r="C3975" s="198"/>
      <c r="D3975" s="198"/>
      <c r="E3975" s="537"/>
      <c r="G3975" s="198"/>
      <c r="H3975" s="123"/>
    </row>
    <row r="3976" spans="3:8" s="99" customFormat="1" x14ac:dyDescent="0.2">
      <c r="C3976" s="198"/>
      <c r="D3976" s="198"/>
      <c r="E3976" s="537"/>
      <c r="G3976" s="198"/>
      <c r="H3976" s="123"/>
    </row>
    <row r="3977" spans="3:8" s="99" customFormat="1" x14ac:dyDescent="0.2">
      <c r="C3977" s="198"/>
      <c r="D3977" s="198"/>
      <c r="E3977" s="537"/>
      <c r="G3977" s="198"/>
      <c r="H3977" s="123"/>
    </row>
    <row r="3978" spans="3:8" s="99" customFormat="1" x14ac:dyDescent="0.2">
      <c r="C3978" s="198"/>
      <c r="D3978" s="198"/>
      <c r="E3978" s="537"/>
      <c r="G3978" s="198"/>
      <c r="H3978" s="123"/>
    </row>
    <row r="3979" spans="3:8" s="99" customFormat="1" x14ac:dyDescent="0.2">
      <c r="C3979" s="198"/>
      <c r="D3979" s="198"/>
      <c r="E3979" s="537"/>
      <c r="G3979" s="198"/>
      <c r="H3979" s="123"/>
    </row>
    <row r="3980" spans="3:8" s="99" customFormat="1" x14ac:dyDescent="0.2">
      <c r="C3980" s="198"/>
      <c r="D3980" s="198"/>
      <c r="E3980" s="537"/>
      <c r="G3980" s="198"/>
      <c r="H3980" s="123"/>
    </row>
    <row r="3981" spans="3:8" s="99" customFormat="1" x14ac:dyDescent="0.2">
      <c r="C3981" s="198"/>
      <c r="D3981" s="198"/>
      <c r="E3981" s="537"/>
      <c r="G3981" s="198"/>
      <c r="H3981" s="123"/>
    </row>
    <row r="3982" spans="3:8" s="99" customFormat="1" x14ac:dyDescent="0.2">
      <c r="C3982" s="198"/>
      <c r="D3982" s="198"/>
      <c r="E3982" s="537"/>
      <c r="G3982" s="198"/>
      <c r="H3982" s="123"/>
    </row>
    <row r="3983" spans="3:8" s="99" customFormat="1" x14ac:dyDescent="0.2">
      <c r="C3983" s="198"/>
      <c r="D3983" s="198"/>
      <c r="E3983" s="537"/>
      <c r="G3983" s="198"/>
      <c r="H3983" s="123"/>
    </row>
    <row r="3984" spans="3:8" s="99" customFormat="1" x14ac:dyDescent="0.2">
      <c r="C3984" s="198"/>
      <c r="D3984" s="198"/>
      <c r="E3984" s="537"/>
      <c r="G3984" s="198"/>
      <c r="H3984" s="123"/>
    </row>
    <row r="3985" spans="3:8" s="99" customFormat="1" x14ac:dyDescent="0.2">
      <c r="C3985" s="198"/>
      <c r="D3985" s="198"/>
      <c r="E3985" s="537"/>
      <c r="G3985" s="198"/>
      <c r="H3985" s="123"/>
    </row>
    <row r="3986" spans="3:8" s="99" customFormat="1" x14ac:dyDescent="0.2">
      <c r="C3986" s="198"/>
      <c r="D3986" s="198"/>
      <c r="E3986" s="537"/>
      <c r="G3986" s="198"/>
      <c r="H3986" s="123"/>
    </row>
    <row r="3987" spans="3:8" s="99" customFormat="1" x14ac:dyDescent="0.2">
      <c r="C3987" s="198"/>
      <c r="D3987" s="198"/>
      <c r="E3987" s="537"/>
      <c r="G3987" s="198"/>
      <c r="H3987" s="123"/>
    </row>
    <row r="3988" spans="3:8" s="99" customFormat="1" x14ac:dyDescent="0.2">
      <c r="C3988" s="198"/>
      <c r="D3988" s="198"/>
      <c r="E3988" s="537"/>
      <c r="G3988" s="198"/>
      <c r="H3988" s="123"/>
    </row>
    <row r="3989" spans="3:8" s="99" customFormat="1" x14ac:dyDescent="0.2">
      <c r="C3989" s="198"/>
      <c r="D3989" s="198"/>
      <c r="E3989" s="537"/>
      <c r="G3989" s="198"/>
      <c r="H3989" s="123"/>
    </row>
    <row r="3990" spans="3:8" s="99" customFormat="1" x14ac:dyDescent="0.2">
      <c r="C3990" s="198"/>
      <c r="D3990" s="198"/>
      <c r="E3990" s="537"/>
      <c r="G3990" s="198"/>
      <c r="H3990" s="123"/>
    </row>
    <row r="3991" spans="3:8" s="99" customFormat="1" x14ac:dyDescent="0.2">
      <c r="C3991" s="198"/>
      <c r="D3991" s="198"/>
      <c r="E3991" s="537"/>
      <c r="G3991" s="198"/>
      <c r="H3991" s="123"/>
    </row>
    <row r="3992" spans="3:8" s="99" customFormat="1" x14ac:dyDescent="0.2">
      <c r="C3992" s="198"/>
      <c r="D3992" s="198"/>
      <c r="E3992" s="537"/>
      <c r="G3992" s="198"/>
      <c r="H3992" s="123"/>
    </row>
    <row r="3993" spans="3:8" s="99" customFormat="1" x14ac:dyDescent="0.2">
      <c r="C3993" s="198"/>
      <c r="D3993" s="198"/>
      <c r="E3993" s="537"/>
      <c r="G3993" s="198"/>
      <c r="H3993" s="123"/>
    </row>
    <row r="3994" spans="3:8" s="99" customFormat="1" x14ac:dyDescent="0.2">
      <c r="C3994" s="198"/>
      <c r="D3994" s="198"/>
      <c r="E3994" s="537"/>
      <c r="G3994" s="198"/>
      <c r="H3994" s="123"/>
    </row>
    <row r="3995" spans="3:8" s="99" customFormat="1" x14ac:dyDescent="0.2">
      <c r="C3995" s="198"/>
      <c r="D3995" s="198"/>
      <c r="E3995" s="537"/>
      <c r="G3995" s="198"/>
      <c r="H3995" s="123"/>
    </row>
    <row r="3996" spans="3:8" s="99" customFormat="1" x14ac:dyDescent="0.2">
      <c r="C3996" s="198"/>
      <c r="D3996" s="198"/>
      <c r="E3996" s="537"/>
      <c r="G3996" s="198"/>
      <c r="H3996" s="123"/>
    </row>
    <row r="3997" spans="3:8" s="99" customFormat="1" x14ac:dyDescent="0.2">
      <c r="C3997" s="198"/>
      <c r="D3997" s="198"/>
      <c r="E3997" s="537"/>
      <c r="G3997" s="198"/>
      <c r="H3997" s="123"/>
    </row>
    <row r="3998" spans="3:8" s="99" customFormat="1" x14ac:dyDescent="0.2">
      <c r="C3998" s="198"/>
      <c r="D3998" s="198"/>
      <c r="E3998" s="537"/>
      <c r="G3998" s="198"/>
      <c r="H3998" s="123"/>
    </row>
    <row r="3999" spans="3:8" s="99" customFormat="1" x14ac:dyDescent="0.2">
      <c r="C3999" s="198"/>
      <c r="D3999" s="198"/>
      <c r="E3999" s="537"/>
      <c r="G3999" s="198"/>
      <c r="H3999" s="123"/>
    </row>
    <row r="4000" spans="3:8" s="99" customFormat="1" x14ac:dyDescent="0.2">
      <c r="C4000" s="198"/>
      <c r="D4000" s="198"/>
      <c r="E4000" s="537"/>
      <c r="G4000" s="198"/>
      <c r="H4000" s="123"/>
    </row>
    <row r="4001" spans="3:8" s="99" customFormat="1" x14ac:dyDescent="0.2">
      <c r="C4001" s="198"/>
      <c r="D4001" s="198"/>
      <c r="E4001" s="537"/>
      <c r="G4001" s="198"/>
      <c r="H4001" s="123"/>
    </row>
    <row r="4002" spans="3:8" s="99" customFormat="1" x14ac:dyDescent="0.2">
      <c r="C4002" s="198"/>
      <c r="D4002" s="198"/>
      <c r="E4002" s="537"/>
      <c r="G4002" s="198"/>
      <c r="H4002" s="123"/>
    </row>
    <row r="4003" spans="3:8" s="99" customFormat="1" x14ac:dyDescent="0.2">
      <c r="C4003" s="198"/>
      <c r="D4003" s="198"/>
      <c r="E4003" s="537"/>
      <c r="G4003" s="198"/>
      <c r="H4003" s="123"/>
    </row>
    <row r="4004" spans="3:8" s="99" customFormat="1" x14ac:dyDescent="0.2">
      <c r="C4004" s="198"/>
      <c r="D4004" s="198"/>
      <c r="E4004" s="537"/>
      <c r="G4004" s="198"/>
      <c r="H4004" s="123"/>
    </row>
    <row r="4005" spans="3:8" s="99" customFormat="1" x14ac:dyDescent="0.2">
      <c r="C4005" s="198"/>
      <c r="D4005" s="198"/>
      <c r="E4005" s="537"/>
      <c r="G4005" s="198"/>
      <c r="H4005" s="123"/>
    </row>
    <row r="4006" spans="3:8" s="99" customFormat="1" x14ac:dyDescent="0.2">
      <c r="C4006" s="198"/>
      <c r="D4006" s="198"/>
      <c r="E4006" s="537"/>
      <c r="G4006" s="198"/>
      <c r="H4006" s="123"/>
    </row>
    <row r="4007" spans="3:8" s="99" customFormat="1" x14ac:dyDescent="0.2">
      <c r="C4007" s="198"/>
      <c r="D4007" s="198"/>
      <c r="E4007" s="537"/>
      <c r="G4007" s="198"/>
      <c r="H4007" s="123"/>
    </row>
    <row r="4008" spans="3:8" s="99" customFormat="1" x14ac:dyDescent="0.2">
      <c r="C4008" s="198"/>
      <c r="D4008" s="198"/>
      <c r="E4008" s="537"/>
      <c r="G4008" s="198"/>
      <c r="H4008" s="123"/>
    </row>
    <row r="4009" spans="3:8" s="99" customFormat="1" x14ac:dyDescent="0.2">
      <c r="C4009" s="198"/>
      <c r="D4009" s="198"/>
      <c r="E4009" s="537"/>
      <c r="G4009" s="198"/>
      <c r="H4009" s="123"/>
    </row>
    <row r="4010" spans="3:8" s="99" customFormat="1" x14ac:dyDescent="0.2">
      <c r="C4010" s="198"/>
      <c r="D4010" s="198"/>
      <c r="E4010" s="537"/>
      <c r="G4010" s="198"/>
      <c r="H4010" s="123"/>
    </row>
    <row r="4011" spans="3:8" s="99" customFormat="1" x14ac:dyDescent="0.2">
      <c r="C4011" s="198"/>
      <c r="D4011" s="198"/>
      <c r="E4011" s="537"/>
      <c r="G4011" s="198"/>
      <c r="H4011" s="123"/>
    </row>
    <row r="4012" spans="3:8" s="99" customFormat="1" x14ac:dyDescent="0.2">
      <c r="C4012" s="198"/>
      <c r="D4012" s="198"/>
      <c r="E4012" s="537"/>
      <c r="G4012" s="198"/>
      <c r="H4012" s="123"/>
    </row>
    <row r="4013" spans="3:8" s="99" customFormat="1" x14ac:dyDescent="0.2">
      <c r="C4013" s="198"/>
      <c r="D4013" s="198"/>
      <c r="E4013" s="537"/>
      <c r="G4013" s="198"/>
      <c r="H4013" s="123"/>
    </row>
    <row r="4014" spans="3:8" s="99" customFormat="1" x14ac:dyDescent="0.2">
      <c r="C4014" s="198"/>
      <c r="D4014" s="198"/>
      <c r="E4014" s="537"/>
      <c r="G4014" s="198"/>
      <c r="H4014" s="123"/>
    </row>
    <row r="4015" spans="3:8" s="99" customFormat="1" x14ac:dyDescent="0.2">
      <c r="C4015" s="198"/>
      <c r="D4015" s="198"/>
      <c r="E4015" s="537"/>
      <c r="G4015" s="198"/>
      <c r="H4015" s="123"/>
    </row>
    <row r="4016" spans="3:8" s="99" customFormat="1" x14ac:dyDescent="0.2">
      <c r="C4016" s="198"/>
      <c r="D4016" s="198"/>
      <c r="E4016" s="537"/>
      <c r="G4016" s="198"/>
      <c r="H4016" s="123"/>
    </row>
    <row r="4017" spans="3:8" s="99" customFormat="1" x14ac:dyDescent="0.2">
      <c r="C4017" s="198"/>
      <c r="D4017" s="198"/>
      <c r="E4017" s="537"/>
      <c r="G4017" s="198"/>
      <c r="H4017" s="123"/>
    </row>
    <row r="4018" spans="3:8" s="99" customFormat="1" x14ac:dyDescent="0.2">
      <c r="C4018" s="198"/>
      <c r="D4018" s="198"/>
      <c r="E4018" s="537"/>
      <c r="G4018" s="198"/>
      <c r="H4018" s="123"/>
    </row>
    <row r="4019" spans="3:8" s="99" customFormat="1" x14ac:dyDescent="0.2">
      <c r="C4019" s="198"/>
      <c r="D4019" s="198"/>
      <c r="E4019" s="537"/>
      <c r="G4019" s="198"/>
      <c r="H4019" s="123"/>
    </row>
    <row r="4020" spans="3:8" s="99" customFormat="1" x14ac:dyDescent="0.2">
      <c r="C4020" s="198"/>
      <c r="D4020" s="198"/>
      <c r="E4020" s="537"/>
      <c r="G4020" s="198"/>
      <c r="H4020" s="123"/>
    </row>
    <row r="4021" spans="3:8" s="99" customFormat="1" x14ac:dyDescent="0.2">
      <c r="C4021" s="198"/>
      <c r="D4021" s="198"/>
      <c r="E4021" s="537"/>
      <c r="G4021" s="198"/>
      <c r="H4021" s="123"/>
    </row>
    <row r="4022" spans="3:8" s="99" customFormat="1" x14ac:dyDescent="0.2">
      <c r="C4022" s="198"/>
      <c r="D4022" s="198"/>
      <c r="E4022" s="537"/>
      <c r="G4022" s="198"/>
      <c r="H4022" s="123"/>
    </row>
    <row r="4023" spans="3:8" s="99" customFormat="1" x14ac:dyDescent="0.2">
      <c r="C4023" s="198"/>
      <c r="D4023" s="198"/>
      <c r="E4023" s="537"/>
      <c r="G4023" s="198"/>
      <c r="H4023" s="123"/>
    </row>
    <row r="4024" spans="3:8" s="99" customFormat="1" x14ac:dyDescent="0.2">
      <c r="C4024" s="198"/>
      <c r="D4024" s="198"/>
      <c r="E4024" s="537"/>
      <c r="G4024" s="198"/>
      <c r="H4024" s="123"/>
    </row>
    <row r="4025" spans="3:8" s="99" customFormat="1" x14ac:dyDescent="0.2">
      <c r="C4025" s="198"/>
      <c r="D4025" s="198"/>
      <c r="E4025" s="537"/>
      <c r="G4025" s="198"/>
      <c r="H4025" s="123"/>
    </row>
    <row r="4026" spans="3:8" s="99" customFormat="1" x14ac:dyDescent="0.2">
      <c r="C4026" s="198"/>
      <c r="D4026" s="198"/>
      <c r="E4026" s="537"/>
      <c r="G4026" s="198"/>
      <c r="H4026" s="123"/>
    </row>
    <row r="4027" spans="3:8" s="99" customFormat="1" x14ac:dyDescent="0.2">
      <c r="C4027" s="198"/>
      <c r="D4027" s="198"/>
      <c r="E4027" s="537"/>
      <c r="G4027" s="198"/>
      <c r="H4027" s="123"/>
    </row>
    <row r="4028" spans="3:8" s="99" customFormat="1" x14ac:dyDescent="0.2">
      <c r="C4028" s="198"/>
      <c r="D4028" s="198"/>
      <c r="E4028" s="537"/>
      <c r="G4028" s="198"/>
      <c r="H4028" s="123"/>
    </row>
    <row r="4029" spans="3:8" s="99" customFormat="1" x14ac:dyDescent="0.2">
      <c r="C4029" s="198"/>
      <c r="D4029" s="198"/>
      <c r="E4029" s="537"/>
      <c r="G4029" s="198"/>
      <c r="H4029" s="123"/>
    </row>
    <row r="4030" spans="3:8" s="99" customFormat="1" x14ac:dyDescent="0.2">
      <c r="C4030" s="198"/>
      <c r="D4030" s="198"/>
      <c r="E4030" s="537"/>
      <c r="G4030" s="198"/>
      <c r="H4030" s="123"/>
    </row>
    <row r="4031" spans="3:8" s="99" customFormat="1" x14ac:dyDescent="0.2">
      <c r="C4031" s="198"/>
      <c r="D4031" s="198"/>
      <c r="E4031" s="537"/>
      <c r="G4031" s="198"/>
      <c r="H4031" s="123"/>
    </row>
    <row r="4032" spans="3:8" s="99" customFormat="1" x14ac:dyDescent="0.2">
      <c r="C4032" s="198"/>
      <c r="D4032" s="198"/>
      <c r="E4032" s="537"/>
      <c r="G4032" s="198"/>
      <c r="H4032" s="123"/>
    </row>
    <row r="4033" spans="3:8" s="99" customFormat="1" x14ac:dyDescent="0.2">
      <c r="C4033" s="198"/>
      <c r="D4033" s="198"/>
      <c r="E4033" s="537"/>
      <c r="G4033" s="198"/>
      <c r="H4033" s="123"/>
    </row>
    <row r="4034" spans="3:8" s="99" customFormat="1" x14ac:dyDescent="0.2">
      <c r="C4034" s="198"/>
      <c r="D4034" s="198"/>
      <c r="E4034" s="537"/>
      <c r="G4034" s="198"/>
      <c r="H4034" s="123"/>
    </row>
    <row r="4035" spans="3:8" s="99" customFormat="1" x14ac:dyDescent="0.2">
      <c r="C4035" s="198"/>
      <c r="D4035" s="198"/>
      <c r="E4035" s="537"/>
      <c r="G4035" s="198"/>
      <c r="H4035" s="123"/>
    </row>
    <row r="4036" spans="3:8" s="99" customFormat="1" x14ac:dyDescent="0.2">
      <c r="C4036" s="198"/>
      <c r="D4036" s="198"/>
      <c r="E4036" s="537"/>
      <c r="G4036" s="198"/>
      <c r="H4036" s="123"/>
    </row>
    <row r="4037" spans="3:8" s="99" customFormat="1" x14ac:dyDescent="0.2">
      <c r="C4037" s="198"/>
      <c r="D4037" s="198"/>
      <c r="E4037" s="537"/>
      <c r="G4037" s="198"/>
      <c r="H4037" s="123"/>
    </row>
    <row r="4038" spans="3:8" s="99" customFormat="1" x14ac:dyDescent="0.2">
      <c r="C4038" s="198"/>
      <c r="D4038" s="198"/>
      <c r="E4038" s="537"/>
      <c r="G4038" s="198"/>
      <c r="H4038" s="123"/>
    </row>
    <row r="4039" spans="3:8" s="99" customFormat="1" x14ac:dyDescent="0.2">
      <c r="C4039" s="198"/>
      <c r="D4039" s="198"/>
      <c r="E4039" s="537"/>
      <c r="G4039" s="198"/>
      <c r="H4039" s="123"/>
    </row>
    <row r="4040" spans="3:8" s="99" customFormat="1" x14ac:dyDescent="0.2">
      <c r="C4040" s="198"/>
      <c r="D4040" s="198"/>
      <c r="E4040" s="537"/>
      <c r="G4040" s="198"/>
      <c r="H4040" s="123"/>
    </row>
    <row r="4041" spans="3:8" s="99" customFormat="1" x14ac:dyDescent="0.2">
      <c r="C4041" s="198"/>
      <c r="D4041" s="198"/>
      <c r="E4041" s="537"/>
      <c r="G4041" s="198"/>
      <c r="H4041" s="123"/>
    </row>
    <row r="4042" spans="3:8" s="99" customFormat="1" x14ac:dyDescent="0.2">
      <c r="C4042" s="198"/>
      <c r="D4042" s="198"/>
      <c r="E4042" s="537"/>
      <c r="G4042" s="198"/>
      <c r="H4042" s="123"/>
    </row>
    <row r="4043" spans="3:8" s="99" customFormat="1" x14ac:dyDescent="0.2">
      <c r="C4043" s="198"/>
      <c r="D4043" s="198"/>
      <c r="E4043" s="537"/>
      <c r="G4043" s="198"/>
      <c r="H4043" s="123"/>
    </row>
    <row r="4044" spans="3:8" s="99" customFormat="1" x14ac:dyDescent="0.2">
      <c r="C4044" s="198"/>
      <c r="D4044" s="198"/>
      <c r="E4044" s="537"/>
      <c r="G4044" s="198"/>
      <c r="H4044" s="123"/>
    </row>
    <row r="4045" spans="3:8" s="99" customFormat="1" x14ac:dyDescent="0.2">
      <c r="C4045" s="198"/>
      <c r="D4045" s="198"/>
      <c r="E4045" s="537"/>
      <c r="G4045" s="198"/>
      <c r="H4045" s="123"/>
    </row>
    <row r="4046" spans="3:8" s="99" customFormat="1" x14ac:dyDescent="0.2">
      <c r="C4046" s="198"/>
      <c r="D4046" s="198"/>
      <c r="E4046" s="537"/>
      <c r="G4046" s="198"/>
      <c r="H4046" s="123"/>
    </row>
    <row r="4047" spans="3:8" s="99" customFormat="1" x14ac:dyDescent="0.2">
      <c r="C4047" s="198"/>
      <c r="D4047" s="198"/>
      <c r="E4047" s="537"/>
      <c r="G4047" s="198"/>
      <c r="H4047" s="123"/>
    </row>
    <row r="4048" spans="3:8" s="99" customFormat="1" x14ac:dyDescent="0.2">
      <c r="C4048" s="198"/>
      <c r="D4048" s="198"/>
      <c r="E4048" s="537"/>
      <c r="G4048" s="198"/>
      <c r="H4048" s="123"/>
    </row>
    <row r="4049" spans="3:8" s="99" customFormat="1" x14ac:dyDescent="0.2">
      <c r="C4049" s="198"/>
      <c r="D4049" s="198"/>
      <c r="E4049" s="537"/>
      <c r="G4049" s="198"/>
      <c r="H4049" s="123"/>
    </row>
    <row r="4050" spans="3:8" s="99" customFormat="1" x14ac:dyDescent="0.2">
      <c r="C4050" s="198"/>
      <c r="D4050" s="198"/>
      <c r="E4050" s="537"/>
      <c r="G4050" s="198"/>
      <c r="H4050" s="123"/>
    </row>
    <row r="4051" spans="3:8" s="99" customFormat="1" x14ac:dyDescent="0.2">
      <c r="C4051" s="198"/>
      <c r="D4051" s="198"/>
      <c r="E4051" s="537"/>
      <c r="G4051" s="198"/>
      <c r="H4051" s="123"/>
    </row>
    <row r="4052" spans="3:8" s="99" customFormat="1" x14ac:dyDescent="0.2">
      <c r="C4052" s="198"/>
      <c r="D4052" s="198"/>
      <c r="E4052" s="537"/>
      <c r="G4052" s="198"/>
      <c r="H4052" s="123"/>
    </row>
    <row r="4053" spans="3:8" s="99" customFormat="1" x14ac:dyDescent="0.2">
      <c r="C4053" s="198"/>
      <c r="D4053" s="198"/>
      <c r="E4053" s="537"/>
      <c r="G4053" s="198"/>
      <c r="H4053" s="123"/>
    </row>
    <row r="4054" spans="3:8" s="99" customFormat="1" x14ac:dyDescent="0.2">
      <c r="C4054" s="198"/>
      <c r="D4054" s="198"/>
      <c r="E4054" s="537"/>
      <c r="G4054" s="198"/>
      <c r="H4054" s="123"/>
    </row>
    <row r="4055" spans="3:8" s="99" customFormat="1" x14ac:dyDescent="0.2">
      <c r="C4055" s="198"/>
      <c r="D4055" s="198"/>
      <c r="E4055" s="537"/>
      <c r="G4055" s="198"/>
      <c r="H4055" s="123"/>
    </row>
    <row r="4056" spans="3:8" s="99" customFormat="1" x14ac:dyDescent="0.2">
      <c r="C4056" s="198"/>
      <c r="D4056" s="198"/>
      <c r="E4056" s="537"/>
      <c r="G4056" s="198"/>
      <c r="H4056" s="123"/>
    </row>
    <row r="4057" spans="3:8" s="99" customFormat="1" x14ac:dyDescent="0.2">
      <c r="C4057" s="198"/>
      <c r="D4057" s="198"/>
      <c r="E4057" s="537"/>
      <c r="G4057" s="198"/>
      <c r="H4057" s="123"/>
    </row>
    <row r="4058" spans="3:8" s="99" customFormat="1" x14ac:dyDescent="0.2">
      <c r="C4058" s="198"/>
      <c r="D4058" s="198"/>
      <c r="E4058" s="537"/>
      <c r="G4058" s="198"/>
      <c r="H4058" s="123"/>
    </row>
    <row r="4059" spans="3:8" s="99" customFormat="1" x14ac:dyDescent="0.2">
      <c r="C4059" s="198"/>
      <c r="D4059" s="198"/>
      <c r="E4059" s="537"/>
      <c r="G4059" s="198"/>
      <c r="H4059" s="123"/>
    </row>
    <row r="4060" spans="3:8" s="99" customFormat="1" x14ac:dyDescent="0.2">
      <c r="C4060" s="198"/>
      <c r="D4060" s="198"/>
      <c r="E4060" s="537"/>
      <c r="G4060" s="198"/>
      <c r="H4060" s="123"/>
    </row>
    <row r="4061" spans="3:8" s="99" customFormat="1" x14ac:dyDescent="0.2">
      <c r="C4061" s="198"/>
      <c r="D4061" s="198"/>
      <c r="E4061" s="537"/>
      <c r="G4061" s="198"/>
      <c r="H4061" s="123"/>
    </row>
    <row r="4062" spans="3:8" s="99" customFormat="1" x14ac:dyDescent="0.2">
      <c r="C4062" s="198"/>
      <c r="D4062" s="198"/>
      <c r="E4062" s="537"/>
      <c r="G4062" s="198"/>
      <c r="H4062" s="123"/>
    </row>
    <row r="4063" spans="3:8" s="99" customFormat="1" x14ac:dyDescent="0.2">
      <c r="C4063" s="198"/>
      <c r="D4063" s="198"/>
      <c r="E4063" s="537"/>
      <c r="G4063" s="198"/>
      <c r="H4063" s="123"/>
    </row>
    <row r="4064" spans="3:8" s="99" customFormat="1" x14ac:dyDescent="0.2">
      <c r="C4064" s="198"/>
      <c r="D4064" s="198"/>
      <c r="E4064" s="537"/>
      <c r="G4064" s="198"/>
      <c r="H4064" s="123"/>
    </row>
    <row r="4065" spans="3:8" s="99" customFormat="1" x14ac:dyDescent="0.2">
      <c r="C4065" s="198"/>
      <c r="D4065" s="198"/>
      <c r="E4065" s="537"/>
      <c r="G4065" s="198"/>
      <c r="H4065" s="123"/>
    </row>
    <row r="4066" spans="3:8" s="99" customFormat="1" x14ac:dyDescent="0.2">
      <c r="C4066" s="198"/>
      <c r="D4066" s="198"/>
      <c r="E4066" s="537"/>
      <c r="G4066" s="198"/>
      <c r="H4066" s="123"/>
    </row>
    <row r="4067" spans="3:8" s="99" customFormat="1" x14ac:dyDescent="0.2">
      <c r="C4067" s="198"/>
      <c r="D4067" s="198"/>
      <c r="E4067" s="537"/>
      <c r="G4067" s="198"/>
      <c r="H4067" s="123"/>
    </row>
    <row r="4068" spans="3:8" s="99" customFormat="1" x14ac:dyDescent="0.2">
      <c r="C4068" s="198"/>
      <c r="D4068" s="198"/>
      <c r="E4068" s="537"/>
      <c r="G4068" s="198"/>
      <c r="H4068" s="123"/>
    </row>
    <row r="4069" spans="3:8" s="99" customFormat="1" x14ac:dyDescent="0.2">
      <c r="C4069" s="198"/>
      <c r="D4069" s="198"/>
      <c r="E4069" s="537"/>
      <c r="G4069" s="198"/>
      <c r="H4069" s="123"/>
    </row>
    <row r="4070" spans="3:8" s="99" customFormat="1" x14ac:dyDescent="0.2">
      <c r="C4070" s="198"/>
      <c r="D4070" s="198"/>
      <c r="E4070" s="537"/>
      <c r="G4070" s="198"/>
      <c r="H4070" s="123"/>
    </row>
    <row r="4071" spans="3:8" s="99" customFormat="1" x14ac:dyDescent="0.2">
      <c r="C4071" s="198"/>
      <c r="D4071" s="198"/>
      <c r="E4071" s="537"/>
      <c r="G4071" s="198"/>
      <c r="H4071" s="123"/>
    </row>
    <row r="4072" spans="3:8" s="99" customFormat="1" x14ac:dyDescent="0.2">
      <c r="C4072" s="198"/>
      <c r="D4072" s="198"/>
      <c r="E4072" s="537"/>
      <c r="G4072" s="198"/>
      <c r="H4072" s="123"/>
    </row>
    <row r="4073" spans="3:8" s="99" customFormat="1" x14ac:dyDescent="0.2">
      <c r="C4073" s="198"/>
      <c r="D4073" s="198"/>
      <c r="E4073" s="537"/>
      <c r="G4073" s="198"/>
      <c r="H4073" s="123"/>
    </row>
    <row r="4074" spans="3:8" s="99" customFormat="1" x14ac:dyDescent="0.2">
      <c r="C4074" s="198"/>
      <c r="D4074" s="198"/>
      <c r="E4074" s="537"/>
      <c r="G4074" s="198"/>
      <c r="H4074" s="123"/>
    </row>
    <row r="4075" spans="3:8" s="99" customFormat="1" x14ac:dyDescent="0.2">
      <c r="C4075" s="198"/>
      <c r="D4075" s="198"/>
      <c r="E4075" s="537"/>
      <c r="G4075" s="198"/>
      <c r="H4075" s="123"/>
    </row>
    <row r="4076" spans="3:8" s="99" customFormat="1" x14ac:dyDescent="0.2">
      <c r="C4076" s="198"/>
      <c r="D4076" s="198"/>
      <c r="E4076" s="537"/>
      <c r="G4076" s="198"/>
      <c r="H4076" s="123"/>
    </row>
    <row r="4077" spans="3:8" s="99" customFormat="1" x14ac:dyDescent="0.2">
      <c r="C4077" s="198"/>
      <c r="D4077" s="198"/>
      <c r="E4077" s="537"/>
      <c r="G4077" s="198"/>
      <c r="H4077" s="123"/>
    </row>
    <row r="4078" spans="3:8" s="99" customFormat="1" x14ac:dyDescent="0.2">
      <c r="C4078" s="198"/>
      <c r="D4078" s="198"/>
      <c r="E4078" s="537"/>
      <c r="G4078" s="198"/>
      <c r="H4078" s="123"/>
    </row>
    <row r="4079" spans="3:8" s="99" customFormat="1" x14ac:dyDescent="0.2">
      <c r="C4079" s="198"/>
      <c r="D4079" s="198"/>
      <c r="E4079" s="537"/>
      <c r="G4079" s="198"/>
      <c r="H4079" s="123"/>
    </row>
    <row r="4080" spans="3:8" s="99" customFormat="1" x14ac:dyDescent="0.2">
      <c r="C4080" s="198"/>
      <c r="D4080" s="198"/>
      <c r="E4080" s="537"/>
      <c r="G4080" s="198"/>
      <c r="H4080" s="123"/>
    </row>
    <row r="4081" spans="3:8" s="99" customFormat="1" x14ac:dyDescent="0.2">
      <c r="C4081" s="198"/>
      <c r="D4081" s="198"/>
      <c r="E4081" s="537"/>
      <c r="G4081" s="198"/>
      <c r="H4081" s="123"/>
    </row>
    <row r="4082" spans="3:8" s="99" customFormat="1" x14ac:dyDescent="0.2">
      <c r="C4082" s="198"/>
      <c r="D4082" s="198"/>
      <c r="E4082" s="537"/>
      <c r="G4082" s="198"/>
      <c r="H4082" s="123"/>
    </row>
    <row r="4083" spans="3:8" s="99" customFormat="1" x14ac:dyDescent="0.2">
      <c r="C4083" s="198"/>
      <c r="D4083" s="198"/>
      <c r="E4083" s="537"/>
      <c r="G4083" s="198"/>
      <c r="H4083" s="123"/>
    </row>
    <row r="4084" spans="3:8" s="99" customFormat="1" x14ac:dyDescent="0.2">
      <c r="C4084" s="198"/>
      <c r="D4084" s="198"/>
      <c r="E4084" s="537"/>
      <c r="G4084" s="198"/>
      <c r="H4084" s="123"/>
    </row>
    <row r="4085" spans="3:8" s="99" customFormat="1" x14ac:dyDescent="0.2">
      <c r="C4085" s="198"/>
      <c r="D4085" s="198"/>
      <c r="E4085" s="537"/>
      <c r="G4085" s="198"/>
      <c r="H4085" s="123"/>
    </row>
    <row r="4086" spans="3:8" s="99" customFormat="1" x14ac:dyDescent="0.2">
      <c r="C4086" s="198"/>
      <c r="D4086" s="198"/>
      <c r="E4086" s="537"/>
      <c r="G4086" s="198"/>
      <c r="H4086" s="123"/>
    </row>
    <row r="4087" spans="3:8" s="99" customFormat="1" x14ac:dyDescent="0.2">
      <c r="C4087" s="198"/>
      <c r="D4087" s="198"/>
      <c r="E4087" s="537"/>
      <c r="G4087" s="198"/>
      <c r="H4087" s="123"/>
    </row>
    <row r="4088" spans="3:8" s="99" customFormat="1" x14ac:dyDescent="0.2">
      <c r="C4088" s="198"/>
      <c r="D4088" s="198"/>
      <c r="E4088" s="537"/>
      <c r="G4088" s="198"/>
      <c r="H4088" s="123"/>
    </row>
    <row r="4089" spans="3:8" s="99" customFormat="1" x14ac:dyDescent="0.2">
      <c r="C4089" s="198"/>
      <c r="D4089" s="198"/>
      <c r="E4089" s="537"/>
      <c r="G4089" s="198"/>
      <c r="H4089" s="123"/>
    </row>
    <row r="4090" spans="3:8" s="99" customFormat="1" x14ac:dyDescent="0.2">
      <c r="C4090" s="198"/>
      <c r="D4090" s="198"/>
      <c r="E4090" s="537"/>
      <c r="G4090" s="198"/>
      <c r="H4090" s="123"/>
    </row>
    <row r="4091" spans="3:8" s="99" customFormat="1" x14ac:dyDescent="0.2">
      <c r="C4091" s="198"/>
      <c r="D4091" s="198"/>
      <c r="E4091" s="537"/>
      <c r="G4091" s="198"/>
      <c r="H4091" s="123"/>
    </row>
    <row r="4092" spans="3:8" s="99" customFormat="1" x14ac:dyDescent="0.2">
      <c r="C4092" s="198"/>
      <c r="D4092" s="198"/>
      <c r="E4092" s="537"/>
      <c r="G4092" s="198"/>
      <c r="H4092" s="123"/>
    </row>
    <row r="4093" spans="3:8" s="99" customFormat="1" x14ac:dyDescent="0.2">
      <c r="C4093" s="198"/>
      <c r="D4093" s="198"/>
      <c r="E4093" s="537"/>
      <c r="G4093" s="198"/>
      <c r="H4093" s="123"/>
    </row>
    <row r="4094" spans="3:8" s="99" customFormat="1" x14ac:dyDescent="0.2">
      <c r="C4094" s="198"/>
      <c r="D4094" s="198"/>
      <c r="E4094" s="537"/>
      <c r="G4094" s="198"/>
      <c r="H4094" s="123"/>
    </row>
    <row r="4095" spans="3:8" s="99" customFormat="1" x14ac:dyDescent="0.2">
      <c r="C4095" s="198"/>
      <c r="D4095" s="198"/>
      <c r="E4095" s="537"/>
      <c r="G4095" s="198"/>
      <c r="H4095" s="123"/>
    </row>
    <row r="4096" spans="3:8" s="99" customFormat="1" x14ac:dyDescent="0.2">
      <c r="C4096" s="198"/>
      <c r="D4096" s="198"/>
      <c r="E4096" s="537"/>
      <c r="G4096" s="198"/>
      <c r="H4096" s="123"/>
    </row>
    <row r="4097" spans="3:8" s="99" customFormat="1" x14ac:dyDescent="0.2">
      <c r="C4097" s="198"/>
      <c r="D4097" s="198"/>
      <c r="E4097" s="537"/>
      <c r="G4097" s="198"/>
      <c r="H4097" s="123"/>
    </row>
    <row r="4098" spans="3:8" s="99" customFormat="1" x14ac:dyDescent="0.2">
      <c r="C4098" s="198"/>
      <c r="D4098" s="198"/>
      <c r="E4098" s="537"/>
      <c r="G4098" s="198"/>
      <c r="H4098" s="123"/>
    </row>
    <row r="4099" spans="3:8" s="99" customFormat="1" x14ac:dyDescent="0.2">
      <c r="C4099" s="198"/>
      <c r="D4099" s="198"/>
      <c r="E4099" s="537"/>
      <c r="G4099" s="198"/>
      <c r="H4099" s="123"/>
    </row>
    <row r="4100" spans="3:8" s="99" customFormat="1" x14ac:dyDescent="0.2">
      <c r="C4100" s="198"/>
      <c r="D4100" s="198"/>
      <c r="E4100" s="537"/>
      <c r="G4100" s="198"/>
      <c r="H4100" s="123"/>
    </row>
    <row r="4101" spans="3:8" s="99" customFormat="1" x14ac:dyDescent="0.2">
      <c r="C4101" s="198"/>
      <c r="D4101" s="198"/>
      <c r="E4101" s="537"/>
      <c r="G4101" s="198"/>
      <c r="H4101" s="123"/>
    </row>
    <row r="4102" spans="3:8" s="99" customFormat="1" x14ac:dyDescent="0.2">
      <c r="C4102" s="198"/>
      <c r="D4102" s="198"/>
      <c r="E4102" s="537"/>
      <c r="G4102" s="198"/>
      <c r="H4102" s="123"/>
    </row>
    <row r="4103" spans="3:8" s="99" customFormat="1" x14ac:dyDescent="0.2">
      <c r="C4103" s="198"/>
      <c r="D4103" s="198"/>
      <c r="E4103" s="537"/>
      <c r="G4103" s="198"/>
      <c r="H4103" s="123"/>
    </row>
    <row r="4104" spans="3:8" s="99" customFormat="1" x14ac:dyDescent="0.2">
      <c r="C4104" s="198"/>
      <c r="D4104" s="198"/>
      <c r="E4104" s="537"/>
      <c r="G4104" s="198"/>
      <c r="H4104" s="123"/>
    </row>
    <row r="4105" spans="3:8" s="99" customFormat="1" x14ac:dyDescent="0.2">
      <c r="C4105" s="198"/>
      <c r="D4105" s="198"/>
      <c r="E4105" s="537"/>
      <c r="G4105" s="198"/>
      <c r="H4105" s="123"/>
    </row>
    <row r="4106" spans="3:8" s="99" customFormat="1" x14ac:dyDescent="0.2">
      <c r="C4106" s="198"/>
      <c r="D4106" s="198"/>
      <c r="E4106" s="537"/>
      <c r="G4106" s="198"/>
      <c r="H4106" s="123"/>
    </row>
    <row r="4107" spans="3:8" s="99" customFormat="1" x14ac:dyDescent="0.2">
      <c r="C4107" s="198"/>
      <c r="D4107" s="198"/>
      <c r="E4107" s="537"/>
      <c r="G4107" s="198"/>
      <c r="H4107" s="123"/>
    </row>
    <row r="4108" spans="3:8" s="99" customFormat="1" x14ac:dyDescent="0.2">
      <c r="C4108" s="198"/>
      <c r="D4108" s="198"/>
      <c r="E4108" s="537"/>
      <c r="G4108" s="198"/>
      <c r="H4108" s="123"/>
    </row>
    <row r="4109" spans="3:8" s="99" customFormat="1" x14ac:dyDescent="0.2">
      <c r="C4109" s="198"/>
      <c r="D4109" s="198"/>
      <c r="E4109" s="537"/>
      <c r="G4109" s="198"/>
      <c r="H4109" s="123"/>
    </row>
    <row r="4110" spans="3:8" s="99" customFormat="1" x14ac:dyDescent="0.2">
      <c r="C4110" s="198"/>
      <c r="D4110" s="198"/>
      <c r="E4110" s="537"/>
      <c r="G4110" s="198"/>
      <c r="H4110" s="123"/>
    </row>
    <row r="4111" spans="3:8" s="99" customFormat="1" x14ac:dyDescent="0.2">
      <c r="C4111" s="198"/>
      <c r="D4111" s="198"/>
      <c r="E4111" s="537"/>
      <c r="G4111" s="198"/>
      <c r="H4111" s="123"/>
    </row>
    <row r="4112" spans="3:8" s="99" customFormat="1" x14ac:dyDescent="0.2">
      <c r="C4112" s="198"/>
      <c r="D4112" s="198"/>
      <c r="E4112" s="537"/>
      <c r="G4112" s="198"/>
      <c r="H4112" s="123"/>
    </row>
    <row r="4113" spans="3:8" s="99" customFormat="1" x14ac:dyDescent="0.2">
      <c r="C4113" s="198"/>
      <c r="D4113" s="198"/>
      <c r="E4113" s="537"/>
      <c r="G4113" s="198"/>
      <c r="H4113" s="123"/>
    </row>
    <row r="4114" spans="3:8" s="99" customFormat="1" x14ac:dyDescent="0.2">
      <c r="C4114" s="198"/>
      <c r="D4114" s="198"/>
      <c r="E4114" s="537"/>
      <c r="G4114" s="198"/>
      <c r="H4114" s="123"/>
    </row>
    <row r="4115" spans="3:8" s="99" customFormat="1" x14ac:dyDescent="0.2">
      <c r="C4115" s="198"/>
      <c r="D4115" s="198"/>
      <c r="E4115" s="537"/>
      <c r="G4115" s="198"/>
      <c r="H4115" s="123"/>
    </row>
    <row r="4116" spans="3:8" s="99" customFormat="1" x14ac:dyDescent="0.2">
      <c r="C4116" s="198"/>
      <c r="D4116" s="198"/>
      <c r="E4116" s="537"/>
      <c r="G4116" s="198"/>
      <c r="H4116" s="123"/>
    </row>
    <row r="4117" spans="3:8" s="99" customFormat="1" x14ac:dyDescent="0.2">
      <c r="C4117" s="198"/>
      <c r="D4117" s="198"/>
      <c r="E4117" s="537"/>
      <c r="G4117" s="198"/>
      <c r="H4117" s="123"/>
    </row>
    <row r="4118" spans="3:8" s="99" customFormat="1" x14ac:dyDescent="0.2">
      <c r="C4118" s="198"/>
      <c r="D4118" s="198"/>
      <c r="E4118" s="537"/>
      <c r="G4118" s="198"/>
      <c r="H4118" s="123"/>
    </row>
    <row r="4119" spans="3:8" s="99" customFormat="1" x14ac:dyDescent="0.2">
      <c r="C4119" s="198"/>
      <c r="D4119" s="198"/>
      <c r="E4119" s="537"/>
      <c r="G4119" s="198"/>
      <c r="H4119" s="123"/>
    </row>
    <row r="4120" spans="3:8" s="99" customFormat="1" x14ac:dyDescent="0.2">
      <c r="C4120" s="198"/>
      <c r="D4120" s="198"/>
      <c r="E4120" s="537"/>
      <c r="G4120" s="198"/>
      <c r="H4120" s="123"/>
    </row>
    <row r="4121" spans="3:8" s="99" customFormat="1" x14ac:dyDescent="0.2">
      <c r="C4121" s="198"/>
      <c r="D4121" s="198"/>
      <c r="E4121" s="537"/>
      <c r="G4121" s="198"/>
      <c r="H4121" s="123"/>
    </row>
    <row r="4122" spans="3:8" s="99" customFormat="1" x14ac:dyDescent="0.2">
      <c r="C4122" s="198"/>
      <c r="D4122" s="198"/>
      <c r="E4122" s="537"/>
      <c r="G4122" s="198"/>
      <c r="H4122" s="123"/>
    </row>
    <row r="4123" spans="3:8" s="99" customFormat="1" x14ac:dyDescent="0.2">
      <c r="C4123" s="198"/>
      <c r="D4123" s="198"/>
      <c r="E4123" s="537"/>
      <c r="G4123" s="198"/>
      <c r="H4123" s="123"/>
    </row>
    <row r="4124" spans="3:8" s="99" customFormat="1" x14ac:dyDescent="0.2">
      <c r="C4124" s="198"/>
      <c r="D4124" s="198"/>
      <c r="E4124" s="537"/>
      <c r="G4124" s="198"/>
      <c r="H4124" s="123"/>
    </row>
    <row r="4125" spans="3:8" s="99" customFormat="1" x14ac:dyDescent="0.2">
      <c r="C4125" s="198"/>
      <c r="D4125" s="198"/>
      <c r="E4125" s="537"/>
      <c r="G4125" s="198"/>
      <c r="H4125" s="123"/>
    </row>
    <row r="4126" spans="3:8" s="99" customFormat="1" x14ac:dyDescent="0.2">
      <c r="C4126" s="198"/>
      <c r="D4126" s="198"/>
      <c r="E4126" s="537"/>
      <c r="G4126" s="198"/>
      <c r="H4126" s="123"/>
    </row>
    <row r="4127" spans="3:8" s="99" customFormat="1" x14ac:dyDescent="0.2">
      <c r="C4127" s="198"/>
      <c r="D4127" s="198"/>
      <c r="E4127" s="537"/>
      <c r="G4127" s="198"/>
      <c r="H4127" s="123"/>
    </row>
    <row r="4128" spans="3:8" s="99" customFormat="1" x14ac:dyDescent="0.2">
      <c r="C4128" s="198"/>
      <c r="D4128" s="198"/>
      <c r="E4128" s="537"/>
      <c r="G4128" s="198"/>
      <c r="H4128" s="123"/>
    </row>
    <row r="4129" spans="3:8" s="99" customFormat="1" x14ac:dyDescent="0.2">
      <c r="C4129" s="198"/>
      <c r="D4129" s="198"/>
      <c r="E4129" s="537"/>
      <c r="G4129" s="198"/>
      <c r="H4129" s="123"/>
    </row>
    <row r="4130" spans="3:8" s="99" customFormat="1" x14ac:dyDescent="0.2">
      <c r="C4130" s="198"/>
      <c r="D4130" s="198"/>
      <c r="E4130" s="537"/>
      <c r="G4130" s="198"/>
      <c r="H4130" s="123"/>
    </row>
    <row r="4131" spans="3:8" s="99" customFormat="1" x14ac:dyDescent="0.2">
      <c r="C4131" s="198"/>
      <c r="D4131" s="198"/>
      <c r="E4131" s="537"/>
      <c r="G4131" s="198"/>
      <c r="H4131" s="123"/>
    </row>
    <row r="4132" spans="3:8" s="99" customFormat="1" x14ac:dyDescent="0.2">
      <c r="C4132" s="198"/>
      <c r="D4132" s="198"/>
      <c r="E4132" s="537"/>
      <c r="G4132" s="198"/>
      <c r="H4132" s="123"/>
    </row>
    <row r="4133" spans="3:8" s="99" customFormat="1" x14ac:dyDescent="0.2">
      <c r="C4133" s="198"/>
      <c r="D4133" s="198"/>
      <c r="E4133" s="537"/>
      <c r="G4133" s="198"/>
      <c r="H4133" s="123"/>
    </row>
    <row r="4134" spans="3:8" s="99" customFormat="1" x14ac:dyDescent="0.2">
      <c r="C4134" s="198"/>
      <c r="D4134" s="198"/>
      <c r="E4134" s="537"/>
      <c r="G4134" s="198"/>
      <c r="H4134" s="123"/>
    </row>
    <row r="4135" spans="3:8" s="99" customFormat="1" x14ac:dyDescent="0.2">
      <c r="C4135" s="198"/>
      <c r="D4135" s="198"/>
      <c r="E4135" s="537"/>
      <c r="G4135" s="198"/>
      <c r="H4135" s="123"/>
    </row>
    <row r="4136" spans="3:8" s="99" customFormat="1" x14ac:dyDescent="0.2">
      <c r="C4136" s="198"/>
      <c r="D4136" s="198"/>
      <c r="E4136" s="537"/>
      <c r="G4136" s="198"/>
      <c r="H4136" s="123"/>
    </row>
    <row r="4137" spans="3:8" s="99" customFormat="1" x14ac:dyDescent="0.2">
      <c r="C4137" s="198"/>
      <c r="D4137" s="198"/>
      <c r="E4137" s="537"/>
      <c r="G4137" s="198"/>
      <c r="H4137" s="123"/>
    </row>
    <row r="4138" spans="3:8" s="99" customFormat="1" x14ac:dyDescent="0.2">
      <c r="C4138" s="198"/>
      <c r="D4138" s="198"/>
      <c r="E4138" s="537"/>
      <c r="G4138" s="198"/>
      <c r="H4138" s="123"/>
    </row>
    <row r="4139" spans="3:8" s="99" customFormat="1" x14ac:dyDescent="0.2">
      <c r="C4139" s="198"/>
      <c r="D4139" s="198"/>
      <c r="E4139" s="537"/>
      <c r="G4139" s="198"/>
      <c r="H4139" s="123"/>
    </row>
    <row r="4140" spans="3:8" s="99" customFormat="1" x14ac:dyDescent="0.2">
      <c r="C4140" s="198"/>
      <c r="D4140" s="198"/>
      <c r="E4140" s="537"/>
      <c r="G4140" s="198"/>
      <c r="H4140" s="123"/>
    </row>
    <row r="4141" spans="3:8" s="99" customFormat="1" x14ac:dyDescent="0.2">
      <c r="C4141" s="198"/>
      <c r="D4141" s="198"/>
      <c r="E4141" s="537"/>
      <c r="G4141" s="198"/>
      <c r="H4141" s="123"/>
    </row>
    <row r="4142" spans="3:8" s="99" customFormat="1" x14ac:dyDescent="0.2">
      <c r="C4142" s="198"/>
      <c r="D4142" s="198"/>
      <c r="E4142" s="537"/>
      <c r="G4142" s="198"/>
      <c r="H4142" s="123"/>
    </row>
    <row r="4143" spans="3:8" s="99" customFormat="1" x14ac:dyDescent="0.2">
      <c r="C4143" s="198"/>
      <c r="D4143" s="198"/>
      <c r="E4143" s="537"/>
      <c r="G4143" s="198"/>
      <c r="H4143" s="123"/>
    </row>
    <row r="4144" spans="3:8" s="99" customFormat="1" x14ac:dyDescent="0.2">
      <c r="C4144" s="198"/>
      <c r="D4144" s="198"/>
      <c r="E4144" s="537"/>
      <c r="G4144" s="198"/>
      <c r="H4144" s="123"/>
    </row>
    <row r="4145" spans="3:8" s="99" customFormat="1" x14ac:dyDescent="0.2">
      <c r="C4145" s="198"/>
      <c r="D4145" s="198"/>
      <c r="E4145" s="537"/>
      <c r="G4145" s="198"/>
      <c r="H4145" s="123"/>
    </row>
    <row r="4146" spans="3:8" s="99" customFormat="1" x14ac:dyDescent="0.2">
      <c r="C4146" s="198"/>
      <c r="D4146" s="198"/>
      <c r="E4146" s="537"/>
      <c r="G4146" s="198"/>
      <c r="H4146" s="123"/>
    </row>
    <row r="4147" spans="3:8" s="99" customFormat="1" x14ac:dyDescent="0.2">
      <c r="C4147" s="198"/>
      <c r="D4147" s="198"/>
      <c r="E4147" s="537"/>
      <c r="G4147" s="198"/>
      <c r="H4147" s="123"/>
    </row>
    <row r="4148" spans="3:8" s="99" customFormat="1" x14ac:dyDescent="0.2">
      <c r="C4148" s="198"/>
      <c r="D4148" s="198"/>
      <c r="E4148" s="537"/>
      <c r="G4148" s="198"/>
      <c r="H4148" s="123"/>
    </row>
    <row r="4149" spans="3:8" s="99" customFormat="1" x14ac:dyDescent="0.2">
      <c r="C4149" s="198"/>
      <c r="D4149" s="198"/>
      <c r="E4149" s="537"/>
      <c r="G4149" s="198"/>
      <c r="H4149" s="123"/>
    </row>
    <row r="4150" spans="3:8" s="99" customFormat="1" x14ac:dyDescent="0.2">
      <c r="C4150" s="198"/>
      <c r="D4150" s="198"/>
      <c r="E4150" s="537"/>
      <c r="G4150" s="198"/>
      <c r="H4150" s="123"/>
    </row>
    <row r="4151" spans="3:8" s="99" customFormat="1" x14ac:dyDescent="0.2">
      <c r="C4151" s="198"/>
      <c r="D4151" s="198"/>
      <c r="E4151" s="537"/>
      <c r="G4151" s="198"/>
      <c r="H4151" s="123"/>
    </row>
    <row r="4152" spans="3:8" s="99" customFormat="1" x14ac:dyDescent="0.2">
      <c r="C4152" s="198"/>
      <c r="D4152" s="198"/>
      <c r="E4152" s="537"/>
      <c r="G4152" s="198"/>
      <c r="H4152" s="123"/>
    </row>
    <row r="4153" spans="3:8" s="99" customFormat="1" x14ac:dyDescent="0.2">
      <c r="C4153" s="198"/>
      <c r="D4153" s="198"/>
      <c r="E4153" s="537"/>
      <c r="G4153" s="198"/>
      <c r="H4153" s="123"/>
    </row>
    <row r="4154" spans="3:8" s="99" customFormat="1" x14ac:dyDescent="0.2">
      <c r="C4154" s="198"/>
      <c r="D4154" s="198"/>
      <c r="E4154" s="537"/>
      <c r="G4154" s="198"/>
      <c r="H4154" s="123"/>
    </row>
    <row r="4155" spans="3:8" s="99" customFormat="1" x14ac:dyDescent="0.2">
      <c r="C4155" s="198"/>
      <c r="D4155" s="198"/>
      <c r="E4155" s="537"/>
      <c r="G4155" s="198"/>
      <c r="H4155" s="123"/>
    </row>
    <row r="4156" spans="3:8" s="99" customFormat="1" x14ac:dyDescent="0.2">
      <c r="C4156" s="198"/>
      <c r="D4156" s="198"/>
      <c r="E4156" s="537"/>
      <c r="G4156" s="198"/>
      <c r="H4156" s="123"/>
    </row>
    <row r="4157" spans="3:8" s="99" customFormat="1" x14ac:dyDescent="0.2">
      <c r="C4157" s="198"/>
      <c r="D4157" s="198"/>
      <c r="E4157" s="537"/>
      <c r="G4157" s="198"/>
      <c r="H4157" s="123"/>
    </row>
    <row r="4158" spans="3:8" s="99" customFormat="1" x14ac:dyDescent="0.2">
      <c r="C4158" s="198"/>
      <c r="D4158" s="198"/>
      <c r="E4158" s="537"/>
      <c r="G4158" s="198"/>
      <c r="H4158" s="123"/>
    </row>
    <row r="4159" spans="3:8" s="99" customFormat="1" x14ac:dyDescent="0.2">
      <c r="C4159" s="198"/>
      <c r="D4159" s="198"/>
      <c r="E4159" s="537"/>
      <c r="G4159" s="198"/>
      <c r="H4159" s="123"/>
    </row>
    <row r="4160" spans="3:8" s="99" customFormat="1" x14ac:dyDescent="0.2">
      <c r="C4160" s="198"/>
      <c r="D4160" s="198"/>
      <c r="E4160" s="537"/>
      <c r="G4160" s="198"/>
      <c r="H4160" s="123"/>
    </row>
    <row r="4161" spans="3:8" s="99" customFormat="1" x14ac:dyDescent="0.2">
      <c r="C4161" s="198"/>
      <c r="D4161" s="198"/>
      <c r="E4161" s="537"/>
      <c r="G4161" s="198"/>
      <c r="H4161" s="123"/>
    </row>
    <row r="4162" spans="3:8" s="99" customFormat="1" x14ac:dyDescent="0.2">
      <c r="C4162" s="198"/>
      <c r="D4162" s="198"/>
      <c r="E4162" s="537"/>
      <c r="G4162" s="198"/>
      <c r="H4162" s="123"/>
    </row>
    <row r="4163" spans="3:8" s="99" customFormat="1" x14ac:dyDescent="0.2">
      <c r="C4163" s="198"/>
      <c r="D4163" s="198"/>
      <c r="E4163" s="537"/>
      <c r="G4163" s="198"/>
      <c r="H4163" s="123"/>
    </row>
    <row r="4164" spans="3:8" s="99" customFormat="1" x14ac:dyDescent="0.2">
      <c r="C4164" s="198"/>
      <c r="D4164" s="198"/>
      <c r="E4164" s="537"/>
      <c r="G4164" s="198"/>
      <c r="H4164" s="123"/>
    </row>
    <row r="4165" spans="3:8" s="99" customFormat="1" x14ac:dyDescent="0.2">
      <c r="C4165" s="198"/>
      <c r="D4165" s="198"/>
      <c r="E4165" s="537"/>
      <c r="G4165" s="198"/>
      <c r="H4165" s="123"/>
    </row>
    <row r="4166" spans="3:8" s="99" customFormat="1" x14ac:dyDescent="0.2">
      <c r="C4166" s="198"/>
      <c r="D4166" s="198"/>
      <c r="E4166" s="537"/>
      <c r="G4166" s="198"/>
      <c r="H4166" s="123"/>
    </row>
    <row r="4167" spans="3:8" s="99" customFormat="1" x14ac:dyDescent="0.2">
      <c r="C4167" s="198"/>
      <c r="D4167" s="198"/>
      <c r="E4167" s="537"/>
      <c r="G4167" s="198"/>
      <c r="H4167" s="123"/>
    </row>
    <row r="4168" spans="3:8" s="99" customFormat="1" x14ac:dyDescent="0.2">
      <c r="C4168" s="198"/>
      <c r="D4168" s="198"/>
      <c r="E4168" s="537"/>
      <c r="G4168" s="198"/>
      <c r="H4168" s="123"/>
    </row>
    <row r="4169" spans="3:8" s="99" customFormat="1" x14ac:dyDescent="0.2">
      <c r="C4169" s="198"/>
      <c r="D4169" s="198"/>
      <c r="E4169" s="537"/>
      <c r="G4169" s="198"/>
      <c r="H4169" s="123"/>
    </row>
    <row r="4170" spans="3:8" s="99" customFormat="1" x14ac:dyDescent="0.2">
      <c r="C4170" s="198"/>
      <c r="D4170" s="198"/>
      <c r="E4170" s="537"/>
      <c r="G4170" s="198"/>
      <c r="H4170" s="123"/>
    </row>
    <row r="4171" spans="3:8" s="99" customFormat="1" x14ac:dyDescent="0.2">
      <c r="C4171" s="198"/>
      <c r="D4171" s="198"/>
      <c r="E4171" s="537"/>
      <c r="G4171" s="198"/>
      <c r="H4171" s="123"/>
    </row>
    <row r="4172" spans="3:8" s="99" customFormat="1" x14ac:dyDescent="0.2">
      <c r="C4172" s="198"/>
      <c r="D4172" s="198"/>
      <c r="E4172" s="537"/>
      <c r="G4172" s="198"/>
      <c r="H4172" s="123"/>
    </row>
    <row r="4173" spans="3:8" s="99" customFormat="1" x14ac:dyDescent="0.2">
      <c r="C4173" s="198"/>
      <c r="D4173" s="198"/>
      <c r="E4173" s="537"/>
      <c r="G4173" s="198"/>
      <c r="H4173" s="123"/>
    </row>
    <row r="4174" spans="3:8" s="99" customFormat="1" x14ac:dyDescent="0.2">
      <c r="C4174" s="198"/>
      <c r="D4174" s="198"/>
      <c r="E4174" s="537"/>
      <c r="G4174" s="198"/>
      <c r="H4174" s="123"/>
    </row>
    <row r="4175" spans="3:8" s="99" customFormat="1" x14ac:dyDescent="0.2">
      <c r="C4175" s="198"/>
      <c r="D4175" s="198"/>
      <c r="E4175" s="537"/>
      <c r="G4175" s="198"/>
      <c r="H4175" s="123"/>
    </row>
    <row r="4176" spans="3:8" s="99" customFormat="1" x14ac:dyDescent="0.2">
      <c r="C4176" s="198"/>
      <c r="D4176" s="198"/>
      <c r="E4176" s="537"/>
      <c r="G4176" s="198"/>
      <c r="H4176" s="123"/>
    </row>
    <row r="4177" spans="3:8" s="99" customFormat="1" x14ac:dyDescent="0.2">
      <c r="C4177" s="198"/>
      <c r="D4177" s="198"/>
      <c r="E4177" s="537"/>
      <c r="G4177" s="198"/>
      <c r="H4177" s="123"/>
    </row>
    <row r="4178" spans="3:8" s="99" customFormat="1" x14ac:dyDescent="0.2">
      <c r="C4178" s="198"/>
      <c r="D4178" s="198"/>
      <c r="E4178" s="537"/>
      <c r="G4178" s="198"/>
      <c r="H4178" s="123"/>
    </row>
    <row r="4179" spans="3:8" s="99" customFormat="1" x14ac:dyDescent="0.2">
      <c r="C4179" s="198"/>
      <c r="D4179" s="198"/>
      <c r="E4179" s="537"/>
      <c r="G4179" s="198"/>
      <c r="H4179" s="123"/>
    </row>
    <row r="4180" spans="3:8" s="99" customFormat="1" x14ac:dyDescent="0.2">
      <c r="C4180" s="198"/>
      <c r="D4180" s="198"/>
      <c r="E4180" s="537"/>
      <c r="G4180" s="198"/>
      <c r="H4180" s="123"/>
    </row>
    <row r="4181" spans="3:8" s="99" customFormat="1" x14ac:dyDescent="0.2">
      <c r="C4181" s="198"/>
      <c r="D4181" s="198"/>
      <c r="E4181" s="537"/>
      <c r="G4181" s="198"/>
      <c r="H4181" s="123"/>
    </row>
    <row r="4182" spans="3:8" s="99" customFormat="1" x14ac:dyDescent="0.2">
      <c r="C4182" s="198"/>
      <c r="D4182" s="198"/>
      <c r="E4182" s="537"/>
      <c r="G4182" s="198"/>
      <c r="H4182" s="123"/>
    </row>
    <row r="4183" spans="3:8" s="99" customFormat="1" x14ac:dyDescent="0.2">
      <c r="C4183" s="198"/>
      <c r="D4183" s="198"/>
      <c r="E4183" s="537"/>
      <c r="G4183" s="198"/>
      <c r="H4183" s="123"/>
    </row>
    <row r="4184" spans="3:8" s="99" customFormat="1" x14ac:dyDescent="0.2">
      <c r="C4184" s="198"/>
      <c r="D4184" s="198"/>
      <c r="E4184" s="537"/>
      <c r="G4184" s="198"/>
      <c r="H4184" s="123"/>
    </row>
    <row r="4185" spans="3:8" s="99" customFormat="1" x14ac:dyDescent="0.2">
      <c r="C4185" s="198"/>
      <c r="D4185" s="198"/>
      <c r="E4185" s="537"/>
      <c r="G4185" s="198"/>
      <c r="H4185" s="123"/>
    </row>
    <row r="4186" spans="3:8" s="99" customFormat="1" x14ac:dyDescent="0.2">
      <c r="C4186" s="198"/>
      <c r="D4186" s="198"/>
      <c r="E4186" s="537"/>
      <c r="G4186" s="198"/>
      <c r="H4186" s="123"/>
    </row>
    <row r="4187" spans="3:8" s="99" customFormat="1" x14ac:dyDescent="0.2">
      <c r="C4187" s="198"/>
      <c r="D4187" s="198"/>
      <c r="E4187" s="537"/>
      <c r="G4187" s="198"/>
      <c r="H4187" s="123"/>
    </row>
    <row r="4188" spans="3:8" s="99" customFormat="1" x14ac:dyDescent="0.2">
      <c r="C4188" s="198"/>
      <c r="D4188" s="198"/>
      <c r="E4188" s="537"/>
      <c r="G4188" s="198"/>
      <c r="H4188" s="123"/>
    </row>
    <row r="4189" spans="3:8" s="99" customFormat="1" x14ac:dyDescent="0.2">
      <c r="C4189" s="198"/>
      <c r="D4189" s="198"/>
      <c r="E4189" s="537"/>
      <c r="G4189" s="198"/>
      <c r="H4189" s="123"/>
    </row>
    <row r="4190" spans="3:8" s="99" customFormat="1" x14ac:dyDescent="0.2">
      <c r="C4190" s="198"/>
      <c r="D4190" s="198"/>
      <c r="E4190" s="537"/>
      <c r="G4190" s="198"/>
      <c r="H4190" s="123"/>
    </row>
    <row r="4191" spans="3:8" s="99" customFormat="1" x14ac:dyDescent="0.2">
      <c r="C4191" s="198"/>
      <c r="D4191" s="198"/>
      <c r="E4191" s="537"/>
      <c r="G4191" s="198"/>
      <c r="H4191" s="123"/>
    </row>
    <row r="4192" spans="3:8" s="99" customFormat="1" x14ac:dyDescent="0.2">
      <c r="C4192" s="198"/>
      <c r="D4192" s="198"/>
      <c r="E4192" s="537"/>
      <c r="G4192" s="198"/>
      <c r="H4192" s="123"/>
    </row>
    <row r="4193" spans="3:8" s="99" customFormat="1" x14ac:dyDescent="0.2">
      <c r="C4193" s="198"/>
      <c r="D4193" s="198"/>
      <c r="E4193" s="537"/>
      <c r="G4193" s="198"/>
      <c r="H4193" s="123"/>
    </row>
    <row r="4194" spans="3:8" s="99" customFormat="1" x14ac:dyDescent="0.2">
      <c r="C4194" s="198"/>
      <c r="D4194" s="198"/>
      <c r="E4194" s="537"/>
      <c r="G4194" s="198"/>
      <c r="H4194" s="123"/>
    </row>
    <row r="4195" spans="3:8" s="99" customFormat="1" x14ac:dyDescent="0.2">
      <c r="C4195" s="198"/>
      <c r="D4195" s="198"/>
      <c r="E4195" s="537"/>
      <c r="G4195" s="198"/>
      <c r="H4195" s="123"/>
    </row>
    <row r="4196" spans="3:8" s="99" customFormat="1" x14ac:dyDescent="0.2">
      <c r="C4196" s="198"/>
      <c r="D4196" s="198"/>
      <c r="E4196" s="537"/>
      <c r="G4196" s="198"/>
      <c r="H4196" s="123"/>
    </row>
    <row r="4197" spans="3:8" s="99" customFormat="1" x14ac:dyDescent="0.2">
      <c r="C4197" s="198"/>
      <c r="D4197" s="198"/>
      <c r="E4197" s="537"/>
      <c r="G4197" s="198"/>
      <c r="H4197" s="123"/>
    </row>
    <row r="4198" spans="3:8" s="99" customFormat="1" x14ac:dyDescent="0.2">
      <c r="C4198" s="198"/>
      <c r="D4198" s="198"/>
      <c r="E4198" s="537"/>
      <c r="G4198" s="198"/>
      <c r="H4198" s="123"/>
    </row>
    <row r="4199" spans="3:8" s="99" customFormat="1" x14ac:dyDescent="0.2">
      <c r="C4199" s="198"/>
      <c r="D4199" s="198"/>
      <c r="E4199" s="537"/>
      <c r="G4199" s="198"/>
      <c r="H4199" s="123"/>
    </row>
    <row r="4200" spans="3:8" s="99" customFormat="1" x14ac:dyDescent="0.2">
      <c r="C4200" s="198"/>
      <c r="D4200" s="198"/>
      <c r="E4200" s="537"/>
      <c r="G4200" s="198"/>
      <c r="H4200" s="123"/>
    </row>
    <row r="4201" spans="3:8" s="99" customFormat="1" x14ac:dyDescent="0.2">
      <c r="C4201" s="198"/>
      <c r="D4201" s="198"/>
      <c r="E4201" s="537"/>
      <c r="G4201" s="198"/>
      <c r="H4201" s="123"/>
    </row>
    <row r="4202" spans="3:8" s="99" customFormat="1" x14ac:dyDescent="0.2">
      <c r="C4202" s="198"/>
      <c r="D4202" s="198"/>
      <c r="E4202" s="537"/>
      <c r="G4202" s="198"/>
      <c r="H4202" s="123"/>
    </row>
    <row r="4203" spans="3:8" s="99" customFormat="1" x14ac:dyDescent="0.2">
      <c r="C4203" s="198"/>
      <c r="D4203" s="198"/>
      <c r="E4203" s="537"/>
      <c r="G4203" s="198"/>
      <c r="H4203" s="123"/>
    </row>
    <row r="4204" spans="3:8" s="99" customFormat="1" x14ac:dyDescent="0.2">
      <c r="C4204" s="198"/>
      <c r="D4204" s="198"/>
      <c r="E4204" s="537"/>
      <c r="G4204" s="198"/>
      <c r="H4204" s="123"/>
    </row>
    <row r="4205" spans="3:8" s="99" customFormat="1" x14ac:dyDescent="0.2">
      <c r="C4205" s="198"/>
      <c r="D4205" s="198"/>
      <c r="E4205" s="537"/>
      <c r="G4205" s="198"/>
      <c r="H4205" s="123"/>
    </row>
    <row r="4206" spans="3:8" s="99" customFormat="1" x14ac:dyDescent="0.2">
      <c r="C4206" s="198"/>
      <c r="D4206" s="198"/>
      <c r="E4206" s="537"/>
      <c r="G4206" s="198"/>
      <c r="H4206" s="123"/>
    </row>
    <row r="4207" spans="3:8" s="99" customFormat="1" x14ac:dyDescent="0.2">
      <c r="C4207" s="198"/>
      <c r="D4207" s="198"/>
      <c r="E4207" s="537"/>
      <c r="G4207" s="198"/>
      <c r="H4207" s="123"/>
    </row>
    <row r="4208" spans="3:8" s="99" customFormat="1" x14ac:dyDescent="0.2">
      <c r="C4208" s="198"/>
      <c r="D4208" s="198"/>
      <c r="E4208" s="537"/>
      <c r="G4208" s="198"/>
      <c r="H4208" s="123"/>
    </row>
    <row r="4209" spans="3:8" s="99" customFormat="1" x14ac:dyDescent="0.2">
      <c r="C4209" s="198"/>
      <c r="D4209" s="198"/>
      <c r="E4209" s="537"/>
      <c r="G4209" s="198"/>
      <c r="H4209" s="123"/>
    </row>
    <row r="4210" spans="3:8" s="99" customFormat="1" x14ac:dyDescent="0.2">
      <c r="C4210" s="198"/>
      <c r="D4210" s="198"/>
      <c r="E4210" s="537"/>
      <c r="G4210" s="198"/>
      <c r="H4210" s="123"/>
    </row>
    <row r="4211" spans="3:8" s="99" customFormat="1" x14ac:dyDescent="0.2">
      <c r="C4211" s="198"/>
      <c r="D4211" s="198"/>
      <c r="E4211" s="537"/>
      <c r="G4211" s="198"/>
      <c r="H4211" s="123"/>
    </row>
    <row r="4212" spans="3:8" s="99" customFormat="1" x14ac:dyDescent="0.2">
      <c r="C4212" s="198"/>
      <c r="D4212" s="198"/>
      <c r="E4212" s="537"/>
      <c r="G4212" s="198"/>
      <c r="H4212" s="123"/>
    </row>
    <row r="4213" spans="3:8" s="99" customFormat="1" x14ac:dyDescent="0.2">
      <c r="C4213" s="198"/>
      <c r="D4213" s="198"/>
      <c r="E4213" s="537"/>
      <c r="G4213" s="198"/>
      <c r="H4213" s="123"/>
    </row>
    <row r="4214" spans="3:8" s="99" customFormat="1" x14ac:dyDescent="0.2">
      <c r="C4214" s="198"/>
      <c r="D4214" s="198"/>
      <c r="E4214" s="537"/>
      <c r="G4214" s="198"/>
      <c r="H4214" s="123"/>
    </row>
    <row r="4215" spans="3:8" s="99" customFormat="1" x14ac:dyDescent="0.2">
      <c r="C4215" s="198"/>
      <c r="D4215" s="198"/>
      <c r="E4215" s="537"/>
      <c r="G4215" s="198"/>
      <c r="H4215" s="123"/>
    </row>
    <row r="4216" spans="3:8" s="99" customFormat="1" x14ac:dyDescent="0.2">
      <c r="C4216" s="198"/>
      <c r="D4216" s="198"/>
      <c r="E4216" s="537"/>
      <c r="G4216" s="198"/>
      <c r="H4216" s="123"/>
    </row>
    <row r="4217" spans="3:8" s="99" customFormat="1" x14ac:dyDescent="0.2">
      <c r="C4217" s="198"/>
      <c r="D4217" s="198"/>
      <c r="E4217" s="537"/>
      <c r="G4217" s="198"/>
      <c r="H4217" s="123"/>
    </row>
    <row r="4218" spans="3:8" s="99" customFormat="1" x14ac:dyDescent="0.2">
      <c r="C4218" s="198"/>
      <c r="D4218" s="198"/>
      <c r="E4218" s="537"/>
      <c r="G4218" s="198"/>
      <c r="H4218" s="123"/>
    </row>
    <row r="4219" spans="3:8" s="99" customFormat="1" x14ac:dyDescent="0.2">
      <c r="C4219" s="198"/>
      <c r="D4219" s="198"/>
      <c r="E4219" s="537"/>
      <c r="G4219" s="198"/>
      <c r="H4219" s="123"/>
    </row>
    <row r="4220" spans="3:8" s="99" customFormat="1" x14ac:dyDescent="0.2">
      <c r="C4220" s="198"/>
      <c r="D4220" s="198"/>
      <c r="E4220" s="537"/>
      <c r="G4220" s="198"/>
      <c r="H4220" s="123"/>
    </row>
    <row r="4221" spans="3:8" s="99" customFormat="1" x14ac:dyDescent="0.2">
      <c r="C4221" s="198"/>
      <c r="D4221" s="198"/>
      <c r="E4221" s="537"/>
      <c r="G4221" s="198"/>
      <c r="H4221" s="123"/>
    </row>
    <row r="4222" spans="3:8" s="99" customFormat="1" x14ac:dyDescent="0.2">
      <c r="C4222" s="198"/>
      <c r="D4222" s="198"/>
      <c r="E4222" s="537"/>
      <c r="G4222" s="198"/>
      <c r="H4222" s="123"/>
    </row>
    <row r="4223" spans="3:8" s="99" customFormat="1" x14ac:dyDescent="0.2">
      <c r="C4223" s="198"/>
      <c r="D4223" s="198"/>
      <c r="E4223" s="537"/>
      <c r="G4223" s="198"/>
      <c r="H4223" s="123"/>
    </row>
    <row r="4224" spans="3:8" s="99" customFormat="1" x14ac:dyDescent="0.2">
      <c r="C4224" s="198"/>
      <c r="D4224" s="198"/>
      <c r="E4224" s="537"/>
      <c r="G4224" s="198"/>
      <c r="H4224" s="123"/>
    </row>
    <row r="4225" spans="3:8" s="99" customFormat="1" x14ac:dyDescent="0.2">
      <c r="C4225" s="198"/>
      <c r="D4225" s="198"/>
      <c r="E4225" s="537"/>
      <c r="G4225" s="198"/>
      <c r="H4225" s="123"/>
    </row>
    <row r="4226" spans="3:8" s="99" customFormat="1" x14ac:dyDescent="0.2">
      <c r="C4226" s="198"/>
      <c r="D4226" s="198"/>
      <c r="E4226" s="537"/>
      <c r="G4226" s="198"/>
      <c r="H4226" s="123"/>
    </row>
    <row r="4227" spans="3:8" s="99" customFormat="1" x14ac:dyDescent="0.2">
      <c r="C4227" s="198"/>
      <c r="D4227" s="198"/>
      <c r="E4227" s="537"/>
      <c r="G4227" s="198"/>
      <c r="H4227" s="123"/>
    </row>
    <row r="4228" spans="3:8" s="99" customFormat="1" x14ac:dyDescent="0.2">
      <c r="C4228" s="198"/>
      <c r="D4228" s="198"/>
      <c r="E4228" s="537"/>
      <c r="G4228" s="198"/>
      <c r="H4228" s="123"/>
    </row>
    <row r="4229" spans="3:8" s="99" customFormat="1" x14ac:dyDescent="0.2">
      <c r="C4229" s="198"/>
      <c r="D4229" s="198"/>
      <c r="E4229" s="537"/>
      <c r="G4229" s="198"/>
      <c r="H4229" s="123"/>
    </row>
    <row r="4230" spans="3:8" s="99" customFormat="1" x14ac:dyDescent="0.2">
      <c r="C4230" s="198"/>
      <c r="D4230" s="198"/>
      <c r="E4230" s="537"/>
      <c r="G4230" s="198"/>
      <c r="H4230" s="123"/>
    </row>
    <row r="4231" spans="3:8" s="99" customFormat="1" x14ac:dyDescent="0.2">
      <c r="C4231" s="198"/>
      <c r="D4231" s="198"/>
      <c r="E4231" s="537"/>
      <c r="G4231" s="198"/>
      <c r="H4231" s="123"/>
    </row>
    <row r="4232" spans="3:8" s="99" customFormat="1" x14ac:dyDescent="0.2">
      <c r="C4232" s="198"/>
      <c r="D4232" s="198"/>
      <c r="E4232" s="537"/>
      <c r="G4232" s="198"/>
      <c r="H4232" s="123"/>
    </row>
    <row r="4233" spans="3:8" s="99" customFormat="1" x14ac:dyDescent="0.2">
      <c r="C4233" s="198"/>
      <c r="D4233" s="198"/>
      <c r="E4233" s="537"/>
      <c r="G4233" s="198"/>
      <c r="H4233" s="123"/>
    </row>
    <row r="4234" spans="3:8" s="99" customFormat="1" x14ac:dyDescent="0.2">
      <c r="C4234" s="198"/>
      <c r="D4234" s="198"/>
      <c r="E4234" s="537"/>
      <c r="G4234" s="198"/>
      <c r="H4234" s="123"/>
    </row>
    <row r="4235" spans="3:8" s="99" customFormat="1" x14ac:dyDescent="0.2">
      <c r="C4235" s="198"/>
      <c r="D4235" s="198"/>
      <c r="E4235" s="537"/>
      <c r="G4235" s="198"/>
      <c r="H4235" s="123"/>
    </row>
    <row r="4236" spans="3:8" s="99" customFormat="1" x14ac:dyDescent="0.2">
      <c r="C4236" s="198"/>
      <c r="D4236" s="198"/>
      <c r="E4236" s="537"/>
      <c r="G4236" s="198"/>
      <c r="H4236" s="123"/>
    </row>
    <row r="4237" spans="3:8" s="99" customFormat="1" x14ac:dyDescent="0.2">
      <c r="C4237" s="198"/>
      <c r="D4237" s="198"/>
      <c r="E4237" s="537"/>
      <c r="G4237" s="198"/>
      <c r="H4237" s="123"/>
    </row>
    <row r="4238" spans="3:8" s="99" customFormat="1" x14ac:dyDescent="0.2">
      <c r="C4238" s="198"/>
      <c r="D4238" s="198"/>
      <c r="E4238" s="537"/>
      <c r="G4238" s="198"/>
      <c r="H4238" s="123"/>
    </row>
    <row r="4239" spans="3:8" s="99" customFormat="1" x14ac:dyDescent="0.2">
      <c r="C4239" s="198"/>
      <c r="D4239" s="198"/>
      <c r="E4239" s="537"/>
      <c r="G4239" s="198"/>
      <c r="H4239" s="123"/>
    </row>
    <row r="4240" spans="3:8" s="99" customFormat="1" x14ac:dyDescent="0.2">
      <c r="C4240" s="198"/>
      <c r="D4240" s="198"/>
      <c r="E4240" s="537"/>
      <c r="G4240" s="198"/>
      <c r="H4240" s="123"/>
    </row>
    <row r="4241" spans="3:8" s="99" customFormat="1" x14ac:dyDescent="0.2">
      <c r="C4241" s="198"/>
      <c r="D4241" s="198"/>
      <c r="E4241" s="537"/>
      <c r="G4241" s="198"/>
      <c r="H4241" s="123"/>
    </row>
    <row r="4242" spans="3:8" s="99" customFormat="1" x14ac:dyDescent="0.2">
      <c r="C4242" s="198"/>
      <c r="D4242" s="198"/>
      <c r="E4242" s="537"/>
      <c r="G4242" s="198"/>
      <c r="H4242" s="123"/>
    </row>
    <row r="4243" spans="3:8" s="99" customFormat="1" x14ac:dyDescent="0.2">
      <c r="C4243" s="198"/>
      <c r="D4243" s="198"/>
      <c r="E4243" s="537"/>
      <c r="G4243" s="198"/>
      <c r="H4243" s="123"/>
    </row>
    <row r="4244" spans="3:8" s="99" customFormat="1" x14ac:dyDescent="0.2">
      <c r="C4244" s="198"/>
      <c r="D4244" s="198"/>
      <c r="E4244" s="537"/>
      <c r="G4244" s="198"/>
      <c r="H4244" s="123"/>
    </row>
    <row r="4245" spans="3:8" s="99" customFormat="1" x14ac:dyDescent="0.2">
      <c r="C4245" s="198"/>
      <c r="D4245" s="198"/>
      <c r="E4245" s="537"/>
      <c r="G4245" s="198"/>
      <c r="H4245" s="123"/>
    </row>
    <row r="4246" spans="3:8" s="99" customFormat="1" x14ac:dyDescent="0.2">
      <c r="C4246" s="198"/>
      <c r="D4246" s="198"/>
      <c r="E4246" s="537"/>
      <c r="G4246" s="198"/>
      <c r="H4246" s="123"/>
    </row>
    <row r="4247" spans="3:8" s="99" customFormat="1" x14ac:dyDescent="0.2">
      <c r="C4247" s="198"/>
      <c r="D4247" s="198"/>
      <c r="E4247" s="537"/>
      <c r="G4247" s="198"/>
      <c r="H4247" s="123"/>
    </row>
    <row r="4248" spans="3:8" s="99" customFormat="1" x14ac:dyDescent="0.2">
      <c r="C4248" s="198"/>
      <c r="D4248" s="198"/>
      <c r="E4248" s="537"/>
      <c r="G4248" s="198"/>
      <c r="H4248" s="123"/>
    </row>
    <row r="4249" spans="3:8" s="99" customFormat="1" x14ac:dyDescent="0.2">
      <c r="C4249" s="198"/>
      <c r="D4249" s="198"/>
      <c r="E4249" s="537"/>
      <c r="G4249" s="198"/>
      <c r="H4249" s="123"/>
    </row>
    <row r="4250" spans="3:8" s="99" customFormat="1" x14ac:dyDescent="0.2">
      <c r="C4250" s="198"/>
      <c r="D4250" s="198"/>
      <c r="E4250" s="537"/>
      <c r="G4250" s="198"/>
      <c r="H4250" s="123"/>
    </row>
    <row r="4251" spans="3:8" s="99" customFormat="1" x14ac:dyDescent="0.2">
      <c r="C4251" s="198"/>
      <c r="D4251" s="198"/>
      <c r="E4251" s="537"/>
      <c r="G4251" s="198"/>
      <c r="H4251" s="123"/>
    </row>
    <row r="4252" spans="3:8" s="99" customFormat="1" x14ac:dyDescent="0.2">
      <c r="C4252" s="198"/>
      <c r="D4252" s="198"/>
      <c r="E4252" s="537"/>
      <c r="G4252" s="198"/>
      <c r="H4252" s="123"/>
    </row>
    <row r="4253" spans="3:8" s="99" customFormat="1" x14ac:dyDescent="0.2">
      <c r="C4253" s="198"/>
      <c r="D4253" s="198"/>
      <c r="E4253" s="537"/>
      <c r="G4253" s="198"/>
      <c r="H4253" s="123"/>
    </row>
    <row r="4254" spans="3:8" s="99" customFormat="1" x14ac:dyDescent="0.2">
      <c r="C4254" s="198"/>
      <c r="D4254" s="198"/>
      <c r="E4254" s="537"/>
      <c r="G4254" s="198"/>
      <c r="H4254" s="123"/>
    </row>
    <row r="4255" spans="3:8" s="99" customFormat="1" x14ac:dyDescent="0.2">
      <c r="C4255" s="198"/>
      <c r="D4255" s="198"/>
      <c r="E4255" s="537"/>
      <c r="G4255" s="198"/>
      <c r="H4255" s="123"/>
    </row>
    <row r="4256" spans="3:8" s="99" customFormat="1" x14ac:dyDescent="0.2">
      <c r="C4256" s="198"/>
      <c r="D4256" s="198"/>
      <c r="E4256" s="537"/>
      <c r="G4256" s="198"/>
      <c r="H4256" s="123"/>
    </row>
    <row r="4257" spans="3:8" s="99" customFormat="1" x14ac:dyDescent="0.2">
      <c r="C4257" s="198"/>
      <c r="D4257" s="198"/>
      <c r="E4257" s="537"/>
      <c r="G4257" s="198"/>
      <c r="H4257" s="123"/>
    </row>
    <row r="4258" spans="3:8" s="99" customFormat="1" x14ac:dyDescent="0.2">
      <c r="C4258" s="198"/>
      <c r="D4258" s="198"/>
      <c r="E4258" s="537"/>
      <c r="G4258" s="198"/>
      <c r="H4258" s="123"/>
    </row>
    <row r="4259" spans="3:8" s="99" customFormat="1" x14ac:dyDescent="0.2">
      <c r="C4259" s="198"/>
      <c r="D4259" s="198"/>
      <c r="E4259" s="537"/>
      <c r="G4259" s="198"/>
      <c r="H4259" s="123"/>
    </row>
    <row r="4260" spans="3:8" s="99" customFormat="1" x14ac:dyDescent="0.2">
      <c r="C4260" s="198"/>
      <c r="D4260" s="198"/>
      <c r="E4260" s="537"/>
      <c r="G4260" s="198"/>
      <c r="H4260" s="123"/>
    </row>
    <row r="4261" spans="3:8" s="99" customFormat="1" x14ac:dyDescent="0.2">
      <c r="C4261" s="198"/>
      <c r="D4261" s="198"/>
      <c r="E4261" s="537"/>
      <c r="G4261" s="198"/>
      <c r="H4261" s="123"/>
    </row>
    <row r="4262" spans="3:8" s="99" customFormat="1" x14ac:dyDescent="0.2">
      <c r="C4262" s="198"/>
      <c r="D4262" s="198"/>
      <c r="E4262" s="537"/>
      <c r="G4262" s="198"/>
      <c r="H4262" s="123"/>
    </row>
    <row r="4263" spans="3:8" s="99" customFormat="1" x14ac:dyDescent="0.2">
      <c r="C4263" s="198"/>
      <c r="D4263" s="198"/>
      <c r="E4263" s="537"/>
      <c r="G4263" s="198"/>
      <c r="H4263" s="123"/>
    </row>
    <row r="4264" spans="3:8" s="99" customFormat="1" x14ac:dyDescent="0.2">
      <c r="C4264" s="198"/>
      <c r="D4264" s="198"/>
      <c r="E4264" s="537"/>
      <c r="G4264" s="198"/>
      <c r="H4264" s="123"/>
    </row>
    <row r="4265" spans="3:8" s="99" customFormat="1" x14ac:dyDescent="0.2">
      <c r="C4265" s="198"/>
      <c r="D4265" s="198"/>
      <c r="E4265" s="537"/>
      <c r="G4265" s="198"/>
      <c r="H4265" s="123"/>
    </row>
    <row r="4266" spans="3:8" s="99" customFormat="1" x14ac:dyDescent="0.2">
      <c r="C4266" s="198"/>
      <c r="D4266" s="198"/>
      <c r="E4266" s="537"/>
      <c r="G4266" s="198"/>
      <c r="H4266" s="123"/>
    </row>
    <row r="4267" spans="3:8" s="99" customFormat="1" x14ac:dyDescent="0.2">
      <c r="C4267" s="198"/>
      <c r="D4267" s="198"/>
      <c r="E4267" s="537"/>
      <c r="G4267" s="198"/>
      <c r="H4267" s="123"/>
    </row>
    <row r="4268" spans="3:8" s="99" customFormat="1" x14ac:dyDescent="0.2">
      <c r="C4268" s="198"/>
      <c r="D4268" s="198"/>
      <c r="E4268" s="537"/>
      <c r="G4268" s="198"/>
      <c r="H4268" s="123"/>
    </row>
    <row r="4269" spans="3:8" s="99" customFormat="1" x14ac:dyDescent="0.2">
      <c r="C4269" s="198"/>
      <c r="D4269" s="198"/>
      <c r="E4269" s="537"/>
      <c r="G4269" s="198"/>
      <c r="H4269" s="123"/>
    </row>
    <row r="4270" spans="3:8" s="99" customFormat="1" x14ac:dyDescent="0.2">
      <c r="C4270" s="198"/>
      <c r="D4270" s="198"/>
      <c r="E4270" s="537"/>
      <c r="G4270" s="198"/>
      <c r="H4270" s="123"/>
    </row>
    <row r="4271" spans="3:8" s="99" customFormat="1" x14ac:dyDescent="0.2">
      <c r="C4271" s="198"/>
      <c r="D4271" s="198"/>
      <c r="E4271" s="537"/>
      <c r="G4271" s="198"/>
      <c r="H4271" s="123"/>
    </row>
    <row r="4272" spans="3:8" s="99" customFormat="1" x14ac:dyDescent="0.2">
      <c r="C4272" s="198"/>
      <c r="D4272" s="198"/>
      <c r="E4272" s="537"/>
      <c r="G4272" s="198"/>
      <c r="H4272" s="123"/>
    </row>
    <row r="4273" spans="3:8" s="99" customFormat="1" x14ac:dyDescent="0.2">
      <c r="C4273" s="198"/>
      <c r="D4273" s="198"/>
      <c r="E4273" s="537"/>
      <c r="G4273" s="198"/>
      <c r="H4273" s="123"/>
    </row>
    <row r="4274" spans="3:8" s="99" customFormat="1" x14ac:dyDescent="0.2">
      <c r="C4274" s="198"/>
      <c r="D4274" s="198"/>
      <c r="E4274" s="537"/>
      <c r="G4274" s="198"/>
      <c r="H4274" s="123"/>
    </row>
    <row r="4275" spans="3:8" s="99" customFormat="1" x14ac:dyDescent="0.2">
      <c r="C4275" s="198"/>
      <c r="D4275" s="198"/>
      <c r="E4275" s="537"/>
      <c r="G4275" s="198"/>
      <c r="H4275" s="123"/>
    </row>
    <row r="4276" spans="3:8" s="99" customFormat="1" x14ac:dyDescent="0.2">
      <c r="C4276" s="198"/>
      <c r="D4276" s="198"/>
      <c r="E4276" s="537"/>
      <c r="G4276" s="198"/>
      <c r="H4276" s="123"/>
    </row>
    <row r="4277" spans="3:8" s="99" customFormat="1" x14ac:dyDescent="0.2">
      <c r="C4277" s="198"/>
      <c r="D4277" s="198"/>
      <c r="E4277" s="537"/>
      <c r="G4277" s="198"/>
      <c r="H4277" s="123"/>
    </row>
    <row r="4278" spans="3:8" s="99" customFormat="1" x14ac:dyDescent="0.2">
      <c r="C4278" s="198"/>
      <c r="D4278" s="198"/>
      <c r="E4278" s="537"/>
      <c r="G4278" s="198"/>
      <c r="H4278" s="123"/>
    </row>
    <row r="4279" spans="3:8" s="99" customFormat="1" x14ac:dyDescent="0.2">
      <c r="C4279" s="198"/>
      <c r="D4279" s="198"/>
      <c r="E4279" s="537"/>
      <c r="G4279" s="198"/>
      <c r="H4279" s="123"/>
    </row>
    <row r="4280" spans="3:8" s="99" customFormat="1" x14ac:dyDescent="0.2">
      <c r="C4280" s="198"/>
      <c r="D4280" s="198"/>
      <c r="E4280" s="537"/>
      <c r="G4280" s="198"/>
      <c r="H4280" s="123"/>
    </row>
    <row r="4281" spans="3:8" s="99" customFormat="1" x14ac:dyDescent="0.2">
      <c r="C4281" s="198"/>
      <c r="D4281" s="198"/>
      <c r="E4281" s="537"/>
      <c r="G4281" s="198"/>
      <c r="H4281" s="123"/>
    </row>
    <row r="4282" spans="3:8" s="99" customFormat="1" x14ac:dyDescent="0.2">
      <c r="C4282" s="198"/>
      <c r="D4282" s="198"/>
      <c r="E4282" s="537"/>
      <c r="G4282" s="198"/>
      <c r="H4282" s="123"/>
    </row>
    <row r="4283" spans="3:8" s="99" customFormat="1" x14ac:dyDescent="0.2">
      <c r="C4283" s="198"/>
      <c r="D4283" s="198"/>
      <c r="E4283" s="537"/>
      <c r="G4283" s="198"/>
      <c r="H4283" s="123"/>
    </row>
    <row r="4284" spans="3:8" s="99" customFormat="1" x14ac:dyDescent="0.2">
      <c r="C4284" s="198"/>
      <c r="D4284" s="198"/>
      <c r="E4284" s="537"/>
      <c r="G4284" s="198"/>
      <c r="H4284" s="123"/>
    </row>
    <row r="4285" spans="3:8" s="99" customFormat="1" x14ac:dyDescent="0.2">
      <c r="C4285" s="198"/>
      <c r="D4285" s="198"/>
      <c r="E4285" s="537"/>
      <c r="G4285" s="198"/>
      <c r="H4285" s="123"/>
    </row>
    <row r="4286" spans="3:8" s="99" customFormat="1" x14ac:dyDescent="0.2">
      <c r="C4286" s="198"/>
      <c r="D4286" s="198"/>
      <c r="E4286" s="537"/>
      <c r="G4286" s="198"/>
      <c r="H4286" s="123"/>
    </row>
    <row r="4287" spans="3:8" s="99" customFormat="1" x14ac:dyDescent="0.2">
      <c r="C4287" s="198"/>
      <c r="D4287" s="198"/>
      <c r="E4287" s="537"/>
      <c r="G4287" s="198"/>
      <c r="H4287" s="123"/>
    </row>
    <row r="4288" spans="3:8" s="99" customFormat="1" x14ac:dyDescent="0.2">
      <c r="C4288" s="198"/>
      <c r="D4288" s="198"/>
      <c r="E4288" s="537"/>
      <c r="G4288" s="198"/>
      <c r="H4288" s="123"/>
    </row>
    <row r="4289" spans="3:8" s="99" customFormat="1" x14ac:dyDescent="0.2">
      <c r="C4289" s="198"/>
      <c r="D4289" s="198"/>
      <c r="E4289" s="537"/>
      <c r="G4289" s="198"/>
      <c r="H4289" s="123"/>
    </row>
    <row r="4290" spans="3:8" s="99" customFormat="1" x14ac:dyDescent="0.2">
      <c r="C4290" s="198"/>
      <c r="D4290" s="198"/>
      <c r="E4290" s="537"/>
      <c r="G4290" s="198"/>
      <c r="H4290" s="123"/>
    </row>
    <row r="4291" spans="3:8" s="99" customFormat="1" x14ac:dyDescent="0.2">
      <c r="C4291" s="198"/>
      <c r="D4291" s="198"/>
      <c r="E4291" s="537"/>
      <c r="G4291" s="198"/>
      <c r="H4291" s="123"/>
    </row>
    <row r="4292" spans="3:8" s="99" customFormat="1" x14ac:dyDescent="0.2">
      <c r="C4292" s="198"/>
      <c r="D4292" s="198"/>
      <c r="E4292" s="537"/>
      <c r="G4292" s="198"/>
      <c r="H4292" s="123"/>
    </row>
    <row r="4293" spans="3:8" s="99" customFormat="1" x14ac:dyDescent="0.2">
      <c r="C4293" s="198"/>
      <c r="D4293" s="198"/>
      <c r="E4293" s="537"/>
      <c r="G4293" s="198"/>
      <c r="H4293" s="123"/>
    </row>
    <row r="4294" spans="3:8" s="99" customFormat="1" x14ac:dyDescent="0.2">
      <c r="C4294" s="198"/>
      <c r="D4294" s="198"/>
      <c r="E4294" s="537"/>
      <c r="G4294" s="198"/>
      <c r="H4294" s="123"/>
    </row>
    <row r="4295" spans="3:8" s="99" customFormat="1" x14ac:dyDescent="0.2">
      <c r="C4295" s="198"/>
      <c r="D4295" s="198"/>
      <c r="E4295" s="537"/>
      <c r="G4295" s="198"/>
      <c r="H4295" s="123"/>
    </row>
    <row r="4296" spans="3:8" s="99" customFormat="1" x14ac:dyDescent="0.2">
      <c r="C4296" s="198"/>
      <c r="D4296" s="198"/>
      <c r="E4296" s="537"/>
      <c r="G4296" s="198"/>
      <c r="H4296" s="123"/>
    </row>
    <row r="4297" spans="3:8" s="99" customFormat="1" x14ac:dyDescent="0.2">
      <c r="C4297" s="198"/>
      <c r="D4297" s="198"/>
      <c r="E4297" s="537"/>
      <c r="G4297" s="198"/>
      <c r="H4297" s="123"/>
    </row>
    <row r="4298" spans="3:8" s="99" customFormat="1" x14ac:dyDescent="0.2">
      <c r="C4298" s="198"/>
      <c r="D4298" s="198"/>
      <c r="E4298" s="537"/>
      <c r="G4298" s="198"/>
      <c r="H4298" s="123"/>
    </row>
    <row r="4299" spans="3:8" s="99" customFormat="1" x14ac:dyDescent="0.2">
      <c r="C4299" s="198"/>
      <c r="D4299" s="198"/>
      <c r="E4299" s="537"/>
      <c r="G4299" s="198"/>
      <c r="H4299" s="123"/>
    </row>
    <row r="4300" spans="3:8" s="99" customFormat="1" x14ac:dyDescent="0.2">
      <c r="C4300" s="198"/>
      <c r="D4300" s="198"/>
      <c r="E4300" s="537"/>
      <c r="G4300" s="198"/>
      <c r="H4300" s="123"/>
    </row>
    <row r="4301" spans="3:8" s="99" customFormat="1" x14ac:dyDescent="0.2">
      <c r="C4301" s="198"/>
      <c r="D4301" s="198"/>
      <c r="E4301" s="537"/>
      <c r="G4301" s="198"/>
      <c r="H4301" s="123"/>
    </row>
    <row r="4302" spans="3:8" s="99" customFormat="1" x14ac:dyDescent="0.2">
      <c r="C4302" s="198"/>
      <c r="D4302" s="198"/>
      <c r="E4302" s="537"/>
      <c r="G4302" s="198"/>
      <c r="H4302" s="123"/>
    </row>
    <row r="4303" spans="3:8" s="99" customFormat="1" x14ac:dyDescent="0.2">
      <c r="C4303" s="198"/>
      <c r="D4303" s="198"/>
      <c r="E4303" s="537"/>
      <c r="G4303" s="198"/>
      <c r="H4303" s="123"/>
    </row>
    <row r="4304" spans="3:8" s="99" customFormat="1" x14ac:dyDescent="0.2">
      <c r="C4304" s="198"/>
      <c r="D4304" s="198"/>
      <c r="E4304" s="537"/>
      <c r="G4304" s="198"/>
      <c r="H4304" s="123"/>
    </row>
    <row r="4305" spans="3:8" s="99" customFormat="1" x14ac:dyDescent="0.2">
      <c r="C4305" s="198"/>
      <c r="D4305" s="198"/>
      <c r="E4305" s="537"/>
      <c r="G4305" s="198"/>
      <c r="H4305" s="123"/>
    </row>
    <row r="4306" spans="3:8" s="99" customFormat="1" x14ac:dyDescent="0.2">
      <c r="C4306" s="198"/>
      <c r="D4306" s="198"/>
      <c r="E4306" s="537"/>
      <c r="G4306" s="198"/>
      <c r="H4306" s="123"/>
    </row>
    <row r="4307" spans="3:8" s="99" customFormat="1" x14ac:dyDescent="0.2">
      <c r="C4307" s="198"/>
      <c r="D4307" s="198"/>
      <c r="E4307" s="537"/>
      <c r="G4307" s="198"/>
      <c r="H4307" s="123"/>
    </row>
    <row r="4308" spans="3:8" s="99" customFormat="1" x14ac:dyDescent="0.2">
      <c r="C4308" s="198"/>
      <c r="D4308" s="198"/>
      <c r="E4308" s="537"/>
      <c r="G4308" s="198"/>
      <c r="H4308" s="123"/>
    </row>
    <row r="4309" spans="3:8" s="99" customFormat="1" x14ac:dyDescent="0.2">
      <c r="C4309" s="198"/>
      <c r="D4309" s="198"/>
      <c r="E4309" s="537"/>
      <c r="G4309" s="198"/>
      <c r="H4309" s="123"/>
    </row>
    <row r="4310" spans="3:8" s="99" customFormat="1" x14ac:dyDescent="0.2">
      <c r="C4310" s="198"/>
      <c r="D4310" s="198"/>
      <c r="E4310" s="537"/>
      <c r="G4310" s="198"/>
      <c r="H4310" s="123"/>
    </row>
    <row r="4311" spans="3:8" s="99" customFormat="1" x14ac:dyDescent="0.2">
      <c r="C4311" s="198"/>
      <c r="D4311" s="198"/>
      <c r="E4311" s="537"/>
      <c r="G4311" s="198"/>
      <c r="H4311" s="123"/>
    </row>
    <row r="4312" spans="3:8" s="99" customFormat="1" x14ac:dyDescent="0.2">
      <c r="C4312" s="198"/>
      <c r="D4312" s="198"/>
      <c r="E4312" s="537"/>
      <c r="G4312" s="198"/>
      <c r="H4312" s="123"/>
    </row>
    <row r="4313" spans="3:8" s="99" customFormat="1" x14ac:dyDescent="0.2">
      <c r="C4313" s="198"/>
      <c r="D4313" s="198"/>
      <c r="E4313" s="537"/>
      <c r="G4313" s="198"/>
      <c r="H4313" s="123"/>
    </row>
    <row r="4314" spans="3:8" s="99" customFormat="1" x14ac:dyDescent="0.2">
      <c r="C4314" s="198"/>
      <c r="D4314" s="198"/>
      <c r="E4314" s="537"/>
      <c r="G4314" s="198"/>
      <c r="H4314" s="123"/>
    </row>
    <row r="4315" spans="3:8" s="99" customFormat="1" x14ac:dyDescent="0.2">
      <c r="C4315" s="198"/>
      <c r="D4315" s="198"/>
      <c r="E4315" s="537"/>
      <c r="G4315" s="198"/>
      <c r="H4315" s="123"/>
    </row>
    <row r="4316" spans="3:8" s="99" customFormat="1" x14ac:dyDescent="0.2">
      <c r="C4316" s="198"/>
      <c r="D4316" s="198"/>
      <c r="E4316" s="537"/>
      <c r="G4316" s="198"/>
      <c r="H4316" s="123"/>
    </row>
    <row r="4317" spans="3:8" s="99" customFormat="1" x14ac:dyDescent="0.2">
      <c r="C4317" s="198"/>
      <c r="D4317" s="198"/>
      <c r="E4317" s="537"/>
      <c r="G4317" s="198"/>
      <c r="H4317" s="123"/>
    </row>
    <row r="4318" spans="3:8" s="99" customFormat="1" x14ac:dyDescent="0.2">
      <c r="C4318" s="198"/>
      <c r="D4318" s="198"/>
      <c r="E4318" s="537"/>
      <c r="G4318" s="198"/>
      <c r="H4318" s="123"/>
    </row>
    <row r="4319" spans="3:8" s="99" customFormat="1" x14ac:dyDescent="0.2">
      <c r="C4319" s="198"/>
      <c r="D4319" s="198"/>
      <c r="E4319" s="537"/>
      <c r="G4319" s="198"/>
      <c r="H4319" s="123"/>
    </row>
    <row r="4320" spans="3:8" s="99" customFormat="1" x14ac:dyDescent="0.2">
      <c r="C4320" s="198"/>
      <c r="D4320" s="198"/>
      <c r="E4320" s="537"/>
      <c r="G4320" s="198"/>
      <c r="H4320" s="123"/>
    </row>
    <row r="4321" spans="3:8" s="99" customFormat="1" x14ac:dyDescent="0.2">
      <c r="C4321" s="198"/>
      <c r="D4321" s="198"/>
      <c r="E4321" s="537"/>
      <c r="G4321" s="198"/>
      <c r="H4321" s="123"/>
    </row>
    <row r="4322" spans="3:8" s="99" customFormat="1" x14ac:dyDescent="0.2">
      <c r="C4322" s="198"/>
      <c r="D4322" s="198"/>
      <c r="E4322" s="537"/>
      <c r="G4322" s="198"/>
      <c r="H4322" s="123"/>
    </row>
    <row r="4323" spans="3:8" s="99" customFormat="1" x14ac:dyDescent="0.2">
      <c r="C4323" s="198"/>
      <c r="D4323" s="198"/>
      <c r="E4323" s="537"/>
      <c r="G4323" s="198"/>
      <c r="H4323" s="123"/>
    </row>
    <row r="4324" spans="3:8" s="99" customFormat="1" x14ac:dyDescent="0.2">
      <c r="C4324" s="198"/>
      <c r="D4324" s="198"/>
      <c r="E4324" s="537"/>
      <c r="G4324" s="198"/>
      <c r="H4324" s="123"/>
    </row>
    <row r="4325" spans="3:8" s="99" customFormat="1" x14ac:dyDescent="0.2">
      <c r="C4325" s="198"/>
      <c r="D4325" s="198"/>
      <c r="E4325" s="537"/>
      <c r="G4325" s="198"/>
      <c r="H4325" s="123"/>
    </row>
    <row r="4326" spans="3:8" s="99" customFormat="1" x14ac:dyDescent="0.2">
      <c r="C4326" s="198"/>
      <c r="D4326" s="198"/>
      <c r="E4326" s="537"/>
      <c r="G4326" s="198"/>
      <c r="H4326" s="123"/>
    </row>
    <row r="4327" spans="3:8" s="99" customFormat="1" x14ac:dyDescent="0.2">
      <c r="C4327" s="198"/>
      <c r="D4327" s="198"/>
      <c r="E4327" s="537"/>
      <c r="G4327" s="198"/>
      <c r="H4327" s="123"/>
    </row>
    <row r="4328" spans="3:8" s="99" customFormat="1" x14ac:dyDescent="0.2">
      <c r="C4328" s="198"/>
      <c r="D4328" s="198"/>
      <c r="E4328" s="537"/>
      <c r="G4328" s="198"/>
      <c r="H4328" s="123"/>
    </row>
    <row r="4329" spans="3:8" s="99" customFormat="1" x14ac:dyDescent="0.2">
      <c r="C4329" s="198"/>
      <c r="D4329" s="198"/>
      <c r="E4329" s="537"/>
      <c r="G4329" s="198"/>
      <c r="H4329" s="123"/>
    </row>
    <row r="4330" spans="3:8" s="99" customFormat="1" x14ac:dyDescent="0.2">
      <c r="C4330" s="198"/>
      <c r="D4330" s="198"/>
      <c r="E4330" s="537"/>
      <c r="G4330" s="198"/>
      <c r="H4330" s="123"/>
    </row>
    <row r="4331" spans="3:8" s="99" customFormat="1" x14ac:dyDescent="0.2">
      <c r="C4331" s="198"/>
      <c r="D4331" s="198"/>
      <c r="E4331" s="537"/>
      <c r="G4331" s="198"/>
      <c r="H4331" s="123"/>
    </row>
    <row r="4332" spans="3:8" s="99" customFormat="1" x14ac:dyDescent="0.2">
      <c r="C4332" s="198"/>
      <c r="D4332" s="198"/>
      <c r="E4332" s="537"/>
      <c r="G4332" s="198"/>
      <c r="H4332" s="123"/>
    </row>
    <row r="4333" spans="3:8" s="99" customFormat="1" x14ac:dyDescent="0.2">
      <c r="C4333" s="198"/>
      <c r="D4333" s="198"/>
      <c r="E4333" s="537"/>
      <c r="G4333" s="198"/>
      <c r="H4333" s="123"/>
    </row>
    <row r="4334" spans="3:8" s="99" customFormat="1" x14ac:dyDescent="0.2">
      <c r="C4334" s="198"/>
      <c r="D4334" s="198"/>
      <c r="E4334" s="537"/>
      <c r="G4334" s="198"/>
      <c r="H4334" s="123"/>
    </row>
    <row r="4335" spans="3:8" s="99" customFormat="1" x14ac:dyDescent="0.2">
      <c r="C4335" s="198"/>
      <c r="D4335" s="198"/>
      <c r="E4335" s="537"/>
      <c r="G4335" s="198"/>
      <c r="H4335" s="123"/>
    </row>
    <row r="4336" spans="3:8" s="99" customFormat="1" x14ac:dyDescent="0.2">
      <c r="C4336" s="198"/>
      <c r="D4336" s="198"/>
      <c r="E4336" s="537"/>
      <c r="G4336" s="198"/>
      <c r="H4336" s="123"/>
    </row>
    <row r="4337" spans="3:8" s="99" customFormat="1" x14ac:dyDescent="0.2">
      <c r="C4337" s="198"/>
      <c r="D4337" s="198"/>
      <c r="E4337" s="537"/>
      <c r="G4337" s="198"/>
      <c r="H4337" s="123"/>
    </row>
    <row r="4338" spans="3:8" s="99" customFormat="1" x14ac:dyDescent="0.2">
      <c r="C4338" s="198"/>
      <c r="D4338" s="198"/>
      <c r="E4338" s="537"/>
      <c r="G4338" s="198"/>
      <c r="H4338" s="123"/>
    </row>
    <row r="4339" spans="3:8" s="99" customFormat="1" x14ac:dyDescent="0.2">
      <c r="C4339" s="198"/>
      <c r="D4339" s="198"/>
      <c r="E4339" s="537"/>
      <c r="G4339" s="198"/>
      <c r="H4339" s="123"/>
    </row>
    <row r="4340" spans="3:8" s="99" customFormat="1" x14ac:dyDescent="0.2">
      <c r="C4340" s="198"/>
      <c r="D4340" s="198"/>
      <c r="E4340" s="537"/>
      <c r="G4340" s="198"/>
      <c r="H4340" s="123"/>
    </row>
    <row r="4341" spans="3:8" s="99" customFormat="1" x14ac:dyDescent="0.2">
      <c r="C4341" s="198"/>
      <c r="D4341" s="198"/>
      <c r="E4341" s="537"/>
      <c r="G4341" s="198"/>
      <c r="H4341" s="123"/>
    </row>
    <row r="4342" spans="3:8" s="99" customFormat="1" x14ac:dyDescent="0.2">
      <c r="C4342" s="198"/>
      <c r="D4342" s="198"/>
      <c r="E4342" s="537"/>
      <c r="G4342" s="198"/>
      <c r="H4342" s="123"/>
    </row>
    <row r="4343" spans="3:8" s="99" customFormat="1" x14ac:dyDescent="0.2">
      <c r="C4343" s="198"/>
      <c r="D4343" s="198"/>
      <c r="E4343" s="537"/>
      <c r="G4343" s="198"/>
      <c r="H4343" s="123"/>
    </row>
    <row r="4344" spans="3:8" s="99" customFormat="1" x14ac:dyDescent="0.2">
      <c r="C4344" s="198"/>
      <c r="D4344" s="198"/>
      <c r="E4344" s="537"/>
      <c r="G4344" s="198"/>
      <c r="H4344" s="123"/>
    </row>
    <row r="4345" spans="3:8" s="99" customFormat="1" x14ac:dyDescent="0.2">
      <c r="C4345" s="198"/>
      <c r="D4345" s="198"/>
      <c r="E4345" s="537"/>
      <c r="G4345" s="198"/>
      <c r="H4345" s="123"/>
    </row>
    <row r="4346" spans="3:8" s="99" customFormat="1" x14ac:dyDescent="0.2">
      <c r="C4346" s="198"/>
      <c r="D4346" s="198"/>
      <c r="E4346" s="537"/>
      <c r="G4346" s="198"/>
      <c r="H4346" s="123"/>
    </row>
    <row r="4347" spans="3:8" s="99" customFormat="1" x14ac:dyDescent="0.2">
      <c r="C4347" s="198"/>
      <c r="D4347" s="198"/>
      <c r="E4347" s="537"/>
      <c r="G4347" s="198"/>
      <c r="H4347" s="123"/>
    </row>
    <row r="4348" spans="3:8" s="99" customFormat="1" x14ac:dyDescent="0.2">
      <c r="C4348" s="198"/>
      <c r="D4348" s="198"/>
      <c r="E4348" s="537"/>
      <c r="G4348" s="198"/>
      <c r="H4348" s="123"/>
    </row>
    <row r="4349" spans="3:8" s="99" customFormat="1" x14ac:dyDescent="0.2">
      <c r="C4349" s="198"/>
      <c r="D4349" s="198"/>
      <c r="E4349" s="537"/>
      <c r="G4349" s="198"/>
      <c r="H4349" s="123"/>
    </row>
    <row r="4350" spans="3:8" s="99" customFormat="1" x14ac:dyDescent="0.2">
      <c r="C4350" s="198"/>
      <c r="D4350" s="198"/>
      <c r="E4350" s="537"/>
      <c r="G4350" s="198"/>
      <c r="H4350" s="123"/>
    </row>
    <row r="4351" spans="3:8" s="99" customFormat="1" x14ac:dyDescent="0.2">
      <c r="C4351" s="198"/>
      <c r="D4351" s="198"/>
      <c r="E4351" s="537"/>
      <c r="G4351" s="198"/>
      <c r="H4351" s="123"/>
    </row>
    <row r="4352" spans="3:8" s="99" customFormat="1" x14ac:dyDescent="0.2">
      <c r="C4352" s="198"/>
      <c r="D4352" s="198"/>
      <c r="E4352" s="537"/>
      <c r="G4352" s="198"/>
      <c r="H4352" s="123"/>
    </row>
    <row r="4353" spans="3:8" s="99" customFormat="1" x14ac:dyDescent="0.2">
      <c r="C4353" s="198"/>
      <c r="D4353" s="198"/>
      <c r="E4353" s="537"/>
      <c r="G4353" s="198"/>
      <c r="H4353" s="123"/>
    </row>
    <row r="4354" spans="3:8" s="99" customFormat="1" x14ac:dyDescent="0.2">
      <c r="C4354" s="198"/>
      <c r="D4354" s="198"/>
      <c r="E4354" s="537"/>
      <c r="G4354" s="198"/>
      <c r="H4354" s="123"/>
    </row>
    <row r="4355" spans="3:8" s="99" customFormat="1" x14ac:dyDescent="0.2">
      <c r="C4355" s="198"/>
      <c r="D4355" s="198"/>
      <c r="E4355" s="537"/>
      <c r="G4355" s="198"/>
      <c r="H4355" s="123"/>
    </row>
    <row r="4356" spans="3:8" s="99" customFormat="1" x14ac:dyDescent="0.2">
      <c r="C4356" s="198"/>
      <c r="D4356" s="198"/>
      <c r="E4356" s="537"/>
      <c r="G4356" s="198"/>
      <c r="H4356" s="123"/>
    </row>
    <row r="4357" spans="3:8" s="99" customFormat="1" x14ac:dyDescent="0.2">
      <c r="C4357" s="198"/>
      <c r="D4357" s="198"/>
      <c r="E4357" s="537"/>
      <c r="G4357" s="198"/>
      <c r="H4357" s="123"/>
    </row>
    <row r="4358" spans="3:8" s="99" customFormat="1" x14ac:dyDescent="0.2">
      <c r="C4358" s="198"/>
      <c r="D4358" s="198"/>
      <c r="E4358" s="537"/>
      <c r="G4358" s="198"/>
      <c r="H4358" s="123"/>
    </row>
    <row r="4359" spans="3:8" s="99" customFormat="1" x14ac:dyDescent="0.2">
      <c r="C4359" s="198"/>
      <c r="D4359" s="198"/>
      <c r="E4359" s="537"/>
      <c r="G4359" s="198"/>
      <c r="H4359" s="123"/>
    </row>
    <row r="4360" spans="3:8" s="99" customFormat="1" x14ac:dyDescent="0.2">
      <c r="C4360" s="198"/>
      <c r="D4360" s="198"/>
      <c r="E4360" s="537"/>
      <c r="G4360" s="198"/>
      <c r="H4360" s="123"/>
    </row>
    <row r="4361" spans="3:8" s="99" customFormat="1" x14ac:dyDescent="0.2">
      <c r="C4361" s="198"/>
      <c r="D4361" s="198"/>
      <c r="E4361" s="537"/>
      <c r="G4361" s="198"/>
      <c r="H4361" s="123"/>
    </row>
    <row r="4362" spans="3:8" s="99" customFormat="1" x14ac:dyDescent="0.2">
      <c r="C4362" s="198"/>
      <c r="D4362" s="198"/>
      <c r="E4362" s="537"/>
      <c r="G4362" s="198"/>
      <c r="H4362" s="123"/>
    </row>
    <row r="4363" spans="3:8" s="99" customFormat="1" x14ac:dyDescent="0.2">
      <c r="C4363" s="198"/>
      <c r="D4363" s="198"/>
      <c r="E4363" s="537"/>
      <c r="G4363" s="198"/>
      <c r="H4363" s="123"/>
    </row>
    <row r="4364" spans="3:8" s="99" customFormat="1" x14ac:dyDescent="0.2">
      <c r="C4364" s="198"/>
      <c r="D4364" s="198"/>
      <c r="E4364" s="537"/>
      <c r="G4364" s="198"/>
      <c r="H4364" s="123"/>
    </row>
    <row r="4365" spans="3:8" s="99" customFormat="1" x14ac:dyDescent="0.2">
      <c r="C4365" s="198"/>
      <c r="D4365" s="198"/>
      <c r="E4365" s="537"/>
      <c r="G4365" s="198"/>
      <c r="H4365" s="123"/>
    </row>
    <row r="4366" spans="3:8" s="99" customFormat="1" x14ac:dyDescent="0.2">
      <c r="C4366" s="198"/>
      <c r="D4366" s="198"/>
      <c r="E4366" s="537"/>
      <c r="G4366" s="198"/>
      <c r="H4366" s="123"/>
    </row>
    <row r="4367" spans="3:8" s="99" customFormat="1" x14ac:dyDescent="0.2">
      <c r="C4367" s="198"/>
      <c r="D4367" s="198"/>
      <c r="E4367" s="537"/>
      <c r="G4367" s="198"/>
      <c r="H4367" s="123"/>
    </row>
    <row r="4368" spans="3:8" s="99" customFormat="1" x14ac:dyDescent="0.2">
      <c r="C4368" s="198"/>
      <c r="D4368" s="198"/>
      <c r="E4368" s="537"/>
      <c r="G4368" s="198"/>
      <c r="H4368" s="123"/>
    </row>
    <row r="4369" spans="3:8" s="99" customFormat="1" x14ac:dyDescent="0.2">
      <c r="C4369" s="198"/>
      <c r="D4369" s="198"/>
      <c r="E4369" s="537"/>
      <c r="G4369" s="198"/>
      <c r="H4369" s="123"/>
    </row>
    <row r="4370" spans="3:8" s="99" customFormat="1" x14ac:dyDescent="0.2">
      <c r="C4370" s="198"/>
      <c r="D4370" s="198"/>
      <c r="E4370" s="537"/>
      <c r="G4370" s="198"/>
      <c r="H4370" s="123"/>
    </row>
    <row r="4371" spans="3:8" s="99" customFormat="1" x14ac:dyDescent="0.2">
      <c r="C4371" s="198"/>
      <c r="D4371" s="198"/>
      <c r="E4371" s="537"/>
      <c r="G4371" s="198"/>
      <c r="H4371" s="123"/>
    </row>
    <row r="4372" spans="3:8" s="99" customFormat="1" x14ac:dyDescent="0.2">
      <c r="C4372" s="198"/>
      <c r="D4372" s="198"/>
      <c r="E4372" s="537"/>
      <c r="G4372" s="198"/>
      <c r="H4372" s="123"/>
    </row>
    <row r="4373" spans="3:8" s="99" customFormat="1" x14ac:dyDescent="0.2">
      <c r="C4373" s="198"/>
      <c r="D4373" s="198"/>
      <c r="E4373" s="537"/>
      <c r="G4373" s="198"/>
      <c r="H4373" s="123"/>
    </row>
    <row r="4374" spans="3:8" s="99" customFormat="1" x14ac:dyDescent="0.2">
      <c r="C4374" s="198"/>
      <c r="D4374" s="198"/>
      <c r="E4374" s="537"/>
      <c r="G4374" s="198"/>
      <c r="H4374" s="123"/>
    </row>
    <row r="4375" spans="3:8" s="99" customFormat="1" x14ac:dyDescent="0.2">
      <c r="C4375" s="198"/>
      <c r="D4375" s="198"/>
      <c r="E4375" s="537"/>
      <c r="G4375" s="198"/>
      <c r="H4375" s="123"/>
    </row>
    <row r="4376" spans="3:8" s="99" customFormat="1" x14ac:dyDescent="0.2">
      <c r="C4376" s="198"/>
      <c r="D4376" s="198"/>
      <c r="E4376" s="537"/>
      <c r="G4376" s="198"/>
      <c r="H4376" s="123"/>
    </row>
    <row r="4377" spans="3:8" s="99" customFormat="1" x14ac:dyDescent="0.2">
      <c r="C4377" s="198"/>
      <c r="D4377" s="198"/>
      <c r="E4377" s="537"/>
      <c r="G4377" s="198"/>
      <c r="H4377" s="123"/>
    </row>
    <row r="4378" spans="3:8" s="99" customFormat="1" x14ac:dyDescent="0.2">
      <c r="C4378" s="198"/>
      <c r="D4378" s="198"/>
      <c r="E4378" s="537"/>
      <c r="G4378" s="198"/>
      <c r="H4378" s="123"/>
    </row>
    <row r="4379" spans="3:8" s="99" customFormat="1" x14ac:dyDescent="0.2">
      <c r="C4379" s="198"/>
      <c r="D4379" s="198"/>
      <c r="E4379" s="537"/>
      <c r="G4379" s="198"/>
      <c r="H4379" s="123"/>
    </row>
    <row r="4380" spans="3:8" s="99" customFormat="1" x14ac:dyDescent="0.2">
      <c r="C4380" s="198"/>
      <c r="D4380" s="198"/>
      <c r="E4380" s="537"/>
      <c r="G4380" s="198"/>
      <c r="H4380" s="123"/>
    </row>
    <row r="4381" spans="3:8" s="99" customFormat="1" x14ac:dyDescent="0.2">
      <c r="C4381" s="198"/>
      <c r="D4381" s="198"/>
      <c r="E4381" s="537"/>
      <c r="G4381" s="198"/>
      <c r="H4381" s="123"/>
    </row>
    <row r="4382" spans="3:8" s="99" customFormat="1" x14ac:dyDescent="0.2">
      <c r="C4382" s="198"/>
      <c r="D4382" s="198"/>
      <c r="E4382" s="537"/>
      <c r="G4382" s="198"/>
      <c r="H4382" s="123"/>
    </row>
    <row r="4383" spans="3:8" s="99" customFormat="1" x14ac:dyDescent="0.2">
      <c r="C4383" s="198"/>
      <c r="D4383" s="198"/>
      <c r="E4383" s="537"/>
      <c r="G4383" s="198"/>
      <c r="H4383" s="123"/>
    </row>
    <row r="4384" spans="3:8" s="99" customFormat="1" x14ac:dyDescent="0.2">
      <c r="C4384" s="198"/>
      <c r="D4384" s="198"/>
      <c r="E4384" s="537"/>
      <c r="G4384" s="198"/>
      <c r="H4384" s="123"/>
    </row>
    <row r="4385" spans="3:8" s="99" customFormat="1" x14ac:dyDescent="0.2">
      <c r="C4385" s="198"/>
      <c r="D4385" s="198"/>
      <c r="E4385" s="537"/>
      <c r="G4385" s="198"/>
      <c r="H4385" s="123"/>
    </row>
    <row r="4386" spans="3:8" s="99" customFormat="1" x14ac:dyDescent="0.2">
      <c r="C4386" s="198"/>
      <c r="D4386" s="198"/>
      <c r="E4386" s="537"/>
      <c r="G4386" s="198"/>
      <c r="H4386" s="123"/>
    </row>
    <row r="4387" spans="3:8" s="99" customFormat="1" x14ac:dyDescent="0.2">
      <c r="C4387" s="198"/>
      <c r="D4387" s="198"/>
      <c r="E4387" s="537"/>
      <c r="G4387" s="198"/>
      <c r="H4387" s="123"/>
    </row>
    <row r="4388" spans="3:8" s="99" customFormat="1" x14ac:dyDescent="0.2">
      <c r="C4388" s="198"/>
      <c r="D4388" s="198"/>
      <c r="E4388" s="537"/>
      <c r="G4388" s="198"/>
      <c r="H4388" s="123"/>
    </row>
    <row r="4389" spans="3:8" s="99" customFormat="1" x14ac:dyDescent="0.2">
      <c r="C4389" s="198"/>
      <c r="D4389" s="198"/>
      <c r="E4389" s="537"/>
      <c r="G4389" s="198"/>
      <c r="H4389" s="123"/>
    </row>
    <row r="4390" spans="3:8" s="99" customFormat="1" x14ac:dyDescent="0.2">
      <c r="C4390" s="198"/>
      <c r="D4390" s="198"/>
      <c r="E4390" s="537"/>
      <c r="G4390" s="198"/>
      <c r="H4390" s="123"/>
    </row>
    <row r="4391" spans="3:8" s="99" customFormat="1" x14ac:dyDescent="0.2">
      <c r="C4391" s="198"/>
      <c r="D4391" s="198"/>
      <c r="E4391" s="537"/>
      <c r="G4391" s="198"/>
      <c r="H4391" s="123"/>
    </row>
    <row r="4392" spans="3:8" s="99" customFormat="1" x14ac:dyDescent="0.2">
      <c r="C4392" s="198"/>
      <c r="D4392" s="198"/>
      <c r="E4392" s="537"/>
      <c r="G4392" s="198"/>
      <c r="H4392" s="123"/>
    </row>
    <row r="4393" spans="3:8" s="99" customFormat="1" x14ac:dyDescent="0.2">
      <c r="C4393" s="198"/>
      <c r="D4393" s="198"/>
      <c r="E4393" s="537"/>
      <c r="G4393" s="198"/>
      <c r="H4393" s="123"/>
    </row>
    <row r="4394" spans="3:8" s="99" customFormat="1" x14ac:dyDescent="0.2">
      <c r="C4394" s="198"/>
      <c r="D4394" s="198"/>
      <c r="E4394" s="537"/>
      <c r="G4394" s="198"/>
      <c r="H4394" s="123"/>
    </row>
    <row r="4395" spans="3:8" s="99" customFormat="1" x14ac:dyDescent="0.2">
      <c r="C4395" s="198"/>
      <c r="D4395" s="198"/>
      <c r="E4395" s="537"/>
      <c r="G4395" s="198"/>
      <c r="H4395" s="123"/>
    </row>
    <row r="4396" spans="3:8" s="99" customFormat="1" x14ac:dyDescent="0.2">
      <c r="C4396" s="198"/>
      <c r="D4396" s="198"/>
      <c r="E4396" s="537"/>
      <c r="G4396" s="198"/>
      <c r="H4396" s="123"/>
    </row>
    <row r="4397" spans="3:8" s="99" customFormat="1" x14ac:dyDescent="0.2">
      <c r="C4397" s="198"/>
      <c r="D4397" s="198"/>
      <c r="E4397" s="537"/>
      <c r="G4397" s="198"/>
      <c r="H4397" s="123"/>
    </row>
    <row r="4398" spans="3:8" s="99" customFormat="1" x14ac:dyDescent="0.2">
      <c r="C4398" s="198"/>
      <c r="D4398" s="198"/>
      <c r="E4398" s="537"/>
      <c r="G4398" s="198"/>
      <c r="H4398" s="123"/>
    </row>
    <row r="4399" spans="3:8" s="99" customFormat="1" x14ac:dyDescent="0.2">
      <c r="C4399" s="198"/>
      <c r="D4399" s="198"/>
      <c r="E4399" s="537"/>
      <c r="G4399" s="198"/>
      <c r="H4399" s="123"/>
    </row>
    <row r="4400" spans="3:8" s="99" customFormat="1" x14ac:dyDescent="0.2">
      <c r="C4400" s="198"/>
      <c r="D4400" s="198"/>
      <c r="E4400" s="537"/>
      <c r="G4400" s="198"/>
      <c r="H4400" s="123"/>
    </row>
    <row r="4401" spans="3:8" s="99" customFormat="1" x14ac:dyDescent="0.2">
      <c r="C4401" s="198"/>
      <c r="D4401" s="198"/>
      <c r="E4401" s="537"/>
      <c r="G4401" s="198"/>
      <c r="H4401" s="123"/>
    </row>
    <row r="4402" spans="3:8" s="99" customFormat="1" x14ac:dyDescent="0.2">
      <c r="C4402" s="198"/>
      <c r="D4402" s="198"/>
      <c r="E4402" s="537"/>
      <c r="G4402" s="198"/>
      <c r="H4402" s="123"/>
    </row>
    <row r="4403" spans="3:8" s="99" customFormat="1" x14ac:dyDescent="0.2">
      <c r="C4403" s="198"/>
      <c r="D4403" s="198"/>
      <c r="E4403" s="537"/>
      <c r="G4403" s="198"/>
      <c r="H4403" s="123"/>
    </row>
    <row r="4404" spans="3:8" s="99" customFormat="1" x14ac:dyDescent="0.2">
      <c r="C4404" s="198"/>
      <c r="D4404" s="198"/>
      <c r="E4404" s="537"/>
      <c r="G4404" s="198"/>
      <c r="H4404" s="123"/>
    </row>
    <row r="4405" spans="3:8" s="99" customFormat="1" x14ac:dyDescent="0.2">
      <c r="C4405" s="198"/>
      <c r="D4405" s="198"/>
      <c r="E4405" s="537"/>
      <c r="G4405" s="198"/>
      <c r="H4405" s="123"/>
    </row>
    <row r="4406" spans="3:8" s="99" customFormat="1" x14ac:dyDescent="0.2">
      <c r="C4406" s="198"/>
      <c r="D4406" s="198"/>
      <c r="E4406" s="537"/>
      <c r="G4406" s="198"/>
      <c r="H4406" s="123"/>
    </row>
    <row r="4407" spans="3:8" s="99" customFormat="1" x14ac:dyDescent="0.2">
      <c r="C4407" s="198"/>
      <c r="D4407" s="198"/>
      <c r="E4407" s="537"/>
      <c r="G4407" s="198"/>
      <c r="H4407" s="123"/>
    </row>
    <row r="4408" spans="3:8" s="99" customFormat="1" x14ac:dyDescent="0.2">
      <c r="C4408" s="198"/>
      <c r="D4408" s="198"/>
      <c r="E4408" s="537"/>
      <c r="G4408" s="198"/>
      <c r="H4408" s="123"/>
    </row>
    <row r="4409" spans="3:8" s="99" customFormat="1" x14ac:dyDescent="0.2">
      <c r="C4409" s="198"/>
      <c r="D4409" s="198"/>
      <c r="E4409" s="537"/>
      <c r="G4409" s="198"/>
      <c r="H4409" s="123"/>
    </row>
    <row r="4410" spans="3:8" s="99" customFormat="1" x14ac:dyDescent="0.2">
      <c r="C4410" s="198"/>
      <c r="D4410" s="198"/>
      <c r="E4410" s="537"/>
      <c r="G4410" s="198"/>
      <c r="H4410" s="123"/>
    </row>
    <row r="4411" spans="3:8" s="99" customFormat="1" x14ac:dyDescent="0.2">
      <c r="C4411" s="198"/>
      <c r="D4411" s="198"/>
      <c r="E4411" s="537"/>
      <c r="G4411" s="198"/>
      <c r="H4411" s="123"/>
    </row>
    <row r="4412" spans="3:8" s="99" customFormat="1" x14ac:dyDescent="0.2">
      <c r="C4412" s="198"/>
      <c r="D4412" s="198"/>
      <c r="E4412" s="537"/>
      <c r="G4412" s="198"/>
      <c r="H4412" s="123"/>
    </row>
    <row r="4413" spans="3:8" s="99" customFormat="1" x14ac:dyDescent="0.2">
      <c r="C4413" s="198"/>
      <c r="D4413" s="198"/>
      <c r="E4413" s="537"/>
      <c r="G4413" s="198"/>
      <c r="H4413" s="123"/>
    </row>
    <row r="4414" spans="3:8" s="99" customFormat="1" x14ac:dyDescent="0.2">
      <c r="C4414" s="198"/>
      <c r="D4414" s="198"/>
      <c r="E4414" s="537"/>
      <c r="G4414" s="198"/>
      <c r="H4414" s="123"/>
    </row>
    <row r="4415" spans="3:8" s="99" customFormat="1" x14ac:dyDescent="0.2">
      <c r="C4415" s="198"/>
      <c r="D4415" s="198"/>
      <c r="E4415" s="537"/>
      <c r="G4415" s="198"/>
      <c r="H4415" s="123"/>
    </row>
    <row r="4416" spans="3:8" s="99" customFormat="1" x14ac:dyDescent="0.2">
      <c r="C4416" s="198"/>
      <c r="D4416" s="198"/>
      <c r="E4416" s="537"/>
      <c r="G4416" s="198"/>
      <c r="H4416" s="123"/>
    </row>
    <row r="4417" spans="3:8" s="99" customFormat="1" x14ac:dyDescent="0.2">
      <c r="C4417" s="198"/>
      <c r="D4417" s="198"/>
      <c r="E4417" s="537"/>
      <c r="G4417" s="198"/>
      <c r="H4417" s="123"/>
    </row>
    <row r="4418" spans="3:8" s="99" customFormat="1" x14ac:dyDescent="0.2">
      <c r="C4418" s="198"/>
      <c r="D4418" s="198"/>
      <c r="E4418" s="537"/>
      <c r="G4418" s="198"/>
      <c r="H4418" s="123"/>
    </row>
    <row r="4419" spans="3:8" s="99" customFormat="1" x14ac:dyDescent="0.2">
      <c r="C4419" s="198"/>
      <c r="D4419" s="198"/>
      <c r="E4419" s="537"/>
      <c r="G4419" s="198"/>
      <c r="H4419" s="123"/>
    </row>
    <row r="4420" spans="3:8" s="99" customFormat="1" x14ac:dyDescent="0.2">
      <c r="C4420" s="198"/>
      <c r="D4420" s="198"/>
      <c r="E4420" s="537"/>
      <c r="G4420" s="198"/>
      <c r="H4420" s="123"/>
    </row>
    <row r="4421" spans="3:8" s="99" customFormat="1" x14ac:dyDescent="0.2">
      <c r="C4421" s="198"/>
      <c r="D4421" s="198"/>
      <c r="E4421" s="537"/>
      <c r="G4421" s="198"/>
      <c r="H4421" s="123"/>
    </row>
    <row r="4422" spans="3:8" s="99" customFormat="1" x14ac:dyDescent="0.2">
      <c r="C4422" s="198"/>
      <c r="D4422" s="198"/>
      <c r="E4422" s="537"/>
      <c r="G4422" s="198"/>
      <c r="H4422" s="123"/>
    </row>
    <row r="4423" spans="3:8" s="99" customFormat="1" x14ac:dyDescent="0.2">
      <c r="C4423" s="198"/>
      <c r="D4423" s="198"/>
      <c r="E4423" s="537"/>
      <c r="G4423" s="198"/>
      <c r="H4423" s="123"/>
    </row>
    <row r="4424" spans="3:8" s="99" customFormat="1" x14ac:dyDescent="0.2">
      <c r="C4424" s="198"/>
      <c r="D4424" s="198"/>
      <c r="E4424" s="537"/>
      <c r="G4424" s="198"/>
      <c r="H4424" s="123"/>
    </row>
    <row r="4425" spans="3:8" s="99" customFormat="1" x14ac:dyDescent="0.2">
      <c r="C4425" s="198"/>
      <c r="D4425" s="198"/>
      <c r="E4425" s="537"/>
      <c r="G4425" s="198"/>
      <c r="H4425" s="123"/>
    </row>
    <row r="4426" spans="3:8" s="99" customFormat="1" x14ac:dyDescent="0.2">
      <c r="C4426" s="198"/>
      <c r="D4426" s="198"/>
      <c r="E4426" s="537"/>
      <c r="G4426" s="198"/>
      <c r="H4426" s="123"/>
    </row>
    <row r="4427" spans="3:8" s="99" customFormat="1" x14ac:dyDescent="0.2">
      <c r="C4427" s="198"/>
      <c r="D4427" s="198"/>
      <c r="E4427" s="537"/>
      <c r="G4427" s="198"/>
      <c r="H4427" s="123"/>
    </row>
    <row r="4428" spans="3:8" s="99" customFormat="1" x14ac:dyDescent="0.2">
      <c r="C4428" s="198"/>
      <c r="D4428" s="198"/>
      <c r="E4428" s="537"/>
      <c r="G4428" s="198"/>
      <c r="H4428" s="123"/>
    </row>
    <row r="4429" spans="3:8" s="99" customFormat="1" x14ac:dyDescent="0.2">
      <c r="C4429" s="198"/>
      <c r="D4429" s="198"/>
      <c r="E4429" s="537"/>
      <c r="G4429" s="198"/>
      <c r="H4429" s="123"/>
    </row>
    <row r="4430" spans="3:8" s="99" customFormat="1" x14ac:dyDescent="0.2">
      <c r="C4430" s="198"/>
      <c r="D4430" s="198"/>
      <c r="E4430" s="537"/>
      <c r="G4430" s="198"/>
      <c r="H4430" s="123"/>
    </row>
    <row r="4431" spans="3:8" s="99" customFormat="1" x14ac:dyDescent="0.2">
      <c r="C4431" s="198"/>
      <c r="D4431" s="198"/>
      <c r="E4431" s="537"/>
      <c r="G4431" s="198"/>
      <c r="H4431" s="123"/>
    </row>
    <row r="4432" spans="3:8" s="99" customFormat="1" x14ac:dyDescent="0.2">
      <c r="C4432" s="198"/>
      <c r="D4432" s="198"/>
      <c r="E4432" s="537"/>
      <c r="G4432" s="198"/>
      <c r="H4432" s="123"/>
    </row>
    <row r="4433" spans="3:8" s="99" customFormat="1" x14ac:dyDescent="0.2">
      <c r="C4433" s="198"/>
      <c r="D4433" s="198"/>
      <c r="E4433" s="537"/>
      <c r="G4433" s="198"/>
      <c r="H4433" s="123"/>
    </row>
    <row r="4434" spans="3:8" s="99" customFormat="1" x14ac:dyDescent="0.2">
      <c r="C4434" s="198"/>
      <c r="D4434" s="198"/>
      <c r="E4434" s="537"/>
      <c r="G4434" s="198"/>
      <c r="H4434" s="123"/>
    </row>
    <row r="4435" spans="3:8" s="99" customFormat="1" x14ac:dyDescent="0.2">
      <c r="C4435" s="198"/>
      <c r="D4435" s="198"/>
      <c r="E4435" s="537"/>
      <c r="G4435" s="198"/>
      <c r="H4435" s="123"/>
    </row>
    <row r="4436" spans="3:8" s="99" customFormat="1" x14ac:dyDescent="0.2">
      <c r="C4436" s="198"/>
      <c r="D4436" s="198"/>
      <c r="E4436" s="537"/>
      <c r="G4436" s="198"/>
      <c r="H4436" s="123"/>
    </row>
    <row r="4437" spans="3:8" s="99" customFormat="1" x14ac:dyDescent="0.2">
      <c r="C4437" s="198"/>
      <c r="D4437" s="198"/>
      <c r="E4437" s="537"/>
      <c r="G4437" s="198"/>
      <c r="H4437" s="123"/>
    </row>
    <row r="4438" spans="3:8" s="99" customFormat="1" x14ac:dyDescent="0.2">
      <c r="C4438" s="198"/>
      <c r="D4438" s="198"/>
      <c r="E4438" s="537"/>
      <c r="G4438" s="198"/>
      <c r="H4438" s="123"/>
    </row>
    <row r="4439" spans="3:8" s="99" customFormat="1" x14ac:dyDescent="0.2">
      <c r="C4439" s="198"/>
      <c r="D4439" s="198"/>
      <c r="E4439" s="537"/>
      <c r="G4439" s="198"/>
      <c r="H4439" s="123"/>
    </row>
    <row r="4440" spans="3:8" s="99" customFormat="1" x14ac:dyDescent="0.2">
      <c r="C4440" s="198"/>
      <c r="D4440" s="198"/>
      <c r="E4440" s="537"/>
      <c r="G4440" s="198"/>
      <c r="H4440" s="123"/>
    </row>
    <row r="4441" spans="3:8" s="99" customFormat="1" x14ac:dyDescent="0.2">
      <c r="C4441" s="198"/>
      <c r="D4441" s="198"/>
      <c r="E4441" s="537"/>
      <c r="G4441" s="198"/>
      <c r="H4441" s="123"/>
    </row>
    <row r="4442" spans="3:8" s="99" customFormat="1" x14ac:dyDescent="0.2">
      <c r="C4442" s="198"/>
      <c r="D4442" s="198"/>
      <c r="E4442" s="537"/>
      <c r="G4442" s="198"/>
      <c r="H4442" s="123"/>
    </row>
    <row r="4443" spans="3:8" s="99" customFormat="1" x14ac:dyDescent="0.2">
      <c r="C4443" s="198"/>
      <c r="D4443" s="198"/>
      <c r="E4443" s="537"/>
      <c r="G4443" s="198"/>
      <c r="H4443" s="123"/>
    </row>
    <row r="4444" spans="3:8" s="99" customFormat="1" x14ac:dyDescent="0.2">
      <c r="C4444" s="198"/>
      <c r="D4444" s="198"/>
      <c r="E4444" s="537"/>
      <c r="G4444" s="198"/>
      <c r="H4444" s="123"/>
    </row>
    <row r="4445" spans="3:8" s="99" customFormat="1" x14ac:dyDescent="0.2">
      <c r="C4445" s="198"/>
      <c r="D4445" s="198"/>
      <c r="E4445" s="537"/>
      <c r="G4445" s="198"/>
      <c r="H4445" s="123"/>
    </row>
    <row r="4446" spans="3:8" s="99" customFormat="1" x14ac:dyDescent="0.2">
      <c r="C4446" s="198"/>
      <c r="D4446" s="198"/>
      <c r="E4446" s="537"/>
      <c r="G4446" s="198"/>
      <c r="H4446" s="123"/>
    </row>
    <row r="4447" spans="3:8" s="99" customFormat="1" x14ac:dyDescent="0.2">
      <c r="C4447" s="198"/>
      <c r="D4447" s="198"/>
      <c r="E4447" s="537"/>
      <c r="G4447" s="198"/>
      <c r="H4447" s="123"/>
    </row>
    <row r="4448" spans="3:8" s="99" customFormat="1" x14ac:dyDescent="0.2">
      <c r="C4448" s="198"/>
      <c r="D4448" s="198"/>
      <c r="E4448" s="537"/>
      <c r="G4448" s="198"/>
      <c r="H4448" s="123"/>
    </row>
    <row r="4449" spans="3:8" s="99" customFormat="1" x14ac:dyDescent="0.2">
      <c r="C4449" s="198"/>
      <c r="D4449" s="198"/>
      <c r="E4449" s="537"/>
      <c r="G4449" s="198"/>
      <c r="H4449" s="123"/>
    </row>
    <row r="4450" spans="3:8" s="99" customFormat="1" x14ac:dyDescent="0.2">
      <c r="C4450" s="198"/>
      <c r="D4450" s="198"/>
      <c r="E4450" s="537"/>
      <c r="G4450" s="198"/>
      <c r="H4450" s="123"/>
    </row>
    <row r="4451" spans="3:8" s="99" customFormat="1" x14ac:dyDescent="0.2">
      <c r="C4451" s="198"/>
      <c r="D4451" s="198"/>
      <c r="E4451" s="537"/>
      <c r="G4451" s="198"/>
      <c r="H4451" s="123"/>
    </row>
    <row r="4452" spans="3:8" s="99" customFormat="1" x14ac:dyDescent="0.2">
      <c r="C4452" s="198"/>
      <c r="D4452" s="198"/>
      <c r="E4452" s="537"/>
      <c r="G4452" s="198"/>
      <c r="H4452" s="123"/>
    </row>
    <row r="4453" spans="3:8" s="99" customFormat="1" x14ac:dyDescent="0.2">
      <c r="C4453" s="198"/>
      <c r="D4453" s="198"/>
      <c r="E4453" s="537"/>
      <c r="G4453" s="198"/>
      <c r="H4453" s="123"/>
    </row>
    <row r="4454" spans="3:8" s="99" customFormat="1" x14ac:dyDescent="0.2">
      <c r="C4454" s="198"/>
      <c r="D4454" s="198"/>
      <c r="E4454" s="537"/>
      <c r="G4454" s="198"/>
      <c r="H4454" s="123"/>
    </row>
    <row r="4455" spans="3:8" s="99" customFormat="1" x14ac:dyDescent="0.2">
      <c r="C4455" s="198"/>
      <c r="D4455" s="198"/>
      <c r="E4455" s="537"/>
      <c r="G4455" s="198"/>
      <c r="H4455" s="123"/>
    </row>
    <row r="4456" spans="3:8" s="99" customFormat="1" x14ac:dyDescent="0.2">
      <c r="C4456" s="198"/>
      <c r="D4456" s="198"/>
      <c r="E4456" s="537"/>
      <c r="G4456" s="198"/>
      <c r="H4456" s="123"/>
    </row>
    <row r="4457" spans="3:8" s="99" customFormat="1" x14ac:dyDescent="0.2">
      <c r="C4457" s="198"/>
      <c r="D4457" s="198"/>
      <c r="E4457" s="537"/>
      <c r="G4457" s="198"/>
      <c r="H4457" s="123"/>
    </row>
    <row r="4458" spans="3:8" s="99" customFormat="1" x14ac:dyDescent="0.2">
      <c r="C4458" s="198"/>
      <c r="D4458" s="198"/>
      <c r="E4458" s="537"/>
      <c r="G4458" s="198"/>
      <c r="H4458" s="123"/>
    </row>
    <row r="4459" spans="3:8" s="99" customFormat="1" x14ac:dyDescent="0.2">
      <c r="C4459" s="198"/>
      <c r="D4459" s="198"/>
      <c r="E4459" s="537"/>
      <c r="G4459" s="198"/>
      <c r="H4459" s="123"/>
    </row>
    <row r="4460" spans="3:8" s="99" customFormat="1" x14ac:dyDescent="0.2">
      <c r="C4460" s="198"/>
      <c r="D4460" s="198"/>
      <c r="E4460" s="537"/>
      <c r="G4460" s="198"/>
      <c r="H4460" s="123"/>
    </row>
    <row r="4461" spans="3:8" s="99" customFormat="1" x14ac:dyDescent="0.2">
      <c r="C4461" s="198"/>
      <c r="D4461" s="198"/>
      <c r="E4461" s="537"/>
      <c r="G4461" s="198"/>
      <c r="H4461" s="123"/>
    </row>
    <row r="4462" spans="3:8" s="99" customFormat="1" x14ac:dyDescent="0.2">
      <c r="C4462" s="198"/>
      <c r="D4462" s="198"/>
      <c r="E4462" s="537"/>
      <c r="G4462" s="198"/>
      <c r="H4462" s="123"/>
    </row>
    <row r="4463" spans="3:8" s="99" customFormat="1" x14ac:dyDescent="0.2">
      <c r="C4463" s="198"/>
      <c r="D4463" s="198"/>
      <c r="E4463" s="537"/>
      <c r="G4463" s="198"/>
      <c r="H4463" s="123"/>
    </row>
    <row r="4464" spans="3:8" s="99" customFormat="1" x14ac:dyDescent="0.2">
      <c r="C4464" s="198"/>
      <c r="D4464" s="198"/>
      <c r="E4464" s="537"/>
      <c r="G4464" s="198"/>
      <c r="H4464" s="123"/>
    </row>
    <row r="4465" spans="3:8" s="99" customFormat="1" x14ac:dyDescent="0.2">
      <c r="C4465" s="198"/>
      <c r="D4465" s="198"/>
      <c r="E4465" s="537"/>
      <c r="G4465" s="198"/>
      <c r="H4465" s="123"/>
    </row>
    <row r="4466" spans="3:8" s="99" customFormat="1" x14ac:dyDescent="0.2">
      <c r="C4466" s="198"/>
      <c r="D4466" s="198"/>
      <c r="E4466" s="537"/>
      <c r="G4466" s="198"/>
      <c r="H4466" s="123"/>
    </row>
    <row r="4467" spans="3:8" s="99" customFormat="1" x14ac:dyDescent="0.2">
      <c r="C4467" s="198"/>
      <c r="D4467" s="198"/>
      <c r="E4467" s="537"/>
      <c r="G4467" s="198"/>
      <c r="H4467" s="123"/>
    </row>
    <row r="4468" spans="3:8" s="99" customFormat="1" x14ac:dyDescent="0.2">
      <c r="C4468" s="198"/>
      <c r="D4468" s="198"/>
      <c r="E4468" s="537"/>
      <c r="G4468" s="198"/>
      <c r="H4468" s="123"/>
    </row>
    <row r="4469" spans="3:8" s="99" customFormat="1" x14ac:dyDescent="0.2">
      <c r="C4469" s="198"/>
      <c r="D4469" s="198"/>
      <c r="E4469" s="537"/>
      <c r="G4469" s="198"/>
      <c r="H4469" s="123"/>
    </row>
    <row r="4470" spans="3:8" s="99" customFormat="1" x14ac:dyDescent="0.2">
      <c r="C4470" s="198"/>
      <c r="D4470" s="198"/>
      <c r="E4470" s="537"/>
      <c r="G4470" s="198"/>
      <c r="H4470" s="123"/>
    </row>
    <row r="4471" spans="3:8" s="99" customFormat="1" x14ac:dyDescent="0.2">
      <c r="C4471" s="198"/>
      <c r="D4471" s="198"/>
      <c r="E4471" s="537"/>
      <c r="G4471" s="198"/>
      <c r="H4471" s="123"/>
    </row>
    <row r="4472" spans="3:8" s="99" customFormat="1" x14ac:dyDescent="0.2">
      <c r="C4472" s="198"/>
      <c r="D4472" s="198"/>
      <c r="E4472" s="537"/>
      <c r="G4472" s="198"/>
      <c r="H4472" s="123"/>
    </row>
    <row r="4473" spans="3:8" s="99" customFormat="1" x14ac:dyDescent="0.2">
      <c r="C4473" s="198"/>
      <c r="D4473" s="198"/>
      <c r="E4473" s="537"/>
      <c r="G4473" s="198"/>
      <c r="H4473" s="123"/>
    </row>
    <row r="4474" spans="3:8" s="99" customFormat="1" x14ac:dyDescent="0.2">
      <c r="C4474" s="198"/>
      <c r="D4474" s="198"/>
      <c r="E4474" s="537"/>
      <c r="G4474" s="198"/>
      <c r="H4474" s="123"/>
    </row>
    <row r="4475" spans="3:8" s="99" customFormat="1" x14ac:dyDescent="0.2">
      <c r="C4475" s="198"/>
      <c r="D4475" s="198"/>
      <c r="E4475" s="537"/>
      <c r="G4475" s="198"/>
      <c r="H4475" s="123"/>
    </row>
    <row r="4476" spans="3:8" s="99" customFormat="1" x14ac:dyDescent="0.2">
      <c r="C4476" s="198"/>
      <c r="D4476" s="198"/>
      <c r="E4476" s="537"/>
      <c r="G4476" s="198"/>
      <c r="H4476" s="123"/>
    </row>
    <row r="4477" spans="3:8" s="99" customFormat="1" x14ac:dyDescent="0.2">
      <c r="C4477" s="198"/>
      <c r="D4477" s="198"/>
      <c r="E4477" s="537"/>
      <c r="G4477" s="198"/>
      <c r="H4477" s="123"/>
    </row>
    <row r="4478" spans="3:8" s="99" customFormat="1" x14ac:dyDescent="0.2">
      <c r="C4478" s="198"/>
      <c r="D4478" s="198"/>
      <c r="E4478" s="537"/>
      <c r="G4478" s="198"/>
      <c r="H4478" s="123"/>
    </row>
    <row r="4479" spans="3:8" s="99" customFormat="1" x14ac:dyDescent="0.2">
      <c r="C4479" s="198"/>
      <c r="D4479" s="198"/>
      <c r="E4479" s="537"/>
      <c r="G4479" s="198"/>
      <c r="H4479" s="123"/>
    </row>
    <row r="4480" spans="3:8" s="99" customFormat="1" x14ac:dyDescent="0.2">
      <c r="C4480" s="198"/>
      <c r="D4480" s="198"/>
      <c r="E4480" s="537"/>
      <c r="G4480" s="198"/>
      <c r="H4480" s="123"/>
    </row>
    <row r="4481" spans="3:8" s="99" customFormat="1" x14ac:dyDescent="0.2">
      <c r="C4481" s="198"/>
      <c r="D4481" s="198"/>
      <c r="E4481" s="537"/>
      <c r="G4481" s="198"/>
      <c r="H4481" s="123"/>
    </row>
    <row r="4482" spans="3:8" s="99" customFormat="1" x14ac:dyDescent="0.2">
      <c r="C4482" s="198"/>
      <c r="D4482" s="198"/>
      <c r="E4482" s="537"/>
      <c r="G4482" s="198"/>
      <c r="H4482" s="123"/>
    </row>
    <row r="4483" spans="3:8" s="99" customFormat="1" x14ac:dyDescent="0.2">
      <c r="C4483" s="198"/>
      <c r="D4483" s="198"/>
      <c r="E4483" s="537"/>
      <c r="G4483" s="198"/>
      <c r="H4483" s="123"/>
    </row>
    <row r="4484" spans="3:8" s="99" customFormat="1" x14ac:dyDescent="0.2">
      <c r="C4484" s="198"/>
      <c r="D4484" s="198"/>
      <c r="E4484" s="537"/>
      <c r="G4484" s="198"/>
      <c r="H4484" s="123"/>
    </row>
    <row r="4485" spans="3:8" s="99" customFormat="1" x14ac:dyDescent="0.2">
      <c r="C4485" s="198"/>
      <c r="D4485" s="198"/>
      <c r="E4485" s="537"/>
      <c r="G4485" s="198"/>
      <c r="H4485" s="123"/>
    </row>
    <row r="4486" spans="3:8" s="99" customFormat="1" x14ac:dyDescent="0.2">
      <c r="C4486" s="198"/>
      <c r="D4486" s="198"/>
      <c r="E4486" s="537"/>
      <c r="G4486" s="198"/>
      <c r="H4486" s="123"/>
    </row>
    <row r="4487" spans="3:8" s="99" customFormat="1" x14ac:dyDescent="0.2">
      <c r="C4487" s="198"/>
      <c r="D4487" s="198"/>
      <c r="E4487" s="537"/>
      <c r="G4487" s="198"/>
      <c r="H4487" s="123"/>
    </row>
    <row r="4488" spans="3:8" s="99" customFormat="1" x14ac:dyDescent="0.2">
      <c r="C4488" s="198"/>
      <c r="D4488" s="198"/>
      <c r="E4488" s="537"/>
      <c r="G4488" s="198"/>
      <c r="H4488" s="123"/>
    </row>
    <row r="4489" spans="3:8" s="99" customFormat="1" x14ac:dyDescent="0.2">
      <c r="C4489" s="198"/>
      <c r="D4489" s="198"/>
      <c r="E4489" s="537"/>
      <c r="G4489" s="198"/>
      <c r="H4489" s="123"/>
    </row>
    <row r="4490" spans="3:8" s="99" customFormat="1" x14ac:dyDescent="0.2">
      <c r="C4490" s="198"/>
      <c r="D4490" s="198"/>
      <c r="E4490" s="537"/>
      <c r="G4490" s="198"/>
      <c r="H4490" s="123"/>
    </row>
    <row r="4491" spans="3:8" s="99" customFormat="1" x14ac:dyDescent="0.2">
      <c r="C4491" s="198"/>
      <c r="D4491" s="198"/>
      <c r="E4491" s="537"/>
      <c r="G4491" s="198"/>
      <c r="H4491" s="123"/>
    </row>
    <row r="4492" spans="3:8" s="99" customFormat="1" x14ac:dyDescent="0.2">
      <c r="C4492" s="198"/>
      <c r="D4492" s="198"/>
      <c r="E4492" s="537"/>
      <c r="G4492" s="198"/>
      <c r="H4492" s="123"/>
    </row>
    <row r="4493" spans="3:8" s="99" customFormat="1" x14ac:dyDescent="0.2">
      <c r="C4493" s="198"/>
      <c r="D4493" s="198"/>
      <c r="E4493" s="537"/>
      <c r="G4493" s="198"/>
      <c r="H4493" s="123"/>
    </row>
    <row r="4494" spans="3:8" s="99" customFormat="1" x14ac:dyDescent="0.2">
      <c r="C4494" s="198"/>
      <c r="D4494" s="198"/>
      <c r="E4494" s="537"/>
      <c r="G4494" s="198"/>
      <c r="H4494" s="123"/>
    </row>
    <row r="4495" spans="3:8" s="99" customFormat="1" x14ac:dyDescent="0.2">
      <c r="C4495" s="198"/>
      <c r="D4495" s="198"/>
      <c r="E4495" s="537"/>
      <c r="G4495" s="198"/>
      <c r="H4495" s="123"/>
    </row>
    <row r="4496" spans="3:8" s="99" customFormat="1" x14ac:dyDescent="0.2">
      <c r="C4496" s="198"/>
      <c r="D4496" s="198"/>
      <c r="E4496" s="537"/>
      <c r="G4496" s="198"/>
      <c r="H4496" s="123"/>
    </row>
    <row r="4497" spans="3:8" s="99" customFormat="1" x14ac:dyDescent="0.2">
      <c r="C4497" s="198"/>
      <c r="D4497" s="198"/>
      <c r="E4497" s="537"/>
      <c r="G4497" s="198"/>
      <c r="H4497" s="123"/>
    </row>
    <row r="4498" spans="3:8" s="99" customFormat="1" x14ac:dyDescent="0.2">
      <c r="C4498" s="198"/>
      <c r="D4498" s="198"/>
      <c r="E4498" s="537"/>
      <c r="G4498" s="198"/>
      <c r="H4498" s="123"/>
    </row>
    <row r="4499" spans="3:8" s="99" customFormat="1" x14ac:dyDescent="0.2">
      <c r="C4499" s="198"/>
      <c r="D4499" s="198"/>
      <c r="E4499" s="537"/>
      <c r="G4499" s="198"/>
      <c r="H4499" s="123"/>
    </row>
    <row r="4500" spans="3:8" s="99" customFormat="1" x14ac:dyDescent="0.2">
      <c r="C4500" s="198"/>
      <c r="D4500" s="198"/>
      <c r="E4500" s="537"/>
      <c r="G4500" s="198"/>
      <c r="H4500" s="123"/>
    </row>
    <row r="4501" spans="3:8" s="99" customFormat="1" x14ac:dyDescent="0.2">
      <c r="C4501" s="198"/>
      <c r="D4501" s="198"/>
      <c r="E4501" s="537"/>
      <c r="G4501" s="198"/>
      <c r="H4501" s="123"/>
    </row>
    <row r="4502" spans="3:8" s="99" customFormat="1" x14ac:dyDescent="0.2">
      <c r="C4502" s="198"/>
      <c r="D4502" s="198"/>
      <c r="E4502" s="537"/>
      <c r="G4502" s="198"/>
      <c r="H4502" s="123"/>
    </row>
    <row r="4503" spans="3:8" s="99" customFormat="1" x14ac:dyDescent="0.2">
      <c r="C4503" s="198"/>
      <c r="D4503" s="198"/>
      <c r="E4503" s="537"/>
      <c r="G4503" s="198"/>
      <c r="H4503" s="123"/>
    </row>
    <row r="4504" spans="3:8" s="99" customFormat="1" x14ac:dyDescent="0.2">
      <c r="C4504" s="198"/>
      <c r="D4504" s="198"/>
      <c r="E4504" s="537"/>
      <c r="G4504" s="198"/>
      <c r="H4504" s="123"/>
    </row>
    <row r="4505" spans="3:8" s="99" customFormat="1" x14ac:dyDescent="0.2">
      <c r="C4505" s="198"/>
      <c r="D4505" s="198"/>
      <c r="E4505" s="537"/>
      <c r="G4505" s="198"/>
      <c r="H4505" s="123"/>
    </row>
    <row r="4506" spans="3:8" s="99" customFormat="1" x14ac:dyDescent="0.2">
      <c r="C4506" s="198"/>
      <c r="D4506" s="198"/>
      <c r="E4506" s="537"/>
      <c r="G4506" s="198"/>
      <c r="H4506" s="123"/>
    </row>
    <row r="4507" spans="3:8" s="99" customFormat="1" x14ac:dyDescent="0.2">
      <c r="C4507" s="198"/>
      <c r="D4507" s="198"/>
      <c r="E4507" s="537"/>
      <c r="G4507" s="198"/>
      <c r="H4507" s="123"/>
    </row>
    <row r="4508" spans="3:8" s="99" customFormat="1" x14ac:dyDescent="0.2">
      <c r="C4508" s="198"/>
      <c r="D4508" s="198"/>
      <c r="E4508" s="537"/>
      <c r="G4508" s="198"/>
      <c r="H4508" s="123"/>
    </row>
    <row r="4509" spans="3:8" s="99" customFormat="1" x14ac:dyDescent="0.2">
      <c r="C4509" s="198"/>
      <c r="D4509" s="198"/>
      <c r="E4509" s="537"/>
      <c r="G4509" s="198"/>
      <c r="H4509" s="123"/>
    </row>
    <row r="4510" spans="3:8" s="99" customFormat="1" x14ac:dyDescent="0.2">
      <c r="C4510" s="198"/>
      <c r="D4510" s="198"/>
      <c r="E4510" s="537"/>
      <c r="G4510" s="198"/>
      <c r="H4510" s="123"/>
    </row>
    <row r="4511" spans="3:8" s="99" customFormat="1" x14ac:dyDescent="0.2">
      <c r="C4511" s="198"/>
      <c r="D4511" s="198"/>
      <c r="E4511" s="537"/>
      <c r="G4511" s="198"/>
      <c r="H4511" s="123"/>
    </row>
    <row r="4512" spans="3:8" s="99" customFormat="1" x14ac:dyDescent="0.2">
      <c r="C4512" s="198"/>
      <c r="D4512" s="198"/>
      <c r="E4512" s="537"/>
      <c r="G4512" s="198"/>
      <c r="H4512" s="123"/>
    </row>
    <row r="4513" spans="3:8" s="99" customFormat="1" x14ac:dyDescent="0.2">
      <c r="C4513" s="198"/>
      <c r="D4513" s="198"/>
      <c r="E4513" s="537"/>
      <c r="G4513" s="198"/>
      <c r="H4513" s="123"/>
    </row>
    <row r="4514" spans="3:8" s="99" customFormat="1" x14ac:dyDescent="0.2">
      <c r="C4514" s="198"/>
      <c r="D4514" s="198"/>
      <c r="E4514" s="537"/>
      <c r="G4514" s="198"/>
      <c r="H4514" s="123"/>
    </row>
    <row r="4515" spans="3:8" s="99" customFormat="1" x14ac:dyDescent="0.2">
      <c r="C4515" s="198"/>
      <c r="D4515" s="198"/>
      <c r="E4515" s="537"/>
      <c r="G4515" s="198"/>
      <c r="H4515" s="123"/>
    </row>
    <row r="4516" spans="3:8" s="99" customFormat="1" x14ac:dyDescent="0.2">
      <c r="C4516" s="198"/>
      <c r="D4516" s="198"/>
      <c r="E4516" s="537"/>
      <c r="G4516" s="198"/>
      <c r="H4516" s="123"/>
    </row>
    <row r="4517" spans="3:8" s="99" customFormat="1" x14ac:dyDescent="0.2">
      <c r="C4517" s="198"/>
      <c r="D4517" s="198"/>
      <c r="E4517" s="537"/>
      <c r="G4517" s="198"/>
      <c r="H4517" s="123"/>
    </row>
    <row r="4518" spans="3:8" s="99" customFormat="1" x14ac:dyDescent="0.2">
      <c r="C4518" s="198"/>
      <c r="D4518" s="198"/>
      <c r="E4518" s="537"/>
      <c r="G4518" s="198"/>
      <c r="H4518" s="123"/>
    </row>
    <row r="4519" spans="3:8" s="99" customFormat="1" x14ac:dyDescent="0.2">
      <c r="C4519" s="198"/>
      <c r="D4519" s="198"/>
      <c r="E4519" s="537"/>
      <c r="G4519" s="198"/>
      <c r="H4519" s="123"/>
    </row>
    <row r="4520" spans="3:8" s="99" customFormat="1" x14ac:dyDescent="0.2">
      <c r="C4520" s="198"/>
      <c r="D4520" s="198"/>
      <c r="E4520" s="537"/>
      <c r="G4520" s="198"/>
      <c r="H4520" s="123"/>
    </row>
    <row r="4521" spans="3:8" s="99" customFormat="1" x14ac:dyDescent="0.2">
      <c r="C4521" s="198"/>
      <c r="D4521" s="198"/>
      <c r="E4521" s="537"/>
      <c r="G4521" s="198"/>
      <c r="H4521" s="123"/>
    </row>
    <row r="4522" spans="3:8" s="99" customFormat="1" x14ac:dyDescent="0.2">
      <c r="C4522" s="198"/>
      <c r="D4522" s="198"/>
      <c r="E4522" s="537"/>
      <c r="G4522" s="198"/>
      <c r="H4522" s="123"/>
    </row>
    <row r="4523" spans="3:8" s="99" customFormat="1" x14ac:dyDescent="0.2">
      <c r="C4523" s="198"/>
      <c r="D4523" s="198"/>
      <c r="E4523" s="537"/>
      <c r="G4523" s="198"/>
      <c r="H4523" s="123"/>
    </row>
    <row r="4524" spans="3:8" s="99" customFormat="1" x14ac:dyDescent="0.2">
      <c r="C4524" s="198"/>
      <c r="D4524" s="198"/>
      <c r="E4524" s="537"/>
      <c r="G4524" s="198"/>
      <c r="H4524" s="123"/>
    </row>
    <row r="4525" spans="3:8" s="99" customFormat="1" x14ac:dyDescent="0.2">
      <c r="C4525" s="198"/>
      <c r="D4525" s="198"/>
      <c r="E4525" s="537"/>
      <c r="G4525" s="198"/>
      <c r="H4525" s="123"/>
    </row>
    <row r="4526" spans="3:8" s="99" customFormat="1" x14ac:dyDescent="0.2">
      <c r="C4526" s="198"/>
      <c r="D4526" s="198"/>
      <c r="E4526" s="537"/>
      <c r="G4526" s="198"/>
      <c r="H4526" s="123"/>
    </row>
    <row r="4527" spans="3:8" s="99" customFormat="1" x14ac:dyDescent="0.2">
      <c r="C4527" s="198"/>
      <c r="D4527" s="198"/>
      <c r="E4527" s="537"/>
      <c r="G4527" s="198"/>
      <c r="H4527" s="123"/>
    </row>
    <row r="4528" spans="3:8" s="99" customFormat="1" x14ac:dyDescent="0.2">
      <c r="C4528" s="198"/>
      <c r="D4528" s="198"/>
      <c r="E4528" s="537"/>
      <c r="G4528" s="198"/>
      <c r="H4528" s="123"/>
    </row>
    <row r="4529" spans="3:8" s="99" customFormat="1" x14ac:dyDescent="0.2">
      <c r="C4529" s="198"/>
      <c r="D4529" s="198"/>
      <c r="E4529" s="537"/>
      <c r="G4529" s="198"/>
      <c r="H4529" s="123"/>
    </row>
    <row r="4530" spans="3:8" s="99" customFormat="1" x14ac:dyDescent="0.2">
      <c r="C4530" s="198"/>
      <c r="D4530" s="198"/>
      <c r="E4530" s="537"/>
      <c r="G4530" s="198"/>
      <c r="H4530" s="123"/>
    </row>
    <row r="4531" spans="3:8" s="99" customFormat="1" x14ac:dyDescent="0.2">
      <c r="C4531" s="198"/>
      <c r="D4531" s="198"/>
      <c r="E4531" s="537"/>
      <c r="G4531" s="198"/>
      <c r="H4531" s="123"/>
    </row>
    <row r="4532" spans="3:8" s="99" customFormat="1" x14ac:dyDescent="0.2">
      <c r="C4532" s="198"/>
      <c r="D4532" s="198"/>
      <c r="E4532" s="537"/>
      <c r="G4532" s="198"/>
      <c r="H4532" s="123"/>
    </row>
    <row r="4533" spans="3:8" s="99" customFormat="1" x14ac:dyDescent="0.2">
      <c r="C4533" s="198"/>
      <c r="D4533" s="198"/>
      <c r="E4533" s="537"/>
      <c r="G4533" s="198"/>
      <c r="H4533" s="123"/>
    </row>
    <row r="4534" spans="3:8" s="99" customFormat="1" x14ac:dyDescent="0.2">
      <c r="C4534" s="198"/>
      <c r="D4534" s="198"/>
      <c r="E4534" s="537"/>
      <c r="G4534" s="198"/>
      <c r="H4534" s="123"/>
    </row>
    <row r="4535" spans="3:8" s="99" customFormat="1" x14ac:dyDescent="0.2">
      <c r="C4535" s="198"/>
      <c r="D4535" s="198"/>
      <c r="E4535" s="537"/>
      <c r="G4535" s="198"/>
      <c r="H4535" s="123"/>
    </row>
    <row r="4536" spans="3:8" s="99" customFormat="1" x14ac:dyDescent="0.2">
      <c r="C4536" s="198"/>
      <c r="D4536" s="198"/>
      <c r="E4536" s="537"/>
      <c r="G4536" s="198"/>
      <c r="H4536" s="123"/>
    </row>
    <row r="4537" spans="3:8" s="99" customFormat="1" x14ac:dyDescent="0.2">
      <c r="C4537" s="198"/>
      <c r="D4537" s="198"/>
      <c r="E4537" s="537"/>
      <c r="G4537" s="198"/>
      <c r="H4537" s="123"/>
    </row>
    <row r="4538" spans="3:8" s="99" customFormat="1" x14ac:dyDescent="0.2">
      <c r="C4538" s="198"/>
      <c r="D4538" s="198"/>
      <c r="E4538" s="537"/>
      <c r="G4538" s="198"/>
      <c r="H4538" s="123"/>
    </row>
    <row r="4539" spans="3:8" s="99" customFormat="1" x14ac:dyDescent="0.2">
      <c r="C4539" s="198"/>
      <c r="D4539" s="198"/>
      <c r="E4539" s="537"/>
      <c r="G4539" s="198"/>
      <c r="H4539" s="123"/>
    </row>
    <row r="4540" spans="3:8" s="99" customFormat="1" x14ac:dyDescent="0.2">
      <c r="C4540" s="198"/>
      <c r="D4540" s="198"/>
      <c r="E4540" s="537"/>
      <c r="G4540" s="198"/>
      <c r="H4540" s="123"/>
    </row>
    <row r="4541" spans="3:8" s="99" customFormat="1" x14ac:dyDescent="0.2">
      <c r="C4541" s="198"/>
      <c r="D4541" s="198"/>
      <c r="E4541" s="537"/>
      <c r="G4541" s="198"/>
      <c r="H4541" s="123"/>
    </row>
    <row r="4542" spans="3:8" s="99" customFormat="1" x14ac:dyDescent="0.2">
      <c r="C4542" s="198"/>
      <c r="D4542" s="198"/>
      <c r="E4542" s="537"/>
      <c r="G4542" s="198"/>
      <c r="H4542" s="123"/>
    </row>
    <row r="4543" spans="3:8" s="99" customFormat="1" x14ac:dyDescent="0.2">
      <c r="C4543" s="198"/>
      <c r="D4543" s="198"/>
      <c r="E4543" s="537"/>
      <c r="G4543" s="198"/>
      <c r="H4543" s="123"/>
    </row>
    <row r="4544" spans="3:8" s="99" customFormat="1" x14ac:dyDescent="0.2">
      <c r="C4544" s="198"/>
      <c r="D4544" s="198"/>
      <c r="E4544" s="537"/>
      <c r="G4544" s="198"/>
      <c r="H4544" s="123"/>
    </row>
    <row r="4545" spans="3:8" s="99" customFormat="1" x14ac:dyDescent="0.2">
      <c r="C4545" s="198"/>
      <c r="D4545" s="198"/>
      <c r="E4545" s="537"/>
      <c r="G4545" s="198"/>
      <c r="H4545" s="123"/>
    </row>
    <row r="4546" spans="3:8" s="99" customFormat="1" x14ac:dyDescent="0.2">
      <c r="C4546" s="198"/>
      <c r="D4546" s="198"/>
      <c r="E4546" s="537"/>
      <c r="G4546" s="198"/>
      <c r="H4546" s="123"/>
    </row>
    <row r="4547" spans="3:8" s="99" customFormat="1" x14ac:dyDescent="0.2">
      <c r="C4547" s="198"/>
      <c r="D4547" s="198"/>
      <c r="E4547" s="537"/>
      <c r="G4547" s="198"/>
      <c r="H4547" s="123"/>
    </row>
    <row r="4548" spans="3:8" s="99" customFormat="1" x14ac:dyDescent="0.2">
      <c r="C4548" s="198"/>
      <c r="D4548" s="198"/>
      <c r="E4548" s="537"/>
      <c r="G4548" s="198"/>
      <c r="H4548" s="123"/>
    </row>
    <row r="4549" spans="3:8" s="99" customFormat="1" x14ac:dyDescent="0.2">
      <c r="C4549" s="198"/>
      <c r="D4549" s="198"/>
      <c r="E4549" s="537"/>
      <c r="G4549" s="198"/>
      <c r="H4549" s="123"/>
    </row>
    <row r="4550" spans="3:8" s="99" customFormat="1" x14ac:dyDescent="0.2">
      <c r="C4550" s="198"/>
      <c r="D4550" s="198"/>
      <c r="E4550" s="537"/>
      <c r="G4550" s="198"/>
      <c r="H4550" s="123"/>
    </row>
    <row r="4551" spans="3:8" s="99" customFormat="1" x14ac:dyDescent="0.2">
      <c r="C4551" s="198"/>
      <c r="D4551" s="198"/>
      <c r="E4551" s="537"/>
      <c r="G4551" s="198"/>
      <c r="H4551" s="123"/>
    </row>
    <row r="4552" spans="3:8" s="99" customFormat="1" x14ac:dyDescent="0.2">
      <c r="C4552" s="198"/>
      <c r="D4552" s="198"/>
      <c r="E4552" s="537"/>
      <c r="G4552" s="198"/>
      <c r="H4552" s="123"/>
    </row>
    <row r="4553" spans="3:8" s="99" customFormat="1" x14ac:dyDescent="0.2">
      <c r="C4553" s="198"/>
      <c r="D4553" s="198"/>
      <c r="E4553" s="537"/>
      <c r="G4553" s="198"/>
      <c r="H4553" s="123"/>
    </row>
    <row r="4554" spans="3:8" s="99" customFormat="1" x14ac:dyDescent="0.2">
      <c r="C4554" s="198"/>
      <c r="D4554" s="198"/>
      <c r="E4554" s="537"/>
      <c r="G4554" s="198"/>
      <c r="H4554" s="123"/>
    </row>
    <row r="4555" spans="3:8" s="99" customFormat="1" x14ac:dyDescent="0.2">
      <c r="C4555" s="198"/>
      <c r="D4555" s="198"/>
      <c r="E4555" s="537"/>
      <c r="G4555" s="198"/>
      <c r="H4555" s="123"/>
    </row>
    <row r="4556" spans="3:8" s="99" customFormat="1" x14ac:dyDescent="0.2">
      <c r="C4556" s="198"/>
      <c r="D4556" s="198"/>
      <c r="E4556" s="537"/>
      <c r="G4556" s="198"/>
      <c r="H4556" s="123"/>
    </row>
    <row r="4557" spans="3:8" s="99" customFormat="1" x14ac:dyDescent="0.2">
      <c r="C4557" s="198"/>
      <c r="D4557" s="198"/>
      <c r="E4557" s="537"/>
      <c r="G4557" s="198"/>
      <c r="H4557" s="123"/>
    </row>
    <row r="4558" spans="3:8" s="99" customFormat="1" x14ac:dyDescent="0.2">
      <c r="C4558" s="198"/>
      <c r="D4558" s="198"/>
      <c r="E4558" s="537"/>
      <c r="G4558" s="198"/>
      <c r="H4558" s="123"/>
    </row>
    <row r="4559" spans="3:8" s="99" customFormat="1" x14ac:dyDescent="0.2">
      <c r="C4559" s="198"/>
      <c r="D4559" s="198"/>
      <c r="E4559" s="537"/>
      <c r="G4559" s="198"/>
      <c r="H4559" s="123"/>
    </row>
    <row r="4560" spans="3:8" s="99" customFormat="1" x14ac:dyDescent="0.2">
      <c r="C4560" s="198"/>
      <c r="D4560" s="198"/>
      <c r="E4560" s="537"/>
      <c r="G4560" s="198"/>
      <c r="H4560" s="123"/>
    </row>
    <row r="4561" spans="3:8" s="99" customFormat="1" x14ac:dyDescent="0.2">
      <c r="C4561" s="198"/>
      <c r="D4561" s="198"/>
      <c r="E4561" s="537"/>
      <c r="G4561" s="198"/>
      <c r="H4561" s="123"/>
    </row>
    <row r="4562" spans="3:8" s="99" customFormat="1" x14ac:dyDescent="0.2">
      <c r="C4562" s="198"/>
      <c r="D4562" s="198"/>
      <c r="E4562" s="537"/>
      <c r="G4562" s="198"/>
      <c r="H4562" s="123"/>
    </row>
    <row r="4563" spans="3:8" s="99" customFormat="1" x14ac:dyDescent="0.2">
      <c r="C4563" s="198"/>
      <c r="D4563" s="198"/>
      <c r="E4563" s="537"/>
      <c r="G4563" s="198"/>
      <c r="H4563" s="123"/>
    </row>
    <row r="4564" spans="3:8" s="99" customFormat="1" x14ac:dyDescent="0.2">
      <c r="C4564" s="198"/>
      <c r="D4564" s="198"/>
      <c r="E4564" s="537"/>
      <c r="G4564" s="198"/>
      <c r="H4564" s="123"/>
    </row>
    <row r="4565" spans="3:8" s="99" customFormat="1" x14ac:dyDescent="0.2">
      <c r="C4565" s="198"/>
      <c r="D4565" s="198"/>
      <c r="E4565" s="537"/>
      <c r="G4565" s="198"/>
      <c r="H4565" s="123"/>
    </row>
    <row r="4566" spans="3:8" s="99" customFormat="1" x14ac:dyDescent="0.2">
      <c r="C4566" s="198"/>
      <c r="D4566" s="198"/>
      <c r="E4566" s="537"/>
      <c r="G4566" s="198"/>
      <c r="H4566" s="123"/>
    </row>
    <row r="4567" spans="3:8" s="99" customFormat="1" x14ac:dyDescent="0.2">
      <c r="C4567" s="198"/>
      <c r="D4567" s="198"/>
      <c r="E4567" s="537"/>
      <c r="G4567" s="198"/>
      <c r="H4567" s="123"/>
    </row>
    <row r="4568" spans="3:8" s="99" customFormat="1" x14ac:dyDescent="0.2">
      <c r="C4568" s="198"/>
      <c r="D4568" s="198"/>
      <c r="E4568" s="537"/>
      <c r="G4568" s="198"/>
      <c r="H4568" s="123"/>
    </row>
    <row r="4569" spans="3:8" s="99" customFormat="1" x14ac:dyDescent="0.2">
      <c r="C4569" s="198"/>
      <c r="D4569" s="198"/>
      <c r="E4569" s="537"/>
      <c r="G4569" s="198"/>
      <c r="H4569" s="123"/>
    </row>
    <row r="4570" spans="3:8" s="99" customFormat="1" x14ac:dyDescent="0.2">
      <c r="C4570" s="198"/>
      <c r="D4570" s="198"/>
      <c r="E4570" s="537"/>
      <c r="G4570" s="198"/>
      <c r="H4570" s="123"/>
    </row>
    <row r="4571" spans="3:8" s="99" customFormat="1" x14ac:dyDescent="0.2">
      <c r="C4571" s="198"/>
      <c r="D4571" s="198"/>
      <c r="E4571" s="537"/>
      <c r="G4571" s="198"/>
      <c r="H4571" s="123"/>
    </row>
    <row r="4572" spans="3:8" s="99" customFormat="1" x14ac:dyDescent="0.2">
      <c r="C4572" s="198"/>
      <c r="D4572" s="198"/>
      <c r="E4572" s="537"/>
      <c r="G4572" s="198"/>
      <c r="H4572" s="123"/>
    </row>
    <row r="4573" spans="3:8" s="99" customFormat="1" x14ac:dyDescent="0.2">
      <c r="C4573" s="198"/>
      <c r="D4573" s="198"/>
      <c r="E4573" s="537"/>
      <c r="G4573" s="198"/>
      <c r="H4573" s="123"/>
    </row>
    <row r="4574" spans="3:8" s="99" customFormat="1" x14ac:dyDescent="0.2">
      <c r="C4574" s="198"/>
      <c r="D4574" s="198"/>
      <c r="E4574" s="537"/>
      <c r="G4574" s="198"/>
      <c r="H4574" s="123"/>
    </row>
    <row r="4575" spans="3:8" s="99" customFormat="1" x14ac:dyDescent="0.2">
      <c r="C4575" s="198"/>
      <c r="D4575" s="198"/>
      <c r="E4575" s="537"/>
      <c r="G4575" s="198"/>
      <c r="H4575" s="123"/>
    </row>
    <row r="4576" spans="3:8" s="99" customFormat="1" x14ac:dyDescent="0.2">
      <c r="C4576" s="198"/>
      <c r="D4576" s="198"/>
      <c r="E4576" s="537"/>
      <c r="G4576" s="198"/>
      <c r="H4576" s="123"/>
    </row>
    <row r="4577" spans="3:8" s="99" customFormat="1" x14ac:dyDescent="0.2">
      <c r="C4577" s="198"/>
      <c r="D4577" s="198"/>
      <c r="E4577" s="537"/>
      <c r="G4577" s="198"/>
      <c r="H4577" s="123"/>
    </row>
    <row r="4578" spans="3:8" s="99" customFormat="1" x14ac:dyDescent="0.2">
      <c r="C4578" s="198"/>
      <c r="D4578" s="198"/>
      <c r="E4578" s="537"/>
      <c r="G4578" s="198"/>
      <c r="H4578" s="123"/>
    </row>
    <row r="4579" spans="3:8" s="99" customFormat="1" x14ac:dyDescent="0.2">
      <c r="C4579" s="198"/>
      <c r="D4579" s="198"/>
      <c r="E4579" s="537"/>
      <c r="G4579" s="198"/>
      <c r="H4579" s="123"/>
    </row>
    <row r="4580" spans="3:8" s="99" customFormat="1" x14ac:dyDescent="0.2">
      <c r="C4580" s="198"/>
      <c r="D4580" s="198"/>
      <c r="E4580" s="537"/>
      <c r="G4580" s="198"/>
      <c r="H4580" s="123"/>
    </row>
    <row r="4581" spans="3:8" s="99" customFormat="1" x14ac:dyDescent="0.2">
      <c r="C4581" s="198"/>
      <c r="D4581" s="198"/>
      <c r="E4581" s="537"/>
      <c r="G4581" s="198"/>
      <c r="H4581" s="123"/>
    </row>
    <row r="4582" spans="3:8" s="99" customFormat="1" x14ac:dyDescent="0.2">
      <c r="C4582" s="198"/>
      <c r="D4582" s="198"/>
      <c r="E4582" s="537"/>
      <c r="G4582" s="198"/>
      <c r="H4582" s="123"/>
    </row>
    <row r="4583" spans="3:8" s="99" customFormat="1" x14ac:dyDescent="0.2">
      <c r="C4583" s="198"/>
      <c r="D4583" s="198"/>
      <c r="E4583" s="537"/>
      <c r="G4583" s="198"/>
      <c r="H4583" s="123"/>
    </row>
    <row r="4584" spans="3:8" s="99" customFormat="1" x14ac:dyDescent="0.2">
      <c r="C4584" s="198"/>
      <c r="D4584" s="198"/>
      <c r="E4584" s="537"/>
      <c r="G4584" s="198"/>
      <c r="H4584" s="123"/>
    </row>
    <row r="4585" spans="3:8" s="99" customFormat="1" x14ac:dyDescent="0.2">
      <c r="C4585" s="198"/>
      <c r="D4585" s="198"/>
      <c r="E4585" s="537"/>
      <c r="G4585" s="198"/>
      <c r="H4585" s="123"/>
    </row>
    <row r="4586" spans="3:8" s="99" customFormat="1" x14ac:dyDescent="0.2">
      <c r="C4586" s="198"/>
      <c r="D4586" s="198"/>
      <c r="E4586" s="537"/>
      <c r="G4586" s="198"/>
      <c r="H4586" s="123"/>
    </row>
    <row r="4587" spans="3:8" s="99" customFormat="1" x14ac:dyDescent="0.2">
      <c r="C4587" s="198"/>
      <c r="D4587" s="198"/>
      <c r="E4587" s="537"/>
      <c r="G4587" s="198"/>
      <c r="H4587" s="123"/>
    </row>
    <row r="4588" spans="3:8" s="99" customFormat="1" x14ac:dyDescent="0.2">
      <c r="C4588" s="198"/>
      <c r="D4588" s="198"/>
      <c r="E4588" s="537"/>
      <c r="G4588" s="198"/>
      <c r="H4588" s="123"/>
    </row>
    <row r="4589" spans="3:8" s="99" customFormat="1" x14ac:dyDescent="0.2">
      <c r="C4589" s="198"/>
      <c r="D4589" s="198"/>
      <c r="E4589" s="537"/>
      <c r="G4589" s="198"/>
      <c r="H4589" s="123"/>
    </row>
    <row r="4590" spans="3:8" s="99" customFormat="1" x14ac:dyDescent="0.2">
      <c r="C4590" s="198"/>
      <c r="D4590" s="198"/>
      <c r="E4590" s="537"/>
      <c r="G4590" s="198"/>
      <c r="H4590" s="123"/>
    </row>
    <row r="4591" spans="3:8" s="99" customFormat="1" x14ac:dyDescent="0.2">
      <c r="C4591" s="198"/>
      <c r="D4591" s="198"/>
      <c r="E4591" s="537"/>
      <c r="G4591" s="198"/>
      <c r="H4591" s="123"/>
    </row>
    <row r="4592" spans="3:8" s="99" customFormat="1" x14ac:dyDescent="0.2">
      <c r="C4592" s="198"/>
      <c r="D4592" s="198"/>
      <c r="E4592" s="537"/>
      <c r="G4592" s="198"/>
      <c r="H4592" s="123"/>
    </row>
    <row r="4593" spans="3:8" s="99" customFormat="1" x14ac:dyDescent="0.2">
      <c r="C4593" s="198"/>
      <c r="D4593" s="198"/>
      <c r="E4593" s="537"/>
      <c r="G4593" s="198"/>
      <c r="H4593" s="123"/>
    </row>
    <row r="4594" spans="3:8" s="99" customFormat="1" x14ac:dyDescent="0.2">
      <c r="C4594" s="198"/>
      <c r="D4594" s="198"/>
      <c r="E4594" s="537"/>
      <c r="G4594" s="198"/>
      <c r="H4594" s="123"/>
    </row>
    <row r="4595" spans="3:8" s="99" customFormat="1" x14ac:dyDescent="0.2">
      <c r="C4595" s="198"/>
      <c r="D4595" s="198"/>
      <c r="E4595" s="537"/>
      <c r="G4595" s="198"/>
      <c r="H4595" s="123"/>
    </row>
    <row r="4596" spans="3:8" s="99" customFormat="1" x14ac:dyDescent="0.2">
      <c r="C4596" s="198"/>
      <c r="D4596" s="198"/>
      <c r="E4596" s="537"/>
      <c r="G4596" s="198"/>
      <c r="H4596" s="123"/>
    </row>
    <row r="4597" spans="3:8" s="99" customFormat="1" x14ac:dyDescent="0.2">
      <c r="C4597" s="198"/>
      <c r="D4597" s="198"/>
      <c r="E4597" s="537"/>
      <c r="G4597" s="198"/>
      <c r="H4597" s="123"/>
    </row>
    <row r="4598" spans="3:8" s="99" customFormat="1" x14ac:dyDescent="0.2">
      <c r="C4598" s="198"/>
      <c r="D4598" s="198"/>
      <c r="E4598" s="537"/>
      <c r="G4598" s="198"/>
      <c r="H4598" s="123"/>
    </row>
    <row r="4599" spans="3:8" s="99" customFormat="1" x14ac:dyDescent="0.2">
      <c r="C4599" s="198"/>
      <c r="D4599" s="198"/>
      <c r="E4599" s="537"/>
      <c r="G4599" s="198"/>
      <c r="H4599" s="123"/>
    </row>
    <row r="4600" spans="3:8" s="99" customFormat="1" x14ac:dyDescent="0.2">
      <c r="C4600" s="198"/>
      <c r="D4600" s="198"/>
      <c r="E4600" s="537"/>
      <c r="G4600" s="198"/>
      <c r="H4600" s="123"/>
    </row>
    <row r="4601" spans="3:8" s="99" customFormat="1" x14ac:dyDescent="0.2">
      <c r="C4601" s="198"/>
      <c r="D4601" s="198"/>
      <c r="E4601" s="537"/>
      <c r="G4601" s="198"/>
      <c r="H4601" s="123"/>
    </row>
    <row r="4602" spans="3:8" s="99" customFormat="1" x14ac:dyDescent="0.2">
      <c r="C4602" s="198"/>
      <c r="D4602" s="198"/>
      <c r="E4602" s="537"/>
      <c r="G4602" s="198"/>
      <c r="H4602" s="123"/>
    </row>
    <row r="4603" spans="3:8" s="99" customFormat="1" x14ac:dyDescent="0.2">
      <c r="C4603" s="198"/>
      <c r="D4603" s="198"/>
      <c r="E4603" s="537"/>
      <c r="G4603" s="198"/>
      <c r="H4603" s="123"/>
    </row>
    <row r="4604" spans="3:8" s="99" customFormat="1" x14ac:dyDescent="0.2">
      <c r="C4604" s="198"/>
      <c r="D4604" s="198"/>
      <c r="E4604" s="537"/>
      <c r="G4604" s="198"/>
      <c r="H4604" s="123"/>
    </row>
    <row r="4605" spans="3:8" s="99" customFormat="1" x14ac:dyDescent="0.2">
      <c r="C4605" s="198"/>
      <c r="D4605" s="198"/>
      <c r="E4605" s="537"/>
      <c r="G4605" s="198"/>
      <c r="H4605" s="123"/>
    </row>
    <row r="4606" spans="3:8" s="99" customFormat="1" x14ac:dyDescent="0.2">
      <c r="C4606" s="198"/>
      <c r="D4606" s="198"/>
      <c r="E4606" s="537"/>
      <c r="G4606" s="198"/>
      <c r="H4606" s="123"/>
    </row>
    <row r="4607" spans="3:8" s="99" customFormat="1" x14ac:dyDescent="0.2">
      <c r="C4607" s="198"/>
      <c r="D4607" s="198"/>
      <c r="E4607" s="537"/>
      <c r="G4607" s="198"/>
      <c r="H4607" s="123"/>
    </row>
    <row r="4608" spans="3:8" s="99" customFormat="1" x14ac:dyDescent="0.2">
      <c r="C4608" s="198"/>
      <c r="D4608" s="198"/>
      <c r="E4608" s="537"/>
      <c r="G4608" s="198"/>
      <c r="H4608" s="123"/>
    </row>
    <row r="4609" spans="3:8" s="99" customFormat="1" x14ac:dyDescent="0.2">
      <c r="C4609" s="198"/>
      <c r="D4609" s="198"/>
      <c r="E4609" s="537"/>
      <c r="G4609" s="198"/>
      <c r="H4609" s="123"/>
    </row>
    <row r="4610" spans="3:8" s="99" customFormat="1" x14ac:dyDescent="0.2">
      <c r="C4610" s="198"/>
      <c r="D4610" s="198"/>
      <c r="E4610" s="537"/>
      <c r="G4610" s="198"/>
      <c r="H4610" s="123"/>
    </row>
    <row r="4611" spans="3:8" s="99" customFormat="1" x14ac:dyDescent="0.2">
      <c r="C4611" s="198"/>
      <c r="D4611" s="198"/>
      <c r="E4611" s="537"/>
      <c r="G4611" s="198"/>
      <c r="H4611" s="123"/>
    </row>
    <row r="4612" spans="3:8" s="99" customFormat="1" x14ac:dyDescent="0.2">
      <c r="C4612" s="198"/>
      <c r="D4612" s="198"/>
      <c r="E4612" s="537"/>
      <c r="G4612" s="198"/>
      <c r="H4612" s="123"/>
    </row>
    <row r="4613" spans="3:8" s="99" customFormat="1" x14ac:dyDescent="0.2">
      <c r="C4613" s="198"/>
      <c r="D4613" s="198"/>
      <c r="E4613" s="537"/>
      <c r="G4613" s="198"/>
      <c r="H4613" s="123"/>
    </row>
    <row r="4614" spans="3:8" s="99" customFormat="1" x14ac:dyDescent="0.2">
      <c r="C4614" s="198"/>
      <c r="D4614" s="198"/>
      <c r="E4614" s="537"/>
      <c r="G4614" s="198"/>
      <c r="H4614" s="123"/>
    </row>
    <row r="4615" spans="3:8" s="99" customFormat="1" x14ac:dyDescent="0.2">
      <c r="C4615" s="198"/>
      <c r="D4615" s="198"/>
      <c r="E4615" s="537"/>
      <c r="G4615" s="198"/>
      <c r="H4615" s="123"/>
    </row>
    <row r="4616" spans="3:8" s="99" customFormat="1" x14ac:dyDescent="0.2">
      <c r="C4616" s="198"/>
      <c r="D4616" s="198"/>
      <c r="E4616" s="537"/>
      <c r="G4616" s="198"/>
      <c r="H4616" s="123"/>
    </row>
    <row r="4617" spans="3:8" s="99" customFormat="1" x14ac:dyDescent="0.2">
      <c r="C4617" s="198"/>
      <c r="D4617" s="198"/>
      <c r="E4617" s="537"/>
      <c r="G4617" s="198"/>
      <c r="H4617" s="123"/>
    </row>
    <row r="4618" spans="3:8" s="99" customFormat="1" x14ac:dyDescent="0.2">
      <c r="C4618" s="198"/>
      <c r="D4618" s="198"/>
      <c r="E4618" s="537"/>
      <c r="G4618" s="198"/>
      <c r="H4618" s="123"/>
    </row>
    <row r="4619" spans="3:8" s="99" customFormat="1" x14ac:dyDescent="0.2">
      <c r="C4619" s="198"/>
      <c r="D4619" s="198"/>
      <c r="E4619" s="537"/>
      <c r="G4619" s="198"/>
      <c r="H4619" s="123"/>
    </row>
    <row r="4620" spans="3:8" s="99" customFormat="1" x14ac:dyDescent="0.2">
      <c r="C4620" s="198"/>
      <c r="D4620" s="198"/>
      <c r="E4620" s="537"/>
      <c r="G4620" s="198"/>
      <c r="H4620" s="123"/>
    </row>
    <row r="4621" spans="3:8" s="99" customFormat="1" x14ac:dyDescent="0.2">
      <c r="C4621" s="198"/>
      <c r="D4621" s="198"/>
      <c r="E4621" s="537"/>
      <c r="G4621" s="198"/>
      <c r="H4621" s="123"/>
    </row>
    <row r="4622" spans="3:8" s="99" customFormat="1" x14ac:dyDescent="0.2">
      <c r="C4622" s="198"/>
      <c r="D4622" s="198"/>
      <c r="E4622" s="537"/>
      <c r="G4622" s="198"/>
      <c r="H4622" s="123"/>
    </row>
    <row r="4623" spans="3:8" s="99" customFormat="1" x14ac:dyDescent="0.2">
      <c r="C4623" s="198"/>
      <c r="D4623" s="198"/>
      <c r="E4623" s="537"/>
      <c r="G4623" s="198"/>
      <c r="H4623" s="123"/>
    </row>
    <row r="4624" spans="3:8" s="99" customFormat="1" x14ac:dyDescent="0.2">
      <c r="C4624" s="198"/>
      <c r="D4624" s="198"/>
      <c r="E4624" s="537"/>
      <c r="G4624" s="198"/>
      <c r="H4624" s="123"/>
    </row>
    <row r="4625" spans="3:8" s="99" customFormat="1" x14ac:dyDescent="0.2">
      <c r="C4625" s="198"/>
      <c r="D4625" s="198"/>
      <c r="E4625" s="537"/>
      <c r="G4625" s="198"/>
      <c r="H4625" s="123"/>
    </row>
    <row r="4626" spans="3:8" s="99" customFormat="1" x14ac:dyDescent="0.2">
      <c r="C4626" s="198"/>
      <c r="D4626" s="198"/>
      <c r="E4626" s="537"/>
      <c r="G4626" s="198"/>
      <c r="H4626" s="123"/>
    </row>
    <row r="4627" spans="3:8" s="99" customFormat="1" x14ac:dyDescent="0.2">
      <c r="C4627" s="198"/>
      <c r="D4627" s="198"/>
      <c r="E4627" s="537"/>
      <c r="G4627" s="198"/>
      <c r="H4627" s="123"/>
    </row>
    <row r="4628" spans="3:8" s="99" customFormat="1" x14ac:dyDescent="0.2">
      <c r="C4628" s="198"/>
      <c r="D4628" s="198"/>
      <c r="E4628" s="537"/>
      <c r="G4628" s="198"/>
      <c r="H4628" s="123"/>
    </row>
    <row r="4629" spans="3:8" s="99" customFormat="1" x14ac:dyDescent="0.2">
      <c r="C4629" s="198"/>
      <c r="D4629" s="198"/>
      <c r="E4629" s="537"/>
      <c r="G4629" s="198"/>
      <c r="H4629" s="123"/>
    </row>
    <row r="4630" spans="3:8" s="99" customFormat="1" x14ac:dyDescent="0.2">
      <c r="C4630" s="198"/>
      <c r="D4630" s="198"/>
      <c r="E4630" s="537"/>
      <c r="G4630" s="198"/>
      <c r="H4630" s="123"/>
    </row>
    <row r="4631" spans="3:8" s="99" customFormat="1" x14ac:dyDescent="0.2">
      <c r="C4631" s="198"/>
      <c r="D4631" s="198"/>
      <c r="E4631" s="537"/>
      <c r="G4631" s="198"/>
      <c r="H4631" s="123"/>
    </row>
    <row r="4632" spans="3:8" s="99" customFormat="1" x14ac:dyDescent="0.2">
      <c r="C4632" s="198"/>
      <c r="D4632" s="198"/>
      <c r="E4632" s="537"/>
      <c r="G4632" s="198"/>
      <c r="H4632" s="123"/>
    </row>
    <row r="4633" spans="3:8" s="99" customFormat="1" x14ac:dyDescent="0.2">
      <c r="C4633" s="198"/>
      <c r="D4633" s="198"/>
      <c r="E4633" s="537"/>
      <c r="G4633" s="198"/>
      <c r="H4633" s="123"/>
    </row>
    <row r="4634" spans="3:8" s="99" customFormat="1" x14ac:dyDescent="0.2">
      <c r="C4634" s="198"/>
      <c r="D4634" s="198"/>
      <c r="E4634" s="537"/>
      <c r="G4634" s="198"/>
      <c r="H4634" s="123"/>
    </row>
    <row r="4635" spans="3:8" s="99" customFormat="1" x14ac:dyDescent="0.2">
      <c r="C4635" s="198"/>
      <c r="D4635" s="198"/>
      <c r="E4635" s="537"/>
      <c r="G4635" s="198"/>
      <c r="H4635" s="123"/>
    </row>
    <row r="4636" spans="3:8" s="99" customFormat="1" x14ac:dyDescent="0.2">
      <c r="C4636" s="198"/>
      <c r="D4636" s="198"/>
      <c r="E4636" s="537"/>
      <c r="G4636" s="198"/>
      <c r="H4636" s="123"/>
    </row>
    <row r="4637" spans="3:8" s="99" customFormat="1" x14ac:dyDescent="0.2">
      <c r="C4637" s="198"/>
      <c r="D4637" s="198"/>
      <c r="E4637" s="537"/>
      <c r="G4637" s="198"/>
      <c r="H4637" s="123"/>
    </row>
    <row r="4638" spans="3:8" s="99" customFormat="1" x14ac:dyDescent="0.2">
      <c r="C4638" s="198"/>
      <c r="D4638" s="198"/>
      <c r="E4638" s="537"/>
      <c r="G4638" s="198"/>
      <c r="H4638" s="123"/>
    </row>
    <row r="4639" spans="3:8" s="99" customFormat="1" x14ac:dyDescent="0.2">
      <c r="C4639" s="198"/>
      <c r="D4639" s="198"/>
      <c r="E4639" s="537"/>
      <c r="G4639" s="198"/>
      <c r="H4639" s="123"/>
    </row>
    <row r="4640" spans="3:8" s="99" customFormat="1" x14ac:dyDescent="0.2">
      <c r="C4640" s="198"/>
      <c r="D4640" s="198"/>
      <c r="E4640" s="537"/>
      <c r="G4640" s="198"/>
      <c r="H4640" s="123"/>
    </row>
    <row r="4641" spans="3:8" s="99" customFormat="1" x14ac:dyDescent="0.2">
      <c r="C4641" s="198"/>
      <c r="D4641" s="198"/>
      <c r="E4641" s="537"/>
      <c r="G4641" s="198"/>
      <c r="H4641" s="123"/>
    </row>
    <row r="4642" spans="3:8" s="99" customFormat="1" x14ac:dyDescent="0.2">
      <c r="C4642" s="198"/>
      <c r="D4642" s="198"/>
      <c r="E4642" s="537"/>
      <c r="G4642" s="198"/>
      <c r="H4642" s="123"/>
    </row>
    <row r="4643" spans="3:8" s="99" customFormat="1" x14ac:dyDescent="0.2">
      <c r="C4643" s="198"/>
      <c r="D4643" s="198"/>
      <c r="E4643" s="537"/>
      <c r="G4643" s="198"/>
      <c r="H4643" s="123"/>
    </row>
    <row r="4644" spans="3:8" s="99" customFormat="1" x14ac:dyDescent="0.2">
      <c r="C4644" s="198"/>
      <c r="D4644" s="198"/>
      <c r="E4644" s="537"/>
      <c r="G4644" s="198"/>
      <c r="H4644" s="123"/>
    </row>
    <row r="4645" spans="3:8" s="99" customFormat="1" x14ac:dyDescent="0.2">
      <c r="C4645" s="198"/>
      <c r="D4645" s="198"/>
      <c r="E4645" s="537"/>
      <c r="G4645" s="198"/>
      <c r="H4645" s="123"/>
    </row>
    <row r="4646" spans="3:8" s="99" customFormat="1" x14ac:dyDescent="0.2">
      <c r="C4646" s="198"/>
      <c r="D4646" s="198"/>
      <c r="E4646" s="537"/>
      <c r="G4646" s="198"/>
      <c r="H4646" s="123"/>
    </row>
    <row r="4647" spans="3:8" s="99" customFormat="1" x14ac:dyDescent="0.2">
      <c r="C4647" s="198"/>
      <c r="D4647" s="198"/>
      <c r="E4647" s="537"/>
      <c r="G4647" s="198"/>
      <c r="H4647" s="123"/>
    </row>
    <row r="4648" spans="3:8" s="99" customFormat="1" x14ac:dyDescent="0.2">
      <c r="C4648" s="198"/>
      <c r="D4648" s="198"/>
      <c r="E4648" s="537"/>
      <c r="G4648" s="198"/>
      <c r="H4648" s="123"/>
    </row>
    <row r="4649" spans="3:8" s="99" customFormat="1" x14ac:dyDescent="0.2">
      <c r="C4649" s="198"/>
      <c r="D4649" s="198"/>
      <c r="E4649" s="537"/>
      <c r="G4649" s="198"/>
      <c r="H4649" s="123"/>
    </row>
    <row r="4650" spans="3:8" s="99" customFormat="1" x14ac:dyDescent="0.2">
      <c r="C4650" s="198"/>
      <c r="D4650" s="198"/>
      <c r="E4650" s="537"/>
      <c r="G4650" s="198"/>
      <c r="H4650" s="123"/>
    </row>
    <row r="4651" spans="3:8" s="99" customFormat="1" x14ac:dyDescent="0.2">
      <c r="C4651" s="198"/>
      <c r="D4651" s="198"/>
      <c r="E4651" s="537"/>
      <c r="G4651" s="198"/>
      <c r="H4651" s="123"/>
    </row>
    <row r="4652" spans="3:8" s="99" customFormat="1" x14ac:dyDescent="0.2">
      <c r="C4652" s="198"/>
      <c r="D4652" s="198"/>
      <c r="E4652" s="537"/>
      <c r="G4652" s="198"/>
      <c r="H4652" s="123"/>
    </row>
    <row r="4653" spans="3:8" s="99" customFormat="1" x14ac:dyDescent="0.2">
      <c r="C4653" s="198"/>
      <c r="D4653" s="198"/>
      <c r="E4653" s="537"/>
      <c r="G4653" s="198"/>
      <c r="H4653" s="123"/>
    </row>
    <row r="4654" spans="3:8" s="99" customFormat="1" x14ac:dyDescent="0.2">
      <c r="C4654" s="198"/>
      <c r="D4654" s="198"/>
      <c r="E4654" s="537"/>
      <c r="G4654" s="198"/>
      <c r="H4654" s="123"/>
    </row>
    <row r="4655" spans="3:8" s="99" customFormat="1" x14ac:dyDescent="0.2">
      <c r="C4655" s="198"/>
      <c r="D4655" s="198"/>
      <c r="E4655" s="537"/>
      <c r="G4655" s="198"/>
      <c r="H4655" s="123"/>
    </row>
    <row r="4656" spans="3:8" s="99" customFormat="1" x14ac:dyDescent="0.2">
      <c r="C4656" s="198"/>
      <c r="D4656" s="198"/>
      <c r="E4656" s="537"/>
      <c r="G4656" s="198"/>
      <c r="H4656" s="123"/>
    </row>
    <row r="4657" spans="3:8" s="99" customFormat="1" x14ac:dyDescent="0.2">
      <c r="C4657" s="198"/>
      <c r="D4657" s="198"/>
      <c r="E4657" s="537"/>
      <c r="G4657" s="198"/>
      <c r="H4657" s="123"/>
    </row>
    <row r="4658" spans="3:8" s="99" customFormat="1" x14ac:dyDescent="0.2">
      <c r="C4658" s="198"/>
      <c r="D4658" s="198"/>
      <c r="E4658" s="537"/>
      <c r="G4658" s="198"/>
      <c r="H4658" s="123"/>
    </row>
    <row r="4659" spans="3:8" s="99" customFormat="1" x14ac:dyDescent="0.2">
      <c r="C4659" s="198"/>
      <c r="D4659" s="198"/>
      <c r="E4659" s="537"/>
      <c r="G4659" s="198"/>
      <c r="H4659" s="123"/>
    </row>
    <row r="4660" spans="3:8" s="99" customFormat="1" x14ac:dyDescent="0.2">
      <c r="C4660" s="198"/>
      <c r="D4660" s="198"/>
      <c r="E4660" s="537"/>
      <c r="G4660" s="198"/>
      <c r="H4660" s="123"/>
    </row>
    <row r="4661" spans="3:8" s="99" customFormat="1" x14ac:dyDescent="0.2">
      <c r="C4661" s="198"/>
      <c r="D4661" s="198"/>
      <c r="E4661" s="537"/>
      <c r="G4661" s="198"/>
      <c r="H4661" s="123"/>
    </row>
    <row r="4662" spans="3:8" s="99" customFormat="1" x14ac:dyDescent="0.2">
      <c r="C4662" s="198"/>
      <c r="D4662" s="198"/>
      <c r="E4662" s="537"/>
      <c r="G4662" s="198"/>
      <c r="H4662" s="123"/>
    </row>
    <row r="4663" spans="3:8" s="99" customFormat="1" x14ac:dyDescent="0.2">
      <c r="C4663" s="198"/>
      <c r="D4663" s="198"/>
      <c r="E4663" s="537"/>
      <c r="G4663" s="198"/>
      <c r="H4663" s="123"/>
    </row>
    <row r="4664" spans="3:8" s="99" customFormat="1" x14ac:dyDescent="0.2">
      <c r="C4664" s="198"/>
      <c r="D4664" s="198"/>
      <c r="E4664" s="537"/>
      <c r="G4664" s="198"/>
      <c r="H4664" s="123"/>
    </row>
    <row r="4665" spans="3:8" s="99" customFormat="1" x14ac:dyDescent="0.2">
      <c r="C4665" s="198"/>
      <c r="D4665" s="198"/>
      <c r="E4665" s="537"/>
      <c r="G4665" s="198"/>
      <c r="H4665" s="123"/>
    </row>
    <row r="4666" spans="3:8" s="99" customFormat="1" x14ac:dyDescent="0.2">
      <c r="C4666" s="198"/>
      <c r="D4666" s="198"/>
      <c r="E4666" s="537"/>
      <c r="G4666" s="198"/>
      <c r="H4666" s="123"/>
    </row>
    <row r="4667" spans="3:8" s="99" customFormat="1" x14ac:dyDescent="0.2">
      <c r="C4667" s="198"/>
      <c r="D4667" s="198"/>
      <c r="E4667" s="537"/>
      <c r="G4667" s="198"/>
      <c r="H4667" s="123"/>
    </row>
    <row r="4668" spans="3:8" s="99" customFormat="1" x14ac:dyDescent="0.2">
      <c r="C4668" s="198"/>
      <c r="D4668" s="198"/>
      <c r="E4668" s="537"/>
      <c r="G4668" s="198"/>
      <c r="H4668" s="123"/>
    </row>
    <row r="4669" spans="3:8" s="99" customFormat="1" x14ac:dyDescent="0.2">
      <c r="C4669" s="198"/>
      <c r="D4669" s="198"/>
      <c r="E4669" s="537"/>
      <c r="G4669" s="198"/>
      <c r="H4669" s="123"/>
    </row>
    <row r="4670" spans="3:8" s="99" customFormat="1" x14ac:dyDescent="0.2">
      <c r="C4670" s="198"/>
      <c r="D4670" s="198"/>
      <c r="E4670" s="537"/>
      <c r="G4670" s="198"/>
      <c r="H4670" s="123"/>
    </row>
    <row r="4671" spans="3:8" s="99" customFormat="1" x14ac:dyDescent="0.2">
      <c r="C4671" s="198"/>
      <c r="D4671" s="198"/>
      <c r="E4671" s="537"/>
      <c r="G4671" s="198"/>
      <c r="H4671" s="123"/>
    </row>
    <row r="4672" spans="3:8" s="99" customFormat="1" x14ac:dyDescent="0.2">
      <c r="C4672" s="198"/>
      <c r="D4672" s="198"/>
      <c r="E4672" s="537"/>
      <c r="G4672" s="198"/>
      <c r="H4672" s="123"/>
    </row>
    <row r="4673" spans="3:8" s="99" customFormat="1" x14ac:dyDescent="0.2">
      <c r="C4673" s="198"/>
      <c r="D4673" s="198"/>
      <c r="E4673" s="537"/>
      <c r="G4673" s="198"/>
      <c r="H4673" s="123"/>
    </row>
    <row r="4674" spans="3:8" s="99" customFormat="1" x14ac:dyDescent="0.2">
      <c r="C4674" s="198"/>
      <c r="D4674" s="198"/>
      <c r="E4674" s="537"/>
      <c r="G4674" s="198"/>
      <c r="H4674" s="123"/>
    </row>
    <row r="4675" spans="3:8" s="99" customFormat="1" x14ac:dyDescent="0.2">
      <c r="C4675" s="198"/>
      <c r="D4675" s="198"/>
      <c r="E4675" s="537"/>
      <c r="G4675" s="198"/>
      <c r="H4675" s="123"/>
    </row>
    <row r="4676" spans="3:8" s="99" customFormat="1" x14ac:dyDescent="0.2">
      <c r="C4676" s="198"/>
      <c r="D4676" s="198"/>
      <c r="E4676" s="537"/>
      <c r="G4676" s="198"/>
      <c r="H4676" s="123"/>
    </row>
    <row r="4677" spans="3:8" s="99" customFormat="1" x14ac:dyDescent="0.2">
      <c r="C4677" s="198"/>
      <c r="D4677" s="198"/>
      <c r="E4677" s="537"/>
      <c r="G4677" s="198"/>
      <c r="H4677" s="123"/>
    </row>
    <row r="4678" spans="3:8" s="99" customFormat="1" x14ac:dyDescent="0.2">
      <c r="C4678" s="198"/>
      <c r="D4678" s="198"/>
      <c r="E4678" s="537"/>
      <c r="G4678" s="198"/>
      <c r="H4678" s="123"/>
    </row>
    <row r="4679" spans="3:8" s="99" customFormat="1" x14ac:dyDescent="0.2">
      <c r="C4679" s="198"/>
      <c r="D4679" s="198"/>
      <c r="E4679" s="537"/>
      <c r="G4679" s="198"/>
      <c r="H4679" s="123"/>
    </row>
    <row r="4680" spans="3:8" s="99" customFormat="1" x14ac:dyDescent="0.2">
      <c r="C4680" s="198"/>
      <c r="D4680" s="198"/>
      <c r="E4680" s="537"/>
      <c r="G4680" s="198"/>
      <c r="H4680" s="123"/>
    </row>
    <row r="4681" spans="3:8" s="99" customFormat="1" x14ac:dyDescent="0.2">
      <c r="C4681" s="198"/>
      <c r="D4681" s="198"/>
      <c r="E4681" s="537"/>
      <c r="G4681" s="198"/>
      <c r="H4681" s="123"/>
    </row>
    <row r="4682" spans="3:8" s="99" customFormat="1" x14ac:dyDescent="0.2">
      <c r="C4682" s="198"/>
      <c r="D4682" s="198"/>
      <c r="E4682" s="537"/>
      <c r="G4682" s="198"/>
      <c r="H4682" s="123"/>
    </row>
    <row r="4683" spans="3:8" s="99" customFormat="1" x14ac:dyDescent="0.2">
      <c r="C4683" s="198"/>
      <c r="D4683" s="198"/>
      <c r="E4683" s="537"/>
      <c r="G4683" s="198"/>
      <c r="H4683" s="123"/>
    </row>
    <row r="4684" spans="3:8" s="99" customFormat="1" x14ac:dyDescent="0.2">
      <c r="C4684" s="198"/>
      <c r="D4684" s="198"/>
      <c r="E4684" s="537"/>
      <c r="G4684" s="198"/>
      <c r="H4684" s="123"/>
    </row>
    <row r="4685" spans="3:8" s="99" customFormat="1" x14ac:dyDescent="0.2">
      <c r="C4685" s="198"/>
      <c r="D4685" s="198"/>
      <c r="E4685" s="537"/>
      <c r="G4685" s="198"/>
      <c r="H4685" s="123"/>
    </row>
    <row r="4686" spans="3:8" s="99" customFormat="1" x14ac:dyDescent="0.2">
      <c r="C4686" s="198"/>
      <c r="D4686" s="198"/>
      <c r="E4686" s="537"/>
      <c r="G4686" s="198"/>
      <c r="H4686" s="123"/>
    </row>
    <row r="4687" spans="3:8" s="99" customFormat="1" x14ac:dyDescent="0.2">
      <c r="C4687" s="198"/>
      <c r="D4687" s="198"/>
      <c r="E4687" s="537"/>
      <c r="G4687" s="198"/>
      <c r="H4687" s="123"/>
    </row>
    <row r="4688" spans="3:8" s="99" customFormat="1" x14ac:dyDescent="0.2">
      <c r="C4688" s="198"/>
      <c r="D4688" s="198"/>
      <c r="E4688" s="537"/>
      <c r="G4688" s="198"/>
      <c r="H4688" s="123"/>
    </row>
    <row r="4689" spans="3:8" s="99" customFormat="1" x14ac:dyDescent="0.2">
      <c r="C4689" s="198"/>
      <c r="D4689" s="198"/>
      <c r="E4689" s="537"/>
      <c r="G4689" s="198"/>
      <c r="H4689" s="123"/>
    </row>
    <row r="4690" spans="3:8" s="99" customFormat="1" x14ac:dyDescent="0.2">
      <c r="C4690" s="198"/>
      <c r="D4690" s="198"/>
      <c r="E4690" s="537"/>
      <c r="G4690" s="198"/>
      <c r="H4690" s="123"/>
    </row>
    <row r="4691" spans="3:8" s="99" customFormat="1" x14ac:dyDescent="0.2">
      <c r="C4691" s="198"/>
      <c r="D4691" s="198"/>
      <c r="E4691" s="537"/>
      <c r="G4691" s="198"/>
      <c r="H4691" s="123"/>
    </row>
    <row r="4692" spans="3:8" s="99" customFormat="1" x14ac:dyDescent="0.2">
      <c r="C4692" s="198"/>
      <c r="D4692" s="198"/>
      <c r="E4692" s="537"/>
      <c r="G4692" s="198"/>
      <c r="H4692" s="123"/>
    </row>
    <row r="4693" spans="3:8" s="99" customFormat="1" x14ac:dyDescent="0.2">
      <c r="C4693" s="198"/>
      <c r="D4693" s="198"/>
      <c r="E4693" s="537"/>
      <c r="G4693" s="198"/>
      <c r="H4693" s="123"/>
    </row>
    <row r="4694" spans="3:8" s="99" customFormat="1" x14ac:dyDescent="0.2">
      <c r="C4694" s="198"/>
      <c r="D4694" s="198"/>
      <c r="E4694" s="537"/>
      <c r="G4694" s="198"/>
      <c r="H4694" s="123"/>
    </row>
    <row r="4695" spans="3:8" s="99" customFormat="1" x14ac:dyDescent="0.2">
      <c r="C4695" s="198"/>
      <c r="D4695" s="198"/>
      <c r="E4695" s="537"/>
      <c r="G4695" s="198"/>
      <c r="H4695" s="123"/>
    </row>
    <row r="4696" spans="3:8" s="99" customFormat="1" x14ac:dyDescent="0.2">
      <c r="C4696" s="198"/>
      <c r="D4696" s="198"/>
      <c r="E4696" s="537"/>
      <c r="G4696" s="198"/>
      <c r="H4696" s="123"/>
    </row>
    <row r="4697" spans="3:8" s="99" customFormat="1" x14ac:dyDescent="0.2">
      <c r="C4697" s="198"/>
      <c r="D4697" s="198"/>
      <c r="E4697" s="537"/>
      <c r="G4697" s="198"/>
      <c r="H4697" s="123"/>
    </row>
    <row r="4698" spans="3:8" s="99" customFormat="1" x14ac:dyDescent="0.2">
      <c r="C4698" s="198"/>
      <c r="D4698" s="198"/>
      <c r="E4698" s="537"/>
      <c r="G4698" s="198"/>
      <c r="H4698" s="123"/>
    </row>
    <row r="4699" spans="3:8" s="99" customFormat="1" x14ac:dyDescent="0.2">
      <c r="C4699" s="198"/>
      <c r="D4699" s="198"/>
      <c r="E4699" s="537"/>
      <c r="G4699" s="198"/>
      <c r="H4699" s="123"/>
    </row>
    <row r="4700" spans="3:8" s="99" customFormat="1" x14ac:dyDescent="0.2">
      <c r="C4700" s="198"/>
      <c r="D4700" s="198"/>
      <c r="E4700" s="537"/>
      <c r="G4700" s="198"/>
      <c r="H4700" s="123"/>
    </row>
    <row r="4701" spans="3:8" s="99" customFormat="1" x14ac:dyDescent="0.2">
      <c r="C4701" s="198"/>
      <c r="D4701" s="198"/>
      <c r="E4701" s="537"/>
      <c r="G4701" s="198"/>
      <c r="H4701" s="123"/>
    </row>
    <row r="4702" spans="3:8" s="99" customFormat="1" x14ac:dyDescent="0.2">
      <c r="C4702" s="198"/>
      <c r="D4702" s="198"/>
      <c r="E4702" s="537"/>
      <c r="G4702" s="198"/>
      <c r="H4702" s="123"/>
    </row>
    <row r="4703" spans="3:8" s="99" customFormat="1" x14ac:dyDescent="0.2">
      <c r="C4703" s="198"/>
      <c r="D4703" s="198"/>
      <c r="E4703" s="537"/>
      <c r="G4703" s="198"/>
      <c r="H4703" s="123"/>
    </row>
    <row r="4704" spans="3:8" s="99" customFormat="1" x14ac:dyDescent="0.2">
      <c r="C4704" s="198"/>
      <c r="D4704" s="198"/>
      <c r="E4704" s="537"/>
      <c r="G4704" s="198"/>
      <c r="H4704" s="123"/>
    </row>
    <row r="4705" spans="3:8" s="99" customFormat="1" x14ac:dyDescent="0.2">
      <c r="C4705" s="198"/>
      <c r="D4705" s="198"/>
      <c r="E4705" s="537"/>
      <c r="G4705" s="198"/>
      <c r="H4705" s="123"/>
    </row>
    <row r="4706" spans="3:8" s="99" customFormat="1" x14ac:dyDescent="0.2">
      <c r="C4706" s="198"/>
      <c r="D4706" s="198"/>
      <c r="E4706" s="537"/>
      <c r="G4706" s="198"/>
      <c r="H4706" s="123"/>
    </row>
    <row r="4707" spans="3:8" s="99" customFormat="1" x14ac:dyDescent="0.2">
      <c r="C4707" s="198"/>
      <c r="D4707" s="198"/>
      <c r="E4707" s="537"/>
      <c r="G4707" s="198"/>
      <c r="H4707" s="123"/>
    </row>
    <row r="4708" spans="3:8" s="99" customFormat="1" x14ac:dyDescent="0.2">
      <c r="C4708" s="198"/>
      <c r="D4708" s="198"/>
      <c r="E4708" s="537"/>
      <c r="G4708" s="198"/>
      <c r="H4708" s="123"/>
    </row>
    <row r="4709" spans="3:8" s="99" customFormat="1" x14ac:dyDescent="0.2">
      <c r="C4709" s="198"/>
      <c r="D4709" s="198"/>
      <c r="E4709" s="537"/>
      <c r="G4709" s="198"/>
      <c r="H4709" s="123"/>
    </row>
    <row r="4710" spans="3:8" s="99" customFormat="1" x14ac:dyDescent="0.2">
      <c r="C4710" s="198"/>
      <c r="D4710" s="198"/>
      <c r="E4710" s="537"/>
      <c r="G4710" s="198"/>
      <c r="H4710" s="123"/>
    </row>
    <row r="4711" spans="3:8" s="99" customFormat="1" x14ac:dyDescent="0.2">
      <c r="C4711" s="198"/>
      <c r="D4711" s="198"/>
      <c r="E4711" s="537"/>
      <c r="G4711" s="198"/>
      <c r="H4711" s="123"/>
    </row>
    <row r="4712" spans="3:8" s="99" customFormat="1" x14ac:dyDescent="0.2">
      <c r="C4712" s="198"/>
      <c r="D4712" s="198"/>
      <c r="E4712" s="537"/>
      <c r="G4712" s="198"/>
      <c r="H4712" s="123"/>
    </row>
    <row r="4713" spans="3:8" s="99" customFormat="1" x14ac:dyDescent="0.2">
      <c r="C4713" s="198"/>
      <c r="D4713" s="198"/>
      <c r="E4713" s="537"/>
      <c r="G4713" s="198"/>
      <c r="H4713" s="123"/>
    </row>
    <row r="4714" spans="3:8" s="99" customFormat="1" x14ac:dyDescent="0.2">
      <c r="C4714" s="198"/>
      <c r="D4714" s="198"/>
      <c r="E4714" s="537"/>
      <c r="G4714" s="198"/>
      <c r="H4714" s="123"/>
    </row>
    <row r="4715" spans="3:8" s="99" customFormat="1" x14ac:dyDescent="0.2">
      <c r="C4715" s="198"/>
      <c r="D4715" s="198"/>
      <c r="E4715" s="537"/>
      <c r="G4715" s="198"/>
      <c r="H4715" s="123"/>
    </row>
    <row r="4716" spans="3:8" s="99" customFormat="1" x14ac:dyDescent="0.2">
      <c r="C4716" s="198"/>
      <c r="D4716" s="198"/>
      <c r="E4716" s="537"/>
      <c r="G4716" s="198"/>
      <c r="H4716" s="123"/>
    </row>
    <row r="4717" spans="3:8" s="99" customFormat="1" x14ac:dyDescent="0.2">
      <c r="C4717" s="198"/>
      <c r="D4717" s="198"/>
      <c r="E4717" s="537"/>
      <c r="G4717" s="198"/>
      <c r="H4717" s="123"/>
    </row>
    <row r="4718" spans="3:8" s="99" customFormat="1" x14ac:dyDescent="0.2">
      <c r="C4718" s="198"/>
      <c r="D4718" s="198"/>
      <c r="E4718" s="537"/>
      <c r="G4718" s="198"/>
      <c r="H4718" s="123"/>
    </row>
    <row r="4719" spans="3:8" s="99" customFormat="1" x14ac:dyDescent="0.2">
      <c r="C4719" s="198"/>
      <c r="D4719" s="198"/>
      <c r="E4719" s="537"/>
      <c r="G4719" s="198"/>
      <c r="H4719" s="123"/>
    </row>
    <row r="4720" spans="3:8" s="99" customFormat="1" x14ac:dyDescent="0.2">
      <c r="C4720" s="198"/>
      <c r="D4720" s="198"/>
      <c r="E4720" s="537"/>
      <c r="G4720" s="198"/>
      <c r="H4720" s="123"/>
    </row>
    <row r="4721" spans="3:8" s="99" customFormat="1" x14ac:dyDescent="0.2">
      <c r="C4721" s="198"/>
      <c r="D4721" s="198"/>
      <c r="E4721" s="537"/>
      <c r="G4721" s="198"/>
      <c r="H4721" s="123"/>
    </row>
    <row r="4722" spans="3:8" s="99" customFormat="1" x14ac:dyDescent="0.2">
      <c r="C4722" s="198"/>
      <c r="D4722" s="198"/>
      <c r="E4722" s="537"/>
      <c r="G4722" s="198"/>
      <c r="H4722" s="123"/>
    </row>
    <row r="4723" spans="3:8" s="99" customFormat="1" x14ac:dyDescent="0.2">
      <c r="C4723" s="198"/>
      <c r="D4723" s="198"/>
      <c r="E4723" s="537"/>
      <c r="G4723" s="198"/>
      <c r="H4723" s="123"/>
    </row>
    <row r="4724" spans="3:8" s="99" customFormat="1" x14ac:dyDescent="0.2">
      <c r="C4724" s="198"/>
      <c r="D4724" s="198"/>
      <c r="E4724" s="537"/>
      <c r="G4724" s="198"/>
      <c r="H4724" s="123"/>
    </row>
    <row r="4725" spans="3:8" s="99" customFormat="1" x14ac:dyDescent="0.2">
      <c r="C4725" s="198"/>
      <c r="D4725" s="198"/>
      <c r="E4725" s="537"/>
      <c r="G4725" s="198"/>
      <c r="H4725" s="123"/>
    </row>
    <row r="4726" spans="3:8" s="99" customFormat="1" x14ac:dyDescent="0.2">
      <c r="C4726" s="198"/>
      <c r="D4726" s="198"/>
      <c r="E4726" s="537"/>
      <c r="G4726" s="198"/>
      <c r="H4726" s="123"/>
    </row>
    <row r="4727" spans="3:8" s="99" customFormat="1" x14ac:dyDescent="0.2">
      <c r="C4727" s="198"/>
      <c r="D4727" s="198"/>
      <c r="E4727" s="537"/>
      <c r="G4727" s="198"/>
      <c r="H4727" s="123"/>
    </row>
    <row r="4728" spans="3:8" s="99" customFormat="1" x14ac:dyDescent="0.2">
      <c r="C4728" s="198"/>
      <c r="D4728" s="198"/>
      <c r="E4728" s="537"/>
      <c r="G4728" s="198"/>
      <c r="H4728" s="123"/>
    </row>
    <row r="4729" spans="3:8" s="99" customFormat="1" x14ac:dyDescent="0.2">
      <c r="C4729" s="198"/>
      <c r="D4729" s="198"/>
      <c r="E4729" s="537"/>
      <c r="G4729" s="198"/>
      <c r="H4729" s="123"/>
    </row>
    <row r="4730" spans="3:8" s="99" customFormat="1" x14ac:dyDescent="0.2">
      <c r="C4730" s="198"/>
      <c r="D4730" s="198"/>
      <c r="E4730" s="537"/>
      <c r="G4730" s="198"/>
      <c r="H4730" s="123"/>
    </row>
    <row r="4731" spans="3:8" s="99" customFormat="1" x14ac:dyDescent="0.2">
      <c r="C4731" s="198"/>
      <c r="D4731" s="198"/>
      <c r="E4731" s="537"/>
      <c r="G4731" s="198"/>
      <c r="H4731" s="123"/>
    </row>
    <row r="4732" spans="3:8" s="99" customFormat="1" x14ac:dyDescent="0.2">
      <c r="C4732" s="198"/>
      <c r="D4732" s="198"/>
      <c r="E4732" s="537"/>
      <c r="G4732" s="198"/>
      <c r="H4732" s="123"/>
    </row>
    <row r="4733" spans="3:8" s="99" customFormat="1" x14ac:dyDescent="0.2">
      <c r="C4733" s="198"/>
      <c r="D4733" s="198"/>
      <c r="E4733" s="537"/>
      <c r="G4733" s="198"/>
      <c r="H4733" s="123"/>
    </row>
    <row r="4734" spans="3:8" s="99" customFormat="1" x14ac:dyDescent="0.2">
      <c r="C4734" s="198"/>
      <c r="D4734" s="198"/>
      <c r="E4734" s="537"/>
      <c r="G4734" s="198"/>
      <c r="H4734" s="123"/>
    </row>
    <row r="4735" spans="3:8" s="99" customFormat="1" x14ac:dyDescent="0.2">
      <c r="C4735" s="198"/>
      <c r="D4735" s="198"/>
      <c r="E4735" s="537"/>
      <c r="G4735" s="198"/>
      <c r="H4735" s="123"/>
    </row>
    <row r="4736" spans="3:8" s="99" customFormat="1" x14ac:dyDescent="0.2">
      <c r="C4736" s="198"/>
      <c r="D4736" s="198"/>
      <c r="E4736" s="537"/>
      <c r="G4736" s="198"/>
      <c r="H4736" s="123"/>
    </row>
    <row r="4737" spans="3:8" s="99" customFormat="1" x14ac:dyDescent="0.2">
      <c r="C4737" s="198"/>
      <c r="D4737" s="198"/>
      <c r="E4737" s="537"/>
      <c r="G4737" s="198"/>
      <c r="H4737" s="123"/>
    </row>
    <row r="4738" spans="3:8" s="99" customFormat="1" x14ac:dyDescent="0.2">
      <c r="C4738" s="198"/>
      <c r="D4738" s="198"/>
      <c r="E4738" s="537"/>
      <c r="G4738" s="198"/>
      <c r="H4738" s="123"/>
    </row>
    <row r="4739" spans="3:8" s="99" customFormat="1" x14ac:dyDescent="0.2">
      <c r="C4739" s="198"/>
      <c r="D4739" s="198"/>
      <c r="E4739" s="537"/>
      <c r="G4739" s="198"/>
      <c r="H4739" s="123"/>
    </row>
    <row r="4740" spans="3:8" s="99" customFormat="1" x14ac:dyDescent="0.2">
      <c r="C4740" s="198"/>
      <c r="D4740" s="198"/>
      <c r="E4740" s="537"/>
      <c r="G4740" s="198"/>
      <c r="H4740" s="123"/>
    </row>
    <row r="4741" spans="3:8" s="99" customFormat="1" x14ac:dyDescent="0.2">
      <c r="C4741" s="198"/>
      <c r="D4741" s="198"/>
      <c r="E4741" s="537"/>
      <c r="G4741" s="198"/>
      <c r="H4741" s="123"/>
    </row>
    <row r="4742" spans="3:8" s="99" customFormat="1" x14ac:dyDescent="0.2">
      <c r="C4742" s="198"/>
      <c r="D4742" s="198"/>
      <c r="E4742" s="537"/>
      <c r="G4742" s="198"/>
      <c r="H4742" s="123"/>
    </row>
    <row r="4743" spans="3:8" s="99" customFormat="1" x14ac:dyDescent="0.2">
      <c r="C4743" s="198"/>
      <c r="D4743" s="198"/>
      <c r="E4743" s="537"/>
      <c r="G4743" s="198"/>
      <c r="H4743" s="123"/>
    </row>
    <row r="4744" spans="3:8" s="99" customFormat="1" x14ac:dyDescent="0.2">
      <c r="C4744" s="198"/>
      <c r="D4744" s="198"/>
      <c r="E4744" s="537"/>
      <c r="G4744" s="198"/>
      <c r="H4744" s="123"/>
    </row>
    <row r="4745" spans="3:8" s="99" customFormat="1" x14ac:dyDescent="0.2">
      <c r="C4745" s="198"/>
      <c r="D4745" s="198"/>
      <c r="E4745" s="537"/>
      <c r="G4745" s="198"/>
      <c r="H4745" s="123"/>
    </row>
    <row r="4746" spans="3:8" s="99" customFormat="1" x14ac:dyDescent="0.2">
      <c r="C4746" s="198"/>
      <c r="D4746" s="198"/>
      <c r="E4746" s="537"/>
      <c r="G4746" s="198"/>
      <c r="H4746" s="123"/>
    </row>
    <row r="4747" spans="3:8" s="99" customFormat="1" x14ac:dyDescent="0.2">
      <c r="C4747" s="198"/>
      <c r="D4747" s="198"/>
      <c r="E4747" s="537"/>
      <c r="G4747" s="198"/>
      <c r="H4747" s="123"/>
    </row>
    <row r="4748" spans="3:8" s="99" customFormat="1" x14ac:dyDescent="0.2">
      <c r="C4748" s="198"/>
      <c r="D4748" s="198"/>
      <c r="E4748" s="537"/>
      <c r="G4748" s="198"/>
      <c r="H4748" s="123"/>
    </row>
    <row r="4749" spans="3:8" s="99" customFormat="1" x14ac:dyDescent="0.2">
      <c r="C4749" s="198"/>
      <c r="D4749" s="198"/>
      <c r="E4749" s="537"/>
      <c r="G4749" s="198"/>
      <c r="H4749" s="123"/>
    </row>
    <row r="4750" spans="3:8" s="99" customFormat="1" x14ac:dyDescent="0.2">
      <c r="C4750" s="198"/>
      <c r="D4750" s="198"/>
      <c r="E4750" s="537"/>
      <c r="G4750" s="198"/>
      <c r="H4750" s="123"/>
    </row>
    <row r="4751" spans="3:8" s="99" customFormat="1" x14ac:dyDescent="0.2">
      <c r="C4751" s="198"/>
      <c r="D4751" s="198"/>
      <c r="E4751" s="537"/>
      <c r="G4751" s="198"/>
      <c r="H4751" s="123"/>
    </row>
    <row r="4752" spans="3:8" s="99" customFormat="1" x14ac:dyDescent="0.2">
      <c r="C4752" s="198"/>
      <c r="D4752" s="198"/>
      <c r="E4752" s="537"/>
      <c r="G4752" s="198"/>
      <c r="H4752" s="123"/>
    </row>
    <row r="4753" spans="3:8" s="99" customFormat="1" x14ac:dyDescent="0.2">
      <c r="C4753" s="198"/>
      <c r="D4753" s="198"/>
      <c r="E4753" s="537"/>
      <c r="G4753" s="198"/>
      <c r="H4753" s="123"/>
    </row>
    <row r="4754" spans="3:8" s="99" customFormat="1" x14ac:dyDescent="0.2">
      <c r="C4754" s="198"/>
      <c r="D4754" s="198"/>
      <c r="E4754" s="537"/>
      <c r="G4754" s="198"/>
      <c r="H4754" s="123"/>
    </row>
    <row r="4755" spans="3:8" s="99" customFormat="1" x14ac:dyDescent="0.2">
      <c r="C4755" s="198"/>
      <c r="D4755" s="198"/>
      <c r="E4755" s="537"/>
      <c r="G4755" s="198"/>
      <c r="H4755" s="123"/>
    </row>
    <row r="4756" spans="3:8" s="99" customFormat="1" x14ac:dyDescent="0.2">
      <c r="C4756" s="198"/>
      <c r="D4756" s="198"/>
      <c r="E4756" s="537"/>
      <c r="G4756" s="198"/>
      <c r="H4756" s="123"/>
    </row>
    <row r="4757" spans="3:8" s="99" customFormat="1" x14ac:dyDescent="0.2">
      <c r="C4757" s="198"/>
      <c r="D4757" s="198"/>
      <c r="E4757" s="537"/>
      <c r="G4757" s="198"/>
      <c r="H4757" s="123"/>
    </row>
    <row r="4758" spans="3:8" s="99" customFormat="1" x14ac:dyDescent="0.2">
      <c r="C4758" s="198"/>
      <c r="D4758" s="198"/>
      <c r="E4758" s="537"/>
      <c r="G4758" s="198"/>
      <c r="H4758" s="123"/>
    </row>
    <row r="4759" spans="3:8" s="99" customFormat="1" x14ac:dyDescent="0.2">
      <c r="C4759" s="198"/>
      <c r="D4759" s="198"/>
      <c r="E4759" s="537"/>
      <c r="G4759" s="198"/>
      <c r="H4759" s="123"/>
    </row>
    <row r="4760" spans="3:8" s="99" customFormat="1" x14ac:dyDescent="0.2">
      <c r="C4760" s="198"/>
      <c r="D4760" s="198"/>
      <c r="E4760" s="537"/>
      <c r="G4760" s="198"/>
      <c r="H4760" s="123"/>
    </row>
    <row r="4761" spans="3:8" s="99" customFormat="1" x14ac:dyDescent="0.2">
      <c r="C4761" s="198"/>
      <c r="D4761" s="198"/>
      <c r="E4761" s="537"/>
      <c r="G4761" s="198"/>
      <c r="H4761" s="123"/>
    </row>
    <row r="4762" spans="3:8" s="99" customFormat="1" x14ac:dyDescent="0.2">
      <c r="C4762" s="198"/>
      <c r="D4762" s="198"/>
      <c r="E4762" s="537"/>
      <c r="G4762" s="198"/>
      <c r="H4762" s="123"/>
    </row>
    <row r="4763" spans="3:8" s="99" customFormat="1" x14ac:dyDescent="0.2">
      <c r="C4763" s="198"/>
      <c r="D4763" s="198"/>
      <c r="E4763" s="537"/>
      <c r="G4763" s="198"/>
      <c r="H4763" s="123"/>
    </row>
    <row r="4764" spans="3:8" s="99" customFormat="1" x14ac:dyDescent="0.2">
      <c r="C4764" s="198"/>
      <c r="D4764" s="198"/>
      <c r="E4764" s="537"/>
      <c r="G4764" s="198"/>
      <c r="H4764" s="123"/>
    </row>
    <row r="4765" spans="3:8" s="99" customFormat="1" x14ac:dyDescent="0.2">
      <c r="C4765" s="198"/>
      <c r="D4765" s="198"/>
      <c r="E4765" s="537"/>
      <c r="G4765" s="198"/>
      <c r="H4765" s="123"/>
    </row>
    <row r="4766" spans="3:8" s="99" customFormat="1" x14ac:dyDescent="0.2">
      <c r="C4766" s="198"/>
      <c r="D4766" s="198"/>
      <c r="E4766" s="537"/>
      <c r="G4766" s="198"/>
      <c r="H4766" s="123"/>
    </row>
    <row r="4767" spans="3:8" s="99" customFormat="1" x14ac:dyDescent="0.2">
      <c r="C4767" s="198"/>
      <c r="D4767" s="198"/>
      <c r="E4767" s="537"/>
      <c r="G4767" s="198"/>
      <c r="H4767" s="123"/>
    </row>
    <row r="4768" spans="3:8" s="99" customFormat="1" x14ac:dyDescent="0.2">
      <c r="C4768" s="198"/>
      <c r="D4768" s="198"/>
      <c r="E4768" s="537"/>
      <c r="G4768" s="198"/>
      <c r="H4768" s="123"/>
    </row>
    <row r="4769" spans="3:8" s="99" customFormat="1" x14ac:dyDescent="0.2">
      <c r="C4769" s="198"/>
      <c r="D4769" s="198"/>
      <c r="E4769" s="537"/>
      <c r="G4769" s="198"/>
      <c r="H4769" s="123"/>
    </row>
    <row r="4770" spans="3:8" s="99" customFormat="1" x14ac:dyDescent="0.2">
      <c r="C4770" s="198"/>
      <c r="D4770" s="198"/>
      <c r="E4770" s="537"/>
      <c r="G4770" s="198"/>
      <c r="H4770" s="123"/>
    </row>
    <row r="4771" spans="3:8" s="99" customFormat="1" x14ac:dyDescent="0.2">
      <c r="C4771" s="198"/>
      <c r="D4771" s="198"/>
      <c r="E4771" s="537"/>
      <c r="G4771" s="198"/>
      <c r="H4771" s="123"/>
    </row>
    <row r="4772" spans="3:8" s="99" customFormat="1" x14ac:dyDescent="0.2">
      <c r="C4772" s="198"/>
      <c r="D4772" s="198"/>
      <c r="E4772" s="537"/>
      <c r="G4772" s="198"/>
      <c r="H4772" s="123"/>
    </row>
    <row r="4773" spans="3:8" s="99" customFormat="1" x14ac:dyDescent="0.2">
      <c r="C4773" s="198"/>
      <c r="D4773" s="198"/>
      <c r="E4773" s="537"/>
      <c r="G4773" s="198"/>
      <c r="H4773" s="123"/>
    </row>
    <row r="4774" spans="3:8" s="99" customFormat="1" x14ac:dyDescent="0.2">
      <c r="C4774" s="198"/>
      <c r="D4774" s="198"/>
      <c r="E4774" s="537"/>
      <c r="G4774" s="198"/>
      <c r="H4774" s="123"/>
    </row>
    <row r="4775" spans="3:8" s="99" customFormat="1" x14ac:dyDescent="0.2">
      <c r="C4775" s="198"/>
      <c r="D4775" s="198"/>
      <c r="E4775" s="537"/>
      <c r="G4775" s="198"/>
      <c r="H4775" s="123"/>
    </row>
    <row r="4776" spans="3:8" s="99" customFormat="1" x14ac:dyDescent="0.2">
      <c r="C4776" s="198"/>
      <c r="D4776" s="198"/>
      <c r="E4776" s="537"/>
      <c r="G4776" s="198"/>
      <c r="H4776" s="123"/>
    </row>
    <row r="4777" spans="3:8" s="99" customFormat="1" x14ac:dyDescent="0.2">
      <c r="C4777" s="198"/>
      <c r="D4777" s="198"/>
      <c r="E4777" s="537"/>
      <c r="G4777" s="198"/>
      <c r="H4777" s="123"/>
    </row>
    <row r="4778" spans="3:8" s="99" customFormat="1" x14ac:dyDescent="0.2">
      <c r="C4778" s="198"/>
      <c r="D4778" s="198"/>
      <c r="E4778" s="537"/>
      <c r="G4778" s="198"/>
      <c r="H4778" s="123"/>
    </row>
    <row r="4779" spans="3:8" s="99" customFormat="1" x14ac:dyDescent="0.2">
      <c r="C4779" s="198"/>
      <c r="D4779" s="198"/>
      <c r="E4779" s="537"/>
      <c r="G4779" s="198"/>
      <c r="H4779" s="123"/>
    </row>
    <row r="4780" spans="3:8" s="99" customFormat="1" x14ac:dyDescent="0.2">
      <c r="C4780" s="198"/>
      <c r="D4780" s="198"/>
      <c r="E4780" s="537"/>
      <c r="G4780" s="198"/>
      <c r="H4780" s="123"/>
    </row>
    <row r="4781" spans="3:8" s="99" customFormat="1" x14ac:dyDescent="0.2">
      <c r="C4781" s="198"/>
      <c r="D4781" s="198"/>
      <c r="E4781" s="537"/>
      <c r="G4781" s="198"/>
      <c r="H4781" s="123"/>
    </row>
    <row r="4782" spans="3:8" s="99" customFormat="1" x14ac:dyDescent="0.2">
      <c r="C4782" s="198"/>
      <c r="D4782" s="198"/>
      <c r="E4782" s="537"/>
      <c r="G4782" s="198"/>
      <c r="H4782" s="123"/>
    </row>
    <row r="4783" spans="3:8" s="99" customFormat="1" x14ac:dyDescent="0.2">
      <c r="C4783" s="198"/>
      <c r="D4783" s="198"/>
      <c r="E4783" s="537"/>
      <c r="G4783" s="198"/>
      <c r="H4783" s="123"/>
    </row>
    <row r="4784" spans="3:8" s="99" customFormat="1" x14ac:dyDescent="0.2">
      <c r="C4784" s="198"/>
      <c r="D4784" s="198"/>
      <c r="E4784" s="537"/>
      <c r="G4784" s="198"/>
      <c r="H4784" s="123"/>
    </row>
    <row r="4785" spans="3:8" s="99" customFormat="1" x14ac:dyDescent="0.2">
      <c r="C4785" s="198"/>
      <c r="D4785" s="198"/>
      <c r="E4785" s="537"/>
      <c r="G4785" s="198"/>
      <c r="H4785" s="123"/>
    </row>
    <row r="4786" spans="3:8" s="99" customFormat="1" x14ac:dyDescent="0.2">
      <c r="C4786" s="198"/>
      <c r="D4786" s="198"/>
      <c r="E4786" s="537"/>
      <c r="G4786" s="198"/>
      <c r="H4786" s="123"/>
    </row>
    <row r="4787" spans="3:8" s="99" customFormat="1" x14ac:dyDescent="0.2">
      <c r="C4787" s="198"/>
      <c r="D4787" s="198"/>
      <c r="E4787" s="537"/>
      <c r="G4787" s="198"/>
      <c r="H4787" s="123"/>
    </row>
    <row r="4788" spans="3:8" s="99" customFormat="1" x14ac:dyDescent="0.2">
      <c r="C4788" s="198"/>
      <c r="D4788" s="198"/>
      <c r="E4788" s="537"/>
      <c r="G4788" s="198"/>
      <c r="H4788" s="123"/>
    </row>
    <row r="4789" spans="3:8" s="99" customFormat="1" x14ac:dyDescent="0.2">
      <c r="C4789" s="198"/>
      <c r="D4789" s="198"/>
      <c r="E4789" s="537"/>
      <c r="G4789" s="198"/>
      <c r="H4789" s="123"/>
    </row>
    <row r="4790" spans="3:8" s="99" customFormat="1" x14ac:dyDescent="0.2">
      <c r="C4790" s="198"/>
      <c r="D4790" s="198"/>
      <c r="E4790" s="537"/>
      <c r="G4790" s="198"/>
      <c r="H4790" s="123"/>
    </row>
    <row r="4791" spans="3:8" s="99" customFormat="1" x14ac:dyDescent="0.2">
      <c r="C4791" s="198"/>
      <c r="D4791" s="198"/>
      <c r="E4791" s="537"/>
      <c r="G4791" s="198"/>
      <c r="H4791" s="123"/>
    </row>
    <row r="4792" spans="3:8" s="99" customFormat="1" x14ac:dyDescent="0.2">
      <c r="C4792" s="198"/>
      <c r="D4792" s="198"/>
      <c r="E4792" s="537"/>
      <c r="G4792" s="198"/>
      <c r="H4792" s="123"/>
    </row>
    <row r="4793" spans="3:8" s="99" customFormat="1" x14ac:dyDescent="0.2">
      <c r="C4793" s="198"/>
      <c r="D4793" s="198"/>
      <c r="E4793" s="537"/>
      <c r="G4793" s="198"/>
      <c r="H4793" s="123"/>
    </row>
    <row r="4794" spans="3:8" s="99" customFormat="1" x14ac:dyDescent="0.2">
      <c r="C4794" s="198"/>
      <c r="D4794" s="198"/>
      <c r="E4794" s="537"/>
      <c r="G4794" s="198"/>
      <c r="H4794" s="123"/>
    </row>
    <row r="4795" spans="3:8" s="99" customFormat="1" x14ac:dyDescent="0.2">
      <c r="C4795" s="198"/>
      <c r="D4795" s="198"/>
      <c r="E4795" s="537"/>
      <c r="G4795" s="198"/>
      <c r="H4795" s="123"/>
    </row>
    <row r="4796" spans="3:8" s="99" customFormat="1" x14ac:dyDescent="0.2">
      <c r="C4796" s="198"/>
      <c r="D4796" s="198"/>
      <c r="E4796" s="537"/>
      <c r="G4796" s="198"/>
      <c r="H4796" s="123"/>
    </row>
    <row r="4797" spans="3:8" s="99" customFormat="1" x14ac:dyDescent="0.2">
      <c r="C4797" s="198"/>
      <c r="D4797" s="198"/>
      <c r="E4797" s="537"/>
      <c r="G4797" s="198"/>
      <c r="H4797" s="123"/>
    </row>
    <row r="4798" spans="3:8" s="99" customFormat="1" x14ac:dyDescent="0.2">
      <c r="C4798" s="198"/>
      <c r="D4798" s="198"/>
      <c r="E4798" s="537"/>
      <c r="G4798" s="198"/>
      <c r="H4798" s="123"/>
    </row>
    <row r="4799" spans="3:8" s="99" customFormat="1" x14ac:dyDescent="0.2">
      <c r="C4799" s="198"/>
      <c r="D4799" s="198"/>
      <c r="E4799" s="537"/>
      <c r="G4799" s="198"/>
      <c r="H4799" s="123"/>
    </row>
    <row r="4800" spans="3:8" s="99" customFormat="1" x14ac:dyDescent="0.2">
      <c r="C4800" s="198"/>
      <c r="D4800" s="198"/>
      <c r="E4800" s="537"/>
      <c r="G4800" s="198"/>
      <c r="H4800" s="123"/>
    </row>
    <row r="4801" spans="3:8" s="99" customFormat="1" x14ac:dyDescent="0.2">
      <c r="C4801" s="198"/>
      <c r="D4801" s="198"/>
      <c r="E4801" s="537"/>
      <c r="G4801" s="198"/>
      <c r="H4801" s="123"/>
    </row>
    <row r="4802" spans="3:8" s="99" customFormat="1" x14ac:dyDescent="0.2">
      <c r="C4802" s="198"/>
      <c r="D4802" s="198"/>
      <c r="E4802" s="537"/>
      <c r="G4802" s="198"/>
      <c r="H4802" s="123"/>
    </row>
    <row r="4803" spans="3:8" s="99" customFormat="1" x14ac:dyDescent="0.2">
      <c r="C4803" s="198"/>
      <c r="D4803" s="198"/>
      <c r="E4803" s="537"/>
      <c r="G4803" s="198"/>
      <c r="H4803" s="123"/>
    </row>
    <row r="4804" spans="3:8" s="99" customFormat="1" x14ac:dyDescent="0.2">
      <c r="C4804" s="198"/>
      <c r="D4804" s="198"/>
      <c r="E4804" s="537"/>
      <c r="G4804" s="198"/>
      <c r="H4804" s="123"/>
    </row>
    <row r="4805" spans="3:8" s="99" customFormat="1" x14ac:dyDescent="0.2">
      <c r="C4805" s="198"/>
      <c r="D4805" s="198"/>
      <c r="E4805" s="537"/>
      <c r="G4805" s="198"/>
      <c r="H4805" s="123"/>
    </row>
    <row r="4806" spans="3:8" s="99" customFormat="1" x14ac:dyDescent="0.2">
      <c r="C4806" s="198"/>
      <c r="D4806" s="198"/>
      <c r="E4806" s="537"/>
      <c r="G4806" s="198"/>
      <c r="H4806" s="123"/>
    </row>
    <row r="4807" spans="3:8" s="99" customFormat="1" x14ac:dyDescent="0.2">
      <c r="C4807" s="198"/>
      <c r="D4807" s="198"/>
      <c r="E4807" s="537"/>
      <c r="G4807" s="198"/>
      <c r="H4807" s="123"/>
    </row>
    <row r="4808" spans="3:8" s="99" customFormat="1" x14ac:dyDescent="0.2">
      <c r="C4808" s="198"/>
      <c r="D4808" s="198"/>
      <c r="E4808" s="537"/>
      <c r="G4808" s="198"/>
      <c r="H4808" s="123"/>
    </row>
    <row r="4809" spans="3:8" s="99" customFormat="1" x14ac:dyDescent="0.2">
      <c r="C4809" s="198"/>
      <c r="D4809" s="198"/>
      <c r="E4809" s="537"/>
      <c r="G4809" s="198"/>
      <c r="H4809" s="123"/>
    </row>
    <row r="4810" spans="3:8" s="99" customFormat="1" x14ac:dyDescent="0.2">
      <c r="C4810" s="198"/>
      <c r="D4810" s="198"/>
      <c r="E4810" s="537"/>
      <c r="G4810" s="198"/>
      <c r="H4810" s="123"/>
    </row>
    <row r="4811" spans="3:8" s="99" customFormat="1" x14ac:dyDescent="0.2">
      <c r="C4811" s="198"/>
      <c r="D4811" s="198"/>
      <c r="E4811" s="537"/>
      <c r="G4811" s="198"/>
      <c r="H4811" s="123"/>
    </row>
    <row r="4812" spans="3:8" s="99" customFormat="1" x14ac:dyDescent="0.2">
      <c r="C4812" s="198"/>
      <c r="D4812" s="198"/>
      <c r="E4812" s="537"/>
      <c r="G4812" s="198"/>
      <c r="H4812" s="123"/>
    </row>
    <row r="4813" spans="3:8" s="99" customFormat="1" x14ac:dyDescent="0.2">
      <c r="C4813" s="198"/>
      <c r="D4813" s="198"/>
      <c r="E4813" s="537"/>
      <c r="G4813" s="198"/>
      <c r="H4813" s="123"/>
    </row>
    <row r="4814" spans="3:8" s="99" customFormat="1" x14ac:dyDescent="0.2">
      <c r="C4814" s="198"/>
      <c r="D4814" s="198"/>
      <c r="E4814" s="537"/>
      <c r="G4814" s="198"/>
      <c r="H4814" s="123"/>
    </row>
    <row r="4815" spans="3:8" s="99" customFormat="1" x14ac:dyDescent="0.2">
      <c r="C4815" s="198"/>
      <c r="D4815" s="198"/>
      <c r="E4815" s="537"/>
      <c r="G4815" s="198"/>
      <c r="H4815" s="123"/>
    </row>
    <row r="4816" spans="3:8" s="99" customFormat="1" x14ac:dyDescent="0.2">
      <c r="C4816" s="198"/>
      <c r="D4816" s="198"/>
      <c r="E4816" s="537"/>
      <c r="G4816" s="198"/>
      <c r="H4816" s="123"/>
    </row>
    <row r="4817" spans="3:8" s="99" customFormat="1" x14ac:dyDescent="0.2">
      <c r="C4817" s="198"/>
      <c r="D4817" s="198"/>
      <c r="E4817" s="537"/>
      <c r="G4817" s="198"/>
      <c r="H4817" s="123"/>
    </row>
    <row r="4818" spans="3:8" s="99" customFormat="1" x14ac:dyDescent="0.2">
      <c r="C4818" s="198"/>
      <c r="D4818" s="198"/>
      <c r="E4818" s="537"/>
      <c r="G4818" s="198"/>
      <c r="H4818" s="123"/>
    </row>
    <row r="4819" spans="3:8" s="99" customFormat="1" x14ac:dyDescent="0.2">
      <c r="C4819" s="198"/>
      <c r="D4819" s="198"/>
      <c r="E4819" s="537"/>
      <c r="G4819" s="198"/>
      <c r="H4819" s="123"/>
    </row>
    <row r="4820" spans="3:8" s="99" customFormat="1" x14ac:dyDescent="0.2">
      <c r="C4820" s="198"/>
      <c r="D4820" s="198"/>
      <c r="E4820" s="537"/>
      <c r="G4820" s="198"/>
      <c r="H4820" s="123"/>
    </row>
    <row r="4821" spans="3:8" s="99" customFormat="1" x14ac:dyDescent="0.2">
      <c r="C4821" s="198"/>
      <c r="D4821" s="198"/>
      <c r="E4821" s="537"/>
      <c r="G4821" s="198"/>
      <c r="H4821" s="123"/>
    </row>
    <row r="4822" spans="3:8" s="99" customFormat="1" x14ac:dyDescent="0.2">
      <c r="C4822" s="198"/>
      <c r="D4822" s="198"/>
      <c r="E4822" s="537"/>
      <c r="G4822" s="198"/>
      <c r="H4822" s="123"/>
    </row>
    <row r="4823" spans="3:8" s="99" customFormat="1" x14ac:dyDescent="0.2">
      <c r="C4823" s="198"/>
      <c r="D4823" s="198"/>
      <c r="E4823" s="537"/>
      <c r="G4823" s="198"/>
      <c r="H4823" s="123"/>
    </row>
    <row r="4824" spans="3:8" s="99" customFormat="1" x14ac:dyDescent="0.2">
      <c r="C4824" s="198"/>
      <c r="D4824" s="198"/>
      <c r="E4824" s="537"/>
      <c r="G4824" s="198"/>
      <c r="H4824" s="123"/>
    </row>
    <row r="4825" spans="3:8" s="99" customFormat="1" x14ac:dyDescent="0.2">
      <c r="C4825" s="198"/>
      <c r="D4825" s="198"/>
      <c r="E4825" s="537"/>
      <c r="G4825" s="198"/>
      <c r="H4825" s="123"/>
    </row>
    <row r="4826" spans="3:8" s="99" customFormat="1" x14ac:dyDescent="0.2">
      <c r="C4826" s="198"/>
      <c r="D4826" s="198"/>
      <c r="E4826" s="537"/>
      <c r="G4826" s="198"/>
      <c r="H4826" s="123"/>
    </row>
    <row r="4827" spans="3:8" s="99" customFormat="1" x14ac:dyDescent="0.2">
      <c r="C4827" s="198"/>
      <c r="D4827" s="198"/>
      <c r="E4827" s="537"/>
      <c r="G4827" s="198"/>
      <c r="H4827" s="123"/>
    </row>
    <row r="4828" spans="3:8" s="99" customFormat="1" x14ac:dyDescent="0.2">
      <c r="C4828" s="198"/>
      <c r="D4828" s="198"/>
      <c r="E4828" s="537"/>
      <c r="G4828" s="198"/>
      <c r="H4828" s="123"/>
    </row>
    <row r="4829" spans="3:8" s="99" customFormat="1" x14ac:dyDescent="0.2">
      <c r="C4829" s="198"/>
      <c r="D4829" s="198"/>
      <c r="E4829" s="537"/>
      <c r="G4829" s="198"/>
      <c r="H4829" s="123"/>
    </row>
    <row r="4830" spans="3:8" s="99" customFormat="1" x14ac:dyDescent="0.2">
      <c r="C4830" s="198"/>
      <c r="D4830" s="198"/>
      <c r="E4830" s="537"/>
      <c r="G4830" s="198"/>
      <c r="H4830" s="123"/>
    </row>
    <row r="4831" spans="3:8" s="99" customFormat="1" x14ac:dyDescent="0.2">
      <c r="C4831" s="198"/>
      <c r="D4831" s="198"/>
      <c r="E4831" s="537"/>
      <c r="G4831" s="198"/>
      <c r="H4831" s="123"/>
    </row>
    <row r="4832" spans="3:8" s="99" customFormat="1" x14ac:dyDescent="0.2">
      <c r="C4832" s="198"/>
      <c r="D4832" s="198"/>
      <c r="E4832" s="537"/>
      <c r="G4832" s="198"/>
      <c r="H4832" s="123"/>
    </row>
    <row r="4833" spans="3:8" s="99" customFormat="1" x14ac:dyDescent="0.2">
      <c r="C4833" s="198"/>
      <c r="D4833" s="198"/>
      <c r="E4833" s="537"/>
      <c r="G4833" s="198"/>
      <c r="H4833" s="123"/>
    </row>
    <row r="4834" spans="3:8" s="99" customFormat="1" x14ac:dyDescent="0.2">
      <c r="C4834" s="198"/>
      <c r="D4834" s="198"/>
      <c r="E4834" s="537"/>
      <c r="G4834" s="198"/>
      <c r="H4834" s="123"/>
    </row>
    <row r="4835" spans="3:8" s="99" customFormat="1" x14ac:dyDescent="0.2">
      <c r="C4835" s="198"/>
      <c r="D4835" s="198"/>
      <c r="E4835" s="537"/>
      <c r="G4835" s="198"/>
      <c r="H4835" s="123"/>
    </row>
    <row r="4836" spans="3:8" s="99" customFormat="1" x14ac:dyDescent="0.2">
      <c r="C4836" s="198"/>
      <c r="D4836" s="198"/>
      <c r="E4836" s="537"/>
      <c r="G4836" s="198"/>
      <c r="H4836" s="123"/>
    </row>
    <row r="4837" spans="3:8" s="99" customFormat="1" x14ac:dyDescent="0.2">
      <c r="C4837" s="198"/>
      <c r="D4837" s="198"/>
      <c r="E4837" s="537"/>
      <c r="G4837" s="198"/>
      <c r="H4837" s="123"/>
    </row>
    <row r="4838" spans="3:8" s="99" customFormat="1" x14ac:dyDescent="0.2">
      <c r="C4838" s="198"/>
      <c r="D4838" s="198"/>
      <c r="E4838" s="537"/>
      <c r="G4838" s="198"/>
      <c r="H4838" s="123"/>
    </row>
    <row r="4839" spans="3:8" s="99" customFormat="1" x14ac:dyDescent="0.2">
      <c r="C4839" s="198"/>
      <c r="D4839" s="198"/>
      <c r="E4839" s="537"/>
      <c r="G4839" s="198"/>
      <c r="H4839" s="123"/>
    </row>
    <row r="4840" spans="3:8" s="99" customFormat="1" x14ac:dyDescent="0.2">
      <c r="C4840" s="198"/>
      <c r="D4840" s="198"/>
      <c r="E4840" s="537"/>
      <c r="G4840" s="198"/>
      <c r="H4840" s="123"/>
    </row>
    <row r="4841" spans="3:8" s="99" customFormat="1" x14ac:dyDescent="0.2">
      <c r="C4841" s="198"/>
      <c r="D4841" s="198"/>
      <c r="E4841" s="537"/>
      <c r="G4841" s="198"/>
      <c r="H4841" s="123"/>
    </row>
    <row r="4842" spans="3:8" s="99" customFormat="1" x14ac:dyDescent="0.2">
      <c r="C4842" s="198"/>
      <c r="D4842" s="198"/>
      <c r="E4842" s="537"/>
      <c r="G4842" s="198"/>
      <c r="H4842" s="123"/>
    </row>
    <row r="4843" spans="3:8" s="99" customFormat="1" x14ac:dyDescent="0.2">
      <c r="C4843" s="198"/>
      <c r="D4843" s="198"/>
      <c r="E4843" s="537"/>
      <c r="G4843" s="198"/>
      <c r="H4843" s="123"/>
    </row>
    <row r="4844" spans="3:8" s="99" customFormat="1" x14ac:dyDescent="0.2">
      <c r="C4844" s="198"/>
      <c r="D4844" s="198"/>
      <c r="E4844" s="537"/>
      <c r="G4844" s="198"/>
      <c r="H4844" s="123"/>
    </row>
    <row r="4845" spans="3:8" s="99" customFormat="1" x14ac:dyDescent="0.2">
      <c r="C4845" s="198"/>
      <c r="D4845" s="198"/>
      <c r="E4845" s="537"/>
      <c r="G4845" s="198"/>
      <c r="H4845" s="123"/>
    </row>
    <row r="4846" spans="3:8" s="99" customFormat="1" x14ac:dyDescent="0.2">
      <c r="C4846" s="198"/>
      <c r="D4846" s="198"/>
      <c r="E4846" s="537"/>
      <c r="G4846" s="198"/>
      <c r="H4846" s="123"/>
    </row>
    <row r="4847" spans="3:8" s="99" customFormat="1" x14ac:dyDescent="0.2">
      <c r="C4847" s="198"/>
      <c r="D4847" s="198"/>
      <c r="E4847" s="537"/>
      <c r="G4847" s="198"/>
      <c r="H4847" s="123"/>
    </row>
    <row r="4848" spans="3:8" s="99" customFormat="1" x14ac:dyDescent="0.2">
      <c r="C4848" s="198"/>
      <c r="D4848" s="198"/>
      <c r="E4848" s="537"/>
      <c r="G4848" s="198"/>
      <c r="H4848" s="123"/>
    </row>
    <row r="4849" spans="3:8" s="99" customFormat="1" x14ac:dyDescent="0.2">
      <c r="C4849" s="198"/>
      <c r="D4849" s="198"/>
      <c r="E4849" s="537"/>
      <c r="G4849" s="198"/>
      <c r="H4849" s="123"/>
    </row>
    <row r="4850" spans="3:8" s="99" customFormat="1" x14ac:dyDescent="0.2">
      <c r="C4850" s="198"/>
      <c r="D4850" s="198"/>
      <c r="E4850" s="537"/>
      <c r="G4850" s="198"/>
      <c r="H4850" s="123"/>
    </row>
    <row r="4851" spans="3:8" s="99" customFormat="1" x14ac:dyDescent="0.2">
      <c r="C4851" s="198"/>
      <c r="D4851" s="198"/>
      <c r="E4851" s="537"/>
      <c r="G4851" s="198"/>
      <c r="H4851" s="123"/>
    </row>
    <row r="4852" spans="3:8" s="99" customFormat="1" x14ac:dyDescent="0.2">
      <c r="C4852" s="198"/>
      <c r="D4852" s="198"/>
      <c r="E4852" s="537"/>
      <c r="G4852" s="198"/>
      <c r="H4852" s="123"/>
    </row>
    <row r="4853" spans="3:8" s="99" customFormat="1" x14ac:dyDescent="0.2">
      <c r="C4853" s="198"/>
      <c r="D4853" s="198"/>
      <c r="E4853" s="537"/>
      <c r="G4853" s="198"/>
      <c r="H4853" s="123"/>
    </row>
    <row r="4854" spans="3:8" s="99" customFormat="1" x14ac:dyDescent="0.2">
      <c r="C4854" s="198"/>
      <c r="D4854" s="198"/>
      <c r="E4854" s="537"/>
      <c r="G4854" s="198"/>
      <c r="H4854" s="123"/>
    </row>
    <row r="4855" spans="3:8" s="99" customFormat="1" x14ac:dyDescent="0.2">
      <c r="C4855" s="198"/>
      <c r="D4855" s="198"/>
      <c r="E4855" s="537"/>
      <c r="G4855" s="198"/>
      <c r="H4855" s="123"/>
    </row>
    <row r="4856" spans="3:8" s="99" customFormat="1" x14ac:dyDescent="0.2">
      <c r="C4856" s="198"/>
      <c r="D4856" s="198"/>
      <c r="E4856" s="537"/>
      <c r="G4856" s="198"/>
      <c r="H4856" s="123"/>
    </row>
    <row r="4857" spans="3:8" s="99" customFormat="1" x14ac:dyDescent="0.2">
      <c r="C4857" s="198"/>
      <c r="D4857" s="198"/>
      <c r="E4857" s="537"/>
      <c r="G4857" s="198"/>
      <c r="H4857" s="123"/>
    </row>
    <row r="4858" spans="3:8" s="99" customFormat="1" x14ac:dyDescent="0.2">
      <c r="C4858" s="198"/>
      <c r="D4858" s="198"/>
      <c r="E4858" s="537"/>
      <c r="G4858" s="198"/>
      <c r="H4858" s="123"/>
    </row>
    <row r="4859" spans="3:8" s="99" customFormat="1" x14ac:dyDescent="0.2">
      <c r="C4859" s="198"/>
      <c r="D4859" s="198"/>
      <c r="E4859" s="537"/>
      <c r="G4859" s="198"/>
      <c r="H4859" s="123"/>
    </row>
    <row r="4860" spans="3:8" s="99" customFormat="1" x14ac:dyDescent="0.2">
      <c r="C4860" s="198"/>
      <c r="D4860" s="198"/>
      <c r="E4860" s="537"/>
      <c r="G4860" s="198"/>
      <c r="H4860" s="123"/>
    </row>
    <row r="4861" spans="3:8" s="99" customFormat="1" x14ac:dyDescent="0.2">
      <c r="C4861" s="198"/>
      <c r="D4861" s="198"/>
      <c r="E4861" s="537"/>
      <c r="G4861" s="198"/>
      <c r="H4861" s="123"/>
    </row>
    <row r="4862" spans="3:8" s="99" customFormat="1" x14ac:dyDescent="0.2">
      <c r="C4862" s="198"/>
      <c r="D4862" s="198"/>
      <c r="E4862" s="537"/>
      <c r="G4862" s="198"/>
      <c r="H4862" s="123"/>
    </row>
    <row r="4863" spans="3:8" s="99" customFormat="1" x14ac:dyDescent="0.2">
      <c r="C4863" s="198"/>
      <c r="D4863" s="198"/>
      <c r="E4863" s="537"/>
      <c r="G4863" s="198"/>
      <c r="H4863" s="123"/>
    </row>
    <row r="4864" spans="3:8" s="99" customFormat="1" x14ac:dyDescent="0.2">
      <c r="C4864" s="198"/>
      <c r="D4864" s="198"/>
      <c r="E4864" s="537"/>
      <c r="G4864" s="198"/>
      <c r="H4864" s="123"/>
    </row>
    <row r="4865" spans="3:8" s="99" customFormat="1" x14ac:dyDescent="0.2">
      <c r="C4865" s="198"/>
      <c r="D4865" s="198"/>
      <c r="E4865" s="537"/>
      <c r="G4865" s="198"/>
      <c r="H4865" s="123"/>
    </row>
    <row r="4866" spans="3:8" s="99" customFormat="1" x14ac:dyDescent="0.2">
      <c r="C4866" s="198"/>
      <c r="D4866" s="198"/>
      <c r="E4866" s="537"/>
      <c r="G4866" s="198"/>
      <c r="H4866" s="123"/>
    </row>
    <row r="4867" spans="3:8" s="99" customFormat="1" x14ac:dyDescent="0.2">
      <c r="C4867" s="198"/>
      <c r="D4867" s="198"/>
      <c r="E4867" s="537"/>
      <c r="G4867" s="198"/>
      <c r="H4867" s="123"/>
    </row>
    <row r="4868" spans="3:8" s="99" customFormat="1" x14ac:dyDescent="0.2">
      <c r="C4868" s="198"/>
      <c r="D4868" s="198"/>
      <c r="E4868" s="537"/>
      <c r="G4868" s="198"/>
      <c r="H4868" s="123"/>
    </row>
    <row r="4869" spans="3:8" s="99" customFormat="1" x14ac:dyDescent="0.2">
      <c r="C4869" s="198"/>
      <c r="D4869" s="198"/>
      <c r="E4869" s="537"/>
      <c r="G4869" s="198"/>
      <c r="H4869" s="123"/>
    </row>
    <row r="4870" spans="3:8" s="99" customFormat="1" x14ac:dyDescent="0.2">
      <c r="C4870" s="198"/>
      <c r="D4870" s="198"/>
      <c r="E4870" s="537"/>
      <c r="G4870" s="198"/>
      <c r="H4870" s="123"/>
    </row>
    <row r="4871" spans="3:8" s="99" customFormat="1" x14ac:dyDescent="0.2">
      <c r="C4871" s="198"/>
      <c r="D4871" s="198"/>
      <c r="E4871" s="537"/>
      <c r="G4871" s="198"/>
      <c r="H4871" s="123"/>
    </row>
    <row r="4872" spans="3:8" s="99" customFormat="1" x14ac:dyDescent="0.2">
      <c r="C4872" s="198"/>
      <c r="D4872" s="198"/>
      <c r="E4872" s="537"/>
      <c r="G4872" s="198"/>
      <c r="H4872" s="123"/>
    </row>
    <row r="4873" spans="3:8" s="99" customFormat="1" x14ac:dyDescent="0.2">
      <c r="C4873" s="198"/>
      <c r="D4873" s="198"/>
      <c r="E4873" s="537"/>
      <c r="G4873" s="198"/>
      <c r="H4873" s="123"/>
    </row>
    <row r="4874" spans="3:8" s="99" customFormat="1" x14ac:dyDescent="0.2">
      <c r="C4874" s="198"/>
      <c r="D4874" s="198"/>
      <c r="E4874" s="537"/>
      <c r="G4874" s="198"/>
      <c r="H4874" s="123"/>
    </row>
    <row r="4875" spans="3:8" s="99" customFormat="1" x14ac:dyDescent="0.2">
      <c r="C4875" s="198"/>
      <c r="D4875" s="198"/>
      <c r="E4875" s="537"/>
      <c r="G4875" s="198"/>
      <c r="H4875" s="123"/>
    </row>
    <row r="4876" spans="3:8" s="99" customFormat="1" x14ac:dyDescent="0.2">
      <c r="C4876" s="198"/>
      <c r="D4876" s="198"/>
      <c r="E4876" s="537"/>
      <c r="G4876" s="198"/>
      <c r="H4876" s="123"/>
    </row>
    <row r="4877" spans="3:8" s="99" customFormat="1" x14ac:dyDescent="0.2">
      <c r="C4877" s="198"/>
      <c r="D4877" s="198"/>
      <c r="E4877" s="537"/>
      <c r="G4877" s="198"/>
      <c r="H4877" s="123"/>
    </row>
    <row r="4878" spans="3:8" s="99" customFormat="1" x14ac:dyDescent="0.2">
      <c r="C4878" s="198"/>
      <c r="D4878" s="198"/>
      <c r="E4878" s="537"/>
      <c r="G4878" s="198"/>
      <c r="H4878" s="123"/>
    </row>
    <row r="4879" spans="3:8" s="99" customFormat="1" x14ac:dyDescent="0.2">
      <c r="C4879" s="198"/>
      <c r="D4879" s="198"/>
      <c r="E4879" s="537"/>
      <c r="G4879" s="198"/>
      <c r="H4879" s="123"/>
    </row>
    <row r="4880" spans="3:8" s="99" customFormat="1" x14ac:dyDescent="0.2">
      <c r="C4880" s="198"/>
      <c r="D4880" s="198"/>
      <c r="E4880" s="537"/>
      <c r="G4880" s="198"/>
      <c r="H4880" s="123"/>
    </row>
    <row r="4881" spans="3:8" s="99" customFormat="1" x14ac:dyDescent="0.2">
      <c r="C4881" s="198"/>
      <c r="D4881" s="198"/>
      <c r="E4881" s="537"/>
      <c r="G4881" s="198"/>
      <c r="H4881" s="123"/>
    </row>
    <row r="4882" spans="3:8" s="99" customFormat="1" x14ac:dyDescent="0.2">
      <c r="C4882" s="198"/>
      <c r="D4882" s="198"/>
      <c r="E4882" s="537"/>
      <c r="G4882" s="198"/>
      <c r="H4882" s="123"/>
    </row>
    <row r="4883" spans="3:8" s="99" customFormat="1" x14ac:dyDescent="0.2">
      <c r="C4883" s="198"/>
      <c r="D4883" s="198"/>
      <c r="E4883" s="537"/>
      <c r="G4883" s="198"/>
      <c r="H4883" s="123"/>
    </row>
    <row r="4884" spans="3:8" s="99" customFormat="1" x14ac:dyDescent="0.2">
      <c r="C4884" s="198"/>
      <c r="D4884" s="198"/>
      <c r="E4884" s="537"/>
      <c r="G4884" s="198"/>
      <c r="H4884" s="123"/>
    </row>
    <row r="4885" spans="3:8" s="99" customFormat="1" x14ac:dyDescent="0.2">
      <c r="C4885" s="198"/>
      <c r="D4885" s="198"/>
      <c r="E4885" s="537"/>
      <c r="G4885" s="198"/>
      <c r="H4885" s="123"/>
    </row>
    <row r="4886" spans="3:8" s="99" customFormat="1" x14ac:dyDescent="0.2">
      <c r="C4886" s="198"/>
      <c r="D4886" s="198"/>
      <c r="E4886" s="537"/>
      <c r="G4886" s="198"/>
      <c r="H4886" s="123"/>
    </row>
    <row r="4887" spans="3:8" s="99" customFormat="1" x14ac:dyDescent="0.2">
      <c r="C4887" s="198"/>
      <c r="D4887" s="198"/>
      <c r="E4887" s="537"/>
      <c r="G4887" s="198"/>
      <c r="H4887" s="123"/>
    </row>
    <row r="4888" spans="3:8" s="99" customFormat="1" x14ac:dyDescent="0.2">
      <c r="C4888" s="198"/>
      <c r="D4888" s="198"/>
      <c r="E4888" s="537"/>
      <c r="G4888" s="198"/>
      <c r="H4888" s="123"/>
    </row>
    <row r="4889" spans="3:8" s="99" customFormat="1" x14ac:dyDescent="0.2">
      <c r="C4889" s="198"/>
      <c r="D4889" s="198"/>
      <c r="E4889" s="537"/>
      <c r="G4889" s="198"/>
      <c r="H4889" s="123"/>
    </row>
    <row r="4890" spans="3:8" s="99" customFormat="1" x14ac:dyDescent="0.2">
      <c r="C4890" s="198"/>
      <c r="D4890" s="198"/>
      <c r="E4890" s="537"/>
      <c r="G4890" s="198"/>
      <c r="H4890" s="123"/>
    </row>
    <row r="4891" spans="3:8" s="99" customFormat="1" x14ac:dyDescent="0.2">
      <c r="C4891" s="198"/>
      <c r="D4891" s="198"/>
      <c r="E4891" s="537"/>
      <c r="G4891" s="198"/>
      <c r="H4891" s="123"/>
    </row>
    <row r="4892" spans="3:8" s="99" customFormat="1" x14ac:dyDescent="0.2">
      <c r="C4892" s="198"/>
      <c r="D4892" s="198"/>
      <c r="E4892" s="537"/>
      <c r="G4892" s="198"/>
      <c r="H4892" s="123"/>
    </row>
    <row r="4893" spans="3:8" s="99" customFormat="1" x14ac:dyDescent="0.2">
      <c r="C4893" s="198"/>
      <c r="D4893" s="198"/>
      <c r="E4893" s="537"/>
      <c r="G4893" s="198"/>
      <c r="H4893" s="123"/>
    </row>
    <row r="4894" spans="3:8" s="99" customFormat="1" x14ac:dyDescent="0.2">
      <c r="C4894" s="198"/>
      <c r="D4894" s="198"/>
      <c r="E4894" s="537"/>
      <c r="G4894" s="198"/>
      <c r="H4894" s="123"/>
    </row>
    <row r="4895" spans="3:8" s="99" customFormat="1" x14ac:dyDescent="0.2">
      <c r="C4895" s="198"/>
      <c r="D4895" s="198"/>
      <c r="E4895" s="537"/>
      <c r="G4895" s="198"/>
      <c r="H4895" s="123"/>
    </row>
    <row r="4896" spans="3:8" s="99" customFormat="1" x14ac:dyDescent="0.2">
      <c r="C4896" s="198"/>
      <c r="D4896" s="198"/>
      <c r="E4896" s="537"/>
      <c r="G4896" s="198"/>
      <c r="H4896" s="123"/>
    </row>
    <row r="4897" spans="3:8" s="99" customFormat="1" x14ac:dyDescent="0.2">
      <c r="C4897" s="198"/>
      <c r="D4897" s="198"/>
      <c r="E4897" s="537"/>
      <c r="G4897" s="198"/>
      <c r="H4897" s="123"/>
    </row>
    <row r="4898" spans="3:8" s="99" customFormat="1" x14ac:dyDescent="0.2">
      <c r="C4898" s="198"/>
      <c r="D4898" s="198"/>
      <c r="E4898" s="537"/>
      <c r="G4898" s="198"/>
      <c r="H4898" s="123"/>
    </row>
    <row r="4899" spans="3:8" s="99" customFormat="1" x14ac:dyDescent="0.2">
      <c r="C4899" s="198"/>
      <c r="D4899" s="198"/>
      <c r="E4899" s="537"/>
      <c r="G4899" s="198"/>
      <c r="H4899" s="123"/>
    </row>
    <row r="4900" spans="3:8" s="99" customFormat="1" x14ac:dyDescent="0.2">
      <c r="C4900" s="198"/>
      <c r="D4900" s="198"/>
      <c r="E4900" s="537"/>
      <c r="G4900" s="198"/>
      <c r="H4900" s="123"/>
    </row>
    <row r="4901" spans="3:8" s="99" customFormat="1" x14ac:dyDescent="0.2">
      <c r="C4901" s="198"/>
      <c r="D4901" s="198"/>
      <c r="E4901" s="537"/>
      <c r="G4901" s="198"/>
      <c r="H4901" s="123"/>
    </row>
    <row r="4902" spans="3:8" s="99" customFormat="1" x14ac:dyDescent="0.2">
      <c r="C4902" s="198"/>
      <c r="D4902" s="198"/>
      <c r="E4902" s="537"/>
      <c r="G4902" s="198"/>
      <c r="H4902" s="123"/>
    </row>
    <row r="4903" spans="3:8" s="99" customFormat="1" x14ac:dyDescent="0.2">
      <c r="C4903" s="198"/>
      <c r="D4903" s="198"/>
      <c r="E4903" s="537"/>
      <c r="G4903" s="198"/>
      <c r="H4903" s="123"/>
    </row>
    <row r="4904" spans="3:8" s="99" customFormat="1" x14ac:dyDescent="0.2">
      <c r="C4904" s="198"/>
      <c r="D4904" s="198"/>
      <c r="E4904" s="537"/>
      <c r="G4904" s="198"/>
      <c r="H4904" s="123"/>
    </row>
    <row r="4905" spans="3:8" s="99" customFormat="1" x14ac:dyDescent="0.2">
      <c r="C4905" s="198"/>
      <c r="D4905" s="198"/>
      <c r="E4905" s="537"/>
      <c r="G4905" s="198"/>
      <c r="H4905" s="123"/>
    </row>
    <row r="4906" spans="3:8" s="99" customFormat="1" x14ac:dyDescent="0.2">
      <c r="C4906" s="198"/>
      <c r="D4906" s="198"/>
      <c r="E4906" s="537"/>
      <c r="G4906" s="198"/>
      <c r="H4906" s="123"/>
    </row>
    <row r="4907" spans="3:8" s="99" customFormat="1" x14ac:dyDescent="0.2">
      <c r="C4907" s="198"/>
      <c r="D4907" s="198"/>
      <c r="E4907" s="537"/>
      <c r="G4907" s="198"/>
      <c r="H4907" s="123"/>
    </row>
    <row r="4908" spans="3:8" s="99" customFormat="1" x14ac:dyDescent="0.2">
      <c r="C4908" s="198"/>
      <c r="D4908" s="198"/>
      <c r="E4908" s="537"/>
      <c r="G4908" s="198"/>
      <c r="H4908" s="123"/>
    </row>
    <row r="4909" spans="3:8" s="99" customFormat="1" x14ac:dyDescent="0.2">
      <c r="C4909" s="198"/>
      <c r="D4909" s="198"/>
      <c r="E4909" s="537"/>
      <c r="G4909" s="198"/>
      <c r="H4909" s="123"/>
    </row>
    <row r="4910" spans="3:8" s="99" customFormat="1" x14ac:dyDescent="0.2">
      <c r="C4910" s="198"/>
      <c r="D4910" s="198"/>
      <c r="E4910" s="537"/>
      <c r="G4910" s="198"/>
      <c r="H4910" s="123"/>
    </row>
    <row r="4911" spans="3:8" s="99" customFormat="1" x14ac:dyDescent="0.2">
      <c r="C4911" s="198"/>
      <c r="D4911" s="198"/>
      <c r="E4911" s="537"/>
      <c r="G4911" s="198"/>
      <c r="H4911" s="123"/>
    </row>
    <row r="4912" spans="3:8" s="99" customFormat="1" x14ac:dyDescent="0.2">
      <c r="C4912" s="198"/>
      <c r="D4912" s="198"/>
      <c r="E4912" s="537"/>
      <c r="G4912" s="198"/>
      <c r="H4912" s="123"/>
    </row>
    <row r="4913" spans="3:8" s="99" customFormat="1" x14ac:dyDescent="0.2">
      <c r="C4913" s="198"/>
      <c r="D4913" s="198"/>
      <c r="E4913" s="537"/>
      <c r="G4913" s="198"/>
      <c r="H4913" s="123"/>
    </row>
    <row r="4914" spans="3:8" s="99" customFormat="1" x14ac:dyDescent="0.2">
      <c r="C4914" s="198"/>
      <c r="D4914" s="198"/>
      <c r="E4914" s="537"/>
      <c r="G4914" s="198"/>
      <c r="H4914" s="123"/>
    </row>
    <row r="4915" spans="3:8" s="99" customFormat="1" x14ac:dyDescent="0.2">
      <c r="C4915" s="198"/>
      <c r="D4915" s="198"/>
      <c r="E4915" s="537"/>
      <c r="G4915" s="198"/>
      <c r="H4915" s="123"/>
    </row>
    <row r="4916" spans="3:8" s="99" customFormat="1" x14ac:dyDescent="0.2">
      <c r="C4916" s="198"/>
      <c r="D4916" s="198"/>
      <c r="E4916" s="537"/>
      <c r="G4916" s="198"/>
      <c r="H4916" s="123"/>
    </row>
    <row r="4917" spans="3:8" s="99" customFormat="1" x14ac:dyDescent="0.2">
      <c r="C4917" s="198"/>
      <c r="D4917" s="198"/>
      <c r="E4917" s="537"/>
      <c r="G4917" s="198"/>
      <c r="H4917" s="123"/>
    </row>
    <row r="4918" spans="3:8" s="99" customFormat="1" x14ac:dyDescent="0.2">
      <c r="C4918" s="198"/>
      <c r="D4918" s="198"/>
      <c r="E4918" s="537"/>
      <c r="G4918" s="198"/>
      <c r="H4918" s="123"/>
    </row>
    <row r="4919" spans="3:8" s="99" customFormat="1" x14ac:dyDescent="0.2">
      <c r="C4919" s="198"/>
      <c r="D4919" s="198"/>
      <c r="E4919" s="537"/>
      <c r="G4919" s="198"/>
      <c r="H4919" s="123"/>
    </row>
    <row r="4920" spans="3:8" s="99" customFormat="1" x14ac:dyDescent="0.2">
      <c r="C4920" s="198"/>
      <c r="D4920" s="198"/>
      <c r="E4920" s="537"/>
      <c r="G4920" s="198"/>
      <c r="H4920" s="123"/>
    </row>
    <row r="4921" spans="3:8" s="99" customFormat="1" x14ac:dyDescent="0.2">
      <c r="C4921" s="198"/>
      <c r="D4921" s="198"/>
      <c r="E4921" s="537"/>
      <c r="G4921" s="198"/>
      <c r="H4921" s="123"/>
    </row>
    <row r="4922" spans="3:8" s="99" customFormat="1" x14ac:dyDescent="0.2">
      <c r="C4922" s="198"/>
      <c r="D4922" s="198"/>
      <c r="E4922" s="537"/>
      <c r="G4922" s="198"/>
      <c r="H4922" s="123"/>
    </row>
    <row r="4923" spans="3:8" s="99" customFormat="1" x14ac:dyDescent="0.2">
      <c r="C4923" s="198"/>
      <c r="D4923" s="198"/>
      <c r="E4923" s="537"/>
      <c r="G4923" s="198"/>
      <c r="H4923" s="123"/>
    </row>
    <row r="4924" spans="3:8" s="99" customFormat="1" x14ac:dyDescent="0.2">
      <c r="C4924" s="198"/>
      <c r="D4924" s="198"/>
      <c r="E4924" s="537"/>
      <c r="G4924" s="198"/>
      <c r="H4924" s="123"/>
    </row>
    <row r="4925" spans="3:8" s="99" customFormat="1" x14ac:dyDescent="0.2">
      <c r="C4925" s="198"/>
      <c r="D4925" s="198"/>
      <c r="E4925" s="537"/>
      <c r="G4925" s="198"/>
      <c r="H4925" s="123"/>
    </row>
    <row r="4926" spans="3:8" s="99" customFormat="1" x14ac:dyDescent="0.2">
      <c r="C4926" s="198"/>
      <c r="D4926" s="198"/>
      <c r="E4926" s="537"/>
      <c r="G4926" s="198"/>
      <c r="H4926" s="123"/>
    </row>
    <row r="4927" spans="3:8" s="99" customFormat="1" x14ac:dyDescent="0.2">
      <c r="C4927" s="198"/>
      <c r="D4927" s="198"/>
      <c r="E4927" s="537"/>
      <c r="G4927" s="198"/>
      <c r="H4927" s="123"/>
    </row>
    <row r="4928" spans="3:8" s="99" customFormat="1" x14ac:dyDescent="0.2">
      <c r="C4928" s="198"/>
      <c r="D4928" s="198"/>
      <c r="E4928" s="537"/>
      <c r="G4928" s="198"/>
      <c r="H4928" s="123"/>
    </row>
    <row r="4929" spans="3:8" s="99" customFormat="1" x14ac:dyDescent="0.2">
      <c r="C4929" s="198"/>
      <c r="D4929" s="198"/>
      <c r="E4929" s="537"/>
      <c r="G4929" s="198"/>
      <c r="H4929" s="123"/>
    </row>
    <row r="4930" spans="3:8" s="99" customFormat="1" x14ac:dyDescent="0.2">
      <c r="C4930" s="198"/>
      <c r="D4930" s="198"/>
      <c r="E4930" s="537"/>
      <c r="G4930" s="198"/>
      <c r="H4930" s="123"/>
    </row>
    <row r="4931" spans="3:8" s="99" customFormat="1" x14ac:dyDescent="0.2">
      <c r="C4931" s="198"/>
      <c r="D4931" s="198"/>
      <c r="E4931" s="537"/>
      <c r="G4931" s="198"/>
      <c r="H4931" s="123"/>
    </row>
    <row r="4932" spans="3:8" s="99" customFormat="1" x14ac:dyDescent="0.2">
      <c r="C4932" s="198"/>
      <c r="D4932" s="198"/>
      <c r="E4932" s="537"/>
      <c r="G4932" s="198"/>
      <c r="H4932" s="123"/>
    </row>
    <row r="4933" spans="3:8" s="99" customFormat="1" x14ac:dyDescent="0.2">
      <c r="C4933" s="198"/>
      <c r="D4933" s="198"/>
      <c r="E4933" s="537"/>
      <c r="G4933" s="198"/>
      <c r="H4933" s="123"/>
    </row>
    <row r="4934" spans="3:8" s="99" customFormat="1" x14ac:dyDescent="0.2">
      <c r="C4934" s="198"/>
      <c r="D4934" s="198"/>
      <c r="E4934" s="537"/>
      <c r="G4934" s="198"/>
      <c r="H4934" s="123"/>
    </row>
    <row r="4935" spans="3:8" s="99" customFormat="1" x14ac:dyDescent="0.2">
      <c r="C4935" s="198"/>
      <c r="D4935" s="198"/>
      <c r="E4935" s="537"/>
      <c r="G4935" s="198"/>
      <c r="H4935" s="123"/>
    </row>
    <row r="4936" spans="3:8" s="99" customFormat="1" x14ac:dyDescent="0.2">
      <c r="C4936" s="198"/>
      <c r="D4936" s="198"/>
      <c r="E4936" s="537"/>
      <c r="G4936" s="198"/>
      <c r="H4936" s="123"/>
    </row>
    <row r="4937" spans="3:8" s="99" customFormat="1" x14ac:dyDescent="0.2">
      <c r="C4937" s="198"/>
      <c r="D4937" s="198"/>
      <c r="E4937" s="537"/>
      <c r="G4937" s="198"/>
      <c r="H4937" s="123"/>
    </row>
    <row r="4938" spans="3:8" s="99" customFormat="1" x14ac:dyDescent="0.2">
      <c r="C4938" s="198"/>
      <c r="D4938" s="198"/>
      <c r="E4938" s="537"/>
      <c r="G4938" s="198"/>
      <c r="H4938" s="123"/>
    </row>
    <row r="4939" spans="3:8" s="99" customFormat="1" x14ac:dyDescent="0.2">
      <c r="C4939" s="198"/>
      <c r="D4939" s="198"/>
      <c r="E4939" s="537"/>
      <c r="G4939" s="198"/>
      <c r="H4939" s="123"/>
    </row>
    <row r="4940" spans="3:8" s="99" customFormat="1" x14ac:dyDescent="0.2">
      <c r="C4940" s="198"/>
      <c r="D4940" s="198"/>
      <c r="E4940" s="537"/>
      <c r="G4940" s="198"/>
      <c r="H4940" s="123"/>
    </row>
    <row r="4941" spans="3:8" s="99" customFormat="1" x14ac:dyDescent="0.2">
      <c r="C4941" s="198"/>
      <c r="D4941" s="198"/>
      <c r="E4941" s="537"/>
      <c r="G4941" s="198"/>
      <c r="H4941" s="123"/>
    </row>
    <row r="4942" spans="3:8" s="99" customFormat="1" x14ac:dyDescent="0.2">
      <c r="C4942" s="198"/>
      <c r="D4942" s="198"/>
      <c r="E4942" s="537"/>
      <c r="G4942" s="198"/>
      <c r="H4942" s="123"/>
    </row>
    <row r="4943" spans="3:8" s="99" customFormat="1" x14ac:dyDescent="0.2">
      <c r="C4943" s="198"/>
      <c r="D4943" s="198"/>
      <c r="E4943" s="537"/>
      <c r="G4943" s="198"/>
      <c r="H4943" s="123"/>
    </row>
    <row r="4944" spans="3:8" s="99" customFormat="1" x14ac:dyDescent="0.2">
      <c r="C4944" s="198"/>
      <c r="D4944" s="198"/>
      <c r="E4944" s="537"/>
      <c r="G4944" s="198"/>
      <c r="H4944" s="123"/>
    </row>
    <row r="4945" spans="3:8" s="99" customFormat="1" x14ac:dyDescent="0.2">
      <c r="C4945" s="198"/>
      <c r="D4945" s="198"/>
      <c r="E4945" s="537"/>
      <c r="G4945" s="198"/>
      <c r="H4945" s="123"/>
    </row>
    <row r="4946" spans="3:8" s="99" customFormat="1" x14ac:dyDescent="0.2">
      <c r="C4946" s="198"/>
      <c r="D4946" s="198"/>
      <c r="E4946" s="537"/>
      <c r="G4946" s="198"/>
      <c r="H4946" s="123"/>
    </row>
    <row r="4947" spans="3:8" s="99" customFormat="1" x14ac:dyDescent="0.2">
      <c r="C4947" s="198"/>
      <c r="D4947" s="198"/>
      <c r="E4947" s="537"/>
      <c r="G4947" s="198"/>
      <c r="H4947" s="123"/>
    </row>
    <row r="4948" spans="3:8" s="99" customFormat="1" x14ac:dyDescent="0.2">
      <c r="C4948" s="198"/>
      <c r="D4948" s="198"/>
      <c r="E4948" s="537"/>
      <c r="G4948" s="198"/>
      <c r="H4948" s="123"/>
    </row>
    <row r="4949" spans="3:8" s="99" customFormat="1" x14ac:dyDescent="0.2">
      <c r="C4949" s="198"/>
      <c r="D4949" s="198"/>
      <c r="E4949" s="537"/>
      <c r="G4949" s="198"/>
      <c r="H4949" s="123"/>
    </row>
    <row r="4950" spans="3:8" s="99" customFormat="1" x14ac:dyDescent="0.2">
      <c r="C4950" s="198"/>
      <c r="D4950" s="198"/>
      <c r="E4950" s="537"/>
      <c r="G4950" s="198"/>
      <c r="H4950" s="123"/>
    </row>
    <row r="4951" spans="3:8" s="99" customFormat="1" x14ac:dyDescent="0.2">
      <c r="C4951" s="198"/>
      <c r="D4951" s="198"/>
      <c r="E4951" s="537"/>
      <c r="G4951" s="198"/>
      <c r="H4951" s="123"/>
    </row>
    <row r="4952" spans="3:8" s="99" customFormat="1" x14ac:dyDescent="0.2">
      <c r="C4952" s="198"/>
      <c r="D4952" s="198"/>
      <c r="E4952" s="537"/>
      <c r="G4952" s="198"/>
      <c r="H4952" s="123"/>
    </row>
    <row r="4953" spans="3:8" s="99" customFormat="1" x14ac:dyDescent="0.2">
      <c r="C4953" s="198"/>
      <c r="D4953" s="198"/>
      <c r="E4953" s="537"/>
      <c r="G4953" s="198"/>
      <c r="H4953" s="123"/>
    </row>
    <row r="4954" spans="3:8" s="99" customFormat="1" x14ac:dyDescent="0.2">
      <c r="C4954" s="198"/>
      <c r="D4954" s="198"/>
      <c r="E4954" s="537"/>
      <c r="G4954" s="198"/>
      <c r="H4954" s="123"/>
    </row>
    <row r="4955" spans="3:8" s="99" customFormat="1" x14ac:dyDescent="0.2">
      <c r="C4955" s="198"/>
      <c r="D4955" s="198"/>
      <c r="E4955" s="537"/>
      <c r="G4955" s="198"/>
      <c r="H4955" s="123"/>
    </row>
    <row r="4956" spans="3:8" s="99" customFormat="1" x14ac:dyDescent="0.2">
      <c r="C4956" s="198"/>
      <c r="D4956" s="198"/>
      <c r="E4956" s="537"/>
      <c r="G4956" s="198"/>
      <c r="H4956" s="123"/>
    </row>
    <row r="4957" spans="3:8" s="99" customFormat="1" x14ac:dyDescent="0.2">
      <c r="C4957" s="198"/>
      <c r="D4957" s="198"/>
      <c r="E4957" s="537"/>
      <c r="G4957" s="198"/>
      <c r="H4957" s="123"/>
    </row>
    <row r="4958" spans="3:8" s="99" customFormat="1" x14ac:dyDescent="0.2">
      <c r="C4958" s="198"/>
      <c r="D4958" s="198"/>
      <c r="E4958" s="537"/>
      <c r="G4958" s="198"/>
      <c r="H4958" s="123"/>
    </row>
    <row r="4959" spans="3:8" s="99" customFormat="1" x14ac:dyDescent="0.2">
      <c r="C4959" s="198"/>
      <c r="D4959" s="198"/>
      <c r="E4959" s="537"/>
      <c r="G4959" s="198"/>
      <c r="H4959" s="123"/>
    </row>
    <row r="4960" spans="3:8" s="99" customFormat="1" x14ac:dyDescent="0.2">
      <c r="C4960" s="198"/>
      <c r="D4960" s="198"/>
      <c r="E4960" s="537"/>
      <c r="G4960" s="198"/>
      <c r="H4960" s="123"/>
    </row>
    <row r="4961" spans="3:8" s="99" customFormat="1" x14ac:dyDescent="0.2">
      <c r="C4961" s="198"/>
      <c r="D4961" s="198"/>
      <c r="E4961" s="537"/>
      <c r="G4961" s="198"/>
      <c r="H4961" s="123"/>
    </row>
    <row r="4962" spans="3:8" s="99" customFormat="1" x14ac:dyDescent="0.2">
      <c r="C4962" s="198"/>
      <c r="D4962" s="198"/>
      <c r="E4962" s="537"/>
      <c r="G4962" s="198"/>
      <c r="H4962" s="123"/>
    </row>
    <row r="4963" spans="3:8" s="99" customFormat="1" x14ac:dyDescent="0.2">
      <c r="C4963" s="198"/>
      <c r="D4963" s="198"/>
      <c r="E4963" s="537"/>
      <c r="G4963" s="198"/>
      <c r="H4963" s="123"/>
    </row>
    <row r="4964" spans="3:8" s="99" customFormat="1" x14ac:dyDescent="0.2">
      <c r="C4964" s="198"/>
      <c r="D4964" s="198"/>
      <c r="E4964" s="537"/>
      <c r="G4964" s="198"/>
      <c r="H4964" s="123"/>
    </row>
    <row r="4965" spans="3:8" s="99" customFormat="1" x14ac:dyDescent="0.2">
      <c r="C4965" s="198"/>
      <c r="D4965" s="198"/>
      <c r="E4965" s="537"/>
      <c r="G4965" s="198"/>
      <c r="H4965" s="123"/>
    </row>
    <row r="4966" spans="3:8" s="99" customFormat="1" x14ac:dyDescent="0.2">
      <c r="C4966" s="198"/>
      <c r="D4966" s="198"/>
      <c r="E4966" s="537"/>
      <c r="G4966" s="198"/>
      <c r="H4966" s="123"/>
    </row>
    <row r="4967" spans="3:8" s="99" customFormat="1" x14ac:dyDescent="0.2">
      <c r="C4967" s="198"/>
      <c r="D4967" s="198"/>
      <c r="E4967" s="537"/>
      <c r="G4967" s="198"/>
      <c r="H4967" s="123"/>
    </row>
    <row r="4968" spans="3:8" s="99" customFormat="1" x14ac:dyDescent="0.2">
      <c r="C4968" s="198"/>
      <c r="D4968" s="198"/>
      <c r="E4968" s="537"/>
      <c r="G4968" s="198"/>
      <c r="H4968" s="123"/>
    </row>
    <row r="4969" spans="3:8" s="99" customFormat="1" x14ac:dyDescent="0.2">
      <c r="C4969" s="198"/>
      <c r="D4969" s="198"/>
      <c r="E4969" s="537"/>
      <c r="G4969" s="198"/>
      <c r="H4969" s="123"/>
    </row>
    <row r="4970" spans="3:8" s="99" customFormat="1" x14ac:dyDescent="0.2">
      <c r="C4970" s="198"/>
      <c r="D4970" s="198"/>
      <c r="E4970" s="537"/>
      <c r="G4970" s="198"/>
      <c r="H4970" s="123"/>
    </row>
    <row r="4971" spans="3:8" s="99" customFormat="1" x14ac:dyDescent="0.2">
      <c r="C4971" s="198"/>
      <c r="D4971" s="198"/>
      <c r="E4971" s="537"/>
      <c r="G4971" s="198"/>
      <c r="H4971" s="123"/>
    </row>
    <row r="4972" spans="3:8" s="99" customFormat="1" x14ac:dyDescent="0.2">
      <c r="C4972" s="198"/>
      <c r="D4972" s="198"/>
      <c r="E4972" s="537"/>
      <c r="G4972" s="198"/>
      <c r="H4972" s="123"/>
    </row>
    <row r="4973" spans="3:8" s="99" customFormat="1" x14ac:dyDescent="0.2">
      <c r="C4973" s="198"/>
      <c r="D4973" s="198"/>
      <c r="E4973" s="537"/>
      <c r="G4973" s="198"/>
      <c r="H4973" s="123"/>
    </row>
    <row r="4974" spans="3:8" s="99" customFormat="1" x14ac:dyDescent="0.2">
      <c r="C4974" s="198"/>
      <c r="D4974" s="198"/>
      <c r="E4974" s="537"/>
      <c r="G4974" s="198"/>
      <c r="H4974" s="123"/>
    </row>
    <row r="4975" spans="3:8" s="99" customFormat="1" x14ac:dyDescent="0.2">
      <c r="C4975" s="198"/>
      <c r="D4975" s="198"/>
      <c r="E4975" s="537"/>
      <c r="G4975" s="198"/>
      <c r="H4975" s="123"/>
    </row>
    <row r="4976" spans="3:8" s="99" customFormat="1" x14ac:dyDescent="0.2">
      <c r="C4976" s="198"/>
      <c r="D4976" s="198"/>
      <c r="E4976" s="537"/>
      <c r="G4976" s="198"/>
      <c r="H4976" s="123"/>
    </row>
    <row r="4977" spans="3:8" s="99" customFormat="1" x14ac:dyDescent="0.2">
      <c r="C4977" s="198"/>
      <c r="D4977" s="198"/>
      <c r="E4977" s="537"/>
      <c r="G4977" s="198"/>
      <c r="H4977" s="123"/>
    </row>
    <row r="4978" spans="3:8" s="99" customFormat="1" x14ac:dyDescent="0.2">
      <c r="C4978" s="198"/>
      <c r="D4978" s="198"/>
      <c r="E4978" s="537"/>
      <c r="G4978" s="198"/>
      <c r="H4978" s="123"/>
    </row>
    <row r="4979" spans="3:8" s="99" customFormat="1" x14ac:dyDescent="0.2">
      <c r="C4979" s="198"/>
      <c r="D4979" s="198"/>
      <c r="E4979" s="537"/>
      <c r="G4979" s="198"/>
      <c r="H4979" s="123"/>
    </row>
    <row r="4980" spans="3:8" s="99" customFormat="1" x14ac:dyDescent="0.2">
      <c r="C4980" s="198"/>
      <c r="D4980" s="198"/>
      <c r="E4980" s="537"/>
      <c r="G4980" s="198"/>
      <c r="H4980" s="123"/>
    </row>
    <row r="4981" spans="3:8" s="99" customFormat="1" x14ac:dyDescent="0.2">
      <c r="C4981" s="198"/>
      <c r="D4981" s="198"/>
      <c r="E4981" s="537"/>
      <c r="G4981" s="198"/>
      <c r="H4981" s="123"/>
    </row>
    <row r="4982" spans="3:8" s="99" customFormat="1" x14ac:dyDescent="0.2">
      <c r="C4982" s="198"/>
      <c r="D4982" s="198"/>
      <c r="E4982" s="537"/>
      <c r="G4982" s="198"/>
      <c r="H4982" s="123"/>
    </row>
    <row r="4983" spans="3:8" s="99" customFormat="1" x14ac:dyDescent="0.2">
      <c r="C4983" s="198"/>
      <c r="D4983" s="198"/>
      <c r="E4983" s="537"/>
      <c r="G4983" s="198"/>
      <c r="H4983" s="123"/>
    </row>
    <row r="4984" spans="3:8" s="99" customFormat="1" x14ac:dyDescent="0.2">
      <c r="C4984" s="198"/>
      <c r="D4984" s="198"/>
      <c r="E4984" s="537"/>
      <c r="G4984" s="198"/>
      <c r="H4984" s="123"/>
    </row>
    <row r="4985" spans="3:8" s="99" customFormat="1" x14ac:dyDescent="0.2">
      <c r="C4985" s="198"/>
      <c r="D4985" s="198"/>
      <c r="E4985" s="537"/>
      <c r="G4985" s="198"/>
      <c r="H4985" s="123"/>
    </row>
    <row r="4986" spans="3:8" s="99" customFormat="1" x14ac:dyDescent="0.2">
      <c r="C4986" s="198"/>
      <c r="D4986" s="198"/>
      <c r="E4986" s="537"/>
      <c r="G4986" s="198"/>
      <c r="H4986" s="123"/>
    </row>
    <row r="4987" spans="3:8" s="99" customFormat="1" x14ac:dyDescent="0.2">
      <c r="C4987" s="198"/>
      <c r="D4987" s="198"/>
      <c r="E4987" s="537"/>
      <c r="G4987" s="198"/>
      <c r="H4987" s="123"/>
    </row>
    <row r="4988" spans="3:8" s="99" customFormat="1" x14ac:dyDescent="0.2">
      <c r="C4988" s="198"/>
      <c r="D4988" s="198"/>
      <c r="E4988" s="537"/>
      <c r="G4988" s="198"/>
      <c r="H4988" s="123"/>
    </row>
    <row r="4989" spans="3:8" s="99" customFormat="1" x14ac:dyDescent="0.2">
      <c r="C4989" s="198"/>
      <c r="D4989" s="198"/>
      <c r="E4989" s="537"/>
      <c r="G4989" s="198"/>
      <c r="H4989" s="123"/>
    </row>
    <row r="4990" spans="3:8" s="99" customFormat="1" x14ac:dyDescent="0.2">
      <c r="C4990" s="198"/>
      <c r="D4990" s="198"/>
      <c r="E4990" s="537"/>
      <c r="G4990" s="198"/>
      <c r="H4990" s="123"/>
    </row>
    <row r="4991" spans="3:8" s="99" customFormat="1" x14ac:dyDescent="0.2">
      <c r="C4991" s="198"/>
      <c r="D4991" s="198"/>
      <c r="E4991" s="537"/>
      <c r="G4991" s="198"/>
      <c r="H4991" s="123"/>
    </row>
    <row r="4992" spans="3:8" s="99" customFormat="1" x14ac:dyDescent="0.2">
      <c r="C4992" s="198"/>
      <c r="D4992" s="198"/>
      <c r="E4992" s="537"/>
      <c r="G4992" s="198"/>
      <c r="H4992" s="123"/>
    </row>
    <row r="4993" spans="3:8" s="99" customFormat="1" x14ac:dyDescent="0.2">
      <c r="C4993" s="198"/>
      <c r="D4993" s="198"/>
      <c r="E4993" s="537"/>
      <c r="G4993" s="198"/>
      <c r="H4993" s="123"/>
    </row>
    <row r="4994" spans="3:8" s="99" customFormat="1" x14ac:dyDescent="0.2">
      <c r="C4994" s="198"/>
      <c r="D4994" s="198"/>
      <c r="E4994" s="537"/>
      <c r="G4994" s="198"/>
      <c r="H4994" s="123"/>
    </row>
    <row r="4995" spans="3:8" s="99" customFormat="1" x14ac:dyDescent="0.2">
      <c r="C4995" s="198"/>
      <c r="D4995" s="198"/>
      <c r="E4995" s="537"/>
      <c r="G4995" s="198"/>
      <c r="H4995" s="123"/>
    </row>
    <row r="4996" spans="3:8" s="99" customFormat="1" x14ac:dyDescent="0.2">
      <c r="C4996" s="198"/>
      <c r="D4996" s="198"/>
      <c r="E4996" s="537"/>
      <c r="G4996" s="198"/>
      <c r="H4996" s="123"/>
    </row>
    <row r="4997" spans="3:8" s="99" customFormat="1" x14ac:dyDescent="0.2">
      <c r="C4997" s="198"/>
      <c r="D4997" s="198"/>
      <c r="E4997" s="537"/>
      <c r="G4997" s="198"/>
      <c r="H4997" s="123"/>
    </row>
    <row r="4998" spans="3:8" s="99" customFormat="1" x14ac:dyDescent="0.2">
      <c r="C4998" s="198"/>
      <c r="D4998" s="198"/>
      <c r="E4998" s="537"/>
      <c r="G4998" s="198"/>
      <c r="H4998" s="123"/>
    </row>
    <row r="4999" spans="3:8" s="99" customFormat="1" x14ac:dyDescent="0.2">
      <c r="C4999" s="198"/>
      <c r="D4999" s="198"/>
      <c r="E4999" s="537"/>
      <c r="G4999" s="198"/>
      <c r="H4999" s="123"/>
    </row>
    <row r="5000" spans="3:8" s="99" customFormat="1" x14ac:dyDescent="0.2">
      <c r="C5000" s="198"/>
      <c r="D5000" s="198"/>
      <c r="E5000" s="537"/>
      <c r="G5000" s="198"/>
      <c r="H5000" s="123"/>
    </row>
    <row r="5001" spans="3:8" s="99" customFormat="1" x14ac:dyDescent="0.2">
      <c r="C5001" s="198"/>
      <c r="D5001" s="198"/>
      <c r="E5001" s="537"/>
      <c r="G5001" s="198"/>
      <c r="H5001" s="123"/>
    </row>
    <row r="5002" spans="3:8" s="99" customFormat="1" x14ac:dyDescent="0.2">
      <c r="C5002" s="198"/>
      <c r="D5002" s="198"/>
      <c r="E5002" s="537"/>
      <c r="G5002" s="198"/>
      <c r="H5002" s="123"/>
    </row>
    <row r="5003" spans="3:8" s="99" customFormat="1" x14ac:dyDescent="0.2">
      <c r="C5003" s="198"/>
      <c r="D5003" s="198"/>
      <c r="E5003" s="537"/>
      <c r="G5003" s="198"/>
      <c r="H5003" s="123"/>
    </row>
    <row r="5004" spans="3:8" s="99" customFormat="1" x14ac:dyDescent="0.2">
      <c r="C5004" s="198"/>
      <c r="D5004" s="198"/>
      <c r="E5004" s="537"/>
      <c r="G5004" s="198"/>
      <c r="H5004" s="123"/>
    </row>
    <row r="5005" spans="3:8" s="99" customFormat="1" x14ac:dyDescent="0.2">
      <c r="C5005" s="198"/>
      <c r="D5005" s="198"/>
      <c r="E5005" s="537"/>
      <c r="G5005" s="198"/>
      <c r="H5005" s="123"/>
    </row>
    <row r="5006" spans="3:8" s="99" customFormat="1" x14ac:dyDescent="0.2">
      <c r="C5006" s="198"/>
      <c r="D5006" s="198"/>
      <c r="E5006" s="537"/>
      <c r="G5006" s="198"/>
      <c r="H5006" s="123"/>
    </row>
    <row r="5007" spans="3:8" s="99" customFormat="1" x14ac:dyDescent="0.2">
      <c r="C5007" s="198"/>
      <c r="D5007" s="198"/>
      <c r="E5007" s="537"/>
      <c r="G5007" s="198"/>
      <c r="H5007" s="123"/>
    </row>
    <row r="5008" spans="3:8" s="99" customFormat="1" x14ac:dyDescent="0.2">
      <c r="C5008" s="198"/>
      <c r="D5008" s="198"/>
      <c r="E5008" s="537"/>
      <c r="G5008" s="198"/>
      <c r="H5008" s="123"/>
    </row>
    <row r="5009" spans="3:8" s="99" customFormat="1" x14ac:dyDescent="0.2">
      <c r="C5009" s="198"/>
      <c r="D5009" s="198"/>
      <c r="E5009" s="537"/>
      <c r="G5009" s="198"/>
      <c r="H5009" s="123"/>
    </row>
    <row r="5010" spans="3:8" s="99" customFormat="1" x14ac:dyDescent="0.2">
      <c r="C5010" s="198"/>
      <c r="D5010" s="198"/>
      <c r="E5010" s="537"/>
      <c r="G5010" s="198"/>
      <c r="H5010" s="123"/>
    </row>
    <row r="5011" spans="3:8" s="99" customFormat="1" x14ac:dyDescent="0.2">
      <c r="C5011" s="198"/>
      <c r="D5011" s="198"/>
      <c r="E5011" s="537"/>
      <c r="G5011" s="198"/>
      <c r="H5011" s="123"/>
    </row>
    <row r="5012" spans="3:8" s="99" customFormat="1" x14ac:dyDescent="0.2">
      <c r="C5012" s="198"/>
      <c r="D5012" s="198"/>
      <c r="E5012" s="537"/>
      <c r="G5012" s="198"/>
      <c r="H5012" s="123"/>
    </row>
    <row r="5013" spans="3:8" s="99" customFormat="1" x14ac:dyDescent="0.2">
      <c r="C5013" s="198"/>
      <c r="D5013" s="198"/>
      <c r="E5013" s="537"/>
      <c r="G5013" s="198"/>
      <c r="H5013" s="123"/>
    </row>
    <row r="5014" spans="3:8" s="99" customFormat="1" x14ac:dyDescent="0.2">
      <c r="C5014" s="198"/>
      <c r="D5014" s="198"/>
      <c r="E5014" s="537"/>
      <c r="G5014" s="198"/>
      <c r="H5014" s="123"/>
    </row>
    <row r="5015" spans="3:8" s="99" customFormat="1" x14ac:dyDescent="0.2">
      <c r="C5015" s="198"/>
      <c r="D5015" s="198"/>
      <c r="E5015" s="537"/>
      <c r="G5015" s="198"/>
      <c r="H5015" s="123"/>
    </row>
    <row r="5016" spans="3:8" s="99" customFormat="1" x14ac:dyDescent="0.2">
      <c r="C5016" s="198"/>
      <c r="D5016" s="198"/>
      <c r="E5016" s="537"/>
      <c r="G5016" s="198"/>
      <c r="H5016" s="123"/>
    </row>
    <row r="5017" spans="3:8" s="99" customFormat="1" x14ac:dyDescent="0.2">
      <c r="C5017" s="198"/>
      <c r="D5017" s="198"/>
      <c r="E5017" s="537"/>
      <c r="G5017" s="198"/>
      <c r="H5017" s="123"/>
    </row>
    <row r="5018" spans="3:8" s="99" customFormat="1" x14ac:dyDescent="0.2">
      <c r="C5018" s="198"/>
      <c r="D5018" s="198"/>
      <c r="E5018" s="537"/>
      <c r="G5018" s="198"/>
      <c r="H5018" s="123"/>
    </row>
    <row r="5019" spans="3:8" s="99" customFormat="1" x14ac:dyDescent="0.2">
      <c r="C5019" s="198"/>
      <c r="D5019" s="198"/>
      <c r="E5019" s="537"/>
      <c r="G5019" s="198"/>
      <c r="H5019" s="123"/>
    </row>
    <row r="5020" spans="3:8" s="99" customFormat="1" x14ac:dyDescent="0.2">
      <c r="C5020" s="198"/>
      <c r="D5020" s="198"/>
      <c r="E5020" s="537"/>
      <c r="G5020" s="198"/>
      <c r="H5020" s="123"/>
    </row>
    <row r="5021" spans="3:8" s="99" customFormat="1" x14ac:dyDescent="0.2">
      <c r="C5021" s="198"/>
      <c r="D5021" s="198"/>
      <c r="E5021" s="537"/>
      <c r="G5021" s="198"/>
      <c r="H5021" s="123"/>
    </row>
    <row r="5022" spans="3:8" s="99" customFormat="1" x14ac:dyDescent="0.2">
      <c r="C5022" s="198"/>
      <c r="D5022" s="198"/>
      <c r="E5022" s="537"/>
      <c r="G5022" s="198"/>
      <c r="H5022" s="123"/>
    </row>
    <row r="5023" spans="3:8" s="99" customFormat="1" x14ac:dyDescent="0.2">
      <c r="C5023" s="198"/>
      <c r="D5023" s="198"/>
      <c r="E5023" s="537"/>
      <c r="G5023" s="198"/>
      <c r="H5023" s="123"/>
    </row>
    <row r="5024" spans="3:8" s="99" customFormat="1" x14ac:dyDescent="0.2">
      <c r="C5024" s="198"/>
      <c r="D5024" s="198"/>
      <c r="E5024" s="537"/>
      <c r="G5024" s="198"/>
      <c r="H5024" s="123"/>
    </row>
    <row r="5025" spans="3:8" s="99" customFormat="1" x14ac:dyDescent="0.2">
      <c r="C5025" s="198"/>
      <c r="D5025" s="198"/>
      <c r="E5025" s="537"/>
      <c r="G5025" s="198"/>
      <c r="H5025" s="123"/>
    </row>
    <row r="5026" spans="3:8" s="99" customFormat="1" x14ac:dyDescent="0.2">
      <c r="C5026" s="198"/>
      <c r="D5026" s="198"/>
      <c r="E5026" s="537"/>
      <c r="G5026" s="198"/>
      <c r="H5026" s="123"/>
    </row>
    <row r="5027" spans="3:8" s="99" customFormat="1" x14ac:dyDescent="0.2">
      <c r="C5027" s="198"/>
      <c r="D5027" s="198"/>
      <c r="E5027" s="537"/>
      <c r="G5027" s="198"/>
      <c r="H5027" s="123"/>
    </row>
    <row r="5028" spans="3:8" s="99" customFormat="1" x14ac:dyDescent="0.2">
      <c r="C5028" s="198"/>
      <c r="D5028" s="198"/>
      <c r="E5028" s="537"/>
      <c r="G5028" s="198"/>
      <c r="H5028" s="123"/>
    </row>
    <row r="5029" spans="3:8" s="99" customFormat="1" x14ac:dyDescent="0.2">
      <c r="C5029" s="198"/>
      <c r="D5029" s="198"/>
      <c r="E5029" s="537"/>
      <c r="G5029" s="198"/>
      <c r="H5029" s="123"/>
    </row>
    <row r="5030" spans="3:8" s="99" customFormat="1" x14ac:dyDescent="0.2">
      <c r="C5030" s="198"/>
      <c r="D5030" s="198"/>
      <c r="E5030" s="537"/>
      <c r="G5030" s="198"/>
      <c r="H5030" s="123"/>
    </row>
    <row r="5031" spans="3:8" s="99" customFormat="1" x14ac:dyDescent="0.2">
      <c r="C5031" s="198"/>
      <c r="D5031" s="198"/>
      <c r="E5031" s="537"/>
      <c r="G5031" s="198"/>
      <c r="H5031" s="123"/>
    </row>
    <row r="5032" spans="3:8" s="99" customFormat="1" x14ac:dyDescent="0.2">
      <c r="C5032" s="198"/>
      <c r="D5032" s="198"/>
      <c r="E5032" s="537"/>
      <c r="G5032" s="198"/>
      <c r="H5032" s="123"/>
    </row>
    <row r="5033" spans="3:8" s="99" customFormat="1" x14ac:dyDescent="0.2">
      <c r="C5033" s="198"/>
      <c r="D5033" s="198"/>
      <c r="E5033" s="537"/>
      <c r="G5033" s="198"/>
      <c r="H5033" s="123"/>
    </row>
    <row r="5034" spans="3:8" s="99" customFormat="1" x14ac:dyDescent="0.2">
      <c r="C5034" s="198"/>
      <c r="D5034" s="198"/>
      <c r="E5034" s="537"/>
      <c r="G5034" s="198"/>
      <c r="H5034" s="123"/>
    </row>
    <row r="5035" spans="3:8" s="99" customFormat="1" x14ac:dyDescent="0.2">
      <c r="C5035" s="198"/>
      <c r="D5035" s="198"/>
      <c r="E5035" s="537"/>
      <c r="G5035" s="198"/>
      <c r="H5035" s="123"/>
    </row>
    <row r="5036" spans="3:8" s="99" customFormat="1" x14ac:dyDescent="0.2">
      <c r="C5036" s="198"/>
      <c r="D5036" s="198"/>
      <c r="E5036" s="537"/>
      <c r="G5036" s="198"/>
      <c r="H5036" s="123"/>
    </row>
    <row r="5037" spans="3:8" s="99" customFormat="1" x14ac:dyDescent="0.2">
      <c r="C5037" s="198"/>
      <c r="D5037" s="198"/>
      <c r="E5037" s="537"/>
      <c r="G5037" s="198"/>
      <c r="H5037" s="123"/>
    </row>
    <row r="5038" spans="3:8" s="99" customFormat="1" x14ac:dyDescent="0.2">
      <c r="C5038" s="198"/>
      <c r="D5038" s="198"/>
      <c r="E5038" s="537"/>
      <c r="G5038" s="198"/>
      <c r="H5038" s="123"/>
    </row>
    <row r="5039" spans="3:8" s="99" customFormat="1" x14ac:dyDescent="0.2">
      <c r="C5039" s="198"/>
      <c r="D5039" s="198"/>
      <c r="E5039" s="537"/>
      <c r="G5039" s="198"/>
      <c r="H5039" s="123"/>
    </row>
    <row r="5040" spans="3:8" s="99" customFormat="1" x14ac:dyDescent="0.2">
      <c r="C5040" s="198"/>
      <c r="D5040" s="198"/>
      <c r="E5040" s="537"/>
      <c r="G5040" s="198"/>
      <c r="H5040" s="123"/>
    </row>
    <row r="5041" spans="3:8" s="99" customFormat="1" x14ac:dyDescent="0.2">
      <c r="C5041" s="198"/>
      <c r="D5041" s="198"/>
      <c r="E5041" s="537"/>
      <c r="G5041" s="198"/>
      <c r="H5041" s="123"/>
    </row>
    <row r="5042" spans="3:8" s="99" customFormat="1" x14ac:dyDescent="0.2">
      <c r="C5042" s="198"/>
      <c r="D5042" s="198"/>
      <c r="E5042" s="537"/>
      <c r="G5042" s="198"/>
      <c r="H5042" s="123"/>
    </row>
    <row r="5043" spans="3:8" s="99" customFormat="1" x14ac:dyDescent="0.2">
      <c r="C5043" s="198"/>
      <c r="D5043" s="198"/>
      <c r="E5043" s="537"/>
      <c r="G5043" s="198"/>
      <c r="H5043" s="123"/>
    </row>
    <row r="5044" spans="3:8" s="99" customFormat="1" x14ac:dyDescent="0.2">
      <c r="C5044" s="198"/>
      <c r="D5044" s="198"/>
      <c r="E5044" s="537"/>
      <c r="G5044" s="198"/>
      <c r="H5044" s="123"/>
    </row>
    <row r="5045" spans="3:8" s="99" customFormat="1" x14ac:dyDescent="0.2">
      <c r="C5045" s="198"/>
      <c r="D5045" s="198"/>
      <c r="E5045" s="537"/>
      <c r="G5045" s="198"/>
      <c r="H5045" s="123"/>
    </row>
    <row r="5046" spans="3:8" s="99" customFormat="1" x14ac:dyDescent="0.2">
      <c r="C5046" s="198"/>
      <c r="D5046" s="198"/>
      <c r="E5046" s="537"/>
      <c r="G5046" s="198"/>
      <c r="H5046" s="123"/>
    </row>
    <row r="5047" spans="3:8" s="99" customFormat="1" x14ac:dyDescent="0.2">
      <c r="C5047" s="198"/>
      <c r="D5047" s="198"/>
      <c r="E5047" s="537"/>
      <c r="G5047" s="198"/>
      <c r="H5047" s="123"/>
    </row>
    <row r="5048" spans="3:8" s="99" customFormat="1" x14ac:dyDescent="0.2">
      <c r="C5048" s="198"/>
      <c r="D5048" s="198"/>
      <c r="E5048" s="537"/>
      <c r="G5048" s="198"/>
      <c r="H5048" s="123"/>
    </row>
    <row r="5049" spans="3:8" s="99" customFormat="1" x14ac:dyDescent="0.2">
      <c r="C5049" s="198"/>
      <c r="D5049" s="198"/>
      <c r="E5049" s="537"/>
      <c r="G5049" s="198"/>
      <c r="H5049" s="123"/>
    </row>
    <row r="5050" spans="3:8" s="99" customFormat="1" x14ac:dyDescent="0.2">
      <c r="C5050" s="198"/>
      <c r="D5050" s="198"/>
      <c r="E5050" s="537"/>
      <c r="G5050" s="198"/>
      <c r="H5050" s="123"/>
    </row>
    <row r="5051" spans="3:8" s="99" customFormat="1" x14ac:dyDescent="0.2">
      <c r="C5051" s="198"/>
      <c r="D5051" s="198"/>
      <c r="E5051" s="537"/>
      <c r="G5051" s="198"/>
      <c r="H5051" s="123"/>
    </row>
    <row r="5052" spans="3:8" s="99" customFormat="1" x14ac:dyDescent="0.2">
      <c r="C5052" s="198"/>
      <c r="D5052" s="198"/>
      <c r="E5052" s="537"/>
      <c r="G5052" s="198"/>
      <c r="H5052" s="123"/>
    </row>
    <row r="5053" spans="3:8" s="99" customFormat="1" x14ac:dyDescent="0.2">
      <c r="C5053" s="198"/>
      <c r="D5053" s="198"/>
      <c r="E5053" s="537"/>
      <c r="G5053" s="198"/>
      <c r="H5053" s="123"/>
    </row>
    <row r="5054" spans="3:8" s="99" customFormat="1" x14ac:dyDescent="0.2">
      <c r="C5054" s="198"/>
      <c r="D5054" s="198"/>
      <c r="E5054" s="537"/>
      <c r="G5054" s="198"/>
      <c r="H5054" s="123"/>
    </row>
    <row r="5055" spans="3:8" s="99" customFormat="1" x14ac:dyDescent="0.2">
      <c r="C5055" s="198"/>
      <c r="D5055" s="198"/>
      <c r="E5055" s="537"/>
      <c r="G5055" s="198"/>
      <c r="H5055" s="123"/>
    </row>
    <row r="5056" spans="3:8" s="99" customFormat="1" x14ac:dyDescent="0.2">
      <c r="C5056" s="198"/>
      <c r="D5056" s="198"/>
      <c r="E5056" s="537"/>
      <c r="G5056" s="198"/>
      <c r="H5056" s="123"/>
    </row>
    <row r="5057" spans="3:8" s="99" customFormat="1" x14ac:dyDescent="0.2">
      <c r="C5057" s="198"/>
      <c r="D5057" s="198"/>
      <c r="E5057" s="537"/>
      <c r="G5057" s="198"/>
      <c r="H5057" s="123"/>
    </row>
    <row r="5058" spans="3:8" s="99" customFormat="1" x14ac:dyDescent="0.2">
      <c r="C5058" s="198"/>
      <c r="D5058" s="198"/>
      <c r="E5058" s="537"/>
      <c r="G5058" s="198"/>
      <c r="H5058" s="123"/>
    </row>
    <row r="5059" spans="3:8" s="99" customFormat="1" x14ac:dyDescent="0.2">
      <c r="C5059" s="198"/>
      <c r="D5059" s="198"/>
      <c r="E5059" s="537"/>
      <c r="G5059" s="198"/>
      <c r="H5059" s="123"/>
    </row>
    <row r="5060" spans="3:8" s="99" customFormat="1" x14ac:dyDescent="0.2">
      <c r="C5060" s="198"/>
      <c r="D5060" s="198"/>
      <c r="E5060" s="537"/>
      <c r="G5060" s="198"/>
      <c r="H5060" s="123"/>
    </row>
    <row r="5061" spans="3:8" s="99" customFormat="1" x14ac:dyDescent="0.2">
      <c r="C5061" s="198"/>
      <c r="D5061" s="198"/>
      <c r="E5061" s="537"/>
      <c r="G5061" s="198"/>
      <c r="H5061" s="123"/>
    </row>
    <row r="5062" spans="3:8" s="99" customFormat="1" x14ac:dyDescent="0.2">
      <c r="C5062" s="198"/>
      <c r="D5062" s="198"/>
      <c r="E5062" s="537"/>
      <c r="G5062" s="198"/>
      <c r="H5062" s="123"/>
    </row>
    <row r="5063" spans="3:8" s="99" customFormat="1" x14ac:dyDescent="0.2">
      <c r="C5063" s="198"/>
      <c r="D5063" s="198"/>
      <c r="E5063" s="537"/>
      <c r="G5063" s="198"/>
      <c r="H5063" s="123"/>
    </row>
    <row r="5064" spans="3:8" s="99" customFormat="1" x14ac:dyDescent="0.2">
      <c r="C5064" s="198"/>
      <c r="D5064" s="198"/>
      <c r="E5064" s="537"/>
      <c r="G5064" s="198"/>
      <c r="H5064" s="123"/>
    </row>
    <row r="5065" spans="3:8" s="99" customFormat="1" x14ac:dyDescent="0.2">
      <c r="C5065" s="198"/>
      <c r="D5065" s="198"/>
      <c r="E5065" s="537"/>
      <c r="G5065" s="198"/>
      <c r="H5065" s="123"/>
    </row>
    <row r="5066" spans="3:8" s="99" customFormat="1" x14ac:dyDescent="0.2">
      <c r="C5066" s="198"/>
      <c r="D5066" s="198"/>
      <c r="E5066" s="537"/>
      <c r="G5066" s="198"/>
      <c r="H5066" s="123"/>
    </row>
    <row r="5067" spans="3:8" s="99" customFormat="1" x14ac:dyDescent="0.2">
      <c r="C5067" s="198"/>
      <c r="D5067" s="198"/>
      <c r="E5067" s="537"/>
      <c r="G5067" s="198"/>
      <c r="H5067" s="123"/>
    </row>
    <row r="5068" spans="3:8" s="99" customFormat="1" x14ac:dyDescent="0.2">
      <c r="C5068" s="198"/>
      <c r="D5068" s="198"/>
      <c r="E5068" s="537"/>
      <c r="G5068" s="198"/>
      <c r="H5068" s="123"/>
    </row>
    <row r="5069" spans="3:8" s="99" customFormat="1" x14ac:dyDescent="0.2">
      <c r="C5069" s="198"/>
      <c r="D5069" s="198"/>
      <c r="E5069" s="537"/>
      <c r="G5069" s="198"/>
      <c r="H5069" s="123"/>
    </row>
    <row r="5070" spans="3:8" s="99" customFormat="1" x14ac:dyDescent="0.2">
      <c r="C5070" s="198"/>
      <c r="D5070" s="198"/>
      <c r="E5070" s="537"/>
      <c r="G5070" s="198"/>
      <c r="H5070" s="123"/>
    </row>
    <row r="5071" spans="3:8" s="99" customFormat="1" x14ac:dyDescent="0.2">
      <c r="C5071" s="198"/>
      <c r="D5071" s="198"/>
      <c r="E5071" s="537"/>
      <c r="G5071" s="198"/>
      <c r="H5071" s="123"/>
    </row>
    <row r="5072" spans="3:8" s="99" customFormat="1" x14ac:dyDescent="0.2">
      <c r="C5072" s="198"/>
      <c r="D5072" s="198"/>
      <c r="E5072" s="537"/>
      <c r="G5072" s="198"/>
      <c r="H5072" s="123"/>
    </row>
    <row r="5073" spans="3:8" s="99" customFormat="1" x14ac:dyDescent="0.2">
      <c r="C5073" s="198"/>
      <c r="D5073" s="198"/>
      <c r="E5073" s="537"/>
      <c r="G5073" s="198"/>
      <c r="H5073" s="123"/>
    </row>
    <row r="5074" spans="3:8" s="99" customFormat="1" x14ac:dyDescent="0.2">
      <c r="C5074" s="198"/>
      <c r="D5074" s="198"/>
      <c r="E5074" s="537"/>
      <c r="G5074" s="198"/>
      <c r="H5074" s="123"/>
    </row>
    <row r="5075" spans="3:8" s="99" customFormat="1" x14ac:dyDescent="0.2">
      <c r="C5075" s="198"/>
      <c r="D5075" s="198"/>
      <c r="E5075" s="537"/>
      <c r="G5075" s="198"/>
      <c r="H5075" s="123"/>
    </row>
    <row r="5076" spans="3:8" s="99" customFormat="1" x14ac:dyDescent="0.2">
      <c r="C5076" s="198"/>
      <c r="D5076" s="198"/>
      <c r="E5076" s="537"/>
      <c r="G5076" s="198"/>
      <c r="H5076" s="123"/>
    </row>
    <row r="5077" spans="3:8" s="99" customFormat="1" x14ac:dyDescent="0.2">
      <c r="C5077" s="198"/>
      <c r="D5077" s="198"/>
      <c r="E5077" s="537"/>
      <c r="G5077" s="198"/>
      <c r="H5077" s="123"/>
    </row>
    <row r="5078" spans="3:8" s="99" customFormat="1" x14ac:dyDescent="0.2">
      <c r="C5078" s="198"/>
      <c r="D5078" s="198"/>
      <c r="E5078" s="537"/>
      <c r="G5078" s="198"/>
      <c r="H5078" s="123"/>
    </row>
    <row r="5079" spans="3:8" s="99" customFormat="1" x14ac:dyDescent="0.2">
      <c r="C5079" s="198"/>
      <c r="D5079" s="198"/>
      <c r="E5079" s="537"/>
      <c r="G5079" s="198"/>
      <c r="H5079" s="123"/>
    </row>
    <row r="5080" spans="3:8" s="99" customFormat="1" x14ac:dyDescent="0.2">
      <c r="C5080" s="198"/>
      <c r="D5080" s="198"/>
      <c r="E5080" s="537"/>
      <c r="G5080" s="198"/>
      <c r="H5080" s="123"/>
    </row>
    <row r="5081" spans="3:8" s="99" customFormat="1" x14ac:dyDescent="0.2">
      <c r="C5081" s="198"/>
      <c r="D5081" s="198"/>
      <c r="E5081" s="537"/>
      <c r="G5081" s="198"/>
      <c r="H5081" s="123"/>
    </row>
    <row r="5082" spans="3:8" s="99" customFormat="1" x14ac:dyDescent="0.2">
      <c r="C5082" s="198"/>
      <c r="D5082" s="198"/>
      <c r="E5082" s="537"/>
      <c r="G5082" s="198"/>
      <c r="H5082" s="123"/>
    </row>
    <row r="5083" spans="3:8" s="99" customFormat="1" x14ac:dyDescent="0.2">
      <c r="C5083" s="198"/>
      <c r="D5083" s="198"/>
      <c r="E5083" s="537"/>
      <c r="G5083" s="198"/>
      <c r="H5083" s="123"/>
    </row>
    <row r="5084" spans="3:8" s="99" customFormat="1" x14ac:dyDescent="0.2">
      <c r="C5084" s="198"/>
      <c r="D5084" s="198"/>
      <c r="E5084" s="537"/>
      <c r="G5084" s="198"/>
      <c r="H5084" s="123"/>
    </row>
    <row r="5085" spans="3:8" s="99" customFormat="1" x14ac:dyDescent="0.2">
      <c r="C5085" s="198"/>
      <c r="D5085" s="198"/>
      <c r="E5085" s="537"/>
      <c r="G5085" s="198"/>
      <c r="H5085" s="123"/>
    </row>
    <row r="5086" spans="3:8" s="99" customFormat="1" x14ac:dyDescent="0.2">
      <c r="C5086" s="198"/>
      <c r="D5086" s="198"/>
      <c r="E5086" s="537"/>
      <c r="G5086" s="198"/>
      <c r="H5086" s="123"/>
    </row>
    <row r="5087" spans="3:8" s="99" customFormat="1" x14ac:dyDescent="0.2">
      <c r="C5087" s="198"/>
      <c r="D5087" s="198"/>
      <c r="E5087" s="537"/>
      <c r="G5087" s="198"/>
      <c r="H5087" s="123"/>
    </row>
    <row r="5088" spans="3:8" s="99" customFormat="1" x14ac:dyDescent="0.2">
      <c r="C5088" s="198"/>
      <c r="D5088" s="198"/>
      <c r="E5088" s="537"/>
      <c r="G5088" s="198"/>
      <c r="H5088" s="123"/>
    </row>
    <row r="5089" spans="3:8" s="99" customFormat="1" x14ac:dyDescent="0.2">
      <c r="C5089" s="198"/>
      <c r="D5089" s="198"/>
      <c r="E5089" s="537"/>
      <c r="G5089" s="198"/>
      <c r="H5089" s="123"/>
    </row>
    <row r="5090" spans="3:8" s="99" customFormat="1" x14ac:dyDescent="0.2">
      <c r="C5090" s="198"/>
      <c r="D5090" s="198"/>
      <c r="E5090" s="537"/>
      <c r="G5090" s="198"/>
      <c r="H5090" s="123"/>
    </row>
    <row r="5091" spans="3:8" s="99" customFormat="1" x14ac:dyDescent="0.2">
      <c r="C5091" s="198"/>
      <c r="D5091" s="198"/>
      <c r="E5091" s="537"/>
      <c r="G5091" s="198"/>
      <c r="H5091" s="123"/>
    </row>
    <row r="5092" spans="3:8" s="99" customFormat="1" x14ac:dyDescent="0.2">
      <c r="C5092" s="198"/>
      <c r="D5092" s="198"/>
      <c r="E5092" s="537"/>
      <c r="G5092" s="198"/>
      <c r="H5092" s="123"/>
    </row>
    <row r="5093" spans="3:8" s="99" customFormat="1" x14ac:dyDescent="0.2">
      <c r="C5093" s="198"/>
      <c r="D5093" s="198"/>
      <c r="E5093" s="537"/>
      <c r="G5093" s="198"/>
      <c r="H5093" s="123"/>
    </row>
    <row r="5094" spans="3:8" s="99" customFormat="1" x14ac:dyDescent="0.2">
      <c r="C5094" s="198"/>
      <c r="D5094" s="198"/>
      <c r="E5094" s="537"/>
      <c r="G5094" s="198"/>
      <c r="H5094" s="123"/>
    </row>
    <row r="5095" spans="3:8" s="99" customFormat="1" x14ac:dyDescent="0.2">
      <c r="C5095" s="198"/>
      <c r="D5095" s="198"/>
      <c r="E5095" s="537"/>
      <c r="G5095" s="198"/>
      <c r="H5095" s="123"/>
    </row>
    <row r="5096" spans="3:8" s="99" customFormat="1" x14ac:dyDescent="0.2">
      <c r="C5096" s="198"/>
      <c r="D5096" s="198"/>
      <c r="E5096" s="537"/>
      <c r="G5096" s="198"/>
      <c r="H5096" s="123"/>
    </row>
    <row r="5097" spans="3:8" s="99" customFormat="1" x14ac:dyDescent="0.2">
      <c r="C5097" s="198"/>
      <c r="D5097" s="198"/>
      <c r="E5097" s="537"/>
      <c r="G5097" s="198"/>
      <c r="H5097" s="123"/>
    </row>
    <row r="5098" spans="3:8" s="99" customFormat="1" x14ac:dyDescent="0.2">
      <c r="C5098" s="198"/>
      <c r="D5098" s="198"/>
      <c r="E5098" s="537"/>
      <c r="G5098" s="198"/>
      <c r="H5098" s="123"/>
    </row>
    <row r="5099" spans="3:8" s="99" customFormat="1" x14ac:dyDescent="0.2">
      <c r="C5099" s="198"/>
      <c r="D5099" s="198"/>
      <c r="E5099" s="537"/>
      <c r="G5099" s="198"/>
      <c r="H5099" s="123"/>
    </row>
    <row r="5100" spans="3:8" s="99" customFormat="1" x14ac:dyDescent="0.2">
      <c r="C5100" s="198"/>
      <c r="D5100" s="198"/>
      <c r="E5100" s="537"/>
      <c r="G5100" s="198"/>
      <c r="H5100" s="123"/>
    </row>
    <row r="5101" spans="3:8" s="99" customFormat="1" x14ac:dyDescent="0.2">
      <c r="C5101" s="198"/>
      <c r="D5101" s="198"/>
      <c r="E5101" s="537"/>
      <c r="G5101" s="198"/>
      <c r="H5101" s="123"/>
    </row>
    <row r="5102" spans="3:8" s="99" customFormat="1" x14ac:dyDescent="0.2">
      <c r="C5102" s="198"/>
      <c r="D5102" s="198"/>
      <c r="E5102" s="537"/>
      <c r="G5102" s="198"/>
      <c r="H5102" s="123"/>
    </row>
    <row r="5103" spans="3:8" s="99" customFormat="1" x14ac:dyDescent="0.2">
      <c r="C5103" s="198"/>
      <c r="D5103" s="198"/>
      <c r="E5103" s="537"/>
      <c r="G5103" s="198"/>
      <c r="H5103" s="123"/>
    </row>
    <row r="5104" spans="3:8" s="99" customFormat="1" x14ac:dyDescent="0.2">
      <c r="C5104" s="198"/>
      <c r="D5104" s="198"/>
      <c r="E5104" s="537"/>
      <c r="G5104" s="198"/>
      <c r="H5104" s="123"/>
    </row>
    <row r="5105" spans="3:8" s="99" customFormat="1" x14ac:dyDescent="0.2">
      <c r="C5105" s="198"/>
      <c r="D5105" s="198"/>
      <c r="E5105" s="537"/>
      <c r="G5105" s="198"/>
      <c r="H5105" s="123"/>
    </row>
    <row r="5106" spans="3:8" s="99" customFormat="1" x14ac:dyDescent="0.2">
      <c r="C5106" s="198"/>
      <c r="D5106" s="198"/>
      <c r="E5106" s="537"/>
      <c r="G5106" s="198"/>
      <c r="H5106" s="123"/>
    </row>
    <row r="5107" spans="3:8" s="99" customFormat="1" x14ac:dyDescent="0.2">
      <c r="C5107" s="198"/>
      <c r="D5107" s="198"/>
      <c r="E5107" s="537"/>
      <c r="G5107" s="198"/>
      <c r="H5107" s="123"/>
    </row>
    <row r="5108" spans="3:8" s="99" customFormat="1" x14ac:dyDescent="0.2">
      <c r="C5108" s="198"/>
      <c r="D5108" s="198"/>
      <c r="E5108" s="537"/>
      <c r="G5108" s="198"/>
      <c r="H5108" s="123"/>
    </row>
    <row r="5109" spans="3:8" s="99" customFormat="1" x14ac:dyDescent="0.2">
      <c r="C5109" s="198"/>
      <c r="D5109" s="198"/>
      <c r="E5109" s="537"/>
      <c r="G5109" s="198"/>
      <c r="H5109" s="123"/>
    </row>
    <row r="5110" spans="3:8" s="99" customFormat="1" x14ac:dyDescent="0.2">
      <c r="C5110" s="198"/>
      <c r="D5110" s="198"/>
      <c r="E5110" s="537"/>
      <c r="G5110" s="198"/>
      <c r="H5110" s="123"/>
    </row>
    <row r="5111" spans="3:8" s="99" customFormat="1" x14ac:dyDescent="0.2">
      <c r="C5111" s="198"/>
      <c r="D5111" s="198"/>
      <c r="E5111" s="537"/>
      <c r="G5111" s="198"/>
      <c r="H5111" s="123"/>
    </row>
    <row r="5112" spans="3:8" s="99" customFormat="1" x14ac:dyDescent="0.2">
      <c r="C5112" s="198"/>
      <c r="D5112" s="198"/>
      <c r="E5112" s="537"/>
      <c r="G5112" s="198"/>
      <c r="H5112" s="123"/>
    </row>
    <row r="5113" spans="3:8" s="99" customFormat="1" x14ac:dyDescent="0.2">
      <c r="C5113" s="198"/>
      <c r="D5113" s="198"/>
      <c r="E5113" s="537"/>
      <c r="G5113" s="198"/>
      <c r="H5113" s="123"/>
    </row>
    <row r="5114" spans="3:8" s="99" customFormat="1" x14ac:dyDescent="0.2">
      <c r="C5114" s="198"/>
      <c r="D5114" s="198"/>
      <c r="E5114" s="537"/>
      <c r="G5114" s="198"/>
      <c r="H5114" s="123"/>
    </row>
    <row r="5115" spans="3:8" s="99" customFormat="1" x14ac:dyDescent="0.2">
      <c r="C5115" s="198"/>
      <c r="D5115" s="198"/>
      <c r="E5115" s="537"/>
      <c r="G5115" s="198"/>
      <c r="H5115" s="123"/>
    </row>
    <row r="5116" spans="3:8" s="99" customFormat="1" x14ac:dyDescent="0.2">
      <c r="C5116" s="198"/>
      <c r="D5116" s="198"/>
      <c r="E5116" s="537"/>
      <c r="G5116" s="198"/>
      <c r="H5116" s="123"/>
    </row>
    <row r="5117" spans="3:8" s="99" customFormat="1" x14ac:dyDescent="0.2">
      <c r="C5117" s="198"/>
      <c r="D5117" s="198"/>
      <c r="E5117" s="537"/>
      <c r="G5117" s="198"/>
      <c r="H5117" s="123"/>
    </row>
    <row r="5118" spans="3:8" s="99" customFormat="1" x14ac:dyDescent="0.2">
      <c r="C5118" s="198"/>
      <c r="D5118" s="198"/>
      <c r="E5118" s="537"/>
      <c r="G5118" s="198"/>
      <c r="H5118" s="123"/>
    </row>
    <row r="5119" spans="3:8" s="99" customFormat="1" x14ac:dyDescent="0.2">
      <c r="C5119" s="198"/>
      <c r="D5119" s="198"/>
      <c r="E5119" s="537"/>
      <c r="G5119" s="198"/>
      <c r="H5119" s="123"/>
    </row>
    <row r="5120" spans="3:8" s="99" customFormat="1" x14ac:dyDescent="0.2">
      <c r="C5120" s="198"/>
      <c r="D5120" s="198"/>
      <c r="E5120" s="537"/>
      <c r="G5120" s="198"/>
      <c r="H5120" s="123"/>
    </row>
    <row r="5121" spans="3:8" s="99" customFormat="1" x14ac:dyDescent="0.2">
      <c r="C5121" s="198"/>
      <c r="D5121" s="198"/>
      <c r="E5121" s="537"/>
      <c r="G5121" s="198"/>
      <c r="H5121" s="123"/>
    </row>
    <row r="5122" spans="3:8" s="99" customFormat="1" x14ac:dyDescent="0.2">
      <c r="C5122" s="198"/>
      <c r="D5122" s="198"/>
      <c r="E5122" s="537"/>
      <c r="G5122" s="198"/>
      <c r="H5122" s="123"/>
    </row>
    <row r="5123" spans="3:8" s="99" customFormat="1" x14ac:dyDescent="0.2">
      <c r="C5123" s="198"/>
      <c r="D5123" s="198"/>
      <c r="E5123" s="537"/>
      <c r="G5123" s="198"/>
      <c r="H5123" s="123"/>
    </row>
    <row r="5124" spans="3:8" s="99" customFormat="1" x14ac:dyDescent="0.2">
      <c r="C5124" s="198"/>
      <c r="D5124" s="198"/>
      <c r="E5124" s="537"/>
      <c r="G5124" s="198"/>
      <c r="H5124" s="123"/>
    </row>
    <row r="5125" spans="3:8" s="99" customFormat="1" x14ac:dyDescent="0.2">
      <c r="C5125" s="198"/>
      <c r="D5125" s="198"/>
      <c r="E5125" s="537"/>
      <c r="G5125" s="198"/>
      <c r="H5125" s="123"/>
    </row>
    <row r="5126" spans="3:8" s="99" customFormat="1" x14ac:dyDescent="0.2">
      <c r="C5126" s="198"/>
      <c r="D5126" s="198"/>
      <c r="E5126" s="537"/>
      <c r="G5126" s="198"/>
      <c r="H5126" s="123"/>
    </row>
    <row r="5127" spans="3:8" s="99" customFormat="1" x14ac:dyDescent="0.2">
      <c r="C5127" s="198"/>
      <c r="D5127" s="198"/>
      <c r="E5127" s="537"/>
      <c r="G5127" s="198"/>
      <c r="H5127" s="123"/>
    </row>
    <row r="5128" spans="3:8" s="99" customFormat="1" x14ac:dyDescent="0.2">
      <c r="C5128" s="198"/>
      <c r="D5128" s="198"/>
      <c r="E5128" s="537"/>
      <c r="G5128" s="198"/>
      <c r="H5128" s="123"/>
    </row>
    <row r="5129" spans="3:8" s="99" customFormat="1" x14ac:dyDescent="0.2">
      <c r="C5129" s="198"/>
      <c r="D5129" s="198"/>
      <c r="E5129" s="537"/>
      <c r="G5129" s="198"/>
      <c r="H5129" s="123"/>
    </row>
    <row r="5130" spans="3:8" s="99" customFormat="1" x14ac:dyDescent="0.2">
      <c r="C5130" s="198"/>
      <c r="D5130" s="198"/>
      <c r="E5130" s="537"/>
      <c r="G5130" s="198"/>
      <c r="H5130" s="123"/>
    </row>
    <row r="5131" spans="3:8" s="99" customFormat="1" x14ac:dyDescent="0.2">
      <c r="C5131" s="198"/>
      <c r="D5131" s="198"/>
      <c r="E5131" s="537"/>
      <c r="G5131" s="198"/>
      <c r="H5131" s="123"/>
    </row>
    <row r="5132" spans="3:8" s="99" customFormat="1" x14ac:dyDescent="0.2">
      <c r="C5132" s="198"/>
      <c r="D5132" s="198"/>
      <c r="E5132" s="537"/>
      <c r="G5132" s="198"/>
      <c r="H5132" s="123"/>
    </row>
    <row r="5133" spans="3:8" s="99" customFormat="1" x14ac:dyDescent="0.2">
      <c r="C5133" s="198"/>
      <c r="D5133" s="198"/>
      <c r="E5133" s="537"/>
      <c r="G5133" s="198"/>
      <c r="H5133" s="123"/>
    </row>
    <row r="5134" spans="3:8" s="99" customFormat="1" x14ac:dyDescent="0.2">
      <c r="C5134" s="198"/>
      <c r="D5134" s="198"/>
      <c r="E5134" s="537"/>
      <c r="G5134" s="198"/>
      <c r="H5134" s="123"/>
    </row>
    <row r="5135" spans="3:8" s="99" customFormat="1" x14ac:dyDescent="0.2">
      <c r="C5135" s="198"/>
      <c r="D5135" s="198"/>
      <c r="E5135" s="537"/>
      <c r="G5135" s="198"/>
      <c r="H5135" s="123"/>
    </row>
    <row r="5136" spans="3:8" s="99" customFormat="1" x14ac:dyDescent="0.2">
      <c r="C5136" s="198"/>
      <c r="D5136" s="198"/>
      <c r="E5136" s="537"/>
      <c r="G5136" s="198"/>
      <c r="H5136" s="123"/>
    </row>
    <row r="5137" spans="3:8" s="99" customFormat="1" x14ac:dyDescent="0.2">
      <c r="C5137" s="198"/>
      <c r="D5137" s="198"/>
      <c r="E5137" s="537"/>
      <c r="G5137" s="198"/>
      <c r="H5137" s="123"/>
    </row>
    <row r="5138" spans="3:8" s="99" customFormat="1" x14ac:dyDescent="0.2">
      <c r="C5138" s="198"/>
      <c r="D5138" s="198"/>
      <c r="E5138" s="537"/>
      <c r="G5138" s="198"/>
      <c r="H5138" s="123"/>
    </row>
    <row r="5139" spans="3:8" s="99" customFormat="1" x14ac:dyDescent="0.2">
      <c r="C5139" s="198"/>
      <c r="D5139" s="198"/>
      <c r="E5139" s="537"/>
      <c r="G5139" s="198"/>
      <c r="H5139" s="123"/>
    </row>
    <row r="5140" spans="3:8" s="99" customFormat="1" x14ac:dyDescent="0.2">
      <c r="C5140" s="198"/>
      <c r="D5140" s="198"/>
      <c r="E5140" s="537"/>
      <c r="G5140" s="198"/>
      <c r="H5140" s="123"/>
    </row>
    <row r="5141" spans="3:8" s="99" customFormat="1" x14ac:dyDescent="0.2">
      <c r="C5141" s="198"/>
      <c r="D5141" s="198"/>
      <c r="E5141" s="537"/>
      <c r="G5141" s="198"/>
      <c r="H5141" s="123"/>
    </row>
    <row r="5142" spans="3:8" s="99" customFormat="1" x14ac:dyDescent="0.2">
      <c r="C5142" s="198"/>
      <c r="D5142" s="198"/>
      <c r="E5142" s="537"/>
      <c r="G5142" s="198"/>
      <c r="H5142" s="123"/>
    </row>
    <row r="5143" spans="3:8" s="99" customFormat="1" x14ac:dyDescent="0.2">
      <c r="C5143" s="198"/>
      <c r="D5143" s="198"/>
      <c r="E5143" s="537"/>
      <c r="G5143" s="198"/>
      <c r="H5143" s="123"/>
    </row>
    <row r="5144" spans="3:8" s="99" customFormat="1" x14ac:dyDescent="0.2">
      <c r="C5144" s="198"/>
      <c r="D5144" s="198"/>
      <c r="E5144" s="537"/>
      <c r="G5144" s="198"/>
      <c r="H5144" s="123"/>
    </row>
    <row r="5145" spans="3:8" s="99" customFormat="1" x14ac:dyDescent="0.2">
      <c r="C5145" s="198"/>
      <c r="D5145" s="198"/>
      <c r="E5145" s="537"/>
      <c r="G5145" s="198"/>
      <c r="H5145" s="123"/>
    </row>
    <row r="5146" spans="3:8" s="99" customFormat="1" x14ac:dyDescent="0.2">
      <c r="C5146" s="198"/>
      <c r="D5146" s="198"/>
      <c r="E5146" s="537"/>
      <c r="G5146" s="198"/>
      <c r="H5146" s="123"/>
    </row>
    <row r="5147" spans="3:8" s="99" customFormat="1" x14ac:dyDescent="0.2">
      <c r="C5147" s="198"/>
      <c r="D5147" s="198"/>
      <c r="E5147" s="537"/>
      <c r="G5147" s="198"/>
      <c r="H5147" s="123"/>
    </row>
    <row r="5148" spans="3:8" s="99" customFormat="1" x14ac:dyDescent="0.2">
      <c r="C5148" s="198"/>
      <c r="D5148" s="198"/>
      <c r="E5148" s="537"/>
      <c r="G5148" s="198"/>
      <c r="H5148" s="123"/>
    </row>
    <row r="5149" spans="3:8" s="99" customFormat="1" x14ac:dyDescent="0.2">
      <c r="C5149" s="198"/>
      <c r="D5149" s="198"/>
      <c r="E5149" s="537"/>
      <c r="G5149" s="198"/>
      <c r="H5149" s="123"/>
    </row>
    <row r="5150" spans="3:8" s="99" customFormat="1" x14ac:dyDescent="0.2">
      <c r="C5150" s="198"/>
      <c r="D5150" s="198"/>
      <c r="E5150" s="537"/>
      <c r="G5150" s="198"/>
      <c r="H5150" s="123"/>
    </row>
    <row r="5151" spans="3:8" s="99" customFormat="1" x14ac:dyDescent="0.2">
      <c r="C5151" s="198"/>
      <c r="D5151" s="198"/>
      <c r="E5151" s="537"/>
      <c r="G5151" s="198"/>
      <c r="H5151" s="123"/>
    </row>
    <row r="5152" spans="3:8" s="99" customFormat="1" x14ac:dyDescent="0.2">
      <c r="C5152" s="198"/>
      <c r="D5152" s="198"/>
      <c r="E5152" s="537"/>
      <c r="G5152" s="198"/>
      <c r="H5152" s="123"/>
    </row>
    <row r="5153" spans="3:8" s="99" customFormat="1" x14ac:dyDescent="0.2">
      <c r="C5153" s="198"/>
      <c r="D5153" s="198"/>
      <c r="E5153" s="537"/>
      <c r="G5153" s="198"/>
      <c r="H5153" s="123"/>
    </row>
    <row r="5154" spans="3:8" s="99" customFormat="1" x14ac:dyDescent="0.2">
      <c r="C5154" s="198"/>
      <c r="D5154" s="198"/>
      <c r="E5154" s="537"/>
      <c r="G5154" s="198"/>
      <c r="H5154" s="123"/>
    </row>
    <row r="5155" spans="3:8" s="99" customFormat="1" x14ac:dyDescent="0.2">
      <c r="C5155" s="198"/>
      <c r="D5155" s="198"/>
      <c r="E5155" s="537"/>
      <c r="G5155" s="198"/>
      <c r="H5155" s="123"/>
    </row>
    <row r="5156" spans="3:8" s="99" customFormat="1" x14ac:dyDescent="0.2">
      <c r="C5156" s="198"/>
      <c r="D5156" s="198"/>
      <c r="E5156" s="537"/>
      <c r="G5156" s="198"/>
      <c r="H5156" s="123"/>
    </row>
    <row r="5157" spans="3:8" s="99" customFormat="1" x14ac:dyDescent="0.2">
      <c r="C5157" s="198"/>
      <c r="D5157" s="198"/>
      <c r="E5157" s="537"/>
      <c r="G5157" s="198"/>
      <c r="H5157" s="123"/>
    </row>
    <row r="5158" spans="3:8" s="99" customFormat="1" x14ac:dyDescent="0.2">
      <c r="C5158" s="198"/>
      <c r="D5158" s="198"/>
      <c r="E5158" s="537"/>
      <c r="G5158" s="198"/>
      <c r="H5158" s="123"/>
    </row>
    <row r="5159" spans="3:8" s="99" customFormat="1" x14ac:dyDescent="0.2">
      <c r="C5159" s="198"/>
      <c r="D5159" s="198"/>
      <c r="E5159" s="537"/>
      <c r="G5159" s="198"/>
      <c r="H5159" s="123"/>
    </row>
    <row r="5160" spans="3:8" s="99" customFormat="1" x14ac:dyDescent="0.2">
      <c r="C5160" s="198"/>
      <c r="D5160" s="198"/>
      <c r="E5160" s="537"/>
      <c r="G5160" s="198"/>
      <c r="H5160" s="123"/>
    </row>
    <row r="5161" spans="3:8" s="99" customFormat="1" x14ac:dyDescent="0.2">
      <c r="C5161" s="198"/>
      <c r="D5161" s="198"/>
      <c r="E5161" s="537"/>
      <c r="G5161" s="198"/>
      <c r="H5161" s="123"/>
    </row>
    <row r="5162" spans="3:8" s="99" customFormat="1" x14ac:dyDescent="0.2">
      <c r="C5162" s="198"/>
      <c r="D5162" s="198"/>
      <c r="E5162" s="537"/>
      <c r="G5162" s="198"/>
      <c r="H5162" s="123"/>
    </row>
    <row r="5163" spans="3:8" s="99" customFormat="1" x14ac:dyDescent="0.2">
      <c r="C5163" s="198"/>
      <c r="D5163" s="198"/>
      <c r="E5163" s="537"/>
      <c r="G5163" s="198"/>
      <c r="H5163" s="123"/>
    </row>
    <row r="5164" spans="3:8" s="99" customFormat="1" x14ac:dyDescent="0.2">
      <c r="C5164" s="198"/>
      <c r="D5164" s="198"/>
      <c r="E5164" s="537"/>
      <c r="G5164" s="198"/>
      <c r="H5164" s="123"/>
    </row>
    <row r="5165" spans="3:8" s="99" customFormat="1" x14ac:dyDescent="0.2">
      <c r="C5165" s="198"/>
      <c r="D5165" s="198"/>
      <c r="E5165" s="537"/>
      <c r="G5165" s="198"/>
      <c r="H5165" s="123"/>
    </row>
    <row r="5166" spans="3:8" s="99" customFormat="1" x14ac:dyDescent="0.2">
      <c r="C5166" s="198"/>
      <c r="D5166" s="198"/>
      <c r="E5166" s="537"/>
      <c r="G5166" s="198"/>
      <c r="H5166" s="123"/>
    </row>
    <row r="5167" spans="3:8" s="99" customFormat="1" x14ac:dyDescent="0.2">
      <c r="C5167" s="198"/>
      <c r="D5167" s="198"/>
      <c r="E5167" s="537"/>
      <c r="G5167" s="198"/>
      <c r="H5167" s="123"/>
    </row>
    <row r="5168" spans="3:8" s="99" customFormat="1" x14ac:dyDescent="0.2">
      <c r="C5168" s="198"/>
      <c r="D5168" s="198"/>
      <c r="E5168" s="537"/>
      <c r="G5168" s="198"/>
      <c r="H5168" s="123"/>
    </row>
    <row r="5169" spans="3:8" s="99" customFormat="1" x14ac:dyDescent="0.2">
      <c r="C5169" s="198"/>
      <c r="D5169" s="198"/>
      <c r="E5169" s="537"/>
      <c r="G5169" s="198"/>
      <c r="H5169" s="123"/>
    </row>
    <row r="5170" spans="3:8" s="99" customFormat="1" x14ac:dyDescent="0.2">
      <c r="C5170" s="198"/>
      <c r="D5170" s="198"/>
      <c r="E5170" s="537"/>
      <c r="G5170" s="198"/>
      <c r="H5170" s="123"/>
    </row>
    <row r="5171" spans="3:8" s="99" customFormat="1" x14ac:dyDescent="0.2">
      <c r="C5171" s="198"/>
      <c r="D5171" s="198"/>
      <c r="E5171" s="537"/>
      <c r="G5171" s="198"/>
      <c r="H5171" s="123"/>
    </row>
    <row r="5172" spans="3:8" s="99" customFormat="1" x14ac:dyDescent="0.2">
      <c r="C5172" s="198"/>
      <c r="D5172" s="198"/>
      <c r="E5172" s="537"/>
      <c r="G5172" s="198"/>
      <c r="H5172" s="123"/>
    </row>
    <row r="5173" spans="3:8" s="99" customFormat="1" x14ac:dyDescent="0.2">
      <c r="C5173" s="198"/>
      <c r="D5173" s="198"/>
      <c r="E5173" s="537"/>
      <c r="G5173" s="198"/>
      <c r="H5173" s="123"/>
    </row>
    <row r="5174" spans="3:8" s="99" customFormat="1" x14ac:dyDescent="0.2">
      <c r="C5174" s="198"/>
      <c r="D5174" s="198"/>
      <c r="E5174" s="537"/>
      <c r="G5174" s="198"/>
      <c r="H5174" s="123"/>
    </row>
    <row r="5175" spans="3:8" s="99" customFormat="1" x14ac:dyDescent="0.2">
      <c r="C5175" s="198"/>
      <c r="D5175" s="198"/>
      <c r="E5175" s="537"/>
      <c r="G5175" s="198"/>
      <c r="H5175" s="123"/>
    </row>
    <row r="5176" spans="3:8" s="99" customFormat="1" x14ac:dyDescent="0.2">
      <c r="C5176" s="198"/>
      <c r="D5176" s="198"/>
      <c r="E5176" s="537"/>
      <c r="G5176" s="198"/>
      <c r="H5176" s="123"/>
    </row>
    <row r="5177" spans="3:8" s="99" customFormat="1" x14ac:dyDescent="0.2">
      <c r="C5177" s="198"/>
      <c r="D5177" s="198"/>
      <c r="E5177" s="537"/>
      <c r="G5177" s="198"/>
      <c r="H5177" s="123"/>
    </row>
    <row r="5178" spans="3:8" s="99" customFormat="1" x14ac:dyDescent="0.2">
      <c r="C5178" s="198"/>
      <c r="D5178" s="198"/>
      <c r="E5178" s="537"/>
      <c r="G5178" s="198"/>
      <c r="H5178" s="123"/>
    </row>
    <row r="5179" spans="3:8" s="99" customFormat="1" x14ac:dyDescent="0.2">
      <c r="C5179" s="198"/>
      <c r="D5179" s="198"/>
      <c r="E5179" s="537"/>
      <c r="G5179" s="198"/>
      <c r="H5179" s="123"/>
    </row>
    <row r="5180" spans="3:8" s="99" customFormat="1" x14ac:dyDescent="0.2">
      <c r="C5180" s="198"/>
      <c r="D5180" s="198"/>
      <c r="E5180" s="537"/>
      <c r="G5180" s="198"/>
      <c r="H5180" s="123"/>
    </row>
    <row r="5181" spans="3:8" s="99" customFormat="1" x14ac:dyDescent="0.2">
      <c r="C5181" s="198"/>
      <c r="D5181" s="198"/>
      <c r="E5181" s="537"/>
      <c r="G5181" s="198"/>
      <c r="H5181" s="123"/>
    </row>
    <row r="5182" spans="3:8" s="99" customFormat="1" x14ac:dyDescent="0.2">
      <c r="C5182" s="198"/>
      <c r="D5182" s="198"/>
      <c r="E5182" s="537"/>
      <c r="G5182" s="198"/>
      <c r="H5182" s="123"/>
    </row>
    <row r="5183" spans="3:8" s="99" customFormat="1" x14ac:dyDescent="0.2">
      <c r="C5183" s="198"/>
      <c r="D5183" s="198"/>
      <c r="E5183" s="537"/>
      <c r="G5183" s="198"/>
      <c r="H5183" s="123"/>
    </row>
    <row r="5184" spans="3:8" s="99" customFormat="1" x14ac:dyDescent="0.2">
      <c r="C5184" s="198"/>
      <c r="D5184" s="198"/>
      <c r="E5184" s="537"/>
      <c r="G5184" s="198"/>
      <c r="H5184" s="123"/>
    </row>
    <row r="5185" spans="3:8" s="99" customFormat="1" x14ac:dyDescent="0.2">
      <c r="C5185" s="198"/>
      <c r="D5185" s="198"/>
      <c r="E5185" s="537"/>
      <c r="G5185" s="198"/>
      <c r="H5185" s="123"/>
    </row>
    <row r="5186" spans="3:8" s="99" customFormat="1" x14ac:dyDescent="0.2">
      <c r="C5186" s="198"/>
      <c r="D5186" s="198"/>
      <c r="E5186" s="537"/>
      <c r="G5186" s="198"/>
      <c r="H5186" s="123"/>
    </row>
    <row r="5187" spans="3:8" s="99" customFormat="1" x14ac:dyDescent="0.2">
      <c r="C5187" s="198"/>
      <c r="D5187" s="198"/>
      <c r="E5187" s="537"/>
      <c r="G5187" s="198"/>
      <c r="H5187" s="123"/>
    </row>
    <row r="5188" spans="3:8" s="99" customFormat="1" x14ac:dyDescent="0.2">
      <c r="C5188" s="198"/>
      <c r="D5188" s="198"/>
      <c r="E5188" s="537"/>
      <c r="G5188" s="198"/>
      <c r="H5188" s="123"/>
    </row>
    <row r="5189" spans="3:8" s="99" customFormat="1" x14ac:dyDescent="0.2">
      <c r="C5189" s="198"/>
      <c r="D5189" s="198"/>
      <c r="E5189" s="537"/>
      <c r="G5189" s="198"/>
      <c r="H5189" s="123"/>
    </row>
    <row r="5190" spans="3:8" s="99" customFormat="1" x14ac:dyDescent="0.2">
      <c r="C5190" s="198"/>
      <c r="D5190" s="198"/>
      <c r="E5190" s="537"/>
      <c r="G5190" s="198"/>
      <c r="H5190" s="123"/>
    </row>
    <row r="5191" spans="3:8" s="99" customFormat="1" x14ac:dyDescent="0.2">
      <c r="C5191" s="198"/>
      <c r="D5191" s="198"/>
      <c r="E5191" s="537"/>
      <c r="G5191" s="198"/>
      <c r="H5191" s="123"/>
    </row>
    <row r="5192" spans="3:8" s="99" customFormat="1" x14ac:dyDescent="0.2">
      <c r="C5192" s="198"/>
      <c r="D5192" s="198"/>
      <c r="E5192" s="537"/>
      <c r="G5192" s="198"/>
      <c r="H5192" s="123"/>
    </row>
    <row r="5193" spans="3:8" s="99" customFormat="1" x14ac:dyDescent="0.2">
      <c r="C5193" s="198"/>
      <c r="D5193" s="198"/>
      <c r="E5193" s="537"/>
      <c r="G5193" s="198"/>
      <c r="H5193" s="123"/>
    </row>
    <row r="5194" spans="3:8" s="99" customFormat="1" x14ac:dyDescent="0.2">
      <c r="C5194" s="198"/>
      <c r="D5194" s="198"/>
      <c r="E5194" s="537"/>
      <c r="G5194" s="198"/>
      <c r="H5194" s="123"/>
    </row>
    <row r="5195" spans="3:8" s="99" customFormat="1" x14ac:dyDescent="0.2">
      <c r="C5195" s="198"/>
      <c r="D5195" s="198"/>
      <c r="E5195" s="537"/>
      <c r="G5195" s="198"/>
      <c r="H5195" s="123"/>
    </row>
    <row r="5196" spans="3:8" s="99" customFormat="1" x14ac:dyDescent="0.2">
      <c r="C5196" s="198"/>
      <c r="D5196" s="198"/>
      <c r="E5196" s="537"/>
      <c r="G5196" s="198"/>
      <c r="H5196" s="123"/>
    </row>
    <row r="5197" spans="3:8" s="99" customFormat="1" x14ac:dyDescent="0.2">
      <c r="C5197" s="198"/>
      <c r="D5197" s="198"/>
      <c r="E5197" s="537"/>
      <c r="G5197" s="198"/>
      <c r="H5197" s="123"/>
    </row>
    <row r="5198" spans="3:8" s="99" customFormat="1" x14ac:dyDescent="0.2">
      <c r="C5198" s="198"/>
      <c r="D5198" s="198"/>
      <c r="E5198" s="537"/>
      <c r="G5198" s="198"/>
      <c r="H5198" s="123"/>
    </row>
    <row r="5199" spans="3:8" s="99" customFormat="1" x14ac:dyDescent="0.2">
      <c r="C5199" s="198"/>
      <c r="D5199" s="198"/>
      <c r="E5199" s="537"/>
      <c r="G5199" s="198"/>
      <c r="H5199" s="123"/>
    </row>
    <row r="5200" spans="3:8" s="99" customFormat="1" x14ac:dyDescent="0.2">
      <c r="C5200" s="198"/>
      <c r="D5200" s="198"/>
      <c r="E5200" s="537"/>
      <c r="G5200" s="198"/>
      <c r="H5200" s="123"/>
    </row>
    <row r="5201" spans="3:8" s="99" customFormat="1" x14ac:dyDescent="0.2">
      <c r="C5201" s="198"/>
      <c r="D5201" s="198"/>
      <c r="E5201" s="537"/>
      <c r="G5201" s="198"/>
      <c r="H5201" s="123"/>
    </row>
    <row r="5202" spans="3:8" s="99" customFormat="1" x14ac:dyDescent="0.2">
      <c r="C5202" s="198"/>
      <c r="D5202" s="198"/>
      <c r="E5202" s="537"/>
      <c r="G5202" s="198"/>
      <c r="H5202" s="123"/>
    </row>
    <row r="5203" spans="3:8" s="99" customFormat="1" x14ac:dyDescent="0.2">
      <c r="C5203" s="198"/>
      <c r="D5203" s="198"/>
      <c r="E5203" s="537"/>
      <c r="G5203" s="198"/>
      <c r="H5203" s="123"/>
    </row>
    <row r="5204" spans="3:8" s="99" customFormat="1" x14ac:dyDescent="0.2">
      <c r="C5204" s="198"/>
      <c r="D5204" s="198"/>
      <c r="E5204" s="537"/>
      <c r="G5204" s="198"/>
      <c r="H5204" s="123"/>
    </row>
    <row r="5205" spans="3:8" s="99" customFormat="1" x14ac:dyDescent="0.2">
      <c r="C5205" s="198"/>
      <c r="D5205" s="198"/>
      <c r="E5205" s="537"/>
      <c r="G5205" s="198"/>
      <c r="H5205" s="123"/>
    </row>
    <row r="5206" spans="3:8" s="99" customFormat="1" x14ac:dyDescent="0.2">
      <c r="C5206" s="198"/>
      <c r="D5206" s="198"/>
      <c r="E5206" s="537"/>
      <c r="G5206" s="198"/>
      <c r="H5206" s="123"/>
    </row>
    <row r="5207" spans="3:8" s="99" customFormat="1" x14ac:dyDescent="0.2">
      <c r="C5207" s="198"/>
      <c r="D5207" s="198"/>
      <c r="E5207" s="537"/>
      <c r="G5207" s="198"/>
      <c r="H5207" s="123"/>
    </row>
    <row r="5208" spans="3:8" s="99" customFormat="1" x14ac:dyDescent="0.2">
      <c r="C5208" s="198"/>
      <c r="D5208" s="198"/>
      <c r="E5208" s="537"/>
      <c r="G5208" s="198"/>
      <c r="H5208" s="123"/>
    </row>
    <row r="5209" spans="3:8" s="99" customFormat="1" x14ac:dyDescent="0.2">
      <c r="C5209" s="198"/>
      <c r="D5209" s="198"/>
      <c r="E5209" s="537"/>
      <c r="G5209" s="198"/>
      <c r="H5209" s="123"/>
    </row>
    <row r="5210" spans="3:8" s="99" customFormat="1" x14ac:dyDescent="0.2">
      <c r="C5210" s="198"/>
      <c r="D5210" s="198"/>
      <c r="E5210" s="537"/>
      <c r="G5210" s="198"/>
      <c r="H5210" s="123"/>
    </row>
    <row r="5211" spans="3:8" s="99" customFormat="1" x14ac:dyDescent="0.2">
      <c r="C5211" s="198"/>
      <c r="D5211" s="198"/>
      <c r="E5211" s="537"/>
      <c r="G5211" s="198"/>
      <c r="H5211" s="123"/>
    </row>
    <row r="5212" spans="3:8" s="99" customFormat="1" x14ac:dyDescent="0.2">
      <c r="C5212" s="198"/>
      <c r="D5212" s="198"/>
      <c r="E5212" s="537"/>
      <c r="G5212" s="198"/>
      <c r="H5212" s="123"/>
    </row>
    <row r="5213" spans="3:8" s="99" customFormat="1" x14ac:dyDescent="0.2">
      <c r="C5213" s="198"/>
      <c r="D5213" s="198"/>
      <c r="E5213" s="537"/>
      <c r="G5213" s="198"/>
      <c r="H5213" s="123"/>
    </row>
    <row r="5214" spans="3:8" s="99" customFormat="1" x14ac:dyDescent="0.2">
      <c r="C5214" s="198"/>
      <c r="D5214" s="198"/>
      <c r="E5214" s="537"/>
      <c r="G5214" s="198"/>
      <c r="H5214" s="123"/>
    </row>
    <row r="5215" spans="3:8" s="99" customFormat="1" x14ac:dyDescent="0.2">
      <c r="C5215" s="198"/>
      <c r="D5215" s="198"/>
      <c r="E5215" s="537"/>
      <c r="G5215" s="198"/>
      <c r="H5215" s="123"/>
    </row>
    <row r="5216" spans="3:8" s="99" customFormat="1" x14ac:dyDescent="0.2">
      <c r="C5216" s="198"/>
      <c r="D5216" s="198"/>
      <c r="E5216" s="537"/>
      <c r="G5216" s="198"/>
      <c r="H5216" s="123"/>
    </row>
    <row r="5217" spans="3:8" s="99" customFormat="1" x14ac:dyDescent="0.2">
      <c r="C5217" s="198"/>
      <c r="D5217" s="198"/>
      <c r="E5217" s="537"/>
      <c r="G5217" s="198"/>
      <c r="H5217" s="123"/>
    </row>
    <row r="5218" spans="3:8" s="99" customFormat="1" x14ac:dyDescent="0.2">
      <c r="C5218" s="198"/>
      <c r="D5218" s="198"/>
      <c r="E5218" s="537"/>
      <c r="G5218" s="198"/>
      <c r="H5218" s="123"/>
    </row>
    <row r="5219" spans="3:8" s="99" customFormat="1" x14ac:dyDescent="0.2">
      <c r="C5219" s="198"/>
      <c r="D5219" s="198"/>
      <c r="E5219" s="537"/>
      <c r="G5219" s="198"/>
      <c r="H5219" s="123"/>
    </row>
    <row r="5220" spans="3:8" s="99" customFormat="1" x14ac:dyDescent="0.2">
      <c r="C5220" s="198"/>
      <c r="D5220" s="198"/>
      <c r="E5220" s="537"/>
      <c r="G5220" s="198"/>
      <c r="H5220" s="123"/>
    </row>
    <row r="5221" spans="3:8" s="99" customFormat="1" x14ac:dyDescent="0.2">
      <c r="C5221" s="198"/>
      <c r="D5221" s="198"/>
      <c r="E5221" s="537"/>
      <c r="G5221" s="198"/>
      <c r="H5221" s="123"/>
    </row>
    <row r="5222" spans="3:8" s="99" customFormat="1" x14ac:dyDescent="0.2">
      <c r="C5222" s="198"/>
      <c r="D5222" s="198"/>
      <c r="E5222" s="537"/>
      <c r="G5222" s="198"/>
      <c r="H5222" s="123"/>
    </row>
    <row r="5223" spans="3:8" s="99" customFormat="1" x14ac:dyDescent="0.2">
      <c r="C5223" s="198"/>
      <c r="D5223" s="198"/>
      <c r="E5223" s="537"/>
      <c r="G5223" s="198"/>
      <c r="H5223" s="123"/>
    </row>
    <row r="5224" spans="3:8" s="99" customFormat="1" x14ac:dyDescent="0.2">
      <c r="C5224" s="198"/>
      <c r="D5224" s="198"/>
      <c r="E5224" s="537"/>
      <c r="G5224" s="198"/>
      <c r="H5224" s="123"/>
    </row>
    <row r="5225" spans="3:8" s="99" customFormat="1" x14ac:dyDescent="0.2">
      <c r="C5225" s="198"/>
      <c r="D5225" s="198"/>
      <c r="E5225" s="537"/>
      <c r="G5225" s="198"/>
      <c r="H5225" s="123"/>
    </row>
    <row r="5226" spans="3:8" s="99" customFormat="1" x14ac:dyDescent="0.2">
      <c r="C5226" s="198"/>
      <c r="D5226" s="198"/>
      <c r="E5226" s="537"/>
      <c r="G5226" s="198"/>
      <c r="H5226" s="123"/>
    </row>
    <row r="5227" spans="3:8" s="99" customFormat="1" x14ac:dyDescent="0.2">
      <c r="C5227" s="198"/>
      <c r="D5227" s="198"/>
      <c r="E5227" s="537"/>
      <c r="G5227" s="198"/>
      <c r="H5227" s="123"/>
    </row>
    <row r="5228" spans="3:8" s="99" customFormat="1" x14ac:dyDescent="0.2">
      <c r="C5228" s="198"/>
      <c r="D5228" s="198"/>
      <c r="E5228" s="537"/>
      <c r="G5228" s="198"/>
      <c r="H5228" s="123"/>
    </row>
    <row r="5229" spans="3:8" s="99" customFormat="1" x14ac:dyDescent="0.2">
      <c r="C5229" s="198"/>
      <c r="D5229" s="198"/>
      <c r="E5229" s="537"/>
      <c r="G5229" s="198"/>
      <c r="H5229" s="123"/>
    </row>
    <row r="5230" spans="3:8" s="99" customFormat="1" x14ac:dyDescent="0.2">
      <c r="C5230" s="198"/>
      <c r="D5230" s="198"/>
      <c r="E5230" s="537"/>
      <c r="G5230" s="198"/>
      <c r="H5230" s="123"/>
    </row>
    <row r="5231" spans="3:8" s="99" customFormat="1" x14ac:dyDescent="0.2">
      <c r="C5231" s="198"/>
      <c r="D5231" s="198"/>
      <c r="E5231" s="537"/>
      <c r="G5231" s="198"/>
      <c r="H5231" s="123"/>
    </row>
    <row r="5232" spans="3:8" s="99" customFormat="1" x14ac:dyDescent="0.2">
      <c r="C5232" s="198"/>
      <c r="D5232" s="198"/>
      <c r="E5232" s="537"/>
      <c r="G5232" s="198"/>
      <c r="H5232" s="123"/>
    </row>
    <row r="5233" spans="3:8" s="99" customFormat="1" x14ac:dyDescent="0.2">
      <c r="C5233" s="198"/>
      <c r="D5233" s="198"/>
      <c r="E5233" s="537"/>
      <c r="G5233" s="198"/>
      <c r="H5233" s="123"/>
    </row>
    <row r="5234" spans="3:8" s="99" customFormat="1" x14ac:dyDescent="0.2">
      <c r="C5234" s="198"/>
      <c r="D5234" s="198"/>
      <c r="E5234" s="537"/>
      <c r="G5234" s="198"/>
      <c r="H5234" s="123"/>
    </row>
    <row r="5235" spans="3:8" s="99" customFormat="1" x14ac:dyDescent="0.2">
      <c r="C5235" s="198"/>
      <c r="D5235" s="198"/>
      <c r="E5235" s="537"/>
      <c r="G5235" s="198"/>
      <c r="H5235" s="123"/>
    </row>
    <row r="5236" spans="3:8" s="99" customFormat="1" x14ac:dyDescent="0.2">
      <c r="C5236" s="198"/>
      <c r="D5236" s="198"/>
      <c r="E5236" s="537"/>
      <c r="G5236" s="198"/>
      <c r="H5236" s="123"/>
    </row>
    <row r="5237" spans="3:8" s="99" customFormat="1" x14ac:dyDescent="0.2">
      <c r="C5237" s="198"/>
      <c r="D5237" s="198"/>
      <c r="E5237" s="537"/>
      <c r="G5237" s="198"/>
      <c r="H5237" s="123"/>
    </row>
    <row r="5238" spans="3:8" s="99" customFormat="1" x14ac:dyDescent="0.2">
      <c r="C5238" s="198"/>
      <c r="D5238" s="198"/>
      <c r="E5238" s="537"/>
      <c r="G5238" s="198"/>
      <c r="H5238" s="123"/>
    </row>
    <row r="5239" spans="3:8" s="99" customFormat="1" x14ac:dyDescent="0.2">
      <c r="C5239" s="198"/>
      <c r="D5239" s="198"/>
      <c r="E5239" s="537"/>
      <c r="G5239" s="198"/>
      <c r="H5239" s="123"/>
    </row>
    <row r="5240" spans="3:8" s="99" customFormat="1" x14ac:dyDescent="0.2">
      <c r="C5240" s="198"/>
      <c r="D5240" s="198"/>
      <c r="E5240" s="537"/>
      <c r="G5240" s="198"/>
      <c r="H5240" s="123"/>
    </row>
    <row r="5241" spans="3:8" s="99" customFormat="1" x14ac:dyDescent="0.2">
      <c r="C5241" s="198"/>
      <c r="D5241" s="198"/>
      <c r="E5241" s="537"/>
      <c r="G5241" s="198"/>
      <c r="H5241" s="123"/>
    </row>
    <row r="5242" spans="3:8" s="99" customFormat="1" x14ac:dyDescent="0.2">
      <c r="C5242" s="198"/>
      <c r="D5242" s="198"/>
      <c r="E5242" s="537"/>
      <c r="G5242" s="198"/>
      <c r="H5242" s="123"/>
    </row>
    <row r="5243" spans="3:8" s="99" customFormat="1" x14ac:dyDescent="0.2">
      <c r="C5243" s="198"/>
      <c r="D5243" s="198"/>
      <c r="E5243" s="537"/>
      <c r="G5243" s="198"/>
      <c r="H5243" s="123"/>
    </row>
    <row r="5244" spans="3:8" s="99" customFormat="1" x14ac:dyDescent="0.2">
      <c r="C5244" s="198"/>
      <c r="D5244" s="198"/>
      <c r="E5244" s="537"/>
      <c r="G5244" s="198"/>
      <c r="H5244" s="123"/>
    </row>
    <row r="5245" spans="3:8" s="99" customFormat="1" x14ac:dyDescent="0.2">
      <c r="C5245" s="198"/>
      <c r="D5245" s="198"/>
      <c r="E5245" s="537"/>
      <c r="G5245" s="198"/>
      <c r="H5245" s="123"/>
    </row>
    <row r="5246" spans="3:8" s="99" customFormat="1" x14ac:dyDescent="0.2">
      <c r="C5246" s="198"/>
      <c r="D5246" s="198"/>
      <c r="E5246" s="537"/>
      <c r="G5246" s="198"/>
      <c r="H5246" s="123"/>
    </row>
    <row r="5247" spans="3:8" s="99" customFormat="1" x14ac:dyDescent="0.2">
      <c r="C5247" s="198"/>
      <c r="D5247" s="198"/>
      <c r="E5247" s="537"/>
      <c r="G5247" s="198"/>
      <c r="H5247" s="123"/>
    </row>
    <row r="5248" spans="3:8" s="99" customFormat="1" x14ac:dyDescent="0.2">
      <c r="C5248" s="198"/>
      <c r="D5248" s="198"/>
      <c r="E5248" s="537"/>
      <c r="G5248" s="198"/>
      <c r="H5248" s="123"/>
    </row>
    <row r="5249" spans="3:8" s="99" customFormat="1" x14ac:dyDescent="0.2">
      <c r="C5249" s="198"/>
      <c r="D5249" s="198"/>
      <c r="E5249" s="537"/>
      <c r="G5249" s="198"/>
      <c r="H5249" s="123"/>
    </row>
    <row r="5250" spans="3:8" s="99" customFormat="1" x14ac:dyDescent="0.2">
      <c r="C5250" s="198"/>
      <c r="D5250" s="198"/>
      <c r="E5250" s="537"/>
      <c r="G5250" s="198"/>
      <c r="H5250" s="123"/>
    </row>
    <row r="5251" spans="3:8" s="99" customFormat="1" x14ac:dyDescent="0.2">
      <c r="C5251" s="198"/>
      <c r="D5251" s="198"/>
      <c r="E5251" s="537"/>
      <c r="G5251" s="198"/>
      <c r="H5251" s="123"/>
    </row>
    <row r="5252" spans="3:8" s="99" customFormat="1" x14ac:dyDescent="0.2">
      <c r="C5252" s="198"/>
      <c r="D5252" s="198"/>
      <c r="E5252" s="537"/>
      <c r="G5252" s="198"/>
      <c r="H5252" s="123"/>
    </row>
    <row r="5253" spans="3:8" s="99" customFormat="1" x14ac:dyDescent="0.2">
      <c r="C5253" s="198"/>
      <c r="D5253" s="198"/>
      <c r="E5253" s="537"/>
      <c r="G5253" s="198"/>
      <c r="H5253" s="123"/>
    </row>
    <row r="5254" spans="3:8" s="99" customFormat="1" x14ac:dyDescent="0.2">
      <c r="C5254" s="198"/>
      <c r="D5254" s="198"/>
      <c r="E5254" s="537"/>
      <c r="G5254" s="198"/>
      <c r="H5254" s="123"/>
    </row>
    <row r="5255" spans="3:8" s="99" customFormat="1" x14ac:dyDescent="0.2">
      <c r="C5255" s="198"/>
      <c r="D5255" s="198"/>
      <c r="E5255" s="537"/>
      <c r="G5255" s="198"/>
      <c r="H5255" s="123"/>
    </row>
    <row r="5256" spans="3:8" s="99" customFormat="1" x14ac:dyDescent="0.2">
      <c r="C5256" s="198"/>
      <c r="D5256" s="198"/>
      <c r="E5256" s="537"/>
      <c r="G5256" s="198"/>
      <c r="H5256" s="123"/>
    </row>
    <row r="5257" spans="3:8" s="99" customFormat="1" x14ac:dyDescent="0.2">
      <c r="C5257" s="198"/>
      <c r="D5257" s="198"/>
      <c r="E5257" s="537"/>
      <c r="G5257" s="198"/>
      <c r="H5257" s="123"/>
    </row>
    <row r="5258" spans="3:8" s="99" customFormat="1" x14ac:dyDescent="0.2">
      <c r="C5258" s="198"/>
      <c r="D5258" s="198"/>
      <c r="E5258" s="537"/>
      <c r="G5258" s="198"/>
      <c r="H5258" s="123"/>
    </row>
    <row r="5259" spans="3:8" s="99" customFormat="1" x14ac:dyDescent="0.2">
      <c r="C5259" s="198"/>
      <c r="D5259" s="198"/>
      <c r="E5259" s="537"/>
      <c r="G5259" s="198"/>
      <c r="H5259" s="123"/>
    </row>
    <row r="5260" spans="3:8" s="99" customFormat="1" x14ac:dyDescent="0.2">
      <c r="C5260" s="198"/>
      <c r="D5260" s="198"/>
      <c r="E5260" s="537"/>
      <c r="G5260" s="198"/>
      <c r="H5260" s="123"/>
    </row>
    <row r="5261" spans="3:8" s="99" customFormat="1" x14ac:dyDescent="0.2">
      <c r="C5261" s="198"/>
      <c r="D5261" s="198"/>
      <c r="E5261" s="537"/>
      <c r="G5261" s="198"/>
      <c r="H5261" s="123"/>
    </row>
    <row r="5262" spans="3:8" s="99" customFormat="1" x14ac:dyDescent="0.2">
      <c r="C5262" s="198"/>
      <c r="D5262" s="198"/>
      <c r="E5262" s="537"/>
      <c r="G5262" s="198"/>
      <c r="H5262" s="123"/>
    </row>
    <row r="5263" spans="3:8" s="99" customFormat="1" x14ac:dyDescent="0.2">
      <c r="C5263" s="198"/>
      <c r="D5263" s="198"/>
      <c r="E5263" s="537"/>
      <c r="G5263" s="198"/>
      <c r="H5263" s="123"/>
    </row>
    <row r="5264" spans="3:8" s="99" customFormat="1" x14ac:dyDescent="0.2">
      <c r="C5264" s="198"/>
      <c r="D5264" s="198"/>
      <c r="E5264" s="537"/>
      <c r="G5264" s="198"/>
      <c r="H5264" s="123"/>
    </row>
    <row r="5265" spans="3:8" s="99" customFormat="1" x14ac:dyDescent="0.2">
      <c r="C5265" s="198"/>
      <c r="D5265" s="198"/>
      <c r="E5265" s="537"/>
      <c r="G5265" s="198"/>
      <c r="H5265" s="123"/>
    </row>
    <row r="5266" spans="3:8" s="99" customFormat="1" x14ac:dyDescent="0.2">
      <c r="C5266" s="198"/>
      <c r="D5266" s="198"/>
      <c r="E5266" s="537"/>
      <c r="G5266" s="198"/>
      <c r="H5266" s="123"/>
    </row>
    <row r="5267" spans="3:8" s="99" customFormat="1" x14ac:dyDescent="0.2">
      <c r="C5267" s="198"/>
      <c r="D5267" s="198"/>
      <c r="E5267" s="537"/>
      <c r="G5267" s="198"/>
      <c r="H5267" s="123"/>
    </row>
    <row r="5268" spans="3:8" s="99" customFormat="1" x14ac:dyDescent="0.2">
      <c r="C5268" s="198"/>
      <c r="D5268" s="198"/>
      <c r="E5268" s="537"/>
      <c r="G5268" s="198"/>
      <c r="H5268" s="123"/>
    </row>
    <row r="5269" spans="3:8" s="99" customFormat="1" x14ac:dyDescent="0.2">
      <c r="C5269" s="198"/>
      <c r="D5269" s="198"/>
      <c r="E5269" s="537"/>
      <c r="G5269" s="198"/>
      <c r="H5269" s="123"/>
    </row>
    <row r="5270" spans="3:8" s="99" customFormat="1" x14ac:dyDescent="0.2">
      <c r="C5270" s="198"/>
      <c r="D5270" s="198"/>
      <c r="E5270" s="537"/>
      <c r="G5270" s="198"/>
      <c r="H5270" s="123"/>
    </row>
    <row r="5271" spans="3:8" s="99" customFormat="1" x14ac:dyDescent="0.2">
      <c r="C5271" s="198"/>
      <c r="D5271" s="198"/>
      <c r="E5271" s="537"/>
      <c r="G5271" s="198"/>
      <c r="H5271" s="123"/>
    </row>
    <row r="5272" spans="3:8" s="99" customFormat="1" x14ac:dyDescent="0.2">
      <c r="C5272" s="198"/>
      <c r="D5272" s="198"/>
      <c r="E5272" s="537"/>
      <c r="G5272" s="198"/>
      <c r="H5272" s="123"/>
    </row>
    <row r="5273" spans="3:8" s="99" customFormat="1" x14ac:dyDescent="0.2">
      <c r="C5273" s="198"/>
      <c r="D5273" s="198"/>
      <c r="E5273" s="537"/>
      <c r="G5273" s="198"/>
      <c r="H5273" s="123"/>
    </row>
    <row r="5274" spans="3:8" s="99" customFormat="1" x14ac:dyDescent="0.2">
      <c r="C5274" s="198"/>
      <c r="D5274" s="198"/>
      <c r="E5274" s="537"/>
      <c r="G5274" s="198"/>
      <c r="H5274" s="123"/>
    </row>
    <row r="5275" spans="3:8" s="99" customFormat="1" x14ac:dyDescent="0.2">
      <c r="C5275" s="198"/>
      <c r="D5275" s="198"/>
      <c r="E5275" s="537"/>
      <c r="G5275" s="198"/>
      <c r="H5275" s="123"/>
    </row>
    <row r="5276" spans="3:8" s="99" customFormat="1" x14ac:dyDescent="0.2">
      <c r="C5276" s="198"/>
      <c r="D5276" s="198"/>
      <c r="E5276" s="537"/>
      <c r="G5276" s="198"/>
      <c r="H5276" s="123"/>
    </row>
    <row r="5277" spans="3:8" s="99" customFormat="1" x14ac:dyDescent="0.2">
      <c r="C5277" s="198"/>
      <c r="D5277" s="198"/>
      <c r="E5277" s="537"/>
      <c r="G5277" s="198"/>
      <c r="H5277" s="123"/>
    </row>
    <row r="5278" spans="3:8" s="99" customFormat="1" x14ac:dyDescent="0.2">
      <c r="C5278" s="198"/>
      <c r="D5278" s="198"/>
      <c r="E5278" s="537"/>
      <c r="G5278" s="198"/>
      <c r="H5278" s="123"/>
    </row>
    <row r="5279" spans="3:8" s="99" customFormat="1" x14ac:dyDescent="0.2">
      <c r="C5279" s="198"/>
      <c r="D5279" s="198"/>
      <c r="E5279" s="537"/>
      <c r="G5279" s="198"/>
      <c r="H5279" s="123"/>
    </row>
    <row r="5280" spans="3:8" s="99" customFormat="1" x14ac:dyDescent="0.2">
      <c r="C5280" s="198"/>
      <c r="D5280" s="198"/>
      <c r="E5280" s="537"/>
      <c r="G5280" s="198"/>
      <c r="H5280" s="123"/>
    </row>
    <row r="5281" spans="3:8" s="99" customFormat="1" x14ac:dyDescent="0.2">
      <c r="C5281" s="198"/>
      <c r="D5281" s="198"/>
      <c r="E5281" s="537"/>
      <c r="G5281" s="198"/>
      <c r="H5281" s="123"/>
    </row>
    <row r="5282" spans="3:8" s="99" customFormat="1" x14ac:dyDescent="0.2">
      <c r="C5282" s="198"/>
      <c r="D5282" s="198"/>
      <c r="E5282" s="537"/>
      <c r="G5282" s="198"/>
      <c r="H5282" s="123"/>
    </row>
    <row r="5283" spans="3:8" s="99" customFormat="1" x14ac:dyDescent="0.2">
      <c r="C5283" s="198"/>
      <c r="D5283" s="198"/>
      <c r="E5283" s="537"/>
      <c r="G5283" s="198"/>
      <c r="H5283" s="123"/>
    </row>
    <row r="5284" spans="3:8" s="99" customFormat="1" x14ac:dyDescent="0.2">
      <c r="C5284" s="198"/>
      <c r="D5284" s="198"/>
      <c r="E5284" s="537"/>
      <c r="G5284" s="198"/>
      <c r="H5284" s="123"/>
    </row>
    <row r="5285" spans="3:8" s="99" customFormat="1" x14ac:dyDescent="0.2">
      <c r="C5285" s="198"/>
      <c r="D5285" s="198"/>
      <c r="E5285" s="537"/>
      <c r="G5285" s="198"/>
      <c r="H5285" s="123"/>
    </row>
    <row r="5286" spans="3:8" s="99" customFormat="1" x14ac:dyDescent="0.2">
      <c r="C5286" s="198"/>
      <c r="D5286" s="198"/>
      <c r="E5286" s="537"/>
      <c r="G5286" s="198"/>
      <c r="H5286" s="123"/>
    </row>
    <row r="5287" spans="3:8" s="99" customFormat="1" x14ac:dyDescent="0.2">
      <c r="C5287" s="198"/>
      <c r="D5287" s="198"/>
      <c r="E5287" s="537"/>
      <c r="G5287" s="198"/>
      <c r="H5287" s="123"/>
    </row>
    <row r="5288" spans="3:8" s="99" customFormat="1" x14ac:dyDescent="0.2">
      <c r="C5288" s="198"/>
      <c r="D5288" s="198"/>
      <c r="E5288" s="537"/>
      <c r="G5288" s="198"/>
      <c r="H5288" s="123"/>
    </row>
    <row r="5289" spans="3:8" s="99" customFormat="1" x14ac:dyDescent="0.2">
      <c r="C5289" s="198"/>
      <c r="D5289" s="198"/>
      <c r="E5289" s="537"/>
      <c r="G5289" s="198"/>
      <c r="H5289" s="123"/>
    </row>
    <row r="5290" spans="3:8" s="99" customFormat="1" x14ac:dyDescent="0.2">
      <c r="C5290" s="198"/>
      <c r="D5290" s="198"/>
      <c r="E5290" s="537"/>
      <c r="G5290" s="198"/>
      <c r="H5290" s="123"/>
    </row>
    <row r="5291" spans="3:8" s="99" customFormat="1" x14ac:dyDescent="0.2">
      <c r="C5291" s="198"/>
      <c r="D5291" s="198"/>
      <c r="E5291" s="537"/>
      <c r="G5291" s="198"/>
      <c r="H5291" s="123"/>
    </row>
    <row r="5292" spans="3:8" s="99" customFormat="1" x14ac:dyDescent="0.2">
      <c r="C5292" s="198"/>
      <c r="D5292" s="198"/>
      <c r="E5292" s="537"/>
      <c r="G5292" s="198"/>
      <c r="H5292" s="123"/>
    </row>
    <row r="5293" spans="3:8" s="99" customFormat="1" x14ac:dyDescent="0.2">
      <c r="C5293" s="198"/>
      <c r="D5293" s="198"/>
      <c r="E5293" s="537"/>
      <c r="G5293" s="198"/>
      <c r="H5293" s="123"/>
    </row>
    <row r="5294" spans="3:8" s="99" customFormat="1" x14ac:dyDescent="0.2">
      <c r="C5294" s="198"/>
      <c r="D5294" s="198"/>
      <c r="E5294" s="537"/>
      <c r="G5294" s="198"/>
      <c r="H5294" s="123"/>
    </row>
    <row r="5295" spans="3:8" s="99" customFormat="1" x14ac:dyDescent="0.2">
      <c r="C5295" s="198"/>
      <c r="D5295" s="198"/>
      <c r="E5295" s="537"/>
      <c r="G5295" s="198"/>
      <c r="H5295" s="123"/>
    </row>
    <row r="5296" spans="3:8" s="99" customFormat="1" x14ac:dyDescent="0.2">
      <c r="C5296" s="198"/>
      <c r="D5296" s="198"/>
      <c r="E5296" s="537"/>
      <c r="G5296" s="198"/>
      <c r="H5296" s="123"/>
    </row>
    <row r="5297" spans="3:8" s="99" customFormat="1" x14ac:dyDescent="0.2">
      <c r="C5297" s="198"/>
      <c r="D5297" s="198"/>
      <c r="E5297" s="537"/>
      <c r="G5297" s="198"/>
      <c r="H5297" s="123"/>
    </row>
    <row r="5298" spans="3:8" s="99" customFormat="1" x14ac:dyDescent="0.2">
      <c r="C5298" s="198"/>
      <c r="D5298" s="198"/>
      <c r="E5298" s="537"/>
      <c r="G5298" s="198"/>
      <c r="H5298" s="123"/>
    </row>
    <row r="5299" spans="3:8" s="99" customFormat="1" x14ac:dyDescent="0.2">
      <c r="C5299" s="198"/>
      <c r="D5299" s="198"/>
      <c r="E5299" s="537"/>
      <c r="G5299" s="198"/>
      <c r="H5299" s="123"/>
    </row>
    <row r="5300" spans="3:8" s="99" customFormat="1" x14ac:dyDescent="0.2">
      <c r="C5300" s="198"/>
      <c r="D5300" s="198"/>
      <c r="E5300" s="537"/>
      <c r="G5300" s="198"/>
      <c r="H5300" s="123"/>
    </row>
    <row r="5301" spans="3:8" s="99" customFormat="1" x14ac:dyDescent="0.2">
      <c r="C5301" s="198"/>
      <c r="D5301" s="198"/>
      <c r="E5301" s="537"/>
      <c r="G5301" s="198"/>
      <c r="H5301" s="123"/>
    </row>
    <row r="5302" spans="3:8" s="99" customFormat="1" x14ac:dyDescent="0.2">
      <c r="C5302" s="198"/>
      <c r="D5302" s="198"/>
      <c r="E5302" s="537"/>
      <c r="G5302" s="198"/>
      <c r="H5302" s="123"/>
    </row>
    <row r="5303" spans="3:8" s="99" customFormat="1" x14ac:dyDescent="0.2">
      <c r="C5303" s="198"/>
      <c r="D5303" s="198"/>
      <c r="E5303" s="537"/>
      <c r="G5303" s="198"/>
      <c r="H5303" s="123"/>
    </row>
    <row r="5304" spans="3:8" s="99" customFormat="1" x14ac:dyDescent="0.2">
      <c r="C5304" s="198"/>
      <c r="D5304" s="198"/>
      <c r="E5304" s="537"/>
      <c r="G5304" s="198"/>
      <c r="H5304" s="123"/>
    </row>
    <row r="5305" spans="3:8" s="99" customFormat="1" x14ac:dyDescent="0.2">
      <c r="C5305" s="198"/>
      <c r="D5305" s="198"/>
      <c r="E5305" s="537"/>
      <c r="G5305" s="198"/>
      <c r="H5305" s="123"/>
    </row>
    <row r="5306" spans="3:8" s="99" customFormat="1" x14ac:dyDescent="0.2">
      <c r="C5306" s="198"/>
      <c r="D5306" s="198"/>
      <c r="E5306" s="537"/>
      <c r="G5306" s="198"/>
      <c r="H5306" s="123"/>
    </row>
    <row r="5307" spans="3:8" s="99" customFormat="1" x14ac:dyDescent="0.2">
      <c r="C5307" s="198"/>
      <c r="D5307" s="198"/>
      <c r="E5307" s="537"/>
      <c r="G5307" s="198"/>
      <c r="H5307" s="123"/>
    </row>
    <row r="5308" spans="3:8" s="99" customFormat="1" x14ac:dyDescent="0.2">
      <c r="C5308" s="198"/>
      <c r="D5308" s="198"/>
      <c r="E5308" s="537"/>
      <c r="G5308" s="198"/>
      <c r="H5308" s="123"/>
    </row>
    <row r="5309" spans="3:8" s="99" customFormat="1" x14ac:dyDescent="0.2">
      <c r="C5309" s="198"/>
      <c r="D5309" s="198"/>
      <c r="E5309" s="537"/>
      <c r="G5309" s="198"/>
      <c r="H5309" s="123"/>
    </row>
    <row r="5310" spans="3:8" s="99" customFormat="1" x14ac:dyDescent="0.2">
      <c r="C5310" s="198"/>
      <c r="D5310" s="198"/>
      <c r="E5310" s="537"/>
      <c r="G5310" s="198"/>
      <c r="H5310" s="123"/>
    </row>
    <row r="5311" spans="3:8" s="99" customFormat="1" x14ac:dyDescent="0.2">
      <c r="C5311" s="198"/>
      <c r="D5311" s="198"/>
      <c r="E5311" s="537"/>
      <c r="G5311" s="198"/>
      <c r="H5311" s="123"/>
    </row>
    <row r="5312" spans="3:8" s="99" customFormat="1" x14ac:dyDescent="0.2">
      <c r="C5312" s="198"/>
      <c r="D5312" s="198"/>
      <c r="E5312" s="537"/>
      <c r="G5312" s="198"/>
      <c r="H5312" s="123"/>
    </row>
    <row r="5313" spans="3:8" s="99" customFormat="1" x14ac:dyDescent="0.2">
      <c r="C5313" s="198"/>
      <c r="D5313" s="198"/>
      <c r="E5313" s="537"/>
      <c r="G5313" s="198"/>
      <c r="H5313" s="123"/>
    </row>
    <row r="5314" spans="3:8" s="99" customFormat="1" x14ac:dyDescent="0.2">
      <c r="C5314" s="198"/>
      <c r="D5314" s="198"/>
      <c r="E5314" s="537"/>
      <c r="G5314" s="198"/>
      <c r="H5314" s="123"/>
    </row>
    <row r="5315" spans="3:8" s="99" customFormat="1" x14ac:dyDescent="0.2">
      <c r="C5315" s="198"/>
      <c r="D5315" s="198"/>
      <c r="E5315" s="537"/>
      <c r="G5315" s="198"/>
      <c r="H5315" s="123"/>
    </row>
    <row r="5316" spans="3:8" s="99" customFormat="1" x14ac:dyDescent="0.2">
      <c r="C5316" s="198"/>
      <c r="D5316" s="198"/>
      <c r="E5316" s="537"/>
      <c r="G5316" s="198"/>
      <c r="H5316" s="123"/>
    </row>
    <row r="5317" spans="3:8" s="99" customFormat="1" x14ac:dyDescent="0.2">
      <c r="C5317" s="198"/>
      <c r="D5317" s="198"/>
      <c r="E5317" s="537"/>
      <c r="G5317" s="198"/>
      <c r="H5317" s="123"/>
    </row>
    <row r="5318" spans="3:8" s="99" customFormat="1" x14ac:dyDescent="0.2">
      <c r="C5318" s="198"/>
      <c r="D5318" s="198"/>
      <c r="E5318" s="537"/>
      <c r="G5318" s="198"/>
      <c r="H5318" s="123"/>
    </row>
    <row r="5319" spans="3:8" s="99" customFormat="1" x14ac:dyDescent="0.2">
      <c r="C5319" s="198"/>
      <c r="D5319" s="198"/>
      <c r="E5319" s="537"/>
      <c r="G5319" s="198"/>
      <c r="H5319" s="123"/>
    </row>
    <row r="5320" spans="3:8" s="99" customFormat="1" x14ac:dyDescent="0.2">
      <c r="C5320" s="198"/>
      <c r="D5320" s="198"/>
      <c r="E5320" s="537"/>
      <c r="G5320" s="198"/>
      <c r="H5320" s="123"/>
    </row>
    <row r="5321" spans="3:8" s="99" customFormat="1" x14ac:dyDescent="0.2">
      <c r="C5321" s="198"/>
      <c r="D5321" s="198"/>
      <c r="E5321" s="537"/>
      <c r="G5321" s="198"/>
      <c r="H5321" s="123"/>
    </row>
    <row r="5322" spans="3:8" s="99" customFormat="1" x14ac:dyDescent="0.2">
      <c r="C5322" s="198"/>
      <c r="D5322" s="198"/>
      <c r="E5322" s="537"/>
      <c r="G5322" s="198"/>
      <c r="H5322" s="123"/>
    </row>
    <row r="5323" spans="3:8" s="99" customFormat="1" x14ac:dyDescent="0.2">
      <c r="C5323" s="198"/>
      <c r="D5323" s="198"/>
      <c r="E5323" s="537"/>
      <c r="G5323" s="198"/>
      <c r="H5323" s="123"/>
    </row>
    <row r="5324" spans="3:8" s="99" customFormat="1" x14ac:dyDescent="0.2">
      <c r="C5324" s="198"/>
      <c r="D5324" s="198"/>
      <c r="E5324" s="537"/>
      <c r="G5324" s="198"/>
      <c r="H5324" s="123"/>
    </row>
    <row r="5325" spans="3:8" s="99" customFormat="1" x14ac:dyDescent="0.2">
      <c r="C5325" s="198"/>
      <c r="D5325" s="198"/>
      <c r="E5325" s="537"/>
      <c r="G5325" s="198"/>
      <c r="H5325" s="123"/>
    </row>
    <row r="5326" spans="3:8" s="99" customFormat="1" x14ac:dyDescent="0.2">
      <c r="C5326" s="198"/>
      <c r="D5326" s="198"/>
      <c r="E5326" s="537"/>
      <c r="G5326" s="198"/>
      <c r="H5326" s="123"/>
    </row>
    <row r="5327" spans="3:8" s="99" customFormat="1" x14ac:dyDescent="0.2">
      <c r="C5327" s="198"/>
      <c r="D5327" s="198"/>
      <c r="E5327" s="537"/>
      <c r="G5327" s="198"/>
      <c r="H5327" s="123"/>
    </row>
    <row r="5328" spans="3:8" s="99" customFormat="1" x14ac:dyDescent="0.2">
      <c r="C5328" s="198"/>
      <c r="D5328" s="198"/>
      <c r="E5328" s="537"/>
      <c r="G5328" s="198"/>
      <c r="H5328" s="123"/>
    </row>
    <row r="5329" spans="3:8" s="99" customFormat="1" x14ac:dyDescent="0.2">
      <c r="C5329" s="198"/>
      <c r="D5329" s="198"/>
      <c r="E5329" s="537"/>
      <c r="G5329" s="198"/>
      <c r="H5329" s="123"/>
    </row>
    <row r="5330" spans="3:8" s="99" customFormat="1" x14ac:dyDescent="0.2">
      <c r="C5330" s="198"/>
      <c r="D5330" s="198"/>
      <c r="E5330" s="537"/>
      <c r="G5330" s="198"/>
      <c r="H5330" s="123"/>
    </row>
    <row r="5331" spans="3:8" s="99" customFormat="1" x14ac:dyDescent="0.2">
      <c r="C5331" s="198"/>
      <c r="D5331" s="198"/>
      <c r="E5331" s="537"/>
      <c r="G5331" s="198"/>
      <c r="H5331" s="123"/>
    </row>
    <row r="5332" spans="3:8" s="99" customFormat="1" x14ac:dyDescent="0.2">
      <c r="C5332" s="198"/>
      <c r="D5332" s="198"/>
      <c r="E5332" s="537"/>
      <c r="G5332" s="198"/>
      <c r="H5332" s="123"/>
    </row>
    <row r="5333" spans="3:8" s="99" customFormat="1" x14ac:dyDescent="0.2">
      <c r="C5333" s="198"/>
      <c r="D5333" s="198"/>
      <c r="E5333" s="537"/>
      <c r="G5333" s="198"/>
      <c r="H5333" s="123"/>
    </row>
    <row r="5334" spans="3:8" s="99" customFormat="1" x14ac:dyDescent="0.2">
      <c r="C5334" s="198"/>
      <c r="D5334" s="198"/>
      <c r="E5334" s="537"/>
      <c r="G5334" s="198"/>
      <c r="H5334" s="123"/>
    </row>
    <row r="5335" spans="3:8" s="99" customFormat="1" x14ac:dyDescent="0.2">
      <c r="C5335" s="198"/>
      <c r="D5335" s="198"/>
      <c r="E5335" s="537"/>
      <c r="G5335" s="198"/>
      <c r="H5335" s="123"/>
    </row>
    <row r="5336" spans="3:8" s="99" customFormat="1" x14ac:dyDescent="0.2">
      <c r="C5336" s="198"/>
      <c r="D5336" s="198"/>
      <c r="E5336" s="537"/>
      <c r="G5336" s="198"/>
      <c r="H5336" s="123"/>
    </row>
    <row r="5337" spans="3:8" s="99" customFormat="1" x14ac:dyDescent="0.2">
      <c r="C5337" s="198"/>
      <c r="D5337" s="198"/>
      <c r="E5337" s="537"/>
      <c r="G5337" s="198"/>
      <c r="H5337" s="123"/>
    </row>
    <row r="5338" spans="3:8" s="99" customFormat="1" x14ac:dyDescent="0.2">
      <c r="C5338" s="198"/>
      <c r="D5338" s="198"/>
      <c r="E5338" s="537"/>
      <c r="G5338" s="198"/>
      <c r="H5338" s="123"/>
    </row>
    <row r="5339" spans="3:8" s="99" customFormat="1" x14ac:dyDescent="0.2">
      <c r="C5339" s="198"/>
      <c r="D5339" s="198"/>
      <c r="E5339" s="537"/>
      <c r="G5339" s="198"/>
      <c r="H5339" s="123"/>
    </row>
    <row r="5340" spans="3:8" s="99" customFormat="1" x14ac:dyDescent="0.2">
      <c r="C5340" s="198"/>
      <c r="D5340" s="198"/>
      <c r="E5340" s="537"/>
      <c r="G5340" s="198"/>
      <c r="H5340" s="123"/>
    </row>
    <row r="5341" spans="3:8" s="99" customFormat="1" x14ac:dyDescent="0.2">
      <c r="C5341" s="198"/>
      <c r="D5341" s="198"/>
      <c r="E5341" s="537"/>
      <c r="G5341" s="198"/>
      <c r="H5341" s="123"/>
    </row>
    <row r="5342" spans="3:8" s="99" customFormat="1" x14ac:dyDescent="0.2">
      <c r="C5342" s="198"/>
      <c r="D5342" s="198"/>
      <c r="E5342" s="537"/>
      <c r="G5342" s="198"/>
      <c r="H5342" s="123"/>
    </row>
    <row r="5343" spans="3:8" s="99" customFormat="1" x14ac:dyDescent="0.2">
      <c r="C5343" s="198"/>
      <c r="D5343" s="198"/>
      <c r="E5343" s="537"/>
      <c r="G5343" s="198"/>
      <c r="H5343" s="123"/>
    </row>
    <row r="5344" spans="3:8" s="99" customFormat="1" x14ac:dyDescent="0.2">
      <c r="C5344" s="198"/>
      <c r="D5344" s="198"/>
      <c r="E5344" s="537"/>
      <c r="G5344" s="198"/>
      <c r="H5344" s="123"/>
    </row>
    <row r="5345" spans="3:8" s="99" customFormat="1" x14ac:dyDescent="0.2">
      <c r="C5345" s="198"/>
      <c r="D5345" s="198"/>
      <c r="E5345" s="537"/>
      <c r="G5345" s="198"/>
      <c r="H5345" s="123"/>
    </row>
    <row r="5346" spans="3:8" s="99" customFormat="1" x14ac:dyDescent="0.2">
      <c r="C5346" s="198"/>
      <c r="D5346" s="198"/>
      <c r="E5346" s="537"/>
      <c r="G5346" s="198"/>
      <c r="H5346" s="123"/>
    </row>
    <row r="5347" spans="3:8" s="99" customFormat="1" x14ac:dyDescent="0.2">
      <c r="C5347" s="198"/>
      <c r="D5347" s="198"/>
      <c r="E5347" s="537"/>
      <c r="G5347" s="198"/>
      <c r="H5347" s="123"/>
    </row>
    <row r="5348" spans="3:8" s="99" customFormat="1" x14ac:dyDescent="0.2">
      <c r="C5348" s="198"/>
      <c r="D5348" s="198"/>
      <c r="E5348" s="537"/>
      <c r="G5348" s="198"/>
      <c r="H5348" s="123"/>
    </row>
    <row r="5349" spans="3:8" s="99" customFormat="1" x14ac:dyDescent="0.2">
      <c r="C5349" s="198"/>
      <c r="D5349" s="198"/>
      <c r="E5349" s="537"/>
      <c r="G5349" s="198"/>
      <c r="H5349" s="123"/>
    </row>
    <row r="5350" spans="3:8" s="99" customFormat="1" x14ac:dyDescent="0.2">
      <c r="C5350" s="198"/>
      <c r="D5350" s="198"/>
      <c r="E5350" s="537"/>
      <c r="G5350" s="198"/>
      <c r="H5350" s="123"/>
    </row>
    <row r="5351" spans="3:8" s="99" customFormat="1" x14ac:dyDescent="0.2">
      <c r="C5351" s="198"/>
      <c r="D5351" s="198"/>
      <c r="E5351" s="537"/>
      <c r="G5351" s="198"/>
      <c r="H5351" s="123"/>
    </row>
    <row r="5352" spans="3:8" s="99" customFormat="1" x14ac:dyDescent="0.2">
      <c r="C5352" s="198"/>
      <c r="D5352" s="198"/>
      <c r="E5352" s="537"/>
      <c r="G5352" s="198"/>
      <c r="H5352" s="123"/>
    </row>
    <row r="5353" spans="3:8" s="99" customFormat="1" x14ac:dyDescent="0.2">
      <c r="C5353" s="198"/>
      <c r="D5353" s="198"/>
      <c r="E5353" s="537"/>
      <c r="G5353" s="198"/>
      <c r="H5353" s="123"/>
    </row>
    <row r="5354" spans="3:8" s="99" customFormat="1" x14ac:dyDescent="0.2">
      <c r="C5354" s="198"/>
      <c r="D5354" s="198"/>
      <c r="E5354" s="537"/>
      <c r="G5354" s="198"/>
      <c r="H5354" s="123"/>
    </row>
    <row r="5355" spans="3:8" s="99" customFormat="1" x14ac:dyDescent="0.2">
      <c r="C5355" s="198"/>
      <c r="D5355" s="198"/>
      <c r="E5355" s="537"/>
      <c r="G5355" s="198"/>
      <c r="H5355" s="123"/>
    </row>
    <row r="5356" spans="3:8" s="99" customFormat="1" x14ac:dyDescent="0.2">
      <c r="C5356" s="198"/>
      <c r="D5356" s="198"/>
      <c r="E5356" s="537"/>
      <c r="G5356" s="198"/>
      <c r="H5356" s="123"/>
    </row>
    <row r="5357" spans="3:8" s="99" customFormat="1" x14ac:dyDescent="0.2">
      <c r="C5357" s="198"/>
      <c r="D5357" s="198"/>
      <c r="E5357" s="537"/>
      <c r="G5357" s="198"/>
      <c r="H5357" s="123"/>
    </row>
    <row r="5358" spans="3:8" s="99" customFormat="1" x14ac:dyDescent="0.2">
      <c r="C5358" s="198"/>
      <c r="D5358" s="198"/>
      <c r="E5358" s="537"/>
      <c r="G5358" s="198"/>
      <c r="H5358" s="123"/>
    </row>
    <row r="5359" spans="3:8" s="99" customFormat="1" x14ac:dyDescent="0.2">
      <c r="C5359" s="198"/>
      <c r="D5359" s="198"/>
      <c r="E5359" s="537"/>
      <c r="G5359" s="198"/>
      <c r="H5359" s="123"/>
    </row>
    <row r="5360" spans="3:8" s="99" customFormat="1" x14ac:dyDescent="0.2">
      <c r="C5360" s="198"/>
      <c r="D5360" s="198"/>
      <c r="E5360" s="537"/>
      <c r="G5360" s="198"/>
      <c r="H5360" s="123"/>
    </row>
    <row r="5361" spans="3:8" s="99" customFormat="1" x14ac:dyDescent="0.2">
      <c r="C5361" s="198"/>
      <c r="D5361" s="198"/>
      <c r="E5361" s="537"/>
      <c r="G5361" s="198"/>
      <c r="H5361" s="123"/>
    </row>
    <row r="5362" spans="3:8" s="99" customFormat="1" x14ac:dyDescent="0.2">
      <c r="C5362" s="198"/>
      <c r="D5362" s="198"/>
      <c r="E5362" s="537"/>
      <c r="G5362" s="198"/>
      <c r="H5362" s="123"/>
    </row>
    <row r="5363" spans="3:8" s="99" customFormat="1" x14ac:dyDescent="0.2">
      <c r="C5363" s="198"/>
      <c r="D5363" s="198"/>
      <c r="E5363" s="537"/>
      <c r="G5363" s="198"/>
      <c r="H5363" s="123"/>
    </row>
    <row r="5364" spans="3:8" s="99" customFormat="1" x14ac:dyDescent="0.2">
      <c r="C5364" s="198"/>
      <c r="D5364" s="198"/>
      <c r="E5364" s="537"/>
      <c r="G5364" s="198"/>
      <c r="H5364" s="123"/>
    </row>
    <row r="5365" spans="3:8" s="99" customFormat="1" x14ac:dyDescent="0.2">
      <c r="C5365" s="198"/>
      <c r="D5365" s="198"/>
      <c r="E5365" s="537"/>
      <c r="G5365" s="198"/>
      <c r="H5365" s="123"/>
    </row>
    <row r="5366" spans="3:8" s="99" customFormat="1" x14ac:dyDescent="0.2">
      <c r="C5366" s="198"/>
      <c r="D5366" s="198"/>
      <c r="E5366" s="537"/>
      <c r="G5366" s="198"/>
      <c r="H5366" s="123"/>
    </row>
    <row r="5367" spans="3:8" s="99" customFormat="1" x14ac:dyDescent="0.2">
      <c r="C5367" s="198"/>
      <c r="D5367" s="198"/>
      <c r="E5367" s="537"/>
      <c r="G5367" s="198"/>
      <c r="H5367" s="123"/>
    </row>
    <row r="5368" spans="3:8" s="99" customFormat="1" x14ac:dyDescent="0.2">
      <c r="C5368" s="198"/>
      <c r="D5368" s="198"/>
      <c r="E5368" s="537"/>
      <c r="G5368" s="198"/>
      <c r="H5368" s="123"/>
    </row>
    <row r="5369" spans="3:8" s="99" customFormat="1" x14ac:dyDescent="0.2">
      <c r="C5369" s="198"/>
      <c r="D5369" s="198"/>
      <c r="E5369" s="537"/>
      <c r="G5369" s="198"/>
      <c r="H5369" s="123"/>
    </row>
    <row r="5370" spans="3:8" s="99" customFormat="1" x14ac:dyDescent="0.2">
      <c r="C5370" s="198"/>
      <c r="D5370" s="198"/>
      <c r="E5370" s="537"/>
      <c r="G5370" s="198"/>
      <c r="H5370" s="123"/>
    </row>
    <row r="5371" spans="3:8" s="99" customFormat="1" x14ac:dyDescent="0.2">
      <c r="C5371" s="198"/>
      <c r="D5371" s="198"/>
      <c r="E5371" s="537"/>
      <c r="G5371" s="198"/>
      <c r="H5371" s="123"/>
    </row>
    <row r="5372" spans="3:8" s="99" customFormat="1" x14ac:dyDescent="0.2">
      <c r="C5372" s="198"/>
      <c r="D5372" s="198"/>
      <c r="E5372" s="537"/>
      <c r="G5372" s="198"/>
      <c r="H5372" s="123"/>
    </row>
    <row r="5373" spans="3:8" s="99" customFormat="1" x14ac:dyDescent="0.2">
      <c r="C5373" s="198"/>
      <c r="D5373" s="198"/>
      <c r="E5373" s="537"/>
      <c r="G5373" s="198"/>
      <c r="H5373" s="123"/>
    </row>
    <row r="5374" spans="3:8" s="99" customFormat="1" x14ac:dyDescent="0.2">
      <c r="C5374" s="198"/>
      <c r="D5374" s="198"/>
      <c r="E5374" s="537"/>
      <c r="G5374" s="198"/>
      <c r="H5374" s="123"/>
    </row>
    <row r="5375" spans="3:8" s="99" customFormat="1" x14ac:dyDescent="0.2">
      <c r="C5375" s="198"/>
      <c r="D5375" s="198"/>
      <c r="E5375" s="537"/>
      <c r="G5375" s="198"/>
      <c r="H5375" s="123"/>
    </row>
    <row r="5376" spans="3:8" s="99" customFormat="1" x14ac:dyDescent="0.2">
      <c r="C5376" s="198"/>
      <c r="D5376" s="198"/>
      <c r="E5376" s="537"/>
      <c r="G5376" s="198"/>
      <c r="H5376" s="123"/>
    </row>
    <row r="5377" spans="3:8" s="99" customFormat="1" x14ac:dyDescent="0.2">
      <c r="C5377" s="198"/>
      <c r="D5377" s="198"/>
      <c r="E5377" s="537"/>
      <c r="G5377" s="198"/>
      <c r="H5377" s="123"/>
    </row>
    <row r="5378" spans="3:8" s="99" customFormat="1" x14ac:dyDescent="0.2">
      <c r="C5378" s="198"/>
      <c r="D5378" s="198"/>
      <c r="E5378" s="537"/>
      <c r="G5378" s="198"/>
      <c r="H5378" s="123"/>
    </row>
    <row r="5379" spans="3:8" s="99" customFormat="1" x14ac:dyDescent="0.2">
      <c r="C5379" s="198"/>
      <c r="D5379" s="198"/>
      <c r="E5379" s="537"/>
      <c r="G5379" s="198"/>
      <c r="H5379" s="123"/>
    </row>
    <row r="5380" spans="3:8" s="99" customFormat="1" x14ac:dyDescent="0.2">
      <c r="C5380" s="198"/>
      <c r="D5380" s="198"/>
      <c r="E5380" s="537"/>
      <c r="G5380" s="198"/>
      <c r="H5380" s="123"/>
    </row>
    <row r="5381" spans="3:8" s="99" customFormat="1" x14ac:dyDescent="0.2">
      <c r="C5381" s="198"/>
      <c r="D5381" s="198"/>
      <c r="E5381" s="537"/>
      <c r="G5381" s="198"/>
      <c r="H5381" s="123"/>
    </row>
    <row r="5382" spans="3:8" s="99" customFormat="1" x14ac:dyDescent="0.2">
      <c r="C5382" s="198"/>
      <c r="D5382" s="198"/>
      <c r="E5382" s="537"/>
      <c r="G5382" s="198"/>
      <c r="H5382" s="123"/>
    </row>
    <row r="5383" spans="3:8" s="99" customFormat="1" x14ac:dyDescent="0.2">
      <c r="C5383" s="198"/>
      <c r="D5383" s="198"/>
      <c r="E5383" s="537"/>
      <c r="G5383" s="198"/>
      <c r="H5383" s="123"/>
    </row>
    <row r="5384" spans="3:8" s="99" customFormat="1" x14ac:dyDescent="0.2">
      <c r="C5384" s="198"/>
      <c r="D5384" s="198"/>
      <c r="E5384" s="537"/>
      <c r="G5384" s="198"/>
      <c r="H5384" s="123"/>
    </row>
    <row r="5385" spans="3:8" s="99" customFormat="1" x14ac:dyDescent="0.2">
      <c r="C5385" s="198"/>
      <c r="D5385" s="198"/>
      <c r="E5385" s="537"/>
      <c r="G5385" s="198"/>
      <c r="H5385" s="123"/>
    </row>
    <row r="5386" spans="3:8" s="99" customFormat="1" x14ac:dyDescent="0.2">
      <c r="C5386" s="198"/>
      <c r="D5386" s="198"/>
      <c r="E5386" s="537"/>
      <c r="G5386" s="198"/>
      <c r="H5386" s="123"/>
    </row>
    <row r="5387" spans="3:8" s="99" customFormat="1" x14ac:dyDescent="0.2">
      <c r="C5387" s="198"/>
      <c r="D5387" s="198"/>
      <c r="E5387" s="537"/>
      <c r="G5387" s="198"/>
      <c r="H5387" s="123"/>
    </row>
    <row r="5388" spans="3:8" s="99" customFormat="1" x14ac:dyDescent="0.2">
      <c r="C5388" s="198"/>
      <c r="D5388" s="198"/>
      <c r="E5388" s="537"/>
      <c r="G5388" s="198"/>
      <c r="H5388" s="123"/>
    </row>
    <row r="5389" spans="3:8" s="99" customFormat="1" x14ac:dyDescent="0.2">
      <c r="C5389" s="198"/>
      <c r="D5389" s="198"/>
      <c r="E5389" s="537"/>
      <c r="G5389" s="198"/>
      <c r="H5389" s="123"/>
    </row>
    <row r="5390" spans="3:8" s="99" customFormat="1" x14ac:dyDescent="0.2">
      <c r="C5390" s="198"/>
      <c r="D5390" s="198"/>
      <c r="E5390" s="537"/>
      <c r="G5390" s="198"/>
      <c r="H5390" s="123"/>
    </row>
    <row r="5391" spans="3:8" s="99" customFormat="1" x14ac:dyDescent="0.2">
      <c r="C5391" s="198"/>
      <c r="D5391" s="198"/>
      <c r="E5391" s="537"/>
      <c r="G5391" s="198"/>
      <c r="H5391" s="123"/>
    </row>
    <row r="5392" spans="3:8" s="99" customFormat="1" x14ac:dyDescent="0.2">
      <c r="C5392" s="198"/>
      <c r="D5392" s="198"/>
      <c r="E5392" s="537"/>
      <c r="G5392" s="198"/>
      <c r="H5392" s="123"/>
    </row>
    <row r="5393" spans="3:8" s="99" customFormat="1" x14ac:dyDescent="0.2">
      <c r="C5393" s="198"/>
      <c r="D5393" s="198"/>
      <c r="E5393" s="537"/>
      <c r="G5393" s="198"/>
      <c r="H5393" s="123"/>
    </row>
    <row r="5394" spans="3:8" s="99" customFormat="1" x14ac:dyDescent="0.2">
      <c r="C5394" s="198"/>
      <c r="D5394" s="198"/>
      <c r="E5394" s="537"/>
      <c r="G5394" s="198"/>
      <c r="H5394" s="123"/>
    </row>
    <row r="5395" spans="3:8" s="99" customFormat="1" x14ac:dyDescent="0.2">
      <c r="C5395" s="198"/>
      <c r="D5395" s="198"/>
      <c r="E5395" s="537"/>
      <c r="G5395" s="198"/>
      <c r="H5395" s="123"/>
    </row>
    <row r="5396" spans="3:8" s="99" customFormat="1" x14ac:dyDescent="0.2">
      <c r="C5396" s="198"/>
      <c r="D5396" s="198"/>
      <c r="E5396" s="537"/>
      <c r="G5396" s="198"/>
      <c r="H5396" s="123"/>
    </row>
    <row r="5397" spans="3:8" s="99" customFormat="1" x14ac:dyDescent="0.2">
      <c r="C5397" s="198"/>
      <c r="D5397" s="198"/>
      <c r="E5397" s="537"/>
      <c r="G5397" s="198"/>
      <c r="H5397" s="123"/>
    </row>
    <row r="5398" spans="3:8" s="99" customFormat="1" x14ac:dyDescent="0.2">
      <c r="C5398" s="198"/>
      <c r="D5398" s="198"/>
      <c r="E5398" s="537"/>
      <c r="G5398" s="198"/>
      <c r="H5398" s="123"/>
    </row>
    <row r="5399" spans="3:8" s="99" customFormat="1" x14ac:dyDescent="0.2">
      <c r="C5399" s="198"/>
      <c r="D5399" s="198"/>
      <c r="E5399" s="537"/>
      <c r="G5399" s="198"/>
      <c r="H5399" s="123"/>
    </row>
    <row r="5400" spans="3:8" s="99" customFormat="1" x14ac:dyDescent="0.2">
      <c r="C5400" s="198"/>
      <c r="D5400" s="198"/>
      <c r="E5400" s="537"/>
      <c r="G5400" s="198"/>
      <c r="H5400" s="123"/>
    </row>
    <row r="5401" spans="3:8" s="99" customFormat="1" x14ac:dyDescent="0.2">
      <c r="C5401" s="198"/>
      <c r="D5401" s="198"/>
      <c r="E5401" s="537"/>
      <c r="G5401" s="198"/>
      <c r="H5401" s="123"/>
    </row>
    <row r="5402" spans="3:8" s="99" customFormat="1" x14ac:dyDescent="0.2">
      <c r="C5402" s="198"/>
      <c r="D5402" s="198"/>
      <c r="E5402" s="537"/>
      <c r="G5402" s="198"/>
      <c r="H5402" s="123"/>
    </row>
    <row r="5403" spans="3:8" s="99" customFormat="1" x14ac:dyDescent="0.2">
      <c r="C5403" s="198"/>
      <c r="D5403" s="198"/>
      <c r="E5403" s="537"/>
      <c r="G5403" s="198"/>
      <c r="H5403" s="123"/>
    </row>
    <row r="5404" spans="3:8" s="99" customFormat="1" x14ac:dyDescent="0.2">
      <c r="C5404" s="198"/>
      <c r="D5404" s="198"/>
      <c r="E5404" s="537"/>
      <c r="G5404" s="198"/>
      <c r="H5404" s="123"/>
    </row>
    <row r="5405" spans="3:8" s="99" customFormat="1" x14ac:dyDescent="0.2">
      <c r="C5405" s="198"/>
      <c r="D5405" s="198"/>
      <c r="E5405" s="537"/>
      <c r="G5405" s="198"/>
      <c r="H5405" s="123"/>
    </row>
    <row r="5406" spans="3:8" s="99" customFormat="1" x14ac:dyDescent="0.2">
      <c r="C5406" s="198"/>
      <c r="D5406" s="198"/>
      <c r="E5406" s="537"/>
      <c r="G5406" s="198"/>
      <c r="H5406" s="123"/>
    </row>
    <row r="5407" spans="3:8" s="99" customFormat="1" x14ac:dyDescent="0.2">
      <c r="C5407" s="198"/>
      <c r="D5407" s="198"/>
      <c r="E5407" s="537"/>
      <c r="G5407" s="198"/>
      <c r="H5407" s="123"/>
    </row>
    <row r="5408" spans="3:8" s="99" customFormat="1" x14ac:dyDescent="0.2">
      <c r="C5408" s="198"/>
      <c r="D5408" s="198"/>
      <c r="E5408" s="537"/>
      <c r="G5408" s="198"/>
      <c r="H5408" s="123"/>
    </row>
    <row r="5409" spans="3:8" s="99" customFormat="1" x14ac:dyDescent="0.2">
      <c r="C5409" s="198"/>
      <c r="D5409" s="198"/>
      <c r="E5409" s="537"/>
      <c r="G5409" s="198"/>
      <c r="H5409" s="123"/>
    </row>
    <row r="5410" spans="3:8" s="99" customFormat="1" x14ac:dyDescent="0.2">
      <c r="C5410" s="198"/>
      <c r="D5410" s="198"/>
      <c r="E5410" s="537"/>
      <c r="G5410" s="198"/>
      <c r="H5410" s="123"/>
    </row>
    <row r="5411" spans="3:8" s="99" customFormat="1" x14ac:dyDescent="0.2">
      <c r="C5411" s="198"/>
      <c r="D5411" s="198"/>
      <c r="E5411" s="537"/>
      <c r="G5411" s="198"/>
      <c r="H5411" s="123"/>
    </row>
    <row r="5412" spans="3:8" s="99" customFormat="1" x14ac:dyDescent="0.2">
      <c r="C5412" s="198"/>
      <c r="D5412" s="198"/>
      <c r="E5412" s="537"/>
      <c r="G5412" s="198"/>
      <c r="H5412" s="123"/>
    </row>
    <row r="5413" spans="3:8" s="99" customFormat="1" x14ac:dyDescent="0.2">
      <c r="C5413" s="198"/>
      <c r="D5413" s="198"/>
      <c r="E5413" s="537"/>
      <c r="G5413" s="198"/>
      <c r="H5413" s="123"/>
    </row>
    <row r="5414" spans="3:8" s="99" customFormat="1" x14ac:dyDescent="0.2">
      <c r="C5414" s="198"/>
      <c r="D5414" s="198"/>
      <c r="E5414" s="537"/>
      <c r="G5414" s="198"/>
      <c r="H5414" s="123"/>
    </row>
    <row r="5415" spans="3:8" s="99" customFormat="1" x14ac:dyDescent="0.2">
      <c r="C5415" s="198"/>
      <c r="D5415" s="198"/>
      <c r="E5415" s="537"/>
      <c r="G5415" s="198"/>
      <c r="H5415" s="123"/>
    </row>
    <row r="5416" spans="3:8" s="99" customFormat="1" x14ac:dyDescent="0.2">
      <c r="C5416" s="198"/>
      <c r="D5416" s="198"/>
      <c r="E5416" s="537"/>
      <c r="G5416" s="198"/>
      <c r="H5416" s="123"/>
    </row>
    <row r="5417" spans="3:8" s="99" customFormat="1" x14ac:dyDescent="0.2">
      <c r="C5417" s="198"/>
      <c r="D5417" s="198"/>
      <c r="E5417" s="537"/>
      <c r="G5417" s="198"/>
      <c r="H5417" s="123"/>
    </row>
    <row r="5418" spans="3:8" s="99" customFormat="1" x14ac:dyDescent="0.2">
      <c r="C5418" s="198"/>
      <c r="D5418" s="198"/>
      <c r="E5418" s="537"/>
      <c r="G5418" s="198"/>
      <c r="H5418" s="123"/>
    </row>
    <row r="5419" spans="3:8" s="99" customFormat="1" x14ac:dyDescent="0.2">
      <c r="C5419" s="198"/>
      <c r="D5419" s="198"/>
      <c r="E5419" s="537"/>
      <c r="G5419" s="198"/>
      <c r="H5419" s="123"/>
    </row>
    <row r="5420" spans="3:8" s="99" customFormat="1" x14ac:dyDescent="0.2">
      <c r="C5420" s="198"/>
      <c r="D5420" s="198"/>
      <c r="E5420" s="537"/>
      <c r="G5420" s="198"/>
      <c r="H5420" s="123"/>
    </row>
    <row r="5421" spans="3:8" s="99" customFormat="1" x14ac:dyDescent="0.2">
      <c r="C5421" s="198"/>
      <c r="D5421" s="198"/>
      <c r="E5421" s="537"/>
      <c r="G5421" s="198"/>
      <c r="H5421" s="123"/>
    </row>
    <row r="5422" spans="3:8" s="99" customFormat="1" x14ac:dyDescent="0.2">
      <c r="C5422" s="198"/>
      <c r="D5422" s="198"/>
      <c r="E5422" s="537"/>
      <c r="G5422" s="198"/>
      <c r="H5422" s="123"/>
    </row>
    <row r="5423" spans="3:8" s="99" customFormat="1" x14ac:dyDescent="0.2">
      <c r="C5423" s="198"/>
      <c r="D5423" s="198"/>
      <c r="E5423" s="537"/>
      <c r="G5423" s="198"/>
      <c r="H5423" s="123"/>
    </row>
    <row r="5424" spans="3:8" s="99" customFormat="1" x14ac:dyDescent="0.2">
      <c r="C5424" s="198"/>
      <c r="D5424" s="198"/>
      <c r="E5424" s="537"/>
      <c r="G5424" s="198"/>
      <c r="H5424" s="123"/>
    </row>
    <row r="5425" spans="3:8" s="99" customFormat="1" x14ac:dyDescent="0.2">
      <c r="C5425" s="198"/>
      <c r="D5425" s="198"/>
      <c r="E5425" s="537"/>
      <c r="G5425" s="198"/>
      <c r="H5425" s="123"/>
    </row>
    <row r="5426" spans="3:8" s="99" customFormat="1" x14ac:dyDescent="0.2">
      <c r="C5426" s="198"/>
      <c r="D5426" s="198"/>
      <c r="E5426" s="537"/>
      <c r="G5426" s="198"/>
      <c r="H5426" s="123"/>
    </row>
    <row r="5427" spans="3:8" s="99" customFormat="1" x14ac:dyDescent="0.2">
      <c r="C5427" s="198"/>
      <c r="D5427" s="198"/>
      <c r="E5427" s="537"/>
      <c r="G5427" s="198"/>
      <c r="H5427" s="123"/>
    </row>
    <row r="5428" spans="3:8" s="99" customFormat="1" x14ac:dyDescent="0.2">
      <c r="C5428" s="198"/>
      <c r="D5428" s="198"/>
      <c r="E5428" s="537"/>
      <c r="G5428" s="198"/>
      <c r="H5428" s="123"/>
    </row>
    <row r="5429" spans="3:8" s="99" customFormat="1" x14ac:dyDescent="0.2">
      <c r="C5429" s="198"/>
      <c r="D5429" s="198"/>
      <c r="E5429" s="537"/>
      <c r="G5429" s="198"/>
      <c r="H5429" s="123"/>
    </row>
    <row r="5430" spans="3:8" s="99" customFormat="1" x14ac:dyDescent="0.2">
      <c r="C5430" s="198"/>
      <c r="D5430" s="198"/>
      <c r="E5430" s="537"/>
      <c r="G5430" s="198"/>
      <c r="H5430" s="123"/>
    </row>
    <row r="5431" spans="3:8" s="99" customFormat="1" x14ac:dyDescent="0.2">
      <c r="C5431" s="198"/>
      <c r="D5431" s="198"/>
      <c r="E5431" s="537"/>
      <c r="G5431" s="198"/>
      <c r="H5431" s="123"/>
    </row>
    <row r="5432" spans="3:8" s="99" customFormat="1" x14ac:dyDescent="0.2">
      <c r="C5432" s="198"/>
      <c r="D5432" s="198"/>
      <c r="E5432" s="537"/>
      <c r="G5432" s="198"/>
      <c r="H5432" s="123"/>
    </row>
    <row r="5433" spans="3:8" s="99" customFormat="1" x14ac:dyDescent="0.2">
      <c r="C5433" s="198"/>
      <c r="D5433" s="198"/>
      <c r="E5433" s="537"/>
      <c r="G5433" s="198"/>
      <c r="H5433" s="123"/>
    </row>
    <row r="5434" spans="3:8" s="99" customFormat="1" x14ac:dyDescent="0.2">
      <c r="C5434" s="198"/>
      <c r="D5434" s="198"/>
      <c r="E5434" s="537"/>
      <c r="G5434" s="198"/>
      <c r="H5434" s="123"/>
    </row>
    <row r="5435" spans="3:8" s="99" customFormat="1" x14ac:dyDescent="0.2">
      <c r="C5435" s="198"/>
      <c r="D5435" s="198"/>
      <c r="E5435" s="537"/>
      <c r="G5435" s="198"/>
      <c r="H5435" s="123"/>
    </row>
    <row r="5436" spans="3:8" s="99" customFormat="1" x14ac:dyDescent="0.2">
      <c r="C5436" s="198"/>
      <c r="D5436" s="198"/>
      <c r="E5436" s="537"/>
      <c r="G5436" s="198"/>
      <c r="H5436" s="123"/>
    </row>
    <row r="5437" spans="3:8" s="99" customFormat="1" x14ac:dyDescent="0.2">
      <c r="C5437" s="198"/>
      <c r="D5437" s="198"/>
      <c r="E5437" s="537"/>
      <c r="G5437" s="198"/>
      <c r="H5437" s="123"/>
    </row>
    <row r="5438" spans="3:8" s="99" customFormat="1" x14ac:dyDescent="0.2">
      <c r="C5438" s="198"/>
      <c r="D5438" s="198"/>
      <c r="E5438" s="537"/>
      <c r="G5438" s="198"/>
      <c r="H5438" s="123"/>
    </row>
    <row r="5439" spans="3:8" s="99" customFormat="1" x14ac:dyDescent="0.2">
      <c r="C5439" s="198"/>
      <c r="D5439" s="198"/>
      <c r="E5439" s="537"/>
      <c r="G5439" s="198"/>
      <c r="H5439" s="123"/>
    </row>
    <row r="5440" spans="3:8" s="99" customFormat="1" x14ac:dyDescent="0.2">
      <c r="C5440" s="198"/>
      <c r="D5440" s="198"/>
      <c r="E5440" s="537"/>
      <c r="G5440" s="198"/>
      <c r="H5440" s="123"/>
    </row>
    <row r="5441" spans="3:8" s="99" customFormat="1" x14ac:dyDescent="0.2">
      <c r="C5441" s="198"/>
      <c r="D5441" s="198"/>
      <c r="E5441" s="537"/>
      <c r="G5441" s="198"/>
      <c r="H5441" s="123"/>
    </row>
    <row r="5442" spans="3:8" s="99" customFormat="1" x14ac:dyDescent="0.2">
      <c r="C5442" s="198"/>
      <c r="D5442" s="198"/>
      <c r="E5442" s="537"/>
      <c r="G5442" s="198"/>
      <c r="H5442" s="123"/>
    </row>
    <row r="5443" spans="3:8" s="99" customFormat="1" x14ac:dyDescent="0.2">
      <c r="C5443" s="198"/>
      <c r="D5443" s="198"/>
      <c r="E5443" s="537"/>
      <c r="G5443" s="198"/>
      <c r="H5443" s="123"/>
    </row>
    <row r="5444" spans="3:8" s="99" customFormat="1" x14ac:dyDescent="0.2">
      <c r="C5444" s="198"/>
      <c r="D5444" s="198"/>
      <c r="E5444" s="537"/>
      <c r="G5444" s="198"/>
      <c r="H5444" s="123"/>
    </row>
    <row r="5445" spans="3:8" s="99" customFormat="1" x14ac:dyDescent="0.2">
      <c r="C5445" s="198"/>
      <c r="D5445" s="198"/>
      <c r="E5445" s="537"/>
      <c r="G5445" s="198"/>
      <c r="H5445" s="123"/>
    </row>
    <row r="5446" spans="3:8" s="99" customFormat="1" x14ac:dyDescent="0.2">
      <c r="C5446" s="198"/>
      <c r="D5446" s="198"/>
      <c r="E5446" s="537"/>
      <c r="G5446" s="198"/>
      <c r="H5446" s="123"/>
    </row>
    <row r="5447" spans="3:8" s="99" customFormat="1" x14ac:dyDescent="0.2">
      <c r="C5447" s="198"/>
      <c r="D5447" s="198"/>
      <c r="E5447" s="537"/>
      <c r="G5447" s="198"/>
      <c r="H5447" s="123"/>
    </row>
    <row r="5448" spans="3:8" s="99" customFormat="1" x14ac:dyDescent="0.2">
      <c r="C5448" s="198"/>
      <c r="D5448" s="198"/>
      <c r="E5448" s="537"/>
      <c r="G5448" s="198"/>
      <c r="H5448" s="123"/>
    </row>
    <row r="5449" spans="3:8" s="99" customFormat="1" x14ac:dyDescent="0.2">
      <c r="C5449" s="198"/>
      <c r="D5449" s="198"/>
      <c r="E5449" s="537"/>
      <c r="G5449" s="198"/>
      <c r="H5449" s="123"/>
    </row>
    <row r="5450" spans="3:8" s="99" customFormat="1" x14ac:dyDescent="0.2">
      <c r="C5450" s="198"/>
      <c r="D5450" s="198"/>
      <c r="E5450" s="537"/>
      <c r="G5450" s="198"/>
      <c r="H5450" s="123"/>
    </row>
    <row r="5451" spans="3:8" s="99" customFormat="1" x14ac:dyDescent="0.2">
      <c r="C5451" s="198"/>
      <c r="D5451" s="198"/>
      <c r="E5451" s="537"/>
      <c r="G5451" s="198"/>
      <c r="H5451" s="123"/>
    </row>
    <row r="5452" spans="3:8" s="99" customFormat="1" x14ac:dyDescent="0.2">
      <c r="C5452" s="198"/>
      <c r="D5452" s="198"/>
      <c r="E5452" s="537"/>
      <c r="G5452" s="198"/>
      <c r="H5452" s="123"/>
    </row>
    <row r="5453" spans="3:8" s="99" customFormat="1" x14ac:dyDescent="0.2">
      <c r="C5453" s="198"/>
      <c r="D5453" s="198"/>
      <c r="E5453" s="537"/>
      <c r="G5453" s="198"/>
      <c r="H5453" s="123"/>
    </row>
    <row r="5454" spans="3:8" s="99" customFormat="1" x14ac:dyDescent="0.2">
      <c r="C5454" s="198"/>
      <c r="D5454" s="198"/>
      <c r="E5454" s="537"/>
      <c r="G5454" s="198"/>
      <c r="H5454" s="123"/>
    </row>
    <row r="5455" spans="3:8" s="99" customFormat="1" x14ac:dyDescent="0.2">
      <c r="C5455" s="198"/>
      <c r="D5455" s="198"/>
      <c r="E5455" s="537"/>
      <c r="G5455" s="198"/>
      <c r="H5455" s="123"/>
    </row>
    <row r="5456" spans="3:8" s="99" customFormat="1" x14ac:dyDescent="0.2">
      <c r="C5456" s="198"/>
      <c r="D5456" s="198"/>
      <c r="E5456" s="537"/>
      <c r="G5456" s="198"/>
      <c r="H5456" s="123"/>
    </row>
    <row r="5457" spans="3:8" s="99" customFormat="1" x14ac:dyDescent="0.2">
      <c r="C5457" s="198"/>
      <c r="D5457" s="198"/>
      <c r="E5457" s="537"/>
      <c r="G5457" s="198"/>
      <c r="H5457" s="123"/>
    </row>
    <row r="5458" spans="3:8" s="99" customFormat="1" x14ac:dyDescent="0.2">
      <c r="C5458" s="198"/>
      <c r="D5458" s="198"/>
      <c r="E5458" s="537"/>
      <c r="G5458" s="198"/>
      <c r="H5458" s="123"/>
    </row>
    <row r="5459" spans="3:8" s="99" customFormat="1" x14ac:dyDescent="0.2">
      <c r="C5459" s="198"/>
      <c r="D5459" s="198"/>
      <c r="E5459" s="537"/>
      <c r="G5459" s="198"/>
      <c r="H5459" s="123"/>
    </row>
    <row r="5460" spans="3:8" s="99" customFormat="1" x14ac:dyDescent="0.2">
      <c r="C5460" s="198"/>
      <c r="D5460" s="198"/>
      <c r="E5460" s="537"/>
      <c r="G5460" s="198"/>
      <c r="H5460" s="123"/>
    </row>
    <row r="5461" spans="3:8" s="99" customFormat="1" x14ac:dyDescent="0.2">
      <c r="C5461" s="198"/>
      <c r="D5461" s="198"/>
      <c r="E5461" s="537"/>
      <c r="G5461" s="198"/>
      <c r="H5461" s="123"/>
    </row>
    <row r="5462" spans="3:8" s="99" customFormat="1" x14ac:dyDescent="0.2">
      <c r="C5462" s="198"/>
      <c r="D5462" s="198"/>
      <c r="E5462" s="537"/>
      <c r="G5462" s="198"/>
      <c r="H5462" s="123"/>
    </row>
    <row r="5463" spans="3:8" s="99" customFormat="1" x14ac:dyDescent="0.2">
      <c r="C5463" s="198"/>
      <c r="D5463" s="198"/>
      <c r="E5463" s="537"/>
      <c r="G5463" s="198"/>
      <c r="H5463" s="123"/>
    </row>
    <row r="5464" spans="3:8" s="99" customFormat="1" x14ac:dyDescent="0.2">
      <c r="C5464" s="198"/>
      <c r="D5464" s="198"/>
      <c r="E5464" s="537"/>
      <c r="G5464" s="198"/>
      <c r="H5464" s="123"/>
    </row>
    <row r="5465" spans="3:8" s="99" customFormat="1" x14ac:dyDescent="0.2">
      <c r="C5465" s="198"/>
      <c r="D5465" s="198"/>
      <c r="E5465" s="537"/>
      <c r="G5465" s="198"/>
      <c r="H5465" s="123"/>
    </row>
    <row r="5466" spans="3:8" s="99" customFormat="1" x14ac:dyDescent="0.2">
      <c r="C5466" s="198"/>
      <c r="D5466" s="198"/>
      <c r="E5466" s="537"/>
      <c r="G5466" s="198"/>
      <c r="H5466" s="123"/>
    </row>
    <row r="5467" spans="3:8" s="99" customFormat="1" x14ac:dyDescent="0.2">
      <c r="C5467" s="198"/>
      <c r="D5467" s="198"/>
      <c r="E5467" s="537"/>
      <c r="G5467" s="198"/>
      <c r="H5467" s="123"/>
    </row>
    <row r="5468" spans="3:8" s="99" customFormat="1" x14ac:dyDescent="0.2">
      <c r="C5468" s="198"/>
      <c r="D5468" s="198"/>
      <c r="E5468" s="537"/>
      <c r="G5468" s="198"/>
      <c r="H5468" s="123"/>
    </row>
    <row r="5469" spans="3:8" s="99" customFormat="1" x14ac:dyDescent="0.2">
      <c r="C5469" s="198"/>
      <c r="D5469" s="198"/>
      <c r="E5469" s="537"/>
      <c r="G5469" s="198"/>
      <c r="H5469" s="123"/>
    </row>
    <row r="5470" spans="3:8" s="99" customFormat="1" x14ac:dyDescent="0.2">
      <c r="C5470" s="198"/>
      <c r="D5470" s="198"/>
      <c r="E5470" s="537"/>
      <c r="G5470" s="198"/>
      <c r="H5470" s="123"/>
    </row>
    <row r="5471" spans="3:8" s="99" customFormat="1" x14ac:dyDescent="0.2">
      <c r="C5471" s="198"/>
      <c r="D5471" s="198"/>
      <c r="E5471" s="537"/>
      <c r="G5471" s="198"/>
      <c r="H5471" s="123"/>
    </row>
    <row r="5472" spans="3:8" s="99" customFormat="1" x14ac:dyDescent="0.2">
      <c r="C5472" s="198"/>
      <c r="D5472" s="198"/>
      <c r="E5472" s="537"/>
      <c r="G5472" s="198"/>
      <c r="H5472" s="123"/>
    </row>
    <row r="5473" spans="3:8" s="99" customFormat="1" x14ac:dyDescent="0.2">
      <c r="C5473" s="198"/>
      <c r="D5473" s="198"/>
      <c r="E5473" s="537"/>
      <c r="G5473" s="198"/>
      <c r="H5473" s="123"/>
    </row>
    <row r="5474" spans="3:8" s="99" customFormat="1" x14ac:dyDescent="0.2">
      <c r="C5474" s="198"/>
      <c r="D5474" s="198"/>
      <c r="E5474" s="537"/>
      <c r="G5474" s="198"/>
      <c r="H5474" s="123"/>
    </row>
    <row r="5475" spans="3:8" s="99" customFormat="1" x14ac:dyDescent="0.2">
      <c r="C5475" s="198"/>
      <c r="D5475" s="198"/>
      <c r="E5475" s="537"/>
      <c r="G5475" s="198"/>
      <c r="H5475" s="123"/>
    </row>
    <row r="5476" spans="3:8" s="99" customFormat="1" x14ac:dyDescent="0.2">
      <c r="C5476" s="198"/>
      <c r="D5476" s="198"/>
      <c r="E5476" s="537"/>
      <c r="G5476" s="198"/>
      <c r="H5476" s="123"/>
    </row>
    <row r="5477" spans="3:8" s="99" customFormat="1" x14ac:dyDescent="0.2">
      <c r="C5477" s="198"/>
      <c r="D5477" s="198"/>
      <c r="E5477" s="537"/>
      <c r="G5477" s="198"/>
      <c r="H5477" s="123"/>
    </row>
    <row r="5478" spans="3:8" s="99" customFormat="1" x14ac:dyDescent="0.2">
      <c r="C5478" s="198"/>
      <c r="D5478" s="198"/>
      <c r="E5478" s="537"/>
      <c r="G5478" s="198"/>
      <c r="H5478" s="123"/>
    </row>
    <row r="5479" spans="3:8" s="99" customFormat="1" x14ac:dyDescent="0.2">
      <c r="C5479" s="198"/>
      <c r="D5479" s="198"/>
      <c r="E5479" s="537"/>
      <c r="G5479" s="198"/>
      <c r="H5479" s="123"/>
    </row>
    <row r="5480" spans="3:8" s="99" customFormat="1" x14ac:dyDescent="0.2">
      <c r="C5480" s="198"/>
      <c r="D5480" s="198"/>
      <c r="E5480" s="537"/>
      <c r="G5480" s="198"/>
      <c r="H5480" s="123"/>
    </row>
    <row r="5481" spans="3:8" s="99" customFormat="1" x14ac:dyDescent="0.2">
      <c r="C5481" s="198"/>
      <c r="D5481" s="198"/>
      <c r="E5481" s="537"/>
      <c r="G5481" s="198"/>
      <c r="H5481" s="123"/>
    </row>
    <row r="5482" spans="3:8" s="99" customFormat="1" x14ac:dyDescent="0.2">
      <c r="C5482" s="198"/>
      <c r="D5482" s="198"/>
      <c r="E5482" s="537"/>
      <c r="G5482" s="198"/>
      <c r="H5482" s="123"/>
    </row>
    <row r="5483" spans="3:8" s="99" customFormat="1" x14ac:dyDescent="0.2">
      <c r="C5483" s="198"/>
      <c r="D5483" s="198"/>
      <c r="E5483" s="537"/>
      <c r="G5483" s="198"/>
      <c r="H5483" s="123"/>
    </row>
    <row r="5484" spans="3:8" s="99" customFormat="1" x14ac:dyDescent="0.2">
      <c r="C5484" s="198"/>
      <c r="D5484" s="198"/>
      <c r="E5484" s="537"/>
      <c r="G5484" s="198"/>
      <c r="H5484" s="123"/>
    </row>
    <row r="5485" spans="3:8" s="99" customFormat="1" x14ac:dyDescent="0.2">
      <c r="C5485" s="198"/>
      <c r="D5485" s="198"/>
      <c r="E5485" s="537"/>
      <c r="G5485" s="198"/>
      <c r="H5485" s="123"/>
    </row>
    <row r="5486" spans="3:8" s="99" customFormat="1" x14ac:dyDescent="0.2">
      <c r="C5486" s="198"/>
      <c r="D5486" s="198"/>
      <c r="E5486" s="537"/>
      <c r="G5486" s="198"/>
      <c r="H5486" s="123"/>
    </row>
    <row r="5487" spans="3:8" s="99" customFormat="1" x14ac:dyDescent="0.2">
      <c r="C5487" s="198"/>
      <c r="D5487" s="198"/>
      <c r="E5487" s="537"/>
      <c r="G5487" s="198"/>
      <c r="H5487" s="123"/>
    </row>
    <row r="5488" spans="3:8" s="99" customFormat="1" x14ac:dyDescent="0.2">
      <c r="C5488" s="198"/>
      <c r="D5488" s="198"/>
      <c r="E5488" s="537"/>
      <c r="G5488" s="198"/>
      <c r="H5488" s="123"/>
    </row>
    <row r="5489" spans="3:8" s="99" customFormat="1" x14ac:dyDescent="0.2">
      <c r="C5489" s="198"/>
      <c r="D5489" s="198"/>
      <c r="E5489" s="537"/>
      <c r="G5489" s="198"/>
      <c r="H5489" s="123"/>
    </row>
    <row r="5490" spans="3:8" s="99" customFormat="1" x14ac:dyDescent="0.2">
      <c r="C5490" s="198"/>
      <c r="D5490" s="198"/>
      <c r="E5490" s="537"/>
      <c r="G5490" s="198"/>
      <c r="H5490" s="123"/>
    </row>
    <row r="5491" spans="3:8" s="99" customFormat="1" x14ac:dyDescent="0.2">
      <c r="C5491" s="198"/>
      <c r="D5491" s="198"/>
      <c r="E5491" s="537"/>
      <c r="G5491" s="198"/>
      <c r="H5491" s="123"/>
    </row>
    <row r="5492" spans="3:8" s="99" customFormat="1" x14ac:dyDescent="0.2">
      <c r="C5492" s="198"/>
      <c r="D5492" s="198"/>
      <c r="E5492" s="537"/>
      <c r="G5492" s="198"/>
      <c r="H5492" s="123"/>
    </row>
    <row r="5493" spans="3:8" s="99" customFormat="1" x14ac:dyDescent="0.2">
      <c r="C5493" s="198"/>
      <c r="D5493" s="198"/>
      <c r="E5493" s="537"/>
      <c r="G5493" s="198"/>
      <c r="H5493" s="123"/>
    </row>
    <row r="5494" spans="3:8" s="99" customFormat="1" x14ac:dyDescent="0.2">
      <c r="C5494" s="198"/>
      <c r="D5494" s="198"/>
      <c r="E5494" s="537"/>
      <c r="G5494" s="198"/>
      <c r="H5494" s="123"/>
    </row>
    <row r="5495" spans="3:8" s="99" customFormat="1" x14ac:dyDescent="0.2">
      <c r="C5495" s="198"/>
      <c r="D5495" s="198"/>
      <c r="E5495" s="537"/>
      <c r="G5495" s="198"/>
      <c r="H5495" s="123"/>
    </row>
    <row r="5496" spans="3:8" s="99" customFormat="1" x14ac:dyDescent="0.2">
      <c r="C5496" s="198"/>
      <c r="D5496" s="198"/>
      <c r="E5496" s="537"/>
      <c r="G5496" s="198"/>
      <c r="H5496" s="123"/>
    </row>
    <row r="5497" spans="3:8" s="99" customFormat="1" x14ac:dyDescent="0.2">
      <c r="C5497" s="198"/>
      <c r="D5497" s="198"/>
      <c r="E5497" s="537"/>
      <c r="G5497" s="198"/>
      <c r="H5497" s="123"/>
    </row>
    <row r="5498" spans="3:8" s="99" customFormat="1" x14ac:dyDescent="0.2">
      <c r="C5498" s="198"/>
      <c r="D5498" s="198"/>
      <c r="E5498" s="537"/>
      <c r="G5498" s="198"/>
      <c r="H5498" s="123"/>
    </row>
    <row r="5499" spans="3:8" s="99" customFormat="1" x14ac:dyDescent="0.2">
      <c r="C5499" s="198"/>
      <c r="D5499" s="198"/>
      <c r="E5499" s="537"/>
      <c r="G5499" s="198"/>
      <c r="H5499" s="123"/>
    </row>
    <row r="5500" spans="3:8" s="99" customFormat="1" x14ac:dyDescent="0.2">
      <c r="C5500" s="198"/>
      <c r="D5500" s="198"/>
      <c r="E5500" s="537"/>
      <c r="G5500" s="198"/>
      <c r="H5500" s="123"/>
    </row>
    <row r="5501" spans="3:8" s="99" customFormat="1" x14ac:dyDescent="0.2">
      <c r="C5501" s="198"/>
      <c r="D5501" s="198"/>
      <c r="E5501" s="537"/>
      <c r="G5501" s="198"/>
      <c r="H5501" s="123"/>
    </row>
    <row r="5502" spans="3:8" s="99" customFormat="1" x14ac:dyDescent="0.2">
      <c r="C5502" s="198"/>
      <c r="D5502" s="198"/>
      <c r="E5502" s="537"/>
      <c r="G5502" s="198"/>
      <c r="H5502" s="123"/>
    </row>
    <row r="5503" spans="3:8" s="99" customFormat="1" x14ac:dyDescent="0.2">
      <c r="C5503" s="198"/>
      <c r="D5503" s="198"/>
      <c r="E5503" s="537"/>
      <c r="G5503" s="198"/>
      <c r="H5503" s="123"/>
    </row>
    <row r="5504" spans="3:8" s="99" customFormat="1" x14ac:dyDescent="0.2">
      <c r="C5504" s="198"/>
      <c r="D5504" s="198"/>
      <c r="E5504" s="537"/>
      <c r="G5504" s="198"/>
      <c r="H5504" s="123"/>
    </row>
    <row r="5505" spans="3:8" s="99" customFormat="1" x14ac:dyDescent="0.2">
      <c r="C5505" s="198"/>
      <c r="D5505" s="198"/>
      <c r="E5505" s="537"/>
      <c r="G5505" s="198"/>
      <c r="H5505" s="123"/>
    </row>
    <row r="5506" spans="3:8" s="99" customFormat="1" x14ac:dyDescent="0.2">
      <c r="C5506" s="198"/>
      <c r="D5506" s="198"/>
      <c r="E5506" s="537"/>
      <c r="G5506" s="198"/>
      <c r="H5506" s="123"/>
    </row>
    <row r="5507" spans="3:8" s="99" customFormat="1" x14ac:dyDescent="0.2">
      <c r="C5507" s="198"/>
      <c r="D5507" s="198"/>
      <c r="E5507" s="537"/>
      <c r="G5507" s="198"/>
      <c r="H5507" s="123"/>
    </row>
    <row r="5508" spans="3:8" s="99" customFormat="1" x14ac:dyDescent="0.2">
      <c r="C5508" s="198"/>
      <c r="D5508" s="198"/>
      <c r="E5508" s="537"/>
      <c r="G5508" s="198"/>
      <c r="H5508" s="123"/>
    </row>
    <row r="5509" spans="3:8" s="99" customFormat="1" x14ac:dyDescent="0.2">
      <c r="C5509" s="198"/>
      <c r="D5509" s="198"/>
      <c r="E5509" s="537"/>
      <c r="G5509" s="198"/>
      <c r="H5509" s="123"/>
    </row>
    <row r="5510" spans="3:8" s="99" customFormat="1" x14ac:dyDescent="0.2">
      <c r="C5510" s="198"/>
      <c r="D5510" s="198"/>
      <c r="E5510" s="537"/>
      <c r="G5510" s="198"/>
      <c r="H5510" s="123"/>
    </row>
    <row r="5511" spans="3:8" s="99" customFormat="1" x14ac:dyDescent="0.2">
      <c r="C5511" s="198"/>
      <c r="D5511" s="198"/>
      <c r="E5511" s="537"/>
      <c r="G5511" s="198"/>
      <c r="H5511" s="123"/>
    </row>
    <row r="5512" spans="3:8" s="99" customFormat="1" x14ac:dyDescent="0.2">
      <c r="C5512" s="198"/>
      <c r="D5512" s="198"/>
      <c r="E5512" s="537"/>
      <c r="G5512" s="198"/>
      <c r="H5512" s="123"/>
    </row>
    <row r="5513" spans="3:8" s="99" customFormat="1" x14ac:dyDescent="0.2">
      <c r="C5513" s="198"/>
      <c r="D5513" s="198"/>
      <c r="E5513" s="537"/>
      <c r="G5513" s="198"/>
      <c r="H5513" s="123"/>
    </row>
    <row r="5514" spans="3:8" s="99" customFormat="1" x14ac:dyDescent="0.2">
      <c r="C5514" s="198"/>
      <c r="D5514" s="198"/>
      <c r="E5514" s="537"/>
      <c r="G5514" s="198"/>
      <c r="H5514" s="123"/>
    </row>
    <row r="5515" spans="3:8" s="99" customFormat="1" x14ac:dyDescent="0.2">
      <c r="C5515" s="198"/>
      <c r="D5515" s="198"/>
      <c r="E5515" s="537"/>
      <c r="G5515" s="198"/>
      <c r="H5515" s="123"/>
    </row>
    <row r="5516" spans="3:8" s="99" customFormat="1" x14ac:dyDescent="0.2">
      <c r="C5516" s="198"/>
      <c r="D5516" s="198"/>
      <c r="E5516" s="537"/>
      <c r="G5516" s="198"/>
      <c r="H5516" s="123"/>
    </row>
    <row r="5517" spans="3:8" s="99" customFormat="1" x14ac:dyDescent="0.2">
      <c r="C5517" s="198"/>
      <c r="D5517" s="198"/>
      <c r="E5517" s="537"/>
      <c r="G5517" s="198"/>
      <c r="H5517" s="123"/>
    </row>
    <row r="5518" spans="3:8" s="99" customFormat="1" x14ac:dyDescent="0.2">
      <c r="C5518" s="198"/>
      <c r="D5518" s="198"/>
      <c r="E5518" s="537"/>
      <c r="G5518" s="198"/>
      <c r="H5518" s="123"/>
    </row>
    <row r="5519" spans="3:8" s="99" customFormat="1" x14ac:dyDescent="0.2">
      <c r="C5519" s="198"/>
      <c r="D5519" s="198"/>
      <c r="E5519" s="537"/>
      <c r="G5519" s="198"/>
      <c r="H5519" s="123"/>
    </row>
    <row r="5520" spans="3:8" s="99" customFormat="1" x14ac:dyDescent="0.2">
      <c r="C5520" s="198"/>
      <c r="D5520" s="198"/>
      <c r="E5520" s="537"/>
      <c r="G5520" s="198"/>
      <c r="H5520" s="123"/>
    </row>
    <row r="5521" spans="3:8" s="99" customFormat="1" x14ac:dyDescent="0.2">
      <c r="C5521" s="198"/>
      <c r="D5521" s="198"/>
      <c r="E5521" s="537"/>
      <c r="G5521" s="198"/>
      <c r="H5521" s="123"/>
    </row>
    <row r="5522" spans="3:8" s="99" customFormat="1" x14ac:dyDescent="0.2">
      <c r="C5522" s="198"/>
      <c r="D5522" s="198"/>
      <c r="E5522" s="537"/>
      <c r="G5522" s="198"/>
      <c r="H5522" s="123"/>
    </row>
    <row r="5523" spans="3:8" s="99" customFormat="1" x14ac:dyDescent="0.2">
      <c r="C5523" s="198"/>
      <c r="D5523" s="198"/>
      <c r="E5523" s="537"/>
      <c r="G5523" s="198"/>
      <c r="H5523" s="123"/>
    </row>
    <row r="5524" spans="3:8" s="99" customFormat="1" x14ac:dyDescent="0.2">
      <c r="C5524" s="198"/>
      <c r="D5524" s="198"/>
      <c r="E5524" s="537"/>
      <c r="G5524" s="198"/>
      <c r="H5524" s="123"/>
    </row>
    <row r="5525" spans="3:8" s="99" customFormat="1" x14ac:dyDescent="0.2">
      <c r="C5525" s="198"/>
      <c r="D5525" s="198"/>
      <c r="E5525" s="537"/>
      <c r="G5525" s="198"/>
      <c r="H5525" s="123"/>
    </row>
    <row r="5526" spans="3:8" s="99" customFormat="1" x14ac:dyDescent="0.2">
      <c r="C5526" s="198"/>
      <c r="D5526" s="198"/>
      <c r="E5526" s="537"/>
      <c r="G5526" s="198"/>
      <c r="H5526" s="123"/>
    </row>
    <row r="5527" spans="3:8" s="99" customFormat="1" x14ac:dyDescent="0.2">
      <c r="C5527" s="198"/>
      <c r="D5527" s="198"/>
      <c r="E5527" s="537"/>
      <c r="G5527" s="198"/>
      <c r="H5527" s="123"/>
    </row>
    <row r="5528" spans="3:8" s="99" customFormat="1" x14ac:dyDescent="0.2">
      <c r="C5528" s="198"/>
      <c r="D5528" s="198"/>
      <c r="E5528" s="537"/>
      <c r="G5528" s="198"/>
      <c r="H5528" s="123"/>
    </row>
    <row r="5529" spans="3:8" s="99" customFormat="1" x14ac:dyDescent="0.2">
      <c r="C5529" s="198"/>
      <c r="D5529" s="198"/>
      <c r="E5529" s="537"/>
      <c r="G5529" s="198"/>
      <c r="H5529" s="123"/>
    </row>
    <row r="5530" spans="3:8" s="99" customFormat="1" x14ac:dyDescent="0.2">
      <c r="C5530" s="198"/>
      <c r="D5530" s="198"/>
      <c r="E5530" s="537"/>
      <c r="G5530" s="198"/>
      <c r="H5530" s="123"/>
    </row>
    <row r="5531" spans="3:8" s="99" customFormat="1" x14ac:dyDescent="0.2">
      <c r="C5531" s="198"/>
      <c r="D5531" s="198"/>
      <c r="E5531" s="537"/>
      <c r="G5531" s="198"/>
      <c r="H5531" s="123"/>
    </row>
    <row r="5532" spans="3:8" s="99" customFormat="1" x14ac:dyDescent="0.2">
      <c r="C5532" s="198"/>
      <c r="D5532" s="198"/>
      <c r="E5532" s="537"/>
      <c r="G5532" s="198"/>
      <c r="H5532" s="123"/>
    </row>
    <row r="5533" spans="3:8" s="99" customFormat="1" x14ac:dyDescent="0.2">
      <c r="C5533" s="198"/>
      <c r="D5533" s="198"/>
      <c r="E5533" s="537"/>
      <c r="G5533" s="198"/>
      <c r="H5533" s="123"/>
    </row>
    <row r="5534" spans="3:8" s="99" customFormat="1" x14ac:dyDescent="0.2">
      <c r="C5534" s="198"/>
      <c r="D5534" s="198"/>
      <c r="E5534" s="537"/>
      <c r="G5534" s="198"/>
      <c r="H5534" s="123"/>
    </row>
    <row r="5535" spans="3:8" s="99" customFormat="1" x14ac:dyDescent="0.2">
      <c r="C5535" s="198"/>
      <c r="D5535" s="198"/>
      <c r="E5535" s="537"/>
      <c r="G5535" s="198"/>
      <c r="H5535" s="123"/>
    </row>
    <row r="5536" spans="3:8" s="99" customFormat="1" x14ac:dyDescent="0.2">
      <c r="C5536" s="198"/>
      <c r="D5536" s="198"/>
      <c r="E5536" s="537"/>
      <c r="G5536" s="198"/>
      <c r="H5536" s="123"/>
    </row>
    <row r="5537" spans="3:8" s="99" customFormat="1" x14ac:dyDescent="0.2">
      <c r="C5537" s="198"/>
      <c r="D5537" s="198"/>
      <c r="E5537" s="537"/>
      <c r="G5537" s="198"/>
      <c r="H5537" s="123"/>
    </row>
    <row r="5538" spans="3:8" s="99" customFormat="1" x14ac:dyDescent="0.2">
      <c r="C5538" s="198"/>
      <c r="D5538" s="198"/>
      <c r="E5538" s="537"/>
      <c r="G5538" s="198"/>
      <c r="H5538" s="123"/>
    </row>
    <row r="5539" spans="3:8" s="99" customFormat="1" x14ac:dyDescent="0.2">
      <c r="C5539" s="198"/>
      <c r="D5539" s="198"/>
      <c r="E5539" s="537"/>
      <c r="G5539" s="198"/>
      <c r="H5539" s="123"/>
    </row>
    <row r="5540" spans="3:8" s="99" customFormat="1" x14ac:dyDescent="0.2">
      <c r="C5540" s="198"/>
      <c r="D5540" s="198"/>
      <c r="E5540" s="537"/>
      <c r="G5540" s="198"/>
      <c r="H5540" s="123"/>
    </row>
    <row r="5541" spans="3:8" s="99" customFormat="1" x14ac:dyDescent="0.2">
      <c r="C5541" s="198"/>
      <c r="D5541" s="198"/>
      <c r="E5541" s="537"/>
      <c r="G5541" s="198"/>
      <c r="H5541" s="123"/>
    </row>
    <row r="5542" spans="3:8" s="99" customFormat="1" x14ac:dyDescent="0.2">
      <c r="C5542" s="198"/>
      <c r="D5542" s="198"/>
      <c r="E5542" s="537"/>
      <c r="G5542" s="198"/>
      <c r="H5542" s="123"/>
    </row>
    <row r="5543" spans="3:8" s="99" customFormat="1" x14ac:dyDescent="0.2">
      <c r="C5543" s="198"/>
      <c r="D5543" s="198"/>
      <c r="E5543" s="537"/>
      <c r="G5543" s="198"/>
      <c r="H5543" s="123"/>
    </row>
    <row r="5544" spans="3:8" s="99" customFormat="1" x14ac:dyDescent="0.2">
      <c r="C5544" s="198"/>
      <c r="D5544" s="198"/>
      <c r="E5544" s="537"/>
      <c r="G5544" s="198"/>
      <c r="H5544" s="123"/>
    </row>
    <row r="5545" spans="3:8" s="99" customFormat="1" x14ac:dyDescent="0.2">
      <c r="C5545" s="198"/>
      <c r="D5545" s="198"/>
      <c r="E5545" s="537"/>
      <c r="G5545" s="198"/>
      <c r="H5545" s="123"/>
    </row>
    <row r="5546" spans="3:8" s="99" customFormat="1" x14ac:dyDescent="0.2">
      <c r="C5546" s="198"/>
      <c r="D5546" s="198"/>
      <c r="E5546" s="537"/>
      <c r="G5546" s="198"/>
      <c r="H5546" s="123"/>
    </row>
    <row r="5547" spans="3:8" s="99" customFormat="1" x14ac:dyDescent="0.2">
      <c r="C5547" s="198"/>
      <c r="D5547" s="198"/>
      <c r="E5547" s="537"/>
      <c r="G5547" s="198"/>
      <c r="H5547" s="123"/>
    </row>
    <row r="5548" spans="3:8" s="99" customFormat="1" x14ac:dyDescent="0.2">
      <c r="C5548" s="198"/>
      <c r="D5548" s="198"/>
      <c r="E5548" s="537"/>
      <c r="G5548" s="198"/>
      <c r="H5548" s="123"/>
    </row>
    <row r="5549" spans="3:8" s="99" customFormat="1" x14ac:dyDescent="0.2">
      <c r="C5549" s="198"/>
      <c r="D5549" s="198"/>
      <c r="E5549" s="537"/>
      <c r="G5549" s="198"/>
      <c r="H5549" s="123"/>
    </row>
    <row r="5550" spans="3:8" s="99" customFormat="1" x14ac:dyDescent="0.2">
      <c r="C5550" s="198"/>
      <c r="D5550" s="198"/>
      <c r="E5550" s="537"/>
      <c r="G5550" s="198"/>
      <c r="H5550" s="123"/>
    </row>
    <row r="5551" spans="3:8" s="99" customFormat="1" x14ac:dyDescent="0.2">
      <c r="C5551" s="198"/>
      <c r="D5551" s="198"/>
      <c r="E5551" s="537"/>
      <c r="G5551" s="198"/>
      <c r="H5551" s="123"/>
    </row>
    <row r="5552" spans="3:8" s="99" customFormat="1" x14ac:dyDescent="0.2">
      <c r="C5552" s="198"/>
      <c r="D5552" s="198"/>
      <c r="E5552" s="537"/>
      <c r="G5552" s="198"/>
      <c r="H5552" s="123"/>
    </row>
    <row r="5553" spans="3:8" s="99" customFormat="1" x14ac:dyDescent="0.2">
      <c r="C5553" s="198"/>
      <c r="D5553" s="198"/>
      <c r="E5553" s="537"/>
      <c r="G5553" s="198"/>
      <c r="H5553" s="123"/>
    </row>
    <row r="5554" spans="3:8" s="99" customFormat="1" x14ac:dyDescent="0.2">
      <c r="C5554" s="198"/>
      <c r="D5554" s="198"/>
      <c r="E5554" s="537"/>
      <c r="G5554" s="198"/>
      <c r="H5554" s="123"/>
    </row>
    <row r="5555" spans="3:8" s="99" customFormat="1" x14ac:dyDescent="0.2">
      <c r="C5555" s="198"/>
      <c r="D5555" s="198"/>
      <c r="E5555" s="537"/>
      <c r="G5555" s="198"/>
      <c r="H5555" s="123"/>
    </row>
    <row r="5556" spans="3:8" s="99" customFormat="1" x14ac:dyDescent="0.2">
      <c r="C5556" s="198"/>
      <c r="D5556" s="198"/>
      <c r="E5556" s="537"/>
      <c r="G5556" s="198"/>
      <c r="H5556" s="123"/>
    </row>
    <row r="5557" spans="3:8" s="99" customFormat="1" x14ac:dyDescent="0.2">
      <c r="C5557" s="198"/>
      <c r="D5557" s="198"/>
      <c r="E5557" s="537"/>
      <c r="G5557" s="198"/>
      <c r="H5557" s="123"/>
    </row>
    <row r="5558" spans="3:8" s="99" customFormat="1" x14ac:dyDescent="0.2">
      <c r="C5558" s="198"/>
      <c r="D5558" s="198"/>
      <c r="E5558" s="537"/>
      <c r="G5558" s="198"/>
      <c r="H5558" s="123"/>
    </row>
    <row r="5559" spans="3:8" s="99" customFormat="1" x14ac:dyDescent="0.2">
      <c r="C5559" s="198"/>
      <c r="D5559" s="198"/>
      <c r="E5559" s="537"/>
      <c r="G5559" s="198"/>
      <c r="H5559" s="123"/>
    </row>
    <row r="5560" spans="3:8" s="99" customFormat="1" x14ac:dyDescent="0.2">
      <c r="C5560" s="198"/>
      <c r="D5560" s="198"/>
      <c r="E5560" s="537"/>
      <c r="G5560" s="198"/>
      <c r="H5560" s="123"/>
    </row>
    <row r="5561" spans="3:8" s="99" customFormat="1" x14ac:dyDescent="0.2">
      <c r="C5561" s="198"/>
      <c r="D5561" s="198"/>
      <c r="E5561" s="537"/>
      <c r="G5561" s="198"/>
      <c r="H5561" s="123"/>
    </row>
    <row r="5562" spans="3:8" s="99" customFormat="1" x14ac:dyDescent="0.2">
      <c r="C5562" s="198"/>
      <c r="D5562" s="198"/>
      <c r="E5562" s="537"/>
      <c r="G5562" s="198"/>
      <c r="H5562" s="123"/>
    </row>
    <row r="5563" spans="3:8" s="99" customFormat="1" x14ac:dyDescent="0.2">
      <c r="C5563" s="198"/>
      <c r="D5563" s="198"/>
      <c r="E5563" s="537"/>
      <c r="G5563" s="198"/>
      <c r="H5563" s="123"/>
    </row>
    <row r="5564" spans="3:8" s="99" customFormat="1" x14ac:dyDescent="0.2">
      <c r="C5564" s="198"/>
      <c r="D5564" s="198"/>
      <c r="E5564" s="537"/>
      <c r="G5564" s="198"/>
      <c r="H5564" s="123"/>
    </row>
    <row r="5565" spans="3:8" s="99" customFormat="1" x14ac:dyDescent="0.2">
      <c r="C5565" s="198"/>
      <c r="D5565" s="198"/>
      <c r="E5565" s="537"/>
      <c r="G5565" s="198"/>
      <c r="H5565" s="123"/>
    </row>
    <row r="5566" spans="3:8" s="99" customFormat="1" x14ac:dyDescent="0.2">
      <c r="C5566" s="198"/>
      <c r="D5566" s="198"/>
      <c r="E5566" s="537"/>
      <c r="G5566" s="198"/>
      <c r="H5566" s="123"/>
    </row>
    <row r="5567" spans="3:8" s="99" customFormat="1" x14ac:dyDescent="0.2">
      <c r="C5567" s="198"/>
      <c r="D5567" s="198"/>
      <c r="E5567" s="537"/>
      <c r="G5567" s="198"/>
      <c r="H5567" s="123"/>
    </row>
    <row r="5568" spans="3:8" s="99" customFormat="1" x14ac:dyDescent="0.2">
      <c r="C5568" s="198"/>
      <c r="D5568" s="198"/>
      <c r="E5568" s="537"/>
      <c r="G5568" s="198"/>
      <c r="H5568" s="123"/>
    </row>
    <row r="5569" spans="3:8" s="99" customFormat="1" x14ac:dyDescent="0.2">
      <c r="C5569" s="198"/>
      <c r="D5569" s="198"/>
      <c r="E5569" s="537"/>
      <c r="G5569" s="198"/>
      <c r="H5569" s="123"/>
    </row>
    <row r="5570" spans="3:8" s="99" customFormat="1" x14ac:dyDescent="0.2">
      <c r="C5570" s="198"/>
      <c r="D5570" s="198"/>
      <c r="E5570" s="537"/>
      <c r="G5570" s="198"/>
      <c r="H5570" s="123"/>
    </row>
    <row r="5571" spans="3:8" s="99" customFormat="1" x14ac:dyDescent="0.2">
      <c r="C5571" s="198"/>
      <c r="D5571" s="198"/>
      <c r="E5571" s="537"/>
      <c r="G5571" s="198"/>
      <c r="H5571" s="123"/>
    </row>
    <row r="5572" spans="3:8" s="99" customFormat="1" x14ac:dyDescent="0.2">
      <c r="C5572" s="198"/>
      <c r="D5572" s="198"/>
      <c r="E5572" s="537"/>
      <c r="G5572" s="198"/>
      <c r="H5572" s="123"/>
    </row>
    <row r="5573" spans="3:8" s="99" customFormat="1" x14ac:dyDescent="0.2">
      <c r="C5573" s="198"/>
      <c r="D5573" s="198"/>
      <c r="E5573" s="537"/>
      <c r="G5573" s="198"/>
      <c r="H5573" s="123"/>
    </row>
    <row r="5574" spans="3:8" s="99" customFormat="1" x14ac:dyDescent="0.2">
      <c r="C5574" s="198"/>
      <c r="D5574" s="198"/>
      <c r="E5574" s="537"/>
      <c r="G5574" s="198"/>
      <c r="H5574" s="123"/>
    </row>
    <row r="5575" spans="3:8" s="99" customFormat="1" x14ac:dyDescent="0.2">
      <c r="C5575" s="198"/>
      <c r="D5575" s="198"/>
      <c r="E5575" s="537"/>
      <c r="G5575" s="198"/>
      <c r="H5575" s="123"/>
    </row>
    <row r="5576" spans="3:8" s="99" customFormat="1" x14ac:dyDescent="0.2">
      <c r="C5576" s="198"/>
      <c r="D5576" s="198"/>
      <c r="E5576" s="537"/>
      <c r="G5576" s="198"/>
      <c r="H5576" s="123"/>
    </row>
    <row r="5577" spans="3:8" s="99" customFormat="1" x14ac:dyDescent="0.2">
      <c r="C5577" s="198"/>
      <c r="D5577" s="198"/>
      <c r="E5577" s="537"/>
      <c r="G5577" s="198"/>
      <c r="H5577" s="123"/>
    </row>
    <row r="5578" spans="3:8" s="99" customFormat="1" x14ac:dyDescent="0.2">
      <c r="C5578" s="198"/>
      <c r="D5578" s="198"/>
      <c r="E5578" s="537"/>
      <c r="G5578" s="198"/>
      <c r="H5578" s="123"/>
    </row>
    <row r="5579" spans="3:8" s="99" customFormat="1" x14ac:dyDescent="0.2">
      <c r="C5579" s="198"/>
      <c r="D5579" s="198"/>
      <c r="E5579" s="537"/>
      <c r="G5579" s="198"/>
      <c r="H5579" s="123"/>
    </row>
    <row r="5580" spans="3:8" s="99" customFormat="1" x14ac:dyDescent="0.2">
      <c r="C5580" s="198"/>
      <c r="D5580" s="198"/>
      <c r="E5580" s="537"/>
      <c r="G5580" s="198"/>
      <c r="H5580" s="123"/>
    </row>
    <row r="5581" spans="3:8" s="99" customFormat="1" x14ac:dyDescent="0.2">
      <c r="C5581" s="198"/>
      <c r="D5581" s="198"/>
      <c r="E5581" s="537"/>
      <c r="G5581" s="198"/>
      <c r="H5581" s="123"/>
    </row>
    <row r="5582" spans="3:8" s="99" customFormat="1" x14ac:dyDescent="0.2">
      <c r="C5582" s="198"/>
      <c r="D5582" s="198"/>
      <c r="E5582" s="537"/>
      <c r="G5582" s="198"/>
      <c r="H5582" s="123"/>
    </row>
    <row r="5583" spans="3:8" s="99" customFormat="1" x14ac:dyDescent="0.2">
      <c r="C5583" s="198"/>
      <c r="D5583" s="198"/>
      <c r="E5583" s="537"/>
      <c r="G5583" s="198"/>
      <c r="H5583" s="123"/>
    </row>
    <row r="5584" spans="3:8" s="99" customFormat="1" x14ac:dyDescent="0.2">
      <c r="C5584" s="198"/>
      <c r="D5584" s="198"/>
      <c r="E5584" s="537"/>
      <c r="G5584" s="198"/>
      <c r="H5584" s="123"/>
    </row>
    <row r="5585" spans="3:8" s="99" customFormat="1" x14ac:dyDescent="0.2">
      <c r="C5585" s="198"/>
      <c r="D5585" s="198"/>
      <c r="E5585" s="537"/>
      <c r="G5585" s="198"/>
      <c r="H5585" s="123"/>
    </row>
    <row r="5586" spans="3:8" s="99" customFormat="1" x14ac:dyDescent="0.2">
      <c r="C5586" s="198"/>
      <c r="D5586" s="198"/>
      <c r="E5586" s="537"/>
      <c r="G5586" s="198"/>
      <c r="H5586" s="123"/>
    </row>
    <row r="5587" spans="3:8" s="99" customFormat="1" x14ac:dyDescent="0.2">
      <c r="C5587" s="198"/>
      <c r="D5587" s="198"/>
      <c r="E5587" s="537"/>
      <c r="G5587" s="198"/>
      <c r="H5587" s="123"/>
    </row>
    <row r="5588" spans="3:8" s="99" customFormat="1" x14ac:dyDescent="0.2">
      <c r="C5588" s="198"/>
      <c r="D5588" s="198"/>
      <c r="E5588" s="537"/>
      <c r="G5588" s="198"/>
      <c r="H5588" s="123"/>
    </row>
    <row r="5589" spans="3:8" s="99" customFormat="1" x14ac:dyDescent="0.2">
      <c r="C5589" s="198"/>
      <c r="D5589" s="198"/>
      <c r="E5589" s="537"/>
      <c r="G5589" s="198"/>
      <c r="H5589" s="123"/>
    </row>
    <row r="5590" spans="3:8" s="99" customFormat="1" x14ac:dyDescent="0.2">
      <c r="C5590" s="198"/>
      <c r="D5590" s="198"/>
      <c r="E5590" s="537"/>
      <c r="G5590" s="198"/>
      <c r="H5590" s="123"/>
    </row>
    <row r="5591" spans="3:8" s="99" customFormat="1" x14ac:dyDescent="0.2">
      <c r="C5591" s="198"/>
      <c r="D5591" s="198"/>
      <c r="E5591" s="537"/>
      <c r="G5591" s="198"/>
      <c r="H5591" s="123"/>
    </row>
    <row r="5592" spans="3:8" s="99" customFormat="1" x14ac:dyDescent="0.2">
      <c r="C5592" s="198"/>
      <c r="D5592" s="198"/>
      <c r="E5592" s="537"/>
      <c r="G5592" s="198"/>
      <c r="H5592" s="123"/>
    </row>
    <row r="5593" spans="3:8" s="99" customFormat="1" x14ac:dyDescent="0.2">
      <c r="C5593" s="198"/>
      <c r="D5593" s="198"/>
      <c r="E5593" s="537"/>
      <c r="G5593" s="198"/>
      <c r="H5593" s="123"/>
    </row>
    <row r="5594" spans="3:8" s="99" customFormat="1" x14ac:dyDescent="0.2">
      <c r="C5594" s="198"/>
      <c r="D5594" s="198"/>
      <c r="E5594" s="537"/>
      <c r="G5594" s="198"/>
      <c r="H5594" s="123"/>
    </row>
    <row r="5595" spans="3:8" s="99" customFormat="1" x14ac:dyDescent="0.2">
      <c r="C5595" s="198"/>
      <c r="D5595" s="198"/>
      <c r="E5595" s="537"/>
      <c r="G5595" s="198"/>
      <c r="H5595" s="123"/>
    </row>
    <row r="5596" spans="3:8" s="99" customFormat="1" x14ac:dyDescent="0.2">
      <c r="C5596" s="198"/>
      <c r="D5596" s="198"/>
      <c r="E5596" s="537"/>
      <c r="G5596" s="198"/>
      <c r="H5596" s="123"/>
    </row>
    <row r="5597" spans="3:8" s="99" customFormat="1" x14ac:dyDescent="0.2">
      <c r="C5597" s="198"/>
      <c r="D5597" s="198"/>
      <c r="E5597" s="537"/>
      <c r="G5597" s="198"/>
      <c r="H5597" s="123"/>
    </row>
    <row r="5598" spans="3:8" s="99" customFormat="1" x14ac:dyDescent="0.2">
      <c r="C5598" s="198"/>
      <c r="D5598" s="198"/>
      <c r="E5598" s="537"/>
      <c r="G5598" s="198"/>
      <c r="H5598" s="123"/>
    </row>
    <row r="5599" spans="3:8" s="99" customFormat="1" x14ac:dyDescent="0.2">
      <c r="C5599" s="198"/>
      <c r="D5599" s="198"/>
      <c r="E5599" s="537"/>
      <c r="G5599" s="198"/>
      <c r="H5599" s="123"/>
    </row>
    <row r="5600" spans="3:8" s="99" customFormat="1" x14ac:dyDescent="0.2">
      <c r="C5600" s="198"/>
      <c r="D5600" s="198"/>
      <c r="E5600" s="537"/>
      <c r="G5600" s="198"/>
      <c r="H5600" s="123"/>
    </row>
    <row r="5601" spans="3:8" s="99" customFormat="1" x14ac:dyDescent="0.2">
      <c r="C5601" s="198"/>
      <c r="D5601" s="198"/>
      <c r="E5601" s="537"/>
      <c r="G5601" s="198"/>
      <c r="H5601" s="123"/>
    </row>
    <row r="5602" spans="3:8" s="99" customFormat="1" x14ac:dyDescent="0.2">
      <c r="C5602" s="198"/>
      <c r="D5602" s="198"/>
      <c r="E5602" s="537"/>
      <c r="G5602" s="198"/>
      <c r="H5602" s="123"/>
    </row>
    <row r="5603" spans="3:8" s="99" customFormat="1" x14ac:dyDescent="0.2">
      <c r="C5603" s="198"/>
      <c r="D5603" s="198"/>
      <c r="E5603" s="537"/>
      <c r="G5603" s="198"/>
      <c r="H5603" s="123"/>
    </row>
    <row r="5604" spans="3:8" s="99" customFormat="1" x14ac:dyDescent="0.2">
      <c r="C5604" s="198"/>
      <c r="D5604" s="198"/>
      <c r="E5604" s="537"/>
      <c r="G5604" s="198"/>
      <c r="H5604" s="123"/>
    </row>
    <row r="5605" spans="3:8" s="99" customFormat="1" x14ac:dyDescent="0.2">
      <c r="C5605" s="198"/>
      <c r="D5605" s="198"/>
      <c r="E5605" s="537"/>
      <c r="G5605" s="198"/>
      <c r="H5605" s="123"/>
    </row>
    <row r="5606" spans="3:8" s="99" customFormat="1" x14ac:dyDescent="0.2">
      <c r="C5606" s="198"/>
      <c r="D5606" s="198"/>
      <c r="E5606" s="537"/>
      <c r="G5606" s="198"/>
      <c r="H5606" s="123"/>
    </row>
    <row r="5607" spans="3:8" s="99" customFormat="1" x14ac:dyDescent="0.2">
      <c r="C5607" s="198"/>
      <c r="D5607" s="198"/>
      <c r="E5607" s="537"/>
      <c r="G5607" s="198"/>
      <c r="H5607" s="123"/>
    </row>
    <row r="5608" spans="3:8" s="99" customFormat="1" x14ac:dyDescent="0.2">
      <c r="C5608" s="198"/>
      <c r="D5608" s="198"/>
      <c r="E5608" s="537"/>
      <c r="G5608" s="198"/>
      <c r="H5608" s="123"/>
    </row>
    <row r="5609" spans="3:8" s="99" customFormat="1" x14ac:dyDescent="0.2">
      <c r="C5609" s="198"/>
      <c r="D5609" s="198"/>
      <c r="E5609" s="537"/>
      <c r="G5609" s="198"/>
      <c r="H5609" s="123"/>
    </row>
    <row r="5610" spans="3:8" s="99" customFormat="1" x14ac:dyDescent="0.2">
      <c r="C5610" s="198"/>
      <c r="D5610" s="198"/>
      <c r="E5610" s="537"/>
      <c r="G5610" s="198"/>
      <c r="H5610" s="123"/>
    </row>
    <row r="5611" spans="3:8" s="99" customFormat="1" x14ac:dyDescent="0.2">
      <c r="C5611" s="198"/>
      <c r="D5611" s="198"/>
      <c r="E5611" s="537"/>
      <c r="G5611" s="198"/>
      <c r="H5611" s="123"/>
    </row>
    <row r="5612" spans="3:8" s="99" customFormat="1" x14ac:dyDescent="0.2">
      <c r="C5612" s="198"/>
      <c r="D5612" s="198"/>
      <c r="E5612" s="537"/>
      <c r="G5612" s="198"/>
      <c r="H5612" s="123"/>
    </row>
    <row r="5613" spans="3:8" s="99" customFormat="1" x14ac:dyDescent="0.2">
      <c r="C5613" s="198"/>
      <c r="D5613" s="198"/>
      <c r="E5613" s="537"/>
      <c r="G5613" s="198"/>
      <c r="H5613" s="123"/>
    </row>
    <row r="5614" spans="3:8" s="99" customFormat="1" x14ac:dyDescent="0.2">
      <c r="C5614" s="198"/>
      <c r="D5614" s="198"/>
      <c r="E5614" s="537"/>
      <c r="G5614" s="198"/>
      <c r="H5614" s="123"/>
    </row>
    <row r="5615" spans="3:8" s="99" customFormat="1" x14ac:dyDescent="0.2">
      <c r="C5615" s="198"/>
      <c r="D5615" s="198"/>
      <c r="E5615" s="537"/>
      <c r="G5615" s="198"/>
      <c r="H5615" s="123"/>
    </row>
    <row r="5616" spans="3:8" s="99" customFormat="1" x14ac:dyDescent="0.2">
      <c r="C5616" s="198"/>
      <c r="D5616" s="198"/>
      <c r="E5616" s="537"/>
      <c r="G5616" s="198"/>
      <c r="H5616" s="123"/>
    </row>
    <row r="5617" spans="3:8" s="99" customFormat="1" x14ac:dyDescent="0.2">
      <c r="C5617" s="198"/>
      <c r="D5617" s="198"/>
      <c r="E5617" s="537"/>
      <c r="G5617" s="198"/>
      <c r="H5617" s="123"/>
    </row>
    <row r="5618" spans="3:8" s="99" customFormat="1" x14ac:dyDescent="0.2">
      <c r="C5618" s="198"/>
      <c r="D5618" s="198"/>
      <c r="E5618" s="537"/>
      <c r="G5618" s="198"/>
      <c r="H5618" s="123"/>
    </row>
    <row r="5619" spans="3:8" s="99" customFormat="1" x14ac:dyDescent="0.2">
      <c r="C5619" s="198"/>
      <c r="D5619" s="198"/>
      <c r="E5619" s="537"/>
      <c r="G5619" s="198"/>
      <c r="H5619" s="123"/>
    </row>
    <row r="5620" spans="3:8" s="99" customFormat="1" x14ac:dyDescent="0.2">
      <c r="C5620" s="198"/>
      <c r="D5620" s="198"/>
      <c r="E5620" s="537"/>
      <c r="G5620" s="198"/>
      <c r="H5620" s="123"/>
    </row>
    <row r="5621" spans="3:8" s="99" customFormat="1" x14ac:dyDescent="0.2">
      <c r="C5621" s="198"/>
      <c r="D5621" s="198"/>
      <c r="E5621" s="537"/>
      <c r="G5621" s="198"/>
      <c r="H5621" s="123"/>
    </row>
    <row r="5622" spans="3:8" s="99" customFormat="1" x14ac:dyDescent="0.2">
      <c r="C5622" s="198"/>
      <c r="D5622" s="198"/>
      <c r="E5622" s="537"/>
      <c r="G5622" s="198"/>
      <c r="H5622" s="123"/>
    </row>
    <row r="5623" spans="3:8" s="99" customFormat="1" x14ac:dyDescent="0.2">
      <c r="C5623" s="198"/>
      <c r="D5623" s="198"/>
      <c r="E5623" s="537"/>
      <c r="G5623" s="198"/>
      <c r="H5623" s="123"/>
    </row>
    <row r="5624" spans="3:8" s="99" customFormat="1" x14ac:dyDescent="0.2">
      <c r="C5624" s="198"/>
      <c r="D5624" s="198"/>
      <c r="E5624" s="537"/>
      <c r="G5624" s="198"/>
      <c r="H5624" s="123"/>
    </row>
    <row r="5625" spans="3:8" s="99" customFormat="1" x14ac:dyDescent="0.2">
      <c r="C5625" s="198"/>
      <c r="D5625" s="198"/>
      <c r="E5625" s="537"/>
      <c r="G5625" s="198"/>
      <c r="H5625" s="123"/>
    </row>
    <row r="5626" spans="3:8" s="99" customFormat="1" x14ac:dyDescent="0.2">
      <c r="C5626" s="198"/>
      <c r="D5626" s="198"/>
      <c r="E5626" s="537"/>
      <c r="G5626" s="198"/>
      <c r="H5626" s="123"/>
    </row>
    <row r="5627" spans="3:8" s="99" customFormat="1" x14ac:dyDescent="0.2">
      <c r="C5627" s="198"/>
      <c r="D5627" s="198"/>
      <c r="E5627" s="537"/>
      <c r="G5627" s="198"/>
      <c r="H5627" s="123"/>
    </row>
    <row r="5628" spans="3:8" s="99" customFormat="1" x14ac:dyDescent="0.2">
      <c r="C5628" s="198"/>
      <c r="D5628" s="198"/>
      <c r="E5628" s="537"/>
      <c r="G5628" s="198"/>
      <c r="H5628" s="123"/>
    </row>
    <row r="5629" spans="3:8" s="99" customFormat="1" x14ac:dyDescent="0.2">
      <c r="C5629" s="198"/>
      <c r="D5629" s="198"/>
      <c r="E5629" s="537"/>
      <c r="G5629" s="198"/>
      <c r="H5629" s="123"/>
    </row>
    <row r="5630" spans="3:8" s="99" customFormat="1" x14ac:dyDescent="0.2">
      <c r="C5630" s="198"/>
      <c r="D5630" s="198"/>
      <c r="E5630" s="537"/>
      <c r="G5630" s="198"/>
      <c r="H5630" s="123"/>
    </row>
    <row r="5631" spans="3:8" s="99" customFormat="1" x14ac:dyDescent="0.2">
      <c r="C5631" s="198"/>
      <c r="D5631" s="198"/>
      <c r="E5631" s="537"/>
      <c r="G5631" s="198"/>
      <c r="H5631" s="123"/>
    </row>
    <row r="5632" spans="3:8" s="99" customFormat="1" x14ac:dyDescent="0.2">
      <c r="C5632" s="198"/>
      <c r="D5632" s="198"/>
      <c r="E5632" s="537"/>
      <c r="G5632" s="198"/>
      <c r="H5632" s="123"/>
    </row>
    <row r="5633" spans="3:8" s="99" customFormat="1" x14ac:dyDescent="0.2">
      <c r="C5633" s="198"/>
      <c r="D5633" s="198"/>
      <c r="E5633" s="537"/>
      <c r="G5633" s="198"/>
      <c r="H5633" s="123"/>
    </row>
    <row r="5634" spans="3:8" s="99" customFormat="1" x14ac:dyDescent="0.2">
      <c r="C5634" s="198"/>
      <c r="D5634" s="198"/>
      <c r="E5634" s="537"/>
      <c r="G5634" s="198"/>
      <c r="H5634" s="123"/>
    </row>
    <row r="5635" spans="3:8" s="99" customFormat="1" x14ac:dyDescent="0.2">
      <c r="C5635" s="198"/>
      <c r="D5635" s="198"/>
      <c r="E5635" s="537"/>
      <c r="G5635" s="198"/>
      <c r="H5635" s="123"/>
    </row>
    <row r="5636" spans="3:8" s="99" customFormat="1" x14ac:dyDescent="0.2">
      <c r="C5636" s="198"/>
      <c r="D5636" s="198"/>
      <c r="E5636" s="537"/>
      <c r="G5636" s="198"/>
      <c r="H5636" s="123"/>
    </row>
    <row r="5637" spans="3:8" s="99" customFormat="1" x14ac:dyDescent="0.2">
      <c r="C5637" s="198"/>
      <c r="D5637" s="198"/>
      <c r="E5637" s="537"/>
      <c r="G5637" s="198"/>
      <c r="H5637" s="123"/>
    </row>
    <row r="5638" spans="3:8" s="99" customFormat="1" x14ac:dyDescent="0.2">
      <c r="C5638" s="198"/>
      <c r="D5638" s="198"/>
      <c r="E5638" s="537"/>
      <c r="G5638" s="198"/>
      <c r="H5638" s="123"/>
    </row>
    <row r="5639" spans="3:8" s="99" customFormat="1" x14ac:dyDescent="0.2">
      <c r="C5639" s="198"/>
      <c r="D5639" s="198"/>
      <c r="E5639" s="537"/>
      <c r="G5639" s="198"/>
      <c r="H5639" s="123"/>
    </row>
    <row r="5640" spans="3:8" s="99" customFormat="1" x14ac:dyDescent="0.2">
      <c r="C5640" s="198"/>
      <c r="D5640" s="198"/>
      <c r="E5640" s="537"/>
      <c r="G5640" s="198"/>
      <c r="H5640" s="123"/>
    </row>
    <row r="5641" spans="3:8" s="99" customFormat="1" x14ac:dyDescent="0.2">
      <c r="C5641" s="198"/>
      <c r="D5641" s="198"/>
      <c r="E5641" s="537"/>
      <c r="G5641" s="198"/>
      <c r="H5641" s="123"/>
    </row>
    <row r="5642" spans="3:8" s="99" customFormat="1" x14ac:dyDescent="0.2">
      <c r="C5642" s="198"/>
      <c r="D5642" s="198"/>
      <c r="E5642" s="537"/>
      <c r="G5642" s="198"/>
      <c r="H5642" s="123"/>
    </row>
    <row r="5643" spans="3:8" s="99" customFormat="1" x14ac:dyDescent="0.2">
      <c r="C5643" s="198"/>
      <c r="D5643" s="198"/>
      <c r="E5643" s="537"/>
      <c r="G5643" s="198"/>
      <c r="H5643" s="123"/>
    </row>
    <row r="5644" spans="3:8" s="99" customFormat="1" x14ac:dyDescent="0.2">
      <c r="C5644" s="198"/>
      <c r="D5644" s="198"/>
      <c r="E5644" s="537"/>
      <c r="G5644" s="198"/>
      <c r="H5644" s="123"/>
    </row>
    <row r="5645" spans="3:8" s="99" customFormat="1" x14ac:dyDescent="0.2">
      <c r="C5645" s="198"/>
      <c r="D5645" s="198"/>
      <c r="E5645" s="537"/>
      <c r="G5645" s="198"/>
      <c r="H5645" s="123"/>
    </row>
    <row r="5646" spans="3:8" s="99" customFormat="1" x14ac:dyDescent="0.2">
      <c r="C5646" s="198"/>
      <c r="D5646" s="198"/>
      <c r="E5646" s="537"/>
      <c r="G5646" s="198"/>
      <c r="H5646" s="123"/>
    </row>
    <row r="5647" spans="3:8" s="99" customFormat="1" x14ac:dyDescent="0.2">
      <c r="C5647" s="198"/>
      <c r="D5647" s="198"/>
      <c r="E5647" s="537"/>
      <c r="G5647" s="198"/>
      <c r="H5647" s="123"/>
    </row>
    <row r="5648" spans="3:8" s="99" customFormat="1" x14ac:dyDescent="0.2">
      <c r="C5648" s="198"/>
      <c r="D5648" s="198"/>
      <c r="E5648" s="537"/>
      <c r="G5648" s="198"/>
      <c r="H5648" s="123"/>
    </row>
    <row r="5649" spans="3:8" s="99" customFormat="1" x14ac:dyDescent="0.2">
      <c r="C5649" s="198"/>
      <c r="D5649" s="198"/>
      <c r="E5649" s="537"/>
      <c r="G5649" s="198"/>
      <c r="H5649" s="123"/>
    </row>
    <row r="5650" spans="3:8" s="99" customFormat="1" x14ac:dyDescent="0.2">
      <c r="C5650" s="198"/>
      <c r="D5650" s="198"/>
      <c r="E5650" s="537"/>
      <c r="G5650" s="198"/>
      <c r="H5650" s="123"/>
    </row>
    <row r="5651" spans="3:8" s="99" customFormat="1" x14ac:dyDescent="0.2">
      <c r="C5651" s="198"/>
      <c r="D5651" s="198"/>
      <c r="E5651" s="537"/>
      <c r="G5651" s="198"/>
      <c r="H5651" s="123"/>
    </row>
    <row r="5652" spans="3:8" s="99" customFormat="1" x14ac:dyDescent="0.2">
      <c r="C5652" s="198"/>
      <c r="D5652" s="198"/>
      <c r="E5652" s="537"/>
      <c r="G5652" s="198"/>
      <c r="H5652" s="123"/>
    </row>
    <row r="5653" spans="3:8" s="99" customFormat="1" x14ac:dyDescent="0.2">
      <c r="C5653" s="198"/>
      <c r="D5653" s="198"/>
      <c r="E5653" s="537"/>
      <c r="G5653" s="198"/>
      <c r="H5653" s="123"/>
    </row>
    <row r="5654" spans="3:8" s="99" customFormat="1" x14ac:dyDescent="0.2">
      <c r="C5654" s="198"/>
      <c r="D5654" s="198"/>
      <c r="E5654" s="537"/>
      <c r="G5654" s="198"/>
      <c r="H5654" s="123"/>
    </row>
    <row r="5655" spans="3:8" s="99" customFormat="1" x14ac:dyDescent="0.2">
      <c r="C5655" s="198"/>
      <c r="D5655" s="198"/>
      <c r="E5655" s="537"/>
      <c r="G5655" s="198"/>
      <c r="H5655" s="123"/>
    </row>
    <row r="5656" spans="3:8" s="99" customFormat="1" x14ac:dyDescent="0.2">
      <c r="C5656" s="198"/>
      <c r="D5656" s="198"/>
      <c r="E5656" s="537"/>
      <c r="G5656" s="198"/>
      <c r="H5656" s="123"/>
    </row>
    <row r="5657" spans="3:8" s="99" customFormat="1" x14ac:dyDescent="0.2">
      <c r="C5657" s="198"/>
      <c r="D5657" s="198"/>
      <c r="E5657" s="537"/>
      <c r="G5657" s="198"/>
      <c r="H5657" s="123"/>
    </row>
    <row r="5658" spans="3:8" s="99" customFormat="1" x14ac:dyDescent="0.2">
      <c r="C5658" s="198"/>
      <c r="D5658" s="198"/>
      <c r="E5658" s="537"/>
      <c r="G5658" s="198"/>
      <c r="H5658" s="123"/>
    </row>
    <row r="5659" spans="3:8" s="99" customFormat="1" x14ac:dyDescent="0.2">
      <c r="C5659" s="198"/>
      <c r="D5659" s="198"/>
      <c r="E5659" s="537"/>
      <c r="G5659" s="198"/>
      <c r="H5659" s="123"/>
    </row>
    <row r="5660" spans="3:8" s="99" customFormat="1" x14ac:dyDescent="0.2">
      <c r="C5660" s="198"/>
      <c r="D5660" s="198"/>
      <c r="E5660" s="537"/>
      <c r="G5660" s="198"/>
      <c r="H5660" s="123"/>
    </row>
    <row r="5661" spans="3:8" s="99" customFormat="1" x14ac:dyDescent="0.2">
      <c r="C5661" s="198"/>
      <c r="D5661" s="198"/>
      <c r="E5661" s="537"/>
      <c r="G5661" s="198"/>
      <c r="H5661" s="123"/>
    </row>
    <row r="5662" spans="3:8" s="99" customFormat="1" x14ac:dyDescent="0.2">
      <c r="C5662" s="198"/>
      <c r="D5662" s="198"/>
      <c r="E5662" s="537"/>
      <c r="G5662" s="198"/>
      <c r="H5662" s="123"/>
    </row>
    <row r="5663" spans="3:8" s="99" customFormat="1" x14ac:dyDescent="0.2">
      <c r="C5663" s="198"/>
      <c r="D5663" s="198"/>
      <c r="E5663" s="537"/>
      <c r="G5663" s="198"/>
      <c r="H5663" s="123"/>
    </row>
    <row r="5664" spans="3:8" s="99" customFormat="1" x14ac:dyDescent="0.2">
      <c r="C5664" s="198"/>
      <c r="D5664" s="198"/>
      <c r="E5664" s="537"/>
      <c r="G5664" s="198"/>
      <c r="H5664" s="123"/>
    </row>
    <row r="5665" spans="3:8" s="99" customFormat="1" x14ac:dyDescent="0.2">
      <c r="C5665" s="198"/>
      <c r="D5665" s="198"/>
      <c r="E5665" s="537"/>
      <c r="G5665" s="198"/>
      <c r="H5665" s="123"/>
    </row>
    <row r="5666" spans="3:8" s="99" customFormat="1" x14ac:dyDescent="0.2">
      <c r="C5666" s="198"/>
      <c r="D5666" s="198"/>
      <c r="E5666" s="537"/>
      <c r="G5666" s="198"/>
      <c r="H5666" s="123"/>
    </row>
    <row r="5667" spans="3:8" s="99" customFormat="1" x14ac:dyDescent="0.2">
      <c r="C5667" s="198"/>
      <c r="D5667" s="198"/>
      <c r="E5667" s="537"/>
      <c r="G5667" s="198"/>
      <c r="H5667" s="123"/>
    </row>
    <row r="5668" spans="3:8" s="99" customFormat="1" x14ac:dyDescent="0.2">
      <c r="C5668" s="198"/>
      <c r="D5668" s="198"/>
      <c r="E5668" s="537"/>
      <c r="G5668" s="198"/>
      <c r="H5668" s="123"/>
    </row>
    <row r="5669" spans="3:8" s="99" customFormat="1" x14ac:dyDescent="0.2">
      <c r="C5669" s="198"/>
      <c r="D5669" s="198"/>
      <c r="E5669" s="537"/>
      <c r="G5669" s="198"/>
      <c r="H5669" s="123"/>
    </row>
    <row r="5670" spans="3:8" s="99" customFormat="1" x14ac:dyDescent="0.2">
      <c r="C5670" s="198"/>
      <c r="D5670" s="198"/>
      <c r="E5670" s="537"/>
      <c r="G5670" s="198"/>
      <c r="H5670" s="123"/>
    </row>
    <row r="5671" spans="3:8" s="99" customFormat="1" x14ac:dyDescent="0.2">
      <c r="C5671" s="198"/>
      <c r="D5671" s="198"/>
      <c r="E5671" s="537"/>
      <c r="G5671" s="198"/>
      <c r="H5671" s="123"/>
    </row>
    <row r="5672" spans="3:8" s="99" customFormat="1" x14ac:dyDescent="0.2">
      <c r="C5672" s="198"/>
      <c r="D5672" s="198"/>
      <c r="E5672" s="537"/>
      <c r="G5672" s="198"/>
      <c r="H5672" s="123"/>
    </row>
    <row r="5673" spans="3:8" s="99" customFormat="1" x14ac:dyDescent="0.2">
      <c r="C5673" s="198"/>
      <c r="D5673" s="198"/>
      <c r="E5673" s="537"/>
      <c r="G5673" s="198"/>
      <c r="H5673" s="123"/>
    </row>
    <row r="5674" spans="3:8" s="99" customFormat="1" x14ac:dyDescent="0.2">
      <c r="C5674" s="198"/>
      <c r="D5674" s="198"/>
      <c r="E5674" s="537"/>
      <c r="G5674" s="198"/>
      <c r="H5674" s="123"/>
    </row>
    <row r="5675" spans="3:8" s="99" customFormat="1" x14ac:dyDescent="0.2">
      <c r="C5675" s="198"/>
      <c r="D5675" s="198"/>
      <c r="E5675" s="537"/>
      <c r="G5675" s="198"/>
      <c r="H5675" s="123"/>
    </row>
    <row r="5676" spans="3:8" s="99" customFormat="1" x14ac:dyDescent="0.2">
      <c r="C5676" s="198"/>
      <c r="D5676" s="198"/>
      <c r="E5676" s="537"/>
      <c r="G5676" s="198"/>
      <c r="H5676" s="123"/>
    </row>
    <row r="5677" spans="3:8" s="99" customFormat="1" x14ac:dyDescent="0.2">
      <c r="C5677" s="198"/>
      <c r="D5677" s="198"/>
      <c r="E5677" s="537"/>
      <c r="G5677" s="198"/>
      <c r="H5677" s="123"/>
    </row>
    <row r="5678" spans="3:8" s="99" customFormat="1" x14ac:dyDescent="0.2">
      <c r="C5678" s="198"/>
      <c r="D5678" s="198"/>
      <c r="E5678" s="537"/>
      <c r="G5678" s="198"/>
      <c r="H5678" s="123"/>
    </row>
    <row r="5679" spans="3:8" s="99" customFormat="1" x14ac:dyDescent="0.2">
      <c r="C5679" s="198"/>
      <c r="D5679" s="198"/>
      <c r="E5679" s="537"/>
      <c r="G5679" s="198"/>
      <c r="H5679" s="123"/>
    </row>
    <row r="5680" spans="3:8" s="99" customFormat="1" x14ac:dyDescent="0.2">
      <c r="C5680" s="198"/>
      <c r="D5680" s="198"/>
      <c r="E5680" s="537"/>
      <c r="G5680" s="198"/>
      <c r="H5680" s="123"/>
    </row>
    <row r="5681" spans="3:8" s="99" customFormat="1" x14ac:dyDescent="0.2">
      <c r="C5681" s="198"/>
      <c r="D5681" s="198"/>
      <c r="E5681" s="537"/>
      <c r="G5681" s="198"/>
      <c r="H5681" s="123"/>
    </row>
    <row r="5682" spans="3:8" s="99" customFormat="1" x14ac:dyDescent="0.2">
      <c r="C5682" s="198"/>
      <c r="D5682" s="198"/>
      <c r="E5682" s="537"/>
      <c r="G5682" s="198"/>
      <c r="H5682" s="123"/>
    </row>
    <row r="5683" spans="3:8" s="99" customFormat="1" x14ac:dyDescent="0.2">
      <c r="C5683" s="198"/>
      <c r="D5683" s="198"/>
      <c r="E5683" s="537"/>
      <c r="G5683" s="198"/>
      <c r="H5683" s="123"/>
    </row>
    <row r="5684" spans="3:8" s="99" customFormat="1" x14ac:dyDescent="0.2">
      <c r="C5684" s="198"/>
      <c r="D5684" s="198"/>
      <c r="E5684" s="537"/>
      <c r="G5684" s="198"/>
      <c r="H5684" s="123"/>
    </row>
    <row r="5685" spans="3:8" s="99" customFormat="1" x14ac:dyDescent="0.2">
      <c r="C5685" s="198"/>
      <c r="D5685" s="198"/>
      <c r="E5685" s="537"/>
      <c r="G5685" s="198"/>
      <c r="H5685" s="123"/>
    </row>
    <row r="5686" spans="3:8" s="99" customFormat="1" x14ac:dyDescent="0.2">
      <c r="C5686" s="198"/>
      <c r="D5686" s="198"/>
      <c r="E5686" s="537"/>
      <c r="G5686" s="198"/>
      <c r="H5686" s="123"/>
    </row>
    <row r="5687" spans="3:8" s="99" customFormat="1" x14ac:dyDescent="0.2">
      <c r="C5687" s="198"/>
      <c r="D5687" s="198"/>
      <c r="E5687" s="537"/>
      <c r="G5687" s="198"/>
      <c r="H5687" s="123"/>
    </row>
    <row r="5688" spans="3:8" s="99" customFormat="1" x14ac:dyDescent="0.2">
      <c r="C5688" s="198"/>
      <c r="D5688" s="198"/>
      <c r="E5688" s="537"/>
      <c r="G5688" s="198"/>
      <c r="H5688" s="123"/>
    </row>
    <row r="5689" spans="3:8" s="99" customFormat="1" x14ac:dyDescent="0.2">
      <c r="C5689" s="198"/>
      <c r="D5689" s="198"/>
      <c r="E5689" s="537"/>
      <c r="G5689" s="198"/>
      <c r="H5689" s="123"/>
    </row>
    <row r="5690" spans="3:8" s="99" customFormat="1" x14ac:dyDescent="0.2">
      <c r="C5690" s="198"/>
      <c r="D5690" s="198"/>
      <c r="E5690" s="537"/>
      <c r="G5690" s="198"/>
      <c r="H5690" s="123"/>
    </row>
    <row r="5691" spans="3:8" s="99" customFormat="1" x14ac:dyDescent="0.2">
      <c r="C5691" s="198"/>
      <c r="D5691" s="198"/>
      <c r="E5691" s="537"/>
      <c r="G5691" s="198"/>
      <c r="H5691" s="123"/>
    </row>
    <row r="5692" spans="3:8" s="99" customFormat="1" x14ac:dyDescent="0.2">
      <c r="C5692" s="198"/>
      <c r="D5692" s="198"/>
      <c r="E5692" s="537"/>
      <c r="G5692" s="198"/>
      <c r="H5692" s="123"/>
    </row>
    <row r="5693" spans="3:8" s="99" customFormat="1" x14ac:dyDescent="0.2">
      <c r="C5693" s="198"/>
      <c r="D5693" s="198"/>
      <c r="E5693" s="537"/>
      <c r="G5693" s="198"/>
      <c r="H5693" s="123"/>
    </row>
    <row r="5694" spans="3:8" s="99" customFormat="1" x14ac:dyDescent="0.2">
      <c r="C5694" s="198"/>
      <c r="D5694" s="198"/>
      <c r="E5694" s="537"/>
      <c r="G5694" s="198"/>
      <c r="H5694" s="123"/>
    </row>
    <row r="5695" spans="3:8" s="99" customFormat="1" x14ac:dyDescent="0.2">
      <c r="C5695" s="198"/>
      <c r="D5695" s="198"/>
      <c r="E5695" s="537"/>
      <c r="G5695" s="198"/>
      <c r="H5695" s="123"/>
    </row>
    <row r="5696" spans="3:8" s="99" customFormat="1" x14ac:dyDescent="0.2">
      <c r="C5696" s="198"/>
      <c r="D5696" s="198"/>
      <c r="E5696" s="537"/>
      <c r="G5696" s="198"/>
      <c r="H5696" s="123"/>
    </row>
    <row r="5697" spans="3:8" s="99" customFormat="1" x14ac:dyDescent="0.2">
      <c r="C5697" s="198"/>
      <c r="D5697" s="198"/>
      <c r="E5697" s="537"/>
      <c r="G5697" s="198"/>
      <c r="H5697" s="123"/>
    </row>
    <row r="5698" spans="3:8" s="99" customFormat="1" x14ac:dyDescent="0.2">
      <c r="C5698" s="198"/>
      <c r="D5698" s="198"/>
      <c r="E5698" s="537"/>
      <c r="G5698" s="198"/>
      <c r="H5698" s="123"/>
    </row>
    <row r="5699" spans="3:8" s="99" customFormat="1" x14ac:dyDescent="0.2">
      <c r="C5699" s="198"/>
      <c r="D5699" s="198"/>
      <c r="E5699" s="537"/>
      <c r="G5699" s="198"/>
      <c r="H5699" s="123"/>
    </row>
    <row r="5700" spans="3:8" s="99" customFormat="1" x14ac:dyDescent="0.2">
      <c r="C5700" s="198"/>
      <c r="D5700" s="198"/>
      <c r="E5700" s="537"/>
      <c r="G5700" s="198"/>
      <c r="H5700" s="123"/>
    </row>
    <row r="5701" spans="3:8" s="99" customFormat="1" x14ac:dyDescent="0.2">
      <c r="C5701" s="198"/>
      <c r="D5701" s="198"/>
      <c r="E5701" s="537"/>
      <c r="G5701" s="198"/>
      <c r="H5701" s="123"/>
    </row>
    <row r="5702" spans="3:8" s="99" customFormat="1" x14ac:dyDescent="0.2">
      <c r="C5702" s="198"/>
      <c r="D5702" s="198"/>
      <c r="E5702" s="537"/>
      <c r="G5702" s="198"/>
      <c r="H5702" s="123"/>
    </row>
    <row r="5703" spans="3:8" s="99" customFormat="1" x14ac:dyDescent="0.2">
      <c r="C5703" s="198"/>
      <c r="D5703" s="198"/>
      <c r="E5703" s="537"/>
      <c r="G5703" s="198"/>
      <c r="H5703" s="123"/>
    </row>
    <row r="5704" spans="3:8" s="99" customFormat="1" x14ac:dyDescent="0.2">
      <c r="C5704" s="198"/>
      <c r="D5704" s="198"/>
      <c r="E5704" s="537"/>
      <c r="G5704" s="198"/>
      <c r="H5704" s="123"/>
    </row>
    <row r="5705" spans="3:8" s="99" customFormat="1" x14ac:dyDescent="0.2">
      <c r="C5705" s="198"/>
      <c r="D5705" s="198"/>
      <c r="E5705" s="537"/>
      <c r="G5705" s="198"/>
      <c r="H5705" s="123"/>
    </row>
    <row r="5706" spans="3:8" s="99" customFormat="1" x14ac:dyDescent="0.2">
      <c r="C5706" s="198"/>
      <c r="D5706" s="198"/>
      <c r="E5706" s="537"/>
      <c r="G5706" s="198"/>
      <c r="H5706" s="123"/>
    </row>
    <row r="5707" spans="3:8" s="99" customFormat="1" x14ac:dyDescent="0.2">
      <c r="C5707" s="198"/>
      <c r="D5707" s="198"/>
      <c r="E5707" s="537"/>
      <c r="G5707" s="198"/>
      <c r="H5707" s="123"/>
    </row>
    <row r="5708" spans="3:8" s="99" customFormat="1" x14ac:dyDescent="0.2">
      <c r="C5708" s="198"/>
      <c r="D5708" s="198"/>
      <c r="E5708" s="537"/>
      <c r="G5708" s="198"/>
      <c r="H5708" s="123"/>
    </row>
    <row r="5709" spans="3:8" s="99" customFormat="1" x14ac:dyDescent="0.2">
      <c r="C5709" s="198"/>
      <c r="D5709" s="198"/>
      <c r="E5709" s="537"/>
      <c r="G5709" s="198"/>
      <c r="H5709" s="123"/>
    </row>
    <row r="5710" spans="3:8" s="99" customFormat="1" x14ac:dyDescent="0.2">
      <c r="C5710" s="198"/>
      <c r="D5710" s="198"/>
      <c r="E5710" s="537"/>
      <c r="G5710" s="198"/>
      <c r="H5710" s="123"/>
    </row>
    <row r="5711" spans="3:8" s="99" customFormat="1" x14ac:dyDescent="0.2">
      <c r="C5711" s="198"/>
      <c r="D5711" s="198"/>
      <c r="E5711" s="537"/>
      <c r="G5711" s="198"/>
      <c r="H5711" s="123"/>
    </row>
    <row r="5712" spans="3:8" s="99" customFormat="1" x14ac:dyDescent="0.2">
      <c r="C5712" s="198"/>
      <c r="D5712" s="198"/>
      <c r="E5712" s="537"/>
      <c r="G5712" s="198"/>
      <c r="H5712" s="123"/>
    </row>
    <row r="5713" spans="3:8" s="99" customFormat="1" x14ac:dyDescent="0.2">
      <c r="C5713" s="198"/>
      <c r="D5713" s="198"/>
      <c r="E5713" s="537"/>
      <c r="G5713" s="198"/>
      <c r="H5713" s="123"/>
    </row>
    <row r="5714" spans="3:8" s="99" customFormat="1" x14ac:dyDescent="0.2">
      <c r="C5714" s="198"/>
      <c r="D5714" s="198"/>
      <c r="E5714" s="537"/>
      <c r="G5714" s="198"/>
      <c r="H5714" s="123"/>
    </row>
    <row r="5715" spans="3:8" s="99" customFormat="1" x14ac:dyDescent="0.2">
      <c r="C5715" s="198"/>
      <c r="D5715" s="198"/>
      <c r="E5715" s="537"/>
      <c r="G5715" s="198"/>
      <c r="H5715" s="123"/>
    </row>
    <row r="5716" spans="3:8" s="99" customFormat="1" x14ac:dyDescent="0.2">
      <c r="C5716" s="198"/>
      <c r="D5716" s="198"/>
      <c r="E5716" s="537"/>
      <c r="G5716" s="198"/>
      <c r="H5716" s="123"/>
    </row>
    <row r="5717" spans="3:8" s="99" customFormat="1" x14ac:dyDescent="0.2">
      <c r="C5717" s="198"/>
      <c r="D5717" s="198"/>
      <c r="E5717" s="537"/>
      <c r="G5717" s="198"/>
      <c r="H5717" s="123"/>
    </row>
    <row r="5718" spans="3:8" s="99" customFormat="1" x14ac:dyDescent="0.2">
      <c r="C5718" s="198"/>
      <c r="D5718" s="198"/>
      <c r="E5718" s="537"/>
      <c r="G5718" s="198"/>
      <c r="H5718" s="123"/>
    </row>
    <row r="5719" spans="3:8" s="99" customFormat="1" x14ac:dyDescent="0.2">
      <c r="C5719" s="198"/>
      <c r="D5719" s="198"/>
      <c r="E5719" s="537"/>
      <c r="G5719" s="198"/>
      <c r="H5719" s="123"/>
    </row>
    <row r="5720" spans="3:8" s="99" customFormat="1" x14ac:dyDescent="0.2">
      <c r="C5720" s="198"/>
      <c r="D5720" s="198"/>
      <c r="E5720" s="537"/>
      <c r="G5720" s="198"/>
      <c r="H5720" s="123"/>
    </row>
    <row r="5721" spans="3:8" s="99" customFormat="1" x14ac:dyDescent="0.2">
      <c r="C5721" s="198"/>
      <c r="D5721" s="198"/>
      <c r="E5721" s="537"/>
      <c r="G5721" s="198"/>
      <c r="H5721" s="123"/>
    </row>
    <row r="5722" spans="3:8" s="99" customFormat="1" x14ac:dyDescent="0.2">
      <c r="C5722" s="198"/>
      <c r="D5722" s="198"/>
      <c r="E5722" s="537"/>
      <c r="G5722" s="198"/>
      <c r="H5722" s="123"/>
    </row>
    <row r="5723" spans="3:8" s="99" customFormat="1" x14ac:dyDescent="0.2">
      <c r="C5723" s="198"/>
      <c r="D5723" s="198"/>
      <c r="E5723" s="537"/>
      <c r="G5723" s="198"/>
      <c r="H5723" s="123"/>
    </row>
    <row r="5724" spans="3:8" s="99" customFormat="1" x14ac:dyDescent="0.2">
      <c r="C5724" s="198"/>
      <c r="D5724" s="198"/>
      <c r="E5724" s="537"/>
      <c r="G5724" s="198"/>
      <c r="H5724" s="123"/>
    </row>
    <row r="5725" spans="3:8" s="99" customFormat="1" x14ac:dyDescent="0.2">
      <c r="C5725" s="198"/>
      <c r="D5725" s="198"/>
      <c r="E5725" s="537"/>
      <c r="G5725" s="198"/>
      <c r="H5725" s="123"/>
    </row>
    <row r="5726" spans="3:8" s="99" customFormat="1" x14ac:dyDescent="0.2">
      <c r="C5726" s="198"/>
      <c r="D5726" s="198"/>
      <c r="E5726" s="537"/>
      <c r="G5726" s="198"/>
      <c r="H5726" s="123"/>
    </row>
    <row r="5727" spans="3:8" s="99" customFormat="1" x14ac:dyDescent="0.2">
      <c r="C5727" s="198"/>
      <c r="D5727" s="198"/>
      <c r="E5727" s="537"/>
      <c r="G5727" s="198"/>
      <c r="H5727" s="123"/>
    </row>
    <row r="5728" spans="3:8" s="99" customFormat="1" x14ac:dyDescent="0.2">
      <c r="C5728" s="198"/>
      <c r="D5728" s="198"/>
      <c r="E5728" s="537"/>
      <c r="G5728" s="198"/>
      <c r="H5728" s="123"/>
    </row>
    <row r="5729" spans="3:8" s="99" customFormat="1" x14ac:dyDescent="0.2">
      <c r="C5729" s="198"/>
      <c r="D5729" s="198"/>
      <c r="E5729" s="537"/>
      <c r="G5729" s="198"/>
      <c r="H5729" s="123"/>
    </row>
    <row r="5730" spans="3:8" s="99" customFormat="1" x14ac:dyDescent="0.2">
      <c r="C5730" s="198"/>
      <c r="D5730" s="198"/>
      <c r="E5730" s="537"/>
      <c r="G5730" s="198"/>
      <c r="H5730" s="123"/>
    </row>
    <row r="5731" spans="3:8" s="99" customFormat="1" x14ac:dyDescent="0.2">
      <c r="C5731" s="198"/>
      <c r="D5731" s="198"/>
      <c r="E5731" s="537"/>
      <c r="G5731" s="198"/>
      <c r="H5731" s="123"/>
    </row>
    <row r="5732" spans="3:8" s="99" customFormat="1" x14ac:dyDescent="0.2">
      <c r="C5732" s="198"/>
      <c r="D5732" s="198"/>
      <c r="E5732" s="537"/>
      <c r="G5732" s="198"/>
      <c r="H5732" s="123"/>
    </row>
    <row r="5733" spans="3:8" s="99" customFormat="1" x14ac:dyDescent="0.2">
      <c r="C5733" s="198"/>
      <c r="D5733" s="198"/>
      <c r="E5733" s="537"/>
      <c r="G5733" s="198"/>
      <c r="H5733" s="123"/>
    </row>
    <row r="5734" spans="3:8" s="99" customFormat="1" x14ac:dyDescent="0.2">
      <c r="C5734" s="198"/>
      <c r="D5734" s="198"/>
      <c r="E5734" s="537"/>
      <c r="G5734" s="198"/>
      <c r="H5734" s="123"/>
    </row>
    <row r="5735" spans="3:8" s="99" customFormat="1" x14ac:dyDescent="0.2">
      <c r="C5735" s="198"/>
      <c r="D5735" s="198"/>
      <c r="E5735" s="537"/>
      <c r="G5735" s="198"/>
      <c r="H5735" s="123"/>
    </row>
    <row r="5736" spans="3:8" s="99" customFormat="1" x14ac:dyDescent="0.2">
      <c r="C5736" s="198"/>
      <c r="D5736" s="198"/>
      <c r="E5736" s="537"/>
      <c r="G5736" s="198"/>
      <c r="H5736" s="123"/>
    </row>
    <row r="5737" spans="3:8" s="99" customFormat="1" x14ac:dyDescent="0.2">
      <c r="C5737" s="198"/>
      <c r="D5737" s="198"/>
      <c r="E5737" s="537"/>
      <c r="G5737" s="198"/>
      <c r="H5737" s="123"/>
    </row>
    <row r="5738" spans="3:8" s="99" customFormat="1" x14ac:dyDescent="0.2">
      <c r="C5738" s="198"/>
      <c r="D5738" s="198"/>
      <c r="E5738" s="537"/>
      <c r="G5738" s="198"/>
      <c r="H5738" s="123"/>
    </row>
    <row r="5739" spans="3:8" s="99" customFormat="1" x14ac:dyDescent="0.2">
      <c r="C5739" s="198"/>
      <c r="D5739" s="198"/>
      <c r="E5739" s="537"/>
      <c r="G5739" s="198"/>
      <c r="H5739" s="123"/>
    </row>
    <row r="5740" spans="3:8" s="99" customFormat="1" x14ac:dyDescent="0.2">
      <c r="C5740" s="198"/>
      <c r="D5740" s="198"/>
      <c r="E5740" s="537"/>
      <c r="G5740" s="198"/>
      <c r="H5740" s="123"/>
    </row>
    <row r="5741" spans="3:8" s="99" customFormat="1" x14ac:dyDescent="0.2">
      <c r="C5741" s="198"/>
      <c r="D5741" s="198"/>
      <c r="E5741" s="537"/>
      <c r="G5741" s="198"/>
      <c r="H5741" s="123"/>
    </row>
    <row r="5742" spans="3:8" s="99" customFormat="1" x14ac:dyDescent="0.2">
      <c r="C5742" s="198"/>
      <c r="D5742" s="198"/>
      <c r="E5742" s="537"/>
      <c r="G5742" s="198"/>
      <c r="H5742" s="123"/>
    </row>
    <row r="5743" spans="3:8" s="99" customFormat="1" x14ac:dyDescent="0.2">
      <c r="C5743" s="198"/>
      <c r="D5743" s="198"/>
      <c r="E5743" s="537"/>
      <c r="G5743" s="198"/>
      <c r="H5743" s="123"/>
    </row>
    <row r="5744" spans="3:8" s="99" customFormat="1" x14ac:dyDescent="0.2">
      <c r="C5744" s="198"/>
      <c r="D5744" s="198"/>
      <c r="E5744" s="537"/>
      <c r="G5744" s="198"/>
      <c r="H5744" s="123"/>
    </row>
    <row r="5745" spans="3:8" s="99" customFormat="1" x14ac:dyDescent="0.2">
      <c r="C5745" s="198"/>
      <c r="D5745" s="198"/>
      <c r="E5745" s="537"/>
      <c r="G5745" s="198"/>
      <c r="H5745" s="123"/>
    </row>
    <row r="5746" spans="3:8" s="99" customFormat="1" x14ac:dyDescent="0.2">
      <c r="C5746" s="198"/>
      <c r="D5746" s="198"/>
      <c r="E5746" s="537"/>
      <c r="G5746" s="198"/>
      <c r="H5746" s="123"/>
    </row>
    <row r="5747" spans="3:8" s="99" customFormat="1" x14ac:dyDescent="0.2">
      <c r="C5747" s="198"/>
      <c r="D5747" s="198"/>
      <c r="E5747" s="537"/>
      <c r="G5747" s="198"/>
      <c r="H5747" s="123"/>
    </row>
    <row r="5748" spans="3:8" s="99" customFormat="1" x14ac:dyDescent="0.2">
      <c r="C5748" s="198"/>
      <c r="D5748" s="198"/>
      <c r="E5748" s="537"/>
      <c r="G5748" s="198"/>
      <c r="H5748" s="123"/>
    </row>
    <row r="5749" spans="3:8" s="99" customFormat="1" x14ac:dyDescent="0.2">
      <c r="C5749" s="198"/>
      <c r="D5749" s="198"/>
      <c r="E5749" s="537"/>
      <c r="G5749" s="198"/>
      <c r="H5749" s="123"/>
    </row>
    <row r="5750" spans="3:8" s="99" customFormat="1" x14ac:dyDescent="0.2">
      <c r="C5750" s="198"/>
      <c r="D5750" s="198"/>
      <c r="E5750" s="537"/>
      <c r="G5750" s="198"/>
      <c r="H5750" s="123"/>
    </row>
    <row r="5751" spans="3:8" s="99" customFormat="1" x14ac:dyDescent="0.2">
      <c r="C5751" s="198"/>
      <c r="D5751" s="198"/>
      <c r="E5751" s="537"/>
      <c r="G5751" s="198"/>
      <c r="H5751" s="123"/>
    </row>
    <row r="5752" spans="3:8" s="99" customFormat="1" x14ac:dyDescent="0.2">
      <c r="C5752" s="198"/>
      <c r="D5752" s="198"/>
      <c r="E5752" s="537"/>
      <c r="G5752" s="198"/>
      <c r="H5752" s="123"/>
    </row>
    <row r="5753" spans="3:8" s="99" customFormat="1" x14ac:dyDescent="0.2">
      <c r="C5753" s="198"/>
      <c r="D5753" s="198"/>
      <c r="E5753" s="537"/>
      <c r="G5753" s="198"/>
      <c r="H5753" s="123"/>
    </row>
    <row r="5754" spans="3:8" s="99" customFormat="1" x14ac:dyDescent="0.2">
      <c r="C5754" s="198"/>
      <c r="D5754" s="198"/>
      <c r="E5754" s="537"/>
      <c r="G5754" s="198"/>
      <c r="H5754" s="123"/>
    </row>
    <row r="5755" spans="3:8" s="99" customFormat="1" x14ac:dyDescent="0.2">
      <c r="C5755" s="198"/>
      <c r="D5755" s="198"/>
      <c r="E5755" s="537"/>
      <c r="G5755" s="198"/>
      <c r="H5755" s="123"/>
    </row>
    <row r="5756" spans="3:8" s="99" customFormat="1" x14ac:dyDescent="0.2">
      <c r="C5756" s="198"/>
      <c r="D5756" s="198"/>
      <c r="E5756" s="537"/>
      <c r="G5756" s="198"/>
      <c r="H5756" s="123"/>
    </row>
    <row r="5757" spans="3:8" s="99" customFormat="1" x14ac:dyDescent="0.2">
      <c r="C5757" s="198"/>
      <c r="D5757" s="198"/>
      <c r="E5757" s="537"/>
      <c r="G5757" s="198"/>
      <c r="H5757" s="123"/>
    </row>
    <row r="5758" spans="3:8" s="99" customFormat="1" x14ac:dyDescent="0.2">
      <c r="C5758" s="198"/>
      <c r="D5758" s="198"/>
      <c r="E5758" s="537"/>
      <c r="G5758" s="198"/>
      <c r="H5758" s="123"/>
    </row>
    <row r="5759" spans="3:8" s="99" customFormat="1" x14ac:dyDescent="0.2">
      <c r="C5759" s="198"/>
      <c r="D5759" s="198"/>
      <c r="E5759" s="537"/>
      <c r="G5759" s="198"/>
      <c r="H5759" s="123"/>
    </row>
    <row r="5760" spans="3:8" s="99" customFormat="1" x14ac:dyDescent="0.2">
      <c r="C5760" s="198"/>
      <c r="D5760" s="198"/>
      <c r="E5760" s="537"/>
      <c r="G5760" s="198"/>
      <c r="H5760" s="123"/>
    </row>
    <row r="5761" spans="3:8" s="99" customFormat="1" x14ac:dyDescent="0.2">
      <c r="C5761" s="198"/>
      <c r="D5761" s="198"/>
      <c r="E5761" s="537"/>
      <c r="G5761" s="198"/>
      <c r="H5761" s="123"/>
    </row>
    <row r="5762" spans="3:8" s="99" customFormat="1" x14ac:dyDescent="0.2">
      <c r="C5762" s="198"/>
      <c r="D5762" s="198"/>
      <c r="E5762" s="537"/>
      <c r="G5762" s="198"/>
      <c r="H5762" s="123"/>
    </row>
    <row r="5763" spans="3:8" s="99" customFormat="1" x14ac:dyDescent="0.2">
      <c r="C5763" s="198"/>
      <c r="D5763" s="198"/>
      <c r="E5763" s="537"/>
      <c r="G5763" s="198"/>
      <c r="H5763" s="123"/>
    </row>
    <row r="5764" spans="3:8" s="99" customFormat="1" x14ac:dyDescent="0.2">
      <c r="C5764" s="198"/>
      <c r="D5764" s="198"/>
      <c r="E5764" s="537"/>
      <c r="G5764" s="198"/>
      <c r="H5764" s="123"/>
    </row>
    <row r="5765" spans="3:8" s="99" customFormat="1" x14ac:dyDescent="0.2">
      <c r="C5765" s="198"/>
      <c r="D5765" s="198"/>
      <c r="E5765" s="537"/>
      <c r="G5765" s="198"/>
      <c r="H5765" s="123"/>
    </row>
    <row r="5766" spans="3:8" s="99" customFormat="1" x14ac:dyDescent="0.2">
      <c r="C5766" s="198"/>
      <c r="D5766" s="198"/>
      <c r="E5766" s="537"/>
      <c r="G5766" s="198"/>
      <c r="H5766" s="123"/>
    </row>
    <row r="5767" spans="3:8" s="99" customFormat="1" x14ac:dyDescent="0.2">
      <c r="C5767" s="198"/>
      <c r="D5767" s="198"/>
      <c r="E5767" s="537"/>
      <c r="G5767" s="198"/>
      <c r="H5767" s="123"/>
    </row>
    <row r="5768" spans="3:8" s="99" customFormat="1" x14ac:dyDescent="0.2">
      <c r="C5768" s="198"/>
      <c r="D5768" s="198"/>
      <c r="E5768" s="537"/>
      <c r="G5768" s="198"/>
      <c r="H5768" s="123"/>
    </row>
    <row r="5769" spans="3:8" s="99" customFormat="1" x14ac:dyDescent="0.2">
      <c r="C5769" s="198"/>
      <c r="D5769" s="198"/>
      <c r="E5769" s="537"/>
      <c r="G5769" s="198"/>
      <c r="H5769" s="123"/>
    </row>
    <row r="5770" spans="3:8" s="99" customFormat="1" x14ac:dyDescent="0.2">
      <c r="C5770" s="198"/>
      <c r="D5770" s="198"/>
      <c r="E5770" s="537"/>
      <c r="G5770" s="198"/>
      <c r="H5770" s="123"/>
    </row>
    <row r="5771" spans="3:8" s="99" customFormat="1" x14ac:dyDescent="0.2">
      <c r="C5771" s="198"/>
      <c r="D5771" s="198"/>
      <c r="E5771" s="537"/>
      <c r="G5771" s="198"/>
      <c r="H5771" s="123"/>
    </row>
    <row r="5772" spans="3:8" s="99" customFormat="1" x14ac:dyDescent="0.2">
      <c r="C5772" s="198"/>
      <c r="D5772" s="198"/>
      <c r="E5772" s="537"/>
      <c r="G5772" s="198"/>
      <c r="H5772" s="123"/>
    </row>
    <row r="5773" spans="3:8" s="99" customFormat="1" x14ac:dyDescent="0.2">
      <c r="C5773" s="198"/>
      <c r="D5773" s="198"/>
      <c r="E5773" s="537"/>
      <c r="G5773" s="198"/>
      <c r="H5773" s="123"/>
    </row>
    <row r="5774" spans="3:8" s="99" customFormat="1" x14ac:dyDescent="0.2">
      <c r="C5774" s="198"/>
      <c r="D5774" s="198"/>
      <c r="E5774" s="537"/>
      <c r="G5774" s="198"/>
      <c r="H5774" s="123"/>
    </row>
    <row r="5775" spans="3:8" s="99" customFormat="1" x14ac:dyDescent="0.2">
      <c r="C5775" s="198"/>
      <c r="D5775" s="198"/>
      <c r="E5775" s="537"/>
      <c r="G5775" s="198"/>
      <c r="H5775" s="123"/>
    </row>
    <row r="5776" spans="3:8" s="99" customFormat="1" x14ac:dyDescent="0.2">
      <c r="C5776" s="198"/>
      <c r="D5776" s="198"/>
      <c r="E5776" s="537"/>
      <c r="G5776" s="198"/>
      <c r="H5776" s="123"/>
    </row>
    <row r="5777" spans="3:8" s="99" customFormat="1" x14ac:dyDescent="0.2">
      <c r="C5777" s="198"/>
      <c r="D5777" s="198"/>
      <c r="E5777" s="537"/>
      <c r="G5777" s="198"/>
      <c r="H5777" s="123"/>
    </row>
    <row r="5778" spans="3:8" s="99" customFormat="1" x14ac:dyDescent="0.2">
      <c r="C5778" s="198"/>
      <c r="D5778" s="198"/>
      <c r="E5778" s="537"/>
      <c r="G5778" s="198"/>
      <c r="H5778" s="123"/>
    </row>
    <row r="5779" spans="3:8" s="99" customFormat="1" x14ac:dyDescent="0.2">
      <c r="C5779" s="198"/>
      <c r="D5779" s="198"/>
      <c r="E5779" s="537"/>
      <c r="G5779" s="198"/>
      <c r="H5779" s="123"/>
    </row>
    <row r="5780" spans="3:8" s="99" customFormat="1" x14ac:dyDescent="0.2">
      <c r="C5780" s="198"/>
      <c r="D5780" s="198"/>
      <c r="E5780" s="537"/>
      <c r="G5780" s="198"/>
      <c r="H5780" s="123"/>
    </row>
    <row r="5781" spans="3:8" s="99" customFormat="1" x14ac:dyDescent="0.2">
      <c r="C5781" s="198"/>
      <c r="D5781" s="198"/>
      <c r="E5781" s="537"/>
      <c r="G5781" s="198"/>
      <c r="H5781" s="123"/>
    </row>
    <row r="5782" spans="3:8" s="99" customFormat="1" x14ac:dyDescent="0.2">
      <c r="C5782" s="198"/>
      <c r="D5782" s="198"/>
      <c r="E5782" s="537"/>
      <c r="G5782" s="198"/>
      <c r="H5782" s="123"/>
    </row>
    <row r="5783" spans="3:8" s="99" customFormat="1" x14ac:dyDescent="0.2">
      <c r="C5783" s="198"/>
      <c r="D5783" s="198"/>
      <c r="E5783" s="537"/>
      <c r="G5783" s="198"/>
      <c r="H5783" s="123"/>
    </row>
    <row r="5784" spans="3:8" s="99" customFormat="1" x14ac:dyDescent="0.2">
      <c r="C5784" s="198"/>
      <c r="D5784" s="198"/>
      <c r="E5784" s="537"/>
      <c r="G5784" s="198"/>
      <c r="H5784" s="123"/>
    </row>
    <row r="5785" spans="3:8" s="99" customFormat="1" x14ac:dyDescent="0.2">
      <c r="C5785" s="198"/>
      <c r="D5785" s="198"/>
      <c r="E5785" s="537"/>
      <c r="G5785" s="198"/>
      <c r="H5785" s="123"/>
    </row>
    <row r="5786" spans="3:8" s="99" customFormat="1" x14ac:dyDescent="0.2">
      <c r="C5786" s="198"/>
      <c r="D5786" s="198"/>
      <c r="E5786" s="537"/>
      <c r="G5786" s="198"/>
      <c r="H5786" s="123"/>
    </row>
    <row r="5787" spans="3:8" s="99" customFormat="1" x14ac:dyDescent="0.2">
      <c r="C5787" s="198"/>
      <c r="D5787" s="198"/>
      <c r="E5787" s="537"/>
      <c r="G5787" s="198"/>
      <c r="H5787" s="123"/>
    </row>
    <row r="5788" spans="3:8" s="99" customFormat="1" x14ac:dyDescent="0.2">
      <c r="C5788" s="198"/>
      <c r="D5788" s="198"/>
      <c r="E5788" s="537"/>
      <c r="G5788" s="198"/>
      <c r="H5788" s="123"/>
    </row>
    <row r="5789" spans="3:8" s="99" customFormat="1" x14ac:dyDescent="0.2">
      <c r="C5789" s="198"/>
      <c r="D5789" s="198"/>
      <c r="E5789" s="537"/>
      <c r="G5789" s="198"/>
      <c r="H5789" s="123"/>
    </row>
    <row r="5790" spans="3:8" s="99" customFormat="1" x14ac:dyDescent="0.2">
      <c r="C5790" s="198"/>
      <c r="D5790" s="198"/>
      <c r="E5790" s="537"/>
      <c r="G5790" s="198"/>
      <c r="H5790" s="123"/>
    </row>
    <row r="5791" spans="3:8" s="99" customFormat="1" x14ac:dyDescent="0.2">
      <c r="C5791" s="198"/>
      <c r="D5791" s="198"/>
      <c r="E5791" s="537"/>
      <c r="G5791" s="198"/>
      <c r="H5791" s="123"/>
    </row>
    <row r="5792" spans="3:8" s="99" customFormat="1" x14ac:dyDescent="0.2">
      <c r="C5792" s="198"/>
      <c r="D5792" s="198"/>
      <c r="E5792" s="537"/>
      <c r="G5792" s="198"/>
      <c r="H5792" s="123"/>
    </row>
    <row r="5793" spans="3:8" s="99" customFormat="1" x14ac:dyDescent="0.2">
      <c r="C5793" s="198"/>
      <c r="D5793" s="198"/>
      <c r="E5793" s="537"/>
      <c r="G5793" s="198"/>
      <c r="H5793" s="123"/>
    </row>
    <row r="5794" spans="3:8" s="99" customFormat="1" x14ac:dyDescent="0.2">
      <c r="C5794" s="198"/>
      <c r="D5794" s="198"/>
      <c r="E5794" s="537"/>
      <c r="G5794" s="198"/>
      <c r="H5794" s="123"/>
    </row>
    <row r="5795" spans="3:8" s="99" customFormat="1" x14ac:dyDescent="0.2">
      <c r="C5795" s="198"/>
      <c r="D5795" s="198"/>
      <c r="E5795" s="537"/>
      <c r="G5795" s="198"/>
      <c r="H5795" s="123"/>
    </row>
    <row r="5796" spans="3:8" s="99" customFormat="1" x14ac:dyDescent="0.2">
      <c r="C5796" s="198"/>
      <c r="D5796" s="198"/>
      <c r="E5796" s="537"/>
      <c r="G5796" s="198"/>
      <c r="H5796" s="123"/>
    </row>
    <row r="5797" spans="3:8" s="99" customFormat="1" x14ac:dyDescent="0.2">
      <c r="C5797" s="198"/>
      <c r="D5797" s="198"/>
      <c r="E5797" s="537"/>
      <c r="G5797" s="198"/>
      <c r="H5797" s="123"/>
    </row>
    <row r="5798" spans="3:8" s="99" customFormat="1" x14ac:dyDescent="0.2">
      <c r="C5798" s="198"/>
      <c r="D5798" s="198"/>
      <c r="E5798" s="537"/>
      <c r="G5798" s="198"/>
      <c r="H5798" s="123"/>
    </row>
    <row r="5799" spans="3:8" s="99" customFormat="1" x14ac:dyDescent="0.2">
      <c r="C5799" s="198"/>
      <c r="D5799" s="198"/>
      <c r="E5799" s="537"/>
      <c r="G5799" s="198"/>
      <c r="H5799" s="123"/>
    </row>
    <row r="5800" spans="3:8" s="99" customFormat="1" x14ac:dyDescent="0.2">
      <c r="C5800" s="198"/>
      <c r="D5800" s="198"/>
      <c r="E5800" s="537"/>
      <c r="G5800" s="198"/>
      <c r="H5800" s="123"/>
    </row>
    <row r="5801" spans="3:8" s="99" customFormat="1" x14ac:dyDescent="0.2">
      <c r="C5801" s="198"/>
      <c r="D5801" s="198"/>
      <c r="E5801" s="537"/>
      <c r="G5801" s="198"/>
      <c r="H5801" s="123"/>
    </row>
    <row r="5802" spans="3:8" s="99" customFormat="1" x14ac:dyDescent="0.2">
      <c r="C5802" s="198"/>
      <c r="D5802" s="198"/>
      <c r="E5802" s="537"/>
      <c r="G5802" s="198"/>
      <c r="H5802" s="123"/>
    </row>
    <row r="5803" spans="3:8" s="99" customFormat="1" x14ac:dyDescent="0.2">
      <c r="C5803" s="198"/>
      <c r="D5803" s="198"/>
      <c r="E5803" s="537"/>
      <c r="G5803" s="198"/>
      <c r="H5803" s="123"/>
    </row>
    <row r="5804" spans="3:8" s="99" customFormat="1" x14ac:dyDescent="0.2">
      <c r="C5804" s="198"/>
      <c r="D5804" s="198"/>
      <c r="E5804" s="537"/>
      <c r="G5804" s="198"/>
      <c r="H5804" s="123"/>
    </row>
    <row r="5805" spans="3:8" s="99" customFormat="1" x14ac:dyDescent="0.2">
      <c r="C5805" s="198"/>
      <c r="D5805" s="198"/>
      <c r="E5805" s="537"/>
      <c r="G5805" s="198"/>
      <c r="H5805" s="123"/>
    </row>
    <row r="5806" spans="3:8" s="99" customFormat="1" x14ac:dyDescent="0.2">
      <c r="C5806" s="198"/>
      <c r="D5806" s="198"/>
      <c r="E5806" s="537"/>
      <c r="G5806" s="198"/>
      <c r="H5806" s="123"/>
    </row>
    <row r="5807" spans="3:8" s="99" customFormat="1" x14ac:dyDescent="0.2">
      <c r="C5807" s="198"/>
      <c r="D5807" s="198"/>
      <c r="E5807" s="537"/>
      <c r="G5807" s="198"/>
      <c r="H5807" s="123"/>
    </row>
    <row r="5808" spans="3:8" s="99" customFormat="1" x14ac:dyDescent="0.2">
      <c r="C5808" s="198"/>
      <c r="D5808" s="198"/>
      <c r="E5808" s="537"/>
      <c r="G5808" s="198"/>
      <c r="H5808" s="123"/>
    </row>
    <row r="5809" spans="3:8" s="99" customFormat="1" x14ac:dyDescent="0.2">
      <c r="C5809" s="198"/>
      <c r="D5809" s="198"/>
      <c r="E5809" s="537"/>
      <c r="G5809" s="198"/>
      <c r="H5809" s="123"/>
    </row>
    <row r="5810" spans="3:8" s="99" customFormat="1" x14ac:dyDescent="0.2">
      <c r="C5810" s="198"/>
      <c r="D5810" s="198"/>
      <c r="E5810" s="537"/>
      <c r="G5810" s="198"/>
      <c r="H5810" s="123"/>
    </row>
    <row r="5811" spans="3:8" s="99" customFormat="1" x14ac:dyDescent="0.2">
      <c r="C5811" s="198"/>
      <c r="D5811" s="198"/>
      <c r="E5811" s="537"/>
      <c r="G5811" s="198"/>
      <c r="H5811" s="123"/>
    </row>
    <row r="5812" spans="3:8" s="99" customFormat="1" x14ac:dyDescent="0.2">
      <c r="C5812" s="198"/>
      <c r="D5812" s="198"/>
      <c r="E5812" s="537"/>
      <c r="G5812" s="198"/>
      <c r="H5812" s="123"/>
    </row>
    <row r="5813" spans="3:8" s="99" customFormat="1" x14ac:dyDescent="0.2">
      <c r="C5813" s="198"/>
      <c r="D5813" s="198"/>
      <c r="E5813" s="537"/>
      <c r="G5813" s="198"/>
      <c r="H5813" s="123"/>
    </row>
    <row r="5814" spans="3:8" s="99" customFormat="1" x14ac:dyDescent="0.2">
      <c r="C5814" s="198"/>
      <c r="D5814" s="198"/>
      <c r="E5814" s="537"/>
      <c r="G5814" s="198"/>
      <c r="H5814" s="123"/>
    </row>
    <row r="5815" spans="3:8" s="99" customFormat="1" x14ac:dyDescent="0.2">
      <c r="C5815" s="198"/>
      <c r="D5815" s="198"/>
      <c r="E5815" s="537"/>
      <c r="G5815" s="198"/>
      <c r="H5815" s="123"/>
    </row>
    <row r="5816" spans="3:8" s="99" customFormat="1" x14ac:dyDescent="0.2">
      <c r="C5816" s="198"/>
      <c r="D5816" s="198"/>
      <c r="E5816" s="537"/>
      <c r="G5816" s="198"/>
      <c r="H5816" s="123"/>
    </row>
    <row r="5817" spans="3:8" s="99" customFormat="1" x14ac:dyDescent="0.2">
      <c r="C5817" s="198"/>
      <c r="D5817" s="198"/>
      <c r="E5817" s="537"/>
      <c r="G5817" s="198"/>
      <c r="H5817" s="123"/>
    </row>
    <row r="5818" spans="3:8" s="99" customFormat="1" x14ac:dyDescent="0.2">
      <c r="C5818" s="198"/>
      <c r="D5818" s="198"/>
      <c r="E5818" s="537"/>
      <c r="G5818" s="198"/>
      <c r="H5818" s="123"/>
    </row>
    <row r="5819" spans="3:8" s="99" customFormat="1" x14ac:dyDescent="0.2">
      <c r="C5819" s="198"/>
      <c r="D5819" s="198"/>
      <c r="E5819" s="537"/>
      <c r="G5819" s="198"/>
      <c r="H5819" s="123"/>
    </row>
    <row r="5820" spans="3:8" s="99" customFormat="1" x14ac:dyDescent="0.2">
      <c r="C5820" s="198"/>
      <c r="D5820" s="198"/>
      <c r="E5820" s="537"/>
      <c r="G5820" s="198"/>
      <c r="H5820" s="123"/>
    </row>
    <row r="5821" spans="3:8" s="99" customFormat="1" x14ac:dyDescent="0.2">
      <c r="C5821" s="198"/>
      <c r="D5821" s="198"/>
      <c r="E5821" s="537"/>
      <c r="G5821" s="198"/>
      <c r="H5821" s="123"/>
    </row>
    <row r="5822" spans="3:8" s="99" customFormat="1" x14ac:dyDescent="0.2">
      <c r="C5822" s="198"/>
      <c r="D5822" s="198"/>
      <c r="E5822" s="537"/>
      <c r="G5822" s="198"/>
      <c r="H5822" s="123"/>
    </row>
    <row r="5823" spans="3:8" s="99" customFormat="1" x14ac:dyDescent="0.2">
      <c r="C5823" s="198"/>
      <c r="D5823" s="198"/>
      <c r="E5823" s="537"/>
      <c r="G5823" s="198"/>
      <c r="H5823" s="123"/>
    </row>
    <row r="5824" spans="3:8" s="99" customFormat="1" x14ac:dyDescent="0.2">
      <c r="C5824" s="198"/>
      <c r="D5824" s="198"/>
      <c r="E5824" s="537"/>
      <c r="G5824" s="198"/>
      <c r="H5824" s="123"/>
    </row>
    <row r="5825" spans="3:8" s="99" customFormat="1" x14ac:dyDescent="0.2">
      <c r="C5825" s="198"/>
      <c r="D5825" s="198"/>
      <c r="E5825" s="537"/>
      <c r="G5825" s="198"/>
      <c r="H5825" s="123"/>
    </row>
    <row r="5826" spans="3:8" s="99" customFormat="1" x14ac:dyDescent="0.2">
      <c r="C5826" s="198"/>
      <c r="D5826" s="198"/>
      <c r="E5826" s="537"/>
      <c r="G5826" s="198"/>
      <c r="H5826" s="123"/>
    </row>
    <row r="5827" spans="3:8" s="99" customFormat="1" x14ac:dyDescent="0.2">
      <c r="C5827" s="198"/>
      <c r="D5827" s="198"/>
      <c r="E5827" s="537"/>
      <c r="G5827" s="198"/>
      <c r="H5827" s="123"/>
    </row>
    <row r="5828" spans="3:8" s="99" customFormat="1" x14ac:dyDescent="0.2">
      <c r="C5828" s="198"/>
      <c r="D5828" s="198"/>
      <c r="E5828" s="537"/>
      <c r="G5828" s="198"/>
      <c r="H5828" s="123"/>
    </row>
    <row r="5829" spans="3:8" s="99" customFormat="1" x14ac:dyDescent="0.2">
      <c r="C5829" s="198"/>
      <c r="D5829" s="198"/>
      <c r="E5829" s="537"/>
      <c r="G5829" s="198"/>
      <c r="H5829" s="123"/>
    </row>
    <row r="5830" spans="3:8" s="99" customFormat="1" x14ac:dyDescent="0.2">
      <c r="C5830" s="198"/>
      <c r="D5830" s="198"/>
      <c r="E5830" s="537"/>
      <c r="G5830" s="198"/>
      <c r="H5830" s="123"/>
    </row>
    <row r="5831" spans="3:8" s="99" customFormat="1" x14ac:dyDescent="0.2">
      <c r="C5831" s="198"/>
      <c r="D5831" s="198"/>
      <c r="E5831" s="537"/>
      <c r="G5831" s="198"/>
      <c r="H5831" s="123"/>
    </row>
    <row r="5832" spans="3:8" s="99" customFormat="1" x14ac:dyDescent="0.2">
      <c r="C5832" s="198"/>
      <c r="D5832" s="198"/>
      <c r="E5832" s="537"/>
      <c r="G5832" s="198"/>
      <c r="H5832" s="123"/>
    </row>
    <row r="5833" spans="3:8" s="99" customFormat="1" x14ac:dyDescent="0.2">
      <c r="C5833" s="198"/>
      <c r="D5833" s="198"/>
      <c r="E5833" s="537"/>
      <c r="G5833" s="198"/>
      <c r="H5833" s="123"/>
    </row>
    <row r="5834" spans="3:8" s="99" customFormat="1" x14ac:dyDescent="0.2">
      <c r="C5834" s="198"/>
      <c r="D5834" s="198"/>
      <c r="E5834" s="537"/>
      <c r="G5834" s="198"/>
      <c r="H5834" s="123"/>
    </row>
    <row r="5835" spans="3:8" s="99" customFormat="1" x14ac:dyDescent="0.2">
      <c r="C5835" s="198"/>
      <c r="D5835" s="198"/>
      <c r="E5835" s="537"/>
      <c r="G5835" s="198"/>
      <c r="H5835" s="123"/>
    </row>
    <row r="5836" spans="3:8" s="99" customFormat="1" x14ac:dyDescent="0.2">
      <c r="C5836" s="198"/>
      <c r="D5836" s="198"/>
      <c r="E5836" s="537"/>
      <c r="G5836" s="198"/>
      <c r="H5836" s="123"/>
    </row>
    <row r="5837" spans="3:8" s="99" customFormat="1" x14ac:dyDescent="0.2">
      <c r="C5837" s="198"/>
      <c r="D5837" s="198"/>
      <c r="E5837" s="537"/>
      <c r="G5837" s="198"/>
      <c r="H5837" s="123"/>
    </row>
    <row r="5838" spans="3:8" s="99" customFormat="1" x14ac:dyDescent="0.2">
      <c r="C5838" s="198"/>
      <c r="D5838" s="198"/>
      <c r="E5838" s="537"/>
      <c r="G5838" s="198"/>
      <c r="H5838" s="123"/>
    </row>
    <row r="5839" spans="3:8" s="99" customFormat="1" x14ac:dyDescent="0.2">
      <c r="C5839" s="198"/>
      <c r="D5839" s="198"/>
      <c r="E5839" s="537"/>
      <c r="G5839" s="198"/>
      <c r="H5839" s="123"/>
    </row>
    <row r="5840" spans="3:8" s="99" customFormat="1" x14ac:dyDescent="0.2">
      <c r="C5840" s="198"/>
      <c r="D5840" s="198"/>
      <c r="E5840" s="537"/>
      <c r="G5840" s="198"/>
      <c r="H5840" s="123"/>
    </row>
    <row r="5841" spans="3:8" s="99" customFormat="1" x14ac:dyDescent="0.2">
      <c r="C5841" s="198"/>
      <c r="D5841" s="198"/>
      <c r="E5841" s="537"/>
      <c r="G5841" s="198"/>
      <c r="H5841" s="123"/>
    </row>
    <row r="5842" spans="3:8" s="99" customFormat="1" x14ac:dyDescent="0.2">
      <c r="C5842" s="198"/>
      <c r="D5842" s="198"/>
      <c r="E5842" s="537"/>
      <c r="G5842" s="198"/>
      <c r="H5842" s="123"/>
    </row>
    <row r="5843" spans="3:8" s="99" customFormat="1" x14ac:dyDescent="0.2">
      <c r="C5843" s="198"/>
      <c r="D5843" s="198"/>
      <c r="E5843" s="537"/>
      <c r="G5843" s="198"/>
      <c r="H5843" s="123"/>
    </row>
    <row r="5844" spans="3:8" s="99" customFormat="1" x14ac:dyDescent="0.2">
      <c r="C5844" s="198"/>
      <c r="D5844" s="198"/>
      <c r="E5844" s="537"/>
      <c r="G5844" s="198"/>
      <c r="H5844" s="123"/>
    </row>
    <row r="5845" spans="3:8" s="99" customFormat="1" x14ac:dyDescent="0.2">
      <c r="C5845" s="198"/>
      <c r="D5845" s="198"/>
      <c r="E5845" s="537"/>
      <c r="G5845" s="198"/>
      <c r="H5845" s="123"/>
    </row>
    <row r="5846" spans="3:8" s="99" customFormat="1" x14ac:dyDescent="0.2">
      <c r="C5846" s="198"/>
      <c r="D5846" s="198"/>
      <c r="E5846" s="537"/>
      <c r="G5846" s="198"/>
      <c r="H5846" s="123"/>
    </row>
    <row r="5847" spans="3:8" s="99" customFormat="1" x14ac:dyDescent="0.2">
      <c r="C5847" s="198"/>
      <c r="D5847" s="198"/>
      <c r="E5847" s="537"/>
      <c r="G5847" s="198"/>
      <c r="H5847" s="123"/>
    </row>
    <row r="5848" spans="3:8" s="99" customFormat="1" x14ac:dyDescent="0.2">
      <c r="C5848" s="198"/>
      <c r="D5848" s="198"/>
      <c r="E5848" s="537"/>
      <c r="G5848" s="198"/>
      <c r="H5848" s="123"/>
    </row>
    <row r="5849" spans="3:8" s="99" customFormat="1" x14ac:dyDescent="0.2">
      <c r="C5849" s="198"/>
      <c r="D5849" s="198"/>
      <c r="E5849" s="537"/>
      <c r="G5849" s="198"/>
      <c r="H5849" s="123"/>
    </row>
    <row r="5850" spans="3:8" s="99" customFormat="1" x14ac:dyDescent="0.2">
      <c r="C5850" s="198"/>
      <c r="D5850" s="198"/>
      <c r="E5850" s="537"/>
      <c r="G5850" s="198"/>
      <c r="H5850" s="123"/>
    </row>
    <row r="5851" spans="3:8" s="99" customFormat="1" x14ac:dyDescent="0.2">
      <c r="C5851" s="198"/>
      <c r="D5851" s="198"/>
      <c r="E5851" s="537"/>
      <c r="G5851" s="198"/>
      <c r="H5851" s="123"/>
    </row>
    <row r="5852" spans="3:8" s="99" customFormat="1" x14ac:dyDescent="0.2">
      <c r="C5852" s="198"/>
      <c r="D5852" s="198"/>
      <c r="E5852" s="537"/>
      <c r="G5852" s="198"/>
      <c r="H5852" s="123"/>
    </row>
    <row r="5853" spans="3:8" s="99" customFormat="1" x14ac:dyDescent="0.2">
      <c r="C5853" s="198"/>
      <c r="D5853" s="198"/>
      <c r="E5853" s="537"/>
      <c r="G5853" s="198"/>
      <c r="H5853" s="123"/>
    </row>
    <row r="5854" spans="3:8" s="99" customFormat="1" x14ac:dyDescent="0.2">
      <c r="C5854" s="198"/>
      <c r="D5854" s="198"/>
      <c r="E5854" s="537"/>
      <c r="G5854" s="198"/>
      <c r="H5854" s="123"/>
    </row>
  </sheetData>
  <mergeCells count="3">
    <mergeCell ref="A2:D2"/>
    <mergeCell ref="A1:R1"/>
    <mergeCell ref="G2:R2"/>
  </mergeCells>
  <phoneticPr fontId="9" type="noConversion"/>
  <printOptions horizontalCentered="1"/>
  <pageMargins left="0.39370078740157483" right="0.39370078740157483" top="0.39370078740157483" bottom="0.39370078740157483" header="0.39370078740157483" footer="0.39370078740157483"/>
  <pageSetup paperSize="9" scale="60" orientation="landscape" r:id="rId1"/>
  <headerFooter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V107"/>
  <sheetViews>
    <sheetView topLeftCell="A25" workbookViewId="0">
      <selection activeCell="A40" sqref="A40"/>
    </sheetView>
  </sheetViews>
  <sheetFormatPr defaultRowHeight="12.75" x14ac:dyDescent="0.2"/>
  <cols>
    <col min="1" max="1" width="49.5703125" bestFit="1" customWidth="1"/>
    <col min="2" max="2" width="10.28515625" customWidth="1"/>
    <col min="3" max="3" width="9.28515625" customWidth="1"/>
    <col min="4" max="4" width="10.85546875" customWidth="1"/>
    <col min="5" max="5" width="9.140625" customWidth="1"/>
    <col min="6" max="6" width="11.7109375" customWidth="1"/>
    <col min="7" max="7" width="9.140625" customWidth="1"/>
    <col min="8" max="10" width="9.5703125" customWidth="1"/>
    <col min="11" max="11" width="9.7109375" customWidth="1"/>
    <col min="12" max="13" width="10.28515625" bestFit="1" customWidth="1"/>
    <col min="14" max="14" width="9.85546875" customWidth="1"/>
    <col min="15" max="16" width="10.28515625" bestFit="1" customWidth="1"/>
    <col min="17" max="17" width="10.140625" bestFit="1" customWidth="1"/>
    <col min="18" max="23" width="10.28515625" bestFit="1" customWidth="1"/>
    <col min="24" max="25" width="10.28515625" customWidth="1"/>
    <col min="36" max="36" width="51.85546875" bestFit="1" customWidth="1"/>
    <col min="43" max="43" width="24.85546875" bestFit="1" customWidth="1"/>
  </cols>
  <sheetData>
    <row r="1" spans="1:48" x14ac:dyDescent="0.2">
      <c r="A1" s="1" t="s">
        <v>4868</v>
      </c>
      <c r="B1" s="248" t="s">
        <v>1987</v>
      </c>
      <c r="C1" s="248" t="s">
        <v>1988</v>
      </c>
      <c r="D1" s="248" t="s">
        <v>1989</v>
      </c>
      <c r="E1" s="248" t="s">
        <v>297</v>
      </c>
      <c r="F1" s="248" t="s">
        <v>2908</v>
      </c>
      <c r="G1" s="248" t="s">
        <v>226</v>
      </c>
      <c r="H1" s="248" t="s">
        <v>1104</v>
      </c>
      <c r="I1" s="248" t="s">
        <v>1668</v>
      </c>
      <c r="J1" s="1149" t="s">
        <v>943</v>
      </c>
      <c r="K1" s="248" t="str">
        <f>CIV!C1019</f>
        <v>2014/15</v>
      </c>
      <c r="L1" s="248" t="str">
        <f>CIV!D1019</f>
        <v>2015/16</v>
      </c>
      <c r="M1" s="248" t="str">
        <f>CIV!G1019</f>
        <v>2016/17</v>
      </c>
      <c r="N1" s="248" t="str">
        <f>CIV!I1019</f>
        <v>2017/18</v>
      </c>
      <c r="O1" s="248" t="str">
        <f>CIV!J1019</f>
        <v>2018/19</v>
      </c>
      <c r="P1" s="248" t="str">
        <f>CIV!K1019</f>
        <v>2019/20</v>
      </c>
      <c r="Q1" s="248" t="str">
        <f>CIV!L1019</f>
        <v>2020/21</v>
      </c>
      <c r="R1" s="248" t="str">
        <f>CIV!M1019</f>
        <v>2021/22</v>
      </c>
      <c r="S1" s="248" t="str">
        <f>CIV!N1019</f>
        <v>2022/23</v>
      </c>
      <c r="T1" s="248" t="str">
        <f>CIV!O1019</f>
        <v>2023/24</v>
      </c>
      <c r="U1" s="1617" t="str">
        <f>CIV!P1019</f>
        <v>2024/25</v>
      </c>
      <c r="V1" s="2091" t="str">
        <f>CIV!Q1019</f>
        <v>2025/26</v>
      </c>
      <c r="W1" s="2655" t="str">
        <f>CIV!R1019</f>
        <v>2026/27</v>
      </c>
      <c r="X1" s="2655"/>
      <c r="Y1" s="2655"/>
    </row>
    <row r="2" spans="1:48" x14ac:dyDescent="0.2">
      <c r="A2" s="779" t="s">
        <v>1403</v>
      </c>
      <c r="B2" s="63">
        <v>1035000</v>
      </c>
      <c r="C2" s="63">
        <f>ROUND(B4*1.03,-3)</f>
        <v>1066000</v>
      </c>
      <c r="D2" s="63">
        <f t="shared" ref="D2:H2" si="0">ROUND(C4*1.03,-3)</f>
        <v>1201000</v>
      </c>
      <c r="E2" s="63">
        <f t="shared" si="0"/>
        <v>1342000</v>
      </c>
      <c r="F2" s="63">
        <f t="shared" si="0"/>
        <v>1592000</v>
      </c>
      <c r="G2" s="63">
        <f t="shared" si="0"/>
        <v>1640000</v>
      </c>
      <c r="H2" s="63">
        <f t="shared" si="0"/>
        <v>2068000</v>
      </c>
      <c r="I2" s="63">
        <v>2491000</v>
      </c>
      <c r="J2" s="63">
        <f>ROUND(I4*1.03,-3)</f>
        <v>2989000</v>
      </c>
      <c r="K2" s="63">
        <f t="shared" ref="K2:W2" si="1">ROUND(J4*1.03,-3)</f>
        <v>3609000</v>
      </c>
      <c r="L2" s="63">
        <f t="shared" si="1"/>
        <v>3717000</v>
      </c>
      <c r="M2" s="63">
        <f t="shared" si="1"/>
        <v>3829000</v>
      </c>
      <c r="N2" s="63">
        <f t="shared" si="1"/>
        <v>3944000</v>
      </c>
      <c r="O2" s="63">
        <f t="shared" si="1"/>
        <v>4062000</v>
      </c>
      <c r="P2" s="63">
        <f t="shared" si="1"/>
        <v>4184000</v>
      </c>
      <c r="Q2" s="63">
        <f t="shared" si="1"/>
        <v>4352000</v>
      </c>
      <c r="R2" s="63">
        <f t="shared" si="1"/>
        <v>4526000</v>
      </c>
      <c r="S2" s="63">
        <f t="shared" si="1"/>
        <v>4707000</v>
      </c>
      <c r="T2" s="63">
        <f t="shared" si="1"/>
        <v>4895000</v>
      </c>
      <c r="U2" s="63">
        <f t="shared" si="1"/>
        <v>5090000</v>
      </c>
      <c r="V2" s="63">
        <f t="shared" si="1"/>
        <v>5293000</v>
      </c>
      <c r="W2" s="63">
        <f t="shared" si="1"/>
        <v>5504000</v>
      </c>
      <c r="X2" s="63"/>
      <c r="Y2" s="63"/>
      <c r="AJ2" s="1576" t="s">
        <v>4434</v>
      </c>
      <c r="AK2" s="1575" t="s">
        <v>1668</v>
      </c>
      <c r="AL2" s="1575" t="s">
        <v>943</v>
      </c>
      <c r="AM2" s="1575" t="s">
        <v>897</v>
      </c>
      <c r="AN2" s="1575" t="s">
        <v>2072</v>
      </c>
      <c r="AO2" s="1575" t="s">
        <v>1614</v>
      </c>
      <c r="AQ2" s="1576" t="s">
        <v>4450</v>
      </c>
      <c r="AR2" s="1575" t="s">
        <v>1668</v>
      </c>
      <c r="AS2" s="1575" t="s">
        <v>943</v>
      </c>
      <c r="AT2" s="1575" t="s">
        <v>897</v>
      </c>
      <c r="AU2" s="1575" t="s">
        <v>2072</v>
      </c>
      <c r="AV2" s="1575" t="s">
        <v>1614</v>
      </c>
    </row>
    <row r="3" spans="1:48" x14ac:dyDescent="0.2">
      <c r="A3" s="779" t="s">
        <v>3477</v>
      </c>
      <c r="B3" s="63"/>
      <c r="C3" s="63">
        <v>100000</v>
      </c>
      <c r="D3" s="63">
        <v>102000</v>
      </c>
      <c r="E3" s="63">
        <v>204000</v>
      </c>
      <c r="F3" s="63"/>
      <c r="G3" s="63">
        <v>368000</v>
      </c>
      <c r="H3" s="63">
        <v>350000</v>
      </c>
      <c r="I3" s="63">
        <v>411000</v>
      </c>
      <c r="J3" s="63">
        <v>515000</v>
      </c>
      <c r="K3" s="63"/>
      <c r="L3" s="63"/>
      <c r="M3" s="63"/>
      <c r="N3" s="63"/>
      <c r="O3" s="63"/>
      <c r="P3" s="63">
        <f>ROUND(O2*0.01,-3)</f>
        <v>41000</v>
      </c>
      <c r="Q3" s="63">
        <f t="shared" ref="Q3:W3" si="2">ROUND(P2*0.01,-3)</f>
        <v>42000</v>
      </c>
      <c r="R3" s="63">
        <f t="shared" si="2"/>
        <v>44000</v>
      </c>
      <c r="S3" s="63">
        <f t="shared" si="2"/>
        <v>45000</v>
      </c>
      <c r="T3" s="63">
        <f t="shared" si="2"/>
        <v>47000</v>
      </c>
      <c r="U3" s="63">
        <f t="shared" si="2"/>
        <v>49000</v>
      </c>
      <c r="V3" s="63">
        <f t="shared" si="2"/>
        <v>51000</v>
      </c>
      <c r="W3" s="63">
        <f t="shared" si="2"/>
        <v>53000</v>
      </c>
      <c r="X3" s="63"/>
      <c r="Y3" s="63"/>
      <c r="AJ3" s="1" t="s">
        <v>4440</v>
      </c>
      <c r="AK3" s="118">
        <v>2957100</v>
      </c>
      <c r="AL3" s="118">
        <v>3492800</v>
      </c>
      <c r="AM3" s="118">
        <v>3597600</v>
      </c>
      <c r="AN3" s="118">
        <v>3705500</v>
      </c>
      <c r="AO3" s="118">
        <v>3816700</v>
      </c>
      <c r="AR3" s="63">
        <f>I4</f>
        <v>2902000</v>
      </c>
      <c r="AS3" s="63">
        <f>J4</f>
        <v>3504000</v>
      </c>
      <c r="AT3" s="63">
        <f>K4</f>
        <v>3609000</v>
      </c>
      <c r="AU3" s="63">
        <f>L4</f>
        <v>3717000</v>
      </c>
      <c r="AV3" s="63">
        <f>M4</f>
        <v>3829000</v>
      </c>
    </row>
    <row r="4" spans="1:48" s="4" customFormat="1" x14ac:dyDescent="0.2">
      <c r="A4" s="4" t="s">
        <v>1530</v>
      </c>
      <c r="B4" s="1001">
        <f t="shared" ref="B4:T4" si="3">SUM(B2:B3)</f>
        <v>1035000</v>
      </c>
      <c r="C4" s="1001">
        <f t="shared" si="3"/>
        <v>1166000</v>
      </c>
      <c r="D4" s="1001">
        <f t="shared" si="3"/>
        <v>1303000</v>
      </c>
      <c r="E4" s="1001">
        <f t="shared" si="3"/>
        <v>1546000</v>
      </c>
      <c r="F4" s="1001">
        <f t="shared" si="3"/>
        <v>1592000</v>
      </c>
      <c r="G4" s="1001">
        <f t="shared" si="3"/>
        <v>2008000</v>
      </c>
      <c r="H4" s="1001">
        <f t="shared" si="3"/>
        <v>2418000</v>
      </c>
      <c r="I4" s="1001">
        <f t="shared" si="3"/>
        <v>2902000</v>
      </c>
      <c r="J4" s="1001">
        <f t="shared" si="3"/>
        <v>3504000</v>
      </c>
      <c r="K4" s="1001">
        <f t="shared" si="3"/>
        <v>3609000</v>
      </c>
      <c r="L4" s="1001">
        <f t="shared" si="3"/>
        <v>3717000</v>
      </c>
      <c r="M4" s="1001">
        <f t="shared" si="3"/>
        <v>3829000</v>
      </c>
      <c r="N4" s="1001">
        <f t="shared" si="3"/>
        <v>3944000</v>
      </c>
      <c r="O4" s="1001">
        <f t="shared" si="3"/>
        <v>4062000</v>
      </c>
      <c r="P4" s="1001">
        <f t="shared" si="3"/>
        <v>4225000</v>
      </c>
      <c r="Q4" s="1001">
        <f t="shared" si="3"/>
        <v>4394000</v>
      </c>
      <c r="R4" s="1001">
        <f t="shared" si="3"/>
        <v>4570000</v>
      </c>
      <c r="S4" s="1001">
        <f t="shared" si="3"/>
        <v>4752000</v>
      </c>
      <c r="T4" s="1001">
        <f t="shared" si="3"/>
        <v>4942000</v>
      </c>
      <c r="U4" s="1001">
        <f t="shared" ref="U4:V4" si="4">SUM(U2:U3)</f>
        <v>5139000</v>
      </c>
      <c r="V4" s="1001">
        <f t="shared" si="4"/>
        <v>5344000</v>
      </c>
      <c r="W4" s="1001">
        <f t="shared" ref="W4" si="5">SUM(W2:W3)</f>
        <v>5557000</v>
      </c>
      <c r="X4" s="55"/>
      <c r="Y4" s="55"/>
    </row>
    <row r="5" spans="1:48" x14ac:dyDescent="0.2">
      <c r="B5" s="745"/>
      <c r="C5" s="745"/>
      <c r="D5" s="745"/>
      <c r="E5" s="745"/>
      <c r="F5" s="745"/>
      <c r="G5" s="745"/>
      <c r="AJ5" s="779" t="s">
        <v>4441</v>
      </c>
      <c r="AK5" s="87">
        <v>2687900</v>
      </c>
      <c r="AL5" s="87">
        <v>2588300</v>
      </c>
      <c r="AM5" s="87">
        <v>2692600</v>
      </c>
      <c r="AN5" s="87">
        <v>2800500</v>
      </c>
      <c r="AO5" s="87">
        <v>2911700</v>
      </c>
    </row>
    <row r="6" spans="1:48" x14ac:dyDescent="0.2">
      <c r="A6" s="4" t="s">
        <v>2535</v>
      </c>
      <c r="B6" s="745"/>
      <c r="C6" s="745"/>
      <c r="D6" s="745"/>
      <c r="E6" s="745"/>
      <c r="F6" s="745"/>
      <c r="G6" s="745"/>
      <c r="I6" s="248" t="s">
        <v>1668</v>
      </c>
      <c r="J6" s="1300" t="str">
        <f>J1</f>
        <v>2013/14</v>
      </c>
      <c r="K6" s="248" t="str">
        <f>K1</f>
        <v>2014/15</v>
      </c>
      <c r="L6" s="248" t="str">
        <f>L1</f>
        <v>2015/16</v>
      </c>
      <c r="M6" s="248" t="str">
        <f>M1</f>
        <v>2016/17</v>
      </c>
      <c r="N6" s="248" t="str">
        <f>N1</f>
        <v>2017/18</v>
      </c>
      <c r="O6" s="248" t="str">
        <f t="shared" ref="O6:T6" si="6">O1</f>
        <v>2018/19</v>
      </c>
      <c r="P6" s="248" t="str">
        <f t="shared" si="6"/>
        <v>2019/20</v>
      </c>
      <c r="Q6" s="248" t="str">
        <f t="shared" si="6"/>
        <v>2020/21</v>
      </c>
      <c r="R6" s="248" t="str">
        <f t="shared" si="6"/>
        <v>2021/22</v>
      </c>
      <c r="S6" s="248" t="str">
        <f t="shared" si="6"/>
        <v>2022/23</v>
      </c>
      <c r="T6" s="248" t="str">
        <f t="shared" si="6"/>
        <v>2023/24</v>
      </c>
      <c r="U6" s="1617" t="str">
        <f t="shared" ref="U6:V6" si="7">U1</f>
        <v>2024/25</v>
      </c>
      <c r="V6" s="2091" t="str">
        <f t="shared" si="7"/>
        <v>2025/26</v>
      </c>
      <c r="W6" s="2655" t="str">
        <f t="shared" ref="W6" si="8">W1</f>
        <v>2026/27</v>
      </c>
      <c r="X6" s="2655"/>
      <c r="Y6" s="2655"/>
      <c r="AJ6" t="s">
        <v>4435</v>
      </c>
      <c r="AK6" s="87">
        <v>141200</v>
      </c>
      <c r="AL6" s="87">
        <v>141200</v>
      </c>
      <c r="AM6" s="87">
        <v>141200</v>
      </c>
      <c r="AN6" s="87">
        <v>141200</v>
      </c>
      <c r="AO6" s="87">
        <v>141200</v>
      </c>
    </row>
    <row r="7" spans="1:48" x14ac:dyDescent="0.2">
      <c r="A7" s="779" t="s">
        <v>4881</v>
      </c>
      <c r="I7" s="63">
        <v>1892000</v>
      </c>
      <c r="J7" s="63">
        <v>2005000</v>
      </c>
      <c r="K7" s="63">
        <v>2302000</v>
      </c>
      <c r="L7" s="63">
        <f>ROUND(SUM('Cap-Gen'!U138),-3)</f>
        <v>1472000</v>
      </c>
      <c r="M7" s="63">
        <f>ROUND(SUM('Cap-Gen'!Z138),-2)</f>
        <v>3412100</v>
      </c>
      <c r="N7" s="63">
        <f>ROUND(SUM('Cap-Gen'!AE138),-3)</f>
        <v>3582000</v>
      </c>
      <c r="O7" s="63">
        <f>ROUND(SUM('Cap-Gen'!AJ138),-3)</f>
        <v>4046000</v>
      </c>
      <c r="P7" s="63">
        <f>ROUND(SUM('Cap-Gen'!AO138),-3)</f>
        <v>4595000</v>
      </c>
      <c r="Q7" s="63">
        <f>ROUND(SUM('Cap-Gen'!AT138),-3)</f>
        <v>5151000</v>
      </c>
      <c r="R7" s="63">
        <f>ROUND(SUM('Cap-Gen'!AY138),-3)</f>
        <v>4623000</v>
      </c>
      <c r="S7" s="63">
        <f>ROUND(SUM('Cap-Gen'!BD138),-3)</f>
        <v>4852000</v>
      </c>
      <c r="T7" s="63">
        <f>ROUND(SUM('Cap-Gen'!BI138),-3)</f>
        <v>5089000</v>
      </c>
      <c r="U7" s="63">
        <f>ROUND(SUM('Cap-Gen'!BN138),-3)</f>
        <v>5490000</v>
      </c>
      <c r="V7" s="63">
        <f>ROUND(SUM('Cap-Gen'!BS138),-3)</f>
        <v>6320000</v>
      </c>
      <c r="W7" s="63">
        <f>ROUND(SUM('Cap-Gen'!BX138),-3)</f>
        <v>6585000</v>
      </c>
      <c r="X7" s="63"/>
      <c r="Y7" s="63"/>
      <c r="AJ7" t="s">
        <v>4436</v>
      </c>
      <c r="AK7" s="87">
        <v>0</v>
      </c>
      <c r="AL7" s="87">
        <v>460100</v>
      </c>
      <c r="AM7" s="87">
        <v>460100</v>
      </c>
      <c r="AN7" s="87">
        <v>460100</v>
      </c>
      <c r="AO7" s="87">
        <v>460100</v>
      </c>
    </row>
    <row r="8" spans="1:48" x14ac:dyDescent="0.2">
      <c r="A8" s="779" t="s">
        <v>4882</v>
      </c>
      <c r="I8" s="63"/>
      <c r="J8" s="63"/>
      <c r="K8" s="63"/>
      <c r="L8" s="63">
        <f>ROUND(SUM('Cap-Gen'!U136),-3)</f>
        <v>0</v>
      </c>
      <c r="M8" s="63">
        <f>ROUND(SUM('Cap-Gen'!Z136),-2)</f>
        <v>109600</v>
      </c>
      <c r="N8" s="63">
        <f>ROUND(SUM('Cap-Gen'!AE136),-3)</f>
        <v>104000</v>
      </c>
      <c r="O8" s="63">
        <f>ROUND(SUM('Cap-Gen'!AJ136),-3)</f>
        <v>108000</v>
      </c>
      <c r="P8" s="63">
        <f>ROUND(SUM('Cap-Gen'!AO136),-3)</f>
        <v>112000</v>
      </c>
      <c r="Q8" s="63">
        <f>ROUND(SUM('Cap-Gen'!AT136),-3)</f>
        <v>115000</v>
      </c>
      <c r="R8" s="63">
        <f>ROUND(SUM('Cap-Gen'!AY136),-3)</f>
        <v>118000</v>
      </c>
      <c r="S8" s="63">
        <f>ROUND(SUM('Cap-Gen'!BD136),-3)</f>
        <v>121000</v>
      </c>
      <c r="T8" s="63">
        <f>ROUND(SUM('Cap-Gen'!BI136),-3)</f>
        <v>124000</v>
      </c>
      <c r="U8" s="63">
        <f>ROUND(SUM('Cap-Gen'!BN136),-3)</f>
        <v>127000</v>
      </c>
      <c r="V8" s="63">
        <f>ROUND(SUM('Cap-Gen'!BS136),-3)</f>
        <v>130000</v>
      </c>
      <c r="W8" s="63">
        <f>ROUND(SUM('Cap-Gen'!BX136),-3)</f>
        <v>133000</v>
      </c>
      <c r="X8" s="63"/>
      <c r="Y8" s="63"/>
      <c r="AJ8" t="s">
        <v>4436</v>
      </c>
      <c r="AK8" s="87">
        <v>0</v>
      </c>
      <c r="AL8" s="87">
        <v>460100</v>
      </c>
      <c r="AM8" s="87">
        <v>460100</v>
      </c>
      <c r="AN8" s="87">
        <v>460100</v>
      </c>
      <c r="AO8" s="87">
        <v>460100</v>
      </c>
    </row>
    <row r="9" spans="1:48" x14ac:dyDescent="0.2">
      <c r="A9" s="779" t="s">
        <v>2276</v>
      </c>
      <c r="I9" s="63">
        <v>256000</v>
      </c>
      <c r="J9" s="63">
        <v>256000</v>
      </c>
      <c r="K9" s="63">
        <v>256000</v>
      </c>
      <c r="L9" s="63">
        <f>ROUND(('Debt-Gen'!J51+'Debt-Gen'!I51),-3)</f>
        <v>260000</v>
      </c>
      <c r="M9" s="63">
        <f>ROUND(('Debt-Gen'!K51+'Debt-Gen'!L51),-3)</f>
        <v>260000</v>
      </c>
      <c r="N9" s="63">
        <f>ROUND(('Debt-Gen'!M51+'Debt-Gen'!N51),-3)</f>
        <v>260000</v>
      </c>
      <c r="O9" s="63">
        <f>ROUND(('Debt-Gen'!P51+'Debt-Gen'!O51),-3)</f>
        <v>260000</v>
      </c>
      <c r="P9" s="63">
        <f>ROUND(('Debt-Gen'!Q51+'Debt-Gen'!R51),-3)</f>
        <v>260000</v>
      </c>
      <c r="Q9" s="63">
        <f>ROUND(('Debt-Gen'!S51+'Debt-Gen'!T51),-3)</f>
        <v>260000</v>
      </c>
      <c r="R9" s="63">
        <f>ROUND(('Debt-Gen'!U51+'Debt-Gen'!V51),-3)</f>
        <v>260000</v>
      </c>
      <c r="S9" s="63">
        <f>ROUND(('Debt-Gen'!W51+'Debt-Gen'!X51),-3)</f>
        <v>260000</v>
      </c>
      <c r="T9" s="63">
        <f>ROUND(('Debt-Gen'!Y51+'Debt-Gen'!Z51),-3)</f>
        <v>260000</v>
      </c>
      <c r="U9" s="63">
        <f>ROUND(('Debt-Gen'!AB51+'Debt-Gen'!AA51),-3)</f>
        <v>260000</v>
      </c>
      <c r="V9" s="63">
        <f>ROUND(('Debt-Gen'!AC51+'Debt-Gen'!AD51),-3)</f>
        <v>0</v>
      </c>
      <c r="W9" s="63">
        <f>ROUND(('Debt-Gen'!AE51+'Debt-Gen'!AF51),-3)</f>
        <v>0</v>
      </c>
      <c r="X9" s="63"/>
      <c r="Y9" s="63"/>
      <c r="AJ9" t="s">
        <v>4437</v>
      </c>
      <c r="AK9" s="87">
        <v>0</v>
      </c>
      <c r="AL9" s="87">
        <v>175700</v>
      </c>
      <c r="AM9" s="87">
        <v>175700</v>
      </c>
      <c r="AN9" s="87">
        <v>175700</v>
      </c>
      <c r="AO9" s="87">
        <v>175700</v>
      </c>
    </row>
    <row r="10" spans="1:48" x14ac:dyDescent="0.2">
      <c r="A10" s="779" t="s">
        <v>4423</v>
      </c>
      <c r="I10" s="63">
        <v>128000</v>
      </c>
      <c r="J10" s="63">
        <v>64000</v>
      </c>
      <c r="K10" s="63">
        <v>64000</v>
      </c>
      <c r="L10" s="63">
        <f>L9*0.25</f>
        <v>65000</v>
      </c>
      <c r="M10" s="63">
        <v>0</v>
      </c>
      <c r="N10" s="63">
        <f>ROUND(('Debt-Gen'!O52+'Debt-Gen'!N52),-3)</f>
        <v>0</v>
      </c>
      <c r="O10" s="63">
        <f>ROUND(('Debt-Gen'!P52+'Debt-Gen'!O52),-3)</f>
        <v>0</v>
      </c>
      <c r="P10" s="63">
        <f>ROUND(('Debt-Gen'!Q52+'Debt-Gen'!R52),-3)</f>
        <v>0</v>
      </c>
      <c r="Q10" s="63">
        <f>ROUND(('Debt-Gen'!S52+'Debt-Gen'!T52),-3)</f>
        <v>0</v>
      </c>
      <c r="R10" s="63">
        <f>ROUND(('Debt-Gen'!U52+'Debt-Gen'!V52),-3)</f>
        <v>0</v>
      </c>
      <c r="S10" s="63">
        <f>ROUND(('Debt-Gen'!W52+'Debt-Gen'!X52),-3)</f>
        <v>0</v>
      </c>
      <c r="T10" s="63">
        <f>ROUND(('Debt-Gen'!Y52+'Debt-Gen'!Z52),-3)</f>
        <v>0</v>
      </c>
      <c r="U10" s="63">
        <f>ROUND(('Debt-Gen'!Z52+'Debt-Gen'!AA52),-3)</f>
        <v>0</v>
      </c>
      <c r="V10" s="63">
        <f>ROUND(('Debt-Gen'!AA52+'Debt-Gen'!AB52),-3)</f>
        <v>0</v>
      </c>
      <c r="W10" s="63">
        <f>ROUND(('Debt-Gen'!AB52+'Debt-Gen'!AC52),-3)</f>
        <v>0</v>
      </c>
      <c r="X10" s="63"/>
      <c r="Y10" s="63"/>
      <c r="AJ10" t="s">
        <v>4438</v>
      </c>
      <c r="AK10" s="87">
        <v>256000</v>
      </c>
      <c r="AL10" s="87">
        <v>255500</v>
      </c>
      <c r="AM10" s="87">
        <v>256000</v>
      </c>
      <c r="AN10" s="87">
        <v>256000</v>
      </c>
      <c r="AO10" s="87">
        <v>256000</v>
      </c>
    </row>
    <row r="11" spans="1:48" x14ac:dyDescent="0.2">
      <c r="A11" s="779" t="s">
        <v>1573</v>
      </c>
      <c r="E11" s="779"/>
      <c r="I11" s="63">
        <v>399000</v>
      </c>
      <c r="J11" s="63">
        <v>745000</v>
      </c>
      <c r="K11" s="87">
        <v>899000</v>
      </c>
      <c r="L11" s="87">
        <f>ROUND(SUM('Debt-Gen'!I43:J48),-3)</f>
        <v>949000</v>
      </c>
      <c r="M11" s="87">
        <f>ROUND(SUM('Debt-Gen'!K43:L48),-3)</f>
        <v>949000</v>
      </c>
      <c r="N11" s="87">
        <f>ROUND(SUM('Debt-Gen'!M43:N48),-3)</f>
        <v>949000</v>
      </c>
      <c r="O11" s="87">
        <f>ROUND(SUM('Debt-Gen'!O43:P48),-3)</f>
        <v>949000</v>
      </c>
      <c r="P11" s="87">
        <f>ROUND(SUM('Debt-Gen'!Q43:R48),-3)</f>
        <v>999000</v>
      </c>
      <c r="Q11" s="87">
        <f>ROUND(SUM('Debt-Gen'!S43:T48),-3)</f>
        <v>599000</v>
      </c>
      <c r="R11" s="87">
        <f>ROUND(SUM('Debt-Gen'!U43:V48),-3)</f>
        <v>1349000</v>
      </c>
      <c r="S11" s="87">
        <f>ROUND(SUM('Debt-Gen'!W43:X48),-3)</f>
        <v>1349000</v>
      </c>
      <c r="T11" s="87">
        <f>ROUND(SUM('Debt-Gen'!Y43:Z48),-3)</f>
        <v>1349000</v>
      </c>
      <c r="U11" s="87">
        <f>ROUND(SUM('Debt-Gen'!AA43:AB48),-3)</f>
        <v>1195000</v>
      </c>
      <c r="V11" s="87">
        <f>ROUND(SUM('Debt-Gen'!AC43:AD48),-3)</f>
        <v>750000</v>
      </c>
      <c r="W11" s="87">
        <f>ROUND(SUM('Debt-Gen'!AE43:AF48),-3)</f>
        <v>750000</v>
      </c>
      <c r="X11" s="87"/>
      <c r="Y11" s="87"/>
      <c r="AJ11" t="s">
        <v>4439</v>
      </c>
      <c r="AK11" s="87">
        <v>0</v>
      </c>
      <c r="AL11" s="87">
        <v>0</v>
      </c>
      <c r="AM11" s="87">
        <v>0</v>
      </c>
      <c r="AN11" s="87">
        <v>0</v>
      </c>
      <c r="AO11" s="87">
        <v>0</v>
      </c>
    </row>
    <row r="12" spans="1:48" x14ac:dyDescent="0.2">
      <c r="A12" s="779" t="s">
        <v>4425</v>
      </c>
      <c r="I12" s="63">
        <f>284000+29000</f>
        <v>313000</v>
      </c>
      <c r="J12" s="63">
        <v>450000</v>
      </c>
      <c r="K12" s="63">
        <v>302000</v>
      </c>
      <c r="L12" s="63">
        <f>ROUND(K12*Assumptions!F5+K12,-3)</f>
        <v>309000</v>
      </c>
      <c r="M12" s="63">
        <f>ROUND(L12*Assumptions!G5+L12,-3)</f>
        <v>315000</v>
      </c>
      <c r="N12" s="63">
        <f>ROUND(M12*Assumptions!H5+M12,-3)</f>
        <v>320000</v>
      </c>
      <c r="O12" s="63">
        <f>ROUND(N12*Assumptions!I5+N12,-3)</f>
        <v>328000</v>
      </c>
      <c r="P12" s="63">
        <f>ROUND(O12*Assumptions!J5+O12,-3)</f>
        <v>336000</v>
      </c>
      <c r="Q12" s="63">
        <f>ROUND(P12*Assumptions!K5+P12,-3)</f>
        <v>344000</v>
      </c>
      <c r="R12" s="63">
        <f>ROUND(Q12*Assumptions!L5+Q12,-3)</f>
        <v>351000</v>
      </c>
      <c r="S12" s="63">
        <f>ROUND(R12*Assumptions!M5+R12,-3)</f>
        <v>358000</v>
      </c>
      <c r="T12" s="63">
        <f>ROUND(S12*Assumptions!N5+S12,-3)</f>
        <v>365000</v>
      </c>
      <c r="U12" s="63">
        <f>ROUND(T12*Assumptions!O5+T12,-3)</f>
        <v>372000</v>
      </c>
      <c r="V12" s="63">
        <f>ROUND(U12*Assumptions!P5+U12,-3)</f>
        <v>379000</v>
      </c>
      <c r="W12" s="63">
        <f>ROUND(V12*Assumptions!Q5+V12,-3)</f>
        <v>387000</v>
      </c>
      <c r="X12" s="63"/>
      <c r="Y12" s="63"/>
      <c r="Z12" t="s">
        <v>4424</v>
      </c>
      <c r="AJ12" s="1576" t="s">
        <v>4442</v>
      </c>
      <c r="AK12" s="1575" t="s">
        <v>1668</v>
      </c>
      <c r="AL12" s="1575" t="s">
        <v>943</v>
      </c>
      <c r="AM12" s="1575" t="s">
        <v>897</v>
      </c>
      <c r="AN12" s="1575" t="s">
        <v>2072</v>
      </c>
      <c r="AO12" s="1575" t="s">
        <v>1614</v>
      </c>
      <c r="AQ12" s="1576" t="s">
        <v>4450</v>
      </c>
      <c r="AR12" s="1575" t="s">
        <v>1668</v>
      </c>
      <c r="AS12" s="1575" t="s">
        <v>943</v>
      </c>
      <c r="AT12" s="1575" t="s">
        <v>897</v>
      </c>
      <c r="AU12" s="1575" t="s">
        <v>2072</v>
      </c>
      <c r="AV12" s="1575" t="s">
        <v>1614</v>
      </c>
    </row>
    <row r="13" spans="1:48" x14ac:dyDescent="0.2">
      <c r="A13" t="s">
        <v>2057</v>
      </c>
      <c r="I13" s="63">
        <v>40000</v>
      </c>
      <c r="J13" s="63">
        <v>41000</v>
      </c>
      <c r="K13" s="63">
        <v>42000</v>
      </c>
      <c r="L13" s="63">
        <f>ROUND(K13*Assumptions!F$5+K13,-3)</f>
        <v>43000</v>
      </c>
      <c r="M13" s="63">
        <f>ROUND(L13*Assumptions!G$5+L13,-3)</f>
        <v>44000</v>
      </c>
      <c r="N13" s="63">
        <f>ROUND(M13*Assumptions!H$5+M13,-3)</f>
        <v>45000</v>
      </c>
      <c r="O13" s="63">
        <f>ROUND(N13*Assumptions!I$5+N13,-3)</f>
        <v>46000</v>
      </c>
      <c r="P13" s="63">
        <f>ROUND(O13*Assumptions!J$5+O13,-3)</f>
        <v>47000</v>
      </c>
      <c r="Q13" s="63">
        <f>ROUND(P13*Assumptions!K$5+P13,-3)</f>
        <v>48000</v>
      </c>
      <c r="R13" s="63">
        <f>ROUND(Q13*Assumptions!L$5+Q13,-3)</f>
        <v>49000</v>
      </c>
      <c r="S13" s="63">
        <f>ROUND(R13*Assumptions!M$5+R13,-3)</f>
        <v>50000</v>
      </c>
      <c r="T13" s="63">
        <f>ROUND(S13*Assumptions!N$5+S13,-3)</f>
        <v>51000</v>
      </c>
      <c r="U13" s="63">
        <f>ROUND(T13*Assumptions!O$5+T13,-3)</f>
        <v>52000</v>
      </c>
      <c r="V13" s="63">
        <f>ROUND(U13*Assumptions!P$5+U13,-3)</f>
        <v>53000</v>
      </c>
      <c r="W13" s="63">
        <f>ROUND(V13*Assumptions!Q$5+V13,-3)</f>
        <v>54000</v>
      </c>
      <c r="X13" s="63"/>
      <c r="Y13" s="63"/>
      <c r="Z13" s="17">
        <v>284000</v>
      </c>
      <c r="AA13" s="17">
        <f>ROUND(Z13*1.03,-3)</f>
        <v>293000</v>
      </c>
      <c r="AB13" s="17">
        <f t="shared" ref="AB13:AH13" si="9">ROUND(AA13*1.03,-3)</f>
        <v>302000</v>
      </c>
      <c r="AC13" s="17">
        <f t="shared" si="9"/>
        <v>311000</v>
      </c>
      <c r="AD13" s="17">
        <f t="shared" si="9"/>
        <v>320000</v>
      </c>
      <c r="AE13" s="17">
        <f t="shared" si="9"/>
        <v>330000</v>
      </c>
      <c r="AF13" s="17">
        <f t="shared" si="9"/>
        <v>340000</v>
      </c>
      <c r="AG13" s="17">
        <f t="shared" si="9"/>
        <v>350000</v>
      </c>
      <c r="AH13" s="17">
        <f t="shared" si="9"/>
        <v>361000</v>
      </c>
      <c r="AJ13" s="1" t="s">
        <v>4440</v>
      </c>
      <c r="AK13" s="118">
        <v>2902000</v>
      </c>
      <c r="AL13" s="118">
        <v>3504000</v>
      </c>
      <c r="AM13" s="118">
        <v>3609000</v>
      </c>
      <c r="AN13" s="118">
        <v>3717000</v>
      </c>
      <c r="AO13" s="118">
        <v>3829000</v>
      </c>
      <c r="AR13" s="63">
        <f>I4</f>
        <v>2902000</v>
      </c>
      <c r="AS13" s="63">
        <f>J4</f>
        <v>3504000</v>
      </c>
      <c r="AT13" s="63">
        <f>K4</f>
        <v>3609000</v>
      </c>
      <c r="AU13" s="63">
        <f>L4</f>
        <v>3717000</v>
      </c>
      <c r="AV13" s="63">
        <f>M4</f>
        <v>3829000</v>
      </c>
    </row>
    <row r="14" spans="1:48" x14ac:dyDescent="0.2">
      <c r="A14" t="s">
        <v>2058</v>
      </c>
      <c r="I14" s="63">
        <v>33000</v>
      </c>
      <c r="J14" s="63">
        <v>34000</v>
      </c>
      <c r="K14" s="63">
        <v>35000</v>
      </c>
      <c r="L14" s="63">
        <f>ROUND(K14*Assumptions!F$5+K14,-3)</f>
        <v>36000</v>
      </c>
      <c r="M14" s="63">
        <f>ROUND(L14*Assumptions!G$5+L14,-3)</f>
        <v>37000</v>
      </c>
      <c r="N14" s="63">
        <f>ROUND(M14*Assumptions!H$5+M14,-3)</f>
        <v>38000</v>
      </c>
      <c r="O14" s="63">
        <f>ROUND(N14*Assumptions!I$5+N14,-3)</f>
        <v>39000</v>
      </c>
      <c r="P14" s="63">
        <f>ROUND(O14*Assumptions!J$5+O14,-3)</f>
        <v>40000</v>
      </c>
      <c r="Q14" s="63">
        <f>ROUND(P14*Assumptions!K$5+P14,-3)</f>
        <v>41000</v>
      </c>
      <c r="R14" s="63">
        <f>ROUND(Q14*Assumptions!L$5+Q14,-3)</f>
        <v>42000</v>
      </c>
      <c r="S14" s="63">
        <f>ROUND(R14*Assumptions!M$5+R14,-3)</f>
        <v>43000</v>
      </c>
      <c r="T14" s="63">
        <f>ROUND(S14*Assumptions!N$5+S14,-3)</f>
        <v>44000</v>
      </c>
      <c r="U14" s="63">
        <f>ROUND(T14*Assumptions!O$5+T14,-3)</f>
        <v>45000</v>
      </c>
      <c r="V14" s="63">
        <f>ROUND(U14*Assumptions!P$5+U14,-3)</f>
        <v>46000</v>
      </c>
      <c r="W14" s="63">
        <f>ROUND(V14*Assumptions!Q$5+V14,-3)</f>
        <v>47000</v>
      </c>
      <c r="X14" s="63"/>
      <c r="Y14" s="63"/>
      <c r="Z14" s="1574" t="str">
        <f t="shared" ref="Z14:AH14" si="10">I6</f>
        <v>2012/13</v>
      </c>
      <c r="AA14" s="1574" t="str">
        <f t="shared" si="10"/>
        <v>2013/14</v>
      </c>
      <c r="AB14" s="1574" t="str">
        <f t="shared" si="10"/>
        <v>2014/15</v>
      </c>
      <c r="AC14" s="1574" t="str">
        <f t="shared" si="10"/>
        <v>2015/16</v>
      </c>
      <c r="AD14" s="1574" t="str">
        <f t="shared" si="10"/>
        <v>2016/17</v>
      </c>
      <c r="AE14" s="1574" t="str">
        <f t="shared" si="10"/>
        <v>2017/18</v>
      </c>
      <c r="AF14" s="1574" t="str">
        <f t="shared" si="10"/>
        <v>2018/19</v>
      </c>
      <c r="AG14" s="1574" t="str">
        <f t="shared" si="10"/>
        <v>2019/20</v>
      </c>
      <c r="AH14" s="1574" t="str">
        <f t="shared" si="10"/>
        <v>2020/21</v>
      </c>
      <c r="AI14" s="17"/>
      <c r="AJ14" s="4"/>
      <c r="AK14" s="4"/>
      <c r="AL14" s="4"/>
      <c r="AM14" s="4"/>
      <c r="AN14" s="4"/>
      <c r="AO14" s="4"/>
    </row>
    <row r="15" spans="1:48" x14ac:dyDescent="0.2">
      <c r="A15" t="s">
        <v>3062</v>
      </c>
      <c r="I15" s="63">
        <v>24000</v>
      </c>
      <c r="J15" s="63">
        <v>25000</v>
      </c>
      <c r="K15" s="63">
        <v>26000</v>
      </c>
      <c r="L15" s="63">
        <f>ROUND(K15*Assumptions!F$5+K15,-3)</f>
        <v>27000</v>
      </c>
      <c r="M15" s="63">
        <f>ROUND(L15*Assumptions!G$5+L15,-3)</f>
        <v>28000</v>
      </c>
      <c r="N15" s="63">
        <f>ROUND(M15*Assumptions!H$5+M15,-3)</f>
        <v>28000</v>
      </c>
      <c r="O15" s="63">
        <f>ROUND(N15*Assumptions!I$5+N15,-3)</f>
        <v>29000</v>
      </c>
      <c r="P15" s="63">
        <f>ROUND(O15*Assumptions!J$5+O15,-3)</f>
        <v>30000</v>
      </c>
      <c r="Q15" s="63">
        <f>ROUND(P15*Assumptions!K$5+P15,-3)</f>
        <v>31000</v>
      </c>
      <c r="R15" s="63">
        <f>ROUND(Q15*Assumptions!L$5+Q15,-3)</f>
        <v>32000</v>
      </c>
      <c r="S15" s="63">
        <f>ROUND(R15*Assumptions!M$5+R15,-3)</f>
        <v>33000</v>
      </c>
      <c r="T15" s="63">
        <f>ROUND(S15*Assumptions!N$5+S15,-3)</f>
        <v>34000</v>
      </c>
      <c r="U15" s="63">
        <f>ROUND(T15*Assumptions!O$5+T15,-3)</f>
        <v>35000</v>
      </c>
      <c r="V15" s="63">
        <f>ROUND(U15*Assumptions!P$5+U15,-3)</f>
        <v>36000</v>
      </c>
      <c r="W15" s="63">
        <f>ROUND(V15*Assumptions!Q$5+V15,-3)</f>
        <v>37000</v>
      </c>
      <c r="X15" s="63"/>
      <c r="Y15" s="63"/>
      <c r="AJ15" s="1" t="s">
        <v>2535</v>
      </c>
    </row>
    <row r="16" spans="1:48" x14ac:dyDescent="0.2">
      <c r="A16" t="s">
        <v>2059</v>
      </c>
      <c r="I16" s="63">
        <v>40000</v>
      </c>
      <c r="J16" s="63">
        <v>41000</v>
      </c>
      <c r="K16" s="63">
        <v>42000</v>
      </c>
      <c r="L16" s="63">
        <f>ROUND(K16*Assumptions!F$5+K16,-3)</f>
        <v>43000</v>
      </c>
      <c r="M16" s="63">
        <f>ROUND(L16*Assumptions!G$5+L16,-3)</f>
        <v>44000</v>
      </c>
      <c r="N16" s="63">
        <f>ROUND(M16*Assumptions!H$5+M16,-3)</f>
        <v>45000</v>
      </c>
      <c r="O16" s="63">
        <f>ROUND(N16*Assumptions!I$5+N16,-3)</f>
        <v>46000</v>
      </c>
      <c r="P16" s="63">
        <f>ROUND(O16*Assumptions!J$5+O16,-3)</f>
        <v>47000</v>
      </c>
      <c r="Q16" s="63">
        <f>ROUND(P16*Assumptions!K$5+P16,-3)</f>
        <v>48000</v>
      </c>
      <c r="R16" s="63">
        <f>ROUND(Q16*Assumptions!L$5+Q16,-3)</f>
        <v>49000</v>
      </c>
      <c r="S16" s="63">
        <f>ROUND(R16*Assumptions!M$5+R16,-3)</f>
        <v>50000</v>
      </c>
      <c r="T16" s="63">
        <f>ROUND(S16*Assumptions!N$5+S16,-3)</f>
        <v>51000</v>
      </c>
      <c r="U16" s="63">
        <f>ROUND(T16*Assumptions!O$5+T16,-3)</f>
        <v>52000</v>
      </c>
      <c r="V16" s="63">
        <f>ROUND(U16*Assumptions!P$5+U16,-3)</f>
        <v>53000</v>
      </c>
      <c r="W16" s="63">
        <f>ROUND(V16*Assumptions!Q$5+V16,-3)</f>
        <v>54000</v>
      </c>
      <c r="X16" s="63"/>
      <c r="Y16" s="63"/>
      <c r="AJ16" s="779" t="s">
        <v>2275</v>
      </c>
      <c r="AK16" s="87">
        <v>1879000</v>
      </c>
      <c r="AL16" s="87">
        <v>2142000</v>
      </c>
      <c r="AM16" s="87">
        <v>2100000</v>
      </c>
      <c r="AN16" s="87">
        <v>2135000</v>
      </c>
      <c r="AO16" s="87">
        <v>2233000</v>
      </c>
      <c r="AR16" s="63">
        <f>AR50</f>
        <v>1892000</v>
      </c>
      <c r="AS16" s="63">
        <f t="shared" ref="AS16:AV16" si="11">AS50</f>
        <v>2005000</v>
      </c>
      <c r="AT16" s="63">
        <f t="shared" si="11"/>
        <v>2302000</v>
      </c>
      <c r="AU16" s="63">
        <f t="shared" si="11"/>
        <v>1472000</v>
      </c>
      <c r="AV16" s="63">
        <f t="shared" si="11"/>
        <v>3412100</v>
      </c>
    </row>
    <row r="17" spans="1:48" x14ac:dyDescent="0.2">
      <c r="A17" t="s">
        <v>2525</v>
      </c>
      <c r="I17" s="63">
        <v>-19000</v>
      </c>
      <c r="J17" s="63">
        <v>-20000</v>
      </c>
      <c r="K17" s="63">
        <v>-21000</v>
      </c>
      <c r="L17" s="63">
        <f>ROUND(K17*Assumptions!F$5+K17,-3)</f>
        <v>-22000</v>
      </c>
      <c r="M17" s="63">
        <f>ROUND(L17*Assumptions!G$5+L17,-3)</f>
        <v>-22000</v>
      </c>
      <c r="N17" s="63">
        <f>ROUND(M17*Assumptions!H$5+M17,-3)</f>
        <v>-22000</v>
      </c>
      <c r="O17" s="63">
        <f>ROUND(N17*Assumptions!I$5+N17,-3)</f>
        <v>-23000</v>
      </c>
      <c r="P17" s="63">
        <f>ROUND(O17*Assumptions!J$5+O17,-3)</f>
        <v>-24000</v>
      </c>
      <c r="Q17" s="63">
        <f>ROUND(P17*Assumptions!K$5+P17,-3)</f>
        <v>-25000</v>
      </c>
      <c r="R17" s="63">
        <f>ROUND(Q17*Assumptions!L$5+Q17,-3)</f>
        <v>-26000</v>
      </c>
      <c r="S17" s="63">
        <f>ROUND(R17*Assumptions!M$5+R17,-3)</f>
        <v>-27000</v>
      </c>
      <c r="T17" s="63">
        <f>ROUND(S17*Assumptions!N$5+S17,-3)</f>
        <v>-28000</v>
      </c>
      <c r="U17" s="63">
        <f>ROUND(T17*Assumptions!O$5+T17,-3)</f>
        <v>-29000</v>
      </c>
      <c r="V17" s="63">
        <f>ROUND(U17*Assumptions!P$5+U17,-3)</f>
        <v>-30000</v>
      </c>
      <c r="W17" s="63">
        <f>ROUND(V17*Assumptions!Q$5+V17,-3)</f>
        <v>-31000</v>
      </c>
      <c r="X17" s="63"/>
      <c r="Y17" s="63"/>
      <c r="AJ17" s="779" t="s">
        <v>2276</v>
      </c>
      <c r="AK17" s="87">
        <v>256000</v>
      </c>
      <c r="AL17" s="87">
        <v>256000</v>
      </c>
      <c r="AM17" s="87">
        <v>256000</v>
      </c>
      <c r="AN17" s="87">
        <v>256000</v>
      </c>
      <c r="AO17" s="87">
        <v>256000</v>
      </c>
      <c r="AR17" s="63">
        <f t="shared" ref="AR17:AV17" si="12">AR51</f>
        <v>256000</v>
      </c>
      <c r="AS17" s="63">
        <f t="shared" si="12"/>
        <v>256000</v>
      </c>
      <c r="AT17" s="63">
        <f t="shared" si="12"/>
        <v>256000</v>
      </c>
      <c r="AU17" s="63">
        <f t="shared" si="12"/>
        <v>260000</v>
      </c>
      <c r="AV17" s="63">
        <f t="shared" si="12"/>
        <v>260000</v>
      </c>
    </row>
    <row r="18" spans="1:48" x14ac:dyDescent="0.2">
      <c r="A18" t="s">
        <v>2060</v>
      </c>
      <c r="I18" s="63">
        <v>65000</v>
      </c>
      <c r="J18" s="63">
        <v>67000</v>
      </c>
      <c r="K18" s="63">
        <v>69000</v>
      </c>
      <c r="L18" s="63">
        <f>ROUND(K18*Assumptions!F$5+K18,-3)</f>
        <v>71000</v>
      </c>
      <c r="M18" s="63">
        <f>ROUND(L18*Assumptions!G$5+L18,-3)</f>
        <v>72000</v>
      </c>
      <c r="N18" s="63">
        <f>ROUND(M18*Assumptions!H$5+M18,-3)</f>
        <v>73000</v>
      </c>
      <c r="O18" s="63">
        <f>ROUND(N18*Assumptions!I$5+N18,-3)</f>
        <v>75000</v>
      </c>
      <c r="P18" s="63">
        <f>ROUND(O18*Assumptions!J$5+O18,-3)</f>
        <v>77000</v>
      </c>
      <c r="Q18" s="63">
        <f>ROUND(P18*Assumptions!K$5+P18,-3)</f>
        <v>79000</v>
      </c>
      <c r="R18" s="63">
        <f>ROUND(Q18*Assumptions!L$5+Q18,-3)</f>
        <v>81000</v>
      </c>
      <c r="S18" s="63">
        <f>ROUND(R18*Assumptions!M$5+R18,-3)</f>
        <v>83000</v>
      </c>
      <c r="T18" s="63">
        <f>ROUND(S18*Assumptions!N$5+S18,-3)</f>
        <v>85000</v>
      </c>
      <c r="U18" s="63">
        <f>ROUND(T18*Assumptions!O$5+T18,-3)</f>
        <v>87000</v>
      </c>
      <c r="V18" s="63">
        <f>ROUND(U18*Assumptions!P$5+U18,-3)</f>
        <v>89000</v>
      </c>
      <c r="W18" s="63">
        <f>ROUND(V18*Assumptions!Q$5+V18,-3)</f>
        <v>91000</v>
      </c>
      <c r="X18" s="63"/>
      <c r="Y18" s="63"/>
      <c r="AJ18" s="779" t="s">
        <v>4443</v>
      </c>
      <c r="AK18" s="87">
        <v>128000</v>
      </c>
      <c r="AL18" s="87">
        <v>64000</v>
      </c>
      <c r="AM18" s="87">
        <v>64000</v>
      </c>
      <c r="AN18" s="87">
        <v>64000</v>
      </c>
      <c r="AO18" s="87">
        <v>0</v>
      </c>
      <c r="AR18" s="63">
        <f t="shared" ref="AR18:AV18" si="13">AR52</f>
        <v>128000</v>
      </c>
      <c r="AS18" s="63">
        <f t="shared" si="13"/>
        <v>64000</v>
      </c>
      <c r="AT18" s="63">
        <f t="shared" si="13"/>
        <v>64000</v>
      </c>
      <c r="AU18" s="63">
        <f t="shared" si="13"/>
        <v>65000</v>
      </c>
      <c r="AV18" s="63">
        <f t="shared" si="13"/>
        <v>0</v>
      </c>
    </row>
    <row r="19" spans="1:48" x14ac:dyDescent="0.2">
      <c r="A19" t="s">
        <v>2526</v>
      </c>
      <c r="I19" s="63">
        <v>-40500</v>
      </c>
      <c r="J19" s="63">
        <v>-42000</v>
      </c>
      <c r="K19" s="63">
        <v>-43000</v>
      </c>
      <c r="L19" s="63">
        <f>ROUND(K19*Assumptions!F$5+K19,-3)</f>
        <v>-44000</v>
      </c>
      <c r="M19" s="63">
        <f>ROUND(L19*Assumptions!G$5+L19,-3)</f>
        <v>-45000</v>
      </c>
      <c r="N19" s="63">
        <f>ROUND(M19*Assumptions!H$5+M19,-3)</f>
        <v>-46000</v>
      </c>
      <c r="O19" s="63">
        <f>ROUND(N19*Assumptions!I$5+N19,-3)</f>
        <v>-47000</v>
      </c>
      <c r="P19" s="63">
        <f>ROUND(O19*Assumptions!J$5+O19,-3)</f>
        <v>-48000</v>
      </c>
      <c r="Q19" s="63">
        <f>ROUND(P19*Assumptions!K$5+P19,-3)</f>
        <v>-49000</v>
      </c>
      <c r="R19" s="63">
        <f>ROUND(Q19*Assumptions!L$5+Q19,-3)</f>
        <v>-50000</v>
      </c>
      <c r="S19" s="63">
        <f>ROUND(R19*Assumptions!M$5+R19,-3)</f>
        <v>-51000</v>
      </c>
      <c r="T19" s="63">
        <f>ROUND(S19*Assumptions!N$5+S19,-3)</f>
        <v>-52000</v>
      </c>
      <c r="U19" s="63">
        <f>ROUND(T19*Assumptions!O$5+T19,-3)</f>
        <v>-53000</v>
      </c>
      <c r="V19" s="63">
        <f>ROUND(U19*Assumptions!P$5+U19,-3)</f>
        <v>-54000</v>
      </c>
      <c r="W19" s="63">
        <f>ROUND(V19*Assumptions!Q$5+V19,-3)</f>
        <v>-55000</v>
      </c>
      <c r="X19" s="63"/>
      <c r="Y19" s="63"/>
      <c r="AJ19" s="779" t="s">
        <v>1573</v>
      </c>
      <c r="AK19" s="87">
        <v>441000</v>
      </c>
      <c r="AL19" s="87">
        <v>932000</v>
      </c>
      <c r="AM19" s="87">
        <v>932000</v>
      </c>
      <c r="AN19" s="87">
        <v>982000</v>
      </c>
      <c r="AO19" s="87">
        <v>982000</v>
      </c>
      <c r="AR19" s="63">
        <f t="shared" ref="AR19:AV19" si="14">AR55</f>
        <v>399000</v>
      </c>
      <c r="AS19" s="63">
        <f t="shared" si="14"/>
        <v>745000</v>
      </c>
      <c r="AT19" s="63">
        <f t="shared" si="14"/>
        <v>899000</v>
      </c>
      <c r="AU19" s="63">
        <f t="shared" si="14"/>
        <v>949000</v>
      </c>
      <c r="AV19" s="63">
        <f t="shared" si="14"/>
        <v>949000</v>
      </c>
    </row>
    <row r="20" spans="1:48" x14ac:dyDescent="0.2">
      <c r="A20" t="s">
        <v>2061</v>
      </c>
      <c r="I20" s="63">
        <v>68000</v>
      </c>
      <c r="J20" s="63">
        <v>70000</v>
      </c>
      <c r="K20" s="63">
        <v>72000</v>
      </c>
      <c r="L20" s="63">
        <f>ROUND(K20*Assumptions!F$5+K20,-3)</f>
        <v>74000</v>
      </c>
      <c r="M20" s="63">
        <f>ROUND(L20*Assumptions!G$5+L20,-3)</f>
        <v>75000</v>
      </c>
      <c r="N20" s="63">
        <f>ROUND(M20*Assumptions!H$5+M20,-3)</f>
        <v>76000</v>
      </c>
      <c r="O20" s="63">
        <f>ROUND(N20*Assumptions!I$5+N20,-3)</f>
        <v>78000</v>
      </c>
      <c r="P20" s="63">
        <f>ROUND(O20*Assumptions!J$5+O20,-3)</f>
        <v>80000</v>
      </c>
      <c r="Q20" s="63">
        <f>ROUND(P20*Assumptions!K$5+P20,-3)</f>
        <v>82000</v>
      </c>
      <c r="R20" s="63">
        <f>ROUND(Q20*Assumptions!L$5+Q20,-3)</f>
        <v>84000</v>
      </c>
      <c r="S20" s="63">
        <f>ROUND(R20*Assumptions!M$5+R20,-3)</f>
        <v>86000</v>
      </c>
      <c r="T20" s="63">
        <f>ROUND(S20*Assumptions!N$5+S20,-3)</f>
        <v>88000</v>
      </c>
      <c r="U20" s="63">
        <f>ROUND(T20*Assumptions!O$5+T20,-3)</f>
        <v>90000</v>
      </c>
      <c r="V20" s="63">
        <f>ROUND(U20*Assumptions!P$5+U20,-3)</f>
        <v>92000</v>
      </c>
      <c r="W20" s="63">
        <f>ROUND(V20*Assumptions!Q$5+V20,-3)</f>
        <v>94000</v>
      </c>
      <c r="X20" s="63"/>
      <c r="Y20" s="63"/>
      <c r="AJ20" s="779" t="s">
        <v>4444</v>
      </c>
      <c r="AK20" s="87">
        <v>284000</v>
      </c>
      <c r="AL20" s="87">
        <v>298000</v>
      </c>
      <c r="AM20" s="87">
        <v>313000</v>
      </c>
      <c r="AN20" s="87">
        <v>329000</v>
      </c>
      <c r="AO20" s="87">
        <v>339000</v>
      </c>
      <c r="AR20" s="63">
        <f t="shared" ref="AR20:AV20" si="15">AR57</f>
        <v>313000</v>
      </c>
      <c r="AS20" s="63">
        <f t="shared" si="15"/>
        <v>450000</v>
      </c>
      <c r="AT20" s="63">
        <f t="shared" si="15"/>
        <v>302000</v>
      </c>
      <c r="AU20" s="63">
        <f t="shared" si="15"/>
        <v>309000</v>
      </c>
      <c r="AV20" s="63">
        <f t="shared" si="15"/>
        <v>315000</v>
      </c>
    </row>
    <row r="21" spans="1:48" x14ac:dyDescent="0.2">
      <c r="A21" t="s">
        <v>2062</v>
      </c>
      <c r="I21" s="63">
        <v>92000</v>
      </c>
      <c r="J21" s="63">
        <v>95000</v>
      </c>
      <c r="K21" s="63">
        <v>98000</v>
      </c>
      <c r="L21" s="63">
        <f>ROUND(K21*Assumptions!F$5+K21,-3)</f>
        <v>100000</v>
      </c>
      <c r="M21" s="63">
        <f>ROUND(L21*Assumptions!G$5+L21,-3)</f>
        <v>102000</v>
      </c>
      <c r="N21" s="63">
        <f>ROUND(M21*Assumptions!H$5+M21,-3)</f>
        <v>104000</v>
      </c>
      <c r="O21" s="63">
        <f>ROUND(N21*Assumptions!I$5+N21,-3)</f>
        <v>107000</v>
      </c>
      <c r="P21" s="63">
        <f>ROUND(O21*Assumptions!J$5+O21,-3)</f>
        <v>110000</v>
      </c>
      <c r="Q21" s="63">
        <f>ROUND(P21*Assumptions!K$5+P21,-3)</f>
        <v>113000</v>
      </c>
      <c r="R21" s="63">
        <f>ROUND(Q21*Assumptions!L$5+Q21,-3)</f>
        <v>115000</v>
      </c>
      <c r="S21" s="63">
        <f>ROUND(R21*Assumptions!M$5+R21,-3)</f>
        <v>117000</v>
      </c>
      <c r="T21" s="63">
        <f>ROUND(S21*Assumptions!N$5+S21,-3)</f>
        <v>119000</v>
      </c>
      <c r="U21" s="63">
        <f>ROUND(T21*Assumptions!O$5+T21,-3)</f>
        <v>121000</v>
      </c>
      <c r="V21" s="63">
        <f>ROUND(U21*Assumptions!P$5+U21,-3)</f>
        <v>123000</v>
      </c>
      <c r="W21" s="63">
        <f>ROUND(V21*Assumptions!Q$5+V21,-3)</f>
        <v>125000</v>
      </c>
      <c r="X21" s="63"/>
      <c r="Y21" s="63"/>
      <c r="AJ21" t="s">
        <v>2057</v>
      </c>
      <c r="AK21" s="87">
        <v>40000</v>
      </c>
      <c r="AL21" s="87">
        <v>41000</v>
      </c>
      <c r="AM21" s="87">
        <v>42000</v>
      </c>
      <c r="AN21" s="87">
        <v>43000</v>
      </c>
      <c r="AO21" s="87">
        <v>44000</v>
      </c>
      <c r="AR21" s="63">
        <f t="shared" ref="AR21:AV21" si="16">AR58</f>
        <v>40000</v>
      </c>
      <c r="AS21" s="63">
        <f t="shared" si="16"/>
        <v>41000</v>
      </c>
      <c r="AT21" s="63">
        <f t="shared" si="16"/>
        <v>42000</v>
      </c>
      <c r="AU21" s="63">
        <f t="shared" si="16"/>
        <v>43000</v>
      </c>
      <c r="AV21" s="63">
        <f t="shared" si="16"/>
        <v>44000</v>
      </c>
    </row>
    <row r="22" spans="1:48" x14ac:dyDescent="0.2">
      <c r="A22" t="s">
        <v>2523</v>
      </c>
      <c r="I22" s="63">
        <v>-9000</v>
      </c>
      <c r="J22" s="63">
        <v>-9000</v>
      </c>
      <c r="K22" s="63">
        <v>-9000</v>
      </c>
      <c r="L22" s="63">
        <f>ROUND(K22*Assumptions!F$5+K22,-3)</f>
        <v>-9000</v>
      </c>
      <c r="M22" s="63">
        <f>ROUND(L22*Assumptions!G$5+L22,-3)</f>
        <v>-9000</v>
      </c>
      <c r="N22" s="63">
        <f>ROUND(M22*Assumptions!H$5+M22,-3)</f>
        <v>-9000</v>
      </c>
      <c r="O22" s="63">
        <f>ROUND(N22*Assumptions!I$5+N22,-3)</f>
        <v>-9000</v>
      </c>
      <c r="P22" s="63">
        <f>ROUND(O22*Assumptions!J$5+O22,-3)</f>
        <v>-9000</v>
      </c>
      <c r="Q22" s="63">
        <f>ROUND(P22*Assumptions!K$5+P22,-3)</f>
        <v>-9000</v>
      </c>
      <c r="R22" s="63">
        <f>ROUND(Q22*Assumptions!L$5+Q22,-3)</f>
        <v>-9000</v>
      </c>
      <c r="S22" s="63">
        <f>ROUND(R22*Assumptions!M$5+R22,-3)</f>
        <v>-9000</v>
      </c>
      <c r="T22" s="63">
        <f>ROUND(S22*Assumptions!N$5+S22,-3)</f>
        <v>-9000</v>
      </c>
      <c r="U22" s="63">
        <f>ROUND(T22*Assumptions!O$5+T22,-3)</f>
        <v>-9000</v>
      </c>
      <c r="V22" s="63">
        <f>ROUND(U22*Assumptions!P$5+U22,-3)</f>
        <v>-9000</v>
      </c>
      <c r="W22" s="63">
        <f>ROUND(V22*Assumptions!Q$5+V22,-3)</f>
        <v>-9000</v>
      </c>
      <c r="X22" s="63"/>
      <c r="Y22" s="63"/>
      <c r="AJ22" t="s">
        <v>2058</v>
      </c>
      <c r="AK22" s="87">
        <v>33000</v>
      </c>
      <c r="AL22" s="87">
        <v>34000</v>
      </c>
      <c r="AM22" s="87">
        <v>35000</v>
      </c>
      <c r="AN22" s="87">
        <v>36000</v>
      </c>
      <c r="AO22" s="87">
        <v>37000</v>
      </c>
      <c r="AR22" s="63">
        <f t="shared" ref="AR22:AV22" si="17">AR60</f>
        <v>33000</v>
      </c>
      <c r="AS22" s="63">
        <f t="shared" si="17"/>
        <v>34000</v>
      </c>
      <c r="AT22" s="63">
        <f t="shared" si="17"/>
        <v>35000</v>
      </c>
      <c r="AU22" s="63">
        <f t="shared" si="17"/>
        <v>36000</v>
      </c>
      <c r="AV22" s="63">
        <f t="shared" si="17"/>
        <v>37000</v>
      </c>
    </row>
    <row r="23" spans="1:48" x14ac:dyDescent="0.2">
      <c r="A23" t="s">
        <v>2377</v>
      </c>
      <c r="I23" s="63">
        <v>60000</v>
      </c>
      <c r="J23" s="63">
        <v>62000</v>
      </c>
      <c r="K23" s="63">
        <v>64000</v>
      </c>
      <c r="L23" s="63">
        <f>ROUND(K23*Assumptions!F$5+K23,-3)</f>
        <v>66000</v>
      </c>
      <c r="M23" s="63">
        <f>ROUND(L23*Assumptions!G$5+L23,-3)</f>
        <v>67000</v>
      </c>
      <c r="N23" s="63">
        <f>ROUND(M23*Assumptions!H$5+M23,-3)</f>
        <v>68000</v>
      </c>
      <c r="O23" s="63">
        <f>ROUND(N23*Assumptions!I$5+N23,-3)</f>
        <v>70000</v>
      </c>
      <c r="P23" s="63">
        <f>ROUND(O23*Assumptions!J$5+O23,-3)</f>
        <v>72000</v>
      </c>
      <c r="Q23" s="63">
        <f>ROUND(P23*Assumptions!K$5+P23,-3)</f>
        <v>74000</v>
      </c>
      <c r="R23" s="63">
        <f>ROUND(Q23*Assumptions!L$5+Q23,-3)</f>
        <v>75000</v>
      </c>
      <c r="S23" s="63">
        <f>ROUND(R23*Assumptions!M$5+R23,-3)</f>
        <v>77000</v>
      </c>
      <c r="T23" s="63">
        <f>ROUND(S23*Assumptions!N$5+S23,-3)</f>
        <v>79000</v>
      </c>
      <c r="U23" s="63">
        <f>ROUND(T23*Assumptions!O$5+T23,-3)</f>
        <v>81000</v>
      </c>
      <c r="V23" s="63">
        <f>ROUND(U23*Assumptions!P$5+U23,-3)</f>
        <v>83000</v>
      </c>
      <c r="W23" s="63">
        <f>ROUND(V23*Assumptions!Q$5+V23,-3)</f>
        <v>85000</v>
      </c>
      <c r="X23" s="63"/>
      <c r="Y23" s="63"/>
      <c r="AJ23" t="s">
        <v>4445</v>
      </c>
      <c r="AK23" s="87">
        <v>24000</v>
      </c>
      <c r="AL23" s="87">
        <v>25000</v>
      </c>
      <c r="AM23" s="87">
        <v>26000</v>
      </c>
      <c r="AN23" s="87">
        <v>27000</v>
      </c>
      <c r="AO23" s="87">
        <v>28000</v>
      </c>
      <c r="AR23" s="63">
        <f t="shared" ref="AR23:AV23" si="18">AR61</f>
        <v>24000</v>
      </c>
      <c r="AS23" s="63">
        <f t="shared" si="18"/>
        <v>25000</v>
      </c>
      <c r="AT23" s="63">
        <f t="shared" si="18"/>
        <v>26000</v>
      </c>
      <c r="AU23" s="63">
        <f t="shared" si="18"/>
        <v>27000</v>
      </c>
      <c r="AV23" s="63">
        <f t="shared" si="18"/>
        <v>28000</v>
      </c>
    </row>
    <row r="24" spans="1:48" x14ac:dyDescent="0.2">
      <c r="A24" t="s">
        <v>2524</v>
      </c>
      <c r="I24" s="63">
        <v>-73500</v>
      </c>
      <c r="J24" s="63">
        <v>-76000</v>
      </c>
      <c r="K24" s="63">
        <v>-78000</v>
      </c>
      <c r="L24" s="63">
        <f t="shared" ref="L24:W24" si="19">ROUND(K24*1.03,-3)</f>
        <v>-80000</v>
      </c>
      <c r="M24" s="63">
        <f t="shared" si="19"/>
        <v>-82000</v>
      </c>
      <c r="N24" s="63">
        <f t="shared" si="19"/>
        <v>-84000</v>
      </c>
      <c r="O24" s="63">
        <f t="shared" si="19"/>
        <v>-87000</v>
      </c>
      <c r="P24" s="63">
        <f t="shared" si="19"/>
        <v>-90000</v>
      </c>
      <c r="Q24" s="63">
        <f t="shared" si="19"/>
        <v>-93000</v>
      </c>
      <c r="R24" s="63">
        <f t="shared" si="19"/>
        <v>-96000</v>
      </c>
      <c r="S24" s="63">
        <f t="shared" si="19"/>
        <v>-99000</v>
      </c>
      <c r="T24" s="63">
        <f t="shared" si="19"/>
        <v>-102000</v>
      </c>
      <c r="U24" s="63">
        <f t="shared" si="19"/>
        <v>-105000</v>
      </c>
      <c r="V24" s="63">
        <f t="shared" si="19"/>
        <v>-108000</v>
      </c>
      <c r="W24" s="63">
        <f t="shared" si="19"/>
        <v>-111000</v>
      </c>
      <c r="X24" s="63"/>
      <c r="Y24" s="63"/>
      <c r="AJ24" t="s">
        <v>2059</v>
      </c>
      <c r="AK24" s="87">
        <v>40000</v>
      </c>
      <c r="AL24" s="87">
        <v>41000</v>
      </c>
      <c r="AM24" s="87">
        <v>42000</v>
      </c>
      <c r="AN24" s="87">
        <v>43000</v>
      </c>
      <c r="AO24" s="87">
        <v>44000</v>
      </c>
      <c r="AR24" s="63">
        <f t="shared" ref="AR24:AV24" si="20">AR62</f>
        <v>40000</v>
      </c>
      <c r="AS24" s="63">
        <f t="shared" si="20"/>
        <v>41000</v>
      </c>
      <c r="AT24" s="63">
        <f t="shared" si="20"/>
        <v>42000</v>
      </c>
      <c r="AU24" s="63">
        <f t="shared" si="20"/>
        <v>43000</v>
      </c>
      <c r="AV24" s="63">
        <f t="shared" si="20"/>
        <v>44000</v>
      </c>
    </row>
    <row r="25" spans="1:48" x14ac:dyDescent="0.2">
      <c r="A25" s="779" t="s">
        <v>529</v>
      </c>
      <c r="I25" s="210">
        <v>-110000</v>
      </c>
      <c r="J25" s="210">
        <v>-121500</v>
      </c>
      <c r="K25" s="210">
        <v>-127700</v>
      </c>
      <c r="L25" s="63">
        <f>-'Sec 94'!E56</f>
        <v>-110000</v>
      </c>
      <c r="M25" s="63">
        <f>-'Sec 94'!F56</f>
        <v>-110000</v>
      </c>
      <c r="N25" s="210">
        <f>-'Sec 94'!G56</f>
        <v>-110000</v>
      </c>
      <c r="O25" s="210">
        <f>-'Sec 94'!H56</f>
        <v>-110000</v>
      </c>
      <c r="P25" s="210">
        <f>-'Sec 94'!I56</f>
        <v>-55000</v>
      </c>
      <c r="Q25" s="210">
        <v>0</v>
      </c>
      <c r="R25" s="210">
        <f>-'Sec 94'!K56</f>
        <v>0</v>
      </c>
      <c r="S25" s="210">
        <f>-'Sec 94'!L56</f>
        <v>0</v>
      </c>
      <c r="T25" s="210">
        <f>-'Sec 94'!M56</f>
        <v>0</v>
      </c>
      <c r="U25" s="210">
        <f>-'Sec 94'!N56</f>
        <v>0</v>
      </c>
      <c r="V25" s="210">
        <f>-'Sec 94'!O56</f>
        <v>0</v>
      </c>
      <c r="W25" s="210">
        <f>-'Sec 94'!P56</f>
        <v>0</v>
      </c>
      <c r="X25" s="210"/>
      <c r="Y25" s="210"/>
      <c r="AJ25" t="s">
        <v>2525</v>
      </c>
      <c r="AK25" s="87">
        <v>-19000</v>
      </c>
      <c r="AL25" s="87">
        <v>-20000</v>
      </c>
      <c r="AM25" s="87">
        <v>-21000</v>
      </c>
      <c r="AN25" s="87">
        <v>-22000</v>
      </c>
      <c r="AO25" s="87">
        <v>-23000</v>
      </c>
      <c r="AR25" s="63">
        <f t="shared" ref="AR25:AV25" si="21">AR63</f>
        <v>-19000</v>
      </c>
      <c r="AS25" s="63">
        <f t="shared" si="21"/>
        <v>-20000</v>
      </c>
      <c r="AT25" s="63">
        <f t="shared" si="21"/>
        <v>-21000</v>
      </c>
      <c r="AU25" s="63">
        <f t="shared" si="21"/>
        <v>-22000</v>
      </c>
      <c r="AV25" s="63">
        <f t="shared" si="21"/>
        <v>-22000</v>
      </c>
    </row>
    <row r="26" spans="1:48" x14ac:dyDescent="0.2">
      <c r="A26" s="779" t="s">
        <v>1230</v>
      </c>
      <c r="I26" s="210">
        <v>-256000</v>
      </c>
      <c r="J26" s="210">
        <v>-192000</v>
      </c>
      <c r="K26" s="210">
        <v>-192000</v>
      </c>
      <c r="L26" s="210">
        <f>-'Sec 94'!E60</f>
        <v>-195000</v>
      </c>
      <c r="M26" s="210">
        <f>-'Sec 94'!F60</f>
        <v>-130000</v>
      </c>
      <c r="N26" s="210">
        <f>-'Sec 94'!G60</f>
        <v>-130000</v>
      </c>
      <c r="O26" s="210">
        <f>-'Sec 94'!H60</f>
        <v>-130000</v>
      </c>
      <c r="P26" s="210">
        <f>-'Sec 94'!I60</f>
        <v>-130000</v>
      </c>
      <c r="Q26" s="210">
        <f>-'Sec 94'!J60</f>
        <v>-130000</v>
      </c>
      <c r="R26" s="210">
        <f>-'Sec 94'!K60</f>
        <v>-130000</v>
      </c>
      <c r="S26" s="210">
        <f>-'Sec 94'!L60</f>
        <v>-130000</v>
      </c>
      <c r="T26" s="210">
        <f>-'Sec 94'!M60</f>
        <v>-130000</v>
      </c>
      <c r="U26" s="210">
        <f>-'Sec 94'!N60</f>
        <v>-130000</v>
      </c>
      <c r="V26" s="210">
        <f>-'Sec 94'!O60</f>
        <v>0</v>
      </c>
      <c r="W26" s="210">
        <f>-'Sec 94'!P60</f>
        <v>0</v>
      </c>
      <c r="X26" s="210"/>
      <c r="Y26" s="210"/>
      <c r="AJ26" t="s">
        <v>2060</v>
      </c>
      <c r="AK26" s="87">
        <v>65000</v>
      </c>
      <c r="AL26" s="87">
        <v>67000</v>
      </c>
      <c r="AM26" s="87">
        <v>69000</v>
      </c>
      <c r="AN26" s="87">
        <v>71000</v>
      </c>
      <c r="AO26" s="87">
        <v>73000</v>
      </c>
      <c r="AR26" s="63">
        <f t="shared" ref="AR26:AV26" si="22">AR64</f>
        <v>65000</v>
      </c>
      <c r="AS26" s="63">
        <f t="shared" si="22"/>
        <v>67000</v>
      </c>
      <c r="AT26" s="63">
        <f t="shared" si="22"/>
        <v>69000</v>
      </c>
      <c r="AU26" s="63">
        <f t="shared" si="22"/>
        <v>71000</v>
      </c>
      <c r="AV26" s="63">
        <f t="shared" si="22"/>
        <v>72000</v>
      </c>
    </row>
    <row r="27" spans="1:48" x14ac:dyDescent="0.2">
      <c r="A27" s="779" t="s">
        <v>4421</v>
      </c>
      <c r="E27" s="779"/>
      <c r="I27" s="63"/>
      <c r="J27" s="63"/>
      <c r="K27" s="87">
        <v>-226000</v>
      </c>
      <c r="L27" s="87">
        <f>-'Cap-Gen'!E120</f>
        <v>-318600</v>
      </c>
      <c r="M27" s="87">
        <f>-'Cap-Gen'!F120</f>
        <v>-312000</v>
      </c>
      <c r="N27" s="87">
        <f>-'Cap-Gen'!G120</f>
        <v>-324000</v>
      </c>
      <c r="O27" s="87">
        <f>-'Cap-Gen'!H120</f>
        <v>-337000</v>
      </c>
      <c r="P27" s="87">
        <f>-'Cap-Gen'!I120</f>
        <v>-350000</v>
      </c>
      <c r="Q27" s="87">
        <f>-'Cap-Gen'!J120</f>
        <v>-359000</v>
      </c>
      <c r="R27" s="87">
        <f>-'Cap-Gen'!K120</f>
        <v>-368000</v>
      </c>
      <c r="S27" s="87">
        <f>-'Cap-Gen'!L120</f>
        <v>-377000</v>
      </c>
      <c r="T27" s="87">
        <f>-'Cap-Gen'!M120</f>
        <v>-386000</v>
      </c>
      <c r="U27" s="87">
        <f>-'Cap-Gen'!N120</f>
        <v>-396000</v>
      </c>
      <c r="V27" s="87">
        <f>-'Cap-Gen'!O120</f>
        <v>-406000</v>
      </c>
      <c r="W27" s="87">
        <f>-'Cap-Gen'!P120</f>
        <v>-416000</v>
      </c>
      <c r="X27" s="87"/>
      <c r="Y27" s="87"/>
      <c r="AJ27" t="s">
        <v>2526</v>
      </c>
      <c r="AK27" s="87">
        <v>-40500</v>
      </c>
      <c r="AL27" s="87">
        <v>-42000</v>
      </c>
      <c r="AM27" s="87">
        <v>-43000</v>
      </c>
      <c r="AN27" s="87">
        <v>-44000</v>
      </c>
      <c r="AO27" s="87">
        <v>-45000</v>
      </c>
      <c r="AR27" s="63">
        <f t="shared" ref="AR27:AV27" si="23">AR65</f>
        <v>-40500</v>
      </c>
      <c r="AS27" s="63">
        <f t="shared" si="23"/>
        <v>-42000</v>
      </c>
      <c r="AT27" s="63">
        <f t="shared" si="23"/>
        <v>-43000</v>
      </c>
      <c r="AU27" s="63">
        <f t="shared" si="23"/>
        <v>-44000</v>
      </c>
      <c r="AV27" s="63">
        <f t="shared" si="23"/>
        <v>-45000</v>
      </c>
    </row>
    <row r="28" spans="1:48" x14ac:dyDescent="0.2">
      <c r="A28" s="779" t="s">
        <v>4422</v>
      </c>
      <c r="E28" s="779"/>
      <c r="I28" s="63"/>
      <c r="J28" s="63"/>
      <c r="K28" s="87">
        <v>-283000</v>
      </c>
      <c r="L28" s="87">
        <f>-'Cap-Gen'!E121</f>
        <v>-320600</v>
      </c>
      <c r="M28" s="87">
        <f>-'Cap-Gen'!F121</f>
        <v>-302000</v>
      </c>
      <c r="N28" s="87">
        <f>-'Cap-Gen'!G121</f>
        <v>-314000</v>
      </c>
      <c r="O28" s="87">
        <f>-'Cap-Gen'!H121</f>
        <v>-327000</v>
      </c>
      <c r="P28" s="87">
        <f>-'Cap-Gen'!I121</f>
        <v>-340000</v>
      </c>
      <c r="Q28" s="87">
        <f>-'Cap-Gen'!J121</f>
        <v>-349000</v>
      </c>
      <c r="R28" s="87">
        <f>-'Cap-Gen'!K121</f>
        <v>-358000</v>
      </c>
      <c r="S28" s="87">
        <f>-'Cap-Gen'!L121</f>
        <v>-367000</v>
      </c>
      <c r="T28" s="87">
        <f>-'Cap-Gen'!M121</f>
        <v>-376000</v>
      </c>
      <c r="U28" s="87">
        <f>-'Cap-Gen'!N121</f>
        <v>-385000</v>
      </c>
      <c r="V28" s="87">
        <f>-'Cap-Gen'!O121</f>
        <v>-395000</v>
      </c>
      <c r="W28" s="87">
        <f>-'Cap-Gen'!P121</f>
        <v>-405000</v>
      </c>
      <c r="X28" s="87"/>
      <c r="Y28" s="87"/>
      <c r="AJ28" t="s">
        <v>2061</v>
      </c>
      <c r="AK28" s="87">
        <v>68000</v>
      </c>
      <c r="AL28" s="87">
        <v>70000</v>
      </c>
      <c r="AM28" s="87">
        <v>72000</v>
      </c>
      <c r="AN28" s="87">
        <v>74000</v>
      </c>
      <c r="AO28" s="87">
        <v>76000</v>
      </c>
      <c r="AR28" s="63">
        <f t="shared" ref="AR28:AV28" si="24">AR66</f>
        <v>68000</v>
      </c>
      <c r="AS28" s="63">
        <f t="shared" si="24"/>
        <v>70000</v>
      </c>
      <c r="AT28" s="63">
        <f t="shared" si="24"/>
        <v>72000</v>
      </c>
      <c r="AU28" s="63">
        <f t="shared" si="24"/>
        <v>74000</v>
      </c>
      <c r="AV28" s="63">
        <f t="shared" si="24"/>
        <v>75000</v>
      </c>
    </row>
    <row r="29" spans="1:48" x14ac:dyDescent="0.2">
      <c r="A29" s="779" t="s">
        <v>4518</v>
      </c>
      <c r="E29" s="779"/>
      <c r="I29" s="63"/>
      <c r="J29" s="63"/>
      <c r="K29" s="87">
        <v>-231000</v>
      </c>
      <c r="L29" s="87">
        <f>-'Cap-Gen'!E122</f>
        <v>-277000</v>
      </c>
      <c r="M29" s="87">
        <f>-'Cap-Gen'!F122</f>
        <v>-329000</v>
      </c>
      <c r="N29" s="87">
        <f>-'Cap-Gen'!G122</f>
        <v>-342000</v>
      </c>
      <c r="O29" s="87">
        <f>-'Cap-Gen'!H122</f>
        <v>-356000</v>
      </c>
      <c r="P29" s="87">
        <f>-'Cap-Gen'!I122</f>
        <v>-370000</v>
      </c>
      <c r="Q29" s="87">
        <f>-'Cap-Gen'!J122</f>
        <v>-379000</v>
      </c>
      <c r="R29" s="87">
        <f>-'Cap-Gen'!K122</f>
        <v>-388000</v>
      </c>
      <c r="S29" s="87">
        <f>-'Cap-Gen'!L122</f>
        <v>-398000</v>
      </c>
      <c r="T29" s="87">
        <f>-'Cap-Gen'!M122</f>
        <v>-408000</v>
      </c>
      <c r="U29" s="87">
        <f>-'Cap-Gen'!N122</f>
        <v>-418000</v>
      </c>
      <c r="V29" s="87">
        <f>-'Cap-Gen'!O122</f>
        <v>-428000</v>
      </c>
      <c r="W29" s="87">
        <f>-'Cap-Gen'!P122</f>
        <v>-439000</v>
      </c>
      <c r="X29" s="87"/>
      <c r="Y29" s="87"/>
      <c r="AJ29" t="s">
        <v>2526</v>
      </c>
      <c r="AK29" s="87">
        <v>-40500</v>
      </c>
      <c r="AL29" s="87">
        <v>-42000</v>
      </c>
      <c r="AM29" s="87">
        <v>-43000</v>
      </c>
      <c r="AN29" s="87">
        <v>-44000</v>
      </c>
      <c r="AO29" s="87">
        <v>-45000</v>
      </c>
      <c r="AR29" s="63">
        <f t="shared" ref="AR29:AV29" si="25">AR67</f>
        <v>92000</v>
      </c>
      <c r="AS29" s="63">
        <f t="shared" si="25"/>
        <v>95000</v>
      </c>
      <c r="AT29" s="63">
        <f t="shared" si="25"/>
        <v>98000</v>
      </c>
      <c r="AU29" s="63">
        <f t="shared" si="25"/>
        <v>100000</v>
      </c>
      <c r="AV29" s="63">
        <f t="shared" si="25"/>
        <v>102000</v>
      </c>
    </row>
    <row r="30" spans="1:48" x14ac:dyDescent="0.2">
      <c r="A30" s="779" t="s">
        <v>4519</v>
      </c>
      <c r="E30" s="779"/>
      <c r="I30" s="63"/>
      <c r="J30" s="63"/>
      <c r="K30" s="87">
        <v>-137000</v>
      </c>
      <c r="L30" s="87">
        <f>-'Cap-Gen'!E123</f>
        <v>-175500</v>
      </c>
      <c r="M30" s="87">
        <f>-'Cap-Gen'!F123</f>
        <v>-168000</v>
      </c>
      <c r="N30" s="87">
        <f>-'Cap-Gen'!G123</f>
        <v>-175000</v>
      </c>
      <c r="O30" s="87">
        <f>-'Cap-Gen'!H123</f>
        <v>-182000</v>
      </c>
      <c r="P30" s="87">
        <f>-'Cap-Gen'!I123</f>
        <v>-189000</v>
      </c>
      <c r="Q30" s="87">
        <f>-'Cap-Gen'!J123</f>
        <v>-194000</v>
      </c>
      <c r="R30" s="87">
        <f>-'Cap-Gen'!K123</f>
        <v>-199000</v>
      </c>
      <c r="S30" s="87">
        <f>-'Cap-Gen'!L123</f>
        <v>-204000</v>
      </c>
      <c r="T30" s="87">
        <f>-'Cap-Gen'!M123</f>
        <v>-209000</v>
      </c>
      <c r="U30" s="87">
        <f>-'Cap-Gen'!N123</f>
        <v>-214000</v>
      </c>
      <c r="V30" s="87">
        <f>-'Cap-Gen'!O123</f>
        <v>-219000</v>
      </c>
      <c r="W30" s="87">
        <f>-'Cap-Gen'!P123</f>
        <v>-224000</v>
      </c>
      <c r="X30" s="87"/>
      <c r="Y30" s="87"/>
      <c r="AJ30" t="s">
        <v>2061</v>
      </c>
      <c r="AK30" s="87">
        <v>68000</v>
      </c>
      <c r="AL30" s="87">
        <v>70000</v>
      </c>
      <c r="AM30" s="87">
        <v>72000</v>
      </c>
      <c r="AN30" s="87">
        <v>74000</v>
      </c>
      <c r="AO30" s="87">
        <v>76000</v>
      </c>
      <c r="AR30" s="63">
        <f t="shared" ref="AR30:AV30" si="26">AR68</f>
        <v>-9000</v>
      </c>
      <c r="AS30" s="63">
        <f t="shared" si="26"/>
        <v>-9000</v>
      </c>
      <c r="AT30" s="63">
        <f t="shared" si="26"/>
        <v>-9000</v>
      </c>
      <c r="AU30" s="63">
        <f t="shared" si="26"/>
        <v>-9000</v>
      </c>
      <c r="AV30" s="63">
        <f t="shared" si="26"/>
        <v>-9000</v>
      </c>
    </row>
    <row r="31" spans="1:48" x14ac:dyDescent="0.2">
      <c r="A31" s="779" t="s">
        <v>6957</v>
      </c>
      <c r="E31" s="779"/>
      <c r="I31" s="63"/>
      <c r="J31" s="63"/>
      <c r="K31" s="87"/>
      <c r="L31" s="87"/>
      <c r="M31" s="87"/>
      <c r="N31" s="87">
        <v>200000</v>
      </c>
      <c r="O31" s="87">
        <f>N31</f>
        <v>200000</v>
      </c>
      <c r="P31" s="87">
        <f t="shared" ref="P31:W31" si="27">O31</f>
        <v>200000</v>
      </c>
      <c r="Q31" s="87">
        <f>P31</f>
        <v>200000</v>
      </c>
      <c r="R31" s="87">
        <f t="shared" si="27"/>
        <v>200000</v>
      </c>
      <c r="S31" s="87">
        <f t="shared" si="27"/>
        <v>200000</v>
      </c>
      <c r="T31" s="87">
        <f t="shared" si="27"/>
        <v>200000</v>
      </c>
      <c r="U31" s="87">
        <f t="shared" si="27"/>
        <v>200000</v>
      </c>
      <c r="V31" s="87">
        <f t="shared" si="27"/>
        <v>200000</v>
      </c>
      <c r="W31" s="87">
        <f t="shared" si="27"/>
        <v>200000</v>
      </c>
      <c r="X31" s="87"/>
      <c r="Y31" s="87"/>
      <c r="AK31" s="87"/>
      <c r="AL31" s="87"/>
      <c r="AM31" s="87"/>
      <c r="AN31" s="87"/>
      <c r="AO31" s="87"/>
      <c r="AR31" s="63"/>
      <c r="AS31" s="63"/>
      <c r="AT31" s="63"/>
      <c r="AU31" s="63"/>
      <c r="AV31" s="63"/>
    </row>
    <row r="32" spans="1:48" x14ac:dyDescent="0.2">
      <c r="A32" s="779" t="s">
        <v>4429</v>
      </c>
      <c r="I32" s="63"/>
      <c r="J32" s="63"/>
      <c r="K32" s="63">
        <v>358000</v>
      </c>
      <c r="L32" s="63">
        <v>-100000</v>
      </c>
      <c r="M32" s="63"/>
      <c r="N32" s="63"/>
      <c r="O32" s="63"/>
      <c r="P32" s="63"/>
      <c r="Q32" s="63"/>
      <c r="R32" s="63"/>
      <c r="S32" s="63"/>
      <c r="T32" s="63"/>
      <c r="U32" s="63"/>
      <c r="V32" s="63"/>
      <c r="W32" s="63"/>
      <c r="X32" s="63"/>
      <c r="Y32" s="63"/>
      <c r="AJ32" t="s">
        <v>2062</v>
      </c>
      <c r="AK32" s="87">
        <v>92000</v>
      </c>
      <c r="AL32" s="87">
        <v>95000</v>
      </c>
      <c r="AM32" s="87">
        <v>98000</v>
      </c>
      <c r="AN32" s="87">
        <v>101000</v>
      </c>
      <c r="AO32" s="87">
        <v>104000</v>
      </c>
      <c r="AR32" s="63">
        <f t="shared" ref="AR32:AV32" si="28">AR67</f>
        <v>92000</v>
      </c>
      <c r="AS32" s="63">
        <f t="shared" si="28"/>
        <v>95000</v>
      </c>
      <c r="AT32" s="63">
        <f t="shared" si="28"/>
        <v>98000</v>
      </c>
      <c r="AU32" s="63">
        <f t="shared" si="28"/>
        <v>100000</v>
      </c>
      <c r="AV32" s="63">
        <f t="shared" si="28"/>
        <v>102000</v>
      </c>
    </row>
    <row r="33" spans="1:48" x14ac:dyDescent="0.2">
      <c r="A33" s="779" t="s">
        <v>4430</v>
      </c>
      <c r="I33" s="63"/>
      <c r="J33" s="63"/>
      <c r="K33" s="63">
        <v>30000</v>
      </c>
      <c r="L33" s="63"/>
      <c r="M33" s="63"/>
      <c r="N33" s="63"/>
      <c r="O33" s="63"/>
      <c r="P33" s="63"/>
      <c r="Q33" s="63"/>
      <c r="R33" s="63"/>
      <c r="S33" s="63"/>
      <c r="T33" s="63"/>
      <c r="U33" s="63"/>
      <c r="V33" s="63"/>
      <c r="W33" s="63"/>
      <c r="X33" s="63"/>
      <c r="Y33" s="63"/>
      <c r="AJ33" t="s">
        <v>2523</v>
      </c>
      <c r="AK33" s="87">
        <v>-9000</v>
      </c>
      <c r="AL33" s="87">
        <v>-9000</v>
      </c>
      <c r="AM33" s="87">
        <v>-9000</v>
      </c>
      <c r="AN33" s="87">
        <v>-9000</v>
      </c>
      <c r="AO33" s="87">
        <v>-9000</v>
      </c>
      <c r="AR33" s="63">
        <f t="shared" ref="AR33:AV33" si="29">AR68</f>
        <v>-9000</v>
      </c>
      <c r="AS33" s="63">
        <f t="shared" si="29"/>
        <v>-9000</v>
      </c>
      <c r="AT33" s="63">
        <f t="shared" si="29"/>
        <v>-9000</v>
      </c>
      <c r="AU33" s="63">
        <f t="shared" si="29"/>
        <v>-9000</v>
      </c>
      <c r="AV33" s="63">
        <f t="shared" si="29"/>
        <v>-9000</v>
      </c>
    </row>
    <row r="34" spans="1:48" x14ac:dyDescent="0.2">
      <c r="A34" s="779" t="s">
        <v>4431</v>
      </c>
      <c r="I34" s="63"/>
      <c r="J34" s="63"/>
      <c r="K34" s="63">
        <v>50000</v>
      </c>
      <c r="L34" s="63"/>
      <c r="M34" s="63"/>
      <c r="N34" s="63"/>
      <c r="O34" s="63"/>
      <c r="P34" s="63"/>
      <c r="Q34" s="63"/>
      <c r="R34" s="63"/>
      <c r="S34" s="63"/>
      <c r="T34" s="63"/>
      <c r="U34" s="63"/>
      <c r="V34" s="63"/>
      <c r="W34" s="63"/>
      <c r="X34" s="63"/>
      <c r="Y34" s="63"/>
      <c r="AJ34" t="s">
        <v>2377</v>
      </c>
      <c r="AK34" s="87">
        <v>60000</v>
      </c>
      <c r="AL34" s="87">
        <v>62000</v>
      </c>
      <c r="AM34" s="87">
        <v>64000</v>
      </c>
      <c r="AN34" s="87">
        <v>66000</v>
      </c>
      <c r="AO34" s="87">
        <v>68000</v>
      </c>
      <c r="AR34" s="63">
        <f t="shared" ref="AR34:AV34" si="30">AR69</f>
        <v>60000</v>
      </c>
      <c r="AS34" s="63">
        <f t="shared" si="30"/>
        <v>62000</v>
      </c>
      <c r="AT34" s="63">
        <f t="shared" si="30"/>
        <v>64000</v>
      </c>
      <c r="AU34" s="63">
        <f t="shared" si="30"/>
        <v>66000</v>
      </c>
      <c r="AV34" s="63">
        <f t="shared" si="30"/>
        <v>67000</v>
      </c>
    </row>
    <row r="35" spans="1:48" x14ac:dyDescent="0.2">
      <c r="A35" t="s">
        <v>3476</v>
      </c>
      <c r="I35" s="63">
        <v>0</v>
      </c>
      <c r="J35" s="63">
        <v>9000</v>
      </c>
      <c r="K35" s="63">
        <v>0</v>
      </c>
      <c r="L35" s="63">
        <v>0</v>
      </c>
      <c r="M35" s="63">
        <v>0</v>
      </c>
      <c r="N35" s="63">
        <v>0</v>
      </c>
      <c r="O35" s="63">
        <v>0</v>
      </c>
      <c r="P35" s="63">
        <v>0</v>
      </c>
      <c r="Q35" s="63">
        <v>0</v>
      </c>
      <c r="R35" s="63">
        <v>0</v>
      </c>
      <c r="S35" s="63">
        <v>0</v>
      </c>
      <c r="T35" s="63">
        <v>0</v>
      </c>
      <c r="U35" s="63">
        <v>0</v>
      </c>
      <c r="V35" s="63">
        <v>0</v>
      </c>
      <c r="W35" s="63">
        <v>0</v>
      </c>
      <c r="X35" s="63"/>
      <c r="Y35" s="63"/>
      <c r="AJ35" t="s">
        <v>2524</v>
      </c>
      <c r="AK35" s="87">
        <v>-73500</v>
      </c>
      <c r="AL35" s="87">
        <v>-76000</v>
      </c>
      <c r="AM35" s="87">
        <v>-78000</v>
      </c>
      <c r="AN35" s="87">
        <v>-80000</v>
      </c>
      <c r="AO35" s="87">
        <v>-82000</v>
      </c>
      <c r="AR35" s="63">
        <f t="shared" ref="AR35:AV35" si="31">AR70</f>
        <v>-73500</v>
      </c>
      <c r="AS35" s="63">
        <f t="shared" si="31"/>
        <v>-76000</v>
      </c>
      <c r="AT35" s="63">
        <f t="shared" si="31"/>
        <v>-78000</v>
      </c>
      <c r="AU35" s="63">
        <f t="shared" si="31"/>
        <v>-80000</v>
      </c>
      <c r="AV35" s="63">
        <f t="shared" si="31"/>
        <v>-82000</v>
      </c>
    </row>
    <row r="36" spans="1:48" s="4" customFormat="1" x14ac:dyDescent="0.2">
      <c r="A36" s="1000" t="s">
        <v>1530</v>
      </c>
      <c r="B36" s="1000"/>
      <c r="C36" s="1000"/>
      <c r="D36" s="1000"/>
      <c r="E36" s="1000"/>
      <c r="F36" s="1000"/>
      <c r="G36" s="1000"/>
      <c r="H36" s="1000"/>
      <c r="I36" s="1001">
        <f t="shared" ref="I36:V36" si="32">ROUND(SUM(I7:I35),-3)</f>
        <v>2902000</v>
      </c>
      <c r="J36" s="1001">
        <f t="shared" si="32"/>
        <v>3504000</v>
      </c>
      <c r="K36" s="1001">
        <f t="shared" si="32"/>
        <v>3361000</v>
      </c>
      <c r="L36" s="1001">
        <f t="shared" si="32"/>
        <v>1863000</v>
      </c>
      <c r="M36" s="1001">
        <f t="shared" si="32"/>
        <v>4006000</v>
      </c>
      <c r="N36" s="1001">
        <f t="shared" si="32"/>
        <v>4336000</v>
      </c>
      <c r="O36" s="1001">
        <f t="shared" si="32"/>
        <v>4773000</v>
      </c>
      <c r="P36" s="1001">
        <f t="shared" si="32"/>
        <v>5400000</v>
      </c>
      <c r="Q36" s="1001">
        <f>ROUND(SUM(Q7:Q35),-3)</f>
        <v>5598000</v>
      </c>
      <c r="R36" s="1001">
        <f t="shared" si="32"/>
        <v>5804000</v>
      </c>
      <c r="S36" s="1001">
        <f t="shared" si="32"/>
        <v>6017000</v>
      </c>
      <c r="T36" s="1001">
        <f t="shared" si="32"/>
        <v>6238000</v>
      </c>
      <c r="U36" s="1001">
        <f t="shared" si="32"/>
        <v>6468000</v>
      </c>
      <c r="V36" s="1001">
        <f t="shared" si="32"/>
        <v>6705000</v>
      </c>
      <c r="W36" s="1001">
        <f t="shared" ref="W36" si="33">ROUND(SUM(W7:W35),-3)</f>
        <v>6952000</v>
      </c>
      <c r="X36" s="55"/>
      <c r="Y36" s="55"/>
      <c r="AJ36" s="779" t="s">
        <v>529</v>
      </c>
      <c r="AK36" s="87">
        <v>-110000</v>
      </c>
      <c r="AL36" s="87">
        <v>-283700</v>
      </c>
      <c r="AM36" s="87">
        <v>-161500</v>
      </c>
      <c r="AN36" s="87">
        <v>-163100</v>
      </c>
      <c r="AO36" s="87">
        <v>-167900</v>
      </c>
      <c r="AR36" s="63">
        <f t="shared" ref="AR36:AV36" si="34">AR71</f>
        <v>-110000</v>
      </c>
      <c r="AS36" s="63">
        <f t="shared" si="34"/>
        <v>-121500</v>
      </c>
      <c r="AT36" s="63">
        <f t="shared" si="34"/>
        <v>-127700</v>
      </c>
      <c r="AU36" s="63">
        <f t="shared" si="34"/>
        <v>-110000</v>
      </c>
      <c r="AV36" s="63">
        <f t="shared" si="34"/>
        <v>-110000</v>
      </c>
    </row>
    <row r="37" spans="1:48" s="4" customFormat="1" x14ac:dyDescent="0.2">
      <c r="A37" s="6"/>
      <c r="B37" s="6"/>
      <c r="C37" s="6"/>
      <c r="D37" s="6"/>
      <c r="E37" s="6"/>
      <c r="F37" s="6"/>
      <c r="G37" s="6"/>
      <c r="H37" s="6"/>
      <c r="I37" s="55"/>
      <c r="J37" s="55"/>
      <c r="K37" s="55"/>
      <c r="L37" s="55"/>
      <c r="M37" s="55"/>
      <c r="N37" s="55"/>
      <c r="O37" s="55"/>
      <c r="P37" s="55"/>
      <c r="Q37" s="55"/>
      <c r="R37" s="55"/>
      <c r="S37" s="55"/>
      <c r="T37" s="55"/>
      <c r="U37" s="55"/>
      <c r="V37" s="55"/>
      <c r="W37" s="55"/>
      <c r="X37" s="55"/>
      <c r="Y37" s="55"/>
      <c r="AJ37" s="779" t="s">
        <v>1230</v>
      </c>
      <c r="AK37" s="87">
        <v>-256000</v>
      </c>
      <c r="AL37" s="87">
        <v>-192000</v>
      </c>
      <c r="AM37" s="87">
        <v>-192000</v>
      </c>
      <c r="AN37" s="87">
        <v>-192000</v>
      </c>
      <c r="AO37" s="87">
        <v>-128000</v>
      </c>
      <c r="AR37" s="63">
        <f t="shared" ref="AR37:AV37" si="35">AR72</f>
        <v>-256000</v>
      </c>
      <c r="AS37" s="63">
        <f t="shared" si="35"/>
        <v>-192000</v>
      </c>
      <c r="AT37" s="63">
        <f t="shared" si="35"/>
        <v>-192000</v>
      </c>
      <c r="AU37" s="63">
        <f t="shared" si="35"/>
        <v>-195000</v>
      </c>
      <c r="AV37" s="63">
        <f t="shared" si="35"/>
        <v>-130000</v>
      </c>
    </row>
    <row r="38" spans="1:48" s="779" customFormat="1" x14ac:dyDescent="0.2">
      <c r="A38" s="890" t="s">
        <v>4428</v>
      </c>
      <c r="B38" s="890"/>
      <c r="C38" s="890"/>
      <c r="D38" s="890"/>
      <c r="E38" s="890"/>
      <c r="F38" s="890"/>
      <c r="G38" s="890"/>
      <c r="H38" s="890"/>
      <c r="I38" s="35"/>
      <c r="J38" s="35"/>
      <c r="K38" s="35">
        <v>248000</v>
      </c>
      <c r="L38" s="78">
        <f>1464000-157000+547000</f>
        <v>1854000</v>
      </c>
      <c r="M38" s="78">
        <v>-177000</v>
      </c>
      <c r="N38" s="35">
        <f>-2000</f>
        <v>-2000</v>
      </c>
      <c r="O38" s="35"/>
      <c r="P38" s="35">
        <v>-1000</v>
      </c>
      <c r="Q38" s="35"/>
      <c r="R38" s="35"/>
      <c r="S38" s="35"/>
      <c r="T38" s="35"/>
      <c r="U38" s="35"/>
      <c r="V38" s="35"/>
      <c r="W38" s="35"/>
      <c r="X38" s="35"/>
      <c r="Y38" s="35"/>
      <c r="AK38" s="133"/>
      <c r="AL38" s="133"/>
      <c r="AM38" s="133"/>
      <c r="AN38" s="133"/>
      <c r="AO38" s="133"/>
      <c r="AR38" s="25"/>
      <c r="AS38" s="25"/>
      <c r="AT38" s="25"/>
      <c r="AU38" s="25"/>
      <c r="AV38" s="25"/>
    </row>
    <row r="39" spans="1:48" s="779" customFormat="1" x14ac:dyDescent="0.2">
      <c r="A39" s="1099" t="s">
        <v>6127</v>
      </c>
      <c r="B39" s="890"/>
      <c r="C39" s="890"/>
      <c r="D39" s="890"/>
      <c r="E39" s="890"/>
      <c r="F39" s="890"/>
      <c r="G39" s="890"/>
      <c r="H39" s="890"/>
      <c r="I39" s="35"/>
      <c r="J39" s="35"/>
      <c r="K39" s="35"/>
      <c r="L39" s="78"/>
      <c r="M39" s="78">
        <f>-'Cap-Gen'!F119</f>
        <v>0</v>
      </c>
      <c r="N39" s="78">
        <f>-'Cap-Gen'!G119</f>
        <v>-389600</v>
      </c>
      <c r="O39" s="78">
        <f>-'Cap-Gen'!H119</f>
        <v>-711100</v>
      </c>
      <c r="P39" s="78">
        <f>-'Cap-Gen'!I119</f>
        <v>-1174300</v>
      </c>
      <c r="Q39" s="78">
        <f>-'Cap-Gen'!J119</f>
        <v>-1203600</v>
      </c>
      <c r="R39" s="78">
        <f>-'Cap-Gen'!K119</f>
        <v>-1234200</v>
      </c>
      <c r="S39" s="78">
        <f>-'Cap-Gen'!L119</f>
        <v>-1265000</v>
      </c>
      <c r="T39" s="78">
        <f>-'Cap-Gen'!M119</f>
        <v>-1296100</v>
      </c>
      <c r="U39" s="78">
        <f>-'Cap-Gen'!N119</f>
        <v>-1328500</v>
      </c>
      <c r="V39" s="78">
        <f>-'Cap-Gen'!O119</f>
        <v>-1361200</v>
      </c>
      <c r="W39" s="78">
        <f>-'Cap-Gen'!P119</f>
        <v>-1395300</v>
      </c>
      <c r="X39" s="78"/>
      <c r="Y39" s="78"/>
      <c r="AK39" s="133"/>
      <c r="AL39" s="133"/>
      <c r="AM39" s="133"/>
      <c r="AN39" s="133"/>
      <c r="AO39" s="133"/>
      <c r="AR39" s="25"/>
      <c r="AS39" s="25"/>
      <c r="AT39" s="25"/>
      <c r="AU39" s="25"/>
      <c r="AV39" s="25"/>
    </row>
    <row r="40" spans="1:48" s="779" customFormat="1" x14ac:dyDescent="0.2">
      <c r="A40" s="2822" t="s">
        <v>7151</v>
      </c>
      <c r="B40" s="890"/>
      <c r="C40" s="890"/>
      <c r="D40" s="890"/>
      <c r="E40" s="890"/>
      <c r="F40" s="890"/>
      <c r="G40" s="890"/>
      <c r="H40" s="890"/>
      <c r="I40" s="35"/>
      <c r="J40" s="35"/>
      <c r="K40" s="35"/>
      <c r="L40" s="78"/>
      <c r="M40" s="78"/>
      <c r="N40" s="2413">
        <v>-400</v>
      </c>
      <c r="O40" s="78"/>
      <c r="P40" s="78"/>
      <c r="Q40" s="78"/>
      <c r="R40" s="78"/>
      <c r="S40" s="78"/>
      <c r="T40" s="78"/>
      <c r="U40" s="2413">
        <v>-500</v>
      </c>
      <c r="V40" s="78"/>
      <c r="W40" s="78"/>
      <c r="X40" s="78"/>
      <c r="Y40" s="78"/>
      <c r="AK40" s="133"/>
      <c r="AL40" s="133"/>
      <c r="AM40" s="133"/>
      <c r="AN40" s="133"/>
      <c r="AO40" s="133"/>
      <c r="AR40" s="25"/>
      <c r="AS40" s="25"/>
      <c r="AT40" s="25"/>
      <c r="AU40" s="25"/>
      <c r="AV40" s="25"/>
    </row>
    <row r="41" spans="1:48" s="779" customFormat="1" x14ac:dyDescent="0.2">
      <c r="A41" s="890" t="s">
        <v>6124</v>
      </c>
      <c r="B41" s="890"/>
      <c r="C41" s="890"/>
      <c r="D41" s="890"/>
      <c r="E41" s="890"/>
      <c r="F41" s="890"/>
      <c r="G41" s="890"/>
      <c r="H41" s="890"/>
      <c r="I41" s="35"/>
      <c r="J41" s="35"/>
      <c r="K41" s="35"/>
      <c r="L41" s="78"/>
      <c r="M41" s="78"/>
      <c r="N41" s="78"/>
      <c r="O41" s="78"/>
      <c r="P41" s="78"/>
      <c r="Q41" s="78"/>
      <c r="R41" s="78"/>
      <c r="S41" s="78"/>
      <c r="T41" s="78"/>
      <c r="U41" s="78"/>
      <c r="V41" s="78"/>
      <c r="W41" s="78"/>
      <c r="X41" s="78"/>
      <c r="Y41" s="78"/>
      <c r="AK41" s="133"/>
      <c r="AL41" s="133"/>
      <c r="AM41" s="133"/>
      <c r="AN41" s="133"/>
      <c r="AO41" s="133"/>
      <c r="AR41" s="25"/>
      <c r="AS41" s="25"/>
      <c r="AT41" s="25"/>
      <c r="AU41" s="25"/>
      <c r="AV41" s="25"/>
    </row>
    <row r="42" spans="1:48" s="779" customFormat="1" x14ac:dyDescent="0.2">
      <c r="A42" s="890" t="s">
        <v>6112</v>
      </c>
      <c r="B42" s="890"/>
      <c r="C42" s="890"/>
      <c r="D42" s="890"/>
      <c r="E42" s="890"/>
      <c r="F42" s="890"/>
      <c r="G42" s="890"/>
      <c r="H42" s="890"/>
      <c r="I42" s="35"/>
      <c r="J42" s="35"/>
      <c r="K42" s="35"/>
      <c r="L42" s="78"/>
      <c r="M42" s="78"/>
      <c r="N42" s="35"/>
      <c r="O42" s="35"/>
      <c r="P42" s="35"/>
      <c r="Q42" s="35"/>
      <c r="R42" s="35"/>
      <c r="S42" s="35"/>
      <c r="T42" s="35"/>
      <c r="U42" s="35"/>
      <c r="V42" s="35"/>
      <c r="W42" s="35"/>
      <c r="X42" s="35"/>
      <c r="Y42" s="35"/>
      <c r="AK42" s="133"/>
      <c r="AL42" s="133"/>
      <c r="AM42" s="133"/>
      <c r="AN42" s="133"/>
      <c r="AO42" s="133"/>
      <c r="AR42" s="25"/>
      <c r="AS42" s="25"/>
      <c r="AT42" s="25"/>
      <c r="AU42" s="25"/>
      <c r="AV42" s="25"/>
    </row>
    <row r="43" spans="1:48" s="779" customFormat="1" x14ac:dyDescent="0.2">
      <c r="A43" s="1099" t="s">
        <v>7134</v>
      </c>
      <c r="B43" s="890"/>
      <c r="C43" s="890"/>
      <c r="D43" s="890"/>
      <c r="E43" s="890"/>
      <c r="F43" s="890"/>
      <c r="G43" s="890"/>
      <c r="H43" s="890"/>
      <c r="I43" s="35"/>
      <c r="J43" s="35"/>
      <c r="K43" s="35"/>
      <c r="L43" s="78"/>
      <c r="M43" s="2413">
        <v>-22000</v>
      </c>
      <c r="N43" s="35"/>
      <c r="O43" s="35"/>
      <c r="P43" s="35"/>
      <c r="Q43" s="35"/>
      <c r="R43" s="35"/>
      <c r="S43" s="35"/>
      <c r="T43" s="35"/>
      <c r="U43" s="35"/>
      <c r="V43" s="35"/>
      <c r="W43" s="35"/>
      <c r="X43" s="35"/>
      <c r="Y43" s="35"/>
      <c r="AK43" s="133"/>
      <c r="AL43" s="133"/>
      <c r="AM43" s="133"/>
      <c r="AN43" s="133"/>
      <c r="AO43" s="133"/>
      <c r="AR43" s="25"/>
      <c r="AS43" s="25"/>
      <c r="AT43" s="25"/>
      <c r="AU43" s="25"/>
      <c r="AV43" s="25"/>
    </row>
    <row r="44" spans="1:48" s="779" customFormat="1" x14ac:dyDescent="0.2">
      <c r="A44" s="1099"/>
      <c r="B44" s="890"/>
      <c r="C44" s="890"/>
      <c r="D44" s="890"/>
      <c r="E44" s="890"/>
      <c r="F44" s="890"/>
      <c r="G44" s="890"/>
      <c r="H44" s="890"/>
      <c r="I44" s="35"/>
      <c r="J44" s="35"/>
      <c r="K44" s="35"/>
      <c r="L44" s="78"/>
      <c r="M44" s="2413"/>
      <c r="N44" s="35"/>
      <c r="O44" s="35"/>
      <c r="P44" s="35"/>
      <c r="Q44" s="35"/>
      <c r="R44" s="35"/>
      <c r="S44" s="35"/>
      <c r="T44" s="35"/>
      <c r="U44" s="35"/>
      <c r="V44" s="35"/>
      <c r="W44" s="35"/>
      <c r="X44" s="35"/>
      <c r="Y44" s="35"/>
      <c r="AK44" s="133"/>
      <c r="AL44" s="133"/>
      <c r="AM44" s="133"/>
      <c r="AN44" s="133"/>
      <c r="AO44" s="133"/>
      <c r="AR44" s="25"/>
      <c r="AS44" s="25"/>
      <c r="AT44" s="25"/>
      <c r="AU44" s="25"/>
      <c r="AV44" s="25"/>
    </row>
    <row r="45" spans="1:48" s="4" customFormat="1" x14ac:dyDescent="0.2">
      <c r="A45" s="4" t="s">
        <v>1231</v>
      </c>
      <c r="I45" s="44">
        <f t="shared" ref="I45:K45" si="36">ROUND(I36-I4,-3)+SUM(I38:I42)</f>
        <v>0</v>
      </c>
      <c r="J45" s="44">
        <f t="shared" si="36"/>
        <v>0</v>
      </c>
      <c r="K45" s="44">
        <f t="shared" si="36"/>
        <v>0</v>
      </c>
      <c r="L45" s="44">
        <f>ROUND(L36-L4,-3)+SUM(L38:L42)</f>
        <v>0</v>
      </c>
      <c r="M45" s="44">
        <f>ROUND(M36-M4,-3)+SUM(M38:M42)</f>
        <v>0</v>
      </c>
      <c r="N45" s="44">
        <f>ROUND(N36-N4,-3)+SUM(N38:N42)</f>
        <v>0</v>
      </c>
      <c r="O45" s="44">
        <f t="shared" ref="O45:V45" si="37">ROUND(O36-O4,-3)+SUM(O38:O42)</f>
        <v>-100</v>
      </c>
      <c r="P45" s="44">
        <f t="shared" si="37"/>
        <v>-300</v>
      </c>
      <c r="Q45" s="44">
        <f t="shared" si="37"/>
        <v>400</v>
      </c>
      <c r="R45" s="44">
        <f t="shared" si="37"/>
        <v>-200</v>
      </c>
      <c r="S45" s="44">
        <f t="shared" si="37"/>
        <v>0</v>
      </c>
      <c r="T45" s="44">
        <f t="shared" si="37"/>
        <v>-100</v>
      </c>
      <c r="U45" s="44">
        <f t="shared" si="37"/>
        <v>0</v>
      </c>
      <c r="V45" s="44">
        <f t="shared" si="37"/>
        <v>-200</v>
      </c>
      <c r="W45" s="44">
        <f>ROUND(W36-W4,-3)+SUM(W38:W42)</f>
        <v>-300</v>
      </c>
      <c r="X45" s="44"/>
      <c r="Y45" s="44"/>
      <c r="AJ45"/>
      <c r="AK45"/>
      <c r="AL45"/>
      <c r="AM45"/>
      <c r="AN45"/>
      <c r="AO45"/>
    </row>
    <row r="46" spans="1:48" x14ac:dyDescent="0.2">
      <c r="K46" s="999"/>
      <c r="AJ46" s="1576" t="s">
        <v>4446</v>
      </c>
      <c r="AK46" s="1575" t="s">
        <v>1668</v>
      </c>
      <c r="AL46" s="1575" t="s">
        <v>943</v>
      </c>
      <c r="AM46" s="1575" t="s">
        <v>897</v>
      </c>
      <c r="AN46" s="1575" t="s">
        <v>2072</v>
      </c>
      <c r="AO46" s="1575" t="s">
        <v>1614</v>
      </c>
      <c r="AQ46" s="1576" t="s">
        <v>4450</v>
      </c>
      <c r="AR46" s="1575" t="s">
        <v>1668</v>
      </c>
      <c r="AS46" s="1575" t="s">
        <v>943</v>
      </c>
      <c r="AT46" s="1575" t="s">
        <v>897</v>
      </c>
      <c r="AU46" s="1575" t="s">
        <v>2072</v>
      </c>
      <c r="AV46" s="1575" t="s">
        <v>1614</v>
      </c>
    </row>
    <row r="47" spans="1:48" x14ac:dyDescent="0.2">
      <c r="A47" s="4" t="s">
        <v>2536</v>
      </c>
      <c r="E47" s="248" t="str">
        <f t="shared" ref="E47:V47" si="38">E1</f>
        <v>2008/09</v>
      </c>
      <c r="F47" s="248" t="str">
        <f t="shared" si="38"/>
        <v>2009/10</v>
      </c>
      <c r="G47" s="248" t="str">
        <f t="shared" si="38"/>
        <v>2010/11</v>
      </c>
      <c r="H47" s="248" t="str">
        <f t="shared" si="38"/>
        <v>2011/12</v>
      </c>
      <c r="I47" s="248" t="str">
        <f t="shared" si="38"/>
        <v>2012/13</v>
      </c>
      <c r="J47" s="1300" t="str">
        <f t="shared" si="38"/>
        <v>2013/14</v>
      </c>
      <c r="K47" s="248" t="str">
        <f t="shared" si="38"/>
        <v>2014/15</v>
      </c>
      <c r="L47" s="248" t="str">
        <f t="shared" si="38"/>
        <v>2015/16</v>
      </c>
      <c r="M47" s="248" t="str">
        <f t="shared" si="38"/>
        <v>2016/17</v>
      </c>
      <c r="N47" s="248" t="str">
        <f t="shared" si="38"/>
        <v>2017/18</v>
      </c>
      <c r="O47" s="248" t="str">
        <f t="shared" si="38"/>
        <v>2018/19</v>
      </c>
      <c r="P47" s="248" t="str">
        <f t="shared" si="38"/>
        <v>2019/20</v>
      </c>
      <c r="Q47" s="248" t="str">
        <f t="shared" si="38"/>
        <v>2020/21</v>
      </c>
      <c r="R47" s="248" t="str">
        <f t="shared" si="38"/>
        <v>2021/22</v>
      </c>
      <c r="S47" s="248" t="str">
        <f t="shared" si="38"/>
        <v>2022/23</v>
      </c>
      <c r="T47" s="248" t="str">
        <f t="shared" si="38"/>
        <v>2023/24</v>
      </c>
      <c r="U47" s="1617" t="str">
        <f t="shared" si="38"/>
        <v>2024/25</v>
      </c>
      <c r="V47" s="2091" t="str">
        <f t="shared" si="38"/>
        <v>2025/26</v>
      </c>
      <c r="W47" s="2655" t="str">
        <f t="shared" ref="W47" si="39">W1</f>
        <v>2026/27</v>
      </c>
      <c r="X47" s="2655"/>
      <c r="Y47" s="2655"/>
      <c r="AJ47" s="1" t="s">
        <v>4440</v>
      </c>
      <c r="AK47" s="118">
        <v>2902000</v>
      </c>
      <c r="AL47" s="118">
        <v>3504000</v>
      </c>
      <c r="AM47" s="118">
        <v>3609000</v>
      </c>
      <c r="AN47" s="118">
        <v>3717000</v>
      </c>
      <c r="AO47" s="118">
        <v>3829000</v>
      </c>
      <c r="AR47" s="40">
        <f>I4</f>
        <v>2902000</v>
      </c>
      <c r="AS47" s="40">
        <f>J4</f>
        <v>3504000</v>
      </c>
      <c r="AT47" s="40">
        <f>K4</f>
        <v>3609000</v>
      </c>
      <c r="AU47" s="40">
        <f>L4</f>
        <v>3717000</v>
      </c>
      <c r="AV47" s="40">
        <f>M4</f>
        <v>3829000</v>
      </c>
    </row>
    <row r="48" spans="1:48" x14ac:dyDescent="0.2">
      <c r="A48" s="779" t="s">
        <v>1403</v>
      </c>
      <c r="E48" s="63">
        <v>249000</v>
      </c>
      <c r="F48" s="63">
        <v>250000</v>
      </c>
      <c r="G48" s="63">
        <v>250000</v>
      </c>
      <c r="H48" s="63">
        <f>122500+236500</f>
        <v>359000</v>
      </c>
      <c r="I48" s="63">
        <v>370000</v>
      </c>
      <c r="J48" s="63">
        <v>381000</v>
      </c>
      <c r="K48" s="63">
        <v>396000</v>
      </c>
      <c r="L48" s="63">
        <f>ROUND(K50*Assumptions!F$6+K50,-3)</f>
        <v>408000</v>
      </c>
      <c r="M48" s="63">
        <f>ROUND(L50*Assumptions!G$6+L50,-3)</f>
        <v>424000</v>
      </c>
      <c r="N48" s="63">
        <f>ROUND(M50*Assumptions!H$6+M50,-3)</f>
        <v>441000</v>
      </c>
      <c r="O48" s="63">
        <f>ROUND(N50*Assumptions!I$6+N50,-3)</f>
        <v>459000</v>
      </c>
      <c r="P48" s="63">
        <f>ROUND(O50*Assumptions!J$6+O50,-3)</f>
        <v>477000</v>
      </c>
      <c r="Q48" s="63">
        <f>ROUND(P50*Assumptions!K$6+P50,-3)</f>
        <v>489000</v>
      </c>
      <c r="R48" s="63">
        <f>ROUND(Q50*Assumptions!L$6+Q50,-3)</f>
        <v>501000</v>
      </c>
      <c r="S48" s="63">
        <f>ROUND(R50*Assumptions!M$6+R50,-3)</f>
        <v>514000</v>
      </c>
      <c r="T48" s="63">
        <f>ROUND(S50*Assumptions!N$6+S50,-3)</f>
        <v>527000</v>
      </c>
      <c r="U48" s="63">
        <f>ROUND(T50*Assumptions!O$6+T50,-3)</f>
        <v>540000</v>
      </c>
      <c r="V48" s="63">
        <f>ROUND(U50*Assumptions!P$6+U50,-3)</f>
        <v>554000</v>
      </c>
      <c r="W48" s="63">
        <f>ROUND(V50*Assumptions!Q$6+V50,-3)</f>
        <v>568000</v>
      </c>
      <c r="X48" s="63"/>
      <c r="Y48" s="63"/>
      <c r="AJ48" s="4"/>
      <c r="AK48" s="4"/>
      <c r="AL48" s="4"/>
      <c r="AM48" s="4"/>
      <c r="AN48" s="4"/>
      <c r="AO48" s="4"/>
      <c r="AT48" s="63"/>
    </row>
    <row r="49" spans="1:48" x14ac:dyDescent="0.2">
      <c r="A49" s="779" t="s">
        <v>527</v>
      </c>
      <c r="E49" s="63"/>
      <c r="F49" s="63"/>
      <c r="G49" s="63">
        <v>100000</v>
      </c>
      <c r="H49" s="63"/>
      <c r="I49" s="63"/>
      <c r="J49" s="63"/>
      <c r="K49" s="63"/>
      <c r="L49" s="63"/>
      <c r="M49" s="63"/>
      <c r="N49" s="63"/>
      <c r="O49" s="63"/>
      <c r="P49" s="63"/>
      <c r="Q49" s="63"/>
      <c r="R49" s="63"/>
      <c r="S49" s="63"/>
      <c r="T49" s="63"/>
      <c r="U49" s="63"/>
      <c r="V49" s="63"/>
      <c r="W49" s="63"/>
      <c r="X49" s="63"/>
      <c r="Y49" s="63"/>
      <c r="AJ49" s="1" t="s">
        <v>2535</v>
      </c>
      <c r="AT49" s="63"/>
      <c r="AU49" s="63"/>
      <c r="AV49" s="63"/>
    </row>
    <row r="50" spans="1:48" s="4" customFormat="1" x14ac:dyDescent="0.2">
      <c r="A50" s="4" t="s">
        <v>1530</v>
      </c>
      <c r="B50" s="1001">
        <f t="shared" ref="B50:N50" si="40">SUM(B48:B49)</f>
        <v>0</v>
      </c>
      <c r="C50" s="1001">
        <f t="shared" si="40"/>
        <v>0</v>
      </c>
      <c r="D50" s="1001">
        <f t="shared" si="40"/>
        <v>0</v>
      </c>
      <c r="E50" s="1001">
        <f t="shared" si="40"/>
        <v>249000</v>
      </c>
      <c r="F50" s="1001">
        <f t="shared" si="40"/>
        <v>250000</v>
      </c>
      <c r="G50" s="1001">
        <f t="shared" si="40"/>
        <v>350000</v>
      </c>
      <c r="H50" s="1001">
        <f t="shared" si="40"/>
        <v>359000</v>
      </c>
      <c r="I50" s="1001">
        <f t="shared" si="40"/>
        <v>370000</v>
      </c>
      <c r="J50" s="1001">
        <f t="shared" si="40"/>
        <v>381000</v>
      </c>
      <c r="K50" s="1001">
        <f t="shared" si="40"/>
        <v>396000</v>
      </c>
      <c r="L50" s="1001">
        <f t="shared" si="40"/>
        <v>408000</v>
      </c>
      <c r="M50" s="1001">
        <f t="shared" si="40"/>
        <v>424000</v>
      </c>
      <c r="N50" s="1001">
        <f t="shared" si="40"/>
        <v>441000</v>
      </c>
      <c r="O50" s="1001">
        <f t="shared" ref="O50:T50" si="41">SUM(O48:O49)</f>
        <v>459000</v>
      </c>
      <c r="P50" s="1001">
        <f t="shared" si="41"/>
        <v>477000</v>
      </c>
      <c r="Q50" s="1001">
        <f t="shared" si="41"/>
        <v>489000</v>
      </c>
      <c r="R50" s="1001">
        <f t="shared" si="41"/>
        <v>501000</v>
      </c>
      <c r="S50" s="1001">
        <f t="shared" si="41"/>
        <v>514000</v>
      </c>
      <c r="T50" s="1001">
        <f t="shared" si="41"/>
        <v>527000</v>
      </c>
      <c r="U50" s="1001">
        <f t="shared" ref="U50:V50" si="42">SUM(U48:U49)</f>
        <v>540000</v>
      </c>
      <c r="V50" s="1001">
        <f t="shared" si="42"/>
        <v>554000</v>
      </c>
      <c r="W50" s="1001">
        <f t="shared" ref="W50" si="43">SUM(W48:W49)</f>
        <v>568000</v>
      </c>
      <c r="X50" s="55"/>
      <c r="Y50" s="55"/>
      <c r="AJ50" s="779" t="s">
        <v>2275</v>
      </c>
      <c r="AK50" s="87">
        <v>1892000</v>
      </c>
      <c r="AL50" s="87">
        <v>2005000</v>
      </c>
      <c r="AM50" s="87">
        <v>1827000</v>
      </c>
      <c r="AN50" s="87">
        <v>1902000</v>
      </c>
      <c r="AO50" s="87">
        <v>1993000</v>
      </c>
      <c r="AQ50" s="779"/>
      <c r="AR50" s="63">
        <f>I7</f>
        <v>1892000</v>
      </c>
      <c r="AS50" s="63">
        <f>J7</f>
        <v>2005000</v>
      </c>
      <c r="AT50" s="63">
        <f>K7</f>
        <v>2302000</v>
      </c>
      <c r="AU50" s="63">
        <f>L7</f>
        <v>1472000</v>
      </c>
      <c r="AV50" s="63">
        <f>M7</f>
        <v>3412100</v>
      </c>
    </row>
    <row r="51" spans="1:48" x14ac:dyDescent="0.2">
      <c r="AJ51" s="779" t="s">
        <v>2276</v>
      </c>
      <c r="AK51" s="87">
        <v>256000</v>
      </c>
      <c r="AL51" s="87">
        <v>256000</v>
      </c>
      <c r="AM51" s="87">
        <v>256000</v>
      </c>
      <c r="AN51" s="87">
        <v>256000</v>
      </c>
      <c r="AO51" s="87">
        <v>256000</v>
      </c>
      <c r="AQ51" s="779"/>
      <c r="AR51" s="63">
        <f t="shared" ref="AR51:AV52" si="44">I9</f>
        <v>256000</v>
      </c>
      <c r="AS51" s="63">
        <f t="shared" si="44"/>
        <v>256000</v>
      </c>
      <c r="AT51" s="63">
        <f t="shared" si="44"/>
        <v>256000</v>
      </c>
      <c r="AU51" s="63">
        <f t="shared" si="44"/>
        <v>260000</v>
      </c>
      <c r="AV51" s="63">
        <f t="shared" si="44"/>
        <v>260000</v>
      </c>
    </row>
    <row r="52" spans="1:48" x14ac:dyDescent="0.2">
      <c r="A52" s="779" t="s">
        <v>528</v>
      </c>
      <c r="I52" s="63">
        <v>335000</v>
      </c>
      <c r="J52" s="63">
        <v>349000</v>
      </c>
      <c r="K52" s="63">
        <v>511000</v>
      </c>
      <c r="L52" s="63">
        <v>172000</v>
      </c>
      <c r="M52" s="63">
        <f>ROUND('Cap-Gen'!Z141+'Cap-Gen'!Z145,-3)</f>
        <v>290000</v>
      </c>
      <c r="N52" s="63">
        <f>ROUND('Cap-Gen'!AE141+'Cap-Gen'!AE145,-3)</f>
        <v>366000</v>
      </c>
      <c r="O52" s="63">
        <f>ROUND('Cap-Gen'!AJ141+'Cap-Gen'!AJ145,-3)</f>
        <v>459000</v>
      </c>
      <c r="P52" s="63">
        <f>ROUND('Cap-Gen'!AO141+'Cap-Gen'!AO145,-3)</f>
        <v>477000</v>
      </c>
      <c r="Q52" s="63">
        <f>ROUND('Cap-Gen'!AT141+'Cap-Gen'!AT145,-3)</f>
        <v>489000</v>
      </c>
      <c r="R52" s="63">
        <f>ROUND('Cap-Gen'!AY141+'Cap-Gen'!AY145,-3)</f>
        <v>501000</v>
      </c>
      <c r="S52" s="63">
        <f>ROUND('Cap-Gen'!BD141+'Cap-Gen'!BD145,-3)</f>
        <v>514000</v>
      </c>
      <c r="T52" s="63">
        <f>ROUND('Cap-Gen'!BI141+'Cap-Gen'!BI145,-3)</f>
        <v>527000</v>
      </c>
      <c r="U52" s="63">
        <f>ROUND('Cap-Gen'!BN141+'Cap-Gen'!BN145,-3)</f>
        <v>540000</v>
      </c>
      <c r="V52" s="63">
        <f>ROUND('Cap-Gen'!BS141+'Cap-Gen'!BS145,-3)</f>
        <v>554000</v>
      </c>
      <c r="W52" s="63">
        <f>ROUND('Cap-Gen'!BX141+'Cap-Gen'!BX145,-3)</f>
        <v>568000</v>
      </c>
      <c r="X52" s="63"/>
      <c r="Y52" s="63"/>
      <c r="AJ52" s="779" t="s">
        <v>4443</v>
      </c>
      <c r="AK52" s="87">
        <v>128000</v>
      </c>
      <c r="AL52" s="87">
        <v>64000</v>
      </c>
      <c r="AM52" s="87">
        <v>64000</v>
      </c>
      <c r="AN52" s="87">
        <v>64000</v>
      </c>
      <c r="AO52" s="87">
        <v>0</v>
      </c>
      <c r="AQ52" s="779"/>
      <c r="AR52" s="63">
        <f t="shared" si="44"/>
        <v>128000</v>
      </c>
      <c r="AS52" s="63">
        <f t="shared" si="44"/>
        <v>64000</v>
      </c>
      <c r="AT52" s="63">
        <f t="shared" si="44"/>
        <v>64000</v>
      </c>
      <c r="AU52" s="63">
        <f t="shared" si="44"/>
        <v>65000</v>
      </c>
      <c r="AV52" s="63">
        <f t="shared" si="44"/>
        <v>0</v>
      </c>
    </row>
    <row r="53" spans="1:48" x14ac:dyDescent="0.2">
      <c r="A53" s="779" t="s">
        <v>4464</v>
      </c>
      <c r="I53" s="63"/>
      <c r="J53" s="63"/>
      <c r="K53" s="63"/>
      <c r="L53" s="63"/>
      <c r="M53" s="63"/>
      <c r="N53" s="63"/>
      <c r="O53" s="63"/>
      <c r="P53" s="63"/>
      <c r="Q53" s="63"/>
      <c r="R53" s="63"/>
      <c r="S53" s="63"/>
      <c r="T53" s="63"/>
      <c r="U53" s="63"/>
      <c r="V53" s="63"/>
      <c r="W53" s="63"/>
      <c r="X53" s="63"/>
      <c r="Y53" s="63"/>
      <c r="AJ53" s="779"/>
      <c r="AK53" s="87"/>
      <c r="AL53" s="87"/>
      <c r="AM53" s="87"/>
      <c r="AN53" s="87"/>
      <c r="AO53" s="87"/>
      <c r="AQ53" s="779"/>
      <c r="AR53" s="63"/>
      <c r="AS53" s="63"/>
      <c r="AT53" s="63"/>
      <c r="AU53" s="63"/>
      <c r="AV53" s="63"/>
    </row>
    <row r="54" spans="1:48" x14ac:dyDescent="0.2">
      <c r="A54" s="779" t="s">
        <v>4930</v>
      </c>
      <c r="I54" s="63"/>
      <c r="J54" s="63"/>
      <c r="K54" s="63"/>
      <c r="L54" s="63">
        <v>224000</v>
      </c>
      <c r="M54" s="63">
        <v>104000</v>
      </c>
      <c r="N54" s="63">
        <f>ROUND(M54*Assumptions!H$6+M54,-3)-33000</f>
        <v>75000</v>
      </c>
      <c r="O54" s="63"/>
      <c r="P54" s="63"/>
      <c r="Q54" s="63"/>
      <c r="R54" s="63"/>
      <c r="S54" s="63"/>
      <c r="T54" s="63"/>
      <c r="U54" s="63"/>
      <c r="V54" s="63"/>
      <c r="W54" s="63"/>
      <c r="X54" s="63"/>
      <c r="Y54" s="63"/>
      <c r="AJ54" s="779"/>
      <c r="AK54" s="87"/>
      <c r="AL54" s="87"/>
      <c r="AM54" s="87"/>
      <c r="AN54" s="87"/>
      <c r="AO54" s="87"/>
      <c r="AQ54" s="779"/>
      <c r="AR54" s="63"/>
      <c r="AS54" s="63"/>
      <c r="AT54" s="63"/>
      <c r="AU54" s="63"/>
      <c r="AV54" s="63"/>
    </row>
    <row r="55" spans="1:48" x14ac:dyDescent="0.2">
      <c r="A55" s="779" t="s">
        <v>4468</v>
      </c>
      <c r="I55" s="63">
        <v>5000</v>
      </c>
      <c r="J55" s="63">
        <v>5000</v>
      </c>
      <c r="K55" s="63">
        <f>ROUND(J55*Assumptions!E$5+J55,-3)</f>
        <v>5000</v>
      </c>
      <c r="L55" s="63">
        <v>0</v>
      </c>
      <c r="M55" s="63">
        <f>ROUND(L55*Assumptions!G$5+L55,-3)</f>
        <v>0</v>
      </c>
      <c r="N55" s="63">
        <f>ROUND(M55*Assumptions!H$5+M55,-3)</f>
        <v>0</v>
      </c>
      <c r="O55" s="63">
        <f>ROUND(N55*Assumptions!I$5+N55,-3)</f>
        <v>0</v>
      </c>
      <c r="P55" s="63">
        <f>ROUND(O55*Assumptions!J$5+O55,-3)</f>
        <v>0</v>
      </c>
      <c r="Q55" s="63">
        <f>ROUND(P55*Assumptions!K$5+P55,-3)</f>
        <v>0</v>
      </c>
      <c r="R55" s="63">
        <f>ROUND(Q55*Assumptions!L$5+Q55,-3)</f>
        <v>0</v>
      </c>
      <c r="S55" s="63">
        <f>ROUND(R55*Assumptions!M$5+R55,-3)</f>
        <v>0</v>
      </c>
      <c r="T55" s="63">
        <f>ROUND(S55*Assumptions!N$5+S55,-3)</f>
        <v>0</v>
      </c>
      <c r="U55" s="63">
        <f>ROUND(T55*Assumptions!O$5+T55,-3)</f>
        <v>0</v>
      </c>
      <c r="V55" s="63">
        <f>ROUND(U55*Assumptions!P$5+U55,-3)</f>
        <v>0</v>
      </c>
      <c r="W55" s="63">
        <f>ROUND(V55*Assumptions!Q$5+V55,-3)</f>
        <v>0</v>
      </c>
      <c r="X55" s="63"/>
      <c r="Y55" s="63"/>
      <c r="AJ55" s="779" t="s">
        <v>1573</v>
      </c>
      <c r="AK55" s="87">
        <v>410000</v>
      </c>
      <c r="AL55" s="87">
        <v>745000</v>
      </c>
      <c r="AM55" s="87">
        <v>886000</v>
      </c>
      <c r="AN55" s="87">
        <v>936000</v>
      </c>
      <c r="AO55" s="87">
        <v>936000</v>
      </c>
      <c r="AQ55" s="779"/>
      <c r="AR55" s="63">
        <f t="shared" ref="AR55:AV55" si="45">I11</f>
        <v>399000</v>
      </c>
      <c r="AS55" s="63">
        <f t="shared" si="45"/>
        <v>745000</v>
      </c>
      <c r="AT55" s="63">
        <f t="shared" si="45"/>
        <v>899000</v>
      </c>
      <c r="AU55" s="63">
        <f t="shared" si="45"/>
        <v>949000</v>
      </c>
      <c r="AV55" s="63">
        <f t="shared" si="45"/>
        <v>949000</v>
      </c>
    </row>
    <row r="56" spans="1:48" x14ac:dyDescent="0.2">
      <c r="A56" s="779" t="s">
        <v>6590</v>
      </c>
      <c r="I56" s="63"/>
      <c r="J56" s="63"/>
      <c r="K56" s="63"/>
      <c r="L56" s="63"/>
      <c r="M56" s="2412">
        <f>4000+26000</f>
        <v>30000</v>
      </c>
      <c r="N56" s="63"/>
      <c r="O56" s="63"/>
      <c r="P56" s="63"/>
      <c r="Q56" s="63"/>
      <c r="R56" s="63"/>
      <c r="S56" s="63"/>
      <c r="T56" s="63"/>
      <c r="U56" s="63"/>
      <c r="V56" s="63"/>
      <c r="W56" s="63"/>
      <c r="X56" s="63"/>
      <c r="Y56" s="63"/>
      <c r="AJ56" s="779"/>
      <c r="AK56" s="87"/>
      <c r="AL56" s="87"/>
      <c r="AM56" s="87"/>
      <c r="AN56" s="87"/>
      <c r="AO56" s="87"/>
      <c r="AQ56" s="779"/>
      <c r="AR56" s="63"/>
      <c r="AS56" s="63"/>
      <c r="AT56" s="63"/>
      <c r="AU56" s="63"/>
      <c r="AV56" s="63"/>
    </row>
    <row r="57" spans="1:48" x14ac:dyDescent="0.2">
      <c r="A57" s="779" t="s">
        <v>4469</v>
      </c>
      <c r="I57" s="63">
        <v>12000</v>
      </c>
      <c r="J57" s="63">
        <v>12000</v>
      </c>
      <c r="K57" s="63">
        <v>0</v>
      </c>
      <c r="L57" s="63">
        <v>0</v>
      </c>
      <c r="M57" s="63">
        <f>ROUND(L57*Assumptions!G$5+L57,-3)</f>
        <v>0</v>
      </c>
      <c r="N57" s="63">
        <f>ROUND(M57*Assumptions!H$5+M57,-3)</f>
        <v>0</v>
      </c>
      <c r="O57" s="63">
        <f>ROUND(N57*Assumptions!I$5+N57,-3)</f>
        <v>0</v>
      </c>
      <c r="P57" s="63">
        <f>ROUND(O57*Assumptions!J$5+O57,-3)</f>
        <v>0</v>
      </c>
      <c r="Q57" s="63">
        <f>ROUND(P57*Assumptions!K$5+P57,-3)</f>
        <v>0</v>
      </c>
      <c r="R57" s="63">
        <f>ROUND(Q57*Assumptions!L$5+Q57,-3)</f>
        <v>0</v>
      </c>
      <c r="S57" s="63">
        <f>ROUND(R57*Assumptions!M$5+R57,-3)</f>
        <v>0</v>
      </c>
      <c r="T57" s="63">
        <f>ROUND(S57*Assumptions!N$5+S57,-3)</f>
        <v>0</v>
      </c>
      <c r="U57" s="63">
        <f>ROUND(T57*Assumptions!O$5+T57,-3)</f>
        <v>0</v>
      </c>
      <c r="V57" s="63">
        <f>ROUND(U57*Assumptions!P$5+U57,-3)</f>
        <v>0</v>
      </c>
      <c r="W57" s="63">
        <f>ROUND(V57*Assumptions!Q$5+V57,-3)</f>
        <v>0</v>
      </c>
      <c r="X57" s="63"/>
      <c r="Y57" s="63"/>
      <c r="AJ57" s="779" t="s">
        <v>4444</v>
      </c>
      <c r="AK57" s="87">
        <v>284000</v>
      </c>
      <c r="AL57" s="87">
        <v>450000</v>
      </c>
      <c r="AM57" s="87">
        <v>473000</v>
      </c>
      <c r="AN57" s="133">
        <v>496000</v>
      </c>
      <c r="AO57" s="133">
        <v>511000</v>
      </c>
      <c r="AP57" s="779"/>
      <c r="AQ57" s="779"/>
      <c r="AR57" s="25">
        <f t="shared" ref="AR57:AV58" si="46">I12</f>
        <v>313000</v>
      </c>
      <c r="AS57" s="25">
        <f t="shared" si="46"/>
        <v>450000</v>
      </c>
      <c r="AT57" s="25">
        <f t="shared" si="46"/>
        <v>302000</v>
      </c>
      <c r="AU57" s="25">
        <f t="shared" si="46"/>
        <v>309000</v>
      </c>
      <c r="AV57" s="63">
        <f t="shared" si="46"/>
        <v>315000</v>
      </c>
    </row>
    <row r="58" spans="1:48" x14ac:dyDescent="0.2">
      <c r="A58" s="779" t="s">
        <v>4470</v>
      </c>
      <c r="I58" s="63">
        <v>15000</v>
      </c>
      <c r="J58" s="63">
        <v>15000</v>
      </c>
      <c r="K58" s="63">
        <f>ROUND(J58*Assumptions!E$5+J58,-3)</f>
        <v>15000</v>
      </c>
      <c r="L58" s="63">
        <v>0</v>
      </c>
      <c r="M58" s="63">
        <f>ROUND(L58*Assumptions!G$5+L58,-3)</f>
        <v>0</v>
      </c>
      <c r="N58" s="63">
        <f>ROUND(M58*Assumptions!H$5+M58,-3)</f>
        <v>0</v>
      </c>
      <c r="O58" s="63">
        <f>ROUND(N58*Assumptions!I$5+N58,-3)</f>
        <v>0</v>
      </c>
      <c r="P58" s="63">
        <f>ROUND(O58*Assumptions!J$5+O58,-3)</f>
        <v>0</v>
      </c>
      <c r="Q58" s="63">
        <f>ROUND(P58*Assumptions!K$5+P58,-3)</f>
        <v>0</v>
      </c>
      <c r="R58" s="63">
        <f>ROUND(Q58*Assumptions!L$5+Q58,-3)</f>
        <v>0</v>
      </c>
      <c r="S58" s="63">
        <f>ROUND(R58*Assumptions!M$5+R58,-3)</f>
        <v>0</v>
      </c>
      <c r="T58" s="63">
        <f>ROUND(S58*Assumptions!N$5+S58,-3)</f>
        <v>0</v>
      </c>
      <c r="U58" s="63">
        <f>ROUND(T58*Assumptions!O$5+T58,-3)</f>
        <v>0</v>
      </c>
      <c r="V58" s="63">
        <f>ROUND(U58*Assumptions!P$5+U58,-3)</f>
        <v>0</v>
      </c>
      <c r="W58" s="63">
        <f>ROUND(V58*Assumptions!Q$5+V58,-3)</f>
        <v>0</v>
      </c>
      <c r="X58" s="63"/>
      <c r="Y58" s="63"/>
      <c r="AJ58" t="s">
        <v>2057</v>
      </c>
      <c r="AK58" s="87">
        <v>40000</v>
      </c>
      <c r="AL58" s="87">
        <v>41000</v>
      </c>
      <c r="AM58" s="87">
        <v>42000</v>
      </c>
      <c r="AN58" s="87">
        <v>43000</v>
      </c>
      <c r="AO58" s="87">
        <v>44000</v>
      </c>
      <c r="AR58" s="63">
        <f t="shared" si="46"/>
        <v>40000</v>
      </c>
      <c r="AS58" s="63">
        <f t="shared" si="46"/>
        <v>41000</v>
      </c>
      <c r="AT58" s="63">
        <f t="shared" si="46"/>
        <v>42000</v>
      </c>
      <c r="AU58" s="63">
        <f t="shared" si="46"/>
        <v>43000</v>
      </c>
      <c r="AV58" s="63">
        <f t="shared" si="46"/>
        <v>44000</v>
      </c>
    </row>
    <row r="59" spans="1:48" x14ac:dyDescent="0.2">
      <c r="A59" s="779" t="s">
        <v>6526</v>
      </c>
      <c r="I59" s="63"/>
      <c r="J59" s="63"/>
      <c r="K59" s="63">
        <v>-25000</v>
      </c>
      <c r="L59" s="63">
        <v>12000</v>
      </c>
      <c r="M59" s="63"/>
      <c r="N59" s="63"/>
      <c r="O59" s="63"/>
      <c r="P59" s="63"/>
      <c r="Q59" s="63"/>
      <c r="R59" s="63"/>
      <c r="S59" s="63"/>
      <c r="T59" s="63"/>
      <c r="U59" s="63"/>
      <c r="V59" s="63"/>
      <c r="W59" s="63"/>
      <c r="X59" s="63"/>
      <c r="Y59" s="63"/>
      <c r="AK59" s="87"/>
      <c r="AL59" s="87"/>
      <c r="AM59" s="87"/>
      <c r="AN59" s="87"/>
      <c r="AO59" s="87"/>
      <c r="AR59" s="63"/>
      <c r="AS59" s="63"/>
      <c r="AT59" s="63"/>
      <c r="AU59" s="63"/>
      <c r="AV59" s="63"/>
    </row>
    <row r="60" spans="1:48" x14ac:dyDescent="0.2">
      <c r="A60" s="779" t="s">
        <v>4471</v>
      </c>
      <c r="I60" s="63">
        <v>3000</v>
      </c>
      <c r="J60" s="63">
        <v>0</v>
      </c>
      <c r="K60" s="63">
        <f>-120000+10000</f>
        <v>-110000</v>
      </c>
      <c r="L60" s="63">
        <v>0</v>
      </c>
      <c r="M60" s="63">
        <f>ROUND(L60*Assumptions!G$5+L60,-3)</f>
        <v>0</v>
      </c>
      <c r="N60" s="63">
        <f>ROUND(M60*Assumptions!H$5+M60,-3)</f>
        <v>0</v>
      </c>
      <c r="O60" s="63">
        <f>ROUND(N60*Assumptions!I$5+N60,-3)</f>
        <v>0</v>
      </c>
      <c r="P60" s="63">
        <f>ROUND(O60*Assumptions!J$5+O60,-3)</f>
        <v>0</v>
      </c>
      <c r="Q60" s="63">
        <f>ROUND(P60*Assumptions!K$5+P60,-3)</f>
        <v>0</v>
      </c>
      <c r="R60" s="63">
        <f>ROUND(Q60*Assumptions!L$5+Q60,-3)</f>
        <v>0</v>
      </c>
      <c r="S60" s="63">
        <f>ROUND(R60*Assumptions!M$5+R60,-3)</f>
        <v>0</v>
      </c>
      <c r="T60" s="63">
        <f>ROUND(S60*Assumptions!N$5+S60,-3)</f>
        <v>0</v>
      </c>
      <c r="U60" s="63">
        <f>ROUND(T60*Assumptions!O$5+T60,-3)</f>
        <v>0</v>
      </c>
      <c r="V60" s="63">
        <f>ROUND(U60*Assumptions!P$5+U60,-3)</f>
        <v>0</v>
      </c>
      <c r="W60" s="63">
        <f>ROUND(V60*Assumptions!Q$5+V60,-3)</f>
        <v>0</v>
      </c>
      <c r="X60" s="63"/>
      <c r="Y60" s="63"/>
      <c r="AJ60" t="s">
        <v>2058</v>
      </c>
      <c r="AK60" s="87">
        <v>33000</v>
      </c>
      <c r="AL60" s="87">
        <v>34000</v>
      </c>
      <c r="AM60" s="87">
        <v>35000</v>
      </c>
      <c r="AN60" s="87">
        <v>36000</v>
      </c>
      <c r="AO60" s="87">
        <v>37000</v>
      </c>
      <c r="AR60" s="63">
        <f t="shared" ref="AR60:AR72" si="47">I14</f>
        <v>33000</v>
      </c>
      <c r="AS60" s="63">
        <f t="shared" ref="AS60:AS72" si="48">J14</f>
        <v>34000</v>
      </c>
      <c r="AT60" s="63">
        <f t="shared" ref="AT60:AT72" si="49">K14</f>
        <v>35000</v>
      </c>
      <c r="AU60" s="63">
        <f t="shared" ref="AU60:AU72" si="50">L14</f>
        <v>36000</v>
      </c>
      <c r="AV60" s="63">
        <f t="shared" ref="AV60:AV72" si="51">M14</f>
        <v>37000</v>
      </c>
    </row>
    <row r="61" spans="1:48" s="4" customFormat="1" x14ac:dyDescent="0.2">
      <c r="A61" s="1000" t="s">
        <v>1530</v>
      </c>
      <c r="B61" s="1000"/>
      <c r="C61" s="1000"/>
      <c r="D61" s="1000"/>
      <c r="E61" s="1000"/>
      <c r="F61" s="1000"/>
      <c r="G61" s="1000"/>
      <c r="H61" s="1000"/>
      <c r="I61" s="1001">
        <f t="shared" ref="I61:U61" si="52">SUM(I52:I60)</f>
        <v>370000</v>
      </c>
      <c r="J61" s="1001">
        <f t="shared" si="52"/>
        <v>381000</v>
      </c>
      <c r="K61" s="1001">
        <f t="shared" si="52"/>
        <v>396000</v>
      </c>
      <c r="L61" s="1001">
        <f t="shared" si="52"/>
        <v>408000</v>
      </c>
      <c r="M61" s="1001">
        <f t="shared" si="52"/>
        <v>424000</v>
      </c>
      <c r="N61" s="1001">
        <f t="shared" si="52"/>
        <v>441000</v>
      </c>
      <c r="O61" s="1001">
        <f t="shared" si="52"/>
        <v>459000</v>
      </c>
      <c r="P61" s="1001">
        <f t="shared" si="52"/>
        <v>477000</v>
      </c>
      <c r="Q61" s="1001">
        <f t="shared" si="52"/>
        <v>489000</v>
      </c>
      <c r="R61" s="1001">
        <f t="shared" si="52"/>
        <v>501000</v>
      </c>
      <c r="S61" s="1001">
        <f t="shared" si="52"/>
        <v>514000</v>
      </c>
      <c r="T61" s="1001">
        <f t="shared" si="52"/>
        <v>527000</v>
      </c>
      <c r="U61" s="1001">
        <f t="shared" si="52"/>
        <v>540000</v>
      </c>
      <c r="V61" s="1001">
        <f t="shared" ref="V61:W61" si="53">SUM(V52:V60)</f>
        <v>554000</v>
      </c>
      <c r="W61" s="1001">
        <f t="shared" si="53"/>
        <v>568000</v>
      </c>
      <c r="X61" s="55"/>
      <c r="Y61" s="55"/>
      <c r="AJ61" t="s">
        <v>3062</v>
      </c>
      <c r="AK61" s="87">
        <v>24000</v>
      </c>
      <c r="AL61" s="87">
        <v>25000</v>
      </c>
      <c r="AM61" s="87">
        <v>26000</v>
      </c>
      <c r="AN61" s="87">
        <v>27000</v>
      </c>
      <c r="AO61" s="87">
        <v>28000</v>
      </c>
      <c r="AQ61"/>
      <c r="AR61" s="63">
        <f t="shared" si="47"/>
        <v>24000</v>
      </c>
      <c r="AS61" s="63">
        <f t="shared" si="48"/>
        <v>25000</v>
      </c>
      <c r="AT61" s="63">
        <f t="shared" si="49"/>
        <v>26000</v>
      </c>
      <c r="AU61" s="63">
        <f t="shared" si="50"/>
        <v>27000</v>
      </c>
      <c r="AV61" s="63">
        <f t="shared" si="51"/>
        <v>28000</v>
      </c>
    </row>
    <row r="62" spans="1:48" s="4" customFormat="1" x14ac:dyDescent="0.2">
      <c r="A62" s="6"/>
      <c r="B62" s="6"/>
      <c r="C62" s="6"/>
      <c r="D62" s="6"/>
      <c r="E62" s="6"/>
      <c r="F62" s="6"/>
      <c r="G62" s="6"/>
      <c r="H62" s="6"/>
      <c r="I62" s="6"/>
      <c r="J62" s="6"/>
      <c r="K62" s="55"/>
      <c r="L62" s="55"/>
      <c r="M62" s="55"/>
      <c r="N62" s="55"/>
      <c r="O62" s="55"/>
      <c r="P62" s="55"/>
      <c r="Q62" s="55"/>
      <c r="R62" s="55"/>
      <c r="S62" s="55"/>
      <c r="T62" s="55"/>
      <c r="U62" s="55"/>
      <c r="V62" s="55"/>
      <c r="W62" s="55"/>
      <c r="X62" s="55"/>
      <c r="Y62" s="55"/>
      <c r="AJ62" t="s">
        <v>2059</v>
      </c>
      <c r="AK62" s="87">
        <v>40000</v>
      </c>
      <c r="AL62" s="87">
        <v>41000</v>
      </c>
      <c r="AM62" s="87">
        <v>42000</v>
      </c>
      <c r="AN62" s="87">
        <v>43000</v>
      </c>
      <c r="AO62" s="87">
        <v>44000</v>
      </c>
      <c r="AQ62"/>
      <c r="AR62" s="63">
        <f t="shared" si="47"/>
        <v>40000</v>
      </c>
      <c r="AS62" s="63">
        <f t="shared" si="48"/>
        <v>41000</v>
      </c>
      <c r="AT62" s="63">
        <f t="shared" si="49"/>
        <v>42000</v>
      </c>
      <c r="AU62" s="63">
        <f t="shared" si="50"/>
        <v>43000</v>
      </c>
      <c r="AV62" s="63">
        <f t="shared" si="51"/>
        <v>44000</v>
      </c>
    </row>
    <row r="63" spans="1:48" s="4" customFormat="1" x14ac:dyDescent="0.2">
      <c r="A63" s="4" t="s">
        <v>1231</v>
      </c>
      <c r="I63" s="44">
        <f t="shared" ref="I63:L63" si="54">I50-I61</f>
        <v>0</v>
      </c>
      <c r="J63" s="44">
        <f t="shared" si="54"/>
        <v>0</v>
      </c>
      <c r="K63" s="44">
        <f t="shared" si="54"/>
        <v>0</v>
      </c>
      <c r="L63" s="44">
        <f t="shared" si="54"/>
        <v>0</v>
      </c>
      <c r="M63" s="44">
        <f>M50-M61</f>
        <v>0</v>
      </c>
      <c r="N63" s="44">
        <f>N50-N61</f>
        <v>0</v>
      </c>
      <c r="O63" s="44">
        <f>O50-O61</f>
        <v>0</v>
      </c>
      <c r="P63" s="44">
        <f>P50-P61</f>
        <v>0</v>
      </c>
      <c r="Q63" s="44">
        <f t="shared" ref="Q63:V63" si="55">Q50-Q61</f>
        <v>0</v>
      </c>
      <c r="R63" s="44">
        <f t="shared" si="55"/>
        <v>0</v>
      </c>
      <c r="S63" s="44">
        <f t="shared" si="55"/>
        <v>0</v>
      </c>
      <c r="T63" s="44">
        <f t="shared" si="55"/>
        <v>0</v>
      </c>
      <c r="U63" s="44">
        <f t="shared" si="55"/>
        <v>0</v>
      </c>
      <c r="V63" s="44">
        <f t="shared" si="55"/>
        <v>0</v>
      </c>
      <c r="W63" s="44">
        <f t="shared" ref="W63" si="56">W50-W61</f>
        <v>0</v>
      </c>
      <c r="X63" s="44"/>
      <c r="Y63" s="44"/>
      <c r="AJ63" t="s">
        <v>2525</v>
      </c>
      <c r="AK63" s="87">
        <v>-19000</v>
      </c>
      <c r="AL63" s="87">
        <v>-20000</v>
      </c>
      <c r="AM63" s="87">
        <v>-21000</v>
      </c>
      <c r="AN63" s="87">
        <v>-22000</v>
      </c>
      <c r="AO63" s="87">
        <v>-23000</v>
      </c>
      <c r="AQ63"/>
      <c r="AR63" s="63">
        <f t="shared" si="47"/>
        <v>-19000</v>
      </c>
      <c r="AS63" s="63">
        <f t="shared" si="48"/>
        <v>-20000</v>
      </c>
      <c r="AT63" s="63">
        <f t="shared" si="49"/>
        <v>-21000</v>
      </c>
      <c r="AU63" s="63">
        <f t="shared" si="50"/>
        <v>-22000</v>
      </c>
      <c r="AV63" s="63">
        <f t="shared" si="51"/>
        <v>-22000</v>
      </c>
    </row>
    <row r="64" spans="1:48" x14ac:dyDescent="0.2">
      <c r="K64" s="999"/>
      <c r="AJ64" t="s">
        <v>2060</v>
      </c>
      <c r="AK64" s="87">
        <v>65000</v>
      </c>
      <c r="AL64" s="87">
        <v>67000</v>
      </c>
      <c r="AM64" s="87">
        <v>69000</v>
      </c>
      <c r="AN64" s="87">
        <v>71000</v>
      </c>
      <c r="AO64" s="87">
        <v>73000</v>
      </c>
      <c r="AR64" s="63">
        <f t="shared" si="47"/>
        <v>65000</v>
      </c>
      <c r="AS64" s="63">
        <f t="shared" si="48"/>
        <v>67000</v>
      </c>
      <c r="AT64" s="63">
        <f t="shared" si="49"/>
        <v>69000</v>
      </c>
      <c r="AU64" s="63">
        <f t="shared" si="50"/>
        <v>71000</v>
      </c>
      <c r="AV64" s="63">
        <f t="shared" si="51"/>
        <v>72000</v>
      </c>
    </row>
    <row r="65" spans="1:48" x14ac:dyDescent="0.2">
      <c r="A65" s="4" t="s">
        <v>1939</v>
      </c>
      <c r="E65" s="1285" t="s">
        <v>297</v>
      </c>
      <c r="F65" s="1285" t="s">
        <v>2908</v>
      </c>
      <c r="G65" s="1285" t="s">
        <v>226</v>
      </c>
      <c r="H65" s="248" t="str">
        <f t="shared" ref="H65:U65" si="57">H47</f>
        <v>2011/12</v>
      </c>
      <c r="I65" s="1420" t="str">
        <f t="shared" si="57"/>
        <v>2012/13</v>
      </c>
      <c r="J65" s="1420" t="str">
        <f t="shared" si="57"/>
        <v>2013/14</v>
      </c>
      <c r="K65" s="1420" t="str">
        <f t="shared" si="57"/>
        <v>2014/15</v>
      </c>
      <c r="L65" s="1420" t="str">
        <f t="shared" si="57"/>
        <v>2015/16</v>
      </c>
      <c r="M65" s="1420" t="str">
        <f t="shared" si="57"/>
        <v>2016/17</v>
      </c>
      <c r="N65" s="1420" t="str">
        <f t="shared" si="57"/>
        <v>2017/18</v>
      </c>
      <c r="O65" s="1420" t="str">
        <f t="shared" si="57"/>
        <v>2018/19</v>
      </c>
      <c r="P65" s="1420" t="str">
        <f t="shared" si="57"/>
        <v>2019/20</v>
      </c>
      <c r="Q65" s="1420" t="str">
        <f t="shared" si="57"/>
        <v>2020/21</v>
      </c>
      <c r="R65" s="1420" t="str">
        <f t="shared" si="57"/>
        <v>2021/22</v>
      </c>
      <c r="S65" s="1420" t="str">
        <f t="shared" si="57"/>
        <v>2022/23</v>
      </c>
      <c r="T65" s="1420" t="str">
        <f t="shared" si="57"/>
        <v>2023/24</v>
      </c>
      <c r="U65" s="1617" t="str">
        <f t="shared" si="57"/>
        <v>2024/25</v>
      </c>
      <c r="V65" s="2091" t="str">
        <f t="shared" ref="V65:W65" si="58">V47</f>
        <v>2025/26</v>
      </c>
      <c r="W65" s="2655" t="str">
        <f t="shared" si="58"/>
        <v>2026/27</v>
      </c>
      <c r="X65" s="2655"/>
      <c r="Y65" s="2655"/>
      <c r="AJ65" t="s">
        <v>2526</v>
      </c>
      <c r="AK65" s="87">
        <v>-40500</v>
      </c>
      <c r="AL65" s="87">
        <v>-42000</v>
      </c>
      <c r="AM65" s="87">
        <v>-43000</v>
      </c>
      <c r="AN65" s="87">
        <v>-44000</v>
      </c>
      <c r="AO65" s="87">
        <v>-45000</v>
      </c>
      <c r="AR65" s="63">
        <f t="shared" si="47"/>
        <v>-40500</v>
      </c>
      <c r="AS65" s="63">
        <f t="shared" si="48"/>
        <v>-42000</v>
      </c>
      <c r="AT65" s="63">
        <f t="shared" si="49"/>
        <v>-43000</v>
      </c>
      <c r="AU65" s="63">
        <f t="shared" si="50"/>
        <v>-44000</v>
      </c>
      <c r="AV65" s="63">
        <f t="shared" si="51"/>
        <v>-45000</v>
      </c>
    </row>
    <row r="66" spans="1:48" x14ac:dyDescent="0.2">
      <c r="A66" s="779" t="s">
        <v>2232</v>
      </c>
      <c r="E66" s="63">
        <v>140000</v>
      </c>
      <c r="F66" s="63">
        <f>ROUND((E69*1.03)-30000,-3)</f>
        <v>114000</v>
      </c>
      <c r="G66" s="63">
        <f t="shared" ref="G66:H66" si="59">ROUND(F69*1.03,-3)</f>
        <v>117000</v>
      </c>
      <c r="H66" s="63">
        <f t="shared" si="59"/>
        <v>121000</v>
      </c>
      <c r="I66" s="63">
        <f>ROUND(H69*1.03,-3)</f>
        <v>192000</v>
      </c>
      <c r="J66" s="63">
        <f>ROUND(I69*1.03,-3)</f>
        <v>198000</v>
      </c>
      <c r="K66" s="63">
        <f>ROUND(J69*1.03,-3)+2000</f>
        <v>206000</v>
      </c>
      <c r="L66" s="63">
        <f>ROUND(K66*Assumptions!F$6+K66,-3)</f>
        <v>212000</v>
      </c>
      <c r="M66" s="63">
        <f>ROUND(L69*Assumptions!G$6+L69,-3)</f>
        <v>220000</v>
      </c>
      <c r="N66" s="63">
        <f>ROUND(M69*Assumptions!H$6+M69,-3)</f>
        <v>229000</v>
      </c>
      <c r="O66" s="63">
        <f>ROUND(N69*Assumptions!I$6+N69,-3)</f>
        <v>238000</v>
      </c>
      <c r="P66" s="63">
        <f>ROUND(O69*Assumptions!J$6+O69,-3)</f>
        <v>248000</v>
      </c>
      <c r="Q66" s="63">
        <f>ROUND(P69*Assumptions!K$6+P69,-3)</f>
        <v>254000</v>
      </c>
      <c r="R66" s="63">
        <f>ROUND(Q69*Assumptions!L$6+Q69,-3)</f>
        <v>260000</v>
      </c>
      <c r="S66" s="63">
        <f>ROUND(R69*Assumptions!M$6+R69,-3)</f>
        <v>267000</v>
      </c>
      <c r="T66" s="63">
        <f>ROUND(S69*Assumptions!N$6+S69,-3)</f>
        <v>274000</v>
      </c>
      <c r="U66" s="63">
        <f>ROUND(T69*Assumptions!O$6+T69,-3)</f>
        <v>281000</v>
      </c>
      <c r="V66" s="63">
        <f>ROUND(U69*Assumptions!P$6+U69,-3)</f>
        <v>288000</v>
      </c>
      <c r="W66" s="63">
        <f>ROUND(V69*Assumptions!Q$6+V69,-3)</f>
        <v>295000</v>
      </c>
      <c r="X66" s="63"/>
      <c r="Y66" s="63"/>
      <c r="AJ66" t="s">
        <v>2061</v>
      </c>
      <c r="AK66" s="87">
        <v>68000</v>
      </c>
      <c r="AL66" s="87">
        <v>70000</v>
      </c>
      <c r="AM66" s="87">
        <v>72000</v>
      </c>
      <c r="AN66" s="87">
        <v>74000</v>
      </c>
      <c r="AO66" s="87">
        <v>76000</v>
      </c>
      <c r="AR66" s="63">
        <f t="shared" si="47"/>
        <v>68000</v>
      </c>
      <c r="AS66" s="63">
        <f t="shared" si="48"/>
        <v>70000</v>
      </c>
      <c r="AT66" s="63">
        <f t="shared" si="49"/>
        <v>72000</v>
      </c>
      <c r="AU66" s="63">
        <f t="shared" si="50"/>
        <v>74000</v>
      </c>
      <c r="AV66" s="63">
        <f t="shared" si="51"/>
        <v>75000</v>
      </c>
    </row>
    <row r="67" spans="1:48" x14ac:dyDescent="0.2">
      <c r="A67" s="779" t="s">
        <v>2233</v>
      </c>
      <c r="E67" s="63">
        <v>0</v>
      </c>
      <c r="F67" s="63">
        <v>0</v>
      </c>
      <c r="G67" s="63">
        <v>0</v>
      </c>
      <c r="H67" s="63">
        <v>65000</v>
      </c>
      <c r="I67" s="63"/>
      <c r="J67" s="63"/>
      <c r="K67" s="63"/>
      <c r="L67" s="63"/>
      <c r="M67" s="63"/>
      <c r="N67" s="63"/>
      <c r="O67" s="63"/>
      <c r="P67" s="63"/>
      <c r="Q67" s="63"/>
      <c r="R67" s="63"/>
      <c r="S67" s="63"/>
      <c r="T67" s="63"/>
      <c r="U67" s="63"/>
      <c r="V67" s="63"/>
      <c r="W67" s="63"/>
      <c r="X67" s="63"/>
      <c r="Y67" s="63"/>
      <c r="AJ67" t="s">
        <v>2062</v>
      </c>
      <c r="AK67" s="87">
        <v>92000</v>
      </c>
      <c r="AL67" s="87">
        <v>95000</v>
      </c>
      <c r="AM67" s="87">
        <v>98000</v>
      </c>
      <c r="AN67" s="87">
        <v>101000</v>
      </c>
      <c r="AO67" s="87">
        <v>104000</v>
      </c>
      <c r="AR67" s="63">
        <f t="shared" si="47"/>
        <v>92000</v>
      </c>
      <c r="AS67" s="63">
        <f t="shared" si="48"/>
        <v>95000</v>
      </c>
      <c r="AT67" s="63">
        <f t="shared" si="49"/>
        <v>98000</v>
      </c>
      <c r="AU67" s="63">
        <f t="shared" si="50"/>
        <v>100000</v>
      </c>
      <c r="AV67" s="63">
        <f t="shared" si="51"/>
        <v>102000</v>
      </c>
    </row>
    <row r="68" spans="1:48" x14ac:dyDescent="0.2">
      <c r="A68" s="779"/>
      <c r="E68" s="63"/>
      <c r="F68" s="63"/>
      <c r="G68" s="63"/>
      <c r="H68" s="63"/>
      <c r="I68" s="63"/>
      <c r="J68" s="63"/>
      <c r="K68" s="63"/>
      <c r="L68" s="63"/>
      <c r="M68" s="63"/>
      <c r="N68" s="63"/>
      <c r="O68" s="63"/>
      <c r="P68" s="63"/>
      <c r="Q68" s="63"/>
      <c r="R68" s="63"/>
      <c r="S68" s="63"/>
      <c r="T68" s="63"/>
      <c r="U68" s="63"/>
      <c r="V68" s="63"/>
      <c r="W68" s="63"/>
      <c r="X68" s="63"/>
      <c r="Y68" s="63"/>
      <c r="AJ68" t="s">
        <v>2523</v>
      </c>
      <c r="AK68" s="87">
        <v>-9000</v>
      </c>
      <c r="AL68" s="87">
        <v>-9000</v>
      </c>
      <c r="AM68" s="87">
        <v>-9000</v>
      </c>
      <c r="AN68" s="87">
        <v>-9000</v>
      </c>
      <c r="AO68" s="87">
        <v>-9000</v>
      </c>
      <c r="AR68" s="63">
        <f t="shared" si="47"/>
        <v>-9000</v>
      </c>
      <c r="AS68" s="63">
        <f t="shared" si="48"/>
        <v>-9000</v>
      </c>
      <c r="AT68" s="63">
        <f t="shared" si="49"/>
        <v>-9000</v>
      </c>
      <c r="AU68" s="63">
        <f t="shared" si="50"/>
        <v>-9000</v>
      </c>
      <c r="AV68" s="63">
        <f t="shared" si="51"/>
        <v>-9000</v>
      </c>
    </row>
    <row r="69" spans="1:48" x14ac:dyDescent="0.2">
      <c r="E69" s="1001">
        <f t="shared" ref="E69:T69" si="60">SUM(E66:E68)</f>
        <v>140000</v>
      </c>
      <c r="F69" s="1001">
        <f t="shared" si="60"/>
        <v>114000</v>
      </c>
      <c r="G69" s="1001">
        <f t="shared" si="60"/>
        <v>117000</v>
      </c>
      <c r="H69" s="1001">
        <f t="shared" si="60"/>
        <v>186000</v>
      </c>
      <c r="I69" s="1001">
        <f t="shared" si="60"/>
        <v>192000</v>
      </c>
      <c r="J69" s="1001">
        <f t="shared" si="60"/>
        <v>198000</v>
      </c>
      <c r="K69" s="1001">
        <f t="shared" si="60"/>
        <v>206000</v>
      </c>
      <c r="L69" s="1001">
        <f t="shared" si="60"/>
        <v>212000</v>
      </c>
      <c r="M69" s="1001">
        <f t="shared" si="60"/>
        <v>220000</v>
      </c>
      <c r="N69" s="1001">
        <f t="shared" si="60"/>
        <v>229000</v>
      </c>
      <c r="O69" s="1001">
        <f t="shared" si="60"/>
        <v>238000</v>
      </c>
      <c r="P69" s="1001">
        <f t="shared" si="60"/>
        <v>248000</v>
      </c>
      <c r="Q69" s="1001">
        <f t="shared" si="60"/>
        <v>254000</v>
      </c>
      <c r="R69" s="1001">
        <f t="shared" si="60"/>
        <v>260000</v>
      </c>
      <c r="S69" s="1001">
        <f t="shared" si="60"/>
        <v>267000</v>
      </c>
      <c r="T69" s="1001">
        <f t="shared" si="60"/>
        <v>274000</v>
      </c>
      <c r="U69" s="1001">
        <f t="shared" ref="U69:V69" si="61">SUM(U66:U68)</f>
        <v>281000</v>
      </c>
      <c r="V69" s="1001">
        <f t="shared" si="61"/>
        <v>288000</v>
      </c>
      <c r="W69" s="1001">
        <f t="shared" ref="W69" si="62">SUM(W66:W68)</f>
        <v>295000</v>
      </c>
      <c r="X69" s="55"/>
      <c r="Y69" s="55"/>
      <c r="AJ69" t="s">
        <v>2377</v>
      </c>
      <c r="AK69" s="87">
        <v>60000</v>
      </c>
      <c r="AL69" s="87">
        <v>62000</v>
      </c>
      <c r="AM69" s="87">
        <v>64000</v>
      </c>
      <c r="AN69" s="87">
        <v>66000</v>
      </c>
      <c r="AO69" s="87">
        <v>68000</v>
      </c>
      <c r="AR69" s="63">
        <f t="shared" si="47"/>
        <v>60000</v>
      </c>
      <c r="AS69" s="63">
        <f t="shared" si="48"/>
        <v>62000</v>
      </c>
      <c r="AT69" s="63">
        <f t="shared" si="49"/>
        <v>64000</v>
      </c>
      <c r="AU69" s="63">
        <f t="shared" si="50"/>
        <v>66000</v>
      </c>
      <c r="AV69" s="63">
        <f t="shared" si="51"/>
        <v>67000</v>
      </c>
    </row>
    <row r="70" spans="1:48" x14ac:dyDescent="0.2">
      <c r="AJ70" t="s">
        <v>2524</v>
      </c>
      <c r="AK70" s="87">
        <v>-73500</v>
      </c>
      <c r="AL70" s="87">
        <v>-76000</v>
      </c>
      <c r="AM70" s="87">
        <v>-78000</v>
      </c>
      <c r="AN70" s="87">
        <v>-80000</v>
      </c>
      <c r="AO70" s="87">
        <v>-82000</v>
      </c>
      <c r="AR70" s="63">
        <f t="shared" si="47"/>
        <v>-73500</v>
      </c>
      <c r="AS70" s="63">
        <f t="shared" si="48"/>
        <v>-76000</v>
      </c>
      <c r="AT70" s="63">
        <f t="shared" si="49"/>
        <v>-78000</v>
      </c>
      <c r="AU70" s="63">
        <f t="shared" si="50"/>
        <v>-80000</v>
      </c>
      <c r="AV70" s="63">
        <f t="shared" si="51"/>
        <v>-82000</v>
      </c>
    </row>
    <row r="71" spans="1:48" x14ac:dyDescent="0.2">
      <c r="A71" s="779" t="s">
        <v>528</v>
      </c>
      <c r="E71" s="745">
        <v>140000</v>
      </c>
      <c r="F71" s="745">
        <v>114000</v>
      </c>
      <c r="G71" s="745">
        <v>117000</v>
      </c>
      <c r="H71" s="745">
        <v>186000</v>
      </c>
      <c r="I71" s="745">
        <v>192000</v>
      </c>
      <c r="J71" s="745">
        <v>198000</v>
      </c>
      <c r="K71" s="745">
        <v>155400</v>
      </c>
      <c r="L71" s="63">
        <f>'Cap-Gen'!E97</f>
        <v>0</v>
      </c>
      <c r="M71" s="745">
        <f>SUM('Cap-Gen'!F97:F103)</f>
        <v>178700</v>
      </c>
      <c r="N71" s="745">
        <f>'Cap-Gen'!G97</f>
        <v>204000</v>
      </c>
      <c r="O71" s="745">
        <f>'Cap-Gen'!H97</f>
        <v>238000</v>
      </c>
      <c r="P71" s="745">
        <f>'Cap-Gen'!I97</f>
        <v>248000</v>
      </c>
      <c r="Q71" s="745">
        <f>'Cap-Gen'!J97</f>
        <v>254000</v>
      </c>
      <c r="R71" s="745">
        <f>'Cap-Gen'!K97</f>
        <v>260000</v>
      </c>
      <c r="S71" s="745">
        <f>'Cap-Gen'!L97</f>
        <v>267000</v>
      </c>
      <c r="T71" s="745">
        <f>'Cap-Gen'!M97</f>
        <v>274000</v>
      </c>
      <c r="U71" s="745">
        <f>'Cap-Gen'!N97</f>
        <v>281000</v>
      </c>
      <c r="V71" s="745">
        <f>'Cap-Gen'!O97</f>
        <v>288000</v>
      </c>
      <c r="W71" s="745">
        <f>'Cap-Gen'!P97</f>
        <v>295000</v>
      </c>
      <c r="X71" s="745"/>
      <c r="Y71" s="745"/>
      <c r="AJ71" s="779" t="s">
        <v>529</v>
      </c>
      <c r="AK71" s="87">
        <v>-110000</v>
      </c>
      <c r="AL71" s="87">
        <v>-121500</v>
      </c>
      <c r="AM71" s="87">
        <v>-2500</v>
      </c>
      <c r="AN71" s="87">
        <v>-51500</v>
      </c>
      <c r="AO71" s="87">
        <v>-54500</v>
      </c>
      <c r="AQ71" s="779"/>
      <c r="AR71" s="63">
        <f t="shared" si="47"/>
        <v>-110000</v>
      </c>
      <c r="AS71" s="63">
        <f t="shared" si="48"/>
        <v>-121500</v>
      </c>
      <c r="AT71" s="63">
        <f t="shared" si="49"/>
        <v>-127700</v>
      </c>
      <c r="AU71" s="63">
        <f t="shared" si="50"/>
        <v>-110000</v>
      </c>
      <c r="AV71" s="63">
        <f t="shared" si="51"/>
        <v>-110000</v>
      </c>
    </row>
    <row r="72" spans="1:48" x14ac:dyDescent="0.2">
      <c r="A72" s="779" t="s">
        <v>4464</v>
      </c>
      <c r="E72" s="745"/>
      <c r="F72" s="745"/>
      <c r="G72" s="745"/>
      <c r="H72" s="745"/>
      <c r="I72" s="745"/>
      <c r="J72" s="745"/>
      <c r="K72" s="745"/>
      <c r="L72" s="63">
        <v>-9000</v>
      </c>
      <c r="M72" s="63">
        <v>-3000</v>
      </c>
      <c r="N72" s="745"/>
      <c r="O72" s="745"/>
      <c r="P72" s="745"/>
      <c r="Q72" s="745"/>
      <c r="R72" s="745"/>
      <c r="S72" s="745"/>
      <c r="T72" s="745"/>
      <c r="U72" s="745"/>
      <c r="V72" s="745"/>
      <c r="W72" s="745"/>
      <c r="X72" s="745"/>
      <c r="Y72" s="745"/>
      <c r="AJ72" s="779" t="s">
        <v>1230</v>
      </c>
      <c r="AK72" s="87">
        <v>-256000</v>
      </c>
      <c r="AL72" s="87">
        <v>-192000</v>
      </c>
      <c r="AM72" s="87">
        <v>-192000</v>
      </c>
      <c r="AN72" s="87">
        <v>-192000</v>
      </c>
      <c r="AO72" s="87">
        <v>-128000</v>
      </c>
      <c r="AQ72" s="779"/>
      <c r="AR72" s="63">
        <f t="shared" si="47"/>
        <v>-256000</v>
      </c>
      <c r="AS72" s="63">
        <f t="shared" si="48"/>
        <v>-192000</v>
      </c>
      <c r="AT72" s="63">
        <f t="shared" si="49"/>
        <v>-192000</v>
      </c>
      <c r="AU72" s="63">
        <f t="shared" si="50"/>
        <v>-195000</v>
      </c>
      <c r="AV72" s="63">
        <f t="shared" si="51"/>
        <v>-130000</v>
      </c>
    </row>
    <row r="73" spans="1:48" x14ac:dyDescent="0.2">
      <c r="A73" s="779" t="s">
        <v>5907</v>
      </c>
      <c r="E73" s="745"/>
      <c r="F73" s="745"/>
      <c r="G73" s="745"/>
      <c r="H73" s="745"/>
      <c r="I73" s="745"/>
      <c r="J73" s="745"/>
      <c r="K73" s="745"/>
      <c r="L73" s="745"/>
      <c r="M73" s="745"/>
      <c r="N73" s="745"/>
      <c r="O73" s="745"/>
      <c r="P73" s="87"/>
      <c r="Q73" s="87"/>
      <c r="R73" s="87"/>
      <c r="S73" s="87"/>
      <c r="T73" s="87"/>
      <c r="U73" s="87"/>
      <c r="V73" s="87"/>
      <c r="W73" s="87"/>
      <c r="X73" s="87"/>
      <c r="Y73" s="87"/>
      <c r="AJ73" s="779"/>
      <c r="AK73" s="87"/>
      <c r="AL73" s="87"/>
      <c r="AM73" s="87"/>
      <c r="AN73" s="87"/>
      <c r="AO73" s="87"/>
      <c r="AQ73" s="779"/>
      <c r="AR73" s="63"/>
      <c r="AS73" s="63"/>
      <c r="AT73" s="63"/>
      <c r="AU73" s="63"/>
      <c r="AV73" s="63"/>
    </row>
    <row r="74" spans="1:48" x14ac:dyDescent="0.2">
      <c r="A74" s="779" t="s">
        <v>4432</v>
      </c>
      <c r="E74" s="745"/>
      <c r="F74" s="745"/>
      <c r="G74" s="745"/>
      <c r="H74" s="745"/>
      <c r="I74" s="745"/>
      <c r="J74" s="745"/>
      <c r="K74" s="745">
        <v>30000</v>
      </c>
      <c r="L74" s="745">
        <v>21000</v>
      </c>
      <c r="M74" s="745"/>
      <c r="N74" s="745"/>
      <c r="O74" s="745"/>
      <c r="P74" s="87"/>
      <c r="Q74" s="87"/>
      <c r="R74" s="87"/>
      <c r="S74" s="87"/>
      <c r="T74" s="87"/>
      <c r="U74" s="87"/>
      <c r="V74" s="87"/>
      <c r="W74" s="87"/>
      <c r="X74" s="87"/>
      <c r="Y74" s="87"/>
      <c r="AJ74" t="s">
        <v>4447</v>
      </c>
      <c r="AK74" s="87">
        <v>5000</v>
      </c>
      <c r="AL74" s="87">
        <v>0</v>
      </c>
      <c r="AM74" s="87">
        <v>0</v>
      </c>
      <c r="AN74" s="87">
        <v>0</v>
      </c>
      <c r="AO74" s="87">
        <v>0</v>
      </c>
      <c r="AP74" s="87"/>
      <c r="AQ74" s="779" t="s">
        <v>4451</v>
      </c>
      <c r="AR74" s="63">
        <f t="shared" ref="AR74:AV75" si="63">I27</f>
        <v>0</v>
      </c>
      <c r="AS74" s="63">
        <f t="shared" si="63"/>
        <v>0</v>
      </c>
      <c r="AT74" s="63">
        <f t="shared" si="63"/>
        <v>-226000</v>
      </c>
      <c r="AU74" s="63">
        <f t="shared" si="63"/>
        <v>-318600</v>
      </c>
      <c r="AV74" s="63">
        <f t="shared" si="63"/>
        <v>-312000</v>
      </c>
    </row>
    <row r="75" spans="1:48" x14ac:dyDescent="0.2">
      <c r="A75" s="779" t="s">
        <v>4433</v>
      </c>
      <c r="E75" s="745"/>
      <c r="F75" s="745"/>
      <c r="G75" s="745"/>
      <c r="H75" s="745"/>
      <c r="I75" s="745"/>
      <c r="J75" s="745"/>
      <c r="K75" s="745">
        <v>10000</v>
      </c>
      <c r="L75" s="745"/>
      <c r="M75" s="745"/>
      <c r="N75" s="745"/>
      <c r="AJ75" t="s">
        <v>4448</v>
      </c>
      <c r="AK75" s="87">
        <v>-18000</v>
      </c>
      <c r="AL75" s="87">
        <v>0</v>
      </c>
      <c r="AM75" s="87">
        <v>0</v>
      </c>
      <c r="AN75" s="87">
        <v>0</v>
      </c>
      <c r="AO75" s="87">
        <v>0</v>
      </c>
      <c r="AQ75" s="779" t="s">
        <v>4452</v>
      </c>
      <c r="AR75" s="63">
        <f t="shared" si="63"/>
        <v>0</v>
      </c>
      <c r="AS75" s="63">
        <f t="shared" si="63"/>
        <v>0</v>
      </c>
      <c r="AT75" s="63">
        <f t="shared" si="63"/>
        <v>-283000</v>
      </c>
      <c r="AU75" s="63">
        <f t="shared" si="63"/>
        <v>-320600</v>
      </c>
      <c r="AV75" s="63">
        <f t="shared" si="63"/>
        <v>-302000</v>
      </c>
    </row>
    <row r="76" spans="1:48" x14ac:dyDescent="0.2">
      <c r="A76" s="779" t="s">
        <v>6054</v>
      </c>
      <c r="E76" s="745"/>
      <c r="F76" s="745"/>
      <c r="G76" s="745"/>
      <c r="H76" s="745"/>
      <c r="I76" s="745"/>
      <c r="J76" s="745"/>
      <c r="K76" s="745"/>
      <c r="L76" s="745">
        <v>200000</v>
      </c>
      <c r="M76" s="745">
        <v>25000</v>
      </c>
      <c r="N76" s="745">
        <v>25000</v>
      </c>
      <c r="AK76" s="87"/>
      <c r="AL76" s="87"/>
      <c r="AM76" s="87"/>
      <c r="AN76" s="87"/>
      <c r="AO76" s="87"/>
      <c r="AQ76" s="779"/>
      <c r="AR76" s="63"/>
      <c r="AS76" s="63"/>
      <c r="AT76" s="63"/>
      <c r="AU76" s="63"/>
      <c r="AV76" s="63"/>
    </row>
    <row r="77" spans="1:48" x14ac:dyDescent="0.2">
      <c r="A77" s="779" t="s">
        <v>4475</v>
      </c>
      <c r="E77" s="745"/>
      <c r="F77" s="745"/>
      <c r="G77" s="745"/>
      <c r="H77" s="745"/>
      <c r="I77" s="745"/>
      <c r="J77" s="745"/>
      <c r="K77" s="745">
        <v>10600</v>
      </c>
      <c r="L77" s="745"/>
      <c r="M77" s="745"/>
      <c r="N77" s="745"/>
      <c r="AJ77" t="s">
        <v>4449</v>
      </c>
      <c r="AK77" s="87">
        <v>0</v>
      </c>
      <c r="AL77" s="87">
        <v>9000</v>
      </c>
      <c r="AM77" s="87">
        <v>0</v>
      </c>
      <c r="AN77" s="87">
        <v>0</v>
      </c>
      <c r="AO77" s="87">
        <v>0</v>
      </c>
      <c r="AQ77" s="779" t="s">
        <v>4453</v>
      </c>
      <c r="AR77" s="63">
        <f>I32</f>
        <v>0</v>
      </c>
      <c r="AS77" s="63">
        <f>J32</f>
        <v>0</v>
      </c>
      <c r="AT77" s="63">
        <f>K32</f>
        <v>358000</v>
      </c>
      <c r="AU77" s="63">
        <f>L32</f>
        <v>-100000</v>
      </c>
      <c r="AV77" s="63">
        <f>M32</f>
        <v>0</v>
      </c>
    </row>
    <row r="78" spans="1:48" x14ac:dyDescent="0.2">
      <c r="A78" s="779" t="s">
        <v>7086</v>
      </c>
      <c r="E78" s="745"/>
      <c r="F78" s="745"/>
      <c r="G78" s="745"/>
      <c r="H78" s="745"/>
      <c r="I78" s="745"/>
      <c r="J78" s="745"/>
      <c r="K78" s="745"/>
      <c r="L78" s="87"/>
      <c r="M78" s="2793">
        <v>15000</v>
      </c>
      <c r="N78" s="87"/>
      <c r="O78" s="87"/>
      <c r="P78" s="87"/>
      <c r="Q78" s="87"/>
      <c r="R78" s="87"/>
      <c r="S78" s="87"/>
      <c r="T78" s="87"/>
      <c r="U78" s="87"/>
      <c r="V78" s="87"/>
      <c r="W78" s="87"/>
      <c r="X78" s="87"/>
      <c r="Y78" s="87"/>
      <c r="AK78" s="87"/>
      <c r="AL78" s="87"/>
      <c r="AM78" s="87"/>
      <c r="AN78" s="87"/>
      <c r="AO78" s="87"/>
      <c r="AQ78" s="779"/>
      <c r="AR78" s="63"/>
      <c r="AS78" s="63"/>
      <c r="AT78" s="63"/>
      <c r="AU78" s="63"/>
      <c r="AV78" s="63"/>
    </row>
    <row r="79" spans="1:48" x14ac:dyDescent="0.2">
      <c r="A79" s="779" t="s">
        <v>7088</v>
      </c>
      <c r="E79" s="745"/>
      <c r="F79" s="745"/>
      <c r="G79" s="745"/>
      <c r="H79" s="745"/>
      <c r="I79" s="745"/>
      <c r="J79" s="745"/>
      <c r="K79" s="745"/>
      <c r="L79" s="87"/>
      <c r="M79" s="2793">
        <v>11300</v>
      </c>
      <c r="N79" s="87"/>
      <c r="O79" s="87"/>
      <c r="P79" s="87"/>
      <c r="Q79" s="87"/>
      <c r="R79" s="87"/>
      <c r="S79" s="87"/>
      <c r="T79" s="87"/>
      <c r="U79" s="87"/>
      <c r="V79" s="87"/>
      <c r="W79" s="87"/>
      <c r="X79" s="87"/>
      <c r="Y79" s="87"/>
      <c r="AK79" s="87"/>
      <c r="AL79" s="87"/>
      <c r="AM79" s="87"/>
      <c r="AN79" s="87"/>
      <c r="AO79" s="87"/>
      <c r="AQ79" s="779"/>
      <c r="AR79" s="63"/>
      <c r="AS79" s="63"/>
      <c r="AT79" s="63"/>
      <c r="AU79" s="63"/>
      <c r="AV79" s="63"/>
    </row>
    <row r="80" spans="1:48" x14ac:dyDescent="0.2">
      <c r="A80" s="779" t="s">
        <v>7091</v>
      </c>
      <c r="E80" s="745"/>
      <c r="F80" s="745"/>
      <c r="G80" s="745"/>
      <c r="H80" s="745"/>
      <c r="I80" s="745"/>
      <c r="J80" s="745"/>
      <c r="K80" s="745"/>
      <c r="L80" s="87"/>
      <c r="M80" s="2793">
        <v>-7000</v>
      </c>
      <c r="N80" s="87"/>
      <c r="O80" s="87"/>
      <c r="P80" s="87"/>
      <c r="Q80" s="87"/>
      <c r="R80" s="87"/>
      <c r="S80" s="87"/>
      <c r="T80" s="87"/>
      <c r="U80" s="87"/>
      <c r="V80" s="87"/>
      <c r="W80" s="87"/>
      <c r="X80" s="87"/>
      <c r="Y80" s="87"/>
      <c r="AK80" s="87"/>
      <c r="AL80" s="87"/>
      <c r="AM80" s="87"/>
      <c r="AN80" s="87"/>
      <c r="AO80" s="87"/>
      <c r="AQ80" s="779"/>
      <c r="AR80" s="63"/>
      <c r="AS80" s="63"/>
      <c r="AT80" s="63"/>
      <c r="AU80" s="63"/>
      <c r="AV80" s="63"/>
    </row>
    <row r="81" spans="1:48" x14ac:dyDescent="0.2">
      <c r="A81" s="779"/>
      <c r="E81" s="745"/>
      <c r="F81" s="745"/>
      <c r="G81" s="745"/>
      <c r="H81" s="745"/>
      <c r="I81" s="745"/>
      <c r="J81" s="745"/>
      <c r="K81" s="745"/>
      <c r="M81" s="87"/>
      <c r="AK81" s="87"/>
      <c r="AL81" s="87"/>
      <c r="AM81" s="87"/>
      <c r="AN81" s="87"/>
      <c r="AO81" s="87"/>
      <c r="AQ81" s="779"/>
      <c r="AR81" s="63"/>
      <c r="AS81" s="63"/>
      <c r="AT81" s="63"/>
      <c r="AU81" s="63"/>
      <c r="AV81" s="63"/>
    </row>
    <row r="82" spans="1:48" s="4" customFormat="1" x14ac:dyDescent="0.2">
      <c r="A82" s="4" t="s">
        <v>1231</v>
      </c>
      <c r="E82" s="44">
        <f>E71-E69</f>
        <v>0</v>
      </c>
      <c r="F82" s="44">
        <f>F71-F69</f>
        <v>0</v>
      </c>
      <c r="G82" s="44">
        <f>G71-G69</f>
        <v>0</v>
      </c>
      <c r="H82" s="44">
        <f t="shared" ref="H82:K82" si="64">SUM(H71:H77)-H69</f>
        <v>0</v>
      </c>
      <c r="I82" s="44">
        <f t="shared" si="64"/>
        <v>0</v>
      </c>
      <c r="J82" s="44">
        <f t="shared" si="64"/>
        <v>0</v>
      </c>
      <c r="K82" s="44">
        <f t="shared" si="64"/>
        <v>0</v>
      </c>
      <c r="L82" s="44">
        <f>SUM(L71:L78)-L69</f>
        <v>0</v>
      </c>
      <c r="M82" s="44">
        <f>SUM(M71:M81)-M69</f>
        <v>0</v>
      </c>
      <c r="N82" s="44">
        <f>SUM(N71:N78)-N69</f>
        <v>0</v>
      </c>
      <c r="O82" s="44">
        <f t="shared" ref="O82:U82" si="65">SUM(O71:O78)-O69</f>
        <v>0</v>
      </c>
      <c r="P82" s="44">
        <f t="shared" si="65"/>
        <v>0</v>
      </c>
      <c r="Q82" s="44">
        <f t="shared" si="65"/>
        <v>0</v>
      </c>
      <c r="R82" s="44">
        <f t="shared" si="65"/>
        <v>0</v>
      </c>
      <c r="S82" s="44">
        <f t="shared" si="65"/>
        <v>0</v>
      </c>
      <c r="T82" s="44">
        <f t="shared" si="65"/>
        <v>0</v>
      </c>
      <c r="U82" s="44">
        <f t="shared" si="65"/>
        <v>0</v>
      </c>
      <c r="V82" s="44">
        <f t="shared" ref="V82:W82" si="66">SUM(V71:V78)-V69</f>
        <v>0</v>
      </c>
      <c r="W82" s="44">
        <f t="shared" si="66"/>
        <v>0</v>
      </c>
      <c r="X82" s="44"/>
      <c r="Y82" s="44"/>
      <c r="AJ82"/>
      <c r="AK82"/>
      <c r="AL82"/>
      <c r="AM82"/>
      <c r="AN82"/>
      <c r="AO82" s="63"/>
      <c r="AQ82" s="779" t="s">
        <v>4454</v>
      </c>
      <c r="AR82" s="63">
        <f t="shared" ref="AR82:AV84" si="67">I33</f>
        <v>0</v>
      </c>
      <c r="AS82" s="63">
        <f t="shared" si="67"/>
        <v>0</v>
      </c>
      <c r="AT82" s="63">
        <f t="shared" si="67"/>
        <v>30000</v>
      </c>
      <c r="AU82" s="63">
        <f t="shared" si="67"/>
        <v>0</v>
      </c>
      <c r="AV82" s="63">
        <f t="shared" si="67"/>
        <v>0</v>
      </c>
    </row>
    <row r="83" spans="1:48" ht="13.5" thickBot="1" x14ac:dyDescent="0.25">
      <c r="AJ83" s="4"/>
      <c r="AK83" s="4"/>
      <c r="AL83" s="4"/>
      <c r="AM83" s="4"/>
      <c r="AN83" s="4"/>
      <c r="AO83" s="4"/>
      <c r="AQ83" s="779" t="s">
        <v>4455</v>
      </c>
      <c r="AR83" s="63">
        <f t="shared" si="67"/>
        <v>0</v>
      </c>
      <c r="AS83" s="63">
        <f t="shared" si="67"/>
        <v>0</v>
      </c>
      <c r="AT83" s="63">
        <f t="shared" si="67"/>
        <v>50000</v>
      </c>
      <c r="AU83" s="63">
        <f t="shared" si="67"/>
        <v>0</v>
      </c>
      <c r="AV83" s="63">
        <f t="shared" si="67"/>
        <v>0</v>
      </c>
    </row>
    <row r="84" spans="1:48" s="4" customFormat="1" ht="13.5" thickBot="1" x14ac:dyDescent="0.25">
      <c r="A84" s="1002" t="s">
        <v>2332</v>
      </c>
      <c r="B84" s="1002"/>
      <c r="C84" s="1002"/>
      <c r="D84" s="1002"/>
      <c r="E84" s="1003">
        <f t="shared" ref="E84:K84" si="68">E82++E63+E45</f>
        <v>0</v>
      </c>
      <c r="F84" s="1003">
        <f t="shared" si="68"/>
        <v>0</v>
      </c>
      <c r="G84" s="1003">
        <f t="shared" si="68"/>
        <v>0</v>
      </c>
      <c r="H84" s="1003">
        <f t="shared" si="68"/>
        <v>0</v>
      </c>
      <c r="I84" s="1003">
        <f t="shared" si="68"/>
        <v>0</v>
      </c>
      <c r="J84" s="1003">
        <f t="shared" si="68"/>
        <v>0</v>
      </c>
      <c r="K84" s="1003">
        <f t="shared" si="68"/>
        <v>0</v>
      </c>
      <c r="L84" s="1003">
        <f t="shared" ref="L84:U84" si="69">L82++L63+L45</f>
        <v>0</v>
      </c>
      <c r="M84" s="1003">
        <f>M82++M63+M45</f>
        <v>0</v>
      </c>
      <c r="N84" s="1003">
        <f>N82++N63+N45</f>
        <v>0</v>
      </c>
      <c r="O84" s="1003">
        <f t="shared" si="69"/>
        <v>-100</v>
      </c>
      <c r="P84" s="1003">
        <f t="shared" si="69"/>
        <v>-300</v>
      </c>
      <c r="Q84" s="1003">
        <f t="shared" si="69"/>
        <v>400</v>
      </c>
      <c r="R84" s="1003">
        <f t="shared" si="69"/>
        <v>-200</v>
      </c>
      <c r="S84" s="1003">
        <f t="shared" si="69"/>
        <v>0</v>
      </c>
      <c r="T84" s="1003">
        <f t="shared" si="69"/>
        <v>-100</v>
      </c>
      <c r="U84" s="1003">
        <f t="shared" si="69"/>
        <v>0</v>
      </c>
      <c r="V84" s="1003">
        <f t="shared" ref="V84:W84" si="70">V82++V63+V45</f>
        <v>-200</v>
      </c>
      <c r="W84" s="1003">
        <f t="shared" si="70"/>
        <v>-300</v>
      </c>
      <c r="X84" s="55"/>
      <c r="Y84" s="55"/>
      <c r="AJ84"/>
      <c r="AK84"/>
      <c r="AL84"/>
      <c r="AM84"/>
      <c r="AN84"/>
      <c r="AO84"/>
      <c r="AQ84" s="779" t="s">
        <v>4456</v>
      </c>
      <c r="AR84" s="63">
        <f t="shared" si="67"/>
        <v>0</v>
      </c>
      <c r="AS84" s="63">
        <f t="shared" si="67"/>
        <v>9000</v>
      </c>
      <c r="AT84" s="63">
        <f t="shared" si="67"/>
        <v>0</v>
      </c>
      <c r="AU84" s="63">
        <f t="shared" si="67"/>
        <v>0</v>
      </c>
      <c r="AV84" s="63">
        <f t="shared" si="67"/>
        <v>0</v>
      </c>
    </row>
    <row r="85" spans="1:48" ht="13.5" thickTop="1" x14ac:dyDescent="0.2">
      <c r="AR85" s="40">
        <f>SUM(AR50:AR84)</f>
        <v>2902000</v>
      </c>
      <c r="AS85" s="40">
        <f>SUM(AS50:AS84)</f>
        <v>3503500</v>
      </c>
      <c r="AT85" s="40">
        <f>SUM(AT50:AT84)</f>
        <v>3729300</v>
      </c>
      <c r="AU85" s="40">
        <f>SUM(AU50:AU84)</f>
        <v>2315800</v>
      </c>
      <c r="AV85" s="40">
        <f>SUM(AV50:AV84)</f>
        <v>4393100</v>
      </c>
    </row>
    <row r="87" spans="1:48" x14ac:dyDescent="0.2">
      <c r="AQ87" s="779" t="s">
        <v>4457</v>
      </c>
      <c r="AT87" s="63">
        <f>AT50+AT74+AT75+AT77+AT83+AT82</f>
        <v>2231000</v>
      </c>
      <c r="AU87" s="63">
        <f>AU50+AU74+AU75+AU77+AU83+AU82</f>
        <v>732800</v>
      </c>
      <c r="AV87" s="63">
        <f>AV50+AV74+AV75+AV77+AV83+AV82</f>
        <v>2798100</v>
      </c>
    </row>
    <row r="88" spans="1:48" x14ac:dyDescent="0.2">
      <c r="AQ88" s="1" t="s">
        <v>4459</v>
      </c>
      <c r="AR88" s="1"/>
      <c r="AS88" s="1"/>
      <c r="AT88" s="40">
        <f>AT87-AM50</f>
        <v>404000</v>
      </c>
      <c r="AU88" s="40">
        <f>AU87-AN50</f>
        <v>-1169200</v>
      </c>
      <c r="AV88" s="40">
        <f>AV87-AO50</f>
        <v>805100</v>
      </c>
    </row>
    <row r="89" spans="1:48" x14ac:dyDescent="0.2">
      <c r="AQ89" s="779" t="s">
        <v>4458</v>
      </c>
      <c r="AT89" s="63">
        <f>AT57-AM57</f>
        <v>-171000</v>
      </c>
      <c r="AU89" s="63">
        <f>AU57-AN57</f>
        <v>-187000</v>
      </c>
      <c r="AV89" s="63">
        <f>AV57-AO57</f>
        <v>-196000</v>
      </c>
    </row>
    <row r="90" spans="1:48" x14ac:dyDescent="0.2">
      <c r="AQ90" s="779" t="s">
        <v>4460</v>
      </c>
      <c r="AT90" s="63">
        <f>AT71-AM71</f>
        <v>-125200</v>
      </c>
      <c r="AU90" s="63">
        <f>AU71-AN71</f>
        <v>-58500</v>
      </c>
      <c r="AV90" s="63">
        <f>AV71-AO71</f>
        <v>-55500</v>
      </c>
    </row>
    <row r="91" spans="1:48" x14ac:dyDescent="0.2">
      <c r="A91" t="s">
        <v>3480</v>
      </c>
      <c r="B91" s="1284" t="s">
        <v>3486</v>
      </c>
      <c r="C91" s="1285" t="s">
        <v>3487</v>
      </c>
      <c r="D91" s="1285" t="s">
        <v>3488</v>
      </c>
      <c r="E91" s="1285" t="s">
        <v>3489</v>
      </c>
      <c r="F91" s="1285" t="s">
        <v>3490</v>
      </c>
      <c r="G91" s="1285" t="s">
        <v>3491</v>
      </c>
      <c r="H91" s="1285" t="s">
        <v>3492</v>
      </c>
      <c r="I91" s="1285" t="s">
        <v>3493</v>
      </c>
      <c r="J91" s="1285" t="s">
        <v>3494</v>
      </c>
      <c r="K91" s="1285" t="s">
        <v>3495</v>
      </c>
      <c r="L91" s="1285" t="s">
        <v>3496</v>
      </c>
      <c r="M91" s="1285" t="s">
        <v>3497</v>
      </c>
      <c r="N91" s="1285" t="s">
        <v>3498</v>
      </c>
      <c r="O91" s="1285" t="s">
        <v>3499</v>
      </c>
      <c r="P91" s="1285" t="s">
        <v>3500</v>
      </c>
      <c r="Q91" s="1285" t="s">
        <v>3501</v>
      </c>
      <c r="R91" s="1285" t="s">
        <v>3502</v>
      </c>
      <c r="S91" s="1285" t="s">
        <v>3503</v>
      </c>
      <c r="T91" s="1285" t="s">
        <v>3531</v>
      </c>
      <c r="U91" s="1285" t="s">
        <v>6113</v>
      </c>
      <c r="V91" s="1285" t="s">
        <v>6114</v>
      </c>
      <c r="W91" s="1285" t="s">
        <v>6114</v>
      </c>
      <c r="X91" s="1285"/>
      <c r="Y91" s="1285"/>
      <c r="AQ91" s="779" t="s">
        <v>4461</v>
      </c>
      <c r="AT91" s="63">
        <f>AT55-AM55</f>
        <v>13000</v>
      </c>
      <c r="AU91" s="63">
        <f>AU55-AN55</f>
        <v>13000</v>
      </c>
      <c r="AV91" s="63">
        <f>AV55-AO55</f>
        <v>13000</v>
      </c>
    </row>
    <row r="92" spans="1:48" x14ac:dyDescent="0.2">
      <c r="A92" t="str">
        <f>A2</f>
        <v>Funded from Revenue prior to SVs plus CPI</v>
      </c>
      <c r="B92" s="1283">
        <f t="shared" ref="B92:V92" si="71">B2/1000</f>
        <v>1035</v>
      </c>
      <c r="C92" s="1283">
        <f t="shared" si="71"/>
        <v>1066</v>
      </c>
      <c r="D92" s="1283">
        <f t="shared" si="71"/>
        <v>1201</v>
      </c>
      <c r="E92" s="1283">
        <f t="shared" si="71"/>
        <v>1342</v>
      </c>
      <c r="F92" s="1283">
        <f t="shared" si="71"/>
        <v>1592</v>
      </c>
      <c r="G92" s="1283">
        <f t="shared" si="71"/>
        <v>1640</v>
      </c>
      <c r="H92" s="1283">
        <f t="shared" si="71"/>
        <v>2068</v>
      </c>
      <c r="I92" s="1283">
        <f t="shared" si="71"/>
        <v>2491</v>
      </c>
      <c r="J92" s="1283">
        <f t="shared" si="71"/>
        <v>2989</v>
      </c>
      <c r="K92" s="1283">
        <f t="shared" si="71"/>
        <v>3609</v>
      </c>
      <c r="L92" s="1283">
        <f t="shared" si="71"/>
        <v>3717</v>
      </c>
      <c r="M92" s="1283">
        <f t="shared" si="71"/>
        <v>3829</v>
      </c>
      <c r="N92" s="1283">
        <f t="shared" si="71"/>
        <v>3944</v>
      </c>
      <c r="O92" s="1283">
        <f t="shared" si="71"/>
        <v>4062</v>
      </c>
      <c r="P92" s="1283">
        <f t="shared" si="71"/>
        <v>4184</v>
      </c>
      <c r="Q92" s="1283">
        <f t="shared" si="71"/>
        <v>4352</v>
      </c>
      <c r="R92" s="1283">
        <f t="shared" si="71"/>
        <v>4526</v>
      </c>
      <c r="S92" s="1283">
        <f t="shared" si="71"/>
        <v>4707</v>
      </c>
      <c r="T92" s="1283">
        <f t="shared" si="71"/>
        <v>4895</v>
      </c>
      <c r="U92" s="1283">
        <f t="shared" si="71"/>
        <v>5090</v>
      </c>
      <c r="V92" s="1283">
        <f t="shared" si="71"/>
        <v>5293</v>
      </c>
      <c r="W92" s="1283">
        <f t="shared" ref="W92" si="72">W2/1000</f>
        <v>5504</v>
      </c>
      <c r="X92" s="1283"/>
      <c r="Y92" s="1283"/>
      <c r="AQ92" s="1" t="s">
        <v>1530</v>
      </c>
      <c r="AR92" s="1"/>
      <c r="AS92" s="1"/>
      <c r="AT92" s="40">
        <f>SUM(AT89:AT91)</f>
        <v>-283200</v>
      </c>
      <c r="AU92" s="40">
        <f>SUM(AU89:AU91)</f>
        <v>-232500</v>
      </c>
      <c r="AV92" s="40">
        <f>SUM(AV89:AV91)</f>
        <v>-238500</v>
      </c>
    </row>
    <row r="93" spans="1:48" x14ac:dyDescent="0.2">
      <c r="A93" t="str">
        <f>A3</f>
        <v>Add Special Variation Plus Above CPI Increases</v>
      </c>
      <c r="B93" s="1283">
        <f t="shared" ref="B93:V93" si="73">B3/1000</f>
        <v>0</v>
      </c>
      <c r="C93" s="1283">
        <f t="shared" si="73"/>
        <v>100</v>
      </c>
      <c r="D93" s="1283">
        <f t="shared" si="73"/>
        <v>102</v>
      </c>
      <c r="E93" s="1283">
        <f t="shared" si="73"/>
        <v>204</v>
      </c>
      <c r="F93" s="1283">
        <f t="shared" si="73"/>
        <v>0</v>
      </c>
      <c r="G93" s="1283">
        <f t="shared" si="73"/>
        <v>368</v>
      </c>
      <c r="H93" s="1283">
        <f t="shared" si="73"/>
        <v>350</v>
      </c>
      <c r="I93" s="1283">
        <f t="shared" si="73"/>
        <v>411</v>
      </c>
      <c r="J93" s="1283">
        <f t="shared" si="73"/>
        <v>515</v>
      </c>
      <c r="K93" s="1283">
        <f t="shared" si="73"/>
        <v>0</v>
      </c>
      <c r="L93" s="1283">
        <f t="shared" si="73"/>
        <v>0</v>
      </c>
      <c r="M93" s="1283">
        <f t="shared" si="73"/>
        <v>0</v>
      </c>
      <c r="N93" s="1283">
        <f t="shared" si="73"/>
        <v>0</v>
      </c>
      <c r="O93" s="1283">
        <f t="shared" si="73"/>
        <v>0</v>
      </c>
      <c r="P93" s="1283">
        <f t="shared" si="73"/>
        <v>41</v>
      </c>
      <c r="Q93" s="1283">
        <f t="shared" si="73"/>
        <v>42</v>
      </c>
      <c r="R93" s="1283">
        <f t="shared" si="73"/>
        <v>44</v>
      </c>
      <c r="S93" s="1283">
        <f t="shared" si="73"/>
        <v>45</v>
      </c>
      <c r="T93" s="1283">
        <f t="shared" si="73"/>
        <v>47</v>
      </c>
      <c r="U93" s="1283">
        <f t="shared" si="73"/>
        <v>49</v>
      </c>
      <c r="V93" s="1283">
        <f t="shared" si="73"/>
        <v>51</v>
      </c>
      <c r="W93" s="1283">
        <f t="shared" ref="W93" si="74">W3/1000</f>
        <v>53</v>
      </c>
      <c r="X93" s="1283"/>
      <c r="Y93" s="1283"/>
      <c r="AJ93" s="1"/>
      <c r="AK93" s="1"/>
      <c r="AL93" s="1"/>
      <c r="AM93" s="1"/>
      <c r="AN93" s="1"/>
      <c r="AO93" s="1"/>
      <c r="AT93" s="63">
        <f>AT92+AT88</f>
        <v>120800</v>
      </c>
      <c r="AU93" s="63">
        <f>AU92+AU88</f>
        <v>-1401700</v>
      </c>
      <c r="AV93" s="63">
        <f>AV92+AV88</f>
        <v>566600</v>
      </c>
    </row>
    <row r="94" spans="1:48" s="1" customFormat="1" x14ac:dyDescent="0.2">
      <c r="A94" s="1" t="s">
        <v>1530</v>
      </c>
      <c r="B94" s="40">
        <f>SUM(B92:B93)</f>
        <v>1035</v>
      </c>
      <c r="C94" s="40">
        <f t="shared" ref="C94:T94" si="75">SUM(C92:C93)</f>
        <v>1166</v>
      </c>
      <c r="D94" s="40">
        <f t="shared" si="75"/>
        <v>1303</v>
      </c>
      <c r="E94" s="40">
        <f t="shared" si="75"/>
        <v>1546</v>
      </c>
      <c r="F94" s="40">
        <f t="shared" si="75"/>
        <v>1592</v>
      </c>
      <c r="G94" s="40">
        <f t="shared" si="75"/>
        <v>2008</v>
      </c>
      <c r="H94" s="40">
        <f t="shared" si="75"/>
        <v>2418</v>
      </c>
      <c r="I94" s="40">
        <f t="shared" si="75"/>
        <v>2902</v>
      </c>
      <c r="J94" s="40">
        <f t="shared" ref="J94" si="76">SUM(J92:J93)</f>
        <v>3504</v>
      </c>
      <c r="K94" s="40">
        <f t="shared" si="75"/>
        <v>3609</v>
      </c>
      <c r="L94" s="40">
        <f t="shared" si="75"/>
        <v>3717</v>
      </c>
      <c r="M94" s="40">
        <f t="shared" si="75"/>
        <v>3829</v>
      </c>
      <c r="N94" s="40">
        <f t="shared" si="75"/>
        <v>3944</v>
      </c>
      <c r="O94" s="40">
        <f t="shared" si="75"/>
        <v>4062</v>
      </c>
      <c r="P94" s="40">
        <f t="shared" si="75"/>
        <v>4225</v>
      </c>
      <c r="Q94" s="40">
        <f t="shared" si="75"/>
        <v>4394</v>
      </c>
      <c r="R94" s="40">
        <f t="shared" si="75"/>
        <v>4570</v>
      </c>
      <c r="S94" s="40">
        <f t="shared" si="75"/>
        <v>4752</v>
      </c>
      <c r="T94" s="40">
        <f t="shared" si="75"/>
        <v>4942</v>
      </c>
      <c r="U94" s="40">
        <f t="shared" ref="U94:V94" si="77">SUM(U92:U93)</f>
        <v>5139</v>
      </c>
      <c r="V94" s="40">
        <f t="shared" si="77"/>
        <v>5344</v>
      </c>
      <c r="W94" s="40">
        <f t="shared" ref="W94" si="78">SUM(W92:W93)</f>
        <v>5557</v>
      </c>
      <c r="X94" s="40"/>
      <c r="Y94" s="40"/>
      <c r="AJ94"/>
      <c r="AK94"/>
      <c r="AL94"/>
      <c r="AM94"/>
      <c r="AN94"/>
      <c r="AO94"/>
      <c r="AQ94" s="1" t="s">
        <v>4462</v>
      </c>
      <c r="AT94" s="40">
        <f>K38</f>
        <v>248000</v>
      </c>
    </row>
    <row r="95" spans="1:48" x14ac:dyDescent="0.2">
      <c r="B95" s="63"/>
      <c r="C95" s="63"/>
      <c r="D95" s="63"/>
      <c r="E95" s="63"/>
      <c r="F95" s="63"/>
      <c r="G95" s="63"/>
      <c r="H95" s="63"/>
      <c r="I95" s="63"/>
      <c r="J95" s="63"/>
      <c r="K95" s="63"/>
      <c r="L95" s="63"/>
      <c r="M95" s="63"/>
      <c r="N95" s="63"/>
      <c r="O95" s="63"/>
      <c r="P95" s="63"/>
      <c r="Q95" s="63"/>
      <c r="R95" s="63"/>
      <c r="S95" s="63"/>
      <c r="T95" s="63"/>
      <c r="U95" s="63"/>
      <c r="V95" s="63"/>
      <c r="W95" s="63"/>
      <c r="X95" s="63"/>
      <c r="Y95" s="63"/>
      <c r="AT95" s="63">
        <f>AT94+AT93</f>
        <v>368800</v>
      </c>
    </row>
    <row r="96" spans="1:48" x14ac:dyDescent="0.2">
      <c r="A96" t="str">
        <f>A7</f>
        <v>Capital Roads - General Revenue Funded</v>
      </c>
      <c r="B96" s="63">
        <f t="shared" ref="B96:H96" si="79">B7/1000</f>
        <v>0</v>
      </c>
      <c r="C96" s="63">
        <f t="shared" si="79"/>
        <v>0</v>
      </c>
      <c r="D96" s="63">
        <f t="shared" si="79"/>
        <v>0</v>
      </c>
      <c r="E96" s="63">
        <f t="shared" si="79"/>
        <v>0</v>
      </c>
      <c r="F96" s="63">
        <f t="shared" si="79"/>
        <v>0</v>
      </c>
      <c r="G96" s="63">
        <f t="shared" si="79"/>
        <v>0</v>
      </c>
      <c r="H96" s="63">
        <f t="shared" si="79"/>
        <v>0</v>
      </c>
      <c r="I96" s="63">
        <f>I7/1000+42</f>
        <v>1934</v>
      </c>
      <c r="J96" s="63">
        <f>J7/1000+102</f>
        <v>2107</v>
      </c>
      <c r="K96" s="63">
        <f>K7/1000+102</f>
        <v>2404</v>
      </c>
      <c r="L96" s="63">
        <f t="shared" ref="L96:V96" si="80">L7/1000</f>
        <v>1472</v>
      </c>
      <c r="M96" s="63">
        <f t="shared" si="80"/>
        <v>3412.1</v>
      </c>
      <c r="N96" s="63">
        <f t="shared" si="80"/>
        <v>3582</v>
      </c>
      <c r="O96" s="63">
        <f t="shared" si="80"/>
        <v>4046</v>
      </c>
      <c r="P96" s="63">
        <f t="shared" si="80"/>
        <v>4595</v>
      </c>
      <c r="Q96" s="63">
        <f t="shared" si="80"/>
        <v>5151</v>
      </c>
      <c r="R96" s="63">
        <f t="shared" si="80"/>
        <v>4623</v>
      </c>
      <c r="S96" s="63">
        <f t="shared" si="80"/>
        <v>4852</v>
      </c>
      <c r="T96" s="63">
        <f t="shared" si="80"/>
        <v>5089</v>
      </c>
      <c r="U96" s="63">
        <f t="shared" si="80"/>
        <v>5490</v>
      </c>
      <c r="V96" s="63">
        <f t="shared" si="80"/>
        <v>6320</v>
      </c>
      <c r="W96" s="63">
        <f t="shared" ref="W96" si="81">W7/1000</f>
        <v>6585</v>
      </c>
      <c r="X96" s="63"/>
      <c r="Y96" s="63"/>
    </row>
    <row r="97" spans="1:41" x14ac:dyDescent="0.2">
      <c r="A97" s="779" t="s">
        <v>3481</v>
      </c>
      <c r="B97" s="63">
        <f t="shared" ref="B97:V97" si="82">(B9+B11+B10)/1000</f>
        <v>0</v>
      </c>
      <c r="C97" s="63">
        <f t="shared" si="82"/>
        <v>0</v>
      </c>
      <c r="D97" s="63">
        <f t="shared" si="82"/>
        <v>0</v>
      </c>
      <c r="E97" s="63">
        <f t="shared" si="82"/>
        <v>0</v>
      </c>
      <c r="F97" s="63">
        <f t="shared" si="82"/>
        <v>0</v>
      </c>
      <c r="G97" s="63">
        <f t="shared" si="82"/>
        <v>0</v>
      </c>
      <c r="H97" s="63">
        <f t="shared" si="82"/>
        <v>0</v>
      </c>
      <c r="I97" s="63">
        <f t="shared" si="82"/>
        <v>783</v>
      </c>
      <c r="J97" s="63">
        <f t="shared" si="82"/>
        <v>1065</v>
      </c>
      <c r="K97" s="63">
        <f t="shared" si="82"/>
        <v>1219</v>
      </c>
      <c r="L97" s="63">
        <f t="shared" si="82"/>
        <v>1274</v>
      </c>
      <c r="M97" s="63">
        <f t="shared" si="82"/>
        <v>1209</v>
      </c>
      <c r="N97" s="63">
        <f t="shared" si="82"/>
        <v>1209</v>
      </c>
      <c r="O97" s="63">
        <f t="shared" si="82"/>
        <v>1209</v>
      </c>
      <c r="P97" s="63">
        <f t="shared" si="82"/>
        <v>1259</v>
      </c>
      <c r="Q97" s="63">
        <f t="shared" si="82"/>
        <v>859</v>
      </c>
      <c r="R97" s="63">
        <f t="shared" si="82"/>
        <v>1609</v>
      </c>
      <c r="S97" s="63">
        <f t="shared" si="82"/>
        <v>1609</v>
      </c>
      <c r="T97" s="63">
        <f t="shared" si="82"/>
        <v>1609</v>
      </c>
      <c r="U97" s="63">
        <f t="shared" si="82"/>
        <v>1455</v>
      </c>
      <c r="V97" s="63">
        <f t="shared" si="82"/>
        <v>750</v>
      </c>
      <c r="W97" s="63">
        <f t="shared" ref="W97" si="83">(W9+W11+W10)/1000</f>
        <v>750</v>
      </c>
      <c r="X97" s="63"/>
      <c r="Y97" s="63"/>
    </row>
    <row r="98" spans="1:41" x14ac:dyDescent="0.2">
      <c r="A98" s="779" t="s">
        <v>3482</v>
      </c>
      <c r="B98" s="63">
        <f t="shared" ref="B98:V98" si="84">(B25+B26)/1000</f>
        <v>0</v>
      </c>
      <c r="C98" s="63">
        <f t="shared" si="84"/>
        <v>0</v>
      </c>
      <c r="D98" s="63">
        <f t="shared" si="84"/>
        <v>0</v>
      </c>
      <c r="E98" s="63">
        <f t="shared" si="84"/>
        <v>0</v>
      </c>
      <c r="F98" s="63">
        <f t="shared" si="84"/>
        <v>0</v>
      </c>
      <c r="G98" s="63">
        <f t="shared" si="84"/>
        <v>0</v>
      </c>
      <c r="H98" s="63">
        <f t="shared" si="84"/>
        <v>0</v>
      </c>
      <c r="I98" s="63">
        <f t="shared" si="84"/>
        <v>-366</v>
      </c>
      <c r="J98" s="63">
        <f t="shared" si="84"/>
        <v>-313.5</v>
      </c>
      <c r="K98" s="63">
        <f t="shared" si="84"/>
        <v>-319.7</v>
      </c>
      <c r="L98" s="63">
        <f t="shared" si="84"/>
        <v>-305</v>
      </c>
      <c r="M98" s="63">
        <f t="shared" si="84"/>
        <v>-240</v>
      </c>
      <c r="N98" s="63">
        <f t="shared" si="84"/>
        <v>-240</v>
      </c>
      <c r="O98" s="63">
        <f t="shared" si="84"/>
        <v>-240</v>
      </c>
      <c r="P98" s="63">
        <f t="shared" si="84"/>
        <v>-185</v>
      </c>
      <c r="Q98" s="63">
        <f t="shared" si="84"/>
        <v>-130</v>
      </c>
      <c r="R98" s="63">
        <f t="shared" si="84"/>
        <v>-130</v>
      </c>
      <c r="S98" s="63">
        <f t="shared" si="84"/>
        <v>-130</v>
      </c>
      <c r="T98" s="63">
        <f t="shared" si="84"/>
        <v>-130</v>
      </c>
      <c r="U98" s="63">
        <f t="shared" si="84"/>
        <v>-130</v>
      </c>
      <c r="V98" s="63">
        <f t="shared" si="84"/>
        <v>0</v>
      </c>
      <c r="W98" s="63">
        <f t="shared" ref="W98" si="85">(W25+W26)/1000</f>
        <v>0</v>
      </c>
      <c r="X98" s="63"/>
      <c r="Y98" s="63"/>
    </row>
    <row r="99" spans="1:41" x14ac:dyDescent="0.2">
      <c r="A99" s="779" t="s">
        <v>3483</v>
      </c>
      <c r="B99" s="63">
        <f t="shared" ref="B99:V99" si="86">SUM(B13:B24)/1000</f>
        <v>0</v>
      </c>
      <c r="C99" s="63">
        <f t="shared" si="86"/>
        <v>0</v>
      </c>
      <c r="D99" s="63">
        <f t="shared" si="86"/>
        <v>0</v>
      </c>
      <c r="E99" s="63">
        <f t="shared" si="86"/>
        <v>0</v>
      </c>
      <c r="F99" s="63">
        <f t="shared" si="86"/>
        <v>0</v>
      </c>
      <c r="G99" s="63">
        <f t="shared" si="86"/>
        <v>0</v>
      </c>
      <c r="H99" s="63">
        <f t="shared" si="86"/>
        <v>0</v>
      </c>
      <c r="I99" s="63">
        <f t="shared" si="86"/>
        <v>280</v>
      </c>
      <c r="J99" s="63">
        <f t="shared" si="86"/>
        <v>288</v>
      </c>
      <c r="K99" s="63">
        <f t="shared" si="86"/>
        <v>297</v>
      </c>
      <c r="L99" s="63">
        <f t="shared" si="86"/>
        <v>305</v>
      </c>
      <c r="M99" s="63">
        <f t="shared" si="86"/>
        <v>311</v>
      </c>
      <c r="N99" s="63">
        <f t="shared" si="86"/>
        <v>316</v>
      </c>
      <c r="O99" s="63">
        <f t="shared" si="86"/>
        <v>324</v>
      </c>
      <c r="P99" s="63">
        <f t="shared" si="86"/>
        <v>332</v>
      </c>
      <c r="Q99" s="63">
        <f t="shared" si="86"/>
        <v>340</v>
      </c>
      <c r="R99" s="63">
        <f t="shared" si="86"/>
        <v>346</v>
      </c>
      <c r="S99" s="63">
        <f t="shared" si="86"/>
        <v>353</v>
      </c>
      <c r="T99" s="63">
        <f t="shared" si="86"/>
        <v>360</v>
      </c>
      <c r="U99" s="63">
        <f t="shared" si="86"/>
        <v>367</v>
      </c>
      <c r="V99" s="63">
        <f t="shared" si="86"/>
        <v>374</v>
      </c>
      <c r="W99" s="63">
        <f t="shared" ref="W99" si="87">SUM(W13:W24)/1000</f>
        <v>381</v>
      </c>
      <c r="X99" s="63"/>
      <c r="Y99" s="63"/>
    </row>
    <row r="100" spans="1:41" x14ac:dyDescent="0.2">
      <c r="A100" s="779" t="s">
        <v>3484</v>
      </c>
      <c r="B100" s="63">
        <f t="shared" ref="B100:V100" si="88">B12/1000</f>
        <v>0</v>
      </c>
      <c r="C100" s="63">
        <f t="shared" si="88"/>
        <v>0</v>
      </c>
      <c r="D100" s="63">
        <f t="shared" si="88"/>
        <v>0</v>
      </c>
      <c r="E100" s="63">
        <f t="shared" si="88"/>
        <v>0</v>
      </c>
      <c r="F100" s="63">
        <f t="shared" si="88"/>
        <v>0</v>
      </c>
      <c r="G100" s="63">
        <f t="shared" si="88"/>
        <v>0</v>
      </c>
      <c r="H100" s="63">
        <f t="shared" si="88"/>
        <v>0</v>
      </c>
      <c r="I100" s="63">
        <f t="shared" si="88"/>
        <v>313</v>
      </c>
      <c r="J100" s="63">
        <f t="shared" si="88"/>
        <v>450</v>
      </c>
      <c r="K100" s="63">
        <f t="shared" si="88"/>
        <v>302</v>
      </c>
      <c r="L100" s="63">
        <f t="shared" si="88"/>
        <v>309</v>
      </c>
      <c r="M100" s="63">
        <f t="shared" si="88"/>
        <v>315</v>
      </c>
      <c r="N100" s="63">
        <f t="shared" si="88"/>
        <v>320</v>
      </c>
      <c r="O100" s="63">
        <f t="shared" si="88"/>
        <v>328</v>
      </c>
      <c r="P100" s="63">
        <f t="shared" si="88"/>
        <v>336</v>
      </c>
      <c r="Q100" s="63">
        <f t="shared" si="88"/>
        <v>344</v>
      </c>
      <c r="R100" s="63">
        <f t="shared" si="88"/>
        <v>351</v>
      </c>
      <c r="S100" s="63">
        <f t="shared" si="88"/>
        <v>358</v>
      </c>
      <c r="T100" s="63">
        <f t="shared" si="88"/>
        <v>365</v>
      </c>
      <c r="U100" s="63">
        <f t="shared" si="88"/>
        <v>372</v>
      </c>
      <c r="V100" s="63">
        <f t="shared" si="88"/>
        <v>379</v>
      </c>
      <c r="W100" s="63">
        <f t="shared" ref="W100" si="89">W12/1000</f>
        <v>387</v>
      </c>
      <c r="X100" s="63"/>
      <c r="Y100" s="63"/>
      <c r="AJ100" s="1"/>
      <c r="AK100" s="1"/>
      <c r="AL100" s="1"/>
      <c r="AM100" s="1"/>
      <c r="AN100" s="1"/>
      <c r="AO100" s="1"/>
    </row>
    <row r="101" spans="1:41" s="1" customFormat="1" x14ac:dyDescent="0.2">
      <c r="A101" s="1" t="s">
        <v>1530</v>
      </c>
      <c r="B101" s="40">
        <f>SUM(B96:B100)</f>
        <v>0</v>
      </c>
      <c r="C101" s="40">
        <f t="shared" ref="C101:T101" si="90">SUM(C96:C100)</f>
        <v>0</v>
      </c>
      <c r="D101" s="40">
        <f t="shared" si="90"/>
        <v>0</v>
      </c>
      <c r="E101" s="40">
        <f t="shared" si="90"/>
        <v>0</v>
      </c>
      <c r="F101" s="40">
        <f t="shared" si="90"/>
        <v>0</v>
      </c>
      <c r="G101" s="40">
        <f t="shared" si="90"/>
        <v>0</v>
      </c>
      <c r="H101" s="40">
        <f t="shared" si="90"/>
        <v>0</v>
      </c>
      <c r="I101" s="40">
        <f t="shared" si="90"/>
        <v>2944</v>
      </c>
      <c r="J101" s="40">
        <f t="shared" ref="J101" si="91">SUM(J96:J100)</f>
        <v>3596.5</v>
      </c>
      <c r="K101" s="40">
        <f t="shared" si="90"/>
        <v>3902.3</v>
      </c>
      <c r="L101" s="40">
        <f t="shared" si="90"/>
        <v>3055</v>
      </c>
      <c r="M101" s="40">
        <f t="shared" si="90"/>
        <v>5007.1000000000004</v>
      </c>
      <c r="N101" s="40">
        <f t="shared" si="90"/>
        <v>5187</v>
      </c>
      <c r="O101" s="40">
        <f t="shared" si="90"/>
        <v>5667</v>
      </c>
      <c r="P101" s="40">
        <f t="shared" si="90"/>
        <v>6337</v>
      </c>
      <c r="Q101" s="40">
        <f t="shared" si="90"/>
        <v>6564</v>
      </c>
      <c r="R101" s="40">
        <f t="shared" si="90"/>
        <v>6799</v>
      </c>
      <c r="S101" s="40">
        <f t="shared" si="90"/>
        <v>7042</v>
      </c>
      <c r="T101" s="40">
        <f t="shared" si="90"/>
        <v>7293</v>
      </c>
      <c r="U101" s="40">
        <f t="shared" ref="U101:V101" si="92">SUM(U96:U100)</f>
        <v>7554</v>
      </c>
      <c r="V101" s="40">
        <f t="shared" si="92"/>
        <v>7823</v>
      </c>
      <c r="W101" s="40">
        <f t="shared" ref="W101" si="93">SUM(W96:W100)</f>
        <v>8103</v>
      </c>
      <c r="X101" s="40"/>
      <c r="Y101" s="40"/>
      <c r="AJ101"/>
      <c r="AK101"/>
      <c r="AL101"/>
      <c r="AM101"/>
      <c r="AN101"/>
      <c r="AO101"/>
    </row>
    <row r="102" spans="1:41" x14ac:dyDescent="0.2">
      <c r="B102" s="63"/>
      <c r="C102" s="63"/>
      <c r="D102" s="63"/>
      <c r="E102" s="63"/>
      <c r="F102" s="63"/>
      <c r="G102" s="63"/>
      <c r="H102" s="63"/>
      <c r="I102" s="63"/>
      <c r="J102" s="63"/>
      <c r="K102" s="63"/>
      <c r="L102" s="63"/>
      <c r="M102" s="63"/>
      <c r="N102" s="63"/>
      <c r="O102" s="63"/>
      <c r="P102" s="63"/>
      <c r="Q102" s="63"/>
      <c r="R102" s="63"/>
      <c r="S102" s="63"/>
      <c r="T102" s="63"/>
      <c r="U102" s="63"/>
      <c r="V102" s="63"/>
      <c r="W102" s="63"/>
      <c r="X102" s="63"/>
      <c r="Y102" s="63"/>
    </row>
    <row r="103" spans="1:41" x14ac:dyDescent="0.2">
      <c r="B103" s="63"/>
      <c r="C103" s="63"/>
      <c r="D103" s="63"/>
      <c r="E103" s="63"/>
      <c r="F103" s="1286"/>
      <c r="G103" s="63"/>
      <c r="H103" s="63"/>
      <c r="I103" s="63"/>
      <c r="J103" s="63"/>
      <c r="K103" s="63"/>
      <c r="L103" s="63"/>
      <c r="M103" s="63"/>
      <c r="N103" s="63"/>
      <c r="O103" s="63"/>
      <c r="P103" s="63"/>
      <c r="Q103" s="63"/>
      <c r="R103" s="63"/>
      <c r="S103" s="63"/>
      <c r="T103" s="63"/>
      <c r="U103" s="63"/>
      <c r="V103" s="63"/>
      <c r="W103" s="63"/>
      <c r="X103" s="63"/>
      <c r="Y103" s="63"/>
    </row>
    <row r="104" spans="1:41" x14ac:dyDescent="0.2">
      <c r="A104" s="779" t="s">
        <v>3504</v>
      </c>
      <c r="B104" s="63"/>
      <c r="C104" s="63"/>
      <c r="D104" s="63"/>
      <c r="E104" s="63"/>
      <c r="F104" s="63">
        <f>F92</f>
        <v>1592</v>
      </c>
      <c r="G104" s="63">
        <f>F104*F105+F104</f>
        <v>1647.72</v>
      </c>
      <c r="H104" s="63">
        <f t="shared" ref="H104:W104" si="94">G104*G105+G104</f>
        <v>1705.3902</v>
      </c>
      <c r="I104" s="63">
        <f t="shared" si="94"/>
        <v>1765.078857</v>
      </c>
      <c r="J104" s="63">
        <f t="shared" ref="J104" si="95">I104*I105+I104</f>
        <v>1826.856616995</v>
      </c>
      <c r="K104" s="63">
        <f t="shared" ref="K104" si="96">J104*J105+J104</f>
        <v>1890.796598589825</v>
      </c>
      <c r="L104" s="63">
        <f>K104*K105+K104</f>
        <v>1956.9744795404688</v>
      </c>
      <c r="M104" s="63">
        <f t="shared" si="94"/>
        <v>2025.4685863243851</v>
      </c>
      <c r="N104" s="63">
        <f t="shared" si="94"/>
        <v>2096.3599868457386</v>
      </c>
      <c r="O104" s="63">
        <f t="shared" si="94"/>
        <v>2169.7325863853393</v>
      </c>
      <c r="P104" s="63">
        <f t="shared" si="94"/>
        <v>2245.6732269088261</v>
      </c>
      <c r="Q104" s="63">
        <f t="shared" si="94"/>
        <v>2324.2717898506348</v>
      </c>
      <c r="R104" s="63">
        <f t="shared" si="94"/>
        <v>2405.6213024954072</v>
      </c>
      <c r="S104" s="63">
        <f t="shared" si="94"/>
        <v>2489.8180480827464</v>
      </c>
      <c r="T104" s="63">
        <f t="shared" si="94"/>
        <v>2576.9616797656427</v>
      </c>
      <c r="U104" s="63">
        <f t="shared" si="94"/>
        <v>2667.1553385574402</v>
      </c>
      <c r="V104" s="63">
        <f t="shared" si="94"/>
        <v>2760.5057754069508</v>
      </c>
      <c r="W104" s="63">
        <f t="shared" si="94"/>
        <v>2857.123477546194</v>
      </c>
      <c r="X104" s="63"/>
      <c r="Y104" s="63"/>
    </row>
    <row r="105" spans="1:41" x14ac:dyDescent="0.2">
      <c r="B105" s="63"/>
      <c r="C105" s="63"/>
      <c r="D105" s="63"/>
      <c r="E105" s="63"/>
      <c r="F105" s="1072">
        <v>3.5000000000000003E-2</v>
      </c>
      <c r="G105" s="1072">
        <f>F105</f>
        <v>3.5000000000000003E-2</v>
      </c>
      <c r="H105" s="1072">
        <f t="shared" ref="H105:W105" si="97">G105</f>
        <v>3.5000000000000003E-2</v>
      </c>
      <c r="I105" s="1072">
        <f t="shared" si="97"/>
        <v>3.5000000000000003E-2</v>
      </c>
      <c r="J105" s="1072">
        <f t="shared" ref="J105" si="98">I105</f>
        <v>3.5000000000000003E-2</v>
      </c>
      <c r="K105" s="1072">
        <f t="shared" ref="K105" si="99">J105</f>
        <v>3.5000000000000003E-2</v>
      </c>
      <c r="L105" s="1072">
        <f>K105</f>
        <v>3.5000000000000003E-2</v>
      </c>
      <c r="M105" s="1072">
        <f t="shared" si="97"/>
        <v>3.5000000000000003E-2</v>
      </c>
      <c r="N105" s="1072">
        <f t="shared" si="97"/>
        <v>3.5000000000000003E-2</v>
      </c>
      <c r="O105" s="1072">
        <f t="shared" si="97"/>
        <v>3.5000000000000003E-2</v>
      </c>
      <c r="P105" s="1072">
        <f t="shared" si="97"/>
        <v>3.5000000000000003E-2</v>
      </c>
      <c r="Q105" s="1072">
        <f t="shared" si="97"/>
        <v>3.5000000000000003E-2</v>
      </c>
      <c r="R105" s="1072">
        <f t="shared" si="97"/>
        <v>3.5000000000000003E-2</v>
      </c>
      <c r="S105" s="1072">
        <f t="shared" si="97"/>
        <v>3.5000000000000003E-2</v>
      </c>
      <c r="T105" s="1072">
        <f t="shared" si="97"/>
        <v>3.5000000000000003E-2</v>
      </c>
      <c r="U105" s="1072">
        <f t="shared" si="97"/>
        <v>3.5000000000000003E-2</v>
      </c>
      <c r="V105" s="1072">
        <f t="shared" si="97"/>
        <v>3.5000000000000003E-2</v>
      </c>
      <c r="W105" s="1072">
        <f t="shared" si="97"/>
        <v>3.5000000000000003E-2</v>
      </c>
      <c r="X105" s="1072"/>
      <c r="Y105" s="1072"/>
    </row>
    <row r="106" spans="1:41" x14ac:dyDescent="0.2">
      <c r="B106" s="63"/>
      <c r="C106" s="63"/>
      <c r="D106" s="63"/>
      <c r="E106" s="63"/>
      <c r="F106" s="63"/>
      <c r="G106" s="63"/>
      <c r="H106" s="63"/>
      <c r="I106" s="63"/>
      <c r="J106" s="63"/>
      <c r="K106" s="63"/>
      <c r="L106" s="63"/>
      <c r="M106" s="63"/>
      <c r="N106" s="63"/>
      <c r="O106" s="63"/>
      <c r="P106" s="63"/>
      <c r="Q106" s="63"/>
      <c r="R106" s="63"/>
      <c r="S106" s="63"/>
      <c r="T106" s="63"/>
      <c r="U106" s="63"/>
      <c r="V106" s="63"/>
      <c r="W106" s="63"/>
      <c r="X106" s="63"/>
      <c r="Y106" s="63"/>
    </row>
    <row r="107" spans="1:41" x14ac:dyDescent="0.2">
      <c r="B107" s="63"/>
      <c r="C107" s="63"/>
      <c r="D107" s="63"/>
      <c r="E107" s="63"/>
      <c r="F107" s="63"/>
      <c r="G107" s="63"/>
      <c r="H107" s="63"/>
      <c r="I107" s="63"/>
      <c r="J107" s="63"/>
      <c r="K107" s="63"/>
      <c r="L107" s="63"/>
      <c r="M107" s="63"/>
      <c r="N107" s="63"/>
      <c r="O107" s="63"/>
      <c r="P107" s="63"/>
      <c r="Q107" s="63"/>
      <c r="R107" s="63"/>
      <c r="S107" s="63"/>
      <c r="T107" s="63"/>
      <c r="U107" s="63"/>
      <c r="V107" s="63"/>
      <c r="W107" s="63"/>
      <c r="X107" s="63"/>
      <c r="Y107" s="63"/>
    </row>
  </sheetData>
  <phoneticPr fontId="9" type="noConversion"/>
  <pageMargins left="0.74803149606299213" right="0.74803149606299213" top="0.98425196850393704" bottom="0.98425196850393704" header="0.51181102362204722" footer="0.51181102362204722"/>
  <pageSetup paperSize="8" scale="94" orientation="landscape" r:id="rId1"/>
  <headerFooter alignWithMargins="0"/>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68"/>
  <sheetViews>
    <sheetView tabSelected="1" workbookViewId="0">
      <pane xSplit="1" ySplit="2" topLeftCell="M58" activePane="bottomRight" state="frozen"/>
      <selection pane="topRight" activeCell="B1" sqref="B1"/>
      <selection pane="bottomLeft" activeCell="A3" sqref="A3"/>
      <selection pane="bottomRight" activeCell="AC84" sqref="AC84"/>
    </sheetView>
  </sheetViews>
  <sheetFormatPr defaultRowHeight="12.75" x14ac:dyDescent="0.2"/>
  <cols>
    <col min="1" max="1" width="40.7109375" customWidth="1"/>
    <col min="2" max="2" width="12.85546875" customWidth="1"/>
    <col min="3" max="15" width="11.7109375" customWidth="1"/>
    <col min="16" max="16" width="11.5703125" customWidth="1"/>
    <col min="17" max="17" width="11.28515625" customWidth="1"/>
    <col min="18" max="18" width="11.5703125" style="16" customWidth="1"/>
    <col min="19" max="21" width="11.28515625" style="16" bestFit="1" customWidth="1"/>
    <col min="22" max="29" width="11.28515625" bestFit="1" customWidth="1"/>
    <col min="30" max="30" width="10.140625" customWidth="1"/>
    <col min="31" max="40" width="12.5703125" customWidth="1"/>
    <col min="41" max="41" width="11.7109375" customWidth="1"/>
    <col min="42" max="44" width="10.28515625" customWidth="1"/>
    <col min="45" max="45" width="11.28515625" bestFit="1" customWidth="1"/>
    <col min="46" max="50" width="10.28515625" customWidth="1"/>
    <col min="51" max="52" width="12.42578125" customWidth="1"/>
    <col min="53" max="53" width="10.140625" bestFit="1" customWidth="1"/>
    <col min="54" max="54" width="10.28515625" bestFit="1" customWidth="1"/>
    <col min="55" max="55" width="10.140625" bestFit="1" customWidth="1"/>
    <col min="56" max="57" width="10.28515625" bestFit="1" customWidth="1"/>
    <col min="58" max="58" width="10.140625" bestFit="1" customWidth="1"/>
    <col min="59" max="59" width="10.28515625" bestFit="1" customWidth="1"/>
  </cols>
  <sheetData>
    <row r="1" spans="1:57" ht="13.5" thickTop="1" x14ac:dyDescent="0.2">
      <c r="A1" s="3023" t="s">
        <v>2797</v>
      </c>
      <c r="B1" s="3024"/>
      <c r="C1" s="3024"/>
      <c r="D1" s="3024"/>
      <c r="E1" s="3024"/>
      <c r="F1" s="3024"/>
      <c r="G1" s="3024"/>
      <c r="H1" s="3024"/>
      <c r="I1" s="3024"/>
      <c r="J1" s="3024"/>
      <c r="K1" s="3024"/>
      <c r="L1" s="3024"/>
      <c r="M1" s="3024"/>
      <c r="N1" s="3024"/>
      <c r="O1" s="3024"/>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5"/>
    </row>
    <row r="2" spans="1:57" ht="13.5" thickBot="1" x14ac:dyDescent="0.25">
      <c r="A2" s="3008" t="s">
        <v>4482</v>
      </c>
      <c r="B2" s="3009"/>
      <c r="C2" s="3009"/>
      <c r="D2" s="3009"/>
      <c r="E2" s="3009"/>
      <c r="F2" s="3009"/>
      <c r="G2" s="3009"/>
      <c r="H2" s="3009"/>
      <c r="I2" s="3009"/>
      <c r="J2" s="3009"/>
      <c r="K2" s="3009"/>
      <c r="L2" s="3009"/>
      <c r="M2" s="3009"/>
      <c r="N2" s="3009"/>
      <c r="O2" s="3009"/>
      <c r="P2" s="3009"/>
      <c r="Q2" s="3009"/>
      <c r="R2" s="3009"/>
      <c r="S2" s="3009"/>
      <c r="T2" s="3009"/>
      <c r="U2" s="3009"/>
      <c r="V2" s="3009"/>
      <c r="W2" s="3009"/>
      <c r="X2" s="3009"/>
      <c r="Y2" s="3009"/>
      <c r="Z2" s="3009"/>
      <c r="AA2" s="3009"/>
      <c r="AB2" s="3009"/>
      <c r="AC2" s="3009"/>
      <c r="AD2" s="3009"/>
      <c r="AE2" s="3009"/>
      <c r="AF2" s="3009"/>
      <c r="AG2" s="3009"/>
      <c r="AH2" s="3009"/>
      <c r="AI2" s="3009"/>
      <c r="AJ2" s="3009"/>
      <c r="AK2" s="3009"/>
      <c r="AL2" s="3009"/>
      <c r="AM2" s="3009"/>
      <c r="AN2" s="3009"/>
      <c r="AO2" s="3009"/>
      <c r="AP2" s="3009"/>
      <c r="AQ2" s="3009"/>
      <c r="AR2" s="3009"/>
      <c r="AS2" s="3009"/>
      <c r="AT2" s="3009"/>
      <c r="AU2" s="3009"/>
      <c r="AV2" s="3009"/>
      <c r="AW2" s="3009"/>
      <c r="AX2" s="3009"/>
      <c r="AY2" s="3009"/>
      <c r="AZ2" s="3009"/>
      <c r="BA2" s="3009"/>
      <c r="BB2" s="3009"/>
      <c r="BC2" s="3009"/>
      <c r="BD2" s="3009"/>
      <c r="BE2" s="3010"/>
    </row>
    <row r="3" spans="1:57" ht="13.5" thickTop="1" x14ac:dyDescent="0.2">
      <c r="A3" s="2027"/>
      <c r="B3" s="3019" t="s">
        <v>4415</v>
      </c>
      <c r="C3" s="3020"/>
      <c r="D3" s="3020"/>
      <c r="E3" s="3020"/>
      <c r="F3" s="3020"/>
      <c r="G3" s="3020"/>
      <c r="H3" s="3020"/>
      <c r="I3" s="3020"/>
      <c r="J3" s="3020"/>
      <c r="K3" s="3020"/>
      <c r="L3" s="3020"/>
      <c r="M3" s="3020"/>
      <c r="N3" s="3020"/>
      <c r="O3" s="3021"/>
      <c r="P3" s="3019" t="s">
        <v>4416</v>
      </c>
      <c r="Q3" s="3020"/>
      <c r="R3" s="3020"/>
      <c r="S3" s="3020"/>
      <c r="T3" s="3020"/>
      <c r="U3" s="3020"/>
      <c r="V3" s="3020"/>
      <c r="W3" s="3020"/>
      <c r="X3" s="3020"/>
      <c r="Y3" s="3020"/>
      <c r="Z3" s="3020"/>
      <c r="AA3" s="3020"/>
      <c r="AB3" s="3020"/>
      <c r="AC3" s="3021"/>
      <c r="AD3" s="3019" t="s">
        <v>165</v>
      </c>
      <c r="AE3" s="3020"/>
      <c r="AF3" s="3020"/>
      <c r="AG3" s="3020"/>
      <c r="AH3" s="3020"/>
      <c r="AI3" s="3020"/>
      <c r="AJ3" s="3020"/>
      <c r="AK3" s="3020"/>
      <c r="AL3" s="3020"/>
      <c r="AM3" s="3020"/>
      <c r="AN3" s="3020"/>
      <c r="AO3" s="3020"/>
      <c r="AP3" s="3020"/>
      <c r="AQ3" s="3021"/>
      <c r="AR3" s="3019" t="s">
        <v>4417</v>
      </c>
      <c r="AS3" s="3020"/>
      <c r="AT3" s="3020"/>
      <c r="AU3" s="3020"/>
      <c r="AV3" s="3020"/>
      <c r="AW3" s="3020"/>
      <c r="AX3" s="3020"/>
      <c r="AY3" s="3020"/>
      <c r="AZ3" s="3020"/>
      <c r="BA3" s="3020"/>
      <c r="BB3" s="3020"/>
      <c r="BC3" s="3020"/>
      <c r="BD3" s="3020"/>
      <c r="BE3" s="3022"/>
    </row>
    <row r="4" spans="1:57" x14ac:dyDescent="0.2">
      <c r="A4" s="753" t="s">
        <v>232</v>
      </c>
      <c r="B4" s="2169" t="str">
        <f t="shared" ref="B4:N4" si="0">P4</f>
        <v>2013/14</v>
      </c>
      <c r="C4" s="1128" t="str">
        <f t="shared" si="0"/>
        <v>2014/15</v>
      </c>
      <c r="D4" s="459" t="str">
        <f t="shared" si="0"/>
        <v>2015/16</v>
      </c>
      <c r="E4" s="468" t="str">
        <f t="shared" si="0"/>
        <v>2016/17</v>
      </c>
      <c r="F4" s="468" t="str">
        <f t="shared" si="0"/>
        <v>2017/18</v>
      </c>
      <c r="G4" s="468" t="str">
        <f t="shared" si="0"/>
        <v>2018/19</v>
      </c>
      <c r="H4" s="468" t="str">
        <f t="shared" si="0"/>
        <v>2019/20</v>
      </c>
      <c r="I4" s="468" t="str">
        <f t="shared" si="0"/>
        <v>2020/21</v>
      </c>
      <c r="J4" s="468" t="str">
        <f t="shared" si="0"/>
        <v>2021/22</v>
      </c>
      <c r="K4" s="468" t="str">
        <f t="shared" si="0"/>
        <v>2022/23</v>
      </c>
      <c r="L4" s="468" t="str">
        <f t="shared" si="0"/>
        <v>2023/24</v>
      </c>
      <c r="M4" s="468" t="str">
        <f t="shared" si="0"/>
        <v>2024/25</v>
      </c>
      <c r="N4" s="468" t="str">
        <f t="shared" si="0"/>
        <v>2025/26</v>
      </c>
      <c r="O4" s="1621" t="str">
        <f>AC4</f>
        <v>2026/27</v>
      </c>
      <c r="P4" s="458" t="str">
        <f>SP!B3</f>
        <v>2013/14</v>
      </c>
      <c r="Q4" s="1620" t="str">
        <f>SP!C3</f>
        <v>2014/15</v>
      </c>
      <c r="R4" s="2770" t="str">
        <f>CIV!D3</f>
        <v>2015/16</v>
      </c>
      <c r="S4" s="2771" t="str">
        <f>CIV!G3</f>
        <v>2016/17</v>
      </c>
      <c r="T4" s="2771" t="str">
        <f>CIV!I3</f>
        <v>2017/18</v>
      </c>
      <c r="U4" s="2771" t="str">
        <f>CIV!J3</f>
        <v>2018/19</v>
      </c>
      <c r="V4" s="468" t="str">
        <f>CIV!K3</f>
        <v>2019/20</v>
      </c>
      <c r="W4" s="468" t="str">
        <f>CIV!L3</f>
        <v>2020/21</v>
      </c>
      <c r="X4" s="468" t="str">
        <f>CIV!M3</f>
        <v>2021/22</v>
      </c>
      <c r="Y4" s="468" t="str">
        <f>CIV!N3</f>
        <v>2022/23</v>
      </c>
      <c r="Z4" s="468" t="str">
        <f>CIV!O3</f>
        <v>2023/24</v>
      </c>
      <c r="AA4" s="468" t="str">
        <f>CIV!P3</f>
        <v>2024/25</v>
      </c>
      <c r="AB4" s="1620" t="str">
        <f>CIV!Q3</f>
        <v>2025/26</v>
      </c>
      <c r="AC4" s="2170" t="str">
        <f>CIV!R3</f>
        <v>2026/27</v>
      </c>
      <c r="AD4" s="458" t="str">
        <f t="shared" ref="AD4:BE4" si="1">P4</f>
        <v>2013/14</v>
      </c>
      <c r="AE4" s="1620" t="str">
        <f t="shared" si="1"/>
        <v>2014/15</v>
      </c>
      <c r="AF4" s="1620" t="str">
        <f t="shared" si="1"/>
        <v>2015/16</v>
      </c>
      <c r="AG4" s="1620" t="str">
        <f t="shared" si="1"/>
        <v>2016/17</v>
      </c>
      <c r="AH4" s="1620" t="str">
        <f t="shared" si="1"/>
        <v>2017/18</v>
      </c>
      <c r="AI4" s="458" t="str">
        <f t="shared" si="1"/>
        <v>2018/19</v>
      </c>
      <c r="AJ4" s="468" t="str">
        <f t="shared" si="1"/>
        <v>2019/20</v>
      </c>
      <c r="AK4" s="468" t="str">
        <f t="shared" si="1"/>
        <v>2020/21</v>
      </c>
      <c r="AL4" s="468" t="str">
        <f t="shared" si="1"/>
        <v>2021/22</v>
      </c>
      <c r="AM4" s="468" t="str">
        <f t="shared" si="1"/>
        <v>2022/23</v>
      </c>
      <c r="AN4" s="468" t="str">
        <f t="shared" si="1"/>
        <v>2023/24</v>
      </c>
      <c r="AO4" s="468" t="str">
        <f t="shared" si="1"/>
        <v>2024/25</v>
      </c>
      <c r="AP4" s="468" t="str">
        <f t="shared" si="1"/>
        <v>2025/26</v>
      </c>
      <c r="AQ4" s="1621" t="str">
        <f t="shared" si="1"/>
        <v>2026/27</v>
      </c>
      <c r="AR4" s="458" t="str">
        <f t="shared" si="1"/>
        <v>2013/14</v>
      </c>
      <c r="AS4" s="458" t="str">
        <f t="shared" si="1"/>
        <v>2014/15</v>
      </c>
      <c r="AT4" s="458" t="str">
        <f t="shared" si="1"/>
        <v>2015/16</v>
      </c>
      <c r="AU4" s="458" t="str">
        <f t="shared" si="1"/>
        <v>2016/17</v>
      </c>
      <c r="AV4" s="458" t="str">
        <f t="shared" si="1"/>
        <v>2017/18</v>
      </c>
      <c r="AW4" s="468" t="str">
        <f t="shared" si="1"/>
        <v>2018/19</v>
      </c>
      <c r="AX4" s="468" t="str">
        <f t="shared" si="1"/>
        <v>2019/20</v>
      </c>
      <c r="AY4" s="458" t="str">
        <f t="shared" si="1"/>
        <v>2020/21</v>
      </c>
      <c r="AZ4" s="458" t="str">
        <f t="shared" si="1"/>
        <v>2021/22</v>
      </c>
      <c r="BA4" s="458" t="str">
        <f t="shared" si="1"/>
        <v>2022/23</v>
      </c>
      <c r="BB4" s="1460" t="str">
        <f t="shared" si="1"/>
        <v>2023/24</v>
      </c>
      <c r="BC4" s="1460" t="str">
        <f t="shared" si="1"/>
        <v>2024/25</v>
      </c>
      <c r="BD4" s="1460" t="str">
        <f t="shared" si="1"/>
        <v>2025/26</v>
      </c>
      <c r="BE4" s="2092" t="str">
        <f t="shared" si="1"/>
        <v>2026/27</v>
      </c>
    </row>
    <row r="5" spans="1:57" x14ac:dyDescent="0.2">
      <c r="A5" s="754"/>
      <c r="B5" s="2171"/>
      <c r="C5" s="1618"/>
      <c r="D5" s="908"/>
      <c r="E5" s="908"/>
      <c r="F5" s="908"/>
      <c r="G5" s="908"/>
      <c r="H5" s="908"/>
      <c r="I5" s="908"/>
      <c r="J5" s="908"/>
      <c r="K5" s="908"/>
      <c r="L5" s="132"/>
      <c r="M5" s="132"/>
      <c r="N5" s="132"/>
      <c r="O5" s="830"/>
      <c r="P5" s="130"/>
      <c r="Q5" s="915"/>
      <c r="R5" s="132"/>
      <c r="S5" s="2704"/>
      <c r="T5" s="2429"/>
      <c r="U5" s="2429"/>
      <c r="V5" s="909"/>
      <c r="W5" s="909"/>
      <c r="X5" s="909"/>
      <c r="Y5" s="909"/>
      <c r="Z5" s="909"/>
      <c r="AA5" s="909"/>
      <c r="AB5" s="915"/>
      <c r="AC5" s="2175"/>
      <c r="AD5" s="2700"/>
      <c r="AE5" s="130"/>
      <c r="AF5" s="908"/>
      <c r="AG5" s="908"/>
      <c r="AH5" s="908"/>
      <c r="AI5" s="908"/>
      <c r="AJ5" s="908"/>
      <c r="AK5" s="908"/>
      <c r="AL5" s="908"/>
      <c r="AM5" s="908"/>
      <c r="AN5" s="909"/>
      <c r="AO5" s="909"/>
      <c r="AP5" s="909"/>
      <c r="AQ5" s="913"/>
      <c r="AR5" s="910"/>
      <c r="AS5" s="130"/>
      <c r="AT5" s="912"/>
      <c r="AU5" s="912"/>
      <c r="AV5" s="912"/>
      <c r="AW5" s="909"/>
      <c r="AX5" s="909"/>
      <c r="AY5" s="912"/>
      <c r="AZ5" s="912"/>
      <c r="BA5" s="912"/>
      <c r="BB5" s="308"/>
      <c r="BC5" s="308"/>
      <c r="BD5" s="308"/>
      <c r="BE5" s="1619"/>
    </row>
    <row r="6" spans="1:57" s="9" customFormat="1" x14ac:dyDescent="0.2">
      <c r="A6" s="754" t="s">
        <v>393</v>
      </c>
      <c r="B6" s="2172"/>
      <c r="C6" s="1618"/>
      <c r="D6" s="908"/>
      <c r="E6" s="908"/>
      <c r="F6" s="908"/>
      <c r="G6" s="908"/>
      <c r="H6" s="908"/>
      <c r="I6" s="908"/>
      <c r="J6" s="908"/>
      <c r="K6" s="908"/>
      <c r="L6" s="132"/>
      <c r="M6" s="132"/>
      <c r="N6" s="132"/>
      <c r="O6" s="830"/>
      <c r="P6" s="130"/>
      <c r="Q6" s="915"/>
      <c r="R6" s="132"/>
      <c r="S6" s="2704"/>
      <c r="T6" s="130"/>
      <c r="U6" s="130"/>
      <c r="V6" s="24"/>
      <c r="W6" s="24"/>
      <c r="X6" s="24"/>
      <c r="Y6" s="24"/>
      <c r="Z6" s="132"/>
      <c r="AA6" s="132"/>
      <c r="AB6" s="78"/>
      <c r="AC6" s="825"/>
      <c r="AD6" s="26"/>
      <c r="AE6" s="130"/>
      <c r="AF6" s="1215"/>
      <c r="AG6" s="1215"/>
      <c r="AH6" s="1215"/>
      <c r="AI6" s="1215"/>
      <c r="AJ6" s="1215"/>
      <c r="AK6" s="1215"/>
      <c r="AL6" s="1215"/>
      <c r="AM6" s="1215"/>
      <c r="AN6" s="132"/>
      <c r="AO6" s="132"/>
      <c r="AP6" s="132"/>
      <c r="AQ6" s="830"/>
      <c r="AR6" s="26"/>
      <c r="AS6" s="130"/>
      <c r="AT6" s="24"/>
      <c r="AU6" s="24"/>
      <c r="AV6" s="24"/>
      <c r="AW6" s="24"/>
      <c r="AX6" s="24"/>
      <c r="AY6" s="24"/>
      <c r="AZ6" s="24"/>
      <c r="BA6" s="24"/>
      <c r="BB6" s="132"/>
      <c r="BC6" s="132"/>
      <c r="BD6" s="132"/>
      <c r="BE6" s="131"/>
    </row>
    <row r="7" spans="1:57" s="9" customFormat="1" x14ac:dyDescent="0.2">
      <c r="A7" s="469" t="s">
        <v>2335</v>
      </c>
      <c r="B7" s="2173">
        <f t="shared" ref="B7:O12" si="2">P7+AD7+AR7</f>
        <v>38830500</v>
      </c>
      <c r="C7" s="915">
        <f t="shared" si="2"/>
        <v>41354600</v>
      </c>
      <c r="D7" s="908">
        <f t="shared" si="2"/>
        <v>43946800</v>
      </c>
      <c r="E7" s="908">
        <f t="shared" si="2"/>
        <v>46858600</v>
      </c>
      <c r="F7" s="908">
        <f t="shared" si="2"/>
        <v>47308600</v>
      </c>
      <c r="G7" s="908">
        <f t="shared" si="2"/>
        <v>49350900</v>
      </c>
      <c r="H7" s="908">
        <f t="shared" si="2"/>
        <v>51498300</v>
      </c>
      <c r="I7" s="908">
        <f t="shared" si="2"/>
        <v>53240600</v>
      </c>
      <c r="J7" s="908">
        <f t="shared" si="2"/>
        <v>54866100</v>
      </c>
      <c r="K7" s="908">
        <f t="shared" si="2"/>
        <v>56544500</v>
      </c>
      <c r="L7" s="132">
        <f t="shared" si="2"/>
        <v>58273700</v>
      </c>
      <c r="M7" s="132">
        <f t="shared" si="2"/>
        <v>60054400</v>
      </c>
      <c r="N7" s="132">
        <f t="shared" si="2"/>
        <v>61891500</v>
      </c>
      <c r="O7" s="830">
        <f t="shared" si="2"/>
        <v>63783800</v>
      </c>
      <c r="P7" s="130">
        <f>ROUND(SUM(GM!B598:B612)+SUM(CIV!B1776:'CIV'!B1778)+CIV!B1969+CIV!B1971+CIV!B1972+CIV!B1970+CIV!B956,-2)</f>
        <v>24301300</v>
      </c>
      <c r="Q7" s="130">
        <f>ROUND(SUM(GM!C598:C612)+SUM(CIV!C1776:'CIV'!C1778)+CIV!C1969+CIV!C1971+CIV!C1972+CIV!C1970+CIV!C956,-2)</f>
        <v>25256500</v>
      </c>
      <c r="R7" s="130">
        <f>ROUND(SUM(GM!D598:D612)+SUM(CIV!D1776:'CIV'!D1778)+CIV!D1969+CIV!D1971+CIV!D1972+CIV!D1970+CIV!D956,-2)</f>
        <v>26633600</v>
      </c>
      <c r="S7" s="130">
        <f>ROUND(SUM(GM!G598:G612)+SUM(CIV!G1776:'CIV'!G1778)+CIV!G1969+CIV!G1971+CIV!G1972+CIV!G1970+CIV!G956,-2)</f>
        <v>28103600</v>
      </c>
      <c r="T7" s="130">
        <f>ROUND(SUM(GM!I598:I612)+SUM(CIV!I1776:'CIV'!I1778)+CIV!I1969+CIV!I1971+CIV!I1972+CIV!I1970+CIV!I956,-2)</f>
        <v>28013100</v>
      </c>
      <c r="U7" s="130">
        <f>ROUND(SUM(GM!J598:J612)+SUM(CIV!J1776:'CIV'!J1778)+CIV!J1969+CIV!J1971+CIV!J1972+CIV!J1970+CIV!J956,-2)</f>
        <v>29561900</v>
      </c>
      <c r="V7" s="130">
        <f>ROUND(SUM(GM!K598:K612)+SUM(CIV!K1776:'CIV'!K1778)+CIV!K1969+CIV!K1971+CIV!K1972+CIV!K1970+CIV!K956,-2)</f>
        <v>31203800</v>
      </c>
      <c r="W7" s="130">
        <f>ROUND(SUM(GM!L598:L612)+SUM(CIV!L1776:'CIV'!L1778)+CIV!L1969+CIV!L1971+CIV!L1972+CIV!L1970+CIV!L956,-2)</f>
        <v>32115600</v>
      </c>
      <c r="X7" s="130">
        <f>ROUND(SUM(GM!M598:M612)+SUM(CIV!M1776:'CIV'!M1778)+CIV!M1969+CIV!M1971+CIV!M1972+CIV!M1970+CIV!M956,-2)</f>
        <v>33053700</v>
      </c>
      <c r="Y7" s="130">
        <f>ROUND(SUM(GM!N598:N612)+SUM(CIV!N1776:'CIV'!N1778)+CIV!N1969+CIV!N1971+CIV!N1972+CIV!N1970+CIV!N956,-2)</f>
        <v>34020700</v>
      </c>
      <c r="Z7" s="130">
        <f>ROUND(SUM(GM!O598:O612)+SUM(CIV!O1776:'CIV'!O1778)+CIV!O1969+CIV!O1971+CIV!O1972+CIV!O1970+CIV!O956,-2)</f>
        <v>35015500</v>
      </c>
      <c r="AA7" s="132">
        <f>ROUND(SUM(GM!P598:P612)+SUM(CIV!P1776:'CIV'!P1778)+CIV!P1969+CIV!P1971+CIV!P1972+CIV!P1970+CIV!P956,-2)</f>
        <v>36038800</v>
      </c>
      <c r="AB7" s="78">
        <f>ROUND(SUM(GM!Q598:Q612)+SUM(CIV!Q1776:'CIV'!Q1778)+CIV!Q1969+CIV!Q1971+CIV!Q1972+CIV!Q1970+CIV!Q956,-2)</f>
        <v>37092500</v>
      </c>
      <c r="AC7" s="825">
        <f>ROUND(SUM(GM!R598:R612)+SUM(CIV!R1776:'CIV'!R1778)+CIV!R1969+CIV!R1971+CIV!R1972+CIV!R1970+CIV!R956,-2)</f>
        <v>38176400</v>
      </c>
      <c r="AD7" s="26">
        <f>'W&amp;W'!B43</f>
        <v>2860500</v>
      </c>
      <c r="AE7" s="130">
        <f>'W&amp;W'!C43</f>
        <v>3092600</v>
      </c>
      <c r="AF7" s="1215">
        <f>'W&amp;W'!D43</f>
        <v>3226000</v>
      </c>
      <c r="AG7" s="1215">
        <f>'W&amp;W'!G43</f>
        <v>3367800</v>
      </c>
      <c r="AH7" s="1215">
        <f>'W&amp;W'!I43</f>
        <v>3439500</v>
      </c>
      <c r="AI7" s="1215">
        <f>'W&amp;W'!J43</f>
        <v>3531000</v>
      </c>
      <c r="AJ7" s="1215">
        <f>'W&amp;W'!K43</f>
        <v>3624500</v>
      </c>
      <c r="AK7" s="1215">
        <f>'W&amp;W'!L43</f>
        <v>3779000</v>
      </c>
      <c r="AL7" s="1215">
        <f>'W&amp;W'!M43</f>
        <v>3939400</v>
      </c>
      <c r="AM7" s="1215">
        <f>'W&amp;W'!N43</f>
        <v>4107800</v>
      </c>
      <c r="AN7" s="132">
        <f>'W&amp;W'!O43</f>
        <v>4282200</v>
      </c>
      <c r="AO7" s="132">
        <f>'W&amp;W'!P43</f>
        <v>4463600</v>
      </c>
      <c r="AP7" s="132">
        <f>'W&amp;W'!Q43</f>
        <v>4653000</v>
      </c>
      <c r="AQ7" s="830">
        <f>'W&amp;W'!R43</f>
        <v>4849400</v>
      </c>
      <c r="AR7" s="130">
        <f>'W&amp;W'!B106</f>
        <v>11668700</v>
      </c>
      <c r="AS7" s="26">
        <f>'W&amp;W'!C106</f>
        <v>13005500</v>
      </c>
      <c r="AT7" s="24">
        <f>'W&amp;W'!D106</f>
        <v>14087200</v>
      </c>
      <c r="AU7" s="24">
        <f>'W&amp;W'!G106</f>
        <v>15387200</v>
      </c>
      <c r="AV7" s="24">
        <f>'W&amp;W'!I106</f>
        <v>15856000</v>
      </c>
      <c r="AW7" s="24">
        <f>'W&amp;W'!J106</f>
        <v>16258000</v>
      </c>
      <c r="AX7" s="24">
        <f>'W&amp;W'!K106</f>
        <v>16670000</v>
      </c>
      <c r="AY7" s="24">
        <f>'W&amp;W'!L106</f>
        <v>17346000</v>
      </c>
      <c r="AZ7" s="24">
        <f>'W&amp;W'!M106</f>
        <v>17873000</v>
      </c>
      <c r="BA7" s="24">
        <f>'W&amp;W'!N106</f>
        <v>18416000</v>
      </c>
      <c r="BB7" s="132">
        <f>'W&amp;W'!O106</f>
        <v>18976000</v>
      </c>
      <c r="BC7" s="132">
        <f>'W&amp;W'!P106</f>
        <v>19552000</v>
      </c>
      <c r="BD7" s="132">
        <f>'W&amp;W'!Q106</f>
        <v>20146000</v>
      </c>
      <c r="BE7" s="131">
        <f>'W&amp;W'!R106</f>
        <v>20758000</v>
      </c>
    </row>
    <row r="8" spans="1:57" x14ac:dyDescent="0.2">
      <c r="A8" s="469" t="s">
        <v>2376</v>
      </c>
      <c r="B8" s="2173">
        <f t="shared" si="2"/>
        <v>16956400</v>
      </c>
      <c r="C8" s="78">
        <f t="shared" si="2"/>
        <v>17292900</v>
      </c>
      <c r="D8" s="77">
        <f t="shared" si="2"/>
        <v>18521200</v>
      </c>
      <c r="E8" s="77">
        <f t="shared" si="2"/>
        <v>19221400</v>
      </c>
      <c r="F8" s="77">
        <f t="shared" si="2"/>
        <v>19286000</v>
      </c>
      <c r="G8" s="77">
        <f t="shared" si="2"/>
        <v>19954200</v>
      </c>
      <c r="H8" s="77">
        <f t="shared" si="2"/>
        <v>20570500</v>
      </c>
      <c r="I8" s="77">
        <f t="shared" si="2"/>
        <v>21273100</v>
      </c>
      <c r="J8" s="77">
        <f t="shared" si="2"/>
        <v>21914500</v>
      </c>
      <c r="K8" s="77">
        <f t="shared" si="2"/>
        <v>22537400</v>
      </c>
      <c r="L8" s="132">
        <f t="shared" si="2"/>
        <v>23181000</v>
      </c>
      <c r="M8" s="132">
        <f t="shared" si="2"/>
        <v>23846100</v>
      </c>
      <c r="N8" s="132">
        <f t="shared" si="2"/>
        <v>24533400</v>
      </c>
      <c r="O8" s="830">
        <f t="shared" si="2"/>
        <v>25209700</v>
      </c>
      <c r="P8" s="130">
        <f>ROUND(SUM(SP!B382:B390)+SUM(SP!B486:'SP'!B501)++SUM(SP!B674:B679)+SUM(DEH!B219:B231)+DEH!B305+SUM(DEH!B339:B353)+SUM(DEH!B403:B408)+SUM(CIV!B754:B760)+SUM(CIV!B1088:B1090)+SUM(CIV!B1162:B1167)+SUM(CIV!B1276:B1284)+CIV!B1474+SUM(CIV!B1584:B1585)+SP!B804+GM!B728++GM!B1023+SUM(GM!B1077:B1082)+SUM(CIV!B1779:B1782),-2)</f>
        <v>9267700</v>
      </c>
      <c r="Q8" s="130">
        <f>ROUND(SUM(SP!C382:C390)+SUM(SP!C486:'SP'!C501)++SUM(SP!C674:C679)+SUM(DEH!C219:C231)+DEH!C305+SUM(DEH!C339:C353)+SUM(DEH!C403:C408)+SUM(CIV!C754:C760)+SUM(CIV!C1088:C1090)+SUM(CIV!C1162:C1167)+SUM(CIV!C1276:C1284)+CIV!C1474+SUM(CIV!C1584:C1585)+SP!C804+GM!C728++GM!C1023+SUM(GM!C1077:C1082)+SUM(CIV!C1779:C1782),-2)</f>
        <v>9822500</v>
      </c>
      <c r="R8" s="130">
        <f>ROUND(SUM(SP!D382:D390)+SUM(SP!D486:'SP'!D501)++SUM(SP!D674:D679)+SUM(DEH!D219:D231)+DEH!D305+SUM(DEH!D339:D353)+SUM(DEH!D403:D408)+SUM(CIV!D754:D760)+SUM(CIV!D1088:D1090)+SUM(CIV!D1162:D1167)+SUM(CIV!D1276:D1284)+CIV!D1474+SUM(CIV!D1584:D1585)+SP!D804+GM!D728++GM!D1023+SUM(GM!D1077:D1082)+SUM(CIV!D1779:D1782),-2)</f>
        <v>10725000</v>
      </c>
      <c r="S8" s="130">
        <f>ROUND(SUM(SP!G382:G390)+SUM(SP!G486:'SP'!G501)++SUM(SP!G674:G679)+SUM(DEH!G219:G231)+DEH!G305+SUM(DEH!G339:G353)+SUM(DEH!G403:G408)+SUM(CIV!G754:G760)+SUM(CIV!G1088:G1090)+SUM(CIV!G1162:G1167)+SUM(CIV!G1276:G1284)+CIV!G1474+SUM(CIV!G1584:G1585)+SP!G804+GM!G728++GM!G1023+SUM(GM!G1077:G1082)+SUM(CIV!G1779:G1782),-2)</f>
        <v>10685700</v>
      </c>
      <c r="T8" s="130">
        <f>ROUND(SUM(SP!I382:I390)+SUM(SP!I486:'SP'!I501)++SUM(SP!I674:I679)+SUM(DEH!I219:I231)+DEH!I305+SUM(DEH!I339:I353)+SUM(DEH!I403:I408)+SUM(CIV!I754:I760)+SUM(CIV!I1088:I1090)+SUM(CIV!I1162:I1167)+SUM(CIV!I1276:I1284)+CIV!I1474+SUM(CIV!I1584:I1585)+SP!I804+GM!I728++GM!I1023+SUM(GM!I1077:I1082)+SUM(CIV!I1779:I1782),-2)</f>
        <v>10550200</v>
      </c>
      <c r="U8" s="130">
        <f>ROUND(SUM(SP!J382:J390)+SUM(SP!J486:'SP'!J501)++SUM(SP!J674:J679)+SUM(DEH!J219:J231)+DEH!J305+SUM(DEH!J339:J353)+SUM(DEH!J403:J408)+SUM(CIV!J754:J760)+SUM(CIV!J1088:J1090)+SUM(CIV!J1162:J1167)+SUM(CIV!J1276:J1284)+CIV!J1474+SUM(CIV!J1584:J1585)+SP!J804+GM!J728++GM!J1023+SUM(GM!J1077:J1082)+SUM(CIV!J1779:J1782),-2)</f>
        <v>10961300</v>
      </c>
      <c r="V8" s="130">
        <f>ROUND(SUM(SP!K382:K390)+SUM(SP!K486:'SP'!K501)++SUM(SP!K674:K679)+SUM(DEH!K219:K231)+DEH!K305+SUM(DEH!K339:K353)+SUM(DEH!K403:K408)+SUM(CIV!K754:K760)+SUM(CIV!K1088:K1090)+SUM(CIV!K1162:K1167)+SUM(CIV!K1276:K1284)+CIV!K1474+SUM(CIV!K1584:K1585)+SP!K804+GM!K728++GM!K1023+SUM(GM!K1077:K1082)+SUM(CIV!K1779:K1782),-2)</f>
        <v>11314400</v>
      </c>
      <c r="W8" s="130">
        <f>ROUND(SUM(SP!L382:L390)+SUM(SP!L486:'SP'!L501)++SUM(SP!L674:L679)+SUM(DEH!L219:L231)+DEH!L305+SUM(DEH!L339:L353)+SUM(DEH!L403:L408)+SUM(CIV!L754:L760)+SUM(CIV!L1088:L1090)+SUM(CIV!L1162:L1167)+SUM(CIV!L1276:L1284)+CIV!L1474+SUM(CIV!L1584:L1585)+SP!L804+GM!L728++GM!L1023+SUM(GM!L1077:L1082)+SUM(CIV!L1779:L1782),-2)</f>
        <v>11613600</v>
      </c>
      <c r="X8" s="130">
        <f>ROUND(SUM(SP!M382:M390)+SUM(SP!M486:'SP'!M501)++SUM(SP!M674:M679)+SUM(DEH!M219:M231)+DEH!M305+SUM(DEH!M339:M353)+SUM(DEH!M403:M408)+SUM(CIV!M754:M760)+SUM(CIV!M1088:M1090)+SUM(CIV!M1162:M1167)+SUM(CIV!M1276:M1284)+CIV!M1474+SUM(CIV!M1584:M1585)+SP!M804+GM!M728++GM!M1023+SUM(GM!M1077:M1082)+SUM(CIV!M1779:M1782),-2)</f>
        <v>11888300</v>
      </c>
      <c r="Y8" s="130">
        <f>ROUND(SUM(SP!N382:N390)+SUM(SP!N486:'SP'!N501)++SUM(SP!N674:N679)+SUM(DEH!N219:N231)+DEH!N305+SUM(DEH!N339:N353)+SUM(DEH!N403:N408)+SUM(CIV!N754:N760)+SUM(CIV!N1088:N1090)+SUM(CIV!N1162:N1167)+SUM(CIV!N1276:N1284)+CIV!N1474+SUM(CIV!N1584:N1585)+SP!N804+GM!N728++GM!N1023+SUM(GM!N1077:N1082)+SUM(CIV!N1779:N1782),-2)</f>
        <v>12131400</v>
      </c>
      <c r="Z8" s="132">
        <f>ROUND(SUM(SP!O382:O390)+SUM(SP!O486:'SP'!O501)++SUM(SP!O674:O679)+SUM(DEH!O219:O231)+DEH!O305+SUM(DEH!O339:O353)+SUM(DEH!O403:O408)+SUM(CIV!O754:O760)+SUM(CIV!O1088:O1090)+SUM(CIV!O1162:O1167)+SUM(CIV!O1276:O1284)+CIV!O1474+SUM(CIV!O1584:O1585)+SP!O804+GM!O728++GM!O1023+SUM(GM!O1077:O1082)+SUM(CIV!O1779:O1782),-2)</f>
        <v>12379100</v>
      </c>
      <c r="AA8" s="132">
        <f>ROUND(SUM(SP!P382:P390)+SUM(SP!P486:'SP'!P501)++SUM(SP!P674:P679)+SUM(DEH!P219:P231)+DEH!P305+SUM(DEH!P339:P353)+SUM(DEH!P403:P408)+SUM(CIV!P754:P760)+SUM(CIV!P1088:P1090)+SUM(CIV!P1162:P1167)+SUM(CIV!P1276:P1284)+CIV!P1474+SUM(CIV!P1584:P1585)+SP!P804+GM!P728++GM!P1023+SUM(GM!P1077:P1082)+SUM(CIV!P1779:P1782),-2)</f>
        <v>12633000</v>
      </c>
      <c r="AB8" s="78">
        <f>ROUND(SUM(SP!Q382:Q390)+SUM(SP!Q486:'SP'!Q501)++SUM(SP!Q674:Q679)+SUM(DEH!Q219:Q231)+DEH!Q305+SUM(DEH!Q339:Q353)+SUM(DEH!Q403:Q408)+SUM(CIV!Q754:Q760)+SUM(CIV!Q1088:Q1090)+SUM(CIV!Q1162:Q1167)+SUM(CIV!Q1276:Q1284)+CIV!Q1474+SUM(CIV!Q1584:Q1585)+SP!Q804+GM!Q728++GM!Q1023+SUM(GM!Q1077:Q1082)+SUM(CIV!Q1779:Q1782),-2)</f>
        <v>12894000</v>
      </c>
      <c r="AC8" s="825">
        <f>ROUND(SUM(SP!R382:R390)+SUM(SP!R486:'SP'!R501)++SUM(SP!R674:R679)+SUM(DEH!R219:R231)+DEH!R305+SUM(DEH!R339:R353)+SUM(DEH!R403:R408)+SUM(CIV!R754:R760)+SUM(CIV!R1088:R1090)+SUM(CIV!R1162:R1167)+SUM(CIV!R1276:R1284)+CIV!R1474+SUM(CIV!R1584:R1585)+SP!R804+GM!R728++GM!R1023+SUM(GM!R1077:R1082)+SUM(CIV!R1779:R1782),-2)</f>
        <v>13126800</v>
      </c>
      <c r="AD8" s="130">
        <f>'W&amp;W'!B44</f>
        <v>6590600</v>
      </c>
      <c r="AE8" s="130">
        <f>'W&amp;W'!C44</f>
        <v>6432000</v>
      </c>
      <c r="AF8" s="132">
        <f>'W&amp;W'!D44</f>
        <v>6654300</v>
      </c>
      <c r="AG8" s="132">
        <f>+'W&amp;W'!G44</f>
        <v>7247100</v>
      </c>
      <c r="AH8" s="132">
        <f>+'W&amp;W'!I44</f>
        <v>7384000</v>
      </c>
      <c r="AI8" s="132">
        <f>+'W&amp;W'!J44</f>
        <v>7568500</v>
      </c>
      <c r="AJ8" s="132">
        <f>+'W&amp;W'!K44</f>
        <v>7758100</v>
      </c>
      <c r="AK8" s="132">
        <f>+'W&amp;W'!L44</f>
        <v>8068700</v>
      </c>
      <c r="AL8" s="132">
        <f>+'W&amp;W'!M44</f>
        <v>8391200</v>
      </c>
      <c r="AM8" s="132">
        <f>+'W&amp;W'!N44</f>
        <v>8725700</v>
      </c>
      <c r="AN8" s="132">
        <f>+'W&amp;W'!O44</f>
        <v>9074200</v>
      </c>
      <c r="AO8" s="132">
        <f>+'W&amp;W'!P44</f>
        <v>9436700</v>
      </c>
      <c r="AP8" s="132">
        <f>+'W&amp;W'!Q44</f>
        <v>9813200</v>
      </c>
      <c r="AQ8" s="830">
        <f>+'W&amp;W'!R44</f>
        <v>10205700</v>
      </c>
      <c r="AR8" s="130">
        <f>'W&amp;W'!B107</f>
        <v>1098100</v>
      </c>
      <c r="AS8" s="130">
        <f>'W&amp;W'!C107</f>
        <v>1038400</v>
      </c>
      <c r="AT8" s="132">
        <f>'W&amp;W'!D107</f>
        <v>1141900</v>
      </c>
      <c r="AU8" s="132">
        <f>'W&amp;W'!G107</f>
        <v>1288600</v>
      </c>
      <c r="AV8" s="132">
        <f>'W&amp;W'!I107</f>
        <v>1351800</v>
      </c>
      <c r="AW8" s="132">
        <f>'W&amp;W'!J107</f>
        <v>1424400</v>
      </c>
      <c r="AX8" s="132">
        <f>'W&amp;W'!K107</f>
        <v>1498000</v>
      </c>
      <c r="AY8" s="132">
        <f>'W&amp;W'!L107</f>
        <v>1590800</v>
      </c>
      <c r="AZ8" s="132">
        <f>'W&amp;W'!M107</f>
        <v>1635000</v>
      </c>
      <c r="BA8" s="132">
        <f>'W&amp;W'!N107</f>
        <v>1680300</v>
      </c>
      <c r="BB8" s="132">
        <f>'W&amp;W'!O107</f>
        <v>1727700</v>
      </c>
      <c r="BC8" s="132">
        <f>'W&amp;W'!P107</f>
        <v>1776400</v>
      </c>
      <c r="BD8" s="132">
        <f>'W&amp;W'!Q107</f>
        <v>1826200</v>
      </c>
      <c r="BE8" s="131">
        <f>'W&amp;W'!R107</f>
        <v>1877200</v>
      </c>
    </row>
    <row r="9" spans="1:57" x14ac:dyDescent="0.2">
      <c r="A9" s="469" t="s">
        <v>1689</v>
      </c>
      <c r="B9" s="2173">
        <f t="shared" si="2"/>
        <v>3487400</v>
      </c>
      <c r="C9" s="78">
        <f t="shared" si="2"/>
        <v>2539400</v>
      </c>
      <c r="D9" s="77">
        <f t="shared" si="2"/>
        <v>2133600</v>
      </c>
      <c r="E9" s="77">
        <f t="shared" si="2"/>
        <v>1798500</v>
      </c>
      <c r="F9" s="77">
        <f t="shared" si="2"/>
        <v>1748500</v>
      </c>
      <c r="G9" s="77">
        <f t="shared" si="2"/>
        <v>1801500</v>
      </c>
      <c r="H9" s="77">
        <f t="shared" si="2"/>
        <v>1808400</v>
      </c>
      <c r="I9" s="77">
        <f t="shared" si="2"/>
        <v>1843500</v>
      </c>
      <c r="J9" s="77">
        <f t="shared" si="2"/>
        <v>1791400</v>
      </c>
      <c r="K9" s="77">
        <f t="shared" si="2"/>
        <v>1729600</v>
      </c>
      <c r="L9" s="132">
        <f t="shared" si="2"/>
        <v>1752000</v>
      </c>
      <c r="M9" s="132">
        <f t="shared" si="2"/>
        <v>1841300</v>
      </c>
      <c r="N9" s="132">
        <f t="shared" si="2"/>
        <v>2039100</v>
      </c>
      <c r="O9" s="830">
        <f t="shared" si="2"/>
        <v>2359200</v>
      </c>
      <c r="P9" s="130">
        <f>ROUND(SP!B62+SUM(CIV!B1030:'CIV'!B1032)+CIV!B1587+CIV!B1788+CIV!B1976+CIV!B1525+SUM(GM!B613:B619)+SUM(GM!B906:B909)+SUM(GM!B624:B628)+GM!B1088+GM!B664,-2)</f>
        <v>2105100</v>
      </c>
      <c r="Q9" s="130">
        <f>ROUND(SP!C62+SUM(CIV!C1030:'CIV'!C1032)+CIV!C1587+CIV!C1788+CIV!C1976+CIV!C1525+SUM(GM!C613:C619)+SUM(GM!C906:C909)+SUM(GM!C624:C628)+GM!C1088+GM!C664,-2)</f>
        <v>1449300</v>
      </c>
      <c r="R9" s="130">
        <f>ROUND(SP!D62+SUM(CIV!D1030:'CIV'!D1032)+CIV!D1587+CIV!D1788+CIV!D1976+CIV!D1525+SUM(GM!D613:D619)+SUM(GM!D906:D909)+SUM(GM!D624:D628)+GM!D1088+GM!D664,-2)</f>
        <v>1298100</v>
      </c>
      <c r="S9" s="130">
        <f>ROUND(SP!G62+SUM(CIV!G1030:'CIV'!G1032)+CIV!G1587+CIV!G1788+CIV!G1976+CIV!G1525+SUM(GM!G613:G619)+SUM(GM!G906:G909)+SUM(GM!G624:G628)+GM!G1088+GM!G664,-2)</f>
        <v>1089500</v>
      </c>
      <c r="T9" s="130">
        <f>ROUND(SP!I62+SUM(CIV!I1030:'CIV'!I1032)+CIV!I1587+CIV!I1788+CIV!I1976+CIV!I1525+SUM(GM!I613:I619)+SUM(GM!I906:I909)+SUM(GM!I624:I628)+GM!I1088+GM!I664,-2)</f>
        <v>1071500</v>
      </c>
      <c r="U9" s="130">
        <f>ROUND(SP!J62+SUM(CIV!J1030:'CIV'!J1032)+CIV!J1587+CIV!J1788+CIV!J1976+CIV!J1525+SUM(GM!J613:J619)+SUM(GM!J906:J909)+SUM(GM!J624:J628)+GM!J1088+GM!J664,-2)</f>
        <v>1164200</v>
      </c>
      <c r="V9" s="130">
        <f>ROUND(SP!K62+SUM(CIV!K1030:'CIV'!K1032)+CIV!K1587+CIV!K1788+CIV!K1976+CIV!K1525+SUM(GM!K613:K619)+SUM(GM!K906:K909)+SUM(GM!K624:K628)+GM!K1088+GM!K664,-2)</f>
        <v>1192900</v>
      </c>
      <c r="W9" s="130">
        <f>ROUND(SP!L62+SUM(CIV!L1030:'CIV'!L1032)+CIV!L1587+CIV!L1788+CIV!L1976+CIV!L1525+SUM(GM!L613:L619)+SUM(GM!L906:L909)+SUM(GM!L624:L628)+GM!L1088+GM!L664,-2)</f>
        <v>1304200</v>
      </c>
      <c r="X9" s="130">
        <f>ROUND(SP!M62+SUM(CIV!M1030:'CIV'!M1032)+CIV!M1587+CIV!M1788+CIV!M1976+CIV!M1525+SUM(GM!M613:M619)+SUM(GM!M906:M909)+SUM(GM!M624:M628)+GM!M1088+GM!M664,-2)</f>
        <v>1245100</v>
      </c>
      <c r="Y9" s="130">
        <f>ROUND(SP!N62+SUM(CIV!N1030:'CIV'!N1032)+CIV!N1587+CIV!N1788+CIV!N1976+CIV!N1525+SUM(GM!N613:N619)+SUM(GM!N906:N909)+SUM(GM!N624:N628)+GM!N1088+GM!N664,-2)</f>
        <v>1243500</v>
      </c>
      <c r="Z9" s="130">
        <f>ROUND(SP!O62+SUM(CIV!O1030:'CIV'!O1032)+CIV!O1587+CIV!O1788+CIV!O1976+CIV!O1525+SUM(GM!O613:O619)+SUM(GM!O906:O909)+SUM(GM!O624:O628)+GM!O1088+GM!O664,-2)</f>
        <v>1313500</v>
      </c>
      <c r="AA9" s="132">
        <f>ROUND(SP!P62+SUM(CIV!P1030:'CIV'!P1032)+CIV!P1587+CIV!P1788+CIV!P1976+CIV!P1525+SUM(GM!P613:P619)+SUM(GM!P906:P909)+SUM(GM!P624:P628)+GM!P1088+GM!P664,-2)</f>
        <v>1345500</v>
      </c>
      <c r="AB9" s="78">
        <f>ROUND(SP!Q62+SUM(CIV!Q1030:'CIV'!Q1032)+CIV!Q1587+CIV!Q1788+CIV!Q1976+CIV!Q1525+SUM(GM!Q613:Q619)+SUM(GM!Q906:Q909)+SUM(GM!Q624:Q628)+GM!Q1088+GM!Q664,-2)</f>
        <v>1402500</v>
      </c>
      <c r="AC9" s="825">
        <f>ROUND(SP!R62+SUM(CIV!R1030:'CIV'!R1032)+CIV!R1587+CIV!R1788+CIV!R1976+CIV!R1525+SUM(GM!R613:R619)+SUM(GM!R906:R909)+SUM(GM!R624:R628)+GM!R1088+GM!R664,-2)</f>
        <v>1492100</v>
      </c>
      <c r="AD9" s="130">
        <f>'W&amp;W'!B47</f>
        <v>413500</v>
      </c>
      <c r="AE9" s="130">
        <f>'W&amp;W'!C47</f>
        <v>417400</v>
      </c>
      <c r="AF9" s="132">
        <f>'W&amp;W'!D47</f>
        <v>339000</v>
      </c>
      <c r="AG9" s="77">
        <f>'W&amp;W'!G47</f>
        <v>338400</v>
      </c>
      <c r="AH9" s="77">
        <f>'W&amp;W'!I47</f>
        <v>368800</v>
      </c>
      <c r="AI9" s="77">
        <f>'W&amp;W'!J47</f>
        <v>352400</v>
      </c>
      <c r="AJ9" s="77">
        <f>'W&amp;W'!K47</f>
        <v>317200</v>
      </c>
      <c r="AK9" s="77">
        <f>'W&amp;W'!L47</f>
        <v>296100</v>
      </c>
      <c r="AL9" s="77">
        <f>'W&amp;W'!M47</f>
        <v>329000</v>
      </c>
      <c r="AM9" s="77">
        <f>'W&amp;W'!N47</f>
        <v>247000</v>
      </c>
      <c r="AN9" s="132">
        <f>'W&amp;W'!O47</f>
        <v>213200</v>
      </c>
      <c r="AO9" s="132">
        <f>'W&amp;W'!P47</f>
        <v>207100</v>
      </c>
      <c r="AP9" s="132">
        <f>'W&amp;W'!Q47</f>
        <v>210500</v>
      </c>
      <c r="AQ9" s="830">
        <f>'W&amp;W'!R47</f>
        <v>297700</v>
      </c>
      <c r="AR9" s="130">
        <f>'W&amp;W'!B110</f>
        <v>968800</v>
      </c>
      <c r="AS9" s="130">
        <f>'W&amp;W'!C110</f>
        <v>672700</v>
      </c>
      <c r="AT9" s="132">
        <f>'W&amp;W'!D110</f>
        <v>496500</v>
      </c>
      <c r="AU9" s="132">
        <f>'W&amp;W'!G110</f>
        <v>370600</v>
      </c>
      <c r="AV9" s="132">
        <f>'W&amp;W'!I110</f>
        <v>308200</v>
      </c>
      <c r="AW9" s="132">
        <f>'W&amp;W'!J110</f>
        <v>284900</v>
      </c>
      <c r="AX9" s="132">
        <f>'W&amp;W'!K110</f>
        <v>298300</v>
      </c>
      <c r="AY9" s="132">
        <f>'W&amp;W'!L110</f>
        <v>243200</v>
      </c>
      <c r="AZ9" s="132">
        <f>'W&amp;W'!M110</f>
        <v>217300</v>
      </c>
      <c r="BA9" s="132">
        <f>'W&amp;W'!N110</f>
        <v>239100</v>
      </c>
      <c r="BB9" s="132">
        <f>'W&amp;W'!O110</f>
        <v>225300</v>
      </c>
      <c r="BC9" s="132">
        <f>'W&amp;W'!P110</f>
        <v>288700</v>
      </c>
      <c r="BD9" s="132">
        <f>'W&amp;W'!Q110</f>
        <v>426100</v>
      </c>
      <c r="BE9" s="131">
        <f>'W&amp;W'!R110</f>
        <v>569400</v>
      </c>
    </row>
    <row r="10" spans="1:57" x14ac:dyDescent="0.2">
      <c r="A10" s="469" t="s">
        <v>675</v>
      </c>
      <c r="B10" s="2173">
        <f t="shared" si="2"/>
        <v>5816500</v>
      </c>
      <c r="C10" s="915">
        <f t="shared" si="2"/>
        <v>5847200</v>
      </c>
      <c r="D10" s="908">
        <f t="shared" si="2"/>
        <v>4279900</v>
      </c>
      <c r="E10" s="908">
        <f t="shared" si="2"/>
        <v>5856300</v>
      </c>
      <c r="F10" s="908">
        <f t="shared" si="2"/>
        <v>6225500</v>
      </c>
      <c r="G10" s="908">
        <f t="shared" si="2"/>
        <v>6576700</v>
      </c>
      <c r="H10" s="908">
        <f t="shared" si="2"/>
        <v>6658200</v>
      </c>
      <c r="I10" s="908">
        <f t="shared" si="2"/>
        <v>6824100</v>
      </c>
      <c r="J10" s="908">
        <f t="shared" si="2"/>
        <v>6994000</v>
      </c>
      <c r="K10" s="908">
        <f t="shared" si="2"/>
        <v>7163500</v>
      </c>
      <c r="L10" s="132">
        <f t="shared" si="2"/>
        <v>7429400</v>
      </c>
      <c r="M10" s="132">
        <f t="shared" si="2"/>
        <v>7519200</v>
      </c>
      <c r="N10" s="132">
        <f t="shared" si="2"/>
        <v>7707200</v>
      </c>
      <c r="O10" s="830">
        <f t="shared" si="2"/>
        <v>7900200</v>
      </c>
      <c r="P10" s="130">
        <f>ROUND('Cash-Gen'!A44-P11-P7-P8-P9-P12,-2)</f>
        <v>4593400</v>
      </c>
      <c r="Q10" s="910">
        <f>ROUND('Cash-Gen'!B44-Q11-Q7-Q8-Q9-Q12,-2)</f>
        <v>4580900</v>
      </c>
      <c r="R10" s="2429">
        <f>ROUND('Cash-Gen'!C44-R11-R7-R8-R9-R12,-2)</f>
        <v>2984100</v>
      </c>
      <c r="S10" s="2429">
        <f>ROUND('Cash-Gen'!E44-S11-S7-S8-S9-S12-S32,-2)</f>
        <v>4544500</v>
      </c>
      <c r="T10" s="2429">
        <f>ROUND('Cash-Gen'!F44-T11-T7-T8-T9-T12-T32,-2)</f>
        <v>4928600</v>
      </c>
      <c r="U10" s="2429">
        <f>ROUND('Cash-Gen'!G44-U11-U7-U8-U9-U12-U32,-2)</f>
        <v>5246800</v>
      </c>
      <c r="V10" s="910">
        <f>ROUND('Cash-Gen'!H44-V11-V7-V8-V9-V12-V32,-2)</f>
        <v>5294600</v>
      </c>
      <c r="W10" s="910">
        <f>ROUND('Cash-Gen'!I44-W11-W7-W8-W9-W12-W32,-2)</f>
        <v>5425800</v>
      </c>
      <c r="X10" s="910">
        <f>ROUND('Cash-Gen'!J44-X11-X7-X8-X9-X12-X32,-2)</f>
        <v>5566900</v>
      </c>
      <c r="Y10" s="910">
        <f>ROUND('Cash-Gen'!K44-Y11-Y7-Y8-Y9-Y12-Y32,-2)</f>
        <v>5707200</v>
      </c>
      <c r="Z10" s="910">
        <f>ROUND('Cash-Gen'!L44-Z11-Z7-Z8-Z9-Z12-Z32,-2)</f>
        <v>5943300</v>
      </c>
      <c r="AA10" s="132">
        <f>ROUND('Cash-Gen'!M44-AA11-AA7-AA8-AA9-AA12-AA32,-2)</f>
        <v>6002700</v>
      </c>
      <c r="AB10" s="78">
        <f>ROUND('Cash-Gen'!N44-AB11-AB7-AB8-AB9-AB12-AB32,-2)</f>
        <v>6159600</v>
      </c>
      <c r="AC10" s="825">
        <f>ROUND('Cash-Gen'!O44-AC11-AC7-AC8-AC9-AC12-AC32,-2)</f>
        <v>6320800</v>
      </c>
      <c r="AD10" s="26">
        <f>'Cash-W'!A6-AD7-AD8-AD11-AD9</f>
        <v>672700</v>
      </c>
      <c r="AE10" s="26">
        <f>'Cash-W'!B6-AE7-AE8-AE11-AE9-AE12</f>
        <v>797900</v>
      </c>
      <c r="AF10" s="26">
        <f>'Cash-W'!C6-AF7-AF8-AF11-AF9</f>
        <v>822400</v>
      </c>
      <c r="AG10" s="26">
        <f>'Cash-W'!F6-AG7-AG8-AG11-AG9</f>
        <v>805000</v>
      </c>
      <c r="AH10" s="1215">
        <f>'Cash-W'!G6-AH7-AH8-AH11-AH9-AH12</f>
        <v>818000</v>
      </c>
      <c r="AI10" s="1215">
        <f>'Cash-W'!H6-AI7-AI8-AI11-AI9-AI12</f>
        <v>838700</v>
      </c>
      <c r="AJ10" s="1215">
        <f>'Cash-W'!I6-AJ7-AJ8-AJ11-AJ9-AJ12</f>
        <v>859900</v>
      </c>
      <c r="AK10" s="1215">
        <f>'Cash-W'!J6-AK7-AK8-AK11-AK9-AK12</f>
        <v>881700</v>
      </c>
      <c r="AL10" s="1215">
        <f>'Cash-W'!K6-AL7-AL8-AL11-AL9-AL12</f>
        <v>899700</v>
      </c>
      <c r="AM10" s="1215">
        <f>'Cash-W'!L6-AM7-AM8-AM11-AM9-AM12</f>
        <v>918000</v>
      </c>
      <c r="AN10" s="132">
        <f>'Cash-W'!M6-AN7-AN8-AN11-AN9-AN12</f>
        <v>936700</v>
      </c>
      <c r="AO10" s="132">
        <f>'Cash-W'!N6-AO7-AO8-AO11-AO9-AO12</f>
        <v>955800</v>
      </c>
      <c r="AP10" s="132">
        <f>'Cash-W'!O6-AP7-AP8-AP11-AP9-AP12</f>
        <v>975300</v>
      </c>
      <c r="AQ10" s="830">
        <f>'Cash-W'!P6-AQ7-AQ8-AQ11-AQ9-AQ12</f>
        <v>995200</v>
      </c>
      <c r="AR10" s="26">
        <f>'W&amp;W'!B113-Summaries!AR7-Summaries!AR8-Summaries!AR9-Summaries!AR11-Summaries!AR12</f>
        <v>550400</v>
      </c>
      <c r="AS10" s="26">
        <f>'W&amp;W'!C113-Summaries!AS7-Summaries!AS8-Summaries!AS9-Summaries!AS11-Summaries!AS12</f>
        <v>468400</v>
      </c>
      <c r="AT10" s="26">
        <f>'W&amp;W'!D113-Summaries!AT7-Summaries!AT8-Summaries!AT9-Summaries!AT11-Summaries!AT12</f>
        <v>473400</v>
      </c>
      <c r="AU10" s="26">
        <f>'W&amp;W'!G113-Summaries!AU7-Summaries!AU8-Summaries!AU9-Summaries!AU11-Summaries!AU12</f>
        <v>506800</v>
      </c>
      <c r="AV10" s="26">
        <f>'W&amp;W'!I113-Summaries!AV7-Summaries!AV8-Summaries!AV9-Summaries!AV11-Summaries!AV12</f>
        <v>478900</v>
      </c>
      <c r="AW10" s="26">
        <f>'W&amp;W'!J113-Summaries!AW7-Summaries!AW8-Summaries!AW9-Summaries!AW11-Summaries!AW12</f>
        <v>491200</v>
      </c>
      <c r="AX10" s="26">
        <f>'W&amp;W'!K113-Summaries!AX7-Summaries!AX8-Summaries!AX9-Summaries!AX11-Summaries!AX12</f>
        <v>503700</v>
      </c>
      <c r="AY10" s="26">
        <f>'W&amp;W'!L113-Summaries!AY7-Summaries!AY8-Summaries!AY9-Summaries!AY11-Summaries!AY12</f>
        <v>516600</v>
      </c>
      <c r="AZ10" s="26">
        <f>'W&amp;W'!M113-Summaries!AZ7-Summaries!AZ8-Summaries!AZ9-Summaries!AZ11-Summaries!AZ12</f>
        <v>527400</v>
      </c>
      <c r="BA10" s="26">
        <f>'W&amp;W'!N113-Summaries!BA7-Summaries!BA8-Summaries!BA9-Summaries!BA11-Summaries!BA12</f>
        <v>538300</v>
      </c>
      <c r="BB10" s="132">
        <f>'W&amp;W'!O113-Summaries!BB7-Summaries!BB8-Summaries!BB9-Summaries!BB11-Summaries!BB12</f>
        <v>549400</v>
      </c>
      <c r="BC10" s="132">
        <f>'W&amp;W'!P113-Summaries!BC7-Summaries!BC8-Summaries!BC9-Summaries!BC11-Summaries!BC12</f>
        <v>560700</v>
      </c>
      <c r="BD10" s="132">
        <f>'W&amp;W'!Q113-Summaries!BD7-Summaries!BD8-Summaries!BD9-Summaries!BD11-Summaries!BD12</f>
        <v>572300</v>
      </c>
      <c r="BE10" s="131">
        <f>'W&amp;W'!R113-Summaries!BE7-Summaries!BE8-Summaries!BE9-Summaries!BE11-Summaries!BE12</f>
        <v>584200</v>
      </c>
    </row>
    <row r="11" spans="1:57" x14ac:dyDescent="0.2">
      <c r="A11" s="469" t="s">
        <v>687</v>
      </c>
      <c r="B11" s="2173">
        <f t="shared" si="2"/>
        <v>6082300</v>
      </c>
      <c r="C11" s="915">
        <f t="shared" si="2"/>
        <v>7833600</v>
      </c>
      <c r="D11" s="908">
        <f t="shared" si="2"/>
        <v>9389200</v>
      </c>
      <c r="E11" s="908">
        <f t="shared" si="2"/>
        <v>10625700</v>
      </c>
      <c r="F11" s="908">
        <f t="shared" si="2"/>
        <v>7685700</v>
      </c>
      <c r="G11" s="908">
        <f t="shared" si="2"/>
        <v>7539500</v>
      </c>
      <c r="H11" s="908">
        <f t="shared" si="2"/>
        <v>7527600</v>
      </c>
      <c r="I11" s="908">
        <f t="shared" si="2"/>
        <v>7629500</v>
      </c>
      <c r="J11" s="908">
        <f t="shared" si="2"/>
        <v>7721600</v>
      </c>
      <c r="K11" s="908">
        <f t="shared" si="2"/>
        <v>7821400</v>
      </c>
      <c r="L11" s="132">
        <f t="shared" si="2"/>
        <v>7954700</v>
      </c>
      <c r="M11" s="132">
        <f t="shared" si="2"/>
        <v>8100500</v>
      </c>
      <c r="N11" s="132">
        <f t="shared" si="2"/>
        <v>8251700</v>
      </c>
      <c r="O11" s="830">
        <f t="shared" si="2"/>
        <v>8405800</v>
      </c>
      <c r="P11" s="130">
        <f>ROUND(SUM(SP!B392:B397)+SUM(SP!B169:B172)+SP!B679+SUM(SP!B877:B880)+DEH!B233+SUM(CIV!B761:B765)+SUM(CIV!B959:B960)+SUM(CIV!B1022:B1028)+SUM(CIV!B1091:B1094)++SUM(CIV!B1285:B1290)+CIV!B1392+CIV!B1522++CIV!B1657+SUM(CIV!B1783:B1784)+CIV!B1974+GM!B481+SUM(GM!B620:B623)+SP!B745+SUM(GM!B779:B782)++SUM(CIV!B1157:B1161)+DEH!B127+CIV!B1224+++GM!B1086+SUM(GM!B903:B905),-2)</f>
        <v>5779700</v>
      </c>
      <c r="Q11" s="130">
        <f>ROUND(SUM(SP!C392:C397)+SUM(SP!C169:C172)+SP!C679+SUM(SP!C877:C880)+DEH!C233+SUM(CIV!C761:C765)+SUM(CIV!C959:C960)+SUM(CIV!C1022:C1028)+SUM(CIV!C1091:C1094)++SUM(CIV!C1285:C1290)+CIV!C1392+CIV!C1522++CIV!C1657+SUM(CIV!C1783:C1784)+CIV!C1974+GM!C481+SUM(GM!C620:C623)+SP!C745+SUM(GM!C779:C782)++SUM(CIV!C1157:C1161)+DEH!C127+CIV!C1224+++GM!C1086+SUM(GM!C903:C905),-2)</f>
        <v>7529300</v>
      </c>
      <c r="R11" s="130">
        <f>ROUND(SUM(SP!D392:D397)+SUM(SP!D169:D172)+SP!D679+SUM(SP!D877:D880)+DEH!D233+SUM(CIV!D761:D765)+SUM(CIV!D959:D960)+SUM(CIV!D1022:D1028)+SUM(CIV!D1091:D1094)++SUM(CIV!D1285:D1290)+CIV!D1392+CIV!D1522++CIV!D1657+SUM(CIV!D1783:D1784)+CIV!D1974+GM!D481+SUM(GM!D620:D623)+SP!D745+SUM(GM!D779:D782)++SUM(CIV!D1157:D1161)+DEH!D127+CIV!D1224+++GM!D1086+SUM(GM!D903:D905),-2)+'Cap Inc'!B21+'Cap Inc'!B22+'Cap Inc'!B35+'Cap Inc'!B49+'Cap Inc'!B50+'Cap Inc'!B51</f>
        <v>9075200</v>
      </c>
      <c r="S11" s="130">
        <f>ROUND(SUM(SP!G392:G397)+SUM(SP!G169:G172)+SP!G679+SUM(SP!G877:G880)+DEH!G233+SUM(CIV!G761:G765)+SUM(CIV!G959:G960)+SUM(CIV!G1022:G1028)+SUM(CIV!G1091:G1094)++SUM(CIV!G1285:G1290)+CIV!G1392+CIV!G1522++CIV!G1657+SUM(CIV!G1783:G1784)+CIV!G1974+GM!G481+SUM(GM!G620:G623)+SP!G745+SUM(GM!G779:G782)++SUM(CIV!G1157:G1161)+DEH!G127+CIV!G1224+++GM!G1086+SUM(GM!G903:G905),-2)+'Cap Inc'!E21+'Cap Inc'!E22+'Cap Inc'!E35+'Cap Inc'!E49+'Cap Inc'!E50+'Cap Inc'!E51</f>
        <v>10317700</v>
      </c>
      <c r="T11" s="130">
        <f>ROUND(SUM(SP!I392:I397)+SUM(SP!I169:I172)+SP!I679+SUM(SP!I877:I880)+DEH!I233+SUM(CIV!I761:I765)+SUM(CIV!I959:I960)+SUM(CIV!I1022:I1028)+SUM(CIV!I1091:I1094)++SUM(CIV!I1285:I1290)+CIV!I1392+CIV!I1522++CIV!I1657+SUM(CIV!I1783:I1784)+CIV!I1974+GM!I481+SUM(GM!I620:I623)+SP!I745+SUM(GM!I779:I782)++SUM(CIV!I1157:I1161)+DEH!I127+CIV!I1224+++GM!I1086+SUM(GM!I903:I905),-2)+'Cap Inc'!F21+'Cap Inc'!F22+'Cap Inc'!F35+'Cap Inc'!F49+'Cap Inc'!F50+'Cap Inc'!F51</f>
        <v>7398100</v>
      </c>
      <c r="U11" s="130">
        <f>ROUND(SUM(SP!J392:J397)+SUM(SP!J169:J172)+SP!J679+SUM(SP!J877:J880)+DEH!J233+SUM(CIV!J761:J765)+SUM(CIV!J959:J960)+SUM(CIV!J1022:J1028)+SUM(CIV!J1091:J1094)++SUM(CIV!J1285:J1290)+CIV!J1392+CIV!J1522++CIV!J1657+SUM(CIV!J1783:J1784)+CIV!J1974+GM!J481+SUM(GM!J620:J623)+SP!J745+SUM(GM!J779:J782)++SUM(CIV!J1157:J1161)+DEH!J127+CIV!J1224+++GM!J1086+SUM(GM!J903:J905),-2)+'Cap Inc'!G21+'Cap Inc'!G22+'Cap Inc'!G35+'Cap Inc'!G49+'Cap Inc'!G50+'Cap Inc'!G51</f>
        <v>7250300</v>
      </c>
      <c r="V11" s="130">
        <f>ROUND(SUM(SP!K392:K397)+SUM(SP!K169:K172)+SP!K679+SUM(SP!K877:K880)+DEH!K233+SUM(CIV!K761:K765)+SUM(CIV!K959:K960)+SUM(CIV!K1022:K1028)+SUM(CIV!K1091:K1094)++SUM(CIV!K1285:K1290)+CIV!K1392+CIV!K1522++CIV!K1657+SUM(CIV!K1783:K1784)+CIV!K1974+GM!K481+SUM(GM!K620:K623)+SP!K745+SUM(GM!K779:K782)++SUM(CIV!K1157:K1161)+DEH!K127+CIV!K1224+++GM!K1086+SUM(GM!K903:K905),-2)+'Cap Inc'!H21+'Cap Inc'!H22+'Cap Inc'!H35</f>
        <v>7236600</v>
      </c>
      <c r="W11" s="130">
        <f>ROUND(SUM(SP!L392:L397)+SUM(SP!L169:L172)+SP!L679+SUM(SP!L877:L880)+DEH!L233+SUM(CIV!L761:L765)+SUM(CIV!L959:L960)+SUM(CIV!L1022:L1028)+SUM(CIV!L1091:L1094)++SUM(CIV!L1285:L1290)+CIV!L1392+CIV!L1522++CIV!L1657+SUM(CIV!L1783:L1784)+CIV!L1974+GM!L481+SUM(GM!L620:L623)+SP!L745+SUM(GM!L779:L782)++SUM(CIV!L1157:L1161)+DEH!L127+CIV!L1224+++GM!L1086+SUM(GM!L903:L905),-2)+'Cap Inc'!I21+'Cap Inc'!I35</f>
        <v>7336900</v>
      </c>
      <c r="X11" s="130">
        <f>ROUND(SUM(SP!M392:M397)+SUM(SP!M169:M172)+SP!M679+SUM(SP!M877:M880)+DEH!M233+SUM(CIV!M761:M765)+SUM(CIV!M959:M960)+SUM(CIV!M1022:M1028)+SUM(CIV!M1091:M1094)++SUM(CIV!M1285:M1290)+CIV!M1392+CIV!M1522++CIV!M1657+SUM(CIV!M1783:M1784)+CIV!M1974+GM!M481+SUM(GM!M620:M623)+SP!M745+SUM(GM!M779:M782)++SUM(CIV!M1157:M1161)+DEH!M127+CIV!M1224+++GM!M1086+SUM(GM!M903:M905),-2)+'Cap Inc'!I21+'Cap Inc'!J35</f>
        <v>7427300</v>
      </c>
      <c r="Y11" s="130">
        <f>ROUND(SUM(SP!N392:N397)+SUM(SP!N169:N172)+SP!N679+SUM(SP!N877:N880)+DEH!N233+SUM(CIV!N761:N765)+SUM(CIV!N959:N960)+SUM(CIV!N1022:N1028)+SUM(CIV!N1091:N1094)++SUM(CIV!N1285:N1290)+CIV!N1392+CIV!N1522++CIV!N1657+SUM(CIV!N1783:N1784)+CIV!N1974+GM!N481+SUM(GM!N620:N623)+SP!N745+SUM(GM!N779:N782)++SUM(CIV!N1157:N1161)+DEH!N127+CIV!N1224+++GM!N1086+SUM(GM!N903:N905),-2)+'Cap Inc'!K21+'Cap Inc'!K35</f>
        <v>7525400</v>
      </c>
      <c r="Z11" s="130">
        <f>ROUND(SUM(SP!O392:O397)+SUM(SP!O169:O172)+SP!O679+SUM(SP!O877:O880)+DEH!O233+SUM(CIV!O761:O765)+SUM(CIV!O959:O960)+SUM(CIV!O1022:O1028)+SUM(CIV!O1091:O1094)++SUM(CIV!O1285:O1290)+CIV!O1392+CIV!O1522++CIV!O1657+SUM(CIV!O1783:O1784)+CIV!O1974+GM!O481+SUM(GM!O620:O623)+SP!O745+SUM(GM!O779:O782)++SUM(CIV!O1157:O1161)+DEH!O127+CIV!O1224+++GM!O1086+SUM(GM!O903:O905),-2)+'Cap Inc'!L21+'Cap Inc'!L35</f>
        <v>7657000</v>
      </c>
      <c r="AA11" s="130">
        <f>ROUND(SUM(SP!P392:P397)+SUM(SP!P169:P172)+SP!P679+SUM(SP!P877:P880)+DEH!P233+SUM(CIV!P761:P765)+SUM(CIV!P959:P960)+SUM(CIV!P1022:P1028)+SUM(CIV!P1091:P1094)++SUM(CIV!P1285:P1290)+CIV!P1392+CIV!P1522++CIV!P1657+SUM(CIV!P1783:P1784)+CIV!P1974+GM!P481+SUM(GM!P620:P623)+SP!P745+SUM(GM!P779:P782)++SUM(CIV!P1157:P1161)+DEH!P127+CIV!P1224+++GM!P1086+SUM(GM!P903:P905),-2)+'Cap Inc'!M21+'Cap Inc'!M35</f>
        <v>7801000</v>
      </c>
      <c r="AB11" s="78">
        <f>ROUND(SUM(SP!Q392:Q397)+SUM(SP!Q169:Q172)+SP!Q679+SUM(SP!Q877:Q880)+DEH!Q233+SUM(CIV!Q761:Q765)+SUM(CIV!Q959:Q960)+SUM(CIV!Q1022:Q1028)+SUM(CIV!Q1091:Q1094)++SUM(CIV!Q1285:Q1290)+CIV!Q1392+CIV!Q1522++CIV!Q1657+SUM(CIV!Q1783:Q1784)+CIV!Q1974+GM!Q481+SUM(GM!Q620:Q623)+SP!Q745+SUM(GM!Q779:Q782)++SUM(CIV!Q1157:Q1161)+DEH!Q127+CIV!Q1224+++GM!Q1086+SUM(GM!Q903:Q905),-2)+'Cap Inc'!N21+'Cap Inc'!N35</f>
        <v>7950500</v>
      </c>
      <c r="AC11" s="825">
        <f>ROUND(SUM(SP!R392:R397)+SUM(SP!R169:R172)+SP!R679+SUM(SP!R877:R880)+DEH!R233+SUM(CIV!R761:R765)+SUM(CIV!R959:R960)+SUM(CIV!R1022:R1028)+SUM(CIV!R1091:R1094)++SUM(CIV!R1285:R1290)+CIV!R1392+CIV!R1522++CIV!R1657+SUM(CIV!R1783:R1784)+CIV!R1974+GM!R481+SUM(GM!R620:R623)+SP!R745+SUM(GM!R779:R782)++SUM(CIV!R1157:R1161)+DEH!R127+CIV!R1224+++GM!R1086+SUM(GM!R903:R905),-2)+'Cap Inc'!O21+'Cap Inc'!O35</f>
        <v>8102900</v>
      </c>
      <c r="AD11" s="26">
        <f>'W&amp;W'!B46</f>
        <v>151800</v>
      </c>
      <c r="AE11" s="26">
        <f>'W&amp;W'!C46</f>
        <v>152600</v>
      </c>
      <c r="AF11" s="26">
        <f>'W&amp;W'!D46</f>
        <v>157400</v>
      </c>
      <c r="AG11" s="26">
        <f>'W&amp;W'!G46</f>
        <v>155300</v>
      </c>
      <c r="AH11" s="1215">
        <f>'W&amp;W'!I46</f>
        <v>144000</v>
      </c>
      <c r="AI11" s="1215">
        <f>'W&amp;W'!J46</f>
        <v>144700</v>
      </c>
      <c r="AJ11" s="1215">
        <f>'W&amp;W'!K46</f>
        <v>145500</v>
      </c>
      <c r="AK11" s="1215">
        <f>'W&amp;W'!L46</f>
        <v>146200</v>
      </c>
      <c r="AL11" s="1215">
        <f>'W&amp;W'!M46</f>
        <v>147000</v>
      </c>
      <c r="AM11" s="1215">
        <f>'W&amp;W'!N46</f>
        <v>147800</v>
      </c>
      <c r="AN11" s="24">
        <f>'W&amp;W'!O46</f>
        <v>148600</v>
      </c>
      <c r="AO11" s="24">
        <f>'W&amp;W'!P46</f>
        <v>149500</v>
      </c>
      <c r="AP11" s="24">
        <f>'W&amp;W'!Q46</f>
        <v>150300</v>
      </c>
      <c r="AQ11" s="1216">
        <f>'W&amp;W'!R46</f>
        <v>151100</v>
      </c>
      <c r="AR11" s="26">
        <f>'W&amp;W'!B108</f>
        <v>150800</v>
      </c>
      <c r="AS11" s="26">
        <f>'W&amp;W'!C108</f>
        <v>151700</v>
      </c>
      <c r="AT11" s="26">
        <f>'W&amp;W'!D108</f>
        <v>156600</v>
      </c>
      <c r="AU11" s="24">
        <f>'W&amp;W'!G108</f>
        <v>152700</v>
      </c>
      <c r="AV11" s="24">
        <f>'W&amp;W'!I108</f>
        <v>143600</v>
      </c>
      <c r="AW11" s="24">
        <f>'W&amp;W'!J108</f>
        <v>144500</v>
      </c>
      <c r="AX11" s="24">
        <f>'W&amp;W'!K108</f>
        <v>145500</v>
      </c>
      <c r="AY11" s="24">
        <f>'W&amp;W'!L108</f>
        <v>146400</v>
      </c>
      <c r="AZ11" s="24">
        <f>'W&amp;W'!M108</f>
        <v>147300</v>
      </c>
      <c r="BA11" s="24">
        <f>'W&amp;W'!N108</f>
        <v>148200</v>
      </c>
      <c r="BB11" s="132">
        <f>'W&amp;W'!O108</f>
        <v>149100</v>
      </c>
      <c r="BC11" s="132">
        <f>'W&amp;W'!P108</f>
        <v>150000</v>
      </c>
      <c r="BD11" s="132">
        <f>'W&amp;W'!Q108</f>
        <v>150900</v>
      </c>
      <c r="BE11" s="131">
        <f>'W&amp;W'!R108</f>
        <v>151800</v>
      </c>
    </row>
    <row r="12" spans="1:57" x14ac:dyDescent="0.2">
      <c r="A12" s="469" t="s">
        <v>2186</v>
      </c>
      <c r="B12" s="914">
        <f t="shared" si="2"/>
        <v>83600</v>
      </c>
      <c r="C12" s="78">
        <f t="shared" si="2"/>
        <v>559100</v>
      </c>
      <c r="D12" s="77">
        <f t="shared" si="2"/>
        <v>34300</v>
      </c>
      <c r="E12" s="77">
        <f t="shared" si="2"/>
        <v>0</v>
      </c>
      <c r="F12" s="77">
        <f t="shared" si="2"/>
        <v>0</v>
      </c>
      <c r="G12" s="77">
        <f t="shared" si="2"/>
        <v>0</v>
      </c>
      <c r="H12" s="77">
        <f t="shared" si="2"/>
        <v>0</v>
      </c>
      <c r="I12" s="77">
        <f t="shared" si="2"/>
        <v>0</v>
      </c>
      <c r="J12" s="77">
        <f t="shared" si="2"/>
        <v>0</v>
      </c>
      <c r="K12" s="77">
        <f t="shared" si="2"/>
        <v>0</v>
      </c>
      <c r="L12" s="132">
        <f t="shared" si="2"/>
        <v>0</v>
      </c>
      <c r="M12" s="132">
        <f t="shared" si="2"/>
        <v>0</v>
      </c>
      <c r="N12" s="132">
        <f t="shared" si="2"/>
        <v>0</v>
      </c>
      <c r="O12" s="830">
        <f t="shared" si="2"/>
        <v>0</v>
      </c>
      <c r="P12" s="130">
        <f>ROUND(+CIV!B488+CIV!B703+GM!B358,-2)</f>
        <v>57600</v>
      </c>
      <c r="Q12" s="130">
        <f>ROUND(+CIV!C488+CIV!C703+GM!C358,-2)</f>
        <v>539900</v>
      </c>
      <c r="R12" s="130">
        <f>ROUND(+CIV!D488+CIV!D703+GM!D358,-2)</f>
        <v>0</v>
      </c>
      <c r="S12" s="130">
        <f>ROUND(+CIV!G488+CIV!G703+GM!G358,-2)</f>
        <v>0</v>
      </c>
      <c r="T12" s="130">
        <f>ROUND(+CIV!I488+CIV!I703+GM!I358,-2)</f>
        <v>0</v>
      </c>
      <c r="U12" s="130">
        <f>ROUND(+CIV!J488+CIV!J703+GM!J358,-2)</f>
        <v>0</v>
      </c>
      <c r="V12" s="130">
        <f>ROUND(+CIV!K488+CIV!K703+GM!K358,-2)</f>
        <v>0</v>
      </c>
      <c r="W12" s="130">
        <f>ROUND(+CIV!L488+CIV!L703+GM!L358,-2)</f>
        <v>0</v>
      </c>
      <c r="X12" s="130">
        <f>ROUND(+CIV!M488+CIV!M703+GM!M358,-2)</f>
        <v>0</v>
      </c>
      <c r="Y12" s="130">
        <f>ROUND(+CIV!N488+CIV!N703+GM!N358,-2)</f>
        <v>0</v>
      </c>
      <c r="Z12" s="130">
        <f>ROUND(+CIV!O488+CIV!O703+GM!O358,-2)</f>
        <v>0</v>
      </c>
      <c r="AA12" s="132">
        <f>ROUND(+CIV!P488+CIV!P703+GM!P358,-2)</f>
        <v>0</v>
      </c>
      <c r="AB12" s="78">
        <f>ROUND(+CIV!Q488+CIV!Q703+GM!Q358,-2)</f>
        <v>0</v>
      </c>
      <c r="AC12" s="825">
        <f>ROUND(+CIV!R488+CIV!R703+GM!R358,-2)</f>
        <v>0</v>
      </c>
      <c r="AD12" s="130">
        <f>'W&amp;W'!B199</f>
        <v>0</v>
      </c>
      <c r="AE12" s="26">
        <f>'W&amp;W'!C199</f>
        <v>0</v>
      </c>
      <c r="AF12" s="26">
        <f>'W&amp;W'!D199</f>
        <v>26000</v>
      </c>
      <c r="AG12" s="26">
        <f>'W&amp;W'!G199</f>
        <v>0</v>
      </c>
      <c r="AH12" s="26">
        <f>'W&amp;W'!I199</f>
        <v>0</v>
      </c>
      <c r="AI12" s="26">
        <f>'W&amp;W'!J199</f>
        <v>0</v>
      </c>
      <c r="AJ12" s="26">
        <f>'W&amp;W'!K199</f>
        <v>0</v>
      </c>
      <c r="AK12" s="26">
        <f>'W&amp;W'!L199</f>
        <v>0</v>
      </c>
      <c r="AL12" s="26">
        <f>'W&amp;W'!M199</f>
        <v>0</v>
      </c>
      <c r="AM12" s="26">
        <f>'W&amp;W'!N199</f>
        <v>0</v>
      </c>
      <c r="AN12" s="26">
        <f>'W&amp;W'!O199</f>
        <v>0</v>
      </c>
      <c r="AO12" s="24">
        <f>'W&amp;W'!P199</f>
        <v>0</v>
      </c>
      <c r="AP12" s="24">
        <f>'W&amp;W'!Q199</f>
        <v>0</v>
      </c>
      <c r="AQ12" s="1216">
        <f>'W&amp;W'!R199</f>
        <v>0</v>
      </c>
      <c r="AR12" s="130">
        <f>'W&amp;W'!B400</f>
        <v>26000</v>
      </c>
      <c r="AS12" s="130">
        <f>'W&amp;W'!C400</f>
        <v>19200</v>
      </c>
      <c r="AT12" s="130">
        <f>'W&amp;W'!D400</f>
        <v>8300</v>
      </c>
      <c r="AU12" s="130">
        <f>'W&amp;W'!G400</f>
        <v>0</v>
      </c>
      <c r="AV12" s="130">
        <f>'W&amp;W'!I400</f>
        <v>0</v>
      </c>
      <c r="AW12" s="130">
        <f>'W&amp;W'!J400</f>
        <v>0</v>
      </c>
      <c r="AX12" s="130">
        <f>'W&amp;W'!K400</f>
        <v>0</v>
      </c>
      <c r="AY12" s="130">
        <f>'W&amp;W'!L400</f>
        <v>0</v>
      </c>
      <c r="AZ12" s="130">
        <f>'W&amp;W'!M400</f>
        <v>0</v>
      </c>
      <c r="BA12" s="130">
        <f>'W&amp;W'!N400</f>
        <v>0</v>
      </c>
      <c r="BB12" s="132">
        <f>'W&amp;W'!O400</f>
        <v>0</v>
      </c>
      <c r="BC12" s="132">
        <f>'W&amp;W'!P400</f>
        <v>0</v>
      </c>
      <c r="BD12" s="132">
        <f>'W&amp;W'!Q400</f>
        <v>0</v>
      </c>
      <c r="BE12" s="131">
        <f>'W&amp;W'!R400</f>
        <v>0</v>
      </c>
    </row>
    <row r="13" spans="1:57" ht="13.5" thickBot="1" x14ac:dyDescent="0.25">
      <c r="A13" s="469"/>
      <c r="B13" s="2173"/>
      <c r="C13" s="78"/>
      <c r="D13" s="77"/>
      <c r="E13" s="77"/>
      <c r="F13" s="77"/>
      <c r="G13" s="77"/>
      <c r="H13" s="77"/>
      <c r="I13" s="77"/>
      <c r="J13" s="77"/>
      <c r="K13" s="77"/>
      <c r="L13" s="132"/>
      <c r="M13" s="132"/>
      <c r="N13" s="132"/>
      <c r="O13" s="830"/>
      <c r="P13" s="130"/>
      <c r="Q13" s="130"/>
      <c r="R13" s="132"/>
      <c r="S13" s="132"/>
      <c r="T13" s="130"/>
      <c r="U13" s="130"/>
      <c r="V13" s="132"/>
      <c r="W13" s="132"/>
      <c r="X13" s="132"/>
      <c r="Y13" s="132"/>
      <c r="Z13" s="132"/>
      <c r="AA13" s="132"/>
      <c r="AB13" s="78"/>
      <c r="AC13" s="825"/>
      <c r="AD13" s="130"/>
      <c r="AE13" s="130"/>
      <c r="AF13" s="132"/>
      <c r="AG13" s="77"/>
      <c r="AH13" s="77"/>
      <c r="AI13" s="77"/>
      <c r="AJ13" s="77"/>
      <c r="AK13" s="77"/>
      <c r="AL13" s="77"/>
      <c r="AM13" s="77"/>
      <c r="AN13" s="132"/>
      <c r="AO13" s="132"/>
      <c r="AP13" s="132"/>
      <c r="AQ13" s="830"/>
      <c r="AR13" s="130"/>
      <c r="AS13" s="130"/>
      <c r="AT13" s="130"/>
      <c r="AU13" s="132"/>
      <c r="AV13" s="132"/>
      <c r="AW13" s="132"/>
      <c r="AX13" s="132"/>
      <c r="AY13" s="132"/>
      <c r="AZ13" s="132"/>
      <c r="BA13" s="132"/>
      <c r="BB13" s="132"/>
      <c r="BC13" s="132"/>
      <c r="BD13" s="132"/>
      <c r="BE13" s="131"/>
    </row>
    <row r="14" spans="1:57" s="4" customFormat="1" x14ac:dyDescent="0.2">
      <c r="A14" s="755" t="s">
        <v>764</v>
      </c>
      <c r="B14" s="1598">
        <f t="shared" ref="B14:BB14" si="3">SUM(B6:B13)</f>
        <v>71256700</v>
      </c>
      <c r="C14" s="177">
        <f t="shared" si="3"/>
        <v>75426800</v>
      </c>
      <c r="D14" s="460">
        <f t="shared" si="3"/>
        <v>78305000</v>
      </c>
      <c r="E14" s="460">
        <f t="shared" si="3"/>
        <v>84360500</v>
      </c>
      <c r="F14" s="460">
        <f t="shared" si="3"/>
        <v>82254300</v>
      </c>
      <c r="G14" s="460">
        <f t="shared" si="3"/>
        <v>85222800</v>
      </c>
      <c r="H14" s="460">
        <f t="shared" si="3"/>
        <v>88063000</v>
      </c>
      <c r="I14" s="460">
        <f t="shared" si="3"/>
        <v>90810800</v>
      </c>
      <c r="J14" s="460">
        <f t="shared" si="3"/>
        <v>93287600</v>
      </c>
      <c r="K14" s="460">
        <f t="shared" si="3"/>
        <v>95796400</v>
      </c>
      <c r="L14" s="53">
        <f t="shared" si="3"/>
        <v>98590800</v>
      </c>
      <c r="M14" s="53">
        <f t="shared" ref="M14" si="4">SUM(M6:M13)</f>
        <v>101361500</v>
      </c>
      <c r="N14" s="53">
        <f t="shared" ref="N14" si="5">SUM(N6:N13)</f>
        <v>104422900</v>
      </c>
      <c r="O14" s="143">
        <f t="shared" ref="O14" si="6">SUM(O6:O13)</f>
        <v>107658700</v>
      </c>
      <c r="P14" s="155">
        <f t="shared" si="3"/>
        <v>46104800</v>
      </c>
      <c r="Q14" s="155">
        <f t="shared" si="3"/>
        <v>49178400</v>
      </c>
      <c r="R14" s="53">
        <f t="shared" si="3"/>
        <v>50716000</v>
      </c>
      <c r="S14" s="53">
        <f t="shared" si="3"/>
        <v>54741000</v>
      </c>
      <c r="T14" s="155">
        <f t="shared" si="3"/>
        <v>51961500</v>
      </c>
      <c r="U14" s="155">
        <f t="shared" si="3"/>
        <v>54184500</v>
      </c>
      <c r="V14" s="53">
        <f t="shared" si="3"/>
        <v>56242300</v>
      </c>
      <c r="W14" s="53">
        <f t="shared" si="3"/>
        <v>57796100</v>
      </c>
      <c r="X14" s="53">
        <f t="shared" si="3"/>
        <v>59181300</v>
      </c>
      <c r="Y14" s="53">
        <f t="shared" si="3"/>
        <v>60628200</v>
      </c>
      <c r="Z14" s="53">
        <f t="shared" si="3"/>
        <v>62308400</v>
      </c>
      <c r="AA14" s="53">
        <f t="shared" ref="AA14" si="7">SUM(AA6:AA13)</f>
        <v>63821000</v>
      </c>
      <c r="AB14" s="177">
        <f t="shared" ref="AB14" si="8">SUM(AB6:AB13)</f>
        <v>65499100</v>
      </c>
      <c r="AC14" s="2174">
        <f t="shared" ref="AC14" si="9">SUM(AC6:AC13)</f>
        <v>67219000</v>
      </c>
      <c r="AD14" s="155">
        <f t="shared" si="3"/>
        <v>10689100</v>
      </c>
      <c r="AE14" s="155">
        <f t="shared" si="3"/>
        <v>10892500</v>
      </c>
      <c r="AF14" s="53">
        <f t="shared" si="3"/>
        <v>11225100</v>
      </c>
      <c r="AG14" s="460">
        <f t="shared" si="3"/>
        <v>11913600</v>
      </c>
      <c r="AH14" s="460">
        <f t="shared" si="3"/>
        <v>12154300</v>
      </c>
      <c r="AI14" s="460">
        <f t="shared" si="3"/>
        <v>12435300</v>
      </c>
      <c r="AJ14" s="460">
        <f t="shared" si="3"/>
        <v>12705200</v>
      </c>
      <c r="AK14" s="460">
        <f t="shared" si="3"/>
        <v>13171700</v>
      </c>
      <c r="AL14" s="460">
        <f t="shared" si="3"/>
        <v>13706300</v>
      </c>
      <c r="AM14" s="460">
        <f t="shared" si="3"/>
        <v>14146300</v>
      </c>
      <c r="AN14" s="53">
        <f t="shared" si="3"/>
        <v>14654900</v>
      </c>
      <c r="AO14" s="53">
        <f t="shared" ref="AO14:AP14" si="10">SUM(AO6:AO13)</f>
        <v>15212700</v>
      </c>
      <c r="AP14" s="53">
        <f t="shared" si="10"/>
        <v>15802300</v>
      </c>
      <c r="AQ14" s="143">
        <f t="shared" ref="AQ14" si="11">SUM(AQ6:AQ13)</f>
        <v>16499100</v>
      </c>
      <c r="AR14" s="155">
        <f t="shared" si="3"/>
        <v>14462800</v>
      </c>
      <c r="AS14" s="155">
        <f t="shared" si="3"/>
        <v>15355900</v>
      </c>
      <c r="AT14" s="155">
        <f t="shared" si="3"/>
        <v>16363900</v>
      </c>
      <c r="AU14" s="155">
        <f t="shared" si="3"/>
        <v>17705900</v>
      </c>
      <c r="AV14" s="155">
        <f t="shared" si="3"/>
        <v>18138500</v>
      </c>
      <c r="AW14" s="155">
        <f t="shared" si="3"/>
        <v>18603000</v>
      </c>
      <c r="AX14" s="155">
        <f t="shared" si="3"/>
        <v>19115500</v>
      </c>
      <c r="AY14" s="155">
        <f t="shared" si="3"/>
        <v>19843000</v>
      </c>
      <c r="AZ14" s="155">
        <f t="shared" si="3"/>
        <v>20400000</v>
      </c>
      <c r="BA14" s="155">
        <f t="shared" si="3"/>
        <v>21021900</v>
      </c>
      <c r="BB14" s="53">
        <f t="shared" si="3"/>
        <v>21627500</v>
      </c>
      <c r="BC14" s="53">
        <f t="shared" ref="BC14" si="12">SUM(BC6:BC13)</f>
        <v>22327800</v>
      </c>
      <c r="BD14" s="53">
        <f t="shared" ref="BD14" si="13">SUM(BD6:BD13)</f>
        <v>23121500</v>
      </c>
      <c r="BE14" s="113">
        <f t="shared" ref="BE14" si="14">SUM(BE6:BE13)</f>
        <v>23940600</v>
      </c>
    </row>
    <row r="15" spans="1:57" s="1" customFormat="1" x14ac:dyDescent="0.2">
      <c r="A15" s="756"/>
      <c r="B15" s="1615"/>
      <c r="C15" s="915"/>
      <c r="D15" s="908"/>
      <c r="E15" s="908"/>
      <c r="F15" s="908"/>
      <c r="G15" s="908"/>
      <c r="H15" s="908"/>
      <c r="I15" s="908"/>
      <c r="J15" s="908"/>
      <c r="K15" s="908"/>
      <c r="L15" s="909"/>
      <c r="M15" s="909"/>
      <c r="N15" s="909"/>
      <c r="O15" s="913"/>
      <c r="P15" s="910"/>
      <c r="Q15" s="910"/>
      <c r="R15" s="2704"/>
      <c r="S15" s="2704"/>
      <c r="T15" s="130"/>
      <c r="U15" s="130"/>
      <c r="V15" s="24"/>
      <c r="W15" s="24"/>
      <c r="X15" s="24"/>
      <c r="Y15" s="24"/>
      <c r="Z15" s="24"/>
      <c r="AA15" s="24"/>
      <c r="AB15" s="35"/>
      <c r="AC15" s="2701"/>
      <c r="AD15" s="26"/>
      <c r="AE15" s="26"/>
      <c r="AF15" s="24"/>
      <c r="AG15" s="1215"/>
      <c r="AH15" s="1215"/>
      <c r="AI15" s="1215"/>
      <c r="AJ15" s="1215"/>
      <c r="AK15" s="1215"/>
      <c r="AL15" s="1215"/>
      <c r="AM15" s="1215"/>
      <c r="AN15" s="24"/>
      <c r="AO15" s="24"/>
      <c r="AP15" s="24"/>
      <c r="AQ15" s="1216"/>
      <c r="AR15" s="26"/>
      <c r="AS15" s="26"/>
      <c r="AT15" s="26"/>
      <c r="AU15" s="24"/>
      <c r="AV15" s="24"/>
      <c r="AW15" s="24"/>
      <c r="AX15" s="24"/>
      <c r="AY15" s="24"/>
      <c r="AZ15" s="24"/>
      <c r="BA15" s="24"/>
      <c r="BB15" s="24"/>
      <c r="BC15" s="24"/>
      <c r="BD15" s="24"/>
      <c r="BE15" s="36"/>
    </row>
    <row r="16" spans="1:57" s="1" customFormat="1" x14ac:dyDescent="0.2">
      <c r="A16" s="756" t="s">
        <v>2052</v>
      </c>
      <c r="B16" s="2176"/>
      <c r="C16" s="915"/>
      <c r="D16" s="908"/>
      <c r="E16" s="908"/>
      <c r="F16" s="908"/>
      <c r="G16" s="908"/>
      <c r="H16" s="908"/>
      <c r="I16" s="908"/>
      <c r="J16" s="908"/>
      <c r="K16" s="908"/>
      <c r="L16" s="909"/>
      <c r="M16" s="909"/>
      <c r="N16" s="909"/>
      <c r="O16" s="913"/>
      <c r="P16" s="910"/>
      <c r="Q16" s="910"/>
      <c r="R16" s="2704"/>
      <c r="S16" s="2704"/>
      <c r="T16" s="130"/>
      <c r="U16" s="130"/>
      <c r="V16" s="24"/>
      <c r="W16" s="24"/>
      <c r="X16" s="24"/>
      <c r="Y16" s="24"/>
      <c r="Z16" s="24"/>
      <c r="AA16" s="24"/>
      <c r="AB16" s="35"/>
      <c r="AC16" s="2701"/>
      <c r="AD16" s="26"/>
      <c r="AE16" s="26"/>
      <c r="AF16" s="24"/>
      <c r="AG16" s="1215"/>
      <c r="AH16" s="1215"/>
      <c r="AI16" s="1215"/>
      <c r="AJ16" s="1215"/>
      <c r="AK16" s="1215"/>
      <c r="AL16" s="1215"/>
      <c r="AM16" s="1215"/>
      <c r="AN16" s="24"/>
      <c r="AO16" s="24"/>
      <c r="AP16" s="24"/>
      <c r="AQ16" s="1216"/>
      <c r="AR16" s="26"/>
      <c r="AS16" s="26"/>
      <c r="AT16" s="26"/>
      <c r="AU16" s="24"/>
      <c r="AV16" s="24"/>
      <c r="AW16" s="24"/>
      <c r="AX16" s="24"/>
      <c r="AY16" s="24"/>
      <c r="AZ16" s="24"/>
      <c r="BA16" s="24"/>
      <c r="BB16" s="24"/>
      <c r="BC16" s="24"/>
      <c r="BD16" s="24"/>
      <c r="BE16" s="36"/>
    </row>
    <row r="17" spans="1:57" s="779" customFormat="1" x14ac:dyDescent="0.2">
      <c r="A17" s="818" t="s">
        <v>1249</v>
      </c>
      <c r="B17" s="914">
        <f t="shared" ref="B17:O22" si="15">P17+AD17+AR17</f>
        <v>19711000</v>
      </c>
      <c r="C17" s="78">
        <f t="shared" si="15"/>
        <v>20435100</v>
      </c>
      <c r="D17" s="77">
        <f t="shared" si="15"/>
        <v>21690000</v>
      </c>
      <c r="E17" s="77">
        <f t="shared" si="15"/>
        <v>22364000</v>
      </c>
      <c r="F17" s="77">
        <f t="shared" si="15"/>
        <v>23059000</v>
      </c>
      <c r="G17" s="77">
        <f t="shared" si="15"/>
        <v>23775000</v>
      </c>
      <c r="H17" s="77">
        <f t="shared" si="15"/>
        <v>24513000</v>
      </c>
      <c r="I17" s="77">
        <f t="shared" si="15"/>
        <v>25274000</v>
      </c>
      <c r="J17" s="77">
        <f t="shared" si="15"/>
        <v>26059000</v>
      </c>
      <c r="K17" s="77">
        <f t="shared" si="15"/>
        <v>26868000</v>
      </c>
      <c r="L17" s="132">
        <f t="shared" si="15"/>
        <v>27703000</v>
      </c>
      <c r="M17" s="132">
        <f t="shared" si="15"/>
        <v>28563000</v>
      </c>
      <c r="N17" s="132">
        <f t="shared" si="15"/>
        <v>29450000</v>
      </c>
      <c r="O17" s="830">
        <f t="shared" si="15"/>
        <v>30365000</v>
      </c>
      <c r="P17" s="130">
        <f>ROUND(Salaries!J10,-2)</f>
        <v>14771400</v>
      </c>
      <c r="Q17" s="130">
        <f>Salaries!K10</f>
        <v>15453100</v>
      </c>
      <c r="R17" s="130">
        <f>Salaries!L10</f>
        <v>16138000</v>
      </c>
      <c r="S17" s="130">
        <f>Salaries!M10</f>
        <v>16640000</v>
      </c>
      <c r="T17" s="130">
        <f>Salaries!N10</f>
        <v>17157000</v>
      </c>
      <c r="U17" s="130">
        <f>Salaries!O10</f>
        <v>17690000</v>
      </c>
      <c r="V17" s="130">
        <f>Salaries!P10</f>
        <v>18239000</v>
      </c>
      <c r="W17" s="130">
        <f>Salaries!Q10</f>
        <v>18805000</v>
      </c>
      <c r="X17" s="130">
        <f>Salaries!R10</f>
        <v>19389000</v>
      </c>
      <c r="Y17" s="130">
        <f>Salaries!S10</f>
        <v>19991000</v>
      </c>
      <c r="Z17" s="24">
        <f>Salaries!T10</f>
        <v>20613000</v>
      </c>
      <c r="AA17" s="132">
        <f>Salaries!U10</f>
        <v>21253000</v>
      </c>
      <c r="AB17" s="78">
        <f>Salaries!V10</f>
        <v>21913000</v>
      </c>
      <c r="AC17" s="825">
        <f>Salaries!W10</f>
        <v>22594000</v>
      </c>
      <c r="AD17" s="130">
        <f>Salaries!J11</f>
        <v>1429000</v>
      </c>
      <c r="AE17" s="130">
        <f>Salaries!K11</f>
        <v>1763000</v>
      </c>
      <c r="AF17" s="132">
        <f>Salaries!L11</f>
        <v>1876000</v>
      </c>
      <c r="AG17" s="77">
        <f>Salaries!M11</f>
        <v>1934000</v>
      </c>
      <c r="AH17" s="77">
        <f>Salaries!N11</f>
        <v>1994000</v>
      </c>
      <c r="AI17" s="77">
        <f>Salaries!O11</f>
        <v>2056000</v>
      </c>
      <c r="AJ17" s="77">
        <f>Salaries!P11</f>
        <v>2120000</v>
      </c>
      <c r="AK17" s="77">
        <f>Salaries!Q11</f>
        <v>2186000</v>
      </c>
      <c r="AL17" s="77">
        <f>Salaries!R11</f>
        <v>2254000</v>
      </c>
      <c r="AM17" s="77">
        <f>Salaries!S11</f>
        <v>2324000</v>
      </c>
      <c r="AN17" s="132">
        <f>Salaries!T11</f>
        <v>2396000</v>
      </c>
      <c r="AO17" s="132">
        <f>Salaries!U11</f>
        <v>2470000</v>
      </c>
      <c r="AP17" s="132">
        <f>Salaries!V11</f>
        <v>2547000</v>
      </c>
      <c r="AQ17" s="830">
        <f>Salaries!W11</f>
        <v>2626000</v>
      </c>
      <c r="AR17" s="130">
        <f>Salaries!J12</f>
        <v>3510600</v>
      </c>
      <c r="AS17" s="130">
        <f>Salaries!K12</f>
        <v>3219000</v>
      </c>
      <c r="AT17" s="130">
        <f>Salaries!L12</f>
        <v>3676000</v>
      </c>
      <c r="AU17" s="132">
        <f>Salaries!M12</f>
        <v>3790000</v>
      </c>
      <c r="AV17" s="132">
        <f>Salaries!N12</f>
        <v>3908000</v>
      </c>
      <c r="AW17" s="132">
        <f>Salaries!O12</f>
        <v>4029000</v>
      </c>
      <c r="AX17" s="132">
        <f>Salaries!P12</f>
        <v>4154000</v>
      </c>
      <c r="AY17" s="132">
        <f>Salaries!Q12</f>
        <v>4283000</v>
      </c>
      <c r="AZ17" s="132">
        <f>Salaries!R12</f>
        <v>4416000</v>
      </c>
      <c r="BA17" s="132">
        <f>Salaries!S12</f>
        <v>4553000</v>
      </c>
      <c r="BB17" s="24">
        <f>Salaries!T12</f>
        <v>4694000</v>
      </c>
      <c r="BC17" s="24">
        <f>Salaries!U12</f>
        <v>4840000</v>
      </c>
      <c r="BD17" s="24">
        <f>Salaries!V12</f>
        <v>4990000</v>
      </c>
      <c r="BE17" s="36">
        <f>Salaries!W12</f>
        <v>5145000</v>
      </c>
    </row>
    <row r="18" spans="1:57" s="779" customFormat="1" x14ac:dyDescent="0.2">
      <c r="A18" s="818" t="s">
        <v>2375</v>
      </c>
      <c r="B18" s="914">
        <f t="shared" si="15"/>
        <v>22382800</v>
      </c>
      <c r="C18" s="78">
        <f t="shared" si="15"/>
        <v>21790700</v>
      </c>
      <c r="D18" s="77">
        <f t="shared" si="15"/>
        <v>23802300</v>
      </c>
      <c r="E18" s="77">
        <f t="shared" si="15"/>
        <v>25740700</v>
      </c>
      <c r="F18" s="77">
        <f t="shared" si="15"/>
        <v>21923300</v>
      </c>
      <c r="G18" s="77">
        <f t="shared" si="15"/>
        <v>22721100</v>
      </c>
      <c r="H18" s="77">
        <f t="shared" si="15"/>
        <v>23322100</v>
      </c>
      <c r="I18" s="77">
        <f t="shared" si="15"/>
        <v>23687600</v>
      </c>
      <c r="J18" s="77">
        <f t="shared" si="15"/>
        <v>24103000</v>
      </c>
      <c r="K18" s="77">
        <f t="shared" si="15"/>
        <v>24319900</v>
      </c>
      <c r="L18" s="132">
        <f t="shared" si="15"/>
        <v>24683100</v>
      </c>
      <c r="M18" s="132">
        <f t="shared" si="15"/>
        <v>24911100</v>
      </c>
      <c r="N18" s="132">
        <f t="shared" si="15"/>
        <v>25225600</v>
      </c>
      <c r="O18" s="830">
        <f t="shared" si="15"/>
        <v>25373900</v>
      </c>
      <c r="P18" s="130">
        <f>ROUND('Cash-Gen'!A45-P17-P19-P20-P21-P22+P29+P33+P34+P30,-2)</f>
        <v>15292100</v>
      </c>
      <c r="Q18" s="130">
        <f>'Cash-Gen'!B45-Q17-Q19-Q20-Q21-Q22+Q29+Q33+Q34+Q30</f>
        <v>14766300</v>
      </c>
      <c r="R18" s="132">
        <f>'Cash-Gen'!C45-R16-R17-R19-R20-R21-R22+R29+R33+R34+R30</f>
        <v>17441300</v>
      </c>
      <c r="S18" s="132">
        <f>'Cash-Gen'!E45-S16-S17-S19-S20-S21-S22+S29+S33+S34+S30</f>
        <v>18424100</v>
      </c>
      <c r="T18" s="132">
        <f>'Cash-Gen'!F45-T16-T17-T19-T20-T21-T22+T29+T33+T34+T30</f>
        <v>15024400</v>
      </c>
      <c r="U18" s="132">
        <f>'Cash-Gen'!G45-U16-U17-U19-U20-U21-U22+U29+U33+U34+U30</f>
        <v>15641700</v>
      </c>
      <c r="V18" s="132">
        <f>'Cash-Gen'!H45-V16-V17-V19-V20-V21-V22+V29+V33+V34+V30</f>
        <v>16138900</v>
      </c>
      <c r="W18" s="132">
        <f>'Cash-Gen'!I45-W16-W17-W19-W20-W21-W22+W29+W33+W34+W30</f>
        <v>16358600</v>
      </c>
      <c r="X18" s="132">
        <f>'Cash-Gen'!J45-X16-X17-X19-X20-X21-X22+X29+X33+X34+X30</f>
        <v>16693100</v>
      </c>
      <c r="Y18" s="132">
        <f>'Cash-Gen'!K45-Y16-Y17-Y19-Y20-Y21-Y22+Y29+Y33+Y34+Y30</f>
        <v>16780000</v>
      </c>
      <c r="Z18" s="132">
        <f>'Cash-Gen'!L45-Z16-Z17-Z19-Z20-Z21-Z22+Z29+Z33+Z34+Z30</f>
        <v>17114100</v>
      </c>
      <c r="AA18" s="132">
        <f>'Cash-Gen'!M45-AA16-AA17-AA19-AA20-AA21-AA22+AA29+AA33+AA34+AA30</f>
        <v>17263700</v>
      </c>
      <c r="AB18" s="78">
        <f>'Cash-Gen'!N45-AB16-AB17-AB19-AB20-AB21-AB22+AB29+AB33+AB34+AB30</f>
        <v>17568600</v>
      </c>
      <c r="AC18" s="825">
        <f>'Cash-Gen'!O45-AC16-AC17-AC19-AC20-AC21-AC22+AC29+AC33+AC34+AC30</f>
        <v>17646100</v>
      </c>
      <c r="AD18" s="130">
        <f>'Cash-W'!A7-AD17-AD19-AD20-AD21+AD29</f>
        <v>1802400</v>
      </c>
      <c r="AE18" s="130">
        <f>'Cash-W'!B7-AE17-AE19-AE20-AE21+AE29</f>
        <v>1354100</v>
      </c>
      <c r="AF18" s="132">
        <f>'Cash-W'!C7-AF17-AF19-AF20-AF21+AF29</f>
        <v>1264400</v>
      </c>
      <c r="AG18" s="132">
        <f>'Cash-W'!F7-AG17-AG19-AG20-AG21+AG29</f>
        <v>1387000</v>
      </c>
      <c r="AH18" s="132">
        <f>'Cash-W'!G7-AH17-AH19-AH20-AH21-AH22+AH29</f>
        <v>1435300</v>
      </c>
      <c r="AI18" s="132">
        <f>'Cash-W'!H7-AI17-AI19-AI20-AI21-AI22+AI29</f>
        <v>1501500</v>
      </c>
      <c r="AJ18" s="132">
        <f>'Cash-W'!I7-AJ17-AJ19-AJ20-AJ21-AJ22+AJ29</f>
        <v>1487800</v>
      </c>
      <c r="AK18" s="132">
        <f>'Cash-W'!J7-AK17-AK19-AK20-AK21-AK22+AK29</f>
        <v>1514500</v>
      </c>
      <c r="AL18" s="132">
        <f>'Cash-W'!K7-AL17-AL19-AL20-AL21-AL22+AL29</f>
        <v>1523100</v>
      </c>
      <c r="AM18" s="132">
        <f>'Cash-W'!L7-AM17-AM19-AM20-AM21-AM22+AM29</f>
        <v>1581000</v>
      </c>
      <c r="AN18" s="132">
        <f>'Cash-W'!M7-AN17-AN19-AN20-AN21-AN22+AN29</f>
        <v>1538400</v>
      </c>
      <c r="AO18" s="132">
        <f>'Cash-W'!N7-AO17-AO19-AO20-AO21-AO22+AO29</f>
        <v>1545700</v>
      </c>
      <c r="AP18" s="132">
        <f>'Cash-W'!O7-AP17-AP19-AP20-AP21-AP22+AP29</f>
        <v>1551600</v>
      </c>
      <c r="AQ18" s="830">
        <f>'Cash-W'!P7-AQ17-AQ19-AQ20-AQ21-AQ22+AQ29</f>
        <v>1557400</v>
      </c>
      <c r="AR18" s="130">
        <f>'Cash-WW'!A7-AR17-AR19-AR20-AR21+'Cash-WW'!A10+AR33</f>
        <v>5288300</v>
      </c>
      <c r="AS18" s="130">
        <f>'Cash-WW'!B7-AS17-AS19-AS20-AS21+'Cash-WW'!B10+AS33</f>
        <v>5670300</v>
      </c>
      <c r="AT18" s="130">
        <f>'Cash-WW'!C7-AT17-AT19-AT20-AT21+'Cash-WW'!C10+AT33</f>
        <v>5096600</v>
      </c>
      <c r="AU18" s="130">
        <f>'Cash-WW'!F7-AU17-AU19-AU20-AU21+'Cash-WW'!F10+AU33</f>
        <v>5929600</v>
      </c>
      <c r="AV18" s="130">
        <f>'Cash-WW'!G7-AV17-AV19-AV20-AV21+'Cash-WW'!G10+AV33</f>
        <v>5463600</v>
      </c>
      <c r="AW18" s="130">
        <f>'Cash-WW'!H7-AW17-AW19-AW20-AW21+'Cash-WW'!H10+AW33</f>
        <v>5577900</v>
      </c>
      <c r="AX18" s="130">
        <f>'Cash-WW'!I7-AX17-AX19-AX20-AX21+'Cash-WW'!I10+AX33</f>
        <v>5695400</v>
      </c>
      <c r="AY18" s="130">
        <f>'Cash-WW'!J7-AY17-AY19-AY20-AY21+'Cash-WW'!J10+AY33</f>
        <v>5814500</v>
      </c>
      <c r="AZ18" s="130">
        <f>'Cash-WW'!K7-AZ17-AZ19-AZ20-AZ21+'Cash-WW'!K10+AZ33</f>
        <v>5886800</v>
      </c>
      <c r="BA18" s="130">
        <f>'Cash-WW'!L7-BA17-BA19-BA20-BA21+'Cash-WW'!L10+BA33</f>
        <v>5958900</v>
      </c>
      <c r="BB18" s="130">
        <f>'Cash-WW'!M7-BB17-BB19-BB20-BB21+'Cash-WW'!M10+BB33</f>
        <v>6030600</v>
      </c>
      <c r="BC18" s="24">
        <f>'Cash-WW'!N7-BC17-BC19-BC20-BC21+'Cash-WW'!N10+BC33</f>
        <v>6101700</v>
      </c>
      <c r="BD18" s="24">
        <f>'Cash-WW'!O7-BD17-BD19-BD20-BD21+'Cash-WW'!O10+BD33</f>
        <v>6105400</v>
      </c>
      <c r="BE18" s="36">
        <f>'Cash-WW'!P7-BE17-BE19-BE20-BE21+'Cash-WW'!P10+BE33</f>
        <v>6170400</v>
      </c>
    </row>
    <row r="19" spans="1:57" s="779" customFormat="1" x14ac:dyDescent="0.2">
      <c r="A19" s="818" t="s">
        <v>2188</v>
      </c>
      <c r="B19" s="1600">
        <f t="shared" si="15"/>
        <v>6839800</v>
      </c>
      <c r="C19" s="915">
        <f t="shared" si="15"/>
        <v>6561400</v>
      </c>
      <c r="D19" s="908">
        <f t="shared" si="15"/>
        <v>5993600</v>
      </c>
      <c r="E19" s="908">
        <f t="shared" si="15"/>
        <v>5594800</v>
      </c>
      <c r="F19" s="908">
        <f t="shared" si="15"/>
        <v>5577700</v>
      </c>
      <c r="G19" s="908">
        <f t="shared" si="15"/>
        <v>5064400</v>
      </c>
      <c r="H19" s="908">
        <f t="shared" si="15"/>
        <v>4789800</v>
      </c>
      <c r="I19" s="908">
        <f t="shared" si="15"/>
        <v>4392400</v>
      </c>
      <c r="J19" s="908">
        <f t="shared" si="15"/>
        <v>4377700</v>
      </c>
      <c r="K19" s="908">
        <f t="shared" si="15"/>
        <v>4021900</v>
      </c>
      <c r="L19" s="132">
        <f t="shared" si="15"/>
        <v>3710800</v>
      </c>
      <c r="M19" s="132">
        <f t="shared" si="15"/>
        <v>3414800</v>
      </c>
      <c r="N19" s="132">
        <f t="shared" si="15"/>
        <v>3142800</v>
      </c>
      <c r="O19" s="830">
        <f t="shared" si="15"/>
        <v>2889900</v>
      </c>
      <c r="P19" s="130">
        <f>ROUND(SP!B125+SP!B591+DEH!B190+++CIV!B268+CIV!B334+CIV!B501+GM!B448+++CIV!B717+CIV!B641+GM!B383+'Cash-Gen'!A50+SP!B282+SP!B289,-2)</f>
        <v>1679000</v>
      </c>
      <c r="Q19" s="130">
        <f>ROUND(SP!C125+SP!C591+DEH!C190+++CIV!C268+CIV!C334+CIV!C501+GM!C448+++CIV!C717+CIV!C641+GM!C383+'Cash-Gen'!B50+SP!C282+SP!C289,-2)</f>
        <v>1564600</v>
      </c>
      <c r="R19" s="130">
        <f>ROUND(SP!D125+SP!D591+DEH!D190+++CIV!D268+CIV!D334+CIV!D501+GM!D448+++CIV!D717+CIV!D641+GM!D383+'Cash-Gen'!C50+SP!D282+SP!D289,-2)</f>
        <v>1334300</v>
      </c>
      <c r="S19" s="130">
        <f>ROUND(SP!G125+SP!G591+DEH!G190+++CIV!G268+CIV!G334+CIV!G501+GM!G448+++CIV!G717+CIV!G641+GM!G383+'Cash-Gen'!E50+SP!G289+SP!G282,-2)</f>
        <v>1152200</v>
      </c>
      <c r="T19" s="130">
        <f>ROUND(SP!I125+SP!I591+DEH!I190+++CIV!I268+CIV!I334+CIV!I501+GM!I448+++CIV!I717+CIV!I641+GM!I383+'Cash-Gen'!F50+SP!I289+SP!I282,-2)</f>
        <v>1327800</v>
      </c>
      <c r="U19" s="130">
        <f>ROUND(SP!J125+SP!J591+DEH!J190+++CIV!J268+CIV!J334+CIV!J501+GM!J448+++CIV!J717+CIV!J641+GM!J383+'Cash-Gen'!G50+SP!J289+SP!J282,-2)</f>
        <v>1186100</v>
      </c>
      <c r="V19" s="130">
        <f>ROUND(SP!K125+SP!K591+DEH!K190+++CIV!K268+CIV!K334+CIV!K501+GM!K448+++CIV!K717+CIV!K641+GM!K383+'Cash-Gen'!H50+SP!K289+SP!K282,-2)</f>
        <v>1122800</v>
      </c>
      <c r="W19" s="130">
        <f>ROUND(SP!L125+SP!L591+DEH!L190+++CIV!L268+CIV!L334+CIV!L501+GM!L448+++CIV!L717+CIV!L641+GM!L383+'Cash-Gen'!I50+SP!L289+SP!L282,-2)</f>
        <v>952600</v>
      </c>
      <c r="X19" s="130">
        <f>ROUND(SP!M125+SP!M591+DEH!M190+++CIV!M268+CIV!M334+CIV!M501+GM!M448+++CIV!M717+CIV!M641+GM!M383+'Cash-Gen'!J50+SP!M289+SP!M282,-2)</f>
        <v>1138500</v>
      </c>
      <c r="Y19" s="130">
        <f>ROUND(SP!N125+SP!N591+DEH!N190+++CIV!N268+CIV!N334+CIV!N501+GM!N448+++CIV!N717+CIV!N641+GM!N383+'Cash-Gen'!K50+SP!N289+SP!N282,-2)</f>
        <v>972700</v>
      </c>
      <c r="Z19" s="130">
        <f>ROUND(SP!O125+SP!O591+DEH!O190+++CIV!O268+CIV!O334+CIV!O501+GM!O448+++CIV!O717+CIV!O641+GM!O383+'Cash-Gen'!L50+SP!O289+SP!O282,-2)</f>
        <v>854500</v>
      </c>
      <c r="AA19" s="132">
        <f>ROUND(SP!P125+SP!P591+DEH!P190+++CIV!P268+CIV!P334+CIV!P501+GM!P448+++CIV!P717+CIV!P641+GM!P383+'Cash-Gen'!M50+SP!P289+SP!P282,-2)</f>
        <v>756500</v>
      </c>
      <c r="AB19" s="78">
        <f>ROUND(SP!Q125+SP!Q591+DEH!Q190+++CIV!Q268+CIV!Q334+CIV!Q501+GM!Q448+++CIV!Q717+CIV!Q641+GM!Q383+'Cash-Gen'!N50+SP!Q289+SP!Q282,-2)</f>
        <v>679500</v>
      </c>
      <c r="AC19" s="825">
        <f>ROUND(SP!R125+SP!R591+DEH!R190+++CIV!R268+CIV!R334+CIV!R501+GM!R448+++CIV!R717+CIV!R641+GM!R383+'Cash-Gen'!O50+SP!R289+SP!R282,-2)</f>
        <v>623600</v>
      </c>
      <c r="AD19" s="26">
        <f>'W&amp;W'!B75</f>
        <v>0</v>
      </c>
      <c r="AE19" s="130">
        <f>'W&amp;W'!C75</f>
        <v>0</v>
      </c>
      <c r="AF19" s="132">
        <f>'W&amp;W'!D75</f>
        <v>0</v>
      </c>
      <c r="AG19" s="1215">
        <f>'W&amp;W'!G75</f>
        <v>0</v>
      </c>
      <c r="AH19" s="1215">
        <f>'W&amp;W'!I75</f>
        <v>0</v>
      </c>
      <c r="AI19" s="1215">
        <f>'W&amp;W'!J75</f>
        <v>0</v>
      </c>
      <c r="AJ19" s="1215">
        <f>'W&amp;W'!K75</f>
        <v>0</v>
      </c>
      <c r="AK19" s="1215">
        <f>'W&amp;W'!L75</f>
        <v>0</v>
      </c>
      <c r="AL19" s="1215">
        <f>'W&amp;W'!M75</f>
        <v>0</v>
      </c>
      <c r="AM19" s="1215">
        <f>'W&amp;W'!N75</f>
        <v>0</v>
      </c>
      <c r="AN19" s="24">
        <f>'W&amp;W'!O75</f>
        <v>0</v>
      </c>
      <c r="AO19" s="24">
        <f>'W&amp;W'!P75</f>
        <v>0</v>
      </c>
      <c r="AP19" s="24">
        <f>'W&amp;W'!Q75</f>
        <v>0</v>
      </c>
      <c r="AQ19" s="1216">
        <f>'W&amp;W'!R75</f>
        <v>0</v>
      </c>
      <c r="AR19" s="26">
        <f>'W&amp;W'!B138+'W&amp;W'!B542</f>
        <v>5160800</v>
      </c>
      <c r="AS19" s="26">
        <f>'W&amp;W'!C138+'W&amp;W'!C542</f>
        <v>4996800</v>
      </c>
      <c r="AT19" s="26">
        <f>'W&amp;W'!D138+'W&amp;W'!D542</f>
        <v>4659300</v>
      </c>
      <c r="AU19" s="26">
        <f>'W&amp;W'!G138+'W&amp;W'!G542</f>
        <v>4442600</v>
      </c>
      <c r="AV19" s="26">
        <f>'W&amp;W'!I138+'W&amp;W'!I542</f>
        <v>4249900</v>
      </c>
      <c r="AW19" s="26">
        <f>'W&amp;W'!J138+'W&amp;W'!J542</f>
        <v>3878300</v>
      </c>
      <c r="AX19" s="26">
        <f>'W&amp;W'!K138+'W&amp;W'!K542</f>
        <v>3667000</v>
      </c>
      <c r="AY19" s="26">
        <f>'W&amp;W'!L138+'W&amp;W'!L542</f>
        <v>3439800</v>
      </c>
      <c r="AZ19" s="26">
        <f>'W&amp;W'!M138+'W&amp;W'!M542</f>
        <v>3239200</v>
      </c>
      <c r="BA19" s="26">
        <f>'W&amp;W'!N138+'W&amp;W'!N542</f>
        <v>3049200</v>
      </c>
      <c r="BB19" s="24">
        <f>'W&amp;W'!O138+'W&amp;W'!O542</f>
        <v>2856300</v>
      </c>
      <c r="BC19" s="24">
        <f>'W&amp;W'!P138+'W&amp;W'!P542</f>
        <v>2658300</v>
      </c>
      <c r="BD19" s="24">
        <f>'W&amp;W'!Q138+'W&amp;W'!Q542</f>
        <v>2463300</v>
      </c>
      <c r="BE19" s="36">
        <f>'W&amp;W'!R138+'W&amp;W'!R542</f>
        <v>2266300</v>
      </c>
    </row>
    <row r="20" spans="1:57" s="779" customFormat="1" x14ac:dyDescent="0.2">
      <c r="A20" s="818" t="s">
        <v>2070</v>
      </c>
      <c r="B20" s="1600">
        <f t="shared" si="15"/>
        <v>20368300</v>
      </c>
      <c r="C20" s="915">
        <f t="shared" si="15"/>
        <v>17937300</v>
      </c>
      <c r="D20" s="908">
        <f t="shared" si="15"/>
        <v>19197600</v>
      </c>
      <c r="E20" s="908">
        <f t="shared" si="15"/>
        <v>17162400</v>
      </c>
      <c r="F20" s="908">
        <f t="shared" si="15"/>
        <v>18538900</v>
      </c>
      <c r="G20" s="908">
        <f t="shared" si="15"/>
        <v>18962900</v>
      </c>
      <c r="H20" s="908">
        <f t="shared" si="15"/>
        <v>19434900</v>
      </c>
      <c r="I20" s="908">
        <f t="shared" si="15"/>
        <v>19825300</v>
      </c>
      <c r="J20" s="908">
        <f t="shared" si="15"/>
        <v>20223000</v>
      </c>
      <c r="K20" s="908">
        <f t="shared" si="15"/>
        <v>20629200</v>
      </c>
      <c r="L20" s="132">
        <f t="shared" si="15"/>
        <v>21042700</v>
      </c>
      <c r="M20" s="132">
        <f t="shared" si="15"/>
        <v>21464900</v>
      </c>
      <c r="N20" s="132">
        <f t="shared" si="15"/>
        <v>21896000</v>
      </c>
      <c r="O20" s="830">
        <f t="shared" si="15"/>
        <v>22334800</v>
      </c>
      <c r="P20" s="130">
        <f>ROUND('Cash-Gen'!A48,-2)</f>
        <v>15865700</v>
      </c>
      <c r="Q20" s="910">
        <f>'Cash-Gen'!B48</f>
        <v>14144300</v>
      </c>
      <c r="R20" s="2704">
        <f>'Cash-Gen'!C48</f>
        <v>14166800</v>
      </c>
      <c r="S20" s="2704">
        <f>'Cash-Gen'!E48</f>
        <v>13056400</v>
      </c>
      <c r="T20" s="130">
        <f>'Cash-Gen'!F48</f>
        <v>13383900</v>
      </c>
      <c r="U20" s="130">
        <f>'Cash-Gen'!G48</f>
        <v>13704300</v>
      </c>
      <c r="V20" s="24">
        <f>'Cash-Gen'!H48</f>
        <v>14071100</v>
      </c>
      <c r="W20" s="24">
        <f>'Cash-Gen'!I48</f>
        <v>14353700</v>
      </c>
      <c r="X20" s="24">
        <f>'Cash-Gen'!J48</f>
        <v>14642100</v>
      </c>
      <c r="Y20" s="24">
        <f>'Cash-Gen'!K48</f>
        <v>14936400</v>
      </c>
      <c r="Z20" s="24">
        <f>'Cash-Gen'!L48</f>
        <v>15236400</v>
      </c>
      <c r="AA20" s="132">
        <f>'Cash-Gen'!M48</f>
        <v>15542500</v>
      </c>
      <c r="AB20" s="78">
        <f>'Cash-Gen'!N48</f>
        <v>15854800</v>
      </c>
      <c r="AC20" s="825">
        <f>'Cash-Gen'!O48</f>
        <v>16173200</v>
      </c>
      <c r="AD20" s="26">
        <f>'Cash-W'!A10</f>
        <v>1859500</v>
      </c>
      <c r="AE20" s="130">
        <f>'Cash-W'!B10</f>
        <v>1478700</v>
      </c>
      <c r="AF20" s="130">
        <f>'Cash-W'!C10</f>
        <v>1498900</v>
      </c>
      <c r="AG20" s="130">
        <f>'Cash-W'!F10</f>
        <v>1428000</v>
      </c>
      <c r="AH20" s="130">
        <f>'Cash-W'!G10</f>
        <v>1380000</v>
      </c>
      <c r="AI20" s="130">
        <f>'Cash-W'!H10</f>
        <v>1407600</v>
      </c>
      <c r="AJ20" s="130">
        <f>'Cash-W'!I10</f>
        <v>1435800</v>
      </c>
      <c r="AK20" s="130">
        <f>'Cash-W'!J10</f>
        <v>1464600</v>
      </c>
      <c r="AL20" s="130">
        <f>'Cash-W'!K10</f>
        <v>1493900</v>
      </c>
      <c r="AM20" s="130">
        <f>'Cash-W'!L10</f>
        <v>1523800</v>
      </c>
      <c r="AN20" s="130">
        <f>'Cash-W'!M10</f>
        <v>1554300</v>
      </c>
      <c r="AO20" s="24">
        <f>'Cash-W'!N10</f>
        <v>1585400</v>
      </c>
      <c r="AP20" s="24">
        <f>'Cash-W'!O10</f>
        <v>1617200</v>
      </c>
      <c r="AQ20" s="1216">
        <f>'Cash-W'!P10</f>
        <v>1649600</v>
      </c>
      <c r="AR20" s="26">
        <f>'Cash-WW'!A10</f>
        <v>2643100</v>
      </c>
      <c r="AS20" s="26">
        <f>'Cash-WW'!B10</f>
        <v>2314300</v>
      </c>
      <c r="AT20" s="26">
        <f>'Cash-WW'!C10</f>
        <v>3531900</v>
      </c>
      <c r="AU20" s="24">
        <f>'Cash-WW'!F10</f>
        <v>2678000</v>
      </c>
      <c r="AV20" s="24">
        <f>'Cash-WW'!G10</f>
        <v>3775000</v>
      </c>
      <c r="AW20" s="24">
        <f>'Cash-WW'!H10</f>
        <v>3851000</v>
      </c>
      <c r="AX20" s="24">
        <f>'Cash-WW'!I10</f>
        <v>3928000</v>
      </c>
      <c r="AY20" s="24">
        <f>'Cash-WW'!J10</f>
        <v>4007000</v>
      </c>
      <c r="AZ20" s="24">
        <f>'Cash-WW'!K10</f>
        <v>4087000</v>
      </c>
      <c r="BA20" s="24">
        <f>'Cash-WW'!L10</f>
        <v>4169000</v>
      </c>
      <c r="BB20" s="24">
        <f>'Cash-WW'!M10</f>
        <v>4252000</v>
      </c>
      <c r="BC20" s="24">
        <f>'Cash-WW'!N10</f>
        <v>4337000</v>
      </c>
      <c r="BD20" s="24">
        <f>'Cash-WW'!O10</f>
        <v>4424000</v>
      </c>
      <c r="BE20" s="36">
        <f>'Cash-WW'!P10</f>
        <v>4512000</v>
      </c>
    </row>
    <row r="21" spans="1:57" s="779" customFormat="1" x14ac:dyDescent="0.2">
      <c r="A21" s="818" t="s">
        <v>416</v>
      </c>
      <c r="B21" s="914">
        <f t="shared" si="15"/>
        <v>11394600</v>
      </c>
      <c r="C21" s="78">
        <f t="shared" si="15"/>
        <v>11543100</v>
      </c>
      <c r="D21" s="77">
        <f t="shared" si="15"/>
        <v>11751200</v>
      </c>
      <c r="E21" s="77">
        <f t="shared" si="15"/>
        <v>12699900</v>
      </c>
      <c r="F21" s="77">
        <f t="shared" si="15"/>
        <v>12388400</v>
      </c>
      <c r="G21" s="77">
        <f t="shared" si="15"/>
        <v>12690600</v>
      </c>
      <c r="H21" s="77">
        <f t="shared" si="15"/>
        <v>13023000</v>
      </c>
      <c r="I21" s="77">
        <f t="shared" si="15"/>
        <v>13623900</v>
      </c>
      <c r="J21" s="77">
        <f t="shared" si="15"/>
        <v>13701700</v>
      </c>
      <c r="K21" s="77">
        <f t="shared" si="15"/>
        <v>14098600</v>
      </c>
      <c r="L21" s="132">
        <f t="shared" si="15"/>
        <v>14404800</v>
      </c>
      <c r="M21" s="132">
        <f t="shared" si="15"/>
        <v>15060000</v>
      </c>
      <c r="N21" s="132">
        <f t="shared" si="15"/>
        <v>15144700</v>
      </c>
      <c r="O21" s="830">
        <f t="shared" si="15"/>
        <v>15528700</v>
      </c>
      <c r="P21" s="130">
        <f>ROUND(++SUM(GM!B494:B515)+SUM(GM!B518:B520)+SUM(GM!B568:B570)+GM!B817++SUM(GM!B844:B846)+CIV!B321+SUM(CIV!B204:'CIV'!B206)+SP!B750+CIV!B856+CIV!B841+GM!B945+GM!B952+GM!B958+GM!B963+GM!B975+GM!B1032+GM!B968+GM!B565+GM!B573+SUM(GM!B674:B684)+GM!B1132+GM!B1153+SP!B416+SP!B511+SP!B516+SP!B529+SP!B536+SP!B565+SP!B575+SP!B570+SP!B583+SP!B588+SP!B699+SP!B705+SP!B708+SP!B758+SP!B753+SP!B763+SP!B810+SP!B812+SP!B813+SP!B825+SP!B827+SP!B828+SP!B898+SP!B900+SP!B905+SP!B912+SP!B915+DEH!B249++DEH!B368+DEH!B436+DEH!B438+DEH!B437+CIV!B792++CIV!B778+CIV!B827+CIV!B835+CIV!B842+CIV!B841+CIV!B856+CIV!B906+CIV!B912++CIV!B921+CIV!B794+CIV!B1186+CIV!B1177+CIV!B1331+CIV!B1332+CIV!B1351+CIV!B1666+CIV!B1674+CIV!B1677+CIV!B1806+CIV!B1915,-2)</f>
        <v>5063600</v>
      </c>
      <c r="Q21" s="130">
        <f>ROUND(++SUM(GM!C494:C515)+SUM(GM!C518:C520)+SUM(GM!C568:C570)+GM!C817++SUM(GM!C844:C846)+CIV!C321+SUM(CIV!C204:'CIV'!C206)+SP!C750+CIV!C856+CIV!C841+GM!C945+GM!C952+GM!C958+GM!C963+GM!C975+GM!C1032+GM!C968+GM!C565+GM!C573+SUM(GM!C674:C684)+GM!C1132+GM!C1153+SP!C416+SP!C511+SP!C516+SP!C529+SP!C536+SP!C565+SP!C575+SP!C570+SP!C583+SP!C588+SP!C699+SP!C705+SP!C708+SP!C758+SP!C753+SP!C763+SP!C810+SP!C812+SP!C813+SP!C825+SP!C827+SP!C828+SP!C898+SP!C900+SP!C905+SP!C912+SP!C915+DEH!C249++DEH!C368+DEH!C436+DEH!C438+DEH!C437+CIV!C792++CIV!C778+CIV!C827+CIV!C835+CIV!C842+CIV!C841+CIV!C856+CIV!C906+CIV!C912++CIV!C921+CIV!C794+CIV!C1186+CIV!C1177+CIV!C1331+CIV!C1332+CIV!C1351+CIV!C1666+CIV!C1674+CIV!C1677+CIV!C1806+CIV!C1915,-2)</f>
        <v>5012500</v>
      </c>
      <c r="R21" s="130">
        <f>ROUND(++SUM(GM!D494:D515)+SUM(GM!D518:D520)+SUM(GM!D568:D570)+GM!D817++SUM(GM!D844:D846)+CIV!D321+SUM(CIV!D204:'CIV'!D206)+SP!D750+CIV!D856+CIV!D841+GM!D945+GM!D952+GM!D958+GM!D963+GM!D975+GM!D1032+GM!D968+GM!D565+GM!D573+SUM(GM!D674:D684)+GM!D1132+GM!D1153+SP!D416+SP!D511+SP!D516+SP!D529+SP!D536+SP!D565+SP!D575+SP!D570+SP!D583+SP!D588+SP!D699+SP!D705+SP!D708+SP!D758+SP!D753+SP!D763+SP!D810+SP!D812+SP!D813+SP!D825+SP!D827+SP!D828+SP!D898+SP!D900+SP!D905+SP!D912+SP!D915+DEH!D249++DEH!D368+DEH!D436+DEH!D438+DEH!D437+CIV!D792++CIV!D778+CIV!D827+CIV!D835+CIV!D842+CIV!D841+CIV!D856+CIV!D906+CIV!D912++CIV!D921+CIV!D794+CIV!D1186+CIV!D1177+CIV!D1331+CIV!D1332+CIV!D1351+CIV!D1666+CIV!D1674+CIV!D1677+CIV!D1806+CIV!D1915,-2)</f>
        <v>5240500</v>
      </c>
      <c r="S21" s="130">
        <f>ROUND(++SUM(GM!G494:G515)+SUM(GM!G518:G520)+SUM(GM!G568:G570)+GM!G817++SUM(GM!G844:G846)+CIV!G321+SUM(CIV!G204:'CIV'!G206)+SP!G750+CIV!G856+CIV!G841+GM!G945+GM!G952+GM!G958+GM!G963+GM!G975+GM!G1032+GM!G968+GM!G565+GM!G573+SUM(GM!G674:G684)+GM!G1132+GM!G1153+SP!G416+SP!G511+SP!G516+SP!G529+SP!G536+SP!G565+SP!G575+SP!G570+SP!G583+SP!G588+SP!G699+SP!G705+SP!G708+SP!G758+SP!G753+SP!G763+SP!G810+SP!G812+SP!G813+SP!G825+SP!G827+SP!G828+SP!G898+SP!G900+SP!G905+SP!G912+SP!G915+DEH!G249++DEH!G368+DEH!G436+DEH!G438+DEH!G437+CIV!G792++CIV!G778+CIV!G827+CIV!G835+CIV!G842+CIV!G841+CIV!G856+CIV!G906+CIV!G912++CIV!G921+CIV!G794+CIV!G1186+CIV!G1177+CIV!G1331+CIV!G1332+CIV!G1351+CIV!G1666+CIV!G1674+CIV!G1677+CIV!G1806+CIV!G1915,-2)</f>
        <v>5831800</v>
      </c>
      <c r="T21" s="130">
        <f>ROUND(++SUM(GM!I494:I515)+SUM(GM!I518:I520)+SUM(GM!I568:I570)+GM!I817++SUM(GM!I844:I846)+CIV!I321+SUM(CIV!I204:'CIV'!I206)+SP!I750+CIV!I856+CIV!I841+GM!I945+GM!I952+GM!I958+GM!I963+GM!I975+GM!I1032+GM!I968+GM!I565+GM!I573+SUM(GM!I674:I684)+GM!I1132+GM!I1153+SP!I416+SP!I511+SP!I516+SP!I529+SP!I536+SP!I565+SP!I575+SP!I570+SP!I583+SP!I588+SP!I699+SP!I705+SP!I708+SP!I758+SP!I753+SP!I763+SP!I810+SP!I812+SP!I813+SP!I825+SP!I827+SP!I828+SP!I898+SP!I900+SP!I905+SP!I912+SP!I915+DEH!I249++DEH!I368+DEH!I436+DEH!I438+DEH!I437+CIV!I792++CIV!I778+CIV!I827+CIV!I835+CIV!I842+CIV!I841+CIV!I856+CIV!I906+CIV!I912++CIV!I921+CIV!I794+CIV!I1186+CIV!I1177+CIV!I1331+CIV!I1332+CIV!I1351+CIV!I1666+CIV!I1674+CIV!I1677+CIV!I1806+CIV!I1915,-2)</f>
        <v>5603300</v>
      </c>
      <c r="U21" s="130">
        <f>ROUND(++SUM(GM!J494:J515)+SUM(GM!J518:J520)+SUM(GM!J568:J570)+GM!J817++SUM(GM!J844:J846)+CIV!J321+SUM(CIV!J204:'CIV'!J206)+SP!J750+CIV!J856+CIV!J841+GM!J945+GM!J952+GM!J958+GM!J963+GM!J975+GM!J1032+GM!J968+GM!J565+GM!J573+SUM(GM!J674:J684)+GM!J1132+GM!J1153+SP!J416+SP!J511+SP!J516+SP!J529+SP!J536+SP!J565+SP!J575+SP!J570+SP!J583+SP!J588+SP!J699+SP!J705+SP!J708+SP!J758+SP!J753+SP!J763+SP!J810+SP!J812+SP!J813+SP!J825+SP!J827+SP!J828+SP!J898+SP!J900+SP!J905+SP!J912+SP!J915+DEH!J249++DEH!J368+DEH!J436+DEH!J438+DEH!J437+CIV!J792++CIV!J778+CIV!J827+CIV!J835+CIV!J842+CIV!J841+CIV!J856+CIV!J906+CIV!J912++CIV!J921+CIV!J794+CIV!J1186+CIV!J1177+CIV!J1331+CIV!J1332+CIV!J1351+CIV!J1666+CIV!J1674+CIV!J1677+CIV!J1806+CIV!J1915,-2)</f>
        <v>5775200</v>
      </c>
      <c r="V21" s="130">
        <f>ROUND(++SUM(GM!K494:K515)+SUM(GM!K518:K520)+SUM(GM!K568:K570)+GM!K817++SUM(GM!K844:K846)+CIV!K321+SUM(CIV!K204:'CIV'!K206)+SP!K750+CIV!K856+CIV!K841+GM!K945+GM!K952+GM!K958+GM!K963+GM!K975+GM!K1032+GM!K968+GM!K565+GM!K573+SUM(GM!K674:K684)+GM!K1132+GM!K1153+SP!K416+SP!K511+SP!K516+SP!K529+SP!K536+SP!K565+SP!K575+SP!K570+SP!K583+SP!K588+SP!K699+SP!K705+SP!K708+SP!K758+SP!K753+SP!K763+SP!K810+SP!K812+SP!K813+SP!K825+SP!K827+SP!K828+SP!K898+SP!K900+SP!K905+SP!K912+SP!K915+DEH!K249++DEH!K368+DEH!K436+DEH!K438+DEH!K437+CIV!K792++CIV!K778+CIV!K827+CIV!K835+CIV!K842+CIV!K841+CIV!K856+CIV!K906+CIV!K912++CIV!K921+CIV!K794+CIV!K1186+CIV!K1177+CIV!K1331+CIV!K1332+CIV!K1351+CIV!K1666+CIV!K1674+CIV!K1677+CIV!K1806+CIV!K1915,-2)</f>
        <v>5933000</v>
      </c>
      <c r="W21" s="130">
        <f>ROUND(++SUM(GM!L494:L515)+SUM(GM!L518:L520)+SUM(GM!L568:L570)+GM!L817++SUM(GM!L844:L846)+CIV!L321+SUM(CIV!L204:'CIV'!L206)+SP!L750+CIV!L856+CIV!L841+GM!L945+GM!L952+GM!L958+GM!L963+GM!L975+GM!L1032+GM!L968+GM!L565+GM!L573+SUM(GM!L674:L684)+GM!L1132+GM!L1153+SP!L416+SP!L511+SP!L516+SP!L529+SP!L536+SP!L565+SP!L575+SP!L570+SP!L583+SP!L588+SP!L699+SP!L705+SP!L708+SP!L758+SP!L753+SP!L763+SP!L810+SP!L812+SP!L813+SP!L825+SP!L827+SP!L828+SP!L898+SP!L900+SP!L905+SP!L912+SP!L915+DEH!L249++DEH!L368+DEH!L436+DEH!L438+DEH!L437+CIV!L792++CIV!L778+CIV!L827+CIV!L835+CIV!L842+CIV!L841+CIV!L856+CIV!L906+CIV!L912++CIV!L921+CIV!L794+CIV!L1186+CIV!L1177+CIV!L1331+CIV!L1332+CIV!L1351+CIV!L1666+CIV!L1674+CIV!L1677+CIV!L1806+CIV!L1915,-2)</f>
        <v>6355100</v>
      </c>
      <c r="X21" s="130">
        <f>ROUND(++SUM(GM!M494:M515)+SUM(GM!M518:M520)+SUM(GM!M568:M570)+GM!M817++SUM(GM!M844:M846)+CIV!M321+SUM(CIV!M204:'CIV'!M206)+SP!M750+CIV!M856+CIV!M841+GM!M945+GM!M952+GM!M958+GM!M963+GM!M975+GM!M1032+GM!M968+GM!M565+GM!M573+SUM(GM!M674:M684)+GM!M1132+GM!M1153+SP!M416+SP!M511+SP!M516+SP!M529+SP!M536+SP!M565+SP!M575+SP!M570+SP!M583+SP!M588+SP!M699+SP!M705+SP!M708+SP!M758+SP!M753+SP!M763+SP!M810+SP!M812+SP!M813+SP!M825+SP!M827+SP!M828+SP!M898+SP!M900+SP!M905+SP!M912+SP!M915+DEH!M249++DEH!M368+DEH!M436+DEH!M438+DEH!M437+CIV!M792++CIV!M778+CIV!M827+CIV!M835+CIV!M842+CIV!M841+CIV!M856+CIV!M906+CIV!M912++CIV!M921+CIV!M794+CIV!M1186+CIV!M1177+CIV!M1331+CIV!M1332+CIV!M1351+CIV!M1666+CIV!M1674+CIV!M1677+CIV!M1806+CIV!M1915,-2)</f>
        <v>6221600</v>
      </c>
      <c r="Y21" s="130">
        <f>ROUND(++SUM(GM!N494:N515)+SUM(GM!N518:N520)+SUM(GM!N568:N570)+GM!N817++SUM(GM!N844:N846)+CIV!N321+SUM(CIV!N204:'CIV'!N206)+SP!N750+CIV!N856+CIV!N841+GM!N945+GM!N952+GM!N958+GM!N963+GM!N975+GM!N1032+GM!N968+GM!N565+GM!N573+SUM(GM!N674:N684)+GM!N1132+GM!N1153+SP!N416+SP!N511+SP!N516+SP!N529+SP!N536+SP!N565+SP!N575+SP!N570+SP!N583+SP!N588+SP!N699+SP!N705+SP!N708+SP!N758+SP!N753+SP!N763+SP!N810+SP!N812+SP!N813+SP!N825+SP!N827+SP!N828+SP!N898+SP!N900+SP!N905+SP!N912+SP!N915+DEH!N249++DEH!N368+DEH!N436+DEH!N438+DEH!N437+CIV!N792++CIV!N778+CIV!N827+CIV!N835+CIV!N842+CIV!N841+CIV!N856+CIV!N906+CIV!N912++CIV!N921+CIV!N794+CIV!N1186+CIV!N1177+CIV!N1331+CIV!N1332+CIV!N1351+CIV!N1666+CIV!N1674+CIV!N1677+CIV!N1806+CIV!N1915,-2)</f>
        <v>6351200</v>
      </c>
      <c r="Z21" s="130">
        <f>ROUND(++SUM(GM!O494:O515)+SUM(GM!O518:O520)+SUM(GM!O568:O570)+GM!O817++SUM(GM!O844:O846)+CIV!O321+SUM(CIV!O204:'CIV'!O206)+SP!O750+CIV!O856+CIV!O841+GM!O945+GM!O952+GM!O958+GM!O963+GM!O975+GM!O1032+GM!O968+GM!O565+GM!O573+SUM(GM!O674:O684)+GM!O1132+GM!O1153+SP!O416+SP!O511+SP!O516+SP!O529+SP!O536+SP!O565+SP!O575+SP!O570+SP!O583+SP!O588+SP!O699+SP!O705+SP!O708+SP!O758+SP!O753+SP!O763+SP!O810+SP!O812+SP!O813+SP!O825+SP!O827+SP!O828+SP!O898+SP!O900+SP!O905+SP!O912+SP!O915+DEH!O249++DEH!O368+DEH!O436+DEH!O438+DEH!O437+CIV!O792++CIV!O778+CIV!O827+CIV!O835+CIV!O842+CIV!O841+CIV!O856+CIV!O906+CIV!O912++CIV!O921+CIV!O794+CIV!O1186+CIV!O1177+CIV!O1331+CIV!O1332+CIV!O1351+CIV!O1666+CIV!O1674+CIV!O1677+CIV!O1806+CIV!O1915,-2)</f>
        <v>6483900</v>
      </c>
      <c r="AA21" s="132">
        <f>ROUND(++SUM(GM!P494:P515)+SUM(GM!P518:P520)+SUM(GM!P568:P570)+GM!P817++SUM(GM!P844:P846)+CIV!P321+SUM(CIV!P204:'CIV'!P206)+SP!P750+CIV!P856+CIV!P841+GM!P945+GM!P952+GM!P958+GM!P963+GM!P975+GM!P1032+GM!P968+GM!P565+GM!P573+SUM(GM!P674:P684)+GM!P1132+GM!P1153+SP!P416+SP!P511+SP!P516+SP!P529+SP!P536+SP!P565+SP!P575+SP!P570+SP!P583+SP!P588+SP!P699+SP!P705+SP!P708+SP!P758+SP!P753+SP!P763+SP!P810+SP!P812+SP!P813+SP!P825+SP!P827+SP!P828+SP!P898+SP!P900+SP!P905+SP!P912+SP!P915+DEH!P249++DEH!P368+DEH!P436+DEH!P438+DEH!P437+CIV!P792++CIV!P778+CIV!P827+CIV!P835+CIV!P842+CIV!P841+CIV!P856+CIV!P906+CIV!P912++CIV!P921+CIV!P794+CIV!P1186+CIV!P1177+CIV!P1331+CIV!P1332+CIV!P1351+CIV!P1666+CIV!P1674+CIV!P1677+CIV!P1806+CIV!P1915,-2)</f>
        <v>6908800</v>
      </c>
      <c r="AB21" s="78">
        <f>ROUND(++SUM(GM!Q494:Q515)+SUM(GM!Q518:Q520)+SUM(GM!Q568:Q570)+GM!Q817++SUM(GM!Q844:Q846)+CIV!Q321+SUM(CIV!Q204:'CIV'!Q206)+SP!Q750+CIV!Q856+CIV!Q841+GM!Q945+GM!Q952+GM!Q958+GM!Q963+GM!Q975+GM!Q1032+GM!Q968+GM!Q565+GM!Q573+SUM(GM!Q674:Q684)+GM!Q1132+GM!Q1153+SP!Q416+SP!Q511+SP!Q516+SP!Q529+SP!Q536+SP!Q565+SP!Q575+SP!Q570+SP!Q583+SP!Q588+SP!Q699+SP!Q705+SP!Q708+SP!Q758+SP!Q753+SP!Q763+SP!Q810+SP!Q812+SP!Q813+SP!Q825+SP!Q827+SP!Q828+SP!Q898+SP!Q900+SP!Q905+SP!Q912+SP!Q915+DEH!Q249++DEH!Q368+DEH!Q436+DEH!Q438+DEH!Q437+CIV!Q792++CIV!Q778+CIV!Q827+CIV!Q835+CIV!Q842+CIV!Q841+CIV!Q856+CIV!Q906+CIV!Q912++CIV!Q921+CIV!Q794+CIV!Q1186+CIV!Q1177+CIV!Q1331+CIV!Q1332+CIV!Q1351+CIV!Q1666+CIV!Q1674+CIV!Q1677+CIV!Q1806+CIV!Q1915,-2)</f>
        <v>6756500</v>
      </c>
      <c r="AC21" s="825">
        <f>ROUND(++SUM(GM!R494:R515)+SUM(GM!R518:R520)+SUM(GM!R568:R570)+GM!R817++SUM(GM!R844:R846)+CIV!R321+SUM(CIV!R204:'CIV'!R206)+SP!R750+CIV!R856+CIV!R841+GM!R945+GM!R952+GM!R958+GM!R963+GM!R975+GM!R1032+GM!R968+GM!R565+GM!R573+SUM(GM!R674:R684)+GM!R1132+GM!R1153+SP!R416+SP!R511+SP!R516+SP!R529+SP!R536+SP!R565+SP!R575+SP!R570+SP!R583+SP!R588+SP!R699+SP!R705+SP!R708+SP!R758+SP!R753+SP!R763+SP!R810+SP!R812+SP!R813+SP!R825+SP!R827+SP!R828+SP!R898+SP!R900+SP!R905+SP!R912+SP!R915+DEH!R249++DEH!R368+DEH!R436+DEH!R438+DEH!R437+CIV!R792++CIV!R778+CIV!R827+CIV!R835+CIV!R842+CIV!R841+CIV!R856+CIV!R906+CIV!R912++CIV!R921+CIV!R794+CIV!R1186+CIV!R1177+CIV!R1331+CIV!R1332+CIV!R1351+CIV!R1666+CIV!R1674+CIV!R1677+CIV!R1806+CIV!R1915,-2)</f>
        <v>6896500</v>
      </c>
      <c r="AD21" s="26">
        <f>SUM(+SUM('W&amp;W'!B216:'W&amp;W'!B219)++SUM('W&amp;W'!B233:'W&amp;W'!B245)++'W&amp;W'!B257++'W&amp;W'!B213+'W&amp;W'!B263+'W&amp;W'!B264)</f>
        <v>5909700</v>
      </c>
      <c r="AE21" s="130">
        <f>SUM(+SUM('W&amp;W'!C216:'W&amp;W'!C219)++SUM('W&amp;W'!C233:'W&amp;W'!C245)++'W&amp;W'!C257++'W&amp;W'!C213+'W&amp;W'!C263+'W&amp;W'!C264)</f>
        <v>6200600</v>
      </c>
      <c r="AF21" s="130">
        <f>SUM(SUM('W&amp;W'!D216:'W&amp;W'!D219)++SUM('W&amp;W'!D233:'W&amp;W'!D245)++'W&amp;W'!D257++'W&amp;W'!D213+'W&amp;W'!D263+'W&amp;W'!D264)</f>
        <v>6172600</v>
      </c>
      <c r="AG21" s="130">
        <f>SUM(SUM('W&amp;W'!G216:'W&amp;W'!G219)++SUM('W&amp;W'!G233:'W&amp;W'!G245)++'W&amp;W'!G257++'W&amp;W'!G213+'W&amp;W'!G263+'W&amp;W'!G264)</f>
        <v>6520600</v>
      </c>
      <c r="AH21" s="130">
        <f>SUM(SUM('W&amp;W'!I216:'W&amp;W'!I219)++SUM('W&amp;W'!I233:'W&amp;W'!I245)++'W&amp;W'!I257++'W&amp;W'!I213+'W&amp;W'!I263+'W&amp;W'!I264)</f>
        <v>6381100</v>
      </c>
      <c r="AI21" s="130">
        <f>SUM(SUM('W&amp;W'!J216:'W&amp;W'!J219)++SUM('W&amp;W'!J233:'W&amp;W'!J245)++'W&amp;W'!J257++'W&amp;W'!J213+'W&amp;W'!J263+'W&amp;W'!J264)</f>
        <v>6541200</v>
      </c>
      <c r="AJ21" s="130">
        <f>SUM(SUM('W&amp;W'!K216:'W&amp;W'!K219)++SUM('W&amp;W'!K233:'W&amp;W'!K245)++'W&amp;W'!K257++'W&amp;W'!K213+'W&amp;W'!K263+'W&amp;W'!K264)</f>
        <v>6705800</v>
      </c>
      <c r="AK21" s="130">
        <f>SUM(SUM('W&amp;W'!L216:'W&amp;W'!L219)++SUM('W&amp;W'!L233:'W&amp;W'!L245)++'W&amp;W'!L257++'W&amp;W'!L213+'W&amp;W'!L263+'W&amp;W'!L264)</f>
        <v>6874400</v>
      </c>
      <c r="AL21" s="130">
        <f>SUM(SUM('W&amp;W'!M216:'W&amp;W'!M219)++SUM('W&amp;W'!M233:'W&amp;W'!M245)++'W&amp;W'!M257++'W&amp;W'!M213+'W&amp;W'!M263+'W&amp;W'!M264)</f>
        <v>7077400</v>
      </c>
      <c r="AM21" s="130">
        <f>SUM(SUM('W&amp;W'!N216:'W&amp;W'!N219)++SUM('W&amp;W'!N233:'W&amp;W'!N245)++'W&amp;W'!N257++'W&amp;W'!N213+'W&amp;W'!N263+'W&amp;W'!N264)</f>
        <v>7286300</v>
      </c>
      <c r="AN21" s="130">
        <f>SUM(SUM('W&amp;W'!O216:'W&amp;W'!O219)++SUM('W&amp;W'!O233:'W&amp;W'!O245)++'W&amp;W'!O257++'W&amp;W'!O213+'W&amp;W'!O263+'W&amp;W'!O264)</f>
        <v>7501200</v>
      </c>
      <c r="AO21" s="130">
        <f>SUM(SUM('W&amp;W'!P216:'W&amp;W'!P219)++SUM('W&amp;W'!P233:'W&amp;W'!P245)++'W&amp;W'!P257++'W&amp;W'!P213+'W&amp;W'!P263+'W&amp;W'!P264)</f>
        <v>7722700</v>
      </c>
      <c r="AP21" s="24">
        <f>SUM(SUM('W&amp;W'!Q216:'W&amp;W'!Q219)++SUM('W&amp;W'!Q233:'W&amp;W'!Q245)++'W&amp;W'!Q257++'W&amp;W'!Q213+'W&amp;W'!Q263+'W&amp;W'!Q264)</f>
        <v>7950600</v>
      </c>
      <c r="AQ21" s="1216">
        <f>SUM(SUM('W&amp;W'!R216:'W&amp;W'!R219)++SUM('W&amp;W'!R233:'W&amp;W'!R245)++'W&amp;W'!R257++'W&amp;W'!R213+'W&amp;W'!R263+'W&amp;W'!R264)</f>
        <v>8185500</v>
      </c>
      <c r="AR21" s="130">
        <f>SUM('W&amp;W'!B428:B435)+SUM('W&amp;W'!B451:B454)+'W&amp;W'!B440</f>
        <v>421300</v>
      </c>
      <c r="AS21" s="130">
        <f>SUM('W&amp;W'!C428:C435)+SUM('W&amp;W'!C451:C454)+'W&amp;W'!C440</f>
        <v>330000</v>
      </c>
      <c r="AT21" s="130">
        <f>SUM('W&amp;W'!D428:D435)+SUM('W&amp;W'!D451:D454)+'W&amp;W'!D440</f>
        <v>338100</v>
      </c>
      <c r="AU21" s="130">
        <f>SUM('W&amp;W'!G428:G435)+SUM('W&amp;W'!G451:G454)+'W&amp;W'!G440</f>
        <v>347500</v>
      </c>
      <c r="AV21" s="130">
        <f>SUM('W&amp;W'!I428:I435)+SUM('W&amp;W'!I451:I454)+'W&amp;W'!I440</f>
        <v>404000</v>
      </c>
      <c r="AW21" s="130">
        <f>SUM('W&amp;W'!J428:J435)+SUM('W&amp;W'!J451:J454)+'W&amp;W'!J440</f>
        <v>374200</v>
      </c>
      <c r="AX21" s="130">
        <f>SUM('W&amp;W'!K428:K435)+SUM('W&amp;W'!K451:K454)+'W&amp;W'!K440</f>
        <v>384200</v>
      </c>
      <c r="AY21" s="130">
        <f>SUM('W&amp;W'!L428:L435)+SUM('W&amp;W'!L451:L454)+'W&amp;W'!L440</f>
        <v>394400</v>
      </c>
      <c r="AZ21" s="130">
        <f>SUM('W&amp;W'!M428:M435)+SUM('W&amp;W'!M451:M454)+'W&amp;W'!M440</f>
        <v>402700</v>
      </c>
      <c r="BA21" s="130">
        <f>SUM('W&amp;W'!N428:N435)+SUM('W&amp;W'!N451:N454)+'W&amp;W'!N440</f>
        <v>461100</v>
      </c>
      <c r="BB21" s="130">
        <f>SUM('W&amp;W'!O428:O435)+SUM('W&amp;W'!O451:O454)+'W&amp;W'!O440</f>
        <v>419700</v>
      </c>
      <c r="BC21" s="24">
        <f>SUM('W&amp;W'!P428:P435)+SUM('W&amp;W'!P451:P454)+'W&amp;W'!P440</f>
        <v>428500</v>
      </c>
      <c r="BD21" s="24">
        <f>SUM('W&amp;W'!Q428:Q435)+SUM('W&amp;W'!Q451:Q454)+'W&amp;W'!Q440</f>
        <v>437600</v>
      </c>
      <c r="BE21" s="36">
        <f>SUM('W&amp;W'!R428:R435)+SUM('W&amp;W'!R451:R454)+'W&amp;W'!R440</f>
        <v>446700</v>
      </c>
    </row>
    <row r="22" spans="1:57" s="779" customFormat="1" x14ac:dyDescent="0.2">
      <c r="A22" s="818" t="s">
        <v>2328</v>
      </c>
      <c r="B22" s="914">
        <f t="shared" si="15"/>
        <v>4112900</v>
      </c>
      <c r="C22" s="78">
        <f t="shared" si="15"/>
        <v>15604300</v>
      </c>
      <c r="D22" s="77">
        <f t="shared" si="15"/>
        <v>74800</v>
      </c>
      <c r="E22" s="77">
        <f t="shared" si="15"/>
        <v>0</v>
      </c>
      <c r="F22" s="77">
        <f t="shared" si="15"/>
        <v>0</v>
      </c>
      <c r="G22" s="77">
        <f t="shared" si="15"/>
        <v>0</v>
      </c>
      <c r="H22" s="77">
        <f t="shared" si="15"/>
        <v>0</v>
      </c>
      <c r="I22" s="77">
        <f t="shared" si="15"/>
        <v>0</v>
      </c>
      <c r="J22" s="77">
        <f t="shared" si="15"/>
        <v>0</v>
      </c>
      <c r="K22" s="77">
        <f t="shared" si="15"/>
        <v>0</v>
      </c>
      <c r="L22" s="132">
        <f t="shared" si="15"/>
        <v>0</v>
      </c>
      <c r="M22" s="132">
        <f t="shared" si="15"/>
        <v>0</v>
      </c>
      <c r="N22" s="132">
        <f t="shared" si="15"/>
        <v>0</v>
      </c>
      <c r="O22" s="830">
        <f t="shared" si="15"/>
        <v>0</v>
      </c>
      <c r="P22" s="130">
        <f>CIV!B55+CIV!B504+GM!B45</f>
        <v>3981600</v>
      </c>
      <c r="Q22" s="130">
        <f>CIV!C55+CIV!C504+GM!C45</f>
        <v>3366900</v>
      </c>
      <c r="R22" s="130">
        <f>CIV!D55+CIV!D504+GM!D45</f>
        <v>0</v>
      </c>
      <c r="S22" s="130">
        <f>CIV!G55+CIV!G504+GM!G45</f>
        <v>0</v>
      </c>
      <c r="T22" s="130">
        <f>CIV!I55+CIV!I504+GM!I45</f>
        <v>0</v>
      </c>
      <c r="U22" s="130">
        <f>CIV!J55+CIV!J504+GM!J45</f>
        <v>0</v>
      </c>
      <c r="V22" s="130">
        <f>CIV!K55+CIV!K504+GM!K45</f>
        <v>0</v>
      </c>
      <c r="W22" s="130">
        <f>CIV!L55+CIV!L504+GM!L45</f>
        <v>0</v>
      </c>
      <c r="X22" s="130">
        <f>CIV!M55+CIV!M504+GM!M45</f>
        <v>0</v>
      </c>
      <c r="Y22" s="130">
        <f>CIV!N55+CIV!N504+GM!N45</f>
        <v>0</v>
      </c>
      <c r="Z22" s="132">
        <f>CIV!O55+CIV!O504+GM!O45</f>
        <v>0</v>
      </c>
      <c r="AA22" s="132">
        <f>CIV!P55+CIV!P504+GM!P45</f>
        <v>0</v>
      </c>
      <c r="AB22" s="78">
        <f>CIV!Q55+CIV!Q504+GM!Q45</f>
        <v>0</v>
      </c>
      <c r="AC22" s="825">
        <f>CIV!R55+CIV!R504+GM!R45</f>
        <v>0</v>
      </c>
      <c r="AD22" s="130">
        <f>'W&amp;W'!B79</f>
        <v>111000</v>
      </c>
      <c r="AE22" s="130">
        <f>'W&amp;W'!C79</f>
        <v>20600</v>
      </c>
      <c r="AF22" s="130">
        <f>'W&amp;W'!D79</f>
        <v>64000</v>
      </c>
      <c r="AG22" s="130">
        <f>'W&amp;W'!G79</f>
        <v>0</v>
      </c>
      <c r="AH22" s="130">
        <f>'W&amp;W'!I79</f>
        <v>0</v>
      </c>
      <c r="AI22" s="130">
        <f>'W&amp;W'!J79</f>
        <v>0</v>
      </c>
      <c r="AJ22" s="130">
        <f>'W&amp;W'!K79</f>
        <v>0</v>
      </c>
      <c r="AK22" s="130">
        <f>'W&amp;W'!L79</f>
        <v>0</v>
      </c>
      <c r="AL22" s="130">
        <f>'W&amp;W'!M79</f>
        <v>0</v>
      </c>
      <c r="AM22" s="130">
        <f>'W&amp;W'!N79</f>
        <v>0</v>
      </c>
      <c r="AN22" s="24">
        <f>'W&amp;W'!O79</f>
        <v>0</v>
      </c>
      <c r="AO22" s="24">
        <f>'W&amp;W'!P79</f>
        <v>0</v>
      </c>
      <c r="AP22" s="24">
        <f>'W&amp;W'!Q79</f>
        <v>0</v>
      </c>
      <c r="AQ22" s="1216">
        <f>'W&amp;W'!R79</f>
        <v>0</v>
      </c>
      <c r="AR22" s="130">
        <f>'W&amp;W'!B541</f>
        <v>20300</v>
      </c>
      <c r="AS22" s="130">
        <f>'W&amp;W'!C541</f>
        <v>12216800</v>
      </c>
      <c r="AT22" s="130">
        <f>'W&amp;W'!D541</f>
        <v>10800</v>
      </c>
      <c r="AU22" s="130">
        <f>'W&amp;W'!G541</f>
        <v>0</v>
      </c>
      <c r="AV22" s="130">
        <f>'W&amp;W'!I541</f>
        <v>0</v>
      </c>
      <c r="AW22" s="130">
        <f>'W&amp;W'!J541</f>
        <v>0</v>
      </c>
      <c r="AX22" s="130">
        <f>'W&amp;W'!K541</f>
        <v>0</v>
      </c>
      <c r="AY22" s="130">
        <f>'W&amp;W'!L541</f>
        <v>0</v>
      </c>
      <c r="AZ22" s="130">
        <f>'W&amp;W'!M541</f>
        <v>0</v>
      </c>
      <c r="BA22" s="130">
        <f>'W&amp;W'!N541</f>
        <v>0</v>
      </c>
      <c r="BB22" s="24">
        <f>'W&amp;W'!O541</f>
        <v>0</v>
      </c>
      <c r="BC22" s="24">
        <f>'W&amp;W'!P541</f>
        <v>0</v>
      </c>
      <c r="BD22" s="24">
        <f>'W&amp;W'!Q541</f>
        <v>0</v>
      </c>
      <c r="BE22" s="36">
        <f>'W&amp;W'!R541</f>
        <v>0</v>
      </c>
    </row>
    <row r="23" spans="1:57" s="779" customFormat="1" ht="13.5" thickBot="1" x14ac:dyDescent="0.25">
      <c r="A23" s="818"/>
      <c r="B23" s="914"/>
      <c r="C23" s="78"/>
      <c r="D23" s="77"/>
      <c r="E23" s="77"/>
      <c r="F23" s="77"/>
      <c r="G23" s="77"/>
      <c r="H23" s="77"/>
      <c r="I23" s="77"/>
      <c r="J23" s="77"/>
      <c r="K23" s="77"/>
      <c r="L23" s="132"/>
      <c r="M23" s="132"/>
      <c r="N23" s="132"/>
      <c r="O23" s="830"/>
      <c r="P23" s="130"/>
      <c r="Q23" s="130"/>
      <c r="R23" s="132"/>
      <c r="S23" s="132"/>
      <c r="T23" s="130"/>
      <c r="U23" s="130"/>
      <c r="V23" s="132"/>
      <c r="W23" s="132"/>
      <c r="X23" s="132"/>
      <c r="Y23" s="132"/>
      <c r="Z23" s="132"/>
      <c r="AA23" s="132"/>
      <c r="AB23" s="78"/>
      <c r="AC23" s="825"/>
      <c r="AD23" s="130"/>
      <c r="AE23" s="130"/>
      <c r="AF23" s="132"/>
      <c r="AG23" s="77"/>
      <c r="AH23" s="77"/>
      <c r="AI23" s="77"/>
      <c r="AJ23" s="77"/>
      <c r="AK23" s="77"/>
      <c r="AL23" s="77"/>
      <c r="AM23" s="77"/>
      <c r="AN23" s="132"/>
      <c r="AO23" s="132"/>
      <c r="AP23" s="132"/>
      <c r="AQ23" s="830"/>
      <c r="AR23" s="130"/>
      <c r="AS23" s="130"/>
      <c r="AT23" s="130"/>
      <c r="AU23" s="132"/>
      <c r="AV23" s="132"/>
      <c r="AW23" s="132"/>
      <c r="AX23" s="132"/>
      <c r="AY23" s="132"/>
      <c r="AZ23" s="132"/>
      <c r="BA23" s="132"/>
      <c r="BB23" s="132"/>
      <c r="BC23" s="132"/>
      <c r="BD23" s="132"/>
      <c r="BE23" s="131"/>
    </row>
    <row r="24" spans="1:57" s="4" customFormat="1" x14ac:dyDescent="0.2">
      <c r="A24" s="755" t="s">
        <v>764</v>
      </c>
      <c r="B24" s="2177">
        <f t="shared" ref="B24:BB24" si="16">SUM(B17:B23)</f>
        <v>84809400</v>
      </c>
      <c r="C24" s="1129">
        <f t="shared" si="16"/>
        <v>93871900</v>
      </c>
      <c r="D24" s="461">
        <f t="shared" si="16"/>
        <v>82509500</v>
      </c>
      <c r="E24" s="461">
        <f t="shared" si="16"/>
        <v>83561800</v>
      </c>
      <c r="F24" s="461">
        <f t="shared" si="16"/>
        <v>81487300</v>
      </c>
      <c r="G24" s="461">
        <f t="shared" si="16"/>
        <v>83214000</v>
      </c>
      <c r="H24" s="461">
        <f t="shared" si="16"/>
        <v>85082800</v>
      </c>
      <c r="I24" s="461">
        <f t="shared" si="16"/>
        <v>86803200</v>
      </c>
      <c r="J24" s="461">
        <f t="shared" si="16"/>
        <v>88464400</v>
      </c>
      <c r="K24" s="461">
        <f t="shared" si="16"/>
        <v>89937600</v>
      </c>
      <c r="L24" s="462">
        <f t="shared" si="16"/>
        <v>91544400</v>
      </c>
      <c r="M24" s="462">
        <f t="shared" ref="M24" si="17">SUM(M17:M23)</f>
        <v>93413800</v>
      </c>
      <c r="N24" s="462">
        <f t="shared" ref="N24" si="18">SUM(N17:N23)</f>
        <v>94859100</v>
      </c>
      <c r="O24" s="2699">
        <f t="shared" ref="O24" si="19">SUM(O17:O23)</f>
        <v>96492300</v>
      </c>
      <c r="P24" s="463">
        <f t="shared" si="16"/>
        <v>56653400</v>
      </c>
      <c r="Q24" s="463">
        <f t="shared" si="16"/>
        <v>54307700</v>
      </c>
      <c r="R24" s="2772">
        <f t="shared" si="16"/>
        <v>54320900</v>
      </c>
      <c r="S24" s="2772">
        <f t="shared" si="16"/>
        <v>55104500</v>
      </c>
      <c r="T24" s="155">
        <f t="shared" si="16"/>
        <v>52496400</v>
      </c>
      <c r="U24" s="155">
        <f t="shared" si="16"/>
        <v>53997300</v>
      </c>
      <c r="V24" s="56">
        <f t="shared" si="16"/>
        <v>55504800</v>
      </c>
      <c r="W24" s="56">
        <f t="shared" si="16"/>
        <v>56825000</v>
      </c>
      <c r="X24" s="56">
        <f t="shared" si="16"/>
        <v>58084300</v>
      </c>
      <c r="Y24" s="56">
        <f t="shared" si="16"/>
        <v>59031300</v>
      </c>
      <c r="Z24" s="56">
        <f t="shared" si="16"/>
        <v>60301900</v>
      </c>
      <c r="AA24" s="56">
        <f t="shared" ref="AA24:AB24" si="20">SUM(AA17:AA23)</f>
        <v>61724500</v>
      </c>
      <c r="AB24" s="304">
        <f t="shared" si="20"/>
        <v>62772400</v>
      </c>
      <c r="AC24" s="2702">
        <f t="shared" ref="AC24" si="21">SUM(AC17:AC23)</f>
        <v>63933400</v>
      </c>
      <c r="AD24" s="57">
        <f t="shared" si="16"/>
        <v>11111600</v>
      </c>
      <c r="AE24" s="57">
        <f t="shared" si="16"/>
        <v>10817000</v>
      </c>
      <c r="AF24" s="56">
        <f t="shared" si="16"/>
        <v>10875900</v>
      </c>
      <c r="AG24" s="307">
        <f t="shared" si="16"/>
        <v>11269600</v>
      </c>
      <c r="AH24" s="307">
        <f t="shared" si="16"/>
        <v>11190400</v>
      </c>
      <c r="AI24" s="307">
        <f t="shared" si="16"/>
        <v>11506300</v>
      </c>
      <c r="AJ24" s="307">
        <f t="shared" si="16"/>
        <v>11749400</v>
      </c>
      <c r="AK24" s="307">
        <f t="shared" si="16"/>
        <v>12039500</v>
      </c>
      <c r="AL24" s="307">
        <f t="shared" si="16"/>
        <v>12348400</v>
      </c>
      <c r="AM24" s="307">
        <f t="shared" si="16"/>
        <v>12715100</v>
      </c>
      <c r="AN24" s="56">
        <f t="shared" si="16"/>
        <v>12989900</v>
      </c>
      <c r="AO24" s="56">
        <f t="shared" ref="AO24:AP24" si="22">SUM(AO17:AO23)</f>
        <v>13323800</v>
      </c>
      <c r="AP24" s="56">
        <f t="shared" si="22"/>
        <v>13666400</v>
      </c>
      <c r="AQ24" s="540">
        <f t="shared" ref="AQ24" si="23">SUM(AQ17:AQ23)</f>
        <v>14018500</v>
      </c>
      <c r="AR24" s="57">
        <f t="shared" si="16"/>
        <v>17044400</v>
      </c>
      <c r="AS24" s="57">
        <f t="shared" si="16"/>
        <v>28747200</v>
      </c>
      <c r="AT24" s="57">
        <f t="shared" si="16"/>
        <v>17312700</v>
      </c>
      <c r="AU24" s="57">
        <f t="shared" si="16"/>
        <v>17187700</v>
      </c>
      <c r="AV24" s="57">
        <f t="shared" si="16"/>
        <v>17800500</v>
      </c>
      <c r="AW24" s="57">
        <f t="shared" si="16"/>
        <v>17710400</v>
      </c>
      <c r="AX24" s="57">
        <f t="shared" si="16"/>
        <v>17828600</v>
      </c>
      <c r="AY24" s="57">
        <f t="shared" si="16"/>
        <v>17938700</v>
      </c>
      <c r="AZ24" s="57">
        <f t="shared" si="16"/>
        <v>18031700</v>
      </c>
      <c r="BA24" s="57">
        <f t="shared" si="16"/>
        <v>18191200</v>
      </c>
      <c r="BB24" s="56">
        <f t="shared" si="16"/>
        <v>18252600</v>
      </c>
      <c r="BC24" s="56">
        <f t="shared" ref="BC24" si="24">SUM(BC17:BC23)</f>
        <v>18365500</v>
      </c>
      <c r="BD24" s="56">
        <f t="shared" ref="BD24" si="25">SUM(BD17:BD23)</f>
        <v>18420300</v>
      </c>
      <c r="BE24" s="213">
        <f t="shared" ref="BE24" si="26">SUM(BE17:BE23)</f>
        <v>18540400</v>
      </c>
    </row>
    <row r="25" spans="1:57" s="779" customFormat="1" x14ac:dyDescent="0.2">
      <c r="A25" s="818"/>
      <c r="B25" s="1600"/>
      <c r="C25" s="910"/>
      <c r="D25" s="909"/>
      <c r="E25" s="909"/>
      <c r="F25" s="909"/>
      <c r="G25" s="909"/>
      <c r="H25" s="909"/>
      <c r="I25" s="909"/>
      <c r="J25" s="909"/>
      <c r="K25" s="909"/>
      <c r="L25" s="909"/>
      <c r="M25" s="909"/>
      <c r="N25" s="909"/>
      <c r="O25" s="913"/>
      <c r="P25" s="910"/>
      <c r="Q25" s="910"/>
      <c r="R25" s="2704"/>
      <c r="S25" s="2429"/>
      <c r="T25" s="130"/>
      <c r="U25" s="130"/>
      <c r="V25" s="24"/>
      <c r="W25" s="24"/>
      <c r="X25" s="24"/>
      <c r="Y25" s="24"/>
      <c r="Z25" s="24"/>
      <c r="AA25" s="24"/>
      <c r="AB25" s="35"/>
      <c r="AC25" s="2701"/>
      <c r="AD25" s="26"/>
      <c r="AE25" s="26"/>
      <c r="AF25" s="24"/>
      <c r="AG25" s="1215"/>
      <c r="AH25" s="1215"/>
      <c r="AI25" s="1215"/>
      <c r="AJ25" s="1215"/>
      <c r="AK25" s="1215"/>
      <c r="AL25" s="1215"/>
      <c r="AM25" s="1215"/>
      <c r="AN25" s="24"/>
      <c r="AO25" s="24"/>
      <c r="AP25" s="24"/>
      <c r="AQ25" s="1216"/>
      <c r="AR25" s="26"/>
      <c r="AS25" s="26"/>
      <c r="AT25" s="26"/>
      <c r="AU25" s="24"/>
      <c r="AV25" s="24"/>
      <c r="AW25" s="24"/>
      <c r="AX25" s="24"/>
      <c r="AY25" s="24"/>
      <c r="AZ25" s="24"/>
      <c r="BA25" s="24"/>
      <c r="BB25" s="24"/>
      <c r="BC25" s="24"/>
      <c r="BD25" s="24"/>
      <c r="BE25" s="36"/>
    </row>
    <row r="26" spans="1:57" s="6" customFormat="1" x14ac:dyDescent="0.2">
      <c r="A26" s="754" t="s">
        <v>1201</v>
      </c>
      <c r="B26" s="185">
        <f t="shared" ref="B26:O26" si="27">P26+AD26+AR26</f>
        <v>-13552700</v>
      </c>
      <c r="C26" s="74">
        <f t="shared" si="27"/>
        <v>-18445100</v>
      </c>
      <c r="D26" s="79">
        <f t="shared" si="27"/>
        <v>-4204500</v>
      </c>
      <c r="E26" s="79">
        <f t="shared" si="27"/>
        <v>798700</v>
      </c>
      <c r="F26" s="79">
        <f t="shared" si="27"/>
        <v>767000</v>
      </c>
      <c r="G26" s="79">
        <f t="shared" si="27"/>
        <v>2008800</v>
      </c>
      <c r="H26" s="79">
        <f t="shared" si="27"/>
        <v>2980200</v>
      </c>
      <c r="I26" s="79">
        <f t="shared" si="27"/>
        <v>4007600</v>
      </c>
      <c r="J26" s="79">
        <f t="shared" si="27"/>
        <v>4823200</v>
      </c>
      <c r="K26" s="79">
        <f t="shared" si="27"/>
        <v>5858800</v>
      </c>
      <c r="L26" s="64">
        <f t="shared" si="27"/>
        <v>7046400</v>
      </c>
      <c r="M26" s="64">
        <f t="shared" si="27"/>
        <v>7947700</v>
      </c>
      <c r="N26" s="64">
        <f t="shared" si="27"/>
        <v>9563800</v>
      </c>
      <c r="O26" s="117">
        <f t="shared" si="27"/>
        <v>11166400</v>
      </c>
      <c r="P26" s="128">
        <f t="shared" ref="P26:BB26" si="28">P14-P24</f>
        <v>-10548600</v>
      </c>
      <c r="Q26" s="128">
        <f t="shared" si="28"/>
        <v>-5129300</v>
      </c>
      <c r="R26" s="64">
        <f t="shared" si="28"/>
        <v>-3604900</v>
      </c>
      <c r="S26" s="64">
        <f t="shared" si="28"/>
        <v>-363500</v>
      </c>
      <c r="T26" s="128">
        <f t="shared" si="28"/>
        <v>-534900</v>
      </c>
      <c r="U26" s="128">
        <f t="shared" si="28"/>
        <v>187200</v>
      </c>
      <c r="V26" s="64">
        <f t="shared" si="28"/>
        <v>737500</v>
      </c>
      <c r="W26" s="64">
        <f t="shared" si="28"/>
        <v>971100</v>
      </c>
      <c r="X26" s="64">
        <f t="shared" si="28"/>
        <v>1097000</v>
      </c>
      <c r="Y26" s="64">
        <f t="shared" si="28"/>
        <v>1596900</v>
      </c>
      <c r="Z26" s="64">
        <f t="shared" si="28"/>
        <v>2006500</v>
      </c>
      <c r="AA26" s="64">
        <f t="shared" ref="AA26:AB26" si="29">AA14-AA24</f>
        <v>2096500</v>
      </c>
      <c r="AB26" s="74">
        <f t="shared" si="29"/>
        <v>2726700</v>
      </c>
      <c r="AC26" s="400">
        <f t="shared" ref="AC26" si="30">AC14-AC24</f>
        <v>3285600</v>
      </c>
      <c r="AD26" s="128">
        <f t="shared" si="28"/>
        <v>-422500</v>
      </c>
      <c r="AE26" s="128">
        <f t="shared" si="28"/>
        <v>75500</v>
      </c>
      <c r="AF26" s="64">
        <f t="shared" si="28"/>
        <v>349200</v>
      </c>
      <c r="AG26" s="79">
        <f t="shared" si="28"/>
        <v>644000</v>
      </c>
      <c r="AH26" s="79">
        <f t="shared" si="28"/>
        <v>963900</v>
      </c>
      <c r="AI26" s="79">
        <f t="shared" si="28"/>
        <v>929000</v>
      </c>
      <c r="AJ26" s="79">
        <f t="shared" si="28"/>
        <v>955800</v>
      </c>
      <c r="AK26" s="79">
        <f t="shared" si="28"/>
        <v>1132200</v>
      </c>
      <c r="AL26" s="79">
        <f t="shared" si="28"/>
        <v>1357900</v>
      </c>
      <c r="AM26" s="79">
        <f t="shared" si="28"/>
        <v>1431200</v>
      </c>
      <c r="AN26" s="64">
        <f t="shared" si="28"/>
        <v>1665000</v>
      </c>
      <c r="AO26" s="64">
        <f t="shared" ref="AO26:AP26" si="31">AO14-AO24</f>
        <v>1888900</v>
      </c>
      <c r="AP26" s="64">
        <f t="shared" si="31"/>
        <v>2135900</v>
      </c>
      <c r="AQ26" s="117">
        <f t="shared" ref="AQ26" si="32">AQ14-AQ24</f>
        <v>2480600</v>
      </c>
      <c r="AR26" s="128">
        <f t="shared" si="28"/>
        <v>-2581600</v>
      </c>
      <c r="AS26" s="128">
        <f t="shared" si="28"/>
        <v>-13391300</v>
      </c>
      <c r="AT26" s="128">
        <f t="shared" si="28"/>
        <v>-948800</v>
      </c>
      <c r="AU26" s="128">
        <f t="shared" si="28"/>
        <v>518200</v>
      </c>
      <c r="AV26" s="128">
        <f t="shared" si="28"/>
        <v>338000</v>
      </c>
      <c r="AW26" s="128">
        <f t="shared" si="28"/>
        <v>892600</v>
      </c>
      <c r="AX26" s="128">
        <f t="shared" si="28"/>
        <v>1286900</v>
      </c>
      <c r="AY26" s="128">
        <f t="shared" si="28"/>
        <v>1904300</v>
      </c>
      <c r="AZ26" s="128">
        <f t="shared" si="28"/>
        <v>2368300</v>
      </c>
      <c r="BA26" s="128">
        <f t="shared" si="28"/>
        <v>2830700</v>
      </c>
      <c r="BB26" s="64">
        <f t="shared" si="28"/>
        <v>3374900</v>
      </c>
      <c r="BC26" s="64">
        <f t="shared" ref="BC26" si="33">BC14-BC24</f>
        <v>3962300</v>
      </c>
      <c r="BD26" s="64">
        <f t="shared" ref="BD26" si="34">BD14-BD24</f>
        <v>4701200</v>
      </c>
      <c r="BE26" s="115">
        <f t="shared" ref="BE26" si="35">BE14-BE24</f>
        <v>5400200</v>
      </c>
    </row>
    <row r="27" spans="1:57" s="6" customFormat="1" x14ac:dyDescent="0.2">
      <c r="A27" s="754"/>
      <c r="B27" s="185"/>
      <c r="C27" s="74"/>
      <c r="D27" s="79"/>
      <c r="E27" s="79"/>
      <c r="F27" s="79"/>
      <c r="G27" s="79"/>
      <c r="H27" s="79"/>
      <c r="I27" s="79"/>
      <c r="J27" s="79"/>
      <c r="K27" s="79"/>
      <c r="L27" s="64"/>
      <c r="M27" s="64"/>
      <c r="N27" s="64"/>
      <c r="O27" s="117"/>
      <c r="P27" s="128"/>
      <c r="Q27" s="128"/>
      <c r="R27" s="64"/>
      <c r="S27" s="64"/>
      <c r="T27" s="128"/>
      <c r="U27" s="128"/>
      <c r="V27" s="64"/>
      <c r="W27" s="64"/>
      <c r="X27" s="64"/>
      <c r="Y27" s="64"/>
      <c r="Z27" s="64"/>
      <c r="AA27" s="64"/>
      <c r="AB27" s="74"/>
      <c r="AC27" s="400"/>
      <c r="AD27" s="128"/>
      <c r="AE27" s="128"/>
      <c r="AF27" s="64"/>
      <c r="AG27" s="79"/>
      <c r="AH27" s="79"/>
      <c r="AI27" s="79"/>
      <c r="AJ27" s="79"/>
      <c r="AK27" s="79"/>
      <c r="AL27" s="79"/>
      <c r="AM27" s="79"/>
      <c r="AN27" s="64"/>
      <c r="AO27" s="64"/>
      <c r="AP27" s="64"/>
      <c r="AQ27" s="117"/>
      <c r="AR27" s="128"/>
      <c r="AS27" s="128"/>
      <c r="AT27" s="128"/>
      <c r="AU27" s="128"/>
      <c r="AV27" s="64"/>
      <c r="AW27" s="64"/>
      <c r="AX27" s="64"/>
      <c r="AY27" s="64"/>
      <c r="AZ27" s="64"/>
      <c r="BA27" s="64"/>
      <c r="BB27" s="64"/>
      <c r="BC27" s="64"/>
      <c r="BD27" s="64"/>
      <c r="BE27" s="115"/>
    </row>
    <row r="28" spans="1:57" s="6" customFormat="1" x14ac:dyDescent="0.2">
      <c r="A28" s="756" t="s">
        <v>4477</v>
      </c>
      <c r="B28" s="185"/>
      <c r="C28" s="74"/>
      <c r="D28" s="79"/>
      <c r="E28" s="79"/>
      <c r="F28" s="79"/>
      <c r="G28" s="79"/>
      <c r="H28" s="79"/>
      <c r="I28" s="79"/>
      <c r="J28" s="79"/>
      <c r="K28" s="79"/>
      <c r="L28" s="64"/>
      <c r="M28" s="64"/>
      <c r="N28" s="64"/>
      <c r="O28" s="117"/>
      <c r="P28" s="128"/>
      <c r="Q28" s="128"/>
      <c r="R28" s="64"/>
      <c r="S28" s="64"/>
      <c r="T28" s="128"/>
      <c r="U28" s="128"/>
      <c r="V28" s="64"/>
      <c r="W28" s="64"/>
      <c r="X28" s="64"/>
      <c r="Y28" s="64"/>
      <c r="Z28" s="64"/>
      <c r="AA28" s="64"/>
      <c r="AB28" s="74"/>
      <c r="AC28" s="400"/>
      <c r="AD28" s="128"/>
      <c r="AE28" s="128"/>
      <c r="AF28" s="64"/>
      <c r="AG28" s="79"/>
      <c r="AH28" s="79"/>
      <c r="AI28" s="79"/>
      <c r="AJ28" s="79"/>
      <c r="AK28" s="79"/>
      <c r="AL28" s="79"/>
      <c r="AM28" s="79"/>
      <c r="AN28" s="64"/>
      <c r="AO28" s="64"/>
      <c r="AP28" s="64"/>
      <c r="AQ28" s="117"/>
      <c r="AR28" s="128"/>
      <c r="AS28" s="128"/>
      <c r="AT28" s="128"/>
      <c r="AU28" s="128"/>
      <c r="AV28" s="128"/>
      <c r="AW28" s="128"/>
      <c r="AX28" s="128"/>
      <c r="AY28" s="128"/>
      <c r="AZ28" s="128"/>
      <c r="BA28" s="128"/>
      <c r="BB28" s="64"/>
      <c r="BC28" s="64"/>
      <c r="BD28" s="64"/>
      <c r="BE28" s="115"/>
    </row>
    <row r="29" spans="1:57" s="890" customFormat="1" x14ac:dyDescent="0.2">
      <c r="A29" s="818" t="s">
        <v>1976</v>
      </c>
      <c r="B29" s="914">
        <f t="shared" ref="B29:O34" si="36">P29+AD29+AR29</f>
        <v>20368300</v>
      </c>
      <c r="C29" s="78">
        <f t="shared" si="36"/>
        <v>17937300</v>
      </c>
      <c r="D29" s="77">
        <f t="shared" si="36"/>
        <v>19197600</v>
      </c>
      <c r="E29" s="77">
        <f t="shared" si="36"/>
        <v>17162400</v>
      </c>
      <c r="F29" s="77">
        <f t="shared" si="36"/>
        <v>18538900</v>
      </c>
      <c r="G29" s="77">
        <f t="shared" si="36"/>
        <v>18962900</v>
      </c>
      <c r="H29" s="77">
        <f t="shared" si="36"/>
        <v>19434900</v>
      </c>
      <c r="I29" s="77">
        <f t="shared" si="36"/>
        <v>19825300</v>
      </c>
      <c r="J29" s="77">
        <f t="shared" si="36"/>
        <v>20223000</v>
      </c>
      <c r="K29" s="77">
        <f t="shared" si="36"/>
        <v>20629200</v>
      </c>
      <c r="L29" s="132">
        <f t="shared" si="36"/>
        <v>21042700</v>
      </c>
      <c r="M29" s="132">
        <f t="shared" si="36"/>
        <v>21464900</v>
      </c>
      <c r="N29" s="132">
        <f t="shared" si="36"/>
        <v>21896000</v>
      </c>
      <c r="O29" s="830">
        <f t="shared" si="36"/>
        <v>22334800</v>
      </c>
      <c r="P29" s="130">
        <f t="shared" ref="P29:BB29" si="37">P20</f>
        <v>15865700</v>
      </c>
      <c r="Q29" s="130">
        <f t="shared" si="37"/>
        <v>14144300</v>
      </c>
      <c r="R29" s="132">
        <f>R20</f>
        <v>14166800</v>
      </c>
      <c r="S29" s="132">
        <f t="shared" si="37"/>
        <v>13056400</v>
      </c>
      <c r="T29" s="130">
        <f t="shared" si="37"/>
        <v>13383900</v>
      </c>
      <c r="U29" s="130">
        <f t="shared" si="37"/>
        <v>13704300</v>
      </c>
      <c r="V29" s="132">
        <f t="shared" si="37"/>
        <v>14071100</v>
      </c>
      <c r="W29" s="132">
        <f t="shared" si="37"/>
        <v>14353700</v>
      </c>
      <c r="X29" s="132">
        <f t="shared" si="37"/>
        <v>14642100</v>
      </c>
      <c r="Y29" s="132">
        <f t="shared" si="37"/>
        <v>14936400</v>
      </c>
      <c r="Z29" s="132">
        <f t="shared" si="37"/>
        <v>15236400</v>
      </c>
      <c r="AA29" s="132">
        <f t="shared" ref="AA29:AB29" si="38">AA20</f>
        <v>15542500</v>
      </c>
      <c r="AB29" s="78">
        <f t="shared" si="38"/>
        <v>15854800</v>
      </c>
      <c r="AC29" s="825">
        <f t="shared" ref="AC29" si="39">AC20</f>
        <v>16173200</v>
      </c>
      <c r="AD29" s="130">
        <f t="shared" si="37"/>
        <v>1859500</v>
      </c>
      <c r="AE29" s="130">
        <f t="shared" si="37"/>
        <v>1478700</v>
      </c>
      <c r="AF29" s="132">
        <f t="shared" si="37"/>
        <v>1498900</v>
      </c>
      <c r="AG29" s="77">
        <f t="shared" si="37"/>
        <v>1428000</v>
      </c>
      <c r="AH29" s="77">
        <f t="shared" si="37"/>
        <v>1380000</v>
      </c>
      <c r="AI29" s="77">
        <f t="shared" si="37"/>
        <v>1407600</v>
      </c>
      <c r="AJ29" s="77">
        <f t="shared" si="37"/>
        <v>1435800</v>
      </c>
      <c r="AK29" s="77">
        <f t="shared" si="37"/>
        <v>1464600</v>
      </c>
      <c r="AL29" s="77">
        <f t="shared" si="37"/>
        <v>1493900</v>
      </c>
      <c r="AM29" s="77">
        <f t="shared" si="37"/>
        <v>1523800</v>
      </c>
      <c r="AN29" s="132">
        <f t="shared" si="37"/>
        <v>1554300</v>
      </c>
      <c r="AO29" s="132">
        <f t="shared" ref="AO29:AP29" si="40">AO20</f>
        <v>1585400</v>
      </c>
      <c r="AP29" s="132">
        <f t="shared" si="40"/>
        <v>1617200</v>
      </c>
      <c r="AQ29" s="830">
        <f t="shared" ref="AQ29" si="41">AQ20</f>
        <v>1649600</v>
      </c>
      <c r="AR29" s="130">
        <f t="shared" si="37"/>
        <v>2643100</v>
      </c>
      <c r="AS29" s="130">
        <f t="shared" si="37"/>
        <v>2314300</v>
      </c>
      <c r="AT29" s="130">
        <f t="shared" si="37"/>
        <v>3531900</v>
      </c>
      <c r="AU29" s="130">
        <f t="shared" si="37"/>
        <v>2678000</v>
      </c>
      <c r="AV29" s="130">
        <f t="shared" si="37"/>
        <v>3775000</v>
      </c>
      <c r="AW29" s="130">
        <f t="shared" si="37"/>
        <v>3851000</v>
      </c>
      <c r="AX29" s="130">
        <f t="shared" si="37"/>
        <v>3928000</v>
      </c>
      <c r="AY29" s="130">
        <f t="shared" si="37"/>
        <v>4007000</v>
      </c>
      <c r="AZ29" s="130">
        <f t="shared" si="37"/>
        <v>4087000</v>
      </c>
      <c r="BA29" s="130">
        <f t="shared" si="37"/>
        <v>4169000</v>
      </c>
      <c r="BB29" s="132">
        <f t="shared" si="37"/>
        <v>4252000</v>
      </c>
      <c r="BC29" s="132">
        <f t="shared" ref="BC29" si="42">BC20</f>
        <v>4337000</v>
      </c>
      <c r="BD29" s="132">
        <f t="shared" ref="BD29" si="43">BD20</f>
        <v>4424000</v>
      </c>
      <c r="BE29" s="131">
        <f t="shared" ref="BE29" si="44">BE20</f>
        <v>4512000</v>
      </c>
    </row>
    <row r="30" spans="1:57" s="890" customFormat="1" x14ac:dyDescent="0.2">
      <c r="A30" s="818" t="s">
        <v>5414</v>
      </c>
      <c r="B30" s="914">
        <f t="shared" si="36"/>
        <v>289900</v>
      </c>
      <c r="C30" s="78">
        <f t="shared" si="36"/>
        <v>725700</v>
      </c>
      <c r="D30" s="77">
        <f t="shared" si="36"/>
        <v>-319800</v>
      </c>
      <c r="E30" s="77">
        <f t="shared" si="36"/>
        <v>0</v>
      </c>
      <c r="F30" s="77">
        <f t="shared" si="36"/>
        <v>0</v>
      </c>
      <c r="G30" s="77">
        <f t="shared" si="36"/>
        <v>0</v>
      </c>
      <c r="H30" s="77">
        <f t="shared" si="36"/>
        <v>0</v>
      </c>
      <c r="I30" s="77">
        <f t="shared" si="36"/>
        <v>0</v>
      </c>
      <c r="J30" s="77">
        <f t="shared" si="36"/>
        <v>0</v>
      </c>
      <c r="K30" s="77">
        <f t="shared" si="36"/>
        <v>0</v>
      </c>
      <c r="L30" s="132">
        <f t="shared" si="36"/>
        <v>0</v>
      </c>
      <c r="M30" s="132">
        <f t="shared" si="36"/>
        <v>0</v>
      </c>
      <c r="N30" s="132">
        <f t="shared" si="36"/>
        <v>0</v>
      </c>
      <c r="O30" s="830">
        <f t="shared" si="36"/>
        <v>0</v>
      </c>
      <c r="P30" s="130">
        <f>'Cash-Gen'!A49</f>
        <v>289900</v>
      </c>
      <c r="Q30" s="130">
        <f>'Cash-Gen'!B49</f>
        <v>725700</v>
      </c>
      <c r="R30" s="130">
        <f>'Cash-Gen'!C49</f>
        <v>-319800</v>
      </c>
      <c r="S30" s="130">
        <f>'Cash-Gen'!E49</f>
        <v>0</v>
      </c>
      <c r="T30" s="130">
        <f>'Cash-Gen'!F49</f>
        <v>0</v>
      </c>
      <c r="U30" s="130">
        <f>'Cash-Gen'!G49</f>
        <v>0</v>
      </c>
      <c r="V30" s="130">
        <f>'Cash-Gen'!H49</f>
        <v>0</v>
      </c>
      <c r="W30" s="130">
        <f>'Cash-Gen'!I49</f>
        <v>0</v>
      </c>
      <c r="X30" s="130">
        <f>'Cash-Gen'!J49</f>
        <v>0</v>
      </c>
      <c r="Y30" s="130">
        <f>'Cash-Gen'!K49</f>
        <v>0</v>
      </c>
      <c r="Z30" s="132">
        <f>'Cash-Gen'!L49</f>
        <v>0</v>
      </c>
      <c r="AA30" s="132">
        <f>'Cash-Gen'!M49</f>
        <v>0</v>
      </c>
      <c r="AB30" s="78">
        <f>'Cash-Gen'!N49</f>
        <v>0</v>
      </c>
      <c r="AC30" s="825">
        <f>'Cash-Gen'!O49</f>
        <v>0</v>
      </c>
      <c r="AD30" s="130">
        <v>0</v>
      </c>
      <c r="AE30" s="130">
        <v>0</v>
      </c>
      <c r="AF30" s="132">
        <v>0</v>
      </c>
      <c r="AG30" s="77">
        <v>0</v>
      </c>
      <c r="AH30" s="77">
        <v>0</v>
      </c>
      <c r="AI30" s="77">
        <v>0</v>
      </c>
      <c r="AJ30" s="77">
        <v>0</v>
      </c>
      <c r="AK30" s="77">
        <v>0</v>
      </c>
      <c r="AL30" s="77">
        <v>0</v>
      </c>
      <c r="AM30" s="77">
        <v>0</v>
      </c>
      <c r="AN30" s="132">
        <v>0</v>
      </c>
      <c r="AO30" s="132">
        <v>0</v>
      </c>
      <c r="AP30" s="132">
        <v>0</v>
      </c>
      <c r="AQ30" s="830">
        <v>0</v>
      </c>
      <c r="AR30" s="130">
        <v>0</v>
      </c>
      <c r="AS30" s="130">
        <v>0</v>
      </c>
      <c r="AT30" s="130">
        <v>0</v>
      </c>
      <c r="AU30" s="130">
        <v>0</v>
      </c>
      <c r="AV30" s="130">
        <v>0</v>
      </c>
      <c r="AW30" s="130">
        <v>0</v>
      </c>
      <c r="AX30" s="130">
        <v>0</v>
      </c>
      <c r="AY30" s="130">
        <v>0</v>
      </c>
      <c r="AZ30" s="130">
        <v>0</v>
      </c>
      <c r="BA30" s="130">
        <v>0</v>
      </c>
      <c r="BB30" s="132">
        <v>0</v>
      </c>
      <c r="BC30" s="132">
        <v>0</v>
      </c>
      <c r="BD30" s="132">
        <v>0</v>
      </c>
      <c r="BE30" s="131">
        <v>0</v>
      </c>
    </row>
    <row r="31" spans="1:57" s="890" customFormat="1" x14ac:dyDescent="0.2">
      <c r="A31" s="818" t="s">
        <v>5478</v>
      </c>
      <c r="B31" s="914">
        <f t="shared" si="36"/>
        <v>333000</v>
      </c>
      <c r="C31" s="78">
        <f t="shared" si="36"/>
        <v>-30000</v>
      </c>
      <c r="D31" s="77">
        <f t="shared" si="36"/>
        <v>-163000</v>
      </c>
      <c r="E31" s="77">
        <f t="shared" si="36"/>
        <v>0</v>
      </c>
      <c r="F31" s="77">
        <f t="shared" si="36"/>
        <v>0</v>
      </c>
      <c r="G31" s="77">
        <f t="shared" si="36"/>
        <v>0</v>
      </c>
      <c r="H31" s="77">
        <f t="shared" si="36"/>
        <v>0</v>
      </c>
      <c r="I31" s="77">
        <f t="shared" si="36"/>
        <v>0</v>
      </c>
      <c r="J31" s="77">
        <f t="shared" si="36"/>
        <v>0</v>
      </c>
      <c r="K31" s="77">
        <f t="shared" si="36"/>
        <v>0</v>
      </c>
      <c r="L31" s="132">
        <f t="shared" si="36"/>
        <v>0</v>
      </c>
      <c r="M31" s="132">
        <f t="shared" si="36"/>
        <v>0</v>
      </c>
      <c r="N31" s="132">
        <f t="shared" si="36"/>
        <v>0</v>
      </c>
      <c r="O31" s="830">
        <f t="shared" si="36"/>
        <v>0</v>
      </c>
      <c r="P31" s="130">
        <f>'Cash-Gen'!A66</f>
        <v>333000</v>
      </c>
      <c r="Q31" s="130">
        <f>'Cash-Gen'!B66</f>
        <v>-30000</v>
      </c>
      <c r="R31" s="130">
        <f>'Cash-Gen'!C66</f>
        <v>-163000</v>
      </c>
      <c r="S31" s="130">
        <f>'Cash-Gen'!E66</f>
        <v>0</v>
      </c>
      <c r="T31" s="130">
        <f>'Cash-Gen'!F66</f>
        <v>0</v>
      </c>
      <c r="U31" s="130">
        <f>'Cash-Gen'!G66</f>
        <v>0</v>
      </c>
      <c r="V31" s="130">
        <f>'Cash-Gen'!H66</f>
        <v>0</v>
      </c>
      <c r="W31" s="130">
        <f>'Cash-Gen'!I66</f>
        <v>0</v>
      </c>
      <c r="X31" s="130">
        <f>'Cash-Gen'!J66</f>
        <v>0</v>
      </c>
      <c r="Y31" s="130">
        <f>'Cash-Gen'!K66</f>
        <v>0</v>
      </c>
      <c r="Z31" s="130">
        <f>'Cash-Gen'!L66</f>
        <v>0</v>
      </c>
      <c r="AA31" s="132">
        <f>'Cash-Gen'!M66</f>
        <v>0</v>
      </c>
      <c r="AB31" s="78">
        <f>'Cash-Gen'!N66</f>
        <v>0</v>
      </c>
      <c r="AC31" s="825">
        <f>'Cash-Gen'!O66</f>
        <v>0</v>
      </c>
      <c r="AD31" s="130">
        <v>0</v>
      </c>
      <c r="AE31" s="130">
        <v>0</v>
      </c>
      <c r="AF31" s="132">
        <v>0</v>
      </c>
      <c r="AG31" s="77">
        <v>0</v>
      </c>
      <c r="AH31" s="77">
        <v>0</v>
      </c>
      <c r="AI31" s="77">
        <v>0</v>
      </c>
      <c r="AJ31" s="77">
        <v>0</v>
      </c>
      <c r="AK31" s="77">
        <v>0</v>
      </c>
      <c r="AL31" s="77">
        <v>0</v>
      </c>
      <c r="AM31" s="77">
        <v>0</v>
      </c>
      <c r="AN31" s="132">
        <v>0</v>
      </c>
      <c r="AO31" s="132">
        <v>0</v>
      </c>
      <c r="AP31" s="132">
        <v>0</v>
      </c>
      <c r="AQ31" s="830">
        <v>0</v>
      </c>
      <c r="AR31" s="130">
        <v>0</v>
      </c>
      <c r="AS31" s="130">
        <v>0</v>
      </c>
      <c r="AT31" s="130">
        <v>0</v>
      </c>
      <c r="AU31" s="130">
        <v>0</v>
      </c>
      <c r="AV31" s="130">
        <v>0</v>
      </c>
      <c r="AW31" s="130">
        <v>0</v>
      </c>
      <c r="AX31" s="130">
        <v>0</v>
      </c>
      <c r="AY31" s="130">
        <v>0</v>
      </c>
      <c r="AZ31" s="130">
        <v>0</v>
      </c>
      <c r="BA31" s="130">
        <v>0</v>
      </c>
      <c r="BB31" s="132">
        <v>0</v>
      </c>
      <c r="BC31" s="132">
        <v>0</v>
      </c>
      <c r="BD31" s="132">
        <v>0</v>
      </c>
      <c r="BE31" s="131">
        <v>0</v>
      </c>
    </row>
    <row r="32" spans="1:57" s="890" customFormat="1" x14ac:dyDescent="0.2">
      <c r="A32" s="818" t="s">
        <v>5440</v>
      </c>
      <c r="B32" s="914">
        <f t="shared" si="36"/>
        <v>0</v>
      </c>
      <c r="C32" s="78">
        <f t="shared" si="36"/>
        <v>-460100</v>
      </c>
      <c r="D32" s="77">
        <f t="shared" si="36"/>
        <v>0</v>
      </c>
      <c r="E32" s="77">
        <f t="shared" si="36"/>
        <v>0</v>
      </c>
      <c r="F32" s="77">
        <f t="shared" si="36"/>
        <v>0</v>
      </c>
      <c r="G32" s="77">
        <f t="shared" si="36"/>
        <v>0</v>
      </c>
      <c r="H32" s="77">
        <f t="shared" si="36"/>
        <v>0</v>
      </c>
      <c r="I32" s="77">
        <f t="shared" si="36"/>
        <v>0</v>
      </c>
      <c r="J32" s="77">
        <f t="shared" si="36"/>
        <v>0</v>
      </c>
      <c r="K32" s="77">
        <f t="shared" si="36"/>
        <v>0</v>
      </c>
      <c r="L32" s="132">
        <f t="shared" si="36"/>
        <v>0</v>
      </c>
      <c r="M32" s="132">
        <f t="shared" si="36"/>
        <v>0</v>
      </c>
      <c r="N32" s="132">
        <f t="shared" si="36"/>
        <v>0</v>
      </c>
      <c r="O32" s="830">
        <f t="shared" si="36"/>
        <v>0</v>
      </c>
      <c r="P32" s="130">
        <f>'Cash-Gen'!A67</f>
        <v>0</v>
      </c>
      <c r="Q32" s="130">
        <f>'Cash-Gen'!B67</f>
        <v>-460100</v>
      </c>
      <c r="R32" s="130">
        <f>'Cash-Gen'!C67</f>
        <v>0</v>
      </c>
      <c r="S32" s="130">
        <f>'Cash-Gen'!E67</f>
        <v>0</v>
      </c>
      <c r="T32" s="130">
        <f>'Cash-Gen'!F67</f>
        <v>0</v>
      </c>
      <c r="U32" s="130">
        <f>'Cash-Gen'!G67</f>
        <v>0</v>
      </c>
      <c r="V32" s="130">
        <f>'Cash-Gen'!H67</f>
        <v>0</v>
      </c>
      <c r="W32" s="130">
        <f>'Cash-Gen'!I67</f>
        <v>0</v>
      </c>
      <c r="X32" s="130">
        <f>'Cash-Gen'!J67</f>
        <v>0</v>
      </c>
      <c r="Y32" s="130">
        <f>'Cash-Gen'!K67</f>
        <v>0</v>
      </c>
      <c r="Z32" s="130">
        <f>'Cash-Gen'!L67</f>
        <v>0</v>
      </c>
      <c r="AA32" s="132">
        <f>'Cash-Gen'!M67</f>
        <v>0</v>
      </c>
      <c r="AB32" s="78">
        <f>'Cash-Gen'!N67</f>
        <v>0</v>
      </c>
      <c r="AC32" s="825">
        <f>'Cash-Gen'!O67</f>
        <v>0</v>
      </c>
      <c r="AD32" s="130">
        <v>0</v>
      </c>
      <c r="AE32" s="130">
        <v>0</v>
      </c>
      <c r="AF32" s="132">
        <v>0</v>
      </c>
      <c r="AG32" s="77">
        <v>0</v>
      </c>
      <c r="AH32" s="77">
        <v>0</v>
      </c>
      <c r="AI32" s="77">
        <v>0</v>
      </c>
      <c r="AJ32" s="77">
        <v>0</v>
      </c>
      <c r="AK32" s="77">
        <v>0</v>
      </c>
      <c r="AL32" s="77">
        <v>0</v>
      </c>
      <c r="AM32" s="77">
        <v>0</v>
      </c>
      <c r="AN32" s="132">
        <v>0</v>
      </c>
      <c r="AO32" s="132">
        <v>0</v>
      </c>
      <c r="AP32" s="132">
        <v>0</v>
      </c>
      <c r="AQ32" s="830">
        <v>0</v>
      </c>
      <c r="AR32" s="130">
        <v>0</v>
      </c>
      <c r="AS32" s="130">
        <v>0</v>
      </c>
      <c r="AT32" s="130">
        <v>0</v>
      </c>
      <c r="AU32" s="130">
        <v>0</v>
      </c>
      <c r="AV32" s="130">
        <v>0</v>
      </c>
      <c r="AW32" s="130">
        <v>0</v>
      </c>
      <c r="AX32" s="130">
        <v>0</v>
      </c>
      <c r="AY32" s="130">
        <v>0</v>
      </c>
      <c r="AZ32" s="130">
        <v>0</v>
      </c>
      <c r="BA32" s="130">
        <v>0</v>
      </c>
      <c r="BB32" s="132">
        <v>0</v>
      </c>
      <c r="BC32" s="132">
        <v>0</v>
      </c>
      <c r="BD32" s="132">
        <v>0</v>
      </c>
      <c r="BE32" s="131">
        <v>0</v>
      </c>
    </row>
    <row r="33" spans="1:57" s="890" customFormat="1" x14ac:dyDescent="0.2">
      <c r="A33" s="818" t="s">
        <v>4476</v>
      </c>
      <c r="B33" s="1600">
        <f t="shared" si="36"/>
        <v>563300</v>
      </c>
      <c r="C33" s="915">
        <f t="shared" si="36"/>
        <v>580500</v>
      </c>
      <c r="D33" s="908">
        <f t="shared" si="36"/>
        <v>491900</v>
      </c>
      <c r="E33" s="908">
        <f t="shared" si="36"/>
        <v>454900</v>
      </c>
      <c r="F33" s="908">
        <f t="shared" si="36"/>
        <v>313100</v>
      </c>
      <c r="G33" s="908">
        <f t="shared" si="36"/>
        <v>204200</v>
      </c>
      <c r="H33" s="908">
        <f t="shared" si="36"/>
        <v>117000</v>
      </c>
      <c r="I33" s="908">
        <f t="shared" si="36"/>
        <v>20600</v>
      </c>
      <c r="J33" s="908">
        <f t="shared" si="36"/>
        <v>21400</v>
      </c>
      <c r="K33" s="908">
        <f t="shared" si="36"/>
        <v>22100</v>
      </c>
      <c r="L33" s="132">
        <f t="shared" si="36"/>
        <v>22900</v>
      </c>
      <c r="M33" s="132">
        <f t="shared" si="36"/>
        <v>23800</v>
      </c>
      <c r="N33" s="132">
        <f t="shared" si="36"/>
        <v>24700</v>
      </c>
      <c r="O33" s="830">
        <f t="shared" si="36"/>
        <v>25600</v>
      </c>
      <c r="P33" s="130">
        <f>'Cash-Gen'!A50</f>
        <v>169300</v>
      </c>
      <c r="Q33" s="130">
        <f>'Cash-Gen'!B50</f>
        <v>231300</v>
      </c>
      <c r="R33" s="130">
        <f>'Cash-Gen'!C50</f>
        <v>190800</v>
      </c>
      <c r="S33" s="130">
        <f>'Cash-Gen'!E50</f>
        <v>205900</v>
      </c>
      <c r="T33" s="130">
        <f>'Cash-Gen'!F50</f>
        <v>119100</v>
      </c>
      <c r="U33" s="130">
        <f>'Cash-Gen'!G50</f>
        <v>70200</v>
      </c>
      <c r="V33" s="130">
        <f>'Cash-Gen'!H50</f>
        <v>48000</v>
      </c>
      <c r="W33" s="130">
        <f>'Cash-Gen'!I50</f>
        <v>20600</v>
      </c>
      <c r="X33" s="130">
        <f>'Cash-Gen'!J50</f>
        <v>21400</v>
      </c>
      <c r="Y33" s="130">
        <f>'Cash-Gen'!K50</f>
        <v>22100</v>
      </c>
      <c r="Z33" s="132">
        <f>'Cash-Gen'!L50</f>
        <v>22900</v>
      </c>
      <c r="AA33" s="132">
        <f>'Cash-Gen'!M50</f>
        <v>23800</v>
      </c>
      <c r="AB33" s="78">
        <f>'Cash-Gen'!N50</f>
        <v>24700</v>
      </c>
      <c r="AC33" s="825">
        <f>'Cash-Gen'!O50</f>
        <v>25600</v>
      </c>
      <c r="AD33" s="130">
        <v>0</v>
      </c>
      <c r="AE33" s="130">
        <v>0</v>
      </c>
      <c r="AF33" s="132">
        <v>0</v>
      </c>
      <c r="AG33" s="77">
        <v>0</v>
      </c>
      <c r="AH33" s="77">
        <v>0</v>
      </c>
      <c r="AI33" s="77">
        <v>0</v>
      </c>
      <c r="AJ33" s="77">
        <v>0</v>
      </c>
      <c r="AK33" s="77">
        <v>0</v>
      </c>
      <c r="AL33" s="77">
        <v>0</v>
      </c>
      <c r="AM33" s="77">
        <v>0</v>
      </c>
      <c r="AN33" s="132">
        <v>0</v>
      </c>
      <c r="AO33" s="132">
        <v>0</v>
      </c>
      <c r="AP33" s="132">
        <v>0</v>
      </c>
      <c r="AQ33" s="830">
        <v>0</v>
      </c>
      <c r="AR33" s="130">
        <f>'W&amp;W'!B542</f>
        <v>394000</v>
      </c>
      <c r="AS33" s="130">
        <f>'W&amp;W'!C542</f>
        <v>349200</v>
      </c>
      <c r="AT33" s="130">
        <f>'W&amp;W'!D542</f>
        <v>301100</v>
      </c>
      <c r="AU33" s="130">
        <f>'W&amp;W'!G542</f>
        <v>249000</v>
      </c>
      <c r="AV33" s="130">
        <f>'W&amp;W'!I542</f>
        <v>194000</v>
      </c>
      <c r="AW33" s="130">
        <f>'W&amp;W'!J542</f>
        <v>134000</v>
      </c>
      <c r="AX33" s="130">
        <f>'W&amp;W'!K542</f>
        <v>69000</v>
      </c>
      <c r="AY33" s="130">
        <f>'W&amp;W'!L542</f>
        <v>0</v>
      </c>
      <c r="AZ33" s="130">
        <f>'W&amp;W'!M542</f>
        <v>0</v>
      </c>
      <c r="BA33" s="130">
        <f>'W&amp;W'!N542</f>
        <v>0</v>
      </c>
      <c r="BB33" s="132">
        <f>'W&amp;W'!O542</f>
        <v>0</v>
      </c>
      <c r="BC33" s="132">
        <f>'W&amp;W'!P542</f>
        <v>0</v>
      </c>
      <c r="BD33" s="132">
        <f>'W&amp;W'!Q542</f>
        <v>0</v>
      </c>
      <c r="BE33" s="131">
        <f>'W&amp;W'!R542</f>
        <v>0</v>
      </c>
    </row>
    <row r="34" spans="1:57" s="890" customFormat="1" x14ac:dyDescent="0.2">
      <c r="A34" s="818" t="s">
        <v>4550</v>
      </c>
      <c r="B34" s="1600">
        <f t="shared" si="36"/>
        <v>3987700</v>
      </c>
      <c r="C34" s="915">
        <f t="shared" si="36"/>
        <v>15564500</v>
      </c>
      <c r="D34" s="908">
        <f t="shared" si="36"/>
        <v>10800</v>
      </c>
      <c r="E34" s="908">
        <f t="shared" si="36"/>
        <v>0</v>
      </c>
      <c r="F34" s="908">
        <f t="shared" si="36"/>
        <v>0</v>
      </c>
      <c r="G34" s="908">
        <f t="shared" si="36"/>
        <v>0</v>
      </c>
      <c r="H34" s="908">
        <f t="shared" si="36"/>
        <v>0</v>
      </c>
      <c r="I34" s="908">
        <f t="shared" si="36"/>
        <v>0</v>
      </c>
      <c r="J34" s="908">
        <f t="shared" si="36"/>
        <v>0</v>
      </c>
      <c r="K34" s="908">
        <f t="shared" si="36"/>
        <v>0</v>
      </c>
      <c r="L34" s="132">
        <f t="shared" si="36"/>
        <v>0</v>
      </c>
      <c r="M34" s="132">
        <f t="shared" si="36"/>
        <v>0</v>
      </c>
      <c r="N34" s="132">
        <f t="shared" si="36"/>
        <v>0</v>
      </c>
      <c r="O34" s="830">
        <f t="shared" si="36"/>
        <v>0</v>
      </c>
      <c r="P34" s="130">
        <f>'Cash-Gen'!A51</f>
        <v>3967400</v>
      </c>
      <c r="Q34" s="130">
        <f>'Cash-Gen'!B51</f>
        <v>3347700</v>
      </c>
      <c r="R34" s="130">
        <f>'Cash-Gen'!C51</f>
        <v>0</v>
      </c>
      <c r="S34" s="130">
        <f>'Cash-Gen'!E51</f>
        <v>0</v>
      </c>
      <c r="T34" s="130">
        <f>'Cash-Gen'!F51</f>
        <v>0</v>
      </c>
      <c r="U34" s="130">
        <f>'Cash-Gen'!G51</f>
        <v>0</v>
      </c>
      <c r="V34" s="130">
        <f>'Cash-Gen'!H51</f>
        <v>0</v>
      </c>
      <c r="W34" s="130">
        <f>'Cash-Gen'!I51</f>
        <v>0</v>
      </c>
      <c r="X34" s="130">
        <f>'Cash-Gen'!J51</f>
        <v>0</v>
      </c>
      <c r="Y34" s="130">
        <f>'Cash-Gen'!K51</f>
        <v>0</v>
      </c>
      <c r="Z34" s="132">
        <f>'Cash-Gen'!L51</f>
        <v>0</v>
      </c>
      <c r="AA34" s="132">
        <f>'Cash-Gen'!M51</f>
        <v>0</v>
      </c>
      <c r="AB34" s="78">
        <f>'Cash-Gen'!N51</f>
        <v>0</v>
      </c>
      <c r="AC34" s="825">
        <f>'Cash-Gen'!O51</f>
        <v>0</v>
      </c>
      <c r="AD34" s="130">
        <v>0</v>
      </c>
      <c r="AE34" s="130">
        <v>0</v>
      </c>
      <c r="AF34" s="132">
        <v>0</v>
      </c>
      <c r="AG34" s="77">
        <v>0</v>
      </c>
      <c r="AH34" s="77">
        <v>0</v>
      </c>
      <c r="AI34" s="77">
        <v>0</v>
      </c>
      <c r="AJ34" s="77">
        <v>0</v>
      </c>
      <c r="AK34" s="77">
        <v>0</v>
      </c>
      <c r="AL34" s="77">
        <v>0</v>
      </c>
      <c r="AM34" s="77">
        <v>0</v>
      </c>
      <c r="AN34" s="132">
        <v>0</v>
      </c>
      <c r="AO34" s="132">
        <v>0</v>
      </c>
      <c r="AP34" s="132">
        <v>0</v>
      </c>
      <c r="AQ34" s="830">
        <v>0</v>
      </c>
      <c r="AR34" s="130">
        <f>'W&amp;W'!B149</f>
        <v>20300</v>
      </c>
      <c r="AS34" s="130">
        <f>'W&amp;W'!C149</f>
        <v>12216800</v>
      </c>
      <c r="AT34" s="130">
        <f>'W&amp;W'!D149</f>
        <v>10800</v>
      </c>
      <c r="AU34" s="130">
        <f>'W&amp;W'!G149</f>
        <v>0</v>
      </c>
      <c r="AV34" s="130">
        <f>'W&amp;W'!I149</f>
        <v>0</v>
      </c>
      <c r="AW34" s="130">
        <f>'W&amp;W'!J149</f>
        <v>0</v>
      </c>
      <c r="AX34" s="130">
        <f>'W&amp;W'!K149</f>
        <v>0</v>
      </c>
      <c r="AY34" s="130">
        <f>'W&amp;W'!L149</f>
        <v>0</v>
      </c>
      <c r="AZ34" s="130">
        <f>'W&amp;W'!M149</f>
        <v>0</v>
      </c>
      <c r="BA34" s="130">
        <f>'W&amp;W'!N149</f>
        <v>0</v>
      </c>
      <c r="BB34" s="132">
        <f>'W&amp;W'!O149</f>
        <v>0</v>
      </c>
      <c r="BC34" s="132">
        <f>'W&amp;W'!P149</f>
        <v>0</v>
      </c>
      <c r="BD34" s="132">
        <f>'W&amp;W'!Q149</f>
        <v>0</v>
      </c>
      <c r="BE34" s="131">
        <f>'W&amp;W'!R149</f>
        <v>0</v>
      </c>
    </row>
    <row r="35" spans="1:57" s="6" customFormat="1" ht="13.5" thickBot="1" x14ac:dyDescent="0.25">
      <c r="A35" s="754"/>
      <c r="B35" s="185"/>
      <c r="C35" s="74"/>
      <c r="D35" s="79"/>
      <c r="E35" s="79"/>
      <c r="F35" s="79"/>
      <c r="G35" s="79"/>
      <c r="H35" s="79"/>
      <c r="I35" s="79"/>
      <c r="J35" s="79"/>
      <c r="K35" s="79"/>
      <c r="L35" s="64"/>
      <c r="M35" s="64"/>
      <c r="N35" s="64"/>
      <c r="O35" s="117"/>
      <c r="P35" s="128"/>
      <c r="Q35" s="128"/>
      <c r="R35" s="64"/>
      <c r="S35" s="64"/>
      <c r="T35" s="128"/>
      <c r="U35" s="128"/>
      <c r="V35" s="64"/>
      <c r="W35" s="64"/>
      <c r="X35" s="64"/>
      <c r="Y35" s="64"/>
      <c r="Z35" s="64"/>
      <c r="AA35" s="64"/>
      <c r="AB35" s="74"/>
      <c r="AC35" s="400"/>
      <c r="AD35" s="128"/>
      <c r="AE35" s="128"/>
      <c r="AF35" s="64"/>
      <c r="AG35" s="79"/>
      <c r="AH35" s="79"/>
      <c r="AI35" s="79"/>
      <c r="AJ35" s="79"/>
      <c r="AK35" s="79"/>
      <c r="AL35" s="79"/>
      <c r="AM35" s="79"/>
      <c r="AN35" s="64"/>
      <c r="AO35" s="64"/>
      <c r="AP35" s="64"/>
      <c r="AQ35" s="117"/>
      <c r="AR35" s="128"/>
      <c r="AS35" s="128"/>
      <c r="AT35" s="128"/>
      <c r="AU35" s="64"/>
      <c r="AV35" s="64"/>
      <c r="AW35" s="64"/>
      <c r="AX35" s="64"/>
      <c r="AY35" s="64"/>
      <c r="AZ35" s="64"/>
      <c r="BA35" s="64"/>
      <c r="BB35" s="64"/>
      <c r="BC35" s="64"/>
      <c r="BD35" s="64"/>
      <c r="BE35" s="115"/>
    </row>
    <row r="36" spans="1:57" s="6" customFormat="1" x14ac:dyDescent="0.2">
      <c r="A36" s="755" t="s">
        <v>512</v>
      </c>
      <c r="B36" s="1598">
        <f t="shared" ref="B36:BC36" si="45">SUM(B26:B35)</f>
        <v>11989500</v>
      </c>
      <c r="C36" s="177">
        <f t="shared" si="45"/>
        <v>15872800</v>
      </c>
      <c r="D36" s="460">
        <f t="shared" si="45"/>
        <v>15013000</v>
      </c>
      <c r="E36" s="460">
        <f t="shared" si="45"/>
        <v>18416000</v>
      </c>
      <c r="F36" s="460">
        <f t="shared" si="45"/>
        <v>19619000</v>
      </c>
      <c r="G36" s="460">
        <f t="shared" si="45"/>
        <v>21175900</v>
      </c>
      <c r="H36" s="460">
        <f t="shared" si="45"/>
        <v>22532100</v>
      </c>
      <c r="I36" s="460">
        <f t="shared" si="45"/>
        <v>23853500</v>
      </c>
      <c r="J36" s="460">
        <f t="shared" si="45"/>
        <v>25067600</v>
      </c>
      <c r="K36" s="460">
        <f t="shared" si="45"/>
        <v>26510100</v>
      </c>
      <c r="L36" s="53">
        <f t="shared" si="45"/>
        <v>28112000</v>
      </c>
      <c r="M36" s="53">
        <f t="shared" si="45"/>
        <v>29436400</v>
      </c>
      <c r="N36" s="53">
        <f t="shared" ref="N36" si="46">SUM(N26:N35)</f>
        <v>31484500</v>
      </c>
      <c r="O36" s="143">
        <f t="shared" ref="O36" si="47">SUM(O26:O35)</f>
        <v>33526800</v>
      </c>
      <c r="P36" s="155">
        <f t="shared" si="45"/>
        <v>10076700</v>
      </c>
      <c r="Q36" s="155">
        <f t="shared" si="45"/>
        <v>12829600</v>
      </c>
      <c r="R36" s="53">
        <f t="shared" si="45"/>
        <v>10269900</v>
      </c>
      <c r="S36" s="53">
        <f t="shared" si="45"/>
        <v>12898800</v>
      </c>
      <c r="T36" s="155">
        <f t="shared" si="45"/>
        <v>12968100</v>
      </c>
      <c r="U36" s="155">
        <f t="shared" si="45"/>
        <v>13961700</v>
      </c>
      <c r="V36" s="53">
        <f t="shared" si="45"/>
        <v>14856600</v>
      </c>
      <c r="W36" s="53">
        <f t="shared" si="45"/>
        <v>15345400</v>
      </c>
      <c r="X36" s="53">
        <f t="shared" si="45"/>
        <v>15760500</v>
      </c>
      <c r="Y36" s="53">
        <f t="shared" si="45"/>
        <v>16555400</v>
      </c>
      <c r="Z36" s="53">
        <f t="shared" si="45"/>
        <v>17265800</v>
      </c>
      <c r="AA36" s="53">
        <f t="shared" si="45"/>
        <v>17662800</v>
      </c>
      <c r="AB36" s="177">
        <f t="shared" ref="AB36" si="48">SUM(AB26:AB35)</f>
        <v>18606200</v>
      </c>
      <c r="AC36" s="2174">
        <f t="shared" ref="AC36" si="49">SUM(AC26:AC35)</f>
        <v>19484400</v>
      </c>
      <c r="AD36" s="155">
        <f t="shared" si="45"/>
        <v>1437000</v>
      </c>
      <c r="AE36" s="155">
        <f t="shared" si="45"/>
        <v>1554200</v>
      </c>
      <c r="AF36" s="53">
        <f t="shared" si="45"/>
        <v>1848100</v>
      </c>
      <c r="AG36" s="460">
        <f t="shared" si="45"/>
        <v>2072000</v>
      </c>
      <c r="AH36" s="460">
        <f t="shared" si="45"/>
        <v>2343900</v>
      </c>
      <c r="AI36" s="460">
        <f t="shared" si="45"/>
        <v>2336600</v>
      </c>
      <c r="AJ36" s="460">
        <f t="shared" si="45"/>
        <v>2391600</v>
      </c>
      <c r="AK36" s="460">
        <f t="shared" si="45"/>
        <v>2596800</v>
      </c>
      <c r="AL36" s="460">
        <f t="shared" si="45"/>
        <v>2851800</v>
      </c>
      <c r="AM36" s="460">
        <f t="shared" si="45"/>
        <v>2955000</v>
      </c>
      <c r="AN36" s="53">
        <f t="shared" si="45"/>
        <v>3219300</v>
      </c>
      <c r="AO36" s="53">
        <f t="shared" si="45"/>
        <v>3474300</v>
      </c>
      <c r="AP36" s="53">
        <f t="shared" ref="AP36" si="50">SUM(AP26:AP35)</f>
        <v>3753100</v>
      </c>
      <c r="AQ36" s="143">
        <f t="shared" ref="AQ36" si="51">SUM(AQ26:AQ35)</f>
        <v>4130200</v>
      </c>
      <c r="AR36" s="155">
        <f t="shared" si="45"/>
        <v>475800</v>
      </c>
      <c r="AS36" s="155">
        <f t="shared" si="45"/>
        <v>1489000</v>
      </c>
      <c r="AT36" s="155">
        <f t="shared" si="45"/>
        <v>2895000</v>
      </c>
      <c r="AU36" s="155">
        <f t="shared" si="45"/>
        <v>3445200</v>
      </c>
      <c r="AV36" s="155">
        <f t="shared" si="45"/>
        <v>4307000</v>
      </c>
      <c r="AW36" s="155">
        <f t="shared" si="45"/>
        <v>4877600</v>
      </c>
      <c r="AX36" s="155">
        <f t="shared" si="45"/>
        <v>5283900</v>
      </c>
      <c r="AY36" s="155">
        <f t="shared" si="45"/>
        <v>5911300</v>
      </c>
      <c r="AZ36" s="155">
        <f t="shared" si="45"/>
        <v>6455300</v>
      </c>
      <c r="BA36" s="155">
        <f t="shared" si="45"/>
        <v>6999700</v>
      </c>
      <c r="BB36" s="53">
        <f t="shared" si="45"/>
        <v>7626900</v>
      </c>
      <c r="BC36" s="53">
        <f t="shared" si="45"/>
        <v>8299300</v>
      </c>
      <c r="BD36" s="53">
        <f t="shared" ref="BD36" si="52">SUM(BD26:BD35)</f>
        <v>9125200</v>
      </c>
      <c r="BE36" s="113">
        <f t="shared" ref="BE36" si="53">SUM(BE26:BE35)</f>
        <v>9912200</v>
      </c>
    </row>
    <row r="37" spans="1:57" s="6" customFormat="1" x14ac:dyDescent="0.2">
      <c r="A37" s="757"/>
      <c r="B37" s="2178"/>
      <c r="C37" s="74"/>
      <c r="D37" s="79"/>
      <c r="E37" s="79"/>
      <c r="F37" s="79"/>
      <c r="G37" s="79"/>
      <c r="H37" s="79"/>
      <c r="I37" s="79"/>
      <c r="J37" s="79"/>
      <c r="K37" s="79"/>
      <c r="L37" s="64"/>
      <c r="M37" s="64"/>
      <c r="N37" s="64"/>
      <c r="O37" s="117"/>
      <c r="P37" s="128"/>
      <c r="Q37" s="128"/>
      <c r="R37" s="64"/>
      <c r="S37" s="64"/>
      <c r="T37" s="128"/>
      <c r="U37" s="128"/>
      <c r="V37" s="64"/>
      <c r="W37" s="64"/>
      <c r="X37" s="64"/>
      <c r="Y37" s="64"/>
      <c r="Z37" s="64"/>
      <c r="AA37" s="64"/>
      <c r="AB37" s="74"/>
      <c r="AC37" s="400"/>
      <c r="AD37" s="128"/>
      <c r="AE37" s="128"/>
      <c r="AF37" s="64"/>
      <c r="AG37" s="79"/>
      <c r="AH37" s="79"/>
      <c r="AI37" s="79"/>
      <c r="AJ37" s="79"/>
      <c r="AK37" s="79"/>
      <c r="AL37" s="79"/>
      <c r="AM37" s="79"/>
      <c r="AN37" s="64"/>
      <c r="AO37" s="64"/>
      <c r="AP37" s="64"/>
      <c r="AQ37" s="117"/>
      <c r="AR37" s="128"/>
      <c r="AS37" s="128"/>
      <c r="AT37" s="128"/>
      <c r="AU37" s="64"/>
      <c r="AV37" s="64"/>
      <c r="AW37" s="64"/>
      <c r="AX37" s="64"/>
      <c r="AY37" s="64"/>
      <c r="AZ37" s="64"/>
      <c r="BA37" s="64"/>
      <c r="BB37" s="64"/>
      <c r="BC37" s="64"/>
      <c r="BD37" s="64"/>
      <c r="BE37" s="115"/>
    </row>
    <row r="38" spans="1:57" s="6" customFormat="1" x14ac:dyDescent="0.2">
      <c r="A38" s="757" t="s">
        <v>196</v>
      </c>
      <c r="B38" s="2178"/>
      <c r="C38" s="74"/>
      <c r="D38" s="64"/>
      <c r="E38" s="64"/>
      <c r="F38" s="64"/>
      <c r="G38" s="64"/>
      <c r="H38" s="64"/>
      <c r="I38" s="64"/>
      <c r="J38" s="64"/>
      <c r="K38" s="64"/>
      <c r="L38" s="64"/>
      <c r="M38" s="64"/>
      <c r="N38" s="64"/>
      <c r="O38" s="117"/>
      <c r="P38" s="128"/>
      <c r="Q38" s="128"/>
      <c r="R38" s="64"/>
      <c r="S38" s="64"/>
      <c r="T38" s="128"/>
      <c r="U38" s="128"/>
      <c r="V38" s="64"/>
      <c r="W38" s="64"/>
      <c r="X38" s="64"/>
      <c r="Y38" s="64"/>
      <c r="Z38" s="64"/>
      <c r="AA38" s="64"/>
      <c r="AB38" s="74"/>
      <c r="AC38" s="400"/>
      <c r="AD38" s="128"/>
      <c r="AE38" s="128"/>
      <c r="AF38" s="74"/>
      <c r="AG38" s="79"/>
      <c r="AH38" s="79"/>
      <c r="AI38" s="79"/>
      <c r="AJ38" s="79"/>
      <c r="AK38" s="79"/>
      <c r="AL38" s="79"/>
      <c r="AM38" s="79"/>
      <c r="AN38" s="64"/>
      <c r="AO38" s="64"/>
      <c r="AP38" s="64"/>
      <c r="AQ38" s="117"/>
      <c r="AR38" s="128"/>
      <c r="AS38" s="128"/>
      <c r="AT38" s="64"/>
      <c r="AU38" s="64"/>
      <c r="AV38" s="64"/>
      <c r="AW38" s="64"/>
      <c r="AX38" s="64"/>
      <c r="AY38" s="64"/>
      <c r="AZ38" s="64"/>
      <c r="BA38" s="64"/>
      <c r="BB38" s="64"/>
      <c r="BC38" s="64"/>
      <c r="BD38" s="64"/>
      <c r="BE38" s="115"/>
    </row>
    <row r="39" spans="1:57" s="779" customFormat="1" x14ac:dyDescent="0.2">
      <c r="A39" s="754" t="s">
        <v>1674</v>
      </c>
      <c r="B39" s="2171"/>
      <c r="C39" s="915"/>
      <c r="D39" s="908"/>
      <c r="E39" s="908"/>
      <c r="F39" s="908"/>
      <c r="G39" s="908"/>
      <c r="H39" s="908"/>
      <c r="I39" s="908"/>
      <c r="J39" s="908"/>
      <c r="K39" s="908"/>
      <c r="L39" s="909"/>
      <c r="M39" s="909"/>
      <c r="N39" s="909"/>
      <c r="O39" s="913"/>
      <c r="P39" s="910"/>
      <c r="Q39" s="910"/>
      <c r="R39" s="2704"/>
      <c r="S39" s="2704"/>
      <c r="T39" s="130"/>
      <c r="U39" s="130"/>
      <c r="V39" s="24"/>
      <c r="W39" s="24"/>
      <c r="X39" s="24"/>
      <c r="Y39" s="24"/>
      <c r="Z39" s="24"/>
      <c r="AA39" s="24"/>
      <c r="AB39" s="35"/>
      <c r="AC39" s="2701"/>
      <c r="AD39" s="26"/>
      <c r="AE39" s="26"/>
      <c r="AF39" s="24"/>
      <c r="AG39" s="1215"/>
      <c r="AH39" s="1215"/>
      <c r="AI39" s="1215"/>
      <c r="AJ39" s="1215"/>
      <c r="AK39" s="1215"/>
      <c r="AL39" s="1215"/>
      <c r="AM39" s="1215"/>
      <c r="AN39" s="24"/>
      <c r="AO39" s="24"/>
      <c r="AP39" s="24"/>
      <c r="AQ39" s="1216"/>
      <c r="AR39" s="26"/>
      <c r="AS39" s="26"/>
      <c r="AT39" s="26"/>
      <c r="AU39" s="24"/>
      <c r="AV39" s="24"/>
      <c r="AW39" s="24"/>
      <c r="AX39" s="24"/>
      <c r="AY39" s="24"/>
      <c r="AZ39" s="24"/>
      <c r="BA39" s="24"/>
      <c r="BB39" s="24"/>
      <c r="BC39" s="24"/>
      <c r="BD39" s="24"/>
      <c r="BE39" s="36"/>
    </row>
    <row r="40" spans="1:57" s="779" customFormat="1" x14ac:dyDescent="0.2">
      <c r="A40" s="818" t="s">
        <v>797</v>
      </c>
      <c r="B40" s="914">
        <f t="shared" ref="B40:O45" si="54">P40+AD40+AR40</f>
        <v>6861200</v>
      </c>
      <c r="C40" s="78">
        <f t="shared" si="54"/>
        <v>4752500</v>
      </c>
      <c r="D40" s="77">
        <f t="shared" si="54"/>
        <v>8258000</v>
      </c>
      <c r="E40" s="77">
        <f t="shared" si="54"/>
        <v>7464700</v>
      </c>
      <c r="F40" s="77">
        <f t="shared" si="54"/>
        <v>9274500</v>
      </c>
      <c r="G40" s="77">
        <f t="shared" si="54"/>
        <v>709100</v>
      </c>
      <c r="H40" s="77">
        <f t="shared" si="54"/>
        <v>286300</v>
      </c>
      <c r="I40" s="77">
        <f t="shared" si="54"/>
        <v>114700</v>
      </c>
      <c r="J40" s="77">
        <f t="shared" si="54"/>
        <v>116700</v>
      </c>
      <c r="K40" s="77">
        <f t="shared" si="54"/>
        <v>118700</v>
      </c>
      <c r="L40" s="132">
        <f t="shared" si="54"/>
        <v>120700</v>
      </c>
      <c r="M40" s="132">
        <f t="shared" si="54"/>
        <v>122700</v>
      </c>
      <c r="N40" s="132">
        <f t="shared" si="54"/>
        <v>124700</v>
      </c>
      <c r="O40" s="830">
        <f t="shared" si="54"/>
        <v>126900</v>
      </c>
      <c r="P40" s="130">
        <f>'Cash-Gen'!A56</f>
        <v>6861200</v>
      </c>
      <c r="Q40" s="910">
        <f>'Cap Inc'!A100</f>
        <v>4752500</v>
      </c>
      <c r="R40" s="2429">
        <f>'Cap Inc'!B100</f>
        <v>8258000</v>
      </c>
      <c r="S40" s="2429">
        <f>'Cap Inc'!E100-'Cap Inc'!E35-'Cap Inc'!E49-'Cap Inc'!E50-'Cap Inc'!E51</f>
        <v>7464700</v>
      </c>
      <c r="T40" s="2429">
        <f>'Cap Inc'!F100-'Cap Inc'!F35-'Cap Inc'!F49-'Cap Inc'!F50-'Cap Inc'!F51</f>
        <v>9274500</v>
      </c>
      <c r="U40" s="2429">
        <f>'Cap Inc'!G100-'Cap Inc'!G35-'Cap Inc'!G49-'Cap Inc'!G50-'Cap Inc'!G51</f>
        <v>709100</v>
      </c>
      <c r="V40" s="2429">
        <f>'Cap Inc'!H100-'Cap Inc'!H35-'Cap Inc'!H49-'Cap Inc'!H50-'Cap Inc'!H51</f>
        <v>286300</v>
      </c>
      <c r="W40" s="2429">
        <f>'Cap Inc'!I100-'Cap Inc'!I35-'Cap Inc'!I49-'Cap Inc'!I50-'Cap Inc'!I51</f>
        <v>114700</v>
      </c>
      <c r="X40" s="2429">
        <f>'Cap Inc'!J100-'Cap Inc'!J35-'Cap Inc'!J49-'Cap Inc'!J50-'Cap Inc'!J51</f>
        <v>116700</v>
      </c>
      <c r="Y40" s="2429">
        <f>'Cap Inc'!K100-'Cap Inc'!K35-'Cap Inc'!K49-'Cap Inc'!K50-'Cap Inc'!K51</f>
        <v>118700</v>
      </c>
      <c r="Z40" s="2429">
        <f>'Cap Inc'!L100-'Cap Inc'!L35-'Cap Inc'!L49-'Cap Inc'!L50-'Cap Inc'!L51</f>
        <v>120700</v>
      </c>
      <c r="AA40" s="2429">
        <f>'Cap Inc'!M100-'Cap Inc'!M35-'Cap Inc'!M49-'Cap Inc'!M50-'Cap Inc'!M51</f>
        <v>122700</v>
      </c>
      <c r="AB40" s="2260">
        <f>'Cap Inc'!N100-'Cap Inc'!N35-'Cap Inc'!N49-'Cap Inc'!N50-'Cap Inc'!N51</f>
        <v>124700</v>
      </c>
      <c r="AC40" s="2703">
        <f>'Cap Inc'!O100-'Cap Inc'!O35-'Cap Inc'!O49-'Cap Inc'!O50-'Cap Inc'!O51</f>
        <v>126900</v>
      </c>
      <c r="AD40" s="2429">
        <f>'Cap Inc'!O100-'Cap Inc'!O21-'Cap Inc'!O22-'Cap Inc'!O35-'Cap Inc'!O49-'Cap Inc'!O50-'Cap Inc'!O51</f>
        <v>0</v>
      </c>
      <c r="AE40" s="2429">
        <f>'Cap Inc'!P100-'Cap Inc'!P21-'Cap Inc'!P22-'Cap Inc'!P35-'Cap Inc'!P49-'Cap Inc'!P50-'Cap Inc'!P51</f>
        <v>0</v>
      </c>
      <c r="AF40" s="2429">
        <f>'Cap Inc'!Q100-'Cap Inc'!Q21-'Cap Inc'!Q22-'Cap Inc'!Q35-'Cap Inc'!Q49-'Cap Inc'!Q50-'Cap Inc'!Q51</f>
        <v>0</v>
      </c>
      <c r="AG40" s="2429">
        <f>'Cap Inc'!R100-'Cap Inc'!R21-'Cap Inc'!R22-'Cap Inc'!R35-'Cap Inc'!R49-'Cap Inc'!R50-'Cap Inc'!R51</f>
        <v>0</v>
      </c>
      <c r="AH40" s="2429">
        <f>'Cap Inc'!S100-'Cap Inc'!S21-'Cap Inc'!S22-'Cap Inc'!S35-'Cap Inc'!S49-'Cap Inc'!S50-'Cap Inc'!S51</f>
        <v>0</v>
      </c>
      <c r="AI40" s="2429">
        <f>'Cap Inc'!T100-'Cap Inc'!T21-'Cap Inc'!T22-'Cap Inc'!T35-'Cap Inc'!T49-'Cap Inc'!T50-'Cap Inc'!T51</f>
        <v>0</v>
      </c>
      <c r="AJ40" s="2429">
        <f>'Cap Inc'!U100-'Cap Inc'!U21-'Cap Inc'!U22-'Cap Inc'!U35-'Cap Inc'!U49-'Cap Inc'!U50-'Cap Inc'!U51</f>
        <v>0</v>
      </c>
      <c r="AK40" s="2429">
        <f>'Cap Inc'!V100-'Cap Inc'!V21-'Cap Inc'!V22-'Cap Inc'!V35-'Cap Inc'!V49-'Cap Inc'!V50-'Cap Inc'!V51</f>
        <v>0</v>
      </c>
      <c r="AL40" s="2429">
        <f>'Cap Inc'!W100-'Cap Inc'!W21-'Cap Inc'!W22-'Cap Inc'!W35-'Cap Inc'!W49-'Cap Inc'!W50-'Cap Inc'!W51</f>
        <v>0</v>
      </c>
      <c r="AM40" s="2429">
        <f>'Cap Inc'!X100-'Cap Inc'!X21-'Cap Inc'!X22-'Cap Inc'!X35-'Cap Inc'!X49-'Cap Inc'!X50-'Cap Inc'!X51</f>
        <v>0</v>
      </c>
      <c r="AN40" s="2429">
        <f>'Cap Inc'!Y100-'Cap Inc'!Y21-'Cap Inc'!Y22-'Cap Inc'!Y35-'Cap Inc'!Y49-'Cap Inc'!Y50-'Cap Inc'!Y51</f>
        <v>0</v>
      </c>
      <c r="AO40" s="2429">
        <f>'Cap Inc'!Z100-'Cap Inc'!Z21-'Cap Inc'!Z22-'Cap Inc'!Z35-'Cap Inc'!Z49-'Cap Inc'!Z50-'Cap Inc'!Z51</f>
        <v>0</v>
      </c>
      <c r="AP40" s="2704">
        <f>'Cap Inc'!AA100-'Cap Inc'!AA21-'Cap Inc'!AA22-'Cap Inc'!AA35-'Cap Inc'!AA49-'Cap Inc'!AA50-'Cap Inc'!AA51</f>
        <v>0</v>
      </c>
      <c r="AQ40" s="2429">
        <f>'Cap Inc'!AB100-'Cap Inc'!AB21-'Cap Inc'!AB22-'Cap Inc'!AB35-'Cap Inc'!AB49-'Cap Inc'!AB50-'Cap Inc'!AB51</f>
        <v>0</v>
      </c>
      <c r="AR40" s="2429">
        <f>'Cap Inc'!AB100-'Cap Inc'!AB21-'Cap Inc'!AB22-'Cap Inc'!AB35-'Cap Inc'!AB49-'Cap Inc'!AB50-'Cap Inc'!AB51</f>
        <v>0</v>
      </c>
      <c r="AS40" s="2429">
        <f>'Cap Inc'!AC100-'Cap Inc'!AC21-'Cap Inc'!AC22-'Cap Inc'!AC35-'Cap Inc'!AC49-'Cap Inc'!AC50-'Cap Inc'!AC51</f>
        <v>0</v>
      </c>
      <c r="AT40" s="2429">
        <f>'Cap Inc'!AD100-'Cap Inc'!AD21-'Cap Inc'!AD22-'Cap Inc'!AD35-'Cap Inc'!AD49-'Cap Inc'!AD50-'Cap Inc'!AD51</f>
        <v>0</v>
      </c>
      <c r="AU40" s="2429">
        <f>'Cap Inc'!AE100-'Cap Inc'!AE21-'Cap Inc'!AE22-'Cap Inc'!AE35-'Cap Inc'!AE49-'Cap Inc'!AE50-'Cap Inc'!AE51</f>
        <v>0</v>
      </c>
      <c r="AV40" s="2429">
        <f>'Cap Inc'!AF100-'Cap Inc'!AF21-'Cap Inc'!AF22-'Cap Inc'!AF35-'Cap Inc'!AF49-'Cap Inc'!AF50-'Cap Inc'!AF51</f>
        <v>0</v>
      </c>
      <c r="AW40" s="2429">
        <f>'Cap Inc'!AG100-'Cap Inc'!AG21-'Cap Inc'!AG22-'Cap Inc'!AG35-'Cap Inc'!AG49-'Cap Inc'!AG50-'Cap Inc'!AG51</f>
        <v>0</v>
      </c>
      <c r="AX40" s="2429">
        <f>'Cap Inc'!AH100-'Cap Inc'!AH21-'Cap Inc'!AH22-'Cap Inc'!AH35-'Cap Inc'!AH49-'Cap Inc'!AH50-'Cap Inc'!AH51</f>
        <v>0</v>
      </c>
      <c r="AY40" s="2429">
        <f>'Cap Inc'!AI100-'Cap Inc'!AI21-'Cap Inc'!AI22-'Cap Inc'!AI35-'Cap Inc'!AI49-'Cap Inc'!AI50-'Cap Inc'!AI51</f>
        <v>0</v>
      </c>
      <c r="AZ40" s="2429">
        <f>'Cap Inc'!AJ100-'Cap Inc'!AJ21-'Cap Inc'!AJ22-'Cap Inc'!AJ35-'Cap Inc'!AJ49-'Cap Inc'!AJ50-'Cap Inc'!AJ51</f>
        <v>0</v>
      </c>
      <c r="BA40" s="2429">
        <f>'Cap Inc'!AK100-'Cap Inc'!AK21-'Cap Inc'!AK22-'Cap Inc'!AK35-'Cap Inc'!AK49-'Cap Inc'!AK50-'Cap Inc'!AK51</f>
        <v>0</v>
      </c>
      <c r="BB40" s="2429">
        <f>'Cap Inc'!AL100-'Cap Inc'!AL21-'Cap Inc'!AL22-'Cap Inc'!AL35-'Cap Inc'!AL49-'Cap Inc'!AL50-'Cap Inc'!AL51</f>
        <v>0</v>
      </c>
      <c r="BC40" s="2429">
        <f>'Cap Inc'!AM100-'Cap Inc'!AM21-'Cap Inc'!AM22-'Cap Inc'!AM35-'Cap Inc'!AM49-'Cap Inc'!AM50-'Cap Inc'!AM51</f>
        <v>0</v>
      </c>
      <c r="BD40" s="2704">
        <f>'Cap Inc'!AN100-'Cap Inc'!AN21-'Cap Inc'!AN22-'Cap Inc'!AN35-'Cap Inc'!AN49-'Cap Inc'!AN50-'Cap Inc'!AN51</f>
        <v>0</v>
      </c>
      <c r="BE40" s="2698">
        <f>'Cap Inc'!AO100-'Cap Inc'!AO21-'Cap Inc'!AO22-'Cap Inc'!AO35-'Cap Inc'!AO49-'Cap Inc'!AO50-'Cap Inc'!AO51</f>
        <v>0</v>
      </c>
    </row>
    <row r="41" spans="1:57" s="779" customFormat="1" x14ac:dyDescent="0.2">
      <c r="A41" s="818" t="s">
        <v>2290</v>
      </c>
      <c r="B41" s="914">
        <f t="shared" si="54"/>
        <v>6705800</v>
      </c>
      <c r="C41" s="78">
        <f t="shared" si="54"/>
        <v>11482800</v>
      </c>
      <c r="D41" s="77">
        <f t="shared" si="54"/>
        <v>6756000</v>
      </c>
      <c r="E41" s="77">
        <f t="shared" si="54"/>
        <v>7088900</v>
      </c>
      <c r="F41" s="77">
        <f t="shared" si="54"/>
        <v>11224800</v>
      </c>
      <c r="G41" s="77">
        <f t="shared" si="54"/>
        <v>12483700</v>
      </c>
      <c r="H41" s="77">
        <f t="shared" si="54"/>
        <v>10777300</v>
      </c>
      <c r="I41" s="77">
        <f t="shared" si="54"/>
        <v>17027500</v>
      </c>
      <c r="J41" s="77">
        <f t="shared" si="54"/>
        <v>17373800</v>
      </c>
      <c r="K41" s="77">
        <f t="shared" si="54"/>
        <v>7715600</v>
      </c>
      <c r="L41" s="132">
        <f t="shared" si="54"/>
        <v>7861900</v>
      </c>
      <c r="M41" s="132">
        <f t="shared" si="54"/>
        <v>8011600</v>
      </c>
      <c r="N41" s="132">
        <f t="shared" si="54"/>
        <v>8162800</v>
      </c>
      <c r="O41" s="830">
        <f t="shared" si="54"/>
        <v>8315500</v>
      </c>
      <c r="P41" s="130">
        <f>ROUND('Cash-Gen'!A57+'Cash-Gen'!A55,-2)</f>
        <v>4053100</v>
      </c>
      <c r="Q41" s="910">
        <f>'Cash-Gen'!B57++'Cash-Gen'!B55</f>
        <v>8587100</v>
      </c>
      <c r="R41" s="2704">
        <f>'Cash-Gen'!C57+'Cash-Gen'!C55</f>
        <v>3226100</v>
      </c>
      <c r="S41" s="2704">
        <f>'Cash-Gen'!E57++'Cash-Gen'!E55-'Cap Inc'!E35-'Cap Inc'!E49-'Cap Inc'!E50-'Cap Inc'!E51</f>
        <v>4124000</v>
      </c>
      <c r="T41" s="2704">
        <f>'Cash-Gen'!F57++'Cash-Gen'!F55</f>
        <v>8204300</v>
      </c>
      <c r="U41" s="2704">
        <f>'Cash-Gen'!G57++'Cash-Gen'!G55</f>
        <v>9408200</v>
      </c>
      <c r="V41" s="909">
        <f>'Cash-Gen'!H57++'Cash-Gen'!H55</f>
        <v>7641800</v>
      </c>
      <c r="W41" s="909">
        <f>'Cash-Gen'!I57++'Cash-Gen'!I55</f>
        <v>13832000</v>
      </c>
      <c r="X41" s="909">
        <f>'Cash-Gen'!J57++'Cash-Gen'!J55</f>
        <v>14108300</v>
      </c>
      <c r="Y41" s="909">
        <f>'Cash-Gen'!K57++'Cash-Gen'!K55</f>
        <v>4390100</v>
      </c>
      <c r="Z41" s="909">
        <f>'Cash-Gen'!L57++'Cash-Gen'!L55</f>
        <v>4476400</v>
      </c>
      <c r="AA41" s="909">
        <f>'Cash-Gen'!M57++'Cash-Gen'!M55</f>
        <v>4566100</v>
      </c>
      <c r="AB41" s="35">
        <f>'Cash-Gen'!N57++'Cash-Gen'!N55</f>
        <v>4657300</v>
      </c>
      <c r="AC41" s="2701">
        <f>'Cash-Gen'!O57++'Cash-Gen'!O55</f>
        <v>4750000</v>
      </c>
      <c r="AD41" s="26">
        <f>'Cash-W'!A18+'Cash-W'!A16</f>
        <v>638500</v>
      </c>
      <c r="AE41" s="26">
        <f>'Cash-W'!B18+'Cash-W'!B16</f>
        <v>764300</v>
      </c>
      <c r="AF41" s="26">
        <f>'Cash-W'!C18+'Cash-W'!C16</f>
        <v>1059900</v>
      </c>
      <c r="AG41" s="26">
        <f>'Cash-W'!F18+'Cash-W'!F16</f>
        <v>919400</v>
      </c>
      <c r="AH41" s="26">
        <f>'Cash-W'!G18+'Cash-W'!G16</f>
        <v>775000</v>
      </c>
      <c r="AI41" s="26">
        <f>'Cash-W'!H18+'Cash-W'!H16</f>
        <v>800000</v>
      </c>
      <c r="AJ41" s="26">
        <f>'Cash-W'!I18+'Cash-W'!I16</f>
        <v>820000</v>
      </c>
      <c r="AK41" s="26">
        <f>'Cash-W'!J18+'Cash-W'!J16</f>
        <v>840000</v>
      </c>
      <c r="AL41" s="26">
        <f>'Cash-W'!K18+'Cash-W'!K16</f>
        <v>860000</v>
      </c>
      <c r="AM41" s="26">
        <f>'Cash-W'!L18+'Cash-W'!L16</f>
        <v>880000</v>
      </c>
      <c r="AN41" s="26">
        <f>'Cash-W'!M18+'Cash-W'!M16</f>
        <v>900000</v>
      </c>
      <c r="AO41" s="24">
        <f>'Cash-W'!N18+'Cash-W'!N16</f>
        <v>920000</v>
      </c>
      <c r="AP41" s="24">
        <f>'Cash-W'!O18+'Cash-W'!O16</f>
        <v>940000</v>
      </c>
      <c r="AQ41" s="1216">
        <f>'Cash-W'!P18+'Cash-W'!P16</f>
        <v>960000</v>
      </c>
      <c r="AR41" s="130">
        <f>'Cash-WW'!A18+'Cash-WW'!A16</f>
        <v>2014200</v>
      </c>
      <c r="AS41" s="130">
        <f>'Cash-WW'!B18+'Cash-WW'!B16</f>
        <v>2131400</v>
      </c>
      <c r="AT41" s="130">
        <f>'Cash-WW'!C18+'Cash-WW'!C16</f>
        <v>2470000</v>
      </c>
      <c r="AU41" s="130">
        <f>'Cash-WW'!F18+'Cash-WW'!F16</f>
        <v>2045500</v>
      </c>
      <c r="AV41" s="130">
        <f>'Cash-WW'!G18+'Cash-WW'!G16</f>
        <v>2245500</v>
      </c>
      <c r="AW41" s="130">
        <f>'Cash-WW'!H18+'Cash-WW'!H16</f>
        <v>2275500</v>
      </c>
      <c r="AX41" s="130">
        <f>'Cash-WW'!I18+'Cash-WW'!I16</f>
        <v>2315500</v>
      </c>
      <c r="AY41" s="130">
        <f>'Cash-WW'!J18+'Cash-WW'!J16</f>
        <v>2355500</v>
      </c>
      <c r="AZ41" s="130">
        <f>'Cash-WW'!K18+'Cash-WW'!K16</f>
        <v>2405500</v>
      </c>
      <c r="BA41" s="130">
        <f>'Cash-WW'!L18+'Cash-WW'!L16</f>
        <v>2445500</v>
      </c>
      <c r="BB41" s="130">
        <f>'Cash-WW'!M18+'Cash-WW'!M16</f>
        <v>2485500</v>
      </c>
      <c r="BC41" s="24">
        <f>'Cash-WW'!N18+'Cash-WW'!N16</f>
        <v>2525500</v>
      </c>
      <c r="BD41" s="24">
        <f>'Cash-WW'!O18+'Cash-WW'!O16</f>
        <v>2565500</v>
      </c>
      <c r="BE41" s="36">
        <f>'Cash-WW'!P18+'Cash-WW'!P16</f>
        <v>2605500</v>
      </c>
    </row>
    <row r="42" spans="1:57" s="779" customFormat="1" x14ac:dyDescent="0.2">
      <c r="A42" s="818" t="s">
        <v>72</v>
      </c>
      <c r="B42" s="914">
        <f t="shared" si="54"/>
        <v>-1489300</v>
      </c>
      <c r="C42" s="78">
        <f t="shared" si="54"/>
        <v>-507100</v>
      </c>
      <c r="D42" s="77">
        <f t="shared" si="54"/>
        <v>1730500</v>
      </c>
      <c r="E42" s="77">
        <f t="shared" si="54"/>
        <v>200000</v>
      </c>
      <c r="F42" s="77">
        <f t="shared" si="54"/>
        <v>200000</v>
      </c>
      <c r="G42" s="77">
        <f t="shared" si="54"/>
        <v>200000</v>
      </c>
      <c r="H42" s="77">
        <f t="shared" si="54"/>
        <v>200000</v>
      </c>
      <c r="I42" s="77">
        <f t="shared" si="54"/>
        <v>200000</v>
      </c>
      <c r="J42" s="77">
        <f t="shared" si="54"/>
        <v>200000</v>
      </c>
      <c r="K42" s="77">
        <f t="shared" si="54"/>
        <v>200000</v>
      </c>
      <c r="L42" s="132">
        <f t="shared" si="54"/>
        <v>200000</v>
      </c>
      <c r="M42" s="132">
        <f t="shared" si="54"/>
        <v>200000</v>
      </c>
      <c r="N42" s="132">
        <f t="shared" si="54"/>
        <v>200000</v>
      </c>
      <c r="O42" s="830">
        <f t="shared" si="54"/>
        <v>200000</v>
      </c>
      <c r="P42" s="130">
        <f>'Cash-Gen'!A76</f>
        <v>-1957800</v>
      </c>
      <c r="Q42" s="130">
        <f>'Cash-Gen'!B76</f>
        <v>-507100</v>
      </c>
      <c r="R42" s="130">
        <f>'Cash-Gen'!C76</f>
        <v>2036000</v>
      </c>
      <c r="S42" s="2704">
        <f>'Cash-Gen'!E76</f>
        <v>200000</v>
      </c>
      <c r="T42" s="130">
        <f>'Cash-Gen'!F76</f>
        <v>200000</v>
      </c>
      <c r="U42" s="130">
        <f>'Cash-Gen'!G76</f>
        <v>200000</v>
      </c>
      <c r="V42" s="24">
        <f>'Cash-Gen'!H76</f>
        <v>200000</v>
      </c>
      <c r="W42" s="24">
        <f>'Cash-Gen'!I76</f>
        <v>200000</v>
      </c>
      <c r="X42" s="24">
        <f>'Cash-Gen'!J76</f>
        <v>200000</v>
      </c>
      <c r="Y42" s="24">
        <f>'Cash-Gen'!K76</f>
        <v>200000</v>
      </c>
      <c r="Z42" s="24">
        <f>'Cash-Gen'!L76</f>
        <v>200000</v>
      </c>
      <c r="AA42" s="24">
        <f>'Cash-Gen'!M76</f>
        <v>200000</v>
      </c>
      <c r="AB42" s="35">
        <f>'Cash-Gen'!N76</f>
        <v>200000</v>
      </c>
      <c r="AC42" s="2701">
        <f>'Cash-Gen'!O76</f>
        <v>200000</v>
      </c>
      <c r="AD42" s="26">
        <f>'Cash-W'!A35</f>
        <v>0</v>
      </c>
      <c r="AE42" s="26">
        <f>'Cash-W'!B35</f>
        <v>0</v>
      </c>
      <c r="AF42" s="26">
        <f>'Cash-W'!C35</f>
        <v>0</v>
      </c>
      <c r="AG42" s="26">
        <f>'Cash-W'!F35</f>
        <v>0</v>
      </c>
      <c r="AH42" s="26">
        <f>'Cash-W'!G35</f>
        <v>0</v>
      </c>
      <c r="AI42" s="26">
        <f>'Cash-W'!H35</f>
        <v>0</v>
      </c>
      <c r="AJ42" s="26">
        <f>'Cash-W'!I35</f>
        <v>0</v>
      </c>
      <c r="AK42" s="26">
        <f>'Cash-W'!J35</f>
        <v>0</v>
      </c>
      <c r="AL42" s="26">
        <f>'Cash-W'!K35</f>
        <v>0</v>
      </c>
      <c r="AM42" s="26">
        <f>'Cash-W'!L35</f>
        <v>0</v>
      </c>
      <c r="AN42" s="24">
        <f>'Cash-W'!M35</f>
        <v>0</v>
      </c>
      <c r="AO42" s="24">
        <f>'Cash-W'!N35</f>
        <v>0</v>
      </c>
      <c r="AP42" s="24">
        <f>'Cash-W'!O35</f>
        <v>0</v>
      </c>
      <c r="AQ42" s="1216">
        <f>'Cash-W'!P35</f>
        <v>0</v>
      </c>
      <c r="AR42" s="130">
        <f>'Cash-WW'!A35</f>
        <v>468500</v>
      </c>
      <c r="AS42" s="26">
        <f>'Cash-WW'!B35</f>
        <v>0</v>
      </c>
      <c r="AT42" s="26">
        <f>'Cash-WW'!C35</f>
        <v>-305500</v>
      </c>
      <c r="AU42" s="26">
        <f>'Cash-WW'!F35</f>
        <v>0</v>
      </c>
      <c r="AV42" s="26">
        <f>'Cash-WW'!G35</f>
        <v>0</v>
      </c>
      <c r="AW42" s="26">
        <f>'Cash-WW'!H35</f>
        <v>0</v>
      </c>
      <c r="AX42" s="26">
        <f>'Cash-WW'!I35</f>
        <v>0</v>
      </c>
      <c r="AY42" s="26">
        <f>'Cash-WW'!J35</f>
        <v>0</v>
      </c>
      <c r="AZ42" s="26">
        <f>'Cash-WW'!K35</f>
        <v>0</v>
      </c>
      <c r="BA42" s="26">
        <f>'Cash-WW'!L35</f>
        <v>0</v>
      </c>
      <c r="BB42" s="24">
        <f>'Cash-WW'!M35</f>
        <v>0</v>
      </c>
      <c r="BC42" s="24">
        <f>'Cash-WW'!N35</f>
        <v>0</v>
      </c>
      <c r="BD42" s="24">
        <f>'Cash-WW'!O35</f>
        <v>0</v>
      </c>
      <c r="BE42" s="36">
        <f>'Cash-WW'!P35</f>
        <v>0</v>
      </c>
    </row>
    <row r="43" spans="1:57" s="779" customFormat="1" x14ac:dyDescent="0.2">
      <c r="A43" s="818" t="s">
        <v>1986</v>
      </c>
      <c r="B43" s="914">
        <f t="shared" si="54"/>
        <v>1805200</v>
      </c>
      <c r="C43" s="78">
        <f t="shared" si="54"/>
        <v>2809800</v>
      </c>
      <c r="D43" s="77">
        <f t="shared" si="54"/>
        <v>2286400</v>
      </c>
      <c r="E43" s="77">
        <f t="shared" si="54"/>
        <v>5432400</v>
      </c>
      <c r="F43" s="77">
        <f t="shared" si="54"/>
        <v>4516000</v>
      </c>
      <c r="G43" s="77">
        <f t="shared" si="54"/>
        <v>4475000</v>
      </c>
      <c r="H43" s="77">
        <f t="shared" si="54"/>
        <v>4475000</v>
      </c>
      <c r="I43" s="77">
        <f t="shared" si="54"/>
        <v>5760000</v>
      </c>
      <c r="J43" s="77">
        <f t="shared" si="54"/>
        <v>1360000</v>
      </c>
      <c r="K43" s="77">
        <f t="shared" si="54"/>
        <v>960000</v>
      </c>
      <c r="L43" s="132">
        <f t="shared" si="54"/>
        <v>960000</v>
      </c>
      <c r="M43" s="132">
        <f t="shared" si="54"/>
        <v>960000</v>
      </c>
      <c r="N43" s="132">
        <f t="shared" si="54"/>
        <v>960000</v>
      </c>
      <c r="O43" s="830">
        <f t="shared" si="54"/>
        <v>960000</v>
      </c>
      <c r="P43" s="130">
        <f>'Cash-Gen'!A77</f>
        <v>1805200</v>
      </c>
      <c r="Q43" s="130">
        <f>'Cash-Gen'!B77</f>
        <v>2809800</v>
      </c>
      <c r="R43" s="130">
        <f>'Cash-Gen'!C77</f>
        <v>2286400</v>
      </c>
      <c r="S43" s="2704">
        <f>'Cash-Gen'!E77</f>
        <v>5432400</v>
      </c>
      <c r="T43" s="130">
        <f>'Cash-Gen'!F77</f>
        <v>4516000</v>
      </c>
      <c r="U43" s="130">
        <f>'Cash-Gen'!G77</f>
        <v>4475000</v>
      </c>
      <c r="V43" s="24">
        <f>'Cash-Gen'!H77</f>
        <v>4475000</v>
      </c>
      <c r="W43" s="24">
        <f>'Cash-Gen'!I77</f>
        <v>5760000</v>
      </c>
      <c r="X43" s="24">
        <f>'Cash-Gen'!J77</f>
        <v>1360000</v>
      </c>
      <c r="Y43" s="24">
        <f>'Cash-Gen'!K77</f>
        <v>960000</v>
      </c>
      <c r="Z43" s="24">
        <f>'Cash-Gen'!L77</f>
        <v>960000</v>
      </c>
      <c r="AA43" s="24">
        <f>'Cash-Gen'!M77</f>
        <v>960000</v>
      </c>
      <c r="AB43" s="35">
        <f>'Cash-Gen'!N77</f>
        <v>960000</v>
      </c>
      <c r="AC43" s="2701">
        <f>'Cash-Gen'!O77</f>
        <v>960000</v>
      </c>
      <c r="AD43" s="26"/>
      <c r="AE43" s="26"/>
      <c r="AF43" s="24"/>
      <c r="AG43" s="77"/>
      <c r="AH43" s="77"/>
      <c r="AI43" s="77"/>
      <c r="AJ43" s="77"/>
      <c r="AK43" s="77"/>
      <c r="AL43" s="77"/>
      <c r="AM43" s="77"/>
      <c r="AN43" s="24"/>
      <c r="AO43" s="24"/>
      <c r="AP43" s="24"/>
      <c r="AQ43" s="1216"/>
      <c r="AR43" s="130"/>
      <c r="AS43" s="26"/>
      <c r="AT43" s="26"/>
      <c r="AU43" s="26"/>
      <c r="AV43" s="24"/>
      <c r="AW43" s="24"/>
      <c r="AX43" s="24"/>
      <c r="AY43" s="24"/>
      <c r="AZ43" s="24"/>
      <c r="BA43" s="24"/>
      <c r="BB43" s="24"/>
      <c r="BC43" s="24"/>
      <c r="BD43" s="24"/>
      <c r="BE43" s="36"/>
    </row>
    <row r="44" spans="1:57" s="779" customFormat="1" x14ac:dyDescent="0.2">
      <c r="A44" s="818" t="s">
        <v>348</v>
      </c>
      <c r="B44" s="914">
        <f t="shared" si="54"/>
        <v>1890000</v>
      </c>
      <c r="C44" s="78">
        <f t="shared" si="54"/>
        <v>725000</v>
      </c>
      <c r="D44" s="77">
        <f t="shared" si="54"/>
        <v>500000</v>
      </c>
      <c r="E44" s="77">
        <f t="shared" si="54"/>
        <v>7611700</v>
      </c>
      <c r="F44" s="77">
        <f t="shared" si="54"/>
        <v>5927800</v>
      </c>
      <c r="G44" s="77">
        <f t="shared" si="54"/>
        <v>2500000</v>
      </c>
      <c r="H44" s="77">
        <f t="shared" si="54"/>
        <v>0</v>
      </c>
      <c r="I44" s="77">
        <f t="shared" si="54"/>
        <v>8340000</v>
      </c>
      <c r="J44" s="77">
        <f t="shared" si="54"/>
        <v>0</v>
      </c>
      <c r="K44" s="77">
        <f t="shared" si="54"/>
        <v>0</v>
      </c>
      <c r="L44" s="132">
        <f t="shared" si="54"/>
        <v>0</v>
      </c>
      <c r="M44" s="132">
        <f t="shared" si="54"/>
        <v>0</v>
      </c>
      <c r="N44" s="132">
        <f t="shared" si="54"/>
        <v>0</v>
      </c>
      <c r="O44" s="830">
        <f t="shared" si="54"/>
        <v>0</v>
      </c>
      <c r="P44" s="130">
        <f>'Cash-Gen'!A75</f>
        <v>1200000</v>
      </c>
      <c r="Q44" s="910">
        <f>'Cash-Gen'!B75</f>
        <v>725000</v>
      </c>
      <c r="R44" s="2704">
        <f>'Cash-Gen'!C75</f>
        <v>500000</v>
      </c>
      <c r="S44" s="2704">
        <f>'Cash-Gen'!E75</f>
        <v>7611700</v>
      </c>
      <c r="T44" s="130">
        <f>'Cash-Gen'!F75</f>
        <v>5927800</v>
      </c>
      <c r="U44" s="130">
        <f>'Cash-Gen'!G75</f>
        <v>2500000</v>
      </c>
      <c r="V44" s="24">
        <f>'Cash-Gen'!H75</f>
        <v>0</v>
      </c>
      <c r="W44" s="24">
        <f>'Cash-Gen'!I75</f>
        <v>8340000</v>
      </c>
      <c r="X44" s="24">
        <f>'Cash-Gen'!J75</f>
        <v>0</v>
      </c>
      <c r="Y44" s="24">
        <f>'Cash-Gen'!K75</f>
        <v>0</v>
      </c>
      <c r="Z44" s="24">
        <f>'Cash-Gen'!L75</f>
        <v>0</v>
      </c>
      <c r="AA44" s="24">
        <f>'Cash-Gen'!M75</f>
        <v>0</v>
      </c>
      <c r="AB44" s="35">
        <f>'Cash-Gen'!N75</f>
        <v>0</v>
      </c>
      <c r="AC44" s="2701">
        <f>'Cash-Gen'!O75</f>
        <v>0</v>
      </c>
      <c r="AD44" s="26"/>
      <c r="AE44" s="26"/>
      <c r="AF44" s="24"/>
      <c r="AG44" s="1215"/>
      <c r="AH44" s="1215"/>
      <c r="AI44" s="1215"/>
      <c r="AJ44" s="1215"/>
      <c r="AK44" s="1215"/>
      <c r="AL44" s="1215"/>
      <c r="AM44" s="1215"/>
      <c r="AN44" s="24">
        <f>'Cash-W'!G34</f>
        <v>0</v>
      </c>
      <c r="AO44" s="24">
        <f>'Cash-W'!H34</f>
        <v>0</v>
      </c>
      <c r="AP44" s="24">
        <f>'Cash-W'!I34</f>
        <v>0</v>
      </c>
      <c r="AQ44" s="1216">
        <f>'Cash-W'!J34</f>
        <v>0</v>
      </c>
      <c r="AR44" s="1217">
        <f>'Cash-WW'!A36</f>
        <v>690000</v>
      </c>
      <c r="AS44" s="26">
        <f>'Cash-WW'!B36</f>
        <v>0</v>
      </c>
      <c r="AT44" s="26">
        <f>'Cash-WW'!C36</f>
        <v>0</v>
      </c>
      <c r="AU44" s="26">
        <f>'Cash-WW'!F36</f>
        <v>0</v>
      </c>
      <c r="AV44" s="24">
        <f>'Cash-WW'!G36</f>
        <v>0</v>
      </c>
      <c r="AW44" s="24">
        <f>'Cash-WW'!H36</f>
        <v>0</v>
      </c>
      <c r="AX44" s="24">
        <f>'Cash-WW'!I36</f>
        <v>0</v>
      </c>
      <c r="AY44" s="24">
        <f>'Cash-WW'!J36</f>
        <v>0</v>
      </c>
      <c r="AZ44" s="24">
        <f>'Cash-WW'!K36</f>
        <v>0</v>
      </c>
      <c r="BA44" s="24">
        <f>'Cash-WW'!L36</f>
        <v>0</v>
      </c>
      <c r="BB44" s="24">
        <f>'Cash-WW'!M36</f>
        <v>0</v>
      </c>
      <c r="BC44" s="24">
        <f>'Cash-WW'!N36</f>
        <v>0</v>
      </c>
      <c r="BD44" s="24">
        <f>'Cash-WW'!O36</f>
        <v>0</v>
      </c>
      <c r="BE44" s="36">
        <f>'Cash-WW'!P36</f>
        <v>0</v>
      </c>
    </row>
    <row r="45" spans="1:57" s="779" customFormat="1" x14ac:dyDescent="0.2">
      <c r="A45" s="818" t="s">
        <v>3229</v>
      </c>
      <c r="B45" s="914">
        <f t="shared" si="54"/>
        <v>697200</v>
      </c>
      <c r="C45" s="78">
        <f t="shared" si="54"/>
        <v>545200</v>
      </c>
      <c r="D45" s="77">
        <f t="shared" si="54"/>
        <v>92000</v>
      </c>
      <c r="E45" s="77">
        <f t="shared" si="54"/>
        <v>440000</v>
      </c>
      <c r="F45" s="77">
        <f t="shared" si="54"/>
        <v>0</v>
      </c>
      <c r="G45" s="77">
        <f t="shared" si="54"/>
        <v>0</v>
      </c>
      <c r="H45" s="77">
        <f t="shared" si="54"/>
        <v>0</v>
      </c>
      <c r="I45" s="77">
        <f t="shared" si="54"/>
        <v>0</v>
      </c>
      <c r="J45" s="77">
        <f t="shared" si="54"/>
        <v>0</v>
      </c>
      <c r="K45" s="77">
        <f t="shared" si="54"/>
        <v>0</v>
      </c>
      <c r="L45" s="132">
        <f t="shared" si="54"/>
        <v>0</v>
      </c>
      <c r="M45" s="132">
        <f t="shared" si="54"/>
        <v>0</v>
      </c>
      <c r="N45" s="132">
        <f t="shared" si="54"/>
        <v>0</v>
      </c>
      <c r="O45" s="830">
        <f t="shared" si="54"/>
        <v>0</v>
      </c>
      <c r="P45" s="130"/>
      <c r="Q45" s="910"/>
      <c r="R45" s="2704"/>
      <c r="S45" s="2704"/>
      <c r="T45" s="130"/>
      <c r="U45" s="130"/>
      <c r="V45" s="24"/>
      <c r="W45" s="24"/>
      <c r="X45" s="24"/>
      <c r="Y45" s="24"/>
      <c r="Z45" s="24"/>
      <c r="AA45" s="24"/>
      <c r="AB45" s="35"/>
      <c r="AC45" s="2701"/>
      <c r="AD45" s="26">
        <f>'Cash-W'!A34</f>
        <v>137600</v>
      </c>
      <c r="AE45" s="1217">
        <f>'Cash-W'!B34</f>
        <v>136200</v>
      </c>
      <c r="AF45" s="1218">
        <f>'Cash-W'!C34</f>
        <v>23000</v>
      </c>
      <c r="AG45" s="1218">
        <f>'Cash-W'!F34</f>
        <v>100000</v>
      </c>
      <c r="AH45" s="1218">
        <f>'Cash-W'!G34</f>
        <v>0</v>
      </c>
      <c r="AI45" s="1218">
        <f>'Cash-W'!H34</f>
        <v>0</v>
      </c>
      <c r="AJ45" s="1218">
        <f>'Cash-W'!I34</f>
        <v>0</v>
      </c>
      <c r="AK45" s="1218">
        <f>'Cash-W'!J34</f>
        <v>0</v>
      </c>
      <c r="AL45" s="1218">
        <f>'Cash-W'!K34</f>
        <v>0</v>
      </c>
      <c r="AM45" s="1218">
        <f>'Cash-W'!L34</f>
        <v>0</v>
      </c>
      <c r="AN45" s="24">
        <f>'Cash-W'!M34</f>
        <v>0</v>
      </c>
      <c r="AO45" s="24">
        <f>'Cash-W'!N34</f>
        <v>0</v>
      </c>
      <c r="AP45" s="24">
        <f>'Cash-W'!O34</f>
        <v>0</v>
      </c>
      <c r="AQ45" s="1216">
        <f>'Cash-W'!P34</f>
        <v>0</v>
      </c>
      <c r="AR45" s="1217">
        <f>'Cash-WW'!A34</f>
        <v>559600</v>
      </c>
      <c r="AS45" s="26">
        <f>'Cash-WW'!B34</f>
        <v>409000</v>
      </c>
      <c r="AT45" s="1217">
        <f>'Cash-WW'!C34</f>
        <v>69000</v>
      </c>
      <c r="AU45" s="1217">
        <f>'Cash-WW'!F34</f>
        <v>340000</v>
      </c>
      <c r="AV45" s="1218">
        <f>'Cash-WW'!G34</f>
        <v>0</v>
      </c>
      <c r="AW45" s="1218">
        <f>'Cash-WW'!H34</f>
        <v>0</v>
      </c>
      <c r="AX45" s="1218">
        <f>'Cash-WW'!I34</f>
        <v>0</v>
      </c>
      <c r="AY45" s="1218">
        <f>'Cash-WW'!J34</f>
        <v>0</v>
      </c>
      <c r="AZ45" s="1218">
        <f>'Cash-WW'!K34</f>
        <v>0</v>
      </c>
      <c r="BA45" s="1218">
        <f>'Cash-WW'!L34</f>
        <v>0</v>
      </c>
      <c r="BB45" s="1218">
        <f>'Cash-WW'!M34</f>
        <v>0</v>
      </c>
      <c r="BC45" s="1218">
        <f>'Cash-WW'!N34</f>
        <v>0</v>
      </c>
      <c r="BD45" s="1218">
        <f>'Cash-WW'!O34</f>
        <v>0</v>
      </c>
      <c r="BE45" s="1755">
        <f>'Cash-WW'!P34</f>
        <v>0</v>
      </c>
    </row>
    <row r="46" spans="1:57" s="779" customFormat="1" ht="13.5" thickBot="1" x14ac:dyDescent="0.25">
      <c r="A46" s="818"/>
      <c r="B46" s="914"/>
      <c r="C46" s="78"/>
      <c r="D46" s="77"/>
      <c r="E46" s="77"/>
      <c r="F46" s="77"/>
      <c r="G46" s="77"/>
      <c r="H46" s="77"/>
      <c r="I46" s="77"/>
      <c r="J46" s="77"/>
      <c r="K46" s="77"/>
      <c r="L46" s="132"/>
      <c r="M46" s="132"/>
      <c r="N46" s="132"/>
      <c r="O46" s="830"/>
      <c r="P46" s="130"/>
      <c r="Q46" s="814"/>
      <c r="R46" s="952"/>
      <c r="S46" s="952"/>
      <c r="T46" s="130"/>
      <c r="U46" s="130"/>
      <c r="V46" s="24"/>
      <c r="W46" s="24"/>
      <c r="X46" s="24"/>
      <c r="Y46" s="24"/>
      <c r="Z46" s="24"/>
      <c r="AA46" s="24"/>
      <c r="AB46" s="35"/>
      <c r="AC46" s="2701"/>
      <c r="AD46" s="26"/>
      <c r="AE46" s="26"/>
      <c r="AF46" s="24"/>
      <c r="AG46" s="1215"/>
      <c r="AH46" s="1215"/>
      <c r="AI46" s="1215"/>
      <c r="AJ46" s="1215"/>
      <c r="AK46" s="1215"/>
      <c r="AL46" s="1215"/>
      <c r="AM46" s="1215"/>
      <c r="AN46" s="24"/>
      <c r="AO46" s="24"/>
      <c r="AP46" s="24"/>
      <c r="AQ46" s="1216"/>
      <c r="AR46" s="26"/>
      <c r="AS46" s="26"/>
      <c r="AT46" s="26"/>
      <c r="AU46" s="24"/>
      <c r="AV46" s="24"/>
      <c r="AW46" s="24"/>
      <c r="AX46" s="24"/>
      <c r="AY46" s="24"/>
      <c r="AZ46" s="24"/>
      <c r="BA46" s="24"/>
      <c r="BB46" s="24"/>
      <c r="BC46" s="24"/>
      <c r="BD46" s="24"/>
      <c r="BE46" s="36"/>
    </row>
    <row r="47" spans="1:57" s="4" customFormat="1" x14ac:dyDescent="0.2">
      <c r="A47" s="755" t="s">
        <v>764</v>
      </c>
      <c r="B47" s="1598">
        <f t="shared" ref="B47:O47" si="55">P47+AD47+AR47</f>
        <v>16470100</v>
      </c>
      <c r="C47" s="177">
        <f t="shared" si="55"/>
        <v>19808200</v>
      </c>
      <c r="D47" s="460">
        <f t="shared" si="55"/>
        <v>19622900</v>
      </c>
      <c r="E47" s="460">
        <f t="shared" si="55"/>
        <v>28237700</v>
      </c>
      <c r="F47" s="460">
        <f t="shared" si="55"/>
        <v>31143100</v>
      </c>
      <c r="G47" s="460">
        <f t="shared" si="55"/>
        <v>20367800</v>
      </c>
      <c r="H47" s="460">
        <f t="shared" si="55"/>
        <v>15738600</v>
      </c>
      <c r="I47" s="460">
        <f t="shared" si="55"/>
        <v>31442200</v>
      </c>
      <c r="J47" s="460">
        <f t="shared" si="55"/>
        <v>19050500</v>
      </c>
      <c r="K47" s="460">
        <f t="shared" si="55"/>
        <v>8994300</v>
      </c>
      <c r="L47" s="53">
        <f t="shared" si="55"/>
        <v>9142600</v>
      </c>
      <c r="M47" s="53">
        <f t="shared" si="55"/>
        <v>9294300</v>
      </c>
      <c r="N47" s="53">
        <f t="shared" si="55"/>
        <v>9447500</v>
      </c>
      <c r="O47" s="143">
        <f t="shared" si="55"/>
        <v>9602400</v>
      </c>
      <c r="P47" s="155">
        <f t="shared" ref="P47:AE47" si="56">SUM(P39:P46)</f>
        <v>11961700</v>
      </c>
      <c r="Q47" s="463">
        <f t="shared" si="56"/>
        <v>16367300</v>
      </c>
      <c r="R47" s="2772">
        <f t="shared" si="56"/>
        <v>16306500</v>
      </c>
      <c r="S47" s="2772">
        <f t="shared" si="56"/>
        <v>24832800</v>
      </c>
      <c r="T47" s="155">
        <f t="shared" si="56"/>
        <v>28122600</v>
      </c>
      <c r="U47" s="155">
        <f t="shared" si="56"/>
        <v>17292300</v>
      </c>
      <c r="V47" s="56">
        <f t="shared" si="56"/>
        <v>12603100</v>
      </c>
      <c r="W47" s="56">
        <f t="shared" si="56"/>
        <v>28246700</v>
      </c>
      <c r="X47" s="56">
        <f t="shared" si="56"/>
        <v>15785000</v>
      </c>
      <c r="Y47" s="56">
        <f t="shared" si="56"/>
        <v>5668800</v>
      </c>
      <c r="Z47" s="56">
        <f t="shared" si="56"/>
        <v>5757100</v>
      </c>
      <c r="AA47" s="56">
        <f t="shared" ref="AA47:AB47" si="57">SUM(AA39:AA46)</f>
        <v>5848800</v>
      </c>
      <c r="AB47" s="304">
        <f t="shared" si="57"/>
        <v>5942000</v>
      </c>
      <c r="AC47" s="2702">
        <f t="shared" ref="AC47" si="58">SUM(AC39:AC46)</f>
        <v>6036900</v>
      </c>
      <c r="AD47" s="57">
        <f t="shared" si="56"/>
        <v>776100</v>
      </c>
      <c r="AE47" s="57">
        <f t="shared" si="56"/>
        <v>900500</v>
      </c>
      <c r="AF47" s="56">
        <f>SUM(AF40:AF46)</f>
        <v>1082900</v>
      </c>
      <c r="AG47" s="460">
        <f t="shared" ref="AG47:AN47" si="59">SUM(AG39:AG46)</f>
        <v>1019400</v>
      </c>
      <c r="AH47" s="460">
        <f t="shared" si="59"/>
        <v>775000</v>
      </c>
      <c r="AI47" s="460">
        <f t="shared" si="59"/>
        <v>800000</v>
      </c>
      <c r="AJ47" s="460">
        <f t="shared" si="59"/>
        <v>820000</v>
      </c>
      <c r="AK47" s="460">
        <f t="shared" si="59"/>
        <v>840000</v>
      </c>
      <c r="AL47" s="460">
        <f t="shared" si="59"/>
        <v>860000</v>
      </c>
      <c r="AM47" s="460">
        <f t="shared" si="59"/>
        <v>880000</v>
      </c>
      <c r="AN47" s="53">
        <f t="shared" si="59"/>
        <v>900000</v>
      </c>
      <c r="AO47" s="53">
        <f t="shared" ref="AO47:AP47" si="60">SUM(AO39:AO46)</f>
        <v>920000</v>
      </c>
      <c r="AP47" s="53">
        <f t="shared" si="60"/>
        <v>940000</v>
      </c>
      <c r="AQ47" s="143">
        <f t="shared" ref="AQ47" si="61">SUM(AQ39:AQ46)</f>
        <v>960000</v>
      </c>
      <c r="AR47" s="155">
        <f>SUM(AR40:AR46)</f>
        <v>3732300</v>
      </c>
      <c r="AS47" s="57">
        <f>SUM(AS40:AS46)</f>
        <v>2540400</v>
      </c>
      <c r="AT47" s="57">
        <f>SUM(AT39:AT46)</f>
        <v>2233500</v>
      </c>
      <c r="AU47" s="57">
        <f>SUM(AU39:AU46)</f>
        <v>2385500</v>
      </c>
      <c r="AV47" s="57">
        <f t="shared" ref="AV47:BA47" si="62">SUM(AV39:AV46)</f>
        <v>2245500</v>
      </c>
      <c r="AW47" s="57">
        <f t="shared" si="62"/>
        <v>2275500</v>
      </c>
      <c r="AX47" s="57">
        <f t="shared" si="62"/>
        <v>2315500</v>
      </c>
      <c r="AY47" s="57">
        <f t="shared" si="62"/>
        <v>2355500</v>
      </c>
      <c r="AZ47" s="57">
        <f t="shared" si="62"/>
        <v>2405500</v>
      </c>
      <c r="BA47" s="57">
        <f t="shared" si="62"/>
        <v>2445500</v>
      </c>
      <c r="BB47" s="53">
        <f>SUM(BB39:BB46)</f>
        <v>2485500</v>
      </c>
      <c r="BC47" s="53">
        <f>SUM(BC39:BC46)</f>
        <v>2525500</v>
      </c>
      <c r="BD47" s="53">
        <f>SUM(BD39:BD46)</f>
        <v>2565500</v>
      </c>
      <c r="BE47" s="113">
        <f>SUM(BE39:BE46)</f>
        <v>2605500</v>
      </c>
    </row>
    <row r="48" spans="1:57" s="779" customFormat="1" x14ac:dyDescent="0.2">
      <c r="A48" s="754" t="s">
        <v>1083</v>
      </c>
      <c r="B48" s="1600"/>
      <c r="C48" s="915"/>
      <c r="D48" s="908"/>
      <c r="E48" s="908"/>
      <c r="F48" s="908"/>
      <c r="G48" s="908"/>
      <c r="H48" s="908"/>
      <c r="I48" s="908"/>
      <c r="J48" s="908"/>
      <c r="K48" s="908"/>
      <c r="L48" s="909"/>
      <c r="M48" s="909"/>
      <c r="N48" s="909"/>
      <c r="O48" s="913"/>
      <c r="P48" s="910"/>
      <c r="Q48" s="910"/>
      <c r="R48" s="2704"/>
      <c r="S48" s="2704"/>
      <c r="T48" s="130"/>
      <c r="U48" s="130"/>
      <c r="V48" s="24"/>
      <c r="W48" s="24"/>
      <c r="X48" s="24"/>
      <c r="Y48" s="24"/>
      <c r="Z48" s="24"/>
      <c r="AA48" s="24"/>
      <c r="AB48" s="35"/>
      <c r="AC48" s="2701"/>
      <c r="AD48" s="26"/>
      <c r="AE48" s="26"/>
      <c r="AF48" s="24"/>
      <c r="AG48" s="1215"/>
      <c r="AH48" s="1215"/>
      <c r="AI48" s="1215"/>
      <c r="AJ48" s="1215"/>
      <c r="AK48" s="1215"/>
      <c r="AL48" s="1215"/>
      <c r="AM48" s="1215"/>
      <c r="AN48" s="24"/>
      <c r="AO48" s="24"/>
      <c r="AP48" s="24"/>
      <c r="AQ48" s="1216"/>
      <c r="AR48" s="26"/>
      <c r="AS48" s="26"/>
      <c r="AT48" s="26"/>
      <c r="AU48" s="26"/>
      <c r="AV48" s="24"/>
      <c r="AW48" s="24"/>
      <c r="AX48" s="24"/>
      <c r="AY48" s="24"/>
      <c r="AZ48" s="24"/>
      <c r="BA48" s="24"/>
      <c r="BB48" s="24"/>
      <c r="BC48" s="24"/>
      <c r="BD48" s="24"/>
      <c r="BE48" s="36"/>
    </row>
    <row r="49" spans="1:57" s="779" customFormat="1" x14ac:dyDescent="0.2">
      <c r="A49" s="818" t="s">
        <v>277</v>
      </c>
      <c r="B49" s="914">
        <f t="shared" ref="B49:O50" si="63">P49+AD49+AR49</f>
        <v>40263700</v>
      </c>
      <c r="C49" s="78">
        <f t="shared" si="63"/>
        <v>31784100</v>
      </c>
      <c r="D49" s="77">
        <f t="shared" si="63"/>
        <v>28336600</v>
      </c>
      <c r="E49" s="77">
        <f t="shared" si="63"/>
        <v>54159400</v>
      </c>
      <c r="F49" s="77">
        <f t="shared" si="63"/>
        <v>45371300</v>
      </c>
      <c r="G49" s="77">
        <f t="shared" si="63"/>
        <v>44070800</v>
      </c>
      <c r="H49" s="77">
        <f t="shared" si="63"/>
        <v>29156000</v>
      </c>
      <c r="I49" s="77">
        <f t="shared" si="63"/>
        <v>52913100</v>
      </c>
      <c r="J49" s="77">
        <f t="shared" si="63"/>
        <v>38594100</v>
      </c>
      <c r="K49" s="77">
        <f t="shared" si="63"/>
        <v>25549500</v>
      </c>
      <c r="L49" s="132">
        <f t="shared" si="63"/>
        <v>24553400</v>
      </c>
      <c r="M49" s="132">
        <f t="shared" si="63"/>
        <v>22612300</v>
      </c>
      <c r="N49" s="132">
        <f t="shared" si="63"/>
        <v>22631300</v>
      </c>
      <c r="O49" s="830">
        <f t="shared" si="63"/>
        <v>24656400</v>
      </c>
      <c r="P49" s="130">
        <f>ROUND(-SUM('Cash-Gen'!A80),-2)+'Cash-Gen'!A55</f>
        <v>29662200</v>
      </c>
      <c r="Q49" s="910">
        <f>-SUM('Cash-Gen'!B80)+'Cash-Gen'!B55</f>
        <v>23896500</v>
      </c>
      <c r="R49" s="2704">
        <f>-SUM('Cash-Gen'!C80)+'Cash-Gen'!C55</f>
        <v>23896800</v>
      </c>
      <c r="S49" s="2704">
        <f>-SUM('Cash-Gen'!E80)+'Cash-Gen'!E55</f>
        <v>44097900</v>
      </c>
      <c r="T49" s="2704">
        <f>-SUM('Cash-Gen'!F80)+'Cash-Gen'!F55</f>
        <v>35974800</v>
      </c>
      <c r="U49" s="2704">
        <f>-SUM('Cash-Gen'!G80)+'Cash-Gen'!G55</f>
        <v>34613300</v>
      </c>
      <c r="V49" s="909">
        <f>-SUM('Cash-Gen'!H80)+'Cash-Gen'!H55</f>
        <v>18495100</v>
      </c>
      <c r="W49" s="909">
        <f>-SUM('Cash-Gen'!I80)+'Cash-Gen'!I55</f>
        <v>43532300</v>
      </c>
      <c r="X49" s="909">
        <f>-SUM('Cash-Gen'!J80)+'Cash-Gen'!J55</f>
        <v>27256200</v>
      </c>
      <c r="Y49" s="909">
        <f>-SUM('Cash-Gen'!K80)+'Cash-Gen'!K55</f>
        <v>15178000</v>
      </c>
      <c r="Z49" s="132">
        <f>-SUM('Cash-Gen'!L80)+'Cash-Gen'!L55</f>
        <v>18621900</v>
      </c>
      <c r="AA49" s="132">
        <f>-SUM('Cash-Gen'!M80)+'Cash-Gen'!M55</f>
        <v>16665800</v>
      </c>
      <c r="AB49" s="78">
        <f>-SUM('Cash-Gen'!N80)+'Cash-Gen'!N55</f>
        <v>18749800</v>
      </c>
      <c r="AC49" s="825">
        <f>-SUM('Cash-Gen'!O80)+'Cash-Gen'!O55</f>
        <v>20991900</v>
      </c>
      <c r="AD49" s="26">
        <f>-'Cash-W'!A40</f>
        <v>1827100</v>
      </c>
      <c r="AE49" s="26">
        <f>-'Cash-W'!B40</f>
        <v>2821700</v>
      </c>
      <c r="AF49" s="24">
        <f>-'Cash-W'!C40</f>
        <v>1427000</v>
      </c>
      <c r="AG49" s="1215">
        <f>-'Cash-W'!F40</f>
        <v>3524000</v>
      </c>
      <c r="AH49" s="1215">
        <f>-'Cash-W'!G40</f>
        <v>3404000</v>
      </c>
      <c r="AI49" s="1215">
        <f>-'Cash-W'!H40</f>
        <v>3980000</v>
      </c>
      <c r="AJ49" s="1215">
        <f>-'Cash-W'!I40</f>
        <v>3636000</v>
      </c>
      <c r="AK49" s="1215">
        <f>-'Cash-W'!J40</f>
        <v>2261000</v>
      </c>
      <c r="AL49" s="1215">
        <f>-'Cash-W'!K40</f>
        <v>5942400</v>
      </c>
      <c r="AM49" s="1215">
        <f>-'Cash-W'!L40</f>
        <v>4638000</v>
      </c>
      <c r="AN49" s="24">
        <f>-'Cash-W'!M40</f>
        <v>4098000</v>
      </c>
      <c r="AO49" s="24">
        <f>-'Cash-W'!N40</f>
        <v>4095000</v>
      </c>
      <c r="AP49" s="24">
        <f>-'Cash-W'!O40</f>
        <v>1909000</v>
      </c>
      <c r="AQ49" s="1216">
        <f>-'Cash-W'!P40</f>
        <v>1751000</v>
      </c>
      <c r="AR49" s="26">
        <f>-'Cash-WW'!A39+'Cash-WW'!A16</f>
        <v>8774400</v>
      </c>
      <c r="AS49" s="26">
        <f>-'Cash-WW'!B39+'Cash-WW'!B16</f>
        <v>5065900</v>
      </c>
      <c r="AT49" s="26">
        <f>-'Cash-WW'!C39+'Cash-WW'!C16</f>
        <v>3012800</v>
      </c>
      <c r="AU49" s="26">
        <f>-'Cash-WW'!F39+'Cash-WW'!F16</f>
        <v>6537500</v>
      </c>
      <c r="AV49" s="26">
        <f>-'Cash-WW'!G39+'Cash-WW'!G16</f>
        <v>5992500</v>
      </c>
      <c r="AW49" s="26">
        <f>-'Cash-WW'!H39+'Cash-WW'!H16</f>
        <v>5477500</v>
      </c>
      <c r="AX49" s="26">
        <f>-'Cash-WW'!I39+'Cash-WW'!I16</f>
        <v>7024900</v>
      </c>
      <c r="AY49" s="26">
        <f>-'Cash-WW'!J39+'Cash-WW'!J16</f>
        <v>7119800</v>
      </c>
      <c r="AZ49" s="26">
        <f>-'Cash-WW'!K39+'Cash-WW'!K16</f>
        <v>5395500</v>
      </c>
      <c r="BA49" s="26">
        <f>-'Cash-WW'!L39+'Cash-WW'!L16</f>
        <v>5733500</v>
      </c>
      <c r="BB49" s="132">
        <f>-'Cash-WW'!M39+'Cash-WW'!M16</f>
        <v>1833500</v>
      </c>
      <c r="BC49" s="132">
        <f>-'Cash-WW'!N39+'Cash-WW'!N16</f>
        <v>1851500</v>
      </c>
      <c r="BD49" s="132">
        <f>-'Cash-WW'!O39+'Cash-WW'!O16</f>
        <v>1972500</v>
      </c>
      <c r="BE49" s="131">
        <f>-'Cash-WW'!P39+'Cash-WW'!P16</f>
        <v>1913500</v>
      </c>
    </row>
    <row r="50" spans="1:57" s="779" customFormat="1" ht="12" customHeight="1" x14ac:dyDescent="0.2">
      <c r="A50" s="818" t="s">
        <v>146</v>
      </c>
      <c r="B50" s="914">
        <f t="shared" si="63"/>
        <v>5601000</v>
      </c>
      <c r="C50" s="78">
        <f t="shared" si="63"/>
        <v>5583300</v>
      </c>
      <c r="D50" s="77">
        <f t="shared" si="63"/>
        <v>6582200</v>
      </c>
      <c r="E50" s="77">
        <f t="shared" si="63"/>
        <v>6654100</v>
      </c>
      <c r="F50" s="77">
        <f t="shared" si="63"/>
        <v>6408400</v>
      </c>
      <c r="G50" s="77">
        <f t="shared" si="63"/>
        <v>6381800</v>
      </c>
      <c r="H50" s="77">
        <f t="shared" si="63"/>
        <v>6599200</v>
      </c>
      <c r="I50" s="77">
        <f t="shared" si="63"/>
        <v>5496600</v>
      </c>
      <c r="J50" s="77">
        <f t="shared" si="63"/>
        <v>6197000</v>
      </c>
      <c r="K50" s="77">
        <f t="shared" si="63"/>
        <v>5929000</v>
      </c>
      <c r="L50" s="132">
        <f t="shared" si="63"/>
        <v>5387200</v>
      </c>
      <c r="M50" s="132">
        <f t="shared" si="63"/>
        <v>5315100</v>
      </c>
      <c r="N50" s="132">
        <f t="shared" si="63"/>
        <v>4882600</v>
      </c>
      <c r="O50" s="830">
        <f t="shared" si="63"/>
        <v>5076900</v>
      </c>
      <c r="P50" s="130">
        <f>ROUND(-'Cash-Gen'!A81,-2)</f>
        <v>3216200</v>
      </c>
      <c r="Q50" s="130">
        <f>-'Cash-Gen'!B81</f>
        <v>3395400</v>
      </c>
      <c r="R50" s="132">
        <f>-'Cash-Gen'!C81</f>
        <v>3788900</v>
      </c>
      <c r="S50" s="132">
        <f>-'Cash-Gen'!E81</f>
        <v>3696200</v>
      </c>
      <c r="T50" s="130">
        <f>-'Cash-Gen'!F81</f>
        <v>3312800</v>
      </c>
      <c r="U50" s="130">
        <f>-'Cash-Gen'!G81</f>
        <v>3247800</v>
      </c>
      <c r="V50" s="132">
        <f>-'Cash-Gen'!H81</f>
        <v>3318900</v>
      </c>
      <c r="W50" s="132">
        <f>-'Cash-Gen'!I81</f>
        <v>3043100</v>
      </c>
      <c r="X50" s="132">
        <f>-'Cash-Gen'!J81</f>
        <v>3542900</v>
      </c>
      <c r="Y50" s="132">
        <f>-'Cash-Gen'!K81</f>
        <v>3084900</v>
      </c>
      <c r="Z50" s="132">
        <f>-'Cash-Gen'!L81</f>
        <v>2350200</v>
      </c>
      <c r="AA50" s="132">
        <f>-'Cash-Gen'!M81</f>
        <v>2080100</v>
      </c>
      <c r="AB50" s="78">
        <f>-'Cash-Gen'!N81</f>
        <v>1452600</v>
      </c>
      <c r="AC50" s="825">
        <f>-'Cash-Gen'!O81</f>
        <v>1449900</v>
      </c>
      <c r="AD50" s="130">
        <f>-'Cash-W'!A41</f>
        <v>0</v>
      </c>
      <c r="AE50" s="130">
        <f>-'Cash-W'!B41</f>
        <v>0</v>
      </c>
      <c r="AF50" s="132">
        <f>-'Cash-W'!C41</f>
        <v>0</v>
      </c>
      <c r="AG50" s="77">
        <f>-'Cash-W'!F41</f>
        <v>0</v>
      </c>
      <c r="AH50" s="77">
        <f>-'Cash-W'!G41</f>
        <v>0</v>
      </c>
      <c r="AI50" s="77">
        <f>-'Cash-W'!H41</f>
        <v>0</v>
      </c>
      <c r="AJ50" s="77">
        <f>-'Cash-W'!I41</f>
        <v>0</v>
      </c>
      <c r="AK50" s="77">
        <f>-'Cash-W'!J41</f>
        <v>0</v>
      </c>
      <c r="AL50" s="77">
        <f>-'Cash-W'!K41</f>
        <v>0</v>
      </c>
      <c r="AM50" s="77">
        <f>-'Cash-W'!L41</f>
        <v>0</v>
      </c>
      <c r="AN50" s="132">
        <f>-'Cash-W'!M41</f>
        <v>0</v>
      </c>
      <c r="AO50" s="132">
        <f>-'Cash-W'!N41</f>
        <v>0</v>
      </c>
      <c r="AP50" s="132">
        <f>-'Cash-W'!A41</f>
        <v>0</v>
      </c>
      <c r="AQ50" s="830">
        <f>-'Cash-W'!B41</f>
        <v>0</v>
      </c>
      <c r="AR50" s="130">
        <f>-'Cash-WW'!A40</f>
        <v>2384800</v>
      </c>
      <c r="AS50" s="130">
        <f>-'Cash-WW'!B40</f>
        <v>2187900</v>
      </c>
      <c r="AT50" s="130">
        <f>-'Cash-WW'!C40</f>
        <v>2793300</v>
      </c>
      <c r="AU50" s="130">
        <f>-'Cash-WW'!F40</f>
        <v>2957900</v>
      </c>
      <c r="AV50" s="130">
        <f>-'Cash-WW'!G40</f>
        <v>3095600</v>
      </c>
      <c r="AW50" s="130">
        <f>-'Cash-WW'!H40</f>
        <v>3134000</v>
      </c>
      <c r="AX50" s="130">
        <f>-'Cash-WW'!I40</f>
        <v>3280300</v>
      </c>
      <c r="AY50" s="130">
        <f>-'Cash-WW'!J40</f>
        <v>2453500</v>
      </c>
      <c r="AZ50" s="130">
        <f>-'Cash-WW'!K40</f>
        <v>2654100</v>
      </c>
      <c r="BA50" s="130">
        <f>-'Cash-WW'!L40</f>
        <v>2844100</v>
      </c>
      <c r="BB50" s="132">
        <f>-'Cash-WW'!M40</f>
        <v>3037000</v>
      </c>
      <c r="BC50" s="132">
        <f>-'Cash-WW'!N40</f>
        <v>3235000</v>
      </c>
      <c r="BD50" s="132">
        <f>-'Cash-WW'!O40</f>
        <v>3430000</v>
      </c>
      <c r="BE50" s="131">
        <f>-'Cash-WW'!P40</f>
        <v>3627000</v>
      </c>
    </row>
    <row r="51" spans="1:57" s="779" customFormat="1" ht="12" customHeight="1" thickBot="1" x14ac:dyDescent="0.25">
      <c r="A51" s="818"/>
      <c r="B51" s="914"/>
      <c r="C51" s="78"/>
      <c r="D51" s="77"/>
      <c r="E51" s="77"/>
      <c r="F51" s="77"/>
      <c r="G51" s="77"/>
      <c r="H51" s="77"/>
      <c r="I51" s="77"/>
      <c r="J51" s="77"/>
      <c r="K51" s="77"/>
      <c r="L51" s="132"/>
      <c r="M51" s="132"/>
      <c r="N51" s="132"/>
      <c r="O51" s="830"/>
      <c r="P51" s="130"/>
      <c r="Q51" s="130"/>
      <c r="R51" s="132"/>
      <c r="S51" s="132"/>
      <c r="T51" s="130"/>
      <c r="U51" s="130"/>
      <c r="V51" s="132"/>
      <c r="W51" s="132"/>
      <c r="X51" s="132"/>
      <c r="Y51" s="132"/>
      <c r="Z51" s="132"/>
      <c r="AA51" s="132"/>
      <c r="AB51" s="78"/>
      <c r="AC51" s="825"/>
      <c r="AD51" s="130"/>
      <c r="AE51" s="130"/>
      <c r="AF51" s="132"/>
      <c r="AG51" s="77"/>
      <c r="AH51" s="77"/>
      <c r="AI51" s="77"/>
      <c r="AJ51" s="77"/>
      <c r="AK51" s="77"/>
      <c r="AL51" s="77"/>
      <c r="AM51" s="77"/>
      <c r="AN51" s="132"/>
      <c r="AO51" s="132"/>
      <c r="AP51" s="132"/>
      <c r="AQ51" s="830"/>
      <c r="AR51" s="130"/>
      <c r="AS51" s="130"/>
      <c r="AT51" s="130"/>
      <c r="AU51" s="132"/>
      <c r="AV51" s="132"/>
      <c r="AW51" s="132"/>
      <c r="AX51" s="132"/>
      <c r="AY51" s="132"/>
      <c r="AZ51" s="132"/>
      <c r="BA51" s="132"/>
      <c r="BB51" s="132"/>
      <c r="BC51" s="132"/>
      <c r="BD51" s="132"/>
      <c r="BE51" s="131"/>
    </row>
    <row r="52" spans="1:57" s="4" customFormat="1" ht="12" customHeight="1" x14ac:dyDescent="0.2">
      <c r="A52" s="755" t="s">
        <v>764</v>
      </c>
      <c r="B52" s="1598">
        <f t="shared" ref="B52:O52" si="64">P52+AD52+AR52</f>
        <v>45864700</v>
      </c>
      <c r="C52" s="177">
        <f t="shared" si="64"/>
        <v>37367400</v>
      </c>
      <c r="D52" s="460">
        <f t="shared" si="64"/>
        <v>34918800</v>
      </c>
      <c r="E52" s="460">
        <f t="shared" si="64"/>
        <v>60813500</v>
      </c>
      <c r="F52" s="460">
        <f t="shared" si="64"/>
        <v>51779700</v>
      </c>
      <c r="G52" s="460">
        <f t="shared" si="64"/>
        <v>50452600</v>
      </c>
      <c r="H52" s="460">
        <f t="shared" si="64"/>
        <v>35755200</v>
      </c>
      <c r="I52" s="460">
        <f t="shared" si="64"/>
        <v>58409700</v>
      </c>
      <c r="J52" s="460">
        <f t="shared" si="64"/>
        <v>44791100</v>
      </c>
      <c r="K52" s="460">
        <f t="shared" si="64"/>
        <v>31478500</v>
      </c>
      <c r="L52" s="53">
        <f t="shared" si="64"/>
        <v>29940600</v>
      </c>
      <c r="M52" s="53">
        <f t="shared" si="64"/>
        <v>27927400</v>
      </c>
      <c r="N52" s="53">
        <f t="shared" si="64"/>
        <v>27513900</v>
      </c>
      <c r="O52" s="143">
        <f t="shared" si="64"/>
        <v>29733300</v>
      </c>
      <c r="P52" s="155">
        <f t="shared" ref="P52:BD52" si="65">SUM(P49:P51)</f>
        <v>32878400</v>
      </c>
      <c r="Q52" s="155">
        <f t="shared" si="65"/>
        <v>27291900</v>
      </c>
      <c r="R52" s="53">
        <f t="shared" si="65"/>
        <v>27685700</v>
      </c>
      <c r="S52" s="53">
        <f t="shared" si="65"/>
        <v>47794100</v>
      </c>
      <c r="T52" s="155">
        <f t="shared" si="65"/>
        <v>39287600</v>
      </c>
      <c r="U52" s="155">
        <f t="shared" si="65"/>
        <v>37861100</v>
      </c>
      <c r="V52" s="53">
        <f t="shared" si="65"/>
        <v>21814000</v>
      </c>
      <c r="W52" s="53">
        <f t="shared" si="65"/>
        <v>46575400</v>
      </c>
      <c r="X52" s="53">
        <f t="shared" si="65"/>
        <v>30799100</v>
      </c>
      <c r="Y52" s="53">
        <f t="shared" si="65"/>
        <v>18262900</v>
      </c>
      <c r="Z52" s="53">
        <f t="shared" si="65"/>
        <v>20972100</v>
      </c>
      <c r="AA52" s="53">
        <f t="shared" si="65"/>
        <v>18745900</v>
      </c>
      <c r="AB52" s="177">
        <f t="shared" si="65"/>
        <v>20202400</v>
      </c>
      <c r="AC52" s="2174">
        <f t="shared" ref="AC52" si="66">SUM(AC49:AC51)</f>
        <v>22441800</v>
      </c>
      <c r="AD52" s="155">
        <f t="shared" si="65"/>
        <v>1827100</v>
      </c>
      <c r="AE52" s="155">
        <f t="shared" si="65"/>
        <v>2821700</v>
      </c>
      <c r="AF52" s="53">
        <f t="shared" si="65"/>
        <v>1427000</v>
      </c>
      <c r="AG52" s="460">
        <f t="shared" si="65"/>
        <v>3524000</v>
      </c>
      <c r="AH52" s="460">
        <f t="shared" si="65"/>
        <v>3404000</v>
      </c>
      <c r="AI52" s="460">
        <f t="shared" si="65"/>
        <v>3980000</v>
      </c>
      <c r="AJ52" s="460">
        <f t="shared" si="65"/>
        <v>3636000</v>
      </c>
      <c r="AK52" s="460">
        <f t="shared" si="65"/>
        <v>2261000</v>
      </c>
      <c r="AL52" s="460">
        <f t="shared" si="65"/>
        <v>5942400</v>
      </c>
      <c r="AM52" s="460">
        <f t="shared" si="65"/>
        <v>4638000</v>
      </c>
      <c r="AN52" s="53">
        <f t="shared" si="65"/>
        <v>4098000</v>
      </c>
      <c r="AO52" s="53">
        <f t="shared" si="65"/>
        <v>4095000</v>
      </c>
      <c r="AP52" s="53">
        <f t="shared" si="65"/>
        <v>1909000</v>
      </c>
      <c r="AQ52" s="143">
        <f t="shared" ref="AQ52" si="67">SUM(AQ49:AQ51)</f>
        <v>1751000</v>
      </c>
      <c r="AR52" s="155">
        <f t="shared" si="65"/>
        <v>11159200</v>
      </c>
      <c r="AS52" s="155">
        <f t="shared" si="65"/>
        <v>7253800</v>
      </c>
      <c r="AT52" s="155">
        <f t="shared" si="65"/>
        <v>5806100</v>
      </c>
      <c r="AU52" s="155">
        <f t="shared" si="65"/>
        <v>9495400</v>
      </c>
      <c r="AV52" s="155">
        <f t="shared" si="65"/>
        <v>9088100</v>
      </c>
      <c r="AW52" s="155">
        <f t="shared" si="65"/>
        <v>8611500</v>
      </c>
      <c r="AX52" s="155">
        <f t="shared" si="65"/>
        <v>10305200</v>
      </c>
      <c r="AY52" s="155">
        <f t="shared" si="65"/>
        <v>9573300</v>
      </c>
      <c r="AZ52" s="155">
        <f t="shared" si="65"/>
        <v>8049600</v>
      </c>
      <c r="BA52" s="155">
        <f t="shared" si="65"/>
        <v>8577600</v>
      </c>
      <c r="BB52" s="53">
        <f t="shared" si="65"/>
        <v>4870500</v>
      </c>
      <c r="BC52" s="53">
        <f t="shared" si="65"/>
        <v>5086500</v>
      </c>
      <c r="BD52" s="53">
        <f t="shared" si="65"/>
        <v>5402500</v>
      </c>
      <c r="BE52" s="113">
        <f t="shared" ref="BE52" si="68">SUM(BE49:BE51)</f>
        <v>5540500</v>
      </c>
    </row>
    <row r="53" spans="1:57" s="779" customFormat="1" ht="12" customHeight="1" x14ac:dyDescent="0.2">
      <c r="A53" s="818"/>
      <c r="B53" s="914"/>
      <c r="C53" s="78"/>
      <c r="D53" s="77"/>
      <c r="E53" s="77"/>
      <c r="F53" s="77"/>
      <c r="G53" s="77"/>
      <c r="H53" s="77"/>
      <c r="I53" s="77"/>
      <c r="J53" s="77"/>
      <c r="K53" s="77"/>
      <c r="L53" s="132"/>
      <c r="M53" s="132"/>
      <c r="N53" s="132"/>
      <c r="O53" s="830"/>
      <c r="P53" s="130"/>
      <c r="Q53" s="130"/>
      <c r="R53" s="132"/>
      <c r="S53" s="132"/>
      <c r="T53" s="130"/>
      <c r="U53" s="130"/>
      <c r="V53" s="132"/>
      <c r="W53" s="132"/>
      <c r="X53" s="132"/>
      <c r="Y53" s="132"/>
      <c r="Z53" s="132"/>
      <c r="AA53" s="132"/>
      <c r="AB53" s="78"/>
      <c r="AC53" s="825"/>
      <c r="AD53" s="130"/>
      <c r="AE53" s="130"/>
      <c r="AF53" s="132"/>
      <c r="AG53" s="77"/>
      <c r="AH53" s="77"/>
      <c r="AI53" s="77"/>
      <c r="AJ53" s="77"/>
      <c r="AK53" s="77"/>
      <c r="AL53" s="77"/>
      <c r="AM53" s="77"/>
      <c r="AN53" s="132"/>
      <c r="AO53" s="132"/>
      <c r="AP53" s="132"/>
      <c r="AQ53" s="830"/>
      <c r="AR53" s="130"/>
      <c r="AS53" s="130"/>
      <c r="AT53" s="130"/>
      <c r="AU53" s="132"/>
      <c r="AV53" s="132"/>
      <c r="AW53" s="132"/>
      <c r="AX53" s="132"/>
      <c r="AY53" s="132"/>
      <c r="AZ53" s="132"/>
      <c r="BA53" s="132"/>
      <c r="BB53" s="132"/>
      <c r="BC53" s="132"/>
      <c r="BD53" s="132"/>
      <c r="BE53" s="131"/>
    </row>
    <row r="54" spans="1:57" s="4" customFormat="1" ht="12" customHeight="1" x14ac:dyDescent="0.2">
      <c r="A54" s="754" t="s">
        <v>335</v>
      </c>
      <c r="B54" s="185">
        <f t="shared" ref="B54:O54" si="69">P54+AD54+AR54</f>
        <v>-29394600</v>
      </c>
      <c r="C54" s="74">
        <f t="shared" si="69"/>
        <v>-17559200</v>
      </c>
      <c r="D54" s="79">
        <f t="shared" si="69"/>
        <v>-15295900</v>
      </c>
      <c r="E54" s="79">
        <f t="shared" si="69"/>
        <v>-32575800</v>
      </c>
      <c r="F54" s="79">
        <f t="shared" si="69"/>
        <v>-20636600</v>
      </c>
      <c r="G54" s="79">
        <f t="shared" si="69"/>
        <v>-30084800</v>
      </c>
      <c r="H54" s="79">
        <f t="shared" si="69"/>
        <v>-20016600</v>
      </c>
      <c r="I54" s="79">
        <f t="shared" si="69"/>
        <v>-26967500</v>
      </c>
      <c r="J54" s="79">
        <f t="shared" si="69"/>
        <v>-25740600</v>
      </c>
      <c r="K54" s="79">
        <f t="shared" si="69"/>
        <v>-22484200</v>
      </c>
      <c r="L54" s="64">
        <f t="shared" si="69"/>
        <v>-20798000</v>
      </c>
      <c r="M54" s="64">
        <f t="shared" si="69"/>
        <v>-18633100</v>
      </c>
      <c r="N54" s="64">
        <f t="shared" si="69"/>
        <v>-18066400</v>
      </c>
      <c r="O54" s="117">
        <f t="shared" si="69"/>
        <v>-20130900</v>
      </c>
      <c r="P54" s="128">
        <f t="shared" ref="P54:BD54" si="70">P47-P52</f>
        <v>-20916700</v>
      </c>
      <c r="Q54" s="128">
        <f t="shared" si="70"/>
        <v>-10924600</v>
      </c>
      <c r="R54" s="64">
        <f t="shared" si="70"/>
        <v>-11379200</v>
      </c>
      <c r="S54" s="64">
        <f t="shared" si="70"/>
        <v>-22961300</v>
      </c>
      <c r="T54" s="128">
        <f t="shared" si="70"/>
        <v>-11165000</v>
      </c>
      <c r="U54" s="128">
        <f t="shared" si="70"/>
        <v>-20568800</v>
      </c>
      <c r="V54" s="64">
        <f t="shared" si="70"/>
        <v>-9210900</v>
      </c>
      <c r="W54" s="64">
        <f t="shared" si="70"/>
        <v>-18328700</v>
      </c>
      <c r="X54" s="64">
        <f t="shared" si="70"/>
        <v>-15014100</v>
      </c>
      <c r="Y54" s="64">
        <f t="shared" si="70"/>
        <v>-12594100</v>
      </c>
      <c r="Z54" s="64">
        <f t="shared" si="70"/>
        <v>-15215000</v>
      </c>
      <c r="AA54" s="64">
        <f t="shared" si="70"/>
        <v>-12897100</v>
      </c>
      <c r="AB54" s="74">
        <f t="shared" si="70"/>
        <v>-14260400</v>
      </c>
      <c r="AC54" s="400">
        <f t="shared" ref="AC54" si="71">AC47-AC52</f>
        <v>-16404900</v>
      </c>
      <c r="AD54" s="128">
        <f t="shared" si="70"/>
        <v>-1051000</v>
      </c>
      <c r="AE54" s="128">
        <f t="shared" si="70"/>
        <v>-1921200</v>
      </c>
      <c r="AF54" s="64">
        <f t="shared" si="70"/>
        <v>-344100</v>
      </c>
      <c r="AG54" s="79">
        <f t="shared" si="70"/>
        <v>-2504600</v>
      </c>
      <c r="AH54" s="79">
        <f t="shared" si="70"/>
        <v>-2629000</v>
      </c>
      <c r="AI54" s="79">
        <f t="shared" si="70"/>
        <v>-3180000</v>
      </c>
      <c r="AJ54" s="79">
        <f t="shared" si="70"/>
        <v>-2816000</v>
      </c>
      <c r="AK54" s="79">
        <f t="shared" si="70"/>
        <v>-1421000</v>
      </c>
      <c r="AL54" s="79">
        <f t="shared" si="70"/>
        <v>-5082400</v>
      </c>
      <c r="AM54" s="79">
        <f t="shared" si="70"/>
        <v>-3758000</v>
      </c>
      <c r="AN54" s="64">
        <f t="shared" si="70"/>
        <v>-3198000</v>
      </c>
      <c r="AO54" s="64">
        <f t="shared" si="70"/>
        <v>-3175000</v>
      </c>
      <c r="AP54" s="64">
        <f t="shared" si="70"/>
        <v>-969000</v>
      </c>
      <c r="AQ54" s="117">
        <f t="shared" ref="AQ54" si="72">AQ47-AQ52</f>
        <v>-791000</v>
      </c>
      <c r="AR54" s="128">
        <f t="shared" si="70"/>
        <v>-7426900</v>
      </c>
      <c r="AS54" s="128">
        <f t="shared" si="70"/>
        <v>-4713400</v>
      </c>
      <c r="AT54" s="128">
        <f t="shared" si="70"/>
        <v>-3572600</v>
      </c>
      <c r="AU54" s="128">
        <f t="shared" si="70"/>
        <v>-7109900</v>
      </c>
      <c r="AV54" s="128">
        <f t="shared" si="70"/>
        <v>-6842600</v>
      </c>
      <c r="AW54" s="128">
        <f t="shared" si="70"/>
        <v>-6336000</v>
      </c>
      <c r="AX54" s="128">
        <f t="shared" si="70"/>
        <v>-7989700</v>
      </c>
      <c r="AY54" s="128">
        <f t="shared" si="70"/>
        <v>-7217800</v>
      </c>
      <c r="AZ54" s="128">
        <f t="shared" si="70"/>
        <v>-5644100</v>
      </c>
      <c r="BA54" s="128">
        <f t="shared" si="70"/>
        <v>-6132100</v>
      </c>
      <c r="BB54" s="64">
        <f t="shared" si="70"/>
        <v>-2385000</v>
      </c>
      <c r="BC54" s="64">
        <f t="shared" si="70"/>
        <v>-2561000</v>
      </c>
      <c r="BD54" s="64">
        <f t="shared" si="70"/>
        <v>-2837000</v>
      </c>
      <c r="BE54" s="115">
        <f t="shared" ref="BE54" si="73">BE47-BE52</f>
        <v>-2935000</v>
      </c>
    </row>
    <row r="55" spans="1:57" s="779" customFormat="1" ht="12" customHeight="1" thickBot="1" x14ac:dyDescent="0.25">
      <c r="A55" s="818"/>
      <c r="B55" s="914"/>
      <c r="C55" s="78"/>
      <c r="D55" s="77"/>
      <c r="E55" s="77"/>
      <c r="F55" s="77"/>
      <c r="G55" s="77"/>
      <c r="H55" s="77"/>
      <c r="I55" s="77"/>
      <c r="J55" s="77"/>
      <c r="K55" s="77"/>
      <c r="L55" s="132"/>
      <c r="M55" s="132"/>
      <c r="N55" s="132"/>
      <c r="O55" s="830"/>
      <c r="P55" s="130"/>
      <c r="Q55" s="130"/>
      <c r="R55" s="132"/>
      <c r="S55" s="132"/>
      <c r="T55" s="130"/>
      <c r="U55" s="130"/>
      <c r="V55" s="132"/>
      <c r="W55" s="132"/>
      <c r="X55" s="132"/>
      <c r="Y55" s="132"/>
      <c r="Z55" s="132"/>
      <c r="AA55" s="132"/>
      <c r="AB55" s="78"/>
      <c r="AC55" s="825"/>
      <c r="AD55" s="130"/>
      <c r="AE55" s="130"/>
      <c r="AF55" s="132"/>
      <c r="AG55" s="77"/>
      <c r="AH55" s="77"/>
      <c r="AI55" s="77"/>
      <c r="AJ55" s="77"/>
      <c r="AK55" s="77"/>
      <c r="AL55" s="77"/>
      <c r="AM55" s="77"/>
      <c r="AN55" s="132"/>
      <c r="AO55" s="132"/>
      <c r="AP55" s="132"/>
      <c r="AQ55" s="830"/>
      <c r="AR55" s="130"/>
      <c r="AS55" s="130"/>
      <c r="AT55" s="130"/>
      <c r="AU55" s="132"/>
      <c r="AV55" s="132"/>
      <c r="AW55" s="132"/>
      <c r="AX55" s="132"/>
      <c r="AY55" s="132"/>
      <c r="AZ55" s="132"/>
      <c r="BA55" s="132"/>
      <c r="BB55" s="132"/>
      <c r="BC55" s="132"/>
      <c r="BD55" s="132"/>
      <c r="BE55" s="131"/>
    </row>
    <row r="56" spans="1:57" s="4" customFormat="1" ht="12" customHeight="1" thickBot="1" x14ac:dyDescent="0.25">
      <c r="A56" s="758" t="s">
        <v>74</v>
      </c>
      <c r="B56" s="1599">
        <f t="shared" ref="B56:O56" si="74">P56+AD56+AR56</f>
        <v>-17405100</v>
      </c>
      <c r="C56" s="1130">
        <f t="shared" si="74"/>
        <v>-1686400</v>
      </c>
      <c r="D56" s="464">
        <f t="shared" si="74"/>
        <v>-282900</v>
      </c>
      <c r="E56" s="464">
        <f t="shared" si="74"/>
        <v>-14159800</v>
      </c>
      <c r="F56" s="464">
        <f t="shared" si="74"/>
        <v>-1017600</v>
      </c>
      <c r="G56" s="464">
        <f t="shared" si="74"/>
        <v>-8908900</v>
      </c>
      <c r="H56" s="464">
        <f t="shared" si="74"/>
        <v>2515500</v>
      </c>
      <c r="I56" s="464">
        <f t="shared" si="74"/>
        <v>-3114000</v>
      </c>
      <c r="J56" s="464">
        <f t="shared" si="74"/>
        <v>-673000</v>
      </c>
      <c r="K56" s="464">
        <f t="shared" si="74"/>
        <v>4025900</v>
      </c>
      <c r="L56" s="465">
        <f t="shared" si="74"/>
        <v>7314000</v>
      </c>
      <c r="M56" s="465">
        <f t="shared" si="74"/>
        <v>10803300</v>
      </c>
      <c r="N56" s="465">
        <f t="shared" si="74"/>
        <v>13418100</v>
      </c>
      <c r="O56" s="467">
        <f t="shared" si="74"/>
        <v>13395900</v>
      </c>
      <c r="P56" s="466">
        <f t="shared" ref="P56:BD56" si="75">P54+P36</f>
        <v>-10840000</v>
      </c>
      <c r="Q56" s="466">
        <f t="shared" si="75"/>
        <v>1905000</v>
      </c>
      <c r="R56" s="465">
        <f t="shared" si="75"/>
        <v>-1109300</v>
      </c>
      <c r="S56" s="465">
        <f t="shared" si="75"/>
        <v>-10062500</v>
      </c>
      <c r="T56" s="466">
        <f t="shared" si="75"/>
        <v>1803100</v>
      </c>
      <c r="U56" s="466">
        <f t="shared" si="75"/>
        <v>-6607100</v>
      </c>
      <c r="V56" s="465">
        <f t="shared" si="75"/>
        <v>5645700</v>
      </c>
      <c r="W56" s="465">
        <f t="shared" si="75"/>
        <v>-2983300</v>
      </c>
      <c r="X56" s="465">
        <f t="shared" si="75"/>
        <v>746400</v>
      </c>
      <c r="Y56" s="465">
        <f t="shared" si="75"/>
        <v>3961300</v>
      </c>
      <c r="Z56" s="465">
        <f t="shared" si="75"/>
        <v>2050800</v>
      </c>
      <c r="AA56" s="465">
        <f t="shared" si="75"/>
        <v>4765700</v>
      </c>
      <c r="AB56" s="1130">
        <f t="shared" si="75"/>
        <v>4345800</v>
      </c>
      <c r="AC56" s="2179">
        <f t="shared" ref="AC56" si="76">AC54+AC36</f>
        <v>3079500</v>
      </c>
      <c r="AD56" s="466">
        <f t="shared" si="75"/>
        <v>386000</v>
      </c>
      <c r="AE56" s="466">
        <f t="shared" si="75"/>
        <v>-367000</v>
      </c>
      <c r="AF56" s="465">
        <f t="shared" si="75"/>
        <v>1504000</v>
      </c>
      <c r="AG56" s="464">
        <f t="shared" si="75"/>
        <v>-432600</v>
      </c>
      <c r="AH56" s="464">
        <f t="shared" si="75"/>
        <v>-285100</v>
      </c>
      <c r="AI56" s="464">
        <f t="shared" si="75"/>
        <v>-843400</v>
      </c>
      <c r="AJ56" s="464">
        <f t="shared" si="75"/>
        <v>-424400</v>
      </c>
      <c r="AK56" s="464">
        <f t="shared" si="75"/>
        <v>1175800</v>
      </c>
      <c r="AL56" s="464">
        <f t="shared" si="75"/>
        <v>-2230600</v>
      </c>
      <c r="AM56" s="464">
        <f t="shared" si="75"/>
        <v>-803000</v>
      </c>
      <c r="AN56" s="465">
        <f t="shared" si="75"/>
        <v>21300</v>
      </c>
      <c r="AO56" s="465">
        <f t="shared" si="75"/>
        <v>299300</v>
      </c>
      <c r="AP56" s="465">
        <f t="shared" si="75"/>
        <v>2784100</v>
      </c>
      <c r="AQ56" s="467">
        <f t="shared" ref="AQ56" si="77">AQ54+AQ36</f>
        <v>3339200</v>
      </c>
      <c r="AR56" s="466">
        <f t="shared" si="75"/>
        <v>-6951100</v>
      </c>
      <c r="AS56" s="466">
        <f t="shared" si="75"/>
        <v>-3224400</v>
      </c>
      <c r="AT56" s="466">
        <f t="shared" si="75"/>
        <v>-677600</v>
      </c>
      <c r="AU56" s="466">
        <f t="shared" si="75"/>
        <v>-3664700</v>
      </c>
      <c r="AV56" s="466">
        <f t="shared" si="75"/>
        <v>-2535600</v>
      </c>
      <c r="AW56" s="466">
        <f t="shared" si="75"/>
        <v>-1458400</v>
      </c>
      <c r="AX56" s="466">
        <f t="shared" si="75"/>
        <v>-2705800</v>
      </c>
      <c r="AY56" s="466">
        <f t="shared" si="75"/>
        <v>-1306500</v>
      </c>
      <c r="AZ56" s="466">
        <f t="shared" si="75"/>
        <v>811200</v>
      </c>
      <c r="BA56" s="466">
        <f t="shared" si="75"/>
        <v>867600</v>
      </c>
      <c r="BB56" s="465">
        <f t="shared" si="75"/>
        <v>5241900</v>
      </c>
      <c r="BC56" s="465">
        <f t="shared" si="75"/>
        <v>5738300</v>
      </c>
      <c r="BD56" s="465">
        <f t="shared" si="75"/>
        <v>6288200</v>
      </c>
      <c r="BE56" s="1754">
        <f t="shared" ref="BE56" si="78">BE54+BE36</f>
        <v>6977200</v>
      </c>
    </row>
    <row r="57" spans="1:57" s="1" customFormat="1" ht="13.5" thickTop="1" x14ac:dyDescent="0.2">
      <c r="A57" s="756" t="s">
        <v>589</v>
      </c>
      <c r="B57" s="1600"/>
      <c r="C57" s="915"/>
      <c r="D57" s="908"/>
      <c r="E57" s="908"/>
      <c r="F57" s="908"/>
      <c r="G57" s="908"/>
      <c r="H57" s="908"/>
      <c r="I57" s="908"/>
      <c r="J57" s="908"/>
      <c r="K57" s="908"/>
      <c r="L57" s="909"/>
      <c r="M57" s="909"/>
      <c r="N57" s="909"/>
      <c r="O57" s="913"/>
      <c r="P57" s="910"/>
      <c r="Q57" s="910"/>
      <c r="R57" s="2704"/>
      <c r="S57" s="2704"/>
      <c r="T57" s="2429"/>
      <c r="U57" s="2429"/>
      <c r="V57" s="909"/>
      <c r="W57" s="909"/>
      <c r="X57" s="909"/>
      <c r="Y57" s="909"/>
      <c r="Z57" s="909"/>
      <c r="AA57" s="909"/>
      <c r="AB57" s="915"/>
      <c r="AC57" s="2175"/>
      <c r="AD57" s="910"/>
      <c r="AE57" s="910"/>
      <c r="AF57" s="909"/>
      <c r="AG57" s="908"/>
      <c r="AH57" s="908"/>
      <c r="AI57" s="908"/>
      <c r="AJ57" s="908"/>
      <c r="AK57" s="908"/>
      <c r="AL57" s="908"/>
      <c r="AM57" s="908"/>
      <c r="AN57" s="909"/>
      <c r="AO57" s="909"/>
      <c r="AP57" s="909"/>
      <c r="AQ57" s="913"/>
      <c r="AR57" s="910"/>
      <c r="AS57" s="910"/>
      <c r="AT57" s="910"/>
      <c r="AU57" s="909"/>
      <c r="AV57" s="909"/>
      <c r="AW57" s="909"/>
      <c r="AX57" s="909"/>
      <c r="AY57" s="909"/>
      <c r="AZ57" s="909"/>
      <c r="BA57" s="909"/>
      <c r="BB57" s="909"/>
      <c r="BC57" s="909"/>
      <c r="BD57" s="909"/>
      <c r="BE57" s="911"/>
    </row>
    <row r="58" spans="1:57" s="779" customFormat="1" x14ac:dyDescent="0.2">
      <c r="A58" s="818" t="s">
        <v>247</v>
      </c>
      <c r="B58" s="914">
        <f t="shared" ref="B58:O60" si="79">P58+AD58+AR58</f>
        <v>1102800</v>
      </c>
      <c r="C58" s="78">
        <f t="shared" si="79"/>
        <v>184400</v>
      </c>
      <c r="D58" s="77">
        <f t="shared" si="79"/>
        <v>1122800</v>
      </c>
      <c r="E58" s="77">
        <f t="shared" si="79"/>
        <v>-1745700</v>
      </c>
      <c r="F58" s="77">
        <f t="shared" si="79"/>
        <v>3904800</v>
      </c>
      <c r="G58" s="77">
        <f t="shared" si="79"/>
        <v>-13633200</v>
      </c>
      <c r="H58" s="77">
        <f t="shared" si="79"/>
        <v>231400</v>
      </c>
      <c r="I58" s="77">
        <f t="shared" si="79"/>
        <v>-3337300</v>
      </c>
      <c r="J58" s="77">
        <f t="shared" si="79"/>
        <v>-511400</v>
      </c>
      <c r="K58" s="77">
        <f t="shared" si="79"/>
        <v>802200</v>
      </c>
      <c r="L58" s="132">
        <f t="shared" si="79"/>
        <v>2287900</v>
      </c>
      <c r="M58" s="132">
        <f t="shared" si="79"/>
        <v>3867500</v>
      </c>
      <c r="N58" s="132">
        <f t="shared" si="79"/>
        <v>4820900</v>
      </c>
      <c r="O58" s="830">
        <f t="shared" si="79"/>
        <v>3262500</v>
      </c>
      <c r="P58" s="130">
        <f>'Cash-Gen'!A87</f>
        <v>453400</v>
      </c>
      <c r="Q58" s="130">
        <f>'Cash-Gen'!B87</f>
        <v>-275200</v>
      </c>
      <c r="R58" s="132">
        <f>'Cash-Gen'!C87</f>
        <v>-1630500</v>
      </c>
      <c r="S58" s="132">
        <f>'Cash-Gen'!E87</f>
        <v>-186600</v>
      </c>
      <c r="T58" s="130">
        <f>'Cash-Gen'!F87</f>
        <v>5311800</v>
      </c>
      <c r="U58" s="130">
        <f>'Cash-Gen'!G87</f>
        <v>-8404100</v>
      </c>
      <c r="V58" s="132">
        <f>'Cash-Gen'!H87</f>
        <v>6402100</v>
      </c>
      <c r="W58" s="132">
        <f>'Cash-Gen'!I87</f>
        <v>-2449000</v>
      </c>
      <c r="X58" s="132">
        <f>'Cash-Gen'!J87</f>
        <v>-154700</v>
      </c>
      <c r="Y58" s="132">
        <f>'Cash-Gen'!K87</f>
        <v>3283400</v>
      </c>
      <c r="Z58" s="132">
        <f>'Cash-Gen'!L87</f>
        <v>1751400</v>
      </c>
      <c r="AA58" s="132">
        <f>'Cash-Gen'!M87</f>
        <v>3583000</v>
      </c>
      <c r="AB58" s="78">
        <f>'Cash-Gen'!N87</f>
        <v>3763200</v>
      </c>
      <c r="AC58" s="825">
        <f>'Cash-Gen'!O87</f>
        <v>2216200</v>
      </c>
      <c r="AD58" s="130">
        <f>AD56-AD59-AD60</f>
        <v>-593100</v>
      </c>
      <c r="AE58" s="130">
        <f>AE56-AE59</f>
        <v>-1069300</v>
      </c>
      <c r="AF58" s="132">
        <f t="shared" ref="AF58:AN58" si="80">AF56-AF59</f>
        <v>1043000</v>
      </c>
      <c r="AG58" s="77">
        <f t="shared" si="80"/>
        <v>-721500</v>
      </c>
      <c r="AH58" s="77">
        <f t="shared" si="80"/>
        <v>-334600</v>
      </c>
      <c r="AI58" s="77">
        <f t="shared" si="80"/>
        <v>-1964600</v>
      </c>
      <c r="AJ58" s="77">
        <f t="shared" si="80"/>
        <v>-543700</v>
      </c>
      <c r="AK58" s="77">
        <f t="shared" si="80"/>
        <v>698200</v>
      </c>
      <c r="AL58" s="77">
        <f t="shared" si="80"/>
        <v>-690000</v>
      </c>
      <c r="AM58" s="77">
        <f t="shared" si="80"/>
        <v>-2248000</v>
      </c>
      <c r="AN58" s="132">
        <f t="shared" si="80"/>
        <v>312900</v>
      </c>
      <c r="AO58" s="132">
        <f t="shared" ref="AO58:AP58" si="81">AO56-AO59</f>
        <v>114900</v>
      </c>
      <c r="AP58" s="132">
        <f t="shared" si="81"/>
        <v>941300</v>
      </c>
      <c r="AQ58" s="830">
        <f t="shared" ref="AQ58" si="82">AQ56-AQ59</f>
        <v>986300</v>
      </c>
      <c r="AR58" s="914">
        <f>AR56-AR59-AR60</f>
        <v>1242500</v>
      </c>
      <c r="AS58" s="130">
        <f>AS56-AS59</f>
        <v>1528900</v>
      </c>
      <c r="AT58" s="130">
        <f t="shared" ref="AT58:BB58" si="83">AT56-AT59</f>
        <v>1710300</v>
      </c>
      <c r="AU58" s="130">
        <f t="shared" si="83"/>
        <v>-837600</v>
      </c>
      <c r="AV58" s="130">
        <f t="shared" si="83"/>
        <v>-1072400</v>
      </c>
      <c r="AW58" s="130">
        <f t="shared" si="83"/>
        <v>-3264500</v>
      </c>
      <c r="AX58" s="130">
        <f t="shared" si="83"/>
        <v>-5627000</v>
      </c>
      <c r="AY58" s="130">
        <f t="shared" si="83"/>
        <v>-1586500</v>
      </c>
      <c r="AZ58" s="130">
        <f t="shared" si="83"/>
        <v>333300</v>
      </c>
      <c r="BA58" s="130">
        <f t="shared" si="83"/>
        <v>-233200</v>
      </c>
      <c r="BB58" s="132">
        <f t="shared" si="83"/>
        <v>223600</v>
      </c>
      <c r="BC58" s="132">
        <f t="shared" ref="BC58" si="84">BC56-BC59</f>
        <v>169600</v>
      </c>
      <c r="BD58" s="132">
        <f t="shared" ref="BD58" si="85">BD56-BD59</f>
        <v>116400</v>
      </c>
      <c r="BE58" s="131">
        <f t="shared" ref="BE58" si="86">BE56-BE59</f>
        <v>60000</v>
      </c>
    </row>
    <row r="59" spans="1:57" s="779" customFormat="1" x14ac:dyDescent="0.2">
      <c r="A59" s="818" t="s">
        <v>1329</v>
      </c>
      <c r="B59" s="914">
        <f t="shared" si="79"/>
        <v>-18507900</v>
      </c>
      <c r="C59" s="78">
        <f t="shared" si="79"/>
        <v>-1870800</v>
      </c>
      <c r="D59" s="77">
        <f t="shared" si="79"/>
        <v>-1405700</v>
      </c>
      <c r="E59" s="77">
        <f t="shared" si="79"/>
        <v>-12482000</v>
      </c>
      <c r="F59" s="77">
        <f t="shared" si="79"/>
        <v>-4777200</v>
      </c>
      <c r="G59" s="77">
        <f t="shared" si="79"/>
        <v>5089500</v>
      </c>
      <c r="H59" s="77">
        <f t="shared" si="79"/>
        <v>2710400</v>
      </c>
      <c r="I59" s="77">
        <f t="shared" si="79"/>
        <v>714200</v>
      </c>
      <c r="J59" s="77">
        <f t="shared" si="79"/>
        <v>202400</v>
      </c>
      <c r="K59" s="77">
        <f t="shared" si="79"/>
        <v>3517500</v>
      </c>
      <c r="L59" s="132">
        <f t="shared" si="79"/>
        <v>5128300</v>
      </c>
      <c r="M59" s="132">
        <f t="shared" si="79"/>
        <v>7005000</v>
      </c>
      <c r="N59" s="132">
        <f t="shared" si="79"/>
        <v>8669200</v>
      </c>
      <c r="O59" s="830">
        <f t="shared" si="79"/>
        <v>10056700</v>
      </c>
      <c r="P59" s="130">
        <f>'Cash-Gen'!A86</f>
        <v>-11293400</v>
      </c>
      <c r="Q59" s="130">
        <f>'Cash-Gen'!B86</f>
        <v>2180200</v>
      </c>
      <c r="R59" s="132">
        <f>'Cash-Gen'!C86</f>
        <v>521200</v>
      </c>
      <c r="S59" s="132">
        <f>'Cash-Gen'!E86</f>
        <v>-9943800</v>
      </c>
      <c r="T59" s="130">
        <f>'Cash-Gen'!F86</f>
        <v>-3363500</v>
      </c>
      <c r="U59" s="130">
        <f>'Cash-Gen'!G86</f>
        <v>2162200</v>
      </c>
      <c r="V59" s="132">
        <f>'Cash-Gen'!H86</f>
        <v>-330100</v>
      </c>
      <c r="W59" s="132">
        <f>'Cash-Gen'!I86</f>
        <v>-43400</v>
      </c>
      <c r="X59" s="132">
        <f>'Cash-Gen'!J86</f>
        <v>1265100</v>
      </c>
      <c r="Y59" s="132">
        <f>'Cash-Gen'!K86</f>
        <v>971700</v>
      </c>
      <c r="Z59" s="132">
        <f>'Cash-Gen'!L86</f>
        <v>401600</v>
      </c>
      <c r="AA59" s="132">
        <f>'Cash-Gen'!M86</f>
        <v>1251900</v>
      </c>
      <c r="AB59" s="78">
        <f>'Cash-Gen'!N86</f>
        <v>654600</v>
      </c>
      <c r="AC59" s="825">
        <f>'Cash-Gen'!O86</f>
        <v>786600</v>
      </c>
      <c r="AD59" s="130">
        <f>'Cash-W'!A51</f>
        <v>979100</v>
      </c>
      <c r="AE59" s="130">
        <f>'Cash-W'!B51</f>
        <v>702300</v>
      </c>
      <c r="AF59" s="132">
        <f>'Cash-W'!C51</f>
        <v>461000</v>
      </c>
      <c r="AG59" s="77">
        <f>'Cash-W'!F51</f>
        <v>288900</v>
      </c>
      <c r="AH59" s="77">
        <f>'Cash-W'!G51</f>
        <v>49500</v>
      </c>
      <c r="AI59" s="77">
        <f>'Cash-W'!H51</f>
        <v>1121200</v>
      </c>
      <c r="AJ59" s="77">
        <f>'Cash-W'!I51</f>
        <v>119300</v>
      </c>
      <c r="AK59" s="77">
        <f>'Cash-W'!J51</f>
        <v>477600</v>
      </c>
      <c r="AL59" s="77">
        <f>'Cash-W'!K51</f>
        <v>-1540600</v>
      </c>
      <c r="AM59" s="77">
        <f>'Cash-W'!L51</f>
        <v>1445000</v>
      </c>
      <c r="AN59" s="132">
        <f>'Cash-W'!M51</f>
        <v>-291600</v>
      </c>
      <c r="AO59" s="132">
        <f>'Cash-W'!N51</f>
        <v>184400</v>
      </c>
      <c r="AP59" s="132">
        <f>'Cash-W'!O51</f>
        <v>1842800</v>
      </c>
      <c r="AQ59" s="830">
        <f>'Cash-W'!P51</f>
        <v>2352900</v>
      </c>
      <c r="AR59" s="130">
        <f>'Cash-WW'!A51</f>
        <v>-8193600</v>
      </c>
      <c r="AS59" s="130">
        <f>'Cash-WW'!B51</f>
        <v>-4753300</v>
      </c>
      <c r="AT59" s="130">
        <f>'Cash-WW'!C51</f>
        <v>-2387900</v>
      </c>
      <c r="AU59" s="130">
        <f>'Cash-WW'!F51</f>
        <v>-2827100</v>
      </c>
      <c r="AV59" s="130">
        <f>'Cash-WW'!G51</f>
        <v>-1463200</v>
      </c>
      <c r="AW59" s="130">
        <f>'Cash-WW'!H51</f>
        <v>1806100</v>
      </c>
      <c r="AX59" s="130">
        <f>'Cash-WW'!I51</f>
        <v>2921200</v>
      </c>
      <c r="AY59" s="130">
        <f>'Cash-WW'!J51</f>
        <v>280000</v>
      </c>
      <c r="AZ59" s="130">
        <f>'Cash-WW'!K51</f>
        <v>477900</v>
      </c>
      <c r="BA59" s="130">
        <f>'Cash-WW'!L51</f>
        <v>1100800</v>
      </c>
      <c r="BB59" s="132">
        <f>'Cash-WW'!M51</f>
        <v>5018300</v>
      </c>
      <c r="BC59" s="132">
        <f>'Cash-WW'!N51</f>
        <v>5568700</v>
      </c>
      <c r="BD59" s="132">
        <f>'Cash-WW'!O51</f>
        <v>6171800</v>
      </c>
      <c r="BE59" s="131">
        <f>'Cash-WW'!P51</f>
        <v>6917200</v>
      </c>
    </row>
    <row r="60" spans="1:57" s="779" customFormat="1" x14ac:dyDescent="0.2">
      <c r="A60" s="818" t="s">
        <v>2119</v>
      </c>
      <c r="B60" s="914">
        <f t="shared" si="79"/>
        <v>0</v>
      </c>
      <c r="C60" s="78">
        <f t="shared" si="79"/>
        <v>0</v>
      </c>
      <c r="D60" s="77">
        <f t="shared" si="79"/>
        <v>0</v>
      </c>
      <c r="E60" s="77">
        <f t="shared" si="79"/>
        <v>67900</v>
      </c>
      <c r="F60" s="77">
        <f t="shared" si="79"/>
        <v>-145200</v>
      </c>
      <c r="G60" s="77">
        <f t="shared" si="79"/>
        <v>-365200</v>
      </c>
      <c r="H60" s="77">
        <f t="shared" si="79"/>
        <v>-426300</v>
      </c>
      <c r="I60" s="77">
        <f t="shared" si="79"/>
        <v>-490900</v>
      </c>
      <c r="J60" s="77">
        <f t="shared" si="79"/>
        <v>-364000</v>
      </c>
      <c r="K60" s="77">
        <f t="shared" si="79"/>
        <v>-293800</v>
      </c>
      <c r="L60" s="132">
        <f t="shared" si="79"/>
        <v>-102200</v>
      </c>
      <c r="M60" s="132">
        <f t="shared" si="79"/>
        <v>-69200</v>
      </c>
      <c r="N60" s="132">
        <f t="shared" si="79"/>
        <v>-72000</v>
      </c>
      <c r="O60" s="830">
        <f t="shared" si="79"/>
        <v>76700</v>
      </c>
      <c r="P60" s="130">
        <f>ROUND('Cash-Gen'!A88,-2)</f>
        <v>0</v>
      </c>
      <c r="Q60" s="130">
        <f>'Cash-Gen'!B88</f>
        <v>0</v>
      </c>
      <c r="R60" s="132">
        <f>'Cash-Gen'!C88</f>
        <v>0</v>
      </c>
      <c r="S60" s="132">
        <f>'Cash-Gen'!E88</f>
        <v>67900</v>
      </c>
      <c r="T60" s="130">
        <f>'Cash-Gen'!F88</f>
        <v>-145200</v>
      </c>
      <c r="U60" s="130">
        <f>'Cash-Gen'!G88</f>
        <v>-365200</v>
      </c>
      <c r="V60" s="132">
        <f>'Cash-Gen'!H88</f>
        <v>-426300</v>
      </c>
      <c r="W60" s="132">
        <f>'Cash-Gen'!I88</f>
        <v>-490900</v>
      </c>
      <c r="X60" s="132">
        <f>'Cash-Gen'!J88</f>
        <v>-364000</v>
      </c>
      <c r="Y60" s="132">
        <f>'Cash-Gen'!K88</f>
        <v>-293800</v>
      </c>
      <c r="Z60" s="132">
        <f>'Cash-Gen'!L88</f>
        <v>-102200</v>
      </c>
      <c r="AA60" s="132">
        <f>'Cash-Gen'!M88</f>
        <v>-69200</v>
      </c>
      <c r="AB60" s="78">
        <f>'Cash-Gen'!N88</f>
        <v>-72000</v>
      </c>
      <c r="AC60" s="825">
        <f>'Cash-Gen'!O88</f>
        <v>76700</v>
      </c>
      <c r="AD60" s="130">
        <v>0</v>
      </c>
      <c r="AE60" s="130">
        <v>0</v>
      </c>
      <c r="AF60" s="132">
        <v>0</v>
      </c>
      <c r="AG60" s="77">
        <v>0</v>
      </c>
      <c r="AH60" s="77">
        <v>0</v>
      </c>
      <c r="AI60" s="77">
        <v>0</v>
      </c>
      <c r="AJ60" s="77">
        <v>0</v>
      </c>
      <c r="AK60" s="77">
        <v>0</v>
      </c>
      <c r="AL60" s="77">
        <v>0</v>
      </c>
      <c r="AM60" s="77">
        <v>0</v>
      </c>
      <c r="AN60" s="132">
        <v>0</v>
      </c>
      <c r="AO60" s="132">
        <v>0</v>
      </c>
      <c r="AP60" s="132">
        <v>0</v>
      </c>
      <c r="AQ60" s="830">
        <v>0</v>
      </c>
      <c r="AR60" s="130">
        <v>0</v>
      </c>
      <c r="AS60" s="130">
        <v>0</v>
      </c>
      <c r="AT60" s="130">
        <v>0</v>
      </c>
      <c r="AU60" s="130">
        <v>0</v>
      </c>
      <c r="AV60" s="130">
        <v>0</v>
      </c>
      <c r="AW60" s="130">
        <v>0</v>
      </c>
      <c r="AX60" s="130">
        <v>0</v>
      </c>
      <c r="AY60" s="130">
        <v>0</v>
      </c>
      <c r="AZ60" s="130">
        <v>0</v>
      </c>
      <c r="BA60" s="130">
        <v>0</v>
      </c>
      <c r="BB60" s="132">
        <v>0</v>
      </c>
      <c r="BC60" s="132">
        <v>0</v>
      </c>
      <c r="BD60" s="132">
        <v>0</v>
      </c>
      <c r="BE60" s="131">
        <v>0</v>
      </c>
    </row>
    <row r="61" spans="1:57" s="779" customFormat="1" x14ac:dyDescent="0.2">
      <c r="A61" s="818"/>
      <c r="B61" s="914"/>
      <c r="C61" s="78"/>
      <c r="D61" s="77"/>
      <c r="E61" s="77"/>
      <c r="F61" s="77"/>
      <c r="G61" s="77"/>
      <c r="H61" s="77"/>
      <c r="I61" s="77"/>
      <c r="J61" s="77"/>
      <c r="K61" s="77"/>
      <c r="L61" s="132"/>
      <c r="M61" s="132"/>
      <c r="N61" s="132"/>
      <c r="O61" s="830"/>
      <c r="P61" s="130"/>
      <c r="Q61" s="130"/>
      <c r="R61" s="132"/>
      <c r="S61" s="132"/>
      <c r="T61" s="130"/>
      <c r="U61" s="130"/>
      <c r="V61" s="132"/>
      <c r="W61" s="132"/>
      <c r="X61" s="132"/>
      <c r="Y61" s="132"/>
      <c r="Z61" s="132"/>
      <c r="AA61" s="132"/>
      <c r="AB61" s="78"/>
      <c r="AC61" s="825"/>
      <c r="AD61" s="130"/>
      <c r="AE61" s="130"/>
      <c r="AF61" s="132"/>
      <c r="AG61" s="77"/>
      <c r="AH61" s="77"/>
      <c r="AI61" s="77"/>
      <c r="AJ61" s="77"/>
      <c r="AK61" s="77"/>
      <c r="AL61" s="77"/>
      <c r="AM61" s="77"/>
      <c r="AN61" s="132"/>
      <c r="AO61" s="132"/>
      <c r="AP61" s="132"/>
      <c r="AQ61" s="830"/>
      <c r="AR61" s="130"/>
      <c r="AS61" s="130"/>
      <c r="AT61" s="130"/>
      <c r="AU61" s="130"/>
      <c r="AV61" s="130"/>
      <c r="AW61" s="130"/>
      <c r="AX61" s="130"/>
      <c r="AY61" s="130"/>
      <c r="AZ61" s="130"/>
      <c r="BA61" s="130"/>
      <c r="BB61" s="132"/>
      <c r="BC61" s="132"/>
      <c r="BD61" s="132"/>
      <c r="BE61" s="131"/>
    </row>
    <row r="62" spans="1:57" s="779" customFormat="1" x14ac:dyDescent="0.2">
      <c r="A62" s="818" t="s">
        <v>89</v>
      </c>
      <c r="B62" s="914">
        <f>ROUND(B56-B58-B59-B60,-3)</f>
        <v>0</v>
      </c>
      <c r="C62" s="78">
        <f t="shared" ref="C62:L62" si="87">ROUND(C56-C58-C59-C60,-3)</f>
        <v>0</v>
      </c>
      <c r="D62" s="77">
        <f t="shared" si="87"/>
        <v>0</v>
      </c>
      <c r="E62" s="77">
        <f>ROUND(E56-E58-E59-E60,-3)</f>
        <v>0</v>
      </c>
      <c r="F62" s="77">
        <f t="shared" si="87"/>
        <v>0</v>
      </c>
      <c r="G62" s="77">
        <f t="shared" si="87"/>
        <v>0</v>
      </c>
      <c r="H62" s="77">
        <f>ROUND(H56-H58-H59-H60,-3)</f>
        <v>0</v>
      </c>
      <c r="I62" s="77">
        <f>ROUND(I56-I58-I59-I60,-3)</f>
        <v>0</v>
      </c>
      <c r="J62" s="77">
        <f t="shared" si="87"/>
        <v>0</v>
      </c>
      <c r="K62" s="77">
        <f t="shared" si="87"/>
        <v>0</v>
      </c>
      <c r="L62" s="132">
        <f t="shared" si="87"/>
        <v>0</v>
      </c>
      <c r="M62" s="132">
        <f t="shared" ref="M62" si="88">ROUND(M56-M58-M59-M60,-3)</f>
        <v>0</v>
      </c>
      <c r="N62" s="132">
        <f t="shared" ref="N62" si="89">ROUND(N56-N58-N59-N60,-3)</f>
        <v>0</v>
      </c>
      <c r="O62" s="830">
        <f t="shared" ref="O62" si="90">ROUND(O56-O58-O59-O60,-3)</f>
        <v>0</v>
      </c>
      <c r="P62" s="130">
        <f>ROUND(P56-P58-P59-P60,-3)</f>
        <v>0</v>
      </c>
      <c r="Q62" s="130">
        <f t="shared" ref="Q62:Z62" si="91">ROUND(Q56-Q58-Q59-Q60,-3)</f>
        <v>0</v>
      </c>
      <c r="R62" s="130">
        <f>ROUND(R56-R58-R59-R60,-3)</f>
        <v>0</v>
      </c>
      <c r="S62" s="130">
        <f t="shared" si="91"/>
        <v>0</v>
      </c>
      <c r="T62" s="130">
        <f t="shared" si="91"/>
        <v>0</v>
      </c>
      <c r="U62" s="130">
        <f t="shared" si="91"/>
        <v>0</v>
      </c>
      <c r="V62" s="130">
        <f>ROUND(V56-V58-V59-V60,-3)</f>
        <v>0</v>
      </c>
      <c r="W62" s="130">
        <f>ROUND(W56-W58-W59-W60,-3)</f>
        <v>0</v>
      </c>
      <c r="X62" s="130">
        <f t="shared" si="91"/>
        <v>0</v>
      </c>
      <c r="Y62" s="130">
        <f t="shared" si="91"/>
        <v>0</v>
      </c>
      <c r="Z62" s="132">
        <f t="shared" si="91"/>
        <v>0</v>
      </c>
      <c r="AA62" s="132">
        <f t="shared" ref="AA62:AB62" si="92">ROUND(AA56-AA58-AA59-AA60,-3)</f>
        <v>0</v>
      </c>
      <c r="AB62" s="78">
        <f t="shared" si="92"/>
        <v>0</v>
      </c>
      <c r="AC62" s="825">
        <f t="shared" ref="AC62" si="93">ROUND(AC56-AC58-AC59-AC60,-3)</f>
        <v>0</v>
      </c>
      <c r="AD62" s="130">
        <f t="shared" ref="AD62:BB62" si="94">AD56-AD58-AD59-AD60</f>
        <v>0</v>
      </c>
      <c r="AE62" s="130">
        <f t="shared" si="94"/>
        <v>0</v>
      </c>
      <c r="AF62" s="132">
        <f t="shared" si="94"/>
        <v>0</v>
      </c>
      <c r="AG62" s="77">
        <f t="shared" si="94"/>
        <v>0</v>
      </c>
      <c r="AH62" s="77">
        <f t="shared" si="94"/>
        <v>0</v>
      </c>
      <c r="AI62" s="77">
        <f t="shared" si="94"/>
        <v>0</v>
      </c>
      <c r="AJ62" s="77">
        <f t="shared" si="94"/>
        <v>0</v>
      </c>
      <c r="AK62" s="77">
        <f t="shared" si="94"/>
        <v>0</v>
      </c>
      <c r="AL62" s="77">
        <f t="shared" si="94"/>
        <v>0</v>
      </c>
      <c r="AM62" s="77">
        <f t="shared" si="94"/>
        <v>0</v>
      </c>
      <c r="AN62" s="132">
        <f t="shared" si="94"/>
        <v>0</v>
      </c>
      <c r="AO62" s="132">
        <f t="shared" ref="AO62:AP62" si="95">AO56-AO58-AO59-AO60</f>
        <v>0</v>
      </c>
      <c r="AP62" s="132">
        <f t="shared" si="95"/>
        <v>0</v>
      </c>
      <c r="AQ62" s="830">
        <f t="shared" ref="AQ62" si="96">AQ56-AQ58-AQ59-AQ60</f>
        <v>0</v>
      </c>
      <c r="AR62" s="130">
        <f t="shared" si="94"/>
        <v>0</v>
      </c>
      <c r="AS62" s="130">
        <f t="shared" si="94"/>
        <v>0</v>
      </c>
      <c r="AT62" s="130">
        <f t="shared" si="94"/>
        <v>0</v>
      </c>
      <c r="AU62" s="130">
        <f t="shared" si="94"/>
        <v>0</v>
      </c>
      <c r="AV62" s="130">
        <f t="shared" si="94"/>
        <v>0</v>
      </c>
      <c r="AW62" s="130">
        <f t="shared" si="94"/>
        <v>0</v>
      </c>
      <c r="AX62" s="130">
        <f t="shared" si="94"/>
        <v>0</v>
      </c>
      <c r="AY62" s="130">
        <f t="shared" si="94"/>
        <v>0</v>
      </c>
      <c r="AZ62" s="130">
        <f t="shared" si="94"/>
        <v>0</v>
      </c>
      <c r="BA62" s="130">
        <f t="shared" si="94"/>
        <v>0</v>
      </c>
      <c r="BB62" s="132">
        <f t="shared" si="94"/>
        <v>0</v>
      </c>
      <c r="BC62" s="132">
        <f t="shared" ref="BC62" si="97">BC56-BC58-BC59-BC60</f>
        <v>0</v>
      </c>
      <c r="BD62" s="132">
        <f t="shared" ref="BD62" si="98">BD56-BD58-BD59-BD60</f>
        <v>0</v>
      </c>
      <c r="BE62" s="131">
        <f t="shared" ref="BE62" si="99">BE56-BE58-BE59-BE60</f>
        <v>0</v>
      </c>
    </row>
    <row r="63" spans="1:57" s="779" customFormat="1" ht="13.5" thickBot="1" x14ac:dyDescent="0.25">
      <c r="A63" s="1756"/>
      <c r="B63" s="2180"/>
      <c r="C63" s="1757"/>
      <c r="D63" s="1758"/>
      <c r="E63" s="1758"/>
      <c r="F63" s="1758"/>
      <c r="G63" s="1758"/>
      <c r="H63" s="1758"/>
      <c r="I63" s="1758"/>
      <c r="J63" s="1758"/>
      <c r="K63" s="1758"/>
      <c r="L63" s="1759"/>
      <c r="M63" s="1759"/>
      <c r="N63" s="1759"/>
      <c r="O63" s="1762"/>
      <c r="P63" s="1761"/>
      <c r="Q63" s="1761"/>
      <c r="R63" s="2773"/>
      <c r="S63" s="2773"/>
      <c r="T63" s="2774"/>
      <c r="U63" s="2774"/>
      <c r="V63" s="1759"/>
      <c r="W63" s="1759"/>
      <c r="X63" s="1759"/>
      <c r="Y63" s="1759"/>
      <c r="Z63" s="1759"/>
      <c r="AA63" s="1759"/>
      <c r="AB63" s="1757"/>
      <c r="AC63" s="2181"/>
      <c r="AD63" s="1761"/>
      <c r="AE63" s="1761"/>
      <c r="AF63" s="1759"/>
      <c r="AG63" s="1758"/>
      <c r="AH63" s="1758"/>
      <c r="AI63" s="1758"/>
      <c r="AJ63" s="1758"/>
      <c r="AK63" s="1758"/>
      <c r="AL63" s="1758"/>
      <c r="AM63" s="1758"/>
      <c r="AN63" s="1759"/>
      <c r="AO63" s="1759"/>
      <c r="AP63" s="1759"/>
      <c r="AQ63" s="1762"/>
      <c r="AR63" s="1761"/>
      <c r="AS63" s="1761"/>
      <c r="AT63" s="1761"/>
      <c r="AU63" s="1759"/>
      <c r="AV63" s="1759"/>
      <c r="AW63" s="1759"/>
      <c r="AX63" s="1759"/>
      <c r="AY63" s="1759"/>
      <c r="AZ63" s="1759"/>
      <c r="BA63" s="1759"/>
      <c r="BB63" s="1759"/>
      <c r="BC63" s="1759"/>
      <c r="BD63" s="1759"/>
      <c r="BE63" s="1760"/>
    </row>
    <row r="64" spans="1:57" ht="14.25" thickTop="1" thickBot="1" x14ac:dyDescent="0.25"/>
    <row r="65" spans="1:29" x14ac:dyDescent="0.2">
      <c r="A65" s="1170"/>
      <c r="B65" s="1160"/>
      <c r="C65" s="1160"/>
      <c r="D65" s="1160"/>
      <c r="E65" s="1160"/>
      <c r="F65" s="1160"/>
      <c r="G65" s="1160"/>
      <c r="H65" s="1160"/>
      <c r="I65" s="1160"/>
      <c r="J65" s="1160"/>
      <c r="K65" s="1160"/>
      <c r="L65" s="1160"/>
      <c r="M65" s="1160"/>
      <c r="N65" s="1160"/>
      <c r="O65" s="1161"/>
      <c r="P65" s="1170"/>
      <c r="Q65" s="1160"/>
      <c r="R65" s="2775"/>
      <c r="S65" s="2775"/>
      <c r="T65" s="2775"/>
      <c r="U65" s="2775"/>
      <c r="V65" s="1160"/>
      <c r="W65" s="1160"/>
      <c r="X65" s="1160"/>
      <c r="Y65" s="1160"/>
      <c r="Z65" s="1160"/>
      <c r="AA65" s="1160"/>
      <c r="AB65" s="1160"/>
      <c r="AC65" s="1161"/>
    </row>
    <row r="66" spans="1:29" x14ac:dyDescent="0.2">
      <c r="A66" s="1171" t="s">
        <v>3368</v>
      </c>
      <c r="B66" s="3009" t="s">
        <v>3807</v>
      </c>
      <c r="C66" s="3009"/>
      <c r="D66" s="3009"/>
      <c r="E66" s="3009"/>
      <c r="F66" s="3009"/>
      <c r="G66" s="3009"/>
      <c r="H66" s="3009"/>
      <c r="I66" s="3009"/>
      <c r="J66" s="3009"/>
      <c r="K66" s="3009"/>
      <c r="L66" s="3009"/>
      <c r="M66" s="3009"/>
      <c r="N66" s="3009"/>
      <c r="O66" s="3029"/>
      <c r="P66" s="3026" t="s">
        <v>3808</v>
      </c>
      <c r="Q66" s="3027"/>
      <c r="R66" s="3027"/>
      <c r="S66" s="3027"/>
      <c r="T66" s="3027"/>
      <c r="U66" s="3027"/>
      <c r="V66" s="3027"/>
      <c r="W66" s="3027"/>
      <c r="X66" s="3027"/>
      <c r="Y66" s="3027"/>
      <c r="Z66" s="3027"/>
      <c r="AA66" s="3027"/>
      <c r="AB66" s="3027"/>
      <c r="AC66" s="3028"/>
    </row>
    <row r="67" spans="1:29" ht="13.5" thickBot="1" x14ac:dyDescent="0.25">
      <c r="A67" s="1382"/>
      <c r="B67" s="1162"/>
      <c r="C67" s="1162"/>
      <c r="D67" s="1162"/>
      <c r="E67" s="1162"/>
      <c r="F67" s="1162"/>
      <c r="G67" s="1162"/>
      <c r="H67" s="1162"/>
      <c r="I67" s="1162"/>
      <c r="J67" s="1162"/>
      <c r="K67" s="1162"/>
      <c r="L67" s="1162"/>
      <c r="M67" s="1162"/>
      <c r="N67" s="1162"/>
      <c r="O67" s="1383"/>
      <c r="P67" s="2184"/>
      <c r="Q67" s="1162"/>
      <c r="R67" s="2776"/>
      <c r="S67" s="2776"/>
      <c r="T67" s="2776"/>
      <c r="U67" s="2776"/>
      <c r="V67" s="1162"/>
      <c r="W67" s="1162"/>
      <c r="X67" s="1162"/>
      <c r="Y67" s="1162"/>
      <c r="Z67" s="1162"/>
      <c r="AA67" s="1162"/>
      <c r="AB67" s="1162"/>
      <c r="AC67" s="457"/>
    </row>
    <row r="68" spans="1:29" x14ac:dyDescent="0.2">
      <c r="A68" s="1159" t="s">
        <v>393</v>
      </c>
      <c r="B68" s="2182" t="str">
        <f t="shared" ref="B68:N68" si="100">B4</f>
        <v>2013/14</v>
      </c>
      <c r="C68" s="2090" t="str">
        <f t="shared" si="100"/>
        <v>2014/15</v>
      </c>
      <c r="D68" s="2090" t="str">
        <f t="shared" si="100"/>
        <v>2015/16</v>
      </c>
      <c r="E68" s="2090" t="str">
        <f t="shared" si="100"/>
        <v>2016/17</v>
      </c>
      <c r="F68" s="2090" t="str">
        <f t="shared" si="100"/>
        <v>2017/18</v>
      </c>
      <c r="G68" s="2090" t="str">
        <f t="shared" si="100"/>
        <v>2018/19</v>
      </c>
      <c r="H68" s="2090" t="str">
        <f t="shared" si="100"/>
        <v>2019/20</v>
      </c>
      <c r="I68" s="2090" t="str">
        <f t="shared" si="100"/>
        <v>2020/21</v>
      </c>
      <c r="J68" s="2090" t="str">
        <f t="shared" si="100"/>
        <v>2021/22</v>
      </c>
      <c r="K68" s="2090" t="str">
        <f t="shared" si="100"/>
        <v>2022/23</v>
      </c>
      <c r="L68" s="2090" t="str">
        <f t="shared" si="100"/>
        <v>2023/24</v>
      </c>
      <c r="M68" s="2090" t="str">
        <f t="shared" si="100"/>
        <v>2024/25</v>
      </c>
      <c r="N68" s="2643" t="str">
        <f t="shared" si="100"/>
        <v>2025/26</v>
      </c>
      <c r="O68" s="2183" t="str">
        <f t="shared" ref="O68" si="101">O4</f>
        <v>2026/27</v>
      </c>
      <c r="P68" s="2182" t="str">
        <f t="shared" ref="P68:AC68" si="102">B68</f>
        <v>2013/14</v>
      </c>
      <c r="Q68" s="2090" t="str">
        <f t="shared" si="102"/>
        <v>2014/15</v>
      </c>
      <c r="R68" s="2769" t="str">
        <f t="shared" si="102"/>
        <v>2015/16</v>
      </c>
      <c r="S68" s="2769" t="str">
        <f t="shared" si="102"/>
        <v>2016/17</v>
      </c>
      <c r="T68" s="2769" t="str">
        <f t="shared" si="102"/>
        <v>2017/18</v>
      </c>
      <c r="U68" s="2769" t="str">
        <f t="shared" si="102"/>
        <v>2018/19</v>
      </c>
      <c r="V68" s="2090" t="str">
        <f t="shared" si="102"/>
        <v>2019/20</v>
      </c>
      <c r="W68" s="2090" t="str">
        <f t="shared" si="102"/>
        <v>2020/21</v>
      </c>
      <c r="X68" s="2090" t="str">
        <f t="shared" si="102"/>
        <v>2021/22</v>
      </c>
      <c r="Y68" s="2090" t="str">
        <f t="shared" si="102"/>
        <v>2022/23</v>
      </c>
      <c r="Z68" s="2090" t="str">
        <f t="shared" si="102"/>
        <v>2023/24</v>
      </c>
      <c r="AA68" s="2090" t="str">
        <f t="shared" si="102"/>
        <v>2024/25</v>
      </c>
      <c r="AB68" s="2643" t="str">
        <f t="shared" si="102"/>
        <v>2025/26</v>
      </c>
      <c r="AC68" s="2183" t="str">
        <f t="shared" si="102"/>
        <v>2026/27</v>
      </c>
    </row>
    <row r="69" spans="1:29" x14ac:dyDescent="0.2">
      <c r="A69" s="1157" t="s">
        <v>2335</v>
      </c>
      <c r="B69" s="1164">
        <f t="shared" ref="B69:AB69" si="103">B7/1000</f>
        <v>38830.5</v>
      </c>
      <c r="C69" s="1164">
        <f t="shared" si="103"/>
        <v>41354.6</v>
      </c>
      <c r="D69" s="1164">
        <f t="shared" si="103"/>
        <v>43946.8</v>
      </c>
      <c r="E69" s="1164">
        <f t="shared" si="103"/>
        <v>46858.6</v>
      </c>
      <c r="F69" s="1164">
        <f t="shared" si="103"/>
        <v>47308.6</v>
      </c>
      <c r="G69" s="1164">
        <f t="shared" si="103"/>
        <v>49350.9</v>
      </c>
      <c r="H69" s="1164">
        <f t="shared" si="103"/>
        <v>51498.3</v>
      </c>
      <c r="I69" s="1164">
        <f t="shared" si="103"/>
        <v>53240.6</v>
      </c>
      <c r="J69" s="1164">
        <f t="shared" si="103"/>
        <v>54866.1</v>
      </c>
      <c r="K69" s="1164">
        <f t="shared" si="103"/>
        <v>56544.5</v>
      </c>
      <c r="L69" s="1164">
        <f t="shared" si="103"/>
        <v>58273.7</v>
      </c>
      <c r="M69" s="1164">
        <f t="shared" si="103"/>
        <v>60054.400000000001</v>
      </c>
      <c r="N69" s="1164">
        <f t="shared" si="103"/>
        <v>61891.5</v>
      </c>
      <c r="O69" s="1165">
        <f t="shared" ref="O69" si="104">O7/1000</f>
        <v>63783.8</v>
      </c>
      <c r="P69" s="2185">
        <f t="shared" si="103"/>
        <v>24301.3</v>
      </c>
      <c r="Q69" s="1164">
        <f t="shared" si="103"/>
        <v>25256.5</v>
      </c>
      <c r="R69" s="2777">
        <f t="shared" si="103"/>
        <v>26633.599999999999</v>
      </c>
      <c r="S69" s="2777">
        <f t="shared" si="103"/>
        <v>28103.599999999999</v>
      </c>
      <c r="T69" s="2777">
        <f t="shared" si="103"/>
        <v>28013.1</v>
      </c>
      <c r="U69" s="2777">
        <f t="shared" si="103"/>
        <v>29561.9</v>
      </c>
      <c r="V69" s="1164">
        <f t="shared" si="103"/>
        <v>31203.8</v>
      </c>
      <c r="W69" s="1164">
        <f t="shared" si="103"/>
        <v>32115.599999999999</v>
      </c>
      <c r="X69" s="1164">
        <f t="shared" si="103"/>
        <v>33053.699999999997</v>
      </c>
      <c r="Y69" s="1164">
        <f t="shared" si="103"/>
        <v>34020.699999999997</v>
      </c>
      <c r="Z69" s="1164">
        <f t="shared" si="103"/>
        <v>35015.5</v>
      </c>
      <c r="AA69" s="1164">
        <f t="shared" si="103"/>
        <v>36038.800000000003</v>
      </c>
      <c r="AB69" s="1164">
        <f t="shared" si="103"/>
        <v>37092.5</v>
      </c>
      <c r="AC69" s="1165">
        <f t="shared" ref="AC69" si="105">AC7/1000</f>
        <v>38176.400000000001</v>
      </c>
    </row>
    <row r="70" spans="1:29" x14ac:dyDescent="0.2">
      <c r="A70" s="1157" t="s">
        <v>2376</v>
      </c>
      <c r="B70" s="1164">
        <f t="shared" ref="B70:AB70" si="106">B8/1000</f>
        <v>16956.400000000001</v>
      </c>
      <c r="C70" s="1164">
        <f t="shared" si="106"/>
        <v>17292.900000000001</v>
      </c>
      <c r="D70" s="1164">
        <f t="shared" si="106"/>
        <v>18521.2</v>
      </c>
      <c r="E70" s="1164">
        <f t="shared" si="106"/>
        <v>19221.400000000001</v>
      </c>
      <c r="F70" s="1164">
        <f t="shared" si="106"/>
        <v>19286</v>
      </c>
      <c r="G70" s="1164">
        <f t="shared" si="106"/>
        <v>19954.2</v>
      </c>
      <c r="H70" s="1164">
        <f t="shared" si="106"/>
        <v>20570.5</v>
      </c>
      <c r="I70" s="1164">
        <f t="shared" si="106"/>
        <v>21273.1</v>
      </c>
      <c r="J70" s="1164">
        <f t="shared" si="106"/>
        <v>21914.5</v>
      </c>
      <c r="K70" s="1164">
        <f t="shared" si="106"/>
        <v>22537.4</v>
      </c>
      <c r="L70" s="1164">
        <f t="shared" si="106"/>
        <v>23181</v>
      </c>
      <c r="M70" s="1164">
        <f t="shared" si="106"/>
        <v>23846.1</v>
      </c>
      <c r="N70" s="1164">
        <f t="shared" si="106"/>
        <v>24533.4</v>
      </c>
      <c r="O70" s="1165">
        <f t="shared" ref="O70" si="107">O8/1000</f>
        <v>25209.7</v>
      </c>
      <c r="P70" s="2185">
        <f t="shared" si="106"/>
        <v>9267.7000000000007</v>
      </c>
      <c r="Q70" s="1164">
        <f t="shared" si="106"/>
        <v>9822.5</v>
      </c>
      <c r="R70" s="2777">
        <f t="shared" si="106"/>
        <v>10725</v>
      </c>
      <c r="S70" s="2777">
        <f t="shared" si="106"/>
        <v>10685.7</v>
      </c>
      <c r="T70" s="2777">
        <f t="shared" si="106"/>
        <v>10550.2</v>
      </c>
      <c r="U70" s="2777">
        <f t="shared" si="106"/>
        <v>10961.3</v>
      </c>
      <c r="V70" s="1164">
        <f t="shared" si="106"/>
        <v>11314.4</v>
      </c>
      <c r="W70" s="1164">
        <f t="shared" si="106"/>
        <v>11613.6</v>
      </c>
      <c r="X70" s="1164">
        <f t="shared" si="106"/>
        <v>11888.3</v>
      </c>
      <c r="Y70" s="1164">
        <f t="shared" si="106"/>
        <v>12131.4</v>
      </c>
      <c r="Z70" s="1164">
        <f t="shared" si="106"/>
        <v>12379.1</v>
      </c>
      <c r="AA70" s="1164">
        <f t="shared" si="106"/>
        <v>12633</v>
      </c>
      <c r="AB70" s="1164">
        <f t="shared" si="106"/>
        <v>12894</v>
      </c>
      <c r="AC70" s="1165">
        <f t="shared" ref="AC70" si="108">AC8/1000</f>
        <v>13126.8</v>
      </c>
    </row>
    <row r="71" spans="1:29" x14ac:dyDescent="0.2">
      <c r="A71" s="1157" t="s">
        <v>1689</v>
      </c>
      <c r="B71" s="1164">
        <f t="shared" ref="B71:AB71" si="109">B9/1000</f>
        <v>3487.4</v>
      </c>
      <c r="C71" s="1164">
        <f t="shared" si="109"/>
        <v>2539.4</v>
      </c>
      <c r="D71" s="1164">
        <f t="shared" si="109"/>
        <v>2133.6</v>
      </c>
      <c r="E71" s="1164">
        <f t="shared" si="109"/>
        <v>1798.5</v>
      </c>
      <c r="F71" s="1164">
        <f t="shared" si="109"/>
        <v>1748.5</v>
      </c>
      <c r="G71" s="1164">
        <f t="shared" si="109"/>
        <v>1801.5</v>
      </c>
      <c r="H71" s="1164">
        <f t="shared" si="109"/>
        <v>1808.4</v>
      </c>
      <c r="I71" s="1164">
        <f t="shared" si="109"/>
        <v>1843.5</v>
      </c>
      <c r="J71" s="1164">
        <f t="shared" si="109"/>
        <v>1791.4</v>
      </c>
      <c r="K71" s="1164">
        <f t="shared" si="109"/>
        <v>1729.6</v>
      </c>
      <c r="L71" s="1164">
        <f t="shared" si="109"/>
        <v>1752</v>
      </c>
      <c r="M71" s="1164">
        <f t="shared" si="109"/>
        <v>1841.3</v>
      </c>
      <c r="N71" s="1164">
        <f t="shared" si="109"/>
        <v>2039.1</v>
      </c>
      <c r="O71" s="1165">
        <f t="shared" ref="O71" si="110">O9/1000</f>
        <v>2359.1999999999998</v>
      </c>
      <c r="P71" s="2185">
        <f t="shared" si="109"/>
        <v>2105.1</v>
      </c>
      <c r="Q71" s="1164">
        <f t="shared" si="109"/>
        <v>1449.3</v>
      </c>
      <c r="R71" s="2777">
        <f t="shared" si="109"/>
        <v>1298.0999999999999</v>
      </c>
      <c r="S71" s="2777">
        <f t="shared" si="109"/>
        <v>1089.5</v>
      </c>
      <c r="T71" s="2777">
        <f t="shared" si="109"/>
        <v>1071.5</v>
      </c>
      <c r="U71" s="2777">
        <f t="shared" si="109"/>
        <v>1164.2</v>
      </c>
      <c r="V71" s="1164">
        <f t="shared" si="109"/>
        <v>1192.9000000000001</v>
      </c>
      <c r="W71" s="1164">
        <f t="shared" si="109"/>
        <v>1304.2</v>
      </c>
      <c r="X71" s="1164">
        <f t="shared" si="109"/>
        <v>1245.0999999999999</v>
      </c>
      <c r="Y71" s="1164">
        <f t="shared" si="109"/>
        <v>1243.5</v>
      </c>
      <c r="Z71" s="1164">
        <f t="shared" si="109"/>
        <v>1313.5</v>
      </c>
      <c r="AA71" s="1164">
        <f t="shared" si="109"/>
        <v>1345.5</v>
      </c>
      <c r="AB71" s="1164">
        <f t="shared" si="109"/>
        <v>1402.5</v>
      </c>
      <c r="AC71" s="1165">
        <f t="shared" ref="AC71" si="111">AC9/1000</f>
        <v>1492.1</v>
      </c>
    </row>
    <row r="72" spans="1:29" x14ac:dyDescent="0.2">
      <c r="A72" s="1157" t="s">
        <v>2880</v>
      </c>
      <c r="B72" s="1164">
        <f t="shared" ref="B72:AB72" si="112">B11/1000</f>
        <v>6082.3</v>
      </c>
      <c r="C72" s="1164">
        <f t="shared" si="112"/>
        <v>7833.6</v>
      </c>
      <c r="D72" s="1164">
        <f t="shared" si="112"/>
        <v>9389.2000000000007</v>
      </c>
      <c r="E72" s="1164">
        <f t="shared" si="112"/>
        <v>10625.7</v>
      </c>
      <c r="F72" s="1164">
        <f t="shared" si="112"/>
        <v>7685.7</v>
      </c>
      <c r="G72" s="1164">
        <f t="shared" si="112"/>
        <v>7539.5</v>
      </c>
      <c r="H72" s="1164">
        <f t="shared" si="112"/>
        <v>7527.6</v>
      </c>
      <c r="I72" s="1164">
        <f t="shared" si="112"/>
        <v>7629.5</v>
      </c>
      <c r="J72" s="1164">
        <f t="shared" si="112"/>
        <v>7721.6</v>
      </c>
      <c r="K72" s="1164">
        <f t="shared" si="112"/>
        <v>7821.4</v>
      </c>
      <c r="L72" s="1164">
        <f t="shared" si="112"/>
        <v>7954.7</v>
      </c>
      <c r="M72" s="1164">
        <f t="shared" si="112"/>
        <v>8100.5</v>
      </c>
      <c r="N72" s="1164">
        <f t="shared" si="112"/>
        <v>8251.7000000000007</v>
      </c>
      <c r="O72" s="1165">
        <f t="shared" ref="O72" si="113">O11/1000</f>
        <v>8405.7999999999993</v>
      </c>
      <c r="P72" s="2185">
        <f t="shared" si="112"/>
        <v>5779.7</v>
      </c>
      <c r="Q72" s="1164">
        <f t="shared" si="112"/>
        <v>7529.3</v>
      </c>
      <c r="R72" s="2777">
        <f t="shared" si="112"/>
        <v>9075.2000000000007</v>
      </c>
      <c r="S72" s="2777">
        <f t="shared" si="112"/>
        <v>10317.700000000001</v>
      </c>
      <c r="T72" s="2777">
        <f t="shared" si="112"/>
        <v>7398.1</v>
      </c>
      <c r="U72" s="2777">
        <f t="shared" si="112"/>
        <v>7250.3</v>
      </c>
      <c r="V72" s="1164">
        <f t="shared" si="112"/>
        <v>7236.6</v>
      </c>
      <c r="W72" s="1164">
        <f t="shared" si="112"/>
        <v>7336.9</v>
      </c>
      <c r="X72" s="1164">
        <f t="shared" si="112"/>
        <v>7427.3</v>
      </c>
      <c r="Y72" s="1164">
        <f t="shared" si="112"/>
        <v>7525.4</v>
      </c>
      <c r="Z72" s="1164">
        <f t="shared" si="112"/>
        <v>7657</v>
      </c>
      <c r="AA72" s="1164">
        <f t="shared" si="112"/>
        <v>7801</v>
      </c>
      <c r="AB72" s="1164">
        <f t="shared" si="112"/>
        <v>7950.5</v>
      </c>
      <c r="AC72" s="1165">
        <f t="shared" ref="AC72" si="114">AC11/1000</f>
        <v>8102.9</v>
      </c>
    </row>
    <row r="73" spans="1:29" x14ac:dyDescent="0.2">
      <c r="A73" s="1157" t="s">
        <v>428</v>
      </c>
      <c r="B73" s="1164">
        <f t="shared" ref="B73:AB73" si="115">B10/1000</f>
        <v>5816.5</v>
      </c>
      <c r="C73" s="1164">
        <f t="shared" si="115"/>
        <v>5847.2</v>
      </c>
      <c r="D73" s="1164">
        <f t="shared" si="115"/>
        <v>4279.8999999999996</v>
      </c>
      <c r="E73" s="1164">
        <f t="shared" si="115"/>
        <v>5856.3</v>
      </c>
      <c r="F73" s="1164">
        <f t="shared" si="115"/>
        <v>6225.5</v>
      </c>
      <c r="G73" s="1164">
        <f t="shared" si="115"/>
        <v>6576.7</v>
      </c>
      <c r="H73" s="1164">
        <f t="shared" si="115"/>
        <v>6658.2</v>
      </c>
      <c r="I73" s="1164">
        <f t="shared" si="115"/>
        <v>6824.1</v>
      </c>
      <c r="J73" s="1164">
        <f t="shared" si="115"/>
        <v>6994</v>
      </c>
      <c r="K73" s="1164">
        <f t="shared" si="115"/>
        <v>7163.5</v>
      </c>
      <c r="L73" s="1164">
        <f t="shared" si="115"/>
        <v>7429.4</v>
      </c>
      <c r="M73" s="1164">
        <f t="shared" si="115"/>
        <v>7519.2</v>
      </c>
      <c r="N73" s="1164">
        <f t="shared" si="115"/>
        <v>7707.2</v>
      </c>
      <c r="O73" s="1165">
        <f t="shared" ref="O73" si="116">O10/1000</f>
        <v>7900.2</v>
      </c>
      <c r="P73" s="2185">
        <f t="shared" si="115"/>
        <v>4593.3999999999996</v>
      </c>
      <c r="Q73" s="1164">
        <f t="shared" si="115"/>
        <v>4580.8999999999996</v>
      </c>
      <c r="R73" s="2777">
        <f t="shared" si="115"/>
        <v>2984.1</v>
      </c>
      <c r="S73" s="2777">
        <f t="shared" si="115"/>
        <v>4544.5</v>
      </c>
      <c r="T73" s="2777">
        <f t="shared" si="115"/>
        <v>4928.6000000000004</v>
      </c>
      <c r="U73" s="2777">
        <f t="shared" si="115"/>
        <v>5246.8</v>
      </c>
      <c r="V73" s="1164">
        <f t="shared" si="115"/>
        <v>5294.6</v>
      </c>
      <c r="W73" s="1164">
        <f t="shared" si="115"/>
        <v>5425.8</v>
      </c>
      <c r="X73" s="1164">
        <f t="shared" si="115"/>
        <v>5566.9</v>
      </c>
      <c r="Y73" s="1164">
        <f t="shared" si="115"/>
        <v>5707.2</v>
      </c>
      <c r="Z73" s="1164">
        <f t="shared" si="115"/>
        <v>5943.3</v>
      </c>
      <c r="AA73" s="1164">
        <f t="shared" si="115"/>
        <v>6002.7</v>
      </c>
      <c r="AB73" s="1164">
        <f t="shared" si="115"/>
        <v>6159.6</v>
      </c>
      <c r="AC73" s="1165">
        <f t="shared" ref="AC73" si="117">AC10/1000</f>
        <v>6320.8</v>
      </c>
    </row>
    <row r="74" spans="1:29" x14ac:dyDescent="0.2">
      <c r="A74" s="1156" t="s">
        <v>764</v>
      </c>
      <c r="B74" s="58">
        <f>SUM(B69:B73)</f>
        <v>71173.100000000006</v>
      </c>
      <c r="C74" s="58">
        <f>SUM(C69:C73)</f>
        <v>74867.7</v>
      </c>
      <c r="D74" s="58">
        <f t="shared" ref="D74:L74" si="118">SUM(D69:D73)</f>
        <v>78270.7</v>
      </c>
      <c r="E74" s="58">
        <f t="shared" si="118"/>
        <v>84360.5</v>
      </c>
      <c r="F74" s="58">
        <f t="shared" si="118"/>
        <v>82254.3</v>
      </c>
      <c r="G74" s="58">
        <f t="shared" si="118"/>
        <v>85222.8</v>
      </c>
      <c r="H74" s="58">
        <f t="shared" si="118"/>
        <v>88063</v>
      </c>
      <c r="I74" s="58">
        <f t="shared" si="118"/>
        <v>90810.8</v>
      </c>
      <c r="J74" s="58">
        <f t="shared" si="118"/>
        <v>93287.6</v>
      </c>
      <c r="K74" s="58">
        <f t="shared" si="118"/>
        <v>95796.4</v>
      </c>
      <c r="L74" s="58">
        <f t="shared" si="118"/>
        <v>98590.799999999988</v>
      </c>
      <c r="M74" s="58">
        <f t="shared" ref="M74:N74" si="119">SUM(M69:M73)</f>
        <v>101361.5</v>
      </c>
      <c r="N74" s="58">
        <f t="shared" si="119"/>
        <v>104422.9</v>
      </c>
      <c r="O74" s="736">
        <f t="shared" ref="O74" si="120">SUM(O69:O73)</f>
        <v>107658.7</v>
      </c>
      <c r="P74" s="1311">
        <f>SUM(P69:P73)</f>
        <v>46047.199999999997</v>
      </c>
      <c r="Q74" s="58">
        <f>SUM(Q69:Q73)</f>
        <v>48638.500000000007</v>
      </c>
      <c r="R74" s="145">
        <f t="shared" ref="R74:Z74" si="121">SUM(R69:R73)</f>
        <v>50715.999999999993</v>
      </c>
      <c r="S74" s="145">
        <f t="shared" si="121"/>
        <v>54741</v>
      </c>
      <c r="T74" s="145">
        <f t="shared" si="121"/>
        <v>51961.5</v>
      </c>
      <c r="U74" s="145">
        <f t="shared" si="121"/>
        <v>54184.5</v>
      </c>
      <c r="V74" s="58">
        <f t="shared" si="121"/>
        <v>56242.299999999996</v>
      </c>
      <c r="W74" s="58">
        <f t="shared" si="121"/>
        <v>57796.1</v>
      </c>
      <c r="X74" s="58">
        <f t="shared" si="121"/>
        <v>59181.3</v>
      </c>
      <c r="Y74" s="58">
        <f t="shared" si="121"/>
        <v>60628.2</v>
      </c>
      <c r="Z74" s="58">
        <f t="shared" si="121"/>
        <v>62308.4</v>
      </c>
      <c r="AA74" s="58">
        <f t="shared" ref="AA74:AB74" si="122">SUM(AA69:AA73)</f>
        <v>63821</v>
      </c>
      <c r="AB74" s="58">
        <f t="shared" si="122"/>
        <v>65499.1</v>
      </c>
      <c r="AC74" s="736">
        <f t="shared" ref="AC74" si="123">SUM(AC69:AC73)</f>
        <v>67219</v>
      </c>
    </row>
    <row r="75" spans="1:29" x14ac:dyDescent="0.2">
      <c r="A75" s="1156"/>
      <c r="B75" s="9"/>
      <c r="C75" s="210"/>
      <c r="D75" s="210"/>
      <c r="E75" s="210"/>
      <c r="F75" s="210"/>
      <c r="G75" s="210"/>
      <c r="H75" s="210"/>
      <c r="I75" s="210"/>
      <c r="J75" s="210"/>
      <c r="K75" s="210"/>
      <c r="L75" s="210"/>
      <c r="M75" s="210"/>
      <c r="N75" s="210"/>
      <c r="O75" s="1166"/>
      <c r="P75" s="1309"/>
      <c r="Q75" s="210"/>
      <c r="R75" s="168"/>
      <c r="S75" s="168"/>
      <c r="T75" s="168"/>
      <c r="U75" s="168"/>
      <c r="V75" s="210"/>
      <c r="W75" s="210"/>
      <c r="X75" s="210"/>
      <c r="Y75" s="210"/>
      <c r="Z75" s="210"/>
      <c r="AA75" s="210"/>
      <c r="AB75" s="210"/>
      <c r="AC75" s="1166"/>
    </row>
    <row r="76" spans="1:29" x14ac:dyDescent="0.2">
      <c r="A76" s="1156" t="s">
        <v>2052</v>
      </c>
      <c r="B76" s="9"/>
      <c r="C76" s="210"/>
      <c r="D76" s="210"/>
      <c r="E76" s="210"/>
      <c r="F76" s="210"/>
      <c r="G76" s="210"/>
      <c r="H76" s="210"/>
      <c r="I76" s="210"/>
      <c r="J76" s="210"/>
      <c r="K76" s="210"/>
      <c r="L76" s="210"/>
      <c r="M76" s="210"/>
      <c r="N76" s="210"/>
      <c r="O76" s="1166"/>
      <c r="P76" s="1309"/>
      <c r="Q76" s="210"/>
      <c r="R76" s="168"/>
      <c r="S76" s="168"/>
      <c r="T76" s="168"/>
      <c r="U76" s="168"/>
      <c r="V76" s="210"/>
      <c r="W76" s="210"/>
      <c r="X76" s="210"/>
      <c r="Y76" s="210"/>
      <c r="Z76" s="210"/>
      <c r="AA76" s="210"/>
      <c r="AB76" s="210"/>
      <c r="AC76" s="1166"/>
    </row>
    <row r="77" spans="1:29" x14ac:dyDescent="0.2">
      <c r="A77" s="1157" t="s">
        <v>1249</v>
      </c>
      <c r="B77" s="1164">
        <f t="shared" ref="B77:AB77" si="124">B17/1000</f>
        <v>19711</v>
      </c>
      <c r="C77" s="1164">
        <f t="shared" si="124"/>
        <v>20435.099999999999</v>
      </c>
      <c r="D77" s="1164">
        <f t="shared" si="124"/>
        <v>21690</v>
      </c>
      <c r="E77" s="1164">
        <f t="shared" si="124"/>
        <v>22364</v>
      </c>
      <c r="F77" s="1164">
        <f t="shared" si="124"/>
        <v>23059</v>
      </c>
      <c r="G77" s="1164">
        <f t="shared" si="124"/>
        <v>23775</v>
      </c>
      <c r="H77" s="1164">
        <f t="shared" si="124"/>
        <v>24513</v>
      </c>
      <c r="I77" s="1164">
        <f t="shared" si="124"/>
        <v>25274</v>
      </c>
      <c r="J77" s="1164">
        <f t="shared" si="124"/>
        <v>26059</v>
      </c>
      <c r="K77" s="1164">
        <f t="shared" si="124"/>
        <v>26868</v>
      </c>
      <c r="L77" s="1164">
        <f t="shared" si="124"/>
        <v>27703</v>
      </c>
      <c r="M77" s="1164">
        <f t="shared" si="124"/>
        <v>28563</v>
      </c>
      <c r="N77" s="1164">
        <f t="shared" si="124"/>
        <v>29450</v>
      </c>
      <c r="O77" s="1165">
        <f t="shared" ref="O77" si="125">O17/1000</f>
        <v>30365</v>
      </c>
      <c r="P77" s="2185">
        <f t="shared" si="124"/>
        <v>14771.4</v>
      </c>
      <c r="Q77" s="1164">
        <f t="shared" si="124"/>
        <v>15453.1</v>
      </c>
      <c r="R77" s="2777">
        <f t="shared" si="124"/>
        <v>16138</v>
      </c>
      <c r="S77" s="2777">
        <f t="shared" si="124"/>
        <v>16640</v>
      </c>
      <c r="T77" s="2777">
        <f t="shared" si="124"/>
        <v>17157</v>
      </c>
      <c r="U77" s="2777">
        <f t="shared" si="124"/>
        <v>17690</v>
      </c>
      <c r="V77" s="1164">
        <f t="shared" si="124"/>
        <v>18239</v>
      </c>
      <c r="W77" s="1164">
        <f t="shared" si="124"/>
        <v>18805</v>
      </c>
      <c r="X77" s="1164">
        <f t="shared" si="124"/>
        <v>19389</v>
      </c>
      <c r="Y77" s="1164">
        <f t="shared" si="124"/>
        <v>19991</v>
      </c>
      <c r="Z77" s="1164">
        <f t="shared" si="124"/>
        <v>20613</v>
      </c>
      <c r="AA77" s="1164">
        <f t="shared" si="124"/>
        <v>21253</v>
      </c>
      <c r="AB77" s="1164">
        <f t="shared" si="124"/>
        <v>21913</v>
      </c>
      <c r="AC77" s="1165">
        <f t="shared" ref="AC77" si="126">AC17/1000</f>
        <v>22594</v>
      </c>
    </row>
    <row r="78" spans="1:29" x14ac:dyDescent="0.2">
      <c r="A78" s="1157" t="s">
        <v>2375</v>
      </c>
      <c r="B78" s="1164">
        <f t="shared" ref="B78:AB78" si="127">B18/1000</f>
        <v>22382.799999999999</v>
      </c>
      <c r="C78" s="1164">
        <f t="shared" si="127"/>
        <v>21790.7</v>
      </c>
      <c r="D78" s="1164">
        <f t="shared" si="127"/>
        <v>23802.3</v>
      </c>
      <c r="E78" s="1164">
        <f t="shared" si="127"/>
        <v>25740.7</v>
      </c>
      <c r="F78" s="1164">
        <f t="shared" si="127"/>
        <v>21923.3</v>
      </c>
      <c r="G78" s="1164">
        <f t="shared" si="127"/>
        <v>22721.1</v>
      </c>
      <c r="H78" s="1164">
        <f t="shared" si="127"/>
        <v>23322.1</v>
      </c>
      <c r="I78" s="1164">
        <f t="shared" si="127"/>
        <v>23687.599999999999</v>
      </c>
      <c r="J78" s="1164">
        <f t="shared" si="127"/>
        <v>24103</v>
      </c>
      <c r="K78" s="1164">
        <f t="shared" si="127"/>
        <v>24319.9</v>
      </c>
      <c r="L78" s="1164">
        <f t="shared" si="127"/>
        <v>24683.1</v>
      </c>
      <c r="M78" s="1164">
        <f t="shared" si="127"/>
        <v>24911.1</v>
      </c>
      <c r="N78" s="1164">
        <f t="shared" si="127"/>
        <v>25225.599999999999</v>
      </c>
      <c r="O78" s="1165">
        <f t="shared" ref="O78" si="128">O18/1000</f>
        <v>25373.9</v>
      </c>
      <c r="P78" s="2185">
        <f t="shared" si="127"/>
        <v>15292.1</v>
      </c>
      <c r="Q78" s="1164">
        <f t="shared" si="127"/>
        <v>14766.3</v>
      </c>
      <c r="R78" s="2777">
        <f t="shared" si="127"/>
        <v>17441.3</v>
      </c>
      <c r="S78" s="2777">
        <f t="shared" si="127"/>
        <v>18424.099999999999</v>
      </c>
      <c r="T78" s="2777">
        <f t="shared" si="127"/>
        <v>15024.4</v>
      </c>
      <c r="U78" s="2777">
        <f t="shared" si="127"/>
        <v>15641.7</v>
      </c>
      <c r="V78" s="1164">
        <f t="shared" si="127"/>
        <v>16138.9</v>
      </c>
      <c r="W78" s="1164">
        <f t="shared" si="127"/>
        <v>16358.6</v>
      </c>
      <c r="X78" s="1164">
        <f t="shared" si="127"/>
        <v>16693.099999999999</v>
      </c>
      <c r="Y78" s="1164">
        <f t="shared" si="127"/>
        <v>16780</v>
      </c>
      <c r="Z78" s="1164">
        <f t="shared" si="127"/>
        <v>17114.099999999999</v>
      </c>
      <c r="AA78" s="1164">
        <f t="shared" si="127"/>
        <v>17263.7</v>
      </c>
      <c r="AB78" s="1164">
        <f t="shared" si="127"/>
        <v>17568.599999999999</v>
      </c>
      <c r="AC78" s="1165">
        <f t="shared" ref="AC78" si="129">AC18/1000</f>
        <v>17646.099999999999</v>
      </c>
    </row>
    <row r="79" spans="1:29" x14ac:dyDescent="0.2">
      <c r="A79" s="1157" t="s">
        <v>2188</v>
      </c>
      <c r="B79" s="1164">
        <f t="shared" ref="B79:AB79" si="130">B19/1000</f>
        <v>6839.8</v>
      </c>
      <c r="C79" s="1164">
        <f t="shared" si="130"/>
        <v>6561.4</v>
      </c>
      <c r="D79" s="1164">
        <f t="shared" si="130"/>
        <v>5993.6</v>
      </c>
      <c r="E79" s="1164">
        <f t="shared" si="130"/>
        <v>5594.8</v>
      </c>
      <c r="F79" s="1164">
        <f t="shared" si="130"/>
        <v>5577.7</v>
      </c>
      <c r="G79" s="1164">
        <f t="shared" si="130"/>
        <v>5064.3999999999996</v>
      </c>
      <c r="H79" s="1164">
        <f t="shared" si="130"/>
        <v>4789.8</v>
      </c>
      <c r="I79" s="1164">
        <f t="shared" si="130"/>
        <v>4392.3999999999996</v>
      </c>
      <c r="J79" s="1164">
        <f t="shared" si="130"/>
        <v>4377.7</v>
      </c>
      <c r="K79" s="1164">
        <f t="shared" si="130"/>
        <v>4021.9</v>
      </c>
      <c r="L79" s="1164">
        <f t="shared" si="130"/>
        <v>3710.8</v>
      </c>
      <c r="M79" s="1164">
        <f t="shared" si="130"/>
        <v>3414.8</v>
      </c>
      <c r="N79" s="1164">
        <f t="shared" si="130"/>
        <v>3142.8</v>
      </c>
      <c r="O79" s="1165">
        <f t="shared" ref="O79" si="131">O19/1000</f>
        <v>2889.9</v>
      </c>
      <c r="P79" s="2185">
        <f t="shared" si="130"/>
        <v>1679</v>
      </c>
      <c r="Q79" s="1164">
        <f t="shared" si="130"/>
        <v>1564.6</v>
      </c>
      <c r="R79" s="2777">
        <f t="shared" si="130"/>
        <v>1334.3</v>
      </c>
      <c r="S79" s="2777">
        <f t="shared" si="130"/>
        <v>1152.2</v>
      </c>
      <c r="T79" s="2777">
        <f t="shared" si="130"/>
        <v>1327.8</v>
      </c>
      <c r="U79" s="2777">
        <f t="shared" si="130"/>
        <v>1186.0999999999999</v>
      </c>
      <c r="V79" s="1164">
        <f t="shared" si="130"/>
        <v>1122.8</v>
      </c>
      <c r="W79" s="1164">
        <f t="shared" si="130"/>
        <v>952.6</v>
      </c>
      <c r="X79" s="1164">
        <f t="shared" si="130"/>
        <v>1138.5</v>
      </c>
      <c r="Y79" s="1164">
        <f t="shared" si="130"/>
        <v>972.7</v>
      </c>
      <c r="Z79" s="1164">
        <f t="shared" si="130"/>
        <v>854.5</v>
      </c>
      <c r="AA79" s="1164">
        <f t="shared" si="130"/>
        <v>756.5</v>
      </c>
      <c r="AB79" s="1164">
        <f t="shared" si="130"/>
        <v>679.5</v>
      </c>
      <c r="AC79" s="1165">
        <f t="shared" ref="AC79" si="132">AC19/1000</f>
        <v>623.6</v>
      </c>
    </row>
    <row r="80" spans="1:29" x14ac:dyDescent="0.2">
      <c r="A80" s="1157" t="s">
        <v>2070</v>
      </c>
      <c r="B80" s="1164">
        <f t="shared" ref="B80:AB80" si="133">B20/1000</f>
        <v>20368.3</v>
      </c>
      <c r="C80" s="1164">
        <f t="shared" si="133"/>
        <v>17937.3</v>
      </c>
      <c r="D80" s="1164">
        <f t="shared" si="133"/>
        <v>19197.599999999999</v>
      </c>
      <c r="E80" s="1164">
        <f t="shared" si="133"/>
        <v>17162.400000000001</v>
      </c>
      <c r="F80" s="1164">
        <f t="shared" si="133"/>
        <v>18538.900000000001</v>
      </c>
      <c r="G80" s="1164">
        <f t="shared" si="133"/>
        <v>18962.900000000001</v>
      </c>
      <c r="H80" s="1164">
        <f t="shared" si="133"/>
        <v>19434.900000000001</v>
      </c>
      <c r="I80" s="1164">
        <f t="shared" si="133"/>
        <v>19825.3</v>
      </c>
      <c r="J80" s="1164">
        <f t="shared" si="133"/>
        <v>20223</v>
      </c>
      <c r="K80" s="1164">
        <f t="shared" si="133"/>
        <v>20629.2</v>
      </c>
      <c r="L80" s="1164">
        <f t="shared" si="133"/>
        <v>21042.7</v>
      </c>
      <c r="M80" s="1164">
        <f t="shared" si="133"/>
        <v>21464.9</v>
      </c>
      <c r="N80" s="1164">
        <f t="shared" si="133"/>
        <v>21896</v>
      </c>
      <c r="O80" s="1165">
        <f t="shared" ref="O80" si="134">O20/1000</f>
        <v>22334.799999999999</v>
      </c>
      <c r="P80" s="2185">
        <f t="shared" si="133"/>
        <v>15865.7</v>
      </c>
      <c r="Q80" s="1164">
        <f t="shared" si="133"/>
        <v>14144.3</v>
      </c>
      <c r="R80" s="2777">
        <f t="shared" si="133"/>
        <v>14166.8</v>
      </c>
      <c r="S80" s="2777">
        <f t="shared" si="133"/>
        <v>13056.4</v>
      </c>
      <c r="T80" s="2777">
        <f t="shared" si="133"/>
        <v>13383.9</v>
      </c>
      <c r="U80" s="2777">
        <f t="shared" si="133"/>
        <v>13704.3</v>
      </c>
      <c r="V80" s="1164">
        <f t="shared" si="133"/>
        <v>14071.1</v>
      </c>
      <c r="W80" s="1164">
        <f t="shared" si="133"/>
        <v>14353.7</v>
      </c>
      <c r="X80" s="1164">
        <f t="shared" si="133"/>
        <v>14642.1</v>
      </c>
      <c r="Y80" s="1164">
        <f t="shared" si="133"/>
        <v>14936.4</v>
      </c>
      <c r="Z80" s="1164">
        <f t="shared" si="133"/>
        <v>15236.4</v>
      </c>
      <c r="AA80" s="1164">
        <f t="shared" si="133"/>
        <v>15542.5</v>
      </c>
      <c r="AB80" s="1164">
        <f t="shared" si="133"/>
        <v>15854.8</v>
      </c>
      <c r="AC80" s="1165">
        <f t="shared" ref="AC80" si="135">AC20/1000</f>
        <v>16173.2</v>
      </c>
    </row>
    <row r="81" spans="1:29" x14ac:dyDescent="0.2">
      <c r="A81" s="1157" t="s">
        <v>416</v>
      </c>
      <c r="B81" s="1164">
        <f t="shared" ref="B81:AB81" si="136">B21/1000</f>
        <v>11394.6</v>
      </c>
      <c r="C81" s="1164">
        <f t="shared" si="136"/>
        <v>11543.1</v>
      </c>
      <c r="D81" s="1164">
        <f t="shared" si="136"/>
        <v>11751.2</v>
      </c>
      <c r="E81" s="1164">
        <f t="shared" si="136"/>
        <v>12699.9</v>
      </c>
      <c r="F81" s="1164">
        <f t="shared" si="136"/>
        <v>12388.4</v>
      </c>
      <c r="G81" s="1164">
        <f t="shared" si="136"/>
        <v>12690.6</v>
      </c>
      <c r="H81" s="1164">
        <f t="shared" si="136"/>
        <v>13023</v>
      </c>
      <c r="I81" s="1164">
        <f t="shared" si="136"/>
        <v>13623.9</v>
      </c>
      <c r="J81" s="1164">
        <f t="shared" si="136"/>
        <v>13701.7</v>
      </c>
      <c r="K81" s="1164">
        <f t="shared" si="136"/>
        <v>14098.6</v>
      </c>
      <c r="L81" s="1164">
        <f t="shared" si="136"/>
        <v>14404.8</v>
      </c>
      <c r="M81" s="1164">
        <f t="shared" si="136"/>
        <v>15060</v>
      </c>
      <c r="N81" s="1164">
        <f t="shared" si="136"/>
        <v>15144.7</v>
      </c>
      <c r="O81" s="1165">
        <f t="shared" ref="O81" si="137">O21/1000</f>
        <v>15528.7</v>
      </c>
      <c r="P81" s="2185">
        <f t="shared" si="136"/>
        <v>5063.6000000000004</v>
      </c>
      <c r="Q81" s="1164">
        <f t="shared" si="136"/>
        <v>5012.5</v>
      </c>
      <c r="R81" s="2777">
        <f t="shared" si="136"/>
        <v>5240.5</v>
      </c>
      <c r="S81" s="2777">
        <f t="shared" si="136"/>
        <v>5831.8</v>
      </c>
      <c r="T81" s="2777">
        <f t="shared" si="136"/>
        <v>5603.3</v>
      </c>
      <c r="U81" s="2777">
        <f t="shared" si="136"/>
        <v>5775.2</v>
      </c>
      <c r="V81" s="1164">
        <f t="shared" si="136"/>
        <v>5933</v>
      </c>
      <c r="W81" s="1164">
        <f t="shared" si="136"/>
        <v>6355.1</v>
      </c>
      <c r="X81" s="1164">
        <f t="shared" si="136"/>
        <v>6221.6</v>
      </c>
      <c r="Y81" s="1164">
        <f t="shared" si="136"/>
        <v>6351.2</v>
      </c>
      <c r="Z81" s="1164">
        <f t="shared" si="136"/>
        <v>6483.9</v>
      </c>
      <c r="AA81" s="1164">
        <f t="shared" si="136"/>
        <v>6908.8</v>
      </c>
      <c r="AB81" s="1164">
        <f t="shared" si="136"/>
        <v>6756.5</v>
      </c>
      <c r="AC81" s="1165">
        <f t="shared" ref="AC81" si="138">AC21/1000</f>
        <v>6896.5</v>
      </c>
    </row>
    <row r="82" spans="1:29" x14ac:dyDescent="0.2">
      <c r="A82" s="1156" t="s">
        <v>764</v>
      </c>
      <c r="B82" s="1169">
        <f>SUM(B77:B81)</f>
        <v>80696.500000000015</v>
      </c>
      <c r="C82" s="1169">
        <f>SUM(C77:C81)</f>
        <v>78267.600000000006</v>
      </c>
      <c r="D82" s="1169">
        <f t="shared" ref="D82:L82" si="139">SUM(D77:D81)</f>
        <v>82434.7</v>
      </c>
      <c r="E82" s="1169">
        <f t="shared" si="139"/>
        <v>83561.799999999988</v>
      </c>
      <c r="F82" s="1169">
        <f t="shared" si="139"/>
        <v>81487.299999999988</v>
      </c>
      <c r="G82" s="1169">
        <f t="shared" si="139"/>
        <v>83214</v>
      </c>
      <c r="H82" s="1169">
        <f t="shared" si="139"/>
        <v>85082.8</v>
      </c>
      <c r="I82" s="1169">
        <f t="shared" si="139"/>
        <v>86803.199999999997</v>
      </c>
      <c r="J82" s="1169">
        <f t="shared" si="139"/>
        <v>88464.4</v>
      </c>
      <c r="K82" s="1169">
        <f t="shared" si="139"/>
        <v>89937.600000000006</v>
      </c>
      <c r="L82" s="1169">
        <f t="shared" si="139"/>
        <v>91544.400000000009</v>
      </c>
      <c r="M82" s="1169">
        <f t="shared" ref="M82:N82" si="140">SUM(M77:M81)</f>
        <v>93413.8</v>
      </c>
      <c r="N82" s="1169">
        <f t="shared" si="140"/>
        <v>94859.099999999991</v>
      </c>
      <c r="O82" s="1175">
        <f t="shared" ref="O82" si="141">SUM(O77:O81)</f>
        <v>96492.3</v>
      </c>
      <c r="P82" s="2186">
        <f>SUM(P77:P81)</f>
        <v>52671.799999999996</v>
      </c>
      <c r="Q82" s="1169">
        <f>SUM(Q77:Q81)</f>
        <v>50940.800000000003</v>
      </c>
      <c r="R82" s="1187">
        <f t="shared" ref="R82:Z82" si="142">SUM(R77:R81)</f>
        <v>54320.900000000009</v>
      </c>
      <c r="S82" s="1187">
        <f t="shared" si="142"/>
        <v>55104.5</v>
      </c>
      <c r="T82" s="1187">
        <f t="shared" si="142"/>
        <v>52496.400000000009</v>
      </c>
      <c r="U82" s="1187">
        <f t="shared" si="142"/>
        <v>53997.299999999988</v>
      </c>
      <c r="V82" s="1169">
        <f t="shared" si="142"/>
        <v>55504.800000000003</v>
      </c>
      <c r="W82" s="1169">
        <f t="shared" si="142"/>
        <v>56824.999999999993</v>
      </c>
      <c r="X82" s="1169">
        <f t="shared" si="142"/>
        <v>58084.299999999996</v>
      </c>
      <c r="Y82" s="1169">
        <f t="shared" si="142"/>
        <v>59031.299999999996</v>
      </c>
      <c r="Z82" s="1169">
        <f t="shared" si="142"/>
        <v>60301.9</v>
      </c>
      <c r="AA82" s="1169">
        <f t="shared" ref="AA82:AB82" si="143">SUM(AA77:AA81)</f>
        <v>61724.5</v>
      </c>
      <c r="AB82" s="1169">
        <f t="shared" si="143"/>
        <v>62772.399999999994</v>
      </c>
      <c r="AC82" s="1175">
        <f t="shared" ref="AC82" si="144">SUM(AC77:AC81)</f>
        <v>63933.399999999994</v>
      </c>
    </row>
    <row r="83" spans="1:29" x14ac:dyDescent="0.2">
      <c r="A83" s="1156"/>
      <c r="B83" s="9"/>
      <c r="C83" s="210"/>
      <c r="D83" s="210"/>
      <c r="E83" s="210"/>
      <c r="F83" s="210"/>
      <c r="G83" s="210"/>
      <c r="H83" s="210"/>
      <c r="I83" s="210"/>
      <c r="J83" s="210"/>
      <c r="K83" s="210"/>
      <c r="L83" s="210"/>
      <c r="M83" s="210"/>
      <c r="N83" s="210"/>
      <c r="O83" s="1166"/>
      <c r="P83" s="1309"/>
      <c r="Q83" s="210"/>
      <c r="R83" s="168"/>
      <c r="S83" s="168"/>
      <c r="T83" s="168"/>
      <c r="U83" s="168"/>
      <c r="V83" s="210"/>
      <c r="W83" s="210"/>
      <c r="X83" s="210"/>
      <c r="Y83" s="210"/>
      <c r="Z83" s="210"/>
      <c r="AA83" s="210"/>
      <c r="AB83" s="210"/>
      <c r="AC83" s="1166"/>
    </row>
    <row r="84" spans="1:29" ht="13.5" thickBot="1" x14ac:dyDescent="0.25">
      <c r="A84" s="1158" t="s">
        <v>3369</v>
      </c>
      <c r="B84" s="1167">
        <f>B74-B82</f>
        <v>-9523.4000000000087</v>
      </c>
      <c r="C84" s="1167">
        <f>C74-C82</f>
        <v>-3399.9000000000087</v>
      </c>
      <c r="D84" s="1167">
        <f t="shared" ref="D84:L84" si="145">D74-D82</f>
        <v>-4164</v>
      </c>
      <c r="E84" s="1167">
        <f t="shared" si="145"/>
        <v>798.70000000001164</v>
      </c>
      <c r="F84" s="1167">
        <f t="shared" si="145"/>
        <v>767.00000000001455</v>
      </c>
      <c r="G84" s="1167">
        <f t="shared" si="145"/>
        <v>2008.8000000000029</v>
      </c>
      <c r="H84" s="1167">
        <f t="shared" si="145"/>
        <v>2980.1999999999971</v>
      </c>
      <c r="I84" s="1167">
        <f t="shared" si="145"/>
        <v>4007.6000000000058</v>
      </c>
      <c r="J84" s="1167">
        <f t="shared" si="145"/>
        <v>4823.2000000000116</v>
      </c>
      <c r="K84" s="1167">
        <f t="shared" si="145"/>
        <v>5858.7999999999884</v>
      </c>
      <c r="L84" s="1167">
        <f t="shared" si="145"/>
        <v>7046.3999999999796</v>
      </c>
      <c r="M84" s="1167">
        <f t="shared" ref="M84:N84" si="146">M74-M82</f>
        <v>7947.6999999999971</v>
      </c>
      <c r="N84" s="1167">
        <f t="shared" si="146"/>
        <v>9563.8000000000029</v>
      </c>
      <c r="O84" s="1168">
        <f t="shared" ref="O84" si="147">O74-O82</f>
        <v>11166.399999999994</v>
      </c>
      <c r="P84" s="1321">
        <f>P74-P82</f>
        <v>-6624.5999999999985</v>
      </c>
      <c r="Q84" s="1167">
        <f>Q74-Q82</f>
        <v>-2302.2999999999956</v>
      </c>
      <c r="R84" s="2778">
        <f t="shared" ref="R84:Z84" si="148">R74-R82</f>
        <v>-3604.900000000016</v>
      </c>
      <c r="S84" s="2778">
        <f t="shared" si="148"/>
        <v>-363.5</v>
      </c>
      <c r="T84" s="2778">
        <f t="shared" si="148"/>
        <v>-534.90000000000873</v>
      </c>
      <c r="U84" s="2778">
        <f t="shared" si="148"/>
        <v>187.20000000001164</v>
      </c>
      <c r="V84" s="1167">
        <f t="shared" si="148"/>
        <v>737.49999999999272</v>
      </c>
      <c r="W84" s="1167">
        <f t="shared" si="148"/>
        <v>971.10000000000582</v>
      </c>
      <c r="X84" s="1167">
        <f t="shared" si="148"/>
        <v>1097.0000000000073</v>
      </c>
      <c r="Y84" s="1167">
        <f t="shared" si="148"/>
        <v>1596.9000000000015</v>
      </c>
      <c r="Z84" s="1167">
        <f t="shared" si="148"/>
        <v>2006.5</v>
      </c>
      <c r="AA84" s="1167">
        <f t="shared" ref="AA84:AB84" si="149">AA74-AA82</f>
        <v>2096.5</v>
      </c>
      <c r="AB84" s="1167">
        <f t="shared" si="149"/>
        <v>2726.7000000000044</v>
      </c>
      <c r="AC84" s="1168">
        <f t="shared" ref="AC84" si="150">AC74-AC82</f>
        <v>3285.6000000000058</v>
      </c>
    </row>
    <row r="85" spans="1:29" x14ac:dyDescent="0.2">
      <c r="A85" s="1170"/>
      <c r="B85" s="1160"/>
      <c r="C85" s="1160"/>
      <c r="D85" s="1160"/>
      <c r="E85" s="1160"/>
      <c r="F85" s="1160"/>
      <c r="G85" s="1160"/>
      <c r="H85" s="1160"/>
      <c r="I85" s="1160"/>
      <c r="J85" s="1160"/>
      <c r="K85" s="1160"/>
      <c r="L85" s="1160"/>
      <c r="M85" s="1160"/>
      <c r="N85" s="1160"/>
      <c r="O85" s="1161"/>
      <c r="P85" s="1380"/>
      <c r="Q85" s="9"/>
      <c r="R85" s="2164"/>
      <c r="S85" s="2164"/>
      <c r="T85" s="2164"/>
      <c r="U85" s="2164"/>
      <c r="V85" s="9"/>
      <c r="W85" s="9"/>
      <c r="X85" s="9"/>
      <c r="Y85" s="9"/>
      <c r="Z85" s="9"/>
      <c r="AA85" s="9"/>
      <c r="AB85" s="9"/>
      <c r="AC85" s="457"/>
    </row>
    <row r="86" spans="1:29" x14ac:dyDescent="0.2">
      <c r="A86" s="1171" t="s">
        <v>3370</v>
      </c>
      <c r="B86" s="9"/>
      <c r="C86" s="9"/>
      <c r="D86" s="9"/>
      <c r="E86" s="9"/>
      <c r="F86" s="9"/>
      <c r="G86" s="9"/>
      <c r="H86" s="9"/>
      <c r="I86" s="9"/>
      <c r="J86" s="9"/>
      <c r="K86" s="9"/>
      <c r="L86" s="9"/>
      <c r="M86" s="9"/>
      <c r="N86" s="9"/>
      <c r="O86" s="457"/>
      <c r="P86" s="1380"/>
      <c r="Q86" s="9"/>
      <c r="R86" s="2164"/>
      <c r="S86" s="2164"/>
      <c r="T86" s="2164"/>
      <c r="U86" s="2164"/>
      <c r="V86" s="9"/>
      <c r="W86" s="9"/>
      <c r="X86" s="9"/>
      <c r="Y86" s="9"/>
      <c r="Z86" s="9"/>
      <c r="AA86" s="9"/>
      <c r="AB86" s="9"/>
      <c r="AC86" s="457"/>
    </row>
    <row r="87" spans="1:29" s="1" customFormat="1" x14ac:dyDescent="0.2">
      <c r="A87" s="1174" t="s">
        <v>1530</v>
      </c>
      <c r="B87" s="1169">
        <f t="shared" ref="B87" si="151">SUM(B88:B90)</f>
        <v>-13552.7</v>
      </c>
      <c r="C87" s="1169">
        <f t="shared" ref="C87:L87" si="152">SUM(C88:C90)</f>
        <v>-18445.099999999999</v>
      </c>
      <c r="D87" s="1169">
        <f t="shared" si="152"/>
        <v>-4204.5</v>
      </c>
      <c r="E87" s="1169">
        <f t="shared" si="152"/>
        <v>798.7</v>
      </c>
      <c r="F87" s="1169">
        <f t="shared" si="152"/>
        <v>767.00000000000011</v>
      </c>
      <c r="G87" s="1169">
        <f t="shared" si="152"/>
        <v>2008.8</v>
      </c>
      <c r="H87" s="1169">
        <f t="shared" si="152"/>
        <v>2980.2</v>
      </c>
      <c r="I87" s="1169">
        <f t="shared" si="152"/>
        <v>4007.6</v>
      </c>
      <c r="J87" s="1169">
        <f t="shared" si="152"/>
        <v>4823.2000000000007</v>
      </c>
      <c r="K87" s="1169">
        <f t="shared" si="152"/>
        <v>5858.7999999999993</v>
      </c>
      <c r="L87" s="1169">
        <f t="shared" si="152"/>
        <v>7046.4</v>
      </c>
      <c r="M87" s="1169">
        <f t="shared" ref="M87:N87" si="153">SUM(M88:M90)</f>
        <v>7947.7000000000007</v>
      </c>
      <c r="N87" s="1169">
        <f t="shared" si="153"/>
        <v>9563.7999999999993</v>
      </c>
      <c r="O87" s="1175">
        <f t="shared" ref="O87" si="154">SUM(O88:O90)</f>
        <v>2396.1</v>
      </c>
      <c r="P87" s="1410">
        <f>P74</f>
        <v>46047.199999999997</v>
      </c>
      <c r="Q87" s="35">
        <f>Q74</f>
        <v>48638.500000000007</v>
      </c>
      <c r="R87" s="78">
        <f t="shared" ref="R87:AA87" si="155">R74</f>
        <v>50715.999999999993</v>
      </c>
      <c r="S87" s="78">
        <f t="shared" si="155"/>
        <v>54741</v>
      </c>
      <c r="T87" s="78">
        <f t="shared" si="155"/>
        <v>51961.5</v>
      </c>
      <c r="U87" s="78">
        <f t="shared" si="155"/>
        <v>54184.5</v>
      </c>
      <c r="V87" s="35">
        <f t="shared" si="155"/>
        <v>56242.299999999996</v>
      </c>
      <c r="W87" s="35">
        <f t="shared" si="155"/>
        <v>57796.1</v>
      </c>
      <c r="X87" s="35">
        <f t="shared" si="155"/>
        <v>59181.3</v>
      </c>
      <c r="Y87" s="35">
        <f t="shared" si="155"/>
        <v>60628.2</v>
      </c>
      <c r="Z87" s="35">
        <f t="shared" si="155"/>
        <v>62308.4</v>
      </c>
      <c r="AA87" s="35">
        <f t="shared" si="155"/>
        <v>63821</v>
      </c>
      <c r="AB87" s="35">
        <f t="shared" ref="AB87:AC87" si="156">AB74</f>
        <v>65499.1</v>
      </c>
      <c r="AC87" s="1216">
        <f t="shared" si="156"/>
        <v>67219</v>
      </c>
    </row>
    <row r="88" spans="1:29" x14ac:dyDescent="0.2">
      <c r="A88" s="1173" t="s">
        <v>1764</v>
      </c>
      <c r="B88" s="1164">
        <f t="shared" ref="B88:N88" si="157">AD26/1000</f>
        <v>-422.5</v>
      </c>
      <c r="C88" s="1164">
        <f t="shared" si="157"/>
        <v>75.5</v>
      </c>
      <c r="D88" s="1164">
        <f t="shared" si="157"/>
        <v>349.2</v>
      </c>
      <c r="E88" s="1164">
        <f t="shared" si="157"/>
        <v>644</v>
      </c>
      <c r="F88" s="1164">
        <f t="shared" si="157"/>
        <v>963.9</v>
      </c>
      <c r="G88" s="1164">
        <f t="shared" si="157"/>
        <v>929</v>
      </c>
      <c r="H88" s="1164">
        <f t="shared" si="157"/>
        <v>955.8</v>
      </c>
      <c r="I88" s="1164">
        <f t="shared" si="157"/>
        <v>1132.2</v>
      </c>
      <c r="J88" s="1164">
        <f t="shared" si="157"/>
        <v>1357.9</v>
      </c>
      <c r="K88" s="1164">
        <f t="shared" si="157"/>
        <v>1431.2</v>
      </c>
      <c r="L88" s="1164">
        <f t="shared" si="157"/>
        <v>1665</v>
      </c>
      <c r="M88" s="1164">
        <f t="shared" si="157"/>
        <v>1888.9</v>
      </c>
      <c r="N88" s="1164">
        <f t="shared" si="157"/>
        <v>2135.9</v>
      </c>
      <c r="O88" s="1165">
        <f>AR26/1000</f>
        <v>-2581.6</v>
      </c>
      <c r="P88" s="1309">
        <f>P82</f>
        <v>52671.799999999996</v>
      </c>
      <c r="Q88" s="210">
        <f>Q82</f>
        <v>50940.800000000003</v>
      </c>
      <c r="R88" s="168">
        <f t="shared" ref="R88:AA88" si="158">R82</f>
        <v>54320.900000000009</v>
      </c>
      <c r="S88" s="168">
        <f t="shared" si="158"/>
        <v>55104.5</v>
      </c>
      <c r="T88" s="168">
        <f t="shared" si="158"/>
        <v>52496.400000000009</v>
      </c>
      <c r="U88" s="168">
        <f t="shared" si="158"/>
        <v>53997.299999999988</v>
      </c>
      <c r="V88" s="210">
        <f t="shared" si="158"/>
        <v>55504.800000000003</v>
      </c>
      <c r="W88" s="210">
        <f t="shared" si="158"/>
        <v>56824.999999999993</v>
      </c>
      <c r="X88" s="210">
        <f t="shared" si="158"/>
        <v>58084.299999999996</v>
      </c>
      <c r="Y88" s="210">
        <f t="shared" si="158"/>
        <v>59031.299999999996</v>
      </c>
      <c r="Z88" s="210">
        <f t="shared" si="158"/>
        <v>60301.9</v>
      </c>
      <c r="AA88" s="210">
        <f t="shared" si="158"/>
        <v>61724.5</v>
      </c>
      <c r="AB88" s="210">
        <f t="shared" ref="AB88:AC88" si="159">AB82</f>
        <v>62772.399999999994</v>
      </c>
      <c r="AC88" s="1166">
        <f t="shared" si="159"/>
        <v>63933.399999999994</v>
      </c>
    </row>
    <row r="89" spans="1:29" x14ac:dyDescent="0.2">
      <c r="A89" s="1172" t="s">
        <v>3354</v>
      </c>
      <c r="B89" s="1164">
        <f t="shared" ref="B89:O89" si="160">AR26/1000</f>
        <v>-2581.6</v>
      </c>
      <c r="C89" s="1164">
        <f t="shared" si="160"/>
        <v>-13391.3</v>
      </c>
      <c r="D89" s="1164">
        <f t="shared" si="160"/>
        <v>-948.8</v>
      </c>
      <c r="E89" s="1164">
        <f t="shared" si="160"/>
        <v>518.20000000000005</v>
      </c>
      <c r="F89" s="1164">
        <f t="shared" si="160"/>
        <v>338</v>
      </c>
      <c r="G89" s="1164">
        <f t="shared" si="160"/>
        <v>892.6</v>
      </c>
      <c r="H89" s="1164">
        <f t="shared" si="160"/>
        <v>1286.9000000000001</v>
      </c>
      <c r="I89" s="1164">
        <f t="shared" si="160"/>
        <v>1904.3</v>
      </c>
      <c r="J89" s="1164">
        <f t="shared" si="160"/>
        <v>2368.3000000000002</v>
      </c>
      <c r="K89" s="1164">
        <f t="shared" si="160"/>
        <v>2830.7</v>
      </c>
      <c r="L89" s="1164">
        <f t="shared" si="160"/>
        <v>3374.9</v>
      </c>
      <c r="M89" s="1164">
        <f t="shared" si="160"/>
        <v>3962.3</v>
      </c>
      <c r="N89" s="1164">
        <f t="shared" si="160"/>
        <v>4701.2</v>
      </c>
      <c r="O89" s="1165">
        <f t="shared" si="160"/>
        <v>5400.2</v>
      </c>
      <c r="P89" s="1311">
        <f>P84</f>
        <v>-6624.5999999999985</v>
      </c>
      <c r="Q89" s="58">
        <f>Q84</f>
        <v>-2302.2999999999956</v>
      </c>
      <c r="R89" s="145">
        <f t="shared" ref="R89:AA89" si="161">R84</f>
        <v>-3604.900000000016</v>
      </c>
      <c r="S89" s="145">
        <f t="shared" si="161"/>
        <v>-363.5</v>
      </c>
      <c r="T89" s="145">
        <f t="shared" si="161"/>
        <v>-534.90000000000873</v>
      </c>
      <c r="U89" s="145">
        <f t="shared" si="161"/>
        <v>187.20000000001164</v>
      </c>
      <c r="V89" s="58">
        <f t="shared" si="161"/>
        <v>737.49999999999272</v>
      </c>
      <c r="W89" s="58">
        <f t="shared" si="161"/>
        <v>971.10000000000582</v>
      </c>
      <c r="X89" s="58">
        <f t="shared" si="161"/>
        <v>1097.0000000000073</v>
      </c>
      <c r="Y89" s="58">
        <f t="shared" si="161"/>
        <v>1596.9000000000015</v>
      </c>
      <c r="Z89" s="58">
        <f t="shared" si="161"/>
        <v>2006.5</v>
      </c>
      <c r="AA89" s="58">
        <f t="shared" si="161"/>
        <v>2096.5</v>
      </c>
      <c r="AB89" s="58">
        <f t="shared" ref="AB89:AC89" si="162">AB84</f>
        <v>2726.7000000000044</v>
      </c>
      <c r="AC89" s="736">
        <f t="shared" si="162"/>
        <v>3285.6000000000058</v>
      </c>
    </row>
    <row r="90" spans="1:29" x14ac:dyDescent="0.2">
      <c r="A90" s="1173" t="s">
        <v>2240</v>
      </c>
      <c r="B90" s="1164">
        <f t="shared" ref="B90:N90" si="163">P26/1000</f>
        <v>-10548.6</v>
      </c>
      <c r="C90" s="1164">
        <f t="shared" si="163"/>
        <v>-5129.3</v>
      </c>
      <c r="D90" s="1164">
        <f t="shared" si="163"/>
        <v>-3604.9</v>
      </c>
      <c r="E90" s="1164">
        <f t="shared" si="163"/>
        <v>-363.5</v>
      </c>
      <c r="F90" s="1164">
        <f t="shared" si="163"/>
        <v>-534.9</v>
      </c>
      <c r="G90" s="1164">
        <f t="shared" si="163"/>
        <v>187.2</v>
      </c>
      <c r="H90" s="1164">
        <f t="shared" si="163"/>
        <v>737.5</v>
      </c>
      <c r="I90" s="1164">
        <f t="shared" si="163"/>
        <v>971.1</v>
      </c>
      <c r="J90" s="1164">
        <f t="shared" si="163"/>
        <v>1097</v>
      </c>
      <c r="K90" s="1164">
        <f t="shared" si="163"/>
        <v>1596.9</v>
      </c>
      <c r="L90" s="1164">
        <f t="shared" si="163"/>
        <v>2006.5</v>
      </c>
      <c r="M90" s="1164">
        <f t="shared" si="163"/>
        <v>2096.5</v>
      </c>
      <c r="N90" s="1164">
        <f t="shared" si="163"/>
        <v>2726.7</v>
      </c>
      <c r="O90" s="1165">
        <f>AD26/1000</f>
        <v>-422.5</v>
      </c>
      <c r="P90" s="2185"/>
      <c r="Q90" s="9"/>
      <c r="R90" s="2164"/>
      <c r="S90" s="2164"/>
      <c r="T90" s="2164"/>
      <c r="U90" s="2164"/>
      <c r="V90" s="9"/>
      <c r="W90" s="9"/>
      <c r="X90" s="9"/>
      <c r="Y90" s="9"/>
      <c r="Z90" s="9"/>
      <c r="AA90" s="9"/>
      <c r="AB90" s="9"/>
      <c r="AC90" s="457"/>
    </row>
    <row r="91" spans="1:29" s="1" customFormat="1" ht="13.5" thickBot="1" x14ac:dyDescent="0.25">
      <c r="A91" s="1176"/>
      <c r="B91" s="1177"/>
      <c r="C91" s="1178"/>
      <c r="D91" s="1178"/>
      <c r="E91" s="1178"/>
      <c r="F91" s="1178"/>
      <c r="G91" s="1178"/>
      <c r="H91" s="1178"/>
      <c r="I91" s="1178"/>
      <c r="J91" s="1178"/>
      <c r="K91" s="1178"/>
      <c r="L91" s="1178"/>
      <c r="M91" s="1178"/>
      <c r="N91" s="1178"/>
      <c r="O91" s="1179"/>
      <c r="P91" s="2187"/>
      <c r="Q91" s="1177"/>
      <c r="R91" s="2779"/>
      <c r="S91" s="2779"/>
      <c r="T91" s="2779"/>
      <c r="U91" s="2779"/>
      <c r="V91" s="1177"/>
      <c r="W91" s="1177"/>
      <c r="X91" s="1177"/>
      <c r="Y91" s="1177"/>
      <c r="Z91" s="1177"/>
      <c r="AA91" s="1177"/>
      <c r="AB91" s="1177"/>
      <c r="AC91" s="2188"/>
    </row>
    <row r="92" spans="1:29" s="1" customFormat="1" ht="13.5" thickBot="1" x14ac:dyDescent="0.25">
      <c r="A92" s="746"/>
      <c r="B92" s="8"/>
      <c r="C92" s="1169"/>
      <c r="D92" s="1169"/>
      <c r="E92" s="1169"/>
      <c r="F92" s="1169"/>
      <c r="G92" s="1169"/>
      <c r="H92" s="1169"/>
      <c r="I92" s="1169"/>
      <c r="J92" s="1169"/>
      <c r="K92" s="1169"/>
      <c r="L92" s="1169"/>
      <c r="M92" s="1169"/>
      <c r="R92" s="805"/>
      <c r="S92" s="805"/>
      <c r="T92" s="805"/>
      <c r="U92" s="805"/>
    </row>
    <row r="93" spans="1:29" s="805" customFormat="1" ht="36" customHeight="1" x14ac:dyDescent="0.2">
      <c r="A93" s="3017" t="s">
        <v>3393</v>
      </c>
      <c r="B93" s="3015" t="s">
        <v>3379</v>
      </c>
      <c r="C93" s="3015" t="s">
        <v>3380</v>
      </c>
      <c r="D93" s="3015" t="s">
        <v>4870</v>
      </c>
      <c r="E93" s="1187"/>
      <c r="G93" s="1846" t="s">
        <v>3379</v>
      </c>
      <c r="H93" s="3015" t="s">
        <v>3380</v>
      </c>
      <c r="I93" s="3015" t="s">
        <v>4870</v>
      </c>
      <c r="K93" s="1846" t="s">
        <v>3379</v>
      </c>
      <c r="L93" s="1846" t="s">
        <v>3380</v>
      </c>
      <c r="M93" s="1846" t="s">
        <v>4870</v>
      </c>
      <c r="N93" s="1187"/>
      <c r="O93" s="1187"/>
      <c r="P93" s="3015" t="s">
        <v>3379</v>
      </c>
      <c r="Q93" s="3015" t="s">
        <v>3380</v>
      </c>
      <c r="R93" s="3015" t="s">
        <v>4870</v>
      </c>
    </row>
    <row r="94" spans="1:29" s="805" customFormat="1" ht="13.5" thickBot="1" x14ac:dyDescent="0.25">
      <c r="A94" s="3018"/>
      <c r="B94" s="3016"/>
      <c r="C94" s="3016"/>
      <c r="D94" s="3016"/>
      <c r="E94" s="1187"/>
      <c r="G94" s="1847"/>
      <c r="H94" s="3016"/>
      <c r="I94" s="3016"/>
      <c r="K94" s="1847"/>
      <c r="L94" s="1847"/>
      <c r="M94" s="1847"/>
      <c r="N94" s="1187"/>
      <c r="O94" s="1187"/>
      <c r="P94" s="3016"/>
      <c r="Q94" s="3016"/>
      <c r="R94" s="3016"/>
    </row>
    <row r="95" spans="1:29" s="1" customFormat="1" x14ac:dyDescent="0.2">
      <c r="A95" s="1156"/>
      <c r="B95" s="1180"/>
      <c r="C95" s="1180"/>
      <c r="D95" s="1181"/>
      <c r="E95" s="1169"/>
      <c r="G95" s="1193"/>
      <c r="H95" s="1180"/>
      <c r="I95" s="1181"/>
      <c r="K95" s="1193"/>
      <c r="L95" s="1180"/>
      <c r="M95" s="1181"/>
      <c r="N95" s="1169"/>
      <c r="O95" s="1169"/>
      <c r="P95" s="1193"/>
      <c r="Q95" s="1180"/>
      <c r="R95" s="2780"/>
      <c r="S95" s="805"/>
      <c r="T95" s="805"/>
      <c r="U95" s="805"/>
    </row>
    <row r="96" spans="1:29" s="1" customFormat="1" x14ac:dyDescent="0.2">
      <c r="A96" s="1182" t="s">
        <v>3371</v>
      </c>
      <c r="B96" s="1195"/>
      <c r="C96" s="1195"/>
      <c r="D96" s="1195"/>
      <c r="E96" s="1169"/>
      <c r="G96" s="1848"/>
      <c r="H96" s="1195"/>
      <c r="I96" s="1195"/>
      <c r="K96" s="1848"/>
      <c r="L96" s="1195"/>
      <c r="M96" s="1195"/>
      <c r="N96" s="1169"/>
      <c r="O96" s="1169"/>
      <c r="P96" s="1848"/>
      <c r="Q96" s="1195"/>
      <c r="R96" s="2781"/>
      <c r="S96" s="805"/>
      <c r="T96" s="805"/>
      <c r="U96" s="805"/>
    </row>
    <row r="97" spans="1:21" s="1" customFormat="1" x14ac:dyDescent="0.2">
      <c r="A97" s="1183" t="s">
        <v>218</v>
      </c>
      <c r="B97" s="1196">
        <f>SP!C64/1000</f>
        <v>450.2</v>
      </c>
      <c r="C97" s="1196">
        <f>SP!C80/1000</f>
        <v>1150.0999999999999</v>
      </c>
      <c r="D97" s="1196">
        <f t="shared" ref="D97:D103" si="164">B97-C97</f>
        <v>-699.89999999999986</v>
      </c>
      <c r="E97" s="1169"/>
      <c r="G97" s="1849">
        <f>SP!D64/1000</f>
        <v>358.7</v>
      </c>
      <c r="H97" s="1196">
        <f>SP!D80/1000</f>
        <v>1205.0999999999999</v>
      </c>
      <c r="I97" s="1196">
        <f t="shared" ref="I97:I103" si="165">G97-H97</f>
        <v>-846.39999999999986</v>
      </c>
      <c r="K97" s="1849">
        <f>SP!G64/1000</f>
        <v>225.5</v>
      </c>
      <c r="L97" s="1196">
        <f>SP!G80/1000</f>
        <v>1521.1</v>
      </c>
      <c r="M97" s="1196">
        <f>K97-L97</f>
        <v>-1295.5999999999999</v>
      </c>
      <c r="N97" s="1169"/>
      <c r="O97" s="1169"/>
      <c r="P97" s="1849">
        <f>SP!I64/1000</f>
        <v>169.5</v>
      </c>
      <c r="Q97" s="1196">
        <f>SP!I80/1000</f>
        <v>1170.4000000000001</v>
      </c>
      <c r="R97" s="2782">
        <f t="shared" ref="R97:R103" si="166">P97-Q97</f>
        <v>-1000.9000000000001</v>
      </c>
      <c r="S97" s="805"/>
      <c r="T97" s="805"/>
      <c r="U97" s="805"/>
    </row>
    <row r="98" spans="1:21" s="1" customFormat="1" x14ac:dyDescent="0.2">
      <c r="A98" s="1183" t="s">
        <v>3562</v>
      </c>
      <c r="B98" s="1196">
        <f>SP!C502/1000</f>
        <v>389.4</v>
      </c>
      <c r="C98" s="1196">
        <f>SP!C597/1000</f>
        <v>1587.4</v>
      </c>
      <c r="D98" s="1196">
        <f t="shared" si="164"/>
        <v>-1198</v>
      </c>
      <c r="E98" s="1169"/>
      <c r="G98" s="1849">
        <f>SP!D502/1000</f>
        <v>385.8</v>
      </c>
      <c r="H98" s="1196">
        <f>SP!D597/1000</f>
        <v>1623.1</v>
      </c>
      <c r="I98" s="1196">
        <f t="shared" si="165"/>
        <v>-1237.3</v>
      </c>
      <c r="K98" s="1849">
        <f>SP!G502/1000</f>
        <v>403</v>
      </c>
      <c r="L98" s="1196">
        <f>SP!G597/1000</f>
        <v>1696.9</v>
      </c>
      <c r="M98" s="1196">
        <f t="shared" ref="M98:M103" si="167">K98-L98</f>
        <v>-1293.9000000000001</v>
      </c>
      <c r="N98" s="1169"/>
      <c r="O98" s="1169"/>
      <c r="P98" s="1849">
        <f>SP!I502/1000</f>
        <v>417</v>
      </c>
      <c r="Q98" s="1196">
        <f>SP!I597/1000</f>
        <v>1704.1</v>
      </c>
      <c r="R98" s="2782">
        <f t="shared" si="166"/>
        <v>-1287.0999999999999</v>
      </c>
      <c r="S98" s="805"/>
      <c r="T98" s="805"/>
      <c r="U98" s="805"/>
    </row>
    <row r="99" spans="1:21" s="1" customFormat="1" x14ac:dyDescent="0.2">
      <c r="A99" s="1183" t="s">
        <v>3556</v>
      </c>
      <c r="B99" s="1196">
        <f>SP!C224/1000</f>
        <v>136.30000000000001</v>
      </c>
      <c r="C99" s="1196">
        <f>SP!C243/1000</f>
        <v>1549.9</v>
      </c>
      <c r="D99" s="1196">
        <f t="shared" si="164"/>
        <v>-1413.6000000000001</v>
      </c>
      <c r="E99" s="1169"/>
      <c r="G99" s="1849">
        <f>SP!D224/1000</f>
        <v>111.9</v>
      </c>
      <c r="H99" s="1196">
        <f>SP!D243/1000</f>
        <v>1571</v>
      </c>
      <c r="I99" s="1196">
        <f t="shared" si="165"/>
        <v>-1459.1</v>
      </c>
      <c r="K99" s="1849">
        <f>SP!G224/1000</f>
        <v>118.6</v>
      </c>
      <c r="L99" s="1196">
        <f>SP!G243/1000</f>
        <v>1688</v>
      </c>
      <c r="M99" s="1196">
        <f t="shared" si="167"/>
        <v>-1569.4</v>
      </c>
      <c r="N99" s="1473"/>
      <c r="O99" s="1473"/>
      <c r="P99" s="1849">
        <f>SP!I224/1000</f>
        <v>78.8</v>
      </c>
      <c r="Q99" s="1196">
        <f>SP!I243/1000</f>
        <v>1598.5</v>
      </c>
      <c r="R99" s="2782">
        <f t="shared" si="166"/>
        <v>-1519.7</v>
      </c>
      <c r="S99" s="805"/>
      <c r="T99" s="805"/>
      <c r="U99" s="805"/>
    </row>
    <row r="100" spans="1:21" s="1" customFormat="1" x14ac:dyDescent="0.2">
      <c r="A100" s="1183" t="s">
        <v>389</v>
      </c>
      <c r="B100" s="1196">
        <f>SP!C273/1000</f>
        <v>354.1</v>
      </c>
      <c r="C100" s="1196">
        <f>SP!C294/1000</f>
        <v>822.1</v>
      </c>
      <c r="D100" s="1196">
        <f t="shared" si="164"/>
        <v>-468</v>
      </c>
      <c r="E100" s="1169"/>
      <c r="G100" s="1849">
        <f>SP!D273/1000</f>
        <v>407.3</v>
      </c>
      <c r="H100" s="1196">
        <f>SP!D294/1000</f>
        <v>792.8</v>
      </c>
      <c r="I100" s="1196">
        <f t="shared" si="165"/>
        <v>-385.49999999999994</v>
      </c>
      <c r="K100" s="1849">
        <f>SP!G273/1000</f>
        <v>388</v>
      </c>
      <c r="L100" s="1196">
        <f>SP!G294/1000</f>
        <v>887.7</v>
      </c>
      <c r="M100" s="1196">
        <f t="shared" si="167"/>
        <v>-499.70000000000005</v>
      </c>
      <c r="N100" s="1473"/>
      <c r="O100" s="1473"/>
      <c r="P100" s="1849">
        <f>SP!I273/1000</f>
        <v>388.2</v>
      </c>
      <c r="Q100" s="1196">
        <f>SP!I294/1000</f>
        <v>1376.9</v>
      </c>
      <c r="R100" s="2782">
        <f t="shared" si="166"/>
        <v>-988.7</v>
      </c>
      <c r="S100" s="805"/>
      <c r="T100" s="805"/>
      <c r="U100" s="805"/>
    </row>
    <row r="101" spans="1:21" s="1" customFormat="1" x14ac:dyDescent="0.2">
      <c r="A101" s="1183" t="s">
        <v>3555</v>
      </c>
      <c r="B101" s="1196">
        <f>SP!C177/1000</f>
        <v>100</v>
      </c>
      <c r="C101" s="1196">
        <f>SP!C196/1000</f>
        <v>870</v>
      </c>
      <c r="D101" s="1196">
        <f t="shared" si="164"/>
        <v>-770</v>
      </c>
      <c r="E101" s="1169"/>
      <c r="G101" s="1849">
        <f>SP!D177/1000</f>
        <v>134.6</v>
      </c>
      <c r="H101" s="1196">
        <f>SP!D196/1000</f>
        <v>934.6</v>
      </c>
      <c r="I101" s="1196">
        <f t="shared" si="165"/>
        <v>-800</v>
      </c>
      <c r="K101" s="1849">
        <f>SP!G177/1000</f>
        <v>135.4</v>
      </c>
      <c r="L101" s="1196">
        <f>SP!G196/1000</f>
        <v>912.8</v>
      </c>
      <c r="M101" s="1196">
        <f t="shared" si="167"/>
        <v>-777.4</v>
      </c>
      <c r="N101" s="1473"/>
      <c r="O101" s="1473"/>
      <c r="P101" s="1849">
        <f>SP!I177/1000</f>
        <v>120.1</v>
      </c>
      <c r="Q101" s="1196">
        <f>SP!I196/1000</f>
        <v>910</v>
      </c>
      <c r="R101" s="2782">
        <f t="shared" si="166"/>
        <v>-789.9</v>
      </c>
      <c r="S101" s="805"/>
      <c r="T101" s="805"/>
      <c r="U101" s="805"/>
    </row>
    <row r="102" spans="1:21" s="1" customFormat="1" x14ac:dyDescent="0.2">
      <c r="A102" s="1183" t="s">
        <v>3307</v>
      </c>
      <c r="B102" s="1196">
        <f>SP!C881/1000</f>
        <v>139.69999999999999</v>
      </c>
      <c r="C102" s="1196">
        <f>SP!C935/1000</f>
        <v>673</v>
      </c>
      <c r="D102" s="1196">
        <f t="shared" si="164"/>
        <v>-533.29999999999995</v>
      </c>
      <c r="E102" s="1169"/>
      <c r="G102" s="1849">
        <f>SP!D881/1000</f>
        <v>144.9</v>
      </c>
      <c r="H102" s="1196">
        <f>SP!D935/1000</f>
        <v>740.4</v>
      </c>
      <c r="I102" s="1196">
        <f t="shared" si="165"/>
        <v>-595.5</v>
      </c>
      <c r="K102" s="1849">
        <f>SP!G881/1000</f>
        <v>114.8</v>
      </c>
      <c r="L102" s="1196">
        <f>SP!G935/1000</f>
        <v>732.1</v>
      </c>
      <c r="M102" s="1196">
        <f t="shared" si="167"/>
        <v>-617.30000000000007</v>
      </c>
      <c r="N102" s="1473"/>
      <c r="O102" s="1473"/>
      <c r="P102" s="1849">
        <f>SP!I881/1000</f>
        <v>66.3</v>
      </c>
      <c r="Q102" s="1196">
        <f>SP!I935/1000</f>
        <v>626.20000000000005</v>
      </c>
      <c r="R102" s="2782">
        <f t="shared" si="166"/>
        <v>-559.90000000000009</v>
      </c>
      <c r="S102" s="805"/>
      <c r="T102" s="805"/>
      <c r="U102" s="805"/>
    </row>
    <row r="103" spans="1:21" s="1" customFormat="1" x14ac:dyDescent="0.2">
      <c r="A103" s="1184" t="s">
        <v>764</v>
      </c>
      <c r="B103" s="1197">
        <f>SUM(B97:B102)</f>
        <v>1569.7</v>
      </c>
      <c r="C103" s="1197">
        <f>SUM(C97:C102)</f>
        <v>6652.5</v>
      </c>
      <c r="D103" s="1197">
        <f t="shared" si="164"/>
        <v>-5082.8</v>
      </c>
      <c r="E103" s="1169"/>
      <c r="G103" s="1850">
        <f>SUM(G97:G102)</f>
        <v>1543.2</v>
      </c>
      <c r="H103" s="1197">
        <f>SUM(H97:H102)</f>
        <v>6867</v>
      </c>
      <c r="I103" s="1197">
        <f t="shared" si="165"/>
        <v>-5323.8</v>
      </c>
      <c r="K103" s="1850">
        <f>SUM(K97:K102)</f>
        <v>1385.3</v>
      </c>
      <c r="L103" s="1197">
        <f>SUM(L97:L102)</f>
        <v>7438.6</v>
      </c>
      <c r="M103" s="1197">
        <f t="shared" si="167"/>
        <v>-6053.3</v>
      </c>
      <c r="N103" s="1473"/>
      <c r="O103" s="1473"/>
      <c r="P103" s="1850">
        <f>SUM(P97:P102)</f>
        <v>1239.8999999999999</v>
      </c>
      <c r="Q103" s="1197">
        <f>SUM(Q97:Q102)</f>
        <v>7386.0999999999995</v>
      </c>
      <c r="R103" s="2783">
        <f t="shared" si="166"/>
        <v>-6146.2</v>
      </c>
      <c r="S103" s="805"/>
      <c r="T103" s="805"/>
      <c r="U103" s="805"/>
    </row>
    <row r="104" spans="1:21" s="1" customFormat="1" x14ac:dyDescent="0.2">
      <c r="A104" s="1183"/>
      <c r="B104" s="1198"/>
      <c r="C104" s="1198"/>
      <c r="D104" s="1198"/>
      <c r="E104" s="1169"/>
      <c r="G104" s="1851"/>
      <c r="H104" s="1198"/>
      <c r="I104" s="1198"/>
      <c r="K104" s="1851"/>
      <c r="L104" s="1198"/>
      <c r="M104" s="1198"/>
      <c r="N104" s="1473"/>
      <c r="O104" s="1473"/>
      <c r="P104" s="1851"/>
      <c r="Q104" s="1198"/>
      <c r="R104" s="2784"/>
      <c r="S104" s="805"/>
      <c r="T104" s="805"/>
      <c r="U104" s="805"/>
    </row>
    <row r="105" spans="1:21" s="1" customFormat="1" x14ac:dyDescent="0.2">
      <c r="A105" s="1182" t="s">
        <v>3372</v>
      </c>
      <c r="B105" s="1198"/>
      <c r="C105" s="1198"/>
      <c r="D105" s="1198"/>
      <c r="E105" s="1169"/>
      <c r="G105" s="1851"/>
      <c r="H105" s="1198"/>
      <c r="I105" s="1198"/>
      <c r="K105" s="1851"/>
      <c r="L105" s="1198"/>
      <c r="M105" s="1198"/>
      <c r="N105" s="1473"/>
      <c r="O105" s="1473"/>
      <c r="P105" s="1851"/>
      <c r="Q105" s="1198"/>
      <c r="R105" s="2784"/>
      <c r="S105" s="805"/>
      <c r="T105" s="805"/>
      <c r="U105" s="805"/>
    </row>
    <row r="106" spans="1:21" s="1" customFormat="1" x14ac:dyDescent="0.2">
      <c r="A106" s="1183" t="s">
        <v>1259</v>
      </c>
      <c r="B106" s="1196">
        <f>DEH!C56/1000</f>
        <v>307.89999999999998</v>
      </c>
      <c r="C106" s="1196">
        <f>DEH!C64/1000</f>
        <v>1075.5999999999999</v>
      </c>
      <c r="D106" s="1196">
        <f>B106-C106</f>
        <v>-767.69999999999993</v>
      </c>
      <c r="E106" s="1169"/>
      <c r="G106" s="1849">
        <f>DEH!D56/1000</f>
        <v>604</v>
      </c>
      <c r="H106" s="1196">
        <f>DEH!D64/1000</f>
        <v>1084.7</v>
      </c>
      <c r="I106" s="1196">
        <f>G106-H106</f>
        <v>-480.70000000000005</v>
      </c>
      <c r="K106" s="1849">
        <f>DEH!G56/1000</f>
        <v>692</v>
      </c>
      <c r="L106" s="1196">
        <f>DEH!G64/1000</f>
        <v>1277.5</v>
      </c>
      <c r="M106" s="1196">
        <f t="shared" ref="M106:M110" si="168">K106-L106</f>
        <v>-585.5</v>
      </c>
      <c r="N106" s="1473"/>
      <c r="O106" s="1473"/>
      <c r="P106" s="1849">
        <f>DEH!I56/1000</f>
        <v>600</v>
      </c>
      <c r="Q106" s="1196">
        <f>DEH!I64/1000</f>
        <v>1273.4000000000001</v>
      </c>
      <c r="R106" s="2782">
        <f>P106-Q106</f>
        <v>-673.40000000000009</v>
      </c>
      <c r="S106" s="805"/>
      <c r="T106" s="805"/>
      <c r="U106" s="805"/>
    </row>
    <row r="107" spans="1:21" s="1" customFormat="1" x14ac:dyDescent="0.2">
      <c r="A107" s="1183" t="s">
        <v>2698</v>
      </c>
      <c r="B107" s="1196">
        <f>DEH!C91/1000</f>
        <v>1178.9000000000001</v>
      </c>
      <c r="C107" s="1196">
        <f>DEH!C99/1000</f>
        <v>708.9</v>
      </c>
      <c r="D107" s="1196">
        <f>B107-C107</f>
        <v>470.00000000000011</v>
      </c>
      <c r="E107" s="1169"/>
      <c r="G107" s="1849">
        <f>DEH!D91/1000</f>
        <v>1425.4</v>
      </c>
      <c r="H107" s="1196">
        <f>DEH!D99/1000</f>
        <v>835.6</v>
      </c>
      <c r="I107" s="1196">
        <f>G107-H107</f>
        <v>589.80000000000007</v>
      </c>
      <c r="K107" s="1849">
        <f>DEH!G91/1000</f>
        <v>1417.5</v>
      </c>
      <c r="L107" s="1196">
        <f>DEH!G99/1000</f>
        <v>965</v>
      </c>
      <c r="M107" s="1196">
        <f t="shared" si="168"/>
        <v>452.5</v>
      </c>
      <c r="N107" s="1473"/>
      <c r="O107" s="1473"/>
      <c r="P107" s="1849">
        <f>DEH!I91/1000</f>
        <v>1281</v>
      </c>
      <c r="Q107" s="1196">
        <f>DEH!I99/1000</f>
        <v>883.2</v>
      </c>
      <c r="R107" s="2782">
        <f>P107-Q107</f>
        <v>397.79999999999995</v>
      </c>
      <c r="S107" s="805"/>
      <c r="T107" s="805"/>
      <c r="U107" s="805"/>
    </row>
    <row r="108" spans="1:21" s="1" customFormat="1" x14ac:dyDescent="0.2">
      <c r="A108" s="1183" t="s">
        <v>3373</v>
      </c>
      <c r="B108" s="1196">
        <f>DEH!C130/1000</f>
        <v>238.1</v>
      </c>
      <c r="C108" s="1196">
        <f>DEH!C148/1000</f>
        <v>596.79999999999995</v>
      </c>
      <c r="D108" s="1196">
        <f>B108-C108</f>
        <v>-358.69999999999993</v>
      </c>
      <c r="E108" s="1169"/>
      <c r="G108" s="1849">
        <f>DEH!D130/1000</f>
        <v>262.39999999999998</v>
      </c>
      <c r="H108" s="1196">
        <f>DEH!D148/1000</f>
        <v>784.4</v>
      </c>
      <c r="I108" s="1196">
        <f>G108-H108</f>
        <v>-522</v>
      </c>
      <c r="K108" s="1849">
        <f>DEH!G130/1000</f>
        <v>279.3</v>
      </c>
      <c r="L108" s="1196">
        <f>DEH!G148/1000</f>
        <v>853.7</v>
      </c>
      <c r="M108" s="1196">
        <f t="shared" si="168"/>
        <v>-574.40000000000009</v>
      </c>
      <c r="N108" s="25"/>
      <c r="O108" s="25"/>
      <c r="P108" s="1849">
        <f>DEH!I130/1000</f>
        <v>280</v>
      </c>
      <c r="Q108" s="1196">
        <f>DEH!I148/1000</f>
        <v>1169.4000000000001</v>
      </c>
      <c r="R108" s="2782">
        <f>P108-Q108</f>
        <v>-889.40000000000009</v>
      </c>
      <c r="S108" s="805"/>
      <c r="T108" s="805"/>
      <c r="U108" s="805"/>
    </row>
    <row r="109" spans="1:21" s="1" customFormat="1" x14ac:dyDescent="0.2">
      <c r="A109" s="1183" t="s">
        <v>2710</v>
      </c>
      <c r="B109" s="1196">
        <f>DEH!C178/1000</f>
        <v>313.89999999999998</v>
      </c>
      <c r="C109" s="1196">
        <f>DEH!C195/1000</f>
        <v>1111</v>
      </c>
      <c r="D109" s="1196">
        <f>B109-C109</f>
        <v>-797.1</v>
      </c>
      <c r="E109" s="1169"/>
      <c r="G109" s="1849">
        <f>DEH!D178/1000</f>
        <v>233.1</v>
      </c>
      <c r="H109" s="1196">
        <f>DEH!D195/1000</f>
        <v>1176.5</v>
      </c>
      <c r="I109" s="1196">
        <f>G109-H109</f>
        <v>-943.4</v>
      </c>
      <c r="K109" s="1849">
        <f>DEH!G178/1000</f>
        <v>208.5</v>
      </c>
      <c r="L109" s="1196">
        <f>DEH!G195/1000</f>
        <v>1265.0999999999999</v>
      </c>
      <c r="M109" s="1196">
        <f t="shared" si="168"/>
        <v>-1056.5999999999999</v>
      </c>
      <c r="N109" s="1473"/>
      <c r="O109" s="1473"/>
      <c r="P109" s="1849">
        <f>DEH!I178/1000</f>
        <v>210</v>
      </c>
      <c r="Q109" s="1196">
        <f>DEH!I195/1000</f>
        <v>1285.5999999999999</v>
      </c>
      <c r="R109" s="2782">
        <f>P109-Q109</f>
        <v>-1075.5999999999999</v>
      </c>
      <c r="S109" s="805"/>
      <c r="T109" s="805"/>
      <c r="U109" s="805"/>
    </row>
    <row r="110" spans="1:21" s="1" customFormat="1" x14ac:dyDescent="0.2">
      <c r="A110" s="1184" t="s">
        <v>764</v>
      </c>
      <c r="B110" s="1197">
        <f>SUM(B106:B109)</f>
        <v>2038.8000000000002</v>
      </c>
      <c r="C110" s="1197">
        <f>SUM(C106:C109)</f>
        <v>3492.3</v>
      </c>
      <c r="D110" s="1197">
        <f>B110-C110</f>
        <v>-1453.5</v>
      </c>
      <c r="E110" s="1169"/>
      <c r="G110" s="1850">
        <f>SUM(G106:G109)</f>
        <v>2524.9</v>
      </c>
      <c r="H110" s="1197">
        <f>SUM(H106:H109)</f>
        <v>3881.2000000000003</v>
      </c>
      <c r="I110" s="1197">
        <f>G110-H110</f>
        <v>-1356.3000000000002</v>
      </c>
      <c r="K110" s="1850">
        <f>SUM(K106:K109)</f>
        <v>2597.3000000000002</v>
      </c>
      <c r="L110" s="1197">
        <f>SUM(L106:L109)</f>
        <v>4361.2999999999993</v>
      </c>
      <c r="M110" s="1197">
        <f t="shared" si="168"/>
        <v>-1763.9999999999991</v>
      </c>
      <c r="N110" s="1473"/>
      <c r="O110" s="1473"/>
      <c r="P110" s="1850">
        <f>SUM(P106:P109)</f>
        <v>2371</v>
      </c>
      <c r="Q110" s="1197">
        <f>SUM(Q106:Q109)</f>
        <v>4611.6000000000004</v>
      </c>
      <c r="R110" s="2783">
        <f>P110-Q110</f>
        <v>-2240.6000000000004</v>
      </c>
      <c r="S110" s="805"/>
      <c r="T110" s="805"/>
      <c r="U110" s="805"/>
    </row>
    <row r="111" spans="1:21" s="1" customFormat="1" x14ac:dyDescent="0.2">
      <c r="A111" s="1183"/>
      <c r="B111" s="1198"/>
      <c r="C111" s="1198"/>
      <c r="D111" s="1198"/>
      <c r="E111" s="1169"/>
      <c r="G111" s="1851"/>
      <c r="H111" s="1198"/>
      <c r="I111" s="1198"/>
      <c r="K111" s="1851"/>
      <c r="L111" s="1198"/>
      <c r="M111" s="1198"/>
      <c r="N111" s="1473"/>
      <c r="O111" s="1473"/>
      <c r="P111" s="1851"/>
      <c r="Q111" s="1198"/>
      <c r="R111" s="2784"/>
      <c r="S111" s="805"/>
      <c r="T111" s="805"/>
      <c r="U111" s="805"/>
    </row>
    <row r="112" spans="1:21" s="1" customFormat="1" x14ac:dyDescent="0.2">
      <c r="A112" s="1182" t="s">
        <v>303</v>
      </c>
      <c r="B112" s="1198"/>
      <c r="C112" s="1198"/>
      <c r="D112" s="1198"/>
      <c r="E112" s="1169"/>
      <c r="G112" s="1851"/>
      <c r="H112" s="1198"/>
      <c r="I112" s="1198"/>
      <c r="K112" s="1851"/>
      <c r="L112" s="1198"/>
      <c r="M112" s="1198"/>
      <c r="N112" s="1473"/>
      <c r="O112" s="1473"/>
      <c r="P112" s="1851"/>
      <c r="Q112" s="1198"/>
      <c r="R112" s="2784"/>
      <c r="S112" s="805"/>
      <c r="T112" s="805"/>
      <c r="U112" s="805"/>
    </row>
    <row r="113" spans="1:21" s="1" customFormat="1" x14ac:dyDescent="0.2">
      <c r="A113" s="1183" t="s">
        <v>572</v>
      </c>
      <c r="B113" s="1196">
        <f>CIV!C81/1000</f>
        <v>321.8</v>
      </c>
      <c r="C113" s="1196">
        <f>CIV!C105/1000</f>
        <v>2505.1</v>
      </c>
      <c r="D113" s="1196">
        <f t="shared" ref="D113:D125" si="169">B113-C113</f>
        <v>-2183.2999999999997</v>
      </c>
      <c r="E113" s="1169"/>
      <c r="G113" s="1849">
        <f>CIV!D81/1000</f>
        <v>254.4</v>
      </c>
      <c r="H113" s="1196">
        <f>CIV!D105/1000</f>
        <v>2621.9</v>
      </c>
      <c r="I113" s="1196">
        <f t="shared" ref="I113:I125" si="170">G113-H113</f>
        <v>-2367.5</v>
      </c>
      <c r="K113" s="1849">
        <f>CIV!G81/1000</f>
        <v>288.5</v>
      </c>
      <c r="L113" s="1196">
        <f>CIV!G105/1000</f>
        <v>2669.4</v>
      </c>
      <c r="M113" s="1196">
        <f t="shared" ref="M113:M125" si="171">K113-L113</f>
        <v>-2380.9</v>
      </c>
      <c r="N113" s="40"/>
      <c r="O113" s="40"/>
      <c r="P113" s="1849">
        <f>CIV!I81/1000</f>
        <v>270.60000000000002</v>
      </c>
      <c r="Q113" s="1196">
        <f>CIV!I105/1000</f>
        <v>2705.1</v>
      </c>
      <c r="R113" s="2782">
        <f t="shared" ref="R113:R125" si="172">P113-Q113</f>
        <v>-2434.5</v>
      </c>
      <c r="S113" s="805"/>
      <c r="T113" s="805"/>
      <c r="U113" s="805"/>
    </row>
    <row r="114" spans="1:21" s="1" customFormat="1" x14ac:dyDescent="0.2">
      <c r="A114" s="1183" t="s">
        <v>3870</v>
      </c>
      <c r="B114" s="1196">
        <f>CIV!C132/1000</f>
        <v>0</v>
      </c>
      <c r="C114" s="1196">
        <f>CIV!C164/1000</f>
        <v>3726.4</v>
      </c>
      <c r="D114" s="1196">
        <f t="shared" si="169"/>
        <v>-3726.4</v>
      </c>
      <c r="E114" s="1169"/>
      <c r="G114" s="1849">
        <f>CIV!D132/1000</f>
        <v>0</v>
      </c>
      <c r="H114" s="1196">
        <f>CIV!D164/1000</f>
        <v>3713.2</v>
      </c>
      <c r="I114" s="1196">
        <f t="shared" si="170"/>
        <v>-3713.2</v>
      </c>
      <c r="K114" s="1849">
        <f>CIV!G132/1000</f>
        <v>0</v>
      </c>
      <c r="L114" s="1196">
        <f>CIV!G164/1000</f>
        <v>3686.7</v>
      </c>
      <c r="M114" s="1196">
        <f t="shared" si="171"/>
        <v>-3686.7</v>
      </c>
      <c r="N114" s="1169"/>
      <c r="O114" s="1169"/>
      <c r="P114" s="1849">
        <f>CIV!I132/1000</f>
        <v>0</v>
      </c>
      <c r="Q114" s="1196">
        <f>CIV!I164/1000</f>
        <v>3739.5</v>
      </c>
      <c r="R114" s="2782">
        <f t="shared" si="172"/>
        <v>-3739.5</v>
      </c>
      <c r="S114" s="805"/>
      <c r="T114" s="805"/>
      <c r="U114" s="805"/>
    </row>
    <row r="115" spans="1:21" s="1" customFormat="1" x14ac:dyDescent="0.2">
      <c r="A115" s="1183" t="s">
        <v>1262</v>
      </c>
      <c r="B115" s="1196">
        <f>CIV!C196/1000</f>
        <v>291.7</v>
      </c>
      <c r="C115" s="1196">
        <f>CIV!C218/1000</f>
        <v>2343.1999999999998</v>
      </c>
      <c r="D115" s="1196">
        <f t="shared" si="169"/>
        <v>-2051.5</v>
      </c>
      <c r="E115" s="1169"/>
      <c r="G115" s="1849">
        <f>CIV!D196/1000</f>
        <v>374.6</v>
      </c>
      <c r="H115" s="1196">
        <f>CIV!D218/1000</f>
        <v>2213.9</v>
      </c>
      <c r="I115" s="1196">
        <f t="shared" si="170"/>
        <v>-1839.3000000000002</v>
      </c>
      <c r="K115" s="1849">
        <f>CIV!G196/1000</f>
        <v>579</v>
      </c>
      <c r="L115" s="1196">
        <f>CIV!G218/1000</f>
        <v>2373.3000000000002</v>
      </c>
      <c r="M115" s="1196">
        <f t="shared" si="171"/>
        <v>-1794.3000000000002</v>
      </c>
      <c r="N115" s="1169"/>
      <c r="O115" s="1169"/>
      <c r="P115" s="1849">
        <f>CIV!I196/1000</f>
        <v>376.9</v>
      </c>
      <c r="Q115" s="1196">
        <f>CIV!I218/1000</f>
        <v>2220.3000000000002</v>
      </c>
      <c r="R115" s="2782">
        <f t="shared" si="172"/>
        <v>-1843.4</v>
      </c>
      <c r="S115" s="805"/>
      <c r="T115" s="805"/>
      <c r="U115" s="805"/>
    </row>
    <row r="116" spans="1:21" s="1" customFormat="1" x14ac:dyDescent="0.2">
      <c r="A116" s="1183" t="s">
        <v>728</v>
      </c>
      <c r="B116" s="1196">
        <f>CIV!C255/1000</f>
        <v>413.8</v>
      </c>
      <c r="C116" s="1196">
        <f>CIV!C275/1000</f>
        <v>12830.1</v>
      </c>
      <c r="D116" s="1196">
        <f t="shared" si="169"/>
        <v>-12416.300000000001</v>
      </c>
      <c r="E116" s="1169"/>
      <c r="G116" s="1849">
        <f>CIV!D255/1000</f>
        <v>350.5</v>
      </c>
      <c r="H116" s="1196">
        <f>CIV!D275/1000</f>
        <v>9730.2999999999993</v>
      </c>
      <c r="I116" s="1196">
        <f t="shared" si="170"/>
        <v>-9379.7999999999993</v>
      </c>
      <c r="K116" s="1849">
        <f>CIV!G255/1000</f>
        <v>2559.3000000000002</v>
      </c>
      <c r="L116" s="1196">
        <f>CIV!G275/1000</f>
        <v>8210.2999999999993</v>
      </c>
      <c r="M116" s="1196">
        <f t="shared" si="171"/>
        <v>-5650.9999999999991</v>
      </c>
      <c r="N116" s="1169"/>
      <c r="O116" s="1169"/>
      <c r="P116" s="1849">
        <f>CIV!I255/1000</f>
        <v>982.5</v>
      </c>
      <c r="Q116" s="1196">
        <f>CIV!I275/1000</f>
        <v>8411.6</v>
      </c>
      <c r="R116" s="2782">
        <f t="shared" si="172"/>
        <v>-7429.1</v>
      </c>
      <c r="S116" s="805"/>
      <c r="T116" s="805"/>
      <c r="U116" s="805"/>
    </row>
    <row r="117" spans="1:21" s="1" customFormat="1" x14ac:dyDescent="0.2">
      <c r="A117" s="1183" t="s">
        <v>1180</v>
      </c>
      <c r="B117" s="1196">
        <f>CIV!C315/1000</f>
        <v>896.5</v>
      </c>
      <c r="C117" s="1196">
        <f>CIV!C341/1000</f>
        <v>2286.8000000000002</v>
      </c>
      <c r="D117" s="1196">
        <f t="shared" si="169"/>
        <v>-1390.3000000000002</v>
      </c>
      <c r="E117" s="1169"/>
      <c r="G117" s="1849">
        <f>CIV!D315/1000</f>
        <v>1375.2</v>
      </c>
      <c r="H117" s="1196">
        <f>CIV!D341/1000</f>
        <v>2871.4</v>
      </c>
      <c r="I117" s="1196">
        <f t="shared" si="170"/>
        <v>-1496.2</v>
      </c>
      <c r="K117" s="1849">
        <f>CIV!G315/1000</f>
        <v>960.4</v>
      </c>
      <c r="L117" s="1196">
        <f>CIV!G341/1000</f>
        <v>2381.1999999999998</v>
      </c>
      <c r="M117" s="1196">
        <f t="shared" si="171"/>
        <v>-1420.7999999999997</v>
      </c>
      <c r="N117" s="1169"/>
      <c r="O117" s="1169"/>
      <c r="P117" s="1849">
        <f>CIV!I315/1000</f>
        <v>894</v>
      </c>
      <c r="Q117" s="1196">
        <f>CIV!I341/1000</f>
        <v>2392.1</v>
      </c>
      <c r="R117" s="2782">
        <f t="shared" si="172"/>
        <v>-1498.1</v>
      </c>
      <c r="S117" s="805"/>
      <c r="T117" s="805"/>
      <c r="U117" s="805"/>
    </row>
    <row r="118" spans="1:21" s="1" customFormat="1" x14ac:dyDescent="0.2">
      <c r="A118" s="1183" t="s">
        <v>3103</v>
      </c>
      <c r="B118" s="1196">
        <f>CIV!C372/1000</f>
        <v>866.5</v>
      </c>
      <c r="C118" s="1196">
        <f>CIV!C380/1000</f>
        <v>669.2</v>
      </c>
      <c r="D118" s="1196">
        <f t="shared" si="169"/>
        <v>197.29999999999995</v>
      </c>
      <c r="E118" s="1169"/>
      <c r="G118" s="1849">
        <f>CIV!D372/1000</f>
        <v>876</v>
      </c>
      <c r="H118" s="1196">
        <f>CIV!D380/1000</f>
        <v>770</v>
      </c>
      <c r="I118" s="1196">
        <f t="shared" si="170"/>
        <v>106</v>
      </c>
      <c r="K118" s="1849">
        <f>CIV!G372/1000</f>
        <v>970</v>
      </c>
      <c r="L118" s="1196">
        <f>CIV!G380/1000</f>
        <v>908.8</v>
      </c>
      <c r="M118" s="1196">
        <f t="shared" si="171"/>
        <v>61.200000000000045</v>
      </c>
      <c r="N118" s="1169"/>
      <c r="O118" s="1169"/>
      <c r="P118" s="1849">
        <f>CIV!I372/1000</f>
        <v>744.6</v>
      </c>
      <c r="Q118" s="1196">
        <f>CIV!I380/1000</f>
        <v>744.6</v>
      </c>
      <c r="R118" s="2782">
        <f t="shared" si="172"/>
        <v>0</v>
      </c>
      <c r="S118" s="805"/>
      <c r="T118" s="805"/>
      <c r="U118" s="805"/>
    </row>
    <row r="119" spans="1:21" s="1" customFormat="1" x14ac:dyDescent="0.2">
      <c r="A119" s="1183" t="s">
        <v>282</v>
      </c>
      <c r="B119" s="1196">
        <f>CIV!C419/1000</f>
        <v>963.1</v>
      </c>
      <c r="C119" s="1196">
        <f>CIV!C452/1000</f>
        <v>3436.7</v>
      </c>
      <c r="D119" s="1196">
        <f t="shared" si="169"/>
        <v>-2473.6</v>
      </c>
      <c r="E119" s="1169"/>
      <c r="G119" s="1849">
        <f>CIV!D419/1000</f>
        <v>1046.3</v>
      </c>
      <c r="H119" s="1196">
        <f>CIV!D452/1000</f>
        <v>3695.7</v>
      </c>
      <c r="I119" s="1196">
        <f t="shared" si="170"/>
        <v>-2649.3999999999996</v>
      </c>
      <c r="K119" s="1849">
        <f>CIV!G419/1000</f>
        <v>764</v>
      </c>
      <c r="L119" s="1196">
        <f>CIV!G452/1000</f>
        <v>3913.7</v>
      </c>
      <c r="M119" s="1196">
        <f t="shared" si="171"/>
        <v>-3149.7</v>
      </c>
      <c r="N119" s="1169"/>
      <c r="O119" s="1169"/>
      <c r="P119" s="1849">
        <f>CIV!I419/1000</f>
        <v>750.2</v>
      </c>
      <c r="Q119" s="1196">
        <f>CIV!I452/1000</f>
        <v>3694.8</v>
      </c>
      <c r="R119" s="2782">
        <f t="shared" si="172"/>
        <v>-2944.6000000000004</v>
      </c>
      <c r="S119" s="805"/>
      <c r="T119" s="805"/>
      <c r="U119" s="805"/>
    </row>
    <row r="120" spans="1:21" s="1" customFormat="1" x14ac:dyDescent="0.2">
      <c r="A120" s="1183" t="s">
        <v>381</v>
      </c>
      <c r="B120" s="1196">
        <f>CIV!C490/1000</f>
        <v>326.89999999999998</v>
      </c>
      <c r="C120" s="1196">
        <f>CIV!C509/1000</f>
        <v>40.9</v>
      </c>
      <c r="D120" s="1196">
        <f t="shared" si="169"/>
        <v>286</v>
      </c>
      <c r="E120" s="1169"/>
      <c r="G120" s="1849">
        <f>CIV!D490/1000</f>
        <v>284</v>
      </c>
      <c r="H120" s="1196">
        <f>CIV!D509/1000</f>
        <v>-214.5</v>
      </c>
      <c r="I120" s="1196">
        <f t="shared" si="170"/>
        <v>498.5</v>
      </c>
      <c r="K120" s="1849">
        <f>CIV!G490/1000</f>
        <v>254</v>
      </c>
      <c r="L120" s="1196">
        <f>CIV!G509/1000</f>
        <v>41.3</v>
      </c>
      <c r="M120" s="1196">
        <f t="shared" si="171"/>
        <v>212.7</v>
      </c>
      <c r="N120" s="1169"/>
      <c r="O120" s="1169"/>
      <c r="P120" s="1849">
        <f>CIV!I490/1000</f>
        <v>255.9</v>
      </c>
      <c r="Q120" s="1196">
        <f>CIV!I509/1000</f>
        <v>-123</v>
      </c>
      <c r="R120" s="2782">
        <f t="shared" si="172"/>
        <v>378.9</v>
      </c>
      <c r="S120" s="805"/>
      <c r="T120" s="805"/>
      <c r="U120" s="805"/>
    </row>
    <row r="121" spans="1:21" s="1" customFormat="1" x14ac:dyDescent="0.2">
      <c r="A121" s="1183" t="s">
        <v>541</v>
      </c>
      <c r="B121" s="1196">
        <f>CIV!C536/1000</f>
        <v>181.9</v>
      </c>
      <c r="C121" s="1196">
        <f>CIV!C548/1000</f>
        <v>277</v>
      </c>
      <c r="D121" s="1196">
        <f t="shared" si="169"/>
        <v>-95.1</v>
      </c>
      <c r="E121" s="1169"/>
      <c r="G121" s="1849">
        <f>CIV!D536/1000</f>
        <v>172.3</v>
      </c>
      <c r="H121" s="1196">
        <f>CIV!D548/1000</f>
        <v>330</v>
      </c>
      <c r="I121" s="1196">
        <f t="shared" si="170"/>
        <v>-157.69999999999999</v>
      </c>
      <c r="K121" s="1849">
        <f>CIV!G536/1000</f>
        <v>219</v>
      </c>
      <c r="L121" s="1196">
        <f>CIV!G548/1000</f>
        <v>393.8</v>
      </c>
      <c r="M121" s="1196">
        <f t="shared" si="171"/>
        <v>-174.8</v>
      </c>
      <c r="N121" s="1169"/>
      <c r="O121" s="1169"/>
      <c r="P121" s="1849">
        <f>CIV!I536/1000</f>
        <v>167.5</v>
      </c>
      <c r="Q121" s="1196">
        <f>CIV!I548/1000</f>
        <v>381.7</v>
      </c>
      <c r="R121" s="2782">
        <f t="shared" si="172"/>
        <v>-214.2</v>
      </c>
      <c r="S121" s="805"/>
      <c r="T121" s="805"/>
      <c r="U121" s="805"/>
    </row>
    <row r="122" spans="1:21" s="1" customFormat="1" x14ac:dyDescent="0.2">
      <c r="A122" s="1183" t="s">
        <v>3392</v>
      </c>
      <c r="B122" s="1196">
        <f>CIV!C579/1000</f>
        <v>475.7</v>
      </c>
      <c r="C122" s="1196">
        <f>CIV!C601/1000</f>
        <v>227.8</v>
      </c>
      <c r="D122" s="1196">
        <f t="shared" si="169"/>
        <v>247.89999999999998</v>
      </c>
      <c r="E122" s="1169"/>
      <c r="G122" s="1849">
        <f>CIV!D579/1000</f>
        <v>377.2</v>
      </c>
      <c r="H122" s="1196">
        <f>CIV!D601/1000</f>
        <v>188.4</v>
      </c>
      <c r="I122" s="1196">
        <f t="shared" si="170"/>
        <v>188.79999999999998</v>
      </c>
      <c r="K122" s="1849">
        <f>CIV!G579/1000</f>
        <v>64.8</v>
      </c>
      <c r="L122" s="1196">
        <f>CIV!G601/1000</f>
        <v>738.9</v>
      </c>
      <c r="M122" s="1196">
        <f t="shared" si="171"/>
        <v>-674.1</v>
      </c>
      <c r="N122" s="1169"/>
      <c r="O122" s="1169"/>
      <c r="P122" s="1849">
        <f>CIV!I579/1000</f>
        <v>48.8</v>
      </c>
      <c r="Q122" s="1196">
        <f>CIV!I601/1000</f>
        <v>77.3</v>
      </c>
      <c r="R122" s="2782">
        <f t="shared" si="172"/>
        <v>-28.5</v>
      </c>
      <c r="S122" s="805"/>
      <c r="T122" s="805"/>
      <c r="U122" s="805"/>
    </row>
    <row r="123" spans="1:21" s="1" customFormat="1" x14ac:dyDescent="0.2">
      <c r="A123" s="1183" t="s">
        <v>3854</v>
      </c>
      <c r="B123" s="1196">
        <f>CIV!C635/1000</f>
        <v>3958.3</v>
      </c>
      <c r="C123" s="1196">
        <f>CIV!C678/1000</f>
        <v>2612</v>
      </c>
      <c r="D123" s="1196">
        <f t="shared" si="169"/>
        <v>1346.3000000000002</v>
      </c>
      <c r="E123" s="1169"/>
      <c r="G123" s="1849">
        <f>CIV!D635/1000</f>
        <v>3844.5</v>
      </c>
      <c r="H123" s="1196">
        <f>CIV!D678/1000</f>
        <v>3544.3</v>
      </c>
      <c r="I123" s="1196">
        <f t="shared" si="170"/>
        <v>300.19999999999982</v>
      </c>
      <c r="K123" s="1849">
        <f>CIV!G635/1000</f>
        <v>3567</v>
      </c>
      <c r="L123" s="1196">
        <f>CIV!G678/1000</f>
        <v>2983.8</v>
      </c>
      <c r="M123" s="1196">
        <f t="shared" si="171"/>
        <v>583.19999999999982</v>
      </c>
      <c r="N123" s="1169"/>
      <c r="O123" s="1169"/>
      <c r="P123" s="1849">
        <f>CIV!I635/1000</f>
        <v>2215</v>
      </c>
      <c r="Q123" s="1196">
        <f>CIV!I678/1000</f>
        <v>2417.1999999999998</v>
      </c>
      <c r="R123" s="2782">
        <f t="shared" si="172"/>
        <v>-202.19999999999982</v>
      </c>
      <c r="S123" s="805"/>
      <c r="T123" s="805"/>
      <c r="U123" s="805"/>
    </row>
    <row r="124" spans="1:21" s="1" customFormat="1" x14ac:dyDescent="0.2">
      <c r="A124" s="1183" t="s">
        <v>1094</v>
      </c>
      <c r="B124" s="1196">
        <f>CIV!C705/1000</f>
        <v>5865.1</v>
      </c>
      <c r="C124" s="1196">
        <f>CIV!C732/1000</f>
        <v>5865.1</v>
      </c>
      <c r="D124" s="1196">
        <f t="shared" si="169"/>
        <v>0</v>
      </c>
      <c r="E124" s="1169"/>
      <c r="G124" s="1849">
        <f>CIV!D705/1000</f>
        <v>6079.5</v>
      </c>
      <c r="H124" s="1196">
        <f>CIV!D732/1000</f>
        <v>5916.8</v>
      </c>
      <c r="I124" s="1196">
        <f t="shared" si="170"/>
        <v>162.69999999999982</v>
      </c>
      <c r="K124" s="1849">
        <f>CIV!G705/1000</f>
        <v>6294.5</v>
      </c>
      <c r="L124" s="1196">
        <f>CIV!G732/1000</f>
        <v>5843</v>
      </c>
      <c r="M124" s="1196">
        <f t="shared" si="171"/>
        <v>451.5</v>
      </c>
      <c r="N124" s="1169"/>
      <c r="O124" s="1169"/>
      <c r="P124" s="1849">
        <f>CIV!I705/1000</f>
        <v>6417.9</v>
      </c>
      <c r="Q124" s="1196">
        <f>CIV!I732/1000</f>
        <v>6006.6</v>
      </c>
      <c r="R124" s="2782">
        <f t="shared" si="172"/>
        <v>411.29999999999927</v>
      </c>
      <c r="S124" s="805"/>
      <c r="T124" s="805"/>
      <c r="U124" s="805"/>
    </row>
    <row r="125" spans="1:21" s="1" customFormat="1" x14ac:dyDescent="0.2">
      <c r="A125" s="1184" t="s">
        <v>764</v>
      </c>
      <c r="B125" s="1197">
        <f>SUM(B113:B124)</f>
        <v>14561.300000000001</v>
      </c>
      <c r="C125" s="1197">
        <f>SUM(C113:C124)</f>
        <v>36820.300000000003</v>
      </c>
      <c r="D125" s="1197">
        <f t="shared" si="169"/>
        <v>-22259</v>
      </c>
      <c r="E125" s="1169"/>
      <c r="G125" s="1850">
        <f>SUM(G113:G124)</f>
        <v>15034.5</v>
      </c>
      <c r="H125" s="1197">
        <f>SUM(H113:H124)</f>
        <v>35381.4</v>
      </c>
      <c r="I125" s="1197">
        <f t="shared" si="170"/>
        <v>-20346.900000000001</v>
      </c>
      <c r="K125" s="1850">
        <f>SUM(K113:K124)</f>
        <v>16520.5</v>
      </c>
      <c r="L125" s="1197">
        <f>SUM(L113:L124)</f>
        <v>34144.199999999997</v>
      </c>
      <c r="M125" s="1197">
        <f t="shared" si="171"/>
        <v>-17623.699999999997</v>
      </c>
      <c r="N125" s="1169"/>
      <c r="O125" s="1169"/>
      <c r="P125" s="1850">
        <f>SUM(P113:P124)</f>
        <v>13123.9</v>
      </c>
      <c r="Q125" s="1197">
        <f>SUM(Q113:Q124)</f>
        <v>32667.799999999996</v>
      </c>
      <c r="R125" s="2783">
        <f t="shared" si="172"/>
        <v>-19543.899999999994</v>
      </c>
      <c r="S125" s="805"/>
      <c r="T125" s="805"/>
      <c r="U125" s="805"/>
    </row>
    <row r="126" spans="1:21" s="1" customFormat="1" x14ac:dyDescent="0.2">
      <c r="A126" s="1184"/>
      <c r="B126" s="1198"/>
      <c r="C126" s="1198"/>
      <c r="D126" s="1198"/>
      <c r="E126" s="1169"/>
      <c r="G126" s="1851"/>
      <c r="H126" s="1198"/>
      <c r="I126" s="1198"/>
      <c r="K126" s="1851"/>
      <c r="L126" s="1198"/>
      <c r="M126" s="1198"/>
      <c r="N126" s="1169"/>
      <c r="O126" s="1169"/>
      <c r="P126" s="1851"/>
      <c r="Q126" s="1198"/>
      <c r="R126" s="2784"/>
      <c r="S126" s="805"/>
      <c r="T126" s="805"/>
      <c r="U126" s="805"/>
    </row>
    <row r="127" spans="1:21" s="1" customFormat="1" x14ac:dyDescent="0.2">
      <c r="A127" s="1182" t="s">
        <v>475</v>
      </c>
      <c r="B127" s="1198"/>
      <c r="C127" s="1198"/>
      <c r="D127" s="1198"/>
      <c r="E127" s="1169"/>
      <c r="G127" s="1851"/>
      <c r="H127" s="1198"/>
      <c r="I127" s="1198"/>
      <c r="K127" s="1851"/>
      <c r="L127" s="1198"/>
      <c r="M127" s="1198"/>
      <c r="N127" s="1169"/>
      <c r="O127" s="1169"/>
      <c r="P127" s="1851"/>
      <c r="Q127" s="1198"/>
      <c r="R127" s="2784"/>
      <c r="S127" s="805"/>
      <c r="T127" s="805"/>
      <c r="U127" s="805"/>
    </row>
    <row r="128" spans="1:21" s="1" customFormat="1" x14ac:dyDescent="0.2">
      <c r="A128" s="1183" t="s">
        <v>3374</v>
      </c>
      <c r="B128" s="1196">
        <f>GM!C69/1000</f>
        <v>0</v>
      </c>
      <c r="C128" s="1196">
        <f>GM!C94/1000</f>
        <v>1104.8</v>
      </c>
      <c r="D128" s="1196">
        <f t="shared" ref="D128:D136" si="173">B128-C128</f>
        <v>-1104.8</v>
      </c>
      <c r="E128" s="1169"/>
      <c r="G128" s="1849">
        <f>GM!D69/1000</f>
        <v>4.3</v>
      </c>
      <c r="H128" s="1196">
        <f>GM!D94/1000</f>
        <v>1160.8</v>
      </c>
      <c r="I128" s="1196">
        <f t="shared" ref="I128:I136" si="174">G128-H128</f>
        <v>-1156.5</v>
      </c>
      <c r="K128" s="1849">
        <f>GM!G69/1000</f>
        <v>0</v>
      </c>
      <c r="L128" s="1196">
        <f>GM!G94/1000</f>
        <v>1653.3</v>
      </c>
      <c r="M128" s="1196">
        <f t="shared" ref="M128:M136" si="175">K128-L128</f>
        <v>-1653.3</v>
      </c>
      <c r="N128" s="1169"/>
      <c r="O128" s="1169"/>
      <c r="P128" s="1849">
        <f>GM!I69/1000</f>
        <v>0</v>
      </c>
      <c r="Q128" s="1196">
        <f>GM!I94/1000</f>
        <v>1409.4</v>
      </c>
      <c r="R128" s="2782">
        <f t="shared" ref="R128:R136" si="176">P128-Q128</f>
        <v>-1409.4</v>
      </c>
      <c r="S128" s="805"/>
      <c r="T128" s="805"/>
      <c r="U128" s="805"/>
    </row>
    <row r="129" spans="1:21" s="1" customFormat="1" x14ac:dyDescent="0.2">
      <c r="A129" s="1183" t="s">
        <v>1034</v>
      </c>
      <c r="B129" s="1196">
        <f>GM!C122/1000</f>
        <v>26</v>
      </c>
      <c r="C129" s="1196">
        <f>GM!C134/1000</f>
        <v>255.2</v>
      </c>
      <c r="D129" s="1196">
        <f t="shared" si="173"/>
        <v>-229.2</v>
      </c>
      <c r="E129" s="1169"/>
      <c r="G129" s="1849">
        <f>GM!D122/1000</f>
        <v>42.5</v>
      </c>
      <c r="H129" s="1196">
        <f>GM!D134/1000</f>
        <v>310.89999999999998</v>
      </c>
      <c r="I129" s="1196">
        <f t="shared" si="174"/>
        <v>-268.39999999999998</v>
      </c>
      <c r="K129" s="1849">
        <f>GM!G122/1000</f>
        <v>29.5</v>
      </c>
      <c r="L129" s="1196">
        <f>GM!G134/1000</f>
        <v>296.5</v>
      </c>
      <c r="M129" s="1196">
        <f t="shared" si="175"/>
        <v>-267</v>
      </c>
      <c r="N129" s="1169"/>
      <c r="O129" s="1169"/>
      <c r="P129" s="1849">
        <f>GM!I122/1000</f>
        <v>30.3</v>
      </c>
      <c r="Q129" s="1196">
        <f>GM!I134/1000</f>
        <v>269.3</v>
      </c>
      <c r="R129" s="2782">
        <f t="shared" si="176"/>
        <v>-239</v>
      </c>
      <c r="S129" s="805"/>
      <c r="T129" s="805"/>
      <c r="U129" s="805"/>
    </row>
    <row r="130" spans="1:21" s="1" customFormat="1" x14ac:dyDescent="0.2">
      <c r="A130" s="1183" t="s">
        <v>1022</v>
      </c>
      <c r="B130" s="1196">
        <f>GM!C181/1000</f>
        <v>22370.9</v>
      </c>
      <c r="C130" s="1196">
        <v>0</v>
      </c>
      <c r="D130" s="1196">
        <f t="shared" si="173"/>
        <v>22370.9</v>
      </c>
      <c r="E130" s="1169"/>
      <c r="G130" s="1849">
        <f>GM!D181/1000</f>
        <v>23415.4</v>
      </c>
      <c r="H130" s="1196">
        <v>0</v>
      </c>
      <c r="I130" s="1196">
        <f t="shared" si="174"/>
        <v>23415.4</v>
      </c>
      <c r="K130" s="1849">
        <f>GM!G181/1000</f>
        <v>24850.3</v>
      </c>
      <c r="L130" s="1196">
        <v>0</v>
      </c>
      <c r="M130" s="1196">
        <f t="shared" si="175"/>
        <v>24850.3</v>
      </c>
      <c r="N130" s="1169"/>
      <c r="O130" s="1169"/>
      <c r="P130" s="1849">
        <f>GM!I181/1000</f>
        <v>25995.8</v>
      </c>
      <c r="Q130" s="1196">
        <v>0</v>
      </c>
      <c r="R130" s="2782">
        <f t="shared" si="176"/>
        <v>25995.8</v>
      </c>
      <c r="S130" s="805"/>
      <c r="T130" s="805"/>
      <c r="U130" s="805"/>
    </row>
    <row r="131" spans="1:21" s="1" customFormat="1" x14ac:dyDescent="0.2">
      <c r="A131" s="1183" t="s">
        <v>88</v>
      </c>
      <c r="B131" s="1196">
        <f>GM!C212/1000</f>
        <v>203.9</v>
      </c>
      <c r="C131" s="1196">
        <f>GM!C225/1000</f>
        <v>-3774.6</v>
      </c>
      <c r="D131" s="1196">
        <f t="shared" si="173"/>
        <v>3978.5</v>
      </c>
      <c r="E131" s="1169"/>
      <c r="G131" s="1849">
        <f>GM!D212/1000</f>
        <v>274</v>
      </c>
      <c r="H131" s="1196">
        <f>GM!D225/1000</f>
        <v>-4086.9</v>
      </c>
      <c r="I131" s="1196">
        <f t="shared" si="174"/>
        <v>4360.8999999999996</v>
      </c>
      <c r="K131" s="1849">
        <f>GM!G212/1000</f>
        <v>232.7</v>
      </c>
      <c r="L131" s="1196">
        <f>GM!G225/1000</f>
        <v>-4197.5</v>
      </c>
      <c r="M131" s="1196">
        <f t="shared" si="175"/>
        <v>4430.2</v>
      </c>
      <c r="N131" s="1169"/>
      <c r="O131" s="1169"/>
      <c r="P131" s="1849">
        <f>GM!I212/1000</f>
        <v>235.8</v>
      </c>
      <c r="Q131" s="1196">
        <f>GM!I225/1000</f>
        <v>-4174.8</v>
      </c>
      <c r="R131" s="2782">
        <f t="shared" si="176"/>
        <v>4410.6000000000004</v>
      </c>
      <c r="S131" s="805"/>
      <c r="T131" s="805"/>
      <c r="U131" s="805"/>
    </row>
    <row r="132" spans="1:21" s="1" customFormat="1" x14ac:dyDescent="0.2">
      <c r="A132" s="1183" t="s">
        <v>2311</v>
      </c>
      <c r="B132" s="1196">
        <f>GM!C252/1000</f>
        <v>17.600000000000001</v>
      </c>
      <c r="C132" s="1196">
        <f>GM!C264/1000</f>
        <v>1913</v>
      </c>
      <c r="D132" s="1196">
        <f t="shared" si="173"/>
        <v>-1895.4</v>
      </c>
      <c r="E132" s="1169"/>
      <c r="G132" s="1849">
        <f>GM!D252/1000</f>
        <v>3.1</v>
      </c>
      <c r="H132" s="1196">
        <f>GM!D264/1000</f>
        <v>2049.1999999999998</v>
      </c>
      <c r="I132" s="1196">
        <f t="shared" si="174"/>
        <v>-2046.1</v>
      </c>
      <c r="K132" s="1849">
        <f>GM!G252/1000</f>
        <v>177</v>
      </c>
      <c r="L132" s="1196">
        <f>GM!G264/1000</f>
        <v>2303.4</v>
      </c>
      <c r="M132" s="1196">
        <f t="shared" si="175"/>
        <v>-2126.4</v>
      </c>
      <c r="N132" s="1169"/>
      <c r="O132" s="1169"/>
      <c r="P132" s="1849">
        <f>GM!I252/1000</f>
        <v>103</v>
      </c>
      <c r="Q132" s="1196">
        <f>GM!I264/1000</f>
        <v>2360.9</v>
      </c>
      <c r="R132" s="2782">
        <f t="shared" si="176"/>
        <v>-2257.9</v>
      </c>
      <c r="S132" s="805"/>
      <c r="T132" s="805"/>
      <c r="U132" s="805"/>
    </row>
    <row r="133" spans="1:21" s="1" customFormat="1" x14ac:dyDescent="0.2">
      <c r="A133" s="1183" t="s">
        <v>2291</v>
      </c>
      <c r="B133" s="1196">
        <f>GM!C295/1000</f>
        <v>295.39999999999998</v>
      </c>
      <c r="C133" s="1196">
        <f>GM!C320/1000</f>
        <v>1366.3</v>
      </c>
      <c r="D133" s="1196">
        <f t="shared" si="173"/>
        <v>-1070.9000000000001</v>
      </c>
      <c r="E133" s="1169"/>
      <c r="G133" s="1849">
        <f>GM!D295/1000</f>
        <v>191.4</v>
      </c>
      <c r="H133" s="1196">
        <f>GM!D320/1000</f>
        <v>1282.2</v>
      </c>
      <c r="I133" s="1196">
        <f t="shared" si="174"/>
        <v>-1090.8</v>
      </c>
      <c r="K133" s="1849">
        <f>GM!G295/1000</f>
        <v>323</v>
      </c>
      <c r="L133" s="1196">
        <f>GM!G320/1000</f>
        <v>1010.5</v>
      </c>
      <c r="M133" s="1196">
        <f t="shared" si="175"/>
        <v>-687.5</v>
      </c>
      <c r="N133" s="1169"/>
      <c r="O133" s="1169"/>
      <c r="P133" s="1849">
        <f>GM!I295/1000</f>
        <v>173</v>
      </c>
      <c r="Q133" s="1196">
        <f>GM!I320/1000</f>
        <v>1007.2</v>
      </c>
      <c r="R133" s="2782">
        <f t="shared" si="176"/>
        <v>-834.2</v>
      </c>
      <c r="S133" s="805"/>
      <c r="T133" s="805"/>
      <c r="U133" s="805"/>
    </row>
    <row r="134" spans="1:21" s="1" customFormat="1" x14ac:dyDescent="0.2">
      <c r="A134" s="1183" t="s">
        <v>2543</v>
      </c>
      <c r="B134" s="1196">
        <f>GM!C360/1000</f>
        <v>3385.1</v>
      </c>
      <c r="C134" s="1196">
        <f>GM!C392/1000</f>
        <v>2115</v>
      </c>
      <c r="D134" s="1196">
        <f t="shared" si="173"/>
        <v>1270.0999999999999</v>
      </c>
      <c r="E134" s="1169"/>
      <c r="G134" s="1849">
        <f>GM!D360/1000</f>
        <v>2570.8000000000002</v>
      </c>
      <c r="H134" s="1196">
        <f>GM!D392/1000</f>
        <v>2961.7</v>
      </c>
      <c r="I134" s="1196">
        <f t="shared" si="174"/>
        <v>-390.89999999999964</v>
      </c>
      <c r="K134" s="1849">
        <f>GM!G360/1000</f>
        <v>3033</v>
      </c>
      <c r="L134" s="1196">
        <f>GM!G392/1000</f>
        <v>3216.3</v>
      </c>
      <c r="M134" s="1196">
        <f t="shared" si="175"/>
        <v>-183.30000000000018</v>
      </c>
      <c r="N134" s="1169"/>
      <c r="O134" s="1169"/>
      <c r="P134" s="1849">
        <f>GM!I360/1000</f>
        <v>2618.6</v>
      </c>
      <c r="Q134" s="1196">
        <f>GM!I392/1000</f>
        <v>1579.8</v>
      </c>
      <c r="R134" s="2782">
        <f t="shared" si="176"/>
        <v>1038.8</v>
      </c>
      <c r="S134" s="805"/>
      <c r="T134" s="805"/>
      <c r="U134" s="805"/>
    </row>
    <row r="135" spans="1:21" s="1" customFormat="1" x14ac:dyDescent="0.2">
      <c r="A135" s="1183" t="s">
        <v>2129</v>
      </c>
      <c r="B135" s="1196">
        <f>GM!C434/1000</f>
        <v>4709.7</v>
      </c>
      <c r="C135" s="1196">
        <f>GM!C454/1000</f>
        <v>4362.8999999999996</v>
      </c>
      <c r="D135" s="1196">
        <f t="shared" si="173"/>
        <v>346.80000000000018</v>
      </c>
      <c r="E135" s="1169"/>
      <c r="G135" s="1849">
        <f>GM!D434/1000</f>
        <v>5111.8999999999996</v>
      </c>
      <c r="H135" s="1196">
        <f>GM!D454/1000</f>
        <v>4513.3999999999996</v>
      </c>
      <c r="I135" s="1196">
        <f t="shared" si="174"/>
        <v>598.5</v>
      </c>
      <c r="K135" s="1849">
        <f>GM!G434/1000</f>
        <v>5592.4</v>
      </c>
      <c r="L135" s="1196">
        <f>GM!G454/1000</f>
        <v>4877.8999999999996</v>
      </c>
      <c r="M135" s="1196">
        <f t="shared" si="175"/>
        <v>714.5</v>
      </c>
      <c r="N135" s="1169"/>
      <c r="O135" s="1169"/>
      <c r="P135" s="1849">
        <f>GM!I434/1000</f>
        <v>6070.2</v>
      </c>
      <c r="Q135" s="1196">
        <f>GM!I454/1000</f>
        <v>5379.1</v>
      </c>
      <c r="R135" s="2782">
        <f t="shared" si="176"/>
        <v>691.09999999999945</v>
      </c>
      <c r="S135" s="805"/>
      <c r="T135" s="805"/>
      <c r="U135" s="805"/>
    </row>
    <row r="136" spans="1:21" s="1" customFormat="1" x14ac:dyDescent="0.2">
      <c r="A136" s="1156" t="s">
        <v>764</v>
      </c>
      <c r="B136" s="1197">
        <f>SUM(B128:B135)</f>
        <v>31008.600000000002</v>
      </c>
      <c r="C136" s="1197">
        <f>SUM(C128:C135)</f>
        <v>7342.5999999999995</v>
      </c>
      <c r="D136" s="1197">
        <f t="shared" si="173"/>
        <v>23666.000000000004</v>
      </c>
      <c r="E136" s="1169"/>
      <c r="G136" s="1850">
        <f>SUM(G128:G135)</f>
        <v>31613.4</v>
      </c>
      <c r="H136" s="1197">
        <f>SUM(H128:H135)</f>
        <v>8191.2999999999993</v>
      </c>
      <c r="I136" s="1197">
        <f t="shared" si="174"/>
        <v>23422.100000000002</v>
      </c>
      <c r="K136" s="1850">
        <f>SUM(K128:K135)</f>
        <v>34237.9</v>
      </c>
      <c r="L136" s="1197">
        <f>SUM(L128:L135)</f>
        <v>9160.4</v>
      </c>
      <c r="M136" s="1197">
        <f t="shared" si="175"/>
        <v>25077.5</v>
      </c>
      <c r="N136" s="1169"/>
      <c r="O136" s="1169"/>
      <c r="P136" s="1850">
        <f>SUM(P128:P135)</f>
        <v>35226.699999999997</v>
      </c>
      <c r="Q136" s="1197">
        <f>SUM(Q128:Q135)</f>
        <v>7830.9</v>
      </c>
      <c r="R136" s="2783">
        <f t="shared" si="176"/>
        <v>27395.799999999996</v>
      </c>
      <c r="S136" s="805"/>
      <c r="T136" s="805"/>
      <c r="U136" s="805"/>
    </row>
    <row r="137" spans="1:21" s="1" customFormat="1" x14ac:dyDescent="0.2">
      <c r="A137" s="1156"/>
      <c r="B137" s="1199"/>
      <c r="C137" s="1199"/>
      <c r="D137" s="1199"/>
      <c r="E137" s="1169"/>
      <c r="G137" s="1852"/>
      <c r="H137" s="1199"/>
      <c r="I137" s="1199"/>
      <c r="K137" s="1852"/>
      <c r="L137" s="1199"/>
      <c r="M137" s="1199"/>
      <c r="N137" s="1169"/>
      <c r="O137" s="1169"/>
      <c r="P137" s="1852"/>
      <c r="Q137" s="1199"/>
      <c r="R137" s="2785"/>
      <c r="S137" s="805"/>
      <c r="T137" s="805"/>
      <c r="U137" s="805"/>
    </row>
    <row r="138" spans="1:21" s="1" customFormat="1" x14ac:dyDescent="0.2">
      <c r="A138" s="1156" t="s">
        <v>3375</v>
      </c>
      <c r="B138" s="1197">
        <f>B136+B125+B110+B103</f>
        <v>49178.400000000001</v>
      </c>
      <c r="C138" s="1197">
        <f>C136+C125+C110+C103</f>
        <v>54307.700000000004</v>
      </c>
      <c r="D138" s="1197">
        <f>B138-C138</f>
        <v>-5129.3000000000029</v>
      </c>
      <c r="E138" s="1169"/>
      <c r="G138" s="1850">
        <f>G136+G125+G110+G103</f>
        <v>50716</v>
      </c>
      <c r="H138" s="1197">
        <f>H136+H125+H110+H103</f>
        <v>54320.899999999994</v>
      </c>
      <c r="I138" s="1197">
        <f>G138-H138</f>
        <v>-3604.8999999999942</v>
      </c>
      <c r="K138" s="1850">
        <f>K136+K125+K110+K103</f>
        <v>54741.000000000007</v>
      </c>
      <c r="L138" s="1197">
        <f>L136+L125+L110+L103</f>
        <v>55104.499999999993</v>
      </c>
      <c r="M138" s="1197">
        <f t="shared" ref="M138" si="177">K138-L138</f>
        <v>-363.49999999998545</v>
      </c>
      <c r="N138" s="1169"/>
      <c r="O138" s="1169"/>
      <c r="P138" s="1850">
        <f>P136+P125+P110+P103</f>
        <v>51961.5</v>
      </c>
      <c r="Q138" s="1197">
        <f>Q136+Q125+Q110+Q103</f>
        <v>52496.399999999994</v>
      </c>
      <c r="R138" s="2783">
        <f>P138-Q138</f>
        <v>-534.89999999999418</v>
      </c>
      <c r="S138" s="805"/>
      <c r="T138" s="805"/>
      <c r="U138" s="805"/>
    </row>
    <row r="139" spans="1:21" s="1" customFormat="1" x14ac:dyDescent="0.2">
      <c r="A139" s="1182"/>
      <c r="B139" s="1198"/>
      <c r="C139" s="1198"/>
      <c r="D139" s="1198"/>
      <c r="E139" s="1169"/>
      <c r="G139" s="1849"/>
      <c r="H139" s="1198"/>
      <c r="I139" s="1198"/>
      <c r="K139" s="1851"/>
      <c r="L139" s="1198"/>
      <c r="M139" s="1198"/>
      <c r="N139" s="1169"/>
      <c r="O139" s="1169"/>
      <c r="P139" s="1851"/>
      <c r="Q139" s="1198"/>
      <c r="R139" s="2784"/>
      <c r="S139" s="805"/>
      <c r="T139" s="805"/>
      <c r="U139" s="805"/>
    </row>
    <row r="140" spans="1:21" s="1" customFormat="1" x14ac:dyDescent="0.2">
      <c r="A140" s="1182" t="s">
        <v>3376</v>
      </c>
      <c r="B140" s="1198"/>
      <c r="C140" s="1198"/>
      <c r="D140" s="1198"/>
      <c r="E140" s="1169"/>
      <c r="G140" s="1849"/>
      <c r="H140" s="1198"/>
      <c r="I140" s="1198"/>
      <c r="K140" s="1851"/>
      <c r="L140" s="1198"/>
      <c r="M140" s="1198"/>
      <c r="N140" s="1169"/>
      <c r="O140" s="1169"/>
      <c r="P140" s="1851"/>
      <c r="Q140" s="1198"/>
      <c r="R140" s="2784"/>
      <c r="S140" s="805"/>
      <c r="T140" s="805"/>
      <c r="U140" s="805"/>
    </row>
    <row r="141" spans="1:21" s="1" customFormat="1" x14ac:dyDescent="0.2">
      <c r="A141" s="1183" t="s">
        <v>3377</v>
      </c>
      <c r="B141" s="1196">
        <f>'W&amp;W'!C50/1000</f>
        <v>10892.5</v>
      </c>
      <c r="C141" s="1196">
        <f>'W&amp;W'!C81/1000</f>
        <v>10817</v>
      </c>
      <c r="D141" s="1196">
        <f>B141-C141</f>
        <v>75.5</v>
      </c>
      <c r="E141" s="1169"/>
      <c r="G141" s="1849">
        <f>'W&amp;W'!D50/1000</f>
        <v>11199.1</v>
      </c>
      <c r="H141" s="1196">
        <f>'W&amp;W'!D81/1000</f>
        <v>10849.9</v>
      </c>
      <c r="I141" s="1196">
        <f t="shared" ref="I141:I142" si="178">G141-H141</f>
        <v>349.20000000000073</v>
      </c>
      <c r="K141" s="1849">
        <f>'W&amp;W'!G50/1000</f>
        <v>11913.6</v>
      </c>
      <c r="L141" s="1196">
        <f>'W&amp;W'!G81/1000</f>
        <v>11269.6</v>
      </c>
      <c r="M141" s="1196">
        <f t="shared" ref="M141:M142" si="179">K141-L141</f>
        <v>644</v>
      </c>
      <c r="N141" s="1169"/>
      <c r="O141" s="1169"/>
      <c r="P141" s="1849">
        <f>'W&amp;W'!I50/1000</f>
        <v>12154.3</v>
      </c>
      <c r="Q141" s="1196">
        <f>'W&amp;W'!I81/1000</f>
        <v>11190.4</v>
      </c>
      <c r="R141" s="2782">
        <f>P141-Q141</f>
        <v>963.89999999999964</v>
      </c>
      <c r="S141" s="805"/>
      <c r="T141" s="805"/>
      <c r="U141" s="805"/>
    </row>
    <row r="142" spans="1:21" s="1" customFormat="1" x14ac:dyDescent="0.2">
      <c r="A142" s="1183" t="s">
        <v>3378</v>
      </c>
      <c r="B142" s="1196">
        <f>'W&amp;W'!C113/1000</f>
        <v>15355.9</v>
      </c>
      <c r="C142" s="1196">
        <f>'W&amp;W'!C145/1000</f>
        <v>28747.200000000001</v>
      </c>
      <c r="D142" s="1196">
        <f>B142-C142</f>
        <v>-13391.300000000001</v>
      </c>
      <c r="E142" s="1169"/>
      <c r="G142" s="1849">
        <f>'W&amp;W'!D113/1000</f>
        <v>16363.9</v>
      </c>
      <c r="H142" s="1196">
        <f>'W&amp;W'!D145/1000</f>
        <v>17312.7</v>
      </c>
      <c r="I142" s="1196">
        <f t="shared" si="178"/>
        <v>-948.80000000000109</v>
      </c>
      <c r="K142" s="1849">
        <f>'W&amp;W'!G113/1000</f>
        <v>17705.900000000001</v>
      </c>
      <c r="L142" s="1196">
        <f>'W&amp;W'!G145/1000</f>
        <v>17187.7</v>
      </c>
      <c r="M142" s="1196">
        <f t="shared" si="179"/>
        <v>518.20000000000073</v>
      </c>
      <c r="N142" s="1169"/>
      <c r="O142" s="1169"/>
      <c r="P142" s="1849">
        <f>'W&amp;W'!I113/1000</f>
        <v>18138.5</v>
      </c>
      <c r="Q142" s="1196">
        <f>'W&amp;W'!I145/1000</f>
        <v>17800.5</v>
      </c>
      <c r="R142" s="2782">
        <f>P142-Q142</f>
        <v>338</v>
      </c>
      <c r="S142" s="805"/>
      <c r="T142" s="805"/>
      <c r="U142" s="805"/>
    </row>
    <row r="143" spans="1:21" s="1" customFormat="1" x14ac:dyDescent="0.2">
      <c r="A143" s="1184"/>
      <c r="B143" s="1198"/>
      <c r="C143" s="1198"/>
      <c r="D143" s="1196"/>
      <c r="E143" s="1169"/>
      <c r="G143" s="1849"/>
      <c r="H143" s="1198"/>
      <c r="I143" s="1196"/>
      <c r="K143" s="1851"/>
      <c r="L143" s="1198"/>
      <c r="M143" s="1196"/>
      <c r="N143" s="1169"/>
      <c r="O143" s="1169"/>
      <c r="P143" s="1851"/>
      <c r="Q143" s="1198"/>
      <c r="R143" s="2782"/>
      <c r="S143" s="805"/>
      <c r="T143" s="805"/>
      <c r="U143" s="805"/>
    </row>
    <row r="144" spans="1:21" s="1" customFormat="1" ht="24" x14ac:dyDescent="0.2">
      <c r="A144" s="1184" t="s">
        <v>3381</v>
      </c>
      <c r="B144" s="1197">
        <f>B138+B141+B142</f>
        <v>75426.8</v>
      </c>
      <c r="C144" s="1197">
        <f>C138+C141+C142</f>
        <v>93871.900000000009</v>
      </c>
      <c r="D144" s="1197">
        <f>B144-C144</f>
        <v>-18445.100000000006</v>
      </c>
      <c r="E144" s="1169"/>
      <c r="G144" s="1850">
        <f>G138+G141+G142</f>
        <v>78279</v>
      </c>
      <c r="H144" s="1197">
        <f>H138+H141+H142</f>
        <v>82483.5</v>
      </c>
      <c r="I144" s="1197">
        <f>G144-H144</f>
        <v>-4204.5</v>
      </c>
      <c r="K144" s="1850">
        <f>K138+K141+K142</f>
        <v>84360.5</v>
      </c>
      <c r="L144" s="1197">
        <f>L138+L141+L142</f>
        <v>83561.799999999988</v>
      </c>
      <c r="M144" s="1197">
        <f t="shared" ref="M144" si="180">K144-L144</f>
        <v>798.70000000001164</v>
      </c>
      <c r="N144" s="1169"/>
      <c r="O144" s="1169"/>
      <c r="P144" s="1850">
        <f>P138+P141+P142</f>
        <v>82254.3</v>
      </c>
      <c r="Q144" s="1197">
        <f>Q138+Q141+Q142</f>
        <v>81487.299999999988</v>
      </c>
      <c r="R144" s="2783">
        <f>P144-Q144</f>
        <v>767.00000000001455</v>
      </c>
      <c r="S144" s="805"/>
      <c r="T144" s="805"/>
      <c r="U144" s="805"/>
    </row>
    <row r="145" spans="1:21" s="1" customFormat="1" ht="13.5" thickBot="1" x14ac:dyDescent="0.25">
      <c r="A145" s="1185"/>
      <c r="B145" s="1416"/>
      <c r="C145" s="1186"/>
      <c r="D145" s="1186"/>
      <c r="E145" s="1169"/>
      <c r="G145" s="1853"/>
      <c r="H145" s="1186"/>
      <c r="I145" s="1186"/>
      <c r="K145" s="1853"/>
      <c r="L145" s="1186"/>
      <c r="M145" s="1186"/>
      <c r="N145" s="1169"/>
      <c r="O145" s="1169"/>
      <c r="P145" s="1853"/>
      <c r="Q145" s="1186"/>
      <c r="R145" s="2786"/>
      <c r="S145" s="805"/>
      <c r="T145" s="805"/>
      <c r="U145" s="805"/>
    </row>
    <row r="146" spans="1:21" s="1" customFormat="1" x14ac:dyDescent="0.2">
      <c r="A146" s="746"/>
      <c r="B146" s="8"/>
      <c r="C146" s="1169"/>
      <c r="D146" s="1169"/>
      <c r="E146" s="1169"/>
      <c r="F146" s="1169"/>
      <c r="G146" s="1169"/>
      <c r="H146" s="1169"/>
      <c r="I146" s="1169"/>
      <c r="J146" s="1169"/>
      <c r="K146" s="1169"/>
      <c r="L146" s="1169"/>
      <c r="M146" s="1169"/>
      <c r="R146" s="805"/>
      <c r="S146" s="805"/>
      <c r="T146" s="805"/>
      <c r="U146" s="805"/>
    </row>
    <row r="147" spans="1:21" s="1" customFormat="1" ht="13.5" thickBot="1" x14ac:dyDescent="0.25">
      <c r="A147" s="746"/>
      <c r="B147" s="8"/>
      <c r="C147" s="1169"/>
      <c r="D147" s="1169"/>
      <c r="E147" s="1169"/>
      <c r="F147" s="1169"/>
      <c r="G147" s="1169"/>
      <c r="H147" s="1169"/>
      <c r="I147" s="1169"/>
      <c r="J147" s="1169"/>
      <c r="K147" s="1169"/>
      <c r="L147" s="1169"/>
      <c r="M147" s="1169"/>
      <c r="R147" s="805"/>
      <c r="S147" s="805"/>
      <c r="T147" s="805"/>
      <c r="U147" s="805"/>
    </row>
    <row r="148" spans="1:21" s="1" customFormat="1" ht="13.5" thickBot="1" x14ac:dyDescent="0.25">
      <c r="A148" s="1203" t="s">
        <v>3394</v>
      </c>
      <c r="B148" s="1204" t="s">
        <v>2240</v>
      </c>
      <c r="C148" s="1205" t="s">
        <v>1764</v>
      </c>
      <c r="D148" s="1205" t="s">
        <v>3354</v>
      </c>
      <c r="E148" s="1206" t="s">
        <v>1530</v>
      </c>
      <c r="F148" s="1169"/>
      <c r="G148" s="1169"/>
      <c r="H148" s="1169"/>
      <c r="I148" s="1169"/>
      <c r="J148" s="1169"/>
      <c r="K148" s="1169"/>
      <c r="L148" s="1169"/>
      <c r="M148" s="1169"/>
      <c r="R148" s="805"/>
      <c r="S148" s="805"/>
      <c r="T148" s="805"/>
      <c r="U148" s="805"/>
    </row>
    <row r="149" spans="1:21" s="1" customFormat="1" x14ac:dyDescent="0.2">
      <c r="A149" s="1174"/>
      <c r="B149" s="1200"/>
      <c r="C149" s="1201"/>
      <c r="D149" s="1201"/>
      <c r="E149" s="1202"/>
      <c r="F149" s="1169"/>
      <c r="G149" s="1169"/>
      <c r="H149" s="1169"/>
      <c r="I149" s="1169"/>
      <c r="J149" s="1169"/>
      <c r="K149" s="1169"/>
      <c r="L149" s="1169"/>
      <c r="M149" s="1169"/>
      <c r="R149" s="805"/>
      <c r="S149" s="805"/>
      <c r="T149" s="805"/>
      <c r="U149" s="805"/>
    </row>
    <row r="150" spans="1:21" s="1" customFormat="1" x14ac:dyDescent="0.2">
      <c r="A150" s="1188" t="s">
        <v>171</v>
      </c>
      <c r="B150" s="1193"/>
      <c r="C150" s="1193"/>
      <c r="D150" s="1193"/>
      <c r="E150" s="1181"/>
      <c r="F150" s="1169"/>
      <c r="G150" s="1169"/>
      <c r="H150" s="1169"/>
      <c r="I150" s="1169"/>
      <c r="J150" s="1169"/>
      <c r="K150" s="1169"/>
      <c r="L150" s="1169"/>
      <c r="M150" s="1169"/>
      <c r="R150" s="805"/>
      <c r="S150" s="805"/>
      <c r="T150" s="805"/>
      <c r="U150" s="805"/>
    </row>
    <row r="151" spans="1:21" s="1" customFormat="1" x14ac:dyDescent="0.2">
      <c r="A151" s="1189" t="s">
        <v>2335</v>
      </c>
      <c r="B151" s="1207">
        <f>R7/1000</f>
        <v>26633.599999999999</v>
      </c>
      <c r="C151" s="1207">
        <f>AF7/1000</f>
        <v>3226</v>
      </c>
      <c r="D151" s="1207">
        <f>AT7/1000</f>
        <v>14087.2</v>
      </c>
      <c r="E151" s="1196">
        <f>SUM(B151:D151)</f>
        <v>43946.8</v>
      </c>
      <c r="F151" s="1169"/>
      <c r="G151" s="1169"/>
      <c r="H151" s="1169"/>
      <c r="I151" s="1169"/>
      <c r="J151" s="1169"/>
      <c r="K151" s="1169"/>
      <c r="L151" s="1169"/>
      <c r="M151" s="1169"/>
      <c r="R151" s="805"/>
      <c r="S151" s="805"/>
      <c r="T151" s="805"/>
      <c r="U151" s="805"/>
    </row>
    <row r="152" spans="1:21" s="1" customFormat="1" x14ac:dyDescent="0.2">
      <c r="A152" s="1189" t="s">
        <v>2376</v>
      </c>
      <c r="B152" s="1207">
        <f>R8/1000</f>
        <v>10725</v>
      </c>
      <c r="C152" s="1207">
        <f>AF8/1000</f>
        <v>6654.3</v>
      </c>
      <c r="D152" s="1207">
        <f>AT8/1000</f>
        <v>1141.9000000000001</v>
      </c>
      <c r="E152" s="1196">
        <f>SUM(B152:D152)</f>
        <v>18521.2</v>
      </c>
      <c r="F152" s="1169"/>
      <c r="G152" s="1169"/>
      <c r="H152" s="1169"/>
      <c r="I152" s="1169"/>
      <c r="J152" s="1169"/>
      <c r="K152" s="1169"/>
      <c r="L152" s="1169"/>
      <c r="M152" s="1169"/>
      <c r="R152" s="805"/>
      <c r="S152" s="805"/>
      <c r="T152" s="805"/>
      <c r="U152" s="805"/>
    </row>
    <row r="153" spans="1:21" s="1" customFormat="1" x14ac:dyDescent="0.2">
      <c r="A153" s="1189" t="s">
        <v>1689</v>
      </c>
      <c r="B153" s="1207">
        <f>R9/1000</f>
        <v>1298.0999999999999</v>
      </c>
      <c r="C153" s="1207">
        <f>AF9/1000</f>
        <v>339</v>
      </c>
      <c r="D153" s="1207">
        <f>AT9/1000</f>
        <v>496.5</v>
      </c>
      <c r="E153" s="1196">
        <f>SUM(B153:D153)</f>
        <v>2133.6</v>
      </c>
      <c r="F153" s="1169"/>
      <c r="G153" s="1169"/>
      <c r="H153" s="1169"/>
      <c r="I153" s="1169"/>
      <c r="J153" s="1169"/>
      <c r="K153" s="1169"/>
      <c r="L153" s="1169"/>
      <c r="M153" s="1169"/>
      <c r="R153" s="805"/>
      <c r="S153" s="805"/>
      <c r="T153" s="805"/>
      <c r="U153" s="805"/>
    </row>
    <row r="154" spans="1:21" s="1" customFormat="1" x14ac:dyDescent="0.2">
      <c r="A154" s="1189" t="s">
        <v>687</v>
      </c>
      <c r="B154" s="1207">
        <f>R10/1000</f>
        <v>2984.1</v>
      </c>
      <c r="C154" s="1207">
        <f>AF10/1000</f>
        <v>822.4</v>
      </c>
      <c r="D154" s="1207">
        <f>AT10/1000</f>
        <v>473.4</v>
      </c>
      <c r="E154" s="1196">
        <f>SUM(B154:D154)</f>
        <v>4279.8999999999996</v>
      </c>
      <c r="F154" s="1169"/>
      <c r="G154" s="1169"/>
      <c r="H154" s="1169"/>
      <c r="I154" s="1169"/>
      <c r="J154" s="1169"/>
      <c r="K154" s="1169"/>
      <c r="L154" s="1169"/>
      <c r="M154" s="1169"/>
      <c r="R154" s="805"/>
      <c r="S154" s="805"/>
      <c r="T154" s="805"/>
      <c r="U154" s="805"/>
    </row>
    <row r="155" spans="1:21" s="1" customFormat="1" x14ac:dyDescent="0.2">
      <c r="A155" s="1189" t="s">
        <v>428</v>
      </c>
      <c r="B155" s="1207">
        <f>R11/1000</f>
        <v>9075.2000000000007</v>
      </c>
      <c r="C155" s="1207">
        <f>AF11/1000</f>
        <v>157.4</v>
      </c>
      <c r="D155" s="1207">
        <f>AT11/1000</f>
        <v>156.6</v>
      </c>
      <c r="E155" s="1196">
        <f>SUM(B155:D155)</f>
        <v>9389.2000000000007</v>
      </c>
      <c r="F155" s="1169"/>
      <c r="G155" s="1169"/>
      <c r="H155" s="1169"/>
      <c r="I155" s="1169"/>
      <c r="J155" s="1169"/>
      <c r="K155" s="1169"/>
      <c r="L155" s="1169"/>
      <c r="M155" s="1169"/>
      <c r="R155" s="805"/>
      <c r="S155" s="805"/>
      <c r="T155" s="805"/>
      <c r="U155" s="805"/>
    </row>
    <row r="156" spans="1:21" s="1" customFormat="1" x14ac:dyDescent="0.2">
      <c r="A156" s="1188" t="s">
        <v>764</v>
      </c>
      <c r="B156" s="1208">
        <f>SUM(B151:B155)</f>
        <v>50716</v>
      </c>
      <c r="C156" s="1208">
        <f>SUM(C151:C155)</f>
        <v>11199.099999999999</v>
      </c>
      <c r="D156" s="1208">
        <f>SUM(D151:D155)</f>
        <v>16355.6</v>
      </c>
      <c r="E156" s="1197">
        <f>SUM(E151:E155)</f>
        <v>78270.7</v>
      </c>
      <c r="F156" s="1169"/>
      <c r="G156" s="1169"/>
      <c r="H156" s="1169"/>
      <c r="I156" s="1169"/>
      <c r="J156" s="1169"/>
      <c r="K156" s="1169"/>
      <c r="L156" s="1169"/>
      <c r="M156" s="1169"/>
      <c r="R156" s="805"/>
      <c r="S156" s="805"/>
      <c r="T156" s="805"/>
      <c r="U156" s="805"/>
    </row>
    <row r="157" spans="1:21" s="1" customFormat="1" x14ac:dyDescent="0.2">
      <c r="A157" s="1188"/>
      <c r="B157" s="1208"/>
      <c r="C157" s="1208"/>
      <c r="D157" s="1208"/>
      <c r="E157" s="1197"/>
      <c r="F157" s="1169"/>
      <c r="G157" s="1169"/>
      <c r="H157" s="1169"/>
      <c r="I157" s="1169"/>
      <c r="J157" s="1169"/>
      <c r="K157" s="1169"/>
      <c r="L157" s="1169"/>
      <c r="M157" s="1169"/>
      <c r="R157" s="805"/>
      <c r="S157" s="805"/>
      <c r="T157" s="805"/>
      <c r="U157" s="805"/>
    </row>
    <row r="158" spans="1:21" s="1" customFormat="1" x14ac:dyDescent="0.2">
      <c r="A158" s="1188" t="s">
        <v>2052</v>
      </c>
      <c r="B158" s="1207"/>
      <c r="C158" s="1208"/>
      <c r="D158" s="1208"/>
      <c r="E158" s="1209"/>
      <c r="F158" s="1169"/>
      <c r="G158" s="1169"/>
      <c r="H158" s="1169"/>
      <c r="I158" s="1169"/>
      <c r="J158" s="1169"/>
      <c r="K158" s="1169"/>
      <c r="L158" s="1169"/>
      <c r="M158" s="1169"/>
      <c r="R158" s="805"/>
      <c r="S158" s="805"/>
      <c r="T158" s="805"/>
      <c r="U158" s="805"/>
    </row>
    <row r="159" spans="1:21" s="1" customFormat="1" x14ac:dyDescent="0.2">
      <c r="A159" s="1189" t="s">
        <v>1249</v>
      </c>
      <c r="B159" s="1207">
        <f>R17/1000</f>
        <v>16138</v>
      </c>
      <c r="C159" s="1207">
        <f>AF17/1000</f>
        <v>1876</v>
      </c>
      <c r="D159" s="1207">
        <f>AT17/1000</f>
        <v>3676</v>
      </c>
      <c r="E159" s="1196">
        <f>SUM(B159:D159)</f>
        <v>21690</v>
      </c>
      <c r="F159" s="1169"/>
      <c r="G159" s="1169"/>
      <c r="H159" s="1169"/>
      <c r="I159" s="1169"/>
      <c r="J159" s="1169"/>
      <c r="K159" s="1169"/>
      <c r="L159" s="1169"/>
      <c r="M159" s="1169"/>
      <c r="R159" s="805"/>
      <c r="S159" s="805"/>
      <c r="T159" s="805"/>
      <c r="U159" s="805"/>
    </row>
    <row r="160" spans="1:21" s="1" customFormat="1" x14ac:dyDescent="0.2">
      <c r="A160" s="1189" t="s">
        <v>2375</v>
      </c>
      <c r="B160" s="1207">
        <f>R18/1000</f>
        <v>17441.3</v>
      </c>
      <c r="C160" s="1207">
        <f>AF18/1000</f>
        <v>1264.4000000000001</v>
      </c>
      <c r="D160" s="1207">
        <f>AT18/1000</f>
        <v>5096.6000000000004</v>
      </c>
      <c r="E160" s="1196">
        <f>SUM(B160:D160)</f>
        <v>23802.300000000003</v>
      </c>
      <c r="F160" s="1169"/>
      <c r="G160" s="1169"/>
      <c r="H160" s="1169"/>
      <c r="I160" s="1169"/>
      <c r="J160" s="1169"/>
      <c r="K160" s="1169"/>
      <c r="L160" s="1169"/>
      <c r="M160" s="1169"/>
      <c r="R160" s="805"/>
      <c r="S160" s="805"/>
      <c r="T160" s="805"/>
      <c r="U160" s="805"/>
    </row>
    <row r="161" spans="1:21" s="1" customFormat="1" x14ac:dyDescent="0.2">
      <c r="A161" s="1189" t="s">
        <v>2671</v>
      </c>
      <c r="B161" s="1207">
        <f>R19/1000</f>
        <v>1334.3</v>
      </c>
      <c r="C161" s="1207">
        <f>AF19/1000</f>
        <v>0</v>
      </c>
      <c r="D161" s="1207">
        <f>AT19/1000</f>
        <v>4659.3</v>
      </c>
      <c r="E161" s="1196">
        <f>SUM(B161:D161)</f>
        <v>5993.6</v>
      </c>
      <c r="F161" s="1169"/>
      <c r="G161" s="1169"/>
      <c r="H161" s="1169"/>
      <c r="I161" s="1169"/>
      <c r="J161" s="1169"/>
      <c r="K161" s="1169"/>
      <c r="L161" s="1169"/>
      <c r="M161" s="1169"/>
      <c r="R161" s="805"/>
      <c r="S161" s="805"/>
      <c r="T161" s="805"/>
      <c r="U161" s="805"/>
    </row>
    <row r="162" spans="1:21" s="1" customFormat="1" x14ac:dyDescent="0.2">
      <c r="A162" s="1189" t="s">
        <v>2070</v>
      </c>
      <c r="B162" s="1207">
        <f>R20/1000</f>
        <v>14166.8</v>
      </c>
      <c r="C162" s="1207">
        <f>AF20/1000+AF33/1000</f>
        <v>1498.9</v>
      </c>
      <c r="D162" s="1207">
        <f>AT20/1000</f>
        <v>3531.9</v>
      </c>
      <c r="E162" s="1196">
        <f>SUM(B162:D162)</f>
        <v>19197.599999999999</v>
      </c>
      <c r="F162" s="1169"/>
      <c r="G162" s="1169"/>
      <c r="H162" s="1169"/>
      <c r="I162" s="1169"/>
      <c r="J162" s="1169"/>
      <c r="K162" s="1169"/>
      <c r="L162" s="1169"/>
      <c r="M162" s="1169"/>
      <c r="R162" s="805"/>
      <c r="S162" s="805"/>
      <c r="T162" s="805"/>
      <c r="U162" s="805"/>
    </row>
    <row r="163" spans="1:21" s="1" customFormat="1" x14ac:dyDescent="0.2">
      <c r="A163" s="1189" t="s">
        <v>416</v>
      </c>
      <c r="B163" s="1207">
        <f>R21/1000+R22/1000</f>
        <v>5240.5</v>
      </c>
      <c r="C163" s="1207">
        <f>AF21/1000+AF22/1000</f>
        <v>6236.6</v>
      </c>
      <c r="D163" s="1207">
        <f>AT21/1000</f>
        <v>338.1</v>
      </c>
      <c r="E163" s="1196">
        <f>SUM(B163:D163)</f>
        <v>11815.2</v>
      </c>
      <c r="F163" s="1169"/>
      <c r="G163" s="1169"/>
      <c r="H163" s="1169"/>
      <c r="I163" s="1169"/>
      <c r="J163" s="1169"/>
      <c r="K163" s="1169"/>
      <c r="L163" s="1169"/>
      <c r="M163" s="1169"/>
      <c r="R163" s="805"/>
      <c r="S163" s="805"/>
      <c r="T163" s="805"/>
      <c r="U163" s="805"/>
    </row>
    <row r="164" spans="1:21" s="1" customFormat="1" x14ac:dyDescent="0.2">
      <c r="A164" s="1188" t="s">
        <v>764</v>
      </c>
      <c r="B164" s="1208">
        <f>SUM(B159:B163)</f>
        <v>54320.900000000009</v>
      </c>
      <c r="C164" s="1208">
        <f t="shared" ref="C164:E164" si="181">SUM(C159:C163)</f>
        <v>10875.900000000001</v>
      </c>
      <c r="D164" s="1208">
        <f t="shared" si="181"/>
        <v>17301.900000000001</v>
      </c>
      <c r="E164" s="1208">
        <f t="shared" si="181"/>
        <v>82498.7</v>
      </c>
      <c r="F164" s="1169"/>
      <c r="G164" s="1169"/>
      <c r="H164" s="1169"/>
      <c r="I164" s="1169"/>
      <c r="J164" s="1169"/>
      <c r="K164" s="1169"/>
      <c r="L164" s="1169"/>
      <c r="M164" s="1169"/>
      <c r="R164" s="805"/>
      <c r="S164" s="805"/>
      <c r="T164" s="805"/>
      <c r="U164" s="805"/>
    </row>
    <row r="165" spans="1:21" s="1" customFormat="1" x14ac:dyDescent="0.2">
      <c r="A165" s="1188"/>
      <c r="B165" s="1207"/>
      <c r="C165" s="1210"/>
      <c r="D165" s="1210"/>
      <c r="E165" s="1211"/>
      <c r="F165" s="1169"/>
      <c r="G165" s="1169"/>
      <c r="H165" s="1169"/>
      <c r="I165" s="1169"/>
      <c r="J165" s="1169"/>
      <c r="K165" s="1169"/>
      <c r="L165" s="1169"/>
      <c r="M165" s="1169"/>
      <c r="R165" s="805"/>
      <c r="S165" s="805"/>
      <c r="T165" s="805"/>
      <c r="U165" s="805"/>
    </row>
    <row r="166" spans="1:21" s="1" customFormat="1" x14ac:dyDescent="0.2">
      <c r="A166" s="1188" t="s">
        <v>3382</v>
      </c>
      <c r="B166" s="1212">
        <f>B156-B164</f>
        <v>-3604.9000000000087</v>
      </c>
      <c r="C166" s="1212">
        <f>C156-C164</f>
        <v>323.19999999999709</v>
      </c>
      <c r="D166" s="1212">
        <f>D156-D164</f>
        <v>-946.30000000000109</v>
      </c>
      <c r="E166" s="1213">
        <f>E156-E164</f>
        <v>-4228</v>
      </c>
      <c r="F166" s="1169"/>
      <c r="G166" s="1169"/>
      <c r="H166" s="1169"/>
      <c r="I166" s="1169"/>
      <c r="J166" s="1169"/>
      <c r="K166" s="1169"/>
      <c r="L166" s="1169"/>
      <c r="M166" s="1169"/>
      <c r="R166" s="805"/>
      <c r="S166" s="805"/>
      <c r="T166" s="805"/>
      <c r="U166" s="805"/>
    </row>
    <row r="167" spans="1:21" s="1" customFormat="1" x14ac:dyDescent="0.2">
      <c r="A167" s="1189"/>
      <c r="B167" s="1207"/>
      <c r="C167" s="1207"/>
      <c r="D167" s="1207"/>
      <c r="E167" s="1214"/>
      <c r="F167" s="1169"/>
      <c r="G167" s="1169"/>
      <c r="H167" s="1169"/>
      <c r="I167" s="1169"/>
      <c r="J167" s="1169"/>
      <c r="K167" s="1169"/>
      <c r="L167" s="1169"/>
      <c r="M167" s="1169"/>
      <c r="R167" s="805"/>
      <c r="S167" s="805"/>
      <c r="T167" s="805"/>
      <c r="U167" s="805"/>
    </row>
    <row r="168" spans="1:21" s="1" customFormat="1" x14ac:dyDescent="0.2">
      <c r="A168" s="1189" t="s">
        <v>3383</v>
      </c>
      <c r="B168" s="1207">
        <f>B162+R33/1000</f>
        <v>14357.599999999999</v>
      </c>
      <c r="C168" s="1207">
        <f>C162</f>
        <v>1498.9</v>
      </c>
      <c r="D168" s="1207">
        <f>D162+AT33/1000</f>
        <v>3833</v>
      </c>
      <c r="E168" s="1196">
        <f>SUM(B168:D168)</f>
        <v>19689.5</v>
      </c>
      <c r="F168" s="1169"/>
      <c r="G168" s="1169"/>
      <c r="H168" s="1169"/>
      <c r="I168" s="1169"/>
      <c r="J168" s="1169"/>
      <c r="K168" s="1169"/>
      <c r="L168" s="1169"/>
      <c r="M168" s="1169"/>
      <c r="R168" s="805"/>
      <c r="S168" s="805"/>
      <c r="T168" s="805"/>
      <c r="U168" s="805"/>
    </row>
    <row r="169" spans="1:21" s="1" customFormat="1" x14ac:dyDescent="0.2">
      <c r="A169" s="1190"/>
      <c r="B169" s="1207"/>
      <c r="C169" s="1207"/>
      <c r="D169" s="1207"/>
      <c r="E169" s="1214"/>
      <c r="F169" s="1169"/>
      <c r="G169" s="1169"/>
      <c r="H169" s="1169"/>
      <c r="I169" s="1169"/>
      <c r="J169" s="1169"/>
      <c r="K169" s="1169"/>
      <c r="L169" s="1169"/>
      <c r="M169" s="1169"/>
      <c r="R169" s="805"/>
      <c r="S169" s="805"/>
      <c r="T169" s="805"/>
      <c r="U169" s="805"/>
    </row>
    <row r="170" spans="1:21" s="1" customFormat="1" x14ac:dyDescent="0.2">
      <c r="A170" s="1188" t="s">
        <v>3384</v>
      </c>
      <c r="B170" s="1208">
        <f>B168+B166</f>
        <v>10752.69999999999</v>
      </c>
      <c r="C170" s="1208">
        <f t="shared" ref="C170:E170" si="182">C168+C166</f>
        <v>1822.0999999999972</v>
      </c>
      <c r="D170" s="1208">
        <f t="shared" si="182"/>
        <v>2886.6999999999989</v>
      </c>
      <c r="E170" s="1208">
        <f t="shared" si="182"/>
        <v>15461.5</v>
      </c>
      <c r="F170" s="1169"/>
      <c r="G170" s="1169"/>
      <c r="H170" s="1169"/>
      <c r="I170" s="1169"/>
      <c r="J170" s="1169"/>
      <c r="K170" s="1169"/>
      <c r="L170" s="1169"/>
      <c r="M170" s="1169"/>
      <c r="R170" s="805"/>
      <c r="S170" s="805"/>
      <c r="T170" s="805"/>
      <c r="U170" s="805"/>
    </row>
    <row r="171" spans="1:21" s="1" customFormat="1" x14ac:dyDescent="0.2">
      <c r="A171" s="1189"/>
      <c r="B171" s="1207"/>
      <c r="C171" s="1207"/>
      <c r="D171" s="1207"/>
      <c r="E171" s="1214"/>
      <c r="F171" s="1169"/>
      <c r="G171" s="1169"/>
      <c r="H171" s="1169"/>
      <c r="I171" s="1169"/>
      <c r="J171" s="1169"/>
      <c r="K171" s="1169"/>
      <c r="L171" s="1169"/>
      <c r="M171" s="1169"/>
      <c r="R171" s="805"/>
      <c r="S171" s="805"/>
      <c r="T171" s="805"/>
      <c r="U171" s="805"/>
    </row>
    <row r="172" spans="1:21" s="1" customFormat="1" x14ac:dyDescent="0.2">
      <c r="A172" s="1189" t="s">
        <v>3385</v>
      </c>
      <c r="B172" s="1207">
        <f>D43/1000</f>
        <v>2286.4</v>
      </c>
      <c r="C172" s="1207">
        <v>0</v>
      </c>
      <c r="D172" s="1207">
        <v>0</v>
      </c>
      <c r="E172" s="1196">
        <f>SUM(B172:D172)</f>
        <v>2286.4</v>
      </c>
      <c r="F172" s="1169"/>
      <c r="G172" s="1169"/>
      <c r="H172" s="1169"/>
      <c r="I172" s="1169"/>
      <c r="J172" s="1169"/>
      <c r="K172" s="1169"/>
      <c r="L172" s="1169"/>
      <c r="M172" s="1169"/>
      <c r="R172" s="805"/>
      <c r="S172" s="805"/>
      <c r="T172" s="805"/>
      <c r="U172" s="805"/>
    </row>
    <row r="173" spans="1:21" s="1" customFormat="1" x14ac:dyDescent="0.2">
      <c r="A173" s="1189"/>
      <c r="B173" s="1207"/>
      <c r="C173" s="1207"/>
      <c r="D173" s="1207"/>
      <c r="E173" s="1214"/>
      <c r="F173" s="1169"/>
      <c r="G173" s="1169"/>
      <c r="H173" s="1169"/>
      <c r="I173" s="1169"/>
      <c r="J173" s="1169"/>
      <c r="K173" s="1169"/>
      <c r="L173" s="1169"/>
      <c r="M173" s="1169"/>
      <c r="R173" s="805"/>
      <c r="S173" s="805"/>
      <c r="T173" s="805"/>
      <c r="U173" s="805"/>
    </row>
    <row r="174" spans="1:21" s="1" customFormat="1" x14ac:dyDescent="0.2">
      <c r="A174" s="1189" t="s">
        <v>3386</v>
      </c>
      <c r="B174" s="1207">
        <f>D42/1000</f>
        <v>1730.5</v>
      </c>
      <c r="C174" s="1207">
        <v>0</v>
      </c>
      <c r="D174" s="1207">
        <v>0</v>
      </c>
      <c r="E174" s="1196">
        <f>SUM(B174:D174)</f>
        <v>1730.5</v>
      </c>
      <c r="F174" s="1169"/>
      <c r="G174" s="1169"/>
      <c r="H174" s="1169"/>
      <c r="I174" s="1169"/>
      <c r="J174" s="1169"/>
      <c r="K174" s="1169"/>
      <c r="L174" s="1169"/>
      <c r="M174" s="1169"/>
      <c r="R174" s="805"/>
      <c r="S174" s="805"/>
      <c r="T174" s="805"/>
      <c r="U174" s="805"/>
    </row>
    <row r="175" spans="1:21" s="1" customFormat="1" x14ac:dyDescent="0.2">
      <c r="A175" s="1189"/>
      <c r="B175" s="1207"/>
      <c r="C175" s="1207"/>
      <c r="D175" s="1207"/>
      <c r="E175" s="1214"/>
      <c r="F175" s="1169"/>
      <c r="G175" s="1169"/>
      <c r="H175" s="1169"/>
      <c r="I175" s="1169"/>
      <c r="J175" s="1169"/>
      <c r="K175" s="1169"/>
      <c r="L175" s="1169"/>
      <c r="M175" s="1169"/>
      <c r="R175" s="805"/>
      <c r="S175" s="805"/>
      <c r="T175" s="805"/>
      <c r="U175" s="805"/>
    </row>
    <row r="176" spans="1:21" s="1" customFormat="1" x14ac:dyDescent="0.2">
      <c r="A176" s="1188" t="s">
        <v>2203</v>
      </c>
      <c r="B176" s="1208">
        <f>SUM(B170:B175)</f>
        <v>14769.599999999989</v>
      </c>
      <c r="C176" s="1208">
        <f t="shared" ref="C176:E176" si="183">SUM(C170:C175)</f>
        <v>1822.0999999999972</v>
      </c>
      <c r="D176" s="1208">
        <f t="shared" si="183"/>
        <v>2886.6999999999989</v>
      </c>
      <c r="E176" s="1208">
        <f t="shared" si="183"/>
        <v>19478.400000000001</v>
      </c>
      <c r="F176" s="1169"/>
      <c r="G176" s="1169"/>
      <c r="H176" s="1169"/>
      <c r="I176" s="1169"/>
      <c r="J176" s="1169"/>
      <c r="K176" s="1169"/>
      <c r="L176" s="1169"/>
      <c r="M176" s="1169"/>
      <c r="R176" s="805"/>
      <c r="S176" s="805"/>
      <c r="T176" s="805"/>
      <c r="U176" s="805"/>
    </row>
    <row r="177" spans="1:21" s="1" customFormat="1" x14ac:dyDescent="0.2">
      <c r="A177" s="1189"/>
      <c r="B177" s="1207"/>
      <c r="C177" s="1207"/>
      <c r="D177" s="1207"/>
      <c r="E177" s="1214"/>
      <c r="F177" s="1169"/>
      <c r="G177" s="1169"/>
      <c r="H177" s="1169"/>
      <c r="I177" s="1169"/>
      <c r="J177" s="1169"/>
      <c r="K177" s="1169"/>
      <c r="L177" s="1169"/>
      <c r="M177" s="1169"/>
      <c r="R177" s="805"/>
      <c r="S177" s="805"/>
      <c r="T177" s="805"/>
      <c r="U177" s="805"/>
    </row>
    <row r="178" spans="1:21" s="1" customFormat="1" x14ac:dyDescent="0.2">
      <c r="A178" s="1191" t="s">
        <v>3387</v>
      </c>
      <c r="B178" s="1207"/>
      <c r="C178" s="1207"/>
      <c r="D178" s="1207"/>
      <c r="E178" s="1214"/>
      <c r="F178" s="1169"/>
      <c r="G178" s="1169"/>
      <c r="H178" s="1169"/>
      <c r="I178" s="1169"/>
      <c r="J178" s="1169"/>
      <c r="K178" s="1169"/>
      <c r="L178" s="1169"/>
      <c r="M178" s="1169"/>
      <c r="R178" s="805"/>
      <c r="S178" s="805"/>
      <c r="T178" s="805"/>
      <c r="U178" s="805"/>
    </row>
    <row r="179" spans="1:21" s="1" customFormat="1" x14ac:dyDescent="0.2">
      <c r="A179" s="1189"/>
      <c r="B179" s="1207"/>
      <c r="C179" s="1207"/>
      <c r="D179" s="1207"/>
      <c r="E179" s="1214"/>
      <c r="F179" s="1169"/>
      <c r="G179" s="1169"/>
      <c r="H179" s="1169"/>
      <c r="I179" s="1169"/>
      <c r="J179" s="1169"/>
      <c r="K179" s="1169"/>
      <c r="L179" s="1169"/>
      <c r="M179" s="1169"/>
      <c r="R179" s="805"/>
      <c r="S179" s="805"/>
      <c r="T179" s="805"/>
      <c r="U179" s="805"/>
    </row>
    <row r="180" spans="1:21" s="1" customFormat="1" x14ac:dyDescent="0.2">
      <c r="A180" s="1188" t="s">
        <v>1897</v>
      </c>
      <c r="B180" s="1207"/>
      <c r="C180" s="1207"/>
      <c r="D180" s="1207"/>
      <c r="E180" s="1214"/>
      <c r="F180" s="1169"/>
      <c r="G180" s="1169"/>
      <c r="H180" s="1169"/>
      <c r="I180" s="1169"/>
      <c r="J180" s="1169"/>
      <c r="K180" s="1169"/>
      <c r="L180" s="1169"/>
      <c r="M180" s="1169"/>
      <c r="R180" s="805"/>
      <c r="S180" s="805"/>
      <c r="T180" s="805"/>
      <c r="U180" s="805"/>
    </row>
    <row r="181" spans="1:21" s="1" customFormat="1" x14ac:dyDescent="0.2">
      <c r="A181" s="1189" t="s">
        <v>3388</v>
      </c>
      <c r="B181" s="1207">
        <f>('Cap-Gen'!E7+++'Cap-Gen'!E14++'Cap-Gen'!E59+'Cap-Gen'!E72+'Cap-Gen'!E81++'Cap-Gen'!E92++'Cap-Gen'!E10+'Cap-Gen'!E11+'Cap-Gen'!E48+'Cap-Gen'!E54+'Cap-Gen'!E60++'Cap-Gen'!E97+'Cap-Gen'!E108++'Cap-Gen'!E82)/1000</f>
        <v>1810.7</v>
      </c>
      <c r="C181" s="1207">
        <v>0</v>
      </c>
      <c r="D181" s="1207">
        <v>0</v>
      </c>
      <c r="E181" s="1196">
        <f>SUM(B181:D181)</f>
        <v>1810.7</v>
      </c>
      <c r="F181" s="1169"/>
      <c r="G181" s="1169"/>
      <c r="H181" s="1169"/>
      <c r="I181" s="1169"/>
      <c r="J181" s="1169"/>
      <c r="K181" s="1169"/>
      <c r="L181" s="1169"/>
      <c r="M181" s="1169"/>
      <c r="R181" s="805"/>
      <c r="S181" s="805"/>
      <c r="T181" s="805"/>
      <c r="U181" s="805"/>
    </row>
    <row r="182" spans="1:21" s="1" customFormat="1" x14ac:dyDescent="0.2">
      <c r="A182" s="1189" t="s">
        <v>1374</v>
      </c>
      <c r="B182" s="1207">
        <f>('Cap-Gen'!E29+'Cap-Gen'!E50++'Cap-Gen'!E207+'Cap-Gen'!E193++'Cap-Gen'!E78)/1000</f>
        <v>1905.6</v>
      </c>
      <c r="C182" s="1207">
        <f>'Cap-Water'!E60/1000</f>
        <v>64.8</v>
      </c>
      <c r="D182" s="1207">
        <f>SUM('Cap-WW'!G90:G93)/1000</f>
        <v>377</v>
      </c>
      <c r="E182" s="1196">
        <f>SUM(B182:D182)</f>
        <v>2347.3999999999996</v>
      </c>
      <c r="F182" s="1169"/>
      <c r="G182" s="1169"/>
      <c r="H182" s="1169"/>
      <c r="I182" s="1169"/>
      <c r="J182" s="1169"/>
      <c r="K182" s="1169"/>
      <c r="L182" s="1169"/>
      <c r="M182" s="1169"/>
      <c r="R182" s="805"/>
      <c r="S182" s="805"/>
      <c r="T182" s="805"/>
      <c r="U182" s="805"/>
    </row>
    <row r="183" spans="1:21" s="1" customFormat="1" x14ac:dyDescent="0.2">
      <c r="A183" s="1189" t="s">
        <v>1896</v>
      </c>
      <c r="B183" s="1207">
        <f>'Cap-Gen'!E211/1000-Summaries!B182-Summaries!B181+'Cash-Gen'!C55/1000</f>
        <v>20180.5</v>
      </c>
      <c r="C183" s="1207">
        <f>'Cap-Water'!E68/1000-Summaries!C182-Summaries!C181</f>
        <v>1362.2</v>
      </c>
      <c r="D183" s="1207">
        <f>AT49/1000-D182</f>
        <v>2635.8</v>
      </c>
      <c r="E183" s="1196">
        <f>SUM(B183:D183)</f>
        <v>24178.5</v>
      </c>
      <c r="F183" s="1169"/>
      <c r="G183" s="1169"/>
      <c r="H183" s="1169"/>
      <c r="I183" s="1169"/>
      <c r="J183" s="1169"/>
      <c r="K183" s="1169"/>
      <c r="L183" s="1169"/>
      <c r="M183" s="1169"/>
      <c r="R183" s="805"/>
      <c r="S183" s="805"/>
      <c r="T183" s="805"/>
      <c r="U183" s="805"/>
    </row>
    <row r="184" spans="1:21" s="1" customFormat="1" x14ac:dyDescent="0.2">
      <c r="A184" s="1189" t="s">
        <v>3389</v>
      </c>
      <c r="B184" s="1207">
        <f>R50/1000</f>
        <v>3788.9</v>
      </c>
      <c r="C184" s="1207">
        <f>AE50/1000</f>
        <v>0</v>
      </c>
      <c r="D184" s="1207">
        <f>AT50/1000</f>
        <v>2793.3</v>
      </c>
      <c r="E184" s="1196">
        <f>SUM(B184:D184)</f>
        <v>6582.2000000000007</v>
      </c>
      <c r="F184" s="1169"/>
      <c r="G184" s="1169"/>
      <c r="H184" s="1169"/>
      <c r="I184" s="1169"/>
      <c r="J184" s="1169"/>
      <c r="K184" s="1169"/>
      <c r="L184" s="1169"/>
      <c r="M184" s="1169"/>
      <c r="R184" s="805"/>
      <c r="S184" s="805"/>
      <c r="T184" s="805"/>
      <c r="U184" s="805"/>
    </row>
    <row r="185" spans="1:21" s="1" customFormat="1" x14ac:dyDescent="0.2">
      <c r="A185" s="1188" t="s">
        <v>1530</v>
      </c>
      <c r="B185" s="1208">
        <f>SUM(B181:B184)</f>
        <v>27685.7</v>
      </c>
      <c r="C185" s="1208">
        <f>SUM(C181:C184)</f>
        <v>1427</v>
      </c>
      <c r="D185" s="1208">
        <f>SUM(D181:D184)</f>
        <v>5806.1</v>
      </c>
      <c r="E185" s="1209">
        <f>SUM(E181:E184)</f>
        <v>34918.800000000003</v>
      </c>
      <c r="F185" s="1169"/>
      <c r="G185" s="1169"/>
      <c r="H185" s="1169"/>
      <c r="I185" s="1169"/>
      <c r="J185" s="1169"/>
      <c r="K185" s="1169"/>
      <c r="L185" s="1169"/>
      <c r="M185" s="1169"/>
      <c r="R185" s="805"/>
      <c r="S185" s="805"/>
      <c r="T185" s="805"/>
      <c r="U185" s="805"/>
    </row>
    <row r="186" spans="1:21" s="1" customFormat="1" x14ac:dyDescent="0.2">
      <c r="A186" s="1189"/>
      <c r="B186" s="1207"/>
      <c r="C186" s="1207"/>
      <c r="D186" s="1207"/>
      <c r="E186" s="1214"/>
      <c r="F186" s="1169"/>
      <c r="G186" s="1169"/>
      <c r="H186" s="1169"/>
      <c r="I186" s="1169"/>
      <c r="J186" s="1169"/>
      <c r="K186" s="1169"/>
      <c r="L186" s="1169"/>
      <c r="M186" s="1169"/>
      <c r="R186" s="805"/>
      <c r="S186" s="805"/>
      <c r="T186" s="805"/>
      <c r="U186" s="805"/>
    </row>
    <row r="187" spans="1:21" s="1" customFormat="1" x14ac:dyDescent="0.2">
      <c r="A187" s="1188" t="s">
        <v>891</v>
      </c>
      <c r="B187" s="1207"/>
      <c r="C187" s="1207"/>
      <c r="D187" s="1207"/>
      <c r="E187" s="1214"/>
      <c r="F187" s="1169"/>
      <c r="G187" s="1169"/>
      <c r="H187" s="1169"/>
      <c r="I187" s="1169"/>
      <c r="J187" s="1169"/>
      <c r="K187" s="1169"/>
      <c r="L187" s="1169"/>
      <c r="M187" s="1169"/>
      <c r="R187" s="805"/>
      <c r="S187" s="805"/>
      <c r="T187" s="805"/>
      <c r="U187" s="805"/>
    </row>
    <row r="188" spans="1:21" s="1" customFormat="1" x14ac:dyDescent="0.2">
      <c r="A188" s="1189" t="s">
        <v>2203</v>
      </c>
      <c r="B188" s="1207">
        <f>B176</f>
        <v>14769.599999999989</v>
      </c>
      <c r="C188" s="1207">
        <f>C176</f>
        <v>1822.0999999999972</v>
      </c>
      <c r="D188" s="1207">
        <f>D176</f>
        <v>2886.6999999999989</v>
      </c>
      <c r="E188" s="1207">
        <f>E176</f>
        <v>19478.400000000001</v>
      </c>
      <c r="F188" s="1169"/>
      <c r="G188" s="1169"/>
      <c r="H188" s="1169"/>
      <c r="I188" s="1169"/>
      <c r="J188" s="1169"/>
      <c r="K188" s="1169"/>
      <c r="L188" s="1169"/>
      <c r="M188" s="1169"/>
      <c r="R188" s="805"/>
      <c r="S188" s="805"/>
      <c r="T188" s="805"/>
      <c r="U188" s="805"/>
    </row>
    <row r="189" spans="1:21" s="1" customFormat="1" x14ac:dyDescent="0.2">
      <c r="A189" s="1189" t="s">
        <v>3390</v>
      </c>
      <c r="B189" s="1207">
        <f>-(R58/1000+R59/1000)</f>
        <v>1109.3</v>
      </c>
      <c r="C189" s="1207">
        <f>-AF59/1000-AF58/1000</f>
        <v>-1504</v>
      </c>
      <c r="D189" s="1207">
        <f>-AT59/1000-AT58/1000</f>
        <v>677.60000000000014</v>
      </c>
      <c r="E189" s="1196">
        <f>SUM(B189:D189)</f>
        <v>282.90000000000009</v>
      </c>
      <c r="F189" s="1169"/>
      <c r="G189" s="1169"/>
      <c r="H189" s="1169"/>
      <c r="I189" s="1169"/>
      <c r="J189" s="1169"/>
      <c r="K189" s="1169"/>
      <c r="L189" s="1169"/>
      <c r="M189" s="1169"/>
      <c r="R189" s="805"/>
      <c r="S189" s="805"/>
      <c r="T189" s="805"/>
      <c r="U189" s="805"/>
    </row>
    <row r="190" spans="1:21" s="1" customFormat="1" x14ac:dyDescent="0.2">
      <c r="A190" s="1189" t="s">
        <v>271</v>
      </c>
      <c r="B190" s="1207">
        <f>-R60/1000</f>
        <v>0</v>
      </c>
      <c r="C190" s="1207">
        <v>0</v>
      </c>
      <c r="D190" s="1207">
        <v>0</v>
      </c>
      <c r="E190" s="1196">
        <f>SUM(B190:D190)</f>
        <v>0</v>
      </c>
      <c r="F190" s="1169"/>
      <c r="G190" s="1169"/>
      <c r="H190" s="1169"/>
      <c r="I190" s="1169"/>
      <c r="J190" s="1169"/>
      <c r="K190" s="1169"/>
      <c r="L190" s="1169"/>
      <c r="M190" s="1169"/>
      <c r="R190" s="805"/>
      <c r="S190" s="805"/>
      <c r="T190" s="805"/>
      <c r="U190" s="805"/>
    </row>
    <row r="191" spans="1:21" s="1" customFormat="1" x14ac:dyDescent="0.2">
      <c r="A191" s="1189" t="s">
        <v>2718</v>
      </c>
      <c r="B191" s="1207">
        <f>R40/1000+R41/1000</f>
        <v>11484.1</v>
      </c>
      <c r="C191" s="1207">
        <f>AF40/1000+AF41/1000+AF45/1000</f>
        <v>1082.9000000000001</v>
      </c>
      <c r="D191" s="1207">
        <f>AT40/1000+AT41/1000+AT45/1000</f>
        <v>2539</v>
      </c>
      <c r="E191" s="1196">
        <f>SUM(B191:D191)</f>
        <v>15106</v>
      </c>
      <c r="F191" s="1169"/>
      <c r="G191" s="1169"/>
      <c r="H191" s="1169"/>
      <c r="I191" s="1169"/>
      <c r="J191" s="1169"/>
      <c r="K191" s="1169"/>
      <c r="L191" s="1169"/>
      <c r="M191" s="1169"/>
      <c r="R191" s="805"/>
      <c r="S191" s="805"/>
      <c r="T191" s="805"/>
      <c r="U191" s="805"/>
    </row>
    <row r="192" spans="1:21" s="1" customFormat="1" x14ac:dyDescent="0.2">
      <c r="A192" s="1189" t="s">
        <v>272</v>
      </c>
      <c r="B192" s="1207">
        <f>R44/1000</f>
        <v>500</v>
      </c>
      <c r="C192" s="1207">
        <f>AF44/1000</f>
        <v>0</v>
      </c>
      <c r="D192" s="1207">
        <f>AT44/1000</f>
        <v>0</v>
      </c>
      <c r="E192" s="1196">
        <f>SUM(B192:D192)</f>
        <v>500</v>
      </c>
      <c r="F192" s="1169"/>
      <c r="G192" s="1169"/>
      <c r="H192" s="1169"/>
      <c r="I192" s="1169"/>
      <c r="J192" s="1169"/>
      <c r="K192" s="1169"/>
      <c r="L192" s="1169"/>
      <c r="M192" s="1169"/>
      <c r="R192" s="805"/>
      <c r="S192" s="805"/>
      <c r="T192" s="805"/>
      <c r="U192" s="805"/>
    </row>
    <row r="193" spans="1:21" s="1" customFormat="1" x14ac:dyDescent="0.2">
      <c r="A193" s="1188" t="s">
        <v>1530</v>
      </c>
      <c r="B193" s="1208">
        <f>SUM(B188:B192)</f>
        <v>27862.999999999989</v>
      </c>
      <c r="C193" s="1208">
        <f>SUM(C188:C192)</f>
        <v>1400.9999999999973</v>
      </c>
      <c r="D193" s="1208">
        <f>SUM(D188:D192)</f>
        <v>6103.2999999999993</v>
      </c>
      <c r="E193" s="1209">
        <f>SUM(E188:E192)</f>
        <v>35367.300000000003</v>
      </c>
      <c r="F193" s="1169"/>
      <c r="G193" s="1169"/>
      <c r="H193" s="1169"/>
      <c r="I193" s="1169"/>
      <c r="J193" s="1169"/>
      <c r="K193" s="1169"/>
      <c r="L193" s="1169"/>
      <c r="M193" s="1169"/>
      <c r="R193" s="805"/>
      <c r="S193" s="805"/>
      <c r="T193" s="805"/>
      <c r="U193" s="805"/>
    </row>
    <row r="194" spans="1:21" s="1" customFormat="1" ht="13.5" thickBot="1" x14ac:dyDescent="0.25">
      <c r="A194" s="1192"/>
      <c r="B194" s="1194"/>
      <c r="C194" s="1194"/>
      <c r="D194" s="1853"/>
      <c r="E194" s="1186"/>
      <c r="F194" s="1169"/>
      <c r="G194" s="1169"/>
      <c r="H194" s="1169"/>
      <c r="I194" s="1169"/>
      <c r="J194" s="1169"/>
      <c r="K194" s="1169"/>
      <c r="L194" s="1169"/>
      <c r="M194" s="1169"/>
      <c r="R194" s="805"/>
      <c r="S194" s="805"/>
      <c r="T194" s="805"/>
      <c r="U194" s="805"/>
    </row>
    <row r="195" spans="1:21" s="1" customFormat="1" x14ac:dyDescent="0.2">
      <c r="A195" s="746"/>
      <c r="B195" s="8"/>
      <c r="C195" s="1169"/>
      <c r="D195" s="1169"/>
      <c r="E195" s="1169"/>
      <c r="F195" s="1169"/>
      <c r="G195" s="1169"/>
      <c r="H195" s="1169"/>
      <c r="I195" s="1169"/>
      <c r="J195" s="1169"/>
      <c r="K195" s="1169"/>
      <c r="L195" s="1169"/>
      <c r="M195" s="1169"/>
      <c r="R195" s="805"/>
      <c r="S195" s="805"/>
      <c r="T195" s="805"/>
      <c r="U195" s="805"/>
    </row>
    <row r="196" spans="1:21" x14ac:dyDescent="0.2">
      <c r="K196" s="63"/>
      <c r="L196" s="63"/>
      <c r="M196" s="63"/>
    </row>
    <row r="197" spans="1:21" x14ac:dyDescent="0.2">
      <c r="A197" s="452" t="s">
        <v>427</v>
      </c>
      <c r="B197" s="452"/>
      <c r="C197" s="454" t="s">
        <v>426</v>
      </c>
      <c r="D197" s="454"/>
      <c r="E197" s="454">
        <v>943</v>
      </c>
      <c r="F197" s="454" t="s">
        <v>1767</v>
      </c>
      <c r="G197" s="453">
        <v>11600000</v>
      </c>
      <c r="H197" s="454"/>
      <c r="J197" s="747"/>
      <c r="K197" s="2318"/>
      <c r="L197" s="2318"/>
      <c r="M197" s="2318"/>
      <c r="N197" s="747"/>
      <c r="O197" s="747"/>
      <c r="P197" s="747"/>
      <c r="Q197" s="747"/>
      <c r="R197" s="2787"/>
    </row>
    <row r="198" spans="1:21" x14ac:dyDescent="0.2">
      <c r="A198" s="448" t="str">
        <f>SP!F954</f>
        <v>Strategic Planning</v>
      </c>
      <c r="B198" s="448"/>
      <c r="C198" s="33">
        <f>SP!G95</f>
        <v>-1111400</v>
      </c>
      <c r="D198" s="33">
        <f t="shared" ref="D198:D225" si="184">IF(C198&lt;0,C198," ")</f>
        <v>-1111400</v>
      </c>
      <c r="E198" s="442">
        <f>IF(D198=" ",0,(D198/$D$226*$E$197))</f>
        <v>34.859361851449023</v>
      </c>
      <c r="F198" s="442">
        <f t="shared" ref="F198:F204" si="185">E198</f>
        <v>34.859361851449023</v>
      </c>
      <c r="G198" s="444">
        <f t="shared" ref="G198:G225" si="186">IF(D198=" ",0,(D198/$D$226*$G$197))</f>
        <v>428810.81386724144</v>
      </c>
      <c r="H198" s="994">
        <f t="shared" ref="H198:H225" si="187">G198/$G$226</f>
        <v>3.6966449471313924E-2</v>
      </c>
      <c r="J198" s="1907"/>
      <c r="K198" s="63"/>
      <c r="L198" s="35"/>
      <c r="M198" s="210"/>
      <c r="N198" s="748"/>
      <c r="O198" s="748"/>
      <c r="P198" s="748"/>
      <c r="Q198" s="748"/>
      <c r="R198" s="1114"/>
    </row>
    <row r="199" spans="1:21" x14ac:dyDescent="0.2">
      <c r="A199" s="813" t="s">
        <v>3562</v>
      </c>
      <c r="B199" s="448"/>
      <c r="C199" s="33">
        <f>SP!G147</f>
        <v>-479800</v>
      </c>
      <c r="D199" s="33">
        <f>IF(C199&lt;0,C199," ")</f>
        <v>-479800</v>
      </c>
      <c r="E199" s="442">
        <f>IF(D199=" ",0,(D199/$D$226*$E$197))</f>
        <v>15.049056879903942</v>
      </c>
      <c r="F199" s="442">
        <f t="shared" si="185"/>
        <v>15.049056879903942</v>
      </c>
      <c r="G199" s="444">
        <f t="shared" si="186"/>
        <v>185120.95419606121</v>
      </c>
      <c r="H199" s="994">
        <f t="shared" si="187"/>
        <v>1.5958702947936314E-2</v>
      </c>
      <c r="J199" s="2317"/>
      <c r="K199" s="210"/>
      <c r="L199" s="210"/>
      <c r="M199" s="210"/>
      <c r="N199" s="748"/>
      <c r="O199" s="748"/>
      <c r="P199" s="748"/>
      <c r="Q199" s="748"/>
      <c r="R199" s="1114"/>
    </row>
    <row r="200" spans="1:21" x14ac:dyDescent="0.2">
      <c r="A200" s="813" t="s">
        <v>3555</v>
      </c>
      <c r="B200" s="448"/>
      <c r="C200" s="33">
        <f>SP!G211</f>
        <v>-741800</v>
      </c>
      <c r="D200" s="33">
        <f>IF(C200&lt;0,C200," ")</f>
        <v>-741800</v>
      </c>
      <c r="E200" s="442">
        <f>IF(D200=" ",0,(D200/$D$226*$E$197))</f>
        <v>23.266757802235816</v>
      </c>
      <c r="F200" s="442">
        <f t="shared" si="185"/>
        <v>23.266757802235816</v>
      </c>
      <c r="G200" s="444">
        <f t="shared" si="186"/>
        <v>286208.26140608214</v>
      </c>
      <c r="H200" s="994">
        <f t="shared" si="187"/>
        <v>2.4673125983282945E-2</v>
      </c>
      <c r="J200" s="2317"/>
      <c r="K200" s="210"/>
      <c r="L200" s="210"/>
      <c r="M200" s="210"/>
      <c r="N200" s="748"/>
      <c r="O200" s="748"/>
      <c r="P200" s="748"/>
      <c r="Q200" s="748"/>
      <c r="R200" s="1114"/>
    </row>
    <row r="201" spans="1:21" x14ac:dyDescent="0.2">
      <c r="A201" s="813" t="s">
        <v>3556</v>
      </c>
      <c r="B201" s="448"/>
      <c r="C201" s="33">
        <f>SP!G258</f>
        <v>-1356200</v>
      </c>
      <c r="D201" s="33">
        <f>IF(C201&lt;0,C201," ")</f>
        <v>-1356200</v>
      </c>
      <c r="E201" s="442">
        <v>42</v>
      </c>
      <c r="F201" s="442">
        <f t="shared" si="185"/>
        <v>42</v>
      </c>
      <c r="G201" s="444">
        <f t="shared" si="186"/>
        <v>523261.85510774952</v>
      </c>
      <c r="H201" s="994">
        <f t="shared" si="187"/>
        <v>4.5108780612737036E-2</v>
      </c>
      <c r="J201" s="2317"/>
      <c r="K201" s="210"/>
      <c r="L201" s="210"/>
      <c r="M201" s="210"/>
      <c r="N201" s="748"/>
      <c r="O201" s="748"/>
      <c r="P201" s="748"/>
      <c r="Q201" s="748"/>
      <c r="R201" s="1114"/>
    </row>
    <row r="202" spans="1:21" x14ac:dyDescent="0.2">
      <c r="A202" s="813" t="s">
        <v>389</v>
      </c>
      <c r="B202" s="448"/>
      <c r="C202" s="33">
        <f>SP!G309</f>
        <v>-1207700</v>
      </c>
      <c r="D202" s="33">
        <f>IF(C202&lt;0,C202," ")</f>
        <v>-1207700</v>
      </c>
      <c r="E202" s="442">
        <v>38</v>
      </c>
      <c r="F202" s="442">
        <f t="shared" si="185"/>
        <v>38</v>
      </c>
      <c r="G202" s="444">
        <f t="shared" si="186"/>
        <v>465966.18670817662</v>
      </c>
      <c r="H202" s="994">
        <f t="shared" si="187"/>
        <v>4.0169498854153163E-2</v>
      </c>
      <c r="J202" s="2317"/>
      <c r="K202" s="210"/>
      <c r="L202" s="210"/>
      <c r="M202" s="210"/>
      <c r="N202" s="748"/>
      <c r="O202" s="748"/>
      <c r="P202" s="748"/>
      <c r="Q202" s="748"/>
      <c r="R202" s="1114"/>
    </row>
    <row r="203" spans="1:21" x14ac:dyDescent="0.2">
      <c r="A203" s="449" t="str">
        <f>SP!E12</f>
        <v>Tourism</v>
      </c>
      <c r="B203" s="449"/>
      <c r="C203" s="33">
        <f>SP!G374</f>
        <v>-507000</v>
      </c>
      <c r="D203" s="33">
        <f>IF(C203&lt;0,C203," ")</f>
        <v>-507000</v>
      </c>
      <c r="E203" s="442">
        <f>IF(D203=" ",0,(D203/$D$226*$E$197))</f>
        <v>15.902192242833051</v>
      </c>
      <c r="F203" s="442">
        <f t="shared" si="185"/>
        <v>15.902192242833051</v>
      </c>
      <c r="G203" s="444">
        <f t="shared" si="186"/>
        <v>195615.51433389544</v>
      </c>
      <c r="H203" s="994">
        <f t="shared" si="187"/>
        <v>1.6863406408094438E-2</v>
      </c>
      <c r="J203" s="748"/>
      <c r="K203" s="210"/>
      <c r="L203" s="210"/>
      <c r="M203" s="210"/>
      <c r="N203" s="748"/>
      <c r="O203" s="748"/>
      <c r="P203" s="748"/>
      <c r="Q203" s="748"/>
      <c r="R203" s="1114"/>
    </row>
    <row r="204" spans="1:21" x14ac:dyDescent="0.2">
      <c r="A204" s="449" t="str">
        <f>DEH!E9</f>
        <v>Environmental and Public Health</v>
      </c>
      <c r="B204" s="449"/>
      <c r="C204" s="33">
        <f>DEH!G163</f>
        <v>-561700</v>
      </c>
      <c r="D204" s="33">
        <f t="shared" si="184"/>
        <v>-561700</v>
      </c>
      <c r="E204" s="442">
        <f>IF(D204=" ",0,(D204/$D$226*$E$197))</f>
        <v>17.617872549900049</v>
      </c>
      <c r="F204" s="442">
        <f t="shared" si="185"/>
        <v>17.617872549900049</v>
      </c>
      <c r="G204" s="444">
        <f t="shared" si="186"/>
        <v>216720.38343461356</v>
      </c>
      <c r="H204" s="994">
        <f t="shared" si="187"/>
        <v>1.8682791675397725E-2</v>
      </c>
      <c r="J204" s="748"/>
      <c r="K204" s="210"/>
      <c r="L204" s="210"/>
      <c r="M204" s="210"/>
      <c r="N204" s="748"/>
      <c r="O204" s="748"/>
      <c r="P204" s="748"/>
      <c r="Q204" s="748"/>
      <c r="R204" s="1114"/>
    </row>
    <row r="205" spans="1:21" x14ac:dyDescent="0.2">
      <c r="A205" s="449" t="str">
        <f>DEH!E7</f>
        <v>Development Services</v>
      </c>
      <c r="B205" s="449"/>
      <c r="C205" s="33">
        <f>DEH!G79</f>
        <v>-685500</v>
      </c>
      <c r="D205" s="33">
        <f t="shared" si="184"/>
        <v>-685500</v>
      </c>
      <c r="E205" s="442">
        <f>IF(D205=" ",0,(D205/$D$226*$E$197))</f>
        <v>21.50089306205534</v>
      </c>
      <c r="F205" s="442">
        <f>E205</f>
        <v>21.50089306205534</v>
      </c>
      <c r="G205" s="444">
        <f t="shared" si="186"/>
        <v>264486.06523843261</v>
      </c>
      <c r="H205" s="994">
        <f t="shared" si="187"/>
        <v>2.2800522865382124E-2</v>
      </c>
      <c r="J205" s="748"/>
      <c r="K205" s="210"/>
      <c r="L205" s="210"/>
      <c r="M205" s="210"/>
      <c r="N205" s="748"/>
      <c r="O205" s="748"/>
      <c r="P205" s="748"/>
      <c r="Q205" s="748"/>
      <c r="R205" s="1114"/>
    </row>
    <row r="206" spans="1:21" x14ac:dyDescent="0.2">
      <c r="A206" s="449" t="str">
        <f>DEH!E8</f>
        <v>Building Services</v>
      </c>
      <c r="B206" s="449"/>
      <c r="C206" s="33">
        <f>DEH!G114</f>
        <v>452500</v>
      </c>
      <c r="D206" s="33" t="str">
        <f t="shared" si="184"/>
        <v xml:space="preserve"> </v>
      </c>
      <c r="E206" s="442">
        <f>IF(D206=" ",0,(D206/$D$226*$E$197))</f>
        <v>0</v>
      </c>
      <c r="F206" s="442"/>
      <c r="G206" s="444">
        <f t="shared" si="186"/>
        <v>0</v>
      </c>
      <c r="H206" s="995">
        <f t="shared" si="187"/>
        <v>0</v>
      </c>
      <c r="J206" s="748"/>
      <c r="K206" s="210"/>
      <c r="L206" s="210"/>
      <c r="M206" s="210"/>
      <c r="N206" s="748"/>
      <c r="O206" s="748"/>
      <c r="P206" s="748"/>
      <c r="Q206" s="748"/>
      <c r="R206" s="1114"/>
    </row>
    <row r="207" spans="1:21" x14ac:dyDescent="0.2">
      <c r="A207" s="449" t="str">
        <f>DEH!E10</f>
        <v>Administration and Public Order</v>
      </c>
      <c r="B207" s="449"/>
      <c r="C207" s="33">
        <f>DEH!G210</f>
        <v>-1059500</v>
      </c>
      <c r="D207" s="33">
        <f t="shared" si="184"/>
        <v>-1059500</v>
      </c>
      <c r="E207" s="442">
        <f>IF(D207=" ",0,(D207/$D$226*$E$197))</f>
        <v>33.231504302330613</v>
      </c>
      <c r="F207" s="7">
        <f>E207+E222</f>
        <v>38.714153619977985</v>
      </c>
      <c r="G207" s="444">
        <f t="shared" si="186"/>
        <v>408786.26713365334</v>
      </c>
      <c r="H207" s="994">
        <f t="shared" si="187"/>
        <v>3.5240195442556327E-2</v>
      </c>
      <c r="J207" s="748"/>
      <c r="K207" s="210"/>
      <c r="L207" s="210"/>
      <c r="M207" s="210"/>
      <c r="N207" s="748"/>
      <c r="O207" s="748"/>
      <c r="P207" s="748"/>
      <c r="Q207" s="748"/>
      <c r="R207" s="1114"/>
    </row>
    <row r="208" spans="1:21" x14ac:dyDescent="0.2">
      <c r="A208" s="449" t="str">
        <f>GM!F1192</f>
        <v>Governance</v>
      </c>
      <c r="B208" s="449"/>
      <c r="C208" s="33">
        <f>GM!G109</f>
        <v>-1469200</v>
      </c>
      <c r="D208" s="33">
        <f t="shared" si="184"/>
        <v>-1469200</v>
      </c>
      <c r="E208" s="442">
        <v>42</v>
      </c>
      <c r="F208" s="442">
        <f>E208</f>
        <v>42</v>
      </c>
      <c r="G208" s="444">
        <f t="shared" si="186"/>
        <v>566860.57920978148</v>
      </c>
      <c r="H208" s="994">
        <f t="shared" si="187"/>
        <v>4.8867291311188069E-2</v>
      </c>
      <c r="J208" s="748"/>
      <c r="K208" s="210"/>
      <c r="L208" s="210"/>
      <c r="M208" s="210"/>
      <c r="N208" s="748"/>
      <c r="O208" s="748"/>
      <c r="P208" s="748"/>
      <c r="Q208" s="748"/>
      <c r="R208" s="1114"/>
    </row>
    <row r="209" spans="1:22" x14ac:dyDescent="0.2">
      <c r="A209" s="449" t="str">
        <f>GM!F1193</f>
        <v>Administrative Services</v>
      </c>
      <c r="B209" s="449"/>
      <c r="C209" s="33">
        <f>GM!G149</f>
        <v>-267000</v>
      </c>
      <c r="D209" s="33">
        <f t="shared" si="184"/>
        <v>-267000</v>
      </c>
      <c r="E209" s="442">
        <f>IF(D209=" ",0,(D209/$D$226*$E$197))</f>
        <v>8.3745272758114879</v>
      </c>
      <c r="F209" s="442">
        <f>E209</f>
        <v>8.3745272758114879</v>
      </c>
      <c r="G209" s="444">
        <f t="shared" si="186"/>
        <v>103016.45429418162</v>
      </c>
      <c r="H209" s="994">
        <f t="shared" si="187"/>
        <v>8.8807288184639347E-3</v>
      </c>
      <c r="J209" s="748"/>
      <c r="K209" s="748"/>
      <c r="L209" s="210"/>
      <c r="M209" s="210"/>
      <c r="N209" s="748"/>
      <c r="O209" s="748"/>
      <c r="P209" s="748"/>
      <c r="Q209" s="748"/>
      <c r="R209" s="1114"/>
    </row>
    <row r="210" spans="1:22" x14ac:dyDescent="0.2">
      <c r="A210" s="449" t="str">
        <f>GM!F1195</f>
        <v xml:space="preserve">Financial Services - General Purpose </v>
      </c>
      <c r="B210" s="449"/>
      <c r="C210" s="33">
        <f>GM!G194</f>
        <v>24850300</v>
      </c>
      <c r="D210" s="33" t="str">
        <f>IF(C210&lt;0,C210," ")</f>
        <v xml:space="preserve"> </v>
      </c>
      <c r="E210" s="442"/>
      <c r="F210" s="442"/>
      <c r="G210" s="444">
        <f t="shared" si="186"/>
        <v>0</v>
      </c>
      <c r="H210" s="995">
        <f t="shared" si="187"/>
        <v>0</v>
      </c>
      <c r="J210" s="748"/>
      <c r="K210" s="748"/>
      <c r="L210" s="748"/>
      <c r="M210" s="748"/>
      <c r="N210" s="748"/>
      <c r="O210" s="748"/>
      <c r="P210" s="748"/>
      <c r="Q210" s="748"/>
      <c r="R210" s="1114"/>
    </row>
    <row r="211" spans="1:22" x14ac:dyDescent="0.2">
      <c r="A211" s="1449" t="s">
        <v>3949</v>
      </c>
      <c r="B211" s="449"/>
      <c r="C211" s="33">
        <f>GM!G240</f>
        <v>4430200</v>
      </c>
      <c r="D211" s="33" t="str">
        <f t="shared" si="184"/>
        <v xml:space="preserve"> </v>
      </c>
      <c r="E211" s="442">
        <f>IF(D211=" ",0,(D211/$D$226*$E$197))</f>
        <v>0</v>
      </c>
      <c r="F211" s="442">
        <f>E211</f>
        <v>0</v>
      </c>
      <c r="G211" s="444">
        <f t="shared" si="186"/>
        <v>0</v>
      </c>
      <c r="H211" s="994">
        <f t="shared" si="187"/>
        <v>0</v>
      </c>
      <c r="J211" s="748"/>
      <c r="K211" s="748"/>
      <c r="L211" s="748"/>
      <c r="M211" s="748"/>
      <c r="N211" s="748"/>
      <c r="O211" s="748"/>
      <c r="P211" s="748"/>
      <c r="Q211" s="748"/>
      <c r="R211" s="1114"/>
    </row>
    <row r="212" spans="1:22" x14ac:dyDescent="0.2">
      <c r="A212" s="449" t="str">
        <f>GM!F1196</f>
        <v>Information Services</v>
      </c>
      <c r="B212" s="449"/>
      <c r="C212" s="33">
        <f>GM!G279</f>
        <v>-2272500</v>
      </c>
      <c r="D212" s="33">
        <f t="shared" si="184"/>
        <v>-2272500</v>
      </c>
      <c r="E212" s="442">
        <v>57</v>
      </c>
      <c r="F212" s="442">
        <f>E212</f>
        <v>57</v>
      </c>
      <c r="G212" s="444">
        <f t="shared" si="186"/>
        <v>876797.34975104034</v>
      </c>
      <c r="H212" s="995">
        <f t="shared" si="187"/>
        <v>7.5585978426813832E-2</v>
      </c>
      <c r="J212" s="748"/>
      <c r="K212" s="748"/>
      <c r="L212" s="748"/>
      <c r="M212" s="748"/>
      <c r="N212" s="748"/>
      <c r="O212" s="748"/>
      <c r="P212" s="748"/>
      <c r="Q212" s="748"/>
      <c r="R212" s="1114"/>
    </row>
    <row r="213" spans="1:22" x14ac:dyDescent="0.2">
      <c r="A213" s="449" t="str">
        <f>GM!F1197</f>
        <v xml:space="preserve">Human Resources and Risk </v>
      </c>
      <c r="B213" s="449"/>
      <c r="C213" s="33">
        <f>GM!G335</f>
        <v>-583600</v>
      </c>
      <c r="D213" s="33">
        <f t="shared" si="184"/>
        <v>-583600</v>
      </c>
      <c r="E213" s="442">
        <f>IF(D213=" ",0,(D213/$D$226*$E$197))</f>
        <v>18.304771978140771</v>
      </c>
      <c r="F213" s="442">
        <f>E213</f>
        <v>18.304771978140771</v>
      </c>
      <c r="G213" s="444">
        <f t="shared" si="186"/>
        <v>225170.04766323746</v>
      </c>
      <c r="H213" s="995">
        <f t="shared" si="187"/>
        <v>1.9411211005451508E-2</v>
      </c>
      <c r="J213" s="748"/>
      <c r="K213" s="748"/>
      <c r="L213" s="748"/>
      <c r="M213" s="748"/>
      <c r="N213" s="748"/>
      <c r="O213" s="748"/>
      <c r="P213" s="748"/>
      <c r="Q213" s="748"/>
      <c r="R213" s="1114"/>
    </row>
    <row r="214" spans="1:22" x14ac:dyDescent="0.2">
      <c r="A214" s="449" t="str">
        <f>GM!F1198</f>
        <v>Property Management</v>
      </c>
      <c r="B214" s="449"/>
      <c r="C214" s="33">
        <f>GM!G408</f>
        <v>200000</v>
      </c>
      <c r="D214" s="33" t="str">
        <f t="shared" si="184"/>
        <v xml:space="preserve"> </v>
      </c>
      <c r="E214" s="442">
        <f>IF(D214=" ",0,(D214/$D$226*$E$197))</f>
        <v>0</v>
      </c>
      <c r="F214" s="442">
        <f>E214</f>
        <v>0</v>
      </c>
      <c r="G214" s="444">
        <f t="shared" si="186"/>
        <v>0</v>
      </c>
      <c r="H214" s="994">
        <f t="shared" si="187"/>
        <v>0</v>
      </c>
      <c r="J214" s="748"/>
      <c r="K214" s="748"/>
      <c r="L214" s="748"/>
      <c r="M214" s="748"/>
      <c r="N214" s="748"/>
      <c r="O214" s="748"/>
      <c r="P214" s="748"/>
      <c r="Q214" s="748"/>
      <c r="R214" s="1114"/>
    </row>
    <row r="215" spans="1:22" x14ac:dyDescent="0.2">
      <c r="A215" s="449" t="str">
        <f>CIV!F2036</f>
        <v>Engineering Management</v>
      </c>
      <c r="B215" s="449"/>
      <c r="C215" s="33">
        <f>CIV!G120</f>
        <v>-2290900</v>
      </c>
      <c r="D215" s="33">
        <f t="shared" si="184"/>
        <v>-2290900</v>
      </c>
      <c r="E215" s="442">
        <v>75</v>
      </c>
      <c r="F215" s="442"/>
      <c r="G215" s="444">
        <f t="shared" si="186"/>
        <v>883896.61102075165</v>
      </c>
      <c r="H215" s="994">
        <f t="shared" si="187"/>
        <v>7.6197983708685496E-2</v>
      </c>
      <c r="J215" s="748"/>
      <c r="K215" s="748"/>
      <c r="L215" s="1114"/>
      <c r="M215" s="1114"/>
      <c r="N215" s="1114"/>
      <c r="O215" s="1114"/>
      <c r="P215" s="1114"/>
      <c r="Q215" s="748"/>
      <c r="R215" s="1114"/>
    </row>
    <row r="216" spans="1:22" x14ac:dyDescent="0.2">
      <c r="A216" s="449" t="str">
        <f>CIV!F2037</f>
        <v>Procurement and Building Management</v>
      </c>
      <c r="B216" s="449"/>
      <c r="C216" s="33">
        <f>CIV!G180</f>
        <v>-2566000</v>
      </c>
      <c r="D216" s="33">
        <f t="shared" ref="D216" si="188">IF(C216&lt;0,C216," ")</f>
        <v>-2566000</v>
      </c>
      <c r="E216" s="442">
        <f>IF(D216=" ",0,(D216/$D$226*$E$197))</f>
        <v>80.483284605738874</v>
      </c>
      <c r="F216" s="442">
        <f>E216</f>
        <v>80.483284605738874</v>
      </c>
      <c r="G216" s="444">
        <f t="shared" si="186"/>
        <v>990038.28359127359</v>
      </c>
      <c r="H216" s="994">
        <f t="shared" si="187"/>
        <v>8.5348127895799458E-2</v>
      </c>
      <c r="J216" s="748"/>
      <c r="K216" s="748"/>
      <c r="L216" s="1114"/>
      <c r="M216" s="1114"/>
      <c r="N216" s="1114"/>
      <c r="O216" s="1114"/>
      <c r="P216" s="1114"/>
      <c r="Q216" s="748"/>
      <c r="R216" s="1114"/>
    </row>
    <row r="217" spans="1:22" x14ac:dyDescent="0.2">
      <c r="A217" s="449" t="str">
        <f>CIV!F2038</f>
        <v>Stormwater and Environmental Protection</v>
      </c>
      <c r="B217" s="449"/>
      <c r="C217" s="33">
        <f>CIV!G234</f>
        <v>-555800</v>
      </c>
      <c r="D217" s="33">
        <f t="shared" si="184"/>
        <v>-555800</v>
      </c>
      <c r="E217" s="442">
        <f>IF(D217=" ",0,(D217/$D$226*$E$197))</f>
        <v>17.432817452794104</v>
      </c>
      <c r="F217" s="33">
        <f>E217</f>
        <v>17.432817452794104</v>
      </c>
      <c r="G217" s="444">
        <f t="shared" si="186"/>
        <v>214443.98987530393</v>
      </c>
      <c r="H217" s="994">
        <f t="shared" si="187"/>
        <v>1.8486550851319308E-2</v>
      </c>
      <c r="J217" s="748"/>
      <c r="K217" s="748"/>
      <c r="L217" s="748"/>
      <c r="M217" s="748"/>
      <c r="N217" s="748"/>
      <c r="O217" s="748"/>
      <c r="P217" s="748"/>
      <c r="Q217" s="748"/>
      <c r="R217" s="1114"/>
      <c r="U217" s="2788"/>
      <c r="V217" s="634"/>
    </row>
    <row r="218" spans="1:22" x14ac:dyDescent="0.2">
      <c r="A218" s="449" t="s">
        <v>3134</v>
      </c>
      <c r="B218" s="449"/>
      <c r="C218" s="33">
        <f>CIV!G292+CIV!G356</f>
        <v>-8903900</v>
      </c>
      <c r="D218" s="33">
        <f t="shared" si="184"/>
        <v>-8903900</v>
      </c>
      <c r="E218" s="442">
        <v>272</v>
      </c>
      <c r="F218" s="442">
        <f>E218+E215</f>
        <v>347</v>
      </c>
      <c r="G218" s="444">
        <f t="shared" si="186"/>
        <v>3435386.5445316993</v>
      </c>
      <c r="H218" s="994">
        <f t="shared" si="187"/>
        <v>0.2961540124596293</v>
      </c>
      <c r="J218" s="748"/>
      <c r="K218" s="748"/>
      <c r="L218" s="748"/>
      <c r="M218" s="748"/>
      <c r="N218" s="748"/>
      <c r="O218" s="748"/>
      <c r="P218" s="748"/>
      <c r="Q218" s="748"/>
      <c r="R218" s="1114"/>
    </row>
    <row r="219" spans="1:22" x14ac:dyDescent="0.2">
      <c r="A219" s="449" t="str">
        <f>CIV!F2041</f>
        <v>Roads and Maritime Services</v>
      </c>
      <c r="B219" s="449"/>
      <c r="C219" s="33">
        <f>CIV!G395</f>
        <v>0</v>
      </c>
      <c r="D219" s="33" t="str">
        <f t="shared" si="184"/>
        <v xml:space="preserve"> </v>
      </c>
      <c r="E219" s="442">
        <f>IF(D219=" ",0,(D219/$D$226*$E$197))</f>
        <v>0</v>
      </c>
      <c r="F219" s="442"/>
      <c r="G219" s="444">
        <f t="shared" si="186"/>
        <v>0</v>
      </c>
      <c r="H219" s="995">
        <f t="shared" si="187"/>
        <v>0</v>
      </c>
      <c r="J219" s="748"/>
      <c r="K219" s="748"/>
      <c r="L219" s="748"/>
      <c r="M219" s="748"/>
      <c r="N219" s="748"/>
      <c r="O219" s="748"/>
      <c r="P219" s="748"/>
      <c r="Q219" s="748"/>
      <c r="R219" s="1114"/>
    </row>
    <row r="220" spans="1:22" x14ac:dyDescent="0.2">
      <c r="A220" s="449" t="str">
        <f>CIV!F2042</f>
        <v>Open Spaces and Reserves</v>
      </c>
      <c r="B220" s="449"/>
      <c r="C220" s="33">
        <f>CIV!G466</f>
        <v>-3270800</v>
      </c>
      <c r="D220" s="33">
        <f t="shared" si="184"/>
        <v>-3270800</v>
      </c>
      <c r="E220" s="442">
        <v>105</v>
      </c>
      <c r="F220" s="442">
        <f>E220</f>
        <v>105</v>
      </c>
      <c r="G220" s="444">
        <f t="shared" si="186"/>
        <v>1261970.8565745666</v>
      </c>
      <c r="H220" s="994">
        <f t="shared" si="187"/>
        <v>0.10879059108401437</v>
      </c>
      <c r="J220" s="748"/>
      <c r="K220" s="748"/>
      <c r="L220" s="748"/>
      <c r="M220" s="748"/>
      <c r="N220" s="748"/>
      <c r="O220" s="748"/>
      <c r="P220" s="748"/>
      <c r="Q220" s="748"/>
      <c r="R220" s="1114"/>
    </row>
    <row r="221" spans="1:22" x14ac:dyDescent="0.2">
      <c r="A221" s="449" t="str">
        <f>CIV!F2043</f>
        <v>Fleet Management and Workshop</v>
      </c>
      <c r="B221" s="449"/>
      <c r="C221" s="33">
        <f>CIV!G524</f>
        <v>0</v>
      </c>
      <c r="D221" s="33" t="str">
        <f t="shared" si="184"/>
        <v xml:space="preserve"> </v>
      </c>
      <c r="E221" s="442">
        <f>IF(D221=" ",0,(D221/$D$226*$E$197))</f>
        <v>0</v>
      </c>
      <c r="F221" s="442"/>
      <c r="G221" s="444">
        <f t="shared" si="186"/>
        <v>0</v>
      </c>
      <c r="H221" s="995">
        <f t="shared" si="187"/>
        <v>0</v>
      </c>
      <c r="J221" s="748"/>
      <c r="K221" s="748"/>
      <c r="L221" s="748"/>
      <c r="M221" s="748"/>
      <c r="N221" s="748"/>
      <c r="O221" s="748"/>
      <c r="P221" s="748"/>
      <c r="Q221" s="748"/>
      <c r="R221" s="1114"/>
    </row>
    <row r="222" spans="1:22" x14ac:dyDescent="0.2">
      <c r="A222" s="449" t="str">
        <f>CIV!E14</f>
        <v>Rural Fire Service</v>
      </c>
      <c r="B222" s="449"/>
      <c r="C222" s="33">
        <f>CIV!G563</f>
        <v>-174800</v>
      </c>
      <c r="D222" s="33">
        <f t="shared" si="184"/>
        <v>-174800</v>
      </c>
      <c r="E222" s="442">
        <f>IF(D222=" ",0,(D222/$D$226*$E$197))</f>
        <v>5.4826493176473718</v>
      </c>
      <c r="F222" s="442"/>
      <c r="G222" s="444">
        <f t="shared" si="186"/>
        <v>67442.982062258234</v>
      </c>
      <c r="H222" s="994">
        <f t="shared" si="187"/>
        <v>5.8140501777808832E-3</v>
      </c>
      <c r="J222" s="748"/>
      <c r="K222" s="748"/>
      <c r="L222" s="748"/>
      <c r="M222" s="748"/>
      <c r="N222" s="748"/>
      <c r="O222" s="748"/>
      <c r="P222" s="748"/>
      <c r="Q222" s="748"/>
      <c r="R222" s="1114"/>
    </row>
    <row r="223" spans="1:22" x14ac:dyDescent="0.2">
      <c r="A223" s="449" t="str">
        <f>CIV!F2045</f>
        <v>Quarries and Sandpit</v>
      </c>
      <c r="B223" s="449"/>
      <c r="C223" s="33">
        <f>CIV!G618</f>
        <v>200000</v>
      </c>
      <c r="D223" s="33" t="str">
        <f t="shared" si="184"/>
        <v xml:space="preserve"> </v>
      </c>
      <c r="E223" s="442">
        <f>IF(D223=" ",0,(D223/$D$226*$E$197))</f>
        <v>0</v>
      </c>
      <c r="F223" s="442"/>
      <c r="G223" s="444">
        <f t="shared" si="186"/>
        <v>0</v>
      </c>
      <c r="H223" s="995">
        <f t="shared" si="187"/>
        <v>0</v>
      </c>
      <c r="J223" s="748"/>
      <c r="K223" s="748"/>
      <c r="L223" s="748"/>
      <c r="M223" s="748"/>
      <c r="N223" s="748"/>
      <c r="O223" s="748"/>
      <c r="P223" s="748"/>
      <c r="Q223" s="748"/>
      <c r="R223" s="1114"/>
    </row>
    <row r="224" spans="1:22" x14ac:dyDescent="0.2">
      <c r="A224" s="449" t="str">
        <f>CIV!F2046</f>
        <v>Waste - Landfill and Resource Recovery</v>
      </c>
      <c r="B224" s="449"/>
      <c r="C224" s="33">
        <f>CIV!G690</f>
        <v>0</v>
      </c>
      <c r="D224" s="33" t="str">
        <f t="shared" si="184"/>
        <v xml:space="preserve"> </v>
      </c>
      <c r="E224" s="442"/>
      <c r="F224" s="442"/>
      <c r="G224" s="444">
        <f t="shared" si="186"/>
        <v>0</v>
      </c>
      <c r="H224" s="995">
        <f t="shared" si="187"/>
        <v>0</v>
      </c>
      <c r="J224" s="748"/>
      <c r="K224" s="748"/>
      <c r="L224" s="748"/>
      <c r="M224" s="748"/>
      <c r="N224" s="748"/>
      <c r="O224" s="748"/>
      <c r="P224" s="748"/>
      <c r="Q224" s="748"/>
      <c r="R224" s="1114"/>
    </row>
    <row r="225" spans="1:30" x14ac:dyDescent="0.2">
      <c r="A225" s="449" t="str">
        <f>CIV!F2047</f>
        <v>Waste - Domestic</v>
      </c>
      <c r="B225" s="449"/>
      <c r="C225" s="33">
        <f>CIV!G747</f>
        <v>0</v>
      </c>
      <c r="D225" s="33" t="str">
        <f t="shared" si="184"/>
        <v xml:space="preserve"> </v>
      </c>
      <c r="E225" s="442"/>
      <c r="F225" s="442"/>
      <c r="G225" s="444">
        <f t="shared" si="186"/>
        <v>0</v>
      </c>
      <c r="H225" s="996">
        <f t="shared" si="187"/>
        <v>0</v>
      </c>
      <c r="J225" s="748"/>
      <c r="K225" s="748"/>
      <c r="L225" s="748"/>
      <c r="M225" s="748"/>
      <c r="N225" s="748"/>
      <c r="O225" s="748"/>
      <c r="P225" s="748"/>
      <c r="Q225" s="748"/>
      <c r="R225" s="1114"/>
    </row>
    <row r="226" spans="1:30" s="4" customFormat="1" x14ac:dyDescent="0.2">
      <c r="A226" s="349"/>
      <c r="B226" s="349"/>
      <c r="C226" s="33">
        <f>SUM(C198:C225)</f>
        <v>67900</v>
      </c>
      <c r="D226" s="33">
        <f t="shared" ref="D226:H226" si="189">SUM(D198:D225)</f>
        <v>-30065100</v>
      </c>
      <c r="E226" s="270">
        <f t="shared" si="189"/>
        <v>922.50568932084047</v>
      </c>
      <c r="F226" s="270">
        <f t="shared" si="189"/>
        <v>922.50568932084047</v>
      </c>
      <c r="G226" s="249">
        <f t="shared" si="189"/>
        <v>11599999.999999998</v>
      </c>
      <c r="H226" s="997">
        <f t="shared" si="189"/>
        <v>1</v>
      </c>
      <c r="J226" s="269"/>
      <c r="K226" s="269"/>
      <c r="L226" s="269"/>
      <c r="M226" s="269"/>
      <c r="N226" s="269"/>
      <c r="O226" s="269"/>
      <c r="P226" s="269"/>
      <c r="Q226" s="269"/>
      <c r="R226" s="2789"/>
      <c r="S226" s="402"/>
      <c r="T226" s="402"/>
      <c r="U226" s="402"/>
    </row>
    <row r="227" spans="1:30" s="4" customFormat="1" x14ac:dyDescent="0.2">
      <c r="A227" s="349" t="s">
        <v>89</v>
      </c>
      <c r="B227" s="349"/>
      <c r="C227" s="33">
        <f>('Cash-Gen'!E88)-C226</f>
        <v>0</v>
      </c>
      <c r="D227" s="33"/>
      <c r="E227" s="270"/>
      <c r="F227" s="270"/>
      <c r="G227" s="249"/>
      <c r="H227" s="249"/>
      <c r="I227" s="18"/>
      <c r="K227" s="18"/>
      <c r="L227" s="18"/>
      <c r="M227" s="18"/>
      <c r="N227" s="18"/>
      <c r="O227" s="18"/>
      <c r="P227" s="18"/>
      <c r="Q227" s="18"/>
      <c r="R227" s="2790"/>
      <c r="S227" s="2790"/>
      <c r="T227" s="2790"/>
      <c r="U227" s="2790"/>
      <c r="V227" s="18"/>
      <c r="W227" s="18"/>
    </row>
    <row r="228" spans="1:30" x14ac:dyDescent="0.2">
      <c r="A228" s="450"/>
      <c r="B228" s="450"/>
      <c r="C228" s="455"/>
      <c r="D228" s="455"/>
      <c r="E228" s="456"/>
      <c r="F228" s="456"/>
      <c r="G228" s="451"/>
      <c r="H228" s="451"/>
      <c r="I228" s="17"/>
      <c r="K228" s="17"/>
      <c r="L228" s="17"/>
      <c r="M228" s="17"/>
      <c r="N228" s="17"/>
      <c r="O228" s="17"/>
      <c r="P228" s="17"/>
      <c r="Q228" s="17"/>
      <c r="R228" s="353"/>
      <c r="S228" s="353"/>
      <c r="T228" s="353"/>
      <c r="U228" s="353"/>
      <c r="V228" s="17"/>
      <c r="W228" s="17"/>
      <c r="X228" s="17"/>
      <c r="Y228" s="17"/>
      <c r="Z228" s="17"/>
      <c r="AA228" s="17"/>
      <c r="AB228" s="17"/>
      <c r="AC228" s="17"/>
      <c r="AD228" s="17"/>
    </row>
    <row r="230" spans="1:30" ht="13.5" thickBot="1" x14ac:dyDescent="0.25"/>
    <row r="231" spans="1:30" x14ac:dyDescent="0.2">
      <c r="A231" s="1864" t="s">
        <v>4933</v>
      </c>
      <c r="B231" s="1865" t="s">
        <v>2240</v>
      </c>
      <c r="C231" s="1865" t="s">
        <v>1764</v>
      </c>
      <c r="D231" s="1865" t="s">
        <v>3354</v>
      </c>
      <c r="E231" s="1866" t="s">
        <v>4337</v>
      </c>
    </row>
    <row r="232" spans="1:30" ht="10.5" customHeight="1" x14ac:dyDescent="0.2">
      <c r="A232" s="1867" t="s">
        <v>4934</v>
      </c>
      <c r="B232" s="1868"/>
      <c r="C232" s="1868"/>
      <c r="D232" s="1868"/>
      <c r="E232" s="1869"/>
    </row>
    <row r="233" spans="1:30" x14ac:dyDescent="0.2">
      <c r="A233" s="1870" t="s">
        <v>2335</v>
      </c>
      <c r="B233" s="33">
        <f>LTFP!E39/1000</f>
        <v>27552.6</v>
      </c>
      <c r="C233" s="33">
        <f>LTFP!E70/1000</f>
        <v>3367.8</v>
      </c>
      <c r="D233" s="33">
        <f>LTFP!E101/1000</f>
        <v>15387.2</v>
      </c>
      <c r="E233" s="129">
        <f>LTFP!E8/1000</f>
        <v>46307.6</v>
      </c>
    </row>
    <row r="234" spans="1:30" x14ac:dyDescent="0.2">
      <c r="A234" s="1870" t="s">
        <v>2376</v>
      </c>
      <c r="B234" s="33">
        <f>LTFP!E40/1000</f>
        <v>10685.7</v>
      </c>
      <c r="C234" s="33">
        <f>LTFP!E71/1000</f>
        <v>7247.1</v>
      </c>
      <c r="D234" s="33">
        <f>LTFP!E102/1000</f>
        <v>1288.5999999999999</v>
      </c>
      <c r="E234" s="129">
        <f>LTFP!E9/1000</f>
        <v>19221.400000000001</v>
      </c>
    </row>
    <row r="235" spans="1:30" x14ac:dyDescent="0.2">
      <c r="A235" s="1870" t="s">
        <v>4242</v>
      </c>
      <c r="B235" s="33">
        <f>LTFP!E41/1000</f>
        <v>1089.5</v>
      </c>
      <c r="C235" s="33">
        <f>LTFP!E72/1000</f>
        <v>338.4</v>
      </c>
      <c r="D235" s="33">
        <f>LTFP!E103/1000</f>
        <v>370.6</v>
      </c>
      <c r="E235" s="129">
        <f>LTFP!E10/1000</f>
        <v>1798.5</v>
      </c>
    </row>
    <row r="236" spans="1:30" x14ac:dyDescent="0.2">
      <c r="A236" s="1870" t="s">
        <v>428</v>
      </c>
      <c r="B236" s="33">
        <f>LTFP!E42/1000</f>
        <v>3912.5</v>
      </c>
      <c r="C236" s="33">
        <f>LTFP!E73/1000</f>
        <v>805</v>
      </c>
      <c r="D236" s="33">
        <f>LTFP!E104/1000</f>
        <v>506.8</v>
      </c>
      <c r="E236" s="129">
        <f>LTFP!E11/1000</f>
        <v>5224.3</v>
      </c>
    </row>
    <row r="237" spans="1:30" x14ac:dyDescent="0.2">
      <c r="A237" s="1870" t="s">
        <v>687</v>
      </c>
      <c r="B237" s="33">
        <f>LTFP!E43/1000</f>
        <v>10317.700000000001</v>
      </c>
      <c r="C237" s="33">
        <f>LTFP!E74/1000</f>
        <v>155.30000000000001</v>
      </c>
      <c r="D237" s="33">
        <f>LTFP!E105/1000</f>
        <v>152.69999999999999</v>
      </c>
      <c r="E237" s="129">
        <f>LTFP!E12/1000</f>
        <v>10625.7</v>
      </c>
    </row>
    <row r="238" spans="1:30" x14ac:dyDescent="0.2">
      <c r="A238" s="1870" t="s">
        <v>2718</v>
      </c>
      <c r="B238" s="33">
        <f>LTFP!E44/1000</f>
        <v>11588.7</v>
      </c>
      <c r="C238" s="33">
        <f>LTFP!E75/1000</f>
        <v>919.4</v>
      </c>
      <c r="D238" s="33">
        <f>LTFP!E106/1000</f>
        <v>2045.5</v>
      </c>
      <c r="E238" s="129">
        <f>LTFP!E13/1000</f>
        <v>14553.6</v>
      </c>
    </row>
    <row r="239" spans="1:30" s="1" customFormat="1" x14ac:dyDescent="0.2">
      <c r="A239" s="1871" t="s">
        <v>764</v>
      </c>
      <c r="B239" s="116">
        <f>SUM(B233:B238)</f>
        <v>65146.7</v>
      </c>
      <c r="C239" s="116">
        <f t="shared" ref="C239:E239" si="190">SUM(C233:C238)</f>
        <v>12833</v>
      </c>
      <c r="D239" s="116">
        <f t="shared" si="190"/>
        <v>19751.399999999998</v>
      </c>
      <c r="E239" s="1784">
        <f t="shared" si="190"/>
        <v>97731.1</v>
      </c>
      <c r="R239" s="805"/>
      <c r="S239" s="805"/>
      <c r="T239" s="805"/>
      <c r="U239" s="805"/>
    </row>
    <row r="240" spans="1:30" x14ac:dyDescent="0.2">
      <c r="A240" s="1867" t="s">
        <v>4935</v>
      </c>
      <c r="B240" s="33"/>
      <c r="C240" s="33"/>
      <c r="D240" s="33"/>
      <c r="E240" s="129"/>
    </row>
    <row r="241" spans="1:21" x14ac:dyDescent="0.2">
      <c r="A241" s="1870" t="s">
        <v>4248</v>
      </c>
      <c r="B241" s="33">
        <f>LTFP!E46/1000</f>
        <v>0</v>
      </c>
      <c r="C241" s="33">
        <f>LTFP!E86</f>
        <v>0</v>
      </c>
      <c r="D241" s="33">
        <f>LTFP!E108/1000</f>
        <v>0</v>
      </c>
      <c r="E241" s="129">
        <f>LTFP!E15/1000</f>
        <v>0</v>
      </c>
    </row>
    <row r="242" spans="1:21" s="1" customFormat="1" x14ac:dyDescent="0.2">
      <c r="A242" s="1871" t="s">
        <v>4243</v>
      </c>
      <c r="B242" s="116">
        <f>B241+B239</f>
        <v>65146.7</v>
      </c>
      <c r="C242" s="116">
        <f t="shared" ref="C242:E242" si="191">C241+C239</f>
        <v>12833</v>
      </c>
      <c r="D242" s="116">
        <f t="shared" si="191"/>
        <v>19751.399999999998</v>
      </c>
      <c r="E242" s="1784">
        <f t="shared" si="191"/>
        <v>97731.1</v>
      </c>
      <c r="R242" s="805"/>
      <c r="S242" s="805"/>
      <c r="T242" s="805"/>
      <c r="U242" s="805"/>
    </row>
    <row r="243" spans="1:21" x14ac:dyDescent="0.2">
      <c r="A243" s="1871"/>
      <c r="B243" s="33"/>
      <c r="C243" s="33"/>
      <c r="D243" s="33"/>
      <c r="E243" s="129"/>
    </row>
    <row r="244" spans="1:21" x14ac:dyDescent="0.2">
      <c r="A244" s="1871" t="s">
        <v>4936</v>
      </c>
      <c r="B244" s="33"/>
      <c r="C244" s="33"/>
      <c r="D244" s="33"/>
      <c r="E244" s="129"/>
    </row>
    <row r="245" spans="1:21" x14ac:dyDescent="0.2">
      <c r="A245" s="1870" t="s">
        <v>4937</v>
      </c>
      <c r="B245" s="33">
        <f>LTFP!E50/1000</f>
        <v>16640</v>
      </c>
      <c r="C245" s="33">
        <f>LTFP!E81/1000</f>
        <v>1934</v>
      </c>
      <c r="D245" s="33">
        <f>LTFP!E112/1000</f>
        <v>3790</v>
      </c>
      <c r="E245" s="129">
        <f>LTFP!E19/1000</f>
        <v>22364</v>
      </c>
    </row>
    <row r="246" spans="1:21" x14ac:dyDescent="0.2">
      <c r="A246" s="1870" t="s">
        <v>2375</v>
      </c>
      <c r="B246" s="33">
        <f>LTFP!E51/1000</f>
        <v>1152.2</v>
      </c>
      <c r="C246" s="33">
        <f>LTFP!E82/1000</f>
        <v>0</v>
      </c>
      <c r="D246" s="33">
        <f>LTFP!E113/1000</f>
        <v>4442.6000000000004</v>
      </c>
      <c r="E246" s="129">
        <f>LTFP!E20/1000</f>
        <v>5594.8</v>
      </c>
    </row>
    <row r="247" spans="1:21" x14ac:dyDescent="0.2">
      <c r="A247" s="1870" t="s">
        <v>2188</v>
      </c>
      <c r="B247" s="33">
        <f>LTFP!E52/1000</f>
        <v>18424.099999999999</v>
      </c>
      <c r="C247" s="33">
        <f>LTFP!E83/1000</f>
        <v>1387</v>
      </c>
      <c r="D247" s="33">
        <f>LTFP!E114/1000</f>
        <v>5929.6</v>
      </c>
      <c r="E247" s="129">
        <f>LTFP!E21/1000</f>
        <v>25740.7</v>
      </c>
    </row>
    <row r="248" spans="1:21" x14ac:dyDescent="0.2">
      <c r="A248" s="1870" t="s">
        <v>4245</v>
      </c>
      <c r="B248" s="33">
        <f>LTFP!E53/1000</f>
        <v>13056.4</v>
      </c>
      <c r="C248" s="33">
        <f>LTFP!E84/1000</f>
        <v>1428</v>
      </c>
      <c r="D248" s="33">
        <f>LTFP!E115/1000</f>
        <v>2678</v>
      </c>
      <c r="E248" s="129">
        <f>LTFP!E22/1000</f>
        <v>17162.400000000001</v>
      </c>
    </row>
    <row r="249" spans="1:21" x14ac:dyDescent="0.2">
      <c r="A249" s="1870" t="s">
        <v>416</v>
      </c>
      <c r="B249" s="33">
        <f>LTFP!E54/1000</f>
        <v>4648.8</v>
      </c>
      <c r="C249" s="33">
        <f>LTFP!E85/1000</f>
        <v>6520.6</v>
      </c>
      <c r="D249" s="33">
        <f>LTFP!E116/1000</f>
        <v>347.5</v>
      </c>
      <c r="E249" s="129">
        <f>LTFP!E23/1000</f>
        <v>11516.9</v>
      </c>
    </row>
    <row r="250" spans="1:21" x14ac:dyDescent="0.2">
      <c r="A250" s="1870" t="s">
        <v>4246</v>
      </c>
      <c r="B250" s="33">
        <f>LTFP!E55/1000</f>
        <v>0</v>
      </c>
      <c r="C250" s="33">
        <f>LTFP!E86/1000</f>
        <v>0</v>
      </c>
      <c r="D250" s="33">
        <f>LTFP!E117/1000</f>
        <v>0</v>
      </c>
      <c r="E250" s="129">
        <f>LTFP!E24/1000</f>
        <v>0</v>
      </c>
    </row>
    <row r="251" spans="1:21" x14ac:dyDescent="0.2">
      <c r="A251" s="1871" t="s">
        <v>4938</v>
      </c>
      <c r="B251" s="116">
        <f>SUM(B245:B250)</f>
        <v>53921.500000000007</v>
      </c>
      <c r="C251" s="116">
        <f>SUM(C245:C250)</f>
        <v>11269.6</v>
      </c>
      <c r="D251" s="116">
        <f t="shared" ref="D251:E251" si="192">SUM(D245:D250)</f>
        <v>17187.7</v>
      </c>
      <c r="E251" s="1784">
        <f t="shared" si="192"/>
        <v>82378.799999999988</v>
      </c>
    </row>
    <row r="252" spans="1:21" x14ac:dyDescent="0.2">
      <c r="A252" s="1871"/>
      <c r="B252" s="33"/>
      <c r="C252" s="33"/>
      <c r="D252" s="33"/>
      <c r="E252" s="129"/>
    </row>
    <row r="253" spans="1:21" s="1" customFormat="1" x14ac:dyDescent="0.2">
      <c r="A253" s="1871" t="s">
        <v>4939</v>
      </c>
      <c r="B253" s="116">
        <f>B242-B251</f>
        <v>11225.19999999999</v>
      </c>
      <c r="C253" s="116">
        <f t="shared" ref="C253:E253" si="193">C242-C251</f>
        <v>1563.3999999999996</v>
      </c>
      <c r="D253" s="116">
        <f t="shared" si="193"/>
        <v>2563.6999999999971</v>
      </c>
      <c r="E253" s="1784">
        <f t="shared" si="193"/>
        <v>15352.300000000017</v>
      </c>
      <c r="R253" s="805"/>
      <c r="S253" s="805"/>
      <c r="T253" s="805"/>
      <c r="U253" s="805"/>
    </row>
    <row r="254" spans="1:21" x14ac:dyDescent="0.2">
      <c r="A254" s="1870"/>
      <c r="B254" s="33"/>
      <c r="C254" s="33"/>
      <c r="D254" s="33"/>
      <c r="E254" s="129"/>
    </row>
    <row r="255" spans="1:21" ht="24.75" thickBot="1" x14ac:dyDescent="0.25">
      <c r="A255" s="1872" t="s">
        <v>4940</v>
      </c>
      <c r="B255" s="1873">
        <f>B253-B238</f>
        <v>-363.50000000001091</v>
      </c>
      <c r="C255" s="1873">
        <f t="shared" ref="C255:E255" si="194">C253-C238</f>
        <v>643.99999999999966</v>
      </c>
      <c r="D255" s="1873">
        <f t="shared" si="194"/>
        <v>518.19999999999709</v>
      </c>
      <c r="E255" s="1874">
        <f t="shared" si="194"/>
        <v>798.7000000000171</v>
      </c>
    </row>
    <row r="256" spans="1:21" x14ac:dyDescent="0.2">
      <c r="A256" s="2025"/>
      <c r="B256" s="1333"/>
      <c r="C256" s="145"/>
      <c r="D256" s="145"/>
      <c r="E256" s="145"/>
    </row>
    <row r="257" spans="1:21" x14ac:dyDescent="0.2">
      <c r="A257" s="2025"/>
      <c r="B257" s="145"/>
      <c r="C257" s="145"/>
      <c r="D257" s="145"/>
      <c r="E257" s="145"/>
    </row>
    <row r="258" spans="1:21" ht="13.5" thickBot="1" x14ac:dyDescent="0.25">
      <c r="A258" s="2025"/>
      <c r="B258" s="145"/>
      <c r="C258" s="145"/>
      <c r="D258" s="145"/>
      <c r="E258" s="145"/>
    </row>
    <row r="259" spans="1:21" ht="13.5" thickTop="1" x14ac:dyDescent="0.2">
      <c r="A259" s="2027" t="s">
        <v>5481</v>
      </c>
      <c r="B259" s="2026" t="str">
        <f>Q4</f>
        <v>2014/15</v>
      </c>
      <c r="C259" s="2028" t="s">
        <v>5403</v>
      </c>
      <c r="D259" s="2028" t="s">
        <v>1189</v>
      </c>
      <c r="F259" s="3014"/>
      <c r="G259" s="3014"/>
    </row>
    <row r="260" spans="1:21" s="9" customFormat="1" x14ac:dyDescent="0.2">
      <c r="A260" s="754"/>
      <c r="B260" s="130"/>
      <c r="C260" s="130"/>
      <c r="D260" s="130"/>
      <c r="R260" s="2164"/>
      <c r="S260" s="2164"/>
      <c r="T260" s="2164"/>
      <c r="U260" s="2164"/>
    </row>
    <row r="261" spans="1:21" s="9" customFormat="1" x14ac:dyDescent="0.2">
      <c r="A261" s="756" t="s">
        <v>2335</v>
      </c>
      <c r="B261" s="130"/>
      <c r="C261" s="130"/>
      <c r="D261" s="130"/>
      <c r="R261" s="2164"/>
      <c r="S261" s="2164"/>
      <c r="T261" s="2164"/>
      <c r="U261" s="2164"/>
    </row>
    <row r="262" spans="1:21" s="9" customFormat="1" x14ac:dyDescent="0.2">
      <c r="A262" s="818" t="s">
        <v>1816</v>
      </c>
      <c r="B262" s="971">
        <f>GM!C599+GM!C608+GM!C609+GM!C610+GM!C604+GM!C605</f>
        <v>12575400</v>
      </c>
      <c r="C262" s="971">
        <v>12576</v>
      </c>
      <c r="D262" s="971">
        <f>B262/1000-C262</f>
        <v>-0.6000000000003638</v>
      </c>
      <c r="R262" s="2164"/>
      <c r="S262" s="2164"/>
      <c r="T262" s="2164"/>
      <c r="U262" s="2164"/>
    </row>
    <row r="263" spans="1:21" s="9" customFormat="1" x14ac:dyDescent="0.2">
      <c r="A263" s="818" t="s">
        <v>5404</v>
      </c>
      <c r="B263" s="971">
        <f>GM!C601+GM!C612</f>
        <v>1386700</v>
      </c>
      <c r="C263" s="971">
        <v>1387</v>
      </c>
      <c r="D263" s="971">
        <f t="shared" ref="D263:D264" si="195">B263/1000-C263</f>
        <v>-0.29999999999995453</v>
      </c>
      <c r="R263" s="2164"/>
      <c r="S263" s="2164"/>
      <c r="T263" s="2164"/>
      <c r="U263" s="2164"/>
    </row>
    <row r="264" spans="1:21" s="9" customFormat="1" x14ac:dyDescent="0.2">
      <c r="A264" s="818" t="s">
        <v>1817</v>
      </c>
      <c r="B264" s="971">
        <f>GM!C600+GM!C611</f>
        <v>3644400</v>
      </c>
      <c r="C264" s="971">
        <v>3381</v>
      </c>
      <c r="D264" s="971">
        <f t="shared" si="195"/>
        <v>263.40000000000009</v>
      </c>
      <c r="R264" s="2164"/>
      <c r="S264" s="2164"/>
      <c r="T264" s="2164"/>
      <c r="U264" s="2164"/>
    </row>
    <row r="265" spans="1:21" s="8" customFormat="1" x14ac:dyDescent="0.2">
      <c r="A265" s="756" t="s">
        <v>764</v>
      </c>
      <c r="B265" s="2029">
        <f t="shared" ref="B265" si="196">SUM(B262:B264)</f>
        <v>17606500</v>
      </c>
      <c r="C265" s="2029">
        <f>SUM(C262:C264)</f>
        <v>17344</v>
      </c>
      <c r="D265" s="2029">
        <f t="shared" ref="D265" si="197">SUM(D262:D264)</f>
        <v>262.49999999999977</v>
      </c>
      <c r="R265" s="746"/>
      <c r="S265" s="746"/>
      <c r="T265" s="746"/>
      <c r="U265" s="746"/>
    </row>
    <row r="266" spans="1:21" s="9" customFormat="1" x14ac:dyDescent="0.2">
      <c r="A266" s="469"/>
      <c r="B266" s="971"/>
      <c r="C266" s="971"/>
      <c r="D266" s="971"/>
      <c r="R266" s="2164"/>
      <c r="S266" s="2164"/>
      <c r="T266" s="2164"/>
      <c r="U266" s="2164"/>
    </row>
    <row r="267" spans="1:21" x14ac:dyDescent="0.2">
      <c r="A267" s="756" t="s">
        <v>60</v>
      </c>
      <c r="B267" s="1061"/>
      <c r="C267" s="1061"/>
      <c r="D267" s="1061"/>
    </row>
    <row r="268" spans="1:21" s="779" customFormat="1" x14ac:dyDescent="0.2">
      <c r="A268" s="818" t="s">
        <v>3600</v>
      </c>
      <c r="B268" s="1060">
        <f>CIV!C1969+CIV!C1971+CIV!C1972+CIV!C1970</f>
        <v>5664200</v>
      </c>
      <c r="C268" s="1060">
        <v>5662</v>
      </c>
      <c r="D268" s="971">
        <f t="shared" ref="D268:D272" si="198">B268/1000-C268</f>
        <v>2.1999999999998181</v>
      </c>
      <c r="R268" s="1039"/>
      <c r="S268" s="1039"/>
      <c r="T268" s="1039"/>
      <c r="U268" s="1039"/>
    </row>
    <row r="269" spans="1:21" s="779" customFormat="1" x14ac:dyDescent="0.2">
      <c r="A269" s="818" t="s">
        <v>410</v>
      </c>
      <c r="B269" s="1060">
        <f>CIV!C956</f>
        <v>284000</v>
      </c>
      <c r="C269" s="1060">
        <v>284</v>
      </c>
      <c r="D269" s="971">
        <f t="shared" si="198"/>
        <v>0</v>
      </c>
      <c r="R269" s="1039"/>
      <c r="S269" s="1039"/>
      <c r="T269" s="1039"/>
      <c r="U269" s="1039"/>
    </row>
    <row r="270" spans="1:21" s="779" customFormat="1" x14ac:dyDescent="0.2">
      <c r="A270" s="818" t="s">
        <v>1764</v>
      </c>
      <c r="B270" s="1060">
        <f>'W&amp;W'!C171+'W&amp;W'!C172+'W&amp;W'!C173+'W&amp;W'!C174</f>
        <v>3092600</v>
      </c>
      <c r="C270" s="1060">
        <v>3091</v>
      </c>
      <c r="D270" s="971">
        <f t="shared" si="198"/>
        <v>1.5999999999999091</v>
      </c>
      <c r="R270" s="1039"/>
      <c r="S270" s="1039"/>
      <c r="T270" s="1039"/>
      <c r="U270" s="1039"/>
    </row>
    <row r="271" spans="1:21" s="779" customFormat="1" x14ac:dyDescent="0.2">
      <c r="A271" s="818" t="s">
        <v>3354</v>
      </c>
      <c r="B271" s="1060">
        <f>'W&amp;W'!C367+'W&amp;W'!C368+'W&amp;W'!C369+'W&amp;W'!C370</f>
        <v>13005500</v>
      </c>
      <c r="C271" s="1060">
        <v>12776</v>
      </c>
      <c r="D271" s="971">
        <f t="shared" si="198"/>
        <v>229.5</v>
      </c>
      <c r="R271" s="1039"/>
      <c r="S271" s="1039"/>
      <c r="T271" s="1039"/>
      <c r="U271" s="1039"/>
    </row>
    <row r="272" spans="1:21" s="779" customFormat="1" x14ac:dyDescent="0.2">
      <c r="A272" s="818" t="s">
        <v>5405</v>
      </c>
      <c r="B272" s="1060">
        <f>SUM(CIV!C1778:'CIV'!C1776)</f>
        <v>1701800</v>
      </c>
      <c r="C272" s="1060">
        <v>1669</v>
      </c>
      <c r="D272" s="971">
        <f t="shared" si="198"/>
        <v>32.799999999999955</v>
      </c>
      <c r="R272" s="1039"/>
      <c r="S272" s="1039"/>
      <c r="T272" s="1039"/>
      <c r="U272" s="1039"/>
    </row>
    <row r="273" spans="1:21" x14ac:dyDescent="0.2">
      <c r="A273" s="756" t="s">
        <v>764</v>
      </c>
      <c r="B273" s="2029">
        <f t="shared" ref="B273" si="199">SUM(B268:B272)</f>
        <v>23748100</v>
      </c>
      <c r="C273" s="2029">
        <f>SUM(C268:C272)</f>
        <v>23482</v>
      </c>
      <c r="D273" s="2029">
        <f t="shared" ref="D273" si="200">SUM(D268:D272)</f>
        <v>266.09999999999968</v>
      </c>
    </row>
    <row r="274" spans="1:21" x14ac:dyDescent="0.2">
      <c r="A274" s="754"/>
      <c r="B274" s="1061"/>
      <c r="C274" s="1061"/>
      <c r="D274" s="1061"/>
    </row>
    <row r="275" spans="1:21" x14ac:dyDescent="0.2">
      <c r="A275" s="756" t="s">
        <v>1530</v>
      </c>
      <c r="B275" s="2029">
        <f>B273+B265</f>
        <v>41354600</v>
      </c>
      <c r="C275" s="2029">
        <f t="shared" ref="C275:D275" si="201">C273+C265</f>
        <v>40826</v>
      </c>
      <c r="D275" s="2029">
        <f t="shared" si="201"/>
        <v>528.59999999999945</v>
      </c>
      <c r="F275" s="2037"/>
      <c r="G275" s="2037"/>
    </row>
    <row r="276" spans="1:21" x14ac:dyDescent="0.2">
      <c r="A276" s="756"/>
      <c r="B276" s="1050"/>
      <c r="C276" s="1050"/>
      <c r="D276" s="1050"/>
    </row>
    <row r="277" spans="1:21" x14ac:dyDescent="0.2">
      <c r="A277" s="756" t="s">
        <v>836</v>
      </c>
      <c r="B277" s="1050"/>
      <c r="C277" s="1050"/>
      <c r="D277" s="1050"/>
    </row>
    <row r="278" spans="1:21" s="779" customFormat="1" x14ac:dyDescent="0.2">
      <c r="A278" s="818" t="s">
        <v>1764</v>
      </c>
      <c r="B278" s="971">
        <f>'W&amp;W'!C44</f>
        <v>6432000</v>
      </c>
      <c r="C278" s="971">
        <v>6132</v>
      </c>
      <c r="D278" s="971">
        <f t="shared" ref="D278:D280" si="202">B278/1000-C278</f>
        <v>300</v>
      </c>
      <c r="R278" s="1039"/>
      <c r="S278" s="1039"/>
      <c r="T278" s="1039"/>
      <c r="U278" s="1039"/>
    </row>
    <row r="279" spans="1:21" s="779" customFormat="1" x14ac:dyDescent="0.2">
      <c r="A279" s="818" t="s">
        <v>2241</v>
      </c>
      <c r="B279" s="971">
        <f>'W&amp;W'!C107</f>
        <v>1038400</v>
      </c>
      <c r="C279" s="971">
        <v>1044</v>
      </c>
      <c r="D279" s="971">
        <f t="shared" si="202"/>
        <v>-5.5999999999999091</v>
      </c>
      <c r="R279" s="1039"/>
      <c r="S279" s="1039"/>
      <c r="T279" s="1039"/>
      <c r="U279" s="1039"/>
    </row>
    <row r="280" spans="1:21" s="779" customFormat="1" x14ac:dyDescent="0.2">
      <c r="A280" s="818" t="s">
        <v>5441</v>
      </c>
      <c r="B280" s="971">
        <f>CIV!C1780+CIV!C1781+CIV!C1782</f>
        <v>1956100</v>
      </c>
      <c r="C280" s="971">
        <v>1956</v>
      </c>
      <c r="D280" s="971">
        <f t="shared" si="202"/>
        <v>9.9999999999909051E-2</v>
      </c>
      <c r="R280" s="1039"/>
      <c r="S280" s="1039"/>
      <c r="T280" s="1039"/>
      <c r="U280" s="1039"/>
    </row>
    <row r="281" spans="1:21" x14ac:dyDescent="0.2">
      <c r="A281" s="756" t="s">
        <v>764</v>
      </c>
      <c r="B281" s="2029">
        <f>SUM(B278:B280)</f>
        <v>9426500</v>
      </c>
      <c r="C281" s="2029">
        <f>SUM(C278:C280)</f>
        <v>9132</v>
      </c>
      <c r="D281" s="2029">
        <f t="shared" ref="D281" si="203">SUM(D278:D280)</f>
        <v>294.5</v>
      </c>
    </row>
    <row r="282" spans="1:21" s="779" customFormat="1" x14ac:dyDescent="0.2">
      <c r="A282" s="818"/>
      <c r="B282" s="971"/>
      <c r="C282" s="971"/>
      <c r="D282" s="971"/>
      <c r="R282" s="1039"/>
      <c r="S282" s="1039"/>
      <c r="T282" s="1039"/>
      <c r="U282" s="1039"/>
    </row>
    <row r="283" spans="1:21" s="779" customFormat="1" x14ac:dyDescent="0.2">
      <c r="A283" s="818" t="s">
        <v>5442</v>
      </c>
      <c r="B283" s="971">
        <f>DEH!C52+DEH!C89</f>
        <v>1481700</v>
      </c>
      <c r="C283" s="971">
        <v>1515</v>
      </c>
      <c r="D283" s="971">
        <f t="shared" ref="D283:D284" si="204">B283/1000-C283</f>
        <v>-33.299999999999955</v>
      </c>
      <c r="R283" s="1039"/>
      <c r="S283" s="1039"/>
      <c r="T283" s="1039"/>
      <c r="U283" s="1039"/>
    </row>
    <row r="284" spans="1:21" s="779" customFormat="1" x14ac:dyDescent="0.2">
      <c r="A284" s="818" t="s">
        <v>889</v>
      </c>
      <c r="B284" s="971">
        <f>CIV!C1089+CIV!C1090</f>
        <v>190100</v>
      </c>
      <c r="C284" s="971">
        <v>192</v>
      </c>
      <c r="D284" s="971">
        <f t="shared" si="204"/>
        <v>-1.9000000000000057</v>
      </c>
      <c r="R284" s="1039"/>
      <c r="S284" s="1039"/>
      <c r="T284" s="1039"/>
      <c r="U284" s="1039"/>
    </row>
    <row r="285" spans="1:21" x14ac:dyDescent="0.2">
      <c r="A285" s="756" t="s">
        <v>764</v>
      </c>
      <c r="B285" s="2029">
        <f>SUM(B282:B284)</f>
        <v>1671800</v>
      </c>
      <c r="C285" s="2029">
        <f>SUM(C282:C284)</f>
        <v>1707</v>
      </c>
      <c r="D285" s="2029">
        <f t="shared" ref="D285" si="205">SUM(D282:D284)</f>
        <v>-35.19999999999996</v>
      </c>
    </row>
    <row r="286" spans="1:21" s="779" customFormat="1" x14ac:dyDescent="0.2">
      <c r="A286" s="818"/>
      <c r="B286" s="971"/>
      <c r="C286" s="971"/>
      <c r="D286" s="971"/>
      <c r="R286" s="1039"/>
      <c r="S286" s="1039"/>
      <c r="T286" s="1039"/>
      <c r="U286" s="1039"/>
    </row>
    <row r="287" spans="1:21" s="779" customFormat="1" x14ac:dyDescent="0.2">
      <c r="A287" s="818" t="s">
        <v>5443</v>
      </c>
      <c r="B287" s="971">
        <f>GM!C1078+GM!C1079+GM!C1081+GM!C1090+GM!C1091+GM!C1092+GM!C1093+GM!C1095+GM!C1096+GM!C1097+GM!C1098+GM!C1099+GM!C1100</f>
        <v>4423400</v>
      </c>
      <c r="C287" s="971">
        <v>4423</v>
      </c>
      <c r="D287" s="971">
        <f t="shared" ref="D287:D293" si="206">B287/1000-C287</f>
        <v>0.3999999999996362</v>
      </c>
      <c r="R287" s="1039"/>
      <c r="S287" s="1039"/>
      <c r="T287" s="1039"/>
      <c r="U287" s="1039"/>
    </row>
    <row r="288" spans="1:21" s="779" customFormat="1" x14ac:dyDescent="0.2">
      <c r="A288" s="818" t="s">
        <v>1236</v>
      </c>
      <c r="B288" s="971">
        <f>CIV!C1472</f>
        <v>403200</v>
      </c>
      <c r="C288" s="971">
        <v>403</v>
      </c>
      <c r="D288" s="971">
        <f t="shared" si="206"/>
        <v>0.19999999999998863</v>
      </c>
      <c r="R288" s="1039"/>
      <c r="S288" s="1039"/>
      <c r="T288" s="1039"/>
      <c r="U288" s="1039"/>
    </row>
    <row r="289" spans="1:21" s="779" customFormat="1" x14ac:dyDescent="0.2">
      <c r="A289" s="818" t="s">
        <v>5444</v>
      </c>
      <c r="B289" s="971">
        <f>CIV!C1163+CIV!C1164+CIV!C1165</f>
        <v>444000</v>
      </c>
      <c r="C289" s="971">
        <v>443</v>
      </c>
      <c r="D289" s="971">
        <f t="shared" si="206"/>
        <v>1</v>
      </c>
      <c r="R289" s="1039"/>
      <c r="S289" s="1039"/>
      <c r="T289" s="1039"/>
      <c r="U289" s="1039"/>
    </row>
    <row r="290" spans="1:21" s="779" customFormat="1" x14ac:dyDescent="0.2">
      <c r="A290" s="818" t="s">
        <v>5445</v>
      </c>
      <c r="B290" s="971">
        <f>+CIV!C1585+CIV!C1583</f>
        <v>200200</v>
      </c>
      <c r="C290" s="971">
        <v>292</v>
      </c>
      <c r="D290" s="971">
        <f t="shared" si="206"/>
        <v>-91.800000000000011</v>
      </c>
      <c r="R290" s="1039"/>
      <c r="S290" s="1039"/>
      <c r="T290" s="1039"/>
      <c r="U290" s="1039"/>
    </row>
    <row r="291" spans="1:21" s="779" customFormat="1" x14ac:dyDescent="0.2">
      <c r="A291" s="818" t="s">
        <v>5446</v>
      </c>
      <c r="B291" s="971">
        <f>CIV!C1712</f>
        <v>218200</v>
      </c>
      <c r="C291" s="971">
        <v>218</v>
      </c>
      <c r="D291" s="971">
        <f t="shared" si="206"/>
        <v>0.19999999999998863</v>
      </c>
      <c r="R291" s="1039"/>
      <c r="S291" s="1039"/>
      <c r="T291" s="1039"/>
      <c r="U291" s="1039"/>
    </row>
    <row r="292" spans="1:21" s="779" customFormat="1" x14ac:dyDescent="0.2">
      <c r="A292" s="818" t="s">
        <v>389</v>
      </c>
      <c r="B292" s="971">
        <f>SP!C804</f>
        <v>354100</v>
      </c>
      <c r="C292" s="971">
        <v>354</v>
      </c>
      <c r="D292" s="971">
        <f t="shared" si="206"/>
        <v>0.10000000000002274</v>
      </c>
      <c r="R292" s="1039"/>
      <c r="S292" s="1039"/>
      <c r="T292" s="1039"/>
      <c r="U292" s="1039"/>
    </row>
    <row r="293" spans="1:21" s="779" customFormat="1" x14ac:dyDescent="0.2">
      <c r="A293" s="813" t="s">
        <v>1771</v>
      </c>
      <c r="B293" s="971"/>
      <c r="C293" s="971">
        <v>1338</v>
      </c>
      <c r="D293" s="971">
        <f t="shared" si="206"/>
        <v>-1338</v>
      </c>
      <c r="R293" s="1039"/>
      <c r="S293" s="1039"/>
      <c r="T293" s="1039"/>
      <c r="U293" s="1039"/>
    </row>
    <row r="294" spans="1:21" x14ac:dyDescent="0.2">
      <c r="A294" s="2033" t="s">
        <v>764</v>
      </c>
      <c r="B294" s="2029">
        <f>SUM(B287:B293)</f>
        <v>6043100</v>
      </c>
      <c r="C294" s="2029">
        <f t="shared" ref="C294:D294" si="207">SUM(C287:C293)</f>
        <v>7471</v>
      </c>
      <c r="D294" s="2029">
        <f t="shared" si="207"/>
        <v>-1427.9000000000003</v>
      </c>
    </row>
    <row r="295" spans="1:21" s="779" customFormat="1" x14ac:dyDescent="0.2">
      <c r="A295" s="813"/>
      <c r="B295" s="971"/>
      <c r="C295" s="971"/>
      <c r="D295" s="971"/>
      <c r="R295" s="1039"/>
      <c r="S295" s="1039"/>
      <c r="T295" s="1039"/>
      <c r="U295" s="1039"/>
    </row>
    <row r="296" spans="1:21" s="1" customFormat="1" x14ac:dyDescent="0.2">
      <c r="A296" s="2033" t="s">
        <v>5447</v>
      </c>
      <c r="B296" s="1050">
        <f>B294+B285+B281</f>
        <v>17141400</v>
      </c>
      <c r="C296" s="1050">
        <f t="shared" ref="C296:D296" si="208">C294+C285+C281</f>
        <v>18310</v>
      </c>
      <c r="D296" s="1050">
        <f t="shared" si="208"/>
        <v>-1168.6000000000004</v>
      </c>
      <c r="F296" s="25"/>
      <c r="G296" s="40"/>
      <c r="R296" s="805"/>
      <c r="S296" s="805"/>
      <c r="T296" s="805"/>
      <c r="U296" s="805"/>
    </row>
    <row r="297" spans="1:21" s="779" customFormat="1" x14ac:dyDescent="0.2">
      <c r="A297" s="813"/>
      <c r="B297" s="971"/>
      <c r="C297" s="971"/>
      <c r="D297" s="971"/>
      <c r="R297" s="1039"/>
      <c r="S297" s="1039"/>
      <c r="T297" s="1039"/>
      <c r="U297" s="1039"/>
    </row>
    <row r="298" spans="1:21" s="779" customFormat="1" x14ac:dyDescent="0.2">
      <c r="A298" s="2033" t="s">
        <v>5448</v>
      </c>
      <c r="B298" s="971"/>
      <c r="C298" s="971"/>
      <c r="D298" s="971"/>
      <c r="R298" s="1039"/>
      <c r="S298" s="1039"/>
      <c r="T298" s="1039"/>
      <c r="U298" s="1039"/>
    </row>
    <row r="299" spans="1:21" s="779" customFormat="1" x14ac:dyDescent="0.2">
      <c r="A299" s="813" t="s">
        <v>1920</v>
      </c>
      <c r="B299" s="971">
        <f>SUM(GM!C613:C619)</f>
        <v>85900</v>
      </c>
      <c r="C299" s="971">
        <v>85</v>
      </c>
      <c r="D299" s="971">
        <f t="shared" ref="D299:D301" si="209">B299/1000-C299</f>
        <v>0.90000000000000568</v>
      </c>
      <c r="R299" s="1039"/>
      <c r="S299" s="1039"/>
      <c r="T299" s="1039"/>
      <c r="U299" s="1039"/>
    </row>
    <row r="300" spans="1:21" s="779" customFormat="1" x14ac:dyDescent="0.2">
      <c r="A300" s="813" t="s">
        <v>5449</v>
      </c>
      <c r="B300" s="971">
        <f>SP!C62+SUM(CIV!C1030:C1032)+CIV!C1587+CIV!C1976+SUM(GM!C624:C626)+GM!C1088+'W&amp;W'!C47+'W&amp;W'!C110+CIV!C1788+SUM(GM!C907:C909)+CIV!C1525+GM!C664</f>
        <v>2483500</v>
      </c>
      <c r="C300" s="971">
        <v>2444</v>
      </c>
      <c r="D300" s="971">
        <f t="shared" si="209"/>
        <v>39.5</v>
      </c>
      <c r="R300" s="1039"/>
      <c r="S300" s="1039"/>
      <c r="T300" s="1039"/>
      <c r="U300" s="1039"/>
    </row>
    <row r="301" spans="1:21" s="779" customFormat="1" x14ac:dyDescent="0.2">
      <c r="A301" s="813" t="s">
        <v>4366</v>
      </c>
      <c r="B301" s="971">
        <f>GM!C627</f>
        <v>-30000</v>
      </c>
      <c r="C301" s="971">
        <v>-29</v>
      </c>
      <c r="D301" s="971">
        <f t="shared" si="209"/>
        <v>-1</v>
      </c>
      <c r="R301" s="1039"/>
      <c r="S301" s="1039"/>
      <c r="T301" s="1039"/>
      <c r="U301" s="1039"/>
    </row>
    <row r="302" spans="1:21" x14ac:dyDescent="0.2">
      <c r="A302" s="2033" t="s">
        <v>764</v>
      </c>
      <c r="B302" s="2029">
        <f>SUM(B299:B301)</f>
        <v>2539400</v>
      </c>
      <c r="C302" s="2029">
        <f>SUM(C299:C301)</f>
        <v>2500</v>
      </c>
      <c r="D302" s="2029">
        <f>SUM(D299:D301)</f>
        <v>39.400000000000006</v>
      </c>
      <c r="F302" s="40"/>
      <c r="G302" s="40"/>
    </row>
    <row r="303" spans="1:21" s="779" customFormat="1" x14ac:dyDescent="0.2">
      <c r="A303" s="813"/>
      <c r="B303" s="971"/>
      <c r="C303" s="971"/>
      <c r="D303" s="971"/>
      <c r="R303" s="1039"/>
      <c r="S303" s="1039"/>
      <c r="T303" s="1039"/>
      <c r="U303" s="1039"/>
    </row>
    <row r="304" spans="1:21" s="779" customFormat="1" x14ac:dyDescent="0.2">
      <c r="A304" s="2033" t="s">
        <v>428</v>
      </c>
      <c r="B304" s="971"/>
      <c r="C304" s="971"/>
      <c r="D304" s="971"/>
      <c r="F304" s="25"/>
      <c r="G304" s="25"/>
      <c r="R304" s="1039"/>
      <c r="S304" s="1039"/>
      <c r="T304" s="1039"/>
      <c r="U304" s="1039"/>
    </row>
    <row r="305" spans="1:21" s="779" customFormat="1" x14ac:dyDescent="0.2">
      <c r="A305" s="813" t="s">
        <v>5450</v>
      </c>
      <c r="B305" s="971">
        <f>GM!C911</f>
        <v>460100</v>
      </c>
      <c r="C305" s="971">
        <v>460</v>
      </c>
      <c r="D305" s="971">
        <f t="shared" ref="D305:D317" si="210">B305/1000-C305</f>
        <v>0.10000000000002274</v>
      </c>
      <c r="F305" s="25"/>
      <c r="G305" s="25"/>
      <c r="R305" s="1039"/>
      <c r="S305" s="1039"/>
      <c r="T305" s="1039"/>
      <c r="U305" s="1039"/>
    </row>
    <row r="306" spans="1:21" s="779" customFormat="1" x14ac:dyDescent="0.2">
      <c r="A306" s="813" t="s">
        <v>5451</v>
      </c>
      <c r="B306" s="971">
        <f>SUM(GM!C877:C888)</f>
        <v>1462100</v>
      </c>
      <c r="C306" s="971">
        <v>1462</v>
      </c>
      <c r="D306" s="971">
        <f t="shared" si="210"/>
        <v>9.9999999999909051E-2</v>
      </c>
      <c r="G306" s="25"/>
      <c r="I306" s="25"/>
      <c r="J306" s="25"/>
      <c r="K306" s="25"/>
      <c r="R306" s="1039"/>
      <c r="S306" s="1039"/>
      <c r="T306" s="1039"/>
      <c r="U306" s="1039"/>
    </row>
    <row r="307" spans="1:21" s="779" customFormat="1" x14ac:dyDescent="0.2">
      <c r="A307" s="813" t="s">
        <v>5452</v>
      </c>
      <c r="B307" s="971">
        <f>SUM(GM!C888:C903)+SUM(GM!C911)+SUM(SP!C486:C501)+'W&amp;W'!C187+'W&amp;W'!C396+'W&amp;W'!C397+SP!C685</f>
        <v>1430400</v>
      </c>
      <c r="C307" s="971">
        <v>1429</v>
      </c>
      <c r="D307" s="971">
        <f t="shared" si="210"/>
        <v>1.4000000000000909</v>
      </c>
      <c r="F307" s="25"/>
      <c r="G307" s="25"/>
      <c r="I307" s="25"/>
      <c r="J307" s="25"/>
      <c r="K307" s="25"/>
      <c r="R307" s="1039"/>
      <c r="S307" s="1039"/>
      <c r="T307" s="1039"/>
      <c r="U307" s="1039"/>
    </row>
    <row r="308" spans="1:21" s="779" customFormat="1" x14ac:dyDescent="0.2">
      <c r="A308" s="813" t="s">
        <v>5453</v>
      </c>
      <c r="B308" s="971">
        <f>DEH!C410</f>
        <v>195500</v>
      </c>
      <c r="C308" s="971">
        <v>216</v>
      </c>
      <c r="D308" s="971">
        <f t="shared" si="210"/>
        <v>-20.5</v>
      </c>
      <c r="F308" s="25"/>
      <c r="G308" s="25"/>
      <c r="I308" s="25"/>
      <c r="J308" s="25"/>
      <c r="K308" s="25"/>
      <c r="R308" s="1039"/>
      <c r="S308" s="1039"/>
      <c r="T308" s="1039"/>
      <c r="U308" s="1039"/>
    </row>
    <row r="309" spans="1:21" s="779" customFormat="1" x14ac:dyDescent="0.2">
      <c r="A309" s="813" t="s">
        <v>5454</v>
      </c>
      <c r="B309" s="971">
        <f>DEH!C412+DEH!C411</f>
        <v>60000</v>
      </c>
      <c r="C309" s="971">
        <v>98</v>
      </c>
      <c r="D309" s="971">
        <f t="shared" si="210"/>
        <v>-38</v>
      </c>
      <c r="F309" s="25"/>
      <c r="G309" s="25"/>
      <c r="I309" s="25"/>
      <c r="J309" s="25"/>
      <c r="K309" s="25"/>
      <c r="R309" s="1039"/>
      <c r="S309" s="1039"/>
      <c r="T309" s="1039"/>
      <c r="U309" s="1039"/>
    </row>
    <row r="310" spans="1:21" s="779" customFormat="1" x14ac:dyDescent="0.2">
      <c r="A310" s="813" t="s">
        <v>5459</v>
      </c>
      <c r="B310" s="971">
        <f>GM!C659</f>
        <v>28200</v>
      </c>
      <c r="C310" s="971">
        <v>28</v>
      </c>
      <c r="D310" s="971">
        <f t="shared" ref="D310:D311" si="211">B310/1000-C310</f>
        <v>0.19999999999999929</v>
      </c>
      <c r="F310" s="25"/>
      <c r="G310" s="25"/>
      <c r="I310" s="25"/>
      <c r="J310" s="25"/>
      <c r="K310" s="25"/>
      <c r="R310" s="1039"/>
      <c r="S310" s="1039"/>
      <c r="T310" s="1039"/>
      <c r="U310" s="1039"/>
    </row>
    <row r="311" spans="1:21" s="779" customFormat="1" x14ac:dyDescent="0.2">
      <c r="A311" s="813" t="s">
        <v>5458</v>
      </c>
      <c r="B311" s="971">
        <f>DEH!C54</f>
        <v>5100</v>
      </c>
      <c r="C311" s="971">
        <v>10</v>
      </c>
      <c r="D311" s="971">
        <f t="shared" si="211"/>
        <v>-4.9000000000000004</v>
      </c>
      <c r="F311" s="25"/>
      <c r="G311" s="25"/>
      <c r="I311" s="25"/>
      <c r="J311" s="25"/>
      <c r="K311" s="25"/>
      <c r="R311" s="1039"/>
      <c r="S311" s="1039"/>
      <c r="T311" s="1039"/>
      <c r="U311" s="1039"/>
    </row>
    <row r="312" spans="1:21" s="779" customFormat="1" x14ac:dyDescent="0.2">
      <c r="A312" s="813" t="s">
        <v>5455</v>
      </c>
      <c r="B312" s="971">
        <f>GM!C654+GM!C655+GM!C656+GM!C657</f>
        <v>27000</v>
      </c>
      <c r="C312" s="971">
        <v>44</v>
      </c>
      <c r="D312" s="971">
        <f t="shared" si="210"/>
        <v>-17</v>
      </c>
      <c r="F312" s="25"/>
      <c r="G312" s="25"/>
      <c r="I312" s="25"/>
      <c r="J312" s="25"/>
      <c r="K312" s="25"/>
      <c r="R312" s="1039"/>
      <c r="S312" s="1039"/>
      <c r="T312" s="1039"/>
      <c r="U312" s="1039"/>
    </row>
    <row r="313" spans="1:21" s="779" customFormat="1" x14ac:dyDescent="0.2">
      <c r="A313" s="813" t="s">
        <v>5456</v>
      </c>
      <c r="B313" s="971">
        <f>CIV!C820</f>
        <v>178300</v>
      </c>
      <c r="C313" s="971">
        <v>227</v>
      </c>
      <c r="D313" s="971">
        <f t="shared" si="210"/>
        <v>-48.699999999999989</v>
      </c>
      <c r="F313" s="25"/>
      <c r="G313" s="25"/>
      <c r="I313" s="25"/>
      <c r="J313" s="25"/>
      <c r="K313" s="25"/>
      <c r="R313" s="1039"/>
      <c r="S313" s="1039"/>
      <c r="T313" s="1039"/>
      <c r="U313" s="1039"/>
    </row>
    <row r="314" spans="1:21" s="779" customFormat="1" x14ac:dyDescent="0.2">
      <c r="A314" s="2034" t="s">
        <v>5465</v>
      </c>
      <c r="B314" s="971"/>
      <c r="C314" s="971">
        <v>62</v>
      </c>
      <c r="D314" s="971">
        <f t="shared" si="210"/>
        <v>-62</v>
      </c>
      <c r="F314" s="25"/>
      <c r="G314" s="25"/>
      <c r="I314" s="25"/>
      <c r="J314" s="25"/>
      <c r="K314" s="25"/>
      <c r="R314" s="1039"/>
      <c r="S314" s="1039"/>
      <c r="T314" s="1039"/>
      <c r="U314" s="1039"/>
    </row>
    <row r="315" spans="1:21" s="779" customFormat="1" x14ac:dyDescent="0.2">
      <c r="A315" s="2034" t="s">
        <v>5466</v>
      </c>
      <c r="B315" s="971">
        <f>CIV!C1719</f>
        <v>223900</v>
      </c>
      <c r="C315" s="971">
        <v>224</v>
      </c>
      <c r="D315" s="971">
        <f t="shared" si="210"/>
        <v>-9.9999999999994316E-2</v>
      </c>
      <c r="F315" s="25"/>
      <c r="G315" s="25"/>
      <c r="I315" s="25"/>
      <c r="R315" s="1039"/>
      <c r="S315" s="1039"/>
      <c r="T315" s="1039"/>
      <c r="U315" s="1039"/>
    </row>
    <row r="316" spans="1:21" s="779" customFormat="1" x14ac:dyDescent="0.2">
      <c r="A316" s="813" t="s">
        <v>5457</v>
      </c>
      <c r="B316" s="971">
        <f>CIV!C1777</f>
        <v>79700</v>
      </c>
      <c r="C316" s="971">
        <v>80</v>
      </c>
      <c r="D316" s="971">
        <f t="shared" si="210"/>
        <v>-0.29999999999999716</v>
      </c>
      <c r="F316" s="25"/>
      <c r="G316" s="25"/>
      <c r="I316" s="25"/>
      <c r="R316" s="1039"/>
      <c r="S316" s="1039"/>
      <c r="T316" s="1039"/>
      <c r="U316" s="1039"/>
    </row>
    <row r="317" spans="1:21" s="779" customFormat="1" x14ac:dyDescent="0.2">
      <c r="A317" s="813" t="s">
        <v>1771</v>
      </c>
      <c r="B317" s="971"/>
      <c r="C317" s="971">
        <v>136</v>
      </c>
      <c r="D317" s="971">
        <f t="shared" si="210"/>
        <v>-136</v>
      </c>
      <c r="F317" s="25"/>
      <c r="G317" s="25"/>
      <c r="I317" s="25"/>
      <c r="R317" s="1039"/>
      <c r="S317" s="1039"/>
      <c r="T317" s="1039"/>
      <c r="U317" s="1039"/>
    </row>
    <row r="318" spans="1:21" s="779" customFormat="1" x14ac:dyDescent="0.2">
      <c r="A318" s="813"/>
      <c r="B318" s="2029">
        <f t="shared" ref="B318:C318" si="212">SUM(B305:B317)</f>
        <v>4150300</v>
      </c>
      <c r="C318" s="2029">
        <f t="shared" si="212"/>
        <v>4476</v>
      </c>
      <c r="D318" s="2029">
        <f>SUM(D305:D317)</f>
        <v>-325.69999999999993</v>
      </c>
      <c r="F318" s="2036"/>
      <c r="G318" s="2036"/>
      <c r="I318" s="25"/>
      <c r="R318" s="1039"/>
      <c r="S318" s="1039"/>
      <c r="T318" s="1039"/>
      <c r="U318" s="1039"/>
    </row>
    <row r="319" spans="1:21" x14ac:dyDescent="0.2">
      <c r="A319" s="349"/>
      <c r="B319" s="1470"/>
      <c r="C319" s="1470"/>
      <c r="D319" s="1470"/>
      <c r="I319" s="25"/>
    </row>
    <row r="320" spans="1:21" x14ac:dyDescent="0.2">
      <c r="A320" s="2033" t="s">
        <v>2880</v>
      </c>
      <c r="B320" s="1470"/>
      <c r="C320" s="1470"/>
      <c r="D320" s="1470"/>
      <c r="I320" s="25"/>
    </row>
    <row r="321" spans="1:21" x14ac:dyDescent="0.2">
      <c r="A321" s="813" t="s">
        <v>1507</v>
      </c>
      <c r="B321" s="1060">
        <f>GM!C621</f>
        <v>3717800</v>
      </c>
      <c r="C321" s="2030">
        <v>3718</v>
      </c>
      <c r="D321" s="971">
        <f t="shared" ref="D321:D322" si="213">B321/1000-C321</f>
        <v>-0.1999999999998181</v>
      </c>
      <c r="I321" s="25"/>
    </row>
    <row r="322" spans="1:21" x14ac:dyDescent="0.2">
      <c r="A322" s="813" t="s">
        <v>5434</v>
      </c>
      <c r="B322" s="1060">
        <f>GM!C622</f>
        <v>339400</v>
      </c>
      <c r="C322" s="2030">
        <v>340</v>
      </c>
      <c r="D322" s="971">
        <f t="shared" si="213"/>
        <v>-0.60000000000002274</v>
      </c>
    </row>
    <row r="323" spans="1:21" s="779" customFormat="1" x14ac:dyDescent="0.2">
      <c r="A323" s="818" t="s">
        <v>5415</v>
      </c>
      <c r="B323" s="1060"/>
      <c r="C323" s="2030"/>
      <c r="D323" s="971"/>
      <c r="R323" s="1039"/>
      <c r="S323" s="1039"/>
      <c r="T323" s="1039"/>
      <c r="U323" s="1039"/>
    </row>
    <row r="324" spans="1:21" s="779" customFormat="1" x14ac:dyDescent="0.2">
      <c r="A324" s="818" t="s">
        <v>5416</v>
      </c>
      <c r="B324" s="1060">
        <f>'W&amp;W'!C182</f>
        <v>152600</v>
      </c>
      <c r="C324" s="2030">
        <v>153</v>
      </c>
      <c r="D324" s="971">
        <f t="shared" ref="D324:D335" si="214">B324/1000-C324</f>
        <v>-0.40000000000000568</v>
      </c>
      <c r="R324" s="1039"/>
      <c r="S324" s="1039"/>
      <c r="T324" s="1039"/>
      <c r="U324" s="1039"/>
    </row>
    <row r="325" spans="1:21" s="779" customFormat="1" x14ac:dyDescent="0.2">
      <c r="A325" s="818" t="s">
        <v>5417</v>
      </c>
      <c r="B325" s="1060">
        <f>'W&amp;W'!C381</f>
        <v>151700</v>
      </c>
      <c r="C325" s="2030">
        <v>152</v>
      </c>
      <c r="D325" s="971">
        <f t="shared" si="214"/>
        <v>-0.30000000000001137</v>
      </c>
      <c r="R325" s="1039"/>
      <c r="S325" s="1039"/>
      <c r="T325" s="1039"/>
      <c r="U325" s="1039"/>
    </row>
    <row r="326" spans="1:21" s="779" customFormat="1" x14ac:dyDescent="0.2">
      <c r="A326" s="818" t="s">
        <v>5418</v>
      </c>
      <c r="B326" s="1060">
        <f>CIV!C1974</f>
        <v>151800</v>
      </c>
      <c r="C326" s="2030">
        <v>152</v>
      </c>
      <c r="D326" s="971">
        <f t="shared" si="214"/>
        <v>-0.19999999999998863</v>
      </c>
      <c r="R326" s="1039"/>
      <c r="S326" s="1039"/>
      <c r="T326" s="1039"/>
      <c r="U326" s="1039"/>
    </row>
    <row r="327" spans="1:21" s="779" customFormat="1" x14ac:dyDescent="0.2">
      <c r="A327" s="818" t="s">
        <v>5419</v>
      </c>
      <c r="B327" s="1060">
        <f>CIV!C1653</f>
        <v>96900</v>
      </c>
      <c r="C327" s="2030">
        <v>97</v>
      </c>
      <c r="D327" s="971">
        <f t="shared" si="214"/>
        <v>-9.9999999999994316E-2</v>
      </c>
      <c r="R327" s="1039"/>
      <c r="S327" s="1039"/>
      <c r="T327" s="1039"/>
      <c r="U327" s="1039"/>
    </row>
    <row r="328" spans="1:21" s="779" customFormat="1" x14ac:dyDescent="0.2">
      <c r="A328" s="818" t="s">
        <v>1936</v>
      </c>
      <c r="B328" s="1060">
        <f>SP!C742+SP!C743</f>
        <v>136300</v>
      </c>
      <c r="C328" s="2030">
        <v>131</v>
      </c>
      <c r="D328" s="971">
        <f t="shared" si="214"/>
        <v>5.3000000000000114</v>
      </c>
      <c r="R328" s="1039"/>
      <c r="S328" s="1039"/>
      <c r="T328" s="1039"/>
      <c r="U328" s="1039"/>
    </row>
    <row r="329" spans="1:21" s="779" customFormat="1" x14ac:dyDescent="0.2">
      <c r="A329" s="818" t="s">
        <v>4533</v>
      </c>
      <c r="B329" s="1060">
        <f>CIV!C1025+CIV!C1093+GM!C1086</f>
        <v>354000</v>
      </c>
      <c r="C329" s="2030">
        <v>354</v>
      </c>
      <c r="D329" s="971">
        <f t="shared" si="214"/>
        <v>0</v>
      </c>
      <c r="R329" s="1039"/>
      <c r="S329" s="1039"/>
      <c r="T329" s="1039"/>
      <c r="U329" s="1039"/>
    </row>
    <row r="330" spans="1:21" s="779" customFormat="1" x14ac:dyDescent="0.2">
      <c r="A330" s="818" t="s">
        <v>541</v>
      </c>
      <c r="B330" s="1060">
        <f>CIV!C1654+CIV!C1655</f>
        <v>85000</v>
      </c>
      <c r="C330" s="2030">
        <v>85</v>
      </c>
      <c r="D330" s="971">
        <f t="shared" si="214"/>
        <v>0</v>
      </c>
      <c r="R330" s="1039"/>
      <c r="S330" s="1039"/>
      <c r="T330" s="1039"/>
      <c r="U330" s="1039"/>
    </row>
    <row r="331" spans="1:21" s="779" customFormat="1" x14ac:dyDescent="0.2">
      <c r="A331" s="818" t="s">
        <v>724</v>
      </c>
      <c r="B331" s="1060">
        <f>CIV!C1092</f>
        <v>98000</v>
      </c>
      <c r="C331" s="2030">
        <v>98</v>
      </c>
      <c r="D331" s="971">
        <f t="shared" si="214"/>
        <v>0</v>
      </c>
      <c r="R331" s="1039"/>
      <c r="S331" s="1039"/>
      <c r="T331" s="1039"/>
      <c r="U331" s="1039"/>
    </row>
    <row r="332" spans="1:21" s="779" customFormat="1" x14ac:dyDescent="0.2">
      <c r="A332" s="818" t="s">
        <v>1771</v>
      </c>
      <c r="B332" s="1060">
        <f>SUM(SP!C170)+SP!C679+SP!C878+CIV!C1392+CIV!C1158</f>
        <v>111900</v>
      </c>
      <c r="C332" s="2030">
        <v>129</v>
      </c>
      <c r="D332" s="971">
        <f t="shared" si="214"/>
        <v>-17.099999999999994</v>
      </c>
      <c r="R332" s="1039"/>
      <c r="S332" s="1039"/>
      <c r="T332" s="1039"/>
      <c r="U332" s="1039"/>
    </row>
    <row r="333" spans="1:21" x14ac:dyDescent="0.2">
      <c r="A333" s="756" t="s">
        <v>764</v>
      </c>
      <c r="B333" s="2029">
        <f t="shared" ref="B333" si="215">SUM(B321:B332)</f>
        <v>5395400</v>
      </c>
      <c r="C333" s="2029">
        <f>SUM(C321:C332)</f>
        <v>5409</v>
      </c>
      <c r="D333" s="2029">
        <f t="shared" ref="D333" si="216">SUM(D321:D332)</f>
        <v>-13.599999999999824</v>
      </c>
      <c r="F333" s="2035"/>
    </row>
    <row r="334" spans="1:21" x14ac:dyDescent="0.2">
      <c r="A334" s="756"/>
      <c r="B334" s="1050"/>
      <c r="C334" s="1050"/>
      <c r="D334" s="1050"/>
    </row>
    <row r="335" spans="1:21" x14ac:dyDescent="0.2">
      <c r="A335" s="756" t="s">
        <v>797</v>
      </c>
      <c r="B335" s="1061"/>
      <c r="C335" s="2030"/>
      <c r="D335" s="971">
        <f t="shared" si="214"/>
        <v>0</v>
      </c>
    </row>
    <row r="336" spans="1:21" s="779" customFormat="1" x14ac:dyDescent="0.2">
      <c r="A336" s="818" t="s">
        <v>5420</v>
      </c>
      <c r="B336" s="1060">
        <f>'Cap Inc'!A25</f>
        <v>350000</v>
      </c>
      <c r="C336" s="2030">
        <v>350</v>
      </c>
      <c r="D336" s="971">
        <f t="shared" ref="D336:D341" si="217">B336/1000-C336</f>
        <v>0</v>
      </c>
      <c r="R336" s="1039"/>
      <c r="S336" s="1039"/>
      <c r="T336" s="1039"/>
      <c r="U336" s="1039"/>
    </row>
    <row r="337" spans="1:21" s="779" customFormat="1" x14ac:dyDescent="0.2">
      <c r="A337" s="818" t="s">
        <v>5421</v>
      </c>
      <c r="B337" s="1060">
        <f>+'Cap Inc'!A67</f>
        <v>281800</v>
      </c>
      <c r="C337" s="2030">
        <v>282</v>
      </c>
      <c r="D337" s="971">
        <f t="shared" si="217"/>
        <v>-0.19999999999998863</v>
      </c>
      <c r="R337" s="1039"/>
      <c r="S337" s="1039"/>
      <c r="T337" s="1039"/>
      <c r="U337" s="1039"/>
    </row>
    <row r="338" spans="1:21" s="779" customFormat="1" x14ac:dyDescent="0.2">
      <c r="A338" s="818" t="s">
        <v>5422</v>
      </c>
      <c r="B338" s="1060">
        <f>'Cap Inc'!A8</f>
        <v>180000</v>
      </c>
      <c r="C338" s="2030">
        <v>180</v>
      </c>
      <c r="D338" s="971">
        <f t="shared" si="217"/>
        <v>0</v>
      </c>
      <c r="R338" s="1039"/>
      <c r="S338" s="1039"/>
      <c r="T338" s="1039"/>
      <c r="U338" s="1039"/>
    </row>
    <row r="339" spans="1:21" s="779" customFormat="1" x14ac:dyDescent="0.2">
      <c r="A339" s="818" t="s">
        <v>5423</v>
      </c>
      <c r="B339" s="1060">
        <f>'Cap Inc'!A82</f>
        <v>154500</v>
      </c>
      <c r="C339" s="2030">
        <v>154</v>
      </c>
      <c r="D339" s="971">
        <f t="shared" si="217"/>
        <v>0.5</v>
      </c>
      <c r="K339" s="25"/>
      <c r="R339" s="1039"/>
      <c r="S339" s="1039"/>
      <c r="T339" s="1039"/>
      <c r="U339" s="1039"/>
    </row>
    <row r="340" spans="1:21" s="779" customFormat="1" x14ac:dyDescent="0.2">
      <c r="A340" s="818" t="s">
        <v>5424</v>
      </c>
      <c r="B340" s="1060">
        <f>'Cap Inc'!A30</f>
        <v>136400</v>
      </c>
      <c r="C340" s="2030">
        <v>136</v>
      </c>
      <c r="D340" s="971">
        <f t="shared" si="217"/>
        <v>0.40000000000000568</v>
      </c>
      <c r="K340" s="25"/>
      <c r="R340" s="1039"/>
      <c r="S340" s="1039"/>
      <c r="T340" s="1039"/>
      <c r="U340" s="1039"/>
    </row>
    <row r="341" spans="1:21" s="779" customFormat="1" x14ac:dyDescent="0.2">
      <c r="A341" s="818" t="s">
        <v>1771</v>
      </c>
      <c r="B341" s="1060">
        <f>'Cap Inc'!A79+'Cap Inc'!A66+'Cap Inc'!A95+'Cap Inc'!A98+'Cap Inc'!A76</f>
        <v>88000</v>
      </c>
      <c r="C341" s="2030">
        <v>88</v>
      </c>
      <c r="D341" s="971">
        <f t="shared" si="217"/>
        <v>0</v>
      </c>
      <c r="K341" s="25"/>
      <c r="R341" s="1039"/>
      <c r="S341" s="1039"/>
      <c r="T341" s="1039"/>
      <c r="U341" s="1039"/>
    </row>
    <row r="342" spans="1:21" x14ac:dyDescent="0.2">
      <c r="A342" s="756" t="s">
        <v>764</v>
      </c>
      <c r="B342" s="2029">
        <f>SUM(B336:B341)</f>
        <v>1190700</v>
      </c>
      <c r="C342" s="2029">
        <f>SUM(C336:C341)</f>
        <v>1190</v>
      </c>
      <c r="D342" s="2029">
        <f>SUM(D335:D341)</f>
        <v>0.70000000000001705</v>
      </c>
      <c r="F342" s="63"/>
      <c r="G342" s="63"/>
      <c r="H342" s="63"/>
      <c r="I342" s="63"/>
      <c r="K342" s="25"/>
    </row>
    <row r="343" spans="1:21" x14ac:dyDescent="0.2">
      <c r="A343" s="754"/>
      <c r="B343" s="1061"/>
      <c r="C343" s="2030"/>
      <c r="D343" s="2031"/>
      <c r="K343" s="25"/>
    </row>
    <row r="344" spans="1:21" x14ac:dyDescent="0.2">
      <c r="A344" s="756" t="s">
        <v>5425</v>
      </c>
      <c r="B344" s="2032"/>
      <c r="C344" s="1470"/>
      <c r="D344" s="1470"/>
    </row>
    <row r="345" spans="1:21" s="779" customFormat="1" x14ac:dyDescent="0.2">
      <c r="A345" s="818" t="s">
        <v>5428</v>
      </c>
      <c r="B345" s="1060">
        <f>GM!C780+GM!C781+GM!C782+CIV!C1286+CIV!C1287+CIV!C1288</f>
        <v>188700</v>
      </c>
      <c r="C345" s="2030">
        <v>333</v>
      </c>
      <c r="D345" s="971">
        <f t="shared" ref="D345:D348" si="218">B345/1000-C345</f>
        <v>-144.30000000000001</v>
      </c>
      <c r="R345" s="1039"/>
      <c r="S345" s="1039"/>
      <c r="T345" s="1039"/>
      <c r="U345" s="1039"/>
    </row>
    <row r="346" spans="1:21" s="779" customFormat="1" x14ac:dyDescent="0.2">
      <c r="A346" s="818" t="s">
        <v>5429</v>
      </c>
      <c r="B346" s="1060">
        <f>CIV!C1028</f>
        <v>238800</v>
      </c>
      <c r="C346" s="2030">
        <v>887</v>
      </c>
      <c r="D346" s="971">
        <f t="shared" si="218"/>
        <v>-648.20000000000005</v>
      </c>
      <c r="R346" s="1039"/>
      <c r="S346" s="1039"/>
      <c r="T346" s="1039"/>
      <c r="U346" s="1039"/>
    </row>
    <row r="347" spans="1:21" s="779" customFormat="1" x14ac:dyDescent="0.2">
      <c r="A347" s="818" t="s">
        <v>3938</v>
      </c>
      <c r="B347" s="1060">
        <f>CIV!C1227+SUM(CIV!C763:C765)</f>
        <v>917500</v>
      </c>
      <c r="C347" s="2030">
        <v>921</v>
      </c>
      <c r="D347" s="971">
        <f t="shared" si="218"/>
        <v>-3.5</v>
      </c>
      <c r="R347" s="1039"/>
      <c r="S347" s="1039"/>
      <c r="T347" s="1039"/>
      <c r="U347" s="1039"/>
    </row>
    <row r="348" spans="1:21" s="779" customFormat="1" x14ac:dyDescent="0.2">
      <c r="A348" s="818" t="s">
        <v>1771</v>
      </c>
      <c r="B348" s="1060" t="e">
        <f>SUM(SP!C392:'SP'!C397)+SUM(GM!C903:'GM'!C905)+CIV!C762+CIV!C1289+CIV!C1290+CIV!#REF!+CIV!C1522+CIV!C1784+CIV!C1023+CIV!C1094</f>
        <v>#REF!</v>
      </c>
      <c r="C348" s="2030">
        <v>611</v>
      </c>
      <c r="D348" s="971" t="e">
        <f t="shared" si="218"/>
        <v>#REF!</v>
      </c>
      <c r="R348" s="1039"/>
      <c r="S348" s="1039"/>
      <c r="T348" s="1039"/>
      <c r="U348" s="1039"/>
    </row>
    <row r="349" spans="1:21" x14ac:dyDescent="0.2">
      <c r="A349" s="756" t="s">
        <v>764</v>
      </c>
      <c r="B349" s="2029" t="e">
        <f>SUM(B345:B348)</f>
        <v>#REF!</v>
      </c>
      <c r="C349" s="2029">
        <f>SUM(C345:C348)</f>
        <v>2752</v>
      </c>
      <c r="D349" s="2029" t="e">
        <f>SUM(D345:D348)</f>
        <v>#REF!</v>
      </c>
      <c r="F349" s="2035"/>
    </row>
    <row r="350" spans="1:21" x14ac:dyDescent="0.2">
      <c r="A350" s="756"/>
      <c r="B350" s="1050"/>
      <c r="C350" s="1050"/>
      <c r="D350" s="1050"/>
    </row>
    <row r="351" spans="1:21" x14ac:dyDescent="0.2">
      <c r="A351" s="756" t="s">
        <v>2290</v>
      </c>
      <c r="B351" s="382"/>
      <c r="C351" s="2030"/>
      <c r="D351" s="971"/>
    </row>
    <row r="352" spans="1:21" s="779" customFormat="1" x14ac:dyDescent="0.2">
      <c r="A352" s="818" t="s">
        <v>5431</v>
      </c>
      <c r="B352" s="971">
        <f>'Sec 94'!C28</f>
        <v>2924000</v>
      </c>
      <c r="C352" s="2030">
        <v>2924</v>
      </c>
      <c r="D352" s="971">
        <f t="shared" ref="D352:D358" si="219">B352/1000-C352</f>
        <v>0</v>
      </c>
      <c r="R352" s="1039"/>
      <c r="S352" s="1039"/>
      <c r="T352" s="1039"/>
      <c r="U352" s="1039"/>
    </row>
    <row r="353" spans="1:21" s="779" customFormat="1" x14ac:dyDescent="0.2">
      <c r="A353" s="818" t="s">
        <v>5426</v>
      </c>
      <c r="B353" s="971">
        <f>'Cash-W'!B18</f>
        <v>454900</v>
      </c>
      <c r="C353" s="2030">
        <v>455</v>
      </c>
      <c r="D353" s="971">
        <f t="shared" si="219"/>
        <v>-0.10000000000002274</v>
      </c>
      <c r="R353" s="1039"/>
      <c r="S353" s="1039"/>
      <c r="T353" s="1039"/>
      <c r="U353" s="1039"/>
    </row>
    <row r="354" spans="1:21" s="779" customFormat="1" x14ac:dyDescent="0.2">
      <c r="A354" s="818" t="s">
        <v>5427</v>
      </c>
      <c r="B354" s="971">
        <f>'Cash-WW'!B18</f>
        <v>1385900</v>
      </c>
      <c r="C354" s="2030">
        <v>1386</v>
      </c>
      <c r="D354" s="971">
        <f t="shared" si="219"/>
        <v>-9.9999999999909051E-2</v>
      </c>
      <c r="R354" s="1039"/>
      <c r="S354" s="1039"/>
      <c r="T354" s="1039"/>
      <c r="U354" s="1039"/>
    </row>
    <row r="355" spans="1:21" s="779" customFormat="1" x14ac:dyDescent="0.2">
      <c r="A355" s="818" t="s">
        <v>5430</v>
      </c>
      <c r="B355" s="971">
        <f>'Cash-Gen'!B55+'Cash-W'!B16+'Cash-WW'!B16</f>
        <v>6718000</v>
      </c>
      <c r="C355" s="2030">
        <v>6718</v>
      </c>
      <c r="D355" s="971">
        <f t="shared" si="219"/>
        <v>0</v>
      </c>
      <c r="R355" s="1039"/>
      <c r="S355" s="1039"/>
      <c r="T355" s="1039"/>
      <c r="U355" s="1039"/>
    </row>
    <row r="356" spans="1:21" s="779" customFormat="1" x14ac:dyDescent="0.2">
      <c r="A356" s="818" t="s">
        <v>5429</v>
      </c>
      <c r="B356" s="971">
        <f>'Cap Inc'!A38+'Cap Inc'!A39</f>
        <v>350000</v>
      </c>
      <c r="C356" s="2030">
        <v>374</v>
      </c>
      <c r="D356" s="971">
        <f t="shared" si="219"/>
        <v>-24</v>
      </c>
      <c r="R356" s="1039"/>
      <c r="S356" s="1039"/>
      <c r="T356" s="1039"/>
      <c r="U356" s="1039"/>
    </row>
    <row r="357" spans="1:21" s="779" customFormat="1" x14ac:dyDescent="0.2">
      <c r="A357" s="818" t="s">
        <v>5432</v>
      </c>
      <c r="B357" s="1060">
        <f>'Cap Inc'!A35+'Cap Inc'!A53+'Cap Inc'!A55+'Cap Inc'!A56+'Cap Inc'!A63+'Cap Inc'!A37</f>
        <v>1992000</v>
      </c>
      <c r="C357" s="2030">
        <v>1835</v>
      </c>
      <c r="D357" s="971">
        <f t="shared" si="219"/>
        <v>157</v>
      </c>
      <c r="R357" s="1039"/>
      <c r="S357" s="1039"/>
      <c r="T357" s="1039"/>
      <c r="U357" s="1039"/>
    </row>
    <row r="358" spans="1:21" s="779" customFormat="1" x14ac:dyDescent="0.2">
      <c r="A358" s="818" t="s">
        <v>5433</v>
      </c>
      <c r="B358" s="1060">
        <f>'Cap Inc'!A11</f>
        <v>600000</v>
      </c>
      <c r="C358" s="2030">
        <v>600</v>
      </c>
      <c r="D358" s="971">
        <f t="shared" si="219"/>
        <v>0</v>
      </c>
      <c r="R358" s="1039"/>
      <c r="S358" s="1039"/>
      <c r="T358" s="1039"/>
      <c r="U358" s="1039"/>
    </row>
    <row r="359" spans="1:21" s="779" customFormat="1" x14ac:dyDescent="0.2">
      <c r="A359" s="818" t="s">
        <v>5482</v>
      </c>
      <c r="B359" s="1060">
        <f>'Cap Inc'!A75++'Cap Inc'!A68+'Cap Inc'!A65+'Cap Inc'!A69</f>
        <v>516000</v>
      </c>
      <c r="C359" s="2030">
        <v>517</v>
      </c>
      <c r="D359" s="971">
        <f>B359/1000-C359</f>
        <v>-1</v>
      </c>
      <c r="R359" s="1039"/>
      <c r="S359" s="1039"/>
      <c r="T359" s="1039"/>
      <c r="U359" s="1039"/>
    </row>
    <row r="360" spans="1:21" s="779" customFormat="1" x14ac:dyDescent="0.2">
      <c r="A360" s="818" t="s">
        <v>5483</v>
      </c>
      <c r="B360" s="1060">
        <f>AE40+AS40</f>
        <v>0</v>
      </c>
      <c r="C360" s="2030">
        <v>0</v>
      </c>
      <c r="D360" s="971">
        <f t="shared" ref="D360" si="220">B360/1000-C360</f>
        <v>0</v>
      </c>
      <c r="R360" s="1039"/>
      <c r="S360" s="1039"/>
      <c r="T360" s="1039"/>
      <c r="U360" s="1039"/>
    </row>
    <row r="361" spans="1:21" x14ac:dyDescent="0.2">
      <c r="A361" s="756" t="s">
        <v>764</v>
      </c>
      <c r="B361" s="2029">
        <f>SUM(B352:B360)</f>
        <v>14940800</v>
      </c>
      <c r="C361" s="2029">
        <f>SUM(C352:C360)</f>
        <v>14809</v>
      </c>
      <c r="D361" s="2029">
        <f>SUM(D351:D360)</f>
        <v>131.80000000000007</v>
      </c>
    </row>
    <row r="362" spans="1:21" x14ac:dyDescent="0.2">
      <c r="A362" s="754"/>
      <c r="B362" s="2031"/>
      <c r="C362" s="2030"/>
      <c r="D362" s="2031"/>
    </row>
    <row r="363" spans="1:21" x14ac:dyDescent="0.2">
      <c r="A363" s="756" t="s">
        <v>5460</v>
      </c>
      <c r="B363" s="2031"/>
      <c r="C363" s="2030"/>
      <c r="D363" s="2031"/>
    </row>
    <row r="364" spans="1:21" x14ac:dyDescent="0.2">
      <c r="A364" s="756" t="s">
        <v>5461</v>
      </c>
      <c r="B364" s="1061" t="e">
        <f>B349+B333</f>
        <v>#REF!</v>
      </c>
      <c r="C364" s="1061">
        <f>C333+C349</f>
        <v>8161</v>
      </c>
      <c r="D364" s="1061" t="e">
        <f>D333+D349</f>
        <v>#REF!</v>
      </c>
      <c r="F364" s="2035"/>
      <c r="G364" s="2035"/>
    </row>
    <row r="365" spans="1:21" x14ac:dyDescent="0.2">
      <c r="A365" s="756" t="s">
        <v>5462</v>
      </c>
      <c r="B365" s="1061">
        <f>B361+B342</f>
        <v>16131500</v>
      </c>
      <c r="C365" s="1061">
        <f>C342+C361</f>
        <v>15999</v>
      </c>
      <c r="D365" s="1061">
        <f>D342+D361</f>
        <v>132.50000000000009</v>
      </c>
      <c r="E365" s="63"/>
      <c r="F365" s="63"/>
      <c r="G365" s="63"/>
      <c r="H365" s="1818"/>
      <c r="I365" s="17"/>
    </row>
    <row r="366" spans="1:21" s="779" customFormat="1" ht="13.5" thickBot="1" x14ac:dyDescent="0.25">
      <c r="A366" s="818"/>
      <c r="B366" s="130"/>
      <c r="C366" s="130"/>
      <c r="D366" s="130"/>
      <c r="F366" s="25"/>
      <c r="G366" s="25"/>
      <c r="R366" s="1039"/>
      <c r="S366" s="1039"/>
      <c r="T366" s="1039"/>
      <c r="U366" s="1039"/>
    </row>
    <row r="367" spans="1:21" s="4" customFormat="1" ht="13.5" thickBot="1" x14ac:dyDescent="0.25">
      <c r="A367" s="2023" t="s">
        <v>5463</v>
      </c>
      <c r="B367" s="2024" t="e">
        <f>B365+B364+B318+B302+B296+B275</f>
        <v>#REF!</v>
      </c>
      <c r="C367" s="2024">
        <f>C365+C364+C318+C302+C296+C275</f>
        <v>90272</v>
      </c>
      <c r="D367" s="2024" t="e">
        <f>D365+D364+D318+D302+D296+D275</f>
        <v>#REF!</v>
      </c>
      <c r="G367" s="44"/>
      <c r="R367" s="402"/>
      <c r="S367" s="402"/>
      <c r="T367" s="402"/>
      <c r="U367" s="402"/>
    </row>
    <row r="368" spans="1:21" ht="10.5" customHeight="1" thickTop="1" x14ac:dyDescent="0.2"/>
  </sheetData>
  <mergeCells count="18">
    <mergeCell ref="A93:A94"/>
    <mergeCell ref="AD3:AQ3"/>
    <mergeCell ref="AR3:BE3"/>
    <mergeCell ref="A1:BE1"/>
    <mergeCell ref="A2:BE2"/>
    <mergeCell ref="P66:AC66"/>
    <mergeCell ref="B93:B94"/>
    <mergeCell ref="C93:C94"/>
    <mergeCell ref="I93:I94"/>
    <mergeCell ref="P93:P94"/>
    <mergeCell ref="B3:O3"/>
    <mergeCell ref="P3:AC3"/>
    <mergeCell ref="B66:O66"/>
    <mergeCell ref="F259:G259"/>
    <mergeCell ref="H93:H94"/>
    <mergeCell ref="Q93:Q94"/>
    <mergeCell ref="R93:R94"/>
    <mergeCell ref="D93:D94"/>
  </mergeCells>
  <phoneticPr fontId="9" type="noConversion"/>
  <printOptions horizontalCentered="1"/>
  <pageMargins left="0.39370078740157483" right="0.39370078740157483" top="0.39370078740157483" bottom="0.39370078740157483" header="0.39370078740157483" footer="0.39370078740157483"/>
  <pageSetup paperSize="8" fitToHeight="2" orientation="landscape" verticalDpi="3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289"/>
  <sheetViews>
    <sheetView topLeftCell="C247" workbookViewId="0">
      <selection activeCell="G288" sqref="G288"/>
    </sheetView>
  </sheetViews>
  <sheetFormatPr defaultRowHeight="12.75" x14ac:dyDescent="0.2"/>
  <cols>
    <col min="1" max="1" width="10.140625" bestFit="1" customWidth="1"/>
    <col min="2" max="2" width="34" customWidth="1"/>
    <col min="3" max="3" width="15.28515625" customWidth="1"/>
    <col min="4" max="4" width="13.85546875" bestFit="1" customWidth="1"/>
    <col min="5" max="5" width="11.85546875" customWidth="1"/>
    <col min="6" max="7" width="12.7109375" bestFit="1" customWidth="1"/>
    <col min="8" max="8" width="11.5703125" customWidth="1"/>
    <col min="9" max="9" width="13.7109375" customWidth="1"/>
    <col min="10" max="10" width="14.85546875" customWidth="1"/>
    <col min="11" max="11" width="14" bestFit="1" customWidth="1"/>
    <col min="12" max="12" width="12.5703125" customWidth="1"/>
    <col min="13" max="13" width="13.42578125" bestFit="1" customWidth="1"/>
    <col min="14" max="14" width="11.42578125" bestFit="1" customWidth="1"/>
    <col min="15" max="15" width="14" bestFit="1" customWidth="1"/>
    <col min="16" max="17" width="10.28515625" bestFit="1" customWidth="1"/>
    <col min="18" max="18" width="10.140625" bestFit="1" customWidth="1"/>
    <col min="19" max="19" width="14" bestFit="1" customWidth="1"/>
    <col min="20" max="20" width="11.42578125" bestFit="1" customWidth="1"/>
    <col min="21" max="21" width="14.7109375" bestFit="1" customWidth="1"/>
  </cols>
  <sheetData>
    <row r="1" spans="1:15" s="63" customFormat="1" x14ac:dyDescent="0.2">
      <c r="A1" s="1315"/>
      <c r="B1" s="1163"/>
      <c r="C1" s="1163"/>
      <c r="D1" s="1316"/>
      <c r="E1" s="1316"/>
      <c r="F1" s="1316"/>
      <c r="G1" s="1316"/>
      <c r="H1" s="1316"/>
      <c r="I1" s="1316"/>
      <c r="J1" s="1316"/>
      <c r="K1" s="1316"/>
      <c r="L1" s="1316"/>
      <c r="M1" s="1316"/>
      <c r="N1" s="1316"/>
      <c r="O1" s="1317"/>
    </row>
    <row r="2" spans="1:15" s="63" customFormat="1" x14ac:dyDescent="0.2">
      <c r="A2" s="3036" t="s">
        <v>3705</v>
      </c>
      <c r="B2" s="3037"/>
      <c r="C2" s="3037"/>
      <c r="D2" s="3037"/>
      <c r="E2" s="3037"/>
      <c r="F2" s="3037"/>
      <c r="G2" s="3037"/>
      <c r="H2" s="3037"/>
      <c r="I2" s="3037"/>
      <c r="J2" s="3037"/>
      <c r="K2" s="3037"/>
      <c r="L2" s="3037"/>
      <c r="M2" s="3037"/>
      <c r="N2" s="3037"/>
      <c r="O2" s="3038"/>
    </row>
    <row r="3" spans="1:15" s="63" customFormat="1" x14ac:dyDescent="0.2">
      <c r="A3" s="1309"/>
      <c r="B3" s="210"/>
      <c r="C3" s="1016"/>
      <c r="D3" s="1016"/>
      <c r="E3" s="1452"/>
      <c r="F3" s="1452"/>
      <c r="G3" s="1452"/>
      <c r="H3" s="2400"/>
      <c r="I3" s="1452"/>
      <c r="J3" s="1452"/>
      <c r="K3" s="1452"/>
      <c r="L3" s="1452"/>
      <c r="M3" s="210"/>
      <c r="N3" s="1016"/>
      <c r="O3" s="1312"/>
    </row>
    <row r="4" spans="1:15" s="63" customFormat="1" x14ac:dyDescent="0.2">
      <c r="A4" s="1465"/>
      <c r="B4" s="1327" t="s">
        <v>232</v>
      </c>
      <c r="C4" s="1318" t="str">
        <f>Checks!A2</f>
        <v>2013/14</v>
      </c>
      <c r="D4" s="1319" t="str">
        <f>Checks!B2</f>
        <v>2014/15</v>
      </c>
      <c r="E4" s="1319" t="str">
        <f>Checks!C2</f>
        <v>2015/16</v>
      </c>
      <c r="F4" s="1319" t="str">
        <f>Checks!F2</f>
        <v>2016/17</v>
      </c>
      <c r="G4" s="2225" t="s">
        <v>1614</v>
      </c>
      <c r="H4" s="2404" t="str">
        <f>Checks!G2</f>
        <v>2017/18</v>
      </c>
      <c r="I4" s="1607" t="str">
        <f>C4</f>
        <v>2013/14</v>
      </c>
      <c r="J4" s="1319" t="str">
        <f>D4</f>
        <v>2014/15</v>
      </c>
      <c r="K4" s="1319" t="str">
        <f>E4</f>
        <v>2015/16</v>
      </c>
      <c r="L4" s="1319" t="str">
        <f>F4</f>
        <v>2016/17</v>
      </c>
      <c r="M4" s="1319" t="str">
        <f>H4</f>
        <v>2017/18</v>
      </c>
      <c r="N4" s="1608"/>
      <c r="O4" s="1609"/>
    </row>
    <row r="5" spans="1:15" s="63" customFormat="1" x14ac:dyDescent="0.2">
      <c r="A5" s="1309"/>
      <c r="B5" s="24"/>
      <c r="C5" s="1451"/>
      <c r="D5" s="1326"/>
      <c r="E5" s="1412"/>
      <c r="F5" s="1412"/>
      <c r="G5" s="1014"/>
      <c r="H5" s="2405"/>
      <c r="I5" s="1016"/>
      <c r="J5" s="1014"/>
      <c r="K5" s="1014"/>
      <c r="L5" s="1014"/>
      <c r="M5" s="231"/>
      <c r="N5" s="1016"/>
      <c r="O5" s="1312"/>
    </row>
    <row r="6" spans="1:15" s="63" customFormat="1" x14ac:dyDescent="0.2">
      <c r="A6" s="1309"/>
      <c r="B6" s="82" t="s">
        <v>427</v>
      </c>
      <c r="C6" s="1605" t="s">
        <v>4565</v>
      </c>
      <c r="D6" s="1326" t="str">
        <f>C6</f>
        <v xml:space="preserve">Charge </v>
      </c>
      <c r="E6" s="1326" t="str">
        <f>D6</f>
        <v xml:space="preserve">Charge </v>
      </c>
      <c r="F6" s="1326" t="str">
        <f>E6</f>
        <v xml:space="preserve">Charge </v>
      </c>
      <c r="G6" s="1326" t="s">
        <v>6076</v>
      </c>
      <c r="H6" s="2406"/>
      <c r="I6" s="1606" t="s">
        <v>4564</v>
      </c>
      <c r="J6" s="1326" t="str">
        <f>I6</f>
        <v>% Op Exp</v>
      </c>
      <c r="K6" s="1326" t="str">
        <f>J6</f>
        <v>% Op Exp</v>
      </c>
      <c r="L6" s="1326" t="str">
        <f>K6</f>
        <v>% Op Exp</v>
      </c>
      <c r="M6" s="1326" t="str">
        <f>L6</f>
        <v>% Op Exp</v>
      </c>
      <c r="O6" s="1312"/>
    </row>
    <row r="7" spans="1:15" s="63" customFormat="1" x14ac:dyDescent="0.2">
      <c r="A7" s="1309"/>
      <c r="B7" s="24" t="s">
        <v>1764</v>
      </c>
      <c r="C7" s="1314">
        <f>'W&amp;W'!B72</f>
        <v>1197300</v>
      </c>
      <c r="D7" s="1064">
        <f>'W&amp;W'!C72</f>
        <v>1160000</v>
      </c>
      <c r="E7" s="1064">
        <f>'W&amp;W'!D72</f>
        <v>1301000</v>
      </c>
      <c r="F7" s="1064">
        <f>'W&amp;W'!G72</f>
        <v>1319000</v>
      </c>
      <c r="G7" s="1768">
        <f>(F7-E7)/E7</f>
        <v>1.3835511145272867E-2</v>
      </c>
      <c r="H7" s="2407">
        <f>'W&amp;W'!I72</f>
        <v>1345000</v>
      </c>
      <c r="I7" s="1454">
        <f>C7/'W&amp;W'!B14</f>
        <v>0.10775225890060837</v>
      </c>
      <c r="J7" s="1768">
        <f>D7/C114</f>
        <v>0.10263670146876659</v>
      </c>
      <c r="K7" s="1768">
        <f>E7/'W&amp;W'!D14</f>
        <v>0.11990893925289633</v>
      </c>
      <c r="L7" s="1768">
        <f>F7/'W&amp;W'!G14</f>
        <v>0.11704053382551288</v>
      </c>
      <c r="M7" s="1768">
        <f>H7/'W&amp;W'!I14</f>
        <v>0.1201923076923077</v>
      </c>
      <c r="O7" s="1312"/>
    </row>
    <row r="8" spans="1:15" s="63" customFormat="1" x14ac:dyDescent="0.2">
      <c r="A8" s="1309"/>
      <c r="B8" s="24" t="s">
        <v>3354</v>
      </c>
      <c r="C8" s="1314">
        <f>'W&amp;W'!B135</f>
        <v>1729000</v>
      </c>
      <c r="D8" s="1064">
        <f>'W&amp;W'!C135</f>
        <v>1777000</v>
      </c>
      <c r="E8" s="1064">
        <f>'W&amp;W'!D135</f>
        <v>1888000</v>
      </c>
      <c r="F8" s="1064">
        <f>'W&amp;W'!G135</f>
        <v>1950000</v>
      </c>
      <c r="G8" s="1768">
        <f t="shared" ref="G8:G16" si="0">(F8-E8)/E8</f>
        <v>3.283898305084746E-2</v>
      </c>
      <c r="H8" s="2407">
        <f>'W&amp;W'!I135</f>
        <v>2037000</v>
      </c>
      <c r="I8" s="1454">
        <f>C8/'W&amp;W'!B15</f>
        <v>0.1014409424796414</v>
      </c>
      <c r="J8" s="1768">
        <f>D8/C115</f>
        <v>0.1049163680161537</v>
      </c>
      <c r="K8" s="1768">
        <f>E8/'W&amp;W'!D15</f>
        <v>0.10905289180774808</v>
      </c>
      <c r="L8" s="1768">
        <f>F8/'W&amp;W'!G15</f>
        <v>0.11345322527156047</v>
      </c>
      <c r="M8" s="1768">
        <f>H8/'W&amp;W'!I15</f>
        <v>0.1144349877812421</v>
      </c>
      <c r="O8" s="1312"/>
    </row>
    <row r="9" spans="1:15" s="63" customFormat="1" x14ac:dyDescent="0.2">
      <c r="A9" s="1309"/>
      <c r="B9" s="24" t="s">
        <v>3599</v>
      </c>
      <c r="C9" s="1309">
        <f>CIV!B1827</f>
        <v>525000</v>
      </c>
      <c r="D9" s="1054">
        <f>CIV!C1827</f>
        <v>562000</v>
      </c>
      <c r="E9" s="1054">
        <f>CIV!D1827</f>
        <v>555000</v>
      </c>
      <c r="F9" s="1054">
        <f>CIV!G1827</f>
        <v>644000</v>
      </c>
      <c r="G9" s="1768">
        <f t="shared" si="0"/>
        <v>0.16036036036036036</v>
      </c>
      <c r="H9" s="2408">
        <f>CIV!I1827</f>
        <v>528000</v>
      </c>
      <c r="I9" s="1454">
        <f>C9/CIV!B32</f>
        <v>0.21052209479509182</v>
      </c>
      <c r="J9" s="1768">
        <f>D9/C111</f>
        <v>8.5696858798414155E-2</v>
      </c>
      <c r="K9" s="1768">
        <f>E9/(CIV!D32-CIV!D1833-CIV!D1834-CIV!D1835)</f>
        <v>8.1626049740414458E-2</v>
      </c>
      <c r="L9" s="1768">
        <f>F9/(CIV!G32-CIV!G1833-CIV!G1834-CIV!G1835)</f>
        <v>0.10319189847455454</v>
      </c>
      <c r="M9" s="1768">
        <f>H9/(CIV!I32-CIV!I1833-CIV!I1834-CIV!I1835)</f>
        <v>9.1998884862001667E-2</v>
      </c>
      <c r="O9" s="1310"/>
    </row>
    <row r="10" spans="1:15" s="63" customFormat="1" x14ac:dyDescent="0.2">
      <c r="A10" s="1309"/>
      <c r="B10" s="24" t="s">
        <v>3600</v>
      </c>
      <c r="C10" s="1309">
        <f>CIV!B1992</f>
        <v>406000</v>
      </c>
      <c r="D10" s="1054">
        <f>CIV!C1992</f>
        <v>619000</v>
      </c>
      <c r="E10" s="1054">
        <f>CIV!D1992</f>
        <v>630000</v>
      </c>
      <c r="F10" s="1054">
        <f>CIV!G1992</f>
        <v>637000</v>
      </c>
      <c r="G10" s="1768">
        <f t="shared" si="0"/>
        <v>1.1111111111111112E-2</v>
      </c>
      <c r="H10" s="2408">
        <f>CIV!I1992</f>
        <v>677000</v>
      </c>
      <c r="I10" s="1454">
        <f>C10/CIV!B33</f>
        <v>6.6747772334199193E-2</v>
      </c>
      <c r="J10" s="1768">
        <f>D10/C112</f>
        <v>9.6504630351407814E-2</v>
      </c>
      <c r="K10" s="1768">
        <f>E10/(CIV!D33-CIV!D1994)</f>
        <v>9.6393653319460801E-2</v>
      </c>
      <c r="L10" s="1768">
        <f>F10/(CIV!G33-CIV!G1994)</f>
        <v>9.8545792079207925E-2</v>
      </c>
      <c r="M10" s="1768">
        <f>H10/(CIV!I33-CIV!I1994)</f>
        <v>0.10201006539493114</v>
      </c>
      <c r="O10" s="1310"/>
    </row>
    <row r="11" spans="1:15" s="63" customFormat="1" x14ac:dyDescent="0.2">
      <c r="A11" s="1309"/>
      <c r="B11" s="24" t="s">
        <v>3392</v>
      </c>
      <c r="C11" s="1309">
        <f>CIV!B1735</f>
        <v>23000</v>
      </c>
      <c r="D11" s="1054">
        <f>CIV!C1735</f>
        <v>36000</v>
      </c>
      <c r="E11" s="1054">
        <f>CIV!D1735</f>
        <v>51000</v>
      </c>
      <c r="F11" s="1054">
        <f>CIV!G1735</f>
        <v>34000</v>
      </c>
      <c r="G11" s="1768">
        <f t="shared" si="0"/>
        <v>-0.33333333333333331</v>
      </c>
      <c r="H11" s="2408">
        <f>CIV!I1735</f>
        <v>0</v>
      </c>
      <c r="I11" s="1454">
        <f>C11/CIV!B31</f>
        <v>0.1332560834298957</v>
      </c>
      <c r="J11" s="1768">
        <f>D11/C110</f>
        <v>6.1802575107296136E-2</v>
      </c>
      <c r="K11" s="1768">
        <f>E11/CIV!D31</f>
        <v>0.27070063694267515</v>
      </c>
      <c r="L11" s="1768">
        <f>F11/CIV!G31</f>
        <v>4.601434564893761E-2</v>
      </c>
      <c r="M11" s="1768">
        <f>H11/CIV!I31</f>
        <v>0</v>
      </c>
      <c r="O11" s="1310"/>
    </row>
    <row r="12" spans="1:15" s="63" customFormat="1" x14ac:dyDescent="0.2">
      <c r="A12" s="1309"/>
      <c r="B12" s="24" t="s">
        <v>3637</v>
      </c>
      <c r="C12" s="1309">
        <f>CIV!B1619</f>
        <v>221000</v>
      </c>
      <c r="D12" s="1054">
        <f>CIV!C1619</f>
        <v>337000</v>
      </c>
      <c r="E12" s="1054">
        <f>CIV!D1619</f>
        <v>342000</v>
      </c>
      <c r="F12" s="1054">
        <f>CIV!G1619</f>
        <v>344000</v>
      </c>
      <c r="G12" s="1768">
        <f t="shared" si="0"/>
        <v>5.8479532163742687E-3</v>
      </c>
      <c r="H12" s="2408">
        <f>CIV!I1619</f>
        <v>355000</v>
      </c>
      <c r="I12" s="1454">
        <f>C12/(CIV!B29-CIV!B496)</f>
        <v>5.83559979931874E-2</v>
      </c>
      <c r="J12" s="1768">
        <f>D12/C108</f>
        <v>8.5993518589400089E-2</v>
      </c>
      <c r="K12" s="1768">
        <f>E12/(CIV!D29-CIV!D496)</f>
        <v>9.5903087406410362E-2</v>
      </c>
      <c r="L12" s="1768">
        <f>F12/(CIV!G29-CIV!G496)</f>
        <v>8.5102172084508432E-2</v>
      </c>
      <c r="M12" s="1768">
        <f>H12/(CIV!I29-CIV!I496)</f>
        <v>8.9918946301925026E-2</v>
      </c>
      <c r="O12" s="1310"/>
    </row>
    <row r="13" spans="1:15" s="63" customFormat="1" x14ac:dyDescent="0.2">
      <c r="A13" s="1309"/>
      <c r="B13" s="24" t="s">
        <v>3601</v>
      </c>
      <c r="C13" s="1314">
        <f>NEWLOG!B35</f>
        <v>89000</v>
      </c>
      <c r="D13" s="1064">
        <f>NEWLOG!C35</f>
        <v>69000</v>
      </c>
      <c r="E13" s="1064">
        <f>NEWLOG!D35</f>
        <v>61000</v>
      </c>
      <c r="F13" s="1064">
        <f>NEWLOG!G35</f>
        <v>69000</v>
      </c>
      <c r="G13" s="1768">
        <f t="shared" si="0"/>
        <v>0.13114754098360656</v>
      </c>
      <c r="H13" s="2407">
        <f>NEWLOG!I35</f>
        <v>70000</v>
      </c>
      <c r="I13" s="1454">
        <f>C13/NEWLOG!B51</f>
        <v>0.17732616058975892</v>
      </c>
      <c r="J13" s="1768">
        <f>D13/C113</f>
        <v>0.14096016343207354</v>
      </c>
      <c r="K13" s="1768">
        <f>E13/NEWLOG!D51</f>
        <v>0.12831299957930165</v>
      </c>
      <c r="L13" s="1768">
        <f>F13/NEWLOG!G51</f>
        <v>0.13863773357444242</v>
      </c>
      <c r="M13" s="1768">
        <f>H13/NEWLOG!I51</f>
        <v>0.1349787890474354</v>
      </c>
      <c r="O13" s="1310"/>
    </row>
    <row r="14" spans="1:15" s="63" customFormat="1" x14ac:dyDescent="0.2">
      <c r="A14" s="1309"/>
      <c r="B14" s="24" t="s">
        <v>1734</v>
      </c>
      <c r="C14" s="1314">
        <f>GM!B1047</f>
        <v>74000</v>
      </c>
      <c r="D14" s="1064">
        <f>GM!C1047</f>
        <v>17000</v>
      </c>
      <c r="E14" s="1064">
        <f>GM!D1047</f>
        <v>19000</v>
      </c>
      <c r="F14" s="1064">
        <f>GM!G1047</f>
        <v>24000</v>
      </c>
      <c r="G14" s="1768">
        <f t="shared" si="0"/>
        <v>0.26315789473684209</v>
      </c>
      <c r="H14" s="2407">
        <f>GM!I1047</f>
        <v>25000</v>
      </c>
      <c r="I14" s="1454">
        <f>C14/GM!B1055</f>
        <v>9.9905494802214126E-2</v>
      </c>
      <c r="J14" s="1768">
        <f>D14/C89</f>
        <v>6.1795710650672485E-2</v>
      </c>
      <c r="K14" s="1768">
        <f>E14/GM!D1055</f>
        <v>7.1806500377928947E-2</v>
      </c>
      <c r="L14" s="1768">
        <f>F14/GM!G1055</f>
        <v>8.1163341224213731E-2</v>
      </c>
      <c r="M14" s="1768">
        <f>H14/GM!I1055</f>
        <v>8.2863771958899574E-2</v>
      </c>
      <c r="O14" s="1310"/>
    </row>
    <row r="15" spans="1:15" s="63" customFormat="1" x14ac:dyDescent="0.2">
      <c r="A15" s="1309"/>
      <c r="B15" s="24" t="s">
        <v>2938</v>
      </c>
      <c r="C15" s="1314">
        <f>SUM(GM!B989:B993)</f>
        <v>362000</v>
      </c>
      <c r="D15" s="1064">
        <f>SUM(GM!C989:C993)</f>
        <v>178000</v>
      </c>
      <c r="E15" s="1064">
        <f>SUM(GM!D989:D993)</f>
        <v>230000</v>
      </c>
      <c r="F15" s="1064">
        <f>SUM(GM!G989:G993)</f>
        <v>185000</v>
      </c>
      <c r="G15" s="1768">
        <f t="shared" si="0"/>
        <v>-0.19565217391304349</v>
      </c>
      <c r="H15" s="2407">
        <f>SUM(GM!I989:I993)</f>
        <v>206000</v>
      </c>
      <c r="I15" s="1454">
        <f>C15/GM!B997</f>
        <v>0.13832632785632404</v>
      </c>
      <c r="J15" s="1768">
        <f>D15/C88</f>
        <v>4.7407249580525744E-2</v>
      </c>
      <c r="K15" s="1768">
        <f>E15/GM!D997</f>
        <v>8.5276778762374397E-2</v>
      </c>
      <c r="L15" s="1768">
        <f>F15/GM!G997</f>
        <v>6.3343148668081897E-2</v>
      </c>
      <c r="M15" s="1768">
        <f>H15/GM!I997</f>
        <v>0.16117674673343244</v>
      </c>
      <c r="O15" s="1310"/>
    </row>
    <row r="16" spans="1:15" s="63" customFormat="1" x14ac:dyDescent="0.2">
      <c r="A16" s="1309"/>
      <c r="B16" s="24" t="s">
        <v>1418</v>
      </c>
      <c r="C16" s="1309">
        <f>GM!B1164</f>
        <v>294000</v>
      </c>
      <c r="D16" s="1054">
        <f>GM!C1164</f>
        <v>302000</v>
      </c>
      <c r="E16" s="1054">
        <f>GM!D1164</f>
        <v>325000</v>
      </c>
      <c r="F16" s="1054">
        <f>GM!G1164</f>
        <v>378000</v>
      </c>
      <c r="G16" s="1768">
        <f t="shared" si="0"/>
        <v>0.16307692307692306</v>
      </c>
      <c r="H16" s="2408">
        <f>GM!I1164</f>
        <v>391000</v>
      </c>
      <c r="I16" s="1454">
        <f>C16/GM!B1171</f>
        <v>4.5905939666479295E-2</v>
      </c>
      <c r="J16" s="1768">
        <f>D16/C90</f>
        <v>6.9383816569406787E-2</v>
      </c>
      <c r="K16" s="1768">
        <f>E16/GM!D1171</f>
        <v>7.2007798998537681E-2</v>
      </c>
      <c r="L16" s="1768">
        <f>F16/GM!G1171</f>
        <v>7.749236351708727E-2</v>
      </c>
      <c r="M16" s="1768">
        <f>H16/GM!I1171</f>
        <v>7.2688739752003129E-2</v>
      </c>
      <c r="O16" s="1310"/>
    </row>
    <row r="17" spans="1:15" s="40" customFormat="1" x14ac:dyDescent="0.2">
      <c r="A17" s="1311"/>
      <c r="B17" s="82" t="s">
        <v>1530</v>
      </c>
      <c r="C17" s="1311">
        <f>SUM(C7:C16)</f>
        <v>4920300</v>
      </c>
      <c r="D17" s="1056">
        <f>SUM(D7:D16)</f>
        <v>5057000</v>
      </c>
      <c r="E17" s="1056">
        <f>SUM(E7:E16)</f>
        <v>5402000</v>
      </c>
      <c r="F17" s="2320">
        <f>SUM(F7:F16)</f>
        <v>5584000</v>
      </c>
      <c r="G17" s="1822">
        <f>(F17-E17)/E17</f>
        <v>3.3691225472047392E-2</v>
      </c>
      <c r="H17" s="2409">
        <f>SUM(H7:H16)</f>
        <v>5634000</v>
      </c>
      <c r="I17" s="1454"/>
      <c r="J17" s="82"/>
      <c r="K17" s="82"/>
      <c r="L17" s="82"/>
      <c r="M17" s="82"/>
      <c r="N17" s="1452"/>
      <c r="O17" s="1453"/>
    </row>
    <row r="18" spans="1:15" s="40" customFormat="1" x14ac:dyDescent="0.2">
      <c r="A18" s="1311"/>
      <c r="B18" s="24" t="s">
        <v>3971</v>
      </c>
      <c r="C18" s="1410">
        <v>81000</v>
      </c>
      <c r="D18" s="1056"/>
      <c r="E18" s="1326"/>
      <c r="F18" s="1326"/>
      <c r="G18" s="231"/>
      <c r="H18" s="210"/>
      <c r="I18" s="63"/>
      <c r="J18" s="82"/>
      <c r="K18" s="82"/>
      <c r="L18" s="82"/>
      <c r="M18" s="24"/>
      <c r="N18" s="1452"/>
      <c r="O18" s="1453"/>
    </row>
    <row r="19" spans="1:15" s="40" customFormat="1" x14ac:dyDescent="0.2">
      <c r="A19" s="1311"/>
      <c r="B19" s="82" t="s">
        <v>3655</v>
      </c>
      <c r="C19" s="1311">
        <f>C18+C17</f>
        <v>5001300</v>
      </c>
      <c r="D19" s="1822">
        <f>(D17-C19)/C19</f>
        <v>1.1137104352868254E-2</v>
      </c>
      <c r="E19" s="1822">
        <f>(E17-D17)/D17</f>
        <v>6.8222266165710893E-2</v>
      </c>
      <c r="F19" s="1822">
        <f>(F17-E17)/E17</f>
        <v>3.3691225472047392E-2</v>
      </c>
      <c r="G19" s="82"/>
      <c r="H19" s="58"/>
      <c r="I19" s="58"/>
      <c r="J19" s="82"/>
      <c r="K19" s="82"/>
      <c r="L19" s="82"/>
      <c r="M19" s="82"/>
      <c r="N19" s="1452"/>
      <c r="O19" s="1453"/>
    </row>
    <row r="20" spans="1:15" s="40" customFormat="1" ht="13.5" thickBot="1" x14ac:dyDescent="0.25">
      <c r="A20" s="1311"/>
      <c r="B20" s="1388"/>
      <c r="C20" s="1321"/>
      <c r="D20" s="1388"/>
      <c r="E20" s="1422"/>
      <c r="F20" s="1422"/>
      <c r="G20" s="1422"/>
      <c r="H20" s="1322"/>
      <c r="I20" s="1322"/>
      <c r="J20" s="1388"/>
      <c r="K20" s="1388"/>
      <c r="L20" s="1388"/>
      <c r="M20" s="1422"/>
      <c r="N20" s="1322"/>
      <c r="O20" s="1323"/>
    </row>
    <row r="21" spans="1:15" s="40" customFormat="1" x14ac:dyDescent="0.2">
      <c r="A21" s="1324"/>
      <c r="B21" s="1378"/>
      <c r="C21" s="1378"/>
      <c r="D21" s="1378"/>
      <c r="E21" s="1378"/>
      <c r="F21" s="224"/>
      <c r="G21" s="224"/>
      <c r="H21" s="224"/>
      <c r="I21" s="224"/>
      <c r="J21" s="224"/>
      <c r="K21" s="224"/>
      <c r="L21" s="224"/>
      <c r="M21" s="1377"/>
      <c r="N21" s="1377"/>
      <c r="O21" s="1379"/>
    </row>
    <row r="22" spans="1:15" s="40" customFormat="1" x14ac:dyDescent="0.2">
      <c r="A22" s="1451"/>
      <c r="B22" s="58" t="s">
        <v>3897</v>
      </c>
      <c r="C22" s="61" t="s">
        <v>3898</v>
      </c>
      <c r="D22" s="1610" t="str">
        <f>E4</f>
        <v>2015/16</v>
      </c>
      <c r="E22" s="2223" t="s">
        <v>1614</v>
      </c>
      <c r="F22" s="2223" t="s">
        <v>2180</v>
      </c>
      <c r="G22" s="1468" t="s">
        <v>3932</v>
      </c>
      <c r="J22" s="58"/>
      <c r="K22" s="58"/>
      <c r="L22" s="58"/>
      <c r="M22" s="1452"/>
      <c r="N22" s="1452"/>
      <c r="O22" s="1453"/>
    </row>
    <row r="23" spans="1:15" s="40" customFormat="1" x14ac:dyDescent="0.2">
      <c r="A23" s="1309"/>
      <c r="B23" s="35" t="s">
        <v>3948</v>
      </c>
      <c r="C23" s="1445" t="s">
        <v>3826</v>
      </c>
      <c r="D23" s="210">
        <f>GM!D575</f>
        <v>310900</v>
      </c>
      <c r="E23" s="210">
        <f>GM!G575+GM!G734+GM!G740</f>
        <v>626500</v>
      </c>
      <c r="F23" s="210">
        <f>GM!I575+GM!I734+GM!I740</f>
        <v>605800</v>
      </c>
      <c r="G23" s="1445"/>
      <c r="J23" s="61" t="s">
        <v>4566</v>
      </c>
      <c r="K23" s="1017" t="str">
        <f>E4</f>
        <v>2015/16</v>
      </c>
      <c r="L23" s="2222" t="str">
        <f>F4</f>
        <v>2016/17</v>
      </c>
      <c r="M23" s="2223" t="s">
        <v>2180</v>
      </c>
      <c r="N23" s="1452" t="s">
        <v>3899</v>
      </c>
      <c r="O23" s="1453"/>
    </row>
    <row r="24" spans="1:15" s="40" customFormat="1" x14ac:dyDescent="0.2">
      <c r="A24" s="1309"/>
      <c r="B24" s="35" t="s">
        <v>3925</v>
      </c>
      <c r="C24" s="1445" t="s">
        <v>3908</v>
      </c>
      <c r="D24" s="210">
        <f>ROUND(SUM(K24)*D51+K25+K26,-2)</f>
        <v>529000</v>
      </c>
      <c r="E24" s="210">
        <f>ROUND(SUM(L24)*F51+L25+L26,-2)</f>
        <v>526600</v>
      </c>
      <c r="F24" s="210">
        <f>ROUND(SUM(M24)*H51+M25+M26,-2)</f>
        <v>539800</v>
      </c>
      <c r="G24" s="1445"/>
      <c r="J24" s="35" t="s">
        <v>3923</v>
      </c>
      <c r="K24" s="25">
        <v>323000</v>
      </c>
      <c r="L24" s="25">
        <v>313000</v>
      </c>
      <c r="M24" s="25">
        <f>ROUND(L24*1.03,-3)</f>
        <v>322000</v>
      </c>
      <c r="N24" s="1466">
        <v>4</v>
      </c>
      <c r="O24" s="1453"/>
    </row>
    <row r="25" spans="1:15" s="40" customFormat="1" x14ac:dyDescent="0.2">
      <c r="A25" s="1309"/>
      <c r="B25" s="35" t="s">
        <v>3949</v>
      </c>
      <c r="C25" s="1445" t="s">
        <v>3826</v>
      </c>
      <c r="D25" s="210">
        <f>(SUM(GM!D670:D697)-K27)</f>
        <v>869300</v>
      </c>
      <c r="E25" s="210">
        <f>(SUM(GM!G670:G697)-L27)</f>
        <v>946500</v>
      </c>
      <c r="F25" s="210">
        <f>(SUM(GM!I670:I697)-M27)</f>
        <v>1008200</v>
      </c>
      <c r="G25" s="1445"/>
      <c r="J25" s="35" t="s">
        <v>3924</v>
      </c>
      <c r="K25" s="35">
        <f>GM!D691</f>
        <v>99300</v>
      </c>
      <c r="L25" s="35">
        <f>GM!G691</f>
        <v>102000</v>
      </c>
      <c r="M25" s="35">
        <f>GM!I691</f>
        <v>103600</v>
      </c>
      <c r="N25" s="58"/>
      <c r="O25" s="1453"/>
    </row>
    <row r="26" spans="1:15" s="40" customFormat="1" x14ac:dyDescent="0.2">
      <c r="A26" s="1309"/>
      <c r="B26" s="35" t="s">
        <v>3725</v>
      </c>
      <c r="C26" s="1445" t="s">
        <v>3909</v>
      </c>
      <c r="D26" s="210">
        <f>ROUND(K30*D51,-2)</f>
        <v>344600</v>
      </c>
      <c r="E26" s="210">
        <f>ROUND(L30*F51,-2)</f>
        <v>435400</v>
      </c>
      <c r="F26" s="210">
        <f>ROUND(M30*H51,-2)</f>
        <v>447800</v>
      </c>
      <c r="G26" s="1445"/>
      <c r="J26" s="35" t="s">
        <v>22</v>
      </c>
      <c r="K26" s="35">
        <f>GM!D686</f>
        <v>23500</v>
      </c>
      <c r="L26" s="35">
        <f>GM!G686</f>
        <v>25000</v>
      </c>
      <c r="M26" s="35">
        <f>GM!I686</f>
        <v>25400</v>
      </c>
      <c r="N26" s="58"/>
      <c r="O26" s="1453"/>
    </row>
    <row r="27" spans="1:15" s="40" customFormat="1" x14ac:dyDescent="0.2">
      <c r="A27" s="1309"/>
      <c r="B27" s="35" t="s">
        <v>2311</v>
      </c>
      <c r="C27" s="1445" t="s">
        <v>3873</v>
      </c>
      <c r="D27" s="210">
        <f>GM!D755-K30</f>
        <v>1775200</v>
      </c>
      <c r="E27" s="210">
        <f>GM!G755-L30-GM!G734-GM!G740</f>
        <v>1632400</v>
      </c>
      <c r="F27" s="210">
        <f>GM!I755-M30-GM!I734-GM!I740</f>
        <v>1673400</v>
      </c>
      <c r="G27" s="2385"/>
      <c r="J27" s="58" t="s">
        <v>1530</v>
      </c>
      <c r="K27" s="58">
        <f>SUM(K24:K26)</f>
        <v>445800</v>
      </c>
      <c r="L27" s="58">
        <f>SUM(L24:L26)</f>
        <v>440000</v>
      </c>
      <c r="M27" s="40">
        <f>SUM(M24:M26)</f>
        <v>451000</v>
      </c>
      <c r="N27" s="58"/>
      <c r="O27" s="1453"/>
    </row>
    <row r="28" spans="1:15" s="40" customFormat="1" x14ac:dyDescent="0.2">
      <c r="A28" s="1309"/>
      <c r="B28" s="35" t="s">
        <v>362</v>
      </c>
      <c r="C28" s="1445" t="s">
        <v>3874</v>
      </c>
      <c r="D28" s="210">
        <f>GM!D855</f>
        <v>1282200</v>
      </c>
      <c r="E28" s="210">
        <f>GM!G855</f>
        <v>1010500</v>
      </c>
      <c r="F28" s="210">
        <f>GM!I855</f>
        <v>1007200</v>
      </c>
      <c r="G28" s="1466"/>
      <c r="J28" s="58"/>
      <c r="M28" s="58"/>
      <c r="O28" s="1453"/>
    </row>
    <row r="29" spans="1:15" s="40" customFormat="1" x14ac:dyDescent="0.2">
      <c r="A29" s="1309"/>
      <c r="B29" s="35" t="s">
        <v>3950</v>
      </c>
      <c r="C29" s="1445" t="s">
        <v>3826</v>
      </c>
      <c r="D29" s="210">
        <f>SUM(CIV!D825:D860)+CIV!D862</f>
        <v>1758100</v>
      </c>
      <c r="E29" s="210">
        <f>SUM(CIV!G825:G860)+CIV!G862</f>
        <v>1816300</v>
      </c>
      <c r="F29" s="210">
        <f>SUM(CIV!I825:I860)+CIV!I862</f>
        <v>1852600</v>
      </c>
      <c r="G29" s="1466"/>
      <c r="J29" s="61" t="s">
        <v>3900</v>
      </c>
      <c r="N29" s="1452" t="s">
        <v>3828</v>
      </c>
      <c r="O29" s="1453"/>
    </row>
    <row r="30" spans="1:15" s="40" customFormat="1" x14ac:dyDescent="0.2">
      <c r="A30" s="1309"/>
      <c r="B30" s="35" t="s">
        <v>783</v>
      </c>
      <c r="C30" s="1445" t="s">
        <v>3826</v>
      </c>
      <c r="D30" s="210">
        <f>ROUND(GM!D94,-2)</f>
        <v>1160800</v>
      </c>
      <c r="E30" s="210">
        <f>ROUND(GM!G94,-2)</f>
        <v>1653300</v>
      </c>
      <c r="F30" s="210">
        <f>ROUND(GM!I94,-2)</f>
        <v>1409400</v>
      </c>
      <c r="G30" s="1466"/>
      <c r="J30" s="58" t="s">
        <v>1308</v>
      </c>
      <c r="K30" s="25">
        <v>274000</v>
      </c>
      <c r="L30" s="25">
        <v>341000</v>
      </c>
      <c r="M30" s="25">
        <f>ROUND(L30*1.03,-3)</f>
        <v>351000</v>
      </c>
      <c r="N30" s="1466">
        <v>4</v>
      </c>
      <c r="O30" s="1453"/>
    </row>
    <row r="31" spans="1:15" s="40" customFormat="1" x14ac:dyDescent="0.2">
      <c r="A31" s="1309"/>
      <c r="B31" s="35" t="s">
        <v>3824</v>
      </c>
      <c r="C31" s="1445" t="s">
        <v>3910</v>
      </c>
      <c r="D31" s="210">
        <f>ROUND(CIV!D770*D51,-2)</f>
        <v>994000</v>
      </c>
      <c r="E31" s="210">
        <f>ROUND(CIV!G770*F51,-2)</f>
        <v>1059700</v>
      </c>
      <c r="F31" s="210">
        <f>ROUND(CIV!I770*H51,-2)</f>
        <v>1080000</v>
      </c>
      <c r="G31" s="1466"/>
      <c r="J31" s="58"/>
      <c r="N31" s="58"/>
      <c r="O31" s="1453"/>
    </row>
    <row r="32" spans="1:15" s="40" customFormat="1" x14ac:dyDescent="0.2">
      <c r="A32" s="1309"/>
      <c r="B32" s="35" t="s">
        <v>3893</v>
      </c>
      <c r="C32" s="1445" t="s">
        <v>3909</v>
      </c>
      <c r="D32" s="210">
        <f>ROUND(CIV!D771*D51*G32,-2)</f>
        <v>480000</v>
      </c>
      <c r="E32" s="210">
        <f>ROUND(CIV!G771*F51*G32,-2)</f>
        <v>503700</v>
      </c>
      <c r="F32" s="210">
        <f>ROUND(CIV!I771*H51*G32,-2)</f>
        <v>513300</v>
      </c>
      <c r="G32" s="1463">
        <v>0.5</v>
      </c>
      <c r="J32" s="61" t="s">
        <v>3906</v>
      </c>
      <c r="N32" s="1452" t="s">
        <v>3899</v>
      </c>
      <c r="O32" s="1453"/>
    </row>
    <row r="33" spans="1:15" s="40" customFormat="1" x14ac:dyDescent="0.2">
      <c r="A33" s="1309"/>
      <c r="B33" s="35" t="s">
        <v>1259</v>
      </c>
      <c r="C33" s="1445" t="s">
        <v>3909</v>
      </c>
      <c r="D33" s="210">
        <f>ROUND(DEH!D256*G33,-3)</f>
        <v>542000</v>
      </c>
      <c r="E33" s="210">
        <f>ROUND(DEH!G256*G33,-3)</f>
        <v>639000</v>
      </c>
      <c r="F33" s="210">
        <f>ROUND(DEH!I256*G33,-3)</f>
        <v>637000</v>
      </c>
      <c r="G33" s="1463">
        <v>0.5</v>
      </c>
      <c r="J33" s="59" t="s">
        <v>1308</v>
      </c>
      <c r="K33" s="35">
        <f>SP!D637</f>
        <v>315400</v>
      </c>
      <c r="L33" s="35">
        <v>327000</v>
      </c>
      <c r="M33" s="25">
        <f>ROUND(L33*1.03,-3)</f>
        <v>337000</v>
      </c>
      <c r="N33" s="1466">
        <v>4.4000000000000004</v>
      </c>
      <c r="O33" s="1453"/>
    </row>
    <row r="34" spans="1:15" s="40" customFormat="1" x14ac:dyDescent="0.2">
      <c r="A34" s="1309"/>
      <c r="B34" s="35" t="s">
        <v>3933</v>
      </c>
      <c r="C34" s="1446" t="s">
        <v>3826</v>
      </c>
      <c r="D34" s="210">
        <f>ROUND(K50*G34,-3)</f>
        <v>137000</v>
      </c>
      <c r="E34" s="210">
        <f>ROUND(L50*G34,-3)</f>
        <v>143000</v>
      </c>
      <c r="F34" s="210">
        <f>ROUND(M50*G34,-3)</f>
        <v>147000</v>
      </c>
      <c r="G34" s="1463">
        <v>0.25</v>
      </c>
      <c r="J34" s="59" t="s">
        <v>3829</v>
      </c>
      <c r="K34" s="35">
        <f>130000*N34</f>
        <v>65000</v>
      </c>
      <c r="L34" s="35">
        <v>67000</v>
      </c>
      <c r="M34" s="25">
        <f>ROUND(L34*1.03,-3)</f>
        <v>69000</v>
      </c>
      <c r="N34" s="1466">
        <v>0.5</v>
      </c>
      <c r="O34" s="1453"/>
    </row>
    <row r="35" spans="1:15" s="40" customFormat="1" x14ac:dyDescent="0.2">
      <c r="A35" s="1309"/>
      <c r="B35" s="35" t="s">
        <v>3811</v>
      </c>
      <c r="C35" s="1445" t="s">
        <v>3827</v>
      </c>
      <c r="D35" s="210">
        <f>ROUND((K35*D51)/2,-2)</f>
        <v>239200</v>
      </c>
      <c r="E35" s="210">
        <f>ROUND((L35*F51)/2,-2)</f>
        <v>251500</v>
      </c>
      <c r="F35" s="210">
        <f>ROUND((M35*H51)/2,-2)</f>
        <v>259000</v>
      </c>
      <c r="I35" s="1466"/>
      <c r="J35" s="61" t="s">
        <v>1530</v>
      </c>
      <c r="K35" s="58">
        <f>SUM(K33:K34)</f>
        <v>380400</v>
      </c>
      <c r="L35" s="58">
        <f>SUM(L33:L34)</f>
        <v>394000</v>
      </c>
      <c r="M35" s="40">
        <f>SUM(M33:M34)</f>
        <v>406000</v>
      </c>
      <c r="N35" s="1467">
        <f>SUM(N33:N34)</f>
        <v>4.9000000000000004</v>
      </c>
      <c r="O35" s="1453"/>
    </row>
    <row r="36" spans="1:15" s="40" customFormat="1" x14ac:dyDescent="0.2">
      <c r="A36" s="1309"/>
      <c r="B36" s="35" t="s">
        <v>3832</v>
      </c>
      <c r="C36" s="1445" t="s">
        <v>3826</v>
      </c>
      <c r="D36" s="210">
        <f>ROUND(K40*D51,-2)</f>
        <v>155900</v>
      </c>
      <c r="E36" s="210">
        <f>ROUND(L40*F51,-2)</f>
        <v>0</v>
      </c>
      <c r="F36" s="210">
        <f>ROUND(M40*H51,-2)</f>
        <v>0</v>
      </c>
      <c r="I36" s="1466"/>
      <c r="J36" s="58"/>
      <c r="N36" s="58"/>
      <c r="O36" s="1453"/>
    </row>
    <row r="37" spans="1:15" s="40" customFormat="1" x14ac:dyDescent="0.2">
      <c r="A37" s="1309"/>
      <c r="B37" s="35" t="s">
        <v>3833</v>
      </c>
      <c r="C37" s="1445" t="s">
        <v>3831</v>
      </c>
      <c r="D37" s="210">
        <f>ROUND(K43*D51,-2)</f>
        <v>123200</v>
      </c>
      <c r="E37" s="210">
        <f>ROUND(L43*F51,-2)</f>
        <v>114900</v>
      </c>
      <c r="F37" s="210">
        <f>ROUND(M43*H51,-2)</f>
        <v>118600</v>
      </c>
      <c r="I37" s="1466"/>
      <c r="J37" s="61" t="s">
        <v>6067</v>
      </c>
      <c r="N37" s="1452" t="s">
        <v>3899</v>
      </c>
      <c r="O37" s="1453"/>
    </row>
    <row r="38" spans="1:15" s="40" customFormat="1" x14ac:dyDescent="0.2">
      <c r="A38" s="1309"/>
      <c r="B38" s="58" t="s">
        <v>3633</v>
      </c>
      <c r="C38" s="58"/>
      <c r="D38" s="58">
        <f>SUM(D23:D37)</f>
        <v>10701400</v>
      </c>
      <c r="E38" s="58">
        <f>SUM(E23:E37)</f>
        <v>11359300</v>
      </c>
      <c r="F38" s="58">
        <f>SUM(F23:F37)</f>
        <v>11299100</v>
      </c>
      <c r="I38" s="58"/>
      <c r="J38" s="59" t="s">
        <v>3803</v>
      </c>
      <c r="K38" s="25">
        <v>78000</v>
      </c>
      <c r="L38" s="25">
        <v>0</v>
      </c>
      <c r="M38" s="25">
        <v>0</v>
      </c>
      <c r="N38" s="1466">
        <v>1</v>
      </c>
      <c r="O38" s="1453"/>
    </row>
    <row r="39" spans="1:15" s="40" customFormat="1" x14ac:dyDescent="0.2">
      <c r="A39" s="1309"/>
      <c r="B39" s="58"/>
      <c r="C39" s="58"/>
      <c r="D39" s="58"/>
      <c r="E39" s="1016"/>
      <c r="F39" s="58"/>
      <c r="G39" s="58"/>
      <c r="H39" s="58"/>
      <c r="J39" s="59" t="s">
        <v>3830</v>
      </c>
      <c r="K39" s="25">
        <f>92000/2</f>
        <v>46000</v>
      </c>
      <c r="L39" s="25">
        <v>0</v>
      </c>
      <c r="M39" s="25">
        <v>0</v>
      </c>
      <c r="N39" s="1466">
        <v>0.5</v>
      </c>
      <c r="O39" s="1453"/>
    </row>
    <row r="40" spans="1:15" s="40" customFormat="1" x14ac:dyDescent="0.2">
      <c r="A40" s="1309"/>
      <c r="B40" s="58"/>
      <c r="C40" s="58"/>
      <c r="D40" s="58"/>
      <c r="E40" s="58"/>
      <c r="F40" s="58"/>
      <c r="G40" s="58"/>
      <c r="H40" s="58"/>
      <c r="J40" s="61" t="s">
        <v>1530</v>
      </c>
      <c r="K40" s="58">
        <f>SUM(K38:K39)</f>
        <v>124000</v>
      </c>
      <c r="L40" s="58">
        <f>SUM(L38:L39)</f>
        <v>0</v>
      </c>
      <c r="M40" s="40">
        <f>SUM(M38:M39)</f>
        <v>0</v>
      </c>
      <c r="N40" s="1467">
        <f>SUM(N38:N39)</f>
        <v>1.5</v>
      </c>
      <c r="O40" s="1453"/>
    </row>
    <row r="41" spans="1:15" s="40" customFormat="1" x14ac:dyDescent="0.2">
      <c r="A41" s="1309"/>
      <c r="B41" s="58" t="s">
        <v>3706</v>
      </c>
      <c r="C41" s="1017" t="s">
        <v>6074</v>
      </c>
      <c r="D41" s="58" t="s">
        <v>4567</v>
      </c>
      <c r="E41" s="2222" t="s">
        <v>4568</v>
      </c>
      <c r="F41" s="2226" t="s">
        <v>6080</v>
      </c>
      <c r="G41" s="2444" t="s">
        <v>6949</v>
      </c>
      <c r="H41" s="1610" t="s">
        <v>6950</v>
      </c>
      <c r="J41" s="58"/>
      <c r="N41" s="58"/>
      <c r="O41" s="1453"/>
    </row>
    <row r="42" spans="1:15" s="40" customFormat="1" x14ac:dyDescent="0.2">
      <c r="A42" s="1309"/>
      <c r="B42" s="890" t="s">
        <v>3896</v>
      </c>
      <c r="C42" s="210">
        <v>69064</v>
      </c>
      <c r="D42" s="35">
        <v>17266</v>
      </c>
      <c r="E42" s="210">
        <f t="shared" ref="E42:E48" si="1">F42*4</f>
        <v>71908</v>
      </c>
      <c r="F42" s="35">
        <v>17977</v>
      </c>
      <c r="G42" s="210">
        <f t="shared" ref="G42:G48" si="2">H42*4</f>
        <v>71908</v>
      </c>
      <c r="H42" s="35">
        <v>17977</v>
      </c>
      <c r="J42" s="61" t="s">
        <v>3833</v>
      </c>
      <c r="N42" s="1452" t="s">
        <v>3899</v>
      </c>
      <c r="O42" s="1453"/>
    </row>
    <row r="43" spans="1:15" s="40" customFormat="1" x14ac:dyDescent="0.2">
      <c r="A43" s="1309"/>
      <c r="B43" s="9" t="s">
        <v>3599</v>
      </c>
      <c r="C43" s="210">
        <v>6932</v>
      </c>
      <c r="D43" s="35">
        <v>1733</v>
      </c>
      <c r="E43" s="210">
        <f t="shared" si="1"/>
        <v>67016</v>
      </c>
      <c r="F43" s="35">
        <f>15947+248+559</f>
        <v>16754</v>
      </c>
      <c r="G43" s="210">
        <v>6932</v>
      </c>
      <c r="H43" s="35">
        <v>1733</v>
      </c>
      <c r="J43" s="59" t="s">
        <v>3804</v>
      </c>
      <c r="K43" s="25">
        <f>98000*N43</f>
        <v>98000</v>
      </c>
      <c r="L43" s="25">
        <v>90000</v>
      </c>
      <c r="M43" s="25">
        <f>ROUND(L43*1.03,-3)</f>
        <v>93000</v>
      </c>
      <c r="N43" s="1466">
        <v>1</v>
      </c>
      <c r="O43" s="1453"/>
    </row>
    <row r="44" spans="1:15" s="40" customFormat="1" x14ac:dyDescent="0.2">
      <c r="A44" s="1309"/>
      <c r="B44" s="9" t="s">
        <v>3600</v>
      </c>
      <c r="C44" s="210">
        <v>69404</v>
      </c>
      <c r="D44" s="35">
        <v>17351</v>
      </c>
      <c r="E44" s="210">
        <f t="shared" si="1"/>
        <v>63896</v>
      </c>
      <c r="F44" s="35">
        <f>13508+2439+27</f>
        <v>15974</v>
      </c>
      <c r="G44" s="210">
        <f t="shared" si="2"/>
        <v>63896</v>
      </c>
      <c r="H44" s="35">
        <f>13508+2439+27</f>
        <v>15974</v>
      </c>
      <c r="J44" s="58"/>
      <c r="N44" s="58"/>
      <c r="O44" s="1453"/>
    </row>
    <row r="45" spans="1:15" s="40" customFormat="1" x14ac:dyDescent="0.2">
      <c r="A45" s="1309"/>
      <c r="B45" s="9" t="s">
        <v>410</v>
      </c>
      <c r="C45" s="210">
        <v>0</v>
      </c>
      <c r="D45" s="35">
        <v>13390</v>
      </c>
      <c r="E45" s="210">
        <f t="shared" si="1"/>
        <v>55840</v>
      </c>
      <c r="F45" s="35">
        <f>8628+4280+617+435</f>
        <v>13960</v>
      </c>
      <c r="G45" s="210">
        <v>55840</v>
      </c>
      <c r="H45" s="35">
        <v>13960</v>
      </c>
      <c r="J45" s="58" t="s">
        <v>3907</v>
      </c>
      <c r="N45" s="1452" t="s">
        <v>3899</v>
      </c>
      <c r="O45" s="1453"/>
    </row>
    <row r="46" spans="1:15" s="40" customFormat="1" x14ac:dyDescent="0.2">
      <c r="A46" s="1309"/>
      <c r="B46" s="9" t="s">
        <v>1764</v>
      </c>
      <c r="C46" s="210">
        <v>61468</v>
      </c>
      <c r="D46" s="35">
        <v>15367</v>
      </c>
      <c r="E46" s="210">
        <f t="shared" si="1"/>
        <v>55892</v>
      </c>
      <c r="F46" s="35">
        <f>13551+96+32+9+21+264</f>
        <v>13973</v>
      </c>
      <c r="G46" s="210">
        <f t="shared" si="2"/>
        <v>55892</v>
      </c>
      <c r="H46" s="35">
        <f>13551+96+32+9+21+264</f>
        <v>13973</v>
      </c>
      <c r="J46" s="35" t="s">
        <v>3901</v>
      </c>
      <c r="K46" s="25">
        <f>178000*N46</f>
        <v>178000</v>
      </c>
      <c r="L46" s="25">
        <v>183000</v>
      </c>
      <c r="M46" s="25">
        <f t="shared" ref="M46:M49" si="3">ROUND(L46*1.03,-3)</f>
        <v>188000</v>
      </c>
      <c r="N46" s="1466">
        <v>1</v>
      </c>
      <c r="O46" s="1453"/>
    </row>
    <row r="47" spans="1:15" s="40" customFormat="1" x14ac:dyDescent="0.2">
      <c r="A47" s="1309"/>
      <c r="B47" s="9" t="s">
        <v>3354</v>
      </c>
      <c r="C47" s="210">
        <v>61308</v>
      </c>
      <c r="D47" s="35">
        <v>15327</v>
      </c>
      <c r="E47" s="210">
        <f t="shared" si="1"/>
        <v>55120</v>
      </c>
      <c r="F47" s="35">
        <f>13349+431</f>
        <v>13780</v>
      </c>
      <c r="G47" s="210">
        <f t="shared" si="2"/>
        <v>55120</v>
      </c>
      <c r="H47" s="35">
        <f>13349+431</f>
        <v>13780</v>
      </c>
      <c r="J47" s="35" t="s">
        <v>3902</v>
      </c>
      <c r="K47" s="25">
        <f>220000*N47</f>
        <v>220000</v>
      </c>
      <c r="L47" s="25">
        <v>237000</v>
      </c>
      <c r="M47" s="25">
        <f t="shared" si="3"/>
        <v>244000</v>
      </c>
      <c r="N47" s="1466">
        <v>1</v>
      </c>
      <c r="O47" s="1453"/>
    </row>
    <row r="48" spans="1:15" s="40" customFormat="1" x14ac:dyDescent="0.2">
      <c r="A48" s="1309"/>
      <c r="B48" s="9" t="s">
        <v>2622</v>
      </c>
      <c r="C48" s="210">
        <v>912</v>
      </c>
      <c r="D48" s="35">
        <v>228</v>
      </c>
      <c r="E48" s="210">
        <f t="shared" si="1"/>
        <v>0</v>
      </c>
      <c r="F48" s="35">
        <v>0</v>
      </c>
      <c r="G48" s="210">
        <f t="shared" si="2"/>
        <v>0</v>
      </c>
      <c r="H48" s="35">
        <v>0</v>
      </c>
      <c r="J48" s="35" t="s">
        <v>3903</v>
      </c>
      <c r="K48" s="25">
        <f>72000*N48</f>
        <v>72000</v>
      </c>
      <c r="L48" s="25">
        <v>74000</v>
      </c>
      <c r="M48" s="25">
        <f t="shared" si="3"/>
        <v>76000</v>
      </c>
      <c r="N48" s="1466">
        <v>1</v>
      </c>
      <c r="O48" s="1453"/>
    </row>
    <row r="49" spans="1:15" s="40" customFormat="1" x14ac:dyDescent="0.2">
      <c r="A49" s="1309"/>
      <c r="B49" s="58"/>
      <c r="C49" s="1307">
        <f t="shared" ref="C49:H49" si="4">SUM(C42:C48)</f>
        <v>269088</v>
      </c>
      <c r="D49" s="1307">
        <f t="shared" si="4"/>
        <v>80662</v>
      </c>
      <c r="E49" s="1307">
        <f t="shared" si="4"/>
        <v>369672</v>
      </c>
      <c r="F49" s="1307">
        <f t="shared" si="4"/>
        <v>92418</v>
      </c>
      <c r="G49" s="1307">
        <f t="shared" si="4"/>
        <v>309588</v>
      </c>
      <c r="H49" s="1307">
        <f t="shared" si="4"/>
        <v>77397</v>
      </c>
      <c r="J49" s="35" t="s">
        <v>3904</v>
      </c>
      <c r="K49" s="25">
        <f>77000*N49</f>
        <v>77000</v>
      </c>
      <c r="L49" s="25">
        <v>78000</v>
      </c>
      <c r="M49" s="25">
        <f t="shared" si="3"/>
        <v>80000</v>
      </c>
      <c r="N49" s="1466">
        <v>1</v>
      </c>
      <c r="O49" s="1453"/>
    </row>
    <row r="50" spans="1:15" s="40" customFormat="1" x14ac:dyDescent="0.2">
      <c r="A50" s="1309"/>
      <c r="B50" s="58"/>
      <c r="C50" s="35"/>
      <c r="D50" s="1466"/>
      <c r="F50" s="58"/>
      <c r="G50" s="58"/>
      <c r="H50" s="58"/>
      <c r="J50" s="61" t="s">
        <v>1530</v>
      </c>
      <c r="K50" s="58">
        <f>SUM(K46:K49)</f>
        <v>547000</v>
      </c>
      <c r="L50" s="58">
        <f>SUM(L46:L49)</f>
        <v>572000</v>
      </c>
      <c r="M50" s="40">
        <f>SUM(M46:M49)</f>
        <v>588000</v>
      </c>
      <c r="N50" s="1467">
        <f>SUM(N46:N49)</f>
        <v>4</v>
      </c>
      <c r="O50" s="1453"/>
    </row>
    <row r="51" spans="1:15" s="40" customFormat="1" x14ac:dyDescent="0.2">
      <c r="A51" s="1309"/>
      <c r="B51" s="61" t="s">
        <v>3905</v>
      </c>
      <c r="C51" s="58"/>
      <c r="D51" s="1464">
        <f>1+D61</f>
        <v>1.2576443284015086</v>
      </c>
      <c r="E51" s="1464"/>
      <c r="F51" s="1464">
        <f>1+F61</f>
        <v>1.2767190076719008</v>
      </c>
      <c r="H51" s="1464">
        <f>1+H61</f>
        <v>1.2756978767838496</v>
      </c>
      <c r="J51" s="58"/>
      <c r="K51" s="58"/>
      <c r="L51" s="58"/>
      <c r="M51" s="58"/>
      <c r="N51" s="58"/>
      <c r="O51" s="1453"/>
    </row>
    <row r="52" spans="1:15" s="40" customFormat="1" x14ac:dyDescent="0.2">
      <c r="A52" s="1309"/>
      <c r="B52" s="58"/>
      <c r="C52" s="58"/>
      <c r="D52" s="58"/>
      <c r="E52" s="58"/>
      <c r="F52" s="58"/>
      <c r="G52" s="58"/>
      <c r="H52" s="58"/>
      <c r="I52" s="58"/>
      <c r="J52" s="58"/>
      <c r="K52" s="58"/>
      <c r="L52" s="58"/>
      <c r="M52" s="58"/>
      <c r="N52" s="58"/>
      <c r="O52" s="1453"/>
    </row>
    <row r="53" spans="1:15" s="40" customFormat="1" x14ac:dyDescent="0.2">
      <c r="A53" s="1309"/>
      <c r="B53" s="61" t="s">
        <v>3911</v>
      </c>
      <c r="C53" s="58"/>
      <c r="D53" s="1606" t="str">
        <f>D22</f>
        <v>2015/16</v>
      </c>
      <c r="F53" s="2221" t="str">
        <f>E22</f>
        <v>2016/17</v>
      </c>
      <c r="G53" s="58"/>
      <c r="H53" s="2223" t="s">
        <v>2180</v>
      </c>
      <c r="I53" s="58"/>
      <c r="J53" s="58"/>
      <c r="K53" s="58"/>
      <c r="L53" s="58"/>
      <c r="M53" s="58"/>
      <c r="N53" s="58"/>
      <c r="O53" s="1453"/>
    </row>
    <row r="54" spans="1:15" s="25" customFormat="1" x14ac:dyDescent="0.2">
      <c r="A54" s="1410"/>
      <c r="B54" s="35" t="s">
        <v>3912</v>
      </c>
      <c r="C54" s="35"/>
      <c r="D54" s="25">
        <v>13788000</v>
      </c>
      <c r="F54" s="25">
        <v>13947000</v>
      </c>
      <c r="G54" s="2449">
        <f>(F54-D54)/D54</f>
        <v>1.1531766753698868E-2</v>
      </c>
      <c r="H54" s="35">
        <f>ROUND(F54*1.03,-3)</f>
        <v>14365000</v>
      </c>
      <c r="I54" s="35"/>
      <c r="J54" s="35"/>
      <c r="K54" s="35" t="s">
        <v>6951</v>
      </c>
      <c r="L54" s="35"/>
      <c r="M54" s="35"/>
      <c r="N54" s="35"/>
      <c r="O54" s="1461"/>
    </row>
    <row r="55" spans="1:15" s="25" customFormat="1" x14ac:dyDescent="0.2">
      <c r="A55" s="1410"/>
      <c r="B55" s="35"/>
      <c r="C55" s="35"/>
      <c r="D55" s="35"/>
      <c r="E55" s="35"/>
      <c r="F55" s="35"/>
      <c r="G55" s="35"/>
      <c r="H55" s="35"/>
      <c r="I55" s="35"/>
      <c r="J55" s="35"/>
      <c r="K55" s="35"/>
      <c r="L55" s="35"/>
      <c r="M55" s="35"/>
      <c r="N55" s="35"/>
      <c r="O55" s="1461"/>
    </row>
    <row r="56" spans="1:15" s="25" customFormat="1" x14ac:dyDescent="0.2">
      <c r="A56" s="1410"/>
      <c r="B56" s="58" t="s">
        <v>3936</v>
      </c>
      <c r="C56" s="35"/>
      <c r="D56" s="35"/>
      <c r="E56" s="35"/>
      <c r="F56" s="35"/>
      <c r="G56" s="35"/>
      <c r="H56" s="35"/>
      <c r="I56" s="35"/>
      <c r="J56" s="35"/>
      <c r="K56" s="35"/>
      <c r="L56" s="35"/>
      <c r="M56" s="35"/>
      <c r="N56" s="35"/>
      <c r="O56" s="1461"/>
    </row>
    <row r="57" spans="1:15" s="25" customFormat="1" x14ac:dyDescent="0.2">
      <c r="A57" s="1410"/>
      <c r="B57" s="35" t="s">
        <v>473</v>
      </c>
      <c r="C57" s="35"/>
      <c r="D57" s="35">
        <f>D23</f>
        <v>310900</v>
      </c>
      <c r="F57" s="35">
        <f>E23</f>
        <v>626500</v>
      </c>
      <c r="G57" s="35"/>
      <c r="H57" s="35">
        <f>F23</f>
        <v>605800</v>
      </c>
      <c r="I57" s="35"/>
      <c r="J57" s="35"/>
      <c r="K57" s="35"/>
      <c r="L57" s="35"/>
      <c r="M57" s="35"/>
      <c r="N57" s="35"/>
      <c r="O57" s="1461"/>
    </row>
    <row r="58" spans="1:15" s="25" customFormat="1" x14ac:dyDescent="0.2">
      <c r="A58" s="1410"/>
      <c r="B58" s="35" t="s">
        <v>3913</v>
      </c>
      <c r="C58" s="35"/>
      <c r="D58" s="35">
        <f>D25+K24</f>
        <v>1192300</v>
      </c>
      <c r="F58" s="35">
        <f>E25+L24</f>
        <v>1259500</v>
      </c>
      <c r="G58" s="35"/>
      <c r="H58" s="35">
        <f>F25+M24</f>
        <v>1330200</v>
      </c>
      <c r="I58" s="35"/>
      <c r="J58" s="35"/>
      <c r="K58" s="35"/>
      <c r="L58" s="35"/>
      <c r="M58" s="35"/>
      <c r="N58" s="35"/>
      <c r="O58" s="1461"/>
    </row>
    <row r="59" spans="1:15" s="25" customFormat="1" x14ac:dyDescent="0.2">
      <c r="A59" s="1410"/>
      <c r="B59" s="35" t="s">
        <v>2311</v>
      </c>
      <c r="C59" s="35"/>
      <c r="D59" s="35">
        <f>D27+K30</f>
        <v>2049200</v>
      </c>
      <c r="F59" s="35">
        <f>E27+L30</f>
        <v>1973400</v>
      </c>
      <c r="G59" s="35"/>
      <c r="H59" s="35">
        <f>F27+M30</f>
        <v>2024400</v>
      </c>
      <c r="I59" s="35"/>
      <c r="J59" s="35"/>
      <c r="K59" s="35"/>
      <c r="L59" s="35"/>
      <c r="M59" s="35"/>
      <c r="N59" s="35"/>
      <c r="O59" s="1461"/>
    </row>
    <row r="60" spans="1:15" s="25" customFormat="1" x14ac:dyDescent="0.2">
      <c r="A60" s="1410"/>
      <c r="B60" s="58" t="s">
        <v>1530</v>
      </c>
      <c r="C60" s="58"/>
      <c r="D60" s="58">
        <f>SUM(D57:D59)</f>
        <v>3552400</v>
      </c>
      <c r="F60" s="58">
        <f>SUM(F57:F59)</f>
        <v>3859400</v>
      </c>
      <c r="G60" s="35"/>
      <c r="H60" s="58">
        <f>SUM(H57:H59)</f>
        <v>3960400</v>
      </c>
      <c r="I60" s="35"/>
      <c r="J60" s="35"/>
      <c r="K60" s="35"/>
      <c r="L60" s="35"/>
      <c r="M60" s="35"/>
      <c r="N60" s="35"/>
      <c r="O60" s="1461"/>
    </row>
    <row r="61" spans="1:15" s="25" customFormat="1" x14ac:dyDescent="0.2">
      <c r="A61" s="1410"/>
      <c r="B61" s="35" t="s">
        <v>3914</v>
      </c>
      <c r="C61" s="35"/>
      <c r="D61" s="1446">
        <f>D60/D54</f>
        <v>0.25764432840150858</v>
      </c>
      <c r="F61" s="1446">
        <f>F60/F54</f>
        <v>0.27671900767190077</v>
      </c>
      <c r="G61" s="1462"/>
      <c r="H61" s="1446">
        <f>H60/H54</f>
        <v>0.27569787678384966</v>
      </c>
      <c r="I61" s="35"/>
      <c r="J61" s="35"/>
      <c r="K61" s="35"/>
      <c r="L61" s="35"/>
      <c r="M61" s="35"/>
      <c r="N61" s="35"/>
      <c r="O61" s="1461"/>
    </row>
    <row r="62" spans="1:15" s="25" customFormat="1" x14ac:dyDescent="0.2">
      <c r="A62" s="1410"/>
      <c r="B62" s="35"/>
      <c r="C62" s="35"/>
      <c r="D62" s="35"/>
      <c r="E62" s="1313"/>
      <c r="F62" s="35"/>
      <c r="G62" s="1462"/>
      <c r="H62" s="1462"/>
      <c r="I62" s="35"/>
      <c r="J62" s="35"/>
      <c r="K62" s="1446"/>
      <c r="L62" s="35"/>
      <c r="M62" s="35"/>
      <c r="N62" s="35"/>
      <c r="O62" s="1461"/>
    </row>
    <row r="63" spans="1:15" s="25" customFormat="1" x14ac:dyDescent="0.2">
      <c r="A63" s="1410"/>
      <c r="B63" s="58" t="s">
        <v>3915</v>
      </c>
      <c r="C63" s="35"/>
      <c r="D63" s="35"/>
      <c r="E63" s="1313"/>
      <c r="F63" s="35"/>
      <c r="G63" s="1462"/>
      <c r="H63" s="1462"/>
      <c r="I63" s="35"/>
      <c r="J63" s="35"/>
      <c r="K63" s="1446"/>
      <c r="L63" s="35"/>
      <c r="M63" s="35"/>
      <c r="N63" s="35"/>
      <c r="O63" s="1461"/>
    </row>
    <row r="64" spans="1:15" s="25" customFormat="1" x14ac:dyDescent="0.2">
      <c r="A64" s="1410"/>
      <c r="B64" s="35" t="s">
        <v>1034</v>
      </c>
      <c r="C64" s="35" t="s">
        <v>3952</v>
      </c>
      <c r="D64" s="35"/>
      <c r="E64" s="1313"/>
      <c r="F64" s="35"/>
      <c r="G64" s="1462"/>
      <c r="H64" s="1462"/>
      <c r="I64" s="35"/>
      <c r="J64" s="35"/>
      <c r="K64" s="1446"/>
      <c r="L64" s="35"/>
      <c r="M64" s="35"/>
      <c r="N64" s="35"/>
      <c r="O64" s="1461"/>
    </row>
    <row r="65" spans="1:17" s="25" customFormat="1" x14ac:dyDescent="0.2">
      <c r="A65" s="1410"/>
      <c r="B65" s="35" t="s">
        <v>3812</v>
      </c>
      <c r="C65" s="35" t="s">
        <v>3922</v>
      </c>
      <c r="D65" s="35"/>
      <c r="E65" s="1313"/>
      <c r="F65" s="35"/>
      <c r="G65" s="1462"/>
      <c r="H65" s="1462"/>
      <c r="I65" s="35"/>
      <c r="J65" s="35"/>
      <c r="K65" s="1446"/>
      <c r="L65" s="35"/>
      <c r="M65" s="35"/>
      <c r="N65" s="35"/>
      <c r="O65" s="1461"/>
    </row>
    <row r="66" spans="1:17" s="25" customFormat="1" x14ac:dyDescent="0.2">
      <c r="A66" s="1410"/>
      <c r="B66" s="35" t="s">
        <v>88</v>
      </c>
      <c r="C66" s="35" t="s">
        <v>3953</v>
      </c>
      <c r="D66" s="35"/>
      <c r="E66" s="1313"/>
      <c r="F66" s="35"/>
      <c r="G66" s="1462"/>
      <c r="H66" s="1462"/>
      <c r="I66" s="35"/>
      <c r="J66" s="35"/>
      <c r="K66" s="1446"/>
      <c r="L66" s="35"/>
      <c r="M66" s="35"/>
      <c r="N66" s="35"/>
      <c r="O66" s="1461"/>
    </row>
    <row r="67" spans="1:17" s="25" customFormat="1" x14ac:dyDescent="0.2">
      <c r="A67" s="1410"/>
      <c r="B67" s="35" t="s">
        <v>3725</v>
      </c>
      <c r="C67" s="35" t="s">
        <v>3926</v>
      </c>
      <c r="D67" s="35"/>
      <c r="E67" s="1313"/>
      <c r="F67" s="35"/>
      <c r="G67" s="1462"/>
      <c r="H67" s="1462"/>
      <c r="I67" s="35"/>
      <c r="J67" s="35"/>
      <c r="K67" s="1446"/>
      <c r="L67" s="35"/>
      <c r="M67" s="35"/>
      <c r="N67" s="35"/>
      <c r="O67" s="1461"/>
    </row>
    <row r="68" spans="1:17" s="25" customFormat="1" x14ac:dyDescent="0.2">
      <c r="A68" s="1410"/>
      <c r="B68" s="35" t="s">
        <v>2311</v>
      </c>
      <c r="C68" s="35" t="s">
        <v>3954</v>
      </c>
      <c r="D68" s="35"/>
      <c r="E68" s="1313"/>
      <c r="F68" s="35"/>
      <c r="G68" s="1462"/>
      <c r="H68" s="1462"/>
      <c r="I68" s="35"/>
      <c r="J68" s="35"/>
      <c r="K68" s="1446"/>
      <c r="L68" s="35"/>
      <c r="M68" s="35"/>
      <c r="N68" s="35"/>
      <c r="O68" s="1461"/>
    </row>
    <row r="69" spans="1:17" s="25" customFormat="1" x14ac:dyDescent="0.2">
      <c r="A69" s="1410"/>
      <c r="B69" s="35" t="s">
        <v>3916</v>
      </c>
      <c r="C69" s="35" t="s">
        <v>3955</v>
      </c>
      <c r="D69" s="35"/>
      <c r="E69" s="1313"/>
      <c r="F69" s="35"/>
      <c r="G69" s="1462"/>
      <c r="H69" s="1462"/>
      <c r="I69" s="35"/>
      <c r="J69" s="35"/>
      <c r="K69" s="1446"/>
      <c r="L69" s="35"/>
      <c r="M69" s="35"/>
      <c r="N69" s="35"/>
      <c r="O69" s="1461"/>
    </row>
    <row r="70" spans="1:17" s="25" customFormat="1" x14ac:dyDescent="0.2">
      <c r="A70" s="1410"/>
      <c r="B70" s="35" t="s">
        <v>3917</v>
      </c>
      <c r="C70" s="35" t="s">
        <v>3952</v>
      </c>
      <c r="D70" s="35"/>
      <c r="E70" s="1313"/>
      <c r="F70" s="35"/>
      <c r="G70" s="1462"/>
      <c r="H70" s="1462"/>
      <c r="I70" s="35"/>
      <c r="J70" s="35"/>
      <c r="K70" s="1446"/>
      <c r="L70" s="35"/>
      <c r="M70" s="35"/>
      <c r="N70" s="35"/>
      <c r="O70" s="1461"/>
    </row>
    <row r="71" spans="1:17" s="25" customFormat="1" x14ac:dyDescent="0.2">
      <c r="A71" s="1410"/>
      <c r="B71" s="35" t="s">
        <v>783</v>
      </c>
      <c r="C71" s="35" t="s">
        <v>3952</v>
      </c>
      <c r="D71" s="35"/>
      <c r="E71" s="1313"/>
      <c r="F71" s="35"/>
      <c r="G71" s="1462"/>
      <c r="H71" s="1462"/>
      <c r="I71" s="35"/>
      <c r="J71" s="35"/>
      <c r="K71" s="1446"/>
      <c r="L71" s="35"/>
      <c r="M71" s="35"/>
      <c r="N71" s="35"/>
      <c r="O71" s="1461"/>
    </row>
    <row r="72" spans="1:17" s="25" customFormat="1" x14ac:dyDescent="0.2">
      <c r="A72" s="1410"/>
      <c r="B72" s="35" t="s">
        <v>3918</v>
      </c>
      <c r="C72" s="35" t="s">
        <v>3930</v>
      </c>
      <c r="D72" s="35"/>
      <c r="E72" s="1313"/>
      <c r="F72" s="35"/>
      <c r="G72" s="1462"/>
      <c r="H72" s="1462"/>
      <c r="I72" s="35"/>
      <c r="J72" s="35"/>
      <c r="K72" s="1446"/>
      <c r="L72" s="35"/>
      <c r="M72" s="35"/>
      <c r="N72" s="35"/>
      <c r="O72" s="1461"/>
    </row>
    <row r="73" spans="1:17" s="25" customFormat="1" x14ac:dyDescent="0.2">
      <c r="A73" s="1410"/>
      <c r="B73" s="35" t="s">
        <v>3919</v>
      </c>
      <c r="C73" s="35" t="s">
        <v>3934</v>
      </c>
      <c r="D73" s="35"/>
      <c r="E73" s="1313"/>
      <c r="F73" s="35"/>
      <c r="G73" s="1462"/>
      <c r="H73" s="1462"/>
      <c r="I73" s="35"/>
      <c r="J73" s="35"/>
      <c r="K73" s="1446"/>
      <c r="L73" s="35"/>
      <c r="M73" s="35"/>
      <c r="N73" s="35"/>
      <c r="O73" s="1461"/>
    </row>
    <row r="74" spans="1:17" s="25" customFormat="1" x14ac:dyDescent="0.2">
      <c r="A74" s="1410"/>
      <c r="B74" s="35" t="s">
        <v>3920</v>
      </c>
      <c r="C74" s="35" t="s">
        <v>3951</v>
      </c>
      <c r="D74" s="35"/>
      <c r="E74" s="1313"/>
      <c r="F74" s="35"/>
      <c r="G74" s="1462"/>
      <c r="H74" s="1462"/>
      <c r="I74" s="35"/>
      <c r="J74" s="35"/>
      <c r="K74" s="1446"/>
      <c r="L74" s="35"/>
      <c r="M74" s="35"/>
      <c r="N74" s="35"/>
      <c r="O74" s="1461"/>
    </row>
    <row r="75" spans="1:17" s="25" customFormat="1" x14ac:dyDescent="0.2">
      <c r="A75" s="1410"/>
      <c r="B75" s="35" t="s">
        <v>3921</v>
      </c>
      <c r="C75" s="35" t="s">
        <v>3935</v>
      </c>
      <c r="D75" s="35"/>
      <c r="E75" s="1313"/>
      <c r="F75" s="35"/>
      <c r="G75" s="1462"/>
      <c r="H75" s="1462"/>
      <c r="I75" s="35"/>
      <c r="J75" s="35"/>
      <c r="K75" s="1446"/>
      <c r="L75" s="35"/>
      <c r="M75" s="35"/>
      <c r="N75" s="35"/>
      <c r="O75" s="1461"/>
    </row>
    <row r="76" spans="1:17" s="25" customFormat="1" x14ac:dyDescent="0.2">
      <c r="A76" s="1410"/>
      <c r="B76" s="35" t="s">
        <v>3811</v>
      </c>
      <c r="C76" s="35" t="s">
        <v>3928</v>
      </c>
      <c r="D76" s="35"/>
      <c r="E76" s="1313"/>
      <c r="F76" s="35"/>
      <c r="G76" s="1462"/>
      <c r="H76" s="1462"/>
      <c r="I76" s="35"/>
      <c r="J76" s="35"/>
      <c r="K76" s="1446"/>
      <c r="L76" s="35"/>
      <c r="M76" s="35"/>
      <c r="N76" s="35"/>
      <c r="O76" s="1461"/>
    </row>
    <row r="77" spans="1:17" s="25" customFormat="1" x14ac:dyDescent="0.2">
      <c r="A77" s="1410"/>
      <c r="B77" s="35" t="s">
        <v>3832</v>
      </c>
      <c r="C77" s="35" t="s">
        <v>3927</v>
      </c>
      <c r="D77" s="35"/>
      <c r="E77" s="1313"/>
      <c r="F77" s="35"/>
      <c r="G77" s="1462"/>
      <c r="H77" s="1462"/>
      <c r="I77" s="35"/>
      <c r="J77" s="35"/>
      <c r="K77" s="1446"/>
      <c r="L77" s="35"/>
      <c r="M77" s="35"/>
      <c r="N77" s="35"/>
      <c r="O77" s="1461"/>
    </row>
    <row r="78" spans="1:17" s="25" customFormat="1" x14ac:dyDescent="0.2">
      <c r="A78" s="1410"/>
      <c r="B78" s="35" t="s">
        <v>3833</v>
      </c>
      <c r="C78" s="35" t="s">
        <v>3929</v>
      </c>
      <c r="D78" s="35"/>
      <c r="E78" s="1313"/>
      <c r="F78" s="35"/>
      <c r="G78" s="1462"/>
      <c r="H78" s="1462"/>
      <c r="I78" s="35"/>
      <c r="J78" s="35"/>
      <c r="K78" s="1446"/>
      <c r="L78" s="35"/>
      <c r="M78" s="35"/>
      <c r="N78" s="35"/>
      <c r="O78" s="1461"/>
      <c r="P78"/>
      <c r="Q78"/>
    </row>
    <row r="79" spans="1:17" s="40" customFormat="1" ht="13.5" thickBot="1" x14ac:dyDescent="0.25">
      <c r="A79" s="1325"/>
      <c r="B79" s="1322"/>
      <c r="C79" s="1322"/>
      <c r="D79" s="1322"/>
      <c r="E79" s="1322"/>
      <c r="F79" s="1167"/>
      <c r="G79" s="1167"/>
      <c r="H79" s="1167"/>
      <c r="I79" s="1167"/>
      <c r="J79" s="1167"/>
      <c r="K79" s="1167"/>
      <c r="L79" s="1167"/>
      <c r="M79" s="1322"/>
      <c r="N79" s="1322"/>
      <c r="O79" s="1323"/>
      <c r="P79"/>
      <c r="Q79"/>
    </row>
    <row r="80" spans="1:17" ht="13.5" thickBot="1" x14ac:dyDescent="0.25"/>
    <row r="81" spans="1:21" ht="13.5" thickBot="1" x14ac:dyDescent="0.25">
      <c r="A81" s="1611"/>
      <c r="B81" s="1612" t="s">
        <v>4569</v>
      </c>
      <c r="C81" s="3033" t="s">
        <v>6068</v>
      </c>
      <c r="D81" s="3034"/>
      <c r="E81" s="3034"/>
      <c r="F81" s="3034"/>
      <c r="G81" s="3034"/>
      <c r="H81" s="3034"/>
      <c r="I81" s="3035"/>
      <c r="J81" s="3033" t="s">
        <v>6069</v>
      </c>
      <c r="K81" s="3034"/>
      <c r="L81" s="3034"/>
      <c r="M81" s="3034"/>
      <c r="N81" s="3034"/>
      <c r="O81" s="3035"/>
      <c r="P81" s="3033" t="s">
        <v>6952</v>
      </c>
      <c r="Q81" s="3034"/>
      <c r="R81" s="3034"/>
      <c r="S81" s="3034"/>
      <c r="T81" s="3034"/>
      <c r="U81" s="3035"/>
    </row>
    <row r="82" spans="1:21" ht="13.5" thickBot="1" x14ac:dyDescent="0.25">
      <c r="A82" s="1396"/>
      <c r="B82" s="1397" t="s">
        <v>3699</v>
      </c>
      <c r="C82" s="1423" t="s">
        <v>3704</v>
      </c>
      <c r="D82" s="1423" t="s">
        <v>3815</v>
      </c>
      <c r="E82" s="1423" t="s">
        <v>3825</v>
      </c>
      <c r="F82" s="1423" t="s">
        <v>3702</v>
      </c>
      <c r="G82" s="1423" t="s">
        <v>3703</v>
      </c>
      <c r="H82" s="2401"/>
      <c r="I82" s="1613" t="s">
        <v>6070</v>
      </c>
      <c r="J82" s="1423" t="s">
        <v>3704</v>
      </c>
      <c r="K82" s="1423" t="s">
        <v>3815</v>
      </c>
      <c r="L82" s="1423" t="s">
        <v>3825</v>
      </c>
      <c r="M82" s="1423" t="s">
        <v>3702</v>
      </c>
      <c r="N82" s="1423" t="s">
        <v>3703</v>
      </c>
      <c r="O82" s="1613" t="str">
        <f>I82</f>
        <v>Assets (Note9a)</v>
      </c>
      <c r="P82" s="1423" t="s">
        <v>3704</v>
      </c>
      <c r="Q82" s="1423" t="s">
        <v>3815</v>
      </c>
      <c r="R82" s="1423" t="s">
        <v>3825</v>
      </c>
      <c r="S82" s="1423" t="s">
        <v>3702</v>
      </c>
      <c r="T82" s="1423" t="s">
        <v>3703</v>
      </c>
      <c r="U82" s="1613" t="str">
        <f>O82</f>
        <v>Assets (Note9a)</v>
      </c>
    </row>
    <row r="83" spans="1:21" x14ac:dyDescent="0.2">
      <c r="A83" s="1380"/>
      <c r="B83" s="1392" t="s">
        <v>783</v>
      </c>
      <c r="C83" s="231">
        <v>1040600</v>
      </c>
      <c r="D83" s="231">
        <v>0</v>
      </c>
      <c r="E83" s="231"/>
      <c r="F83" s="1407">
        <v>2</v>
      </c>
      <c r="G83" s="1407">
        <v>16.5</v>
      </c>
      <c r="H83" s="2402"/>
      <c r="I83" s="1166">
        <v>0</v>
      </c>
      <c r="J83" s="231">
        <f>GM!D20</f>
        <v>1160800</v>
      </c>
      <c r="K83" s="231">
        <f>GM!D7</f>
        <v>4300</v>
      </c>
      <c r="L83" s="231"/>
      <c r="M83" s="1407">
        <v>4</v>
      </c>
      <c r="N83" s="1407">
        <f>3.5+16.5</f>
        <v>20</v>
      </c>
      <c r="O83" s="1166">
        <v>0</v>
      </c>
      <c r="P83" s="231">
        <f>GM!G20</f>
        <v>1653300</v>
      </c>
      <c r="Q83" s="231">
        <f>GM!G7</f>
        <v>0</v>
      </c>
      <c r="R83" s="231"/>
      <c r="S83" s="1407">
        <v>4</v>
      </c>
      <c r="T83" s="1407">
        <f>3.5+16.5</f>
        <v>20</v>
      </c>
      <c r="U83" s="1166">
        <v>0</v>
      </c>
    </row>
    <row r="84" spans="1:21" x14ac:dyDescent="0.2">
      <c r="A84" s="1380"/>
      <c r="B84" s="1392" t="s">
        <v>1034</v>
      </c>
      <c r="C84" s="231">
        <v>566500</v>
      </c>
      <c r="D84" s="231">
        <v>29000</v>
      </c>
      <c r="E84" s="231"/>
      <c r="F84" s="1407">
        <v>3.6</v>
      </c>
      <c r="G84" s="1407">
        <v>5</v>
      </c>
      <c r="H84" s="2402"/>
      <c r="I84" s="1166">
        <v>0</v>
      </c>
      <c r="J84" s="231">
        <f>GM!D21</f>
        <v>310900</v>
      </c>
      <c r="K84" s="231">
        <f>GM!D8</f>
        <v>42500</v>
      </c>
      <c r="L84" s="231"/>
      <c r="M84" s="1407">
        <v>1</v>
      </c>
      <c r="N84" s="1407">
        <v>1</v>
      </c>
      <c r="O84" s="1166">
        <v>0</v>
      </c>
      <c r="P84" s="231">
        <f>GM!G21</f>
        <v>296500</v>
      </c>
      <c r="Q84" s="231">
        <f>GM!G8</f>
        <v>29500</v>
      </c>
      <c r="R84" s="231"/>
      <c r="S84" s="1407">
        <v>1</v>
      </c>
      <c r="T84" s="1407">
        <v>1</v>
      </c>
      <c r="U84" s="1166">
        <v>0</v>
      </c>
    </row>
    <row r="85" spans="1:21" x14ac:dyDescent="0.2">
      <c r="A85" s="1380"/>
      <c r="B85" s="1392" t="s">
        <v>88</v>
      </c>
      <c r="C85" s="231">
        <v>-3744300</v>
      </c>
      <c r="D85" s="231">
        <v>22529500</v>
      </c>
      <c r="E85" s="231">
        <v>69064</v>
      </c>
      <c r="F85" s="1407">
        <v>12.4</v>
      </c>
      <c r="G85" s="1407">
        <v>16.5</v>
      </c>
      <c r="H85" s="2402"/>
      <c r="I85" s="1166">
        <v>0</v>
      </c>
      <c r="J85" s="231">
        <f>GM!D22</f>
        <v>-4086900</v>
      </c>
      <c r="K85" s="231">
        <f>GM!D9+GM!D10</f>
        <v>23689400</v>
      </c>
      <c r="L85" s="231">
        <f>E42</f>
        <v>71908</v>
      </c>
      <c r="M85" s="1407">
        <f>8+4.2</f>
        <v>12.2</v>
      </c>
      <c r="N85" s="1407">
        <v>8.5</v>
      </c>
      <c r="O85" s="1166">
        <v>0</v>
      </c>
      <c r="P85" s="231">
        <f>GM!G22</f>
        <v>-4197500</v>
      </c>
      <c r="Q85" s="231">
        <f>GM!G9+GM!G10</f>
        <v>25083000</v>
      </c>
      <c r="R85" s="231">
        <f>G42</f>
        <v>71908</v>
      </c>
      <c r="S85" s="1407">
        <f>8+4.2</f>
        <v>12.2</v>
      </c>
      <c r="T85" s="1407">
        <v>8.5</v>
      </c>
      <c r="U85" s="1166">
        <v>0</v>
      </c>
    </row>
    <row r="86" spans="1:21" x14ac:dyDescent="0.2">
      <c r="A86" s="1380"/>
      <c r="B86" s="1392" t="s">
        <v>2311</v>
      </c>
      <c r="C86" s="231">
        <v>1634300</v>
      </c>
      <c r="D86" s="231">
        <v>8500</v>
      </c>
      <c r="E86" s="231"/>
      <c r="F86" s="1407">
        <v>8.8000000000000007</v>
      </c>
      <c r="G86" s="1407">
        <v>13</v>
      </c>
      <c r="H86" s="2402"/>
      <c r="I86" s="1166">
        <v>0</v>
      </c>
      <c r="J86" s="231">
        <f>GM!D23</f>
        <v>2049200</v>
      </c>
      <c r="K86" s="231">
        <f>GM!D11</f>
        <v>3100</v>
      </c>
      <c r="L86" s="231"/>
      <c r="M86" s="1407">
        <f>10+4</f>
        <v>14</v>
      </c>
      <c r="N86" s="1407">
        <v>20</v>
      </c>
      <c r="O86" s="1166">
        <v>0</v>
      </c>
      <c r="P86" s="231">
        <f>GM!G23</f>
        <v>2303400</v>
      </c>
      <c r="Q86" s="231">
        <f>GM!G11</f>
        <v>177000</v>
      </c>
      <c r="R86" s="231"/>
      <c r="S86" s="1407">
        <f>10+4</f>
        <v>14</v>
      </c>
      <c r="T86" s="1407">
        <v>20</v>
      </c>
      <c r="U86" s="1166">
        <v>0</v>
      </c>
    </row>
    <row r="87" spans="1:21" x14ac:dyDescent="0.2">
      <c r="A87" s="1380"/>
      <c r="B87" s="1393" t="s">
        <v>3700</v>
      </c>
      <c r="C87" s="231">
        <v>1915100</v>
      </c>
      <c r="D87" s="231">
        <v>299000</v>
      </c>
      <c r="E87" s="231"/>
      <c r="F87" s="1407">
        <v>7.2</v>
      </c>
      <c r="G87" s="1407">
        <v>13</v>
      </c>
      <c r="H87" s="2402"/>
      <c r="I87" s="1166">
        <v>0</v>
      </c>
      <c r="J87" s="231">
        <f>GM!D24</f>
        <v>1282200</v>
      </c>
      <c r="K87" s="231">
        <f>GM!D12</f>
        <v>191400</v>
      </c>
      <c r="L87" s="231"/>
      <c r="M87" s="1407">
        <v>8.4</v>
      </c>
      <c r="N87" s="1407">
        <v>15</v>
      </c>
      <c r="O87" s="1166">
        <v>0</v>
      </c>
      <c r="P87" s="231">
        <f>GM!G24</f>
        <v>1010500</v>
      </c>
      <c r="Q87" s="231">
        <f>GM!G12</f>
        <v>323000</v>
      </c>
      <c r="R87" s="231"/>
      <c r="S87" s="1407">
        <v>8.4</v>
      </c>
      <c r="T87" s="1407">
        <v>15</v>
      </c>
      <c r="U87" s="1166">
        <v>0</v>
      </c>
    </row>
    <row r="88" spans="1:21" x14ac:dyDescent="0.2">
      <c r="A88" s="1380"/>
      <c r="B88" s="1392" t="s">
        <v>2543</v>
      </c>
      <c r="C88" s="231">
        <v>3754700</v>
      </c>
      <c r="D88" s="231">
        <v>2594700</v>
      </c>
      <c r="E88" s="231"/>
      <c r="F88" s="1407">
        <v>2</v>
      </c>
      <c r="G88" s="1407">
        <v>3.5</v>
      </c>
      <c r="H88" s="2402"/>
      <c r="I88" s="1166">
        <v>0</v>
      </c>
      <c r="J88" s="231">
        <f>GM!D997</f>
        <v>2697100</v>
      </c>
      <c r="K88" s="231">
        <f>GM!D913</f>
        <v>2149200</v>
      </c>
      <c r="L88" s="231"/>
      <c r="M88" s="1407">
        <v>2</v>
      </c>
      <c r="N88" s="1407">
        <v>3.5</v>
      </c>
      <c r="O88" s="1166">
        <v>0</v>
      </c>
      <c r="P88" s="231">
        <f>GM!G997</f>
        <v>2920600</v>
      </c>
      <c r="Q88" s="231">
        <f>GM!G913</f>
        <v>2602700</v>
      </c>
      <c r="R88" s="231"/>
      <c r="S88" s="1407">
        <v>2</v>
      </c>
      <c r="T88" s="1407">
        <v>3.5</v>
      </c>
      <c r="U88" s="1166">
        <v>0</v>
      </c>
    </row>
    <row r="89" spans="1:21" x14ac:dyDescent="0.2">
      <c r="A89" s="1380"/>
      <c r="B89" s="1392" t="s">
        <v>1734</v>
      </c>
      <c r="C89" s="231">
        <v>275100</v>
      </c>
      <c r="D89" s="231">
        <v>409500</v>
      </c>
      <c r="E89" s="231"/>
      <c r="F89" s="1407">
        <v>0</v>
      </c>
      <c r="G89" s="1407">
        <v>0.5</v>
      </c>
      <c r="H89" s="2402"/>
      <c r="I89" s="1166">
        <v>0</v>
      </c>
      <c r="J89" s="231">
        <f>GM!D1055</f>
        <v>264600</v>
      </c>
      <c r="K89" s="231">
        <f>GM!D1023</f>
        <v>421600</v>
      </c>
      <c r="L89" s="231"/>
      <c r="M89" s="1407"/>
      <c r="N89" s="1407">
        <v>1</v>
      </c>
      <c r="O89" s="1166">
        <v>0</v>
      </c>
      <c r="P89" s="231">
        <f>GM!G1055</f>
        <v>295700</v>
      </c>
      <c r="Q89" s="231">
        <f>GM!G1023</f>
        <v>430300</v>
      </c>
      <c r="R89" s="231"/>
      <c r="S89" s="1407"/>
      <c r="T89" s="1407">
        <v>1</v>
      </c>
      <c r="U89" s="1166">
        <v>0</v>
      </c>
    </row>
    <row r="90" spans="1:21" x14ac:dyDescent="0.2">
      <c r="A90" s="1380"/>
      <c r="B90" s="1392" t="s">
        <v>2129</v>
      </c>
      <c r="C90" s="231">
        <v>4352600</v>
      </c>
      <c r="D90" s="231">
        <v>4831100</v>
      </c>
      <c r="E90" s="231"/>
      <c r="F90" s="1407">
        <v>6</v>
      </c>
      <c r="G90" s="1407">
        <v>10</v>
      </c>
      <c r="H90" s="2402"/>
      <c r="I90" s="1166">
        <v>0</v>
      </c>
      <c r="J90" s="231">
        <f>GM!D26</f>
        <v>4513400</v>
      </c>
      <c r="K90" s="231">
        <f>GM!D14</f>
        <v>5111900</v>
      </c>
      <c r="L90" s="231"/>
      <c r="M90" s="1407">
        <v>6</v>
      </c>
      <c r="N90" s="1407">
        <v>11</v>
      </c>
      <c r="O90" s="1166">
        <v>0</v>
      </c>
      <c r="P90" s="231">
        <f>GM!G26</f>
        <v>4877900</v>
      </c>
      <c r="Q90" s="231">
        <f>GM!G14</f>
        <v>5592400</v>
      </c>
      <c r="R90" s="231"/>
      <c r="S90" s="1407">
        <v>6</v>
      </c>
      <c r="T90" s="1407">
        <v>11</v>
      </c>
      <c r="U90" s="1166">
        <v>0</v>
      </c>
    </row>
    <row r="91" spans="1:21" x14ac:dyDescent="0.2">
      <c r="A91" s="1380"/>
      <c r="B91" s="9" t="s">
        <v>218</v>
      </c>
      <c r="C91" s="231">
        <v>1415850</v>
      </c>
      <c r="D91" s="231">
        <v>369800</v>
      </c>
      <c r="E91" s="231"/>
      <c r="F91" s="1407">
        <v>7.8</v>
      </c>
      <c r="G91" s="1407">
        <v>12.5</v>
      </c>
      <c r="H91" s="2402"/>
      <c r="I91" s="1166">
        <v>0</v>
      </c>
      <c r="J91" s="231">
        <f>SP!D18</f>
        <v>1205100</v>
      </c>
      <c r="K91" s="231">
        <f>SP!D7</f>
        <v>358700</v>
      </c>
      <c r="L91" s="231"/>
      <c r="M91" s="1407"/>
      <c r="N91" s="1407">
        <v>12.5</v>
      </c>
      <c r="O91" s="1166">
        <v>0</v>
      </c>
      <c r="P91" s="231">
        <f>SP!G18</f>
        <v>1521100</v>
      </c>
      <c r="Q91" s="231">
        <f>SP!G7</f>
        <v>225500</v>
      </c>
      <c r="R91" s="231"/>
      <c r="S91" s="1407"/>
      <c r="T91" s="1407">
        <v>12.5</v>
      </c>
      <c r="U91" s="1166">
        <v>0</v>
      </c>
    </row>
    <row r="92" spans="1:21" x14ac:dyDescent="0.2">
      <c r="A92" s="1380"/>
      <c r="B92" s="9" t="s">
        <v>3562</v>
      </c>
      <c r="C92" s="231">
        <v>1602100</v>
      </c>
      <c r="D92" s="231">
        <v>378700</v>
      </c>
      <c r="E92" s="231"/>
      <c r="F92" s="1407">
        <v>2.2000000000000002</v>
      </c>
      <c r="G92" s="1407">
        <v>4.5</v>
      </c>
      <c r="H92" s="2402"/>
      <c r="I92" s="1166">
        <v>0</v>
      </c>
      <c r="J92" s="231">
        <f>SP!D19</f>
        <v>1623100</v>
      </c>
      <c r="K92" s="231">
        <f>SP!D8</f>
        <v>385800</v>
      </c>
      <c r="L92" s="231"/>
      <c r="M92" s="1407">
        <v>17.399999999999999</v>
      </c>
      <c r="N92" s="1407"/>
      <c r="O92" s="1166">
        <v>0</v>
      </c>
      <c r="P92" s="231">
        <f>SP!G19</f>
        <v>1696900</v>
      </c>
      <c r="Q92" s="231">
        <f>SP!G8</f>
        <v>403000</v>
      </c>
      <c r="R92" s="231"/>
      <c r="S92" s="1407">
        <v>17.399999999999999</v>
      </c>
      <c r="T92" s="1407"/>
      <c r="U92" s="1166">
        <v>0</v>
      </c>
    </row>
    <row r="93" spans="1:21" x14ac:dyDescent="0.2">
      <c r="A93" s="1380"/>
      <c r="B93" s="9" t="s">
        <v>3555</v>
      </c>
      <c r="C93" s="231">
        <v>894500</v>
      </c>
      <c r="D93" s="231">
        <v>106900</v>
      </c>
      <c r="E93" s="231"/>
      <c r="F93" s="1407">
        <v>7.6</v>
      </c>
      <c r="G93" s="1407">
        <v>15.5</v>
      </c>
      <c r="H93" s="2402"/>
      <c r="I93" s="1166">
        <v>0</v>
      </c>
      <c r="J93" s="231">
        <f>SP!D20</f>
        <v>934600</v>
      </c>
      <c r="K93" s="231">
        <f>SP!D9</f>
        <v>134600</v>
      </c>
      <c r="L93" s="231"/>
      <c r="M93" s="1407">
        <v>6</v>
      </c>
      <c r="N93" s="1407">
        <v>10</v>
      </c>
      <c r="O93" s="1166">
        <v>0</v>
      </c>
      <c r="P93" s="231">
        <f>SP!G20</f>
        <v>912800</v>
      </c>
      <c r="Q93" s="231">
        <f>SP!G9</f>
        <v>135400</v>
      </c>
      <c r="R93" s="231"/>
      <c r="S93" s="1407">
        <v>6</v>
      </c>
      <c r="T93" s="1407">
        <v>10</v>
      </c>
      <c r="U93" s="1166">
        <v>0</v>
      </c>
    </row>
    <row r="94" spans="1:21" x14ac:dyDescent="0.2">
      <c r="A94" s="1380"/>
      <c r="B94" s="9" t="s">
        <v>2923</v>
      </c>
      <c r="C94" s="231">
        <v>1643700</v>
      </c>
      <c r="D94" s="231">
        <v>112000</v>
      </c>
      <c r="E94" s="231"/>
      <c r="F94" s="1407">
        <v>0</v>
      </c>
      <c r="G94" s="1407">
        <v>0</v>
      </c>
      <c r="H94" s="2402"/>
      <c r="I94" s="1166">
        <v>0</v>
      </c>
      <c r="J94" s="231">
        <f>SP!D21</f>
        <v>1571000</v>
      </c>
      <c r="K94" s="231">
        <f>SP!D10</f>
        <v>111900</v>
      </c>
      <c r="L94" s="231"/>
      <c r="M94" s="1407"/>
      <c r="N94" s="1407"/>
      <c r="O94" s="1166">
        <v>0</v>
      </c>
      <c r="P94" s="231">
        <f>SP!G21</f>
        <v>1688000</v>
      </c>
      <c r="Q94" s="231">
        <f>SP!G10</f>
        <v>118600</v>
      </c>
      <c r="R94" s="231"/>
      <c r="S94" s="1407"/>
      <c r="T94" s="1407"/>
      <c r="U94" s="1166">
        <v>0</v>
      </c>
    </row>
    <row r="95" spans="1:21" x14ac:dyDescent="0.2">
      <c r="A95" s="1380"/>
      <c r="B95" s="9" t="s">
        <v>389</v>
      </c>
      <c r="C95" s="231">
        <v>909000</v>
      </c>
      <c r="D95" s="231">
        <v>352000</v>
      </c>
      <c r="E95" s="231"/>
      <c r="F95" s="1407">
        <v>0</v>
      </c>
      <c r="G95" s="1407">
        <v>0</v>
      </c>
      <c r="H95" s="2402"/>
      <c r="I95" s="1166">
        <v>0</v>
      </c>
      <c r="J95" s="231">
        <f>SP!D22</f>
        <v>792800</v>
      </c>
      <c r="K95" s="231">
        <f>SP!D11</f>
        <v>407300</v>
      </c>
      <c r="L95" s="231"/>
      <c r="M95" s="1407"/>
      <c r="N95" s="1407"/>
      <c r="O95" s="1166">
        <v>0</v>
      </c>
      <c r="P95" s="231">
        <f>SP!G22</f>
        <v>887700</v>
      </c>
      <c r="Q95" s="231">
        <f>SP!G11</f>
        <v>388000</v>
      </c>
      <c r="R95" s="231"/>
      <c r="S95" s="1407"/>
      <c r="T95" s="1407"/>
      <c r="U95" s="1166">
        <v>0</v>
      </c>
    </row>
    <row r="96" spans="1:21" x14ac:dyDescent="0.2">
      <c r="A96" s="1380"/>
      <c r="B96" s="9" t="s">
        <v>3307</v>
      </c>
      <c r="C96" s="231">
        <v>919500</v>
      </c>
      <c r="D96" s="231">
        <v>141000</v>
      </c>
      <c r="E96" s="231"/>
      <c r="F96" s="1407">
        <v>5</v>
      </c>
      <c r="G96" s="1407">
        <v>6.5</v>
      </c>
      <c r="H96" s="2402"/>
      <c r="I96" s="1166">
        <v>0</v>
      </c>
      <c r="J96" s="231">
        <f>SP!D23</f>
        <v>740400</v>
      </c>
      <c r="K96" s="231">
        <f>SP!D12</f>
        <v>144900</v>
      </c>
      <c r="L96" s="231"/>
      <c r="M96" s="1407">
        <v>2.25</v>
      </c>
      <c r="N96" s="1407">
        <v>5</v>
      </c>
      <c r="O96" s="1166">
        <v>0</v>
      </c>
      <c r="P96" s="231">
        <f>SP!G23</f>
        <v>732100</v>
      </c>
      <c r="Q96" s="231">
        <f>SP!G12</f>
        <v>114800</v>
      </c>
      <c r="R96" s="231"/>
      <c r="S96" s="1407">
        <v>2.25</v>
      </c>
      <c r="T96" s="1407">
        <v>5</v>
      </c>
      <c r="U96" s="1166">
        <v>0</v>
      </c>
    </row>
    <row r="97" spans="1:23" x14ac:dyDescent="0.2">
      <c r="A97" s="1380"/>
      <c r="B97" s="9" t="s">
        <v>1259</v>
      </c>
      <c r="C97" s="231">
        <v>1173000</v>
      </c>
      <c r="D97" s="231">
        <v>324000</v>
      </c>
      <c r="E97" s="231"/>
      <c r="F97" s="1407">
        <v>9</v>
      </c>
      <c r="G97" s="1407">
        <v>13.5</v>
      </c>
      <c r="H97" s="2402"/>
      <c r="I97" s="1166">
        <v>0</v>
      </c>
      <c r="J97" s="231">
        <f>DEH!D16</f>
        <v>1084700</v>
      </c>
      <c r="K97" s="231">
        <f>DEH!D7</f>
        <v>604000</v>
      </c>
      <c r="L97" s="231"/>
      <c r="M97" s="1407">
        <v>8.6999999999999993</v>
      </c>
      <c r="N97" s="1407">
        <v>13.5</v>
      </c>
      <c r="O97" s="1166">
        <v>0</v>
      </c>
      <c r="P97" s="231">
        <f>DEH!G16</f>
        <v>1277500</v>
      </c>
      <c r="Q97" s="231">
        <f>DEH!G7</f>
        <v>692000</v>
      </c>
      <c r="R97" s="231"/>
      <c r="S97" s="1407">
        <v>8.6999999999999993</v>
      </c>
      <c r="T97" s="1407">
        <v>13.5</v>
      </c>
      <c r="U97" s="1166">
        <v>0</v>
      </c>
    </row>
    <row r="98" spans="1:23" x14ac:dyDescent="0.2">
      <c r="A98" s="1380"/>
      <c r="B98" s="9" t="s">
        <v>2698</v>
      </c>
      <c r="C98" s="231">
        <v>739100</v>
      </c>
      <c r="D98" s="231">
        <v>1090000</v>
      </c>
      <c r="E98" s="231"/>
      <c r="F98" s="1407">
        <v>7</v>
      </c>
      <c r="G98" s="1407">
        <v>14</v>
      </c>
      <c r="H98" s="2402"/>
      <c r="I98" s="1166">
        <v>0</v>
      </c>
      <c r="J98" s="231">
        <f>DEH!D17</f>
        <v>835600</v>
      </c>
      <c r="K98" s="231">
        <f>DEH!D8</f>
        <v>1425400</v>
      </c>
      <c r="L98" s="231"/>
      <c r="M98" s="1407">
        <v>7</v>
      </c>
      <c r="N98" s="1407">
        <v>14</v>
      </c>
      <c r="O98" s="1166">
        <v>0</v>
      </c>
      <c r="P98" s="231">
        <f>DEH!G17</f>
        <v>965000</v>
      </c>
      <c r="Q98" s="231">
        <f>DEH!G8</f>
        <v>1417500</v>
      </c>
      <c r="R98" s="231"/>
      <c r="S98" s="1407">
        <v>7</v>
      </c>
      <c r="T98" s="1407">
        <v>14</v>
      </c>
      <c r="U98" s="1166">
        <v>0</v>
      </c>
    </row>
    <row r="99" spans="1:23" x14ac:dyDescent="0.2">
      <c r="A99" s="1380"/>
      <c r="B99" s="9" t="s">
        <v>3193</v>
      </c>
      <c r="C99" s="231">
        <v>688100</v>
      </c>
      <c r="D99" s="231">
        <v>238000</v>
      </c>
      <c r="E99" s="231"/>
      <c r="F99" s="1407">
        <v>5.8</v>
      </c>
      <c r="G99" s="1407">
        <v>10</v>
      </c>
      <c r="H99" s="2402"/>
      <c r="I99" s="1166">
        <v>0</v>
      </c>
      <c r="J99" s="231">
        <f>DEH!D18</f>
        <v>784400</v>
      </c>
      <c r="K99" s="231">
        <f>DEH!D9</f>
        <v>262400</v>
      </c>
      <c r="L99" s="231"/>
      <c r="M99" s="1407">
        <v>6.8</v>
      </c>
      <c r="N99" s="1407">
        <v>15</v>
      </c>
      <c r="O99" s="1166">
        <v>0</v>
      </c>
      <c r="P99" s="231">
        <f>DEH!G18</f>
        <v>853700</v>
      </c>
      <c r="Q99" s="231">
        <f>DEH!G9</f>
        <v>279300</v>
      </c>
      <c r="R99" s="231"/>
      <c r="S99" s="1407">
        <v>6.8</v>
      </c>
      <c r="T99" s="1407">
        <v>15</v>
      </c>
      <c r="U99" s="1166">
        <v>0</v>
      </c>
    </row>
    <row r="100" spans="1:23" x14ac:dyDescent="0.2">
      <c r="A100" s="1380"/>
      <c r="B100" s="9" t="s">
        <v>2710</v>
      </c>
      <c r="C100" s="231">
        <v>1145300</v>
      </c>
      <c r="D100" s="231">
        <v>248000</v>
      </c>
      <c r="E100" s="231"/>
      <c r="F100" s="1407">
        <v>12.4</v>
      </c>
      <c r="G100" s="1407">
        <v>20</v>
      </c>
      <c r="H100" s="2402"/>
      <c r="I100" s="1166">
        <v>0</v>
      </c>
      <c r="J100" s="231">
        <f>DEH!D19</f>
        <v>1176500</v>
      </c>
      <c r="K100" s="231">
        <f>DEH!D10</f>
        <v>233100</v>
      </c>
      <c r="L100" s="231"/>
      <c r="M100" s="1407">
        <f>7.9+4</f>
        <v>11.9</v>
      </c>
      <c r="N100" s="1407">
        <f>9.5+12.5</f>
        <v>22</v>
      </c>
      <c r="O100" s="1166">
        <v>0</v>
      </c>
      <c r="P100" s="231">
        <f>DEH!G19</f>
        <v>1265100</v>
      </c>
      <c r="Q100" s="231">
        <f>DEH!G10</f>
        <v>208500</v>
      </c>
      <c r="R100" s="231"/>
      <c r="S100" s="1407">
        <f>7.9+4</f>
        <v>11.9</v>
      </c>
      <c r="T100" s="1407">
        <f>9.5+12.5</f>
        <v>22</v>
      </c>
      <c r="U100" s="1166">
        <v>0</v>
      </c>
    </row>
    <row r="101" spans="1:23" x14ac:dyDescent="0.2">
      <c r="A101" s="1380"/>
      <c r="B101" s="1393" t="s">
        <v>572</v>
      </c>
      <c r="C101" s="231">
        <v>2452700</v>
      </c>
      <c r="D101" s="231">
        <v>331800</v>
      </c>
      <c r="E101" s="231"/>
      <c r="F101" s="1407">
        <v>30.4</v>
      </c>
      <c r="G101" s="1407">
        <v>17</v>
      </c>
      <c r="H101" s="2402"/>
      <c r="I101" s="1166">
        <v>0</v>
      </c>
      <c r="J101" s="231">
        <f>CIV!D22</f>
        <v>2621900</v>
      </c>
      <c r="K101" s="231">
        <f>CIV!D6</f>
        <v>254400</v>
      </c>
      <c r="L101" s="231"/>
      <c r="M101" s="1407">
        <f>4+8.5+11</f>
        <v>23.5</v>
      </c>
      <c r="N101" s="1407">
        <v>72</v>
      </c>
      <c r="O101" s="1166">
        <v>0</v>
      </c>
      <c r="P101" s="231">
        <f>CIV!G22</f>
        <v>2669400</v>
      </c>
      <c r="Q101" s="231">
        <f>CIV!G6</f>
        <v>288500</v>
      </c>
      <c r="R101" s="231"/>
      <c r="S101" s="1407">
        <f>4+8.5+11</f>
        <v>23.5</v>
      </c>
      <c r="T101" s="1407">
        <v>72</v>
      </c>
      <c r="U101" s="1166">
        <v>0</v>
      </c>
    </row>
    <row r="102" spans="1:23" x14ac:dyDescent="0.2">
      <c r="A102" s="1380"/>
      <c r="B102" s="1393" t="s">
        <v>3870</v>
      </c>
      <c r="C102" s="231">
        <v>3444400</v>
      </c>
      <c r="D102" s="231">
        <v>0</v>
      </c>
      <c r="E102" s="231"/>
      <c r="F102" s="1407">
        <v>0</v>
      </c>
      <c r="G102" s="1407">
        <v>29.5</v>
      </c>
      <c r="H102" s="2402"/>
      <c r="I102" s="1166">
        <v>0</v>
      </c>
      <c r="J102" s="231">
        <f>CIV!D23</f>
        <v>3713200</v>
      </c>
      <c r="K102" s="231">
        <f>CIV!D7</f>
        <v>0</v>
      </c>
      <c r="L102" s="231"/>
      <c r="M102" s="1407">
        <v>5</v>
      </c>
      <c r="N102" s="1407">
        <f>14.5+13.5</f>
        <v>28</v>
      </c>
      <c r="O102" s="1166">
        <v>0</v>
      </c>
      <c r="P102" s="231">
        <f>CIV!G23</f>
        <v>3686700</v>
      </c>
      <c r="Q102" s="231">
        <f>CIV!G7</f>
        <v>0</v>
      </c>
      <c r="R102" s="231"/>
      <c r="S102" s="1407">
        <v>5</v>
      </c>
      <c r="T102" s="1407">
        <f>14.5+13.5</f>
        <v>28</v>
      </c>
      <c r="U102" s="1166">
        <v>0</v>
      </c>
    </row>
    <row r="103" spans="1:23" x14ac:dyDescent="0.2">
      <c r="A103" s="1380"/>
      <c r="B103" s="1393" t="s">
        <v>3701</v>
      </c>
      <c r="C103" s="231">
        <v>2662400</v>
      </c>
      <c r="D103" s="231">
        <v>293100</v>
      </c>
      <c r="E103" s="231"/>
      <c r="F103" s="1407">
        <v>0</v>
      </c>
      <c r="G103" s="1407">
        <v>4</v>
      </c>
      <c r="H103" s="2402"/>
      <c r="I103" s="1166">
        <v>71218</v>
      </c>
      <c r="J103" s="231">
        <f>CIV!D24</f>
        <v>2213900</v>
      </c>
      <c r="K103" s="231">
        <f>CIV!D8</f>
        <v>374600</v>
      </c>
      <c r="L103" s="231"/>
      <c r="M103" s="1407"/>
      <c r="N103" s="1407"/>
      <c r="O103" s="1166">
        <v>111539</v>
      </c>
      <c r="P103" s="231">
        <f>CIV!G24</f>
        <v>2373300</v>
      </c>
      <c r="Q103" s="231">
        <f>CIV!G8</f>
        <v>579000</v>
      </c>
      <c r="R103" s="231"/>
      <c r="S103" s="1407"/>
      <c r="T103" s="1407"/>
      <c r="U103" s="1166">
        <v>72231</v>
      </c>
    </row>
    <row r="104" spans="1:23" x14ac:dyDescent="0.2">
      <c r="A104" s="1380"/>
      <c r="B104" s="1392" t="s">
        <v>728</v>
      </c>
      <c r="C104" s="231">
        <v>8782500</v>
      </c>
      <c r="D104" s="231">
        <v>175500</v>
      </c>
      <c r="E104" s="231"/>
      <c r="F104" s="1407">
        <v>56</v>
      </c>
      <c r="G104" s="1407">
        <v>14</v>
      </c>
      <c r="H104" s="2402"/>
      <c r="I104" s="1166">
        <v>411116</v>
      </c>
      <c r="J104" s="231">
        <f>CIV!D25</f>
        <v>9730300</v>
      </c>
      <c r="K104" s="231">
        <f>CIV!D9</f>
        <v>350500</v>
      </c>
      <c r="L104" s="231"/>
      <c r="M104" s="1407">
        <v>61</v>
      </c>
      <c r="N104" s="1407">
        <v>12.5</v>
      </c>
      <c r="O104" s="1166">
        <f>507136+48097</f>
        <v>555233</v>
      </c>
      <c r="P104" s="231">
        <f>CIV!G25</f>
        <v>8210300</v>
      </c>
      <c r="Q104" s="231">
        <f>CIV!G9</f>
        <v>2559300</v>
      </c>
      <c r="R104" s="231"/>
      <c r="S104" s="1407">
        <v>61</v>
      </c>
      <c r="T104" s="1407">
        <v>12.5</v>
      </c>
      <c r="U104" s="1166">
        <f>424378+32104+20364+3710</f>
        <v>480556</v>
      </c>
    </row>
    <row r="105" spans="1:23" x14ac:dyDescent="0.2">
      <c r="A105" s="1380"/>
      <c r="B105" s="1392" t="s">
        <v>1180</v>
      </c>
      <c r="C105" s="231">
        <v>2441100</v>
      </c>
      <c r="D105" s="231">
        <v>805300</v>
      </c>
      <c r="E105" s="231"/>
      <c r="F105" s="1407">
        <v>0</v>
      </c>
      <c r="G105" s="1407">
        <v>4</v>
      </c>
      <c r="H105" s="2402"/>
      <c r="I105" s="1166">
        <v>0</v>
      </c>
      <c r="J105" s="231">
        <f>CIV!D26</f>
        <v>2871400</v>
      </c>
      <c r="K105" s="231">
        <f>CIV!D10</f>
        <v>1375200</v>
      </c>
      <c r="L105" s="231"/>
      <c r="M105" s="1407">
        <v>5</v>
      </c>
      <c r="N105" s="1407">
        <v>0.5</v>
      </c>
      <c r="O105" s="1166">
        <v>0</v>
      </c>
      <c r="P105" s="231">
        <f>CIV!G26</f>
        <v>2381200</v>
      </c>
      <c r="Q105" s="231">
        <f>CIV!G10</f>
        <v>960400</v>
      </c>
      <c r="R105" s="231"/>
      <c r="S105" s="1407">
        <v>5</v>
      </c>
      <c r="T105" s="1407">
        <v>0.5</v>
      </c>
      <c r="U105" s="1166">
        <v>0</v>
      </c>
    </row>
    <row r="106" spans="1:23" x14ac:dyDescent="0.2">
      <c r="A106" s="1380"/>
      <c r="B106" s="1392" t="s">
        <v>3103</v>
      </c>
      <c r="C106" s="231">
        <v>817000</v>
      </c>
      <c r="D106" s="231">
        <v>866500</v>
      </c>
      <c r="E106" s="231"/>
      <c r="F106" s="1407">
        <v>0</v>
      </c>
      <c r="G106" s="1407">
        <v>4</v>
      </c>
      <c r="H106" s="2402"/>
      <c r="I106" s="1166">
        <v>0</v>
      </c>
      <c r="J106" s="231">
        <f>CIV!D27</f>
        <v>770000</v>
      </c>
      <c r="K106" s="231">
        <f>CIV!D11</f>
        <v>876000</v>
      </c>
      <c r="L106" s="231"/>
      <c r="M106" s="1407"/>
      <c r="N106" s="1407"/>
      <c r="O106" s="1166">
        <v>0</v>
      </c>
      <c r="P106" s="231">
        <f>CIV!G27</f>
        <v>908800</v>
      </c>
      <c r="Q106" s="231">
        <f>CIV!G11</f>
        <v>970000</v>
      </c>
      <c r="R106" s="231"/>
      <c r="S106" s="1407"/>
      <c r="T106" s="1407"/>
      <c r="U106" s="1166">
        <v>0</v>
      </c>
    </row>
    <row r="107" spans="1:23" x14ac:dyDescent="0.2">
      <c r="A107" s="1380"/>
      <c r="B107" s="1392" t="s">
        <v>500</v>
      </c>
      <c r="C107" s="231">
        <v>3795700</v>
      </c>
      <c r="D107" s="231">
        <v>910500</v>
      </c>
      <c r="E107" s="231"/>
      <c r="F107" s="1407">
        <v>34.5</v>
      </c>
      <c r="G107" s="1407">
        <v>9</v>
      </c>
      <c r="H107" s="2402"/>
      <c r="I107" s="1166">
        <v>0</v>
      </c>
      <c r="J107" s="231">
        <f>CIV!D28</f>
        <v>3695700</v>
      </c>
      <c r="K107" s="231">
        <f>CIV!D12</f>
        <v>1046300</v>
      </c>
      <c r="L107" s="231"/>
      <c r="M107" s="1407">
        <f>5+24+6.3-0.5</f>
        <v>34.799999999999997</v>
      </c>
      <c r="N107" s="1407">
        <v>9.5</v>
      </c>
      <c r="O107" s="1166">
        <v>0</v>
      </c>
      <c r="P107" s="231">
        <f>CIV!G28</f>
        <v>3913700</v>
      </c>
      <c r="Q107" s="231">
        <f>CIV!G12</f>
        <v>764000</v>
      </c>
      <c r="R107" s="231"/>
      <c r="S107" s="1407">
        <f>5+24+6.3-0.5</f>
        <v>34.799999999999997</v>
      </c>
      <c r="T107" s="1407">
        <v>9.5</v>
      </c>
      <c r="U107" s="1166">
        <v>0</v>
      </c>
    </row>
    <row r="108" spans="1:23" x14ac:dyDescent="0.2">
      <c r="A108" s="1380"/>
      <c r="B108" s="1392" t="s">
        <v>381</v>
      </c>
      <c r="C108" s="231">
        <v>3918900</v>
      </c>
      <c r="D108" s="231">
        <v>258900</v>
      </c>
      <c r="E108" s="231"/>
      <c r="F108" s="1407">
        <v>14</v>
      </c>
      <c r="G108" s="1407">
        <v>5</v>
      </c>
      <c r="H108" s="2402"/>
      <c r="I108" s="1166">
        <v>0</v>
      </c>
      <c r="J108" s="231">
        <f>CIV!D29-CIV!D1608-CIV!D1609</f>
        <v>3566100</v>
      </c>
      <c r="K108" s="231">
        <f>CIV!D13</f>
        <v>284000</v>
      </c>
      <c r="L108" s="231"/>
      <c r="M108" s="1407">
        <v>11</v>
      </c>
      <c r="N108" s="1407">
        <v>3.5</v>
      </c>
      <c r="O108" s="1166">
        <v>0</v>
      </c>
      <c r="P108" s="231">
        <f>CIV!G29-CIV!G1608-CIV!G1609</f>
        <v>4042200</v>
      </c>
      <c r="Q108" s="231">
        <f>CIV!G13</f>
        <v>254000</v>
      </c>
      <c r="R108" s="231"/>
      <c r="S108" s="1407">
        <v>11</v>
      </c>
      <c r="T108" s="1407">
        <v>3.5</v>
      </c>
      <c r="U108" s="1166">
        <v>0</v>
      </c>
    </row>
    <row r="109" spans="1:23" x14ac:dyDescent="0.2">
      <c r="A109" s="1380"/>
      <c r="B109" s="1392" t="s">
        <v>541</v>
      </c>
      <c r="C109" s="231">
        <v>359600</v>
      </c>
      <c r="D109" s="231">
        <v>214000</v>
      </c>
      <c r="E109" s="231"/>
      <c r="F109" s="1407">
        <v>0</v>
      </c>
      <c r="G109" s="1407">
        <v>1</v>
      </c>
      <c r="H109" s="2402"/>
      <c r="I109" s="1166">
        <v>0</v>
      </c>
      <c r="J109" s="231">
        <f>CIV!D30</f>
        <v>330000</v>
      </c>
      <c r="K109" s="231">
        <f>CIV!D14</f>
        <v>172300</v>
      </c>
      <c r="L109" s="231"/>
      <c r="M109" s="1407"/>
      <c r="N109" s="1407"/>
      <c r="O109" s="1166">
        <v>0</v>
      </c>
      <c r="P109" s="231">
        <f>CIV!G30</f>
        <v>393800</v>
      </c>
      <c r="Q109" s="231">
        <f>CIV!G14</f>
        <v>219000</v>
      </c>
      <c r="R109" s="231"/>
      <c r="S109" s="1407"/>
      <c r="T109" s="1407"/>
      <c r="U109" s="1166">
        <v>0</v>
      </c>
    </row>
    <row r="110" spans="1:23" x14ac:dyDescent="0.2">
      <c r="A110" s="1380"/>
      <c r="B110" s="1392" t="s">
        <v>1965</v>
      </c>
      <c r="C110" s="231">
        <v>582500</v>
      </c>
      <c r="D110" s="231">
        <v>280000</v>
      </c>
      <c r="E110" s="231"/>
      <c r="F110" s="1407">
        <v>0</v>
      </c>
      <c r="G110" s="1407">
        <v>2</v>
      </c>
      <c r="H110" s="2402"/>
      <c r="I110" s="1166">
        <v>0</v>
      </c>
      <c r="J110" s="231">
        <f>CIV!D31</f>
        <v>188400</v>
      </c>
      <c r="K110" s="231">
        <f>CIV!D15</f>
        <v>377200</v>
      </c>
      <c r="L110" s="231"/>
      <c r="M110" s="1407"/>
      <c r="N110" s="1407"/>
      <c r="O110" s="1166">
        <v>0</v>
      </c>
      <c r="P110" s="231">
        <f>CIV!G31</f>
        <v>738900</v>
      </c>
      <c r="Q110" s="231">
        <f>CIV!G15</f>
        <v>64800</v>
      </c>
      <c r="R110" s="231"/>
      <c r="S110" s="1407"/>
      <c r="T110" s="1407"/>
      <c r="U110" s="1166">
        <v>8</v>
      </c>
    </row>
    <row r="111" spans="1:23" x14ac:dyDescent="0.2">
      <c r="A111" s="1380"/>
      <c r="B111" s="1392" t="s">
        <v>3123</v>
      </c>
      <c r="C111" s="231">
        <v>6558000</v>
      </c>
      <c r="D111" s="231">
        <v>4050000</v>
      </c>
      <c r="E111" s="231">
        <v>6932</v>
      </c>
      <c r="F111" s="1407">
        <v>16.399999999999999</v>
      </c>
      <c r="G111" s="1407">
        <v>5</v>
      </c>
      <c r="H111" s="2402"/>
      <c r="I111" s="1166">
        <v>0</v>
      </c>
      <c r="J111" s="231">
        <f>CIV!D32-J121</f>
        <v>6799300</v>
      </c>
      <c r="K111" s="231">
        <f>CIV!D16</f>
        <v>3844500</v>
      </c>
      <c r="L111" s="231">
        <f>E43</f>
        <v>67016</v>
      </c>
      <c r="M111" s="1407">
        <f>14.7-M112+0.5</f>
        <v>10.199999999999999</v>
      </c>
      <c r="N111" s="1407">
        <v>3</v>
      </c>
      <c r="O111" s="1166">
        <v>0</v>
      </c>
      <c r="P111" s="231">
        <f>CIV!G32-P121</f>
        <v>6240800</v>
      </c>
      <c r="Q111" s="231">
        <f>CIV!G16</f>
        <v>3567000</v>
      </c>
      <c r="R111" s="231">
        <f>G43</f>
        <v>6932</v>
      </c>
      <c r="S111" s="1407">
        <f>(14.7+0.5)/2</f>
        <v>7.6</v>
      </c>
      <c r="T111" s="1407">
        <v>3</v>
      </c>
      <c r="U111" s="1166">
        <v>368</v>
      </c>
    </row>
    <row r="112" spans="1:23" x14ac:dyDescent="0.2">
      <c r="A112" s="1380"/>
      <c r="B112" s="1392" t="s">
        <v>2807</v>
      </c>
      <c r="C112" s="231">
        <v>6414200</v>
      </c>
      <c r="D112" s="231">
        <v>5852500</v>
      </c>
      <c r="E112" s="231">
        <v>69404</v>
      </c>
      <c r="F112" s="1407">
        <v>5.3</v>
      </c>
      <c r="G112" s="1407">
        <v>5</v>
      </c>
      <c r="H112" s="2402"/>
      <c r="I112" s="1166">
        <v>0</v>
      </c>
      <c r="J112" s="231">
        <f>CIV!D33-J122</f>
        <v>6535700</v>
      </c>
      <c r="K112" s="231">
        <f>CIV!D17</f>
        <v>6079500</v>
      </c>
      <c r="L112" s="231">
        <f>E44</f>
        <v>63896</v>
      </c>
      <c r="M112" s="1407">
        <v>5</v>
      </c>
      <c r="N112" s="1407">
        <v>3</v>
      </c>
      <c r="O112" s="1166">
        <v>0</v>
      </c>
      <c r="P112" s="231">
        <f>CIV!G33-P122</f>
        <v>6464000</v>
      </c>
      <c r="Q112" s="231">
        <f>CIV!G17</f>
        <v>6294500</v>
      </c>
      <c r="R112" s="231">
        <f>G44</f>
        <v>63896</v>
      </c>
      <c r="S112" s="1407">
        <f>S111</f>
        <v>7.6</v>
      </c>
      <c r="T112" s="1407">
        <v>3</v>
      </c>
      <c r="U112" s="1166">
        <v>0</v>
      </c>
      <c r="W112" s="63"/>
    </row>
    <row r="113" spans="1:28" x14ac:dyDescent="0.2">
      <c r="A113" s="1380"/>
      <c r="B113" s="1393" t="s">
        <v>3601</v>
      </c>
      <c r="C113" s="231">
        <v>489500</v>
      </c>
      <c r="D113" s="231">
        <v>268500</v>
      </c>
      <c r="E113" s="231"/>
      <c r="F113" s="1407">
        <v>4</v>
      </c>
      <c r="G113" s="1407">
        <v>2</v>
      </c>
      <c r="H113" s="2402"/>
      <c r="I113" s="1166">
        <v>0</v>
      </c>
      <c r="J113" s="231">
        <f>NEWLOG!D51</f>
        <v>475400</v>
      </c>
      <c r="K113" s="231">
        <f>NEWLOG!D20</f>
        <v>243500</v>
      </c>
      <c r="L113" s="231"/>
      <c r="M113" s="1407">
        <v>4</v>
      </c>
      <c r="N113" s="1407">
        <v>3</v>
      </c>
      <c r="O113" s="1166">
        <v>0</v>
      </c>
      <c r="P113" s="231">
        <f>NEWLOG!G51</f>
        <v>497700</v>
      </c>
      <c r="Q113" s="231">
        <f>NEWLOG!G20</f>
        <v>247200</v>
      </c>
      <c r="R113" s="231"/>
      <c r="S113" s="1407">
        <v>4</v>
      </c>
      <c r="T113" s="1407">
        <v>3</v>
      </c>
      <c r="U113" s="1166">
        <v>0</v>
      </c>
    </row>
    <row r="114" spans="1:28" x14ac:dyDescent="0.2">
      <c r="A114" s="1380"/>
      <c r="B114" s="1393" t="s">
        <v>1764</v>
      </c>
      <c r="C114" s="231">
        <v>11302000</v>
      </c>
      <c r="D114" s="231">
        <v>10736800</v>
      </c>
      <c r="E114" s="231">
        <v>61468</v>
      </c>
      <c r="F114" s="1407">
        <v>12.2</v>
      </c>
      <c r="G114" s="1407">
        <v>19</v>
      </c>
      <c r="H114" s="2402"/>
      <c r="I114" s="1166">
        <v>105492</v>
      </c>
      <c r="J114" s="231">
        <f>'W&amp;W'!D14</f>
        <v>10849900</v>
      </c>
      <c r="K114" s="231">
        <f>'W&amp;W'!D7</f>
        <v>11199100</v>
      </c>
      <c r="L114" s="231">
        <f>E46</f>
        <v>55892</v>
      </c>
      <c r="M114" s="1407">
        <f>37/2+1</f>
        <v>19.5</v>
      </c>
      <c r="N114" s="1407">
        <f>4+21/2+9.5/2</f>
        <v>19.25</v>
      </c>
      <c r="O114" s="1166">
        <v>107447</v>
      </c>
      <c r="P114" s="231">
        <f>'W&amp;W'!G14</f>
        <v>11269600</v>
      </c>
      <c r="Q114" s="231">
        <f>'W&amp;W'!G7</f>
        <v>11913600</v>
      </c>
      <c r="R114" s="231">
        <f>G46</f>
        <v>55892</v>
      </c>
      <c r="S114" s="1407">
        <f>37/2+1</f>
        <v>19.5</v>
      </c>
      <c r="T114" s="1407">
        <f>4+21/2+9.5/2</f>
        <v>19.25</v>
      </c>
      <c r="U114" s="1166">
        <v>67127</v>
      </c>
    </row>
    <row r="115" spans="1:28" ht="13.5" thickBot="1" x14ac:dyDescent="0.25">
      <c r="A115" s="1380"/>
      <c r="B115" s="1393" t="s">
        <v>3354</v>
      </c>
      <c r="C115" s="231">
        <v>16937300</v>
      </c>
      <c r="D115" s="231">
        <v>15354400</v>
      </c>
      <c r="E115" s="231">
        <v>62220</v>
      </c>
      <c r="F115" s="1407">
        <v>20.399999999999999</v>
      </c>
      <c r="G115" s="1407">
        <v>19</v>
      </c>
      <c r="H115" s="2402"/>
      <c r="I115" s="1166">
        <v>194434</v>
      </c>
      <c r="J115" s="231">
        <f>'W&amp;W'!D15</f>
        <v>17312700</v>
      </c>
      <c r="K115" s="231">
        <f>'W&amp;W'!D8</f>
        <v>16363900</v>
      </c>
      <c r="L115" s="231">
        <f>E47</f>
        <v>55120</v>
      </c>
      <c r="M115" s="1407">
        <f>37/2+1</f>
        <v>19.5</v>
      </c>
      <c r="N115" s="1407">
        <f>4+21/2+9.5/2</f>
        <v>19.25</v>
      </c>
      <c r="O115" s="1166">
        <v>240362</v>
      </c>
      <c r="P115" s="231">
        <f>'W&amp;W'!G15</f>
        <v>17187700</v>
      </c>
      <c r="Q115" s="231">
        <f>'W&amp;W'!G8</f>
        <v>17705900</v>
      </c>
      <c r="R115" s="231">
        <f>G47</f>
        <v>55120</v>
      </c>
      <c r="S115" s="1407">
        <f>37/2+1</f>
        <v>19.5</v>
      </c>
      <c r="T115" s="1407">
        <f>4+21/2+9.5/2</f>
        <v>19.25</v>
      </c>
      <c r="U115" s="1166">
        <v>189566</v>
      </c>
    </row>
    <row r="116" spans="1:28" s="1" customFormat="1" ht="13.5" thickBot="1" x14ac:dyDescent="0.25">
      <c r="A116" s="1399"/>
      <c r="B116" s="1400" t="s">
        <v>2662</v>
      </c>
      <c r="C116" s="1614">
        <f t="shared" ref="C116:O116" si="5">SUM(C83:C115)</f>
        <v>91882550</v>
      </c>
      <c r="D116" s="1402">
        <f t="shared" si="5"/>
        <v>74459500</v>
      </c>
      <c r="E116" s="1402">
        <f t="shared" si="5"/>
        <v>269088</v>
      </c>
      <c r="F116" s="1408">
        <f t="shared" si="5"/>
        <v>291.99999999999994</v>
      </c>
      <c r="G116" s="1404">
        <f t="shared" si="5"/>
        <v>314</v>
      </c>
      <c r="H116" s="2403"/>
      <c r="I116" s="1403">
        <f t="shared" si="5"/>
        <v>782260</v>
      </c>
      <c r="J116" s="1402">
        <f t="shared" si="5"/>
        <v>90613400</v>
      </c>
      <c r="K116" s="1402">
        <f t="shared" si="5"/>
        <v>78522500</v>
      </c>
      <c r="L116" s="1402">
        <f t="shared" si="5"/>
        <v>313832</v>
      </c>
      <c r="M116" s="1408">
        <f t="shared" si="5"/>
        <v>306.14999999999998</v>
      </c>
      <c r="N116" s="1404">
        <f t="shared" si="5"/>
        <v>345.5</v>
      </c>
      <c r="O116" s="1403">
        <f t="shared" si="5"/>
        <v>1014581</v>
      </c>
      <c r="P116" s="1402">
        <f t="shared" ref="P116:U116" si="6">SUM(P83:P115)</f>
        <v>91938400</v>
      </c>
      <c r="Q116" s="1402">
        <f t="shared" si="6"/>
        <v>84607700</v>
      </c>
      <c r="R116" s="1402">
        <f t="shared" si="6"/>
        <v>253748</v>
      </c>
      <c r="S116" s="1408">
        <f t="shared" si="6"/>
        <v>306.14999999999998</v>
      </c>
      <c r="T116" s="1404">
        <f t="shared" si="6"/>
        <v>345.5</v>
      </c>
      <c r="U116" s="1403">
        <f t="shared" si="6"/>
        <v>809856</v>
      </c>
    </row>
    <row r="117" spans="1:28" s="1" customFormat="1" x14ac:dyDescent="0.2">
      <c r="A117" s="1171"/>
      <c r="B117" s="1395"/>
      <c r="C117" s="1615"/>
      <c r="D117" s="82"/>
      <c r="E117" s="1326"/>
      <c r="F117" s="1326"/>
      <c r="G117" s="1606"/>
      <c r="H117" s="2400"/>
      <c r="I117" s="736"/>
      <c r="J117" s="82"/>
      <c r="K117" s="82"/>
      <c r="L117" s="1326"/>
      <c r="M117" s="1326"/>
      <c r="N117" s="1606"/>
      <c r="O117" s="736"/>
      <c r="P117" s="82"/>
      <c r="Q117" s="82"/>
      <c r="R117" s="1326"/>
      <c r="S117" s="1326"/>
      <c r="T117" s="2443"/>
      <c r="U117" s="736"/>
    </row>
    <row r="118" spans="1:28" s="1" customFormat="1" x14ac:dyDescent="0.2">
      <c r="A118" s="1171"/>
      <c r="B118" s="1395" t="s">
        <v>3802</v>
      </c>
      <c r="C118" s="1615">
        <v>-7692700</v>
      </c>
      <c r="D118" s="82">
        <v>74459500</v>
      </c>
      <c r="E118" s="1405"/>
      <c r="F118" s="1326"/>
      <c r="G118" s="1606"/>
      <c r="H118" s="2400"/>
      <c r="I118" s="1381"/>
      <c r="J118" s="82"/>
      <c r="K118" s="82"/>
      <c r="L118" s="1405"/>
      <c r="M118" s="1326"/>
      <c r="N118" s="1606"/>
      <c r="O118" s="1381"/>
      <c r="P118" s="82"/>
      <c r="Q118" s="82"/>
      <c r="R118" s="1405"/>
      <c r="S118" s="1326"/>
      <c r="T118" s="2443"/>
      <c r="U118" s="1381"/>
    </row>
    <row r="119" spans="1:28" s="779" customFormat="1" x14ac:dyDescent="0.2">
      <c r="A119" s="1172"/>
      <c r="B119" s="1393" t="s">
        <v>3800</v>
      </c>
      <c r="C119" s="1597"/>
      <c r="D119" s="24"/>
      <c r="E119" s="1411"/>
      <c r="F119" s="1412"/>
      <c r="G119" s="1313"/>
      <c r="H119" s="1313"/>
      <c r="I119" s="917"/>
      <c r="J119" s="24"/>
      <c r="K119" s="24"/>
      <c r="L119" s="1411"/>
      <c r="M119" s="1412"/>
      <c r="N119" s="1313"/>
      <c r="O119" s="917"/>
      <c r="P119" s="24"/>
      <c r="Q119" s="24"/>
      <c r="R119" s="1411"/>
      <c r="S119" s="1412"/>
      <c r="T119" s="1313"/>
      <c r="U119" s="917"/>
    </row>
    <row r="120" spans="1:28" s="779" customFormat="1" x14ac:dyDescent="0.2">
      <c r="A120" s="1172"/>
      <c r="B120" s="1393" t="s">
        <v>4573</v>
      </c>
      <c r="C120" s="1597"/>
      <c r="D120" s="24"/>
      <c r="E120" s="1411"/>
      <c r="F120" s="1412"/>
      <c r="G120" s="1313"/>
      <c r="H120" s="1313"/>
      <c r="I120" s="917"/>
      <c r="J120" s="132">
        <v>0</v>
      </c>
      <c r="K120" s="24"/>
      <c r="L120" s="1411"/>
      <c r="M120" s="1412"/>
      <c r="N120" s="1313"/>
      <c r="O120" s="917"/>
      <c r="P120" s="132">
        <v>0</v>
      </c>
      <c r="Q120" s="24"/>
      <c r="R120" s="1411"/>
      <c r="S120" s="1412"/>
      <c r="T120" s="1313"/>
      <c r="U120" s="917"/>
    </row>
    <row r="121" spans="1:28" s="779" customFormat="1" x14ac:dyDescent="0.2">
      <c r="A121" s="1172"/>
      <c r="B121" s="1393" t="s">
        <v>4572</v>
      </c>
      <c r="C121" s="914">
        <v>-3250000</v>
      </c>
      <c r="D121" s="24"/>
      <c r="E121" s="1411"/>
      <c r="F121" s="1412"/>
      <c r="G121" s="1313"/>
      <c r="H121" s="1313"/>
      <c r="I121" s="917"/>
      <c r="J121" s="132">
        <f>CIV!D1833+CIV!D1834+CIV!D1835</f>
        <v>-3255000</v>
      </c>
      <c r="K121" s="24"/>
      <c r="L121" s="1411"/>
      <c r="M121" s="1412"/>
      <c r="N121" s="1313"/>
      <c r="O121" s="917"/>
      <c r="P121" s="132">
        <f>CIV!G1833+CIV!G1834+CIV!G1835</f>
        <v>-3257000</v>
      </c>
      <c r="Q121" s="24"/>
      <c r="R121" s="1411"/>
      <c r="S121" s="1412"/>
      <c r="T121" s="1313"/>
      <c r="U121" s="917"/>
    </row>
    <row r="122" spans="1:28" s="779" customFormat="1" x14ac:dyDescent="0.2">
      <c r="A122" s="1172"/>
      <c r="B122" s="1393" t="s">
        <v>3801</v>
      </c>
      <c r="C122" s="914">
        <v>-575000</v>
      </c>
      <c r="D122" s="24"/>
      <c r="E122" s="1411"/>
      <c r="F122" s="1412"/>
      <c r="G122" s="1313"/>
      <c r="H122" s="1313"/>
      <c r="I122" s="917"/>
      <c r="J122" s="132">
        <f>CIV!D1994</f>
        <v>-618900</v>
      </c>
      <c r="K122" s="24"/>
      <c r="L122" s="1411"/>
      <c r="M122" s="1412"/>
      <c r="N122" s="1313"/>
      <c r="O122" s="917"/>
      <c r="P122" s="132">
        <f>CIV!G1994</f>
        <v>-621000</v>
      </c>
      <c r="Q122" s="24"/>
      <c r="R122" s="1411"/>
      <c r="S122" s="1412"/>
      <c r="T122" s="1313"/>
      <c r="U122" s="917"/>
    </row>
    <row r="123" spans="1:28" s="779" customFormat="1" x14ac:dyDescent="0.2">
      <c r="A123" s="1172"/>
      <c r="B123" s="1393" t="s">
        <v>3818</v>
      </c>
      <c r="C123" s="914">
        <v>-3867700</v>
      </c>
      <c r="D123" s="24"/>
      <c r="E123" s="1411"/>
      <c r="F123" s="1412"/>
      <c r="G123" s="1313"/>
      <c r="H123" s="1313"/>
      <c r="I123" s="917"/>
      <c r="J123" s="132">
        <f>CIV!D1609+CIV!D1608</f>
        <v>-3780600</v>
      </c>
      <c r="K123" s="24"/>
      <c r="L123" s="1411"/>
      <c r="M123" s="1412"/>
      <c r="N123" s="1313"/>
      <c r="O123" s="917"/>
      <c r="P123" s="132">
        <f>CIV!G1609+CIV!G1608</f>
        <v>-4000900</v>
      </c>
      <c r="Q123" s="24"/>
      <c r="R123" s="1411"/>
      <c r="S123" s="1412"/>
      <c r="T123" s="1313"/>
      <c r="U123" s="917"/>
    </row>
    <row r="124" spans="1:28" s="1" customFormat="1" x14ac:dyDescent="0.2">
      <c r="A124" s="1171"/>
      <c r="B124" s="1395" t="s">
        <v>408</v>
      </c>
      <c r="C124" s="1615">
        <f>ROUND(SUM(C119:C123)-C118,-3)</f>
        <v>0</v>
      </c>
      <c r="D124" s="82">
        <f>ROUND(D116-D118,-3)</f>
        <v>0</v>
      </c>
      <c r="E124" s="1405"/>
      <c r="F124" s="1326"/>
      <c r="G124" s="1606"/>
      <c r="H124" s="2400"/>
      <c r="I124" s="1381"/>
      <c r="J124" s="82">
        <f>ROUND(SUM(J119:J123)-J118,-3)</f>
        <v>-7655000</v>
      </c>
      <c r="K124" s="82">
        <f>K116-K118</f>
        <v>78522500</v>
      </c>
      <c r="L124" s="1405"/>
      <c r="M124" s="1326"/>
      <c r="N124" s="1606"/>
      <c r="O124" s="1381"/>
      <c r="P124" s="82">
        <f>ROUND(SUM(P119:P123)-P118,-3)</f>
        <v>-7879000</v>
      </c>
      <c r="Q124" s="82">
        <f>Q116-Q118</f>
        <v>84607700</v>
      </c>
      <c r="R124" s="1405"/>
      <c r="S124" s="1326"/>
      <c r="T124" s="2443"/>
      <c r="U124" s="1381"/>
    </row>
    <row r="125" spans="1:28" ht="13.5" thickBot="1" x14ac:dyDescent="0.25">
      <c r="A125" s="1382"/>
      <c r="B125" s="1394"/>
      <c r="C125" s="1616"/>
      <c r="D125" s="1398"/>
      <c r="E125" s="1406"/>
      <c r="F125" s="1398"/>
      <c r="G125" s="1162"/>
      <c r="H125" s="1162"/>
      <c r="I125" s="1383"/>
      <c r="J125" s="1398"/>
      <c r="K125" s="1398"/>
      <c r="L125" s="1406"/>
      <c r="M125" s="1398"/>
      <c r="N125" s="1162"/>
      <c r="O125" s="1383"/>
      <c r="P125" s="1398"/>
      <c r="Q125" s="1398"/>
      <c r="R125" s="1406"/>
      <c r="S125" s="1398"/>
      <c r="T125" s="1162"/>
      <c r="U125" s="1383"/>
    </row>
    <row r="126" spans="1:28" ht="13.5" thickBot="1" x14ac:dyDescent="0.25">
      <c r="A126" s="9"/>
      <c r="B126" s="1392"/>
      <c r="C126" s="9"/>
      <c r="D126" s="9"/>
      <c r="E126" s="9"/>
      <c r="F126" s="9"/>
      <c r="G126" s="1424"/>
      <c r="H126" s="1424"/>
      <c r="I126" s="9"/>
      <c r="J126" s="9"/>
      <c r="K126" s="9"/>
      <c r="L126" s="9"/>
      <c r="M126" s="9"/>
      <c r="N126" s="210"/>
      <c r="O126" s="210"/>
      <c r="P126" s="9"/>
      <c r="Q126" s="9"/>
      <c r="R126" s="9"/>
      <c r="S126" s="9"/>
      <c r="T126" s="9"/>
      <c r="U126" s="9"/>
      <c r="V126" s="9"/>
      <c r="W126" s="9"/>
    </row>
    <row r="127" spans="1:28" ht="13.5" thickBot="1" x14ac:dyDescent="0.25">
      <c r="A127" s="1170"/>
      <c r="B127" s="1170"/>
      <c r="C127" s="3030" t="s">
        <v>4574</v>
      </c>
      <c r="D127" s="3031"/>
      <c r="E127" s="3031"/>
      <c r="F127" s="3031"/>
      <c r="G127" s="3031"/>
      <c r="H127" s="3031"/>
      <c r="I127" s="3031"/>
      <c r="J127" s="3031"/>
      <c r="K127" s="3031"/>
      <c r="L127" s="3031"/>
      <c r="M127" s="3031"/>
      <c r="N127" s="3031"/>
      <c r="O127" s="3031"/>
      <c r="P127" s="3031"/>
      <c r="Q127" s="3031"/>
      <c r="R127" s="3031"/>
      <c r="S127" s="3031"/>
      <c r="T127" s="3032"/>
      <c r="V127" s="9"/>
      <c r="W127" s="9"/>
      <c r="X127" s="9"/>
      <c r="Y127" s="9"/>
      <c r="Z127" s="9"/>
      <c r="AA127" s="9"/>
      <c r="AB127" s="9"/>
    </row>
    <row r="128" spans="1:28" ht="13.5" thickBot="1" x14ac:dyDescent="0.25">
      <c r="A128" s="9"/>
      <c r="B128" s="1425" t="s">
        <v>232</v>
      </c>
      <c r="C128" s="1325" t="s">
        <v>3634</v>
      </c>
      <c r="D128" s="1422" t="s">
        <v>3706</v>
      </c>
      <c r="E128" s="1422" t="s">
        <v>3635</v>
      </c>
      <c r="F128" s="1422" t="s">
        <v>3726</v>
      </c>
      <c r="G128" s="1422" t="s">
        <v>3817</v>
      </c>
      <c r="H128" s="1422"/>
      <c r="I128" s="1422" t="s">
        <v>3636</v>
      </c>
      <c r="J128" s="1423" t="s">
        <v>3823</v>
      </c>
      <c r="K128" s="1423" t="s">
        <v>3724</v>
      </c>
      <c r="L128" s="1422" t="s">
        <v>3722</v>
      </c>
      <c r="M128" s="1422" t="s">
        <v>3723</v>
      </c>
      <c r="N128" s="1422" t="s">
        <v>3892</v>
      </c>
      <c r="O128" s="1422" t="s">
        <v>3805</v>
      </c>
      <c r="P128" s="1422" t="s">
        <v>3816</v>
      </c>
      <c r="Q128" s="1422" t="s">
        <v>3813</v>
      </c>
      <c r="R128" s="1422" t="s">
        <v>3814</v>
      </c>
      <c r="S128" s="1422" t="s">
        <v>1530</v>
      </c>
      <c r="T128" s="1432" t="s">
        <v>3820</v>
      </c>
      <c r="U128" s="9"/>
      <c r="V128" s="9"/>
      <c r="W128" s="9"/>
      <c r="X128" s="9"/>
      <c r="Y128" s="9"/>
      <c r="Z128" s="9"/>
    </row>
    <row r="129" spans="1:26" x14ac:dyDescent="0.2">
      <c r="A129" s="9"/>
      <c r="B129" s="1426" t="s">
        <v>783</v>
      </c>
      <c r="C129" s="1309"/>
      <c r="D129" s="231"/>
      <c r="E129" s="231"/>
      <c r="F129" s="231"/>
      <c r="G129" s="231"/>
      <c r="H129" s="231"/>
      <c r="I129" s="231"/>
      <c r="J129" s="231"/>
      <c r="K129" s="231"/>
      <c r="L129" s="231"/>
      <c r="M129" s="231"/>
      <c r="N129" s="231"/>
      <c r="O129" s="231"/>
      <c r="P129" s="231"/>
      <c r="Q129" s="231"/>
      <c r="R129" s="231"/>
      <c r="S129" s="231"/>
      <c r="T129" s="1433"/>
      <c r="U129" s="9"/>
      <c r="V129" s="9"/>
      <c r="W129" s="9"/>
      <c r="X129" s="9"/>
      <c r="Y129" s="9"/>
      <c r="Z129" s="9"/>
    </row>
    <row r="130" spans="1:26" x14ac:dyDescent="0.2">
      <c r="A130" s="9"/>
      <c r="B130" s="1426" t="s">
        <v>1034</v>
      </c>
      <c r="C130" s="1309"/>
      <c r="D130" s="231"/>
      <c r="E130" s="231"/>
      <c r="F130" s="231"/>
      <c r="G130" s="231"/>
      <c r="H130" s="231"/>
      <c r="I130" s="231"/>
      <c r="J130" s="231"/>
      <c r="K130" s="231"/>
      <c r="L130" s="231"/>
      <c r="M130" s="231"/>
      <c r="N130" s="231"/>
      <c r="O130" s="231"/>
      <c r="P130" s="231"/>
      <c r="Q130" s="231"/>
      <c r="R130" s="231"/>
      <c r="S130" s="231"/>
      <c r="T130" s="1433"/>
      <c r="U130" s="9"/>
      <c r="V130" s="9"/>
      <c r="W130" s="9"/>
      <c r="X130" s="9"/>
      <c r="Y130" s="9"/>
      <c r="Z130" s="9"/>
    </row>
    <row r="131" spans="1:26" x14ac:dyDescent="0.2">
      <c r="A131" s="9"/>
      <c r="B131" s="1426" t="s">
        <v>88</v>
      </c>
      <c r="C131" s="1309"/>
      <c r="D131" s="231">
        <f>ROUND(L85/($L$116)*$D$24,-2)</f>
        <v>121200</v>
      </c>
      <c r="E131" s="231"/>
      <c r="F131" s="231"/>
      <c r="G131" s="231"/>
      <c r="H131" s="231"/>
      <c r="I131" s="231"/>
      <c r="J131" s="231"/>
      <c r="K131" s="231"/>
      <c r="L131" s="231"/>
      <c r="M131" s="231"/>
      <c r="N131" s="231"/>
      <c r="O131" s="231"/>
      <c r="P131" s="231"/>
      <c r="Q131" s="231"/>
      <c r="R131" s="231"/>
      <c r="S131" s="231"/>
      <c r="T131" s="1433"/>
      <c r="U131" s="9"/>
      <c r="V131" s="9"/>
      <c r="W131" s="9"/>
      <c r="X131" s="9"/>
      <c r="Y131" s="9"/>
      <c r="Z131" s="9"/>
    </row>
    <row r="132" spans="1:26" x14ac:dyDescent="0.2">
      <c r="A132" s="9"/>
      <c r="B132" s="1426" t="s">
        <v>2311</v>
      </c>
      <c r="C132" s="1309"/>
      <c r="D132" s="231"/>
      <c r="E132" s="231"/>
      <c r="F132" s="231"/>
      <c r="G132" s="231"/>
      <c r="H132" s="231"/>
      <c r="I132" s="231"/>
      <c r="J132" s="231"/>
      <c r="K132" s="231"/>
      <c r="L132" s="231"/>
      <c r="M132" s="231"/>
      <c r="N132" s="231"/>
      <c r="O132" s="231"/>
      <c r="P132" s="231"/>
      <c r="Q132" s="231"/>
      <c r="R132" s="231"/>
      <c r="S132" s="231"/>
      <c r="T132" s="1433"/>
      <c r="U132" s="9"/>
      <c r="V132" s="9"/>
      <c r="W132" s="9"/>
      <c r="X132" s="9"/>
      <c r="Y132" s="9"/>
      <c r="Z132" s="9"/>
    </row>
    <row r="133" spans="1:26" ht="13.5" thickBot="1" x14ac:dyDescent="0.25">
      <c r="A133" s="9"/>
      <c r="B133" s="1431" t="s">
        <v>3700</v>
      </c>
      <c r="C133" s="1440"/>
      <c r="D133" s="1409"/>
      <c r="E133" s="1409"/>
      <c r="F133" s="1409"/>
      <c r="G133" s="1409"/>
      <c r="H133" s="1409"/>
      <c r="I133" s="1409"/>
      <c r="J133" s="1409"/>
      <c r="K133" s="1409"/>
      <c r="L133" s="1409"/>
      <c r="M133" s="1409"/>
      <c r="N133" s="1409"/>
      <c r="O133" s="1409"/>
      <c r="P133" s="1409"/>
      <c r="Q133" s="1409"/>
      <c r="R133" s="1409"/>
      <c r="S133" s="1409"/>
      <c r="T133" s="1441"/>
      <c r="U133" s="9"/>
      <c r="V133" s="9"/>
      <c r="W133" s="9"/>
      <c r="X133" s="9"/>
      <c r="Y133" s="9"/>
      <c r="Z133" s="9"/>
    </row>
    <row r="134" spans="1:26" x14ac:dyDescent="0.2">
      <c r="A134" s="9"/>
      <c r="B134" s="1426" t="s">
        <v>2543</v>
      </c>
      <c r="C134" s="1309">
        <f t="shared" ref="C134:C161" si="7">ROUND(J88/($J$116-SUM($J$83:$J$87))*$D$23,-2)</f>
        <v>9300</v>
      </c>
      <c r="D134" s="231">
        <f t="shared" ref="D134:D161" si="8">ROUND(L88/($L$116)*$D$24,-2)</f>
        <v>0</v>
      </c>
      <c r="E134" s="231">
        <f t="shared" ref="E134:E161" si="9">ROUND((J88/($J$116-SUM($J$83:$J$87)))*($D$25+$D$130),-2)</f>
        <v>26100</v>
      </c>
      <c r="F134" s="231">
        <f t="shared" ref="F134:F161" si="10">ROUND(O88/$O$116*$D$26,-2)</f>
        <v>0</v>
      </c>
      <c r="G134" s="231">
        <f t="shared" ref="G134:G161" si="11">ROUND(N88/($N$116-SUM($N$83:$N$87))*($D$27),-2)</f>
        <v>22100</v>
      </c>
      <c r="H134" s="231"/>
      <c r="I134" s="231">
        <f t="shared" ref="I134:I161" si="12">ROUND(M88/($M$116-SUM($M$83:$M$87))*($D$28),-2)</f>
        <v>9600</v>
      </c>
      <c r="J134" s="231">
        <f t="shared" ref="J134:J161" si="13">ROUND(J88/($J$116-$J$84-$J$85-$J$86-$J$87)*$D$29,-2)</f>
        <v>52100</v>
      </c>
      <c r="K134" s="231">
        <f t="shared" ref="K134:K161" si="14">ROUND(J88/($J$116-SUM($J$83:$J$87))*($D$30),-2)</f>
        <v>34800</v>
      </c>
      <c r="L134" s="231"/>
      <c r="M134" s="231">
        <f t="shared" ref="M134:M161" si="15">ROUND(O88/$O$116*$D$32,-2)</f>
        <v>0</v>
      </c>
      <c r="N134" s="231">
        <f t="shared" ref="N134:N161" si="16">ROUND(O88/$O$116*$D$33,-2)</f>
        <v>0</v>
      </c>
      <c r="O134" s="231">
        <f t="shared" ref="O134:O161" si="17">ROUND(J88/($J$116-SUM($J$83:$J$87))*($D$34),-2)</f>
        <v>4100</v>
      </c>
      <c r="P134" s="231">
        <f t="shared" ref="P134:P161" si="18">ROUND(K88/SUM($K$88:$K$115)*$D$35,-2)</f>
        <v>9400</v>
      </c>
      <c r="Q134" s="231">
        <f t="shared" ref="Q134:Q161" si="19">ROUND(J88/($J$116-SUM($J$83:$J$87))*($D$36),-2)</f>
        <v>4700</v>
      </c>
      <c r="R134" s="231"/>
      <c r="S134" s="231">
        <f>ROUND(SUM(C134:R134),-3)</f>
        <v>172000</v>
      </c>
      <c r="T134" s="1438">
        <f>S134/D88</f>
        <v>6.6288973677111035E-2</v>
      </c>
      <c r="U134" s="9"/>
      <c r="V134" s="9"/>
      <c r="W134" s="9"/>
      <c r="X134" s="9"/>
      <c r="Y134" s="9"/>
      <c r="Z134" s="9"/>
    </row>
    <row r="135" spans="1:26" x14ac:dyDescent="0.2">
      <c r="A135" s="9"/>
      <c r="B135" s="1426" t="s">
        <v>1734</v>
      </c>
      <c r="C135" s="1309">
        <f t="shared" si="7"/>
        <v>900</v>
      </c>
      <c r="D135" s="231">
        <f t="shared" si="8"/>
        <v>0</v>
      </c>
      <c r="E135" s="231">
        <f t="shared" si="9"/>
        <v>2600</v>
      </c>
      <c r="F135" s="231">
        <f t="shared" si="10"/>
        <v>0</v>
      </c>
      <c r="G135" s="231">
        <f t="shared" si="11"/>
        <v>6300</v>
      </c>
      <c r="H135" s="231"/>
      <c r="I135" s="231">
        <f t="shared" si="12"/>
        <v>0</v>
      </c>
      <c r="J135" s="231">
        <f t="shared" si="13"/>
        <v>5100</v>
      </c>
      <c r="K135" s="231">
        <f t="shared" si="14"/>
        <v>3400</v>
      </c>
      <c r="L135" s="231"/>
      <c r="M135" s="231">
        <f t="shared" si="15"/>
        <v>0</v>
      </c>
      <c r="N135" s="231">
        <f t="shared" si="16"/>
        <v>0</v>
      </c>
      <c r="O135" s="231">
        <f t="shared" si="17"/>
        <v>400</v>
      </c>
      <c r="P135" s="231">
        <f t="shared" si="18"/>
        <v>1800</v>
      </c>
      <c r="Q135" s="231">
        <f t="shared" si="19"/>
        <v>500</v>
      </c>
      <c r="R135" s="231"/>
      <c r="S135" s="231">
        <f>ROUND(SUM(C135:R135),-3)</f>
        <v>21000</v>
      </c>
      <c r="T135" s="1438">
        <f>S135/D89</f>
        <v>5.128205128205128E-2</v>
      </c>
      <c r="U135" s="9"/>
      <c r="V135" s="9"/>
      <c r="W135" s="9"/>
      <c r="X135" s="9"/>
      <c r="Y135" s="9"/>
      <c r="Z135" s="9"/>
    </row>
    <row r="136" spans="1:26" x14ac:dyDescent="0.2">
      <c r="A136" s="9"/>
      <c r="B136" s="1426" t="s">
        <v>2129</v>
      </c>
      <c r="C136" s="1309">
        <f t="shared" si="7"/>
        <v>15600</v>
      </c>
      <c r="D136" s="231">
        <f t="shared" si="8"/>
        <v>0</v>
      </c>
      <c r="E136" s="231">
        <f t="shared" si="9"/>
        <v>43600</v>
      </c>
      <c r="F136" s="231">
        <f t="shared" si="10"/>
        <v>0</v>
      </c>
      <c r="G136" s="231">
        <f t="shared" si="11"/>
        <v>69500</v>
      </c>
      <c r="H136" s="231"/>
      <c r="I136" s="231">
        <f t="shared" si="12"/>
        <v>28900</v>
      </c>
      <c r="J136" s="231">
        <f t="shared" si="13"/>
        <v>87100</v>
      </c>
      <c r="K136" s="231">
        <f t="shared" si="14"/>
        <v>58300</v>
      </c>
      <c r="L136" s="231"/>
      <c r="M136" s="231">
        <f t="shared" si="15"/>
        <v>0</v>
      </c>
      <c r="N136" s="231">
        <f t="shared" si="16"/>
        <v>0</v>
      </c>
      <c r="O136" s="231">
        <f t="shared" si="17"/>
        <v>6900</v>
      </c>
      <c r="P136" s="231">
        <f t="shared" si="18"/>
        <v>22400</v>
      </c>
      <c r="Q136" s="231">
        <f t="shared" si="19"/>
        <v>7800</v>
      </c>
      <c r="R136" s="231"/>
      <c r="S136" s="231">
        <f>ROUND(SUM(C136:R136),-3)</f>
        <v>340000</v>
      </c>
      <c r="T136" s="1438">
        <f>S136/D90</f>
        <v>7.0377346774026614E-2</v>
      </c>
      <c r="U136" s="9"/>
      <c r="V136" s="9"/>
      <c r="W136" s="9"/>
      <c r="X136" s="9"/>
      <c r="Y136" s="9"/>
      <c r="Z136" s="9"/>
    </row>
    <row r="137" spans="1:26" x14ac:dyDescent="0.2">
      <c r="A137" s="9"/>
      <c r="B137" s="1426" t="s">
        <v>218</v>
      </c>
      <c r="C137" s="1309">
        <f t="shared" si="7"/>
        <v>4200</v>
      </c>
      <c r="D137" s="231">
        <f t="shared" si="8"/>
        <v>0</v>
      </c>
      <c r="E137" s="231">
        <f t="shared" si="9"/>
        <v>11700</v>
      </c>
      <c r="F137" s="231">
        <f t="shared" si="10"/>
        <v>0</v>
      </c>
      <c r="G137" s="231">
        <f t="shared" si="11"/>
        <v>79000</v>
      </c>
      <c r="H137" s="231"/>
      <c r="I137" s="231">
        <f t="shared" si="12"/>
        <v>0</v>
      </c>
      <c r="J137" s="231">
        <f t="shared" si="13"/>
        <v>23300</v>
      </c>
      <c r="K137" s="231">
        <f t="shared" si="14"/>
        <v>15600</v>
      </c>
      <c r="L137" s="231"/>
      <c r="M137" s="231">
        <f t="shared" si="15"/>
        <v>0</v>
      </c>
      <c r="N137" s="231">
        <f t="shared" si="16"/>
        <v>0</v>
      </c>
      <c r="O137" s="231">
        <f t="shared" si="17"/>
        <v>1800</v>
      </c>
      <c r="P137" s="231">
        <f t="shared" si="18"/>
        <v>1600</v>
      </c>
      <c r="Q137" s="231">
        <f t="shared" si="19"/>
        <v>2100</v>
      </c>
      <c r="R137" s="231"/>
      <c r="S137" s="231"/>
      <c r="T137" s="1438"/>
      <c r="U137" s="9"/>
      <c r="V137" s="9"/>
      <c r="W137" s="9"/>
      <c r="X137" s="9"/>
      <c r="Y137" s="9"/>
      <c r="Z137" s="9"/>
    </row>
    <row r="138" spans="1:26" x14ac:dyDescent="0.2">
      <c r="A138" s="9"/>
      <c r="B138" s="1426" t="s">
        <v>3562</v>
      </c>
      <c r="C138" s="1309">
        <f t="shared" si="7"/>
        <v>5600</v>
      </c>
      <c r="D138" s="231">
        <f t="shared" si="8"/>
        <v>0</v>
      </c>
      <c r="E138" s="231">
        <f t="shared" si="9"/>
        <v>15700</v>
      </c>
      <c r="F138" s="231">
        <f t="shared" si="10"/>
        <v>0</v>
      </c>
      <c r="G138" s="231">
        <f t="shared" si="11"/>
        <v>0</v>
      </c>
      <c r="H138" s="231"/>
      <c r="I138" s="231">
        <f t="shared" si="12"/>
        <v>83700</v>
      </c>
      <c r="J138" s="231">
        <f t="shared" si="13"/>
        <v>31300</v>
      </c>
      <c r="K138" s="231">
        <f t="shared" si="14"/>
        <v>21000</v>
      </c>
      <c r="L138" s="231"/>
      <c r="M138" s="231">
        <f t="shared" si="15"/>
        <v>0</v>
      </c>
      <c r="N138" s="231">
        <f t="shared" si="16"/>
        <v>0</v>
      </c>
      <c r="O138" s="231">
        <f t="shared" si="17"/>
        <v>2500</v>
      </c>
      <c r="P138" s="231">
        <f t="shared" si="18"/>
        <v>1700</v>
      </c>
      <c r="Q138" s="231">
        <f t="shared" si="19"/>
        <v>2800</v>
      </c>
      <c r="R138" s="231"/>
      <c r="S138" s="231"/>
      <c r="T138" s="1438"/>
      <c r="U138" s="9"/>
      <c r="V138" s="9"/>
      <c r="W138" s="9"/>
      <c r="X138" s="9"/>
      <c r="Y138" s="9"/>
      <c r="Z138" s="9"/>
    </row>
    <row r="139" spans="1:26" x14ac:dyDescent="0.2">
      <c r="A139" s="9"/>
      <c r="B139" s="1426" t="s">
        <v>3555</v>
      </c>
      <c r="C139" s="1309">
        <f t="shared" si="7"/>
        <v>3200</v>
      </c>
      <c r="D139" s="231">
        <f t="shared" si="8"/>
        <v>0</v>
      </c>
      <c r="E139" s="231">
        <f t="shared" si="9"/>
        <v>9000</v>
      </c>
      <c r="F139" s="231">
        <f t="shared" si="10"/>
        <v>0</v>
      </c>
      <c r="G139" s="231">
        <f t="shared" si="11"/>
        <v>63200</v>
      </c>
      <c r="H139" s="231"/>
      <c r="I139" s="231">
        <f t="shared" si="12"/>
        <v>28900</v>
      </c>
      <c r="J139" s="231">
        <f t="shared" si="13"/>
        <v>18000</v>
      </c>
      <c r="K139" s="231">
        <f t="shared" si="14"/>
        <v>12100</v>
      </c>
      <c r="L139" s="231"/>
      <c r="M139" s="231">
        <f t="shared" si="15"/>
        <v>0</v>
      </c>
      <c r="N139" s="231">
        <f t="shared" si="16"/>
        <v>0</v>
      </c>
      <c r="O139" s="231">
        <f t="shared" si="17"/>
        <v>1400</v>
      </c>
      <c r="P139" s="231">
        <f t="shared" si="18"/>
        <v>600</v>
      </c>
      <c r="Q139" s="231">
        <f t="shared" si="19"/>
        <v>1600</v>
      </c>
      <c r="R139" s="231"/>
      <c r="S139" s="231"/>
      <c r="T139" s="1438"/>
      <c r="U139" s="9"/>
      <c r="V139" s="9"/>
      <c r="W139" s="9"/>
      <c r="X139" s="9"/>
      <c r="Y139" s="9"/>
      <c r="Z139" s="9"/>
    </row>
    <row r="140" spans="1:26" x14ac:dyDescent="0.2">
      <c r="A140" s="9"/>
      <c r="B140" s="1426" t="s">
        <v>2923</v>
      </c>
      <c r="C140" s="1309">
        <f t="shared" si="7"/>
        <v>5400</v>
      </c>
      <c r="D140" s="231">
        <f t="shared" si="8"/>
        <v>0</v>
      </c>
      <c r="E140" s="231">
        <f t="shared" si="9"/>
        <v>15200</v>
      </c>
      <c r="F140" s="231">
        <f t="shared" si="10"/>
        <v>0</v>
      </c>
      <c r="G140" s="231">
        <f t="shared" si="11"/>
        <v>0</v>
      </c>
      <c r="H140" s="231"/>
      <c r="I140" s="231">
        <f t="shared" si="12"/>
        <v>0</v>
      </c>
      <c r="J140" s="231">
        <f t="shared" si="13"/>
        <v>30300</v>
      </c>
      <c r="K140" s="231">
        <f t="shared" si="14"/>
        <v>20300</v>
      </c>
      <c r="L140" s="231"/>
      <c r="M140" s="231">
        <f t="shared" si="15"/>
        <v>0</v>
      </c>
      <c r="N140" s="231">
        <f t="shared" si="16"/>
        <v>0</v>
      </c>
      <c r="O140" s="231">
        <f t="shared" si="17"/>
        <v>2400</v>
      </c>
      <c r="P140" s="231">
        <f t="shared" si="18"/>
        <v>500</v>
      </c>
      <c r="Q140" s="231">
        <f t="shared" si="19"/>
        <v>2700</v>
      </c>
      <c r="R140" s="231"/>
      <c r="S140" s="231"/>
      <c r="T140" s="1438"/>
      <c r="U140" s="9"/>
      <c r="V140" s="9"/>
      <c r="W140" s="9"/>
      <c r="X140" s="9"/>
      <c r="Y140" s="9"/>
      <c r="Z140" s="9"/>
    </row>
    <row r="141" spans="1:26" x14ac:dyDescent="0.2">
      <c r="A141" s="9"/>
      <c r="B141" s="1426" t="s">
        <v>389</v>
      </c>
      <c r="C141" s="1309">
        <f t="shared" si="7"/>
        <v>2700</v>
      </c>
      <c r="D141" s="231">
        <f t="shared" si="8"/>
        <v>0</v>
      </c>
      <c r="E141" s="231">
        <f t="shared" si="9"/>
        <v>7700</v>
      </c>
      <c r="F141" s="231">
        <f t="shared" si="10"/>
        <v>0</v>
      </c>
      <c r="G141" s="231">
        <f t="shared" si="11"/>
        <v>0</v>
      </c>
      <c r="H141" s="231"/>
      <c r="I141" s="231">
        <f t="shared" si="12"/>
        <v>0</v>
      </c>
      <c r="J141" s="231">
        <f t="shared" si="13"/>
        <v>15300</v>
      </c>
      <c r="K141" s="231">
        <f t="shared" si="14"/>
        <v>10200</v>
      </c>
      <c r="L141" s="231"/>
      <c r="M141" s="231">
        <f t="shared" si="15"/>
        <v>0</v>
      </c>
      <c r="N141" s="231">
        <f t="shared" si="16"/>
        <v>0</v>
      </c>
      <c r="O141" s="231">
        <f t="shared" si="17"/>
        <v>1200</v>
      </c>
      <c r="P141" s="231">
        <f t="shared" si="18"/>
        <v>1800</v>
      </c>
      <c r="Q141" s="231">
        <f t="shared" si="19"/>
        <v>1400</v>
      </c>
      <c r="R141" s="231"/>
      <c r="S141" s="231"/>
      <c r="T141" s="1438"/>
      <c r="U141" s="9"/>
      <c r="V141" s="9"/>
      <c r="W141" s="9"/>
      <c r="X141" s="9"/>
      <c r="Y141" s="9"/>
      <c r="Z141" s="9"/>
    </row>
    <row r="142" spans="1:26" x14ac:dyDescent="0.2">
      <c r="A142" s="9"/>
      <c r="B142" s="1426" t="s">
        <v>3307</v>
      </c>
      <c r="C142" s="1309">
        <f t="shared" si="7"/>
        <v>2600</v>
      </c>
      <c r="D142" s="231">
        <f t="shared" si="8"/>
        <v>0</v>
      </c>
      <c r="E142" s="231">
        <f t="shared" si="9"/>
        <v>7200</v>
      </c>
      <c r="F142" s="231">
        <f t="shared" si="10"/>
        <v>0</v>
      </c>
      <c r="G142" s="231">
        <f t="shared" si="11"/>
        <v>31600</v>
      </c>
      <c r="H142" s="231"/>
      <c r="I142" s="231">
        <f t="shared" si="12"/>
        <v>10800</v>
      </c>
      <c r="J142" s="231">
        <f t="shared" si="13"/>
        <v>14300</v>
      </c>
      <c r="K142" s="231">
        <f t="shared" si="14"/>
        <v>9600</v>
      </c>
      <c r="L142" s="231"/>
      <c r="M142" s="231">
        <f t="shared" si="15"/>
        <v>0</v>
      </c>
      <c r="N142" s="231">
        <f t="shared" si="16"/>
        <v>0</v>
      </c>
      <c r="O142" s="231">
        <f t="shared" si="17"/>
        <v>1100</v>
      </c>
      <c r="P142" s="231">
        <f t="shared" si="18"/>
        <v>600</v>
      </c>
      <c r="Q142" s="231">
        <f t="shared" si="19"/>
        <v>1300</v>
      </c>
      <c r="R142" s="231"/>
      <c r="S142" s="231"/>
      <c r="T142" s="1438"/>
      <c r="U142" s="9"/>
      <c r="V142" s="9"/>
      <c r="W142" s="9"/>
      <c r="X142" s="9"/>
      <c r="Y142" s="9"/>
      <c r="Z142" s="9"/>
    </row>
    <row r="143" spans="1:26" x14ac:dyDescent="0.2">
      <c r="A143" s="9"/>
      <c r="B143" s="1426" t="s">
        <v>1259</v>
      </c>
      <c r="C143" s="1309">
        <f t="shared" si="7"/>
        <v>3800</v>
      </c>
      <c r="D143" s="231">
        <f t="shared" si="8"/>
        <v>0</v>
      </c>
      <c r="E143" s="231">
        <f t="shared" si="9"/>
        <v>10500</v>
      </c>
      <c r="F143" s="231">
        <f t="shared" si="10"/>
        <v>0</v>
      </c>
      <c r="G143" s="231">
        <f t="shared" si="11"/>
        <v>85300</v>
      </c>
      <c r="H143" s="231"/>
      <c r="I143" s="231">
        <f t="shared" si="12"/>
        <v>41900</v>
      </c>
      <c r="J143" s="231">
        <f t="shared" si="13"/>
        <v>20900</v>
      </c>
      <c r="K143" s="231">
        <f t="shared" si="14"/>
        <v>14000</v>
      </c>
      <c r="L143" s="231"/>
      <c r="M143" s="231">
        <f t="shared" si="15"/>
        <v>0</v>
      </c>
      <c r="N143" s="231">
        <f t="shared" si="16"/>
        <v>0</v>
      </c>
      <c r="O143" s="231">
        <f t="shared" si="17"/>
        <v>1700</v>
      </c>
      <c r="P143" s="231">
        <f t="shared" si="18"/>
        <v>2600</v>
      </c>
      <c r="Q143" s="231">
        <f t="shared" si="19"/>
        <v>1900</v>
      </c>
      <c r="R143" s="231"/>
      <c r="S143" s="231"/>
      <c r="T143" s="1438"/>
      <c r="U143" s="9"/>
      <c r="V143" s="9"/>
      <c r="W143" s="9"/>
      <c r="X143" s="9"/>
      <c r="Y143" s="9"/>
      <c r="Z143" s="9"/>
    </row>
    <row r="144" spans="1:26" x14ac:dyDescent="0.2">
      <c r="A144" s="9"/>
      <c r="B144" s="1426" t="s">
        <v>2698</v>
      </c>
      <c r="C144" s="1309">
        <f t="shared" si="7"/>
        <v>2900</v>
      </c>
      <c r="D144" s="231">
        <f t="shared" si="8"/>
        <v>0</v>
      </c>
      <c r="E144" s="231">
        <f t="shared" si="9"/>
        <v>8100</v>
      </c>
      <c r="F144" s="231">
        <f t="shared" si="10"/>
        <v>0</v>
      </c>
      <c r="G144" s="231">
        <f t="shared" si="11"/>
        <v>88400</v>
      </c>
      <c r="H144" s="231"/>
      <c r="I144" s="231">
        <f t="shared" si="12"/>
        <v>33700</v>
      </c>
      <c r="J144" s="231">
        <f t="shared" si="13"/>
        <v>16100</v>
      </c>
      <c r="K144" s="231">
        <f t="shared" si="14"/>
        <v>10800</v>
      </c>
      <c r="L144" s="231"/>
      <c r="M144" s="231">
        <f t="shared" si="15"/>
        <v>0</v>
      </c>
      <c r="N144" s="231">
        <f t="shared" si="16"/>
        <v>0</v>
      </c>
      <c r="O144" s="231">
        <f t="shared" si="17"/>
        <v>1300</v>
      </c>
      <c r="P144" s="231">
        <f t="shared" si="18"/>
        <v>6200</v>
      </c>
      <c r="Q144" s="231">
        <f t="shared" si="19"/>
        <v>1400</v>
      </c>
      <c r="R144" s="231"/>
      <c r="S144" s="231"/>
      <c r="T144" s="1438"/>
      <c r="U144" s="9"/>
      <c r="V144" s="9"/>
      <c r="W144" s="9"/>
      <c r="X144" s="9"/>
      <c r="Y144" s="9"/>
      <c r="Z144" s="9"/>
    </row>
    <row r="145" spans="1:26" x14ac:dyDescent="0.2">
      <c r="A145" s="9"/>
      <c r="B145" s="1426" t="s">
        <v>3193</v>
      </c>
      <c r="C145" s="1309">
        <f t="shared" si="7"/>
        <v>2700</v>
      </c>
      <c r="D145" s="231">
        <f t="shared" si="8"/>
        <v>0</v>
      </c>
      <c r="E145" s="231">
        <f t="shared" si="9"/>
        <v>7600</v>
      </c>
      <c r="F145" s="231">
        <f t="shared" si="10"/>
        <v>0</v>
      </c>
      <c r="G145" s="231">
        <f t="shared" si="11"/>
        <v>94800</v>
      </c>
      <c r="H145" s="231"/>
      <c r="I145" s="231">
        <f t="shared" si="12"/>
        <v>32700</v>
      </c>
      <c r="J145" s="231">
        <f t="shared" si="13"/>
        <v>15100</v>
      </c>
      <c r="K145" s="231">
        <f t="shared" si="14"/>
        <v>10100</v>
      </c>
      <c r="L145" s="231"/>
      <c r="M145" s="231">
        <f t="shared" si="15"/>
        <v>0</v>
      </c>
      <c r="N145" s="231">
        <f t="shared" si="16"/>
        <v>0</v>
      </c>
      <c r="O145" s="231">
        <f t="shared" si="17"/>
        <v>1200</v>
      </c>
      <c r="P145" s="231">
        <f t="shared" si="18"/>
        <v>1100</v>
      </c>
      <c r="Q145" s="231">
        <f t="shared" si="19"/>
        <v>1400</v>
      </c>
      <c r="R145" s="231"/>
      <c r="S145" s="231"/>
      <c r="T145" s="1438"/>
      <c r="U145" s="9"/>
      <c r="V145" s="9"/>
      <c r="W145" s="9"/>
      <c r="X145" s="9"/>
      <c r="Y145" s="9"/>
      <c r="Z145" s="9"/>
    </row>
    <row r="146" spans="1:26" x14ac:dyDescent="0.2">
      <c r="A146" s="9"/>
      <c r="B146" s="1426" t="s">
        <v>2710</v>
      </c>
      <c r="C146" s="1309">
        <f t="shared" si="7"/>
        <v>4100</v>
      </c>
      <c r="D146" s="231">
        <f t="shared" si="8"/>
        <v>0</v>
      </c>
      <c r="E146" s="231">
        <f t="shared" si="9"/>
        <v>11400</v>
      </c>
      <c r="F146" s="231">
        <f t="shared" si="10"/>
        <v>0</v>
      </c>
      <c r="G146" s="231">
        <f t="shared" si="11"/>
        <v>139000</v>
      </c>
      <c r="H146" s="231"/>
      <c r="I146" s="231">
        <f t="shared" si="12"/>
        <v>57200</v>
      </c>
      <c r="J146" s="231">
        <f t="shared" si="13"/>
        <v>22700</v>
      </c>
      <c r="K146" s="231">
        <f t="shared" si="14"/>
        <v>15200</v>
      </c>
      <c r="L146" s="231"/>
      <c r="M146" s="231">
        <f t="shared" si="15"/>
        <v>0</v>
      </c>
      <c r="N146" s="231">
        <f t="shared" si="16"/>
        <v>0</v>
      </c>
      <c r="O146" s="231">
        <f t="shared" si="17"/>
        <v>1800</v>
      </c>
      <c r="P146" s="231">
        <f t="shared" si="18"/>
        <v>1000</v>
      </c>
      <c r="Q146" s="231">
        <f t="shared" si="19"/>
        <v>2000</v>
      </c>
      <c r="R146" s="231"/>
      <c r="S146" s="231"/>
      <c r="T146" s="1438"/>
      <c r="U146" s="9"/>
      <c r="V146" s="9"/>
      <c r="W146" s="9"/>
      <c r="X146" s="9"/>
      <c r="Y146" s="9"/>
      <c r="Z146" s="9"/>
    </row>
    <row r="147" spans="1:26" x14ac:dyDescent="0.2">
      <c r="A147" s="9"/>
      <c r="B147" s="1426" t="s">
        <v>572</v>
      </c>
      <c r="C147" s="1309">
        <f t="shared" si="7"/>
        <v>9100</v>
      </c>
      <c r="D147" s="231">
        <f t="shared" si="8"/>
        <v>0</v>
      </c>
      <c r="E147" s="231">
        <f t="shared" si="9"/>
        <v>25400</v>
      </c>
      <c r="F147" s="231">
        <f t="shared" si="10"/>
        <v>0</v>
      </c>
      <c r="G147" s="231">
        <f t="shared" si="11"/>
        <v>454900</v>
      </c>
      <c r="H147" s="231"/>
      <c r="I147" s="231">
        <f t="shared" si="12"/>
        <v>113000</v>
      </c>
      <c r="J147" s="231">
        <f t="shared" si="13"/>
        <v>50600</v>
      </c>
      <c r="K147" s="231">
        <f t="shared" si="14"/>
        <v>33900</v>
      </c>
      <c r="L147" s="231">
        <f t="shared" ref="L147:L161" si="20">ROUND(J101/SUM($J$101:$J$115)*$D$31,-2)</f>
        <v>36400</v>
      </c>
      <c r="M147" s="231">
        <f t="shared" si="15"/>
        <v>0</v>
      </c>
      <c r="N147" s="231">
        <f t="shared" si="16"/>
        <v>0</v>
      </c>
      <c r="O147" s="231">
        <f t="shared" si="17"/>
        <v>4000</v>
      </c>
      <c r="P147" s="231">
        <f t="shared" si="18"/>
        <v>1100</v>
      </c>
      <c r="Q147" s="231">
        <f t="shared" si="19"/>
        <v>4500</v>
      </c>
      <c r="R147" s="231">
        <f>ROUND(D37/3,-2)</f>
        <v>41100</v>
      </c>
      <c r="S147" s="231"/>
      <c r="T147" s="1438"/>
      <c r="U147" s="9"/>
      <c r="V147" s="9"/>
      <c r="W147" s="9"/>
      <c r="X147" s="9"/>
      <c r="Y147" s="9"/>
      <c r="Z147" s="9"/>
    </row>
    <row r="148" spans="1:26" x14ac:dyDescent="0.2">
      <c r="A148" s="9"/>
      <c r="B148" s="1426" t="s">
        <v>3870</v>
      </c>
      <c r="C148" s="1309">
        <f t="shared" si="7"/>
        <v>12800</v>
      </c>
      <c r="D148" s="231">
        <f t="shared" si="8"/>
        <v>0</v>
      </c>
      <c r="E148" s="231">
        <f t="shared" si="9"/>
        <v>35900</v>
      </c>
      <c r="F148" s="231">
        <f t="shared" si="10"/>
        <v>0</v>
      </c>
      <c r="G148" s="231">
        <f t="shared" si="11"/>
        <v>176900</v>
      </c>
      <c r="H148" s="231"/>
      <c r="I148" s="231">
        <f t="shared" si="12"/>
        <v>24100</v>
      </c>
      <c r="J148" s="231">
        <f t="shared" si="13"/>
        <v>71700</v>
      </c>
      <c r="K148" s="231">
        <f t="shared" si="14"/>
        <v>47900</v>
      </c>
      <c r="L148" s="231">
        <f t="shared" si="20"/>
        <v>51500</v>
      </c>
      <c r="M148" s="231">
        <f t="shared" si="15"/>
        <v>0</v>
      </c>
      <c r="N148" s="231">
        <f t="shared" si="16"/>
        <v>0</v>
      </c>
      <c r="O148" s="231">
        <f t="shared" si="17"/>
        <v>5700</v>
      </c>
      <c r="P148" s="231">
        <f t="shared" si="18"/>
        <v>0</v>
      </c>
      <c r="Q148" s="231">
        <f t="shared" si="19"/>
        <v>6400</v>
      </c>
      <c r="R148" s="231"/>
      <c r="S148" s="231"/>
      <c r="T148" s="1438"/>
      <c r="U148" s="9"/>
      <c r="V148" s="9"/>
      <c r="W148" s="9"/>
      <c r="X148" s="9"/>
      <c r="Y148" s="9"/>
      <c r="Z148" s="9"/>
    </row>
    <row r="149" spans="1:26" x14ac:dyDescent="0.2">
      <c r="A149" s="9"/>
      <c r="B149" s="1426" t="s">
        <v>3701</v>
      </c>
      <c r="C149" s="1309">
        <f t="shared" si="7"/>
        <v>7700</v>
      </c>
      <c r="D149" s="231">
        <f t="shared" si="8"/>
        <v>0</v>
      </c>
      <c r="E149" s="231">
        <f t="shared" si="9"/>
        <v>21400</v>
      </c>
      <c r="F149" s="231">
        <f t="shared" si="10"/>
        <v>37900</v>
      </c>
      <c r="G149" s="231">
        <f t="shared" si="11"/>
        <v>0</v>
      </c>
      <c r="H149" s="231"/>
      <c r="I149" s="231">
        <f t="shared" si="12"/>
        <v>0</v>
      </c>
      <c r="J149" s="231">
        <f t="shared" si="13"/>
        <v>42700</v>
      </c>
      <c r="K149" s="231">
        <f t="shared" si="14"/>
        <v>28600</v>
      </c>
      <c r="L149" s="231">
        <f t="shared" si="20"/>
        <v>30700</v>
      </c>
      <c r="M149" s="231">
        <f t="shared" si="15"/>
        <v>52800</v>
      </c>
      <c r="N149" s="231">
        <f t="shared" si="16"/>
        <v>59600</v>
      </c>
      <c r="O149" s="231">
        <f t="shared" si="17"/>
        <v>3400</v>
      </c>
      <c r="P149" s="231">
        <f t="shared" si="18"/>
        <v>1600</v>
      </c>
      <c r="Q149" s="231">
        <f t="shared" si="19"/>
        <v>3800</v>
      </c>
      <c r="R149" s="231"/>
      <c r="S149" s="231"/>
      <c r="T149" s="1438"/>
      <c r="U149" s="9"/>
      <c r="V149" s="9"/>
      <c r="W149" s="9"/>
      <c r="X149" s="9"/>
      <c r="Y149" s="9"/>
      <c r="Z149" s="9"/>
    </row>
    <row r="150" spans="1:26" x14ac:dyDescent="0.2">
      <c r="A150" s="9"/>
      <c r="B150" s="1426" t="s">
        <v>728</v>
      </c>
      <c r="C150" s="1309">
        <f t="shared" si="7"/>
        <v>33700</v>
      </c>
      <c r="D150" s="231">
        <f t="shared" si="8"/>
        <v>0</v>
      </c>
      <c r="E150" s="231">
        <f t="shared" si="9"/>
        <v>94100</v>
      </c>
      <c r="F150" s="231">
        <f t="shared" si="10"/>
        <v>188600</v>
      </c>
      <c r="G150" s="231">
        <f t="shared" si="11"/>
        <v>79000</v>
      </c>
      <c r="H150" s="231"/>
      <c r="I150" s="231">
        <f t="shared" si="12"/>
        <v>293400</v>
      </c>
      <c r="J150" s="231">
        <f t="shared" si="13"/>
        <v>187900</v>
      </c>
      <c r="K150" s="231">
        <f t="shared" si="14"/>
        <v>125600</v>
      </c>
      <c r="L150" s="231">
        <f t="shared" si="20"/>
        <v>134900</v>
      </c>
      <c r="M150" s="231">
        <f t="shared" si="15"/>
        <v>262700</v>
      </c>
      <c r="N150" s="231">
        <f t="shared" si="16"/>
        <v>296600</v>
      </c>
      <c r="O150" s="231">
        <f t="shared" si="17"/>
        <v>14800</v>
      </c>
      <c r="P150" s="231">
        <f t="shared" si="18"/>
        <v>1500</v>
      </c>
      <c r="Q150" s="231">
        <f t="shared" si="19"/>
        <v>16900</v>
      </c>
      <c r="R150" s="231"/>
      <c r="S150" s="231"/>
      <c r="T150" s="1438"/>
      <c r="U150" s="9"/>
      <c r="V150" s="9"/>
      <c r="W150" s="9"/>
      <c r="X150" s="9"/>
      <c r="Y150" s="9"/>
      <c r="Z150" s="9"/>
    </row>
    <row r="151" spans="1:26" x14ac:dyDescent="0.2">
      <c r="A151" s="9"/>
      <c r="B151" s="1426" t="s">
        <v>1180</v>
      </c>
      <c r="C151" s="1309">
        <f t="shared" si="7"/>
        <v>9900</v>
      </c>
      <c r="D151" s="231">
        <f t="shared" si="8"/>
        <v>0</v>
      </c>
      <c r="E151" s="231">
        <f t="shared" si="9"/>
        <v>27800</v>
      </c>
      <c r="F151" s="231">
        <f t="shared" si="10"/>
        <v>0</v>
      </c>
      <c r="G151" s="231">
        <f t="shared" si="11"/>
        <v>3200</v>
      </c>
      <c r="H151" s="231"/>
      <c r="I151" s="231">
        <f t="shared" si="12"/>
        <v>24100</v>
      </c>
      <c r="J151" s="231">
        <f t="shared" si="13"/>
        <v>55400</v>
      </c>
      <c r="K151" s="231">
        <f t="shared" si="14"/>
        <v>37100</v>
      </c>
      <c r="L151" s="231">
        <f t="shared" si="20"/>
        <v>39800</v>
      </c>
      <c r="M151" s="231">
        <f t="shared" si="15"/>
        <v>0</v>
      </c>
      <c r="N151" s="231">
        <f t="shared" si="16"/>
        <v>0</v>
      </c>
      <c r="O151" s="231">
        <f t="shared" si="17"/>
        <v>4400</v>
      </c>
      <c r="P151" s="231">
        <f t="shared" si="18"/>
        <v>6000</v>
      </c>
      <c r="Q151" s="231">
        <f t="shared" si="19"/>
        <v>5000</v>
      </c>
      <c r="R151" s="231"/>
      <c r="S151" s="231"/>
      <c r="T151" s="1438"/>
      <c r="U151" s="9"/>
      <c r="V151" s="9"/>
      <c r="W151" s="9"/>
      <c r="X151" s="9"/>
      <c r="Y151" s="9"/>
      <c r="Z151" s="9"/>
    </row>
    <row r="152" spans="1:26" x14ac:dyDescent="0.2">
      <c r="A152" s="9"/>
      <c r="B152" s="1426" t="s">
        <v>3103</v>
      </c>
      <c r="C152" s="1309">
        <f t="shared" si="7"/>
        <v>2700</v>
      </c>
      <c r="D152" s="231">
        <f t="shared" si="8"/>
        <v>0</v>
      </c>
      <c r="E152" s="231">
        <f t="shared" si="9"/>
        <v>7400</v>
      </c>
      <c r="F152" s="231">
        <f t="shared" si="10"/>
        <v>0</v>
      </c>
      <c r="G152" s="231">
        <f t="shared" si="11"/>
        <v>0</v>
      </c>
      <c r="H152" s="231"/>
      <c r="I152" s="231">
        <f t="shared" si="12"/>
        <v>0</v>
      </c>
      <c r="J152" s="231">
        <f t="shared" si="13"/>
        <v>14900</v>
      </c>
      <c r="K152" s="231">
        <f t="shared" si="14"/>
        <v>9900</v>
      </c>
      <c r="L152" s="231">
        <f t="shared" si="20"/>
        <v>10700</v>
      </c>
      <c r="M152" s="231">
        <f t="shared" si="15"/>
        <v>0</v>
      </c>
      <c r="N152" s="231">
        <f t="shared" si="16"/>
        <v>0</v>
      </c>
      <c r="O152" s="231">
        <f t="shared" si="17"/>
        <v>1200</v>
      </c>
      <c r="P152" s="231">
        <f t="shared" si="18"/>
        <v>3800</v>
      </c>
      <c r="Q152" s="231">
        <f t="shared" si="19"/>
        <v>1300</v>
      </c>
      <c r="R152" s="231"/>
      <c r="S152" s="231"/>
      <c r="T152" s="1438"/>
      <c r="U152" s="9"/>
      <c r="V152" s="9"/>
      <c r="W152" s="9"/>
      <c r="X152" s="9"/>
      <c r="Y152" s="9"/>
      <c r="Z152" s="9"/>
    </row>
    <row r="153" spans="1:26" x14ac:dyDescent="0.2">
      <c r="A153" s="9"/>
      <c r="B153" s="1426" t="s">
        <v>500</v>
      </c>
      <c r="C153" s="1309">
        <f t="shared" si="7"/>
        <v>12800</v>
      </c>
      <c r="D153" s="231">
        <f t="shared" si="8"/>
        <v>0</v>
      </c>
      <c r="E153" s="231">
        <f t="shared" si="9"/>
        <v>35700</v>
      </c>
      <c r="F153" s="231">
        <f t="shared" si="10"/>
        <v>0</v>
      </c>
      <c r="G153" s="231">
        <f t="shared" si="11"/>
        <v>60000</v>
      </c>
      <c r="H153" s="231"/>
      <c r="I153" s="231">
        <f t="shared" si="12"/>
        <v>167400</v>
      </c>
      <c r="J153" s="231">
        <f t="shared" si="13"/>
        <v>71400</v>
      </c>
      <c r="K153" s="231">
        <f t="shared" si="14"/>
        <v>47700</v>
      </c>
      <c r="L153" s="231">
        <f t="shared" si="20"/>
        <v>51300</v>
      </c>
      <c r="M153" s="231">
        <f t="shared" si="15"/>
        <v>0</v>
      </c>
      <c r="N153" s="231">
        <f t="shared" si="16"/>
        <v>0</v>
      </c>
      <c r="O153" s="231">
        <f t="shared" si="17"/>
        <v>5600</v>
      </c>
      <c r="P153" s="231">
        <f t="shared" si="18"/>
        <v>4600</v>
      </c>
      <c r="Q153" s="231">
        <f t="shared" si="19"/>
        <v>6400</v>
      </c>
      <c r="R153" s="231"/>
      <c r="S153" s="231"/>
      <c r="T153" s="1438"/>
      <c r="U153" s="9"/>
      <c r="V153" s="9"/>
      <c r="W153" s="9"/>
      <c r="X153" s="9"/>
      <c r="Y153" s="9"/>
      <c r="Z153" s="9"/>
    </row>
    <row r="154" spans="1:26" x14ac:dyDescent="0.2">
      <c r="A154" s="9"/>
      <c r="B154" s="1426" t="s">
        <v>381</v>
      </c>
      <c r="C154" s="1309">
        <f t="shared" si="7"/>
        <v>12300</v>
      </c>
      <c r="D154" s="231">
        <f t="shared" si="8"/>
        <v>0</v>
      </c>
      <c r="E154" s="231">
        <f t="shared" si="9"/>
        <v>34500</v>
      </c>
      <c r="F154" s="231">
        <f t="shared" si="10"/>
        <v>0</v>
      </c>
      <c r="G154" s="231">
        <f t="shared" si="11"/>
        <v>22100</v>
      </c>
      <c r="H154" s="231"/>
      <c r="I154" s="231">
        <f t="shared" si="12"/>
        <v>52900</v>
      </c>
      <c r="J154" s="231">
        <f t="shared" si="13"/>
        <v>68900</v>
      </c>
      <c r="K154" s="231">
        <f t="shared" si="14"/>
        <v>46000</v>
      </c>
      <c r="L154" s="231">
        <f t="shared" si="20"/>
        <v>49500</v>
      </c>
      <c r="M154" s="231">
        <f t="shared" si="15"/>
        <v>0</v>
      </c>
      <c r="N154" s="231">
        <f t="shared" si="16"/>
        <v>0</v>
      </c>
      <c r="O154" s="231">
        <f t="shared" si="17"/>
        <v>5400</v>
      </c>
      <c r="P154" s="231">
        <f t="shared" si="18"/>
        <v>1200</v>
      </c>
      <c r="Q154" s="231">
        <f t="shared" si="19"/>
        <v>6200</v>
      </c>
      <c r="R154" s="231"/>
      <c r="S154" s="231">
        <f>ROUND(SUM(C154:R154),-3)</f>
        <v>299000</v>
      </c>
      <c r="T154" s="1438">
        <f>S154/D108</f>
        <v>1.1548860563924295</v>
      </c>
      <c r="U154" s="9"/>
      <c r="V154" s="9"/>
      <c r="W154" s="9"/>
      <c r="X154" s="9"/>
      <c r="Y154" s="9"/>
      <c r="Z154" s="9"/>
    </row>
    <row r="155" spans="1:26" x14ac:dyDescent="0.2">
      <c r="A155" s="9"/>
      <c r="B155" s="1426" t="s">
        <v>541</v>
      </c>
      <c r="C155" s="1309">
        <f t="shared" si="7"/>
        <v>1100</v>
      </c>
      <c r="D155" s="231">
        <f t="shared" si="8"/>
        <v>0</v>
      </c>
      <c r="E155" s="231">
        <f t="shared" si="9"/>
        <v>3200</v>
      </c>
      <c r="F155" s="231">
        <f t="shared" si="10"/>
        <v>0</v>
      </c>
      <c r="G155" s="231">
        <f t="shared" si="11"/>
        <v>0</v>
      </c>
      <c r="H155" s="231"/>
      <c r="I155" s="231">
        <f t="shared" si="12"/>
        <v>0</v>
      </c>
      <c r="J155" s="231">
        <f t="shared" si="13"/>
        <v>6400</v>
      </c>
      <c r="K155" s="231">
        <f t="shared" si="14"/>
        <v>4300</v>
      </c>
      <c r="L155" s="231">
        <f t="shared" si="20"/>
        <v>4600</v>
      </c>
      <c r="M155" s="231">
        <f t="shared" si="15"/>
        <v>0</v>
      </c>
      <c r="N155" s="231">
        <f t="shared" si="16"/>
        <v>0</v>
      </c>
      <c r="O155" s="231">
        <f t="shared" si="17"/>
        <v>500</v>
      </c>
      <c r="P155" s="231">
        <f t="shared" si="18"/>
        <v>800</v>
      </c>
      <c r="Q155" s="231">
        <f t="shared" si="19"/>
        <v>600</v>
      </c>
      <c r="R155" s="231"/>
      <c r="S155" s="231"/>
      <c r="T155" s="1438"/>
      <c r="U155" s="9"/>
      <c r="V155" s="9"/>
      <c r="W155" s="9"/>
      <c r="X155" s="9"/>
      <c r="Y155" s="9"/>
      <c r="Z155" s="9"/>
    </row>
    <row r="156" spans="1:26" x14ac:dyDescent="0.2">
      <c r="A156" s="9"/>
      <c r="B156" s="1426" t="s">
        <v>1965</v>
      </c>
      <c r="C156" s="1309">
        <f t="shared" si="7"/>
        <v>700</v>
      </c>
      <c r="D156" s="231">
        <f t="shared" si="8"/>
        <v>0</v>
      </c>
      <c r="E156" s="231">
        <f t="shared" si="9"/>
        <v>1800</v>
      </c>
      <c r="F156" s="231">
        <f t="shared" si="10"/>
        <v>0</v>
      </c>
      <c r="G156" s="231">
        <f t="shared" si="11"/>
        <v>0</v>
      </c>
      <c r="H156" s="231"/>
      <c r="I156" s="231">
        <f t="shared" si="12"/>
        <v>0</v>
      </c>
      <c r="J156" s="231">
        <f t="shared" si="13"/>
        <v>3600</v>
      </c>
      <c r="K156" s="231">
        <f t="shared" si="14"/>
        <v>2400</v>
      </c>
      <c r="L156" s="231">
        <f t="shared" si="20"/>
        <v>2600</v>
      </c>
      <c r="M156" s="231">
        <f t="shared" si="15"/>
        <v>0</v>
      </c>
      <c r="N156" s="231">
        <f t="shared" si="16"/>
        <v>0</v>
      </c>
      <c r="O156" s="231">
        <f t="shared" si="17"/>
        <v>300</v>
      </c>
      <c r="P156" s="231">
        <f t="shared" si="18"/>
        <v>1700</v>
      </c>
      <c r="Q156" s="231">
        <f t="shared" si="19"/>
        <v>300</v>
      </c>
      <c r="R156" s="231"/>
      <c r="S156" s="231">
        <f t="shared" ref="S156:S161" si="21">ROUND(SUM(C156:R156),-3)</f>
        <v>13000</v>
      </c>
      <c r="T156" s="1438">
        <f t="shared" ref="T156:T161" si="22">S156/D110</f>
        <v>4.642857142857143E-2</v>
      </c>
      <c r="U156" s="9"/>
      <c r="V156" s="9"/>
      <c r="W156" s="9"/>
      <c r="X156" s="9"/>
      <c r="Y156" s="9"/>
      <c r="Z156" s="9"/>
    </row>
    <row r="157" spans="1:26" x14ac:dyDescent="0.2">
      <c r="A157" s="9"/>
      <c r="B157" s="1426" t="s">
        <v>3123</v>
      </c>
      <c r="C157" s="1309">
        <f t="shared" si="7"/>
        <v>23500</v>
      </c>
      <c r="D157" s="231">
        <f t="shared" si="8"/>
        <v>113000</v>
      </c>
      <c r="E157" s="231">
        <f t="shared" si="9"/>
        <v>65700</v>
      </c>
      <c r="F157" s="231">
        <f t="shared" si="10"/>
        <v>0</v>
      </c>
      <c r="G157" s="231">
        <f t="shared" si="11"/>
        <v>19000</v>
      </c>
      <c r="H157" s="231"/>
      <c r="I157" s="231">
        <f t="shared" si="12"/>
        <v>49100</v>
      </c>
      <c r="J157" s="231">
        <f t="shared" si="13"/>
        <v>131300</v>
      </c>
      <c r="K157" s="231">
        <f t="shared" si="14"/>
        <v>87800</v>
      </c>
      <c r="L157" s="231">
        <f t="shared" si="20"/>
        <v>94300</v>
      </c>
      <c r="M157" s="231">
        <f t="shared" si="15"/>
        <v>0</v>
      </c>
      <c r="N157" s="231">
        <f t="shared" si="16"/>
        <v>0</v>
      </c>
      <c r="O157" s="231">
        <f t="shared" si="17"/>
        <v>10400</v>
      </c>
      <c r="P157" s="231">
        <f t="shared" si="18"/>
        <v>16800</v>
      </c>
      <c r="Q157" s="231">
        <f t="shared" si="19"/>
        <v>11800</v>
      </c>
      <c r="R157" s="231"/>
      <c r="S157" s="231">
        <f t="shared" si="21"/>
        <v>623000</v>
      </c>
      <c r="T157" s="1438">
        <f t="shared" si="22"/>
        <v>0.15382716049382716</v>
      </c>
      <c r="U157" s="9"/>
      <c r="V157" s="9"/>
      <c r="W157" s="9"/>
      <c r="X157" s="9"/>
      <c r="Y157" s="9"/>
      <c r="Z157" s="9"/>
    </row>
    <row r="158" spans="1:26" x14ac:dyDescent="0.2">
      <c r="A158" s="9"/>
      <c r="B158" s="1426" t="s">
        <v>2807</v>
      </c>
      <c r="C158" s="1309">
        <f t="shared" si="7"/>
        <v>22600</v>
      </c>
      <c r="D158" s="231">
        <f t="shared" si="8"/>
        <v>107700</v>
      </c>
      <c r="E158" s="231">
        <f t="shared" si="9"/>
        <v>63200</v>
      </c>
      <c r="F158" s="231">
        <f t="shared" si="10"/>
        <v>0</v>
      </c>
      <c r="G158" s="231">
        <f t="shared" si="11"/>
        <v>19000</v>
      </c>
      <c r="H158" s="231"/>
      <c r="I158" s="231">
        <f t="shared" si="12"/>
        <v>24100</v>
      </c>
      <c r="J158" s="231">
        <f t="shared" si="13"/>
        <v>126200</v>
      </c>
      <c r="K158" s="231">
        <f t="shared" si="14"/>
        <v>84400</v>
      </c>
      <c r="L158" s="231">
        <f t="shared" si="20"/>
        <v>90600</v>
      </c>
      <c r="M158" s="231">
        <f t="shared" si="15"/>
        <v>0</v>
      </c>
      <c r="N158" s="231">
        <f t="shared" si="16"/>
        <v>0</v>
      </c>
      <c r="O158" s="231">
        <f t="shared" si="17"/>
        <v>10000</v>
      </c>
      <c r="P158" s="231">
        <f t="shared" si="18"/>
        <v>26600</v>
      </c>
      <c r="Q158" s="231">
        <f t="shared" si="19"/>
        <v>11300</v>
      </c>
      <c r="R158" s="231"/>
      <c r="S158" s="231">
        <f t="shared" si="21"/>
        <v>586000</v>
      </c>
      <c r="T158" s="1438">
        <f t="shared" si="22"/>
        <v>0.10012815036309269</v>
      </c>
      <c r="U158" s="9"/>
      <c r="V158" s="9"/>
      <c r="W158" s="9"/>
      <c r="X158" s="9"/>
      <c r="Y158" s="9"/>
      <c r="Z158" s="9"/>
    </row>
    <row r="159" spans="1:26" x14ac:dyDescent="0.2">
      <c r="A159" s="9"/>
      <c r="B159" s="1426" t="s">
        <v>3601</v>
      </c>
      <c r="C159" s="1309">
        <f t="shared" si="7"/>
        <v>1600</v>
      </c>
      <c r="D159" s="231">
        <f t="shared" si="8"/>
        <v>0</v>
      </c>
      <c r="E159" s="231">
        <f t="shared" si="9"/>
        <v>4600</v>
      </c>
      <c r="F159" s="231">
        <f t="shared" si="10"/>
        <v>0</v>
      </c>
      <c r="G159" s="231">
        <f t="shared" si="11"/>
        <v>19000</v>
      </c>
      <c r="H159" s="231"/>
      <c r="I159" s="231">
        <f t="shared" si="12"/>
        <v>19200</v>
      </c>
      <c r="J159" s="231">
        <f t="shared" si="13"/>
        <v>9200</v>
      </c>
      <c r="K159" s="231">
        <f t="shared" si="14"/>
        <v>6100</v>
      </c>
      <c r="L159" s="231">
        <f t="shared" si="20"/>
        <v>6600</v>
      </c>
      <c r="M159" s="231">
        <f t="shared" si="15"/>
        <v>0</v>
      </c>
      <c r="N159" s="231">
        <f t="shared" si="16"/>
        <v>0</v>
      </c>
      <c r="O159" s="231">
        <f t="shared" si="17"/>
        <v>700</v>
      </c>
      <c r="P159" s="231">
        <f t="shared" si="18"/>
        <v>1100</v>
      </c>
      <c r="Q159" s="231">
        <f t="shared" si="19"/>
        <v>800</v>
      </c>
      <c r="R159" s="231"/>
      <c r="S159" s="231">
        <f t="shared" si="21"/>
        <v>69000</v>
      </c>
      <c r="T159" s="1438">
        <f t="shared" si="22"/>
        <v>0.25698324022346369</v>
      </c>
      <c r="U159" s="9"/>
      <c r="V159" s="9"/>
      <c r="W159" s="9"/>
      <c r="X159" s="9"/>
      <c r="Y159" s="9"/>
      <c r="Z159" s="9"/>
    </row>
    <row r="160" spans="1:26" x14ac:dyDescent="0.2">
      <c r="A160" s="9"/>
      <c r="B160" s="1426" t="s">
        <v>1764</v>
      </c>
      <c r="C160" s="1309">
        <f t="shared" si="7"/>
        <v>37500</v>
      </c>
      <c r="D160" s="231">
        <f t="shared" si="8"/>
        <v>94200</v>
      </c>
      <c r="E160" s="231">
        <f t="shared" si="9"/>
        <v>104900</v>
      </c>
      <c r="F160" s="231">
        <f t="shared" si="10"/>
        <v>36500</v>
      </c>
      <c r="G160" s="231">
        <f t="shared" si="11"/>
        <v>121600</v>
      </c>
      <c r="H160" s="231"/>
      <c r="I160" s="231">
        <f t="shared" si="12"/>
        <v>93800</v>
      </c>
      <c r="J160" s="231">
        <f t="shared" si="13"/>
        <v>209500</v>
      </c>
      <c r="K160" s="231">
        <f t="shared" si="14"/>
        <v>140100</v>
      </c>
      <c r="L160" s="231">
        <f t="shared" si="20"/>
        <v>150500</v>
      </c>
      <c r="M160" s="231">
        <f t="shared" si="15"/>
        <v>50800</v>
      </c>
      <c r="N160" s="231">
        <f t="shared" si="16"/>
        <v>57400</v>
      </c>
      <c r="O160" s="231">
        <f t="shared" si="17"/>
        <v>16500</v>
      </c>
      <c r="P160" s="231">
        <f t="shared" si="18"/>
        <v>49100</v>
      </c>
      <c r="Q160" s="231">
        <f t="shared" si="19"/>
        <v>18800</v>
      </c>
      <c r="R160" s="231">
        <f>R147</f>
        <v>41100</v>
      </c>
      <c r="S160" s="231">
        <f t="shared" si="21"/>
        <v>1222000</v>
      </c>
      <c r="T160" s="1438">
        <f t="shared" si="22"/>
        <v>0.11381417182028165</v>
      </c>
      <c r="U160" s="9"/>
      <c r="V160" s="9"/>
      <c r="W160" s="9"/>
      <c r="X160" s="9"/>
      <c r="Y160" s="9"/>
      <c r="Z160" s="9"/>
    </row>
    <row r="161" spans="1:28" ht="13.5" thickBot="1" x14ac:dyDescent="0.25">
      <c r="A161" s="9"/>
      <c r="B161" s="1426" t="s">
        <v>3354</v>
      </c>
      <c r="C161" s="1309">
        <f t="shared" si="7"/>
        <v>59900</v>
      </c>
      <c r="D161" s="231">
        <f t="shared" si="8"/>
        <v>92900</v>
      </c>
      <c r="E161" s="231">
        <f t="shared" si="9"/>
        <v>167400</v>
      </c>
      <c r="F161" s="231">
        <f t="shared" si="10"/>
        <v>81600</v>
      </c>
      <c r="G161" s="231">
        <f t="shared" si="11"/>
        <v>121600</v>
      </c>
      <c r="H161" s="231"/>
      <c r="I161" s="231">
        <f t="shared" si="12"/>
        <v>93800</v>
      </c>
      <c r="J161" s="231">
        <f t="shared" si="13"/>
        <v>334300</v>
      </c>
      <c r="K161" s="231">
        <f t="shared" si="14"/>
        <v>223600</v>
      </c>
      <c r="L161" s="231">
        <f t="shared" si="20"/>
        <v>240100</v>
      </c>
      <c r="M161" s="231">
        <f t="shared" si="15"/>
        <v>113700</v>
      </c>
      <c r="N161" s="231">
        <f t="shared" si="16"/>
        <v>128400</v>
      </c>
      <c r="O161" s="231">
        <f t="shared" si="17"/>
        <v>26400</v>
      </c>
      <c r="P161" s="231">
        <f t="shared" si="18"/>
        <v>71700</v>
      </c>
      <c r="Q161" s="231">
        <f t="shared" si="19"/>
        <v>30000</v>
      </c>
      <c r="R161" s="231">
        <f>R160</f>
        <v>41100</v>
      </c>
      <c r="S161" s="231">
        <f t="shared" si="21"/>
        <v>1827000</v>
      </c>
      <c r="T161" s="1438">
        <f t="shared" si="22"/>
        <v>0.11898869379461262</v>
      </c>
      <c r="U161" s="9"/>
      <c r="V161" s="9"/>
      <c r="W161" s="9"/>
      <c r="X161" s="9"/>
      <c r="Y161" s="9"/>
      <c r="Z161" s="9"/>
    </row>
    <row r="162" spans="1:28" ht="13.5" thickBot="1" x14ac:dyDescent="0.25">
      <c r="A162" s="9"/>
      <c r="B162" s="1439" t="s">
        <v>2662</v>
      </c>
      <c r="C162" s="1401">
        <f t="shared" ref="C162:J162" si="23">SUM(C129:C161)</f>
        <v>310900</v>
      </c>
      <c r="D162" s="1402">
        <f t="shared" si="23"/>
        <v>529000</v>
      </c>
      <c r="E162" s="1402">
        <f t="shared" si="23"/>
        <v>869400</v>
      </c>
      <c r="F162" s="1402">
        <f t="shared" si="23"/>
        <v>344600</v>
      </c>
      <c r="G162" s="1402">
        <f t="shared" si="23"/>
        <v>1775500</v>
      </c>
      <c r="H162" s="1402"/>
      <c r="I162" s="1402">
        <f t="shared" si="23"/>
        <v>1282300</v>
      </c>
      <c r="J162" s="1402">
        <f t="shared" si="23"/>
        <v>1735600</v>
      </c>
      <c r="K162" s="1402">
        <f>SUM(K134:K161)</f>
        <v>1160800</v>
      </c>
      <c r="L162" s="1402">
        <f t="shared" ref="L162:S162" si="24">SUM(L129:L161)</f>
        <v>994100</v>
      </c>
      <c r="M162" s="1402">
        <f t="shared" si="24"/>
        <v>480000</v>
      </c>
      <c r="N162" s="1402">
        <f t="shared" si="24"/>
        <v>542000</v>
      </c>
      <c r="O162" s="1402">
        <f t="shared" si="24"/>
        <v>137100</v>
      </c>
      <c r="P162" s="1402">
        <f t="shared" si="24"/>
        <v>238900</v>
      </c>
      <c r="Q162" s="1402">
        <f t="shared" si="24"/>
        <v>155700</v>
      </c>
      <c r="R162" s="1402">
        <f t="shared" si="24"/>
        <v>123300</v>
      </c>
      <c r="S162" s="1402">
        <f t="shared" si="24"/>
        <v>5172000</v>
      </c>
      <c r="T162" s="1442">
        <f>S162/J116</f>
        <v>5.7077650766884369E-2</v>
      </c>
      <c r="U162" s="9"/>
      <c r="V162" s="9"/>
      <c r="W162" s="9"/>
      <c r="X162" s="9"/>
      <c r="Y162" s="9"/>
      <c r="Z162" s="9"/>
    </row>
    <row r="163" spans="1:28" x14ac:dyDescent="0.2">
      <c r="A163" s="9"/>
      <c r="B163" s="1427"/>
      <c r="C163" s="1311"/>
      <c r="D163" s="82"/>
      <c r="E163" s="82"/>
      <c r="F163" s="82"/>
      <c r="G163" s="82"/>
      <c r="H163" s="82"/>
      <c r="I163" s="82"/>
      <c r="J163" s="82"/>
      <c r="K163" s="82"/>
      <c r="L163" s="82"/>
      <c r="M163" s="82"/>
      <c r="N163" s="82"/>
      <c r="O163" s="82"/>
      <c r="P163" s="82"/>
      <c r="Q163" s="82"/>
      <c r="R163" s="82"/>
      <c r="S163" s="82"/>
      <c r="T163" s="1434"/>
      <c r="U163" s="9"/>
      <c r="V163" s="9"/>
      <c r="W163" s="9"/>
      <c r="X163" s="9"/>
      <c r="Y163" s="9"/>
      <c r="Z163" s="9"/>
    </row>
    <row r="164" spans="1:28" x14ac:dyDescent="0.2">
      <c r="A164" s="9"/>
      <c r="B164" s="1427" t="s">
        <v>3819</v>
      </c>
      <c r="C164" s="1311">
        <f>ROUND(C162/$F$116,-2)</f>
        <v>1100</v>
      </c>
      <c r="D164" s="82">
        <f t="shared" ref="D164:F164" si="25">ROUND(D162/$F$116,-2)</f>
        <v>1800</v>
      </c>
      <c r="E164" s="82">
        <f t="shared" si="25"/>
        <v>3000</v>
      </c>
      <c r="F164" s="82">
        <f t="shared" si="25"/>
        <v>1200</v>
      </c>
      <c r="G164" s="82">
        <f>ROUND(G162/$F$116,-2)</f>
        <v>6100</v>
      </c>
      <c r="H164" s="82"/>
      <c r="I164" s="82">
        <f t="shared" ref="I164:S164" si="26">ROUND(I162/$F$116,-2)</f>
        <v>4400</v>
      </c>
      <c r="J164" s="82">
        <f t="shared" si="26"/>
        <v>5900</v>
      </c>
      <c r="K164" s="82">
        <f t="shared" si="26"/>
        <v>4000</v>
      </c>
      <c r="L164" s="82">
        <f t="shared" si="26"/>
        <v>3400</v>
      </c>
      <c r="M164" s="82">
        <f t="shared" si="26"/>
        <v>1600</v>
      </c>
      <c r="N164" s="82">
        <f t="shared" si="26"/>
        <v>1900</v>
      </c>
      <c r="O164" s="82">
        <f t="shared" si="26"/>
        <v>500</v>
      </c>
      <c r="P164" s="82">
        <f t="shared" si="26"/>
        <v>800</v>
      </c>
      <c r="Q164" s="82">
        <f t="shared" si="26"/>
        <v>500</v>
      </c>
      <c r="R164" s="82">
        <f t="shared" si="26"/>
        <v>400</v>
      </c>
      <c r="S164" s="82">
        <f t="shared" si="26"/>
        <v>17700</v>
      </c>
      <c r="T164" s="1434"/>
      <c r="U164" s="9"/>
      <c r="V164" s="9"/>
      <c r="W164" s="9"/>
      <c r="X164" s="9"/>
      <c r="Y164" s="9"/>
      <c r="Z164" s="9"/>
    </row>
    <row r="165" spans="1:28" ht="13.5" thickBot="1" x14ac:dyDescent="0.25">
      <c r="A165" s="9"/>
      <c r="B165" s="1431"/>
      <c r="C165" s="1321"/>
      <c r="D165" s="1388"/>
      <c r="E165" s="1388"/>
      <c r="F165" s="1388"/>
      <c r="G165" s="1388"/>
      <c r="H165" s="1388"/>
      <c r="I165" s="1388"/>
      <c r="J165" s="1388"/>
      <c r="K165" s="1388"/>
      <c r="L165" s="1388"/>
      <c r="M165" s="1388"/>
      <c r="N165" s="1388"/>
      <c r="O165" s="1388"/>
      <c r="P165" s="1388"/>
      <c r="Q165" s="1388"/>
      <c r="R165" s="1388"/>
      <c r="S165" s="1388"/>
      <c r="T165" s="1435"/>
      <c r="U165" s="9"/>
      <c r="V165" s="9"/>
      <c r="W165" s="9"/>
      <c r="X165" s="9"/>
      <c r="Y165" s="9"/>
      <c r="Z165" s="9"/>
    </row>
    <row r="166" spans="1:28" x14ac:dyDescent="0.2">
      <c r="A166" s="9"/>
      <c r="B166" s="1426"/>
      <c r="C166" s="1311"/>
      <c r="D166" s="82"/>
      <c r="E166" s="82"/>
      <c r="F166" s="82"/>
      <c r="G166" s="82"/>
      <c r="H166" s="82"/>
      <c r="I166" s="82"/>
      <c r="J166" s="82"/>
      <c r="K166" s="82"/>
      <c r="L166" s="82"/>
      <c r="M166" s="82"/>
      <c r="N166" s="82"/>
      <c r="O166" s="82"/>
      <c r="P166" s="82"/>
      <c r="Q166" s="82"/>
      <c r="R166" s="82"/>
      <c r="S166" s="82"/>
      <c r="T166" s="1434"/>
      <c r="U166" s="9"/>
      <c r="V166" s="9"/>
      <c r="W166" s="9"/>
      <c r="X166" s="9"/>
      <c r="Y166" s="9"/>
      <c r="Z166" s="9"/>
    </row>
    <row r="167" spans="1:28" x14ac:dyDescent="0.2">
      <c r="A167" s="9"/>
      <c r="B167" s="1428" t="s">
        <v>408</v>
      </c>
      <c r="C167" s="1311">
        <f t="shared" ref="C167:P167" si="27">C162-C169</f>
        <v>-315600</v>
      </c>
      <c r="D167" s="82">
        <f t="shared" si="27"/>
        <v>0</v>
      </c>
      <c r="E167" s="82">
        <f t="shared" si="27"/>
        <v>100</v>
      </c>
      <c r="F167" s="82">
        <f t="shared" si="27"/>
        <v>0</v>
      </c>
      <c r="G167" s="82">
        <f t="shared" si="27"/>
        <v>300</v>
      </c>
      <c r="H167" s="82"/>
      <c r="I167" s="82">
        <f t="shared" si="27"/>
        <v>100</v>
      </c>
      <c r="J167" s="82">
        <f t="shared" si="27"/>
        <v>-22500</v>
      </c>
      <c r="K167" s="82">
        <f t="shared" si="27"/>
        <v>0</v>
      </c>
      <c r="L167" s="82">
        <f t="shared" si="27"/>
        <v>100</v>
      </c>
      <c r="M167" s="82">
        <f t="shared" si="27"/>
        <v>0</v>
      </c>
      <c r="N167" s="82">
        <f t="shared" si="27"/>
        <v>0</v>
      </c>
      <c r="O167" s="82">
        <f t="shared" si="27"/>
        <v>100</v>
      </c>
      <c r="P167" s="82">
        <f t="shared" si="27"/>
        <v>-300</v>
      </c>
      <c r="Q167" s="82">
        <f>Q162-Q169</f>
        <v>-200</v>
      </c>
      <c r="R167" s="82">
        <f>R162-R169</f>
        <v>100</v>
      </c>
      <c r="S167" s="1133"/>
      <c r="T167" s="1436"/>
      <c r="U167" s="9"/>
      <c r="V167" s="9"/>
      <c r="W167" s="9"/>
      <c r="X167" s="9"/>
      <c r="Y167" s="9"/>
      <c r="Z167" s="9"/>
    </row>
    <row r="168" spans="1:28" x14ac:dyDescent="0.2">
      <c r="A168" s="9"/>
      <c r="B168" s="1429"/>
      <c r="C168" s="1311"/>
      <c r="D168" s="82"/>
      <c r="E168" s="82"/>
      <c r="F168" s="82"/>
      <c r="G168" s="82"/>
      <c r="H168" s="82"/>
      <c r="I168" s="82"/>
      <c r="J168" s="82"/>
      <c r="K168" s="82"/>
      <c r="L168" s="82"/>
      <c r="M168" s="82"/>
      <c r="N168" s="82"/>
      <c r="O168" s="82"/>
      <c r="P168" s="82"/>
      <c r="Q168" s="82"/>
      <c r="R168" s="82"/>
      <c r="S168" s="1133"/>
      <c r="T168" s="1436"/>
      <c r="U168" s="9"/>
      <c r="V168" s="9"/>
      <c r="W168" s="9"/>
      <c r="X168" s="9"/>
      <c r="Y168" s="9"/>
      <c r="Z168" s="9"/>
    </row>
    <row r="169" spans="1:28" x14ac:dyDescent="0.2">
      <c r="A169" s="9"/>
      <c r="B169" s="1427" t="s">
        <v>3720</v>
      </c>
      <c r="C169" s="1311">
        <f>ROUND(E23,-2)</f>
        <v>626500</v>
      </c>
      <c r="D169" s="82">
        <f>D24</f>
        <v>529000</v>
      </c>
      <c r="E169" s="82">
        <f>D25</f>
        <v>869300</v>
      </c>
      <c r="F169" s="82">
        <f>D26</f>
        <v>344600</v>
      </c>
      <c r="G169" s="82">
        <f>D27</f>
        <v>1775200</v>
      </c>
      <c r="H169" s="82"/>
      <c r="I169" s="82">
        <f>D28</f>
        <v>1282200</v>
      </c>
      <c r="J169" s="82">
        <f>D29</f>
        <v>1758100</v>
      </c>
      <c r="K169" s="82">
        <f>D30</f>
        <v>1160800</v>
      </c>
      <c r="L169" s="82">
        <f>D31</f>
        <v>994000</v>
      </c>
      <c r="M169" s="82">
        <f>D32</f>
        <v>480000</v>
      </c>
      <c r="N169" s="82">
        <f>D33</f>
        <v>542000</v>
      </c>
      <c r="O169" s="82">
        <f>D34</f>
        <v>137000</v>
      </c>
      <c r="P169" s="82">
        <f>D35</f>
        <v>239200</v>
      </c>
      <c r="Q169" s="82">
        <f>D36</f>
        <v>155900</v>
      </c>
      <c r="R169" s="82">
        <f>D37</f>
        <v>123200</v>
      </c>
      <c r="S169" s="82">
        <f>SUM(C169:R169)</f>
        <v>11017000</v>
      </c>
      <c r="T169" s="1434"/>
      <c r="U169" s="9"/>
      <c r="V169" s="9"/>
      <c r="W169" s="9"/>
      <c r="X169" s="9"/>
      <c r="Y169" s="9"/>
      <c r="Z169" s="9"/>
    </row>
    <row r="170" spans="1:28" ht="13.5" thickBot="1" x14ac:dyDescent="0.25">
      <c r="A170" s="9"/>
      <c r="B170" s="1430"/>
      <c r="C170" s="1382"/>
      <c r="D170" s="1398"/>
      <c r="E170" s="1409"/>
      <c r="F170" s="1409"/>
      <c r="G170" s="1398"/>
      <c r="H170" s="1398"/>
      <c r="I170" s="1398"/>
      <c r="J170" s="1398"/>
      <c r="K170" s="1398"/>
      <c r="L170" s="1398"/>
      <c r="M170" s="1398"/>
      <c r="N170" s="1398"/>
      <c r="O170" s="1398"/>
      <c r="P170" s="1398"/>
      <c r="Q170" s="1398"/>
      <c r="R170" s="1398"/>
      <c r="S170" s="1398"/>
      <c r="T170" s="1437"/>
      <c r="U170" s="9"/>
      <c r="V170" s="9"/>
      <c r="W170" s="9"/>
      <c r="X170" s="9"/>
      <c r="Y170" s="9"/>
      <c r="Z170" s="9"/>
    </row>
    <row r="171" spans="1:28" ht="13.5" thickBot="1" x14ac:dyDescent="0.25">
      <c r="A171" s="9"/>
      <c r="B171" s="1392"/>
      <c r="C171" s="9"/>
      <c r="D171" s="9"/>
      <c r="E171" s="9"/>
      <c r="F171" s="9"/>
      <c r="G171" s="1424"/>
      <c r="H171" s="1424"/>
      <c r="I171" s="9"/>
      <c r="J171" s="9"/>
      <c r="K171" s="9"/>
      <c r="L171" s="9"/>
      <c r="M171" s="9"/>
      <c r="N171" s="210"/>
      <c r="O171" s="210"/>
      <c r="P171" s="9"/>
      <c r="Q171" s="9"/>
      <c r="R171" s="9"/>
      <c r="S171" s="9"/>
      <c r="T171" s="9"/>
      <c r="U171" s="9"/>
      <c r="V171" s="9"/>
      <c r="W171" s="9"/>
    </row>
    <row r="172" spans="1:28" ht="13.5" thickBot="1" x14ac:dyDescent="0.25">
      <c r="A172" s="1170"/>
      <c r="B172" s="1170"/>
      <c r="C172" s="3030" t="s">
        <v>6071</v>
      </c>
      <c r="D172" s="3031"/>
      <c r="E172" s="3031"/>
      <c r="F172" s="3031"/>
      <c r="G172" s="3031"/>
      <c r="H172" s="3031"/>
      <c r="I172" s="3031"/>
      <c r="J172" s="3031"/>
      <c r="K172" s="3031"/>
      <c r="L172" s="3031"/>
      <c r="M172" s="3031"/>
      <c r="N172" s="3031"/>
      <c r="O172" s="3031"/>
      <c r="P172" s="3031"/>
      <c r="Q172" s="3031"/>
      <c r="R172" s="3031"/>
      <c r="S172" s="3031"/>
      <c r="T172" s="3032"/>
      <c r="V172" s="9"/>
      <c r="W172" s="9"/>
      <c r="X172" s="9"/>
      <c r="Y172" s="9"/>
      <c r="Z172" s="9"/>
      <c r="AA172" s="9"/>
      <c r="AB172" s="9"/>
    </row>
    <row r="173" spans="1:28" ht="13.5" thickBot="1" x14ac:dyDescent="0.25">
      <c r="A173" s="9"/>
      <c r="B173" s="1425" t="str">
        <f t="shared" ref="B173:B207" si="28">B128</f>
        <v>Item</v>
      </c>
      <c r="C173" s="1325" t="s">
        <v>3634</v>
      </c>
      <c r="D173" s="1422" t="s">
        <v>3706</v>
      </c>
      <c r="E173" s="1422" t="s">
        <v>3635</v>
      </c>
      <c r="F173" s="1422" t="s">
        <v>3726</v>
      </c>
      <c r="G173" s="1422" t="s">
        <v>3817</v>
      </c>
      <c r="H173" s="1422"/>
      <c r="I173" s="1422" t="s">
        <v>3636</v>
      </c>
      <c r="J173" s="1423" t="s">
        <v>3823</v>
      </c>
      <c r="K173" s="1423" t="s">
        <v>3724</v>
      </c>
      <c r="L173" s="1422" t="s">
        <v>3722</v>
      </c>
      <c r="M173" s="1422" t="s">
        <v>3723</v>
      </c>
      <c r="N173" s="1422" t="s">
        <v>3892</v>
      </c>
      <c r="O173" s="1422" t="s">
        <v>3805</v>
      </c>
      <c r="P173" s="1422" t="s">
        <v>3816</v>
      </c>
      <c r="Q173" s="1422" t="s">
        <v>3813</v>
      </c>
      <c r="R173" s="1422" t="s">
        <v>3814</v>
      </c>
      <c r="S173" s="1422" t="s">
        <v>1530</v>
      </c>
      <c r="T173" s="1432" t="s">
        <v>3820</v>
      </c>
      <c r="U173" s="9"/>
      <c r="V173" s="9"/>
      <c r="W173" s="9"/>
      <c r="X173" s="9"/>
      <c r="Y173" s="9"/>
      <c r="Z173" s="9"/>
    </row>
    <row r="174" spans="1:28" x14ac:dyDescent="0.2">
      <c r="A174" s="9"/>
      <c r="B174" s="1426" t="str">
        <f t="shared" si="28"/>
        <v>Governance</v>
      </c>
      <c r="C174" s="1309"/>
      <c r="D174" s="231"/>
      <c r="E174" s="231"/>
      <c r="F174" s="231"/>
      <c r="G174" s="231"/>
      <c r="H174" s="231"/>
      <c r="I174" s="231"/>
      <c r="J174" s="231"/>
      <c r="K174" s="231"/>
      <c r="L174" s="231"/>
      <c r="M174" s="231"/>
      <c r="N174" s="231"/>
      <c r="O174" s="231"/>
      <c r="P174" s="231"/>
      <c r="Q174" s="231"/>
      <c r="R174" s="231"/>
      <c r="S174" s="231"/>
      <c r="T174" s="1433"/>
      <c r="U174" s="9"/>
      <c r="V174" s="9"/>
      <c r="W174" s="9"/>
      <c r="X174" s="9"/>
      <c r="Y174" s="9"/>
      <c r="Z174" s="9"/>
    </row>
    <row r="175" spans="1:28" x14ac:dyDescent="0.2">
      <c r="A175" s="9"/>
      <c r="B175" s="1426" t="str">
        <f t="shared" si="28"/>
        <v>Administrative Services</v>
      </c>
      <c r="C175" s="1309"/>
      <c r="D175" s="231"/>
      <c r="E175" s="231"/>
      <c r="F175" s="231"/>
      <c r="G175" s="231"/>
      <c r="H175" s="231"/>
      <c r="I175" s="231"/>
      <c r="J175" s="231"/>
      <c r="K175" s="231"/>
      <c r="L175" s="231"/>
      <c r="M175" s="231"/>
      <c r="N175" s="231"/>
      <c r="O175" s="231"/>
      <c r="P175" s="231"/>
      <c r="Q175" s="231"/>
      <c r="R175" s="231"/>
      <c r="S175" s="231"/>
      <c r="T175" s="1433"/>
      <c r="U175" s="9"/>
      <c r="V175" s="9"/>
      <c r="W175" s="9"/>
      <c r="X175" s="9"/>
      <c r="Y175" s="9"/>
      <c r="Z175" s="9"/>
    </row>
    <row r="176" spans="1:28" x14ac:dyDescent="0.2">
      <c r="A176" s="9"/>
      <c r="B176" s="1426" t="str">
        <f t="shared" si="28"/>
        <v>Financial Services</v>
      </c>
      <c r="C176" s="1309"/>
      <c r="D176" s="231">
        <f>ROUND(L85/($L$116)*$E$24,-2)</f>
        <v>120700</v>
      </c>
      <c r="E176" s="231"/>
      <c r="F176" s="231"/>
      <c r="G176" s="231"/>
      <c r="H176" s="231"/>
      <c r="I176" s="231"/>
      <c r="J176" s="231"/>
      <c r="K176" s="231"/>
      <c r="L176" s="231"/>
      <c r="M176" s="231"/>
      <c r="N176" s="231"/>
      <c r="O176" s="231"/>
      <c r="P176" s="231"/>
      <c r="Q176" s="231"/>
      <c r="R176" s="231"/>
      <c r="S176" s="231"/>
      <c r="T176" s="1433"/>
      <c r="U176" s="9"/>
      <c r="V176" s="9"/>
      <c r="W176" s="9"/>
      <c r="X176" s="9"/>
      <c r="Y176" s="9"/>
      <c r="Z176" s="9"/>
    </row>
    <row r="177" spans="1:26" x14ac:dyDescent="0.2">
      <c r="A177" s="9"/>
      <c r="B177" s="1426" t="str">
        <f t="shared" si="28"/>
        <v>Information Services</v>
      </c>
      <c r="C177" s="1309"/>
      <c r="D177" s="231"/>
      <c r="E177" s="231"/>
      <c r="F177" s="231"/>
      <c r="G177" s="231"/>
      <c r="H177" s="231"/>
      <c r="I177" s="231"/>
      <c r="J177" s="231"/>
      <c r="K177" s="231"/>
      <c r="L177" s="231"/>
      <c r="M177" s="231"/>
      <c r="N177" s="231"/>
      <c r="O177" s="231"/>
      <c r="P177" s="231"/>
      <c r="Q177" s="231"/>
      <c r="R177" s="231"/>
      <c r="S177" s="231"/>
      <c r="T177" s="1433"/>
      <c r="U177" s="9"/>
      <c r="V177" s="9"/>
      <c r="W177" s="9"/>
      <c r="X177" s="9"/>
      <c r="Y177" s="9"/>
      <c r="Z177" s="9"/>
    </row>
    <row r="178" spans="1:26" ht="13.5" thickBot="1" x14ac:dyDescent="0.25">
      <c r="A178" s="9"/>
      <c r="B178" s="1431" t="str">
        <f t="shared" si="28"/>
        <v>Human Resources and Risk</v>
      </c>
      <c r="C178" s="1440"/>
      <c r="D178" s="1409"/>
      <c r="E178" s="1409"/>
      <c r="F178" s="1409"/>
      <c r="G178" s="1409"/>
      <c r="H178" s="1409"/>
      <c r="I178" s="1409"/>
      <c r="J178" s="1409"/>
      <c r="K178" s="1409"/>
      <c r="L178" s="1409"/>
      <c r="M178" s="1409"/>
      <c r="N178" s="1409"/>
      <c r="O178" s="1409"/>
      <c r="P178" s="1409"/>
      <c r="Q178" s="1409"/>
      <c r="R178" s="1409"/>
      <c r="S178" s="1409"/>
      <c r="T178" s="1441"/>
      <c r="U178" s="9"/>
      <c r="V178" s="9"/>
      <c r="W178" s="9"/>
      <c r="X178" s="9"/>
      <c r="Y178" s="9"/>
      <c r="Z178" s="9"/>
    </row>
    <row r="179" spans="1:26" x14ac:dyDescent="0.2">
      <c r="A179" s="9"/>
      <c r="B179" s="1426" t="str">
        <f t="shared" si="28"/>
        <v>Property Management</v>
      </c>
      <c r="C179" s="1309">
        <f t="shared" ref="C179:C206" si="29">ROUND(J88/($J$116-SUM($J$83:$J$87))*$E$23,-2)</f>
        <v>18800</v>
      </c>
      <c r="D179" s="231">
        <f t="shared" ref="D179:D206" si="30">ROUND(L88/($L$116)*$E$24,-2)</f>
        <v>0</v>
      </c>
      <c r="E179" s="231">
        <f>ROUND((J88/($J$116-SUM($J$83:$J$87)))*($E$25+$D$176),-2)</f>
        <v>32000</v>
      </c>
      <c r="F179" s="231">
        <f t="shared" ref="F179:F206" si="31">ROUND(O88/$O$116*$E$26,-2)</f>
        <v>0</v>
      </c>
      <c r="G179" s="231">
        <f t="shared" ref="G179:G206" si="32">ROUND(N88/($N$116-SUM($N$83:$N$87))*($E$27),-2)</f>
        <v>20300</v>
      </c>
      <c r="H179" s="231"/>
      <c r="I179" s="231">
        <f t="shared" ref="I179:I206" si="33">ROUND(M88/($M$116-SUM($M$83:$M$87))*($E$28),-2)</f>
        <v>7600</v>
      </c>
      <c r="J179" s="231">
        <f t="shared" ref="J179:J206" si="34">ROUND(J88/($J$116-SUM($J$83:$J$87))*$E$29,-2)</f>
        <v>54500</v>
      </c>
      <c r="K179" s="231">
        <f t="shared" ref="K179:K206" si="35">ROUND(J88/($J$116-SUM($J$83:$J$87))*($E$30),-2)</f>
        <v>49600</v>
      </c>
      <c r="L179" s="231"/>
      <c r="M179" s="231">
        <f t="shared" ref="M179:M206" si="36">ROUND(O88/$O$116*$E$32,-2)</f>
        <v>0</v>
      </c>
      <c r="N179" s="231">
        <f t="shared" ref="N179:N206" si="37">ROUND(O88/$O$116*$E$33,-2)</f>
        <v>0</v>
      </c>
      <c r="O179" s="231">
        <f t="shared" ref="O179:O206" si="38">ROUND(J88/($J$116-SUM($J$83:$J$87))*($E$34),-2)</f>
        <v>4300</v>
      </c>
      <c r="P179" s="231">
        <f t="shared" ref="P179:P206" si="39">ROUND(K88/SUM($K$88:$K$115)*$E$35,-2)</f>
        <v>9900</v>
      </c>
      <c r="Q179" s="231">
        <f t="shared" ref="Q179:Q206" si="40">ROUND(J88/($J$116-SUM($J$83:$J$87))*($E$36),-2)</f>
        <v>0</v>
      </c>
      <c r="R179" s="231"/>
      <c r="S179" s="231">
        <f>ROUND(SUM(C179:R179),-3)</f>
        <v>197000</v>
      </c>
      <c r="T179" s="1438">
        <f>S179/J88</f>
        <v>7.3041414852990247E-2</v>
      </c>
      <c r="U179" s="9"/>
      <c r="V179" s="9"/>
      <c r="W179" s="9"/>
      <c r="X179" s="9"/>
      <c r="Y179" s="9"/>
      <c r="Z179" s="9"/>
    </row>
    <row r="180" spans="1:26" x14ac:dyDescent="0.2">
      <c r="A180" s="9"/>
      <c r="B180" s="1426" t="str">
        <f t="shared" si="28"/>
        <v>Flat Rock</v>
      </c>
      <c r="C180" s="1309">
        <f t="shared" si="29"/>
        <v>1800</v>
      </c>
      <c r="D180" s="231">
        <f t="shared" si="30"/>
        <v>0</v>
      </c>
      <c r="E180" s="231">
        <f t="shared" ref="E180:E206" si="41">ROUND((J89/($J$116-SUM($J$83:$J$87)))*($E$25+$D$176),-2)</f>
        <v>3100</v>
      </c>
      <c r="F180" s="231">
        <f t="shared" si="31"/>
        <v>0</v>
      </c>
      <c r="G180" s="231">
        <f t="shared" si="32"/>
        <v>5800</v>
      </c>
      <c r="H180" s="231"/>
      <c r="I180" s="231">
        <f t="shared" si="33"/>
        <v>0</v>
      </c>
      <c r="J180" s="231">
        <f t="shared" si="34"/>
        <v>5300</v>
      </c>
      <c r="K180" s="231">
        <f t="shared" si="35"/>
        <v>4900</v>
      </c>
      <c r="L180" s="231"/>
      <c r="M180" s="231">
        <f t="shared" si="36"/>
        <v>0</v>
      </c>
      <c r="N180" s="231">
        <f t="shared" si="37"/>
        <v>0</v>
      </c>
      <c r="O180" s="231">
        <f t="shared" si="38"/>
        <v>400</v>
      </c>
      <c r="P180" s="231">
        <f t="shared" si="39"/>
        <v>1900</v>
      </c>
      <c r="Q180" s="231">
        <f t="shared" si="40"/>
        <v>0</v>
      </c>
      <c r="R180" s="231"/>
      <c r="S180" s="231">
        <f>ROUND(SUM(C180:R180),-3)</f>
        <v>23000</v>
      </c>
      <c r="T180" s="1438">
        <f>S180/J89</f>
        <v>8.6923658352229774E-2</v>
      </c>
      <c r="U180" s="9"/>
      <c r="V180" s="9"/>
      <c r="W180" s="9"/>
      <c r="X180" s="9"/>
      <c r="Y180" s="9"/>
      <c r="Z180" s="9"/>
    </row>
    <row r="181" spans="1:26" x14ac:dyDescent="0.2">
      <c r="A181" s="9"/>
      <c r="B181" s="1426" t="str">
        <f t="shared" si="28"/>
        <v>Ballina Byron Gateway Airport</v>
      </c>
      <c r="C181" s="1309">
        <f t="shared" si="29"/>
        <v>31500</v>
      </c>
      <c r="D181" s="231">
        <f t="shared" si="30"/>
        <v>0</v>
      </c>
      <c r="E181" s="231">
        <f t="shared" si="41"/>
        <v>53600</v>
      </c>
      <c r="F181" s="231">
        <f t="shared" si="31"/>
        <v>0</v>
      </c>
      <c r="G181" s="231">
        <f t="shared" si="32"/>
        <v>63900</v>
      </c>
      <c r="H181" s="231"/>
      <c r="I181" s="231">
        <f t="shared" si="33"/>
        <v>22700</v>
      </c>
      <c r="J181" s="231">
        <f t="shared" si="34"/>
        <v>91200</v>
      </c>
      <c r="K181" s="231">
        <f t="shared" si="35"/>
        <v>83000</v>
      </c>
      <c r="L181" s="231"/>
      <c r="M181" s="231">
        <f t="shared" si="36"/>
        <v>0</v>
      </c>
      <c r="N181" s="231">
        <f t="shared" si="37"/>
        <v>0</v>
      </c>
      <c r="O181" s="231">
        <f t="shared" si="38"/>
        <v>7200</v>
      </c>
      <c r="P181" s="231">
        <f t="shared" si="39"/>
        <v>23600</v>
      </c>
      <c r="Q181" s="231">
        <f t="shared" si="40"/>
        <v>0</v>
      </c>
      <c r="R181" s="231"/>
      <c r="S181" s="231">
        <f>ROUND(SUM(C181:R181),-3)</f>
        <v>377000</v>
      </c>
      <c r="T181" s="1438">
        <f>S181/J90</f>
        <v>8.3529046838303714E-2</v>
      </c>
      <c r="U181" s="9"/>
      <c r="V181" s="9"/>
      <c r="W181" s="9"/>
      <c r="X181" s="9"/>
      <c r="Y181" s="9"/>
      <c r="Z181" s="9"/>
    </row>
    <row r="182" spans="1:26" x14ac:dyDescent="0.2">
      <c r="A182" s="9"/>
      <c r="B182" s="1426" t="str">
        <f t="shared" si="28"/>
        <v>Strategic Planning</v>
      </c>
      <c r="C182" s="1309">
        <f t="shared" si="29"/>
        <v>8400</v>
      </c>
      <c r="D182" s="231">
        <f t="shared" si="30"/>
        <v>0</v>
      </c>
      <c r="E182" s="231">
        <f t="shared" si="41"/>
        <v>14300</v>
      </c>
      <c r="F182" s="231">
        <f t="shared" si="31"/>
        <v>0</v>
      </c>
      <c r="G182" s="231">
        <f t="shared" si="32"/>
        <v>72600</v>
      </c>
      <c r="H182" s="231"/>
      <c r="I182" s="231">
        <f t="shared" si="33"/>
        <v>0</v>
      </c>
      <c r="J182" s="231">
        <f t="shared" si="34"/>
        <v>24300</v>
      </c>
      <c r="K182" s="231">
        <f t="shared" si="35"/>
        <v>22200</v>
      </c>
      <c r="L182" s="231"/>
      <c r="M182" s="231">
        <f t="shared" si="36"/>
        <v>0</v>
      </c>
      <c r="N182" s="231">
        <f t="shared" si="37"/>
        <v>0</v>
      </c>
      <c r="O182" s="231">
        <f t="shared" si="38"/>
        <v>1900</v>
      </c>
      <c r="P182" s="231">
        <f t="shared" si="39"/>
        <v>1700</v>
      </c>
      <c r="Q182" s="231">
        <f t="shared" si="40"/>
        <v>0</v>
      </c>
      <c r="R182" s="231"/>
      <c r="S182" s="231"/>
      <c r="T182" s="1438"/>
      <c r="U182" s="9"/>
      <c r="V182" s="9"/>
      <c r="W182" s="9"/>
      <c r="X182" s="9"/>
      <c r="Y182" s="9"/>
      <c r="Z182" s="9"/>
    </row>
    <row r="183" spans="1:26" x14ac:dyDescent="0.2">
      <c r="A183" s="9"/>
      <c r="B183" s="1426" t="str">
        <f t="shared" si="28"/>
        <v>Community Centres and Halls</v>
      </c>
      <c r="C183" s="1309">
        <f t="shared" si="29"/>
        <v>11300</v>
      </c>
      <c r="D183" s="231">
        <f t="shared" si="30"/>
        <v>0</v>
      </c>
      <c r="E183" s="231">
        <f t="shared" si="41"/>
        <v>19300</v>
      </c>
      <c r="F183" s="231">
        <f t="shared" si="31"/>
        <v>0</v>
      </c>
      <c r="G183" s="231">
        <f t="shared" si="32"/>
        <v>0</v>
      </c>
      <c r="H183" s="231"/>
      <c r="I183" s="231">
        <f t="shared" si="33"/>
        <v>66000</v>
      </c>
      <c r="J183" s="231">
        <f t="shared" si="34"/>
        <v>32800</v>
      </c>
      <c r="K183" s="231">
        <f t="shared" si="35"/>
        <v>29900</v>
      </c>
      <c r="L183" s="231"/>
      <c r="M183" s="231">
        <f t="shared" si="36"/>
        <v>0</v>
      </c>
      <c r="N183" s="231">
        <f t="shared" si="37"/>
        <v>0</v>
      </c>
      <c r="O183" s="231">
        <f t="shared" si="38"/>
        <v>2600</v>
      </c>
      <c r="P183" s="231">
        <f t="shared" si="39"/>
        <v>1800</v>
      </c>
      <c r="Q183" s="231">
        <f t="shared" si="40"/>
        <v>0</v>
      </c>
      <c r="R183" s="231"/>
      <c r="S183" s="231"/>
      <c r="T183" s="1438"/>
      <c r="U183" s="9"/>
      <c r="V183" s="9"/>
      <c r="W183" s="9"/>
      <c r="X183" s="9"/>
      <c r="Y183" s="9"/>
      <c r="Z183" s="9"/>
    </row>
    <row r="184" spans="1:26" x14ac:dyDescent="0.2">
      <c r="A184" s="9"/>
      <c r="B184" s="1426" t="str">
        <f t="shared" si="28"/>
        <v>Cultural and Community Services</v>
      </c>
      <c r="C184" s="1309">
        <f t="shared" si="29"/>
        <v>6500</v>
      </c>
      <c r="D184" s="231">
        <f t="shared" si="30"/>
        <v>0</v>
      </c>
      <c r="E184" s="231">
        <f t="shared" si="41"/>
        <v>11100</v>
      </c>
      <c r="F184" s="231">
        <f t="shared" si="31"/>
        <v>0</v>
      </c>
      <c r="G184" s="231">
        <f t="shared" si="32"/>
        <v>58100</v>
      </c>
      <c r="H184" s="231"/>
      <c r="I184" s="231">
        <f t="shared" si="33"/>
        <v>22700</v>
      </c>
      <c r="J184" s="231">
        <f t="shared" si="34"/>
        <v>18900</v>
      </c>
      <c r="K184" s="231">
        <f t="shared" si="35"/>
        <v>17200</v>
      </c>
      <c r="L184" s="231"/>
      <c r="M184" s="231">
        <f t="shared" si="36"/>
        <v>0</v>
      </c>
      <c r="N184" s="231">
        <f t="shared" si="37"/>
        <v>0</v>
      </c>
      <c r="O184" s="231">
        <f t="shared" si="38"/>
        <v>1500</v>
      </c>
      <c r="P184" s="231">
        <f t="shared" si="39"/>
        <v>600</v>
      </c>
      <c r="Q184" s="231">
        <f t="shared" si="40"/>
        <v>0</v>
      </c>
      <c r="R184" s="231"/>
      <c r="S184" s="231"/>
      <c r="T184" s="1438"/>
      <c r="U184" s="9"/>
      <c r="V184" s="9"/>
      <c r="W184" s="9"/>
      <c r="X184" s="9"/>
      <c r="Y184" s="9"/>
      <c r="Z184" s="9"/>
    </row>
    <row r="185" spans="1:26" x14ac:dyDescent="0.2">
      <c r="A185" s="9"/>
      <c r="B185" s="1426" t="str">
        <f t="shared" si="28"/>
        <v>Library Services</v>
      </c>
      <c r="C185" s="1309">
        <f t="shared" si="29"/>
        <v>10900</v>
      </c>
      <c r="D185" s="231">
        <f t="shared" si="30"/>
        <v>0</v>
      </c>
      <c r="E185" s="231">
        <f t="shared" si="41"/>
        <v>18600</v>
      </c>
      <c r="F185" s="231">
        <f t="shared" si="31"/>
        <v>0</v>
      </c>
      <c r="G185" s="231">
        <f t="shared" si="32"/>
        <v>0</v>
      </c>
      <c r="H185" s="231"/>
      <c r="I185" s="231">
        <f t="shared" si="33"/>
        <v>0</v>
      </c>
      <c r="J185" s="231">
        <f t="shared" si="34"/>
        <v>31700</v>
      </c>
      <c r="K185" s="231">
        <f t="shared" si="35"/>
        <v>28900</v>
      </c>
      <c r="L185" s="231"/>
      <c r="M185" s="231">
        <f t="shared" si="36"/>
        <v>0</v>
      </c>
      <c r="N185" s="231">
        <f t="shared" si="37"/>
        <v>0</v>
      </c>
      <c r="O185" s="231">
        <f t="shared" si="38"/>
        <v>2500</v>
      </c>
      <c r="P185" s="231">
        <f t="shared" si="39"/>
        <v>500</v>
      </c>
      <c r="Q185" s="231">
        <f t="shared" si="40"/>
        <v>0</v>
      </c>
      <c r="R185" s="231"/>
      <c r="S185" s="231"/>
      <c r="T185" s="1438"/>
      <c r="U185" s="9"/>
      <c r="V185" s="9"/>
      <c r="W185" s="9"/>
      <c r="X185" s="9"/>
      <c r="Y185" s="9"/>
      <c r="Z185" s="9"/>
    </row>
    <row r="186" spans="1:26" x14ac:dyDescent="0.2">
      <c r="A186" s="9"/>
      <c r="B186" s="1426" t="str">
        <f t="shared" si="28"/>
        <v>Swimming Pools</v>
      </c>
      <c r="C186" s="1309">
        <f t="shared" si="29"/>
        <v>5500</v>
      </c>
      <c r="D186" s="231">
        <f t="shared" si="30"/>
        <v>0</v>
      </c>
      <c r="E186" s="231">
        <f t="shared" si="41"/>
        <v>9400</v>
      </c>
      <c r="F186" s="231">
        <f t="shared" si="31"/>
        <v>0</v>
      </c>
      <c r="G186" s="231">
        <f t="shared" si="32"/>
        <v>0</v>
      </c>
      <c r="H186" s="231"/>
      <c r="I186" s="231">
        <f t="shared" si="33"/>
        <v>0</v>
      </c>
      <c r="J186" s="231">
        <f t="shared" si="34"/>
        <v>16000</v>
      </c>
      <c r="K186" s="231">
        <f t="shared" si="35"/>
        <v>14600</v>
      </c>
      <c r="L186" s="231"/>
      <c r="M186" s="231">
        <f t="shared" si="36"/>
        <v>0</v>
      </c>
      <c r="N186" s="231">
        <f t="shared" si="37"/>
        <v>0</v>
      </c>
      <c r="O186" s="231">
        <f t="shared" si="38"/>
        <v>1300</v>
      </c>
      <c r="P186" s="231">
        <f t="shared" si="39"/>
        <v>1900</v>
      </c>
      <c r="Q186" s="231">
        <f t="shared" si="40"/>
        <v>0</v>
      </c>
      <c r="R186" s="231"/>
      <c r="S186" s="231"/>
      <c r="T186" s="1438"/>
      <c r="U186" s="9"/>
      <c r="V186" s="9"/>
      <c r="W186" s="9"/>
      <c r="X186" s="9"/>
      <c r="Y186" s="9"/>
      <c r="Z186" s="9"/>
    </row>
    <row r="187" spans="1:26" x14ac:dyDescent="0.2">
      <c r="A187" s="9"/>
      <c r="B187" s="1426" t="str">
        <f t="shared" si="28"/>
        <v>Tourism and Communications</v>
      </c>
      <c r="C187" s="1309">
        <f t="shared" si="29"/>
        <v>5200</v>
      </c>
      <c r="D187" s="231">
        <f t="shared" si="30"/>
        <v>0</v>
      </c>
      <c r="E187" s="231">
        <f t="shared" si="41"/>
        <v>8800</v>
      </c>
      <c r="F187" s="231">
        <f t="shared" si="31"/>
        <v>0</v>
      </c>
      <c r="G187" s="231">
        <f t="shared" si="32"/>
        <v>29000</v>
      </c>
      <c r="H187" s="231"/>
      <c r="I187" s="231">
        <f t="shared" si="33"/>
        <v>8500</v>
      </c>
      <c r="J187" s="231">
        <f t="shared" si="34"/>
        <v>15000</v>
      </c>
      <c r="K187" s="231">
        <f t="shared" si="35"/>
        <v>13600</v>
      </c>
      <c r="L187" s="231"/>
      <c r="M187" s="231">
        <f t="shared" si="36"/>
        <v>0</v>
      </c>
      <c r="N187" s="231">
        <f t="shared" si="37"/>
        <v>0</v>
      </c>
      <c r="O187" s="231">
        <f t="shared" si="38"/>
        <v>1200</v>
      </c>
      <c r="P187" s="231">
        <f t="shared" si="39"/>
        <v>700</v>
      </c>
      <c r="Q187" s="231">
        <f t="shared" si="40"/>
        <v>0</v>
      </c>
      <c r="R187" s="231"/>
      <c r="S187" s="231"/>
      <c r="T187" s="1438"/>
      <c r="U187" s="9"/>
      <c r="V187" s="9"/>
      <c r="W187" s="9"/>
      <c r="X187" s="9"/>
      <c r="Y187" s="9"/>
      <c r="Z187" s="9"/>
    </row>
    <row r="188" spans="1:26" x14ac:dyDescent="0.2">
      <c r="A188" s="9"/>
      <c r="B188" s="1426" t="str">
        <f t="shared" si="28"/>
        <v>Development Services</v>
      </c>
      <c r="C188" s="1309">
        <f t="shared" si="29"/>
        <v>7600</v>
      </c>
      <c r="D188" s="231">
        <f t="shared" si="30"/>
        <v>0</v>
      </c>
      <c r="E188" s="231">
        <f t="shared" si="41"/>
        <v>12900</v>
      </c>
      <c r="F188" s="231">
        <f t="shared" si="31"/>
        <v>0</v>
      </c>
      <c r="G188" s="231">
        <f t="shared" si="32"/>
        <v>78400</v>
      </c>
      <c r="H188" s="231"/>
      <c r="I188" s="231">
        <f t="shared" si="33"/>
        <v>33000</v>
      </c>
      <c r="J188" s="231">
        <f t="shared" si="34"/>
        <v>21900</v>
      </c>
      <c r="K188" s="231">
        <f t="shared" si="35"/>
        <v>19900</v>
      </c>
      <c r="L188" s="231"/>
      <c r="M188" s="231">
        <f t="shared" si="36"/>
        <v>0</v>
      </c>
      <c r="N188" s="231">
        <f t="shared" si="37"/>
        <v>0</v>
      </c>
      <c r="O188" s="231">
        <f t="shared" si="38"/>
        <v>1700</v>
      </c>
      <c r="P188" s="231">
        <f t="shared" si="39"/>
        <v>2800</v>
      </c>
      <c r="Q188" s="231">
        <f t="shared" si="40"/>
        <v>0</v>
      </c>
      <c r="R188" s="231"/>
      <c r="S188" s="231"/>
      <c r="T188" s="1438"/>
      <c r="U188" s="9"/>
      <c r="V188" s="9"/>
      <c r="W188" s="9"/>
      <c r="X188" s="9"/>
      <c r="Y188" s="9"/>
      <c r="Z188" s="9"/>
    </row>
    <row r="189" spans="1:26" x14ac:dyDescent="0.2">
      <c r="A189" s="9"/>
      <c r="B189" s="1426" t="str">
        <f t="shared" si="28"/>
        <v>Building Services</v>
      </c>
      <c r="C189" s="1309">
        <f t="shared" si="29"/>
        <v>5800</v>
      </c>
      <c r="D189" s="231">
        <f t="shared" si="30"/>
        <v>0</v>
      </c>
      <c r="E189" s="231">
        <f t="shared" si="41"/>
        <v>9900</v>
      </c>
      <c r="F189" s="231">
        <f t="shared" si="31"/>
        <v>0</v>
      </c>
      <c r="G189" s="231">
        <f t="shared" si="32"/>
        <v>81300</v>
      </c>
      <c r="H189" s="231"/>
      <c r="I189" s="231">
        <f t="shared" si="33"/>
        <v>26500</v>
      </c>
      <c r="J189" s="231">
        <f t="shared" si="34"/>
        <v>16900</v>
      </c>
      <c r="K189" s="231">
        <f t="shared" si="35"/>
        <v>15400</v>
      </c>
      <c r="L189" s="231"/>
      <c r="M189" s="231">
        <f t="shared" si="36"/>
        <v>0</v>
      </c>
      <c r="N189" s="231">
        <f t="shared" si="37"/>
        <v>0</v>
      </c>
      <c r="O189" s="231">
        <f t="shared" si="38"/>
        <v>1300</v>
      </c>
      <c r="P189" s="231">
        <f t="shared" si="39"/>
        <v>6600</v>
      </c>
      <c r="Q189" s="231">
        <f t="shared" si="40"/>
        <v>0</v>
      </c>
      <c r="R189" s="231"/>
      <c r="S189" s="231"/>
      <c r="T189" s="1438"/>
      <c r="U189" s="9"/>
      <c r="V189" s="9"/>
      <c r="W189" s="9"/>
      <c r="X189" s="9"/>
      <c r="Y189" s="9"/>
      <c r="Z189" s="9"/>
    </row>
    <row r="190" spans="1:26" x14ac:dyDescent="0.2">
      <c r="A190" s="9"/>
      <c r="B190" s="1426" t="str">
        <f t="shared" si="28"/>
        <v>Environmental and Public Health</v>
      </c>
      <c r="C190" s="1309">
        <f t="shared" si="29"/>
        <v>5500</v>
      </c>
      <c r="D190" s="231">
        <f t="shared" si="30"/>
        <v>0</v>
      </c>
      <c r="E190" s="231">
        <f t="shared" si="41"/>
        <v>9300</v>
      </c>
      <c r="F190" s="231">
        <f t="shared" si="31"/>
        <v>0</v>
      </c>
      <c r="G190" s="231">
        <f t="shared" si="32"/>
        <v>87100</v>
      </c>
      <c r="H190" s="231"/>
      <c r="I190" s="231">
        <f t="shared" si="33"/>
        <v>25800</v>
      </c>
      <c r="J190" s="231">
        <f t="shared" si="34"/>
        <v>15800</v>
      </c>
      <c r="K190" s="231">
        <f t="shared" si="35"/>
        <v>14400</v>
      </c>
      <c r="L190" s="231"/>
      <c r="M190" s="231">
        <f t="shared" si="36"/>
        <v>0</v>
      </c>
      <c r="N190" s="231">
        <f t="shared" si="37"/>
        <v>0</v>
      </c>
      <c r="O190" s="231">
        <f t="shared" si="38"/>
        <v>1200</v>
      </c>
      <c r="P190" s="231">
        <f t="shared" si="39"/>
        <v>1200</v>
      </c>
      <c r="Q190" s="231">
        <f t="shared" si="40"/>
        <v>0</v>
      </c>
      <c r="R190" s="231"/>
      <c r="S190" s="231"/>
      <c r="T190" s="1438"/>
      <c r="U190" s="9"/>
      <c r="V190" s="9"/>
      <c r="W190" s="9"/>
      <c r="X190" s="9"/>
      <c r="Y190" s="9"/>
      <c r="Z190" s="9"/>
    </row>
    <row r="191" spans="1:26" x14ac:dyDescent="0.2">
      <c r="A191" s="9"/>
      <c r="B191" s="1426" t="str">
        <f t="shared" si="28"/>
        <v>Administration and Public Order</v>
      </c>
      <c r="C191" s="1309">
        <f t="shared" si="29"/>
        <v>8200</v>
      </c>
      <c r="D191" s="231">
        <f t="shared" si="30"/>
        <v>0</v>
      </c>
      <c r="E191" s="231">
        <f t="shared" si="41"/>
        <v>14000</v>
      </c>
      <c r="F191" s="231">
        <f t="shared" si="31"/>
        <v>0</v>
      </c>
      <c r="G191" s="231">
        <f t="shared" si="32"/>
        <v>127800</v>
      </c>
      <c r="H191" s="231"/>
      <c r="I191" s="231">
        <f t="shared" si="33"/>
        <v>45100</v>
      </c>
      <c r="J191" s="231">
        <f t="shared" si="34"/>
        <v>23800</v>
      </c>
      <c r="K191" s="231">
        <f t="shared" si="35"/>
        <v>21600</v>
      </c>
      <c r="L191" s="231"/>
      <c r="M191" s="231">
        <f t="shared" si="36"/>
        <v>0</v>
      </c>
      <c r="N191" s="231">
        <f t="shared" si="37"/>
        <v>0</v>
      </c>
      <c r="O191" s="231">
        <f t="shared" si="38"/>
        <v>1900</v>
      </c>
      <c r="P191" s="231">
        <f t="shared" si="39"/>
        <v>1100</v>
      </c>
      <c r="Q191" s="231">
        <f t="shared" si="40"/>
        <v>0</v>
      </c>
      <c r="R191" s="231"/>
      <c r="S191" s="231"/>
      <c r="T191" s="1438"/>
      <c r="U191" s="9"/>
      <c r="V191" s="9"/>
      <c r="W191" s="9"/>
      <c r="X191" s="9"/>
      <c r="Y191" s="9"/>
      <c r="Z191" s="9"/>
    </row>
    <row r="192" spans="1:26" x14ac:dyDescent="0.2">
      <c r="A192" s="9"/>
      <c r="B192" s="1426" t="str">
        <f t="shared" si="28"/>
        <v>Engineering Management</v>
      </c>
      <c r="C192" s="1309">
        <f t="shared" si="29"/>
        <v>18300</v>
      </c>
      <c r="D192" s="231">
        <f t="shared" si="30"/>
        <v>0</v>
      </c>
      <c r="E192" s="231">
        <f t="shared" si="41"/>
        <v>31100</v>
      </c>
      <c r="F192" s="231">
        <f t="shared" si="31"/>
        <v>0</v>
      </c>
      <c r="G192" s="231">
        <f t="shared" si="32"/>
        <v>418300</v>
      </c>
      <c r="H192" s="231"/>
      <c r="I192" s="231">
        <f t="shared" si="33"/>
        <v>89100</v>
      </c>
      <c r="J192" s="231">
        <f t="shared" si="34"/>
        <v>53000</v>
      </c>
      <c r="K192" s="231">
        <f t="shared" si="35"/>
        <v>48200</v>
      </c>
      <c r="L192" s="231">
        <f t="shared" ref="L192:L206" si="42">ROUND(J101/SUM($J$101:$J$115)*$E$31,-2)</f>
        <v>38800</v>
      </c>
      <c r="M192" s="231">
        <f t="shared" si="36"/>
        <v>0</v>
      </c>
      <c r="N192" s="231">
        <f t="shared" si="37"/>
        <v>0</v>
      </c>
      <c r="O192" s="231">
        <f t="shared" si="38"/>
        <v>4200</v>
      </c>
      <c r="P192" s="231">
        <f t="shared" si="39"/>
        <v>1200</v>
      </c>
      <c r="Q192" s="231">
        <f t="shared" si="40"/>
        <v>0</v>
      </c>
      <c r="R192" s="231">
        <f>ROUND(E37/3,-2)</f>
        <v>38300</v>
      </c>
      <c r="S192" s="231"/>
      <c r="T192" s="1438"/>
      <c r="U192" s="9"/>
      <c r="V192" s="9"/>
      <c r="W192" s="9"/>
      <c r="X192" s="9"/>
      <c r="Y192" s="9"/>
      <c r="Z192" s="9"/>
    </row>
    <row r="193" spans="1:26" x14ac:dyDescent="0.2">
      <c r="A193" s="9"/>
      <c r="B193" s="1426" t="str">
        <f t="shared" si="28"/>
        <v>Procurement and Building Management</v>
      </c>
      <c r="C193" s="1309">
        <f t="shared" si="29"/>
        <v>25900</v>
      </c>
      <c r="D193" s="231">
        <f t="shared" si="30"/>
        <v>0</v>
      </c>
      <c r="E193" s="231">
        <f t="shared" si="41"/>
        <v>44100</v>
      </c>
      <c r="F193" s="231">
        <f t="shared" si="31"/>
        <v>0</v>
      </c>
      <c r="G193" s="231">
        <f t="shared" si="32"/>
        <v>162700</v>
      </c>
      <c r="H193" s="231"/>
      <c r="I193" s="231">
        <f t="shared" si="33"/>
        <v>19000</v>
      </c>
      <c r="J193" s="231">
        <f t="shared" si="34"/>
        <v>75000</v>
      </c>
      <c r="K193" s="231">
        <f t="shared" si="35"/>
        <v>68300</v>
      </c>
      <c r="L193" s="231">
        <f t="shared" si="42"/>
        <v>54900</v>
      </c>
      <c r="M193" s="231">
        <f t="shared" si="36"/>
        <v>0</v>
      </c>
      <c r="N193" s="231">
        <f t="shared" si="37"/>
        <v>0</v>
      </c>
      <c r="O193" s="231">
        <f t="shared" si="38"/>
        <v>5900</v>
      </c>
      <c r="P193" s="231">
        <f t="shared" si="39"/>
        <v>0</v>
      </c>
      <c r="Q193" s="231">
        <f t="shared" si="40"/>
        <v>0</v>
      </c>
      <c r="R193" s="231"/>
      <c r="S193" s="231"/>
      <c r="T193" s="1438"/>
      <c r="U193" s="9"/>
      <c r="V193" s="9"/>
      <c r="W193" s="9"/>
      <c r="X193" s="9"/>
      <c r="Y193" s="9"/>
      <c r="Z193" s="9"/>
    </row>
    <row r="194" spans="1:26" x14ac:dyDescent="0.2">
      <c r="A194" s="9"/>
      <c r="B194" s="1426" t="str">
        <f t="shared" si="28"/>
        <v>Stormwater and Env</v>
      </c>
      <c r="C194" s="1309">
        <f t="shared" si="29"/>
        <v>15400</v>
      </c>
      <c r="D194" s="231">
        <f t="shared" si="30"/>
        <v>0</v>
      </c>
      <c r="E194" s="231">
        <f t="shared" si="41"/>
        <v>26300</v>
      </c>
      <c r="F194" s="231">
        <f t="shared" si="31"/>
        <v>47900</v>
      </c>
      <c r="G194" s="231">
        <f t="shared" si="32"/>
        <v>0</v>
      </c>
      <c r="H194" s="231"/>
      <c r="I194" s="231">
        <f t="shared" si="33"/>
        <v>0</v>
      </c>
      <c r="J194" s="231">
        <f t="shared" si="34"/>
        <v>44700</v>
      </c>
      <c r="K194" s="231">
        <f t="shared" si="35"/>
        <v>40700</v>
      </c>
      <c r="L194" s="231">
        <f t="shared" si="42"/>
        <v>32700</v>
      </c>
      <c r="M194" s="231">
        <f t="shared" si="36"/>
        <v>55400</v>
      </c>
      <c r="N194" s="231">
        <f t="shared" si="37"/>
        <v>70200</v>
      </c>
      <c r="O194" s="231">
        <f t="shared" si="38"/>
        <v>3500</v>
      </c>
      <c r="P194" s="231">
        <f t="shared" si="39"/>
        <v>1700</v>
      </c>
      <c r="Q194" s="231">
        <f t="shared" si="40"/>
        <v>0</v>
      </c>
      <c r="R194" s="231"/>
      <c r="S194" s="231"/>
      <c r="T194" s="1438"/>
      <c r="U194" s="9"/>
      <c r="V194" s="9"/>
      <c r="W194" s="9"/>
      <c r="X194" s="9"/>
      <c r="Y194" s="9"/>
      <c r="Z194" s="9"/>
    </row>
    <row r="195" spans="1:26" x14ac:dyDescent="0.2">
      <c r="A195" s="9"/>
      <c r="B195" s="1426" t="str">
        <f t="shared" si="28"/>
        <v>Roads and Bridges</v>
      </c>
      <c r="C195" s="1309">
        <f t="shared" si="29"/>
        <v>67800</v>
      </c>
      <c r="D195" s="231">
        <f t="shared" si="30"/>
        <v>0</v>
      </c>
      <c r="E195" s="231">
        <f t="shared" si="41"/>
        <v>115500</v>
      </c>
      <c r="F195" s="231">
        <f t="shared" si="31"/>
        <v>238300</v>
      </c>
      <c r="G195" s="231">
        <f t="shared" si="32"/>
        <v>72600</v>
      </c>
      <c r="H195" s="231"/>
      <c r="I195" s="231">
        <f t="shared" si="33"/>
        <v>231300</v>
      </c>
      <c r="J195" s="231">
        <f t="shared" si="34"/>
        <v>196600</v>
      </c>
      <c r="K195" s="231">
        <f t="shared" si="35"/>
        <v>179000</v>
      </c>
      <c r="L195" s="231">
        <f t="shared" si="42"/>
        <v>143900</v>
      </c>
      <c r="M195" s="231">
        <f t="shared" si="36"/>
        <v>275700</v>
      </c>
      <c r="N195" s="231">
        <f t="shared" si="37"/>
        <v>349700</v>
      </c>
      <c r="O195" s="231">
        <f t="shared" si="38"/>
        <v>15500</v>
      </c>
      <c r="P195" s="231">
        <f t="shared" si="39"/>
        <v>1600</v>
      </c>
      <c r="Q195" s="231">
        <f t="shared" si="40"/>
        <v>0</v>
      </c>
      <c r="R195" s="231"/>
      <c r="S195" s="231"/>
      <c r="T195" s="1438"/>
      <c r="U195" s="9"/>
      <c r="V195" s="9"/>
      <c r="W195" s="9"/>
      <c r="X195" s="9"/>
      <c r="Y195" s="9"/>
      <c r="Z195" s="9"/>
    </row>
    <row r="196" spans="1:26" x14ac:dyDescent="0.2">
      <c r="A196" s="9"/>
      <c r="B196" s="1426" t="str">
        <f t="shared" si="28"/>
        <v>Ancillary Transport Services</v>
      </c>
      <c r="C196" s="1309">
        <f t="shared" si="29"/>
        <v>20000</v>
      </c>
      <c r="D196" s="231">
        <f t="shared" si="30"/>
        <v>0</v>
      </c>
      <c r="E196" s="231">
        <f t="shared" si="41"/>
        <v>34100</v>
      </c>
      <c r="F196" s="231">
        <f t="shared" si="31"/>
        <v>0</v>
      </c>
      <c r="G196" s="231">
        <f t="shared" si="32"/>
        <v>2900</v>
      </c>
      <c r="H196" s="231"/>
      <c r="I196" s="231">
        <f t="shared" si="33"/>
        <v>19000</v>
      </c>
      <c r="J196" s="231">
        <f t="shared" si="34"/>
        <v>58000</v>
      </c>
      <c r="K196" s="231">
        <f t="shared" si="35"/>
        <v>52800</v>
      </c>
      <c r="L196" s="231">
        <f t="shared" si="42"/>
        <v>42500</v>
      </c>
      <c r="M196" s="231">
        <f t="shared" si="36"/>
        <v>0</v>
      </c>
      <c r="N196" s="231">
        <f t="shared" si="37"/>
        <v>0</v>
      </c>
      <c r="O196" s="231">
        <f t="shared" si="38"/>
        <v>4600</v>
      </c>
      <c r="P196" s="231">
        <f t="shared" si="39"/>
        <v>6300</v>
      </c>
      <c r="Q196" s="231">
        <f t="shared" si="40"/>
        <v>0</v>
      </c>
      <c r="R196" s="231"/>
      <c r="S196" s="231"/>
      <c r="T196" s="1438"/>
      <c r="U196" s="9"/>
      <c r="V196" s="9"/>
      <c r="W196" s="9"/>
      <c r="X196" s="9"/>
      <c r="Y196" s="9"/>
      <c r="Z196" s="9"/>
    </row>
    <row r="197" spans="1:26" x14ac:dyDescent="0.2">
      <c r="A197" s="9"/>
      <c r="B197" s="1426" t="str">
        <f t="shared" si="28"/>
        <v>Roads and Maritime Services</v>
      </c>
      <c r="C197" s="1309">
        <f t="shared" si="29"/>
        <v>5400</v>
      </c>
      <c r="D197" s="231">
        <f t="shared" si="30"/>
        <v>0</v>
      </c>
      <c r="E197" s="231">
        <f t="shared" si="41"/>
        <v>9100</v>
      </c>
      <c r="F197" s="231">
        <f t="shared" si="31"/>
        <v>0</v>
      </c>
      <c r="G197" s="231">
        <f t="shared" si="32"/>
        <v>0</v>
      </c>
      <c r="H197" s="231"/>
      <c r="I197" s="231">
        <f t="shared" si="33"/>
        <v>0</v>
      </c>
      <c r="J197" s="231">
        <f t="shared" si="34"/>
        <v>15600</v>
      </c>
      <c r="K197" s="231">
        <f t="shared" si="35"/>
        <v>14200</v>
      </c>
      <c r="L197" s="231">
        <f t="shared" si="42"/>
        <v>11400</v>
      </c>
      <c r="M197" s="231">
        <f t="shared" si="36"/>
        <v>0</v>
      </c>
      <c r="N197" s="231">
        <f t="shared" si="37"/>
        <v>0</v>
      </c>
      <c r="O197" s="231">
        <f t="shared" si="38"/>
        <v>1200</v>
      </c>
      <c r="P197" s="231">
        <f t="shared" si="39"/>
        <v>4000</v>
      </c>
      <c r="Q197" s="231">
        <f t="shared" si="40"/>
        <v>0</v>
      </c>
      <c r="R197" s="231"/>
      <c r="S197" s="231"/>
      <c r="T197" s="1438"/>
      <c r="U197" s="9"/>
      <c r="V197" s="9"/>
      <c r="W197" s="9"/>
      <c r="X197" s="9"/>
      <c r="Y197" s="9"/>
      <c r="Z197" s="9"/>
    </row>
    <row r="198" spans="1:26" x14ac:dyDescent="0.2">
      <c r="A198" s="9"/>
      <c r="B198" s="1426" t="str">
        <f t="shared" si="28"/>
        <v>Open Spaces and Reserves</v>
      </c>
      <c r="C198" s="1309">
        <f t="shared" si="29"/>
        <v>25800</v>
      </c>
      <c r="D198" s="231">
        <f t="shared" si="30"/>
        <v>0</v>
      </c>
      <c r="E198" s="231">
        <f t="shared" si="41"/>
        <v>43900</v>
      </c>
      <c r="F198" s="231">
        <f t="shared" si="31"/>
        <v>0</v>
      </c>
      <c r="G198" s="231">
        <f t="shared" si="32"/>
        <v>55200</v>
      </c>
      <c r="H198" s="231"/>
      <c r="I198" s="231">
        <f t="shared" si="33"/>
        <v>131900</v>
      </c>
      <c r="J198" s="231">
        <f t="shared" si="34"/>
        <v>74700</v>
      </c>
      <c r="K198" s="231">
        <f t="shared" si="35"/>
        <v>68000</v>
      </c>
      <c r="L198" s="231">
        <f t="shared" si="42"/>
        <v>54600</v>
      </c>
      <c r="M198" s="231">
        <f t="shared" si="36"/>
        <v>0</v>
      </c>
      <c r="N198" s="231">
        <f t="shared" si="37"/>
        <v>0</v>
      </c>
      <c r="O198" s="231">
        <f t="shared" si="38"/>
        <v>5900</v>
      </c>
      <c r="P198" s="231">
        <f t="shared" si="39"/>
        <v>4800</v>
      </c>
      <c r="Q198" s="231">
        <f t="shared" si="40"/>
        <v>0</v>
      </c>
      <c r="R198" s="231"/>
      <c r="S198" s="231"/>
      <c r="T198" s="1438"/>
      <c r="U198" s="9"/>
      <c r="V198" s="9"/>
      <c r="W198" s="9"/>
      <c r="X198" s="9"/>
      <c r="Y198" s="9"/>
      <c r="Z198" s="9"/>
    </row>
    <row r="199" spans="1:26" x14ac:dyDescent="0.2">
      <c r="A199" s="9"/>
      <c r="B199" s="1426" t="str">
        <f t="shared" si="28"/>
        <v>Fleet Management and Workshop</v>
      </c>
      <c r="C199" s="1309">
        <f t="shared" si="29"/>
        <v>24900</v>
      </c>
      <c r="D199" s="231">
        <f t="shared" si="30"/>
        <v>0</v>
      </c>
      <c r="E199" s="231">
        <f t="shared" si="41"/>
        <v>42300</v>
      </c>
      <c r="F199" s="231">
        <f t="shared" si="31"/>
        <v>0</v>
      </c>
      <c r="G199" s="231">
        <f t="shared" si="32"/>
        <v>20300</v>
      </c>
      <c r="H199" s="231"/>
      <c r="I199" s="231">
        <f t="shared" si="33"/>
        <v>41700</v>
      </c>
      <c r="J199" s="231">
        <f t="shared" si="34"/>
        <v>72100</v>
      </c>
      <c r="K199" s="231">
        <f t="shared" si="35"/>
        <v>65600</v>
      </c>
      <c r="L199" s="231">
        <f t="shared" si="42"/>
        <v>52700</v>
      </c>
      <c r="M199" s="231">
        <f t="shared" si="36"/>
        <v>0</v>
      </c>
      <c r="N199" s="231">
        <f t="shared" si="37"/>
        <v>0</v>
      </c>
      <c r="O199" s="231">
        <f t="shared" si="38"/>
        <v>5700</v>
      </c>
      <c r="P199" s="231">
        <f t="shared" si="39"/>
        <v>1300</v>
      </c>
      <c r="Q199" s="231">
        <f t="shared" si="40"/>
        <v>0</v>
      </c>
      <c r="R199" s="231"/>
      <c r="S199" s="231">
        <f>ROUND(SUM(C199:R199),-3)</f>
        <v>327000</v>
      </c>
      <c r="T199" s="1438">
        <f>S199/J108</f>
        <v>9.1696811642971318E-2</v>
      </c>
      <c r="U199" s="9"/>
      <c r="V199" s="9"/>
      <c r="W199" s="9"/>
      <c r="X199" s="9"/>
      <c r="Y199" s="9"/>
      <c r="Z199" s="9"/>
    </row>
    <row r="200" spans="1:26" x14ac:dyDescent="0.2">
      <c r="A200" s="9"/>
      <c r="B200" s="1426" t="str">
        <f t="shared" si="28"/>
        <v>Rural Fire Service</v>
      </c>
      <c r="C200" s="1309">
        <f t="shared" si="29"/>
        <v>2300</v>
      </c>
      <c r="D200" s="231">
        <f t="shared" si="30"/>
        <v>0</v>
      </c>
      <c r="E200" s="231">
        <f t="shared" si="41"/>
        <v>3900</v>
      </c>
      <c r="F200" s="231">
        <f t="shared" si="31"/>
        <v>0</v>
      </c>
      <c r="G200" s="231">
        <f t="shared" si="32"/>
        <v>0</v>
      </c>
      <c r="H200" s="231"/>
      <c r="I200" s="231">
        <f t="shared" si="33"/>
        <v>0</v>
      </c>
      <c r="J200" s="231">
        <f t="shared" si="34"/>
        <v>6700</v>
      </c>
      <c r="K200" s="231">
        <f t="shared" si="35"/>
        <v>6100</v>
      </c>
      <c r="L200" s="231">
        <f t="shared" si="42"/>
        <v>4900</v>
      </c>
      <c r="M200" s="231">
        <f t="shared" si="36"/>
        <v>0</v>
      </c>
      <c r="N200" s="231">
        <f t="shared" si="37"/>
        <v>0</v>
      </c>
      <c r="O200" s="231">
        <f t="shared" si="38"/>
        <v>500</v>
      </c>
      <c r="P200" s="231">
        <f t="shared" si="39"/>
        <v>800</v>
      </c>
      <c r="Q200" s="231">
        <f t="shared" si="40"/>
        <v>0</v>
      </c>
      <c r="R200" s="231"/>
      <c r="S200" s="231"/>
      <c r="T200" s="1438"/>
      <c r="U200" s="9"/>
      <c r="V200" s="9"/>
      <c r="W200" s="9"/>
      <c r="X200" s="9"/>
      <c r="Y200" s="9"/>
      <c r="Z200" s="9"/>
    </row>
    <row r="201" spans="1:26" x14ac:dyDescent="0.2">
      <c r="A201" s="9"/>
      <c r="B201" s="1426" t="str">
        <f t="shared" si="28"/>
        <v>Quarries and Sandpit</v>
      </c>
      <c r="C201" s="1309">
        <f t="shared" si="29"/>
        <v>1300</v>
      </c>
      <c r="D201" s="231">
        <f t="shared" si="30"/>
        <v>0</v>
      </c>
      <c r="E201" s="231">
        <f t="shared" si="41"/>
        <v>2200</v>
      </c>
      <c r="F201" s="231">
        <f t="shared" si="31"/>
        <v>0</v>
      </c>
      <c r="G201" s="231">
        <f t="shared" si="32"/>
        <v>0</v>
      </c>
      <c r="H201" s="231"/>
      <c r="I201" s="231">
        <f t="shared" si="33"/>
        <v>0</v>
      </c>
      <c r="J201" s="231">
        <f t="shared" si="34"/>
        <v>3800</v>
      </c>
      <c r="K201" s="231">
        <f t="shared" si="35"/>
        <v>3500</v>
      </c>
      <c r="L201" s="231">
        <f t="shared" si="42"/>
        <v>2800</v>
      </c>
      <c r="M201" s="231">
        <f t="shared" si="36"/>
        <v>0</v>
      </c>
      <c r="N201" s="231">
        <f t="shared" si="37"/>
        <v>0</v>
      </c>
      <c r="O201" s="231">
        <f t="shared" si="38"/>
        <v>300</v>
      </c>
      <c r="P201" s="231">
        <f t="shared" si="39"/>
        <v>1700</v>
      </c>
      <c r="Q201" s="231">
        <f t="shared" si="40"/>
        <v>0</v>
      </c>
      <c r="R201" s="231"/>
      <c r="S201" s="231">
        <f t="shared" ref="S201:S205" si="43">ROUND(SUM(C201:R201),-3)</f>
        <v>16000</v>
      </c>
      <c r="T201" s="1438">
        <f t="shared" ref="T201:T207" si="44">S201/J110</f>
        <v>8.4925690021231418E-2</v>
      </c>
      <c r="U201" s="9"/>
      <c r="V201" s="9"/>
      <c r="W201" s="9"/>
      <c r="X201" s="9"/>
      <c r="Y201" s="9"/>
      <c r="Z201" s="9"/>
    </row>
    <row r="202" spans="1:26" x14ac:dyDescent="0.2">
      <c r="A202" s="9"/>
      <c r="B202" s="1426" t="str">
        <f t="shared" si="28"/>
        <v>Landfill and Resource Management</v>
      </c>
      <c r="C202" s="2238">
        <f t="shared" si="29"/>
        <v>47400</v>
      </c>
      <c r="D202" s="101">
        <f t="shared" si="30"/>
        <v>112500</v>
      </c>
      <c r="E202" s="231">
        <f t="shared" si="41"/>
        <v>80700</v>
      </c>
      <c r="F202" s="101">
        <f t="shared" si="31"/>
        <v>0</v>
      </c>
      <c r="G202" s="101">
        <f t="shared" si="32"/>
        <v>17400</v>
      </c>
      <c r="H202" s="101"/>
      <c r="I202" s="101">
        <f t="shared" si="33"/>
        <v>38700</v>
      </c>
      <c r="J202" s="101">
        <f t="shared" si="34"/>
        <v>137400</v>
      </c>
      <c r="K202" s="101">
        <f t="shared" si="35"/>
        <v>125000</v>
      </c>
      <c r="L202" s="101">
        <f t="shared" si="42"/>
        <v>100500</v>
      </c>
      <c r="M202" s="101">
        <f t="shared" si="36"/>
        <v>0</v>
      </c>
      <c r="N202" s="101">
        <f t="shared" si="37"/>
        <v>0</v>
      </c>
      <c r="O202" s="101">
        <f t="shared" si="38"/>
        <v>10800</v>
      </c>
      <c r="P202" s="101">
        <f t="shared" si="39"/>
        <v>17700</v>
      </c>
      <c r="Q202" s="101">
        <f t="shared" si="40"/>
        <v>0</v>
      </c>
      <c r="R202" s="101"/>
      <c r="S202" s="101">
        <f t="shared" si="43"/>
        <v>688000</v>
      </c>
      <c r="T202" s="1438">
        <f t="shared" si="44"/>
        <v>0.10118688688541468</v>
      </c>
      <c r="U202" s="9"/>
      <c r="V202" s="9"/>
      <c r="W202" s="9"/>
      <c r="X202" s="9"/>
      <c r="Y202" s="9"/>
      <c r="Z202" s="9"/>
    </row>
    <row r="203" spans="1:26" x14ac:dyDescent="0.2">
      <c r="A203" s="9"/>
      <c r="B203" s="1426" t="str">
        <f t="shared" si="28"/>
        <v>Waste - Domestic</v>
      </c>
      <c r="C203" s="1309">
        <f t="shared" si="29"/>
        <v>45500</v>
      </c>
      <c r="D203" s="231">
        <f t="shared" si="30"/>
        <v>107200</v>
      </c>
      <c r="E203" s="231">
        <f t="shared" si="41"/>
        <v>77600</v>
      </c>
      <c r="F203" s="231">
        <f t="shared" si="31"/>
        <v>0</v>
      </c>
      <c r="G203" s="231">
        <f t="shared" si="32"/>
        <v>17400</v>
      </c>
      <c r="H203" s="231"/>
      <c r="I203" s="231">
        <f t="shared" si="33"/>
        <v>19000</v>
      </c>
      <c r="J203" s="231">
        <f t="shared" si="34"/>
        <v>132000</v>
      </c>
      <c r="K203" s="231">
        <f t="shared" si="35"/>
        <v>120200</v>
      </c>
      <c r="L203" s="231">
        <f t="shared" si="42"/>
        <v>96600</v>
      </c>
      <c r="M203" s="231">
        <f t="shared" si="36"/>
        <v>0</v>
      </c>
      <c r="N203" s="231">
        <f t="shared" si="37"/>
        <v>0</v>
      </c>
      <c r="O203" s="231">
        <f t="shared" si="38"/>
        <v>10400</v>
      </c>
      <c r="P203" s="231">
        <f t="shared" si="39"/>
        <v>28000</v>
      </c>
      <c r="Q203" s="231">
        <f t="shared" si="40"/>
        <v>0</v>
      </c>
      <c r="R203" s="231"/>
      <c r="S203" s="231">
        <f t="shared" si="43"/>
        <v>654000</v>
      </c>
      <c r="T203" s="1438">
        <f t="shared" si="44"/>
        <v>0.1000657924935355</v>
      </c>
      <c r="U203" s="9"/>
      <c r="V203" s="9"/>
      <c r="W203" s="9"/>
      <c r="X203" s="9"/>
      <c r="Y203" s="9"/>
      <c r="Z203" s="9"/>
    </row>
    <row r="204" spans="1:26" x14ac:dyDescent="0.2">
      <c r="A204" s="9"/>
      <c r="B204" s="1426" t="str">
        <f t="shared" si="28"/>
        <v>NEWLOG</v>
      </c>
      <c r="C204" s="1309">
        <f t="shared" si="29"/>
        <v>3300</v>
      </c>
      <c r="D204" s="231">
        <f t="shared" si="30"/>
        <v>0</v>
      </c>
      <c r="E204" s="231">
        <f t="shared" si="41"/>
        <v>5600</v>
      </c>
      <c r="F204" s="231">
        <f t="shared" si="31"/>
        <v>0</v>
      </c>
      <c r="G204" s="231">
        <f t="shared" si="32"/>
        <v>17400</v>
      </c>
      <c r="H204" s="231"/>
      <c r="I204" s="231">
        <f t="shared" si="33"/>
        <v>15200</v>
      </c>
      <c r="J204" s="231">
        <f t="shared" si="34"/>
        <v>9600</v>
      </c>
      <c r="K204" s="231">
        <f t="shared" si="35"/>
        <v>8700</v>
      </c>
      <c r="L204" s="231">
        <f t="shared" si="42"/>
        <v>7000</v>
      </c>
      <c r="M204" s="231">
        <f t="shared" si="36"/>
        <v>0</v>
      </c>
      <c r="N204" s="231">
        <f t="shared" si="37"/>
        <v>0</v>
      </c>
      <c r="O204" s="231">
        <f t="shared" si="38"/>
        <v>800</v>
      </c>
      <c r="P204" s="231">
        <f t="shared" si="39"/>
        <v>1100</v>
      </c>
      <c r="Q204" s="231">
        <f t="shared" si="40"/>
        <v>0</v>
      </c>
      <c r="R204" s="231"/>
      <c r="S204" s="231">
        <f t="shared" si="43"/>
        <v>69000</v>
      </c>
      <c r="T204" s="1438">
        <f t="shared" si="44"/>
        <v>0.1451409339503576</v>
      </c>
      <c r="U204" s="9"/>
      <c r="V204" s="9"/>
      <c r="W204" s="9"/>
      <c r="X204" s="9"/>
      <c r="Y204" s="9"/>
      <c r="Z204" s="9"/>
    </row>
    <row r="205" spans="1:26" x14ac:dyDescent="0.2">
      <c r="A205" s="9"/>
      <c r="B205" s="1426" t="str">
        <f t="shared" si="28"/>
        <v>Water</v>
      </c>
      <c r="C205" s="1309">
        <f t="shared" si="29"/>
        <v>75600</v>
      </c>
      <c r="D205" s="231">
        <f t="shared" si="30"/>
        <v>93800</v>
      </c>
      <c r="E205" s="231">
        <f t="shared" si="41"/>
        <v>128800</v>
      </c>
      <c r="F205" s="231">
        <f t="shared" si="31"/>
        <v>46100</v>
      </c>
      <c r="G205" s="231">
        <f t="shared" si="32"/>
        <v>111800</v>
      </c>
      <c r="H205" s="231"/>
      <c r="I205" s="231">
        <f t="shared" si="33"/>
        <v>73900</v>
      </c>
      <c r="J205" s="231">
        <f t="shared" si="34"/>
        <v>219200</v>
      </c>
      <c r="K205" s="231">
        <f t="shared" si="35"/>
        <v>199500</v>
      </c>
      <c r="L205" s="231">
        <f t="shared" si="42"/>
        <v>160400</v>
      </c>
      <c r="M205" s="231">
        <f t="shared" si="36"/>
        <v>53300</v>
      </c>
      <c r="N205" s="231">
        <f t="shared" si="37"/>
        <v>67700</v>
      </c>
      <c r="O205" s="231">
        <f t="shared" si="38"/>
        <v>17300</v>
      </c>
      <c r="P205" s="231">
        <f t="shared" si="39"/>
        <v>51600</v>
      </c>
      <c r="Q205" s="231">
        <f t="shared" si="40"/>
        <v>0</v>
      </c>
      <c r="R205" s="231">
        <f>R192</f>
        <v>38300</v>
      </c>
      <c r="S205" s="231">
        <f t="shared" si="43"/>
        <v>1337000</v>
      </c>
      <c r="T205" s="1438">
        <f t="shared" si="44"/>
        <v>0.12322694218379893</v>
      </c>
      <c r="U205" s="9"/>
      <c r="V205" s="9"/>
      <c r="W205" s="9"/>
      <c r="X205" s="9"/>
      <c r="Y205" s="9"/>
      <c r="Z205" s="9"/>
    </row>
    <row r="206" spans="1:26" ht="13.5" thickBot="1" x14ac:dyDescent="0.25">
      <c r="A206" s="9"/>
      <c r="B206" s="1426" t="str">
        <f t="shared" si="28"/>
        <v>Wastewater</v>
      </c>
      <c r="C206" s="1309">
        <f t="shared" si="29"/>
        <v>120700</v>
      </c>
      <c r="D206" s="231">
        <f t="shared" si="30"/>
        <v>92500</v>
      </c>
      <c r="E206" s="231">
        <f t="shared" si="41"/>
        <v>205500</v>
      </c>
      <c r="F206" s="231">
        <f t="shared" si="31"/>
        <v>103100</v>
      </c>
      <c r="G206" s="231">
        <f t="shared" si="32"/>
        <v>111800</v>
      </c>
      <c r="H206" s="231"/>
      <c r="I206" s="231">
        <f t="shared" si="33"/>
        <v>73900</v>
      </c>
      <c r="J206" s="231">
        <f t="shared" si="34"/>
        <v>349800</v>
      </c>
      <c r="K206" s="231">
        <f t="shared" si="35"/>
        <v>318400</v>
      </c>
      <c r="L206" s="231">
        <f t="shared" si="42"/>
        <v>256000</v>
      </c>
      <c r="M206" s="231">
        <f t="shared" si="36"/>
        <v>119300</v>
      </c>
      <c r="N206" s="231">
        <f t="shared" si="37"/>
        <v>151400</v>
      </c>
      <c r="O206" s="231">
        <f t="shared" si="38"/>
        <v>27500</v>
      </c>
      <c r="P206" s="231">
        <f t="shared" si="39"/>
        <v>75400</v>
      </c>
      <c r="Q206" s="231">
        <f t="shared" si="40"/>
        <v>0</v>
      </c>
      <c r="R206" s="231">
        <f>R205</f>
        <v>38300</v>
      </c>
      <c r="S206" s="101">
        <f>ROUND(SUM(C206:R206),-3)</f>
        <v>2044000</v>
      </c>
      <c r="T206" s="1438">
        <f t="shared" si="44"/>
        <v>0.11806361803762556</v>
      </c>
      <c r="U206" s="9"/>
      <c r="V206" s="9"/>
      <c r="W206" s="9"/>
      <c r="X206" s="9"/>
      <c r="Y206" s="9"/>
      <c r="Z206" s="9"/>
    </row>
    <row r="207" spans="1:26" ht="13.5" thickBot="1" x14ac:dyDescent="0.25">
      <c r="A207" s="9"/>
      <c r="B207" s="1439" t="str">
        <f t="shared" si="28"/>
        <v>Totals</v>
      </c>
      <c r="C207" s="1401">
        <f t="shared" ref="C207:J207" si="45">SUM(C174:C206)</f>
        <v>626600</v>
      </c>
      <c r="D207" s="1402">
        <f t="shared" si="45"/>
        <v>526700</v>
      </c>
      <c r="E207" s="1402">
        <f t="shared" si="45"/>
        <v>1067000</v>
      </c>
      <c r="F207" s="1402">
        <f t="shared" si="45"/>
        <v>435400</v>
      </c>
      <c r="G207" s="1402">
        <f t="shared" si="45"/>
        <v>1632100</v>
      </c>
      <c r="H207" s="1402"/>
      <c r="I207" s="1402">
        <f t="shared" si="45"/>
        <v>1010600</v>
      </c>
      <c r="J207" s="1402">
        <f t="shared" si="45"/>
        <v>1816300</v>
      </c>
      <c r="K207" s="1402">
        <f>SUM(K179:K206)</f>
        <v>1653400</v>
      </c>
      <c r="L207" s="1402">
        <f t="shared" ref="L207:S207" si="46">SUM(L174:L206)</f>
        <v>1059700</v>
      </c>
      <c r="M207" s="1402">
        <f t="shared" si="46"/>
        <v>503700</v>
      </c>
      <c r="N207" s="1402">
        <f t="shared" si="46"/>
        <v>639000</v>
      </c>
      <c r="O207" s="1402">
        <f t="shared" si="46"/>
        <v>143100</v>
      </c>
      <c r="P207" s="1402">
        <f t="shared" si="46"/>
        <v>251500</v>
      </c>
      <c r="Q207" s="1402">
        <f t="shared" si="46"/>
        <v>0</v>
      </c>
      <c r="R207" s="1402">
        <f t="shared" si="46"/>
        <v>114900</v>
      </c>
      <c r="S207" s="1402">
        <f t="shared" si="46"/>
        <v>5732000</v>
      </c>
      <c r="T207" s="1442">
        <f t="shared" si="44"/>
        <v>6.3257752164690872E-2</v>
      </c>
      <c r="U207" s="9"/>
      <c r="V207" s="9"/>
      <c r="W207" s="9"/>
      <c r="X207" s="9"/>
      <c r="Y207" s="9"/>
      <c r="Z207" s="9"/>
    </row>
    <row r="208" spans="1:26" x14ac:dyDescent="0.2">
      <c r="A208" s="9"/>
      <c r="B208" s="1427"/>
      <c r="C208" s="1311"/>
      <c r="D208" s="82"/>
      <c r="E208" s="82"/>
      <c r="F208" s="82"/>
      <c r="G208" s="82"/>
      <c r="H208" s="82"/>
      <c r="I208" s="82"/>
      <c r="J208" s="82"/>
      <c r="K208" s="82"/>
      <c r="L208" s="82"/>
      <c r="M208" s="82"/>
      <c r="N208" s="82"/>
      <c r="O208" s="82"/>
      <c r="P208" s="82"/>
      <c r="Q208" s="82"/>
      <c r="R208" s="82"/>
      <c r="S208" s="82"/>
      <c r="T208" s="1434"/>
      <c r="U208" s="9"/>
      <c r="V208" s="9"/>
      <c r="W208" s="9"/>
      <c r="X208" s="9"/>
      <c r="Y208" s="9"/>
      <c r="Z208" s="9"/>
    </row>
    <row r="209" spans="1:28" x14ac:dyDescent="0.2">
      <c r="A209" s="9"/>
      <c r="B209" s="1427" t="s">
        <v>3819</v>
      </c>
      <c r="C209" s="1311">
        <f>ROUND(C207/$F$116,-2)</f>
        <v>2100</v>
      </c>
      <c r="D209" s="82">
        <f t="shared" ref="D209:F209" si="47">ROUND(D207/$F$116,-2)</f>
        <v>1800</v>
      </c>
      <c r="E209" s="82">
        <f t="shared" si="47"/>
        <v>3700</v>
      </c>
      <c r="F209" s="82">
        <f t="shared" si="47"/>
        <v>1500</v>
      </c>
      <c r="G209" s="82">
        <f>ROUND(G207/$F$116,-2)</f>
        <v>5600</v>
      </c>
      <c r="H209" s="82"/>
      <c r="I209" s="82">
        <f t="shared" ref="I209:S209" si="48">ROUND(I207/$F$116,-2)</f>
        <v>3500</v>
      </c>
      <c r="J209" s="82">
        <f t="shared" si="48"/>
        <v>6200</v>
      </c>
      <c r="K209" s="82">
        <f t="shared" si="48"/>
        <v>5700</v>
      </c>
      <c r="L209" s="82">
        <f t="shared" si="48"/>
        <v>3600</v>
      </c>
      <c r="M209" s="82">
        <f t="shared" si="48"/>
        <v>1700</v>
      </c>
      <c r="N209" s="82">
        <f t="shared" si="48"/>
        <v>2200</v>
      </c>
      <c r="O209" s="82">
        <f t="shared" si="48"/>
        <v>500</v>
      </c>
      <c r="P209" s="82">
        <f t="shared" si="48"/>
        <v>900</v>
      </c>
      <c r="Q209" s="82">
        <f t="shared" si="48"/>
        <v>0</v>
      </c>
      <c r="R209" s="82">
        <f t="shared" si="48"/>
        <v>400</v>
      </c>
      <c r="S209" s="82">
        <f t="shared" si="48"/>
        <v>19600</v>
      </c>
      <c r="T209" s="1434"/>
      <c r="U209" s="9"/>
      <c r="V209" s="9"/>
      <c r="W209" s="9"/>
      <c r="X209" s="9"/>
      <c r="Y209" s="9"/>
      <c r="Z209" s="9"/>
    </row>
    <row r="210" spans="1:28" ht="13.5" thickBot="1" x14ac:dyDescent="0.25">
      <c r="A210" s="9"/>
      <c r="B210" s="1431"/>
      <c r="C210" s="1321"/>
      <c r="D210" s="1388"/>
      <c r="E210" s="1388"/>
      <c r="F210" s="1388"/>
      <c r="G210" s="1388"/>
      <c r="H210" s="1388"/>
      <c r="I210" s="1388"/>
      <c r="J210" s="1388"/>
      <c r="K210" s="1388"/>
      <c r="L210" s="1388"/>
      <c r="M210" s="1388"/>
      <c r="N210" s="1388"/>
      <c r="O210" s="1388"/>
      <c r="P210" s="1388"/>
      <c r="Q210" s="1388"/>
      <c r="R210" s="1388"/>
      <c r="S210" s="1388"/>
      <c r="T210" s="1435"/>
      <c r="U210" s="9"/>
      <c r="V210" s="9"/>
      <c r="W210" s="9"/>
      <c r="X210" s="9"/>
      <c r="Y210" s="9"/>
      <c r="Z210" s="9"/>
    </row>
    <row r="211" spans="1:28" x14ac:dyDescent="0.2">
      <c r="A211" s="9"/>
      <c r="B211" s="1426"/>
      <c r="C211" s="1311"/>
      <c r="D211" s="82"/>
      <c r="E211" s="82"/>
      <c r="F211" s="82"/>
      <c r="G211" s="82"/>
      <c r="H211" s="82"/>
      <c r="I211" s="82"/>
      <c r="J211" s="82"/>
      <c r="K211" s="82"/>
      <c r="L211" s="82"/>
      <c r="M211" s="82"/>
      <c r="N211" s="82"/>
      <c r="O211" s="82"/>
      <c r="P211" s="82"/>
      <c r="Q211" s="82"/>
      <c r="R211" s="82"/>
      <c r="S211" s="82"/>
      <c r="T211" s="1434"/>
      <c r="U211" s="9"/>
      <c r="V211" s="9"/>
      <c r="W211" s="9"/>
      <c r="X211" s="9"/>
      <c r="Y211" s="9"/>
      <c r="Z211" s="9"/>
    </row>
    <row r="212" spans="1:28" x14ac:dyDescent="0.2">
      <c r="A212" s="9"/>
      <c r="B212" s="1428" t="s">
        <v>408</v>
      </c>
      <c r="C212" s="1311">
        <f>C207-C214</f>
        <v>100</v>
      </c>
      <c r="D212" s="82">
        <f t="shared" ref="D212:R212" si="49">D207-D214</f>
        <v>100</v>
      </c>
      <c r="E212" s="82">
        <f t="shared" si="49"/>
        <v>-200</v>
      </c>
      <c r="F212" s="82">
        <f t="shared" si="49"/>
        <v>0</v>
      </c>
      <c r="G212" s="82">
        <f t="shared" si="49"/>
        <v>-300</v>
      </c>
      <c r="H212" s="82"/>
      <c r="I212" s="82">
        <f t="shared" si="49"/>
        <v>100</v>
      </c>
      <c r="J212" s="82">
        <f t="shared" si="49"/>
        <v>0</v>
      </c>
      <c r="K212" s="82">
        <f t="shared" si="49"/>
        <v>100</v>
      </c>
      <c r="L212" s="82">
        <f t="shared" si="49"/>
        <v>0</v>
      </c>
      <c r="M212" s="82">
        <f t="shared" si="49"/>
        <v>0</v>
      </c>
      <c r="N212" s="82">
        <f t="shared" si="49"/>
        <v>0</v>
      </c>
      <c r="O212" s="82">
        <f t="shared" si="49"/>
        <v>100</v>
      </c>
      <c r="P212" s="82">
        <f t="shared" si="49"/>
        <v>0</v>
      </c>
      <c r="Q212" s="82">
        <f t="shared" si="49"/>
        <v>0</v>
      </c>
      <c r="R212" s="82">
        <f t="shared" si="49"/>
        <v>0</v>
      </c>
      <c r="S212" s="1133"/>
      <c r="T212" s="1436"/>
      <c r="U212" s="9"/>
      <c r="V212" s="9"/>
      <c r="W212" s="9"/>
      <c r="X212" s="9"/>
      <c r="Y212" s="9"/>
      <c r="Z212" s="9"/>
    </row>
    <row r="213" spans="1:28" x14ac:dyDescent="0.2">
      <c r="A213" s="9"/>
      <c r="B213" s="1429"/>
      <c r="C213" s="1311"/>
      <c r="D213" s="82"/>
      <c r="E213" s="82"/>
      <c r="F213" s="82"/>
      <c r="G213" s="82"/>
      <c r="H213" s="82"/>
      <c r="I213" s="82"/>
      <c r="J213" s="82"/>
      <c r="K213" s="82"/>
      <c r="L213" s="82"/>
      <c r="M213" s="82"/>
      <c r="N213" s="82"/>
      <c r="O213" s="82"/>
      <c r="P213" s="82"/>
      <c r="Q213" s="82"/>
      <c r="R213" s="82"/>
      <c r="S213" s="1133"/>
      <c r="T213" s="1436"/>
      <c r="U213" s="9"/>
      <c r="V213" s="9"/>
      <c r="W213" s="9"/>
      <c r="X213" s="9"/>
      <c r="Y213" s="9"/>
      <c r="Z213" s="9"/>
    </row>
    <row r="214" spans="1:28" x14ac:dyDescent="0.2">
      <c r="A214" s="9"/>
      <c r="B214" s="1427" t="s">
        <v>3720</v>
      </c>
      <c r="C214" s="1311">
        <f>ROUND(E23,-2)</f>
        <v>626500</v>
      </c>
      <c r="D214" s="82">
        <f>E24</f>
        <v>526600</v>
      </c>
      <c r="E214" s="82">
        <f>E25+D176</f>
        <v>1067200</v>
      </c>
      <c r="F214" s="82">
        <f>E26</f>
        <v>435400</v>
      </c>
      <c r="G214" s="82">
        <f>E27</f>
        <v>1632400</v>
      </c>
      <c r="H214" s="82"/>
      <c r="I214" s="82">
        <f>E28</f>
        <v>1010500</v>
      </c>
      <c r="J214" s="82">
        <f>E29</f>
        <v>1816300</v>
      </c>
      <c r="K214" s="82">
        <f>E30</f>
        <v>1653300</v>
      </c>
      <c r="L214" s="82">
        <f>E31</f>
        <v>1059700</v>
      </c>
      <c r="M214" s="82">
        <f>E32</f>
        <v>503700</v>
      </c>
      <c r="N214" s="82">
        <f>E33</f>
        <v>639000</v>
      </c>
      <c r="O214" s="82">
        <f>E34</f>
        <v>143000</v>
      </c>
      <c r="P214" s="82">
        <f>E35</f>
        <v>251500</v>
      </c>
      <c r="Q214" s="82">
        <f>E36</f>
        <v>0</v>
      </c>
      <c r="R214" s="82">
        <f>E37</f>
        <v>114900</v>
      </c>
      <c r="S214" s="82">
        <f>SUM(C214:R214)</f>
        <v>11480000</v>
      </c>
      <c r="T214" s="1434"/>
      <c r="U214" s="9"/>
      <c r="V214" s="9"/>
      <c r="W214" s="9"/>
      <c r="X214" s="9"/>
      <c r="Y214" s="9"/>
      <c r="Z214" s="9"/>
    </row>
    <row r="215" spans="1:28" ht="13.5" thickBot="1" x14ac:dyDescent="0.25">
      <c r="A215" s="9"/>
      <c r="B215" s="1430"/>
      <c r="C215" s="1382"/>
      <c r="D215" s="1398"/>
      <c r="E215" s="1409"/>
      <c r="F215" s="1409"/>
      <c r="G215" s="1398"/>
      <c r="H215" s="1398"/>
      <c r="I215" s="1398"/>
      <c r="J215" s="1398"/>
      <c r="K215" s="1398"/>
      <c r="L215" s="1398"/>
      <c r="M215" s="1398"/>
      <c r="N215" s="1398"/>
      <c r="O215" s="1398"/>
      <c r="P215" s="1398"/>
      <c r="Q215" s="1398"/>
      <c r="R215" s="1398"/>
      <c r="S215" s="1398"/>
      <c r="T215" s="1437"/>
      <c r="U215" s="9"/>
      <c r="V215" s="9"/>
      <c r="W215" s="9"/>
      <c r="X215" s="9"/>
      <c r="Y215" s="9"/>
      <c r="Z215" s="9"/>
    </row>
    <row r="216" spans="1:28" ht="12" customHeight="1" x14ac:dyDescent="0.2">
      <c r="A216" s="9"/>
      <c r="B216" s="9"/>
      <c r="C216" s="9"/>
      <c r="D216" s="9"/>
      <c r="E216" s="210"/>
      <c r="F216" s="210"/>
      <c r="G216" s="9"/>
      <c r="H216" s="9"/>
      <c r="I216" s="9"/>
      <c r="J216" s="9"/>
      <c r="K216" s="9"/>
      <c r="L216" s="9"/>
      <c r="M216" s="9"/>
      <c r="N216" s="9"/>
      <c r="O216" s="9"/>
      <c r="P216" s="9"/>
      <c r="Q216" s="9"/>
      <c r="R216" s="9"/>
      <c r="S216" s="9"/>
      <c r="T216" s="9"/>
      <c r="U216" s="9"/>
      <c r="V216" s="9"/>
      <c r="W216" s="9"/>
      <c r="X216" s="9"/>
      <c r="Y216" s="9"/>
      <c r="Z216" s="9"/>
    </row>
    <row r="217" spans="1:28" ht="13.5" thickBot="1" x14ac:dyDescent="0.25">
      <c r="A217" s="9"/>
      <c r="B217" s="1392"/>
      <c r="C217" s="9"/>
      <c r="D217" s="9"/>
      <c r="E217" s="9"/>
      <c r="F217" s="9"/>
      <c r="G217" s="1424"/>
      <c r="H217" s="1424"/>
      <c r="I217" s="9"/>
      <c r="J217" s="9"/>
      <c r="K217" s="9"/>
      <c r="L217" s="9"/>
      <c r="M217" s="9"/>
      <c r="N217" s="210"/>
      <c r="O217" s="210"/>
      <c r="P217" s="9"/>
      <c r="Q217" s="9"/>
      <c r="R217" s="9"/>
      <c r="S217" s="9"/>
      <c r="T217" s="9"/>
      <c r="U217" s="9"/>
      <c r="V217" s="9"/>
      <c r="W217" s="9"/>
    </row>
    <row r="218" spans="1:28" ht="13.5" thickBot="1" x14ac:dyDescent="0.25">
      <c r="A218" s="1170"/>
      <c r="B218" s="1170"/>
      <c r="C218" s="3030" t="s">
        <v>6917</v>
      </c>
      <c r="D218" s="3031"/>
      <c r="E218" s="3031"/>
      <c r="F218" s="3031"/>
      <c r="G218" s="3031"/>
      <c r="H218" s="3031"/>
      <c r="I218" s="3031"/>
      <c r="J218" s="3031"/>
      <c r="K218" s="3031"/>
      <c r="L218" s="3031"/>
      <c r="M218" s="3031"/>
      <c r="N218" s="3031"/>
      <c r="O218" s="3031"/>
      <c r="P218" s="3031"/>
      <c r="Q218" s="3031"/>
      <c r="R218" s="3031"/>
      <c r="S218" s="3031"/>
      <c r="T218" s="3032"/>
      <c r="V218" s="9"/>
      <c r="W218" s="9"/>
      <c r="X218" s="9"/>
      <c r="Y218" s="9"/>
      <c r="Z218" s="9"/>
      <c r="AA218" s="9"/>
      <c r="AB218" s="9"/>
    </row>
    <row r="219" spans="1:28" ht="13.5" thickBot="1" x14ac:dyDescent="0.25">
      <c r="A219" s="9"/>
      <c r="B219" s="1425" t="str">
        <f t="shared" ref="B219" si="50">B174</f>
        <v>Governance</v>
      </c>
      <c r="C219" s="1325" t="s">
        <v>3634</v>
      </c>
      <c r="D219" s="1422" t="s">
        <v>3706</v>
      </c>
      <c r="E219" s="1422" t="s">
        <v>3635</v>
      </c>
      <c r="F219" s="1422" t="s">
        <v>3726</v>
      </c>
      <c r="G219" s="1422" t="s">
        <v>3817</v>
      </c>
      <c r="H219" s="1422"/>
      <c r="I219" s="1422" t="s">
        <v>3636</v>
      </c>
      <c r="J219" s="1423" t="s">
        <v>3823</v>
      </c>
      <c r="K219" s="1423" t="s">
        <v>3724</v>
      </c>
      <c r="L219" s="1422" t="s">
        <v>3722</v>
      </c>
      <c r="M219" s="1422" t="s">
        <v>3723</v>
      </c>
      <c r="N219" s="1422" t="s">
        <v>3892</v>
      </c>
      <c r="O219" s="1422" t="s">
        <v>3805</v>
      </c>
      <c r="P219" s="1422" t="s">
        <v>3816</v>
      </c>
      <c r="Q219" s="1422" t="s">
        <v>3813</v>
      </c>
      <c r="R219" s="1422" t="s">
        <v>3814</v>
      </c>
      <c r="S219" s="1422" t="s">
        <v>1530</v>
      </c>
      <c r="T219" s="1432" t="s">
        <v>3820</v>
      </c>
      <c r="U219" s="9"/>
      <c r="V219" s="9"/>
      <c r="W219" s="9"/>
      <c r="X219" s="9"/>
      <c r="Y219" s="9"/>
      <c r="Z219" s="9"/>
    </row>
    <row r="220" spans="1:28" x14ac:dyDescent="0.2">
      <c r="A220" s="9"/>
      <c r="B220" s="1426" t="str">
        <f>B174</f>
        <v>Governance</v>
      </c>
      <c r="C220" s="1309"/>
      <c r="D220" s="231"/>
      <c r="E220" s="231"/>
      <c r="F220" s="231"/>
      <c r="G220" s="231"/>
      <c r="H220" s="231"/>
      <c r="I220" s="231"/>
      <c r="J220" s="231"/>
      <c r="K220" s="231"/>
      <c r="L220" s="231"/>
      <c r="M220" s="231"/>
      <c r="N220" s="231"/>
      <c r="O220" s="231"/>
      <c r="P220" s="231"/>
      <c r="Q220" s="231"/>
      <c r="R220" s="231"/>
      <c r="S220" s="231"/>
      <c r="T220" s="1433"/>
      <c r="U220" s="9"/>
      <c r="V220" s="9"/>
      <c r="W220" s="9"/>
      <c r="X220" s="9"/>
      <c r="Y220" s="9"/>
      <c r="Z220" s="9"/>
    </row>
    <row r="221" spans="1:28" x14ac:dyDescent="0.2">
      <c r="A221" s="9"/>
      <c r="B221" s="1426" t="str">
        <f>B175</f>
        <v>Administrative Services</v>
      </c>
      <c r="C221" s="1309"/>
      <c r="D221" s="231"/>
      <c r="E221" s="231"/>
      <c r="F221" s="231"/>
      <c r="G221" s="231"/>
      <c r="H221" s="231"/>
      <c r="I221" s="231"/>
      <c r="J221" s="231"/>
      <c r="K221" s="231"/>
      <c r="L221" s="231"/>
      <c r="M221" s="231"/>
      <c r="N221" s="231"/>
      <c r="O221" s="231"/>
      <c r="P221" s="231"/>
      <c r="Q221" s="231"/>
      <c r="R221" s="231"/>
      <c r="S221" s="231"/>
      <c r="T221" s="1433"/>
      <c r="U221" s="9"/>
      <c r="V221" s="9"/>
      <c r="W221" s="9"/>
      <c r="X221" s="9"/>
      <c r="Y221" s="9"/>
      <c r="Z221" s="9"/>
    </row>
    <row r="222" spans="1:28" x14ac:dyDescent="0.2">
      <c r="A222" s="9"/>
      <c r="B222" s="1426" t="str">
        <f>B176</f>
        <v>Financial Services</v>
      </c>
      <c r="C222" s="1309"/>
      <c r="D222" s="231"/>
      <c r="E222" s="231"/>
      <c r="F222" s="231"/>
      <c r="G222" s="231"/>
      <c r="H222" s="231"/>
      <c r="I222" s="231"/>
      <c r="J222" s="231"/>
      <c r="K222" s="231"/>
      <c r="L222" s="231"/>
      <c r="M222" s="231"/>
      <c r="N222" s="231"/>
      <c r="O222" s="231"/>
      <c r="P222" s="231"/>
      <c r="Q222" s="231"/>
      <c r="R222" s="231"/>
      <c r="S222" s="231"/>
      <c r="T222" s="1433"/>
      <c r="U222" s="9"/>
      <c r="V222" s="9"/>
      <c r="W222" s="9"/>
      <c r="X222" s="9"/>
      <c r="Y222" s="9"/>
      <c r="Z222" s="9"/>
    </row>
    <row r="223" spans="1:28" x14ac:dyDescent="0.2">
      <c r="A223" s="9"/>
      <c r="B223" s="1426" t="str">
        <f>B177</f>
        <v>Information Services</v>
      </c>
      <c r="C223" s="1309"/>
      <c r="D223" s="231">
        <f>ROUND(R85/($R$116)*$F$24,-2)</f>
        <v>153000</v>
      </c>
      <c r="E223" s="231"/>
      <c r="F223" s="231"/>
      <c r="G223" s="231"/>
      <c r="H223" s="231"/>
      <c r="I223" s="231"/>
      <c r="J223" s="231"/>
      <c r="K223" s="231"/>
      <c r="L223" s="231"/>
      <c r="M223" s="231"/>
      <c r="N223" s="231"/>
      <c r="O223" s="231"/>
      <c r="P223" s="231"/>
      <c r="Q223" s="231"/>
      <c r="R223" s="231"/>
      <c r="S223" s="231"/>
      <c r="T223" s="1433"/>
      <c r="U223" s="9"/>
      <c r="V223" s="9"/>
      <c r="W223" s="9"/>
      <c r="X223" s="9"/>
      <c r="Y223" s="9"/>
      <c r="Z223" s="9"/>
    </row>
    <row r="224" spans="1:28" ht="13.5" thickBot="1" x14ac:dyDescent="0.25">
      <c r="A224" s="9"/>
      <c r="B224" s="1431" t="str">
        <f>B178</f>
        <v>Human Resources and Risk</v>
      </c>
      <c r="C224" s="1440"/>
      <c r="D224" s="1409"/>
      <c r="E224" s="1409"/>
      <c r="F224" s="1409"/>
      <c r="G224" s="1409"/>
      <c r="H224" s="1409"/>
      <c r="I224" s="1409"/>
      <c r="J224" s="1409"/>
      <c r="K224" s="1409"/>
      <c r="L224" s="1409"/>
      <c r="M224" s="1409"/>
      <c r="N224" s="1409"/>
      <c r="O224" s="1409"/>
      <c r="P224" s="1409"/>
      <c r="Q224" s="1409"/>
      <c r="R224" s="1409"/>
      <c r="S224" s="1409"/>
      <c r="T224" s="1441"/>
      <c r="U224" s="9"/>
      <c r="V224" s="9"/>
      <c r="W224" s="9"/>
      <c r="X224" s="9"/>
      <c r="Y224" s="9"/>
      <c r="Z224" s="9"/>
    </row>
    <row r="225" spans="1:26" x14ac:dyDescent="0.2">
      <c r="A225" s="9"/>
      <c r="B225" s="1426" t="str">
        <f t="shared" ref="B225:B252" si="51">B179</f>
        <v>Property Management</v>
      </c>
      <c r="C225" s="1309">
        <f>ROUND(P88/($P$116-SUM($P$83:$P$87))*$F$23,-2)</f>
        <v>19500</v>
      </c>
      <c r="D225" s="231">
        <f>ROUND(R88/($R$116)*$F$24,-2)</f>
        <v>0</v>
      </c>
      <c r="E225" s="231">
        <f>ROUND((P88/($P$116-SUM($P$83:$P$87)))*($F$25+$D$223),-2)</f>
        <v>37300</v>
      </c>
      <c r="F225" s="231">
        <f>ROUND(U88/$U$116*$F$26,-2)</f>
        <v>0</v>
      </c>
      <c r="G225" s="231">
        <f>ROUND(T88/($T$116-SUM($T$83:$T$87))*($F$27),-2)</f>
        <v>20800</v>
      </c>
      <c r="H225" s="231"/>
      <c r="I225" s="231">
        <f>ROUND(S88/($S$116-SUM($S$83:$S$87))*($F$28),-2)</f>
        <v>7600</v>
      </c>
      <c r="J225" s="231">
        <f>ROUND(P88/($P$116-SUM($P$83:$P$87))*$F$29,-2)</f>
        <v>59500</v>
      </c>
      <c r="K225" s="231">
        <f>ROUND(P88/($P$116-SUM($P$83:$P$87))*($F$30),-2)</f>
        <v>45300</v>
      </c>
      <c r="L225" s="231"/>
      <c r="M225" s="231">
        <f>ROUND(U88/$U$116*$F$32,-2)</f>
        <v>0</v>
      </c>
      <c r="N225" s="231">
        <f>ROUND(U88/$U$116*$F$33,-2)</f>
        <v>0</v>
      </c>
      <c r="O225" s="231">
        <f>ROUND(P88/($P$116-SUM($P$83:$P$87))*($F$34),-2)</f>
        <v>4700</v>
      </c>
      <c r="P225" s="231">
        <f>ROUND(Q88/SUM($Q$88:$Q$115)*$F$35,-2)</f>
        <v>11400</v>
      </c>
      <c r="Q225" s="231">
        <f>ROUND(P88/($P$116-SUM($P$83:$P$87))*($F$36),-2)</f>
        <v>0</v>
      </c>
      <c r="R225" s="231"/>
      <c r="S225" s="231">
        <f>ROUND(SUM(C225:R225),-3)</f>
        <v>206000</v>
      </c>
      <c r="T225" s="1438">
        <f>S225/K88</f>
        <v>9.5849618462683792E-2</v>
      </c>
      <c r="U225" s="9"/>
      <c r="V225" s="9"/>
      <c r="W225" s="9"/>
      <c r="X225" s="9"/>
      <c r="Y225" s="9"/>
      <c r="Z225" s="9"/>
    </row>
    <row r="226" spans="1:26" x14ac:dyDescent="0.2">
      <c r="A226" s="9"/>
      <c r="B226" s="1426" t="str">
        <f t="shared" si="51"/>
        <v>Flat Rock</v>
      </c>
      <c r="C226" s="1309">
        <f t="shared" ref="C226:C252" si="52">ROUND(P89/($P$116-SUM($P$83:$P$87))*$F$23,-2)</f>
        <v>2000</v>
      </c>
      <c r="D226" s="231">
        <f t="shared" ref="D226:D252" si="53">ROUND(R89/($R$116)*$F$24,-2)</f>
        <v>0</v>
      </c>
      <c r="E226" s="231">
        <f t="shared" ref="E226:E252" si="54">ROUND((P89/($P$116-SUM($P$83:$P$87)))*($F$25+$D$223),-2)</f>
        <v>3800</v>
      </c>
      <c r="F226" s="231">
        <f t="shared" ref="F226:F252" si="55">ROUND(U89/$U$116*$F$26,-2)</f>
        <v>0</v>
      </c>
      <c r="G226" s="231">
        <f t="shared" ref="G226:G252" si="56">ROUND(T89/($T$116-SUM($T$83:$T$87))*($F$27),-2)</f>
        <v>6000</v>
      </c>
      <c r="H226" s="231"/>
      <c r="I226" s="231">
        <f t="shared" ref="I226:I252" si="57">ROUND(S89/($S$116-SUM($S$83:$S$87))*($F$28),-2)</f>
        <v>0</v>
      </c>
      <c r="J226" s="231">
        <f t="shared" ref="J226:J252" si="58">ROUND(P89/($P$116-SUM($P$83:$P$87))*$F$29,-2)</f>
        <v>6000</v>
      </c>
      <c r="K226" s="231">
        <f t="shared" ref="K226:K252" si="59">ROUND(P89/($P$116-SUM($P$83:$P$87))*($F$30),-2)</f>
        <v>4600</v>
      </c>
      <c r="L226" s="231"/>
      <c r="M226" s="231">
        <f t="shared" ref="M226:M252" si="60">ROUND(U89/$U$116*$F$32,-2)</f>
        <v>0</v>
      </c>
      <c r="N226" s="231">
        <f t="shared" ref="N226:N252" si="61">ROUND(U89/$U$116*$F$33,-2)</f>
        <v>0</v>
      </c>
      <c r="O226" s="231">
        <f t="shared" ref="O226:O252" si="62">ROUND(P89/($P$116-SUM($P$83:$P$87))*($F$34),-2)</f>
        <v>500</v>
      </c>
      <c r="P226" s="231">
        <f t="shared" ref="P226:P252" si="63">ROUND(Q89/SUM($Q$88:$Q$115)*$F$35,-2)</f>
        <v>1900</v>
      </c>
      <c r="Q226" s="231">
        <f t="shared" ref="Q226:Q252" si="64">ROUND(P89/($P$116-SUM($P$83:$P$87))*($F$36),-2)</f>
        <v>0</v>
      </c>
      <c r="R226" s="231"/>
      <c r="S226" s="231">
        <f>ROUND(SUM(C226:R226),-3)</f>
        <v>25000</v>
      </c>
      <c r="T226" s="1438">
        <f t="shared" ref="T226:T252" si="65">S226/K89</f>
        <v>5.9297912713472484E-2</v>
      </c>
      <c r="U226" s="9"/>
      <c r="V226" s="9"/>
      <c r="W226" s="9"/>
      <c r="X226" s="9"/>
      <c r="Y226" s="9"/>
      <c r="Z226" s="9"/>
    </row>
    <row r="227" spans="1:26" x14ac:dyDescent="0.2">
      <c r="A227" s="9"/>
      <c r="B227" s="1426" t="str">
        <f t="shared" si="51"/>
        <v>Ballina Byron Gateway Airport</v>
      </c>
      <c r="C227" s="1309">
        <f t="shared" si="52"/>
        <v>32500</v>
      </c>
      <c r="D227" s="231">
        <f t="shared" si="53"/>
        <v>0</v>
      </c>
      <c r="E227" s="231">
        <f t="shared" si="54"/>
        <v>62300</v>
      </c>
      <c r="F227" s="231">
        <f t="shared" si="55"/>
        <v>0</v>
      </c>
      <c r="G227" s="231">
        <f t="shared" si="56"/>
        <v>65500</v>
      </c>
      <c r="H227" s="231"/>
      <c r="I227" s="231">
        <f t="shared" si="57"/>
        <v>22700</v>
      </c>
      <c r="J227" s="231">
        <f t="shared" si="58"/>
        <v>99400</v>
      </c>
      <c r="K227" s="231">
        <f t="shared" si="59"/>
        <v>75700</v>
      </c>
      <c r="L227" s="231"/>
      <c r="M227" s="231">
        <f t="shared" si="60"/>
        <v>0</v>
      </c>
      <c r="N227" s="231">
        <f t="shared" si="61"/>
        <v>0</v>
      </c>
      <c r="O227" s="231">
        <f t="shared" si="62"/>
        <v>7900</v>
      </c>
      <c r="P227" s="231">
        <f t="shared" si="63"/>
        <v>24600</v>
      </c>
      <c r="Q227" s="231">
        <f t="shared" si="64"/>
        <v>0</v>
      </c>
      <c r="R227" s="231"/>
      <c r="S227" s="231">
        <f>ROUND(SUM(C227:R227),-3)</f>
        <v>391000</v>
      </c>
      <c r="T227" s="1438">
        <f t="shared" si="65"/>
        <v>7.6488194213501823E-2</v>
      </c>
      <c r="U227" s="9"/>
      <c r="V227" s="9"/>
      <c r="W227" s="9"/>
      <c r="X227" s="9"/>
      <c r="Y227" s="9"/>
      <c r="Z227" s="9"/>
    </row>
    <row r="228" spans="1:26" x14ac:dyDescent="0.2">
      <c r="A228" s="9"/>
      <c r="B228" s="1426" t="str">
        <f t="shared" si="51"/>
        <v>Strategic Planning</v>
      </c>
      <c r="C228" s="1309">
        <f t="shared" si="52"/>
        <v>10100</v>
      </c>
      <c r="D228" s="231">
        <f t="shared" si="53"/>
        <v>0</v>
      </c>
      <c r="E228" s="231">
        <f t="shared" si="54"/>
        <v>19400</v>
      </c>
      <c r="F228" s="231">
        <f t="shared" si="55"/>
        <v>0</v>
      </c>
      <c r="G228" s="231">
        <f t="shared" si="56"/>
        <v>74400</v>
      </c>
      <c r="H228" s="231"/>
      <c r="I228" s="231">
        <f t="shared" si="57"/>
        <v>0</v>
      </c>
      <c r="J228" s="231">
        <f t="shared" si="58"/>
        <v>31000</v>
      </c>
      <c r="K228" s="231">
        <f t="shared" si="59"/>
        <v>23600</v>
      </c>
      <c r="L228" s="231"/>
      <c r="M228" s="231">
        <f t="shared" si="60"/>
        <v>0</v>
      </c>
      <c r="N228" s="231">
        <f t="shared" si="61"/>
        <v>0</v>
      </c>
      <c r="O228" s="231">
        <f t="shared" si="62"/>
        <v>2500</v>
      </c>
      <c r="P228" s="231">
        <f t="shared" si="63"/>
        <v>1000</v>
      </c>
      <c r="Q228" s="231">
        <f t="shared" si="64"/>
        <v>0</v>
      </c>
      <c r="R228" s="231"/>
      <c r="S228" s="231"/>
      <c r="T228" s="1438"/>
      <c r="U228" s="9"/>
      <c r="V228" s="9"/>
      <c r="W228" s="9"/>
      <c r="X228" s="9"/>
      <c r="Y228" s="9"/>
      <c r="Z228" s="9"/>
    </row>
    <row r="229" spans="1:26" x14ac:dyDescent="0.2">
      <c r="A229" s="9"/>
      <c r="B229" s="1426" t="str">
        <f t="shared" si="51"/>
        <v>Community Centres and Halls</v>
      </c>
      <c r="C229" s="1309">
        <f t="shared" si="52"/>
        <v>11300</v>
      </c>
      <c r="D229" s="231">
        <f t="shared" si="53"/>
        <v>0</v>
      </c>
      <c r="E229" s="231">
        <f t="shared" si="54"/>
        <v>21700</v>
      </c>
      <c r="F229" s="231">
        <f t="shared" si="55"/>
        <v>0</v>
      </c>
      <c r="G229" s="231">
        <f t="shared" si="56"/>
        <v>0</v>
      </c>
      <c r="H229" s="231"/>
      <c r="I229" s="231">
        <f t="shared" si="57"/>
        <v>65700</v>
      </c>
      <c r="J229" s="231">
        <f t="shared" si="58"/>
        <v>34600</v>
      </c>
      <c r="K229" s="231">
        <f t="shared" si="59"/>
        <v>26300</v>
      </c>
      <c r="L229" s="231"/>
      <c r="M229" s="231">
        <f t="shared" si="60"/>
        <v>0</v>
      </c>
      <c r="N229" s="231">
        <f t="shared" si="61"/>
        <v>0</v>
      </c>
      <c r="O229" s="231">
        <f t="shared" si="62"/>
        <v>2700</v>
      </c>
      <c r="P229" s="231">
        <f t="shared" si="63"/>
        <v>1800</v>
      </c>
      <c r="Q229" s="231">
        <f t="shared" si="64"/>
        <v>0</v>
      </c>
      <c r="R229" s="231"/>
      <c r="S229" s="231"/>
      <c r="T229" s="1438"/>
      <c r="U229" s="9"/>
      <c r="V229" s="9"/>
      <c r="W229" s="9"/>
      <c r="X229" s="9"/>
      <c r="Y229" s="9"/>
      <c r="Z229" s="9"/>
    </row>
    <row r="230" spans="1:26" x14ac:dyDescent="0.2">
      <c r="A230" s="9"/>
      <c r="B230" s="1426" t="str">
        <f t="shared" si="51"/>
        <v>Cultural and Community Services</v>
      </c>
      <c r="C230" s="1309">
        <f t="shared" si="52"/>
        <v>6100</v>
      </c>
      <c r="D230" s="231">
        <f t="shared" si="53"/>
        <v>0</v>
      </c>
      <c r="E230" s="231">
        <f t="shared" si="54"/>
        <v>11700</v>
      </c>
      <c r="F230" s="231">
        <f t="shared" si="55"/>
        <v>0</v>
      </c>
      <c r="G230" s="231">
        <f t="shared" si="56"/>
        <v>59600</v>
      </c>
      <c r="H230" s="231"/>
      <c r="I230" s="231">
        <f t="shared" si="57"/>
        <v>22700</v>
      </c>
      <c r="J230" s="231">
        <f t="shared" si="58"/>
        <v>18600</v>
      </c>
      <c r="K230" s="231">
        <f t="shared" si="59"/>
        <v>14200</v>
      </c>
      <c r="L230" s="231"/>
      <c r="M230" s="231">
        <f t="shared" si="60"/>
        <v>0</v>
      </c>
      <c r="N230" s="231">
        <f t="shared" si="61"/>
        <v>0</v>
      </c>
      <c r="O230" s="231">
        <f t="shared" si="62"/>
        <v>1500</v>
      </c>
      <c r="P230" s="231">
        <f t="shared" si="63"/>
        <v>600</v>
      </c>
      <c r="Q230" s="231">
        <f t="shared" si="64"/>
        <v>0</v>
      </c>
      <c r="R230" s="231"/>
      <c r="S230" s="231"/>
      <c r="T230" s="1438"/>
      <c r="U230" s="9"/>
      <c r="V230" s="9"/>
      <c r="W230" s="9"/>
      <c r="X230" s="9"/>
      <c r="Y230" s="9"/>
      <c r="Z230" s="9"/>
    </row>
    <row r="231" spans="1:26" x14ac:dyDescent="0.2">
      <c r="A231" s="9"/>
      <c r="B231" s="1426" t="str">
        <f t="shared" si="51"/>
        <v>Library Services</v>
      </c>
      <c r="C231" s="1309">
        <f t="shared" si="52"/>
        <v>11300</v>
      </c>
      <c r="D231" s="231">
        <f t="shared" si="53"/>
        <v>0</v>
      </c>
      <c r="E231" s="231">
        <f t="shared" si="54"/>
        <v>21600</v>
      </c>
      <c r="F231" s="231">
        <f t="shared" si="55"/>
        <v>0</v>
      </c>
      <c r="G231" s="231">
        <f t="shared" si="56"/>
        <v>0</v>
      </c>
      <c r="H231" s="231"/>
      <c r="I231" s="231">
        <f t="shared" si="57"/>
        <v>0</v>
      </c>
      <c r="J231" s="231">
        <f t="shared" si="58"/>
        <v>34400</v>
      </c>
      <c r="K231" s="231">
        <f t="shared" si="59"/>
        <v>26200</v>
      </c>
      <c r="L231" s="231"/>
      <c r="M231" s="231">
        <f t="shared" si="60"/>
        <v>0</v>
      </c>
      <c r="N231" s="231">
        <f t="shared" si="61"/>
        <v>0</v>
      </c>
      <c r="O231" s="231">
        <f t="shared" si="62"/>
        <v>2700</v>
      </c>
      <c r="P231" s="231">
        <f t="shared" si="63"/>
        <v>500</v>
      </c>
      <c r="Q231" s="231">
        <f t="shared" si="64"/>
        <v>0</v>
      </c>
      <c r="R231" s="231"/>
      <c r="S231" s="231"/>
      <c r="T231" s="1438"/>
      <c r="U231" s="9"/>
      <c r="V231" s="9"/>
      <c r="W231" s="9"/>
      <c r="X231" s="9"/>
      <c r="Y231" s="9"/>
      <c r="Z231" s="9"/>
    </row>
    <row r="232" spans="1:26" x14ac:dyDescent="0.2">
      <c r="A232" s="9"/>
      <c r="B232" s="1426" t="str">
        <f t="shared" si="51"/>
        <v>Swimming Pools</v>
      </c>
      <c r="C232" s="1309">
        <f t="shared" si="52"/>
        <v>5900</v>
      </c>
      <c r="D232" s="231">
        <f t="shared" si="53"/>
        <v>0</v>
      </c>
      <c r="E232" s="231">
        <f t="shared" si="54"/>
        <v>11300</v>
      </c>
      <c r="F232" s="231">
        <f t="shared" si="55"/>
        <v>0</v>
      </c>
      <c r="G232" s="231">
        <f t="shared" si="56"/>
        <v>0</v>
      </c>
      <c r="H232" s="231"/>
      <c r="I232" s="231">
        <f t="shared" si="57"/>
        <v>0</v>
      </c>
      <c r="J232" s="231">
        <f t="shared" si="58"/>
        <v>18100</v>
      </c>
      <c r="K232" s="231">
        <f t="shared" si="59"/>
        <v>13800</v>
      </c>
      <c r="L232" s="231"/>
      <c r="M232" s="231">
        <f t="shared" si="60"/>
        <v>0</v>
      </c>
      <c r="N232" s="231">
        <f t="shared" si="61"/>
        <v>0</v>
      </c>
      <c r="O232" s="231">
        <f t="shared" si="62"/>
        <v>1400</v>
      </c>
      <c r="P232" s="231">
        <f t="shared" si="63"/>
        <v>1700</v>
      </c>
      <c r="Q232" s="231">
        <f t="shared" si="64"/>
        <v>0</v>
      </c>
      <c r="R232" s="231"/>
      <c r="S232" s="231"/>
      <c r="T232" s="1438"/>
      <c r="U232" s="9"/>
      <c r="V232" s="9"/>
      <c r="W232" s="9"/>
      <c r="X232" s="9"/>
      <c r="Y232" s="9"/>
      <c r="Z232" s="9"/>
    </row>
    <row r="233" spans="1:26" x14ac:dyDescent="0.2">
      <c r="A233" s="9"/>
      <c r="B233" s="1426" t="str">
        <f t="shared" si="51"/>
        <v>Tourism and Communications</v>
      </c>
      <c r="C233" s="1309">
        <f t="shared" si="52"/>
        <v>4900</v>
      </c>
      <c r="D233" s="231">
        <f t="shared" si="53"/>
        <v>0</v>
      </c>
      <c r="E233" s="231">
        <f t="shared" si="54"/>
        <v>9400</v>
      </c>
      <c r="F233" s="231">
        <f t="shared" si="55"/>
        <v>0</v>
      </c>
      <c r="G233" s="231">
        <f t="shared" si="56"/>
        <v>29800</v>
      </c>
      <c r="H233" s="231"/>
      <c r="I233" s="231">
        <f t="shared" si="57"/>
        <v>8500</v>
      </c>
      <c r="J233" s="231">
        <f t="shared" si="58"/>
        <v>14900</v>
      </c>
      <c r="K233" s="231">
        <f t="shared" si="59"/>
        <v>11400</v>
      </c>
      <c r="L233" s="231"/>
      <c r="M233" s="231">
        <f t="shared" si="60"/>
        <v>0</v>
      </c>
      <c r="N233" s="231">
        <f t="shared" si="61"/>
        <v>0</v>
      </c>
      <c r="O233" s="231">
        <f t="shared" si="62"/>
        <v>1200</v>
      </c>
      <c r="P233" s="231">
        <f t="shared" si="63"/>
        <v>500</v>
      </c>
      <c r="Q233" s="231">
        <f t="shared" si="64"/>
        <v>0</v>
      </c>
      <c r="R233" s="231"/>
      <c r="S233" s="231"/>
      <c r="T233" s="1438"/>
      <c r="U233" s="9"/>
      <c r="V233" s="9"/>
      <c r="W233" s="9"/>
      <c r="X233" s="9"/>
      <c r="Y233" s="9"/>
      <c r="Z233" s="9"/>
    </row>
    <row r="234" spans="1:26" x14ac:dyDescent="0.2">
      <c r="A234" s="9"/>
      <c r="B234" s="1426" t="str">
        <f t="shared" si="51"/>
        <v>Development Services</v>
      </c>
      <c r="C234" s="1309">
        <f t="shared" si="52"/>
        <v>8500</v>
      </c>
      <c r="D234" s="231">
        <f t="shared" si="53"/>
        <v>0</v>
      </c>
      <c r="E234" s="231">
        <f t="shared" si="54"/>
        <v>16300</v>
      </c>
      <c r="F234" s="231">
        <f t="shared" si="55"/>
        <v>0</v>
      </c>
      <c r="G234" s="231">
        <f t="shared" si="56"/>
        <v>80400</v>
      </c>
      <c r="H234" s="231"/>
      <c r="I234" s="231">
        <f t="shared" si="57"/>
        <v>32900</v>
      </c>
      <c r="J234" s="231">
        <f t="shared" si="58"/>
        <v>26000</v>
      </c>
      <c r="K234" s="231">
        <f t="shared" si="59"/>
        <v>19800</v>
      </c>
      <c r="L234" s="231"/>
      <c r="M234" s="231">
        <f t="shared" si="60"/>
        <v>0</v>
      </c>
      <c r="N234" s="231">
        <f t="shared" si="61"/>
        <v>0</v>
      </c>
      <c r="O234" s="231">
        <f t="shared" si="62"/>
        <v>2100</v>
      </c>
      <c r="P234" s="231">
        <f t="shared" si="63"/>
        <v>3000</v>
      </c>
      <c r="Q234" s="231">
        <f t="shared" si="64"/>
        <v>0</v>
      </c>
      <c r="R234" s="231"/>
      <c r="S234" s="231"/>
      <c r="T234" s="1438"/>
      <c r="U234" s="9"/>
      <c r="V234" s="9"/>
      <c r="W234" s="9"/>
      <c r="X234" s="9"/>
      <c r="Y234" s="9"/>
      <c r="Z234" s="9"/>
    </row>
    <row r="235" spans="1:26" x14ac:dyDescent="0.2">
      <c r="A235" s="9"/>
      <c r="B235" s="1426" t="str">
        <f t="shared" si="51"/>
        <v>Building Services</v>
      </c>
      <c r="C235" s="1309">
        <f t="shared" si="52"/>
        <v>6400</v>
      </c>
      <c r="D235" s="231">
        <f t="shared" si="53"/>
        <v>0</v>
      </c>
      <c r="E235" s="231">
        <f t="shared" si="54"/>
        <v>12300</v>
      </c>
      <c r="F235" s="231">
        <f t="shared" si="55"/>
        <v>0</v>
      </c>
      <c r="G235" s="231">
        <f t="shared" si="56"/>
        <v>83400</v>
      </c>
      <c r="H235" s="231"/>
      <c r="I235" s="231">
        <f t="shared" si="57"/>
        <v>26500</v>
      </c>
      <c r="J235" s="231">
        <f t="shared" si="58"/>
        <v>19700</v>
      </c>
      <c r="K235" s="231">
        <f t="shared" si="59"/>
        <v>15000</v>
      </c>
      <c r="L235" s="231"/>
      <c r="M235" s="231">
        <f t="shared" si="60"/>
        <v>0</v>
      </c>
      <c r="N235" s="231">
        <f t="shared" si="61"/>
        <v>0</v>
      </c>
      <c r="O235" s="231">
        <f t="shared" si="62"/>
        <v>1600</v>
      </c>
      <c r="P235" s="231">
        <f t="shared" si="63"/>
        <v>6200</v>
      </c>
      <c r="Q235" s="231">
        <f t="shared" si="64"/>
        <v>0</v>
      </c>
      <c r="R235" s="231"/>
      <c r="S235" s="231"/>
      <c r="T235" s="1438"/>
      <c r="U235" s="9"/>
      <c r="V235" s="9"/>
      <c r="W235" s="9"/>
      <c r="X235" s="9"/>
      <c r="Y235" s="9"/>
      <c r="Z235" s="9"/>
    </row>
    <row r="236" spans="1:26" x14ac:dyDescent="0.2">
      <c r="A236" s="9"/>
      <c r="B236" s="1426" t="str">
        <f t="shared" si="51"/>
        <v>Environmental and Public Health</v>
      </c>
      <c r="C236" s="1309">
        <f t="shared" si="52"/>
        <v>5700</v>
      </c>
      <c r="D236" s="231">
        <f t="shared" si="53"/>
        <v>0</v>
      </c>
      <c r="E236" s="231">
        <f t="shared" si="54"/>
        <v>10900</v>
      </c>
      <c r="F236" s="231">
        <f t="shared" si="55"/>
        <v>0</v>
      </c>
      <c r="G236" s="231">
        <f t="shared" si="56"/>
        <v>89300</v>
      </c>
      <c r="H236" s="231"/>
      <c r="I236" s="231">
        <f t="shared" si="57"/>
        <v>25700</v>
      </c>
      <c r="J236" s="231">
        <f t="shared" si="58"/>
        <v>17400</v>
      </c>
      <c r="K236" s="231">
        <f t="shared" si="59"/>
        <v>13200</v>
      </c>
      <c r="L236" s="231"/>
      <c r="M236" s="231">
        <f t="shared" si="60"/>
        <v>0</v>
      </c>
      <c r="N236" s="231">
        <f t="shared" si="61"/>
        <v>0</v>
      </c>
      <c r="O236" s="231">
        <f t="shared" si="62"/>
        <v>1400</v>
      </c>
      <c r="P236" s="231">
        <f t="shared" si="63"/>
        <v>1200</v>
      </c>
      <c r="Q236" s="231">
        <f t="shared" si="64"/>
        <v>0</v>
      </c>
      <c r="R236" s="231"/>
      <c r="S236" s="231"/>
      <c r="T236" s="1438"/>
      <c r="U236" s="9"/>
      <c r="V236" s="9"/>
      <c r="W236" s="9"/>
      <c r="X236" s="9"/>
      <c r="Y236" s="9"/>
      <c r="Z236" s="9"/>
    </row>
    <row r="237" spans="1:26" x14ac:dyDescent="0.2">
      <c r="A237" s="9"/>
      <c r="B237" s="1426" t="str">
        <f t="shared" si="51"/>
        <v>Administration and Public Order</v>
      </c>
      <c r="C237" s="1309">
        <f t="shared" si="52"/>
        <v>8400</v>
      </c>
      <c r="D237" s="231">
        <f t="shared" si="53"/>
        <v>0</v>
      </c>
      <c r="E237" s="231">
        <f t="shared" si="54"/>
        <v>16200</v>
      </c>
      <c r="F237" s="231">
        <f t="shared" si="55"/>
        <v>0</v>
      </c>
      <c r="G237" s="231">
        <f t="shared" si="56"/>
        <v>131000</v>
      </c>
      <c r="H237" s="231"/>
      <c r="I237" s="231">
        <f t="shared" si="57"/>
        <v>45000</v>
      </c>
      <c r="J237" s="231">
        <f t="shared" si="58"/>
        <v>25800</v>
      </c>
      <c r="K237" s="231">
        <f t="shared" si="59"/>
        <v>19600</v>
      </c>
      <c r="L237" s="231"/>
      <c r="M237" s="231">
        <f t="shared" si="60"/>
        <v>0</v>
      </c>
      <c r="N237" s="231">
        <f t="shared" si="61"/>
        <v>0</v>
      </c>
      <c r="O237" s="231">
        <f t="shared" si="62"/>
        <v>2000</v>
      </c>
      <c r="P237" s="231">
        <f t="shared" si="63"/>
        <v>900</v>
      </c>
      <c r="Q237" s="231">
        <f t="shared" si="64"/>
        <v>0</v>
      </c>
      <c r="R237" s="231"/>
      <c r="S237" s="231"/>
      <c r="T237" s="1438"/>
      <c r="U237" s="9"/>
      <c r="V237" s="9"/>
      <c r="W237" s="9"/>
      <c r="X237" s="9"/>
      <c r="Y237" s="9"/>
      <c r="Z237" s="9"/>
    </row>
    <row r="238" spans="1:26" x14ac:dyDescent="0.2">
      <c r="A238" s="9"/>
      <c r="B238" s="1426" t="str">
        <f t="shared" si="51"/>
        <v>Engineering Management</v>
      </c>
      <c r="C238" s="1309">
        <f t="shared" si="52"/>
        <v>17800</v>
      </c>
      <c r="D238" s="231">
        <f t="shared" si="53"/>
        <v>0</v>
      </c>
      <c r="E238" s="231">
        <f t="shared" si="54"/>
        <v>34100</v>
      </c>
      <c r="F238" s="231">
        <f t="shared" si="55"/>
        <v>0</v>
      </c>
      <c r="G238" s="231">
        <f t="shared" si="56"/>
        <v>428800</v>
      </c>
      <c r="H238" s="231"/>
      <c r="I238" s="231">
        <f t="shared" si="57"/>
        <v>88800</v>
      </c>
      <c r="J238" s="231">
        <f t="shared" si="58"/>
        <v>54400</v>
      </c>
      <c r="K238" s="231">
        <f t="shared" si="59"/>
        <v>41400</v>
      </c>
      <c r="L238" s="231">
        <f>ROUND(P101/SUM($P$101:$P$115)*$F$31,-2)</f>
        <v>40600</v>
      </c>
      <c r="M238" s="231">
        <f t="shared" si="60"/>
        <v>0</v>
      </c>
      <c r="N238" s="231">
        <f t="shared" si="61"/>
        <v>0</v>
      </c>
      <c r="O238" s="231">
        <f t="shared" si="62"/>
        <v>4300</v>
      </c>
      <c r="P238" s="231">
        <f t="shared" si="63"/>
        <v>1300</v>
      </c>
      <c r="Q238" s="231">
        <f t="shared" si="64"/>
        <v>0</v>
      </c>
      <c r="R238" s="231">
        <f>ROUND(F37/3,-2)</f>
        <v>39500</v>
      </c>
      <c r="S238" s="231"/>
      <c r="T238" s="1438"/>
      <c r="U238" s="9"/>
      <c r="V238" s="9"/>
      <c r="W238" s="9"/>
      <c r="X238" s="9"/>
      <c r="Y238" s="9"/>
      <c r="Z238" s="9"/>
    </row>
    <row r="239" spans="1:26" x14ac:dyDescent="0.2">
      <c r="A239" s="9"/>
      <c r="B239" s="1426" t="str">
        <f t="shared" si="51"/>
        <v>Procurement and Building Management</v>
      </c>
      <c r="C239" s="1309">
        <f t="shared" si="52"/>
        <v>24600</v>
      </c>
      <c r="D239" s="231">
        <f t="shared" si="53"/>
        <v>0</v>
      </c>
      <c r="E239" s="231">
        <f t="shared" si="54"/>
        <v>47100</v>
      </c>
      <c r="F239" s="231">
        <f t="shared" si="55"/>
        <v>0</v>
      </c>
      <c r="G239" s="231">
        <f t="shared" si="56"/>
        <v>166700</v>
      </c>
      <c r="H239" s="231"/>
      <c r="I239" s="231">
        <f t="shared" si="57"/>
        <v>18900</v>
      </c>
      <c r="J239" s="231">
        <f t="shared" si="58"/>
        <v>75200</v>
      </c>
      <c r="K239" s="231">
        <f t="shared" si="59"/>
        <v>57200</v>
      </c>
      <c r="L239" s="231">
        <f t="shared" ref="L239:L252" si="66">ROUND(P102/SUM($P$101:$P$115)*$F$31,-2)</f>
        <v>56100</v>
      </c>
      <c r="M239" s="231">
        <f t="shared" si="60"/>
        <v>0</v>
      </c>
      <c r="N239" s="231">
        <f t="shared" si="61"/>
        <v>0</v>
      </c>
      <c r="O239" s="231">
        <f t="shared" si="62"/>
        <v>6000</v>
      </c>
      <c r="P239" s="231">
        <f t="shared" si="63"/>
        <v>0</v>
      </c>
      <c r="Q239" s="231">
        <f t="shared" si="64"/>
        <v>0</v>
      </c>
      <c r="R239" s="231"/>
      <c r="S239" s="231"/>
      <c r="T239" s="1438"/>
      <c r="U239" s="9"/>
      <c r="V239" s="9"/>
      <c r="W239" s="9"/>
      <c r="X239" s="9"/>
      <c r="Y239" s="9"/>
      <c r="Z239" s="9"/>
    </row>
    <row r="240" spans="1:26" x14ac:dyDescent="0.2">
      <c r="A240" s="9"/>
      <c r="B240" s="1426" t="str">
        <f t="shared" si="51"/>
        <v>Stormwater and Env</v>
      </c>
      <c r="C240" s="1309">
        <f t="shared" si="52"/>
        <v>15800</v>
      </c>
      <c r="D240" s="231">
        <f t="shared" si="53"/>
        <v>0</v>
      </c>
      <c r="E240" s="231">
        <f t="shared" si="54"/>
        <v>30300</v>
      </c>
      <c r="F240" s="231">
        <f t="shared" si="55"/>
        <v>39900</v>
      </c>
      <c r="G240" s="231">
        <f t="shared" si="56"/>
        <v>0</v>
      </c>
      <c r="H240" s="231"/>
      <c r="I240" s="231">
        <f t="shared" si="57"/>
        <v>0</v>
      </c>
      <c r="J240" s="231">
        <f t="shared" si="58"/>
        <v>48400</v>
      </c>
      <c r="K240" s="231">
        <f t="shared" si="59"/>
        <v>36800</v>
      </c>
      <c r="L240" s="231">
        <f t="shared" si="66"/>
        <v>36100</v>
      </c>
      <c r="M240" s="231">
        <f t="shared" si="60"/>
        <v>45800</v>
      </c>
      <c r="N240" s="231">
        <f t="shared" si="61"/>
        <v>56800</v>
      </c>
      <c r="O240" s="231">
        <f t="shared" si="62"/>
        <v>3800</v>
      </c>
      <c r="P240" s="231">
        <f t="shared" si="63"/>
        <v>2500</v>
      </c>
      <c r="Q240" s="231">
        <f t="shared" si="64"/>
        <v>0</v>
      </c>
      <c r="R240" s="231"/>
      <c r="S240" s="231"/>
      <c r="T240" s="1438"/>
      <c r="U240" s="9"/>
      <c r="V240" s="9"/>
      <c r="W240" s="9"/>
      <c r="X240" s="9"/>
      <c r="Y240" s="9"/>
      <c r="Z240" s="9"/>
    </row>
    <row r="241" spans="1:26" x14ac:dyDescent="0.2">
      <c r="A241" s="9"/>
      <c r="B241" s="1426" t="str">
        <f t="shared" si="51"/>
        <v>Roads and Bridges</v>
      </c>
      <c r="C241" s="1309">
        <f t="shared" si="52"/>
        <v>54700</v>
      </c>
      <c r="D241" s="231">
        <f t="shared" si="53"/>
        <v>0</v>
      </c>
      <c r="E241" s="231">
        <f t="shared" si="54"/>
        <v>104900</v>
      </c>
      <c r="F241" s="231">
        <f t="shared" si="55"/>
        <v>265700</v>
      </c>
      <c r="G241" s="231">
        <f t="shared" si="56"/>
        <v>74400</v>
      </c>
      <c r="H241" s="231"/>
      <c r="I241" s="231">
        <f t="shared" si="57"/>
        <v>230500</v>
      </c>
      <c r="J241" s="231">
        <f t="shared" si="58"/>
        <v>167400</v>
      </c>
      <c r="K241" s="231">
        <f t="shared" si="59"/>
        <v>127300</v>
      </c>
      <c r="L241" s="231">
        <f t="shared" si="66"/>
        <v>124900</v>
      </c>
      <c r="M241" s="231">
        <f t="shared" si="60"/>
        <v>304600</v>
      </c>
      <c r="N241" s="231">
        <f t="shared" si="61"/>
        <v>378000</v>
      </c>
      <c r="O241" s="231">
        <f t="shared" si="62"/>
        <v>13300</v>
      </c>
      <c r="P241" s="231">
        <f t="shared" si="63"/>
        <v>11200</v>
      </c>
      <c r="Q241" s="231">
        <f t="shared" si="64"/>
        <v>0</v>
      </c>
      <c r="R241" s="231"/>
      <c r="S241" s="231"/>
      <c r="T241" s="1438"/>
      <c r="U241" s="9"/>
      <c r="V241" s="9"/>
      <c r="W241" s="9"/>
      <c r="X241" s="9"/>
      <c r="Y241" s="9"/>
      <c r="Z241" s="9"/>
    </row>
    <row r="242" spans="1:26" x14ac:dyDescent="0.2">
      <c r="A242" s="9"/>
      <c r="B242" s="1426" t="str">
        <f t="shared" si="51"/>
        <v>Ancillary Transport Services</v>
      </c>
      <c r="C242" s="1309">
        <f t="shared" si="52"/>
        <v>15900</v>
      </c>
      <c r="D242" s="231">
        <f t="shared" si="53"/>
        <v>0</v>
      </c>
      <c r="E242" s="231">
        <f t="shared" si="54"/>
        <v>30400</v>
      </c>
      <c r="F242" s="231">
        <f t="shared" si="55"/>
        <v>0</v>
      </c>
      <c r="G242" s="231">
        <f t="shared" si="56"/>
        <v>3000</v>
      </c>
      <c r="H242" s="231"/>
      <c r="I242" s="231">
        <f t="shared" si="57"/>
        <v>18900</v>
      </c>
      <c r="J242" s="231">
        <f t="shared" si="58"/>
        <v>48500</v>
      </c>
      <c r="K242" s="231">
        <f t="shared" si="59"/>
        <v>36900</v>
      </c>
      <c r="L242" s="231">
        <f t="shared" si="66"/>
        <v>36200</v>
      </c>
      <c r="M242" s="231">
        <f t="shared" si="60"/>
        <v>0</v>
      </c>
      <c r="N242" s="231">
        <f t="shared" si="61"/>
        <v>0</v>
      </c>
      <c r="O242" s="231">
        <f t="shared" si="62"/>
        <v>3900</v>
      </c>
      <c r="P242" s="231">
        <f t="shared" si="63"/>
        <v>4200</v>
      </c>
      <c r="Q242" s="231">
        <f t="shared" si="64"/>
        <v>0</v>
      </c>
      <c r="R242" s="231"/>
      <c r="S242" s="231"/>
      <c r="T242" s="1438"/>
      <c r="U242" s="9"/>
      <c r="V242" s="9"/>
      <c r="W242" s="9"/>
      <c r="X242" s="9"/>
      <c r="Y242" s="9"/>
      <c r="Z242" s="9"/>
    </row>
    <row r="243" spans="1:26" x14ac:dyDescent="0.2">
      <c r="A243" s="9"/>
      <c r="B243" s="1426" t="str">
        <f t="shared" si="51"/>
        <v>Roads and Maritime Services</v>
      </c>
      <c r="C243" s="1309">
        <f t="shared" si="52"/>
        <v>6100</v>
      </c>
      <c r="D243" s="231">
        <f t="shared" si="53"/>
        <v>0</v>
      </c>
      <c r="E243" s="231">
        <f t="shared" si="54"/>
        <v>11600</v>
      </c>
      <c r="F243" s="231">
        <f t="shared" si="55"/>
        <v>0</v>
      </c>
      <c r="G243" s="231">
        <f t="shared" si="56"/>
        <v>0</v>
      </c>
      <c r="H243" s="231"/>
      <c r="I243" s="231">
        <f t="shared" si="57"/>
        <v>0</v>
      </c>
      <c r="J243" s="231">
        <f t="shared" si="58"/>
        <v>18500</v>
      </c>
      <c r="K243" s="231">
        <f t="shared" si="59"/>
        <v>14100</v>
      </c>
      <c r="L243" s="231">
        <f t="shared" si="66"/>
        <v>13800</v>
      </c>
      <c r="M243" s="231">
        <f t="shared" si="60"/>
        <v>0</v>
      </c>
      <c r="N243" s="231">
        <f t="shared" si="61"/>
        <v>0</v>
      </c>
      <c r="O243" s="231">
        <f t="shared" si="62"/>
        <v>1500</v>
      </c>
      <c r="P243" s="231">
        <f t="shared" si="63"/>
        <v>4300</v>
      </c>
      <c r="Q243" s="231">
        <f t="shared" si="64"/>
        <v>0</v>
      </c>
      <c r="R243" s="231"/>
      <c r="S243" s="231"/>
      <c r="T243" s="1438"/>
      <c r="U243" s="9"/>
      <c r="V243" s="9"/>
      <c r="W243" s="9"/>
      <c r="X243" s="9"/>
      <c r="Y243" s="9"/>
      <c r="Z243" s="9"/>
    </row>
    <row r="244" spans="1:26" x14ac:dyDescent="0.2">
      <c r="A244" s="9"/>
      <c r="B244" s="1426" t="str">
        <f t="shared" si="51"/>
        <v>Open Spaces and Reserves</v>
      </c>
      <c r="C244" s="1309">
        <f t="shared" si="52"/>
        <v>26100</v>
      </c>
      <c r="D244" s="231">
        <f t="shared" si="53"/>
        <v>0</v>
      </c>
      <c r="E244" s="231">
        <f t="shared" si="54"/>
        <v>50000</v>
      </c>
      <c r="F244" s="231">
        <f t="shared" si="55"/>
        <v>0</v>
      </c>
      <c r="G244" s="231">
        <f t="shared" si="56"/>
        <v>56600</v>
      </c>
      <c r="H244" s="231"/>
      <c r="I244" s="231">
        <f t="shared" si="57"/>
        <v>131500</v>
      </c>
      <c r="J244" s="231">
        <f t="shared" si="58"/>
        <v>79800</v>
      </c>
      <c r="K244" s="231">
        <f t="shared" si="59"/>
        <v>60700</v>
      </c>
      <c r="L244" s="231">
        <f t="shared" si="66"/>
        <v>59600</v>
      </c>
      <c r="M244" s="231">
        <f t="shared" si="60"/>
        <v>0</v>
      </c>
      <c r="N244" s="231">
        <f t="shared" si="61"/>
        <v>0</v>
      </c>
      <c r="O244" s="231">
        <f t="shared" si="62"/>
        <v>6300</v>
      </c>
      <c r="P244" s="231">
        <f t="shared" si="63"/>
        <v>3400</v>
      </c>
      <c r="Q244" s="231">
        <f t="shared" si="64"/>
        <v>0</v>
      </c>
      <c r="R244" s="231"/>
      <c r="S244" s="231"/>
      <c r="T244" s="1438"/>
      <c r="U244" s="9"/>
      <c r="V244" s="9"/>
      <c r="W244" s="9"/>
      <c r="X244" s="9"/>
      <c r="Y244" s="9"/>
      <c r="Z244" s="9"/>
    </row>
    <row r="245" spans="1:26" x14ac:dyDescent="0.2">
      <c r="A245" s="9"/>
      <c r="B245" s="1426" t="str">
        <f t="shared" si="51"/>
        <v>Fleet Management and Workshop</v>
      </c>
      <c r="C245" s="1309">
        <f t="shared" si="52"/>
        <v>26900</v>
      </c>
      <c r="D245" s="231">
        <f t="shared" si="53"/>
        <v>0</v>
      </c>
      <c r="E245" s="231">
        <f t="shared" si="54"/>
        <v>51700</v>
      </c>
      <c r="F245" s="231">
        <f t="shared" si="55"/>
        <v>0</v>
      </c>
      <c r="G245" s="231">
        <f t="shared" si="56"/>
        <v>20800</v>
      </c>
      <c r="H245" s="231"/>
      <c r="I245" s="231">
        <f t="shared" si="57"/>
        <v>41600</v>
      </c>
      <c r="J245" s="231">
        <f t="shared" si="58"/>
        <v>82400</v>
      </c>
      <c r="K245" s="231">
        <f t="shared" si="59"/>
        <v>62700</v>
      </c>
      <c r="L245" s="231">
        <f t="shared" si="66"/>
        <v>61500</v>
      </c>
      <c r="M245" s="231">
        <f t="shared" si="60"/>
        <v>0</v>
      </c>
      <c r="N245" s="231">
        <f t="shared" si="61"/>
        <v>0</v>
      </c>
      <c r="O245" s="231">
        <f t="shared" si="62"/>
        <v>6500</v>
      </c>
      <c r="P245" s="231">
        <f t="shared" si="63"/>
        <v>1100</v>
      </c>
      <c r="Q245" s="231">
        <f t="shared" si="64"/>
        <v>0</v>
      </c>
      <c r="R245" s="231"/>
      <c r="S245" s="231">
        <f>ROUND(SUM(C245:R245),-3)</f>
        <v>355000</v>
      </c>
      <c r="T245" s="1438">
        <f t="shared" si="65"/>
        <v>1.25</v>
      </c>
      <c r="U245" s="9"/>
      <c r="V245" s="9"/>
      <c r="W245" s="9"/>
      <c r="X245" s="9"/>
      <c r="Y245" s="9"/>
      <c r="Z245" s="9"/>
    </row>
    <row r="246" spans="1:26" x14ac:dyDescent="0.2">
      <c r="A246" s="9"/>
      <c r="B246" s="1426" t="str">
        <f t="shared" si="51"/>
        <v>Rural Fire Service</v>
      </c>
      <c r="C246" s="1309">
        <f t="shared" si="52"/>
        <v>2600</v>
      </c>
      <c r="D246" s="231">
        <f t="shared" si="53"/>
        <v>0</v>
      </c>
      <c r="E246" s="231">
        <f t="shared" si="54"/>
        <v>5000</v>
      </c>
      <c r="F246" s="231">
        <f t="shared" si="55"/>
        <v>0</v>
      </c>
      <c r="G246" s="231">
        <f t="shared" si="56"/>
        <v>0</v>
      </c>
      <c r="H246" s="231"/>
      <c r="I246" s="231">
        <f t="shared" si="57"/>
        <v>0</v>
      </c>
      <c r="J246" s="231">
        <f t="shared" si="58"/>
        <v>8000</v>
      </c>
      <c r="K246" s="231">
        <f t="shared" si="59"/>
        <v>6100</v>
      </c>
      <c r="L246" s="231">
        <f t="shared" si="66"/>
        <v>6000</v>
      </c>
      <c r="M246" s="231">
        <f t="shared" si="60"/>
        <v>0</v>
      </c>
      <c r="N246" s="231">
        <f t="shared" si="61"/>
        <v>0</v>
      </c>
      <c r="O246" s="231">
        <f t="shared" si="62"/>
        <v>600</v>
      </c>
      <c r="P246" s="231">
        <f t="shared" si="63"/>
        <v>1000</v>
      </c>
      <c r="Q246" s="231">
        <f t="shared" si="64"/>
        <v>0</v>
      </c>
      <c r="R246" s="231"/>
      <c r="S246" s="231"/>
      <c r="T246" s="1438"/>
      <c r="U246" s="9"/>
      <c r="V246" s="9"/>
      <c r="W246" s="9"/>
      <c r="X246" s="9"/>
      <c r="Y246" s="9"/>
      <c r="Z246" s="9"/>
    </row>
    <row r="247" spans="1:26" x14ac:dyDescent="0.2">
      <c r="A247" s="9"/>
      <c r="B247" s="1426" t="str">
        <f t="shared" si="51"/>
        <v>Quarries and Sandpit</v>
      </c>
      <c r="C247" s="1309">
        <f t="shared" si="52"/>
        <v>4900</v>
      </c>
      <c r="D247" s="231">
        <f t="shared" si="53"/>
        <v>0</v>
      </c>
      <c r="E247" s="231">
        <f t="shared" si="54"/>
        <v>9400</v>
      </c>
      <c r="F247" s="231">
        <f t="shared" si="55"/>
        <v>0</v>
      </c>
      <c r="G247" s="231">
        <f t="shared" si="56"/>
        <v>0</v>
      </c>
      <c r="H247" s="231"/>
      <c r="I247" s="231">
        <f t="shared" si="57"/>
        <v>0</v>
      </c>
      <c r="J247" s="231">
        <f t="shared" si="58"/>
        <v>15100</v>
      </c>
      <c r="K247" s="231">
        <f t="shared" si="59"/>
        <v>11500</v>
      </c>
      <c r="L247" s="231">
        <f t="shared" si="66"/>
        <v>11200</v>
      </c>
      <c r="M247" s="231">
        <f t="shared" si="60"/>
        <v>0</v>
      </c>
      <c r="N247" s="231">
        <f t="shared" si="61"/>
        <v>0</v>
      </c>
      <c r="O247" s="231">
        <f t="shared" si="62"/>
        <v>1200</v>
      </c>
      <c r="P247" s="231">
        <f t="shared" si="63"/>
        <v>300</v>
      </c>
      <c r="Q247" s="231">
        <f t="shared" si="64"/>
        <v>0</v>
      </c>
      <c r="R247" s="231"/>
      <c r="S247" s="231"/>
      <c r="T247" s="1438">
        <f t="shared" si="65"/>
        <v>0</v>
      </c>
      <c r="U247" s="9"/>
      <c r="V247" s="9" t="s">
        <v>7013</v>
      </c>
      <c r="W247" s="9"/>
      <c r="X247" s="9"/>
      <c r="Y247" s="9"/>
      <c r="Z247" s="9"/>
    </row>
    <row r="248" spans="1:26" x14ac:dyDescent="0.2">
      <c r="A248" s="9"/>
      <c r="B248" s="1426" t="str">
        <f t="shared" si="51"/>
        <v>Landfill and Resource Management</v>
      </c>
      <c r="C248" s="1309">
        <f t="shared" si="52"/>
        <v>41600</v>
      </c>
      <c r="D248" s="231">
        <f t="shared" si="53"/>
        <v>14700</v>
      </c>
      <c r="E248" s="231">
        <f t="shared" si="54"/>
        <v>79700</v>
      </c>
      <c r="F248" s="231">
        <f t="shared" si="55"/>
        <v>200</v>
      </c>
      <c r="G248" s="231">
        <f t="shared" si="56"/>
        <v>17900</v>
      </c>
      <c r="H248" s="101"/>
      <c r="I248" s="231">
        <f t="shared" si="57"/>
        <v>28700</v>
      </c>
      <c r="J248" s="231">
        <f t="shared" si="58"/>
        <v>127200</v>
      </c>
      <c r="K248" s="231">
        <f t="shared" si="59"/>
        <v>96800</v>
      </c>
      <c r="L248" s="231">
        <f t="shared" si="66"/>
        <v>95000</v>
      </c>
      <c r="M248" s="231">
        <f t="shared" si="60"/>
        <v>200</v>
      </c>
      <c r="N248" s="231">
        <f t="shared" si="61"/>
        <v>300</v>
      </c>
      <c r="O248" s="231">
        <f t="shared" si="62"/>
        <v>10100</v>
      </c>
      <c r="P248" s="231">
        <f t="shared" si="63"/>
        <v>15700</v>
      </c>
      <c r="Q248" s="231">
        <f t="shared" si="64"/>
        <v>0</v>
      </c>
      <c r="R248" s="101"/>
      <c r="S248" s="101">
        <f t="shared" ref="S248:S251" si="67">ROUND(SUM(C248:R248),-3)</f>
        <v>528000</v>
      </c>
      <c r="T248" s="1438">
        <f t="shared" si="65"/>
        <v>0.13733905579399142</v>
      </c>
      <c r="U248" s="9"/>
      <c r="V248" s="9"/>
      <c r="W248" s="9"/>
      <c r="X248" s="9"/>
      <c r="Y248" s="9"/>
      <c r="Z248" s="9"/>
    </row>
    <row r="249" spans="1:26" x14ac:dyDescent="0.2">
      <c r="A249" s="9"/>
      <c r="B249" s="1426" t="str">
        <f t="shared" si="51"/>
        <v>Waste - Domestic</v>
      </c>
      <c r="C249" s="1309">
        <f t="shared" si="52"/>
        <v>43100</v>
      </c>
      <c r="D249" s="231">
        <f t="shared" si="53"/>
        <v>135900</v>
      </c>
      <c r="E249" s="231">
        <f t="shared" si="54"/>
        <v>82600</v>
      </c>
      <c r="F249" s="231">
        <f t="shared" si="55"/>
        <v>0</v>
      </c>
      <c r="G249" s="231">
        <f t="shared" si="56"/>
        <v>17900</v>
      </c>
      <c r="H249" s="231"/>
      <c r="I249" s="231">
        <f t="shared" si="57"/>
        <v>28700</v>
      </c>
      <c r="J249" s="231">
        <f t="shared" si="58"/>
        <v>131800</v>
      </c>
      <c r="K249" s="231">
        <f t="shared" si="59"/>
        <v>100300</v>
      </c>
      <c r="L249" s="231">
        <f t="shared" si="66"/>
        <v>98400</v>
      </c>
      <c r="M249" s="231">
        <f t="shared" si="60"/>
        <v>0</v>
      </c>
      <c r="N249" s="231">
        <f t="shared" si="61"/>
        <v>0</v>
      </c>
      <c r="O249" s="231">
        <f t="shared" si="62"/>
        <v>10500</v>
      </c>
      <c r="P249" s="231">
        <f t="shared" si="63"/>
        <v>27600</v>
      </c>
      <c r="Q249" s="231">
        <f t="shared" si="64"/>
        <v>0</v>
      </c>
      <c r="R249" s="231"/>
      <c r="S249" s="231">
        <f t="shared" si="67"/>
        <v>677000</v>
      </c>
      <c r="T249" s="1438">
        <f t="shared" si="65"/>
        <v>0.11135784192779011</v>
      </c>
      <c r="U249" s="9"/>
      <c r="V249" s="9"/>
      <c r="W249" s="9"/>
      <c r="X249" s="9"/>
      <c r="Y249" s="9"/>
      <c r="Z249" s="9"/>
    </row>
    <row r="250" spans="1:26" x14ac:dyDescent="0.2">
      <c r="A250" s="9"/>
      <c r="B250" s="1426" t="str">
        <f t="shared" si="51"/>
        <v>NEWLOG</v>
      </c>
      <c r="C250" s="1309">
        <f t="shared" si="52"/>
        <v>3300</v>
      </c>
      <c r="D250" s="231">
        <f t="shared" si="53"/>
        <v>0</v>
      </c>
      <c r="E250" s="231">
        <f t="shared" si="54"/>
        <v>6400</v>
      </c>
      <c r="F250" s="231">
        <f t="shared" si="55"/>
        <v>0</v>
      </c>
      <c r="G250" s="231">
        <f t="shared" si="56"/>
        <v>17900</v>
      </c>
      <c r="H250" s="231"/>
      <c r="I250" s="231">
        <f t="shared" si="57"/>
        <v>15100</v>
      </c>
      <c r="J250" s="231">
        <f t="shared" si="58"/>
        <v>10100</v>
      </c>
      <c r="K250" s="231">
        <f t="shared" si="59"/>
        <v>7700</v>
      </c>
      <c r="L250" s="231">
        <f t="shared" si="66"/>
        <v>7600</v>
      </c>
      <c r="M250" s="231">
        <f t="shared" si="60"/>
        <v>0</v>
      </c>
      <c r="N250" s="231">
        <f t="shared" si="61"/>
        <v>0</v>
      </c>
      <c r="O250" s="231">
        <f t="shared" si="62"/>
        <v>800</v>
      </c>
      <c r="P250" s="231">
        <f t="shared" si="63"/>
        <v>1100</v>
      </c>
      <c r="Q250" s="231">
        <f t="shared" si="64"/>
        <v>0</v>
      </c>
      <c r="R250" s="231"/>
      <c r="S250" s="231">
        <f t="shared" si="67"/>
        <v>70000</v>
      </c>
      <c r="T250" s="1438">
        <f t="shared" si="65"/>
        <v>0.28747433264887062</v>
      </c>
      <c r="U250" s="9"/>
      <c r="V250" s="9"/>
      <c r="W250" s="9"/>
      <c r="X250" s="9"/>
      <c r="Y250" s="9"/>
      <c r="Z250" s="9"/>
    </row>
    <row r="251" spans="1:26" x14ac:dyDescent="0.2">
      <c r="A251" s="9"/>
      <c r="B251" s="1426" t="str">
        <f t="shared" si="51"/>
        <v>Water</v>
      </c>
      <c r="C251" s="1309">
        <f t="shared" si="52"/>
        <v>75100</v>
      </c>
      <c r="D251" s="231">
        <f t="shared" si="53"/>
        <v>118900</v>
      </c>
      <c r="E251" s="231">
        <f t="shared" si="54"/>
        <v>144000</v>
      </c>
      <c r="F251" s="231">
        <f t="shared" si="55"/>
        <v>37100</v>
      </c>
      <c r="G251" s="231">
        <f t="shared" si="56"/>
        <v>114600</v>
      </c>
      <c r="H251" s="231"/>
      <c r="I251" s="231">
        <f t="shared" si="57"/>
        <v>73700</v>
      </c>
      <c r="J251" s="231">
        <f t="shared" si="58"/>
        <v>229800</v>
      </c>
      <c r="K251" s="231">
        <f t="shared" si="59"/>
        <v>174800</v>
      </c>
      <c r="L251" s="231">
        <f t="shared" si="66"/>
        <v>171500</v>
      </c>
      <c r="M251" s="231">
        <f t="shared" si="60"/>
        <v>42500</v>
      </c>
      <c r="N251" s="231">
        <f t="shared" si="61"/>
        <v>52800</v>
      </c>
      <c r="O251" s="231">
        <f t="shared" si="62"/>
        <v>18200</v>
      </c>
      <c r="P251" s="231">
        <f t="shared" si="63"/>
        <v>52300</v>
      </c>
      <c r="Q251" s="231">
        <f t="shared" si="64"/>
        <v>0</v>
      </c>
      <c r="R251" s="231">
        <f>R238</f>
        <v>39500</v>
      </c>
      <c r="S251" s="231">
        <f t="shared" si="67"/>
        <v>1345000</v>
      </c>
      <c r="T251" s="1438">
        <f t="shared" si="65"/>
        <v>0.12009893652168478</v>
      </c>
      <c r="U251" s="9"/>
      <c r="V251" s="9"/>
      <c r="W251" s="9"/>
      <c r="X251" s="9"/>
      <c r="Y251" s="9"/>
      <c r="Z251" s="9"/>
    </row>
    <row r="252" spans="1:26" ht="13.5" thickBot="1" x14ac:dyDescent="0.25">
      <c r="A252" s="9"/>
      <c r="B252" s="1426" t="str">
        <f t="shared" si="51"/>
        <v>Wastewater</v>
      </c>
      <c r="C252" s="1309">
        <f t="shared" si="52"/>
        <v>114600</v>
      </c>
      <c r="D252" s="231">
        <f t="shared" si="53"/>
        <v>117300</v>
      </c>
      <c r="E252" s="231">
        <f t="shared" si="54"/>
        <v>219600</v>
      </c>
      <c r="F252" s="231">
        <f t="shared" si="55"/>
        <v>104800</v>
      </c>
      <c r="G252" s="231">
        <f t="shared" si="56"/>
        <v>114600</v>
      </c>
      <c r="H252" s="231"/>
      <c r="I252" s="231">
        <f t="shared" si="57"/>
        <v>73700</v>
      </c>
      <c r="J252" s="231">
        <f t="shared" si="58"/>
        <v>350400</v>
      </c>
      <c r="K252" s="231">
        <f t="shared" si="59"/>
        <v>266600</v>
      </c>
      <c r="L252" s="231">
        <f t="shared" si="66"/>
        <v>261500</v>
      </c>
      <c r="M252" s="231">
        <f t="shared" si="60"/>
        <v>120200</v>
      </c>
      <c r="N252" s="231">
        <f t="shared" si="61"/>
        <v>149100</v>
      </c>
      <c r="O252" s="231">
        <f t="shared" si="62"/>
        <v>27800</v>
      </c>
      <c r="P252" s="231">
        <f t="shared" si="63"/>
        <v>77700</v>
      </c>
      <c r="Q252" s="231">
        <f t="shared" si="64"/>
        <v>0</v>
      </c>
      <c r="R252" s="231">
        <f>R251</f>
        <v>39500</v>
      </c>
      <c r="S252" s="101">
        <f>ROUND(SUM(C252:R252),-3)</f>
        <v>2037000</v>
      </c>
      <c r="T252" s="1438">
        <f t="shared" si="65"/>
        <v>0.12448132780082988</v>
      </c>
      <c r="U252" s="9"/>
      <c r="V252" s="9"/>
      <c r="W252" s="9"/>
      <c r="X252" s="9"/>
      <c r="Y252" s="9"/>
      <c r="Z252" s="9"/>
    </row>
    <row r="253" spans="1:26" ht="13.5" thickBot="1" x14ac:dyDescent="0.25">
      <c r="A253" s="9"/>
      <c r="B253" s="1439" t="str">
        <f>B207</f>
        <v>Totals</v>
      </c>
      <c r="C253" s="1401">
        <f>SUM(C221:C252)</f>
        <v>605700</v>
      </c>
      <c r="D253" s="1402">
        <f>SUM(D221:D252)</f>
        <v>539800</v>
      </c>
      <c r="E253" s="1402">
        <f>SUM(E221:E252)</f>
        <v>1161000</v>
      </c>
      <c r="F253" s="1402">
        <f>SUM(F221:F252)</f>
        <v>447700</v>
      </c>
      <c r="G253" s="1402">
        <f>SUM(G221:G252)</f>
        <v>1673400</v>
      </c>
      <c r="H253" s="1402"/>
      <c r="I253" s="1402">
        <f>SUM(I221:I252)</f>
        <v>1007400</v>
      </c>
      <c r="J253" s="1402">
        <f>SUM(J221:J252)</f>
        <v>1852400</v>
      </c>
      <c r="K253" s="1402">
        <f>SUM(K225:K252)</f>
        <v>1409600</v>
      </c>
      <c r="L253" s="1402">
        <f t="shared" ref="L253:S253" si="68">SUM(L221:L252)</f>
        <v>1080000</v>
      </c>
      <c r="M253" s="1402">
        <f t="shared" si="68"/>
        <v>513300</v>
      </c>
      <c r="N253" s="1402">
        <f t="shared" si="68"/>
        <v>637000</v>
      </c>
      <c r="O253" s="1402">
        <f t="shared" si="68"/>
        <v>147000</v>
      </c>
      <c r="P253" s="1402">
        <f t="shared" si="68"/>
        <v>259000</v>
      </c>
      <c r="Q253" s="1402">
        <f t="shared" si="68"/>
        <v>0</v>
      </c>
      <c r="R253" s="1402">
        <f t="shared" si="68"/>
        <v>118500</v>
      </c>
      <c r="S253" s="1402">
        <f t="shared" si="68"/>
        <v>5634000</v>
      </c>
      <c r="T253" s="1442">
        <f>S253/J162</f>
        <v>3.2461396635169395</v>
      </c>
      <c r="U253" s="9"/>
      <c r="V253" s="9"/>
      <c r="W253" s="9"/>
      <c r="X253" s="9"/>
      <c r="Y253" s="9"/>
      <c r="Z253" s="9"/>
    </row>
    <row r="254" spans="1:26" x14ac:dyDescent="0.2">
      <c r="A254" s="9"/>
      <c r="B254" s="1427"/>
      <c r="C254" s="1311"/>
      <c r="D254" s="82"/>
      <c r="E254" s="82"/>
      <c r="F254" s="82"/>
      <c r="G254" s="82"/>
      <c r="H254" s="82"/>
      <c r="I254" s="82"/>
      <c r="J254" s="82"/>
      <c r="K254" s="82"/>
      <c r="L254" s="82"/>
      <c r="M254" s="82"/>
      <c r="N254" s="82"/>
      <c r="O254" s="82"/>
      <c r="P254" s="82"/>
      <c r="Q254" s="82"/>
      <c r="R254" s="82"/>
      <c r="S254" s="82"/>
      <c r="T254" s="1434"/>
      <c r="U254" s="9"/>
      <c r="V254" s="9"/>
      <c r="W254" s="9"/>
      <c r="X254" s="9"/>
      <c r="Y254" s="9"/>
      <c r="Z254" s="9"/>
    </row>
    <row r="255" spans="1:26" x14ac:dyDescent="0.2">
      <c r="A255" s="9"/>
      <c r="B255" s="1427" t="s">
        <v>3819</v>
      </c>
      <c r="C255" s="1311">
        <f>ROUND(C253/$F$116,-2)</f>
        <v>2100</v>
      </c>
      <c r="D255" s="82">
        <f t="shared" ref="D255:F255" si="69">ROUND(D253/$F$116,-2)</f>
        <v>1800</v>
      </c>
      <c r="E255" s="82">
        <f t="shared" si="69"/>
        <v>4000</v>
      </c>
      <c r="F255" s="82">
        <f t="shared" si="69"/>
        <v>1500</v>
      </c>
      <c r="G255" s="82">
        <f>ROUND(G253/$F$116,-2)</f>
        <v>5700</v>
      </c>
      <c r="H255" s="82"/>
      <c r="I255" s="82">
        <f t="shared" ref="I255:S255" si="70">ROUND(I253/$F$116,-2)</f>
        <v>3500</v>
      </c>
      <c r="J255" s="82">
        <f t="shared" si="70"/>
        <v>6300</v>
      </c>
      <c r="K255" s="82">
        <f t="shared" si="70"/>
        <v>4800</v>
      </c>
      <c r="L255" s="82">
        <f t="shared" si="70"/>
        <v>3700</v>
      </c>
      <c r="M255" s="82">
        <f t="shared" si="70"/>
        <v>1800</v>
      </c>
      <c r="N255" s="82">
        <f t="shared" si="70"/>
        <v>2200</v>
      </c>
      <c r="O255" s="82">
        <f t="shared" si="70"/>
        <v>500</v>
      </c>
      <c r="P255" s="82">
        <f t="shared" si="70"/>
        <v>900</v>
      </c>
      <c r="Q255" s="82">
        <f t="shared" si="70"/>
        <v>0</v>
      </c>
      <c r="R255" s="82">
        <f t="shared" si="70"/>
        <v>400</v>
      </c>
      <c r="S255" s="82">
        <f t="shared" si="70"/>
        <v>19300</v>
      </c>
      <c r="T255" s="1434"/>
      <c r="U255" s="9"/>
      <c r="V255" s="9"/>
      <c r="W255" s="9"/>
      <c r="X255" s="9"/>
      <c r="Y255" s="9"/>
      <c r="Z255" s="9"/>
    </row>
    <row r="256" spans="1:26" ht="13.5" thickBot="1" x14ac:dyDescent="0.25">
      <c r="A256" s="9"/>
      <c r="B256" s="1431"/>
      <c r="C256" s="1321"/>
      <c r="D256" s="1388"/>
      <c r="E256" s="1388"/>
      <c r="F256" s="1388"/>
      <c r="G256" s="1388"/>
      <c r="H256" s="1388"/>
      <c r="I256" s="1388"/>
      <c r="J256" s="1388"/>
      <c r="K256" s="1388"/>
      <c r="L256" s="1388"/>
      <c r="M256" s="1388"/>
      <c r="N256" s="1388"/>
      <c r="O256" s="1388"/>
      <c r="P256" s="1388"/>
      <c r="Q256" s="1388"/>
      <c r="R256" s="1388"/>
      <c r="S256" s="1388"/>
      <c r="T256" s="1435"/>
      <c r="U256" s="9"/>
      <c r="V256" s="9"/>
      <c r="W256" s="9"/>
      <c r="X256" s="9"/>
      <c r="Y256" s="9"/>
      <c r="Z256" s="9"/>
    </row>
    <row r="257" spans="1:26" x14ac:dyDescent="0.2">
      <c r="A257" s="9"/>
      <c r="B257" s="1426"/>
      <c r="C257" s="1311"/>
      <c r="D257" s="82"/>
      <c r="E257" s="82"/>
      <c r="F257" s="82"/>
      <c r="G257" s="82"/>
      <c r="H257" s="82"/>
      <c r="I257" s="82"/>
      <c r="J257" s="82"/>
      <c r="K257" s="82"/>
      <c r="L257" s="82"/>
      <c r="M257" s="82"/>
      <c r="N257" s="82"/>
      <c r="O257" s="82"/>
      <c r="P257" s="82"/>
      <c r="Q257" s="82"/>
      <c r="R257" s="82"/>
      <c r="S257" s="82"/>
      <c r="T257" s="1434"/>
      <c r="U257" s="9"/>
      <c r="V257" s="9"/>
      <c r="W257" s="9"/>
      <c r="X257" s="9"/>
      <c r="Y257" s="9"/>
      <c r="Z257" s="9"/>
    </row>
    <row r="258" spans="1:26" x14ac:dyDescent="0.2">
      <c r="A258" s="9"/>
      <c r="B258" s="1428" t="s">
        <v>408</v>
      </c>
      <c r="C258" s="1311">
        <f>C253-C260</f>
        <v>-100</v>
      </c>
      <c r="D258" s="82">
        <f t="shared" ref="D258:G258" si="71">D253-D260</f>
        <v>0</v>
      </c>
      <c r="E258" s="82">
        <f t="shared" si="71"/>
        <v>-200</v>
      </c>
      <c r="F258" s="82">
        <f t="shared" si="71"/>
        <v>-100</v>
      </c>
      <c r="G258" s="82">
        <f t="shared" si="71"/>
        <v>0</v>
      </c>
      <c r="H258" s="82"/>
      <c r="I258" s="82">
        <f t="shared" ref="I258:R258" si="72">I253-I260</f>
        <v>200</v>
      </c>
      <c r="J258" s="82">
        <f t="shared" si="72"/>
        <v>-200</v>
      </c>
      <c r="K258" s="82">
        <f t="shared" si="72"/>
        <v>200</v>
      </c>
      <c r="L258" s="82">
        <f t="shared" si="72"/>
        <v>0</v>
      </c>
      <c r="M258" s="82">
        <f t="shared" si="72"/>
        <v>0</v>
      </c>
      <c r="N258" s="82">
        <f t="shared" si="72"/>
        <v>0</v>
      </c>
      <c r="O258" s="82">
        <f t="shared" si="72"/>
        <v>0</v>
      </c>
      <c r="P258" s="82">
        <f t="shared" si="72"/>
        <v>0</v>
      </c>
      <c r="Q258" s="82">
        <f t="shared" si="72"/>
        <v>0</v>
      </c>
      <c r="R258" s="82">
        <f t="shared" si="72"/>
        <v>118500</v>
      </c>
      <c r="S258" s="1133"/>
      <c r="T258" s="1436"/>
      <c r="U258" s="9"/>
      <c r="V258" s="9"/>
      <c r="W258" s="9"/>
      <c r="X258" s="9"/>
      <c r="Y258" s="9"/>
      <c r="Z258" s="9"/>
    </row>
    <row r="259" spans="1:26" x14ac:dyDescent="0.2">
      <c r="A259" s="9"/>
      <c r="B259" s="1429"/>
      <c r="C259" s="1311"/>
      <c r="D259" s="82"/>
      <c r="E259" s="82"/>
      <c r="F259" s="82"/>
      <c r="G259" s="82"/>
      <c r="H259" s="82"/>
      <c r="I259" s="82"/>
      <c r="J259" s="82"/>
      <c r="K259" s="82"/>
      <c r="L259" s="82"/>
      <c r="M259" s="82"/>
      <c r="N259" s="82"/>
      <c r="O259" s="82"/>
      <c r="P259" s="82"/>
      <c r="Q259" s="82"/>
      <c r="R259" s="82"/>
      <c r="S259" s="1133"/>
      <c r="T259" s="1436"/>
      <c r="U259" s="9"/>
      <c r="V259" s="9"/>
      <c r="W259" s="9"/>
      <c r="X259" s="9"/>
      <c r="Y259" s="9"/>
      <c r="Z259" s="9"/>
    </row>
    <row r="260" spans="1:26" x14ac:dyDescent="0.2">
      <c r="A260" s="9"/>
      <c r="B260" s="1427" t="s">
        <v>3720</v>
      </c>
      <c r="C260" s="1311">
        <f>ROUND(F23,-2)</f>
        <v>605800</v>
      </c>
      <c r="D260" s="82">
        <f>F24</f>
        <v>539800</v>
      </c>
      <c r="E260" s="82">
        <f>F25+D223</f>
        <v>1161200</v>
      </c>
      <c r="F260" s="82">
        <f>F26</f>
        <v>447800</v>
      </c>
      <c r="G260" s="82">
        <f>F27</f>
        <v>1673400</v>
      </c>
      <c r="H260" s="82"/>
      <c r="I260" s="82">
        <f>F28</f>
        <v>1007200</v>
      </c>
      <c r="J260" s="82">
        <f>F29</f>
        <v>1852600</v>
      </c>
      <c r="K260" s="82">
        <f>F30</f>
        <v>1409400</v>
      </c>
      <c r="L260" s="82">
        <f>F31</f>
        <v>1080000</v>
      </c>
      <c r="M260" s="82">
        <f>F32</f>
        <v>513300</v>
      </c>
      <c r="N260" s="82">
        <f>F33</f>
        <v>637000</v>
      </c>
      <c r="O260" s="82">
        <f>F34</f>
        <v>147000</v>
      </c>
      <c r="P260" s="82">
        <f>F35</f>
        <v>259000</v>
      </c>
      <c r="Q260" s="82">
        <f>F36</f>
        <v>0</v>
      </c>
      <c r="R260" s="82">
        <f>F373</f>
        <v>0</v>
      </c>
      <c r="S260" s="82">
        <f>SUM(C260:R260)</f>
        <v>11333500</v>
      </c>
      <c r="T260" s="1434"/>
      <c r="U260" s="9"/>
      <c r="V260" s="9"/>
      <c r="W260" s="9"/>
      <c r="X260" s="9"/>
      <c r="Y260" s="9"/>
      <c r="Z260" s="9"/>
    </row>
    <row r="261" spans="1:26" ht="13.5" thickBot="1" x14ac:dyDescent="0.25">
      <c r="A261" s="9"/>
      <c r="B261" s="1430"/>
      <c r="C261" s="1382"/>
      <c r="D261" s="1398"/>
      <c r="E261" s="1409"/>
      <c r="F261" s="1409"/>
      <c r="G261" s="1398"/>
      <c r="H261" s="1398"/>
      <c r="I261" s="1398"/>
      <c r="J261" s="1398"/>
      <c r="K261" s="1398"/>
      <c r="L261" s="1398"/>
      <c r="M261" s="1398"/>
      <c r="N261" s="1398"/>
      <c r="O261" s="1398"/>
      <c r="P261" s="1398"/>
      <c r="Q261" s="1398"/>
      <c r="R261" s="1398"/>
      <c r="S261" s="1398"/>
      <c r="T261" s="1437"/>
      <c r="U261" s="9"/>
      <c r="V261" s="9"/>
      <c r="W261" s="9"/>
      <c r="X261" s="9"/>
      <c r="Y261" s="9"/>
      <c r="Z261" s="9"/>
    </row>
    <row r="262" spans="1:26" s="9" customFormat="1" x14ac:dyDescent="0.2">
      <c r="B262" s="1392"/>
      <c r="E262" s="210"/>
      <c r="F262" s="210"/>
      <c r="K262" s="210"/>
      <c r="L262" s="210"/>
    </row>
    <row r="263" spans="1:26" x14ac:dyDescent="0.2">
      <c r="A263" s="9"/>
      <c r="B263" s="1459" t="s">
        <v>3894</v>
      </c>
      <c r="C263" s="1460" t="s">
        <v>4570</v>
      </c>
      <c r="D263" s="1460" t="s">
        <v>4571</v>
      </c>
      <c r="E263" s="1460" t="s">
        <v>6072</v>
      </c>
      <c r="F263" s="1460" t="s">
        <v>6073</v>
      </c>
      <c r="G263" s="1460" t="s">
        <v>4741</v>
      </c>
      <c r="H263" s="1460" t="s">
        <v>1189</v>
      </c>
      <c r="I263" s="2469" t="s">
        <v>2180</v>
      </c>
      <c r="J263" s="1460" t="s">
        <v>1189</v>
      </c>
      <c r="K263" s="210"/>
      <c r="L263" s="9"/>
      <c r="M263" s="9"/>
      <c r="N263" s="9"/>
      <c r="O263" s="9"/>
      <c r="P263" s="9"/>
      <c r="Q263" s="9"/>
      <c r="R263" s="9"/>
      <c r="S263" s="9"/>
    </row>
    <row r="264" spans="1:26" x14ac:dyDescent="0.2">
      <c r="A264" s="9"/>
      <c r="B264" s="1455"/>
      <c r="C264" s="1458"/>
      <c r="D264" s="1458"/>
      <c r="E264" s="1458"/>
      <c r="F264" s="1458"/>
      <c r="G264" s="1458"/>
      <c r="H264" s="1458"/>
      <c r="I264" s="1458"/>
      <c r="J264" s="1458"/>
      <c r="K264" s="210"/>
      <c r="L264" s="9"/>
      <c r="M264" s="9"/>
      <c r="N264" s="9"/>
      <c r="O264" s="9"/>
      <c r="P264" s="9"/>
      <c r="Q264" s="9"/>
      <c r="R264" s="9"/>
      <c r="S264" s="9"/>
    </row>
    <row r="265" spans="1:26" x14ac:dyDescent="0.2">
      <c r="A265" s="9"/>
      <c r="B265" s="1410" t="s">
        <v>1034</v>
      </c>
      <c r="C265" s="1458"/>
      <c r="D265" s="231">
        <f>-SUM(C$134+C$135+C$136+C$154+C$157+C$158+C$159+C$160+C$161+C156)</f>
        <v>-183900</v>
      </c>
      <c r="E265" s="1458"/>
      <c r="F265" s="231">
        <f>-(C$179+C$180+C$181+C$199+C$201+C$202+C$203+C$204+C$205+C$206)</f>
        <v>-370800</v>
      </c>
      <c r="G265" s="1458"/>
      <c r="H265" s="1458"/>
      <c r="I265" s="1458"/>
      <c r="J265" s="1458"/>
      <c r="L265" s="9"/>
      <c r="M265" s="210"/>
      <c r="N265" s="210"/>
      <c r="O265" s="210"/>
      <c r="P265" s="210"/>
      <c r="Q265" s="210"/>
      <c r="R265" s="210"/>
      <c r="S265" s="210"/>
      <c r="T265" s="210"/>
    </row>
    <row r="266" spans="1:26" x14ac:dyDescent="0.2">
      <c r="A266" s="9"/>
      <c r="B266" s="1410" t="s">
        <v>88</v>
      </c>
      <c r="C266" s="1458"/>
      <c r="D266" s="231">
        <f>-SUM(D$134+D$135+D$136+D$154+D$157+D$158+D$159+D$160+D$161+E134+E135+E136+E154+E157+E158+E159+E160+E161+D156+E156)</f>
        <v>-922200</v>
      </c>
      <c r="E266" s="1458"/>
      <c r="F266" s="231">
        <f>-(D$179+D$180+D$181+D$199+D$201+D$202+D$203+D$204+D$205+D$206+E179+E180+E181+E199+E201+E202+E203+E204+E205+E206)</f>
        <v>-1037400</v>
      </c>
      <c r="G266" s="1458"/>
      <c r="H266" s="1458"/>
      <c r="I266" s="1458"/>
      <c r="J266" s="1458"/>
      <c r="L266" s="9"/>
      <c r="M266" s="9"/>
      <c r="N266" s="210"/>
      <c r="O266" s="9"/>
      <c r="P266" s="9"/>
      <c r="Q266" s="9"/>
      <c r="R266" s="9"/>
      <c r="S266" s="9"/>
    </row>
    <row r="267" spans="1:26" x14ac:dyDescent="0.2">
      <c r="A267" s="9"/>
      <c r="B267" s="1410" t="s">
        <v>2311</v>
      </c>
      <c r="C267" s="1458"/>
      <c r="D267" s="231">
        <f>-SUM(F$134+F$135+F$136+F$154+F$157+F$158+F$159+F$160+F$161+G134+G135+G136+G154+G157+G158+G159+G160+G161+F156+G156)</f>
        <v>-538300</v>
      </c>
      <c r="E267" s="1458"/>
      <c r="F267" s="231">
        <f>-(F$179+F$180+F$181+F$199+F$201+F$202+F$203+F$204+F$205+F$206+G179+G180+G181+G199+G201+G202+G203+G204+G205+G206)</f>
        <v>-535300</v>
      </c>
      <c r="G267" s="1458"/>
      <c r="H267" s="1458"/>
      <c r="I267" s="1458"/>
      <c r="J267" s="1458"/>
      <c r="L267" s="9"/>
      <c r="M267" s="9"/>
      <c r="N267" s="9"/>
      <c r="O267" s="9"/>
      <c r="P267" s="9"/>
      <c r="Q267" s="9"/>
      <c r="R267" s="9"/>
      <c r="S267" s="9"/>
    </row>
    <row r="268" spans="1:26" x14ac:dyDescent="0.2">
      <c r="A268" s="9"/>
      <c r="B268" s="1410" t="s">
        <v>362</v>
      </c>
      <c r="C268" s="1458"/>
      <c r="D268" s="231">
        <f>-SUM(I$134+I$135+I$136+I$154+I$157+I$158+I$159+I$160+I$161+I156)</f>
        <v>-371400</v>
      </c>
      <c r="E268" s="1458"/>
      <c r="F268" s="231">
        <f>-(I$179+I$180+I$181+I$199+I$201+I$202+I$203+I$204+I$205+I$206)</f>
        <v>-292700</v>
      </c>
      <c r="G268" s="1458"/>
      <c r="H268" s="1458"/>
      <c r="I268" s="1458"/>
      <c r="J268" s="1458"/>
      <c r="L268" s="9"/>
      <c r="M268" s="9"/>
      <c r="N268" s="9"/>
      <c r="O268" s="9"/>
      <c r="P268" s="9"/>
      <c r="Q268" s="9"/>
      <c r="R268" s="9"/>
      <c r="S268" s="9"/>
    </row>
    <row r="269" spans="1:26" x14ac:dyDescent="0.2">
      <c r="A269" s="9"/>
      <c r="B269" s="1410" t="s">
        <v>3895</v>
      </c>
      <c r="C269" s="1458"/>
      <c r="D269" s="231">
        <f>-SUM(J$134+J$135+J$136+J$154+J$157+J$158+J$159+J$160+J$161+J156)</f>
        <v>-1027300</v>
      </c>
      <c r="E269" s="1458"/>
      <c r="F269" s="231">
        <f>-(J$179+J$180+J$181+J$199+J$201+J$202+J$203+J$204+J$205+J$206)</f>
        <v>-1074900</v>
      </c>
      <c r="G269" s="1458"/>
      <c r="H269" s="1458"/>
      <c r="I269" s="1458"/>
      <c r="J269" s="1458"/>
      <c r="L269" s="9"/>
      <c r="M269" s="9"/>
      <c r="N269" s="9"/>
      <c r="O269" s="9"/>
      <c r="P269" s="9"/>
      <c r="Q269" s="9"/>
      <c r="R269" s="9"/>
      <c r="S269" s="9"/>
    </row>
    <row r="270" spans="1:26" x14ac:dyDescent="0.2">
      <c r="A270" s="9"/>
      <c r="B270" s="1410" t="s">
        <v>783</v>
      </c>
      <c r="C270" s="1458"/>
      <c r="D270" s="231">
        <f>-SUM(K$134+K$135+K$136+K$154+K$157+K$158+K$159+K$160+K$161+K156)</f>
        <v>-686900</v>
      </c>
      <c r="E270" s="1458"/>
      <c r="F270" s="231">
        <f>-(K$179+K$180+K$181+K$199+K$201+K$202+K$203+K$204+K$205+K$206)</f>
        <v>-978400</v>
      </c>
      <c r="G270" s="1458"/>
      <c r="H270" s="1458"/>
      <c r="I270" s="1458"/>
      <c r="J270" s="1458"/>
      <c r="L270" s="9"/>
      <c r="M270" s="9"/>
      <c r="N270" s="9"/>
      <c r="O270" s="9"/>
      <c r="P270" s="9"/>
      <c r="Q270" s="9"/>
      <c r="R270" s="9"/>
      <c r="S270" s="9"/>
    </row>
    <row r="271" spans="1:26" x14ac:dyDescent="0.2">
      <c r="A271" s="9"/>
      <c r="B271" s="1410" t="s">
        <v>572</v>
      </c>
      <c r="C271" s="1458"/>
      <c r="D271" s="231">
        <f>-SUM(L$134+L$135+L$136+L$154+L$157+L$158+L$159+L$160+L$161+M134+M135+M136+M154+M157+M158+M159+M160+M161+L156+M156)</f>
        <v>-798700</v>
      </c>
      <c r="E271" s="1458"/>
      <c r="F271" s="231">
        <f>-(L$179+L$180+L$181+L$199+L$201+L$202+L$203+L$204+L$205+L$206+M205+M206)</f>
        <v>-848600</v>
      </c>
      <c r="G271" s="1458"/>
      <c r="H271" s="1458"/>
      <c r="I271" s="1458"/>
      <c r="J271" s="1458"/>
      <c r="L271" s="9"/>
      <c r="M271" s="9"/>
      <c r="N271" s="9"/>
      <c r="O271" s="9"/>
      <c r="P271" s="9"/>
      <c r="Q271" s="9"/>
      <c r="R271" s="9"/>
      <c r="S271" s="9"/>
    </row>
    <row r="272" spans="1:26" x14ac:dyDescent="0.2">
      <c r="A272" s="9"/>
      <c r="B272" s="1410" t="s">
        <v>1259</v>
      </c>
      <c r="C272" s="1458"/>
      <c r="D272" s="231">
        <f>-SUM(N$134+N$135+N$136+N$154+N$157+N$158+N$159+N$160+N$161+N156)</f>
        <v>-185800</v>
      </c>
      <c r="E272" s="1458"/>
      <c r="F272" s="231">
        <f>-(N$179+N$180+N$181+N$199+N$201+N$202+N$203+N$204+N$205+N$206)</f>
        <v>-219100</v>
      </c>
      <c r="G272" s="1458"/>
      <c r="H272" s="1458"/>
      <c r="I272" s="1458"/>
      <c r="J272" s="1458"/>
      <c r="L272" s="9"/>
      <c r="M272" s="9"/>
      <c r="N272" s="9"/>
      <c r="O272" s="9"/>
      <c r="P272" s="9"/>
      <c r="Q272" s="9"/>
      <c r="R272" s="9"/>
      <c r="S272" s="9"/>
    </row>
    <row r="273" spans="1:19" x14ac:dyDescent="0.2">
      <c r="A273" s="9"/>
      <c r="B273" s="1410" t="s">
        <v>218</v>
      </c>
      <c r="C273" s="1458"/>
      <c r="D273" s="231">
        <f>-SUM(O$134+O$135+O$136+O$154+O$157+O$158+O$159+O$160+O$161+O156)/2</f>
        <v>-40550</v>
      </c>
      <c r="E273" s="1458"/>
      <c r="F273" s="231">
        <f>-(O$179+O$180+O$181+O$199+O$201+O$202+O$203+O$204+O$205+O$206+R205+R206)/2</f>
        <v>-80650</v>
      </c>
      <c r="G273" s="1458"/>
      <c r="H273" s="1458"/>
      <c r="I273" s="1458"/>
      <c r="J273" s="1458"/>
      <c r="L273" s="9"/>
      <c r="M273" s="9"/>
      <c r="N273" s="9"/>
      <c r="O273" s="9"/>
      <c r="P273" s="9"/>
      <c r="Q273" s="9"/>
      <c r="R273" s="9"/>
      <c r="S273" s="9"/>
    </row>
    <row r="274" spans="1:19" x14ac:dyDescent="0.2">
      <c r="A274" s="9"/>
      <c r="B274" s="1410" t="s">
        <v>2710</v>
      </c>
      <c r="C274" s="1458"/>
      <c r="D274" s="231">
        <f>D273</f>
        <v>-40550</v>
      </c>
      <c r="E274" s="1458"/>
      <c r="F274" s="231">
        <f>F273</f>
        <v>-80650</v>
      </c>
      <c r="G274" s="1458"/>
      <c r="H274" s="1458"/>
      <c r="I274" s="1458"/>
      <c r="J274" s="1458"/>
      <c r="L274" s="9"/>
      <c r="M274" s="9"/>
      <c r="N274" s="9"/>
      <c r="O274" s="9"/>
      <c r="P274" s="9"/>
      <c r="Q274" s="9"/>
      <c r="R274" s="9"/>
      <c r="S274" s="9"/>
    </row>
    <row r="275" spans="1:19" x14ac:dyDescent="0.2">
      <c r="A275" s="9"/>
      <c r="B275" s="1410" t="s">
        <v>3555</v>
      </c>
      <c r="C275" s="1458"/>
      <c r="D275" s="231">
        <f>-SUM(P$134+P$135+P$136+P$154+P$157+P$158+P$159+P$160+P$161+R161+R160+R158+R157+R159+R154+R136+R135+R134+P156+R156)</f>
        <v>-284000</v>
      </c>
      <c r="E275" s="1458"/>
      <c r="F275" s="231">
        <f>-(P$179+P$180+P$181+P$199+P$201+P$202+P$203+P$204+P$205+P$206)</f>
        <v>-212200</v>
      </c>
      <c r="G275" s="1458"/>
      <c r="H275" s="1458"/>
      <c r="I275" s="1458"/>
      <c r="J275" s="1458"/>
      <c r="L275" s="9"/>
      <c r="M275" s="9"/>
      <c r="N275" s="9"/>
      <c r="O275" s="9"/>
      <c r="P275" s="9"/>
      <c r="Q275" s="9"/>
      <c r="R275" s="9"/>
      <c r="S275" s="9"/>
    </row>
    <row r="276" spans="1:19" x14ac:dyDescent="0.2">
      <c r="A276" s="9"/>
      <c r="B276" s="1410" t="s">
        <v>3307</v>
      </c>
      <c r="C276" s="1458"/>
      <c r="D276" s="231">
        <f>-SUM(Q$134+Q$135+Q$136+Q$154+Q$157+Q$158+Q$159+Q$160+Q$161+Q156)</f>
        <v>-92200</v>
      </c>
      <c r="E276" s="1458"/>
      <c r="F276" s="231">
        <f>-(Q$179+Q$180+Q$181+Q$199+Q$201+Q$202+Q$203+Q$204+Q$205+Q$206)</f>
        <v>0</v>
      </c>
      <c r="G276" s="1458"/>
      <c r="H276" s="1458"/>
      <c r="I276" s="1458"/>
      <c r="J276" s="1458"/>
      <c r="L276" s="9"/>
      <c r="M276" s="9"/>
      <c r="O276" s="9"/>
      <c r="P276" s="9"/>
      <c r="Q276" s="9"/>
      <c r="R276" s="9"/>
      <c r="S276" s="9"/>
    </row>
    <row r="277" spans="1:19" s="1" customFormat="1" x14ac:dyDescent="0.2">
      <c r="A277" s="8"/>
      <c r="B277" s="1311" t="s">
        <v>6888</v>
      </c>
      <c r="C277" s="1133"/>
      <c r="D277" s="58"/>
      <c r="E277" s="1133"/>
      <c r="F277" s="82"/>
      <c r="G277" s="82">
        <f>GM!G698</f>
        <v>-5584000</v>
      </c>
      <c r="H277" s="82">
        <f>-G277+F288</f>
        <v>-146700</v>
      </c>
      <c r="I277" s="82">
        <f>-S253</f>
        <v>-5634000</v>
      </c>
      <c r="J277" s="82">
        <f>I277-G277</f>
        <v>-50000</v>
      </c>
      <c r="L277" s="1907"/>
      <c r="M277" s="8"/>
      <c r="O277" s="8"/>
      <c r="P277" s="8"/>
      <c r="Q277" s="8"/>
      <c r="R277" s="8"/>
      <c r="S277" s="8"/>
    </row>
    <row r="278" spans="1:19" x14ac:dyDescent="0.2">
      <c r="A278" s="9"/>
      <c r="B278" s="1309" t="s">
        <v>1764</v>
      </c>
      <c r="C278" s="231">
        <f>S160</f>
        <v>1222000</v>
      </c>
      <c r="E278" s="231">
        <f>S205</f>
        <v>1337000</v>
      </c>
      <c r="F278" s="231"/>
      <c r="G278" s="231">
        <f>'W&amp;W'!G72</f>
        <v>1319000</v>
      </c>
      <c r="H278" s="231">
        <f>E278-G278</f>
        <v>18000</v>
      </c>
      <c r="I278" s="231">
        <f>S251</f>
        <v>1345000</v>
      </c>
      <c r="J278" s="231">
        <f>I278-G278</f>
        <v>26000</v>
      </c>
      <c r="L278" s="17"/>
      <c r="M278" s="9"/>
      <c r="O278" s="9"/>
      <c r="P278" s="9"/>
      <c r="Q278" s="9"/>
      <c r="R278" s="9"/>
      <c r="S278" s="9"/>
    </row>
    <row r="279" spans="1:19" x14ac:dyDescent="0.2">
      <c r="A279" s="9"/>
      <c r="B279" s="1309" t="s">
        <v>3354</v>
      </c>
      <c r="C279" s="231">
        <f>S161</f>
        <v>1827000</v>
      </c>
      <c r="E279" s="231">
        <f>S206</f>
        <v>2044000</v>
      </c>
      <c r="F279" s="231"/>
      <c r="G279" s="231">
        <f>'W&amp;W'!G135</f>
        <v>1950000</v>
      </c>
      <c r="H279" s="231">
        <f t="shared" ref="H279:H287" si="73">E279-G279</f>
        <v>94000</v>
      </c>
      <c r="I279" s="231">
        <f>S252</f>
        <v>2037000</v>
      </c>
      <c r="J279" s="231">
        <f t="shared" ref="J279:J287" si="74">I279-G279</f>
        <v>87000</v>
      </c>
      <c r="L279" s="17"/>
      <c r="M279" s="9"/>
      <c r="O279" s="9"/>
      <c r="P279" s="9"/>
      <c r="Q279" s="9"/>
      <c r="R279" s="9"/>
      <c r="S279" s="9"/>
    </row>
    <row r="280" spans="1:19" x14ac:dyDescent="0.2">
      <c r="A280" s="9"/>
      <c r="B280" s="1309" t="s">
        <v>3599</v>
      </c>
      <c r="C280" s="231">
        <f>S157</f>
        <v>623000</v>
      </c>
      <c r="E280" s="231">
        <f>S202</f>
        <v>688000</v>
      </c>
      <c r="F280" s="231"/>
      <c r="G280" s="231">
        <f>CIV!G1827</f>
        <v>644000</v>
      </c>
      <c r="H280" s="231">
        <f t="shared" si="73"/>
        <v>44000</v>
      </c>
      <c r="I280" s="231">
        <f>S248</f>
        <v>528000</v>
      </c>
      <c r="J280" s="231">
        <f t="shared" si="74"/>
        <v>-116000</v>
      </c>
      <c r="L280" s="17"/>
      <c r="M280" s="9"/>
      <c r="O280" s="9"/>
      <c r="P280" s="9"/>
      <c r="Q280" s="9"/>
      <c r="R280" s="9"/>
      <c r="S280" s="9"/>
    </row>
    <row r="281" spans="1:19" x14ac:dyDescent="0.2">
      <c r="A281" s="9"/>
      <c r="B281" s="1309" t="s">
        <v>3600</v>
      </c>
      <c r="C281" s="231">
        <f>S158</f>
        <v>586000</v>
      </c>
      <c r="E281" s="231">
        <f>S203</f>
        <v>654000</v>
      </c>
      <c r="F281" s="231"/>
      <c r="G281" s="231">
        <f>CIV!G1992</f>
        <v>637000</v>
      </c>
      <c r="H281" s="231">
        <f t="shared" si="73"/>
        <v>17000</v>
      </c>
      <c r="I281" s="231">
        <f>S249</f>
        <v>677000</v>
      </c>
      <c r="J281" s="231">
        <f t="shared" si="74"/>
        <v>40000</v>
      </c>
      <c r="L281" s="17"/>
      <c r="M281" s="9"/>
      <c r="N281" s="17"/>
      <c r="O281" s="9"/>
      <c r="P281" s="9"/>
      <c r="Q281" s="9"/>
      <c r="R281" s="9"/>
      <c r="S281" s="9"/>
    </row>
    <row r="282" spans="1:19" x14ac:dyDescent="0.2">
      <c r="A282" s="9"/>
      <c r="B282" s="1309" t="s">
        <v>3392</v>
      </c>
      <c r="C282" s="231">
        <f>S156</f>
        <v>13000</v>
      </c>
      <c r="E282" s="231">
        <f>S201</f>
        <v>16000</v>
      </c>
      <c r="F282" s="231"/>
      <c r="G282" s="231">
        <f>CIV!G1735</f>
        <v>34000</v>
      </c>
      <c r="H282" s="231">
        <f t="shared" si="73"/>
        <v>-18000</v>
      </c>
      <c r="I282" s="231">
        <f>S247</f>
        <v>0</v>
      </c>
      <c r="J282" s="231">
        <f t="shared" si="74"/>
        <v>-34000</v>
      </c>
      <c r="L282" s="17"/>
      <c r="M282" s="9"/>
      <c r="O282" s="9"/>
      <c r="P282" s="9"/>
      <c r="Q282" s="9"/>
      <c r="R282" s="9"/>
      <c r="S282" s="9"/>
    </row>
    <row r="283" spans="1:19" x14ac:dyDescent="0.2">
      <c r="A283" s="9"/>
      <c r="B283" s="1309" t="s">
        <v>3637</v>
      </c>
      <c r="C283" s="231">
        <f>S154</f>
        <v>299000</v>
      </c>
      <c r="E283" s="231">
        <f>S199</f>
        <v>327000</v>
      </c>
      <c r="F283" s="231"/>
      <c r="G283" s="231">
        <f>CIV!G1619</f>
        <v>344000</v>
      </c>
      <c r="H283" s="231">
        <f t="shared" si="73"/>
        <v>-17000</v>
      </c>
      <c r="I283" s="231">
        <f>S245</f>
        <v>355000</v>
      </c>
      <c r="J283" s="231">
        <f t="shared" si="74"/>
        <v>11000</v>
      </c>
      <c r="L283" s="17"/>
      <c r="M283" s="9"/>
      <c r="O283" s="9"/>
      <c r="P283" s="9"/>
      <c r="Q283" s="9"/>
      <c r="R283" s="9"/>
      <c r="S283" s="9"/>
    </row>
    <row r="284" spans="1:19" x14ac:dyDescent="0.2">
      <c r="A284" s="9"/>
      <c r="B284" s="1309" t="s">
        <v>3601</v>
      </c>
      <c r="C284" s="231">
        <f>S159</f>
        <v>69000</v>
      </c>
      <c r="E284" s="231">
        <f>S204</f>
        <v>69000</v>
      </c>
      <c r="F284" s="231"/>
      <c r="G284" s="231">
        <f>NEWLOG!G35</f>
        <v>69000</v>
      </c>
      <c r="H284" s="231">
        <f t="shared" si="73"/>
        <v>0</v>
      </c>
      <c r="I284" s="231">
        <f>S250</f>
        <v>70000</v>
      </c>
      <c r="J284" s="231">
        <f t="shared" si="74"/>
        <v>1000</v>
      </c>
      <c r="L284" s="17"/>
      <c r="M284" s="9"/>
      <c r="O284" s="9"/>
      <c r="P284" s="9"/>
      <c r="Q284" s="9"/>
      <c r="R284" s="9"/>
      <c r="S284" s="9"/>
    </row>
    <row r="285" spans="1:19" x14ac:dyDescent="0.2">
      <c r="A285" s="9"/>
      <c r="B285" s="1309" t="s">
        <v>1734</v>
      </c>
      <c r="C285" s="231">
        <f>S135</f>
        <v>21000</v>
      </c>
      <c r="E285" s="231">
        <f>S180</f>
        <v>23000</v>
      </c>
      <c r="F285" s="231"/>
      <c r="G285" s="231">
        <f>GM!G1047</f>
        <v>24000</v>
      </c>
      <c r="H285" s="231">
        <f t="shared" si="73"/>
        <v>-1000</v>
      </c>
      <c r="I285" s="231">
        <f>S226</f>
        <v>25000</v>
      </c>
      <c r="J285" s="231">
        <f t="shared" si="74"/>
        <v>1000</v>
      </c>
      <c r="L285" s="17"/>
      <c r="M285" s="9"/>
      <c r="O285" s="9"/>
      <c r="P285" s="9"/>
      <c r="Q285" s="9"/>
      <c r="R285" s="9"/>
      <c r="S285" s="9"/>
    </row>
    <row r="286" spans="1:19" x14ac:dyDescent="0.2">
      <c r="A286" s="9"/>
      <c r="B286" s="1309" t="s">
        <v>2938</v>
      </c>
      <c r="C286" s="231">
        <f>S134</f>
        <v>172000</v>
      </c>
      <c r="E286" s="231">
        <f>S179</f>
        <v>197000</v>
      </c>
      <c r="F286" s="231"/>
      <c r="G286" s="231">
        <f>GM!G990+GM!G991+GM!G992+GM!G993</f>
        <v>185000</v>
      </c>
      <c r="H286" s="231">
        <f t="shared" si="73"/>
        <v>12000</v>
      </c>
      <c r="I286" s="231">
        <f>S225</f>
        <v>206000</v>
      </c>
      <c r="J286" s="231">
        <f t="shared" si="74"/>
        <v>21000</v>
      </c>
      <c r="L286" s="17"/>
      <c r="M286" s="9"/>
      <c r="O286" s="9"/>
      <c r="P286" s="9"/>
      <c r="Q286" s="9"/>
      <c r="R286" s="9"/>
      <c r="S286" s="9"/>
    </row>
    <row r="287" spans="1:19" x14ac:dyDescent="0.2">
      <c r="A287" s="9"/>
      <c r="B287" s="1309" t="s">
        <v>1418</v>
      </c>
      <c r="C287" s="231">
        <f>S136</f>
        <v>340000</v>
      </c>
      <c r="E287" s="231">
        <f>S181</f>
        <v>377000</v>
      </c>
      <c r="F287" s="231"/>
      <c r="G287" s="231">
        <f>GM!G1164</f>
        <v>378000</v>
      </c>
      <c r="H287" s="231">
        <f t="shared" si="73"/>
        <v>-1000</v>
      </c>
      <c r="I287" s="231">
        <f>S227</f>
        <v>391000</v>
      </c>
      <c r="J287" s="231">
        <f t="shared" si="74"/>
        <v>13000</v>
      </c>
      <c r="L287" s="17"/>
      <c r="M287" s="9"/>
      <c r="O287" s="9"/>
      <c r="P287" s="9"/>
      <c r="Q287" s="9"/>
      <c r="R287" s="9"/>
      <c r="S287" s="9"/>
    </row>
    <row r="288" spans="1:19" x14ac:dyDescent="0.2">
      <c r="A288" s="9"/>
      <c r="B288" s="1456" t="s">
        <v>1530</v>
      </c>
      <c r="C288" s="82">
        <f>SUM(C278:C287)</f>
        <v>5172000</v>
      </c>
      <c r="D288" s="82">
        <f t="shared" ref="D288:I288" si="75">SUM(D265:D287)</f>
        <v>-5171800</v>
      </c>
      <c r="E288" s="2321">
        <f t="shared" si="75"/>
        <v>5732000</v>
      </c>
      <c r="F288" s="82">
        <f t="shared" si="75"/>
        <v>-5730700</v>
      </c>
      <c r="G288" s="82">
        <f t="shared" si="75"/>
        <v>0</v>
      </c>
      <c r="H288" s="82">
        <f t="shared" si="75"/>
        <v>1300</v>
      </c>
      <c r="I288" s="82">
        <f t="shared" si="75"/>
        <v>0</v>
      </c>
      <c r="J288" s="82">
        <f>SUM(J265:J287)</f>
        <v>0</v>
      </c>
      <c r="L288" s="17"/>
      <c r="M288" s="9"/>
      <c r="O288" s="9"/>
      <c r="P288" s="9"/>
      <c r="Q288" s="9"/>
      <c r="R288" s="9"/>
      <c r="S288" s="9"/>
    </row>
    <row r="289" spans="1:19" ht="13.5" thickBot="1" x14ac:dyDescent="0.25">
      <c r="A289" s="9"/>
      <c r="B289" s="1457"/>
      <c r="C289" s="1398"/>
      <c r="D289" s="1409">
        <f>ROUND(D288+C288,-3)</f>
        <v>0</v>
      </c>
      <c r="E289" s="1398"/>
      <c r="F289" s="1409"/>
      <c r="G289" s="2433"/>
      <c r="H289" s="2433"/>
      <c r="I289" s="2433"/>
      <c r="J289" s="2433"/>
      <c r="M289" s="9"/>
      <c r="O289" s="9"/>
      <c r="P289" s="9"/>
      <c r="Q289" s="9"/>
      <c r="R289" s="9"/>
      <c r="S289" s="9"/>
    </row>
  </sheetData>
  <mergeCells count="7">
    <mergeCell ref="C218:T218"/>
    <mergeCell ref="P81:U81"/>
    <mergeCell ref="C172:T172"/>
    <mergeCell ref="C127:T127"/>
    <mergeCell ref="A2:O2"/>
    <mergeCell ref="J81:O81"/>
    <mergeCell ref="C81:I81"/>
  </mergeCells>
  <pageMargins left="0.70866141732283472" right="0.70866141732283472" top="0.74803149606299213" bottom="0.74803149606299213" header="0.31496062992125984" footer="0.31496062992125984"/>
  <pageSetup paperSize="8" scale="79" orientation="landscape"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527"/>
  <sheetViews>
    <sheetView workbookViewId="0">
      <pane ySplit="3" topLeftCell="A476" activePane="bottomLeft" state="frozen"/>
      <selection activeCell="B1" sqref="B1"/>
      <selection pane="bottomLeft" activeCell="D527" sqref="C477:D527"/>
    </sheetView>
  </sheetViews>
  <sheetFormatPr defaultRowHeight="12.75" x14ac:dyDescent="0.2"/>
  <cols>
    <col min="1" max="1" width="2.85546875" customWidth="1"/>
    <col min="2" max="2" width="3" customWidth="1"/>
    <col min="3" max="3" width="37.5703125" customWidth="1"/>
    <col min="4" max="4" width="9" customWidth="1"/>
    <col min="5" max="5" width="10.42578125" bestFit="1" customWidth="1"/>
    <col min="6" max="6" width="11.5703125" bestFit="1" customWidth="1"/>
    <col min="7" max="16" width="8.140625" bestFit="1" customWidth="1"/>
  </cols>
  <sheetData>
    <row r="1" spans="1:16" x14ac:dyDescent="0.2">
      <c r="C1" s="1096" t="s">
        <v>3505</v>
      </c>
    </row>
    <row r="2" spans="1:16" x14ac:dyDescent="0.2">
      <c r="C2" s="1096" t="s">
        <v>3506</v>
      </c>
      <c r="D2" s="1149" t="e">
        <f>SP!#REF!</f>
        <v>#REF!</v>
      </c>
      <c r="E2" s="1575">
        <f>SP!B2</f>
        <v>0</v>
      </c>
      <c r="F2" s="3039" t="str">
        <f>SP!A2</f>
        <v>ACTUAL</v>
      </c>
      <c r="G2" s="3039"/>
      <c r="H2" s="3039"/>
      <c r="I2" s="3039"/>
      <c r="J2" s="3039"/>
      <c r="K2" s="3039"/>
      <c r="L2" s="3039"/>
      <c r="M2" s="3039"/>
      <c r="N2" s="3039"/>
      <c r="O2" s="3039"/>
      <c r="P2" s="3039"/>
    </row>
    <row r="3" spans="1:16" x14ac:dyDescent="0.2">
      <c r="A3" s="639"/>
      <c r="B3" s="639"/>
      <c r="C3" s="639"/>
      <c r="D3" s="1150" t="str">
        <f>SP!A3</f>
        <v>2012/13</v>
      </c>
      <c r="E3" s="1150" t="str">
        <f>SP!B3</f>
        <v>2013/14</v>
      </c>
      <c r="F3" s="1150" t="str">
        <f>SP!C3</f>
        <v>2014/15</v>
      </c>
      <c r="G3" s="1150" t="str">
        <f>SP!D3</f>
        <v>2015/16</v>
      </c>
      <c r="H3" s="1150" t="str">
        <f>SP!G3</f>
        <v>2016/17</v>
      </c>
      <c r="I3" s="1150" t="str">
        <f>SP!I3</f>
        <v>2017/18</v>
      </c>
      <c r="J3" s="1150" t="str">
        <f>SP!J3</f>
        <v>2018/19</v>
      </c>
      <c r="K3" s="1150" t="str">
        <f>SP!K3</f>
        <v>2019/20</v>
      </c>
      <c r="L3" s="1150" t="str">
        <f>SP!L3</f>
        <v>2020/21</v>
      </c>
      <c r="M3" s="1150" t="str">
        <f>SP!M3</f>
        <v>2021/22</v>
      </c>
      <c r="N3" s="1150" t="str">
        <f>SP!N3</f>
        <v>2022/23</v>
      </c>
      <c r="O3" s="1150" t="str">
        <f>SP!O3</f>
        <v>2023/24</v>
      </c>
      <c r="P3" s="1150" t="str">
        <f>SP!P3</f>
        <v>2024/25</v>
      </c>
    </row>
    <row r="4" spans="1:16" x14ac:dyDescent="0.2">
      <c r="A4" s="1280" t="s">
        <v>2949</v>
      </c>
      <c r="B4" s="1280"/>
      <c r="C4" s="1281"/>
    </row>
    <row r="5" spans="1:16" x14ac:dyDescent="0.2">
      <c r="A5" t="s">
        <v>2950</v>
      </c>
    </row>
    <row r="6" spans="1:16" x14ac:dyDescent="0.2">
      <c r="B6" t="s">
        <v>2951</v>
      </c>
      <c r="D6" s="745">
        <v>3350</v>
      </c>
      <c r="E6" s="745">
        <v>3844</v>
      </c>
      <c r="F6" s="745">
        <v>4096</v>
      </c>
      <c r="G6" s="745">
        <v>4028</v>
      </c>
      <c r="H6" s="745">
        <v>4234</v>
      </c>
      <c r="I6" s="745">
        <v>4379</v>
      </c>
      <c r="J6" s="745">
        <v>4515</v>
      </c>
      <c r="K6" s="745">
        <v>4655</v>
      </c>
      <c r="L6" s="745">
        <v>4799</v>
      </c>
      <c r="M6" s="745">
        <v>4948</v>
      </c>
      <c r="N6" s="1219">
        <v>5101</v>
      </c>
    </row>
    <row r="7" spans="1:16" x14ac:dyDescent="0.2">
      <c r="B7" t="s">
        <v>2952</v>
      </c>
      <c r="D7" s="745">
        <v>134</v>
      </c>
      <c r="E7" s="745">
        <v>146</v>
      </c>
      <c r="F7" s="745">
        <v>172</v>
      </c>
      <c r="G7" s="745">
        <v>177</v>
      </c>
      <c r="H7" s="745">
        <v>183</v>
      </c>
      <c r="I7" s="745">
        <v>188</v>
      </c>
      <c r="J7" s="745">
        <v>194</v>
      </c>
      <c r="K7" s="745">
        <v>200</v>
      </c>
      <c r="L7" s="745">
        <v>207</v>
      </c>
      <c r="M7" s="745">
        <v>213</v>
      </c>
      <c r="N7" s="1219">
        <v>220</v>
      </c>
    </row>
    <row r="8" spans="1:16" x14ac:dyDescent="0.2">
      <c r="B8" t="s">
        <v>1024</v>
      </c>
      <c r="D8" s="745">
        <v>94.86</v>
      </c>
      <c r="E8" s="745">
        <v>97.797600000000003</v>
      </c>
      <c r="F8" s="745">
        <v>99.753551999999999</v>
      </c>
      <c r="G8" s="745">
        <v>102.83105519999999</v>
      </c>
      <c r="H8" s="745">
        <v>104.887676304</v>
      </c>
      <c r="I8" s="745">
        <v>108.111592249344</v>
      </c>
      <c r="J8" s="745">
        <v>110.27382409433086</v>
      </c>
      <c r="K8" s="745">
        <v>114.82261933822203</v>
      </c>
      <c r="L8" s="745">
        <v>117.11907172498647</v>
      </c>
      <c r="M8" s="745">
        <v>120.68044757948095</v>
      </c>
      <c r="N8" s="1219">
        <v>123.09405653107055</v>
      </c>
    </row>
    <row r="9" spans="1:16" x14ac:dyDescent="0.2">
      <c r="B9" t="s">
        <v>2953</v>
      </c>
      <c r="D9" s="745">
        <v>562.02</v>
      </c>
      <c r="E9" s="745">
        <v>573.2604</v>
      </c>
      <c r="F9" s="745">
        <v>584.72560799999997</v>
      </c>
      <c r="G9" s="745">
        <v>596.42012016000001</v>
      </c>
      <c r="H9" s="745">
        <v>608.34852256320005</v>
      </c>
      <c r="I9" s="745">
        <v>620.51549301446403</v>
      </c>
      <c r="J9" s="745">
        <v>632.92580287475323</v>
      </c>
      <c r="K9" s="745">
        <v>645.58431893224827</v>
      </c>
      <c r="L9" s="745">
        <v>658.49600531089322</v>
      </c>
      <c r="M9" s="745">
        <v>671.66592541711111</v>
      </c>
      <c r="N9" s="1219">
        <v>685.09924392545327</v>
      </c>
    </row>
    <row r="10" spans="1:16" x14ac:dyDescent="0.2">
      <c r="B10" t="s">
        <v>2954</v>
      </c>
      <c r="D10" s="745">
        <v>251.81326882499999</v>
      </c>
      <c r="E10" s="745">
        <v>258.81610290152628</v>
      </c>
      <c r="F10" s="745">
        <v>266.01377929551262</v>
      </c>
      <c r="G10" s="745">
        <v>273.41172205848528</v>
      </c>
      <c r="H10" s="745">
        <v>281.01550632417076</v>
      </c>
      <c r="I10" s="745">
        <v>288.83086251935561</v>
      </c>
      <c r="J10" s="745">
        <v>296.86368069218599</v>
      </c>
      <c r="K10" s="745">
        <v>305.12001496118512</v>
      </c>
      <c r="L10" s="745">
        <v>313.60608808835747</v>
      </c>
      <c r="M10" s="745">
        <v>322.32829617984373</v>
      </c>
      <c r="N10" s="1219">
        <v>331.29321351768596</v>
      </c>
    </row>
    <row r="11" spans="1:16" x14ac:dyDescent="0.2">
      <c r="B11" t="s">
        <v>2955</v>
      </c>
      <c r="D11" s="745">
        <v>102</v>
      </c>
      <c r="E11" s="745">
        <v>104.03999999999999</v>
      </c>
      <c r="F11" s="745">
        <v>106.12079999999999</v>
      </c>
      <c r="G11" s="745">
        <v>108.243216</v>
      </c>
      <c r="H11" s="745">
        <v>110.40808032</v>
      </c>
      <c r="I11" s="745">
        <v>112.61624192640001</v>
      </c>
      <c r="J11" s="745">
        <v>114.86856676492798</v>
      </c>
      <c r="K11" s="745">
        <v>118.33759748122881</v>
      </c>
      <c r="L11" s="745">
        <v>120.7043494308534</v>
      </c>
      <c r="M11" s="745">
        <v>124.33743083946523</v>
      </c>
      <c r="N11" s="1219">
        <v>126.82417945625451</v>
      </c>
    </row>
    <row r="12" spans="1:16" x14ac:dyDescent="0.2">
      <c r="B12" t="s">
        <v>724</v>
      </c>
      <c r="D12" s="745">
        <v>400.7835</v>
      </c>
      <c r="E12" s="745">
        <v>411.86516377500004</v>
      </c>
      <c r="F12" s="745">
        <v>423.25323555337883</v>
      </c>
      <c r="G12" s="745">
        <v>434.95618751642974</v>
      </c>
      <c r="H12" s="745">
        <v>446.98272610125906</v>
      </c>
      <c r="I12" s="745">
        <v>459.34179847795895</v>
      </c>
      <c r="J12" s="745">
        <v>472.04259920587441</v>
      </c>
      <c r="K12" s="745">
        <v>485.09457707391692</v>
      </c>
      <c r="L12" s="745">
        <v>498.50744213001076</v>
      </c>
      <c r="M12" s="745">
        <v>512.29117290490569</v>
      </c>
      <c r="N12" s="1220">
        <v>526.45602383572623</v>
      </c>
    </row>
    <row r="13" spans="1:16" x14ac:dyDescent="0.2">
      <c r="A13" s="4"/>
      <c r="B13" s="4"/>
      <c r="C13" s="1287" t="s">
        <v>2956</v>
      </c>
      <c r="D13" s="1289">
        <f>SUM(D6:D12)</f>
        <v>4895.4767688249995</v>
      </c>
      <c r="E13" s="1289">
        <f t="shared" ref="E13:O13" si="0">SUM(E6:E12)</f>
        <v>5435.7792666765263</v>
      </c>
      <c r="F13" s="1289">
        <f t="shared" si="0"/>
        <v>5747.866974848891</v>
      </c>
      <c r="G13" s="1289">
        <f t="shared" si="0"/>
        <v>5720.8623009349149</v>
      </c>
      <c r="H13" s="1289">
        <f t="shared" si="0"/>
        <v>5968.6425116126302</v>
      </c>
      <c r="I13" s="1289">
        <f t="shared" si="0"/>
        <v>6156.415988187523</v>
      </c>
      <c r="J13" s="1289">
        <f t="shared" si="0"/>
        <v>6335.9744736320727</v>
      </c>
      <c r="K13" s="1289">
        <f t="shared" si="0"/>
        <v>6523.9591277868021</v>
      </c>
      <c r="L13" s="1289">
        <f t="shared" si="0"/>
        <v>6714.432956685102</v>
      </c>
      <c r="M13" s="1289">
        <f t="shared" si="0"/>
        <v>6912.3032729208062</v>
      </c>
      <c r="N13" s="1289">
        <f t="shared" si="0"/>
        <v>7113.7667172661904</v>
      </c>
      <c r="O13" s="1289">
        <f t="shared" si="0"/>
        <v>0</v>
      </c>
      <c r="P13" s="1289">
        <f t="shared" ref="P13" si="1">SUM(P6:P12)</f>
        <v>0</v>
      </c>
    </row>
    <row r="15" spans="1:16" x14ac:dyDescent="0.2">
      <c r="A15" s="779" t="s">
        <v>2957</v>
      </c>
      <c r="B15" s="779"/>
    </row>
    <row r="16" spans="1:16" x14ac:dyDescent="0.2">
      <c r="B16" s="779" t="s">
        <v>2958</v>
      </c>
      <c r="D16" s="745">
        <v>2071.0250249999999</v>
      </c>
      <c r="E16" s="745">
        <v>3151.9027999999998</v>
      </c>
      <c r="F16" s="745">
        <v>1920.4549</v>
      </c>
      <c r="G16" s="745">
        <v>3805.1290249999997</v>
      </c>
      <c r="H16" s="745">
        <v>3211.9183499999999</v>
      </c>
      <c r="I16" s="745">
        <v>2192.1703499999999</v>
      </c>
      <c r="J16" s="745">
        <v>4894.2423500000004</v>
      </c>
      <c r="K16" s="1288">
        <v>5382.1067199999998</v>
      </c>
      <c r="L16" s="745">
        <v>3231.4354499999999</v>
      </c>
      <c r="M16" s="745">
        <v>4470.6024500000003</v>
      </c>
      <c r="N16" s="745">
        <v>2658</v>
      </c>
    </row>
    <row r="17" spans="1:16" x14ac:dyDescent="0.2">
      <c r="B17" s="779" t="s">
        <v>3507</v>
      </c>
      <c r="C17" s="1039"/>
      <c r="D17" s="1291">
        <v>2293.0029999999997</v>
      </c>
      <c r="E17" s="1291">
        <v>3000</v>
      </c>
      <c r="F17" s="1291">
        <v>0</v>
      </c>
      <c r="G17" s="1291">
        <v>0</v>
      </c>
      <c r="H17" s="1291">
        <v>0</v>
      </c>
      <c r="I17" s="1291">
        <v>0</v>
      </c>
      <c r="J17" s="1291">
        <v>0</v>
      </c>
      <c r="K17" s="1291">
        <v>0</v>
      </c>
      <c r="L17" s="1291">
        <v>0</v>
      </c>
      <c r="M17" s="1291">
        <v>0</v>
      </c>
      <c r="N17" s="1291">
        <v>0</v>
      </c>
    </row>
    <row r="18" spans="1:16" x14ac:dyDescent="0.2">
      <c r="B18" s="779" t="s">
        <v>3508</v>
      </c>
      <c r="C18" s="1039"/>
      <c r="D18" s="1291">
        <v>836.20150000000001</v>
      </c>
      <c r="E18" s="1291">
        <v>600</v>
      </c>
      <c r="F18" s="1291">
        <v>0</v>
      </c>
      <c r="G18" s="1291">
        <v>0</v>
      </c>
      <c r="H18" s="1291">
        <v>0</v>
      </c>
      <c r="I18" s="1291">
        <v>0</v>
      </c>
      <c r="J18" s="1291">
        <v>0</v>
      </c>
      <c r="K18" s="1291">
        <v>0</v>
      </c>
      <c r="L18" s="1291">
        <v>0</v>
      </c>
      <c r="M18" s="1291">
        <v>0</v>
      </c>
      <c r="N18" s="1291">
        <v>0</v>
      </c>
    </row>
    <row r="19" spans="1:16" x14ac:dyDescent="0.2">
      <c r="B19" t="s">
        <v>2952</v>
      </c>
      <c r="C19" s="16"/>
      <c r="D19" s="1291">
        <v>0</v>
      </c>
      <c r="E19" s="1291">
        <v>0</v>
      </c>
      <c r="F19" s="1291">
        <v>0</v>
      </c>
      <c r="G19" s="1291">
        <v>0</v>
      </c>
      <c r="H19" s="1291">
        <v>0</v>
      </c>
      <c r="I19" s="1291">
        <v>0</v>
      </c>
      <c r="J19" s="1291">
        <v>0</v>
      </c>
      <c r="K19" s="1291">
        <v>0</v>
      </c>
      <c r="L19" s="1291">
        <v>0</v>
      </c>
      <c r="M19" s="1291">
        <v>0</v>
      </c>
      <c r="N19" s="1291">
        <v>0</v>
      </c>
    </row>
    <row r="20" spans="1:16" x14ac:dyDescent="0.2">
      <c r="B20" t="s">
        <v>1024</v>
      </c>
      <c r="C20" s="16"/>
      <c r="D20" s="1291">
        <v>20.177414784000003</v>
      </c>
      <c r="E20" s="1291">
        <v>20.7867727104768</v>
      </c>
      <c r="F20" s="1291">
        <v>21.4145332463332</v>
      </c>
      <c r="G20" s="1288">
        <v>22.731075359999998</v>
      </c>
      <c r="H20" s="1291">
        <v>22.727501965313714</v>
      </c>
      <c r="I20" s="1291">
        <v>23.413872524666193</v>
      </c>
      <c r="J20" s="1291">
        <v>24.120971474911105</v>
      </c>
      <c r="K20" s="1291">
        <v>34.874962638875516</v>
      </c>
      <c r="L20" s="1291">
        <v>25.599877442819718</v>
      </c>
      <c r="M20" s="1291">
        <v>26.372993741592872</v>
      </c>
      <c r="N20" s="1291">
        <v>27.354234784682344</v>
      </c>
    </row>
    <row r="21" spans="1:16" x14ac:dyDescent="0.2">
      <c r="B21" t="s">
        <v>2953</v>
      </c>
      <c r="C21" s="16"/>
      <c r="D21" s="1291">
        <v>0</v>
      </c>
      <c r="E21" s="1291">
        <v>0</v>
      </c>
      <c r="F21" s="1291">
        <v>22.285367999999998</v>
      </c>
      <c r="G21" s="1291">
        <v>0</v>
      </c>
      <c r="H21" s="1291">
        <v>0</v>
      </c>
      <c r="I21" s="1291">
        <v>0</v>
      </c>
      <c r="J21" s="1291">
        <v>0</v>
      </c>
      <c r="K21" s="1288">
        <v>0</v>
      </c>
      <c r="L21" s="1291">
        <v>0</v>
      </c>
      <c r="M21" s="1291">
        <v>0</v>
      </c>
      <c r="N21" s="1291">
        <v>0</v>
      </c>
    </row>
    <row r="22" spans="1:16" x14ac:dyDescent="0.2">
      <c r="B22" s="779" t="s">
        <v>2959</v>
      </c>
      <c r="D22" s="745">
        <v>3.5251199999999998</v>
      </c>
      <c r="E22" s="745">
        <v>14.4449136</v>
      </c>
      <c r="F22" s="745">
        <v>61.405739711999999</v>
      </c>
      <c r="G22" s="745">
        <v>2.45279127456</v>
      </c>
      <c r="H22" s="745">
        <v>61.015921508044805</v>
      </c>
      <c r="I22" s="745">
        <v>15.02525899782029</v>
      </c>
      <c r="J22" s="745">
        <v>1.7689759281798909</v>
      </c>
      <c r="K22" s="745">
        <v>89.04611295617218</v>
      </c>
      <c r="L22" s="745">
        <v>24.556762100051245</v>
      </c>
      <c r="M22" s="745">
        <v>26.20594204104729</v>
      </c>
      <c r="N22" s="745">
        <v>36.057854943444909</v>
      </c>
    </row>
    <row r="23" spans="1:16" x14ac:dyDescent="0.2">
      <c r="B23" t="s">
        <v>2955</v>
      </c>
      <c r="D23" s="745">
        <v>45.070740000000001</v>
      </c>
      <c r="E23" s="745">
        <v>36.7240392</v>
      </c>
      <c r="F23" s="745">
        <v>159.13662926400002</v>
      </c>
      <c r="G23" s="745">
        <v>70.274743123679997</v>
      </c>
      <c r="H23" s="745">
        <v>138.19834617694562</v>
      </c>
      <c r="I23" s="745">
        <v>117.55277489124377</v>
      </c>
      <c r="J23" s="745">
        <v>180.74224374761121</v>
      </c>
      <c r="K23" s="745">
        <v>150.60978347155523</v>
      </c>
      <c r="L23" s="745">
        <v>196.80664910815352</v>
      </c>
      <c r="M23" s="745">
        <v>232.31351857376083</v>
      </c>
      <c r="N23" s="745">
        <v>294.67971108953253</v>
      </c>
    </row>
    <row r="24" spans="1:16" x14ac:dyDescent="0.2">
      <c r="A24" s="4"/>
      <c r="B24" s="4"/>
      <c r="C24" s="4" t="s">
        <v>2960</v>
      </c>
      <c r="D24" s="1093">
        <f>SUM(D16:D23)</f>
        <v>5269.0027997839998</v>
      </c>
      <c r="E24" s="1093">
        <f t="shared" ref="E24:O24" si="2">SUM(E16:E23)</f>
        <v>6823.8585255104772</v>
      </c>
      <c r="F24" s="1093">
        <f t="shared" si="2"/>
        <v>2184.6971702223332</v>
      </c>
      <c r="G24" s="1093">
        <f t="shared" si="2"/>
        <v>3900.5876347582393</v>
      </c>
      <c r="H24" s="1093">
        <f t="shared" si="2"/>
        <v>3433.8601196503041</v>
      </c>
      <c r="I24" s="1093">
        <f t="shared" si="2"/>
        <v>2348.1622564137301</v>
      </c>
      <c r="J24" s="1093">
        <f t="shared" si="2"/>
        <v>5100.8745411507034</v>
      </c>
      <c r="K24" s="1093">
        <f t="shared" si="2"/>
        <v>5656.6375790666025</v>
      </c>
      <c r="L24" s="1093">
        <f t="shared" si="2"/>
        <v>3478.3987386510248</v>
      </c>
      <c r="M24" s="1093">
        <f t="shared" si="2"/>
        <v>4755.4949043564011</v>
      </c>
      <c r="N24" s="1093">
        <f t="shared" si="2"/>
        <v>3016.09180081766</v>
      </c>
      <c r="O24" s="1093">
        <f t="shared" si="2"/>
        <v>0</v>
      </c>
      <c r="P24" s="1093">
        <f t="shared" ref="P24" si="3">SUM(P16:P23)</f>
        <v>0</v>
      </c>
    </row>
    <row r="25" spans="1:16" x14ac:dyDescent="0.2">
      <c r="A25" s="4"/>
      <c r="B25" s="4"/>
      <c r="C25" s="1287" t="s">
        <v>2979</v>
      </c>
      <c r="D25" s="1289">
        <f>D13+D24</f>
        <v>10164.479568609</v>
      </c>
      <c r="E25" s="1289">
        <f t="shared" ref="E25:O25" si="4">E13+E24</f>
        <v>12259.637792187004</v>
      </c>
      <c r="F25" s="1289">
        <f t="shared" si="4"/>
        <v>7932.5641450712246</v>
      </c>
      <c r="G25" s="1289">
        <f t="shared" si="4"/>
        <v>9621.4499356931537</v>
      </c>
      <c r="H25" s="1289">
        <f t="shared" si="4"/>
        <v>9402.5026312629343</v>
      </c>
      <c r="I25" s="1289">
        <f t="shared" si="4"/>
        <v>8504.5782446012527</v>
      </c>
      <c r="J25" s="1289">
        <f t="shared" si="4"/>
        <v>11436.849014782776</v>
      </c>
      <c r="K25" s="1289">
        <f t="shared" si="4"/>
        <v>12180.596706853405</v>
      </c>
      <c r="L25" s="1289">
        <f t="shared" si="4"/>
        <v>10192.831695336126</v>
      </c>
      <c r="M25" s="1289">
        <f t="shared" si="4"/>
        <v>11667.798177277207</v>
      </c>
      <c r="N25" s="1289">
        <f t="shared" si="4"/>
        <v>10129.858518083851</v>
      </c>
      <c r="O25" s="1289">
        <f t="shared" si="4"/>
        <v>0</v>
      </c>
      <c r="P25" s="1289">
        <f t="shared" ref="P25" si="5">P13+P24</f>
        <v>0</v>
      </c>
    </row>
    <row r="26" spans="1:16" x14ac:dyDescent="0.2">
      <c r="C26" s="1039"/>
    </row>
    <row r="27" spans="1:16" x14ac:dyDescent="0.2">
      <c r="A27" s="1280" t="s">
        <v>2961</v>
      </c>
      <c r="B27" s="1280"/>
      <c r="C27" s="1281"/>
    </row>
    <row r="28" spans="1:16" x14ac:dyDescent="0.2">
      <c r="A28" t="s">
        <v>2950</v>
      </c>
    </row>
    <row r="29" spans="1:16" x14ac:dyDescent="0.2">
      <c r="B29" t="s">
        <v>2951</v>
      </c>
      <c r="D29" s="745">
        <f>ROUND(SUM(CIV!A1037:A1053)+SUM(CIV!A1238:A1247),-3)/1000</f>
        <v>3915</v>
      </c>
      <c r="E29" s="745">
        <f>ROUND(SUM(CIV!B1037:B1053)+SUM(CIV!B1238:B1247),-3)/1000</f>
        <v>3284</v>
      </c>
      <c r="F29" s="745">
        <f>ROUND(SUM(CIV!C1037:C1053)+SUM(CIV!C1238:C1247),-3)/1000</f>
        <v>3266</v>
      </c>
      <c r="G29" s="745">
        <f>ROUND(SUM(CIV!D1037:D1053)+SUM(CIV!D1238:D1247),-3)/1000</f>
        <v>3599</v>
      </c>
      <c r="H29" s="745">
        <f>ROUND(SUM(CIV!G1037:G1053)+SUM(CIV!G1238:G1247),-3)/1000</f>
        <v>3288</v>
      </c>
      <c r="I29" s="745">
        <f>ROUND(SUM(CIV!I1037:I1053)+SUM(CIV!I1238:I1247),-3)/1000</f>
        <v>3324</v>
      </c>
      <c r="J29" s="745">
        <f>ROUND(SUM(CIV!J1037:J1053)+SUM(CIV!J1238:J1247),-3)/1000</f>
        <v>3408</v>
      </c>
      <c r="K29" s="745">
        <f>ROUND(SUM(CIV!K1037:K1053)+SUM(CIV!K1238:K1247),-3)/1000</f>
        <v>3494</v>
      </c>
      <c r="L29" s="745">
        <f>ROUND(SUM(CIV!L1037:L1053)+SUM(CIV!L1238:L1247),-3)/1000</f>
        <v>3582</v>
      </c>
      <c r="M29" s="745">
        <f>ROUND(SUM(CIV!M1037:M1053)+SUM(CIV!M1238:M1247),-3)/1000</f>
        <v>3655</v>
      </c>
      <c r="N29" s="745">
        <f>ROUND(SUM(CIV!N1037:N1053)+SUM(CIV!N1238:N1247),-3)/1000</f>
        <v>3729</v>
      </c>
      <c r="O29" s="745">
        <f>ROUND(SUM(CIV!O1037:O1053)+SUM(CIV!O1238:O1247),-3)/1000</f>
        <v>3804</v>
      </c>
      <c r="P29" s="745">
        <f>ROUND(SUM(CIV!P1037:P1053)+SUM(CIV!P1238:P1247),-3)/1000</f>
        <v>3881</v>
      </c>
    </row>
    <row r="30" spans="1:16" x14ac:dyDescent="0.2">
      <c r="B30" t="s">
        <v>2952</v>
      </c>
      <c r="D30" s="745">
        <f>ROUND(SUM(CIV!A1111:A1116),-3)/1000</f>
        <v>119</v>
      </c>
      <c r="E30" s="745">
        <f>ROUND(SUM(CIV!B1111:B1116),-3)/1000</f>
        <v>191</v>
      </c>
      <c r="F30" s="745">
        <f>ROUND(SUM(CIV!C1111:C1116),-3)/1000</f>
        <v>131</v>
      </c>
      <c r="G30" s="745">
        <f>ROUND(SUM(CIV!D1111:D1116),-3)/1000</f>
        <v>152</v>
      </c>
      <c r="H30" s="745">
        <f>ROUND(SUM(CIV!G1111:G1116),-3)/1000</f>
        <v>160</v>
      </c>
      <c r="I30" s="745">
        <f>ROUND(SUM(CIV!I1111:I1116),-3)/1000</f>
        <v>184</v>
      </c>
      <c r="J30" s="745">
        <f>ROUND(SUM(CIV!J1111:J1116),-3)/1000</f>
        <v>189</v>
      </c>
      <c r="K30" s="745">
        <f>ROUND(SUM(CIV!K1111:K1116),-3)/1000</f>
        <v>194</v>
      </c>
      <c r="L30" s="745">
        <f>ROUND(SUM(CIV!L1111:L1116),-3)/1000</f>
        <v>200</v>
      </c>
      <c r="M30" s="745">
        <f>ROUND(SUM(CIV!M1111:M1116),-3)/1000</f>
        <v>204</v>
      </c>
      <c r="N30" s="745">
        <f>ROUND(SUM(CIV!N1111:N1116),-3)/1000</f>
        <v>208</v>
      </c>
      <c r="O30" s="745">
        <f>ROUND(SUM(CIV!O1111:O1116),-3)/1000</f>
        <v>213</v>
      </c>
      <c r="P30" s="745">
        <f>ROUND(SUM(CIV!P1111:P1116),-3)/1000</f>
        <v>217</v>
      </c>
    </row>
    <row r="31" spans="1:16" x14ac:dyDescent="0.2">
      <c r="B31" t="s">
        <v>1024</v>
      </c>
      <c r="D31" s="745">
        <f>ROUND(CIV!A1055,-3)/1000</f>
        <v>37</v>
      </c>
      <c r="E31" s="745">
        <f>ROUND(CIV!B1055,-3)/1000</f>
        <v>15</v>
      </c>
      <c r="F31" s="745">
        <f>ROUND(CIV!C1055,-3)/1000</f>
        <v>10</v>
      </c>
      <c r="G31" s="745">
        <f>ROUND(CIV!D1055,-3)/1000</f>
        <v>13</v>
      </c>
      <c r="H31" s="745">
        <f>ROUND(CIV!G1055,-3)/1000</f>
        <v>21</v>
      </c>
      <c r="I31" s="745">
        <f>ROUND(CIV!I1055,-3)/1000</f>
        <v>22</v>
      </c>
      <c r="J31" s="745">
        <f>ROUND(CIV!J1055,-3)/1000</f>
        <v>23</v>
      </c>
      <c r="K31" s="745">
        <f>ROUND(CIV!K1055,-3)/1000</f>
        <v>23</v>
      </c>
      <c r="L31" s="745">
        <f>ROUND(CIV!L1055,-3)/1000</f>
        <v>24</v>
      </c>
      <c r="M31" s="745">
        <f>ROUND(CIV!M1055,-3)/1000</f>
        <v>24</v>
      </c>
      <c r="N31" s="745">
        <f>ROUND(CIV!N1055,-3)/1000</f>
        <v>25</v>
      </c>
      <c r="O31" s="745">
        <f>ROUND(CIV!O1055,-3)/1000</f>
        <v>25</v>
      </c>
      <c r="P31" s="745">
        <f>ROUND(CIV!P1055,-3)/1000</f>
        <v>26</v>
      </c>
    </row>
    <row r="32" spans="1:16" x14ac:dyDescent="0.2">
      <c r="B32" t="s">
        <v>2953</v>
      </c>
      <c r="D32" s="745">
        <f>ROUND(SUM(CIV!A1173:A1191),-3)/1000</f>
        <v>630</v>
      </c>
      <c r="E32" s="745">
        <f>ROUND(SUM(CIV!B1173:B1191),-3)/1000</f>
        <v>668</v>
      </c>
      <c r="F32" s="745">
        <f>ROUND(SUM(CIV!C1173:C1191),-3)/1000</f>
        <v>745</v>
      </c>
      <c r="G32" s="745">
        <f>ROUND(SUM(CIV!D1173:D1191),-3)/1000</f>
        <v>733</v>
      </c>
      <c r="H32" s="745">
        <f>ROUND(SUM(CIV!G1173:G1191),-3)/1000</f>
        <v>659</v>
      </c>
      <c r="I32" s="745">
        <f>ROUND(SUM(CIV!I1173:I1191),-3)/1000</f>
        <v>710</v>
      </c>
      <c r="J32" s="745">
        <f>ROUND(SUM(CIV!J1173:J1191),-3)/1000</f>
        <v>627</v>
      </c>
      <c r="K32" s="745">
        <f>ROUND(SUM(CIV!K1173:K1191),-3)/1000</f>
        <v>744</v>
      </c>
      <c r="L32" s="745">
        <f>ROUND(SUM(CIV!L1173:L1191),-3)/1000</f>
        <v>662</v>
      </c>
      <c r="M32" s="745">
        <f>ROUND(SUM(CIV!M1173:M1191),-3)/1000</f>
        <v>778</v>
      </c>
      <c r="N32" s="745">
        <f>ROUND(SUM(CIV!N1173:N1191),-3)/1000</f>
        <v>692</v>
      </c>
      <c r="O32" s="745">
        <f>ROUND(SUM(CIV!O1173:O1191),-3)/1000</f>
        <v>811</v>
      </c>
      <c r="P32" s="745">
        <f>ROUND(SUM(CIV!P1173:P1191),-3)/1000</f>
        <v>723</v>
      </c>
    </row>
    <row r="33" spans="1:16" x14ac:dyDescent="0.2">
      <c r="B33" t="s">
        <v>3474</v>
      </c>
      <c r="D33" s="745">
        <f>ROUND(SUM(CIV!A1057:A1057),-3)/1000</f>
        <v>299</v>
      </c>
      <c r="E33" s="745">
        <f>ROUND(SUM(CIV!B1057:B1057),-3)/1000</f>
        <v>258</v>
      </c>
      <c r="F33" s="745">
        <f>ROUND(SUM(CIV!C1057:C1057),-3)/1000</f>
        <v>297</v>
      </c>
      <c r="G33" s="745">
        <f>ROUND(SUM(CIV!D1057:D1057),-3)/1000</f>
        <v>287</v>
      </c>
      <c r="H33" s="745">
        <f>ROUND(SUM(CIV!G1057:G1057),-3)/1000</f>
        <v>298</v>
      </c>
      <c r="I33" s="745">
        <f>ROUND(SUM(CIV!I1057:I1057),-3)/1000</f>
        <v>304</v>
      </c>
      <c r="J33" s="745">
        <f>ROUND(SUM(CIV!J1057:J1057),-3)/1000</f>
        <v>312</v>
      </c>
      <c r="K33" s="745">
        <f>ROUND(SUM(CIV!K1057:K1057),-3)/1000</f>
        <v>319</v>
      </c>
      <c r="L33" s="745">
        <f>ROUND(SUM(CIV!L1057:L1057),-3)/1000</f>
        <v>327</v>
      </c>
      <c r="M33" s="745">
        <f>ROUND(SUM(CIV!M1057:M1057),-3)/1000</f>
        <v>334</v>
      </c>
      <c r="N33" s="745">
        <f>ROUND(SUM(CIV!N1057:N1057),-3)/1000</f>
        <v>341</v>
      </c>
      <c r="O33" s="745">
        <f>ROUND(SUM(CIV!O1057:O1057),-3)/1000</f>
        <v>348</v>
      </c>
      <c r="P33" s="745">
        <f>ROUND(SUM(CIV!P1057:P1057),-3)/1000</f>
        <v>355</v>
      </c>
    </row>
    <row r="34" spans="1:16" x14ac:dyDescent="0.2">
      <c r="B34" t="s">
        <v>2955</v>
      </c>
      <c r="D34" s="745">
        <f>ROUND(SUM(CIV!A1105:A1109)+CIV!A1248,-3)/1000</f>
        <v>218</v>
      </c>
      <c r="E34" s="745">
        <f>ROUND(SUM(CIV!B1105:B1109)+CIV!B1248,-3)/1000</f>
        <v>221</v>
      </c>
      <c r="F34" s="745">
        <f>ROUND(SUM(CIV!C1105:C1109)+CIV!C1248,-3)/1000</f>
        <v>217</v>
      </c>
      <c r="G34" s="745">
        <f>ROUND(SUM(CIV!D1105:D1109)+CIV!D1248,-3)/1000</f>
        <v>231</v>
      </c>
      <c r="H34" s="745">
        <f>ROUND(SUM(CIV!G1105:G1109)+CIV!G1248,-3)/1000</f>
        <v>301</v>
      </c>
      <c r="I34" s="745">
        <f>ROUND(SUM(CIV!I1105:I1109)+CIV!I1248,-3)/1000</f>
        <v>232</v>
      </c>
      <c r="J34" s="745">
        <f>ROUND(SUM(CIV!J1105:J1109)+CIV!J1248,-3)/1000</f>
        <v>238</v>
      </c>
      <c r="K34" s="745">
        <f>ROUND(SUM(CIV!K1105:K1109)+CIV!K1248,-3)/1000</f>
        <v>244</v>
      </c>
      <c r="L34" s="745">
        <f>ROUND(SUM(CIV!L1105:L1109)+CIV!L1248,-3)/1000</f>
        <v>251</v>
      </c>
      <c r="M34" s="745">
        <f>ROUND(SUM(CIV!M1105:M1109)+CIV!M1248,-3)/1000</f>
        <v>256</v>
      </c>
      <c r="N34" s="745">
        <f>ROUND(SUM(CIV!N1105:N1109)+CIV!N1248,-3)/1000</f>
        <v>262</v>
      </c>
      <c r="O34" s="745">
        <f>ROUND(SUM(CIV!O1105:O1109)+CIV!O1248,-3)/1000</f>
        <v>267</v>
      </c>
      <c r="P34" s="745">
        <f>ROUND(SUM(CIV!P1105:P1109)+CIV!P1248,-3)/1000</f>
        <v>273</v>
      </c>
    </row>
    <row r="35" spans="1:16" x14ac:dyDescent="0.2">
      <c r="B35" t="s">
        <v>724</v>
      </c>
      <c r="D35" s="745">
        <f>ROUND(CIV!A1103,-3)/1000</f>
        <v>407</v>
      </c>
      <c r="E35" s="745">
        <f>ROUND(CIV!B1103,-3)/1000</f>
        <v>450</v>
      </c>
      <c r="F35" s="745">
        <f>ROUND(CIV!C1103,-3)/1000</f>
        <v>506</v>
      </c>
      <c r="G35" s="745">
        <f>ROUND(CIV!D1103,-3)/1000</f>
        <v>469</v>
      </c>
      <c r="H35" s="745">
        <f>ROUND(CIV!G1103,-3)/1000</f>
        <v>550</v>
      </c>
      <c r="I35" s="745">
        <f>ROUND(CIV!I1103,-3)/1000</f>
        <v>558</v>
      </c>
      <c r="J35" s="745">
        <f>ROUND(CIV!J1103,-3)/1000</f>
        <v>572</v>
      </c>
      <c r="K35" s="745">
        <f>ROUND(CIV!K1103,-3)/1000</f>
        <v>587</v>
      </c>
      <c r="L35" s="745">
        <f>ROUND(CIV!L1103,-3)/1000</f>
        <v>601</v>
      </c>
      <c r="M35" s="745">
        <f>ROUND(CIV!M1103,-3)/1000</f>
        <v>614</v>
      </c>
      <c r="N35" s="745">
        <f>ROUND(CIV!N1103,-3)/1000</f>
        <v>626</v>
      </c>
      <c r="O35" s="745">
        <f>ROUND(CIV!O1103,-3)/1000</f>
        <v>638</v>
      </c>
      <c r="P35" s="745">
        <f>ROUND(CIV!P1103,-3)/1000</f>
        <v>651</v>
      </c>
    </row>
    <row r="36" spans="1:16" x14ac:dyDescent="0.2">
      <c r="A36" s="4"/>
      <c r="B36" s="4"/>
      <c r="C36" s="4" t="s">
        <v>2962</v>
      </c>
      <c r="D36" s="1093">
        <f>SUM(D29:D35)</f>
        <v>5625</v>
      </c>
      <c r="E36" s="1093">
        <f t="shared" ref="E36:O36" si="6">SUM(E29:E35)</f>
        <v>5087</v>
      </c>
      <c r="F36" s="1093">
        <f t="shared" si="6"/>
        <v>5172</v>
      </c>
      <c r="G36" s="1093">
        <f t="shared" si="6"/>
        <v>5484</v>
      </c>
      <c r="H36" s="1093">
        <f t="shared" si="6"/>
        <v>5277</v>
      </c>
      <c r="I36" s="1093">
        <f t="shared" si="6"/>
        <v>5334</v>
      </c>
      <c r="J36" s="1093">
        <f t="shared" si="6"/>
        <v>5369</v>
      </c>
      <c r="K36" s="1093">
        <f t="shared" si="6"/>
        <v>5605</v>
      </c>
      <c r="L36" s="1093">
        <f t="shared" si="6"/>
        <v>5647</v>
      </c>
      <c r="M36" s="1093">
        <f t="shared" si="6"/>
        <v>5865</v>
      </c>
      <c r="N36" s="1093">
        <f t="shared" si="6"/>
        <v>5883</v>
      </c>
      <c r="O36" s="1093">
        <f t="shared" si="6"/>
        <v>6106</v>
      </c>
      <c r="P36" s="1093">
        <f t="shared" ref="P36" si="7">SUM(P29:P35)</f>
        <v>6126</v>
      </c>
    </row>
    <row r="38" spans="1:16" x14ac:dyDescent="0.2">
      <c r="A38" s="779" t="s">
        <v>2957</v>
      </c>
      <c r="B38" s="779"/>
    </row>
    <row r="39" spans="1:16" x14ac:dyDescent="0.2">
      <c r="B39" s="779" t="s">
        <v>2958</v>
      </c>
      <c r="D39" s="745">
        <v>4530</v>
      </c>
      <c r="E39" s="745" t="e">
        <f>ROUND(SUM('Cap-Gen'!#REF!)+'Cap-Gen'!#REF!+'Cap-Gen'!#REF!,-3)/1000-1100</f>
        <v>#REF!</v>
      </c>
      <c r="F39" s="745" t="e">
        <f>ROUND(SUM('Cap-Gen'!#REF!)+'Cap-Gen'!#REF!+'Cap-Gen'!#REF!,-3)/1000</f>
        <v>#REF!</v>
      </c>
      <c r="G39" s="745" t="e">
        <f>ROUND(SUM('Cap-Gen'!E115:E125)+'Cap-Gen'!#REF!+'Cap-Gen'!#REF!,-3)/1000</f>
        <v>#REF!</v>
      </c>
      <c r="H39" s="745" t="e">
        <f>ROUND(SUM('Cap-Gen'!F115:F125)+'Cap-Gen'!#REF!+'Cap-Gen'!#REF!,-3)/1000</f>
        <v>#REF!</v>
      </c>
      <c r="I39" s="745" t="e">
        <f>ROUND(SUM('Cap-Gen'!G115:G125)+'Cap-Gen'!#REF!+'Cap-Gen'!#REF!,-3)/1000</f>
        <v>#REF!</v>
      </c>
      <c r="J39" s="745" t="e">
        <f>ROUND(SUM('Cap-Gen'!H115:H125)+'Cap-Gen'!#REF!+'Cap-Gen'!#REF!,-3)/1000</f>
        <v>#REF!</v>
      </c>
      <c r="K39" s="745" t="e">
        <f>ROUND(SUM('Cap-Gen'!I115:I125)+'Cap-Gen'!#REF!+'Cap-Gen'!#REF!,-3)/1000</f>
        <v>#REF!</v>
      </c>
      <c r="L39" s="745" t="e">
        <f>ROUND(SUM('Cap-Gen'!J115:J125)+'Cap-Gen'!#REF!+'Cap-Gen'!#REF!,-3)/1000</f>
        <v>#REF!</v>
      </c>
      <c r="M39" s="745" t="e">
        <f>ROUND(SUM('Cap-Gen'!K115:K125)+'Cap-Gen'!#REF!+'Cap-Gen'!#REF!,-3)/1000</f>
        <v>#REF!</v>
      </c>
      <c r="N39" s="745" t="e">
        <f>ROUND(SUM('Cap-Gen'!L115:L125)+'Cap-Gen'!#REF!+'Cap-Gen'!#REF!,-3)/1000</f>
        <v>#REF!</v>
      </c>
      <c r="O39" s="745" t="e">
        <f>ROUND(SUM('Cap-Gen'!M115:M125)+'Cap-Gen'!#REF!+'Cap-Gen'!#REF!,-3)/1000</f>
        <v>#REF!</v>
      </c>
      <c r="P39" s="745" t="e">
        <f>ROUND(SUM('Cap-Gen'!#REF!)+'Cap-Gen'!#REF!+'Cap-Gen'!#REF!,-3)/1000</f>
        <v>#REF!</v>
      </c>
    </row>
    <row r="40" spans="1:16" x14ac:dyDescent="0.2">
      <c r="B40" t="s">
        <v>2952</v>
      </c>
      <c r="D40" s="745">
        <v>211</v>
      </c>
      <c r="E40" s="745" t="e">
        <f>ROUND('Cap-Gen'!#REF!,-3)/1000+185</f>
        <v>#REF!</v>
      </c>
      <c r="F40" s="745" t="e">
        <f>ROUND('Cap-Gen'!#REF!,-3)/1000+190</f>
        <v>#REF!</v>
      </c>
      <c r="G40" s="745">
        <f>ROUND('Cap-Gen'!E141,-3)/1000</f>
        <v>374</v>
      </c>
      <c r="H40" s="745">
        <f>ROUND('Cap-Gen'!F141,-3)/1000</f>
        <v>438</v>
      </c>
      <c r="I40" s="745">
        <f>ROUND('Cap-Gen'!G141,-3)/1000</f>
        <v>366</v>
      </c>
      <c r="J40" s="745">
        <f>ROUND('Cap-Gen'!H141,-3)/1000</f>
        <v>459</v>
      </c>
      <c r="K40" s="745">
        <f>ROUND('Cap-Gen'!I141,-3)/1000</f>
        <v>477</v>
      </c>
      <c r="L40" s="745">
        <f>ROUND('Cap-Gen'!J141,-3)/1000</f>
        <v>489</v>
      </c>
      <c r="M40" s="745">
        <f>ROUND('Cap-Gen'!K141,-3)/1000</f>
        <v>501</v>
      </c>
      <c r="N40" s="745">
        <f>ROUND('Cap-Gen'!L141,-3)/1000</f>
        <v>514</v>
      </c>
      <c r="O40" s="745">
        <f>ROUND('Cap-Gen'!M141,-3)/1000</f>
        <v>527</v>
      </c>
      <c r="P40" s="745" t="e">
        <f>ROUND('Cap-Gen'!#REF!,-3)/1000</f>
        <v>#REF!</v>
      </c>
    </row>
    <row r="41" spans="1:16" x14ac:dyDescent="0.2">
      <c r="B41" t="s">
        <v>1024</v>
      </c>
      <c r="D41" s="745">
        <v>1062</v>
      </c>
      <c r="E41" s="745" t="e">
        <f>ROUND('Cap-Gen'!#REF!,-3)/1000</f>
        <v>#REF!</v>
      </c>
      <c r="F41" s="745" t="e">
        <f>ROUND('Cap-Gen'!#REF!,-3)/1000</f>
        <v>#REF!</v>
      </c>
      <c r="G41" s="745">
        <f>ROUND('Cap-Gen'!E136,-3)/1000</f>
        <v>96</v>
      </c>
      <c r="H41" s="745">
        <f>ROUND('Cap-Gen'!F136,-3)/1000</f>
        <v>287</v>
      </c>
      <c r="I41" s="745">
        <f>ROUND('Cap-Gen'!G136,-3)/1000</f>
        <v>104</v>
      </c>
      <c r="J41" s="745">
        <f>ROUND('Cap-Gen'!H136,-3)/1000</f>
        <v>108</v>
      </c>
      <c r="K41" s="745">
        <f>ROUND('Cap-Gen'!I136,-3)/1000</f>
        <v>112</v>
      </c>
      <c r="L41" s="745">
        <f>ROUND('Cap-Gen'!J136,-3)/1000</f>
        <v>115</v>
      </c>
      <c r="M41" s="745">
        <f>ROUND('Cap-Gen'!K136,-3)/1000</f>
        <v>118</v>
      </c>
      <c r="N41" s="745">
        <f>ROUND('Cap-Gen'!L136,-3)/1000</f>
        <v>121</v>
      </c>
      <c r="O41" s="745">
        <f>ROUND('Cap-Gen'!M136,-3)/1000</f>
        <v>124</v>
      </c>
      <c r="P41" s="745" t="e">
        <f>ROUND('Cap-Gen'!#REF!,-3)/1000</f>
        <v>#REF!</v>
      </c>
    </row>
    <row r="42" spans="1:16" x14ac:dyDescent="0.2">
      <c r="B42" t="s">
        <v>2953</v>
      </c>
      <c r="D42" s="745">
        <v>261</v>
      </c>
      <c r="E42" s="745" t="e">
        <f>ROUND(SUM('Cap-Gen'!#REF!),-3)/1000</f>
        <v>#REF!</v>
      </c>
      <c r="F42" s="745" t="e">
        <f>ROUND(SUM('Cap-Gen'!#REF!),-3)/1000</f>
        <v>#REF!</v>
      </c>
      <c r="G42" s="745" t="e">
        <f>ROUND(SUM('Cap-Gen'!#REF!),-3)/1000</f>
        <v>#REF!</v>
      </c>
      <c r="H42" s="745" t="e">
        <f>ROUND(SUM('Cap-Gen'!#REF!),-3)/1000</f>
        <v>#REF!</v>
      </c>
      <c r="I42" s="745" t="e">
        <f>ROUND(SUM('Cap-Gen'!#REF!),-3)/1000</f>
        <v>#REF!</v>
      </c>
      <c r="J42" s="745" t="e">
        <f>ROUND(SUM('Cap-Gen'!#REF!),-3)/1000</f>
        <v>#REF!</v>
      </c>
      <c r="K42" s="745" t="e">
        <f>ROUND(SUM('Cap-Gen'!#REF!),-3)/1000</f>
        <v>#REF!</v>
      </c>
      <c r="L42" s="745" t="e">
        <f>ROUND(SUM('Cap-Gen'!#REF!),-3)/1000</f>
        <v>#REF!</v>
      </c>
      <c r="M42" s="745" t="e">
        <f>ROUND(SUM('Cap-Gen'!#REF!),-3)/1000</f>
        <v>#REF!</v>
      </c>
      <c r="N42" s="745" t="e">
        <f>ROUND(SUM('Cap-Gen'!#REF!),-3)/1000</f>
        <v>#REF!</v>
      </c>
      <c r="O42" s="745" t="e">
        <f>ROUND(SUM('Cap-Gen'!#REF!),-3)/1000</f>
        <v>#REF!</v>
      </c>
      <c r="P42" s="745" t="e">
        <f>ROUND(SUM('Cap-Gen'!#REF!),-3)/1000</f>
        <v>#REF!</v>
      </c>
    </row>
    <row r="43" spans="1:16" x14ac:dyDescent="0.2">
      <c r="B43" s="779" t="s">
        <v>2959</v>
      </c>
      <c r="D43" s="745">
        <v>0</v>
      </c>
      <c r="E43" s="745">
        <v>0</v>
      </c>
      <c r="F43" s="745">
        <v>0</v>
      </c>
      <c r="G43" s="745">
        <v>0</v>
      </c>
      <c r="H43" s="745">
        <v>0</v>
      </c>
      <c r="I43" s="745">
        <v>0</v>
      </c>
      <c r="J43" s="745">
        <v>0</v>
      </c>
      <c r="K43" s="745">
        <v>0</v>
      </c>
      <c r="L43" s="745">
        <v>0</v>
      </c>
      <c r="M43" s="745">
        <v>0</v>
      </c>
      <c r="N43" s="745">
        <v>0</v>
      </c>
      <c r="O43" s="745">
        <v>0</v>
      </c>
      <c r="P43" s="745">
        <v>0</v>
      </c>
    </row>
    <row r="44" spans="1:16" x14ac:dyDescent="0.2">
      <c r="B44" t="s">
        <v>2955</v>
      </c>
      <c r="D44" s="745">
        <v>0</v>
      </c>
      <c r="E44" s="745">
        <v>0</v>
      </c>
      <c r="F44" s="745">
        <v>0</v>
      </c>
      <c r="G44" s="745">
        <v>0</v>
      </c>
      <c r="H44" s="745">
        <v>0</v>
      </c>
      <c r="I44" s="745">
        <v>0</v>
      </c>
      <c r="J44" s="745">
        <v>0</v>
      </c>
      <c r="K44" s="745">
        <v>0</v>
      </c>
      <c r="L44" s="745">
        <v>0</v>
      </c>
      <c r="M44" s="745">
        <v>0</v>
      </c>
      <c r="N44" s="745">
        <v>0</v>
      </c>
      <c r="O44" s="745">
        <v>0</v>
      </c>
      <c r="P44" s="745">
        <v>0</v>
      </c>
    </row>
    <row r="45" spans="1:16" x14ac:dyDescent="0.2">
      <c r="A45" s="4"/>
      <c r="B45" s="4"/>
      <c r="C45" s="4" t="s">
        <v>2963</v>
      </c>
      <c r="D45" s="1094">
        <f>SUM(D39:D44)</f>
        <v>6064</v>
      </c>
      <c r="E45" s="1094" t="e">
        <f t="shared" ref="E45:O45" si="8">SUM(E39:E44)</f>
        <v>#REF!</v>
      </c>
      <c r="F45" s="1094" t="e">
        <f t="shared" si="8"/>
        <v>#REF!</v>
      </c>
      <c r="G45" s="1094" t="e">
        <f t="shared" si="8"/>
        <v>#REF!</v>
      </c>
      <c r="H45" s="1094" t="e">
        <f t="shared" si="8"/>
        <v>#REF!</v>
      </c>
      <c r="I45" s="1094" t="e">
        <f t="shared" si="8"/>
        <v>#REF!</v>
      </c>
      <c r="J45" s="1094" t="e">
        <f t="shared" si="8"/>
        <v>#REF!</v>
      </c>
      <c r="K45" s="1094" t="e">
        <f t="shared" si="8"/>
        <v>#REF!</v>
      </c>
      <c r="L45" s="1094" t="e">
        <f t="shared" si="8"/>
        <v>#REF!</v>
      </c>
      <c r="M45" s="1094" t="e">
        <f t="shared" si="8"/>
        <v>#REF!</v>
      </c>
      <c r="N45" s="1094" t="e">
        <f t="shared" si="8"/>
        <v>#REF!</v>
      </c>
      <c r="O45" s="1094" t="e">
        <f t="shared" si="8"/>
        <v>#REF!</v>
      </c>
      <c r="P45" s="1094" t="e">
        <f t="shared" ref="P45" si="9">SUM(P39:P44)</f>
        <v>#REF!</v>
      </c>
    </row>
    <row r="46" spans="1:16" x14ac:dyDescent="0.2">
      <c r="C46" s="1287" t="s">
        <v>2980</v>
      </c>
      <c r="D46" s="1290">
        <f>D36+D45</f>
        <v>11689</v>
      </c>
      <c r="E46" s="1290" t="e">
        <f t="shared" ref="E46:O46" si="10">E36+E45</f>
        <v>#REF!</v>
      </c>
      <c r="F46" s="1290" t="e">
        <f t="shared" si="10"/>
        <v>#REF!</v>
      </c>
      <c r="G46" s="1290" t="e">
        <f t="shared" si="10"/>
        <v>#REF!</v>
      </c>
      <c r="H46" s="1290" t="e">
        <f t="shared" si="10"/>
        <v>#REF!</v>
      </c>
      <c r="I46" s="1290" t="e">
        <f t="shared" si="10"/>
        <v>#REF!</v>
      </c>
      <c r="J46" s="1290" t="e">
        <f t="shared" si="10"/>
        <v>#REF!</v>
      </c>
      <c r="K46" s="1290" t="e">
        <f t="shared" si="10"/>
        <v>#REF!</v>
      </c>
      <c r="L46" s="1290" t="e">
        <f t="shared" si="10"/>
        <v>#REF!</v>
      </c>
      <c r="M46" s="1290" t="e">
        <f t="shared" si="10"/>
        <v>#REF!</v>
      </c>
      <c r="N46" s="1290" t="e">
        <f t="shared" si="10"/>
        <v>#REF!</v>
      </c>
      <c r="O46" s="1290" t="e">
        <f t="shared" si="10"/>
        <v>#REF!</v>
      </c>
      <c r="P46" s="1290" t="e">
        <f t="shared" ref="P46" si="11">P36+P45</f>
        <v>#REF!</v>
      </c>
    </row>
    <row r="47" spans="1:16" s="4" customFormat="1" x14ac:dyDescent="0.2">
      <c r="C47" s="4" t="s">
        <v>2981</v>
      </c>
      <c r="D47" s="1094">
        <f>D46-D25</f>
        <v>1524.5204313909999</v>
      </c>
      <c r="E47" s="1094" t="e">
        <f t="shared" ref="E47:O47" si="12">E46-E25</f>
        <v>#REF!</v>
      </c>
      <c r="F47" s="1094" t="e">
        <f t="shared" si="12"/>
        <v>#REF!</v>
      </c>
      <c r="G47" s="1094" t="e">
        <f t="shared" si="12"/>
        <v>#REF!</v>
      </c>
      <c r="H47" s="1094" t="e">
        <f t="shared" si="12"/>
        <v>#REF!</v>
      </c>
      <c r="I47" s="1094" t="e">
        <f t="shared" si="12"/>
        <v>#REF!</v>
      </c>
      <c r="J47" s="1094" t="e">
        <f t="shared" si="12"/>
        <v>#REF!</v>
      </c>
      <c r="K47" s="1094" t="e">
        <f t="shared" si="12"/>
        <v>#REF!</v>
      </c>
      <c r="L47" s="1094" t="e">
        <f t="shared" si="12"/>
        <v>#REF!</v>
      </c>
      <c r="M47" s="1094" t="e">
        <f t="shared" si="12"/>
        <v>#REF!</v>
      </c>
      <c r="N47" s="1094" t="e">
        <f t="shared" si="12"/>
        <v>#REF!</v>
      </c>
      <c r="O47" s="1094" t="e">
        <f t="shared" si="12"/>
        <v>#REF!</v>
      </c>
      <c r="P47" s="1094" t="e">
        <f t="shared" ref="P47" si="13">P46-P25</f>
        <v>#REF!</v>
      </c>
    </row>
    <row r="48" spans="1:16" s="4" customFormat="1" x14ac:dyDescent="0.2">
      <c r="C48" s="4" t="s">
        <v>2982</v>
      </c>
      <c r="D48" s="1094">
        <f>D47</f>
        <v>1524.5204313909999</v>
      </c>
      <c r="E48" s="1094" t="e">
        <f t="shared" ref="E48:P48" si="14">D48+E47</f>
        <v>#REF!</v>
      </c>
      <c r="F48" s="1094" t="e">
        <f t="shared" si="14"/>
        <v>#REF!</v>
      </c>
      <c r="G48" s="1094" t="e">
        <f t="shared" si="14"/>
        <v>#REF!</v>
      </c>
      <c r="H48" s="1094" t="e">
        <f t="shared" si="14"/>
        <v>#REF!</v>
      </c>
      <c r="I48" s="1094" t="e">
        <f t="shared" si="14"/>
        <v>#REF!</v>
      </c>
      <c r="J48" s="1094" t="e">
        <f t="shared" si="14"/>
        <v>#REF!</v>
      </c>
      <c r="K48" s="1094" t="e">
        <f t="shared" si="14"/>
        <v>#REF!</v>
      </c>
      <c r="L48" s="1094" t="e">
        <f t="shared" si="14"/>
        <v>#REF!</v>
      </c>
      <c r="M48" s="1094" t="e">
        <f t="shared" si="14"/>
        <v>#REF!</v>
      </c>
      <c r="N48" s="1094" t="e">
        <f t="shared" si="14"/>
        <v>#REF!</v>
      </c>
      <c r="O48" s="1094" t="e">
        <f t="shared" si="14"/>
        <v>#REF!</v>
      </c>
      <c r="P48" s="1094" t="e">
        <f t="shared" si="14"/>
        <v>#REF!</v>
      </c>
    </row>
    <row r="49" spans="1:16" x14ac:dyDescent="0.2">
      <c r="A49" s="779" t="s">
        <v>61</v>
      </c>
      <c r="D49" s="745"/>
      <c r="E49" s="745"/>
      <c r="F49" s="745"/>
      <c r="G49" s="745"/>
      <c r="H49" s="745"/>
      <c r="I49" s="745"/>
      <c r="J49" s="745"/>
      <c r="K49" s="745"/>
      <c r="L49" s="745"/>
      <c r="M49" s="745"/>
      <c r="N49" s="745"/>
      <c r="O49" s="745"/>
      <c r="P49" s="745"/>
    </row>
    <row r="50" spans="1:16" x14ac:dyDescent="0.2">
      <c r="D50" s="745"/>
      <c r="E50" s="745"/>
      <c r="F50" s="745"/>
      <c r="G50" s="745"/>
      <c r="H50" s="745"/>
      <c r="I50" s="745"/>
      <c r="J50" s="745"/>
      <c r="K50" s="745"/>
      <c r="L50" s="745"/>
      <c r="M50" s="745"/>
      <c r="N50" s="745"/>
      <c r="O50" s="745"/>
      <c r="P50" s="745"/>
    </row>
    <row r="51" spans="1:16" x14ac:dyDescent="0.2">
      <c r="C51" s="779" t="s">
        <v>3509</v>
      </c>
      <c r="D51" s="745"/>
      <c r="E51" s="745"/>
      <c r="F51" s="745"/>
      <c r="G51" s="745"/>
      <c r="H51" s="745"/>
      <c r="I51" s="745"/>
      <c r="J51" s="745"/>
      <c r="K51" s="745"/>
      <c r="L51" s="745"/>
      <c r="M51" s="745"/>
      <c r="N51" s="745"/>
      <c r="O51" s="745"/>
      <c r="P51" s="745"/>
    </row>
    <row r="52" spans="1:16" x14ac:dyDescent="0.2">
      <c r="C52" s="779" t="s">
        <v>3510</v>
      </c>
      <c r="D52" s="745"/>
      <c r="E52" s="745"/>
      <c r="F52" s="745"/>
      <c r="G52" s="745"/>
      <c r="H52" s="745"/>
      <c r="I52" s="745"/>
      <c r="J52" s="745"/>
      <c r="K52" s="745"/>
      <c r="L52" s="745"/>
      <c r="M52" s="745"/>
      <c r="N52" s="745"/>
      <c r="O52" s="745"/>
      <c r="P52" s="745"/>
    </row>
    <row r="53" spans="1:16" x14ac:dyDescent="0.2">
      <c r="C53" s="779" t="s">
        <v>3511</v>
      </c>
      <c r="D53" s="745"/>
      <c r="E53" s="745"/>
      <c r="F53" s="745"/>
      <c r="G53" s="745"/>
      <c r="H53" s="745"/>
      <c r="I53" s="745"/>
      <c r="J53" s="745"/>
      <c r="K53" s="745"/>
      <c r="L53" s="745"/>
      <c r="M53" s="745"/>
      <c r="N53" s="745"/>
      <c r="O53" s="745"/>
      <c r="P53" s="745"/>
    </row>
    <row r="54" spans="1:16" x14ac:dyDescent="0.2">
      <c r="C54" t="s">
        <v>3512</v>
      </c>
      <c r="D54" s="745"/>
      <c r="E54" s="745"/>
      <c r="F54" s="745"/>
      <c r="G54" s="745"/>
      <c r="H54" s="745"/>
      <c r="I54" s="745"/>
      <c r="J54" s="745"/>
      <c r="K54" s="745"/>
      <c r="L54" s="745"/>
      <c r="M54" s="745"/>
      <c r="N54" s="745"/>
      <c r="O54" s="745"/>
      <c r="P54" s="745"/>
    </row>
    <row r="55" spans="1:16" x14ac:dyDescent="0.2">
      <c r="C55" t="s">
        <v>3513</v>
      </c>
      <c r="D55" s="745"/>
      <c r="E55" s="745"/>
      <c r="F55" s="745"/>
      <c r="G55" s="745"/>
      <c r="H55" s="745"/>
      <c r="I55" s="745"/>
      <c r="J55" s="745"/>
      <c r="K55" s="745"/>
      <c r="L55" s="745"/>
      <c r="M55" s="745"/>
      <c r="N55" s="745"/>
      <c r="O55" s="745"/>
      <c r="P55" s="745"/>
    </row>
    <row r="56" spans="1:16" x14ac:dyDescent="0.2">
      <c r="C56" t="s">
        <v>3514</v>
      </c>
      <c r="D56" s="745"/>
      <c r="E56" s="745"/>
      <c r="F56" s="745"/>
      <c r="G56" s="745"/>
      <c r="H56" s="745"/>
      <c r="I56" s="745"/>
      <c r="J56" s="745"/>
      <c r="K56" s="745"/>
      <c r="L56" s="745"/>
      <c r="M56" s="745"/>
      <c r="N56" s="745"/>
      <c r="O56" s="745"/>
      <c r="P56" s="745"/>
    </row>
    <row r="57" spans="1:16" x14ac:dyDescent="0.2">
      <c r="C57" t="s">
        <v>3515</v>
      </c>
      <c r="D57" s="745"/>
      <c r="E57" s="745"/>
      <c r="F57" s="745"/>
      <c r="G57" s="745"/>
      <c r="H57" s="745"/>
      <c r="I57" s="745"/>
      <c r="J57" s="745"/>
      <c r="K57" s="745"/>
      <c r="L57" s="745"/>
      <c r="M57" s="745"/>
      <c r="N57" s="745"/>
      <c r="O57" s="745"/>
      <c r="P57" s="745"/>
    </row>
    <row r="58" spans="1:16" x14ac:dyDescent="0.2">
      <c r="C58" t="s">
        <v>3516</v>
      </c>
      <c r="D58" s="745"/>
      <c r="E58" s="745"/>
      <c r="F58" s="745"/>
      <c r="G58" s="745"/>
      <c r="H58" s="745"/>
      <c r="I58" s="745"/>
      <c r="J58" s="745"/>
      <c r="K58" s="745"/>
      <c r="L58" s="745"/>
      <c r="M58" s="745"/>
      <c r="N58" s="745"/>
      <c r="O58" s="745"/>
      <c r="P58" s="745"/>
    </row>
    <row r="59" spans="1:16" x14ac:dyDescent="0.2">
      <c r="C59" t="s">
        <v>3517</v>
      </c>
      <c r="D59" s="745"/>
      <c r="E59" s="745"/>
      <c r="F59" s="745"/>
      <c r="G59" s="745"/>
      <c r="H59" s="745"/>
      <c r="I59" s="745"/>
      <c r="J59" s="745"/>
      <c r="K59" s="745"/>
      <c r="L59" s="745"/>
      <c r="M59" s="745"/>
      <c r="N59" s="745"/>
      <c r="O59" s="745"/>
      <c r="P59" s="745"/>
    </row>
    <row r="60" spans="1:16" x14ac:dyDescent="0.2">
      <c r="D60" s="745"/>
      <c r="E60" s="745"/>
      <c r="F60" s="745"/>
      <c r="G60" s="745"/>
      <c r="H60" s="745"/>
      <c r="I60" s="745"/>
      <c r="J60" s="745"/>
      <c r="K60" s="745"/>
      <c r="L60" s="745"/>
      <c r="M60" s="745"/>
      <c r="N60" s="745"/>
      <c r="O60" s="745"/>
      <c r="P60" s="745"/>
    </row>
    <row r="61" spans="1:16" x14ac:dyDescent="0.2">
      <c r="D61" s="745"/>
      <c r="E61" s="745"/>
      <c r="F61" s="745"/>
      <c r="G61" s="745"/>
      <c r="H61" s="745"/>
      <c r="I61" s="745"/>
      <c r="J61" s="745"/>
      <c r="K61" s="745"/>
      <c r="L61" s="745"/>
      <c r="M61" s="745"/>
      <c r="N61" s="745"/>
      <c r="O61" s="745"/>
      <c r="P61" s="745"/>
    </row>
    <row r="62" spans="1:16" x14ac:dyDescent="0.2">
      <c r="D62" s="745"/>
      <c r="E62" s="745"/>
      <c r="F62" s="745"/>
      <c r="G62" s="745"/>
      <c r="H62" s="745"/>
      <c r="I62" s="745"/>
      <c r="J62" s="745"/>
      <c r="K62" s="745"/>
      <c r="L62" s="745"/>
      <c r="M62" s="745"/>
      <c r="N62" s="745"/>
      <c r="O62" s="745"/>
      <c r="P62" s="745"/>
    </row>
    <row r="63" spans="1:16" x14ac:dyDescent="0.2">
      <c r="D63" s="745"/>
      <c r="E63" s="745"/>
      <c r="F63" s="745"/>
      <c r="G63" s="745"/>
      <c r="H63" s="745"/>
      <c r="I63" s="745"/>
      <c r="J63" s="745"/>
      <c r="K63" s="745"/>
      <c r="L63" s="745"/>
      <c r="M63" s="745"/>
      <c r="N63" s="745"/>
      <c r="O63" s="745"/>
      <c r="P63" s="745"/>
    </row>
    <row r="64" spans="1:16" x14ac:dyDescent="0.2">
      <c r="D64" s="745"/>
      <c r="E64" s="745"/>
      <c r="F64" s="745"/>
      <c r="G64" s="745"/>
      <c r="H64" s="745"/>
      <c r="I64" s="745"/>
      <c r="J64" s="745"/>
      <c r="K64" s="745"/>
      <c r="L64" s="745"/>
      <c r="M64" s="745"/>
      <c r="N64" s="745"/>
      <c r="O64" s="745"/>
      <c r="P64" s="745"/>
    </row>
    <row r="65" spans="4:16" x14ac:dyDescent="0.2">
      <c r="D65" s="745"/>
      <c r="E65" s="745"/>
      <c r="F65" s="745"/>
      <c r="G65" s="745"/>
      <c r="H65" s="745"/>
      <c r="I65" s="745"/>
      <c r="J65" s="745"/>
      <c r="K65" s="745"/>
      <c r="L65" s="745"/>
      <c r="M65" s="745"/>
      <c r="N65" s="745"/>
      <c r="O65" s="745"/>
      <c r="P65" s="745"/>
    </row>
    <row r="66" spans="4:16" x14ac:dyDescent="0.2">
      <c r="D66" s="745"/>
      <c r="E66" s="745"/>
      <c r="F66" s="745"/>
      <c r="G66" s="745"/>
      <c r="H66" s="745"/>
      <c r="I66" s="745"/>
      <c r="J66" s="745"/>
      <c r="K66" s="745"/>
      <c r="L66" s="745"/>
      <c r="M66" s="745"/>
      <c r="N66" s="745"/>
      <c r="O66" s="745"/>
      <c r="P66" s="745"/>
    </row>
    <row r="67" spans="4:16" x14ac:dyDescent="0.2">
      <c r="D67" s="745"/>
      <c r="E67" s="745"/>
      <c r="F67" s="745"/>
      <c r="G67" s="745"/>
      <c r="H67" s="745"/>
      <c r="I67" s="745"/>
      <c r="J67" s="745"/>
      <c r="K67" s="745"/>
      <c r="L67" s="745"/>
      <c r="M67" s="745"/>
      <c r="N67" s="745"/>
      <c r="O67" s="745"/>
      <c r="P67" s="745"/>
    </row>
    <row r="68" spans="4:16" x14ac:dyDescent="0.2">
      <c r="D68" s="745"/>
      <c r="E68" s="745"/>
      <c r="F68" s="745"/>
      <c r="G68" s="745"/>
      <c r="H68" s="745"/>
      <c r="I68" s="745"/>
      <c r="J68" s="745"/>
      <c r="K68" s="745"/>
      <c r="L68" s="745"/>
      <c r="M68" s="745"/>
      <c r="N68" s="745"/>
      <c r="O68" s="745"/>
      <c r="P68" s="745"/>
    </row>
    <row r="69" spans="4:16" x14ac:dyDescent="0.2">
      <c r="D69" s="745"/>
      <c r="E69" s="745"/>
      <c r="F69" s="745"/>
      <c r="G69" s="745"/>
      <c r="H69" s="745"/>
      <c r="I69" s="745"/>
      <c r="J69" s="745"/>
      <c r="K69" s="745"/>
      <c r="L69" s="745"/>
      <c r="M69" s="745"/>
      <c r="N69" s="745"/>
      <c r="O69" s="745"/>
      <c r="P69" s="745"/>
    </row>
    <row r="70" spans="4:16" x14ac:dyDescent="0.2">
      <c r="D70" s="745"/>
      <c r="E70" s="745"/>
      <c r="F70" s="745"/>
      <c r="G70" s="745"/>
      <c r="H70" s="745"/>
      <c r="I70" s="745"/>
      <c r="J70" s="745"/>
      <c r="K70" s="745"/>
      <c r="L70" s="745"/>
      <c r="M70" s="745"/>
      <c r="N70" s="745"/>
      <c r="O70" s="745"/>
      <c r="P70" s="745"/>
    </row>
    <row r="71" spans="4:16" x14ac:dyDescent="0.2">
      <c r="D71" s="745"/>
      <c r="E71" s="745"/>
      <c r="F71" s="745"/>
      <c r="G71" s="745"/>
      <c r="H71" s="745"/>
      <c r="I71" s="745"/>
      <c r="J71" s="745"/>
      <c r="K71" s="745"/>
      <c r="L71" s="745"/>
      <c r="M71" s="745"/>
      <c r="N71" s="745"/>
      <c r="O71" s="745"/>
      <c r="P71" s="745"/>
    </row>
    <row r="72" spans="4:16" x14ac:dyDescent="0.2">
      <c r="D72" s="745"/>
      <c r="E72" s="745"/>
      <c r="F72" s="745"/>
      <c r="G72" s="745"/>
      <c r="H72" s="745"/>
      <c r="I72" s="745"/>
      <c r="J72" s="745"/>
      <c r="K72" s="745"/>
      <c r="L72" s="745"/>
      <c r="M72" s="745"/>
      <c r="N72" s="745"/>
      <c r="O72" s="745"/>
      <c r="P72" s="745"/>
    </row>
    <row r="73" spans="4:16" x14ac:dyDescent="0.2">
      <c r="D73" s="745"/>
      <c r="E73" s="745"/>
      <c r="F73" s="745"/>
      <c r="G73" s="745"/>
      <c r="H73" s="745"/>
      <c r="I73" s="745"/>
      <c r="J73" s="745"/>
      <c r="K73" s="745"/>
      <c r="L73" s="745"/>
      <c r="M73" s="745"/>
      <c r="N73" s="745"/>
      <c r="O73" s="745"/>
      <c r="P73" s="745"/>
    </row>
    <row r="74" spans="4:16" x14ac:dyDescent="0.2">
      <c r="D74" s="745"/>
      <c r="E74" s="745"/>
      <c r="F74" s="745"/>
      <c r="G74" s="745"/>
      <c r="H74" s="745"/>
      <c r="I74" s="745"/>
      <c r="J74" s="745"/>
      <c r="K74" s="745"/>
      <c r="L74" s="745"/>
      <c r="M74" s="745"/>
      <c r="N74" s="745"/>
      <c r="O74" s="745"/>
      <c r="P74" s="745"/>
    </row>
    <row r="75" spans="4:16" x14ac:dyDescent="0.2">
      <c r="D75" s="745"/>
      <c r="E75" s="745"/>
      <c r="F75" s="745"/>
      <c r="G75" s="745"/>
      <c r="H75" s="745"/>
      <c r="I75" s="745"/>
      <c r="J75" s="745"/>
      <c r="K75" s="745"/>
      <c r="L75" s="745"/>
      <c r="M75" s="745"/>
      <c r="N75" s="745"/>
      <c r="O75" s="745"/>
      <c r="P75" s="745"/>
    </row>
    <row r="76" spans="4:16" x14ac:dyDescent="0.2">
      <c r="D76" s="745"/>
      <c r="E76" s="745"/>
      <c r="F76" s="745"/>
      <c r="G76" s="745"/>
      <c r="H76" s="745"/>
      <c r="I76" s="745"/>
      <c r="J76" s="745"/>
      <c r="K76" s="745"/>
      <c r="L76" s="745"/>
      <c r="M76" s="745"/>
      <c r="N76" s="745"/>
      <c r="O76" s="745"/>
      <c r="P76" s="745"/>
    </row>
    <row r="77" spans="4:16" x14ac:dyDescent="0.2">
      <c r="D77" s="745"/>
      <c r="E77" s="745"/>
      <c r="F77" s="745"/>
      <c r="G77" s="745"/>
      <c r="H77" s="745"/>
      <c r="I77" s="745"/>
      <c r="J77" s="745"/>
      <c r="K77" s="745"/>
      <c r="L77" s="745"/>
      <c r="M77" s="745"/>
      <c r="N77" s="745"/>
      <c r="O77" s="745"/>
      <c r="P77" s="745"/>
    </row>
    <row r="78" spans="4:16" x14ac:dyDescent="0.2">
      <c r="D78" s="745"/>
      <c r="E78" s="745"/>
      <c r="F78" s="745"/>
      <c r="G78" s="745"/>
      <c r="H78" s="745"/>
      <c r="I78" s="745"/>
      <c r="J78" s="745"/>
      <c r="K78" s="745"/>
      <c r="L78" s="745"/>
      <c r="M78" s="745"/>
      <c r="N78" s="745"/>
      <c r="O78" s="745"/>
      <c r="P78" s="745"/>
    </row>
    <row r="79" spans="4:16" x14ac:dyDescent="0.2">
      <c r="D79" s="745"/>
      <c r="E79" s="745"/>
      <c r="F79" s="745"/>
      <c r="G79" s="745"/>
      <c r="H79" s="745"/>
      <c r="I79" s="745"/>
      <c r="J79" s="745"/>
      <c r="K79" s="745"/>
      <c r="L79" s="745"/>
      <c r="M79" s="745"/>
      <c r="N79" s="745"/>
      <c r="O79" s="745"/>
      <c r="P79" s="745"/>
    </row>
    <row r="80" spans="4:16" x14ac:dyDescent="0.2">
      <c r="D80" s="745"/>
      <c r="E80" s="745"/>
      <c r="F80" s="745"/>
      <c r="G80" s="745"/>
      <c r="H80" s="745"/>
      <c r="I80" s="745"/>
      <c r="J80" s="745"/>
      <c r="K80" s="745"/>
      <c r="L80" s="745"/>
      <c r="M80" s="745"/>
      <c r="N80" s="745"/>
      <c r="O80" s="745"/>
      <c r="P80" s="745"/>
    </row>
    <row r="81" spans="4:16" x14ac:dyDescent="0.2">
      <c r="D81" s="745"/>
      <c r="E81" s="745"/>
      <c r="F81" s="745"/>
      <c r="G81" s="745"/>
      <c r="H81" s="745"/>
      <c r="I81" s="745"/>
      <c r="J81" s="745"/>
      <c r="K81" s="745"/>
      <c r="L81" s="745"/>
      <c r="M81" s="745"/>
      <c r="N81" s="745"/>
      <c r="O81" s="745"/>
      <c r="P81" s="745"/>
    </row>
    <row r="82" spans="4:16" x14ac:dyDescent="0.2">
      <c r="D82" s="745"/>
      <c r="E82" s="745"/>
      <c r="F82" s="745"/>
      <c r="G82" s="745"/>
      <c r="H82" s="745"/>
      <c r="I82" s="745"/>
      <c r="J82" s="745"/>
      <c r="K82" s="745"/>
      <c r="L82" s="745"/>
      <c r="M82" s="745"/>
      <c r="N82" s="745"/>
      <c r="O82" s="745"/>
      <c r="P82" s="745"/>
    </row>
    <row r="83" spans="4:16" x14ac:dyDescent="0.2">
      <c r="D83" s="745"/>
      <c r="E83" s="745"/>
      <c r="F83" s="745"/>
      <c r="G83" s="745"/>
      <c r="H83" s="745"/>
      <c r="I83" s="745"/>
      <c r="J83" s="745"/>
      <c r="K83" s="745"/>
      <c r="L83" s="745"/>
      <c r="M83" s="745"/>
      <c r="N83" s="745"/>
      <c r="O83" s="745"/>
      <c r="P83" s="745"/>
    </row>
    <row r="84" spans="4:16" x14ac:dyDescent="0.2">
      <c r="D84" s="745"/>
      <c r="E84" s="745"/>
      <c r="F84" s="745"/>
      <c r="G84" s="745"/>
      <c r="H84" s="745"/>
      <c r="I84" s="745"/>
      <c r="J84" s="745"/>
      <c r="K84" s="745"/>
      <c r="L84" s="745"/>
      <c r="M84" s="745"/>
      <c r="N84" s="745"/>
      <c r="O84" s="745"/>
      <c r="P84" s="745"/>
    </row>
    <row r="85" spans="4:16" x14ac:dyDescent="0.2">
      <c r="D85" s="745"/>
      <c r="E85" s="745"/>
      <c r="F85" s="745"/>
      <c r="G85" s="745"/>
      <c r="H85" s="745"/>
      <c r="I85" s="745"/>
      <c r="J85" s="745"/>
      <c r="K85" s="745"/>
      <c r="L85" s="745"/>
      <c r="M85" s="745"/>
      <c r="N85" s="745"/>
      <c r="O85" s="745"/>
      <c r="P85" s="745"/>
    </row>
    <row r="86" spans="4:16" x14ac:dyDescent="0.2">
      <c r="D86" s="745"/>
      <c r="E86" s="745"/>
      <c r="F86" s="745"/>
      <c r="G86" s="745"/>
      <c r="H86" s="745"/>
      <c r="I86" s="745"/>
      <c r="J86" s="745"/>
      <c r="K86" s="745"/>
      <c r="L86" s="745"/>
      <c r="M86" s="745"/>
      <c r="N86" s="745"/>
      <c r="O86" s="745"/>
      <c r="P86" s="745"/>
    </row>
    <row r="87" spans="4:16" x14ac:dyDescent="0.2">
      <c r="D87" s="745"/>
      <c r="E87" s="745"/>
      <c r="F87" s="745"/>
      <c r="G87" s="745"/>
      <c r="H87" s="745"/>
      <c r="I87" s="745"/>
      <c r="J87" s="745"/>
      <c r="K87" s="745"/>
      <c r="L87" s="745"/>
      <c r="M87" s="745"/>
      <c r="N87" s="745"/>
      <c r="O87" s="745"/>
      <c r="P87" s="745"/>
    </row>
    <row r="88" spans="4:16" x14ac:dyDescent="0.2">
      <c r="D88" s="745"/>
      <c r="E88" s="745"/>
      <c r="F88" s="745"/>
      <c r="G88" s="745"/>
      <c r="H88" s="745"/>
      <c r="I88" s="745"/>
      <c r="J88" s="745"/>
      <c r="K88" s="745"/>
      <c r="L88" s="745"/>
      <c r="M88" s="745"/>
      <c r="N88" s="745"/>
      <c r="O88" s="745"/>
      <c r="P88" s="745"/>
    </row>
    <row r="89" spans="4:16" x14ac:dyDescent="0.2">
      <c r="D89" s="745"/>
      <c r="E89" s="745"/>
      <c r="F89" s="745"/>
      <c r="G89" s="745"/>
      <c r="H89" s="745"/>
      <c r="I89" s="745"/>
      <c r="J89" s="745"/>
      <c r="K89" s="745"/>
      <c r="L89" s="745"/>
      <c r="M89" s="745"/>
      <c r="N89" s="745"/>
      <c r="O89" s="745"/>
      <c r="P89" s="745"/>
    </row>
    <row r="90" spans="4:16" x14ac:dyDescent="0.2">
      <c r="D90" s="745"/>
      <c r="E90" s="745"/>
      <c r="F90" s="745"/>
      <c r="G90" s="745"/>
      <c r="H90" s="745"/>
      <c r="I90" s="745"/>
      <c r="J90" s="745"/>
      <c r="K90" s="745"/>
      <c r="L90" s="745"/>
      <c r="M90" s="745"/>
      <c r="N90" s="745"/>
      <c r="O90" s="745"/>
      <c r="P90" s="745"/>
    </row>
    <row r="91" spans="4:16" x14ac:dyDescent="0.2">
      <c r="D91" s="745"/>
      <c r="E91" s="745"/>
      <c r="F91" s="745"/>
      <c r="G91" s="745"/>
      <c r="H91" s="745"/>
      <c r="I91" s="745"/>
      <c r="J91" s="745"/>
      <c r="K91" s="745"/>
      <c r="L91" s="745"/>
      <c r="M91" s="745"/>
      <c r="N91" s="745"/>
      <c r="O91" s="745"/>
      <c r="P91" s="745"/>
    </row>
    <row r="92" spans="4:16" x14ac:dyDescent="0.2">
      <c r="D92" s="745"/>
      <c r="E92" s="745"/>
      <c r="F92" s="745"/>
      <c r="G92" s="745"/>
      <c r="H92" s="745"/>
      <c r="I92" s="745"/>
      <c r="J92" s="745"/>
      <c r="K92" s="745"/>
      <c r="L92" s="745"/>
      <c r="M92" s="745"/>
      <c r="N92" s="745"/>
      <c r="O92" s="745"/>
      <c r="P92" s="745"/>
    </row>
    <row r="93" spans="4:16" x14ac:dyDescent="0.2">
      <c r="D93" s="745"/>
      <c r="E93" s="745"/>
      <c r="F93" s="745"/>
      <c r="G93" s="745"/>
      <c r="H93" s="745"/>
      <c r="I93" s="745"/>
      <c r="J93" s="745"/>
      <c r="K93" s="745"/>
      <c r="L93" s="745"/>
      <c r="M93" s="745"/>
      <c r="N93" s="745"/>
      <c r="O93" s="745"/>
      <c r="P93" s="745"/>
    </row>
    <row r="94" spans="4:16" x14ac:dyDescent="0.2">
      <c r="D94" s="745"/>
      <c r="E94" s="745"/>
      <c r="F94" s="745"/>
      <c r="G94" s="745"/>
      <c r="H94" s="745"/>
      <c r="I94" s="745"/>
      <c r="J94" s="745"/>
      <c r="K94" s="745"/>
      <c r="L94" s="745"/>
      <c r="M94" s="745"/>
      <c r="N94" s="745"/>
      <c r="O94" s="745"/>
      <c r="P94" s="745"/>
    </row>
    <row r="95" spans="4:16" x14ac:dyDescent="0.2">
      <c r="D95" s="745"/>
      <c r="E95" s="745"/>
      <c r="F95" s="745"/>
      <c r="G95" s="745"/>
      <c r="H95" s="745"/>
      <c r="I95" s="745"/>
      <c r="J95" s="745"/>
      <c r="K95" s="745"/>
      <c r="L95" s="745"/>
      <c r="M95" s="745"/>
      <c r="N95" s="745"/>
      <c r="O95" s="745"/>
      <c r="P95" s="745"/>
    </row>
    <row r="96" spans="4:16" x14ac:dyDescent="0.2">
      <c r="D96" s="745"/>
      <c r="E96" s="745"/>
      <c r="F96" s="745"/>
      <c r="G96" s="745"/>
      <c r="H96" s="745"/>
      <c r="I96" s="745"/>
      <c r="J96" s="745"/>
      <c r="K96" s="745"/>
      <c r="L96" s="745"/>
      <c r="M96" s="745"/>
      <c r="N96" s="745"/>
      <c r="O96" s="745"/>
      <c r="P96" s="745"/>
    </row>
    <row r="97" spans="4:16" x14ac:dyDescent="0.2">
      <c r="D97" s="745"/>
      <c r="E97" s="745"/>
      <c r="F97" s="745"/>
      <c r="G97" s="745"/>
      <c r="H97" s="745"/>
      <c r="I97" s="745"/>
      <c r="J97" s="745"/>
      <c r="K97" s="745"/>
      <c r="L97" s="745"/>
      <c r="M97" s="745"/>
      <c r="N97" s="745"/>
      <c r="O97" s="745"/>
      <c r="P97" s="745"/>
    </row>
    <row r="98" spans="4:16" x14ac:dyDescent="0.2">
      <c r="D98" s="745"/>
      <c r="E98" s="745"/>
      <c r="F98" s="745"/>
      <c r="G98" s="745"/>
      <c r="H98" s="745"/>
      <c r="I98" s="745"/>
      <c r="J98" s="745"/>
      <c r="K98" s="745"/>
      <c r="L98" s="745"/>
      <c r="M98" s="745"/>
      <c r="N98" s="745"/>
      <c r="O98" s="745"/>
      <c r="P98" s="745"/>
    </row>
    <row r="99" spans="4:16" x14ac:dyDescent="0.2">
      <c r="D99" s="745"/>
      <c r="E99" s="745"/>
      <c r="F99" s="745"/>
      <c r="G99" s="745"/>
      <c r="H99" s="745"/>
      <c r="I99" s="745"/>
      <c r="J99" s="745"/>
      <c r="K99" s="745"/>
      <c r="L99" s="745"/>
      <c r="M99" s="745"/>
      <c r="N99" s="745"/>
      <c r="O99" s="745"/>
      <c r="P99" s="745"/>
    </row>
    <row r="100" spans="4:16" x14ac:dyDescent="0.2">
      <c r="D100" s="745"/>
      <c r="E100" s="745"/>
      <c r="F100" s="745"/>
      <c r="G100" s="745"/>
      <c r="H100" s="745"/>
      <c r="I100" s="745"/>
      <c r="J100" s="745"/>
      <c r="K100" s="745"/>
      <c r="L100" s="745"/>
      <c r="M100" s="745"/>
      <c r="N100" s="745"/>
      <c r="O100" s="745"/>
      <c r="P100" s="745"/>
    </row>
    <row r="101" spans="4:16" x14ac:dyDescent="0.2">
      <c r="D101" s="745"/>
      <c r="E101" s="745"/>
      <c r="F101" s="745"/>
      <c r="G101" s="745"/>
      <c r="H101" s="745"/>
      <c r="I101" s="745"/>
      <c r="J101" s="745"/>
      <c r="K101" s="745"/>
      <c r="L101" s="745"/>
      <c r="M101" s="745"/>
      <c r="N101" s="745"/>
      <c r="O101" s="745"/>
      <c r="P101" s="745"/>
    </row>
    <row r="102" spans="4:16" x14ac:dyDescent="0.2">
      <c r="D102" s="745"/>
      <c r="E102" s="745"/>
      <c r="F102" s="745"/>
      <c r="G102" s="745"/>
      <c r="H102" s="745"/>
      <c r="I102" s="745"/>
      <c r="J102" s="745"/>
      <c r="K102" s="745"/>
      <c r="L102" s="745"/>
      <c r="M102" s="745"/>
      <c r="N102" s="745"/>
      <c r="O102" s="745"/>
      <c r="P102" s="745"/>
    </row>
    <row r="103" spans="4:16" x14ac:dyDescent="0.2">
      <c r="D103" s="745"/>
      <c r="E103" s="745"/>
      <c r="F103" s="745"/>
      <c r="G103" s="745"/>
      <c r="H103" s="745"/>
      <c r="I103" s="745"/>
      <c r="J103" s="745"/>
      <c r="K103" s="745"/>
      <c r="L103" s="745"/>
      <c r="M103" s="745"/>
      <c r="N103" s="745"/>
      <c r="O103" s="745"/>
      <c r="P103" s="745"/>
    </row>
    <row r="104" spans="4:16" x14ac:dyDescent="0.2">
      <c r="D104" s="745"/>
      <c r="E104" s="745"/>
      <c r="F104" s="745"/>
      <c r="G104" s="745"/>
      <c r="H104" s="745"/>
      <c r="I104" s="745"/>
      <c r="J104" s="745"/>
      <c r="K104" s="745"/>
      <c r="L104" s="745"/>
      <c r="M104" s="745"/>
      <c r="N104" s="745"/>
      <c r="O104" s="745"/>
      <c r="P104" s="745"/>
    </row>
    <row r="105" spans="4:16" x14ac:dyDescent="0.2">
      <c r="D105" s="745"/>
      <c r="E105" s="745"/>
      <c r="F105" s="745"/>
      <c r="G105" s="745"/>
      <c r="H105" s="745"/>
      <c r="I105" s="745"/>
      <c r="J105" s="745"/>
      <c r="K105" s="745"/>
      <c r="L105" s="745"/>
      <c r="M105" s="745"/>
      <c r="N105" s="745"/>
      <c r="O105" s="745"/>
      <c r="P105" s="745"/>
    </row>
    <row r="106" spans="4:16" x14ac:dyDescent="0.2">
      <c r="D106" s="745"/>
      <c r="E106" s="745"/>
      <c r="F106" s="745"/>
      <c r="G106" s="745"/>
      <c r="H106" s="745"/>
      <c r="I106" s="745"/>
      <c r="J106" s="745"/>
      <c r="K106" s="745"/>
      <c r="L106" s="745"/>
      <c r="M106" s="745"/>
      <c r="N106" s="745"/>
      <c r="O106" s="745"/>
      <c r="P106" s="745"/>
    </row>
    <row r="107" spans="4:16" x14ac:dyDescent="0.2">
      <c r="D107" s="745"/>
      <c r="E107" s="745"/>
      <c r="F107" s="745"/>
      <c r="G107" s="745"/>
      <c r="H107" s="745"/>
      <c r="I107" s="745"/>
      <c r="J107" s="745"/>
      <c r="K107" s="745"/>
      <c r="L107" s="745"/>
      <c r="M107" s="745"/>
      <c r="N107" s="745"/>
      <c r="O107" s="745"/>
      <c r="P107" s="745"/>
    </row>
    <row r="108" spans="4:16" x14ac:dyDescent="0.2">
      <c r="D108" s="745"/>
      <c r="E108" s="745"/>
      <c r="F108" s="745"/>
      <c r="G108" s="745"/>
      <c r="H108" s="745"/>
      <c r="I108" s="745"/>
      <c r="J108" s="745"/>
      <c r="K108" s="745"/>
      <c r="L108" s="745"/>
      <c r="M108" s="745"/>
      <c r="N108" s="745"/>
      <c r="O108" s="745"/>
      <c r="P108" s="745"/>
    </row>
    <row r="109" spans="4:16" x14ac:dyDescent="0.2">
      <c r="D109" s="745"/>
      <c r="E109" s="745"/>
      <c r="F109" s="745"/>
      <c r="G109" s="745"/>
      <c r="H109" s="745"/>
      <c r="I109" s="745"/>
      <c r="J109" s="745"/>
      <c r="K109" s="745"/>
      <c r="L109" s="745"/>
      <c r="M109" s="745"/>
      <c r="N109" s="745"/>
      <c r="O109" s="745"/>
      <c r="P109" s="745"/>
    </row>
    <row r="110" spans="4:16" x14ac:dyDescent="0.2">
      <c r="D110" s="745"/>
      <c r="E110" s="745"/>
      <c r="F110" s="745"/>
      <c r="G110" s="745"/>
      <c r="H110" s="745"/>
      <c r="I110" s="745"/>
      <c r="J110" s="745"/>
      <c r="K110" s="745"/>
      <c r="L110" s="745"/>
      <c r="M110" s="745"/>
      <c r="N110" s="745"/>
      <c r="O110" s="745"/>
      <c r="P110" s="745"/>
    </row>
    <row r="111" spans="4:16" x14ac:dyDescent="0.2">
      <c r="D111" s="745"/>
      <c r="E111" s="745"/>
      <c r="F111" s="745"/>
      <c r="G111" s="745"/>
      <c r="H111" s="745"/>
      <c r="I111" s="745"/>
      <c r="J111" s="745"/>
      <c r="K111" s="745"/>
      <c r="L111" s="745"/>
      <c r="M111" s="745"/>
      <c r="N111" s="745"/>
      <c r="O111" s="745"/>
      <c r="P111" s="745"/>
    </row>
    <row r="112" spans="4:16" x14ac:dyDescent="0.2">
      <c r="D112" s="745"/>
      <c r="E112" s="745"/>
      <c r="F112" s="745"/>
      <c r="G112" s="745"/>
      <c r="H112" s="745"/>
      <c r="I112" s="745"/>
      <c r="J112" s="745"/>
      <c r="K112" s="745"/>
      <c r="L112" s="745"/>
      <c r="M112" s="745"/>
      <c r="N112" s="745"/>
      <c r="O112" s="745"/>
      <c r="P112" s="745"/>
    </row>
    <row r="113" spans="4:16" x14ac:dyDescent="0.2">
      <c r="D113" s="745"/>
      <c r="E113" s="745"/>
      <c r="F113" s="745"/>
      <c r="G113" s="745"/>
      <c r="H113" s="745"/>
      <c r="I113" s="745"/>
      <c r="J113" s="745"/>
      <c r="K113" s="745"/>
      <c r="L113" s="745"/>
      <c r="M113" s="745"/>
      <c r="N113" s="745"/>
      <c r="O113" s="745"/>
      <c r="P113" s="745"/>
    </row>
    <row r="114" spans="4:16" x14ac:dyDescent="0.2">
      <c r="D114" s="745"/>
      <c r="E114" s="745"/>
      <c r="F114" s="745"/>
      <c r="G114" s="745"/>
      <c r="H114" s="745"/>
      <c r="I114" s="745"/>
      <c r="J114" s="745"/>
      <c r="K114" s="745"/>
      <c r="L114" s="745"/>
      <c r="M114" s="745"/>
      <c r="N114" s="745"/>
      <c r="O114" s="745"/>
      <c r="P114" s="745"/>
    </row>
    <row r="115" spans="4:16" x14ac:dyDescent="0.2">
      <c r="D115" s="745"/>
      <c r="E115" s="745"/>
      <c r="F115" s="745"/>
      <c r="G115" s="745"/>
      <c r="H115" s="745"/>
      <c r="I115" s="745"/>
      <c r="J115" s="745"/>
      <c r="K115" s="745"/>
      <c r="L115" s="745"/>
      <c r="M115" s="745"/>
      <c r="N115" s="745"/>
      <c r="O115" s="745"/>
      <c r="P115" s="745"/>
    </row>
    <row r="116" spans="4:16" x14ac:dyDescent="0.2">
      <c r="D116" s="745"/>
      <c r="E116" s="745"/>
      <c r="F116" s="745"/>
      <c r="G116" s="745"/>
      <c r="H116" s="745"/>
      <c r="I116" s="745"/>
      <c r="J116" s="745"/>
      <c r="K116" s="745"/>
      <c r="L116" s="745"/>
      <c r="M116" s="745"/>
      <c r="N116" s="745"/>
      <c r="O116" s="745"/>
      <c r="P116" s="745"/>
    </row>
    <row r="117" spans="4:16" x14ac:dyDescent="0.2">
      <c r="D117" s="745"/>
      <c r="E117" s="745"/>
      <c r="F117" s="745"/>
      <c r="G117" s="745"/>
      <c r="H117" s="745"/>
      <c r="I117" s="745"/>
      <c r="J117" s="745"/>
      <c r="K117" s="745"/>
      <c r="L117" s="745"/>
      <c r="M117" s="745"/>
      <c r="N117" s="745"/>
      <c r="O117" s="745"/>
      <c r="P117" s="745"/>
    </row>
    <row r="118" spans="4:16" x14ac:dyDescent="0.2">
      <c r="D118" s="745"/>
      <c r="E118" s="745"/>
      <c r="F118" s="745"/>
      <c r="G118" s="745"/>
      <c r="H118" s="745"/>
      <c r="I118" s="745"/>
      <c r="J118" s="745"/>
      <c r="K118" s="745"/>
      <c r="L118" s="745"/>
      <c r="M118" s="745"/>
      <c r="N118" s="745"/>
      <c r="O118" s="745"/>
      <c r="P118" s="745"/>
    </row>
    <row r="119" spans="4:16" x14ac:dyDescent="0.2">
      <c r="D119" s="745"/>
      <c r="E119" s="745"/>
      <c r="F119" s="745"/>
      <c r="G119" s="745"/>
      <c r="H119" s="745"/>
      <c r="I119" s="745"/>
      <c r="J119" s="745"/>
      <c r="K119" s="745"/>
      <c r="L119" s="745"/>
      <c r="M119" s="745"/>
      <c r="N119" s="745"/>
      <c r="O119" s="745"/>
      <c r="P119" s="745"/>
    </row>
    <row r="120" spans="4:16" x14ac:dyDescent="0.2">
      <c r="D120" s="745"/>
      <c r="E120" s="745"/>
      <c r="F120" s="745"/>
      <c r="G120" s="745"/>
      <c r="H120" s="745"/>
      <c r="I120" s="745"/>
      <c r="J120" s="745"/>
      <c r="K120" s="745"/>
      <c r="L120" s="745"/>
      <c r="M120" s="745"/>
      <c r="N120" s="745"/>
      <c r="O120" s="745"/>
      <c r="P120" s="745"/>
    </row>
    <row r="121" spans="4:16" x14ac:dyDescent="0.2">
      <c r="D121" s="745"/>
      <c r="E121" s="745"/>
      <c r="F121" s="745"/>
      <c r="G121" s="745"/>
      <c r="H121" s="745"/>
      <c r="I121" s="745"/>
      <c r="J121" s="745"/>
      <c r="K121" s="745"/>
      <c r="L121" s="745"/>
      <c r="M121" s="745"/>
      <c r="N121" s="745"/>
      <c r="O121" s="745"/>
      <c r="P121" s="745"/>
    </row>
    <row r="122" spans="4:16" x14ac:dyDescent="0.2">
      <c r="D122" s="745"/>
      <c r="E122" s="745"/>
      <c r="F122" s="745"/>
      <c r="G122" s="745"/>
      <c r="H122" s="745"/>
      <c r="I122" s="745"/>
      <c r="J122" s="745"/>
      <c r="K122" s="745"/>
      <c r="L122" s="745"/>
      <c r="M122" s="745"/>
      <c r="N122" s="745"/>
      <c r="O122" s="745"/>
      <c r="P122" s="745"/>
    </row>
    <row r="123" spans="4:16" x14ac:dyDescent="0.2">
      <c r="D123" s="745"/>
      <c r="E123" s="745"/>
      <c r="F123" s="745"/>
      <c r="G123" s="745"/>
      <c r="H123" s="745"/>
      <c r="I123" s="745"/>
      <c r="J123" s="745"/>
      <c r="K123" s="745"/>
      <c r="L123" s="745"/>
      <c r="M123" s="745"/>
      <c r="N123" s="745"/>
      <c r="O123" s="745"/>
      <c r="P123" s="745"/>
    </row>
    <row r="124" spans="4:16" x14ac:dyDescent="0.2">
      <c r="D124" s="745"/>
      <c r="E124" s="745"/>
      <c r="F124" s="745"/>
      <c r="G124" s="745"/>
      <c r="H124" s="745"/>
      <c r="I124" s="745"/>
      <c r="J124" s="745"/>
      <c r="K124" s="745"/>
      <c r="L124" s="745"/>
      <c r="M124" s="745"/>
      <c r="N124" s="745"/>
      <c r="O124" s="745"/>
      <c r="P124" s="745"/>
    </row>
    <row r="125" spans="4:16" x14ac:dyDescent="0.2">
      <c r="D125" s="745"/>
      <c r="E125" s="745"/>
      <c r="F125" s="745"/>
      <c r="G125" s="745"/>
      <c r="H125" s="745"/>
      <c r="I125" s="745"/>
      <c r="J125" s="745"/>
      <c r="K125" s="745"/>
      <c r="L125" s="745"/>
      <c r="M125" s="745"/>
      <c r="N125" s="745"/>
      <c r="O125" s="745"/>
      <c r="P125" s="745"/>
    </row>
    <row r="126" spans="4:16" x14ac:dyDescent="0.2">
      <c r="D126" s="745"/>
      <c r="E126" s="745"/>
      <c r="F126" s="745"/>
      <c r="G126" s="745"/>
      <c r="H126" s="745"/>
      <c r="I126" s="745"/>
      <c r="J126" s="745"/>
      <c r="K126" s="745"/>
      <c r="L126" s="745"/>
      <c r="M126" s="745"/>
      <c r="N126" s="745"/>
      <c r="O126" s="745"/>
      <c r="P126" s="745"/>
    </row>
    <row r="127" spans="4:16" x14ac:dyDescent="0.2">
      <c r="D127" s="745"/>
      <c r="E127" s="745"/>
      <c r="F127" s="745"/>
      <c r="G127" s="745"/>
      <c r="H127" s="745"/>
      <c r="I127" s="745"/>
      <c r="J127" s="745"/>
      <c r="K127" s="745"/>
      <c r="L127" s="745"/>
      <c r="M127" s="745"/>
      <c r="N127" s="745"/>
      <c r="O127" s="745"/>
      <c r="P127" s="745"/>
    </row>
    <row r="128" spans="4:16" x14ac:dyDescent="0.2">
      <c r="D128" s="745"/>
      <c r="E128" s="745"/>
      <c r="F128" s="745"/>
      <c r="G128" s="745"/>
      <c r="H128" s="745"/>
      <c r="I128" s="745"/>
      <c r="J128" s="745"/>
      <c r="K128" s="745"/>
      <c r="L128" s="745"/>
      <c r="M128" s="745"/>
      <c r="N128" s="745"/>
      <c r="O128" s="745"/>
      <c r="P128" s="745"/>
    </row>
    <row r="129" spans="4:16" x14ac:dyDescent="0.2">
      <c r="D129" s="745"/>
      <c r="E129" s="745"/>
      <c r="F129" s="745"/>
      <c r="G129" s="745"/>
      <c r="H129" s="745"/>
      <c r="I129" s="745"/>
      <c r="J129" s="745"/>
      <c r="K129" s="745"/>
      <c r="L129" s="745"/>
      <c r="M129" s="745"/>
      <c r="N129" s="745"/>
      <c r="O129" s="745"/>
      <c r="P129" s="745"/>
    </row>
    <row r="130" spans="4:16" x14ac:dyDescent="0.2">
      <c r="D130" s="745"/>
      <c r="E130" s="745"/>
      <c r="F130" s="745"/>
      <c r="G130" s="745"/>
      <c r="H130" s="745"/>
      <c r="I130" s="745"/>
      <c r="J130" s="745"/>
      <c r="K130" s="745"/>
      <c r="L130" s="745"/>
      <c r="M130" s="745"/>
      <c r="N130" s="745"/>
      <c r="O130" s="745"/>
      <c r="P130" s="745"/>
    </row>
    <row r="131" spans="4:16" x14ac:dyDescent="0.2">
      <c r="D131" s="745"/>
      <c r="E131" s="745"/>
      <c r="F131" s="745"/>
      <c r="G131" s="745"/>
      <c r="H131" s="745"/>
      <c r="I131" s="745"/>
      <c r="J131" s="745"/>
      <c r="K131" s="745"/>
      <c r="L131" s="745"/>
      <c r="M131" s="745"/>
      <c r="N131" s="745"/>
      <c r="O131" s="745"/>
      <c r="P131" s="745"/>
    </row>
    <row r="132" spans="4:16" x14ac:dyDescent="0.2">
      <c r="D132" s="745"/>
      <c r="E132" s="745"/>
      <c r="F132" s="745"/>
      <c r="G132" s="745"/>
      <c r="H132" s="745"/>
      <c r="I132" s="745"/>
      <c r="J132" s="745"/>
      <c r="K132" s="745"/>
      <c r="L132" s="745"/>
      <c r="M132" s="745"/>
      <c r="N132" s="745"/>
      <c r="O132" s="745"/>
      <c r="P132" s="745"/>
    </row>
    <row r="133" spans="4:16" x14ac:dyDescent="0.2">
      <c r="D133" s="745"/>
      <c r="E133" s="745"/>
      <c r="F133" s="745"/>
      <c r="G133" s="745"/>
      <c r="H133" s="745"/>
      <c r="I133" s="745"/>
      <c r="J133" s="745"/>
      <c r="K133" s="745"/>
      <c r="L133" s="745"/>
      <c r="M133" s="745"/>
      <c r="N133" s="745"/>
      <c r="O133" s="745"/>
      <c r="P133" s="745"/>
    </row>
    <row r="134" spans="4:16" x14ac:dyDescent="0.2">
      <c r="D134" s="745"/>
      <c r="E134" s="745"/>
      <c r="F134" s="745"/>
      <c r="G134" s="745"/>
      <c r="H134" s="745"/>
      <c r="I134" s="745"/>
      <c r="J134" s="745"/>
      <c r="K134" s="745"/>
      <c r="L134" s="745"/>
      <c r="M134" s="745"/>
      <c r="N134" s="745"/>
      <c r="O134" s="745"/>
      <c r="P134" s="745"/>
    </row>
    <row r="135" spans="4:16" x14ac:dyDescent="0.2">
      <c r="D135" s="745"/>
      <c r="E135" s="745"/>
      <c r="F135" s="745"/>
      <c r="G135" s="745"/>
      <c r="H135" s="745"/>
      <c r="I135" s="745"/>
      <c r="J135" s="745"/>
      <c r="K135" s="745"/>
      <c r="L135" s="745"/>
      <c r="M135" s="745"/>
      <c r="N135" s="745"/>
      <c r="O135" s="745"/>
      <c r="P135" s="745"/>
    </row>
    <row r="136" spans="4:16" x14ac:dyDescent="0.2">
      <c r="D136" s="745"/>
      <c r="E136" s="745"/>
      <c r="F136" s="745"/>
      <c r="G136" s="745"/>
      <c r="H136" s="745"/>
      <c r="I136" s="745"/>
      <c r="J136" s="745"/>
      <c r="K136" s="745"/>
      <c r="L136" s="745"/>
      <c r="M136" s="745"/>
      <c r="N136" s="745"/>
      <c r="O136" s="745"/>
      <c r="P136" s="745"/>
    </row>
    <row r="137" spans="4:16" x14ac:dyDescent="0.2">
      <c r="D137" s="745"/>
      <c r="E137" s="745"/>
      <c r="F137" s="745"/>
      <c r="G137" s="745"/>
      <c r="H137" s="745"/>
      <c r="I137" s="745"/>
      <c r="J137" s="745"/>
      <c r="K137" s="745"/>
      <c r="L137" s="745"/>
      <c r="M137" s="745"/>
      <c r="N137" s="745"/>
      <c r="O137" s="745"/>
      <c r="P137" s="745"/>
    </row>
    <row r="138" spans="4:16" x14ac:dyDescent="0.2">
      <c r="D138" s="745"/>
      <c r="E138" s="745"/>
      <c r="F138" s="745"/>
      <c r="G138" s="745"/>
      <c r="H138" s="745"/>
      <c r="I138" s="745"/>
      <c r="J138" s="745"/>
      <c r="K138" s="745"/>
      <c r="L138" s="745"/>
      <c r="M138" s="745"/>
      <c r="N138" s="745"/>
      <c r="O138" s="745"/>
      <c r="P138" s="745"/>
    </row>
    <row r="139" spans="4:16" x14ac:dyDescent="0.2">
      <c r="D139" s="745"/>
      <c r="E139" s="745"/>
      <c r="F139" s="745"/>
      <c r="G139" s="745"/>
      <c r="H139" s="745"/>
      <c r="I139" s="745"/>
      <c r="J139" s="745"/>
      <c r="K139" s="745"/>
      <c r="L139" s="745"/>
      <c r="M139" s="745"/>
      <c r="N139" s="745"/>
      <c r="O139" s="745"/>
      <c r="P139" s="745"/>
    </row>
    <row r="140" spans="4:16" x14ac:dyDescent="0.2">
      <c r="D140" s="745"/>
      <c r="E140" s="745"/>
      <c r="F140" s="745"/>
      <c r="G140" s="745"/>
      <c r="H140" s="745"/>
      <c r="I140" s="745"/>
      <c r="J140" s="745"/>
      <c r="K140" s="745"/>
      <c r="L140" s="745"/>
      <c r="M140" s="745"/>
      <c r="N140" s="745"/>
      <c r="O140" s="745"/>
      <c r="P140" s="745"/>
    </row>
    <row r="141" spans="4:16" x14ac:dyDescent="0.2">
      <c r="D141" s="745"/>
      <c r="E141" s="745"/>
      <c r="F141" s="745"/>
      <c r="G141" s="745"/>
      <c r="H141" s="745"/>
      <c r="I141" s="745"/>
      <c r="J141" s="745"/>
      <c r="K141" s="745"/>
      <c r="L141" s="745"/>
      <c r="M141" s="745"/>
      <c r="N141" s="745"/>
      <c r="O141" s="745"/>
      <c r="P141" s="745"/>
    </row>
    <row r="142" spans="4:16" x14ac:dyDescent="0.2">
      <c r="D142" s="745"/>
      <c r="E142" s="745"/>
      <c r="F142" s="745"/>
      <c r="G142" s="745"/>
      <c r="H142" s="745"/>
      <c r="I142" s="745"/>
      <c r="J142" s="745"/>
      <c r="K142" s="745"/>
      <c r="L142" s="745"/>
      <c r="M142" s="745"/>
      <c r="N142" s="745"/>
      <c r="O142" s="745"/>
      <c r="P142" s="745"/>
    </row>
    <row r="143" spans="4:16" x14ac:dyDescent="0.2">
      <c r="D143" s="745"/>
      <c r="E143" s="745"/>
      <c r="F143" s="745"/>
      <c r="G143" s="745"/>
      <c r="H143" s="745"/>
      <c r="I143" s="745"/>
      <c r="J143" s="745"/>
      <c r="K143" s="745"/>
      <c r="L143" s="745"/>
      <c r="M143" s="745"/>
      <c r="N143" s="745"/>
      <c r="O143" s="745"/>
      <c r="P143" s="745"/>
    </row>
    <row r="144" spans="4:16" x14ac:dyDescent="0.2">
      <c r="D144" s="745"/>
      <c r="E144" s="745"/>
      <c r="F144" s="745"/>
      <c r="G144" s="745"/>
      <c r="H144" s="745"/>
      <c r="I144" s="745"/>
      <c r="J144" s="745"/>
      <c r="K144" s="745"/>
      <c r="L144" s="745"/>
      <c r="M144" s="745"/>
      <c r="N144" s="745"/>
      <c r="O144" s="745"/>
      <c r="P144" s="745"/>
    </row>
    <row r="145" spans="1:16" x14ac:dyDescent="0.2">
      <c r="D145" s="388" t="e">
        <f>SP!#REF!</f>
        <v>#REF!</v>
      </c>
      <c r="E145" s="388">
        <f>SP!B2</f>
        <v>0</v>
      </c>
      <c r="F145" s="388">
        <f>E145</f>
        <v>0</v>
      </c>
      <c r="G145">
        <f t="shared" ref="G145:P145" si="15">$E145</f>
        <v>0</v>
      </c>
      <c r="H145">
        <f t="shared" si="15"/>
        <v>0</v>
      </c>
      <c r="I145">
        <f t="shared" si="15"/>
        <v>0</v>
      </c>
      <c r="J145">
        <f t="shared" si="15"/>
        <v>0</v>
      </c>
      <c r="K145">
        <f t="shared" si="15"/>
        <v>0</v>
      </c>
      <c r="L145">
        <f t="shared" si="15"/>
        <v>0</v>
      </c>
      <c r="M145">
        <f t="shared" si="15"/>
        <v>0</v>
      </c>
      <c r="N145">
        <f t="shared" si="15"/>
        <v>0</v>
      </c>
      <c r="O145">
        <f t="shared" si="15"/>
        <v>0</v>
      </c>
      <c r="P145">
        <f t="shared" si="15"/>
        <v>0</v>
      </c>
    </row>
    <row r="146" spans="1:16" x14ac:dyDescent="0.2">
      <c r="A146" s="639"/>
      <c r="B146" s="639"/>
      <c r="C146" s="639"/>
      <c r="D146" s="1095" t="str">
        <f>SP!A3</f>
        <v>2012/13</v>
      </c>
      <c r="E146" s="1095" t="str">
        <f>SP!B3</f>
        <v>2013/14</v>
      </c>
      <c r="F146" s="1095" t="str">
        <f>SP!C3</f>
        <v>2014/15</v>
      </c>
      <c r="G146" s="1095" t="str">
        <f>SP!D3</f>
        <v>2015/16</v>
      </c>
      <c r="H146" s="1095" t="str">
        <f>SP!G3</f>
        <v>2016/17</v>
      </c>
      <c r="I146" s="1095" t="str">
        <f>SP!I3</f>
        <v>2017/18</v>
      </c>
      <c r="J146" s="1095" t="str">
        <f>SP!J3</f>
        <v>2018/19</v>
      </c>
      <c r="K146" s="1095" t="str">
        <f>SP!K3</f>
        <v>2019/20</v>
      </c>
      <c r="L146" s="1095" t="str">
        <f>SP!L3</f>
        <v>2020/21</v>
      </c>
      <c r="M146" s="1095" t="str">
        <f>SP!M3</f>
        <v>2021/22</v>
      </c>
      <c r="N146" s="1095" t="str">
        <f>SP!N3</f>
        <v>2022/23</v>
      </c>
      <c r="O146" s="1095" t="str">
        <f>SP!O3</f>
        <v>2023/24</v>
      </c>
      <c r="P146" s="1095" t="str">
        <f>SP!P3</f>
        <v>2024/25</v>
      </c>
    </row>
    <row r="147" spans="1:16" x14ac:dyDescent="0.2">
      <c r="A147" s="1280" t="s">
        <v>2964</v>
      </c>
      <c r="B147" s="1280"/>
      <c r="C147" s="1281"/>
      <c r="D147" s="745"/>
      <c r="E147" s="745"/>
      <c r="F147" s="745"/>
      <c r="G147" s="745"/>
      <c r="H147" s="745"/>
      <c r="I147" s="745"/>
      <c r="J147" s="745"/>
      <c r="K147" s="745"/>
      <c r="L147" s="745"/>
      <c r="M147" s="745"/>
      <c r="N147" s="745"/>
      <c r="O147" s="745"/>
      <c r="P147" s="745"/>
    </row>
    <row r="148" spans="1:16" x14ac:dyDescent="0.2">
      <c r="A148" t="s">
        <v>2950</v>
      </c>
      <c r="D148" s="745"/>
      <c r="E148" s="745"/>
      <c r="F148" s="745"/>
      <c r="G148" s="745"/>
      <c r="H148" s="745"/>
      <c r="I148" s="745"/>
      <c r="J148" s="745"/>
      <c r="K148" s="745"/>
      <c r="L148" s="745"/>
      <c r="M148" s="745"/>
      <c r="N148" s="745"/>
      <c r="O148" s="745"/>
      <c r="P148" s="745"/>
    </row>
    <row r="149" spans="1:16" x14ac:dyDescent="0.2">
      <c r="C149" s="16" t="s">
        <v>2965</v>
      </c>
      <c r="D149" s="745">
        <v>255</v>
      </c>
      <c r="E149" s="745">
        <v>260.10000000000002</v>
      </c>
      <c r="F149" s="745">
        <v>265.30199999999996</v>
      </c>
      <c r="G149" s="745">
        <v>270.60804000000002</v>
      </c>
      <c r="H149" s="745">
        <v>276.0202008</v>
      </c>
      <c r="I149" s="745">
        <v>281.54060481600004</v>
      </c>
      <c r="J149" s="745">
        <v>287.17141691231996</v>
      </c>
      <c r="K149" s="745">
        <v>292.91484525056637</v>
      </c>
      <c r="L149" s="745">
        <v>298.77314215557772</v>
      </c>
      <c r="M149" s="745">
        <v>304.7486049986893</v>
      </c>
      <c r="N149" s="745">
        <v>310.84357709866299</v>
      </c>
    </row>
    <row r="150" spans="1:16" x14ac:dyDescent="0.2">
      <c r="C150" s="16" t="s">
        <v>2966</v>
      </c>
      <c r="D150" s="745">
        <v>36.72</v>
      </c>
      <c r="E150" s="745">
        <v>38.494799999999998</v>
      </c>
      <c r="F150" s="745">
        <v>39.264696000000001</v>
      </c>
      <c r="G150" s="745">
        <v>40.049989920000002</v>
      </c>
      <c r="H150" s="745">
        <v>40.850989718400001</v>
      </c>
      <c r="I150" s="745">
        <v>42.794171932032</v>
      </c>
      <c r="J150" s="745">
        <v>43.650055370672632</v>
      </c>
      <c r="K150" s="745">
        <v>45.694715859088355</v>
      </c>
      <c r="L150" s="745">
        <v>46.608610176270119</v>
      </c>
      <c r="M150" s="745">
        <v>48.759776799790288</v>
      </c>
      <c r="N150" s="745">
        <v>49.734972335786082</v>
      </c>
    </row>
    <row r="151" spans="1:16" x14ac:dyDescent="0.2">
      <c r="C151" s="16" t="s">
        <v>2967</v>
      </c>
      <c r="D151" s="745">
        <v>20.399999999999999</v>
      </c>
      <c r="E151" s="745">
        <v>20.808</v>
      </c>
      <c r="F151" s="745">
        <v>21.224159999999998</v>
      </c>
      <c r="G151" s="745">
        <v>21.648643199999999</v>
      </c>
      <c r="H151" s="745">
        <v>22.081616064000002</v>
      </c>
      <c r="I151" s="745">
        <v>22.523248385280002</v>
      </c>
      <c r="J151" s="745">
        <v>22.973713352985598</v>
      </c>
      <c r="K151" s="745">
        <v>23.43318762004531</v>
      </c>
      <c r="L151" s="745">
        <v>23.901851372446217</v>
      </c>
      <c r="M151" s="745">
        <v>24.379888399895144</v>
      </c>
      <c r="N151" s="745">
        <v>24.867486167893041</v>
      </c>
    </row>
    <row r="152" spans="1:16" x14ac:dyDescent="0.2">
      <c r="C152" s="1039" t="s">
        <v>3290</v>
      </c>
      <c r="D152" s="1291">
        <v>21.42</v>
      </c>
      <c r="E152" s="1291">
        <v>22.8888</v>
      </c>
      <c r="F152" s="1291">
        <v>24.407783999999999</v>
      </c>
      <c r="G152" s="1291">
        <v>25.978371840000001</v>
      </c>
      <c r="H152" s="1291">
        <v>27.602020079999999</v>
      </c>
      <c r="I152" s="1291">
        <v>29.280222900864</v>
      </c>
      <c r="J152" s="1291">
        <v>31.014513026530555</v>
      </c>
      <c r="K152" s="1291">
        <v>32.806462668063432</v>
      </c>
      <c r="L152" s="1291">
        <v>34.657684490047018</v>
      </c>
      <c r="M152" s="1291">
        <v>36.569832599842712</v>
      </c>
      <c r="N152" s="1291">
        <v>38.544603560234215</v>
      </c>
    </row>
    <row r="153" spans="1:16" x14ac:dyDescent="0.2">
      <c r="A153" s="4"/>
      <c r="B153" s="4"/>
      <c r="C153" s="402" t="s">
        <v>2985</v>
      </c>
      <c r="D153" s="1093">
        <f>SUM(D149:D152)</f>
        <v>333.54</v>
      </c>
      <c r="E153" s="1093">
        <f t="shared" ref="E153:O153" si="16">SUM(E149:E152)</f>
        <v>342.29160000000002</v>
      </c>
      <c r="F153" s="1093">
        <f t="shared" si="16"/>
        <v>350.19863999999995</v>
      </c>
      <c r="G153" s="1093">
        <f t="shared" si="16"/>
        <v>358.28504495999999</v>
      </c>
      <c r="H153" s="1093">
        <f t="shared" si="16"/>
        <v>366.55482666239999</v>
      </c>
      <c r="I153" s="1093">
        <f t="shared" si="16"/>
        <v>376.138248034176</v>
      </c>
      <c r="J153" s="1093">
        <f t="shared" si="16"/>
        <v>384.80969866250877</v>
      </c>
      <c r="K153" s="1093">
        <f t="shared" si="16"/>
        <v>394.8492113977635</v>
      </c>
      <c r="L153" s="1093">
        <f t="shared" si="16"/>
        <v>403.9412881943411</v>
      </c>
      <c r="M153" s="1093">
        <f t="shared" si="16"/>
        <v>414.45810279821745</v>
      </c>
      <c r="N153" s="1093">
        <f t="shared" si="16"/>
        <v>423.99063916257637</v>
      </c>
      <c r="O153" s="1093">
        <f t="shared" si="16"/>
        <v>0</v>
      </c>
      <c r="P153" s="1093">
        <f t="shared" ref="P153" si="17">SUM(P149:P152)</f>
        <v>0</v>
      </c>
    </row>
    <row r="154" spans="1:16" x14ac:dyDescent="0.2">
      <c r="C154" s="1039"/>
    </row>
    <row r="155" spans="1:16" x14ac:dyDescent="0.2">
      <c r="A155" s="779" t="s">
        <v>2957</v>
      </c>
      <c r="B155" s="779"/>
    </row>
    <row r="156" spans="1:16" x14ac:dyDescent="0.2">
      <c r="C156" s="4" t="s">
        <v>2986</v>
      </c>
      <c r="D156" s="1094">
        <v>510</v>
      </c>
      <c r="E156" s="1094">
        <v>364.14</v>
      </c>
      <c r="F156" s="1094">
        <v>318.36239999999998</v>
      </c>
      <c r="G156" s="1094">
        <v>324.729648</v>
      </c>
      <c r="H156" s="1094">
        <v>331.22424096000003</v>
      </c>
      <c r="I156" s="1094">
        <v>337.84872577920004</v>
      </c>
      <c r="J156" s="1094">
        <v>344.60570029478396</v>
      </c>
      <c r="K156" s="1094">
        <v>351.49781430067964</v>
      </c>
      <c r="L156" s="1094">
        <v>358.52777058669324</v>
      </c>
      <c r="M156" s="1094">
        <v>365.69832599842715</v>
      </c>
      <c r="N156" s="1094">
        <v>373.01229251839561</v>
      </c>
      <c r="O156" s="1094"/>
      <c r="P156" s="1094"/>
    </row>
    <row r="157" spans="1:16" x14ac:dyDescent="0.2">
      <c r="C157" s="1287" t="s">
        <v>2983</v>
      </c>
      <c r="D157" s="1290">
        <f t="shared" ref="D157:O157" si="18">D153+D156</f>
        <v>843.54</v>
      </c>
      <c r="E157" s="1290">
        <f t="shared" si="18"/>
        <v>706.4316</v>
      </c>
      <c r="F157" s="1290">
        <f t="shared" si="18"/>
        <v>668.56103999999993</v>
      </c>
      <c r="G157" s="1290">
        <f t="shared" si="18"/>
        <v>683.01469296000005</v>
      </c>
      <c r="H157" s="1290">
        <f t="shared" si="18"/>
        <v>697.77906762240002</v>
      </c>
      <c r="I157" s="1290">
        <f t="shared" si="18"/>
        <v>713.98697381337604</v>
      </c>
      <c r="J157" s="1290">
        <f t="shared" si="18"/>
        <v>729.41539895729272</v>
      </c>
      <c r="K157" s="1290">
        <f t="shared" si="18"/>
        <v>746.34702569844308</v>
      </c>
      <c r="L157" s="1290">
        <f t="shared" si="18"/>
        <v>762.46905878103439</v>
      </c>
      <c r="M157" s="1290">
        <f t="shared" si="18"/>
        <v>780.1564287966446</v>
      </c>
      <c r="N157" s="1290">
        <f t="shared" si="18"/>
        <v>797.00293168097198</v>
      </c>
      <c r="O157" s="1290">
        <f t="shared" si="18"/>
        <v>0</v>
      </c>
      <c r="P157" s="1290">
        <f t="shared" ref="P157" si="19">P153+P156</f>
        <v>0</v>
      </c>
    </row>
    <row r="159" spans="1:16" x14ac:dyDescent="0.2">
      <c r="A159" s="1280" t="s">
        <v>2968</v>
      </c>
      <c r="B159" s="1280"/>
      <c r="C159" s="1281"/>
    </row>
    <row r="160" spans="1:16" x14ac:dyDescent="0.2">
      <c r="A160" t="s">
        <v>2950</v>
      </c>
    </row>
    <row r="161" spans="1:16" x14ac:dyDescent="0.2">
      <c r="C161" t="s">
        <v>2965</v>
      </c>
      <c r="D161">
        <f>ROUND(SUM(CIV!A969:A971),-3)/1000</f>
        <v>319</v>
      </c>
      <c r="E161">
        <f>ROUND(SUM(CIV!B969:B971),-3)/1000</f>
        <v>203</v>
      </c>
      <c r="F161">
        <f>ROUND(SUM(CIV!C969:C971),-3)/1000</f>
        <v>250</v>
      </c>
      <c r="G161">
        <f>ROUND(SUM(CIV!D969:D971),-3)/1000</f>
        <v>253</v>
      </c>
      <c r="H161">
        <f>ROUND(SUM(CIV!G969:G971),-3)/1000</f>
        <v>219</v>
      </c>
      <c r="I161">
        <f>ROUND(SUM(CIV!I969:I971),-3)/1000</f>
        <v>222</v>
      </c>
      <c r="J161">
        <f>ROUND(SUM(CIV!J969:J971),-3)/1000</f>
        <v>228</v>
      </c>
      <c r="K161">
        <f>ROUND(SUM(CIV!K969:K971),-3)/1000</f>
        <v>234</v>
      </c>
      <c r="L161">
        <f>ROUND(SUM(CIV!L969:L971),-3)/1000</f>
        <v>240</v>
      </c>
      <c r="M161">
        <f>ROUND(SUM(CIV!M969:M971),-3)/1000</f>
        <v>245</v>
      </c>
      <c r="N161">
        <f>ROUND(SUM(CIV!N969:N971),-3)/1000</f>
        <v>250</v>
      </c>
      <c r="O161">
        <f>ROUND(SUM(CIV!O969:O971),-3)/1000</f>
        <v>255</v>
      </c>
      <c r="P161">
        <f>ROUND(SUM(CIV!P969:P971),-3)/1000</f>
        <v>260</v>
      </c>
    </row>
    <row r="162" spans="1:16" x14ac:dyDescent="0.2">
      <c r="C162" t="s">
        <v>2966</v>
      </c>
    </row>
    <row r="163" spans="1:16" x14ac:dyDescent="0.2">
      <c r="C163" t="s">
        <v>2967</v>
      </c>
    </row>
    <row r="164" spans="1:16" x14ac:dyDescent="0.2">
      <c r="C164" t="s">
        <v>1830</v>
      </c>
      <c r="D164" s="745">
        <f>ROUND(SUM(CIV!A972:A976),-3)/1000</f>
        <v>24</v>
      </c>
      <c r="E164" s="745">
        <f>ROUND(SUM(CIV!B972:B976),-3)/1000</f>
        <v>44</v>
      </c>
      <c r="F164" s="745">
        <f>ROUND(SUM(CIV!C972:C976),-3)/1000</f>
        <v>39</v>
      </c>
      <c r="G164" s="745">
        <f>ROUND(SUM(CIV!D972:D976),-3)/1000</f>
        <v>20</v>
      </c>
      <c r="H164" s="745">
        <f>ROUND(SUM(CIV!G972:G976),-3)/1000</f>
        <v>26</v>
      </c>
      <c r="I164" s="745">
        <f>ROUND(SUM(CIV!I972:I976),-3)/1000</f>
        <v>26</v>
      </c>
      <c r="J164" s="745">
        <f>ROUND(SUM(CIV!J972:J976),-3)/1000</f>
        <v>27</v>
      </c>
      <c r="K164" s="745">
        <f>ROUND(SUM(CIV!K972:K976),-3)/1000</f>
        <v>28</v>
      </c>
      <c r="L164" s="745">
        <f>ROUND(SUM(CIV!L972:L976),-3)/1000</f>
        <v>29</v>
      </c>
      <c r="M164" s="745">
        <f>ROUND(SUM(CIV!M972:M976),-3)/1000</f>
        <v>30</v>
      </c>
      <c r="N164" s="745">
        <f>ROUND(SUM(CIV!N972:N976),-3)/1000</f>
        <v>30</v>
      </c>
      <c r="O164" s="745">
        <f>ROUND(SUM(CIV!O972:O976),-3)/1000</f>
        <v>31</v>
      </c>
      <c r="P164" s="745">
        <f>ROUND(SUM(CIV!P972:P976),-3)/1000</f>
        <v>32</v>
      </c>
    </row>
    <row r="165" spans="1:16" x14ac:dyDescent="0.2">
      <c r="A165" s="4"/>
      <c r="B165" s="4"/>
      <c r="C165" s="4" t="s">
        <v>2987</v>
      </c>
      <c r="D165" s="4">
        <f>SUM(D161:D164)</f>
        <v>343</v>
      </c>
      <c r="E165" s="4">
        <f t="shared" ref="E165:O165" si="20">SUM(E161:E164)</f>
        <v>247</v>
      </c>
      <c r="F165" s="4">
        <f t="shared" si="20"/>
        <v>289</v>
      </c>
      <c r="G165" s="4">
        <f t="shared" si="20"/>
        <v>273</v>
      </c>
      <c r="H165" s="4">
        <f t="shared" si="20"/>
        <v>245</v>
      </c>
      <c r="I165" s="4">
        <f t="shared" si="20"/>
        <v>248</v>
      </c>
      <c r="J165" s="4">
        <f t="shared" si="20"/>
        <v>255</v>
      </c>
      <c r="K165" s="4">
        <f t="shared" si="20"/>
        <v>262</v>
      </c>
      <c r="L165" s="4">
        <f t="shared" si="20"/>
        <v>269</v>
      </c>
      <c r="M165" s="4">
        <f t="shared" si="20"/>
        <v>275</v>
      </c>
      <c r="N165" s="4">
        <f t="shared" si="20"/>
        <v>280</v>
      </c>
      <c r="O165" s="4">
        <f t="shared" si="20"/>
        <v>286</v>
      </c>
      <c r="P165" s="4">
        <f t="shared" ref="P165" si="21">SUM(P161:P164)</f>
        <v>292</v>
      </c>
    </row>
    <row r="167" spans="1:16" x14ac:dyDescent="0.2">
      <c r="A167" s="779" t="s">
        <v>2957</v>
      </c>
      <c r="B167" s="779"/>
    </row>
    <row r="168" spans="1:16" x14ac:dyDescent="0.2">
      <c r="A168" s="4"/>
      <c r="B168" s="4"/>
      <c r="C168" s="4" t="s">
        <v>2988</v>
      </c>
      <c r="D168" s="4">
        <v>162</v>
      </c>
      <c r="E168" s="4" t="e">
        <f>ROUND(SUM('Cap-Gen'!#REF!),-3)/1000</f>
        <v>#REF!</v>
      </c>
      <c r="F168" s="4" t="e">
        <f>ROUND(SUM('Cap-Gen'!#REF!),-3)/1000</f>
        <v>#REF!</v>
      </c>
      <c r="G168" s="4">
        <f>ROUND(SUM('Cap-Gen'!E111:E112),-3)/1000</f>
        <v>303</v>
      </c>
      <c r="H168" s="4">
        <f>ROUND(SUM('Cap-Gen'!F111:F112),-3)/1000</f>
        <v>427</v>
      </c>
      <c r="I168" s="4">
        <f>ROUND(SUM('Cap-Gen'!G111:G112),-3)/1000</f>
        <v>456</v>
      </c>
      <c r="J168" s="4">
        <f>ROUND(SUM('Cap-Gen'!H111:H112),-3)/1000</f>
        <v>474</v>
      </c>
      <c r="K168" s="4">
        <f>ROUND(SUM('Cap-Gen'!I111:I112),-3)/1000</f>
        <v>493</v>
      </c>
      <c r="L168" s="4">
        <f>ROUND(SUM('Cap-Gen'!J111:J112),-3)/1000</f>
        <v>506</v>
      </c>
      <c r="M168" s="4">
        <f>ROUND(SUM('Cap-Gen'!K111:K112),-3)/1000</f>
        <v>519</v>
      </c>
      <c r="N168" s="4">
        <f>ROUND(SUM('Cap-Gen'!L111:L112),-3)/1000</f>
        <v>532</v>
      </c>
      <c r="O168" s="4">
        <f>ROUND(SUM('Cap-Gen'!M111:M112),-3)/1000</f>
        <v>546</v>
      </c>
      <c r="P168" s="4" t="e">
        <f>ROUND(SUM('Cap-Gen'!#REF!),-3)/1000</f>
        <v>#REF!</v>
      </c>
    </row>
    <row r="169" spans="1:16" x14ac:dyDescent="0.2">
      <c r="A169" s="4"/>
      <c r="B169" s="4"/>
      <c r="C169" s="1287" t="s">
        <v>2984</v>
      </c>
      <c r="D169" s="1287">
        <f>D165+D168</f>
        <v>505</v>
      </c>
      <c r="E169" s="1287" t="e">
        <f t="shared" ref="E169:O169" si="22">E165+E168</f>
        <v>#REF!</v>
      </c>
      <c r="F169" s="1287" t="e">
        <f t="shared" si="22"/>
        <v>#REF!</v>
      </c>
      <c r="G169" s="1287">
        <f t="shared" si="22"/>
        <v>576</v>
      </c>
      <c r="H169" s="1287">
        <f t="shared" si="22"/>
        <v>672</v>
      </c>
      <c r="I169" s="1287">
        <f t="shared" si="22"/>
        <v>704</v>
      </c>
      <c r="J169" s="1287">
        <f t="shared" si="22"/>
        <v>729</v>
      </c>
      <c r="K169" s="1287">
        <f t="shared" si="22"/>
        <v>755</v>
      </c>
      <c r="L169" s="1287">
        <f t="shared" si="22"/>
        <v>775</v>
      </c>
      <c r="M169" s="1287">
        <f t="shared" si="22"/>
        <v>794</v>
      </c>
      <c r="N169" s="1287">
        <f t="shared" si="22"/>
        <v>812</v>
      </c>
      <c r="O169" s="1287">
        <f t="shared" si="22"/>
        <v>832</v>
      </c>
      <c r="P169" s="1287" t="e">
        <f t="shared" ref="P169" si="23">P165+P168</f>
        <v>#REF!</v>
      </c>
    </row>
    <row r="170" spans="1:16" x14ac:dyDescent="0.2">
      <c r="C170" s="4" t="s">
        <v>2981</v>
      </c>
      <c r="D170" s="1093">
        <f>D169-D157</f>
        <v>-338.53999999999996</v>
      </c>
      <c r="E170" s="1093" t="e">
        <f t="shared" ref="E170:O170" si="24">E169-E157</f>
        <v>#REF!</v>
      </c>
      <c r="F170" s="1093" t="e">
        <f t="shared" si="24"/>
        <v>#REF!</v>
      </c>
      <c r="G170" s="1093">
        <f t="shared" si="24"/>
        <v>-107.01469296000005</v>
      </c>
      <c r="H170" s="1093">
        <f t="shared" si="24"/>
        <v>-25.779067622400021</v>
      </c>
      <c r="I170" s="1093">
        <f t="shared" si="24"/>
        <v>-9.9869738133760393</v>
      </c>
      <c r="J170" s="1093">
        <f t="shared" si="24"/>
        <v>-0.41539895729272303</v>
      </c>
      <c r="K170" s="1093">
        <f t="shared" si="24"/>
        <v>8.6529743015569238</v>
      </c>
      <c r="L170" s="1093">
        <f t="shared" si="24"/>
        <v>12.530941218965609</v>
      </c>
      <c r="M170" s="1093">
        <f t="shared" si="24"/>
        <v>13.843571203355395</v>
      </c>
      <c r="N170" s="1093">
        <f t="shared" si="24"/>
        <v>14.997068319028017</v>
      </c>
      <c r="O170" s="1093">
        <f t="shared" si="24"/>
        <v>832</v>
      </c>
      <c r="P170" s="1093" t="e">
        <f t="shared" ref="P170" si="25">P169-P157</f>
        <v>#REF!</v>
      </c>
    </row>
    <row r="171" spans="1:16" s="4" customFormat="1" x14ac:dyDescent="0.2">
      <c r="C171" s="4" t="s">
        <v>2982</v>
      </c>
      <c r="D171" s="1093">
        <f>D170</f>
        <v>-338.53999999999996</v>
      </c>
      <c r="E171" s="1093" t="e">
        <f>D171+E170</f>
        <v>#REF!</v>
      </c>
      <c r="F171" s="1093" t="e">
        <f>E171+F170</f>
        <v>#REF!</v>
      </c>
      <c r="G171" s="1093" t="e">
        <f t="shared" ref="G171:P171" si="26">F171+G170</f>
        <v>#REF!</v>
      </c>
      <c r="H171" s="1093" t="e">
        <f t="shared" si="26"/>
        <v>#REF!</v>
      </c>
      <c r="I171" s="1093" t="e">
        <f t="shared" si="26"/>
        <v>#REF!</v>
      </c>
      <c r="J171" s="1093" t="e">
        <f t="shared" si="26"/>
        <v>#REF!</v>
      </c>
      <c r="K171" s="1093" t="e">
        <f t="shared" si="26"/>
        <v>#REF!</v>
      </c>
      <c r="L171" s="1093" t="e">
        <f t="shared" si="26"/>
        <v>#REF!</v>
      </c>
      <c r="M171" s="1093" t="e">
        <f t="shared" si="26"/>
        <v>#REF!</v>
      </c>
      <c r="N171" s="1093" t="e">
        <f t="shared" si="26"/>
        <v>#REF!</v>
      </c>
      <c r="O171" s="1093" t="e">
        <f t="shared" si="26"/>
        <v>#REF!</v>
      </c>
      <c r="P171" s="1093" t="e">
        <f t="shared" si="26"/>
        <v>#REF!</v>
      </c>
    </row>
    <row r="172" spans="1:16" x14ac:dyDescent="0.2">
      <c r="A172" s="779" t="s">
        <v>61</v>
      </c>
      <c r="D172" s="745"/>
      <c r="E172" s="745"/>
      <c r="F172" s="745"/>
      <c r="G172" s="745"/>
      <c r="H172" s="745"/>
      <c r="I172" s="745"/>
      <c r="J172" s="745"/>
      <c r="K172" s="745"/>
      <c r="L172" s="745"/>
      <c r="M172" s="745"/>
      <c r="N172" s="745"/>
      <c r="O172" s="745"/>
      <c r="P172" s="745"/>
    </row>
    <row r="173" spans="1:16" x14ac:dyDescent="0.2">
      <c r="D173" s="745"/>
      <c r="E173" s="745"/>
      <c r="F173" s="745"/>
      <c r="G173" s="745"/>
      <c r="H173" s="745"/>
      <c r="I173" s="745"/>
      <c r="J173" s="745"/>
      <c r="K173" s="745"/>
      <c r="L173" s="745"/>
      <c r="M173" s="745"/>
      <c r="N173" s="745"/>
      <c r="O173" s="745"/>
      <c r="P173" s="745"/>
    </row>
    <row r="174" spans="1:16" x14ac:dyDescent="0.2">
      <c r="D174" s="745"/>
      <c r="E174" s="745"/>
      <c r="F174" s="745"/>
      <c r="G174" s="745"/>
      <c r="H174" s="745"/>
      <c r="I174" s="745"/>
      <c r="J174" s="745"/>
      <c r="K174" s="745"/>
      <c r="L174" s="745"/>
      <c r="M174" s="745"/>
      <c r="N174" s="745"/>
      <c r="O174" s="745"/>
      <c r="P174" s="745"/>
    </row>
    <row r="175" spans="1:16" x14ac:dyDescent="0.2">
      <c r="D175" s="745"/>
      <c r="E175" s="745"/>
      <c r="F175" s="745"/>
      <c r="G175" s="745"/>
      <c r="H175" s="745"/>
      <c r="I175" s="745"/>
      <c r="J175" s="745"/>
      <c r="K175" s="745"/>
      <c r="L175" s="745"/>
      <c r="M175" s="745"/>
      <c r="N175" s="745"/>
      <c r="O175" s="745"/>
      <c r="P175" s="745"/>
    </row>
    <row r="176" spans="1:16" x14ac:dyDescent="0.2">
      <c r="D176" s="745"/>
      <c r="E176" s="745"/>
      <c r="F176" s="745"/>
      <c r="G176" s="745"/>
      <c r="H176" s="745"/>
      <c r="I176" s="745"/>
      <c r="J176" s="745"/>
      <c r="K176" s="745"/>
      <c r="L176" s="745"/>
      <c r="M176" s="745"/>
      <c r="N176" s="745"/>
      <c r="O176" s="745"/>
      <c r="P176" s="745"/>
    </row>
    <row r="177" spans="4:16" x14ac:dyDescent="0.2">
      <c r="D177" s="745"/>
      <c r="E177" s="745"/>
      <c r="F177" s="745"/>
      <c r="G177" s="745"/>
      <c r="H177" s="745"/>
      <c r="I177" s="745"/>
      <c r="J177" s="745"/>
      <c r="K177" s="745"/>
      <c r="L177" s="745"/>
      <c r="M177" s="745"/>
      <c r="N177" s="745"/>
      <c r="O177" s="745"/>
      <c r="P177" s="745"/>
    </row>
    <row r="178" spans="4:16" x14ac:dyDescent="0.2">
      <c r="D178" s="745"/>
      <c r="E178" s="745"/>
      <c r="F178" s="745"/>
      <c r="G178" s="745"/>
      <c r="H178" s="745"/>
      <c r="I178" s="745"/>
      <c r="J178" s="745"/>
      <c r="K178" s="745"/>
      <c r="L178" s="745"/>
      <c r="M178" s="745"/>
      <c r="N178" s="745"/>
      <c r="O178" s="745"/>
      <c r="P178" s="745"/>
    </row>
    <row r="179" spans="4:16" x14ac:dyDescent="0.2">
      <c r="D179" s="745"/>
      <c r="E179" s="745"/>
      <c r="F179" s="745"/>
      <c r="G179" s="745"/>
      <c r="H179" s="745"/>
      <c r="I179" s="745"/>
      <c r="J179" s="745"/>
      <c r="K179" s="745"/>
      <c r="L179" s="745"/>
      <c r="M179" s="745"/>
      <c r="N179" s="745"/>
      <c r="O179" s="745"/>
      <c r="P179" s="745"/>
    </row>
    <row r="180" spans="4:16" x14ac:dyDescent="0.2">
      <c r="D180" s="745"/>
      <c r="E180" s="745"/>
      <c r="F180" s="745"/>
      <c r="G180" s="745"/>
      <c r="H180" s="745"/>
      <c r="I180" s="745"/>
      <c r="J180" s="745"/>
      <c r="K180" s="745"/>
      <c r="L180" s="745"/>
      <c r="M180" s="745"/>
      <c r="N180" s="745"/>
      <c r="O180" s="745"/>
      <c r="P180" s="745"/>
    </row>
    <row r="181" spans="4:16" x14ac:dyDescent="0.2">
      <c r="D181" s="745"/>
      <c r="E181" s="745"/>
      <c r="F181" s="745"/>
      <c r="G181" s="745"/>
      <c r="H181" s="745"/>
      <c r="I181" s="745"/>
      <c r="J181" s="745"/>
      <c r="K181" s="745"/>
      <c r="L181" s="745"/>
      <c r="M181" s="745"/>
      <c r="N181" s="745"/>
      <c r="O181" s="745"/>
      <c r="P181" s="745"/>
    </row>
    <row r="182" spans="4:16" x14ac:dyDescent="0.2">
      <c r="D182" s="745"/>
      <c r="E182" s="745"/>
      <c r="F182" s="745"/>
      <c r="G182" s="745"/>
      <c r="H182" s="745"/>
      <c r="I182" s="745"/>
      <c r="J182" s="745"/>
      <c r="K182" s="745"/>
      <c r="L182" s="745"/>
      <c r="M182" s="745"/>
      <c r="N182" s="745"/>
      <c r="O182" s="745"/>
      <c r="P182" s="745"/>
    </row>
    <row r="183" spans="4:16" x14ac:dyDescent="0.2">
      <c r="D183" s="745"/>
      <c r="E183" s="745"/>
      <c r="F183" s="745"/>
      <c r="G183" s="745"/>
      <c r="H183" s="745"/>
      <c r="I183" s="745"/>
      <c r="J183" s="745"/>
      <c r="K183" s="745"/>
      <c r="L183" s="745"/>
      <c r="M183" s="745"/>
      <c r="N183" s="745"/>
      <c r="O183" s="745"/>
      <c r="P183" s="745"/>
    </row>
    <row r="184" spans="4:16" x14ac:dyDescent="0.2">
      <c r="D184" s="745"/>
      <c r="E184" s="745"/>
      <c r="F184" s="745"/>
      <c r="G184" s="745"/>
      <c r="H184" s="745"/>
      <c r="I184" s="745"/>
      <c r="J184" s="745"/>
      <c r="K184" s="745"/>
      <c r="L184" s="745"/>
      <c r="M184" s="745"/>
      <c r="N184" s="745"/>
      <c r="O184" s="745"/>
      <c r="P184" s="745"/>
    </row>
    <row r="185" spans="4:16" x14ac:dyDescent="0.2">
      <c r="D185" s="745"/>
      <c r="E185" s="745"/>
      <c r="F185" s="745"/>
      <c r="G185" s="745"/>
      <c r="H185" s="745"/>
      <c r="I185" s="745"/>
      <c r="J185" s="745"/>
      <c r="K185" s="745"/>
      <c r="L185" s="745"/>
      <c r="M185" s="745"/>
      <c r="N185" s="745"/>
      <c r="O185" s="745"/>
      <c r="P185" s="745"/>
    </row>
    <row r="186" spans="4:16" x14ac:dyDescent="0.2">
      <c r="D186" s="745"/>
      <c r="E186" s="745"/>
      <c r="F186" s="745"/>
      <c r="G186" s="745"/>
      <c r="H186" s="745"/>
      <c r="I186" s="745"/>
      <c r="J186" s="745"/>
      <c r="K186" s="745"/>
      <c r="L186" s="745"/>
      <c r="M186" s="745"/>
      <c r="N186" s="745"/>
      <c r="O186" s="745"/>
      <c r="P186" s="745"/>
    </row>
    <row r="187" spans="4:16" x14ac:dyDescent="0.2">
      <c r="D187" s="745"/>
      <c r="E187" s="745"/>
      <c r="F187" s="745"/>
      <c r="G187" s="745"/>
      <c r="H187" s="745"/>
      <c r="I187" s="745"/>
      <c r="J187" s="745"/>
      <c r="K187" s="745"/>
      <c r="L187" s="745"/>
      <c r="M187" s="745"/>
      <c r="N187" s="745"/>
      <c r="O187" s="745"/>
      <c r="P187" s="745"/>
    </row>
    <row r="188" spans="4:16" x14ac:dyDescent="0.2">
      <c r="D188" s="745"/>
      <c r="E188" s="745"/>
      <c r="F188" s="745"/>
      <c r="G188" s="745"/>
      <c r="H188" s="745"/>
      <c r="I188" s="745"/>
      <c r="J188" s="745"/>
      <c r="K188" s="745"/>
      <c r="L188" s="745"/>
      <c r="M188" s="745"/>
      <c r="N188" s="745"/>
      <c r="O188" s="745"/>
      <c r="P188" s="745"/>
    </row>
    <row r="189" spans="4:16" x14ac:dyDescent="0.2">
      <c r="D189" s="745"/>
      <c r="E189" s="745"/>
      <c r="F189" s="745"/>
      <c r="G189" s="745"/>
      <c r="H189" s="745"/>
      <c r="I189" s="745"/>
      <c r="J189" s="745"/>
      <c r="K189" s="745"/>
      <c r="L189" s="745"/>
      <c r="M189" s="745"/>
      <c r="N189" s="745"/>
      <c r="O189" s="745"/>
      <c r="P189" s="745"/>
    </row>
    <row r="190" spans="4:16" x14ac:dyDescent="0.2">
      <c r="D190" s="745"/>
      <c r="E190" s="745"/>
      <c r="F190" s="745"/>
      <c r="G190" s="745"/>
      <c r="H190" s="745"/>
      <c r="I190" s="745"/>
      <c r="J190" s="745"/>
      <c r="K190" s="745"/>
      <c r="L190" s="745"/>
      <c r="M190" s="745"/>
      <c r="N190" s="745"/>
      <c r="O190" s="745"/>
      <c r="P190" s="745"/>
    </row>
    <row r="191" spans="4:16" x14ac:dyDescent="0.2">
      <c r="D191" s="745"/>
      <c r="E191" s="745"/>
      <c r="F191" s="745"/>
      <c r="G191" s="745"/>
      <c r="H191" s="745"/>
      <c r="I191" s="745"/>
      <c r="J191" s="745"/>
      <c r="K191" s="745"/>
      <c r="L191" s="745"/>
      <c r="M191" s="745"/>
      <c r="N191" s="745"/>
      <c r="O191" s="745"/>
      <c r="P191" s="745"/>
    </row>
    <row r="192" spans="4:16" x14ac:dyDescent="0.2">
      <c r="D192" s="745"/>
      <c r="E192" s="745"/>
      <c r="F192" s="745"/>
      <c r="G192" s="745"/>
      <c r="H192" s="745"/>
      <c r="I192" s="745"/>
      <c r="J192" s="745"/>
      <c r="K192" s="745"/>
      <c r="L192" s="745"/>
      <c r="M192" s="745"/>
      <c r="N192" s="745"/>
      <c r="O192" s="745"/>
      <c r="P192" s="745"/>
    </row>
    <row r="193" spans="4:16" x14ac:dyDescent="0.2">
      <c r="D193" s="745"/>
      <c r="E193" s="745"/>
      <c r="F193" s="745"/>
      <c r="G193" s="745"/>
      <c r="H193" s="745"/>
      <c r="I193" s="745"/>
      <c r="J193" s="745"/>
      <c r="K193" s="745"/>
      <c r="L193" s="745"/>
      <c r="M193" s="745"/>
      <c r="N193" s="745"/>
      <c r="O193" s="745"/>
      <c r="P193" s="745"/>
    </row>
    <row r="194" spans="4:16" x14ac:dyDescent="0.2">
      <c r="D194" s="745"/>
      <c r="E194" s="745"/>
      <c r="F194" s="745"/>
      <c r="G194" s="745"/>
      <c r="H194" s="745"/>
      <c r="I194" s="745"/>
      <c r="J194" s="745"/>
      <c r="K194" s="745"/>
      <c r="L194" s="745"/>
      <c r="M194" s="745"/>
      <c r="N194" s="745"/>
      <c r="O194" s="745"/>
      <c r="P194" s="745"/>
    </row>
    <row r="195" spans="4:16" x14ac:dyDescent="0.2">
      <c r="D195" s="745"/>
      <c r="E195" s="745"/>
      <c r="F195" s="745"/>
      <c r="G195" s="745"/>
      <c r="H195" s="745"/>
      <c r="I195" s="745"/>
      <c r="J195" s="745"/>
      <c r="K195" s="745"/>
      <c r="L195" s="745"/>
      <c r="M195" s="745"/>
      <c r="N195" s="745"/>
      <c r="O195" s="745"/>
      <c r="P195" s="745"/>
    </row>
    <row r="196" spans="4:16" x14ac:dyDescent="0.2">
      <c r="D196" s="745"/>
      <c r="E196" s="745"/>
      <c r="F196" s="745"/>
      <c r="G196" s="745"/>
      <c r="H196" s="745"/>
      <c r="I196" s="745"/>
      <c r="J196" s="745"/>
      <c r="K196" s="745"/>
      <c r="L196" s="745"/>
      <c r="M196" s="745"/>
      <c r="N196" s="745"/>
      <c r="O196" s="745"/>
      <c r="P196" s="745"/>
    </row>
    <row r="197" spans="4:16" x14ac:dyDescent="0.2">
      <c r="D197" s="745"/>
      <c r="E197" s="745"/>
      <c r="F197" s="745"/>
      <c r="G197" s="745"/>
      <c r="H197" s="745"/>
      <c r="I197" s="745"/>
      <c r="J197" s="745"/>
      <c r="K197" s="745"/>
      <c r="L197" s="745"/>
      <c r="M197" s="745"/>
      <c r="N197" s="745"/>
      <c r="O197" s="745"/>
      <c r="P197" s="745"/>
    </row>
    <row r="198" spans="4:16" x14ac:dyDescent="0.2">
      <c r="D198" s="745"/>
      <c r="E198" s="745"/>
      <c r="F198" s="745"/>
      <c r="G198" s="745"/>
      <c r="H198" s="745"/>
      <c r="I198" s="745"/>
      <c r="J198" s="745"/>
      <c r="K198" s="745"/>
      <c r="L198" s="745"/>
      <c r="M198" s="745"/>
      <c r="N198" s="745"/>
      <c r="O198" s="745"/>
      <c r="P198" s="745"/>
    </row>
    <row r="199" spans="4:16" x14ac:dyDescent="0.2">
      <c r="D199" s="745"/>
      <c r="E199" s="745"/>
      <c r="F199" s="745"/>
      <c r="G199" s="745"/>
      <c r="H199" s="745"/>
      <c r="I199" s="745"/>
      <c r="J199" s="745"/>
      <c r="K199" s="745"/>
      <c r="L199" s="745"/>
      <c r="M199" s="745"/>
      <c r="N199" s="745"/>
      <c r="O199" s="745"/>
      <c r="P199" s="745"/>
    </row>
    <row r="200" spans="4:16" x14ac:dyDescent="0.2">
      <c r="D200" s="745"/>
      <c r="E200" s="745"/>
      <c r="F200" s="745"/>
      <c r="G200" s="745"/>
      <c r="H200" s="745"/>
      <c r="I200" s="745"/>
      <c r="J200" s="745"/>
      <c r="K200" s="745"/>
      <c r="L200" s="745"/>
      <c r="M200" s="745"/>
      <c r="N200" s="745"/>
      <c r="O200" s="745"/>
      <c r="P200" s="745"/>
    </row>
    <row r="201" spans="4:16" x14ac:dyDescent="0.2">
      <c r="D201" s="745"/>
      <c r="E201" s="745"/>
      <c r="F201" s="745"/>
      <c r="G201" s="745"/>
      <c r="H201" s="745"/>
      <c r="I201" s="745"/>
      <c r="J201" s="745"/>
      <c r="K201" s="745"/>
      <c r="L201" s="745"/>
      <c r="M201" s="745"/>
      <c r="N201" s="745"/>
      <c r="O201" s="745"/>
      <c r="P201" s="745"/>
    </row>
    <row r="202" spans="4:16" x14ac:dyDescent="0.2">
      <c r="D202" s="745"/>
      <c r="E202" s="745"/>
      <c r="F202" s="745"/>
      <c r="G202" s="745"/>
      <c r="H202" s="745"/>
      <c r="I202" s="745"/>
      <c r="J202" s="745"/>
      <c r="K202" s="745"/>
      <c r="L202" s="745"/>
      <c r="M202" s="745"/>
      <c r="N202" s="745"/>
      <c r="O202" s="745"/>
      <c r="P202" s="745"/>
    </row>
    <row r="203" spans="4:16" x14ac:dyDescent="0.2">
      <c r="D203" s="745"/>
      <c r="E203" s="745"/>
      <c r="F203" s="745"/>
      <c r="G203" s="745"/>
      <c r="H203" s="745"/>
      <c r="I203" s="745"/>
      <c r="J203" s="745"/>
      <c r="K203" s="745"/>
      <c r="L203" s="745"/>
      <c r="M203" s="745"/>
      <c r="N203" s="745"/>
      <c r="O203" s="745"/>
      <c r="P203" s="745"/>
    </row>
    <row r="204" spans="4:16" x14ac:dyDescent="0.2">
      <c r="D204" s="745"/>
      <c r="E204" s="745"/>
      <c r="F204" s="745"/>
      <c r="G204" s="745"/>
      <c r="H204" s="745"/>
      <c r="I204" s="745"/>
      <c r="J204" s="745"/>
      <c r="K204" s="745"/>
      <c r="L204" s="745"/>
      <c r="M204" s="745"/>
      <c r="N204" s="745"/>
      <c r="O204" s="745"/>
      <c r="P204" s="745"/>
    </row>
    <row r="205" spans="4:16" x14ac:dyDescent="0.2">
      <c r="D205" s="745"/>
      <c r="E205" s="745"/>
      <c r="F205" s="745"/>
      <c r="G205" s="745"/>
      <c r="H205" s="745"/>
      <c r="I205" s="745"/>
      <c r="J205" s="745"/>
      <c r="K205" s="745"/>
      <c r="L205" s="745"/>
      <c r="M205" s="745"/>
      <c r="N205" s="745"/>
      <c r="O205" s="745"/>
      <c r="P205" s="745"/>
    </row>
    <row r="206" spans="4:16" x14ac:dyDescent="0.2">
      <c r="D206" s="745"/>
      <c r="E206" s="745"/>
      <c r="F206" s="745"/>
      <c r="G206" s="745"/>
      <c r="H206" s="745"/>
      <c r="I206" s="745"/>
      <c r="J206" s="745"/>
      <c r="K206" s="745"/>
      <c r="L206" s="745"/>
      <c r="M206" s="745"/>
      <c r="N206" s="745"/>
      <c r="O206" s="745"/>
      <c r="P206" s="745"/>
    </row>
    <row r="207" spans="4:16" x14ac:dyDescent="0.2">
      <c r="D207" s="745"/>
      <c r="E207" s="745"/>
      <c r="F207" s="745"/>
      <c r="G207" s="745"/>
      <c r="H207" s="745"/>
      <c r="I207" s="745"/>
      <c r="J207" s="745"/>
      <c r="K207" s="745"/>
      <c r="L207" s="745"/>
      <c r="M207" s="745"/>
      <c r="N207" s="745"/>
      <c r="O207" s="745"/>
      <c r="P207" s="745"/>
    </row>
    <row r="208" spans="4:16" x14ac:dyDescent="0.2">
      <c r="D208" s="745"/>
      <c r="E208" s="745"/>
      <c r="F208" s="745"/>
      <c r="G208" s="745"/>
      <c r="H208" s="745"/>
      <c r="I208" s="745"/>
      <c r="J208" s="745"/>
      <c r="K208" s="745"/>
      <c r="L208" s="745"/>
      <c r="M208" s="745"/>
      <c r="N208" s="745"/>
      <c r="O208" s="745"/>
      <c r="P208" s="745"/>
    </row>
    <row r="209" spans="4:16" x14ac:dyDescent="0.2">
      <c r="D209" s="745"/>
      <c r="E209" s="745"/>
      <c r="F209" s="745"/>
      <c r="G209" s="745"/>
      <c r="H209" s="745"/>
      <c r="I209" s="745"/>
      <c r="J209" s="745"/>
      <c r="K209" s="745"/>
      <c r="L209" s="745"/>
      <c r="M209" s="745"/>
      <c r="N209" s="745"/>
      <c r="O209" s="745"/>
      <c r="P209" s="745"/>
    </row>
    <row r="210" spans="4:16" x14ac:dyDescent="0.2">
      <c r="D210" s="745"/>
      <c r="E210" s="745"/>
      <c r="F210" s="745"/>
      <c r="G210" s="745"/>
      <c r="H210" s="745"/>
      <c r="I210" s="745"/>
      <c r="J210" s="745"/>
      <c r="K210" s="745"/>
      <c r="L210" s="745"/>
      <c r="M210" s="745"/>
      <c r="N210" s="745"/>
      <c r="O210" s="745"/>
      <c r="P210" s="745"/>
    </row>
    <row r="211" spans="4:16" x14ac:dyDescent="0.2">
      <c r="D211" s="745"/>
      <c r="E211" s="745"/>
      <c r="F211" s="745"/>
      <c r="G211" s="745"/>
      <c r="H211" s="745"/>
      <c r="I211" s="745"/>
      <c r="J211" s="745"/>
      <c r="K211" s="745"/>
      <c r="L211" s="745"/>
      <c r="M211" s="745"/>
      <c r="N211" s="745"/>
      <c r="O211" s="745"/>
      <c r="P211" s="745"/>
    </row>
    <row r="212" spans="4:16" x14ac:dyDescent="0.2">
      <c r="D212" s="745"/>
      <c r="E212" s="745"/>
      <c r="F212" s="745"/>
      <c r="G212" s="745"/>
      <c r="H212" s="745"/>
      <c r="I212" s="745"/>
      <c r="J212" s="745"/>
      <c r="K212" s="745"/>
      <c r="L212" s="745"/>
      <c r="M212" s="745"/>
      <c r="N212" s="745"/>
      <c r="O212" s="745"/>
      <c r="P212" s="745"/>
    </row>
    <row r="213" spans="4:16" x14ac:dyDescent="0.2">
      <c r="D213" s="745"/>
      <c r="E213" s="745"/>
      <c r="F213" s="745"/>
      <c r="G213" s="745"/>
      <c r="H213" s="745"/>
      <c r="I213" s="745"/>
      <c r="J213" s="745"/>
      <c r="K213" s="745"/>
      <c r="L213" s="745"/>
      <c r="M213" s="745"/>
      <c r="N213" s="745"/>
      <c r="O213" s="745"/>
      <c r="P213" s="745"/>
    </row>
    <row r="214" spans="4:16" x14ac:dyDescent="0.2">
      <c r="D214" s="745"/>
      <c r="E214" s="745"/>
      <c r="F214" s="745"/>
      <c r="G214" s="745"/>
      <c r="H214" s="745"/>
      <c r="I214" s="745"/>
      <c r="J214" s="745"/>
      <c r="K214" s="745"/>
      <c r="L214" s="745"/>
      <c r="M214" s="745"/>
      <c r="N214" s="745"/>
      <c r="O214" s="745"/>
      <c r="P214" s="745"/>
    </row>
    <row r="215" spans="4:16" x14ac:dyDescent="0.2">
      <c r="D215" s="745"/>
      <c r="E215" s="745"/>
      <c r="F215" s="745"/>
      <c r="G215" s="745"/>
      <c r="H215" s="745"/>
      <c r="I215" s="745"/>
      <c r="J215" s="745"/>
      <c r="K215" s="745"/>
      <c r="L215" s="745"/>
      <c r="M215" s="745"/>
      <c r="N215" s="745"/>
      <c r="O215" s="745"/>
      <c r="P215" s="745"/>
    </row>
    <row r="216" spans="4:16" x14ac:dyDescent="0.2">
      <c r="D216" s="745"/>
      <c r="E216" s="745"/>
      <c r="F216" s="745"/>
      <c r="G216" s="745"/>
      <c r="H216" s="745"/>
      <c r="I216" s="745"/>
      <c r="J216" s="745"/>
      <c r="K216" s="745"/>
      <c r="L216" s="745"/>
      <c r="M216" s="745"/>
      <c r="N216" s="745"/>
      <c r="O216" s="745"/>
      <c r="P216" s="745"/>
    </row>
    <row r="217" spans="4:16" x14ac:dyDescent="0.2">
      <c r="D217" s="745"/>
      <c r="E217" s="745"/>
      <c r="F217" s="745"/>
      <c r="G217" s="745"/>
      <c r="H217" s="745"/>
      <c r="I217" s="745"/>
      <c r="J217" s="745"/>
      <c r="K217" s="745"/>
      <c r="L217" s="745"/>
      <c r="M217" s="745"/>
      <c r="N217" s="745"/>
      <c r="O217" s="745"/>
      <c r="P217" s="745"/>
    </row>
    <row r="218" spans="4:16" x14ac:dyDescent="0.2">
      <c r="D218" s="745"/>
      <c r="E218" s="745"/>
      <c r="F218" s="745"/>
      <c r="G218" s="745"/>
      <c r="H218" s="745"/>
      <c r="I218" s="745"/>
      <c r="J218" s="745"/>
      <c r="K218" s="745"/>
      <c r="L218" s="745"/>
      <c r="M218" s="745"/>
      <c r="N218" s="745"/>
      <c r="O218" s="745"/>
      <c r="P218" s="745"/>
    </row>
    <row r="219" spans="4:16" x14ac:dyDescent="0.2">
      <c r="D219" s="745"/>
      <c r="E219" s="745"/>
      <c r="F219" s="745"/>
      <c r="G219" s="745"/>
      <c r="H219" s="745"/>
      <c r="I219" s="745"/>
      <c r="J219" s="745"/>
      <c r="K219" s="745"/>
      <c r="L219" s="745"/>
      <c r="M219" s="745"/>
      <c r="N219" s="745"/>
      <c r="O219" s="745"/>
      <c r="P219" s="745"/>
    </row>
    <row r="220" spans="4:16" x14ac:dyDescent="0.2">
      <c r="D220" s="745"/>
      <c r="E220" s="745"/>
      <c r="F220" s="745"/>
      <c r="G220" s="745"/>
      <c r="H220" s="745"/>
      <c r="I220" s="745"/>
      <c r="J220" s="745"/>
      <c r="K220" s="745"/>
      <c r="L220" s="745"/>
      <c r="M220" s="745"/>
      <c r="N220" s="745"/>
      <c r="O220" s="745"/>
      <c r="P220" s="745"/>
    </row>
    <row r="221" spans="4:16" x14ac:dyDescent="0.2">
      <c r="D221" s="745"/>
      <c r="E221" s="745"/>
      <c r="F221" s="745"/>
      <c r="G221" s="745"/>
      <c r="H221" s="745"/>
      <c r="I221" s="745"/>
      <c r="J221" s="745"/>
      <c r="K221" s="745"/>
      <c r="L221" s="745"/>
      <c r="M221" s="745"/>
      <c r="N221" s="745"/>
      <c r="O221" s="745"/>
      <c r="P221" s="745"/>
    </row>
    <row r="222" spans="4:16" x14ac:dyDescent="0.2">
      <c r="D222" s="745"/>
      <c r="E222" s="745"/>
      <c r="F222" s="745"/>
      <c r="G222" s="745"/>
      <c r="H222" s="745"/>
      <c r="I222" s="745"/>
      <c r="J222" s="745"/>
      <c r="K222" s="745"/>
      <c r="L222" s="745"/>
      <c r="M222" s="745"/>
      <c r="N222" s="745"/>
      <c r="O222" s="745"/>
      <c r="P222" s="745"/>
    </row>
    <row r="223" spans="4:16" x14ac:dyDescent="0.2">
      <c r="D223" s="745"/>
      <c r="E223" s="745"/>
      <c r="F223" s="745"/>
      <c r="G223" s="745"/>
      <c r="H223" s="745"/>
      <c r="I223" s="745"/>
      <c r="J223" s="745"/>
      <c r="K223" s="745"/>
      <c r="L223" s="745"/>
      <c r="M223" s="745"/>
      <c r="N223" s="745"/>
      <c r="O223" s="745"/>
      <c r="P223" s="745"/>
    </row>
    <row r="224" spans="4:16" x14ac:dyDescent="0.2">
      <c r="D224" s="745"/>
      <c r="E224" s="745"/>
      <c r="F224" s="745"/>
      <c r="G224" s="745"/>
      <c r="H224" s="745"/>
      <c r="I224" s="745"/>
      <c r="J224" s="745"/>
      <c r="K224" s="745"/>
      <c r="L224" s="745"/>
      <c r="M224" s="745"/>
      <c r="N224" s="745"/>
      <c r="O224" s="745"/>
      <c r="P224" s="745"/>
    </row>
    <row r="225" spans="4:16" x14ac:dyDescent="0.2">
      <c r="D225" s="745"/>
      <c r="E225" s="745"/>
      <c r="F225" s="745"/>
      <c r="G225" s="745"/>
      <c r="H225" s="745"/>
      <c r="I225" s="745"/>
      <c r="J225" s="745"/>
      <c r="K225" s="745"/>
      <c r="L225" s="745"/>
      <c r="M225" s="745"/>
      <c r="N225" s="745"/>
      <c r="O225" s="745"/>
      <c r="P225" s="745"/>
    </row>
    <row r="226" spans="4:16" x14ac:dyDescent="0.2">
      <c r="D226" s="745"/>
      <c r="E226" s="745"/>
      <c r="F226" s="745"/>
      <c r="G226" s="745"/>
      <c r="H226" s="745"/>
      <c r="I226" s="745"/>
      <c r="J226" s="745"/>
      <c r="K226" s="745"/>
      <c r="L226" s="745"/>
      <c r="M226" s="745"/>
      <c r="N226" s="745"/>
      <c r="O226" s="745"/>
      <c r="P226" s="745"/>
    </row>
    <row r="227" spans="4:16" x14ac:dyDescent="0.2">
      <c r="D227" s="745"/>
      <c r="E227" s="745"/>
      <c r="F227" s="745"/>
      <c r="G227" s="745"/>
      <c r="H227" s="745"/>
      <c r="I227" s="745"/>
      <c r="J227" s="745"/>
      <c r="K227" s="745"/>
      <c r="L227" s="745"/>
      <c r="M227" s="745"/>
      <c r="N227" s="745"/>
      <c r="O227" s="745"/>
      <c r="P227" s="745"/>
    </row>
    <row r="228" spans="4:16" x14ac:dyDescent="0.2">
      <c r="D228" s="745"/>
      <c r="E228" s="745"/>
      <c r="F228" s="745"/>
      <c r="G228" s="745"/>
      <c r="H228" s="745"/>
      <c r="I228" s="745"/>
      <c r="J228" s="745"/>
      <c r="K228" s="745"/>
      <c r="L228" s="745"/>
      <c r="M228" s="745"/>
      <c r="N228" s="745"/>
      <c r="O228" s="745"/>
      <c r="P228" s="745"/>
    </row>
    <row r="229" spans="4:16" x14ac:dyDescent="0.2">
      <c r="D229" s="745"/>
      <c r="E229" s="745"/>
      <c r="F229" s="745"/>
      <c r="G229" s="745"/>
      <c r="H229" s="745"/>
      <c r="I229" s="745"/>
      <c r="J229" s="745"/>
      <c r="K229" s="745"/>
      <c r="L229" s="745"/>
      <c r="M229" s="745"/>
      <c r="N229" s="745"/>
      <c r="O229" s="745"/>
      <c r="P229" s="745"/>
    </row>
    <row r="230" spans="4:16" x14ac:dyDescent="0.2">
      <c r="D230" s="745"/>
      <c r="E230" s="745"/>
      <c r="F230" s="745"/>
      <c r="G230" s="745"/>
      <c r="H230" s="745"/>
      <c r="I230" s="745"/>
      <c r="J230" s="745"/>
      <c r="K230" s="745"/>
      <c r="L230" s="745"/>
      <c r="M230" s="745"/>
      <c r="N230" s="745"/>
      <c r="O230" s="745"/>
      <c r="P230" s="745"/>
    </row>
    <row r="231" spans="4:16" x14ac:dyDescent="0.2">
      <c r="D231" s="745"/>
      <c r="E231" s="745"/>
      <c r="F231" s="745"/>
      <c r="G231" s="745"/>
      <c r="H231" s="745"/>
      <c r="I231" s="745"/>
      <c r="J231" s="745"/>
      <c r="K231" s="745"/>
      <c r="L231" s="745"/>
      <c r="M231" s="745"/>
      <c r="N231" s="745"/>
      <c r="O231" s="745"/>
      <c r="P231" s="745"/>
    </row>
    <row r="232" spans="4:16" x14ac:dyDescent="0.2">
      <c r="D232" s="745"/>
      <c r="E232" s="745"/>
      <c r="F232" s="745"/>
      <c r="G232" s="745"/>
      <c r="H232" s="745"/>
      <c r="I232" s="745"/>
      <c r="J232" s="745"/>
      <c r="K232" s="745"/>
      <c r="L232" s="745"/>
      <c r="M232" s="745"/>
      <c r="N232" s="745"/>
      <c r="O232" s="745"/>
      <c r="P232" s="745"/>
    </row>
    <row r="233" spans="4:16" x14ac:dyDescent="0.2">
      <c r="D233" s="745"/>
      <c r="E233" s="745"/>
      <c r="F233" s="745"/>
      <c r="G233" s="745"/>
      <c r="H233" s="745"/>
      <c r="I233" s="745"/>
      <c r="J233" s="745"/>
      <c r="K233" s="745"/>
      <c r="L233" s="745"/>
      <c r="M233" s="745"/>
      <c r="N233" s="745"/>
      <c r="O233" s="745"/>
      <c r="P233" s="745"/>
    </row>
    <row r="234" spans="4:16" x14ac:dyDescent="0.2">
      <c r="D234" s="745"/>
      <c r="E234" s="745"/>
      <c r="F234" s="745"/>
      <c r="G234" s="745"/>
      <c r="H234" s="745"/>
      <c r="I234" s="745"/>
      <c r="J234" s="745"/>
      <c r="K234" s="745"/>
      <c r="L234" s="745"/>
      <c r="M234" s="745"/>
      <c r="N234" s="745"/>
      <c r="O234" s="745"/>
      <c r="P234" s="745"/>
    </row>
    <row r="235" spans="4:16" x14ac:dyDescent="0.2">
      <c r="D235" s="745"/>
      <c r="E235" s="745"/>
      <c r="F235" s="745"/>
      <c r="G235" s="745"/>
      <c r="H235" s="745"/>
      <c r="I235" s="745"/>
      <c r="J235" s="745"/>
      <c r="K235" s="745"/>
      <c r="L235" s="745"/>
      <c r="M235" s="745"/>
      <c r="N235" s="745"/>
      <c r="O235" s="745"/>
      <c r="P235" s="745"/>
    </row>
    <row r="236" spans="4:16" x14ac:dyDescent="0.2">
      <c r="D236" s="745"/>
      <c r="E236" s="745"/>
      <c r="F236" s="745"/>
      <c r="G236" s="745"/>
      <c r="H236" s="745"/>
      <c r="I236" s="745"/>
      <c r="J236" s="745"/>
      <c r="K236" s="745"/>
      <c r="L236" s="745"/>
      <c r="M236" s="745"/>
      <c r="N236" s="745"/>
      <c r="O236" s="745"/>
      <c r="P236" s="745"/>
    </row>
    <row r="237" spans="4:16" x14ac:dyDescent="0.2">
      <c r="D237" s="745"/>
      <c r="E237" s="745"/>
      <c r="F237" s="745"/>
      <c r="G237" s="745"/>
      <c r="H237" s="745"/>
      <c r="I237" s="745"/>
      <c r="J237" s="745"/>
      <c r="K237" s="745"/>
      <c r="L237" s="745"/>
      <c r="M237" s="745"/>
      <c r="N237" s="745"/>
      <c r="O237" s="745"/>
      <c r="P237" s="745"/>
    </row>
    <row r="238" spans="4:16" x14ac:dyDescent="0.2">
      <c r="D238" s="745"/>
      <c r="E238" s="745"/>
      <c r="F238" s="745"/>
      <c r="G238" s="745"/>
      <c r="H238" s="745"/>
      <c r="I238" s="745"/>
      <c r="J238" s="745"/>
      <c r="K238" s="745"/>
      <c r="L238" s="745"/>
      <c r="M238" s="745"/>
      <c r="N238" s="745"/>
      <c r="O238" s="745"/>
      <c r="P238" s="745"/>
    </row>
    <row r="239" spans="4:16" x14ac:dyDescent="0.2">
      <c r="D239" s="745"/>
      <c r="E239" s="745"/>
      <c r="F239" s="745"/>
      <c r="G239" s="745"/>
      <c r="H239" s="745"/>
      <c r="I239" s="745"/>
      <c r="J239" s="745"/>
      <c r="K239" s="745"/>
      <c r="L239" s="745"/>
      <c r="M239" s="745"/>
      <c r="N239" s="745"/>
      <c r="O239" s="745"/>
      <c r="P239" s="745"/>
    </row>
    <row r="240" spans="4:16" x14ac:dyDescent="0.2">
      <c r="D240" s="745"/>
      <c r="E240" s="745"/>
      <c r="F240" s="745"/>
      <c r="G240" s="745"/>
      <c r="H240" s="745"/>
      <c r="I240" s="745"/>
      <c r="J240" s="745"/>
      <c r="K240" s="745"/>
      <c r="L240" s="745"/>
      <c r="M240" s="745"/>
      <c r="N240" s="745"/>
      <c r="O240" s="745"/>
      <c r="P240" s="745"/>
    </row>
    <row r="241" spans="4:16" x14ac:dyDescent="0.2">
      <c r="D241" s="745"/>
      <c r="E241" s="745"/>
      <c r="F241" s="745"/>
      <c r="G241" s="745"/>
      <c r="H241" s="745"/>
      <c r="I241" s="745"/>
      <c r="J241" s="745"/>
      <c r="K241" s="745"/>
      <c r="L241" s="745"/>
      <c r="M241" s="745"/>
      <c r="N241" s="745"/>
      <c r="O241" s="745"/>
      <c r="P241" s="745"/>
    </row>
    <row r="242" spans="4:16" x14ac:dyDescent="0.2">
      <c r="D242" s="745"/>
      <c r="E242" s="745"/>
      <c r="F242" s="745"/>
      <c r="G242" s="745"/>
      <c r="H242" s="745"/>
      <c r="I242" s="745"/>
      <c r="J242" s="745"/>
      <c r="K242" s="745"/>
      <c r="L242" s="745"/>
      <c r="M242" s="745"/>
      <c r="N242" s="745"/>
      <c r="O242" s="745"/>
      <c r="P242" s="745"/>
    </row>
    <row r="243" spans="4:16" x14ac:dyDescent="0.2">
      <c r="D243" s="745"/>
      <c r="E243" s="745"/>
      <c r="F243" s="745"/>
      <c r="G243" s="745"/>
      <c r="H243" s="745"/>
      <c r="I243" s="745"/>
      <c r="J243" s="745"/>
      <c r="K243" s="745"/>
      <c r="L243" s="745"/>
      <c r="M243" s="745"/>
      <c r="N243" s="745"/>
      <c r="O243" s="745"/>
      <c r="P243" s="745"/>
    </row>
    <row r="244" spans="4:16" x14ac:dyDescent="0.2">
      <c r="D244" s="745"/>
      <c r="E244" s="745"/>
      <c r="F244" s="745"/>
      <c r="G244" s="745"/>
      <c r="H244" s="745"/>
      <c r="I244" s="745"/>
      <c r="J244" s="745"/>
      <c r="K244" s="745"/>
      <c r="L244" s="745"/>
      <c r="M244" s="745"/>
      <c r="N244" s="745"/>
      <c r="O244" s="745"/>
      <c r="P244" s="745"/>
    </row>
    <row r="245" spans="4:16" x14ac:dyDescent="0.2">
      <c r="D245" s="745"/>
      <c r="E245" s="745"/>
      <c r="F245" s="745"/>
      <c r="G245" s="745"/>
      <c r="H245" s="745"/>
      <c r="I245" s="745"/>
      <c r="J245" s="745"/>
      <c r="K245" s="745"/>
      <c r="L245" s="745"/>
      <c r="M245" s="745"/>
      <c r="N245" s="745"/>
      <c r="O245" s="745"/>
      <c r="P245" s="745"/>
    </row>
    <row r="246" spans="4:16" x14ac:dyDescent="0.2">
      <c r="D246" s="745"/>
      <c r="E246" s="745"/>
      <c r="F246" s="745"/>
      <c r="G246" s="745"/>
      <c r="H246" s="745"/>
      <c r="I246" s="745"/>
      <c r="J246" s="745"/>
      <c r="K246" s="745"/>
      <c r="L246" s="745"/>
      <c r="M246" s="745"/>
      <c r="N246" s="745"/>
      <c r="O246" s="745"/>
      <c r="P246" s="745"/>
    </row>
    <row r="247" spans="4:16" x14ac:dyDescent="0.2">
      <c r="D247" s="745"/>
      <c r="E247" s="745"/>
      <c r="F247" s="745"/>
      <c r="G247" s="745"/>
      <c r="H247" s="745"/>
      <c r="I247" s="745"/>
      <c r="J247" s="745"/>
      <c r="K247" s="745"/>
      <c r="L247" s="745"/>
      <c r="M247" s="745"/>
      <c r="N247" s="745"/>
      <c r="O247" s="745"/>
      <c r="P247" s="745"/>
    </row>
    <row r="248" spans="4:16" x14ac:dyDescent="0.2">
      <c r="D248" s="745"/>
      <c r="E248" s="745"/>
      <c r="F248" s="745"/>
      <c r="G248" s="745"/>
      <c r="H248" s="745"/>
      <c r="I248" s="745"/>
      <c r="J248" s="745"/>
      <c r="K248" s="745"/>
      <c r="L248" s="745"/>
      <c r="M248" s="745"/>
      <c r="N248" s="745"/>
      <c r="O248" s="745"/>
      <c r="P248" s="745"/>
    </row>
    <row r="249" spans="4:16" x14ac:dyDescent="0.2">
      <c r="D249" s="745"/>
      <c r="E249" s="745"/>
      <c r="F249" s="745"/>
      <c r="G249" s="745"/>
      <c r="H249" s="745"/>
      <c r="I249" s="745"/>
      <c r="J249" s="745"/>
      <c r="K249" s="745"/>
      <c r="L249" s="745"/>
      <c r="M249" s="745"/>
      <c r="N249" s="745"/>
      <c r="O249" s="745"/>
      <c r="P249" s="745"/>
    </row>
    <row r="250" spans="4:16" x14ac:dyDescent="0.2">
      <c r="D250" s="745"/>
      <c r="E250" s="745"/>
      <c r="F250" s="745"/>
      <c r="G250" s="745"/>
      <c r="H250" s="745"/>
      <c r="I250" s="745"/>
      <c r="J250" s="745"/>
      <c r="K250" s="745"/>
      <c r="L250" s="745"/>
      <c r="M250" s="745"/>
      <c r="N250" s="745"/>
      <c r="O250" s="745"/>
      <c r="P250" s="745"/>
    </row>
    <row r="251" spans="4:16" x14ac:dyDescent="0.2">
      <c r="D251" s="745"/>
      <c r="E251" s="745"/>
      <c r="F251" s="745"/>
      <c r="G251" s="745"/>
      <c r="H251" s="745"/>
      <c r="I251" s="745"/>
      <c r="J251" s="745"/>
      <c r="K251" s="745"/>
      <c r="L251" s="745"/>
      <c r="M251" s="745"/>
      <c r="N251" s="745"/>
      <c r="O251" s="745"/>
      <c r="P251" s="745"/>
    </row>
    <row r="252" spans="4:16" x14ac:dyDescent="0.2">
      <c r="D252" s="745"/>
      <c r="E252" s="745"/>
      <c r="F252" s="745"/>
      <c r="G252" s="745"/>
      <c r="H252" s="745"/>
      <c r="I252" s="745"/>
      <c r="J252" s="745"/>
      <c r="K252" s="745"/>
      <c r="L252" s="745"/>
      <c r="M252" s="745"/>
      <c r="N252" s="745"/>
      <c r="O252" s="745"/>
      <c r="P252" s="745"/>
    </row>
    <row r="253" spans="4:16" x14ac:dyDescent="0.2">
      <c r="D253" s="745"/>
      <c r="E253" s="745"/>
      <c r="F253" s="745"/>
      <c r="G253" s="745"/>
      <c r="H253" s="745"/>
      <c r="I253" s="745"/>
      <c r="J253" s="745"/>
      <c r="K253" s="745"/>
      <c r="L253" s="745"/>
      <c r="M253" s="745"/>
      <c r="N253" s="745"/>
      <c r="O253" s="745"/>
      <c r="P253" s="745"/>
    </row>
    <row r="254" spans="4:16" x14ac:dyDescent="0.2">
      <c r="D254" s="745"/>
      <c r="E254" s="745"/>
      <c r="F254" s="745"/>
      <c r="G254" s="745"/>
      <c r="H254" s="745"/>
      <c r="I254" s="745"/>
      <c r="J254" s="745"/>
      <c r="K254" s="745"/>
      <c r="L254" s="745"/>
      <c r="M254" s="745"/>
      <c r="N254" s="745"/>
      <c r="O254" s="745"/>
      <c r="P254" s="745"/>
    </row>
    <row r="255" spans="4:16" x14ac:dyDescent="0.2">
      <c r="D255" s="745"/>
      <c r="E255" s="745"/>
      <c r="F255" s="745"/>
      <c r="G255" s="745"/>
      <c r="H255" s="745"/>
      <c r="I255" s="745"/>
      <c r="J255" s="745"/>
      <c r="K255" s="745"/>
      <c r="L255" s="745"/>
      <c r="M255" s="745"/>
      <c r="N255" s="745"/>
      <c r="O255" s="745"/>
      <c r="P255" s="745"/>
    </row>
    <row r="256" spans="4:16" x14ac:dyDescent="0.2">
      <c r="D256" s="745"/>
      <c r="E256" s="745"/>
      <c r="F256" s="745"/>
      <c r="G256" s="745"/>
      <c r="H256" s="745"/>
      <c r="I256" s="745"/>
      <c r="J256" s="745"/>
      <c r="K256" s="745"/>
      <c r="L256" s="745"/>
      <c r="M256" s="745"/>
      <c r="N256" s="745"/>
      <c r="O256" s="745"/>
      <c r="P256" s="745"/>
    </row>
    <row r="257" spans="1:16" x14ac:dyDescent="0.2">
      <c r="D257" s="745"/>
      <c r="E257" s="745"/>
      <c r="F257" s="745"/>
      <c r="G257" s="745"/>
      <c r="H257" s="745"/>
      <c r="I257" s="745"/>
      <c r="J257" s="745"/>
      <c r="K257" s="745"/>
      <c r="L257" s="745"/>
      <c r="M257" s="745"/>
      <c r="N257" s="745"/>
      <c r="O257" s="745"/>
      <c r="P257" s="745"/>
    </row>
    <row r="258" spans="1:16" x14ac:dyDescent="0.2">
      <c r="D258" s="745"/>
      <c r="E258" s="745"/>
      <c r="F258" s="745"/>
      <c r="G258" s="745"/>
      <c r="H258" s="745"/>
      <c r="I258" s="745"/>
      <c r="J258" s="745"/>
      <c r="K258" s="745"/>
      <c r="L258" s="745"/>
      <c r="M258" s="745"/>
      <c r="N258" s="745"/>
      <c r="O258" s="745"/>
      <c r="P258" s="745"/>
    </row>
    <row r="259" spans="1:16" x14ac:dyDescent="0.2">
      <c r="D259" s="745"/>
      <c r="E259" s="745"/>
      <c r="F259" s="745"/>
      <c r="G259" s="745"/>
      <c r="H259" s="745"/>
      <c r="I259" s="745"/>
      <c r="J259" s="745"/>
      <c r="K259" s="745"/>
      <c r="L259" s="745"/>
      <c r="M259" s="745"/>
      <c r="N259" s="745"/>
      <c r="O259" s="745"/>
      <c r="P259" s="745"/>
    </row>
    <row r="260" spans="1:16" x14ac:dyDescent="0.2">
      <c r="D260" s="745"/>
      <c r="E260" s="745"/>
      <c r="F260" s="745"/>
      <c r="G260" s="745"/>
      <c r="H260" s="745"/>
      <c r="I260" s="745"/>
      <c r="J260" s="745"/>
      <c r="K260" s="745"/>
      <c r="L260" s="745"/>
      <c r="M260" s="745"/>
      <c r="N260" s="745"/>
      <c r="O260" s="745"/>
      <c r="P260" s="745"/>
    </row>
    <row r="261" spans="1:16" x14ac:dyDescent="0.2">
      <c r="D261" s="745"/>
      <c r="E261" s="745"/>
      <c r="F261" s="745"/>
      <c r="G261" s="745"/>
      <c r="H261" s="745"/>
      <c r="I261" s="745"/>
      <c r="J261" s="745"/>
      <c r="K261" s="745"/>
      <c r="L261" s="745"/>
      <c r="M261" s="745"/>
      <c r="N261" s="745"/>
      <c r="O261" s="745"/>
      <c r="P261" s="745"/>
    </row>
    <row r="262" spans="1:16" x14ac:dyDescent="0.2">
      <c r="D262" s="745"/>
      <c r="E262" s="745"/>
      <c r="F262" s="745"/>
      <c r="G262" s="745"/>
      <c r="H262" s="745"/>
      <c r="I262" s="745"/>
      <c r="J262" s="745"/>
      <c r="K262" s="745"/>
      <c r="L262" s="745"/>
      <c r="M262" s="745"/>
      <c r="N262" s="745"/>
      <c r="O262" s="745"/>
      <c r="P262" s="745"/>
    </row>
    <row r="263" spans="1:16" x14ac:dyDescent="0.2">
      <c r="D263" s="745"/>
      <c r="E263" s="745"/>
      <c r="F263" s="745"/>
      <c r="G263" s="745"/>
      <c r="H263" s="745"/>
      <c r="I263" s="745"/>
      <c r="J263" s="745"/>
      <c r="K263" s="745"/>
      <c r="L263" s="745"/>
      <c r="M263" s="745"/>
      <c r="N263" s="745"/>
      <c r="O263" s="745"/>
      <c r="P263" s="745"/>
    </row>
    <row r="264" spans="1:16" x14ac:dyDescent="0.2">
      <c r="D264" s="745"/>
      <c r="E264" s="745"/>
      <c r="F264" s="745"/>
      <c r="G264" s="745"/>
      <c r="H264" s="745"/>
      <c r="I264" s="745"/>
      <c r="J264" s="745"/>
      <c r="K264" s="745"/>
      <c r="L264" s="745"/>
      <c r="M264" s="745"/>
      <c r="N264" s="745"/>
      <c r="O264" s="745"/>
      <c r="P264" s="745"/>
    </row>
    <row r="265" spans="1:16" x14ac:dyDescent="0.2">
      <c r="D265" s="745"/>
      <c r="E265" s="745"/>
      <c r="F265" s="745"/>
      <c r="G265" s="745"/>
      <c r="H265" s="745"/>
      <c r="I265" s="745"/>
      <c r="J265" s="745"/>
      <c r="K265" s="745"/>
      <c r="L265" s="745"/>
      <c r="M265" s="745"/>
      <c r="N265" s="745"/>
      <c r="O265" s="745"/>
      <c r="P265" s="745"/>
    </row>
    <row r="266" spans="1:16" x14ac:dyDescent="0.2">
      <c r="D266" s="388" t="e">
        <f>SP!#REF!</f>
        <v>#REF!</v>
      </c>
      <c r="E266" s="388">
        <f>SP!B2</f>
        <v>0</v>
      </c>
      <c r="F266" s="388">
        <f>E266</f>
        <v>0</v>
      </c>
      <c r="G266">
        <f t="shared" ref="G266:P266" si="27">$E266</f>
        <v>0</v>
      </c>
      <c r="H266">
        <f t="shared" si="27"/>
        <v>0</v>
      </c>
      <c r="I266">
        <f t="shared" si="27"/>
        <v>0</v>
      </c>
      <c r="J266">
        <f t="shared" si="27"/>
        <v>0</v>
      </c>
      <c r="K266">
        <f t="shared" si="27"/>
        <v>0</v>
      </c>
      <c r="L266">
        <f t="shared" si="27"/>
        <v>0</v>
      </c>
      <c r="M266">
        <f t="shared" si="27"/>
        <v>0</v>
      </c>
      <c r="N266">
        <f t="shared" si="27"/>
        <v>0</v>
      </c>
      <c r="O266">
        <f t="shared" si="27"/>
        <v>0</v>
      </c>
      <c r="P266">
        <f t="shared" si="27"/>
        <v>0</v>
      </c>
    </row>
    <row r="267" spans="1:16" x14ac:dyDescent="0.2">
      <c r="A267" s="639"/>
      <c r="B267" s="639"/>
      <c r="C267" s="1222"/>
      <c r="D267" s="1095" t="str">
        <f>SP!A3</f>
        <v>2012/13</v>
      </c>
      <c r="E267" s="1095" t="str">
        <f>SP!B3</f>
        <v>2013/14</v>
      </c>
      <c r="F267" s="1095" t="str">
        <f>SP!C3</f>
        <v>2014/15</v>
      </c>
      <c r="G267" s="1095" t="str">
        <f>SP!D3</f>
        <v>2015/16</v>
      </c>
      <c r="H267" s="1095" t="str">
        <f>SP!G3</f>
        <v>2016/17</v>
      </c>
      <c r="I267" s="1095" t="str">
        <f>SP!I3</f>
        <v>2017/18</v>
      </c>
      <c r="J267" s="1095" t="str">
        <f>SP!J3</f>
        <v>2018/19</v>
      </c>
      <c r="K267" s="1095" t="str">
        <f>SP!K3</f>
        <v>2019/20</v>
      </c>
      <c r="L267" s="1095" t="str">
        <f>SP!L3</f>
        <v>2020/21</v>
      </c>
      <c r="M267" s="1095" t="str">
        <f>SP!M3</f>
        <v>2021/22</v>
      </c>
      <c r="N267" s="1095" t="str">
        <f>SP!N3</f>
        <v>2022/23</v>
      </c>
      <c r="O267" s="1095" t="str">
        <f>SP!O3</f>
        <v>2023/24</v>
      </c>
      <c r="P267" s="1095" t="str">
        <f>SP!P3</f>
        <v>2024/25</v>
      </c>
    </row>
    <row r="268" spans="1:16" x14ac:dyDescent="0.2">
      <c r="A268" s="1280" t="s">
        <v>2969</v>
      </c>
      <c r="B268" s="1280"/>
      <c r="C268" s="1281"/>
    </row>
    <row r="269" spans="1:16" x14ac:dyDescent="0.2">
      <c r="A269" t="s">
        <v>2950</v>
      </c>
    </row>
    <row r="270" spans="1:16" x14ac:dyDescent="0.2">
      <c r="C270" s="779" t="s">
        <v>2970</v>
      </c>
      <c r="D270" s="745">
        <v>5534.52</v>
      </c>
      <c r="E270" s="745">
        <v>5645.2103999999999</v>
      </c>
      <c r="F270" s="745">
        <v>5758.1146079999999</v>
      </c>
      <c r="G270" s="745">
        <v>5873.27690016</v>
      </c>
      <c r="H270" s="745">
        <v>5990.7424381631999</v>
      </c>
      <c r="I270" s="745">
        <v>6110.5572869264643</v>
      </c>
      <c r="J270" s="745">
        <v>6232.7684326649924</v>
      </c>
      <c r="K270" s="745">
        <v>6357.423801318293</v>
      </c>
      <c r="L270" s="745">
        <v>6484.5722773446587</v>
      </c>
      <c r="M270" s="745">
        <v>6614.2637228915519</v>
      </c>
      <c r="N270" s="745">
        <v>6746.5489973493823</v>
      </c>
      <c r="O270" s="745"/>
      <c r="P270" s="745"/>
    </row>
    <row r="271" spans="1:16" x14ac:dyDescent="0.2">
      <c r="C271" s="779" t="s">
        <v>2971</v>
      </c>
      <c r="D271" s="745">
        <v>651.78</v>
      </c>
      <c r="E271" s="745">
        <v>664.81560000000002</v>
      </c>
      <c r="F271" s="745">
        <v>678.11191199999996</v>
      </c>
      <c r="G271" s="745">
        <v>691.67415024000002</v>
      </c>
      <c r="H271" s="745">
        <v>705.50763324479999</v>
      </c>
      <c r="I271" s="745">
        <v>719.61778590969607</v>
      </c>
      <c r="J271" s="745">
        <v>734.01014162788977</v>
      </c>
      <c r="K271" s="745">
        <v>748.6903444604477</v>
      </c>
      <c r="L271" s="745">
        <v>763.66415134965666</v>
      </c>
      <c r="M271" s="745">
        <v>778.93743437664978</v>
      </c>
      <c r="N271" s="745">
        <v>794.51618306418266</v>
      </c>
      <c r="O271" s="745"/>
      <c r="P271" s="745"/>
    </row>
    <row r="272" spans="1:16" x14ac:dyDescent="0.2">
      <c r="C272" s="779" t="s">
        <v>2972</v>
      </c>
      <c r="D272" s="745">
        <v>117.3</v>
      </c>
      <c r="E272" s="745">
        <v>119.646</v>
      </c>
      <c r="F272" s="745">
        <v>122.03891999999999</v>
      </c>
      <c r="G272" s="745">
        <v>124.4796984</v>
      </c>
      <c r="H272" s="745">
        <v>126.969292368</v>
      </c>
      <c r="I272" s="745">
        <v>129.50867821536002</v>
      </c>
      <c r="J272" s="745">
        <v>132.09885177966717</v>
      </c>
      <c r="K272" s="745">
        <v>134.74082881526053</v>
      </c>
      <c r="L272" s="745">
        <v>137.43564539156574</v>
      </c>
      <c r="M272" s="745">
        <v>140.18435829939708</v>
      </c>
      <c r="N272" s="1292">
        <v>142.98804546538497</v>
      </c>
      <c r="O272" s="1292"/>
      <c r="P272" s="1292"/>
    </row>
    <row r="273" spans="1:16" x14ac:dyDescent="0.2">
      <c r="C273" s="779" t="s">
        <v>2973</v>
      </c>
      <c r="D273" s="745">
        <v>110.16</v>
      </c>
      <c r="E273" s="745">
        <v>112.36320000000001</v>
      </c>
      <c r="F273" s="745">
        <v>114.61046399999999</v>
      </c>
      <c r="G273" s="745">
        <v>116.90267328</v>
      </c>
      <c r="H273" s="745">
        <v>119.2407267456</v>
      </c>
      <c r="I273" s="745">
        <v>121.62554128051201</v>
      </c>
      <c r="J273" s="745">
        <v>124.05805210612222</v>
      </c>
      <c r="K273" s="745">
        <v>126.53921314824467</v>
      </c>
      <c r="L273" s="745">
        <v>129.06999741120956</v>
      </c>
      <c r="M273" s="745">
        <v>131.65139735943376</v>
      </c>
      <c r="N273" s="1292">
        <v>134.28442530662241</v>
      </c>
      <c r="O273" s="1292"/>
      <c r="P273" s="1292"/>
    </row>
    <row r="274" spans="1:16" x14ac:dyDescent="0.2">
      <c r="C274" s="779" t="s">
        <v>2974</v>
      </c>
      <c r="D274" s="745">
        <v>278.45999999999998</v>
      </c>
      <c r="E274" s="745">
        <v>284.0292</v>
      </c>
      <c r="F274" s="745">
        <v>289.70978399999996</v>
      </c>
      <c r="G274" s="745">
        <v>295.50397967999999</v>
      </c>
      <c r="H274" s="745">
        <v>301.4140592736</v>
      </c>
      <c r="I274" s="745">
        <v>307.442340459072</v>
      </c>
      <c r="J274" s="745">
        <v>313.59118726825341</v>
      </c>
      <c r="K274" s="745">
        <v>319.86301101361846</v>
      </c>
      <c r="L274" s="745">
        <v>326.26027123389088</v>
      </c>
      <c r="M274" s="745">
        <v>332.78547665856871</v>
      </c>
      <c r="N274" s="745">
        <v>339.44118619173997</v>
      </c>
      <c r="O274" s="745"/>
      <c r="P274" s="745"/>
    </row>
    <row r="275" spans="1:16" x14ac:dyDescent="0.2">
      <c r="A275" s="4"/>
      <c r="B275" s="4"/>
      <c r="C275" s="4" t="s">
        <v>2989</v>
      </c>
      <c r="D275" s="1093">
        <f>SUM(D270:D274)</f>
        <v>6692.22</v>
      </c>
      <c r="E275" s="1093">
        <f t="shared" ref="E275:O275" si="28">SUM(E270:E274)</f>
        <v>6826.0643999999993</v>
      </c>
      <c r="F275" s="1093">
        <f t="shared" si="28"/>
        <v>6962.5856880000001</v>
      </c>
      <c r="G275" s="1093">
        <f t="shared" si="28"/>
        <v>7101.8374017600008</v>
      </c>
      <c r="H275" s="1093">
        <f t="shared" si="28"/>
        <v>7243.8741497952005</v>
      </c>
      <c r="I275" s="1093">
        <f t="shared" si="28"/>
        <v>7388.7516327911044</v>
      </c>
      <c r="J275" s="1093">
        <f t="shared" si="28"/>
        <v>7536.5266654469242</v>
      </c>
      <c r="K275" s="1093">
        <f t="shared" si="28"/>
        <v>7687.257198755864</v>
      </c>
      <c r="L275" s="1093">
        <f t="shared" si="28"/>
        <v>7841.0023427309825</v>
      </c>
      <c r="M275" s="1093">
        <f t="shared" si="28"/>
        <v>7997.8223895856008</v>
      </c>
      <c r="N275" s="1093">
        <f t="shared" si="28"/>
        <v>8157.7788373773119</v>
      </c>
      <c r="O275" s="1093">
        <f t="shared" si="28"/>
        <v>0</v>
      </c>
      <c r="P275" s="1093">
        <f t="shared" ref="P275" si="29">SUM(P270:P274)</f>
        <v>0</v>
      </c>
    </row>
    <row r="277" spans="1:16" x14ac:dyDescent="0.2">
      <c r="A277" s="779" t="s">
        <v>2957</v>
      </c>
      <c r="B277" s="779"/>
    </row>
    <row r="278" spans="1:16" x14ac:dyDescent="0.2">
      <c r="C278" s="779" t="s">
        <v>2970</v>
      </c>
      <c r="D278" s="745">
        <v>0</v>
      </c>
      <c r="E278" s="745">
        <v>0</v>
      </c>
      <c r="F278" s="745">
        <v>0</v>
      </c>
      <c r="G278" s="745">
        <v>0</v>
      </c>
      <c r="H278" s="745">
        <v>0</v>
      </c>
      <c r="I278" s="745">
        <v>0</v>
      </c>
      <c r="J278" s="745">
        <v>0</v>
      </c>
      <c r="K278" s="745">
        <v>0</v>
      </c>
      <c r="L278" s="745">
        <v>0</v>
      </c>
      <c r="M278" s="745">
        <v>15.570871414413633</v>
      </c>
      <c r="N278" s="745">
        <v>0</v>
      </c>
      <c r="O278" s="745"/>
      <c r="P278" s="745"/>
    </row>
    <row r="279" spans="1:16" x14ac:dyDescent="0.2">
      <c r="C279" s="779" t="s">
        <v>2971</v>
      </c>
      <c r="D279" s="745">
        <v>0</v>
      </c>
      <c r="E279" s="745">
        <v>1128.7820299392001</v>
      </c>
      <c r="F279" s="745">
        <v>95.422125427199987</v>
      </c>
      <c r="G279" s="745">
        <v>1090.6021847545344</v>
      </c>
      <c r="H279" s="745">
        <v>0</v>
      </c>
      <c r="I279" s="745">
        <v>70.416593658745853</v>
      </c>
      <c r="J279" s="745">
        <v>0</v>
      </c>
      <c r="K279" s="745">
        <v>1317.7719045988817</v>
      </c>
      <c r="L279" s="745">
        <v>0</v>
      </c>
      <c r="M279" s="745">
        <v>0</v>
      </c>
      <c r="N279" s="745">
        <v>33.571106326655602</v>
      </c>
      <c r="O279" s="745"/>
      <c r="P279" s="745"/>
    </row>
    <row r="280" spans="1:16" x14ac:dyDescent="0.2">
      <c r="C280" s="779" t="s">
        <v>2972</v>
      </c>
      <c r="D280" s="745">
        <v>0</v>
      </c>
      <c r="E280" s="745">
        <v>0</v>
      </c>
      <c r="F280" s="745">
        <v>95.743818387692315</v>
      </c>
      <c r="G280" s="745">
        <v>0</v>
      </c>
      <c r="H280" s="745">
        <v>56.14713249626903</v>
      </c>
      <c r="I280" s="745">
        <v>20.626628028528668</v>
      </c>
      <c r="J280" s="745">
        <v>0</v>
      </c>
      <c r="K280" s="745">
        <v>0</v>
      </c>
      <c r="L280" s="745">
        <v>0</v>
      </c>
      <c r="M280" s="745">
        <v>66.73061688076919</v>
      </c>
      <c r="N280" s="745">
        <v>0</v>
      </c>
      <c r="O280" s="745"/>
      <c r="P280" s="745"/>
    </row>
    <row r="281" spans="1:16" x14ac:dyDescent="0.2">
      <c r="C281" s="779" t="s">
        <v>2973</v>
      </c>
      <c r="D281" s="745">
        <v>0</v>
      </c>
      <c r="E281" s="745">
        <v>8.9192742911999989</v>
      </c>
      <c r="F281" s="745">
        <v>61.475717142855856</v>
      </c>
      <c r="G281" s="745">
        <v>12.63287408678304</v>
      </c>
      <c r="H281" s="745">
        <v>0</v>
      </c>
      <c r="I281" s="745">
        <v>574.28215312376051</v>
      </c>
      <c r="J281" s="745">
        <v>0</v>
      </c>
      <c r="K281" s="745">
        <v>0</v>
      </c>
      <c r="L281" s="745">
        <v>0</v>
      </c>
      <c r="M281" s="745">
        <v>0</v>
      </c>
      <c r="N281" s="745">
        <v>205.15676088511759</v>
      </c>
      <c r="O281" s="745"/>
      <c r="P281" s="745"/>
    </row>
    <row r="282" spans="1:16" x14ac:dyDescent="0.2">
      <c r="C282" s="779" t="s">
        <v>2974</v>
      </c>
      <c r="D282" s="745">
        <v>37.256519999999995</v>
      </c>
      <c r="E282" s="745">
        <v>50.292936000000005</v>
      </c>
      <c r="F282" s="745">
        <v>42.073713576000003</v>
      </c>
      <c r="G282" s="745">
        <v>114.74538598512002</v>
      </c>
      <c r="H282" s="745">
        <v>134.47262550654719</v>
      </c>
      <c r="I282" s="745">
        <v>156.34512866642115</v>
      </c>
      <c r="J282" s="745">
        <v>167.38877286118833</v>
      </c>
      <c r="K282" s="745">
        <v>146.94248960901814</v>
      </c>
      <c r="L282" s="745">
        <v>92.33404694432835</v>
      </c>
      <c r="M282" s="745">
        <v>0</v>
      </c>
      <c r="N282" s="745">
        <v>0</v>
      </c>
      <c r="O282" s="745"/>
      <c r="P282" s="745"/>
    </row>
    <row r="283" spans="1:16" x14ac:dyDescent="0.2">
      <c r="C283" s="779" t="s">
        <v>3518</v>
      </c>
      <c r="D283" s="745">
        <v>1500</v>
      </c>
      <c r="E283" s="745">
        <v>843.5</v>
      </c>
      <c r="F283" s="745">
        <v>537.5</v>
      </c>
      <c r="G283" s="745">
        <v>1211.9000000000001</v>
      </c>
      <c r="H283" s="745">
        <v>516.79999999999995</v>
      </c>
      <c r="I283" s="745">
        <v>4872.1000000000004</v>
      </c>
      <c r="J283" s="745">
        <v>537.9</v>
      </c>
      <c r="K283" s="745">
        <v>554.1</v>
      </c>
      <c r="L283" s="745">
        <v>570.79999999999995</v>
      </c>
      <c r="M283" s="745">
        <v>588.1</v>
      </c>
      <c r="N283" s="745">
        <v>0</v>
      </c>
      <c r="O283" s="745"/>
      <c r="P283" s="745"/>
    </row>
    <row r="284" spans="1:16" x14ac:dyDescent="0.2">
      <c r="C284" s="4" t="s">
        <v>2990</v>
      </c>
      <c r="D284" s="1093">
        <f>SUM(D278:D283)</f>
        <v>1537.2565199999999</v>
      </c>
      <c r="E284" s="1093">
        <f t="shared" ref="E284:O284" si="30">SUM(E278:E283)</f>
        <v>2031.4942402304002</v>
      </c>
      <c r="F284" s="1093">
        <f t="shared" si="30"/>
        <v>832.21537453374822</v>
      </c>
      <c r="G284" s="1093">
        <f t="shared" si="30"/>
        <v>2429.8804448264373</v>
      </c>
      <c r="H284" s="1093">
        <f t="shared" si="30"/>
        <v>707.41975800281614</v>
      </c>
      <c r="I284" s="1093">
        <f t="shared" si="30"/>
        <v>5693.7705034774563</v>
      </c>
      <c r="J284" s="1093">
        <f t="shared" si="30"/>
        <v>705.28877286118836</v>
      </c>
      <c r="K284" s="1093">
        <f t="shared" si="30"/>
        <v>2018.8143942079</v>
      </c>
      <c r="L284" s="1093">
        <f t="shared" si="30"/>
        <v>663.13404694432825</v>
      </c>
      <c r="M284" s="1093">
        <f t="shared" si="30"/>
        <v>670.40148829518284</v>
      </c>
      <c r="N284" s="1093">
        <f t="shared" si="30"/>
        <v>238.7278672117732</v>
      </c>
      <c r="O284" s="1093">
        <f t="shared" si="30"/>
        <v>0</v>
      </c>
      <c r="P284" s="1093">
        <f t="shared" ref="P284" si="31">SUM(P278:P283)</f>
        <v>0</v>
      </c>
    </row>
    <row r="285" spans="1:16" x14ac:dyDescent="0.2">
      <c r="C285" s="1287" t="s">
        <v>2991</v>
      </c>
      <c r="D285" s="1289">
        <f>D275+D284</f>
        <v>8229.4765200000002</v>
      </c>
      <c r="E285" s="1289">
        <f t="shared" ref="E285:O285" si="32">E275+E284</f>
        <v>8857.5586402303998</v>
      </c>
      <c r="F285" s="1289">
        <f t="shared" si="32"/>
        <v>7794.8010625337483</v>
      </c>
      <c r="G285" s="1289">
        <f t="shared" si="32"/>
        <v>9531.7178465864381</v>
      </c>
      <c r="H285" s="1289">
        <f t="shared" si="32"/>
        <v>7951.2939077980163</v>
      </c>
      <c r="I285" s="1289">
        <f t="shared" si="32"/>
        <v>13082.522136268561</v>
      </c>
      <c r="J285" s="1289">
        <f t="shared" si="32"/>
        <v>8241.8154383081128</v>
      </c>
      <c r="K285" s="1289">
        <f t="shared" si="32"/>
        <v>9706.0715929637645</v>
      </c>
      <c r="L285" s="1289">
        <f t="shared" si="32"/>
        <v>8504.1363896753101</v>
      </c>
      <c r="M285" s="1289">
        <f t="shared" si="32"/>
        <v>8668.2238778807841</v>
      </c>
      <c r="N285" s="1289">
        <f t="shared" si="32"/>
        <v>8396.5067045890846</v>
      </c>
      <c r="O285" s="1289">
        <f t="shared" si="32"/>
        <v>0</v>
      </c>
      <c r="P285" s="1289">
        <f t="shared" ref="P285" si="33">P275+P284</f>
        <v>0</v>
      </c>
    </row>
    <row r="287" spans="1:16" x14ac:dyDescent="0.2">
      <c r="A287" s="1280" t="s">
        <v>2975</v>
      </c>
      <c r="B287" s="1280"/>
      <c r="C287" s="1281"/>
    </row>
    <row r="288" spans="1:16" x14ac:dyDescent="0.2">
      <c r="A288" t="s">
        <v>2950</v>
      </c>
    </row>
    <row r="289" spans="1:16" x14ac:dyDescent="0.2">
      <c r="C289" s="779" t="s">
        <v>2970</v>
      </c>
      <c r="D289" s="1139">
        <f>ROUND(SUM('W&amp;W'!A263:A264)+SUM('W&amp;W'!A300:A316),-3)/1000</f>
        <v>5442</v>
      </c>
      <c r="E289" s="745">
        <f>ROUND(SUM('W&amp;W'!B263:B264)+SUM('W&amp;W'!B300:B316),-3)/1000</f>
        <v>5766</v>
      </c>
      <c r="F289" s="745">
        <f>ROUND(SUM('W&amp;W'!C263:C264)+SUM('W&amp;W'!C300:C316),-3)/1000</f>
        <v>6026</v>
      </c>
      <c r="G289" s="745">
        <f>ROUND(SUM('W&amp;W'!D263:D264)+SUM('W&amp;W'!D300:D316),-3)/1000</f>
        <v>5929</v>
      </c>
      <c r="H289" s="745">
        <f>ROUND(SUM('W&amp;W'!G263:G264)+SUM('W&amp;W'!G300:G316),-3)/1000</f>
        <v>6091</v>
      </c>
      <c r="I289" s="745">
        <f>ROUND(SUM('W&amp;W'!I263:I264)+SUM('W&amp;W'!I300:I316),-3)/1000</f>
        <v>6206</v>
      </c>
      <c r="J289" s="745">
        <f>ROUND(SUM('W&amp;W'!J263:J264)+SUM('W&amp;W'!J300:J316),-3)/1000</f>
        <v>6362</v>
      </c>
      <c r="K289" s="745">
        <f>ROUND(SUM('W&amp;W'!K263:K264)+SUM('W&amp;W'!K300:K316),-3)/1000</f>
        <v>6521</v>
      </c>
      <c r="L289" s="745">
        <f>ROUND(SUM('W&amp;W'!L263:L264)+SUM('W&amp;W'!L300:L316),-3)/1000</f>
        <v>6685</v>
      </c>
      <c r="M289" s="745">
        <f>ROUND(SUM('W&amp;W'!M263:M264)+SUM('W&amp;W'!M300:M316),-3)/1000</f>
        <v>6884</v>
      </c>
      <c r="N289" s="745">
        <f>ROUND(SUM('W&amp;W'!N263:N264)+SUM('W&amp;W'!N300:N316),-3)/1000</f>
        <v>7088</v>
      </c>
      <c r="O289" s="745">
        <f>ROUND(SUM('W&amp;W'!O263:O264)+SUM('W&amp;W'!O300:O316),-3)/1000</f>
        <v>7299</v>
      </c>
      <c r="P289" s="745">
        <f>ROUND(SUM('W&amp;W'!P263:P264)+SUM('W&amp;W'!P300:P316),-3)/1000</f>
        <v>7516</v>
      </c>
    </row>
    <row r="290" spans="1:16" x14ac:dyDescent="0.2">
      <c r="C290" s="779" t="s">
        <v>2971</v>
      </c>
      <c r="D290" s="745">
        <f>ROUND(SUM('W&amp;W'!A311:A315),-3)/1000</f>
        <v>219</v>
      </c>
      <c r="E290" s="745">
        <f>ROUND(SUM('W&amp;W'!B311:B315),-3)/1000</f>
        <v>193</v>
      </c>
      <c r="F290" s="745">
        <f>ROUND(SUM('W&amp;W'!C311:C315),-3)/1000</f>
        <v>173</v>
      </c>
      <c r="G290" s="745">
        <f>ROUND(SUM('W&amp;W'!D311:D315),-3)/1000</f>
        <v>83</v>
      </c>
      <c r="H290" s="745">
        <f>ROUND(SUM('W&amp;W'!G311:G315),-3)/1000</f>
        <v>72</v>
      </c>
      <c r="I290" s="745">
        <f>ROUND(SUM('W&amp;W'!I311:I315),-3)/1000</f>
        <v>73</v>
      </c>
      <c r="J290" s="745">
        <f>ROUND(SUM('W&amp;W'!J311:J315),-3)/1000</f>
        <v>75</v>
      </c>
      <c r="K290" s="745">
        <f>ROUND(SUM('W&amp;W'!K311:K315),-3)/1000</f>
        <v>77</v>
      </c>
      <c r="L290" s="745">
        <f>ROUND(SUM('W&amp;W'!L311:L315),-3)/1000</f>
        <v>79</v>
      </c>
      <c r="M290" s="745">
        <f>ROUND(SUM('W&amp;W'!M311:M315),-3)/1000</f>
        <v>81</v>
      </c>
      <c r="N290" s="745">
        <f>ROUND(SUM('W&amp;W'!N311:N315),-3)/1000</f>
        <v>82</v>
      </c>
      <c r="O290" s="745">
        <f>ROUND(SUM('W&amp;W'!O311:O315),-3)/1000</f>
        <v>84</v>
      </c>
      <c r="P290" s="745">
        <f>ROUND(SUM('W&amp;W'!P311:P315),-3)/1000</f>
        <v>86</v>
      </c>
    </row>
    <row r="291" spans="1:16" x14ac:dyDescent="0.2">
      <c r="C291" s="779" t="s">
        <v>2972</v>
      </c>
      <c r="D291" s="745">
        <f>ROUND(SUM('W&amp;W'!A278:A282)+SUM('W&amp;W'!A267:A271),-3)/1000</f>
        <v>86</v>
      </c>
      <c r="E291" s="745">
        <f>ROUND(SUM('W&amp;W'!B278:B282)+SUM('W&amp;W'!B267:B271),-3)/1000</f>
        <v>93</v>
      </c>
      <c r="F291" s="745">
        <f>ROUND(SUM('W&amp;W'!C278:C282)+SUM('W&amp;W'!C267:C271),-3)/1000</f>
        <v>79</v>
      </c>
      <c r="G291" s="745">
        <f>ROUND(SUM('W&amp;W'!D278:D282)+SUM('W&amp;W'!D267:D271),-3)/1000</f>
        <v>37</v>
      </c>
      <c r="H291" s="745">
        <f>ROUND(SUM('W&amp;W'!G278:G282)+SUM('W&amp;W'!G267:G271),-3)/1000</f>
        <v>44</v>
      </c>
      <c r="I291" s="745">
        <f>ROUND(SUM('W&amp;W'!I278:I282)+SUM('W&amp;W'!I267:I271),-3)/1000</f>
        <v>43</v>
      </c>
      <c r="J291" s="745">
        <f>ROUND(SUM('W&amp;W'!J278:J282)+SUM('W&amp;W'!J267:J271),-3)/1000</f>
        <v>45</v>
      </c>
      <c r="K291" s="745">
        <f>ROUND(SUM('W&amp;W'!K278:K282)+SUM('W&amp;W'!K267:K271),-3)/1000</f>
        <v>47</v>
      </c>
      <c r="L291" s="745">
        <f>ROUND(SUM('W&amp;W'!L278:L282)+SUM('W&amp;W'!L267:L271),-3)/1000</f>
        <v>48</v>
      </c>
      <c r="M291" s="745">
        <f>ROUND(SUM('W&amp;W'!M278:M282)+SUM('W&amp;W'!M267:M271),-3)/1000</f>
        <v>50</v>
      </c>
      <c r="N291" s="745">
        <f>ROUND(SUM('W&amp;W'!N278:N282)+SUM('W&amp;W'!N267:N271),-3)/1000</f>
        <v>52</v>
      </c>
      <c r="O291" s="745">
        <f>ROUND(SUM('W&amp;W'!O278:O282)+SUM('W&amp;W'!O267:O271),-3)/1000</f>
        <v>53</v>
      </c>
      <c r="P291" s="745">
        <f>ROUND(SUM('W&amp;W'!P278:P282)+SUM('W&amp;W'!P267:P271),-3)/1000</f>
        <v>55</v>
      </c>
    </row>
    <row r="292" spans="1:16" x14ac:dyDescent="0.2">
      <c r="C292" s="779" t="s">
        <v>2973</v>
      </c>
      <c r="D292" s="745">
        <f>ROUND(SUM('W&amp;W'!A286:A293)+'W&amp;W'!A295,-3)/1000</f>
        <v>69</v>
      </c>
      <c r="E292" s="745">
        <f>ROUND(SUM('W&amp;W'!B286:B293)+'W&amp;W'!B295,-3)/1000</f>
        <v>63</v>
      </c>
      <c r="F292" s="745">
        <f>ROUND(SUM('W&amp;W'!C286:C293)+'W&amp;W'!C295,-3)/1000</f>
        <v>78</v>
      </c>
      <c r="G292" s="745">
        <f>ROUND(SUM('W&amp;W'!D286:D293)+'W&amp;W'!D295,-3)/1000</f>
        <v>27</v>
      </c>
      <c r="H292" s="745">
        <f>ROUND(SUM('W&amp;W'!G286:G293)+'W&amp;W'!G295,-3)/1000</f>
        <v>17</v>
      </c>
      <c r="I292" s="745">
        <f>ROUND(SUM('W&amp;W'!I286:I293)+'W&amp;W'!I295,-3)/1000</f>
        <v>31</v>
      </c>
      <c r="J292" s="745">
        <f>ROUND(SUM('W&amp;W'!J286:J293)+'W&amp;W'!J295,-3)/1000</f>
        <v>31</v>
      </c>
      <c r="K292" s="745">
        <f>ROUND(SUM('W&amp;W'!K286:K293)+'W&amp;W'!K295,-3)/1000</f>
        <v>32</v>
      </c>
      <c r="L292" s="745">
        <f>ROUND(SUM('W&amp;W'!L286:L293)+'W&amp;W'!L295,-3)/1000</f>
        <v>33</v>
      </c>
      <c r="M292" s="745">
        <f>ROUND(SUM('W&amp;W'!M286:M293)+'W&amp;W'!M295,-3)/1000</f>
        <v>34</v>
      </c>
      <c r="N292" s="745">
        <f>ROUND(SUM('W&amp;W'!N286:N293)+'W&amp;W'!N295,-3)/1000</f>
        <v>34</v>
      </c>
      <c r="O292" s="745">
        <f>ROUND(SUM('W&amp;W'!O286:O293)+'W&amp;W'!O295,-3)/1000</f>
        <v>35</v>
      </c>
      <c r="P292" s="745">
        <f>ROUND(SUM('W&amp;W'!P286:P293)+'W&amp;W'!P295,-3)/1000</f>
        <v>36</v>
      </c>
    </row>
    <row r="293" spans="1:16" x14ac:dyDescent="0.2">
      <c r="C293" s="779" t="s">
        <v>3475</v>
      </c>
      <c r="D293" s="745" t="e">
        <f>ROUND('W&amp;W'!#REF!,-3)/1000</f>
        <v>#REF!</v>
      </c>
      <c r="E293" s="745" t="e">
        <f>ROUND('W&amp;W'!#REF!,-3)/1000</f>
        <v>#REF!</v>
      </c>
      <c r="F293" s="745" t="e">
        <f>ROUND('W&amp;W'!#REF!,-3)/1000</f>
        <v>#REF!</v>
      </c>
      <c r="G293" s="745" t="e">
        <f>ROUND('W&amp;W'!#REF!,-3)/1000</f>
        <v>#REF!</v>
      </c>
      <c r="H293" s="745" t="e">
        <f>ROUND('W&amp;W'!#REF!,-3)/1000</f>
        <v>#REF!</v>
      </c>
      <c r="I293" s="745" t="e">
        <f>ROUND('W&amp;W'!#REF!,-3)/1000</f>
        <v>#REF!</v>
      </c>
      <c r="J293" s="745" t="e">
        <f>ROUND('W&amp;W'!#REF!,-3)/1000</f>
        <v>#REF!</v>
      </c>
      <c r="K293" s="745" t="e">
        <f>ROUND('W&amp;W'!#REF!,-3)/1000</f>
        <v>#REF!</v>
      </c>
      <c r="L293" s="745" t="e">
        <f>ROUND('W&amp;W'!#REF!,-3)/1000</f>
        <v>#REF!</v>
      </c>
      <c r="M293" s="745" t="e">
        <f>ROUND('W&amp;W'!#REF!,-3)/1000</f>
        <v>#REF!</v>
      </c>
      <c r="N293" s="745" t="e">
        <f>ROUND('W&amp;W'!#REF!,-3)/1000</f>
        <v>#REF!</v>
      </c>
      <c r="O293" s="745" t="e">
        <f>ROUND('W&amp;W'!#REF!,-3)/1000</f>
        <v>#REF!</v>
      </c>
      <c r="P293" s="745" t="e">
        <f>ROUND('W&amp;W'!#REF!,-3)/1000</f>
        <v>#REF!</v>
      </c>
    </row>
    <row r="294" spans="1:16" x14ac:dyDescent="0.2">
      <c r="C294" s="779" t="s">
        <v>2974</v>
      </c>
      <c r="D294" s="745">
        <f>ROUND(SUM('W&amp;W'!A324:A333),-3)/1000</f>
        <v>333</v>
      </c>
      <c r="E294" s="745">
        <f>ROUND(SUM('W&amp;W'!B324:B333),-3)/1000</f>
        <v>376</v>
      </c>
      <c r="F294" s="745">
        <f>ROUND(SUM('W&amp;W'!C324:C333),-3)/1000</f>
        <v>233</v>
      </c>
      <c r="G294" s="745">
        <f>ROUND(SUM('W&amp;W'!D324:D333),-3)/1000</f>
        <v>245</v>
      </c>
      <c r="H294" s="745">
        <f>ROUND(SUM('W&amp;W'!G324:G333),-3)/1000</f>
        <v>257</v>
      </c>
      <c r="I294" s="745">
        <f>ROUND(SUM('W&amp;W'!I324:I333),-3)/1000</f>
        <v>265</v>
      </c>
      <c r="J294" s="745">
        <f>ROUND(SUM('W&amp;W'!J324:J333),-3)/1000</f>
        <v>272</v>
      </c>
      <c r="K294" s="745">
        <f>ROUND(SUM('W&amp;W'!K324:K333),-3)/1000</f>
        <v>279</v>
      </c>
      <c r="L294" s="745">
        <f>ROUND(SUM('W&amp;W'!L324:L333),-3)/1000</f>
        <v>287</v>
      </c>
      <c r="M294" s="745">
        <f>ROUND(SUM('W&amp;W'!M324:M333),-3)/1000</f>
        <v>293</v>
      </c>
      <c r="N294" s="745">
        <f>ROUND(SUM('W&amp;W'!N324:N333),-3)/1000</f>
        <v>299</v>
      </c>
      <c r="O294" s="745">
        <f>ROUND(SUM('W&amp;W'!O324:O333),-3)/1000</f>
        <v>305</v>
      </c>
      <c r="P294" s="745">
        <f>ROUND(SUM('W&amp;W'!P324:P333),-3)/1000</f>
        <v>312</v>
      </c>
    </row>
    <row r="295" spans="1:16" x14ac:dyDescent="0.2">
      <c r="A295" s="4"/>
      <c r="B295" s="4"/>
      <c r="C295" s="4" t="s">
        <v>2992</v>
      </c>
      <c r="D295" s="1094" t="e">
        <f>SUM(D289:D294)</f>
        <v>#REF!</v>
      </c>
      <c r="E295" s="1094" t="e">
        <f t="shared" ref="E295:O295" si="34">SUM(E289:E294)</f>
        <v>#REF!</v>
      </c>
      <c r="F295" s="1094" t="e">
        <f t="shared" si="34"/>
        <v>#REF!</v>
      </c>
      <c r="G295" s="1094" t="e">
        <f t="shared" si="34"/>
        <v>#REF!</v>
      </c>
      <c r="H295" s="1094" t="e">
        <f t="shared" si="34"/>
        <v>#REF!</v>
      </c>
      <c r="I295" s="1094" t="e">
        <f t="shared" si="34"/>
        <v>#REF!</v>
      </c>
      <c r="J295" s="1094" t="e">
        <f t="shared" si="34"/>
        <v>#REF!</v>
      </c>
      <c r="K295" s="1094" t="e">
        <f t="shared" si="34"/>
        <v>#REF!</v>
      </c>
      <c r="L295" s="1094" t="e">
        <f t="shared" si="34"/>
        <v>#REF!</v>
      </c>
      <c r="M295" s="1094" t="e">
        <f t="shared" si="34"/>
        <v>#REF!</v>
      </c>
      <c r="N295" s="1094" t="e">
        <f t="shared" si="34"/>
        <v>#REF!</v>
      </c>
      <c r="O295" s="1094" t="e">
        <f t="shared" si="34"/>
        <v>#REF!</v>
      </c>
      <c r="P295" s="1094" t="e">
        <f t="shared" ref="P295" si="35">SUM(P289:P294)</f>
        <v>#REF!</v>
      </c>
    </row>
    <row r="297" spans="1:16" x14ac:dyDescent="0.2">
      <c r="A297" s="779" t="s">
        <v>2957</v>
      </c>
    </row>
    <row r="298" spans="1:16" x14ac:dyDescent="0.2">
      <c r="C298" s="779" t="s">
        <v>2970</v>
      </c>
      <c r="D298" s="745">
        <v>0</v>
      </c>
      <c r="E298" s="745">
        <v>0</v>
      </c>
      <c r="F298" s="745">
        <v>0</v>
      </c>
      <c r="G298" s="745">
        <v>0</v>
      </c>
      <c r="H298" s="745">
        <v>0</v>
      </c>
      <c r="I298" s="745">
        <v>0</v>
      </c>
      <c r="J298" s="745">
        <v>0</v>
      </c>
      <c r="K298" s="745">
        <v>0</v>
      </c>
      <c r="L298" s="745">
        <v>0</v>
      </c>
      <c r="M298" s="745">
        <v>0</v>
      </c>
      <c r="N298" s="745">
        <v>0</v>
      </c>
      <c r="O298" s="745">
        <v>0</v>
      </c>
      <c r="P298" s="745">
        <v>0</v>
      </c>
    </row>
    <row r="299" spans="1:16" x14ac:dyDescent="0.2">
      <c r="C299" s="779" t="s">
        <v>2971</v>
      </c>
      <c r="D299" s="745">
        <v>142</v>
      </c>
      <c r="E299" s="745" t="e">
        <f>ROUND(SUM('Cap-Water'!#REF!)+'Cap-Water'!#REF!,-3)/1000</f>
        <v>#REF!</v>
      </c>
      <c r="F299" s="745" t="e">
        <f>ROUND(SUM('Cap-Water'!#REF!)+'Cap-Water'!#REF!,-3)/1000</f>
        <v>#REF!</v>
      </c>
      <c r="G299" s="745">
        <f>ROUND(SUM('Cap-Water'!E37:E53)+'Cap-Water'!E9,-3)/1000</f>
        <v>0</v>
      </c>
      <c r="H299" s="745">
        <f>ROUND(SUM('Cap-Water'!F37:F53)+'Cap-Water'!F9,-3)/1000</f>
        <v>1120</v>
      </c>
      <c r="I299" s="745">
        <f>ROUND(SUM('Cap-Water'!G37:G53)+'Cap-Water'!G9,-3)/1000</f>
        <v>1124</v>
      </c>
      <c r="J299" s="745">
        <f>ROUND(SUM('Cap-Water'!H37:H53)+'Cap-Water'!H9,-3)/1000</f>
        <v>3665</v>
      </c>
      <c r="K299" s="745">
        <f>ROUND(SUM('Cap-Water'!I37:I53)+'Cap-Water'!I9,-3)/1000</f>
        <v>2862</v>
      </c>
      <c r="L299" s="745">
        <f>ROUND(SUM('Cap-Water'!J37:J53)+'Cap-Water'!J9,-3)/1000</f>
        <v>1787</v>
      </c>
      <c r="M299" s="745">
        <f>ROUND(SUM('Cap-Water'!K37:K53)+'Cap-Water'!K9,-3)/1000</f>
        <v>4401</v>
      </c>
      <c r="N299" s="745">
        <f>ROUND(SUM('Cap-Water'!L37:L53)+'Cap-Water'!L9,-3)/1000</f>
        <v>1053</v>
      </c>
      <c r="O299" s="745">
        <f>ROUND(SUM('Cap-Water'!M37:M53)+'Cap-Water'!M9,-3)/1000</f>
        <v>3603</v>
      </c>
      <c r="P299" s="745" t="e">
        <f>ROUND(SUM('Cap-Water'!#REF!)+'Cap-Water'!#REF!,-3)/1000</f>
        <v>#REF!</v>
      </c>
    </row>
    <row r="300" spans="1:16" x14ac:dyDescent="0.2">
      <c r="C300" s="779" t="s">
        <v>2972</v>
      </c>
      <c r="D300" s="745">
        <v>3</v>
      </c>
      <c r="E300" s="745" t="e">
        <f>ROUND(SUM('Cap-Water'!#REF!)+SUM('Cap-WW'!#REF!),-3)/1000</f>
        <v>#REF!</v>
      </c>
      <c r="F300" s="745" t="e">
        <f>ROUND(SUM('Cap-Water'!#REF!)+SUM('Cap-WW'!#REF!),-3)/1000</f>
        <v>#REF!</v>
      </c>
      <c r="G300" s="745" t="e">
        <f>ROUND(SUM('Cap-Water'!E29:E34)+SUM('Cap-WW'!#REF!),-3)/1000</f>
        <v>#REF!</v>
      </c>
      <c r="H300" s="745" t="e">
        <f>ROUND(SUM('Cap-Water'!F29:F34)+SUM('Cap-WW'!#REF!),-3)/1000</f>
        <v>#REF!</v>
      </c>
      <c r="I300" s="745" t="e">
        <f>ROUND(SUM('Cap-Water'!G29:G34)+SUM('Cap-WW'!#REF!),-3)/1000</f>
        <v>#REF!</v>
      </c>
      <c r="J300" s="745" t="e">
        <f>ROUND(SUM('Cap-Water'!H29:H34)+SUM('Cap-WW'!#REF!),-3)/1000</f>
        <v>#REF!</v>
      </c>
      <c r="K300" s="745" t="e">
        <f>ROUND(SUM('Cap-Water'!I29:I34)+SUM('Cap-WW'!#REF!),-3)/1000</f>
        <v>#REF!</v>
      </c>
      <c r="L300" s="745" t="e">
        <f>ROUND(SUM('Cap-Water'!J29:J34)+SUM('Cap-WW'!#REF!),-3)/1000</f>
        <v>#REF!</v>
      </c>
      <c r="M300" s="745" t="e">
        <f>ROUND(SUM('Cap-Water'!K29:K34)+SUM('Cap-WW'!#REF!),-3)/1000</f>
        <v>#REF!</v>
      </c>
      <c r="N300" s="745" t="e">
        <f>ROUND(SUM('Cap-Water'!L29:L34)+SUM('Cap-WW'!#REF!),-3)/1000</f>
        <v>#REF!</v>
      </c>
      <c r="O300" s="745" t="e">
        <f>ROUND(SUM('Cap-Water'!M29:M34)+SUM('Cap-WW'!#REF!),-3)/1000</f>
        <v>#REF!</v>
      </c>
      <c r="P300" s="745" t="e">
        <f>ROUND(SUM('Cap-Water'!#REF!)+SUM('Cap-WW'!#REF!),-3)/1000</f>
        <v>#REF!</v>
      </c>
    </row>
    <row r="301" spans="1:16" x14ac:dyDescent="0.2">
      <c r="C301" s="779" t="s">
        <v>2973</v>
      </c>
      <c r="D301" s="745">
        <v>0</v>
      </c>
      <c r="E301" s="745" t="e">
        <f>ROUND(SUM('Cap-Water'!#REF!),-3)/1000</f>
        <v>#REF!</v>
      </c>
      <c r="F301" s="745" t="e">
        <f>ROUND(SUM('Cap-Water'!#REF!),-3)/1000</f>
        <v>#REF!</v>
      </c>
      <c r="G301" s="745">
        <f>ROUND(SUM('Cap-Water'!E16:E16),-3)/1000</f>
        <v>0</v>
      </c>
      <c r="H301" s="745">
        <f>ROUND(SUM('Cap-Water'!F16:F16),-3)/1000</f>
        <v>0</v>
      </c>
      <c r="I301" s="745">
        <f>ROUND(SUM('Cap-Water'!G16:G16),-3)/1000</f>
        <v>0</v>
      </c>
      <c r="J301" s="745">
        <f>ROUND(SUM('Cap-Water'!H16:H16),-3)/1000</f>
        <v>0</v>
      </c>
      <c r="K301" s="745">
        <f>ROUND(SUM('Cap-Water'!I16:I16),-3)/1000</f>
        <v>0</v>
      </c>
      <c r="L301" s="745">
        <f>ROUND(SUM('Cap-Water'!J16:J16),-3)/1000</f>
        <v>0</v>
      </c>
      <c r="M301" s="745">
        <f>ROUND(SUM('Cap-Water'!K16:K16),-3)/1000</f>
        <v>1077</v>
      </c>
      <c r="N301" s="745">
        <f>ROUND(SUM('Cap-Water'!L16:L16),-3)/1000</f>
        <v>0</v>
      </c>
      <c r="O301" s="745">
        <f>ROUND(SUM('Cap-Water'!M16:M16),-3)/1000</f>
        <v>0</v>
      </c>
      <c r="P301" s="745" t="e">
        <f>ROUND(SUM('Cap-Water'!#REF!),-3)/1000</f>
        <v>#REF!</v>
      </c>
    </row>
    <row r="302" spans="1:16" x14ac:dyDescent="0.2">
      <c r="C302" s="779" t="s">
        <v>3475</v>
      </c>
      <c r="D302" s="745">
        <v>0</v>
      </c>
      <c r="E302" s="745" t="e">
        <f>ROUND('Cap-Water'!#REF!,-3)/1000</f>
        <v>#REF!</v>
      </c>
      <c r="F302" s="745" t="e">
        <f>ROUND('Cap-Water'!#REF!,-3)/1000</f>
        <v>#REF!</v>
      </c>
      <c r="G302" s="745" t="e">
        <f>ROUND('Cap-Water'!#REF!,-3)/1000</f>
        <v>#REF!</v>
      </c>
      <c r="H302" s="745" t="e">
        <f>ROUND('Cap-Water'!#REF!,-3)/1000</f>
        <v>#REF!</v>
      </c>
      <c r="I302" s="745" t="e">
        <f>ROUND('Cap-Water'!#REF!,-3)/1000</f>
        <v>#REF!</v>
      </c>
      <c r="J302" s="745" t="e">
        <f>ROUND('Cap-Water'!#REF!,-3)/1000</f>
        <v>#REF!</v>
      </c>
      <c r="K302" s="745" t="e">
        <f>ROUND('Cap-Water'!#REF!,-3)/1000</f>
        <v>#REF!</v>
      </c>
      <c r="L302" s="745" t="e">
        <f>ROUND('Cap-Water'!#REF!,-3)/1000</f>
        <v>#REF!</v>
      </c>
      <c r="M302" s="745" t="e">
        <f>ROUND('Cap-Water'!#REF!,-3)/1000</f>
        <v>#REF!</v>
      </c>
      <c r="N302" s="745" t="e">
        <f>ROUND('Cap-Water'!#REF!,-3)/1000</f>
        <v>#REF!</v>
      </c>
      <c r="O302" s="745" t="e">
        <f>ROUND('Cap-Water'!#REF!,-3)/1000</f>
        <v>#REF!</v>
      </c>
      <c r="P302" s="745" t="e">
        <f>ROUND('Cap-Water'!#REF!,-3)/1000</f>
        <v>#REF!</v>
      </c>
    </row>
    <row r="303" spans="1:16" x14ac:dyDescent="0.2">
      <c r="C303" s="779" t="s">
        <v>2974</v>
      </c>
      <c r="D303" s="745">
        <v>0</v>
      </c>
      <c r="E303" s="745">
        <v>0</v>
      </c>
      <c r="F303" s="745">
        <v>0</v>
      </c>
      <c r="G303" s="745">
        <v>0</v>
      </c>
      <c r="H303" s="745">
        <v>0</v>
      </c>
      <c r="I303" s="745">
        <v>0</v>
      </c>
      <c r="J303" s="745">
        <v>0</v>
      </c>
      <c r="K303" s="745">
        <v>0</v>
      </c>
      <c r="L303" s="745">
        <v>0</v>
      </c>
      <c r="M303" s="745">
        <v>0</v>
      </c>
      <c r="N303" s="745">
        <v>0</v>
      </c>
      <c r="O303" s="745">
        <v>0</v>
      </c>
      <c r="P303" s="745">
        <v>0</v>
      </c>
    </row>
    <row r="304" spans="1:16" x14ac:dyDescent="0.2">
      <c r="C304" s="4" t="s">
        <v>2993</v>
      </c>
      <c r="D304" s="1094">
        <f>SUM(D298:D303)</f>
        <v>145</v>
      </c>
      <c r="E304" s="1094" t="e">
        <f t="shared" ref="E304:O304" si="36">SUM(E298:E303)</f>
        <v>#REF!</v>
      </c>
      <c r="F304" s="1094" t="e">
        <f t="shared" si="36"/>
        <v>#REF!</v>
      </c>
      <c r="G304" s="1094" t="e">
        <f t="shared" si="36"/>
        <v>#REF!</v>
      </c>
      <c r="H304" s="1094" t="e">
        <f t="shared" si="36"/>
        <v>#REF!</v>
      </c>
      <c r="I304" s="1094" t="e">
        <f t="shared" si="36"/>
        <v>#REF!</v>
      </c>
      <c r="J304" s="1094" t="e">
        <f t="shared" si="36"/>
        <v>#REF!</v>
      </c>
      <c r="K304" s="1094" t="e">
        <f t="shared" si="36"/>
        <v>#REF!</v>
      </c>
      <c r="L304" s="1094" t="e">
        <f t="shared" si="36"/>
        <v>#REF!</v>
      </c>
      <c r="M304" s="1094" t="e">
        <f t="shared" si="36"/>
        <v>#REF!</v>
      </c>
      <c r="N304" s="1094" t="e">
        <f t="shared" si="36"/>
        <v>#REF!</v>
      </c>
      <c r="O304" s="1094" t="e">
        <f t="shared" si="36"/>
        <v>#REF!</v>
      </c>
      <c r="P304" s="1094" t="e">
        <f t="shared" ref="P304" si="37">SUM(P298:P303)</f>
        <v>#REF!</v>
      </c>
    </row>
    <row r="305" spans="3:16" x14ac:dyDescent="0.2">
      <c r="C305" s="1287" t="s">
        <v>2994</v>
      </c>
      <c r="D305" s="1289" t="e">
        <f>D295+D304</f>
        <v>#REF!</v>
      </c>
      <c r="E305" s="1289" t="e">
        <f t="shared" ref="E305:O305" si="38">E295+E304</f>
        <v>#REF!</v>
      </c>
      <c r="F305" s="1289" t="e">
        <f t="shared" si="38"/>
        <v>#REF!</v>
      </c>
      <c r="G305" s="1289" t="e">
        <f t="shared" si="38"/>
        <v>#REF!</v>
      </c>
      <c r="H305" s="1289" t="e">
        <f t="shared" si="38"/>
        <v>#REF!</v>
      </c>
      <c r="I305" s="1289" t="e">
        <f t="shared" si="38"/>
        <v>#REF!</v>
      </c>
      <c r="J305" s="1289" t="e">
        <f t="shared" si="38"/>
        <v>#REF!</v>
      </c>
      <c r="K305" s="1289" t="e">
        <f t="shared" si="38"/>
        <v>#REF!</v>
      </c>
      <c r="L305" s="1289" t="e">
        <f t="shared" si="38"/>
        <v>#REF!</v>
      </c>
      <c r="M305" s="1289" t="e">
        <f t="shared" si="38"/>
        <v>#REF!</v>
      </c>
      <c r="N305" s="1289" t="e">
        <f t="shared" si="38"/>
        <v>#REF!</v>
      </c>
      <c r="O305" s="1289" t="e">
        <f t="shared" si="38"/>
        <v>#REF!</v>
      </c>
      <c r="P305" s="1289" t="e">
        <f t="shared" ref="P305" si="39">P295+P304</f>
        <v>#REF!</v>
      </c>
    </row>
    <row r="306" spans="3:16" x14ac:dyDescent="0.2">
      <c r="C306" s="4" t="s">
        <v>2981</v>
      </c>
      <c r="D306" s="1093" t="e">
        <f>D305-D285</f>
        <v>#REF!</v>
      </c>
      <c r="E306" s="1093" t="e">
        <f t="shared" ref="E306:O306" si="40">E305-E285</f>
        <v>#REF!</v>
      </c>
      <c r="F306" s="1093" t="e">
        <f t="shared" si="40"/>
        <v>#REF!</v>
      </c>
      <c r="G306" s="1093" t="e">
        <f t="shared" si="40"/>
        <v>#REF!</v>
      </c>
      <c r="H306" s="1093" t="e">
        <f t="shared" si="40"/>
        <v>#REF!</v>
      </c>
      <c r="I306" s="1093" t="e">
        <f t="shared" si="40"/>
        <v>#REF!</v>
      </c>
      <c r="J306" s="1093" t="e">
        <f t="shared" si="40"/>
        <v>#REF!</v>
      </c>
      <c r="K306" s="1093" t="e">
        <f t="shared" si="40"/>
        <v>#REF!</v>
      </c>
      <c r="L306" s="1093" t="e">
        <f t="shared" si="40"/>
        <v>#REF!</v>
      </c>
      <c r="M306" s="1093" t="e">
        <f t="shared" si="40"/>
        <v>#REF!</v>
      </c>
      <c r="N306" s="1093" t="e">
        <f t="shared" si="40"/>
        <v>#REF!</v>
      </c>
      <c r="O306" s="1093" t="e">
        <f t="shared" si="40"/>
        <v>#REF!</v>
      </c>
      <c r="P306" s="1093" t="e">
        <f t="shared" ref="P306" si="41">P305-P285</f>
        <v>#REF!</v>
      </c>
    </row>
    <row r="307" spans="3:16" x14ac:dyDescent="0.2">
      <c r="C307" s="4" t="s">
        <v>2982</v>
      </c>
      <c r="D307" s="1093" t="e">
        <f>D306</f>
        <v>#REF!</v>
      </c>
      <c r="E307" s="1093" t="e">
        <f>D307+E306</f>
        <v>#REF!</v>
      </c>
      <c r="F307" s="1093" t="e">
        <f t="shared" ref="F307:P307" si="42">E307+F306</f>
        <v>#REF!</v>
      </c>
      <c r="G307" s="1093" t="e">
        <f t="shared" si="42"/>
        <v>#REF!</v>
      </c>
      <c r="H307" s="1093" t="e">
        <f t="shared" si="42"/>
        <v>#REF!</v>
      </c>
      <c r="I307" s="1093" t="e">
        <f t="shared" si="42"/>
        <v>#REF!</v>
      </c>
      <c r="J307" s="1093" t="e">
        <f t="shared" si="42"/>
        <v>#REF!</v>
      </c>
      <c r="K307" s="1093" t="e">
        <f t="shared" si="42"/>
        <v>#REF!</v>
      </c>
      <c r="L307" s="1093" t="e">
        <f t="shared" si="42"/>
        <v>#REF!</v>
      </c>
      <c r="M307" s="1093" t="e">
        <f t="shared" si="42"/>
        <v>#REF!</v>
      </c>
      <c r="N307" s="1093" t="e">
        <f t="shared" si="42"/>
        <v>#REF!</v>
      </c>
      <c r="O307" s="1093" t="e">
        <f t="shared" si="42"/>
        <v>#REF!</v>
      </c>
      <c r="P307" s="1093" t="e">
        <f t="shared" si="42"/>
        <v>#REF!</v>
      </c>
    </row>
    <row r="308" spans="3:16" x14ac:dyDescent="0.2">
      <c r="C308" s="805"/>
    </row>
    <row r="309" spans="3:16" x14ac:dyDescent="0.2">
      <c r="D309" s="745"/>
      <c r="E309" s="745"/>
      <c r="F309" s="745"/>
      <c r="G309" s="745"/>
      <c r="H309" s="745"/>
      <c r="I309" s="745"/>
      <c r="J309" s="745"/>
      <c r="K309" s="745"/>
      <c r="L309" s="745"/>
      <c r="M309" s="745"/>
      <c r="N309" s="745"/>
      <c r="O309" s="745"/>
      <c r="P309" s="745"/>
    </row>
    <row r="310" spans="3:16" x14ac:dyDescent="0.2">
      <c r="D310" s="745"/>
      <c r="E310" s="745"/>
      <c r="F310" s="745"/>
      <c r="G310" s="745"/>
      <c r="H310" s="745"/>
      <c r="I310" s="745"/>
      <c r="J310" s="745"/>
      <c r="K310" s="745"/>
      <c r="L310" s="745"/>
      <c r="M310" s="745"/>
      <c r="N310" s="745"/>
      <c r="O310" s="745"/>
      <c r="P310" s="745"/>
    </row>
    <row r="311" spans="3:16" x14ac:dyDescent="0.2">
      <c r="D311" s="745"/>
      <c r="E311" s="745"/>
      <c r="F311" s="745"/>
      <c r="G311" s="745"/>
      <c r="H311" s="745"/>
      <c r="I311" s="745"/>
      <c r="J311" s="745"/>
      <c r="K311" s="745"/>
      <c r="L311" s="745"/>
      <c r="M311" s="745"/>
      <c r="N311" s="745"/>
      <c r="O311" s="745"/>
      <c r="P311" s="745"/>
    </row>
    <row r="312" spans="3:16" x14ac:dyDescent="0.2">
      <c r="D312" s="745"/>
      <c r="E312" s="745"/>
      <c r="F312" s="745"/>
      <c r="G312" s="745"/>
      <c r="H312" s="745"/>
      <c r="I312" s="745"/>
      <c r="J312" s="745"/>
      <c r="K312" s="745"/>
      <c r="L312" s="745"/>
      <c r="M312" s="745"/>
      <c r="N312" s="745"/>
      <c r="O312" s="745"/>
      <c r="P312" s="745"/>
    </row>
    <row r="313" spans="3:16" x14ac:dyDescent="0.2">
      <c r="D313" s="745"/>
      <c r="E313" s="745"/>
      <c r="F313" s="745"/>
      <c r="G313" s="745"/>
      <c r="H313" s="745"/>
      <c r="I313" s="745"/>
      <c r="J313" s="745"/>
      <c r="K313" s="745"/>
      <c r="L313" s="745"/>
      <c r="M313" s="745"/>
      <c r="N313" s="745"/>
      <c r="O313" s="745"/>
      <c r="P313" s="745"/>
    </row>
    <row r="314" spans="3:16" x14ac:dyDescent="0.2">
      <c r="D314" s="745"/>
      <c r="E314" s="745"/>
      <c r="F314" s="745"/>
      <c r="G314" s="745"/>
      <c r="H314" s="745"/>
      <c r="I314" s="745"/>
      <c r="J314" s="745"/>
      <c r="K314" s="745"/>
      <c r="L314" s="745"/>
      <c r="M314" s="745"/>
      <c r="N314" s="745"/>
      <c r="O314" s="745"/>
      <c r="P314" s="745"/>
    </row>
    <row r="315" spans="3:16" x14ac:dyDescent="0.2">
      <c r="D315" s="745"/>
      <c r="E315" s="745"/>
      <c r="F315" s="745"/>
      <c r="G315" s="745"/>
      <c r="H315" s="745"/>
      <c r="I315" s="745"/>
      <c r="J315" s="745"/>
      <c r="K315" s="745"/>
      <c r="L315" s="745"/>
      <c r="M315" s="745"/>
      <c r="N315" s="745"/>
      <c r="O315" s="745"/>
      <c r="P315" s="745"/>
    </row>
    <row r="316" spans="3:16" x14ac:dyDescent="0.2">
      <c r="D316" s="745"/>
      <c r="E316" s="745"/>
      <c r="F316" s="745"/>
      <c r="G316" s="745"/>
      <c r="H316" s="745"/>
      <c r="I316" s="745"/>
      <c r="J316" s="745"/>
      <c r="K316" s="745"/>
      <c r="L316" s="745"/>
      <c r="M316" s="745"/>
      <c r="N316" s="745"/>
      <c r="O316" s="745"/>
      <c r="P316" s="745"/>
    </row>
    <row r="317" spans="3:16" x14ac:dyDescent="0.2">
      <c r="D317" s="745"/>
      <c r="E317" s="745"/>
      <c r="F317" s="745"/>
      <c r="G317" s="745"/>
      <c r="H317" s="745"/>
      <c r="I317" s="745"/>
      <c r="J317" s="745"/>
      <c r="K317" s="745"/>
      <c r="L317" s="745"/>
      <c r="M317" s="745"/>
      <c r="N317" s="745"/>
      <c r="O317" s="745"/>
      <c r="P317" s="745"/>
    </row>
    <row r="318" spans="3:16" x14ac:dyDescent="0.2">
      <c r="D318" s="745"/>
      <c r="E318" s="745"/>
      <c r="F318" s="745"/>
      <c r="G318" s="745"/>
      <c r="H318" s="745"/>
      <c r="I318" s="745"/>
      <c r="J318" s="745"/>
      <c r="K318" s="745"/>
      <c r="L318" s="745"/>
      <c r="M318" s="745"/>
      <c r="N318" s="745"/>
      <c r="O318" s="745"/>
      <c r="P318" s="745"/>
    </row>
    <row r="319" spans="3:16" x14ac:dyDescent="0.2">
      <c r="D319" s="745"/>
      <c r="E319" s="745"/>
      <c r="F319" s="745"/>
      <c r="G319" s="745"/>
      <c r="H319" s="745"/>
      <c r="I319" s="745"/>
      <c r="J319" s="745"/>
      <c r="K319" s="745"/>
      <c r="L319" s="745"/>
      <c r="M319" s="745"/>
      <c r="N319" s="745"/>
      <c r="O319" s="745"/>
      <c r="P319" s="745"/>
    </row>
    <row r="320" spans="3:16" x14ac:dyDescent="0.2">
      <c r="D320" s="745"/>
      <c r="E320" s="745"/>
      <c r="F320" s="745"/>
      <c r="G320" s="745"/>
      <c r="H320" s="745"/>
      <c r="I320" s="745"/>
      <c r="J320" s="745"/>
      <c r="K320" s="745"/>
      <c r="L320" s="745"/>
      <c r="M320" s="745"/>
      <c r="N320" s="745"/>
      <c r="O320" s="745"/>
      <c r="P320" s="745"/>
    </row>
    <row r="321" spans="4:16" x14ac:dyDescent="0.2">
      <c r="D321" s="745"/>
      <c r="E321" s="745"/>
      <c r="F321" s="745"/>
      <c r="G321" s="745"/>
      <c r="H321" s="745"/>
      <c r="I321" s="745"/>
      <c r="J321" s="745"/>
      <c r="K321" s="745"/>
      <c r="L321" s="745"/>
      <c r="M321" s="745"/>
      <c r="N321" s="745"/>
      <c r="O321" s="745"/>
      <c r="P321" s="745"/>
    </row>
    <row r="322" spans="4:16" x14ac:dyDescent="0.2">
      <c r="D322" s="745"/>
      <c r="E322" s="745"/>
      <c r="F322" s="745"/>
      <c r="G322" s="745"/>
      <c r="H322" s="745"/>
      <c r="I322" s="745"/>
      <c r="J322" s="745"/>
      <c r="K322" s="745"/>
      <c r="L322" s="745"/>
      <c r="M322" s="745"/>
      <c r="N322" s="745"/>
      <c r="O322" s="745"/>
      <c r="P322" s="745"/>
    </row>
    <row r="323" spans="4:16" x14ac:dyDescent="0.2">
      <c r="D323" s="745"/>
      <c r="E323" s="745"/>
      <c r="F323" s="745"/>
      <c r="G323" s="745"/>
      <c r="H323" s="745"/>
      <c r="I323" s="745"/>
      <c r="J323" s="745"/>
      <c r="K323" s="745"/>
      <c r="L323" s="745"/>
      <c r="M323" s="745"/>
      <c r="N323" s="745"/>
      <c r="O323" s="745"/>
      <c r="P323" s="745"/>
    </row>
    <row r="324" spans="4:16" x14ac:dyDescent="0.2">
      <c r="D324" s="745"/>
      <c r="E324" s="745"/>
      <c r="F324" s="745"/>
      <c r="G324" s="745"/>
      <c r="H324" s="745"/>
      <c r="I324" s="745"/>
      <c r="J324" s="745"/>
      <c r="K324" s="745"/>
      <c r="L324" s="745"/>
      <c r="M324" s="745"/>
      <c r="N324" s="745"/>
      <c r="O324" s="745"/>
      <c r="P324" s="745"/>
    </row>
    <row r="325" spans="4:16" x14ac:dyDescent="0.2">
      <c r="D325" s="745"/>
      <c r="E325" s="745"/>
      <c r="F325" s="745"/>
      <c r="G325" s="745"/>
      <c r="H325" s="745"/>
      <c r="I325" s="745"/>
      <c r="J325" s="745"/>
      <c r="K325" s="745"/>
      <c r="L325" s="745"/>
      <c r="M325" s="745"/>
      <c r="N325" s="745"/>
      <c r="O325" s="745"/>
      <c r="P325" s="745"/>
    </row>
    <row r="326" spans="4:16" x14ac:dyDescent="0.2">
      <c r="D326" s="745"/>
      <c r="E326" s="745"/>
      <c r="F326" s="745"/>
      <c r="G326" s="745"/>
      <c r="H326" s="745"/>
      <c r="I326" s="745"/>
      <c r="J326" s="745"/>
      <c r="K326" s="745"/>
      <c r="L326" s="745"/>
      <c r="M326" s="745"/>
      <c r="N326" s="745"/>
      <c r="O326" s="745"/>
      <c r="P326" s="745"/>
    </row>
    <row r="327" spans="4:16" x14ac:dyDescent="0.2">
      <c r="D327" s="745"/>
      <c r="E327" s="745"/>
      <c r="F327" s="745"/>
      <c r="G327" s="745"/>
      <c r="H327" s="745"/>
      <c r="I327" s="745"/>
      <c r="J327" s="745"/>
      <c r="K327" s="745"/>
      <c r="L327" s="745"/>
      <c r="M327" s="745"/>
      <c r="N327" s="745"/>
      <c r="O327" s="745"/>
      <c r="P327" s="745"/>
    </row>
    <row r="328" spans="4:16" x14ac:dyDescent="0.2">
      <c r="D328" s="745"/>
      <c r="E328" s="745"/>
      <c r="F328" s="745"/>
      <c r="G328" s="745"/>
      <c r="H328" s="745"/>
      <c r="I328" s="745"/>
      <c r="J328" s="745"/>
      <c r="K328" s="745"/>
      <c r="L328" s="745"/>
      <c r="M328" s="745"/>
      <c r="N328" s="745"/>
      <c r="O328" s="745"/>
      <c r="P328" s="745"/>
    </row>
    <row r="329" spans="4:16" x14ac:dyDescent="0.2">
      <c r="D329" s="745"/>
      <c r="E329" s="745"/>
      <c r="F329" s="745"/>
      <c r="G329" s="745"/>
      <c r="H329" s="745"/>
      <c r="I329" s="745"/>
      <c r="J329" s="745"/>
      <c r="K329" s="745"/>
      <c r="L329" s="745"/>
      <c r="M329" s="745"/>
      <c r="N329" s="745"/>
      <c r="O329" s="745"/>
      <c r="P329" s="745"/>
    </row>
    <row r="330" spans="4:16" x14ac:dyDescent="0.2">
      <c r="D330" s="745"/>
      <c r="E330" s="745"/>
      <c r="F330" s="745"/>
      <c r="G330" s="745"/>
      <c r="H330" s="745"/>
      <c r="I330" s="745"/>
      <c r="J330" s="745"/>
      <c r="K330" s="745"/>
      <c r="L330" s="745"/>
      <c r="M330" s="745"/>
      <c r="N330" s="745"/>
      <c r="O330" s="745"/>
      <c r="P330" s="745"/>
    </row>
    <row r="331" spans="4:16" x14ac:dyDescent="0.2">
      <c r="D331" s="745"/>
      <c r="E331" s="745"/>
      <c r="F331" s="745"/>
      <c r="G331" s="745"/>
      <c r="H331" s="745"/>
      <c r="I331" s="745"/>
      <c r="J331" s="745"/>
      <c r="K331" s="745"/>
      <c r="L331" s="745"/>
      <c r="M331" s="745"/>
      <c r="N331" s="745"/>
      <c r="O331" s="745"/>
      <c r="P331" s="745"/>
    </row>
    <row r="332" spans="4:16" x14ac:dyDescent="0.2">
      <c r="D332" s="745"/>
      <c r="E332" s="745"/>
      <c r="F332" s="745"/>
      <c r="G332" s="745"/>
      <c r="H332" s="745"/>
      <c r="I332" s="745"/>
      <c r="J332" s="745"/>
      <c r="K332" s="745"/>
      <c r="L332" s="745"/>
      <c r="M332" s="745"/>
      <c r="N332" s="745"/>
      <c r="O332" s="745"/>
      <c r="P332" s="745"/>
    </row>
    <row r="333" spans="4:16" x14ac:dyDescent="0.2">
      <c r="D333" s="745"/>
      <c r="E333" s="745"/>
      <c r="F333" s="745"/>
      <c r="G333" s="745"/>
      <c r="H333" s="745"/>
      <c r="I333" s="745"/>
      <c r="J333" s="745"/>
      <c r="K333" s="745"/>
      <c r="L333" s="745"/>
      <c r="M333" s="745"/>
      <c r="N333" s="745"/>
      <c r="O333" s="745"/>
      <c r="P333" s="745"/>
    </row>
    <row r="334" spans="4:16" x14ac:dyDescent="0.2">
      <c r="D334" s="745"/>
      <c r="E334" s="745"/>
      <c r="F334" s="745"/>
      <c r="G334" s="745"/>
      <c r="H334" s="745"/>
      <c r="I334" s="745"/>
      <c r="J334" s="745"/>
      <c r="K334" s="745"/>
      <c r="L334" s="745"/>
      <c r="M334" s="745"/>
      <c r="N334" s="745"/>
      <c r="O334" s="745"/>
      <c r="P334" s="745"/>
    </row>
    <row r="335" spans="4:16" x14ac:dyDescent="0.2">
      <c r="D335" s="745"/>
      <c r="E335" s="745"/>
      <c r="F335" s="745"/>
      <c r="G335" s="745"/>
      <c r="H335" s="745"/>
      <c r="I335" s="745"/>
      <c r="J335" s="745"/>
      <c r="K335" s="745"/>
      <c r="L335" s="745"/>
      <c r="M335" s="745"/>
      <c r="N335" s="745"/>
      <c r="O335" s="745"/>
      <c r="P335" s="745"/>
    </row>
    <row r="336" spans="4:16" x14ac:dyDescent="0.2">
      <c r="D336" s="745"/>
      <c r="E336" s="745"/>
      <c r="F336" s="745"/>
      <c r="G336" s="745"/>
      <c r="H336" s="745"/>
      <c r="I336" s="745"/>
      <c r="J336" s="745"/>
      <c r="K336" s="745"/>
      <c r="L336" s="745"/>
      <c r="M336" s="745"/>
      <c r="N336" s="745"/>
      <c r="O336" s="745"/>
      <c r="P336" s="745"/>
    </row>
    <row r="337" spans="4:16" x14ac:dyDescent="0.2">
      <c r="D337" s="745"/>
      <c r="E337" s="745"/>
      <c r="F337" s="745"/>
      <c r="G337" s="745"/>
      <c r="H337" s="745"/>
      <c r="I337" s="745"/>
      <c r="J337" s="745"/>
      <c r="K337" s="745"/>
      <c r="L337" s="745"/>
      <c r="M337" s="745"/>
      <c r="N337" s="745"/>
      <c r="O337" s="745"/>
      <c r="P337" s="745"/>
    </row>
    <row r="338" spans="4:16" x14ac:dyDescent="0.2">
      <c r="D338" s="745"/>
      <c r="E338" s="745"/>
      <c r="F338" s="745"/>
      <c r="G338" s="745"/>
      <c r="H338" s="745"/>
      <c r="I338" s="745"/>
      <c r="J338" s="745"/>
      <c r="K338" s="745"/>
      <c r="L338" s="745"/>
      <c r="M338" s="745"/>
      <c r="N338" s="745"/>
      <c r="O338" s="745"/>
      <c r="P338" s="745"/>
    </row>
    <row r="339" spans="4:16" x14ac:dyDescent="0.2">
      <c r="D339" s="745"/>
      <c r="E339" s="745"/>
      <c r="F339" s="745"/>
      <c r="G339" s="745"/>
      <c r="H339" s="745"/>
      <c r="I339" s="745"/>
      <c r="J339" s="745"/>
      <c r="K339" s="745"/>
      <c r="L339" s="745"/>
      <c r="M339" s="745"/>
      <c r="N339" s="745"/>
      <c r="O339" s="745"/>
      <c r="P339" s="745"/>
    </row>
    <row r="340" spans="4:16" x14ac:dyDescent="0.2">
      <c r="D340" s="745"/>
      <c r="E340" s="745"/>
      <c r="F340" s="745"/>
      <c r="G340" s="745"/>
      <c r="H340" s="745"/>
      <c r="I340" s="745"/>
      <c r="J340" s="745"/>
      <c r="K340" s="745"/>
      <c r="L340" s="745"/>
      <c r="M340" s="745"/>
      <c r="N340" s="745"/>
      <c r="O340" s="745"/>
      <c r="P340" s="745"/>
    </row>
    <row r="341" spans="4:16" x14ac:dyDescent="0.2">
      <c r="D341" s="745"/>
      <c r="E341" s="745"/>
      <c r="F341" s="745"/>
      <c r="G341" s="745"/>
      <c r="H341" s="745"/>
      <c r="I341" s="745"/>
      <c r="J341" s="745"/>
      <c r="K341" s="745"/>
      <c r="L341" s="745"/>
      <c r="M341" s="745"/>
      <c r="N341" s="745"/>
      <c r="O341" s="745"/>
      <c r="P341" s="745"/>
    </row>
    <row r="342" spans="4:16" x14ac:dyDescent="0.2">
      <c r="D342" s="745"/>
      <c r="E342" s="745"/>
      <c r="F342" s="745"/>
      <c r="G342" s="745"/>
      <c r="H342" s="745"/>
      <c r="I342" s="745"/>
      <c r="J342" s="745"/>
      <c r="K342" s="745"/>
      <c r="L342" s="745"/>
      <c r="M342" s="745"/>
      <c r="N342" s="745"/>
      <c r="O342" s="745"/>
      <c r="P342" s="745"/>
    </row>
    <row r="343" spans="4:16" x14ac:dyDescent="0.2">
      <c r="D343" s="745"/>
      <c r="E343" s="745"/>
      <c r="F343" s="745"/>
      <c r="G343" s="745"/>
      <c r="H343" s="745"/>
      <c r="I343" s="745"/>
      <c r="J343" s="745"/>
      <c r="K343" s="745"/>
      <c r="L343" s="745"/>
      <c r="M343" s="745"/>
      <c r="N343" s="745"/>
      <c r="O343" s="745"/>
      <c r="P343" s="745"/>
    </row>
    <row r="344" spans="4:16" x14ac:dyDescent="0.2">
      <c r="D344" s="745"/>
      <c r="E344" s="745"/>
      <c r="F344" s="745"/>
      <c r="G344" s="745"/>
      <c r="H344" s="745"/>
      <c r="I344" s="745"/>
      <c r="J344" s="745"/>
      <c r="K344" s="745"/>
      <c r="L344" s="745"/>
      <c r="M344" s="745"/>
      <c r="N344" s="745"/>
      <c r="O344" s="745"/>
      <c r="P344" s="745"/>
    </row>
    <row r="345" spans="4:16" x14ac:dyDescent="0.2">
      <c r="D345" s="745"/>
      <c r="E345" s="745"/>
      <c r="F345" s="745"/>
      <c r="G345" s="745"/>
      <c r="H345" s="745"/>
      <c r="I345" s="745"/>
      <c r="J345" s="745"/>
      <c r="K345" s="745"/>
      <c r="L345" s="745"/>
      <c r="M345" s="745"/>
      <c r="N345" s="745"/>
      <c r="O345" s="745"/>
      <c r="P345" s="745"/>
    </row>
    <row r="346" spans="4:16" x14ac:dyDescent="0.2">
      <c r="D346" s="745"/>
      <c r="E346" s="745"/>
      <c r="F346" s="745"/>
      <c r="G346" s="745"/>
      <c r="H346" s="745"/>
      <c r="I346" s="745"/>
      <c r="J346" s="745"/>
      <c r="K346" s="745"/>
      <c r="L346" s="745"/>
      <c r="M346" s="745"/>
      <c r="N346" s="745"/>
      <c r="O346" s="745"/>
      <c r="P346" s="745"/>
    </row>
    <row r="347" spans="4:16" x14ac:dyDescent="0.2">
      <c r="D347" s="745"/>
      <c r="E347" s="745"/>
      <c r="F347" s="745"/>
      <c r="G347" s="745"/>
      <c r="H347" s="745"/>
      <c r="I347" s="745"/>
      <c r="J347" s="745"/>
      <c r="K347" s="745"/>
      <c r="L347" s="745"/>
      <c r="M347" s="745"/>
      <c r="N347" s="745"/>
      <c r="O347" s="745"/>
      <c r="P347" s="745"/>
    </row>
    <row r="348" spans="4:16" x14ac:dyDescent="0.2">
      <c r="D348" s="745"/>
      <c r="E348" s="745"/>
      <c r="F348" s="745"/>
      <c r="G348" s="745"/>
      <c r="H348" s="745"/>
      <c r="I348" s="745"/>
      <c r="J348" s="745"/>
      <c r="K348" s="745"/>
      <c r="L348" s="745"/>
      <c r="M348" s="745"/>
      <c r="N348" s="745"/>
      <c r="O348" s="745"/>
      <c r="P348" s="745"/>
    </row>
    <row r="349" spans="4:16" x14ac:dyDescent="0.2">
      <c r="D349" s="745"/>
      <c r="E349" s="745"/>
      <c r="F349" s="745"/>
      <c r="G349" s="745"/>
      <c r="H349" s="745"/>
      <c r="I349" s="745"/>
      <c r="J349" s="745"/>
      <c r="K349" s="745"/>
      <c r="L349" s="745"/>
      <c r="M349" s="745"/>
      <c r="N349" s="745"/>
      <c r="O349" s="745"/>
      <c r="P349" s="745"/>
    </row>
    <row r="350" spans="4:16" x14ac:dyDescent="0.2">
      <c r="D350" s="745"/>
      <c r="E350" s="745"/>
      <c r="F350" s="745"/>
      <c r="G350" s="745"/>
      <c r="H350" s="745"/>
      <c r="I350" s="745"/>
      <c r="J350" s="745"/>
      <c r="K350" s="745"/>
      <c r="L350" s="745"/>
      <c r="M350" s="745"/>
      <c r="N350" s="745"/>
      <c r="O350" s="745"/>
      <c r="P350" s="745"/>
    </row>
    <row r="351" spans="4:16" x14ac:dyDescent="0.2">
      <c r="D351" s="745"/>
      <c r="E351" s="745"/>
      <c r="F351" s="745"/>
      <c r="G351" s="745"/>
      <c r="H351" s="745"/>
      <c r="I351" s="745"/>
      <c r="J351" s="745"/>
      <c r="K351" s="745"/>
      <c r="L351" s="745"/>
      <c r="M351" s="745"/>
      <c r="N351" s="745"/>
      <c r="O351" s="745"/>
      <c r="P351" s="745"/>
    </row>
    <row r="352" spans="4:16" x14ac:dyDescent="0.2">
      <c r="D352" s="745"/>
      <c r="E352" s="745"/>
      <c r="F352" s="745"/>
      <c r="G352" s="745"/>
      <c r="H352" s="745"/>
      <c r="I352" s="745"/>
      <c r="J352" s="745"/>
      <c r="K352" s="745"/>
      <c r="L352" s="745"/>
      <c r="M352" s="745"/>
      <c r="N352" s="745"/>
      <c r="O352" s="745"/>
      <c r="P352" s="745"/>
    </row>
    <row r="353" spans="4:16" x14ac:dyDescent="0.2">
      <c r="D353" s="745"/>
      <c r="E353" s="745"/>
      <c r="F353" s="745"/>
      <c r="G353" s="745"/>
      <c r="H353" s="745"/>
      <c r="I353" s="745"/>
      <c r="J353" s="745"/>
      <c r="K353" s="745"/>
      <c r="L353" s="745"/>
      <c r="M353" s="745"/>
      <c r="N353" s="745"/>
      <c r="O353" s="745"/>
      <c r="P353" s="745"/>
    </row>
    <row r="354" spans="4:16" x14ac:dyDescent="0.2">
      <c r="D354" s="745"/>
      <c r="E354" s="745"/>
      <c r="F354" s="745"/>
      <c r="G354" s="745"/>
      <c r="H354" s="745"/>
      <c r="I354" s="745"/>
      <c r="J354" s="745"/>
      <c r="K354" s="745"/>
      <c r="L354" s="745"/>
      <c r="M354" s="745"/>
      <c r="N354" s="745"/>
      <c r="O354" s="745"/>
      <c r="P354" s="745"/>
    </row>
    <row r="355" spans="4:16" x14ac:dyDescent="0.2">
      <c r="D355" s="745"/>
      <c r="E355" s="745"/>
      <c r="F355" s="745"/>
      <c r="G355" s="745"/>
      <c r="H355" s="745"/>
      <c r="I355" s="745"/>
      <c r="J355" s="745"/>
      <c r="K355" s="745"/>
      <c r="L355" s="745"/>
      <c r="M355" s="745"/>
      <c r="N355" s="745"/>
      <c r="O355" s="745"/>
      <c r="P355" s="745"/>
    </row>
    <row r="356" spans="4:16" x14ac:dyDescent="0.2">
      <c r="D356" s="745"/>
      <c r="E356" s="745"/>
      <c r="F356" s="745"/>
      <c r="G356" s="745"/>
      <c r="H356" s="745"/>
      <c r="I356" s="745"/>
      <c r="J356" s="745"/>
      <c r="K356" s="745"/>
      <c r="L356" s="745"/>
      <c r="M356" s="745"/>
      <c r="N356" s="745"/>
      <c r="O356" s="745"/>
      <c r="P356" s="745"/>
    </row>
    <row r="357" spans="4:16" x14ac:dyDescent="0.2">
      <c r="D357" s="745"/>
      <c r="E357" s="745"/>
      <c r="F357" s="745"/>
      <c r="G357" s="745"/>
      <c r="H357" s="745"/>
      <c r="I357" s="745"/>
      <c r="J357" s="745"/>
      <c r="K357" s="745"/>
      <c r="L357" s="745"/>
      <c r="M357" s="745"/>
      <c r="N357" s="745"/>
      <c r="O357" s="745"/>
      <c r="P357" s="745"/>
    </row>
    <row r="358" spans="4:16" x14ac:dyDescent="0.2">
      <c r="D358" s="745"/>
      <c r="E358" s="745"/>
      <c r="F358" s="745"/>
      <c r="G358" s="745"/>
      <c r="H358" s="745"/>
      <c r="I358" s="745"/>
      <c r="J358" s="745"/>
      <c r="K358" s="745"/>
      <c r="L358" s="745"/>
      <c r="M358" s="745"/>
      <c r="N358" s="745"/>
      <c r="O358" s="745"/>
      <c r="P358" s="745"/>
    </row>
    <row r="359" spans="4:16" x14ac:dyDescent="0.2">
      <c r="D359" s="745"/>
      <c r="E359" s="745"/>
      <c r="F359" s="745"/>
      <c r="G359" s="745"/>
      <c r="H359" s="745"/>
      <c r="I359" s="745"/>
      <c r="J359" s="745"/>
      <c r="K359" s="745"/>
      <c r="L359" s="745"/>
      <c r="M359" s="745"/>
      <c r="N359" s="745"/>
      <c r="O359" s="745"/>
      <c r="P359" s="745"/>
    </row>
    <row r="360" spans="4:16" x14ac:dyDescent="0.2">
      <c r="D360" s="745"/>
      <c r="E360" s="745"/>
      <c r="F360" s="745"/>
      <c r="G360" s="745"/>
      <c r="H360" s="745"/>
      <c r="I360" s="745"/>
      <c r="J360" s="745"/>
      <c r="K360" s="745"/>
      <c r="L360" s="745"/>
      <c r="M360" s="745"/>
      <c r="N360" s="745"/>
      <c r="O360" s="745"/>
      <c r="P360" s="745"/>
    </row>
    <row r="361" spans="4:16" x14ac:dyDescent="0.2">
      <c r="D361" s="745"/>
      <c r="E361" s="745"/>
      <c r="F361" s="745"/>
      <c r="G361" s="745"/>
      <c r="H361" s="745"/>
      <c r="I361" s="745"/>
      <c r="J361" s="745"/>
      <c r="K361" s="745"/>
      <c r="L361" s="745"/>
      <c r="M361" s="745"/>
      <c r="N361" s="745"/>
      <c r="O361" s="745"/>
      <c r="P361" s="745"/>
    </row>
    <row r="362" spans="4:16" x14ac:dyDescent="0.2">
      <c r="D362" s="745"/>
      <c r="E362" s="745"/>
      <c r="F362" s="745"/>
      <c r="G362" s="745"/>
      <c r="H362" s="745"/>
      <c r="I362" s="745"/>
      <c r="J362" s="745"/>
      <c r="K362" s="745"/>
      <c r="L362" s="745"/>
      <c r="M362" s="745"/>
      <c r="N362" s="745"/>
      <c r="O362" s="745"/>
      <c r="P362" s="745"/>
    </row>
    <row r="363" spans="4:16" x14ac:dyDescent="0.2">
      <c r="D363" s="745"/>
      <c r="E363" s="745"/>
      <c r="F363" s="745"/>
      <c r="G363" s="745"/>
      <c r="H363" s="745"/>
      <c r="I363" s="745"/>
      <c r="J363" s="745"/>
      <c r="K363" s="745"/>
      <c r="L363" s="745"/>
      <c r="M363" s="745"/>
      <c r="N363" s="745"/>
      <c r="O363" s="745"/>
      <c r="P363" s="745"/>
    </row>
    <row r="364" spans="4:16" x14ac:dyDescent="0.2">
      <c r="D364" s="745"/>
      <c r="E364" s="745"/>
      <c r="F364" s="745"/>
      <c r="G364" s="745"/>
      <c r="H364" s="745"/>
      <c r="I364" s="745"/>
      <c r="J364" s="745"/>
      <c r="K364" s="745"/>
      <c r="L364" s="745"/>
      <c r="M364" s="745"/>
      <c r="N364" s="745"/>
      <c r="O364" s="745"/>
      <c r="P364" s="745"/>
    </row>
    <row r="365" spans="4:16" x14ac:dyDescent="0.2">
      <c r="D365" s="745"/>
      <c r="E365" s="745"/>
      <c r="F365" s="745"/>
      <c r="G365" s="745"/>
      <c r="H365" s="745"/>
      <c r="I365" s="745"/>
      <c r="J365" s="745"/>
      <c r="K365" s="745"/>
      <c r="L365" s="745"/>
      <c r="M365" s="745"/>
      <c r="N365" s="745"/>
      <c r="O365" s="745"/>
      <c r="P365" s="745"/>
    </row>
    <row r="366" spans="4:16" x14ac:dyDescent="0.2">
      <c r="D366" s="745"/>
      <c r="E366" s="745"/>
      <c r="F366" s="745"/>
      <c r="G366" s="745"/>
      <c r="H366" s="745"/>
      <c r="I366" s="745"/>
      <c r="J366" s="745"/>
      <c r="K366" s="745"/>
      <c r="L366" s="745"/>
      <c r="M366" s="745"/>
      <c r="N366" s="745"/>
      <c r="O366" s="745"/>
      <c r="P366" s="745"/>
    </row>
    <row r="367" spans="4:16" x14ac:dyDescent="0.2">
      <c r="D367" s="745"/>
      <c r="E367" s="745"/>
      <c r="F367" s="745"/>
      <c r="G367" s="745"/>
      <c r="H367" s="745"/>
      <c r="I367" s="745"/>
      <c r="J367" s="745"/>
      <c r="K367" s="745"/>
      <c r="L367" s="745"/>
      <c r="M367" s="745"/>
      <c r="N367" s="745"/>
      <c r="O367" s="745"/>
      <c r="P367" s="745"/>
    </row>
    <row r="368" spans="4:16" x14ac:dyDescent="0.2">
      <c r="D368" s="745"/>
      <c r="E368" s="745"/>
      <c r="F368" s="745"/>
      <c r="G368" s="745"/>
      <c r="H368" s="745"/>
      <c r="I368" s="745"/>
      <c r="J368" s="745"/>
      <c r="K368" s="745"/>
      <c r="L368" s="745"/>
      <c r="M368" s="745"/>
      <c r="N368" s="745"/>
      <c r="O368" s="745"/>
      <c r="P368" s="745"/>
    </row>
    <row r="369" spans="4:16" x14ac:dyDescent="0.2">
      <c r="D369" s="745"/>
      <c r="E369" s="745"/>
      <c r="F369" s="745"/>
      <c r="G369" s="745"/>
      <c r="H369" s="745"/>
      <c r="I369" s="745"/>
      <c r="J369" s="745"/>
      <c r="K369" s="745"/>
      <c r="L369" s="745"/>
      <c r="M369" s="745"/>
      <c r="N369" s="745"/>
      <c r="O369" s="745"/>
      <c r="P369" s="745"/>
    </row>
    <row r="370" spans="4:16" x14ac:dyDescent="0.2">
      <c r="D370" s="745"/>
      <c r="E370" s="745"/>
      <c r="F370" s="745"/>
      <c r="G370" s="745"/>
      <c r="H370" s="745"/>
      <c r="I370" s="745"/>
      <c r="J370" s="745"/>
      <c r="K370" s="745"/>
      <c r="L370" s="745"/>
      <c r="M370" s="745"/>
      <c r="N370" s="745"/>
      <c r="O370" s="745"/>
      <c r="P370" s="745"/>
    </row>
    <row r="371" spans="4:16" x14ac:dyDescent="0.2">
      <c r="D371" s="745"/>
      <c r="E371" s="745"/>
      <c r="F371" s="745"/>
      <c r="G371" s="745"/>
      <c r="H371" s="745"/>
      <c r="I371" s="745"/>
      <c r="J371" s="745"/>
      <c r="K371" s="745"/>
      <c r="L371" s="745"/>
      <c r="M371" s="745"/>
      <c r="N371" s="745"/>
      <c r="O371" s="745"/>
      <c r="P371" s="745"/>
    </row>
    <row r="372" spans="4:16" x14ac:dyDescent="0.2">
      <c r="D372" s="745"/>
      <c r="E372" s="745"/>
      <c r="F372" s="745"/>
      <c r="G372" s="745"/>
      <c r="H372" s="745"/>
      <c r="I372" s="745"/>
      <c r="J372" s="745"/>
      <c r="K372" s="745"/>
      <c r="L372" s="745"/>
      <c r="M372" s="745"/>
      <c r="N372" s="745"/>
      <c r="O372" s="745"/>
      <c r="P372" s="745"/>
    </row>
    <row r="373" spans="4:16" x14ac:dyDescent="0.2">
      <c r="D373" s="745"/>
      <c r="E373" s="745"/>
      <c r="F373" s="745"/>
      <c r="G373" s="745"/>
      <c r="H373" s="745"/>
      <c r="I373" s="745"/>
      <c r="J373" s="745"/>
      <c r="K373" s="745"/>
      <c r="L373" s="745"/>
      <c r="M373" s="745"/>
      <c r="N373" s="745"/>
      <c r="O373" s="745"/>
      <c r="P373" s="745"/>
    </row>
    <row r="374" spans="4:16" x14ac:dyDescent="0.2">
      <c r="D374" s="745"/>
      <c r="E374" s="745"/>
      <c r="F374" s="745"/>
      <c r="G374" s="745"/>
      <c r="H374" s="745"/>
      <c r="I374" s="745"/>
      <c r="J374" s="745"/>
      <c r="K374" s="745"/>
      <c r="L374" s="745"/>
      <c r="M374" s="745"/>
      <c r="N374" s="745"/>
      <c r="O374" s="745"/>
      <c r="P374" s="745"/>
    </row>
    <row r="375" spans="4:16" x14ac:dyDescent="0.2">
      <c r="D375" s="745"/>
      <c r="E375" s="745"/>
      <c r="F375" s="745"/>
      <c r="G375" s="745"/>
      <c r="H375" s="745"/>
      <c r="I375" s="745"/>
      <c r="J375" s="745"/>
      <c r="K375" s="745"/>
      <c r="L375" s="745"/>
      <c r="M375" s="745"/>
      <c r="N375" s="745"/>
      <c r="O375" s="745"/>
      <c r="P375" s="745"/>
    </row>
    <row r="376" spans="4:16" x14ac:dyDescent="0.2">
      <c r="D376" s="745"/>
      <c r="E376" s="745"/>
      <c r="F376" s="745"/>
      <c r="G376" s="745"/>
      <c r="H376" s="745"/>
      <c r="I376" s="745"/>
      <c r="J376" s="745"/>
      <c r="K376" s="745"/>
      <c r="L376" s="745"/>
      <c r="M376" s="745"/>
      <c r="N376" s="745"/>
      <c r="O376" s="745"/>
      <c r="P376" s="745"/>
    </row>
    <row r="377" spans="4:16" x14ac:dyDescent="0.2">
      <c r="D377" s="745"/>
      <c r="E377" s="745"/>
      <c r="F377" s="745"/>
      <c r="G377" s="745"/>
      <c r="H377" s="745"/>
      <c r="I377" s="745"/>
      <c r="J377" s="745"/>
      <c r="K377" s="745"/>
      <c r="L377" s="745"/>
      <c r="M377" s="745"/>
      <c r="N377" s="745"/>
      <c r="O377" s="745"/>
      <c r="P377" s="745"/>
    </row>
    <row r="378" spans="4:16" x14ac:dyDescent="0.2">
      <c r="D378" s="745"/>
      <c r="E378" s="745"/>
      <c r="F378" s="745"/>
      <c r="G378" s="745"/>
      <c r="H378" s="745"/>
      <c r="I378" s="745"/>
      <c r="J378" s="745"/>
      <c r="K378" s="745"/>
      <c r="L378" s="745"/>
      <c r="M378" s="745"/>
      <c r="N378" s="745"/>
      <c r="O378" s="745"/>
      <c r="P378" s="745"/>
    </row>
    <row r="379" spans="4:16" x14ac:dyDescent="0.2">
      <c r="D379" s="745"/>
      <c r="E379" s="745"/>
      <c r="F379" s="745"/>
      <c r="G379" s="745"/>
      <c r="H379" s="745"/>
      <c r="I379" s="745"/>
      <c r="J379" s="745"/>
      <c r="K379" s="745"/>
      <c r="L379" s="745"/>
      <c r="M379" s="745"/>
      <c r="N379" s="745"/>
      <c r="O379" s="745"/>
      <c r="P379" s="745"/>
    </row>
    <row r="380" spans="4:16" x14ac:dyDescent="0.2">
      <c r="D380" s="745"/>
      <c r="E380" s="745"/>
      <c r="F380" s="745"/>
      <c r="G380" s="745"/>
      <c r="H380" s="745"/>
      <c r="I380" s="745"/>
      <c r="J380" s="745"/>
      <c r="K380" s="745"/>
      <c r="L380" s="745"/>
      <c r="M380" s="745"/>
      <c r="N380" s="745"/>
      <c r="O380" s="745"/>
      <c r="P380" s="745"/>
    </row>
    <row r="381" spans="4:16" x14ac:dyDescent="0.2">
      <c r="D381" s="745"/>
      <c r="E381" s="745"/>
      <c r="F381" s="745"/>
      <c r="G381" s="745"/>
      <c r="H381" s="745"/>
      <c r="I381" s="745"/>
      <c r="J381" s="745"/>
      <c r="K381" s="745"/>
      <c r="L381" s="745"/>
      <c r="M381" s="745"/>
      <c r="N381" s="745"/>
      <c r="O381" s="745"/>
      <c r="P381" s="745"/>
    </row>
    <row r="382" spans="4:16" x14ac:dyDescent="0.2">
      <c r="D382" s="745"/>
      <c r="E382" s="745"/>
      <c r="F382" s="745"/>
      <c r="G382" s="745"/>
      <c r="H382" s="745"/>
      <c r="I382" s="745"/>
      <c r="J382" s="745"/>
      <c r="K382" s="745"/>
      <c r="L382" s="745"/>
      <c r="M382" s="745"/>
      <c r="N382" s="745"/>
      <c r="O382" s="745"/>
      <c r="P382" s="745"/>
    </row>
    <row r="383" spans="4:16" x14ac:dyDescent="0.2">
      <c r="D383" s="745"/>
      <c r="E383" s="745"/>
      <c r="F383" s="745"/>
      <c r="G383" s="745"/>
      <c r="H383" s="745"/>
      <c r="I383" s="745"/>
      <c r="J383" s="745"/>
      <c r="K383" s="745"/>
      <c r="L383" s="745"/>
      <c r="M383" s="745"/>
      <c r="N383" s="745"/>
      <c r="O383" s="745"/>
      <c r="P383" s="745"/>
    </row>
    <row r="384" spans="4:16" x14ac:dyDescent="0.2">
      <c r="D384" s="745"/>
      <c r="E384" s="745"/>
      <c r="F384" s="745"/>
      <c r="G384" s="745"/>
      <c r="H384" s="745"/>
      <c r="I384" s="745"/>
      <c r="J384" s="745"/>
      <c r="K384" s="745"/>
      <c r="L384" s="745"/>
      <c r="M384" s="745"/>
      <c r="N384" s="745"/>
      <c r="O384" s="745"/>
      <c r="P384" s="745"/>
    </row>
    <row r="385" spans="4:16" x14ac:dyDescent="0.2">
      <c r="D385" s="745"/>
      <c r="E385" s="745"/>
      <c r="F385" s="745"/>
      <c r="G385" s="745"/>
      <c r="H385" s="745"/>
      <c r="I385" s="745"/>
      <c r="J385" s="745"/>
      <c r="K385" s="745"/>
      <c r="L385" s="745"/>
      <c r="M385" s="745"/>
      <c r="N385" s="745"/>
      <c r="O385" s="745"/>
      <c r="P385" s="745"/>
    </row>
    <row r="386" spans="4:16" x14ac:dyDescent="0.2">
      <c r="D386" s="745"/>
      <c r="E386" s="745"/>
      <c r="F386" s="745"/>
      <c r="G386" s="745"/>
      <c r="H386" s="745"/>
      <c r="I386" s="745"/>
      <c r="J386" s="745"/>
      <c r="K386" s="745"/>
      <c r="L386" s="745"/>
      <c r="M386" s="745"/>
      <c r="N386" s="745"/>
      <c r="O386" s="745"/>
      <c r="P386" s="745"/>
    </row>
    <row r="387" spans="4:16" x14ac:dyDescent="0.2">
      <c r="D387" s="745"/>
      <c r="E387" s="745"/>
      <c r="F387" s="745"/>
      <c r="G387" s="745"/>
      <c r="H387" s="745"/>
      <c r="I387" s="745"/>
      <c r="J387" s="745"/>
      <c r="K387" s="745"/>
      <c r="L387" s="745"/>
      <c r="M387" s="745"/>
      <c r="N387" s="745"/>
      <c r="O387" s="745"/>
      <c r="P387" s="745"/>
    </row>
    <row r="388" spans="4:16" x14ac:dyDescent="0.2">
      <c r="D388" s="745"/>
      <c r="E388" s="745"/>
      <c r="F388" s="745"/>
      <c r="G388" s="745"/>
      <c r="H388" s="745"/>
      <c r="I388" s="745"/>
      <c r="J388" s="745"/>
      <c r="K388" s="745"/>
      <c r="L388" s="745"/>
      <c r="M388" s="745"/>
      <c r="N388" s="745"/>
      <c r="O388" s="745"/>
      <c r="P388" s="745"/>
    </row>
    <row r="389" spans="4:16" x14ac:dyDescent="0.2">
      <c r="D389" s="745"/>
      <c r="E389" s="745"/>
      <c r="F389" s="745"/>
      <c r="G389" s="745"/>
      <c r="H389" s="745"/>
      <c r="I389" s="745"/>
      <c r="J389" s="745"/>
      <c r="K389" s="745"/>
      <c r="L389" s="745"/>
      <c r="M389" s="745"/>
      <c r="N389" s="745"/>
      <c r="O389" s="745"/>
      <c r="P389" s="745"/>
    </row>
    <row r="390" spans="4:16" x14ac:dyDescent="0.2">
      <c r="D390" s="745"/>
      <c r="E390" s="745"/>
      <c r="F390" s="745"/>
      <c r="G390" s="745"/>
      <c r="H390" s="745"/>
      <c r="I390" s="745"/>
      <c r="J390" s="745"/>
      <c r="K390" s="745"/>
      <c r="L390" s="745"/>
      <c r="M390" s="745"/>
      <c r="N390" s="745"/>
      <c r="O390" s="745"/>
      <c r="P390" s="745"/>
    </row>
    <row r="391" spans="4:16" x14ac:dyDescent="0.2">
      <c r="D391" s="745"/>
      <c r="E391" s="745"/>
      <c r="F391" s="745"/>
      <c r="G391" s="745"/>
      <c r="H391" s="745"/>
      <c r="I391" s="745"/>
      <c r="J391" s="745"/>
      <c r="K391" s="745"/>
      <c r="L391" s="745"/>
      <c r="M391" s="745"/>
      <c r="N391" s="745"/>
      <c r="O391" s="745"/>
      <c r="P391" s="745"/>
    </row>
    <row r="392" spans="4:16" x14ac:dyDescent="0.2">
      <c r="D392" s="745"/>
      <c r="E392" s="745"/>
      <c r="F392" s="745"/>
      <c r="G392" s="745"/>
      <c r="H392" s="745"/>
      <c r="I392" s="745"/>
      <c r="J392" s="745"/>
      <c r="K392" s="745"/>
      <c r="L392" s="745"/>
      <c r="M392" s="745"/>
      <c r="N392" s="745"/>
      <c r="O392" s="745"/>
      <c r="P392" s="745"/>
    </row>
    <row r="393" spans="4:16" x14ac:dyDescent="0.2">
      <c r="D393" s="745"/>
      <c r="E393" s="745"/>
      <c r="F393" s="745"/>
      <c r="G393" s="745"/>
      <c r="H393" s="745"/>
      <c r="I393" s="745"/>
      <c r="J393" s="745"/>
      <c r="K393" s="745"/>
      <c r="L393" s="745"/>
      <c r="M393" s="745"/>
      <c r="N393" s="745"/>
      <c r="O393" s="745"/>
      <c r="P393" s="745"/>
    </row>
    <row r="394" spans="4:16" x14ac:dyDescent="0.2">
      <c r="D394" s="745"/>
      <c r="E394" s="745"/>
      <c r="F394" s="745"/>
      <c r="G394" s="745"/>
      <c r="H394" s="745"/>
      <c r="I394" s="745"/>
      <c r="J394" s="745"/>
      <c r="K394" s="745"/>
      <c r="L394" s="745"/>
      <c r="M394" s="745"/>
      <c r="N394" s="745"/>
      <c r="O394" s="745"/>
      <c r="P394" s="745"/>
    </row>
    <row r="395" spans="4:16" x14ac:dyDescent="0.2">
      <c r="D395" s="745"/>
      <c r="E395" s="745"/>
      <c r="F395" s="745"/>
      <c r="G395" s="745"/>
      <c r="H395" s="745"/>
      <c r="I395" s="745"/>
      <c r="J395" s="745"/>
      <c r="K395" s="745"/>
      <c r="L395" s="745"/>
      <c r="M395" s="745"/>
      <c r="N395" s="745"/>
      <c r="O395" s="745"/>
      <c r="P395" s="745"/>
    </row>
    <row r="396" spans="4:16" x14ac:dyDescent="0.2">
      <c r="D396" s="745"/>
      <c r="E396" s="745"/>
      <c r="F396" s="745"/>
      <c r="G396" s="745"/>
      <c r="H396" s="745"/>
      <c r="I396" s="745"/>
      <c r="J396" s="745"/>
      <c r="K396" s="745"/>
      <c r="L396" s="745"/>
      <c r="M396" s="745"/>
      <c r="N396" s="745"/>
      <c r="O396" s="745"/>
      <c r="P396" s="745"/>
    </row>
    <row r="397" spans="4:16" x14ac:dyDescent="0.2">
      <c r="D397" s="745"/>
      <c r="E397" s="745"/>
      <c r="F397" s="745"/>
      <c r="G397" s="745"/>
      <c r="H397" s="745"/>
      <c r="I397" s="745"/>
      <c r="J397" s="745"/>
      <c r="K397" s="745"/>
      <c r="L397" s="745"/>
      <c r="M397" s="745"/>
      <c r="N397" s="745"/>
      <c r="O397" s="745"/>
      <c r="P397" s="745"/>
    </row>
    <row r="398" spans="4:16" x14ac:dyDescent="0.2">
      <c r="D398" s="745"/>
      <c r="E398" s="745"/>
      <c r="F398" s="745"/>
      <c r="G398" s="745"/>
      <c r="H398" s="745"/>
      <c r="I398" s="745"/>
      <c r="J398" s="745"/>
      <c r="K398" s="745"/>
      <c r="L398" s="745"/>
      <c r="M398" s="745"/>
      <c r="N398" s="745"/>
      <c r="O398" s="745"/>
      <c r="P398" s="745"/>
    </row>
    <row r="399" spans="4:16" x14ac:dyDescent="0.2">
      <c r="D399" s="745"/>
      <c r="E399" s="745"/>
      <c r="F399" s="745"/>
      <c r="G399" s="745"/>
      <c r="H399" s="745"/>
      <c r="I399" s="745"/>
      <c r="J399" s="745"/>
      <c r="K399" s="745"/>
      <c r="L399" s="745"/>
      <c r="M399" s="745"/>
      <c r="N399" s="745"/>
      <c r="O399" s="745"/>
      <c r="P399" s="745"/>
    </row>
    <row r="400" spans="4:16" x14ac:dyDescent="0.2">
      <c r="D400" s="745"/>
      <c r="E400" s="745"/>
      <c r="F400" s="745"/>
      <c r="G400" s="745"/>
      <c r="H400" s="745"/>
      <c r="I400" s="745"/>
      <c r="J400" s="745"/>
      <c r="K400" s="745"/>
      <c r="L400" s="745"/>
      <c r="M400" s="745"/>
      <c r="N400" s="745"/>
      <c r="O400" s="745"/>
      <c r="P400" s="745"/>
    </row>
    <row r="401" spans="1:16" x14ac:dyDescent="0.2">
      <c r="D401" s="745"/>
      <c r="E401" s="745"/>
      <c r="F401" s="745"/>
      <c r="G401" s="745"/>
      <c r="H401" s="745"/>
      <c r="I401" s="745"/>
      <c r="J401" s="745"/>
      <c r="K401" s="745"/>
      <c r="L401" s="745"/>
      <c r="M401" s="745"/>
      <c r="N401" s="745"/>
      <c r="O401" s="745"/>
      <c r="P401" s="745"/>
    </row>
    <row r="402" spans="1:16" x14ac:dyDescent="0.2">
      <c r="D402" s="388" t="e">
        <f>SP!#REF!</f>
        <v>#REF!</v>
      </c>
      <c r="E402" s="388">
        <f>SP!B2</f>
        <v>0</v>
      </c>
      <c r="F402" s="388">
        <f>E402</f>
        <v>0</v>
      </c>
      <c r="G402">
        <f t="shared" ref="G402:P402" si="43">$E402</f>
        <v>0</v>
      </c>
      <c r="H402">
        <f t="shared" si="43"/>
        <v>0</v>
      </c>
      <c r="I402">
        <f t="shared" si="43"/>
        <v>0</v>
      </c>
      <c r="J402">
        <f t="shared" si="43"/>
        <v>0</v>
      </c>
      <c r="K402">
        <f t="shared" si="43"/>
        <v>0</v>
      </c>
      <c r="L402">
        <f t="shared" si="43"/>
        <v>0</v>
      </c>
      <c r="M402">
        <f t="shared" si="43"/>
        <v>0</v>
      </c>
      <c r="N402">
        <f t="shared" si="43"/>
        <v>0</v>
      </c>
      <c r="O402">
        <f t="shared" si="43"/>
        <v>0</v>
      </c>
      <c r="P402">
        <f t="shared" si="43"/>
        <v>0</v>
      </c>
    </row>
    <row r="403" spans="1:16" x14ac:dyDescent="0.2">
      <c r="A403" s="639"/>
      <c r="B403" s="639"/>
      <c r="C403" s="639"/>
      <c r="D403" s="1095" t="str">
        <f>SP!A3</f>
        <v>2012/13</v>
      </c>
      <c r="E403" s="1095" t="str">
        <f>SP!B3</f>
        <v>2013/14</v>
      </c>
      <c r="F403" s="1095" t="str">
        <f>SP!C3</f>
        <v>2014/15</v>
      </c>
      <c r="G403" s="1095" t="str">
        <f>SP!D3</f>
        <v>2015/16</v>
      </c>
      <c r="H403" s="1095" t="str">
        <f>SP!G3</f>
        <v>2016/17</v>
      </c>
      <c r="I403" s="1095" t="str">
        <f>SP!I3</f>
        <v>2017/18</v>
      </c>
      <c r="J403" s="1095" t="str">
        <f>SP!J3</f>
        <v>2018/19</v>
      </c>
      <c r="K403" s="1095" t="str">
        <f>SP!K3</f>
        <v>2019/20</v>
      </c>
      <c r="L403" s="1095" t="str">
        <f>SP!L3</f>
        <v>2020/21</v>
      </c>
      <c r="M403" s="1095" t="str">
        <f>SP!M3</f>
        <v>2021/22</v>
      </c>
      <c r="N403" s="1095" t="str">
        <f>SP!N3</f>
        <v>2022/23</v>
      </c>
      <c r="O403" s="1095" t="str">
        <f>SP!O3</f>
        <v>2023/24</v>
      </c>
      <c r="P403" s="1095" t="str">
        <f>SP!P3</f>
        <v>2024/25</v>
      </c>
    </row>
    <row r="404" spans="1:16" x14ac:dyDescent="0.2">
      <c r="A404" s="1280" t="s">
        <v>2976</v>
      </c>
      <c r="B404" s="1280"/>
      <c r="C404" s="1281"/>
    </row>
    <row r="405" spans="1:16" x14ac:dyDescent="0.2">
      <c r="A405" t="s">
        <v>2950</v>
      </c>
    </row>
    <row r="406" spans="1:16" x14ac:dyDescent="0.2">
      <c r="C406" s="779" t="s">
        <v>3291</v>
      </c>
      <c r="D406" s="1139">
        <v>2550</v>
      </c>
      <c r="E406" s="1139">
        <v>2601</v>
      </c>
      <c r="F406" s="1139">
        <v>2653.02</v>
      </c>
      <c r="G406" s="1139">
        <v>2706.0803999999998</v>
      </c>
      <c r="H406" s="1139">
        <v>2760.2020080000002</v>
      </c>
      <c r="I406" s="1139">
        <v>2815.40604816</v>
      </c>
      <c r="J406" s="1139">
        <v>2871.7141691231996</v>
      </c>
      <c r="K406" s="1139">
        <v>2929.148452505664</v>
      </c>
      <c r="L406" s="1139">
        <v>2987.7314215557772</v>
      </c>
      <c r="M406" s="1139">
        <v>3047.4860499868928</v>
      </c>
      <c r="N406" s="1139">
        <v>3108.4357709866299</v>
      </c>
      <c r="O406" s="1221"/>
      <c r="P406" s="1221"/>
    </row>
    <row r="407" spans="1:16" x14ac:dyDescent="0.2">
      <c r="C407" s="779" t="s">
        <v>2971</v>
      </c>
      <c r="D407" s="745">
        <v>915.96</v>
      </c>
      <c r="E407" s="745">
        <v>934.27919999999995</v>
      </c>
      <c r="F407" s="745">
        <v>952.9647839999999</v>
      </c>
      <c r="G407" s="745">
        <v>972.02407968</v>
      </c>
      <c r="H407" s="745">
        <v>991.4645612736</v>
      </c>
      <c r="I407" s="745">
        <v>1011.293852499072</v>
      </c>
      <c r="J407" s="745">
        <v>1031.5197295490532</v>
      </c>
      <c r="K407" s="745">
        <v>1053.3217835210367</v>
      </c>
      <c r="L407" s="745">
        <v>1074.3882191914574</v>
      </c>
      <c r="M407" s="745">
        <v>1095.8759835752867</v>
      </c>
      <c r="N407" s="745">
        <v>1117.7935032467922</v>
      </c>
      <c r="O407" s="1219"/>
      <c r="P407" s="1219"/>
    </row>
    <row r="408" spans="1:16" x14ac:dyDescent="0.2">
      <c r="C408" s="779" t="s">
        <v>2977</v>
      </c>
      <c r="D408" s="745">
        <v>1273.98</v>
      </c>
      <c r="E408" s="745">
        <v>1299.4595999999999</v>
      </c>
      <c r="F408" s="745">
        <v>1325.4487919999999</v>
      </c>
      <c r="G408" s="745">
        <v>1351.9577678399999</v>
      </c>
      <c r="H408" s="745">
        <v>1378.9969231968</v>
      </c>
      <c r="I408" s="745">
        <v>1406.5768616607361</v>
      </c>
      <c r="J408" s="745">
        <v>1434.7083988939505</v>
      </c>
      <c r="K408" s="745">
        <v>1463.4025668718295</v>
      </c>
      <c r="L408" s="745">
        <v>1492.6706182092662</v>
      </c>
      <c r="M408" s="745">
        <v>1522.5240305734517</v>
      </c>
      <c r="N408" s="745">
        <v>1552.9745111849204</v>
      </c>
      <c r="O408" s="1219"/>
      <c r="P408" s="1219"/>
    </row>
    <row r="409" spans="1:16" x14ac:dyDescent="0.2">
      <c r="A409" s="4"/>
      <c r="B409" s="4"/>
      <c r="C409" s="4" t="s">
        <v>2995</v>
      </c>
      <c r="D409" s="1094">
        <f>SUM(D406:D408)</f>
        <v>4739.9400000000005</v>
      </c>
      <c r="E409" s="1094">
        <f t="shared" ref="E409:O409" si="44">SUM(E406:E408)</f>
        <v>4834.7388000000001</v>
      </c>
      <c r="F409" s="1094">
        <f t="shared" si="44"/>
        <v>4931.4335759999994</v>
      </c>
      <c r="G409" s="1094">
        <f t="shared" si="44"/>
        <v>5030.0622475199998</v>
      </c>
      <c r="H409" s="1094">
        <f t="shared" si="44"/>
        <v>5130.6634924704003</v>
      </c>
      <c r="I409" s="1094">
        <f t="shared" si="44"/>
        <v>5233.2767623198088</v>
      </c>
      <c r="J409" s="1094">
        <f t="shared" si="44"/>
        <v>5337.9422975662028</v>
      </c>
      <c r="K409" s="1094">
        <f t="shared" si="44"/>
        <v>5445.8728028985297</v>
      </c>
      <c r="L409" s="1094">
        <f t="shared" si="44"/>
        <v>5554.7902589565001</v>
      </c>
      <c r="M409" s="1094">
        <f t="shared" si="44"/>
        <v>5665.8860641356314</v>
      </c>
      <c r="N409" s="1094">
        <f t="shared" si="44"/>
        <v>5779.2037854183427</v>
      </c>
      <c r="O409" s="1094">
        <f t="shared" si="44"/>
        <v>0</v>
      </c>
      <c r="P409" s="1094">
        <f t="shared" ref="P409" si="45">SUM(P406:P408)</f>
        <v>0</v>
      </c>
    </row>
    <row r="410" spans="1:16" x14ac:dyDescent="0.2">
      <c r="C410" s="1099"/>
    </row>
    <row r="411" spans="1:16" x14ac:dyDescent="0.2">
      <c r="A411" s="779" t="s">
        <v>2957</v>
      </c>
      <c r="B411" s="779"/>
    </row>
    <row r="412" spans="1:16" x14ac:dyDescent="0.2">
      <c r="C412" s="779" t="s">
        <v>2970</v>
      </c>
      <c r="D412" s="1291">
        <v>0</v>
      </c>
      <c r="E412" s="1291">
        <v>0</v>
      </c>
      <c r="F412" s="1291">
        <v>0</v>
      </c>
      <c r="G412" s="1291">
        <v>0</v>
      </c>
      <c r="H412" s="1291">
        <v>0</v>
      </c>
      <c r="I412" s="1139">
        <v>0</v>
      </c>
      <c r="J412" s="1291">
        <v>0</v>
      </c>
      <c r="K412" s="1139">
        <v>0</v>
      </c>
      <c r="L412" s="1291">
        <v>0</v>
      </c>
      <c r="M412" s="1291">
        <v>0</v>
      </c>
      <c r="N412" s="1139">
        <v>0</v>
      </c>
      <c r="O412" s="1291"/>
      <c r="P412" s="1291"/>
    </row>
    <row r="413" spans="1:16" x14ac:dyDescent="0.2">
      <c r="C413" s="779" t="s">
        <v>2971</v>
      </c>
      <c r="D413" s="1291">
        <v>0</v>
      </c>
      <c r="E413" s="1291">
        <v>0</v>
      </c>
      <c r="F413" s="1291">
        <v>1304.1200260956443</v>
      </c>
      <c r="G413" s="1139">
        <v>0</v>
      </c>
      <c r="H413" s="1291">
        <v>0</v>
      </c>
      <c r="I413" s="1291">
        <v>0</v>
      </c>
      <c r="J413" s="1291">
        <v>0</v>
      </c>
      <c r="K413" s="1291">
        <v>0</v>
      </c>
      <c r="L413" s="1291">
        <v>2949.1172272772351</v>
      </c>
      <c r="M413" s="1139">
        <v>0</v>
      </c>
      <c r="N413" s="1291">
        <v>809.25016861865925</v>
      </c>
      <c r="O413" s="1291"/>
      <c r="P413" s="1291"/>
    </row>
    <row r="414" spans="1:16" x14ac:dyDescent="0.2">
      <c r="C414" s="779" t="s">
        <v>2977</v>
      </c>
      <c r="D414" s="745">
        <v>193.83893766158781</v>
      </c>
      <c r="E414" s="745">
        <v>129.97249000553271</v>
      </c>
      <c r="F414" s="745">
        <v>387.39411370630279</v>
      </c>
      <c r="G414" s="745">
        <v>84.996761963930794</v>
      </c>
      <c r="H414" s="745">
        <v>56.764740290995704</v>
      </c>
      <c r="I414" s="745">
        <v>818.32113192382724</v>
      </c>
      <c r="J414" s="745">
        <v>265.6810827200074</v>
      </c>
      <c r="K414" s="745">
        <v>246.96987187462457</v>
      </c>
      <c r="L414" s="745">
        <v>0</v>
      </c>
      <c r="M414" s="745">
        <v>0</v>
      </c>
      <c r="N414" s="745">
        <v>0</v>
      </c>
      <c r="O414" s="745"/>
      <c r="P414" s="745"/>
    </row>
    <row r="415" spans="1:16" x14ac:dyDescent="0.2">
      <c r="C415" s="779" t="s">
        <v>3518</v>
      </c>
      <c r="D415" s="745">
        <v>7696</v>
      </c>
      <c r="E415" s="745">
        <v>6384</v>
      </c>
      <c r="F415" s="745">
        <v>1568</v>
      </c>
      <c r="G415" s="745">
        <v>2532</v>
      </c>
      <c r="H415" s="745">
        <v>2497</v>
      </c>
      <c r="I415" s="745">
        <v>512</v>
      </c>
      <c r="J415" s="745">
        <v>528</v>
      </c>
      <c r="K415" s="745">
        <v>544</v>
      </c>
      <c r="L415" s="745">
        <v>560</v>
      </c>
      <c r="M415" s="745">
        <v>577</v>
      </c>
      <c r="N415" s="745">
        <v>146</v>
      </c>
      <c r="O415" s="745"/>
      <c r="P415" s="745"/>
    </row>
    <row r="416" spans="1:16" x14ac:dyDescent="0.2">
      <c r="C416" s="4" t="s">
        <v>2996</v>
      </c>
      <c r="D416" s="1094">
        <f t="shared" ref="D416:N416" si="46">SUM(D412:D415)</f>
        <v>7889.8389376615878</v>
      </c>
      <c r="E416" s="1094">
        <f t="shared" si="46"/>
        <v>6513.9724900055326</v>
      </c>
      <c r="F416" s="1094">
        <f t="shared" si="46"/>
        <v>3259.5141398019468</v>
      </c>
      <c r="G416" s="1094">
        <f t="shared" si="46"/>
        <v>2616.996761963931</v>
      </c>
      <c r="H416" s="1094">
        <f t="shared" si="46"/>
        <v>2553.7647402909956</v>
      </c>
      <c r="I416" s="1094">
        <f t="shared" si="46"/>
        <v>1330.3211319238271</v>
      </c>
      <c r="J416" s="1094">
        <f t="shared" si="46"/>
        <v>793.68108272000745</v>
      </c>
      <c r="K416" s="1094">
        <f t="shared" si="46"/>
        <v>790.96987187462457</v>
      </c>
      <c r="L416" s="1094">
        <f t="shared" si="46"/>
        <v>3509.1172272772351</v>
      </c>
      <c r="M416" s="1094">
        <f t="shared" si="46"/>
        <v>577</v>
      </c>
      <c r="N416" s="1094">
        <f t="shared" si="46"/>
        <v>955.25016861865925</v>
      </c>
      <c r="O416" s="1094">
        <f>SUM(O412:O415)</f>
        <v>0</v>
      </c>
      <c r="P416" s="1094">
        <f>SUM(P412:P415)</f>
        <v>0</v>
      </c>
    </row>
    <row r="417" spans="1:16" x14ac:dyDescent="0.2">
      <c r="C417" s="4" t="s">
        <v>2997</v>
      </c>
      <c r="D417" s="1093">
        <f>D409+D416</f>
        <v>12629.778937661587</v>
      </c>
      <c r="E417" s="1093">
        <f t="shared" ref="E417:O417" si="47">E409+E416</f>
        <v>11348.711290005533</v>
      </c>
      <c r="F417" s="1093">
        <f t="shared" si="47"/>
        <v>8190.9477158019463</v>
      </c>
      <c r="G417" s="1093">
        <f t="shared" si="47"/>
        <v>7647.0590094839308</v>
      </c>
      <c r="H417" s="1093">
        <f t="shared" si="47"/>
        <v>7684.4282327613964</v>
      </c>
      <c r="I417" s="1093">
        <f t="shared" si="47"/>
        <v>6563.5978942436359</v>
      </c>
      <c r="J417" s="1093">
        <f t="shared" si="47"/>
        <v>6131.6233802862098</v>
      </c>
      <c r="K417" s="1093">
        <f t="shared" si="47"/>
        <v>6236.8426747731546</v>
      </c>
      <c r="L417" s="1093">
        <f t="shared" si="47"/>
        <v>9063.9074862337347</v>
      </c>
      <c r="M417" s="1093">
        <f t="shared" si="47"/>
        <v>6242.8860641356314</v>
      </c>
      <c r="N417" s="1093">
        <f t="shared" si="47"/>
        <v>6734.4539540370024</v>
      </c>
      <c r="O417" s="1093">
        <f t="shared" si="47"/>
        <v>0</v>
      </c>
      <c r="P417" s="1093">
        <f t="shared" ref="P417" si="48">P409+P416</f>
        <v>0</v>
      </c>
    </row>
    <row r="418" spans="1:16" x14ac:dyDescent="0.2">
      <c r="C418" s="1039"/>
    </row>
    <row r="419" spans="1:16" x14ac:dyDescent="0.2">
      <c r="A419" s="1280" t="s">
        <v>2978</v>
      </c>
      <c r="B419" s="1280"/>
      <c r="C419" s="1281"/>
    </row>
    <row r="420" spans="1:16" x14ac:dyDescent="0.2">
      <c r="A420" t="s">
        <v>2950</v>
      </c>
    </row>
    <row r="421" spans="1:16" x14ac:dyDescent="0.2">
      <c r="C421" s="779" t="s">
        <v>2970</v>
      </c>
      <c r="D421" s="745">
        <f>ROUND(SUM('W&amp;W'!A463:A466)+SUM('W&amp;W'!A478:A500),-3)/1000</f>
        <v>1945</v>
      </c>
      <c r="E421" s="745">
        <f>ROUND(SUM('W&amp;W'!B463:B466)+SUM('W&amp;W'!B478:B500),-3)/1000</f>
        <v>2430</v>
      </c>
      <c r="F421" s="745">
        <f>ROUND(SUM('W&amp;W'!C463:C466)+SUM('W&amp;W'!C478:C500),-3)/1000</f>
        <v>2581</v>
      </c>
      <c r="G421" s="745">
        <f>ROUND(SUM('W&amp;W'!D463:D466)+SUM('W&amp;W'!D478:D500),-3)/1000</f>
        <v>2011</v>
      </c>
      <c r="H421" s="745">
        <f>ROUND(SUM('W&amp;W'!G463:G466)+SUM('W&amp;W'!G478:G500),-3)/1000</f>
        <v>1851</v>
      </c>
      <c r="I421" s="745">
        <f>ROUND(SUM('W&amp;W'!I463:I466)+SUM('W&amp;W'!I478:I500),-3)/1000</f>
        <v>1879</v>
      </c>
      <c r="J421" s="745">
        <f>ROUND(SUM('W&amp;W'!J463:J466)+SUM('W&amp;W'!J478:J500),-3)/1000</f>
        <v>1927</v>
      </c>
      <c r="K421" s="745">
        <f>ROUND(SUM('W&amp;W'!K463:K466)+SUM('W&amp;W'!K478:K500),-3)/1000</f>
        <v>1977</v>
      </c>
      <c r="L421" s="745">
        <f>ROUND(SUM('W&amp;W'!L463:L466)+SUM('W&amp;W'!L478:L500),-3)/1000</f>
        <v>2027</v>
      </c>
      <c r="M421" s="745">
        <f>ROUND(SUM('W&amp;W'!M463:M466)+SUM('W&amp;W'!M478:M500),-3)/1000</f>
        <v>2068</v>
      </c>
      <c r="N421" s="745">
        <f>ROUND(SUM('W&amp;W'!N463:N466)+SUM('W&amp;W'!N478:N500),-3)/1000</f>
        <v>2110</v>
      </c>
      <c r="O421" s="745">
        <f>ROUND(SUM('W&amp;W'!O463:O466)+SUM('W&amp;W'!O478:O500),-3)/1000</f>
        <v>2153</v>
      </c>
      <c r="P421" s="745">
        <f>ROUND(SUM('W&amp;W'!P463:P466)+SUM('W&amp;W'!P478:P500),-3)/1000</f>
        <v>2197</v>
      </c>
    </row>
    <row r="422" spans="1:16" x14ac:dyDescent="0.2">
      <c r="C422" s="779" t="s">
        <v>2971</v>
      </c>
      <c r="D422" s="745">
        <f>ROUND('W&amp;W'!A457+'W&amp;W'!A522,-3)/1000</f>
        <v>553</v>
      </c>
      <c r="E422" s="745">
        <f>ROUND('W&amp;W'!B457+'W&amp;W'!B522,-3)/1000</f>
        <v>522</v>
      </c>
      <c r="F422" s="745">
        <f>ROUND('W&amp;W'!C457+'W&amp;W'!C522,-3)/1000</f>
        <v>600</v>
      </c>
      <c r="G422" s="745">
        <f>ROUND('W&amp;W'!D457+'W&amp;W'!D522,-3)/1000</f>
        <v>555</v>
      </c>
      <c r="H422" s="745">
        <f>ROUND('W&amp;W'!G457+'W&amp;W'!G522,-3)/1000</f>
        <v>387</v>
      </c>
      <c r="I422" s="745">
        <f>ROUND('W&amp;W'!I457+'W&amp;W'!I522,-3)/1000</f>
        <v>393</v>
      </c>
      <c r="J422" s="745">
        <f>ROUND('W&amp;W'!J457+'W&amp;W'!J522,-3)/1000</f>
        <v>403</v>
      </c>
      <c r="K422" s="745">
        <f>ROUND('W&amp;W'!K457+'W&amp;W'!K522,-3)/1000</f>
        <v>413</v>
      </c>
      <c r="L422" s="745">
        <f>ROUND('W&amp;W'!L457+'W&amp;W'!L522,-3)/1000</f>
        <v>424</v>
      </c>
      <c r="M422" s="745">
        <f>ROUND('W&amp;W'!M457+'W&amp;W'!M522,-3)/1000</f>
        <v>432</v>
      </c>
      <c r="N422" s="745">
        <f>ROUND('W&amp;W'!N457+'W&amp;W'!N522,-3)/1000</f>
        <v>441</v>
      </c>
      <c r="O422" s="745">
        <f>ROUND('W&amp;W'!O457+'W&amp;W'!O522,-3)/1000</f>
        <v>450</v>
      </c>
      <c r="P422" s="745">
        <f>ROUND('W&amp;W'!P457+'W&amp;W'!P522,-3)/1000</f>
        <v>459</v>
      </c>
    </row>
    <row r="423" spans="1:16" x14ac:dyDescent="0.2">
      <c r="C423" s="779" t="s">
        <v>2977</v>
      </c>
      <c r="D423" s="745">
        <f>ROUND(SUM('W&amp;W'!A467:A473),-3)/1000</f>
        <v>1469</v>
      </c>
      <c r="E423" s="745">
        <f>ROUND(SUM('W&amp;W'!B467:B473),-3)/1000</f>
        <v>1418</v>
      </c>
      <c r="F423" s="745">
        <f>ROUND(SUM('W&amp;W'!C467:C473),-3)/1000</f>
        <v>1435</v>
      </c>
      <c r="G423" s="745">
        <f>ROUND(SUM('W&amp;W'!D467:D473),-3)/1000</f>
        <v>1318</v>
      </c>
      <c r="H423" s="745">
        <f>ROUND(SUM('W&amp;W'!G467:G473),-3)/1000</f>
        <v>1546</v>
      </c>
      <c r="I423" s="745">
        <f>ROUND(SUM('W&amp;W'!I467:I473),-3)/1000</f>
        <v>1569</v>
      </c>
      <c r="J423" s="745">
        <f>ROUND(SUM('W&amp;W'!J467:J473),-3)/1000</f>
        <v>1609</v>
      </c>
      <c r="K423" s="745">
        <f>ROUND(SUM('W&amp;W'!K467:K473),-3)/1000</f>
        <v>1649</v>
      </c>
      <c r="L423" s="745">
        <f>ROUND(SUM('W&amp;W'!L467:L473),-3)/1000</f>
        <v>1691</v>
      </c>
      <c r="M423" s="745">
        <f>ROUND(SUM('W&amp;W'!M467:M473),-3)/1000</f>
        <v>1725</v>
      </c>
      <c r="N423" s="745">
        <f>ROUND(SUM('W&amp;W'!N467:N473),-3)/1000</f>
        <v>1759</v>
      </c>
      <c r="O423" s="745">
        <f>ROUND(SUM('W&amp;W'!O467:O473),-3)/1000</f>
        <v>1795</v>
      </c>
      <c r="P423" s="745">
        <f>ROUND(SUM('W&amp;W'!P467:P473),-3)/1000</f>
        <v>1831</v>
      </c>
    </row>
    <row r="424" spans="1:16" x14ac:dyDescent="0.2">
      <c r="A424" s="4"/>
      <c r="B424" s="4"/>
      <c r="C424" s="4" t="s">
        <v>2998</v>
      </c>
      <c r="D424" s="1094">
        <f>SUM(D421:D423)</f>
        <v>3967</v>
      </c>
      <c r="E424" s="1094">
        <f t="shared" ref="E424:O424" si="49">SUM(E421:E423)</f>
        <v>4370</v>
      </c>
      <c r="F424" s="1094">
        <f t="shared" si="49"/>
        <v>4616</v>
      </c>
      <c r="G424" s="1094">
        <f t="shared" si="49"/>
        <v>3884</v>
      </c>
      <c r="H424" s="1094">
        <f t="shared" si="49"/>
        <v>3784</v>
      </c>
      <c r="I424" s="1094">
        <f t="shared" si="49"/>
        <v>3841</v>
      </c>
      <c r="J424" s="1094">
        <f t="shared" si="49"/>
        <v>3939</v>
      </c>
      <c r="K424" s="1094">
        <f t="shared" si="49"/>
        <v>4039</v>
      </c>
      <c r="L424" s="1094">
        <f t="shared" si="49"/>
        <v>4142</v>
      </c>
      <c r="M424" s="1094">
        <f t="shared" si="49"/>
        <v>4225</v>
      </c>
      <c r="N424" s="1094">
        <f t="shared" si="49"/>
        <v>4310</v>
      </c>
      <c r="O424" s="1094">
        <f t="shared" si="49"/>
        <v>4398</v>
      </c>
      <c r="P424" s="1094">
        <f t="shared" ref="P424" si="50">SUM(P421:P423)</f>
        <v>4487</v>
      </c>
    </row>
    <row r="426" spans="1:16" x14ac:dyDescent="0.2">
      <c r="A426" s="779" t="s">
        <v>2957</v>
      </c>
      <c r="B426" s="779"/>
    </row>
    <row r="427" spans="1:16" x14ac:dyDescent="0.2">
      <c r="C427" s="779" t="s">
        <v>2970</v>
      </c>
      <c r="D427" s="745">
        <v>7657</v>
      </c>
      <c r="E427" s="745" t="e">
        <f>ROUND(SUM('Cap-WW'!#REF!)/100*40+SUM('Cap-WW'!#REF!)/100*64,-3)/1000</f>
        <v>#REF!</v>
      </c>
      <c r="F427" s="745" t="e">
        <f>ROUND(SUM('Cap-WW'!#REF!)/100*40+SUM('Cap-WW'!#REF!)/100*64,-3)/1000</f>
        <v>#REF!</v>
      </c>
      <c r="G427" s="745">
        <f>ROUND(SUM('Cap-WW'!F28:F40)/100*40+SUM('Cap-WW'!F99:F99)/100*64,-3)/1000</f>
        <v>188</v>
      </c>
      <c r="H427" s="745">
        <f>ROUND(SUM('Cap-WW'!G28:G40)/100*40+SUM('Cap-WW'!G99:G99)/100*64,-3)/1000</f>
        <v>349</v>
      </c>
      <c r="I427" s="745">
        <f>ROUND(SUM('Cap-WW'!H28:H40)/100*40+SUM('Cap-WW'!H99:H99)/100*64,-3)/1000</f>
        <v>20</v>
      </c>
      <c r="J427" s="745">
        <f>ROUND(SUM('Cap-WW'!I28:I40)/100*40+SUM('Cap-WW'!I99:I99)/100*64,-3)/1000</f>
        <v>400</v>
      </c>
      <c r="K427" s="745">
        <f>ROUND(SUM('Cap-WW'!J28:J40)/100*40+SUM('Cap-WW'!J99:J99)/100*64,-3)/1000</f>
        <v>200</v>
      </c>
      <c r="L427" s="745">
        <f>ROUND(SUM('Cap-WW'!K28:K40)/100*40+SUM('Cap-WW'!K99:K99)/100*64,-3)/1000</f>
        <v>200</v>
      </c>
      <c r="M427" s="745">
        <f>ROUND(SUM('Cap-WW'!L28:L40)/100*40+SUM('Cap-WW'!L99:L99)/100*64,-3)/1000</f>
        <v>200</v>
      </c>
      <c r="N427" s="745">
        <f>ROUND(SUM('Cap-WW'!M28:M40)/100*40+SUM('Cap-WW'!M99:M99)/100*64,-3)/1000</f>
        <v>0</v>
      </c>
      <c r="O427" s="745">
        <f>ROUND(SUM('Cap-WW'!N28:N40)/100*40+SUM('Cap-WW'!N99:N99)/100*64,-3)/1000</f>
        <v>0</v>
      </c>
      <c r="P427" s="745" t="e">
        <f>ROUND(SUM('Cap-WW'!#REF!)/100*40+SUM('Cap-WW'!#REF!)/100*64,-3)/1000</f>
        <v>#REF!</v>
      </c>
    </row>
    <row r="428" spans="1:16" x14ac:dyDescent="0.2">
      <c r="C428" s="779" t="s">
        <v>2971</v>
      </c>
      <c r="D428" s="745">
        <v>1371</v>
      </c>
      <c r="E428" s="745" t="e">
        <f>ROUND(SUM('Cap-WW'!#REF!)+SUM('Cap-WW'!#REF!),-3)/1000</f>
        <v>#REF!</v>
      </c>
      <c r="F428" s="745" t="e">
        <f>ROUND(SUM('Cap-WW'!#REF!)+SUM('Cap-WW'!#REF!),-3)/1000</f>
        <v>#REF!</v>
      </c>
      <c r="G428" s="745">
        <f>ROUND(SUM('Cap-WW'!F56:F56)+SUM('Cap-WW'!F80:F83),-3)/1000</f>
        <v>114</v>
      </c>
      <c r="H428" s="745">
        <f>ROUND(SUM('Cap-WW'!G56:G56)+SUM('Cap-WW'!G80:G83),-3)/1000</f>
        <v>210</v>
      </c>
      <c r="I428" s="745">
        <f>ROUND(SUM('Cap-WW'!H56:H56)+SUM('Cap-WW'!H80:H83),-3)/1000</f>
        <v>200</v>
      </c>
      <c r="J428" s="745">
        <f>ROUND(SUM('Cap-WW'!I56:I56)+SUM('Cap-WW'!I80:I83),-3)/1000</f>
        <v>521</v>
      </c>
      <c r="K428" s="745">
        <f>ROUND(SUM('Cap-WW'!J56:J56)+SUM('Cap-WW'!J80:J83),-3)/1000</f>
        <v>475</v>
      </c>
      <c r="L428" s="745">
        <f>ROUND(SUM('Cap-WW'!K56:K56)+SUM('Cap-WW'!K80:K83),-3)/1000</f>
        <v>489</v>
      </c>
      <c r="M428" s="745">
        <f>ROUND(SUM('Cap-WW'!L56:L56)+SUM('Cap-WW'!L80:L83),-3)/1000</f>
        <v>504</v>
      </c>
      <c r="N428" s="745">
        <f>ROUND(SUM('Cap-WW'!M56:M56)+SUM('Cap-WW'!M80:M83),-3)/1000</f>
        <v>519</v>
      </c>
      <c r="O428" s="745">
        <f>ROUND(SUM('Cap-WW'!N56:N56)+SUM('Cap-WW'!N80:N83),-3)/1000</f>
        <v>535</v>
      </c>
      <c r="P428" s="745" t="e">
        <f>ROUND(SUM('Cap-WW'!#REF!)+SUM('Cap-WW'!#REF!),-3)/1000</f>
        <v>#REF!</v>
      </c>
    </row>
    <row r="429" spans="1:16" x14ac:dyDescent="0.2">
      <c r="C429" s="779" t="s">
        <v>2977</v>
      </c>
      <c r="D429" s="745">
        <v>205</v>
      </c>
      <c r="E429" s="745" t="e">
        <f>ROUND(SUM('Cap-WW'!#REF!)+SUM('Cap-WW'!#REF!),-3)/1000</f>
        <v>#REF!</v>
      </c>
      <c r="F429" s="745" t="e">
        <f>ROUND(SUM('Cap-WW'!#REF!)+SUM('Cap-WW'!#REF!),-3)/1000</f>
        <v>#REF!</v>
      </c>
      <c r="G429" s="745" t="e">
        <f>ROUND(SUM('Cap-WW'!F5:F17)+SUM('Cap-WW'!#REF!),-3)/1000</f>
        <v>#REF!</v>
      </c>
      <c r="H429" s="745" t="e">
        <f>ROUND(SUM('Cap-WW'!G5:G17)+SUM('Cap-WW'!#REF!),-3)/1000</f>
        <v>#REF!</v>
      </c>
      <c r="I429" s="745" t="e">
        <f>ROUND(SUM('Cap-WW'!H5:H17)+SUM('Cap-WW'!#REF!),-3)/1000</f>
        <v>#REF!</v>
      </c>
      <c r="J429" s="745" t="e">
        <f>ROUND(SUM('Cap-WW'!I5:I17)+SUM('Cap-WW'!#REF!),-3)/1000</f>
        <v>#REF!</v>
      </c>
      <c r="K429" s="745" t="e">
        <f>ROUND(SUM('Cap-WW'!J5:J17)+SUM('Cap-WW'!#REF!),-3)/1000</f>
        <v>#REF!</v>
      </c>
      <c r="L429" s="745" t="e">
        <f>ROUND(SUM('Cap-WW'!K5:K17)+SUM('Cap-WW'!#REF!),-3)/1000</f>
        <v>#REF!</v>
      </c>
      <c r="M429" s="745" t="e">
        <f>ROUND(SUM('Cap-WW'!L5:L17)+SUM('Cap-WW'!#REF!),-3)/1000</f>
        <v>#REF!</v>
      </c>
      <c r="N429" s="745" t="e">
        <f>ROUND(SUM('Cap-WW'!M5:M17)+SUM('Cap-WW'!#REF!),-3)/1000</f>
        <v>#REF!</v>
      </c>
      <c r="O429" s="745" t="e">
        <f>ROUND(SUM('Cap-WW'!N5:N17)+SUM('Cap-WW'!#REF!),-3)/1000</f>
        <v>#REF!</v>
      </c>
      <c r="P429" s="745" t="e">
        <f>ROUND(SUM('Cap-WW'!#REF!)+SUM('Cap-WW'!#REF!),-3)/1000</f>
        <v>#REF!</v>
      </c>
    </row>
    <row r="430" spans="1:16" x14ac:dyDescent="0.2">
      <c r="C430" s="4" t="s">
        <v>2999</v>
      </c>
      <c r="D430" s="1094">
        <f>SUM(D427:D429)</f>
        <v>9233</v>
      </c>
      <c r="E430" s="1094" t="e">
        <f t="shared" ref="E430:O430" si="51">SUM(E427:E429)</f>
        <v>#REF!</v>
      </c>
      <c r="F430" s="1094" t="e">
        <f t="shared" si="51"/>
        <v>#REF!</v>
      </c>
      <c r="G430" s="1094" t="e">
        <f t="shared" si="51"/>
        <v>#REF!</v>
      </c>
      <c r="H430" s="1094" t="e">
        <f t="shared" si="51"/>
        <v>#REF!</v>
      </c>
      <c r="I430" s="1094" t="e">
        <f t="shared" si="51"/>
        <v>#REF!</v>
      </c>
      <c r="J430" s="1094" t="e">
        <f t="shared" si="51"/>
        <v>#REF!</v>
      </c>
      <c r="K430" s="1094" t="e">
        <f t="shared" si="51"/>
        <v>#REF!</v>
      </c>
      <c r="L430" s="1094" t="e">
        <f t="shared" si="51"/>
        <v>#REF!</v>
      </c>
      <c r="M430" s="1094" t="e">
        <f t="shared" si="51"/>
        <v>#REF!</v>
      </c>
      <c r="N430" s="1094" t="e">
        <f t="shared" si="51"/>
        <v>#REF!</v>
      </c>
      <c r="O430" s="1094" t="e">
        <f t="shared" si="51"/>
        <v>#REF!</v>
      </c>
      <c r="P430" s="1094" t="e">
        <f t="shared" ref="P430" si="52">SUM(P427:P429)</f>
        <v>#REF!</v>
      </c>
    </row>
    <row r="431" spans="1:16" x14ac:dyDescent="0.2">
      <c r="C431" s="4" t="s">
        <v>3000</v>
      </c>
      <c r="D431" s="1094">
        <f>D424+D430</f>
        <v>13200</v>
      </c>
      <c r="E431" s="1094" t="e">
        <f t="shared" ref="E431:O431" si="53">E424+E430</f>
        <v>#REF!</v>
      </c>
      <c r="F431" s="1094" t="e">
        <f t="shared" si="53"/>
        <v>#REF!</v>
      </c>
      <c r="G431" s="1094" t="e">
        <f t="shared" si="53"/>
        <v>#REF!</v>
      </c>
      <c r="H431" s="1094" t="e">
        <f t="shared" si="53"/>
        <v>#REF!</v>
      </c>
      <c r="I431" s="1094" t="e">
        <f t="shared" si="53"/>
        <v>#REF!</v>
      </c>
      <c r="J431" s="1094" t="e">
        <f t="shared" si="53"/>
        <v>#REF!</v>
      </c>
      <c r="K431" s="1094" t="e">
        <f t="shared" si="53"/>
        <v>#REF!</v>
      </c>
      <c r="L431" s="1094" t="e">
        <f t="shared" si="53"/>
        <v>#REF!</v>
      </c>
      <c r="M431" s="1094" t="e">
        <f t="shared" si="53"/>
        <v>#REF!</v>
      </c>
      <c r="N431" s="1094" t="e">
        <f t="shared" si="53"/>
        <v>#REF!</v>
      </c>
      <c r="O431" s="1094" t="e">
        <f t="shared" si="53"/>
        <v>#REF!</v>
      </c>
      <c r="P431" s="1094" t="e">
        <f t="shared" ref="P431" si="54">P424+P430</f>
        <v>#REF!</v>
      </c>
    </row>
    <row r="432" spans="1:16" x14ac:dyDescent="0.2">
      <c r="C432" s="4" t="s">
        <v>2981</v>
      </c>
      <c r="D432" s="1093">
        <f>D431-D417</f>
        <v>570.22106233841259</v>
      </c>
      <c r="E432" s="1093" t="e">
        <f t="shared" ref="E432:G432" si="55">E431-E417</f>
        <v>#REF!</v>
      </c>
      <c r="F432" s="1093" t="e">
        <f t="shared" si="55"/>
        <v>#REF!</v>
      </c>
      <c r="G432" s="1093" t="e">
        <f t="shared" si="55"/>
        <v>#REF!</v>
      </c>
      <c r="H432" s="1093" t="e">
        <f t="shared" ref="H432:O432" si="56">H431-H417</f>
        <v>#REF!</v>
      </c>
      <c r="I432" s="1093" t="e">
        <f t="shared" si="56"/>
        <v>#REF!</v>
      </c>
      <c r="J432" s="1093" t="e">
        <f t="shared" si="56"/>
        <v>#REF!</v>
      </c>
      <c r="K432" s="1093" t="e">
        <f t="shared" si="56"/>
        <v>#REF!</v>
      </c>
      <c r="L432" s="1093" t="e">
        <f t="shared" si="56"/>
        <v>#REF!</v>
      </c>
      <c r="M432" s="1093" t="e">
        <f t="shared" si="56"/>
        <v>#REF!</v>
      </c>
      <c r="N432" s="1093" t="e">
        <f t="shared" si="56"/>
        <v>#REF!</v>
      </c>
      <c r="O432" s="1093" t="e">
        <f t="shared" si="56"/>
        <v>#REF!</v>
      </c>
      <c r="P432" s="1093" t="e">
        <f t="shared" ref="P432" si="57">P431-P417</f>
        <v>#REF!</v>
      </c>
    </row>
    <row r="433" spans="3:16" x14ac:dyDescent="0.2">
      <c r="C433" s="4" t="s">
        <v>2982</v>
      </c>
      <c r="D433" s="1093">
        <f>D432</f>
        <v>570.22106233841259</v>
      </c>
      <c r="E433" s="1093" t="e">
        <f>D433+E432</f>
        <v>#REF!</v>
      </c>
      <c r="F433" s="1093" t="e">
        <f t="shared" ref="F433:P433" si="58">E433+F432</f>
        <v>#REF!</v>
      </c>
      <c r="G433" s="1093" t="e">
        <f t="shared" si="58"/>
        <v>#REF!</v>
      </c>
      <c r="H433" s="1093" t="e">
        <f t="shared" si="58"/>
        <v>#REF!</v>
      </c>
      <c r="I433" s="1093" t="e">
        <f t="shared" si="58"/>
        <v>#REF!</v>
      </c>
      <c r="J433" s="1093" t="e">
        <f t="shared" si="58"/>
        <v>#REF!</v>
      </c>
      <c r="K433" s="1093" t="e">
        <f t="shared" si="58"/>
        <v>#REF!</v>
      </c>
      <c r="L433" s="1093" t="e">
        <f t="shared" si="58"/>
        <v>#REF!</v>
      </c>
      <c r="M433" s="1093" t="e">
        <f t="shared" si="58"/>
        <v>#REF!</v>
      </c>
      <c r="N433" s="1093" t="e">
        <f t="shared" si="58"/>
        <v>#REF!</v>
      </c>
      <c r="O433" s="1093" t="e">
        <f t="shared" si="58"/>
        <v>#REF!</v>
      </c>
      <c r="P433" s="1093" t="e">
        <f t="shared" si="58"/>
        <v>#REF!</v>
      </c>
    </row>
    <row r="435" spans="3:16" x14ac:dyDescent="0.2">
      <c r="D435" s="745"/>
      <c r="E435" s="745"/>
      <c r="F435" s="745"/>
      <c r="G435" s="745"/>
      <c r="H435" s="745"/>
      <c r="I435" s="745"/>
      <c r="J435" s="745"/>
      <c r="K435" s="745"/>
      <c r="L435" s="745"/>
      <c r="M435" s="745"/>
      <c r="N435" s="745"/>
      <c r="O435" s="745"/>
      <c r="P435" s="745"/>
    </row>
    <row r="436" spans="3:16" x14ac:dyDescent="0.2">
      <c r="D436" s="745"/>
      <c r="E436" s="745"/>
      <c r="F436" s="745"/>
      <c r="G436" s="745"/>
      <c r="H436" s="745"/>
      <c r="I436" s="745"/>
      <c r="J436" s="745"/>
      <c r="K436" s="745"/>
      <c r="L436" s="745"/>
      <c r="M436" s="745"/>
      <c r="N436" s="745"/>
      <c r="O436" s="745"/>
      <c r="P436" s="745"/>
    </row>
    <row r="437" spans="3:16" x14ac:dyDescent="0.2">
      <c r="D437" s="745"/>
      <c r="E437" s="745"/>
      <c r="F437" s="745"/>
      <c r="G437" s="745"/>
      <c r="H437" s="745"/>
      <c r="I437" s="745"/>
      <c r="J437" s="745"/>
      <c r="K437" s="745"/>
      <c r="L437" s="745"/>
      <c r="M437" s="745"/>
      <c r="N437" s="745"/>
      <c r="O437" s="745"/>
      <c r="P437" s="745"/>
    </row>
    <row r="438" spans="3:16" x14ac:dyDescent="0.2">
      <c r="D438" s="745"/>
      <c r="E438" s="745"/>
      <c r="F438" s="745"/>
      <c r="G438" s="745"/>
      <c r="H438" s="745"/>
      <c r="I438" s="745"/>
      <c r="J438" s="745"/>
      <c r="K438" s="745"/>
      <c r="L438" s="745"/>
      <c r="M438" s="745"/>
      <c r="N438" s="745"/>
      <c r="O438" s="745"/>
      <c r="P438" s="745"/>
    </row>
    <row r="439" spans="3:16" x14ac:dyDescent="0.2">
      <c r="D439" s="745"/>
      <c r="E439" s="745"/>
      <c r="F439" s="745"/>
      <c r="G439" s="745"/>
      <c r="H439" s="745"/>
      <c r="I439" s="745"/>
      <c r="J439" s="745"/>
      <c r="K439" s="745"/>
      <c r="L439" s="745"/>
      <c r="M439" s="745"/>
      <c r="N439" s="745"/>
      <c r="O439" s="745"/>
      <c r="P439" s="745"/>
    </row>
    <row r="440" spans="3:16" x14ac:dyDescent="0.2">
      <c r="D440" s="745"/>
      <c r="E440" s="745"/>
      <c r="F440" s="745"/>
      <c r="G440" s="745"/>
      <c r="H440" s="745"/>
      <c r="I440" s="745"/>
      <c r="J440" s="745"/>
      <c r="K440" s="745"/>
      <c r="L440" s="745"/>
      <c r="M440" s="745"/>
      <c r="N440" s="745"/>
      <c r="O440" s="745"/>
      <c r="P440" s="745"/>
    </row>
    <row r="441" spans="3:16" x14ac:dyDescent="0.2">
      <c r="D441" s="745"/>
      <c r="E441" s="745"/>
      <c r="F441" s="745"/>
      <c r="G441" s="745"/>
      <c r="H441" s="745"/>
      <c r="I441" s="745"/>
      <c r="J441" s="745"/>
      <c r="K441" s="745"/>
      <c r="L441" s="745"/>
      <c r="M441" s="745"/>
      <c r="N441" s="745"/>
      <c r="O441" s="745"/>
      <c r="P441" s="745"/>
    </row>
    <row r="442" spans="3:16" x14ac:dyDescent="0.2">
      <c r="D442" s="745"/>
      <c r="E442" s="745"/>
      <c r="F442" s="745"/>
      <c r="G442" s="745"/>
      <c r="H442" s="745"/>
      <c r="I442" s="745"/>
      <c r="J442" s="745"/>
      <c r="K442" s="745"/>
      <c r="L442" s="745"/>
      <c r="M442" s="745"/>
      <c r="N442" s="745"/>
      <c r="O442" s="745"/>
      <c r="P442" s="745"/>
    </row>
    <row r="443" spans="3:16" x14ac:dyDescent="0.2">
      <c r="D443" s="745"/>
      <c r="E443" s="745"/>
      <c r="F443" s="745"/>
      <c r="G443" s="745"/>
      <c r="H443" s="745"/>
      <c r="I443" s="745"/>
      <c r="J443" s="745"/>
      <c r="K443" s="745"/>
      <c r="L443" s="745"/>
      <c r="M443" s="745"/>
      <c r="N443" s="745"/>
      <c r="O443" s="745"/>
      <c r="P443" s="745"/>
    </row>
    <row r="444" spans="3:16" x14ac:dyDescent="0.2">
      <c r="D444" s="745"/>
      <c r="E444" s="745"/>
      <c r="F444" s="745"/>
      <c r="G444" s="745"/>
      <c r="H444" s="745"/>
      <c r="I444" s="745"/>
      <c r="J444" s="745"/>
      <c r="K444" s="745"/>
      <c r="L444" s="745"/>
      <c r="M444" s="745"/>
      <c r="N444" s="745"/>
      <c r="O444" s="745"/>
      <c r="P444" s="745"/>
    </row>
    <row r="445" spans="3:16" x14ac:dyDescent="0.2">
      <c r="D445" s="745"/>
      <c r="E445" s="745"/>
      <c r="F445" s="745"/>
      <c r="G445" s="745"/>
      <c r="H445" s="745"/>
      <c r="I445" s="745"/>
      <c r="J445" s="745"/>
      <c r="K445" s="745"/>
      <c r="L445" s="745"/>
      <c r="M445" s="745"/>
      <c r="N445" s="745"/>
      <c r="O445" s="745"/>
      <c r="P445" s="745"/>
    </row>
    <row r="446" spans="3:16" x14ac:dyDescent="0.2">
      <c r="D446" s="745"/>
      <c r="E446" s="745"/>
      <c r="F446" s="745"/>
      <c r="G446" s="745"/>
      <c r="H446" s="745"/>
      <c r="I446" s="745"/>
      <c r="J446" s="745"/>
      <c r="K446" s="745"/>
      <c r="L446" s="745"/>
      <c r="M446" s="745"/>
      <c r="N446" s="745"/>
      <c r="O446" s="745"/>
      <c r="P446" s="745"/>
    </row>
    <row r="447" spans="3:16" x14ac:dyDescent="0.2">
      <c r="D447" s="745"/>
      <c r="E447" s="745"/>
      <c r="F447" s="745"/>
      <c r="G447" s="745"/>
      <c r="H447" s="745"/>
      <c r="I447" s="745"/>
      <c r="J447" s="745"/>
      <c r="K447" s="745"/>
      <c r="L447" s="745"/>
      <c r="M447" s="745"/>
      <c r="N447" s="745"/>
      <c r="O447" s="745"/>
      <c r="P447" s="745"/>
    </row>
    <row r="448" spans="3:16" x14ac:dyDescent="0.2">
      <c r="D448" s="745"/>
      <c r="E448" s="745"/>
      <c r="F448" s="745"/>
      <c r="G448" s="745"/>
      <c r="H448" s="745"/>
      <c r="I448" s="745"/>
      <c r="J448" s="745"/>
      <c r="K448" s="745"/>
      <c r="L448" s="745"/>
      <c r="M448" s="745"/>
      <c r="N448" s="745"/>
      <c r="O448" s="745"/>
      <c r="P448" s="745"/>
    </row>
    <row r="449" spans="4:16" x14ac:dyDescent="0.2">
      <c r="D449" s="745"/>
      <c r="E449" s="745"/>
      <c r="F449" s="745"/>
      <c r="G449" s="745"/>
      <c r="H449" s="745"/>
      <c r="I449" s="745"/>
      <c r="J449" s="745"/>
      <c r="K449" s="745"/>
      <c r="L449" s="745"/>
      <c r="M449" s="745"/>
      <c r="N449" s="745"/>
      <c r="O449" s="745"/>
      <c r="P449" s="745"/>
    </row>
    <row r="450" spans="4:16" x14ac:dyDescent="0.2">
      <c r="D450" s="745"/>
      <c r="E450" s="745"/>
      <c r="F450" s="745"/>
      <c r="G450" s="745"/>
      <c r="H450" s="745"/>
      <c r="I450" s="745"/>
      <c r="J450" s="745"/>
      <c r="K450" s="745"/>
      <c r="L450" s="745"/>
      <c r="M450" s="745"/>
      <c r="N450" s="745"/>
      <c r="O450" s="745"/>
      <c r="P450" s="745"/>
    </row>
    <row r="451" spans="4:16" x14ac:dyDescent="0.2">
      <c r="D451" s="745"/>
      <c r="E451" s="745"/>
      <c r="F451" s="745"/>
      <c r="G451" s="745"/>
      <c r="H451" s="745"/>
      <c r="I451" s="745"/>
      <c r="J451" s="745"/>
      <c r="K451" s="745"/>
      <c r="L451" s="745"/>
      <c r="M451" s="745"/>
      <c r="N451" s="745"/>
      <c r="O451" s="745"/>
      <c r="P451" s="745"/>
    </row>
    <row r="452" spans="4:16" x14ac:dyDescent="0.2">
      <c r="D452" s="745"/>
      <c r="E452" s="745"/>
      <c r="F452" s="745"/>
      <c r="G452" s="745"/>
      <c r="H452" s="745"/>
      <c r="I452" s="745"/>
      <c r="J452" s="745"/>
      <c r="K452" s="745"/>
      <c r="L452" s="745"/>
      <c r="M452" s="745"/>
      <c r="N452" s="745"/>
      <c r="O452" s="745"/>
      <c r="P452" s="745"/>
    </row>
    <row r="453" spans="4:16" x14ac:dyDescent="0.2">
      <c r="D453" s="745"/>
      <c r="E453" s="745"/>
      <c r="F453" s="745"/>
      <c r="G453" s="745"/>
      <c r="H453" s="745"/>
      <c r="I453" s="745"/>
      <c r="J453" s="745"/>
      <c r="K453" s="745"/>
      <c r="L453" s="745"/>
      <c r="M453" s="745"/>
      <c r="N453" s="745"/>
      <c r="O453" s="745"/>
      <c r="P453" s="745"/>
    </row>
    <row r="454" spans="4:16" x14ac:dyDescent="0.2">
      <c r="D454" s="745"/>
      <c r="E454" s="745"/>
      <c r="F454" s="745"/>
      <c r="G454" s="745"/>
      <c r="H454" s="745"/>
      <c r="I454" s="745"/>
      <c r="J454" s="745"/>
      <c r="K454" s="745"/>
      <c r="L454" s="745"/>
      <c r="M454" s="745"/>
      <c r="N454" s="745"/>
      <c r="O454" s="745"/>
      <c r="P454" s="745"/>
    </row>
    <row r="455" spans="4:16" x14ac:dyDescent="0.2">
      <c r="D455" s="745"/>
      <c r="E455" s="745"/>
      <c r="F455" s="745"/>
      <c r="G455" s="745"/>
      <c r="H455" s="745"/>
      <c r="I455" s="745"/>
      <c r="J455" s="745"/>
      <c r="K455" s="745"/>
      <c r="L455" s="745"/>
      <c r="M455" s="745"/>
      <c r="N455" s="745"/>
      <c r="O455" s="745"/>
      <c r="P455" s="745"/>
    </row>
    <row r="456" spans="4:16" x14ac:dyDescent="0.2">
      <c r="D456" s="745"/>
      <c r="E456" s="745"/>
      <c r="F456" s="745"/>
      <c r="G456" s="745"/>
      <c r="H456" s="745"/>
      <c r="I456" s="745"/>
      <c r="J456" s="745"/>
      <c r="K456" s="745"/>
      <c r="L456" s="745"/>
      <c r="M456" s="745"/>
      <c r="N456" s="745"/>
      <c r="O456" s="745"/>
      <c r="P456" s="745"/>
    </row>
    <row r="457" spans="4:16" x14ac:dyDescent="0.2">
      <c r="D457" s="745"/>
      <c r="E457" s="745"/>
      <c r="F457" s="745"/>
      <c r="G457" s="745"/>
      <c r="H457" s="745"/>
      <c r="I457" s="745"/>
      <c r="J457" s="745"/>
      <c r="K457" s="745"/>
      <c r="L457" s="745"/>
      <c r="M457" s="745"/>
      <c r="N457" s="745"/>
      <c r="O457" s="745"/>
      <c r="P457" s="745"/>
    </row>
    <row r="458" spans="4:16" x14ac:dyDescent="0.2">
      <c r="D458" s="745"/>
      <c r="E458" s="745"/>
      <c r="F458" s="745"/>
      <c r="G458" s="745"/>
      <c r="H458" s="745"/>
      <c r="I458" s="745"/>
      <c r="J458" s="745"/>
      <c r="K458" s="745"/>
      <c r="L458" s="745"/>
      <c r="M458" s="745"/>
      <c r="N458" s="745"/>
      <c r="O458" s="745"/>
      <c r="P458" s="745"/>
    </row>
    <row r="459" spans="4:16" x14ac:dyDescent="0.2">
      <c r="D459" s="745"/>
      <c r="E459" s="745"/>
      <c r="F459" s="745"/>
      <c r="G459" s="745"/>
      <c r="H459" s="745"/>
      <c r="I459" s="745"/>
      <c r="J459" s="745"/>
      <c r="K459" s="745"/>
      <c r="L459" s="745"/>
      <c r="M459" s="745"/>
      <c r="N459" s="745"/>
      <c r="O459" s="745"/>
      <c r="P459" s="745"/>
    </row>
    <row r="460" spans="4:16" x14ac:dyDescent="0.2">
      <c r="D460" s="745"/>
      <c r="E460" s="745"/>
      <c r="F460" s="745"/>
      <c r="G460" s="745"/>
      <c r="H460" s="745"/>
      <c r="I460" s="745"/>
      <c r="J460" s="745"/>
      <c r="K460" s="745"/>
      <c r="L460" s="745"/>
      <c r="M460" s="745"/>
      <c r="N460" s="745"/>
      <c r="O460" s="745"/>
      <c r="P460" s="745"/>
    </row>
    <row r="461" spans="4:16" x14ac:dyDescent="0.2">
      <c r="D461" s="745"/>
      <c r="E461" s="745"/>
      <c r="F461" s="745"/>
      <c r="G461" s="745"/>
      <c r="H461" s="745"/>
      <c r="I461" s="745"/>
      <c r="J461" s="745"/>
      <c r="K461" s="745"/>
      <c r="L461" s="745"/>
      <c r="M461" s="745"/>
      <c r="N461" s="745"/>
      <c r="O461" s="745"/>
      <c r="P461" s="745"/>
    </row>
    <row r="462" spans="4:16" x14ac:dyDescent="0.2">
      <c r="D462" s="745"/>
      <c r="E462" s="745"/>
      <c r="F462" s="745"/>
      <c r="G462" s="745"/>
      <c r="H462" s="745"/>
      <c r="I462" s="745"/>
      <c r="J462" s="745"/>
      <c r="K462" s="745"/>
      <c r="L462" s="745"/>
      <c r="M462" s="745"/>
      <c r="N462" s="745"/>
      <c r="O462" s="745"/>
      <c r="P462" s="745"/>
    </row>
    <row r="463" spans="4:16" x14ac:dyDescent="0.2">
      <c r="D463" s="745"/>
      <c r="E463" s="745"/>
      <c r="F463" s="745"/>
      <c r="G463" s="745"/>
      <c r="H463" s="745"/>
      <c r="I463" s="745"/>
      <c r="J463" s="745"/>
      <c r="K463" s="745"/>
      <c r="L463" s="745"/>
      <c r="M463" s="745"/>
      <c r="N463" s="745"/>
      <c r="O463" s="745"/>
      <c r="P463" s="745"/>
    </row>
    <row r="464" spans="4:16" x14ac:dyDescent="0.2">
      <c r="D464" s="745"/>
      <c r="E464" s="745"/>
      <c r="F464" s="745"/>
      <c r="G464" s="745"/>
      <c r="H464" s="745"/>
      <c r="I464" s="745"/>
      <c r="J464" s="745"/>
      <c r="K464" s="745"/>
      <c r="L464" s="745"/>
      <c r="M464" s="745"/>
      <c r="N464" s="745"/>
      <c r="O464" s="745"/>
      <c r="P464" s="745"/>
    </row>
    <row r="465" spans="4:16" x14ac:dyDescent="0.2">
      <c r="D465" s="745"/>
      <c r="E465" s="745"/>
      <c r="F465" s="745"/>
      <c r="G465" s="745"/>
      <c r="H465" s="745"/>
      <c r="I465" s="745"/>
      <c r="J465" s="745"/>
      <c r="K465" s="745"/>
      <c r="L465" s="745"/>
      <c r="M465" s="745"/>
      <c r="N465" s="745"/>
      <c r="O465" s="745"/>
      <c r="P465" s="745"/>
    </row>
    <row r="466" spans="4:16" x14ac:dyDescent="0.2">
      <c r="D466" s="745"/>
      <c r="E466" s="745"/>
      <c r="F466" s="745"/>
      <c r="G466" s="745"/>
      <c r="H466" s="745"/>
      <c r="I466" s="745"/>
      <c r="J466" s="745"/>
      <c r="K466" s="745"/>
      <c r="L466" s="745"/>
      <c r="M466" s="745"/>
      <c r="N466" s="745"/>
      <c r="O466" s="745"/>
      <c r="P466" s="745"/>
    </row>
    <row r="467" spans="4:16" x14ac:dyDescent="0.2">
      <c r="D467" s="745"/>
      <c r="E467" s="745"/>
      <c r="F467" s="745"/>
      <c r="G467" s="745"/>
      <c r="H467" s="745"/>
      <c r="I467" s="745"/>
      <c r="J467" s="745"/>
      <c r="K467" s="745"/>
      <c r="L467" s="745"/>
      <c r="M467" s="745"/>
      <c r="N467" s="745"/>
      <c r="O467" s="745"/>
      <c r="P467" s="745"/>
    </row>
    <row r="468" spans="4:16" x14ac:dyDescent="0.2">
      <c r="D468" s="745"/>
      <c r="E468" s="745"/>
      <c r="F468" s="745"/>
      <c r="G468" s="745"/>
      <c r="H468" s="745"/>
      <c r="I468" s="745"/>
      <c r="J468" s="745"/>
      <c r="K468" s="745"/>
      <c r="L468" s="745"/>
      <c r="M468" s="745"/>
      <c r="N468" s="745"/>
      <c r="O468" s="745"/>
      <c r="P468" s="745"/>
    </row>
    <row r="469" spans="4:16" x14ac:dyDescent="0.2">
      <c r="D469" s="745"/>
      <c r="E469" s="745"/>
      <c r="F469" s="745"/>
      <c r="G469" s="745"/>
      <c r="H469" s="745"/>
      <c r="I469" s="745"/>
      <c r="J469" s="745"/>
      <c r="K469" s="745"/>
      <c r="L469" s="745"/>
      <c r="M469" s="745"/>
      <c r="N469" s="745"/>
      <c r="O469" s="745"/>
      <c r="P469" s="745"/>
    </row>
    <row r="470" spans="4:16" x14ac:dyDescent="0.2">
      <c r="D470" s="745"/>
      <c r="E470" s="745"/>
      <c r="F470" s="745"/>
      <c r="G470" s="745"/>
      <c r="H470" s="745"/>
      <c r="I470" s="745"/>
      <c r="J470" s="745"/>
      <c r="K470" s="745"/>
      <c r="L470" s="745"/>
      <c r="M470" s="745"/>
      <c r="N470" s="745"/>
      <c r="O470" s="745"/>
      <c r="P470" s="745"/>
    </row>
    <row r="471" spans="4:16" x14ac:dyDescent="0.2">
      <c r="D471" s="745"/>
      <c r="E471" s="745"/>
      <c r="F471" s="745"/>
      <c r="G471" s="745"/>
      <c r="H471" s="745"/>
      <c r="I471" s="745"/>
      <c r="J471" s="745"/>
      <c r="K471" s="745"/>
      <c r="L471" s="745"/>
      <c r="M471" s="745"/>
      <c r="N471" s="745"/>
      <c r="O471" s="745"/>
      <c r="P471" s="745"/>
    </row>
    <row r="472" spans="4:16" x14ac:dyDescent="0.2">
      <c r="D472" s="745"/>
      <c r="E472" s="745"/>
      <c r="F472" s="745"/>
      <c r="G472" s="745"/>
      <c r="H472" s="745"/>
      <c r="I472" s="745"/>
      <c r="J472" s="745"/>
      <c r="K472" s="745"/>
      <c r="L472" s="745"/>
      <c r="M472" s="745"/>
      <c r="N472" s="745"/>
      <c r="O472" s="745"/>
      <c r="P472" s="745"/>
    </row>
    <row r="473" spans="4:16" x14ac:dyDescent="0.2">
      <c r="D473" s="745"/>
      <c r="E473" s="745"/>
      <c r="F473" s="745"/>
      <c r="G473" s="745"/>
      <c r="H473" s="745"/>
      <c r="I473" s="745"/>
      <c r="J473" s="745"/>
      <c r="K473" s="745"/>
      <c r="L473" s="745"/>
      <c r="M473" s="745"/>
      <c r="N473" s="745"/>
      <c r="O473" s="745"/>
      <c r="P473" s="745"/>
    </row>
    <row r="474" spans="4:16" x14ac:dyDescent="0.2">
      <c r="D474" s="745"/>
      <c r="E474" s="745"/>
      <c r="F474" s="745"/>
      <c r="G474" s="745"/>
      <c r="H474" s="745"/>
      <c r="I474" s="745"/>
      <c r="J474" s="745"/>
      <c r="K474" s="745"/>
      <c r="L474" s="745"/>
      <c r="M474" s="745"/>
      <c r="N474" s="745"/>
      <c r="O474" s="745"/>
      <c r="P474" s="745"/>
    </row>
    <row r="475" spans="4:16" x14ac:dyDescent="0.2">
      <c r="D475" s="745"/>
      <c r="E475" s="745"/>
      <c r="F475" s="745"/>
      <c r="G475" s="745"/>
      <c r="H475" s="745"/>
      <c r="I475" s="745"/>
      <c r="J475" s="745"/>
      <c r="K475" s="745"/>
      <c r="L475" s="745"/>
      <c r="M475" s="745"/>
      <c r="N475" s="745"/>
      <c r="O475" s="745"/>
      <c r="P475" s="745"/>
    </row>
    <row r="476" spans="4:16" x14ac:dyDescent="0.2">
      <c r="D476" s="745"/>
      <c r="E476" s="745"/>
      <c r="F476" s="745"/>
      <c r="G476" s="745"/>
      <c r="H476" s="745"/>
      <c r="I476" s="745"/>
      <c r="J476" s="745"/>
      <c r="K476" s="745"/>
      <c r="L476" s="745"/>
      <c r="M476" s="745"/>
      <c r="N476" s="745"/>
      <c r="O476" s="745"/>
      <c r="P476" s="745"/>
    </row>
    <row r="477" spans="4:16" x14ac:dyDescent="0.2">
      <c r="D477" s="745"/>
      <c r="E477" s="745"/>
      <c r="F477" s="745"/>
      <c r="G477" s="745"/>
      <c r="H477" s="745"/>
      <c r="I477" s="745"/>
      <c r="J477" s="745"/>
      <c r="K477" s="745"/>
      <c r="L477" s="745"/>
      <c r="M477" s="745"/>
      <c r="N477" s="745"/>
      <c r="O477" s="745"/>
      <c r="P477" s="745"/>
    </row>
    <row r="478" spans="4:16" x14ac:dyDescent="0.2">
      <c r="D478" s="745"/>
      <c r="E478" s="745"/>
      <c r="F478" s="745"/>
      <c r="G478" s="745"/>
      <c r="H478" s="745"/>
      <c r="I478" s="745"/>
      <c r="J478" s="745"/>
      <c r="K478" s="745"/>
      <c r="L478" s="745"/>
      <c r="M478" s="745"/>
      <c r="N478" s="745"/>
      <c r="O478" s="745"/>
      <c r="P478" s="745"/>
    </row>
    <row r="479" spans="4:16" x14ac:dyDescent="0.2">
      <c r="D479" s="745"/>
      <c r="E479" s="745"/>
      <c r="F479" s="745"/>
      <c r="G479" s="745"/>
      <c r="H479" s="745"/>
      <c r="I479" s="745"/>
      <c r="J479" s="745"/>
      <c r="K479" s="745"/>
      <c r="L479" s="745"/>
      <c r="M479" s="745"/>
      <c r="N479" s="745"/>
      <c r="O479" s="745"/>
      <c r="P479" s="745"/>
    </row>
    <row r="480" spans="4:16" x14ac:dyDescent="0.2">
      <c r="D480" s="745"/>
      <c r="E480" s="745"/>
      <c r="F480" s="745"/>
      <c r="G480" s="745"/>
      <c r="H480" s="745"/>
      <c r="I480" s="745"/>
      <c r="J480" s="745"/>
      <c r="K480" s="745"/>
      <c r="L480" s="745"/>
      <c r="M480" s="745"/>
      <c r="N480" s="745"/>
      <c r="O480" s="745"/>
      <c r="P480" s="745"/>
    </row>
    <row r="481" spans="4:16" x14ac:dyDescent="0.2">
      <c r="D481" s="745"/>
      <c r="E481" s="745"/>
      <c r="F481" s="745"/>
      <c r="G481" s="745"/>
      <c r="H481" s="745"/>
      <c r="I481" s="745"/>
      <c r="J481" s="745"/>
      <c r="K481" s="745"/>
      <c r="L481" s="745"/>
      <c r="M481" s="745"/>
      <c r="N481" s="745"/>
      <c r="O481" s="745"/>
      <c r="P481" s="745"/>
    </row>
    <row r="482" spans="4:16" x14ac:dyDescent="0.2">
      <c r="D482" s="745"/>
      <c r="E482" s="745"/>
      <c r="F482" s="745"/>
      <c r="G482" s="745"/>
      <c r="H482" s="745"/>
      <c r="I482" s="745"/>
      <c r="J482" s="745"/>
      <c r="K482" s="745"/>
      <c r="L482" s="745"/>
      <c r="M482" s="745"/>
      <c r="N482" s="745"/>
      <c r="O482" s="745"/>
      <c r="P482" s="745"/>
    </row>
    <row r="483" spans="4:16" x14ac:dyDescent="0.2">
      <c r="D483" s="745"/>
      <c r="E483" s="745"/>
      <c r="F483" s="745"/>
      <c r="G483" s="745"/>
      <c r="H483" s="745"/>
      <c r="I483" s="745"/>
      <c r="J483" s="745"/>
      <c r="K483" s="745"/>
      <c r="L483" s="745"/>
      <c r="M483" s="745"/>
      <c r="N483" s="745"/>
      <c r="O483" s="745"/>
      <c r="P483" s="745"/>
    </row>
    <row r="484" spans="4:16" x14ac:dyDescent="0.2">
      <c r="D484" s="745"/>
      <c r="E484" s="745"/>
      <c r="F484" s="745"/>
      <c r="G484" s="745"/>
      <c r="H484" s="745"/>
      <c r="I484" s="745"/>
      <c r="J484" s="745"/>
      <c r="K484" s="745"/>
      <c r="L484" s="745"/>
      <c r="M484" s="745"/>
      <c r="N484" s="745"/>
      <c r="O484" s="745"/>
      <c r="P484" s="745"/>
    </row>
    <row r="485" spans="4:16" x14ac:dyDescent="0.2">
      <c r="D485" s="745"/>
      <c r="E485" s="745"/>
      <c r="F485" s="745"/>
      <c r="G485" s="745"/>
      <c r="H485" s="745"/>
      <c r="I485" s="745"/>
      <c r="J485" s="745"/>
      <c r="K485" s="745"/>
      <c r="L485" s="745"/>
      <c r="M485" s="745"/>
      <c r="N485" s="745"/>
      <c r="O485" s="745"/>
      <c r="P485" s="745"/>
    </row>
    <row r="486" spans="4:16" x14ac:dyDescent="0.2">
      <c r="D486" s="745"/>
      <c r="E486" s="745"/>
      <c r="F486" s="745"/>
      <c r="G486" s="745"/>
      <c r="H486" s="745"/>
      <c r="I486" s="745"/>
      <c r="J486" s="745"/>
      <c r="K486" s="745"/>
      <c r="L486" s="745"/>
      <c r="M486" s="745"/>
      <c r="N486" s="745"/>
      <c r="O486" s="745"/>
      <c r="P486" s="745"/>
    </row>
    <row r="487" spans="4:16" x14ac:dyDescent="0.2">
      <c r="D487" s="745"/>
      <c r="E487" s="745"/>
      <c r="F487" s="745"/>
      <c r="G487" s="745"/>
      <c r="H487" s="745"/>
      <c r="I487" s="745"/>
      <c r="J487" s="745"/>
      <c r="K487" s="745"/>
      <c r="L487" s="745"/>
      <c r="M487" s="745"/>
      <c r="N487" s="745"/>
      <c r="O487" s="745"/>
      <c r="P487" s="745"/>
    </row>
    <row r="488" spans="4:16" x14ac:dyDescent="0.2">
      <c r="D488" s="745"/>
      <c r="E488" s="745"/>
      <c r="F488" s="745"/>
      <c r="G488" s="745"/>
      <c r="H488" s="745"/>
      <c r="I488" s="745"/>
      <c r="J488" s="745"/>
      <c r="K488" s="745"/>
      <c r="L488" s="745"/>
      <c r="M488" s="745"/>
      <c r="N488" s="745"/>
      <c r="O488" s="745"/>
      <c r="P488" s="745"/>
    </row>
    <row r="489" spans="4:16" x14ac:dyDescent="0.2">
      <c r="D489" s="745"/>
      <c r="E489" s="745"/>
      <c r="F489" s="745"/>
      <c r="G489" s="745"/>
      <c r="H489" s="745"/>
      <c r="I489" s="745"/>
      <c r="J489" s="745"/>
      <c r="K489" s="745"/>
      <c r="L489" s="745"/>
      <c r="M489" s="745"/>
      <c r="N489" s="745"/>
      <c r="O489" s="745"/>
      <c r="P489" s="745"/>
    </row>
    <row r="490" spans="4:16" x14ac:dyDescent="0.2">
      <c r="D490" s="745"/>
      <c r="E490" s="745"/>
      <c r="F490" s="745"/>
      <c r="G490" s="745"/>
      <c r="H490" s="745"/>
      <c r="I490" s="745"/>
      <c r="J490" s="745"/>
      <c r="K490" s="745"/>
      <c r="L490" s="745"/>
      <c r="M490" s="745"/>
      <c r="N490" s="745"/>
      <c r="O490" s="745"/>
      <c r="P490" s="745"/>
    </row>
    <row r="491" spans="4:16" x14ac:dyDescent="0.2">
      <c r="D491" s="745"/>
      <c r="E491" s="745"/>
      <c r="F491" s="745"/>
      <c r="G491" s="745"/>
      <c r="H491" s="745"/>
      <c r="I491" s="745"/>
      <c r="J491" s="745"/>
      <c r="K491" s="745"/>
      <c r="L491" s="745"/>
      <c r="M491" s="745"/>
      <c r="N491" s="745"/>
      <c r="O491" s="745"/>
      <c r="P491" s="745"/>
    </row>
    <row r="492" spans="4:16" x14ac:dyDescent="0.2">
      <c r="D492" s="745"/>
      <c r="E492" s="745"/>
      <c r="F492" s="745"/>
      <c r="G492" s="745"/>
      <c r="H492" s="745"/>
      <c r="I492" s="745"/>
      <c r="J492" s="745"/>
      <c r="K492" s="745"/>
      <c r="L492" s="745"/>
      <c r="M492" s="745"/>
      <c r="N492" s="745"/>
      <c r="O492" s="745"/>
      <c r="P492" s="745"/>
    </row>
    <row r="493" spans="4:16" x14ac:dyDescent="0.2">
      <c r="D493" s="745"/>
      <c r="E493" s="745"/>
      <c r="F493" s="745"/>
      <c r="G493" s="745"/>
      <c r="H493" s="745"/>
      <c r="I493" s="745"/>
      <c r="J493" s="745"/>
      <c r="K493" s="745"/>
      <c r="L493" s="745"/>
      <c r="M493" s="745"/>
      <c r="N493" s="745"/>
      <c r="O493" s="745"/>
      <c r="P493" s="745"/>
    </row>
    <row r="494" spans="4:16" x14ac:dyDescent="0.2">
      <c r="D494" s="745"/>
      <c r="E494" s="745"/>
      <c r="F494" s="745"/>
      <c r="G494" s="745"/>
      <c r="H494" s="745"/>
      <c r="I494" s="745"/>
      <c r="J494" s="745"/>
      <c r="K494" s="745"/>
      <c r="L494" s="745"/>
      <c r="M494" s="745"/>
      <c r="N494" s="745"/>
      <c r="O494" s="745"/>
      <c r="P494" s="745"/>
    </row>
    <row r="495" spans="4:16" x14ac:dyDescent="0.2">
      <c r="D495" s="745"/>
      <c r="E495" s="745"/>
      <c r="F495" s="745"/>
      <c r="G495" s="745"/>
      <c r="H495" s="745"/>
      <c r="I495" s="745"/>
      <c r="J495" s="745"/>
      <c r="K495" s="745"/>
      <c r="L495" s="745"/>
      <c r="M495" s="745"/>
      <c r="N495" s="745"/>
      <c r="O495" s="745"/>
      <c r="P495" s="745"/>
    </row>
    <row r="496" spans="4:16" x14ac:dyDescent="0.2">
      <c r="D496" s="745"/>
      <c r="E496" s="745"/>
      <c r="F496" s="745"/>
      <c r="G496" s="745"/>
      <c r="H496" s="745"/>
      <c r="I496" s="745"/>
      <c r="J496" s="745"/>
      <c r="K496" s="745"/>
      <c r="L496" s="745"/>
      <c r="M496" s="745"/>
      <c r="N496" s="745"/>
      <c r="O496" s="745"/>
      <c r="P496" s="745"/>
    </row>
    <row r="497" spans="4:16" x14ac:dyDescent="0.2">
      <c r="D497" s="745"/>
      <c r="E497" s="745"/>
      <c r="F497" s="745"/>
      <c r="G497" s="745"/>
      <c r="H497" s="745"/>
      <c r="I497" s="745"/>
      <c r="J497" s="745"/>
      <c r="K497" s="745"/>
      <c r="L497" s="745"/>
      <c r="M497" s="745"/>
      <c r="N497" s="745"/>
      <c r="O497" s="745"/>
      <c r="P497" s="745"/>
    </row>
    <row r="498" spans="4:16" x14ac:dyDescent="0.2">
      <c r="D498" s="745"/>
      <c r="E498" s="745"/>
      <c r="F498" s="745"/>
      <c r="G498" s="745"/>
      <c r="H498" s="745"/>
      <c r="I498" s="745"/>
      <c r="J498" s="745"/>
      <c r="K498" s="745"/>
      <c r="L498" s="745"/>
      <c r="M498" s="745"/>
      <c r="N498" s="745"/>
      <c r="O498" s="745"/>
      <c r="P498" s="745"/>
    </row>
    <row r="499" spans="4:16" x14ac:dyDescent="0.2">
      <c r="D499" s="745"/>
      <c r="E499" s="745"/>
      <c r="F499" s="745"/>
      <c r="G499" s="745"/>
      <c r="H499" s="745"/>
      <c r="I499" s="745"/>
      <c r="J499" s="745"/>
      <c r="K499" s="745"/>
      <c r="L499" s="745"/>
      <c r="M499" s="745"/>
      <c r="N499" s="745"/>
      <c r="O499" s="745"/>
      <c r="P499" s="745"/>
    </row>
    <row r="500" spans="4:16" x14ac:dyDescent="0.2">
      <c r="D500" s="745"/>
      <c r="E500" s="745"/>
      <c r="F500" s="745"/>
      <c r="G500" s="745"/>
      <c r="H500" s="745"/>
      <c r="I500" s="745"/>
      <c r="J500" s="745"/>
      <c r="K500" s="745"/>
      <c r="L500" s="745"/>
      <c r="M500" s="745"/>
      <c r="N500" s="745"/>
      <c r="O500" s="745"/>
      <c r="P500" s="745"/>
    </row>
    <row r="501" spans="4:16" x14ac:dyDescent="0.2">
      <c r="D501" s="745"/>
      <c r="E501" s="745"/>
      <c r="F501" s="745"/>
      <c r="G501" s="745"/>
      <c r="H501" s="745"/>
      <c r="I501" s="745"/>
      <c r="J501" s="745"/>
      <c r="K501" s="745"/>
      <c r="L501" s="745"/>
      <c r="M501" s="745"/>
      <c r="N501" s="745"/>
      <c r="O501" s="745"/>
      <c r="P501" s="745"/>
    </row>
    <row r="502" spans="4:16" x14ac:dyDescent="0.2">
      <c r="D502" s="745"/>
      <c r="E502" s="745"/>
      <c r="F502" s="745"/>
      <c r="G502" s="745"/>
      <c r="H502" s="745"/>
      <c r="I502" s="745"/>
      <c r="J502" s="745"/>
      <c r="K502" s="745"/>
      <c r="L502" s="745"/>
      <c r="M502" s="745"/>
      <c r="N502" s="745"/>
      <c r="O502" s="745"/>
      <c r="P502" s="745"/>
    </row>
    <row r="503" spans="4:16" x14ac:dyDescent="0.2">
      <c r="D503" s="745"/>
      <c r="E503" s="745"/>
      <c r="F503" s="745"/>
      <c r="G503" s="745"/>
      <c r="H503" s="745"/>
      <c r="I503" s="745"/>
      <c r="J503" s="745"/>
      <c r="K503" s="745"/>
      <c r="L503" s="745"/>
      <c r="M503" s="745"/>
      <c r="N503" s="745"/>
      <c r="O503" s="745"/>
      <c r="P503" s="745"/>
    </row>
    <row r="504" spans="4:16" x14ac:dyDescent="0.2">
      <c r="D504" s="745"/>
      <c r="E504" s="745"/>
      <c r="F504" s="745"/>
      <c r="G504" s="745"/>
      <c r="H504" s="745"/>
      <c r="I504" s="745"/>
      <c r="J504" s="745"/>
      <c r="K504" s="745"/>
      <c r="L504" s="745"/>
      <c r="M504" s="745"/>
      <c r="N504" s="745"/>
      <c r="O504" s="745"/>
      <c r="P504" s="745"/>
    </row>
    <row r="505" spans="4:16" x14ac:dyDescent="0.2">
      <c r="D505" s="745"/>
      <c r="E505" s="745"/>
      <c r="F505" s="745"/>
      <c r="G505" s="745"/>
      <c r="H505" s="745"/>
      <c r="I505" s="745"/>
      <c r="J505" s="745"/>
      <c r="K505" s="745"/>
      <c r="L505" s="745"/>
      <c r="M505" s="745"/>
      <c r="N505" s="745"/>
      <c r="O505" s="745"/>
      <c r="P505" s="745"/>
    </row>
    <row r="506" spans="4:16" x14ac:dyDescent="0.2">
      <c r="D506" s="745"/>
      <c r="E506" s="745"/>
      <c r="F506" s="745"/>
      <c r="G506" s="745"/>
      <c r="H506" s="745"/>
      <c r="I506" s="745"/>
      <c r="J506" s="745"/>
      <c r="K506" s="745"/>
      <c r="L506" s="745"/>
      <c r="M506" s="745"/>
      <c r="N506" s="745"/>
      <c r="O506" s="745"/>
      <c r="P506" s="745"/>
    </row>
    <row r="507" spans="4:16" x14ac:dyDescent="0.2">
      <c r="D507" s="745"/>
      <c r="E507" s="745"/>
      <c r="F507" s="745"/>
      <c r="G507" s="745"/>
      <c r="H507" s="745"/>
      <c r="I507" s="745"/>
      <c r="J507" s="745"/>
      <c r="K507" s="745"/>
      <c r="L507" s="745"/>
      <c r="M507" s="745"/>
      <c r="N507" s="745"/>
      <c r="O507" s="745"/>
      <c r="P507" s="745"/>
    </row>
    <row r="508" spans="4:16" x14ac:dyDescent="0.2">
      <c r="D508" s="745"/>
      <c r="E508" s="745"/>
      <c r="F508" s="745"/>
      <c r="G508" s="745"/>
      <c r="H508" s="745"/>
      <c r="I508" s="745"/>
      <c r="J508" s="745"/>
      <c r="K508" s="745"/>
      <c r="L508" s="745"/>
      <c r="M508" s="745"/>
      <c r="N508" s="745"/>
      <c r="O508" s="745"/>
      <c r="P508" s="745"/>
    </row>
    <row r="509" spans="4:16" x14ac:dyDescent="0.2">
      <c r="D509" s="745"/>
      <c r="E509" s="745"/>
      <c r="F509" s="745"/>
      <c r="G509" s="745"/>
      <c r="H509" s="745"/>
      <c r="I509" s="745"/>
      <c r="J509" s="745"/>
      <c r="K509" s="745"/>
      <c r="L509" s="745"/>
      <c r="M509" s="745"/>
      <c r="N509" s="745"/>
      <c r="O509" s="745"/>
      <c r="P509" s="745"/>
    </row>
    <row r="510" spans="4:16" x14ac:dyDescent="0.2">
      <c r="D510" s="745"/>
      <c r="E510" s="745"/>
      <c r="F510" s="745"/>
      <c r="G510" s="745"/>
      <c r="H510" s="745"/>
      <c r="I510" s="745"/>
      <c r="J510" s="745"/>
      <c r="K510" s="745"/>
      <c r="L510" s="745"/>
      <c r="M510" s="745"/>
      <c r="N510" s="745"/>
      <c r="O510" s="745"/>
      <c r="P510" s="745"/>
    </row>
    <row r="511" spans="4:16" x14ac:dyDescent="0.2">
      <c r="D511" s="745"/>
      <c r="E511" s="745"/>
      <c r="F511" s="745"/>
      <c r="G511" s="745"/>
      <c r="H511" s="745"/>
      <c r="I511" s="745"/>
      <c r="J511" s="745"/>
      <c r="K511" s="745"/>
      <c r="L511" s="745"/>
      <c r="M511" s="745"/>
      <c r="N511" s="745"/>
      <c r="O511" s="745"/>
      <c r="P511" s="745"/>
    </row>
    <row r="512" spans="4:16" x14ac:dyDescent="0.2">
      <c r="D512" s="745"/>
      <c r="E512" s="745"/>
      <c r="F512" s="745"/>
      <c r="G512" s="745"/>
      <c r="H512" s="745"/>
      <c r="I512" s="745"/>
      <c r="J512" s="745"/>
      <c r="K512" s="745"/>
      <c r="L512" s="745"/>
      <c r="M512" s="745"/>
      <c r="N512" s="745"/>
      <c r="O512" s="745"/>
      <c r="P512" s="745"/>
    </row>
    <row r="513" spans="4:16" x14ac:dyDescent="0.2">
      <c r="D513" s="745"/>
      <c r="E513" s="745"/>
      <c r="F513" s="745"/>
      <c r="G513" s="745"/>
      <c r="H513" s="745"/>
      <c r="I513" s="745"/>
      <c r="J513" s="745"/>
      <c r="K513" s="745"/>
      <c r="L513" s="745"/>
      <c r="M513" s="745"/>
      <c r="N513" s="745"/>
      <c r="O513" s="745"/>
      <c r="P513" s="745"/>
    </row>
    <row r="514" spans="4:16" x14ac:dyDescent="0.2">
      <c r="D514" s="745"/>
      <c r="E514" s="745"/>
      <c r="F514" s="745"/>
      <c r="G514" s="745"/>
      <c r="H514" s="745"/>
      <c r="I514" s="745"/>
      <c r="J514" s="745"/>
      <c r="K514" s="745"/>
      <c r="L514" s="745"/>
      <c r="M514" s="745"/>
      <c r="N514" s="745"/>
      <c r="O514" s="745"/>
      <c r="P514" s="745"/>
    </row>
    <row r="515" spans="4:16" x14ac:dyDescent="0.2">
      <c r="D515" s="745"/>
      <c r="E515" s="745"/>
      <c r="F515" s="745"/>
      <c r="G515" s="745"/>
      <c r="H515" s="745"/>
      <c r="I515" s="745"/>
      <c r="J515" s="745"/>
      <c r="K515" s="745"/>
      <c r="L515" s="745"/>
      <c r="M515" s="745"/>
      <c r="N515" s="745"/>
      <c r="O515" s="745"/>
      <c r="P515" s="745"/>
    </row>
    <row r="516" spans="4:16" x14ac:dyDescent="0.2">
      <c r="D516" s="745"/>
      <c r="E516" s="745"/>
      <c r="F516" s="745"/>
      <c r="G516" s="745"/>
      <c r="H516" s="745"/>
      <c r="I516" s="745"/>
      <c r="J516" s="745"/>
      <c r="K516" s="745"/>
      <c r="L516" s="745"/>
      <c r="M516" s="745"/>
      <c r="N516" s="745"/>
      <c r="O516" s="745"/>
      <c r="P516" s="745"/>
    </row>
    <row r="517" spans="4:16" x14ac:dyDescent="0.2">
      <c r="D517" s="745"/>
      <c r="E517" s="745"/>
      <c r="F517" s="745"/>
      <c r="G517" s="745"/>
      <c r="H517" s="745"/>
      <c r="I517" s="745"/>
      <c r="J517" s="745"/>
      <c r="K517" s="745"/>
      <c r="L517" s="745"/>
      <c r="M517" s="745"/>
      <c r="N517" s="745"/>
      <c r="O517" s="745"/>
      <c r="P517" s="745"/>
    </row>
    <row r="518" spans="4:16" x14ac:dyDescent="0.2">
      <c r="D518" s="745"/>
      <c r="E518" s="745"/>
      <c r="F518" s="745"/>
      <c r="G518" s="745"/>
      <c r="H518" s="745"/>
      <c r="I518" s="745"/>
      <c r="J518" s="745"/>
      <c r="K518" s="745"/>
      <c r="L518" s="745"/>
      <c r="M518" s="745"/>
      <c r="N518" s="745"/>
      <c r="O518" s="745"/>
      <c r="P518" s="745"/>
    </row>
    <row r="519" spans="4:16" x14ac:dyDescent="0.2">
      <c r="D519" s="745"/>
      <c r="E519" s="745"/>
      <c r="F519" s="745"/>
      <c r="G519" s="745"/>
      <c r="H519" s="745"/>
      <c r="I519" s="745"/>
      <c r="J519" s="745"/>
      <c r="K519" s="745"/>
      <c r="L519" s="745"/>
      <c r="M519" s="745"/>
      <c r="N519" s="745"/>
      <c r="O519" s="745"/>
      <c r="P519" s="745"/>
    </row>
    <row r="520" spans="4:16" x14ac:dyDescent="0.2">
      <c r="D520" s="745"/>
      <c r="E520" s="745"/>
      <c r="F520" s="745"/>
      <c r="G520" s="745"/>
      <c r="H520" s="745"/>
      <c r="I520" s="745"/>
      <c r="J520" s="745"/>
      <c r="K520" s="745"/>
      <c r="L520" s="745"/>
      <c r="M520" s="745"/>
      <c r="N520" s="745"/>
      <c r="O520" s="745"/>
      <c r="P520" s="745"/>
    </row>
    <row r="521" spans="4:16" x14ac:dyDescent="0.2">
      <c r="D521" s="745"/>
      <c r="E521" s="745"/>
      <c r="F521" s="745"/>
      <c r="G521" s="745"/>
      <c r="H521" s="745"/>
      <c r="I521" s="745"/>
      <c r="J521" s="745"/>
      <c r="K521" s="745"/>
      <c r="L521" s="745"/>
      <c r="M521" s="745"/>
      <c r="N521" s="745"/>
      <c r="O521" s="745"/>
      <c r="P521" s="745"/>
    </row>
    <row r="522" spans="4:16" x14ac:dyDescent="0.2">
      <c r="D522" s="745"/>
      <c r="E522" s="745"/>
      <c r="F522" s="745"/>
      <c r="G522" s="745"/>
      <c r="H522" s="745"/>
      <c r="I522" s="745"/>
      <c r="J522" s="745"/>
      <c r="K522" s="745"/>
      <c r="L522" s="745"/>
      <c r="M522" s="745"/>
      <c r="N522" s="745"/>
      <c r="O522" s="745"/>
      <c r="P522" s="745"/>
    </row>
    <row r="523" spans="4:16" x14ac:dyDescent="0.2">
      <c r="D523" s="745"/>
      <c r="E523" s="745"/>
      <c r="F523" s="745"/>
      <c r="G523" s="745"/>
      <c r="H523" s="745"/>
      <c r="I523" s="745"/>
      <c r="J523" s="745"/>
      <c r="K523" s="745"/>
      <c r="L523" s="745"/>
      <c r="M523" s="745"/>
      <c r="N523" s="745"/>
      <c r="O523" s="745"/>
      <c r="P523" s="745"/>
    </row>
    <row r="524" spans="4:16" x14ac:dyDescent="0.2">
      <c r="D524" s="745"/>
      <c r="E524" s="745"/>
      <c r="F524" s="745"/>
      <c r="G524" s="745"/>
      <c r="H524" s="745"/>
      <c r="I524" s="745"/>
      <c r="J524" s="745"/>
      <c r="K524" s="745"/>
      <c r="L524" s="745"/>
      <c r="M524" s="745"/>
      <c r="N524" s="745"/>
      <c r="O524" s="745"/>
      <c r="P524" s="745"/>
    </row>
    <row r="525" spans="4:16" x14ac:dyDescent="0.2">
      <c r="D525" s="745"/>
      <c r="E525" s="745"/>
      <c r="F525" s="745"/>
      <c r="G525" s="745"/>
      <c r="H525" s="745"/>
      <c r="I525" s="745"/>
      <c r="J525" s="745"/>
      <c r="K525" s="745"/>
      <c r="L525" s="745"/>
      <c r="M525" s="745"/>
      <c r="N525" s="745"/>
      <c r="O525" s="745"/>
      <c r="P525" s="745"/>
    </row>
    <row r="526" spans="4:16" x14ac:dyDescent="0.2">
      <c r="D526" s="745"/>
      <c r="E526" s="745"/>
      <c r="F526" s="745"/>
      <c r="G526" s="745"/>
      <c r="H526" s="745"/>
      <c r="I526" s="745"/>
      <c r="J526" s="745"/>
      <c r="K526" s="745"/>
      <c r="L526" s="745"/>
      <c r="M526" s="745"/>
      <c r="N526" s="745"/>
      <c r="O526" s="745"/>
      <c r="P526" s="745"/>
    </row>
    <row r="527" spans="4:16" x14ac:dyDescent="0.2">
      <c r="D527" s="745"/>
      <c r="E527" s="745"/>
      <c r="F527" s="745"/>
      <c r="G527" s="745"/>
      <c r="H527" s="745"/>
      <c r="I527" s="745"/>
      <c r="J527" s="745"/>
      <c r="K527" s="745"/>
      <c r="L527" s="745"/>
      <c r="M527" s="745"/>
      <c r="N527" s="745"/>
      <c r="O527" s="745"/>
      <c r="P527" s="745"/>
    </row>
  </sheetData>
  <mergeCells count="1">
    <mergeCell ref="F2:P2"/>
  </mergeCells>
  <pageMargins left="0.70866141732283472" right="0.70866141732283472" top="0.74803149606299213" bottom="0.74803149606299213" header="0.31496062992125984" footer="0.31496062992125984"/>
  <pageSetup paperSize="8" scale="85" orientation="portrait" r:id="rId1"/>
  <rowBreaks count="7" manualBreakCount="7">
    <brk id="98" max="16383" man="1"/>
    <brk id="144" max="16383" man="1"/>
    <brk id="219" max="16383" man="1"/>
    <brk id="265" max="16383" man="1"/>
    <brk id="355" max="16383" man="1"/>
    <brk id="401" max="16383" man="1"/>
    <brk id="481" max="16383" man="1"/>
  </rowBreaks>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R44"/>
  <sheetViews>
    <sheetView zoomScaleNormal="100" workbookViewId="0">
      <pane ySplit="4" topLeftCell="A5" activePane="bottomLeft" state="frozen"/>
      <selection pane="bottomLeft" activeCell="Q34" sqref="Q34"/>
    </sheetView>
  </sheetViews>
  <sheetFormatPr defaultColWidth="9.140625" defaultRowHeight="12.75" x14ac:dyDescent="0.2"/>
  <cols>
    <col min="1" max="1" width="65.28515625" style="1286" bestFit="1" customWidth="1"/>
    <col min="2" max="2" width="10.85546875" style="1286" bestFit="1" customWidth="1"/>
    <col min="3" max="3" width="12" style="25" bestFit="1" customWidth="1"/>
    <col min="4" max="4" width="12.28515625" style="25" bestFit="1" customWidth="1"/>
    <col min="5" max="5" width="10.140625" style="25" customWidth="1"/>
    <col min="6" max="6" width="9.140625" style="25"/>
    <col min="7" max="8" width="10.28515625" style="25" bestFit="1" customWidth="1"/>
    <col min="9" max="17" width="11.28515625" style="25" bestFit="1" customWidth="1"/>
    <col min="18" max="18" width="9.140625" style="25"/>
    <col min="19" max="20" width="10.140625" style="1286" bestFit="1" customWidth="1"/>
    <col min="21" max="16384" width="9.140625" style="1286"/>
  </cols>
  <sheetData>
    <row r="2" spans="1:17" x14ac:dyDescent="0.2">
      <c r="A2" s="3040" t="s">
        <v>5997</v>
      </c>
      <c r="B2" s="3040"/>
      <c r="C2" s="3040"/>
      <c r="D2" s="3040"/>
      <c r="E2" s="3040"/>
      <c r="F2" s="3040"/>
      <c r="G2" s="3040"/>
      <c r="H2" s="3040"/>
      <c r="I2" s="3040"/>
      <c r="J2" s="3040"/>
      <c r="K2" s="3040"/>
      <c r="L2" s="3040"/>
      <c r="M2" s="3040"/>
      <c r="N2" s="3040"/>
      <c r="O2" s="3040"/>
      <c r="P2" s="2093"/>
      <c r="Q2" s="2662"/>
    </row>
    <row r="3" spans="1:17" ht="13.5" thickBot="1" x14ac:dyDescent="0.25"/>
    <row r="4" spans="1:17" ht="13.5" thickBot="1" x14ac:dyDescent="0.25">
      <c r="A4" s="1862" t="s">
        <v>5989</v>
      </c>
      <c r="B4" s="2078" t="s">
        <v>5998</v>
      </c>
      <c r="C4" s="2079" t="s">
        <v>6001</v>
      </c>
      <c r="D4" s="2079" t="s">
        <v>6015</v>
      </c>
      <c r="E4" s="2079" t="s">
        <v>5987</v>
      </c>
      <c r="F4" s="1860" t="str">
        <f>Assumptions!F2</f>
        <v>2015/16</v>
      </c>
      <c r="G4" s="232" t="str">
        <f>Assumptions!G2</f>
        <v>2016/17</v>
      </c>
      <c r="H4" s="232" t="str">
        <f>Assumptions!H2</f>
        <v>2017/18</v>
      </c>
      <c r="I4" s="232" t="str">
        <f>Assumptions!I2</f>
        <v>2018/19</v>
      </c>
      <c r="J4" s="232" t="str">
        <f>Assumptions!J2</f>
        <v>2019/20</v>
      </c>
      <c r="K4" s="232" t="str">
        <f>Assumptions!K2</f>
        <v>2020/21</v>
      </c>
      <c r="L4" s="232" t="str">
        <f>Assumptions!L2</f>
        <v>2021/22</v>
      </c>
      <c r="M4" s="232" t="str">
        <f>Assumptions!M2</f>
        <v>2022/23</v>
      </c>
      <c r="N4" s="232" t="str">
        <f>Assumptions!N2</f>
        <v>2023/24</v>
      </c>
      <c r="O4" s="232" t="str">
        <f>Assumptions!O2</f>
        <v>2024/25</v>
      </c>
      <c r="P4" s="232" t="str">
        <f>Assumptions!P2</f>
        <v>2025/26</v>
      </c>
      <c r="Q4" s="2165" t="str">
        <f>Assumptions!Q2</f>
        <v>2026/27</v>
      </c>
    </row>
    <row r="5" spans="1:17" x14ac:dyDescent="0.2">
      <c r="A5" s="1857"/>
      <c r="B5" s="2080"/>
      <c r="C5" s="2081"/>
      <c r="D5" s="2081"/>
      <c r="E5" s="2081"/>
      <c r="F5" s="531"/>
      <c r="G5" s="529"/>
      <c r="H5" s="529"/>
      <c r="I5" s="529"/>
      <c r="J5" s="529"/>
      <c r="K5" s="529"/>
      <c r="L5" s="529"/>
      <c r="M5" s="529"/>
      <c r="N5" s="529"/>
      <c r="O5" s="529"/>
      <c r="P5" s="529"/>
      <c r="Q5" s="2016"/>
    </row>
    <row r="6" spans="1:17" s="25" customFormat="1" ht="15" customHeight="1" x14ac:dyDescent="0.2">
      <c r="A6" s="1856" t="s">
        <v>5990</v>
      </c>
      <c r="B6" s="2082" t="s">
        <v>5999</v>
      </c>
      <c r="C6" s="341">
        <v>3886480</v>
      </c>
      <c r="D6" s="977">
        <f>1-(E6/C6)</f>
        <v>0.49594877627055844</v>
      </c>
      <c r="E6" s="341">
        <v>1958985</v>
      </c>
      <c r="F6" s="142"/>
      <c r="G6" s="33"/>
      <c r="H6" s="33"/>
      <c r="I6" s="33"/>
      <c r="J6" s="33"/>
      <c r="K6" s="33">
        <f>ROUND(C6*1.03*1.03*1.03*1.03*1.03,-3)</f>
        <v>4505000</v>
      </c>
      <c r="L6" s="33"/>
      <c r="M6" s="33"/>
      <c r="N6" s="33"/>
      <c r="O6" s="33"/>
      <c r="P6" s="33"/>
      <c r="Q6" s="102"/>
    </row>
    <row r="7" spans="1:17" s="25" customFormat="1" ht="15" customHeight="1" x14ac:dyDescent="0.2">
      <c r="A7" s="1856" t="s">
        <v>5994</v>
      </c>
      <c r="B7" s="2082" t="s">
        <v>5999</v>
      </c>
      <c r="C7" s="341">
        <v>9582603</v>
      </c>
      <c r="D7" s="977">
        <f>1-(E7/C7)</f>
        <v>0.73851447252901958</v>
      </c>
      <c r="E7" s="341">
        <v>2505712</v>
      </c>
      <c r="F7" s="142"/>
      <c r="G7" s="33"/>
      <c r="H7" s="33"/>
      <c r="I7" s="33"/>
      <c r="J7" s="33"/>
      <c r="K7" s="33">
        <f t="shared" ref="K7:K9" si="0">ROUND(C7*1.03*1.03*1.03*1.03*1.03,-3)</f>
        <v>11109000</v>
      </c>
      <c r="L7" s="33"/>
      <c r="M7" s="33"/>
      <c r="N7" s="33"/>
      <c r="O7" s="33"/>
      <c r="P7" s="33"/>
      <c r="Q7" s="102"/>
    </row>
    <row r="8" spans="1:17" s="25" customFormat="1" ht="15" customHeight="1" x14ac:dyDescent="0.2">
      <c r="A8" s="1856" t="s">
        <v>5992</v>
      </c>
      <c r="B8" s="2082" t="s">
        <v>5999</v>
      </c>
      <c r="C8" s="341">
        <v>5343911</v>
      </c>
      <c r="D8" s="977">
        <f t="shared" ref="D8:D24" si="1">1-(E8/C8)</f>
        <v>0.49594894076641616</v>
      </c>
      <c r="E8" s="341">
        <v>2693604</v>
      </c>
      <c r="F8" s="142"/>
      <c r="G8" s="33"/>
      <c r="H8" s="33"/>
      <c r="I8" s="33"/>
      <c r="J8" s="33"/>
      <c r="K8" s="33">
        <f t="shared" si="0"/>
        <v>6195000</v>
      </c>
      <c r="L8" s="33"/>
      <c r="M8" s="33"/>
      <c r="N8" s="33"/>
      <c r="O8" s="33"/>
      <c r="P8" s="33"/>
      <c r="Q8" s="102"/>
    </row>
    <row r="9" spans="1:17" s="25" customFormat="1" ht="15" customHeight="1" x14ac:dyDescent="0.2">
      <c r="A9" s="1856" t="s">
        <v>5995</v>
      </c>
      <c r="B9" s="2082" t="s">
        <v>5999</v>
      </c>
      <c r="C9" s="341">
        <v>133598</v>
      </c>
      <c r="D9" s="977">
        <f>1-(E9/C9)</f>
        <v>0.73851404961152112</v>
      </c>
      <c r="E9" s="341">
        <v>34934</v>
      </c>
      <c r="F9" s="142"/>
      <c r="G9" s="33"/>
      <c r="H9" s="33"/>
      <c r="I9" s="33"/>
      <c r="J9" s="33"/>
      <c r="K9" s="33">
        <f t="shared" si="0"/>
        <v>155000</v>
      </c>
      <c r="L9" s="33"/>
      <c r="M9" s="33"/>
      <c r="N9" s="33"/>
      <c r="O9" s="33"/>
      <c r="P9" s="33"/>
      <c r="Q9" s="102"/>
    </row>
    <row r="10" spans="1:17" s="25" customFormat="1" ht="15" customHeight="1" x14ac:dyDescent="0.2">
      <c r="A10" s="1856" t="s">
        <v>5991</v>
      </c>
      <c r="B10" s="2082" t="s">
        <v>5999</v>
      </c>
      <c r="C10" s="341">
        <v>7165698</v>
      </c>
      <c r="D10" s="977">
        <f>1-(E10/C10)</f>
        <v>0.98576021484578336</v>
      </c>
      <c r="E10" s="341">
        <v>102038</v>
      </c>
      <c r="F10" s="142"/>
      <c r="G10" s="33"/>
      <c r="H10" s="33"/>
      <c r="I10" s="33"/>
      <c r="J10" s="33"/>
      <c r="K10" s="33"/>
      <c r="L10" s="33">
        <f>ROUND(C10*1.03*1.03*1.03*1.03*1.03*1.03,-3)</f>
        <v>8556000</v>
      </c>
      <c r="M10" s="33"/>
      <c r="N10" s="33"/>
      <c r="O10" s="33"/>
      <c r="P10" s="33"/>
      <c r="Q10" s="102"/>
    </row>
    <row r="11" spans="1:17" s="25" customFormat="1" ht="15" customHeight="1" x14ac:dyDescent="0.2">
      <c r="A11" s="1856" t="s">
        <v>5993</v>
      </c>
      <c r="B11" s="2082" t="s">
        <v>5999</v>
      </c>
      <c r="C11" s="341">
        <v>4007933</v>
      </c>
      <c r="D11" s="977">
        <f t="shared" si="1"/>
        <v>0.98576024100203274</v>
      </c>
      <c r="E11" s="341">
        <v>57072</v>
      </c>
      <c r="F11" s="142"/>
      <c r="G11" s="33"/>
      <c r="H11" s="33"/>
      <c r="I11" s="33"/>
      <c r="J11" s="33"/>
      <c r="K11" s="33"/>
      <c r="L11" s="33">
        <f>ROUND(C11*1.03*1.03*1.03*1.03*1.03*1.03,-3)</f>
        <v>4786000</v>
      </c>
      <c r="M11" s="33"/>
      <c r="N11" s="33"/>
      <c r="O11" s="33"/>
      <c r="P11" s="33"/>
      <c r="Q11" s="102"/>
    </row>
    <row r="12" spans="1:17" s="25" customFormat="1" ht="15" customHeight="1" x14ac:dyDescent="0.2">
      <c r="A12" s="1856" t="s">
        <v>5996</v>
      </c>
      <c r="B12" s="2082" t="s">
        <v>5999</v>
      </c>
      <c r="C12" s="341">
        <v>15303017</v>
      </c>
      <c r="D12" s="977">
        <f t="shared" si="1"/>
        <v>1</v>
      </c>
      <c r="E12" s="341">
        <v>0</v>
      </c>
      <c r="F12" s="142"/>
      <c r="G12" s="33"/>
      <c r="H12" s="33"/>
      <c r="I12" s="33">
        <f>ROUND(C12*1.03*1.03*1.03,-3)</f>
        <v>16722000</v>
      </c>
      <c r="J12" s="33"/>
      <c r="K12" s="33"/>
      <c r="L12" s="33"/>
      <c r="M12" s="33"/>
      <c r="N12" s="33"/>
      <c r="O12" s="33"/>
      <c r="P12" s="33"/>
      <c r="Q12" s="102"/>
    </row>
    <row r="13" spans="1:17" s="25" customFormat="1" ht="15" customHeight="1" x14ac:dyDescent="0.2">
      <c r="A13" s="1856" t="s">
        <v>6002</v>
      </c>
      <c r="B13" s="2082" t="s">
        <v>6010</v>
      </c>
      <c r="C13" s="341">
        <v>667989</v>
      </c>
      <c r="D13" s="977">
        <f t="shared" si="1"/>
        <v>1</v>
      </c>
      <c r="E13" s="341">
        <v>0</v>
      </c>
      <c r="F13" s="142"/>
      <c r="G13" s="33"/>
      <c r="H13" s="33"/>
      <c r="I13" s="33"/>
      <c r="J13" s="33"/>
      <c r="K13" s="33"/>
      <c r="L13" s="33"/>
      <c r="M13" s="33"/>
      <c r="N13" s="33"/>
      <c r="O13" s="33"/>
      <c r="P13" s="33"/>
      <c r="Q13" s="102"/>
    </row>
    <row r="14" spans="1:17" s="25" customFormat="1" ht="15" customHeight="1" x14ac:dyDescent="0.2">
      <c r="A14" s="1856" t="s">
        <v>6003</v>
      </c>
      <c r="B14" s="2082" t="s">
        <v>6010</v>
      </c>
      <c r="C14" s="341">
        <v>607263</v>
      </c>
      <c r="D14" s="977">
        <f t="shared" si="1"/>
        <v>1</v>
      </c>
      <c r="E14" s="341">
        <v>0</v>
      </c>
      <c r="F14" s="142"/>
      <c r="G14" s="33"/>
      <c r="H14" s="33"/>
      <c r="I14" s="33"/>
      <c r="J14" s="33"/>
      <c r="K14" s="33"/>
      <c r="L14" s="33"/>
      <c r="M14" s="33"/>
      <c r="N14" s="33"/>
      <c r="O14" s="33"/>
      <c r="P14" s="33"/>
      <c r="Q14" s="102"/>
    </row>
    <row r="15" spans="1:17" s="25" customFormat="1" ht="15" customHeight="1" x14ac:dyDescent="0.2">
      <c r="A15" s="1856" t="s">
        <v>6004</v>
      </c>
      <c r="B15" s="2082" t="s">
        <v>6010</v>
      </c>
      <c r="C15" s="341">
        <v>109307</v>
      </c>
      <c r="D15" s="977">
        <f t="shared" si="1"/>
        <v>1</v>
      </c>
      <c r="E15" s="341">
        <v>0</v>
      </c>
      <c r="F15" s="142"/>
      <c r="G15" s="33"/>
      <c r="H15" s="33"/>
      <c r="I15" s="33"/>
      <c r="J15" s="33"/>
      <c r="K15" s="33"/>
      <c r="L15" s="33"/>
      <c r="M15" s="33"/>
      <c r="N15" s="33"/>
      <c r="O15" s="33"/>
      <c r="P15" s="33"/>
      <c r="Q15" s="102"/>
    </row>
    <row r="16" spans="1:17" s="25" customFormat="1" ht="15" customHeight="1" x14ac:dyDescent="0.2">
      <c r="A16" s="1856" t="s">
        <v>6005</v>
      </c>
      <c r="B16" s="2082" t="s">
        <v>6010</v>
      </c>
      <c r="C16" s="341">
        <v>19432402</v>
      </c>
      <c r="D16" s="977">
        <f t="shared" si="1"/>
        <v>1</v>
      </c>
      <c r="E16" s="341">
        <v>0</v>
      </c>
      <c r="F16" s="142"/>
      <c r="G16" s="33"/>
      <c r="H16" s="33"/>
      <c r="I16" s="33"/>
      <c r="J16" s="33"/>
      <c r="K16" s="33"/>
      <c r="L16" s="33"/>
      <c r="M16" s="33"/>
      <c r="N16" s="33"/>
      <c r="O16" s="33"/>
      <c r="P16" s="33"/>
      <c r="Q16" s="102"/>
    </row>
    <row r="17" spans="1:18" s="25" customFormat="1" ht="15" customHeight="1" x14ac:dyDescent="0.2">
      <c r="A17" s="1856" t="s">
        <v>6006</v>
      </c>
      <c r="B17" s="2082" t="s">
        <v>6010</v>
      </c>
      <c r="C17" s="341">
        <v>12145</v>
      </c>
      <c r="D17" s="977">
        <f t="shared" si="1"/>
        <v>1</v>
      </c>
      <c r="E17" s="341">
        <v>0</v>
      </c>
      <c r="F17" s="142"/>
      <c r="G17" s="33"/>
      <c r="H17" s="33"/>
      <c r="I17" s="33"/>
      <c r="J17" s="33"/>
      <c r="K17" s="33"/>
      <c r="L17" s="33"/>
      <c r="M17" s="33"/>
      <c r="N17" s="33"/>
      <c r="O17" s="33"/>
      <c r="P17" s="33"/>
      <c r="Q17" s="102"/>
    </row>
    <row r="18" spans="1:18" s="25" customFormat="1" ht="15" customHeight="1" x14ac:dyDescent="0.2">
      <c r="A18" s="1856" t="s">
        <v>6007</v>
      </c>
      <c r="B18" s="2082" t="s">
        <v>6010</v>
      </c>
      <c r="C18" s="341">
        <v>4683750</v>
      </c>
      <c r="D18" s="977">
        <f t="shared" si="1"/>
        <v>1</v>
      </c>
      <c r="E18" s="341">
        <v>0</v>
      </c>
      <c r="F18" s="142"/>
      <c r="G18" s="33"/>
      <c r="H18" s="33"/>
      <c r="I18" s="33"/>
      <c r="J18" s="33"/>
      <c r="K18" s="33"/>
      <c r="L18" s="33"/>
      <c r="M18" s="33"/>
      <c r="N18" s="33"/>
      <c r="O18" s="33"/>
      <c r="P18" s="33"/>
      <c r="Q18" s="102"/>
    </row>
    <row r="19" spans="1:18" s="25" customFormat="1" ht="15" customHeight="1" x14ac:dyDescent="0.2">
      <c r="A19" s="1856" t="s">
        <v>6008</v>
      </c>
      <c r="B19" s="2082" t="s">
        <v>6010</v>
      </c>
      <c r="C19" s="341">
        <v>10590659</v>
      </c>
      <c r="D19" s="977">
        <f t="shared" si="1"/>
        <v>0.48535289447049523</v>
      </c>
      <c r="E19" s="341">
        <v>5450452</v>
      </c>
      <c r="F19" s="142"/>
      <c r="G19" s="33"/>
      <c r="H19" s="33"/>
      <c r="I19" s="33"/>
      <c r="J19" s="33"/>
      <c r="K19" s="33"/>
      <c r="L19" s="33"/>
      <c r="M19" s="33"/>
      <c r="N19" s="33"/>
      <c r="O19" s="33"/>
      <c r="P19" s="33"/>
      <c r="Q19" s="102"/>
    </row>
    <row r="20" spans="1:18" s="25" customFormat="1" ht="15" customHeight="1" x14ac:dyDescent="0.2">
      <c r="A20" s="1856" t="s">
        <v>6009</v>
      </c>
      <c r="B20" s="2082" t="s">
        <v>6010</v>
      </c>
      <c r="C20" s="341">
        <v>97162</v>
      </c>
      <c r="D20" s="977">
        <f t="shared" si="1"/>
        <v>0.48535435664148541</v>
      </c>
      <c r="E20" s="341">
        <v>50004</v>
      </c>
      <c r="F20" s="142"/>
      <c r="G20" s="33"/>
      <c r="H20" s="33"/>
      <c r="I20" s="33"/>
      <c r="J20" s="33"/>
      <c r="K20" s="33"/>
      <c r="L20" s="33"/>
      <c r="M20" s="33"/>
      <c r="N20" s="33"/>
      <c r="O20" s="33"/>
      <c r="P20" s="33"/>
      <c r="Q20" s="102"/>
    </row>
    <row r="21" spans="1:18" s="25" customFormat="1" ht="15" customHeight="1" x14ac:dyDescent="0.2">
      <c r="A21" s="2077" t="s">
        <v>6011</v>
      </c>
      <c r="B21" s="2082" t="s">
        <v>6010</v>
      </c>
      <c r="C21" s="341">
        <v>157888</v>
      </c>
      <c r="D21" s="977">
        <f t="shared" si="1"/>
        <v>1</v>
      </c>
      <c r="E21" s="341">
        <v>0</v>
      </c>
      <c r="F21" s="142"/>
      <c r="G21" s="33"/>
      <c r="H21" s="33"/>
      <c r="I21" s="33"/>
      <c r="J21" s="33"/>
      <c r="K21" s="33"/>
      <c r="L21" s="33"/>
      <c r="M21" s="33"/>
      <c r="N21" s="33"/>
      <c r="O21" s="33"/>
      <c r="P21" s="33"/>
      <c r="Q21" s="102"/>
    </row>
    <row r="22" spans="1:18" s="25" customFormat="1" ht="15" customHeight="1" x14ac:dyDescent="0.2">
      <c r="A22" s="2077" t="s">
        <v>6012</v>
      </c>
      <c r="B22" s="2082" t="s">
        <v>6010</v>
      </c>
      <c r="C22" s="341">
        <v>2793408</v>
      </c>
      <c r="D22" s="977">
        <f t="shared" si="1"/>
        <v>0.71573468680550789</v>
      </c>
      <c r="E22" s="341">
        <v>794069</v>
      </c>
      <c r="F22" s="142"/>
      <c r="G22" s="33"/>
      <c r="H22" s="33"/>
      <c r="I22" s="33"/>
      <c r="J22" s="33"/>
      <c r="K22" s="33"/>
      <c r="L22" s="33"/>
      <c r="M22" s="33"/>
      <c r="N22" s="33"/>
      <c r="O22" s="33"/>
      <c r="P22" s="33"/>
      <c r="Q22" s="102"/>
    </row>
    <row r="23" spans="1:18" s="25" customFormat="1" ht="15" customHeight="1" x14ac:dyDescent="0.2">
      <c r="A23" s="2077" t="s">
        <v>6013</v>
      </c>
      <c r="B23" s="2082" t="s">
        <v>6010</v>
      </c>
      <c r="C23" s="341">
        <v>3018600</v>
      </c>
      <c r="D23" s="977">
        <f t="shared" si="1"/>
        <v>1</v>
      </c>
      <c r="E23" s="341">
        <v>0</v>
      </c>
      <c r="F23" s="142"/>
      <c r="G23" s="33"/>
      <c r="H23" s="33"/>
      <c r="I23" s="33"/>
      <c r="J23" s="33"/>
      <c r="K23" s="33"/>
      <c r="L23" s="33"/>
      <c r="M23" s="33"/>
      <c r="N23" s="33"/>
      <c r="O23" s="33"/>
      <c r="P23" s="33"/>
      <c r="Q23" s="102"/>
    </row>
    <row r="24" spans="1:18" s="25" customFormat="1" ht="15" customHeight="1" x14ac:dyDescent="0.2">
      <c r="A24" s="2077" t="s">
        <v>6014</v>
      </c>
      <c r="B24" s="2082" t="s">
        <v>6010</v>
      </c>
      <c r="C24" s="341">
        <v>3360044</v>
      </c>
      <c r="D24" s="977">
        <f t="shared" si="1"/>
        <v>0.46027462735607039</v>
      </c>
      <c r="E24" s="341">
        <v>1813501</v>
      </c>
      <c r="F24" s="142"/>
      <c r="G24" s="33"/>
      <c r="H24" s="33"/>
      <c r="I24" s="33"/>
      <c r="J24" s="33"/>
      <c r="K24" s="33"/>
      <c r="L24" s="33"/>
      <c r="M24" s="33"/>
      <c r="N24" s="33"/>
      <c r="O24" s="33"/>
      <c r="P24" s="33"/>
      <c r="Q24" s="102"/>
    </row>
    <row r="25" spans="1:18" s="25" customFormat="1" ht="15" customHeight="1" x14ac:dyDescent="0.2">
      <c r="A25" s="2077"/>
      <c r="B25" s="2082"/>
      <c r="C25" s="341"/>
      <c r="D25" s="341"/>
      <c r="E25" s="341"/>
      <c r="F25" s="142"/>
      <c r="G25" s="33"/>
      <c r="H25" s="33"/>
      <c r="I25" s="33"/>
      <c r="J25" s="33"/>
      <c r="K25" s="33"/>
      <c r="L25" s="33"/>
      <c r="M25" s="33"/>
      <c r="N25" s="33"/>
      <c r="O25" s="33"/>
      <c r="P25" s="33"/>
      <c r="Q25" s="102"/>
    </row>
    <row r="26" spans="1:18" s="25" customFormat="1" ht="15" customHeight="1" x14ac:dyDescent="0.2">
      <c r="A26" s="1856"/>
      <c r="B26" s="2082"/>
      <c r="C26" s="341"/>
      <c r="D26" s="341"/>
      <c r="E26" s="341"/>
      <c r="F26" s="142"/>
      <c r="G26" s="33"/>
      <c r="H26" s="33"/>
      <c r="I26" s="33"/>
      <c r="J26" s="33"/>
      <c r="K26" s="33"/>
      <c r="L26" s="33"/>
      <c r="M26" s="33"/>
      <c r="N26" s="33"/>
      <c r="O26" s="33"/>
      <c r="P26" s="33"/>
      <c r="Q26" s="102"/>
    </row>
    <row r="27" spans="1:18" s="25" customFormat="1" ht="15" customHeight="1" x14ac:dyDescent="0.2">
      <c r="A27" s="1856"/>
      <c r="B27" s="2082"/>
      <c r="C27" s="341"/>
      <c r="D27" s="341"/>
      <c r="E27" s="2083"/>
      <c r="F27" s="142"/>
      <c r="G27" s="33"/>
      <c r="H27" s="33"/>
      <c r="I27" s="33"/>
      <c r="J27" s="33"/>
      <c r="K27" s="33"/>
      <c r="L27" s="33"/>
      <c r="M27" s="33"/>
      <c r="N27" s="33"/>
      <c r="O27" s="33"/>
      <c r="P27" s="33"/>
      <c r="Q27" s="102"/>
    </row>
    <row r="28" spans="1:18" s="25" customFormat="1" ht="15" customHeight="1" x14ac:dyDescent="0.2">
      <c r="A28" s="1856"/>
      <c r="B28" s="2082"/>
      <c r="C28" s="341"/>
      <c r="D28" s="341"/>
      <c r="E28" s="2083"/>
      <c r="F28" s="142"/>
      <c r="G28" s="33"/>
      <c r="H28" s="33"/>
      <c r="I28" s="33"/>
      <c r="J28" s="33"/>
      <c r="K28" s="33"/>
      <c r="L28" s="33"/>
      <c r="M28" s="33"/>
      <c r="N28" s="33"/>
      <c r="O28" s="33"/>
      <c r="P28" s="33"/>
      <c r="Q28" s="102"/>
    </row>
    <row r="29" spans="1:18" s="25" customFormat="1" ht="15" customHeight="1" x14ac:dyDescent="0.2">
      <c r="A29" s="1856"/>
      <c r="B29" s="2082"/>
      <c r="C29" s="2083"/>
      <c r="D29" s="2083"/>
      <c r="E29" s="2083"/>
      <c r="F29" s="142"/>
      <c r="G29" s="33"/>
      <c r="H29" s="33"/>
      <c r="I29" s="33"/>
      <c r="J29" s="33"/>
      <c r="K29" s="33"/>
      <c r="L29" s="33"/>
      <c r="M29" s="33"/>
      <c r="N29" s="33"/>
      <c r="O29" s="33"/>
      <c r="P29" s="33"/>
      <c r="Q29" s="102"/>
    </row>
    <row r="30" spans="1:18" x14ac:dyDescent="0.2">
      <c r="A30" s="1856"/>
      <c r="B30" s="2084"/>
      <c r="C30" s="2083"/>
      <c r="D30" s="2083"/>
      <c r="E30" s="2083"/>
      <c r="F30" s="142"/>
      <c r="G30" s="33"/>
      <c r="H30" s="33"/>
      <c r="I30" s="33"/>
      <c r="J30" s="33"/>
      <c r="K30" s="33"/>
      <c r="L30" s="33"/>
      <c r="M30" s="33"/>
      <c r="N30" s="33"/>
      <c r="O30" s="33"/>
      <c r="P30" s="33"/>
      <c r="Q30" s="102"/>
    </row>
    <row r="31" spans="1:18" s="1854" customFormat="1" ht="13.5" thickBot="1" x14ac:dyDescent="0.25">
      <c r="A31" s="1858" t="s">
        <v>1530</v>
      </c>
      <c r="B31" s="2085"/>
      <c r="C31" s="2086">
        <f>SUM(C6:C30)</f>
        <v>90953857</v>
      </c>
      <c r="D31" s="2086"/>
      <c r="E31" s="2086">
        <f>SUM(E6:E30)</f>
        <v>15460371</v>
      </c>
      <c r="F31" s="1861">
        <f>SUM(F6:F30)</f>
        <v>0</v>
      </c>
      <c r="G31" s="1855">
        <f t="shared" ref="G31:O31" si="2">SUM(G5:G30)</f>
        <v>0</v>
      </c>
      <c r="H31" s="1855">
        <f t="shared" si="2"/>
        <v>0</v>
      </c>
      <c r="I31" s="1855">
        <f t="shared" si="2"/>
        <v>16722000</v>
      </c>
      <c r="J31" s="1855">
        <f t="shared" si="2"/>
        <v>0</v>
      </c>
      <c r="K31" s="1855">
        <f t="shared" si="2"/>
        <v>21964000</v>
      </c>
      <c r="L31" s="1855">
        <f t="shared" si="2"/>
        <v>13342000</v>
      </c>
      <c r="M31" s="1855">
        <f t="shared" si="2"/>
        <v>0</v>
      </c>
      <c r="N31" s="1855">
        <f t="shared" si="2"/>
        <v>0</v>
      </c>
      <c r="O31" s="1855">
        <f t="shared" si="2"/>
        <v>0</v>
      </c>
      <c r="P31" s="1855">
        <f t="shared" ref="P31:Q31" si="3">SUM(P5:P30)</f>
        <v>0</v>
      </c>
      <c r="Q31" s="2166">
        <f t="shared" si="3"/>
        <v>0</v>
      </c>
      <c r="R31" s="40"/>
    </row>
    <row r="32" spans="1:18" ht="13.5" thickTop="1" x14ac:dyDescent="0.2">
      <c r="A32" s="1856"/>
      <c r="B32" s="2084"/>
      <c r="C32" s="2083"/>
      <c r="D32" s="2083"/>
      <c r="E32" s="2083"/>
      <c r="F32" s="142"/>
      <c r="G32" s="33"/>
      <c r="H32" s="33"/>
      <c r="I32" s="33"/>
      <c r="J32" s="33"/>
      <c r="K32" s="33"/>
      <c r="L32" s="33"/>
      <c r="M32" s="33"/>
      <c r="N32" s="33"/>
      <c r="O32" s="33"/>
      <c r="P32" s="33"/>
      <c r="Q32" s="102"/>
    </row>
    <row r="33" spans="1:18" s="1854" customFormat="1" x14ac:dyDescent="0.2">
      <c r="A33" s="1857"/>
      <c r="B33" s="2080"/>
      <c r="C33" s="2087"/>
      <c r="D33" s="2087"/>
      <c r="E33" s="2087"/>
      <c r="F33" s="160"/>
      <c r="G33" s="116"/>
      <c r="H33" s="116"/>
      <c r="I33" s="116"/>
      <c r="J33" s="116"/>
      <c r="K33" s="116"/>
      <c r="L33" s="116"/>
      <c r="M33" s="116"/>
      <c r="N33" s="116"/>
      <c r="O33" s="116"/>
      <c r="P33" s="116"/>
      <c r="Q33" s="2167"/>
      <c r="R33" s="40"/>
    </row>
    <row r="34" spans="1:18" s="1854" customFormat="1" x14ac:dyDescent="0.2">
      <c r="A34" s="1857" t="s">
        <v>6000</v>
      </c>
      <c r="B34" s="2080"/>
      <c r="C34" s="2087">
        <f>E31</f>
        <v>15460371</v>
      </c>
      <c r="D34" s="2087"/>
      <c r="E34" s="2087"/>
      <c r="F34" s="160">
        <f t="shared" ref="F34:H34" si="4">F31-F35</f>
        <v>0</v>
      </c>
      <c r="G34" s="116">
        <f t="shared" si="4"/>
        <v>0</v>
      </c>
      <c r="H34" s="116">
        <f t="shared" si="4"/>
        <v>0</v>
      </c>
      <c r="I34" s="116">
        <f>I31-I35</f>
        <v>0</v>
      </c>
      <c r="J34" s="116">
        <f t="shared" ref="J34:O34" si="5">J31-J35</f>
        <v>0</v>
      </c>
      <c r="K34" s="116">
        <f>K31-K35</f>
        <v>8338720.1218385231</v>
      </c>
      <c r="L34" s="116">
        <f t="shared" si="5"/>
        <v>189987.08834374882</v>
      </c>
      <c r="M34" s="116">
        <f t="shared" si="5"/>
        <v>0</v>
      </c>
      <c r="N34" s="116">
        <f t="shared" si="5"/>
        <v>0</v>
      </c>
      <c r="O34" s="116">
        <f t="shared" si="5"/>
        <v>0</v>
      </c>
      <c r="P34" s="116">
        <f t="shared" ref="P34:Q34" si="6">P31-P35</f>
        <v>0</v>
      </c>
      <c r="Q34" s="2167">
        <f t="shared" si="6"/>
        <v>0</v>
      </c>
      <c r="R34" s="40"/>
    </row>
    <row r="35" spans="1:18" s="1854" customFormat="1" x14ac:dyDescent="0.2">
      <c r="A35" s="1857" t="s">
        <v>2184</v>
      </c>
      <c r="B35" s="2080"/>
      <c r="C35" s="2087">
        <f>C31-C34</f>
        <v>75493486</v>
      </c>
      <c r="D35" s="2087"/>
      <c r="E35" s="2087"/>
      <c r="F35" s="160"/>
      <c r="G35" s="116"/>
      <c r="H35" s="116">
        <f>H12*D12</f>
        <v>0</v>
      </c>
      <c r="I35" s="116">
        <f>I9*D9+I7*D7+I8*D8+I6*D6+I12*D12</f>
        <v>16722000</v>
      </c>
      <c r="J35" s="116">
        <f>J11*D11+J10*D10+J9*D9+J7*D7+J8*D8+J6*D6</f>
        <v>0</v>
      </c>
      <c r="K35" s="116">
        <f>K11*D11+K10*D10+K9*D9+K8*D8+K7*D7+K6*D6</f>
        <v>13625279.878161477</v>
      </c>
      <c r="L35" s="116">
        <f>L11*D11+L10*D10</f>
        <v>13152012.911656251</v>
      </c>
      <c r="M35" s="116"/>
      <c r="N35" s="116"/>
      <c r="O35" s="116"/>
      <c r="P35" s="116"/>
      <c r="Q35" s="2167"/>
      <c r="R35" s="40"/>
    </row>
    <row r="36" spans="1:18" s="1854" customFormat="1" x14ac:dyDescent="0.2">
      <c r="A36" s="1857"/>
      <c r="B36" s="2080"/>
      <c r="C36" s="2087"/>
      <c r="D36" s="2087"/>
      <c r="E36" s="2087"/>
      <c r="F36" s="160"/>
      <c r="G36" s="116"/>
      <c r="H36" s="116"/>
      <c r="I36" s="116"/>
      <c r="J36" s="116"/>
      <c r="K36" s="116"/>
      <c r="L36" s="116"/>
      <c r="M36" s="116"/>
      <c r="N36" s="116"/>
      <c r="O36" s="116"/>
      <c r="P36" s="116"/>
      <c r="Q36" s="2167"/>
      <c r="R36" s="40"/>
    </row>
    <row r="37" spans="1:18" s="1854" customFormat="1" x14ac:dyDescent="0.2">
      <c r="A37" s="1857" t="s">
        <v>89</v>
      </c>
      <c r="B37" s="2080"/>
      <c r="C37" s="2087"/>
      <c r="D37" s="2087"/>
      <c r="E37" s="2087"/>
      <c r="F37" s="160"/>
      <c r="G37" s="116"/>
      <c r="H37" s="116"/>
      <c r="I37" s="116"/>
      <c r="J37" s="116"/>
      <c r="K37" s="116"/>
      <c r="L37" s="116"/>
      <c r="M37" s="116"/>
      <c r="N37" s="116"/>
      <c r="O37" s="116"/>
      <c r="P37" s="116"/>
      <c r="Q37" s="2167"/>
      <c r="R37" s="40"/>
    </row>
    <row r="38" spans="1:18" s="1854" customFormat="1" x14ac:dyDescent="0.2">
      <c r="A38" s="1857"/>
      <c r="B38" s="2080"/>
      <c r="C38" s="2087"/>
      <c r="D38" s="2087"/>
      <c r="E38" s="2087"/>
      <c r="F38" s="160"/>
      <c r="G38" s="116"/>
      <c r="H38" s="116"/>
      <c r="I38" s="116"/>
      <c r="J38" s="116"/>
      <c r="K38" s="116"/>
      <c r="L38" s="116"/>
      <c r="M38" s="116"/>
      <c r="N38" s="116"/>
      <c r="O38" s="116"/>
      <c r="P38" s="116"/>
      <c r="Q38" s="2167"/>
      <c r="R38" s="40"/>
    </row>
    <row r="39" spans="1:18" s="1854" customFormat="1" x14ac:dyDescent="0.2">
      <c r="A39" s="1857" t="s">
        <v>5988</v>
      </c>
      <c r="B39" s="2080"/>
      <c r="C39" s="2087"/>
      <c r="D39" s="2087"/>
      <c r="E39" s="2087"/>
      <c r="F39" s="160"/>
      <c r="G39" s="116"/>
      <c r="H39" s="116"/>
      <c r="I39" s="116"/>
      <c r="J39" s="116"/>
      <c r="K39" s="116"/>
      <c r="L39" s="116"/>
      <c r="M39" s="116"/>
      <c r="N39" s="116"/>
      <c r="O39" s="132"/>
      <c r="P39" s="132"/>
      <c r="Q39" s="830"/>
      <c r="R39" s="40"/>
    </row>
    <row r="40" spans="1:18" x14ac:dyDescent="0.2">
      <c r="A40" s="1856" t="s">
        <v>4747</v>
      </c>
      <c r="B40" s="2084"/>
      <c r="C40" s="2083"/>
      <c r="D40" s="2083"/>
      <c r="E40" s="2083"/>
      <c r="F40" s="130">
        <f>'Sec 94'!C9</f>
        <v>2272700</v>
      </c>
      <c r="G40" s="132">
        <f>F43</f>
        <v>2908500</v>
      </c>
      <c r="H40" s="132">
        <f t="shared" ref="H40:Q40" si="7">G43</f>
        <v>4656500</v>
      </c>
      <c r="I40" s="132">
        <f t="shared" si="7"/>
        <v>10430500</v>
      </c>
      <c r="J40" s="132">
        <f t="shared" si="7"/>
        <v>626500</v>
      </c>
      <c r="K40" s="132">
        <f t="shared" si="7"/>
        <v>5717500</v>
      </c>
      <c r="L40" s="132">
        <f t="shared" si="7"/>
        <v>3310220.1218385231</v>
      </c>
      <c r="M40" s="132">
        <f t="shared" si="7"/>
        <v>1600207.2101822719</v>
      </c>
      <c r="N40" s="132">
        <f t="shared" si="7"/>
        <v>3271207.2101822719</v>
      </c>
      <c r="O40" s="132">
        <f t="shared" si="7"/>
        <v>4975207.2101822719</v>
      </c>
      <c r="P40" s="132">
        <f t="shared" si="7"/>
        <v>6713207.2101822719</v>
      </c>
      <c r="Q40" s="830">
        <f t="shared" si="7"/>
        <v>8486207.2101822719</v>
      </c>
    </row>
    <row r="41" spans="1:18" x14ac:dyDescent="0.2">
      <c r="A41" s="1856" t="s">
        <v>6016</v>
      </c>
      <c r="B41" s="2084"/>
      <c r="C41" s="2083"/>
      <c r="D41" s="2083"/>
      <c r="E41" s="2083"/>
      <c r="F41" s="130">
        <f>'Sec 94'!E25</f>
        <v>768300</v>
      </c>
      <c r="G41" s="132">
        <f>'Sec 94'!F25</f>
        <v>1748000</v>
      </c>
      <c r="H41" s="132">
        <f>'Sec 94'!G25</f>
        <v>5774000</v>
      </c>
      <c r="I41" s="132">
        <f>'Sec 94'!H25</f>
        <v>6918000</v>
      </c>
      <c r="J41" s="132">
        <f>'Sec 94'!I25</f>
        <v>5091000</v>
      </c>
      <c r="K41" s="132">
        <f>'Sec 94'!J25</f>
        <v>11218000</v>
      </c>
      <c r="L41" s="132">
        <f>'Sec 94'!K25</f>
        <v>11442000</v>
      </c>
      <c r="M41" s="132">
        <f>'Sec 94'!L25</f>
        <v>1671000</v>
      </c>
      <c r="N41" s="132">
        <f>'Sec 94'!M25</f>
        <v>1704000</v>
      </c>
      <c r="O41" s="132">
        <f>'Sec 94'!N25</f>
        <v>1738000</v>
      </c>
      <c r="P41" s="132">
        <f>'Sec 94'!O25</f>
        <v>1773000</v>
      </c>
      <c r="Q41" s="830">
        <f>'Sec 94'!P25</f>
        <v>1808000</v>
      </c>
    </row>
    <row r="42" spans="1:18" x14ac:dyDescent="0.2">
      <c r="A42" s="1856" t="s">
        <v>6017</v>
      </c>
      <c r="B42" s="2084"/>
      <c r="C42" s="2083"/>
      <c r="D42" s="2083"/>
      <c r="E42" s="2083"/>
      <c r="F42" s="130">
        <f>'Sec 94'!E77</f>
        <v>132500</v>
      </c>
      <c r="G42" s="132">
        <f>G35</f>
        <v>0</v>
      </c>
      <c r="H42" s="132">
        <f t="shared" ref="H42:O42" si="8">H35</f>
        <v>0</v>
      </c>
      <c r="I42" s="132">
        <f t="shared" si="8"/>
        <v>16722000</v>
      </c>
      <c r="J42" s="132">
        <f t="shared" si="8"/>
        <v>0</v>
      </c>
      <c r="K42" s="132">
        <f t="shared" si="8"/>
        <v>13625279.878161477</v>
      </c>
      <c r="L42" s="132">
        <f t="shared" si="8"/>
        <v>13152012.911656251</v>
      </c>
      <c r="M42" s="132">
        <f t="shared" si="8"/>
        <v>0</v>
      </c>
      <c r="N42" s="132">
        <f t="shared" si="8"/>
        <v>0</v>
      </c>
      <c r="O42" s="132">
        <f t="shared" si="8"/>
        <v>0</v>
      </c>
      <c r="P42" s="132">
        <f t="shared" ref="P42:Q42" si="9">P35</f>
        <v>0</v>
      </c>
      <c r="Q42" s="830">
        <f t="shared" si="9"/>
        <v>0</v>
      </c>
    </row>
    <row r="43" spans="1:18" s="1854" customFormat="1" ht="13.5" thickBot="1" x14ac:dyDescent="0.25">
      <c r="A43" s="1858" t="s">
        <v>4746</v>
      </c>
      <c r="B43" s="2085"/>
      <c r="C43" s="2086"/>
      <c r="D43" s="2086"/>
      <c r="E43" s="2086"/>
      <c r="F43" s="1861">
        <f>F40+F41-F42</f>
        <v>2908500</v>
      </c>
      <c r="G43" s="1855">
        <f t="shared" ref="G43:O43" si="10">G40+G41-G42</f>
        <v>4656500</v>
      </c>
      <c r="H43" s="1855">
        <f t="shared" si="10"/>
        <v>10430500</v>
      </c>
      <c r="I43" s="1855">
        <f t="shared" si="10"/>
        <v>626500</v>
      </c>
      <c r="J43" s="1855">
        <f t="shared" si="10"/>
        <v>5717500</v>
      </c>
      <c r="K43" s="1855">
        <f t="shared" si="10"/>
        <v>3310220.1218385231</v>
      </c>
      <c r="L43" s="1855">
        <f t="shared" si="10"/>
        <v>1600207.2101822719</v>
      </c>
      <c r="M43" s="1855">
        <f t="shared" si="10"/>
        <v>3271207.2101822719</v>
      </c>
      <c r="N43" s="1855">
        <f t="shared" si="10"/>
        <v>4975207.2101822719</v>
      </c>
      <c r="O43" s="1855">
        <f t="shared" si="10"/>
        <v>6713207.2101822719</v>
      </c>
      <c r="P43" s="1855">
        <f t="shared" ref="P43:Q43" si="11">P40+P41-P42</f>
        <v>8486207.2101822719</v>
      </c>
      <c r="Q43" s="2166">
        <f t="shared" si="11"/>
        <v>10294207.210182272</v>
      </c>
      <c r="R43" s="40"/>
    </row>
    <row r="44" spans="1:18" ht="14.25" thickTop="1" thickBot="1" x14ac:dyDescent="0.25">
      <c r="A44" s="1859"/>
      <c r="B44" s="2088"/>
      <c r="C44" s="2089"/>
      <c r="D44" s="2089"/>
      <c r="E44" s="2089"/>
      <c r="F44" s="95"/>
      <c r="G44" s="121"/>
      <c r="H44" s="121"/>
      <c r="I44" s="121"/>
      <c r="J44" s="121"/>
      <c r="K44" s="121"/>
      <c r="L44" s="121"/>
      <c r="M44" s="121"/>
      <c r="N44" s="121"/>
      <c r="O44" s="121"/>
      <c r="P44" s="121"/>
      <c r="Q44" s="2168"/>
    </row>
  </sheetData>
  <mergeCells count="1">
    <mergeCell ref="A2:O2"/>
  </mergeCells>
  <pageMargins left="0.70866141732283472" right="0.70866141732283472" top="0.74803149606299213" bottom="0.74803149606299213" header="0.31496062992125984" footer="0.31496062992125984"/>
  <pageSetup paperSize="8" scale="74"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R353"/>
  <sheetViews>
    <sheetView topLeftCell="A280" workbookViewId="0">
      <selection activeCell="D314" sqref="D314"/>
    </sheetView>
  </sheetViews>
  <sheetFormatPr defaultColWidth="9.140625" defaultRowHeight="12.75" x14ac:dyDescent="0.2"/>
  <cols>
    <col min="1" max="2" width="11.28515625" style="23" bestFit="1" customWidth="1"/>
    <col min="3" max="3" width="11.7109375" style="23" bestFit="1" customWidth="1"/>
    <col min="4" max="4" width="40.7109375" style="23" customWidth="1"/>
    <col min="5" max="5" width="11.28515625" style="84" bestFit="1" customWidth="1"/>
    <col min="6" max="6" width="5.5703125" style="23" bestFit="1" customWidth="1"/>
    <col min="7" max="16" width="11.28515625" style="23" bestFit="1" customWidth="1"/>
    <col min="17" max="22" width="12.7109375" style="23" customWidth="1"/>
    <col min="23" max="23" width="9.140625" style="23"/>
    <col min="24" max="25" width="12.7109375" style="23" customWidth="1"/>
    <col min="26" max="16384" width="9.140625" style="23"/>
  </cols>
  <sheetData>
    <row r="1" spans="1:16" s="506" customFormat="1" ht="19.5" thickTop="1" thickBot="1" x14ac:dyDescent="0.3">
      <c r="A1" s="2842" t="s">
        <v>7029</v>
      </c>
      <c r="B1" s="2843"/>
      <c r="C1" s="2843"/>
      <c r="D1" s="2843"/>
      <c r="E1" s="2843"/>
      <c r="F1" s="2843"/>
      <c r="G1" s="2843"/>
      <c r="H1" s="2843"/>
      <c r="I1" s="2843"/>
      <c r="J1" s="2843"/>
      <c r="K1" s="2843"/>
      <c r="L1" s="2843"/>
      <c r="M1" s="2843"/>
      <c r="N1" s="2843"/>
      <c r="O1" s="2843"/>
      <c r="P1" s="2844"/>
    </row>
    <row r="2" spans="1:16" x14ac:dyDescent="0.2">
      <c r="A2" s="2845" t="str">
        <f>$A$126</f>
        <v>ACTUAL</v>
      </c>
      <c r="B2" s="2846"/>
      <c r="C2" s="2847"/>
      <c r="D2" s="2134" t="str">
        <f>$D$126</f>
        <v>ITEM</v>
      </c>
      <c r="E2" s="2839" t="s">
        <v>2253</v>
      </c>
      <c r="F2" s="2840"/>
      <c r="G2" s="2840"/>
      <c r="H2" s="2840"/>
      <c r="I2" s="2840"/>
      <c r="J2" s="2840"/>
      <c r="K2" s="2840"/>
      <c r="L2" s="2840"/>
      <c r="M2" s="2840"/>
      <c r="N2" s="2840"/>
      <c r="O2" s="2840"/>
      <c r="P2" s="2841"/>
    </row>
    <row r="3" spans="1:16" ht="13.5" thickBot="1" x14ac:dyDescent="0.25">
      <c r="A3" s="1496" t="str">
        <f>A182</f>
        <v>2013/14</v>
      </c>
      <c r="B3" s="218" t="str">
        <f>B182</f>
        <v>2014/15</v>
      </c>
      <c r="C3" s="219" t="str">
        <f>C182</f>
        <v>2015/16</v>
      </c>
      <c r="D3" s="1991"/>
      <c r="E3" s="147" t="str">
        <f t="shared" ref="E3:N3" si="0">E182</f>
        <v>2016/17</v>
      </c>
      <c r="F3" s="48" t="str">
        <f t="shared" ref="F3" si="1">F182</f>
        <v>%</v>
      </c>
      <c r="G3" s="219" t="str">
        <f t="shared" si="0"/>
        <v>2017/18</v>
      </c>
      <c r="H3" s="49" t="str">
        <f t="shared" si="0"/>
        <v>2018/19</v>
      </c>
      <c r="I3" s="47" t="str">
        <f t="shared" si="0"/>
        <v>2019/20</v>
      </c>
      <c r="J3" s="219" t="str">
        <f t="shared" si="0"/>
        <v>2020/21</v>
      </c>
      <c r="K3" s="306" t="str">
        <f t="shared" si="0"/>
        <v>2021/22</v>
      </c>
      <c r="L3" s="219" t="str">
        <f t="shared" si="0"/>
        <v>2022/23</v>
      </c>
      <c r="M3" s="219" t="str">
        <f t="shared" si="0"/>
        <v>2023/24</v>
      </c>
      <c r="N3" s="219" t="str">
        <f t="shared" si="0"/>
        <v>2024/25</v>
      </c>
      <c r="O3" s="219" t="str">
        <f t="shared" ref="O3" si="2">O182</f>
        <v>2025/26</v>
      </c>
      <c r="P3" s="305" t="str">
        <f t="shared" ref="P3" si="3">P182</f>
        <v>2026/27</v>
      </c>
    </row>
    <row r="4" spans="1:16" x14ac:dyDescent="0.2">
      <c r="A4" s="1497"/>
      <c r="B4" s="21"/>
      <c r="C4" s="21"/>
      <c r="D4" s="30"/>
      <c r="E4" s="33"/>
      <c r="F4" s="21"/>
      <c r="G4" s="21"/>
      <c r="H4" s="20"/>
      <c r="I4" s="21"/>
      <c r="J4" s="21"/>
      <c r="K4" s="22"/>
      <c r="L4" s="21"/>
      <c r="M4" s="21"/>
      <c r="N4" s="21"/>
      <c r="O4" s="21"/>
      <c r="P4" s="31"/>
    </row>
    <row r="5" spans="1:16" x14ac:dyDescent="0.2">
      <c r="A5" s="1497"/>
      <c r="B5" s="21"/>
      <c r="C5" s="21"/>
      <c r="D5" s="1075" t="s">
        <v>2596</v>
      </c>
      <c r="E5" s="33"/>
      <c r="F5" s="21"/>
      <c r="G5" s="21"/>
      <c r="H5" s="20"/>
      <c r="I5" s="21"/>
      <c r="J5" s="21"/>
      <c r="K5" s="22"/>
      <c r="L5" s="21"/>
      <c r="M5" s="21"/>
      <c r="N5" s="21"/>
      <c r="O5" s="21"/>
      <c r="P5" s="31"/>
    </row>
    <row r="6" spans="1:16" x14ac:dyDescent="0.2">
      <c r="A6" s="1497"/>
      <c r="B6" s="21"/>
      <c r="C6" s="21"/>
      <c r="D6" s="1075"/>
      <c r="E6" s="33"/>
      <c r="F6" s="21"/>
      <c r="G6" s="21"/>
      <c r="H6" s="20"/>
      <c r="I6" s="21"/>
      <c r="J6" s="21"/>
      <c r="K6" s="22"/>
      <c r="L6" s="21"/>
      <c r="M6" s="21"/>
      <c r="N6" s="21"/>
      <c r="O6" s="21"/>
      <c r="P6" s="31"/>
    </row>
    <row r="7" spans="1:16" x14ac:dyDescent="0.2">
      <c r="A7" s="1497"/>
      <c r="B7" s="21"/>
      <c r="C7" s="21"/>
      <c r="D7" s="1992" t="s">
        <v>0</v>
      </c>
      <c r="E7" s="33"/>
      <c r="F7" s="19"/>
      <c r="G7" s="21"/>
      <c r="H7" s="20"/>
      <c r="I7" s="21"/>
      <c r="J7" s="21"/>
      <c r="K7" s="22"/>
      <c r="L7" s="21"/>
      <c r="M7" s="21"/>
      <c r="N7" s="21"/>
      <c r="O7" s="21"/>
      <c r="P7" s="31"/>
    </row>
    <row r="8" spans="1:16" x14ac:dyDescent="0.2">
      <c r="A8" s="1497">
        <f t="shared" ref="A8:B12" si="4">A39+A70+A101</f>
        <v>38830200</v>
      </c>
      <c r="B8" s="21">
        <f t="shared" si="4"/>
        <v>40827600</v>
      </c>
      <c r="C8" s="21">
        <f t="shared" ref="C8:C13" si="5">C39+C70+C101</f>
        <v>43406800</v>
      </c>
      <c r="D8" s="1993" t="s">
        <v>2335</v>
      </c>
      <c r="E8" s="33">
        <f t="shared" ref="E8:M8" si="6">E39+E70+E101</f>
        <v>46307600</v>
      </c>
      <c r="F8" s="138">
        <f t="shared" ref="F8:F13" si="7">IF(C8=E8,0,IF(C8=0,100,(E8-C8)/C8*100))</f>
        <v>6.682823889344526</v>
      </c>
      <c r="G8" s="21">
        <f t="shared" si="6"/>
        <v>46749600</v>
      </c>
      <c r="H8" s="20">
        <f t="shared" si="6"/>
        <v>48777900</v>
      </c>
      <c r="I8" s="21">
        <f t="shared" si="6"/>
        <v>50911300</v>
      </c>
      <c r="J8" s="21">
        <f t="shared" si="6"/>
        <v>52638600</v>
      </c>
      <c r="K8" s="22">
        <f t="shared" si="6"/>
        <v>54252100</v>
      </c>
      <c r="L8" s="21">
        <f t="shared" si="6"/>
        <v>55918500</v>
      </c>
      <c r="M8" s="21">
        <f t="shared" si="6"/>
        <v>57634700</v>
      </c>
      <c r="N8" s="21">
        <f t="shared" ref="N8:P8" si="8">N39+N70+N101</f>
        <v>59402400</v>
      </c>
      <c r="O8" s="21">
        <f t="shared" si="8"/>
        <v>61226500</v>
      </c>
      <c r="P8" s="31">
        <f t="shared" si="8"/>
        <v>63783800</v>
      </c>
    </row>
    <row r="9" spans="1:16" x14ac:dyDescent="0.2">
      <c r="A9" s="1497">
        <f t="shared" si="4"/>
        <v>16956700</v>
      </c>
      <c r="B9" s="21">
        <f t="shared" si="4"/>
        <v>17512900</v>
      </c>
      <c r="C9" s="21">
        <f t="shared" si="5"/>
        <v>18521200</v>
      </c>
      <c r="D9" s="1993" t="s">
        <v>2376</v>
      </c>
      <c r="E9" s="33">
        <f t="shared" ref="E9:M9" si="9">E40+E71+E102</f>
        <v>19221400</v>
      </c>
      <c r="F9" s="138">
        <f t="shared" si="7"/>
        <v>3.7805325788825774</v>
      </c>
      <c r="G9" s="21">
        <f t="shared" si="9"/>
        <v>19286000</v>
      </c>
      <c r="H9" s="20">
        <f t="shared" si="9"/>
        <v>19954200</v>
      </c>
      <c r="I9" s="21">
        <f t="shared" si="9"/>
        <v>20570500</v>
      </c>
      <c r="J9" s="21">
        <f t="shared" si="9"/>
        <v>21273100</v>
      </c>
      <c r="K9" s="22">
        <f t="shared" si="9"/>
        <v>21914500</v>
      </c>
      <c r="L9" s="21">
        <f t="shared" si="9"/>
        <v>22537400</v>
      </c>
      <c r="M9" s="21">
        <f t="shared" si="9"/>
        <v>23181000</v>
      </c>
      <c r="N9" s="21">
        <f t="shared" ref="N9:P9" si="10">N40+N71+N102</f>
        <v>23846100</v>
      </c>
      <c r="O9" s="21">
        <f t="shared" si="10"/>
        <v>24533400</v>
      </c>
      <c r="P9" s="31">
        <f t="shared" si="10"/>
        <v>25209700</v>
      </c>
    </row>
    <row r="10" spans="1:16" x14ac:dyDescent="0.2">
      <c r="A10" s="1497">
        <f t="shared" si="4"/>
        <v>3487300</v>
      </c>
      <c r="B10" s="21">
        <f t="shared" si="4"/>
        <v>2499400</v>
      </c>
      <c r="C10" s="21">
        <f t="shared" si="5"/>
        <v>2133600</v>
      </c>
      <c r="D10" s="1993" t="s">
        <v>4242</v>
      </c>
      <c r="E10" s="33">
        <f t="shared" ref="E10:M10" si="11">E41+E72+E103</f>
        <v>1798500</v>
      </c>
      <c r="F10" s="138">
        <f t="shared" si="7"/>
        <v>-15.705849268841396</v>
      </c>
      <c r="G10" s="21">
        <f t="shared" si="11"/>
        <v>1748500</v>
      </c>
      <c r="H10" s="20">
        <f t="shared" si="11"/>
        <v>1801500</v>
      </c>
      <c r="I10" s="21">
        <f t="shared" si="11"/>
        <v>1808400</v>
      </c>
      <c r="J10" s="21">
        <f t="shared" si="11"/>
        <v>1843500</v>
      </c>
      <c r="K10" s="22">
        <f t="shared" si="11"/>
        <v>1791400</v>
      </c>
      <c r="L10" s="21">
        <f t="shared" si="11"/>
        <v>1729600</v>
      </c>
      <c r="M10" s="21">
        <f t="shared" si="11"/>
        <v>1752000</v>
      </c>
      <c r="N10" s="21">
        <f t="shared" ref="N10:P10" si="12">N41+N72+N103</f>
        <v>1841300</v>
      </c>
      <c r="O10" s="21">
        <f t="shared" si="12"/>
        <v>2039100</v>
      </c>
      <c r="P10" s="31">
        <f t="shared" si="12"/>
        <v>2359200</v>
      </c>
    </row>
    <row r="11" spans="1:16" x14ac:dyDescent="0.2">
      <c r="A11" s="1497">
        <f t="shared" si="4"/>
        <v>5816100</v>
      </c>
      <c r="B11" s="21">
        <f t="shared" si="4"/>
        <v>5281800</v>
      </c>
      <c r="C11" s="21">
        <f t="shared" si="5"/>
        <v>3659900</v>
      </c>
      <c r="D11" s="1993" t="s">
        <v>428</v>
      </c>
      <c r="E11" s="33">
        <f t="shared" ref="E11:M11" si="13">E42+E73+E104</f>
        <v>5224300</v>
      </c>
      <c r="F11" s="138">
        <f t="shared" si="7"/>
        <v>42.744337276974782</v>
      </c>
      <c r="G11" s="21">
        <f t="shared" si="13"/>
        <v>6225500</v>
      </c>
      <c r="H11" s="20">
        <f t="shared" si="13"/>
        <v>5928700</v>
      </c>
      <c r="I11" s="21">
        <f t="shared" si="13"/>
        <v>6658200</v>
      </c>
      <c r="J11" s="21">
        <f t="shared" si="13"/>
        <v>6160100</v>
      </c>
      <c r="K11" s="22">
        <f t="shared" si="13"/>
        <v>6994000</v>
      </c>
      <c r="L11" s="21">
        <f t="shared" si="13"/>
        <v>6486500</v>
      </c>
      <c r="M11" s="21">
        <f t="shared" si="13"/>
        <v>7429400</v>
      </c>
      <c r="N11" s="21">
        <f t="shared" ref="N11:P11" si="14">N42+N73+N104</f>
        <v>6828200</v>
      </c>
      <c r="O11" s="21">
        <f t="shared" si="14"/>
        <v>7707200</v>
      </c>
      <c r="P11" s="31">
        <f t="shared" si="14"/>
        <v>7900200</v>
      </c>
    </row>
    <row r="12" spans="1:16" x14ac:dyDescent="0.2">
      <c r="A12" s="1497">
        <f t="shared" si="4"/>
        <v>6082600</v>
      </c>
      <c r="B12" s="21">
        <f t="shared" si="4"/>
        <v>8150300</v>
      </c>
      <c r="C12" s="21">
        <f t="shared" si="5"/>
        <v>9389200</v>
      </c>
      <c r="D12" s="1993" t="s">
        <v>4252</v>
      </c>
      <c r="E12" s="33">
        <f t="shared" ref="E12:M12" si="15">E43+E74+E105</f>
        <v>10625700</v>
      </c>
      <c r="F12" s="138">
        <f t="shared" si="7"/>
        <v>13.169386103182379</v>
      </c>
      <c r="G12" s="21">
        <f t="shared" si="15"/>
        <v>7685700</v>
      </c>
      <c r="H12" s="20">
        <f t="shared" si="15"/>
        <v>7539500</v>
      </c>
      <c r="I12" s="21">
        <f t="shared" si="15"/>
        <v>7527600</v>
      </c>
      <c r="J12" s="21">
        <f t="shared" si="15"/>
        <v>7629500</v>
      </c>
      <c r="K12" s="22">
        <f t="shared" si="15"/>
        <v>7721600</v>
      </c>
      <c r="L12" s="21">
        <f t="shared" si="15"/>
        <v>7821400</v>
      </c>
      <c r="M12" s="21">
        <f t="shared" si="15"/>
        <v>7954700</v>
      </c>
      <c r="N12" s="21">
        <f t="shared" ref="N12:P12" si="16">N43+N74+N105</f>
        <v>8100500</v>
      </c>
      <c r="O12" s="21">
        <f t="shared" si="16"/>
        <v>8251700</v>
      </c>
      <c r="P12" s="31">
        <f t="shared" si="16"/>
        <v>8405800</v>
      </c>
    </row>
    <row r="13" spans="1:16" x14ac:dyDescent="0.2">
      <c r="A13" s="1497">
        <f>A44+A75+A106-Assumptions!D114</f>
        <v>13395700</v>
      </c>
      <c r="B13" s="21">
        <f>B44+B75+B106</f>
        <v>15663700</v>
      </c>
      <c r="C13" s="21">
        <f t="shared" si="5"/>
        <v>15014000</v>
      </c>
      <c r="D13" s="1993" t="s">
        <v>4253</v>
      </c>
      <c r="E13" s="33">
        <f t="shared" ref="E13:M13" si="17">E44+E75+E106</f>
        <v>14553600</v>
      </c>
      <c r="F13" s="138">
        <f t="shared" si="7"/>
        <v>-3.0664712934594376</v>
      </c>
      <c r="G13" s="20">
        <f t="shared" si="17"/>
        <v>20499300</v>
      </c>
      <c r="H13" s="20">
        <f t="shared" si="17"/>
        <v>13192800</v>
      </c>
      <c r="I13" s="20">
        <f t="shared" si="17"/>
        <v>11063600</v>
      </c>
      <c r="J13" s="20">
        <f t="shared" si="17"/>
        <v>17142200</v>
      </c>
      <c r="K13" s="20">
        <f t="shared" si="17"/>
        <v>17490500</v>
      </c>
      <c r="L13" s="20">
        <f t="shared" si="17"/>
        <v>7834300</v>
      </c>
      <c r="M13" s="21">
        <f t="shared" si="17"/>
        <v>7982600</v>
      </c>
      <c r="N13" s="21">
        <f t="shared" ref="N13:P13" si="18">N44+N75+N106</f>
        <v>8134300</v>
      </c>
      <c r="O13" s="21">
        <f t="shared" si="18"/>
        <v>8287500</v>
      </c>
      <c r="P13" s="31">
        <f t="shared" si="18"/>
        <v>8442400</v>
      </c>
    </row>
    <row r="14" spans="1:16" x14ac:dyDescent="0.2">
      <c r="A14" s="1497"/>
      <c r="B14" s="21"/>
      <c r="C14" s="21"/>
      <c r="D14" s="1992" t="s">
        <v>4247</v>
      </c>
      <c r="E14" s="33"/>
      <c r="F14" s="19"/>
      <c r="G14" s="21"/>
      <c r="H14" s="20"/>
      <c r="I14" s="21"/>
      <c r="J14" s="21"/>
      <c r="K14" s="22"/>
      <c r="L14" s="21"/>
      <c r="M14" s="21"/>
      <c r="N14" s="21"/>
      <c r="O14" s="21"/>
      <c r="P14" s="31"/>
    </row>
    <row r="15" spans="1:16" x14ac:dyDescent="0.2">
      <c r="A15" s="1497">
        <f>A46+A77+A108</f>
        <v>5700</v>
      </c>
      <c r="B15" s="21">
        <f>B46+B77+B108</f>
        <v>0</v>
      </c>
      <c r="C15" s="21">
        <f>C46+C77+C108</f>
        <v>0</v>
      </c>
      <c r="D15" s="1993" t="s">
        <v>4248</v>
      </c>
      <c r="E15" s="33">
        <f t="shared" ref="E15:N15" si="19">E46+E77+E108</f>
        <v>0</v>
      </c>
      <c r="F15" s="138">
        <f>IF(C15=E15,0,IF(C15=0,100,(E15-C15)/C15*100))</f>
        <v>0</v>
      </c>
      <c r="G15" s="21">
        <f t="shared" si="19"/>
        <v>0</v>
      </c>
      <c r="H15" s="20">
        <f t="shared" si="19"/>
        <v>0</v>
      </c>
      <c r="I15" s="21">
        <f t="shared" si="19"/>
        <v>0</v>
      </c>
      <c r="J15" s="21">
        <f t="shared" si="19"/>
        <v>0</v>
      </c>
      <c r="K15" s="22">
        <f t="shared" si="19"/>
        <v>0</v>
      </c>
      <c r="L15" s="21">
        <f t="shared" si="19"/>
        <v>0</v>
      </c>
      <c r="M15" s="21">
        <f t="shared" si="19"/>
        <v>0</v>
      </c>
      <c r="N15" s="21">
        <f t="shared" si="19"/>
        <v>0</v>
      </c>
      <c r="O15" s="21">
        <f t="shared" ref="O15" si="20">O46+O77+O108</f>
        <v>0</v>
      </c>
      <c r="P15" s="31">
        <f t="shared" ref="P15" si="21">P46+P77+P108</f>
        <v>0</v>
      </c>
    </row>
    <row r="16" spans="1:16" s="40" customFormat="1" x14ac:dyDescent="0.2">
      <c r="A16" s="1504">
        <f>SUM(A8:A15)</f>
        <v>84574300</v>
      </c>
      <c r="B16" s="82">
        <f>SUM(B8:B15)</f>
        <v>89935700</v>
      </c>
      <c r="C16" s="82">
        <f>SUM(C8:C15)</f>
        <v>92124700</v>
      </c>
      <c r="D16" s="1992" t="s">
        <v>4243</v>
      </c>
      <c r="E16" s="116">
        <f t="shared" ref="E16:M16" si="22">SUM(E8:E15)</f>
        <v>97731100</v>
      </c>
      <c r="F16" s="1326">
        <f>IF(C16=E16,0,IF(C16=0,100,(E16-C16)/C16*100))</f>
        <v>6.0856643223804259</v>
      </c>
      <c r="G16" s="82">
        <f t="shared" si="22"/>
        <v>102194600</v>
      </c>
      <c r="H16" s="83">
        <f t="shared" si="22"/>
        <v>97194600</v>
      </c>
      <c r="I16" s="82">
        <f t="shared" si="22"/>
        <v>98539600</v>
      </c>
      <c r="J16" s="82">
        <f t="shared" si="22"/>
        <v>106687000</v>
      </c>
      <c r="K16" s="58">
        <f t="shared" si="22"/>
        <v>110164100</v>
      </c>
      <c r="L16" s="82">
        <f t="shared" si="22"/>
        <v>102327700</v>
      </c>
      <c r="M16" s="82">
        <f t="shared" si="22"/>
        <v>105934400</v>
      </c>
      <c r="N16" s="82">
        <f t="shared" ref="N16:O16" si="23">SUM(N8:N15)</f>
        <v>108152800</v>
      </c>
      <c r="O16" s="82">
        <f t="shared" si="23"/>
        <v>112045400</v>
      </c>
      <c r="P16" s="72">
        <f t="shared" ref="P16" si="24">SUM(P8:P15)</f>
        <v>116101100</v>
      </c>
    </row>
    <row r="17" spans="1:16" x14ac:dyDescent="0.2">
      <c r="A17" s="1497"/>
      <c r="B17" s="21"/>
      <c r="C17" s="21"/>
      <c r="D17" s="1992"/>
      <c r="E17" s="33"/>
      <c r="F17" s="19"/>
      <c r="G17" s="21"/>
      <c r="H17" s="20"/>
      <c r="I17" s="21"/>
      <c r="J17" s="21"/>
      <c r="K17" s="22"/>
      <c r="L17" s="21"/>
      <c r="M17" s="21"/>
      <c r="N17" s="21"/>
      <c r="O17" s="21"/>
      <c r="P17" s="31"/>
    </row>
    <row r="18" spans="1:16" x14ac:dyDescent="0.2">
      <c r="A18" s="1497"/>
      <c r="B18" s="21"/>
      <c r="C18" s="21"/>
      <c r="D18" s="1992" t="s">
        <v>2052</v>
      </c>
      <c r="E18" s="33"/>
      <c r="F18" s="19"/>
      <c r="G18" s="21"/>
      <c r="H18" s="20"/>
      <c r="I18" s="21"/>
      <c r="J18" s="21"/>
      <c r="K18" s="22"/>
      <c r="L18" s="21"/>
      <c r="M18" s="21"/>
      <c r="N18" s="21"/>
      <c r="O18" s="21"/>
      <c r="P18" s="31"/>
    </row>
    <row r="19" spans="1:16" x14ac:dyDescent="0.2">
      <c r="A19" s="1497">
        <f t="shared" ref="A19:B24" si="25">A50+A81+A112</f>
        <v>19710600</v>
      </c>
      <c r="B19" s="21">
        <f t="shared" si="25"/>
        <v>20435100</v>
      </c>
      <c r="C19" s="21">
        <f t="shared" ref="C19:C24" si="26">C50+C81+C112</f>
        <v>21690000</v>
      </c>
      <c r="D19" s="1993" t="s">
        <v>4244</v>
      </c>
      <c r="E19" s="33">
        <f t="shared" ref="E19:N19" si="27">E50+E81+E112</f>
        <v>22364000</v>
      </c>
      <c r="F19" s="138">
        <f t="shared" ref="F19:F25" si="28">IF(C19=E19,0,IF(C19=0,100,(E19-C19)/C19*100))</f>
        <v>3.1074227754725681</v>
      </c>
      <c r="G19" s="21">
        <f t="shared" si="27"/>
        <v>23059000</v>
      </c>
      <c r="H19" s="20">
        <f t="shared" si="27"/>
        <v>23775000</v>
      </c>
      <c r="I19" s="21">
        <f t="shared" si="27"/>
        <v>24513000</v>
      </c>
      <c r="J19" s="21">
        <f t="shared" si="27"/>
        <v>25274000</v>
      </c>
      <c r="K19" s="22">
        <f t="shared" si="27"/>
        <v>26059000</v>
      </c>
      <c r="L19" s="21">
        <f t="shared" si="27"/>
        <v>26868000</v>
      </c>
      <c r="M19" s="21">
        <f t="shared" si="27"/>
        <v>27703000</v>
      </c>
      <c r="N19" s="21">
        <f t="shared" si="27"/>
        <v>28563000</v>
      </c>
      <c r="O19" s="21">
        <f t="shared" ref="O19" si="29">O50+O81+O112</f>
        <v>29450000</v>
      </c>
      <c r="P19" s="31">
        <f t="shared" ref="P19" si="30">P50+P81+P112</f>
        <v>30365000</v>
      </c>
    </row>
    <row r="20" spans="1:16" x14ac:dyDescent="0.2">
      <c r="A20" s="1497">
        <f t="shared" si="25"/>
        <v>6839800</v>
      </c>
      <c r="B20" s="21">
        <f t="shared" si="25"/>
        <v>6560800</v>
      </c>
      <c r="C20" s="21">
        <f t="shared" si="26"/>
        <v>5993600</v>
      </c>
      <c r="D20" s="1993" t="s">
        <v>2188</v>
      </c>
      <c r="E20" s="33">
        <f t="shared" ref="E20:N20" si="31">E51+E82+E113</f>
        <v>5594800</v>
      </c>
      <c r="F20" s="138">
        <f t="shared" si="28"/>
        <v>-6.6537640149492789</v>
      </c>
      <c r="G20" s="20">
        <f t="shared" si="31"/>
        <v>5577700</v>
      </c>
      <c r="H20" s="20">
        <f t="shared" si="31"/>
        <v>5064400</v>
      </c>
      <c r="I20" s="20">
        <f t="shared" si="31"/>
        <v>4789800</v>
      </c>
      <c r="J20" s="20">
        <f t="shared" si="31"/>
        <v>4392400</v>
      </c>
      <c r="K20" s="20">
        <f t="shared" si="31"/>
        <v>4377700</v>
      </c>
      <c r="L20" s="20">
        <f t="shared" si="31"/>
        <v>4021900</v>
      </c>
      <c r="M20" s="21">
        <f t="shared" si="31"/>
        <v>3710800</v>
      </c>
      <c r="N20" s="21">
        <f t="shared" si="31"/>
        <v>3414800</v>
      </c>
      <c r="O20" s="21">
        <f t="shared" ref="O20" si="32">O51+O82+O113</f>
        <v>3142800</v>
      </c>
      <c r="P20" s="31">
        <f t="shared" ref="P20" si="33">P51+P82+P113</f>
        <v>2889900</v>
      </c>
    </row>
    <row r="21" spans="1:16" x14ac:dyDescent="0.2">
      <c r="A21" s="1497">
        <f t="shared" si="25"/>
        <v>22382700</v>
      </c>
      <c r="B21" s="21">
        <f t="shared" si="25"/>
        <v>24670300</v>
      </c>
      <c r="C21" s="21">
        <f t="shared" si="26"/>
        <v>23802300</v>
      </c>
      <c r="D21" s="1993" t="s">
        <v>2375</v>
      </c>
      <c r="E21" s="33">
        <f t="shared" ref="E21:N21" si="34">E52+E83+E114</f>
        <v>25740700</v>
      </c>
      <c r="F21" s="138">
        <f t="shared" si="28"/>
        <v>8.1437508139969665</v>
      </c>
      <c r="G21" s="20">
        <f t="shared" si="34"/>
        <v>21923300</v>
      </c>
      <c r="H21" s="20">
        <f t="shared" si="34"/>
        <v>22721100</v>
      </c>
      <c r="I21" s="20">
        <f t="shared" si="34"/>
        <v>23322100</v>
      </c>
      <c r="J21" s="20">
        <f t="shared" si="34"/>
        <v>23687600</v>
      </c>
      <c r="K21" s="20">
        <f t="shared" si="34"/>
        <v>24103000</v>
      </c>
      <c r="L21" s="20">
        <f t="shared" si="34"/>
        <v>24319900</v>
      </c>
      <c r="M21" s="21">
        <f t="shared" si="34"/>
        <v>24683100</v>
      </c>
      <c r="N21" s="21">
        <f t="shared" si="34"/>
        <v>24911100</v>
      </c>
      <c r="O21" s="21">
        <f t="shared" ref="O21" si="35">O52+O83+O114</f>
        <v>25225600</v>
      </c>
      <c r="P21" s="31">
        <f t="shared" ref="P21" si="36">P52+P83+P114</f>
        <v>25373900</v>
      </c>
    </row>
    <row r="22" spans="1:16" x14ac:dyDescent="0.2">
      <c r="A22" s="1497">
        <f t="shared" si="25"/>
        <v>20368600</v>
      </c>
      <c r="B22" s="21">
        <f t="shared" si="25"/>
        <v>17939000</v>
      </c>
      <c r="C22" s="21">
        <f t="shared" si="26"/>
        <v>19197600</v>
      </c>
      <c r="D22" s="1993" t="s">
        <v>4245</v>
      </c>
      <c r="E22" s="33">
        <f t="shared" ref="E22:N22" si="37">E53+E84+E115</f>
        <v>17162400</v>
      </c>
      <c r="F22" s="138">
        <f t="shared" si="28"/>
        <v>-10.601325165645706</v>
      </c>
      <c r="G22" s="21">
        <f t="shared" si="37"/>
        <v>18538900</v>
      </c>
      <c r="H22" s="20">
        <f t="shared" si="37"/>
        <v>18962900</v>
      </c>
      <c r="I22" s="21">
        <f t="shared" si="37"/>
        <v>19434900</v>
      </c>
      <c r="J22" s="21">
        <f t="shared" si="37"/>
        <v>19825300</v>
      </c>
      <c r="K22" s="22">
        <f t="shared" si="37"/>
        <v>20223000</v>
      </c>
      <c r="L22" s="21">
        <f t="shared" si="37"/>
        <v>20629200</v>
      </c>
      <c r="M22" s="21">
        <f t="shared" si="37"/>
        <v>21042700</v>
      </c>
      <c r="N22" s="21">
        <f t="shared" si="37"/>
        <v>21464900</v>
      </c>
      <c r="O22" s="21">
        <f t="shared" ref="O22" si="38">O53+O84+O115</f>
        <v>21896000</v>
      </c>
      <c r="P22" s="31">
        <f t="shared" ref="P22" si="39">P53+P84+P115</f>
        <v>22334800</v>
      </c>
    </row>
    <row r="23" spans="1:16" x14ac:dyDescent="0.2">
      <c r="A23" s="1497">
        <f t="shared" si="25"/>
        <v>11395000</v>
      </c>
      <c r="B23" s="21">
        <f t="shared" si="25"/>
        <v>7874600</v>
      </c>
      <c r="C23" s="21">
        <f t="shared" si="26"/>
        <v>10591200</v>
      </c>
      <c r="D23" s="1993" t="s">
        <v>416</v>
      </c>
      <c r="E23" s="33">
        <f t="shared" ref="E23:N23" si="40">E54+E85+E116</f>
        <v>11516900</v>
      </c>
      <c r="F23" s="138">
        <f t="shared" si="28"/>
        <v>8.7402749452375552</v>
      </c>
      <c r="G23" s="21">
        <f t="shared" si="40"/>
        <v>11829400</v>
      </c>
      <c r="H23" s="20">
        <f t="shared" si="40"/>
        <v>11469600</v>
      </c>
      <c r="I23" s="21">
        <f t="shared" si="40"/>
        <v>12436000</v>
      </c>
      <c r="J23" s="21">
        <f t="shared" si="40"/>
        <v>12357900</v>
      </c>
      <c r="K23" s="22">
        <f t="shared" si="40"/>
        <v>13087700</v>
      </c>
      <c r="L23" s="21">
        <f t="shared" si="40"/>
        <v>12795600</v>
      </c>
      <c r="M23" s="21">
        <f t="shared" si="40"/>
        <v>13765800</v>
      </c>
      <c r="N23" s="21">
        <f t="shared" si="40"/>
        <v>13717000</v>
      </c>
      <c r="O23" s="21">
        <f t="shared" ref="O23" si="41">O54+O85+O116</f>
        <v>14479700</v>
      </c>
      <c r="P23" s="31">
        <f t="shared" ref="P23" si="42">P54+P85+P116</f>
        <v>15528700</v>
      </c>
    </row>
    <row r="24" spans="1:16" x14ac:dyDescent="0.2">
      <c r="A24" s="1497">
        <f t="shared" si="25"/>
        <v>4035000</v>
      </c>
      <c r="B24" s="21">
        <f t="shared" si="25"/>
        <v>13192200</v>
      </c>
      <c r="C24" s="21">
        <f t="shared" si="26"/>
        <v>40500</v>
      </c>
      <c r="D24" s="1993" t="s">
        <v>4246</v>
      </c>
      <c r="E24" s="33">
        <f t="shared" ref="E24:N24" si="43">E55+E86+E117</f>
        <v>0</v>
      </c>
      <c r="F24" s="138">
        <f t="shared" si="28"/>
        <v>-100</v>
      </c>
      <c r="G24" s="21">
        <f t="shared" si="43"/>
        <v>0</v>
      </c>
      <c r="H24" s="20">
        <f t="shared" si="43"/>
        <v>0</v>
      </c>
      <c r="I24" s="21">
        <f t="shared" si="43"/>
        <v>0</v>
      </c>
      <c r="J24" s="21">
        <f t="shared" si="43"/>
        <v>0</v>
      </c>
      <c r="K24" s="22">
        <f t="shared" si="43"/>
        <v>0</v>
      </c>
      <c r="L24" s="21">
        <f t="shared" si="43"/>
        <v>0</v>
      </c>
      <c r="M24" s="21">
        <f t="shared" si="43"/>
        <v>0</v>
      </c>
      <c r="N24" s="21">
        <f t="shared" si="43"/>
        <v>0</v>
      </c>
      <c r="O24" s="21">
        <f t="shared" ref="O24" si="44">O55+O86+O117</f>
        <v>0</v>
      </c>
      <c r="P24" s="31">
        <f t="shared" ref="P24" si="45">P55+P86+P117</f>
        <v>0</v>
      </c>
    </row>
    <row r="25" spans="1:16" s="40" customFormat="1" x14ac:dyDescent="0.2">
      <c r="A25" s="1504">
        <f>SUM(A19:A24)</f>
        <v>84731700</v>
      </c>
      <c r="B25" s="82">
        <f>SUM(B19:B24)</f>
        <v>90672000</v>
      </c>
      <c r="C25" s="82">
        <f>SUM(C19:C24)</f>
        <v>81315200</v>
      </c>
      <c r="D25" s="1992" t="s">
        <v>4249</v>
      </c>
      <c r="E25" s="116">
        <f t="shared" ref="E25:N25" si="46">SUM(E19:E24)</f>
        <v>82378800</v>
      </c>
      <c r="F25" s="1326">
        <f t="shared" si="28"/>
        <v>1.3079965369328244</v>
      </c>
      <c r="G25" s="82">
        <f t="shared" si="46"/>
        <v>80928300</v>
      </c>
      <c r="H25" s="83">
        <f t="shared" si="46"/>
        <v>81993000</v>
      </c>
      <c r="I25" s="82">
        <f t="shared" si="46"/>
        <v>84495800</v>
      </c>
      <c r="J25" s="82">
        <f t="shared" si="46"/>
        <v>85537200</v>
      </c>
      <c r="K25" s="58">
        <f t="shared" si="46"/>
        <v>87850400</v>
      </c>
      <c r="L25" s="82">
        <f t="shared" si="46"/>
        <v>88634600</v>
      </c>
      <c r="M25" s="82">
        <f t="shared" si="46"/>
        <v>90905400</v>
      </c>
      <c r="N25" s="82">
        <f t="shared" si="46"/>
        <v>92070800</v>
      </c>
      <c r="O25" s="82">
        <f t="shared" ref="O25" si="47">SUM(O19:O24)</f>
        <v>94194100</v>
      </c>
      <c r="P25" s="72">
        <f t="shared" ref="P25" si="48">SUM(P19:P24)</f>
        <v>96492300</v>
      </c>
    </row>
    <row r="26" spans="1:16" x14ac:dyDescent="0.2">
      <c r="A26" s="1497"/>
      <c r="B26" s="21"/>
      <c r="C26" s="21"/>
      <c r="D26" s="1994"/>
      <c r="E26" s="33"/>
      <c r="F26" s="1326"/>
      <c r="G26" s="21"/>
      <c r="H26" s="20"/>
      <c r="I26" s="21"/>
      <c r="J26" s="21"/>
      <c r="K26" s="22"/>
      <c r="L26" s="21"/>
      <c r="M26" s="21"/>
      <c r="N26" s="21"/>
      <c r="O26" s="21"/>
      <c r="P26" s="31"/>
    </row>
    <row r="27" spans="1:16" s="40" customFormat="1" x14ac:dyDescent="0.2">
      <c r="A27" s="1504">
        <f>A16-A25</f>
        <v>-157400</v>
      </c>
      <c r="B27" s="82">
        <f>B16-B25</f>
        <v>-736300</v>
      </c>
      <c r="C27" s="82">
        <f>C16-C25</f>
        <v>10809500</v>
      </c>
      <c r="D27" s="1995" t="s">
        <v>4250</v>
      </c>
      <c r="E27" s="116">
        <f t="shared" ref="E27:N27" si="49">E16-E25</f>
        <v>15352300</v>
      </c>
      <c r="F27" s="1326">
        <f>IF(C27=E27,0,IF(C27=0,100,(E27-C27)/C27*100))</f>
        <v>42.025995651972806</v>
      </c>
      <c r="G27" s="82">
        <f t="shared" si="49"/>
        <v>21266300</v>
      </c>
      <c r="H27" s="83">
        <f t="shared" si="49"/>
        <v>15201600</v>
      </c>
      <c r="I27" s="82">
        <f t="shared" si="49"/>
        <v>14043800</v>
      </c>
      <c r="J27" s="82">
        <f t="shared" si="49"/>
        <v>21149800</v>
      </c>
      <c r="K27" s="58">
        <f t="shared" si="49"/>
        <v>22313700</v>
      </c>
      <c r="L27" s="82">
        <f t="shared" si="49"/>
        <v>13693100</v>
      </c>
      <c r="M27" s="82">
        <f t="shared" si="49"/>
        <v>15029000</v>
      </c>
      <c r="N27" s="82">
        <f t="shared" si="49"/>
        <v>16082000</v>
      </c>
      <c r="O27" s="82">
        <f t="shared" ref="O27" si="50">O16-O25</f>
        <v>17851300</v>
      </c>
      <c r="P27" s="72">
        <f t="shared" ref="P27" si="51">P16-P25</f>
        <v>19608800</v>
      </c>
    </row>
    <row r="28" spans="1:16" x14ac:dyDescent="0.2">
      <c r="A28" s="1497"/>
      <c r="B28" s="21"/>
      <c r="C28" s="21"/>
      <c r="D28" s="1994"/>
      <c r="E28" s="33"/>
      <c r="F28" s="1326"/>
      <c r="G28" s="21"/>
      <c r="H28" s="20"/>
      <c r="I28" s="21"/>
      <c r="J28" s="21"/>
      <c r="K28" s="22"/>
      <c r="L28" s="21"/>
      <c r="M28" s="21"/>
      <c r="N28" s="21"/>
      <c r="O28" s="21"/>
      <c r="P28" s="31"/>
    </row>
    <row r="29" spans="1:16" s="40" customFormat="1" x14ac:dyDescent="0.2">
      <c r="A29" s="1504">
        <f>A16-A13-A25</f>
        <v>-13553100</v>
      </c>
      <c r="B29" s="82">
        <f>B16-B13-B25</f>
        <v>-16400000</v>
      </c>
      <c r="C29" s="82">
        <f>C16-C13-C25</f>
        <v>-4204500</v>
      </c>
      <c r="D29" s="1995" t="s">
        <v>4717</v>
      </c>
      <c r="E29" s="116">
        <f t="shared" ref="E29:N29" si="52">E16-E13-E25</f>
        <v>798700</v>
      </c>
      <c r="F29" s="1326">
        <f>IF(C29=E29,0,IF(C29=0,100,(E29-C29)/C29*100))</f>
        <v>-118.99631347365917</v>
      </c>
      <c r="G29" s="82">
        <f t="shared" si="52"/>
        <v>767000</v>
      </c>
      <c r="H29" s="83">
        <f t="shared" si="52"/>
        <v>2008800</v>
      </c>
      <c r="I29" s="82">
        <f t="shared" si="52"/>
        <v>2980200</v>
      </c>
      <c r="J29" s="82">
        <f t="shared" si="52"/>
        <v>4007600</v>
      </c>
      <c r="K29" s="58">
        <f t="shared" si="52"/>
        <v>4823200</v>
      </c>
      <c r="L29" s="82">
        <f t="shared" si="52"/>
        <v>5858800</v>
      </c>
      <c r="M29" s="82">
        <f t="shared" si="52"/>
        <v>7046400</v>
      </c>
      <c r="N29" s="82">
        <f t="shared" si="52"/>
        <v>7947700</v>
      </c>
      <c r="O29" s="82">
        <f t="shared" ref="O29" si="53">O16-O13-O25</f>
        <v>9563800</v>
      </c>
      <c r="P29" s="72">
        <f t="shared" ref="P29" si="54">P16-P13-P25</f>
        <v>11166400</v>
      </c>
    </row>
    <row r="30" spans="1:16" s="25" customFormat="1" ht="13.5" thickBot="1" x14ac:dyDescent="0.25">
      <c r="A30" s="1498"/>
      <c r="B30" s="28"/>
      <c r="C30" s="28"/>
      <c r="D30" s="1996"/>
      <c r="E30" s="835"/>
      <c r="F30" s="86"/>
      <c r="G30" s="28"/>
      <c r="H30" s="37"/>
      <c r="I30" s="28"/>
      <c r="J30" s="28"/>
      <c r="K30" s="215"/>
      <c r="L30" s="28"/>
      <c r="M30" s="28"/>
      <c r="N30" s="28"/>
      <c r="O30" s="28"/>
      <c r="P30" s="258"/>
    </row>
    <row r="31" spans="1:16" s="22" customFormat="1" ht="14.25" thickTop="1" thickBot="1" x14ac:dyDescent="0.25">
      <c r="E31" s="99"/>
    </row>
    <row r="32" spans="1:16" s="506" customFormat="1" ht="19.5" thickTop="1" thickBot="1" x14ac:dyDescent="0.3">
      <c r="A32" s="2842" t="s">
        <v>7030</v>
      </c>
      <c r="B32" s="2843"/>
      <c r="C32" s="2843"/>
      <c r="D32" s="2843"/>
      <c r="E32" s="2843"/>
      <c r="F32" s="2843"/>
      <c r="G32" s="2843"/>
      <c r="H32" s="2843"/>
      <c r="I32" s="2843"/>
      <c r="J32" s="2843"/>
      <c r="K32" s="2843"/>
      <c r="L32" s="2843"/>
      <c r="M32" s="2843"/>
      <c r="N32" s="2843"/>
      <c r="O32" s="2843"/>
      <c r="P32" s="2844"/>
    </row>
    <row r="33" spans="1:18" x14ac:dyDescent="0.2">
      <c r="A33" s="2845" t="str">
        <f>$A$126</f>
        <v>ACTUAL</v>
      </c>
      <c r="B33" s="2846"/>
      <c r="C33" s="2847"/>
      <c r="D33" s="2134" t="str">
        <f>$D$126</f>
        <v>ITEM</v>
      </c>
      <c r="E33" s="2839" t="s">
        <v>2253</v>
      </c>
      <c r="F33" s="2840"/>
      <c r="G33" s="2840"/>
      <c r="H33" s="2840"/>
      <c r="I33" s="2840"/>
      <c r="J33" s="2840"/>
      <c r="K33" s="2840"/>
      <c r="L33" s="2840"/>
      <c r="M33" s="2840"/>
      <c r="N33" s="2840"/>
      <c r="O33" s="2840"/>
      <c r="P33" s="2841"/>
    </row>
    <row r="34" spans="1:18" ht="13.5" thickBot="1" x14ac:dyDescent="0.25">
      <c r="A34" s="1496" t="str">
        <f>A3</f>
        <v>2013/14</v>
      </c>
      <c r="B34" s="218" t="str">
        <f>B3</f>
        <v>2014/15</v>
      </c>
      <c r="C34" s="219" t="str">
        <f>C3</f>
        <v>2015/16</v>
      </c>
      <c r="D34" s="1991"/>
      <c r="E34" s="147" t="str">
        <f t="shared" ref="E34:N34" si="55">E3</f>
        <v>2016/17</v>
      </c>
      <c r="F34" s="48" t="str">
        <f t="shared" ref="F34" si="56">F3</f>
        <v>%</v>
      </c>
      <c r="G34" s="219" t="str">
        <f t="shared" si="55"/>
        <v>2017/18</v>
      </c>
      <c r="H34" s="49" t="str">
        <f t="shared" si="55"/>
        <v>2018/19</v>
      </c>
      <c r="I34" s="47" t="str">
        <f t="shared" si="55"/>
        <v>2019/20</v>
      </c>
      <c r="J34" s="219" t="str">
        <f t="shared" si="55"/>
        <v>2020/21</v>
      </c>
      <c r="K34" s="306" t="str">
        <f t="shared" si="55"/>
        <v>2021/22</v>
      </c>
      <c r="L34" s="219" t="str">
        <f t="shared" si="55"/>
        <v>2022/23</v>
      </c>
      <c r="M34" s="219" t="str">
        <f t="shared" si="55"/>
        <v>2023/24</v>
      </c>
      <c r="N34" s="219" t="str">
        <f t="shared" si="55"/>
        <v>2024/25</v>
      </c>
      <c r="O34" s="219" t="str">
        <f t="shared" ref="O34" si="57">O3</f>
        <v>2025/26</v>
      </c>
      <c r="P34" s="305" t="str">
        <f t="shared" ref="P34" si="58">P3</f>
        <v>2026/27</v>
      </c>
    </row>
    <row r="35" spans="1:18" x14ac:dyDescent="0.2">
      <c r="A35" s="1497"/>
      <c r="B35" s="21"/>
      <c r="C35" s="21"/>
      <c r="D35" s="30"/>
      <c r="E35" s="33"/>
      <c r="F35" s="21"/>
      <c r="G35" s="21"/>
      <c r="H35" s="20"/>
      <c r="I35" s="21"/>
      <c r="J35" s="21"/>
      <c r="K35" s="22"/>
      <c r="L35" s="21"/>
      <c r="M35" s="21"/>
      <c r="N35" s="21"/>
      <c r="O35" s="21"/>
      <c r="P35" s="31"/>
    </row>
    <row r="36" spans="1:18" x14ac:dyDescent="0.2">
      <c r="A36" s="1497"/>
      <c r="B36" s="21"/>
      <c r="C36" s="21"/>
      <c r="D36" s="1075" t="s">
        <v>2596</v>
      </c>
      <c r="E36" s="33"/>
      <c r="F36" s="21"/>
      <c r="G36" s="21"/>
      <c r="H36" s="20"/>
      <c r="I36" s="21"/>
      <c r="J36" s="21"/>
      <c r="K36" s="22"/>
      <c r="L36" s="21"/>
      <c r="M36" s="21"/>
      <c r="N36" s="21"/>
      <c r="O36" s="21"/>
      <c r="P36" s="31"/>
    </row>
    <row r="37" spans="1:18" x14ac:dyDescent="0.2">
      <c r="A37" s="1497"/>
      <c r="B37" s="21"/>
      <c r="C37" s="21"/>
      <c r="D37" s="1075"/>
      <c r="E37" s="33"/>
      <c r="F37" s="21"/>
      <c r="G37" s="21"/>
      <c r="H37" s="20"/>
      <c r="I37" s="21"/>
      <c r="J37" s="21"/>
      <c r="K37" s="22"/>
      <c r="L37" s="21"/>
      <c r="M37" s="21"/>
      <c r="N37" s="21"/>
      <c r="O37" s="21"/>
      <c r="P37" s="31"/>
    </row>
    <row r="38" spans="1:18" x14ac:dyDescent="0.2">
      <c r="A38" s="1497"/>
      <c r="B38" s="21"/>
      <c r="C38" s="21"/>
      <c r="D38" s="1992" t="s">
        <v>0</v>
      </c>
      <c r="E38" s="33"/>
      <c r="F38" s="19"/>
      <c r="G38" s="21"/>
      <c r="H38" s="20"/>
      <c r="I38" s="21"/>
      <c r="J38" s="21"/>
      <c r="K38" s="22"/>
      <c r="L38" s="21"/>
      <c r="M38" s="21"/>
      <c r="N38" s="21"/>
      <c r="O38" s="21"/>
      <c r="P38" s="31"/>
    </row>
    <row r="39" spans="1:18" x14ac:dyDescent="0.2">
      <c r="A39" s="1497">
        <f>ROUND(Summaries!P7,-3)</f>
        <v>24301000</v>
      </c>
      <c r="B39" s="21">
        <f>Summaries!Q7-Internals!S5</f>
        <v>24729500</v>
      </c>
      <c r="C39" s="21">
        <f>Summaries!R7-Internals!T5</f>
        <v>26093600</v>
      </c>
      <c r="D39" s="1993" t="s">
        <v>2335</v>
      </c>
      <c r="E39" s="33">
        <f>Summaries!S7-Internals!V5</f>
        <v>27552600</v>
      </c>
      <c r="F39" s="138">
        <f t="shared" ref="F39:F44" si="59">IF(C39=E39,0,IF(C39=0,100,(E39-C39)/C39*100))</f>
        <v>5.5914093877425879</v>
      </c>
      <c r="G39" s="20">
        <f>Summaries!T7-Internals!W5</f>
        <v>27454100</v>
      </c>
      <c r="H39" s="20">
        <f>Summaries!U7-Internals!X5</f>
        <v>28988900</v>
      </c>
      <c r="I39" s="20">
        <f>Summaries!V7-Internals!Y5</f>
        <v>30616800</v>
      </c>
      <c r="J39" s="20">
        <f>Summaries!W7-Internals!Z5</f>
        <v>31513600</v>
      </c>
      <c r="K39" s="20">
        <f>Summaries!X7-Internals!AA5</f>
        <v>32439700</v>
      </c>
      <c r="L39" s="20">
        <f>Summaries!Y7-Internals!AB5</f>
        <v>33394700</v>
      </c>
      <c r="M39" s="20">
        <f>Summaries!Z7-Internals!AC5</f>
        <v>34376500</v>
      </c>
      <c r="N39" s="21">
        <f>Summaries!AA7-Internals!AD5</f>
        <v>35386800</v>
      </c>
      <c r="O39" s="21">
        <f>Summaries!AB7-Internals!AE5</f>
        <v>36427500</v>
      </c>
      <c r="P39" s="31">
        <f>Summaries!AC7-Internals!AF5</f>
        <v>38176400</v>
      </c>
    </row>
    <row r="40" spans="1:18" x14ac:dyDescent="0.2">
      <c r="A40" s="1497">
        <f>ROUND(Summaries!P8,-3)</f>
        <v>9268000</v>
      </c>
      <c r="B40" s="21">
        <f>Summaries!Q8-Internals!S6</f>
        <v>10042500</v>
      </c>
      <c r="C40" s="21">
        <f>Summaries!R8</f>
        <v>10725000</v>
      </c>
      <c r="D40" s="1993" t="s">
        <v>2376</v>
      </c>
      <c r="E40" s="33">
        <f>Summaries!S8</f>
        <v>10685700</v>
      </c>
      <c r="F40" s="138">
        <f t="shared" si="59"/>
        <v>-0.36643356643356645</v>
      </c>
      <c r="G40" s="21">
        <f>Summaries!T8</f>
        <v>10550200</v>
      </c>
      <c r="H40" s="21">
        <f>Summaries!U8</f>
        <v>10961300</v>
      </c>
      <c r="I40" s="21">
        <f>Summaries!V8</f>
        <v>11314400</v>
      </c>
      <c r="J40" s="21">
        <f>Summaries!W8</f>
        <v>11613600</v>
      </c>
      <c r="K40" s="21">
        <f>Summaries!X8</f>
        <v>11888300</v>
      </c>
      <c r="L40" s="21">
        <f>Summaries!Y8</f>
        <v>12131400</v>
      </c>
      <c r="M40" s="21">
        <f>Summaries!Z8</f>
        <v>12379100</v>
      </c>
      <c r="N40" s="21">
        <f>Summaries!AA8</f>
        <v>12633000</v>
      </c>
      <c r="O40" s="21">
        <f>Summaries!AB8</f>
        <v>12894000</v>
      </c>
      <c r="P40" s="31">
        <f>Summaries!AC8</f>
        <v>13126800</v>
      </c>
    </row>
    <row r="41" spans="1:18" x14ac:dyDescent="0.2">
      <c r="A41" s="1497">
        <f>ROUND(Summaries!P9,-3)</f>
        <v>2105000</v>
      </c>
      <c r="B41" s="21">
        <f>Summaries!Q9-46000</f>
        <v>1403300</v>
      </c>
      <c r="C41" s="21">
        <f>Summaries!R9</f>
        <v>1298100</v>
      </c>
      <c r="D41" s="1993" t="s">
        <v>4242</v>
      </c>
      <c r="E41" s="33">
        <f>Summaries!S9</f>
        <v>1089500</v>
      </c>
      <c r="F41" s="138">
        <f t="shared" si="59"/>
        <v>-16.069640243432708</v>
      </c>
      <c r="G41" s="21">
        <f>Summaries!T9</f>
        <v>1071500</v>
      </c>
      <c r="H41" s="21">
        <f>Summaries!U9</f>
        <v>1164200</v>
      </c>
      <c r="I41" s="21">
        <f>Summaries!V9</f>
        <v>1192900</v>
      </c>
      <c r="J41" s="21">
        <f>Summaries!W9</f>
        <v>1304200</v>
      </c>
      <c r="K41" s="21">
        <f>Summaries!X9</f>
        <v>1245100</v>
      </c>
      <c r="L41" s="21">
        <f>Summaries!Y9</f>
        <v>1243500</v>
      </c>
      <c r="M41" s="21">
        <f>Summaries!Z9</f>
        <v>1313500</v>
      </c>
      <c r="N41" s="21">
        <f>Summaries!AA9</f>
        <v>1345500</v>
      </c>
      <c r="O41" s="21">
        <f>Summaries!AB9</f>
        <v>1402500</v>
      </c>
      <c r="P41" s="31">
        <f>Summaries!AC9</f>
        <v>1492100</v>
      </c>
    </row>
    <row r="42" spans="1:18" x14ac:dyDescent="0.2">
      <c r="A42" s="1497">
        <f>ROUND(Summaries!P10,-3)</f>
        <v>4593000</v>
      </c>
      <c r="B42" s="21">
        <f>Summaries!Q10+46000-Internals!S8</f>
        <v>4021500</v>
      </c>
      <c r="C42" s="21">
        <f>Summaries!R10-Internals!T8</f>
        <v>2364100</v>
      </c>
      <c r="D42" s="1993" t="s">
        <v>428</v>
      </c>
      <c r="E42" s="33">
        <f>Summaries!S10-Internals!V8</f>
        <v>3912500</v>
      </c>
      <c r="F42" s="138">
        <f t="shared" si="59"/>
        <v>65.496383401717353</v>
      </c>
      <c r="G42" s="21">
        <f>Summaries!T10-Internals!W8</f>
        <v>4928600</v>
      </c>
      <c r="H42" s="21">
        <f>Summaries!U10-Internals!X8</f>
        <v>4598800</v>
      </c>
      <c r="I42" s="21">
        <f>Summaries!V10-Internals!Y8</f>
        <v>5294600</v>
      </c>
      <c r="J42" s="21">
        <f>Summaries!W10-Internals!Z8</f>
        <v>4761800</v>
      </c>
      <c r="K42" s="21">
        <f>Summaries!X10-Internals!AA8</f>
        <v>5566900</v>
      </c>
      <c r="L42" s="21">
        <f>Summaries!Y10-Internals!AB8</f>
        <v>5030200</v>
      </c>
      <c r="M42" s="21">
        <f>Summaries!Z10-Internals!AC8</f>
        <v>5943300</v>
      </c>
      <c r="N42" s="21">
        <f>Summaries!AA10-Internals!AD8</f>
        <v>5311700</v>
      </c>
      <c r="O42" s="21">
        <f>Summaries!AB10-Internals!AE8</f>
        <v>6159600</v>
      </c>
      <c r="P42" s="31">
        <f>Summaries!AC10-Internals!AF8</f>
        <v>6320800</v>
      </c>
    </row>
    <row r="43" spans="1:18" ht="12.75" customHeight="1" x14ac:dyDescent="0.2">
      <c r="A43" s="1497">
        <f>ROUND(Summaries!P11,-3)</f>
        <v>5780000</v>
      </c>
      <c r="B43" s="21">
        <f>Summaries!Q11-Internals!S9</f>
        <v>7846000</v>
      </c>
      <c r="C43" s="21">
        <f>Summaries!R11</f>
        <v>9075200</v>
      </c>
      <c r="D43" s="1993" t="s">
        <v>4252</v>
      </c>
      <c r="E43" s="33">
        <f>Summaries!S11</f>
        <v>10317700</v>
      </c>
      <c r="F43" s="138">
        <f t="shared" si="59"/>
        <v>13.691158321579689</v>
      </c>
      <c r="G43" s="21">
        <f>Summaries!T11</f>
        <v>7398100</v>
      </c>
      <c r="H43" s="21">
        <f>Summaries!U11</f>
        <v>7250300</v>
      </c>
      <c r="I43" s="21">
        <f>Summaries!V11</f>
        <v>7236600</v>
      </c>
      <c r="J43" s="21">
        <f>Summaries!W11</f>
        <v>7336900</v>
      </c>
      <c r="K43" s="21">
        <f>Summaries!X11</f>
        <v>7427300</v>
      </c>
      <c r="L43" s="21">
        <f>Summaries!Y11</f>
        <v>7525400</v>
      </c>
      <c r="M43" s="21">
        <f>Summaries!Z11</f>
        <v>7657000</v>
      </c>
      <c r="N43" s="21">
        <f>Summaries!AA11</f>
        <v>7801000</v>
      </c>
      <c r="O43" s="21">
        <f>Summaries!AB11</f>
        <v>7950500</v>
      </c>
      <c r="P43" s="31">
        <f>Summaries!AC11</f>
        <v>8102900</v>
      </c>
    </row>
    <row r="44" spans="1:18" x14ac:dyDescent="0.2">
      <c r="A44" s="1497">
        <f>ROUND(Summaries!P40+Summaries!P41,-3)</f>
        <v>10914000</v>
      </c>
      <c r="B44" s="21">
        <f>Summaries!Q40+Summaries!Q41-Internals!S10</f>
        <v>12768000</v>
      </c>
      <c r="C44" s="21">
        <f>Summaries!R40+Summaries!R41</f>
        <v>11484100</v>
      </c>
      <c r="D44" s="1993" t="s">
        <v>4253</v>
      </c>
      <c r="E44" s="33">
        <f>Summaries!S40+Summaries!S41</f>
        <v>11588700</v>
      </c>
      <c r="F44" s="138">
        <f t="shared" si="59"/>
        <v>0.91082453130850483</v>
      </c>
      <c r="G44" s="20">
        <f>Summaries!T40+Summaries!T41</f>
        <v>17478800</v>
      </c>
      <c r="H44" s="20">
        <f>Summaries!U40+Summaries!U41</f>
        <v>10117300</v>
      </c>
      <c r="I44" s="20">
        <f>Summaries!V40+Summaries!V41</f>
        <v>7928100</v>
      </c>
      <c r="J44" s="20">
        <f>Summaries!W40+Summaries!W41</f>
        <v>13946700</v>
      </c>
      <c r="K44" s="20">
        <f>Summaries!X40+Summaries!X41</f>
        <v>14225000</v>
      </c>
      <c r="L44" s="20">
        <f>Summaries!Y40+Summaries!Y41</f>
        <v>4508800</v>
      </c>
      <c r="M44" s="20">
        <f>Summaries!Z40+Summaries!Z41</f>
        <v>4597100</v>
      </c>
      <c r="N44" s="21">
        <f>Summaries!AA40+Summaries!AA41</f>
        <v>4688800</v>
      </c>
      <c r="O44" s="21">
        <f>Summaries!AB40+Summaries!AB41</f>
        <v>4782000</v>
      </c>
      <c r="P44" s="31">
        <f>Summaries!AC40+Summaries!AC41</f>
        <v>4876900</v>
      </c>
    </row>
    <row r="45" spans="1:18" x14ac:dyDescent="0.2">
      <c r="A45" s="1497"/>
      <c r="B45" s="21"/>
      <c r="C45" s="21"/>
      <c r="D45" s="1992" t="s">
        <v>4247</v>
      </c>
      <c r="E45" s="33"/>
      <c r="F45" s="19"/>
      <c r="G45" s="21"/>
      <c r="H45" s="21"/>
      <c r="I45" s="21"/>
      <c r="J45" s="21"/>
      <c r="K45" s="21"/>
      <c r="L45" s="21"/>
      <c r="M45" s="21"/>
      <c r="N45" s="21"/>
      <c r="O45" s="21"/>
      <c r="P45" s="31"/>
    </row>
    <row r="46" spans="1:18" x14ac:dyDescent="0.2">
      <c r="A46" s="1497">
        <f>IF(Summaries!P12&gt;Summaries!P22,Summaries!P12-Summaries!P22,0)</f>
        <v>0</v>
      </c>
      <c r="B46" s="21">
        <f>IF(Summaries!Q12&gt;Summaries!Q22,Summaries!Q12-Summaries!Q22,0)</f>
        <v>0</v>
      </c>
      <c r="C46" s="21">
        <f>IF(Summaries!R12&gt;Summaries!R22,Summaries!R12-Summaries!R22,0)</f>
        <v>0</v>
      </c>
      <c r="D46" s="1993" t="s">
        <v>4248</v>
      </c>
      <c r="E46" s="33">
        <f>IF(Summaries!S12&gt;Summaries!S22,Summaries!S12-Summaries!S22,0)</f>
        <v>0</v>
      </c>
      <c r="F46" s="138">
        <f>IF(C46=E46,0,IF(C46=0,100,(E46-C46)/C46*100))</f>
        <v>0</v>
      </c>
      <c r="G46" s="21">
        <f>IF(Summaries!T12&gt;Summaries!T22,Summaries!T12-Summaries!T22,0)</f>
        <v>0</v>
      </c>
      <c r="H46" s="21">
        <f>IF(Summaries!U12&gt;Summaries!U22,Summaries!U12-Summaries!U22,0)</f>
        <v>0</v>
      </c>
      <c r="I46" s="21">
        <f>IF(Summaries!V12&gt;Summaries!V22,Summaries!V12-Summaries!V22,0)</f>
        <v>0</v>
      </c>
      <c r="J46" s="21">
        <f>IF(Summaries!W12&gt;Summaries!W22,Summaries!W12-Summaries!W22,0)</f>
        <v>0</v>
      </c>
      <c r="K46" s="21">
        <f>IF(Summaries!X12&gt;Summaries!X22,Summaries!X12-Summaries!X22,0)</f>
        <v>0</v>
      </c>
      <c r="L46" s="21">
        <f>IF(Summaries!Y12&gt;Summaries!Y22,Summaries!Y12-Summaries!Y22,0)</f>
        <v>0</v>
      </c>
      <c r="M46" s="21">
        <f>IF(Summaries!Z12&gt;Summaries!Z22,Summaries!Z12-Summaries!Z22,0)</f>
        <v>0</v>
      </c>
      <c r="N46" s="21">
        <f>IF(Summaries!AA12&gt;Summaries!AA22,Summaries!AA12-Summaries!AA22,0)</f>
        <v>0</v>
      </c>
      <c r="O46" s="21">
        <f>IF(Summaries!AB12&gt;Summaries!AB22,Summaries!AB12-Summaries!AB22,0)</f>
        <v>0</v>
      </c>
      <c r="P46" s="31">
        <f>IF(Summaries!AC12&gt;Summaries!AC22,Summaries!AC12-Summaries!AC22,0)</f>
        <v>0</v>
      </c>
    </row>
    <row r="47" spans="1:18" s="40" customFormat="1" x14ac:dyDescent="0.2">
      <c r="A47" s="1504">
        <f>SUM(A39:A46)</f>
        <v>56961000</v>
      </c>
      <c r="B47" s="82">
        <f>SUM(B39:B46)</f>
        <v>60810800</v>
      </c>
      <c r="C47" s="82">
        <f>SUM(C39:C46)</f>
        <v>61040100</v>
      </c>
      <c r="D47" s="1992" t="s">
        <v>4243</v>
      </c>
      <c r="E47" s="116">
        <f t="shared" ref="E47:M47" si="60">SUM(E39:E46)</f>
        <v>65146700</v>
      </c>
      <c r="F47" s="1326">
        <f>IF(C47=E47,0,IF(C47=0,100,(E47-C47)/C47*100))</f>
        <v>6.7277085063753166</v>
      </c>
      <c r="G47" s="82">
        <f t="shared" si="60"/>
        <v>68881300</v>
      </c>
      <c r="H47" s="83">
        <f t="shared" si="60"/>
        <v>63080800</v>
      </c>
      <c r="I47" s="82">
        <f t="shared" si="60"/>
        <v>63583400</v>
      </c>
      <c r="J47" s="82">
        <f t="shared" si="60"/>
        <v>70476800</v>
      </c>
      <c r="K47" s="58">
        <f t="shared" si="60"/>
        <v>72792300</v>
      </c>
      <c r="L47" s="82">
        <f t="shared" si="60"/>
        <v>63834000</v>
      </c>
      <c r="M47" s="82">
        <f t="shared" si="60"/>
        <v>66266500</v>
      </c>
      <c r="N47" s="82">
        <f t="shared" ref="N47" si="61">SUM(N39:N46)</f>
        <v>67166800</v>
      </c>
      <c r="O47" s="82">
        <f t="shared" ref="O47" si="62">SUM(O39:O46)</f>
        <v>69616100</v>
      </c>
      <c r="P47" s="72">
        <f t="shared" ref="P47" si="63">SUM(P39:P46)</f>
        <v>72095900</v>
      </c>
      <c r="Q47" s="23"/>
      <c r="R47" s="23"/>
    </row>
    <row r="48" spans="1:18" x14ac:dyDescent="0.2">
      <c r="A48" s="1497"/>
      <c r="B48" s="21"/>
      <c r="C48" s="21"/>
      <c r="D48" s="1992"/>
      <c r="E48" s="33"/>
      <c r="F48" s="19"/>
      <c r="G48" s="21"/>
      <c r="H48" s="20"/>
      <c r="I48" s="21"/>
      <c r="J48" s="21"/>
      <c r="K48" s="22"/>
      <c r="L48" s="21"/>
      <c r="M48" s="21"/>
      <c r="N48" s="21"/>
      <c r="O48" s="21"/>
      <c r="P48" s="31"/>
    </row>
    <row r="49" spans="1:16" x14ac:dyDescent="0.2">
      <c r="A49" s="1497"/>
      <c r="B49" s="21"/>
      <c r="C49" s="21"/>
      <c r="D49" s="1992" t="s">
        <v>2052</v>
      </c>
      <c r="E49" s="33"/>
      <c r="F49" s="19"/>
      <c r="G49" s="21"/>
      <c r="H49" s="20"/>
      <c r="I49" s="21"/>
      <c r="J49" s="21"/>
      <c r="K49" s="22"/>
      <c r="L49" s="21"/>
      <c r="M49" s="21"/>
      <c r="N49" s="21"/>
      <c r="O49" s="21"/>
      <c r="P49" s="31"/>
    </row>
    <row r="50" spans="1:16" x14ac:dyDescent="0.2">
      <c r="A50" s="1497">
        <f>ROUND(Summaries!P17,-3)</f>
        <v>14771000</v>
      </c>
      <c r="B50" s="21">
        <f>Summaries!Q17</f>
        <v>15453100</v>
      </c>
      <c r="C50" s="21">
        <f>Summaries!R17</f>
        <v>16138000</v>
      </c>
      <c r="D50" s="1993" t="s">
        <v>4244</v>
      </c>
      <c r="E50" s="33">
        <f>Summaries!S17</f>
        <v>16640000</v>
      </c>
      <c r="F50" s="19">
        <f t="shared" ref="F50:F56" si="64">IF(C50=E50,0,IF(C50=0,100,(E50-C50)/C50*100))</f>
        <v>3.1106704672202254</v>
      </c>
      <c r="G50" s="21">
        <f>Summaries!T17</f>
        <v>17157000</v>
      </c>
      <c r="H50" s="21">
        <f>Summaries!U17</f>
        <v>17690000</v>
      </c>
      <c r="I50" s="21">
        <f>Summaries!V17</f>
        <v>18239000</v>
      </c>
      <c r="J50" s="21">
        <f>Summaries!W17</f>
        <v>18805000</v>
      </c>
      <c r="K50" s="21">
        <f>Summaries!X17</f>
        <v>19389000</v>
      </c>
      <c r="L50" s="21">
        <f>Summaries!Y17</f>
        <v>19991000</v>
      </c>
      <c r="M50" s="21">
        <f>Summaries!Z17</f>
        <v>20613000</v>
      </c>
      <c r="N50" s="21">
        <f>Summaries!AA17</f>
        <v>21253000</v>
      </c>
      <c r="O50" s="21">
        <f>Summaries!AB17</f>
        <v>21913000</v>
      </c>
      <c r="P50" s="31">
        <f>Summaries!AC17</f>
        <v>22594000</v>
      </c>
    </row>
    <row r="51" spans="1:16" x14ac:dyDescent="0.2">
      <c r="A51" s="1497">
        <f>ROUND(Summaries!P19,-3)</f>
        <v>1679000</v>
      </c>
      <c r="B51" s="21">
        <f>Summaries!Q19-Internals!S15</f>
        <v>1564000</v>
      </c>
      <c r="C51" s="21">
        <f>Summaries!R19</f>
        <v>1334300</v>
      </c>
      <c r="D51" s="1993" t="s">
        <v>2188</v>
      </c>
      <c r="E51" s="33">
        <f>Summaries!S19</f>
        <v>1152200</v>
      </c>
      <c r="F51" s="19">
        <f t="shared" si="64"/>
        <v>-13.647605486022634</v>
      </c>
      <c r="G51" s="20">
        <f>Summaries!T19</f>
        <v>1327800</v>
      </c>
      <c r="H51" s="20">
        <f>Summaries!U19</f>
        <v>1186100</v>
      </c>
      <c r="I51" s="20">
        <f>Summaries!V19</f>
        <v>1122800</v>
      </c>
      <c r="J51" s="20">
        <f>Summaries!W19</f>
        <v>952600</v>
      </c>
      <c r="K51" s="20">
        <f>Summaries!X19</f>
        <v>1138500</v>
      </c>
      <c r="L51" s="20">
        <f>Summaries!Y19</f>
        <v>972700</v>
      </c>
      <c r="M51" s="20">
        <f>Summaries!Z19</f>
        <v>854500</v>
      </c>
      <c r="N51" s="21">
        <f>Summaries!AA19</f>
        <v>756500</v>
      </c>
      <c r="O51" s="21">
        <f>Summaries!AB19</f>
        <v>679500</v>
      </c>
      <c r="P51" s="31">
        <f>Summaries!AC19</f>
        <v>623600</v>
      </c>
    </row>
    <row r="52" spans="1:16" x14ac:dyDescent="0.2">
      <c r="A52" s="1497">
        <f>ROUND(Summaries!P18,-3)</f>
        <v>15292000</v>
      </c>
      <c r="B52" s="21">
        <f>Summaries!Q18-Internals!S16</f>
        <v>17645900</v>
      </c>
      <c r="C52" s="21">
        <f>Summaries!R18</f>
        <v>17441300</v>
      </c>
      <c r="D52" s="1993" t="s">
        <v>2375</v>
      </c>
      <c r="E52" s="33">
        <f>Summaries!S18</f>
        <v>18424100</v>
      </c>
      <c r="F52" s="19">
        <f t="shared" si="64"/>
        <v>5.6349010681543232</v>
      </c>
      <c r="G52" s="20">
        <f>Summaries!T18</f>
        <v>15024400</v>
      </c>
      <c r="H52" s="20">
        <f>Summaries!U18</f>
        <v>15641700</v>
      </c>
      <c r="I52" s="20">
        <f>Summaries!V18</f>
        <v>16138900</v>
      </c>
      <c r="J52" s="20">
        <f>Summaries!W18</f>
        <v>16358600</v>
      </c>
      <c r="K52" s="20">
        <f>Summaries!X18</f>
        <v>16693100</v>
      </c>
      <c r="L52" s="20">
        <f>Summaries!Y18</f>
        <v>16780000</v>
      </c>
      <c r="M52" s="20">
        <f>Summaries!Z18</f>
        <v>17114100</v>
      </c>
      <c r="N52" s="21">
        <f>Summaries!AA18</f>
        <v>17263700</v>
      </c>
      <c r="O52" s="21">
        <f>Summaries!AB18</f>
        <v>17568600</v>
      </c>
      <c r="P52" s="31">
        <f>Summaries!AC18</f>
        <v>17646100</v>
      </c>
    </row>
    <row r="53" spans="1:16" x14ac:dyDescent="0.2">
      <c r="A53" s="1497">
        <f>ROUND(Summaries!P20,-3)</f>
        <v>15866000</v>
      </c>
      <c r="B53" s="21">
        <f>Summaries!Q20-Internals!S17</f>
        <v>14146000</v>
      </c>
      <c r="C53" s="21">
        <f>Summaries!R20</f>
        <v>14166800</v>
      </c>
      <c r="D53" s="1993" t="s">
        <v>4245</v>
      </c>
      <c r="E53" s="33">
        <f>Summaries!S20</f>
        <v>13056400</v>
      </c>
      <c r="F53" s="19">
        <f t="shared" si="64"/>
        <v>-7.8380438772340968</v>
      </c>
      <c r="G53" s="21">
        <f>Summaries!T20</f>
        <v>13383900</v>
      </c>
      <c r="H53" s="21">
        <f>Summaries!U20</f>
        <v>13704300</v>
      </c>
      <c r="I53" s="21">
        <f>Summaries!V20</f>
        <v>14071100</v>
      </c>
      <c r="J53" s="21">
        <f>Summaries!W20</f>
        <v>14353700</v>
      </c>
      <c r="K53" s="21">
        <f>Summaries!X20</f>
        <v>14642100</v>
      </c>
      <c r="L53" s="21">
        <f>Summaries!Y20</f>
        <v>14936400</v>
      </c>
      <c r="M53" s="21">
        <f>Summaries!Z20</f>
        <v>15236400</v>
      </c>
      <c r="N53" s="21">
        <f>Summaries!AA20</f>
        <v>15542500</v>
      </c>
      <c r="O53" s="21">
        <f>Summaries!AB20</f>
        <v>15854800</v>
      </c>
      <c r="P53" s="31">
        <f>Summaries!AC20</f>
        <v>16173200</v>
      </c>
    </row>
    <row r="54" spans="1:16" x14ac:dyDescent="0.2">
      <c r="A54" s="1497">
        <f>ROUND(Summaries!P21,-3)</f>
        <v>5064000</v>
      </c>
      <c r="B54" s="21">
        <f>Summaries!Q21-Internals!S18</f>
        <v>1344000</v>
      </c>
      <c r="C54" s="21">
        <f>Summaries!R21-Internals!T18</f>
        <v>4080500</v>
      </c>
      <c r="D54" s="1993" t="s">
        <v>416</v>
      </c>
      <c r="E54" s="33">
        <f>Summaries!S21-Internals!V18</f>
        <v>4648800</v>
      </c>
      <c r="F54" s="19">
        <f t="shared" si="64"/>
        <v>13.927214802107585</v>
      </c>
      <c r="G54" s="21">
        <f>Summaries!T21-Internals!W18</f>
        <v>5044300</v>
      </c>
      <c r="H54" s="21">
        <f>Summaries!U21-Internals!X18</f>
        <v>4554200</v>
      </c>
      <c r="I54" s="21">
        <f>Summaries!V21-Internals!Y18</f>
        <v>5346000</v>
      </c>
      <c r="J54" s="21">
        <f>Summaries!W21-Internals!Z18</f>
        <v>5089100</v>
      </c>
      <c r="K54" s="21">
        <f>Summaries!X21-Internals!AA18</f>
        <v>5607600</v>
      </c>
      <c r="L54" s="21">
        <f>Summaries!Y21-Internals!AB18</f>
        <v>5048200</v>
      </c>
      <c r="M54" s="21">
        <f>Summaries!Z21-Internals!AC18</f>
        <v>5844900</v>
      </c>
      <c r="N54" s="21">
        <f>Summaries!AA21-Internals!AD18</f>
        <v>5565800</v>
      </c>
      <c r="O54" s="21">
        <f>Summaries!AB21-Internals!AE18</f>
        <v>6091500</v>
      </c>
      <c r="P54" s="31">
        <f>Summaries!AC21-Internals!AF18</f>
        <v>6896500</v>
      </c>
    </row>
    <row r="55" spans="1:16" x14ac:dyDescent="0.2">
      <c r="A55" s="1497">
        <f>IF(Summaries!P22&gt;Summaries!P12,Summaries!P22-Summaries!P12,0)</f>
        <v>3924000</v>
      </c>
      <c r="B55" s="21">
        <f>IF(Summaries!Q22&gt;Summaries!Q12,Summaries!Q22-Summaries!Q12,0)-Internals!S19</f>
        <v>974000</v>
      </c>
      <c r="C55" s="33">
        <f>IF(Summaries!R22&gt;Summaries!R12,Summaries!R22-Summaries!R12,0)</f>
        <v>0</v>
      </c>
      <c r="D55" s="1993" t="s">
        <v>4246</v>
      </c>
      <c r="E55" s="33">
        <f>IF(Summaries!S22&gt;Summaries!S12,Summaries!S22-Summaries!S12,0)</f>
        <v>0</v>
      </c>
      <c r="F55" s="19">
        <f t="shared" si="64"/>
        <v>0</v>
      </c>
      <c r="G55" s="21">
        <f>IF(Summaries!T22&gt;Summaries!T12,Summaries!T22-Summaries!T12,0)</f>
        <v>0</v>
      </c>
      <c r="H55" s="21">
        <f>IF(Summaries!U22&gt;Summaries!U12,Summaries!U22-Summaries!U12,0)</f>
        <v>0</v>
      </c>
      <c r="I55" s="21">
        <f>IF(Summaries!V22&gt;Summaries!V12,Summaries!V22-Summaries!V12,0)</f>
        <v>0</v>
      </c>
      <c r="J55" s="21">
        <f>IF(Summaries!W22&gt;Summaries!W12,Summaries!W22-Summaries!W12,0)</f>
        <v>0</v>
      </c>
      <c r="K55" s="21">
        <f>IF(Summaries!X22&gt;Summaries!X12,Summaries!X22-Summaries!X12,0)</f>
        <v>0</v>
      </c>
      <c r="L55" s="21">
        <f>IF(Summaries!Y22&gt;Summaries!Y12,Summaries!Y22-Summaries!Y12,0)</f>
        <v>0</v>
      </c>
      <c r="M55" s="21">
        <f>IF(Summaries!Z22&gt;Summaries!Z12,Summaries!Z22-Summaries!Z12,0)</f>
        <v>0</v>
      </c>
      <c r="N55" s="21">
        <f>IF(Summaries!AA22&gt;Summaries!AA12,Summaries!AA22-Summaries!AA12,0)</f>
        <v>0</v>
      </c>
      <c r="O55" s="21">
        <f>IF(Summaries!AB22&gt;Summaries!AB12,Summaries!AB22-Summaries!AB12,0)</f>
        <v>0</v>
      </c>
      <c r="P55" s="31">
        <f>IF(Summaries!AC22&gt;Summaries!AC12,Summaries!AC22-Summaries!AC12,0)</f>
        <v>0</v>
      </c>
    </row>
    <row r="56" spans="1:16" s="40" customFormat="1" x14ac:dyDescent="0.2">
      <c r="A56" s="1504">
        <f>SUM(A50:A55)</f>
        <v>56596000</v>
      </c>
      <c r="B56" s="82">
        <f>SUM(B50:B55)</f>
        <v>51127000</v>
      </c>
      <c r="C56" s="82">
        <f>SUM(C50:C55)</f>
        <v>53160900</v>
      </c>
      <c r="D56" s="1992" t="s">
        <v>4249</v>
      </c>
      <c r="E56" s="116">
        <f t="shared" ref="E56:N56" si="65">SUM(E50:E55)</f>
        <v>53921500</v>
      </c>
      <c r="F56" s="1326">
        <f t="shared" si="64"/>
        <v>1.4307507961678603</v>
      </c>
      <c r="G56" s="82">
        <f t="shared" si="65"/>
        <v>51937400</v>
      </c>
      <c r="H56" s="83">
        <f t="shared" si="65"/>
        <v>52776300</v>
      </c>
      <c r="I56" s="82">
        <f t="shared" si="65"/>
        <v>54917800</v>
      </c>
      <c r="J56" s="82">
        <f t="shared" si="65"/>
        <v>55559000</v>
      </c>
      <c r="K56" s="58">
        <f t="shared" si="65"/>
        <v>57470300</v>
      </c>
      <c r="L56" s="82">
        <f t="shared" si="65"/>
        <v>57728300</v>
      </c>
      <c r="M56" s="82">
        <f t="shared" si="65"/>
        <v>59662900</v>
      </c>
      <c r="N56" s="82">
        <f t="shared" si="65"/>
        <v>60381500</v>
      </c>
      <c r="O56" s="82">
        <f t="shared" ref="O56" si="66">SUM(O50:O55)</f>
        <v>62107400</v>
      </c>
      <c r="P56" s="72">
        <f t="shared" ref="P56" si="67">SUM(P50:P55)</f>
        <v>63933400</v>
      </c>
    </row>
    <row r="57" spans="1:16" x14ac:dyDescent="0.2">
      <c r="A57" s="1497"/>
      <c r="B57" s="21"/>
      <c r="C57" s="21"/>
      <c r="D57" s="1994"/>
      <c r="E57" s="33"/>
      <c r="F57" s="1326"/>
      <c r="G57" s="21"/>
      <c r="H57" s="20"/>
      <c r="I57" s="21"/>
      <c r="J57" s="21"/>
      <c r="K57" s="22"/>
      <c r="L57" s="21"/>
      <c r="M57" s="21"/>
      <c r="N57" s="21"/>
      <c r="O57" s="21"/>
      <c r="P57" s="31"/>
    </row>
    <row r="58" spans="1:16" s="40" customFormat="1" x14ac:dyDescent="0.2">
      <c r="A58" s="1504">
        <f>A47-A56</f>
        <v>365000</v>
      </c>
      <c r="B58" s="82">
        <f>B47-B56</f>
        <v>9683800</v>
      </c>
      <c r="C58" s="82">
        <f>C47-C56</f>
        <v>7879200</v>
      </c>
      <c r="D58" s="1995" t="s">
        <v>4250</v>
      </c>
      <c r="E58" s="116">
        <f t="shared" ref="E58:N58" si="68">E47-E56</f>
        <v>11225200</v>
      </c>
      <c r="F58" s="1326">
        <f>IF(C58=E58,0,IF(C58=0,100,(E58-C58)/C58*100))</f>
        <v>42.466240227434263</v>
      </c>
      <c r="G58" s="82">
        <f t="shared" si="68"/>
        <v>16943900</v>
      </c>
      <c r="H58" s="83">
        <f t="shared" si="68"/>
        <v>10304500</v>
      </c>
      <c r="I58" s="82">
        <f t="shared" si="68"/>
        <v>8665600</v>
      </c>
      <c r="J58" s="82">
        <f t="shared" si="68"/>
        <v>14917800</v>
      </c>
      <c r="K58" s="58">
        <f t="shared" si="68"/>
        <v>15322000</v>
      </c>
      <c r="L58" s="82">
        <f t="shared" si="68"/>
        <v>6105700</v>
      </c>
      <c r="M58" s="82">
        <f t="shared" si="68"/>
        <v>6603600</v>
      </c>
      <c r="N58" s="82">
        <f t="shared" si="68"/>
        <v>6785300</v>
      </c>
      <c r="O58" s="82">
        <f t="shared" ref="O58" si="69">O47-O56</f>
        <v>7508700</v>
      </c>
      <c r="P58" s="72">
        <f t="shared" ref="P58" si="70">P47-P56</f>
        <v>8162500</v>
      </c>
    </row>
    <row r="59" spans="1:16" x14ac:dyDescent="0.2">
      <c r="A59" s="1497"/>
      <c r="B59" s="21"/>
      <c r="C59" s="21"/>
      <c r="D59" s="1994"/>
      <c r="E59" s="33"/>
      <c r="F59" s="1326"/>
      <c r="G59" s="21"/>
      <c r="H59" s="20"/>
      <c r="I59" s="21"/>
      <c r="J59" s="21"/>
      <c r="K59" s="22"/>
      <c r="L59" s="21"/>
      <c r="M59" s="21"/>
      <c r="N59" s="21"/>
      <c r="O59" s="21"/>
      <c r="P59" s="31"/>
    </row>
    <row r="60" spans="1:16" s="40" customFormat="1" x14ac:dyDescent="0.2">
      <c r="A60" s="1504">
        <f>A47-A44-A56</f>
        <v>-10549000</v>
      </c>
      <c r="B60" s="82">
        <f>B47-B44-B56</f>
        <v>-3084200</v>
      </c>
      <c r="C60" s="82">
        <f>C47-C44-C56</f>
        <v>-3604900</v>
      </c>
      <c r="D60" s="1995" t="s">
        <v>4717</v>
      </c>
      <c r="E60" s="116">
        <f t="shared" ref="E60:N60" si="71">E47-E44-E56</f>
        <v>-363500</v>
      </c>
      <c r="F60" s="1326">
        <f>IF(C60=E60,0,IF(C60=0,100,(E60-C60)/C60*100))</f>
        <v>-89.916502538211873</v>
      </c>
      <c r="G60" s="82">
        <f t="shared" si="71"/>
        <v>-534900</v>
      </c>
      <c r="H60" s="83">
        <f t="shared" si="71"/>
        <v>187200</v>
      </c>
      <c r="I60" s="82">
        <f t="shared" si="71"/>
        <v>737500</v>
      </c>
      <c r="J60" s="82">
        <f t="shared" si="71"/>
        <v>971100</v>
      </c>
      <c r="K60" s="58">
        <f t="shared" si="71"/>
        <v>1097000</v>
      </c>
      <c r="L60" s="82">
        <f t="shared" si="71"/>
        <v>1596900</v>
      </c>
      <c r="M60" s="82">
        <f t="shared" si="71"/>
        <v>2006500</v>
      </c>
      <c r="N60" s="82">
        <f t="shared" si="71"/>
        <v>2096500</v>
      </c>
      <c r="O60" s="82">
        <f t="shared" ref="O60" si="72">O47-O44-O56</f>
        <v>2726700</v>
      </c>
      <c r="P60" s="72">
        <f t="shared" ref="P60" si="73">P47-P44-P56</f>
        <v>3285600</v>
      </c>
    </row>
    <row r="61" spans="1:16" s="25" customFormat="1" ht="13.5" thickBot="1" x14ac:dyDescent="0.25">
      <c r="A61" s="1498"/>
      <c r="B61" s="28"/>
      <c r="C61" s="28"/>
      <c r="D61" s="1996"/>
      <c r="E61" s="835"/>
      <c r="F61" s="86"/>
      <c r="G61" s="28"/>
      <c r="H61" s="37"/>
      <c r="I61" s="28"/>
      <c r="J61" s="28"/>
      <c r="K61" s="215"/>
      <c r="L61" s="28"/>
      <c r="M61" s="28"/>
      <c r="N61" s="28"/>
      <c r="O61" s="28"/>
      <c r="P61" s="258"/>
    </row>
    <row r="62" spans="1:16" ht="14.25" thickTop="1" thickBot="1" x14ac:dyDescent="0.25"/>
    <row r="63" spans="1:16" s="506" customFormat="1" ht="19.5" thickTop="1" thickBot="1" x14ac:dyDescent="0.3">
      <c r="A63" s="2842" t="s">
        <v>7031</v>
      </c>
      <c r="B63" s="2843"/>
      <c r="C63" s="2843"/>
      <c r="D63" s="2843"/>
      <c r="E63" s="2843"/>
      <c r="F63" s="2843"/>
      <c r="G63" s="2843"/>
      <c r="H63" s="2843"/>
      <c r="I63" s="2843"/>
      <c r="J63" s="2843"/>
      <c r="K63" s="2843"/>
      <c r="L63" s="2843"/>
      <c r="M63" s="2843"/>
      <c r="N63" s="2843"/>
      <c r="O63" s="2843"/>
      <c r="P63" s="2844"/>
    </row>
    <row r="64" spans="1:16" x14ac:dyDescent="0.2">
      <c r="A64" s="2845" t="str">
        <f>$A$126</f>
        <v>ACTUAL</v>
      </c>
      <c r="B64" s="2846"/>
      <c r="C64" s="2847"/>
      <c r="D64" s="2134" t="str">
        <f>$D$126</f>
        <v>ITEM</v>
      </c>
      <c r="E64" s="2850" t="s">
        <v>2253</v>
      </c>
      <c r="F64" s="2851"/>
      <c r="G64" s="2851"/>
      <c r="H64" s="2851"/>
      <c r="I64" s="2851"/>
      <c r="J64" s="2851"/>
      <c r="K64" s="2851"/>
      <c r="L64" s="2851"/>
      <c r="M64" s="2851"/>
      <c r="N64" s="2851"/>
      <c r="O64" s="2851"/>
      <c r="P64" s="2852"/>
    </row>
    <row r="65" spans="1:16" ht="13.5" thickBot="1" x14ac:dyDescent="0.25">
      <c r="A65" s="2135" t="str">
        <f>LTFP!A34</f>
        <v>2013/14</v>
      </c>
      <c r="B65" s="370" t="str">
        <f>LTFP!B34</f>
        <v>2014/15</v>
      </c>
      <c r="C65" s="47" t="str">
        <f>LTFP!C34</f>
        <v>2015/16</v>
      </c>
      <c r="D65" s="1951"/>
      <c r="E65" s="147" t="str">
        <f>LTFP!E34</f>
        <v>2016/17</v>
      </c>
      <c r="F65" s="48" t="str">
        <f>LTFP!F34</f>
        <v>%</v>
      </c>
      <c r="G65" s="219" t="str">
        <f>LTFP!G34</f>
        <v>2017/18</v>
      </c>
      <c r="H65" s="565" t="str">
        <f>LTFP!H34</f>
        <v>2018/19</v>
      </c>
      <c r="I65" s="219" t="str">
        <f>LTFP!I34</f>
        <v>2019/20</v>
      </c>
      <c r="J65" s="219" t="str">
        <f>LTFP!J34</f>
        <v>2020/21</v>
      </c>
      <c r="K65" s="306" t="str">
        <f>LTFP!K34</f>
        <v>2021/22</v>
      </c>
      <c r="L65" s="219" t="str">
        <f>LTFP!L34</f>
        <v>2022/23</v>
      </c>
      <c r="M65" s="219" t="str">
        <f>LTFP!M34</f>
        <v>2023/24</v>
      </c>
      <c r="N65" s="219" t="str">
        <f>LTFP!N34</f>
        <v>2024/25</v>
      </c>
      <c r="O65" s="219" t="str">
        <f>LTFP!O34</f>
        <v>2025/26</v>
      </c>
      <c r="P65" s="305" t="str">
        <f>LTFP!P34</f>
        <v>2026/27</v>
      </c>
    </row>
    <row r="66" spans="1:16" x14ac:dyDescent="0.2">
      <c r="A66" s="1497"/>
      <c r="B66" s="21"/>
      <c r="C66" s="20"/>
      <c r="D66" s="21"/>
      <c r="E66" s="33"/>
      <c r="F66" s="21"/>
      <c r="G66" s="21"/>
      <c r="H66" s="20"/>
      <c r="I66" s="21"/>
      <c r="J66" s="21"/>
      <c r="K66" s="22"/>
      <c r="L66" s="21"/>
      <c r="M66" s="21"/>
      <c r="N66" s="21"/>
      <c r="O66" s="21"/>
      <c r="P66" s="31"/>
    </row>
    <row r="67" spans="1:16" x14ac:dyDescent="0.2">
      <c r="A67" s="1497"/>
      <c r="B67" s="21"/>
      <c r="C67" s="20"/>
      <c r="D67" s="82" t="s">
        <v>2596</v>
      </c>
      <c r="E67" s="33"/>
      <c r="F67" s="21"/>
      <c r="G67" s="21"/>
      <c r="H67" s="20"/>
      <c r="I67" s="21"/>
      <c r="J67" s="21"/>
      <c r="K67" s="22"/>
      <c r="L67" s="21"/>
      <c r="M67" s="21"/>
      <c r="N67" s="21"/>
      <c r="O67" s="21"/>
      <c r="P67" s="31"/>
    </row>
    <row r="68" spans="1:16" x14ac:dyDescent="0.2">
      <c r="A68" s="1497"/>
      <c r="B68" s="21"/>
      <c r="C68" s="20"/>
      <c r="D68" s="82"/>
      <c r="E68" s="33"/>
      <c r="F68" s="21"/>
      <c r="G68" s="21"/>
      <c r="H68" s="20"/>
      <c r="I68" s="21"/>
      <c r="J68" s="21"/>
      <c r="K68" s="22"/>
      <c r="L68" s="21"/>
      <c r="M68" s="21"/>
      <c r="N68" s="21"/>
      <c r="O68" s="21"/>
      <c r="P68" s="31"/>
    </row>
    <row r="69" spans="1:16" x14ac:dyDescent="0.2">
      <c r="A69" s="1497"/>
      <c r="B69" s="21"/>
      <c r="C69" s="20"/>
      <c r="D69" s="1500" t="s">
        <v>0</v>
      </c>
      <c r="E69" s="33"/>
      <c r="F69" s="19"/>
      <c r="G69" s="21"/>
      <c r="H69" s="20"/>
      <c r="I69" s="21"/>
      <c r="J69" s="21"/>
      <c r="K69" s="22"/>
      <c r="L69" s="21"/>
      <c r="M69" s="21"/>
      <c r="N69" s="21"/>
      <c r="O69" s="21"/>
      <c r="P69" s="31"/>
    </row>
    <row r="70" spans="1:16" x14ac:dyDescent="0.2">
      <c r="A70" s="1497">
        <f>Summaries!AD7</f>
        <v>2860500</v>
      </c>
      <c r="B70" s="21">
        <f>Summaries!AE7</f>
        <v>3092600</v>
      </c>
      <c r="C70" s="20">
        <f>Summaries!AF7</f>
        <v>3226000</v>
      </c>
      <c r="D70" s="1501" t="s">
        <v>2335</v>
      </c>
      <c r="E70" s="33">
        <f>Summaries!AG7</f>
        <v>3367800</v>
      </c>
      <c r="F70" s="138">
        <f t="shared" ref="F70:F75" si="74">IF(C70=E70,0,IF(C70=0,100,(E70-C70)/C70*100))</f>
        <v>4.39553626782393</v>
      </c>
      <c r="G70" s="21">
        <f>Summaries!AH7</f>
        <v>3439500</v>
      </c>
      <c r="H70" s="20">
        <f>Summaries!AI7</f>
        <v>3531000</v>
      </c>
      <c r="I70" s="21">
        <f>Summaries!AJ7</f>
        <v>3624500</v>
      </c>
      <c r="J70" s="21">
        <f>Summaries!AK7</f>
        <v>3779000</v>
      </c>
      <c r="K70" s="22">
        <f>Summaries!AL7</f>
        <v>3939400</v>
      </c>
      <c r="L70" s="21">
        <f>Summaries!AM7</f>
        <v>4107800</v>
      </c>
      <c r="M70" s="21">
        <f>Summaries!AN7</f>
        <v>4282200</v>
      </c>
      <c r="N70" s="21">
        <f>Summaries!AO7</f>
        <v>4463600</v>
      </c>
      <c r="O70" s="21">
        <f>Summaries!AP7</f>
        <v>4653000</v>
      </c>
      <c r="P70" s="31">
        <f>Summaries!AQ7</f>
        <v>4849400</v>
      </c>
    </row>
    <row r="71" spans="1:16" x14ac:dyDescent="0.2">
      <c r="A71" s="1497">
        <f>Summaries!AD8</f>
        <v>6590600</v>
      </c>
      <c r="B71" s="21">
        <f>Summaries!AE8</f>
        <v>6432000</v>
      </c>
      <c r="C71" s="20">
        <f>Summaries!AF8</f>
        <v>6654300</v>
      </c>
      <c r="D71" s="1501" t="s">
        <v>2376</v>
      </c>
      <c r="E71" s="33">
        <f>Summaries!AG8</f>
        <v>7247100</v>
      </c>
      <c r="F71" s="138">
        <f t="shared" si="74"/>
        <v>8.9085253144583199</v>
      </c>
      <c r="G71" s="21">
        <f>Summaries!AH8</f>
        <v>7384000</v>
      </c>
      <c r="H71" s="21">
        <f>Summaries!AI8</f>
        <v>7568500</v>
      </c>
      <c r="I71" s="21">
        <f>Summaries!AJ8</f>
        <v>7758100</v>
      </c>
      <c r="J71" s="21">
        <f>Summaries!AK8</f>
        <v>8068700</v>
      </c>
      <c r="K71" s="21">
        <f>Summaries!AL8</f>
        <v>8391200</v>
      </c>
      <c r="L71" s="21">
        <f>Summaries!AM8</f>
        <v>8725700</v>
      </c>
      <c r="M71" s="21">
        <f>Summaries!AN8</f>
        <v>9074200</v>
      </c>
      <c r="N71" s="21">
        <f>Summaries!AO8</f>
        <v>9436700</v>
      </c>
      <c r="O71" s="21">
        <f>Summaries!AP8</f>
        <v>9813200</v>
      </c>
      <c r="P71" s="31">
        <f>Summaries!AQ8</f>
        <v>10205700</v>
      </c>
    </row>
    <row r="72" spans="1:16" x14ac:dyDescent="0.2">
      <c r="A72" s="1497">
        <f>Summaries!AD9</f>
        <v>413500</v>
      </c>
      <c r="B72" s="21">
        <f>Summaries!AE9</f>
        <v>417400</v>
      </c>
      <c r="C72" s="20">
        <f>Summaries!AF9</f>
        <v>339000</v>
      </c>
      <c r="D72" s="1501" t="s">
        <v>4242</v>
      </c>
      <c r="E72" s="33">
        <f>Summaries!AG9</f>
        <v>338400</v>
      </c>
      <c r="F72" s="138">
        <f t="shared" si="74"/>
        <v>-0.17699115044247787</v>
      </c>
      <c r="G72" s="21">
        <f>Summaries!AH9</f>
        <v>368800</v>
      </c>
      <c r="H72" s="20">
        <f>Summaries!AI9</f>
        <v>352400</v>
      </c>
      <c r="I72" s="21">
        <f>Summaries!AJ9</f>
        <v>317200</v>
      </c>
      <c r="J72" s="21">
        <f>Summaries!AK9</f>
        <v>296100</v>
      </c>
      <c r="K72" s="22">
        <f>Summaries!AL9</f>
        <v>329000</v>
      </c>
      <c r="L72" s="21">
        <f>Summaries!AM9</f>
        <v>247000</v>
      </c>
      <c r="M72" s="21">
        <f>Summaries!AN9</f>
        <v>213200</v>
      </c>
      <c r="N72" s="21">
        <f>Summaries!AO9</f>
        <v>207100</v>
      </c>
      <c r="O72" s="21">
        <f>Summaries!AP9</f>
        <v>210500</v>
      </c>
      <c r="P72" s="31">
        <f>Summaries!AQ9</f>
        <v>297700</v>
      </c>
    </row>
    <row r="73" spans="1:16" x14ac:dyDescent="0.2">
      <c r="A73" s="1497">
        <f>Summaries!AD10</f>
        <v>672700</v>
      </c>
      <c r="B73" s="21">
        <f>Summaries!AE10</f>
        <v>797900</v>
      </c>
      <c r="C73" s="20">
        <f>Summaries!AF10</f>
        <v>822400</v>
      </c>
      <c r="D73" s="1501" t="s">
        <v>428</v>
      </c>
      <c r="E73" s="33">
        <f>Summaries!AG10</f>
        <v>805000</v>
      </c>
      <c r="F73" s="138">
        <f t="shared" si="74"/>
        <v>-2.1157587548638133</v>
      </c>
      <c r="G73" s="21">
        <f>Summaries!AH10</f>
        <v>818000</v>
      </c>
      <c r="H73" s="20">
        <f>Summaries!AI10</f>
        <v>838700</v>
      </c>
      <c r="I73" s="21">
        <f>Summaries!AJ10</f>
        <v>859900</v>
      </c>
      <c r="J73" s="21">
        <f>Summaries!AK10</f>
        <v>881700</v>
      </c>
      <c r="K73" s="22">
        <f>Summaries!AL10</f>
        <v>899700</v>
      </c>
      <c r="L73" s="21">
        <f>Summaries!AM10</f>
        <v>918000</v>
      </c>
      <c r="M73" s="21">
        <f>Summaries!AN10</f>
        <v>936700</v>
      </c>
      <c r="N73" s="21">
        <f>Summaries!AO10</f>
        <v>955800</v>
      </c>
      <c r="O73" s="21">
        <f>Summaries!AP10</f>
        <v>975300</v>
      </c>
      <c r="P73" s="31">
        <f>Summaries!AQ10</f>
        <v>995200</v>
      </c>
    </row>
    <row r="74" spans="1:16" x14ac:dyDescent="0.2">
      <c r="A74" s="1497">
        <f>Summaries!AD11</f>
        <v>151800</v>
      </c>
      <c r="B74" s="21">
        <f>Summaries!AE11</f>
        <v>152600</v>
      </c>
      <c r="C74" s="20">
        <f>Summaries!AF11</f>
        <v>157400</v>
      </c>
      <c r="D74" s="1501" t="s">
        <v>4252</v>
      </c>
      <c r="E74" s="33">
        <f>Summaries!AG11</f>
        <v>155300</v>
      </c>
      <c r="F74" s="138">
        <f t="shared" si="74"/>
        <v>-1.3341804320203303</v>
      </c>
      <c r="G74" s="21">
        <f>Summaries!AH11</f>
        <v>144000</v>
      </c>
      <c r="H74" s="20">
        <f>Summaries!AI11</f>
        <v>144700</v>
      </c>
      <c r="I74" s="21">
        <f>Summaries!AJ11</f>
        <v>145500</v>
      </c>
      <c r="J74" s="21">
        <f>Summaries!AK11</f>
        <v>146200</v>
      </c>
      <c r="K74" s="22">
        <f>Summaries!AL11</f>
        <v>147000</v>
      </c>
      <c r="L74" s="21">
        <f>Summaries!AM11</f>
        <v>147800</v>
      </c>
      <c r="M74" s="21">
        <f>Summaries!AN11</f>
        <v>148600</v>
      </c>
      <c r="N74" s="21">
        <f>Summaries!AO11</f>
        <v>149500</v>
      </c>
      <c r="O74" s="21">
        <f>Summaries!AP11</f>
        <v>150300</v>
      </c>
      <c r="P74" s="31">
        <f>Summaries!AQ11</f>
        <v>151100</v>
      </c>
    </row>
    <row r="75" spans="1:16" x14ac:dyDescent="0.2">
      <c r="A75" s="1497">
        <f>Summaries!AD40+Summaries!AD41</f>
        <v>638500</v>
      </c>
      <c r="B75" s="21">
        <f>Summaries!AE40+Summaries!AE41</f>
        <v>764300</v>
      </c>
      <c r="C75" s="20">
        <f>Summaries!AF40+Summaries!AF41</f>
        <v>1059900</v>
      </c>
      <c r="D75" s="1501" t="s">
        <v>4253</v>
      </c>
      <c r="E75" s="33">
        <f>Summaries!AG40+Summaries!AG41</f>
        <v>919400</v>
      </c>
      <c r="F75" s="138">
        <f t="shared" si="74"/>
        <v>-13.255967544107936</v>
      </c>
      <c r="G75" s="21">
        <f>Summaries!AH40+Summaries!AH41</f>
        <v>775000</v>
      </c>
      <c r="H75" s="21">
        <f>Summaries!AI40+Summaries!AI41</f>
        <v>800000</v>
      </c>
      <c r="I75" s="21">
        <f>Summaries!AJ40+Summaries!AJ41</f>
        <v>820000</v>
      </c>
      <c r="J75" s="21">
        <f>Summaries!AK40+Summaries!AK41</f>
        <v>840000</v>
      </c>
      <c r="K75" s="21">
        <f>Summaries!AL40+Summaries!AL41</f>
        <v>860000</v>
      </c>
      <c r="L75" s="21">
        <f>Summaries!AM40+Summaries!AM41</f>
        <v>880000</v>
      </c>
      <c r="M75" s="21">
        <f>Summaries!AN40+Summaries!AN41</f>
        <v>900000</v>
      </c>
      <c r="N75" s="21">
        <f>Summaries!AO40+Summaries!AO41</f>
        <v>920000</v>
      </c>
      <c r="O75" s="21">
        <f>Summaries!AP40+Summaries!AP41</f>
        <v>940000</v>
      </c>
      <c r="P75" s="31">
        <f>Summaries!AQ40+Summaries!AQ41</f>
        <v>960000</v>
      </c>
    </row>
    <row r="76" spans="1:16" x14ac:dyDescent="0.2">
      <c r="A76" s="1497"/>
      <c r="B76" s="21"/>
      <c r="C76" s="20"/>
      <c r="D76" s="1500" t="s">
        <v>4247</v>
      </c>
      <c r="E76" s="33"/>
      <c r="F76" s="19"/>
      <c r="G76" s="21"/>
      <c r="H76" s="20"/>
      <c r="I76" s="21"/>
      <c r="J76" s="21"/>
      <c r="K76" s="22"/>
      <c r="L76" s="21"/>
      <c r="M76" s="21"/>
      <c r="N76" s="21"/>
      <c r="O76" s="21"/>
      <c r="P76" s="31"/>
    </row>
    <row r="77" spans="1:16" x14ac:dyDescent="0.2">
      <c r="A77" s="1497">
        <f>IF(Summaries!AD12&gt;Summaries!AD22,Summaries!AD12-Summaries!AD22,0)</f>
        <v>0</v>
      </c>
      <c r="B77" s="21">
        <f>IF(Summaries!AE12&gt;Summaries!AE22,Summaries!AE12-Summaries!AE22,0)</f>
        <v>0</v>
      </c>
      <c r="C77" s="21">
        <f>IF(Summaries!AF12&gt;Summaries!AF22,Summaries!AF12-Summaries!AF22,0)</f>
        <v>0</v>
      </c>
      <c r="D77" s="1501" t="s">
        <v>4248</v>
      </c>
      <c r="E77" s="33">
        <f>IF(Summaries!AG12&gt;Summaries!AG22,Summaries!AG12-Summaries!AG22,0)</f>
        <v>0</v>
      </c>
      <c r="F77" s="138">
        <f>IF(C77=E77,0,IF(C77=0,100,(E77-C77)/C77*100))</f>
        <v>0</v>
      </c>
      <c r="G77" s="21">
        <f>IF(Summaries!AH12&gt;Summaries!AH22,Summaries!AH12-Summaries!AH22,0)</f>
        <v>0</v>
      </c>
      <c r="H77" s="21">
        <f>IF(Summaries!AI12&gt;Summaries!AI22,Summaries!AI12-Summaries!AI22,0)</f>
        <v>0</v>
      </c>
      <c r="I77" s="21">
        <f>IF(Summaries!AJ12&gt;Summaries!AJ22,Summaries!AJ12-Summaries!AJ22,0)</f>
        <v>0</v>
      </c>
      <c r="J77" s="21">
        <f>IF(Summaries!AK12&gt;Summaries!AK22,Summaries!AK12-Summaries!AK22,0)</f>
        <v>0</v>
      </c>
      <c r="K77" s="21">
        <f>IF(Summaries!AL12&gt;Summaries!AL22,Summaries!AL12-Summaries!AL22,0)</f>
        <v>0</v>
      </c>
      <c r="L77" s="21">
        <f>IF(Summaries!AM12&gt;Summaries!AM22,Summaries!AM12-Summaries!AM22,0)</f>
        <v>0</v>
      </c>
      <c r="M77" s="21">
        <f>IF(Summaries!AN12&gt;Summaries!AN22,Summaries!AN12-Summaries!AN22,0)</f>
        <v>0</v>
      </c>
      <c r="N77" s="21">
        <f>IF(Summaries!AO12&gt;Summaries!AO22,Summaries!AO12-Summaries!AO22,0)</f>
        <v>0</v>
      </c>
      <c r="O77" s="21">
        <f>IF(Summaries!AP12&gt;Summaries!AP22,Summaries!AP12-Summaries!AP22,0)</f>
        <v>0</v>
      </c>
      <c r="P77" s="31">
        <f>IF(Summaries!AQ12&gt;Summaries!AQ22,Summaries!AQ12-Summaries!AQ22,0)</f>
        <v>0</v>
      </c>
    </row>
    <row r="78" spans="1:16" s="40" customFormat="1" x14ac:dyDescent="0.2">
      <c r="A78" s="1504">
        <f>SUM(A70:A77)</f>
        <v>11327600</v>
      </c>
      <c r="B78" s="82">
        <f>SUM(B70:B77)</f>
        <v>11656800</v>
      </c>
      <c r="C78" s="83">
        <f>SUM(C70:C77)</f>
        <v>12259000</v>
      </c>
      <c r="D78" s="1500" t="s">
        <v>4243</v>
      </c>
      <c r="E78" s="116">
        <f t="shared" ref="E78:M78" si="75">SUM(E70:E77)</f>
        <v>12833000</v>
      </c>
      <c r="F78" s="1326">
        <f>IF(C78=E78,0,IF(C78=0,100,(E78-C78)/C78*100))</f>
        <v>4.6822742474916383</v>
      </c>
      <c r="G78" s="82">
        <f t="shared" si="75"/>
        <v>12929300</v>
      </c>
      <c r="H78" s="83">
        <f t="shared" si="75"/>
        <v>13235300</v>
      </c>
      <c r="I78" s="82">
        <f t="shared" si="75"/>
        <v>13525200</v>
      </c>
      <c r="J78" s="82">
        <f t="shared" si="75"/>
        <v>14011700</v>
      </c>
      <c r="K78" s="58">
        <f t="shared" si="75"/>
        <v>14566300</v>
      </c>
      <c r="L78" s="82">
        <f t="shared" si="75"/>
        <v>15026300</v>
      </c>
      <c r="M78" s="82">
        <f t="shared" si="75"/>
        <v>15554900</v>
      </c>
      <c r="N78" s="82">
        <f t="shared" ref="N78" si="76">SUM(N70:N77)</f>
        <v>16132700</v>
      </c>
      <c r="O78" s="82">
        <f t="shared" ref="O78" si="77">SUM(O70:O77)</f>
        <v>16742300</v>
      </c>
      <c r="P78" s="72">
        <f t="shared" ref="P78" si="78">SUM(P70:P77)</f>
        <v>17459100</v>
      </c>
    </row>
    <row r="79" spans="1:16" x14ac:dyDescent="0.2">
      <c r="A79" s="1497"/>
      <c r="B79" s="21"/>
      <c r="C79" s="20"/>
      <c r="D79" s="1500"/>
      <c r="E79" s="33"/>
      <c r="F79" s="19"/>
      <c r="G79" s="21"/>
      <c r="H79" s="20"/>
      <c r="I79" s="21"/>
      <c r="J79" s="21"/>
      <c r="K79" s="22"/>
      <c r="L79" s="21"/>
      <c r="M79" s="21"/>
      <c r="N79" s="21"/>
      <c r="O79" s="21"/>
      <c r="P79" s="31"/>
    </row>
    <row r="80" spans="1:16" x14ac:dyDescent="0.2">
      <c r="A80" s="1497"/>
      <c r="B80" s="21"/>
      <c r="C80" s="20"/>
      <c r="D80" s="1500" t="s">
        <v>2052</v>
      </c>
      <c r="E80" s="33"/>
      <c r="F80" s="19"/>
      <c r="G80" s="21"/>
      <c r="H80" s="20"/>
      <c r="I80" s="21"/>
      <c r="J80" s="21"/>
      <c r="K80" s="22"/>
      <c r="L80" s="21"/>
      <c r="M80" s="21"/>
      <c r="N80" s="21"/>
      <c r="O80" s="21"/>
      <c r="P80" s="31"/>
    </row>
    <row r="81" spans="1:16" x14ac:dyDescent="0.2">
      <c r="A81" s="1497">
        <f>Summaries!AD17</f>
        <v>1429000</v>
      </c>
      <c r="B81" s="21">
        <f>Summaries!AE17</f>
        <v>1763000</v>
      </c>
      <c r="C81" s="20">
        <f>Summaries!AF17</f>
        <v>1876000</v>
      </c>
      <c r="D81" s="1501" t="s">
        <v>4244</v>
      </c>
      <c r="E81" s="33">
        <f>Summaries!AG17</f>
        <v>1934000</v>
      </c>
      <c r="F81" s="19">
        <f t="shared" ref="F81:F87" si="79">IF(C81=E81,0,IF(C81=0,100,(E81-C81)/C81*100))</f>
        <v>3.091684434968017</v>
      </c>
      <c r="G81" s="21">
        <f>Summaries!AH17</f>
        <v>1994000</v>
      </c>
      <c r="H81" s="20">
        <f>Summaries!AI17</f>
        <v>2056000</v>
      </c>
      <c r="I81" s="21">
        <f>Summaries!AJ17</f>
        <v>2120000</v>
      </c>
      <c r="J81" s="21">
        <f>Summaries!AK17</f>
        <v>2186000</v>
      </c>
      <c r="K81" s="22">
        <f>Summaries!AL17</f>
        <v>2254000</v>
      </c>
      <c r="L81" s="21">
        <f>Summaries!AM17</f>
        <v>2324000</v>
      </c>
      <c r="M81" s="21">
        <f>Summaries!AN17</f>
        <v>2396000</v>
      </c>
      <c r="N81" s="21">
        <f>Summaries!AO17</f>
        <v>2470000</v>
      </c>
      <c r="O81" s="21">
        <f>Summaries!AP17</f>
        <v>2547000</v>
      </c>
      <c r="P81" s="31">
        <f>Summaries!AQ17</f>
        <v>2626000</v>
      </c>
    </row>
    <row r="82" spans="1:16" x14ac:dyDescent="0.2">
      <c r="A82" s="1497">
        <f>Summaries!AD19</f>
        <v>0</v>
      </c>
      <c r="B82" s="21">
        <f>Summaries!AE19</f>
        <v>0</v>
      </c>
      <c r="C82" s="20">
        <f>Summaries!AF19</f>
        <v>0</v>
      </c>
      <c r="D82" s="1501" t="s">
        <v>2188</v>
      </c>
      <c r="E82" s="142">
        <f>Summaries!AG19</f>
        <v>0</v>
      </c>
      <c r="F82" s="19">
        <f t="shared" si="79"/>
        <v>0</v>
      </c>
      <c r="G82" s="20">
        <f>Summaries!AH19</f>
        <v>0</v>
      </c>
      <c r="H82" s="20">
        <f>Summaries!AI19</f>
        <v>0</v>
      </c>
      <c r="I82" s="20">
        <f>Summaries!AJ19</f>
        <v>0</v>
      </c>
      <c r="J82" s="20">
        <f>Summaries!AK19</f>
        <v>0</v>
      </c>
      <c r="K82" s="20">
        <f>Summaries!AL19</f>
        <v>0</v>
      </c>
      <c r="L82" s="20">
        <f>Summaries!AM19</f>
        <v>0</v>
      </c>
      <c r="M82" s="21">
        <f>Summaries!AN19</f>
        <v>0</v>
      </c>
      <c r="N82" s="21">
        <f>Summaries!AO19</f>
        <v>0</v>
      </c>
      <c r="O82" s="21">
        <f>Summaries!AP19</f>
        <v>0</v>
      </c>
      <c r="P82" s="31">
        <f>Summaries!AQ19</f>
        <v>0</v>
      </c>
    </row>
    <row r="83" spans="1:16" x14ac:dyDescent="0.2">
      <c r="A83" s="1497">
        <f>Summaries!AD18</f>
        <v>1802400</v>
      </c>
      <c r="B83" s="21">
        <f>Summaries!AE18</f>
        <v>1354100</v>
      </c>
      <c r="C83" s="20">
        <f>Summaries!AF18</f>
        <v>1264400</v>
      </c>
      <c r="D83" s="1501" t="s">
        <v>2375</v>
      </c>
      <c r="E83" s="33">
        <f>Summaries!AG18</f>
        <v>1387000</v>
      </c>
      <c r="F83" s="19">
        <f t="shared" si="79"/>
        <v>9.6962986396709905</v>
      </c>
      <c r="G83" s="21">
        <f>Summaries!AH18</f>
        <v>1435300</v>
      </c>
      <c r="H83" s="20">
        <f>Summaries!AI18</f>
        <v>1501500</v>
      </c>
      <c r="I83" s="21">
        <f>Summaries!AJ18</f>
        <v>1487800</v>
      </c>
      <c r="J83" s="21">
        <f>Summaries!AK18</f>
        <v>1514500</v>
      </c>
      <c r="K83" s="22">
        <f>Summaries!AL18</f>
        <v>1523100</v>
      </c>
      <c r="L83" s="21">
        <f>Summaries!AM18</f>
        <v>1581000</v>
      </c>
      <c r="M83" s="21">
        <f>Summaries!AN18</f>
        <v>1538400</v>
      </c>
      <c r="N83" s="21">
        <f>Summaries!AO18</f>
        <v>1545700</v>
      </c>
      <c r="O83" s="21">
        <f>Summaries!AP18</f>
        <v>1551600</v>
      </c>
      <c r="P83" s="31">
        <f>Summaries!AQ18</f>
        <v>1557400</v>
      </c>
    </row>
    <row r="84" spans="1:16" x14ac:dyDescent="0.2">
      <c r="A84" s="1497">
        <f>Summaries!AD20</f>
        <v>1859500</v>
      </c>
      <c r="B84" s="21">
        <f>Summaries!AE20</f>
        <v>1478700</v>
      </c>
      <c r="C84" s="20">
        <f>Summaries!AF20</f>
        <v>1498900</v>
      </c>
      <c r="D84" s="1501" t="s">
        <v>4245</v>
      </c>
      <c r="E84" s="33">
        <f>Summaries!AG20</f>
        <v>1428000</v>
      </c>
      <c r="F84" s="19">
        <f t="shared" si="79"/>
        <v>-4.7301354326506102</v>
      </c>
      <c r="G84" s="21">
        <f>Summaries!AH20</f>
        <v>1380000</v>
      </c>
      <c r="H84" s="20">
        <f>Summaries!AI20</f>
        <v>1407600</v>
      </c>
      <c r="I84" s="21">
        <f>Summaries!AJ20</f>
        <v>1435800</v>
      </c>
      <c r="J84" s="21">
        <f>Summaries!AK20</f>
        <v>1464600</v>
      </c>
      <c r="K84" s="22">
        <f>Summaries!AL20</f>
        <v>1493900</v>
      </c>
      <c r="L84" s="21">
        <f>Summaries!AM20</f>
        <v>1523800</v>
      </c>
      <c r="M84" s="21">
        <f>Summaries!AN20</f>
        <v>1554300</v>
      </c>
      <c r="N84" s="21">
        <f>Summaries!AO20</f>
        <v>1585400</v>
      </c>
      <c r="O84" s="21">
        <f>Summaries!AP20</f>
        <v>1617200</v>
      </c>
      <c r="P84" s="31">
        <f>Summaries!AQ20</f>
        <v>1649600</v>
      </c>
    </row>
    <row r="85" spans="1:16" x14ac:dyDescent="0.2">
      <c r="A85" s="1497">
        <f>Summaries!AD21</f>
        <v>5909700</v>
      </c>
      <c r="B85" s="21">
        <f>Summaries!AE21</f>
        <v>6200600</v>
      </c>
      <c r="C85" s="20">
        <f>Summaries!AF21</f>
        <v>6172600</v>
      </c>
      <c r="D85" s="1501" t="s">
        <v>416</v>
      </c>
      <c r="E85" s="33">
        <f>Summaries!AG21</f>
        <v>6520600</v>
      </c>
      <c r="F85" s="19">
        <f t="shared" si="79"/>
        <v>5.6378187473673975</v>
      </c>
      <c r="G85" s="21">
        <f>Summaries!AH21</f>
        <v>6381100</v>
      </c>
      <c r="H85" s="20">
        <f>Summaries!AI21</f>
        <v>6541200</v>
      </c>
      <c r="I85" s="21">
        <f>Summaries!AJ21</f>
        <v>6705800</v>
      </c>
      <c r="J85" s="21">
        <f>Summaries!AK21</f>
        <v>6874400</v>
      </c>
      <c r="K85" s="22">
        <f>Summaries!AL21</f>
        <v>7077400</v>
      </c>
      <c r="L85" s="21">
        <f>Summaries!AM21</f>
        <v>7286300</v>
      </c>
      <c r="M85" s="21">
        <f>Summaries!AN21</f>
        <v>7501200</v>
      </c>
      <c r="N85" s="21">
        <f>Summaries!AO21</f>
        <v>7722700</v>
      </c>
      <c r="O85" s="21">
        <f>Summaries!AP21</f>
        <v>7950600</v>
      </c>
      <c r="P85" s="31">
        <f>Summaries!AQ21</f>
        <v>8185500</v>
      </c>
    </row>
    <row r="86" spans="1:16" x14ac:dyDescent="0.2">
      <c r="A86" s="1497">
        <f>IF(Summaries!AD22&gt;Summaries!AD12,Summaries!AD22-Summaries!AD12,0)</f>
        <v>111000</v>
      </c>
      <c r="B86" s="21">
        <f>IF(Summaries!AE22&gt;Summaries!AE12,Summaries!AE22-Summaries!AE12,0)</f>
        <v>20600</v>
      </c>
      <c r="C86" s="20">
        <f>IF(Summaries!AF22&gt;Summaries!AF12,Summaries!AF22-Summaries!AF12,0)</f>
        <v>38000</v>
      </c>
      <c r="D86" s="1501" t="s">
        <v>4246</v>
      </c>
      <c r="E86" s="33">
        <f>IF(Summaries!AH22&gt;Summaries!AH12,Summaries!AH22-Summaries!AH12,0)</f>
        <v>0</v>
      </c>
      <c r="F86" s="19">
        <f t="shared" si="79"/>
        <v>-100</v>
      </c>
      <c r="G86" s="21">
        <f>IF(Summaries!AI22&gt;Summaries!AI12,Summaries!AI22-Summaries!AI12,0)</f>
        <v>0</v>
      </c>
      <c r="H86" s="21">
        <f>IF(Summaries!AJ22&gt;Summaries!AJ12,Summaries!AJ22-Summaries!AJ12,0)</f>
        <v>0</v>
      </c>
      <c r="I86" s="21">
        <f>IF(Summaries!AK22&gt;Summaries!AK12,Summaries!AK22-Summaries!AK12,0)</f>
        <v>0</v>
      </c>
      <c r="J86" s="21">
        <f>IF(Summaries!AL22&gt;Summaries!AL12,Summaries!AL22-Summaries!AL12,0)</f>
        <v>0</v>
      </c>
      <c r="K86" s="21">
        <f>IF(Summaries!AM22&gt;Summaries!AM12,Summaries!AM22-Summaries!AM12,0)</f>
        <v>0</v>
      </c>
      <c r="L86" s="21">
        <f>IF(Summaries!AN22&gt;Summaries!AN12,Summaries!AN22-Summaries!AN12,0)</f>
        <v>0</v>
      </c>
      <c r="M86" s="21">
        <f>IF(Summaries!AO22&gt;Summaries!AO12,Summaries!AO22-Summaries!AO12,0)</f>
        <v>0</v>
      </c>
      <c r="N86" s="21">
        <f>IF(Summaries!AP22&gt;Summaries!AP12,Summaries!AP22-Summaries!AP12,0)</f>
        <v>0</v>
      </c>
      <c r="O86" s="21">
        <f>IF(Summaries!AQ22&gt;Summaries!AQ12,Summaries!AQ22-Summaries!AQ12,0)</f>
        <v>0</v>
      </c>
      <c r="P86" s="31">
        <f>IF(Summaries!AR22&gt;Summaries!AR12,Summaries!AR22-Summaries!AR12,0)</f>
        <v>0</v>
      </c>
    </row>
    <row r="87" spans="1:16" s="40" customFormat="1" x14ac:dyDescent="0.2">
      <c r="A87" s="1504">
        <f>SUM(A81:A86)</f>
        <v>11111600</v>
      </c>
      <c r="B87" s="82">
        <f>SUM(B81:B86)</f>
        <v>10817000</v>
      </c>
      <c r="C87" s="83">
        <f>SUM(C81:C86)</f>
        <v>10849900</v>
      </c>
      <c r="D87" s="1500" t="s">
        <v>4249</v>
      </c>
      <c r="E87" s="116">
        <f t="shared" ref="E87:N87" si="80">SUM(E81:E86)</f>
        <v>11269600</v>
      </c>
      <c r="F87" s="1326">
        <f t="shared" si="79"/>
        <v>3.8682384169439352</v>
      </c>
      <c r="G87" s="82">
        <f t="shared" si="80"/>
        <v>11190400</v>
      </c>
      <c r="H87" s="83">
        <f t="shared" si="80"/>
        <v>11506300</v>
      </c>
      <c r="I87" s="82">
        <f t="shared" si="80"/>
        <v>11749400</v>
      </c>
      <c r="J87" s="82">
        <f t="shared" si="80"/>
        <v>12039500</v>
      </c>
      <c r="K87" s="58">
        <f t="shared" si="80"/>
        <v>12348400</v>
      </c>
      <c r="L87" s="82">
        <f t="shared" si="80"/>
        <v>12715100</v>
      </c>
      <c r="M87" s="82">
        <f t="shared" si="80"/>
        <v>12989900</v>
      </c>
      <c r="N87" s="82">
        <f t="shared" si="80"/>
        <v>13323800</v>
      </c>
      <c r="O87" s="82">
        <f t="shared" ref="O87" si="81">SUM(O81:O86)</f>
        <v>13666400</v>
      </c>
      <c r="P87" s="72">
        <f t="shared" ref="P87" si="82">SUM(P81:P86)</f>
        <v>14018500</v>
      </c>
    </row>
    <row r="88" spans="1:16" x14ac:dyDescent="0.2">
      <c r="A88" s="1497"/>
      <c r="B88" s="21"/>
      <c r="C88" s="20"/>
      <c r="D88" s="1502"/>
      <c r="E88" s="33"/>
      <c r="F88" s="1326"/>
      <c r="G88" s="21"/>
      <c r="H88" s="20"/>
      <c r="I88" s="21"/>
      <c r="J88" s="21"/>
      <c r="K88" s="22"/>
      <c r="L88" s="21"/>
      <c r="M88" s="21"/>
      <c r="N88" s="21"/>
      <c r="O88" s="21"/>
      <c r="P88" s="31"/>
    </row>
    <row r="89" spans="1:16" s="40" customFormat="1" x14ac:dyDescent="0.2">
      <c r="A89" s="1504">
        <f>A78-A87</f>
        <v>216000</v>
      </c>
      <c r="B89" s="82">
        <f>B78-B87</f>
        <v>839800</v>
      </c>
      <c r="C89" s="83">
        <f>C78-C87</f>
        <v>1409100</v>
      </c>
      <c r="D89" s="1505" t="s">
        <v>4250</v>
      </c>
      <c r="E89" s="116">
        <f t="shared" ref="E89:N89" si="83">E78-E87</f>
        <v>1563400</v>
      </c>
      <c r="F89" s="1326">
        <f>IF(C89=E89,0,IF(C89=0,100,(E89-C89)/C89*100))</f>
        <v>10.950251933858492</v>
      </c>
      <c r="G89" s="82">
        <f t="shared" si="83"/>
        <v>1738900</v>
      </c>
      <c r="H89" s="83">
        <f t="shared" si="83"/>
        <v>1729000</v>
      </c>
      <c r="I89" s="82">
        <f t="shared" si="83"/>
        <v>1775800</v>
      </c>
      <c r="J89" s="82">
        <f t="shared" si="83"/>
        <v>1972200</v>
      </c>
      <c r="K89" s="58">
        <f t="shared" si="83"/>
        <v>2217900</v>
      </c>
      <c r="L89" s="82">
        <f t="shared" si="83"/>
        <v>2311200</v>
      </c>
      <c r="M89" s="82">
        <f t="shared" si="83"/>
        <v>2565000</v>
      </c>
      <c r="N89" s="82">
        <f t="shared" si="83"/>
        <v>2808900</v>
      </c>
      <c r="O89" s="82">
        <f t="shared" ref="O89" si="84">O78-O87</f>
        <v>3075900</v>
      </c>
      <c r="P89" s="72">
        <f t="shared" ref="P89" si="85">P78-P87</f>
        <v>3440600</v>
      </c>
    </row>
    <row r="90" spans="1:16" x14ac:dyDescent="0.2">
      <c r="A90" s="1497"/>
      <c r="B90" s="21"/>
      <c r="C90" s="20"/>
      <c r="D90" s="1502"/>
      <c r="E90" s="33"/>
      <c r="F90" s="1326"/>
      <c r="G90" s="21"/>
      <c r="H90" s="20"/>
      <c r="I90" s="21"/>
      <c r="J90" s="21"/>
      <c r="K90" s="22"/>
      <c r="L90" s="21"/>
      <c r="M90" s="21"/>
      <c r="N90" s="21"/>
      <c r="O90" s="21"/>
      <c r="P90" s="31"/>
    </row>
    <row r="91" spans="1:16" s="40" customFormat="1" x14ac:dyDescent="0.2">
      <c r="A91" s="1504">
        <f>A78-A75-A87</f>
        <v>-422500</v>
      </c>
      <c r="B91" s="82">
        <f>B78-B75-B87</f>
        <v>75500</v>
      </c>
      <c r="C91" s="83">
        <f>C78-C75-C87</f>
        <v>349200</v>
      </c>
      <c r="D91" s="1505" t="s">
        <v>4717</v>
      </c>
      <c r="E91" s="116">
        <f t="shared" ref="E91:N91" si="86">E78-E75-E87</f>
        <v>644000</v>
      </c>
      <c r="F91" s="1326">
        <f>IF(C91=E91,0,IF(C91=0,100,(E91-C91)/C91*100))</f>
        <v>84.421534936998853</v>
      </c>
      <c r="G91" s="82">
        <f t="shared" si="86"/>
        <v>963900</v>
      </c>
      <c r="H91" s="83">
        <f t="shared" si="86"/>
        <v>929000</v>
      </c>
      <c r="I91" s="82">
        <f t="shared" si="86"/>
        <v>955800</v>
      </c>
      <c r="J91" s="82">
        <f t="shared" si="86"/>
        <v>1132200</v>
      </c>
      <c r="K91" s="58">
        <f t="shared" si="86"/>
        <v>1357900</v>
      </c>
      <c r="L91" s="82">
        <f t="shared" si="86"/>
        <v>1431200</v>
      </c>
      <c r="M91" s="82">
        <f t="shared" si="86"/>
        <v>1665000</v>
      </c>
      <c r="N91" s="82">
        <f t="shared" si="86"/>
        <v>1888900</v>
      </c>
      <c r="O91" s="82">
        <f t="shared" ref="O91" si="87">O78-O75-O87</f>
        <v>2135900</v>
      </c>
      <c r="P91" s="72">
        <f t="shared" ref="P91" si="88">P78-P75-P87</f>
        <v>2480600</v>
      </c>
    </row>
    <row r="92" spans="1:16" s="25" customFormat="1" ht="13.5" thickBot="1" x14ac:dyDescent="0.25">
      <c r="A92" s="1498"/>
      <c r="B92" s="28"/>
      <c r="C92" s="37"/>
      <c r="D92" s="1503"/>
      <c r="E92" s="835"/>
      <c r="F92" s="86"/>
      <c r="G92" s="28"/>
      <c r="H92" s="37"/>
      <c r="I92" s="28"/>
      <c r="J92" s="28"/>
      <c r="K92" s="215"/>
      <c r="L92" s="28"/>
      <c r="M92" s="28"/>
      <c r="N92" s="28"/>
      <c r="O92" s="28"/>
      <c r="P92" s="258"/>
    </row>
    <row r="93" spans="1:16" ht="14.25" thickTop="1" thickBot="1" x14ac:dyDescent="0.25"/>
    <row r="94" spans="1:16" s="506" customFormat="1" ht="19.5" thickTop="1" thickBot="1" x14ac:dyDescent="0.3">
      <c r="A94" s="2842" t="s">
        <v>7032</v>
      </c>
      <c r="B94" s="2843"/>
      <c r="C94" s="2843"/>
      <c r="D94" s="2843"/>
      <c r="E94" s="2843"/>
      <c r="F94" s="2843"/>
      <c r="G94" s="2843"/>
      <c r="H94" s="2843"/>
      <c r="I94" s="2843"/>
      <c r="J94" s="2843"/>
      <c r="K94" s="2843"/>
      <c r="L94" s="2843"/>
      <c r="M94" s="2843"/>
      <c r="N94" s="2843"/>
      <c r="O94" s="2843"/>
      <c r="P94" s="2844"/>
    </row>
    <row r="95" spans="1:16" x14ac:dyDescent="0.2">
      <c r="A95" s="2845" t="str">
        <f>$A$126</f>
        <v>ACTUAL</v>
      </c>
      <c r="B95" s="2846"/>
      <c r="C95" s="2847"/>
      <c r="D95" s="2136" t="str">
        <f>$D$126</f>
        <v>ITEM</v>
      </c>
      <c r="E95" s="2839" t="s">
        <v>2253</v>
      </c>
      <c r="F95" s="2840"/>
      <c r="G95" s="2840"/>
      <c r="H95" s="2840"/>
      <c r="I95" s="2840"/>
      <c r="J95" s="2840"/>
      <c r="K95" s="2840"/>
      <c r="L95" s="2840"/>
      <c r="M95" s="2840"/>
      <c r="N95" s="2840"/>
      <c r="O95" s="2840"/>
      <c r="P95" s="2841"/>
    </row>
    <row r="96" spans="1:16" ht="13.5" thickBot="1" x14ac:dyDescent="0.25">
      <c r="A96" s="2135" t="str">
        <f>A65</f>
        <v>2013/14</v>
      </c>
      <c r="B96" s="370" t="str">
        <f>B65</f>
        <v>2014/15</v>
      </c>
      <c r="C96" s="47" t="str">
        <f>C65</f>
        <v>2015/16</v>
      </c>
      <c r="D96" s="1951"/>
      <c r="E96" s="97" t="str">
        <f t="shared" ref="E96:N96" si="89">E65</f>
        <v>2016/17</v>
      </c>
      <c r="F96" s="436" t="str">
        <f t="shared" ref="F96" si="90">F65</f>
        <v>%</v>
      </c>
      <c r="G96" s="47" t="str">
        <f t="shared" si="89"/>
        <v>2017/18</v>
      </c>
      <c r="H96" s="49" t="str">
        <f t="shared" si="89"/>
        <v>2018/19</v>
      </c>
      <c r="I96" s="47" t="str">
        <f t="shared" si="89"/>
        <v>2019/20</v>
      </c>
      <c r="J96" s="47" t="str">
        <f t="shared" si="89"/>
        <v>2020/21</v>
      </c>
      <c r="K96" s="1294" t="str">
        <f t="shared" si="89"/>
        <v>2021/22</v>
      </c>
      <c r="L96" s="47" t="str">
        <f t="shared" si="89"/>
        <v>2022/23</v>
      </c>
      <c r="M96" s="47" t="str">
        <f t="shared" si="89"/>
        <v>2023/24</v>
      </c>
      <c r="N96" s="47" t="str">
        <f t="shared" si="89"/>
        <v>2024/25</v>
      </c>
      <c r="O96" s="219" t="str">
        <f t="shared" ref="O96" si="91">O65</f>
        <v>2025/26</v>
      </c>
      <c r="P96" s="220" t="str">
        <f t="shared" ref="P96" si="92">P65</f>
        <v>2026/27</v>
      </c>
    </row>
    <row r="97" spans="1:16" x14ac:dyDescent="0.2">
      <c r="A97" s="1497"/>
      <c r="B97" s="21"/>
      <c r="C97" s="20"/>
      <c r="D97" s="21"/>
      <c r="E97" s="33"/>
      <c r="F97" s="21"/>
      <c r="G97" s="21"/>
      <c r="H97" s="20"/>
      <c r="I97" s="21"/>
      <c r="J97" s="21"/>
      <c r="K97" s="22"/>
      <c r="L97" s="21"/>
      <c r="M97" s="21"/>
      <c r="N97" s="21"/>
      <c r="O97" s="21"/>
      <c r="P97" s="31"/>
    </row>
    <row r="98" spans="1:16" x14ac:dyDescent="0.2">
      <c r="A98" s="1497"/>
      <c r="B98" s="21"/>
      <c r="C98" s="20"/>
      <c r="D98" s="82" t="s">
        <v>2596</v>
      </c>
      <c r="E98" s="33"/>
      <c r="F98" s="21"/>
      <c r="G98" s="21"/>
      <c r="H98" s="20"/>
      <c r="I98" s="21"/>
      <c r="J98" s="21"/>
      <c r="K98" s="22"/>
      <c r="L98" s="21"/>
      <c r="M98" s="21"/>
      <c r="N98" s="21"/>
      <c r="O98" s="21"/>
      <c r="P98" s="31"/>
    </row>
    <row r="99" spans="1:16" x14ac:dyDescent="0.2">
      <c r="A99" s="1497"/>
      <c r="B99" s="21"/>
      <c r="C99" s="20"/>
      <c r="D99" s="82"/>
      <c r="E99" s="33"/>
      <c r="F99" s="21"/>
      <c r="G99" s="21"/>
      <c r="H99" s="20"/>
      <c r="I99" s="21"/>
      <c r="J99" s="21"/>
      <c r="K99" s="22"/>
      <c r="L99" s="21"/>
      <c r="M99" s="21"/>
      <c r="N99" s="21"/>
      <c r="O99" s="21"/>
      <c r="P99" s="31"/>
    </row>
    <row r="100" spans="1:16" x14ac:dyDescent="0.2">
      <c r="A100" s="1497"/>
      <c r="B100" s="21"/>
      <c r="C100" s="20"/>
      <c r="D100" s="1500" t="s">
        <v>0</v>
      </c>
      <c r="E100" s="33"/>
      <c r="F100" s="19"/>
      <c r="G100" s="21"/>
      <c r="H100" s="20"/>
      <c r="I100" s="21"/>
      <c r="J100" s="21"/>
      <c r="K100" s="22"/>
      <c r="L100" s="21"/>
      <c r="M100" s="21"/>
      <c r="N100" s="21"/>
      <c r="O100" s="21"/>
      <c r="P100" s="31"/>
    </row>
    <row r="101" spans="1:16" x14ac:dyDescent="0.2">
      <c r="A101" s="1497">
        <f>Summaries!AR7</f>
        <v>11668700</v>
      </c>
      <c r="B101" s="21">
        <f>Summaries!AS7</f>
        <v>13005500</v>
      </c>
      <c r="C101" s="20">
        <f>Summaries!AT7</f>
        <v>14087200</v>
      </c>
      <c r="D101" s="1501" t="s">
        <v>2335</v>
      </c>
      <c r="E101" s="33">
        <f>Summaries!AU7</f>
        <v>15387200</v>
      </c>
      <c r="F101" s="138">
        <f t="shared" ref="F101:F106" si="93">IF(C101=E101,0,IF(C101=0,100,(E101-C101)/C101*100))</f>
        <v>9.2282355613606679</v>
      </c>
      <c r="G101" s="21">
        <f>Summaries!AV7</f>
        <v>15856000</v>
      </c>
      <c r="H101" s="20">
        <f>Summaries!AW7</f>
        <v>16258000</v>
      </c>
      <c r="I101" s="21">
        <f>Summaries!AX7</f>
        <v>16670000</v>
      </c>
      <c r="J101" s="21">
        <f>Summaries!AY7</f>
        <v>17346000</v>
      </c>
      <c r="K101" s="22">
        <f>Summaries!AZ7</f>
        <v>17873000</v>
      </c>
      <c r="L101" s="21">
        <f>Summaries!BA7</f>
        <v>18416000</v>
      </c>
      <c r="M101" s="21">
        <f>Summaries!BB7</f>
        <v>18976000</v>
      </c>
      <c r="N101" s="21">
        <f>Summaries!BC7</f>
        <v>19552000</v>
      </c>
      <c r="O101" s="21">
        <f>Summaries!BD7</f>
        <v>20146000</v>
      </c>
      <c r="P101" s="31">
        <f>Summaries!BE7</f>
        <v>20758000</v>
      </c>
    </row>
    <row r="102" spans="1:16" x14ac:dyDescent="0.2">
      <c r="A102" s="1497">
        <f>Summaries!AR8</f>
        <v>1098100</v>
      </c>
      <c r="B102" s="21">
        <f>Summaries!AS8</f>
        <v>1038400</v>
      </c>
      <c r="C102" s="20">
        <f>Summaries!AT8</f>
        <v>1141900</v>
      </c>
      <c r="D102" s="1501" t="s">
        <v>2376</v>
      </c>
      <c r="E102" s="33">
        <f>Summaries!AU8</f>
        <v>1288600</v>
      </c>
      <c r="F102" s="138">
        <f t="shared" si="93"/>
        <v>12.847009370347667</v>
      </c>
      <c r="G102" s="21">
        <f>Summaries!AV8</f>
        <v>1351800</v>
      </c>
      <c r="H102" s="20">
        <f>Summaries!AW8</f>
        <v>1424400</v>
      </c>
      <c r="I102" s="21">
        <f>Summaries!AX8</f>
        <v>1498000</v>
      </c>
      <c r="J102" s="21">
        <f>Summaries!AY8</f>
        <v>1590800</v>
      </c>
      <c r="K102" s="22">
        <f>Summaries!AZ8</f>
        <v>1635000</v>
      </c>
      <c r="L102" s="21">
        <f>Summaries!BA8</f>
        <v>1680300</v>
      </c>
      <c r="M102" s="21">
        <f>Summaries!BB8</f>
        <v>1727700</v>
      </c>
      <c r="N102" s="21">
        <f>Summaries!BC8</f>
        <v>1776400</v>
      </c>
      <c r="O102" s="21">
        <f>Summaries!BD8</f>
        <v>1826200</v>
      </c>
      <c r="P102" s="31">
        <f>Summaries!BE8</f>
        <v>1877200</v>
      </c>
    </row>
    <row r="103" spans="1:16" x14ac:dyDescent="0.2">
      <c r="A103" s="1497">
        <f>Summaries!AR9</f>
        <v>968800</v>
      </c>
      <c r="B103" s="21">
        <f>Summaries!AS9+6000</f>
        <v>678700</v>
      </c>
      <c r="C103" s="20">
        <f>Summaries!AT9</f>
        <v>496500</v>
      </c>
      <c r="D103" s="1501" t="s">
        <v>4242</v>
      </c>
      <c r="E103" s="33">
        <f>Summaries!AU9</f>
        <v>370600</v>
      </c>
      <c r="F103" s="138">
        <f t="shared" si="93"/>
        <v>-25.357502517623367</v>
      </c>
      <c r="G103" s="21">
        <f>Summaries!AV9</f>
        <v>308200</v>
      </c>
      <c r="H103" s="20">
        <f>Summaries!AW9</f>
        <v>284900</v>
      </c>
      <c r="I103" s="21">
        <f>Summaries!AX9</f>
        <v>298300</v>
      </c>
      <c r="J103" s="21">
        <f>Summaries!AY9</f>
        <v>243200</v>
      </c>
      <c r="K103" s="22">
        <f>Summaries!AZ9</f>
        <v>217300</v>
      </c>
      <c r="L103" s="21">
        <f>Summaries!BA9</f>
        <v>239100</v>
      </c>
      <c r="M103" s="21">
        <f>Summaries!BB9</f>
        <v>225300</v>
      </c>
      <c r="N103" s="21">
        <f>Summaries!BC9</f>
        <v>288700</v>
      </c>
      <c r="O103" s="21">
        <f>Summaries!BD9</f>
        <v>426100</v>
      </c>
      <c r="P103" s="31">
        <f>Summaries!BE9</f>
        <v>569400</v>
      </c>
    </row>
    <row r="104" spans="1:16" x14ac:dyDescent="0.2">
      <c r="A104" s="1497">
        <f>Summaries!AR10</f>
        <v>550400</v>
      </c>
      <c r="B104" s="21">
        <f>Summaries!AS10-6000</f>
        <v>462400</v>
      </c>
      <c r="C104" s="20">
        <f>Summaries!AT10</f>
        <v>473400</v>
      </c>
      <c r="D104" s="1501" t="s">
        <v>428</v>
      </c>
      <c r="E104" s="33">
        <f>Summaries!AU10</f>
        <v>506800</v>
      </c>
      <c r="F104" s="138">
        <f t="shared" si="93"/>
        <v>7.0553443177017323</v>
      </c>
      <c r="G104" s="21">
        <f>Summaries!AV10</f>
        <v>478900</v>
      </c>
      <c r="H104" s="20">
        <f>Summaries!AW10</f>
        <v>491200</v>
      </c>
      <c r="I104" s="21">
        <f>Summaries!AX10</f>
        <v>503700</v>
      </c>
      <c r="J104" s="21">
        <f>Summaries!AY10</f>
        <v>516600</v>
      </c>
      <c r="K104" s="22">
        <f>Summaries!AZ10</f>
        <v>527400</v>
      </c>
      <c r="L104" s="21">
        <f>Summaries!BA10</f>
        <v>538300</v>
      </c>
      <c r="M104" s="21">
        <f>Summaries!BB10</f>
        <v>549400</v>
      </c>
      <c r="N104" s="21">
        <f>Summaries!BC10</f>
        <v>560700</v>
      </c>
      <c r="O104" s="21">
        <f>Summaries!BD10</f>
        <v>572300</v>
      </c>
      <c r="P104" s="31">
        <f>Summaries!BE10</f>
        <v>584200</v>
      </c>
    </row>
    <row r="105" spans="1:16" ht="12.75" customHeight="1" x14ac:dyDescent="0.2">
      <c r="A105" s="1497">
        <f>Summaries!AR11</f>
        <v>150800</v>
      </c>
      <c r="B105" s="21">
        <f>Summaries!AS11</f>
        <v>151700</v>
      </c>
      <c r="C105" s="20">
        <f>Summaries!AT11</f>
        <v>156600</v>
      </c>
      <c r="D105" s="1501" t="s">
        <v>4252</v>
      </c>
      <c r="E105" s="33">
        <f>Summaries!AU11</f>
        <v>152700</v>
      </c>
      <c r="F105" s="138">
        <f t="shared" si="93"/>
        <v>-2.490421455938697</v>
      </c>
      <c r="G105" s="21">
        <f>Summaries!AV11</f>
        <v>143600</v>
      </c>
      <c r="H105" s="20">
        <f>Summaries!AW11</f>
        <v>144500</v>
      </c>
      <c r="I105" s="21">
        <f>Summaries!AX11</f>
        <v>145500</v>
      </c>
      <c r="J105" s="21">
        <f>Summaries!AY11</f>
        <v>146400</v>
      </c>
      <c r="K105" s="22">
        <f>Summaries!AZ11</f>
        <v>147300</v>
      </c>
      <c r="L105" s="21">
        <f>Summaries!BA11</f>
        <v>148200</v>
      </c>
      <c r="M105" s="21">
        <f>Summaries!BB11</f>
        <v>149100</v>
      </c>
      <c r="N105" s="21">
        <f>Summaries!BC11</f>
        <v>150000</v>
      </c>
      <c r="O105" s="21">
        <f>Summaries!BD11</f>
        <v>150900</v>
      </c>
      <c r="P105" s="31">
        <f>Summaries!BE11</f>
        <v>151800</v>
      </c>
    </row>
    <row r="106" spans="1:16" x14ac:dyDescent="0.2">
      <c r="A106" s="1497">
        <f>Summaries!AR40+Summaries!AR41</f>
        <v>2014200</v>
      </c>
      <c r="B106" s="21">
        <f>Summaries!AS40+Summaries!AS41</f>
        <v>2131400</v>
      </c>
      <c r="C106" s="20">
        <f>Summaries!AT40+Summaries!AT41</f>
        <v>2470000</v>
      </c>
      <c r="D106" s="1501" t="s">
        <v>4253</v>
      </c>
      <c r="E106" s="142">
        <f>Summaries!AU40+Summaries!AU41</f>
        <v>2045500</v>
      </c>
      <c r="F106" s="138">
        <f t="shared" si="93"/>
        <v>-17.186234817813766</v>
      </c>
      <c r="G106" s="20">
        <f>Summaries!AV40+Summaries!AV41</f>
        <v>2245500</v>
      </c>
      <c r="H106" s="20">
        <f>Summaries!AW40+Summaries!AW41</f>
        <v>2275500</v>
      </c>
      <c r="I106" s="20">
        <f>Summaries!AX40+Summaries!AX41</f>
        <v>2315500</v>
      </c>
      <c r="J106" s="20">
        <f>Summaries!AY40+Summaries!AY41</f>
        <v>2355500</v>
      </c>
      <c r="K106" s="20">
        <f>Summaries!AZ40+Summaries!AZ41</f>
        <v>2405500</v>
      </c>
      <c r="L106" s="20">
        <f>Summaries!BA40+Summaries!BA41</f>
        <v>2445500</v>
      </c>
      <c r="M106" s="20">
        <f>Summaries!BB40+Summaries!BB41</f>
        <v>2485500</v>
      </c>
      <c r="N106" s="21">
        <f>Summaries!BC40+Summaries!BC41</f>
        <v>2525500</v>
      </c>
      <c r="O106" s="21">
        <f>Summaries!BD40+Summaries!BD41</f>
        <v>2565500</v>
      </c>
      <c r="P106" s="31">
        <f>Summaries!BE40+Summaries!BE41</f>
        <v>2605500</v>
      </c>
    </row>
    <row r="107" spans="1:16" x14ac:dyDescent="0.2">
      <c r="A107" s="1497"/>
      <c r="B107" s="21"/>
      <c r="C107" s="20"/>
      <c r="D107" s="1500" t="s">
        <v>4247</v>
      </c>
      <c r="E107" s="33"/>
      <c r="F107" s="19"/>
      <c r="G107" s="21"/>
      <c r="H107" s="20"/>
      <c r="I107" s="21"/>
      <c r="J107" s="21"/>
      <c r="K107" s="22"/>
      <c r="L107" s="21"/>
      <c r="M107" s="21"/>
      <c r="N107" s="21"/>
      <c r="O107" s="21"/>
      <c r="P107" s="31"/>
    </row>
    <row r="108" spans="1:16" x14ac:dyDescent="0.2">
      <c r="A108" s="1497">
        <f>IF(Summaries!AR12&gt;Summaries!AR22,Summaries!AR12-Summaries!AR22,0)</f>
        <v>5700</v>
      </c>
      <c r="B108" s="21">
        <f>IF(Summaries!AS12&gt;Summaries!AS22,Summaries!AS12-Summaries!AS22,0)</f>
        <v>0</v>
      </c>
      <c r="C108" s="20">
        <f>IF(Summaries!AT12&gt;Summaries!AT22,Summaries!AT12-Summaries!AT22,0)</f>
        <v>0</v>
      </c>
      <c r="D108" s="1501" t="s">
        <v>4248</v>
      </c>
      <c r="E108" s="142">
        <f>IF(Summaries!AU12&gt;Summaries!AU22,Summaries!AU12-Summaries!AU22,0)</f>
        <v>0</v>
      </c>
      <c r="F108" s="19">
        <f>IF(C108=E108,0,IF(C108=0,100,(E108-C108)/C108*100))</f>
        <v>0</v>
      </c>
      <c r="G108" s="20">
        <f>IF(Summaries!AV12&gt;Summaries!AV22,Summaries!AV12-Summaries!AV22,0)</f>
        <v>0</v>
      </c>
      <c r="H108" s="20">
        <f>IF(Summaries!AW12&gt;Summaries!AW22,Summaries!AW12-Summaries!AW22,0)</f>
        <v>0</v>
      </c>
      <c r="I108" s="20">
        <f>IF(Summaries!AX12&gt;Summaries!AX22,Summaries!AX12-Summaries!AX22,0)</f>
        <v>0</v>
      </c>
      <c r="J108" s="20">
        <f>IF(Summaries!AY12&gt;Summaries!AY22,Summaries!AY12-Summaries!AY22,0)</f>
        <v>0</v>
      </c>
      <c r="K108" s="20">
        <f>IF(Summaries!AZ12&gt;Summaries!AZ22,Summaries!AZ12-Summaries!AZ22,0)</f>
        <v>0</v>
      </c>
      <c r="L108" s="20">
        <f>IF(Summaries!BA12&gt;Summaries!BA22,Summaries!BA12-Summaries!BA22,0)</f>
        <v>0</v>
      </c>
      <c r="M108" s="20">
        <f>IF(Summaries!BB12&gt;Summaries!BB22,Summaries!BB12-Summaries!BB22,0)</f>
        <v>0</v>
      </c>
      <c r="N108" s="21">
        <f>IF(Summaries!BC12&gt;Summaries!BC22,Summaries!BC12-Summaries!BC22,0)</f>
        <v>0</v>
      </c>
      <c r="O108" s="21">
        <f>IF(Summaries!BD12&gt;Summaries!BD22,Summaries!BD12-Summaries!BD22,0)</f>
        <v>0</v>
      </c>
      <c r="P108" s="31">
        <f>IF(Summaries!BE12&gt;Summaries!BE22,Summaries!BE12-Summaries!BE22,0)</f>
        <v>0</v>
      </c>
    </row>
    <row r="109" spans="1:16" s="40" customFormat="1" x14ac:dyDescent="0.2">
      <c r="A109" s="1504">
        <f>SUM(A101:A108)</f>
        <v>16456700</v>
      </c>
      <c r="B109" s="82">
        <f>SUM(B101:B108)</f>
        <v>17468100</v>
      </c>
      <c r="C109" s="83">
        <f>SUM(C101:C108)</f>
        <v>18825600</v>
      </c>
      <c r="D109" s="1500" t="s">
        <v>4243</v>
      </c>
      <c r="E109" s="116">
        <f t="shared" ref="E109:M109" si="94">SUM(E101:E108)</f>
        <v>19751400</v>
      </c>
      <c r="F109" s="1326">
        <f>IF(C109=E109,0,IF(C109=0,100,(E109-C109)/C109*100))</f>
        <v>4.9177715451300354</v>
      </c>
      <c r="G109" s="82">
        <f t="shared" si="94"/>
        <v>20384000</v>
      </c>
      <c r="H109" s="83">
        <f t="shared" si="94"/>
        <v>20878500</v>
      </c>
      <c r="I109" s="82">
        <f t="shared" si="94"/>
        <v>21431000</v>
      </c>
      <c r="J109" s="82">
        <f t="shared" si="94"/>
        <v>22198500</v>
      </c>
      <c r="K109" s="58">
        <f t="shared" si="94"/>
        <v>22805500</v>
      </c>
      <c r="L109" s="82">
        <f t="shared" si="94"/>
        <v>23467400</v>
      </c>
      <c r="M109" s="82">
        <f t="shared" si="94"/>
        <v>24113000</v>
      </c>
      <c r="N109" s="82">
        <f t="shared" ref="N109" si="95">SUM(N101:N108)</f>
        <v>24853300</v>
      </c>
      <c r="O109" s="82">
        <f t="shared" ref="O109" si="96">SUM(O101:O108)</f>
        <v>25687000</v>
      </c>
      <c r="P109" s="72">
        <f t="shared" ref="P109" si="97">SUM(P101:P108)</f>
        <v>26546100</v>
      </c>
    </row>
    <row r="110" spans="1:16" x14ac:dyDescent="0.2">
      <c r="A110" s="1497"/>
      <c r="B110" s="21"/>
      <c r="C110" s="20"/>
      <c r="D110" s="1500"/>
      <c r="E110" s="33"/>
      <c r="F110" s="19"/>
      <c r="G110" s="21"/>
      <c r="H110" s="20"/>
      <c r="I110" s="21"/>
      <c r="J110" s="21"/>
      <c r="K110" s="22"/>
      <c r="L110" s="21"/>
      <c r="M110" s="21"/>
      <c r="N110" s="21"/>
      <c r="O110" s="21"/>
      <c r="P110" s="31"/>
    </row>
    <row r="111" spans="1:16" x14ac:dyDescent="0.2">
      <c r="A111" s="1497"/>
      <c r="B111" s="21"/>
      <c r="C111" s="20"/>
      <c r="D111" s="1500" t="s">
        <v>2052</v>
      </c>
      <c r="E111" s="33"/>
      <c r="F111" s="19"/>
      <c r="G111" s="21"/>
      <c r="H111" s="20"/>
      <c r="I111" s="21"/>
      <c r="J111" s="21"/>
      <c r="K111" s="22"/>
      <c r="L111" s="21"/>
      <c r="M111" s="21"/>
      <c r="N111" s="21"/>
      <c r="O111" s="21"/>
      <c r="P111" s="31"/>
    </row>
    <row r="112" spans="1:16" x14ac:dyDescent="0.2">
      <c r="A112" s="1497">
        <f>Summaries!AR17</f>
        <v>3510600</v>
      </c>
      <c r="B112" s="21">
        <f>Summaries!AS17</f>
        <v>3219000</v>
      </c>
      <c r="C112" s="20">
        <f>Summaries!AT17</f>
        <v>3676000</v>
      </c>
      <c r="D112" s="1501" t="s">
        <v>4244</v>
      </c>
      <c r="E112" s="33">
        <f>Summaries!AU17</f>
        <v>3790000</v>
      </c>
      <c r="F112" s="138">
        <f t="shared" ref="F112:F118" si="98">IF(C112=E112,0,IF(C112=0,100,(E112-C112)/C112*100))</f>
        <v>3.1011969532100108</v>
      </c>
      <c r="G112" s="21">
        <f>Summaries!AV17</f>
        <v>3908000</v>
      </c>
      <c r="H112" s="20">
        <f>Summaries!AW17</f>
        <v>4029000</v>
      </c>
      <c r="I112" s="21">
        <f>Summaries!AX17</f>
        <v>4154000</v>
      </c>
      <c r="J112" s="21">
        <f>Summaries!AY17</f>
        <v>4283000</v>
      </c>
      <c r="K112" s="22">
        <f>Summaries!AZ17</f>
        <v>4416000</v>
      </c>
      <c r="L112" s="21">
        <f>Summaries!BA17</f>
        <v>4553000</v>
      </c>
      <c r="M112" s="21">
        <f>Summaries!BB17</f>
        <v>4694000</v>
      </c>
      <c r="N112" s="21">
        <f>Summaries!BC17</f>
        <v>4840000</v>
      </c>
      <c r="O112" s="21">
        <f>Summaries!BD17</f>
        <v>4990000</v>
      </c>
      <c r="P112" s="31">
        <f>Summaries!BE17</f>
        <v>5145000</v>
      </c>
    </row>
    <row r="113" spans="1:16" x14ac:dyDescent="0.2">
      <c r="A113" s="1497">
        <f>Summaries!AR19</f>
        <v>5160800</v>
      </c>
      <c r="B113" s="21">
        <f>Summaries!AS19</f>
        <v>4996800</v>
      </c>
      <c r="C113" s="20">
        <f>Summaries!AT19</f>
        <v>4659300</v>
      </c>
      <c r="D113" s="1501" t="s">
        <v>2188</v>
      </c>
      <c r="E113" s="142">
        <f>Summaries!AU19</f>
        <v>4442600</v>
      </c>
      <c r="F113" s="138">
        <f t="shared" si="98"/>
        <v>-4.6509132273088234</v>
      </c>
      <c r="G113" s="20">
        <f>Summaries!AV19</f>
        <v>4249900</v>
      </c>
      <c r="H113" s="20">
        <f>Summaries!AW19</f>
        <v>3878300</v>
      </c>
      <c r="I113" s="20">
        <f>Summaries!AX19</f>
        <v>3667000</v>
      </c>
      <c r="J113" s="20">
        <f>Summaries!AY19</f>
        <v>3439800</v>
      </c>
      <c r="K113" s="20">
        <f>Summaries!AZ19</f>
        <v>3239200</v>
      </c>
      <c r="L113" s="20">
        <f>Summaries!BA19</f>
        <v>3049200</v>
      </c>
      <c r="M113" s="21">
        <f>Summaries!BB19</f>
        <v>2856300</v>
      </c>
      <c r="N113" s="21">
        <f>Summaries!BC19</f>
        <v>2658300</v>
      </c>
      <c r="O113" s="21">
        <f>Summaries!BD19</f>
        <v>2463300</v>
      </c>
      <c r="P113" s="31">
        <f>Summaries!BE19</f>
        <v>2266300</v>
      </c>
    </row>
    <row r="114" spans="1:16" x14ac:dyDescent="0.2">
      <c r="A114" s="1497">
        <f>Summaries!AR18</f>
        <v>5288300</v>
      </c>
      <c r="B114" s="21">
        <f>Summaries!AS18</f>
        <v>5670300</v>
      </c>
      <c r="C114" s="20">
        <f>Summaries!AT18</f>
        <v>5096600</v>
      </c>
      <c r="D114" s="1501" t="s">
        <v>2375</v>
      </c>
      <c r="E114" s="33">
        <f>Summaries!AU18</f>
        <v>5929600</v>
      </c>
      <c r="F114" s="138">
        <f t="shared" si="98"/>
        <v>16.344229486324217</v>
      </c>
      <c r="G114" s="21">
        <f>Summaries!AV18</f>
        <v>5463600</v>
      </c>
      <c r="H114" s="20">
        <f>Summaries!AW18</f>
        <v>5577900</v>
      </c>
      <c r="I114" s="21">
        <f>Summaries!AX18</f>
        <v>5695400</v>
      </c>
      <c r="J114" s="21">
        <f>Summaries!AY18</f>
        <v>5814500</v>
      </c>
      <c r="K114" s="22">
        <f>Summaries!AZ18</f>
        <v>5886800</v>
      </c>
      <c r="L114" s="21">
        <f>Summaries!BA18</f>
        <v>5958900</v>
      </c>
      <c r="M114" s="21">
        <f>Summaries!BB18</f>
        <v>6030600</v>
      </c>
      <c r="N114" s="21">
        <f>Summaries!BC18</f>
        <v>6101700</v>
      </c>
      <c r="O114" s="21">
        <f>Summaries!BD18</f>
        <v>6105400</v>
      </c>
      <c r="P114" s="31">
        <f>Summaries!BE18</f>
        <v>6170400</v>
      </c>
    </row>
    <row r="115" spans="1:16" x14ac:dyDescent="0.2">
      <c r="A115" s="1497">
        <f>Summaries!AR20</f>
        <v>2643100</v>
      </c>
      <c r="B115" s="21">
        <f>Summaries!AS20</f>
        <v>2314300</v>
      </c>
      <c r="C115" s="20">
        <f>Summaries!AT20</f>
        <v>3531900</v>
      </c>
      <c r="D115" s="1501" t="s">
        <v>4245</v>
      </c>
      <c r="E115" s="33">
        <f>Summaries!AU20</f>
        <v>2678000</v>
      </c>
      <c r="F115" s="138">
        <f t="shared" si="98"/>
        <v>-24.176788697301735</v>
      </c>
      <c r="G115" s="21">
        <f>Summaries!AV20</f>
        <v>3775000</v>
      </c>
      <c r="H115" s="20">
        <f>Summaries!AW20</f>
        <v>3851000</v>
      </c>
      <c r="I115" s="21">
        <f>Summaries!AX20</f>
        <v>3928000</v>
      </c>
      <c r="J115" s="21">
        <f>Summaries!AY20</f>
        <v>4007000</v>
      </c>
      <c r="K115" s="22">
        <f>Summaries!AZ20</f>
        <v>4087000</v>
      </c>
      <c r="L115" s="21">
        <f>Summaries!BA20</f>
        <v>4169000</v>
      </c>
      <c r="M115" s="21">
        <f>Summaries!BB20</f>
        <v>4252000</v>
      </c>
      <c r="N115" s="21">
        <f>Summaries!BC20</f>
        <v>4337000</v>
      </c>
      <c r="O115" s="21">
        <f>Summaries!BD20</f>
        <v>4424000</v>
      </c>
      <c r="P115" s="31">
        <f>Summaries!BE20</f>
        <v>4512000</v>
      </c>
    </row>
    <row r="116" spans="1:16" x14ac:dyDescent="0.2">
      <c r="A116" s="1497">
        <f>Summaries!AR21</f>
        <v>421300</v>
      </c>
      <c r="B116" s="21">
        <f>Summaries!AS21</f>
        <v>330000</v>
      </c>
      <c r="C116" s="20">
        <f>Summaries!AT21</f>
        <v>338100</v>
      </c>
      <c r="D116" s="1501" t="s">
        <v>416</v>
      </c>
      <c r="E116" s="33">
        <f>Summaries!AU21</f>
        <v>347500</v>
      </c>
      <c r="F116" s="138">
        <f t="shared" si="98"/>
        <v>2.7802425317953268</v>
      </c>
      <c r="G116" s="21">
        <f>Summaries!AV21</f>
        <v>404000</v>
      </c>
      <c r="H116" s="20">
        <f>Summaries!AW21</f>
        <v>374200</v>
      </c>
      <c r="I116" s="21">
        <f>Summaries!AX21</f>
        <v>384200</v>
      </c>
      <c r="J116" s="21">
        <f>Summaries!AY21</f>
        <v>394400</v>
      </c>
      <c r="K116" s="22">
        <f>Summaries!AZ21</f>
        <v>402700</v>
      </c>
      <c r="L116" s="21">
        <f>Summaries!BA21</f>
        <v>461100</v>
      </c>
      <c r="M116" s="21">
        <f>Summaries!BB21</f>
        <v>419700</v>
      </c>
      <c r="N116" s="21">
        <f>Summaries!BC21</f>
        <v>428500</v>
      </c>
      <c r="O116" s="21">
        <f>Summaries!BD21</f>
        <v>437600</v>
      </c>
      <c r="P116" s="31">
        <f>Summaries!BE21</f>
        <v>446700</v>
      </c>
    </row>
    <row r="117" spans="1:16" x14ac:dyDescent="0.2">
      <c r="A117" s="1497">
        <f>IF(Summaries!AR22&gt;Summaries!AR12,Summaries!AR22-Summaries!AR12,0)</f>
        <v>0</v>
      </c>
      <c r="B117" s="21">
        <f>IF(Summaries!AS22&gt;Summaries!AS12,Summaries!AS22-Summaries!AS12,0)</f>
        <v>12197600</v>
      </c>
      <c r="C117" s="20">
        <f>IF(Summaries!AT22&gt;Summaries!AT12,Summaries!AT22-Summaries!AT12,0)</f>
        <v>2500</v>
      </c>
      <c r="D117" s="1501" t="s">
        <v>4246</v>
      </c>
      <c r="E117" s="142">
        <f>IF(Summaries!AU22&gt;Summaries!AU12,Summaries!AU22-Summaries!AU12,0)</f>
        <v>0</v>
      </c>
      <c r="F117" s="138">
        <f t="shared" si="98"/>
        <v>-100</v>
      </c>
      <c r="G117" s="20">
        <f>IF(Summaries!AV22&gt;Summaries!AV12,Summaries!AV22-Summaries!AV12,0)</f>
        <v>0</v>
      </c>
      <c r="H117" s="20">
        <f>IF(Summaries!AW22&gt;Summaries!AW12,Summaries!AW22-Summaries!AW12,0)</f>
        <v>0</v>
      </c>
      <c r="I117" s="20">
        <f>IF(Summaries!AX22&gt;Summaries!AX12,Summaries!AX22-Summaries!AX12,0)</f>
        <v>0</v>
      </c>
      <c r="J117" s="20">
        <f>IF(Summaries!AY22&gt;Summaries!AY12,Summaries!AY22-Summaries!AY12,0)</f>
        <v>0</v>
      </c>
      <c r="K117" s="20">
        <f>IF(Summaries!AZ22&gt;Summaries!AZ12,Summaries!AZ22-Summaries!AZ12,0)</f>
        <v>0</v>
      </c>
      <c r="L117" s="20">
        <f>IF(Summaries!BA22&gt;Summaries!BA12,Summaries!BA22-Summaries!BA12,0)</f>
        <v>0</v>
      </c>
      <c r="M117" s="20">
        <f>IF(Summaries!BB22&gt;Summaries!BB12,Summaries!BB22-Summaries!BB12,0)</f>
        <v>0</v>
      </c>
      <c r="N117" s="21">
        <f>IF(Summaries!BC22&gt;Summaries!BC12,Summaries!BC22-Summaries!BC12,0)</f>
        <v>0</v>
      </c>
      <c r="O117" s="21">
        <f>IF(Summaries!BD22&gt;Summaries!BD12,Summaries!BD22-Summaries!BD12,0)</f>
        <v>0</v>
      </c>
      <c r="P117" s="31">
        <f>IF(Summaries!BE22&gt;Summaries!BE12,Summaries!BE22-Summaries!BE12,0)</f>
        <v>0</v>
      </c>
    </row>
    <row r="118" spans="1:16" s="40" customFormat="1" x14ac:dyDescent="0.2">
      <c r="A118" s="1504">
        <f>SUM(A112:A117)</f>
        <v>17024100</v>
      </c>
      <c r="B118" s="82">
        <f>SUM(B112:B117)</f>
        <v>28728000</v>
      </c>
      <c r="C118" s="83">
        <f>SUM(C112:C117)</f>
        <v>17304400</v>
      </c>
      <c r="D118" s="1500" t="s">
        <v>4249</v>
      </c>
      <c r="E118" s="116">
        <f t="shared" ref="E118:N118" si="99">SUM(E112:E117)</f>
        <v>17187700</v>
      </c>
      <c r="F118" s="1326">
        <f t="shared" si="98"/>
        <v>-0.67439495157301033</v>
      </c>
      <c r="G118" s="82">
        <f t="shared" si="99"/>
        <v>17800500</v>
      </c>
      <c r="H118" s="83">
        <f t="shared" si="99"/>
        <v>17710400</v>
      </c>
      <c r="I118" s="82">
        <f t="shared" si="99"/>
        <v>17828600</v>
      </c>
      <c r="J118" s="82">
        <f t="shared" si="99"/>
        <v>17938700</v>
      </c>
      <c r="K118" s="58">
        <f t="shared" si="99"/>
        <v>18031700</v>
      </c>
      <c r="L118" s="82">
        <f t="shared" si="99"/>
        <v>18191200</v>
      </c>
      <c r="M118" s="82">
        <f t="shared" si="99"/>
        <v>18252600</v>
      </c>
      <c r="N118" s="82">
        <f t="shared" si="99"/>
        <v>18365500</v>
      </c>
      <c r="O118" s="82">
        <f t="shared" ref="O118" si="100">SUM(O112:O117)</f>
        <v>18420300</v>
      </c>
      <c r="P118" s="72">
        <f t="shared" ref="P118" si="101">SUM(P112:P117)</f>
        <v>18540400</v>
      </c>
    </row>
    <row r="119" spans="1:16" x14ac:dyDescent="0.2">
      <c r="A119" s="1497"/>
      <c r="B119" s="21"/>
      <c r="C119" s="20"/>
      <c r="D119" s="1502"/>
      <c r="E119" s="33"/>
      <c r="F119" s="1326"/>
      <c r="G119" s="21"/>
      <c r="H119" s="20"/>
      <c r="I119" s="21"/>
      <c r="J119" s="21"/>
      <c r="K119" s="22"/>
      <c r="L119" s="21"/>
      <c r="M119" s="21"/>
      <c r="N119" s="21"/>
      <c r="O119" s="21"/>
      <c r="P119" s="31"/>
    </row>
    <row r="120" spans="1:16" s="40" customFormat="1" x14ac:dyDescent="0.2">
      <c r="A120" s="1504">
        <f>A109-A118</f>
        <v>-567400</v>
      </c>
      <c r="B120" s="82">
        <f>B109-B118</f>
        <v>-11259900</v>
      </c>
      <c r="C120" s="83">
        <f>C109-C118</f>
        <v>1521200</v>
      </c>
      <c r="D120" s="1505" t="s">
        <v>4250</v>
      </c>
      <c r="E120" s="116">
        <f t="shared" ref="E120:N120" si="102">E109-E118</f>
        <v>2563700</v>
      </c>
      <c r="F120" s="1326">
        <f>IF(C120=E120,0,IF(C120=0,100,(E120-C120)/C120*100))</f>
        <v>68.53142256113594</v>
      </c>
      <c r="G120" s="82">
        <f t="shared" si="102"/>
        <v>2583500</v>
      </c>
      <c r="H120" s="83">
        <f t="shared" si="102"/>
        <v>3168100</v>
      </c>
      <c r="I120" s="82">
        <f t="shared" si="102"/>
        <v>3602400</v>
      </c>
      <c r="J120" s="82">
        <f t="shared" si="102"/>
        <v>4259800</v>
      </c>
      <c r="K120" s="58">
        <f t="shared" si="102"/>
        <v>4773800</v>
      </c>
      <c r="L120" s="82">
        <f t="shared" si="102"/>
        <v>5276200</v>
      </c>
      <c r="M120" s="82">
        <f t="shared" si="102"/>
        <v>5860400</v>
      </c>
      <c r="N120" s="82">
        <f t="shared" si="102"/>
        <v>6487800</v>
      </c>
      <c r="O120" s="82">
        <f t="shared" ref="O120" si="103">O109-O118</f>
        <v>7266700</v>
      </c>
      <c r="P120" s="72">
        <f t="shared" ref="P120" si="104">P109-P118</f>
        <v>8005700</v>
      </c>
    </row>
    <row r="121" spans="1:16" x14ac:dyDescent="0.2">
      <c r="A121" s="1497"/>
      <c r="B121" s="21"/>
      <c r="C121" s="20"/>
      <c r="D121" s="1502"/>
      <c r="E121" s="33"/>
      <c r="F121" s="1326"/>
      <c r="G121" s="21"/>
      <c r="H121" s="20"/>
      <c r="I121" s="21"/>
      <c r="J121" s="21"/>
      <c r="K121" s="22"/>
      <c r="L121" s="21"/>
      <c r="M121" s="21"/>
      <c r="N121" s="21"/>
      <c r="O121" s="21"/>
      <c r="P121" s="31"/>
    </row>
    <row r="122" spans="1:16" s="40" customFormat="1" x14ac:dyDescent="0.2">
      <c r="A122" s="1504">
        <f>A109-A106-A118</f>
        <v>-2581600</v>
      </c>
      <c r="B122" s="82">
        <f>B109-B106-B118</f>
        <v>-13391300</v>
      </c>
      <c r="C122" s="83">
        <f>C109-C106-C118</f>
        <v>-948800</v>
      </c>
      <c r="D122" s="1505" t="s">
        <v>4717</v>
      </c>
      <c r="E122" s="116">
        <f t="shared" ref="E122:N122" si="105">E109-E106-E118</f>
        <v>518200</v>
      </c>
      <c r="F122" s="1326">
        <f>IF(C122=E122,0,IF(C122=0,100,(E122-C122)/C122*100))</f>
        <v>-154.61635750421584</v>
      </c>
      <c r="G122" s="82">
        <f t="shared" si="105"/>
        <v>338000</v>
      </c>
      <c r="H122" s="83">
        <f t="shared" si="105"/>
        <v>892600</v>
      </c>
      <c r="I122" s="82">
        <f t="shared" si="105"/>
        <v>1286900</v>
      </c>
      <c r="J122" s="82">
        <f t="shared" si="105"/>
        <v>1904300</v>
      </c>
      <c r="K122" s="58">
        <f t="shared" si="105"/>
        <v>2368300</v>
      </c>
      <c r="L122" s="82">
        <f t="shared" si="105"/>
        <v>2830700</v>
      </c>
      <c r="M122" s="82">
        <f t="shared" si="105"/>
        <v>3374900</v>
      </c>
      <c r="N122" s="82">
        <f t="shared" si="105"/>
        <v>3962300</v>
      </c>
      <c r="O122" s="82">
        <f t="shared" ref="O122" si="106">O109-O106-O118</f>
        <v>4701200</v>
      </c>
      <c r="P122" s="72">
        <f t="shared" ref="P122" si="107">P109-P106-P118</f>
        <v>5400200</v>
      </c>
    </row>
    <row r="123" spans="1:16" s="25" customFormat="1" ht="13.5" thickBot="1" x14ac:dyDescent="0.25">
      <c r="A123" s="1498"/>
      <c r="B123" s="28"/>
      <c r="C123" s="37"/>
      <c r="D123" s="1503"/>
      <c r="E123" s="835"/>
      <c r="F123" s="86"/>
      <c r="G123" s="28"/>
      <c r="H123" s="37"/>
      <c r="I123" s="28"/>
      <c r="J123" s="28"/>
      <c r="K123" s="215"/>
      <c r="L123" s="28"/>
      <c r="M123" s="28"/>
      <c r="N123" s="28"/>
      <c r="O123" s="28"/>
      <c r="P123" s="258"/>
    </row>
    <row r="124" spans="1:16" s="35" customFormat="1" ht="14.25" thickTop="1" thickBot="1" x14ac:dyDescent="0.25">
      <c r="D124" s="59"/>
      <c r="E124" s="78"/>
      <c r="F124" s="68"/>
    </row>
    <row r="125" spans="1:16" s="506" customFormat="1" ht="19.5" thickTop="1" thickBot="1" x14ac:dyDescent="0.3">
      <c r="A125" s="2842" t="s">
        <v>7033</v>
      </c>
      <c r="B125" s="2843"/>
      <c r="C125" s="2843"/>
      <c r="D125" s="2843"/>
      <c r="E125" s="2843"/>
      <c r="F125" s="2843"/>
      <c r="G125" s="2843"/>
      <c r="H125" s="2843"/>
      <c r="I125" s="2843"/>
      <c r="J125" s="2843"/>
      <c r="K125" s="2843"/>
      <c r="L125" s="2843"/>
      <c r="M125" s="2843"/>
      <c r="N125" s="2843"/>
      <c r="O125" s="2843"/>
      <c r="P125" s="2844"/>
    </row>
    <row r="126" spans="1:16" x14ac:dyDescent="0.2">
      <c r="A126" s="2848" t="s">
        <v>1856</v>
      </c>
      <c r="B126" s="2840"/>
      <c r="C126" s="2849"/>
      <c r="D126" s="2137" t="s">
        <v>4575</v>
      </c>
      <c r="E126" s="2839" t="s">
        <v>2253</v>
      </c>
      <c r="F126" s="2840"/>
      <c r="G126" s="2840"/>
      <c r="H126" s="2840"/>
      <c r="I126" s="2840"/>
      <c r="J126" s="2840"/>
      <c r="K126" s="2840"/>
      <c r="L126" s="2840"/>
      <c r="M126" s="2840"/>
      <c r="N126" s="2840"/>
      <c r="O126" s="2840"/>
      <c r="P126" s="2841"/>
    </row>
    <row r="127" spans="1:16" ht="13.5" thickBot="1" x14ac:dyDescent="0.25">
      <c r="A127" s="45" t="str">
        <f>A182</f>
        <v>2013/14</v>
      </c>
      <c r="B127" s="370" t="str">
        <f>B182</f>
        <v>2014/15</v>
      </c>
      <c r="C127" s="47" t="str">
        <f>C182</f>
        <v>2015/16</v>
      </c>
      <c r="D127" s="1951"/>
      <c r="E127" s="97" t="str">
        <f t="shared" ref="E127:M127" si="108">E182</f>
        <v>2016/17</v>
      </c>
      <c r="F127" s="436" t="str">
        <f t="shared" ref="F127" si="109">F182</f>
        <v>%</v>
      </c>
      <c r="G127" s="47" t="str">
        <f t="shared" si="108"/>
        <v>2017/18</v>
      </c>
      <c r="H127" s="49" t="str">
        <f t="shared" si="108"/>
        <v>2018/19</v>
      </c>
      <c r="I127" s="47" t="str">
        <f t="shared" si="108"/>
        <v>2019/20</v>
      </c>
      <c r="J127" s="47" t="str">
        <f t="shared" si="108"/>
        <v>2020/21</v>
      </c>
      <c r="K127" s="1294" t="str">
        <f t="shared" si="108"/>
        <v>2021/22</v>
      </c>
      <c r="L127" s="47" t="str">
        <f t="shared" si="108"/>
        <v>2022/23</v>
      </c>
      <c r="M127" s="49" t="str">
        <f t="shared" si="108"/>
        <v>2023/24</v>
      </c>
      <c r="N127" s="47" t="str">
        <f t="shared" ref="N127:O127" si="110">N182</f>
        <v>2024/25</v>
      </c>
      <c r="O127" s="219" t="str">
        <f t="shared" si="110"/>
        <v>2025/26</v>
      </c>
      <c r="P127" s="220" t="str">
        <f t="shared" ref="P127" si="111">P182</f>
        <v>2026/27</v>
      </c>
    </row>
    <row r="128" spans="1:16" x14ac:dyDescent="0.2">
      <c r="A128" s="50"/>
      <c r="B128" s="21"/>
      <c r="C128" s="21"/>
      <c r="D128" s="22"/>
      <c r="E128" s="33"/>
      <c r="F128" s="21"/>
      <c r="G128" s="21"/>
      <c r="H128" s="20"/>
      <c r="I128" s="21"/>
      <c r="J128" s="21"/>
      <c r="K128" s="22"/>
      <c r="L128" s="21"/>
      <c r="M128" s="20"/>
      <c r="N128" s="21"/>
      <c r="O128" s="21"/>
      <c r="P128" s="31"/>
    </row>
    <row r="129" spans="1:17" x14ac:dyDescent="0.2">
      <c r="A129" s="50"/>
      <c r="B129" s="21"/>
      <c r="C129" s="21"/>
      <c r="D129" s="58" t="s">
        <v>2596</v>
      </c>
      <c r="E129" s="33"/>
      <c r="F129" s="21"/>
      <c r="G129" s="21"/>
      <c r="H129" s="20"/>
      <c r="I129" s="21"/>
      <c r="J129" s="21"/>
      <c r="K129" s="22"/>
      <c r="L129" s="21"/>
      <c r="M129" s="20"/>
      <c r="N129" s="21"/>
      <c r="O129" s="21"/>
      <c r="P129" s="31"/>
    </row>
    <row r="130" spans="1:17" x14ac:dyDescent="0.2">
      <c r="A130" s="50"/>
      <c r="B130" s="21"/>
      <c r="C130" s="21"/>
      <c r="D130" s="58"/>
      <c r="E130" s="33"/>
      <c r="F130" s="21"/>
      <c r="G130" s="21"/>
      <c r="H130" s="20"/>
      <c r="I130" s="21"/>
      <c r="J130" s="21"/>
      <c r="K130" s="22"/>
      <c r="L130" s="21"/>
      <c r="M130" s="20"/>
      <c r="N130" s="21"/>
      <c r="O130" s="21"/>
      <c r="P130" s="31"/>
    </row>
    <row r="131" spans="1:17" x14ac:dyDescent="0.2">
      <c r="A131" s="50"/>
      <c r="B131" s="21"/>
      <c r="C131" s="21"/>
      <c r="D131" s="61" t="s">
        <v>0</v>
      </c>
      <c r="E131" s="33"/>
      <c r="F131" s="19"/>
      <c r="G131" s="21"/>
      <c r="H131" s="20"/>
      <c r="I131" s="21"/>
      <c r="J131" s="21"/>
      <c r="K131" s="22"/>
      <c r="L131" s="21"/>
      <c r="M131" s="20"/>
      <c r="N131" s="21"/>
      <c r="O131" s="21"/>
      <c r="P131" s="31"/>
    </row>
    <row r="132" spans="1:17" x14ac:dyDescent="0.2">
      <c r="A132" s="50">
        <f t="shared" ref="A132:C133" si="112">A187+A241+A290</f>
        <v>71256900</v>
      </c>
      <c r="B132" s="21">
        <f t="shared" si="112"/>
        <v>75426800</v>
      </c>
      <c r="C132" s="21">
        <f t="shared" si="112"/>
        <v>78279000</v>
      </c>
      <c r="D132" s="59" t="s">
        <v>393</v>
      </c>
      <c r="E132" s="33">
        <f>E187+E241+E290</f>
        <v>84360500</v>
      </c>
      <c r="F132" s="19">
        <f>IF(C132=E132,0,IF(C132=0,100,(E132-C132)/C132*100))</f>
        <v>7.7690057358934066</v>
      </c>
      <c r="G132" s="21">
        <f t="shared" ref="G132:O132" si="113">G187+G241+G290</f>
        <v>82254300</v>
      </c>
      <c r="H132" s="20">
        <f t="shared" si="113"/>
        <v>85222800</v>
      </c>
      <c r="I132" s="21">
        <f t="shared" si="113"/>
        <v>88063000</v>
      </c>
      <c r="J132" s="21">
        <f t="shared" si="113"/>
        <v>90810800</v>
      </c>
      <c r="K132" s="22">
        <f t="shared" si="113"/>
        <v>93287600</v>
      </c>
      <c r="L132" s="21">
        <f t="shared" si="113"/>
        <v>95796400</v>
      </c>
      <c r="M132" s="20">
        <f t="shared" si="113"/>
        <v>98590800</v>
      </c>
      <c r="N132" s="21">
        <f t="shared" si="113"/>
        <v>101361500</v>
      </c>
      <c r="O132" s="21">
        <f t="shared" si="113"/>
        <v>104422900</v>
      </c>
      <c r="P132" s="31">
        <f t="shared" ref="P132" si="114">P187+P241+P290</f>
        <v>107658700</v>
      </c>
    </row>
    <row r="133" spans="1:17" ht="13.5" thickBot="1" x14ac:dyDescent="0.25">
      <c r="A133" s="50">
        <f t="shared" si="112"/>
        <v>59489100</v>
      </c>
      <c r="B133" s="21">
        <f t="shared" si="112"/>
        <v>59043300</v>
      </c>
      <c r="C133" s="21">
        <f t="shared" si="112"/>
        <v>63065000</v>
      </c>
      <c r="D133" s="59" t="s">
        <v>1115</v>
      </c>
      <c r="E133" s="33">
        <f>E188+E242+E291</f>
        <v>65944500</v>
      </c>
      <c r="F133" s="19">
        <f>IF(C133=E133,0,IF(C133=0,100,(E133-C133)/C133*100))</f>
        <v>4.5659240466185684</v>
      </c>
      <c r="G133" s="21">
        <f t="shared" ref="G133:O133" si="115">G188+G242+G291</f>
        <v>62635300</v>
      </c>
      <c r="H133" s="20">
        <f t="shared" si="115"/>
        <v>64046900</v>
      </c>
      <c r="I133" s="21">
        <f t="shared" si="115"/>
        <v>65530900</v>
      </c>
      <c r="J133" s="21">
        <f t="shared" si="115"/>
        <v>66957300</v>
      </c>
      <c r="K133" s="22">
        <f t="shared" si="115"/>
        <v>68220000</v>
      </c>
      <c r="L133" s="21">
        <f t="shared" si="115"/>
        <v>69286300</v>
      </c>
      <c r="M133" s="20">
        <f t="shared" si="115"/>
        <v>70478800</v>
      </c>
      <c r="N133" s="21">
        <f t="shared" si="115"/>
        <v>71925100</v>
      </c>
      <c r="O133" s="21">
        <f t="shared" si="115"/>
        <v>72938400</v>
      </c>
      <c r="P133" s="31">
        <f t="shared" ref="P133" si="116">P188+P242+P291</f>
        <v>74131900</v>
      </c>
    </row>
    <row r="134" spans="1:17" s="40" customFormat="1" x14ac:dyDescent="0.2">
      <c r="A134" s="222">
        <f>A132-A133</f>
        <v>11767800</v>
      </c>
      <c r="B134" s="80">
        <f>B132-B133</f>
        <v>16383500</v>
      </c>
      <c r="C134" s="80">
        <f>C132-C133</f>
        <v>15214000</v>
      </c>
      <c r="D134" s="223" t="s">
        <v>5475</v>
      </c>
      <c r="E134" s="106">
        <f t="shared" ref="E134:N134" si="117">E132-E133</f>
        <v>18416000</v>
      </c>
      <c r="F134" s="369">
        <f>IF(C134=E134,0,IF(C134=0,100,(E134-C134)/C134*100))</f>
        <v>21.046404627316946</v>
      </c>
      <c r="G134" s="80">
        <f t="shared" si="117"/>
        <v>19619000</v>
      </c>
      <c r="H134" s="81">
        <f t="shared" si="117"/>
        <v>21175900</v>
      </c>
      <c r="I134" s="80">
        <f t="shared" si="117"/>
        <v>22532100</v>
      </c>
      <c r="J134" s="80">
        <f t="shared" si="117"/>
        <v>23853500</v>
      </c>
      <c r="K134" s="224">
        <f t="shared" si="117"/>
        <v>25067600</v>
      </c>
      <c r="L134" s="80">
        <f t="shared" si="117"/>
        <v>26510100</v>
      </c>
      <c r="M134" s="81">
        <f t="shared" si="117"/>
        <v>28112000</v>
      </c>
      <c r="N134" s="80">
        <f t="shared" si="117"/>
        <v>29436400</v>
      </c>
      <c r="O134" s="80">
        <f t="shared" ref="O134" si="118">O132-O133</f>
        <v>31484500</v>
      </c>
      <c r="P134" s="225">
        <f t="shared" ref="P134" si="119">P132-P133</f>
        <v>33526800</v>
      </c>
    </row>
    <row r="135" spans="1:17" x14ac:dyDescent="0.2">
      <c r="A135" s="50"/>
      <c r="B135" s="21"/>
      <c r="C135" s="21"/>
      <c r="D135" s="59"/>
      <c r="E135" s="33"/>
      <c r="F135" s="19"/>
      <c r="G135" s="21"/>
      <c r="H135" s="20"/>
      <c r="I135" s="21"/>
      <c r="J135" s="21"/>
      <c r="K135" s="22"/>
      <c r="L135" s="21"/>
      <c r="M135" s="20"/>
      <c r="N135" s="21"/>
      <c r="O135" s="21"/>
      <c r="P135" s="31"/>
    </row>
    <row r="136" spans="1:17" x14ac:dyDescent="0.2">
      <c r="A136" s="50">
        <f>A191+LTFP!A294+LTFP!A245</f>
        <v>20368300</v>
      </c>
      <c r="B136" s="21">
        <f>B191+LTFP!B294+LTFP!B245</f>
        <v>17937300</v>
      </c>
      <c r="C136" s="21">
        <f>C191+LTFP!C294+LTFP!C245</f>
        <v>19197600</v>
      </c>
      <c r="D136" s="59" t="s">
        <v>1769</v>
      </c>
      <c r="E136" s="33">
        <f>E191+LTFP!E294+LTFP!E245</f>
        <v>17162400</v>
      </c>
      <c r="F136" s="19">
        <f>IF(C136=E136,0,IF(C136=0,100,(E136-C136)/C136*100))</f>
        <v>-10.601325165645706</v>
      </c>
      <c r="G136" s="21">
        <f>G191+LTFP!G294+LTFP!G245</f>
        <v>18538900</v>
      </c>
      <c r="H136" s="20">
        <f>H191+LTFP!H294+LTFP!H245</f>
        <v>18962900</v>
      </c>
      <c r="I136" s="21">
        <f>I191+LTFP!I294+LTFP!I245</f>
        <v>19434900</v>
      </c>
      <c r="J136" s="21">
        <f>J191+LTFP!J294+LTFP!J245</f>
        <v>19825300</v>
      </c>
      <c r="K136" s="22">
        <f>K191+LTFP!K294+LTFP!K245</f>
        <v>20223000</v>
      </c>
      <c r="L136" s="21">
        <f>L191+LTFP!L294+LTFP!L245</f>
        <v>20629200</v>
      </c>
      <c r="M136" s="20">
        <f>M191+LTFP!M294+LTFP!M245</f>
        <v>21042700</v>
      </c>
      <c r="N136" s="21">
        <f>N191+LTFP!N294+LTFP!N245</f>
        <v>21464900</v>
      </c>
      <c r="O136" s="21">
        <f>O191+LTFP!O294+LTFP!O245</f>
        <v>21896000</v>
      </c>
      <c r="P136" s="31">
        <f>P191+LTFP!P294+LTFP!P245</f>
        <v>22334800</v>
      </c>
    </row>
    <row r="137" spans="1:17" x14ac:dyDescent="0.2">
      <c r="A137" s="50">
        <f>A192</f>
        <v>289900</v>
      </c>
      <c r="B137" s="21">
        <f>B192</f>
        <v>725700</v>
      </c>
      <c r="C137" s="21">
        <f>C192</f>
        <v>-319800</v>
      </c>
      <c r="D137" s="59" t="s">
        <v>5413</v>
      </c>
      <c r="E137" s="33">
        <f t="shared" ref="E137:N137" si="120">E192</f>
        <v>0</v>
      </c>
      <c r="F137" s="19">
        <f>IF(C137=E137,0,IF(C137=0,100,(E137-C137)/C137*100))</f>
        <v>-100</v>
      </c>
      <c r="G137" s="21">
        <f t="shared" si="120"/>
        <v>0</v>
      </c>
      <c r="H137" s="20">
        <f t="shared" si="120"/>
        <v>0</v>
      </c>
      <c r="I137" s="21">
        <f t="shared" si="120"/>
        <v>0</v>
      </c>
      <c r="J137" s="21">
        <f t="shared" si="120"/>
        <v>0</v>
      </c>
      <c r="K137" s="22">
        <f t="shared" si="120"/>
        <v>0</v>
      </c>
      <c r="L137" s="21">
        <f t="shared" si="120"/>
        <v>0</v>
      </c>
      <c r="M137" s="20">
        <f t="shared" si="120"/>
        <v>0</v>
      </c>
      <c r="N137" s="21">
        <f t="shared" si="120"/>
        <v>0</v>
      </c>
      <c r="O137" s="21">
        <f t="shared" ref="O137" si="121">O192</f>
        <v>0</v>
      </c>
      <c r="P137" s="31">
        <f t="shared" ref="P137" si="122">P192</f>
        <v>0</v>
      </c>
    </row>
    <row r="138" spans="1:17" x14ac:dyDescent="0.2">
      <c r="A138" s="50">
        <f>A193+LTFP!A295+LTFP!A246</f>
        <v>563300</v>
      </c>
      <c r="B138" s="21">
        <f>B193+LTFP!B295+LTFP!B246</f>
        <v>580500</v>
      </c>
      <c r="C138" s="21">
        <f>C193+LTFP!C295+LTFP!C246</f>
        <v>491900</v>
      </c>
      <c r="D138" s="59" t="s">
        <v>4239</v>
      </c>
      <c r="E138" s="33">
        <f>E193+LTFP!E295+LTFP!E246</f>
        <v>454900</v>
      </c>
      <c r="F138" s="19">
        <f>IF(C138=E138,0,IF(C138=0,100,(E138-C138)/C138*100))</f>
        <v>-7.5218540353730434</v>
      </c>
      <c r="G138" s="21">
        <f>G193+LTFP!G295+LTFP!G246</f>
        <v>313100</v>
      </c>
      <c r="H138" s="20">
        <f>H193+LTFP!H295+LTFP!H246</f>
        <v>204200</v>
      </c>
      <c r="I138" s="21">
        <f>I193+LTFP!I295+LTFP!I246</f>
        <v>117000</v>
      </c>
      <c r="J138" s="21">
        <f>J193+LTFP!J295+LTFP!J246</f>
        <v>20600</v>
      </c>
      <c r="K138" s="22">
        <f>K193+LTFP!K295+LTFP!K246</f>
        <v>21400</v>
      </c>
      <c r="L138" s="21">
        <f>L193+LTFP!L295+LTFP!L246</f>
        <v>22100</v>
      </c>
      <c r="M138" s="20">
        <f>M193+LTFP!M295+LTFP!M246</f>
        <v>22900</v>
      </c>
      <c r="N138" s="21">
        <f>N193+LTFP!N295+LTFP!N246</f>
        <v>23800</v>
      </c>
      <c r="O138" s="21">
        <f>O193+LTFP!O295+LTFP!O246</f>
        <v>24700</v>
      </c>
      <c r="P138" s="31">
        <f>P193+LTFP!P295+LTFP!P246</f>
        <v>25600</v>
      </c>
    </row>
    <row r="139" spans="1:17" ht="13.5" thickBot="1" x14ac:dyDescent="0.25">
      <c r="A139" s="50">
        <f>A194+LTFP!A296+LTFP!A247</f>
        <v>4098700</v>
      </c>
      <c r="B139" s="21">
        <f>B194+LTFP!B296+LTFP!B247</f>
        <v>15585100</v>
      </c>
      <c r="C139" s="21">
        <f>C194+LTFP!C296+LTFP!C247</f>
        <v>48800</v>
      </c>
      <c r="D139" s="59" t="s">
        <v>4547</v>
      </c>
      <c r="E139" s="33">
        <f>E194+LTFP!E296+LTFP!E247</f>
        <v>0</v>
      </c>
      <c r="F139" s="19">
        <f>IF(C139=E139,0,IF(C139=0,100,(E139-C139)/C139*100))</f>
        <v>-100</v>
      </c>
      <c r="G139" s="21">
        <f>G194+LTFP!G296+LTFP!G247</f>
        <v>0</v>
      </c>
      <c r="H139" s="21">
        <f>H194+LTFP!H296+LTFP!H247</f>
        <v>0</v>
      </c>
      <c r="I139" s="21">
        <f>I194+LTFP!I296+LTFP!I247</f>
        <v>0</v>
      </c>
      <c r="J139" s="21">
        <f>J194+LTFP!J296+LTFP!J247</f>
        <v>0</v>
      </c>
      <c r="K139" s="21">
        <f>K194+LTFP!K296+LTFP!K247</f>
        <v>0</v>
      </c>
      <c r="L139" s="21">
        <f>L194+LTFP!L296+LTFP!L247</f>
        <v>0</v>
      </c>
      <c r="M139" s="21">
        <f>M194+LTFP!M296+LTFP!M247</f>
        <v>0</v>
      </c>
      <c r="N139" s="21">
        <f>N194+LTFP!N296+LTFP!N247</f>
        <v>0</v>
      </c>
      <c r="O139" s="21">
        <f>O194+LTFP!O296+LTFP!O247</f>
        <v>0</v>
      </c>
      <c r="P139" s="31">
        <f>P194+LTFP!P296+LTFP!P247</f>
        <v>0</v>
      </c>
    </row>
    <row r="140" spans="1:17" s="40" customFormat="1" x14ac:dyDescent="0.2">
      <c r="A140" s="222">
        <f>A134-SUM(A136:A139)</f>
        <v>-13552400</v>
      </c>
      <c r="B140" s="80">
        <f>B134-SUM(B136:B139)</f>
        <v>-18445100</v>
      </c>
      <c r="C140" s="80">
        <f>C134-SUM(C136:C139)</f>
        <v>-4204500</v>
      </c>
      <c r="D140" s="1073" t="s">
        <v>1600</v>
      </c>
      <c r="E140" s="106">
        <f t="shared" ref="E140:N140" si="123">E134-SUM(E136:E139)</f>
        <v>798700</v>
      </c>
      <c r="F140" s="369">
        <f>IF(C140=E140,0,IF(C140=0,100,(E140-C140)/C140*100))</f>
        <v>-118.99631347365917</v>
      </c>
      <c r="G140" s="80">
        <f t="shared" si="123"/>
        <v>767000</v>
      </c>
      <c r="H140" s="81">
        <f t="shared" si="123"/>
        <v>2008800</v>
      </c>
      <c r="I140" s="80">
        <f t="shared" si="123"/>
        <v>2980200</v>
      </c>
      <c r="J140" s="80">
        <f t="shared" si="123"/>
        <v>4007600</v>
      </c>
      <c r="K140" s="224">
        <f t="shared" si="123"/>
        <v>4823200</v>
      </c>
      <c r="L140" s="80">
        <f t="shared" si="123"/>
        <v>5858800</v>
      </c>
      <c r="M140" s="81">
        <f t="shared" si="123"/>
        <v>7046400</v>
      </c>
      <c r="N140" s="80">
        <f t="shared" si="123"/>
        <v>7947700</v>
      </c>
      <c r="O140" s="80">
        <f t="shared" ref="O140" si="124">O134-SUM(O136:O139)</f>
        <v>9563800</v>
      </c>
      <c r="P140" s="225">
        <f t="shared" ref="P140" si="125">P134-SUM(P136:P139)</f>
        <v>11166400</v>
      </c>
    </row>
    <row r="141" spans="1:17" x14ac:dyDescent="0.2">
      <c r="A141" s="50"/>
      <c r="B141" s="21"/>
      <c r="C141" s="21"/>
      <c r="D141" s="59"/>
      <c r="E141" s="33"/>
      <c r="F141" s="19"/>
      <c r="G141" s="21"/>
      <c r="H141" s="20"/>
      <c r="I141" s="21"/>
      <c r="J141" s="21"/>
      <c r="K141" s="22"/>
      <c r="L141" s="21"/>
      <c r="M141" s="20"/>
      <c r="N141" s="21"/>
      <c r="O141" s="21"/>
      <c r="P141" s="31"/>
    </row>
    <row r="142" spans="1:17" x14ac:dyDescent="0.2">
      <c r="A142" s="50"/>
      <c r="B142" s="21"/>
      <c r="C142" s="21"/>
      <c r="D142" s="58" t="s">
        <v>1457</v>
      </c>
      <c r="E142" s="33"/>
      <c r="F142" s="19"/>
      <c r="G142" s="21"/>
      <c r="H142" s="20"/>
      <c r="I142" s="21"/>
      <c r="J142" s="21"/>
      <c r="K142" s="22"/>
      <c r="L142" s="21"/>
      <c r="M142" s="20"/>
      <c r="N142" s="21"/>
      <c r="O142" s="21"/>
      <c r="P142" s="31"/>
    </row>
    <row r="143" spans="1:17" x14ac:dyDescent="0.2">
      <c r="A143" s="50">
        <f>A198+LTFP!A300+LTFP!A251</f>
        <v>7229600</v>
      </c>
      <c r="B143" s="21">
        <f>B198+LTFP!B251+LTFP!B300</f>
        <v>5088900</v>
      </c>
      <c r="C143" s="21">
        <f>C198+LTFP!C251+LTFP!C300</f>
        <v>8258000</v>
      </c>
      <c r="D143" s="60" t="s">
        <v>2718</v>
      </c>
      <c r="E143" s="33">
        <f>E198+LTFP!E251+LTFP!E300</f>
        <v>7464700</v>
      </c>
      <c r="F143" s="19">
        <f>IF(C143=E143,0,IF(C143=0,100,(E143-C143)/C143*100))</f>
        <v>-9.6064422378299827</v>
      </c>
      <c r="G143" s="21">
        <f>G198+LTFP!G251+LTFP!G300</f>
        <v>9274500</v>
      </c>
      <c r="H143" s="20">
        <f>H198+LTFP!H251+LTFP!H300</f>
        <v>709100</v>
      </c>
      <c r="I143" s="21">
        <f>I198+LTFP!I251+LTFP!I300</f>
        <v>286300</v>
      </c>
      <c r="J143" s="21">
        <f>J198+LTFP!J251+LTFP!J300</f>
        <v>114700</v>
      </c>
      <c r="K143" s="22">
        <f>K198+LTFP!K251+LTFP!K300</f>
        <v>116700</v>
      </c>
      <c r="L143" s="21">
        <f>L198+LTFP!L251+LTFP!L300</f>
        <v>118700</v>
      </c>
      <c r="M143" s="20">
        <f>M198+LTFP!M251+LTFP!M300</f>
        <v>120700</v>
      </c>
      <c r="N143" s="21">
        <f>N198+LTFP!N251+LTFP!N300</f>
        <v>122700</v>
      </c>
      <c r="O143" s="21">
        <f>O198+LTFP!O251+LTFP!O300</f>
        <v>124700</v>
      </c>
      <c r="P143" s="31">
        <f>P198+LTFP!P251+LTFP!P300</f>
        <v>126900</v>
      </c>
      <c r="Q143" s="84"/>
    </row>
    <row r="144" spans="1:17" x14ac:dyDescent="0.2">
      <c r="A144" s="50">
        <f>A199+LTFP!A252+LTFP!A301</f>
        <v>4051300</v>
      </c>
      <c r="B144" s="21">
        <f>B199+LTFP!B301+LTFP!B252</f>
        <v>4764800</v>
      </c>
      <c r="C144" s="21">
        <f>C199+LTFP!C301+LTFP!C252</f>
        <v>4788500</v>
      </c>
      <c r="D144" s="22" t="s">
        <v>1076</v>
      </c>
      <c r="E144" s="33">
        <f>E199+LTFP!E301+LTFP!E252</f>
        <v>5014000</v>
      </c>
      <c r="F144" s="19">
        <f>IF(C144=E144,0,IF(C144=0,100,(E144-C144)/C144*100))</f>
        <v>4.7091991228986112</v>
      </c>
      <c r="G144" s="21">
        <f>G199+LTFP!G301+LTFP!G252</f>
        <v>9244000</v>
      </c>
      <c r="H144" s="20">
        <f>H199+LTFP!H301+LTFP!H252</f>
        <v>10477000</v>
      </c>
      <c r="I144" s="21">
        <f>I199+LTFP!I301+LTFP!I252</f>
        <v>8744000</v>
      </c>
      <c r="J144" s="21">
        <f>J199+LTFP!J301+LTFP!J252</f>
        <v>14967000</v>
      </c>
      <c r="K144" s="22">
        <f>K199+LTFP!K301+LTFP!K252</f>
        <v>15291000</v>
      </c>
      <c r="L144" s="21">
        <f>L199+LTFP!L301+LTFP!L252</f>
        <v>5610000</v>
      </c>
      <c r="M144" s="20">
        <f>M199+LTFP!M301+LTFP!M252</f>
        <v>5733000</v>
      </c>
      <c r="N144" s="21">
        <f>N199+LTFP!N301+LTFP!N252</f>
        <v>5859000</v>
      </c>
      <c r="O144" s="21">
        <f>O199+LTFP!O301+LTFP!O252</f>
        <v>5986000</v>
      </c>
      <c r="P144" s="31">
        <f>P199+LTFP!P301+LTFP!P252</f>
        <v>6114000</v>
      </c>
    </row>
    <row r="145" spans="1:16" x14ac:dyDescent="0.2">
      <c r="A145" s="50"/>
      <c r="B145" s="21"/>
      <c r="C145" s="21"/>
      <c r="D145" s="22"/>
      <c r="E145" s="33"/>
      <c r="F145" s="19"/>
      <c r="G145" s="21"/>
      <c r="H145" s="20"/>
      <c r="I145" s="21"/>
      <c r="J145" s="21"/>
      <c r="K145" s="22"/>
      <c r="L145" s="21"/>
      <c r="M145" s="20"/>
      <c r="N145" s="21"/>
      <c r="O145" s="21"/>
      <c r="P145" s="31"/>
    </row>
    <row r="146" spans="1:16" x14ac:dyDescent="0.2">
      <c r="A146" s="50"/>
      <c r="B146" s="21"/>
      <c r="C146" s="21"/>
      <c r="D146" s="58" t="s">
        <v>700</v>
      </c>
      <c r="E146" s="33"/>
      <c r="F146" s="19"/>
      <c r="G146" s="21"/>
      <c r="H146" s="20"/>
      <c r="I146" s="21"/>
      <c r="J146" s="21"/>
      <c r="K146" s="22"/>
      <c r="L146" s="21"/>
      <c r="M146" s="20"/>
      <c r="N146" s="21"/>
      <c r="O146" s="21"/>
      <c r="P146" s="31"/>
    </row>
    <row r="147" spans="1:16" x14ac:dyDescent="0.2">
      <c r="A147" s="50">
        <f>A202+LTFP!A304</f>
        <v>1890000</v>
      </c>
      <c r="B147" s="21">
        <f>B202+LTFP!B304</f>
        <v>725000</v>
      </c>
      <c r="C147" s="21">
        <f>C202+LTFP!C304</f>
        <v>500000</v>
      </c>
      <c r="D147" s="35" t="s">
        <v>2196</v>
      </c>
      <c r="E147" s="33">
        <f>E202+LTFP!E304</f>
        <v>7611700</v>
      </c>
      <c r="F147" s="138">
        <f>IF(C147=E147,0,IF(C147=0,100,(E147-C147)/C147*100))</f>
        <v>1422.34</v>
      </c>
      <c r="G147" s="21">
        <f>G202+LTFP!G304</f>
        <v>5927800</v>
      </c>
      <c r="H147" s="20">
        <f>H202+LTFP!H304</f>
        <v>2500000</v>
      </c>
      <c r="I147" s="21">
        <f>I202+LTFP!I304</f>
        <v>0</v>
      </c>
      <c r="J147" s="21">
        <f>J202+LTFP!J304</f>
        <v>8340000</v>
      </c>
      <c r="K147" s="22">
        <f>K202+LTFP!K304</f>
        <v>0</v>
      </c>
      <c r="L147" s="21">
        <f>L202+LTFP!L304</f>
        <v>0</v>
      </c>
      <c r="M147" s="20">
        <f>M202+LTFP!M304</f>
        <v>0</v>
      </c>
      <c r="N147" s="21">
        <f>N202+LTFP!N304</f>
        <v>0</v>
      </c>
      <c r="O147" s="21">
        <f>O202+LTFP!O304</f>
        <v>0</v>
      </c>
      <c r="P147" s="31">
        <f>P202+LTFP!P304</f>
        <v>0</v>
      </c>
    </row>
    <row r="148" spans="1:16" x14ac:dyDescent="0.2">
      <c r="A148" s="50">
        <f>A203</f>
        <v>1805000</v>
      </c>
      <c r="B148" s="21">
        <f>B203</f>
        <v>2809800</v>
      </c>
      <c r="C148" s="21">
        <f>C203</f>
        <v>2286400</v>
      </c>
      <c r="D148" s="35" t="s">
        <v>225</v>
      </c>
      <c r="E148" s="33">
        <f t="shared" ref="E148:M148" si="126">E203</f>
        <v>5432400</v>
      </c>
      <c r="F148" s="138">
        <f>IF(C148=E148,0,IF(C148=0,100,(E148-C148)/C148*100))</f>
        <v>137.5962211336599</v>
      </c>
      <c r="G148" s="21">
        <f t="shared" si="126"/>
        <v>4516000</v>
      </c>
      <c r="H148" s="20">
        <f t="shared" si="126"/>
        <v>4475000</v>
      </c>
      <c r="I148" s="21">
        <f t="shared" si="126"/>
        <v>4475000</v>
      </c>
      <c r="J148" s="21">
        <f t="shared" si="126"/>
        <v>5760000</v>
      </c>
      <c r="K148" s="22">
        <f t="shared" si="126"/>
        <v>1360000</v>
      </c>
      <c r="L148" s="21">
        <f t="shared" si="126"/>
        <v>960000</v>
      </c>
      <c r="M148" s="20">
        <f t="shared" si="126"/>
        <v>960000</v>
      </c>
      <c r="N148" s="21">
        <f t="shared" ref="N148:O148" si="127">N203</f>
        <v>960000</v>
      </c>
      <c r="O148" s="21">
        <f t="shared" si="127"/>
        <v>960000</v>
      </c>
      <c r="P148" s="31">
        <f t="shared" ref="P148" si="128">P203</f>
        <v>960000</v>
      </c>
    </row>
    <row r="149" spans="1:16" x14ac:dyDescent="0.2">
      <c r="A149" s="50"/>
      <c r="B149" s="21"/>
      <c r="C149" s="21"/>
      <c r="D149" s="58"/>
      <c r="E149" s="33"/>
      <c r="F149" s="19"/>
      <c r="G149" s="21"/>
      <c r="H149" s="20"/>
      <c r="I149" s="21"/>
      <c r="J149" s="21"/>
      <c r="K149" s="22"/>
      <c r="L149" s="21"/>
      <c r="M149" s="20"/>
      <c r="N149" s="21"/>
      <c r="O149" s="21"/>
      <c r="P149" s="31"/>
    </row>
    <row r="150" spans="1:16" x14ac:dyDescent="0.2">
      <c r="A150" s="50"/>
      <c r="B150" s="21"/>
      <c r="C150" s="21"/>
      <c r="D150" s="58" t="s">
        <v>2905</v>
      </c>
      <c r="E150" s="33"/>
      <c r="F150" s="19"/>
      <c r="G150" s="21"/>
      <c r="H150" s="20"/>
      <c r="I150" s="21"/>
      <c r="J150" s="21"/>
      <c r="K150" s="22"/>
      <c r="L150" s="21"/>
      <c r="M150" s="20"/>
      <c r="N150" s="21"/>
      <c r="O150" s="21"/>
      <c r="P150" s="31"/>
    </row>
    <row r="151" spans="1:16" x14ac:dyDescent="0.2">
      <c r="A151" s="50">
        <f>A206+LTFP!A259+LTFP!A308</f>
        <v>-37817200</v>
      </c>
      <c r="B151" s="21">
        <f>B206+LTFP!B308+LTFP!B259</f>
        <v>-25375500</v>
      </c>
      <c r="C151" s="21">
        <f>C206+LTFP!C308+LTFP!C259</f>
        <v>-26591100</v>
      </c>
      <c r="D151" s="35" t="s">
        <v>1897</v>
      </c>
      <c r="E151" s="33">
        <f>E206+LTFP!E308+LTFP!E259</f>
        <v>-52393900</v>
      </c>
      <c r="F151" s="138">
        <f>IF(C151=E151,0,IF(C151=0,100,(E151-C151)/C151*100))</f>
        <v>97.035474275227429</v>
      </c>
      <c r="G151" s="21">
        <f>G206+LTFP!G308+LTFP!G259</f>
        <v>-43590500</v>
      </c>
      <c r="H151" s="20">
        <f>H206+LTFP!H308+LTFP!H259</f>
        <v>-42264100</v>
      </c>
      <c r="I151" s="21">
        <f>I206+LTFP!I308+LTFP!I259</f>
        <v>-27322700</v>
      </c>
      <c r="J151" s="21">
        <f>J206+LTFP!J308+LTFP!J259</f>
        <v>-51052600</v>
      </c>
      <c r="K151" s="30">
        <f>K206+LTFP!K308+LTFP!K259</f>
        <v>-36711300</v>
      </c>
      <c r="L151" s="21">
        <f>L206+LTFP!L308+LTFP!L259</f>
        <v>-23643900</v>
      </c>
      <c r="M151" s="20">
        <f>M206+LTFP!M308+LTFP!M259</f>
        <v>-22624500</v>
      </c>
      <c r="N151" s="21">
        <f>N206+LTFP!N308+LTFP!N259</f>
        <v>-20659700</v>
      </c>
      <c r="O151" s="21">
        <f>O206+LTFP!O308+LTFP!O259</f>
        <v>-20654500</v>
      </c>
      <c r="P151" s="31">
        <f>P206+LTFP!P308+LTFP!P259</f>
        <v>-22654900</v>
      </c>
    </row>
    <row r="152" spans="1:16" x14ac:dyDescent="0.2">
      <c r="A152" s="50">
        <f>A207+LTFP!A310+LTFP!A261</f>
        <v>-5600800</v>
      </c>
      <c r="B152" s="21">
        <f>B207+LTFP!B261+LTFP!B310</f>
        <v>-5583300</v>
      </c>
      <c r="C152" s="21">
        <f>C207+LTFP!C261+LTFP!C310</f>
        <v>-6582200</v>
      </c>
      <c r="D152" s="60" t="s">
        <v>1425</v>
      </c>
      <c r="E152" s="33">
        <f>E207+LTFP!E261+LTFP!E310</f>
        <v>-6654100</v>
      </c>
      <c r="F152" s="138">
        <f>IF(C152=E152,0,IF(C152=0,100,(E152-C152)/C152*100))</f>
        <v>1.0923399471301389</v>
      </c>
      <c r="G152" s="21">
        <f>G207+LTFP!G261+LTFP!G310</f>
        <v>-6408400</v>
      </c>
      <c r="H152" s="20">
        <f>H207+LTFP!H261+LTFP!H310</f>
        <v>-6381800</v>
      </c>
      <c r="I152" s="21">
        <f>I207+LTFP!I261+LTFP!I310</f>
        <v>-6599200</v>
      </c>
      <c r="J152" s="21">
        <f>J207+LTFP!J261+LTFP!J310</f>
        <v>-5496600</v>
      </c>
      <c r="K152" s="22">
        <f>K207+LTFP!K261+LTFP!K310</f>
        <v>-6197000</v>
      </c>
      <c r="L152" s="21">
        <f>L207+LTFP!L261+LTFP!L310</f>
        <v>-5929000</v>
      </c>
      <c r="M152" s="20">
        <f>M207+LTFP!M261+LTFP!M310</f>
        <v>-5387200</v>
      </c>
      <c r="N152" s="21">
        <f>N207+LTFP!N261+LTFP!N310</f>
        <v>-5315100</v>
      </c>
      <c r="O152" s="21">
        <f>O207+LTFP!O261+LTFP!O310</f>
        <v>-4882600</v>
      </c>
      <c r="P152" s="31">
        <f>P207+LTFP!P261+LTFP!P310</f>
        <v>-5076900</v>
      </c>
    </row>
    <row r="153" spans="1:16" x14ac:dyDescent="0.2">
      <c r="A153" s="50"/>
      <c r="B153" s="21"/>
      <c r="C153" s="21"/>
      <c r="D153" s="22"/>
      <c r="E153" s="33"/>
      <c r="F153" s="19"/>
      <c r="G153" s="21"/>
      <c r="H153" s="20"/>
      <c r="I153" s="21"/>
      <c r="J153" s="21"/>
      <c r="K153" s="22"/>
      <c r="L153" s="21"/>
      <c r="M153" s="20"/>
      <c r="N153" s="21"/>
      <c r="O153" s="21"/>
      <c r="P153" s="31"/>
    </row>
    <row r="154" spans="1:16" x14ac:dyDescent="0.2">
      <c r="A154" s="50"/>
      <c r="B154" s="21"/>
      <c r="C154" s="21"/>
      <c r="D154" s="58" t="s">
        <v>4719</v>
      </c>
      <c r="E154" s="33"/>
      <c r="F154" s="19"/>
      <c r="G154" s="21"/>
      <c r="H154" s="20"/>
      <c r="I154" s="21"/>
      <c r="J154" s="21"/>
      <c r="K154" s="22"/>
      <c r="L154" s="21"/>
      <c r="M154" s="20"/>
      <c r="N154" s="21"/>
      <c r="O154" s="21"/>
      <c r="P154" s="31"/>
    </row>
    <row r="155" spans="1:16" x14ac:dyDescent="0.2">
      <c r="A155" s="50">
        <f>A210+A264+A313</f>
        <v>-1489300</v>
      </c>
      <c r="B155" s="21">
        <f>B210+B264+B313</f>
        <v>-153000</v>
      </c>
      <c r="C155" s="21">
        <f>C210+C264+C313</f>
        <v>1730500</v>
      </c>
      <c r="D155" s="59" t="s">
        <v>4765</v>
      </c>
      <c r="E155" s="33">
        <f>E210+E264+E313</f>
        <v>200000</v>
      </c>
      <c r="F155" s="138">
        <f>IF(C155=E155,0,IF(C155=0,100,(E155-C155)/C155*100))</f>
        <v>-88.44264663392083</v>
      </c>
      <c r="G155" s="21">
        <f t="shared" ref="G155:O155" si="129">G210+G264+G313</f>
        <v>200000</v>
      </c>
      <c r="H155" s="20">
        <f t="shared" si="129"/>
        <v>200000</v>
      </c>
      <c r="I155" s="21">
        <f t="shared" si="129"/>
        <v>200000</v>
      </c>
      <c r="J155" s="21">
        <f t="shared" si="129"/>
        <v>200000</v>
      </c>
      <c r="K155" s="22">
        <f t="shared" si="129"/>
        <v>200000</v>
      </c>
      <c r="L155" s="21">
        <f t="shared" si="129"/>
        <v>200000</v>
      </c>
      <c r="M155" s="20">
        <f t="shared" si="129"/>
        <v>200000</v>
      </c>
      <c r="N155" s="21">
        <f t="shared" si="129"/>
        <v>200000</v>
      </c>
      <c r="O155" s="21">
        <f t="shared" si="129"/>
        <v>200000</v>
      </c>
      <c r="P155" s="31">
        <f t="shared" ref="P155" si="130">P210+P264+P313</f>
        <v>200000</v>
      </c>
    </row>
    <row r="156" spans="1:16" x14ac:dyDescent="0.2">
      <c r="A156" s="50"/>
      <c r="B156" s="21"/>
      <c r="C156" s="21"/>
      <c r="D156" s="22"/>
      <c r="E156" s="33"/>
      <c r="F156" s="19"/>
      <c r="G156" s="21"/>
      <c r="H156" s="20"/>
      <c r="I156" s="21"/>
      <c r="J156" s="21"/>
      <c r="K156" s="22"/>
      <c r="L156" s="21"/>
      <c r="M156" s="20"/>
      <c r="N156" s="21"/>
      <c r="O156" s="21"/>
      <c r="P156" s="31"/>
    </row>
    <row r="157" spans="1:16" x14ac:dyDescent="0.2">
      <c r="A157" s="50"/>
      <c r="B157" s="21"/>
      <c r="C157" s="21"/>
      <c r="D157" s="58" t="s">
        <v>1601</v>
      </c>
      <c r="E157" s="33"/>
      <c r="F157" s="19"/>
      <c r="G157" s="21"/>
      <c r="H157" s="20"/>
      <c r="I157" s="21"/>
      <c r="J157" s="21"/>
      <c r="K157" s="22"/>
      <c r="L157" s="21"/>
      <c r="M157" s="20"/>
      <c r="N157" s="21"/>
      <c r="O157" s="21"/>
      <c r="P157" s="31"/>
    </row>
    <row r="158" spans="1:16" x14ac:dyDescent="0.2">
      <c r="A158" s="50">
        <f>A136</f>
        <v>20368300</v>
      </c>
      <c r="B158" s="21">
        <f>B136</f>
        <v>17937300</v>
      </c>
      <c r="C158" s="21">
        <f>C136</f>
        <v>19197600</v>
      </c>
      <c r="D158" s="52" t="s">
        <v>2070</v>
      </c>
      <c r="E158" s="33">
        <f>E136</f>
        <v>17162400</v>
      </c>
      <c r="F158" s="19">
        <f t="shared" ref="F158:F163" si="131">IF(C158=E158,0,IF(C158=0,100,(E158-C158)/C158*100))</f>
        <v>-10.601325165645706</v>
      </c>
      <c r="G158" s="21">
        <f t="shared" ref="G158:O158" si="132">G136</f>
        <v>18538900</v>
      </c>
      <c r="H158" s="20">
        <f t="shared" si="132"/>
        <v>18962900</v>
      </c>
      <c r="I158" s="21">
        <f t="shared" si="132"/>
        <v>19434900</v>
      </c>
      <c r="J158" s="21">
        <f t="shared" si="132"/>
        <v>19825300</v>
      </c>
      <c r="K158" s="22">
        <f t="shared" si="132"/>
        <v>20223000</v>
      </c>
      <c r="L158" s="21">
        <f t="shared" si="132"/>
        <v>20629200</v>
      </c>
      <c r="M158" s="20">
        <f t="shared" si="132"/>
        <v>21042700</v>
      </c>
      <c r="N158" s="21">
        <f t="shared" si="132"/>
        <v>21464900</v>
      </c>
      <c r="O158" s="21">
        <f t="shared" si="132"/>
        <v>21896000</v>
      </c>
      <c r="P158" s="31">
        <f t="shared" ref="P158" si="133">P136</f>
        <v>22334800</v>
      </c>
    </row>
    <row r="159" spans="1:16" x14ac:dyDescent="0.2">
      <c r="A159" s="50">
        <f t="shared" ref="A159:C160" si="134">A214</f>
        <v>333000</v>
      </c>
      <c r="B159" s="21">
        <f t="shared" si="134"/>
        <v>-30000</v>
      </c>
      <c r="C159" s="21">
        <f t="shared" si="134"/>
        <v>-163000</v>
      </c>
      <c r="D159" s="111" t="s">
        <v>5479</v>
      </c>
      <c r="E159" s="33">
        <f t="shared" ref="E159:N160" si="135">E214</f>
        <v>0</v>
      </c>
      <c r="F159" s="19">
        <f t="shared" si="131"/>
        <v>-100</v>
      </c>
      <c r="G159" s="21">
        <f t="shared" si="135"/>
        <v>0</v>
      </c>
      <c r="H159" s="20">
        <f t="shared" si="135"/>
        <v>0</v>
      </c>
      <c r="I159" s="21">
        <f t="shared" si="135"/>
        <v>0</v>
      </c>
      <c r="J159" s="21">
        <f t="shared" si="135"/>
        <v>0</v>
      </c>
      <c r="K159" s="22">
        <f t="shared" si="135"/>
        <v>0</v>
      </c>
      <c r="L159" s="21">
        <f t="shared" si="135"/>
        <v>0</v>
      </c>
      <c r="M159" s="20">
        <f t="shared" si="135"/>
        <v>0</v>
      </c>
      <c r="N159" s="21">
        <f t="shared" si="135"/>
        <v>0</v>
      </c>
      <c r="O159" s="21">
        <f t="shared" ref="O159" si="136">O214</f>
        <v>0</v>
      </c>
      <c r="P159" s="31">
        <f t="shared" ref="P159" si="137">P214</f>
        <v>0</v>
      </c>
    </row>
    <row r="160" spans="1:16" x14ac:dyDescent="0.2">
      <c r="A160" s="50">
        <f t="shared" si="134"/>
        <v>0</v>
      </c>
      <c r="B160" s="21">
        <f t="shared" si="134"/>
        <v>-460100</v>
      </c>
      <c r="C160" s="21">
        <f t="shared" si="134"/>
        <v>0</v>
      </c>
      <c r="D160" s="111" t="s">
        <v>5439</v>
      </c>
      <c r="E160" s="33">
        <f t="shared" si="135"/>
        <v>0</v>
      </c>
      <c r="F160" s="19">
        <f t="shared" si="131"/>
        <v>0</v>
      </c>
      <c r="G160" s="21">
        <f t="shared" si="135"/>
        <v>0</v>
      </c>
      <c r="H160" s="20">
        <f t="shared" si="135"/>
        <v>0</v>
      </c>
      <c r="I160" s="21">
        <f t="shared" si="135"/>
        <v>0</v>
      </c>
      <c r="J160" s="21">
        <f t="shared" si="135"/>
        <v>0</v>
      </c>
      <c r="K160" s="22">
        <f t="shared" si="135"/>
        <v>0</v>
      </c>
      <c r="L160" s="21">
        <f t="shared" si="135"/>
        <v>0</v>
      </c>
      <c r="M160" s="20">
        <f t="shared" si="135"/>
        <v>0</v>
      </c>
      <c r="N160" s="21">
        <f t="shared" si="135"/>
        <v>0</v>
      </c>
      <c r="O160" s="21">
        <f t="shared" ref="O160" si="138">O215</f>
        <v>0</v>
      </c>
      <c r="P160" s="31">
        <f t="shared" ref="P160" si="139">P215</f>
        <v>0</v>
      </c>
    </row>
    <row r="161" spans="1:16" x14ac:dyDescent="0.2">
      <c r="A161" s="50">
        <f t="shared" ref="A161:B163" si="140">A137</f>
        <v>289900</v>
      </c>
      <c r="B161" s="21">
        <f t="shared" si="140"/>
        <v>725700</v>
      </c>
      <c r="C161" s="21">
        <f>C137</f>
        <v>-319800</v>
      </c>
      <c r="D161" s="59" t="s">
        <v>5412</v>
      </c>
      <c r="E161" s="33">
        <f>E137</f>
        <v>0</v>
      </c>
      <c r="F161" s="19">
        <f t="shared" si="131"/>
        <v>-100</v>
      </c>
      <c r="G161" s="21">
        <f t="shared" ref="G161:O161" si="141">G137</f>
        <v>0</v>
      </c>
      <c r="H161" s="20">
        <f t="shared" si="141"/>
        <v>0</v>
      </c>
      <c r="I161" s="21">
        <f t="shared" si="141"/>
        <v>0</v>
      </c>
      <c r="J161" s="21">
        <f t="shared" si="141"/>
        <v>0</v>
      </c>
      <c r="K161" s="22">
        <f t="shared" si="141"/>
        <v>0</v>
      </c>
      <c r="L161" s="21">
        <f t="shared" si="141"/>
        <v>0</v>
      </c>
      <c r="M161" s="20">
        <f t="shared" si="141"/>
        <v>0</v>
      </c>
      <c r="N161" s="21">
        <f t="shared" si="141"/>
        <v>0</v>
      </c>
      <c r="O161" s="21">
        <f t="shared" si="141"/>
        <v>0</v>
      </c>
      <c r="P161" s="31">
        <f t="shared" ref="P161" si="142">P137</f>
        <v>0</v>
      </c>
    </row>
    <row r="162" spans="1:16" x14ac:dyDescent="0.2">
      <c r="A162" s="50">
        <f t="shared" si="140"/>
        <v>563300</v>
      </c>
      <c r="B162" s="21">
        <f t="shared" si="140"/>
        <v>580500</v>
      </c>
      <c r="C162" s="21">
        <f>C138</f>
        <v>491900</v>
      </c>
      <c r="D162" s="59" t="s">
        <v>1250</v>
      </c>
      <c r="E162" s="33">
        <f>E138</f>
        <v>454900</v>
      </c>
      <c r="F162" s="19">
        <f t="shared" si="131"/>
        <v>-7.5218540353730434</v>
      </c>
      <c r="G162" s="21">
        <f t="shared" ref="G162:O162" si="143">G138</f>
        <v>313100</v>
      </c>
      <c r="H162" s="20">
        <f t="shared" si="143"/>
        <v>204200</v>
      </c>
      <c r="I162" s="21">
        <f t="shared" si="143"/>
        <v>117000</v>
      </c>
      <c r="J162" s="21">
        <f t="shared" si="143"/>
        <v>20600</v>
      </c>
      <c r="K162" s="22">
        <f t="shared" si="143"/>
        <v>21400</v>
      </c>
      <c r="L162" s="21">
        <f t="shared" si="143"/>
        <v>22100</v>
      </c>
      <c r="M162" s="20">
        <f t="shared" si="143"/>
        <v>22900</v>
      </c>
      <c r="N162" s="21">
        <f t="shared" si="143"/>
        <v>23800</v>
      </c>
      <c r="O162" s="21">
        <f t="shared" si="143"/>
        <v>24700</v>
      </c>
      <c r="P162" s="31">
        <f t="shared" ref="P162" si="144">P138</f>
        <v>25600</v>
      </c>
    </row>
    <row r="163" spans="1:16" x14ac:dyDescent="0.2">
      <c r="A163" s="50">
        <f t="shared" si="140"/>
        <v>4098700</v>
      </c>
      <c r="B163" s="21">
        <f t="shared" si="140"/>
        <v>15585100</v>
      </c>
      <c r="C163" s="21">
        <f>C139</f>
        <v>48800</v>
      </c>
      <c r="D163" s="59" t="s">
        <v>4542</v>
      </c>
      <c r="E163" s="33">
        <f>E139</f>
        <v>0</v>
      </c>
      <c r="F163" s="19">
        <f t="shared" si="131"/>
        <v>-100</v>
      </c>
      <c r="G163" s="21">
        <f t="shared" ref="G163:O163" si="145">G139</f>
        <v>0</v>
      </c>
      <c r="H163" s="20">
        <f t="shared" si="145"/>
        <v>0</v>
      </c>
      <c r="I163" s="21">
        <f t="shared" si="145"/>
        <v>0</v>
      </c>
      <c r="J163" s="21">
        <f t="shared" si="145"/>
        <v>0</v>
      </c>
      <c r="K163" s="22">
        <f t="shared" si="145"/>
        <v>0</v>
      </c>
      <c r="L163" s="21">
        <f t="shared" si="145"/>
        <v>0</v>
      </c>
      <c r="M163" s="20">
        <f t="shared" si="145"/>
        <v>0</v>
      </c>
      <c r="N163" s="21">
        <f t="shared" si="145"/>
        <v>0</v>
      </c>
      <c r="O163" s="21">
        <f t="shared" si="145"/>
        <v>0</v>
      </c>
      <c r="P163" s="31">
        <f t="shared" ref="P163" si="146">P139</f>
        <v>0</v>
      </c>
    </row>
    <row r="164" spans="1:16" ht="13.5" thickBot="1" x14ac:dyDescent="0.25">
      <c r="A164" s="50"/>
      <c r="B164" s="21"/>
      <c r="C164" s="21"/>
      <c r="D164" s="230"/>
      <c r="E164" s="33"/>
      <c r="F164" s="19"/>
      <c r="G164" s="21"/>
      <c r="H164" s="20"/>
      <c r="I164" s="21"/>
      <c r="J164" s="21"/>
      <c r="K164" s="22"/>
      <c r="L164" s="21"/>
      <c r="M164" s="20"/>
      <c r="N164" s="21"/>
      <c r="O164" s="21"/>
      <c r="P164" s="31"/>
    </row>
    <row r="165" spans="1:16" s="40" customFormat="1" ht="13.5" thickBot="1" x14ac:dyDescent="0.25">
      <c r="A165" s="259">
        <f>SUM(A140:A164)</f>
        <v>-17830600</v>
      </c>
      <c r="B165" s="260">
        <f>SUM(B140:B164)</f>
        <v>-1829900</v>
      </c>
      <c r="C165" s="260">
        <f>SUM(C140:C164)</f>
        <v>-558900</v>
      </c>
      <c r="D165" s="859" t="s">
        <v>1077</v>
      </c>
      <c r="E165" s="106">
        <f>SUM(E140:E164)</f>
        <v>-14909200</v>
      </c>
      <c r="F165" s="261">
        <f>IF(C165=E165,0,IF(C165=0,100,(E165-C165)/C165*100))</f>
        <v>2567.5970656646987</v>
      </c>
      <c r="G165" s="80">
        <f t="shared" ref="G165:O165" si="147">SUM(G140:G164)</f>
        <v>-1217600</v>
      </c>
      <c r="H165" s="81">
        <f t="shared" si="147"/>
        <v>-9108900</v>
      </c>
      <c r="I165" s="80">
        <f t="shared" si="147"/>
        <v>2315500</v>
      </c>
      <c r="J165" s="80">
        <f t="shared" si="147"/>
        <v>-3314000</v>
      </c>
      <c r="K165" s="224">
        <f t="shared" si="147"/>
        <v>-873000</v>
      </c>
      <c r="L165" s="80">
        <f t="shared" si="147"/>
        <v>3825900</v>
      </c>
      <c r="M165" s="81">
        <f t="shared" si="147"/>
        <v>7114000</v>
      </c>
      <c r="N165" s="80">
        <f t="shared" si="147"/>
        <v>10603300</v>
      </c>
      <c r="O165" s="80">
        <f t="shared" si="147"/>
        <v>13218100</v>
      </c>
      <c r="P165" s="225">
        <f t="shared" ref="P165" si="148">SUM(P140:P164)</f>
        <v>13195900</v>
      </c>
    </row>
    <row r="166" spans="1:16" s="25" customFormat="1" ht="13.5" thickTop="1" x14ac:dyDescent="0.2">
      <c r="A166" s="262"/>
      <c r="B166" s="264"/>
      <c r="C166" s="264"/>
      <c r="D166" s="577"/>
      <c r="E166" s="1351"/>
      <c r="F166" s="265"/>
      <c r="G166" s="264"/>
      <c r="H166" s="266"/>
      <c r="I166" s="264"/>
      <c r="J166" s="264"/>
      <c r="K166" s="263"/>
      <c r="L166" s="264"/>
      <c r="M166" s="266"/>
      <c r="N166" s="264"/>
      <c r="O166" s="264"/>
      <c r="P166" s="267"/>
    </row>
    <row r="167" spans="1:16" x14ac:dyDescent="0.2">
      <c r="A167" s="50"/>
      <c r="B167" s="21"/>
      <c r="C167" s="21"/>
      <c r="D167" s="551" t="s">
        <v>737</v>
      </c>
      <c r="E167" s="33"/>
      <c r="F167" s="19"/>
      <c r="G167" s="21"/>
      <c r="H167" s="20"/>
      <c r="I167" s="21"/>
      <c r="J167" s="21"/>
      <c r="K167" s="22"/>
      <c r="L167" s="21"/>
      <c r="M167" s="20"/>
      <c r="N167" s="21"/>
      <c r="O167" s="21"/>
      <c r="P167" s="31"/>
    </row>
    <row r="168" spans="1:16" s="25" customFormat="1" x14ac:dyDescent="0.2">
      <c r="A168" s="211">
        <f>A223</f>
        <v>-11293000</v>
      </c>
      <c r="B168" s="24">
        <f>B223</f>
        <v>2180200</v>
      </c>
      <c r="C168" s="24">
        <f>C223</f>
        <v>521200</v>
      </c>
      <c r="D168" s="59" t="s">
        <v>1481</v>
      </c>
      <c r="E168" s="132">
        <f t="shared" ref="E168:M168" si="149">E223</f>
        <v>-9943800</v>
      </c>
      <c r="F168" s="19"/>
      <c r="G168" s="24">
        <f t="shared" si="149"/>
        <v>-3363500</v>
      </c>
      <c r="H168" s="26">
        <f t="shared" si="149"/>
        <v>2162200</v>
      </c>
      <c r="I168" s="24">
        <f t="shared" si="149"/>
        <v>-330100</v>
      </c>
      <c r="J168" s="24">
        <f t="shared" si="149"/>
        <v>-43400</v>
      </c>
      <c r="K168" s="35">
        <f t="shared" si="149"/>
        <v>1265100</v>
      </c>
      <c r="L168" s="24">
        <f t="shared" si="149"/>
        <v>971700</v>
      </c>
      <c r="M168" s="26">
        <f t="shared" si="149"/>
        <v>401600</v>
      </c>
      <c r="N168" s="24">
        <f t="shared" ref="N168:O168" si="150">N223</f>
        <v>1251900</v>
      </c>
      <c r="O168" s="24">
        <f t="shared" si="150"/>
        <v>654600</v>
      </c>
      <c r="P168" s="36">
        <f t="shared" ref="P168" si="151">P223</f>
        <v>786600</v>
      </c>
    </row>
    <row r="169" spans="1:16" s="25" customFormat="1" x14ac:dyDescent="0.2">
      <c r="A169" s="71">
        <f>A224+LTFP!A320+LTFP!A271</f>
        <v>-6537800</v>
      </c>
      <c r="B169" s="132">
        <f>B224+LTFP!B320+LTFP!B271</f>
        <v>-4010100</v>
      </c>
      <c r="C169" s="24">
        <f>C224+LTFP!C320+LTFP!C271</f>
        <v>-1080100</v>
      </c>
      <c r="D169" s="59" t="s">
        <v>1304</v>
      </c>
      <c r="E169" s="132">
        <f>E224+LTFP!E320+LTFP!E271</f>
        <v>-5033300</v>
      </c>
      <c r="F169" s="19"/>
      <c r="G169" s="24">
        <f>G224+LTFP!G320+LTFP!G271</f>
        <v>2291100</v>
      </c>
      <c r="H169" s="26">
        <f>H224+LTFP!H320+LTFP!H271</f>
        <v>-10905900</v>
      </c>
      <c r="I169" s="24">
        <f>I224+LTFP!I320+LTFP!I271</f>
        <v>3071900</v>
      </c>
      <c r="J169" s="24">
        <f>J224+LTFP!J320+LTFP!J271</f>
        <v>-2779700</v>
      </c>
      <c r="K169" s="35">
        <f>K224+LTFP!K320+LTFP!K271</f>
        <v>-1774100</v>
      </c>
      <c r="L169" s="24">
        <f>L224+LTFP!L320+LTFP!L271</f>
        <v>3148000</v>
      </c>
      <c r="M169" s="26">
        <f>M224+LTFP!M320+LTFP!M271</f>
        <v>6814600</v>
      </c>
      <c r="N169" s="24">
        <f>N224+LTFP!N320+LTFP!N271</f>
        <v>9420600</v>
      </c>
      <c r="O169" s="24">
        <f>O224+LTFP!O320+LTFP!O271</f>
        <v>12635500</v>
      </c>
      <c r="P169" s="36">
        <f>P224+LTFP!P320+LTFP!P271</f>
        <v>12332600</v>
      </c>
    </row>
    <row r="170" spans="1:16" s="133" customFormat="1" x14ac:dyDescent="0.2">
      <c r="A170" s="71">
        <f>A225</f>
        <v>200</v>
      </c>
      <c r="B170" s="132">
        <f>B225</f>
        <v>0</v>
      </c>
      <c r="C170" s="132">
        <f>C225</f>
        <v>0</v>
      </c>
      <c r="D170" s="111" t="s">
        <v>2119</v>
      </c>
      <c r="E170" s="132">
        <f t="shared" ref="E170:M170" si="152">E225</f>
        <v>67900</v>
      </c>
      <c r="F170" s="138"/>
      <c r="G170" s="132">
        <f t="shared" si="152"/>
        <v>-145200</v>
      </c>
      <c r="H170" s="130">
        <f t="shared" si="152"/>
        <v>-365200</v>
      </c>
      <c r="I170" s="132">
        <f t="shared" si="152"/>
        <v>-426300</v>
      </c>
      <c r="J170" s="132">
        <f t="shared" si="152"/>
        <v>-490900</v>
      </c>
      <c r="K170" s="78">
        <f t="shared" si="152"/>
        <v>-364000</v>
      </c>
      <c r="L170" s="132">
        <f t="shared" si="152"/>
        <v>-293800</v>
      </c>
      <c r="M170" s="130">
        <f t="shared" si="152"/>
        <v>-102200</v>
      </c>
      <c r="N170" s="132">
        <f t="shared" ref="N170:O170" si="153">N225</f>
        <v>-69200</v>
      </c>
      <c r="O170" s="132">
        <f t="shared" si="153"/>
        <v>-72000</v>
      </c>
      <c r="P170" s="131">
        <f t="shared" ref="P170" si="154">P225</f>
        <v>76700</v>
      </c>
    </row>
    <row r="171" spans="1:16" s="44" customFormat="1" x14ac:dyDescent="0.2">
      <c r="A171" s="771">
        <f>SUM(A167:A170)</f>
        <v>-17830600</v>
      </c>
      <c r="B171" s="62">
        <f>SUM(B167:B170)</f>
        <v>-1829900</v>
      </c>
      <c r="C171" s="62">
        <f>SUM(C167:C170)</f>
        <v>-558900</v>
      </c>
      <c r="D171" s="551" t="s">
        <v>137</v>
      </c>
      <c r="E171" s="64">
        <f t="shared" ref="E171:M171" si="155">SUM(E167:E170)</f>
        <v>-14909200</v>
      </c>
      <c r="F171" s="32"/>
      <c r="G171" s="62">
        <f t="shared" si="155"/>
        <v>-1217600</v>
      </c>
      <c r="H171" s="65">
        <f t="shared" si="155"/>
        <v>-9108900</v>
      </c>
      <c r="I171" s="62">
        <f t="shared" si="155"/>
        <v>2315500</v>
      </c>
      <c r="J171" s="62">
        <f t="shared" si="155"/>
        <v>-3314000</v>
      </c>
      <c r="K171" s="62">
        <f t="shared" si="155"/>
        <v>-873000</v>
      </c>
      <c r="L171" s="62">
        <f t="shared" si="155"/>
        <v>3825900</v>
      </c>
      <c r="M171" s="62">
        <f t="shared" si="155"/>
        <v>7114000</v>
      </c>
      <c r="N171" s="62">
        <f t="shared" ref="N171:O171" si="156">SUM(N167:N170)</f>
        <v>10603300</v>
      </c>
      <c r="O171" s="62">
        <f t="shared" si="156"/>
        <v>13218100</v>
      </c>
      <c r="P171" s="69">
        <f t="shared" ref="P171" si="157">SUM(P167:P170)</f>
        <v>13195900</v>
      </c>
    </row>
    <row r="172" spans="1:16" s="25" customFormat="1" x14ac:dyDescent="0.2">
      <c r="A172" s="71"/>
      <c r="B172" s="132"/>
      <c r="C172" s="24"/>
      <c r="D172" s="59"/>
      <c r="E172" s="132"/>
      <c r="F172" s="19"/>
      <c r="G172" s="24"/>
      <c r="H172" s="26"/>
      <c r="I172" s="24"/>
      <c r="J172" s="24"/>
      <c r="K172" s="35"/>
      <c r="L172" s="24"/>
      <c r="M172" s="26"/>
      <c r="N172" s="24"/>
      <c r="O172" s="24"/>
      <c r="P172" s="36"/>
    </row>
    <row r="173" spans="1:16" s="25" customFormat="1" x14ac:dyDescent="0.2">
      <c r="A173" s="71"/>
      <c r="B173" s="132"/>
      <c r="C173" s="24"/>
      <c r="D173" s="551" t="s">
        <v>2488</v>
      </c>
      <c r="E173" s="132"/>
      <c r="F173" s="19"/>
      <c r="G173" s="24"/>
      <c r="H173" s="26"/>
      <c r="I173" s="24"/>
      <c r="J173" s="24"/>
      <c r="K173" s="35"/>
      <c r="L173" s="24"/>
      <c r="M173" s="26"/>
      <c r="N173" s="24"/>
      <c r="O173" s="24"/>
      <c r="P173" s="36"/>
    </row>
    <row r="174" spans="1:16" s="25" customFormat="1" x14ac:dyDescent="0.2">
      <c r="A174" s="71">
        <f>A229</f>
        <v>25427000</v>
      </c>
      <c r="B174" s="132">
        <f>B229</f>
        <v>27607200</v>
      </c>
      <c r="C174" s="24">
        <f>C229</f>
        <v>28128400</v>
      </c>
      <c r="D174" s="59" t="s">
        <v>435</v>
      </c>
      <c r="E174" s="132">
        <f t="shared" ref="E174:M174" si="158">E229</f>
        <v>18184600</v>
      </c>
      <c r="F174" s="19"/>
      <c r="G174" s="24">
        <f t="shared" si="158"/>
        <v>14821100</v>
      </c>
      <c r="H174" s="26">
        <f t="shared" si="158"/>
        <v>16983300</v>
      </c>
      <c r="I174" s="24">
        <f t="shared" si="158"/>
        <v>16653200</v>
      </c>
      <c r="J174" s="24">
        <f t="shared" si="158"/>
        <v>16609800</v>
      </c>
      <c r="K174" s="35">
        <f t="shared" si="158"/>
        <v>17874900</v>
      </c>
      <c r="L174" s="24">
        <f t="shared" si="158"/>
        <v>18846600</v>
      </c>
      <c r="M174" s="26">
        <f t="shared" si="158"/>
        <v>19248200</v>
      </c>
      <c r="N174" s="24">
        <f t="shared" ref="N174:O174" si="159">N229</f>
        <v>20500100</v>
      </c>
      <c r="O174" s="24">
        <f t="shared" si="159"/>
        <v>21154700</v>
      </c>
      <c r="P174" s="36">
        <f t="shared" ref="P174" si="160">P229</f>
        <v>21941300</v>
      </c>
    </row>
    <row r="175" spans="1:16" s="25" customFormat="1" x14ac:dyDescent="0.2">
      <c r="A175" s="71">
        <f>A230+LTFP!A330+LTFP!A281</f>
        <v>40332200</v>
      </c>
      <c r="B175" s="132">
        <f>B230+LTFP!B330+LTFP!B281</f>
        <v>36322100</v>
      </c>
      <c r="C175" s="24">
        <f>C230+LTFP!C330+LTFP!C281</f>
        <v>35242000</v>
      </c>
      <c r="D175" s="59" t="s">
        <v>436</v>
      </c>
      <c r="E175" s="132">
        <f>E230+LTFP!E330+LTFP!E281</f>
        <v>30208700</v>
      </c>
      <c r="F175" s="19"/>
      <c r="G175" s="24">
        <f>G230+LTFP!G330+LTFP!G281</f>
        <v>32499800</v>
      </c>
      <c r="H175" s="26">
        <f>H230+LTFP!H330+LTFP!H281</f>
        <v>21593900</v>
      </c>
      <c r="I175" s="24">
        <f>I230+LTFP!I330+LTFP!I281</f>
        <v>24665800</v>
      </c>
      <c r="J175" s="24">
        <f>J230+LTFP!J330+LTFP!J281</f>
        <v>21886100</v>
      </c>
      <c r="K175" s="35">
        <f>K230+LTFP!K330+LTFP!K281</f>
        <v>20112000</v>
      </c>
      <c r="L175" s="24">
        <f>L230+LTFP!L330+LTFP!L281</f>
        <v>23260000</v>
      </c>
      <c r="M175" s="26">
        <f>M230+LTFP!M330+LTFP!M281</f>
        <v>30074600</v>
      </c>
      <c r="N175" s="24">
        <f>N230+LTFP!N330+LTFP!N281</f>
        <v>39495200</v>
      </c>
      <c r="O175" s="24">
        <f>O230+LTFP!O330+LTFP!O281</f>
        <v>52130700</v>
      </c>
      <c r="P175" s="36">
        <f>P230+LTFP!P330+LTFP!P281</f>
        <v>64463300</v>
      </c>
    </row>
    <row r="176" spans="1:16" s="25" customFormat="1" x14ac:dyDescent="0.2">
      <c r="A176" s="71">
        <f>A231</f>
        <v>3034800</v>
      </c>
      <c r="B176" s="132">
        <f>B231</f>
        <v>3034800</v>
      </c>
      <c r="C176" s="24">
        <f>C231</f>
        <v>3034800</v>
      </c>
      <c r="D176" s="59" t="s">
        <v>2119</v>
      </c>
      <c r="E176" s="132">
        <f t="shared" ref="E176:M176" si="161">E231</f>
        <v>3102700</v>
      </c>
      <c r="F176" s="19"/>
      <c r="G176" s="24">
        <f t="shared" si="161"/>
        <v>2957500</v>
      </c>
      <c r="H176" s="26">
        <f t="shared" si="161"/>
        <v>2592300</v>
      </c>
      <c r="I176" s="24">
        <f t="shared" si="161"/>
        <v>2166000</v>
      </c>
      <c r="J176" s="24">
        <f t="shared" si="161"/>
        <v>1675100</v>
      </c>
      <c r="K176" s="35">
        <f t="shared" si="161"/>
        <v>1311100</v>
      </c>
      <c r="L176" s="24">
        <f t="shared" si="161"/>
        <v>1017300</v>
      </c>
      <c r="M176" s="26">
        <f t="shared" si="161"/>
        <v>915100</v>
      </c>
      <c r="N176" s="24">
        <f t="shared" ref="N176:O176" si="162">N231</f>
        <v>845900</v>
      </c>
      <c r="O176" s="24">
        <f t="shared" si="162"/>
        <v>773900</v>
      </c>
      <c r="P176" s="36">
        <f t="shared" ref="P176" si="163">P231</f>
        <v>850600</v>
      </c>
    </row>
    <row r="177" spans="1:16" s="44" customFormat="1" x14ac:dyDescent="0.2">
      <c r="A177" s="771">
        <f>SUM(A173:A176)</f>
        <v>68794000</v>
      </c>
      <c r="B177" s="62">
        <f>SUM(B173:B176)</f>
        <v>66964100</v>
      </c>
      <c r="C177" s="62">
        <f>SUM(C173:C176)</f>
        <v>66405200</v>
      </c>
      <c r="D177" s="551" t="s">
        <v>1530</v>
      </c>
      <c r="E177" s="64">
        <f t="shared" ref="E177:M177" si="164">SUM(E173:E176)</f>
        <v>51496000</v>
      </c>
      <c r="F177" s="32"/>
      <c r="G177" s="62">
        <f t="shared" si="164"/>
        <v>50278400</v>
      </c>
      <c r="H177" s="65">
        <f t="shared" si="164"/>
        <v>41169500</v>
      </c>
      <c r="I177" s="62">
        <f t="shared" si="164"/>
        <v>43485000</v>
      </c>
      <c r="J177" s="62">
        <f t="shared" si="164"/>
        <v>40171000</v>
      </c>
      <c r="K177" s="62">
        <f t="shared" si="164"/>
        <v>39298000</v>
      </c>
      <c r="L177" s="62">
        <f t="shared" si="164"/>
        <v>43123900</v>
      </c>
      <c r="M177" s="62">
        <f t="shared" si="164"/>
        <v>50237900</v>
      </c>
      <c r="N177" s="62">
        <f t="shared" ref="N177:O177" si="165">SUM(N173:N176)</f>
        <v>60841200</v>
      </c>
      <c r="O177" s="62">
        <f t="shared" si="165"/>
        <v>74059300</v>
      </c>
      <c r="P177" s="69">
        <f t="shared" ref="P177" si="166">SUM(P173:P176)</f>
        <v>87255200</v>
      </c>
    </row>
    <row r="178" spans="1:16" s="25" customFormat="1" ht="13.5" thickBot="1" x14ac:dyDescent="0.25">
      <c r="A178" s="256"/>
      <c r="B178" s="28"/>
      <c r="C178" s="28"/>
      <c r="D178" s="257"/>
      <c r="E178" s="835"/>
      <c r="F178" s="86"/>
      <c r="G178" s="28"/>
      <c r="H178" s="37"/>
      <c r="I178" s="28"/>
      <c r="J178" s="28"/>
      <c r="K178" s="215"/>
      <c r="L178" s="28"/>
      <c r="M178" s="37"/>
      <c r="N178" s="28"/>
      <c r="O178" s="28"/>
      <c r="P178" s="258"/>
    </row>
    <row r="179" spans="1:16" ht="14.25" thickTop="1" thickBot="1" x14ac:dyDescent="0.25"/>
    <row r="180" spans="1:16" s="506" customFormat="1" ht="19.5" thickTop="1" thickBot="1" x14ac:dyDescent="0.3">
      <c r="A180" s="2842" t="s">
        <v>7034</v>
      </c>
      <c r="B180" s="2843"/>
      <c r="C180" s="2843"/>
      <c r="D180" s="2843"/>
      <c r="E180" s="2843"/>
      <c r="F180" s="2843"/>
      <c r="G180" s="2843"/>
      <c r="H180" s="2843"/>
      <c r="I180" s="2843"/>
      <c r="J180" s="2843"/>
      <c r="K180" s="2843"/>
      <c r="L180" s="2843"/>
      <c r="M180" s="2843"/>
      <c r="N180" s="2843"/>
      <c r="O180" s="2843"/>
      <c r="P180" s="2844"/>
    </row>
    <row r="181" spans="1:16" x14ac:dyDescent="0.2">
      <c r="A181" s="2845" t="str">
        <f>$A$126</f>
        <v>ACTUAL</v>
      </c>
      <c r="B181" s="2846"/>
      <c r="C181" s="2847"/>
      <c r="D181" s="2134" t="str">
        <f>$D$126</f>
        <v>ITEM</v>
      </c>
      <c r="E181" s="2839" t="s">
        <v>2253</v>
      </c>
      <c r="F181" s="2840"/>
      <c r="G181" s="2840"/>
      <c r="H181" s="2840"/>
      <c r="I181" s="2840"/>
      <c r="J181" s="2840"/>
      <c r="K181" s="2840"/>
      <c r="L181" s="2840"/>
      <c r="M181" s="2840"/>
      <c r="N181" s="2840"/>
      <c r="O181" s="2840"/>
      <c r="P181" s="2841"/>
    </row>
    <row r="182" spans="1:16" ht="13.5" thickBot="1" x14ac:dyDescent="0.25">
      <c r="A182" s="45" t="str">
        <f>'Cash-Gen'!A3</f>
        <v>2013/14</v>
      </c>
      <c r="B182" s="370" t="str">
        <f>'Cash-Gen'!B3</f>
        <v>2014/15</v>
      </c>
      <c r="C182" s="47" t="str">
        <f>'Cash-Gen'!C3</f>
        <v>2015/16</v>
      </c>
      <c r="D182" s="1951"/>
      <c r="E182" s="97" t="str">
        <f>'Cash-Gen'!E3</f>
        <v>2016/17</v>
      </c>
      <c r="F182" s="2095" t="s">
        <v>501</v>
      </c>
      <c r="G182" s="47" t="str">
        <f>'Cash-Gen'!F3</f>
        <v>2017/18</v>
      </c>
      <c r="H182" s="49" t="str">
        <f>'Cash-Gen'!G3</f>
        <v>2018/19</v>
      </c>
      <c r="I182" s="47" t="str">
        <f>'Cash-Gen'!H3</f>
        <v>2019/20</v>
      </c>
      <c r="J182" s="47" t="str">
        <f>'Cash-Gen'!I3</f>
        <v>2020/21</v>
      </c>
      <c r="K182" s="1294" t="str">
        <f>'Cash-Gen'!J3</f>
        <v>2021/22</v>
      </c>
      <c r="L182" s="47" t="str">
        <f>'Cash-Gen'!K3</f>
        <v>2022/23</v>
      </c>
      <c r="M182" s="1294" t="str">
        <f>'Cash-Gen'!L3</f>
        <v>2023/24</v>
      </c>
      <c r="N182" s="49" t="str">
        <f>'Cash-Gen'!M3</f>
        <v>2024/25</v>
      </c>
      <c r="O182" s="219" t="str">
        <f>'Cash-Gen'!N3</f>
        <v>2025/26</v>
      </c>
      <c r="P182" s="220" t="str">
        <f>'Cash-Gen'!O3</f>
        <v>2026/27</v>
      </c>
    </row>
    <row r="183" spans="1:16" x14ac:dyDescent="0.2">
      <c r="A183" s="50"/>
      <c r="B183" s="21"/>
      <c r="C183" s="21"/>
      <c r="D183" s="22"/>
      <c r="E183" s="33"/>
      <c r="F183" s="21"/>
      <c r="G183" s="21"/>
      <c r="H183" s="20"/>
      <c r="I183" s="21"/>
      <c r="J183" s="21"/>
      <c r="K183" s="22"/>
      <c r="L183" s="21"/>
      <c r="M183" s="20"/>
      <c r="N183" s="20"/>
      <c r="O183" s="21"/>
      <c r="P183" s="31"/>
    </row>
    <row r="184" spans="1:16" x14ac:dyDescent="0.2">
      <c r="A184" s="50"/>
      <c r="B184" s="21"/>
      <c r="C184" s="21"/>
      <c r="D184" s="58" t="s">
        <v>2596</v>
      </c>
      <c r="E184" s="33"/>
      <c r="F184" s="21"/>
      <c r="G184" s="21"/>
      <c r="H184" s="20"/>
      <c r="I184" s="21"/>
      <c r="J184" s="21"/>
      <c r="K184" s="22"/>
      <c r="L184" s="21"/>
      <c r="M184" s="20"/>
      <c r="N184" s="20"/>
      <c r="O184" s="21"/>
      <c r="P184" s="31"/>
    </row>
    <row r="185" spans="1:16" x14ac:dyDescent="0.2">
      <c r="A185" s="50"/>
      <c r="B185" s="21"/>
      <c r="C185" s="21"/>
      <c r="D185" s="58"/>
      <c r="E185" s="33"/>
      <c r="F185" s="19"/>
      <c r="G185" s="21"/>
      <c r="H185" s="20"/>
      <c r="I185" s="21"/>
      <c r="J185" s="21"/>
      <c r="K185" s="22"/>
      <c r="L185" s="21"/>
      <c r="M185" s="20"/>
      <c r="N185" s="20"/>
      <c r="O185" s="21"/>
      <c r="P185" s="31"/>
    </row>
    <row r="186" spans="1:16" x14ac:dyDescent="0.2">
      <c r="A186" s="50"/>
      <c r="B186" s="21"/>
      <c r="C186" s="21"/>
      <c r="D186" s="221" t="s">
        <v>1781</v>
      </c>
      <c r="E186" s="33"/>
      <c r="F186" s="19"/>
      <c r="G186" s="21"/>
      <c r="H186" s="20"/>
      <c r="I186" s="21"/>
      <c r="J186" s="21"/>
      <c r="K186" s="22"/>
      <c r="L186" s="21"/>
      <c r="M186" s="20"/>
      <c r="N186" s="20"/>
      <c r="O186" s="21"/>
      <c r="P186" s="31"/>
    </row>
    <row r="187" spans="1:16" x14ac:dyDescent="0.2">
      <c r="A187" s="50">
        <f>ROUND('Cash-Gen'!A44,-3)</f>
        <v>46105000</v>
      </c>
      <c r="B187" s="21">
        <f>'Cash-Gen'!B44</f>
        <v>49178400</v>
      </c>
      <c r="C187" s="21">
        <f>'Cash-Gen'!C44</f>
        <v>50716000</v>
      </c>
      <c r="D187" s="59" t="s">
        <v>393</v>
      </c>
      <c r="E187" s="33">
        <f>'Cash-Gen'!E44</f>
        <v>54741000</v>
      </c>
      <c r="F187" s="19">
        <f>IF(C187=E187,0,IF(C187=0,100,(E187-C187)/C187*100))</f>
        <v>7.9363514472750207</v>
      </c>
      <c r="G187" s="21">
        <f>'Cash-Gen'!F44</f>
        <v>51961500</v>
      </c>
      <c r="H187" s="20">
        <f>'Cash-Gen'!G44</f>
        <v>54184500</v>
      </c>
      <c r="I187" s="21">
        <f>'Cash-Gen'!H44</f>
        <v>56242300</v>
      </c>
      <c r="J187" s="21">
        <f>'Cash-Gen'!I44</f>
        <v>57796100</v>
      </c>
      <c r="K187" s="22">
        <f>'Cash-Gen'!J44</f>
        <v>59181300</v>
      </c>
      <c r="L187" s="21">
        <f>'Cash-Gen'!K44</f>
        <v>60628200</v>
      </c>
      <c r="M187" s="20">
        <f>'Cash-Gen'!L44</f>
        <v>62308400</v>
      </c>
      <c r="N187" s="20">
        <f>'Cash-Gen'!M44</f>
        <v>63821000</v>
      </c>
      <c r="O187" s="21">
        <f>'Cash-Gen'!N44</f>
        <v>65499100</v>
      </c>
      <c r="P187" s="31">
        <f>'Cash-Gen'!O44</f>
        <v>67219000</v>
      </c>
    </row>
    <row r="188" spans="1:16" ht="13.5" thickBot="1" x14ac:dyDescent="0.25">
      <c r="A188" s="50">
        <f>ROUND('Cash-Gen'!A45,-3)</f>
        <v>36361000</v>
      </c>
      <c r="B188" s="21">
        <f>'Cash-Gen'!B45</f>
        <v>35858700</v>
      </c>
      <c r="C188" s="21">
        <f>'Cash-Gen'!C45</f>
        <v>40283100</v>
      </c>
      <c r="D188" s="59" t="s">
        <v>1115</v>
      </c>
      <c r="E188" s="33">
        <f>'Cash-Gen'!E45</f>
        <v>41842200</v>
      </c>
      <c r="F188" s="19">
        <f>IF(C188=E188,0,IF(C188=0,100,(E188-C188)/C188*100))</f>
        <v>3.8703575444789502</v>
      </c>
      <c r="G188" s="21">
        <f>'Cash-Gen'!F45</f>
        <v>38993400</v>
      </c>
      <c r="H188" s="20">
        <f>'Cash-Gen'!G45</f>
        <v>40222800</v>
      </c>
      <c r="I188" s="21">
        <f>'Cash-Gen'!H45</f>
        <v>41385700</v>
      </c>
      <c r="J188" s="21">
        <f>'Cash-Gen'!I45</f>
        <v>42450700</v>
      </c>
      <c r="K188" s="22">
        <f>'Cash-Gen'!J45</f>
        <v>43420800</v>
      </c>
      <c r="L188" s="21">
        <f>'Cash-Gen'!K45</f>
        <v>44072800</v>
      </c>
      <c r="M188" s="20">
        <f>'Cash-Gen'!L45</f>
        <v>45042600</v>
      </c>
      <c r="N188" s="20">
        <f>'Cash-Gen'!M45</f>
        <v>46158200</v>
      </c>
      <c r="O188" s="21">
        <f>'Cash-Gen'!N45</f>
        <v>46892900</v>
      </c>
      <c r="P188" s="31">
        <f>'Cash-Gen'!O45</f>
        <v>47734600</v>
      </c>
    </row>
    <row r="189" spans="1:16" s="40" customFormat="1" x14ac:dyDescent="0.2">
      <c r="A189" s="222">
        <f>A187-A188</f>
        <v>9744000</v>
      </c>
      <c r="B189" s="80">
        <f>B187-B188</f>
        <v>13319700</v>
      </c>
      <c r="C189" s="80">
        <f>C187-C188</f>
        <v>10432900</v>
      </c>
      <c r="D189" s="223" t="s">
        <v>5475</v>
      </c>
      <c r="E189" s="106">
        <f t="shared" ref="E189:M189" si="167">E187-E188</f>
        <v>12898800</v>
      </c>
      <c r="F189" s="369">
        <f>IF(C189=E189,0,IF(C189=0,100,(E189-C189)/C189*100))</f>
        <v>23.635805959991949</v>
      </c>
      <c r="G189" s="80">
        <f t="shared" si="167"/>
        <v>12968100</v>
      </c>
      <c r="H189" s="81">
        <f t="shared" si="167"/>
        <v>13961700</v>
      </c>
      <c r="I189" s="80">
        <f t="shared" si="167"/>
        <v>14856600</v>
      </c>
      <c r="J189" s="80">
        <f t="shared" si="167"/>
        <v>15345400</v>
      </c>
      <c r="K189" s="224">
        <f t="shared" si="167"/>
        <v>15760500</v>
      </c>
      <c r="L189" s="80">
        <f t="shared" si="167"/>
        <v>16555400</v>
      </c>
      <c r="M189" s="81">
        <f t="shared" si="167"/>
        <v>17265800</v>
      </c>
      <c r="N189" s="81">
        <f t="shared" ref="N189" si="168">N187-N188</f>
        <v>17662800</v>
      </c>
      <c r="O189" s="80">
        <f t="shared" ref="O189" si="169">O187-O188</f>
        <v>18606200</v>
      </c>
      <c r="P189" s="225">
        <f t="shared" ref="P189" si="170">P187-P188</f>
        <v>19484400</v>
      </c>
    </row>
    <row r="190" spans="1:16" x14ac:dyDescent="0.2">
      <c r="A190" s="50"/>
      <c r="B190" s="21"/>
      <c r="C190" s="21"/>
      <c r="D190" s="59"/>
      <c r="E190" s="33"/>
      <c r="F190" s="19"/>
      <c r="G190" s="21"/>
      <c r="H190" s="20"/>
      <c r="I190" s="21"/>
      <c r="J190" s="21"/>
      <c r="K190" s="22"/>
      <c r="L190" s="21"/>
      <c r="M190" s="20"/>
      <c r="N190" s="20"/>
      <c r="O190" s="21"/>
      <c r="P190" s="31"/>
    </row>
    <row r="191" spans="1:16" x14ac:dyDescent="0.2">
      <c r="A191" s="50">
        <f>+'Cash-Gen'!A48</f>
        <v>15865700</v>
      </c>
      <c r="B191" s="21">
        <f>'Cash-Gen'!B48</f>
        <v>14144300</v>
      </c>
      <c r="C191" s="21">
        <f>'Cash-Gen'!C48</f>
        <v>14166800</v>
      </c>
      <c r="D191" s="59" t="s">
        <v>1769</v>
      </c>
      <c r="E191" s="33">
        <f>'Cash-Gen'!E48</f>
        <v>13056400</v>
      </c>
      <c r="F191" s="19">
        <f>IF(C191=E191,0,IF(C191=0,100,(E191-C191)/C191*100))</f>
        <v>-7.8380438772340968</v>
      </c>
      <c r="G191" s="21">
        <f>'Cash-Gen'!F48</f>
        <v>13383900</v>
      </c>
      <c r="H191" s="20">
        <f>'Cash-Gen'!G48</f>
        <v>13704300</v>
      </c>
      <c r="I191" s="21">
        <f>'Cash-Gen'!H48</f>
        <v>14071100</v>
      </c>
      <c r="J191" s="21">
        <f>'Cash-Gen'!I48</f>
        <v>14353700</v>
      </c>
      <c r="K191" s="22">
        <f>'Cash-Gen'!J48</f>
        <v>14642100</v>
      </c>
      <c r="L191" s="21">
        <f>'Cash-Gen'!K48</f>
        <v>14936400</v>
      </c>
      <c r="M191" s="20">
        <f>'Cash-Gen'!L48</f>
        <v>15236400</v>
      </c>
      <c r="N191" s="20">
        <f>'Cash-Gen'!M48</f>
        <v>15542500</v>
      </c>
      <c r="O191" s="21">
        <f>'Cash-Gen'!N48</f>
        <v>15854800</v>
      </c>
      <c r="P191" s="31">
        <f>'Cash-Gen'!O48</f>
        <v>16173200</v>
      </c>
    </row>
    <row r="192" spans="1:16" x14ac:dyDescent="0.2">
      <c r="A192" s="50">
        <f>+'Cash-Gen'!A49</f>
        <v>289900</v>
      </c>
      <c r="B192" s="21">
        <f>'Cash-Gen'!B49</f>
        <v>725700</v>
      </c>
      <c r="C192" s="21">
        <f>'Cash-Gen'!C49</f>
        <v>-319800</v>
      </c>
      <c r="D192" s="59" t="s">
        <v>5413</v>
      </c>
      <c r="E192" s="33">
        <f>'Cash-Gen'!E49</f>
        <v>0</v>
      </c>
      <c r="F192" s="19">
        <f>IF(C192=E192,0,IF(C192=0,100,(E192-C192)/C192*100))</f>
        <v>-100</v>
      </c>
      <c r="G192" s="21">
        <f>'Cash-Gen'!F49</f>
        <v>0</v>
      </c>
      <c r="H192" s="20">
        <f>'Cash-Gen'!G49</f>
        <v>0</v>
      </c>
      <c r="I192" s="21">
        <f>'Cash-Gen'!H49</f>
        <v>0</v>
      </c>
      <c r="J192" s="21">
        <f>'Cash-Gen'!I49</f>
        <v>0</v>
      </c>
      <c r="K192" s="22">
        <f>'Cash-Gen'!J49</f>
        <v>0</v>
      </c>
      <c r="L192" s="21">
        <f>'Cash-Gen'!K49</f>
        <v>0</v>
      </c>
      <c r="M192" s="20">
        <f>'Cash-Gen'!L49</f>
        <v>0</v>
      </c>
      <c r="N192" s="20">
        <f>'Cash-Gen'!M49</f>
        <v>0</v>
      </c>
      <c r="O192" s="21">
        <f>'Cash-Gen'!N49</f>
        <v>0</v>
      </c>
      <c r="P192" s="31">
        <f>'Cash-Gen'!O49</f>
        <v>0</v>
      </c>
    </row>
    <row r="193" spans="1:17" x14ac:dyDescent="0.2">
      <c r="A193" s="50">
        <f>+'Cash-Gen'!A50</f>
        <v>169300</v>
      </c>
      <c r="B193" s="21">
        <f>'Cash-Gen'!B50</f>
        <v>231300</v>
      </c>
      <c r="C193" s="21">
        <f>'Cash-Gen'!C50</f>
        <v>190800</v>
      </c>
      <c r="D193" s="59" t="s">
        <v>4239</v>
      </c>
      <c r="E193" s="33">
        <f>'Cash-Gen'!E50</f>
        <v>205900</v>
      </c>
      <c r="F193" s="19">
        <f>IF(C193=E193,0,IF(C193=0,100,(E193-C193)/C193*100))</f>
        <v>7.9140461215932918</v>
      </c>
      <c r="G193" s="21">
        <f>'Cash-Gen'!F50</f>
        <v>119100</v>
      </c>
      <c r="H193" s="20">
        <f>'Cash-Gen'!G50</f>
        <v>70200</v>
      </c>
      <c r="I193" s="21">
        <f>'Cash-Gen'!H50</f>
        <v>48000</v>
      </c>
      <c r="J193" s="21">
        <f>'Cash-Gen'!I50</f>
        <v>20600</v>
      </c>
      <c r="K193" s="22">
        <f>'Cash-Gen'!J50</f>
        <v>21400</v>
      </c>
      <c r="L193" s="21">
        <f>'Cash-Gen'!K50</f>
        <v>22100</v>
      </c>
      <c r="M193" s="20">
        <f>'Cash-Gen'!L50</f>
        <v>22900</v>
      </c>
      <c r="N193" s="20">
        <f>'Cash-Gen'!M50</f>
        <v>23800</v>
      </c>
      <c r="O193" s="21">
        <f>'Cash-Gen'!N50</f>
        <v>24700</v>
      </c>
      <c r="P193" s="31">
        <f>'Cash-Gen'!O50</f>
        <v>25600</v>
      </c>
    </row>
    <row r="194" spans="1:17" ht="13.5" thickBot="1" x14ac:dyDescent="0.25">
      <c r="A194" s="50">
        <f>'Cash-Gen'!A51</f>
        <v>3967400</v>
      </c>
      <c r="B194" s="21">
        <f>'Cash-Gen'!B51</f>
        <v>3347700</v>
      </c>
      <c r="C194" s="21">
        <f>'Cash-Gen'!C51</f>
        <v>0</v>
      </c>
      <c r="D194" s="59" t="s">
        <v>4547</v>
      </c>
      <c r="E194" s="33">
        <f>'Cash-Gen'!E51</f>
        <v>0</v>
      </c>
      <c r="F194" s="19">
        <f>IF(C194=E194,0,IF(C194=0,100,(E194-C194)/C194*100))</f>
        <v>0</v>
      </c>
      <c r="G194" s="21">
        <f>'Cash-Gen'!F51</f>
        <v>0</v>
      </c>
      <c r="H194" s="20">
        <f>'Cash-Gen'!G51</f>
        <v>0</v>
      </c>
      <c r="I194" s="21">
        <f>'Cash-Gen'!H51</f>
        <v>0</v>
      </c>
      <c r="J194" s="21">
        <f>'Cash-Gen'!I51</f>
        <v>0</v>
      </c>
      <c r="K194" s="22">
        <f>'Cash-Gen'!J51</f>
        <v>0</v>
      </c>
      <c r="L194" s="21">
        <f>'Cash-Gen'!K51</f>
        <v>0</v>
      </c>
      <c r="M194" s="20">
        <f>'Cash-Gen'!L51</f>
        <v>0</v>
      </c>
      <c r="N194" s="20">
        <f>'Cash-Gen'!M51</f>
        <v>0</v>
      </c>
      <c r="O194" s="21">
        <f>'Cash-Gen'!N51</f>
        <v>0</v>
      </c>
      <c r="P194" s="31">
        <f>'Cash-Gen'!O51</f>
        <v>0</v>
      </c>
    </row>
    <row r="195" spans="1:17" s="40" customFormat="1" x14ac:dyDescent="0.2">
      <c r="A195" s="222">
        <f>A189-SUM(A191:A194)</f>
        <v>-10548300</v>
      </c>
      <c r="B195" s="80">
        <f>B189-SUM(B191:B194)</f>
        <v>-5129300</v>
      </c>
      <c r="C195" s="80">
        <f>C189-SUM(C191:C194)</f>
        <v>-3604900</v>
      </c>
      <c r="D195" s="1073" t="s">
        <v>1600</v>
      </c>
      <c r="E195" s="106">
        <f t="shared" ref="E195:N195" si="171">E189-SUM(E191:E194)</f>
        <v>-363500</v>
      </c>
      <c r="F195" s="369">
        <f>IF(C195=E195,0,IF(C195=0,100,(E195-C195)/C195*100))</f>
        <v>-89.916502538211873</v>
      </c>
      <c r="G195" s="80">
        <f t="shared" si="171"/>
        <v>-534900</v>
      </c>
      <c r="H195" s="81">
        <f t="shared" si="171"/>
        <v>187200</v>
      </c>
      <c r="I195" s="80">
        <f t="shared" si="171"/>
        <v>737500</v>
      </c>
      <c r="J195" s="80">
        <f t="shared" si="171"/>
        <v>971100</v>
      </c>
      <c r="K195" s="224">
        <f t="shared" si="171"/>
        <v>1097000</v>
      </c>
      <c r="L195" s="80">
        <f t="shared" si="171"/>
        <v>1596900</v>
      </c>
      <c r="M195" s="81">
        <f t="shared" si="171"/>
        <v>2006500</v>
      </c>
      <c r="N195" s="81">
        <f t="shared" si="171"/>
        <v>2096500</v>
      </c>
      <c r="O195" s="80">
        <f t="shared" ref="O195" si="172">O189-SUM(O191:O194)</f>
        <v>2726700</v>
      </c>
      <c r="P195" s="225">
        <f t="shared" ref="P195" si="173">P189-SUM(P191:P194)</f>
        <v>3285600</v>
      </c>
    </row>
    <row r="196" spans="1:17" x14ac:dyDescent="0.2">
      <c r="A196" s="50"/>
      <c r="B196" s="21"/>
      <c r="C196" s="21"/>
      <c r="D196" s="59"/>
      <c r="E196" s="33"/>
      <c r="F196" s="19"/>
      <c r="G196" s="21"/>
      <c r="H196" s="20"/>
      <c r="I196" s="21"/>
      <c r="J196" s="21"/>
      <c r="K196" s="22"/>
      <c r="L196" s="21"/>
      <c r="M196" s="20"/>
      <c r="N196" s="20"/>
      <c r="O196" s="21"/>
      <c r="P196" s="31"/>
    </row>
    <row r="197" spans="1:17" x14ac:dyDescent="0.2">
      <c r="A197" s="50"/>
      <c r="B197" s="21"/>
      <c r="C197" s="21"/>
      <c r="D197" s="58" t="s">
        <v>1457</v>
      </c>
      <c r="E197" s="33"/>
      <c r="F197" s="19"/>
      <c r="G197" s="21"/>
      <c r="H197" s="20"/>
      <c r="I197" s="21"/>
      <c r="J197" s="21"/>
      <c r="K197" s="22"/>
      <c r="L197" s="21"/>
      <c r="M197" s="20"/>
      <c r="N197" s="20"/>
      <c r="O197" s="21"/>
      <c r="P197" s="31"/>
    </row>
    <row r="198" spans="1:17" x14ac:dyDescent="0.2">
      <c r="A198" s="50">
        <f>ROUND('Cash-Gen'!A56,-3)</f>
        <v>6861000</v>
      </c>
      <c r="B198" s="21">
        <f>'Cash-Gen'!B56</f>
        <v>4752500</v>
      </c>
      <c r="C198" s="21">
        <f>'Cash-Gen'!C56</f>
        <v>8258000</v>
      </c>
      <c r="D198" s="60" t="s">
        <v>2718</v>
      </c>
      <c r="E198" s="33">
        <f>'Cash-Gen'!E56</f>
        <v>7464700</v>
      </c>
      <c r="F198" s="138">
        <f>IF(C198=E198,0,IF(C198=0,100,(E198-C198)/C198*100))</f>
        <v>-9.6064422378299827</v>
      </c>
      <c r="G198" s="21">
        <f>'Cash-Gen'!F56</f>
        <v>9274500</v>
      </c>
      <c r="H198" s="20">
        <f>'Cash-Gen'!G56</f>
        <v>709100</v>
      </c>
      <c r="I198" s="21">
        <f>'Cash-Gen'!H56</f>
        <v>286300</v>
      </c>
      <c r="J198" s="21">
        <f>'Cash-Gen'!I56</f>
        <v>114700</v>
      </c>
      <c r="K198" s="22">
        <f>'Cash-Gen'!J56</f>
        <v>116700</v>
      </c>
      <c r="L198" s="21">
        <f>'Cash-Gen'!K56</f>
        <v>118700</v>
      </c>
      <c r="M198" s="20">
        <f>'Cash-Gen'!L56</f>
        <v>120700</v>
      </c>
      <c r="N198" s="20">
        <f>'Cash-Gen'!M56</f>
        <v>122700</v>
      </c>
      <c r="O198" s="21">
        <f>'Cash-Gen'!N56</f>
        <v>124700</v>
      </c>
      <c r="P198" s="31">
        <f>'Cash-Gen'!O56</f>
        <v>126900</v>
      </c>
      <c r="Q198" s="84"/>
    </row>
    <row r="199" spans="1:17" x14ac:dyDescent="0.2">
      <c r="A199" s="50">
        <f>ROUND(+'Cash-Gen'!A57,-3)</f>
        <v>2269000</v>
      </c>
      <c r="B199" s="21">
        <f>'Cash-Gen'!B57</f>
        <v>2924000</v>
      </c>
      <c r="C199" s="21">
        <f>+'Cash-Gen'!C57</f>
        <v>2226100</v>
      </c>
      <c r="D199" s="22" t="s">
        <v>912</v>
      </c>
      <c r="E199" s="33">
        <f>+'Cash-Gen'!E57</f>
        <v>3104000</v>
      </c>
      <c r="F199" s="138">
        <f>IF(C199=E199,0,IF(C199=0,100,(E199-C199)/C199*100))</f>
        <v>39.436682988185616</v>
      </c>
      <c r="G199" s="21">
        <f>+'Cash-Gen'!F57</f>
        <v>7169000</v>
      </c>
      <c r="H199" s="20">
        <f>+'Cash-Gen'!G57</f>
        <v>8347000</v>
      </c>
      <c r="I199" s="21">
        <f>+'Cash-Gen'!H57</f>
        <v>6554000</v>
      </c>
      <c r="J199" s="21">
        <f>+'Cash-Gen'!I57</f>
        <v>12717000</v>
      </c>
      <c r="K199" s="22">
        <f>+'Cash-Gen'!J57</f>
        <v>12971000</v>
      </c>
      <c r="L199" s="21">
        <f>+'Cash-Gen'!K57</f>
        <v>3230000</v>
      </c>
      <c r="M199" s="20">
        <f>+'Cash-Gen'!L57</f>
        <v>3293000</v>
      </c>
      <c r="N199" s="20">
        <f>+'Cash-Gen'!M57</f>
        <v>3359000</v>
      </c>
      <c r="O199" s="21">
        <f>+'Cash-Gen'!N57</f>
        <v>3426000</v>
      </c>
      <c r="P199" s="31">
        <f>+'Cash-Gen'!O57</f>
        <v>3494000</v>
      </c>
    </row>
    <row r="200" spans="1:17" x14ac:dyDescent="0.2">
      <c r="A200" s="50"/>
      <c r="B200" s="21"/>
      <c r="C200" s="21"/>
      <c r="D200" s="22"/>
      <c r="E200" s="33"/>
      <c r="F200" s="19"/>
      <c r="G200" s="21"/>
      <c r="H200" s="20"/>
      <c r="I200" s="21"/>
      <c r="J200" s="21"/>
      <c r="K200" s="22"/>
      <c r="L200" s="21"/>
      <c r="M200" s="20"/>
      <c r="N200" s="20"/>
      <c r="O200" s="21"/>
      <c r="P200" s="31"/>
    </row>
    <row r="201" spans="1:17" x14ac:dyDescent="0.2">
      <c r="A201" s="50"/>
      <c r="B201" s="21"/>
      <c r="C201" s="21"/>
      <c r="D201" s="58" t="s">
        <v>700</v>
      </c>
      <c r="E201" s="33"/>
      <c r="F201" s="19"/>
      <c r="G201" s="21"/>
      <c r="H201" s="20"/>
      <c r="I201" s="21"/>
      <c r="J201" s="21"/>
      <c r="K201" s="22"/>
      <c r="L201" s="21"/>
      <c r="M201" s="20"/>
      <c r="N201" s="20"/>
      <c r="O201" s="21"/>
      <c r="P201" s="31"/>
    </row>
    <row r="202" spans="1:17" x14ac:dyDescent="0.2">
      <c r="A202" s="50">
        <f>ROUND('Cash-Gen'!A75,-3)</f>
        <v>1200000</v>
      </c>
      <c r="B202" s="21">
        <f>'Cash-Gen'!B75</f>
        <v>725000</v>
      </c>
      <c r="C202" s="21">
        <f>'Cash-Gen'!C75</f>
        <v>500000</v>
      </c>
      <c r="D202" s="35" t="s">
        <v>2196</v>
      </c>
      <c r="E202" s="33">
        <f>'Cash-Gen'!E75</f>
        <v>7611700</v>
      </c>
      <c r="F202" s="138">
        <f>IF(C202=E202,0,IF(C202=0,100,(E202-C202)/C202*100))</f>
        <v>1422.34</v>
      </c>
      <c r="G202" s="21">
        <f>'Cash-Gen'!F75</f>
        <v>5927800</v>
      </c>
      <c r="H202" s="20">
        <f>'Cash-Gen'!G75</f>
        <v>2500000</v>
      </c>
      <c r="I202" s="21">
        <f>'Cash-Gen'!H75</f>
        <v>0</v>
      </c>
      <c r="J202" s="21">
        <f>'Cash-Gen'!I75</f>
        <v>8340000</v>
      </c>
      <c r="K202" s="22">
        <f>'Cash-Gen'!J75</f>
        <v>0</v>
      </c>
      <c r="L202" s="21">
        <f>'Cash-Gen'!K75</f>
        <v>0</v>
      </c>
      <c r="M202" s="20">
        <f>'Cash-Gen'!L75</f>
        <v>0</v>
      </c>
      <c r="N202" s="20">
        <f>'Cash-Gen'!M75</f>
        <v>0</v>
      </c>
      <c r="O202" s="21">
        <f>'Cash-Gen'!N75</f>
        <v>0</v>
      </c>
      <c r="P202" s="31">
        <f>'Cash-Gen'!O75</f>
        <v>0</v>
      </c>
    </row>
    <row r="203" spans="1:17" x14ac:dyDescent="0.2">
      <c r="A203" s="50">
        <f>ROUND('Cash-Gen'!A77,-3)</f>
        <v>1805000</v>
      </c>
      <c r="B203" s="21">
        <f>'Cash-Gen'!B77</f>
        <v>2809800</v>
      </c>
      <c r="C203" s="21">
        <f>'Cash-Gen'!C77</f>
        <v>2286400</v>
      </c>
      <c r="D203" s="35" t="str">
        <f>'Cash-Gen'!D77</f>
        <v>Proceeds from Disposal of Assets</v>
      </c>
      <c r="E203" s="33">
        <f>'Cash-Gen'!E77</f>
        <v>5432400</v>
      </c>
      <c r="F203" s="138">
        <f>IF(C203=E203,0,IF(C203=0,100,(E203-C203)/C203*100))</f>
        <v>137.5962211336599</v>
      </c>
      <c r="G203" s="21">
        <f>'Cash-Gen'!F77</f>
        <v>4516000</v>
      </c>
      <c r="H203" s="20">
        <f>'Cash-Gen'!G77</f>
        <v>4475000</v>
      </c>
      <c r="I203" s="21">
        <f>'Cash-Gen'!H77</f>
        <v>4475000</v>
      </c>
      <c r="J203" s="21">
        <f>'Cash-Gen'!I77</f>
        <v>5760000</v>
      </c>
      <c r="K203" s="22">
        <f>'Cash-Gen'!J77</f>
        <v>1360000</v>
      </c>
      <c r="L203" s="21">
        <f>'Cash-Gen'!K77</f>
        <v>960000</v>
      </c>
      <c r="M203" s="20">
        <f>'Cash-Gen'!L77</f>
        <v>960000</v>
      </c>
      <c r="N203" s="20">
        <f>'Cash-Gen'!M77</f>
        <v>960000</v>
      </c>
      <c r="O203" s="21">
        <f>'Cash-Gen'!N77</f>
        <v>960000</v>
      </c>
      <c r="P203" s="31">
        <f>'Cash-Gen'!O77</f>
        <v>960000</v>
      </c>
    </row>
    <row r="204" spans="1:17" x14ac:dyDescent="0.2">
      <c r="A204" s="50"/>
      <c r="B204" s="21"/>
      <c r="C204" s="21"/>
      <c r="D204" s="58"/>
      <c r="E204" s="33"/>
      <c r="F204" s="19"/>
      <c r="G204" s="21"/>
      <c r="H204" s="20"/>
      <c r="I204" s="21"/>
      <c r="J204" s="21"/>
      <c r="K204" s="22"/>
      <c r="L204" s="21"/>
      <c r="M204" s="20"/>
      <c r="N204" s="20"/>
      <c r="O204" s="21"/>
      <c r="P204" s="31"/>
    </row>
    <row r="205" spans="1:17" x14ac:dyDescent="0.2">
      <c r="A205" s="50"/>
      <c r="B205" s="21"/>
      <c r="C205" s="21"/>
      <c r="D205" s="58" t="s">
        <v>2905</v>
      </c>
      <c r="E205" s="33"/>
      <c r="F205" s="19"/>
      <c r="G205" s="21"/>
      <c r="H205" s="20"/>
      <c r="I205" s="21"/>
      <c r="J205" s="21"/>
      <c r="K205" s="22"/>
      <c r="L205" s="21"/>
      <c r="M205" s="20"/>
      <c r="N205" s="20"/>
      <c r="O205" s="21"/>
      <c r="P205" s="31"/>
    </row>
    <row r="206" spans="1:17" x14ac:dyDescent="0.2">
      <c r="A206" s="50">
        <f>ROUND('Cash-Gen'!A80,-3)</f>
        <v>-27878000</v>
      </c>
      <c r="B206" s="21">
        <f>'Cash-Gen'!B80</f>
        <v>-18233400</v>
      </c>
      <c r="C206" s="21">
        <f>'Cash-Gen'!C80</f>
        <v>-22896800</v>
      </c>
      <c r="D206" s="35" t="s">
        <v>1897</v>
      </c>
      <c r="E206" s="33">
        <f>'Cash-Gen'!E80</f>
        <v>-43077900</v>
      </c>
      <c r="F206" s="138">
        <f>IF(C206=E206,0,IF(C206=0,100,(E206-C206)/C206*100))</f>
        <v>88.139390657209731</v>
      </c>
      <c r="G206" s="21">
        <f>'Cash-Gen'!F80</f>
        <v>-34939500</v>
      </c>
      <c r="H206" s="20">
        <f>'Cash-Gen'!G80</f>
        <v>-33552100</v>
      </c>
      <c r="I206" s="21">
        <f>'Cash-Gen'!H80</f>
        <v>-17407300</v>
      </c>
      <c r="J206" s="21">
        <f>'Cash-Gen'!I80</f>
        <v>-42417300</v>
      </c>
      <c r="K206" s="30">
        <f>'Cash-Gen'!J80</f>
        <v>-26118900</v>
      </c>
      <c r="L206" s="21">
        <f>'Cash-Gen'!K80</f>
        <v>-14017900</v>
      </c>
      <c r="M206" s="20">
        <f>'Cash-Gen'!L80</f>
        <v>-17438500</v>
      </c>
      <c r="N206" s="20">
        <f>'Cash-Gen'!M80</f>
        <v>-15458700</v>
      </c>
      <c r="O206" s="21">
        <f>'Cash-Gen'!N80</f>
        <v>-17518500</v>
      </c>
      <c r="P206" s="31">
        <f>'Cash-Gen'!O80</f>
        <v>-19735900</v>
      </c>
    </row>
    <row r="207" spans="1:17" x14ac:dyDescent="0.2">
      <c r="A207" s="50">
        <f>ROUND('Cash-Gen'!A81,-3)</f>
        <v>-3216000</v>
      </c>
      <c r="B207" s="21">
        <f>'Cash-Gen'!B81</f>
        <v>-3395400</v>
      </c>
      <c r="C207" s="21">
        <f>'Cash-Gen'!C81</f>
        <v>-3788900</v>
      </c>
      <c r="D207" s="60" t="s">
        <v>1425</v>
      </c>
      <c r="E207" s="33">
        <f>'Cash-Gen'!E81</f>
        <v>-3696200</v>
      </c>
      <c r="F207" s="138">
        <f>IF(C207=E207,0,IF(C207=0,100,(E207-C207)/C207*100))</f>
        <v>-2.4466203911425479</v>
      </c>
      <c r="G207" s="21">
        <f>'Cash-Gen'!F81</f>
        <v>-3312800</v>
      </c>
      <c r="H207" s="20">
        <f>'Cash-Gen'!G81</f>
        <v>-3247800</v>
      </c>
      <c r="I207" s="21">
        <f>'Cash-Gen'!H81</f>
        <v>-3318900</v>
      </c>
      <c r="J207" s="21">
        <f>'Cash-Gen'!I81</f>
        <v>-3043100</v>
      </c>
      <c r="K207" s="22">
        <f>'Cash-Gen'!J81</f>
        <v>-3542900</v>
      </c>
      <c r="L207" s="21">
        <f>'Cash-Gen'!K81</f>
        <v>-3084900</v>
      </c>
      <c r="M207" s="20">
        <f>'Cash-Gen'!L81</f>
        <v>-2350200</v>
      </c>
      <c r="N207" s="20">
        <f>'Cash-Gen'!M81</f>
        <v>-2080100</v>
      </c>
      <c r="O207" s="21">
        <f>'Cash-Gen'!N81</f>
        <v>-1452600</v>
      </c>
      <c r="P207" s="31">
        <f>'Cash-Gen'!O81</f>
        <v>-1449900</v>
      </c>
    </row>
    <row r="208" spans="1:17" x14ac:dyDescent="0.2">
      <c r="A208" s="50"/>
      <c r="B208" s="21"/>
      <c r="C208" s="21"/>
      <c r="D208" s="22"/>
      <c r="E208" s="33"/>
      <c r="F208" s="19"/>
      <c r="G208" s="21"/>
      <c r="H208" s="20"/>
      <c r="I208" s="21"/>
      <c r="J208" s="21"/>
      <c r="K208" s="22"/>
      <c r="L208" s="21"/>
      <c r="M208" s="20"/>
      <c r="N208" s="20"/>
      <c r="O208" s="21"/>
      <c r="P208" s="31"/>
    </row>
    <row r="209" spans="1:16" x14ac:dyDescent="0.2">
      <c r="A209" s="50"/>
      <c r="B209" s="21"/>
      <c r="C209" s="21"/>
      <c r="D209" s="58" t="s">
        <v>4719</v>
      </c>
      <c r="E209" s="33"/>
      <c r="F209" s="19"/>
      <c r="G209" s="21"/>
      <c r="H209" s="20"/>
      <c r="I209" s="21"/>
      <c r="J209" s="21"/>
      <c r="K209" s="22"/>
      <c r="L209" s="21"/>
      <c r="M209" s="20"/>
      <c r="N209" s="20"/>
      <c r="O209" s="21"/>
      <c r="P209" s="31"/>
    </row>
    <row r="210" spans="1:16" x14ac:dyDescent="0.2">
      <c r="A210" s="50">
        <f>+'Cash-Gen'!A76</f>
        <v>-1957800</v>
      </c>
      <c r="B210" s="21">
        <f>+'Cash-Gen'!B76</f>
        <v>-507100</v>
      </c>
      <c r="C210" s="21">
        <f>+'Cash-Gen'!C76</f>
        <v>2036000</v>
      </c>
      <c r="D210" s="59" t="s">
        <v>4765</v>
      </c>
      <c r="E210" s="33">
        <f>+'Cash-Gen'!E76</f>
        <v>200000</v>
      </c>
      <c r="F210" s="138">
        <f>IF(C210=E210,0,IF(C210=0,100,(E210-C210)/C210*100))</f>
        <v>-90.176817288801573</v>
      </c>
      <c r="G210" s="21">
        <f>+'Cash-Gen'!F76</f>
        <v>200000</v>
      </c>
      <c r="H210" s="20">
        <f>+'Cash-Gen'!G76</f>
        <v>200000</v>
      </c>
      <c r="I210" s="21">
        <f>+'Cash-Gen'!H76</f>
        <v>200000</v>
      </c>
      <c r="J210" s="21">
        <f>+'Cash-Gen'!I76</f>
        <v>200000</v>
      </c>
      <c r="K210" s="22">
        <f>+'Cash-Gen'!J76</f>
        <v>200000</v>
      </c>
      <c r="L210" s="21">
        <f>+'Cash-Gen'!K76</f>
        <v>200000</v>
      </c>
      <c r="M210" s="20">
        <f>+'Cash-Gen'!L76</f>
        <v>200000</v>
      </c>
      <c r="N210" s="20">
        <f>+'Cash-Gen'!M76</f>
        <v>200000</v>
      </c>
      <c r="O210" s="21">
        <f>+'Cash-Gen'!N76</f>
        <v>200000</v>
      </c>
      <c r="P210" s="31">
        <f>+'Cash-Gen'!O76</f>
        <v>200000</v>
      </c>
    </row>
    <row r="211" spans="1:16" x14ac:dyDescent="0.2">
      <c r="A211" s="50"/>
      <c r="B211" s="21"/>
      <c r="C211" s="21"/>
      <c r="D211" s="22"/>
      <c r="E211" s="33"/>
      <c r="F211" s="19"/>
      <c r="G211" s="21"/>
      <c r="H211" s="20"/>
      <c r="I211" s="21"/>
      <c r="J211" s="21"/>
      <c r="K211" s="22"/>
      <c r="L211" s="21"/>
      <c r="M211" s="20"/>
      <c r="N211" s="20"/>
      <c r="O211" s="21"/>
      <c r="P211" s="31"/>
    </row>
    <row r="212" spans="1:16" x14ac:dyDescent="0.2">
      <c r="A212" s="50"/>
      <c r="B212" s="21"/>
      <c r="C212" s="21"/>
      <c r="D212" s="58" t="s">
        <v>1601</v>
      </c>
      <c r="E212" s="33"/>
      <c r="F212" s="19"/>
      <c r="G212" s="21"/>
      <c r="H212" s="20"/>
      <c r="I212" s="21"/>
      <c r="J212" s="21"/>
      <c r="K212" s="22"/>
      <c r="L212" s="21"/>
      <c r="M212" s="20"/>
      <c r="N212" s="20"/>
      <c r="O212" s="21"/>
      <c r="P212" s="31"/>
    </row>
    <row r="213" spans="1:16" x14ac:dyDescent="0.2">
      <c r="A213" s="50">
        <f>A191</f>
        <v>15865700</v>
      </c>
      <c r="B213" s="21">
        <f>B191</f>
        <v>14144300</v>
      </c>
      <c r="C213" s="21">
        <f>C191</f>
        <v>14166800</v>
      </c>
      <c r="D213" s="52" t="s">
        <v>2070</v>
      </c>
      <c r="E213" s="33">
        <f t="shared" ref="E213:N213" si="174">E191</f>
        <v>13056400</v>
      </c>
      <c r="F213" s="138">
        <f t="shared" ref="F213:F218" si="175">IF(C213=E213,0,IF(C213=0,100,(E213-C213)/C213*100))</f>
        <v>-7.8380438772340968</v>
      </c>
      <c r="G213" s="21">
        <f t="shared" si="174"/>
        <v>13383900</v>
      </c>
      <c r="H213" s="20">
        <f t="shared" si="174"/>
        <v>13704300</v>
      </c>
      <c r="I213" s="21">
        <f t="shared" si="174"/>
        <v>14071100</v>
      </c>
      <c r="J213" s="21">
        <f t="shared" si="174"/>
        <v>14353700</v>
      </c>
      <c r="K213" s="22">
        <f t="shared" si="174"/>
        <v>14642100</v>
      </c>
      <c r="L213" s="21">
        <f t="shared" si="174"/>
        <v>14936400</v>
      </c>
      <c r="M213" s="20">
        <f t="shared" si="174"/>
        <v>15236400</v>
      </c>
      <c r="N213" s="20">
        <f t="shared" si="174"/>
        <v>15542500</v>
      </c>
      <c r="O213" s="21">
        <f t="shared" ref="O213" si="176">O191</f>
        <v>15854800</v>
      </c>
      <c r="P213" s="31">
        <f t="shared" ref="P213" si="177">P191</f>
        <v>16173200</v>
      </c>
    </row>
    <row r="214" spans="1:16" x14ac:dyDescent="0.2">
      <c r="A214" s="50">
        <f>'Cash-Gen'!A66</f>
        <v>333000</v>
      </c>
      <c r="B214" s="21">
        <f>'Cash-Gen'!B66</f>
        <v>-30000</v>
      </c>
      <c r="C214" s="21">
        <f>'Cash-Gen'!C66</f>
        <v>-163000</v>
      </c>
      <c r="D214" s="111" t="s">
        <v>5479</v>
      </c>
      <c r="E214" s="33">
        <f>'Cash-Gen'!E66</f>
        <v>0</v>
      </c>
      <c r="F214" s="138">
        <f t="shared" si="175"/>
        <v>-100</v>
      </c>
      <c r="G214" s="21">
        <f>'Cash-Gen'!F66</f>
        <v>0</v>
      </c>
      <c r="H214" s="21">
        <f>'Cash-Gen'!G66</f>
        <v>0</v>
      </c>
      <c r="I214" s="21">
        <f>'Cash-Gen'!H66</f>
        <v>0</v>
      </c>
      <c r="J214" s="21">
        <f>'Cash-Gen'!I66</f>
        <v>0</v>
      </c>
      <c r="K214" s="21">
        <f>'Cash-Gen'!J66</f>
        <v>0</v>
      </c>
      <c r="L214" s="21">
        <f>'Cash-Gen'!K66</f>
        <v>0</v>
      </c>
      <c r="M214" s="21">
        <f>'Cash-Gen'!L66</f>
        <v>0</v>
      </c>
      <c r="N214" s="20">
        <f>'Cash-Gen'!M66</f>
        <v>0</v>
      </c>
      <c r="O214" s="21">
        <f>'Cash-Gen'!N66</f>
        <v>0</v>
      </c>
      <c r="P214" s="31">
        <f>'Cash-Gen'!O66</f>
        <v>0</v>
      </c>
    </row>
    <row r="215" spans="1:16" x14ac:dyDescent="0.2">
      <c r="A215" s="50">
        <f>'Cash-Gen'!A67</f>
        <v>0</v>
      </c>
      <c r="B215" s="21">
        <f>'Cash-Gen'!B67</f>
        <v>-460100</v>
      </c>
      <c r="C215" s="21">
        <f>'Cash-Gen'!C67</f>
        <v>0</v>
      </c>
      <c r="D215" s="111" t="s">
        <v>5439</v>
      </c>
      <c r="E215" s="33">
        <f>'Cash-Gen'!E67</f>
        <v>0</v>
      </c>
      <c r="F215" s="138">
        <f t="shared" si="175"/>
        <v>0</v>
      </c>
      <c r="G215" s="21">
        <f>'Cash-Gen'!F67</f>
        <v>0</v>
      </c>
      <c r="H215" s="21">
        <f>'Cash-Gen'!G67</f>
        <v>0</v>
      </c>
      <c r="I215" s="21">
        <f>'Cash-Gen'!H67</f>
        <v>0</v>
      </c>
      <c r="J215" s="21">
        <f>'Cash-Gen'!I67</f>
        <v>0</v>
      </c>
      <c r="K215" s="21">
        <f>'Cash-Gen'!J67</f>
        <v>0</v>
      </c>
      <c r="L215" s="21">
        <f>'Cash-Gen'!K67</f>
        <v>0</v>
      </c>
      <c r="M215" s="21">
        <f>'Cash-Gen'!L67</f>
        <v>0</v>
      </c>
      <c r="N215" s="20">
        <f>'Cash-Gen'!M67</f>
        <v>0</v>
      </c>
      <c r="O215" s="21">
        <f>'Cash-Gen'!N67</f>
        <v>0</v>
      </c>
      <c r="P215" s="31">
        <f>'Cash-Gen'!O67</f>
        <v>0</v>
      </c>
    </row>
    <row r="216" spans="1:16" x14ac:dyDescent="0.2">
      <c r="A216" s="50">
        <f t="shared" ref="A216:B218" si="178">A192</f>
        <v>289900</v>
      </c>
      <c r="B216" s="21">
        <f t="shared" si="178"/>
        <v>725700</v>
      </c>
      <c r="C216" s="21">
        <f>C192</f>
        <v>-319800</v>
      </c>
      <c r="D216" s="59" t="s">
        <v>5412</v>
      </c>
      <c r="E216" s="33">
        <f t="shared" ref="E216:N216" si="179">E192</f>
        <v>0</v>
      </c>
      <c r="F216" s="138">
        <f t="shared" si="175"/>
        <v>-100</v>
      </c>
      <c r="G216" s="21">
        <f t="shared" si="179"/>
        <v>0</v>
      </c>
      <c r="H216" s="20">
        <f t="shared" si="179"/>
        <v>0</v>
      </c>
      <c r="I216" s="21">
        <f t="shared" si="179"/>
        <v>0</v>
      </c>
      <c r="J216" s="21">
        <f t="shared" si="179"/>
        <v>0</v>
      </c>
      <c r="K216" s="22">
        <f t="shared" si="179"/>
        <v>0</v>
      </c>
      <c r="L216" s="21">
        <f t="shared" si="179"/>
        <v>0</v>
      </c>
      <c r="M216" s="20">
        <f t="shared" si="179"/>
        <v>0</v>
      </c>
      <c r="N216" s="20">
        <f t="shared" si="179"/>
        <v>0</v>
      </c>
      <c r="O216" s="21">
        <f t="shared" ref="O216" si="180">O192</f>
        <v>0</v>
      </c>
      <c r="P216" s="31">
        <f t="shared" ref="P216" si="181">P192</f>
        <v>0</v>
      </c>
    </row>
    <row r="217" spans="1:16" x14ac:dyDescent="0.2">
      <c r="A217" s="50">
        <f t="shared" si="178"/>
        <v>169300</v>
      </c>
      <c r="B217" s="21">
        <f t="shared" si="178"/>
        <v>231300</v>
      </c>
      <c r="C217" s="21">
        <f>C193</f>
        <v>190800</v>
      </c>
      <c r="D217" s="59" t="s">
        <v>1250</v>
      </c>
      <c r="E217" s="33">
        <f t="shared" ref="E217:N217" si="182">E193</f>
        <v>205900</v>
      </c>
      <c r="F217" s="138">
        <f t="shared" si="175"/>
        <v>7.9140461215932918</v>
      </c>
      <c r="G217" s="21">
        <f t="shared" si="182"/>
        <v>119100</v>
      </c>
      <c r="H217" s="20">
        <f t="shared" si="182"/>
        <v>70200</v>
      </c>
      <c r="I217" s="21">
        <f t="shared" si="182"/>
        <v>48000</v>
      </c>
      <c r="J217" s="21">
        <f t="shared" si="182"/>
        <v>20600</v>
      </c>
      <c r="K217" s="22">
        <f t="shared" si="182"/>
        <v>21400</v>
      </c>
      <c r="L217" s="21">
        <f t="shared" si="182"/>
        <v>22100</v>
      </c>
      <c r="M217" s="20">
        <f t="shared" si="182"/>
        <v>22900</v>
      </c>
      <c r="N217" s="20">
        <f t="shared" si="182"/>
        <v>23800</v>
      </c>
      <c r="O217" s="21">
        <f t="shared" ref="O217" si="183">O193</f>
        <v>24700</v>
      </c>
      <c r="P217" s="31">
        <f t="shared" ref="P217" si="184">P193</f>
        <v>25600</v>
      </c>
    </row>
    <row r="218" spans="1:16" x14ac:dyDescent="0.2">
      <c r="A218" s="50">
        <f t="shared" si="178"/>
        <v>3967400</v>
      </c>
      <c r="B218" s="21">
        <f t="shared" si="178"/>
        <v>3347700</v>
      </c>
      <c r="C218" s="21">
        <f>C194</f>
        <v>0</v>
      </c>
      <c r="D218" s="59" t="s">
        <v>4542</v>
      </c>
      <c r="E218" s="33">
        <f t="shared" ref="E218:N218" si="185">E194</f>
        <v>0</v>
      </c>
      <c r="F218" s="138">
        <f t="shared" si="175"/>
        <v>0</v>
      </c>
      <c r="G218" s="21">
        <f t="shared" si="185"/>
        <v>0</v>
      </c>
      <c r="H218" s="20">
        <f t="shared" si="185"/>
        <v>0</v>
      </c>
      <c r="I218" s="21">
        <f t="shared" si="185"/>
        <v>0</v>
      </c>
      <c r="J218" s="21">
        <f t="shared" si="185"/>
        <v>0</v>
      </c>
      <c r="K218" s="22">
        <f t="shared" si="185"/>
        <v>0</v>
      </c>
      <c r="L218" s="21">
        <f t="shared" si="185"/>
        <v>0</v>
      </c>
      <c r="M218" s="20">
        <f t="shared" si="185"/>
        <v>0</v>
      </c>
      <c r="N218" s="20">
        <f t="shared" si="185"/>
        <v>0</v>
      </c>
      <c r="O218" s="21">
        <f t="shared" ref="O218" si="186">O194</f>
        <v>0</v>
      </c>
      <c r="P218" s="31">
        <f t="shared" ref="P218" si="187">P194</f>
        <v>0</v>
      </c>
    </row>
    <row r="219" spans="1:16" ht="13.5" thickBot="1" x14ac:dyDescent="0.25">
      <c r="A219" s="50"/>
      <c r="B219" s="21"/>
      <c r="C219" s="21"/>
      <c r="D219" s="230"/>
      <c r="E219" s="33"/>
      <c r="F219" s="19"/>
      <c r="G219" s="21"/>
      <c r="H219" s="20"/>
      <c r="I219" s="21"/>
      <c r="J219" s="21"/>
      <c r="K219" s="22"/>
      <c r="L219" s="21"/>
      <c r="M219" s="20"/>
      <c r="N219" s="20"/>
      <c r="O219" s="21"/>
      <c r="P219" s="31"/>
    </row>
    <row r="220" spans="1:16" s="40" customFormat="1" ht="13.5" thickBot="1" x14ac:dyDescent="0.25">
      <c r="A220" s="259">
        <f>SUM(A195:A219)</f>
        <v>-10839800</v>
      </c>
      <c r="B220" s="260">
        <f>SUM(B195:B219)</f>
        <v>1905000</v>
      </c>
      <c r="C220" s="260">
        <f>SUM(C195:C219)</f>
        <v>-1109300</v>
      </c>
      <c r="D220" s="1282" t="s">
        <v>1077</v>
      </c>
      <c r="E220" s="106">
        <f t="shared" ref="E220:N220" si="188">SUM(E195:E219)</f>
        <v>-10062500</v>
      </c>
      <c r="F220" s="261">
        <f>IF(C220=E220,0,IF(C220=0,100,(E220-C220)/C220*100))</f>
        <v>807.10357883349866</v>
      </c>
      <c r="G220" s="80">
        <f t="shared" si="188"/>
        <v>1803100</v>
      </c>
      <c r="H220" s="81">
        <f t="shared" si="188"/>
        <v>-6607100</v>
      </c>
      <c r="I220" s="80">
        <f t="shared" si="188"/>
        <v>5645700</v>
      </c>
      <c r="J220" s="80">
        <f t="shared" si="188"/>
        <v>-2983300</v>
      </c>
      <c r="K220" s="224">
        <f t="shared" si="188"/>
        <v>746400</v>
      </c>
      <c r="L220" s="80">
        <f t="shared" si="188"/>
        <v>3961300</v>
      </c>
      <c r="M220" s="81">
        <f t="shared" si="188"/>
        <v>2050800</v>
      </c>
      <c r="N220" s="81">
        <f t="shared" si="188"/>
        <v>4765700</v>
      </c>
      <c r="O220" s="80">
        <f t="shared" ref="O220" si="189">SUM(O195:O219)</f>
        <v>4345800</v>
      </c>
      <c r="P220" s="225">
        <f t="shared" ref="P220" si="190">SUM(P195:P219)</f>
        <v>3079500</v>
      </c>
    </row>
    <row r="221" spans="1:16" s="25" customFormat="1" ht="13.5" thickTop="1" x14ac:dyDescent="0.2">
      <c r="A221" s="262"/>
      <c r="B221" s="264"/>
      <c r="C221" s="264"/>
      <c r="D221" s="577"/>
      <c r="E221" s="1351"/>
      <c r="F221" s="265"/>
      <c r="G221" s="264"/>
      <c r="H221" s="266"/>
      <c r="I221" s="264"/>
      <c r="J221" s="264"/>
      <c r="K221" s="263"/>
      <c r="L221" s="264"/>
      <c r="M221" s="266"/>
      <c r="N221" s="266"/>
      <c r="O221" s="264"/>
      <c r="P221" s="267"/>
    </row>
    <row r="222" spans="1:16" x14ac:dyDescent="0.2">
      <c r="A222" s="50"/>
      <c r="B222" s="21"/>
      <c r="C222" s="21"/>
      <c r="D222" s="551" t="s">
        <v>737</v>
      </c>
      <c r="E222" s="33"/>
      <c r="F222" s="19"/>
      <c r="G222" s="21"/>
      <c r="H222" s="20"/>
      <c r="I222" s="21"/>
      <c r="J222" s="21"/>
      <c r="K222" s="22"/>
      <c r="L222" s="21"/>
      <c r="M222" s="20"/>
      <c r="N222" s="20"/>
      <c r="O222" s="21"/>
      <c r="P222" s="31"/>
    </row>
    <row r="223" spans="1:16" s="25" customFormat="1" x14ac:dyDescent="0.2">
      <c r="A223" s="211">
        <f>ROUND('Cash-Gen'!A86,-3)</f>
        <v>-11293000</v>
      </c>
      <c r="B223" s="24">
        <f>'Cash-Gen'!B86</f>
        <v>2180200</v>
      </c>
      <c r="C223" s="24">
        <f>'Cash-Gen'!C86</f>
        <v>521200</v>
      </c>
      <c r="D223" s="59" t="s">
        <v>1481</v>
      </c>
      <c r="E223" s="132">
        <f>'Cash-Gen'!E86</f>
        <v>-9943800</v>
      </c>
      <c r="F223" s="19"/>
      <c r="G223" s="24">
        <f>'Cash-Gen'!F86</f>
        <v>-3363500</v>
      </c>
      <c r="H223" s="26">
        <f>'Cash-Gen'!G86</f>
        <v>2162200</v>
      </c>
      <c r="I223" s="24">
        <f>'Cash-Gen'!H86</f>
        <v>-330100</v>
      </c>
      <c r="J223" s="24">
        <f>'Cash-Gen'!I86</f>
        <v>-43400</v>
      </c>
      <c r="K223" s="35">
        <f>'Cash-Gen'!J86</f>
        <v>1265100</v>
      </c>
      <c r="L223" s="24">
        <f>'Cash-Gen'!K86</f>
        <v>971700</v>
      </c>
      <c r="M223" s="26">
        <f>'Cash-Gen'!L86</f>
        <v>401600</v>
      </c>
      <c r="N223" s="26">
        <f>'Cash-Gen'!M86</f>
        <v>1251900</v>
      </c>
      <c r="O223" s="24">
        <f>'Cash-Gen'!N86</f>
        <v>654600</v>
      </c>
      <c r="P223" s="36">
        <f>'Cash-Gen'!O86</f>
        <v>786600</v>
      </c>
    </row>
    <row r="224" spans="1:16" s="25" customFormat="1" x14ac:dyDescent="0.2">
      <c r="A224" s="71">
        <f>ROUND('Cash-Gen'!A87,-3)</f>
        <v>453000</v>
      </c>
      <c r="B224" s="132">
        <f>'Cash-Gen'!B87</f>
        <v>-275200</v>
      </c>
      <c r="C224" s="24">
        <f>'Cash-Gen'!C87</f>
        <v>-1630500</v>
      </c>
      <c r="D224" s="59" t="s">
        <v>1304</v>
      </c>
      <c r="E224" s="132">
        <f>'Cash-Gen'!E87</f>
        <v>-186600</v>
      </c>
      <c r="F224" s="19"/>
      <c r="G224" s="24">
        <f>'Cash-Gen'!F87</f>
        <v>5311800</v>
      </c>
      <c r="H224" s="26">
        <f>'Cash-Gen'!G87</f>
        <v>-8404100</v>
      </c>
      <c r="I224" s="24">
        <f>'Cash-Gen'!H87</f>
        <v>6402100</v>
      </c>
      <c r="J224" s="24">
        <f>'Cash-Gen'!I87</f>
        <v>-2449000</v>
      </c>
      <c r="K224" s="35">
        <f>'Cash-Gen'!J87</f>
        <v>-154700</v>
      </c>
      <c r="L224" s="24">
        <f>'Cash-Gen'!K87</f>
        <v>3283400</v>
      </c>
      <c r="M224" s="26">
        <f>'Cash-Gen'!L87</f>
        <v>1751400</v>
      </c>
      <c r="N224" s="26">
        <f>'Cash-Gen'!M87</f>
        <v>3583000</v>
      </c>
      <c r="O224" s="24">
        <f>'Cash-Gen'!N87</f>
        <v>3763200</v>
      </c>
      <c r="P224" s="36">
        <f>'Cash-Gen'!O87</f>
        <v>2216200</v>
      </c>
    </row>
    <row r="225" spans="1:16" s="133" customFormat="1" x14ac:dyDescent="0.2">
      <c r="A225" s="71">
        <f>A220-A223-A224</f>
        <v>200</v>
      </c>
      <c r="B225" s="132">
        <f>B220-B223-B224</f>
        <v>0</v>
      </c>
      <c r="C225" s="132">
        <f>C220-C223-C224</f>
        <v>0</v>
      </c>
      <c r="D225" s="59" t="str">
        <f>'Cash-Gen'!D88</f>
        <v>Working Capital - Increase / (Decrease)</v>
      </c>
      <c r="E225" s="132">
        <f t="shared" ref="E225:M225" si="191">E220-E223-E224</f>
        <v>67900</v>
      </c>
      <c r="F225" s="138"/>
      <c r="G225" s="132">
        <f t="shared" si="191"/>
        <v>-145200</v>
      </c>
      <c r="H225" s="130">
        <f t="shared" si="191"/>
        <v>-365200</v>
      </c>
      <c r="I225" s="132">
        <f t="shared" si="191"/>
        <v>-426300</v>
      </c>
      <c r="J225" s="132">
        <f t="shared" si="191"/>
        <v>-490900</v>
      </c>
      <c r="K225" s="78">
        <f t="shared" si="191"/>
        <v>-364000</v>
      </c>
      <c r="L225" s="132">
        <f t="shared" si="191"/>
        <v>-293800</v>
      </c>
      <c r="M225" s="130">
        <f t="shared" si="191"/>
        <v>-102200</v>
      </c>
      <c r="N225" s="130">
        <f t="shared" ref="N225" si="192">N220-N223-N224</f>
        <v>-69200</v>
      </c>
      <c r="O225" s="132">
        <f t="shared" ref="O225" si="193">O220-O223-O224</f>
        <v>-72000</v>
      </c>
      <c r="P225" s="131">
        <f t="shared" ref="P225" si="194">P220-P223-P224</f>
        <v>76700</v>
      </c>
    </row>
    <row r="226" spans="1:16" s="44" customFormat="1" x14ac:dyDescent="0.2">
      <c r="A226" s="771">
        <f>SUM(A222:A225)</f>
        <v>-10839800</v>
      </c>
      <c r="B226" s="62">
        <f>SUM(B222:B225)</f>
        <v>1905000</v>
      </c>
      <c r="C226" s="62">
        <f>SUM(C222:C225)</f>
        <v>-1109300</v>
      </c>
      <c r="D226" s="551" t="s">
        <v>137</v>
      </c>
      <c r="E226" s="64">
        <f t="shared" ref="E226:M226" si="195">SUM(E222:E225)</f>
        <v>-10062500</v>
      </c>
      <c r="F226" s="32"/>
      <c r="G226" s="62">
        <f t="shared" si="195"/>
        <v>1803100</v>
      </c>
      <c r="H226" s="65">
        <f t="shared" si="195"/>
        <v>-6607100</v>
      </c>
      <c r="I226" s="62">
        <f t="shared" si="195"/>
        <v>5645700</v>
      </c>
      <c r="J226" s="62">
        <f t="shared" si="195"/>
        <v>-2983300</v>
      </c>
      <c r="K226" s="62">
        <f t="shared" si="195"/>
        <v>746400</v>
      </c>
      <c r="L226" s="62">
        <f t="shared" si="195"/>
        <v>3961300</v>
      </c>
      <c r="M226" s="62">
        <f t="shared" si="195"/>
        <v>2050800</v>
      </c>
      <c r="N226" s="65">
        <f t="shared" ref="N226" si="196">SUM(N222:N225)</f>
        <v>4765700</v>
      </c>
      <c r="O226" s="62">
        <f t="shared" ref="O226" si="197">SUM(O222:O225)</f>
        <v>4345800</v>
      </c>
      <c r="P226" s="69">
        <f t="shared" ref="P226" si="198">SUM(P222:P225)</f>
        <v>3079500</v>
      </c>
    </row>
    <row r="227" spans="1:16" s="25" customFormat="1" x14ac:dyDescent="0.2">
      <c r="A227" s="71"/>
      <c r="B227" s="132"/>
      <c r="C227" s="24"/>
      <c r="D227" s="59"/>
      <c r="E227" s="132"/>
      <c r="F227" s="19"/>
      <c r="G227" s="24"/>
      <c r="H227" s="26"/>
      <c r="I227" s="24"/>
      <c r="J227" s="24"/>
      <c r="K227" s="35"/>
      <c r="L227" s="24"/>
      <c r="M227" s="26"/>
      <c r="N227" s="26"/>
      <c r="O227" s="24"/>
      <c r="P227" s="36"/>
    </row>
    <row r="228" spans="1:16" s="25" customFormat="1" x14ac:dyDescent="0.2">
      <c r="A228" s="71"/>
      <c r="B228" s="132"/>
      <c r="C228" s="24"/>
      <c r="D228" s="551" t="s">
        <v>2488</v>
      </c>
      <c r="E228" s="132"/>
      <c r="F228" s="19"/>
      <c r="G228" s="24"/>
      <c r="H228" s="26"/>
      <c r="I228" s="24"/>
      <c r="J228" s="24"/>
      <c r="K228" s="35"/>
      <c r="L228" s="24"/>
      <c r="M228" s="26"/>
      <c r="N228" s="26"/>
      <c r="O228" s="24"/>
      <c r="P228" s="36"/>
    </row>
    <row r="229" spans="1:16" s="25" customFormat="1" x14ac:dyDescent="0.2">
      <c r="A229" s="71">
        <v>25427000</v>
      </c>
      <c r="B229" s="132">
        <f t="shared" ref="B229:C231" si="199">A229+B223</f>
        <v>27607200</v>
      </c>
      <c r="C229" s="24">
        <f t="shared" si="199"/>
        <v>28128400</v>
      </c>
      <c r="D229" s="59" t="s">
        <v>435</v>
      </c>
      <c r="E229" s="132">
        <f>C229+E223</f>
        <v>18184600</v>
      </c>
      <c r="F229" s="19"/>
      <c r="G229" s="24">
        <f>E229+G223</f>
        <v>14821100</v>
      </c>
      <c r="H229" s="26">
        <f t="shared" ref="H229:P231" si="200">G229+H223</f>
        <v>16983300</v>
      </c>
      <c r="I229" s="24">
        <f t="shared" si="200"/>
        <v>16653200</v>
      </c>
      <c r="J229" s="24">
        <f t="shared" si="200"/>
        <v>16609800</v>
      </c>
      <c r="K229" s="35">
        <f t="shared" si="200"/>
        <v>17874900</v>
      </c>
      <c r="L229" s="24">
        <f t="shared" si="200"/>
        <v>18846600</v>
      </c>
      <c r="M229" s="26">
        <f t="shared" si="200"/>
        <v>19248200</v>
      </c>
      <c r="N229" s="26">
        <f t="shared" si="200"/>
        <v>20500100</v>
      </c>
      <c r="O229" s="24">
        <f t="shared" si="200"/>
        <v>21154700</v>
      </c>
      <c r="P229" s="36">
        <f t="shared" si="200"/>
        <v>21941300</v>
      </c>
    </row>
    <row r="230" spans="1:16" s="25" customFormat="1" x14ac:dyDescent="0.2">
      <c r="A230" s="71">
        <v>11070600</v>
      </c>
      <c r="B230" s="132">
        <f t="shared" si="199"/>
        <v>10795400</v>
      </c>
      <c r="C230" s="24">
        <f t="shared" si="199"/>
        <v>9164900</v>
      </c>
      <c r="D230" s="59" t="s">
        <v>436</v>
      </c>
      <c r="E230" s="132">
        <f>C230+E224</f>
        <v>8978300</v>
      </c>
      <c r="F230" s="19"/>
      <c r="G230" s="24">
        <f>E230+G224</f>
        <v>14290100</v>
      </c>
      <c r="H230" s="26">
        <f t="shared" si="200"/>
        <v>5886000</v>
      </c>
      <c r="I230" s="24">
        <f t="shared" si="200"/>
        <v>12288100</v>
      </c>
      <c r="J230" s="24">
        <f t="shared" si="200"/>
        <v>9839100</v>
      </c>
      <c r="K230" s="35">
        <f t="shared" si="200"/>
        <v>9684400</v>
      </c>
      <c r="L230" s="24">
        <f t="shared" si="200"/>
        <v>12967800</v>
      </c>
      <c r="M230" s="26">
        <f t="shared" si="200"/>
        <v>14719200</v>
      </c>
      <c r="N230" s="26">
        <f t="shared" si="200"/>
        <v>18302200</v>
      </c>
      <c r="O230" s="24">
        <f t="shared" si="200"/>
        <v>22065400</v>
      </c>
      <c r="P230" s="36">
        <f t="shared" si="200"/>
        <v>24281600</v>
      </c>
    </row>
    <row r="231" spans="1:16" s="25" customFormat="1" x14ac:dyDescent="0.2">
      <c r="A231" s="71">
        <f>ROUND(3413000+A225,-2)-378400</f>
        <v>3034800</v>
      </c>
      <c r="B231" s="132">
        <f t="shared" si="199"/>
        <v>3034800</v>
      </c>
      <c r="C231" s="24">
        <f t="shared" si="199"/>
        <v>3034800</v>
      </c>
      <c r="D231" s="59" t="s">
        <v>2119</v>
      </c>
      <c r="E231" s="132">
        <f>C231+E225</f>
        <v>3102700</v>
      </c>
      <c r="F231" s="19"/>
      <c r="G231" s="24">
        <f>E231+G225</f>
        <v>2957500</v>
      </c>
      <c r="H231" s="26">
        <f t="shared" si="200"/>
        <v>2592300</v>
      </c>
      <c r="I231" s="24">
        <f t="shared" si="200"/>
        <v>2166000</v>
      </c>
      <c r="J231" s="24">
        <f t="shared" si="200"/>
        <v>1675100</v>
      </c>
      <c r="K231" s="35">
        <f t="shared" si="200"/>
        <v>1311100</v>
      </c>
      <c r="L231" s="24">
        <f t="shared" si="200"/>
        <v>1017300</v>
      </c>
      <c r="M231" s="26">
        <f t="shared" si="200"/>
        <v>915100</v>
      </c>
      <c r="N231" s="26">
        <f t="shared" si="200"/>
        <v>845900</v>
      </c>
      <c r="O231" s="24">
        <f t="shared" si="200"/>
        <v>773900</v>
      </c>
      <c r="P231" s="36">
        <f t="shared" si="200"/>
        <v>850600</v>
      </c>
    </row>
    <row r="232" spans="1:16" s="44" customFormat="1" x14ac:dyDescent="0.2">
      <c r="A232" s="771">
        <f>SUM(A228:A231)</f>
        <v>39532400</v>
      </c>
      <c r="B232" s="62">
        <f>SUM(B228:B231)</f>
        <v>41437400</v>
      </c>
      <c r="C232" s="62">
        <f>SUM(C228:C231)</f>
        <v>40328100</v>
      </c>
      <c r="D232" s="551" t="s">
        <v>1530</v>
      </c>
      <c r="E232" s="64">
        <f t="shared" ref="E232:M232" si="201">SUM(E228:E231)</f>
        <v>30265600</v>
      </c>
      <c r="F232" s="32"/>
      <c r="G232" s="62">
        <f t="shared" si="201"/>
        <v>32068700</v>
      </c>
      <c r="H232" s="65">
        <f t="shared" si="201"/>
        <v>25461600</v>
      </c>
      <c r="I232" s="62">
        <f t="shared" si="201"/>
        <v>31107300</v>
      </c>
      <c r="J232" s="62">
        <f t="shared" si="201"/>
        <v>28124000</v>
      </c>
      <c r="K232" s="62">
        <f t="shared" si="201"/>
        <v>28870400</v>
      </c>
      <c r="L232" s="62">
        <f t="shared" si="201"/>
        <v>32831700</v>
      </c>
      <c r="M232" s="62">
        <f t="shared" si="201"/>
        <v>34882500</v>
      </c>
      <c r="N232" s="65">
        <f t="shared" ref="N232" si="202">SUM(N228:N231)</f>
        <v>39648200</v>
      </c>
      <c r="O232" s="62">
        <f t="shared" ref="O232" si="203">SUM(O228:O231)</f>
        <v>43994000</v>
      </c>
      <c r="P232" s="69">
        <f t="shared" ref="P232" si="204">SUM(P228:P231)</f>
        <v>47073500</v>
      </c>
    </row>
    <row r="233" spans="1:16" s="25" customFormat="1" ht="13.5" thickBot="1" x14ac:dyDescent="0.25">
      <c r="A233" s="256"/>
      <c r="B233" s="28"/>
      <c r="C233" s="28"/>
      <c r="D233" s="257"/>
      <c r="E233" s="835"/>
      <c r="F233" s="86"/>
      <c r="G233" s="28"/>
      <c r="H233" s="37"/>
      <c r="I233" s="28"/>
      <c r="J233" s="28"/>
      <c r="K233" s="215"/>
      <c r="L233" s="28"/>
      <c r="M233" s="37"/>
      <c r="N233" s="37"/>
      <c r="O233" s="28"/>
      <c r="P233" s="258"/>
    </row>
    <row r="234" spans="1:16" ht="14.25" thickTop="1" thickBot="1" x14ac:dyDescent="0.25"/>
    <row r="235" spans="1:16" ht="17.25" thickTop="1" thickBot="1" x14ac:dyDescent="0.3">
      <c r="A235" s="2842" t="s">
        <v>7035</v>
      </c>
      <c r="B235" s="2843"/>
      <c r="C235" s="2843"/>
      <c r="D235" s="2843"/>
      <c r="E235" s="2843"/>
      <c r="F235" s="2843"/>
      <c r="G235" s="2843"/>
      <c r="H235" s="2843"/>
      <c r="I235" s="2843"/>
      <c r="J235" s="2843"/>
      <c r="K235" s="2843"/>
      <c r="L235" s="2843"/>
      <c r="M235" s="2843"/>
      <c r="N235" s="2843"/>
      <c r="O235" s="2843"/>
      <c r="P235" s="2844"/>
    </row>
    <row r="236" spans="1:16" x14ac:dyDescent="0.2">
      <c r="A236" s="2845" t="str">
        <f>$A$126</f>
        <v>ACTUAL</v>
      </c>
      <c r="B236" s="2846"/>
      <c r="C236" s="2847"/>
      <c r="D236" s="2134" t="str">
        <f>$D$126</f>
        <v>ITEM</v>
      </c>
      <c r="E236" s="2839" t="s">
        <v>2253</v>
      </c>
      <c r="F236" s="2840"/>
      <c r="G236" s="2840"/>
      <c r="H236" s="2840"/>
      <c r="I236" s="2840"/>
      <c r="J236" s="2840"/>
      <c r="K236" s="2840"/>
      <c r="L236" s="2840"/>
      <c r="M236" s="2840"/>
      <c r="N236" s="2840"/>
      <c r="O236" s="2840"/>
      <c r="P236" s="2841"/>
    </row>
    <row r="237" spans="1:16" ht="13.5" thickBot="1" x14ac:dyDescent="0.25">
      <c r="A237" s="45" t="str">
        <f>'W&amp;W'!B3</f>
        <v>2013/14</v>
      </c>
      <c r="B237" s="370" t="str">
        <f>LTFP!B182</f>
        <v>2014/15</v>
      </c>
      <c r="C237" s="47" t="str">
        <f>LTFP!C182</f>
        <v>2015/16</v>
      </c>
      <c r="D237" s="1951"/>
      <c r="E237" s="97" t="str">
        <f>LTFP!E182</f>
        <v>2016/17</v>
      </c>
      <c r="F237" s="2095" t="s">
        <v>501</v>
      </c>
      <c r="G237" s="47" t="str">
        <f>LTFP!G182</f>
        <v>2017/18</v>
      </c>
      <c r="H237" s="49" t="str">
        <f>LTFP!H182</f>
        <v>2018/19</v>
      </c>
      <c r="I237" s="47" t="str">
        <f>LTFP!I182</f>
        <v>2019/20</v>
      </c>
      <c r="J237" s="49" t="str">
        <f>LTFP!J182</f>
        <v>2020/21</v>
      </c>
      <c r="K237" s="49" t="str">
        <f>LTFP!K182</f>
        <v>2021/22</v>
      </c>
      <c r="L237" s="1294" t="str">
        <f>LTFP!L182</f>
        <v>2022/23</v>
      </c>
      <c r="M237" s="47" t="str">
        <f>LTFP!M182</f>
        <v>2023/24</v>
      </c>
      <c r="N237" s="47" t="str">
        <f>LTFP!N182</f>
        <v>2024/25</v>
      </c>
      <c r="O237" s="219" t="str">
        <f>LTFP!O182</f>
        <v>2025/26</v>
      </c>
      <c r="P237" s="220" t="str">
        <f>LTFP!P182</f>
        <v>2026/27</v>
      </c>
    </row>
    <row r="238" spans="1:16" x14ac:dyDescent="0.2">
      <c r="A238" s="50"/>
      <c r="B238" s="21"/>
      <c r="C238" s="21"/>
      <c r="D238" s="22"/>
      <c r="E238" s="33"/>
      <c r="F238" s="21"/>
      <c r="G238" s="21"/>
      <c r="H238" s="20"/>
      <c r="I238" s="21"/>
      <c r="J238" s="21"/>
      <c r="K238" s="21"/>
      <c r="L238" s="21"/>
      <c r="M238" s="20"/>
      <c r="N238" s="21"/>
      <c r="O238" s="21"/>
      <c r="P238" s="31"/>
    </row>
    <row r="239" spans="1:16" x14ac:dyDescent="0.2">
      <c r="A239" s="50"/>
      <c r="B239" s="21"/>
      <c r="C239" s="21"/>
      <c r="D239" s="58" t="s">
        <v>2596</v>
      </c>
      <c r="E239" s="33"/>
      <c r="F239" s="21"/>
      <c r="G239" s="21"/>
      <c r="H239" s="20"/>
      <c r="I239" s="21"/>
      <c r="J239" s="21"/>
      <c r="K239" s="21"/>
      <c r="L239" s="21"/>
      <c r="M239" s="20"/>
      <c r="N239" s="21"/>
      <c r="O239" s="21"/>
      <c r="P239" s="31"/>
    </row>
    <row r="240" spans="1:16" x14ac:dyDescent="0.2">
      <c r="A240" s="50"/>
      <c r="B240" s="21"/>
      <c r="C240" s="21"/>
      <c r="D240" s="58"/>
      <c r="E240" s="33"/>
      <c r="F240" s="19"/>
      <c r="G240" s="21"/>
      <c r="H240" s="20"/>
      <c r="I240" s="21"/>
      <c r="J240" s="21"/>
      <c r="K240" s="21"/>
      <c r="L240" s="21"/>
      <c r="M240" s="20"/>
      <c r="N240" s="21"/>
      <c r="O240" s="21"/>
      <c r="P240" s="31"/>
    </row>
    <row r="241" spans="1:16" x14ac:dyDescent="0.2">
      <c r="A241" s="50">
        <f>'Cash-W'!A6</f>
        <v>10689100</v>
      </c>
      <c r="B241" s="21">
        <f>'Cash-W'!B6</f>
        <v>10892500</v>
      </c>
      <c r="C241" s="21">
        <f>'Cash-W'!C6</f>
        <v>11199100</v>
      </c>
      <c r="D241" s="59" t="s">
        <v>393</v>
      </c>
      <c r="E241" s="33">
        <f>'Cash-W'!F6</f>
        <v>11913600</v>
      </c>
      <c r="F241" s="19">
        <f>IF(C241=E241,0,IF(C241=0,100,(E241-C241)/C241*100))</f>
        <v>6.3799769624344815</v>
      </c>
      <c r="G241" s="21">
        <f>'Cash-W'!G6</f>
        <v>12154300</v>
      </c>
      <c r="H241" s="20">
        <f>'Cash-W'!H6</f>
        <v>12435300</v>
      </c>
      <c r="I241" s="21">
        <f>'Cash-W'!I6</f>
        <v>12705200</v>
      </c>
      <c r="J241" s="21">
        <f>'Cash-W'!J6</f>
        <v>13171700</v>
      </c>
      <c r="K241" s="21">
        <f>'Cash-W'!K6</f>
        <v>13706300</v>
      </c>
      <c r="L241" s="21">
        <f>'Cash-W'!L6</f>
        <v>14146300</v>
      </c>
      <c r="M241" s="20">
        <f>'Cash-W'!M6</f>
        <v>14654900</v>
      </c>
      <c r="N241" s="21">
        <f>'Cash-W'!N6</f>
        <v>15212700</v>
      </c>
      <c r="O241" s="21">
        <f>'Cash-W'!O6</f>
        <v>15802300</v>
      </c>
      <c r="P241" s="31">
        <f>'Cash-W'!P6</f>
        <v>16499100</v>
      </c>
    </row>
    <row r="242" spans="1:16" ht="13.5" thickBot="1" x14ac:dyDescent="0.25">
      <c r="A242" s="50">
        <f>'Cash-W'!A7</f>
        <v>9141100</v>
      </c>
      <c r="B242" s="21">
        <f>'Cash-W'!B7</f>
        <v>9317700</v>
      </c>
      <c r="C242" s="21">
        <f>'Cash-W'!C7</f>
        <v>9313000</v>
      </c>
      <c r="D242" s="59" t="s">
        <v>1115</v>
      </c>
      <c r="E242" s="33">
        <f>'Cash-W'!F7</f>
        <v>9841600</v>
      </c>
      <c r="F242" s="19">
        <f>IF(C242=E242,0,IF(C242=0,100,(E242-C242)/C242*100))</f>
        <v>5.6759368624503388</v>
      </c>
      <c r="G242" s="21">
        <f>'Cash-W'!G7</f>
        <v>9810400</v>
      </c>
      <c r="H242" s="20">
        <f>'Cash-W'!H7</f>
        <v>10098700</v>
      </c>
      <c r="I242" s="21">
        <f>'Cash-W'!I7</f>
        <v>10313600</v>
      </c>
      <c r="J242" s="21">
        <f>'Cash-W'!J7</f>
        <v>10574900</v>
      </c>
      <c r="K242" s="21">
        <f>'Cash-W'!K7</f>
        <v>10854500</v>
      </c>
      <c r="L242" s="21">
        <f>'Cash-W'!L7</f>
        <v>11191300</v>
      </c>
      <c r="M242" s="20">
        <f>'Cash-W'!M7</f>
        <v>11435600</v>
      </c>
      <c r="N242" s="21">
        <f>'Cash-W'!N7</f>
        <v>11738400</v>
      </c>
      <c r="O242" s="21">
        <f>'Cash-W'!O7</f>
        <v>12049200</v>
      </c>
      <c r="P242" s="31">
        <f>'Cash-W'!P7</f>
        <v>12368900</v>
      </c>
    </row>
    <row r="243" spans="1:16" s="40" customFormat="1" x14ac:dyDescent="0.2">
      <c r="A243" s="222">
        <f>A241-A242</f>
        <v>1548000</v>
      </c>
      <c r="B243" s="80">
        <f>B241-B242</f>
        <v>1574800</v>
      </c>
      <c r="C243" s="80">
        <f>C241-C242</f>
        <v>1886100</v>
      </c>
      <c r="D243" s="223" t="s">
        <v>5475</v>
      </c>
      <c r="E243" s="106">
        <f t="shared" ref="E243:M243" si="205">E241-E242</f>
        <v>2072000</v>
      </c>
      <c r="F243" s="369">
        <f>IF(C243=E243,0,IF(C243=0,100,(E243-C243)/C243*100))</f>
        <v>9.8563172684375164</v>
      </c>
      <c r="G243" s="80">
        <f t="shared" si="205"/>
        <v>2343900</v>
      </c>
      <c r="H243" s="81">
        <f t="shared" si="205"/>
        <v>2336600</v>
      </c>
      <c r="I243" s="80">
        <f t="shared" si="205"/>
        <v>2391600</v>
      </c>
      <c r="J243" s="80">
        <f t="shared" si="205"/>
        <v>2596800</v>
      </c>
      <c r="K243" s="80">
        <f t="shared" si="205"/>
        <v>2851800</v>
      </c>
      <c r="L243" s="80">
        <f t="shared" si="205"/>
        <v>2955000</v>
      </c>
      <c r="M243" s="81">
        <f t="shared" si="205"/>
        <v>3219300</v>
      </c>
      <c r="N243" s="80">
        <f t="shared" ref="N243" si="206">N241-N242</f>
        <v>3474300</v>
      </c>
      <c r="O243" s="80">
        <f t="shared" ref="O243" si="207">O241-O242</f>
        <v>3753100</v>
      </c>
      <c r="P243" s="225">
        <f t="shared" ref="P243" si="208">P241-P242</f>
        <v>4130200</v>
      </c>
    </row>
    <row r="244" spans="1:16" x14ac:dyDescent="0.2">
      <c r="A244" s="50"/>
      <c r="B244" s="21"/>
      <c r="C244" s="21"/>
      <c r="D244" s="58"/>
      <c r="E244" s="33"/>
      <c r="F244" s="19"/>
      <c r="G244" s="21"/>
      <c r="H244" s="20"/>
      <c r="I244" s="21"/>
      <c r="J244" s="21"/>
      <c r="K244" s="21"/>
      <c r="L244" s="21"/>
      <c r="M244" s="20"/>
      <c r="N244" s="21"/>
      <c r="O244" s="21"/>
      <c r="P244" s="31"/>
    </row>
    <row r="245" spans="1:16" x14ac:dyDescent="0.2">
      <c r="A245" s="50">
        <f>'Cash-W'!A10</f>
        <v>1859500</v>
      </c>
      <c r="B245" s="21">
        <f>'Cash-W'!B10</f>
        <v>1478700</v>
      </c>
      <c r="C245" s="21">
        <f>'Cash-W'!C10</f>
        <v>1498900</v>
      </c>
      <c r="D245" s="59" t="s">
        <v>564</v>
      </c>
      <c r="E245" s="33">
        <f>'Cash-W'!F10</f>
        <v>1428000</v>
      </c>
      <c r="F245" s="19">
        <f>IF(C245=E245,0,IF(C245=0,100,(E245-C245)/C245*100))</f>
        <v>-4.7301354326506102</v>
      </c>
      <c r="G245" s="21">
        <f>'Cash-W'!G10</f>
        <v>1380000</v>
      </c>
      <c r="H245" s="20">
        <f>'Cash-W'!H10</f>
        <v>1407600</v>
      </c>
      <c r="I245" s="21">
        <f>'Cash-W'!I10</f>
        <v>1435800</v>
      </c>
      <c r="J245" s="21">
        <f>'Cash-W'!J10</f>
        <v>1464600</v>
      </c>
      <c r="K245" s="21">
        <f>'Cash-W'!K10</f>
        <v>1493900</v>
      </c>
      <c r="L245" s="21">
        <f>'Cash-W'!L10</f>
        <v>1523800</v>
      </c>
      <c r="M245" s="20">
        <f>'Cash-W'!M10</f>
        <v>1554300</v>
      </c>
      <c r="N245" s="21">
        <f>'Cash-W'!N10</f>
        <v>1585400</v>
      </c>
      <c r="O245" s="21">
        <f>'Cash-W'!O10</f>
        <v>1617200</v>
      </c>
      <c r="P245" s="31">
        <f>'Cash-W'!P10</f>
        <v>1649600</v>
      </c>
    </row>
    <row r="246" spans="1:16" x14ac:dyDescent="0.2">
      <c r="A246" s="50">
        <f>'Cash-W'!A11</f>
        <v>0</v>
      </c>
      <c r="B246" s="21">
        <f>'Cash-W'!B11</f>
        <v>0</v>
      </c>
      <c r="C246" s="33">
        <f>'Cash-W'!C11</f>
        <v>0</v>
      </c>
      <c r="D246" s="59" t="s">
        <v>4239</v>
      </c>
      <c r="E246" s="33">
        <f>'Cash-W'!F26</f>
        <v>0</v>
      </c>
      <c r="F246" s="138">
        <f>IF(C246=E246,0,IF(C246=0,100,(E246-C246)/C246*100))</f>
        <v>0</v>
      </c>
      <c r="G246" s="33">
        <f>'Cash-W'!G11</f>
        <v>0</v>
      </c>
      <c r="H246" s="142">
        <f>'Cash-W'!H11</f>
        <v>0</v>
      </c>
      <c r="I246" s="33">
        <f>'Cash-W'!I11</f>
        <v>0</v>
      </c>
      <c r="J246" s="33">
        <f>'Cash-W'!J11</f>
        <v>0</v>
      </c>
      <c r="K246" s="33">
        <f>'Cash-W'!K11</f>
        <v>0</v>
      </c>
      <c r="L246" s="33">
        <f>'Cash-W'!L11</f>
        <v>0</v>
      </c>
      <c r="M246" s="142">
        <f>'Cash-W'!M11</f>
        <v>0</v>
      </c>
      <c r="N246" s="33">
        <f>'Cash-W'!N11</f>
        <v>0</v>
      </c>
      <c r="O246" s="33">
        <f>'Cash-W'!O11</f>
        <v>0</v>
      </c>
      <c r="P246" s="114">
        <f>'Cash-W'!P11</f>
        <v>0</v>
      </c>
    </row>
    <row r="247" spans="1:16" ht="13.5" thickBot="1" x14ac:dyDescent="0.25">
      <c r="A247" s="50">
        <f>'Cash-W'!A12</f>
        <v>111000</v>
      </c>
      <c r="B247" s="21">
        <f>'Cash-W'!B12</f>
        <v>20600</v>
      </c>
      <c r="C247" s="33">
        <f>'Cash-W'!C12</f>
        <v>38000</v>
      </c>
      <c r="D247" s="59" t="s">
        <v>4547</v>
      </c>
      <c r="E247" s="33">
        <f>'Cash-W'!F12</f>
        <v>0</v>
      </c>
      <c r="F247" s="138">
        <f>IF(C247=E247,0,IF(C247=0,100,(E247-C247)/C247*100))</f>
        <v>-100</v>
      </c>
      <c r="G247" s="33">
        <f>'Cash-W'!G12</f>
        <v>0</v>
      </c>
      <c r="H247" s="33">
        <f>'Cash-W'!H12</f>
        <v>0</v>
      </c>
      <c r="I247" s="33">
        <f>'Cash-W'!I12</f>
        <v>0</v>
      </c>
      <c r="J247" s="33">
        <f>'Cash-W'!J12</f>
        <v>0</v>
      </c>
      <c r="K247" s="33">
        <f>'Cash-W'!K12</f>
        <v>0</v>
      </c>
      <c r="L247" s="33">
        <f>'Cash-W'!L12</f>
        <v>0</v>
      </c>
      <c r="M247" s="33">
        <f>'Cash-W'!M12</f>
        <v>0</v>
      </c>
      <c r="N247" s="33">
        <f>'Cash-W'!N12</f>
        <v>0</v>
      </c>
      <c r="O247" s="21">
        <f>'Cash-W'!O12</f>
        <v>0</v>
      </c>
      <c r="P247" s="31">
        <f>'Cash-W'!P12</f>
        <v>0</v>
      </c>
    </row>
    <row r="248" spans="1:16" s="40" customFormat="1" x14ac:dyDescent="0.2">
      <c r="A248" s="222">
        <f>A243-A245-A247</f>
        <v>-422500</v>
      </c>
      <c r="B248" s="80">
        <f>B243-B245-B247</f>
        <v>75500</v>
      </c>
      <c r="C248" s="80">
        <f>C243-C245-C247</f>
        <v>349200</v>
      </c>
      <c r="D248" s="1073" t="s">
        <v>7055</v>
      </c>
      <c r="E248" s="106">
        <f t="shared" ref="E248:N248" si="209">E243-E245-E247</f>
        <v>644000</v>
      </c>
      <c r="F248" s="369">
        <f>IF(C248=E248,0,IF(C248=0,100,(E248-C248)/C248*100))</f>
        <v>84.421534936998853</v>
      </c>
      <c r="G248" s="80">
        <f t="shared" si="209"/>
        <v>963900</v>
      </c>
      <c r="H248" s="81">
        <f t="shared" si="209"/>
        <v>929000</v>
      </c>
      <c r="I248" s="80">
        <f t="shared" si="209"/>
        <v>955800</v>
      </c>
      <c r="J248" s="80">
        <f t="shared" si="209"/>
        <v>1132200</v>
      </c>
      <c r="K248" s="80">
        <f t="shared" si="209"/>
        <v>1357900</v>
      </c>
      <c r="L248" s="80">
        <f t="shared" si="209"/>
        <v>1431200</v>
      </c>
      <c r="M248" s="81">
        <f t="shared" si="209"/>
        <v>1665000</v>
      </c>
      <c r="N248" s="80">
        <f t="shared" si="209"/>
        <v>1888900</v>
      </c>
      <c r="O248" s="80">
        <f t="shared" ref="O248" si="210">O243-O245-O247</f>
        <v>2135900</v>
      </c>
      <c r="P248" s="225">
        <f t="shared" ref="P248" si="211">P243-P245-P247</f>
        <v>2480600</v>
      </c>
    </row>
    <row r="249" spans="1:16" x14ac:dyDescent="0.2">
      <c r="A249" s="50"/>
      <c r="B249" s="21"/>
      <c r="C249" s="21"/>
      <c r="D249" s="58"/>
      <c r="E249" s="33"/>
      <c r="F249" s="19"/>
      <c r="G249" s="21"/>
      <c r="H249" s="20"/>
      <c r="I249" s="21"/>
      <c r="J249" s="21"/>
      <c r="K249" s="21"/>
      <c r="L249" s="21"/>
      <c r="M249" s="20"/>
      <c r="N249" s="21"/>
      <c r="O249" s="21"/>
      <c r="P249" s="31"/>
    </row>
    <row r="250" spans="1:16" x14ac:dyDescent="0.2">
      <c r="A250" s="50"/>
      <c r="B250" s="21"/>
      <c r="C250" s="21"/>
      <c r="D250" s="58" t="s">
        <v>1457</v>
      </c>
      <c r="E250" s="33"/>
      <c r="F250" s="19"/>
      <c r="G250" s="21"/>
      <c r="H250" s="20"/>
      <c r="I250" s="21"/>
      <c r="J250" s="21"/>
      <c r="K250" s="21"/>
      <c r="L250" s="21"/>
      <c r="M250" s="20"/>
      <c r="N250" s="21"/>
      <c r="O250" s="21"/>
      <c r="P250" s="31"/>
    </row>
    <row r="251" spans="1:16" x14ac:dyDescent="0.2">
      <c r="A251" s="50">
        <f>'Cash-W'!A17</f>
        <v>368600</v>
      </c>
      <c r="B251" s="21">
        <f>'Cash-W'!B17</f>
        <v>336400</v>
      </c>
      <c r="C251" s="21">
        <f>'Cash-W'!C17</f>
        <v>0</v>
      </c>
      <c r="D251" s="60" t="s">
        <v>2718</v>
      </c>
      <c r="E251" s="33">
        <f>'Cash-W'!F17</f>
        <v>0</v>
      </c>
      <c r="F251" s="19">
        <f>IF(C251=E251,0,IF(C251=0,100,(E251-C251)/C251*100))</f>
        <v>0</v>
      </c>
      <c r="G251" s="21">
        <f>'Cash-W'!G17</f>
        <v>0</v>
      </c>
      <c r="H251" s="20">
        <f>'Cash-W'!H17</f>
        <v>0</v>
      </c>
      <c r="I251" s="21">
        <f>'Cash-W'!I17</f>
        <v>0</v>
      </c>
      <c r="J251" s="21">
        <f>'Cash-W'!J17</f>
        <v>0</v>
      </c>
      <c r="K251" s="21">
        <f>'Cash-W'!K17</f>
        <v>0</v>
      </c>
      <c r="L251" s="21">
        <f>'Cash-W'!L17</f>
        <v>0</v>
      </c>
      <c r="M251" s="20">
        <f>'Cash-W'!M17</f>
        <v>0</v>
      </c>
      <c r="N251" s="21">
        <f>'Cash-W'!N17</f>
        <v>0</v>
      </c>
      <c r="O251" s="21">
        <f>'Cash-W'!O17</f>
        <v>0</v>
      </c>
      <c r="P251" s="31">
        <f>'Cash-W'!P17</f>
        <v>0</v>
      </c>
    </row>
    <row r="252" spans="1:16" x14ac:dyDescent="0.2">
      <c r="A252" s="50">
        <f>'Cash-W'!A18</f>
        <v>430400</v>
      </c>
      <c r="B252" s="21">
        <f>'Cash-W'!B18</f>
        <v>454900</v>
      </c>
      <c r="C252" s="21">
        <f>'Cash-W'!C18</f>
        <v>837900</v>
      </c>
      <c r="D252" s="22" t="s">
        <v>332</v>
      </c>
      <c r="E252" s="33">
        <f>'Cash-W'!F18</f>
        <v>610000</v>
      </c>
      <c r="F252" s="19">
        <f>IF(C252=E252,0,IF(C252=0,100,(E252-C252)/C252*100))</f>
        <v>-27.198949755340735</v>
      </c>
      <c r="G252" s="21">
        <f>'Cash-W'!G18</f>
        <v>575000</v>
      </c>
      <c r="H252" s="20">
        <f>'Cash-W'!H18</f>
        <v>600000</v>
      </c>
      <c r="I252" s="21">
        <f>'Cash-W'!I18</f>
        <v>620000</v>
      </c>
      <c r="J252" s="21">
        <f>'Cash-W'!J18</f>
        <v>640000</v>
      </c>
      <c r="K252" s="21">
        <f>'Cash-W'!K18</f>
        <v>660000</v>
      </c>
      <c r="L252" s="21">
        <f>'Cash-W'!L18</f>
        <v>680000</v>
      </c>
      <c r="M252" s="20">
        <f>'Cash-W'!M18</f>
        <v>700000</v>
      </c>
      <c r="N252" s="21">
        <f>'Cash-W'!N18</f>
        <v>720000</v>
      </c>
      <c r="O252" s="21">
        <f>'Cash-W'!O18</f>
        <v>740000</v>
      </c>
      <c r="P252" s="31">
        <f>'Cash-W'!P18</f>
        <v>760000</v>
      </c>
    </row>
    <row r="253" spans="1:16" x14ac:dyDescent="0.2">
      <c r="A253" s="50"/>
      <c r="B253" s="21"/>
      <c r="C253" s="21"/>
      <c r="D253" s="22"/>
      <c r="E253" s="33"/>
      <c r="F253" s="19"/>
      <c r="G253" s="21"/>
      <c r="H253" s="20"/>
      <c r="I253" s="21"/>
      <c r="J253" s="21"/>
      <c r="K253" s="21"/>
      <c r="L253" s="21"/>
      <c r="M253" s="20"/>
      <c r="N253" s="21"/>
      <c r="O253" s="21"/>
      <c r="P253" s="31"/>
    </row>
    <row r="254" spans="1:16" x14ac:dyDescent="0.2">
      <c r="A254" s="50"/>
      <c r="B254" s="21"/>
      <c r="C254" s="21"/>
      <c r="D254" s="58" t="s">
        <v>700</v>
      </c>
      <c r="E254" s="33"/>
      <c r="F254" s="19"/>
      <c r="G254" s="21"/>
      <c r="H254" s="20"/>
      <c r="I254" s="21"/>
      <c r="J254" s="21"/>
      <c r="K254" s="21"/>
      <c r="L254" s="21"/>
      <c r="M254" s="20"/>
      <c r="N254" s="21"/>
      <c r="O254" s="21"/>
      <c r="P254" s="31"/>
    </row>
    <row r="255" spans="1:16" x14ac:dyDescent="0.2">
      <c r="A255" s="50">
        <f>'Cash-W'!A37</f>
        <v>0</v>
      </c>
      <c r="B255" s="21">
        <f>'Cash-W'!B37</f>
        <v>0</v>
      </c>
      <c r="C255" s="21">
        <f>'Cash-W'!C37</f>
        <v>0</v>
      </c>
      <c r="D255" s="35" t="s">
        <v>2196</v>
      </c>
      <c r="E255" s="33">
        <f>'Cash-W'!F37</f>
        <v>0</v>
      </c>
      <c r="F255" s="19">
        <f>IF(C255=E255,0,IF(C255=0,100,(E255-C255)/C255*100))</f>
        <v>0</v>
      </c>
      <c r="G255" s="21">
        <f>'Cash-W'!G37</f>
        <v>0</v>
      </c>
      <c r="H255" s="20">
        <f>'Cash-W'!H37</f>
        <v>0</v>
      </c>
      <c r="I255" s="21">
        <f>'Cash-W'!I37</f>
        <v>0</v>
      </c>
      <c r="J255" s="21">
        <f>'Cash-W'!J37</f>
        <v>0</v>
      </c>
      <c r="K255" s="21">
        <f>'Cash-W'!K37</f>
        <v>0</v>
      </c>
      <c r="L255" s="21">
        <f>'Cash-W'!L37</f>
        <v>0</v>
      </c>
      <c r="M255" s="20">
        <f>'Cash-W'!M37</f>
        <v>0</v>
      </c>
      <c r="N255" s="21">
        <f>'Cash-W'!N37</f>
        <v>0</v>
      </c>
      <c r="O255" s="21">
        <f>'Cash-W'!O37</f>
        <v>0</v>
      </c>
      <c r="P255" s="31">
        <f>'Cash-W'!P37</f>
        <v>0</v>
      </c>
    </row>
    <row r="256" spans="1:16" x14ac:dyDescent="0.2">
      <c r="A256" s="50">
        <f>'Cash-W'!A34</f>
        <v>137600</v>
      </c>
      <c r="B256" s="21">
        <f>'Cash-W'!B34</f>
        <v>136200</v>
      </c>
      <c r="C256" s="21">
        <f>'Cash-W'!C34</f>
        <v>23000</v>
      </c>
      <c r="D256" s="35" t="s">
        <v>3620</v>
      </c>
      <c r="E256" s="33">
        <f>'Cash-W'!F34</f>
        <v>100000</v>
      </c>
      <c r="F256" s="19">
        <f>IF(C256=E256,0,IF(C256=0,100,(E256-C256)/C256*100))</f>
        <v>334.78260869565219</v>
      </c>
      <c r="G256" s="21">
        <f>'Cash-W'!G34</f>
        <v>0</v>
      </c>
      <c r="H256" s="20">
        <f>'Cash-W'!H34</f>
        <v>0</v>
      </c>
      <c r="I256" s="21">
        <f>'Cash-W'!I34</f>
        <v>0</v>
      </c>
      <c r="J256" s="21">
        <f>'Cash-W'!J34</f>
        <v>0</v>
      </c>
      <c r="K256" s="21">
        <f>'Cash-W'!K34</f>
        <v>0</v>
      </c>
      <c r="L256" s="21">
        <f>'Cash-W'!L34</f>
        <v>0</v>
      </c>
      <c r="M256" s="20">
        <f>'Cash-W'!M34</f>
        <v>0</v>
      </c>
      <c r="N256" s="21">
        <f>'Cash-W'!N34</f>
        <v>0</v>
      </c>
      <c r="O256" s="21">
        <f>'Cash-W'!O34</f>
        <v>0</v>
      </c>
      <c r="P256" s="31">
        <f>'Cash-W'!P34</f>
        <v>0</v>
      </c>
    </row>
    <row r="257" spans="1:16" x14ac:dyDescent="0.2">
      <c r="A257" s="50"/>
      <c r="B257" s="21"/>
      <c r="C257" s="21"/>
      <c r="D257" s="58"/>
      <c r="E257" s="33"/>
      <c r="F257" s="19"/>
      <c r="G257" s="21"/>
      <c r="H257" s="20"/>
      <c r="I257" s="21"/>
      <c r="J257" s="21"/>
      <c r="K257" s="21"/>
      <c r="L257" s="21"/>
      <c r="M257" s="20"/>
      <c r="N257" s="21"/>
      <c r="O257" s="21"/>
      <c r="P257" s="31"/>
    </row>
    <row r="258" spans="1:16" x14ac:dyDescent="0.2">
      <c r="A258" s="50"/>
      <c r="B258" s="21"/>
      <c r="C258" s="21"/>
      <c r="D258" s="58" t="s">
        <v>2905</v>
      </c>
      <c r="E258" s="33"/>
      <c r="F258" s="19"/>
      <c r="G258" s="21"/>
      <c r="H258" s="20"/>
      <c r="I258" s="21"/>
      <c r="J258" s="21"/>
      <c r="K258" s="21"/>
      <c r="L258" s="21"/>
      <c r="M258" s="20"/>
      <c r="N258" s="21"/>
      <c r="O258" s="21"/>
      <c r="P258" s="31"/>
    </row>
    <row r="259" spans="1:16" x14ac:dyDescent="0.2">
      <c r="A259" s="50">
        <f>'Cash-W'!A40</f>
        <v>-1827100</v>
      </c>
      <c r="B259" s="21">
        <f>'Cash-W'!B40</f>
        <v>-2821700</v>
      </c>
      <c r="C259" s="21">
        <f>'Cash-W'!C40</f>
        <v>-1427000</v>
      </c>
      <c r="D259" s="35" t="s">
        <v>1897</v>
      </c>
      <c r="E259" s="33">
        <f>'Cash-W'!F40</f>
        <v>-3524000</v>
      </c>
      <c r="F259" s="19">
        <f>IF(C259=E259,0,IF(C259=0,100,(E259-C259)/C259*100))</f>
        <v>146.95164681149265</v>
      </c>
      <c r="G259" s="21">
        <f>'Cash-W'!G40</f>
        <v>-3404000</v>
      </c>
      <c r="H259" s="20">
        <f>'Cash-W'!H40</f>
        <v>-3980000</v>
      </c>
      <c r="I259" s="21">
        <f>'Cash-W'!I40</f>
        <v>-3636000</v>
      </c>
      <c r="J259" s="21">
        <f>'Cash-W'!J40</f>
        <v>-2261000</v>
      </c>
      <c r="K259" s="21">
        <f>'Cash-W'!K40</f>
        <v>-5942400</v>
      </c>
      <c r="L259" s="21">
        <f>'Cash-W'!L40</f>
        <v>-4638000</v>
      </c>
      <c r="M259" s="21">
        <f>'Cash-W'!M40</f>
        <v>-4098000</v>
      </c>
      <c r="N259" s="21">
        <f>'Cash-W'!N40</f>
        <v>-4095000</v>
      </c>
      <c r="O259" s="21">
        <f>'Cash-W'!O40</f>
        <v>-1909000</v>
      </c>
      <c r="P259" s="31">
        <f>'Cash-W'!P40</f>
        <v>-1751000</v>
      </c>
    </row>
    <row r="260" spans="1:16" x14ac:dyDescent="0.2">
      <c r="A260" s="50">
        <f>-A256</f>
        <v>-137600</v>
      </c>
      <c r="B260" s="21">
        <f>-B256</f>
        <v>-136200</v>
      </c>
      <c r="C260" s="21">
        <f>-C256</f>
        <v>-23000</v>
      </c>
      <c r="D260" s="35" t="s">
        <v>3621</v>
      </c>
      <c r="E260" s="33">
        <f>-E256</f>
        <v>-100000</v>
      </c>
      <c r="F260" s="19">
        <f>IF(C260=E260,0,IF(C260=0,100,(E260-C260)/C260*100))</f>
        <v>334.78260869565219</v>
      </c>
      <c r="G260" s="21">
        <f>'Cash-W'!G41</f>
        <v>0</v>
      </c>
      <c r="H260" s="20">
        <f>'Cash-W'!H41</f>
        <v>0</v>
      </c>
      <c r="I260" s="21">
        <f>'Cash-W'!I41</f>
        <v>0</v>
      </c>
      <c r="J260" s="21">
        <f>'Cash-W'!J41</f>
        <v>0</v>
      </c>
      <c r="K260" s="21">
        <f>'Cash-W'!K41</f>
        <v>0</v>
      </c>
      <c r="L260" s="21">
        <f>'Cash-W'!L41</f>
        <v>0</v>
      </c>
      <c r="M260" s="20">
        <f>'Cash-W'!M41</f>
        <v>0</v>
      </c>
      <c r="N260" s="21">
        <f>'Cash-W'!N41</f>
        <v>0</v>
      </c>
      <c r="O260" s="21">
        <f>'Cash-W'!O41</f>
        <v>0</v>
      </c>
      <c r="P260" s="31">
        <f>'Cash-W'!P41</f>
        <v>0</v>
      </c>
    </row>
    <row r="261" spans="1:16" x14ac:dyDescent="0.2">
      <c r="A261" s="50">
        <f>'Cash-W'!A41</f>
        <v>0</v>
      </c>
      <c r="B261" s="1064">
        <f>'Cash-W'!B41</f>
        <v>0</v>
      </c>
      <c r="C261" s="21">
        <f>'Cash-W'!C41</f>
        <v>0</v>
      </c>
      <c r="D261" s="60" t="s">
        <v>1425</v>
      </c>
      <c r="E261" s="33">
        <f>'Cash-W'!F41</f>
        <v>0</v>
      </c>
      <c r="F261" s="19">
        <f>IF(C261=E261,0,IF(C261=0,100,(E261-C261)/C261*100))</f>
        <v>0</v>
      </c>
      <c r="G261" s="21">
        <f>'Cash-W'!G41</f>
        <v>0</v>
      </c>
      <c r="H261" s="20">
        <f>'Cash-W'!H41</f>
        <v>0</v>
      </c>
      <c r="I261" s="21">
        <f>'Cash-W'!I41</f>
        <v>0</v>
      </c>
      <c r="J261" s="21">
        <f>'Cash-W'!J41</f>
        <v>0</v>
      </c>
      <c r="K261" s="21">
        <f>'Cash-W'!K41</f>
        <v>0</v>
      </c>
      <c r="L261" s="21">
        <f>'Cash-W'!L41</f>
        <v>0</v>
      </c>
      <c r="M261" s="20">
        <f>'Cash-W'!M41</f>
        <v>0</v>
      </c>
      <c r="N261" s="21">
        <f>'Cash-W'!N41</f>
        <v>0</v>
      </c>
      <c r="O261" s="21">
        <f>'Cash-W'!O41</f>
        <v>0</v>
      </c>
      <c r="P261" s="31">
        <f>'Cash-W'!P41</f>
        <v>0</v>
      </c>
    </row>
    <row r="262" spans="1:16" x14ac:dyDescent="0.2">
      <c r="A262" s="50"/>
      <c r="B262" s="21"/>
      <c r="C262" s="21"/>
      <c r="D262" s="22"/>
      <c r="E262" s="33"/>
      <c r="F262" s="19"/>
      <c r="G262" s="21"/>
      <c r="H262" s="20"/>
      <c r="I262" s="21"/>
      <c r="J262" s="21"/>
      <c r="K262" s="22"/>
      <c r="L262" s="21"/>
      <c r="M262" s="20"/>
      <c r="N262" s="21"/>
      <c r="O262" s="21"/>
      <c r="P262" s="31"/>
    </row>
    <row r="263" spans="1:16" x14ac:dyDescent="0.2">
      <c r="A263" s="50"/>
      <c r="B263" s="21"/>
      <c r="C263" s="21"/>
      <c r="D263" s="58" t="s">
        <v>4719</v>
      </c>
      <c r="E263" s="33"/>
      <c r="F263" s="19"/>
      <c r="G263" s="21"/>
      <c r="H263" s="20"/>
      <c r="I263" s="21"/>
      <c r="J263" s="21"/>
      <c r="K263" s="22"/>
      <c r="L263" s="21"/>
      <c r="M263" s="20"/>
      <c r="N263" s="21"/>
      <c r="O263" s="21"/>
      <c r="P263" s="31"/>
    </row>
    <row r="264" spans="1:16" x14ac:dyDescent="0.2">
      <c r="A264" s="50">
        <f>'Cash-W'!A35</f>
        <v>0</v>
      </c>
      <c r="B264" s="21">
        <v>264500</v>
      </c>
      <c r="C264" s="21">
        <f>'Cash-W'!C35</f>
        <v>0</v>
      </c>
      <c r="D264" s="59" t="s">
        <v>4765</v>
      </c>
      <c r="E264" s="33">
        <f>'Cash-W'!F35</f>
        <v>0</v>
      </c>
      <c r="F264" s="19">
        <f>IF(C264=E264,0,IF(C264=0,100,(E264-C264)/C264*100))</f>
        <v>0</v>
      </c>
      <c r="G264" s="21">
        <f>'Cash-W'!G35</f>
        <v>0</v>
      </c>
      <c r="H264" s="21">
        <f>'Cash-W'!H35</f>
        <v>0</v>
      </c>
      <c r="I264" s="21">
        <f>'Cash-W'!I35</f>
        <v>0</v>
      </c>
      <c r="J264" s="21">
        <f>'Cash-W'!J35</f>
        <v>0</v>
      </c>
      <c r="K264" s="21">
        <f>'Cash-W'!K35</f>
        <v>0</v>
      </c>
      <c r="L264" s="21">
        <f>'Cash-W'!L35</f>
        <v>0</v>
      </c>
      <c r="M264" s="21">
        <f>'Cash-W'!M35</f>
        <v>0</v>
      </c>
      <c r="N264" s="21">
        <f>'Cash-W'!N35</f>
        <v>0</v>
      </c>
      <c r="O264" s="21">
        <f>'Cash-W'!O35</f>
        <v>0</v>
      </c>
      <c r="P264" s="31">
        <f>'Cash-W'!P35</f>
        <v>0</v>
      </c>
    </row>
    <row r="265" spans="1:16" x14ac:dyDescent="0.2">
      <c r="A265" s="50"/>
      <c r="B265" s="1064"/>
      <c r="C265" s="21"/>
      <c r="D265" s="30"/>
      <c r="E265" s="33"/>
      <c r="F265" s="19"/>
      <c r="G265" s="20"/>
      <c r="H265" s="21"/>
      <c r="I265" s="21"/>
      <c r="J265" s="22"/>
      <c r="K265" s="21"/>
      <c r="L265" s="20"/>
      <c r="M265" s="20"/>
      <c r="N265" s="21"/>
      <c r="O265" s="21"/>
      <c r="P265" s="31"/>
    </row>
    <row r="266" spans="1:16" x14ac:dyDescent="0.2">
      <c r="A266" s="50"/>
      <c r="B266" s="1064"/>
      <c r="C266" s="21"/>
      <c r="D266" s="1075" t="s">
        <v>1601</v>
      </c>
      <c r="E266" s="33"/>
      <c r="F266" s="19"/>
      <c r="G266" s="20"/>
      <c r="H266" s="21"/>
      <c r="I266" s="21"/>
      <c r="J266" s="22"/>
      <c r="K266" s="21"/>
      <c r="L266" s="20"/>
      <c r="M266" s="20"/>
      <c r="N266" s="21"/>
      <c r="O266" s="21"/>
      <c r="P266" s="31"/>
    </row>
    <row r="267" spans="1:16" x14ac:dyDescent="0.2">
      <c r="A267" s="50">
        <f t="shared" ref="A267:B269" si="212">A245</f>
        <v>1859500</v>
      </c>
      <c r="B267" s="1064">
        <f t="shared" si="212"/>
        <v>1478700</v>
      </c>
      <c r="C267" s="21">
        <f>C245</f>
        <v>1498900</v>
      </c>
      <c r="D267" s="1979" t="s">
        <v>2070</v>
      </c>
      <c r="E267" s="33">
        <f>E245</f>
        <v>1428000</v>
      </c>
      <c r="F267" s="19">
        <f>IF(C267=E267,0,IF(C267=0,100,(E267-C267)/C267*100))</f>
        <v>-4.7301354326506102</v>
      </c>
      <c r="G267" s="20">
        <f t="shared" ref="G267:O267" si="213">G245</f>
        <v>1380000</v>
      </c>
      <c r="H267" s="21">
        <f t="shared" si="213"/>
        <v>1407600</v>
      </c>
      <c r="I267" s="21">
        <f t="shared" si="213"/>
        <v>1435800</v>
      </c>
      <c r="J267" s="22">
        <f t="shared" si="213"/>
        <v>1464600</v>
      </c>
      <c r="K267" s="21">
        <f t="shared" si="213"/>
        <v>1493900</v>
      </c>
      <c r="L267" s="20">
        <f t="shared" si="213"/>
        <v>1523800</v>
      </c>
      <c r="M267" s="20">
        <f t="shared" si="213"/>
        <v>1554300</v>
      </c>
      <c r="N267" s="21">
        <f t="shared" si="213"/>
        <v>1585400</v>
      </c>
      <c r="O267" s="21">
        <f t="shared" si="213"/>
        <v>1617200</v>
      </c>
      <c r="P267" s="31">
        <f t="shared" ref="P267" si="214">P245</f>
        <v>1649600</v>
      </c>
    </row>
    <row r="268" spans="1:16" x14ac:dyDescent="0.2">
      <c r="A268" s="50">
        <f t="shared" si="212"/>
        <v>0</v>
      </c>
      <c r="B268" s="1064">
        <f t="shared" si="212"/>
        <v>0</v>
      </c>
      <c r="C268" s="21">
        <f>C246</f>
        <v>0</v>
      </c>
      <c r="D268" s="59" t="s">
        <v>1250</v>
      </c>
      <c r="E268" s="33">
        <f>E246</f>
        <v>0</v>
      </c>
      <c r="F268" s="19">
        <f>IF(C268=E268,0,IF(C268=0,100,(E268-C268)/C268*100))</f>
        <v>0</v>
      </c>
      <c r="G268" s="20">
        <f t="shared" ref="G268:O268" si="215">G246</f>
        <v>0</v>
      </c>
      <c r="H268" s="21">
        <f t="shared" si="215"/>
        <v>0</v>
      </c>
      <c r="I268" s="21">
        <f t="shared" si="215"/>
        <v>0</v>
      </c>
      <c r="J268" s="22">
        <f t="shared" si="215"/>
        <v>0</v>
      </c>
      <c r="K268" s="21">
        <f t="shared" si="215"/>
        <v>0</v>
      </c>
      <c r="L268" s="20">
        <f t="shared" si="215"/>
        <v>0</v>
      </c>
      <c r="M268" s="20">
        <f t="shared" si="215"/>
        <v>0</v>
      </c>
      <c r="N268" s="21">
        <f t="shared" si="215"/>
        <v>0</v>
      </c>
      <c r="O268" s="21">
        <f t="shared" si="215"/>
        <v>0</v>
      </c>
      <c r="P268" s="31">
        <f t="shared" ref="P268" si="216">P246</f>
        <v>0</v>
      </c>
    </row>
    <row r="269" spans="1:16" x14ac:dyDescent="0.2">
      <c r="A269" s="50">
        <f t="shared" si="212"/>
        <v>111000</v>
      </c>
      <c r="B269" s="1064">
        <f t="shared" si="212"/>
        <v>20600</v>
      </c>
      <c r="C269" s="21">
        <f>C247</f>
        <v>38000</v>
      </c>
      <c r="D269" s="59" t="s">
        <v>4542</v>
      </c>
      <c r="E269" s="33">
        <f>E247</f>
        <v>0</v>
      </c>
      <c r="F269" s="19">
        <f>IF(C269=E269,0,IF(C269=0,100,(E269-C269)/C269*100))</f>
        <v>-100</v>
      </c>
      <c r="G269" s="21">
        <f t="shared" ref="G269:O269" si="217">G247</f>
        <v>0</v>
      </c>
      <c r="H269" s="20">
        <f t="shared" si="217"/>
        <v>0</v>
      </c>
      <c r="I269" s="21">
        <f t="shared" si="217"/>
        <v>0</v>
      </c>
      <c r="J269" s="21">
        <f t="shared" si="217"/>
        <v>0</v>
      </c>
      <c r="K269" s="22">
        <f t="shared" si="217"/>
        <v>0</v>
      </c>
      <c r="L269" s="21">
        <f t="shared" si="217"/>
        <v>0</v>
      </c>
      <c r="M269" s="20">
        <f t="shared" si="217"/>
        <v>0</v>
      </c>
      <c r="N269" s="21">
        <f t="shared" si="217"/>
        <v>0</v>
      </c>
      <c r="O269" s="21">
        <f t="shared" si="217"/>
        <v>0</v>
      </c>
      <c r="P269" s="31">
        <f t="shared" ref="P269" si="218">P247</f>
        <v>0</v>
      </c>
    </row>
    <row r="270" spans="1:16" ht="13.5" thickBot="1" x14ac:dyDescent="0.25">
      <c r="A270" s="50"/>
      <c r="B270" s="1064"/>
      <c r="C270" s="21"/>
      <c r="D270" s="230"/>
      <c r="E270" s="33"/>
      <c r="F270" s="19"/>
      <c r="G270" s="21"/>
      <c r="H270" s="20"/>
      <c r="I270" s="21"/>
      <c r="J270" s="21"/>
      <c r="K270" s="21"/>
      <c r="L270" s="21"/>
      <c r="M270" s="20"/>
      <c r="N270" s="21"/>
      <c r="O270" s="21"/>
      <c r="P270" s="31"/>
    </row>
    <row r="271" spans="1:16" s="40" customFormat="1" x14ac:dyDescent="0.2">
      <c r="A271" s="259">
        <f>SUM(A248:A270)</f>
        <v>519900</v>
      </c>
      <c r="B271" s="1074">
        <f>SUM(B248:B270)</f>
        <v>-191100</v>
      </c>
      <c r="C271" s="260">
        <f>SUM(C248:C270)</f>
        <v>1297000</v>
      </c>
      <c r="D271" s="859" t="s">
        <v>862</v>
      </c>
      <c r="E271" s="106">
        <f>SUM(E248:E270)</f>
        <v>-842000</v>
      </c>
      <c r="F271" s="261">
        <f>IF(C271=E271,0,IF(C271=0,100,(E271-C271)/C271*100))</f>
        <v>-164.91904394757131</v>
      </c>
      <c r="G271" s="80">
        <f t="shared" ref="G271:O271" si="219">SUM(G248:G270)</f>
        <v>-485100</v>
      </c>
      <c r="H271" s="81">
        <f t="shared" si="219"/>
        <v>-1043400</v>
      </c>
      <c r="I271" s="80">
        <f t="shared" si="219"/>
        <v>-624400</v>
      </c>
      <c r="J271" s="80">
        <f t="shared" si="219"/>
        <v>975800</v>
      </c>
      <c r="K271" s="80">
        <f t="shared" si="219"/>
        <v>-2430600</v>
      </c>
      <c r="L271" s="80">
        <f t="shared" si="219"/>
        <v>-1003000</v>
      </c>
      <c r="M271" s="81">
        <f t="shared" si="219"/>
        <v>-178700</v>
      </c>
      <c r="N271" s="80">
        <f t="shared" si="219"/>
        <v>99300</v>
      </c>
      <c r="O271" s="80">
        <f t="shared" si="219"/>
        <v>2584100</v>
      </c>
      <c r="P271" s="225">
        <f t="shared" ref="P271" si="220">SUM(P248:P270)</f>
        <v>3139200</v>
      </c>
    </row>
    <row r="272" spans="1:16" s="25" customFormat="1" x14ac:dyDescent="0.2">
      <c r="A272" s="211"/>
      <c r="B272" s="1059"/>
      <c r="C272" s="24"/>
      <c r="D272" s="59"/>
      <c r="E272" s="132"/>
      <c r="F272" s="19"/>
      <c r="G272" s="24"/>
      <c r="H272" s="26"/>
      <c r="I272" s="24"/>
      <c r="J272" s="24"/>
      <c r="K272" s="24"/>
      <c r="L272" s="24"/>
      <c r="M272" s="26"/>
      <c r="N272" s="24"/>
      <c r="O272" s="24"/>
      <c r="P272" s="36"/>
    </row>
    <row r="273" spans="1:16" s="25" customFormat="1" x14ac:dyDescent="0.2">
      <c r="A273" s="211"/>
      <c r="B273" s="24"/>
      <c r="C273" s="24"/>
      <c r="D273" s="551" t="s">
        <v>737</v>
      </c>
      <c r="E273" s="132"/>
      <c r="F273" s="19"/>
      <c r="G273" s="24"/>
      <c r="H273" s="26"/>
      <c r="I273" s="24"/>
      <c r="J273" s="24"/>
      <c r="K273" s="24"/>
      <c r="L273" s="24"/>
      <c r="M273" s="26"/>
      <c r="N273" s="24"/>
      <c r="O273" s="24"/>
      <c r="P273" s="36"/>
    </row>
    <row r="274" spans="1:16" x14ac:dyDescent="0.2">
      <c r="A274" s="50">
        <f>ROUND(A271-A275,-2)</f>
        <v>979100</v>
      </c>
      <c r="B274" s="21">
        <f>B271-B275</f>
        <v>966800</v>
      </c>
      <c r="C274" s="21">
        <f>'Cash-W'!C47</f>
        <v>461000</v>
      </c>
      <c r="D274" s="59" t="s">
        <v>2418</v>
      </c>
      <c r="E274" s="33">
        <f>'Cash-W'!F47</f>
        <v>288900</v>
      </c>
      <c r="F274" s="19"/>
      <c r="G274" s="21">
        <f>'Cash-W'!G47</f>
        <v>49500</v>
      </c>
      <c r="H274" s="20">
        <f>'Cash-W'!H47</f>
        <v>1121200</v>
      </c>
      <c r="I274" s="21">
        <f>'Cash-W'!I47</f>
        <v>119300</v>
      </c>
      <c r="J274" s="21">
        <f>'Cash-W'!J47</f>
        <v>477600</v>
      </c>
      <c r="K274" s="21">
        <f>'Cash-W'!K47</f>
        <v>-1540600</v>
      </c>
      <c r="L274" s="21">
        <f>'Cash-W'!L47</f>
        <v>1445000</v>
      </c>
      <c r="M274" s="20">
        <f>'Cash-W'!M47</f>
        <v>-291600</v>
      </c>
      <c r="N274" s="21">
        <f>'Cash-W'!N47</f>
        <v>184400</v>
      </c>
      <c r="O274" s="21">
        <f>'Cash-W'!O47</f>
        <v>1842800</v>
      </c>
      <c r="P274" s="31">
        <f>'Cash-W'!P47</f>
        <v>2352900</v>
      </c>
    </row>
    <row r="275" spans="1:16" s="25" customFormat="1" x14ac:dyDescent="0.2">
      <c r="A275" s="211">
        <v>-459200</v>
      </c>
      <c r="B275" s="24">
        <v>-1157900</v>
      </c>
      <c r="C275" s="24">
        <f>+C252+-'Cap-Water'!R68-C256+'W&amp;W'!D195</f>
        <v>836000</v>
      </c>
      <c r="D275" s="59" t="s">
        <v>2419</v>
      </c>
      <c r="E275" s="132">
        <f>+E252+-'Cap-Water'!V68-E256+'W&amp;W'!G195</f>
        <v>-1130900</v>
      </c>
      <c r="F275" s="19"/>
      <c r="G275" s="24">
        <f>+G252+-'Cap-Water'!Z68+'W&amp;W'!I195</f>
        <v>-534600</v>
      </c>
      <c r="H275" s="26">
        <f>+H252+-'Cap-Water'!AD68+'W&amp;W'!J195</f>
        <v>-2164600</v>
      </c>
      <c r="I275" s="24">
        <f>+I252+-'Cap-Water'!AH68+'W&amp;W'!K195</f>
        <v>-743700</v>
      </c>
      <c r="J275" s="24">
        <f>+J252+-'Cap-Water'!AL68+'W&amp;W'!L195</f>
        <v>498200</v>
      </c>
      <c r="K275" s="24">
        <f>+K252+-'Cap-Water'!AP68+'W&amp;W'!M195</f>
        <v>-890000</v>
      </c>
      <c r="L275" s="24">
        <f>+L252+-'Cap-Water'!AT68+'W&amp;W'!N195</f>
        <v>-2448000</v>
      </c>
      <c r="M275" s="24">
        <f>+M252+-'Cap-Water'!AX68+'W&amp;W'!O195</f>
        <v>112900</v>
      </c>
      <c r="N275" s="24">
        <f>+N252+-'Cap-Water'!BB68+'W&amp;W'!P195</f>
        <v>-85100</v>
      </c>
      <c r="O275" s="24">
        <f>+O252+-'Cap-Water'!BF68+'W&amp;W'!Q195</f>
        <v>741300</v>
      </c>
      <c r="P275" s="36">
        <f>+P252+-'Cap-Water'!BJ68+'W&amp;W'!R195</f>
        <v>786300</v>
      </c>
    </row>
    <row r="276" spans="1:16" s="44" customFormat="1" x14ac:dyDescent="0.2">
      <c r="A276" s="771">
        <f>SUM(A274:A275)</f>
        <v>519900</v>
      </c>
      <c r="B276" s="62">
        <f>SUM(B274:B275)</f>
        <v>-191100</v>
      </c>
      <c r="C276" s="62">
        <f>SUM(C274:C275)</f>
        <v>1297000</v>
      </c>
      <c r="D276" s="61" t="s">
        <v>5350</v>
      </c>
      <c r="E276" s="64">
        <f t="shared" ref="E276:M276" si="221">SUM(E274:E275)</f>
        <v>-842000</v>
      </c>
      <c r="F276" s="32"/>
      <c r="G276" s="62">
        <f t="shared" si="221"/>
        <v>-485100</v>
      </c>
      <c r="H276" s="65">
        <f t="shared" si="221"/>
        <v>-1043400</v>
      </c>
      <c r="I276" s="62">
        <f t="shared" si="221"/>
        <v>-624400</v>
      </c>
      <c r="J276" s="62">
        <f t="shared" si="221"/>
        <v>975800</v>
      </c>
      <c r="K276" s="62">
        <f t="shared" si="221"/>
        <v>-2430600</v>
      </c>
      <c r="L276" s="62">
        <f t="shared" si="221"/>
        <v>-1003000</v>
      </c>
      <c r="M276" s="62">
        <f t="shared" si="221"/>
        <v>-178700</v>
      </c>
      <c r="N276" s="62">
        <f t="shared" ref="N276" si="222">SUM(N274:N275)</f>
        <v>99300</v>
      </c>
      <c r="O276" s="62">
        <f t="shared" ref="O276" si="223">SUM(O274:O275)</f>
        <v>2584100</v>
      </c>
      <c r="P276" s="69">
        <f t="shared" ref="P276" si="224">SUM(P274:P275)</f>
        <v>3139200</v>
      </c>
    </row>
    <row r="277" spans="1:16" s="44" customFormat="1" x14ac:dyDescent="0.2">
      <c r="A277" s="771"/>
      <c r="B277" s="62"/>
      <c r="C277" s="62"/>
      <c r="D277" s="551"/>
      <c r="E277" s="64"/>
      <c r="F277" s="32"/>
      <c r="G277" s="62"/>
      <c r="H277" s="65"/>
      <c r="I277" s="62"/>
      <c r="J277" s="62"/>
      <c r="K277" s="62"/>
      <c r="L277" s="62"/>
      <c r="M277" s="65"/>
      <c r="N277" s="62"/>
      <c r="O277" s="62"/>
      <c r="P277" s="69"/>
    </row>
    <row r="278" spans="1:16" s="25" customFormat="1" x14ac:dyDescent="0.2">
      <c r="A278" s="211"/>
      <c r="B278" s="24"/>
      <c r="C278" s="24"/>
      <c r="D278" s="551" t="s">
        <v>2488</v>
      </c>
      <c r="E278" s="132"/>
      <c r="F278" s="19"/>
      <c r="G278" s="24"/>
      <c r="H278" s="26"/>
      <c r="I278" s="24"/>
      <c r="J278" s="24"/>
      <c r="K278" s="24"/>
      <c r="L278" s="24"/>
      <c r="M278" s="26"/>
      <c r="N278" s="24"/>
      <c r="O278" s="24"/>
      <c r="P278" s="36"/>
    </row>
    <row r="279" spans="1:16" x14ac:dyDescent="0.2">
      <c r="A279" s="50">
        <f>ROUND(3154900-542500+A274+171300-368700+18615-497000,-3)</f>
        <v>2916000</v>
      </c>
      <c r="B279" s="21">
        <f>A279+B274</f>
        <v>3882800</v>
      </c>
      <c r="C279" s="21">
        <f>B279+C274</f>
        <v>4343800</v>
      </c>
      <c r="D279" s="59" t="s">
        <v>2418</v>
      </c>
      <c r="E279" s="33">
        <f>C279+E274</f>
        <v>4632700</v>
      </c>
      <c r="F279" s="19"/>
      <c r="G279" s="21">
        <f>E279+G274</f>
        <v>4682200</v>
      </c>
      <c r="H279" s="20">
        <f t="shared" ref="H279:P280" si="225">G279+H274</f>
        <v>5803400</v>
      </c>
      <c r="I279" s="21">
        <f t="shared" si="225"/>
        <v>5922700</v>
      </c>
      <c r="J279" s="21">
        <f t="shared" si="225"/>
        <v>6400300</v>
      </c>
      <c r="K279" s="21">
        <f t="shared" si="225"/>
        <v>4859700</v>
      </c>
      <c r="L279" s="21">
        <f t="shared" si="225"/>
        <v>6304700</v>
      </c>
      <c r="M279" s="20">
        <f t="shared" si="225"/>
        <v>6013100</v>
      </c>
      <c r="N279" s="21">
        <f t="shared" si="225"/>
        <v>6197500</v>
      </c>
      <c r="O279" s="21">
        <f>N279+O274</f>
        <v>8040300</v>
      </c>
      <c r="P279" s="31">
        <f t="shared" si="225"/>
        <v>10393200</v>
      </c>
    </row>
    <row r="280" spans="1:16" s="25" customFormat="1" x14ac:dyDescent="0.2">
      <c r="A280" s="211">
        <f>ROUND(8574400+A275-368622,-3)</f>
        <v>7747000</v>
      </c>
      <c r="B280" s="24">
        <f>A280+B275</f>
        <v>6589100</v>
      </c>
      <c r="C280" s="24">
        <f>B280+C275</f>
        <v>7425100</v>
      </c>
      <c r="D280" s="59" t="s">
        <v>2419</v>
      </c>
      <c r="E280" s="132">
        <f>C280+E275</f>
        <v>6294200</v>
      </c>
      <c r="F280" s="19"/>
      <c r="G280" s="24">
        <f>E280+G275</f>
        <v>5759600</v>
      </c>
      <c r="H280" s="26">
        <f t="shared" si="225"/>
        <v>3595000</v>
      </c>
      <c r="I280" s="24">
        <f t="shared" si="225"/>
        <v>2851300</v>
      </c>
      <c r="J280" s="24">
        <f t="shared" si="225"/>
        <v>3349500</v>
      </c>
      <c r="K280" s="24">
        <f t="shared" si="225"/>
        <v>2459500</v>
      </c>
      <c r="L280" s="24">
        <f t="shared" si="225"/>
        <v>11500</v>
      </c>
      <c r="M280" s="24">
        <f t="shared" si="225"/>
        <v>124400</v>
      </c>
      <c r="N280" s="24">
        <f t="shared" si="225"/>
        <v>39300</v>
      </c>
      <c r="O280" s="24">
        <f t="shared" si="225"/>
        <v>780600</v>
      </c>
      <c r="P280" s="36">
        <f>O280+P275</f>
        <v>1566900</v>
      </c>
    </row>
    <row r="281" spans="1:16" s="44" customFormat="1" x14ac:dyDescent="0.2">
      <c r="A281" s="771">
        <f>SUM(A279:A280)</f>
        <v>10663000</v>
      </c>
      <c r="B281" s="62">
        <f>SUM(B279:B280)</f>
        <v>10471900</v>
      </c>
      <c r="C281" s="62">
        <f>SUM(C279:C280)</f>
        <v>11768900</v>
      </c>
      <c r="D281" s="61" t="s">
        <v>3306</v>
      </c>
      <c r="E281" s="64">
        <f t="shared" ref="E281:M281" si="226">SUM(E279:E280)</f>
        <v>10926900</v>
      </c>
      <c r="F281" s="32"/>
      <c r="G281" s="62">
        <f t="shared" si="226"/>
        <v>10441800</v>
      </c>
      <c r="H281" s="65">
        <f t="shared" si="226"/>
        <v>9398400</v>
      </c>
      <c r="I281" s="62">
        <f t="shared" si="226"/>
        <v>8774000</v>
      </c>
      <c r="J281" s="62">
        <f t="shared" si="226"/>
        <v>9749800</v>
      </c>
      <c r="K281" s="62">
        <f t="shared" si="226"/>
        <v>7319200</v>
      </c>
      <c r="L281" s="62">
        <f t="shared" si="226"/>
        <v>6316200</v>
      </c>
      <c r="M281" s="62">
        <f t="shared" si="226"/>
        <v>6137500</v>
      </c>
      <c r="N281" s="62">
        <f t="shared" ref="N281" si="227">SUM(N279:N280)</f>
        <v>6236800</v>
      </c>
      <c r="O281" s="62">
        <f t="shared" ref="O281" si="228">SUM(O279:O280)</f>
        <v>8820900</v>
      </c>
      <c r="P281" s="69">
        <f t="shared" ref="P281" si="229">SUM(P279:P280)</f>
        <v>11960100</v>
      </c>
    </row>
    <row r="282" spans="1:16" s="25" customFormat="1" ht="13.5" thickBot="1" x14ac:dyDescent="0.25">
      <c r="A282" s="256"/>
      <c r="B282" s="28"/>
      <c r="C282" s="28"/>
      <c r="D282" s="737"/>
      <c r="E282" s="835"/>
      <c r="F282" s="28"/>
      <c r="G282" s="28"/>
      <c r="H282" s="28"/>
      <c r="I282" s="28"/>
      <c r="J282" s="28"/>
      <c r="K282" s="28"/>
      <c r="L282" s="28"/>
      <c r="M282" s="28"/>
      <c r="N282" s="28"/>
      <c r="O282" s="28"/>
      <c r="P282" s="258"/>
    </row>
    <row r="283" spans="1:16" s="25" customFormat="1" ht="14.25" thickTop="1" thickBot="1" x14ac:dyDescent="0.25">
      <c r="A283" s="133"/>
      <c r="B283" s="35"/>
      <c r="C283" s="35"/>
      <c r="D283" s="35"/>
      <c r="E283" s="78"/>
      <c r="F283" s="68"/>
      <c r="G283" s="35"/>
      <c r="H283" s="35"/>
      <c r="I283" s="35"/>
      <c r="J283" s="35"/>
      <c r="K283" s="35"/>
      <c r="L283" s="35"/>
      <c r="M283" s="35"/>
      <c r="N283" s="35"/>
      <c r="O283" s="35"/>
      <c r="P283" s="35"/>
    </row>
    <row r="284" spans="1:16" ht="17.25" thickTop="1" thickBot="1" x14ac:dyDescent="0.3">
      <c r="A284" s="2842" t="s">
        <v>7036</v>
      </c>
      <c r="B284" s="2843"/>
      <c r="C284" s="2843"/>
      <c r="D284" s="2843"/>
      <c r="E284" s="2843"/>
      <c r="F284" s="2843"/>
      <c r="G284" s="2843"/>
      <c r="H284" s="2843"/>
      <c r="I284" s="2843"/>
      <c r="J284" s="2843"/>
      <c r="K284" s="2843"/>
      <c r="L284" s="2843"/>
      <c r="M284" s="2843"/>
      <c r="N284" s="2843"/>
      <c r="O284" s="2843"/>
      <c r="P284" s="2844"/>
    </row>
    <row r="285" spans="1:16" x14ac:dyDescent="0.2">
      <c r="A285" s="2845" t="str">
        <f>$A$126</f>
        <v>ACTUAL</v>
      </c>
      <c r="B285" s="2846"/>
      <c r="C285" s="2847"/>
      <c r="D285" s="2134" t="str">
        <f>$D$126</f>
        <v>ITEM</v>
      </c>
      <c r="E285" s="2839" t="s">
        <v>2253</v>
      </c>
      <c r="F285" s="2840"/>
      <c r="G285" s="2840"/>
      <c r="H285" s="2840"/>
      <c r="I285" s="2840"/>
      <c r="J285" s="2840"/>
      <c r="K285" s="2840"/>
      <c r="L285" s="2840"/>
      <c r="M285" s="2840"/>
      <c r="N285" s="2840"/>
      <c r="O285" s="2840"/>
      <c r="P285" s="2841"/>
    </row>
    <row r="286" spans="1:16" ht="13.5" thickBot="1" x14ac:dyDescent="0.25">
      <c r="A286" s="208" t="str">
        <f>A237</f>
        <v>2013/14</v>
      </c>
      <c r="B286" s="218" t="str">
        <f>B237</f>
        <v>2014/15</v>
      </c>
      <c r="C286" s="219" t="str">
        <f>C237</f>
        <v>2015/16</v>
      </c>
      <c r="D286" s="1991"/>
      <c r="E286" s="147" t="str">
        <f t="shared" ref="E286:O286" si="230">E237</f>
        <v>2016/17</v>
      </c>
      <c r="F286" s="48" t="str">
        <f t="shared" si="230"/>
        <v>%</v>
      </c>
      <c r="G286" s="219" t="str">
        <f t="shared" si="230"/>
        <v>2017/18</v>
      </c>
      <c r="H286" s="565" t="str">
        <f t="shared" si="230"/>
        <v>2018/19</v>
      </c>
      <c r="I286" s="219" t="str">
        <f t="shared" si="230"/>
        <v>2019/20</v>
      </c>
      <c r="J286" s="219" t="str">
        <f t="shared" si="230"/>
        <v>2020/21</v>
      </c>
      <c r="K286" s="565" t="str">
        <f t="shared" si="230"/>
        <v>2021/22</v>
      </c>
      <c r="L286" s="219" t="str">
        <f t="shared" si="230"/>
        <v>2022/23</v>
      </c>
      <c r="M286" s="565" t="str">
        <f t="shared" si="230"/>
        <v>2023/24</v>
      </c>
      <c r="N286" s="219" t="str">
        <f t="shared" si="230"/>
        <v>2024/25</v>
      </c>
      <c r="O286" s="219" t="str">
        <f t="shared" si="230"/>
        <v>2025/26</v>
      </c>
      <c r="P286" s="305" t="str">
        <f t="shared" ref="P286" si="231">P237</f>
        <v>2026/27</v>
      </c>
    </row>
    <row r="287" spans="1:16" x14ac:dyDescent="0.2">
      <c r="A287" s="50"/>
      <c r="B287" s="21"/>
      <c r="C287" s="21"/>
      <c r="D287" s="22"/>
      <c r="E287" s="33"/>
      <c r="F287" s="21"/>
      <c r="G287" s="21"/>
      <c r="H287" s="20"/>
      <c r="I287" s="21"/>
      <c r="J287" s="21"/>
      <c r="K287" s="20"/>
      <c r="L287" s="21"/>
      <c r="M287" s="20"/>
      <c r="N287" s="21"/>
      <c r="O287" s="21"/>
      <c r="P287" s="31"/>
    </row>
    <row r="288" spans="1:16" x14ac:dyDescent="0.2">
      <c r="A288" s="50"/>
      <c r="B288" s="21"/>
      <c r="C288" s="21"/>
      <c r="D288" s="58" t="s">
        <v>2596</v>
      </c>
      <c r="E288" s="33"/>
      <c r="F288" s="21"/>
      <c r="G288" s="21"/>
      <c r="H288" s="20"/>
      <c r="I288" s="21"/>
      <c r="J288" s="21"/>
      <c r="K288" s="20"/>
      <c r="L288" s="21"/>
      <c r="M288" s="20"/>
      <c r="N288" s="21"/>
      <c r="O288" s="21"/>
      <c r="P288" s="31"/>
    </row>
    <row r="289" spans="1:16" x14ac:dyDescent="0.2">
      <c r="A289" s="50"/>
      <c r="B289" s="21"/>
      <c r="C289" s="21"/>
      <c r="D289" s="58"/>
      <c r="E289" s="33"/>
      <c r="F289" s="19"/>
      <c r="G289" s="21"/>
      <c r="H289" s="20"/>
      <c r="I289" s="21"/>
      <c r="J289" s="21"/>
      <c r="K289" s="20"/>
      <c r="L289" s="21"/>
      <c r="M289" s="20"/>
      <c r="N289" s="21"/>
      <c r="O289" s="21"/>
      <c r="P289" s="31"/>
    </row>
    <row r="290" spans="1:16" x14ac:dyDescent="0.2">
      <c r="A290" s="50">
        <f>'Cash-WW'!A6</f>
        <v>14462800</v>
      </c>
      <c r="B290" s="21">
        <f>'Cash-WW'!B6</f>
        <v>15355900</v>
      </c>
      <c r="C290" s="21">
        <f>'Cash-WW'!C6</f>
        <v>16363900</v>
      </c>
      <c r="D290" s="59" t="s">
        <v>393</v>
      </c>
      <c r="E290" s="33">
        <f>'Cash-WW'!F6</f>
        <v>17705900</v>
      </c>
      <c r="F290" s="19">
        <f>IF(C290=E290,0,IF(C290=0,100,(E290-C290)/C290*100))</f>
        <v>8.2009789842274756</v>
      </c>
      <c r="G290" s="21">
        <f>'Cash-WW'!G6</f>
        <v>18138500</v>
      </c>
      <c r="H290" s="20">
        <f>'Cash-WW'!H6</f>
        <v>18603000</v>
      </c>
      <c r="I290" s="21">
        <f>'Cash-WW'!I6</f>
        <v>19115500</v>
      </c>
      <c r="J290" s="21">
        <f>'Cash-WW'!J6</f>
        <v>19843000</v>
      </c>
      <c r="K290" s="20">
        <f>'Cash-WW'!K6</f>
        <v>20400000</v>
      </c>
      <c r="L290" s="21">
        <f>'Cash-WW'!L6</f>
        <v>21021900</v>
      </c>
      <c r="M290" s="20">
        <f>'Cash-WW'!M6</f>
        <v>21627500</v>
      </c>
      <c r="N290" s="21">
        <f>'Cash-WW'!N6</f>
        <v>22327800</v>
      </c>
      <c r="O290" s="21">
        <f>'Cash-WW'!O6</f>
        <v>23121500</v>
      </c>
      <c r="P290" s="31">
        <f>'Cash-WW'!P6</f>
        <v>23940600</v>
      </c>
    </row>
    <row r="291" spans="1:16" ht="13.5" thickBot="1" x14ac:dyDescent="0.25">
      <c r="A291" s="50">
        <f>'Cash-WW'!A7</f>
        <v>13987000</v>
      </c>
      <c r="B291" s="21">
        <f>'Cash-WW'!B7</f>
        <v>13866900</v>
      </c>
      <c r="C291" s="21">
        <f>'Cash-WW'!C7</f>
        <v>13468900</v>
      </c>
      <c r="D291" s="59" t="s">
        <v>1115</v>
      </c>
      <c r="E291" s="33">
        <f>'Cash-WW'!F7</f>
        <v>14260700</v>
      </c>
      <c r="F291" s="19">
        <f>IF(C291=E291,0,IF(C291=0,100,(E291-C291)/C291*100))</f>
        <v>5.8787280327272455</v>
      </c>
      <c r="G291" s="21">
        <f>'Cash-WW'!G7</f>
        <v>13831500</v>
      </c>
      <c r="H291" s="20">
        <f>'Cash-WW'!H7</f>
        <v>13725400</v>
      </c>
      <c r="I291" s="21">
        <f>'Cash-WW'!I7</f>
        <v>13831600</v>
      </c>
      <c r="J291" s="21">
        <f>'Cash-WW'!J7</f>
        <v>13931700</v>
      </c>
      <c r="K291" s="20">
        <f>'Cash-WW'!K7</f>
        <v>13944700</v>
      </c>
      <c r="L291" s="21">
        <f>'Cash-WW'!L7</f>
        <v>14022200</v>
      </c>
      <c r="M291" s="20">
        <f>'Cash-WW'!M7</f>
        <v>14000600</v>
      </c>
      <c r="N291" s="21">
        <f>'Cash-WW'!N7</f>
        <v>14028500</v>
      </c>
      <c r="O291" s="21">
        <f>'Cash-WW'!O7</f>
        <v>13996300</v>
      </c>
      <c r="P291" s="31">
        <f>'Cash-WW'!P7</f>
        <v>14028400</v>
      </c>
    </row>
    <row r="292" spans="1:16" s="40" customFormat="1" x14ac:dyDescent="0.2">
      <c r="A292" s="222">
        <f>A290-A291</f>
        <v>475800</v>
      </c>
      <c r="B292" s="80">
        <f>B290-B291</f>
        <v>1489000</v>
      </c>
      <c r="C292" s="80">
        <f>C290-C291</f>
        <v>2895000</v>
      </c>
      <c r="D292" s="223" t="s">
        <v>5475</v>
      </c>
      <c r="E292" s="106">
        <f t="shared" ref="E292:M292" si="232">E290-E291</f>
        <v>3445200</v>
      </c>
      <c r="F292" s="369">
        <f>IF(C292=E292,0,IF(C292=0,100,(E292-C292)/C292*100))</f>
        <v>19.005181347150259</v>
      </c>
      <c r="G292" s="80">
        <f t="shared" si="232"/>
        <v>4307000</v>
      </c>
      <c r="H292" s="81">
        <f t="shared" si="232"/>
        <v>4877600</v>
      </c>
      <c r="I292" s="80">
        <f t="shared" si="232"/>
        <v>5283900</v>
      </c>
      <c r="J292" s="80">
        <f t="shared" si="232"/>
        <v>5911300</v>
      </c>
      <c r="K292" s="81">
        <f t="shared" si="232"/>
        <v>6455300</v>
      </c>
      <c r="L292" s="80">
        <f t="shared" si="232"/>
        <v>6999700</v>
      </c>
      <c r="M292" s="81">
        <f t="shared" si="232"/>
        <v>7626900</v>
      </c>
      <c r="N292" s="80">
        <f t="shared" ref="N292" si="233">N290-N291</f>
        <v>8299300</v>
      </c>
      <c r="O292" s="80">
        <f t="shared" ref="O292" si="234">O290-O291</f>
        <v>9125200</v>
      </c>
      <c r="P292" s="225">
        <f t="shared" ref="P292" si="235">P290-P291</f>
        <v>9912200</v>
      </c>
    </row>
    <row r="293" spans="1:16" x14ac:dyDescent="0.2">
      <c r="A293" s="50"/>
      <c r="B293" s="21"/>
      <c r="C293" s="21"/>
      <c r="D293" s="58"/>
      <c r="E293" s="33"/>
      <c r="F293" s="19"/>
      <c r="G293" s="21"/>
      <c r="H293" s="20"/>
      <c r="I293" s="21"/>
      <c r="J293" s="21"/>
      <c r="K293" s="21"/>
      <c r="L293" s="21"/>
      <c r="M293" s="20"/>
      <c r="N293" s="21"/>
      <c r="O293" s="21"/>
      <c r="P293" s="31"/>
    </row>
    <row r="294" spans="1:16" x14ac:dyDescent="0.2">
      <c r="A294" s="50">
        <f>'Cash-WW'!A10</f>
        <v>2643100</v>
      </c>
      <c r="B294" s="21">
        <f>'Cash-WW'!B10</f>
        <v>2314300</v>
      </c>
      <c r="C294" s="21">
        <f>'Cash-WW'!C10</f>
        <v>3531900</v>
      </c>
      <c r="D294" s="59" t="s">
        <v>564</v>
      </c>
      <c r="E294" s="33">
        <f>'Cash-WW'!F10</f>
        <v>2678000</v>
      </c>
      <c r="F294" s="19">
        <f>IF(C294=E294,0,IF(C294=0,100,(E294-C294)/C294*100))</f>
        <v>-24.176788697301735</v>
      </c>
      <c r="G294" s="21">
        <f>'Cash-WW'!G10</f>
        <v>3775000</v>
      </c>
      <c r="H294" s="20">
        <f>'Cash-WW'!H10</f>
        <v>3851000</v>
      </c>
      <c r="I294" s="21">
        <f>'Cash-WW'!I10</f>
        <v>3928000</v>
      </c>
      <c r="J294" s="21">
        <f>'Cash-WW'!J10</f>
        <v>4007000</v>
      </c>
      <c r="K294" s="21">
        <f>'Cash-WW'!K10</f>
        <v>4087000</v>
      </c>
      <c r="L294" s="21">
        <f>'Cash-WW'!L10</f>
        <v>4169000</v>
      </c>
      <c r="M294" s="20">
        <f>'Cash-WW'!M10</f>
        <v>4252000</v>
      </c>
      <c r="N294" s="21">
        <f>'Cash-WW'!N10</f>
        <v>4337000</v>
      </c>
      <c r="O294" s="21">
        <f>'Cash-WW'!O10</f>
        <v>4424000</v>
      </c>
      <c r="P294" s="31">
        <f>'Cash-WW'!P10</f>
        <v>4512000</v>
      </c>
    </row>
    <row r="295" spans="1:16" x14ac:dyDescent="0.2">
      <c r="A295" s="50">
        <f>'Cash-WW'!A11</f>
        <v>394000</v>
      </c>
      <c r="B295" s="21">
        <f>'Cash-WW'!B11</f>
        <v>349200</v>
      </c>
      <c r="C295" s="21">
        <f>'Cash-WW'!C11</f>
        <v>301100</v>
      </c>
      <c r="D295" s="59" t="s">
        <v>4239</v>
      </c>
      <c r="E295" s="33">
        <f>'Cash-WW'!F11</f>
        <v>249000</v>
      </c>
      <c r="F295" s="19">
        <f>IF(C295=E295,0,IF(C295=0,100,(E295-C295)/C295*100))</f>
        <v>-17.303221521089341</v>
      </c>
      <c r="G295" s="21">
        <f>'Cash-WW'!G11</f>
        <v>194000</v>
      </c>
      <c r="H295" s="20">
        <f>'Cash-WW'!H11</f>
        <v>134000</v>
      </c>
      <c r="I295" s="21">
        <f>'Cash-WW'!I11</f>
        <v>69000</v>
      </c>
      <c r="J295" s="21">
        <f>'Cash-WW'!J11</f>
        <v>0</v>
      </c>
      <c r="K295" s="21">
        <f>'Cash-WW'!K11</f>
        <v>0</v>
      </c>
      <c r="L295" s="21">
        <f>'Cash-WW'!L11</f>
        <v>0</v>
      </c>
      <c r="M295" s="20">
        <f>'Cash-WW'!M11</f>
        <v>0</v>
      </c>
      <c r="N295" s="21">
        <f>'Cash-WW'!N11</f>
        <v>0</v>
      </c>
      <c r="O295" s="21">
        <f>'Cash-WW'!O11</f>
        <v>0</v>
      </c>
      <c r="P295" s="31">
        <f>'Cash-WW'!P11</f>
        <v>0</v>
      </c>
    </row>
    <row r="296" spans="1:16" ht="13.5" thickBot="1" x14ac:dyDescent="0.25">
      <c r="A296" s="50">
        <f>'Cash-WW'!A12</f>
        <v>20300</v>
      </c>
      <c r="B296" s="21">
        <f>'Cash-WW'!B12</f>
        <v>12216800</v>
      </c>
      <c r="C296" s="21">
        <f>'Cash-WW'!C12</f>
        <v>10800</v>
      </c>
      <c r="D296" s="59" t="s">
        <v>4547</v>
      </c>
      <c r="E296" s="33">
        <f>'Cash-WW'!F12</f>
        <v>0</v>
      </c>
      <c r="F296" s="19">
        <f>IF(C296=E296,0,IF(C296=0,100,(E296-C296)/C296*100))</f>
        <v>-100</v>
      </c>
      <c r="G296" s="21">
        <f>'Cash-WW'!G12</f>
        <v>0</v>
      </c>
      <c r="H296" s="20">
        <f>'Cash-WW'!H12</f>
        <v>0</v>
      </c>
      <c r="I296" s="21">
        <f>'Cash-WW'!I12</f>
        <v>0</v>
      </c>
      <c r="J296" s="21">
        <f>'Cash-WW'!J12</f>
        <v>0</v>
      </c>
      <c r="K296" s="21">
        <f>'Cash-WW'!K12</f>
        <v>0</v>
      </c>
      <c r="L296" s="21">
        <f>'Cash-WW'!L12</f>
        <v>0</v>
      </c>
      <c r="M296" s="20">
        <f>'Cash-WW'!M12</f>
        <v>0</v>
      </c>
      <c r="N296" s="21">
        <f>'Cash-WW'!N12</f>
        <v>0</v>
      </c>
      <c r="O296" s="21">
        <f>'Cash-WW'!O12</f>
        <v>0</v>
      </c>
      <c r="P296" s="31">
        <f>'Cash-WW'!P12</f>
        <v>0</v>
      </c>
    </row>
    <row r="297" spans="1:16" s="40" customFormat="1" x14ac:dyDescent="0.2">
      <c r="A297" s="222">
        <f>A292-A294-A295-A296</f>
        <v>-2581600</v>
      </c>
      <c r="B297" s="80">
        <f>B292-B294-B295-B296</f>
        <v>-13391300</v>
      </c>
      <c r="C297" s="80">
        <f>C292-C294-C295-C296</f>
        <v>-948800</v>
      </c>
      <c r="D297" s="1073" t="s">
        <v>1600</v>
      </c>
      <c r="E297" s="106">
        <f t="shared" ref="E297:N297" si="236">E292-E294-E295-E296</f>
        <v>518200</v>
      </c>
      <c r="F297" s="369">
        <f>IF(C297=E297,0,IF(C297=0,100,(E297-C297)/C297*100))</f>
        <v>-154.61635750421584</v>
      </c>
      <c r="G297" s="81">
        <f t="shared" si="236"/>
        <v>338000</v>
      </c>
      <c r="H297" s="81">
        <f t="shared" si="236"/>
        <v>892600</v>
      </c>
      <c r="I297" s="81">
        <f t="shared" si="236"/>
        <v>1286900</v>
      </c>
      <c r="J297" s="81">
        <f t="shared" si="236"/>
        <v>1904300</v>
      </c>
      <c r="K297" s="81">
        <f t="shared" si="236"/>
        <v>2368300</v>
      </c>
      <c r="L297" s="81">
        <f t="shared" si="236"/>
        <v>2830700</v>
      </c>
      <c r="M297" s="81">
        <f t="shared" si="236"/>
        <v>3374900</v>
      </c>
      <c r="N297" s="80">
        <f t="shared" si="236"/>
        <v>3962300</v>
      </c>
      <c r="O297" s="80">
        <f t="shared" ref="O297" si="237">O292-O294-O295-O296</f>
        <v>4701200</v>
      </c>
      <c r="P297" s="225">
        <f t="shared" ref="P297" si="238">P292-P294-P295-P296</f>
        <v>5400200</v>
      </c>
    </row>
    <row r="298" spans="1:16" x14ac:dyDescent="0.2">
      <c r="A298" s="50"/>
      <c r="B298" s="21"/>
      <c r="C298" s="21"/>
      <c r="D298" s="59"/>
      <c r="E298" s="33"/>
      <c r="F298" s="19"/>
      <c r="G298" s="21"/>
      <c r="H298" s="20"/>
      <c r="I298" s="21"/>
      <c r="J298" s="21"/>
      <c r="K298" s="20"/>
      <c r="L298" s="21"/>
      <c r="M298" s="20"/>
      <c r="N298" s="21"/>
      <c r="O298" s="21"/>
      <c r="P298" s="31"/>
    </row>
    <row r="299" spans="1:16" x14ac:dyDescent="0.2">
      <c r="A299" s="50"/>
      <c r="B299" s="21"/>
      <c r="C299" s="21"/>
      <c r="D299" s="58" t="s">
        <v>1457</v>
      </c>
      <c r="E299" s="33"/>
      <c r="F299" s="19"/>
      <c r="G299" s="21"/>
      <c r="H299" s="20"/>
      <c r="I299" s="21"/>
      <c r="J299" s="21"/>
      <c r="K299" s="20"/>
      <c r="L299" s="21"/>
      <c r="M299" s="20"/>
      <c r="N299" s="21"/>
      <c r="O299" s="21"/>
      <c r="P299" s="31"/>
    </row>
    <row r="300" spans="1:16" x14ac:dyDescent="0.2">
      <c r="A300" s="50">
        <f>'Cash-WW'!A17</f>
        <v>0</v>
      </c>
      <c r="B300" s="21">
        <f>'Cash-WW'!B17</f>
        <v>0</v>
      </c>
      <c r="C300" s="21">
        <f>'Cash-WW'!C17</f>
        <v>0</v>
      </c>
      <c r="D300" s="60" t="s">
        <v>2718</v>
      </c>
      <c r="E300" s="33">
        <f>'Cash-WW'!F17</f>
        <v>0</v>
      </c>
      <c r="F300" s="19">
        <f>IF(C300=E300,0,IF(C300=0,100,(E300-C300)/C300*100))</f>
        <v>0</v>
      </c>
      <c r="G300" s="21">
        <f>'Cash-WW'!G17</f>
        <v>0</v>
      </c>
      <c r="H300" s="20">
        <f>'Cash-WW'!H17</f>
        <v>0</v>
      </c>
      <c r="I300" s="21">
        <f>'Cash-WW'!I17</f>
        <v>0</v>
      </c>
      <c r="J300" s="21">
        <f>'Cash-WW'!J17</f>
        <v>0</v>
      </c>
      <c r="K300" s="20">
        <f>'Cash-WW'!K17</f>
        <v>0</v>
      </c>
      <c r="L300" s="21">
        <f>'Cash-WW'!L17</f>
        <v>0</v>
      </c>
      <c r="M300" s="20">
        <f>'Cash-WW'!M17</f>
        <v>0</v>
      </c>
      <c r="N300" s="21">
        <f>'Cash-WW'!N17</f>
        <v>0</v>
      </c>
      <c r="O300" s="21">
        <f>'Cash-WW'!O17</f>
        <v>0</v>
      </c>
      <c r="P300" s="31">
        <f>'Cash-WW'!P17</f>
        <v>0</v>
      </c>
    </row>
    <row r="301" spans="1:16" x14ac:dyDescent="0.2">
      <c r="A301" s="50">
        <f>'Cash-WW'!A18</f>
        <v>1351900</v>
      </c>
      <c r="B301" s="21">
        <f>'Cash-WW'!B18</f>
        <v>1385900</v>
      </c>
      <c r="C301" s="21">
        <f>'Cash-WW'!C18</f>
        <v>1724500</v>
      </c>
      <c r="D301" s="22" t="s">
        <v>332</v>
      </c>
      <c r="E301" s="33">
        <f>'Cash-WW'!F18</f>
        <v>1300000</v>
      </c>
      <c r="F301" s="19">
        <f>IF(C301=E301,0,IF(C301=0,100,(E301-C301)/C301*100))</f>
        <v>-24.615830675558133</v>
      </c>
      <c r="G301" s="21">
        <f>'Cash-WW'!G18</f>
        <v>1500000</v>
      </c>
      <c r="H301" s="20">
        <f>'Cash-WW'!H18</f>
        <v>1530000</v>
      </c>
      <c r="I301" s="21">
        <f>'Cash-WW'!I18</f>
        <v>1570000</v>
      </c>
      <c r="J301" s="21">
        <f>'Cash-WW'!J18</f>
        <v>1610000</v>
      </c>
      <c r="K301" s="20">
        <f>'Cash-WW'!K18</f>
        <v>1660000</v>
      </c>
      <c r="L301" s="21">
        <f>'Cash-WW'!L18</f>
        <v>1700000</v>
      </c>
      <c r="M301" s="20">
        <f>'Cash-WW'!M18</f>
        <v>1740000</v>
      </c>
      <c r="N301" s="21">
        <f>'Cash-WW'!N18</f>
        <v>1780000</v>
      </c>
      <c r="O301" s="21">
        <f>'Cash-WW'!O18</f>
        <v>1820000</v>
      </c>
      <c r="P301" s="31">
        <f>'Cash-WW'!P18</f>
        <v>1860000</v>
      </c>
    </row>
    <row r="302" spans="1:16" x14ac:dyDescent="0.2">
      <c r="A302" s="50"/>
      <c r="B302" s="21"/>
      <c r="C302" s="21"/>
      <c r="D302" s="22"/>
      <c r="E302" s="33"/>
      <c r="F302" s="19"/>
      <c r="G302" s="21"/>
      <c r="H302" s="20"/>
      <c r="I302" s="21"/>
      <c r="J302" s="21"/>
      <c r="K302" s="20"/>
      <c r="L302" s="21"/>
      <c r="M302" s="20"/>
      <c r="N302" s="21"/>
      <c r="O302" s="21"/>
      <c r="P302" s="31"/>
    </row>
    <row r="303" spans="1:16" x14ac:dyDescent="0.2">
      <c r="A303" s="50"/>
      <c r="B303" s="21"/>
      <c r="C303" s="21"/>
      <c r="D303" s="58" t="s">
        <v>700</v>
      </c>
      <c r="E303" s="33"/>
      <c r="F303" s="19"/>
      <c r="G303" s="21"/>
      <c r="H303" s="20"/>
      <c r="I303" s="21"/>
      <c r="J303" s="21"/>
      <c r="K303" s="20"/>
      <c r="L303" s="21"/>
      <c r="M303" s="20"/>
      <c r="N303" s="21"/>
      <c r="O303" s="21"/>
      <c r="P303" s="31"/>
    </row>
    <row r="304" spans="1:16" x14ac:dyDescent="0.2">
      <c r="A304" s="50">
        <f>'Cash-WW'!A36</f>
        <v>690000</v>
      </c>
      <c r="B304" s="21">
        <f>'Cash-WW'!B37</f>
        <v>0</v>
      </c>
      <c r="C304" s="21">
        <f>'Cash-WW'!C37</f>
        <v>0</v>
      </c>
      <c r="D304" s="35" t="s">
        <v>2196</v>
      </c>
      <c r="E304" s="33">
        <f>'Cash-WW'!F37</f>
        <v>0</v>
      </c>
      <c r="F304" s="138">
        <f>IF(C304=E304,0,IF(C304=0,100,(E304-C304)/C304*100))</f>
        <v>0</v>
      </c>
      <c r="G304" s="21">
        <f>'Cash-WW'!G37</f>
        <v>0</v>
      </c>
      <c r="H304" s="20">
        <f>'Cash-WW'!H37</f>
        <v>0</v>
      </c>
      <c r="I304" s="21">
        <f>'Cash-WW'!I37</f>
        <v>0</v>
      </c>
      <c r="J304" s="21">
        <f>'Cash-WW'!J37</f>
        <v>0</v>
      </c>
      <c r="K304" s="20">
        <f>'Cash-WW'!K37</f>
        <v>0</v>
      </c>
      <c r="L304" s="21">
        <f>'Cash-WW'!L37</f>
        <v>0</v>
      </c>
      <c r="M304" s="20">
        <f>'Cash-WW'!M37</f>
        <v>0</v>
      </c>
      <c r="N304" s="21">
        <f>'Cash-WW'!N37</f>
        <v>0</v>
      </c>
      <c r="O304" s="21">
        <f>'Cash-WW'!O37</f>
        <v>0</v>
      </c>
      <c r="P304" s="31">
        <f>'Cash-WW'!P37</f>
        <v>0</v>
      </c>
    </row>
    <row r="305" spans="1:16" x14ac:dyDescent="0.2">
      <c r="A305" s="50">
        <f>'Cash-WW'!A34</f>
        <v>559600</v>
      </c>
      <c r="B305" s="21">
        <f>'Cash-WW'!B34</f>
        <v>409000</v>
      </c>
      <c r="C305" s="21">
        <f>'Cash-WW'!C36</f>
        <v>0</v>
      </c>
      <c r="D305" s="35" t="s">
        <v>3620</v>
      </c>
      <c r="E305" s="33">
        <f>'Cash-WW'!F36</f>
        <v>0</v>
      </c>
      <c r="F305" s="138">
        <f>IF(C305=E305,0,IF(C305=0,100,(E305-C305)/C305*100))</f>
        <v>0</v>
      </c>
      <c r="G305" s="21">
        <f>'Cash-WW'!G36</f>
        <v>0</v>
      </c>
      <c r="H305" s="20">
        <f>'Cash-WW'!H36</f>
        <v>0</v>
      </c>
      <c r="I305" s="21">
        <f>'Cash-WW'!I36</f>
        <v>0</v>
      </c>
      <c r="J305" s="21">
        <f>'Cash-WW'!J36</f>
        <v>0</v>
      </c>
      <c r="K305" s="20">
        <f>'Cash-WW'!K36</f>
        <v>0</v>
      </c>
      <c r="L305" s="21">
        <f>'Cash-WW'!L36</f>
        <v>0</v>
      </c>
      <c r="M305" s="20">
        <f>'Cash-WW'!M36</f>
        <v>0</v>
      </c>
      <c r="N305" s="21">
        <f>'Cash-WW'!N36</f>
        <v>0</v>
      </c>
      <c r="O305" s="21">
        <f>'Cash-WW'!O36</f>
        <v>0</v>
      </c>
      <c r="P305" s="31">
        <f>'Cash-WW'!P36</f>
        <v>0</v>
      </c>
    </row>
    <row r="306" spans="1:16" x14ac:dyDescent="0.2">
      <c r="A306" s="50"/>
      <c r="B306" s="21"/>
      <c r="C306" s="21"/>
      <c r="D306" s="58"/>
      <c r="E306" s="33"/>
      <c r="F306" s="19"/>
      <c r="G306" s="21"/>
      <c r="H306" s="20"/>
      <c r="I306" s="21"/>
      <c r="J306" s="21"/>
      <c r="K306" s="20"/>
      <c r="L306" s="21"/>
      <c r="M306" s="20"/>
      <c r="N306" s="21"/>
      <c r="O306" s="21"/>
      <c r="P306" s="31"/>
    </row>
    <row r="307" spans="1:16" x14ac:dyDescent="0.2">
      <c r="A307" s="50"/>
      <c r="B307" s="21"/>
      <c r="C307" s="21"/>
      <c r="D307" s="58" t="s">
        <v>2905</v>
      </c>
      <c r="E307" s="33"/>
      <c r="F307" s="19"/>
      <c r="G307" s="21"/>
      <c r="H307" s="20"/>
      <c r="I307" s="21"/>
      <c r="J307" s="21"/>
      <c r="K307" s="20"/>
      <c r="L307" s="20"/>
      <c r="M307" s="20"/>
      <c r="N307" s="21"/>
      <c r="O307" s="21"/>
      <c r="P307" s="31"/>
    </row>
    <row r="308" spans="1:16" x14ac:dyDescent="0.2">
      <c r="A308" s="50">
        <f>'Cash-WW'!A39</f>
        <v>-8112100</v>
      </c>
      <c r="B308" s="21">
        <f>'Cash-WW'!B39</f>
        <v>-4320400</v>
      </c>
      <c r="C308" s="21">
        <f>'Cash-WW'!C39</f>
        <v>-2267300</v>
      </c>
      <c r="D308" s="35" t="s">
        <v>1897</v>
      </c>
      <c r="E308" s="33">
        <f>'Cash-WW'!F39</f>
        <v>-5792000</v>
      </c>
      <c r="F308" s="138">
        <f>IF(C308=E308,0,IF(C308=0,100,(E308-C308)/C308*100))</f>
        <v>155.45803378467781</v>
      </c>
      <c r="G308" s="21">
        <f>'Cash-WW'!G39</f>
        <v>-5247000</v>
      </c>
      <c r="H308" s="20">
        <f>'Cash-WW'!H39</f>
        <v>-4732000</v>
      </c>
      <c r="I308" s="21">
        <f>'Cash-WW'!I39</f>
        <v>-6279400</v>
      </c>
      <c r="J308" s="21">
        <f>'Cash-WW'!J39</f>
        <v>-6374300</v>
      </c>
      <c r="K308" s="21">
        <f>'Cash-WW'!K39</f>
        <v>-4650000</v>
      </c>
      <c r="L308" s="20">
        <f>'Cash-WW'!L39</f>
        <v>-4988000</v>
      </c>
      <c r="M308" s="20">
        <f>'Cash-WW'!M39</f>
        <v>-1088000</v>
      </c>
      <c r="N308" s="21">
        <f>'Cash-WW'!N39</f>
        <v>-1106000</v>
      </c>
      <c r="O308" s="21">
        <f>'Cash-WW'!O39</f>
        <v>-1227000</v>
      </c>
      <c r="P308" s="31">
        <f>'Cash-WW'!P39</f>
        <v>-1168000</v>
      </c>
    </row>
    <row r="309" spans="1:16" x14ac:dyDescent="0.2">
      <c r="A309" s="50">
        <f>-A305</f>
        <v>-559600</v>
      </c>
      <c r="B309" s="21">
        <f>-B305</f>
        <v>-409000</v>
      </c>
      <c r="C309" s="21">
        <f>-C305</f>
        <v>0</v>
      </c>
      <c r="D309" s="35" t="s">
        <v>3621</v>
      </c>
      <c r="E309" s="33">
        <f t="shared" ref="E309:M309" si="239">-E305</f>
        <v>0</v>
      </c>
      <c r="F309" s="138">
        <f>IF(C309=E309,0,IF(C309=0,100,(E309-C309)/C309*100))</f>
        <v>0</v>
      </c>
      <c r="G309" s="20">
        <f t="shared" si="239"/>
        <v>0</v>
      </c>
      <c r="H309" s="20">
        <f t="shared" si="239"/>
        <v>0</v>
      </c>
      <c r="I309" s="20">
        <f t="shared" si="239"/>
        <v>0</v>
      </c>
      <c r="J309" s="20">
        <f t="shared" si="239"/>
        <v>0</v>
      </c>
      <c r="K309" s="20">
        <f t="shared" si="239"/>
        <v>0</v>
      </c>
      <c r="L309" s="20">
        <f t="shared" si="239"/>
        <v>0</v>
      </c>
      <c r="M309" s="20">
        <f t="shared" si="239"/>
        <v>0</v>
      </c>
      <c r="N309" s="21">
        <f t="shared" ref="N309" si="240">-N305</f>
        <v>0</v>
      </c>
      <c r="O309" s="21">
        <f t="shared" ref="O309" si="241">-O305</f>
        <v>0</v>
      </c>
      <c r="P309" s="31">
        <f t="shared" ref="P309" si="242">-P305</f>
        <v>0</v>
      </c>
    </row>
    <row r="310" spans="1:16" x14ac:dyDescent="0.2">
      <c r="A310" s="50">
        <f>'Cash-WW'!A40</f>
        <v>-2384800</v>
      </c>
      <c r="B310" s="21">
        <f>'Cash-WW'!B40</f>
        <v>-2187900</v>
      </c>
      <c r="C310" s="21">
        <f>'Cash-WW'!C40</f>
        <v>-2793300</v>
      </c>
      <c r="D310" s="60" t="s">
        <v>1425</v>
      </c>
      <c r="E310" s="33">
        <f>'Cash-WW'!F40</f>
        <v>-2957900</v>
      </c>
      <c r="F310" s="138">
        <f>IF(C310=E310,0,IF(C310=0,100,(E310-C310)/C310*100))</f>
        <v>5.8926717502595496</v>
      </c>
      <c r="G310" s="21">
        <f>'Cash-WW'!G40</f>
        <v>-3095600</v>
      </c>
      <c r="H310" s="20">
        <f>'Cash-WW'!H40</f>
        <v>-3134000</v>
      </c>
      <c r="I310" s="21">
        <f>'Cash-WW'!I40</f>
        <v>-3280300</v>
      </c>
      <c r="J310" s="21">
        <f>'Cash-WW'!J40</f>
        <v>-2453500</v>
      </c>
      <c r="K310" s="20">
        <f>'Cash-WW'!K40</f>
        <v>-2654100</v>
      </c>
      <c r="L310" s="20">
        <f>'Cash-WW'!L40</f>
        <v>-2844100</v>
      </c>
      <c r="M310" s="20">
        <f>'Cash-WW'!M40</f>
        <v>-3037000</v>
      </c>
      <c r="N310" s="21">
        <f>'Cash-WW'!N40</f>
        <v>-3235000</v>
      </c>
      <c r="O310" s="21">
        <f>'Cash-WW'!O40</f>
        <v>-3430000</v>
      </c>
      <c r="P310" s="31">
        <f>'Cash-WW'!P40</f>
        <v>-3627000</v>
      </c>
    </row>
    <row r="311" spans="1:16" x14ac:dyDescent="0.2">
      <c r="A311" s="50"/>
      <c r="B311" s="21"/>
      <c r="C311" s="21"/>
      <c r="D311" s="22"/>
      <c r="E311" s="33"/>
      <c r="F311" s="19"/>
      <c r="G311" s="21"/>
      <c r="H311" s="20"/>
      <c r="I311" s="21"/>
      <c r="J311" s="21"/>
      <c r="K311" s="22"/>
      <c r="L311" s="21"/>
      <c r="M311" s="20"/>
      <c r="N311" s="21"/>
      <c r="O311" s="21"/>
      <c r="P311" s="31"/>
    </row>
    <row r="312" spans="1:16" x14ac:dyDescent="0.2">
      <c r="A312" s="50"/>
      <c r="B312" s="21"/>
      <c r="C312" s="21"/>
      <c r="D312" s="58" t="s">
        <v>4719</v>
      </c>
      <c r="E312" s="33"/>
      <c r="F312" s="19"/>
      <c r="G312" s="21"/>
      <c r="H312" s="20"/>
      <c r="I312" s="21"/>
      <c r="J312" s="21"/>
      <c r="K312" s="22"/>
      <c r="L312" s="21"/>
      <c r="M312" s="20"/>
      <c r="N312" s="21"/>
      <c r="O312" s="21"/>
      <c r="P312" s="31"/>
    </row>
    <row r="313" spans="1:16" x14ac:dyDescent="0.2">
      <c r="A313" s="50">
        <f>'Cash-WW'!A35</f>
        <v>468500</v>
      </c>
      <c r="B313" s="24">
        <f>10514300+1782000+10500-12217200</f>
        <v>89600</v>
      </c>
      <c r="C313" s="21">
        <f>'Cash-WW'!C35</f>
        <v>-305500</v>
      </c>
      <c r="D313" s="59" t="s">
        <v>4765</v>
      </c>
      <c r="E313" s="33">
        <f>'Cash-WW'!F35</f>
        <v>0</v>
      </c>
      <c r="F313" s="138">
        <f>IF(C313=E313,0,IF(C313=0,100,(E313-C313)/C313*100))</f>
        <v>-100</v>
      </c>
      <c r="G313" s="21">
        <f>'Cash-WW'!G35</f>
        <v>0</v>
      </c>
      <c r="H313" s="20">
        <f>'Cash-WW'!H35</f>
        <v>0</v>
      </c>
      <c r="I313" s="21">
        <f>'Cash-WW'!I35</f>
        <v>0</v>
      </c>
      <c r="J313" s="21">
        <f>'Cash-WW'!J35</f>
        <v>0</v>
      </c>
      <c r="K313" s="22">
        <f>'Cash-WW'!K35</f>
        <v>0</v>
      </c>
      <c r="L313" s="21">
        <f>'Cash-WW'!L35</f>
        <v>0</v>
      </c>
      <c r="M313" s="20">
        <f>'Cash-WW'!M35</f>
        <v>0</v>
      </c>
      <c r="N313" s="21">
        <f>'Cash-WW'!N35</f>
        <v>0</v>
      </c>
      <c r="O313" s="21">
        <f>'Cash-WW'!O35</f>
        <v>0</v>
      </c>
      <c r="P313" s="31">
        <f>'Cash-WW'!P35</f>
        <v>0</v>
      </c>
    </row>
    <row r="314" spans="1:16" x14ac:dyDescent="0.2">
      <c r="A314" s="50"/>
      <c r="B314" s="19"/>
      <c r="C314" s="21"/>
      <c r="D314" s="22"/>
      <c r="E314" s="33"/>
      <c r="F314" s="19"/>
      <c r="G314" s="20"/>
      <c r="H314" s="21"/>
      <c r="I314" s="21"/>
      <c r="J314" s="22"/>
      <c r="K314" s="21"/>
      <c r="L314" s="20"/>
      <c r="M314" s="20"/>
      <c r="N314" s="21"/>
      <c r="O314" s="21"/>
      <c r="P314" s="31"/>
    </row>
    <row r="315" spans="1:16" x14ac:dyDescent="0.2">
      <c r="A315" s="50"/>
      <c r="B315" s="19"/>
      <c r="C315" s="21"/>
      <c r="D315" s="58" t="s">
        <v>1601</v>
      </c>
      <c r="E315" s="33"/>
      <c r="F315" s="19"/>
      <c r="G315" s="20"/>
      <c r="H315" s="21"/>
      <c r="I315" s="21"/>
      <c r="J315" s="22"/>
      <c r="K315" s="21"/>
      <c r="L315" s="20"/>
      <c r="M315" s="20"/>
      <c r="N315" s="21"/>
      <c r="O315" s="21"/>
      <c r="P315" s="31"/>
    </row>
    <row r="316" spans="1:16" x14ac:dyDescent="0.2">
      <c r="A316" s="50">
        <f t="shared" ref="A316:B318" si="243">A294</f>
        <v>2643100</v>
      </c>
      <c r="B316" s="1064">
        <f t="shared" si="243"/>
        <v>2314300</v>
      </c>
      <c r="C316" s="21">
        <f>C294</f>
        <v>3531900</v>
      </c>
      <c r="D316" s="52" t="s">
        <v>2070</v>
      </c>
      <c r="E316" s="33">
        <f>E294</f>
        <v>2678000</v>
      </c>
      <c r="F316" s="138">
        <f>IF(C316=E316,0,IF(C316=0,100,(E316-C316)/C316*100))</f>
        <v>-24.176788697301735</v>
      </c>
      <c r="G316" s="20">
        <f t="shared" ref="G316:O316" si="244">G294</f>
        <v>3775000</v>
      </c>
      <c r="H316" s="21">
        <f t="shared" si="244"/>
        <v>3851000</v>
      </c>
      <c r="I316" s="21">
        <f t="shared" si="244"/>
        <v>3928000</v>
      </c>
      <c r="J316" s="22">
        <f t="shared" si="244"/>
        <v>4007000</v>
      </c>
      <c r="K316" s="21">
        <f t="shared" si="244"/>
        <v>4087000</v>
      </c>
      <c r="L316" s="20">
        <f t="shared" si="244"/>
        <v>4169000</v>
      </c>
      <c r="M316" s="20">
        <f t="shared" si="244"/>
        <v>4252000</v>
      </c>
      <c r="N316" s="21">
        <f t="shared" si="244"/>
        <v>4337000</v>
      </c>
      <c r="O316" s="21">
        <f t="shared" si="244"/>
        <v>4424000</v>
      </c>
      <c r="P316" s="31">
        <f t="shared" ref="P316" si="245">P294</f>
        <v>4512000</v>
      </c>
    </row>
    <row r="317" spans="1:16" x14ac:dyDescent="0.2">
      <c r="A317" s="50">
        <f t="shared" si="243"/>
        <v>394000</v>
      </c>
      <c r="B317" s="1064">
        <f t="shared" si="243"/>
        <v>349200</v>
      </c>
      <c r="C317" s="21">
        <f>C295</f>
        <v>301100</v>
      </c>
      <c r="D317" s="59" t="s">
        <v>1250</v>
      </c>
      <c r="E317" s="33">
        <f>E295</f>
        <v>249000</v>
      </c>
      <c r="F317" s="138">
        <f>IF(C317=E317,0,IF(C317=0,100,(E317-C317)/C317*100))</f>
        <v>-17.303221521089341</v>
      </c>
      <c r="G317" s="20">
        <f t="shared" ref="G317:O317" si="246">G295</f>
        <v>194000</v>
      </c>
      <c r="H317" s="21">
        <f t="shared" si="246"/>
        <v>134000</v>
      </c>
      <c r="I317" s="21">
        <f t="shared" si="246"/>
        <v>69000</v>
      </c>
      <c r="J317" s="22">
        <f t="shared" si="246"/>
        <v>0</v>
      </c>
      <c r="K317" s="21">
        <f t="shared" si="246"/>
        <v>0</v>
      </c>
      <c r="L317" s="20">
        <f t="shared" si="246"/>
        <v>0</v>
      </c>
      <c r="M317" s="20">
        <f t="shared" si="246"/>
        <v>0</v>
      </c>
      <c r="N317" s="21">
        <f t="shared" si="246"/>
        <v>0</v>
      </c>
      <c r="O317" s="21">
        <f t="shared" si="246"/>
        <v>0</v>
      </c>
      <c r="P317" s="31">
        <f t="shared" ref="P317" si="247">P295</f>
        <v>0</v>
      </c>
    </row>
    <row r="318" spans="1:16" x14ac:dyDescent="0.2">
      <c r="A318" s="50">
        <f t="shared" si="243"/>
        <v>20300</v>
      </c>
      <c r="B318" s="1064">
        <f t="shared" si="243"/>
        <v>12216800</v>
      </c>
      <c r="C318" s="21">
        <f>C296</f>
        <v>10800</v>
      </c>
      <c r="D318" s="59" t="s">
        <v>4542</v>
      </c>
      <c r="E318" s="33">
        <f>E296</f>
        <v>0</v>
      </c>
      <c r="F318" s="138">
        <f>IF(C318=E318,0,IF(C318=0,100,(E318-C318)/C318*100))</f>
        <v>-100</v>
      </c>
      <c r="G318" s="21">
        <f t="shared" ref="G318:O318" si="248">G296</f>
        <v>0</v>
      </c>
      <c r="H318" s="20">
        <f t="shared" si="248"/>
        <v>0</v>
      </c>
      <c r="I318" s="21">
        <f t="shared" si="248"/>
        <v>0</v>
      </c>
      <c r="J318" s="21">
        <f t="shared" si="248"/>
        <v>0</v>
      </c>
      <c r="K318" s="22">
        <f t="shared" si="248"/>
        <v>0</v>
      </c>
      <c r="L318" s="21">
        <f t="shared" si="248"/>
        <v>0</v>
      </c>
      <c r="M318" s="20">
        <f t="shared" si="248"/>
        <v>0</v>
      </c>
      <c r="N318" s="21">
        <f t="shared" si="248"/>
        <v>0</v>
      </c>
      <c r="O318" s="21">
        <f t="shared" si="248"/>
        <v>0</v>
      </c>
      <c r="P318" s="31">
        <f t="shared" ref="P318" si="249">P296</f>
        <v>0</v>
      </c>
    </row>
    <row r="319" spans="1:16" ht="13.5" thickBot="1" x14ac:dyDescent="0.25">
      <c r="A319" s="50"/>
      <c r="B319" s="21"/>
      <c r="C319" s="21"/>
      <c r="D319" s="230"/>
      <c r="E319" s="33"/>
      <c r="F319" s="19"/>
      <c r="G319" s="21"/>
      <c r="H319" s="20"/>
      <c r="I319" s="21"/>
      <c r="J319" s="21"/>
      <c r="K319" s="20"/>
      <c r="L319" s="21"/>
      <c r="M319" s="20"/>
      <c r="N319" s="21"/>
      <c r="O319" s="21"/>
      <c r="P319" s="31"/>
    </row>
    <row r="320" spans="1:16" s="40" customFormat="1" x14ac:dyDescent="0.2">
      <c r="A320" s="259">
        <f>SUM(A297:A319)</f>
        <v>-7510700</v>
      </c>
      <c r="B320" s="260">
        <f>SUM(B297:B319)</f>
        <v>-3543800</v>
      </c>
      <c r="C320" s="260">
        <f>SUM(C297:C319)</f>
        <v>-746600</v>
      </c>
      <c r="D320" s="1282" t="s">
        <v>4510</v>
      </c>
      <c r="E320" s="106">
        <f>SUM(E297:E319)</f>
        <v>-4004700</v>
      </c>
      <c r="F320" s="261">
        <f>IF(C320=E320,0,IF(C320=0,100,(E320-C320)/C320*100))</f>
        <v>436.39164211090275</v>
      </c>
      <c r="G320" s="80">
        <f t="shared" ref="G320:O320" si="250">SUM(G297:G319)</f>
        <v>-2535600</v>
      </c>
      <c r="H320" s="81">
        <f t="shared" si="250"/>
        <v>-1458400</v>
      </c>
      <c r="I320" s="80">
        <f t="shared" si="250"/>
        <v>-2705800</v>
      </c>
      <c r="J320" s="80">
        <f t="shared" si="250"/>
        <v>-1306500</v>
      </c>
      <c r="K320" s="81">
        <f t="shared" si="250"/>
        <v>811200</v>
      </c>
      <c r="L320" s="80">
        <f t="shared" si="250"/>
        <v>867600</v>
      </c>
      <c r="M320" s="81">
        <f t="shared" si="250"/>
        <v>5241900</v>
      </c>
      <c r="N320" s="80">
        <f t="shared" si="250"/>
        <v>5738300</v>
      </c>
      <c r="O320" s="80">
        <f t="shared" si="250"/>
        <v>6288200</v>
      </c>
      <c r="P320" s="225">
        <f t="shared" ref="P320" si="251">SUM(P297:P319)</f>
        <v>6977200</v>
      </c>
    </row>
    <row r="321" spans="1:18" s="25" customFormat="1" x14ac:dyDescent="0.2">
      <c r="A321" s="211"/>
      <c r="B321" s="24"/>
      <c r="C321" s="24"/>
      <c r="D321" s="59"/>
      <c r="E321" s="132"/>
      <c r="F321" s="19"/>
      <c r="G321" s="24"/>
      <c r="H321" s="26"/>
      <c r="I321" s="24"/>
      <c r="J321" s="24"/>
      <c r="K321" s="24"/>
      <c r="L321" s="24"/>
      <c r="M321" s="26"/>
      <c r="N321" s="24"/>
      <c r="O321" s="24"/>
      <c r="P321" s="36"/>
    </row>
    <row r="322" spans="1:18" s="25" customFormat="1" x14ac:dyDescent="0.2">
      <c r="A322" s="211"/>
      <c r="B322" s="24"/>
      <c r="C322" s="24"/>
      <c r="D322" s="551" t="s">
        <v>737</v>
      </c>
      <c r="E322" s="132"/>
      <c r="F322" s="19"/>
      <c r="G322" s="24"/>
      <c r="H322" s="26"/>
      <c r="I322" s="24"/>
      <c r="J322" s="24"/>
      <c r="K322" s="24"/>
      <c r="L322" s="24"/>
      <c r="M322" s="26"/>
      <c r="N322" s="24"/>
      <c r="O322" s="24"/>
      <c r="P322" s="36"/>
    </row>
    <row r="323" spans="1:18" x14ac:dyDescent="0.2">
      <c r="A323" s="50">
        <f>'Cash-WW'!A47</f>
        <v>-8193600</v>
      </c>
      <c r="B323" s="21">
        <f>B320-B324</f>
        <v>-4663700</v>
      </c>
      <c r="C323" s="21">
        <f>C320-C324</f>
        <v>-2387900</v>
      </c>
      <c r="D323" s="59" t="s">
        <v>3622</v>
      </c>
      <c r="E323" s="33">
        <f t="shared" ref="E323:M323" si="252">E320-E324</f>
        <v>-2827100</v>
      </c>
      <c r="F323" s="19"/>
      <c r="G323" s="21">
        <f t="shared" si="252"/>
        <v>-1463200</v>
      </c>
      <c r="H323" s="20">
        <f t="shared" si="252"/>
        <v>1806100</v>
      </c>
      <c r="I323" s="21">
        <f t="shared" si="252"/>
        <v>-3638800</v>
      </c>
      <c r="J323" s="21">
        <f t="shared" si="252"/>
        <v>280000</v>
      </c>
      <c r="K323" s="21">
        <f t="shared" si="252"/>
        <v>477900</v>
      </c>
      <c r="L323" s="21">
        <f t="shared" si="252"/>
        <v>1100800</v>
      </c>
      <c r="M323" s="20">
        <f t="shared" si="252"/>
        <v>5018300</v>
      </c>
      <c r="N323" s="21">
        <f t="shared" ref="N323:O323" si="253">N320-N324</f>
        <v>5568700</v>
      </c>
      <c r="O323" s="21">
        <f t="shared" si="253"/>
        <v>6171800</v>
      </c>
      <c r="P323" s="31">
        <f t="shared" ref="P323" si="254">P320-P324</f>
        <v>6917200</v>
      </c>
    </row>
    <row r="324" spans="1:18" s="25" customFormat="1" x14ac:dyDescent="0.2">
      <c r="A324" s="211">
        <v>682900</v>
      </c>
      <c r="B324" s="24">
        <v>1119900</v>
      </c>
      <c r="C324" s="24">
        <f>+C301-'Cash-WW'!C34-'Cap-WW'!S121+'W&amp;W'!D391</f>
        <v>1641300</v>
      </c>
      <c r="D324" s="59" t="s">
        <v>2419</v>
      </c>
      <c r="E324" s="132">
        <f>+E301-'Cash-WW'!F34-'Cap-WW'!W121+'W&amp;W'!G391</f>
        <v>-1177600</v>
      </c>
      <c r="F324" s="19"/>
      <c r="G324" s="24">
        <f>+G301-'Cash-WW'!G34-'Cap-WW'!AA121+'W&amp;W'!I391-'Cash-WW'!G68</f>
        <v>-1072400</v>
      </c>
      <c r="H324" s="26">
        <f>+H301-'Cash-WW'!H34-'Cap-WW'!AE121+'W&amp;W'!J391-'Cash-WW'!H68</f>
        <v>-3264500</v>
      </c>
      <c r="I324" s="24">
        <f>+I301-'Cash-WW'!I34-'Cap-WW'!AI121+'W&amp;W'!K391+'Cash-WW'!I68</f>
        <v>933000</v>
      </c>
      <c r="J324" s="24">
        <f>+J301-'Cash-WW'!J34-'Cap-WW'!AM121+'W&amp;W'!L391-'Cash-WW'!J68</f>
        <v>-1586500</v>
      </c>
      <c r="K324" s="24">
        <f>+K301-'Cash-WW'!K34-'Cap-WW'!AQ121+'W&amp;W'!M391-'Cash-WW'!K68</f>
        <v>333300</v>
      </c>
      <c r="L324" s="24">
        <f>+L301-'Cash-WW'!L34-'Cap-WW'!AU121+'W&amp;W'!N391-'Cash-WW'!L68</f>
        <v>-233200</v>
      </c>
      <c r="M324" s="24">
        <f>+M301-'Cash-WW'!M34-'Cap-WW'!AY121+'W&amp;W'!O391-'Cash-WW'!M68</f>
        <v>223600</v>
      </c>
      <c r="N324" s="24">
        <f>+N301-'Cash-WW'!N34-'Cap-WW'!BC121+'W&amp;W'!P391-'Cash-WW'!N68</f>
        <v>169600</v>
      </c>
      <c r="O324" s="24">
        <f>+O301-'Cash-WW'!P34-'Cap-WW'!BG121+'W&amp;W'!Q391-'Cash-WW'!O68</f>
        <v>116400</v>
      </c>
      <c r="P324" s="36">
        <f>+P301-'Cash-WW'!Q34-'Cap-WW'!BK121+'W&amp;W'!R391-'Cash-WW'!P68</f>
        <v>60000</v>
      </c>
    </row>
    <row r="325" spans="1:18" s="44" customFormat="1" x14ac:dyDescent="0.2">
      <c r="A325" s="771">
        <f>SUM(A323:A324)</f>
        <v>-7510700</v>
      </c>
      <c r="B325" s="62">
        <f>SUM(B323:B324)</f>
        <v>-3543800</v>
      </c>
      <c r="C325" s="62">
        <f>SUM(C323:C324)</f>
        <v>-746600</v>
      </c>
      <c r="D325" s="551" t="s">
        <v>1242</v>
      </c>
      <c r="E325" s="64">
        <f t="shared" ref="E325:M325" si="255">SUM(E323:E324)</f>
        <v>-4004700</v>
      </c>
      <c r="F325" s="32"/>
      <c r="G325" s="62">
        <f t="shared" si="255"/>
        <v>-2535600</v>
      </c>
      <c r="H325" s="65">
        <f t="shared" si="255"/>
        <v>-1458400</v>
      </c>
      <c r="I325" s="62">
        <f t="shared" si="255"/>
        <v>-2705800</v>
      </c>
      <c r="J325" s="62">
        <f t="shared" si="255"/>
        <v>-1306500</v>
      </c>
      <c r="K325" s="62">
        <f t="shared" si="255"/>
        <v>811200</v>
      </c>
      <c r="L325" s="62">
        <f t="shared" si="255"/>
        <v>867600</v>
      </c>
      <c r="M325" s="62">
        <f t="shared" si="255"/>
        <v>5241900</v>
      </c>
      <c r="N325" s="62">
        <f t="shared" ref="N325:O325" si="256">SUM(N323:N324)</f>
        <v>5738300</v>
      </c>
      <c r="O325" s="62">
        <f t="shared" si="256"/>
        <v>6288200</v>
      </c>
      <c r="P325" s="69">
        <f t="shared" ref="P325" si="257">SUM(P323:P324)</f>
        <v>6977200</v>
      </c>
    </row>
    <row r="326" spans="1:18" s="25" customFormat="1" x14ac:dyDescent="0.2">
      <c r="A326" s="211"/>
      <c r="B326" s="24"/>
      <c r="C326" s="24"/>
      <c r="D326" s="59"/>
      <c r="E326" s="132"/>
      <c r="F326" s="19"/>
      <c r="G326" s="24"/>
      <c r="H326" s="26"/>
      <c r="I326" s="24"/>
      <c r="J326" s="24"/>
      <c r="K326" s="26"/>
      <c r="L326" s="24"/>
      <c r="M326" s="26"/>
      <c r="N326" s="24"/>
      <c r="O326" s="24"/>
      <c r="P326" s="36"/>
    </row>
    <row r="327" spans="1:18" s="25" customFormat="1" x14ac:dyDescent="0.2">
      <c r="A327" s="211"/>
      <c r="B327" s="24"/>
      <c r="C327" s="24"/>
      <c r="D327" s="551" t="s">
        <v>2488</v>
      </c>
      <c r="E327" s="132"/>
      <c r="F327" s="19"/>
      <c r="G327" s="24"/>
      <c r="H327" s="26"/>
      <c r="I327" s="24"/>
      <c r="J327" s="24"/>
      <c r="K327" s="26"/>
      <c r="L327" s="24"/>
      <c r="M327" s="26"/>
      <c r="N327" s="24"/>
      <c r="O327" s="24"/>
      <c r="P327" s="36"/>
    </row>
    <row r="328" spans="1:18" x14ac:dyDescent="0.2">
      <c r="A328" s="50">
        <f>ROUND(A323+18576100+8213900-3420600-20300+22499,-3)</f>
        <v>15178000</v>
      </c>
      <c r="B328" s="21">
        <f>A328+B323</f>
        <v>10514300</v>
      </c>
      <c r="C328" s="21">
        <f>B328+C323</f>
        <v>8126400</v>
      </c>
      <c r="D328" s="59" t="s">
        <v>1078</v>
      </c>
      <c r="E328" s="33">
        <f>C328+E323</f>
        <v>5299300</v>
      </c>
      <c r="F328" s="19"/>
      <c r="G328" s="21">
        <f>E328+G323</f>
        <v>3836100</v>
      </c>
      <c r="H328" s="20">
        <f t="shared" ref="H328:P329" si="258">G328+H323</f>
        <v>5642200</v>
      </c>
      <c r="I328" s="21">
        <f t="shared" si="258"/>
        <v>2003400</v>
      </c>
      <c r="J328" s="21">
        <f t="shared" si="258"/>
        <v>2283400</v>
      </c>
      <c r="K328" s="21">
        <f t="shared" si="258"/>
        <v>2761300</v>
      </c>
      <c r="L328" s="21">
        <f t="shared" si="258"/>
        <v>3862100</v>
      </c>
      <c r="M328" s="20">
        <f t="shared" si="258"/>
        <v>8880400</v>
      </c>
      <c r="N328" s="21">
        <f t="shared" si="258"/>
        <v>14449100</v>
      </c>
      <c r="O328" s="21">
        <f t="shared" si="258"/>
        <v>20620900</v>
      </c>
      <c r="P328" s="31">
        <f t="shared" si="258"/>
        <v>27538100</v>
      </c>
    </row>
    <row r="329" spans="1:18" s="25" customFormat="1" x14ac:dyDescent="0.2">
      <c r="A329" s="211">
        <f>ROUND(2737700+A324,-2)</f>
        <v>3420600</v>
      </c>
      <c r="B329" s="24">
        <f>A329+B324</f>
        <v>4540500</v>
      </c>
      <c r="C329" s="24">
        <f>B329+C324</f>
        <v>6181800</v>
      </c>
      <c r="D329" s="59" t="s">
        <v>2419</v>
      </c>
      <c r="E329" s="132">
        <f>C329+E324</f>
        <v>5004200</v>
      </c>
      <c r="F329" s="19"/>
      <c r="G329" s="24">
        <f>E329+G324</f>
        <v>3931800</v>
      </c>
      <c r="H329" s="26">
        <f t="shared" si="258"/>
        <v>667300</v>
      </c>
      <c r="I329" s="24">
        <f t="shared" si="258"/>
        <v>1600300</v>
      </c>
      <c r="J329" s="24">
        <f t="shared" si="258"/>
        <v>13800</v>
      </c>
      <c r="K329" s="26">
        <f t="shared" si="258"/>
        <v>347100</v>
      </c>
      <c r="L329" s="24">
        <f t="shared" si="258"/>
        <v>113900</v>
      </c>
      <c r="M329" s="26">
        <f t="shared" si="258"/>
        <v>337500</v>
      </c>
      <c r="N329" s="24">
        <f t="shared" si="258"/>
        <v>507100</v>
      </c>
      <c r="O329" s="24">
        <f t="shared" si="258"/>
        <v>623500</v>
      </c>
      <c r="P329" s="36">
        <f t="shared" si="258"/>
        <v>683500</v>
      </c>
    </row>
    <row r="330" spans="1:18" s="44" customFormat="1" x14ac:dyDescent="0.2">
      <c r="A330" s="771">
        <f>SUM(A328:A329)</f>
        <v>18598600</v>
      </c>
      <c r="B330" s="62">
        <f>SUM(B328:B329)</f>
        <v>15054800</v>
      </c>
      <c r="C330" s="62">
        <f>SUM(C328:C329)</f>
        <v>14308200</v>
      </c>
      <c r="D330" s="551" t="s">
        <v>1530</v>
      </c>
      <c r="E330" s="64">
        <f t="shared" ref="E330:M330" si="259">SUM(E328:E329)</f>
        <v>10303500</v>
      </c>
      <c r="F330" s="32"/>
      <c r="G330" s="62">
        <f t="shared" si="259"/>
        <v>7767900</v>
      </c>
      <c r="H330" s="65">
        <f t="shared" si="259"/>
        <v>6309500</v>
      </c>
      <c r="I330" s="62">
        <f t="shared" si="259"/>
        <v>3603700</v>
      </c>
      <c r="J330" s="62">
        <f t="shared" si="259"/>
        <v>2297200</v>
      </c>
      <c r="K330" s="62">
        <f t="shared" si="259"/>
        <v>3108400</v>
      </c>
      <c r="L330" s="62">
        <f t="shared" si="259"/>
        <v>3976000</v>
      </c>
      <c r="M330" s="62">
        <f t="shared" si="259"/>
        <v>9217900</v>
      </c>
      <c r="N330" s="62">
        <f t="shared" ref="N330:O330" si="260">SUM(N328:N329)</f>
        <v>14956200</v>
      </c>
      <c r="O330" s="62">
        <f t="shared" si="260"/>
        <v>21244400</v>
      </c>
      <c r="P330" s="69">
        <f t="shared" ref="P330" si="261">SUM(P328:P329)</f>
        <v>28221600</v>
      </c>
    </row>
    <row r="331" spans="1:18" s="25" customFormat="1" ht="13.5" thickBot="1" x14ac:dyDescent="0.25">
      <c r="A331" s="256"/>
      <c r="B331" s="28"/>
      <c r="C331" s="28"/>
      <c r="D331" s="737"/>
      <c r="E331" s="835"/>
      <c r="F331" s="86"/>
      <c r="G331" s="28"/>
      <c r="H331" s="37"/>
      <c r="I331" s="28"/>
      <c r="J331" s="28"/>
      <c r="K331" s="37"/>
      <c r="L331" s="28"/>
      <c r="M331" s="37"/>
      <c r="N331" s="28"/>
      <c r="O331" s="28"/>
      <c r="P331" s="258"/>
    </row>
    <row r="332" spans="1:18" s="25" customFormat="1" ht="13.5" thickTop="1" x14ac:dyDescent="0.2">
      <c r="A332" s="133"/>
      <c r="B332" s="35"/>
      <c r="C332" s="1215"/>
      <c r="D332" s="35"/>
      <c r="E332" s="78"/>
      <c r="F332" s="35"/>
      <c r="G332" s="35"/>
      <c r="H332" s="35"/>
      <c r="I332" s="35"/>
      <c r="J332" s="35"/>
      <c r="K332" s="35"/>
      <c r="L332" s="35"/>
      <c r="M332" s="35"/>
      <c r="N332" s="35"/>
      <c r="O332" s="35"/>
      <c r="P332" s="35"/>
    </row>
    <row r="334" spans="1:18" x14ac:dyDescent="0.2">
      <c r="B334" s="1833"/>
      <c r="C334" s="58"/>
      <c r="E334" s="553"/>
      <c r="F334" s="1833"/>
      <c r="G334" s="2545"/>
      <c r="H334" s="2545"/>
      <c r="I334" s="2545"/>
      <c r="J334" s="2545"/>
      <c r="K334" s="2545"/>
      <c r="L334" s="2545"/>
      <c r="M334" s="2545"/>
      <c r="N334" s="2545"/>
      <c r="O334" s="2545"/>
      <c r="P334" s="2661"/>
      <c r="Q334" s="2545"/>
      <c r="R334" s="2545"/>
    </row>
    <row r="335" spans="1:18" x14ac:dyDescent="0.2">
      <c r="B335" s="1834"/>
      <c r="C335" s="1834"/>
      <c r="F335" s="1834"/>
      <c r="G335" s="22"/>
      <c r="H335" s="22"/>
      <c r="I335" s="22"/>
      <c r="J335" s="22"/>
      <c r="K335" s="22"/>
      <c r="L335" s="22"/>
      <c r="M335" s="22"/>
      <c r="N335" s="22"/>
      <c r="O335" s="22"/>
      <c r="P335" s="22"/>
      <c r="Q335" s="22"/>
      <c r="R335" s="22"/>
    </row>
    <row r="336" spans="1:18" x14ac:dyDescent="0.2">
      <c r="B336" s="1834"/>
      <c r="C336" s="1834"/>
      <c r="E336" s="546"/>
      <c r="F336" s="1834"/>
      <c r="G336" s="350"/>
      <c r="H336" s="350"/>
      <c r="I336" s="350"/>
      <c r="J336" s="350"/>
      <c r="K336" s="350"/>
      <c r="L336" s="350"/>
      <c r="M336" s="350"/>
      <c r="N336" s="350"/>
      <c r="O336" s="350"/>
      <c r="P336" s="350"/>
      <c r="Q336" s="350"/>
      <c r="R336" s="350"/>
    </row>
    <row r="337" spans="2:18" x14ac:dyDescent="0.2">
      <c r="B337" s="1834"/>
      <c r="C337" s="1834"/>
      <c r="F337" s="1834"/>
      <c r="G337" s="22"/>
      <c r="H337" s="22"/>
      <c r="I337" s="22"/>
      <c r="J337" s="22"/>
      <c r="K337" s="22"/>
      <c r="L337" s="22"/>
      <c r="M337" s="22"/>
      <c r="N337" s="22"/>
      <c r="O337" s="22"/>
      <c r="P337" s="22"/>
      <c r="Q337" s="22"/>
      <c r="R337" s="22"/>
    </row>
    <row r="338" spans="2:18" x14ac:dyDescent="0.2">
      <c r="B338" s="1834"/>
      <c r="C338" s="40"/>
      <c r="E338" s="99"/>
      <c r="F338" s="1834"/>
      <c r="G338" s="22"/>
      <c r="H338" s="22"/>
      <c r="I338" s="22"/>
      <c r="J338" s="22"/>
      <c r="K338" s="22"/>
      <c r="L338" s="22"/>
      <c r="M338" s="22"/>
      <c r="N338" s="22"/>
      <c r="O338" s="22"/>
      <c r="P338" s="22"/>
      <c r="Q338" s="22"/>
      <c r="R338" s="22"/>
    </row>
    <row r="339" spans="2:18" x14ac:dyDescent="0.2">
      <c r="B339" s="1389"/>
      <c r="C339" s="1389"/>
      <c r="E339" s="99"/>
      <c r="F339" s="1389"/>
      <c r="G339" s="22"/>
      <c r="H339" s="22"/>
      <c r="I339" s="22"/>
      <c r="J339" s="22"/>
      <c r="K339" s="22"/>
      <c r="L339" s="22"/>
      <c r="M339" s="22"/>
      <c r="N339" s="22"/>
      <c r="O339" s="22"/>
      <c r="P339" s="22"/>
      <c r="Q339" s="22"/>
      <c r="R339" s="22"/>
    </row>
    <row r="340" spans="2:18" x14ac:dyDescent="0.2">
      <c r="B340" s="1834"/>
      <c r="C340" s="1834"/>
      <c r="E340" s="99"/>
      <c r="F340" s="1834"/>
      <c r="G340" s="22"/>
      <c r="H340" s="22"/>
      <c r="I340" s="22"/>
      <c r="J340" s="22"/>
      <c r="K340" s="22"/>
      <c r="L340" s="22"/>
      <c r="M340" s="22"/>
      <c r="N340" s="22"/>
      <c r="O340" s="22"/>
      <c r="P340" s="22"/>
      <c r="Q340" s="22"/>
      <c r="R340" s="22"/>
    </row>
    <row r="341" spans="2:18" x14ac:dyDescent="0.2">
      <c r="B341" s="1389"/>
      <c r="C341" s="1389"/>
      <c r="E341" s="99"/>
      <c r="F341" s="1389"/>
      <c r="G341" s="22"/>
      <c r="H341" s="22"/>
      <c r="I341" s="22"/>
      <c r="J341" s="22"/>
      <c r="K341" s="22"/>
      <c r="L341" s="22"/>
      <c r="M341" s="22"/>
      <c r="N341" s="22"/>
      <c r="O341" s="22"/>
      <c r="P341" s="22"/>
      <c r="Q341" s="22"/>
      <c r="R341" s="22"/>
    </row>
    <row r="342" spans="2:18" x14ac:dyDescent="0.2">
      <c r="E342" s="99"/>
      <c r="G342" s="22"/>
      <c r="H342" s="22"/>
      <c r="I342" s="22"/>
      <c r="J342" s="22"/>
      <c r="K342" s="22"/>
      <c r="L342" s="22"/>
      <c r="M342" s="22"/>
      <c r="N342" s="22"/>
      <c r="O342" s="22"/>
      <c r="P342" s="22"/>
      <c r="Q342" s="22"/>
      <c r="R342" s="22"/>
    </row>
    <row r="343" spans="2:18" x14ac:dyDescent="0.2">
      <c r="E343" s="99"/>
      <c r="G343" s="22"/>
      <c r="H343" s="22"/>
      <c r="I343" s="22"/>
      <c r="J343" s="22"/>
      <c r="K343" s="22"/>
      <c r="L343" s="22"/>
      <c r="M343" s="22"/>
      <c r="N343" s="22"/>
      <c r="O343" s="22"/>
      <c r="P343" s="22"/>
      <c r="Q343" s="22"/>
      <c r="R343" s="22"/>
    </row>
    <row r="353" spans="3:18" x14ac:dyDescent="0.2">
      <c r="C353" s="40"/>
      <c r="E353" s="546"/>
      <c r="G353" s="350"/>
      <c r="H353" s="350"/>
      <c r="I353" s="350"/>
      <c r="J353" s="350"/>
      <c r="K353" s="350"/>
      <c r="L353" s="350"/>
      <c r="M353" s="350"/>
      <c r="N353" s="350"/>
      <c r="O353" s="350"/>
      <c r="P353" s="350"/>
      <c r="Q353" s="350"/>
      <c r="R353" s="350"/>
    </row>
  </sheetData>
  <mergeCells count="24">
    <mergeCell ref="A180:P180"/>
    <mergeCell ref="E181:P181"/>
    <mergeCell ref="A235:P235"/>
    <mergeCell ref="E64:P64"/>
    <mergeCell ref="A94:P94"/>
    <mergeCell ref="E95:P95"/>
    <mergeCell ref="A125:P125"/>
    <mergeCell ref="E126:P126"/>
    <mergeCell ref="E236:P236"/>
    <mergeCell ref="A284:P284"/>
    <mergeCell ref="E285:P285"/>
    <mergeCell ref="A1:P1"/>
    <mergeCell ref="E2:P2"/>
    <mergeCell ref="A32:P32"/>
    <mergeCell ref="E33:P33"/>
    <mergeCell ref="A63:P63"/>
    <mergeCell ref="A285:C285"/>
    <mergeCell ref="A236:C236"/>
    <mergeCell ref="A181:C181"/>
    <mergeCell ref="A33:C33"/>
    <mergeCell ref="A2:C2"/>
    <mergeCell ref="A126:C126"/>
    <mergeCell ref="A95:C95"/>
    <mergeCell ref="A64:C64"/>
  </mergeCells>
  <phoneticPr fontId="9" type="noConversion"/>
  <printOptions horizontalCentered="1"/>
  <pageMargins left="0.39370078740157483" right="0.39370078740157483" top="0.39370078740157483" bottom="0" header="0" footer="0"/>
  <pageSetup paperSize="9" scale="65" fitToHeight="3" orientation="landscape" r:id="rId1"/>
  <headerFooter alignWithMargins="0"/>
  <rowBreaks count="8" manualBreakCount="8">
    <brk id="30" max="16383" man="1"/>
    <brk id="61" max="16383" man="1"/>
    <brk id="92" max="16383" man="1"/>
    <brk id="123" max="16383" man="1"/>
    <brk id="178" max="16383" man="1"/>
    <brk id="233" max="16383" man="1"/>
    <brk id="282" max="16383" man="1"/>
    <brk id="331" max="16383" man="1"/>
  </rowBreaks>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60"/>
  <sheetViews>
    <sheetView topLeftCell="Q1" workbookViewId="0">
      <selection activeCell="AE9" sqref="AE9"/>
    </sheetView>
  </sheetViews>
  <sheetFormatPr defaultColWidth="9.140625" defaultRowHeight="12.75" x14ac:dyDescent="0.2"/>
  <cols>
    <col min="1" max="2" width="11.28515625" style="23" bestFit="1" customWidth="1"/>
    <col min="3" max="3" width="11.140625" style="2064" bestFit="1" customWidth="1"/>
    <col min="4" max="4" width="40.7109375" style="23" customWidth="1"/>
    <col min="5" max="5" width="11.28515625" style="23" bestFit="1" customWidth="1"/>
    <col min="6" max="6" width="6.7109375" style="23" bestFit="1" customWidth="1"/>
    <col min="7" max="16" width="11.28515625" style="23" bestFit="1" customWidth="1"/>
    <col min="17" max="17" width="12.5703125" style="23" customWidth="1"/>
    <col min="18" max="18" width="42.28515625" style="23" bestFit="1" customWidth="1"/>
    <col min="19" max="20" width="12.7109375" style="23" customWidth="1"/>
    <col min="21" max="21" width="2.42578125" style="23" bestFit="1" customWidth="1"/>
    <col min="22" max="23" width="12.7109375" style="23" customWidth="1"/>
    <col min="24" max="24" width="10.140625" style="23" bestFit="1" customWidth="1"/>
    <col min="25" max="26" width="12.7109375" style="23" customWidth="1"/>
    <col min="27" max="16384" width="9.140625" style="23"/>
  </cols>
  <sheetData>
    <row r="1" spans="1:31" s="506" customFormat="1" ht="19.5" thickTop="1" thickBot="1" x14ac:dyDescent="0.3">
      <c r="A1" s="2842" t="s">
        <v>5688</v>
      </c>
      <c r="B1" s="2843"/>
      <c r="C1" s="2843"/>
      <c r="D1" s="2843"/>
      <c r="E1" s="2843"/>
      <c r="F1" s="2843"/>
      <c r="G1" s="2843"/>
      <c r="H1" s="2843"/>
      <c r="I1" s="2843"/>
      <c r="J1" s="2843"/>
      <c r="K1" s="2843"/>
      <c r="L1" s="2843"/>
      <c r="M1" s="2843"/>
      <c r="N1" s="2843"/>
      <c r="O1" s="2843"/>
      <c r="P1" s="2844"/>
    </row>
    <row r="2" spans="1:31" x14ac:dyDescent="0.2">
      <c r="A2" s="2848" t="s">
        <v>1856</v>
      </c>
      <c r="B2" s="2840"/>
      <c r="C2" s="2849"/>
      <c r="D2" s="2137" t="s">
        <v>4575</v>
      </c>
      <c r="E2" s="2839" t="s">
        <v>2253</v>
      </c>
      <c r="F2" s="2840"/>
      <c r="G2" s="2840"/>
      <c r="H2" s="2840"/>
      <c r="I2" s="2840"/>
      <c r="J2" s="2840"/>
      <c r="K2" s="2840"/>
      <c r="L2" s="2840"/>
      <c r="M2" s="2840"/>
      <c r="N2" s="2840"/>
      <c r="O2" s="2840"/>
      <c r="P2" s="2841"/>
    </row>
    <row r="3" spans="1:31" ht="13.5" thickBot="1" x14ac:dyDescent="0.25">
      <c r="A3" s="208" t="str">
        <f>LTFP!A34</f>
        <v>2013/14</v>
      </c>
      <c r="B3" s="218" t="str">
        <f>LTFP!B34</f>
        <v>2014/15</v>
      </c>
      <c r="C3" s="2061"/>
      <c r="D3" s="1991"/>
      <c r="E3" s="219" t="str">
        <f>LTFP!C34</f>
        <v>2015/16</v>
      </c>
      <c r="F3" s="1331" t="s">
        <v>501</v>
      </c>
      <c r="G3" s="219" t="str">
        <f>LTFP!E34</f>
        <v>2016/17</v>
      </c>
      <c r="H3" s="219" t="str">
        <f>LTFP!G34</f>
        <v>2017/18</v>
      </c>
      <c r="I3" s="49" t="str">
        <f>LTFP!H34</f>
        <v>2018/19</v>
      </c>
      <c r="J3" s="47" t="str">
        <f>LTFP!I34</f>
        <v>2019/20</v>
      </c>
      <c r="K3" s="219" t="str">
        <f>LTFP!J34</f>
        <v>2020/21</v>
      </c>
      <c r="L3" s="306" t="str">
        <f>LTFP!K34</f>
        <v>2021/22</v>
      </c>
      <c r="M3" s="219" t="str">
        <f>LTFP!L34</f>
        <v>2022/23</v>
      </c>
      <c r="N3" s="565" t="str">
        <f>LTFP!M34</f>
        <v>2023/24</v>
      </c>
      <c r="O3" s="219" t="str">
        <f>LTFP!N34</f>
        <v>2024/25</v>
      </c>
      <c r="P3" s="305" t="str">
        <f>LTFP!O34</f>
        <v>2025/26</v>
      </c>
      <c r="R3" s="40" t="s">
        <v>5908</v>
      </c>
      <c r="S3" s="2053" t="str">
        <f>B3</f>
        <v>2014/15</v>
      </c>
      <c r="T3" s="2054" t="str">
        <f t="shared" ref="T3:AC3" si="0">E3</f>
        <v>2015/16</v>
      </c>
      <c r="U3" s="2054" t="str">
        <f t="shared" si="0"/>
        <v>%</v>
      </c>
      <c r="V3" s="2054" t="str">
        <f t="shared" si="0"/>
        <v>2016/17</v>
      </c>
      <c r="W3" s="2054" t="str">
        <f t="shared" si="0"/>
        <v>2017/18</v>
      </c>
      <c r="X3" s="2054" t="str">
        <f t="shared" si="0"/>
        <v>2018/19</v>
      </c>
      <c r="Y3" s="2054" t="str">
        <f t="shared" si="0"/>
        <v>2019/20</v>
      </c>
      <c r="Z3" s="2054" t="str">
        <f t="shared" si="0"/>
        <v>2020/21</v>
      </c>
      <c r="AA3" s="2054" t="str">
        <f t="shared" si="0"/>
        <v>2021/22</v>
      </c>
      <c r="AB3" s="2054" t="str">
        <f t="shared" si="0"/>
        <v>2022/23</v>
      </c>
      <c r="AC3" s="2054" t="str">
        <f t="shared" si="0"/>
        <v>2023/24</v>
      </c>
      <c r="AD3" s="2054" t="str">
        <f t="shared" ref="AD3:AE3" si="1">O3</f>
        <v>2024/25</v>
      </c>
      <c r="AE3" s="2662" t="str">
        <f t="shared" si="1"/>
        <v>2025/26</v>
      </c>
    </row>
    <row r="4" spans="1:31" x14ac:dyDescent="0.2">
      <c r="A4" s="268"/>
      <c r="B4" s="529"/>
      <c r="C4" s="2065"/>
      <c r="D4" s="2066"/>
      <c r="E4" s="2067"/>
      <c r="F4" s="317"/>
      <c r="G4" s="2067"/>
      <c r="H4" s="2067"/>
      <c r="I4" s="2068"/>
      <c r="J4" s="2067"/>
      <c r="K4" s="2067"/>
      <c r="L4" s="1610"/>
      <c r="M4" s="2067"/>
      <c r="N4" s="2068"/>
      <c r="O4" s="2067"/>
      <c r="P4" s="2069"/>
      <c r="R4" s="40" t="s">
        <v>5909</v>
      </c>
    </row>
    <row r="5" spans="1:31" x14ac:dyDescent="0.2">
      <c r="A5" s="268"/>
      <c r="B5" s="529"/>
      <c r="C5" s="2065"/>
      <c r="D5" s="2070" t="s">
        <v>5764</v>
      </c>
      <c r="E5" s="2067"/>
      <c r="F5" s="317"/>
      <c r="G5" s="2067"/>
      <c r="H5" s="2067"/>
      <c r="I5" s="2068"/>
      <c r="J5" s="2067"/>
      <c r="K5" s="2067"/>
      <c r="L5" s="1610"/>
      <c r="M5" s="2067"/>
      <c r="N5" s="2068"/>
      <c r="O5" s="2067"/>
      <c r="P5" s="2069"/>
      <c r="R5" s="23" t="s">
        <v>2335</v>
      </c>
      <c r="S5" s="23">
        <f>ROUND(B8+B9+B10+B11+B12,-3)-2000</f>
        <v>527000</v>
      </c>
      <c r="T5" s="23">
        <f>ROUND(S5*Assumptions!F5+S5,-3)</f>
        <v>540000</v>
      </c>
      <c r="V5" s="23">
        <f>ROUND(T5*Assumptions!G5+T5,-3)</f>
        <v>551000</v>
      </c>
      <c r="W5" s="23">
        <f>ROUND(V5*Assumptions!H5+V5,-3)</f>
        <v>559000</v>
      </c>
      <c r="X5" s="23">
        <f>ROUND(W5*Assumptions!I5+W5,-3)</f>
        <v>573000</v>
      </c>
      <c r="Y5" s="23">
        <f>ROUND(X5*Assumptions!J5+X5,-3)</f>
        <v>587000</v>
      </c>
      <c r="Z5" s="23">
        <f>ROUND(Y5*Assumptions!K5+Y5,-3)</f>
        <v>602000</v>
      </c>
      <c r="AA5" s="23">
        <f>ROUND(Z5*Assumptions!L5+Z5,-3)</f>
        <v>614000</v>
      </c>
      <c r="AB5" s="23">
        <f>ROUND(AA5*Assumptions!M5+AA5,-3)</f>
        <v>626000</v>
      </c>
      <c r="AC5" s="23">
        <f>ROUND(AB5*Assumptions!N5+AB5,-3)</f>
        <v>639000</v>
      </c>
      <c r="AD5" s="23">
        <f>ROUND(AC5*Assumptions!O5+AC5,-3)</f>
        <v>652000</v>
      </c>
      <c r="AE5" s="23">
        <f>ROUND(AD5*Assumptions!P5+AD5,-3)</f>
        <v>665000</v>
      </c>
    </row>
    <row r="6" spans="1:31" x14ac:dyDescent="0.2">
      <c r="A6" s="50"/>
      <c r="B6" s="21"/>
      <c r="C6" s="1412"/>
      <c r="D6" s="22"/>
      <c r="E6" s="21"/>
      <c r="F6" s="21"/>
      <c r="G6" s="21"/>
      <c r="H6" s="21"/>
      <c r="I6" s="20"/>
      <c r="J6" s="21"/>
      <c r="K6" s="21"/>
      <c r="L6" s="22"/>
      <c r="M6" s="21"/>
      <c r="N6" s="20"/>
      <c r="O6" s="21"/>
      <c r="P6" s="31"/>
      <c r="R6" s="23" t="s">
        <v>2376</v>
      </c>
      <c r="S6" s="23">
        <v>-220000</v>
      </c>
    </row>
    <row r="7" spans="1:31" x14ac:dyDescent="0.2">
      <c r="A7" s="1497"/>
      <c r="B7" s="21"/>
      <c r="C7" s="1412"/>
      <c r="D7" s="58" t="s">
        <v>5689</v>
      </c>
      <c r="E7" s="21"/>
      <c r="F7" s="21"/>
      <c r="G7" s="21"/>
      <c r="H7" s="21"/>
      <c r="I7" s="20"/>
      <c r="J7" s="21"/>
      <c r="K7" s="21"/>
      <c r="L7" s="22"/>
      <c r="M7" s="21"/>
      <c r="N7" s="20"/>
      <c r="O7" s="21"/>
      <c r="P7" s="31"/>
      <c r="R7" s="23" t="s">
        <v>4242</v>
      </c>
      <c r="S7" s="23">
        <v>0</v>
      </c>
    </row>
    <row r="8" spans="1:31" x14ac:dyDescent="0.2">
      <c r="A8" s="1497"/>
      <c r="B8" s="21">
        <v>263123.92</v>
      </c>
      <c r="C8" s="1412" t="s">
        <v>1817</v>
      </c>
      <c r="D8" s="9" t="s">
        <v>5690</v>
      </c>
      <c r="E8" s="21"/>
      <c r="F8" s="21"/>
      <c r="G8" s="21"/>
      <c r="H8" s="21"/>
      <c r="I8" s="20"/>
      <c r="J8" s="21"/>
      <c r="K8" s="21"/>
      <c r="L8" s="22"/>
      <c r="M8" s="21"/>
      <c r="N8" s="20"/>
      <c r="O8" s="21"/>
      <c r="P8" s="31"/>
      <c r="R8" s="23" t="s">
        <v>428</v>
      </c>
      <c r="S8" s="23">
        <v>605400</v>
      </c>
      <c r="T8" s="23">
        <f>ROUND(S8*Assumptions!F5+S8,-3)</f>
        <v>620000</v>
      </c>
      <c r="V8" s="23">
        <f>ROUND(T8*Assumptions!G5+T8,-3)</f>
        <v>632000</v>
      </c>
      <c r="W8" s="23">
        <f>ROUND(U8*Assumptions!H5+U8,-3)</f>
        <v>0</v>
      </c>
      <c r="X8" s="23">
        <f>ROUND(V8*Assumptions!I5+V8,-3)</f>
        <v>648000</v>
      </c>
      <c r="Y8" s="23">
        <f>ROUND(W8*Assumptions!J5+W8,-3)</f>
        <v>0</v>
      </c>
      <c r="Z8" s="23">
        <f>ROUND(X8*Assumptions!K5+X8,-3)</f>
        <v>664000</v>
      </c>
      <c r="AA8" s="23">
        <f>ROUND(Y8*Assumptions!L5+Y8,-3)</f>
        <v>0</v>
      </c>
      <c r="AB8" s="23">
        <f>ROUND(Z8*Assumptions!M5+Z8,-3)</f>
        <v>677000</v>
      </c>
      <c r="AC8" s="23">
        <f>ROUND(AA8*Assumptions!N5+AA8,-3)</f>
        <v>0</v>
      </c>
      <c r="AD8" s="23">
        <f>ROUND(AB8*Assumptions!O5+AB8,-3)</f>
        <v>691000</v>
      </c>
      <c r="AE8" s="23">
        <f>ROUND(AC8*Assumptions!P5+AC8,-3)</f>
        <v>0</v>
      </c>
    </row>
    <row r="9" spans="1:31" x14ac:dyDescent="0.2">
      <c r="A9" s="1497"/>
      <c r="B9" s="21">
        <v>1731.56</v>
      </c>
      <c r="C9" s="1412"/>
      <c r="D9" s="9" t="s">
        <v>5691</v>
      </c>
      <c r="E9" s="21"/>
      <c r="F9" s="21"/>
      <c r="G9" s="21"/>
      <c r="H9" s="21"/>
      <c r="I9" s="20"/>
      <c r="J9" s="21"/>
      <c r="K9" s="21"/>
      <c r="L9" s="22"/>
      <c r="M9" s="21"/>
      <c r="N9" s="20"/>
      <c r="O9" s="21"/>
      <c r="P9" s="31"/>
      <c r="R9" s="23" t="s">
        <v>4252</v>
      </c>
      <c r="S9" s="23">
        <v>-316700</v>
      </c>
    </row>
    <row r="10" spans="1:31" x14ac:dyDescent="0.2">
      <c r="A10" s="1497"/>
      <c r="B10" s="21">
        <v>228473.51</v>
      </c>
      <c r="C10" s="1412"/>
      <c r="D10" s="9" t="s">
        <v>5693</v>
      </c>
      <c r="E10" s="21"/>
      <c r="F10" s="21"/>
      <c r="G10" s="21"/>
      <c r="H10" s="21"/>
      <c r="I10" s="20"/>
      <c r="J10" s="21"/>
      <c r="K10" s="21"/>
      <c r="L10" s="22"/>
      <c r="M10" s="21"/>
      <c r="N10" s="20"/>
      <c r="O10" s="21"/>
      <c r="P10" s="31"/>
      <c r="R10" s="23" t="s">
        <v>4253</v>
      </c>
      <c r="S10" s="23">
        <v>571600</v>
      </c>
    </row>
    <row r="11" spans="1:31" x14ac:dyDescent="0.2">
      <c r="A11" s="1497"/>
      <c r="B11" s="21">
        <v>33265.839999999997</v>
      </c>
      <c r="C11" s="1412"/>
      <c r="D11" s="890" t="s">
        <v>5704</v>
      </c>
      <c r="E11" s="21"/>
      <c r="F11" s="21"/>
      <c r="G11" s="21"/>
      <c r="H11" s="21"/>
      <c r="I11" s="20"/>
      <c r="J11" s="21"/>
      <c r="K11" s="21"/>
      <c r="L11" s="22"/>
      <c r="M11" s="21"/>
      <c r="N11" s="20"/>
      <c r="O11" s="21"/>
      <c r="P11" s="31"/>
      <c r="R11" s="40" t="s">
        <v>5906</v>
      </c>
      <c r="S11" s="40">
        <f>SUM(S5:S10)</f>
        <v>1167300</v>
      </c>
      <c r="T11" s="40">
        <f t="shared" ref="T11:AD11" si="2">SUM(T5:T10)</f>
        <v>1160000</v>
      </c>
      <c r="U11" s="40">
        <f t="shared" si="2"/>
        <v>0</v>
      </c>
      <c r="V11" s="40">
        <f t="shared" si="2"/>
        <v>1183000</v>
      </c>
      <c r="W11" s="40">
        <f t="shared" si="2"/>
        <v>559000</v>
      </c>
      <c r="X11" s="40">
        <f t="shared" si="2"/>
        <v>1221000</v>
      </c>
      <c r="Y11" s="40">
        <f t="shared" si="2"/>
        <v>587000</v>
      </c>
      <c r="Z11" s="40">
        <f t="shared" si="2"/>
        <v>1266000</v>
      </c>
      <c r="AA11" s="40">
        <f t="shared" si="2"/>
        <v>614000</v>
      </c>
      <c r="AB11" s="40">
        <f t="shared" si="2"/>
        <v>1303000</v>
      </c>
      <c r="AC11" s="40">
        <f t="shared" si="2"/>
        <v>639000</v>
      </c>
      <c r="AD11" s="40">
        <f t="shared" si="2"/>
        <v>1343000</v>
      </c>
      <c r="AE11" s="40">
        <f t="shared" ref="AE11" si="3">SUM(AE5:AE10)</f>
        <v>665000</v>
      </c>
    </row>
    <row r="12" spans="1:31" x14ac:dyDescent="0.2">
      <c r="A12" s="1497"/>
      <c r="B12" s="21">
        <v>2384.16</v>
      </c>
      <c r="C12" s="1412"/>
      <c r="D12" s="890" t="s">
        <v>3600</v>
      </c>
      <c r="E12" s="21"/>
      <c r="F12" s="21"/>
      <c r="G12" s="21"/>
      <c r="H12" s="21"/>
      <c r="I12" s="20"/>
      <c r="J12" s="21"/>
      <c r="K12" s="21"/>
      <c r="L12" s="22"/>
      <c r="M12" s="21"/>
      <c r="N12" s="20"/>
      <c r="O12" s="21"/>
      <c r="P12" s="31"/>
    </row>
    <row r="13" spans="1:31" x14ac:dyDescent="0.2">
      <c r="A13" s="1497"/>
      <c r="B13" s="21">
        <v>300124.59999999998</v>
      </c>
      <c r="C13" s="1412"/>
      <c r="D13" s="9" t="s">
        <v>5692</v>
      </c>
      <c r="E13" s="21"/>
      <c r="F13" s="21"/>
      <c r="G13" s="21"/>
      <c r="H13" s="21"/>
      <c r="I13" s="20"/>
      <c r="J13" s="21"/>
      <c r="K13" s="21"/>
      <c r="L13" s="22"/>
      <c r="M13" s="21"/>
      <c r="N13" s="20"/>
      <c r="O13" s="21"/>
      <c r="P13" s="31"/>
      <c r="R13" s="40" t="s">
        <v>5910</v>
      </c>
    </row>
    <row r="14" spans="1:31" s="40" customFormat="1" x14ac:dyDescent="0.2">
      <c r="A14" s="2055">
        <f>SUM(A8:A13)</f>
        <v>0</v>
      </c>
      <c r="B14" s="2056">
        <f>SUM(B8:B13)</f>
        <v>829103.59</v>
      </c>
      <c r="C14" s="2063"/>
      <c r="D14" s="2057" t="s">
        <v>764</v>
      </c>
      <c r="E14" s="2056">
        <f t="shared" ref="E14:O14" si="4">SUM(E8:E13)</f>
        <v>0</v>
      </c>
      <c r="F14" s="2056">
        <f t="shared" si="4"/>
        <v>0</v>
      </c>
      <c r="G14" s="2056">
        <f t="shared" si="4"/>
        <v>0</v>
      </c>
      <c r="H14" s="2056">
        <f t="shared" si="4"/>
        <v>0</v>
      </c>
      <c r="I14" s="2058">
        <f t="shared" si="4"/>
        <v>0</v>
      </c>
      <c r="J14" s="2056">
        <f t="shared" si="4"/>
        <v>0</v>
      </c>
      <c r="K14" s="2056">
        <f t="shared" si="4"/>
        <v>0</v>
      </c>
      <c r="L14" s="2059">
        <f t="shared" si="4"/>
        <v>0</v>
      </c>
      <c r="M14" s="2056">
        <f t="shared" si="4"/>
        <v>0</v>
      </c>
      <c r="N14" s="2058">
        <f t="shared" si="4"/>
        <v>0</v>
      </c>
      <c r="O14" s="2056">
        <f t="shared" si="4"/>
        <v>0</v>
      </c>
      <c r="P14" s="2060">
        <f t="shared" ref="P14" si="5">SUM(P8:P13)</f>
        <v>0</v>
      </c>
      <c r="R14" s="25" t="s">
        <v>4244</v>
      </c>
      <c r="S14" s="23">
        <v>0</v>
      </c>
    </row>
    <row r="15" spans="1:31" x14ac:dyDescent="0.2">
      <c r="A15" s="1497"/>
      <c r="B15" s="21"/>
      <c r="C15" s="1412"/>
      <c r="D15" s="22"/>
      <c r="E15" s="21"/>
      <c r="F15" s="21"/>
      <c r="G15" s="21"/>
      <c r="H15" s="21"/>
      <c r="I15" s="20"/>
      <c r="J15" s="21"/>
      <c r="K15" s="21"/>
      <c r="L15" s="22"/>
      <c r="M15" s="21"/>
      <c r="N15" s="20"/>
      <c r="O15" s="21"/>
      <c r="P15" s="31"/>
      <c r="R15" s="25" t="s">
        <v>2188</v>
      </c>
      <c r="S15" s="23">
        <v>600</v>
      </c>
    </row>
    <row r="16" spans="1:31" x14ac:dyDescent="0.2">
      <c r="A16" s="1497"/>
      <c r="B16" s="21"/>
      <c r="C16" s="1412"/>
      <c r="D16" s="58" t="s">
        <v>5694</v>
      </c>
      <c r="E16" s="21"/>
      <c r="F16" s="21"/>
      <c r="G16" s="21"/>
      <c r="H16" s="21"/>
      <c r="I16" s="20"/>
      <c r="J16" s="21"/>
      <c r="K16" s="21"/>
      <c r="L16" s="22"/>
      <c r="M16" s="21"/>
      <c r="N16" s="20"/>
      <c r="O16" s="21"/>
      <c r="P16" s="31"/>
      <c r="R16" s="25" t="s">
        <v>2375</v>
      </c>
      <c r="S16" s="23">
        <v>-2879600</v>
      </c>
    </row>
    <row r="17" spans="1:31" x14ac:dyDescent="0.2">
      <c r="A17" s="1497"/>
      <c r="B17" s="21"/>
      <c r="C17" s="1412"/>
      <c r="D17" s="22" t="s">
        <v>5695</v>
      </c>
      <c r="E17" s="21"/>
      <c r="F17" s="21"/>
      <c r="G17" s="21"/>
      <c r="H17" s="21"/>
      <c r="I17" s="20"/>
      <c r="J17" s="21"/>
      <c r="K17" s="21"/>
      <c r="L17" s="22"/>
      <c r="M17" s="21"/>
      <c r="N17" s="20"/>
      <c r="O17" s="21"/>
      <c r="P17" s="31"/>
      <c r="R17" s="25" t="s">
        <v>4245</v>
      </c>
      <c r="S17" s="23">
        <v>-1700</v>
      </c>
    </row>
    <row r="18" spans="1:31" x14ac:dyDescent="0.2">
      <c r="A18" s="1497"/>
      <c r="B18" s="21"/>
      <c r="C18" s="1412"/>
      <c r="D18" s="22" t="s">
        <v>5696</v>
      </c>
      <c r="E18" s="21"/>
      <c r="F18" s="21"/>
      <c r="G18" s="21"/>
      <c r="H18" s="21"/>
      <c r="I18" s="20"/>
      <c r="J18" s="21"/>
      <c r="K18" s="21"/>
      <c r="L18" s="22"/>
      <c r="M18" s="21"/>
      <c r="N18" s="20"/>
      <c r="O18" s="21"/>
      <c r="P18" s="31"/>
      <c r="R18" s="25" t="s">
        <v>416</v>
      </c>
      <c r="S18" s="23">
        <v>3668500</v>
      </c>
      <c r="T18" s="23">
        <f>T11</f>
        <v>1160000</v>
      </c>
      <c r="V18" s="23">
        <f>V11</f>
        <v>1183000</v>
      </c>
      <c r="W18" s="23">
        <f t="shared" ref="W18:AD18" si="6">W11</f>
        <v>559000</v>
      </c>
      <c r="X18" s="23">
        <f t="shared" si="6"/>
        <v>1221000</v>
      </c>
      <c r="Y18" s="23">
        <f t="shared" si="6"/>
        <v>587000</v>
      </c>
      <c r="Z18" s="23">
        <f t="shared" si="6"/>
        <v>1266000</v>
      </c>
      <c r="AA18" s="23">
        <f t="shared" si="6"/>
        <v>614000</v>
      </c>
      <c r="AB18" s="23">
        <f t="shared" si="6"/>
        <v>1303000</v>
      </c>
      <c r="AC18" s="23">
        <f t="shared" si="6"/>
        <v>639000</v>
      </c>
      <c r="AD18" s="23">
        <f t="shared" si="6"/>
        <v>1343000</v>
      </c>
      <c r="AE18" s="23">
        <f t="shared" ref="AE18" si="7">AE11</f>
        <v>665000</v>
      </c>
    </row>
    <row r="19" spans="1:31" x14ac:dyDescent="0.2">
      <c r="A19" s="1497"/>
      <c r="B19" s="21"/>
      <c r="C19" s="1412"/>
      <c r="D19" s="22" t="s">
        <v>5697</v>
      </c>
      <c r="E19" s="21"/>
      <c r="F19" s="21"/>
      <c r="G19" s="21"/>
      <c r="H19" s="21"/>
      <c r="I19" s="20"/>
      <c r="J19" s="21"/>
      <c r="K19" s="21"/>
      <c r="L19" s="22"/>
      <c r="M19" s="21"/>
      <c r="N19" s="20"/>
      <c r="O19" s="21"/>
      <c r="P19" s="31"/>
      <c r="R19" s="25" t="s">
        <v>4246</v>
      </c>
      <c r="S19" s="25">
        <v>1853000</v>
      </c>
    </row>
    <row r="20" spans="1:31" x14ac:dyDescent="0.2">
      <c r="A20" s="1497"/>
      <c r="B20" s="21">
        <v>81182.070000000007</v>
      </c>
      <c r="C20" s="1412"/>
      <c r="D20" s="35" t="s">
        <v>5701</v>
      </c>
      <c r="E20" s="21"/>
      <c r="F20" s="21"/>
      <c r="G20" s="21"/>
      <c r="H20" s="21"/>
      <c r="I20" s="20"/>
      <c r="J20" s="21"/>
      <c r="K20" s="21"/>
      <c r="L20" s="22"/>
      <c r="M20" s="21"/>
      <c r="N20" s="20"/>
      <c r="O20" s="21"/>
      <c r="P20" s="31"/>
      <c r="R20" s="40" t="s">
        <v>5906</v>
      </c>
      <c r="S20" s="40">
        <f>SUM(S14:S19)</f>
        <v>2640800</v>
      </c>
      <c r="T20" s="40">
        <f t="shared" ref="T20:AD20" si="8">SUM(T14:T19)</f>
        <v>1160000</v>
      </c>
      <c r="U20" s="40"/>
      <c r="V20" s="40">
        <f t="shared" si="8"/>
        <v>1183000</v>
      </c>
      <c r="W20" s="40">
        <f t="shared" si="8"/>
        <v>559000</v>
      </c>
      <c r="X20" s="40">
        <f t="shared" si="8"/>
        <v>1221000</v>
      </c>
      <c r="Y20" s="40">
        <f t="shared" si="8"/>
        <v>587000</v>
      </c>
      <c r="Z20" s="40">
        <f t="shared" si="8"/>
        <v>1266000</v>
      </c>
      <c r="AA20" s="40">
        <f t="shared" si="8"/>
        <v>614000</v>
      </c>
      <c r="AB20" s="40">
        <f t="shared" si="8"/>
        <v>1303000</v>
      </c>
      <c r="AC20" s="40">
        <f t="shared" si="8"/>
        <v>639000</v>
      </c>
      <c r="AD20" s="40">
        <f t="shared" si="8"/>
        <v>1343000</v>
      </c>
      <c r="AE20" s="40">
        <f t="shared" ref="AE20" si="9">SUM(AE14:AE19)</f>
        <v>665000</v>
      </c>
    </row>
    <row r="21" spans="1:31" x14ac:dyDescent="0.2">
      <c r="A21" s="1497"/>
      <c r="B21" s="21">
        <v>0</v>
      </c>
      <c r="C21" s="1412"/>
      <c r="D21" s="35" t="s">
        <v>5702</v>
      </c>
      <c r="E21" s="21"/>
      <c r="F21" s="21"/>
      <c r="G21" s="21"/>
      <c r="H21" s="21"/>
      <c r="I21" s="20"/>
      <c r="J21" s="21"/>
      <c r="K21" s="21"/>
      <c r="L21" s="22"/>
      <c r="M21" s="21"/>
      <c r="N21" s="20"/>
      <c r="O21" s="21"/>
      <c r="P21" s="31"/>
      <c r="R21" s="40"/>
      <c r="S21" s="40"/>
    </row>
    <row r="22" spans="1:31" x14ac:dyDescent="0.2">
      <c r="A22" s="1497"/>
      <c r="B22" s="21">
        <v>2931884</v>
      </c>
      <c r="C22" s="1412"/>
      <c r="D22" s="22" t="s">
        <v>5698</v>
      </c>
      <c r="E22" s="21"/>
      <c r="F22" s="21"/>
      <c r="G22" s="21"/>
      <c r="H22" s="21"/>
      <c r="I22" s="20"/>
      <c r="J22" s="21"/>
      <c r="K22" s="21"/>
      <c r="L22" s="22"/>
      <c r="M22" s="21"/>
      <c r="N22" s="20"/>
      <c r="O22" s="21"/>
      <c r="P22" s="31"/>
      <c r="R22" s="40"/>
      <c r="S22" s="40"/>
      <c r="Y22" s="40"/>
    </row>
    <row r="23" spans="1:31" x14ac:dyDescent="0.2">
      <c r="A23" s="1497"/>
      <c r="B23" s="21">
        <v>505263</v>
      </c>
      <c r="C23" s="1412"/>
      <c r="D23" s="35" t="s">
        <v>5703</v>
      </c>
      <c r="E23" s="21"/>
      <c r="F23" s="21"/>
      <c r="G23" s="21"/>
      <c r="H23" s="21"/>
      <c r="I23" s="20"/>
      <c r="J23" s="21"/>
      <c r="K23" s="21"/>
      <c r="L23" s="22"/>
      <c r="M23" s="21"/>
      <c r="N23" s="20"/>
      <c r="O23" s="21"/>
      <c r="P23" s="31"/>
      <c r="R23" s="40"/>
      <c r="S23" s="40"/>
      <c r="Y23" s="40"/>
    </row>
    <row r="24" spans="1:31" s="40" customFormat="1" x14ac:dyDescent="0.2">
      <c r="A24" s="2055">
        <f>SUM(A16:A23)</f>
        <v>0</v>
      </c>
      <c r="B24" s="2056">
        <f>SUM(B16:B23)</f>
        <v>3518329.07</v>
      </c>
      <c r="C24" s="2063"/>
      <c r="D24" s="2059" t="s">
        <v>764</v>
      </c>
      <c r="E24" s="2056">
        <f>SUM(E16:E23)</f>
        <v>0</v>
      </c>
      <c r="F24" s="2056"/>
      <c r="G24" s="2056">
        <f t="shared" ref="G24:O24" si="10">SUM(G16:G23)</f>
        <v>0</v>
      </c>
      <c r="H24" s="2056">
        <f t="shared" si="10"/>
        <v>0</v>
      </c>
      <c r="I24" s="2058">
        <f t="shared" si="10"/>
        <v>0</v>
      </c>
      <c r="J24" s="2056">
        <f t="shared" si="10"/>
        <v>0</v>
      </c>
      <c r="K24" s="2056">
        <f t="shared" si="10"/>
        <v>0</v>
      </c>
      <c r="L24" s="2059">
        <f t="shared" si="10"/>
        <v>0</v>
      </c>
      <c r="M24" s="2056">
        <f t="shared" si="10"/>
        <v>0</v>
      </c>
      <c r="N24" s="2058">
        <f t="shared" si="10"/>
        <v>0</v>
      </c>
      <c r="O24" s="2056">
        <f t="shared" si="10"/>
        <v>0</v>
      </c>
      <c r="P24" s="2060">
        <f t="shared" ref="P24" si="11">SUM(P16:P23)</f>
        <v>0</v>
      </c>
    </row>
    <row r="25" spans="1:31" s="40" customFormat="1" x14ac:dyDescent="0.2">
      <c r="A25" s="1504"/>
      <c r="B25" s="82"/>
      <c r="C25" s="1412"/>
      <c r="D25" s="58"/>
      <c r="E25" s="82"/>
      <c r="F25" s="82"/>
      <c r="G25" s="82"/>
      <c r="H25" s="82"/>
      <c r="I25" s="83"/>
      <c r="J25" s="82"/>
      <c r="K25" s="82"/>
      <c r="L25" s="58"/>
      <c r="M25" s="82"/>
      <c r="N25" s="83"/>
      <c r="O25" s="82"/>
      <c r="P25" s="72"/>
    </row>
    <row r="26" spans="1:31" s="40" customFormat="1" x14ac:dyDescent="0.2">
      <c r="A26" s="1504"/>
      <c r="B26" s="82"/>
      <c r="C26" s="1412"/>
      <c r="D26" s="58" t="s">
        <v>5705</v>
      </c>
      <c r="E26" s="82"/>
      <c r="F26" s="82"/>
      <c r="G26" s="82"/>
      <c r="H26" s="82"/>
      <c r="I26" s="83"/>
      <c r="J26" s="82"/>
      <c r="K26" s="82"/>
      <c r="L26" s="58"/>
      <c r="M26" s="82"/>
      <c r="N26" s="83"/>
      <c r="O26" s="82"/>
      <c r="P26" s="72"/>
    </row>
    <row r="27" spans="1:31" s="40" customFormat="1" x14ac:dyDescent="0.2">
      <c r="A27" s="1504"/>
      <c r="B27" s="21"/>
      <c r="C27" s="1412" t="s">
        <v>5706</v>
      </c>
      <c r="D27" s="35" t="s">
        <v>5707</v>
      </c>
      <c r="E27" s="82"/>
      <c r="F27" s="82"/>
      <c r="G27" s="82"/>
      <c r="H27" s="82"/>
      <c r="I27" s="83"/>
      <c r="J27" s="82"/>
      <c r="K27" s="82"/>
      <c r="L27" s="58"/>
      <c r="M27" s="82"/>
      <c r="N27" s="83"/>
      <c r="O27" s="82"/>
      <c r="P27" s="72"/>
    </row>
    <row r="28" spans="1:31" s="40" customFormat="1" x14ac:dyDescent="0.2">
      <c r="A28" s="1504"/>
      <c r="B28" s="21">
        <v>194116.65</v>
      </c>
      <c r="C28" s="1412" t="s">
        <v>5708</v>
      </c>
      <c r="D28" s="35" t="s">
        <v>1765</v>
      </c>
      <c r="E28" s="82"/>
      <c r="F28" s="82"/>
      <c r="G28" s="82"/>
      <c r="H28" s="82"/>
      <c r="I28" s="83"/>
      <c r="J28" s="82"/>
      <c r="K28" s="82"/>
      <c r="L28" s="58"/>
      <c r="M28" s="82"/>
      <c r="N28" s="83"/>
      <c r="O28" s="82"/>
      <c r="P28" s="72"/>
    </row>
    <row r="29" spans="1:31" s="40" customFormat="1" x14ac:dyDescent="0.2">
      <c r="A29" s="1504"/>
      <c r="B29" s="21"/>
      <c r="C29" s="1412" t="s">
        <v>5709</v>
      </c>
      <c r="D29" s="35" t="s">
        <v>5710</v>
      </c>
      <c r="E29" s="82"/>
      <c r="F29" s="82"/>
      <c r="G29" s="82"/>
      <c r="H29" s="82"/>
      <c r="I29" s="83"/>
      <c r="J29" s="82"/>
      <c r="K29" s="82"/>
      <c r="L29" s="58"/>
      <c r="M29" s="82"/>
      <c r="N29" s="83"/>
      <c r="O29" s="82"/>
      <c r="P29" s="72"/>
    </row>
    <row r="30" spans="1:31" s="40" customFormat="1" x14ac:dyDescent="0.2">
      <c r="A30" s="1504"/>
      <c r="B30" s="21">
        <v>247635.28</v>
      </c>
      <c r="C30" s="1412" t="s">
        <v>5711</v>
      </c>
      <c r="D30" s="35" t="s">
        <v>5712</v>
      </c>
      <c r="E30" s="82"/>
      <c r="F30" s="82"/>
      <c r="G30" s="82"/>
      <c r="H30" s="82"/>
      <c r="I30" s="83"/>
      <c r="J30" s="82"/>
      <c r="K30" s="82"/>
      <c r="L30" s="58"/>
      <c r="M30" s="82"/>
      <c r="N30" s="83"/>
      <c r="O30" s="82"/>
      <c r="P30" s="72"/>
    </row>
    <row r="31" spans="1:31" s="40" customFormat="1" x14ac:dyDescent="0.2">
      <c r="A31" s="1504"/>
      <c r="B31" s="21"/>
      <c r="C31" s="1412" t="s">
        <v>5713</v>
      </c>
      <c r="D31" s="35" t="s">
        <v>5710</v>
      </c>
      <c r="E31" s="82"/>
      <c r="F31" s="82"/>
      <c r="G31" s="82"/>
      <c r="H31" s="82"/>
      <c r="I31" s="83"/>
      <c r="J31" s="82"/>
      <c r="K31" s="82"/>
      <c r="L31" s="58"/>
      <c r="M31" s="82"/>
      <c r="N31" s="83"/>
      <c r="O31" s="82"/>
      <c r="P31" s="72"/>
    </row>
    <row r="32" spans="1:31" s="40" customFormat="1" x14ac:dyDescent="0.2">
      <c r="A32" s="1504"/>
      <c r="B32" s="21"/>
      <c r="C32" s="1412" t="s">
        <v>5714</v>
      </c>
      <c r="D32" s="35" t="s">
        <v>5715</v>
      </c>
      <c r="E32" s="82"/>
      <c r="F32" s="82"/>
      <c r="G32" s="82"/>
      <c r="H32" s="82"/>
      <c r="I32" s="83"/>
      <c r="J32" s="82"/>
      <c r="K32" s="82"/>
      <c r="L32" s="58"/>
      <c r="M32" s="82"/>
      <c r="N32" s="83"/>
      <c r="O32" s="82"/>
      <c r="P32" s="72"/>
    </row>
    <row r="33" spans="1:16" s="40" customFormat="1" x14ac:dyDescent="0.2">
      <c r="A33" s="1504"/>
      <c r="B33" s="21"/>
      <c r="C33" s="1412" t="s">
        <v>5716</v>
      </c>
      <c r="D33" s="35" t="s">
        <v>5717</v>
      </c>
      <c r="E33" s="82"/>
      <c r="F33" s="82"/>
      <c r="G33" s="82"/>
      <c r="H33" s="82"/>
      <c r="I33" s="83"/>
      <c r="J33" s="82"/>
      <c r="K33" s="82"/>
      <c r="L33" s="58"/>
      <c r="M33" s="82"/>
      <c r="N33" s="83"/>
      <c r="O33" s="82"/>
      <c r="P33" s="72"/>
    </row>
    <row r="34" spans="1:16" s="40" customFormat="1" x14ac:dyDescent="0.2">
      <c r="A34" s="1504"/>
      <c r="B34" s="21"/>
      <c r="C34" s="1412" t="s">
        <v>5718</v>
      </c>
      <c r="D34" s="35" t="s">
        <v>5719</v>
      </c>
      <c r="E34" s="82"/>
      <c r="F34" s="82"/>
      <c r="G34" s="82"/>
      <c r="H34" s="82"/>
      <c r="I34" s="83"/>
      <c r="J34" s="82"/>
      <c r="K34" s="82"/>
      <c r="L34" s="58"/>
      <c r="M34" s="82"/>
      <c r="N34" s="83"/>
      <c r="O34" s="82"/>
      <c r="P34" s="72"/>
    </row>
    <row r="35" spans="1:16" s="40" customFormat="1" x14ac:dyDescent="0.2">
      <c r="A35" s="1504"/>
      <c r="B35" s="21"/>
      <c r="C35" s="1412" t="s">
        <v>5720</v>
      </c>
      <c r="D35" s="35" t="s">
        <v>5721</v>
      </c>
      <c r="E35" s="82"/>
      <c r="F35" s="82"/>
      <c r="G35" s="82"/>
      <c r="H35" s="82"/>
      <c r="I35" s="83"/>
      <c r="J35" s="82"/>
      <c r="K35" s="82"/>
      <c r="L35" s="58"/>
      <c r="M35" s="82"/>
      <c r="N35" s="83"/>
      <c r="O35" s="82"/>
      <c r="P35" s="72"/>
    </row>
    <row r="36" spans="1:16" s="40" customFormat="1" x14ac:dyDescent="0.2">
      <c r="A36" s="1504"/>
      <c r="B36" s="21">
        <v>103800</v>
      </c>
      <c r="C36" s="1412" t="s">
        <v>5722</v>
      </c>
      <c r="D36" s="35" t="s">
        <v>5723</v>
      </c>
      <c r="E36" s="82"/>
      <c r="F36" s="82"/>
      <c r="G36" s="82"/>
      <c r="H36" s="82"/>
      <c r="I36" s="83"/>
      <c r="J36" s="82"/>
      <c r="K36" s="82"/>
      <c r="L36" s="58"/>
      <c r="M36" s="82"/>
      <c r="N36" s="83"/>
      <c r="O36" s="82"/>
      <c r="P36" s="72"/>
    </row>
    <row r="37" spans="1:16" s="40" customFormat="1" x14ac:dyDescent="0.2">
      <c r="A37" s="1504"/>
      <c r="B37" s="21">
        <v>0</v>
      </c>
      <c r="C37" s="1412" t="s">
        <v>5724</v>
      </c>
      <c r="D37" s="35" t="s">
        <v>5723</v>
      </c>
      <c r="E37" s="82"/>
      <c r="F37" s="82"/>
      <c r="G37" s="82"/>
      <c r="H37" s="82"/>
      <c r="I37" s="83"/>
      <c r="J37" s="82"/>
      <c r="K37" s="82"/>
      <c r="L37" s="58"/>
      <c r="M37" s="82"/>
      <c r="N37" s="83"/>
      <c r="O37" s="82"/>
      <c r="P37" s="72"/>
    </row>
    <row r="38" spans="1:16" s="40" customFormat="1" x14ac:dyDescent="0.2">
      <c r="A38" s="1504"/>
      <c r="B38" s="21"/>
      <c r="C38" s="1412" t="s">
        <v>5725</v>
      </c>
      <c r="D38" s="35" t="s">
        <v>5726</v>
      </c>
      <c r="E38" s="82"/>
      <c r="F38" s="82"/>
      <c r="G38" s="82"/>
      <c r="H38" s="82"/>
      <c r="I38" s="83"/>
      <c r="J38" s="82"/>
      <c r="K38" s="82"/>
      <c r="L38" s="58"/>
      <c r="M38" s="82"/>
      <c r="N38" s="83"/>
      <c r="O38" s="82"/>
      <c r="P38" s="72"/>
    </row>
    <row r="39" spans="1:16" s="40" customFormat="1" x14ac:dyDescent="0.2">
      <c r="A39" s="1504"/>
      <c r="B39" s="21">
        <v>104927.94</v>
      </c>
      <c r="C39" s="1412" t="s">
        <v>5727</v>
      </c>
      <c r="D39" s="35" t="s">
        <v>5728</v>
      </c>
      <c r="E39" s="82"/>
      <c r="F39" s="82"/>
      <c r="G39" s="82"/>
      <c r="H39" s="82"/>
      <c r="I39" s="83"/>
      <c r="J39" s="82"/>
      <c r="K39" s="82"/>
      <c r="L39" s="58"/>
      <c r="M39" s="82"/>
      <c r="N39" s="83"/>
      <c r="O39" s="82"/>
      <c r="P39" s="72"/>
    </row>
    <row r="40" spans="1:16" s="40" customFormat="1" x14ac:dyDescent="0.2">
      <c r="A40" s="1504"/>
      <c r="B40" s="21"/>
      <c r="C40" s="1412" t="s">
        <v>5729</v>
      </c>
      <c r="D40" s="35" t="s">
        <v>5710</v>
      </c>
      <c r="E40" s="82"/>
      <c r="F40" s="82"/>
      <c r="G40" s="82"/>
      <c r="H40" s="82"/>
      <c r="I40" s="83"/>
      <c r="J40" s="82"/>
      <c r="K40" s="82"/>
      <c r="L40" s="58"/>
      <c r="M40" s="82"/>
      <c r="N40" s="83"/>
      <c r="O40" s="82"/>
      <c r="P40" s="72"/>
    </row>
    <row r="41" spans="1:16" s="40" customFormat="1" x14ac:dyDescent="0.2">
      <c r="A41" s="1504"/>
      <c r="B41" s="21"/>
      <c r="C41" s="1412" t="s">
        <v>5730</v>
      </c>
      <c r="D41" s="35" t="s">
        <v>5710</v>
      </c>
      <c r="E41" s="82"/>
      <c r="F41" s="82"/>
      <c r="G41" s="82"/>
      <c r="H41" s="82"/>
      <c r="I41" s="83"/>
      <c r="J41" s="82"/>
      <c r="K41" s="82"/>
      <c r="L41" s="58"/>
      <c r="M41" s="82"/>
      <c r="N41" s="83"/>
      <c r="O41" s="82"/>
      <c r="P41" s="72"/>
    </row>
    <row r="42" spans="1:16" s="40" customFormat="1" x14ac:dyDescent="0.2">
      <c r="A42" s="1504"/>
      <c r="B42" s="21">
        <v>9033.74</v>
      </c>
      <c r="C42" s="1412" t="s">
        <v>5731</v>
      </c>
      <c r="D42" s="35" t="s">
        <v>1092</v>
      </c>
      <c r="E42" s="82"/>
      <c r="F42" s="82"/>
      <c r="G42" s="82"/>
      <c r="H42" s="82"/>
      <c r="I42" s="83"/>
      <c r="J42" s="82"/>
      <c r="K42" s="82"/>
      <c r="L42" s="58"/>
      <c r="M42" s="82"/>
      <c r="N42" s="83"/>
      <c r="O42" s="82"/>
      <c r="P42" s="72"/>
    </row>
    <row r="43" spans="1:16" s="40" customFormat="1" x14ac:dyDescent="0.2">
      <c r="A43" s="1504"/>
      <c r="B43" s="21">
        <v>34254</v>
      </c>
      <c r="C43" s="1412" t="s">
        <v>5732</v>
      </c>
      <c r="D43" s="35" t="s">
        <v>5733</v>
      </c>
      <c r="E43" s="82"/>
      <c r="F43" s="82"/>
      <c r="G43" s="82"/>
      <c r="H43" s="82"/>
      <c r="I43" s="83"/>
      <c r="J43" s="82"/>
      <c r="K43" s="82"/>
      <c r="L43" s="58"/>
      <c r="M43" s="82"/>
      <c r="N43" s="83"/>
      <c r="O43" s="82"/>
      <c r="P43" s="72"/>
    </row>
    <row r="44" spans="1:16" s="40" customFormat="1" x14ac:dyDescent="0.2">
      <c r="A44" s="1504"/>
      <c r="B44" s="21">
        <v>432696</v>
      </c>
      <c r="C44" s="1412" t="s">
        <v>5734</v>
      </c>
      <c r="D44" s="35" t="s">
        <v>5735</v>
      </c>
      <c r="E44" s="82"/>
      <c r="F44" s="82"/>
      <c r="G44" s="82"/>
      <c r="H44" s="82"/>
      <c r="I44" s="83"/>
      <c r="J44" s="82"/>
      <c r="K44" s="82"/>
      <c r="L44" s="58"/>
      <c r="M44" s="82"/>
      <c r="N44" s="83"/>
      <c r="O44" s="82"/>
      <c r="P44" s="72"/>
    </row>
    <row r="45" spans="1:16" s="40" customFormat="1" x14ac:dyDescent="0.2">
      <c r="A45" s="1504"/>
      <c r="B45" s="21"/>
      <c r="C45" s="1412" t="s">
        <v>5736</v>
      </c>
      <c r="D45" s="35" t="s">
        <v>5737</v>
      </c>
      <c r="E45" s="82"/>
      <c r="F45" s="82"/>
      <c r="G45" s="82"/>
      <c r="H45" s="82"/>
      <c r="I45" s="83"/>
      <c r="J45" s="82"/>
      <c r="K45" s="82"/>
      <c r="L45" s="58"/>
      <c r="M45" s="82"/>
      <c r="N45" s="83"/>
      <c r="O45" s="82"/>
      <c r="P45" s="72"/>
    </row>
    <row r="46" spans="1:16" s="40" customFormat="1" x14ac:dyDescent="0.2">
      <c r="A46" s="1504"/>
      <c r="B46" s="21">
        <v>982354.8</v>
      </c>
      <c r="C46" s="1412" t="s">
        <v>5738</v>
      </c>
      <c r="D46" s="35" t="s">
        <v>5739</v>
      </c>
      <c r="E46" s="82"/>
      <c r="F46" s="82"/>
      <c r="G46" s="82"/>
      <c r="H46" s="82"/>
      <c r="I46" s="83"/>
      <c r="J46" s="82"/>
      <c r="K46" s="82"/>
      <c r="L46" s="58"/>
      <c r="M46" s="82"/>
      <c r="N46" s="83"/>
      <c r="O46" s="82"/>
      <c r="P46" s="72"/>
    </row>
    <row r="47" spans="1:16" s="40" customFormat="1" x14ac:dyDescent="0.2">
      <c r="A47" s="1504"/>
      <c r="B47" s="21">
        <v>314877.78000000003</v>
      </c>
      <c r="C47" s="1412" t="s">
        <v>5740</v>
      </c>
      <c r="D47" s="35" t="s">
        <v>5741</v>
      </c>
      <c r="E47" s="82"/>
      <c r="F47" s="82"/>
      <c r="G47" s="82"/>
      <c r="H47" s="82"/>
      <c r="I47" s="83"/>
      <c r="J47" s="82"/>
      <c r="K47" s="82"/>
      <c r="L47" s="58"/>
      <c r="M47" s="82"/>
      <c r="N47" s="83"/>
      <c r="O47" s="82"/>
      <c r="P47" s="72"/>
    </row>
    <row r="48" spans="1:16" s="40" customFormat="1" x14ac:dyDescent="0.2">
      <c r="A48" s="1504"/>
      <c r="B48" s="21">
        <v>1992358.08</v>
      </c>
      <c r="C48" s="1412" t="s">
        <v>5742</v>
      </c>
      <c r="D48" s="35" t="s">
        <v>5743</v>
      </c>
      <c r="E48" s="82"/>
      <c r="F48" s="82"/>
      <c r="G48" s="82"/>
      <c r="H48" s="82"/>
      <c r="I48" s="83"/>
      <c r="J48" s="82"/>
      <c r="K48" s="82"/>
      <c r="L48" s="58"/>
      <c r="M48" s="82"/>
      <c r="N48" s="83"/>
      <c r="O48" s="82"/>
      <c r="P48" s="72"/>
    </row>
    <row r="49" spans="1:19" s="40" customFormat="1" x14ac:dyDescent="0.2">
      <c r="A49" s="1504"/>
      <c r="B49" s="21">
        <v>530504.52</v>
      </c>
      <c r="C49" s="1412" t="s">
        <v>5744</v>
      </c>
      <c r="D49" s="35" t="s">
        <v>5745</v>
      </c>
      <c r="E49" s="82"/>
      <c r="F49" s="82"/>
      <c r="G49" s="82"/>
      <c r="H49" s="82"/>
      <c r="I49" s="83"/>
      <c r="J49" s="82"/>
      <c r="K49" s="82"/>
      <c r="L49" s="58"/>
      <c r="M49" s="82"/>
      <c r="N49" s="83"/>
      <c r="O49" s="82"/>
      <c r="P49" s="72"/>
    </row>
    <row r="50" spans="1:19" s="40" customFormat="1" x14ac:dyDescent="0.2">
      <c r="A50" s="1504"/>
      <c r="B50" s="21">
        <v>54000</v>
      </c>
      <c r="C50" s="1412" t="s">
        <v>5746</v>
      </c>
      <c r="D50" s="35" t="s">
        <v>5747</v>
      </c>
      <c r="E50" s="82"/>
      <c r="F50" s="82"/>
      <c r="G50" s="82"/>
      <c r="H50" s="82"/>
      <c r="I50" s="83"/>
      <c r="J50" s="82"/>
      <c r="K50" s="82"/>
      <c r="L50" s="58"/>
      <c r="M50" s="82"/>
      <c r="N50" s="83"/>
      <c r="O50" s="82"/>
      <c r="P50" s="72"/>
    </row>
    <row r="51" spans="1:19" s="40" customFormat="1" x14ac:dyDescent="0.2">
      <c r="A51" s="1504"/>
      <c r="B51" s="21">
        <v>3290</v>
      </c>
      <c r="C51" s="1412" t="s">
        <v>5748</v>
      </c>
      <c r="D51" s="35" t="s">
        <v>5749</v>
      </c>
      <c r="E51" s="82"/>
      <c r="F51" s="82"/>
      <c r="G51" s="82"/>
      <c r="H51" s="82"/>
      <c r="I51" s="83"/>
      <c r="J51" s="82"/>
      <c r="K51" s="82"/>
      <c r="L51" s="58"/>
      <c r="M51" s="82"/>
      <c r="N51" s="83"/>
      <c r="O51" s="82"/>
      <c r="P51" s="72"/>
    </row>
    <row r="52" spans="1:19" s="40" customFormat="1" x14ac:dyDescent="0.2">
      <c r="A52" s="1504"/>
      <c r="B52" s="21">
        <v>105200</v>
      </c>
      <c r="C52" s="1412" t="s">
        <v>5750</v>
      </c>
      <c r="D52" s="35" t="s">
        <v>5751</v>
      </c>
      <c r="E52" s="82"/>
      <c r="F52" s="82"/>
      <c r="G52" s="82"/>
      <c r="H52" s="82"/>
      <c r="I52" s="83"/>
      <c r="J52" s="82"/>
      <c r="K52" s="82"/>
      <c r="L52" s="58"/>
      <c r="M52" s="82"/>
      <c r="N52" s="83"/>
      <c r="O52" s="82"/>
      <c r="P52" s="72"/>
    </row>
    <row r="53" spans="1:19" s="40" customFormat="1" x14ac:dyDescent="0.2">
      <c r="A53" s="1504"/>
      <c r="B53" s="21">
        <v>440000</v>
      </c>
      <c r="C53" s="1412" t="s">
        <v>5752</v>
      </c>
      <c r="D53" s="35" t="s">
        <v>5753</v>
      </c>
      <c r="E53" s="82"/>
      <c r="F53" s="82"/>
      <c r="G53" s="82"/>
      <c r="H53" s="82"/>
      <c r="I53" s="83"/>
      <c r="J53" s="82"/>
      <c r="K53" s="82"/>
      <c r="L53" s="58"/>
      <c r="M53" s="82"/>
      <c r="N53" s="83"/>
      <c r="O53" s="82"/>
      <c r="P53" s="72"/>
    </row>
    <row r="54" spans="1:19" s="40" customFormat="1" x14ac:dyDescent="0.2">
      <c r="A54" s="1504"/>
      <c r="B54" s="21">
        <v>393.75</v>
      </c>
      <c r="C54" s="1412" t="s">
        <v>5754</v>
      </c>
      <c r="D54" s="35" t="s">
        <v>5755</v>
      </c>
      <c r="E54" s="82"/>
      <c r="F54" s="82"/>
      <c r="G54" s="82"/>
      <c r="H54" s="82"/>
      <c r="I54" s="83"/>
      <c r="J54" s="82"/>
      <c r="K54" s="82"/>
      <c r="L54" s="58"/>
      <c r="M54" s="82"/>
      <c r="N54" s="83"/>
      <c r="O54" s="82"/>
      <c r="P54" s="72"/>
    </row>
    <row r="55" spans="1:19" s="40" customFormat="1" x14ac:dyDescent="0.2">
      <c r="A55" s="1504"/>
      <c r="B55" s="21">
        <v>241445.18</v>
      </c>
      <c r="C55" s="1412" t="s">
        <v>5756</v>
      </c>
      <c r="D55" s="35" t="s">
        <v>5757</v>
      </c>
      <c r="E55" s="82"/>
      <c r="F55" s="82"/>
      <c r="G55" s="82"/>
      <c r="H55" s="82"/>
      <c r="I55" s="83"/>
      <c r="J55" s="82"/>
      <c r="K55" s="82"/>
      <c r="L55" s="58"/>
      <c r="M55" s="82"/>
      <c r="N55" s="83"/>
      <c r="O55" s="82"/>
      <c r="P55" s="72"/>
    </row>
    <row r="56" spans="1:19" s="40" customFormat="1" x14ac:dyDescent="0.2">
      <c r="A56" s="1504"/>
      <c r="B56" s="21">
        <v>210423.67999999999</v>
      </c>
      <c r="C56" s="1412" t="s">
        <v>5758</v>
      </c>
      <c r="D56" s="35" t="s">
        <v>5759</v>
      </c>
      <c r="E56" s="82"/>
      <c r="F56" s="82"/>
      <c r="G56" s="82"/>
      <c r="H56" s="82"/>
      <c r="I56" s="83"/>
      <c r="J56" s="82"/>
      <c r="K56" s="82"/>
      <c r="L56" s="58"/>
      <c r="M56" s="82"/>
      <c r="N56" s="83"/>
      <c r="O56" s="82"/>
      <c r="P56" s="72"/>
      <c r="R56" s="23"/>
      <c r="S56" s="23"/>
    </row>
    <row r="57" spans="1:19" s="40" customFormat="1" x14ac:dyDescent="0.2">
      <c r="A57" s="1504"/>
      <c r="B57" s="21">
        <v>118954.85</v>
      </c>
      <c r="C57" s="1412" t="s">
        <v>5760</v>
      </c>
      <c r="D57" s="35" t="s">
        <v>5761</v>
      </c>
      <c r="E57" s="82"/>
      <c r="F57" s="82"/>
      <c r="G57" s="82"/>
      <c r="H57" s="82"/>
      <c r="I57" s="83"/>
      <c r="J57" s="82"/>
      <c r="K57" s="82"/>
      <c r="L57" s="58"/>
      <c r="M57" s="82"/>
      <c r="N57" s="83"/>
      <c r="O57" s="82"/>
      <c r="P57" s="72"/>
      <c r="R57" s="23"/>
      <c r="S57" s="23"/>
    </row>
    <row r="58" spans="1:19" s="40" customFormat="1" x14ac:dyDescent="0.2">
      <c r="A58" s="1504"/>
      <c r="B58" s="21">
        <v>29462.07</v>
      </c>
      <c r="C58" s="1412" t="s">
        <v>5762</v>
      </c>
      <c r="D58" s="35" t="s">
        <v>5763</v>
      </c>
      <c r="E58" s="82"/>
      <c r="F58" s="82"/>
      <c r="G58" s="82"/>
      <c r="H58" s="82"/>
      <c r="I58" s="83"/>
      <c r="J58" s="82"/>
      <c r="K58" s="82"/>
      <c r="L58" s="58"/>
      <c r="M58" s="82"/>
      <c r="N58" s="83"/>
      <c r="O58" s="82"/>
      <c r="P58" s="72"/>
      <c r="R58" s="23"/>
      <c r="S58" s="23"/>
    </row>
    <row r="59" spans="1:19" s="40" customFormat="1" x14ac:dyDescent="0.2">
      <c r="A59" s="2055">
        <f>SUM(A51:A58)</f>
        <v>0</v>
      </c>
      <c r="B59" s="2056">
        <f>SUM(B27:B58)</f>
        <v>6149728.3200000003</v>
      </c>
      <c r="C59" s="2063"/>
      <c r="D59" s="2059" t="s">
        <v>764</v>
      </c>
      <c r="E59" s="2056">
        <f t="shared" ref="E59:O59" si="12">SUM(E27:E58)</f>
        <v>0</v>
      </c>
      <c r="F59" s="2056"/>
      <c r="G59" s="2056">
        <f t="shared" si="12"/>
        <v>0</v>
      </c>
      <c r="H59" s="2056">
        <f t="shared" si="12"/>
        <v>0</v>
      </c>
      <c r="I59" s="2058">
        <f t="shared" si="12"/>
        <v>0</v>
      </c>
      <c r="J59" s="2056">
        <f t="shared" si="12"/>
        <v>0</v>
      </c>
      <c r="K59" s="2056">
        <f t="shared" si="12"/>
        <v>0</v>
      </c>
      <c r="L59" s="2059">
        <f t="shared" si="12"/>
        <v>0</v>
      </c>
      <c r="M59" s="2056">
        <f t="shared" si="12"/>
        <v>0</v>
      </c>
      <c r="N59" s="2058">
        <f t="shared" si="12"/>
        <v>0</v>
      </c>
      <c r="O59" s="2056">
        <f t="shared" si="12"/>
        <v>0</v>
      </c>
      <c r="P59" s="2060">
        <f t="shared" ref="P59" si="13">SUM(P27:P58)</f>
        <v>0</v>
      </c>
      <c r="R59" s="23"/>
      <c r="S59" s="23"/>
    </row>
    <row r="60" spans="1:19" s="40" customFormat="1" x14ac:dyDescent="0.2">
      <c r="A60" s="1504"/>
      <c r="B60" s="82"/>
      <c r="C60" s="1412"/>
      <c r="D60" s="58"/>
      <c r="E60" s="82"/>
      <c r="F60" s="82"/>
      <c r="G60" s="82"/>
      <c r="H60" s="82"/>
      <c r="I60" s="83"/>
      <c r="J60" s="82"/>
      <c r="K60" s="82"/>
      <c r="L60" s="58"/>
      <c r="M60" s="82"/>
      <c r="N60" s="83"/>
      <c r="O60" s="82"/>
      <c r="P60" s="72"/>
    </row>
    <row r="61" spans="1:19" x14ac:dyDescent="0.2">
      <c r="A61" s="1497"/>
      <c r="B61" s="21"/>
      <c r="C61" s="1412"/>
      <c r="D61" s="22"/>
      <c r="E61" s="21"/>
      <c r="F61" s="21"/>
      <c r="G61" s="21"/>
      <c r="H61" s="21"/>
      <c r="I61" s="20"/>
      <c r="J61" s="21"/>
      <c r="K61" s="21"/>
      <c r="L61" s="22"/>
      <c r="M61" s="21"/>
      <c r="N61" s="20"/>
      <c r="O61" s="21"/>
      <c r="P61" s="31"/>
    </row>
    <row r="62" spans="1:19" s="40" customFormat="1" x14ac:dyDescent="0.2">
      <c r="A62" s="1504">
        <f>A24+A14+A59</f>
        <v>0</v>
      </c>
      <c r="B62" s="82">
        <f>B24+B14+B59</f>
        <v>10497160.98</v>
      </c>
      <c r="C62" s="1412"/>
      <c r="D62" s="1992" t="s">
        <v>5700</v>
      </c>
      <c r="E62" s="82">
        <f>E24+E14+E59</f>
        <v>0</v>
      </c>
      <c r="F62" s="1326"/>
      <c r="G62" s="82">
        <f t="shared" ref="G62:O62" si="14">G24+G14+G59</f>
        <v>0</v>
      </c>
      <c r="H62" s="82">
        <f t="shared" si="14"/>
        <v>0</v>
      </c>
      <c r="I62" s="83">
        <f t="shared" si="14"/>
        <v>0</v>
      </c>
      <c r="J62" s="82">
        <f t="shared" si="14"/>
        <v>0</v>
      </c>
      <c r="K62" s="82">
        <f t="shared" si="14"/>
        <v>0</v>
      </c>
      <c r="L62" s="58">
        <f t="shared" si="14"/>
        <v>0</v>
      </c>
      <c r="M62" s="82">
        <f t="shared" si="14"/>
        <v>0</v>
      </c>
      <c r="N62" s="82">
        <f t="shared" si="14"/>
        <v>0</v>
      </c>
      <c r="O62" s="82">
        <f t="shared" si="14"/>
        <v>0</v>
      </c>
      <c r="P62" s="72">
        <f t="shared" ref="P62" si="15">P24+P14+P59</f>
        <v>0</v>
      </c>
      <c r="R62" s="23"/>
      <c r="S62" s="23"/>
    </row>
    <row r="63" spans="1:19" x14ac:dyDescent="0.2">
      <c r="A63" s="1497"/>
      <c r="B63" s="21"/>
      <c r="C63" s="1412"/>
      <c r="D63" s="22"/>
      <c r="E63" s="21"/>
      <c r="F63" s="21"/>
      <c r="G63" s="21"/>
      <c r="H63" s="21"/>
      <c r="I63" s="20"/>
      <c r="J63" s="21"/>
      <c r="K63" s="21"/>
      <c r="L63" s="22"/>
      <c r="M63" s="21"/>
      <c r="N63" s="20"/>
      <c r="O63" s="21"/>
      <c r="P63" s="31"/>
    </row>
    <row r="64" spans="1:19" x14ac:dyDescent="0.2">
      <c r="A64" s="1497"/>
      <c r="B64" s="21"/>
      <c r="C64" s="1412"/>
      <c r="D64" s="22"/>
      <c r="E64" s="21"/>
      <c r="F64" s="21"/>
      <c r="G64" s="21"/>
      <c r="H64" s="21"/>
      <c r="I64" s="20"/>
      <c r="J64" s="21"/>
      <c r="K64" s="21"/>
      <c r="L64" s="22"/>
      <c r="M64" s="21"/>
      <c r="N64" s="20"/>
      <c r="O64" s="21"/>
      <c r="P64" s="31"/>
    </row>
    <row r="65" spans="1:19" s="40" customFormat="1" x14ac:dyDescent="0.2">
      <c r="A65" s="1504"/>
      <c r="B65" s="82"/>
      <c r="C65" s="1326"/>
      <c r="D65" s="58" t="s">
        <v>5765</v>
      </c>
      <c r="E65" s="82"/>
      <c r="F65" s="82"/>
      <c r="G65" s="82"/>
      <c r="H65" s="82"/>
      <c r="I65" s="83"/>
      <c r="J65" s="82"/>
      <c r="K65" s="82"/>
      <c r="L65" s="58"/>
      <c r="M65" s="82"/>
      <c r="N65" s="83"/>
      <c r="O65" s="82"/>
      <c r="P65" s="72"/>
      <c r="R65" s="23"/>
      <c r="S65" s="23"/>
    </row>
    <row r="66" spans="1:19" x14ac:dyDescent="0.2">
      <c r="A66" s="1497"/>
      <c r="B66" s="21"/>
      <c r="C66" s="1412"/>
      <c r="D66" s="22"/>
      <c r="E66" s="21"/>
      <c r="F66" s="21"/>
      <c r="G66" s="21"/>
      <c r="H66" s="21"/>
      <c r="I66" s="20"/>
      <c r="J66" s="21"/>
      <c r="K66" s="21"/>
      <c r="L66" s="22"/>
      <c r="M66" s="21"/>
      <c r="N66" s="20"/>
      <c r="O66" s="21"/>
      <c r="P66" s="31"/>
    </row>
    <row r="67" spans="1:19" x14ac:dyDescent="0.2">
      <c r="A67" s="1497"/>
      <c r="B67" s="21"/>
      <c r="C67" s="1412"/>
      <c r="D67" s="58" t="s">
        <v>5776</v>
      </c>
      <c r="E67" s="21"/>
      <c r="F67" s="21"/>
      <c r="G67" s="21"/>
      <c r="H67" s="21"/>
      <c r="I67" s="20"/>
      <c r="J67" s="21"/>
      <c r="K67" s="21"/>
      <c r="L67" s="22"/>
      <c r="M67" s="21"/>
      <c r="N67" s="20"/>
      <c r="O67" s="21"/>
      <c r="P67" s="31"/>
    </row>
    <row r="68" spans="1:19" x14ac:dyDescent="0.2">
      <c r="A68" s="1497"/>
      <c r="B68" s="21">
        <v>3290</v>
      </c>
      <c r="C68" s="1412"/>
      <c r="D68" s="890" t="s">
        <v>5766</v>
      </c>
      <c r="E68" s="21"/>
      <c r="F68" s="21"/>
      <c r="G68" s="21"/>
      <c r="H68" s="21"/>
      <c r="I68" s="20"/>
      <c r="J68" s="21"/>
      <c r="K68" s="21"/>
      <c r="L68" s="22"/>
      <c r="M68" s="21"/>
      <c r="N68" s="20"/>
      <c r="O68" s="21"/>
      <c r="P68" s="31"/>
    </row>
    <row r="69" spans="1:19" x14ac:dyDescent="0.2">
      <c r="A69" s="1497"/>
      <c r="B69" s="21">
        <v>530504.52</v>
      </c>
      <c r="C69" s="1412"/>
      <c r="D69" s="890" t="s">
        <v>5767</v>
      </c>
      <c r="E69" s="21"/>
      <c r="F69" s="21"/>
      <c r="G69" s="21"/>
      <c r="H69" s="21"/>
      <c r="I69" s="20"/>
      <c r="J69" s="21"/>
      <c r="K69" s="21"/>
      <c r="L69" s="22"/>
      <c r="M69" s="21"/>
      <c r="N69" s="20"/>
      <c r="O69" s="21"/>
      <c r="P69" s="31"/>
    </row>
    <row r="70" spans="1:19" x14ac:dyDescent="0.2">
      <c r="A70" s="1497"/>
      <c r="B70" s="21">
        <v>314877.78000000003</v>
      </c>
      <c r="C70" s="1412"/>
      <c r="D70" s="9" t="s">
        <v>587</v>
      </c>
      <c r="E70" s="21"/>
      <c r="F70" s="21"/>
      <c r="G70" s="21"/>
      <c r="H70" s="21"/>
      <c r="I70" s="20"/>
      <c r="J70" s="21"/>
      <c r="K70" s="21"/>
      <c r="L70" s="22"/>
      <c r="M70" s="21"/>
      <c r="N70" s="20"/>
      <c r="O70" s="21"/>
      <c r="P70" s="31"/>
    </row>
    <row r="71" spans="1:19" x14ac:dyDescent="0.2">
      <c r="A71" s="1497"/>
      <c r="B71" s="21">
        <v>194116.65</v>
      </c>
      <c r="C71" s="1412"/>
      <c r="D71" s="9" t="s">
        <v>5768</v>
      </c>
      <c r="E71" s="21"/>
      <c r="F71" s="21"/>
      <c r="G71" s="21"/>
      <c r="H71" s="21"/>
      <c r="I71" s="20"/>
      <c r="J71" s="21"/>
      <c r="K71" s="21"/>
      <c r="L71" s="22"/>
      <c r="M71" s="21"/>
      <c r="N71" s="20"/>
      <c r="O71" s="21"/>
      <c r="P71" s="31"/>
    </row>
    <row r="72" spans="1:19" x14ac:dyDescent="0.2">
      <c r="A72" s="1497"/>
      <c r="B72" s="21">
        <v>247635.28</v>
      </c>
      <c r="C72" s="1412"/>
      <c r="D72" s="9" t="s">
        <v>5769</v>
      </c>
      <c r="E72" s="21"/>
      <c r="F72" s="21"/>
      <c r="G72" s="21"/>
      <c r="H72" s="21"/>
      <c r="I72" s="20"/>
      <c r="J72" s="21"/>
      <c r="K72" s="21"/>
      <c r="L72" s="22"/>
      <c r="M72" s="21"/>
      <c r="N72" s="20"/>
      <c r="O72" s="21"/>
      <c r="P72" s="31"/>
    </row>
    <row r="73" spans="1:19" x14ac:dyDescent="0.2">
      <c r="A73" s="1497"/>
      <c r="B73" s="21">
        <v>9033.74</v>
      </c>
      <c r="C73" s="1412"/>
      <c r="D73" s="9" t="s">
        <v>5444</v>
      </c>
      <c r="E73" s="21"/>
      <c r="F73" s="21"/>
      <c r="G73" s="21"/>
      <c r="H73" s="21"/>
      <c r="I73" s="20"/>
      <c r="J73" s="21"/>
      <c r="K73" s="21"/>
      <c r="L73" s="22"/>
      <c r="M73" s="21"/>
      <c r="N73" s="20"/>
      <c r="O73" s="21"/>
      <c r="P73" s="31"/>
    </row>
    <row r="74" spans="1:19" x14ac:dyDescent="0.2">
      <c r="A74" s="1497"/>
      <c r="B74" s="21"/>
      <c r="C74" s="1412"/>
      <c r="D74" s="9" t="s">
        <v>5770</v>
      </c>
      <c r="E74" s="21"/>
      <c r="F74" s="21"/>
      <c r="G74" s="21"/>
      <c r="H74" s="21"/>
      <c r="I74" s="20"/>
      <c r="J74" s="21"/>
      <c r="K74" s="21"/>
      <c r="L74" s="22"/>
      <c r="M74" s="21"/>
      <c r="N74" s="20"/>
      <c r="O74" s="21"/>
      <c r="P74" s="31"/>
    </row>
    <row r="75" spans="1:19" x14ac:dyDescent="0.2">
      <c r="A75" s="1497"/>
      <c r="B75" s="21"/>
      <c r="C75" s="1412"/>
      <c r="D75" s="9" t="s">
        <v>5770</v>
      </c>
      <c r="E75" s="21"/>
      <c r="F75" s="21"/>
      <c r="G75" s="21"/>
      <c r="H75" s="21"/>
      <c r="I75" s="20"/>
      <c r="J75" s="21"/>
      <c r="K75" s="21"/>
      <c r="L75" s="22"/>
      <c r="M75" s="21"/>
      <c r="N75" s="20"/>
      <c r="O75" s="21"/>
      <c r="P75" s="31"/>
    </row>
    <row r="76" spans="1:19" x14ac:dyDescent="0.2">
      <c r="A76" s="1497"/>
      <c r="B76" s="21">
        <v>705607.47</v>
      </c>
      <c r="C76" s="1412"/>
      <c r="D76" s="9" t="s">
        <v>5771</v>
      </c>
      <c r="E76" s="21"/>
      <c r="F76" s="21"/>
      <c r="G76" s="21"/>
      <c r="H76" s="21"/>
      <c r="I76" s="20"/>
      <c r="J76" s="21"/>
      <c r="K76" s="21"/>
      <c r="L76" s="22"/>
      <c r="M76" s="21"/>
      <c r="N76" s="20"/>
      <c r="O76" s="21"/>
      <c r="P76" s="31"/>
    </row>
    <row r="77" spans="1:19" x14ac:dyDescent="0.2">
      <c r="A77" s="1497"/>
      <c r="B77" s="21">
        <v>2931884</v>
      </c>
      <c r="C77" s="1412"/>
      <c r="D77" s="2164" t="s">
        <v>869</v>
      </c>
      <c r="E77" s="21"/>
      <c r="F77" s="21"/>
      <c r="G77" s="21"/>
      <c r="H77" s="21"/>
      <c r="I77" s="20"/>
      <c r="J77" s="21"/>
      <c r="K77" s="21"/>
      <c r="L77" s="22"/>
      <c r="M77" s="21"/>
      <c r="N77" s="20"/>
      <c r="O77" s="21"/>
      <c r="P77" s="31"/>
    </row>
    <row r="78" spans="1:19" x14ac:dyDescent="0.2">
      <c r="A78" s="1497"/>
      <c r="B78" s="21">
        <v>432696</v>
      </c>
      <c r="C78" s="1412"/>
      <c r="D78" s="9" t="s">
        <v>5772</v>
      </c>
      <c r="E78" s="21"/>
      <c r="F78" s="21"/>
      <c r="G78" s="21"/>
      <c r="H78" s="21"/>
      <c r="I78" s="20"/>
      <c r="J78" s="21"/>
      <c r="K78" s="21"/>
      <c r="L78" s="22"/>
      <c r="M78" s="21"/>
      <c r="N78" s="20"/>
      <c r="O78" s="21"/>
      <c r="P78" s="31"/>
      <c r="R78" s="40"/>
      <c r="S78" s="40"/>
    </row>
    <row r="79" spans="1:19" x14ac:dyDescent="0.2">
      <c r="A79" s="1497"/>
      <c r="B79" s="21">
        <v>34254</v>
      </c>
      <c r="C79" s="1412"/>
      <c r="D79" s="9" t="s">
        <v>5773</v>
      </c>
      <c r="E79" s="21"/>
      <c r="F79" s="21"/>
      <c r="G79" s="21"/>
      <c r="H79" s="21"/>
      <c r="I79" s="20"/>
      <c r="J79" s="21"/>
      <c r="K79" s="21"/>
      <c r="L79" s="22"/>
      <c r="M79" s="21"/>
      <c r="N79" s="20"/>
      <c r="O79" s="21"/>
      <c r="P79" s="31"/>
      <c r="R79" s="40"/>
      <c r="S79" s="40"/>
    </row>
    <row r="80" spans="1:19" x14ac:dyDescent="0.2">
      <c r="A80" s="1497"/>
      <c r="B80" s="21">
        <v>-193842</v>
      </c>
      <c r="C80" s="1412"/>
      <c r="D80" s="9" t="s">
        <v>5774</v>
      </c>
      <c r="E80" s="21"/>
      <c r="F80" s="21"/>
      <c r="G80" s="21"/>
      <c r="H80" s="21"/>
      <c r="I80" s="20"/>
      <c r="J80" s="21"/>
      <c r="K80" s="21"/>
      <c r="L80" s="22"/>
      <c r="M80" s="21"/>
      <c r="N80" s="20"/>
      <c r="O80" s="21"/>
      <c r="P80" s="31"/>
      <c r="R80" s="40"/>
      <c r="S80" s="40"/>
    </row>
    <row r="81" spans="1:19" x14ac:dyDescent="0.2">
      <c r="A81" s="1497"/>
      <c r="B81" s="21">
        <v>81182.070000000007</v>
      </c>
      <c r="C81" s="1412"/>
      <c r="D81" s="9" t="s">
        <v>5775</v>
      </c>
      <c r="E81" s="21"/>
      <c r="F81" s="21"/>
      <c r="G81" s="21"/>
      <c r="H81" s="21"/>
      <c r="I81" s="20"/>
      <c r="J81" s="21"/>
      <c r="K81" s="21"/>
      <c r="L81" s="22"/>
      <c r="M81" s="21"/>
      <c r="N81" s="20"/>
      <c r="O81" s="21"/>
      <c r="P81" s="31"/>
      <c r="R81" s="40"/>
      <c r="S81" s="40"/>
    </row>
    <row r="82" spans="1:19" x14ac:dyDescent="0.2">
      <c r="A82" s="1497"/>
      <c r="B82" s="21">
        <v>505263</v>
      </c>
      <c r="C82" s="1412"/>
      <c r="D82" s="9" t="s">
        <v>5699</v>
      </c>
      <c r="E82" s="21"/>
      <c r="F82" s="21"/>
      <c r="G82" s="21"/>
      <c r="H82" s="21"/>
      <c r="I82" s="20"/>
      <c r="J82" s="21"/>
      <c r="K82" s="21"/>
      <c r="L82" s="22"/>
      <c r="M82" s="21"/>
      <c r="N82" s="20"/>
      <c r="O82" s="21"/>
      <c r="P82" s="31"/>
      <c r="R82" s="40"/>
      <c r="S82" s="40"/>
    </row>
    <row r="83" spans="1:19" s="40" customFormat="1" x14ac:dyDescent="0.2">
      <c r="A83" s="2055">
        <f>SUM(A67:A82)</f>
        <v>0</v>
      </c>
      <c r="B83" s="2056">
        <f>SUM(B67:B82)</f>
        <v>5796502.5099999998</v>
      </c>
      <c r="C83" s="2063"/>
      <c r="D83" s="2059" t="s">
        <v>764</v>
      </c>
      <c r="E83" s="2056">
        <f>SUM(E67:E82)</f>
        <v>0</v>
      </c>
      <c r="F83" s="2056"/>
      <c r="G83" s="2056">
        <f t="shared" ref="G83:O83" si="16">SUM(G67:G82)</f>
        <v>0</v>
      </c>
      <c r="H83" s="2056">
        <f t="shared" si="16"/>
        <v>0</v>
      </c>
      <c r="I83" s="2058">
        <f t="shared" si="16"/>
        <v>0</v>
      </c>
      <c r="J83" s="2056">
        <f t="shared" si="16"/>
        <v>0</v>
      </c>
      <c r="K83" s="2056">
        <f t="shared" si="16"/>
        <v>0</v>
      </c>
      <c r="L83" s="2059">
        <f t="shared" si="16"/>
        <v>0</v>
      </c>
      <c r="M83" s="2056">
        <f t="shared" si="16"/>
        <v>0</v>
      </c>
      <c r="N83" s="2058">
        <f t="shared" si="16"/>
        <v>0</v>
      </c>
      <c r="O83" s="2056">
        <f t="shared" si="16"/>
        <v>0</v>
      </c>
      <c r="P83" s="2060">
        <f t="shared" ref="P83" si="17">SUM(P67:P82)</f>
        <v>0</v>
      </c>
    </row>
    <row r="84" spans="1:19" s="40" customFormat="1" x14ac:dyDescent="0.2">
      <c r="A84" s="1504"/>
      <c r="B84" s="82"/>
      <c r="C84" s="1412"/>
      <c r="D84" s="58"/>
      <c r="E84" s="82"/>
      <c r="F84" s="82"/>
      <c r="G84" s="82"/>
      <c r="H84" s="82"/>
      <c r="I84" s="83"/>
      <c r="J84" s="82"/>
      <c r="K84" s="82"/>
      <c r="L84" s="58"/>
      <c r="M84" s="82"/>
      <c r="N84" s="83"/>
      <c r="O84" s="82"/>
      <c r="P84" s="72"/>
    </row>
    <row r="85" spans="1:19" s="40" customFormat="1" x14ac:dyDescent="0.2">
      <c r="A85" s="1504"/>
      <c r="B85" s="82"/>
      <c r="C85" s="1412"/>
      <c r="D85" s="58" t="s">
        <v>5777</v>
      </c>
      <c r="E85" s="82"/>
      <c r="F85" s="82"/>
      <c r="G85" s="82"/>
      <c r="H85" s="82"/>
      <c r="I85" s="83"/>
      <c r="J85" s="82"/>
      <c r="K85" s="82"/>
      <c r="L85" s="58"/>
      <c r="M85" s="82"/>
      <c r="N85" s="83"/>
      <c r="O85" s="82"/>
      <c r="P85" s="72"/>
    </row>
    <row r="86" spans="1:19" s="40" customFormat="1" x14ac:dyDescent="0.2">
      <c r="A86" s="1504"/>
      <c r="B86" s="21">
        <v>34000</v>
      </c>
      <c r="C86" s="1412" t="s">
        <v>5835</v>
      </c>
      <c r="D86" s="35" t="s">
        <v>5778</v>
      </c>
      <c r="E86" s="82"/>
      <c r="F86" s="82"/>
      <c r="G86" s="82"/>
      <c r="H86" s="82"/>
      <c r="I86" s="83"/>
      <c r="J86" s="82"/>
      <c r="K86" s="82"/>
      <c r="L86" s="58"/>
      <c r="M86" s="82"/>
      <c r="N86" s="83"/>
      <c r="O86" s="82"/>
      <c r="P86" s="72"/>
    </row>
    <row r="87" spans="1:19" s="40" customFormat="1" x14ac:dyDescent="0.2">
      <c r="A87" s="1504"/>
      <c r="B87" s="21">
        <v>20000</v>
      </c>
      <c r="C87" s="1412" t="s">
        <v>5836</v>
      </c>
      <c r="D87" s="35" t="s">
        <v>5779</v>
      </c>
      <c r="E87" s="82"/>
      <c r="F87" s="82"/>
      <c r="G87" s="82"/>
      <c r="H87" s="82"/>
      <c r="I87" s="83"/>
      <c r="J87" s="82"/>
      <c r="K87" s="82"/>
      <c r="L87" s="58"/>
      <c r="M87" s="82"/>
      <c r="N87" s="83"/>
      <c r="O87" s="82"/>
      <c r="P87" s="72"/>
    </row>
    <row r="88" spans="1:19" s="40" customFormat="1" x14ac:dyDescent="0.2">
      <c r="A88" s="1504"/>
      <c r="B88" s="21">
        <v>8185.05</v>
      </c>
      <c r="C88" s="1412" t="s">
        <v>5837</v>
      </c>
      <c r="D88" s="35" t="s">
        <v>5780</v>
      </c>
      <c r="E88" s="82"/>
      <c r="F88" s="82"/>
      <c r="G88" s="82"/>
      <c r="H88" s="82"/>
      <c r="I88" s="83"/>
      <c r="J88" s="82"/>
      <c r="K88" s="82"/>
      <c r="L88" s="58"/>
      <c r="M88" s="82"/>
      <c r="N88" s="83"/>
      <c r="O88" s="82"/>
      <c r="P88" s="72"/>
    </row>
    <row r="89" spans="1:19" s="40" customFormat="1" x14ac:dyDescent="0.2">
      <c r="A89" s="1504"/>
      <c r="B89" s="21">
        <v>8557.0499999999993</v>
      </c>
      <c r="C89" s="1412" t="s">
        <v>5838</v>
      </c>
      <c r="D89" s="35" t="s">
        <v>2299</v>
      </c>
      <c r="E89" s="82"/>
      <c r="F89" s="82"/>
      <c r="G89" s="82"/>
      <c r="H89" s="82"/>
      <c r="I89" s="83"/>
      <c r="J89" s="82"/>
      <c r="K89" s="82"/>
      <c r="L89" s="58"/>
      <c r="M89" s="82"/>
      <c r="N89" s="83"/>
      <c r="O89" s="82"/>
      <c r="P89" s="72"/>
    </row>
    <row r="90" spans="1:19" s="40" customFormat="1" x14ac:dyDescent="0.2">
      <c r="A90" s="1504"/>
      <c r="B90" s="21">
        <v>6216.76</v>
      </c>
      <c r="C90" s="1412" t="s">
        <v>5839</v>
      </c>
      <c r="D90" s="35" t="s">
        <v>5781</v>
      </c>
      <c r="E90" s="82"/>
      <c r="F90" s="82"/>
      <c r="G90" s="82"/>
      <c r="H90" s="82"/>
      <c r="I90" s="83"/>
      <c r="J90" s="82"/>
      <c r="K90" s="82"/>
      <c r="L90" s="58"/>
      <c r="M90" s="82"/>
      <c r="N90" s="83"/>
      <c r="O90" s="82"/>
      <c r="P90" s="72"/>
    </row>
    <row r="91" spans="1:19" s="40" customFormat="1" x14ac:dyDescent="0.2">
      <c r="A91" s="1504"/>
      <c r="B91" s="21">
        <v>2439.94</v>
      </c>
      <c r="C91" s="1412" t="s">
        <v>5840</v>
      </c>
      <c r="D91" s="35" t="s">
        <v>5782</v>
      </c>
      <c r="E91" s="82"/>
      <c r="F91" s="82"/>
      <c r="G91" s="82"/>
      <c r="H91" s="82"/>
      <c r="I91" s="83"/>
      <c r="J91" s="82"/>
      <c r="K91" s="82"/>
      <c r="L91" s="58"/>
      <c r="M91" s="82"/>
      <c r="N91" s="83"/>
      <c r="O91" s="82"/>
      <c r="P91" s="72"/>
    </row>
    <row r="92" spans="1:19" s="40" customFormat="1" x14ac:dyDescent="0.2">
      <c r="A92" s="1504"/>
      <c r="B92" s="21">
        <v>29060.04</v>
      </c>
      <c r="C92" s="1412" t="s">
        <v>5841</v>
      </c>
      <c r="D92" s="35" t="s">
        <v>5783</v>
      </c>
      <c r="E92" s="82"/>
      <c r="F92" s="82"/>
      <c r="G92" s="82"/>
      <c r="H92" s="82"/>
      <c r="I92" s="83"/>
      <c r="J92" s="82"/>
      <c r="K92" s="82"/>
      <c r="L92" s="58"/>
      <c r="M92" s="82"/>
      <c r="N92" s="83"/>
      <c r="O92" s="82"/>
      <c r="P92" s="72"/>
    </row>
    <row r="93" spans="1:19" s="40" customFormat="1" x14ac:dyDescent="0.2">
      <c r="A93" s="1504"/>
      <c r="B93" s="21">
        <v>51882.06</v>
      </c>
      <c r="C93" s="1412" t="s">
        <v>5842</v>
      </c>
      <c r="D93" s="35" t="s">
        <v>5784</v>
      </c>
      <c r="E93" s="82"/>
      <c r="F93" s="82"/>
      <c r="G93" s="82"/>
      <c r="H93" s="82"/>
      <c r="I93" s="83"/>
      <c r="J93" s="82"/>
      <c r="K93" s="82"/>
      <c r="L93" s="58"/>
      <c r="M93" s="82"/>
      <c r="N93" s="83"/>
      <c r="O93" s="82"/>
      <c r="P93" s="72"/>
    </row>
    <row r="94" spans="1:19" s="40" customFormat="1" x14ac:dyDescent="0.2">
      <c r="A94" s="1504"/>
      <c r="B94" s="21">
        <v>780.5</v>
      </c>
      <c r="C94" s="1412" t="s">
        <v>5843</v>
      </c>
      <c r="D94" s="35" t="s">
        <v>2161</v>
      </c>
      <c r="E94" s="82"/>
      <c r="F94" s="82"/>
      <c r="G94" s="82"/>
      <c r="H94" s="82"/>
      <c r="I94" s="83"/>
      <c r="J94" s="82"/>
      <c r="K94" s="82"/>
      <c r="L94" s="58"/>
      <c r="M94" s="82"/>
      <c r="N94" s="83"/>
      <c r="O94" s="82"/>
      <c r="P94" s="72"/>
    </row>
    <row r="95" spans="1:19" s="40" customFormat="1" x14ac:dyDescent="0.2">
      <c r="A95" s="1504"/>
      <c r="B95" s="21">
        <v>6335.13</v>
      </c>
      <c r="C95" s="1412" t="s">
        <v>5844</v>
      </c>
      <c r="D95" s="35" t="s">
        <v>5785</v>
      </c>
      <c r="E95" s="82"/>
      <c r="F95" s="82"/>
      <c r="G95" s="82"/>
      <c r="H95" s="82"/>
      <c r="I95" s="83"/>
      <c r="J95" s="82"/>
      <c r="K95" s="82"/>
      <c r="L95" s="58"/>
      <c r="M95" s="82"/>
      <c r="N95" s="83"/>
      <c r="O95" s="82"/>
      <c r="P95" s="72"/>
    </row>
    <row r="96" spans="1:19" s="40" customFormat="1" x14ac:dyDescent="0.2">
      <c r="A96" s="1504"/>
      <c r="B96" s="21">
        <v>1218.2</v>
      </c>
      <c r="C96" s="1412" t="s">
        <v>5845</v>
      </c>
      <c r="D96" s="35" t="s">
        <v>5786</v>
      </c>
      <c r="E96" s="82"/>
      <c r="F96" s="82"/>
      <c r="G96" s="82"/>
      <c r="H96" s="82"/>
      <c r="I96" s="83"/>
      <c r="J96" s="82"/>
      <c r="K96" s="82"/>
      <c r="L96" s="58"/>
      <c r="M96" s="82"/>
      <c r="N96" s="83"/>
      <c r="O96" s="82"/>
      <c r="P96" s="72"/>
    </row>
    <row r="97" spans="1:16" s="40" customFormat="1" x14ac:dyDescent="0.2">
      <c r="A97" s="1504"/>
      <c r="B97" s="21">
        <v>5950.68</v>
      </c>
      <c r="C97" s="1412" t="s">
        <v>5846</v>
      </c>
      <c r="D97" s="35" t="s">
        <v>5787</v>
      </c>
      <c r="E97" s="82"/>
      <c r="F97" s="82"/>
      <c r="G97" s="82"/>
      <c r="H97" s="82"/>
      <c r="I97" s="83"/>
      <c r="J97" s="82"/>
      <c r="K97" s="82"/>
      <c r="L97" s="58"/>
      <c r="M97" s="82"/>
      <c r="N97" s="83"/>
      <c r="O97" s="82"/>
      <c r="P97" s="72"/>
    </row>
    <row r="98" spans="1:16" s="40" customFormat="1" x14ac:dyDescent="0.2">
      <c r="A98" s="1504"/>
      <c r="B98" s="21">
        <v>78671.42</v>
      </c>
      <c r="C98" s="1412" t="s">
        <v>5847</v>
      </c>
      <c r="D98" s="35" t="s">
        <v>5788</v>
      </c>
      <c r="E98" s="82"/>
      <c r="F98" s="82"/>
      <c r="G98" s="82"/>
      <c r="H98" s="82"/>
      <c r="I98" s="83"/>
      <c r="J98" s="82"/>
      <c r="K98" s="82"/>
      <c r="L98" s="58"/>
      <c r="M98" s="82"/>
      <c r="N98" s="83"/>
      <c r="O98" s="82"/>
      <c r="P98" s="72"/>
    </row>
    <row r="99" spans="1:16" s="40" customFormat="1" x14ac:dyDescent="0.2">
      <c r="A99" s="1504"/>
      <c r="B99" s="21">
        <v>40</v>
      </c>
      <c r="C99" s="1412" t="s">
        <v>5848</v>
      </c>
      <c r="D99" s="35" t="s">
        <v>5789</v>
      </c>
      <c r="E99" s="82"/>
      <c r="F99" s="82"/>
      <c r="G99" s="82"/>
      <c r="H99" s="82"/>
      <c r="I99" s="83"/>
      <c r="J99" s="82"/>
      <c r="K99" s="82"/>
      <c r="L99" s="58"/>
      <c r="M99" s="82"/>
      <c r="N99" s="83"/>
      <c r="O99" s="82"/>
      <c r="P99" s="72"/>
    </row>
    <row r="100" spans="1:16" s="40" customFormat="1" x14ac:dyDescent="0.2">
      <c r="A100" s="1504"/>
      <c r="B100" s="21">
        <v>22278.41</v>
      </c>
      <c r="C100" s="1412" t="s">
        <v>5849</v>
      </c>
      <c r="D100" s="35" t="s">
        <v>5790</v>
      </c>
      <c r="E100" s="82"/>
      <c r="F100" s="82"/>
      <c r="G100" s="82"/>
      <c r="H100" s="82"/>
      <c r="I100" s="83"/>
      <c r="J100" s="82"/>
      <c r="K100" s="82"/>
      <c r="L100" s="58"/>
      <c r="M100" s="82"/>
      <c r="N100" s="83"/>
      <c r="O100" s="82"/>
      <c r="P100" s="72"/>
    </row>
    <row r="101" spans="1:16" s="40" customFormat="1" x14ac:dyDescent="0.2">
      <c r="A101" s="1504"/>
      <c r="B101" s="21">
        <v>28934.12</v>
      </c>
      <c r="C101" s="1412" t="s">
        <v>5850</v>
      </c>
      <c r="D101" s="35" t="s">
        <v>5791</v>
      </c>
      <c r="E101" s="82"/>
      <c r="F101" s="82"/>
      <c r="G101" s="82"/>
      <c r="H101" s="82"/>
      <c r="I101" s="83"/>
      <c r="J101" s="82"/>
      <c r="K101" s="82"/>
      <c r="L101" s="58"/>
      <c r="M101" s="82"/>
      <c r="N101" s="83"/>
      <c r="O101" s="82"/>
      <c r="P101" s="72"/>
    </row>
    <row r="102" spans="1:16" s="40" customFormat="1" x14ac:dyDescent="0.2">
      <c r="A102" s="1504"/>
      <c r="B102" s="21">
        <v>41955.93</v>
      </c>
      <c r="C102" s="1412" t="s">
        <v>5851</v>
      </c>
      <c r="D102" s="35" t="s">
        <v>5792</v>
      </c>
      <c r="E102" s="82"/>
      <c r="F102" s="82"/>
      <c r="G102" s="82"/>
      <c r="H102" s="82"/>
      <c r="I102" s="83"/>
      <c r="J102" s="82"/>
      <c r="K102" s="82"/>
      <c r="L102" s="58"/>
      <c r="M102" s="82"/>
      <c r="N102" s="83"/>
      <c r="O102" s="82"/>
      <c r="P102" s="72"/>
    </row>
    <row r="103" spans="1:16" s="40" customFormat="1" x14ac:dyDescent="0.2">
      <c r="A103" s="1504"/>
      <c r="B103" s="21">
        <v>66255.42</v>
      </c>
      <c r="C103" s="1412" t="s">
        <v>5852</v>
      </c>
      <c r="D103" s="35" t="s">
        <v>5793</v>
      </c>
      <c r="E103" s="82"/>
      <c r="F103" s="82"/>
      <c r="G103" s="82"/>
      <c r="H103" s="82"/>
      <c r="I103" s="83"/>
      <c r="J103" s="82"/>
      <c r="K103" s="82"/>
      <c r="L103" s="58"/>
      <c r="M103" s="82"/>
      <c r="N103" s="83"/>
      <c r="O103" s="82"/>
      <c r="P103" s="72"/>
    </row>
    <row r="104" spans="1:16" s="40" customFormat="1" x14ac:dyDescent="0.2">
      <c r="A104" s="1504"/>
      <c r="B104" s="21">
        <v>34783.370000000003</v>
      </c>
      <c r="C104" s="1412" t="s">
        <v>5853</v>
      </c>
      <c r="D104" s="35" t="s">
        <v>5794</v>
      </c>
      <c r="E104" s="82"/>
      <c r="F104" s="82"/>
      <c r="G104" s="82"/>
      <c r="H104" s="82"/>
      <c r="I104" s="83"/>
      <c r="J104" s="82"/>
      <c r="K104" s="82"/>
      <c r="L104" s="58"/>
      <c r="M104" s="82"/>
      <c r="N104" s="83"/>
      <c r="O104" s="82"/>
      <c r="P104" s="72"/>
    </row>
    <row r="105" spans="1:16" s="40" customFormat="1" x14ac:dyDescent="0.2">
      <c r="A105" s="1504"/>
      <c r="B105" s="21"/>
      <c r="C105" s="1412" t="s">
        <v>5854</v>
      </c>
      <c r="D105" s="35" t="s">
        <v>5795</v>
      </c>
      <c r="E105" s="82"/>
      <c r="F105" s="82"/>
      <c r="G105" s="82"/>
      <c r="H105" s="82"/>
      <c r="I105" s="83"/>
      <c r="J105" s="82"/>
      <c r="K105" s="82"/>
      <c r="L105" s="58"/>
      <c r="M105" s="82"/>
      <c r="N105" s="83"/>
      <c r="O105" s="82"/>
      <c r="P105" s="72"/>
    </row>
    <row r="106" spans="1:16" s="40" customFormat="1" x14ac:dyDescent="0.2">
      <c r="A106" s="1504"/>
      <c r="B106" s="21"/>
      <c r="C106" s="1412" t="s">
        <v>5855</v>
      </c>
      <c r="D106" s="35" t="s">
        <v>5795</v>
      </c>
      <c r="E106" s="82"/>
      <c r="F106" s="82"/>
      <c r="G106" s="82"/>
      <c r="H106" s="82"/>
      <c r="I106" s="83"/>
      <c r="J106" s="82"/>
      <c r="K106" s="82"/>
      <c r="L106" s="58"/>
      <c r="M106" s="82"/>
      <c r="N106" s="83"/>
      <c r="O106" s="82"/>
      <c r="P106" s="72"/>
    </row>
    <row r="107" spans="1:16" s="40" customFormat="1" x14ac:dyDescent="0.2">
      <c r="A107" s="1504"/>
      <c r="B107" s="21"/>
      <c r="C107" s="1412" t="s">
        <v>5856</v>
      </c>
      <c r="D107" s="35" t="s">
        <v>5795</v>
      </c>
      <c r="E107" s="82"/>
      <c r="F107" s="82"/>
      <c r="G107" s="82"/>
      <c r="H107" s="82"/>
      <c r="I107" s="83"/>
      <c r="J107" s="82"/>
      <c r="K107" s="82"/>
      <c r="L107" s="58"/>
      <c r="M107" s="82"/>
      <c r="N107" s="83"/>
      <c r="O107" s="82"/>
      <c r="P107" s="72"/>
    </row>
    <row r="108" spans="1:16" s="40" customFormat="1" x14ac:dyDescent="0.2">
      <c r="A108" s="1504"/>
      <c r="B108" s="21"/>
      <c r="C108" s="1412" t="s">
        <v>5857</v>
      </c>
      <c r="D108" s="35" t="s">
        <v>5795</v>
      </c>
      <c r="E108" s="82"/>
      <c r="F108" s="82"/>
      <c r="G108" s="82"/>
      <c r="H108" s="82"/>
      <c r="I108" s="83"/>
      <c r="J108" s="82"/>
      <c r="K108" s="82"/>
      <c r="L108" s="58"/>
      <c r="M108" s="82"/>
      <c r="N108" s="83"/>
      <c r="O108" s="82"/>
      <c r="P108" s="72"/>
    </row>
    <row r="109" spans="1:16" s="40" customFormat="1" x14ac:dyDescent="0.2">
      <c r="A109" s="1504"/>
      <c r="B109" s="21"/>
      <c r="C109" s="1412" t="s">
        <v>5858</v>
      </c>
      <c r="D109" s="35" t="s">
        <v>5795</v>
      </c>
      <c r="E109" s="82"/>
      <c r="F109" s="82"/>
      <c r="G109" s="82"/>
      <c r="H109" s="82"/>
      <c r="I109" s="83"/>
      <c r="J109" s="82"/>
      <c r="K109" s="82"/>
      <c r="L109" s="58"/>
      <c r="M109" s="82"/>
      <c r="N109" s="83"/>
      <c r="O109" s="82"/>
      <c r="P109" s="72"/>
    </row>
    <row r="110" spans="1:16" s="40" customFormat="1" x14ac:dyDescent="0.2">
      <c r="A110" s="1504"/>
      <c r="B110" s="21"/>
      <c r="C110" s="1412" t="s">
        <v>5859</v>
      </c>
      <c r="D110" s="35" t="s">
        <v>5795</v>
      </c>
      <c r="E110" s="82"/>
      <c r="F110" s="82"/>
      <c r="G110" s="82"/>
      <c r="H110" s="82"/>
      <c r="I110" s="83"/>
      <c r="J110" s="82"/>
      <c r="K110" s="82"/>
      <c r="L110" s="58"/>
      <c r="M110" s="82"/>
      <c r="N110" s="83"/>
      <c r="O110" s="82"/>
      <c r="P110" s="72"/>
    </row>
    <row r="111" spans="1:16" s="40" customFormat="1" x14ac:dyDescent="0.2">
      <c r="A111" s="1504"/>
      <c r="B111" s="21"/>
      <c r="C111" s="1412" t="s">
        <v>5860</v>
      </c>
      <c r="D111" s="35" t="s">
        <v>5795</v>
      </c>
      <c r="E111" s="82"/>
      <c r="F111" s="82"/>
      <c r="G111" s="82"/>
      <c r="H111" s="82"/>
      <c r="I111" s="83"/>
      <c r="J111" s="82"/>
      <c r="K111" s="82"/>
      <c r="L111" s="58"/>
      <c r="M111" s="82"/>
      <c r="N111" s="83"/>
      <c r="O111" s="82"/>
      <c r="P111" s="72"/>
    </row>
    <row r="112" spans="1:16" s="40" customFormat="1" x14ac:dyDescent="0.2">
      <c r="A112" s="1504"/>
      <c r="B112" s="21"/>
      <c r="C112" s="1412" t="s">
        <v>5861</v>
      </c>
      <c r="D112" s="35" t="s">
        <v>5795</v>
      </c>
      <c r="E112" s="82"/>
      <c r="F112" s="82"/>
      <c r="G112" s="82"/>
      <c r="H112" s="82"/>
      <c r="I112" s="83"/>
      <c r="J112" s="82"/>
      <c r="K112" s="82"/>
      <c r="L112" s="58"/>
      <c r="M112" s="82"/>
      <c r="N112" s="83"/>
      <c r="O112" s="82"/>
      <c r="P112" s="72"/>
    </row>
    <row r="113" spans="1:16" s="40" customFormat="1" x14ac:dyDescent="0.2">
      <c r="A113" s="1504"/>
      <c r="B113" s="21"/>
      <c r="C113" s="1412" t="s">
        <v>5862</v>
      </c>
      <c r="D113" s="35" t="s">
        <v>5796</v>
      </c>
      <c r="E113" s="82"/>
      <c r="F113" s="82"/>
      <c r="G113" s="82"/>
      <c r="H113" s="82"/>
      <c r="I113" s="83"/>
      <c r="J113" s="82"/>
      <c r="K113" s="82"/>
      <c r="L113" s="58"/>
      <c r="M113" s="82"/>
      <c r="N113" s="83"/>
      <c r="O113" s="82"/>
      <c r="P113" s="72"/>
    </row>
    <row r="114" spans="1:16" s="40" customFormat="1" x14ac:dyDescent="0.2">
      <c r="A114" s="1504"/>
      <c r="B114" s="21"/>
      <c r="C114" s="1412" t="s">
        <v>5863</v>
      </c>
      <c r="D114" s="35" t="s">
        <v>5796</v>
      </c>
      <c r="E114" s="82"/>
      <c r="F114" s="82"/>
      <c r="G114" s="82"/>
      <c r="H114" s="82"/>
      <c r="I114" s="83"/>
      <c r="J114" s="82"/>
      <c r="K114" s="82"/>
      <c r="L114" s="58"/>
      <c r="M114" s="82"/>
      <c r="N114" s="83"/>
      <c r="O114" s="82"/>
      <c r="P114" s="72"/>
    </row>
    <row r="115" spans="1:16" s="40" customFormat="1" x14ac:dyDescent="0.2">
      <c r="A115" s="1504"/>
      <c r="B115" s="21"/>
      <c r="C115" s="1412" t="s">
        <v>5864</v>
      </c>
      <c r="D115" s="35" t="s">
        <v>5796</v>
      </c>
      <c r="E115" s="82"/>
      <c r="F115" s="82"/>
      <c r="G115" s="82"/>
      <c r="H115" s="82"/>
      <c r="I115" s="83"/>
      <c r="J115" s="82"/>
      <c r="K115" s="82"/>
      <c r="L115" s="58"/>
      <c r="M115" s="82"/>
      <c r="N115" s="83"/>
      <c r="O115" s="82"/>
      <c r="P115" s="72"/>
    </row>
    <row r="116" spans="1:16" s="40" customFormat="1" x14ac:dyDescent="0.2">
      <c r="A116" s="1504"/>
      <c r="B116" s="21"/>
      <c r="C116" s="1412" t="s">
        <v>5865</v>
      </c>
      <c r="D116" s="35" t="s">
        <v>5797</v>
      </c>
      <c r="E116" s="82"/>
      <c r="F116" s="82"/>
      <c r="G116" s="82"/>
      <c r="H116" s="82"/>
      <c r="I116" s="83"/>
      <c r="J116" s="82"/>
      <c r="K116" s="82"/>
      <c r="L116" s="58"/>
      <c r="M116" s="82"/>
      <c r="N116" s="83"/>
      <c r="O116" s="82"/>
      <c r="P116" s="72"/>
    </row>
    <row r="117" spans="1:16" s="40" customFormat="1" x14ac:dyDescent="0.2">
      <c r="A117" s="1504"/>
      <c r="B117" s="21">
        <v>12000</v>
      </c>
      <c r="C117" s="1412" t="s">
        <v>5866</v>
      </c>
      <c r="D117" s="35" t="s">
        <v>5797</v>
      </c>
      <c r="E117" s="82"/>
      <c r="F117" s="82"/>
      <c r="G117" s="82"/>
      <c r="H117" s="82"/>
      <c r="I117" s="83"/>
      <c r="J117" s="82"/>
      <c r="K117" s="82"/>
      <c r="L117" s="58"/>
      <c r="M117" s="82"/>
      <c r="N117" s="83"/>
      <c r="O117" s="82"/>
      <c r="P117" s="72"/>
    </row>
    <row r="118" spans="1:16" s="40" customFormat="1" x14ac:dyDescent="0.2">
      <c r="A118" s="1504"/>
      <c r="B118" s="21">
        <v>10800</v>
      </c>
      <c r="C118" s="1412" t="s">
        <v>5867</v>
      </c>
      <c r="D118" s="35" t="s">
        <v>5798</v>
      </c>
      <c r="E118" s="82"/>
      <c r="F118" s="82"/>
      <c r="G118" s="82"/>
      <c r="H118" s="82"/>
      <c r="I118" s="83"/>
      <c r="J118" s="82"/>
      <c r="K118" s="82"/>
      <c r="L118" s="58"/>
      <c r="M118" s="82"/>
      <c r="N118" s="83"/>
      <c r="O118" s="82"/>
      <c r="P118" s="72"/>
    </row>
    <row r="119" spans="1:16" s="40" customFormat="1" x14ac:dyDescent="0.2">
      <c r="A119" s="1504"/>
      <c r="B119" s="21"/>
      <c r="C119" s="1412" t="s">
        <v>5868</v>
      </c>
      <c r="D119" s="35" t="s">
        <v>5799</v>
      </c>
      <c r="E119" s="82"/>
      <c r="F119" s="82"/>
      <c r="G119" s="82"/>
      <c r="H119" s="82"/>
      <c r="I119" s="83"/>
      <c r="J119" s="82"/>
      <c r="K119" s="82"/>
      <c r="L119" s="58"/>
      <c r="M119" s="82"/>
      <c r="N119" s="83"/>
      <c r="O119" s="82"/>
      <c r="P119" s="72"/>
    </row>
    <row r="120" spans="1:16" s="40" customFormat="1" x14ac:dyDescent="0.2">
      <c r="A120" s="1504"/>
      <c r="B120" s="21">
        <v>1992357.88</v>
      </c>
      <c r="C120" s="1412" t="s">
        <v>5869</v>
      </c>
      <c r="D120" s="35" t="s">
        <v>5800</v>
      </c>
      <c r="E120" s="82"/>
      <c r="F120" s="82"/>
      <c r="G120" s="82"/>
      <c r="H120" s="82"/>
      <c r="I120" s="83"/>
      <c r="J120" s="82"/>
      <c r="K120" s="82"/>
      <c r="L120" s="58"/>
      <c r="M120" s="82"/>
      <c r="N120" s="83"/>
      <c r="O120" s="82"/>
      <c r="P120" s="72"/>
    </row>
    <row r="121" spans="1:16" s="40" customFormat="1" x14ac:dyDescent="0.2">
      <c r="A121" s="1504"/>
      <c r="B121" s="21">
        <v>982354.8</v>
      </c>
      <c r="C121" s="1412" t="s">
        <v>5870</v>
      </c>
      <c r="D121" s="35" t="s">
        <v>5801</v>
      </c>
      <c r="E121" s="82"/>
      <c r="F121" s="82"/>
      <c r="G121" s="82"/>
      <c r="H121" s="82"/>
      <c r="I121" s="83"/>
      <c r="J121" s="82"/>
      <c r="K121" s="82"/>
      <c r="L121" s="58"/>
      <c r="M121" s="82"/>
      <c r="N121" s="83"/>
      <c r="O121" s="82"/>
      <c r="P121" s="72"/>
    </row>
    <row r="122" spans="1:16" s="40" customFormat="1" x14ac:dyDescent="0.2">
      <c r="A122" s="1504"/>
      <c r="B122" s="21">
        <v>3648.33</v>
      </c>
      <c r="C122" s="1412" t="s">
        <v>5871</v>
      </c>
      <c r="D122" s="35" t="s">
        <v>5802</v>
      </c>
      <c r="E122" s="82"/>
      <c r="F122" s="82"/>
      <c r="G122" s="82"/>
      <c r="H122" s="82"/>
      <c r="I122" s="83"/>
      <c r="J122" s="82"/>
      <c r="K122" s="82"/>
      <c r="L122" s="58"/>
      <c r="M122" s="82"/>
      <c r="N122" s="83"/>
      <c r="O122" s="82"/>
      <c r="P122" s="72"/>
    </row>
    <row r="123" spans="1:16" s="40" customFormat="1" x14ac:dyDescent="0.2">
      <c r="A123" s="1504"/>
      <c r="B123" s="21">
        <v>7734.64</v>
      </c>
      <c r="C123" s="1412" t="s">
        <v>5872</v>
      </c>
      <c r="D123" s="35" t="s">
        <v>5803</v>
      </c>
      <c r="E123" s="82"/>
      <c r="F123" s="82"/>
      <c r="G123" s="82"/>
      <c r="H123" s="82"/>
      <c r="I123" s="83"/>
      <c r="J123" s="82"/>
      <c r="K123" s="82"/>
      <c r="L123" s="58"/>
      <c r="M123" s="82"/>
      <c r="N123" s="83"/>
      <c r="O123" s="82"/>
      <c r="P123" s="72"/>
    </row>
    <row r="124" spans="1:16" s="40" customFormat="1" x14ac:dyDescent="0.2">
      <c r="A124" s="1504"/>
      <c r="B124" s="21">
        <v>40984.28</v>
      </c>
      <c r="C124" s="1412" t="s">
        <v>5873</v>
      </c>
      <c r="D124" s="35" t="s">
        <v>5804</v>
      </c>
      <c r="E124" s="82"/>
      <c r="F124" s="82"/>
      <c r="G124" s="82"/>
      <c r="H124" s="82"/>
      <c r="I124" s="83"/>
      <c r="J124" s="82"/>
      <c r="K124" s="82"/>
      <c r="L124" s="58"/>
      <c r="M124" s="82"/>
      <c r="N124" s="83"/>
      <c r="O124" s="82"/>
      <c r="P124" s="72"/>
    </row>
    <row r="125" spans="1:16" s="40" customFormat="1" x14ac:dyDescent="0.2">
      <c r="A125" s="1504"/>
      <c r="B125" s="21">
        <v>8977.59</v>
      </c>
      <c r="C125" s="1412" t="s">
        <v>5874</v>
      </c>
      <c r="D125" s="35" t="s">
        <v>5805</v>
      </c>
      <c r="E125" s="82"/>
      <c r="F125" s="82"/>
      <c r="G125" s="82"/>
      <c r="H125" s="82"/>
      <c r="I125" s="83"/>
      <c r="J125" s="82"/>
      <c r="K125" s="82"/>
      <c r="L125" s="58"/>
      <c r="M125" s="82"/>
      <c r="N125" s="83"/>
      <c r="O125" s="82"/>
      <c r="P125" s="72"/>
    </row>
    <row r="126" spans="1:16" s="40" customFormat="1" x14ac:dyDescent="0.2">
      <c r="A126" s="1504"/>
      <c r="B126" s="21"/>
      <c r="C126" s="1412" t="s">
        <v>5875</v>
      </c>
      <c r="D126" s="35" t="s">
        <v>5806</v>
      </c>
      <c r="E126" s="82"/>
      <c r="F126" s="82"/>
      <c r="G126" s="82"/>
      <c r="H126" s="82"/>
      <c r="I126" s="83"/>
      <c r="J126" s="82"/>
      <c r="K126" s="82"/>
      <c r="L126" s="58"/>
      <c r="M126" s="82"/>
      <c r="N126" s="83"/>
      <c r="O126" s="82"/>
      <c r="P126" s="72"/>
    </row>
    <row r="127" spans="1:16" s="40" customFormat="1" x14ac:dyDescent="0.2">
      <c r="A127" s="1504"/>
      <c r="B127" s="21">
        <v>52563.75</v>
      </c>
      <c r="C127" s="1412" t="s">
        <v>5876</v>
      </c>
      <c r="D127" s="35" t="s">
        <v>5807</v>
      </c>
      <c r="E127" s="82"/>
      <c r="F127" s="82"/>
      <c r="G127" s="82"/>
      <c r="H127" s="82"/>
      <c r="I127" s="83"/>
      <c r="J127" s="82"/>
      <c r="K127" s="82"/>
      <c r="L127" s="58"/>
      <c r="M127" s="82"/>
      <c r="N127" s="83"/>
      <c r="O127" s="82"/>
      <c r="P127" s="72"/>
    </row>
    <row r="128" spans="1:16" s="40" customFormat="1" x14ac:dyDescent="0.2">
      <c r="A128" s="1504"/>
      <c r="B128" s="21">
        <v>10987.13</v>
      </c>
      <c r="C128" s="1412" t="s">
        <v>5877</v>
      </c>
      <c r="D128" s="35" t="s">
        <v>5808</v>
      </c>
      <c r="E128" s="82"/>
      <c r="F128" s="82"/>
      <c r="G128" s="82"/>
      <c r="H128" s="82"/>
      <c r="I128" s="83"/>
      <c r="J128" s="82"/>
      <c r="K128" s="82"/>
      <c r="L128" s="58"/>
      <c r="M128" s="82"/>
      <c r="N128" s="83"/>
      <c r="O128" s="82"/>
      <c r="P128" s="72"/>
    </row>
    <row r="129" spans="1:16" s="40" customFormat="1" x14ac:dyDescent="0.2">
      <c r="A129" s="1504"/>
      <c r="B129" s="21">
        <v>8312.6200000000008</v>
      </c>
      <c r="C129" s="1412" t="s">
        <v>5878</v>
      </c>
      <c r="D129" s="35" t="s">
        <v>5809</v>
      </c>
      <c r="E129" s="82"/>
      <c r="F129" s="82"/>
      <c r="G129" s="82"/>
      <c r="H129" s="82"/>
      <c r="I129" s="83"/>
      <c r="J129" s="82"/>
      <c r="K129" s="82"/>
      <c r="L129" s="58"/>
      <c r="M129" s="82"/>
      <c r="N129" s="83"/>
      <c r="O129" s="82"/>
      <c r="P129" s="72"/>
    </row>
    <row r="130" spans="1:16" s="40" customFormat="1" x14ac:dyDescent="0.2">
      <c r="A130" s="1504"/>
      <c r="B130" s="21">
        <v>50242.57</v>
      </c>
      <c r="C130" s="1412" t="s">
        <v>5879</v>
      </c>
      <c r="D130" s="35" t="s">
        <v>5810</v>
      </c>
      <c r="E130" s="82"/>
      <c r="F130" s="82"/>
      <c r="G130" s="82"/>
      <c r="H130" s="82"/>
      <c r="I130" s="83"/>
      <c r="J130" s="82"/>
      <c r="K130" s="82"/>
      <c r="L130" s="58"/>
      <c r="M130" s="82"/>
      <c r="N130" s="83"/>
      <c r="O130" s="82"/>
      <c r="P130" s="72"/>
    </row>
    <row r="131" spans="1:16" s="40" customFormat="1" x14ac:dyDescent="0.2">
      <c r="A131" s="1504"/>
      <c r="B131" s="21"/>
      <c r="C131" s="1412" t="s">
        <v>5880</v>
      </c>
      <c r="D131" s="35" t="s">
        <v>5811</v>
      </c>
      <c r="E131" s="82"/>
      <c r="F131" s="82"/>
      <c r="G131" s="82"/>
      <c r="H131" s="82"/>
      <c r="I131" s="83"/>
      <c r="J131" s="82"/>
      <c r="K131" s="82"/>
      <c r="L131" s="58"/>
      <c r="M131" s="82"/>
      <c r="N131" s="83"/>
      <c r="O131" s="82"/>
      <c r="P131" s="72"/>
    </row>
    <row r="132" spans="1:16" s="40" customFormat="1" x14ac:dyDescent="0.2">
      <c r="A132" s="1504"/>
      <c r="B132" s="21">
        <v>15696.8</v>
      </c>
      <c r="C132" s="1412" t="s">
        <v>5881</v>
      </c>
      <c r="D132" s="35" t="s">
        <v>5812</v>
      </c>
      <c r="E132" s="82"/>
      <c r="F132" s="82"/>
      <c r="G132" s="82"/>
      <c r="H132" s="82"/>
      <c r="I132" s="83"/>
      <c r="J132" s="82"/>
      <c r="K132" s="82"/>
      <c r="L132" s="58"/>
      <c r="M132" s="82"/>
      <c r="N132" s="83"/>
      <c r="O132" s="82"/>
      <c r="P132" s="72"/>
    </row>
    <row r="133" spans="1:16" s="40" customFormat="1" x14ac:dyDescent="0.2">
      <c r="A133" s="1504"/>
      <c r="B133" s="21">
        <v>3258.59</v>
      </c>
      <c r="C133" s="1412" t="s">
        <v>5882</v>
      </c>
      <c r="D133" s="35" t="s">
        <v>5813</v>
      </c>
      <c r="E133" s="82"/>
      <c r="F133" s="82"/>
      <c r="G133" s="82"/>
      <c r="H133" s="82"/>
      <c r="I133" s="83"/>
      <c r="J133" s="82"/>
      <c r="K133" s="82"/>
      <c r="L133" s="58"/>
      <c r="M133" s="82"/>
      <c r="N133" s="83"/>
      <c r="O133" s="82"/>
      <c r="P133" s="72"/>
    </row>
    <row r="134" spans="1:16" s="40" customFormat="1" x14ac:dyDescent="0.2">
      <c r="A134" s="1504"/>
      <c r="B134" s="21">
        <v>12136.87</v>
      </c>
      <c r="C134" s="1412" t="s">
        <v>5883</v>
      </c>
      <c r="D134" s="35" t="s">
        <v>5814</v>
      </c>
      <c r="E134" s="82"/>
      <c r="F134" s="82"/>
      <c r="G134" s="82"/>
      <c r="H134" s="82"/>
      <c r="I134" s="83"/>
      <c r="J134" s="82"/>
      <c r="K134" s="82"/>
      <c r="L134" s="58"/>
      <c r="M134" s="82"/>
      <c r="N134" s="83"/>
      <c r="O134" s="82"/>
      <c r="P134" s="72"/>
    </row>
    <row r="135" spans="1:16" s="40" customFormat="1" x14ac:dyDescent="0.2">
      <c r="A135" s="1504"/>
      <c r="B135" s="21">
        <v>10326.24</v>
      </c>
      <c r="C135" s="1412" t="s">
        <v>5884</v>
      </c>
      <c r="D135" s="35" t="s">
        <v>5815</v>
      </c>
      <c r="E135" s="82"/>
      <c r="F135" s="82"/>
      <c r="G135" s="82"/>
      <c r="H135" s="82"/>
      <c r="I135" s="83"/>
      <c r="J135" s="82"/>
      <c r="K135" s="82"/>
      <c r="L135" s="58"/>
      <c r="M135" s="82"/>
      <c r="N135" s="83"/>
      <c r="O135" s="82"/>
      <c r="P135" s="72"/>
    </row>
    <row r="136" spans="1:16" s="40" customFormat="1" x14ac:dyDescent="0.2">
      <c r="A136" s="1504"/>
      <c r="B136" s="21">
        <v>6090.17</v>
      </c>
      <c r="C136" s="1412" t="s">
        <v>5885</v>
      </c>
      <c r="D136" s="35" t="s">
        <v>5816</v>
      </c>
      <c r="E136" s="82"/>
      <c r="F136" s="82"/>
      <c r="G136" s="82"/>
      <c r="H136" s="82"/>
      <c r="I136" s="83"/>
      <c r="J136" s="82"/>
      <c r="K136" s="82"/>
      <c r="L136" s="58"/>
      <c r="M136" s="82"/>
      <c r="N136" s="83"/>
      <c r="O136" s="82"/>
      <c r="P136" s="72"/>
    </row>
    <row r="137" spans="1:16" s="40" customFormat="1" x14ac:dyDescent="0.2">
      <c r="A137" s="1504"/>
      <c r="B137" s="21">
        <v>1855.74</v>
      </c>
      <c r="C137" s="1412" t="s">
        <v>5886</v>
      </c>
      <c r="D137" s="35" t="s">
        <v>5817</v>
      </c>
      <c r="E137" s="82"/>
      <c r="F137" s="82"/>
      <c r="G137" s="82"/>
      <c r="H137" s="82"/>
      <c r="I137" s="83"/>
      <c r="J137" s="82"/>
      <c r="K137" s="82"/>
      <c r="L137" s="58"/>
      <c r="M137" s="82"/>
      <c r="N137" s="83"/>
      <c r="O137" s="82"/>
      <c r="P137" s="72"/>
    </row>
    <row r="138" spans="1:16" s="40" customFormat="1" x14ac:dyDescent="0.2">
      <c r="A138" s="1504"/>
      <c r="B138" s="21">
        <v>43324.39</v>
      </c>
      <c r="C138" s="1412" t="s">
        <v>5887</v>
      </c>
      <c r="D138" s="35" t="s">
        <v>5818</v>
      </c>
      <c r="E138" s="82"/>
      <c r="F138" s="82"/>
      <c r="G138" s="82"/>
      <c r="H138" s="82"/>
      <c r="I138" s="83"/>
      <c r="J138" s="82"/>
      <c r="K138" s="82"/>
      <c r="L138" s="58"/>
      <c r="M138" s="82"/>
      <c r="N138" s="83"/>
      <c r="O138" s="82"/>
      <c r="P138" s="72"/>
    </row>
    <row r="139" spans="1:16" s="40" customFormat="1" x14ac:dyDescent="0.2">
      <c r="A139" s="1504"/>
      <c r="B139" s="21">
        <v>19036</v>
      </c>
      <c r="C139" s="1412" t="s">
        <v>5888</v>
      </c>
      <c r="D139" s="35" t="s">
        <v>5819</v>
      </c>
      <c r="E139" s="82"/>
      <c r="F139" s="82"/>
      <c r="G139" s="82"/>
      <c r="H139" s="82"/>
      <c r="I139" s="83"/>
      <c r="J139" s="82"/>
      <c r="K139" s="82"/>
      <c r="L139" s="58"/>
      <c r="M139" s="82"/>
      <c r="N139" s="83"/>
      <c r="O139" s="82"/>
      <c r="P139" s="72"/>
    </row>
    <row r="140" spans="1:16" s="40" customFormat="1" x14ac:dyDescent="0.2">
      <c r="A140" s="1504"/>
      <c r="B140" s="21">
        <v>2690.61</v>
      </c>
      <c r="C140" s="1412" t="s">
        <v>5889</v>
      </c>
      <c r="D140" s="35" t="s">
        <v>5820</v>
      </c>
      <c r="E140" s="82"/>
      <c r="F140" s="82"/>
      <c r="G140" s="82"/>
      <c r="H140" s="82"/>
      <c r="I140" s="83"/>
      <c r="J140" s="82"/>
      <c r="K140" s="82"/>
      <c r="L140" s="58"/>
      <c r="M140" s="82"/>
      <c r="N140" s="83"/>
      <c r="O140" s="82"/>
      <c r="P140" s="72"/>
    </row>
    <row r="141" spans="1:16" s="40" customFormat="1" x14ac:dyDescent="0.2">
      <c r="A141" s="1504"/>
      <c r="B141" s="21">
        <v>5013.82</v>
      </c>
      <c r="C141" s="1412" t="s">
        <v>5890</v>
      </c>
      <c r="D141" s="35" t="s">
        <v>5821</v>
      </c>
      <c r="E141" s="82"/>
      <c r="F141" s="82"/>
      <c r="G141" s="82"/>
      <c r="H141" s="82"/>
      <c r="I141" s="83"/>
      <c r="J141" s="82"/>
      <c r="K141" s="82"/>
      <c r="L141" s="58"/>
      <c r="M141" s="82"/>
      <c r="N141" s="83"/>
      <c r="O141" s="82"/>
      <c r="P141" s="72"/>
    </row>
    <row r="142" spans="1:16" s="40" customFormat="1" x14ac:dyDescent="0.2">
      <c r="A142" s="1504"/>
      <c r="B142" s="21">
        <v>19758.07</v>
      </c>
      <c r="C142" s="1412" t="s">
        <v>5891</v>
      </c>
      <c r="D142" s="35" t="s">
        <v>5822</v>
      </c>
      <c r="E142" s="82"/>
      <c r="F142" s="82"/>
      <c r="G142" s="82"/>
      <c r="H142" s="82"/>
      <c r="I142" s="83"/>
      <c r="J142" s="82"/>
      <c r="K142" s="82"/>
      <c r="L142" s="58"/>
      <c r="M142" s="82"/>
      <c r="N142" s="83"/>
      <c r="O142" s="82"/>
      <c r="P142" s="72"/>
    </row>
    <row r="143" spans="1:16" s="40" customFormat="1" x14ac:dyDescent="0.2">
      <c r="A143" s="1504"/>
      <c r="B143" s="21"/>
      <c r="C143" s="1412" t="s">
        <v>5892</v>
      </c>
      <c r="D143" s="35" t="s">
        <v>5823</v>
      </c>
      <c r="E143" s="82"/>
      <c r="F143" s="82"/>
      <c r="G143" s="82"/>
      <c r="H143" s="82"/>
      <c r="I143" s="83"/>
      <c r="J143" s="82"/>
      <c r="K143" s="82"/>
      <c r="L143" s="58"/>
      <c r="M143" s="82"/>
      <c r="N143" s="83"/>
      <c r="O143" s="82"/>
      <c r="P143" s="72"/>
    </row>
    <row r="144" spans="1:16" s="40" customFormat="1" x14ac:dyDescent="0.2">
      <c r="A144" s="1504"/>
      <c r="B144" s="21">
        <v>38000</v>
      </c>
      <c r="C144" s="1412" t="s">
        <v>5893</v>
      </c>
      <c r="D144" s="35" t="s">
        <v>5824</v>
      </c>
      <c r="E144" s="82"/>
      <c r="F144" s="82"/>
      <c r="G144" s="82"/>
      <c r="H144" s="82"/>
      <c r="I144" s="83"/>
      <c r="J144" s="82"/>
      <c r="K144" s="82"/>
      <c r="L144" s="58"/>
      <c r="M144" s="82"/>
      <c r="N144" s="83"/>
      <c r="O144" s="82"/>
      <c r="P144" s="72"/>
    </row>
    <row r="145" spans="1:19" s="40" customFormat="1" x14ac:dyDescent="0.2">
      <c r="A145" s="1504"/>
      <c r="B145" s="21">
        <v>36200</v>
      </c>
      <c r="C145" s="1412" t="s">
        <v>5894</v>
      </c>
      <c r="D145" s="35" t="s">
        <v>5825</v>
      </c>
      <c r="E145" s="82"/>
      <c r="F145" s="82"/>
      <c r="G145" s="82"/>
      <c r="H145" s="82"/>
      <c r="I145" s="83"/>
      <c r="J145" s="82"/>
      <c r="K145" s="82"/>
      <c r="L145" s="58"/>
      <c r="M145" s="82"/>
      <c r="N145" s="83"/>
      <c r="O145" s="82"/>
      <c r="P145" s="72"/>
    </row>
    <row r="146" spans="1:19" s="40" customFormat="1" x14ac:dyDescent="0.2">
      <c r="A146" s="1504"/>
      <c r="B146" s="21">
        <v>100000</v>
      </c>
      <c r="C146" s="1412" t="s">
        <v>5895</v>
      </c>
      <c r="D146" s="35" t="s">
        <v>5826</v>
      </c>
      <c r="E146" s="82"/>
      <c r="F146" s="82"/>
      <c r="G146" s="82"/>
      <c r="H146" s="82"/>
      <c r="I146" s="83"/>
      <c r="J146" s="82"/>
      <c r="K146" s="82"/>
      <c r="L146" s="58"/>
      <c r="M146" s="82"/>
      <c r="N146" s="83"/>
      <c r="O146" s="82"/>
      <c r="P146" s="72"/>
    </row>
    <row r="147" spans="1:19" s="40" customFormat="1" x14ac:dyDescent="0.2">
      <c r="A147" s="1504"/>
      <c r="B147" s="21">
        <v>0</v>
      </c>
      <c r="C147" s="1412" t="s">
        <v>5896</v>
      </c>
      <c r="D147" s="35" t="s">
        <v>5827</v>
      </c>
      <c r="E147" s="82"/>
      <c r="F147" s="82"/>
      <c r="G147" s="82"/>
      <c r="H147" s="82"/>
      <c r="I147" s="83"/>
      <c r="J147" s="82"/>
      <c r="K147" s="82"/>
      <c r="L147" s="58"/>
      <c r="M147" s="82"/>
      <c r="N147" s="83"/>
      <c r="O147" s="82"/>
      <c r="P147" s="72"/>
    </row>
    <row r="148" spans="1:19" s="40" customFormat="1" x14ac:dyDescent="0.2">
      <c r="A148" s="1504"/>
      <c r="B148" s="21">
        <v>112921.3</v>
      </c>
      <c r="C148" s="1412" t="s">
        <v>5897</v>
      </c>
      <c r="D148" s="35" t="s">
        <v>5828</v>
      </c>
      <c r="E148" s="82"/>
      <c r="F148" s="82"/>
      <c r="G148" s="82"/>
      <c r="H148" s="82"/>
      <c r="I148" s="83"/>
      <c r="J148" s="82"/>
      <c r="K148" s="82"/>
      <c r="L148" s="58"/>
      <c r="M148" s="82"/>
      <c r="N148" s="83"/>
      <c r="O148" s="82"/>
      <c r="P148" s="72"/>
    </row>
    <row r="149" spans="1:19" s="40" customFormat="1" x14ac:dyDescent="0.2">
      <c r="A149" s="1504"/>
      <c r="B149" s="21"/>
      <c r="C149" s="1412" t="s">
        <v>5898</v>
      </c>
      <c r="D149" s="35" t="s">
        <v>5829</v>
      </c>
      <c r="E149" s="82"/>
      <c r="F149" s="82"/>
      <c r="G149" s="82"/>
      <c r="H149" s="82"/>
      <c r="I149" s="83"/>
      <c r="J149" s="82"/>
      <c r="K149" s="82"/>
      <c r="L149" s="58"/>
      <c r="M149" s="82"/>
      <c r="N149" s="83"/>
      <c r="O149" s="82"/>
      <c r="P149" s="72"/>
    </row>
    <row r="150" spans="1:19" s="40" customFormat="1" x14ac:dyDescent="0.2">
      <c r="A150" s="1504"/>
      <c r="B150" s="21">
        <v>69000</v>
      </c>
      <c r="C150" s="1412" t="s">
        <v>5899</v>
      </c>
      <c r="D150" s="35" t="s">
        <v>5830</v>
      </c>
      <c r="E150" s="82"/>
      <c r="F150" s="82"/>
      <c r="G150" s="82"/>
      <c r="H150" s="82"/>
      <c r="I150" s="83"/>
      <c r="J150" s="82"/>
      <c r="K150" s="82"/>
      <c r="L150" s="58"/>
      <c r="M150" s="82"/>
      <c r="N150" s="83"/>
      <c r="O150" s="82"/>
      <c r="P150" s="72"/>
    </row>
    <row r="151" spans="1:19" s="40" customFormat="1" x14ac:dyDescent="0.2">
      <c r="A151" s="1504"/>
      <c r="B151" s="21">
        <v>340000</v>
      </c>
      <c r="C151" s="1412" t="s">
        <v>5900</v>
      </c>
      <c r="D151" s="35" t="s">
        <v>5831</v>
      </c>
      <c r="E151" s="82"/>
      <c r="F151" s="82"/>
      <c r="G151" s="82"/>
      <c r="H151" s="82"/>
      <c r="I151" s="83"/>
      <c r="J151" s="82"/>
      <c r="K151" s="82"/>
      <c r="L151" s="58"/>
      <c r="M151" s="82"/>
      <c r="N151" s="83"/>
      <c r="O151" s="82"/>
      <c r="P151" s="72"/>
    </row>
    <row r="152" spans="1:19" s="40" customFormat="1" x14ac:dyDescent="0.2">
      <c r="A152" s="1504"/>
      <c r="B152" s="21"/>
      <c r="C152" s="1412" t="s">
        <v>5901</v>
      </c>
      <c r="D152" s="35" t="s">
        <v>5832</v>
      </c>
      <c r="E152" s="82"/>
      <c r="F152" s="82"/>
      <c r="G152" s="82"/>
      <c r="H152" s="82"/>
      <c r="I152" s="83"/>
      <c r="J152" s="82"/>
      <c r="K152" s="82"/>
      <c r="L152" s="58"/>
      <c r="M152" s="82"/>
      <c r="N152" s="83"/>
      <c r="O152" s="82"/>
      <c r="P152" s="72"/>
      <c r="R152" s="23"/>
      <c r="S152" s="23"/>
    </row>
    <row r="153" spans="1:19" s="40" customFormat="1" x14ac:dyDescent="0.2">
      <c r="A153" s="1504"/>
      <c r="B153" s="21">
        <v>43000</v>
      </c>
      <c r="C153" s="1412" t="s">
        <v>5902</v>
      </c>
      <c r="D153" s="35" t="s">
        <v>5833</v>
      </c>
      <c r="E153" s="82"/>
      <c r="F153" s="82"/>
      <c r="G153" s="82"/>
      <c r="H153" s="82"/>
      <c r="I153" s="83"/>
      <c r="J153" s="82"/>
      <c r="K153" s="82"/>
      <c r="L153" s="58"/>
      <c r="M153" s="82"/>
      <c r="N153" s="83"/>
      <c r="O153" s="82"/>
      <c r="P153" s="72"/>
      <c r="R153" s="23"/>
      <c r="S153" s="23"/>
    </row>
    <row r="154" spans="1:19" s="40" customFormat="1" x14ac:dyDescent="0.2">
      <c r="A154" s="1504"/>
      <c r="B154" s="21"/>
      <c r="C154" s="1412" t="s">
        <v>5903</v>
      </c>
      <c r="D154" s="35" t="s">
        <v>5834</v>
      </c>
      <c r="E154" s="82"/>
      <c r="F154" s="82"/>
      <c r="G154" s="82"/>
      <c r="H154" s="82"/>
      <c r="I154" s="83"/>
      <c r="J154" s="82"/>
      <c r="K154" s="82"/>
      <c r="L154" s="58"/>
      <c r="M154" s="82"/>
      <c r="N154" s="83"/>
      <c r="O154" s="82"/>
      <c r="P154" s="72"/>
      <c r="R154" s="25"/>
      <c r="S154" s="25"/>
    </row>
    <row r="155" spans="1:19" s="40" customFormat="1" x14ac:dyDescent="0.2">
      <c r="A155" s="2055">
        <f>SUM(A86:A154)</f>
        <v>0</v>
      </c>
      <c r="B155" s="2056">
        <f>SUM(B86:B154)</f>
        <v>4506816.2699999996</v>
      </c>
      <c r="C155" s="2063"/>
      <c r="D155" s="2059" t="s">
        <v>764</v>
      </c>
      <c r="E155" s="2056">
        <f>SUM(E86:E154)</f>
        <v>0</v>
      </c>
      <c r="F155" s="2056"/>
      <c r="G155" s="2056">
        <f t="shared" ref="G155:O155" si="18">SUM(G86:G154)</f>
        <v>0</v>
      </c>
      <c r="H155" s="2056">
        <f t="shared" si="18"/>
        <v>0</v>
      </c>
      <c r="I155" s="2058">
        <f t="shared" si="18"/>
        <v>0</v>
      </c>
      <c r="J155" s="2056">
        <f t="shared" si="18"/>
        <v>0</v>
      </c>
      <c r="K155" s="2056">
        <f t="shared" si="18"/>
        <v>0</v>
      </c>
      <c r="L155" s="2059">
        <f t="shared" si="18"/>
        <v>0</v>
      </c>
      <c r="M155" s="2056">
        <f t="shared" si="18"/>
        <v>0</v>
      </c>
      <c r="N155" s="2058">
        <f t="shared" si="18"/>
        <v>0</v>
      </c>
      <c r="O155" s="2056">
        <f t="shared" si="18"/>
        <v>0</v>
      </c>
      <c r="P155" s="2060">
        <f t="shared" ref="P155" si="19">SUM(P86:P154)</f>
        <v>0</v>
      </c>
      <c r="R155" s="23"/>
      <c r="S155" s="23"/>
    </row>
    <row r="156" spans="1:19" s="40" customFormat="1" x14ac:dyDescent="0.2">
      <c r="A156" s="1504"/>
      <c r="B156" s="82"/>
      <c r="C156" s="1412"/>
      <c r="D156" s="58"/>
      <c r="E156" s="82"/>
      <c r="F156" s="82"/>
      <c r="G156" s="82"/>
      <c r="H156" s="82"/>
      <c r="I156" s="83"/>
      <c r="J156" s="82"/>
      <c r="K156" s="82"/>
      <c r="L156" s="58"/>
      <c r="M156" s="82"/>
      <c r="N156" s="83"/>
      <c r="O156" s="82"/>
      <c r="P156" s="72"/>
      <c r="R156" s="23"/>
      <c r="S156" s="23"/>
    </row>
    <row r="157" spans="1:19" x14ac:dyDescent="0.2">
      <c r="A157" s="1497"/>
      <c r="B157" s="21"/>
      <c r="C157" s="1412"/>
      <c r="D157" s="22"/>
      <c r="E157" s="21"/>
      <c r="F157" s="21"/>
      <c r="G157" s="21"/>
      <c r="H157" s="21"/>
      <c r="I157" s="20"/>
      <c r="J157" s="21"/>
      <c r="K157" s="21"/>
      <c r="L157" s="22"/>
      <c r="M157" s="21"/>
      <c r="N157" s="20"/>
      <c r="O157" s="21"/>
      <c r="P157" s="31"/>
    </row>
    <row r="158" spans="1:19" s="40" customFormat="1" x14ac:dyDescent="0.2">
      <c r="A158" s="1504">
        <f>A83+A155</f>
        <v>0</v>
      </c>
      <c r="B158" s="82">
        <f>B83++B155</f>
        <v>10303318.779999999</v>
      </c>
      <c r="C158" s="1412"/>
      <c r="D158" s="1992" t="s">
        <v>5904</v>
      </c>
      <c r="E158" s="82">
        <f t="shared" ref="E158:O158" si="20">E83++E155</f>
        <v>0</v>
      </c>
      <c r="F158" s="1326"/>
      <c r="G158" s="82">
        <f t="shared" si="20"/>
        <v>0</v>
      </c>
      <c r="H158" s="82">
        <f t="shared" si="20"/>
        <v>0</v>
      </c>
      <c r="I158" s="83">
        <f t="shared" si="20"/>
        <v>0</v>
      </c>
      <c r="J158" s="82">
        <f t="shared" si="20"/>
        <v>0</v>
      </c>
      <c r="K158" s="82">
        <f t="shared" si="20"/>
        <v>0</v>
      </c>
      <c r="L158" s="58">
        <f t="shared" si="20"/>
        <v>0</v>
      </c>
      <c r="M158" s="82">
        <f t="shared" si="20"/>
        <v>0</v>
      </c>
      <c r="N158" s="82">
        <f t="shared" si="20"/>
        <v>0</v>
      </c>
      <c r="O158" s="82">
        <f t="shared" si="20"/>
        <v>0</v>
      </c>
      <c r="P158" s="72">
        <f t="shared" ref="P158" si="21">P83++P155</f>
        <v>0</v>
      </c>
      <c r="R158" s="23"/>
      <c r="S158" s="23"/>
    </row>
    <row r="159" spans="1:19" s="25" customFormat="1" ht="13.5" thickBot="1" x14ac:dyDescent="0.25">
      <c r="A159" s="1498"/>
      <c r="B159" s="28"/>
      <c r="C159" s="2062"/>
      <c r="D159" s="1503"/>
      <c r="E159" s="86"/>
      <c r="F159" s="86"/>
      <c r="G159" s="28"/>
      <c r="H159" s="28"/>
      <c r="I159" s="37"/>
      <c r="J159" s="28"/>
      <c r="K159" s="28"/>
      <c r="L159" s="215"/>
      <c r="M159" s="28"/>
      <c r="N159" s="28"/>
      <c r="O159" s="28"/>
      <c r="P159" s="258"/>
      <c r="R159" s="23"/>
      <c r="S159" s="23"/>
    </row>
    <row r="160" spans="1:19" ht="13.5" thickTop="1" x14ac:dyDescent="0.2"/>
  </sheetData>
  <mergeCells count="3">
    <mergeCell ref="A2:C2"/>
    <mergeCell ref="E2:P2"/>
    <mergeCell ref="A1:P1"/>
  </mergeCells>
  <printOptions horizontalCentered="1"/>
  <pageMargins left="0.39370078740157483" right="0.39370078740157483" top="0.39370078740157483" bottom="0" header="0" footer="0"/>
  <pageSetup paperSize="9" scale="75" fitToHeight="3" orientation="landscape"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80"/>
  <sheetViews>
    <sheetView topLeftCell="A80" workbookViewId="0">
      <selection activeCell="A118" sqref="A118"/>
    </sheetView>
  </sheetViews>
  <sheetFormatPr defaultRowHeight="12.75" x14ac:dyDescent="0.2"/>
  <cols>
    <col min="1" max="1" width="33.140625" customWidth="1"/>
    <col min="2" max="2" width="19.28515625" style="16" customWidth="1"/>
    <col min="3" max="3" width="19.140625" customWidth="1"/>
    <col min="4" max="4" width="18" customWidth="1"/>
    <col min="5" max="5" width="20.85546875" customWidth="1"/>
    <col min="7" max="7" width="10.140625" bestFit="1" customWidth="1"/>
    <col min="12" max="12" width="11.28515625" customWidth="1"/>
    <col min="14" max="14" width="10.28515625" bestFit="1" customWidth="1"/>
  </cols>
  <sheetData>
    <row r="1" spans="1:5" ht="13.5" thickBot="1" x14ac:dyDescent="0.25">
      <c r="A1" s="3041" t="s">
        <v>6368</v>
      </c>
      <c r="B1" s="3042"/>
      <c r="C1" s="3042"/>
      <c r="D1" s="3042"/>
      <c r="E1" s="779" t="s">
        <v>6375</v>
      </c>
    </row>
    <row r="2" spans="1:5" ht="13.5" thickBot="1" x14ac:dyDescent="0.25">
      <c r="A2" s="292" t="s">
        <v>1552</v>
      </c>
      <c r="B2" s="2377" t="s">
        <v>1725</v>
      </c>
      <c r="C2" s="691" t="s">
        <v>610</v>
      </c>
      <c r="D2" s="691" t="s">
        <v>611</v>
      </c>
    </row>
    <row r="3" spans="1:5" x14ac:dyDescent="0.2">
      <c r="A3" s="292" t="s">
        <v>290</v>
      </c>
      <c r="B3" s="2376"/>
      <c r="C3" s="323"/>
      <c r="D3" s="323"/>
    </row>
    <row r="4" spans="1:5" x14ac:dyDescent="0.2">
      <c r="A4" s="71" t="s">
        <v>291</v>
      </c>
      <c r="B4" s="844" t="s">
        <v>6495</v>
      </c>
      <c r="C4" s="323"/>
      <c r="D4" s="1116">
        <v>-200000</v>
      </c>
      <c r="E4" t="s">
        <v>6369</v>
      </c>
    </row>
    <row r="5" spans="1:5" x14ac:dyDescent="0.2">
      <c r="A5" s="1087"/>
      <c r="B5" s="1088"/>
      <c r="C5" s="1089"/>
      <c r="D5" s="1089"/>
    </row>
    <row r="6" spans="1:5" x14ac:dyDescent="0.2">
      <c r="A6" s="292" t="s">
        <v>1448</v>
      </c>
      <c r="B6" s="2376"/>
      <c r="C6" s="323"/>
      <c r="D6" s="323"/>
    </row>
    <row r="7" spans="1:5" x14ac:dyDescent="0.2">
      <c r="A7" s="71" t="s">
        <v>5221</v>
      </c>
      <c r="B7" s="844" t="s">
        <v>84</v>
      </c>
      <c r="C7" s="896">
        <v>14000</v>
      </c>
      <c r="D7" s="323"/>
      <c r="E7" t="s">
        <v>6370</v>
      </c>
    </row>
    <row r="8" spans="1:5" x14ac:dyDescent="0.2">
      <c r="A8" s="71"/>
      <c r="B8" s="844" t="s">
        <v>83</v>
      </c>
      <c r="C8" s="896">
        <v>22000</v>
      </c>
      <c r="D8" s="323"/>
      <c r="E8" t="s">
        <v>6370</v>
      </c>
    </row>
    <row r="9" spans="1:5" x14ac:dyDescent="0.2">
      <c r="A9" s="71"/>
      <c r="B9" s="844" t="s">
        <v>85</v>
      </c>
      <c r="C9" s="896">
        <v>6000</v>
      </c>
      <c r="D9" s="323"/>
      <c r="E9" t="s">
        <v>6370</v>
      </c>
    </row>
    <row r="10" spans="1:5" x14ac:dyDescent="0.2">
      <c r="A10" s="71"/>
      <c r="B10" s="844" t="s">
        <v>1295</v>
      </c>
      <c r="C10" s="896">
        <v>4500</v>
      </c>
      <c r="D10" s="323"/>
      <c r="E10" t="s">
        <v>6370</v>
      </c>
    </row>
    <row r="11" spans="1:5" x14ac:dyDescent="0.2">
      <c r="A11" s="71"/>
      <c r="B11" s="844" t="s">
        <v>613</v>
      </c>
      <c r="C11" s="896">
        <v>12500</v>
      </c>
      <c r="D11" s="323"/>
      <c r="E11" t="s">
        <v>6370</v>
      </c>
    </row>
    <row r="12" spans="1:5" x14ac:dyDescent="0.2">
      <c r="A12" s="71"/>
      <c r="B12" s="844" t="s">
        <v>615</v>
      </c>
      <c r="C12" s="896">
        <v>65500</v>
      </c>
      <c r="D12" s="323"/>
      <c r="E12" t="s">
        <v>6370</v>
      </c>
    </row>
    <row r="13" spans="1:5" x14ac:dyDescent="0.2">
      <c r="A13" s="71" t="s">
        <v>3162</v>
      </c>
      <c r="B13" s="844" t="s">
        <v>2693</v>
      </c>
      <c r="C13" s="323"/>
      <c r="D13" s="896">
        <v>-110000</v>
      </c>
      <c r="E13" t="s">
        <v>6372</v>
      </c>
    </row>
    <row r="14" spans="1:5" x14ac:dyDescent="0.2">
      <c r="A14" s="71" t="s">
        <v>933</v>
      </c>
      <c r="B14" s="844" t="s">
        <v>2701</v>
      </c>
      <c r="C14" s="323"/>
      <c r="D14" s="896">
        <v>-130000</v>
      </c>
      <c r="E14" t="s">
        <v>6372</v>
      </c>
    </row>
    <row r="15" spans="1:5" x14ac:dyDescent="0.2">
      <c r="A15" s="71" t="s">
        <v>1682</v>
      </c>
      <c r="B15" s="844" t="s">
        <v>1404</v>
      </c>
      <c r="C15" s="323"/>
      <c r="D15" s="896">
        <v>-196000</v>
      </c>
      <c r="E15" t="s">
        <v>6372</v>
      </c>
    </row>
    <row r="16" spans="1:5" x14ac:dyDescent="0.2">
      <c r="A16" s="130" t="s">
        <v>4037</v>
      </c>
      <c r="B16" s="844" t="s">
        <v>3522</v>
      </c>
      <c r="C16" s="323"/>
      <c r="D16" s="896"/>
      <c r="E16" t="s">
        <v>6372</v>
      </c>
    </row>
    <row r="17" spans="1:14" x14ac:dyDescent="0.2">
      <c r="A17" s="130" t="s">
        <v>5208</v>
      </c>
      <c r="B17" s="844" t="s">
        <v>5242</v>
      </c>
      <c r="C17" s="323"/>
      <c r="D17" s="896"/>
      <c r="E17" t="s">
        <v>6372</v>
      </c>
    </row>
    <row r="18" spans="1:14" x14ac:dyDescent="0.2">
      <c r="A18" s="130" t="s">
        <v>4038</v>
      </c>
      <c r="B18" s="844" t="s">
        <v>4039</v>
      </c>
      <c r="C18" s="323"/>
      <c r="D18" s="896"/>
      <c r="E18" t="s">
        <v>6372</v>
      </c>
    </row>
    <row r="19" spans="1:14" x14ac:dyDescent="0.2">
      <c r="A19" s="891" t="s">
        <v>3163</v>
      </c>
      <c r="B19" s="844" t="s">
        <v>802</v>
      </c>
      <c r="C19" s="323"/>
      <c r="D19" s="896">
        <v>-450000</v>
      </c>
      <c r="E19" t="s">
        <v>6372</v>
      </c>
    </row>
    <row r="20" spans="1:14" x14ac:dyDescent="0.2">
      <c r="A20" s="891" t="s">
        <v>3225</v>
      </c>
      <c r="B20" s="844" t="s">
        <v>3227</v>
      </c>
      <c r="C20" s="323"/>
      <c r="D20" s="896"/>
      <c r="E20" t="s">
        <v>6372</v>
      </c>
    </row>
    <row r="21" spans="1:14" x14ac:dyDescent="0.2">
      <c r="A21" s="891" t="s">
        <v>3226</v>
      </c>
      <c r="B21" s="844" t="s">
        <v>3228</v>
      </c>
      <c r="C21" s="323"/>
      <c r="D21" s="896">
        <v>-60000</v>
      </c>
      <c r="E21" t="s">
        <v>6372</v>
      </c>
    </row>
    <row r="22" spans="1:14" x14ac:dyDescent="0.2">
      <c r="A22" s="1953" t="s">
        <v>6371</v>
      </c>
      <c r="B22" s="844" t="s">
        <v>6411</v>
      </c>
      <c r="C22" s="323"/>
      <c r="D22" s="896">
        <v>-350000</v>
      </c>
      <c r="E22" t="s">
        <v>6372</v>
      </c>
    </row>
    <row r="23" spans="1:14" x14ac:dyDescent="0.2">
      <c r="A23" s="1953" t="s">
        <v>559</v>
      </c>
      <c r="B23" s="844" t="s">
        <v>6500</v>
      </c>
      <c r="C23" s="323"/>
      <c r="D23" s="896">
        <v>-50000</v>
      </c>
      <c r="E23" t="s">
        <v>6372</v>
      </c>
    </row>
    <row r="24" spans="1:14" x14ac:dyDescent="0.2">
      <c r="A24" s="71" t="s">
        <v>202</v>
      </c>
      <c r="B24" s="844" t="s">
        <v>84</v>
      </c>
      <c r="C24" s="896">
        <v>316000</v>
      </c>
      <c r="D24" s="33"/>
      <c r="E24" t="s">
        <v>6373</v>
      </c>
    </row>
    <row r="25" spans="1:14" x14ac:dyDescent="0.2">
      <c r="A25" s="71" t="s">
        <v>559</v>
      </c>
      <c r="B25" s="844" t="s">
        <v>83</v>
      </c>
      <c r="C25" s="896">
        <v>571000</v>
      </c>
      <c r="D25" s="33"/>
      <c r="E25" t="s">
        <v>6373</v>
      </c>
    </row>
    <row r="26" spans="1:14" x14ac:dyDescent="0.2">
      <c r="A26" s="71" t="s">
        <v>1733</v>
      </c>
      <c r="B26" s="844" t="s">
        <v>85</v>
      </c>
      <c r="C26" s="896">
        <v>31000</v>
      </c>
      <c r="D26" s="33"/>
      <c r="E26" t="s">
        <v>6373</v>
      </c>
    </row>
    <row r="27" spans="1:14" x14ac:dyDescent="0.2">
      <c r="A27" s="71" t="s">
        <v>82</v>
      </c>
      <c r="B27" s="844" t="s">
        <v>1295</v>
      </c>
      <c r="C27" s="896">
        <v>82000</v>
      </c>
      <c r="D27" s="33"/>
      <c r="E27" t="s">
        <v>6373</v>
      </c>
    </row>
    <row r="28" spans="1:14" x14ac:dyDescent="0.2">
      <c r="A28" s="71" t="s">
        <v>81</v>
      </c>
      <c r="B28" s="844" t="s">
        <v>613</v>
      </c>
      <c r="C28" s="896">
        <v>326000</v>
      </c>
      <c r="D28" s="33"/>
      <c r="E28" t="s">
        <v>6373</v>
      </c>
    </row>
    <row r="29" spans="1:14" x14ac:dyDescent="0.2">
      <c r="A29" s="71" t="s">
        <v>614</v>
      </c>
      <c r="B29" s="844" t="s">
        <v>615</v>
      </c>
      <c r="C29" s="896">
        <v>1908000</v>
      </c>
      <c r="D29" s="33"/>
      <c r="E29" t="s">
        <v>6373</v>
      </c>
    </row>
    <row r="30" spans="1:14" x14ac:dyDescent="0.2">
      <c r="A30" s="2220"/>
      <c r="B30" s="2372"/>
      <c r="C30" s="2373"/>
      <c r="D30" s="455"/>
      <c r="E30" s="63">
        <f>SUM(C7:D30)</f>
        <v>2012500</v>
      </c>
      <c r="G30" s="2374" t="s">
        <v>6374</v>
      </c>
      <c r="H30" s="2375"/>
      <c r="I30" s="2375"/>
      <c r="J30" s="2375"/>
      <c r="K30" s="2375"/>
      <c r="L30" s="2375"/>
      <c r="M30" s="2375"/>
      <c r="N30" s="2375"/>
    </row>
    <row r="31" spans="1:14" x14ac:dyDescent="0.2">
      <c r="A31" s="71"/>
      <c r="B31" s="844"/>
      <c r="C31" s="949"/>
      <c r="D31" s="33"/>
    </row>
    <row r="32" spans="1:14" x14ac:dyDescent="0.2">
      <c r="A32" s="627" t="s">
        <v>218</v>
      </c>
      <c r="B32" s="844"/>
      <c r="C32" s="323"/>
      <c r="D32" s="323"/>
    </row>
    <row r="33" spans="1:4" x14ac:dyDescent="0.2">
      <c r="A33" s="628" t="s">
        <v>2394</v>
      </c>
      <c r="B33" s="844" t="s">
        <v>1498</v>
      </c>
      <c r="C33" s="401"/>
      <c r="D33" s="692"/>
    </row>
    <row r="34" spans="1:4" x14ac:dyDescent="0.2">
      <c r="A34" s="872" t="s">
        <v>2359</v>
      </c>
      <c r="B34" s="844" t="s">
        <v>3164</v>
      </c>
      <c r="C34" s="692"/>
      <c r="D34" s="323"/>
    </row>
    <row r="35" spans="1:4" x14ac:dyDescent="0.2">
      <c r="A35" s="1138" t="s">
        <v>3587</v>
      </c>
      <c r="B35" s="844"/>
      <c r="C35" s="323"/>
      <c r="D35" s="323"/>
    </row>
    <row r="36" spans="1:4" x14ac:dyDescent="0.2">
      <c r="A36" s="872" t="s">
        <v>6037</v>
      </c>
      <c r="B36" s="844" t="s">
        <v>6412</v>
      </c>
      <c r="C36" s="692">
        <v>1000000</v>
      </c>
      <c r="D36" s="323"/>
    </row>
    <row r="37" spans="1:4" x14ac:dyDescent="0.2">
      <c r="A37" s="1138"/>
      <c r="B37" s="844" t="s">
        <v>3598</v>
      </c>
      <c r="C37" s="323"/>
      <c r="D37" s="323"/>
    </row>
    <row r="38" spans="1:4" x14ac:dyDescent="0.2">
      <c r="A38" s="627"/>
      <c r="B38" s="844" t="s">
        <v>3588</v>
      </c>
      <c r="C38" s="323"/>
      <c r="D38" s="692"/>
    </row>
    <row r="39" spans="1:4" x14ac:dyDescent="0.2">
      <c r="A39" s="1138" t="s">
        <v>2921</v>
      </c>
      <c r="B39" s="844"/>
      <c r="C39" s="150"/>
      <c r="D39" s="150"/>
    </row>
    <row r="40" spans="1:4" x14ac:dyDescent="0.2">
      <c r="A40" s="872" t="s">
        <v>3278</v>
      </c>
      <c r="B40" s="844" t="s">
        <v>3279</v>
      </c>
      <c r="C40" s="150"/>
      <c r="D40" s="692"/>
    </row>
    <row r="41" spans="1:4" x14ac:dyDescent="0.2">
      <c r="A41" s="872" t="s">
        <v>4166</v>
      </c>
      <c r="B41" s="844" t="s">
        <v>5247</v>
      </c>
      <c r="C41" s="692">
        <v>10000</v>
      </c>
      <c r="D41" s="150"/>
    </row>
    <row r="42" spans="1:4" x14ac:dyDescent="0.2">
      <c r="A42" s="872"/>
      <c r="B42" s="844"/>
      <c r="C42" s="150"/>
      <c r="D42" s="692"/>
    </row>
    <row r="43" spans="1:4" x14ac:dyDescent="0.2">
      <c r="A43" s="627" t="s">
        <v>1936</v>
      </c>
      <c r="B43" s="844"/>
      <c r="C43" s="150"/>
      <c r="D43" s="150"/>
    </row>
    <row r="44" spans="1:4" x14ac:dyDescent="0.2">
      <c r="A44" s="628" t="s">
        <v>1813</v>
      </c>
      <c r="B44" s="844" t="s">
        <v>1845</v>
      </c>
      <c r="C44" s="150"/>
      <c r="D44" s="692"/>
    </row>
    <row r="45" spans="1:4" x14ac:dyDescent="0.2">
      <c r="A45" s="872" t="s">
        <v>3165</v>
      </c>
      <c r="B45" s="844" t="s">
        <v>3168</v>
      </c>
      <c r="C45" s="150"/>
      <c r="D45" s="692"/>
    </row>
    <row r="46" spans="1:4" x14ac:dyDescent="0.2">
      <c r="A46" s="872" t="s">
        <v>3166</v>
      </c>
      <c r="B46" s="844" t="s">
        <v>3169</v>
      </c>
      <c r="C46" s="150"/>
      <c r="D46" s="692"/>
    </row>
    <row r="47" spans="1:4" x14ac:dyDescent="0.2">
      <c r="A47" s="872" t="s">
        <v>3167</v>
      </c>
      <c r="B47" s="844" t="s">
        <v>1846</v>
      </c>
      <c r="C47" s="150"/>
      <c r="D47" s="692"/>
    </row>
    <row r="48" spans="1:4" x14ac:dyDescent="0.2">
      <c r="A48" s="872"/>
      <c r="B48" s="844"/>
      <c r="C48" s="150"/>
      <c r="D48" s="692"/>
    </row>
    <row r="49" spans="1:4" x14ac:dyDescent="0.2">
      <c r="A49" s="1138" t="s">
        <v>389</v>
      </c>
      <c r="B49" s="844"/>
      <c r="C49" s="150"/>
      <c r="D49" s="692"/>
    </row>
    <row r="50" spans="1:4" x14ac:dyDescent="0.2">
      <c r="A50" s="872" t="s">
        <v>5621</v>
      </c>
      <c r="B50" s="844" t="s">
        <v>6376</v>
      </c>
      <c r="C50" s="692">
        <v>685000</v>
      </c>
      <c r="D50" s="692"/>
    </row>
    <row r="51" spans="1:4" x14ac:dyDescent="0.2">
      <c r="A51" s="872"/>
      <c r="B51" s="844"/>
      <c r="C51" s="150"/>
      <c r="D51" s="692"/>
    </row>
    <row r="52" spans="1:4" x14ac:dyDescent="0.2">
      <c r="A52" s="1138" t="s">
        <v>1586</v>
      </c>
      <c r="B52" s="844"/>
      <c r="C52" s="150"/>
      <c r="D52" s="150"/>
    </row>
    <row r="53" spans="1:4" x14ac:dyDescent="0.2">
      <c r="A53" s="872" t="s">
        <v>3294</v>
      </c>
      <c r="B53" s="844" t="s">
        <v>3293</v>
      </c>
      <c r="C53" s="150"/>
      <c r="D53" s="692"/>
    </row>
    <row r="54" spans="1:4" x14ac:dyDescent="0.2">
      <c r="A54" s="872"/>
      <c r="B54" s="844"/>
      <c r="C54" s="150"/>
      <c r="D54" s="692"/>
    </row>
    <row r="55" spans="1:4" x14ac:dyDescent="0.2">
      <c r="A55" s="627" t="s">
        <v>783</v>
      </c>
      <c r="B55" s="844"/>
      <c r="C55" s="323"/>
      <c r="D55" s="150"/>
    </row>
    <row r="56" spans="1:4" x14ac:dyDescent="0.2">
      <c r="A56" s="628" t="s">
        <v>612</v>
      </c>
      <c r="B56" s="844" t="s">
        <v>2450</v>
      </c>
      <c r="C56" s="692">
        <v>90000</v>
      </c>
      <c r="D56" s="150"/>
    </row>
    <row r="57" spans="1:4" x14ac:dyDescent="0.2">
      <c r="A57" s="628" t="s">
        <v>2045</v>
      </c>
      <c r="B57" s="844" t="s">
        <v>1839</v>
      </c>
      <c r="C57" s="323"/>
      <c r="D57" s="692">
        <v>-230000</v>
      </c>
    </row>
    <row r="58" spans="1:4" x14ac:dyDescent="0.2">
      <c r="A58" s="628" t="s">
        <v>1133</v>
      </c>
      <c r="B58" s="844" t="s">
        <v>1840</v>
      </c>
      <c r="C58" s="323"/>
      <c r="D58" s="692"/>
    </row>
    <row r="59" spans="1:4" x14ac:dyDescent="0.2">
      <c r="A59" s="628" t="s">
        <v>524</v>
      </c>
      <c r="B59" s="844" t="s">
        <v>1841</v>
      </c>
      <c r="C59" s="323"/>
      <c r="D59" s="692"/>
    </row>
    <row r="60" spans="1:4" x14ac:dyDescent="0.2">
      <c r="A60" s="627" t="s">
        <v>88</v>
      </c>
      <c r="B60" s="844"/>
      <c r="C60" s="150"/>
      <c r="D60" s="150"/>
    </row>
    <row r="61" spans="1:4" x14ac:dyDescent="0.2">
      <c r="A61" s="628" t="s">
        <v>2910</v>
      </c>
      <c r="B61" s="844" t="s">
        <v>1842</v>
      </c>
      <c r="C61" s="150"/>
      <c r="D61" s="692"/>
    </row>
    <row r="62" spans="1:4" x14ac:dyDescent="0.2">
      <c r="A62" s="628" t="s">
        <v>2911</v>
      </c>
      <c r="B62" s="844" t="s">
        <v>1980</v>
      </c>
      <c r="C62" s="150"/>
      <c r="D62" s="692"/>
    </row>
    <row r="63" spans="1:4" x14ac:dyDescent="0.2">
      <c r="A63" s="628" t="s">
        <v>2911</v>
      </c>
      <c r="B63" s="844" t="s">
        <v>1843</v>
      </c>
      <c r="C63" s="692"/>
      <c r="D63" s="150"/>
    </row>
    <row r="64" spans="1:4" x14ac:dyDescent="0.2">
      <c r="A64" s="627" t="s">
        <v>2311</v>
      </c>
      <c r="B64" s="844"/>
      <c r="C64" s="150"/>
      <c r="D64" s="150"/>
    </row>
    <row r="65" spans="1:4" x14ac:dyDescent="0.2">
      <c r="A65" s="872" t="s">
        <v>1981</v>
      </c>
      <c r="B65" s="844" t="s">
        <v>1982</v>
      </c>
      <c r="C65" s="150"/>
      <c r="D65" s="692"/>
    </row>
    <row r="66" spans="1:4" x14ac:dyDescent="0.2">
      <c r="A66" s="872" t="s">
        <v>6119</v>
      </c>
      <c r="B66" s="844" t="s">
        <v>6414</v>
      </c>
      <c r="C66" s="692">
        <v>73000</v>
      </c>
      <c r="D66" s="150"/>
    </row>
    <row r="67" spans="1:4" x14ac:dyDescent="0.2">
      <c r="A67" s="627" t="s">
        <v>362</v>
      </c>
      <c r="B67" s="844"/>
      <c r="C67" s="150"/>
      <c r="D67" s="150"/>
    </row>
    <row r="68" spans="1:4" x14ac:dyDescent="0.2">
      <c r="A68" s="628" t="s">
        <v>1591</v>
      </c>
      <c r="B68" s="844" t="s">
        <v>1592</v>
      </c>
      <c r="C68" s="150"/>
      <c r="D68" s="692"/>
    </row>
    <row r="69" spans="1:4" x14ac:dyDescent="0.2">
      <c r="A69" s="628" t="s">
        <v>660</v>
      </c>
      <c r="B69" s="844" t="s">
        <v>1844</v>
      </c>
      <c r="C69" s="692"/>
      <c r="D69" s="150"/>
    </row>
    <row r="70" spans="1:4" x14ac:dyDescent="0.2">
      <c r="A70" s="627" t="s">
        <v>533</v>
      </c>
      <c r="B70" s="844"/>
      <c r="C70" s="150"/>
      <c r="D70" s="150"/>
    </row>
    <row r="71" spans="1:4" x14ac:dyDescent="0.2">
      <c r="A71" s="872" t="s">
        <v>5209</v>
      </c>
      <c r="B71" s="844" t="s">
        <v>5243</v>
      </c>
      <c r="C71" s="692"/>
      <c r="D71" s="150"/>
    </row>
    <row r="72" spans="1:4" x14ac:dyDescent="0.2">
      <c r="A72" s="628" t="s">
        <v>569</v>
      </c>
      <c r="B72" s="844" t="s">
        <v>570</v>
      </c>
      <c r="C72" s="150"/>
      <c r="D72" s="692">
        <v>-56600</v>
      </c>
    </row>
    <row r="73" spans="1:4" x14ac:dyDescent="0.2">
      <c r="A73" s="628" t="s">
        <v>1158</v>
      </c>
      <c r="B73" s="844" t="s">
        <v>1159</v>
      </c>
      <c r="C73" s="150"/>
      <c r="D73" s="692">
        <v>-4600</v>
      </c>
    </row>
    <row r="74" spans="1:4" x14ac:dyDescent="0.2">
      <c r="A74" s="628" t="s">
        <v>2537</v>
      </c>
      <c r="B74" s="844" t="s">
        <v>2538</v>
      </c>
      <c r="C74" s="150"/>
      <c r="D74" s="692">
        <v>-20600</v>
      </c>
    </row>
    <row r="75" spans="1:4" x14ac:dyDescent="0.2">
      <c r="A75" s="872" t="s">
        <v>5210</v>
      </c>
      <c r="B75" s="844" t="s">
        <v>5244</v>
      </c>
      <c r="C75" s="150"/>
      <c r="D75" s="692"/>
    </row>
    <row r="76" spans="1:4" x14ac:dyDescent="0.2">
      <c r="A76" s="872" t="s">
        <v>4040</v>
      </c>
      <c r="B76" s="844" t="s">
        <v>4041</v>
      </c>
      <c r="C76" s="150"/>
      <c r="D76" s="692"/>
    </row>
    <row r="77" spans="1:4" x14ac:dyDescent="0.2">
      <c r="A77" s="872" t="s">
        <v>3173</v>
      </c>
      <c r="B77" s="844" t="s">
        <v>3174</v>
      </c>
      <c r="C77" s="150"/>
      <c r="D77" s="692"/>
    </row>
    <row r="78" spans="1:4" x14ac:dyDescent="0.2">
      <c r="A78" s="872" t="s">
        <v>4042</v>
      </c>
      <c r="B78" s="844" t="s">
        <v>4046</v>
      </c>
      <c r="C78" s="150"/>
      <c r="D78" s="692"/>
    </row>
    <row r="79" spans="1:4" x14ac:dyDescent="0.2">
      <c r="A79" s="872" t="s">
        <v>5211</v>
      </c>
      <c r="B79" s="844" t="s">
        <v>5245</v>
      </c>
      <c r="C79" s="150"/>
      <c r="D79" s="692">
        <v>-490000</v>
      </c>
    </row>
    <row r="80" spans="1:4" x14ac:dyDescent="0.2">
      <c r="A80" s="872" t="s">
        <v>4043</v>
      </c>
      <c r="B80" s="844" t="s">
        <v>4047</v>
      </c>
      <c r="C80" s="150"/>
      <c r="D80" s="692"/>
    </row>
    <row r="81" spans="1:4" x14ac:dyDescent="0.2">
      <c r="A81" s="872" t="s">
        <v>6377</v>
      </c>
      <c r="B81" s="844" t="s">
        <v>6415</v>
      </c>
      <c r="C81" s="150"/>
      <c r="D81" s="692">
        <v>-45000</v>
      </c>
    </row>
    <row r="82" spans="1:4" x14ac:dyDescent="0.2">
      <c r="A82" s="872" t="s">
        <v>6378</v>
      </c>
      <c r="B82" s="844" t="s">
        <v>6416</v>
      </c>
      <c r="C82" s="150"/>
      <c r="D82" s="692">
        <v>-30100</v>
      </c>
    </row>
    <row r="83" spans="1:4" x14ac:dyDescent="0.2">
      <c r="A83" s="872" t="s">
        <v>6379</v>
      </c>
      <c r="B83" s="844" t="s">
        <v>6417</v>
      </c>
      <c r="C83" s="150"/>
      <c r="D83" s="692">
        <v>-75000</v>
      </c>
    </row>
    <row r="84" spans="1:4" x14ac:dyDescent="0.2">
      <c r="A84" s="872" t="s">
        <v>6380</v>
      </c>
      <c r="B84" s="844" t="s">
        <v>6418</v>
      </c>
      <c r="C84" s="150"/>
      <c r="D84" s="692">
        <v>-150000</v>
      </c>
    </row>
    <row r="85" spans="1:4" x14ac:dyDescent="0.2">
      <c r="A85" s="872" t="s">
        <v>6381</v>
      </c>
      <c r="B85" s="844" t="s">
        <v>6419</v>
      </c>
      <c r="C85" s="150"/>
      <c r="D85" s="692">
        <v>-140000</v>
      </c>
    </row>
    <row r="86" spans="1:4" x14ac:dyDescent="0.2">
      <c r="A86" s="872" t="s">
        <v>4044</v>
      </c>
      <c r="B86" s="844" t="s">
        <v>4048</v>
      </c>
      <c r="C86" s="150"/>
      <c r="D86" s="692"/>
    </row>
    <row r="87" spans="1:4" x14ac:dyDescent="0.2">
      <c r="A87" s="872" t="s">
        <v>4045</v>
      </c>
      <c r="B87" s="844" t="s">
        <v>6382</v>
      </c>
      <c r="C87" s="150"/>
      <c r="D87" s="692">
        <v>-29600</v>
      </c>
    </row>
    <row r="88" spans="1:4" x14ac:dyDescent="0.2">
      <c r="A88" s="628" t="s">
        <v>2565</v>
      </c>
      <c r="B88" s="844" t="s">
        <v>326</v>
      </c>
      <c r="C88" s="150"/>
      <c r="D88" s="692">
        <v>-373000</v>
      </c>
    </row>
    <row r="89" spans="1:4" x14ac:dyDescent="0.2">
      <c r="A89" s="628" t="s">
        <v>1432</v>
      </c>
      <c r="B89" s="844" t="s">
        <v>1514</v>
      </c>
      <c r="C89" s="692">
        <v>16000</v>
      </c>
      <c r="D89" s="150"/>
    </row>
    <row r="90" spans="1:4" x14ac:dyDescent="0.2">
      <c r="A90" s="628" t="s">
        <v>1433</v>
      </c>
      <c r="B90" s="844" t="s">
        <v>229</v>
      </c>
      <c r="C90" s="692">
        <v>702500</v>
      </c>
      <c r="D90" s="150"/>
    </row>
    <row r="91" spans="1:4" x14ac:dyDescent="0.2">
      <c r="A91" s="628" t="s">
        <v>2345</v>
      </c>
      <c r="B91" s="844" t="s">
        <v>194</v>
      </c>
      <c r="C91" s="692">
        <v>125400</v>
      </c>
      <c r="D91" s="150"/>
    </row>
    <row r="92" spans="1:4" x14ac:dyDescent="0.2">
      <c r="A92" s="628" t="s">
        <v>682</v>
      </c>
      <c r="B92" s="844" t="s">
        <v>230</v>
      </c>
      <c r="C92" s="692">
        <v>65800</v>
      </c>
      <c r="D92" s="150"/>
    </row>
    <row r="93" spans="1:4" x14ac:dyDescent="0.2">
      <c r="A93" s="872" t="s">
        <v>3170</v>
      </c>
      <c r="B93" s="844" t="s">
        <v>4049</v>
      </c>
      <c r="C93" s="692"/>
      <c r="D93" s="150"/>
    </row>
    <row r="94" spans="1:4" x14ac:dyDescent="0.2">
      <c r="A94" s="628" t="s">
        <v>683</v>
      </c>
      <c r="B94" s="844" t="s">
        <v>684</v>
      </c>
      <c r="C94" s="692">
        <v>450000</v>
      </c>
      <c r="D94" s="150"/>
    </row>
    <row r="95" spans="1:4" x14ac:dyDescent="0.2">
      <c r="A95" s="872" t="s">
        <v>3171</v>
      </c>
      <c r="B95" s="844" t="s">
        <v>3172</v>
      </c>
      <c r="C95" s="692"/>
      <c r="D95" s="150"/>
    </row>
    <row r="96" spans="1:4" x14ac:dyDescent="0.2">
      <c r="A96" s="872" t="s">
        <v>5212</v>
      </c>
      <c r="B96" s="844" t="s">
        <v>5246</v>
      </c>
      <c r="C96" s="692">
        <v>147000</v>
      </c>
      <c r="D96" s="150"/>
    </row>
    <row r="97" spans="1:4" x14ac:dyDescent="0.2">
      <c r="A97" s="872" t="s">
        <v>6384</v>
      </c>
      <c r="B97" s="844" t="s">
        <v>6421</v>
      </c>
      <c r="C97" s="692">
        <v>2500000</v>
      </c>
      <c r="D97" s="150"/>
    </row>
    <row r="98" spans="1:4" x14ac:dyDescent="0.2">
      <c r="A98" s="872" t="s">
        <v>5213</v>
      </c>
      <c r="B98" s="844" t="s">
        <v>5329</v>
      </c>
      <c r="C98" s="150"/>
      <c r="D98" s="692"/>
    </row>
    <row r="99" spans="1:4" x14ac:dyDescent="0.2">
      <c r="A99" s="872" t="s">
        <v>4050</v>
      </c>
      <c r="B99" s="844" t="s">
        <v>4051</v>
      </c>
      <c r="C99" s="33"/>
      <c r="D99" s="692"/>
    </row>
    <row r="100" spans="1:4" x14ac:dyDescent="0.2">
      <c r="A100" s="872" t="s">
        <v>4054</v>
      </c>
      <c r="B100" s="844" t="s">
        <v>1142</v>
      </c>
      <c r="C100" s="33"/>
      <c r="D100" s="692"/>
    </row>
    <row r="101" spans="1:4" x14ac:dyDescent="0.2">
      <c r="A101" s="872" t="s">
        <v>3579</v>
      </c>
      <c r="B101" s="844" t="s">
        <v>3285</v>
      </c>
      <c r="C101" s="84"/>
      <c r="D101" s="692"/>
    </row>
    <row r="102" spans="1:4" x14ac:dyDescent="0.2">
      <c r="A102" s="872" t="s">
        <v>3580</v>
      </c>
      <c r="B102" s="844" t="s">
        <v>3288</v>
      </c>
      <c r="C102" s="84"/>
      <c r="D102" s="692"/>
    </row>
    <row r="103" spans="1:4" x14ac:dyDescent="0.2">
      <c r="A103" s="872" t="s">
        <v>3581</v>
      </c>
      <c r="B103" s="844" t="s">
        <v>2541</v>
      </c>
      <c r="C103" s="150"/>
      <c r="D103" s="692">
        <v>-4600</v>
      </c>
    </row>
    <row r="104" spans="1:4" x14ac:dyDescent="0.2">
      <c r="A104" s="872" t="s">
        <v>3583</v>
      </c>
      <c r="B104" s="844" t="s">
        <v>1847</v>
      </c>
      <c r="C104" s="150"/>
      <c r="D104" s="692">
        <v>-2432000</v>
      </c>
    </row>
    <row r="105" spans="1:4" x14ac:dyDescent="0.2">
      <c r="A105" s="872" t="s">
        <v>4052</v>
      </c>
      <c r="B105" s="844" t="s">
        <v>1848</v>
      </c>
      <c r="C105" s="150"/>
      <c r="D105" s="692">
        <v>-207300</v>
      </c>
    </row>
    <row r="106" spans="1:4" x14ac:dyDescent="0.2">
      <c r="A106" s="872" t="s">
        <v>4053</v>
      </c>
      <c r="B106" s="844" t="s">
        <v>2036</v>
      </c>
      <c r="C106" s="150"/>
      <c r="D106" s="692">
        <v>-158600</v>
      </c>
    </row>
    <row r="107" spans="1:4" x14ac:dyDescent="0.2">
      <c r="A107" s="872" t="s">
        <v>3584</v>
      </c>
      <c r="B107" s="844" t="s">
        <v>3578</v>
      </c>
      <c r="C107" s="150"/>
      <c r="D107" s="692">
        <v>-378900</v>
      </c>
    </row>
    <row r="108" spans="1:4" x14ac:dyDescent="0.2">
      <c r="A108" s="872" t="s">
        <v>6383</v>
      </c>
      <c r="B108" s="844" t="s">
        <v>6420</v>
      </c>
      <c r="C108" s="150"/>
      <c r="D108" s="692">
        <v>-1020000</v>
      </c>
    </row>
    <row r="109" spans="1:4" x14ac:dyDescent="0.2">
      <c r="A109" s="872" t="s">
        <v>3582</v>
      </c>
      <c r="B109" s="844" t="s">
        <v>231</v>
      </c>
      <c r="C109" s="692">
        <v>75000</v>
      </c>
      <c r="D109" s="150"/>
    </row>
    <row r="110" spans="1:4" x14ac:dyDescent="0.2">
      <c r="A110" s="872" t="s">
        <v>4055</v>
      </c>
      <c r="B110" s="844" t="s">
        <v>4056</v>
      </c>
      <c r="C110" s="692">
        <v>1800000</v>
      </c>
      <c r="D110" s="150"/>
    </row>
    <row r="111" spans="1:4" x14ac:dyDescent="0.2">
      <c r="A111" s="872" t="s">
        <v>4057</v>
      </c>
      <c r="B111" s="844" t="s">
        <v>4058</v>
      </c>
      <c r="C111" s="692"/>
      <c r="D111" s="150"/>
    </row>
    <row r="112" spans="1:4" x14ac:dyDescent="0.2">
      <c r="A112" s="872" t="s">
        <v>3585</v>
      </c>
      <c r="B112" s="844" t="s">
        <v>2539</v>
      </c>
      <c r="C112" s="692">
        <v>725000</v>
      </c>
      <c r="D112" s="150"/>
    </row>
    <row r="113" spans="1:4" x14ac:dyDescent="0.2">
      <c r="A113" s="872" t="s">
        <v>3586</v>
      </c>
      <c r="B113" s="844" t="s">
        <v>2540</v>
      </c>
      <c r="C113" s="692">
        <v>125400</v>
      </c>
      <c r="D113" s="150"/>
    </row>
    <row r="114" spans="1:4" x14ac:dyDescent="0.2">
      <c r="A114" s="998" t="s">
        <v>3203</v>
      </c>
      <c r="B114" s="844" t="s">
        <v>3233</v>
      </c>
      <c r="C114" s="150"/>
      <c r="D114" s="692">
        <v>-1475000</v>
      </c>
    </row>
    <row r="115" spans="1:4" x14ac:dyDescent="0.2">
      <c r="A115" s="998" t="s">
        <v>3204</v>
      </c>
      <c r="B115" s="844" t="s">
        <v>3232</v>
      </c>
      <c r="C115" s="150"/>
      <c r="D115" s="692"/>
    </row>
    <row r="116" spans="1:4" x14ac:dyDescent="0.2">
      <c r="A116" s="998" t="s">
        <v>3203</v>
      </c>
      <c r="B116" s="844" t="s">
        <v>3231</v>
      </c>
      <c r="C116" s="692">
        <v>500000</v>
      </c>
      <c r="D116" s="150"/>
    </row>
    <row r="117" spans="1:4" x14ac:dyDescent="0.2">
      <c r="A117" s="998" t="s">
        <v>3204</v>
      </c>
      <c r="B117" s="844" t="s">
        <v>3230</v>
      </c>
      <c r="C117" s="692"/>
      <c r="D117" s="150"/>
    </row>
    <row r="118" spans="1:4" x14ac:dyDescent="0.2">
      <c r="A118" s="628" t="s">
        <v>1138</v>
      </c>
      <c r="B118" s="844" t="s">
        <v>1139</v>
      </c>
      <c r="C118" s="150"/>
      <c r="D118" s="692">
        <v>-69200</v>
      </c>
    </row>
    <row r="119" spans="1:4" x14ac:dyDescent="0.2">
      <c r="A119" s="628" t="s">
        <v>1137</v>
      </c>
      <c r="B119" s="844" t="s">
        <v>1140</v>
      </c>
      <c r="C119" s="692">
        <v>62000</v>
      </c>
      <c r="D119" s="150"/>
    </row>
    <row r="120" spans="1:4" x14ac:dyDescent="0.2">
      <c r="A120" s="628" t="s">
        <v>1593</v>
      </c>
      <c r="B120" s="844" t="s">
        <v>1142</v>
      </c>
      <c r="C120" s="150"/>
      <c r="D120" s="692"/>
    </row>
    <row r="121" spans="1:4" x14ac:dyDescent="0.2">
      <c r="A121" s="628" t="s">
        <v>2850</v>
      </c>
      <c r="B121" s="844" t="s">
        <v>1141</v>
      </c>
      <c r="C121" s="692">
        <v>45000</v>
      </c>
      <c r="D121" s="150"/>
    </row>
    <row r="122" spans="1:4" x14ac:dyDescent="0.2">
      <c r="A122" s="627" t="s">
        <v>1095</v>
      </c>
      <c r="B122" s="844"/>
      <c r="C122" s="150"/>
      <c r="D122" s="150"/>
    </row>
    <row r="123" spans="1:4" x14ac:dyDescent="0.2">
      <c r="A123" s="628" t="s">
        <v>556</v>
      </c>
      <c r="B123" s="844" t="s">
        <v>2</v>
      </c>
      <c r="C123" s="150"/>
      <c r="D123" s="656">
        <v>-10000</v>
      </c>
    </row>
    <row r="124" spans="1:4" x14ac:dyDescent="0.2">
      <c r="A124" s="628" t="s">
        <v>555</v>
      </c>
      <c r="B124" s="844" t="s">
        <v>169</v>
      </c>
      <c r="C124" s="692">
        <v>148600</v>
      </c>
      <c r="D124" s="33"/>
    </row>
    <row r="125" spans="1:4" x14ac:dyDescent="0.2">
      <c r="A125" s="627" t="s">
        <v>1418</v>
      </c>
      <c r="B125" s="844"/>
      <c r="C125" s="150"/>
      <c r="D125" s="150"/>
    </row>
    <row r="126" spans="1:4" x14ac:dyDescent="0.2">
      <c r="A126" s="628" t="s">
        <v>1309</v>
      </c>
      <c r="B126" s="844" t="s">
        <v>919</v>
      </c>
      <c r="C126" s="150"/>
      <c r="D126" s="692">
        <v>-78000</v>
      </c>
    </row>
    <row r="127" spans="1:4" x14ac:dyDescent="0.2">
      <c r="A127" s="628" t="s">
        <v>2587</v>
      </c>
      <c r="B127" s="844" t="s">
        <v>920</v>
      </c>
      <c r="C127" s="692">
        <v>374200</v>
      </c>
      <c r="D127" s="150"/>
    </row>
    <row r="128" spans="1:4" x14ac:dyDescent="0.2">
      <c r="A128" s="627" t="s">
        <v>1759</v>
      </c>
      <c r="B128" s="844"/>
      <c r="C128" s="150"/>
      <c r="D128" s="150"/>
    </row>
    <row r="129" spans="1:4" x14ac:dyDescent="0.2">
      <c r="A129" s="628" t="s">
        <v>2020</v>
      </c>
      <c r="B129" s="844" t="s">
        <v>3277</v>
      </c>
      <c r="C129" s="150"/>
      <c r="D129" s="692"/>
    </row>
    <row r="130" spans="1:4" x14ac:dyDescent="0.2">
      <c r="A130" s="628" t="s">
        <v>2019</v>
      </c>
      <c r="B130" s="844" t="s">
        <v>2021</v>
      </c>
      <c r="C130" s="692"/>
      <c r="D130" s="150"/>
    </row>
    <row r="131" spans="1:4" x14ac:dyDescent="0.2">
      <c r="A131" s="627" t="s">
        <v>5214</v>
      </c>
      <c r="B131" s="844"/>
      <c r="C131" s="150"/>
      <c r="D131" s="150"/>
    </row>
    <row r="132" spans="1:4" x14ac:dyDescent="0.2">
      <c r="A132" s="872" t="s">
        <v>5215</v>
      </c>
      <c r="B132" s="844" t="s">
        <v>5248</v>
      </c>
      <c r="C132" s="150"/>
      <c r="D132" s="692">
        <v>-4700</v>
      </c>
    </row>
    <row r="133" spans="1:4" x14ac:dyDescent="0.2">
      <c r="A133" s="872" t="s">
        <v>5622</v>
      </c>
      <c r="B133" s="844" t="s">
        <v>6427</v>
      </c>
      <c r="C133" s="150"/>
      <c r="D133" s="692">
        <v>-77000</v>
      </c>
    </row>
    <row r="134" spans="1:4" x14ac:dyDescent="0.2">
      <c r="A134" s="872" t="s">
        <v>5042</v>
      </c>
      <c r="B134" s="844" t="s">
        <v>5249</v>
      </c>
      <c r="C134" s="150"/>
      <c r="D134" s="692"/>
    </row>
    <row r="135" spans="1:4" x14ac:dyDescent="0.2">
      <c r="A135" s="1138" t="s">
        <v>3349</v>
      </c>
      <c r="B135" s="844"/>
      <c r="C135" s="150"/>
      <c r="D135" s="150"/>
    </row>
    <row r="136" spans="1:4" x14ac:dyDescent="0.2">
      <c r="A136" s="872" t="s">
        <v>6385</v>
      </c>
      <c r="B136" s="844" t="s">
        <v>6386</v>
      </c>
      <c r="C136" s="150"/>
      <c r="D136" s="692">
        <v>-499000</v>
      </c>
    </row>
    <row r="137" spans="1:4" x14ac:dyDescent="0.2">
      <c r="A137" s="628" t="s">
        <v>1729</v>
      </c>
      <c r="B137" s="844" t="s">
        <v>158</v>
      </c>
      <c r="C137" s="150"/>
      <c r="D137" s="692"/>
    </row>
    <row r="138" spans="1:4" x14ac:dyDescent="0.2">
      <c r="A138" s="872" t="s">
        <v>3140</v>
      </c>
      <c r="B138" s="844" t="s">
        <v>3348</v>
      </c>
      <c r="C138" s="150"/>
      <c r="D138" s="692"/>
    </row>
    <row r="139" spans="1:4" x14ac:dyDescent="0.2">
      <c r="A139" s="872" t="s">
        <v>4146</v>
      </c>
      <c r="B139" s="844" t="s">
        <v>4147</v>
      </c>
      <c r="C139" s="692"/>
      <c r="D139" s="150"/>
    </row>
    <row r="140" spans="1:4" x14ac:dyDescent="0.2">
      <c r="A140" s="1138" t="s">
        <v>566</v>
      </c>
      <c r="B140" s="844"/>
      <c r="C140" s="150"/>
      <c r="D140" s="150"/>
    </row>
    <row r="141" spans="1:4" x14ac:dyDescent="0.2">
      <c r="A141" s="872" t="s">
        <v>4941</v>
      </c>
      <c r="B141" s="844" t="s">
        <v>6422</v>
      </c>
      <c r="C141" s="692">
        <v>10000</v>
      </c>
      <c r="D141" s="150"/>
    </row>
    <row r="142" spans="1:4" x14ac:dyDescent="0.2">
      <c r="A142" s="628" t="s">
        <v>2018</v>
      </c>
      <c r="B142" s="844" t="s">
        <v>3342</v>
      </c>
      <c r="C142" s="150"/>
      <c r="D142" s="692"/>
    </row>
    <row r="143" spans="1:4" x14ac:dyDescent="0.2">
      <c r="A143" s="1138" t="s">
        <v>4059</v>
      </c>
      <c r="B143" s="844"/>
      <c r="C143" s="150"/>
      <c r="D143" s="150"/>
    </row>
    <row r="144" spans="1:4" x14ac:dyDescent="0.2">
      <c r="A144" s="872" t="s">
        <v>4061</v>
      </c>
      <c r="B144" s="844" t="s">
        <v>4060</v>
      </c>
      <c r="C144" s="150"/>
      <c r="D144" s="692"/>
    </row>
    <row r="145" spans="1:4" x14ac:dyDescent="0.2">
      <c r="A145" s="872" t="s">
        <v>5073</v>
      </c>
      <c r="B145" s="844" t="s">
        <v>5245</v>
      </c>
      <c r="C145" s="150"/>
      <c r="D145" s="692"/>
    </row>
    <row r="146" spans="1:4" x14ac:dyDescent="0.2">
      <c r="A146" s="872" t="s">
        <v>2299</v>
      </c>
      <c r="B146" s="844" t="s">
        <v>4154</v>
      </c>
      <c r="C146" s="150"/>
      <c r="D146" s="692">
        <v>-625000</v>
      </c>
    </row>
    <row r="147" spans="1:4" x14ac:dyDescent="0.2">
      <c r="A147" s="872" t="s">
        <v>4153</v>
      </c>
      <c r="B147" s="844" t="s">
        <v>4155</v>
      </c>
      <c r="C147" s="150"/>
      <c r="D147" s="692"/>
    </row>
    <row r="148" spans="1:4" x14ac:dyDescent="0.2">
      <c r="A148" s="872" t="s">
        <v>6506</v>
      </c>
      <c r="B148" s="844" t="s">
        <v>6505</v>
      </c>
      <c r="C148" s="150"/>
      <c r="D148" s="692">
        <v>-20000</v>
      </c>
    </row>
    <row r="149" spans="1:4" x14ac:dyDescent="0.2">
      <c r="A149" s="627" t="s">
        <v>1528</v>
      </c>
      <c r="B149" s="844" t="s">
        <v>4154</v>
      </c>
      <c r="C149" s="150"/>
      <c r="D149" s="150"/>
    </row>
    <row r="150" spans="1:4" x14ac:dyDescent="0.2">
      <c r="A150" s="628" t="s">
        <v>1368</v>
      </c>
      <c r="B150" s="844" t="s">
        <v>324</v>
      </c>
      <c r="C150" s="150"/>
      <c r="D150" s="692"/>
    </row>
    <row r="151" spans="1:4" x14ac:dyDescent="0.2">
      <c r="A151" s="872" t="s">
        <v>4062</v>
      </c>
      <c r="B151" s="844" t="s">
        <v>4063</v>
      </c>
      <c r="C151" s="150"/>
      <c r="D151" s="692"/>
    </row>
    <row r="152" spans="1:4" x14ac:dyDescent="0.2">
      <c r="A152" s="872" t="s">
        <v>5216</v>
      </c>
      <c r="B152" s="844" t="s">
        <v>5250</v>
      </c>
      <c r="C152" s="150"/>
      <c r="D152" s="692"/>
    </row>
    <row r="153" spans="1:4" x14ac:dyDescent="0.2">
      <c r="A153" s="872" t="s">
        <v>4064</v>
      </c>
      <c r="B153" s="844" t="s">
        <v>4065</v>
      </c>
      <c r="C153" s="150"/>
      <c r="D153" s="692"/>
    </row>
    <row r="154" spans="1:4" x14ac:dyDescent="0.2">
      <c r="A154" s="627" t="s">
        <v>2134</v>
      </c>
      <c r="B154" s="844"/>
      <c r="C154" s="150"/>
      <c r="D154" s="150"/>
    </row>
    <row r="155" spans="1:4" x14ac:dyDescent="0.2">
      <c r="A155" s="872" t="s">
        <v>1801</v>
      </c>
      <c r="B155" s="844" t="s">
        <v>1802</v>
      </c>
      <c r="C155" s="150"/>
      <c r="D155" s="692"/>
    </row>
    <row r="156" spans="1:4" x14ac:dyDescent="0.2">
      <c r="A156" s="872" t="s">
        <v>5217</v>
      </c>
      <c r="B156" s="844" t="s">
        <v>5251</v>
      </c>
      <c r="C156" s="150"/>
      <c r="D156" s="692"/>
    </row>
    <row r="157" spans="1:4" x14ac:dyDescent="0.2">
      <c r="A157" s="872" t="s">
        <v>4066</v>
      </c>
      <c r="B157" s="844" t="s">
        <v>4067</v>
      </c>
      <c r="C157" s="150"/>
      <c r="D157" s="692"/>
    </row>
    <row r="158" spans="1:4" x14ac:dyDescent="0.2">
      <c r="A158" s="872" t="s">
        <v>3272</v>
      </c>
      <c r="B158" s="844" t="s">
        <v>3274</v>
      </c>
      <c r="C158" s="150"/>
      <c r="D158" s="692">
        <v>-20000</v>
      </c>
    </row>
    <row r="159" spans="1:4" x14ac:dyDescent="0.2">
      <c r="A159" s="872" t="s">
        <v>3275</v>
      </c>
      <c r="B159" s="844" t="s">
        <v>3276</v>
      </c>
      <c r="C159" s="150"/>
      <c r="D159" s="692">
        <v>-633000</v>
      </c>
    </row>
    <row r="160" spans="1:4" x14ac:dyDescent="0.2">
      <c r="A160" s="628"/>
      <c r="B160" s="844" t="s">
        <v>1143</v>
      </c>
      <c r="C160" s="692"/>
      <c r="D160" s="150"/>
    </row>
    <row r="161" spans="1:4" x14ac:dyDescent="0.2">
      <c r="A161" s="628"/>
      <c r="B161" s="844" t="s">
        <v>325</v>
      </c>
      <c r="C161" s="692"/>
      <c r="D161" s="150"/>
    </row>
    <row r="162" spans="1:4" x14ac:dyDescent="0.2">
      <c r="A162" s="627" t="s">
        <v>333</v>
      </c>
      <c r="B162" s="844"/>
      <c r="C162" s="150"/>
      <c r="D162" s="150"/>
    </row>
    <row r="163" spans="1:4" x14ac:dyDescent="0.2">
      <c r="A163" s="1953" t="s">
        <v>4767</v>
      </c>
      <c r="B163" s="844" t="s">
        <v>5252</v>
      </c>
      <c r="C163" s="150"/>
      <c r="D163" s="692">
        <v>-850000</v>
      </c>
    </row>
    <row r="164" spans="1:4" x14ac:dyDescent="0.2">
      <c r="A164" s="1953" t="s">
        <v>5218</v>
      </c>
      <c r="B164" s="844" t="s">
        <v>5253</v>
      </c>
      <c r="C164" s="150"/>
      <c r="D164" s="150"/>
    </row>
    <row r="165" spans="1:4" ht="12" customHeight="1" x14ac:dyDescent="0.2">
      <c r="A165" s="1953" t="s">
        <v>4070</v>
      </c>
      <c r="B165" s="844" t="s">
        <v>4071</v>
      </c>
      <c r="C165" s="150"/>
      <c r="D165" s="692"/>
    </row>
    <row r="166" spans="1:4" x14ac:dyDescent="0.2">
      <c r="A166" s="1953" t="s">
        <v>4072</v>
      </c>
      <c r="B166" s="844" t="s">
        <v>4073</v>
      </c>
      <c r="C166" s="150"/>
      <c r="D166" s="692"/>
    </row>
    <row r="167" spans="1:4" x14ac:dyDescent="0.2">
      <c r="A167" s="1953" t="s">
        <v>4074</v>
      </c>
      <c r="B167" s="844" t="s">
        <v>4075</v>
      </c>
      <c r="C167" s="150"/>
      <c r="D167" s="692"/>
    </row>
    <row r="168" spans="1:4" x14ac:dyDescent="0.2">
      <c r="A168" s="872" t="s">
        <v>4068</v>
      </c>
      <c r="B168" s="844" t="s">
        <v>4069</v>
      </c>
      <c r="C168" s="150"/>
      <c r="D168" s="692"/>
    </row>
    <row r="169" spans="1:4" x14ac:dyDescent="0.2">
      <c r="A169" s="1953" t="s">
        <v>4076</v>
      </c>
      <c r="B169" s="844" t="s">
        <v>4077</v>
      </c>
      <c r="C169" s="150"/>
      <c r="D169" s="692"/>
    </row>
    <row r="170" spans="1:4" x14ac:dyDescent="0.2">
      <c r="A170" s="1953" t="s">
        <v>4079</v>
      </c>
      <c r="B170" s="844" t="s">
        <v>4078</v>
      </c>
      <c r="C170" s="150"/>
      <c r="D170" s="692"/>
    </row>
    <row r="171" spans="1:4" x14ac:dyDescent="0.2">
      <c r="A171" s="1953" t="s">
        <v>4080</v>
      </c>
      <c r="B171" s="844" t="s">
        <v>4160</v>
      </c>
      <c r="C171" s="150"/>
      <c r="D171" s="692"/>
    </row>
    <row r="172" spans="1:4" x14ac:dyDescent="0.2">
      <c r="A172" s="1953" t="s">
        <v>4082</v>
      </c>
      <c r="B172" s="844" t="s">
        <v>4081</v>
      </c>
      <c r="C172" s="150"/>
      <c r="D172" s="692"/>
    </row>
    <row r="173" spans="1:4" x14ac:dyDescent="0.2">
      <c r="A173" s="1953" t="s">
        <v>4083</v>
      </c>
      <c r="B173" s="844" t="s">
        <v>4084</v>
      </c>
      <c r="C173" s="150"/>
      <c r="D173" s="692"/>
    </row>
    <row r="174" spans="1:4" x14ac:dyDescent="0.2">
      <c r="A174" s="1953" t="s">
        <v>4085</v>
      </c>
      <c r="B174" s="844" t="s">
        <v>4086</v>
      </c>
      <c r="C174" s="150"/>
      <c r="D174" s="692"/>
    </row>
    <row r="175" spans="1:4" x14ac:dyDescent="0.2">
      <c r="A175" s="1953" t="s">
        <v>4087</v>
      </c>
      <c r="B175" s="844" t="s">
        <v>4088</v>
      </c>
      <c r="C175" s="150"/>
      <c r="D175" s="692"/>
    </row>
    <row r="176" spans="1:4" x14ac:dyDescent="0.2">
      <c r="A176" s="1953" t="s">
        <v>4089</v>
      </c>
      <c r="B176" s="844" t="s">
        <v>4090</v>
      </c>
      <c r="C176" s="150"/>
      <c r="D176" s="692"/>
    </row>
    <row r="177" spans="1:4" x14ac:dyDescent="0.2">
      <c r="A177" s="1953" t="s">
        <v>4091</v>
      </c>
      <c r="B177" s="844" t="s">
        <v>4092</v>
      </c>
      <c r="C177" s="150"/>
      <c r="D177" s="692"/>
    </row>
    <row r="178" spans="1:4" x14ac:dyDescent="0.2">
      <c r="A178" s="1953" t="s">
        <v>4093</v>
      </c>
      <c r="B178" s="844" t="s">
        <v>4094</v>
      </c>
      <c r="C178" s="150"/>
      <c r="D178" s="692"/>
    </row>
    <row r="179" spans="1:4" x14ac:dyDescent="0.2">
      <c r="A179" s="1953" t="s">
        <v>4095</v>
      </c>
      <c r="B179" s="844" t="s">
        <v>4096</v>
      </c>
      <c r="C179" s="150"/>
      <c r="D179" s="692"/>
    </row>
    <row r="180" spans="1:4" x14ac:dyDescent="0.2">
      <c r="A180" s="1953" t="s">
        <v>4097</v>
      </c>
      <c r="B180" s="844" t="s">
        <v>4098</v>
      </c>
      <c r="C180" s="150"/>
      <c r="D180" s="692"/>
    </row>
    <row r="181" spans="1:4" x14ac:dyDescent="0.2">
      <c r="A181" s="1953" t="s">
        <v>4099</v>
      </c>
      <c r="B181" s="844" t="s">
        <v>3175</v>
      </c>
      <c r="C181" s="150"/>
      <c r="D181" s="692"/>
    </row>
    <row r="182" spans="1:4" x14ac:dyDescent="0.2">
      <c r="A182" s="1953" t="s">
        <v>3341</v>
      </c>
      <c r="B182" s="844" t="s">
        <v>3340</v>
      </c>
      <c r="C182" s="692"/>
      <c r="D182" s="33"/>
    </row>
    <row r="183" spans="1:4" x14ac:dyDescent="0.2">
      <c r="A183" s="371" t="s">
        <v>2390</v>
      </c>
      <c r="B183" s="844"/>
      <c r="C183" s="33"/>
      <c r="D183" s="33"/>
    </row>
    <row r="184" spans="1:4" x14ac:dyDescent="0.2">
      <c r="A184" s="891" t="s">
        <v>6388</v>
      </c>
      <c r="B184" s="844" t="s">
        <v>6387</v>
      </c>
      <c r="C184" s="33"/>
      <c r="D184" s="697">
        <v>-119000</v>
      </c>
    </row>
    <row r="185" spans="1:4" x14ac:dyDescent="0.2">
      <c r="A185" s="891" t="s">
        <v>6389</v>
      </c>
      <c r="B185" s="844" t="s">
        <v>6423</v>
      </c>
      <c r="C185" s="33"/>
      <c r="D185" s="697">
        <v>-50000</v>
      </c>
    </row>
    <row r="186" spans="1:4" x14ac:dyDescent="0.2">
      <c r="A186" s="891" t="s">
        <v>6390</v>
      </c>
      <c r="B186" s="844" t="s">
        <v>6424</v>
      </c>
      <c r="C186" s="33"/>
      <c r="D186" s="697">
        <v>-25000</v>
      </c>
    </row>
    <row r="187" spans="1:4" x14ac:dyDescent="0.2">
      <c r="A187" s="132" t="s">
        <v>5219</v>
      </c>
      <c r="B187" s="844" t="s">
        <v>5254</v>
      </c>
      <c r="C187" s="33"/>
      <c r="D187" s="697"/>
    </row>
    <row r="188" spans="1:4" x14ac:dyDescent="0.2">
      <c r="A188" s="132" t="s">
        <v>5220</v>
      </c>
      <c r="B188" s="844" t="s">
        <v>5255</v>
      </c>
      <c r="C188" s="33"/>
      <c r="D188" s="697"/>
    </row>
    <row r="189" spans="1:4" x14ac:dyDescent="0.2">
      <c r="A189" s="132" t="s">
        <v>4100</v>
      </c>
      <c r="B189" s="844" t="s">
        <v>4101</v>
      </c>
      <c r="C189" s="33"/>
      <c r="D189" s="697"/>
    </row>
    <row r="190" spans="1:4" x14ac:dyDescent="0.2">
      <c r="A190" s="132" t="s">
        <v>4102</v>
      </c>
      <c r="B190" s="844" t="s">
        <v>4103</v>
      </c>
      <c r="C190" s="33"/>
      <c r="D190" s="697"/>
    </row>
    <row r="191" spans="1:4" x14ac:dyDescent="0.2">
      <c r="A191" s="64" t="s">
        <v>1596</v>
      </c>
      <c r="B191" s="844"/>
      <c r="C191" s="33"/>
      <c r="D191" s="33"/>
    </row>
    <row r="192" spans="1:4" x14ac:dyDescent="0.2">
      <c r="A192" s="33" t="s">
        <v>67</v>
      </c>
      <c r="B192" s="844" t="s">
        <v>327</v>
      </c>
      <c r="C192" s="33"/>
      <c r="D192" s="697"/>
    </row>
    <row r="193" spans="1:4" x14ac:dyDescent="0.2">
      <c r="A193" s="33" t="s">
        <v>1774</v>
      </c>
      <c r="B193" s="844" t="s">
        <v>328</v>
      </c>
      <c r="C193" s="33"/>
      <c r="D193" s="697"/>
    </row>
    <row r="194" spans="1:4" x14ac:dyDescent="0.2">
      <c r="A194" s="627" t="s">
        <v>282</v>
      </c>
      <c r="B194" s="844"/>
      <c r="C194" s="33"/>
      <c r="D194" s="142"/>
    </row>
    <row r="195" spans="1:4" x14ac:dyDescent="0.2">
      <c r="A195" s="872" t="s">
        <v>3176</v>
      </c>
      <c r="B195" s="844" t="s">
        <v>3266</v>
      </c>
      <c r="C195" s="33"/>
      <c r="D195" s="692"/>
    </row>
    <row r="196" spans="1:4" x14ac:dyDescent="0.2">
      <c r="A196" s="872" t="s">
        <v>3179</v>
      </c>
      <c r="B196" s="844" t="s">
        <v>3345</v>
      </c>
      <c r="C196" s="33"/>
      <c r="D196" s="692"/>
    </row>
    <row r="197" spans="1:4" x14ac:dyDescent="0.2">
      <c r="A197" s="1138" t="s">
        <v>3141</v>
      </c>
      <c r="B197" s="844"/>
      <c r="C197" s="33"/>
      <c r="D197" s="33"/>
    </row>
    <row r="198" spans="1:4" x14ac:dyDescent="0.2">
      <c r="A198" s="872" t="s">
        <v>6391</v>
      </c>
      <c r="B198" s="844" t="s">
        <v>6499</v>
      </c>
      <c r="C198" s="33"/>
      <c r="D198" s="692">
        <v>-51000</v>
      </c>
    </row>
    <row r="199" spans="1:4" x14ac:dyDescent="0.2">
      <c r="A199" s="872" t="s">
        <v>3177</v>
      </c>
      <c r="B199" s="844" t="s">
        <v>3178</v>
      </c>
      <c r="C199" s="33"/>
      <c r="D199" s="692"/>
    </row>
    <row r="200" spans="1:4" x14ac:dyDescent="0.2">
      <c r="A200" s="1138" t="s">
        <v>3343</v>
      </c>
      <c r="B200" s="844"/>
      <c r="C200" s="33"/>
      <c r="D200" s="33"/>
    </row>
    <row r="201" spans="1:4" x14ac:dyDescent="0.2">
      <c r="A201" s="872" t="s">
        <v>3344</v>
      </c>
      <c r="B201" s="844" t="s">
        <v>837</v>
      </c>
      <c r="C201" s="33"/>
      <c r="D201" s="692"/>
    </row>
    <row r="202" spans="1:4" x14ac:dyDescent="0.2">
      <c r="A202" s="1138" t="s">
        <v>1236</v>
      </c>
      <c r="B202" s="844"/>
      <c r="C202" s="33"/>
      <c r="D202" s="33"/>
    </row>
    <row r="203" spans="1:4" x14ac:dyDescent="0.2">
      <c r="A203" s="628" t="s">
        <v>1125</v>
      </c>
      <c r="B203" s="844" t="s">
        <v>263</v>
      </c>
      <c r="C203" s="150"/>
      <c r="D203" s="692">
        <v>-50000</v>
      </c>
    </row>
    <row r="204" spans="1:4" x14ac:dyDescent="0.2">
      <c r="A204" s="628" t="s">
        <v>704</v>
      </c>
      <c r="B204" s="844" t="s">
        <v>264</v>
      </c>
      <c r="C204" s="692">
        <v>113600</v>
      </c>
      <c r="D204" s="150"/>
    </row>
    <row r="205" spans="1:4" x14ac:dyDescent="0.2">
      <c r="A205" s="1138" t="s">
        <v>3542</v>
      </c>
      <c r="B205" s="844"/>
      <c r="C205" s="150"/>
      <c r="D205" s="150"/>
    </row>
    <row r="206" spans="1:4" x14ac:dyDescent="0.2">
      <c r="A206" s="872" t="s">
        <v>6392</v>
      </c>
      <c r="B206" s="844" t="s">
        <v>6426</v>
      </c>
      <c r="C206" s="150"/>
      <c r="D206" s="692">
        <v>-625500</v>
      </c>
    </row>
    <row r="207" spans="1:4" x14ac:dyDescent="0.2">
      <c r="A207" s="872" t="s">
        <v>5155</v>
      </c>
      <c r="B207" s="844" t="s">
        <v>5256</v>
      </c>
      <c r="C207" s="692">
        <v>6700</v>
      </c>
      <c r="D207" s="150"/>
    </row>
    <row r="208" spans="1:4" x14ac:dyDescent="0.2">
      <c r="A208" s="872" t="s">
        <v>4104</v>
      </c>
      <c r="B208" s="844" t="s">
        <v>4105</v>
      </c>
      <c r="C208" s="150"/>
      <c r="D208" s="692"/>
    </row>
    <row r="209" spans="1:4" x14ac:dyDescent="0.2">
      <c r="A209" s="872" t="s">
        <v>4107</v>
      </c>
      <c r="B209" s="844" t="s">
        <v>4051</v>
      </c>
      <c r="C209" s="150"/>
      <c r="D209" s="692"/>
    </row>
    <row r="210" spans="1:4" x14ac:dyDescent="0.2">
      <c r="A210" s="872" t="s">
        <v>4108</v>
      </c>
      <c r="B210" s="844" t="s">
        <v>3224</v>
      </c>
      <c r="C210" s="150"/>
      <c r="D210" s="692"/>
    </row>
    <row r="211" spans="1:4" x14ac:dyDescent="0.2">
      <c r="A211" s="872" t="s">
        <v>4106</v>
      </c>
      <c r="B211" s="844" t="s">
        <v>3180</v>
      </c>
      <c r="C211" s="150"/>
      <c r="D211" s="692"/>
    </row>
    <row r="212" spans="1:4" x14ac:dyDescent="0.2">
      <c r="A212" s="627" t="s">
        <v>381</v>
      </c>
      <c r="B212" s="844"/>
      <c r="C212" s="150"/>
      <c r="D212" s="150"/>
    </row>
    <row r="213" spans="1:4" x14ac:dyDescent="0.2">
      <c r="A213" s="628" t="s">
        <v>313</v>
      </c>
      <c r="B213" s="844" t="s">
        <v>1127</v>
      </c>
      <c r="C213" s="150"/>
      <c r="D213" s="692">
        <v>-1510331</v>
      </c>
    </row>
    <row r="214" spans="1:4" x14ac:dyDescent="0.2">
      <c r="A214" s="628" t="s">
        <v>1126</v>
      </c>
      <c r="B214" s="844" t="s">
        <v>1128</v>
      </c>
      <c r="C214" s="692">
        <v>1132700</v>
      </c>
      <c r="D214" s="150"/>
    </row>
    <row r="215" spans="1:4" x14ac:dyDescent="0.2">
      <c r="A215" s="627" t="s">
        <v>1965</v>
      </c>
      <c r="B215" s="844"/>
      <c r="C215" s="150"/>
      <c r="D215" s="150"/>
    </row>
    <row r="216" spans="1:4" x14ac:dyDescent="0.2">
      <c r="A216" s="872" t="s">
        <v>3182</v>
      </c>
      <c r="B216" s="844" t="s">
        <v>1129</v>
      </c>
      <c r="C216" s="150"/>
      <c r="D216" s="692">
        <v>-252200</v>
      </c>
    </row>
    <row r="217" spans="1:4" x14ac:dyDescent="0.2">
      <c r="A217" s="872" t="s">
        <v>3181</v>
      </c>
      <c r="B217" s="844" t="s">
        <v>1233</v>
      </c>
      <c r="C217" s="692"/>
      <c r="D217" s="150"/>
    </row>
    <row r="218" spans="1:4" x14ac:dyDescent="0.2">
      <c r="A218" s="627" t="s">
        <v>1247</v>
      </c>
      <c r="B218" s="844"/>
      <c r="C218" s="150"/>
      <c r="D218" s="150"/>
    </row>
    <row r="219" spans="1:4" x14ac:dyDescent="0.2">
      <c r="A219" s="628" t="s">
        <v>772</v>
      </c>
      <c r="B219" s="844" t="s">
        <v>965</v>
      </c>
      <c r="C219" s="150"/>
      <c r="D219" s="692">
        <v>-188000</v>
      </c>
    </row>
    <row r="220" spans="1:4" x14ac:dyDescent="0.2">
      <c r="A220" s="872" t="s">
        <v>6037</v>
      </c>
      <c r="B220" s="844" t="s">
        <v>6413</v>
      </c>
      <c r="C220" s="150"/>
      <c r="D220" s="692">
        <v>-1000000</v>
      </c>
    </row>
    <row r="221" spans="1:4" x14ac:dyDescent="0.2">
      <c r="A221" s="872" t="s">
        <v>6393</v>
      </c>
      <c r="B221" s="844" t="s">
        <v>6425</v>
      </c>
      <c r="C221" s="150"/>
      <c r="D221" s="692">
        <v>-200000</v>
      </c>
    </row>
    <row r="222" spans="1:4" x14ac:dyDescent="0.2">
      <c r="A222" s="628" t="s">
        <v>771</v>
      </c>
      <c r="B222" s="844" t="s">
        <v>966</v>
      </c>
      <c r="C222" s="692">
        <v>746800</v>
      </c>
      <c r="D222" s="150"/>
    </row>
    <row r="223" spans="1:4" x14ac:dyDescent="0.2">
      <c r="A223" s="627" t="s">
        <v>2807</v>
      </c>
      <c r="B223" s="844"/>
      <c r="C223" s="150"/>
      <c r="D223" s="150"/>
    </row>
    <row r="224" spans="1:4" x14ac:dyDescent="0.2">
      <c r="A224" s="366" t="s">
        <v>772</v>
      </c>
      <c r="B224" s="844" t="s">
        <v>967</v>
      </c>
      <c r="C224" s="150"/>
      <c r="D224" s="692"/>
    </row>
    <row r="225" spans="1:20" x14ac:dyDescent="0.2">
      <c r="A225" s="366" t="s">
        <v>771</v>
      </c>
      <c r="B225" s="844" t="s">
        <v>968</v>
      </c>
      <c r="C225" s="692">
        <v>498500</v>
      </c>
      <c r="D225" s="152"/>
      <c r="E225" s="1039"/>
      <c r="F225" s="16"/>
      <c r="G225" s="16"/>
      <c r="H225" s="16"/>
      <c r="I225" s="16"/>
      <c r="J225" s="16"/>
      <c r="K225" s="16"/>
      <c r="L225" s="16"/>
      <c r="M225" s="16"/>
      <c r="N225" s="16"/>
      <c r="O225" s="16"/>
      <c r="P225" s="16"/>
      <c r="Q225" s="16"/>
      <c r="R225" s="16"/>
      <c r="S225" s="16"/>
      <c r="T225" s="16"/>
    </row>
    <row r="226" spans="1:20" ht="13.5" thickBot="1" x14ac:dyDescent="0.25">
      <c r="A226" s="693" t="s">
        <v>2151</v>
      </c>
      <c r="B226" s="844"/>
      <c r="C226" s="696">
        <f>SUBTOTAL(9,C6:C225)</f>
        <v>15586700</v>
      </c>
      <c r="D226" s="698">
        <f>SUBTOTAL(9,D6:D225)</f>
        <v>-15623831</v>
      </c>
      <c r="E226" s="63">
        <f>C226+D226</f>
        <v>-37131</v>
      </c>
      <c r="G226" s="2384">
        <v>-37131</v>
      </c>
      <c r="H226" s="2375" t="s">
        <v>6507</v>
      </c>
      <c r="I226" s="2375"/>
      <c r="J226" s="2375"/>
      <c r="K226" s="2375"/>
      <c r="L226" s="2375"/>
    </row>
    <row r="227" spans="1:20" ht="13.5" thickTop="1" x14ac:dyDescent="0.2">
      <c r="A227" s="401"/>
      <c r="B227" s="844"/>
      <c r="C227" s="156"/>
      <c r="D227" s="64"/>
      <c r="E227" s="63"/>
      <c r="G227" s="16"/>
      <c r="H227" s="16"/>
      <c r="I227" s="16"/>
      <c r="J227" s="16"/>
    </row>
    <row r="228" spans="1:20" x14ac:dyDescent="0.2">
      <c r="A228" s="401"/>
      <c r="B228" s="844"/>
      <c r="C228" s="156"/>
      <c r="D228" s="64"/>
      <c r="E228" s="63"/>
      <c r="G228" s="16"/>
      <c r="H228" s="16"/>
      <c r="I228" s="16"/>
      <c r="J228" s="16"/>
    </row>
    <row r="229" spans="1:20" x14ac:dyDescent="0.2">
      <c r="A229" s="401"/>
      <c r="B229" s="844"/>
      <c r="C229" s="156"/>
      <c r="D229" s="64"/>
      <c r="E229" s="133"/>
      <c r="F229" s="16"/>
      <c r="G229" s="16"/>
      <c r="H229" s="16"/>
      <c r="I229" s="16"/>
      <c r="J229" s="16"/>
      <c r="K229" s="16"/>
      <c r="L229" s="16"/>
      <c r="M229" s="16"/>
      <c r="N229" s="16"/>
      <c r="O229" s="16"/>
      <c r="P229" s="16"/>
      <c r="Q229" s="16"/>
      <c r="R229" s="16"/>
      <c r="S229" s="16"/>
    </row>
    <row r="230" spans="1:20" x14ac:dyDescent="0.2">
      <c r="A230" s="401"/>
      <c r="B230" s="844"/>
      <c r="C230" s="156"/>
      <c r="D230" s="64"/>
      <c r="E230" s="63"/>
      <c r="G230" s="16"/>
      <c r="H230" s="16"/>
      <c r="I230" s="16"/>
      <c r="J230" s="16"/>
    </row>
    <row r="231" spans="1:20" ht="13.5" thickBot="1" x14ac:dyDescent="0.25">
      <c r="A231" s="401"/>
      <c r="B231" s="844"/>
      <c r="C231" s="156"/>
      <c r="D231" s="64"/>
      <c r="E231" s="63"/>
      <c r="G231" s="16"/>
      <c r="H231" s="16"/>
      <c r="I231" s="16"/>
      <c r="J231" s="16"/>
    </row>
    <row r="232" spans="1:20" ht="13.5" thickTop="1" x14ac:dyDescent="0.2">
      <c r="A232" s="128" t="s">
        <v>1764</v>
      </c>
      <c r="B232" s="844"/>
      <c r="C232" s="699"/>
      <c r="D232" s="699"/>
    </row>
    <row r="233" spans="1:20" x14ac:dyDescent="0.2">
      <c r="A233" s="107" t="s">
        <v>1389</v>
      </c>
      <c r="B233" s="844" t="s">
        <v>969</v>
      </c>
      <c r="C233" s="150"/>
      <c r="D233" s="692">
        <f>-D264</f>
        <v>-1648000</v>
      </c>
      <c r="E233" s="1934" t="s">
        <v>5225</v>
      </c>
    </row>
    <row r="234" spans="1:20" x14ac:dyDescent="0.2">
      <c r="A234" s="71" t="s">
        <v>3234</v>
      </c>
      <c r="B234" s="844" t="s">
        <v>3236</v>
      </c>
      <c r="C234" s="150"/>
      <c r="D234" s="692">
        <v>0</v>
      </c>
      <c r="E234" s="1934" t="s">
        <v>6395</v>
      </c>
      <c r="K234" s="1943">
        <v>1</v>
      </c>
      <c r="L234" s="1944">
        <f>D234</f>
        <v>0</v>
      </c>
      <c r="M234" s="1943"/>
      <c r="N234" s="1943"/>
      <c r="O234" s="1943"/>
      <c r="P234" s="1943"/>
      <c r="Q234" s="1943"/>
      <c r="R234" s="1943"/>
    </row>
    <row r="235" spans="1:20" x14ac:dyDescent="0.2">
      <c r="A235" s="71" t="s">
        <v>3235</v>
      </c>
      <c r="B235" s="844" t="s">
        <v>3237</v>
      </c>
      <c r="C235" s="150"/>
      <c r="D235" s="692">
        <v>-100000</v>
      </c>
      <c r="E235" s="1934" t="s">
        <v>6396</v>
      </c>
      <c r="K235" s="1943">
        <v>2</v>
      </c>
      <c r="L235" s="1944">
        <f>D235</f>
        <v>-100000</v>
      </c>
      <c r="M235" s="1943"/>
      <c r="N235" s="1943"/>
      <c r="O235" s="1943"/>
      <c r="P235" s="1943"/>
      <c r="Q235" s="1943"/>
      <c r="R235" s="1943"/>
    </row>
    <row r="236" spans="1:20" x14ac:dyDescent="0.2">
      <c r="A236" s="107" t="s">
        <v>2166</v>
      </c>
      <c r="B236" s="844" t="s">
        <v>970</v>
      </c>
      <c r="C236" s="150"/>
      <c r="D236" s="692">
        <v>-1820000</v>
      </c>
      <c r="E236" s="1935" t="s">
        <v>5223</v>
      </c>
      <c r="K236" s="1943">
        <v>3</v>
      </c>
      <c r="L236" s="1944">
        <f>C238</f>
        <v>864100</v>
      </c>
      <c r="M236" s="1945"/>
      <c r="N236" s="1944"/>
      <c r="O236" s="1943"/>
      <c r="P236" s="1943"/>
      <c r="Q236" s="1943"/>
      <c r="R236" s="1943"/>
    </row>
    <row r="237" spans="1:20" x14ac:dyDescent="0.2">
      <c r="A237" s="107" t="s">
        <v>1692</v>
      </c>
      <c r="B237" s="844" t="s">
        <v>4162</v>
      </c>
      <c r="C237" s="692">
        <f>D269</f>
        <v>1512500</v>
      </c>
      <c r="D237" s="33"/>
      <c r="E237" s="1934" t="s">
        <v>5228</v>
      </c>
      <c r="K237" s="1943">
        <v>4</v>
      </c>
      <c r="L237" s="1944">
        <f>D262</f>
        <v>-1820000</v>
      </c>
      <c r="M237" s="1943" t="s">
        <v>2825</v>
      </c>
      <c r="N237" s="1944">
        <f>SUM(L234:L237)</f>
        <v>-1055900</v>
      </c>
      <c r="O237" s="1943" t="s">
        <v>6463</v>
      </c>
      <c r="P237" s="1943"/>
      <c r="Q237" s="1943"/>
      <c r="R237" s="1943"/>
      <c r="S237" t="s">
        <v>6466</v>
      </c>
    </row>
    <row r="238" spans="1:20" x14ac:dyDescent="0.2">
      <c r="A238" s="107" t="s">
        <v>1693</v>
      </c>
      <c r="B238" s="844" t="s">
        <v>193</v>
      </c>
      <c r="C238" s="692">
        <f>630000+234100</f>
        <v>864100</v>
      </c>
      <c r="D238" s="33"/>
      <c r="E238" s="1934" t="s">
        <v>6400</v>
      </c>
    </row>
    <row r="239" spans="1:20" x14ac:dyDescent="0.2">
      <c r="A239" s="107" t="s">
        <v>2152</v>
      </c>
      <c r="B239" s="844" t="s">
        <v>1496</v>
      </c>
      <c r="C239" s="692">
        <v>34000</v>
      </c>
      <c r="D239" s="692">
        <v>0</v>
      </c>
      <c r="E239" s="1934" t="s">
        <v>5230</v>
      </c>
    </row>
    <row r="240" spans="1:20" x14ac:dyDescent="0.2">
      <c r="A240" s="70" t="s">
        <v>2241</v>
      </c>
      <c r="B240" s="844"/>
      <c r="C240" s="150"/>
      <c r="D240" s="33"/>
      <c r="E240" s="16"/>
    </row>
    <row r="241" spans="1:19" x14ac:dyDescent="0.2">
      <c r="A241" s="107" t="s">
        <v>1388</v>
      </c>
      <c r="B241" s="844" t="s">
        <v>971</v>
      </c>
      <c r="C241" s="150"/>
      <c r="D241" s="656">
        <f>-D276</f>
        <v>-6358900</v>
      </c>
      <c r="E241" s="1940" t="s">
        <v>5234</v>
      </c>
    </row>
    <row r="242" spans="1:19" x14ac:dyDescent="0.2">
      <c r="A242" s="71" t="s">
        <v>3238</v>
      </c>
      <c r="B242" s="844" t="s">
        <v>3240</v>
      </c>
      <c r="C242" s="150"/>
      <c r="D242" s="656">
        <v>0</v>
      </c>
      <c r="E242" s="1940" t="s">
        <v>5231</v>
      </c>
    </row>
    <row r="243" spans="1:19" x14ac:dyDescent="0.2">
      <c r="A243" s="71" t="s">
        <v>3239</v>
      </c>
      <c r="B243" s="844" t="s">
        <v>3241</v>
      </c>
      <c r="C243" s="150"/>
      <c r="D243" s="656">
        <v>-340000</v>
      </c>
      <c r="E243" s="1940" t="s">
        <v>5232</v>
      </c>
      <c r="K243" s="1943">
        <v>1</v>
      </c>
      <c r="L243" s="1944">
        <f>D242</f>
        <v>0</v>
      </c>
      <c r="M243" s="1943"/>
      <c r="N243" s="1943"/>
      <c r="O243" s="1943"/>
      <c r="P243" s="1943"/>
      <c r="Q243" s="1943"/>
      <c r="R243" s="1943"/>
    </row>
    <row r="244" spans="1:19" x14ac:dyDescent="0.2">
      <c r="A244" s="107" t="s">
        <v>2165</v>
      </c>
      <c r="B244" s="844" t="s">
        <v>1344</v>
      </c>
      <c r="C244" s="150"/>
      <c r="D244" s="656">
        <v>-2264000</v>
      </c>
      <c r="E244" s="1941" t="s">
        <v>5237</v>
      </c>
      <c r="K244" s="1943">
        <v>2</v>
      </c>
      <c r="L244" s="1944">
        <f>D243</f>
        <v>-340000</v>
      </c>
      <c r="M244" s="1943"/>
      <c r="N244" s="1943"/>
      <c r="O244" s="1943"/>
      <c r="P244" s="1943"/>
      <c r="Q244" s="1943"/>
      <c r="R244" s="1943"/>
    </row>
    <row r="245" spans="1:19" x14ac:dyDescent="0.2">
      <c r="A245" s="107" t="s">
        <v>2832</v>
      </c>
      <c r="B245" s="844" t="s">
        <v>1345</v>
      </c>
      <c r="C245" s="692">
        <f>D280</f>
        <v>2999800</v>
      </c>
      <c r="D245" s="33"/>
      <c r="E245" s="1940" t="s">
        <v>5239</v>
      </c>
      <c r="K245" s="1943">
        <v>3</v>
      </c>
      <c r="L245" s="1944">
        <f>C246</f>
        <v>1466400</v>
      </c>
      <c r="M245" s="1945"/>
      <c r="N245" s="1944"/>
      <c r="O245" s="1943"/>
      <c r="P245" s="1943"/>
      <c r="Q245" s="1943"/>
      <c r="R245" s="1943"/>
    </row>
    <row r="246" spans="1:19" x14ac:dyDescent="0.2">
      <c r="A246" s="107" t="s">
        <v>2834</v>
      </c>
      <c r="B246" s="844" t="s">
        <v>1346</v>
      </c>
      <c r="C246" s="692">
        <f>1340000+126400</f>
        <v>1466400</v>
      </c>
      <c r="D246" s="33"/>
      <c r="E246" s="1940" t="s">
        <v>6399</v>
      </c>
      <c r="K246" s="1943">
        <v>4</v>
      </c>
      <c r="L246" s="1944">
        <f>D274</f>
        <v>-2264000</v>
      </c>
      <c r="M246" s="1943" t="s">
        <v>5257</v>
      </c>
      <c r="N246" s="1944">
        <f>SUM(L243:L246)</f>
        <v>-1137600</v>
      </c>
      <c r="O246" s="1943" t="s">
        <v>6462</v>
      </c>
      <c r="P246" s="1943"/>
      <c r="Q246" s="1943"/>
      <c r="R246" s="1943"/>
      <c r="S246" t="s">
        <v>6466</v>
      </c>
    </row>
    <row r="247" spans="1:19" x14ac:dyDescent="0.2">
      <c r="A247" s="107" t="s">
        <v>2153</v>
      </c>
      <c r="B247" s="844" t="s">
        <v>195</v>
      </c>
      <c r="C247" s="692">
        <v>20000</v>
      </c>
      <c r="D247" s="33"/>
      <c r="E247" s="1940" t="s">
        <v>5233</v>
      </c>
    </row>
    <row r="248" spans="1:19" x14ac:dyDescent="0.2">
      <c r="A248" s="693" t="s">
        <v>2833</v>
      </c>
      <c r="B248" s="844"/>
      <c r="C248" s="700">
        <f>SUM(C232:C247)</f>
        <v>6896800</v>
      </c>
      <c r="D248" s="700">
        <f>SUM(D232:D247)</f>
        <v>-12530900</v>
      </c>
      <c r="E248" s="87">
        <f>C248+D248</f>
        <v>-5634100</v>
      </c>
    </row>
    <row r="249" spans="1:19" x14ac:dyDescent="0.2">
      <c r="A249" s="107"/>
      <c r="B249" s="844"/>
      <c r="C249" s="33"/>
      <c r="D249" s="33"/>
      <c r="E249" s="16"/>
    </row>
    <row r="250" spans="1:19" ht="13.5" thickBot="1" x14ac:dyDescent="0.25">
      <c r="A250" s="613" t="s">
        <v>2393</v>
      </c>
      <c r="B250" s="695"/>
      <c r="C250" s="696">
        <f>C226+C248</f>
        <v>22483500</v>
      </c>
      <c r="D250" s="696">
        <f>D226+D248</f>
        <v>-28154731</v>
      </c>
      <c r="E250" s="16"/>
      <c r="G250" s="63"/>
    </row>
    <row r="251" spans="1:19" x14ac:dyDescent="0.2">
      <c r="A251" s="84"/>
      <c r="B251" s="376"/>
      <c r="C251" s="376"/>
      <c r="D251" s="84"/>
      <c r="E251" s="16"/>
    </row>
    <row r="252" spans="1:19" x14ac:dyDescent="0.2">
      <c r="A252" s="1117" t="s">
        <v>3186</v>
      </c>
      <c r="B252" s="2378"/>
      <c r="C252" s="639"/>
      <c r="D252" s="639"/>
      <c r="E252" s="16"/>
    </row>
    <row r="253" spans="1:19" x14ac:dyDescent="0.2">
      <c r="A253" s="779" t="s">
        <v>3183</v>
      </c>
      <c r="B253" s="2322" t="s">
        <v>6501</v>
      </c>
      <c r="C253" s="376"/>
      <c r="D253" s="1118">
        <v>-630000</v>
      </c>
      <c r="E253" s="1933" t="s">
        <v>6460</v>
      </c>
    </row>
    <row r="254" spans="1:19" x14ac:dyDescent="0.2">
      <c r="A254" s="779" t="s">
        <v>3184</v>
      </c>
      <c r="B254" s="2322" t="s">
        <v>6502</v>
      </c>
      <c r="C254" s="376"/>
      <c r="D254" s="1118">
        <v>-309400</v>
      </c>
      <c r="E254" s="1933" t="s">
        <v>6461</v>
      </c>
    </row>
    <row r="255" spans="1:19" x14ac:dyDescent="0.2">
      <c r="A255" s="84"/>
      <c r="B255" s="1119"/>
      <c r="C255" s="376"/>
      <c r="D255" s="84"/>
      <c r="E255" s="16"/>
    </row>
    <row r="256" spans="1:19" x14ac:dyDescent="0.2">
      <c r="A256" s="779" t="s">
        <v>3185</v>
      </c>
      <c r="B256" s="2322" t="s">
        <v>6503</v>
      </c>
      <c r="C256" s="376"/>
      <c r="D256" s="1118">
        <v>-1340000</v>
      </c>
      <c r="E256" s="1936" t="s">
        <v>6397</v>
      </c>
    </row>
    <row r="257" spans="1:17" x14ac:dyDescent="0.2">
      <c r="A257" s="779" t="s">
        <v>3184</v>
      </c>
      <c r="B257" s="2322" t="s">
        <v>6504</v>
      </c>
      <c r="C257" s="376"/>
      <c r="D257" s="1118">
        <v>-745000</v>
      </c>
      <c r="E257" s="1936" t="s">
        <v>6398</v>
      </c>
    </row>
    <row r="259" spans="1:17" x14ac:dyDescent="0.2">
      <c r="A259" s="1939"/>
      <c r="B259" s="2379"/>
      <c r="C259" s="1939"/>
      <c r="D259" s="1939"/>
      <c r="E259" s="1939"/>
      <c r="F259" s="1939"/>
      <c r="G259" s="1939"/>
      <c r="H259" s="1939"/>
      <c r="I259" s="1939"/>
      <c r="J259" s="1939"/>
      <c r="K259" s="1939"/>
      <c r="L259" s="1939"/>
      <c r="M259" s="1939"/>
      <c r="N259" s="1939"/>
      <c r="O259" s="1939"/>
      <c r="P259" s="1939"/>
      <c r="Q259" s="1939"/>
    </row>
    <row r="260" spans="1:17" x14ac:dyDescent="0.2">
      <c r="D260" s="99">
        <v>3534000</v>
      </c>
      <c r="E260" s="1934" t="s">
        <v>5222</v>
      </c>
    </row>
    <row r="261" spans="1:17" x14ac:dyDescent="0.2">
      <c r="D261" s="99">
        <v>34000</v>
      </c>
      <c r="E261" s="1934" t="s">
        <v>6394</v>
      </c>
    </row>
    <row r="262" spans="1:17" x14ac:dyDescent="0.2">
      <c r="D262" s="99">
        <v>-1820000</v>
      </c>
      <c r="E262" s="1935" t="s">
        <v>5223</v>
      </c>
    </row>
    <row r="263" spans="1:17" x14ac:dyDescent="0.2">
      <c r="D263" s="555">
        <f>D234+D235</f>
        <v>-100000</v>
      </c>
      <c r="E263" s="1935" t="s">
        <v>5224</v>
      </c>
    </row>
    <row r="264" spans="1:17" x14ac:dyDescent="0.2">
      <c r="D264" s="1938">
        <f>SUM(D260:D263)</f>
        <v>1648000</v>
      </c>
      <c r="E264" s="1937" t="s">
        <v>5226</v>
      </c>
      <c r="F264" t="s">
        <v>6513</v>
      </c>
    </row>
    <row r="267" spans="1:17" x14ac:dyDescent="0.2">
      <c r="D267" s="99">
        <v>1746600</v>
      </c>
      <c r="E267" s="1934" t="s">
        <v>5229</v>
      </c>
    </row>
    <row r="268" spans="1:17" x14ac:dyDescent="0.2">
      <c r="D268" s="99">
        <v>-234100</v>
      </c>
      <c r="E268" s="1934" t="s">
        <v>6464</v>
      </c>
    </row>
    <row r="269" spans="1:17" x14ac:dyDescent="0.2">
      <c r="D269" s="1938">
        <f>D267+D268</f>
        <v>1512500</v>
      </c>
      <c r="E269" s="1934" t="s">
        <v>5227</v>
      </c>
    </row>
    <row r="271" spans="1:17" x14ac:dyDescent="0.2">
      <c r="D271" s="99">
        <v>5985000</v>
      </c>
      <c r="E271" s="1940" t="s">
        <v>5236</v>
      </c>
    </row>
    <row r="272" spans="1:17" x14ac:dyDescent="0.2">
      <c r="D272" s="99">
        <v>2957900</v>
      </c>
      <c r="E272" s="1940" t="s">
        <v>5238</v>
      </c>
    </row>
    <row r="273" spans="4:5" x14ac:dyDescent="0.2">
      <c r="D273" s="99">
        <v>20000</v>
      </c>
      <c r="E273" s="1940" t="s">
        <v>6512</v>
      </c>
    </row>
    <row r="274" spans="4:5" x14ac:dyDescent="0.2">
      <c r="D274" s="99">
        <v>-2264000</v>
      </c>
      <c r="E274" s="1941" t="s">
        <v>5237</v>
      </c>
    </row>
    <row r="275" spans="4:5" x14ac:dyDescent="0.2">
      <c r="D275" s="555">
        <f>D242+D243</f>
        <v>-340000</v>
      </c>
      <c r="E275" s="1941" t="s">
        <v>5224</v>
      </c>
    </row>
    <row r="276" spans="4:5" x14ac:dyDescent="0.2">
      <c r="D276" s="1938">
        <f>SUM(D271:D275)</f>
        <v>6358900</v>
      </c>
      <c r="E276" s="1942" t="s">
        <v>5235</v>
      </c>
    </row>
    <row r="278" spans="4:5" x14ac:dyDescent="0.2">
      <c r="D278" s="99">
        <v>3126200</v>
      </c>
      <c r="E278" s="1940" t="s">
        <v>5241</v>
      </c>
    </row>
    <row r="279" spans="4:5" x14ac:dyDescent="0.2">
      <c r="D279" s="99">
        <v>-126400</v>
      </c>
      <c r="E279" s="1940" t="s">
        <v>6465</v>
      </c>
    </row>
    <row r="280" spans="4:5" x14ac:dyDescent="0.2">
      <c r="D280" s="1938">
        <f>D278+D279</f>
        <v>2999800</v>
      </c>
      <c r="E280" s="1940" t="s">
        <v>5240</v>
      </c>
    </row>
  </sheetData>
  <mergeCells count="1">
    <mergeCell ref="A1:D1"/>
  </mergeCells>
  <pageMargins left="0.70866141732283472" right="0.70866141732283472" top="0.74803149606299213" bottom="0.74803149606299213" header="0.31496062992125984" footer="0.31496062992125984"/>
  <pageSetup paperSize="8" scale="81"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8"/>
  <sheetViews>
    <sheetView topLeftCell="A46" workbookViewId="0">
      <selection activeCell="K83" sqref="K83"/>
    </sheetView>
  </sheetViews>
  <sheetFormatPr defaultRowHeight="12.75" x14ac:dyDescent="0.2"/>
  <cols>
    <col min="1" max="1" width="34.5703125" bestFit="1" customWidth="1"/>
    <col min="3" max="3" width="6.140625" bestFit="1" customWidth="1"/>
    <col min="4" max="4" width="9.140625" style="16"/>
    <col min="5" max="5" width="5.140625" style="16" bestFit="1" customWidth="1"/>
    <col min="17" max="17" width="5.85546875" style="388" customWidth="1"/>
    <col min="18" max="18" width="3" style="388" customWidth="1"/>
    <col min="19" max="19" width="56.42578125" customWidth="1"/>
    <col min="20" max="20" width="14.42578125" style="17" customWidth="1"/>
  </cols>
  <sheetData>
    <row r="1" spans="1:20" s="44" customFormat="1" ht="14.25" thickTop="1" thickBot="1" x14ac:dyDescent="0.25">
      <c r="A1" s="2720" t="s">
        <v>4575</v>
      </c>
      <c r="B1" s="2834" t="s">
        <v>1856</v>
      </c>
      <c r="C1" s="2833"/>
      <c r="D1" s="2832" t="s">
        <v>2253</v>
      </c>
      <c r="E1" s="2832"/>
      <c r="F1" s="2832"/>
      <c r="G1" s="2832"/>
      <c r="H1" s="2832"/>
      <c r="I1" s="2832"/>
      <c r="J1" s="2832"/>
      <c r="K1" s="2832"/>
      <c r="L1" s="2832"/>
      <c r="M1" s="2832"/>
      <c r="N1" s="2832"/>
      <c r="O1" s="2835"/>
      <c r="Q1" s="2450"/>
      <c r="R1" s="2451"/>
      <c r="S1" s="1579"/>
      <c r="T1" s="1899"/>
    </row>
    <row r="2" spans="1:20" s="23" customFormat="1" ht="13.5" thickBot="1" x14ac:dyDescent="0.25">
      <c r="A2" s="2705"/>
      <c r="B2" s="2718" t="str">
        <f>CIV!D1965</f>
        <v>2015/16</v>
      </c>
      <c r="C2" s="2718"/>
      <c r="D2" s="2718" t="str">
        <f>CIV!G1965</f>
        <v>2016/17</v>
      </c>
      <c r="E2" s="2718" t="str">
        <f>CIV!H1965</f>
        <v>%</v>
      </c>
      <c r="F2" s="2718" t="str">
        <f>CIV!I1965</f>
        <v>2017/18</v>
      </c>
      <c r="G2" s="2718" t="str">
        <f>CIV!J1965</f>
        <v>2018/19</v>
      </c>
      <c r="H2" s="2718" t="str">
        <f>CIV!K1965</f>
        <v>2019/20</v>
      </c>
      <c r="I2" s="2718" t="str">
        <f>CIV!L1965</f>
        <v>2020/21</v>
      </c>
      <c r="J2" s="2718" t="str">
        <f>CIV!M1965</f>
        <v>2021/22</v>
      </c>
      <c r="K2" s="2718" t="str">
        <f>CIV!N1965</f>
        <v>2022/23</v>
      </c>
      <c r="L2" s="2718" t="str">
        <f>CIV!O1965</f>
        <v>2023/24</v>
      </c>
      <c r="M2" s="2718" t="str">
        <f>CIV!P1965</f>
        <v>2024/25</v>
      </c>
      <c r="N2" s="232" t="str">
        <f>CIV!Q1965</f>
        <v>2025/26</v>
      </c>
      <c r="O2" s="2719" t="str">
        <f>CIV!R1965</f>
        <v>2026/27</v>
      </c>
      <c r="Q2" s="2452"/>
      <c r="R2" s="1424"/>
      <c r="S2" s="9"/>
      <c r="T2" s="760"/>
    </row>
    <row r="3" spans="1:20" s="84" customFormat="1" x14ac:dyDescent="0.2">
      <c r="A3" s="2706"/>
      <c r="B3" s="33"/>
      <c r="C3" s="33"/>
      <c r="D3" s="33"/>
      <c r="E3" s="33"/>
      <c r="F3" s="33"/>
      <c r="G3" s="33"/>
      <c r="H3" s="33"/>
      <c r="I3" s="33"/>
      <c r="J3" s="33"/>
      <c r="K3" s="33"/>
      <c r="L3" s="33"/>
      <c r="M3" s="33"/>
      <c r="N3" s="33"/>
      <c r="O3" s="114"/>
      <c r="Q3" s="3008" t="s">
        <v>6918</v>
      </c>
      <c r="R3" s="3009"/>
      <c r="S3" s="3009"/>
      <c r="T3" s="3010"/>
    </row>
    <row r="4" spans="1:20" s="84" customFormat="1" x14ac:dyDescent="0.2">
      <c r="A4" s="2707" t="s">
        <v>1073</v>
      </c>
      <c r="B4" s="33"/>
      <c r="C4" s="33"/>
      <c r="D4" s="33"/>
      <c r="E4" s="33"/>
      <c r="F4" s="33"/>
      <c r="G4" s="33"/>
      <c r="H4" s="33"/>
      <c r="I4" s="33"/>
      <c r="J4" s="33"/>
      <c r="K4" s="33"/>
      <c r="L4" s="33"/>
      <c r="M4" s="33"/>
      <c r="N4" s="33"/>
      <c r="O4" s="114"/>
      <c r="Q4" s="2441"/>
      <c r="R4" s="2442"/>
      <c r="S4" s="8"/>
      <c r="T4" s="760"/>
    </row>
    <row r="5" spans="1:20" s="84" customFormat="1" x14ac:dyDescent="0.2">
      <c r="A5" s="627" t="s">
        <v>60</v>
      </c>
      <c r="B5" s="189"/>
      <c r="C5" s="187"/>
      <c r="D5" s="187"/>
      <c r="E5" s="187"/>
      <c r="F5" s="579">
        <f>(F6-D6)/D6</f>
        <v>2.402014796159295E-2</v>
      </c>
      <c r="G5" s="579">
        <f>(G6-F6)/F6</f>
        <v>2.499385145105755E-2</v>
      </c>
      <c r="H5" s="579">
        <f t="shared" ref="H5:O5" si="0">(H6-G6)/G6</f>
        <v>2.4999250172460335E-2</v>
      </c>
      <c r="I5" s="579">
        <f t="shared" si="0"/>
        <v>2.4989392675825544E-2</v>
      </c>
      <c r="J5" s="579">
        <f t="shared" si="0"/>
        <v>2.5008207602380917E-2</v>
      </c>
      <c r="K5" s="579">
        <f t="shared" si="0"/>
        <v>2.4996866688019606E-2</v>
      </c>
      <c r="L5" s="579">
        <f t="shared" si="0"/>
        <v>2.4998641378185967E-2</v>
      </c>
      <c r="M5" s="579">
        <f t="shared" si="0"/>
        <v>2.4998674513546471E-2</v>
      </c>
      <c r="N5" s="579">
        <f t="shared" si="0"/>
        <v>2.4996767102030259E-2</v>
      </c>
      <c r="O5" s="2448">
        <f t="shared" si="0"/>
        <v>2.4992745669480086E-2</v>
      </c>
      <c r="Q5" s="3008" t="s">
        <v>6941</v>
      </c>
      <c r="R5" s="3009"/>
      <c r="S5" s="3009"/>
      <c r="T5" s="3010"/>
    </row>
    <row r="6" spans="1:20" s="84" customFormat="1" x14ac:dyDescent="0.2">
      <c r="A6" s="472" t="s">
        <v>341</v>
      </c>
      <c r="B6" s="189">
        <f>6134600+21700</f>
        <v>6156300</v>
      </c>
      <c r="C6" s="187"/>
      <c r="D6" s="187">
        <f>6329000+24000</f>
        <v>6353000</v>
      </c>
      <c r="E6" s="138"/>
      <c r="F6" s="187">
        <f>CIV!I1969+CIV!I1970</f>
        <v>6505600</v>
      </c>
      <c r="G6" s="187">
        <f>CIV!J1969+CIV!J1970</f>
        <v>6668200</v>
      </c>
      <c r="H6" s="187">
        <f>CIV!K1969+CIV!K1970</f>
        <v>6834900</v>
      </c>
      <c r="I6" s="187">
        <f>CIV!L1969+CIV!L1970</f>
        <v>7005700</v>
      </c>
      <c r="J6" s="187">
        <f>CIV!M1969+CIV!M1970</f>
        <v>7180900</v>
      </c>
      <c r="K6" s="187">
        <f>CIV!N1969+CIV!N1970</f>
        <v>7360400</v>
      </c>
      <c r="L6" s="187">
        <f>CIV!O1969+CIV!O1970</f>
        <v>7544400</v>
      </c>
      <c r="M6" s="187">
        <f>CIV!P1969+CIV!P1970</f>
        <v>7733000</v>
      </c>
      <c r="N6" s="187">
        <f>CIV!Q1969+CIV!Q1970</f>
        <v>7926300</v>
      </c>
      <c r="O6" s="188">
        <f>CIV!R1969+CIV!R1970</f>
        <v>8124400</v>
      </c>
      <c r="Q6" s="2441"/>
      <c r="R6" s="2442"/>
      <c r="S6" s="8"/>
      <c r="T6" s="760"/>
    </row>
    <row r="7" spans="1:20" s="84" customFormat="1" x14ac:dyDescent="0.2">
      <c r="A7" s="472"/>
      <c r="B7" s="189"/>
      <c r="C7" s="187"/>
      <c r="D7" s="187"/>
      <c r="E7" s="187"/>
      <c r="F7" s="187"/>
      <c r="G7" s="187"/>
      <c r="H7" s="187"/>
      <c r="I7" s="187"/>
      <c r="J7" s="187"/>
      <c r="K7" s="187"/>
      <c r="L7" s="187"/>
      <c r="M7" s="187"/>
      <c r="N7" s="187"/>
      <c r="O7" s="188"/>
      <c r="Q7" s="3008" t="s">
        <v>6919</v>
      </c>
      <c r="R7" s="3009"/>
      <c r="S7" s="3009"/>
      <c r="T7" s="3010"/>
    </row>
    <row r="8" spans="1:20" s="118" customFormat="1" x14ac:dyDescent="0.2">
      <c r="A8" s="1269" t="s">
        <v>428</v>
      </c>
      <c r="B8" s="2446"/>
      <c r="C8" s="1699"/>
      <c r="D8" s="1699"/>
      <c r="E8" s="1699"/>
      <c r="F8" s="1699"/>
      <c r="G8" s="1699"/>
      <c r="H8" s="1699"/>
      <c r="I8" s="1699"/>
      <c r="J8" s="1699"/>
      <c r="K8" s="1699"/>
      <c r="L8" s="1699"/>
      <c r="M8" s="1699"/>
      <c r="N8" s="1699"/>
      <c r="O8" s="2447"/>
      <c r="Q8" s="2441"/>
      <c r="R8" s="2442"/>
      <c r="S8" s="8"/>
      <c r="T8" s="760"/>
    </row>
    <row r="9" spans="1:20" s="133" customFormat="1" x14ac:dyDescent="0.2">
      <c r="A9" s="812" t="s">
        <v>6942</v>
      </c>
      <c r="B9" s="1012">
        <f>SUM(CIV!D1971:D1974)</f>
        <v>-124400</v>
      </c>
      <c r="C9" s="1011"/>
      <c r="D9" s="1011">
        <f>SUM(CIV!G1971:G1974)</f>
        <v>-126500</v>
      </c>
      <c r="E9" s="1011"/>
      <c r="F9" s="1011">
        <f>SUM(CIV!I1971:I1974)</f>
        <v>-137700</v>
      </c>
      <c r="G9" s="1011">
        <f>SUM(CIV!J1971:J1974)</f>
        <v>-138800</v>
      </c>
      <c r="H9" s="1011">
        <f>SUM(CIV!K1971:K1974)</f>
        <v>-139900</v>
      </c>
      <c r="I9" s="1011">
        <f>SUM(CIV!L1971:L1974)</f>
        <v>-141000</v>
      </c>
      <c r="J9" s="1011">
        <f>SUM(CIV!M1971:M1974)</f>
        <v>-142100</v>
      </c>
      <c r="K9" s="1011">
        <f>SUM(CIV!N1971:N1974)</f>
        <v>-143200</v>
      </c>
      <c r="L9" s="1011">
        <f>SUM(CIV!O1971:O1974)</f>
        <v>-144300</v>
      </c>
      <c r="M9" s="1011">
        <f>SUM(CIV!P1971:P1974)</f>
        <v>-145400</v>
      </c>
      <c r="N9" s="1011">
        <f>SUM(CIV!Q1971:Q1974)</f>
        <v>-146500</v>
      </c>
      <c r="O9" s="1696">
        <f>SUM(CIV!R1971:R1974)</f>
        <v>-147500</v>
      </c>
      <c r="Q9" s="856"/>
      <c r="R9" s="2462"/>
      <c r="S9" s="890"/>
      <c r="T9" s="2463"/>
    </row>
    <row r="10" spans="1:20" s="133" customFormat="1" x14ac:dyDescent="0.2">
      <c r="A10" s="812" t="s">
        <v>2671</v>
      </c>
      <c r="B10" s="1012">
        <f>SUM(CIV!D1976)</f>
        <v>47600</v>
      </c>
      <c r="C10" s="1012"/>
      <c r="D10" s="1012">
        <f>SUM(CIV!G1976)</f>
        <v>43000</v>
      </c>
      <c r="E10" s="1012"/>
      <c r="F10" s="1012">
        <f>SUM(CIV!I1976)</f>
        <v>50000</v>
      </c>
      <c r="G10" s="1012">
        <f>SUM(CIV!J1976)</f>
        <v>28000</v>
      </c>
      <c r="H10" s="1012">
        <f>SUM(CIV!K1976)</f>
        <v>42000</v>
      </c>
      <c r="I10" s="1012">
        <f>SUM(CIV!L1976)</f>
        <v>58000</v>
      </c>
      <c r="J10" s="1012">
        <f>SUM(CIV!M1976)</f>
        <v>34000</v>
      </c>
      <c r="K10" s="1012">
        <f>SUM(CIV!N1976)</f>
        <v>51000</v>
      </c>
      <c r="L10" s="1012">
        <f>SUM(CIV!O1976)</f>
        <v>69000</v>
      </c>
      <c r="M10" s="1012">
        <f>SUM(CIV!P1976)</f>
        <v>46000</v>
      </c>
      <c r="N10" s="1011">
        <f>SUM(CIV!Q1976)</f>
        <v>65000</v>
      </c>
      <c r="O10" s="1696">
        <f>SUM(CIV!R1976)</f>
        <v>65000</v>
      </c>
      <c r="Q10" s="856"/>
      <c r="R10" s="2462"/>
      <c r="S10" s="890"/>
      <c r="T10" s="2463"/>
    </row>
    <row r="11" spans="1:20" s="84" customFormat="1" x14ac:dyDescent="0.2">
      <c r="A11" s="812" t="s">
        <v>428</v>
      </c>
      <c r="B11" s="189">
        <f>SUM(CIV!D1971:D1979)-B9-B10</f>
        <v>0</v>
      </c>
      <c r="C11" s="187"/>
      <c r="D11" s="187">
        <f>SUM(CIV!G1971:G1979)-D9-D10</f>
        <v>0</v>
      </c>
      <c r="E11" s="138"/>
      <c r="F11" s="187">
        <f>SUM(CIV!I1971:I1979)-F9-F10</f>
        <v>0</v>
      </c>
      <c r="G11" s="187">
        <f>SUM(CIV!J1971:J1979)-G9-G10</f>
        <v>0</v>
      </c>
      <c r="H11" s="187">
        <f>SUM(CIV!K1971:K1979)-H9-H10</f>
        <v>0</v>
      </c>
      <c r="I11" s="187">
        <f>SUM(CIV!L1971:L1979)-I9-I10</f>
        <v>0</v>
      </c>
      <c r="J11" s="187">
        <f>SUM(CIV!M1971:M1979)-J9-J10</f>
        <v>0</v>
      </c>
      <c r="K11" s="187">
        <f>SUM(CIV!N1971:N1979)-K9-K10</f>
        <v>0</v>
      </c>
      <c r="L11" s="187">
        <f>SUM(CIV!O1971:O1979)-L9-L10</f>
        <v>0</v>
      </c>
      <c r="M11" s="187">
        <f>SUM(CIV!P1971:P1979)-M9-M10</f>
        <v>0</v>
      </c>
      <c r="N11" s="187">
        <f>SUM(CIV!Q1971:Q1979)-N9-N10</f>
        <v>0</v>
      </c>
      <c r="O11" s="188">
        <f>SUM(CIV!R1971:R1979)-O9-O10</f>
        <v>0</v>
      </c>
      <c r="Q11" s="2441" t="s">
        <v>6920</v>
      </c>
      <c r="R11" s="2453" t="s">
        <v>6921</v>
      </c>
      <c r="S11" s="1103"/>
      <c r="T11" s="2460" t="s">
        <v>6922</v>
      </c>
    </row>
    <row r="12" spans="1:20" s="84" customFormat="1" ht="13.5" thickBot="1" x14ac:dyDescent="0.25">
      <c r="A12" s="2706"/>
      <c r="B12" s="33"/>
      <c r="C12" s="33"/>
      <c r="D12" s="33"/>
      <c r="E12" s="33"/>
      <c r="F12" s="33"/>
      <c r="G12" s="33"/>
      <c r="H12" s="33"/>
      <c r="I12" s="33"/>
      <c r="J12" s="33"/>
      <c r="K12" s="33"/>
      <c r="L12" s="33"/>
      <c r="M12" s="33"/>
      <c r="N12" s="33"/>
      <c r="O12" s="114"/>
      <c r="Q12" s="2441"/>
      <c r="R12" s="2453"/>
      <c r="S12" s="1103"/>
      <c r="T12" s="2461"/>
    </row>
    <row r="13" spans="1:20" s="92" customFormat="1" x14ac:dyDescent="0.2">
      <c r="A13" s="2708"/>
      <c r="B13" s="53">
        <f t="shared" ref="B13:D13" si="1">SUM(B6:B12)</f>
        <v>6079500</v>
      </c>
      <c r="C13" s="53"/>
      <c r="D13" s="53">
        <f t="shared" si="1"/>
        <v>6269500</v>
      </c>
      <c r="E13" s="53"/>
      <c r="F13" s="53">
        <f>SUM(F6:F12)</f>
        <v>6417900</v>
      </c>
      <c r="G13" s="53">
        <f t="shared" ref="G13:N13" si="2">SUM(G6:G12)</f>
        <v>6557400</v>
      </c>
      <c r="H13" s="53">
        <f t="shared" si="2"/>
        <v>6737000</v>
      </c>
      <c r="I13" s="53">
        <f t="shared" si="2"/>
        <v>6922700</v>
      </c>
      <c r="J13" s="53">
        <f t="shared" si="2"/>
        <v>7072800</v>
      </c>
      <c r="K13" s="53">
        <f t="shared" si="2"/>
        <v>7268200</v>
      </c>
      <c r="L13" s="53">
        <f t="shared" si="2"/>
        <v>7469100</v>
      </c>
      <c r="M13" s="53">
        <f t="shared" si="2"/>
        <v>7633600</v>
      </c>
      <c r="N13" s="53">
        <f t="shared" si="2"/>
        <v>7844800</v>
      </c>
      <c r="O13" s="113">
        <f t="shared" ref="O13" si="3">SUM(O6:O12)</f>
        <v>8041900</v>
      </c>
      <c r="Q13" s="2441"/>
      <c r="R13" s="2454" t="s">
        <v>6923</v>
      </c>
      <c r="S13" s="1103" t="s">
        <v>6940</v>
      </c>
      <c r="T13" s="1900" t="s">
        <v>6924</v>
      </c>
    </row>
    <row r="14" spans="1:20" s="84" customFormat="1" x14ac:dyDescent="0.2">
      <c r="A14" s="2707" t="s">
        <v>2205</v>
      </c>
      <c r="B14" s="33"/>
      <c r="C14" s="33"/>
      <c r="D14" s="33"/>
      <c r="E14" s="33"/>
      <c r="F14" s="33"/>
      <c r="G14" s="33"/>
      <c r="H14" s="33"/>
      <c r="I14" s="33"/>
      <c r="J14" s="33"/>
      <c r="K14" s="33"/>
      <c r="L14" s="33"/>
      <c r="M14" s="33"/>
      <c r="N14" s="33"/>
      <c r="O14" s="114"/>
      <c r="Q14" s="2452"/>
      <c r="R14" s="1424"/>
      <c r="S14" s="1635"/>
      <c r="T14" s="760"/>
    </row>
    <row r="15" spans="1:20" s="84" customFormat="1" x14ac:dyDescent="0.2">
      <c r="A15" s="812" t="s">
        <v>473</v>
      </c>
      <c r="B15" s="33">
        <f>SUM(CIV!D1983:D1990)</f>
        <v>243000</v>
      </c>
      <c r="C15" s="33"/>
      <c r="D15" s="33">
        <f>SUM(CIV!G1983:G1990)</f>
        <v>218000</v>
      </c>
      <c r="E15" s="33">
        <f t="shared" ref="E15:E23" si="4">(D15-B15)/B15</f>
        <v>-0.102880658436214</v>
      </c>
      <c r="F15" s="33">
        <f>SUM(CIV!I1983:I1990)</f>
        <v>251000</v>
      </c>
      <c r="G15" s="33">
        <f>SUM(CIV!J1983:J1990)</f>
        <v>256000</v>
      </c>
      <c r="H15" s="33">
        <f>SUM(CIV!K1983:K1990)</f>
        <v>261000</v>
      </c>
      <c r="I15" s="33">
        <f>SUM(CIV!L1983:L1990)</f>
        <v>267000</v>
      </c>
      <c r="J15" s="33">
        <f>SUM(CIV!M1983:M1990)</f>
        <v>272000</v>
      </c>
      <c r="K15" s="33">
        <f>SUM(CIV!N1983:N1990)</f>
        <v>277000</v>
      </c>
      <c r="L15" s="33">
        <f>SUM(CIV!O1983:O1990)</f>
        <v>282000</v>
      </c>
      <c r="M15" s="33">
        <f>SUM(CIV!P1983:P1990)</f>
        <v>287000</v>
      </c>
      <c r="N15" s="33">
        <f>SUM(CIV!Q1983:Q1990)</f>
        <v>292000</v>
      </c>
      <c r="O15" s="114">
        <f>SUM(CIV!R1983:R1990)</f>
        <v>297000</v>
      </c>
      <c r="Q15" s="2452"/>
      <c r="R15" s="1424"/>
      <c r="S15" s="814" t="s">
        <v>6939</v>
      </c>
      <c r="T15" s="2467">
        <f>SUM(F17:F22)</f>
        <v>4898000</v>
      </c>
    </row>
    <row r="16" spans="1:20" s="84" customFormat="1" x14ac:dyDescent="0.2">
      <c r="A16" s="812" t="s">
        <v>1663</v>
      </c>
      <c r="B16" s="33">
        <f>CIV!D1992</f>
        <v>630000</v>
      </c>
      <c r="C16" s="33"/>
      <c r="D16" s="33">
        <f>CIV!G1992</f>
        <v>637000</v>
      </c>
      <c r="E16" s="33">
        <f t="shared" si="4"/>
        <v>1.1111111111111112E-2</v>
      </c>
      <c r="F16" s="33">
        <f>CIV!I1992</f>
        <v>677000</v>
      </c>
      <c r="G16" s="33">
        <f>CIV!J1992</f>
        <v>694000</v>
      </c>
      <c r="H16" s="33">
        <f>CIV!K1992</f>
        <v>711000</v>
      </c>
      <c r="I16" s="33">
        <f>CIV!L1992</f>
        <v>729000</v>
      </c>
      <c r="J16" s="33">
        <f>CIV!M1992</f>
        <v>744000</v>
      </c>
      <c r="K16" s="33">
        <f>CIV!N1992</f>
        <v>759000</v>
      </c>
      <c r="L16" s="33">
        <f>CIV!O1992</f>
        <v>774000</v>
      </c>
      <c r="M16" s="33">
        <f>CIV!P1992</f>
        <v>789000</v>
      </c>
      <c r="N16" s="33">
        <f>CIV!Q1992</f>
        <v>805000</v>
      </c>
      <c r="O16" s="114">
        <f>CIV!R1992</f>
        <v>821000</v>
      </c>
      <c r="Q16" s="2452"/>
      <c r="R16" s="1424"/>
      <c r="S16" s="1635" t="s">
        <v>473</v>
      </c>
      <c r="T16" s="2467">
        <f>F15+F16</f>
        <v>928000</v>
      </c>
    </row>
    <row r="17" spans="1:22" s="84" customFormat="1" x14ac:dyDescent="0.2">
      <c r="A17" s="71" t="s">
        <v>4411</v>
      </c>
      <c r="B17" s="33">
        <f>CIV!D1994</f>
        <v>-618900</v>
      </c>
      <c r="C17" s="33"/>
      <c r="D17" s="33">
        <f>CIV!G1994</f>
        <v>-621000</v>
      </c>
      <c r="E17" s="33">
        <f t="shared" si="4"/>
        <v>3.3931168201648087E-3</v>
      </c>
      <c r="F17" s="33">
        <f>CIV!I1994</f>
        <v>-630000</v>
      </c>
      <c r="G17" s="33">
        <f>CIV!J1994</f>
        <v>-646000</v>
      </c>
      <c r="H17" s="33">
        <f>CIV!K1994</f>
        <v>-662000</v>
      </c>
      <c r="I17" s="33">
        <f>CIV!L1994</f>
        <v>-679000</v>
      </c>
      <c r="J17" s="33">
        <f>CIV!M1994</f>
        <v>-693000</v>
      </c>
      <c r="K17" s="33">
        <f>CIV!N1994</f>
        <v>-707000</v>
      </c>
      <c r="L17" s="33">
        <f>CIV!O1994</f>
        <v>-721000</v>
      </c>
      <c r="M17" s="33">
        <f>CIV!P1994</f>
        <v>-735000</v>
      </c>
      <c r="N17" s="33">
        <f>CIV!Q1994</f>
        <v>-750000</v>
      </c>
      <c r="O17" s="114">
        <f>CIV!R1994</f>
        <v>-765000</v>
      </c>
      <c r="Q17" s="2452"/>
      <c r="R17" s="1424"/>
      <c r="S17" s="1635" t="s">
        <v>6925</v>
      </c>
      <c r="T17" s="2467">
        <f>F19</f>
        <v>0</v>
      </c>
    </row>
    <row r="18" spans="1:22" s="84" customFormat="1" x14ac:dyDescent="0.2">
      <c r="A18" s="812" t="s">
        <v>4834</v>
      </c>
      <c r="B18" s="33">
        <f>SUM(CIV!D1996:D1997)</f>
        <v>2900</v>
      </c>
      <c r="C18" s="33"/>
      <c r="D18" s="33">
        <f>SUM(CIV!G1996:G1997)</f>
        <v>3000</v>
      </c>
      <c r="E18" s="33">
        <f t="shared" si="4"/>
        <v>3.4482758620689655E-2</v>
      </c>
      <c r="F18" s="33">
        <f>SUM(CIV!I1996:I1997)</f>
        <v>3000</v>
      </c>
      <c r="G18" s="33">
        <f>SUM(CIV!J1996:J1997)</f>
        <v>3000</v>
      </c>
      <c r="H18" s="33">
        <f>SUM(CIV!K1996:K1997)</f>
        <v>3000</v>
      </c>
      <c r="I18" s="33">
        <f>SUM(CIV!L1996:L1997)</f>
        <v>3000</v>
      </c>
      <c r="J18" s="33">
        <f>SUM(CIV!M1996:M1997)</f>
        <v>3000</v>
      </c>
      <c r="K18" s="33">
        <f>SUM(CIV!N1996:N1997)</f>
        <v>3000</v>
      </c>
      <c r="L18" s="33">
        <f>SUM(CIV!O1996:O1997)</f>
        <v>3000</v>
      </c>
      <c r="M18" s="33">
        <f>SUM(CIV!P1996:P1997)</f>
        <v>3000</v>
      </c>
      <c r="N18" s="33">
        <f>SUM(CIV!Q1996:Q1997)</f>
        <v>3000</v>
      </c>
      <c r="O18" s="114">
        <f>SUM(CIV!R1996:R1997)</f>
        <v>3000</v>
      </c>
      <c r="Q18" s="2452"/>
      <c r="R18" s="1424"/>
      <c r="S18" s="1635" t="s">
        <v>6926</v>
      </c>
      <c r="T18" s="2467">
        <f>-F9</f>
        <v>137700</v>
      </c>
    </row>
    <row r="19" spans="1:22" s="84" customFormat="1" x14ac:dyDescent="0.2">
      <c r="A19" s="812" t="s">
        <v>1130</v>
      </c>
      <c r="B19" s="33">
        <f>CIV!D1999</f>
        <v>8000</v>
      </c>
      <c r="C19" s="33"/>
      <c r="D19" s="33">
        <f>CIV!G1999</f>
        <v>0</v>
      </c>
      <c r="E19" s="33">
        <f t="shared" si="4"/>
        <v>-1</v>
      </c>
      <c r="F19" s="33">
        <f>CIV!I1999</f>
        <v>0</v>
      </c>
      <c r="G19" s="33">
        <f>CIV!J1999</f>
        <v>0</v>
      </c>
      <c r="H19" s="33">
        <f>CIV!K1999</f>
        <v>0</v>
      </c>
      <c r="I19" s="33">
        <f>CIV!L1999</f>
        <v>0</v>
      </c>
      <c r="J19" s="33">
        <f>CIV!M1999</f>
        <v>0</v>
      </c>
      <c r="K19" s="33">
        <f>CIV!N1999</f>
        <v>0</v>
      </c>
      <c r="L19" s="33">
        <f>CIV!O1999</f>
        <v>0</v>
      </c>
      <c r="M19" s="33">
        <f>CIV!P1999</f>
        <v>0</v>
      </c>
      <c r="N19" s="33">
        <f>CIV!Q1999</f>
        <v>0</v>
      </c>
      <c r="O19" s="114">
        <f>CIV!R1999</f>
        <v>0</v>
      </c>
      <c r="Q19" s="2452"/>
      <c r="R19" s="1424"/>
      <c r="S19" s="1635" t="s">
        <v>2070</v>
      </c>
      <c r="T19" s="2467">
        <f>F23</f>
        <v>180600</v>
      </c>
    </row>
    <row r="20" spans="1:22" s="84" customFormat="1" x14ac:dyDescent="0.2">
      <c r="A20" s="812" t="s">
        <v>414</v>
      </c>
      <c r="B20" s="33">
        <f>SUM(CIV!D2001:D2006)</f>
        <v>3591400</v>
      </c>
      <c r="C20" s="33"/>
      <c r="D20" s="33">
        <f>SUM(CIV!G2001:G2006)</f>
        <v>3544000</v>
      </c>
      <c r="E20" s="33">
        <f t="shared" si="4"/>
        <v>-1.3198195689703179E-2</v>
      </c>
      <c r="F20" s="33">
        <f>SUM(CIV!I2001:I2006)</f>
        <v>3606000</v>
      </c>
      <c r="G20" s="33">
        <f>SUM(CIV!J2001:J2006)</f>
        <v>3695000</v>
      </c>
      <c r="H20" s="33">
        <f>SUM(CIV!K2001:K2006)</f>
        <v>3787000</v>
      </c>
      <c r="I20" s="33">
        <f>SUM(CIV!L2001:L2006)</f>
        <v>3882000</v>
      </c>
      <c r="J20" s="33">
        <f>SUM(CIV!M2001:M2006)</f>
        <v>3969000</v>
      </c>
      <c r="K20" s="33">
        <f>SUM(CIV!N2001:N2006)</f>
        <v>4059000</v>
      </c>
      <c r="L20" s="33">
        <f>SUM(CIV!O2001:O2006)</f>
        <v>4150000</v>
      </c>
      <c r="M20" s="33">
        <f>SUM(CIV!P2001:P2006)</f>
        <v>4245000</v>
      </c>
      <c r="N20" s="33">
        <f>SUM(CIV!Q2001:Q2006)</f>
        <v>4341000</v>
      </c>
      <c r="O20" s="114">
        <f>SUM(CIV!R2001:R2006)</f>
        <v>4440000</v>
      </c>
      <c r="Q20" s="2452"/>
      <c r="R20" s="1424"/>
      <c r="S20" s="814" t="s">
        <v>6947</v>
      </c>
      <c r="T20" s="2467">
        <f>SUM(F25:F32)</f>
        <v>0</v>
      </c>
    </row>
    <row r="21" spans="1:22" s="84" customFormat="1" x14ac:dyDescent="0.2">
      <c r="A21" s="812" t="s">
        <v>2422</v>
      </c>
      <c r="B21" s="33">
        <f>SUM(CIV!D2008:D2012)</f>
        <v>1507300</v>
      </c>
      <c r="C21" s="33"/>
      <c r="D21" s="33">
        <f>SUM(CIV!G2008:G2012)</f>
        <v>1490000</v>
      </c>
      <c r="E21" s="33">
        <f t="shared" si="4"/>
        <v>-1.147747628209381E-2</v>
      </c>
      <c r="F21" s="33">
        <f>SUM(CIV!I2008:I2012)</f>
        <v>1518000</v>
      </c>
      <c r="G21" s="33">
        <f>SUM(CIV!J2008:J2012)</f>
        <v>1556000</v>
      </c>
      <c r="H21" s="33">
        <f>SUM(CIV!K2008:K2012)</f>
        <v>1595000</v>
      </c>
      <c r="I21" s="33">
        <f>SUM(CIV!L2008:L2012)</f>
        <v>1634000</v>
      </c>
      <c r="J21" s="33">
        <f>SUM(CIV!M2008:M2012)</f>
        <v>1672000</v>
      </c>
      <c r="K21" s="33">
        <f>SUM(CIV!N2008:N2012)</f>
        <v>1711000</v>
      </c>
      <c r="L21" s="33">
        <f>SUM(CIV!O2008:O2012)</f>
        <v>1751000</v>
      </c>
      <c r="M21" s="33">
        <f>SUM(CIV!P2008:P2012)</f>
        <v>1792000</v>
      </c>
      <c r="N21" s="33">
        <f>SUM(CIV!Q2008:Q2012)</f>
        <v>1834000</v>
      </c>
      <c r="O21" s="114">
        <f>SUM(CIV!R2008:R2012)</f>
        <v>1877000</v>
      </c>
      <c r="Q21" s="2452"/>
      <c r="R21" s="1424"/>
      <c r="S21" s="1635"/>
      <c r="T21" s="88"/>
    </row>
    <row r="22" spans="1:22" s="84" customFormat="1" x14ac:dyDescent="0.2">
      <c r="A22" s="812" t="s">
        <v>508</v>
      </c>
      <c r="B22" s="33">
        <f>CIV!D2013</f>
        <v>375900</v>
      </c>
      <c r="C22" s="33"/>
      <c r="D22" s="33">
        <f>CIV!G2013</f>
        <v>395000</v>
      </c>
      <c r="E22" s="33">
        <f t="shared" si="4"/>
        <v>5.0811386006916731E-2</v>
      </c>
      <c r="F22" s="33">
        <f>CIV!I2013</f>
        <v>401000</v>
      </c>
      <c r="G22" s="33">
        <f>CIV!J2013</f>
        <v>411000</v>
      </c>
      <c r="H22" s="33">
        <f>CIV!K2013</f>
        <v>421000</v>
      </c>
      <c r="I22" s="33">
        <f>CIV!L2013</f>
        <v>432000</v>
      </c>
      <c r="J22" s="33">
        <f>CIV!M2013</f>
        <v>441000</v>
      </c>
      <c r="K22" s="33">
        <f>CIV!N2013</f>
        <v>450000</v>
      </c>
      <c r="L22" s="33">
        <f>CIV!O2013</f>
        <v>459000</v>
      </c>
      <c r="M22" s="33">
        <f>CIV!P2013</f>
        <v>468000</v>
      </c>
      <c r="N22" s="33">
        <f>CIV!Q2013</f>
        <v>477000</v>
      </c>
      <c r="O22" s="114">
        <f>CIV!R2013</f>
        <v>487000</v>
      </c>
      <c r="Q22" s="2441"/>
      <c r="R22" s="2442"/>
      <c r="S22" s="1103" t="s">
        <v>6927</v>
      </c>
      <c r="T22" s="1510">
        <f>SUM(T15:T21)</f>
        <v>6144300</v>
      </c>
      <c r="V22" s="84">
        <f>T22-T18</f>
        <v>6006600</v>
      </c>
    </row>
    <row r="23" spans="1:22" s="84" customFormat="1" x14ac:dyDescent="0.2">
      <c r="A23" s="812" t="s">
        <v>2070</v>
      </c>
      <c r="B23" s="33">
        <f>CIV!D2015</f>
        <v>177200</v>
      </c>
      <c r="C23" s="33"/>
      <c r="D23" s="33">
        <f>CIV!G2015</f>
        <v>177000</v>
      </c>
      <c r="E23" s="33">
        <f t="shared" si="4"/>
        <v>-1.128668171557562E-3</v>
      </c>
      <c r="F23" s="33">
        <f>CIV!I2015</f>
        <v>180600</v>
      </c>
      <c r="G23" s="33">
        <f>CIV!J2015</f>
        <v>184300</v>
      </c>
      <c r="H23" s="33">
        <f>CIV!K2015</f>
        <v>188000</v>
      </c>
      <c r="I23" s="33">
        <f>CIV!L2015</f>
        <v>191800</v>
      </c>
      <c r="J23" s="33">
        <f>CIV!M2015</f>
        <v>195700</v>
      </c>
      <c r="K23" s="33">
        <f>CIV!N2015</f>
        <v>199700</v>
      </c>
      <c r="L23" s="33">
        <f>CIV!O2015</f>
        <v>203700</v>
      </c>
      <c r="M23" s="33">
        <f>CIV!P2015</f>
        <v>207800</v>
      </c>
      <c r="N23" s="33">
        <f>CIV!Q2015</f>
        <v>212000</v>
      </c>
      <c r="O23" s="114">
        <f>CIV!R2015</f>
        <v>216300</v>
      </c>
      <c r="Q23" s="2452"/>
      <c r="R23" s="1424"/>
      <c r="S23" s="1635"/>
      <c r="T23" s="88"/>
    </row>
    <row r="24" spans="1:22" s="84" customFormat="1" x14ac:dyDescent="0.2">
      <c r="A24" s="818"/>
      <c r="B24" s="33"/>
      <c r="C24" s="33"/>
      <c r="D24" s="33"/>
      <c r="E24" s="33"/>
      <c r="F24" s="33"/>
      <c r="G24" s="33"/>
      <c r="H24" s="33"/>
      <c r="I24" s="33"/>
      <c r="J24" s="33"/>
      <c r="K24" s="33"/>
      <c r="L24" s="33"/>
      <c r="M24" s="33"/>
      <c r="N24" s="33"/>
      <c r="O24" s="114"/>
      <c r="Q24" s="2452"/>
      <c r="R24" s="1424"/>
      <c r="S24" s="9" t="s">
        <v>6928</v>
      </c>
      <c r="T24" s="88"/>
    </row>
    <row r="25" spans="1:22" s="84" customFormat="1" x14ac:dyDescent="0.2">
      <c r="A25" s="1225" t="s">
        <v>6916</v>
      </c>
      <c r="B25" s="33"/>
      <c r="C25" s="33"/>
      <c r="D25" s="33"/>
      <c r="E25" s="33"/>
      <c r="F25" s="33"/>
      <c r="G25" s="33"/>
      <c r="H25" s="33"/>
      <c r="I25" s="33"/>
      <c r="J25" s="33"/>
      <c r="K25" s="33"/>
      <c r="L25" s="33"/>
      <c r="M25" s="33"/>
      <c r="N25" s="33"/>
      <c r="O25" s="114"/>
      <c r="Q25" s="2452"/>
      <c r="R25" s="1424"/>
      <c r="S25" s="9" t="s">
        <v>6929</v>
      </c>
      <c r="T25" s="88"/>
    </row>
    <row r="26" spans="1:22" s="84" customFormat="1" x14ac:dyDescent="0.2">
      <c r="A26" s="936" t="s">
        <v>6945</v>
      </c>
      <c r="B26" s="132"/>
      <c r="C26" s="132"/>
      <c r="D26" s="132"/>
      <c r="E26" s="132"/>
      <c r="F26" s="132"/>
      <c r="G26" s="132"/>
      <c r="H26" s="132"/>
      <c r="I26" s="132"/>
      <c r="J26" s="132"/>
      <c r="K26" s="132"/>
      <c r="L26" s="132"/>
      <c r="M26" s="132"/>
      <c r="N26" s="132"/>
      <c r="O26" s="131"/>
      <c r="Q26" s="2452"/>
      <c r="R26" s="1424"/>
      <c r="S26" s="9" t="s">
        <v>6930</v>
      </c>
      <c r="T26" s="88"/>
    </row>
    <row r="27" spans="1:22" s="84" customFormat="1" x14ac:dyDescent="0.2">
      <c r="A27" s="936" t="s">
        <v>6944</v>
      </c>
      <c r="B27" s="132"/>
      <c r="C27" s="132"/>
      <c r="D27" s="132"/>
      <c r="E27" s="132"/>
      <c r="F27" s="132"/>
      <c r="G27" s="132"/>
      <c r="H27" s="132"/>
      <c r="I27" s="132"/>
      <c r="J27" s="132"/>
      <c r="K27" s="132"/>
      <c r="L27" s="132"/>
      <c r="M27" s="132"/>
      <c r="N27" s="132"/>
      <c r="O27" s="131"/>
      <c r="Q27" s="2452"/>
      <c r="R27" s="1424"/>
      <c r="S27" s="1635" t="s">
        <v>6931</v>
      </c>
      <c r="T27" s="88"/>
    </row>
    <row r="28" spans="1:22" s="84" customFormat="1" x14ac:dyDescent="0.2">
      <c r="A28" s="936" t="s">
        <v>6946</v>
      </c>
      <c r="B28" s="132"/>
      <c r="C28" s="132"/>
      <c r="D28" s="132"/>
      <c r="E28" s="132"/>
      <c r="F28" s="132"/>
      <c r="G28" s="132"/>
      <c r="H28" s="132"/>
      <c r="I28" s="132"/>
      <c r="J28" s="132"/>
      <c r="K28" s="132"/>
      <c r="L28" s="132"/>
      <c r="M28" s="132"/>
      <c r="N28" s="132"/>
      <c r="O28" s="131"/>
      <c r="Q28" s="2452"/>
      <c r="R28" s="1424"/>
      <c r="S28" s="1635"/>
      <c r="T28" s="88"/>
    </row>
    <row r="29" spans="1:22" s="92" customFormat="1" x14ac:dyDescent="0.2">
      <c r="A29" s="936" t="s">
        <v>6948</v>
      </c>
      <c r="B29" s="132"/>
      <c r="C29" s="132"/>
      <c r="D29" s="132"/>
      <c r="E29" s="132"/>
      <c r="F29" s="132"/>
      <c r="G29" s="132"/>
      <c r="H29" s="132"/>
      <c r="I29" s="132"/>
      <c r="J29" s="132"/>
      <c r="K29" s="132"/>
      <c r="L29" s="132"/>
      <c r="M29" s="132"/>
      <c r="N29" s="132"/>
      <c r="O29" s="131"/>
      <c r="Q29" s="2452"/>
      <c r="R29" s="2454" t="s">
        <v>6932</v>
      </c>
      <c r="S29" s="1103" t="s">
        <v>6933</v>
      </c>
      <c r="T29" s="88"/>
    </row>
    <row r="30" spans="1:22" s="84" customFormat="1" x14ac:dyDescent="0.2">
      <c r="A30" s="936"/>
      <c r="B30" s="132"/>
      <c r="C30" s="132"/>
      <c r="D30" s="132"/>
      <c r="E30" s="132"/>
      <c r="F30" s="132"/>
      <c r="G30" s="132"/>
      <c r="H30" s="132"/>
      <c r="I30" s="132"/>
      <c r="J30" s="132"/>
      <c r="K30" s="132"/>
      <c r="L30" s="132"/>
      <c r="M30" s="132"/>
      <c r="N30" s="132"/>
      <c r="O30" s="131"/>
      <c r="Q30" s="2452"/>
      <c r="R30" s="1424"/>
      <c r="S30" s="1635"/>
      <c r="T30" s="88"/>
    </row>
    <row r="31" spans="1:22" s="92" customFormat="1" x14ac:dyDescent="0.2">
      <c r="A31" s="818"/>
      <c r="B31" s="132"/>
      <c r="C31" s="132"/>
      <c r="D31" s="132"/>
      <c r="E31" s="132"/>
      <c r="F31" s="132"/>
      <c r="G31" s="132"/>
      <c r="H31" s="132"/>
      <c r="I31" s="132"/>
      <c r="J31" s="132"/>
      <c r="K31" s="132"/>
      <c r="L31" s="132"/>
      <c r="M31" s="132"/>
      <c r="N31" s="132"/>
      <c r="O31" s="131"/>
      <c r="Q31" s="2452"/>
      <c r="R31" s="1424"/>
      <c r="S31" s="1635" t="s">
        <v>60</v>
      </c>
      <c r="T31" s="2467">
        <f>F6</f>
        <v>6505600</v>
      </c>
    </row>
    <row r="32" spans="1:22" s="84" customFormat="1" x14ac:dyDescent="0.2">
      <c r="A32" s="818"/>
      <c r="B32" s="33"/>
      <c r="C32" s="33"/>
      <c r="D32" s="33"/>
      <c r="E32" s="33"/>
      <c r="F32" s="33"/>
      <c r="G32" s="33"/>
      <c r="H32" s="33"/>
      <c r="I32" s="33"/>
      <c r="J32" s="33"/>
      <c r="K32" s="33"/>
      <c r="L32" s="33"/>
      <c r="M32" s="33"/>
      <c r="N32" s="33"/>
      <c r="O32" s="114"/>
      <c r="Q32" s="2452"/>
      <c r="R32" s="1424"/>
      <c r="S32" s="1635" t="s">
        <v>609</v>
      </c>
      <c r="T32" s="2467">
        <f>F10</f>
        <v>50000</v>
      </c>
    </row>
    <row r="33" spans="1:23" s="92" customFormat="1" ht="13.5" thickBot="1" x14ac:dyDescent="0.25">
      <c r="A33" s="2706"/>
      <c r="B33" s="33"/>
      <c r="C33" s="33"/>
      <c r="D33" s="33"/>
      <c r="E33" s="33"/>
      <c r="F33" s="33"/>
      <c r="G33" s="33"/>
      <c r="H33" s="33"/>
      <c r="I33" s="33"/>
      <c r="J33" s="33"/>
      <c r="K33" s="33"/>
      <c r="L33" s="33"/>
      <c r="M33" s="33"/>
      <c r="N33" s="33"/>
      <c r="O33" s="114"/>
      <c r="Q33" s="2452"/>
      <c r="R33" s="1424"/>
      <c r="S33" s="1635"/>
      <c r="T33" s="88"/>
    </row>
    <row r="34" spans="1:23" s="84" customFormat="1" x14ac:dyDescent="0.2">
      <c r="A34" s="2709" t="s">
        <v>565</v>
      </c>
      <c r="B34" s="53">
        <f>SUM(B14:B33)</f>
        <v>5916800</v>
      </c>
      <c r="C34" s="53"/>
      <c r="D34" s="53">
        <f>SUM(D14:D33)</f>
        <v>5843000</v>
      </c>
      <c r="E34" s="53"/>
      <c r="F34" s="53">
        <f t="shared" ref="F34:N34" si="5">SUM(F14:F33)</f>
        <v>6006600</v>
      </c>
      <c r="G34" s="53">
        <f t="shared" si="5"/>
        <v>6153300</v>
      </c>
      <c r="H34" s="53">
        <f t="shared" si="5"/>
        <v>6304000</v>
      </c>
      <c r="I34" s="53">
        <f t="shared" si="5"/>
        <v>6459800</v>
      </c>
      <c r="J34" s="53">
        <f t="shared" si="5"/>
        <v>6603700</v>
      </c>
      <c r="K34" s="53">
        <f t="shared" si="5"/>
        <v>6751700</v>
      </c>
      <c r="L34" s="53">
        <f t="shared" si="5"/>
        <v>6901700</v>
      </c>
      <c r="M34" s="53">
        <f t="shared" si="5"/>
        <v>7056800</v>
      </c>
      <c r="N34" s="53">
        <f t="shared" si="5"/>
        <v>7214000</v>
      </c>
      <c r="O34" s="113">
        <f t="shared" ref="O34" si="6">SUM(O14:O33)</f>
        <v>7376300</v>
      </c>
      <c r="Q34" s="2441"/>
      <c r="R34" s="2442"/>
      <c r="S34" s="1103" t="s">
        <v>6934</v>
      </c>
      <c r="T34" s="1510">
        <f>SUM(T30:T33)</f>
        <v>6555600</v>
      </c>
      <c r="V34" s="84">
        <f>T34+T18</f>
        <v>6693300</v>
      </c>
    </row>
    <row r="35" spans="1:23" s="84" customFormat="1" x14ac:dyDescent="0.2">
      <c r="A35" s="2710"/>
      <c r="B35" s="33"/>
      <c r="C35" s="33"/>
      <c r="D35" s="33"/>
      <c r="E35" s="33"/>
      <c r="F35" s="33"/>
      <c r="G35" s="33"/>
      <c r="H35" s="33"/>
      <c r="I35" s="33"/>
      <c r="J35" s="33"/>
      <c r="K35" s="33"/>
      <c r="L35" s="33"/>
      <c r="M35" s="33"/>
      <c r="N35" s="33"/>
      <c r="O35" s="114"/>
      <c r="Q35" s="2452"/>
      <c r="R35" s="1424"/>
      <c r="S35" s="1635"/>
      <c r="T35" s="88"/>
    </row>
    <row r="36" spans="1:23" s="84" customFormat="1" x14ac:dyDescent="0.2">
      <c r="A36" s="2711" t="s">
        <v>1019</v>
      </c>
      <c r="B36" s="64">
        <f>B13-B34</f>
        <v>162700</v>
      </c>
      <c r="C36" s="64"/>
      <c r="D36" s="64">
        <f>D13-D34</f>
        <v>426500</v>
      </c>
      <c r="E36" s="64"/>
      <c r="F36" s="64">
        <f t="shared" ref="F36:N36" si="7">F13-F34</f>
        <v>411300</v>
      </c>
      <c r="G36" s="64">
        <f t="shared" si="7"/>
        <v>404100</v>
      </c>
      <c r="H36" s="64">
        <f t="shared" si="7"/>
        <v>433000</v>
      </c>
      <c r="I36" s="64">
        <f t="shared" si="7"/>
        <v>462900</v>
      </c>
      <c r="J36" s="64">
        <f t="shared" si="7"/>
        <v>469100</v>
      </c>
      <c r="K36" s="64">
        <f t="shared" si="7"/>
        <v>516500</v>
      </c>
      <c r="L36" s="64">
        <f t="shared" si="7"/>
        <v>567400</v>
      </c>
      <c r="M36" s="64">
        <f t="shared" si="7"/>
        <v>576800</v>
      </c>
      <c r="N36" s="64">
        <f t="shared" si="7"/>
        <v>630800</v>
      </c>
      <c r="O36" s="115">
        <f t="shared" ref="O36" si="8">O13-O34</f>
        <v>665600</v>
      </c>
      <c r="Q36" s="2441" t="s">
        <v>6935</v>
      </c>
      <c r="R36" s="2453" t="s">
        <v>6936</v>
      </c>
      <c r="S36" s="1103"/>
      <c r="T36" s="88"/>
    </row>
    <row r="37" spans="1:23" s="84" customFormat="1" x14ac:dyDescent="0.2">
      <c r="A37" s="2712" t="s">
        <v>1976</v>
      </c>
      <c r="B37" s="33">
        <f>B23</f>
        <v>177200</v>
      </c>
      <c r="C37" s="33"/>
      <c r="D37" s="33">
        <f t="shared" ref="D37:N37" si="9">D23</f>
        <v>177000</v>
      </c>
      <c r="E37" s="33">
        <f t="shared" si="9"/>
        <v>-1.128668171557562E-3</v>
      </c>
      <c r="F37" s="33">
        <f t="shared" si="9"/>
        <v>180600</v>
      </c>
      <c r="G37" s="33">
        <f t="shared" si="9"/>
        <v>184300</v>
      </c>
      <c r="H37" s="33">
        <f t="shared" si="9"/>
        <v>188000</v>
      </c>
      <c r="I37" s="33">
        <f t="shared" si="9"/>
        <v>191800</v>
      </c>
      <c r="J37" s="33">
        <f t="shared" si="9"/>
        <v>195700</v>
      </c>
      <c r="K37" s="33">
        <f t="shared" si="9"/>
        <v>199700</v>
      </c>
      <c r="L37" s="33">
        <f t="shared" si="9"/>
        <v>203700</v>
      </c>
      <c r="M37" s="33">
        <f t="shared" si="9"/>
        <v>207800</v>
      </c>
      <c r="N37" s="33">
        <f t="shared" si="9"/>
        <v>212000</v>
      </c>
      <c r="O37" s="114">
        <f t="shared" ref="O37" si="10">O23</f>
        <v>216300</v>
      </c>
      <c r="Q37" s="2452"/>
      <c r="R37" s="1424"/>
      <c r="S37" s="1635"/>
      <c r="T37" s="88"/>
    </row>
    <row r="38" spans="1:23" s="84" customFormat="1" x14ac:dyDescent="0.2">
      <c r="A38" s="2713" t="s">
        <v>1687</v>
      </c>
      <c r="B38" s="397">
        <f t="shared" ref="B38:N38" si="11">B36+B37</f>
        <v>339900</v>
      </c>
      <c r="C38" s="397"/>
      <c r="D38" s="397">
        <f>D36+D37</f>
        <v>603500</v>
      </c>
      <c r="E38" s="397"/>
      <c r="F38" s="397">
        <f>F36+F37</f>
        <v>591900</v>
      </c>
      <c r="G38" s="397">
        <f t="shared" si="11"/>
        <v>588400</v>
      </c>
      <c r="H38" s="397">
        <f t="shared" si="11"/>
        <v>621000</v>
      </c>
      <c r="I38" s="397">
        <f t="shared" si="11"/>
        <v>654700</v>
      </c>
      <c r="J38" s="397">
        <f t="shared" si="11"/>
        <v>664800</v>
      </c>
      <c r="K38" s="397">
        <f t="shared" si="11"/>
        <v>716200</v>
      </c>
      <c r="L38" s="397">
        <f t="shared" si="11"/>
        <v>771100</v>
      </c>
      <c r="M38" s="397">
        <f t="shared" si="11"/>
        <v>784600</v>
      </c>
      <c r="N38" s="397">
        <f t="shared" si="11"/>
        <v>842800</v>
      </c>
      <c r="O38" s="399">
        <f t="shared" ref="O38" si="12">O36+O37</f>
        <v>881900</v>
      </c>
      <c r="Q38" s="2452"/>
      <c r="R38" s="2455" t="s">
        <v>6923</v>
      </c>
      <c r="S38" s="1635" t="s">
        <v>6927</v>
      </c>
      <c r="T38" s="88">
        <f>T22</f>
        <v>6144300</v>
      </c>
    </row>
    <row r="39" spans="1:23" s="84" customFormat="1" ht="13.5" thickBot="1" x14ac:dyDescent="0.25">
      <c r="A39" s="2714"/>
      <c r="B39" s="90"/>
      <c r="C39" s="90"/>
      <c r="D39" s="90"/>
      <c r="E39" s="64"/>
      <c r="F39" s="121"/>
      <c r="G39" s="121"/>
      <c r="H39" s="121"/>
      <c r="I39" s="121"/>
      <c r="J39" s="121"/>
      <c r="K39" s="121"/>
      <c r="L39" s="121"/>
      <c r="M39" s="121"/>
      <c r="N39" s="121"/>
      <c r="O39" s="161"/>
      <c r="Q39" s="2452"/>
      <c r="R39" s="1424"/>
      <c r="S39" s="1635"/>
      <c r="T39" s="88"/>
    </row>
    <row r="40" spans="1:23" s="84" customFormat="1" ht="13.5" thickTop="1" x14ac:dyDescent="0.2">
      <c r="A40" s="2715"/>
      <c r="B40" s="162"/>
      <c r="C40" s="162"/>
      <c r="D40" s="162"/>
      <c r="E40" s="162"/>
      <c r="F40" s="127"/>
      <c r="G40" s="127"/>
      <c r="H40" s="127"/>
      <c r="I40" s="127"/>
      <c r="J40" s="127"/>
      <c r="K40" s="127"/>
      <c r="L40" s="127"/>
      <c r="M40" s="127"/>
      <c r="N40" s="127"/>
      <c r="O40" s="163"/>
      <c r="Q40" s="2452"/>
      <c r="R40" s="2456" t="s">
        <v>6932</v>
      </c>
      <c r="S40" s="1635" t="s">
        <v>6937</v>
      </c>
      <c r="T40" s="88">
        <f>T34-T38</f>
        <v>411300</v>
      </c>
      <c r="V40" s="84">
        <f>T40-F36</f>
        <v>0</v>
      </c>
      <c r="W40" s="133"/>
    </row>
    <row r="41" spans="1:23" s="84" customFormat="1" x14ac:dyDescent="0.2">
      <c r="A41" s="2711" t="s">
        <v>196</v>
      </c>
      <c r="B41" s="64"/>
      <c r="C41" s="64"/>
      <c r="D41" s="64"/>
      <c r="E41" s="64"/>
      <c r="F41" s="33"/>
      <c r="G41" s="33"/>
      <c r="H41" s="33"/>
      <c r="I41" s="33"/>
      <c r="J41" s="33"/>
      <c r="K41" s="33"/>
      <c r="L41" s="33"/>
      <c r="M41" s="33"/>
      <c r="N41" s="33"/>
      <c r="O41" s="114"/>
      <c r="Q41" s="2452"/>
      <c r="R41" s="1424"/>
      <c r="S41" s="1635"/>
      <c r="T41" s="88"/>
      <c r="W41" s="133"/>
    </row>
    <row r="42" spans="1:23" s="92" customFormat="1" ht="13.5" thickBot="1" x14ac:dyDescent="0.25">
      <c r="A42" s="628" t="str">
        <f>CIV!F2025</f>
        <v>Less Loan Principal Repayments</v>
      </c>
      <c r="B42" s="142">
        <f>CIV!D2025</f>
        <v>162600</v>
      </c>
      <c r="C42" s="33"/>
      <c r="D42" s="33">
        <f>CIV!G2025</f>
        <v>0</v>
      </c>
      <c r="E42" s="33">
        <f>CIV!H2025</f>
        <v>0</v>
      </c>
      <c r="F42" s="33">
        <f>CIV!I2025</f>
        <v>0</v>
      </c>
      <c r="G42" s="33">
        <f>CIV!J2025</f>
        <v>0</v>
      </c>
      <c r="H42" s="33">
        <f>CIV!K2025</f>
        <v>0</v>
      </c>
      <c r="I42" s="33">
        <f>CIV!L2025</f>
        <v>0</v>
      </c>
      <c r="J42" s="33">
        <f>CIV!M2025</f>
        <v>0</v>
      </c>
      <c r="K42" s="33">
        <f>CIV!N2025</f>
        <v>0</v>
      </c>
      <c r="L42" s="33">
        <f>CIV!O2025</f>
        <v>0</v>
      </c>
      <c r="M42" s="33">
        <f>CIV!P2025</f>
        <v>0</v>
      </c>
      <c r="N42" s="33">
        <f>CIV!Q2025</f>
        <v>0</v>
      </c>
      <c r="O42" s="114">
        <f>CIV!R2025</f>
        <v>0</v>
      </c>
      <c r="Q42" s="2441"/>
      <c r="R42" s="8"/>
      <c r="S42" s="2457" t="s">
        <v>6938</v>
      </c>
      <c r="T42" s="2468">
        <f>SUM(T38:T41)</f>
        <v>6555600</v>
      </c>
    </row>
    <row r="43" spans="1:23" s="84" customFormat="1" ht="13.5" thickTop="1" x14ac:dyDescent="0.2">
      <c r="A43" s="628" t="str">
        <f>CIV!F2026</f>
        <v>Less Transfer to Reserves</v>
      </c>
      <c r="B43" s="33">
        <f>CIV!D2026</f>
        <v>339900</v>
      </c>
      <c r="C43" s="33"/>
      <c r="D43" s="33">
        <f>CIV!G2026</f>
        <v>628500</v>
      </c>
      <c r="E43" s="33">
        <f>CIV!H2026</f>
        <v>0</v>
      </c>
      <c r="F43" s="33">
        <f>F38</f>
        <v>591900</v>
      </c>
      <c r="G43" s="33">
        <f t="shared" ref="G43:N43" si="13">G38</f>
        <v>588400</v>
      </c>
      <c r="H43" s="33">
        <f t="shared" si="13"/>
        <v>621000</v>
      </c>
      <c r="I43" s="33">
        <f t="shared" si="13"/>
        <v>654700</v>
      </c>
      <c r="J43" s="33">
        <f t="shared" si="13"/>
        <v>664800</v>
      </c>
      <c r="K43" s="33">
        <f t="shared" si="13"/>
        <v>716200</v>
      </c>
      <c r="L43" s="33">
        <f t="shared" si="13"/>
        <v>771100</v>
      </c>
      <c r="M43" s="33">
        <f t="shared" si="13"/>
        <v>784600</v>
      </c>
      <c r="N43" s="33">
        <f t="shared" si="13"/>
        <v>842800</v>
      </c>
      <c r="O43" s="114">
        <f t="shared" ref="O43" si="14">O38</f>
        <v>881900</v>
      </c>
      <c r="Q43" s="2452"/>
      <c r="R43" s="1424"/>
      <c r="S43" s="9"/>
      <c r="T43" s="760"/>
    </row>
    <row r="44" spans="1:23" x14ac:dyDescent="0.2">
      <c r="A44" s="628" t="str">
        <f>CIV!F2027</f>
        <v>Add Transfer from Reserves</v>
      </c>
      <c r="B44" s="33">
        <f>CIV!D2027</f>
        <v>541900</v>
      </c>
      <c r="C44" s="33"/>
      <c r="D44" s="33">
        <f>CIV!G2027</f>
        <v>0</v>
      </c>
      <c r="E44" s="33">
        <f>CIV!H2027</f>
        <v>0</v>
      </c>
      <c r="F44" s="33">
        <f>F46</f>
        <v>1500000</v>
      </c>
      <c r="G44" s="33">
        <f t="shared" ref="G44:N44" si="15">G46</f>
        <v>0</v>
      </c>
      <c r="H44" s="33">
        <f t="shared" si="15"/>
        <v>0</v>
      </c>
      <c r="I44" s="33">
        <f t="shared" si="15"/>
        <v>1600000</v>
      </c>
      <c r="J44" s="33">
        <f t="shared" si="15"/>
        <v>0</v>
      </c>
      <c r="K44" s="33">
        <f t="shared" si="15"/>
        <v>0</v>
      </c>
      <c r="L44" s="33">
        <f t="shared" si="15"/>
        <v>1700000</v>
      </c>
      <c r="M44" s="33">
        <f t="shared" si="15"/>
        <v>0</v>
      </c>
      <c r="N44" s="33">
        <f t="shared" si="15"/>
        <v>0</v>
      </c>
      <c r="O44" s="114">
        <f t="shared" ref="O44" si="16">O46</f>
        <v>1800000</v>
      </c>
      <c r="Q44" s="2452"/>
      <c r="R44" s="1424"/>
      <c r="S44" s="9"/>
      <c r="T44" s="760"/>
    </row>
    <row r="45" spans="1:23" ht="13.5" thickBot="1" x14ac:dyDescent="0.25">
      <c r="A45" s="628" t="str">
        <f>CIV!F2028</f>
        <v>Add Capital Income Applied</v>
      </c>
      <c r="B45" s="33">
        <f>CIV!D2028</f>
        <v>0</v>
      </c>
      <c r="C45" s="33"/>
      <c r="D45" s="33">
        <f>CIV!G2028</f>
        <v>0</v>
      </c>
      <c r="E45" s="33">
        <f>CIV!H2028</f>
        <v>0</v>
      </c>
      <c r="F45" s="33">
        <f>CIV!I2028</f>
        <v>0</v>
      </c>
      <c r="G45" s="33">
        <f>CIV!J2028</f>
        <v>0</v>
      </c>
      <c r="H45" s="33">
        <f>CIV!K2028</f>
        <v>0</v>
      </c>
      <c r="I45" s="33">
        <f>CIV!L2028</f>
        <v>0</v>
      </c>
      <c r="J45" s="33">
        <f>CIV!M2028</f>
        <v>0</v>
      </c>
      <c r="K45" s="33">
        <f>CIV!N2028</f>
        <v>0</v>
      </c>
      <c r="L45" s="33">
        <f>CIV!O2028</f>
        <v>0</v>
      </c>
      <c r="M45" s="33">
        <f>CIV!P2028</f>
        <v>0</v>
      </c>
      <c r="N45" s="33">
        <f>CIV!Q2028</f>
        <v>0</v>
      </c>
      <c r="O45" s="114">
        <f>CIV!R2028</f>
        <v>0</v>
      </c>
      <c r="Q45" s="2458"/>
      <c r="R45" s="2459"/>
      <c r="S45" s="12"/>
      <c r="T45" s="763"/>
    </row>
    <row r="46" spans="1:23" ht="13.5" thickTop="1" x14ac:dyDescent="0.2">
      <c r="A46" s="628" t="str">
        <f>CIV!F2029</f>
        <v>Less Capital Expenditure</v>
      </c>
      <c r="B46" s="33">
        <f>CIV!D2029</f>
        <v>379300</v>
      </c>
      <c r="C46" s="33"/>
      <c r="D46" s="33">
        <f>CIV!G2029</f>
        <v>0</v>
      </c>
      <c r="E46" s="33">
        <f>CIV!H2029</f>
        <v>0</v>
      </c>
      <c r="F46" s="33">
        <f>CIV!I2029</f>
        <v>1500000</v>
      </c>
      <c r="G46" s="33">
        <f>CIV!J2029</f>
        <v>0</v>
      </c>
      <c r="H46" s="33">
        <f>CIV!K2029</f>
        <v>0</v>
      </c>
      <c r="I46" s="33">
        <f>CIV!L2029</f>
        <v>1600000</v>
      </c>
      <c r="J46" s="33">
        <f>CIV!M2029</f>
        <v>0</v>
      </c>
      <c r="K46" s="33">
        <f>CIV!N2029</f>
        <v>0</v>
      </c>
      <c r="L46" s="33">
        <f>CIV!O2029</f>
        <v>1700000</v>
      </c>
      <c r="M46" s="33">
        <f>CIV!P2029</f>
        <v>0</v>
      </c>
      <c r="N46" s="33">
        <f>CIV!Q2029</f>
        <v>0</v>
      </c>
      <c r="O46" s="114">
        <f>CIV!R2029</f>
        <v>1800000</v>
      </c>
    </row>
    <row r="47" spans="1:23" x14ac:dyDescent="0.2">
      <c r="A47" s="2716" t="s">
        <v>2490</v>
      </c>
      <c r="B47" s="397">
        <f t="shared" ref="B47:N47" si="17">B38-B42-B43+B44++B45-B46</f>
        <v>0</v>
      </c>
      <c r="C47" s="397"/>
      <c r="D47" s="397">
        <f t="shared" si="17"/>
        <v>-25000</v>
      </c>
      <c r="E47" s="397"/>
      <c r="F47" s="397">
        <f t="shared" si="17"/>
        <v>0</v>
      </c>
      <c r="G47" s="397">
        <f t="shared" si="17"/>
        <v>0</v>
      </c>
      <c r="H47" s="397">
        <f t="shared" si="17"/>
        <v>0</v>
      </c>
      <c r="I47" s="397">
        <f t="shared" si="17"/>
        <v>0</v>
      </c>
      <c r="J47" s="397">
        <f t="shared" si="17"/>
        <v>0</v>
      </c>
      <c r="K47" s="397">
        <f t="shared" si="17"/>
        <v>0</v>
      </c>
      <c r="L47" s="397">
        <f t="shared" si="17"/>
        <v>0</v>
      </c>
      <c r="M47" s="397">
        <f t="shared" si="17"/>
        <v>0</v>
      </c>
      <c r="N47" s="397">
        <f t="shared" si="17"/>
        <v>0</v>
      </c>
      <c r="O47" s="399">
        <f t="shared" ref="O47" si="18">O38-O42-O43+O44++O45-O46</f>
        <v>0</v>
      </c>
    </row>
    <row r="48" spans="1:23" ht="13.5" thickBot="1" x14ac:dyDescent="0.25">
      <c r="A48" s="2717"/>
      <c r="B48" s="90"/>
      <c r="C48" s="90"/>
      <c r="D48" s="90"/>
      <c r="E48" s="90"/>
      <c r="F48" s="66"/>
      <c r="G48" s="66"/>
      <c r="H48" s="66"/>
      <c r="I48" s="66"/>
      <c r="J48" s="66"/>
      <c r="K48" s="66"/>
      <c r="L48" s="66"/>
      <c r="M48" s="66"/>
      <c r="N48" s="66"/>
      <c r="O48" s="165"/>
      <c r="S48" s="1"/>
    </row>
    <row r="49" spans="1:20" ht="13.5" thickTop="1" x14ac:dyDescent="0.2">
      <c r="S49" s="779"/>
    </row>
    <row r="50" spans="1:20" x14ac:dyDescent="0.2">
      <c r="A50" s="779" t="s">
        <v>408</v>
      </c>
    </row>
    <row r="51" spans="1:20" x14ac:dyDescent="0.2">
      <c r="A51" s="779" t="s">
        <v>2264</v>
      </c>
      <c r="B51" s="63">
        <f>B13-CIV!D1980</f>
        <v>0</v>
      </c>
      <c r="C51" s="63"/>
      <c r="D51" s="87">
        <f>D13-CIV!G1980</f>
        <v>-25000</v>
      </c>
      <c r="E51" s="87"/>
      <c r="F51" s="63">
        <f>F13-CIV!I1980</f>
        <v>0</v>
      </c>
      <c r="G51" s="63">
        <f>G13-CIV!J1980</f>
        <v>0</v>
      </c>
      <c r="H51" s="63">
        <f>H13-CIV!K1980</f>
        <v>0</v>
      </c>
      <c r="I51" s="63">
        <f>I13-CIV!L1980</f>
        <v>0</v>
      </c>
      <c r="J51" s="63">
        <f>J13-CIV!M1980</f>
        <v>0</v>
      </c>
      <c r="K51" s="63">
        <f>K13-CIV!N1980</f>
        <v>0</v>
      </c>
      <c r="L51" s="63">
        <f>L13-CIV!O1980</f>
        <v>0</v>
      </c>
      <c r="M51" s="63">
        <f>M13-CIV!P1980</f>
        <v>0</v>
      </c>
      <c r="N51" s="63">
        <f>N13-CIV!Q1980</f>
        <v>0</v>
      </c>
      <c r="O51" s="63">
        <f>O13-CIV!R1980</f>
        <v>0</v>
      </c>
    </row>
    <row r="52" spans="1:20" x14ac:dyDescent="0.2">
      <c r="A52" s="1099" t="s">
        <v>2265</v>
      </c>
      <c r="B52" s="63">
        <f>B34-CIV!D2017</f>
        <v>0</v>
      </c>
      <c r="C52" s="63"/>
      <c r="D52" s="87">
        <f>D34-CIV!G2017</f>
        <v>0</v>
      </c>
      <c r="E52" s="87"/>
      <c r="F52" s="63">
        <f>F34-CIV!I2017</f>
        <v>0</v>
      </c>
      <c r="G52" s="63">
        <f>G34-CIV!J2017</f>
        <v>0</v>
      </c>
      <c r="H52" s="63">
        <f>H34-CIV!K2017</f>
        <v>0</v>
      </c>
      <c r="I52" s="63">
        <f>I34-CIV!L2017</f>
        <v>0</v>
      </c>
      <c r="J52" s="63">
        <f>J34-CIV!M2017</f>
        <v>0</v>
      </c>
      <c r="K52" s="63">
        <f>K34-CIV!N2017</f>
        <v>0</v>
      </c>
      <c r="L52" s="63">
        <f>L34-CIV!O2017</f>
        <v>0</v>
      </c>
      <c r="M52" s="63">
        <f>M34-CIV!P2017</f>
        <v>0</v>
      </c>
      <c r="N52" s="63">
        <f>N34-CIV!Q2017</f>
        <v>0</v>
      </c>
      <c r="O52" s="63">
        <f>O34-CIV!R2017</f>
        <v>0</v>
      </c>
    </row>
    <row r="53" spans="1:20" x14ac:dyDescent="0.2">
      <c r="S53" s="1"/>
      <c r="T53" s="1817"/>
    </row>
    <row r="54" spans="1:20" x14ac:dyDescent="0.2">
      <c r="A54" s="779" t="s">
        <v>6915</v>
      </c>
      <c r="B54" s="63">
        <f>'Res-Bal'!B155+B43-B44</f>
        <v>1384400</v>
      </c>
      <c r="C54" s="63"/>
      <c r="D54" s="87">
        <f>B54+D43-D44</f>
        <v>2012900</v>
      </c>
      <c r="E54" s="87"/>
      <c r="F54" s="63">
        <f>D54+F43-F44</f>
        <v>1104800</v>
      </c>
      <c r="G54" s="63">
        <f>F54+G43-G44</f>
        <v>1693200</v>
      </c>
      <c r="H54" s="63">
        <f t="shared" ref="H54:O54" si="19">G54+H43-H44</f>
        <v>2314200</v>
      </c>
      <c r="I54" s="63">
        <f t="shared" si="19"/>
        <v>1368900</v>
      </c>
      <c r="J54" s="63">
        <f t="shared" si="19"/>
        <v>2033700</v>
      </c>
      <c r="K54" s="63">
        <f t="shared" si="19"/>
        <v>2749900</v>
      </c>
      <c r="L54" s="63">
        <f t="shared" si="19"/>
        <v>1821000</v>
      </c>
      <c r="M54" s="63">
        <f t="shared" si="19"/>
        <v>2605600</v>
      </c>
      <c r="N54" s="63">
        <f t="shared" si="19"/>
        <v>3448400</v>
      </c>
      <c r="O54" s="63">
        <f t="shared" si="19"/>
        <v>2530300</v>
      </c>
    </row>
    <row r="55" spans="1:20" x14ac:dyDescent="0.2">
      <c r="A55" s="779" t="s">
        <v>6914</v>
      </c>
      <c r="B55" s="63">
        <f>'Res-Bal'!D155</f>
        <v>1384400</v>
      </c>
      <c r="C55" s="63"/>
      <c r="D55" s="87">
        <f>'Res-Bal'!G155</f>
        <v>2012900</v>
      </c>
      <c r="E55" s="87"/>
      <c r="F55" s="63">
        <f>'Res-Bal'!J155</f>
        <v>1104800</v>
      </c>
      <c r="G55" s="63">
        <f>'Res-Bal'!M155</f>
        <v>1693200</v>
      </c>
      <c r="H55" s="63">
        <f>'Res-Bal'!P155</f>
        <v>2314200</v>
      </c>
      <c r="I55" s="63">
        <f>'Res-Bal'!S155</f>
        <v>1368900</v>
      </c>
      <c r="J55" s="63">
        <f>'Res-Bal'!V155</f>
        <v>2033700</v>
      </c>
      <c r="K55" s="63">
        <f>'Res-Bal'!Y155</f>
        <v>2749900</v>
      </c>
      <c r="L55" s="63">
        <f>'Res-Bal'!AB155</f>
        <v>1821000</v>
      </c>
      <c r="M55" s="63">
        <f>'Res-Bal'!AE155</f>
        <v>2605600</v>
      </c>
      <c r="N55" s="63">
        <f>'Res-Bal'!AH155</f>
        <v>3448400</v>
      </c>
      <c r="O55" s="63">
        <f>'Res-Bal'!AI155</f>
        <v>3448400</v>
      </c>
    </row>
    <row r="56" spans="1:20" x14ac:dyDescent="0.2">
      <c r="A56" s="779" t="s">
        <v>89</v>
      </c>
      <c r="B56" s="63">
        <f>B55-B54</f>
        <v>0</v>
      </c>
      <c r="C56" s="63">
        <f t="shared" ref="C56:N56" si="20">C55-C54</f>
        <v>0</v>
      </c>
      <c r="D56" s="87">
        <f t="shared" si="20"/>
        <v>0</v>
      </c>
      <c r="E56" s="87"/>
      <c r="F56" s="63">
        <f t="shared" si="20"/>
        <v>0</v>
      </c>
      <c r="G56" s="63">
        <f t="shared" si="20"/>
        <v>0</v>
      </c>
      <c r="H56" s="63">
        <f t="shared" si="20"/>
        <v>0</v>
      </c>
      <c r="I56" s="63">
        <f t="shared" si="20"/>
        <v>0</v>
      </c>
      <c r="J56" s="63">
        <f t="shared" si="20"/>
        <v>0</v>
      </c>
      <c r="K56" s="63">
        <f t="shared" si="20"/>
        <v>0</v>
      </c>
      <c r="L56" s="63">
        <f t="shared" si="20"/>
        <v>0</v>
      </c>
      <c r="M56" s="63">
        <f t="shared" si="20"/>
        <v>0</v>
      </c>
      <c r="N56" s="63">
        <f t="shared" si="20"/>
        <v>0</v>
      </c>
      <c r="O56" s="63">
        <f t="shared" ref="O56" si="21">O55-O54</f>
        <v>918100</v>
      </c>
    </row>
    <row r="57" spans="1:20" x14ac:dyDescent="0.2">
      <c r="B57" s="63"/>
      <c r="C57" s="63"/>
      <c r="D57" s="87"/>
      <c r="E57" s="87"/>
      <c r="F57" s="63"/>
      <c r="G57" s="63"/>
      <c r="H57" s="63"/>
      <c r="I57" s="63"/>
      <c r="J57" s="63"/>
      <c r="K57" s="63"/>
      <c r="L57" s="63"/>
      <c r="M57" s="63"/>
      <c r="N57" s="63"/>
      <c r="O57" s="63"/>
    </row>
    <row r="58" spans="1:20" ht="12" customHeight="1" x14ac:dyDescent="0.2">
      <c r="B58" s="63"/>
      <c r="C58" s="63"/>
      <c r="D58" s="87"/>
      <c r="E58" s="87"/>
      <c r="F58" s="63"/>
      <c r="G58" s="63"/>
      <c r="H58" s="63"/>
      <c r="I58" s="63"/>
      <c r="J58" s="63"/>
      <c r="K58" s="63"/>
      <c r="L58" s="63"/>
      <c r="M58" s="63"/>
      <c r="N58" s="63"/>
      <c r="O58" s="63"/>
    </row>
  </sheetData>
  <mergeCells count="5">
    <mergeCell ref="Q7:T7"/>
    <mergeCell ref="Q5:T5"/>
    <mergeCell ref="Q3:T3"/>
    <mergeCell ref="D1:O1"/>
    <mergeCell ref="B1:C1"/>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42" sqref="O41:O42"/>
    </sheetView>
  </sheetViews>
  <sheetFormatPr defaultRowHeight="12.75" x14ac:dyDescent="0.2"/>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831"/>
  <sheetViews>
    <sheetView topLeftCell="A803" workbookViewId="0">
      <selection activeCell="G813" sqref="G813:P819"/>
    </sheetView>
  </sheetViews>
  <sheetFormatPr defaultRowHeight="12.75" x14ac:dyDescent="0.2"/>
  <cols>
    <col min="1" max="1" width="34.42578125" customWidth="1"/>
    <col min="2" max="5" width="9.140625" style="17" hidden="1" customWidth="1"/>
    <col min="6" max="6" width="9.140625" style="353" bestFit="1" customWidth="1"/>
    <col min="7" max="16" width="9.140625" style="17" bestFit="1" customWidth="1"/>
  </cols>
  <sheetData>
    <row r="1" spans="1:16" ht="17.25" thickTop="1" thickBot="1" x14ac:dyDescent="0.3">
      <c r="A1" s="2856" t="s">
        <v>6093</v>
      </c>
      <c r="B1" s="2857"/>
      <c r="C1" s="2857"/>
      <c r="D1" s="2857"/>
      <c r="E1" s="2857"/>
      <c r="F1" s="2857"/>
      <c r="G1" s="2857"/>
      <c r="H1" s="2857"/>
      <c r="I1" s="2857"/>
      <c r="J1" s="2857"/>
      <c r="K1" s="2857"/>
      <c r="L1" s="2857"/>
      <c r="M1" s="2857"/>
      <c r="N1" s="2857"/>
      <c r="O1" s="2857"/>
      <c r="P1" s="2858"/>
    </row>
    <row r="2" spans="1:16" s="4" customFormat="1" ht="13.5" thickBot="1" x14ac:dyDescent="0.25">
      <c r="A2" s="1689" t="s">
        <v>4575</v>
      </c>
      <c r="B2" s="1690" t="str">
        <f>SP!A3</f>
        <v>2012/13</v>
      </c>
      <c r="C2" s="1690" t="str">
        <f>SP!B3</f>
        <v>2013/14</v>
      </c>
      <c r="D2" s="1690" t="str">
        <f>SP!C3</f>
        <v>2014/15</v>
      </c>
      <c r="E2" s="1690" t="str">
        <f>SP!D3</f>
        <v>2015/16</v>
      </c>
      <c r="F2" s="2557" t="str">
        <f>SP!G3</f>
        <v>2016/17</v>
      </c>
      <c r="G2" s="1690" t="str">
        <f>SP!I3</f>
        <v>2017/18</v>
      </c>
      <c r="H2" s="1690" t="str">
        <f>SP!J3</f>
        <v>2018/19</v>
      </c>
      <c r="I2" s="1690" t="str">
        <f>SP!K3</f>
        <v>2019/20</v>
      </c>
      <c r="J2" s="1690" t="str">
        <f>SP!L3</f>
        <v>2020/21</v>
      </c>
      <c r="K2" s="1690" t="str">
        <f>SP!M3</f>
        <v>2021/22</v>
      </c>
      <c r="L2" s="1690" t="str">
        <f>SP!N3</f>
        <v>2022/23</v>
      </c>
      <c r="M2" s="1690" t="str">
        <f>SP!O3</f>
        <v>2023/24</v>
      </c>
      <c r="N2" s="1691" t="str">
        <f>SP!P3</f>
        <v>2024/25</v>
      </c>
      <c r="O2" s="1691" t="str">
        <f>SP!Q3</f>
        <v>2025/26</v>
      </c>
      <c r="P2" s="1692" t="str">
        <f>SP!R3</f>
        <v>2026/27</v>
      </c>
    </row>
    <row r="3" spans="1:16" s="4" customFormat="1" x14ac:dyDescent="0.2">
      <c r="A3" s="471"/>
      <c r="B3" s="1686"/>
      <c r="C3" s="1686"/>
      <c r="D3" s="1686"/>
      <c r="E3" s="1686"/>
      <c r="F3" s="2558"/>
      <c r="G3" s="1686"/>
      <c r="H3" s="1686"/>
      <c r="I3" s="1686"/>
      <c r="J3" s="1686"/>
      <c r="K3" s="1686"/>
      <c r="L3" s="1686"/>
      <c r="M3" s="1686"/>
      <c r="N3" s="1687"/>
      <c r="O3" s="1687"/>
      <c r="P3" s="1688"/>
    </row>
    <row r="4" spans="1:16" x14ac:dyDescent="0.2">
      <c r="A4" s="471" t="s">
        <v>2162</v>
      </c>
      <c r="B4" s="231"/>
      <c r="C4" s="231"/>
      <c r="D4" s="231"/>
      <c r="E4" s="231"/>
      <c r="F4" s="234"/>
      <c r="G4" s="231"/>
      <c r="H4" s="231"/>
      <c r="I4" s="231"/>
      <c r="J4" s="231"/>
      <c r="K4" s="231"/>
      <c r="L4" s="231"/>
      <c r="M4" s="231"/>
      <c r="N4" s="233"/>
      <c r="O4" s="233"/>
      <c r="P4" s="88"/>
    </row>
    <row r="5" spans="1:16" x14ac:dyDescent="0.2">
      <c r="A5" s="471" t="s">
        <v>2163</v>
      </c>
      <c r="B5" s="231"/>
      <c r="C5" s="231"/>
      <c r="D5" s="231"/>
      <c r="E5" s="231"/>
      <c r="F5" s="234"/>
      <c r="G5" s="231"/>
      <c r="H5" s="231"/>
      <c r="I5" s="231"/>
      <c r="J5" s="231"/>
      <c r="K5" s="231"/>
      <c r="L5" s="231"/>
      <c r="M5" s="231"/>
      <c r="N5" s="233"/>
      <c r="O5" s="233"/>
      <c r="P5" s="88"/>
    </row>
    <row r="6" spans="1:16" x14ac:dyDescent="0.2">
      <c r="A6" s="812" t="s">
        <v>4298</v>
      </c>
      <c r="B6" s="101">
        <f>12264+27974</f>
        <v>40238</v>
      </c>
      <c r="C6" s="101">
        <f>31942</f>
        <v>31942</v>
      </c>
      <c r="D6" s="231">
        <f>-12308+51287</f>
        <v>38979</v>
      </c>
      <c r="E6" s="101">
        <f>1746+34946</f>
        <v>36692</v>
      </c>
      <c r="F6" s="101">
        <f>ROUND(E6+E13+LTFP!E220/1000-F13,-2)</f>
        <v>23000</v>
      </c>
      <c r="G6" s="33">
        <f>ROUND(F6+F13+LTFP!G220/1000-G13,-2)</f>
        <v>28700</v>
      </c>
      <c r="H6" s="33">
        <f>ROUND(G6+G13+LTFP!H220/1000-H13,-2)</f>
        <v>22100</v>
      </c>
      <c r="I6" s="33">
        <f>ROUND(H6+H13+LTFP!I220/1000-I13,-2)</f>
        <v>27700</v>
      </c>
      <c r="J6" s="33">
        <f>ROUND(I6+I13+LTFP!J220/1000-J13,-2)</f>
        <v>24700</v>
      </c>
      <c r="K6" s="33">
        <f>ROUND(J6+J13+LTFP!K220/1000-K13,-2)</f>
        <v>25400</v>
      </c>
      <c r="L6" s="33">
        <f>ROUND(K6+K13+LTFP!L220/1000-L13,-2)</f>
        <v>29400</v>
      </c>
      <c r="M6" s="33">
        <f>ROUND(L6+L13+LTFP!M220/1000-M13,-2)</f>
        <v>31500</v>
      </c>
      <c r="N6" s="142">
        <f>ROUND(M6+M13+LTFP!N220/1000-N13,-2)</f>
        <v>36300</v>
      </c>
      <c r="O6" s="142">
        <f>ROUND(N6+N13+LTFP!O220/1000-O13,-2)</f>
        <v>40600</v>
      </c>
      <c r="P6" s="114">
        <f>ROUND(O6+O13+LTFP!P220/1000-P13,-2)</f>
        <v>43700</v>
      </c>
    </row>
    <row r="7" spans="1:16" x14ac:dyDescent="0.2">
      <c r="A7" s="472" t="s">
        <v>2121</v>
      </c>
      <c r="B7" s="33">
        <v>5071</v>
      </c>
      <c r="C7" s="33">
        <v>5269</v>
      </c>
      <c r="D7" s="33">
        <v>3779</v>
      </c>
      <c r="E7" s="33">
        <v>6941</v>
      </c>
      <c r="F7" s="33">
        <f>ROUNDUP(E7+(E7*Assumptions!G$5),-1)</f>
        <v>7080</v>
      </c>
      <c r="G7" s="33">
        <f>ROUNDUP(F7+(F7*Assumptions!H$5),-1)</f>
        <v>7190</v>
      </c>
      <c r="H7" s="33">
        <f>ROUNDUP(G7+(G7*Assumptions!I$5),-1)</f>
        <v>7370</v>
      </c>
      <c r="I7" s="33">
        <f>ROUNDUP(H7+(H7*Assumptions!J$5),-1)</f>
        <v>7560</v>
      </c>
      <c r="J7" s="33">
        <f>ROUNDUP(I7+(I7*Assumptions!K$5),-1)</f>
        <v>7750</v>
      </c>
      <c r="K7" s="33">
        <f>ROUNDUP(J7+(J7*Assumptions!L$5),-1)</f>
        <v>7910</v>
      </c>
      <c r="L7" s="33">
        <f>ROUNDUP(K7+(K7*Assumptions!M$5),-1)</f>
        <v>8070</v>
      </c>
      <c r="M7" s="33">
        <f>ROUNDUP(L7+(L7*Assumptions!N$5),-1)</f>
        <v>8240</v>
      </c>
      <c r="N7" s="142">
        <f>ROUNDUP(M7+(M7*Assumptions!O$5),-1)</f>
        <v>8410</v>
      </c>
      <c r="O7" s="142">
        <f>ROUNDUP(N7+(N7*Assumptions!P$5),-1)</f>
        <v>8580</v>
      </c>
      <c r="P7" s="114">
        <f>ROUNDUP(O7+(O7*Assumptions!Q$5),-1)</f>
        <v>8760</v>
      </c>
    </row>
    <row r="8" spans="1:16" x14ac:dyDescent="0.2">
      <c r="A8" s="472" t="s">
        <v>2122</v>
      </c>
      <c r="B8" s="33">
        <v>1010</v>
      </c>
      <c r="C8" s="33">
        <v>996</v>
      </c>
      <c r="D8" s="33">
        <v>1407</v>
      </c>
      <c r="E8" s="33">
        <v>808</v>
      </c>
      <c r="F8" s="33">
        <f>ROUNDUP(E8+(E8*Assumptions!G$5),-1)</f>
        <v>830</v>
      </c>
      <c r="G8" s="33">
        <f>ROUNDUP(F8+(F8*Assumptions!H$5),-1)</f>
        <v>850</v>
      </c>
      <c r="H8" s="33">
        <f>ROUNDUP(G8+(G8*Assumptions!I$5),-1)</f>
        <v>880</v>
      </c>
      <c r="I8" s="33">
        <f>ROUNDUP(H8+(H8*Assumptions!J$5),-1)</f>
        <v>910</v>
      </c>
      <c r="J8" s="33">
        <f>ROUNDUP(I8+(I8*Assumptions!K$5),-1)</f>
        <v>940</v>
      </c>
      <c r="K8" s="33">
        <f>ROUNDUP(J8+(J8*Assumptions!L$5),-1)</f>
        <v>960</v>
      </c>
      <c r="L8" s="33">
        <f>ROUNDUP(K8+(K8*Assumptions!M$5),-1)</f>
        <v>980</v>
      </c>
      <c r="M8" s="33">
        <f>ROUNDUP(L8+(L8*Assumptions!N$5),-1)</f>
        <v>1000</v>
      </c>
      <c r="N8" s="142">
        <f>ROUNDUP(M8+(M8*Assumptions!O$5),-1)</f>
        <v>1020</v>
      </c>
      <c r="O8" s="142">
        <f>ROUNDUP(N8+(N8*Assumptions!P$5),-1)</f>
        <v>1050</v>
      </c>
      <c r="P8" s="114">
        <f>ROUNDUP(O8+(O8*Assumptions!Q$5),-1)</f>
        <v>1080</v>
      </c>
    </row>
    <row r="9" spans="1:16" x14ac:dyDescent="0.2">
      <c r="A9" s="472" t="s">
        <v>1771</v>
      </c>
      <c r="B9" s="455">
        <v>704</v>
      </c>
      <c r="C9" s="455">
        <v>57</v>
      </c>
      <c r="D9" s="455">
        <v>-355</v>
      </c>
      <c r="E9" s="455">
        <v>181</v>
      </c>
      <c r="F9" s="642">
        <f>ROUNDUP(E9+(E9*Assumptions!G$5),-1)</f>
        <v>190</v>
      </c>
      <c r="G9" s="455">
        <f>ROUNDUP(F9+(F9*Assumptions!H$5),-1)</f>
        <v>200</v>
      </c>
      <c r="H9" s="455">
        <f>ROUNDUP(G9+(G9*Assumptions!I$5),-1)</f>
        <v>210</v>
      </c>
      <c r="I9" s="455">
        <f>ROUNDUP(H9+(H9*Assumptions!J$5),-1)</f>
        <v>220</v>
      </c>
      <c r="J9" s="455">
        <f>ROUNDUP(I9+(I9*Assumptions!K$5),-1)</f>
        <v>230</v>
      </c>
      <c r="K9" s="455">
        <f>ROUNDUP(J9+(J9*Assumptions!L$5),-1)</f>
        <v>240</v>
      </c>
      <c r="L9" s="455">
        <f>ROUNDUP(K9+(K9*Assumptions!M$5),-1)</f>
        <v>250</v>
      </c>
      <c r="M9" s="455">
        <f>ROUNDUP(L9+(L9*Assumptions!N$5),-1)</f>
        <v>260</v>
      </c>
      <c r="N9" s="642">
        <f>ROUNDUP(M9+(M9*Assumptions!O$5),-1)</f>
        <v>270</v>
      </c>
      <c r="O9" s="642">
        <f>ROUNDUP(N9+(N9*Assumptions!P$5),-1)</f>
        <v>280</v>
      </c>
      <c r="P9" s="761">
        <f>ROUNDUP(O9+(O9*Assumptions!Q$5),-1)</f>
        <v>290</v>
      </c>
    </row>
    <row r="10" spans="1:16" s="1" customFormat="1" x14ac:dyDescent="0.2">
      <c r="A10" s="1269" t="s">
        <v>2123</v>
      </c>
      <c r="B10" s="116">
        <f t="shared" ref="B10:M10" si="0">SUM(B6:B9)</f>
        <v>47023</v>
      </c>
      <c r="C10" s="116">
        <f t="shared" si="0"/>
        <v>38264</v>
      </c>
      <c r="D10" s="116">
        <f t="shared" si="0"/>
        <v>43810</v>
      </c>
      <c r="E10" s="116">
        <f>SUM(E6:E9)</f>
        <v>44622</v>
      </c>
      <c r="F10" s="160">
        <f t="shared" si="0"/>
        <v>31100</v>
      </c>
      <c r="G10" s="116">
        <f t="shared" si="0"/>
        <v>36940</v>
      </c>
      <c r="H10" s="116">
        <f t="shared" si="0"/>
        <v>30560</v>
      </c>
      <c r="I10" s="116">
        <f t="shared" si="0"/>
        <v>36390</v>
      </c>
      <c r="J10" s="116">
        <f t="shared" si="0"/>
        <v>33620</v>
      </c>
      <c r="K10" s="116">
        <f t="shared" si="0"/>
        <v>34510</v>
      </c>
      <c r="L10" s="116">
        <f t="shared" si="0"/>
        <v>38700</v>
      </c>
      <c r="M10" s="116">
        <f t="shared" si="0"/>
        <v>41000</v>
      </c>
      <c r="N10" s="160">
        <f t="shared" ref="N10:O10" si="1">SUM(N6:N9)</f>
        <v>46000</v>
      </c>
      <c r="O10" s="160">
        <f t="shared" si="1"/>
        <v>50510</v>
      </c>
      <c r="P10" s="159">
        <f t="shared" ref="P10" si="2">SUM(P6:P9)</f>
        <v>53830</v>
      </c>
    </row>
    <row r="11" spans="1:16" x14ac:dyDescent="0.2">
      <c r="A11" s="473"/>
      <c r="B11" s="101"/>
      <c r="C11" s="101"/>
      <c r="D11" s="101"/>
      <c r="E11" s="101"/>
      <c r="F11" s="234"/>
      <c r="G11" s="101"/>
      <c r="H11" s="101"/>
      <c r="I11" s="101"/>
      <c r="J11" s="101"/>
      <c r="K11" s="101"/>
      <c r="L11" s="101"/>
      <c r="M11" s="101"/>
      <c r="N11" s="234"/>
      <c r="O11" s="234"/>
      <c r="P11" s="104"/>
    </row>
    <row r="12" spans="1:16" x14ac:dyDescent="0.2">
      <c r="A12" s="471" t="s">
        <v>2124</v>
      </c>
      <c r="B12" s="101"/>
      <c r="C12" s="101"/>
      <c r="D12" s="101"/>
      <c r="E12" s="101"/>
      <c r="F12" s="234"/>
      <c r="G12" s="101"/>
      <c r="H12" s="101"/>
      <c r="I12" s="101"/>
      <c r="J12" s="101"/>
      <c r="K12" s="101"/>
      <c r="L12" s="101"/>
      <c r="M12" s="101"/>
      <c r="N12" s="234"/>
      <c r="O12" s="234"/>
      <c r="P12" s="104"/>
    </row>
    <row r="13" spans="1:16" x14ac:dyDescent="0.2">
      <c r="A13" s="472" t="s">
        <v>1941</v>
      </c>
      <c r="B13" s="101">
        <v>9259</v>
      </c>
      <c r="C13" s="101">
        <v>9277</v>
      </c>
      <c r="D13" s="33">
        <v>5150</v>
      </c>
      <c r="E13" s="33">
        <v>3811</v>
      </c>
      <c r="F13" s="142">
        <f>1373+2027+1000+1000+1000+1000</f>
        <v>7400</v>
      </c>
      <c r="G13" s="33">
        <v>3500</v>
      </c>
      <c r="H13" s="33">
        <f t="shared" ref="H13:P13" si="3">G13</f>
        <v>3500</v>
      </c>
      <c r="I13" s="33">
        <f t="shared" si="3"/>
        <v>3500</v>
      </c>
      <c r="J13" s="33">
        <f t="shared" si="3"/>
        <v>3500</v>
      </c>
      <c r="K13" s="33">
        <f t="shared" si="3"/>
        <v>3500</v>
      </c>
      <c r="L13" s="33">
        <f t="shared" si="3"/>
        <v>3500</v>
      </c>
      <c r="M13" s="33">
        <f t="shared" si="3"/>
        <v>3500</v>
      </c>
      <c r="N13" s="142">
        <f t="shared" si="3"/>
        <v>3500</v>
      </c>
      <c r="O13" s="142">
        <f t="shared" si="3"/>
        <v>3500</v>
      </c>
      <c r="P13" s="114">
        <f t="shared" si="3"/>
        <v>3500</v>
      </c>
    </row>
    <row r="14" spans="1:16" x14ac:dyDescent="0.2">
      <c r="A14" s="472" t="s">
        <v>2121</v>
      </c>
      <c r="B14" s="33">
        <v>157</v>
      </c>
      <c r="C14" s="33">
        <v>156</v>
      </c>
      <c r="D14" s="33">
        <v>112</v>
      </c>
      <c r="E14" s="33">
        <v>114</v>
      </c>
      <c r="F14" s="142">
        <f>ROUNDUP(E14+(E14*Assumptions!G$5),-1)</f>
        <v>120</v>
      </c>
      <c r="G14" s="33">
        <f>ROUNDUP(F14+(F14*Assumptions!H$5),-1)</f>
        <v>130</v>
      </c>
      <c r="H14" s="33">
        <f>ROUNDUP(G14+(G14*Assumptions!I$5),-1)</f>
        <v>140</v>
      </c>
      <c r="I14" s="33">
        <f>ROUNDUP(H14+(H14*Assumptions!J$5),-1)</f>
        <v>150</v>
      </c>
      <c r="J14" s="33">
        <f>ROUNDUP(I14+(I14*Assumptions!K$5),-1)</f>
        <v>160</v>
      </c>
      <c r="K14" s="33">
        <f>ROUNDUP(J14+(J14*Assumptions!L$5),-1)</f>
        <v>170</v>
      </c>
      <c r="L14" s="33">
        <f>ROUNDUP(K14+(K14*Assumptions!M$5),-1)</f>
        <v>180</v>
      </c>
      <c r="M14" s="33">
        <f>ROUNDUP(L14+(L14*Assumptions!N$5),-1)</f>
        <v>190</v>
      </c>
      <c r="N14" s="142">
        <f>ROUNDUP(M14+(M14*Assumptions!O$5),-1)</f>
        <v>200</v>
      </c>
      <c r="O14" s="142">
        <f>ROUNDUP(N14+(N14*Assumptions!P$5),-1)</f>
        <v>210</v>
      </c>
      <c r="P14" s="114">
        <f>ROUNDUP(O14+(O14*Assumptions!Q$5),-1)</f>
        <v>220</v>
      </c>
    </row>
    <row r="15" spans="1:16" x14ac:dyDescent="0.2">
      <c r="A15" s="472" t="s">
        <v>2122</v>
      </c>
      <c r="B15" s="33">
        <v>2816</v>
      </c>
      <c r="C15" s="33">
        <v>3051</v>
      </c>
      <c r="D15" s="33">
        <f>2533+-74</f>
        <v>2459</v>
      </c>
      <c r="E15" s="33">
        <v>3015</v>
      </c>
      <c r="F15" s="142">
        <f>ROUNDUP(E15+(E15*Assumptions!G$5),-1)</f>
        <v>3080</v>
      </c>
      <c r="G15" s="33">
        <f>ROUNDUP(F15+(F15*Assumptions!H$5),-1)</f>
        <v>3130</v>
      </c>
      <c r="H15" s="33">
        <f>ROUNDUP(G15+(G15*Assumptions!I$5),-1)</f>
        <v>3210</v>
      </c>
      <c r="I15" s="33">
        <f>ROUNDUP(H15+(H15*Assumptions!J$5),-1)</f>
        <v>3300</v>
      </c>
      <c r="J15" s="33">
        <f>ROUNDUP(I15+(I15*Assumptions!K$5),-1)</f>
        <v>3390</v>
      </c>
      <c r="K15" s="33">
        <f>ROUNDUP(J15+(J15*Assumptions!L$5),-1)</f>
        <v>3460</v>
      </c>
      <c r="L15" s="33">
        <f>ROUNDUP(K15+(K15*Assumptions!M$5),-1)</f>
        <v>3530</v>
      </c>
      <c r="M15" s="33">
        <f>ROUNDUP(L15+(L15*Assumptions!N$5),-1)</f>
        <v>3610</v>
      </c>
      <c r="N15" s="142">
        <f>ROUNDUP(M15+(M15*Assumptions!O$5),-1)</f>
        <v>3690</v>
      </c>
      <c r="O15" s="142">
        <f>ROUNDUP(N15+(N15*Assumptions!P$5),-1)</f>
        <v>3770</v>
      </c>
      <c r="P15" s="114">
        <f>ROUNDUP(O15+(O15*Assumptions!Q$5),-1)</f>
        <v>3850</v>
      </c>
    </row>
    <row r="16" spans="1:16" x14ac:dyDescent="0.2">
      <c r="A16" s="812" t="s">
        <v>3363</v>
      </c>
      <c r="B16" s="101">
        <v>732433</v>
      </c>
      <c r="C16" s="101">
        <v>749424</v>
      </c>
      <c r="D16" s="101">
        <v>809504</v>
      </c>
      <c r="E16" s="101">
        <v>820963</v>
      </c>
      <c r="F16" s="234">
        <f>ROUND(E16+'Cap-Gen'!F211/1000-'Cash-Gen'!E107/1000,-1)</f>
        <v>850980</v>
      </c>
      <c r="G16" s="101">
        <f>ROUND(F16+'Cap-Gen'!G211/1000-'Cash-Gen'!F107/1000,-1)</f>
        <v>872540</v>
      </c>
      <c r="H16" s="101">
        <f>ROUND(G16+'Cap-Gen'!H211/1000-'Cash-Gen'!G107/1000,-1)</f>
        <v>892390</v>
      </c>
      <c r="I16" s="101">
        <f>ROUND(H16+'Cap-Gen'!I211/1000-'Cash-Gen'!H107/1000,-1)</f>
        <v>895730</v>
      </c>
      <c r="J16" s="101">
        <f>ROUND(I16+'Cap-Gen'!J211/1000-'Cash-Gen'!I107/1000,-1)</f>
        <v>923790</v>
      </c>
      <c r="K16" s="101">
        <f>ROUND(J16+'Cap-Gen'!K211/1000-'Cash-Gen'!J107/1000,-1)</f>
        <v>935270</v>
      </c>
      <c r="L16" s="101">
        <f>ROUND(K16+'Cap-Gen'!L211/1000-'Cash-Gen'!K107/1000,-1)</f>
        <v>934350</v>
      </c>
      <c r="M16" s="101">
        <f>ROUND(L16+'Cap-Gen'!M211/1000-'Cash-Gen'!L107/1000,-1)</f>
        <v>936550</v>
      </c>
      <c r="N16" s="234">
        <f>ROUND(M16+'Cap-Gen'!N211/1000-'Cash-Gen'!M107/1000,-1)</f>
        <v>936470</v>
      </c>
      <c r="O16" s="234">
        <f>ROUND(N16+'Cap-Gen'!O211/1000-'Cash-Gen'!N107/1000,-1)</f>
        <v>938130</v>
      </c>
      <c r="P16" s="104">
        <f>ROUND(O16+'Cap-Gen'!P211/1000-'Cash-Gen'!O107/1000,-1)</f>
        <v>941690</v>
      </c>
    </row>
    <row r="17" spans="1:16" x14ac:dyDescent="0.2">
      <c r="A17" s="472" t="s">
        <v>2125</v>
      </c>
      <c r="B17" s="132">
        <v>18350</v>
      </c>
      <c r="C17" s="132">
        <f>18400+4</f>
        <v>18404</v>
      </c>
      <c r="D17" s="33">
        <v>21282</v>
      </c>
      <c r="E17" s="33">
        <v>21977</v>
      </c>
      <c r="F17" s="142">
        <f>ROUNDUP(E17+(E17*Assumptions!G$5),-1)</f>
        <v>22420</v>
      </c>
      <c r="G17" s="33">
        <f>ROUNDUP(F17+(F17*Assumptions!H$5),-1)</f>
        <v>22760</v>
      </c>
      <c r="H17" s="33">
        <f>ROUNDUP(G17+(G17*Assumptions!I$5),-1)</f>
        <v>23330</v>
      </c>
      <c r="I17" s="33">
        <f>ROUNDUP(H17+(H17*Assumptions!J$5),-1)</f>
        <v>23920</v>
      </c>
      <c r="J17" s="33">
        <f>ROUNDUP(I17+(I17*Assumptions!K$5),-1)</f>
        <v>24520</v>
      </c>
      <c r="K17" s="33">
        <f>ROUNDUP(J17+(J17*Assumptions!L$5),-1)</f>
        <v>25020</v>
      </c>
      <c r="L17" s="33">
        <f>ROUNDUP(K17+(K17*Assumptions!M$5),-1)</f>
        <v>25530</v>
      </c>
      <c r="M17" s="33">
        <f>ROUNDUP(L17+(L17*Assumptions!N$5),-1)</f>
        <v>26050</v>
      </c>
      <c r="N17" s="142">
        <f>ROUNDUP(M17+(M17*Assumptions!O$5),-1)</f>
        <v>26580</v>
      </c>
      <c r="O17" s="142">
        <f>ROUNDUP(N17+(N17*Assumptions!P$5),-1)</f>
        <v>27120</v>
      </c>
      <c r="P17" s="114">
        <f>ROUNDUP(O17+(O17*Assumptions!Q$5),-1)</f>
        <v>27670</v>
      </c>
    </row>
    <row r="18" spans="1:16" s="1" customFormat="1" x14ac:dyDescent="0.2">
      <c r="A18" s="1269" t="s">
        <v>2126</v>
      </c>
      <c r="B18" s="1327">
        <f t="shared" ref="B18:M18" si="4">SUM(B13:B17)</f>
        <v>763015</v>
      </c>
      <c r="C18" s="1327">
        <f t="shared" si="4"/>
        <v>780312</v>
      </c>
      <c r="D18" s="1327">
        <f t="shared" si="4"/>
        <v>838507</v>
      </c>
      <c r="E18" s="1327">
        <f t="shared" si="4"/>
        <v>849880</v>
      </c>
      <c r="F18" s="2559">
        <f t="shared" si="4"/>
        <v>884000</v>
      </c>
      <c r="G18" s="1327">
        <f t="shared" si="4"/>
        <v>902060</v>
      </c>
      <c r="H18" s="1327">
        <f t="shared" si="4"/>
        <v>922570</v>
      </c>
      <c r="I18" s="1327">
        <f t="shared" si="4"/>
        <v>926600</v>
      </c>
      <c r="J18" s="1327">
        <f t="shared" si="4"/>
        <v>955360</v>
      </c>
      <c r="K18" s="1327">
        <f t="shared" si="4"/>
        <v>967420</v>
      </c>
      <c r="L18" s="1327">
        <f t="shared" si="4"/>
        <v>967090</v>
      </c>
      <c r="M18" s="1327">
        <f t="shared" si="4"/>
        <v>969900</v>
      </c>
      <c r="N18" s="1509">
        <f t="shared" ref="N18:O18" si="5">SUM(N13:N17)</f>
        <v>970440</v>
      </c>
      <c r="O18" s="1509">
        <f t="shared" si="5"/>
        <v>972730</v>
      </c>
      <c r="P18" s="1510">
        <f t="shared" ref="P18" si="6">SUM(P13:P17)</f>
        <v>976930</v>
      </c>
    </row>
    <row r="19" spans="1:16" s="4" customFormat="1" ht="13.5" thickBot="1" x14ac:dyDescent="0.25">
      <c r="A19" s="471" t="s">
        <v>2127</v>
      </c>
      <c r="B19" s="902">
        <f t="shared" ref="B19:M19" si="7">B10+B18</f>
        <v>810038</v>
      </c>
      <c r="C19" s="902">
        <f t="shared" si="7"/>
        <v>818576</v>
      </c>
      <c r="D19" s="902">
        <f t="shared" si="7"/>
        <v>882317</v>
      </c>
      <c r="E19" s="902">
        <f t="shared" si="7"/>
        <v>894502</v>
      </c>
      <c r="F19" s="2560">
        <f t="shared" si="7"/>
        <v>915100</v>
      </c>
      <c r="G19" s="902">
        <f t="shared" si="7"/>
        <v>939000</v>
      </c>
      <c r="H19" s="902">
        <f t="shared" si="7"/>
        <v>953130</v>
      </c>
      <c r="I19" s="902">
        <f t="shared" si="7"/>
        <v>962990</v>
      </c>
      <c r="J19" s="902">
        <f t="shared" si="7"/>
        <v>988980</v>
      </c>
      <c r="K19" s="902">
        <f t="shared" si="7"/>
        <v>1001930</v>
      </c>
      <c r="L19" s="902">
        <f t="shared" si="7"/>
        <v>1005790</v>
      </c>
      <c r="M19" s="902">
        <f t="shared" si="7"/>
        <v>1010900</v>
      </c>
      <c r="N19" s="903">
        <f t="shared" ref="N19:O19" si="8">N10+N18</f>
        <v>1016440</v>
      </c>
      <c r="O19" s="903">
        <f t="shared" si="8"/>
        <v>1023240</v>
      </c>
      <c r="P19" s="904">
        <f t="shared" ref="P19" si="9">P10+P18</f>
        <v>1030760</v>
      </c>
    </row>
    <row r="20" spans="1:16" x14ac:dyDescent="0.2">
      <c r="A20" s="473"/>
      <c r="B20" s="231"/>
      <c r="C20" s="231"/>
      <c r="D20" s="231"/>
      <c r="E20" s="231"/>
      <c r="F20" s="234"/>
      <c r="G20" s="231"/>
      <c r="H20" s="231"/>
      <c r="I20" s="231"/>
      <c r="J20" s="231"/>
      <c r="K20" s="231"/>
      <c r="L20" s="231"/>
      <c r="M20" s="231"/>
      <c r="N20" s="233"/>
      <c r="O20" s="233"/>
      <c r="P20" s="88"/>
    </row>
    <row r="21" spans="1:16" x14ac:dyDescent="0.2">
      <c r="A21" s="471" t="s">
        <v>2128</v>
      </c>
      <c r="B21" s="231"/>
      <c r="C21" s="231"/>
      <c r="D21" s="231"/>
      <c r="E21" s="231"/>
      <c r="F21" s="234"/>
      <c r="G21" s="231"/>
      <c r="H21" s="231"/>
      <c r="I21" s="231"/>
      <c r="J21" s="231"/>
      <c r="K21" s="231"/>
      <c r="L21" s="231"/>
      <c r="M21" s="231"/>
      <c r="N21" s="233"/>
      <c r="O21" s="233"/>
      <c r="P21" s="88"/>
    </row>
    <row r="22" spans="1:16" x14ac:dyDescent="0.2">
      <c r="A22" s="471" t="s">
        <v>2816</v>
      </c>
      <c r="B22" s="231"/>
      <c r="C22" s="231"/>
      <c r="D22" s="231"/>
      <c r="E22" s="231"/>
      <c r="F22" s="234"/>
      <c r="G22" s="231"/>
      <c r="H22" s="231"/>
      <c r="I22" s="231"/>
      <c r="J22" s="231"/>
      <c r="K22" s="231"/>
      <c r="L22" s="231"/>
      <c r="M22" s="231"/>
      <c r="N22" s="233"/>
      <c r="O22" s="233"/>
      <c r="P22" s="88"/>
    </row>
    <row r="23" spans="1:16" x14ac:dyDescent="0.2">
      <c r="A23" s="472" t="s">
        <v>2817</v>
      </c>
      <c r="B23" s="101">
        <v>4962</v>
      </c>
      <c r="C23" s="101">
        <v>7507</v>
      </c>
      <c r="D23" s="33">
        <v>6249</v>
      </c>
      <c r="E23" s="142">
        <v>6978</v>
      </c>
      <c r="F23" s="142">
        <f>ROUNDUP(E23+(E23*Assumptions!G$5),-1)</f>
        <v>7120</v>
      </c>
      <c r="G23" s="33">
        <f>ROUNDUP(F23+(F23*Assumptions!H$5),-1)</f>
        <v>7230</v>
      </c>
      <c r="H23" s="33">
        <f>ROUNDUP(G23+(G23*Assumptions!I$5),-1)</f>
        <v>7420</v>
      </c>
      <c r="I23" s="33">
        <f>ROUNDUP(H23+(H23*Assumptions!J$5),-1)</f>
        <v>7610</v>
      </c>
      <c r="J23" s="33">
        <f>ROUNDUP(I23+(I23*Assumptions!K$5),-1)</f>
        <v>7810</v>
      </c>
      <c r="K23" s="33">
        <f>ROUNDUP(J23+(J23*Assumptions!L$5),-1)</f>
        <v>7970</v>
      </c>
      <c r="L23" s="33">
        <f>ROUNDUP(K23+(K23*Assumptions!M$5),-1)</f>
        <v>8130</v>
      </c>
      <c r="M23" s="33">
        <f>ROUNDUP(L23+(L23*Assumptions!N$5),-1)</f>
        <v>8300</v>
      </c>
      <c r="N23" s="142">
        <f>ROUNDUP(M23+(M23*Assumptions!O$5),-1)</f>
        <v>8470</v>
      </c>
      <c r="O23" s="142">
        <f>ROUNDUP(N23+(N23*Assumptions!P$5),-1)</f>
        <v>8640</v>
      </c>
      <c r="P23" s="114">
        <f>ROUNDUP(O23+(O23*Assumptions!Q$5),-1)</f>
        <v>8820</v>
      </c>
    </row>
    <row r="24" spans="1:16" x14ac:dyDescent="0.2">
      <c r="A24" s="472" t="s">
        <v>2818</v>
      </c>
      <c r="B24" s="101">
        <v>5565</v>
      </c>
      <c r="C24" s="101">
        <v>5556</v>
      </c>
      <c r="D24" s="101">
        <v>3793</v>
      </c>
      <c r="E24" s="101">
        <v>3696</v>
      </c>
      <c r="F24" s="234">
        <f>-LTFP!G207/1000</f>
        <v>3312.8</v>
      </c>
      <c r="G24" s="231">
        <f>-LTFP!H207/1000</f>
        <v>3247.8</v>
      </c>
      <c r="H24" s="231">
        <f>-LTFP!I207/1000</f>
        <v>3318.9</v>
      </c>
      <c r="I24" s="231">
        <f>-LTFP!J207/1000</f>
        <v>3043.1</v>
      </c>
      <c r="J24" s="231">
        <f>-LTFP!K207/1000</f>
        <v>3542.9</v>
      </c>
      <c r="K24" s="231">
        <f>-LTFP!L207/1000</f>
        <v>3084.9</v>
      </c>
      <c r="L24" s="231">
        <f>-LTFP!M207/1000</f>
        <v>2350.1999999999998</v>
      </c>
      <c r="M24" s="231">
        <f>-LTFP!N207/1000</f>
        <v>2080.1</v>
      </c>
      <c r="N24" s="233">
        <f>-LTFP!O207/1000</f>
        <v>1452.6</v>
      </c>
      <c r="O24" s="233">
        <f>-LTFP!P207/1000</f>
        <v>1449.9</v>
      </c>
      <c r="P24" s="88">
        <f>-LTFP!Q207/1000</f>
        <v>0</v>
      </c>
    </row>
    <row r="25" spans="1:16" x14ac:dyDescent="0.2">
      <c r="A25" s="472" t="s">
        <v>2819</v>
      </c>
      <c r="B25" s="931">
        <v>7286</v>
      </c>
      <c r="C25" s="931">
        <v>6585</v>
      </c>
      <c r="D25" s="931">
        <v>6466</v>
      </c>
      <c r="E25" s="642">
        <v>6936</v>
      </c>
      <c r="F25" s="642">
        <f>ROUNDUP(E25+(E25*Assumptions!G$5),-2)</f>
        <v>7100</v>
      </c>
      <c r="G25" s="455">
        <f>ROUNDUP(F25+(F25*Assumptions!H$5),-2)</f>
        <v>7300</v>
      </c>
      <c r="H25" s="455">
        <f>ROUNDUP(G25+(G25*Assumptions!I$5),-2)</f>
        <v>7500</v>
      </c>
      <c r="I25" s="455">
        <f>ROUNDUP(H25+(H25*Assumptions!J$5),-2)</f>
        <v>7700</v>
      </c>
      <c r="J25" s="455">
        <f>ROUNDUP(I25+(I25*Assumptions!K$5),-2)</f>
        <v>7900</v>
      </c>
      <c r="K25" s="455">
        <f>ROUNDUP(J25+(J25*Assumptions!L$5),-2)</f>
        <v>8100</v>
      </c>
      <c r="L25" s="455">
        <f>ROUNDUP(K25+(K25*Assumptions!M$5),-2)</f>
        <v>8300</v>
      </c>
      <c r="M25" s="455">
        <f>ROUNDUP(L25+(L25*Assumptions!N$5),-2)</f>
        <v>8500</v>
      </c>
      <c r="N25" s="642">
        <f>ROUNDUP(M25+(M25*Assumptions!O$5),-2)</f>
        <v>8700</v>
      </c>
      <c r="O25" s="642">
        <f>ROUNDUP(N25+(N25*Assumptions!P$5),-2)</f>
        <v>8900</v>
      </c>
      <c r="P25" s="761">
        <f>ROUNDUP(O25+(O25*Assumptions!Q$5),-2)</f>
        <v>9100</v>
      </c>
    </row>
    <row r="26" spans="1:16" s="1" customFormat="1" x14ac:dyDescent="0.2">
      <c r="A26" s="1269" t="s">
        <v>2820</v>
      </c>
      <c r="B26" s="116">
        <f t="shared" ref="B26:M26" si="10">SUM(B23:B25)</f>
        <v>17813</v>
      </c>
      <c r="C26" s="116">
        <f t="shared" si="10"/>
        <v>19648</v>
      </c>
      <c r="D26" s="82">
        <f t="shared" si="10"/>
        <v>16508</v>
      </c>
      <c r="E26" s="82">
        <f t="shared" si="10"/>
        <v>17610</v>
      </c>
      <c r="F26" s="160">
        <f t="shared" si="10"/>
        <v>17532.8</v>
      </c>
      <c r="G26" s="82">
        <f t="shared" si="10"/>
        <v>17777.8</v>
      </c>
      <c r="H26" s="82">
        <f t="shared" si="10"/>
        <v>18238.900000000001</v>
      </c>
      <c r="I26" s="82">
        <f t="shared" si="10"/>
        <v>18353.099999999999</v>
      </c>
      <c r="J26" s="82">
        <f t="shared" si="10"/>
        <v>19252.900000000001</v>
      </c>
      <c r="K26" s="82">
        <f t="shared" si="10"/>
        <v>19154.900000000001</v>
      </c>
      <c r="L26" s="82">
        <f t="shared" si="10"/>
        <v>18780.2</v>
      </c>
      <c r="M26" s="82">
        <f t="shared" si="10"/>
        <v>18880.099999999999</v>
      </c>
      <c r="N26" s="83">
        <f t="shared" ref="N26:O26" si="11">SUM(N23:N25)</f>
        <v>18622.599999999999</v>
      </c>
      <c r="O26" s="83">
        <f t="shared" si="11"/>
        <v>18989.900000000001</v>
      </c>
      <c r="P26" s="72">
        <f t="shared" ref="P26" si="12">SUM(P23:P25)</f>
        <v>17920</v>
      </c>
    </row>
    <row r="27" spans="1:16" x14ac:dyDescent="0.2">
      <c r="A27" s="473"/>
      <c r="B27" s="101"/>
      <c r="C27" s="101"/>
      <c r="D27" s="231"/>
      <c r="E27" s="231"/>
      <c r="F27" s="234"/>
      <c r="G27" s="231"/>
      <c r="H27" s="231"/>
      <c r="I27" s="231"/>
      <c r="J27" s="231"/>
      <c r="K27" s="231"/>
      <c r="L27" s="231"/>
      <c r="M27" s="231"/>
      <c r="N27" s="233"/>
      <c r="O27" s="233"/>
      <c r="P27" s="88"/>
    </row>
    <row r="28" spans="1:16" x14ac:dyDescent="0.2">
      <c r="A28" s="471" t="s">
        <v>2821</v>
      </c>
      <c r="B28" s="101"/>
      <c r="C28" s="101"/>
      <c r="D28" s="231"/>
      <c r="E28" s="231"/>
      <c r="F28" s="234"/>
      <c r="G28" s="231"/>
      <c r="H28" s="231"/>
      <c r="I28" s="231"/>
      <c r="J28" s="231"/>
      <c r="K28" s="231"/>
      <c r="L28" s="231"/>
      <c r="M28" s="231"/>
      <c r="N28" s="233"/>
      <c r="O28" s="233"/>
      <c r="P28" s="88"/>
    </row>
    <row r="29" spans="1:16" x14ac:dyDescent="0.2">
      <c r="A29" s="472" t="s">
        <v>2817</v>
      </c>
      <c r="B29" s="101">
        <v>540</v>
      </c>
      <c r="C29" s="101">
        <v>0</v>
      </c>
      <c r="D29" s="142">
        <f>ROUNDUP(C29+(C29*Assumptions!E$5),-2)</f>
        <v>0</v>
      </c>
      <c r="E29" s="142">
        <v>0</v>
      </c>
      <c r="F29" s="142">
        <f>ROUNDUP(E29+(E29*Assumptions!G$5),-2)</f>
        <v>0</v>
      </c>
      <c r="G29" s="33">
        <f>ROUNDUP(F29+(F29*Assumptions!H$5),-2)</f>
        <v>0</v>
      </c>
      <c r="H29" s="33">
        <f>ROUNDUP(G29+(G29*Assumptions!I$5),-2)</f>
        <v>0</v>
      </c>
      <c r="I29" s="33">
        <f>ROUNDUP(H29+(H29*Assumptions!J$5),-2)</f>
        <v>0</v>
      </c>
      <c r="J29" s="33">
        <f>ROUNDUP(I29+(I29*Assumptions!K$5),-2)</f>
        <v>0</v>
      </c>
      <c r="K29" s="33">
        <f>ROUNDUP(J29+(J29*Assumptions!L$5),-2)</f>
        <v>0</v>
      </c>
      <c r="L29" s="33">
        <f>ROUNDUP(K29+(K29*Assumptions!M$5),-2)</f>
        <v>0</v>
      </c>
      <c r="M29" s="33">
        <f>ROUNDUP(L29+(L29*Assumptions!N$5),-2)</f>
        <v>0</v>
      </c>
      <c r="N29" s="142">
        <f>ROUNDUP(M29+(M29*Assumptions!O$5),-2)</f>
        <v>0</v>
      </c>
      <c r="O29" s="142">
        <f>ROUNDUP(N29+(N29*Assumptions!P$5),-2)</f>
        <v>0</v>
      </c>
      <c r="P29" s="114">
        <f>ROUNDUP(O29+(O29*Assumptions!Q$5),-2)</f>
        <v>0</v>
      </c>
    </row>
    <row r="30" spans="1:16" x14ac:dyDescent="0.2">
      <c r="A30" s="472" t="s">
        <v>2818</v>
      </c>
      <c r="B30" s="231">
        <v>22056</v>
      </c>
      <c r="C30" s="231">
        <f>'Debt-Gen'!E74/1000-C24-380-96</f>
        <v>20183</v>
      </c>
      <c r="D30" s="231">
        <v>19400</v>
      </c>
      <c r="E30" s="231">
        <v>16319</v>
      </c>
      <c r="F30" s="234">
        <f>'Debt-Gen'!K74/1000-'BS&amp;Ratios'!F24</f>
        <v>20858.400000000001</v>
      </c>
      <c r="G30" s="231">
        <f>'Debt-Gen'!M74/1000-'BS&amp;Ratios'!G24</f>
        <v>23538.400000000001</v>
      </c>
      <c r="H30" s="231">
        <f>'Debt-Gen'!O74/1000-'BS&amp;Ratios'!H24</f>
        <v>22719.5</v>
      </c>
      <c r="I30" s="231">
        <f>'Debt-Gen'!Q74/1000-'BS&amp;Ratios'!I24</f>
        <v>19676.300000000003</v>
      </c>
      <c r="J30" s="231">
        <f>'Debt-Gen'!S74/1000-'BS&amp;Ratios'!J24</f>
        <v>24473.5</v>
      </c>
      <c r="K30" s="231">
        <f>'Debt-Gen'!U74/1000-'BS&amp;Ratios'!K24</f>
        <v>21388.6</v>
      </c>
      <c r="L30" s="231">
        <f>'Debt-Gen'!W74/1000-'BS&amp;Ratios'!L24</f>
        <v>19038.399999999998</v>
      </c>
      <c r="M30" s="231">
        <f>'Debt-Gen'!Y74/1000-'BS&amp;Ratios'!M24</f>
        <v>16958.2</v>
      </c>
      <c r="N30" s="233">
        <f>'Debt-Gen'!AA74/1000-'BS&amp;Ratios'!N24</f>
        <v>15505.6</v>
      </c>
      <c r="O30" s="233">
        <f>'Debt-Gen'!AC74/1000-'BS&amp;Ratios'!O24</f>
        <v>14055.7</v>
      </c>
      <c r="P30" s="88">
        <f>'Debt-Gen'!AE74/1000-'BS&amp;Ratios'!P24</f>
        <v>14055.7</v>
      </c>
    </row>
    <row r="31" spans="1:16" x14ac:dyDescent="0.2">
      <c r="A31" s="472" t="s">
        <v>2819</v>
      </c>
      <c r="B31" s="931">
        <v>3938</v>
      </c>
      <c r="C31" s="931">
        <v>4568</v>
      </c>
      <c r="D31" s="931">
        <v>4560</v>
      </c>
      <c r="E31" s="642">
        <v>4466</v>
      </c>
      <c r="F31" s="642">
        <f>ROUNDUP(E31+(E31*Assumptions!G$14),-2)</f>
        <v>4700</v>
      </c>
      <c r="G31" s="455">
        <f>ROUNDUP(F31+(F31*Assumptions!H$14),-2)</f>
        <v>5000</v>
      </c>
      <c r="H31" s="455">
        <f>ROUNDUP(G31+(G31*Assumptions!I$14),-2)</f>
        <v>5300</v>
      </c>
      <c r="I31" s="455">
        <f>ROUNDUP(H31+(H31*Assumptions!J$14),-2)</f>
        <v>5600</v>
      </c>
      <c r="J31" s="455">
        <f>ROUNDUP(I31+(I31*Assumptions!K$14),-2)</f>
        <v>5900</v>
      </c>
      <c r="K31" s="455">
        <f>ROUNDUP(J31+(J31*Assumptions!L$14),-2)</f>
        <v>6200</v>
      </c>
      <c r="L31" s="455">
        <f>ROUNDUP(K31+(K31*Assumptions!M$14),-2)</f>
        <v>6500</v>
      </c>
      <c r="M31" s="455">
        <f>ROUNDUP(L31+(L31*Assumptions!N$14),-2)</f>
        <v>6800</v>
      </c>
      <c r="N31" s="899">
        <f>ROUNDUP(M31+(M31*Assumptions!O$14),-2)</f>
        <v>7200</v>
      </c>
      <c r="O31" s="900">
        <f>ROUNDUP(N31+(N31*Assumptions!P$14),-2)</f>
        <v>7600</v>
      </c>
      <c r="P31" s="901">
        <f>ROUNDUP(O31+(O31*Assumptions!Q$14),-2)</f>
        <v>8000</v>
      </c>
    </row>
    <row r="32" spans="1:16" s="1" customFormat="1" x14ac:dyDescent="0.2">
      <c r="A32" s="1269" t="s">
        <v>2822</v>
      </c>
      <c r="B32" s="82">
        <f t="shared" ref="B32:M32" si="13">SUM(B29:B31)</f>
        <v>26534</v>
      </c>
      <c r="C32" s="82">
        <f t="shared" si="13"/>
        <v>24751</v>
      </c>
      <c r="D32" s="82">
        <f t="shared" si="13"/>
        <v>23960</v>
      </c>
      <c r="E32" s="82">
        <f t="shared" si="13"/>
        <v>20785</v>
      </c>
      <c r="F32" s="160">
        <f t="shared" si="13"/>
        <v>25558.400000000001</v>
      </c>
      <c r="G32" s="82">
        <f t="shared" si="13"/>
        <v>28538.400000000001</v>
      </c>
      <c r="H32" s="82">
        <f t="shared" si="13"/>
        <v>28019.5</v>
      </c>
      <c r="I32" s="82">
        <f t="shared" si="13"/>
        <v>25276.300000000003</v>
      </c>
      <c r="J32" s="82">
        <f t="shared" si="13"/>
        <v>30373.5</v>
      </c>
      <c r="K32" s="82">
        <f t="shared" si="13"/>
        <v>27588.6</v>
      </c>
      <c r="L32" s="82">
        <f t="shared" si="13"/>
        <v>25538.399999999998</v>
      </c>
      <c r="M32" s="82">
        <f t="shared" si="13"/>
        <v>23758.2</v>
      </c>
      <c r="N32" s="83">
        <f t="shared" ref="N32:O32" si="14">SUM(N29:N31)</f>
        <v>22705.599999999999</v>
      </c>
      <c r="O32" s="83">
        <f t="shared" si="14"/>
        <v>21655.7</v>
      </c>
      <c r="P32" s="72">
        <f t="shared" ref="P32" si="15">SUM(P29:P31)</f>
        <v>22055.7</v>
      </c>
    </row>
    <row r="33" spans="1:16" s="4" customFormat="1" x14ac:dyDescent="0.2">
      <c r="A33" s="471" t="s">
        <v>2423</v>
      </c>
      <c r="B33" s="905">
        <f t="shared" ref="B33:M33" si="16">B26+B32</f>
        <v>44347</v>
      </c>
      <c r="C33" s="905">
        <f t="shared" si="16"/>
        <v>44399</v>
      </c>
      <c r="D33" s="905">
        <f t="shared" si="16"/>
        <v>40468</v>
      </c>
      <c r="E33" s="905">
        <f t="shared" si="16"/>
        <v>38395</v>
      </c>
      <c r="F33" s="2561">
        <f t="shared" si="16"/>
        <v>43091.199999999997</v>
      </c>
      <c r="G33" s="905">
        <f t="shared" si="16"/>
        <v>46316.2</v>
      </c>
      <c r="H33" s="905">
        <f t="shared" si="16"/>
        <v>46258.400000000001</v>
      </c>
      <c r="I33" s="905">
        <f t="shared" si="16"/>
        <v>43629.4</v>
      </c>
      <c r="J33" s="905">
        <f t="shared" si="16"/>
        <v>49626.400000000001</v>
      </c>
      <c r="K33" s="905">
        <f t="shared" si="16"/>
        <v>46743.5</v>
      </c>
      <c r="L33" s="905">
        <f t="shared" si="16"/>
        <v>44318.6</v>
      </c>
      <c r="M33" s="905">
        <f t="shared" si="16"/>
        <v>42638.3</v>
      </c>
      <c r="N33" s="906">
        <f t="shared" ref="N33:O33" si="17">N26+N32</f>
        <v>41328.199999999997</v>
      </c>
      <c r="O33" s="906">
        <f t="shared" si="17"/>
        <v>40645.600000000006</v>
      </c>
      <c r="P33" s="907">
        <f t="shared" ref="P33" si="18">P26+P32</f>
        <v>39975.699999999997</v>
      </c>
    </row>
    <row r="34" spans="1:16" s="4" customFormat="1" ht="13.5" thickBot="1" x14ac:dyDescent="0.25">
      <c r="A34" s="471" t="s">
        <v>2424</v>
      </c>
      <c r="B34" s="902">
        <f t="shared" ref="B34:M34" si="19">B19-B33</f>
        <v>765691</v>
      </c>
      <c r="C34" s="902">
        <f t="shared" si="19"/>
        <v>774177</v>
      </c>
      <c r="D34" s="902">
        <f t="shared" si="19"/>
        <v>841849</v>
      </c>
      <c r="E34" s="902">
        <f t="shared" si="19"/>
        <v>856107</v>
      </c>
      <c r="F34" s="2560">
        <f t="shared" si="19"/>
        <v>872008.8</v>
      </c>
      <c r="G34" s="902">
        <f t="shared" si="19"/>
        <v>892683.8</v>
      </c>
      <c r="H34" s="902">
        <f t="shared" si="19"/>
        <v>906871.6</v>
      </c>
      <c r="I34" s="902">
        <f t="shared" si="19"/>
        <v>919360.6</v>
      </c>
      <c r="J34" s="902">
        <f t="shared" si="19"/>
        <v>939353.59999999998</v>
      </c>
      <c r="K34" s="902">
        <f t="shared" si="19"/>
        <v>955186.5</v>
      </c>
      <c r="L34" s="902">
        <f t="shared" si="19"/>
        <v>961471.4</v>
      </c>
      <c r="M34" s="902">
        <f t="shared" si="19"/>
        <v>968261.7</v>
      </c>
      <c r="N34" s="903">
        <f t="shared" ref="N34:O34" si="20">N19-N33</f>
        <v>975111.8</v>
      </c>
      <c r="O34" s="903">
        <f t="shared" si="20"/>
        <v>982594.4</v>
      </c>
      <c r="P34" s="904">
        <f t="shared" ref="P34" si="21">P19-P33</f>
        <v>990784.3</v>
      </c>
    </row>
    <row r="35" spans="1:16" x14ac:dyDescent="0.2">
      <c r="A35" s="473"/>
      <c r="B35" s="231"/>
      <c r="C35" s="231"/>
      <c r="D35" s="231"/>
      <c r="E35" s="231"/>
      <c r="F35" s="234"/>
      <c r="G35" s="231"/>
      <c r="H35" s="231"/>
      <c r="I35" s="231"/>
      <c r="J35" s="231"/>
      <c r="K35" s="231"/>
      <c r="L35" s="231"/>
      <c r="M35" s="231"/>
      <c r="N35" s="233"/>
      <c r="O35" s="233"/>
      <c r="P35" s="88"/>
    </row>
    <row r="36" spans="1:16" x14ac:dyDescent="0.2">
      <c r="A36" s="471" t="s">
        <v>2425</v>
      </c>
      <c r="B36" s="231"/>
      <c r="C36" s="231"/>
      <c r="D36" s="231"/>
      <c r="E36" s="231"/>
      <c r="F36" s="234"/>
      <c r="G36" s="231"/>
      <c r="H36" s="231"/>
      <c r="I36" s="231"/>
      <c r="J36" s="231"/>
      <c r="K36" s="231"/>
      <c r="L36" s="231"/>
      <c r="M36" s="231"/>
      <c r="N36" s="233"/>
      <c r="O36" s="233"/>
      <c r="P36" s="88"/>
    </row>
    <row r="37" spans="1:16" x14ac:dyDescent="0.2">
      <c r="A37" s="472" t="s">
        <v>2515</v>
      </c>
      <c r="B37" s="231">
        <f t="shared" ref="B37:M37" si="22">B34-B38</f>
        <v>487632</v>
      </c>
      <c r="C37" s="231">
        <f t="shared" si="22"/>
        <v>488865</v>
      </c>
      <c r="D37" s="231">
        <f t="shared" si="22"/>
        <v>498603</v>
      </c>
      <c r="E37" s="231">
        <f t="shared" si="22"/>
        <v>507454</v>
      </c>
      <c r="F37" s="234">
        <f t="shared" si="22"/>
        <v>516308.80000000005</v>
      </c>
      <c r="G37" s="231">
        <f t="shared" si="22"/>
        <v>531583.80000000005</v>
      </c>
      <c r="H37" s="231">
        <f t="shared" si="22"/>
        <v>536671.6</v>
      </c>
      <c r="I37" s="231">
        <f t="shared" si="22"/>
        <v>539860.6</v>
      </c>
      <c r="J37" s="231">
        <f t="shared" si="22"/>
        <v>550353.6</v>
      </c>
      <c r="K37" s="231">
        <f t="shared" si="22"/>
        <v>558386.5</v>
      </c>
      <c r="L37" s="231">
        <f t="shared" si="22"/>
        <v>556671.4</v>
      </c>
      <c r="M37" s="231">
        <f t="shared" si="22"/>
        <v>555361.69999999995</v>
      </c>
      <c r="N37" s="233">
        <f t="shared" ref="N37:O37" si="23">N34-N38</f>
        <v>553911.80000000005</v>
      </c>
      <c r="O37" s="233">
        <f t="shared" si="23"/>
        <v>552894.4</v>
      </c>
      <c r="P37" s="88">
        <f t="shared" ref="P37" si="24">P34-P38</f>
        <v>552484.30000000005</v>
      </c>
    </row>
    <row r="38" spans="1:16" x14ac:dyDescent="0.2">
      <c r="A38" s="472" t="s">
        <v>2889</v>
      </c>
      <c r="B38" s="899">
        <v>278059</v>
      </c>
      <c r="C38" s="899">
        <v>285312</v>
      </c>
      <c r="D38" s="899">
        <v>343246</v>
      </c>
      <c r="E38" s="899">
        <v>348653</v>
      </c>
      <c r="F38" s="1152">
        <f>ROUNDUP(E38+(E38*Assumptions!G$5),-2)</f>
        <v>355700</v>
      </c>
      <c r="G38" s="899">
        <f>ROUNDUP(F38+(F38*Assumptions!H$5),-2)</f>
        <v>361100</v>
      </c>
      <c r="H38" s="899">
        <f>ROUNDUP(G38+(G38*Assumptions!I$5),-2)</f>
        <v>370200</v>
      </c>
      <c r="I38" s="899">
        <f>ROUNDUP(H38+(H38*Assumptions!J$5),-2)</f>
        <v>379500</v>
      </c>
      <c r="J38" s="899">
        <f>ROUNDUP(I38+(I38*Assumptions!K$5),-2)</f>
        <v>389000</v>
      </c>
      <c r="K38" s="899">
        <f>ROUNDUP(J38+(J38*Assumptions!L$5),-2)</f>
        <v>396800</v>
      </c>
      <c r="L38" s="899">
        <f>ROUNDUP(K38+(K38*Assumptions!M$5),-2)</f>
        <v>404800</v>
      </c>
      <c r="M38" s="899">
        <f>ROUNDUP(L38+(L38*Assumptions!N$5),-2)</f>
        <v>412900</v>
      </c>
      <c r="N38" s="900">
        <f>ROUNDUP(M38+(M38*Assumptions!O$5),-2)</f>
        <v>421200</v>
      </c>
      <c r="O38" s="900">
        <f>ROUNDUP(N38+(N38*Assumptions!P$5),-2)</f>
        <v>429700</v>
      </c>
      <c r="P38" s="901">
        <f>ROUNDUP(O38+(O38*Assumptions!Q$5),-2)</f>
        <v>438300</v>
      </c>
    </row>
    <row r="39" spans="1:16" s="1" customFormat="1" x14ac:dyDescent="0.2">
      <c r="A39" s="1269" t="s">
        <v>2767</v>
      </c>
      <c r="B39" s="82">
        <f t="shared" ref="B39:M39" si="25">SUM(B37:B38)</f>
        <v>765691</v>
      </c>
      <c r="C39" s="82">
        <f t="shared" si="25"/>
        <v>774177</v>
      </c>
      <c r="D39" s="82">
        <f t="shared" si="25"/>
        <v>841849</v>
      </c>
      <c r="E39" s="82">
        <f t="shared" si="25"/>
        <v>856107</v>
      </c>
      <c r="F39" s="160">
        <f t="shared" si="25"/>
        <v>872008.8</v>
      </c>
      <c r="G39" s="82">
        <f t="shared" si="25"/>
        <v>892683.8</v>
      </c>
      <c r="H39" s="82">
        <f t="shared" si="25"/>
        <v>906871.6</v>
      </c>
      <c r="I39" s="82">
        <f t="shared" si="25"/>
        <v>919360.6</v>
      </c>
      <c r="J39" s="82">
        <f t="shared" si="25"/>
        <v>939353.59999999998</v>
      </c>
      <c r="K39" s="82">
        <f t="shared" si="25"/>
        <v>955186.5</v>
      </c>
      <c r="L39" s="82">
        <f t="shared" si="25"/>
        <v>961471.4</v>
      </c>
      <c r="M39" s="82">
        <f t="shared" si="25"/>
        <v>968261.7</v>
      </c>
      <c r="N39" s="83">
        <f t="shared" ref="N39:O39" si="26">SUM(N37:N38)</f>
        <v>975111.8</v>
      </c>
      <c r="O39" s="83">
        <f t="shared" si="26"/>
        <v>982594.4</v>
      </c>
      <c r="P39" s="72">
        <f t="shared" ref="P39" si="27">SUM(P37:P38)</f>
        <v>990784.3</v>
      </c>
    </row>
    <row r="40" spans="1:16" ht="13.5" thickBot="1" x14ac:dyDescent="0.25">
      <c r="A40" s="563"/>
      <c r="B40" s="948"/>
      <c r="C40" s="948"/>
      <c r="D40" s="948"/>
      <c r="E40" s="948"/>
      <c r="F40" s="2562"/>
      <c r="G40" s="948"/>
      <c r="H40" s="948"/>
      <c r="I40" s="948"/>
      <c r="J40" s="948"/>
      <c r="K40" s="948"/>
      <c r="L40" s="948"/>
      <c r="M40" s="948"/>
      <c r="N40" s="1637"/>
      <c r="O40" s="1637"/>
      <c r="P40" s="763"/>
    </row>
    <row r="41" spans="1:16" s="9" customFormat="1" ht="14.25" thickTop="1" thickBot="1" x14ac:dyDescent="0.25">
      <c r="B41" s="748"/>
      <c r="C41" s="748"/>
      <c r="D41" s="748"/>
      <c r="E41" s="748"/>
      <c r="F41" s="1114"/>
      <c r="G41" s="748"/>
      <c r="H41" s="748"/>
      <c r="I41" s="748"/>
      <c r="J41" s="748"/>
      <c r="K41" s="748"/>
      <c r="L41" s="748"/>
      <c r="M41" s="748"/>
      <c r="N41" s="748"/>
      <c r="O41" s="748"/>
      <c r="P41" s="748"/>
    </row>
    <row r="42" spans="1:16" ht="17.25" thickTop="1" thickBot="1" x14ac:dyDescent="0.3">
      <c r="A42" s="2856" t="s">
        <v>6096</v>
      </c>
      <c r="B42" s="2857"/>
      <c r="C42" s="2857"/>
      <c r="D42" s="2857"/>
      <c r="E42" s="2857"/>
      <c r="F42" s="2857"/>
      <c r="G42" s="2857"/>
      <c r="H42" s="2857"/>
      <c r="I42" s="2857"/>
      <c r="J42" s="2857"/>
      <c r="K42" s="2857"/>
      <c r="L42" s="2857"/>
      <c r="M42" s="2857"/>
      <c r="N42" s="2857"/>
      <c r="O42" s="2857"/>
      <c r="P42" s="2858"/>
    </row>
    <row r="43" spans="1:16" s="4" customFormat="1" ht="13.5" thickBot="1" x14ac:dyDescent="0.25">
      <c r="A43" s="1689" t="s">
        <v>4575</v>
      </c>
      <c r="B43" s="1690" t="str">
        <f>SP!A54</f>
        <v>2012/13</v>
      </c>
      <c r="C43" s="1690" t="str">
        <f>SP!B54</f>
        <v>2013/14</v>
      </c>
      <c r="D43" s="1690" t="str">
        <f>SP!C54</f>
        <v>2014/15</v>
      </c>
      <c r="E43" s="1690" t="str">
        <f>SP!D54</f>
        <v>2015/16</v>
      </c>
      <c r="F43" s="2557" t="str">
        <f>SP!G54</f>
        <v>2016/17</v>
      </c>
      <c r="G43" s="1690" t="str">
        <f>SP!I54</f>
        <v>2017/18</v>
      </c>
      <c r="H43" s="1690" t="str">
        <f>SP!J54</f>
        <v>2018/19</v>
      </c>
      <c r="I43" s="1690" t="str">
        <f>SP!K54</f>
        <v>2019/20</v>
      </c>
      <c r="J43" s="1690" t="str">
        <f>SP!L54</f>
        <v>2020/21</v>
      </c>
      <c r="K43" s="1690" t="str">
        <f>SP!M54</f>
        <v>2021/22</v>
      </c>
      <c r="L43" s="1690" t="str">
        <f>SP!N54</f>
        <v>2022/23</v>
      </c>
      <c r="M43" s="1690" t="str">
        <f>SP!O54</f>
        <v>2023/24</v>
      </c>
      <c r="N43" s="1691" t="str">
        <f>SP!P54</f>
        <v>2024/25</v>
      </c>
      <c r="O43" s="1691" t="str">
        <f>SP!Q54</f>
        <v>2025/26</v>
      </c>
      <c r="P43" s="1692" t="str">
        <f>SP!R54</f>
        <v>2026/27</v>
      </c>
    </row>
    <row r="44" spans="1:16" s="4" customFormat="1" x14ac:dyDescent="0.2">
      <c r="A44" s="471"/>
      <c r="B44" s="1686"/>
      <c r="C44" s="1686"/>
      <c r="D44" s="1686"/>
      <c r="E44" s="1686"/>
      <c r="F44" s="2558"/>
      <c r="G44" s="1686"/>
      <c r="H44" s="1686"/>
      <c r="I44" s="1686"/>
      <c r="J44" s="1686"/>
      <c r="K44" s="1686"/>
      <c r="L44" s="1686"/>
      <c r="M44" s="1686"/>
      <c r="N44" s="1687"/>
      <c r="O44" s="1687"/>
      <c r="P44" s="1688"/>
    </row>
    <row r="45" spans="1:16" x14ac:dyDescent="0.2">
      <c r="A45" s="471" t="s">
        <v>2162</v>
      </c>
      <c r="B45" s="231"/>
      <c r="C45" s="231"/>
      <c r="D45" s="231"/>
      <c r="E45" s="231"/>
      <c r="F45" s="234"/>
      <c r="G45" s="231"/>
      <c r="H45" s="231"/>
      <c r="I45" s="231"/>
      <c r="J45" s="231"/>
      <c r="K45" s="231"/>
      <c r="L45" s="231"/>
      <c r="M45" s="231"/>
      <c r="N45" s="233"/>
      <c r="O45" s="233"/>
      <c r="P45" s="88"/>
    </row>
    <row r="46" spans="1:16" x14ac:dyDescent="0.2">
      <c r="A46" s="471" t="s">
        <v>2163</v>
      </c>
      <c r="B46" s="231"/>
      <c r="C46" s="231"/>
      <c r="D46" s="231"/>
      <c r="E46" s="231"/>
      <c r="F46" s="234"/>
      <c r="G46" s="231"/>
      <c r="H46" s="231"/>
      <c r="I46" s="231"/>
      <c r="J46" s="231"/>
      <c r="K46" s="231"/>
      <c r="L46" s="231"/>
      <c r="M46" s="231"/>
      <c r="N46" s="233"/>
      <c r="O46" s="233"/>
      <c r="P46" s="88"/>
    </row>
    <row r="47" spans="1:16" x14ac:dyDescent="0.2">
      <c r="A47" s="812" t="s">
        <v>4298</v>
      </c>
      <c r="B47" s="101">
        <f>2380+7140</f>
        <v>9520</v>
      </c>
      <c r="C47" s="101">
        <v>9662</v>
      </c>
      <c r="D47" s="33">
        <v>9094</v>
      </c>
      <c r="E47" s="33">
        <v>9625</v>
      </c>
      <c r="F47" s="142">
        <f>ROUNDUP(E47+('Cash-W'!F47/1000),-1)</f>
        <v>9920</v>
      </c>
      <c r="G47" s="33">
        <f>ROUNDUP(F47+('Cash-W'!G47/1000),-1)</f>
        <v>9970</v>
      </c>
      <c r="H47" s="33">
        <f>ROUNDUP(G47+('Cash-W'!H47/1000),-1)</f>
        <v>11100</v>
      </c>
      <c r="I47" s="33">
        <f>ROUNDUP(H47+('Cash-W'!I47/1000),-1)</f>
        <v>11220</v>
      </c>
      <c r="J47" s="33">
        <f>ROUNDUP(I47+('Cash-W'!J47/1000),-1)</f>
        <v>11700</v>
      </c>
      <c r="K47" s="33">
        <f>ROUNDUP(J47+('Cash-W'!K47/1000),-1)</f>
        <v>10160</v>
      </c>
      <c r="L47" s="33">
        <f>ROUNDUP(K47+('Cash-W'!L47/1000),-1)</f>
        <v>11610</v>
      </c>
      <c r="M47" s="33">
        <f>ROUNDUP(L47+('Cash-W'!M47/1000),-1)</f>
        <v>11320</v>
      </c>
      <c r="N47" s="142">
        <f>ROUNDUP(M47+('Cash-W'!N47/1000),-1)</f>
        <v>11510</v>
      </c>
      <c r="O47" s="142">
        <f>ROUNDUP(N47+('Cash-W'!P47/1000),-1)</f>
        <v>13870</v>
      </c>
      <c r="P47" s="114">
        <f>ROUNDUP(O47+('Cash-W'!Q47/1000),-1)</f>
        <v>13870</v>
      </c>
    </row>
    <row r="48" spans="1:16" x14ac:dyDescent="0.2">
      <c r="A48" s="472" t="s">
        <v>2121</v>
      </c>
      <c r="B48" s="33">
        <v>1866</v>
      </c>
      <c r="C48" s="33">
        <v>2095</v>
      </c>
      <c r="D48" s="33">
        <v>2062</v>
      </c>
      <c r="E48" s="33">
        <v>2043</v>
      </c>
      <c r="F48" s="142">
        <f>ROUNDUP(E48+(E48*Assumptions!G$5),-1)</f>
        <v>2090</v>
      </c>
      <c r="G48" s="33">
        <f>ROUNDUP(F48+(F48*Assumptions!H$5),-1)</f>
        <v>2130</v>
      </c>
      <c r="H48" s="33">
        <f>ROUNDUP(G48+(G48*Assumptions!I$5),-1)</f>
        <v>2190</v>
      </c>
      <c r="I48" s="33">
        <f>ROUNDUP(H48+(H48*Assumptions!J$5),-1)</f>
        <v>2250</v>
      </c>
      <c r="J48" s="33">
        <f>ROUNDUP(I48+(I48*Assumptions!K$5),-1)</f>
        <v>2310</v>
      </c>
      <c r="K48" s="33">
        <f>ROUNDUP(J48+(J48*Assumptions!L$5),-1)</f>
        <v>2360</v>
      </c>
      <c r="L48" s="33">
        <f>ROUNDUP(K48+(K48*Assumptions!M$5),-1)</f>
        <v>2410</v>
      </c>
      <c r="M48" s="33">
        <f>ROUNDUP(L48+(L48*Assumptions!N$5),-1)</f>
        <v>2460</v>
      </c>
      <c r="N48" s="142">
        <f>ROUNDUP(M48+(M48*Assumptions!O$5),-1)</f>
        <v>2510</v>
      </c>
      <c r="O48" s="142">
        <f>ROUNDUP(N48+(N48*Assumptions!P$5),-1)</f>
        <v>2570</v>
      </c>
      <c r="P48" s="114">
        <f>ROUNDUP(O48+(O48*Assumptions!Q$5),-1)</f>
        <v>2630</v>
      </c>
    </row>
    <row r="49" spans="1:16" x14ac:dyDescent="0.2">
      <c r="A49" s="472" t="s">
        <v>2122</v>
      </c>
      <c r="B49" s="33">
        <v>0</v>
      </c>
      <c r="C49" s="33">
        <v>0</v>
      </c>
      <c r="D49" s="33">
        <f>ROUNDUP(C49+(C49*Assumptions!E$5),-1)</f>
        <v>0</v>
      </c>
      <c r="E49" s="33">
        <v>0</v>
      </c>
      <c r="F49" s="142">
        <f>ROUNDUP(E49+(E49*Assumptions!G$5),-1)</f>
        <v>0</v>
      </c>
      <c r="G49" s="33">
        <f>ROUNDUP(F49+(F49*Assumptions!H$5),-1)</f>
        <v>0</v>
      </c>
      <c r="H49" s="33">
        <f>ROUNDUP(G49+(G49*Assumptions!I$5),-1)</f>
        <v>0</v>
      </c>
      <c r="I49" s="33">
        <f>ROUNDUP(H49+(H49*Assumptions!J$5),-1)</f>
        <v>0</v>
      </c>
      <c r="J49" s="33">
        <f>ROUNDUP(I49+(I49*Assumptions!K$5),-1)</f>
        <v>0</v>
      </c>
      <c r="K49" s="33">
        <f>ROUNDUP(J49+(J49*Assumptions!L$5),-1)</f>
        <v>0</v>
      </c>
      <c r="L49" s="33">
        <f>ROUNDUP(K49+(K49*Assumptions!M$5),-1)</f>
        <v>0</v>
      </c>
      <c r="M49" s="33">
        <f>ROUNDUP(L49+(L49*Assumptions!N$5),-1)</f>
        <v>0</v>
      </c>
      <c r="N49" s="142">
        <f>ROUNDUP(M49+(M49*Assumptions!O$5),-1)</f>
        <v>0</v>
      </c>
      <c r="O49" s="142">
        <f>ROUNDUP(N49+(N49*Assumptions!P$5),-1)</f>
        <v>0</v>
      </c>
      <c r="P49" s="114">
        <f>ROUNDUP(O49+(O49*Assumptions!Q$5),-1)</f>
        <v>0</v>
      </c>
    </row>
    <row r="50" spans="1:16" x14ac:dyDescent="0.2">
      <c r="A50" s="472" t="s">
        <v>1771</v>
      </c>
      <c r="B50" s="455">
        <v>0</v>
      </c>
      <c r="C50" s="455">
        <v>0</v>
      </c>
      <c r="D50" s="455">
        <v>121</v>
      </c>
      <c r="E50" s="455">
        <v>118</v>
      </c>
      <c r="F50" s="642">
        <f>ROUNDUP(E50+(E50*Assumptions!G$5),-1)</f>
        <v>130</v>
      </c>
      <c r="G50" s="455">
        <f>ROUNDUP(F50+(F50*Assumptions!H$5),-1)</f>
        <v>140</v>
      </c>
      <c r="H50" s="455">
        <f>ROUNDUP(G50+(G50*Assumptions!I$5),-1)</f>
        <v>150</v>
      </c>
      <c r="I50" s="455">
        <f>ROUNDUP(H50+(H50*Assumptions!J$5),-1)</f>
        <v>160</v>
      </c>
      <c r="J50" s="455">
        <f>ROUNDUP(I50+(I50*Assumptions!K$5),-1)</f>
        <v>170</v>
      </c>
      <c r="K50" s="455">
        <f>ROUNDUP(J50+(J50*Assumptions!L$5),-1)</f>
        <v>180</v>
      </c>
      <c r="L50" s="455">
        <f>ROUNDUP(K50+(K50*Assumptions!M$5),-1)</f>
        <v>190</v>
      </c>
      <c r="M50" s="455">
        <f>ROUNDUP(L50+(L50*Assumptions!N$5),-1)</f>
        <v>200</v>
      </c>
      <c r="N50" s="642">
        <f>ROUNDUP(M50+(M50*Assumptions!O$5),-1)</f>
        <v>210</v>
      </c>
      <c r="O50" s="642">
        <f>ROUNDUP(N50+(N50*Assumptions!P$5),-1)</f>
        <v>220</v>
      </c>
      <c r="P50" s="761">
        <f>ROUNDUP(O50+(O50*Assumptions!Q$5),-1)</f>
        <v>230</v>
      </c>
    </row>
    <row r="51" spans="1:16" s="1" customFormat="1" x14ac:dyDescent="0.2">
      <c r="A51" s="1269" t="s">
        <v>2123</v>
      </c>
      <c r="B51" s="116">
        <f t="shared" ref="B51:M51" si="28">SUM(B47:B50)</f>
        <v>11386</v>
      </c>
      <c r="C51" s="116">
        <f t="shared" si="28"/>
        <v>11757</v>
      </c>
      <c r="D51" s="116">
        <f t="shared" si="28"/>
        <v>11277</v>
      </c>
      <c r="E51" s="116">
        <f t="shared" si="28"/>
        <v>11786</v>
      </c>
      <c r="F51" s="160">
        <f t="shared" si="28"/>
        <v>12140</v>
      </c>
      <c r="G51" s="116">
        <f t="shared" si="28"/>
        <v>12240</v>
      </c>
      <c r="H51" s="116">
        <f t="shared" si="28"/>
        <v>13440</v>
      </c>
      <c r="I51" s="116">
        <f t="shared" si="28"/>
        <v>13630</v>
      </c>
      <c r="J51" s="116">
        <f t="shared" si="28"/>
        <v>14180</v>
      </c>
      <c r="K51" s="116">
        <f t="shared" si="28"/>
        <v>12700</v>
      </c>
      <c r="L51" s="116">
        <f t="shared" si="28"/>
        <v>14210</v>
      </c>
      <c r="M51" s="116">
        <f t="shared" si="28"/>
        <v>13980</v>
      </c>
      <c r="N51" s="160">
        <f t="shared" ref="N51:O51" si="29">SUM(N47:N50)</f>
        <v>14230</v>
      </c>
      <c r="O51" s="160">
        <f t="shared" si="29"/>
        <v>16660</v>
      </c>
      <c r="P51" s="159">
        <f t="shared" ref="P51" si="30">SUM(P47:P50)</f>
        <v>16730</v>
      </c>
    </row>
    <row r="52" spans="1:16" x14ac:dyDescent="0.2">
      <c r="A52" s="473"/>
      <c r="B52" s="101"/>
      <c r="C52" s="101"/>
      <c r="D52" s="101"/>
      <c r="E52" s="101"/>
      <c r="F52" s="234"/>
      <c r="G52" s="101"/>
      <c r="H52" s="101"/>
      <c r="I52" s="101"/>
      <c r="J52" s="101"/>
      <c r="K52" s="101"/>
      <c r="L52" s="101"/>
      <c r="M52" s="101"/>
      <c r="N52" s="234"/>
      <c r="O52" s="234"/>
      <c r="P52" s="104"/>
    </row>
    <row r="53" spans="1:16" x14ac:dyDescent="0.2">
      <c r="A53" s="471" t="s">
        <v>2124</v>
      </c>
      <c r="B53" s="101"/>
      <c r="C53" s="101"/>
      <c r="D53" s="101"/>
      <c r="E53" s="101"/>
      <c r="F53" s="234"/>
      <c r="G53" s="101"/>
      <c r="H53" s="101"/>
      <c r="I53" s="101"/>
      <c r="J53" s="101"/>
      <c r="K53" s="101"/>
      <c r="L53" s="101"/>
      <c r="M53" s="101"/>
      <c r="N53" s="234"/>
      <c r="O53" s="234"/>
      <c r="P53" s="104"/>
    </row>
    <row r="54" spans="1:16" x14ac:dyDescent="0.2">
      <c r="A54" s="472" t="s">
        <v>1941</v>
      </c>
      <c r="B54" s="101">
        <v>1298</v>
      </c>
      <c r="C54" s="101">
        <v>1240</v>
      </c>
      <c r="D54" s="101">
        <v>1241</v>
      </c>
      <c r="E54" s="33">
        <v>952</v>
      </c>
      <c r="F54" s="142">
        <f>E54</f>
        <v>952</v>
      </c>
      <c r="G54" s="33">
        <f t="shared" ref="G54:P54" si="31">F54</f>
        <v>952</v>
      </c>
      <c r="H54" s="33">
        <f t="shared" si="31"/>
        <v>952</v>
      </c>
      <c r="I54" s="33">
        <f t="shared" si="31"/>
        <v>952</v>
      </c>
      <c r="J54" s="33">
        <f t="shared" si="31"/>
        <v>952</v>
      </c>
      <c r="K54" s="33">
        <f t="shared" si="31"/>
        <v>952</v>
      </c>
      <c r="L54" s="33">
        <f t="shared" si="31"/>
        <v>952</v>
      </c>
      <c r="M54" s="33">
        <f t="shared" si="31"/>
        <v>952</v>
      </c>
      <c r="N54" s="142">
        <f t="shared" si="31"/>
        <v>952</v>
      </c>
      <c r="O54" s="142">
        <f t="shared" si="31"/>
        <v>952</v>
      </c>
      <c r="P54" s="114">
        <f t="shared" si="31"/>
        <v>952</v>
      </c>
    </row>
    <row r="55" spans="1:16" x14ac:dyDescent="0.2">
      <c r="A55" s="472" t="s">
        <v>2121</v>
      </c>
      <c r="B55" s="33">
        <v>165</v>
      </c>
      <c r="C55" s="33">
        <v>164</v>
      </c>
      <c r="D55" s="33">
        <f>137+16</f>
        <v>153</v>
      </c>
      <c r="E55" s="33">
        <v>108</v>
      </c>
      <c r="F55" s="142">
        <f>ROUNDUP(E55+(E55*Assumptions!G$5),-1)</f>
        <v>120</v>
      </c>
      <c r="G55" s="33">
        <f>ROUNDUP(F55+(F55*Assumptions!H$5),-1)</f>
        <v>130</v>
      </c>
      <c r="H55" s="33">
        <f>ROUNDUP(G55+(G55*Assumptions!I$5),-1)</f>
        <v>140</v>
      </c>
      <c r="I55" s="33">
        <f>ROUNDUP(H55+(H55*Assumptions!J$5),-1)</f>
        <v>150</v>
      </c>
      <c r="J55" s="33">
        <f>ROUNDUP(I55+(I55*Assumptions!K$5),-1)</f>
        <v>160</v>
      </c>
      <c r="K55" s="33">
        <f>ROUNDUP(J55+(J55*Assumptions!L$5),-1)</f>
        <v>170</v>
      </c>
      <c r="L55" s="33">
        <f>ROUNDUP(K55+(K55*Assumptions!M$5),-1)</f>
        <v>180</v>
      </c>
      <c r="M55" s="33">
        <f>ROUNDUP(L55+(L55*Assumptions!N$5),-1)</f>
        <v>190</v>
      </c>
      <c r="N55" s="142">
        <f>ROUNDUP(M55+(M55*Assumptions!O$5),-1)</f>
        <v>200</v>
      </c>
      <c r="O55" s="142">
        <f>ROUNDUP(N55+(N55*Assumptions!P$5),-1)</f>
        <v>210</v>
      </c>
      <c r="P55" s="114">
        <f>ROUNDUP(O55+(O55*Assumptions!Q$5),-1)</f>
        <v>220</v>
      </c>
    </row>
    <row r="56" spans="1:16" x14ac:dyDescent="0.2">
      <c r="A56" s="472" t="s">
        <v>2122</v>
      </c>
      <c r="B56" s="33">
        <v>0</v>
      </c>
      <c r="C56" s="33">
        <v>0</v>
      </c>
      <c r="D56" s="33">
        <f>ROUNDUP(C56+(C56*Assumptions!E$5),-2)</f>
        <v>0</v>
      </c>
      <c r="E56" s="33">
        <v>11</v>
      </c>
      <c r="F56" s="142">
        <f>ROUNDUP(E56+(E56*Assumptions!G$5),-2)</f>
        <v>100</v>
      </c>
      <c r="G56" s="33">
        <f>ROUNDUP(F56+(F56*Assumptions!H$5),-2)</f>
        <v>200</v>
      </c>
      <c r="H56" s="33">
        <f>ROUNDUP(G56+(G56*Assumptions!I$5),-2)</f>
        <v>300</v>
      </c>
      <c r="I56" s="33">
        <f>ROUNDUP(H56+(H56*Assumptions!J$5),-2)</f>
        <v>400</v>
      </c>
      <c r="J56" s="33">
        <f>ROUNDUP(I56+(I56*Assumptions!K$5),-2)</f>
        <v>500</v>
      </c>
      <c r="K56" s="33">
        <f>ROUNDUP(J56+(J56*Assumptions!L$5),-2)</f>
        <v>600</v>
      </c>
      <c r="L56" s="33">
        <f>ROUNDUP(K56+(K56*Assumptions!M$5),-2)</f>
        <v>700</v>
      </c>
      <c r="M56" s="33">
        <f>ROUNDUP(L56+(L56*Assumptions!N$5),-2)</f>
        <v>800</v>
      </c>
      <c r="N56" s="142">
        <f>ROUNDUP(M56+(M56*Assumptions!O$5),-2)</f>
        <v>900</v>
      </c>
      <c r="O56" s="142">
        <f>ROUNDUP(N56+(N56*Assumptions!P$5),-2)</f>
        <v>1000</v>
      </c>
      <c r="P56" s="114">
        <f>ROUNDUP(O56+(O56*Assumptions!Q$5),-2)</f>
        <v>1100</v>
      </c>
    </row>
    <row r="57" spans="1:16" x14ac:dyDescent="0.2">
      <c r="A57" s="812" t="s">
        <v>3363</v>
      </c>
      <c r="B57" s="101">
        <v>108371</v>
      </c>
      <c r="C57" s="101">
        <v>111486</v>
      </c>
      <c r="D57" s="101">
        <v>68999</v>
      </c>
      <c r="E57" s="101">
        <v>71157</v>
      </c>
      <c r="F57" s="234">
        <f>ROUND(E57+'Cap-Water'!F68/1000-LTFP!E245/1000,-2)</f>
        <v>73300</v>
      </c>
      <c r="G57" s="101">
        <f>ROUND(F57+'Cap-Water'!G68/1000-LTFP!G245/1000,-2)</f>
        <v>75300</v>
      </c>
      <c r="H57" s="101">
        <f>ROUND(G57+'Cap-Water'!H68/1000-LTFP!H245/1000,-2)</f>
        <v>77900</v>
      </c>
      <c r="I57" s="101">
        <f>ROUND(H57+'Cap-Water'!I68/1000-LTFP!I245/1000,-2)</f>
        <v>80100</v>
      </c>
      <c r="J57" s="101">
        <f>ROUND(I57+'Cap-Water'!J68/1000-LTFP!J245/1000,-2)</f>
        <v>80900</v>
      </c>
      <c r="K57" s="101">
        <f>ROUND(J57+'Cap-Water'!K68/1000-LTFP!K245/1000,-2)</f>
        <v>85300</v>
      </c>
      <c r="L57" s="101">
        <f>ROUND(K57+'Cap-Water'!L68/1000-LTFP!L245/1000,-2)</f>
        <v>88400</v>
      </c>
      <c r="M57" s="101">
        <f>ROUND(L57+'Cap-Water'!M68/1000-LTFP!M245/1000,-2)</f>
        <v>90900</v>
      </c>
      <c r="N57" s="234">
        <f>ROUND(M57+'Cap-Water'!N68/1000-LTFP!N245/1000,-2)</f>
        <v>93400</v>
      </c>
      <c r="O57" s="234">
        <f>ROUND(N57+'Cap-Water'!O681000-LTFP!O245/1000,-2)</f>
        <v>91800</v>
      </c>
      <c r="P57" s="104">
        <f>ROUND(O57+'Cap-Water'!P681000-LTFP!P245/1000,-2)</f>
        <v>90200</v>
      </c>
    </row>
    <row r="58" spans="1:16" x14ac:dyDescent="0.2">
      <c r="A58" s="472" t="s">
        <v>2125</v>
      </c>
      <c r="B58" s="132">
        <v>0</v>
      </c>
      <c r="C58" s="132">
        <v>0</v>
      </c>
      <c r="D58" s="33">
        <f>ROUNDUP(C58+(C58*Assumptions!E$5),-2)</f>
        <v>0</v>
      </c>
      <c r="E58" s="33">
        <v>0</v>
      </c>
      <c r="F58" s="142">
        <f>ROUNDUP(E58+(E58*Assumptions!G$5),-2)</f>
        <v>0</v>
      </c>
      <c r="G58" s="33">
        <f>ROUNDUP(F58+(F58*Assumptions!H$5),-2)</f>
        <v>0</v>
      </c>
      <c r="H58" s="33">
        <f>ROUNDUP(G58+(G58*Assumptions!I$5),-2)</f>
        <v>0</v>
      </c>
      <c r="I58" s="33">
        <f>ROUNDUP(H58+(H58*Assumptions!J$5),-2)</f>
        <v>0</v>
      </c>
      <c r="J58" s="33">
        <f>ROUNDUP(I58+(I58*Assumptions!K$5),-2)</f>
        <v>0</v>
      </c>
      <c r="K58" s="33">
        <f>ROUNDUP(J58+(J58*Assumptions!L$5),-2)</f>
        <v>0</v>
      </c>
      <c r="L58" s="33">
        <f>ROUNDUP(K58+(K58*Assumptions!M$5),-2)</f>
        <v>0</v>
      </c>
      <c r="M58" s="33">
        <f>ROUNDUP(L58+(L58*Assumptions!N$5),-2)</f>
        <v>0</v>
      </c>
      <c r="N58" s="142">
        <f>ROUNDUP(M58+(M58*Assumptions!O$5),-2)</f>
        <v>0</v>
      </c>
      <c r="O58" s="142">
        <f>ROUNDUP(N58+(N58*Assumptions!P$5),-2)</f>
        <v>0</v>
      </c>
      <c r="P58" s="114">
        <f>ROUNDUP(O58+(O58*Assumptions!Q$5),-2)</f>
        <v>0</v>
      </c>
    </row>
    <row r="59" spans="1:16" s="1" customFormat="1" x14ac:dyDescent="0.2">
      <c r="A59" s="1269" t="s">
        <v>2126</v>
      </c>
      <c r="B59" s="1327">
        <f t="shared" ref="B59:M59" si="32">SUM(B54:B58)</f>
        <v>109834</v>
      </c>
      <c r="C59" s="1327">
        <f t="shared" si="32"/>
        <v>112890</v>
      </c>
      <c r="D59" s="1327">
        <f t="shared" si="32"/>
        <v>70393</v>
      </c>
      <c r="E59" s="1327">
        <f t="shared" si="32"/>
        <v>72228</v>
      </c>
      <c r="F59" s="2559">
        <f t="shared" si="32"/>
        <v>74472</v>
      </c>
      <c r="G59" s="1327">
        <f t="shared" si="32"/>
        <v>76582</v>
      </c>
      <c r="H59" s="1327">
        <f t="shared" si="32"/>
        <v>79292</v>
      </c>
      <c r="I59" s="1327">
        <f t="shared" si="32"/>
        <v>81602</v>
      </c>
      <c r="J59" s="1327">
        <f t="shared" si="32"/>
        <v>82512</v>
      </c>
      <c r="K59" s="1327">
        <f t="shared" si="32"/>
        <v>87022</v>
      </c>
      <c r="L59" s="1327">
        <f t="shared" si="32"/>
        <v>90232</v>
      </c>
      <c r="M59" s="1327">
        <f t="shared" si="32"/>
        <v>92842</v>
      </c>
      <c r="N59" s="1509">
        <f t="shared" ref="N59:O59" si="33">SUM(N54:N58)</f>
        <v>95452</v>
      </c>
      <c r="O59" s="1509">
        <f t="shared" si="33"/>
        <v>93962</v>
      </c>
      <c r="P59" s="1510">
        <f t="shared" ref="P59" si="34">SUM(P54:P58)</f>
        <v>92472</v>
      </c>
    </row>
    <row r="60" spans="1:16" s="4" customFormat="1" ht="13.5" thickBot="1" x14ac:dyDescent="0.25">
      <c r="A60" s="471" t="s">
        <v>2127</v>
      </c>
      <c r="B60" s="902">
        <f t="shared" ref="B60:M60" si="35">B51+B59</f>
        <v>121220</v>
      </c>
      <c r="C60" s="902">
        <f t="shared" si="35"/>
        <v>124647</v>
      </c>
      <c r="D60" s="902">
        <f t="shared" si="35"/>
        <v>81670</v>
      </c>
      <c r="E60" s="902">
        <f t="shared" si="35"/>
        <v>84014</v>
      </c>
      <c r="F60" s="2560">
        <f t="shared" si="35"/>
        <v>86612</v>
      </c>
      <c r="G60" s="902">
        <f t="shared" si="35"/>
        <v>88822</v>
      </c>
      <c r="H60" s="902">
        <f t="shared" si="35"/>
        <v>92732</v>
      </c>
      <c r="I60" s="902">
        <f t="shared" si="35"/>
        <v>95232</v>
      </c>
      <c r="J60" s="902">
        <f t="shared" si="35"/>
        <v>96692</v>
      </c>
      <c r="K60" s="902">
        <f t="shared" si="35"/>
        <v>99722</v>
      </c>
      <c r="L60" s="902">
        <f t="shared" si="35"/>
        <v>104442</v>
      </c>
      <c r="M60" s="902">
        <f t="shared" si="35"/>
        <v>106822</v>
      </c>
      <c r="N60" s="903">
        <f t="shared" ref="N60:O60" si="36">N51+N59</f>
        <v>109682</v>
      </c>
      <c r="O60" s="903">
        <f t="shared" si="36"/>
        <v>110622</v>
      </c>
      <c r="P60" s="904">
        <f t="shared" ref="P60" si="37">P51+P59</f>
        <v>109202</v>
      </c>
    </row>
    <row r="61" spans="1:16" x14ac:dyDescent="0.2">
      <c r="A61" s="473"/>
      <c r="B61" s="231"/>
      <c r="C61" s="231"/>
      <c r="D61" s="231"/>
      <c r="E61" s="231"/>
      <c r="F61" s="234"/>
      <c r="G61" s="231"/>
      <c r="H61" s="231"/>
      <c r="I61" s="231"/>
      <c r="J61" s="231"/>
      <c r="K61" s="231"/>
      <c r="L61" s="231"/>
      <c r="M61" s="231"/>
      <c r="N61" s="233"/>
      <c r="O61" s="233"/>
      <c r="P61" s="88"/>
    </row>
    <row r="62" spans="1:16" x14ac:dyDescent="0.2">
      <c r="A62" s="471" t="s">
        <v>2128</v>
      </c>
      <c r="B62" s="231"/>
      <c r="C62" s="231"/>
      <c r="D62" s="231"/>
      <c r="E62" s="231"/>
      <c r="F62" s="234"/>
      <c r="G62" s="231"/>
      <c r="H62" s="231"/>
      <c r="I62" s="231"/>
      <c r="J62" s="231"/>
      <c r="K62" s="231"/>
      <c r="L62" s="231"/>
      <c r="M62" s="231"/>
      <c r="N62" s="233"/>
      <c r="O62" s="233"/>
      <c r="P62" s="88"/>
    </row>
    <row r="63" spans="1:16" x14ac:dyDescent="0.2">
      <c r="A63" s="471" t="s">
        <v>2816</v>
      </c>
      <c r="B63" s="231"/>
      <c r="C63" s="231"/>
      <c r="D63" s="231"/>
      <c r="E63" s="231"/>
      <c r="F63" s="234"/>
      <c r="G63" s="231"/>
      <c r="H63" s="231"/>
      <c r="I63" s="231"/>
      <c r="J63" s="231"/>
      <c r="K63" s="231"/>
      <c r="L63" s="231"/>
      <c r="M63" s="231"/>
      <c r="N63" s="233"/>
      <c r="O63" s="233"/>
      <c r="P63" s="88"/>
    </row>
    <row r="64" spans="1:16" x14ac:dyDescent="0.2">
      <c r="A64" s="472" t="s">
        <v>2817</v>
      </c>
      <c r="B64" s="101">
        <v>0</v>
      </c>
      <c r="C64" s="101">
        <v>0</v>
      </c>
      <c r="D64" s="142">
        <f>ROUNDUP(C64+(C64*Assumptions!E$5),-2)</f>
        <v>0</v>
      </c>
      <c r="E64" s="142">
        <v>0</v>
      </c>
      <c r="F64" s="142">
        <f>ROUNDUP(E64+(E64*Assumptions!G$5),-2)</f>
        <v>0</v>
      </c>
      <c r="G64" s="33">
        <f>ROUNDUP(F64+(F64*Assumptions!H$5),-2)</f>
        <v>0</v>
      </c>
      <c r="H64" s="33">
        <f>ROUNDUP(G64+(G64*Assumptions!I$5),-2)</f>
        <v>0</v>
      </c>
      <c r="I64" s="33">
        <f>ROUNDUP(H64+(H64*Assumptions!J$5),-2)</f>
        <v>0</v>
      </c>
      <c r="J64" s="33">
        <f>ROUNDUP(I64+(I64*Assumptions!K$5),-2)</f>
        <v>0</v>
      </c>
      <c r="K64" s="33">
        <f>ROUNDUP(J64+(J64*Assumptions!L$5),-2)</f>
        <v>0</v>
      </c>
      <c r="L64" s="33">
        <f>ROUNDUP(K64+(K64*Assumptions!M$5),-2)</f>
        <v>0</v>
      </c>
      <c r="M64" s="33">
        <f>ROUNDUP(L64+(L64*Assumptions!N$5),-2)</f>
        <v>0</v>
      </c>
      <c r="N64" s="142">
        <f>ROUNDUP(M64+(M64*Assumptions!O$5),-2)</f>
        <v>0</v>
      </c>
      <c r="O64" s="142">
        <f>ROUNDUP(N64+(N64*Assumptions!P$5),-2)</f>
        <v>0</v>
      </c>
      <c r="P64" s="114">
        <f>ROUNDUP(O64+(O64*Assumptions!Q$5),-2)</f>
        <v>0</v>
      </c>
    </row>
    <row r="65" spans="1:16" x14ac:dyDescent="0.2">
      <c r="A65" s="472" t="s">
        <v>2818</v>
      </c>
      <c r="B65" s="101">
        <v>0</v>
      </c>
      <c r="C65" s="101">
        <v>0</v>
      </c>
      <c r="D65" s="101">
        <f>-LTFP!C261/1000</f>
        <v>0</v>
      </c>
      <c r="E65" s="101">
        <v>0</v>
      </c>
      <c r="F65" s="234">
        <f>-LTFP!G261/1000</f>
        <v>0</v>
      </c>
      <c r="G65" s="231">
        <f>-LTFP!H261/1000</f>
        <v>0</v>
      </c>
      <c r="H65" s="231">
        <f>-LTFP!I261/1000</f>
        <v>0</v>
      </c>
      <c r="I65" s="231">
        <f>-LTFP!J261/1000</f>
        <v>0</v>
      </c>
      <c r="J65" s="231">
        <f>-LTFP!K261/1000</f>
        <v>0</v>
      </c>
      <c r="K65" s="231">
        <f>-LTFP!L261/1000</f>
        <v>0</v>
      </c>
      <c r="L65" s="231">
        <f>-LTFP!M261/1000</f>
        <v>0</v>
      </c>
      <c r="M65" s="231">
        <f>-LTFP!P261/1000</f>
        <v>0</v>
      </c>
      <c r="N65" s="233">
        <f>-LTFP!Q261/1000</f>
        <v>0</v>
      </c>
      <c r="O65" s="233">
        <f>-LTFP!R261/1000</f>
        <v>0</v>
      </c>
      <c r="P65" s="88">
        <f>-LTFP!S261/1000</f>
        <v>0</v>
      </c>
    </row>
    <row r="66" spans="1:16" x14ac:dyDescent="0.2">
      <c r="A66" s="472" t="s">
        <v>2819</v>
      </c>
      <c r="B66" s="931">
        <v>146</v>
      </c>
      <c r="C66" s="931">
        <v>124</v>
      </c>
      <c r="D66" s="455">
        <v>143</v>
      </c>
      <c r="E66" s="642">
        <v>133</v>
      </c>
      <c r="F66" s="642">
        <f>ROUNDUP(E66+(E66*Assumptions!G$5),-1)</f>
        <v>140</v>
      </c>
      <c r="G66" s="455">
        <f>ROUNDUP(F66+(F66*Assumptions!H$5),-1)</f>
        <v>150</v>
      </c>
      <c r="H66" s="455">
        <f>ROUNDUP(G66+(G66*Assumptions!I$5),-1)</f>
        <v>160</v>
      </c>
      <c r="I66" s="455">
        <f>ROUNDUP(H66+(H66*Assumptions!J$5),-1)</f>
        <v>170</v>
      </c>
      <c r="J66" s="455">
        <f>ROUNDUP(I66+(I66*Assumptions!K$5),-1)</f>
        <v>180</v>
      </c>
      <c r="K66" s="455">
        <f>ROUNDUP(J66+(J66*Assumptions!L$5),-1)</f>
        <v>190</v>
      </c>
      <c r="L66" s="455">
        <f>ROUNDUP(K66+(K66*Assumptions!M$5),-1)</f>
        <v>200</v>
      </c>
      <c r="M66" s="455">
        <f>ROUNDUP(L66+(L66*Assumptions!N$5),-1)</f>
        <v>210</v>
      </c>
      <c r="N66" s="642">
        <f>ROUNDUP(M66+(M66*Assumptions!O$5),-1)</f>
        <v>220</v>
      </c>
      <c r="O66" s="642">
        <f>ROUNDUP(N66+(N66*Assumptions!P$5),-1)</f>
        <v>230</v>
      </c>
      <c r="P66" s="761">
        <f>ROUNDUP(O66+(O66*Assumptions!Q$5),-1)</f>
        <v>240</v>
      </c>
    </row>
    <row r="67" spans="1:16" x14ac:dyDescent="0.2">
      <c r="A67" s="471" t="s">
        <v>2820</v>
      </c>
      <c r="B67" s="101">
        <f t="shared" ref="B67:M67" si="38">SUM(B64:B66)</f>
        <v>146</v>
      </c>
      <c r="C67" s="101">
        <f t="shared" si="38"/>
        <v>124</v>
      </c>
      <c r="D67" s="231">
        <f t="shared" si="38"/>
        <v>143</v>
      </c>
      <c r="E67" s="231">
        <f t="shared" si="38"/>
        <v>133</v>
      </c>
      <c r="F67" s="234">
        <f t="shared" si="38"/>
        <v>140</v>
      </c>
      <c r="G67" s="231">
        <f t="shared" si="38"/>
        <v>150</v>
      </c>
      <c r="H67" s="231">
        <f t="shared" si="38"/>
        <v>160</v>
      </c>
      <c r="I67" s="231">
        <f t="shared" si="38"/>
        <v>170</v>
      </c>
      <c r="J67" s="231">
        <f t="shared" si="38"/>
        <v>180</v>
      </c>
      <c r="K67" s="231">
        <f t="shared" si="38"/>
        <v>190</v>
      </c>
      <c r="L67" s="231">
        <f t="shared" si="38"/>
        <v>200</v>
      </c>
      <c r="M67" s="231">
        <f t="shared" si="38"/>
        <v>210</v>
      </c>
      <c r="N67" s="233">
        <f t="shared" ref="N67:O67" si="39">SUM(N64:N66)</f>
        <v>220</v>
      </c>
      <c r="O67" s="233">
        <f t="shared" si="39"/>
        <v>230</v>
      </c>
      <c r="P67" s="88">
        <f t="shared" ref="P67" si="40">SUM(P64:P66)</f>
        <v>240</v>
      </c>
    </row>
    <row r="68" spans="1:16" x14ac:dyDescent="0.2">
      <c r="A68" s="473"/>
      <c r="B68" s="101"/>
      <c r="C68" s="101"/>
      <c r="D68" s="231"/>
      <c r="E68" s="231"/>
      <c r="F68" s="234"/>
      <c r="G68" s="231"/>
      <c r="H68" s="231"/>
      <c r="I68" s="231"/>
      <c r="J68" s="231"/>
      <c r="K68" s="231"/>
      <c r="L68" s="231"/>
      <c r="M68" s="231"/>
      <c r="N68" s="233"/>
      <c r="O68" s="233"/>
      <c r="P68" s="88"/>
    </row>
    <row r="69" spans="1:16" x14ac:dyDescent="0.2">
      <c r="A69" s="471" t="s">
        <v>2821</v>
      </c>
      <c r="B69" s="101"/>
      <c r="C69" s="101"/>
      <c r="D69" s="231"/>
      <c r="E69" s="231"/>
      <c r="F69" s="234"/>
      <c r="G69" s="231"/>
      <c r="H69" s="231"/>
      <c r="I69" s="231"/>
      <c r="J69" s="231"/>
      <c r="K69" s="231"/>
      <c r="L69" s="231"/>
      <c r="M69" s="231"/>
      <c r="N69" s="233"/>
      <c r="O69" s="233"/>
      <c r="P69" s="88"/>
    </row>
    <row r="70" spans="1:16" x14ac:dyDescent="0.2">
      <c r="A70" s="472" t="s">
        <v>2817</v>
      </c>
      <c r="B70" s="101">
        <v>0</v>
      </c>
      <c r="C70" s="101">
        <v>0</v>
      </c>
      <c r="D70" s="142">
        <f>ROUNDUP(C70+(C70*Assumptions!E$5),-2)</f>
        <v>0</v>
      </c>
      <c r="E70" s="142">
        <v>0</v>
      </c>
      <c r="F70" s="142">
        <f>ROUNDUP(E70+(E70*Assumptions!G$5),-2)</f>
        <v>0</v>
      </c>
      <c r="G70" s="33">
        <f>ROUNDUP(F70+(F70*Assumptions!H$5),-2)</f>
        <v>0</v>
      </c>
      <c r="H70" s="33">
        <f>ROUNDUP(G70+(G70*Assumptions!I$5),-2)</f>
        <v>0</v>
      </c>
      <c r="I70" s="33">
        <f>ROUNDUP(H70+(H70*Assumptions!J$5),-2)</f>
        <v>0</v>
      </c>
      <c r="J70" s="33">
        <f>ROUNDUP(I70+(I70*Assumptions!K$5),-2)</f>
        <v>0</v>
      </c>
      <c r="K70" s="33">
        <f>ROUNDUP(J70+(J70*Assumptions!L$5),-2)</f>
        <v>0</v>
      </c>
      <c r="L70" s="33">
        <f>ROUNDUP(K70+(K70*Assumptions!M$5),-2)</f>
        <v>0</v>
      </c>
      <c r="M70" s="33">
        <f>ROUNDUP(L70+(L70*Assumptions!N$5),-2)</f>
        <v>0</v>
      </c>
      <c r="N70" s="142">
        <f>ROUNDUP(M70+(M70*Assumptions!O$5),-2)</f>
        <v>0</v>
      </c>
      <c r="O70" s="142">
        <f>ROUNDUP(N70+(N70*Assumptions!P$5),-2)</f>
        <v>0</v>
      </c>
      <c r="P70" s="114">
        <f>ROUNDUP(O70+(O70*Assumptions!Q$5),-2)</f>
        <v>0</v>
      </c>
    </row>
    <row r="71" spans="1:16" x14ac:dyDescent="0.2">
      <c r="A71" s="472" t="s">
        <v>2818</v>
      </c>
      <c r="B71" s="231">
        <v>0</v>
      </c>
      <c r="C71" s="231">
        <v>0</v>
      </c>
      <c r="D71" s="142">
        <f>C71-D65+LTFP!B304/1000</f>
        <v>0</v>
      </c>
      <c r="E71" s="142">
        <v>0</v>
      </c>
      <c r="F71" s="142">
        <f>E71-F65+LTFP!E304/1000</f>
        <v>0</v>
      </c>
      <c r="G71" s="33">
        <f>F71-G65+LTFP!G304/1000</f>
        <v>0</v>
      </c>
      <c r="H71" s="33">
        <f>G71-H65+LTFP!H304/1000</f>
        <v>0</v>
      </c>
      <c r="I71" s="33">
        <f>H71-I65+LTFP!I304/1000</f>
        <v>0</v>
      </c>
      <c r="J71" s="33">
        <f>I71-J65+LTFP!J304/1000</f>
        <v>0</v>
      </c>
      <c r="K71" s="33">
        <f>J71-K65+LTFP!K304/1000</f>
        <v>0</v>
      </c>
      <c r="L71" s="33">
        <f>K71-L65+LTFP!L304/1000</f>
        <v>0</v>
      </c>
      <c r="M71" s="33">
        <f>L71-M65+LTFP!M304/1000</f>
        <v>0</v>
      </c>
      <c r="N71" s="142">
        <f>M71-N65+LTFP!N304/1000</f>
        <v>0</v>
      </c>
      <c r="O71" s="142">
        <f>N71-O65+LTFP!O304/1000</f>
        <v>0</v>
      </c>
      <c r="P71" s="114">
        <f>O71-P65+LTFP!P304/1000</f>
        <v>0</v>
      </c>
    </row>
    <row r="72" spans="1:16" x14ac:dyDescent="0.2">
      <c r="A72" s="472" t="s">
        <v>2819</v>
      </c>
      <c r="B72" s="142">
        <v>0</v>
      </c>
      <c r="C72" s="142">
        <v>0</v>
      </c>
      <c r="D72" s="142">
        <v>16</v>
      </c>
      <c r="E72" s="142">
        <v>14</v>
      </c>
      <c r="F72" s="142">
        <f>ROUNDUP(E72+(E72*Assumptions!G$5),-1)</f>
        <v>20</v>
      </c>
      <c r="G72" s="33">
        <f>ROUNDUP(F72+(F72*Assumptions!H$5),-1)</f>
        <v>30</v>
      </c>
      <c r="H72" s="33">
        <f>ROUNDUP(G72+(G72*Assumptions!I$5),-1)</f>
        <v>40</v>
      </c>
      <c r="I72" s="33">
        <f>ROUNDUP(H72+(H72*Assumptions!J$5),-1)</f>
        <v>50</v>
      </c>
      <c r="J72" s="33">
        <f>ROUNDUP(I72+(I72*Assumptions!K$5),-1)</f>
        <v>60</v>
      </c>
      <c r="K72" s="33">
        <f>ROUNDUP(J72+(J72*Assumptions!L$5),-1)</f>
        <v>70</v>
      </c>
      <c r="L72" s="33">
        <f>ROUNDUP(K72+(K72*Assumptions!M$5),-1)</f>
        <v>80</v>
      </c>
      <c r="M72" s="33">
        <f>ROUNDUP(L72+(L72*Assumptions!N$5),-1)</f>
        <v>90</v>
      </c>
      <c r="N72" s="142">
        <f>ROUNDUP(M72+(M72*Assumptions!O$5),-1)</f>
        <v>100</v>
      </c>
      <c r="O72" s="142">
        <f>ROUNDUP(N72+(N72*Assumptions!P$5),-1)</f>
        <v>110</v>
      </c>
      <c r="P72" s="114">
        <f>ROUNDUP(O72+(O72*Assumptions!Q$5),-1)</f>
        <v>120</v>
      </c>
    </row>
    <row r="73" spans="1:16" s="1" customFormat="1" x14ac:dyDescent="0.2">
      <c r="A73" s="1269" t="s">
        <v>2822</v>
      </c>
      <c r="B73" s="1327">
        <f t="shared" ref="B73:M73" si="41">SUM(B70:B72)</f>
        <v>0</v>
      </c>
      <c r="C73" s="1327">
        <f t="shared" si="41"/>
        <v>0</v>
      </c>
      <c r="D73" s="1327">
        <f t="shared" si="41"/>
        <v>16</v>
      </c>
      <c r="E73" s="1327">
        <f t="shared" si="41"/>
        <v>14</v>
      </c>
      <c r="F73" s="2559">
        <f t="shared" si="41"/>
        <v>20</v>
      </c>
      <c r="G73" s="1327">
        <f t="shared" si="41"/>
        <v>30</v>
      </c>
      <c r="H73" s="1327">
        <f t="shared" si="41"/>
        <v>40</v>
      </c>
      <c r="I73" s="1327">
        <f t="shared" si="41"/>
        <v>50</v>
      </c>
      <c r="J73" s="1327">
        <f t="shared" si="41"/>
        <v>60</v>
      </c>
      <c r="K73" s="1327">
        <f t="shared" si="41"/>
        <v>70</v>
      </c>
      <c r="L73" s="1327">
        <f t="shared" si="41"/>
        <v>80</v>
      </c>
      <c r="M73" s="1327">
        <f t="shared" si="41"/>
        <v>90</v>
      </c>
      <c r="N73" s="1509">
        <f t="shared" ref="N73:O73" si="42">SUM(N70:N72)</f>
        <v>100</v>
      </c>
      <c r="O73" s="1509">
        <f t="shared" si="42"/>
        <v>110</v>
      </c>
      <c r="P73" s="1510">
        <f t="shared" ref="P73" si="43">SUM(P70:P72)</f>
        <v>120</v>
      </c>
    </row>
    <row r="74" spans="1:16" s="4" customFormat="1" x14ac:dyDescent="0.2">
      <c r="A74" s="471" t="s">
        <v>2423</v>
      </c>
      <c r="B74" s="905">
        <f t="shared" ref="B74:M74" si="44">B67+B73</f>
        <v>146</v>
      </c>
      <c r="C74" s="905">
        <f t="shared" si="44"/>
        <v>124</v>
      </c>
      <c r="D74" s="905">
        <f t="shared" si="44"/>
        <v>159</v>
      </c>
      <c r="E74" s="905">
        <f t="shared" si="44"/>
        <v>147</v>
      </c>
      <c r="F74" s="2561">
        <f t="shared" si="44"/>
        <v>160</v>
      </c>
      <c r="G74" s="905">
        <f t="shared" si="44"/>
        <v>180</v>
      </c>
      <c r="H74" s="905">
        <f t="shared" si="44"/>
        <v>200</v>
      </c>
      <c r="I74" s="905">
        <f t="shared" si="44"/>
        <v>220</v>
      </c>
      <c r="J74" s="905">
        <f t="shared" si="44"/>
        <v>240</v>
      </c>
      <c r="K74" s="905">
        <f t="shared" si="44"/>
        <v>260</v>
      </c>
      <c r="L74" s="905">
        <f t="shared" si="44"/>
        <v>280</v>
      </c>
      <c r="M74" s="905">
        <f t="shared" si="44"/>
        <v>300</v>
      </c>
      <c r="N74" s="906">
        <f t="shared" ref="N74:O74" si="45">N67+N73</f>
        <v>320</v>
      </c>
      <c r="O74" s="906">
        <f t="shared" si="45"/>
        <v>340</v>
      </c>
      <c r="P74" s="907">
        <f t="shared" ref="P74" si="46">P67+P73</f>
        <v>360</v>
      </c>
    </row>
    <row r="75" spans="1:16" s="4" customFormat="1" ht="13.5" thickBot="1" x14ac:dyDescent="0.25">
      <c r="A75" s="471" t="s">
        <v>2424</v>
      </c>
      <c r="B75" s="902">
        <f t="shared" ref="B75:M75" si="47">B60-B74</f>
        <v>121074</v>
      </c>
      <c r="C75" s="902">
        <f t="shared" si="47"/>
        <v>124523</v>
      </c>
      <c r="D75" s="902">
        <f t="shared" si="47"/>
        <v>81511</v>
      </c>
      <c r="E75" s="902">
        <f t="shared" si="47"/>
        <v>83867</v>
      </c>
      <c r="F75" s="2560">
        <f t="shared" si="47"/>
        <v>86452</v>
      </c>
      <c r="G75" s="902">
        <f t="shared" si="47"/>
        <v>88642</v>
      </c>
      <c r="H75" s="902">
        <f t="shared" si="47"/>
        <v>92532</v>
      </c>
      <c r="I75" s="902">
        <f t="shared" si="47"/>
        <v>95012</v>
      </c>
      <c r="J75" s="902">
        <f t="shared" si="47"/>
        <v>96452</v>
      </c>
      <c r="K75" s="902">
        <f t="shared" si="47"/>
        <v>99462</v>
      </c>
      <c r="L75" s="902">
        <f t="shared" si="47"/>
        <v>104162</v>
      </c>
      <c r="M75" s="902">
        <f t="shared" si="47"/>
        <v>106522</v>
      </c>
      <c r="N75" s="903">
        <f t="shared" ref="N75:O75" si="48">N60-N74</f>
        <v>109362</v>
      </c>
      <c r="O75" s="903">
        <f t="shared" si="48"/>
        <v>110282</v>
      </c>
      <c r="P75" s="904">
        <f t="shared" ref="P75" si="49">P60-P74</f>
        <v>108842</v>
      </c>
    </row>
    <row r="76" spans="1:16" x14ac:dyDescent="0.2">
      <c r="A76" s="473"/>
      <c r="B76" s="231"/>
      <c r="C76" s="231"/>
      <c r="D76" s="231"/>
      <c r="E76" s="231"/>
      <c r="F76" s="234"/>
      <c r="G76" s="231"/>
      <c r="H76" s="231"/>
      <c r="I76" s="231"/>
      <c r="J76" s="231"/>
      <c r="K76" s="231"/>
      <c r="L76" s="231"/>
      <c r="M76" s="231"/>
      <c r="N76" s="233"/>
      <c r="O76" s="233"/>
      <c r="P76" s="88"/>
    </row>
    <row r="77" spans="1:16" x14ac:dyDescent="0.2">
      <c r="A77" s="471" t="s">
        <v>2425</v>
      </c>
      <c r="B77" s="231"/>
      <c r="C77" s="231"/>
      <c r="D77" s="231"/>
      <c r="E77" s="231"/>
      <c r="F77" s="234"/>
      <c r="G77" s="231"/>
      <c r="H77" s="231"/>
      <c r="I77" s="231"/>
      <c r="J77" s="231"/>
      <c r="K77" s="231"/>
      <c r="L77" s="231"/>
      <c r="M77" s="231"/>
      <c r="N77" s="233"/>
      <c r="O77" s="233"/>
      <c r="P77" s="88"/>
    </row>
    <row r="78" spans="1:16" x14ac:dyDescent="0.2">
      <c r="A78" s="472" t="s">
        <v>2515</v>
      </c>
      <c r="B78" s="231">
        <f t="shared" ref="B78:M78" si="50">B75-B79</f>
        <v>37328</v>
      </c>
      <c r="C78" s="231">
        <f t="shared" si="50"/>
        <v>37912</v>
      </c>
      <c r="D78" s="231">
        <f t="shared" si="50"/>
        <v>39088</v>
      </c>
      <c r="E78" s="231">
        <f t="shared" si="50"/>
        <v>40469</v>
      </c>
      <c r="F78" s="234">
        <f t="shared" si="50"/>
        <v>42152</v>
      </c>
      <c r="G78" s="231">
        <f t="shared" si="50"/>
        <v>43642</v>
      </c>
      <c r="H78" s="231">
        <f t="shared" si="50"/>
        <v>46332</v>
      </c>
      <c r="I78" s="231">
        <f t="shared" si="50"/>
        <v>47612</v>
      </c>
      <c r="J78" s="231">
        <f t="shared" si="50"/>
        <v>47852</v>
      </c>
      <c r="K78" s="231">
        <f t="shared" si="50"/>
        <v>49862</v>
      </c>
      <c r="L78" s="231">
        <f t="shared" si="50"/>
        <v>53562</v>
      </c>
      <c r="M78" s="231">
        <f t="shared" si="50"/>
        <v>54822</v>
      </c>
      <c r="N78" s="233">
        <f t="shared" ref="N78:O78" si="51">N75-N79</f>
        <v>56562</v>
      </c>
      <c r="O78" s="233">
        <f t="shared" si="51"/>
        <v>56382</v>
      </c>
      <c r="P78" s="88">
        <f t="shared" ref="P78" si="52">P75-P79</f>
        <v>53842</v>
      </c>
    </row>
    <row r="79" spans="1:16" x14ac:dyDescent="0.2">
      <c r="A79" s="472" t="s">
        <v>2889</v>
      </c>
      <c r="B79" s="899">
        <v>83746</v>
      </c>
      <c r="C79" s="899">
        <v>86611</v>
      </c>
      <c r="D79" s="899">
        <v>42423</v>
      </c>
      <c r="E79" s="899">
        <v>43398</v>
      </c>
      <c r="F79" s="1152">
        <f>ROUNDUP(E79+(E79*Assumptions!G$5),-2)</f>
        <v>44300</v>
      </c>
      <c r="G79" s="899">
        <f>ROUNDUP(F79+(F79*Assumptions!H$5),-2)</f>
        <v>45000</v>
      </c>
      <c r="H79" s="899">
        <f>ROUNDUP(G79+(G79*Assumptions!I$5),-2)</f>
        <v>46200</v>
      </c>
      <c r="I79" s="899">
        <f>ROUNDUP(H79+(H79*Assumptions!J$5),-2)</f>
        <v>47400</v>
      </c>
      <c r="J79" s="899">
        <f>ROUNDUP(I79+(I79*Assumptions!K$5),-2)</f>
        <v>48600</v>
      </c>
      <c r="K79" s="899">
        <f>ROUNDUP(J79+(J79*Assumptions!L$5),-2)</f>
        <v>49600</v>
      </c>
      <c r="L79" s="899">
        <f>ROUNDUP(K79+(K79*Assumptions!M$5),-2)</f>
        <v>50600</v>
      </c>
      <c r="M79" s="899">
        <f>ROUNDUP(L79+(L79*Assumptions!N$5),-2)</f>
        <v>51700</v>
      </c>
      <c r="N79" s="900">
        <f>ROUNDUP(M79+(M79*Assumptions!O$5),-2)</f>
        <v>52800</v>
      </c>
      <c r="O79" s="900">
        <f>ROUNDUP(N79+(N79*Assumptions!P$5),-2)</f>
        <v>53900</v>
      </c>
      <c r="P79" s="901">
        <f>ROUNDUP(O79+(O79*Assumptions!Q$5),-2)</f>
        <v>55000</v>
      </c>
    </row>
    <row r="80" spans="1:16" s="1" customFormat="1" x14ac:dyDescent="0.2">
      <c r="A80" s="1269" t="s">
        <v>2767</v>
      </c>
      <c r="B80" s="82">
        <f t="shared" ref="B80:M80" si="53">SUM(B78:B79)</f>
        <v>121074</v>
      </c>
      <c r="C80" s="82">
        <f t="shared" si="53"/>
        <v>124523</v>
      </c>
      <c r="D80" s="82">
        <f t="shared" si="53"/>
        <v>81511</v>
      </c>
      <c r="E80" s="82">
        <f t="shared" si="53"/>
        <v>83867</v>
      </c>
      <c r="F80" s="160">
        <f t="shared" si="53"/>
        <v>86452</v>
      </c>
      <c r="G80" s="82">
        <f t="shared" si="53"/>
        <v>88642</v>
      </c>
      <c r="H80" s="82">
        <f t="shared" si="53"/>
        <v>92532</v>
      </c>
      <c r="I80" s="82">
        <f t="shared" si="53"/>
        <v>95012</v>
      </c>
      <c r="J80" s="82">
        <f t="shared" si="53"/>
        <v>96452</v>
      </c>
      <c r="K80" s="82">
        <f t="shared" si="53"/>
        <v>99462</v>
      </c>
      <c r="L80" s="82">
        <f t="shared" si="53"/>
        <v>104162</v>
      </c>
      <c r="M80" s="82">
        <f t="shared" si="53"/>
        <v>106522</v>
      </c>
      <c r="N80" s="83">
        <f t="shared" ref="N80:O80" si="54">SUM(N78:N79)</f>
        <v>109362</v>
      </c>
      <c r="O80" s="83">
        <f t="shared" si="54"/>
        <v>110282</v>
      </c>
      <c r="P80" s="72">
        <f t="shared" ref="P80" si="55">SUM(P78:P79)</f>
        <v>108842</v>
      </c>
    </row>
    <row r="81" spans="1:16" ht="13.5" thickBot="1" x14ac:dyDescent="0.25">
      <c r="A81" s="563"/>
      <c r="B81" s="948"/>
      <c r="C81" s="948"/>
      <c r="D81" s="948"/>
      <c r="E81" s="948"/>
      <c r="F81" s="2562"/>
      <c r="G81" s="948"/>
      <c r="H81" s="948"/>
      <c r="I81" s="948"/>
      <c r="J81" s="948"/>
      <c r="K81" s="948"/>
      <c r="L81" s="948"/>
      <c r="M81" s="948"/>
      <c r="N81" s="1637"/>
      <c r="O81" s="1637"/>
      <c r="P81" s="763"/>
    </row>
    <row r="82" spans="1:16" s="9" customFormat="1" ht="14.25" thickTop="1" thickBot="1" x14ac:dyDescent="0.25">
      <c r="B82" s="748"/>
      <c r="C82" s="748"/>
      <c r="D82" s="748"/>
      <c r="E82" s="748"/>
      <c r="F82" s="1114"/>
      <c r="G82" s="748"/>
      <c r="H82" s="748"/>
      <c r="I82" s="748"/>
      <c r="J82" s="748"/>
      <c r="K82" s="748"/>
      <c r="L82" s="748"/>
      <c r="M82" s="748"/>
      <c r="N82" s="748"/>
      <c r="O82" s="748"/>
      <c r="P82" s="748"/>
    </row>
    <row r="83" spans="1:16" ht="17.25" thickTop="1" thickBot="1" x14ac:dyDescent="0.3">
      <c r="A83" s="2856" t="s">
        <v>6094</v>
      </c>
      <c r="B83" s="2857"/>
      <c r="C83" s="2857"/>
      <c r="D83" s="2857"/>
      <c r="E83" s="2857"/>
      <c r="F83" s="2857"/>
      <c r="G83" s="2857"/>
      <c r="H83" s="2857"/>
      <c r="I83" s="2857"/>
      <c r="J83" s="2857"/>
      <c r="K83" s="2857"/>
      <c r="L83" s="2857"/>
      <c r="M83" s="2857"/>
      <c r="N83" s="2857"/>
      <c r="O83" s="2857"/>
      <c r="P83" s="2858"/>
    </row>
    <row r="84" spans="1:16" s="4" customFormat="1" ht="13.5" thickBot="1" x14ac:dyDescent="0.25">
      <c r="A84" s="1689" t="s">
        <v>4575</v>
      </c>
      <c r="B84" s="1690" t="str">
        <f>SP!A100</f>
        <v>2012/13</v>
      </c>
      <c r="C84" s="1690" t="str">
        <f>SP!B100</f>
        <v>2013/14</v>
      </c>
      <c r="D84" s="1690" t="str">
        <f>SP!C100</f>
        <v>2014/15</v>
      </c>
      <c r="E84" s="1690" t="str">
        <f>SP!D100</f>
        <v>2015/16</v>
      </c>
      <c r="F84" s="2557" t="str">
        <f>SP!G100</f>
        <v>2016/17</v>
      </c>
      <c r="G84" s="1690" t="str">
        <f>SP!I100</f>
        <v>2017/18</v>
      </c>
      <c r="H84" s="1690" t="str">
        <f>SP!J100</f>
        <v>2018/19</v>
      </c>
      <c r="I84" s="1690" t="str">
        <f>SP!K100</f>
        <v>2019/20</v>
      </c>
      <c r="J84" s="1690" t="str">
        <f>SP!L100</f>
        <v>2020/21</v>
      </c>
      <c r="K84" s="1690" t="str">
        <f>SP!M100</f>
        <v>2021/22</v>
      </c>
      <c r="L84" s="1690" t="str">
        <f>SP!N100</f>
        <v>2022/23</v>
      </c>
      <c r="M84" s="1690" t="str">
        <f>SP!O100</f>
        <v>2023/24</v>
      </c>
      <c r="N84" s="1691" t="str">
        <f>SP!P100</f>
        <v>2024/25</v>
      </c>
      <c r="O84" s="1691" t="str">
        <f>SP!Q100</f>
        <v>2025/26</v>
      </c>
      <c r="P84" s="1692" t="str">
        <f>SP!R100</f>
        <v>2026/27</v>
      </c>
    </row>
    <row r="85" spans="1:16" s="4" customFormat="1" x14ac:dyDescent="0.2">
      <c r="A85" s="471"/>
      <c r="B85" s="1686"/>
      <c r="C85" s="1686"/>
      <c r="D85" s="1686"/>
      <c r="E85" s="1686"/>
      <c r="F85" s="2558"/>
      <c r="G85" s="1686"/>
      <c r="H85" s="1686"/>
      <c r="I85" s="1686"/>
      <c r="J85" s="1686"/>
      <c r="K85" s="1686"/>
      <c r="L85" s="1686"/>
      <c r="M85" s="1686"/>
      <c r="N85" s="1687"/>
      <c r="O85" s="1687"/>
      <c r="P85" s="1688"/>
    </row>
    <row r="86" spans="1:16" x14ac:dyDescent="0.2">
      <c r="A86" s="471" t="s">
        <v>2162</v>
      </c>
      <c r="B86" s="231"/>
      <c r="C86" s="231"/>
      <c r="D86" s="231"/>
      <c r="E86" s="231"/>
      <c r="F86" s="234"/>
      <c r="G86" s="231"/>
      <c r="H86" s="231"/>
      <c r="I86" s="231"/>
      <c r="J86" s="231"/>
      <c r="K86" s="231"/>
      <c r="L86" s="231"/>
      <c r="M86" s="231"/>
      <c r="N86" s="233"/>
      <c r="O86" s="233"/>
      <c r="P86" s="88"/>
    </row>
    <row r="87" spans="1:16" x14ac:dyDescent="0.2">
      <c r="A87" s="471" t="s">
        <v>2163</v>
      </c>
      <c r="B87" s="231"/>
      <c r="C87" s="231"/>
      <c r="D87" s="231"/>
      <c r="E87" s="231"/>
      <c r="F87" s="234"/>
      <c r="G87" s="231"/>
      <c r="H87" s="231"/>
      <c r="I87" s="231"/>
      <c r="J87" s="231"/>
      <c r="K87" s="231"/>
      <c r="L87" s="231"/>
      <c r="M87" s="231"/>
      <c r="N87" s="233"/>
      <c r="O87" s="233"/>
      <c r="P87" s="88"/>
    </row>
    <row r="88" spans="1:16" x14ac:dyDescent="0.2">
      <c r="A88" s="812" t="s">
        <v>4298</v>
      </c>
      <c r="B88" s="101">
        <f>7382+22120</f>
        <v>29502</v>
      </c>
      <c r="C88" s="101">
        <v>18057</v>
      </c>
      <c r="D88" s="33">
        <v>12826</v>
      </c>
      <c r="E88" s="33">
        <v>13588</v>
      </c>
      <c r="F88" s="142">
        <f>ROUNDUP(E88+('Cash-WW'!F47/1000),-1)</f>
        <v>10770</v>
      </c>
      <c r="G88" s="33">
        <f>ROUNDUP(F88+('Cash-WW'!G47/1000),-1)</f>
        <v>9310</v>
      </c>
      <c r="H88" s="33">
        <f>ROUNDUP(G88+('Cash-WW'!H47/1000),-1)</f>
        <v>11120</v>
      </c>
      <c r="I88" s="33">
        <f>ROUNDUP(H88+('Cash-WW'!I47/1000),-1)</f>
        <v>14050</v>
      </c>
      <c r="J88" s="33">
        <f>ROUNDUP(I88+('Cash-WW'!J47/1000),-1)</f>
        <v>14330</v>
      </c>
      <c r="K88" s="33">
        <f>ROUNDUP(J88+('Cash-WW'!K47/1000),-1)</f>
        <v>14810</v>
      </c>
      <c r="L88" s="33">
        <f>ROUNDUP(K88+('Cash-WW'!L47/1000),-1)</f>
        <v>15920</v>
      </c>
      <c r="M88" s="33">
        <f>ROUNDUP(L88+('Cash-WW'!M47/1000),-1)</f>
        <v>20940</v>
      </c>
      <c r="N88" s="142">
        <f>ROUNDUP(M88+('Cash-WW'!N47/1000),-1)</f>
        <v>26510</v>
      </c>
      <c r="O88" s="142">
        <f>ROUNDUP(N88+('Cash-WW'!O47/1000),-1)</f>
        <v>32690</v>
      </c>
      <c r="P88" s="114">
        <f>ROUNDUP(O88+('Cash-WW'!P47/1000),-1)</f>
        <v>39610</v>
      </c>
    </row>
    <row r="89" spans="1:16" x14ac:dyDescent="0.2">
      <c r="A89" s="472" t="s">
        <v>2121</v>
      </c>
      <c r="B89" s="33">
        <v>1780</v>
      </c>
      <c r="C89" s="33">
        <v>1335</v>
      </c>
      <c r="D89" s="33">
        <v>1243</v>
      </c>
      <c r="E89" s="33">
        <v>1305</v>
      </c>
      <c r="F89" s="142">
        <f>ROUNDUP(E89+(E89*Assumptions!G$5),-1)</f>
        <v>1340</v>
      </c>
      <c r="G89" s="33">
        <f>ROUNDUP(F89+(F89*Assumptions!H$5),-1)</f>
        <v>1370</v>
      </c>
      <c r="H89" s="33">
        <f>ROUNDUP(G89+(G89*Assumptions!I$5),-1)</f>
        <v>1410</v>
      </c>
      <c r="I89" s="33">
        <f>ROUNDUP(H89+(H89*Assumptions!J$5),-1)</f>
        <v>1450</v>
      </c>
      <c r="J89" s="33">
        <f>ROUNDUP(I89+(I89*Assumptions!K$5),-1)</f>
        <v>1490</v>
      </c>
      <c r="K89" s="33">
        <f>ROUNDUP(J89+(J89*Assumptions!L$5),-1)</f>
        <v>1520</v>
      </c>
      <c r="L89" s="33">
        <f>ROUNDUP(K89+(K89*Assumptions!M$5),-1)</f>
        <v>1560</v>
      </c>
      <c r="M89" s="33">
        <f>ROUNDUP(L89+(L89*Assumptions!N$5),-1)</f>
        <v>1600</v>
      </c>
      <c r="N89" s="142">
        <f>ROUNDUP(M89+(M89*Assumptions!O$5),-1)</f>
        <v>1640</v>
      </c>
      <c r="O89" s="142">
        <f>ROUNDUP(N89+(N89*Assumptions!P$5),-1)</f>
        <v>1680</v>
      </c>
      <c r="P89" s="114">
        <f>ROUNDUP(O89+(O89*Assumptions!Q$5),-1)</f>
        <v>1720</v>
      </c>
    </row>
    <row r="90" spans="1:16" x14ac:dyDescent="0.2">
      <c r="A90" s="472" t="s">
        <v>2122</v>
      </c>
      <c r="B90" s="33">
        <v>0</v>
      </c>
      <c r="C90" s="33">
        <v>0</v>
      </c>
      <c r="D90" s="33">
        <f>ROUNDUP(C90+(C90*Assumptions!E$5),-1)</f>
        <v>0</v>
      </c>
      <c r="E90" s="33">
        <v>0</v>
      </c>
      <c r="F90" s="142">
        <f>ROUNDUP(E90+(E90*Assumptions!G$5),-1)</f>
        <v>0</v>
      </c>
      <c r="G90" s="33">
        <f>ROUNDUP(F90+(F90*Assumptions!H$5),-1)</f>
        <v>0</v>
      </c>
      <c r="H90" s="33">
        <f>ROUNDUP(G90+(G90*Assumptions!I$5),-1)</f>
        <v>0</v>
      </c>
      <c r="I90" s="33">
        <f>ROUNDUP(H90+(H90*Assumptions!J$5),-1)</f>
        <v>0</v>
      </c>
      <c r="J90" s="33">
        <f>ROUNDUP(I90+(I90*Assumptions!K$5),-1)</f>
        <v>0</v>
      </c>
      <c r="K90" s="33">
        <f>ROUNDUP(J90+(J90*Assumptions!L$5),-1)</f>
        <v>0</v>
      </c>
      <c r="L90" s="33">
        <f>ROUNDUP(K90+(K90*Assumptions!M$5),-1)</f>
        <v>0</v>
      </c>
      <c r="M90" s="33">
        <f>ROUNDUP(L90+(L90*Assumptions!N$5),-1)</f>
        <v>0</v>
      </c>
      <c r="N90" s="142">
        <f>ROUNDUP(M90+(M90*Assumptions!O$5),-1)</f>
        <v>0</v>
      </c>
      <c r="O90" s="142">
        <f>ROUNDUP(N90+(N90*Assumptions!P$5),-1)</f>
        <v>0</v>
      </c>
      <c r="P90" s="114">
        <f>ROUNDUP(O90+(O90*Assumptions!Q$5),-1)</f>
        <v>0</v>
      </c>
    </row>
    <row r="91" spans="1:16" x14ac:dyDescent="0.2">
      <c r="A91" s="472" t="s">
        <v>1771</v>
      </c>
      <c r="B91" s="455">
        <v>0</v>
      </c>
      <c r="C91" s="455">
        <v>0</v>
      </c>
      <c r="D91" s="455">
        <v>422</v>
      </c>
      <c r="E91" s="455">
        <v>0</v>
      </c>
      <c r="F91" s="642">
        <f>ROUNDUP(E91+(E91*Assumptions!G$5),-1)</f>
        <v>0</v>
      </c>
      <c r="G91" s="455">
        <f>ROUNDUP(F91+(F91*Assumptions!H$5),-1)</f>
        <v>0</v>
      </c>
      <c r="H91" s="455">
        <f>ROUNDUP(G91+(G91*Assumptions!I$5),-1)</f>
        <v>0</v>
      </c>
      <c r="I91" s="455">
        <f>ROUNDUP(H91+(H91*Assumptions!J$5),-1)</f>
        <v>0</v>
      </c>
      <c r="J91" s="455">
        <f>ROUNDUP(I91+(I91*Assumptions!K$5),-1)</f>
        <v>0</v>
      </c>
      <c r="K91" s="455">
        <f>ROUNDUP(J91+(J91*Assumptions!L$5),-1)</f>
        <v>0</v>
      </c>
      <c r="L91" s="455">
        <f>ROUNDUP(K91+(K91*Assumptions!M$5),-1)</f>
        <v>0</v>
      </c>
      <c r="M91" s="455">
        <f>ROUNDUP(L91+(L91*Assumptions!N$5),-1)</f>
        <v>0</v>
      </c>
      <c r="N91" s="642">
        <f>ROUNDUP(M91+(M91*Assumptions!O$5),-1)</f>
        <v>0</v>
      </c>
      <c r="O91" s="642">
        <f>ROUNDUP(N91+(N91*Assumptions!P$5),-1)</f>
        <v>0</v>
      </c>
      <c r="P91" s="761">
        <f>ROUNDUP(O91+(O91*Assumptions!Q$5),-1)</f>
        <v>0</v>
      </c>
    </row>
    <row r="92" spans="1:16" s="1" customFormat="1" x14ac:dyDescent="0.2">
      <c r="A92" s="1269" t="s">
        <v>2123</v>
      </c>
      <c r="B92" s="116">
        <f t="shared" ref="B92:M92" si="56">SUM(B88:B91)</f>
        <v>31282</v>
      </c>
      <c r="C92" s="116">
        <f t="shared" si="56"/>
        <v>19392</v>
      </c>
      <c r="D92" s="116">
        <f t="shared" si="56"/>
        <v>14491</v>
      </c>
      <c r="E92" s="116">
        <f t="shared" si="56"/>
        <v>14893</v>
      </c>
      <c r="F92" s="160">
        <f t="shared" si="56"/>
        <v>12110</v>
      </c>
      <c r="G92" s="116">
        <f t="shared" si="56"/>
        <v>10680</v>
      </c>
      <c r="H92" s="116">
        <f t="shared" si="56"/>
        <v>12530</v>
      </c>
      <c r="I92" s="116">
        <f t="shared" si="56"/>
        <v>15500</v>
      </c>
      <c r="J92" s="116">
        <f t="shared" si="56"/>
        <v>15820</v>
      </c>
      <c r="K92" s="116">
        <f t="shared" si="56"/>
        <v>16330</v>
      </c>
      <c r="L92" s="116">
        <f t="shared" si="56"/>
        <v>17480</v>
      </c>
      <c r="M92" s="116">
        <f t="shared" si="56"/>
        <v>22540</v>
      </c>
      <c r="N92" s="160">
        <f t="shared" ref="N92:O92" si="57">SUM(N88:N91)</f>
        <v>28150</v>
      </c>
      <c r="O92" s="160">
        <f t="shared" si="57"/>
        <v>34370</v>
      </c>
      <c r="P92" s="159">
        <f t="shared" ref="P92" si="58">SUM(P88:P91)</f>
        <v>41330</v>
      </c>
    </row>
    <row r="93" spans="1:16" x14ac:dyDescent="0.2">
      <c r="A93" s="473"/>
      <c r="B93" s="101"/>
      <c r="C93" s="101"/>
      <c r="D93" s="101"/>
      <c r="E93" s="101"/>
      <c r="F93" s="234"/>
      <c r="G93" s="101"/>
      <c r="H93" s="101"/>
      <c r="I93" s="101"/>
      <c r="J93" s="101"/>
      <c r="K93" s="101"/>
      <c r="L93" s="101"/>
      <c r="M93" s="101"/>
      <c r="N93" s="234"/>
      <c r="O93" s="234"/>
      <c r="P93" s="104"/>
    </row>
    <row r="94" spans="1:16" x14ac:dyDescent="0.2">
      <c r="A94" s="471" t="s">
        <v>2124</v>
      </c>
      <c r="B94" s="101"/>
      <c r="C94" s="101"/>
      <c r="D94" s="101"/>
      <c r="E94" s="101"/>
      <c r="F94" s="234"/>
      <c r="G94" s="101"/>
      <c r="H94" s="101"/>
      <c r="I94" s="101"/>
      <c r="J94" s="101"/>
      <c r="K94" s="101"/>
      <c r="L94" s="101"/>
      <c r="M94" s="101"/>
      <c r="N94" s="234"/>
      <c r="O94" s="234"/>
      <c r="P94" s="104"/>
    </row>
    <row r="95" spans="1:16" x14ac:dyDescent="0.2">
      <c r="A95" s="472" t="s">
        <v>1941</v>
      </c>
      <c r="B95" s="101">
        <v>329</v>
      </c>
      <c r="C95" s="101">
        <v>519</v>
      </c>
      <c r="D95" s="101">
        <v>1749</v>
      </c>
      <c r="E95" s="33">
        <v>1344</v>
      </c>
      <c r="F95" s="142">
        <v>1400</v>
      </c>
      <c r="G95" s="33">
        <f t="shared" ref="G95:P95" si="59">F95</f>
        <v>1400</v>
      </c>
      <c r="H95" s="33">
        <f t="shared" si="59"/>
        <v>1400</v>
      </c>
      <c r="I95" s="33">
        <f t="shared" si="59"/>
        <v>1400</v>
      </c>
      <c r="J95" s="33">
        <f t="shared" si="59"/>
        <v>1400</v>
      </c>
      <c r="K95" s="33">
        <f t="shared" si="59"/>
        <v>1400</v>
      </c>
      <c r="L95" s="33">
        <f t="shared" si="59"/>
        <v>1400</v>
      </c>
      <c r="M95" s="33">
        <f t="shared" si="59"/>
        <v>1400</v>
      </c>
      <c r="N95" s="142">
        <f t="shared" si="59"/>
        <v>1400</v>
      </c>
      <c r="O95" s="142">
        <f t="shared" si="59"/>
        <v>1400</v>
      </c>
      <c r="P95" s="114">
        <f t="shared" si="59"/>
        <v>1400</v>
      </c>
    </row>
    <row r="96" spans="1:16" x14ac:dyDescent="0.2">
      <c r="A96" s="472" t="s">
        <v>2121</v>
      </c>
      <c r="B96" s="33">
        <v>319</v>
      </c>
      <c r="C96" s="33">
        <v>190</v>
      </c>
      <c r="D96" s="33">
        <f>172+58</f>
        <v>230</v>
      </c>
      <c r="E96" s="33">
        <v>139</v>
      </c>
      <c r="F96" s="142">
        <f>ROUNDUP(E96+(E96*Assumptions!G$5),-1)</f>
        <v>150</v>
      </c>
      <c r="G96" s="33">
        <f>ROUNDUP(F96+(F96*Assumptions!H$5),-1)</f>
        <v>160</v>
      </c>
      <c r="H96" s="33">
        <f>ROUNDUP(G96+(G96*Assumptions!I$5),-1)</f>
        <v>170</v>
      </c>
      <c r="I96" s="33">
        <f>ROUNDUP(H96+(H96*Assumptions!J$5),-1)</f>
        <v>180</v>
      </c>
      <c r="J96" s="33">
        <f>ROUNDUP(I96+(I96*Assumptions!K$5),-1)</f>
        <v>190</v>
      </c>
      <c r="K96" s="33">
        <f>ROUNDUP(J96+(J96*Assumptions!L$5),-1)</f>
        <v>200</v>
      </c>
      <c r="L96" s="33">
        <f>ROUNDUP(K96+(K96*Assumptions!M$5),-1)</f>
        <v>210</v>
      </c>
      <c r="M96" s="33">
        <f>ROUNDUP(L96+(L96*Assumptions!N$5),-1)</f>
        <v>220</v>
      </c>
      <c r="N96" s="142">
        <f>ROUNDUP(M96+(M96*Assumptions!O$5),-1)</f>
        <v>230</v>
      </c>
      <c r="O96" s="142">
        <f>ROUNDUP(N96+(N96*Assumptions!P$5),-1)</f>
        <v>240</v>
      </c>
      <c r="P96" s="114">
        <f>ROUNDUP(O96+(O96*Assumptions!Q$5),-1)</f>
        <v>250</v>
      </c>
    </row>
    <row r="97" spans="1:16" x14ac:dyDescent="0.2">
      <c r="A97" s="472" t="s">
        <v>2122</v>
      </c>
      <c r="B97" s="33">
        <v>0</v>
      </c>
      <c r="C97" s="33">
        <v>0</v>
      </c>
      <c r="D97" s="33">
        <f>ROUNDUP(C97+(C97*Assumptions!E$5),-2)</f>
        <v>0</v>
      </c>
      <c r="E97" s="33">
        <v>0</v>
      </c>
      <c r="F97" s="142">
        <f>ROUNDUP(E97+(E97*Assumptions!G$5),-2)</f>
        <v>0</v>
      </c>
      <c r="G97" s="33">
        <f>ROUNDUP(F97+(F97*Assumptions!H$5),-2)</f>
        <v>0</v>
      </c>
      <c r="H97" s="33">
        <f>ROUNDUP(G97+(G97*Assumptions!I$5),-2)</f>
        <v>0</v>
      </c>
      <c r="I97" s="33">
        <f>ROUNDUP(H97+(H97*Assumptions!J$5),-2)</f>
        <v>0</v>
      </c>
      <c r="J97" s="33">
        <f>ROUNDUP(I97+(I97*Assumptions!K$5),-2)</f>
        <v>0</v>
      </c>
      <c r="K97" s="33">
        <f>ROUNDUP(J97+(J97*Assumptions!L$5),-2)</f>
        <v>0</v>
      </c>
      <c r="L97" s="33">
        <f>ROUNDUP(K97+(K97*Assumptions!M$5),-2)</f>
        <v>0</v>
      </c>
      <c r="M97" s="33">
        <f>ROUNDUP(L97+(L97*Assumptions!N$5),-2)</f>
        <v>0</v>
      </c>
      <c r="N97" s="142">
        <f>ROUNDUP(M97+(M97*Assumptions!O$5),-2)</f>
        <v>0</v>
      </c>
      <c r="O97" s="142">
        <f>ROUNDUP(N97+(N97*Assumptions!P$5),-2)</f>
        <v>0</v>
      </c>
      <c r="P97" s="114">
        <f>ROUNDUP(O97+(O97*Assumptions!Q$5),-2)</f>
        <v>0</v>
      </c>
    </row>
    <row r="98" spans="1:16" x14ac:dyDescent="0.2">
      <c r="A98" s="812" t="s">
        <v>3363</v>
      </c>
      <c r="B98" s="101">
        <v>253533</v>
      </c>
      <c r="C98" s="101">
        <v>264586</v>
      </c>
      <c r="D98" s="101">
        <v>196722</v>
      </c>
      <c r="E98" s="101">
        <v>198622</v>
      </c>
      <c r="F98" s="234">
        <f>ROUND(E98+'Cap-WW'!G121/1000-LTFP!E294/1000,-2)</f>
        <v>201700</v>
      </c>
      <c r="G98" s="101">
        <f>ROUND(F98+'Cap-WW'!H121/1000-LTFP!G294/1000,-2)</f>
        <v>203200</v>
      </c>
      <c r="H98" s="101">
        <f>ROUND(G98+'Cap-WW'!I121/1000-LTFP!H294/1000,-2)</f>
        <v>204100</v>
      </c>
      <c r="I98" s="101">
        <f>ROUND(H98+'Cap-WW'!J121/1000-LTFP!I294/1000,-2)</f>
        <v>206500</v>
      </c>
      <c r="J98" s="101">
        <f>ROUND(I98+'Cap-WW'!K121/1000-LTFP!J294/1000,-2)</f>
        <v>208900</v>
      </c>
      <c r="K98" s="101">
        <f>ROUND(J98+'Cap-WW'!L121/1000-LTFP!K294/1000,-2)</f>
        <v>209500</v>
      </c>
      <c r="L98" s="101">
        <f>ROUND(K98+'Cap-WW'!M121/1000-LTFP!L294/1000,-2)</f>
        <v>210300</v>
      </c>
      <c r="M98" s="101">
        <f>ROUND(L98+'Cap-WW'!N121/1000-LTFP!M294/1000,-2)</f>
        <v>207100</v>
      </c>
      <c r="N98" s="234">
        <f>ROUND(M98+'Cap-WW'!O121/1000-LTFP!N294/1000,-2)</f>
        <v>203900</v>
      </c>
      <c r="O98" s="234">
        <f>ROUND(N98+'Cap-WW'!P121/1000-LTFP!O294/1000,-2)</f>
        <v>200700</v>
      </c>
      <c r="P98" s="104">
        <f>ROUND(O98+'Cap-WW'!Q121/1000-LTFP!P294/1000,-2)</f>
        <v>197400</v>
      </c>
    </row>
    <row r="99" spans="1:16" x14ac:dyDescent="0.2">
      <c r="A99" s="472" t="s">
        <v>2125</v>
      </c>
      <c r="B99" s="132">
        <v>0</v>
      </c>
      <c r="C99" s="132">
        <v>0</v>
      </c>
      <c r="D99" s="33">
        <f>ROUNDUP(C99+(C99*Assumptions!E$5),-2)</f>
        <v>0</v>
      </c>
      <c r="E99" s="33">
        <v>0</v>
      </c>
      <c r="F99" s="142">
        <f>ROUNDUP(E99+(E99*Assumptions!G$5),-2)</f>
        <v>0</v>
      </c>
      <c r="G99" s="33">
        <f>ROUNDUP(F99+(F99*Assumptions!H$5),-2)</f>
        <v>0</v>
      </c>
      <c r="H99" s="33">
        <f>ROUNDUP(G99+(G99*Assumptions!I$5),-2)</f>
        <v>0</v>
      </c>
      <c r="I99" s="33">
        <f>ROUNDUP(H99+(H99*Assumptions!J$5),-2)</f>
        <v>0</v>
      </c>
      <c r="J99" s="33">
        <f>ROUNDUP(I99+(I99*Assumptions!K$5),-2)</f>
        <v>0</v>
      </c>
      <c r="K99" s="33">
        <f>ROUNDUP(J99+(J99*Assumptions!L$5),-2)</f>
        <v>0</v>
      </c>
      <c r="L99" s="33">
        <f>ROUNDUP(K99+(K99*Assumptions!M$5),-2)</f>
        <v>0</v>
      </c>
      <c r="M99" s="33">
        <f>ROUNDUP(L99+(L99*Assumptions!N$5),-2)</f>
        <v>0</v>
      </c>
      <c r="N99" s="142">
        <f>ROUNDUP(M99+(M99*Assumptions!O$5),-2)</f>
        <v>0</v>
      </c>
      <c r="O99" s="142">
        <f>ROUNDUP(N99+(N99*Assumptions!P$5),-2)</f>
        <v>0</v>
      </c>
      <c r="P99" s="114">
        <f>ROUNDUP(O99+(O99*Assumptions!Q$5),-2)</f>
        <v>0</v>
      </c>
    </row>
    <row r="100" spans="1:16" s="1" customFormat="1" x14ac:dyDescent="0.2">
      <c r="A100" s="1269" t="s">
        <v>2126</v>
      </c>
      <c r="B100" s="1327">
        <f t="shared" ref="B100:M100" si="60">SUM(B95:B99)</f>
        <v>254181</v>
      </c>
      <c r="C100" s="1327">
        <f t="shared" si="60"/>
        <v>265295</v>
      </c>
      <c r="D100" s="1327">
        <f t="shared" si="60"/>
        <v>198701</v>
      </c>
      <c r="E100" s="1327">
        <f t="shared" si="60"/>
        <v>200105</v>
      </c>
      <c r="F100" s="2559">
        <f t="shared" si="60"/>
        <v>203250</v>
      </c>
      <c r="G100" s="1327">
        <f t="shared" si="60"/>
        <v>204760</v>
      </c>
      <c r="H100" s="1327">
        <f t="shared" si="60"/>
        <v>205670</v>
      </c>
      <c r="I100" s="1327">
        <f t="shared" si="60"/>
        <v>208080</v>
      </c>
      <c r="J100" s="1327">
        <f t="shared" si="60"/>
        <v>210490</v>
      </c>
      <c r="K100" s="1327">
        <f t="shared" si="60"/>
        <v>211100</v>
      </c>
      <c r="L100" s="1327">
        <f t="shared" si="60"/>
        <v>211910</v>
      </c>
      <c r="M100" s="1327">
        <f t="shared" si="60"/>
        <v>208720</v>
      </c>
      <c r="N100" s="1509">
        <f t="shared" ref="N100:O100" si="61">SUM(N95:N99)</f>
        <v>205530</v>
      </c>
      <c r="O100" s="1509">
        <f t="shared" si="61"/>
        <v>202340</v>
      </c>
      <c r="P100" s="1510">
        <f t="shared" ref="P100" si="62">SUM(P95:P99)</f>
        <v>199050</v>
      </c>
    </row>
    <row r="101" spans="1:16" s="4" customFormat="1" ht="13.5" thickBot="1" x14ac:dyDescent="0.25">
      <c r="A101" s="471" t="s">
        <v>2127</v>
      </c>
      <c r="B101" s="902">
        <f t="shared" ref="B101:M101" si="63">B92+B100</f>
        <v>285463</v>
      </c>
      <c r="C101" s="902">
        <f t="shared" si="63"/>
        <v>284687</v>
      </c>
      <c r="D101" s="902">
        <f t="shared" si="63"/>
        <v>213192</v>
      </c>
      <c r="E101" s="902">
        <f t="shared" si="63"/>
        <v>214998</v>
      </c>
      <c r="F101" s="2560">
        <f t="shared" si="63"/>
        <v>215360</v>
      </c>
      <c r="G101" s="902">
        <f t="shared" si="63"/>
        <v>215440</v>
      </c>
      <c r="H101" s="902">
        <f t="shared" si="63"/>
        <v>218200</v>
      </c>
      <c r="I101" s="902">
        <f t="shared" si="63"/>
        <v>223580</v>
      </c>
      <c r="J101" s="902">
        <f t="shared" si="63"/>
        <v>226310</v>
      </c>
      <c r="K101" s="902">
        <f t="shared" si="63"/>
        <v>227430</v>
      </c>
      <c r="L101" s="902">
        <f t="shared" si="63"/>
        <v>229390</v>
      </c>
      <c r="M101" s="902">
        <f t="shared" si="63"/>
        <v>231260</v>
      </c>
      <c r="N101" s="903">
        <f t="shared" ref="N101:O101" si="64">N92+N100</f>
        <v>233680</v>
      </c>
      <c r="O101" s="903">
        <f t="shared" si="64"/>
        <v>236710</v>
      </c>
      <c r="P101" s="904">
        <f t="shared" ref="P101" si="65">P92+P100</f>
        <v>240380</v>
      </c>
    </row>
    <row r="102" spans="1:16" x14ac:dyDescent="0.2">
      <c r="A102" s="473"/>
      <c r="B102" s="231"/>
      <c r="C102" s="231"/>
      <c r="D102" s="231"/>
      <c r="E102" s="231"/>
      <c r="F102" s="234"/>
      <c r="G102" s="231"/>
      <c r="H102" s="231"/>
      <c r="I102" s="231"/>
      <c r="J102" s="231"/>
      <c r="K102" s="231"/>
      <c r="L102" s="231"/>
      <c r="M102" s="231"/>
      <c r="N102" s="233"/>
      <c r="O102" s="233"/>
      <c r="P102" s="88"/>
    </row>
    <row r="103" spans="1:16" x14ac:dyDescent="0.2">
      <c r="A103" s="471" t="s">
        <v>2128</v>
      </c>
      <c r="B103" s="231"/>
      <c r="C103" s="231"/>
      <c r="D103" s="231"/>
      <c r="E103" s="231"/>
      <c r="F103" s="234"/>
      <c r="G103" s="231"/>
      <c r="H103" s="231"/>
      <c r="I103" s="231"/>
      <c r="J103" s="231"/>
      <c r="K103" s="231"/>
      <c r="L103" s="231"/>
      <c r="M103" s="231"/>
      <c r="N103" s="233"/>
      <c r="O103" s="233"/>
      <c r="P103" s="88"/>
    </row>
    <row r="104" spans="1:16" x14ac:dyDescent="0.2">
      <c r="A104" s="471" t="s">
        <v>2816</v>
      </c>
      <c r="B104" s="231"/>
      <c r="C104" s="231"/>
      <c r="D104" s="231"/>
      <c r="E104" s="231"/>
      <c r="F104" s="234"/>
      <c r="G104" s="231"/>
      <c r="H104" s="231"/>
      <c r="I104" s="231"/>
      <c r="J104" s="231"/>
      <c r="K104" s="231"/>
      <c r="L104" s="231"/>
      <c r="M104" s="231"/>
      <c r="N104" s="233"/>
      <c r="O104" s="233"/>
      <c r="P104" s="88"/>
    </row>
    <row r="105" spans="1:16" x14ac:dyDescent="0.2">
      <c r="A105" s="472" t="s">
        <v>2817</v>
      </c>
      <c r="B105" s="101">
        <v>4379</v>
      </c>
      <c r="C105" s="101">
        <v>83</v>
      </c>
      <c r="D105" s="142">
        <v>162</v>
      </c>
      <c r="E105" s="142">
        <v>125</v>
      </c>
      <c r="F105" s="142">
        <f>ROUNDUP(E105+(E105*Assumptions!G$5),-1)</f>
        <v>130</v>
      </c>
      <c r="G105" s="33">
        <f>ROUNDUP(F105+(F105*Assumptions!H$5),-1)</f>
        <v>140</v>
      </c>
      <c r="H105" s="33">
        <f>ROUNDUP(G105+(G105*Assumptions!I$5),-1)</f>
        <v>150</v>
      </c>
      <c r="I105" s="33">
        <f>ROUNDUP(H105+(H105*Assumptions!J$5),-1)</f>
        <v>160</v>
      </c>
      <c r="J105" s="33">
        <f>ROUNDUP(I105+(I105*Assumptions!K$5),-1)</f>
        <v>170</v>
      </c>
      <c r="K105" s="33">
        <f>ROUNDUP(J105+(J105*Assumptions!L$5),-1)</f>
        <v>180</v>
      </c>
      <c r="L105" s="33">
        <f>ROUNDUP(K105+(K105*Assumptions!M$5),-1)</f>
        <v>190</v>
      </c>
      <c r="M105" s="33">
        <f>ROUNDUP(L105+(L105*Assumptions!N$5),-1)</f>
        <v>200</v>
      </c>
      <c r="N105" s="142">
        <f>ROUNDUP(M105+(M105*Assumptions!O$5),-1)</f>
        <v>210</v>
      </c>
      <c r="O105" s="142">
        <f>ROUNDUP(N105+(N105*Assumptions!P$5),-1)</f>
        <v>220</v>
      </c>
      <c r="P105" s="114">
        <f>ROUNDUP(O105+(O105*Assumptions!Q$5),-1)</f>
        <v>230</v>
      </c>
    </row>
    <row r="106" spans="1:16" x14ac:dyDescent="0.2">
      <c r="A106" s="472" t="s">
        <v>2818</v>
      </c>
      <c r="B106" s="101">
        <v>2385</v>
      </c>
      <c r="C106" s="101">
        <v>2495</v>
      </c>
      <c r="D106" s="101">
        <f>-LTFP!C310/1000</f>
        <v>2793.3</v>
      </c>
      <c r="E106" s="101">
        <f>-LTFP!E310/1000</f>
        <v>2957.9</v>
      </c>
      <c r="F106" s="234">
        <f>-LTFP!G310/1000</f>
        <v>3095.6</v>
      </c>
      <c r="G106" s="231">
        <f>-LTFP!H310/1000</f>
        <v>3134</v>
      </c>
      <c r="H106" s="231">
        <f>-LTFP!I310/1000</f>
        <v>3280.3</v>
      </c>
      <c r="I106" s="231">
        <f>-LTFP!J310/1000</f>
        <v>2453.5</v>
      </c>
      <c r="J106" s="231">
        <f>-LTFP!K310/1000</f>
        <v>2654.1</v>
      </c>
      <c r="K106" s="231">
        <f>-LTFP!L310/1000</f>
        <v>2844.1</v>
      </c>
      <c r="L106" s="231">
        <f>-LTFP!M310/1000</f>
        <v>3037</v>
      </c>
      <c r="M106" s="231">
        <f>-LTFP!N310/1000</f>
        <v>3235</v>
      </c>
      <c r="N106" s="231">
        <f>-LTFP!O310/1000</f>
        <v>3430</v>
      </c>
      <c r="O106" s="231">
        <f>-LTFP!P310/1000</f>
        <v>3627</v>
      </c>
      <c r="P106" s="114">
        <f>'Debt-WW'!AH16/1000</f>
        <v>3824</v>
      </c>
    </row>
    <row r="107" spans="1:16" x14ac:dyDescent="0.2">
      <c r="A107" s="472" t="s">
        <v>2819</v>
      </c>
      <c r="B107" s="931">
        <v>461</v>
      </c>
      <c r="C107" s="931">
        <v>452</v>
      </c>
      <c r="D107" s="455">
        <v>437</v>
      </c>
      <c r="E107" s="642">
        <v>482</v>
      </c>
      <c r="F107" s="642">
        <f>ROUNDUP(E107+(E107*Assumptions!G$5),-1)</f>
        <v>500</v>
      </c>
      <c r="G107" s="455">
        <f>ROUNDUP(F107+(F107*Assumptions!H$5),-1)</f>
        <v>510</v>
      </c>
      <c r="H107" s="455">
        <f>ROUNDUP(G107+(G107*Assumptions!I$5),-1)</f>
        <v>530</v>
      </c>
      <c r="I107" s="455">
        <f>ROUNDUP(H107+(H107*Assumptions!J$5),-1)</f>
        <v>550</v>
      </c>
      <c r="J107" s="455">
        <f>ROUNDUP(I107+(I107*Assumptions!K$5),-1)</f>
        <v>570</v>
      </c>
      <c r="K107" s="455">
        <f>ROUNDUP(J107+(J107*Assumptions!L$5),-1)</f>
        <v>590</v>
      </c>
      <c r="L107" s="455">
        <f>ROUNDUP(K107+(K107*Assumptions!M$5),-1)</f>
        <v>610</v>
      </c>
      <c r="M107" s="455">
        <f>ROUNDUP(L107+(L107*Assumptions!N$5),-1)</f>
        <v>630</v>
      </c>
      <c r="N107" s="642">
        <f>ROUNDUP(M107+(M107*Assumptions!O$5),-1)</f>
        <v>650</v>
      </c>
      <c r="O107" s="642">
        <f>ROUNDUP(N107+(N107*Assumptions!P$5),-1)</f>
        <v>670</v>
      </c>
      <c r="P107" s="761">
        <f>ROUNDUP(O107+(O107*Assumptions!Q$5),-1)</f>
        <v>690</v>
      </c>
    </row>
    <row r="108" spans="1:16" s="1" customFormat="1" x14ac:dyDescent="0.2">
      <c r="A108" s="1269" t="s">
        <v>2820</v>
      </c>
      <c r="B108" s="116">
        <f t="shared" ref="B108:M108" si="66">SUM(B105:B107)</f>
        <v>7225</v>
      </c>
      <c r="C108" s="116">
        <f t="shared" si="66"/>
        <v>3030</v>
      </c>
      <c r="D108" s="82">
        <f t="shared" si="66"/>
        <v>3392.3</v>
      </c>
      <c r="E108" s="82">
        <f t="shared" si="66"/>
        <v>3564.9</v>
      </c>
      <c r="F108" s="160">
        <f t="shared" si="66"/>
        <v>3725.6</v>
      </c>
      <c r="G108" s="82">
        <f t="shared" si="66"/>
        <v>3784</v>
      </c>
      <c r="H108" s="82">
        <f t="shared" si="66"/>
        <v>3960.3</v>
      </c>
      <c r="I108" s="82">
        <f t="shared" si="66"/>
        <v>3163.5</v>
      </c>
      <c r="J108" s="82">
        <f t="shared" si="66"/>
        <v>3394.1</v>
      </c>
      <c r="K108" s="82">
        <f t="shared" si="66"/>
        <v>3614.1</v>
      </c>
      <c r="L108" s="82">
        <f t="shared" si="66"/>
        <v>3837</v>
      </c>
      <c r="M108" s="82">
        <f t="shared" si="66"/>
        <v>4065</v>
      </c>
      <c r="N108" s="83">
        <f t="shared" ref="N108:O108" si="67">SUM(N105:N107)</f>
        <v>4290</v>
      </c>
      <c r="O108" s="83">
        <f t="shared" si="67"/>
        <v>4517</v>
      </c>
      <c r="P108" s="72">
        <f t="shared" ref="P108" si="68">SUM(P105:P107)</f>
        <v>4744</v>
      </c>
    </row>
    <row r="109" spans="1:16" x14ac:dyDescent="0.2">
      <c r="A109" s="473"/>
      <c r="B109" s="101"/>
      <c r="C109" s="101"/>
      <c r="D109" s="231"/>
      <c r="E109" s="231"/>
      <c r="F109" s="234"/>
      <c r="G109" s="231"/>
      <c r="H109" s="231"/>
      <c r="I109" s="231"/>
      <c r="J109" s="231"/>
      <c r="K109" s="231"/>
      <c r="L109" s="231"/>
      <c r="M109" s="231"/>
      <c r="N109" s="233"/>
      <c r="O109" s="233"/>
      <c r="P109" s="88"/>
    </row>
    <row r="110" spans="1:16" x14ac:dyDescent="0.2">
      <c r="A110" s="471" t="s">
        <v>2821</v>
      </c>
      <c r="B110" s="101"/>
      <c r="C110" s="101"/>
      <c r="D110" s="231"/>
      <c r="E110" s="231"/>
      <c r="F110" s="234"/>
      <c r="G110" s="231"/>
      <c r="H110" s="231"/>
      <c r="I110" s="231"/>
      <c r="J110" s="231"/>
      <c r="K110" s="231"/>
      <c r="L110" s="231"/>
      <c r="M110" s="231"/>
      <c r="N110" s="233"/>
      <c r="O110" s="233"/>
      <c r="P110" s="88"/>
    </row>
    <row r="111" spans="1:16" x14ac:dyDescent="0.2">
      <c r="A111" s="472" t="s">
        <v>2817</v>
      </c>
      <c r="B111" s="101">
        <v>0</v>
      </c>
      <c r="C111" s="101">
        <v>0</v>
      </c>
      <c r="D111" s="142">
        <f>ROUNDUP(C111+(C111*Assumptions!E$5),-2)</f>
        <v>0</v>
      </c>
      <c r="E111" s="142">
        <f>ROUNDUP(D111+(D111*Assumptions!F$5),-2)</f>
        <v>0</v>
      </c>
      <c r="F111" s="142">
        <f>ROUNDUP(E111+(E111*Assumptions!G$5),-2)</f>
        <v>0</v>
      </c>
      <c r="G111" s="33">
        <f>ROUNDUP(F111+(F111*Assumptions!H$5),-2)</f>
        <v>0</v>
      </c>
      <c r="H111" s="33">
        <f>ROUNDUP(G111+(G111*Assumptions!I$5),-2)</f>
        <v>0</v>
      </c>
      <c r="I111" s="33">
        <f>ROUNDUP(H111+(H111*Assumptions!J$5),-2)</f>
        <v>0</v>
      </c>
      <c r="J111" s="33">
        <f>ROUNDUP(I111+(I111*Assumptions!K$5),-2)</f>
        <v>0</v>
      </c>
      <c r="K111" s="33">
        <f>ROUNDUP(J111+(J111*Assumptions!L$5),-2)</f>
        <v>0</v>
      </c>
      <c r="L111" s="33">
        <f>ROUNDUP(K111+(K111*Assumptions!M$5),-2)</f>
        <v>0</v>
      </c>
      <c r="M111" s="33">
        <f>ROUNDUP(L111+(L111*Assumptions!N$5),-2)</f>
        <v>0</v>
      </c>
      <c r="N111" s="142">
        <f>ROUNDUP(M111+(M111*Assumptions!O$5),-2)</f>
        <v>0</v>
      </c>
      <c r="O111" s="142">
        <f>ROUNDUP(N111+(N111*Assumptions!P$5),-2)</f>
        <v>0</v>
      </c>
      <c r="P111" s="114">
        <f>ROUNDUP(O111+(O111*Assumptions!Q$5),-2)</f>
        <v>0</v>
      </c>
    </row>
    <row r="112" spans="1:16" x14ac:dyDescent="0.2">
      <c r="A112" s="472" t="s">
        <v>2818</v>
      </c>
      <c r="B112" s="231">
        <v>65130</v>
      </c>
      <c r="C112" s="231">
        <v>63719</v>
      </c>
      <c r="D112" s="142">
        <v>61582</v>
      </c>
      <c r="E112" s="142">
        <v>58925</v>
      </c>
      <c r="F112" s="142">
        <f>E112-F106+LTFP!E304/1000</f>
        <v>55829.4</v>
      </c>
      <c r="G112" s="33">
        <f>F112-G106+LTFP!G304/1000</f>
        <v>52695.4</v>
      </c>
      <c r="H112" s="33">
        <f>G112-H106+LTFP!H304/1000</f>
        <v>49415.1</v>
      </c>
      <c r="I112" s="33">
        <f>H112-I106+LTFP!I304/1000</f>
        <v>46961.599999999999</v>
      </c>
      <c r="J112" s="33">
        <f>I112-J106+LTFP!J304/1000</f>
        <v>44307.5</v>
      </c>
      <c r="K112" s="33">
        <f>J112-K106+LTFP!K304/1000</f>
        <v>41463.4</v>
      </c>
      <c r="L112" s="33">
        <f>K112-L106+LTFP!L304/1000</f>
        <v>38426.400000000001</v>
      </c>
      <c r="M112" s="33">
        <f>L112-M106+LTFP!M304/1000</f>
        <v>35191.4</v>
      </c>
      <c r="N112" s="142">
        <f>M112-N106+LTFP!N304/1000</f>
        <v>31761.4</v>
      </c>
      <c r="O112" s="142">
        <f>N112-O106+LTFP!O304/1000</f>
        <v>28134.400000000001</v>
      </c>
      <c r="P112" s="114">
        <f>O112-P106+LTFP!P304/1000</f>
        <v>24310.400000000001</v>
      </c>
    </row>
    <row r="113" spans="1:16" x14ac:dyDescent="0.2">
      <c r="A113" s="472" t="s">
        <v>2819</v>
      </c>
      <c r="B113" s="142">
        <v>0</v>
      </c>
      <c r="C113" s="142">
        <v>0</v>
      </c>
      <c r="D113" s="142">
        <v>43</v>
      </c>
      <c r="E113" s="142">
        <v>45</v>
      </c>
      <c r="F113" s="142">
        <f>ROUNDUP(E113+(E113*Assumptions!G$5),-2)</f>
        <v>100</v>
      </c>
      <c r="G113" s="33">
        <f>ROUNDUP(F113+(F113*Assumptions!H$5),-2)</f>
        <v>200</v>
      </c>
      <c r="H113" s="33">
        <f>ROUNDUP(G113+(G113*Assumptions!I$5),-2)</f>
        <v>300</v>
      </c>
      <c r="I113" s="33">
        <f>ROUNDUP(H113+(H113*Assumptions!J$5),-2)</f>
        <v>400</v>
      </c>
      <c r="J113" s="33">
        <f>ROUNDUP(I113+(I113*Assumptions!K$5),-2)</f>
        <v>500</v>
      </c>
      <c r="K113" s="33">
        <f>ROUNDUP(J113+(J113*Assumptions!L$5),-2)</f>
        <v>600</v>
      </c>
      <c r="L113" s="33">
        <f>ROUNDUP(K113+(K113*Assumptions!M$5),-2)</f>
        <v>700</v>
      </c>
      <c r="M113" s="33">
        <f>ROUNDUP(L113+(L113*Assumptions!N$5),-2)</f>
        <v>800</v>
      </c>
      <c r="N113" s="142">
        <f>ROUNDUP(M113+(M113*Assumptions!O$5),-2)</f>
        <v>900</v>
      </c>
      <c r="O113" s="142">
        <f>ROUNDUP(N113+(N113*Assumptions!P$5),-2)</f>
        <v>1000</v>
      </c>
      <c r="P113" s="114">
        <f>ROUNDUP(O113+(O113*Assumptions!Q$5),-2)</f>
        <v>1100</v>
      </c>
    </row>
    <row r="114" spans="1:16" s="1" customFormat="1" x14ac:dyDescent="0.2">
      <c r="A114" s="1269" t="s">
        <v>2822</v>
      </c>
      <c r="B114" s="1327">
        <f t="shared" ref="B114:M114" si="69">SUM(B111:B113)</f>
        <v>65130</v>
      </c>
      <c r="C114" s="1327">
        <f t="shared" si="69"/>
        <v>63719</v>
      </c>
      <c r="D114" s="1327">
        <f t="shared" si="69"/>
        <v>61625</v>
      </c>
      <c r="E114" s="1327">
        <f t="shared" si="69"/>
        <v>58970</v>
      </c>
      <c r="F114" s="2559">
        <f t="shared" si="69"/>
        <v>55929.4</v>
      </c>
      <c r="G114" s="1327">
        <f t="shared" si="69"/>
        <v>52895.4</v>
      </c>
      <c r="H114" s="1327">
        <f t="shared" si="69"/>
        <v>49715.1</v>
      </c>
      <c r="I114" s="1327">
        <f t="shared" si="69"/>
        <v>47361.599999999999</v>
      </c>
      <c r="J114" s="1327">
        <f t="shared" si="69"/>
        <v>44807.5</v>
      </c>
      <c r="K114" s="1327">
        <f t="shared" si="69"/>
        <v>42063.4</v>
      </c>
      <c r="L114" s="1327">
        <f t="shared" si="69"/>
        <v>39126.400000000001</v>
      </c>
      <c r="M114" s="1327">
        <f t="shared" si="69"/>
        <v>35991.4</v>
      </c>
      <c r="N114" s="1509">
        <f t="shared" ref="N114:O114" si="70">SUM(N111:N113)</f>
        <v>32661.4</v>
      </c>
      <c r="O114" s="1509">
        <f t="shared" si="70"/>
        <v>29134.400000000001</v>
      </c>
      <c r="P114" s="1510">
        <f t="shared" ref="P114" si="71">SUM(P111:P113)</f>
        <v>25410.400000000001</v>
      </c>
    </row>
    <row r="115" spans="1:16" s="4" customFormat="1" x14ac:dyDescent="0.2">
      <c r="A115" s="471" t="s">
        <v>2423</v>
      </c>
      <c r="B115" s="905">
        <f t="shared" ref="B115:M115" si="72">B108+B114</f>
        <v>72355</v>
      </c>
      <c r="C115" s="905">
        <f t="shared" si="72"/>
        <v>66749</v>
      </c>
      <c r="D115" s="905">
        <f t="shared" si="72"/>
        <v>65017.3</v>
      </c>
      <c r="E115" s="905">
        <f t="shared" si="72"/>
        <v>62534.9</v>
      </c>
      <c r="F115" s="2561">
        <f t="shared" si="72"/>
        <v>59655</v>
      </c>
      <c r="G115" s="905">
        <f t="shared" si="72"/>
        <v>56679.4</v>
      </c>
      <c r="H115" s="905">
        <f t="shared" si="72"/>
        <v>53675.4</v>
      </c>
      <c r="I115" s="905">
        <f t="shared" si="72"/>
        <v>50525.1</v>
      </c>
      <c r="J115" s="905">
        <f t="shared" si="72"/>
        <v>48201.599999999999</v>
      </c>
      <c r="K115" s="905">
        <f t="shared" si="72"/>
        <v>45677.5</v>
      </c>
      <c r="L115" s="905">
        <f t="shared" si="72"/>
        <v>42963.4</v>
      </c>
      <c r="M115" s="905">
        <f t="shared" si="72"/>
        <v>40056.400000000001</v>
      </c>
      <c r="N115" s="906">
        <f t="shared" ref="N115:O115" si="73">N108+N114</f>
        <v>36951.4</v>
      </c>
      <c r="O115" s="906">
        <f t="shared" si="73"/>
        <v>33651.4</v>
      </c>
      <c r="P115" s="907">
        <f t="shared" ref="P115" si="74">P108+P114</f>
        <v>30154.400000000001</v>
      </c>
    </row>
    <row r="116" spans="1:16" s="4" customFormat="1" ht="13.5" thickBot="1" x14ac:dyDescent="0.25">
      <c r="A116" s="471" t="s">
        <v>2424</v>
      </c>
      <c r="B116" s="902">
        <f t="shared" ref="B116:M116" si="75">B101-B115</f>
        <v>213108</v>
      </c>
      <c r="C116" s="902">
        <f t="shared" si="75"/>
        <v>217938</v>
      </c>
      <c r="D116" s="902">
        <f t="shared" si="75"/>
        <v>148174.70000000001</v>
      </c>
      <c r="E116" s="902">
        <f t="shared" si="75"/>
        <v>152463.1</v>
      </c>
      <c r="F116" s="2560">
        <f t="shared" si="75"/>
        <v>155705</v>
      </c>
      <c r="G116" s="902">
        <f t="shared" si="75"/>
        <v>158760.6</v>
      </c>
      <c r="H116" s="902">
        <f t="shared" si="75"/>
        <v>164524.6</v>
      </c>
      <c r="I116" s="902">
        <f t="shared" si="75"/>
        <v>173054.9</v>
      </c>
      <c r="J116" s="902">
        <f t="shared" si="75"/>
        <v>178108.4</v>
      </c>
      <c r="K116" s="902">
        <f t="shared" si="75"/>
        <v>181752.5</v>
      </c>
      <c r="L116" s="902">
        <f t="shared" si="75"/>
        <v>186426.6</v>
      </c>
      <c r="M116" s="902">
        <f t="shared" si="75"/>
        <v>191203.6</v>
      </c>
      <c r="N116" s="903">
        <f t="shared" ref="N116:O116" si="76">N101-N115</f>
        <v>196728.6</v>
      </c>
      <c r="O116" s="903">
        <f t="shared" si="76"/>
        <v>203058.6</v>
      </c>
      <c r="P116" s="904">
        <f t="shared" ref="P116" si="77">P101-P115</f>
        <v>210225.6</v>
      </c>
    </row>
    <row r="117" spans="1:16" x14ac:dyDescent="0.2">
      <c r="A117" s="473"/>
      <c r="B117" s="231"/>
      <c r="C117" s="231"/>
      <c r="D117" s="231"/>
      <c r="E117" s="231"/>
      <c r="F117" s="234"/>
      <c r="G117" s="231"/>
      <c r="H117" s="231"/>
      <c r="I117" s="231"/>
      <c r="J117" s="231"/>
      <c r="K117" s="231"/>
      <c r="L117" s="231"/>
      <c r="M117" s="231"/>
      <c r="N117" s="233"/>
      <c r="O117" s="233"/>
      <c r="P117" s="88"/>
    </row>
    <row r="118" spans="1:16" x14ac:dyDescent="0.2">
      <c r="A118" s="471" t="s">
        <v>2425</v>
      </c>
      <c r="B118" s="231"/>
      <c r="C118" s="231"/>
      <c r="D118" s="231"/>
      <c r="E118" s="231"/>
      <c r="F118" s="234"/>
      <c r="G118" s="231"/>
      <c r="H118" s="231"/>
      <c r="I118" s="231"/>
      <c r="J118" s="231"/>
      <c r="K118" s="231"/>
      <c r="L118" s="231"/>
      <c r="M118" s="231"/>
      <c r="N118" s="233"/>
      <c r="O118" s="233"/>
      <c r="P118" s="88"/>
    </row>
    <row r="119" spans="1:16" x14ac:dyDescent="0.2">
      <c r="A119" s="472" t="s">
        <v>2515</v>
      </c>
      <c r="B119" s="231">
        <f t="shared" ref="B119:M119" si="78">B116-B120</f>
        <v>108417</v>
      </c>
      <c r="C119" s="231">
        <f t="shared" si="78"/>
        <v>107971</v>
      </c>
      <c r="D119" s="231">
        <f t="shared" si="78"/>
        <v>96710.700000000012</v>
      </c>
      <c r="E119" s="231">
        <f t="shared" si="78"/>
        <v>98161.1</v>
      </c>
      <c r="F119" s="234">
        <f t="shared" si="78"/>
        <v>100305</v>
      </c>
      <c r="G119" s="231">
        <f t="shared" si="78"/>
        <v>102460.6</v>
      </c>
      <c r="H119" s="231">
        <f t="shared" si="78"/>
        <v>106724.6</v>
      </c>
      <c r="I119" s="231">
        <f t="shared" si="78"/>
        <v>113754.9</v>
      </c>
      <c r="J119" s="231">
        <f t="shared" si="78"/>
        <v>117308.4</v>
      </c>
      <c r="K119" s="231">
        <f t="shared" si="78"/>
        <v>119652.5</v>
      </c>
      <c r="L119" s="231">
        <f t="shared" si="78"/>
        <v>123026.6</v>
      </c>
      <c r="M119" s="231">
        <f t="shared" si="78"/>
        <v>126503.6</v>
      </c>
      <c r="N119" s="233">
        <f t="shared" ref="N119:O119" si="79">N116-N120</f>
        <v>130728.6</v>
      </c>
      <c r="O119" s="233">
        <f t="shared" si="79"/>
        <v>135658.6</v>
      </c>
      <c r="P119" s="88">
        <f t="shared" ref="P119" si="80">P116-P120</f>
        <v>141425.60000000001</v>
      </c>
    </row>
    <row r="120" spans="1:16" x14ac:dyDescent="0.2">
      <c r="A120" s="472" t="s">
        <v>2889</v>
      </c>
      <c r="B120" s="899">
        <v>104691</v>
      </c>
      <c r="C120" s="899">
        <v>109967</v>
      </c>
      <c r="D120" s="899">
        <v>51464</v>
      </c>
      <c r="E120" s="899">
        <v>54302</v>
      </c>
      <c r="F120" s="1152">
        <f>ROUNDUP(E120+(E120*Assumptions!G$5),-2)</f>
        <v>55400</v>
      </c>
      <c r="G120" s="899">
        <f>ROUNDUP(F120+(F120*Assumptions!H$5),-2)</f>
        <v>56300</v>
      </c>
      <c r="H120" s="899">
        <f>ROUNDUP(G120+(G120*Assumptions!I$5),-2)</f>
        <v>57800</v>
      </c>
      <c r="I120" s="899">
        <f>ROUNDUP(H120+(H120*Assumptions!J$5),-2)</f>
        <v>59300</v>
      </c>
      <c r="J120" s="899">
        <f>ROUNDUP(I120+(I120*Assumptions!K$5),-2)</f>
        <v>60800</v>
      </c>
      <c r="K120" s="899">
        <f>ROUNDUP(J120+(J120*Assumptions!L$5),-2)</f>
        <v>62100</v>
      </c>
      <c r="L120" s="899">
        <f>ROUNDUP(K120+(K120*Assumptions!M$5),-2)</f>
        <v>63400</v>
      </c>
      <c r="M120" s="899">
        <f>ROUNDUP(L120+(L120*Assumptions!N$5),-2)</f>
        <v>64700</v>
      </c>
      <c r="N120" s="900">
        <f>ROUNDUP(M120+(M120*Assumptions!O$5),-2)</f>
        <v>66000</v>
      </c>
      <c r="O120" s="900">
        <f>ROUNDUP(N120+(N120*Assumptions!P$5),-2)</f>
        <v>67400</v>
      </c>
      <c r="P120" s="901">
        <f>ROUNDUP(O120+(O120*Assumptions!Q$5),-2)</f>
        <v>68800</v>
      </c>
    </row>
    <row r="121" spans="1:16" s="1" customFormat="1" x14ac:dyDescent="0.2">
      <c r="A121" s="1269" t="s">
        <v>2767</v>
      </c>
      <c r="B121" s="82">
        <f t="shared" ref="B121:M121" si="81">SUM(B119:B120)</f>
        <v>213108</v>
      </c>
      <c r="C121" s="82">
        <f t="shared" si="81"/>
        <v>217938</v>
      </c>
      <c r="D121" s="82">
        <f t="shared" si="81"/>
        <v>148174.70000000001</v>
      </c>
      <c r="E121" s="82">
        <f t="shared" si="81"/>
        <v>152463.1</v>
      </c>
      <c r="F121" s="160">
        <f t="shared" si="81"/>
        <v>155705</v>
      </c>
      <c r="G121" s="82">
        <f t="shared" si="81"/>
        <v>158760.6</v>
      </c>
      <c r="H121" s="82">
        <f t="shared" si="81"/>
        <v>164524.6</v>
      </c>
      <c r="I121" s="82">
        <f t="shared" si="81"/>
        <v>173054.9</v>
      </c>
      <c r="J121" s="82">
        <f t="shared" si="81"/>
        <v>178108.4</v>
      </c>
      <c r="K121" s="82">
        <f t="shared" si="81"/>
        <v>181752.5</v>
      </c>
      <c r="L121" s="82">
        <f t="shared" si="81"/>
        <v>186426.6</v>
      </c>
      <c r="M121" s="82">
        <f t="shared" si="81"/>
        <v>191203.6</v>
      </c>
      <c r="N121" s="83">
        <f t="shared" ref="N121:O121" si="82">SUM(N119:N120)</f>
        <v>196728.6</v>
      </c>
      <c r="O121" s="83">
        <f t="shared" si="82"/>
        <v>203058.6</v>
      </c>
      <c r="P121" s="72">
        <f t="shared" ref="P121" si="83">SUM(P119:P120)</f>
        <v>210225.6</v>
      </c>
    </row>
    <row r="122" spans="1:16" ht="13.5" thickBot="1" x14ac:dyDescent="0.25">
      <c r="A122" s="563"/>
      <c r="B122" s="948"/>
      <c r="C122" s="948"/>
      <c r="D122" s="948"/>
      <c r="E122" s="948"/>
      <c r="F122" s="2562"/>
      <c r="G122" s="948"/>
      <c r="H122" s="948"/>
      <c r="I122" s="948"/>
      <c r="J122" s="948"/>
      <c r="K122" s="948"/>
      <c r="L122" s="948"/>
      <c r="M122" s="948"/>
      <c r="N122" s="1637"/>
      <c r="O122" s="1637"/>
      <c r="P122" s="763"/>
    </row>
    <row r="123" spans="1:16" s="9" customFormat="1" ht="14.25" thickTop="1" thickBot="1" x14ac:dyDescent="0.25">
      <c r="B123" s="748"/>
      <c r="C123" s="748"/>
      <c r="D123" s="748"/>
      <c r="E123" s="748"/>
      <c r="F123" s="1114"/>
      <c r="G123" s="748"/>
      <c r="H123" s="748"/>
      <c r="I123" s="748"/>
      <c r="J123" s="748"/>
      <c r="K123" s="748"/>
      <c r="L123" s="748"/>
      <c r="M123" s="748"/>
      <c r="N123" s="748"/>
      <c r="O123" s="748"/>
      <c r="P123" s="748"/>
    </row>
    <row r="124" spans="1:16" ht="17.25" thickTop="1" thickBot="1" x14ac:dyDescent="0.3">
      <c r="A124" s="2856" t="s">
        <v>6095</v>
      </c>
      <c r="B124" s="2857"/>
      <c r="C124" s="2857"/>
      <c r="D124" s="2857"/>
      <c r="E124" s="2857"/>
      <c r="F124" s="2857"/>
      <c r="G124" s="2857"/>
      <c r="H124" s="2857"/>
      <c r="I124" s="2857"/>
      <c r="J124" s="2857"/>
      <c r="K124" s="2857"/>
      <c r="L124" s="2857"/>
      <c r="M124" s="2857"/>
      <c r="N124" s="2857"/>
      <c r="O124" s="2857"/>
      <c r="P124" s="2858"/>
    </row>
    <row r="125" spans="1:16" s="4" customFormat="1" ht="13.5" thickBot="1" x14ac:dyDescent="0.25">
      <c r="A125" s="1689" t="s">
        <v>4575</v>
      </c>
      <c r="B125" s="1690" t="str">
        <f t="shared" ref="B125:M125" si="84">B2</f>
        <v>2012/13</v>
      </c>
      <c r="C125" s="1690" t="str">
        <f t="shared" si="84"/>
        <v>2013/14</v>
      </c>
      <c r="D125" s="1690" t="str">
        <f t="shared" si="84"/>
        <v>2014/15</v>
      </c>
      <c r="E125" s="1690" t="str">
        <f t="shared" si="84"/>
        <v>2015/16</v>
      </c>
      <c r="F125" s="2557" t="str">
        <f t="shared" si="84"/>
        <v>2016/17</v>
      </c>
      <c r="G125" s="1690" t="str">
        <f t="shared" si="84"/>
        <v>2017/18</v>
      </c>
      <c r="H125" s="1690" t="str">
        <f t="shared" si="84"/>
        <v>2018/19</v>
      </c>
      <c r="I125" s="1690" t="str">
        <f t="shared" si="84"/>
        <v>2019/20</v>
      </c>
      <c r="J125" s="1690" t="str">
        <f t="shared" si="84"/>
        <v>2020/21</v>
      </c>
      <c r="K125" s="1690" t="str">
        <f t="shared" si="84"/>
        <v>2021/22</v>
      </c>
      <c r="L125" s="1690" t="str">
        <f t="shared" si="84"/>
        <v>2022/23</v>
      </c>
      <c r="M125" s="1690" t="str">
        <f t="shared" si="84"/>
        <v>2023/24</v>
      </c>
      <c r="N125" s="1691" t="str">
        <f t="shared" ref="N125:O125" si="85">N2</f>
        <v>2024/25</v>
      </c>
      <c r="O125" s="1691" t="str">
        <f t="shared" si="85"/>
        <v>2025/26</v>
      </c>
      <c r="P125" s="1692" t="str">
        <f t="shared" ref="P125" si="86">P2</f>
        <v>2026/27</v>
      </c>
    </row>
    <row r="126" spans="1:16" s="4" customFormat="1" x14ac:dyDescent="0.2">
      <c r="A126" s="471"/>
      <c r="B126" s="1686"/>
      <c r="C126" s="1686"/>
      <c r="D126" s="1686"/>
      <c r="E126" s="1686"/>
      <c r="F126" s="2558"/>
      <c r="G126" s="1686"/>
      <c r="H126" s="1686"/>
      <c r="I126" s="1686"/>
      <c r="J126" s="1686"/>
      <c r="K126" s="1686"/>
      <c r="L126" s="1686"/>
      <c r="M126" s="1687"/>
      <c r="N126" s="1687"/>
      <c r="O126" s="1687"/>
      <c r="P126" s="1688"/>
    </row>
    <row r="127" spans="1:16" x14ac:dyDescent="0.2">
      <c r="A127" s="471" t="s">
        <v>2162</v>
      </c>
      <c r="B127" s="231"/>
      <c r="C127" s="231"/>
      <c r="D127" s="231"/>
      <c r="E127" s="231"/>
      <c r="F127" s="234"/>
      <c r="G127" s="231"/>
      <c r="H127" s="231"/>
      <c r="I127" s="231"/>
      <c r="J127" s="231"/>
      <c r="K127" s="231"/>
      <c r="L127" s="231"/>
      <c r="M127" s="233"/>
      <c r="N127" s="233"/>
      <c r="O127" s="233"/>
      <c r="P127" s="88"/>
    </row>
    <row r="128" spans="1:16" x14ac:dyDescent="0.2">
      <c r="A128" s="471" t="s">
        <v>2163</v>
      </c>
      <c r="B128" s="231"/>
      <c r="C128" s="231"/>
      <c r="D128" s="231"/>
      <c r="E128" s="231"/>
      <c r="F128" s="234"/>
      <c r="G128" s="231"/>
      <c r="H128" s="231"/>
      <c r="I128" s="231"/>
      <c r="J128" s="231"/>
      <c r="K128" s="231"/>
      <c r="L128" s="231"/>
      <c r="M128" s="233"/>
      <c r="N128" s="233"/>
      <c r="O128" s="233"/>
      <c r="P128" s="88"/>
    </row>
    <row r="129" spans="1:16" x14ac:dyDescent="0.2">
      <c r="A129" s="812" t="s">
        <v>4298</v>
      </c>
      <c r="B129" s="101">
        <f t="shared" ref="B129:M129" si="87">B6+B47+B88</f>
        <v>79260</v>
      </c>
      <c r="C129" s="101">
        <f t="shared" si="87"/>
        <v>59661</v>
      </c>
      <c r="D129" s="101">
        <f t="shared" si="87"/>
        <v>60899</v>
      </c>
      <c r="E129" s="101">
        <f t="shared" si="87"/>
        <v>59905</v>
      </c>
      <c r="F129" s="142">
        <f t="shared" si="87"/>
        <v>43690</v>
      </c>
      <c r="G129" s="33">
        <f t="shared" si="87"/>
        <v>47980</v>
      </c>
      <c r="H129" s="33">
        <f t="shared" si="87"/>
        <v>44320</v>
      </c>
      <c r="I129" s="33">
        <f t="shared" si="87"/>
        <v>52970</v>
      </c>
      <c r="J129" s="33">
        <f t="shared" si="87"/>
        <v>50730</v>
      </c>
      <c r="K129" s="33">
        <f t="shared" si="87"/>
        <v>50370</v>
      </c>
      <c r="L129" s="33">
        <f t="shared" si="87"/>
        <v>56930</v>
      </c>
      <c r="M129" s="142">
        <f t="shared" si="87"/>
        <v>63760</v>
      </c>
      <c r="N129" s="142">
        <f t="shared" ref="N129:O129" si="88">N6+N47+N88</f>
        <v>74320</v>
      </c>
      <c r="O129" s="142">
        <f t="shared" si="88"/>
        <v>87160</v>
      </c>
      <c r="P129" s="114">
        <f t="shared" ref="P129" si="89">P6+P47+P88</f>
        <v>97180</v>
      </c>
    </row>
    <row r="130" spans="1:16" x14ac:dyDescent="0.2">
      <c r="A130" s="472" t="s">
        <v>2121</v>
      </c>
      <c r="B130" s="33">
        <f t="shared" ref="B130:M130" si="90">B7+B48+B89</f>
        <v>8717</v>
      </c>
      <c r="C130" s="33">
        <f t="shared" si="90"/>
        <v>8699</v>
      </c>
      <c r="D130" s="33">
        <f t="shared" si="90"/>
        <v>7084</v>
      </c>
      <c r="E130" s="33">
        <f>E7+E48+E89</f>
        <v>10289</v>
      </c>
      <c r="F130" s="142">
        <f t="shared" si="90"/>
        <v>10510</v>
      </c>
      <c r="G130" s="33">
        <f t="shared" si="90"/>
        <v>10690</v>
      </c>
      <c r="H130" s="33">
        <f t="shared" si="90"/>
        <v>10970</v>
      </c>
      <c r="I130" s="33">
        <f t="shared" si="90"/>
        <v>11260</v>
      </c>
      <c r="J130" s="33">
        <f t="shared" si="90"/>
        <v>11550</v>
      </c>
      <c r="K130" s="33">
        <f t="shared" si="90"/>
        <v>11790</v>
      </c>
      <c r="L130" s="33">
        <f t="shared" si="90"/>
        <v>12040</v>
      </c>
      <c r="M130" s="142">
        <f t="shared" si="90"/>
        <v>12300</v>
      </c>
      <c r="N130" s="142">
        <f t="shared" ref="N130:O130" si="91">N7+N48+N89</f>
        <v>12560</v>
      </c>
      <c r="O130" s="142">
        <f t="shared" si="91"/>
        <v>12830</v>
      </c>
      <c r="P130" s="114">
        <f t="shared" ref="P130" si="92">P7+P48+P89</f>
        <v>13110</v>
      </c>
    </row>
    <row r="131" spans="1:16" x14ac:dyDescent="0.2">
      <c r="A131" s="472" t="s">
        <v>2122</v>
      </c>
      <c r="B131" s="33">
        <f t="shared" ref="B131:M131" si="93">B8+B49+B90</f>
        <v>1010</v>
      </c>
      <c r="C131" s="33">
        <f t="shared" si="93"/>
        <v>996</v>
      </c>
      <c r="D131" s="33">
        <f t="shared" si="93"/>
        <v>1407</v>
      </c>
      <c r="E131" s="33">
        <f t="shared" si="93"/>
        <v>808</v>
      </c>
      <c r="F131" s="142">
        <f t="shared" si="93"/>
        <v>830</v>
      </c>
      <c r="G131" s="33">
        <f t="shared" si="93"/>
        <v>850</v>
      </c>
      <c r="H131" s="33">
        <f t="shared" si="93"/>
        <v>880</v>
      </c>
      <c r="I131" s="33">
        <f t="shared" si="93"/>
        <v>910</v>
      </c>
      <c r="J131" s="33">
        <f t="shared" si="93"/>
        <v>940</v>
      </c>
      <c r="K131" s="33">
        <f t="shared" si="93"/>
        <v>960</v>
      </c>
      <c r="L131" s="33">
        <f t="shared" si="93"/>
        <v>980</v>
      </c>
      <c r="M131" s="142">
        <f t="shared" si="93"/>
        <v>1000</v>
      </c>
      <c r="N131" s="142">
        <f t="shared" ref="N131:O131" si="94">N8+N49+N90</f>
        <v>1020</v>
      </c>
      <c r="O131" s="142">
        <f t="shared" si="94"/>
        <v>1050</v>
      </c>
      <c r="P131" s="114">
        <f t="shared" ref="P131" si="95">P8+P49+P90</f>
        <v>1080</v>
      </c>
    </row>
    <row r="132" spans="1:16" x14ac:dyDescent="0.2">
      <c r="A132" s="472" t="s">
        <v>1771</v>
      </c>
      <c r="B132" s="455">
        <f t="shared" ref="B132:M132" si="96">B9+B50+B91</f>
        <v>704</v>
      </c>
      <c r="C132" s="455">
        <f t="shared" si="96"/>
        <v>57</v>
      </c>
      <c r="D132" s="455">
        <f t="shared" si="96"/>
        <v>188</v>
      </c>
      <c r="E132" s="455">
        <f>E9+E50+E91</f>
        <v>299</v>
      </c>
      <c r="F132" s="642">
        <f t="shared" si="96"/>
        <v>320</v>
      </c>
      <c r="G132" s="455">
        <f t="shared" si="96"/>
        <v>340</v>
      </c>
      <c r="H132" s="455">
        <f t="shared" si="96"/>
        <v>360</v>
      </c>
      <c r="I132" s="455">
        <f t="shared" si="96"/>
        <v>380</v>
      </c>
      <c r="J132" s="455">
        <f t="shared" si="96"/>
        <v>400</v>
      </c>
      <c r="K132" s="455">
        <f t="shared" si="96"/>
        <v>420</v>
      </c>
      <c r="L132" s="455">
        <f t="shared" si="96"/>
        <v>440</v>
      </c>
      <c r="M132" s="642">
        <f t="shared" si="96"/>
        <v>460</v>
      </c>
      <c r="N132" s="642">
        <f t="shared" ref="N132:O132" si="97">N9+N50+N91</f>
        <v>480</v>
      </c>
      <c r="O132" s="642">
        <f t="shared" si="97"/>
        <v>500</v>
      </c>
      <c r="P132" s="761">
        <f t="shared" ref="P132" si="98">P9+P50+P91</f>
        <v>520</v>
      </c>
    </row>
    <row r="133" spans="1:16" s="1" customFormat="1" x14ac:dyDescent="0.2">
      <c r="A133" s="1269" t="s">
        <v>2123</v>
      </c>
      <c r="B133" s="116">
        <f t="shared" ref="B133:M133" si="99">SUM(B129:B132)</f>
        <v>89691</v>
      </c>
      <c r="C133" s="116">
        <f t="shared" si="99"/>
        <v>69413</v>
      </c>
      <c r="D133" s="116">
        <f t="shared" si="99"/>
        <v>69578</v>
      </c>
      <c r="E133" s="116">
        <f t="shared" si="99"/>
        <v>71301</v>
      </c>
      <c r="F133" s="160">
        <f t="shared" si="99"/>
        <v>55350</v>
      </c>
      <c r="G133" s="116">
        <f t="shared" si="99"/>
        <v>59860</v>
      </c>
      <c r="H133" s="116">
        <f t="shared" si="99"/>
        <v>56530</v>
      </c>
      <c r="I133" s="116">
        <f t="shared" si="99"/>
        <v>65520</v>
      </c>
      <c r="J133" s="116">
        <f t="shared" si="99"/>
        <v>63620</v>
      </c>
      <c r="K133" s="116">
        <f t="shared" si="99"/>
        <v>63540</v>
      </c>
      <c r="L133" s="116">
        <f t="shared" si="99"/>
        <v>70390</v>
      </c>
      <c r="M133" s="160">
        <f t="shared" si="99"/>
        <v>77520</v>
      </c>
      <c r="N133" s="160">
        <f t="shared" ref="N133:O133" si="100">SUM(N129:N132)</f>
        <v>88380</v>
      </c>
      <c r="O133" s="160">
        <f t="shared" si="100"/>
        <v>101540</v>
      </c>
      <c r="P133" s="159">
        <f t="shared" ref="P133" si="101">SUM(P129:P132)</f>
        <v>111890</v>
      </c>
    </row>
    <row r="134" spans="1:16" x14ac:dyDescent="0.2">
      <c r="A134" s="473"/>
      <c r="B134" s="101"/>
      <c r="C134" s="101"/>
      <c r="D134" s="101"/>
      <c r="E134" s="101"/>
      <c r="F134" s="234"/>
      <c r="G134" s="101"/>
      <c r="H134" s="101"/>
      <c r="I134" s="101"/>
      <c r="J134" s="101"/>
      <c r="K134" s="101"/>
      <c r="L134" s="101"/>
      <c r="M134" s="234"/>
      <c r="N134" s="234"/>
      <c r="O134" s="234"/>
      <c r="P134" s="104"/>
    </row>
    <row r="135" spans="1:16" x14ac:dyDescent="0.2">
      <c r="A135" s="471" t="s">
        <v>2124</v>
      </c>
      <c r="B135" s="101"/>
      <c r="C135" s="101"/>
      <c r="D135" s="101"/>
      <c r="E135" s="101"/>
      <c r="F135" s="234"/>
      <c r="G135" s="101"/>
      <c r="H135" s="101"/>
      <c r="I135" s="101"/>
      <c r="J135" s="101"/>
      <c r="K135" s="101"/>
      <c r="L135" s="101"/>
      <c r="M135" s="234"/>
      <c r="N135" s="234"/>
      <c r="O135" s="234"/>
      <c r="P135" s="104"/>
    </row>
    <row r="136" spans="1:16" x14ac:dyDescent="0.2">
      <c r="A136" s="472" t="s">
        <v>1941</v>
      </c>
      <c r="B136" s="33">
        <f t="shared" ref="B136:M136" si="102">B13+B54+B95</f>
        <v>10886</v>
      </c>
      <c r="C136" s="33">
        <f t="shared" si="102"/>
        <v>11036</v>
      </c>
      <c r="D136" s="33">
        <f t="shared" si="102"/>
        <v>8140</v>
      </c>
      <c r="E136" s="33">
        <f t="shared" si="102"/>
        <v>6107</v>
      </c>
      <c r="F136" s="142">
        <f t="shared" si="102"/>
        <v>9752</v>
      </c>
      <c r="G136" s="33">
        <f t="shared" si="102"/>
        <v>5852</v>
      </c>
      <c r="H136" s="33">
        <f t="shared" si="102"/>
        <v>5852</v>
      </c>
      <c r="I136" s="33">
        <f t="shared" si="102"/>
        <v>5852</v>
      </c>
      <c r="J136" s="33">
        <f t="shared" si="102"/>
        <v>5852</v>
      </c>
      <c r="K136" s="33">
        <f t="shared" si="102"/>
        <v>5852</v>
      </c>
      <c r="L136" s="33">
        <f t="shared" si="102"/>
        <v>5852</v>
      </c>
      <c r="M136" s="142">
        <f t="shared" si="102"/>
        <v>5852</v>
      </c>
      <c r="N136" s="142">
        <f t="shared" ref="N136:O136" si="103">N13+N54+N95</f>
        <v>5852</v>
      </c>
      <c r="O136" s="142">
        <f t="shared" si="103"/>
        <v>5852</v>
      </c>
      <c r="P136" s="114">
        <f t="shared" ref="P136" si="104">P13+P54+P95</f>
        <v>5852</v>
      </c>
    </row>
    <row r="137" spans="1:16" x14ac:dyDescent="0.2">
      <c r="A137" s="472" t="s">
        <v>2121</v>
      </c>
      <c r="B137" s="33">
        <f t="shared" ref="B137:M137" si="105">B14+B55+B96</f>
        <v>641</v>
      </c>
      <c r="C137" s="33">
        <f t="shared" si="105"/>
        <v>510</v>
      </c>
      <c r="D137" s="33">
        <f t="shared" si="105"/>
        <v>495</v>
      </c>
      <c r="E137" s="33">
        <f t="shared" si="105"/>
        <v>361</v>
      </c>
      <c r="F137" s="142">
        <f t="shared" si="105"/>
        <v>390</v>
      </c>
      <c r="G137" s="33">
        <f t="shared" si="105"/>
        <v>420</v>
      </c>
      <c r="H137" s="33">
        <f t="shared" si="105"/>
        <v>450</v>
      </c>
      <c r="I137" s="33">
        <f t="shared" si="105"/>
        <v>480</v>
      </c>
      <c r="J137" s="33">
        <f t="shared" si="105"/>
        <v>510</v>
      </c>
      <c r="K137" s="33">
        <f t="shared" si="105"/>
        <v>540</v>
      </c>
      <c r="L137" s="33">
        <f t="shared" si="105"/>
        <v>570</v>
      </c>
      <c r="M137" s="142">
        <f t="shared" si="105"/>
        <v>600</v>
      </c>
      <c r="N137" s="142">
        <f t="shared" ref="N137:O137" si="106">N14+N55+N96</f>
        <v>630</v>
      </c>
      <c r="O137" s="142">
        <f t="shared" si="106"/>
        <v>660</v>
      </c>
      <c r="P137" s="114">
        <f t="shared" ref="P137" si="107">P14+P55+P96</f>
        <v>690</v>
      </c>
    </row>
    <row r="138" spans="1:16" x14ac:dyDescent="0.2">
      <c r="A138" s="472" t="s">
        <v>2122</v>
      </c>
      <c r="B138" s="33">
        <f t="shared" ref="B138:M138" si="108">B15+B56+B97</f>
        <v>2816</v>
      </c>
      <c r="C138" s="33">
        <f t="shared" si="108"/>
        <v>3051</v>
      </c>
      <c r="D138" s="33">
        <f t="shared" si="108"/>
        <v>2459</v>
      </c>
      <c r="E138" s="33">
        <f t="shared" si="108"/>
        <v>3026</v>
      </c>
      <c r="F138" s="142">
        <f t="shared" si="108"/>
        <v>3180</v>
      </c>
      <c r="G138" s="33">
        <f t="shared" si="108"/>
        <v>3330</v>
      </c>
      <c r="H138" s="33">
        <f t="shared" si="108"/>
        <v>3510</v>
      </c>
      <c r="I138" s="33">
        <f t="shared" si="108"/>
        <v>3700</v>
      </c>
      <c r="J138" s="33">
        <f t="shared" si="108"/>
        <v>3890</v>
      </c>
      <c r="K138" s="33">
        <f t="shared" si="108"/>
        <v>4060</v>
      </c>
      <c r="L138" s="33">
        <f t="shared" si="108"/>
        <v>4230</v>
      </c>
      <c r="M138" s="142">
        <f t="shared" si="108"/>
        <v>4410</v>
      </c>
      <c r="N138" s="142">
        <f t="shared" ref="N138:O138" si="109">N15+N56+N97</f>
        <v>4590</v>
      </c>
      <c r="O138" s="142">
        <f t="shared" si="109"/>
        <v>4770</v>
      </c>
      <c r="P138" s="114">
        <f t="shared" ref="P138" si="110">P15+P56+P97</f>
        <v>4950</v>
      </c>
    </row>
    <row r="139" spans="1:16" x14ac:dyDescent="0.2">
      <c r="A139" s="812" t="s">
        <v>3363</v>
      </c>
      <c r="B139" s="101">
        <f t="shared" ref="B139:M139" si="111">B16+B57+B98</f>
        <v>1094337</v>
      </c>
      <c r="C139" s="101">
        <f t="shared" si="111"/>
        <v>1125496</v>
      </c>
      <c r="D139" s="101">
        <f t="shared" si="111"/>
        <v>1075225</v>
      </c>
      <c r="E139" s="101">
        <f t="shared" si="111"/>
        <v>1090742</v>
      </c>
      <c r="F139" s="234">
        <f t="shared" si="111"/>
        <v>1125980</v>
      </c>
      <c r="G139" s="101">
        <f t="shared" si="111"/>
        <v>1151040</v>
      </c>
      <c r="H139" s="101">
        <f t="shared" si="111"/>
        <v>1174390</v>
      </c>
      <c r="I139" s="101">
        <f t="shared" si="111"/>
        <v>1182330</v>
      </c>
      <c r="J139" s="101">
        <f t="shared" si="111"/>
        <v>1213590</v>
      </c>
      <c r="K139" s="101">
        <f t="shared" si="111"/>
        <v>1230070</v>
      </c>
      <c r="L139" s="101">
        <f t="shared" si="111"/>
        <v>1233050</v>
      </c>
      <c r="M139" s="234">
        <f t="shared" si="111"/>
        <v>1234550</v>
      </c>
      <c r="N139" s="234">
        <f t="shared" ref="N139:O139" si="112">N16+N57+N98</f>
        <v>1233770</v>
      </c>
      <c r="O139" s="234">
        <f t="shared" si="112"/>
        <v>1230630</v>
      </c>
      <c r="P139" s="104">
        <f t="shared" ref="P139" si="113">P16+P57+P98</f>
        <v>1229290</v>
      </c>
    </row>
    <row r="140" spans="1:16" x14ac:dyDescent="0.2">
      <c r="A140" s="472" t="s">
        <v>2125</v>
      </c>
      <c r="B140" s="33">
        <f t="shared" ref="B140:M140" si="114">B17+B58+B99</f>
        <v>18350</v>
      </c>
      <c r="C140" s="33">
        <f t="shared" si="114"/>
        <v>18404</v>
      </c>
      <c r="D140" s="33">
        <f t="shared" si="114"/>
        <v>21282</v>
      </c>
      <c r="E140" s="33">
        <f t="shared" si="114"/>
        <v>21977</v>
      </c>
      <c r="F140" s="142">
        <f t="shared" si="114"/>
        <v>22420</v>
      </c>
      <c r="G140" s="33">
        <f t="shared" si="114"/>
        <v>22760</v>
      </c>
      <c r="H140" s="33">
        <f t="shared" si="114"/>
        <v>23330</v>
      </c>
      <c r="I140" s="33">
        <f t="shared" si="114"/>
        <v>23920</v>
      </c>
      <c r="J140" s="33">
        <f t="shared" si="114"/>
        <v>24520</v>
      </c>
      <c r="K140" s="33">
        <f t="shared" si="114"/>
        <v>25020</v>
      </c>
      <c r="L140" s="33">
        <f t="shared" si="114"/>
        <v>25530</v>
      </c>
      <c r="M140" s="142">
        <f t="shared" si="114"/>
        <v>26050</v>
      </c>
      <c r="N140" s="142">
        <f t="shared" ref="N140:O140" si="115">N17+N58+N99</f>
        <v>26580</v>
      </c>
      <c r="O140" s="142">
        <f t="shared" si="115"/>
        <v>27120</v>
      </c>
      <c r="P140" s="114">
        <f t="shared" ref="P140" si="116">P17+P58+P99</f>
        <v>27670</v>
      </c>
    </row>
    <row r="141" spans="1:16" s="1" customFormat="1" x14ac:dyDescent="0.2">
      <c r="A141" s="1269" t="s">
        <v>2126</v>
      </c>
      <c r="B141" s="1327">
        <f t="shared" ref="B141:M141" si="117">B18+B59+B100</f>
        <v>1127030</v>
      </c>
      <c r="C141" s="1327">
        <f t="shared" si="117"/>
        <v>1158497</v>
      </c>
      <c r="D141" s="1327">
        <f t="shared" si="117"/>
        <v>1107601</v>
      </c>
      <c r="E141" s="1327">
        <f t="shared" si="117"/>
        <v>1122213</v>
      </c>
      <c r="F141" s="2559">
        <f t="shared" si="117"/>
        <v>1161722</v>
      </c>
      <c r="G141" s="1327">
        <f t="shared" si="117"/>
        <v>1183402</v>
      </c>
      <c r="H141" s="1327">
        <f t="shared" si="117"/>
        <v>1207532</v>
      </c>
      <c r="I141" s="1327">
        <f t="shared" si="117"/>
        <v>1216282</v>
      </c>
      <c r="J141" s="1327">
        <f t="shared" si="117"/>
        <v>1248362</v>
      </c>
      <c r="K141" s="1327">
        <f t="shared" si="117"/>
        <v>1265542</v>
      </c>
      <c r="L141" s="1327">
        <f t="shared" si="117"/>
        <v>1269232</v>
      </c>
      <c r="M141" s="1509">
        <f t="shared" si="117"/>
        <v>1271462</v>
      </c>
      <c r="N141" s="1509">
        <f t="shared" ref="N141:O141" si="118">N18+N59+N100</f>
        <v>1271422</v>
      </c>
      <c r="O141" s="1509">
        <f t="shared" si="118"/>
        <v>1269032</v>
      </c>
      <c r="P141" s="1510">
        <f t="shared" ref="P141" si="119">P18+P59+P100</f>
        <v>1268452</v>
      </c>
    </row>
    <row r="142" spans="1:16" s="4" customFormat="1" ht="13.5" thickBot="1" x14ac:dyDescent="0.25">
      <c r="A142" s="471" t="s">
        <v>2127</v>
      </c>
      <c r="B142" s="902">
        <f t="shared" ref="B142:M142" si="120">B133+B141</f>
        <v>1216721</v>
      </c>
      <c r="C142" s="902">
        <f t="shared" si="120"/>
        <v>1227910</v>
      </c>
      <c r="D142" s="902">
        <f t="shared" si="120"/>
        <v>1177179</v>
      </c>
      <c r="E142" s="902">
        <f t="shared" si="120"/>
        <v>1193514</v>
      </c>
      <c r="F142" s="2560">
        <f t="shared" si="120"/>
        <v>1217072</v>
      </c>
      <c r="G142" s="902">
        <f t="shared" si="120"/>
        <v>1243262</v>
      </c>
      <c r="H142" s="902">
        <f t="shared" si="120"/>
        <v>1264062</v>
      </c>
      <c r="I142" s="902">
        <f t="shared" si="120"/>
        <v>1281802</v>
      </c>
      <c r="J142" s="902">
        <f t="shared" si="120"/>
        <v>1311982</v>
      </c>
      <c r="K142" s="902">
        <f t="shared" si="120"/>
        <v>1329082</v>
      </c>
      <c r="L142" s="902">
        <f t="shared" si="120"/>
        <v>1339622</v>
      </c>
      <c r="M142" s="903">
        <f t="shared" si="120"/>
        <v>1348982</v>
      </c>
      <c r="N142" s="903">
        <f t="shared" ref="N142:O142" si="121">N133+N141</f>
        <v>1359802</v>
      </c>
      <c r="O142" s="903">
        <f t="shared" si="121"/>
        <v>1370572</v>
      </c>
      <c r="P142" s="904">
        <f t="shared" ref="P142" si="122">P133+P141</f>
        <v>1380342</v>
      </c>
    </row>
    <row r="143" spans="1:16" x14ac:dyDescent="0.2">
      <c r="A143" s="473"/>
      <c r="B143" s="231"/>
      <c r="C143" s="231"/>
      <c r="D143" s="231"/>
      <c r="E143" s="231"/>
      <c r="F143" s="234"/>
      <c r="G143" s="231"/>
      <c r="H143" s="231"/>
      <c r="I143" s="231"/>
      <c r="J143" s="231"/>
      <c r="K143" s="231"/>
      <c r="L143" s="231"/>
      <c r="M143" s="233"/>
      <c r="N143" s="233"/>
      <c r="O143" s="233"/>
      <c r="P143" s="88"/>
    </row>
    <row r="144" spans="1:16" x14ac:dyDescent="0.2">
      <c r="A144" s="471" t="s">
        <v>2128</v>
      </c>
      <c r="B144" s="231"/>
      <c r="C144" s="231"/>
      <c r="D144" s="231"/>
      <c r="E144" s="231"/>
      <c r="F144" s="234"/>
      <c r="G144" s="231"/>
      <c r="H144" s="231"/>
      <c r="I144" s="231"/>
      <c r="J144" s="231"/>
      <c r="K144" s="231"/>
      <c r="L144" s="231"/>
      <c r="M144" s="233"/>
      <c r="N144" s="233"/>
      <c r="O144" s="233"/>
      <c r="P144" s="88"/>
    </row>
    <row r="145" spans="1:16" x14ac:dyDescent="0.2">
      <c r="A145" s="471" t="s">
        <v>2816</v>
      </c>
      <c r="B145" s="231"/>
      <c r="C145" s="231"/>
      <c r="D145" s="231"/>
      <c r="E145" s="231"/>
      <c r="F145" s="234"/>
      <c r="G145" s="231"/>
      <c r="H145" s="231"/>
      <c r="I145" s="231"/>
      <c r="J145" s="231"/>
      <c r="K145" s="231"/>
      <c r="L145" s="231"/>
      <c r="M145" s="233"/>
      <c r="N145" s="233"/>
      <c r="O145" s="233"/>
      <c r="P145" s="88"/>
    </row>
    <row r="146" spans="1:16" x14ac:dyDescent="0.2">
      <c r="A146" s="472" t="s">
        <v>2817</v>
      </c>
      <c r="B146" s="33">
        <f t="shared" ref="B146:M146" si="123">B23+B64+B105</f>
        <v>9341</v>
      </c>
      <c r="C146" s="33">
        <f t="shared" si="123"/>
        <v>7590</v>
      </c>
      <c r="D146" s="33">
        <f t="shared" si="123"/>
        <v>6411</v>
      </c>
      <c r="E146" s="33">
        <f t="shared" si="123"/>
        <v>7103</v>
      </c>
      <c r="F146" s="142">
        <f t="shared" si="123"/>
        <v>7250</v>
      </c>
      <c r="G146" s="33">
        <f t="shared" si="123"/>
        <v>7370</v>
      </c>
      <c r="H146" s="33">
        <f t="shared" si="123"/>
        <v>7570</v>
      </c>
      <c r="I146" s="33">
        <f t="shared" si="123"/>
        <v>7770</v>
      </c>
      <c r="J146" s="33">
        <f t="shared" si="123"/>
        <v>7980</v>
      </c>
      <c r="K146" s="33">
        <f t="shared" si="123"/>
        <v>8150</v>
      </c>
      <c r="L146" s="33">
        <f t="shared" si="123"/>
        <v>8320</v>
      </c>
      <c r="M146" s="142">
        <f t="shared" si="123"/>
        <v>8500</v>
      </c>
      <c r="N146" s="142">
        <f t="shared" ref="N146:O146" si="124">N23+N64+N105</f>
        <v>8680</v>
      </c>
      <c r="O146" s="142">
        <f t="shared" si="124"/>
        <v>8860</v>
      </c>
      <c r="P146" s="114">
        <f t="shared" ref="P146" si="125">P23+P64+P105</f>
        <v>9050</v>
      </c>
    </row>
    <row r="147" spans="1:16" x14ac:dyDescent="0.2">
      <c r="A147" s="472" t="s">
        <v>2818</v>
      </c>
      <c r="B147" s="101">
        <f t="shared" ref="B147:M147" si="126">B24+B65+B106</f>
        <v>7950</v>
      </c>
      <c r="C147" s="101">
        <f t="shared" si="126"/>
        <v>8051</v>
      </c>
      <c r="D147" s="101">
        <f t="shared" si="126"/>
        <v>6586.3</v>
      </c>
      <c r="E147" s="101">
        <f t="shared" si="126"/>
        <v>6653.9</v>
      </c>
      <c r="F147" s="101">
        <f t="shared" si="126"/>
        <v>6408.4</v>
      </c>
      <c r="G147" s="101">
        <f t="shared" si="126"/>
        <v>6381.8</v>
      </c>
      <c r="H147" s="101">
        <f t="shared" si="126"/>
        <v>6599.2000000000007</v>
      </c>
      <c r="I147" s="101">
        <f t="shared" si="126"/>
        <v>5496.6</v>
      </c>
      <c r="J147" s="101">
        <f t="shared" si="126"/>
        <v>6197</v>
      </c>
      <c r="K147" s="101">
        <f t="shared" si="126"/>
        <v>5929</v>
      </c>
      <c r="L147" s="101">
        <f t="shared" si="126"/>
        <v>5387.2</v>
      </c>
      <c r="M147" s="233">
        <f t="shared" si="126"/>
        <v>5315.1</v>
      </c>
      <c r="N147" s="233">
        <f t="shared" ref="N147:O147" si="127">N24+N65+N106</f>
        <v>4882.6000000000004</v>
      </c>
      <c r="O147" s="233">
        <f t="shared" si="127"/>
        <v>5076.8999999999996</v>
      </c>
      <c r="P147" s="88">
        <f t="shared" ref="P147" si="128">P24+P65+P106</f>
        <v>3824</v>
      </c>
    </row>
    <row r="148" spans="1:16" x14ac:dyDescent="0.2">
      <c r="A148" s="472" t="s">
        <v>2819</v>
      </c>
      <c r="B148" s="455">
        <f t="shared" ref="B148:M148" si="129">B25+B66+B107</f>
        <v>7893</v>
      </c>
      <c r="C148" s="455">
        <f t="shared" si="129"/>
        <v>7161</v>
      </c>
      <c r="D148" s="455">
        <f t="shared" si="129"/>
        <v>7046</v>
      </c>
      <c r="E148" s="455">
        <f t="shared" si="129"/>
        <v>7551</v>
      </c>
      <c r="F148" s="642">
        <f t="shared" si="129"/>
        <v>7740</v>
      </c>
      <c r="G148" s="455">
        <f t="shared" si="129"/>
        <v>7960</v>
      </c>
      <c r="H148" s="455">
        <f t="shared" si="129"/>
        <v>8190</v>
      </c>
      <c r="I148" s="455">
        <f t="shared" si="129"/>
        <v>8420</v>
      </c>
      <c r="J148" s="455">
        <f t="shared" si="129"/>
        <v>8650</v>
      </c>
      <c r="K148" s="455">
        <f t="shared" si="129"/>
        <v>8880</v>
      </c>
      <c r="L148" s="455">
        <f t="shared" si="129"/>
        <v>9110</v>
      </c>
      <c r="M148" s="642">
        <f t="shared" si="129"/>
        <v>9340</v>
      </c>
      <c r="N148" s="642">
        <f t="shared" ref="N148:O148" si="130">N25+N66+N107</f>
        <v>9570</v>
      </c>
      <c r="O148" s="642">
        <f t="shared" si="130"/>
        <v>9800</v>
      </c>
      <c r="P148" s="761">
        <f t="shared" ref="P148" si="131">P25+P66+P107</f>
        <v>10030</v>
      </c>
    </row>
    <row r="149" spans="1:16" x14ac:dyDescent="0.2">
      <c r="A149" s="471" t="s">
        <v>2820</v>
      </c>
      <c r="B149" s="101">
        <f t="shared" ref="B149:M149" si="132">SUM(B146:B148)</f>
        <v>25184</v>
      </c>
      <c r="C149" s="101">
        <f t="shared" si="132"/>
        <v>22802</v>
      </c>
      <c r="D149" s="231">
        <f t="shared" si="132"/>
        <v>20043.3</v>
      </c>
      <c r="E149" s="231">
        <f t="shared" si="132"/>
        <v>21307.9</v>
      </c>
      <c r="F149" s="234">
        <f t="shared" si="132"/>
        <v>21398.400000000001</v>
      </c>
      <c r="G149" s="231">
        <f t="shared" si="132"/>
        <v>21711.8</v>
      </c>
      <c r="H149" s="231">
        <f t="shared" si="132"/>
        <v>22359.200000000001</v>
      </c>
      <c r="I149" s="231">
        <f t="shared" si="132"/>
        <v>21686.6</v>
      </c>
      <c r="J149" s="231">
        <f t="shared" si="132"/>
        <v>22827</v>
      </c>
      <c r="K149" s="231">
        <f t="shared" si="132"/>
        <v>22959</v>
      </c>
      <c r="L149" s="231">
        <f t="shared" si="132"/>
        <v>22817.200000000001</v>
      </c>
      <c r="M149" s="233">
        <f t="shared" si="132"/>
        <v>23155.1</v>
      </c>
      <c r="N149" s="233">
        <f t="shared" ref="N149:O149" si="133">SUM(N146:N148)</f>
        <v>23132.6</v>
      </c>
      <c r="O149" s="233">
        <f t="shared" si="133"/>
        <v>23736.9</v>
      </c>
      <c r="P149" s="88">
        <f t="shared" ref="P149" si="134">SUM(P146:P148)</f>
        <v>22904</v>
      </c>
    </row>
    <row r="150" spans="1:16" x14ac:dyDescent="0.2">
      <c r="A150" s="473"/>
      <c r="B150" s="101"/>
      <c r="C150" s="101"/>
      <c r="D150" s="231"/>
      <c r="E150" s="231"/>
      <c r="F150" s="234"/>
      <c r="G150" s="231"/>
      <c r="H150" s="231"/>
      <c r="I150" s="231"/>
      <c r="J150" s="231"/>
      <c r="K150" s="231"/>
      <c r="L150" s="231"/>
      <c r="M150" s="233"/>
      <c r="N150" s="233"/>
      <c r="O150" s="233"/>
      <c r="P150" s="88"/>
    </row>
    <row r="151" spans="1:16" x14ac:dyDescent="0.2">
      <c r="A151" s="471" t="s">
        <v>2821</v>
      </c>
      <c r="B151" s="101"/>
      <c r="C151" s="101"/>
      <c r="D151" s="231"/>
      <c r="E151" s="231"/>
      <c r="F151" s="234"/>
      <c r="G151" s="231"/>
      <c r="H151" s="231"/>
      <c r="I151" s="231"/>
      <c r="J151" s="231"/>
      <c r="K151" s="231"/>
      <c r="L151" s="231"/>
      <c r="M151" s="233"/>
      <c r="N151" s="233"/>
      <c r="O151" s="233"/>
      <c r="P151" s="88"/>
    </row>
    <row r="152" spans="1:16" x14ac:dyDescent="0.2">
      <c r="A152" s="472" t="s">
        <v>2817</v>
      </c>
      <c r="B152" s="101">
        <f t="shared" ref="B152:M152" si="135">B29+B70+B111</f>
        <v>540</v>
      </c>
      <c r="C152" s="101">
        <f t="shared" si="135"/>
        <v>0</v>
      </c>
      <c r="D152" s="33">
        <f t="shared" si="135"/>
        <v>0</v>
      </c>
      <c r="E152" s="33">
        <f t="shared" si="135"/>
        <v>0</v>
      </c>
      <c r="F152" s="142">
        <f t="shared" si="135"/>
        <v>0</v>
      </c>
      <c r="G152" s="33">
        <f t="shared" si="135"/>
        <v>0</v>
      </c>
      <c r="H152" s="33">
        <f t="shared" si="135"/>
        <v>0</v>
      </c>
      <c r="I152" s="33">
        <f t="shared" si="135"/>
        <v>0</v>
      </c>
      <c r="J152" s="33">
        <f t="shared" si="135"/>
        <v>0</v>
      </c>
      <c r="K152" s="33">
        <f t="shared" si="135"/>
        <v>0</v>
      </c>
      <c r="L152" s="33">
        <f t="shared" si="135"/>
        <v>0</v>
      </c>
      <c r="M152" s="142">
        <f t="shared" si="135"/>
        <v>0</v>
      </c>
      <c r="N152" s="142">
        <f t="shared" ref="N152:O152" si="136">N29+N70+N111</f>
        <v>0</v>
      </c>
      <c r="O152" s="142">
        <f t="shared" si="136"/>
        <v>0</v>
      </c>
      <c r="P152" s="114">
        <f t="shared" ref="P152" si="137">P29+P70+P111</f>
        <v>0</v>
      </c>
    </row>
    <row r="153" spans="1:16" x14ac:dyDescent="0.2">
      <c r="A153" s="472" t="s">
        <v>2818</v>
      </c>
      <c r="B153" s="231">
        <f t="shared" ref="B153:M153" si="138">B30+B71+B112</f>
        <v>87186</v>
      </c>
      <c r="C153" s="231">
        <f t="shared" si="138"/>
        <v>83902</v>
      </c>
      <c r="D153" s="231">
        <f t="shared" si="138"/>
        <v>80982</v>
      </c>
      <c r="E153" s="231">
        <f t="shared" si="138"/>
        <v>75244</v>
      </c>
      <c r="F153" s="101">
        <f t="shared" si="138"/>
        <v>76687.8</v>
      </c>
      <c r="G153" s="231">
        <f t="shared" si="138"/>
        <v>76233.8</v>
      </c>
      <c r="H153" s="231">
        <f t="shared" si="138"/>
        <v>72134.600000000006</v>
      </c>
      <c r="I153" s="231">
        <f t="shared" si="138"/>
        <v>66637.899999999994</v>
      </c>
      <c r="J153" s="231">
        <f t="shared" si="138"/>
        <v>68781</v>
      </c>
      <c r="K153" s="231">
        <f t="shared" si="138"/>
        <v>62852</v>
      </c>
      <c r="L153" s="231">
        <f t="shared" si="138"/>
        <v>57464.800000000003</v>
      </c>
      <c r="M153" s="233">
        <f t="shared" si="138"/>
        <v>52149.600000000006</v>
      </c>
      <c r="N153" s="233">
        <f t="shared" ref="N153:O153" si="139">N30+N71+N112</f>
        <v>47267</v>
      </c>
      <c r="O153" s="233">
        <f t="shared" si="139"/>
        <v>42190.100000000006</v>
      </c>
      <c r="P153" s="88">
        <f t="shared" ref="P153" si="140">P30+P71+P112</f>
        <v>38366.100000000006</v>
      </c>
    </row>
    <row r="154" spans="1:16" x14ac:dyDescent="0.2">
      <c r="A154" s="472" t="s">
        <v>2819</v>
      </c>
      <c r="B154" s="931">
        <f t="shared" ref="B154:M154" si="141">B31+B72+B113</f>
        <v>3938</v>
      </c>
      <c r="C154" s="931">
        <f t="shared" si="141"/>
        <v>4568</v>
      </c>
      <c r="D154" s="455">
        <f t="shared" si="141"/>
        <v>4619</v>
      </c>
      <c r="E154" s="455">
        <f t="shared" si="141"/>
        <v>4525</v>
      </c>
      <c r="F154" s="642">
        <f t="shared" si="141"/>
        <v>4820</v>
      </c>
      <c r="G154" s="455">
        <f t="shared" si="141"/>
        <v>5230</v>
      </c>
      <c r="H154" s="455">
        <f t="shared" si="141"/>
        <v>5640</v>
      </c>
      <c r="I154" s="455">
        <f t="shared" si="141"/>
        <v>6050</v>
      </c>
      <c r="J154" s="455">
        <f t="shared" si="141"/>
        <v>6460</v>
      </c>
      <c r="K154" s="455">
        <f t="shared" si="141"/>
        <v>6870</v>
      </c>
      <c r="L154" s="455">
        <f t="shared" si="141"/>
        <v>7280</v>
      </c>
      <c r="M154" s="642">
        <f t="shared" si="141"/>
        <v>7690</v>
      </c>
      <c r="N154" s="642">
        <f t="shared" ref="N154:O154" si="142">N31+N72+N113</f>
        <v>8200</v>
      </c>
      <c r="O154" s="642">
        <f t="shared" si="142"/>
        <v>8710</v>
      </c>
      <c r="P154" s="761">
        <f t="shared" ref="P154" si="143">P31+P72+P113</f>
        <v>9220</v>
      </c>
    </row>
    <row r="155" spans="1:16" s="1" customFormat="1" x14ac:dyDescent="0.2">
      <c r="A155" s="1269" t="s">
        <v>2822</v>
      </c>
      <c r="B155" s="82">
        <f t="shared" ref="B155:M155" si="144">SUM(B152:B154)</f>
        <v>91664</v>
      </c>
      <c r="C155" s="82">
        <f t="shared" si="144"/>
        <v>88470</v>
      </c>
      <c r="D155" s="82">
        <f t="shared" si="144"/>
        <v>85601</v>
      </c>
      <c r="E155" s="82">
        <f t="shared" si="144"/>
        <v>79769</v>
      </c>
      <c r="F155" s="160">
        <f t="shared" si="144"/>
        <v>81507.8</v>
      </c>
      <c r="G155" s="82">
        <f t="shared" si="144"/>
        <v>81463.8</v>
      </c>
      <c r="H155" s="82">
        <f t="shared" si="144"/>
        <v>77774.600000000006</v>
      </c>
      <c r="I155" s="82">
        <f t="shared" si="144"/>
        <v>72687.899999999994</v>
      </c>
      <c r="J155" s="82">
        <f t="shared" si="144"/>
        <v>75241</v>
      </c>
      <c r="K155" s="82">
        <f t="shared" si="144"/>
        <v>69722</v>
      </c>
      <c r="L155" s="82">
        <f t="shared" si="144"/>
        <v>64744.800000000003</v>
      </c>
      <c r="M155" s="83">
        <f t="shared" si="144"/>
        <v>59839.600000000006</v>
      </c>
      <c r="N155" s="83">
        <f t="shared" ref="N155:O155" si="145">SUM(N152:N154)</f>
        <v>55467</v>
      </c>
      <c r="O155" s="83">
        <f t="shared" si="145"/>
        <v>50900.100000000006</v>
      </c>
      <c r="P155" s="72">
        <f t="shared" ref="P155" si="146">SUM(P152:P154)</f>
        <v>47586.100000000006</v>
      </c>
    </row>
    <row r="156" spans="1:16" s="4" customFormat="1" x14ac:dyDescent="0.2">
      <c r="A156" s="471" t="s">
        <v>2423</v>
      </c>
      <c r="B156" s="905">
        <f t="shared" ref="B156:M156" si="147">B149+B155</f>
        <v>116848</v>
      </c>
      <c r="C156" s="905">
        <f t="shared" si="147"/>
        <v>111272</v>
      </c>
      <c r="D156" s="905">
        <f t="shared" si="147"/>
        <v>105644.3</v>
      </c>
      <c r="E156" s="905">
        <f t="shared" si="147"/>
        <v>101076.9</v>
      </c>
      <c r="F156" s="2561">
        <f t="shared" si="147"/>
        <v>102906.20000000001</v>
      </c>
      <c r="G156" s="905">
        <f t="shared" si="147"/>
        <v>103175.6</v>
      </c>
      <c r="H156" s="905">
        <f t="shared" si="147"/>
        <v>100133.8</v>
      </c>
      <c r="I156" s="905">
        <f t="shared" si="147"/>
        <v>94374.5</v>
      </c>
      <c r="J156" s="905">
        <f t="shared" si="147"/>
        <v>98068</v>
      </c>
      <c r="K156" s="905">
        <f t="shared" si="147"/>
        <v>92681</v>
      </c>
      <c r="L156" s="905">
        <f t="shared" si="147"/>
        <v>87562</v>
      </c>
      <c r="M156" s="906">
        <f t="shared" si="147"/>
        <v>82994.700000000012</v>
      </c>
      <c r="N156" s="906">
        <f t="shared" ref="N156:O156" si="148">N149+N155</f>
        <v>78599.600000000006</v>
      </c>
      <c r="O156" s="906">
        <f t="shared" si="148"/>
        <v>74637</v>
      </c>
      <c r="P156" s="907">
        <f t="shared" ref="P156" si="149">P149+P155</f>
        <v>70490.100000000006</v>
      </c>
    </row>
    <row r="157" spans="1:16" s="4" customFormat="1" ht="13.5" thickBot="1" x14ac:dyDescent="0.25">
      <c r="A157" s="471" t="s">
        <v>2424</v>
      </c>
      <c r="B157" s="902">
        <f t="shared" ref="B157:M157" si="150">B142-B156</f>
        <v>1099873</v>
      </c>
      <c r="C157" s="902">
        <f t="shared" si="150"/>
        <v>1116638</v>
      </c>
      <c r="D157" s="902">
        <f t="shared" si="150"/>
        <v>1071534.7</v>
      </c>
      <c r="E157" s="902">
        <f t="shared" si="150"/>
        <v>1092437.1000000001</v>
      </c>
      <c r="F157" s="2560">
        <f t="shared" si="150"/>
        <v>1114165.8</v>
      </c>
      <c r="G157" s="902">
        <f t="shared" si="150"/>
        <v>1140086.3999999999</v>
      </c>
      <c r="H157" s="902">
        <f t="shared" si="150"/>
        <v>1163928.2</v>
      </c>
      <c r="I157" s="902">
        <f t="shared" si="150"/>
        <v>1187427.5</v>
      </c>
      <c r="J157" s="902">
        <f t="shared" si="150"/>
        <v>1213914</v>
      </c>
      <c r="K157" s="902">
        <f t="shared" si="150"/>
        <v>1236401</v>
      </c>
      <c r="L157" s="902">
        <f t="shared" si="150"/>
        <v>1252060</v>
      </c>
      <c r="M157" s="903">
        <f t="shared" si="150"/>
        <v>1265987.3</v>
      </c>
      <c r="N157" s="903">
        <f t="shared" ref="N157:O157" si="151">N142-N156</f>
        <v>1281202.3999999999</v>
      </c>
      <c r="O157" s="903">
        <f t="shared" si="151"/>
        <v>1295935</v>
      </c>
      <c r="P157" s="904">
        <f t="shared" ref="P157" si="152">P142-P156</f>
        <v>1309851.8999999999</v>
      </c>
    </row>
    <row r="158" spans="1:16" x14ac:dyDescent="0.2">
      <c r="A158" s="473"/>
      <c r="B158" s="231"/>
      <c r="C158" s="231"/>
      <c r="D158" s="231"/>
      <c r="E158" s="231"/>
      <c r="F158" s="234"/>
      <c r="G158" s="231"/>
      <c r="H158" s="231"/>
      <c r="I158" s="231"/>
      <c r="J158" s="231"/>
      <c r="K158" s="231"/>
      <c r="L158" s="231"/>
      <c r="M158" s="233"/>
      <c r="N158" s="233"/>
      <c r="O158" s="233"/>
      <c r="P158" s="88"/>
    </row>
    <row r="159" spans="1:16" x14ac:dyDescent="0.2">
      <c r="A159" s="471" t="s">
        <v>2425</v>
      </c>
      <c r="B159" s="231"/>
      <c r="C159" s="231"/>
      <c r="D159" s="231"/>
      <c r="E159" s="231"/>
      <c r="F159" s="234"/>
      <c r="G159" s="231"/>
      <c r="H159" s="231"/>
      <c r="I159" s="231"/>
      <c r="J159" s="231"/>
      <c r="K159" s="231"/>
      <c r="L159" s="231"/>
      <c r="M159" s="233"/>
      <c r="N159" s="233"/>
      <c r="O159" s="233"/>
      <c r="P159" s="88"/>
    </row>
    <row r="160" spans="1:16" x14ac:dyDescent="0.2">
      <c r="A160" s="472" t="s">
        <v>2515</v>
      </c>
      <c r="B160" s="231">
        <f t="shared" ref="B160:M160" si="153">B157-B161</f>
        <v>633377</v>
      </c>
      <c r="C160" s="231">
        <f t="shared" si="153"/>
        <v>634748</v>
      </c>
      <c r="D160" s="231">
        <f t="shared" si="153"/>
        <v>634401.69999999995</v>
      </c>
      <c r="E160" s="231">
        <f>E157-E161</f>
        <v>646084.10000000009</v>
      </c>
      <c r="F160" s="234">
        <f t="shared" si="153"/>
        <v>658765.80000000005</v>
      </c>
      <c r="G160" s="231">
        <f t="shared" si="153"/>
        <v>677686.39999999991</v>
      </c>
      <c r="H160" s="231">
        <f t="shared" si="153"/>
        <v>689728.2</v>
      </c>
      <c r="I160" s="231">
        <f t="shared" si="153"/>
        <v>701227.5</v>
      </c>
      <c r="J160" s="231">
        <f t="shared" si="153"/>
        <v>715514</v>
      </c>
      <c r="K160" s="231">
        <f t="shared" si="153"/>
        <v>727901</v>
      </c>
      <c r="L160" s="231">
        <f t="shared" si="153"/>
        <v>733260</v>
      </c>
      <c r="M160" s="233">
        <f t="shared" si="153"/>
        <v>736687.3</v>
      </c>
      <c r="N160" s="233">
        <f t="shared" ref="N160:O160" si="154">N157-N161</f>
        <v>741202.39999999991</v>
      </c>
      <c r="O160" s="233">
        <f t="shared" si="154"/>
        <v>744935</v>
      </c>
      <c r="P160" s="88">
        <f t="shared" ref="P160" si="155">P157-P161</f>
        <v>747751.89999999991</v>
      </c>
    </row>
    <row r="161" spans="1:16" x14ac:dyDescent="0.2">
      <c r="A161" s="472" t="s">
        <v>2889</v>
      </c>
      <c r="B161" s="231">
        <f t="shared" ref="B161:M161" si="156">B38+B79+B120</f>
        <v>466496</v>
      </c>
      <c r="C161" s="231">
        <f t="shared" si="156"/>
        <v>481890</v>
      </c>
      <c r="D161" s="231">
        <f t="shared" si="156"/>
        <v>437133</v>
      </c>
      <c r="E161" s="231">
        <f>E38+E79+E120</f>
        <v>446353</v>
      </c>
      <c r="F161" s="101">
        <f t="shared" si="156"/>
        <v>455400</v>
      </c>
      <c r="G161" s="231">
        <f t="shared" si="156"/>
        <v>462400</v>
      </c>
      <c r="H161" s="231">
        <f t="shared" si="156"/>
        <v>474200</v>
      </c>
      <c r="I161" s="231">
        <f t="shared" si="156"/>
        <v>486200</v>
      </c>
      <c r="J161" s="231">
        <f t="shared" si="156"/>
        <v>498400</v>
      </c>
      <c r="K161" s="231">
        <f t="shared" si="156"/>
        <v>508500</v>
      </c>
      <c r="L161" s="231">
        <f t="shared" si="156"/>
        <v>518800</v>
      </c>
      <c r="M161" s="233">
        <f t="shared" si="156"/>
        <v>529300</v>
      </c>
      <c r="N161" s="233">
        <f t="shared" ref="N161:O161" si="157">N38+N79+N120</f>
        <v>540000</v>
      </c>
      <c r="O161" s="233">
        <f t="shared" si="157"/>
        <v>551000</v>
      </c>
      <c r="P161" s="88">
        <f t="shared" ref="P161" si="158">P38+P79+P120</f>
        <v>562100</v>
      </c>
    </row>
    <row r="162" spans="1:16" s="1" customFormat="1" ht="13.5" thickBot="1" x14ac:dyDescent="0.25">
      <c r="A162" s="1269" t="s">
        <v>2767</v>
      </c>
      <c r="B162" s="1517">
        <f t="shared" ref="B162:M162" si="159">SUM(B160:B161)</f>
        <v>1099873</v>
      </c>
      <c r="C162" s="1517">
        <f t="shared" si="159"/>
        <v>1116638</v>
      </c>
      <c r="D162" s="1517">
        <f t="shared" si="159"/>
        <v>1071534.7</v>
      </c>
      <c r="E162" s="1517">
        <f t="shared" si="159"/>
        <v>1092437.1000000001</v>
      </c>
      <c r="F162" s="2563">
        <f t="shared" si="159"/>
        <v>1114165.8</v>
      </c>
      <c r="G162" s="1517">
        <f t="shared" si="159"/>
        <v>1140086.3999999999</v>
      </c>
      <c r="H162" s="1517">
        <f t="shared" si="159"/>
        <v>1163928.2</v>
      </c>
      <c r="I162" s="1517">
        <f t="shared" si="159"/>
        <v>1187427.5</v>
      </c>
      <c r="J162" s="1517">
        <f t="shared" si="159"/>
        <v>1213914</v>
      </c>
      <c r="K162" s="1517">
        <f t="shared" si="159"/>
        <v>1236401</v>
      </c>
      <c r="L162" s="1517">
        <f t="shared" si="159"/>
        <v>1252060</v>
      </c>
      <c r="M162" s="1518">
        <f t="shared" si="159"/>
        <v>1265987.3</v>
      </c>
      <c r="N162" s="1518">
        <f t="shared" ref="N162:O162" si="160">SUM(N160:N161)</f>
        <v>1281202.3999999999</v>
      </c>
      <c r="O162" s="1518">
        <f t="shared" si="160"/>
        <v>1295935</v>
      </c>
      <c r="P162" s="1519">
        <f t="shared" ref="P162" si="161">SUM(P160:P161)</f>
        <v>1309851.8999999999</v>
      </c>
    </row>
    <row r="163" spans="1:16" ht="13.5" thickBot="1" x14ac:dyDescent="0.25">
      <c r="A163" s="1153"/>
      <c r="B163" s="762"/>
      <c r="C163" s="762"/>
      <c r="D163" s="762"/>
      <c r="E163" s="762"/>
      <c r="F163" s="2564"/>
      <c r="G163" s="762"/>
      <c r="H163" s="762"/>
      <c r="I163" s="762"/>
      <c r="J163" s="762"/>
      <c r="K163" s="762"/>
      <c r="L163" s="762"/>
      <c r="M163" s="1637"/>
      <c r="N163" s="1637"/>
      <c r="O163" s="1637"/>
      <c r="P163" s="763"/>
    </row>
    <row r="164" spans="1:16" s="9" customFormat="1" ht="14.25" thickTop="1" thickBot="1" x14ac:dyDescent="0.25">
      <c r="B164" s="748"/>
      <c r="C164" s="748"/>
      <c r="D164" s="748"/>
      <c r="E164" s="748"/>
      <c r="F164" s="1114"/>
      <c r="G164" s="748"/>
      <c r="H164" s="748"/>
      <c r="I164" s="748"/>
      <c r="J164" s="748"/>
      <c r="K164" s="748"/>
      <c r="L164" s="748"/>
      <c r="M164" s="748"/>
      <c r="N164" s="748"/>
      <c r="O164" s="748"/>
      <c r="P164" s="748"/>
    </row>
    <row r="165" spans="1:16" s="780" customFormat="1" ht="17.25" thickTop="1" thickBot="1" x14ac:dyDescent="0.3">
      <c r="A165" s="2853" t="s">
        <v>4859</v>
      </c>
      <c r="B165" s="2854"/>
      <c r="C165" s="2854"/>
      <c r="D165" s="2854"/>
      <c r="E165" s="2854"/>
      <c r="F165" s="2854"/>
      <c r="G165" s="2854"/>
      <c r="H165" s="2854"/>
      <c r="I165" s="2854"/>
      <c r="J165" s="2854"/>
      <c r="K165" s="2854"/>
      <c r="L165" s="2854"/>
      <c r="M165" s="2854"/>
      <c r="N165" s="2854"/>
      <c r="O165" s="2854"/>
      <c r="P165" s="2855"/>
    </row>
    <row r="166" spans="1:16" s="779" customFormat="1" ht="13.5" thickBot="1" x14ac:dyDescent="0.25">
      <c r="A166" s="940" t="s">
        <v>232</v>
      </c>
      <c r="B166" s="793" t="str">
        <f t="shared" ref="B166:M166" si="162">B2</f>
        <v>2012/13</v>
      </c>
      <c r="C166" s="793" t="str">
        <f t="shared" si="162"/>
        <v>2013/14</v>
      </c>
      <c r="D166" s="793" t="str">
        <f t="shared" si="162"/>
        <v>2014/15</v>
      </c>
      <c r="E166" s="793" t="str">
        <f t="shared" si="162"/>
        <v>2015/16</v>
      </c>
      <c r="F166" s="793" t="str">
        <f t="shared" si="162"/>
        <v>2016/17</v>
      </c>
      <c r="G166" s="793" t="str">
        <f t="shared" si="162"/>
        <v>2017/18</v>
      </c>
      <c r="H166" s="793" t="str">
        <f t="shared" si="162"/>
        <v>2018/19</v>
      </c>
      <c r="I166" s="793" t="str">
        <f t="shared" si="162"/>
        <v>2019/20</v>
      </c>
      <c r="J166" s="793" t="str">
        <f t="shared" si="162"/>
        <v>2020/21</v>
      </c>
      <c r="K166" s="793" t="str">
        <f t="shared" si="162"/>
        <v>2021/22</v>
      </c>
      <c r="L166" s="793" t="str">
        <f t="shared" si="162"/>
        <v>2022/23</v>
      </c>
      <c r="M166" s="1641" t="str">
        <f t="shared" si="162"/>
        <v>2023/24</v>
      </c>
      <c r="N166" s="1641" t="str">
        <f t="shared" ref="N166:O166" si="163">N2</f>
        <v>2024/25</v>
      </c>
      <c r="O166" s="1641" t="str">
        <f t="shared" si="163"/>
        <v>2025/26</v>
      </c>
      <c r="P166" s="794" t="str">
        <f t="shared" ref="P166" si="164">P2</f>
        <v>2026/27</v>
      </c>
    </row>
    <row r="167" spans="1:16" x14ac:dyDescent="0.2">
      <c r="A167" s="942"/>
      <c r="B167" s="1273"/>
      <c r="C167" s="1273"/>
      <c r="D167" s="1273"/>
      <c r="E167" s="1271"/>
      <c r="F167" s="1271"/>
      <c r="G167" s="1271"/>
      <c r="H167" s="1271"/>
      <c r="I167" s="1271"/>
      <c r="J167" s="1271"/>
      <c r="K167" s="1271"/>
      <c r="L167" s="1271"/>
      <c r="M167" s="1642"/>
      <c r="N167" s="1642"/>
      <c r="O167" s="1642"/>
      <c r="P167" s="1272"/>
    </row>
    <row r="168" spans="1:16" x14ac:dyDescent="0.2">
      <c r="A168" s="756" t="s">
        <v>4780</v>
      </c>
      <c r="B168" s="442"/>
      <c r="C168" s="442"/>
      <c r="D168" s="442"/>
      <c r="E168" s="442"/>
      <c r="F168" s="764"/>
      <c r="G168" s="442"/>
      <c r="H168" s="442"/>
      <c r="I168" s="442"/>
      <c r="J168" s="442"/>
      <c r="K168" s="442"/>
      <c r="L168" s="442"/>
      <c r="M168" s="444"/>
      <c r="N168" s="444"/>
      <c r="O168" s="444"/>
      <c r="P168" s="760"/>
    </row>
    <row r="169" spans="1:16" s="779" customFormat="1" x14ac:dyDescent="0.2">
      <c r="A169" s="818" t="s">
        <v>4337</v>
      </c>
      <c r="B169" s="2043">
        <f t="shared" ref="B169:M169" si="165">B298</f>
        <v>-7.2907324364723511E-2</v>
      </c>
      <c r="C169" s="2043">
        <f t="shared" si="165"/>
        <v>-0.16073072123501531</v>
      </c>
      <c r="D169" s="2043">
        <f>D298</f>
        <v>-5.6858573890564409E-2</v>
      </c>
      <c r="E169" s="2043">
        <f t="shared" si="165"/>
        <v>-4.4539862820594293E-2</v>
      </c>
      <c r="F169" s="2565">
        <f t="shared" si="165"/>
        <v>1.0804604610621828E-2</v>
      </c>
      <c r="G169" s="2043">
        <f t="shared" si="165"/>
        <v>1.0612605621131203E-2</v>
      </c>
      <c r="H169" s="2043">
        <f t="shared" si="165"/>
        <v>2.5104223957105716E-2</v>
      </c>
      <c r="I169" s="2043">
        <f t="shared" si="165"/>
        <v>3.5211943847455268E-2</v>
      </c>
      <c r="J169" s="2043">
        <f t="shared" si="165"/>
        <v>4.58720104350002E-2</v>
      </c>
      <c r="K169" s="2043">
        <f t="shared" si="165"/>
        <v>5.3124082802437925E-2</v>
      </c>
      <c r="L169" s="2043">
        <f t="shared" si="165"/>
        <v>6.3060488880704771E-2</v>
      </c>
      <c r="M169" s="2044">
        <f t="shared" si="165"/>
        <v>7.2958332567650566E-2</v>
      </c>
      <c r="N169" s="2044">
        <f t="shared" ref="N169:O169" si="166">N298</f>
        <v>8.0462114508815838E-2</v>
      </c>
      <c r="O169" s="2044">
        <f t="shared" si="166"/>
        <v>9.313796828964338E-2</v>
      </c>
      <c r="P169" s="2045">
        <f t="shared" ref="P169" si="167">P298</f>
        <v>0.10464922946310895</v>
      </c>
    </row>
    <row r="170" spans="1:16" s="779" customFormat="1" x14ac:dyDescent="0.2">
      <c r="A170" s="935" t="s">
        <v>4368</v>
      </c>
      <c r="B170" s="2046"/>
      <c r="C170" s="1887">
        <f>AVERAGE(B169:C169)</f>
        <v>-0.11681902279986942</v>
      </c>
      <c r="D170" s="1887">
        <f>AVERAGE(B169:D169)</f>
        <v>-9.6832206496767756E-2</v>
      </c>
      <c r="E170" s="1888">
        <f>AVERAGE(C169:E169)</f>
        <v>-8.7376385982058005E-2</v>
      </c>
      <c r="F170" s="1888">
        <f>AVERAGE(D169:F169)</f>
        <v>-3.0197944033512291E-2</v>
      </c>
      <c r="G170" s="1888">
        <f>AVERAGE(E169:G169)</f>
        <v>-7.7075508629470884E-3</v>
      </c>
      <c r="H170" s="1888">
        <f t="shared" ref="H170:P170" si="168">AVERAGE(F169:H169)</f>
        <v>1.5507144729619582E-2</v>
      </c>
      <c r="I170" s="1888">
        <f t="shared" si="168"/>
        <v>2.3642924475230729E-2</v>
      </c>
      <c r="J170" s="1888">
        <f t="shared" si="168"/>
        <v>3.5396059413187062E-2</v>
      </c>
      <c r="K170" s="1888">
        <f t="shared" si="168"/>
        <v>4.4736012361631126E-2</v>
      </c>
      <c r="L170" s="1888">
        <f t="shared" si="168"/>
        <v>5.4018860706047632E-2</v>
      </c>
      <c r="M170" s="1889">
        <f t="shared" si="168"/>
        <v>6.3047634750264425E-2</v>
      </c>
      <c r="N170" s="1889">
        <f t="shared" si="168"/>
        <v>7.2160311985723716E-2</v>
      </c>
      <c r="O170" s="1889">
        <f t="shared" si="168"/>
        <v>8.2186138455369928E-2</v>
      </c>
      <c r="P170" s="1890">
        <f t="shared" si="168"/>
        <v>9.2749770753856056E-2</v>
      </c>
    </row>
    <row r="171" spans="1:16" s="779" customFormat="1" x14ac:dyDescent="0.2">
      <c r="A171" s="935"/>
      <c r="B171" s="2046"/>
      <c r="C171" s="2046"/>
      <c r="D171" s="2046"/>
      <c r="E171" s="978"/>
      <c r="F171" s="978"/>
      <c r="G171" s="978"/>
      <c r="H171" s="978"/>
      <c r="I171" s="978"/>
      <c r="J171" s="978"/>
      <c r="K171" s="978"/>
      <c r="L171" s="978"/>
      <c r="M171" s="2047"/>
      <c r="N171" s="2047"/>
      <c r="O171" s="2047"/>
      <c r="P171" s="2048"/>
    </row>
    <row r="172" spans="1:16" s="779" customFormat="1" x14ac:dyDescent="0.2">
      <c r="A172" s="818" t="s">
        <v>2240</v>
      </c>
      <c r="B172" s="2043">
        <f t="shared" ref="B172:M172" si="169">B316</f>
        <v>-3.5445986605842958E-2</v>
      </c>
      <c r="C172" s="2043">
        <f t="shared" si="169"/>
        <v>-0.18079800498753118</v>
      </c>
      <c r="D172" s="2043">
        <f t="shared" si="169"/>
        <v>-6.4196924409068518E-2</v>
      </c>
      <c r="E172" s="2043">
        <f t="shared" si="169"/>
        <v>-5.5954879328436548E-2</v>
      </c>
      <c r="F172" s="2565">
        <f t="shared" si="169"/>
        <v>-3.0527652264834386E-3</v>
      </c>
      <c r="G172" s="2043">
        <f t="shared" si="169"/>
        <v>-6.5152473128739161E-3</v>
      </c>
      <c r="H172" s="2043">
        <f t="shared" si="169"/>
        <v>7.3106951013433234E-3</v>
      </c>
      <c r="I172" s="2043">
        <f t="shared" si="169"/>
        <v>1.684475692341969E-2</v>
      </c>
      <c r="J172" s="2043">
        <f t="shared" si="169"/>
        <v>2.071639710525907E-2</v>
      </c>
      <c r="K172" s="2043">
        <f t="shared" si="169"/>
        <v>2.2145463424129163E-2</v>
      </c>
      <c r="L172" s="2043">
        <f t="shared" si="169"/>
        <v>3.028898343368407E-2</v>
      </c>
      <c r="M172" s="2044">
        <f t="shared" si="169"/>
        <v>3.5779495179132599E-2</v>
      </c>
      <c r="N172" s="2044">
        <f t="shared" ref="N172:O172" si="170">N316</f>
        <v>3.6756938442331702E-2</v>
      </c>
      <c r="O172" s="2044">
        <f t="shared" si="170"/>
        <v>4.5141368508238786E-2</v>
      </c>
      <c r="P172" s="2045">
        <f t="shared" ref="P172" si="171">P316</f>
        <v>5.1854386408604687E-2</v>
      </c>
    </row>
    <row r="173" spans="1:16" s="779" customFormat="1" x14ac:dyDescent="0.2">
      <c r="A173" s="935" t="s">
        <v>4368</v>
      </c>
      <c r="B173" s="2046"/>
      <c r="C173" s="1887">
        <f>AVERAGE(B172:C172)</f>
        <v>-0.10812199579668708</v>
      </c>
      <c r="D173" s="1887">
        <f>AVERAGE(B172:D172)</f>
        <v>-9.348030533414757E-2</v>
      </c>
      <c r="E173" s="1888">
        <f>AVERAGE(C172:E172)</f>
        <v>-0.10031660290834542</v>
      </c>
      <c r="F173" s="1888">
        <f>AVERAGE(D172:F172)</f>
        <v>-4.1068189654662836E-2</v>
      </c>
      <c r="G173" s="1888">
        <f>AVERAGE(E172:G172)</f>
        <v>-2.1840963955931297E-2</v>
      </c>
      <c r="H173" s="1888">
        <f t="shared" ref="H173:P173" si="172">AVERAGE(F172:H172)</f>
        <v>-7.5243914600467714E-4</v>
      </c>
      <c r="I173" s="1888">
        <f t="shared" si="172"/>
        <v>5.8800682372963653E-3</v>
      </c>
      <c r="J173" s="1888">
        <f t="shared" si="172"/>
        <v>1.4957283043340694E-2</v>
      </c>
      <c r="K173" s="1888">
        <f t="shared" si="172"/>
        <v>1.9902205817602641E-2</v>
      </c>
      <c r="L173" s="1888">
        <f t="shared" si="172"/>
        <v>2.4383614654357431E-2</v>
      </c>
      <c r="M173" s="1889">
        <f t="shared" si="172"/>
        <v>2.9404647345648609E-2</v>
      </c>
      <c r="N173" s="1889">
        <f t="shared" si="172"/>
        <v>3.4275139018382791E-2</v>
      </c>
      <c r="O173" s="1889">
        <f t="shared" si="172"/>
        <v>3.9225934043234365E-2</v>
      </c>
      <c r="P173" s="1890">
        <f t="shared" si="172"/>
        <v>4.4584231119725058E-2</v>
      </c>
    </row>
    <row r="174" spans="1:16" s="779" customFormat="1" x14ac:dyDescent="0.2">
      <c r="A174" s="935"/>
      <c r="B174" s="2046"/>
      <c r="C174" s="2046"/>
      <c r="D174" s="2046"/>
      <c r="E174" s="978"/>
      <c r="F174" s="978"/>
      <c r="G174" s="978"/>
      <c r="H174" s="978"/>
      <c r="I174" s="978"/>
      <c r="J174" s="978"/>
      <c r="K174" s="978"/>
      <c r="L174" s="978"/>
      <c r="M174" s="2047"/>
      <c r="N174" s="2047"/>
      <c r="O174" s="2047"/>
      <c r="P174" s="2048"/>
    </row>
    <row r="175" spans="1:16" s="779" customFormat="1" x14ac:dyDescent="0.2">
      <c r="A175" s="818" t="s">
        <v>1764</v>
      </c>
      <c r="B175" s="2043">
        <f t="shared" ref="B175:M175" si="173">B330</f>
        <v>-0.13846153846153839</v>
      </c>
      <c r="C175" s="2043">
        <f t="shared" si="173"/>
        <v>-4.9910656650232477E-2</v>
      </c>
      <c r="D175" s="2043">
        <f t="shared" si="173"/>
        <v>8.9135723137651231E-3</v>
      </c>
      <c r="E175" s="2043">
        <f t="shared" si="173"/>
        <v>2.7787947245760884E-2</v>
      </c>
      <c r="F175" s="2565">
        <f t="shared" si="173"/>
        <v>5.4055868922911629E-2</v>
      </c>
      <c r="G175" s="2043">
        <f t="shared" si="173"/>
        <v>7.930526644891106E-2</v>
      </c>
      <c r="H175" s="2043">
        <f t="shared" si="173"/>
        <v>7.4706681784918738E-2</v>
      </c>
      <c r="I175" s="2043">
        <f t="shared" si="173"/>
        <v>7.5229040078078346E-2</v>
      </c>
      <c r="J175" s="2043">
        <f t="shared" si="173"/>
        <v>8.5957013901015109E-2</v>
      </c>
      <c r="K175" s="2043">
        <f t="shared" si="173"/>
        <v>9.9071230018312723E-2</v>
      </c>
      <c r="L175" s="2043">
        <f t="shared" si="173"/>
        <v>0.10117133101941843</v>
      </c>
      <c r="M175" s="2044">
        <f t="shared" si="173"/>
        <v>0.11361387658735304</v>
      </c>
      <c r="N175" s="2044">
        <f t="shared" ref="N175:O175" si="174">N330</f>
        <v>0.1241659928875217</v>
      </c>
      <c r="O175" s="2044">
        <f t="shared" si="174"/>
        <v>0.13516386855078055</v>
      </c>
      <c r="P175" s="2045">
        <f t="shared" ref="P175" si="175">P330</f>
        <v>0.15034759471728754</v>
      </c>
    </row>
    <row r="176" spans="1:16" s="779" customFormat="1" x14ac:dyDescent="0.2">
      <c r="A176" s="935" t="s">
        <v>4368</v>
      </c>
      <c r="B176" s="2046"/>
      <c r="C176" s="1887">
        <f>AVERAGE(B175:C175)</f>
        <v>-9.4186097555885431E-2</v>
      </c>
      <c r="D176" s="1887">
        <f>AVERAGE(B175:D175)</f>
        <v>-5.9819540932668579E-2</v>
      </c>
      <c r="E176" s="1888">
        <f>AVERAGE(C175:E175)</f>
        <v>-4.4030456969021579E-3</v>
      </c>
      <c r="F176" s="1888">
        <f>AVERAGE(D175:F175)</f>
        <v>3.0252462827479214E-2</v>
      </c>
      <c r="G176" s="1888">
        <f>AVERAGE(E175:G175)</f>
        <v>5.3716360872527853E-2</v>
      </c>
      <c r="H176" s="1888">
        <f t="shared" ref="H176:P176" si="176">AVERAGE(F175:H175)</f>
        <v>6.9355939052247143E-2</v>
      </c>
      <c r="I176" s="1888">
        <f t="shared" si="176"/>
        <v>7.6413662770636048E-2</v>
      </c>
      <c r="J176" s="1888">
        <f t="shared" si="176"/>
        <v>7.8630911921337407E-2</v>
      </c>
      <c r="K176" s="1888">
        <f t="shared" si="176"/>
        <v>8.6752427999135406E-2</v>
      </c>
      <c r="L176" s="1888">
        <f t="shared" si="176"/>
        <v>9.539985831291542E-2</v>
      </c>
      <c r="M176" s="1889">
        <f t="shared" si="176"/>
        <v>0.10461881254169474</v>
      </c>
      <c r="N176" s="1889">
        <f t="shared" si="176"/>
        <v>0.11298373349809772</v>
      </c>
      <c r="O176" s="1889">
        <f t="shared" si="176"/>
        <v>0.1243145793418851</v>
      </c>
      <c r="P176" s="1890">
        <f t="shared" si="176"/>
        <v>0.13655915205186328</v>
      </c>
    </row>
    <row r="177" spans="1:16" s="779" customFormat="1" x14ac:dyDescent="0.2">
      <c r="A177" s="818"/>
      <c r="B177" s="2046"/>
      <c r="C177" s="2046"/>
      <c r="D177" s="2046"/>
      <c r="E177" s="978"/>
      <c r="F177" s="978"/>
      <c r="G177" s="978"/>
      <c r="H177" s="978"/>
      <c r="I177" s="978"/>
      <c r="J177" s="978"/>
      <c r="K177" s="978"/>
      <c r="L177" s="978"/>
      <c r="M177" s="2047"/>
      <c r="N177" s="2047"/>
      <c r="O177" s="2047"/>
      <c r="P177" s="2048"/>
    </row>
    <row r="178" spans="1:16" s="779" customFormat="1" x14ac:dyDescent="0.2">
      <c r="A178" s="818" t="s">
        <v>3354</v>
      </c>
      <c r="B178" s="2043">
        <f t="shared" ref="B178:M178" si="177">B344</f>
        <v>-4.1582002902757619E-2</v>
      </c>
      <c r="C178" s="2043">
        <f t="shared" si="177"/>
        <v>-0.17924012052782867</v>
      </c>
      <c r="D178" s="2043">
        <f t="shared" si="177"/>
        <v>-7.7832910600064073E-2</v>
      </c>
      <c r="E178" s="2043">
        <f t="shared" si="177"/>
        <v>-5.7981288079247607E-2</v>
      </c>
      <c r="F178" s="2565">
        <f t="shared" si="177"/>
        <v>2.9267080464703856E-2</v>
      </c>
      <c r="G178" s="2043">
        <f t="shared" si="177"/>
        <v>1.863439644954103E-2</v>
      </c>
      <c r="H178" s="2043">
        <f t="shared" si="177"/>
        <v>4.7981508358866852E-2</v>
      </c>
      <c r="I178" s="2043">
        <f t="shared" si="177"/>
        <v>6.7322330046297507E-2</v>
      </c>
      <c r="J178" s="2043">
        <f t="shared" si="177"/>
        <v>9.5968351559743995E-2</v>
      </c>
      <c r="K178" s="2043">
        <f t="shared" si="177"/>
        <v>0.11609313725490197</v>
      </c>
      <c r="L178" s="2043">
        <f t="shared" si="177"/>
        <v>0.13465481236234592</v>
      </c>
      <c r="M178" s="2044">
        <f t="shared" si="177"/>
        <v>0.15604669980349092</v>
      </c>
      <c r="N178" s="2044">
        <f>N344</f>
        <v>0.17746038570750367</v>
      </c>
      <c r="O178" s="2044">
        <f t="shared" ref="O178" si="178">O344</f>
        <v>0.20332590878619466</v>
      </c>
      <c r="P178" s="2045">
        <f t="shared" ref="P178" si="179">P344</f>
        <v>0.22556661069480297</v>
      </c>
    </row>
    <row r="179" spans="1:16" s="779" customFormat="1" x14ac:dyDescent="0.2">
      <c r="A179" s="935" t="s">
        <v>4368</v>
      </c>
      <c r="B179" s="2046"/>
      <c r="C179" s="1887">
        <f>AVERAGE(B178:C178)</f>
        <v>-0.11041106171529315</v>
      </c>
      <c r="D179" s="1887">
        <f>AVERAGE(B178:D178)</f>
        <v>-9.955167801021679E-2</v>
      </c>
      <c r="E179" s="1888">
        <f>AVERAGE(C178:E178)</f>
        <v>-0.10501810640238013</v>
      </c>
      <c r="F179" s="1888">
        <f>AVERAGE(D178:F178)</f>
        <v>-3.5515706071535945E-2</v>
      </c>
      <c r="G179" s="1888">
        <f>AVERAGE(E178:G178)</f>
        <v>-3.3599370550009069E-3</v>
      </c>
      <c r="H179" s="1888">
        <f t="shared" ref="H179:P179" si="180">AVERAGE(F178:H178)</f>
        <v>3.1960995091037246E-2</v>
      </c>
      <c r="I179" s="1888">
        <f t="shared" si="180"/>
        <v>4.4646078284901802E-2</v>
      </c>
      <c r="J179" s="1888">
        <f t="shared" si="180"/>
        <v>7.0424063321636129E-2</v>
      </c>
      <c r="K179" s="1888">
        <f t="shared" si="180"/>
        <v>9.3127939620314473E-2</v>
      </c>
      <c r="L179" s="1888">
        <f t="shared" si="180"/>
        <v>0.11557210039233064</v>
      </c>
      <c r="M179" s="1889">
        <f t="shared" si="180"/>
        <v>0.13559821647357961</v>
      </c>
      <c r="N179" s="1889">
        <f t="shared" si="180"/>
        <v>0.15605396595778018</v>
      </c>
      <c r="O179" s="1889">
        <f t="shared" si="180"/>
        <v>0.17894433143239641</v>
      </c>
      <c r="P179" s="1890">
        <f t="shared" si="180"/>
        <v>0.20211763506283376</v>
      </c>
    </row>
    <row r="180" spans="1:16" s="779" customFormat="1" x14ac:dyDescent="0.2">
      <c r="A180" s="818"/>
      <c r="B180" s="1530"/>
      <c r="C180" s="1530"/>
      <c r="D180" s="1530"/>
      <c r="E180" s="1530"/>
      <c r="F180" s="2566"/>
      <c r="G180" s="1530"/>
      <c r="H180" s="1530"/>
      <c r="I180" s="1530"/>
      <c r="J180" s="1530"/>
      <c r="K180" s="1530"/>
      <c r="L180" s="1530"/>
      <c r="M180" s="1643"/>
      <c r="N180" s="1643"/>
      <c r="O180" s="1643"/>
      <c r="P180" s="1531"/>
    </row>
    <row r="181" spans="1:16" x14ac:dyDescent="0.2">
      <c r="A181" s="1278"/>
      <c r="B181" s="1275"/>
      <c r="C181" s="1275"/>
      <c r="D181" s="1275"/>
      <c r="E181" s="1275"/>
      <c r="F181" s="2567"/>
      <c r="G181" s="1275"/>
      <c r="H181" s="1275"/>
      <c r="I181" s="1275"/>
      <c r="J181" s="1275"/>
      <c r="K181" s="1275"/>
      <c r="L181" s="1275"/>
      <c r="M181" s="1644"/>
      <c r="N181" s="1644"/>
      <c r="O181" s="1644"/>
      <c r="P181" s="1279"/>
    </row>
    <row r="182" spans="1:16" x14ac:dyDescent="0.2">
      <c r="A182" s="756" t="s">
        <v>4781</v>
      </c>
      <c r="B182" s="442"/>
      <c r="C182" s="442"/>
      <c r="D182" s="442"/>
      <c r="E182" s="442"/>
      <c r="F182" s="764"/>
      <c r="G182" s="442"/>
      <c r="H182" s="442"/>
      <c r="I182" s="442"/>
      <c r="J182" s="442"/>
      <c r="K182" s="442"/>
      <c r="L182" s="442"/>
      <c r="M182" s="444"/>
      <c r="N182" s="444"/>
      <c r="O182" s="444"/>
      <c r="P182" s="760"/>
    </row>
    <row r="183" spans="1:16" s="779" customFormat="1" x14ac:dyDescent="0.2">
      <c r="A183" s="818" t="s">
        <v>4337</v>
      </c>
      <c r="B183" s="1546">
        <f t="shared" ref="B183:M183" si="181">B359</f>
        <v>0.53399372799776379</v>
      </c>
      <c r="C183" s="1546">
        <f t="shared" si="181"/>
        <v>0.7738877311290745</v>
      </c>
      <c r="D183" s="1546">
        <f t="shared" si="181"/>
        <v>0.73873222758037127</v>
      </c>
      <c r="E183" s="1546">
        <f t="shared" si="181"/>
        <v>0.73510687144707121</v>
      </c>
      <c r="F183" s="2568">
        <f t="shared" si="181"/>
        <v>0.74236143868226179</v>
      </c>
      <c r="G183" s="1546">
        <f t="shared" si="181"/>
        <v>0.72420264867223905</v>
      </c>
      <c r="H183" s="1546">
        <f t="shared" si="181"/>
        <v>0.78669288211485</v>
      </c>
      <c r="I183" s="1546">
        <f t="shared" si="181"/>
        <v>0.81133270279156799</v>
      </c>
      <c r="J183" s="1546">
        <f t="shared" si="181"/>
        <v>0.76780957379999437</v>
      </c>
      <c r="K183" s="1546">
        <f t="shared" si="181"/>
        <v>0.77114050766084408</v>
      </c>
      <c r="L183" s="1546">
        <f t="shared" si="181"/>
        <v>0.84700428134317496</v>
      </c>
      <c r="M183" s="1645">
        <f t="shared" si="181"/>
        <v>0.8495550076273618</v>
      </c>
      <c r="N183" s="1645">
        <f t="shared" ref="N183:O183" si="182">N359</f>
        <v>0.84989015540975354</v>
      </c>
      <c r="O183" s="1645">
        <f t="shared" si="182"/>
        <v>0.8523884068422265</v>
      </c>
      <c r="P183" s="1547">
        <f t="shared" ref="P183" si="183">P359</f>
        <v>0.85488337319801455</v>
      </c>
    </row>
    <row r="184" spans="1:16" s="779" customFormat="1" x14ac:dyDescent="0.2">
      <c r="A184" s="935" t="s">
        <v>4368</v>
      </c>
      <c r="B184" s="1539"/>
      <c r="C184" s="1548">
        <f>AVERAGE(B183:C183)</f>
        <v>0.6539407295634192</v>
      </c>
      <c r="D184" s="1548">
        <f>AVERAGE(B183:D183)</f>
        <v>0.68220456223573656</v>
      </c>
      <c r="E184" s="1549">
        <f>AVERAGE(C183:E183)</f>
        <v>0.74924227671883903</v>
      </c>
      <c r="F184" s="1549">
        <f>AVERAGE(D183:F183)</f>
        <v>0.7387335125699015</v>
      </c>
      <c r="G184" s="1549">
        <f>AVERAGE(E183:G183)</f>
        <v>0.73389031960052398</v>
      </c>
      <c r="H184" s="1549">
        <f t="shared" ref="H184:P184" si="184">AVERAGE(F183:H183)</f>
        <v>0.75108565648978365</v>
      </c>
      <c r="I184" s="1549">
        <f t="shared" si="184"/>
        <v>0.77407607785955224</v>
      </c>
      <c r="J184" s="1549">
        <f t="shared" si="184"/>
        <v>0.78861171956880405</v>
      </c>
      <c r="K184" s="1549">
        <f t="shared" si="184"/>
        <v>0.78342759475080215</v>
      </c>
      <c r="L184" s="1549">
        <f t="shared" si="184"/>
        <v>0.79531812093467114</v>
      </c>
      <c r="M184" s="1646">
        <f t="shared" si="184"/>
        <v>0.82256659887712702</v>
      </c>
      <c r="N184" s="1646">
        <f t="shared" si="184"/>
        <v>0.84881648146009681</v>
      </c>
      <c r="O184" s="1646">
        <f t="shared" si="184"/>
        <v>0.85061118995978058</v>
      </c>
      <c r="P184" s="1545">
        <f t="shared" si="184"/>
        <v>0.85238731181666483</v>
      </c>
    </row>
    <row r="185" spans="1:16" s="779" customFormat="1" x14ac:dyDescent="0.2">
      <c r="A185" s="818"/>
      <c r="B185" s="1546"/>
      <c r="C185" s="1546"/>
      <c r="D185" s="1546"/>
      <c r="E185" s="1546"/>
      <c r="F185" s="2568"/>
      <c r="G185" s="1546"/>
      <c r="H185" s="1546"/>
      <c r="I185" s="1546"/>
      <c r="J185" s="1546"/>
      <c r="K185" s="1546"/>
      <c r="L185" s="1546"/>
      <c r="M185" s="1645"/>
      <c r="N185" s="1645"/>
      <c r="O185" s="1645"/>
      <c r="P185" s="1547"/>
    </row>
    <row r="186" spans="1:16" s="779" customFormat="1" x14ac:dyDescent="0.2">
      <c r="A186" s="818" t="s">
        <v>2240</v>
      </c>
      <c r="B186" s="1546">
        <f t="shared" ref="B186:M186" si="185">B372</f>
        <v>0.42926818253663601</v>
      </c>
      <c r="C186" s="1546">
        <f t="shared" si="185"/>
        <v>0.71515857879494238</v>
      </c>
      <c r="D186" s="1546">
        <f t="shared" si="185"/>
        <v>0.66622211843948764</v>
      </c>
      <c r="E186" s="1546">
        <f t="shared" si="185"/>
        <v>0.66318371038055313</v>
      </c>
      <c r="F186" s="2568">
        <f t="shared" si="185"/>
        <v>0.66373738040453323</v>
      </c>
      <c r="G186" s="1546">
        <f t="shared" si="185"/>
        <v>0.63884392425810776</v>
      </c>
      <c r="H186" s="1546">
        <f t="shared" si="185"/>
        <v>0.72467692229648317</v>
      </c>
      <c r="I186" s="1546">
        <f t="shared" si="185"/>
        <v>0.76149907051211485</v>
      </c>
      <c r="J186" s="1546">
        <f t="shared" si="185"/>
        <v>0.69800558481656383</v>
      </c>
      <c r="K186" s="1546">
        <f t="shared" si="185"/>
        <v>0.70254683531087758</v>
      </c>
      <c r="L186" s="1546">
        <f t="shared" si="185"/>
        <v>0.81147664254159224</v>
      </c>
      <c r="M186" s="1645">
        <f t="shared" si="185"/>
        <v>0.81507850874876453</v>
      </c>
      <c r="N186" s="1645">
        <f t="shared" ref="N186:O186" si="186">N372</f>
        <v>0.81404801181536113</v>
      </c>
      <c r="O186" s="1645">
        <f t="shared" si="186"/>
        <v>0.81710408942758928</v>
      </c>
      <c r="P186" s="1547">
        <f t="shared" ref="P186" si="187">P372</f>
        <v>0.8199647968885887</v>
      </c>
    </row>
    <row r="187" spans="1:16" s="779" customFormat="1" x14ac:dyDescent="0.2">
      <c r="A187" s="935" t="s">
        <v>4368</v>
      </c>
      <c r="B187" s="1539"/>
      <c r="C187" s="1548">
        <f>AVERAGE(B186:C186)</f>
        <v>0.5722133806657892</v>
      </c>
      <c r="D187" s="1548">
        <f>AVERAGE(B186:D186)</f>
        <v>0.60354962659035538</v>
      </c>
      <c r="E187" s="1549">
        <f>AVERAGE(C186:E186)</f>
        <v>0.68152146920499435</v>
      </c>
      <c r="F187" s="1549">
        <f>AVERAGE(D186:F186)</f>
        <v>0.66438106974152467</v>
      </c>
      <c r="G187" s="1549">
        <f>AVERAGE(E186:G186)</f>
        <v>0.65525500501439804</v>
      </c>
      <c r="H187" s="1549">
        <f t="shared" ref="H187:P187" si="188">AVERAGE(F186:H186)</f>
        <v>0.67575274231970806</v>
      </c>
      <c r="I187" s="1549">
        <f t="shared" si="188"/>
        <v>0.70833997235556856</v>
      </c>
      <c r="J187" s="1549">
        <f t="shared" si="188"/>
        <v>0.72806052587505388</v>
      </c>
      <c r="K187" s="1549">
        <f t="shared" si="188"/>
        <v>0.72068383021318549</v>
      </c>
      <c r="L187" s="1549">
        <f t="shared" si="188"/>
        <v>0.73734302088967796</v>
      </c>
      <c r="M187" s="1646">
        <f t="shared" si="188"/>
        <v>0.77636732886707815</v>
      </c>
      <c r="N187" s="1646">
        <f t="shared" si="188"/>
        <v>0.813534387701906</v>
      </c>
      <c r="O187" s="1646">
        <f t="shared" si="188"/>
        <v>0.81541020333057157</v>
      </c>
      <c r="P187" s="1545">
        <f t="shared" si="188"/>
        <v>0.8170389660438464</v>
      </c>
    </row>
    <row r="188" spans="1:16" s="779" customFormat="1" x14ac:dyDescent="0.2">
      <c r="A188" s="935"/>
      <c r="B188" s="1535"/>
      <c r="C188" s="1535"/>
      <c r="D188" s="1535"/>
      <c r="E188" s="1537"/>
      <c r="F188" s="1537"/>
      <c r="G188" s="1537"/>
      <c r="H188" s="1537"/>
      <c r="I188" s="1537"/>
      <c r="J188" s="1537"/>
      <c r="K188" s="1537"/>
      <c r="L188" s="1537"/>
      <c r="M188" s="1647"/>
      <c r="N188" s="1647"/>
      <c r="O188" s="1647"/>
      <c r="P188" s="1536"/>
    </row>
    <row r="189" spans="1:16" s="779" customFormat="1" x14ac:dyDescent="0.2">
      <c r="A189" s="818" t="s">
        <v>1764</v>
      </c>
      <c r="B189" s="1546">
        <f t="shared" ref="B189:M189" si="189">B385</f>
        <v>0.89070576073677288</v>
      </c>
      <c r="C189" s="1546">
        <f t="shared" si="189"/>
        <v>0.93023235283731776</v>
      </c>
      <c r="D189" s="1546">
        <f t="shared" si="189"/>
        <v>0.92142783611282686</v>
      </c>
      <c r="E189" s="1546">
        <f t="shared" si="189"/>
        <v>0.900701525409903</v>
      </c>
      <c r="F189" s="2568">
        <f t="shared" si="189"/>
        <v>0.91625496766149783</v>
      </c>
      <c r="G189" s="1546">
        <f t="shared" si="189"/>
        <v>0.92892113262125564</v>
      </c>
      <c r="H189" s="1546">
        <f t="shared" si="189"/>
        <v>0.92862269838991174</v>
      </c>
      <c r="I189" s="1546">
        <f t="shared" si="189"/>
        <v>0.92861473397805583</v>
      </c>
      <c r="J189" s="1546">
        <f t="shared" si="189"/>
        <v>0.92961596380167999</v>
      </c>
      <c r="K189" s="1546">
        <f t="shared" si="189"/>
        <v>0.93086782504822774</v>
      </c>
      <c r="L189" s="1546">
        <f t="shared" si="189"/>
        <v>0.93159992812601911</v>
      </c>
      <c r="M189" s="1645">
        <f t="shared" si="189"/>
        <v>0.93258715903027334</v>
      </c>
      <c r="N189" s="1645">
        <f t="shared" ref="N189:O189" si="190">N385</f>
        <v>0.93370607523849081</v>
      </c>
      <c r="O189" s="1645">
        <f t="shared" si="190"/>
        <v>0.93487752578797423</v>
      </c>
      <c r="P189" s="1547">
        <f t="shared" ref="P189" si="191">P385</f>
        <v>0.93635983527215028</v>
      </c>
    </row>
    <row r="190" spans="1:16" s="779" customFormat="1" x14ac:dyDescent="0.2">
      <c r="A190" s="935" t="s">
        <v>4368</v>
      </c>
      <c r="B190" s="1539"/>
      <c r="C190" s="1548">
        <f>AVERAGE(B189:C189)</f>
        <v>0.91046905678704526</v>
      </c>
      <c r="D190" s="1548">
        <f>AVERAGE(B189:D189)</f>
        <v>0.91412198322897253</v>
      </c>
      <c r="E190" s="1549">
        <f>AVERAGE(C189:E189)</f>
        <v>0.91745390478668254</v>
      </c>
      <c r="F190" s="1549">
        <f>AVERAGE(D189:F189)</f>
        <v>0.9127947763947426</v>
      </c>
      <c r="G190" s="1549">
        <f>AVERAGE(E189:G189)</f>
        <v>0.91529254189755216</v>
      </c>
      <c r="H190" s="1549">
        <f t="shared" ref="H190:P190" si="192">AVERAGE(F189:H189)</f>
        <v>0.924599599557555</v>
      </c>
      <c r="I190" s="1549">
        <f t="shared" si="192"/>
        <v>0.92871952166307448</v>
      </c>
      <c r="J190" s="1549">
        <f t="shared" si="192"/>
        <v>0.92895113205654922</v>
      </c>
      <c r="K190" s="1549">
        <f t="shared" si="192"/>
        <v>0.92969950760932119</v>
      </c>
      <c r="L190" s="1549">
        <f t="shared" si="192"/>
        <v>0.93069457232530894</v>
      </c>
      <c r="M190" s="1646">
        <f t="shared" si="192"/>
        <v>0.93168497073484013</v>
      </c>
      <c r="N190" s="1646">
        <f t="shared" si="192"/>
        <v>0.93263105413159442</v>
      </c>
      <c r="O190" s="1646">
        <f t="shared" si="192"/>
        <v>0.93372358668557942</v>
      </c>
      <c r="P190" s="1545">
        <f t="shared" si="192"/>
        <v>0.93498114543287192</v>
      </c>
    </row>
    <row r="191" spans="1:16" s="779" customFormat="1" x14ac:dyDescent="0.2">
      <c r="A191" s="935"/>
      <c r="B191" s="1535"/>
      <c r="C191" s="1535"/>
      <c r="D191" s="1535"/>
      <c r="E191" s="1537"/>
      <c r="F191" s="1537"/>
      <c r="G191" s="1537"/>
      <c r="H191" s="1537"/>
      <c r="I191" s="1537"/>
      <c r="J191" s="1537"/>
      <c r="K191" s="1537"/>
      <c r="L191" s="1537"/>
      <c r="M191" s="1647"/>
      <c r="N191" s="1647"/>
      <c r="O191" s="1647"/>
      <c r="P191" s="1536"/>
    </row>
    <row r="192" spans="1:16" s="779" customFormat="1" x14ac:dyDescent="0.2">
      <c r="A192" s="818" t="s">
        <v>3354</v>
      </c>
      <c r="B192" s="1546">
        <f t="shared" ref="B192:M192" si="193">B398</f>
        <v>0.89306774996723892</v>
      </c>
      <c r="C192" s="1546">
        <f t="shared" si="193"/>
        <v>0.86839465797808002</v>
      </c>
      <c r="D192" s="1546">
        <f t="shared" si="193"/>
        <v>0.86929889341141853</v>
      </c>
      <c r="E192" s="1546">
        <f t="shared" si="193"/>
        <v>0.86047722250552439</v>
      </c>
      <c r="F192" s="2568">
        <f t="shared" si="193"/>
        <v>0.88870662332796657</v>
      </c>
      <c r="G192" s="1546">
        <f t="shared" si="193"/>
        <v>0.8827953296703297</v>
      </c>
      <c r="H192" s="1546">
        <f t="shared" si="193"/>
        <v>0.88409129008309983</v>
      </c>
      <c r="I192" s="1546">
        <f t="shared" si="193"/>
        <v>0.88516634781391446</v>
      </c>
      <c r="J192" s="1546">
        <f t="shared" si="193"/>
        <v>0.88729418654413583</v>
      </c>
      <c r="K192" s="1546">
        <f t="shared" si="193"/>
        <v>0.88806209028523819</v>
      </c>
      <c r="L192" s="1546">
        <f t="shared" si="193"/>
        <v>0.88947646522409807</v>
      </c>
      <c r="M192" s="1645">
        <f t="shared" si="193"/>
        <v>0.89073943515945764</v>
      </c>
      <c r="N192" s="1645">
        <f t="shared" ref="N192:O192" si="194">N398</f>
        <v>0.8923482998233635</v>
      </c>
      <c r="O192" s="1645">
        <f t="shared" si="194"/>
        <v>0.89425000973254953</v>
      </c>
      <c r="P192" s="1547">
        <f t="shared" ref="P192" si="195">P398</f>
        <v>0.89613163515544658</v>
      </c>
    </row>
    <row r="193" spans="1:16" s="779" customFormat="1" x14ac:dyDescent="0.2">
      <c r="A193" s="935" t="s">
        <v>4368</v>
      </c>
      <c r="B193" s="1538"/>
      <c r="C193" s="1542">
        <f>AVERAGE(B192:C192)</f>
        <v>0.88073120397265947</v>
      </c>
      <c r="D193" s="1542">
        <f>AVERAGE(B192:D192)</f>
        <v>0.87692043378557916</v>
      </c>
      <c r="E193" s="1543">
        <f>AVERAGE(C192:E192)</f>
        <v>0.86605692463167439</v>
      </c>
      <c r="F193" s="1543">
        <f>AVERAGE(D192:F192)</f>
        <v>0.87282757974830316</v>
      </c>
      <c r="G193" s="1543">
        <f>AVERAGE(E192:G192)</f>
        <v>0.87732639183460692</v>
      </c>
      <c r="H193" s="1543">
        <f t="shared" ref="H193:P193" si="196">AVERAGE(F192:H192)</f>
        <v>0.88519774769379866</v>
      </c>
      <c r="I193" s="1543">
        <f t="shared" si="196"/>
        <v>0.88401765585578129</v>
      </c>
      <c r="J193" s="1543">
        <f t="shared" si="196"/>
        <v>0.88551727481371678</v>
      </c>
      <c r="K193" s="1543">
        <f t="shared" si="196"/>
        <v>0.8868408748810962</v>
      </c>
      <c r="L193" s="1543">
        <f t="shared" si="196"/>
        <v>0.8882775806844907</v>
      </c>
      <c r="M193" s="1648">
        <f t="shared" si="196"/>
        <v>0.889425996889598</v>
      </c>
      <c r="N193" s="1648">
        <f t="shared" si="196"/>
        <v>0.89085473340230648</v>
      </c>
      <c r="O193" s="1648">
        <f t="shared" si="196"/>
        <v>0.89244591490512359</v>
      </c>
      <c r="P193" s="1544">
        <f t="shared" si="196"/>
        <v>0.8942433149037865</v>
      </c>
    </row>
    <row r="194" spans="1:16" s="4" customFormat="1" x14ac:dyDescent="0.2">
      <c r="A194" s="471"/>
      <c r="B194" s="946"/>
      <c r="C194" s="946"/>
      <c r="D194" s="946"/>
      <c r="E194" s="946"/>
      <c r="F194" s="2569"/>
      <c r="G194" s="946"/>
      <c r="H194" s="946"/>
      <c r="I194" s="946"/>
      <c r="J194" s="946"/>
      <c r="K194" s="946"/>
      <c r="L194" s="946"/>
      <c r="M194" s="1657"/>
      <c r="N194" s="1657"/>
      <c r="O194" s="1657"/>
      <c r="P194" s="939"/>
    </row>
    <row r="195" spans="1:16" x14ac:dyDescent="0.2">
      <c r="A195" s="1278"/>
      <c r="B195" s="1275"/>
      <c r="C195" s="1275"/>
      <c r="D195" s="1275"/>
      <c r="E195" s="1275"/>
      <c r="F195" s="2567"/>
      <c r="G195" s="1275"/>
      <c r="H195" s="1275"/>
      <c r="I195" s="1275"/>
      <c r="J195" s="1275"/>
      <c r="K195" s="1275"/>
      <c r="L195" s="1275"/>
      <c r="M195" s="1644"/>
      <c r="N195" s="1644"/>
      <c r="O195" s="1644"/>
      <c r="P195" s="1279"/>
    </row>
    <row r="196" spans="1:16" x14ac:dyDescent="0.2">
      <c r="A196" s="942" t="s">
        <v>4782</v>
      </c>
      <c r="B196" s="442"/>
      <c r="C196" s="442"/>
      <c r="D196" s="442"/>
      <c r="E196" s="442"/>
      <c r="F196" s="764"/>
      <c r="G196" s="442"/>
      <c r="H196" s="442"/>
      <c r="I196" s="442"/>
      <c r="J196" s="442"/>
      <c r="K196" s="442"/>
      <c r="L196" s="442"/>
      <c r="M196" s="1655"/>
      <c r="N196" s="1655"/>
      <c r="O196" s="1655"/>
      <c r="P196" s="918"/>
    </row>
    <row r="197" spans="1:16" s="779" customFormat="1" x14ac:dyDescent="0.2">
      <c r="A197" s="935" t="s">
        <v>4337</v>
      </c>
      <c r="B197" s="1532">
        <f t="shared" ref="B197:N197" si="197">B682</f>
        <v>1.1746035430169606</v>
      </c>
      <c r="C197" s="1532">
        <f t="shared" si="197"/>
        <v>0.76027544863255236</v>
      </c>
      <c r="D197" s="1532">
        <f t="shared" si="197"/>
        <v>0.86068536726431455</v>
      </c>
      <c r="E197" s="1532">
        <f t="shared" si="197"/>
        <v>0.85309325791930923</v>
      </c>
      <c r="F197" s="2570">
        <f t="shared" si="197"/>
        <v>2.1535545143087464</v>
      </c>
      <c r="G197" s="1532">
        <f t="shared" si="197"/>
        <v>1.2808636601079575</v>
      </c>
      <c r="H197" s="1532">
        <f t="shared" si="197"/>
        <v>0.87181727408886667</v>
      </c>
      <c r="I197" s="1532">
        <f t="shared" si="197"/>
        <v>0.9751373725188559</v>
      </c>
      <c r="J197" s="1532">
        <f t="shared" si="197"/>
        <v>1.8905723631747686</v>
      </c>
      <c r="K197" s="1532">
        <f t="shared" si="197"/>
        <v>1.6000127635133699</v>
      </c>
      <c r="L197" s="1532">
        <f t="shared" si="197"/>
        <v>0.92293976883494699</v>
      </c>
      <c r="M197" s="1633">
        <f t="shared" si="197"/>
        <v>0.82738317327104627</v>
      </c>
      <c r="N197" s="1633">
        <f t="shared" si="197"/>
        <v>0.87776085300837781</v>
      </c>
      <c r="O197" s="1633">
        <f t="shared" ref="O197" si="198">O682</f>
        <v>0.89511403211466578</v>
      </c>
      <c r="P197" s="919">
        <f t="shared" ref="P197" si="199">P682</f>
        <v>0.90122844443588357</v>
      </c>
    </row>
    <row r="198" spans="1:16" s="779" customFormat="1" x14ac:dyDescent="0.2">
      <c r="A198" s="935" t="s">
        <v>4368</v>
      </c>
      <c r="B198" s="1801"/>
      <c r="C198" s="1887">
        <f>AVERAGE(B197:C197)</f>
        <v>0.96743949582475652</v>
      </c>
      <c r="D198" s="1887">
        <f>AVERAGE(B197:D197)</f>
        <v>0.93185478630460927</v>
      </c>
      <c r="E198" s="1888">
        <f>AVERAGE(C197:E197)</f>
        <v>0.82468469127205868</v>
      </c>
      <c r="F198" s="1888">
        <f>AVERAGE(D197:F197)</f>
        <v>1.2891110464974567</v>
      </c>
      <c r="G198" s="1888">
        <f>AVERAGE(E197:G197)</f>
        <v>1.4291704774453378</v>
      </c>
      <c r="H198" s="1888">
        <f t="shared" ref="H198:P198" si="200">AVERAGE(F197:H197)</f>
        <v>1.4354118161685234</v>
      </c>
      <c r="I198" s="1888">
        <f t="shared" si="200"/>
        <v>1.04260610223856</v>
      </c>
      <c r="J198" s="1888">
        <f t="shared" si="200"/>
        <v>1.2458423365941638</v>
      </c>
      <c r="K198" s="1888">
        <f t="shared" si="200"/>
        <v>1.4885741664023315</v>
      </c>
      <c r="L198" s="1888">
        <f t="shared" si="200"/>
        <v>1.471174965174362</v>
      </c>
      <c r="M198" s="1889">
        <f t="shared" si="200"/>
        <v>1.1167785685397875</v>
      </c>
      <c r="N198" s="1889">
        <f t="shared" si="200"/>
        <v>0.87602793170479032</v>
      </c>
      <c r="O198" s="1889">
        <f t="shared" si="200"/>
        <v>0.86675268613136325</v>
      </c>
      <c r="P198" s="1890">
        <f t="shared" si="200"/>
        <v>0.8913677765196425</v>
      </c>
    </row>
    <row r="199" spans="1:16" x14ac:dyDescent="0.2">
      <c r="A199" s="942"/>
      <c r="B199" s="1494"/>
      <c r="C199" s="1494"/>
      <c r="D199" s="1494"/>
      <c r="E199" s="1494"/>
      <c r="F199" s="2571"/>
      <c r="G199" s="1494"/>
      <c r="H199" s="1494"/>
      <c r="I199" s="1494"/>
      <c r="J199" s="1494"/>
      <c r="K199" s="1494"/>
      <c r="L199" s="1494"/>
      <c r="M199" s="1656"/>
      <c r="N199" s="1656"/>
      <c r="O199" s="1656"/>
      <c r="P199" s="1495"/>
    </row>
    <row r="200" spans="1:16" s="779" customFormat="1" x14ac:dyDescent="0.2">
      <c r="A200" s="935" t="s">
        <v>2240</v>
      </c>
      <c r="B200" s="1532">
        <f t="shared" ref="B200:N200" si="201">B688</f>
        <v>0.87114308553157471</v>
      </c>
      <c r="C200" s="1532">
        <f t="shared" si="201"/>
        <v>0.75199497329563303</v>
      </c>
      <c r="D200" s="1532">
        <f t="shared" si="201"/>
        <v>0.77162759460852459</v>
      </c>
      <c r="E200" s="1532">
        <f t="shared" si="201"/>
        <v>0.95139141964348029</v>
      </c>
      <c r="F200" s="2570">
        <f t="shared" si="201"/>
        <v>2.3699500526655566</v>
      </c>
      <c r="G200" s="1532">
        <f t="shared" si="201"/>
        <v>1.2423389100546629</v>
      </c>
      <c r="H200" s="1532">
        <f t="shared" si="201"/>
        <v>0.5987321916589855</v>
      </c>
      <c r="I200" s="1532">
        <f t="shared" si="201"/>
        <v>0.65119024198308084</v>
      </c>
      <c r="J200" s="1532">
        <f t="shared" si="201"/>
        <v>2.0691224686595948</v>
      </c>
      <c r="K200" s="1532">
        <f t="shared" si="201"/>
        <v>1.6052697255477322</v>
      </c>
      <c r="L200" s="1532">
        <f t="shared" si="201"/>
        <v>0.86215460806773281</v>
      </c>
      <c r="M200" s="1633">
        <f t="shared" si="201"/>
        <v>0.83385420452067738</v>
      </c>
      <c r="N200" s="1633">
        <f t="shared" si="201"/>
        <v>0.9035852713178294</v>
      </c>
      <c r="O200" s="1633">
        <f t="shared" ref="O200" si="202">O688</f>
        <v>1.1002926570324996</v>
      </c>
      <c r="P200" s="919">
        <f t="shared" ref="P200" si="203">P688</f>
        <v>1.1079461809716182</v>
      </c>
    </row>
    <row r="201" spans="1:16" s="779" customFormat="1" x14ac:dyDescent="0.2">
      <c r="A201" s="935" t="s">
        <v>4368</v>
      </c>
      <c r="B201" s="1801"/>
      <c r="C201" s="1887">
        <f>AVERAGE(B200:C200)</f>
        <v>0.81156902941360387</v>
      </c>
      <c r="D201" s="1887">
        <f>AVERAGE(B200:D200)</f>
        <v>0.79825521781191078</v>
      </c>
      <c r="E201" s="1888">
        <f>AVERAGE(C200:E200)</f>
        <v>0.82500466251587934</v>
      </c>
      <c r="F201" s="1888">
        <f>AVERAGE(D200:F200)</f>
        <v>1.3643230223058538</v>
      </c>
      <c r="G201" s="1888">
        <f>AVERAGE(E200:G200)</f>
        <v>1.5212267941212332</v>
      </c>
      <c r="H201" s="1888">
        <f>AVERAGE(F200:H200)</f>
        <v>1.4036737181264016</v>
      </c>
      <c r="I201" s="1888">
        <f t="shared" ref="I201:P201" si="204">AVERAGE(G200:I200)</f>
        <v>0.83075378123224308</v>
      </c>
      <c r="J201" s="1888">
        <f t="shared" si="204"/>
        <v>1.1063483007672203</v>
      </c>
      <c r="K201" s="1888">
        <f t="shared" si="204"/>
        <v>1.4418608120634693</v>
      </c>
      <c r="L201" s="1888">
        <f t="shared" si="204"/>
        <v>1.5121822674250198</v>
      </c>
      <c r="M201" s="1889">
        <f t="shared" si="204"/>
        <v>1.100426179378714</v>
      </c>
      <c r="N201" s="1889">
        <f t="shared" si="204"/>
        <v>0.86653136130207997</v>
      </c>
      <c r="O201" s="1889">
        <f t="shared" si="204"/>
        <v>0.94591071095700219</v>
      </c>
      <c r="P201" s="1890">
        <f t="shared" si="204"/>
        <v>1.0372747031073157</v>
      </c>
    </row>
    <row r="202" spans="1:16" s="779" customFormat="1" x14ac:dyDescent="0.2">
      <c r="A202" s="935"/>
      <c r="B202" s="1532"/>
      <c r="C202" s="1532"/>
      <c r="D202" s="1532"/>
      <c r="E202" s="1532"/>
      <c r="F202" s="2570"/>
      <c r="G202" s="1532"/>
      <c r="H202" s="1532"/>
      <c r="I202" s="1532"/>
      <c r="J202" s="1532"/>
      <c r="K202" s="1532"/>
      <c r="L202" s="1532"/>
      <c r="M202" s="1633"/>
      <c r="N202" s="1633"/>
      <c r="O202" s="1633"/>
      <c r="P202" s="919"/>
    </row>
    <row r="203" spans="1:16" s="779" customFormat="1" x14ac:dyDescent="0.2">
      <c r="A203" s="935" t="s">
        <v>1764</v>
      </c>
      <c r="B203" s="1532">
        <f t="shared" ref="B203:N203" si="205">B694</f>
        <v>6.1603823685608072E-2</v>
      </c>
      <c r="C203" s="1532">
        <f t="shared" si="205"/>
        <v>0.88542227003765461</v>
      </c>
      <c r="D203" s="1532">
        <f t="shared" si="205"/>
        <v>0.58603930407832638</v>
      </c>
      <c r="E203" s="1532">
        <f t="shared" si="205"/>
        <v>0.66121382912914972</v>
      </c>
      <c r="F203" s="2570">
        <f t="shared" si="205"/>
        <v>0.98121387283236994</v>
      </c>
      <c r="G203" s="1532">
        <f t="shared" si="205"/>
        <v>1.6504491017964071</v>
      </c>
      <c r="H203" s="1532">
        <f t="shared" si="205"/>
        <v>2.751540041067762</v>
      </c>
      <c r="I203" s="1532">
        <f t="shared" si="205"/>
        <v>2.4435982181347895</v>
      </c>
      <c r="J203" s="1532">
        <f t="shared" si="205"/>
        <v>1.3283119808531607</v>
      </c>
      <c r="K203" s="1532">
        <f t="shared" si="205"/>
        <v>3.1084902407062556</v>
      </c>
      <c r="L203" s="1532">
        <f t="shared" si="205"/>
        <v>0.78794431679956756</v>
      </c>
      <c r="M203" s="1633">
        <f t="shared" si="205"/>
        <v>2.4657352843805866</v>
      </c>
      <c r="N203" s="1633">
        <f t="shared" si="205"/>
        <v>2.4756714674970803</v>
      </c>
      <c r="O203" s="1633">
        <f t="shared" ref="O203" si="206">O694</f>
        <v>0.90452580727180265</v>
      </c>
      <c r="P203" s="919">
        <f t="shared" ref="P203" si="207">P694</f>
        <v>0.90807174887892383</v>
      </c>
    </row>
    <row r="204" spans="1:16" s="779" customFormat="1" x14ac:dyDescent="0.2">
      <c r="A204" s="935" t="s">
        <v>4368</v>
      </c>
      <c r="B204" s="1801"/>
      <c r="C204" s="1887">
        <f>AVERAGE(B203:C203)</f>
        <v>0.47351304686163131</v>
      </c>
      <c r="D204" s="1887">
        <f>AVERAGE(B203:D203)</f>
        <v>0.51102179926719637</v>
      </c>
      <c r="E204" s="1888">
        <f>AVERAGE(C203:E203)</f>
        <v>0.71089180108171035</v>
      </c>
      <c r="F204" s="1888">
        <f>AVERAGE(D203:F203)</f>
        <v>0.74282233534661535</v>
      </c>
      <c r="G204" s="1888">
        <f>AVERAGE(E203:G203)</f>
        <v>1.0976256012526422</v>
      </c>
      <c r="H204" s="1888">
        <f t="shared" ref="H204:P204" si="208">AVERAGE(F203:H203)</f>
        <v>1.7944010052321797</v>
      </c>
      <c r="I204" s="1888">
        <f t="shared" si="208"/>
        <v>2.2818624536663195</v>
      </c>
      <c r="J204" s="1888">
        <f t="shared" si="208"/>
        <v>2.1744834133519038</v>
      </c>
      <c r="K204" s="1888">
        <f t="shared" si="208"/>
        <v>2.2934668132314022</v>
      </c>
      <c r="L204" s="1888">
        <f t="shared" si="208"/>
        <v>1.7415821794529946</v>
      </c>
      <c r="M204" s="1889">
        <f t="shared" si="208"/>
        <v>2.1207232806288032</v>
      </c>
      <c r="N204" s="1889">
        <f t="shared" si="208"/>
        <v>1.9097836895590781</v>
      </c>
      <c r="O204" s="1889">
        <f t="shared" si="208"/>
        <v>1.9486441863831565</v>
      </c>
      <c r="P204" s="1890">
        <f t="shared" si="208"/>
        <v>1.4294230078826022</v>
      </c>
    </row>
    <row r="205" spans="1:16" s="779" customFormat="1" x14ac:dyDescent="0.2">
      <c r="A205" s="935"/>
      <c r="B205" s="1532"/>
      <c r="C205" s="1532"/>
      <c r="D205" s="1532"/>
      <c r="E205" s="1532"/>
      <c r="F205" s="2570"/>
      <c r="G205" s="1532"/>
      <c r="H205" s="1532"/>
      <c r="I205" s="1532"/>
      <c r="J205" s="1532"/>
      <c r="K205" s="1532"/>
      <c r="L205" s="1532"/>
      <c r="M205" s="1633"/>
      <c r="N205" s="1633"/>
      <c r="O205" s="1633"/>
      <c r="P205" s="919"/>
    </row>
    <row r="206" spans="1:16" s="779" customFormat="1" x14ac:dyDescent="0.2">
      <c r="A206" s="935" t="s">
        <v>3354</v>
      </c>
      <c r="B206" s="1532">
        <f t="shared" ref="B206:N206" si="209">B700</f>
        <v>3.2485040478704681</v>
      </c>
      <c r="C206" s="1532">
        <f t="shared" si="209"/>
        <v>0.72228528187665531</v>
      </c>
      <c r="D206" s="1532">
        <f t="shared" si="209"/>
        <v>1.5051417887192271</v>
      </c>
      <c r="E206" s="1532">
        <f t="shared" si="209"/>
        <v>0.59271608841875301</v>
      </c>
      <c r="F206" s="2570">
        <f t="shared" si="209"/>
        <v>1.8807619047619049</v>
      </c>
      <c r="G206" s="1532">
        <f t="shared" si="209"/>
        <v>1.305503355704698</v>
      </c>
      <c r="H206" s="1532">
        <f t="shared" si="209"/>
        <v>1.107603262299395</v>
      </c>
      <c r="I206" s="1532">
        <f t="shared" si="209"/>
        <v>1.5332645693656524</v>
      </c>
      <c r="J206" s="1532">
        <f t="shared" si="209"/>
        <v>1.5524387161991409</v>
      </c>
      <c r="K206" s="1532">
        <f t="shared" si="209"/>
        <v>1.0782759474857568</v>
      </c>
      <c r="L206" s="1532">
        <f t="shared" si="209"/>
        <v>1.191551347414421</v>
      </c>
      <c r="M206" s="1633">
        <f t="shared" si="209"/>
        <v>0.23584007615421229</v>
      </c>
      <c r="N206" s="1633">
        <f t="shared" si="209"/>
        <v>0.23792862141357593</v>
      </c>
      <c r="O206" s="1633">
        <f t="shared" ref="O206" si="210">O700</f>
        <v>0.23936899862825789</v>
      </c>
      <c r="P206" s="919">
        <f t="shared" ref="P206" si="211">P700</f>
        <v>0.24114746750336172</v>
      </c>
    </row>
    <row r="207" spans="1:16" s="779" customFormat="1" x14ac:dyDescent="0.2">
      <c r="A207" s="935" t="s">
        <v>4368</v>
      </c>
      <c r="B207" s="1801"/>
      <c r="C207" s="1887">
        <f>AVERAGE(B206:C206)</f>
        <v>1.9853946648735616</v>
      </c>
      <c r="D207" s="1887">
        <f>AVERAGE(B206:D206)</f>
        <v>1.8253103728221169</v>
      </c>
      <c r="E207" s="1888">
        <f>AVERAGE(C206:E206)</f>
        <v>0.94004771967154521</v>
      </c>
      <c r="F207" s="1888">
        <f>AVERAGE(D206:F206)</f>
        <v>1.3262065939666285</v>
      </c>
      <c r="G207" s="1888">
        <f>AVERAGE(E206:G206)</f>
        <v>1.2596604496284518</v>
      </c>
      <c r="H207" s="1888">
        <f t="shared" ref="H207:P207" si="212">AVERAGE(F206:H206)</f>
        <v>1.4312895075886658</v>
      </c>
      <c r="I207" s="1888">
        <f t="shared" si="212"/>
        <v>1.3154570624565818</v>
      </c>
      <c r="J207" s="1888">
        <f t="shared" si="212"/>
        <v>1.3977688492880624</v>
      </c>
      <c r="K207" s="1888">
        <f t="shared" si="212"/>
        <v>1.3879930776835165</v>
      </c>
      <c r="L207" s="1888">
        <f t="shared" si="212"/>
        <v>1.2740886703664396</v>
      </c>
      <c r="M207" s="1889">
        <f t="shared" si="212"/>
        <v>0.83522245701813003</v>
      </c>
      <c r="N207" s="1889">
        <f t="shared" si="212"/>
        <v>0.5551066816607364</v>
      </c>
      <c r="O207" s="1889">
        <f t="shared" si="212"/>
        <v>0.23771256539868202</v>
      </c>
      <c r="P207" s="1890">
        <f t="shared" si="212"/>
        <v>0.23948169584839851</v>
      </c>
    </row>
    <row r="208" spans="1:16" s="779" customFormat="1" x14ac:dyDescent="0.2">
      <c r="A208" s="935"/>
      <c r="B208" s="1532"/>
      <c r="C208" s="1532"/>
      <c r="D208" s="1532"/>
      <c r="E208" s="1532"/>
      <c r="F208" s="2570"/>
      <c r="G208" s="1532"/>
      <c r="H208" s="1532"/>
      <c r="I208" s="1532"/>
      <c r="J208" s="1532"/>
      <c r="K208" s="1532"/>
      <c r="L208" s="1532"/>
      <c r="M208" s="1633"/>
      <c r="N208" s="1633"/>
      <c r="O208" s="1633"/>
      <c r="P208" s="919"/>
    </row>
    <row r="209" spans="1:16" x14ac:dyDescent="0.2">
      <c r="A209" s="1278"/>
      <c r="B209" s="1275"/>
      <c r="C209" s="1275"/>
      <c r="D209" s="1275"/>
      <c r="E209" s="1275"/>
      <c r="F209" s="2567"/>
      <c r="G209" s="1275"/>
      <c r="H209" s="1275"/>
      <c r="I209" s="1275"/>
      <c r="J209" s="1275"/>
      <c r="K209" s="1275"/>
      <c r="L209" s="1275"/>
      <c r="M209" s="1644"/>
      <c r="N209" s="1644"/>
      <c r="O209" s="1644"/>
      <c r="P209" s="1279"/>
    </row>
    <row r="210" spans="1:16" x14ac:dyDescent="0.2">
      <c r="A210" s="942" t="s">
        <v>4783</v>
      </c>
      <c r="B210" s="442"/>
      <c r="C210" s="442"/>
      <c r="D210" s="442"/>
      <c r="E210" s="442"/>
      <c r="F210" s="764"/>
      <c r="G210" s="442"/>
      <c r="H210" s="442"/>
      <c r="I210" s="442"/>
      <c r="J210" s="442"/>
      <c r="K210" s="442"/>
      <c r="L210" s="442"/>
      <c r="M210" s="1655"/>
      <c r="N210" s="1655"/>
      <c r="O210" s="1655"/>
      <c r="P210" s="918"/>
    </row>
    <row r="211" spans="1:16" s="779" customFormat="1" x14ac:dyDescent="0.2">
      <c r="A211" s="935" t="s">
        <v>2240</v>
      </c>
      <c r="B211" s="1532">
        <f t="shared" ref="B211:N211" si="213">B706</f>
        <v>2.3285618703883449E-2</v>
      </c>
      <c r="C211" s="1532">
        <f t="shared" si="213"/>
        <v>2.6816138439679153E-3</v>
      </c>
      <c r="D211" s="1532">
        <f t="shared" si="213"/>
        <v>4.6253410215790986E-3</v>
      </c>
      <c r="E211" s="1532">
        <f t="shared" si="213"/>
        <v>4.58017167566524E-3</v>
      </c>
      <c r="F211" s="2570">
        <f t="shared" si="213"/>
        <v>4.5352680317861695E-3</v>
      </c>
      <c r="G211" s="1532">
        <f t="shared" si="213"/>
        <v>4.4905855881232516E-3</v>
      </c>
      <c r="H211" s="1532">
        <f t="shared" si="213"/>
        <v>4.4467749970196107E-3</v>
      </c>
      <c r="I211" s="1532">
        <f t="shared" si="213"/>
        <v>4.4033918263169805E-3</v>
      </c>
      <c r="J211" s="1532">
        <f t="shared" si="213"/>
        <v>4.3604319060602291E-3</v>
      </c>
      <c r="K211" s="1532">
        <f t="shared" si="213"/>
        <v>4.3176825736478738E-3</v>
      </c>
      <c r="L211" s="1532">
        <f t="shared" si="213"/>
        <v>4.2753523523376006E-3</v>
      </c>
      <c r="M211" s="1633">
        <f t="shared" si="213"/>
        <v>4.2334371331970355E-3</v>
      </c>
      <c r="N211" s="1633">
        <f t="shared" si="213"/>
        <v>4.1919328475774568E-3</v>
      </c>
      <c r="O211" s="1633">
        <f t="shared" ref="O211" si="214">O706</f>
        <v>4.150835466718854E-3</v>
      </c>
      <c r="P211" s="919">
        <f t="shared" ref="P211" si="215">P706</f>
        <v>4.1101410013588647E-3</v>
      </c>
    </row>
    <row r="212" spans="1:16" s="779" customFormat="1" x14ac:dyDescent="0.2">
      <c r="A212" s="935"/>
      <c r="B212" s="1532"/>
      <c r="C212" s="1532"/>
      <c r="D212" s="1532"/>
      <c r="E212" s="1532"/>
      <c r="F212" s="2570"/>
      <c r="G212" s="1532"/>
      <c r="H212" s="1532"/>
      <c r="I212" s="1532"/>
      <c r="J212" s="1532"/>
      <c r="K212" s="1532"/>
      <c r="L212" s="1532"/>
      <c r="M212" s="1633"/>
      <c r="N212" s="1633"/>
      <c r="O212" s="1633"/>
      <c r="P212" s="919"/>
    </row>
    <row r="213" spans="1:16" x14ac:dyDescent="0.2">
      <c r="A213" s="1278"/>
      <c r="B213" s="1275"/>
      <c r="C213" s="1275"/>
      <c r="D213" s="1275"/>
      <c r="E213" s="1275"/>
      <c r="F213" s="2567"/>
      <c r="G213" s="1275"/>
      <c r="H213" s="1275"/>
      <c r="I213" s="1275"/>
      <c r="J213" s="1275"/>
      <c r="K213" s="1275"/>
      <c r="L213" s="1275"/>
      <c r="M213" s="1644"/>
      <c r="N213" s="1644"/>
      <c r="O213" s="1644"/>
      <c r="P213" s="1279"/>
    </row>
    <row r="214" spans="1:16" x14ac:dyDescent="0.2">
      <c r="A214" s="942" t="s">
        <v>4784</v>
      </c>
      <c r="B214" s="442"/>
      <c r="C214" s="442"/>
      <c r="D214" s="442"/>
      <c r="E214" s="442"/>
      <c r="F214" s="764"/>
      <c r="G214" s="442"/>
      <c r="H214" s="442"/>
      <c r="I214" s="442"/>
      <c r="J214" s="442"/>
      <c r="K214" s="442"/>
      <c r="L214" s="442"/>
      <c r="M214" s="1655"/>
      <c r="N214" s="1655"/>
      <c r="O214" s="1655"/>
      <c r="P214" s="918"/>
    </row>
    <row r="215" spans="1:16" s="779" customFormat="1" x14ac:dyDescent="0.2">
      <c r="A215" s="935" t="s">
        <v>2240</v>
      </c>
      <c r="B215" s="1532">
        <f t="shared" ref="B215:N215" si="216">B739</f>
        <v>1.0086768271562174</v>
      </c>
      <c r="C215" s="1532">
        <f t="shared" si="216"/>
        <v>0.77068477645727251</v>
      </c>
      <c r="D215" s="1532">
        <f t="shared" si="216"/>
        <v>0.98656171174547491</v>
      </c>
      <c r="E215" s="1532">
        <f t="shared" si="216"/>
        <v>1.0988267861850778</v>
      </c>
      <c r="F215" s="2570">
        <f t="shared" si="216"/>
        <v>1.0536566327031736</v>
      </c>
      <c r="G215" s="1532">
        <f t="shared" si="216"/>
        <v>1.0759779060946633</v>
      </c>
      <c r="H215" s="1532">
        <f t="shared" si="216"/>
        <v>1.059461092993506</v>
      </c>
      <c r="I215" s="1532">
        <f t="shared" si="216"/>
        <v>1.0827032553786635</v>
      </c>
      <c r="J215" s="1532">
        <f t="shared" si="216"/>
        <v>1.0575136886477505</v>
      </c>
      <c r="K215" s="1532">
        <f t="shared" si="216"/>
        <v>1.0808847525036018</v>
      </c>
      <c r="L215" s="1532">
        <f t="shared" si="216"/>
        <v>1.0568725464261091</v>
      </c>
      <c r="M215" s="1633">
        <f t="shared" si="216"/>
        <v>1.0796464892749416</v>
      </c>
      <c r="N215" s="1633">
        <f t="shared" si="216"/>
        <v>1.0561066225342253</v>
      </c>
      <c r="O215" s="1633">
        <f t="shared" ref="O215" si="217">O739</f>
        <v>1.0784380783328782</v>
      </c>
      <c r="P215" s="919">
        <f t="shared" ref="P215" si="218">P739</f>
        <v>1.0553184199092078</v>
      </c>
    </row>
    <row r="216" spans="1:16" s="779" customFormat="1" x14ac:dyDescent="0.2">
      <c r="A216" s="935" t="s">
        <v>4368</v>
      </c>
      <c r="B216" s="1801"/>
      <c r="C216" s="1887">
        <f>AVERAGE(B215:C215)</f>
        <v>0.88968080180674503</v>
      </c>
      <c r="D216" s="1887">
        <f>AVERAGE(B215:D215)</f>
        <v>0.92197443845298832</v>
      </c>
      <c r="E216" s="1888">
        <f>AVERAGE(C215:E215)</f>
        <v>0.95202442479594174</v>
      </c>
      <c r="F216" s="1888">
        <f>AVERAGE(D215:F215)</f>
        <v>1.0463483768779087</v>
      </c>
      <c r="G216" s="1888">
        <f>AVERAGE(E215:G215)</f>
        <v>1.0761537749943049</v>
      </c>
      <c r="H216" s="1888">
        <f t="shared" ref="H216" si="219">AVERAGE(F215:H215)</f>
        <v>1.063031877263781</v>
      </c>
      <c r="I216" s="1888">
        <f t="shared" ref="I216" si="220">AVERAGE(G215:I215)</f>
        <v>1.0727140848222776</v>
      </c>
      <c r="J216" s="1888">
        <f t="shared" ref="J216" si="221">AVERAGE(H215:J215)</f>
        <v>1.0665593456733067</v>
      </c>
      <c r="K216" s="1888">
        <f t="shared" ref="K216" si="222">AVERAGE(I215:K215)</f>
        <v>1.0737005655100054</v>
      </c>
      <c r="L216" s="1888">
        <f t="shared" ref="L216" si="223">AVERAGE(J215:L215)</f>
        <v>1.0650903291924871</v>
      </c>
      <c r="M216" s="1889">
        <f t="shared" ref="M216" si="224">AVERAGE(K215:M215)</f>
        <v>1.0724679294015509</v>
      </c>
      <c r="N216" s="1889">
        <f t="shared" ref="N216:P216" si="225">AVERAGE(L215:N215)</f>
        <v>1.064208552745092</v>
      </c>
      <c r="O216" s="1889">
        <f t="shared" si="225"/>
        <v>1.0713970633806815</v>
      </c>
      <c r="P216" s="1890">
        <f t="shared" si="225"/>
        <v>1.0632877069254372</v>
      </c>
    </row>
    <row r="217" spans="1:16" x14ac:dyDescent="0.2">
      <c r="A217" s="942"/>
      <c r="B217" s="1273"/>
      <c r="C217" s="1273"/>
      <c r="D217" s="1273"/>
      <c r="E217" s="1271"/>
      <c r="F217" s="1271"/>
      <c r="G217" s="1271"/>
      <c r="H217" s="1271"/>
      <c r="I217" s="1271"/>
      <c r="J217" s="1271"/>
      <c r="K217" s="1271"/>
      <c r="L217" s="1271"/>
      <c r="M217" s="1642"/>
      <c r="N217" s="1642"/>
      <c r="O217" s="1642"/>
      <c r="P217" s="1272"/>
    </row>
    <row r="218" spans="1:16" x14ac:dyDescent="0.2">
      <c r="A218" s="1278"/>
      <c r="B218" s="1275"/>
      <c r="C218" s="1275"/>
      <c r="D218" s="1275"/>
      <c r="E218" s="1275"/>
      <c r="F218" s="2567"/>
      <c r="G218" s="1275"/>
      <c r="H218" s="1275"/>
      <c r="I218" s="1275"/>
      <c r="J218" s="1275"/>
      <c r="K218" s="1275"/>
      <c r="L218" s="1275"/>
      <c r="M218" s="1644"/>
      <c r="N218" s="1644"/>
      <c r="O218" s="1644"/>
      <c r="P218" s="1279"/>
    </row>
    <row r="219" spans="1:16" s="4" customFormat="1" x14ac:dyDescent="0.2">
      <c r="A219" s="1269" t="s">
        <v>4797</v>
      </c>
      <c r="B219" s="946"/>
      <c r="C219" s="946"/>
      <c r="D219" s="946"/>
      <c r="E219" s="946"/>
      <c r="F219" s="2569"/>
      <c r="G219" s="946"/>
      <c r="H219" s="946"/>
      <c r="I219" s="946"/>
      <c r="J219" s="946"/>
      <c r="K219" s="946"/>
      <c r="L219" s="946"/>
      <c r="M219" s="1657"/>
      <c r="N219" s="1657"/>
      <c r="O219" s="1657"/>
      <c r="P219" s="939"/>
    </row>
    <row r="220" spans="1:16" s="779" customFormat="1" x14ac:dyDescent="0.2">
      <c r="A220" s="935" t="s">
        <v>2240</v>
      </c>
      <c r="B220" s="1558">
        <f t="shared" ref="B220:N220" si="226">B667</f>
        <v>1.1076273224043716</v>
      </c>
      <c r="C220" s="1558">
        <f t="shared" si="226"/>
        <v>1.0752248538768596</v>
      </c>
      <c r="D220" s="1558">
        <f t="shared" si="226"/>
        <v>0.97953645097714515</v>
      </c>
      <c r="E220" s="1558">
        <f t="shared" si="226"/>
        <v>0.97210897481145608</v>
      </c>
      <c r="F220" s="2572">
        <f t="shared" si="226"/>
        <v>0.96972853938951031</v>
      </c>
      <c r="G220" s="1558">
        <f t="shared" si="226"/>
        <v>0.91221648944652634</v>
      </c>
      <c r="H220" s="1558">
        <f t="shared" si="226"/>
        <v>0.89618708987924822</v>
      </c>
      <c r="I220" s="1558">
        <f t="shared" si="226"/>
        <v>0.90164117469531757</v>
      </c>
      <c r="J220" s="1558">
        <f t="shared" si="226"/>
        <v>0.88188688020058303</v>
      </c>
      <c r="K220" s="1558">
        <f t="shared" si="226"/>
        <v>0.88649877804843003</v>
      </c>
      <c r="L220" s="1558">
        <f t="shared" si="226"/>
        <v>0.86532051862230597</v>
      </c>
      <c r="M220" s="1651">
        <f t="shared" si="226"/>
        <v>0.86909489963500863</v>
      </c>
      <c r="N220" s="1651">
        <f t="shared" si="226"/>
        <v>0.8547233928286857</v>
      </c>
      <c r="O220" s="1651">
        <f t="shared" ref="O220" si="227">O667</f>
        <v>0.85434884085977092</v>
      </c>
      <c r="P220" s="1524">
        <f t="shared" ref="P220" si="228">P667</f>
        <v>0.85465308237540394</v>
      </c>
    </row>
    <row r="221" spans="1:16" s="779" customFormat="1" ht="13.5" thickBot="1" x14ac:dyDescent="0.25">
      <c r="A221" s="968"/>
      <c r="B221" s="969"/>
      <c r="C221" s="969"/>
      <c r="D221" s="969"/>
      <c r="E221" s="969"/>
      <c r="F221" s="969"/>
      <c r="G221" s="969"/>
      <c r="H221" s="969"/>
      <c r="I221" s="969"/>
      <c r="J221" s="969"/>
      <c r="K221" s="969"/>
      <c r="L221" s="969"/>
      <c r="M221" s="1636"/>
      <c r="N221" s="1636"/>
      <c r="O221" s="1636"/>
      <c r="P221" s="970"/>
    </row>
    <row r="222" spans="1:16" s="779" customFormat="1" ht="17.25" thickTop="1" thickBot="1" x14ac:dyDescent="0.3">
      <c r="A222" s="2853" t="s">
        <v>4860</v>
      </c>
      <c r="B222" s="2854"/>
      <c r="C222" s="2854"/>
      <c r="D222" s="2854"/>
      <c r="E222" s="2854"/>
      <c r="F222" s="2854"/>
      <c r="G222" s="2854"/>
      <c r="H222" s="2854"/>
      <c r="I222" s="2854"/>
      <c r="J222" s="2854"/>
      <c r="K222" s="2854"/>
      <c r="L222" s="2854"/>
      <c r="M222" s="2854"/>
      <c r="N222" s="2854"/>
      <c r="O222" s="2854"/>
      <c r="P222" s="2855"/>
    </row>
    <row r="223" spans="1:16" ht="13.5" thickBot="1" x14ac:dyDescent="0.25">
      <c r="A223" s="1677" t="str">
        <f t="shared" ref="A223:N223" si="229">A166</f>
        <v>Item</v>
      </c>
      <c r="B223" s="1682" t="str">
        <f t="shared" si="229"/>
        <v>2012/13</v>
      </c>
      <c r="C223" s="1682" t="str">
        <f t="shared" si="229"/>
        <v>2013/14</v>
      </c>
      <c r="D223" s="1682" t="str">
        <f t="shared" si="229"/>
        <v>2014/15</v>
      </c>
      <c r="E223" s="1683" t="str">
        <f t="shared" si="229"/>
        <v>2015/16</v>
      </c>
      <c r="F223" s="1683" t="str">
        <f t="shared" si="229"/>
        <v>2016/17</v>
      </c>
      <c r="G223" s="1683" t="str">
        <f t="shared" si="229"/>
        <v>2017/18</v>
      </c>
      <c r="H223" s="1683" t="str">
        <f t="shared" si="229"/>
        <v>2018/19</v>
      </c>
      <c r="I223" s="1683" t="str">
        <f t="shared" si="229"/>
        <v>2019/20</v>
      </c>
      <c r="J223" s="1683" t="str">
        <f t="shared" si="229"/>
        <v>2020/21</v>
      </c>
      <c r="K223" s="1683" t="str">
        <f t="shared" si="229"/>
        <v>2021/22</v>
      </c>
      <c r="L223" s="1683" t="str">
        <f t="shared" si="229"/>
        <v>2022/23</v>
      </c>
      <c r="M223" s="1684" t="str">
        <f t="shared" si="229"/>
        <v>2023/24</v>
      </c>
      <c r="N223" s="1684" t="str">
        <f t="shared" si="229"/>
        <v>2024/25</v>
      </c>
      <c r="O223" s="1684" t="str">
        <f t="shared" ref="O223" si="230">O166</f>
        <v>2025/26</v>
      </c>
      <c r="P223" s="1685" t="str">
        <f t="shared" ref="P223" si="231">P166</f>
        <v>2026/27</v>
      </c>
    </row>
    <row r="224" spans="1:16" x14ac:dyDescent="0.2">
      <c r="A224" s="942"/>
      <c r="B224" s="1273"/>
      <c r="C224" s="1273"/>
      <c r="D224" s="1273"/>
      <c r="E224" s="1271"/>
      <c r="F224" s="1271"/>
      <c r="G224" s="1271"/>
      <c r="H224" s="1271"/>
      <c r="I224" s="1271"/>
      <c r="J224" s="1271"/>
      <c r="K224" s="1271"/>
      <c r="L224" s="1271"/>
      <c r="M224" s="1642"/>
      <c r="N224" s="1642"/>
      <c r="O224" s="1642"/>
      <c r="P224" s="1272"/>
    </row>
    <row r="225" spans="1:16" x14ac:dyDescent="0.2">
      <c r="A225" s="1225" t="s">
        <v>4779</v>
      </c>
      <c r="B225" s="231"/>
      <c r="C225" s="231"/>
      <c r="D225" s="231"/>
      <c r="E225" s="231"/>
      <c r="F225" s="101"/>
      <c r="G225" s="231"/>
      <c r="H225" s="231"/>
      <c r="I225" s="231"/>
      <c r="J225" s="231"/>
      <c r="K225" s="231"/>
      <c r="L225" s="231"/>
      <c r="M225" s="971"/>
      <c r="N225" s="971"/>
      <c r="O225" s="971"/>
      <c r="P225" s="950"/>
    </row>
    <row r="226" spans="1:16" s="9" customFormat="1" x14ac:dyDescent="0.2">
      <c r="A226" s="935" t="s">
        <v>4337</v>
      </c>
      <c r="B226" s="1239">
        <f t="shared" ref="B226:N226" si="232">B475</f>
        <v>0.11635169762972454</v>
      </c>
      <c r="C226" s="1239">
        <f t="shared" si="232"/>
        <v>0.17662521741094619</v>
      </c>
      <c r="D226" s="1239">
        <f t="shared" si="232"/>
        <v>0.16351653382162862</v>
      </c>
      <c r="E226" s="1239">
        <f t="shared" si="232"/>
        <v>0.16308761300312408</v>
      </c>
      <c r="F226" s="1243">
        <f t="shared" si="232"/>
        <v>0.14726218027711824</v>
      </c>
      <c r="G226" s="1239">
        <f t="shared" si="232"/>
        <v>0.14671713060604463</v>
      </c>
      <c r="H226" s="1239">
        <f t="shared" si="232"/>
        <v>0.13626136582787512</v>
      </c>
      <c r="I226" s="1239">
        <f t="shared" si="232"/>
        <v>0.13019571082354017</v>
      </c>
      <c r="J226" s="1239">
        <f t="shared" si="232"/>
        <v>0.11043634024532971</v>
      </c>
      <c r="K226" s="1239">
        <f t="shared" si="232"/>
        <v>0.11410693012896878</v>
      </c>
      <c r="L226" s="1239">
        <f t="shared" si="232"/>
        <v>0.10530788393686755</v>
      </c>
      <c r="M226" s="1633">
        <f t="shared" si="232"/>
        <v>9.2882417678899223E-2</v>
      </c>
      <c r="N226" s="1633">
        <f t="shared" si="232"/>
        <v>8.7282852672255648E-2</v>
      </c>
      <c r="O226" s="1633">
        <f t="shared" ref="O226" si="233">O475</f>
        <v>7.7347363429676214E-2</v>
      </c>
      <c r="P226" s="919">
        <f t="shared" ref="P226" si="234">P475</f>
        <v>7.4000522020050391E-2</v>
      </c>
    </row>
    <row r="227" spans="1:16" s="779" customFormat="1" x14ac:dyDescent="0.2">
      <c r="A227" s="935" t="s">
        <v>4368</v>
      </c>
      <c r="B227" s="1539"/>
      <c r="C227" s="1548">
        <f>AVERAGE(B226:C226)</f>
        <v>0.14648845752033537</v>
      </c>
      <c r="D227" s="1548">
        <f>AVERAGE(B226:D226)</f>
        <v>0.15216448295409979</v>
      </c>
      <c r="E227" s="1549">
        <f>AVERAGE(C226:E226)</f>
        <v>0.16774312141189962</v>
      </c>
      <c r="F227" s="1549">
        <f>AVERAGE(D226:F226)</f>
        <v>0.15795544236729031</v>
      </c>
      <c r="G227" s="1549">
        <f>AVERAGE(E226:G226)</f>
        <v>0.15235564129542897</v>
      </c>
      <c r="H227" s="1549">
        <f t="shared" ref="H227" si="235">AVERAGE(F226:H226)</f>
        <v>0.14341355890367932</v>
      </c>
      <c r="I227" s="1549">
        <f t="shared" ref="I227" si="236">AVERAGE(G226:I226)</f>
        <v>0.13772473575248664</v>
      </c>
      <c r="J227" s="1549">
        <f t="shared" ref="J227" si="237">AVERAGE(H226:J226)</f>
        <v>0.12563113896558167</v>
      </c>
      <c r="K227" s="1549">
        <f t="shared" ref="K227" si="238">AVERAGE(I226:K226)</f>
        <v>0.11824632706594622</v>
      </c>
      <c r="L227" s="1549">
        <f t="shared" ref="L227" si="239">AVERAGE(J226:L226)</f>
        <v>0.1099503847703887</v>
      </c>
      <c r="M227" s="1646">
        <f t="shared" ref="M227" si="240">AVERAGE(K226:M226)</f>
        <v>0.10409907724824519</v>
      </c>
      <c r="N227" s="1646">
        <f t="shared" ref="N227:P227" si="241">AVERAGE(L226:N226)</f>
        <v>9.5157718096007482E-2</v>
      </c>
      <c r="O227" s="1646">
        <f t="shared" si="241"/>
        <v>8.5837544593610371E-2</v>
      </c>
      <c r="P227" s="1545">
        <f t="shared" si="241"/>
        <v>7.9543579373994075E-2</v>
      </c>
    </row>
    <row r="228" spans="1:16" s="779" customFormat="1" x14ac:dyDescent="0.2">
      <c r="A228" s="936"/>
      <c r="B228" s="777"/>
      <c r="C228" s="777"/>
      <c r="D228" s="777"/>
      <c r="E228" s="777"/>
      <c r="F228" s="777"/>
      <c r="G228" s="777"/>
      <c r="H228" s="777"/>
      <c r="I228" s="777"/>
      <c r="J228" s="777"/>
      <c r="K228" s="777"/>
      <c r="L228" s="777"/>
      <c r="M228" s="1654"/>
      <c r="N228" s="1654"/>
      <c r="O228" s="1654"/>
      <c r="P228" s="776"/>
    </row>
    <row r="229" spans="1:16" s="2" customFormat="1" x14ac:dyDescent="0.2">
      <c r="A229" s="935" t="s">
        <v>1676</v>
      </c>
      <c r="B229" s="1243">
        <f t="shared" ref="B229:N229" si="242">B487</f>
        <v>6.5301368533436863E-2</v>
      </c>
      <c r="C229" s="1243">
        <f t="shared" si="242"/>
        <v>0.10861442884018024</v>
      </c>
      <c r="D229" s="1243">
        <f t="shared" si="242"/>
        <v>0.10324127652842881</v>
      </c>
      <c r="E229" s="1243">
        <f t="shared" si="242"/>
        <v>0.10338203244813947</v>
      </c>
      <c r="F229" s="1243">
        <f t="shared" si="242"/>
        <v>9.0526158557078296E-2</v>
      </c>
      <c r="G229" s="1243">
        <f t="shared" si="242"/>
        <v>9.0279655658771468E-2</v>
      </c>
      <c r="H229" s="1243">
        <f t="shared" si="242"/>
        <v>8.3716144137000001E-2</v>
      </c>
      <c r="I229" s="1243">
        <f t="shared" si="242"/>
        <v>7.9809110722608628E-2</v>
      </c>
      <c r="J229" s="1243">
        <f t="shared" si="242"/>
        <v>7.0680929274846482E-2</v>
      </c>
      <c r="K229" s="1243">
        <f t="shared" si="242"/>
        <v>7.9931975692920779E-2</v>
      </c>
      <c r="L229" s="1243">
        <f t="shared" si="242"/>
        <v>6.8395892470653294E-2</v>
      </c>
      <c r="M229" s="1633">
        <f t="shared" si="242"/>
        <v>5.1967426308671724E-2</v>
      </c>
      <c r="N229" s="1633">
        <f t="shared" si="242"/>
        <v>4.5401581356637535E-2</v>
      </c>
      <c r="O229" s="1633">
        <f t="shared" ref="O229" si="243">O487</f>
        <v>3.2885472305468878E-2</v>
      </c>
      <c r="P229" s="919">
        <f t="shared" ref="P229" si="244">P487</f>
        <v>3.084693315877951E-2</v>
      </c>
    </row>
    <row r="230" spans="1:16" s="779" customFormat="1" x14ac:dyDescent="0.2">
      <c r="A230" s="935" t="s">
        <v>4368</v>
      </c>
      <c r="B230" s="1539"/>
      <c r="C230" s="1548">
        <f>AVERAGE(B229:C229)</f>
        <v>8.695789868680856E-2</v>
      </c>
      <c r="D230" s="1548">
        <f>AVERAGE(B229:D229)</f>
        <v>9.2385691300681971E-2</v>
      </c>
      <c r="E230" s="1549">
        <f>AVERAGE(C229:E229)</f>
        <v>0.10507924593891617</v>
      </c>
      <c r="F230" s="1549">
        <f>AVERAGE(D229:F229)</f>
        <v>9.9049822511215524E-2</v>
      </c>
      <c r="G230" s="1549">
        <f>AVERAGE(E229:G229)</f>
        <v>9.4729282221329744E-2</v>
      </c>
      <c r="H230" s="1549">
        <f t="shared" ref="H230" si="245">AVERAGE(F229:H229)</f>
        <v>8.8173986117616579E-2</v>
      </c>
      <c r="I230" s="1549">
        <f t="shared" ref="I230" si="246">AVERAGE(G229:I229)</f>
        <v>8.4601636839460023E-2</v>
      </c>
      <c r="J230" s="1549">
        <f t="shared" ref="J230" si="247">AVERAGE(H229:J229)</f>
        <v>7.8068728044818361E-2</v>
      </c>
      <c r="K230" s="1549">
        <f t="shared" ref="K230" si="248">AVERAGE(I229:K229)</f>
        <v>7.680733856345863E-2</v>
      </c>
      <c r="L230" s="1549">
        <f t="shared" ref="L230" si="249">AVERAGE(J229:L229)</f>
        <v>7.3002932479473523E-2</v>
      </c>
      <c r="M230" s="1646">
        <f t="shared" ref="M230" si="250">AVERAGE(K229:M229)</f>
        <v>6.676509815741527E-2</v>
      </c>
      <c r="N230" s="1646">
        <f t="shared" ref="N230:P230" si="251">AVERAGE(L229:N229)</f>
        <v>5.525496671198752E-2</v>
      </c>
      <c r="O230" s="1646">
        <f t="shared" si="251"/>
        <v>4.3418159990259379E-2</v>
      </c>
      <c r="P230" s="1545">
        <f t="shared" si="251"/>
        <v>3.6377995606961977E-2</v>
      </c>
    </row>
    <row r="231" spans="1:16" x14ac:dyDescent="0.2">
      <c r="A231" s="936"/>
      <c r="B231" s="947"/>
      <c r="C231" s="947"/>
      <c r="D231" s="947"/>
      <c r="E231" s="947"/>
      <c r="F231" s="1540"/>
      <c r="G231" s="947"/>
      <c r="H231" s="947"/>
      <c r="I231" s="947"/>
      <c r="J231" s="947"/>
      <c r="K231" s="947"/>
      <c r="L231" s="947"/>
      <c r="M231" s="1654"/>
      <c r="N231" s="1654"/>
      <c r="O231" s="1654"/>
      <c r="P231" s="776"/>
    </row>
    <row r="232" spans="1:16" s="9" customFormat="1" x14ac:dyDescent="0.2">
      <c r="A232" s="935" t="s">
        <v>1764</v>
      </c>
      <c r="B232" s="1535">
        <f t="shared" ref="B232:N232" si="252">B499</f>
        <v>0</v>
      </c>
      <c r="C232" s="1535">
        <f t="shared" si="252"/>
        <v>0</v>
      </c>
      <c r="D232" s="1535">
        <f t="shared" si="252"/>
        <v>0</v>
      </c>
      <c r="E232" s="1535">
        <f t="shared" si="252"/>
        <v>0</v>
      </c>
      <c r="F232" s="1537">
        <f t="shared" si="252"/>
        <v>0</v>
      </c>
      <c r="G232" s="1535">
        <f t="shared" si="252"/>
        <v>0</v>
      </c>
      <c r="H232" s="1535">
        <f t="shared" si="252"/>
        <v>0</v>
      </c>
      <c r="I232" s="1535">
        <f t="shared" si="252"/>
        <v>0</v>
      </c>
      <c r="J232" s="1535">
        <f t="shared" si="252"/>
        <v>0</v>
      </c>
      <c r="K232" s="1535">
        <f t="shared" si="252"/>
        <v>0</v>
      </c>
      <c r="L232" s="1535">
        <f t="shared" si="252"/>
        <v>0</v>
      </c>
      <c r="M232" s="1647">
        <f t="shared" si="252"/>
        <v>0</v>
      </c>
      <c r="N232" s="1647">
        <f t="shared" si="252"/>
        <v>0</v>
      </c>
      <c r="O232" s="1647">
        <f t="shared" ref="O232" si="253">O499</f>
        <v>0</v>
      </c>
      <c r="P232" s="1536">
        <f t="shared" ref="P232" si="254">P499</f>
        <v>0</v>
      </c>
    </row>
    <row r="233" spans="1:16" s="779" customFormat="1" x14ac:dyDescent="0.2">
      <c r="A233" s="935" t="s">
        <v>4368</v>
      </c>
      <c r="B233" s="1539"/>
      <c r="C233" s="1548">
        <f>AVERAGE(B232:C232)</f>
        <v>0</v>
      </c>
      <c r="D233" s="1548">
        <f>AVERAGE(B232:D232)</f>
        <v>0</v>
      </c>
      <c r="E233" s="1549">
        <f>AVERAGE(C232:E232)</f>
        <v>0</v>
      </c>
      <c r="F233" s="1549">
        <f>AVERAGE(D232:F232)</f>
        <v>0</v>
      </c>
      <c r="G233" s="1549">
        <f>AVERAGE(E232:G232)</f>
        <v>0</v>
      </c>
      <c r="H233" s="1549">
        <f t="shared" ref="H233" si="255">AVERAGE(F232:H232)</f>
        <v>0</v>
      </c>
      <c r="I233" s="1549">
        <f t="shared" ref="I233" si="256">AVERAGE(G232:I232)</f>
        <v>0</v>
      </c>
      <c r="J233" s="1549">
        <f t="shared" ref="J233" si="257">AVERAGE(H232:J232)</f>
        <v>0</v>
      </c>
      <c r="K233" s="1549">
        <f t="shared" ref="K233" si="258">AVERAGE(I232:K232)</f>
        <v>0</v>
      </c>
      <c r="L233" s="1549">
        <f t="shared" ref="L233" si="259">AVERAGE(J232:L232)</f>
        <v>0</v>
      </c>
      <c r="M233" s="1646">
        <f t="shared" ref="M233" si="260">AVERAGE(K232:M232)</f>
        <v>0</v>
      </c>
      <c r="N233" s="1646">
        <f t="shared" ref="N233:P233" si="261">AVERAGE(L232:N232)</f>
        <v>0</v>
      </c>
      <c r="O233" s="1646">
        <f t="shared" si="261"/>
        <v>0</v>
      </c>
      <c r="P233" s="1545">
        <f t="shared" si="261"/>
        <v>0</v>
      </c>
    </row>
    <row r="234" spans="1:16" x14ac:dyDescent="0.2">
      <c r="A234" s="936"/>
      <c r="B234" s="947"/>
      <c r="C234" s="947"/>
      <c r="D234" s="947"/>
      <c r="E234" s="947"/>
      <c r="F234" s="1540"/>
      <c r="G234" s="947"/>
      <c r="H234" s="947"/>
      <c r="I234" s="947"/>
      <c r="J234" s="947"/>
      <c r="K234" s="947"/>
      <c r="L234" s="947"/>
      <c r="M234" s="1654"/>
      <c r="N234" s="1654"/>
      <c r="O234" s="1654"/>
      <c r="P234" s="776"/>
    </row>
    <row r="235" spans="1:16" s="9" customFormat="1" x14ac:dyDescent="0.2">
      <c r="A235" s="935" t="s">
        <v>3354</v>
      </c>
      <c r="B235" s="1239">
        <f t="shared" ref="B235:N235" si="262">B511</f>
        <v>0.34013062409288825</v>
      </c>
      <c r="C235" s="1239">
        <f t="shared" si="262"/>
        <v>0.52270287119454162</v>
      </c>
      <c r="D235" s="1239">
        <f t="shared" si="262"/>
        <v>0.46846453278736633</v>
      </c>
      <c r="E235" s="1239">
        <f t="shared" si="262"/>
        <v>0.45566044657487348</v>
      </c>
      <c r="F235" s="1243">
        <f t="shared" si="262"/>
        <v>0.41796802195878208</v>
      </c>
      <c r="G235" s="1239">
        <f t="shared" si="262"/>
        <v>0.40496733467486284</v>
      </c>
      <c r="H235" s="1239">
        <f t="shared" si="262"/>
        <v>0.37694457883137128</v>
      </c>
      <c r="I235" s="1239">
        <f t="shared" si="262"/>
        <v>0.36343804765766002</v>
      </c>
      <c r="J235" s="1239">
        <f t="shared" si="262"/>
        <v>0.29699642191200926</v>
      </c>
      <c r="K235" s="1239">
        <f t="shared" si="262"/>
        <v>0.28888725490196077</v>
      </c>
      <c r="L235" s="1239">
        <f t="shared" si="262"/>
        <v>0.28034097774225919</v>
      </c>
      <c r="M235" s="1633">
        <f t="shared" si="262"/>
        <v>0.27249104149809272</v>
      </c>
      <c r="N235" s="1633">
        <f t="shared" si="262"/>
        <v>0.26394449968201078</v>
      </c>
      <c r="O235" s="1633">
        <f t="shared" ref="O235" si="263">O511</f>
        <v>0.25488398244058563</v>
      </c>
      <c r="P235" s="919">
        <f t="shared" ref="P235" si="264">P511</f>
        <v>0.24616342113397327</v>
      </c>
    </row>
    <row r="236" spans="1:16" s="779" customFormat="1" x14ac:dyDescent="0.2">
      <c r="A236" s="935" t="s">
        <v>4368</v>
      </c>
      <c r="B236" s="1539"/>
      <c r="C236" s="1548">
        <f>AVERAGE(B235:C235)</f>
        <v>0.43141674764371496</v>
      </c>
      <c r="D236" s="1548">
        <f>AVERAGE(B235:D235)</f>
        <v>0.44376600935826538</v>
      </c>
      <c r="E236" s="1549">
        <f>AVERAGE(C235:E235)</f>
        <v>0.48227595018559377</v>
      </c>
      <c r="F236" s="1549">
        <f>AVERAGE(D235:F235)</f>
        <v>0.44736433377367396</v>
      </c>
      <c r="G236" s="1549">
        <f>AVERAGE(E235:G235)</f>
        <v>0.42619860106950608</v>
      </c>
      <c r="H236" s="1549">
        <f t="shared" ref="H236" si="265">AVERAGE(F235:H235)</f>
        <v>0.39995997848833875</v>
      </c>
      <c r="I236" s="1549">
        <f t="shared" ref="I236" si="266">AVERAGE(G235:I235)</f>
        <v>0.38178332038796475</v>
      </c>
      <c r="J236" s="1549">
        <f t="shared" ref="J236" si="267">AVERAGE(H235:J235)</f>
        <v>0.34579301613368019</v>
      </c>
      <c r="K236" s="1549">
        <f t="shared" ref="K236" si="268">AVERAGE(I235:K235)</f>
        <v>0.31644057482387672</v>
      </c>
      <c r="L236" s="1549">
        <f t="shared" ref="L236" si="269">AVERAGE(J235:L235)</f>
        <v>0.28874155151874309</v>
      </c>
      <c r="M236" s="1646">
        <f t="shared" ref="M236" si="270">AVERAGE(K235:M235)</f>
        <v>0.28057309138077091</v>
      </c>
      <c r="N236" s="1646">
        <f t="shared" ref="N236:P236" si="271">AVERAGE(L235:N235)</f>
        <v>0.27225883964078762</v>
      </c>
      <c r="O236" s="1646">
        <f t="shared" si="271"/>
        <v>0.26377317454022969</v>
      </c>
      <c r="P236" s="1545">
        <f t="shared" si="271"/>
        <v>0.25499730108552321</v>
      </c>
    </row>
    <row r="237" spans="1:16" x14ac:dyDescent="0.2">
      <c r="A237" s="1278"/>
      <c r="B237" s="1275"/>
      <c r="C237" s="1275"/>
      <c r="D237" s="1275"/>
      <c r="E237" s="1275"/>
      <c r="F237" s="2567"/>
      <c r="G237" s="1275"/>
      <c r="H237" s="1275"/>
      <c r="I237" s="1275"/>
      <c r="J237" s="1275"/>
      <c r="K237" s="1275"/>
      <c r="L237" s="1275"/>
      <c r="M237" s="1644"/>
      <c r="N237" s="1644"/>
      <c r="O237" s="1644"/>
      <c r="P237" s="1279"/>
    </row>
    <row r="238" spans="1:16" x14ac:dyDescent="0.2">
      <c r="A238" s="942" t="s">
        <v>4348</v>
      </c>
      <c r="B238" s="442"/>
      <c r="C238" s="442"/>
      <c r="D238" s="442"/>
      <c r="E238" s="442"/>
      <c r="F238" s="764"/>
      <c r="G238" s="442"/>
      <c r="H238" s="442"/>
      <c r="I238" s="442"/>
      <c r="J238" s="442"/>
      <c r="K238" s="442"/>
      <c r="L238" s="442"/>
      <c r="M238" s="1655"/>
      <c r="N238" s="1655"/>
      <c r="O238" s="1655"/>
      <c r="P238" s="918"/>
    </row>
    <row r="239" spans="1:16" s="779" customFormat="1" x14ac:dyDescent="0.2">
      <c r="A239" s="935" t="s">
        <v>4337</v>
      </c>
      <c r="B239" s="1532">
        <f t="shared" ref="B239:M239" si="272">B588</f>
        <v>7.0699999999999999E-2</v>
      </c>
      <c r="C239" s="1532">
        <f t="shared" si="272"/>
        <v>5.6300000000000003E-2</v>
      </c>
      <c r="D239" s="1532">
        <f t="shared" si="272"/>
        <v>5.4100000000000002E-2</v>
      </c>
      <c r="E239" s="1532">
        <f t="shared" si="272"/>
        <v>5.33E-2</v>
      </c>
      <c r="F239" s="2570">
        <f t="shared" si="272"/>
        <v>4.8300000000000003E-2</v>
      </c>
      <c r="G239" s="1532">
        <f t="shared" si="272"/>
        <v>4.8399999999999999E-2</v>
      </c>
      <c r="H239" s="1532">
        <f t="shared" si="272"/>
        <v>4.6699999999999998E-2</v>
      </c>
      <c r="I239" s="1532">
        <f t="shared" si="272"/>
        <v>4.4600000000000001E-2</v>
      </c>
      <c r="J239" s="1532">
        <f t="shared" si="272"/>
        <v>4.3299999999999998E-2</v>
      </c>
      <c r="K239" s="1532">
        <f t="shared" si="272"/>
        <v>4.2099999999999999E-2</v>
      </c>
      <c r="L239" s="1532">
        <f t="shared" si="272"/>
        <v>4.0800000000000003E-2</v>
      </c>
      <c r="M239" s="1633">
        <f t="shared" si="272"/>
        <v>3.9699999999999999E-2</v>
      </c>
      <c r="N239" s="1633">
        <f t="shared" ref="N239:O239" si="273">N588</f>
        <v>3.8600000000000002E-2</v>
      </c>
      <c r="O239" s="1633">
        <f t="shared" si="273"/>
        <v>3.7499999999999999E-2</v>
      </c>
      <c r="P239" s="919">
        <f t="shared" ref="P239" si="274">P588</f>
        <v>3.6400000000000002E-2</v>
      </c>
    </row>
    <row r="240" spans="1:16" s="779" customFormat="1" x14ac:dyDescent="0.2">
      <c r="A240" s="935"/>
      <c r="B240" s="947"/>
      <c r="C240" s="947"/>
      <c r="D240" s="947"/>
      <c r="E240" s="947"/>
      <c r="F240" s="1540"/>
      <c r="G240" s="947"/>
      <c r="H240" s="947"/>
      <c r="I240" s="947"/>
      <c r="J240" s="947"/>
      <c r="K240" s="947"/>
      <c r="L240" s="947"/>
      <c r="M240" s="1523"/>
      <c r="N240" s="1651"/>
      <c r="O240" s="1651"/>
      <c r="P240" s="1524"/>
    </row>
    <row r="241" spans="1:16" s="779" customFormat="1" x14ac:dyDescent="0.2">
      <c r="A241" s="935" t="s">
        <v>2240</v>
      </c>
      <c r="B241" s="1532">
        <f t="shared" ref="B241:M241" si="275">B600</f>
        <v>6.2E-2</v>
      </c>
      <c r="C241" s="1532">
        <f t="shared" si="275"/>
        <v>5.5500000000000001E-2</v>
      </c>
      <c r="D241" s="1532">
        <f t="shared" si="275"/>
        <v>5.4300000000000001E-2</v>
      </c>
      <c r="E241" s="1532">
        <f t="shared" si="275"/>
        <v>5.1499999999999997E-2</v>
      </c>
      <c r="F241" s="2570">
        <f t="shared" si="275"/>
        <v>4.8500000000000001E-2</v>
      </c>
      <c r="G241" s="1532">
        <f t="shared" si="275"/>
        <v>4.9000000000000002E-2</v>
      </c>
      <c r="H241" s="1532">
        <f t="shared" si="275"/>
        <v>4.65E-2</v>
      </c>
      <c r="I241" s="1532">
        <f t="shared" si="275"/>
        <v>4.41E-2</v>
      </c>
      <c r="J241" s="1532">
        <f t="shared" si="275"/>
        <v>4.2900000000000001E-2</v>
      </c>
      <c r="K241" s="1532">
        <f t="shared" si="275"/>
        <v>4.1799999999999997E-2</v>
      </c>
      <c r="L241" s="1532">
        <f t="shared" si="275"/>
        <v>4.0599999999999997E-2</v>
      </c>
      <c r="M241" s="1633">
        <f t="shared" si="275"/>
        <v>3.95E-2</v>
      </c>
      <c r="N241" s="1633">
        <f t="shared" ref="N241:O241" si="276">N600</f>
        <v>3.8399999999999997E-2</v>
      </c>
      <c r="O241" s="1633">
        <f t="shared" si="276"/>
        <v>3.7400000000000003E-2</v>
      </c>
      <c r="P241" s="919">
        <f t="shared" ref="P241" si="277">P600</f>
        <v>3.6400000000000002E-2</v>
      </c>
    </row>
    <row r="242" spans="1:16" s="779" customFormat="1" x14ac:dyDescent="0.2">
      <c r="A242" s="935"/>
      <c r="B242" s="947"/>
      <c r="C242" s="947"/>
      <c r="D242" s="947"/>
      <c r="E242" s="947"/>
      <c r="F242" s="1540"/>
      <c r="G242" s="947"/>
      <c r="H242" s="947"/>
      <c r="I242" s="947"/>
      <c r="J242" s="947"/>
      <c r="K242" s="947"/>
      <c r="L242" s="947"/>
      <c r="M242" s="1523"/>
      <c r="N242" s="1651"/>
      <c r="O242" s="1651"/>
      <c r="P242" s="1524"/>
    </row>
    <row r="243" spans="1:16" s="779" customFormat="1" x14ac:dyDescent="0.2">
      <c r="A243" s="935" t="s">
        <v>1764</v>
      </c>
      <c r="B243" s="1532">
        <f t="shared" ref="B243:M243" si="278">B612</f>
        <v>0.1196</v>
      </c>
      <c r="C243" s="1532">
        <f t="shared" si="278"/>
        <v>0.1239</v>
      </c>
      <c r="D243" s="1532">
        <f t="shared" si="278"/>
        <v>0.1108</v>
      </c>
      <c r="E243" s="1532">
        <f t="shared" si="278"/>
        <v>0.1066</v>
      </c>
      <c r="F243" s="2570">
        <f t="shared" si="278"/>
        <v>0.1041</v>
      </c>
      <c r="G243" s="1532">
        <f t="shared" si="278"/>
        <v>0.1012</v>
      </c>
      <c r="H243" s="1532">
        <f t="shared" si="278"/>
        <v>9.8900000000000002E-2</v>
      </c>
      <c r="I243" s="1532">
        <f t="shared" si="278"/>
        <v>9.69E-2</v>
      </c>
      <c r="J243" s="1532">
        <f t="shared" si="278"/>
        <v>9.3100000000000002E-2</v>
      </c>
      <c r="K243" s="1532">
        <f t="shared" si="278"/>
        <v>8.9700000000000002E-2</v>
      </c>
      <c r="L243" s="1532">
        <f t="shared" si="278"/>
        <v>8.6400000000000005E-2</v>
      </c>
      <c r="M243" s="1633">
        <f t="shared" si="278"/>
        <v>8.3099999999999993E-2</v>
      </c>
      <c r="N243" s="1633">
        <f t="shared" ref="N243:O243" si="279">N612</f>
        <v>0.08</v>
      </c>
      <c r="O243" s="1633">
        <f t="shared" si="279"/>
        <v>7.6999999999999999E-2</v>
      </c>
      <c r="P243" s="919">
        <f t="shared" ref="P243" si="280">P612</f>
        <v>7.4099999999999999E-2</v>
      </c>
    </row>
    <row r="244" spans="1:16" s="779" customFormat="1" x14ac:dyDescent="0.2">
      <c r="A244" s="935"/>
      <c r="B244" s="947"/>
      <c r="C244" s="947"/>
      <c r="D244" s="947"/>
      <c r="E244" s="947"/>
      <c r="F244" s="1540"/>
      <c r="G244" s="947"/>
      <c r="H244" s="947"/>
      <c r="I244" s="947"/>
      <c r="J244" s="947"/>
      <c r="K244" s="947"/>
      <c r="L244" s="947"/>
      <c r="M244" s="1523"/>
      <c r="N244" s="1651"/>
      <c r="O244" s="1651"/>
      <c r="P244" s="1524"/>
    </row>
    <row r="245" spans="1:16" s="779" customFormat="1" x14ac:dyDescent="0.2">
      <c r="A245" s="935" t="s">
        <v>3354</v>
      </c>
      <c r="B245" s="1532">
        <f t="shared" ref="B245:M245" si="281">B624</f>
        <v>7.5899999999999995E-2</v>
      </c>
      <c r="C245" s="1532">
        <f t="shared" si="281"/>
        <v>4.0599999999999997E-2</v>
      </c>
      <c r="D245" s="1532">
        <f t="shared" si="281"/>
        <v>3.9199999999999999E-2</v>
      </c>
      <c r="E245" s="1532">
        <f t="shared" si="281"/>
        <v>4.36E-2</v>
      </c>
      <c r="F245" s="2570">
        <f t="shared" si="281"/>
        <v>3.49E-2</v>
      </c>
      <c r="G245" s="1532">
        <f t="shared" si="281"/>
        <v>3.5099999999999999E-2</v>
      </c>
      <c r="H245" s="1532">
        <f t="shared" si="281"/>
        <v>3.5099999999999999E-2</v>
      </c>
      <c r="I245" s="1532">
        <f t="shared" si="281"/>
        <v>3.3300000000000003E-2</v>
      </c>
      <c r="J245" s="1532">
        <f t="shared" si="281"/>
        <v>3.2399999999999998E-2</v>
      </c>
      <c r="K245" s="1532">
        <f t="shared" si="281"/>
        <v>3.15E-2</v>
      </c>
      <c r="L245" s="1532">
        <f t="shared" si="281"/>
        <v>3.0499999999999999E-2</v>
      </c>
      <c r="M245" s="1633">
        <f t="shared" si="281"/>
        <v>2.9700000000000001E-2</v>
      </c>
      <c r="N245" s="1633">
        <f t="shared" ref="N245:O245" si="282">N624</f>
        <v>2.8799999999999999E-2</v>
      </c>
      <c r="O245" s="1633">
        <f t="shared" si="282"/>
        <v>2.8000000000000001E-2</v>
      </c>
      <c r="P245" s="919">
        <f t="shared" ref="P245" si="283">P624</f>
        <v>2.7199999999999998E-2</v>
      </c>
    </row>
    <row r="246" spans="1:16" x14ac:dyDescent="0.2">
      <c r="A246" s="942"/>
      <c r="B246" s="1273"/>
      <c r="C246" s="1273"/>
      <c r="D246" s="1273"/>
      <c r="E246" s="1271"/>
      <c r="F246" s="1271"/>
      <c r="G246" s="1271"/>
      <c r="H246" s="1271"/>
      <c r="I246" s="1271"/>
      <c r="J246" s="1271"/>
      <c r="K246" s="1271"/>
      <c r="L246" s="1271"/>
      <c r="M246" s="1642"/>
      <c r="N246" s="1642"/>
      <c r="O246" s="1642"/>
      <c r="P246" s="1272"/>
    </row>
    <row r="247" spans="1:16" x14ac:dyDescent="0.2">
      <c r="A247" s="1278"/>
      <c r="B247" s="1275"/>
      <c r="C247" s="1275"/>
      <c r="D247" s="1275"/>
      <c r="E247" s="1275"/>
      <c r="F247" s="2567"/>
      <c r="G247" s="1275"/>
      <c r="H247" s="1275"/>
      <c r="I247" s="1275"/>
      <c r="J247" s="1275"/>
      <c r="K247" s="1275"/>
      <c r="L247" s="1275"/>
      <c r="M247" s="1644"/>
      <c r="N247" s="1644"/>
      <c r="O247" s="1644"/>
      <c r="P247" s="1279"/>
    </row>
    <row r="248" spans="1:16" x14ac:dyDescent="0.2">
      <c r="A248" s="1225" t="s">
        <v>4391</v>
      </c>
      <c r="B248" s="231"/>
      <c r="C248" s="231"/>
      <c r="D248" s="231"/>
      <c r="E248" s="231"/>
      <c r="F248" s="101"/>
      <c r="G248" s="231"/>
      <c r="H248" s="231"/>
      <c r="I248" s="231"/>
      <c r="J248" s="231"/>
      <c r="K248" s="231"/>
      <c r="L248" s="231"/>
      <c r="M248" s="971"/>
      <c r="N248" s="971"/>
      <c r="O248" s="971"/>
      <c r="P248" s="950"/>
    </row>
    <row r="249" spans="1:16" s="9" customFormat="1" x14ac:dyDescent="0.2">
      <c r="A249" s="935" t="s">
        <v>4337</v>
      </c>
      <c r="B249" s="1557">
        <f t="shared" ref="B249:N249" si="284">B530</f>
        <v>2.4290398708234999</v>
      </c>
      <c r="C249" s="1557">
        <f t="shared" si="284"/>
        <v>1.2515106464607717</v>
      </c>
      <c r="D249" s="1557">
        <f t="shared" si="284"/>
        <v>1.6695101566938662</v>
      </c>
      <c r="E249" s="1557">
        <f t="shared" si="284"/>
        <v>1.7300450070770848</v>
      </c>
      <c r="F249" s="1523">
        <f t="shared" si="284"/>
        <v>1.9312672974716096</v>
      </c>
      <c r="G249" s="1557">
        <f t="shared" si="284"/>
        <v>2.084381074744913</v>
      </c>
      <c r="H249" s="1557">
        <f t="shared" si="284"/>
        <v>2.2833866261291953</v>
      </c>
      <c r="I249" s="1557">
        <f t="shared" si="284"/>
        <v>2.3974589739312151</v>
      </c>
      <c r="J249" s="1557">
        <f t="shared" si="284"/>
        <v>2.8643529614011669</v>
      </c>
      <c r="K249" s="1557">
        <f t="shared" si="284"/>
        <v>2.7919373599251047</v>
      </c>
      <c r="L249" s="1557">
        <f t="shared" si="284"/>
        <v>3.0760936196725903</v>
      </c>
      <c r="M249" s="1651">
        <f t="shared" si="284"/>
        <v>3.5062155834734718</v>
      </c>
      <c r="N249" s="1651">
        <f t="shared" si="284"/>
        <v>3.7717957823113655</v>
      </c>
      <c r="O249" s="1651">
        <f t="shared" ref="O249" si="285">O530</f>
        <v>4.3240959952151901</v>
      </c>
      <c r="P249" s="1524">
        <f t="shared" ref="P249" si="286">P530</f>
        <v>4.5803961439975911</v>
      </c>
    </row>
    <row r="250" spans="1:16" s="779" customFormat="1" x14ac:dyDescent="0.2">
      <c r="A250" s="936"/>
      <c r="B250" s="1523"/>
      <c r="C250" s="1523"/>
      <c r="D250" s="1523"/>
      <c r="E250" s="1523"/>
      <c r="F250" s="1523"/>
      <c r="G250" s="1523"/>
      <c r="H250" s="1523"/>
      <c r="I250" s="1523"/>
      <c r="J250" s="1523"/>
      <c r="K250" s="1523"/>
      <c r="L250" s="1523"/>
      <c r="M250" s="1651"/>
      <c r="N250" s="1651"/>
      <c r="O250" s="1651"/>
      <c r="P250" s="1524"/>
    </row>
    <row r="251" spans="1:16" s="2" customFormat="1" x14ac:dyDescent="0.2">
      <c r="A251" s="935" t="s">
        <v>1676</v>
      </c>
      <c r="B251" s="1523">
        <f t="shared" ref="B251:N251" si="287">B546</f>
        <v>4.3897146254458974</v>
      </c>
      <c r="C251" s="1523">
        <f t="shared" si="287"/>
        <v>1.8704181100459196</v>
      </c>
      <c r="D251" s="1523">
        <f t="shared" si="287"/>
        <v>2.5453024193548379</v>
      </c>
      <c r="E251" s="1523">
        <f t="shared" si="287"/>
        <v>2.464904747033104</v>
      </c>
      <c r="F251" s="1523">
        <f t="shared" si="287"/>
        <v>2.8762272089761569</v>
      </c>
      <c r="G251" s="1523">
        <f t="shared" si="287"/>
        <v>3.0764987286126799</v>
      </c>
      <c r="H251" s="1523">
        <f t="shared" si="287"/>
        <v>3.4230812602900365</v>
      </c>
      <c r="I251" s="1523">
        <f t="shared" si="287"/>
        <v>3.6092124814264488</v>
      </c>
      <c r="J251" s="1523">
        <f t="shared" si="287"/>
        <v>4.0988587446190836</v>
      </c>
      <c r="K251" s="1523">
        <f t="shared" si="287"/>
        <v>3.6266074251292348</v>
      </c>
      <c r="L251" s="1523">
        <f t="shared" si="287"/>
        <v>4.3390181388012596</v>
      </c>
      <c r="M251" s="1651">
        <f t="shared" si="287"/>
        <v>5.6781702446330504</v>
      </c>
      <c r="N251" s="1651">
        <f t="shared" si="287"/>
        <v>6.520306000141014</v>
      </c>
      <c r="O251" s="1651">
        <f t="shared" ref="O251" si="288">O546</f>
        <v>9.0807185404061723</v>
      </c>
      <c r="P251" s="1524">
        <f t="shared" ref="P251" si="289">P546</f>
        <v>9.7334940921147783</v>
      </c>
    </row>
    <row r="252" spans="1:16" x14ac:dyDescent="0.2">
      <c r="A252" s="936"/>
      <c r="B252" s="1558"/>
      <c r="C252" s="1558"/>
      <c r="D252" s="1558"/>
      <c r="E252" s="1558"/>
      <c r="F252" s="2572"/>
      <c r="G252" s="1558"/>
      <c r="H252" s="1558"/>
      <c r="I252" s="1558"/>
      <c r="J252" s="1558"/>
      <c r="K252" s="1558"/>
      <c r="L252" s="1558"/>
      <c r="M252" s="1651"/>
      <c r="N252" s="1651"/>
      <c r="O252" s="1651"/>
      <c r="P252" s="1524"/>
    </row>
    <row r="253" spans="1:16" s="9" customFormat="1" x14ac:dyDescent="0.2">
      <c r="A253" s="935" t="s">
        <v>1764</v>
      </c>
      <c r="B253" s="1557">
        <f t="shared" ref="B253:N253" si="290">B560</f>
        <v>100</v>
      </c>
      <c r="C253" s="1557">
        <f t="shared" si="290"/>
        <v>100</v>
      </c>
      <c r="D253" s="1557">
        <f t="shared" si="290"/>
        <v>100</v>
      </c>
      <c r="E253" s="1557">
        <f t="shared" si="290"/>
        <v>100</v>
      </c>
      <c r="F253" s="1523">
        <f t="shared" si="290"/>
        <v>100</v>
      </c>
      <c r="G253" s="1557">
        <f t="shared" si="290"/>
        <v>100</v>
      </c>
      <c r="H253" s="1557">
        <f t="shared" si="290"/>
        <v>100</v>
      </c>
      <c r="I253" s="1557">
        <f t="shared" si="290"/>
        <v>100</v>
      </c>
      <c r="J253" s="1557">
        <f t="shared" si="290"/>
        <v>100</v>
      </c>
      <c r="K253" s="1557">
        <f t="shared" si="290"/>
        <v>100</v>
      </c>
      <c r="L253" s="1557">
        <f t="shared" si="290"/>
        <v>100</v>
      </c>
      <c r="M253" s="1651">
        <f t="shared" si="290"/>
        <v>100</v>
      </c>
      <c r="N253" s="1651">
        <f t="shared" si="290"/>
        <v>100</v>
      </c>
      <c r="O253" s="1651">
        <f t="shared" ref="O253" si="291">O560</f>
        <v>100</v>
      </c>
      <c r="P253" s="1524">
        <f t="shared" ref="P253" si="292">P560</f>
        <v>100</v>
      </c>
    </row>
    <row r="254" spans="1:16" x14ac:dyDescent="0.2">
      <c r="A254" s="936"/>
      <c r="B254" s="1558"/>
      <c r="C254" s="1558"/>
      <c r="D254" s="1558"/>
      <c r="E254" s="1558"/>
      <c r="F254" s="2572"/>
      <c r="G254" s="1558"/>
      <c r="H254" s="1558"/>
      <c r="I254" s="1558"/>
      <c r="J254" s="1558"/>
      <c r="K254" s="1558"/>
      <c r="L254" s="1558"/>
      <c r="M254" s="1651"/>
      <c r="N254" s="1651"/>
      <c r="O254" s="1651"/>
      <c r="P254" s="1524"/>
    </row>
    <row r="255" spans="1:16" s="9" customFormat="1" x14ac:dyDescent="0.2">
      <c r="A255" s="935" t="s">
        <v>3354</v>
      </c>
      <c r="B255" s="1557">
        <f t="shared" ref="B255:N255" si="293">B575</f>
        <v>1.2737358651589503</v>
      </c>
      <c r="C255" s="1557">
        <f t="shared" si="293"/>
        <v>0.69128014842300578</v>
      </c>
      <c r="D255" s="1557">
        <f t="shared" si="293"/>
        <v>0.85144821634862911</v>
      </c>
      <c r="E255" s="1557">
        <f t="shared" si="293"/>
        <v>0.97179507822773203</v>
      </c>
      <c r="F255" s="1523">
        <f t="shared" si="293"/>
        <v>1.0322005269914196</v>
      </c>
      <c r="G255" s="1557">
        <f t="shared" si="293"/>
        <v>1.1385065686474711</v>
      </c>
      <c r="H255" s="1557">
        <f t="shared" si="293"/>
        <v>1.2295395234088669</v>
      </c>
      <c r="I255" s="1557">
        <f t="shared" si="293"/>
        <v>1.2784678940019865</v>
      </c>
      <c r="J255" s="1557">
        <f t="shared" si="293"/>
        <v>1.5867340878624876</v>
      </c>
      <c r="K255" s="1557">
        <f t="shared" si="293"/>
        <v>1.6450036482106802</v>
      </c>
      <c r="L255" s="1557">
        <f t="shared" si="293"/>
        <v>1.7051397349532524</v>
      </c>
      <c r="M255" s="1651">
        <f t="shared" si="293"/>
        <v>1.7788335906877302</v>
      </c>
      <c r="N255" s="1651">
        <f t="shared" si="293"/>
        <v>1.8593317835508116</v>
      </c>
      <c r="O255" s="1651">
        <f t="shared" ref="O255" si="294">O575</f>
        <v>1.9663855564793917</v>
      </c>
      <c r="P255" s="1524">
        <f t="shared" ref="P255" si="295">P575</f>
        <v>2.0664992449052306</v>
      </c>
    </row>
    <row r="256" spans="1:16" s="779" customFormat="1" x14ac:dyDescent="0.2">
      <c r="A256" s="935"/>
      <c r="B256" s="1532"/>
      <c r="C256" s="1532"/>
      <c r="D256" s="1532"/>
      <c r="E256" s="1532"/>
      <c r="F256" s="2570"/>
      <c r="G256" s="1532"/>
      <c r="H256" s="1532"/>
      <c r="I256" s="1532"/>
      <c r="J256" s="1532"/>
      <c r="K256" s="1532"/>
      <c r="L256" s="1532"/>
      <c r="M256" s="1633"/>
      <c r="N256" s="1633"/>
      <c r="O256" s="1633"/>
      <c r="P256" s="919"/>
    </row>
    <row r="257" spans="1:16" x14ac:dyDescent="0.2">
      <c r="A257" s="1278"/>
      <c r="B257" s="1275"/>
      <c r="C257" s="1275"/>
      <c r="D257" s="1275"/>
      <c r="E257" s="1275"/>
      <c r="F257" s="2567"/>
      <c r="G257" s="1275"/>
      <c r="H257" s="1275"/>
      <c r="I257" s="1275"/>
      <c r="J257" s="1275"/>
      <c r="K257" s="1275"/>
      <c r="L257" s="1275"/>
      <c r="M257" s="1644"/>
      <c r="N257" s="1644"/>
      <c r="O257" s="1644"/>
      <c r="P257" s="1279"/>
    </row>
    <row r="258" spans="1:16" x14ac:dyDescent="0.2">
      <c r="A258" s="942" t="s">
        <v>5911</v>
      </c>
      <c r="B258" s="442"/>
      <c r="C258" s="442"/>
      <c r="D258" s="442"/>
      <c r="E258" s="442"/>
      <c r="F258" s="764"/>
      <c r="G258" s="442"/>
      <c r="H258" s="442"/>
      <c r="I258" s="442"/>
      <c r="J258" s="442"/>
      <c r="K258" s="442"/>
      <c r="L258" s="442"/>
      <c r="M258" s="1655"/>
      <c r="N258" s="1655"/>
      <c r="O258" s="1655"/>
      <c r="P258" s="918"/>
    </row>
    <row r="259" spans="1:16" s="779" customFormat="1" x14ac:dyDescent="0.2">
      <c r="A259" s="935" t="s">
        <v>4337</v>
      </c>
      <c r="B259" s="2071">
        <f t="shared" ref="B259:M259" si="296">B632</f>
        <v>0.15826933075837479</v>
      </c>
      <c r="C259" s="2071">
        <f t="shared" si="296"/>
        <v>9.584366428963248E-2</v>
      </c>
      <c r="D259" s="2071">
        <f t="shared" si="296"/>
        <v>9.7295699640527214E-2</v>
      </c>
      <c r="E259" s="2071">
        <f t="shared" si="296"/>
        <v>9.3455538221528869E-2</v>
      </c>
      <c r="F259" s="2573">
        <f t="shared" si="296"/>
        <v>6.6821310221769042E-2</v>
      </c>
      <c r="G259" s="2071">
        <f t="shared" si="296"/>
        <v>7.2295328980411855E-2</v>
      </c>
      <c r="H259" s="2071">
        <f t="shared" si="296"/>
        <v>6.5144536991670748E-2</v>
      </c>
      <c r="I259" s="2071">
        <f t="shared" si="296"/>
        <v>7.5951726610108725E-2</v>
      </c>
      <c r="J259" s="2071">
        <f t="shared" si="296"/>
        <v>7.0959319267979951E-2</v>
      </c>
      <c r="K259" s="2071">
        <f t="shared" si="296"/>
        <v>6.9070963318477896E-2</v>
      </c>
      <c r="L259" s="2071">
        <f t="shared" si="296"/>
        <v>7.652738882043239E-2</v>
      </c>
      <c r="M259" s="2072">
        <f t="shared" si="296"/>
        <v>8.4023720623764564E-2</v>
      </c>
      <c r="N259" s="2072">
        <f t="shared" ref="N259:O259" si="297">N632</f>
        <v>9.6010334804607605E-2</v>
      </c>
      <c r="O259" s="2072">
        <f t="shared" si="297"/>
        <v>0.11038733509234827</v>
      </c>
      <c r="P259" s="2073">
        <f t="shared" ref="P259" si="298">P632</f>
        <v>0.1206580444904294</v>
      </c>
    </row>
    <row r="260" spans="1:16" x14ac:dyDescent="0.2">
      <c r="A260" s="942"/>
      <c r="B260" s="2074"/>
      <c r="C260" s="2074"/>
      <c r="D260" s="2074"/>
      <c r="E260" s="2074"/>
      <c r="F260" s="2574"/>
      <c r="G260" s="2074"/>
      <c r="H260" s="2074"/>
      <c r="I260" s="2074"/>
      <c r="J260" s="2074"/>
      <c r="K260" s="2074"/>
      <c r="L260" s="2074"/>
      <c r="M260" s="2075"/>
      <c r="N260" s="2075"/>
      <c r="O260" s="2075"/>
      <c r="P260" s="2076"/>
    </row>
    <row r="261" spans="1:16" s="779" customFormat="1" x14ac:dyDescent="0.2">
      <c r="A261" s="935" t="s">
        <v>2240</v>
      </c>
      <c r="B261" s="2071">
        <f t="shared" ref="B261:M261" si="299">B638</f>
        <v>3.318555933885043E-2</v>
      </c>
      <c r="C261" s="2071">
        <f t="shared" si="299"/>
        <v>8.4938660977250072E-2</v>
      </c>
      <c r="D261" s="2071">
        <f t="shared" si="299"/>
        <v>0.10530121566861773</v>
      </c>
      <c r="E261" s="2071">
        <f t="shared" si="299"/>
        <v>9.6791382721477248E-2</v>
      </c>
      <c r="F261" s="2573">
        <f t="shared" si="299"/>
        <v>5.9482758620689663E-2</v>
      </c>
      <c r="G261" s="2071">
        <f t="shared" si="299"/>
        <v>7.3121019108280241E-2</v>
      </c>
      <c r="H261" s="2071">
        <f t="shared" si="299"/>
        <v>5.4929577464788729E-2</v>
      </c>
      <c r="I261" s="2071">
        <f t="shared" si="299"/>
        <v>6.7165083855324326E-2</v>
      </c>
      <c r="J261" s="2071">
        <f t="shared" si="299"/>
        <v>5.8426966292134834E-2</v>
      </c>
      <c r="K261" s="2071">
        <f t="shared" si="299"/>
        <v>5.8898550724637684E-2</v>
      </c>
      <c r="L261" s="2071">
        <f t="shared" si="299"/>
        <v>6.6830839174085999E-2</v>
      </c>
      <c r="M261" s="2072">
        <f t="shared" si="299"/>
        <v>7.0194986072423401E-2</v>
      </c>
      <c r="N261" s="2072">
        <f t="shared" ref="N261:O261" si="300">N638</f>
        <v>7.9300928454396513E-2</v>
      </c>
      <c r="O261" s="2072">
        <f t="shared" si="300"/>
        <v>8.6953417811886494E-2</v>
      </c>
      <c r="P261" s="2073">
        <f t="shared" ref="P261" si="301">P638</f>
        <v>9.1742477256822955E-2</v>
      </c>
    </row>
    <row r="262" spans="1:16" s="779" customFormat="1" x14ac:dyDescent="0.2">
      <c r="A262" s="935"/>
      <c r="B262" s="2071"/>
      <c r="C262" s="2071"/>
      <c r="D262" s="2071"/>
      <c r="E262" s="2071"/>
      <c r="F262" s="2573"/>
      <c r="G262" s="2071"/>
      <c r="H262" s="2071"/>
      <c r="I262" s="2071"/>
      <c r="J262" s="2071"/>
      <c r="K262" s="2071"/>
      <c r="L262" s="2071"/>
      <c r="M262" s="2072"/>
      <c r="N262" s="2072"/>
      <c r="O262" s="2072"/>
      <c r="P262" s="2073"/>
    </row>
    <row r="263" spans="1:16" s="779" customFormat="1" x14ac:dyDescent="0.2">
      <c r="A263" s="935" t="s">
        <v>1764</v>
      </c>
      <c r="B263" s="2071">
        <f t="shared" ref="B263:M263" si="302">B644</f>
        <v>3.2010759919300602</v>
      </c>
      <c r="C263" s="2071">
        <f t="shared" si="302"/>
        <v>12.774790656676952</v>
      </c>
      <c r="D263" s="2071">
        <f t="shared" si="302"/>
        <v>11.67144385026738</v>
      </c>
      <c r="E263" s="2071">
        <f t="shared" si="302"/>
        <v>12.056367432150314</v>
      </c>
      <c r="F263" s="2573">
        <f t="shared" si="302"/>
        <v>12.171779141104295</v>
      </c>
      <c r="G263" s="2071">
        <f t="shared" si="302"/>
        <v>12.048338368580058</v>
      </c>
      <c r="H263" s="2071">
        <f t="shared" si="302"/>
        <v>13.084479371316306</v>
      </c>
      <c r="I263" s="2071">
        <f t="shared" si="302"/>
        <v>12.896551724137931</v>
      </c>
      <c r="J263" s="2071">
        <f t="shared" si="302"/>
        <v>13.109243697478991</v>
      </c>
      <c r="K263" s="2071">
        <f t="shared" si="302"/>
        <v>11.154620311070449</v>
      </c>
      <c r="L263" s="2071">
        <f t="shared" si="302"/>
        <v>12.49506726457399</v>
      </c>
      <c r="M263" s="2072">
        <f t="shared" si="302"/>
        <v>11.936731107205624</v>
      </c>
      <c r="N263" s="2072">
        <f t="shared" ref="N263:O263" si="303">N644</f>
        <v>11.896640826873385</v>
      </c>
      <c r="O263" s="2072">
        <f t="shared" si="303"/>
        <v>14.045569620253165</v>
      </c>
      <c r="P263" s="2073">
        <f t="shared" ref="P263" si="304">P644</f>
        <v>13.766749379652605</v>
      </c>
    </row>
    <row r="264" spans="1:16" s="779" customFormat="1" x14ac:dyDescent="0.2">
      <c r="A264" s="935"/>
      <c r="B264" s="2071"/>
      <c r="C264" s="2071"/>
      <c r="D264" s="2071"/>
      <c r="E264" s="2071"/>
      <c r="F264" s="2573"/>
      <c r="G264" s="2071"/>
      <c r="H264" s="2071"/>
      <c r="I264" s="2071"/>
      <c r="J264" s="2071"/>
      <c r="K264" s="2071"/>
      <c r="L264" s="2071"/>
      <c r="M264" s="2072"/>
      <c r="N264" s="2072"/>
      <c r="O264" s="2072"/>
      <c r="P264" s="2073"/>
    </row>
    <row r="265" spans="1:16" s="779" customFormat="1" x14ac:dyDescent="0.2">
      <c r="A265" s="935" t="s">
        <v>3354</v>
      </c>
      <c r="B265" s="2071">
        <f t="shared" ref="B265:M265" si="305">B650</f>
        <v>9.4318568994889258</v>
      </c>
      <c r="C265" s="2071">
        <f t="shared" si="305"/>
        <v>10.456208077980987</v>
      </c>
      <c r="D265" s="2071">
        <f t="shared" si="305"/>
        <v>7.2089929742388765</v>
      </c>
      <c r="E265" s="2071">
        <f t="shared" si="305"/>
        <v>7.4556927297668034</v>
      </c>
      <c r="F265" s="2573">
        <f t="shared" si="305"/>
        <v>5.7929179740026893</v>
      </c>
      <c r="G265" s="2071">
        <f t="shared" si="305"/>
        <v>4.9324503311258283</v>
      </c>
      <c r="H265" s="2071">
        <f t="shared" si="305"/>
        <v>5.7467700258397931</v>
      </c>
      <c r="I265" s="2071">
        <f t="shared" si="305"/>
        <v>7.0810583788324237</v>
      </c>
      <c r="J265" s="2071">
        <f t="shared" si="305"/>
        <v>7.0446538303973778</v>
      </c>
      <c r="K265" s="2071">
        <f t="shared" si="305"/>
        <v>7.137349397590361</v>
      </c>
      <c r="L265" s="2071">
        <f t="shared" si="305"/>
        <v>7.5212598425196848</v>
      </c>
      <c r="M265" s="2072">
        <f t="shared" si="305"/>
        <v>9.6981860285604018</v>
      </c>
      <c r="N265" s="2072">
        <f t="shared" ref="N265:O265" si="306">N650</f>
        <v>12.036322360953463</v>
      </c>
      <c r="O265" s="2072">
        <f t="shared" si="306"/>
        <v>14.550445103857568</v>
      </c>
      <c r="P265" s="2073">
        <f t="shared" ref="P265" si="307">P650</f>
        <v>17.284363636363636</v>
      </c>
    </row>
    <row r="266" spans="1:16" s="779" customFormat="1" x14ac:dyDescent="0.2">
      <c r="A266" s="818"/>
      <c r="B266" s="1530"/>
      <c r="C266" s="1530"/>
      <c r="D266" s="1530"/>
      <c r="E266" s="1530"/>
      <c r="F266" s="2566"/>
      <c r="G266" s="1530"/>
      <c r="H266" s="1530"/>
      <c r="I266" s="1530"/>
      <c r="J266" s="1530"/>
      <c r="K266" s="1530"/>
      <c r="L266" s="1530"/>
      <c r="M266" s="1643"/>
      <c r="N266" s="1643"/>
      <c r="O266" s="1643"/>
      <c r="P266" s="1531"/>
    </row>
    <row r="267" spans="1:16" x14ac:dyDescent="0.2">
      <c r="A267" s="1274"/>
      <c r="B267" s="1275"/>
      <c r="C267" s="1275"/>
      <c r="D267" s="1275"/>
      <c r="E267" s="1276"/>
      <c r="F267" s="1276"/>
      <c r="G267" s="1276"/>
      <c r="H267" s="1276"/>
      <c r="I267" s="1276"/>
      <c r="J267" s="1276"/>
      <c r="K267" s="1276"/>
      <c r="L267" s="1276"/>
      <c r="M267" s="1649"/>
      <c r="N267" s="1649"/>
      <c r="O267" s="1649"/>
      <c r="P267" s="1277"/>
    </row>
    <row r="268" spans="1:16" x14ac:dyDescent="0.2">
      <c r="A268" s="942" t="s">
        <v>4339</v>
      </c>
      <c r="B268" s="442"/>
      <c r="C268" s="442"/>
      <c r="D268" s="442"/>
      <c r="E268" s="774"/>
      <c r="F268" s="774"/>
      <c r="G268" s="774"/>
      <c r="H268" s="774"/>
      <c r="I268" s="774"/>
      <c r="J268" s="774"/>
      <c r="K268" s="774"/>
      <c r="L268" s="774"/>
      <c r="M268" s="1650"/>
      <c r="N268" s="1650"/>
      <c r="O268" s="1650"/>
      <c r="P268" s="775"/>
    </row>
    <row r="269" spans="1:16" s="779" customFormat="1" x14ac:dyDescent="0.2">
      <c r="A269" s="935" t="s">
        <v>4337</v>
      </c>
      <c r="B269" s="1523">
        <f t="shared" ref="B269:N269" si="308">B415</f>
        <v>2.61</v>
      </c>
      <c r="C269" s="1523">
        <f t="shared" si="308"/>
        <v>1.97</v>
      </c>
      <c r="D269" s="1523">
        <f t="shared" si="308"/>
        <v>2.81</v>
      </c>
      <c r="E269" s="1523">
        <f t="shared" si="308"/>
        <v>2.84</v>
      </c>
      <c r="F269" s="1523">
        <f t="shared" si="308"/>
        <v>2.46</v>
      </c>
      <c r="G269" s="1523">
        <f t="shared" si="308"/>
        <v>2.7</v>
      </c>
      <c r="H269" s="1523">
        <f t="shared" si="308"/>
        <v>3.44</v>
      </c>
      <c r="I269" s="1523">
        <f t="shared" si="308"/>
        <v>4.1399999999999997</v>
      </c>
      <c r="J269" s="1523">
        <f t="shared" si="308"/>
        <v>3.92</v>
      </c>
      <c r="K269" s="1523">
        <f t="shared" si="308"/>
        <v>4.21</v>
      </c>
      <c r="L269" s="1523">
        <f t="shared" si="308"/>
        <v>4.9000000000000004</v>
      </c>
      <c r="M269" s="1651">
        <f t="shared" si="308"/>
        <v>4.99</v>
      </c>
      <c r="N269" s="1651">
        <f t="shared" si="308"/>
        <v>5.43</v>
      </c>
      <c r="O269" s="1651">
        <f t="shared" ref="O269" si="309">O415</f>
        <v>5.25</v>
      </c>
      <c r="P269" s="1524">
        <f t="shared" ref="P269" si="310">P415</f>
        <v>5.72</v>
      </c>
    </row>
    <row r="270" spans="1:16" s="779" customFormat="1" x14ac:dyDescent="0.2">
      <c r="A270" s="935"/>
      <c r="B270" s="1523"/>
      <c r="C270" s="1523"/>
      <c r="D270" s="1523"/>
      <c r="E270" s="1523"/>
      <c r="F270" s="1523"/>
      <c r="G270" s="1523"/>
      <c r="H270" s="1523"/>
      <c r="I270" s="1523"/>
      <c r="J270" s="1523"/>
      <c r="K270" s="1523"/>
      <c r="L270" s="1523"/>
      <c r="M270" s="1651"/>
      <c r="N270" s="1651"/>
      <c r="O270" s="1651"/>
      <c r="P270" s="1524"/>
    </row>
    <row r="271" spans="1:16" s="779" customFormat="1" x14ac:dyDescent="0.2">
      <c r="A271" s="935" t="s">
        <v>2240</v>
      </c>
      <c r="B271" s="1523">
        <f t="shared" ref="B271:N271" si="311">B431</f>
        <v>2.61</v>
      </c>
      <c r="C271" s="1523">
        <f t="shared" si="311"/>
        <v>1.97</v>
      </c>
      <c r="D271" s="1523">
        <f t="shared" si="311"/>
        <v>2.76</v>
      </c>
      <c r="E271" s="1523">
        <f t="shared" si="311"/>
        <v>3.05</v>
      </c>
      <c r="F271" s="1523">
        <f t="shared" si="311"/>
        <v>2.4900000000000002</v>
      </c>
      <c r="G271" s="1523">
        <f t="shared" si="311"/>
        <v>2.5499999999999998</v>
      </c>
      <c r="H271" s="1523">
        <f t="shared" si="311"/>
        <v>2.71</v>
      </c>
      <c r="I271" s="1523">
        <f t="shared" si="311"/>
        <v>2.68</v>
      </c>
      <c r="J271" s="1523">
        <f t="shared" si="311"/>
        <v>2.4500000000000002</v>
      </c>
      <c r="K271" s="1523">
        <f t="shared" si="311"/>
        <v>2.64</v>
      </c>
      <c r="L271" s="1523">
        <f t="shared" si="311"/>
        <v>2.92</v>
      </c>
      <c r="M271" s="1651">
        <f t="shared" si="311"/>
        <v>3.02</v>
      </c>
      <c r="N271" s="1651">
        <f t="shared" si="311"/>
        <v>3.36</v>
      </c>
      <c r="O271" s="1651">
        <f t="shared" ref="O271" si="312">O431</f>
        <v>3.31</v>
      </c>
      <c r="P271" s="1524">
        <f t="shared" ref="P271" si="313">P431</f>
        <v>3.93</v>
      </c>
    </row>
    <row r="272" spans="1:16" s="779" customFormat="1" x14ac:dyDescent="0.2">
      <c r="A272" s="935"/>
      <c r="B272" s="1525"/>
      <c r="C272" s="1525"/>
      <c r="D272" s="1525"/>
      <c r="E272" s="1526"/>
      <c r="F272" s="1526"/>
      <c r="G272" s="1526"/>
      <c r="H272" s="1526"/>
      <c r="I272" s="1526"/>
      <c r="J272" s="1526"/>
      <c r="K272" s="1526"/>
      <c r="L272" s="1526"/>
      <c r="M272" s="1652"/>
      <c r="N272" s="1652"/>
      <c r="O272" s="1652"/>
      <c r="P272" s="1527"/>
    </row>
    <row r="273" spans="1:16" s="779" customFormat="1" x14ac:dyDescent="0.2">
      <c r="A273" s="935" t="s">
        <v>1764</v>
      </c>
      <c r="B273" s="1523">
        <f t="shared" ref="B273:N273" si="314">B446</f>
        <v>30.67</v>
      </c>
      <c r="C273" s="1523">
        <f t="shared" si="314"/>
        <v>42.34</v>
      </c>
      <c r="D273" s="1523">
        <f t="shared" si="314"/>
        <v>40.76</v>
      </c>
      <c r="E273" s="1523">
        <f t="shared" si="314"/>
        <v>50.05</v>
      </c>
      <c r="F273" s="1523">
        <f t="shared" si="314"/>
        <v>64.64</v>
      </c>
      <c r="G273" s="1523">
        <f t="shared" si="314"/>
        <v>68.13</v>
      </c>
      <c r="H273" s="1523">
        <f t="shared" si="314"/>
        <v>91.91</v>
      </c>
      <c r="I273" s="1523">
        <f t="shared" si="314"/>
        <v>96.09</v>
      </c>
      <c r="J273" s="1523">
        <f t="shared" si="314"/>
        <v>86.02</v>
      </c>
      <c r="K273" s="1523">
        <f t="shared" si="314"/>
        <v>91.5</v>
      </c>
      <c r="L273" s="1523">
        <f t="shared" si="314"/>
        <v>112.05</v>
      </c>
      <c r="M273" s="1651">
        <f t="shared" si="314"/>
        <v>106.23</v>
      </c>
      <c r="N273" s="1651">
        <f t="shared" si="314"/>
        <v>102.77</v>
      </c>
      <c r="O273" s="1651">
        <f t="shared" ref="O273" si="315">O446</f>
        <v>96.96</v>
      </c>
      <c r="P273" s="1524">
        <f t="shared" ref="P273" si="316">P446</f>
        <v>67.349999999999994</v>
      </c>
    </row>
    <row r="274" spans="1:16" s="779" customFormat="1" x14ac:dyDescent="0.2">
      <c r="A274" s="944"/>
      <c r="B274" s="1528"/>
      <c r="C274" s="1528"/>
      <c r="D274" s="1528"/>
      <c r="E274" s="1528"/>
      <c r="F274" s="1528"/>
      <c r="G274" s="1528"/>
      <c r="H274" s="1528"/>
      <c r="I274" s="1528"/>
      <c r="J274" s="1528"/>
      <c r="K274" s="1528"/>
      <c r="L274" s="1528"/>
      <c r="M274" s="1653"/>
      <c r="N274" s="1653"/>
      <c r="O274" s="1653"/>
      <c r="P274" s="1529"/>
    </row>
    <row r="275" spans="1:16" s="779" customFormat="1" x14ac:dyDescent="0.2">
      <c r="A275" s="935" t="s">
        <v>3354</v>
      </c>
      <c r="B275" s="1523">
        <f t="shared" ref="B275:N275" si="317">B461</f>
        <v>4</v>
      </c>
      <c r="C275" s="1523">
        <f t="shared" si="317"/>
        <v>5.44</v>
      </c>
      <c r="D275" s="1523">
        <f t="shared" si="317"/>
        <v>3.08</v>
      </c>
      <c r="E275" s="1523">
        <f t="shared" si="317"/>
        <v>1.71</v>
      </c>
      <c r="F275" s="1523">
        <f t="shared" si="317"/>
        <v>1.96</v>
      </c>
      <c r="G275" s="1523">
        <f t="shared" si="317"/>
        <v>2.23</v>
      </c>
      <c r="H275" s="1523">
        <f t="shared" si="317"/>
        <v>2.96</v>
      </c>
      <c r="I275" s="1523">
        <f t="shared" si="317"/>
        <v>5.5</v>
      </c>
      <c r="J275" s="1523">
        <f t="shared" si="317"/>
        <v>5.61</v>
      </c>
      <c r="K275" s="1523">
        <f t="shared" si="317"/>
        <v>5.18</v>
      </c>
      <c r="L275" s="1523">
        <f t="shared" si="317"/>
        <v>4.96</v>
      </c>
      <c r="M275" s="1651">
        <f t="shared" si="317"/>
        <v>4.63</v>
      </c>
      <c r="N275" s="1651">
        <f t="shared" si="317"/>
        <v>4.3600000000000003</v>
      </c>
      <c r="O275" s="1651">
        <f t="shared" ref="O275" si="318">O461</f>
        <v>4.13</v>
      </c>
      <c r="P275" s="1524">
        <f t="shared" ref="P275" si="319">P461</f>
        <v>3.93</v>
      </c>
    </row>
    <row r="276" spans="1:16" s="779" customFormat="1" x14ac:dyDescent="0.2">
      <c r="A276" s="935"/>
      <c r="B276" s="1532"/>
      <c r="C276" s="1532"/>
      <c r="D276" s="1532"/>
      <c r="E276" s="1532"/>
      <c r="F276" s="2570"/>
      <c r="G276" s="1532"/>
      <c r="H276" s="1532"/>
      <c r="I276" s="1532"/>
      <c r="J276" s="1532"/>
      <c r="K276" s="1532"/>
      <c r="L276" s="1532"/>
      <c r="M276" s="1633"/>
      <c r="N276" s="1633"/>
      <c r="O276" s="1633"/>
      <c r="P276" s="919"/>
    </row>
    <row r="277" spans="1:16" x14ac:dyDescent="0.2">
      <c r="A277" s="1278"/>
      <c r="B277" s="1275"/>
      <c r="C277" s="1275"/>
      <c r="D277" s="1275"/>
      <c r="E277" s="1275"/>
      <c r="F277" s="2567"/>
      <c r="G277" s="1275"/>
      <c r="H277" s="1275"/>
      <c r="I277" s="1275"/>
      <c r="J277" s="1275"/>
      <c r="K277" s="1275"/>
      <c r="L277" s="1275"/>
      <c r="M277" s="1644"/>
      <c r="N277" s="1644"/>
      <c r="O277" s="1644"/>
      <c r="P277" s="1279"/>
    </row>
    <row r="278" spans="1:16" s="4" customFormat="1" x14ac:dyDescent="0.2">
      <c r="A278" s="942" t="s">
        <v>3473</v>
      </c>
      <c r="B278" s="790"/>
      <c r="C278" s="790"/>
      <c r="D278" s="790"/>
      <c r="E278" s="790"/>
      <c r="F278" s="790"/>
      <c r="G278" s="790"/>
      <c r="H278" s="790"/>
      <c r="I278" s="790"/>
      <c r="J278" s="790"/>
      <c r="K278" s="790"/>
      <c r="L278" s="790"/>
      <c r="M278" s="1658"/>
      <c r="N278" s="1658"/>
      <c r="O278" s="1658"/>
      <c r="P278" s="791"/>
    </row>
    <row r="279" spans="1:16" s="779" customFormat="1" x14ac:dyDescent="0.2">
      <c r="A279" s="935" t="s">
        <v>2240</v>
      </c>
      <c r="B279" s="949">
        <f t="shared" ref="B279:M279" si="320">B674</f>
        <v>3413</v>
      </c>
      <c r="C279" s="949">
        <f t="shared" si="320"/>
        <v>3034.8</v>
      </c>
      <c r="D279" s="949">
        <f t="shared" si="320"/>
        <v>3034.8</v>
      </c>
      <c r="E279" s="949">
        <f t="shared" si="320"/>
        <v>3034.8</v>
      </c>
      <c r="F279" s="949">
        <f t="shared" si="320"/>
        <v>3102.7</v>
      </c>
      <c r="G279" s="949">
        <f t="shared" si="320"/>
        <v>2957.5</v>
      </c>
      <c r="H279" s="949">
        <f t="shared" si="320"/>
        <v>2592.3000000000002</v>
      </c>
      <c r="I279" s="949">
        <f t="shared" si="320"/>
        <v>2166</v>
      </c>
      <c r="J279" s="949">
        <f t="shared" si="320"/>
        <v>1675.1</v>
      </c>
      <c r="K279" s="949">
        <f t="shared" si="320"/>
        <v>1311.1</v>
      </c>
      <c r="L279" s="949">
        <f t="shared" si="320"/>
        <v>1017.3</v>
      </c>
      <c r="M279" s="971">
        <f t="shared" si="320"/>
        <v>915.1</v>
      </c>
      <c r="N279" s="971">
        <f t="shared" ref="N279:O279" si="321">N674</f>
        <v>845.9</v>
      </c>
      <c r="O279" s="971">
        <f t="shared" si="321"/>
        <v>773.9</v>
      </c>
      <c r="P279" s="950">
        <f t="shared" ref="P279" si="322">P674</f>
        <v>850.6</v>
      </c>
    </row>
    <row r="280" spans="1:16" s="779" customFormat="1" x14ac:dyDescent="0.2">
      <c r="A280" s="935" t="s">
        <v>1764</v>
      </c>
      <c r="B280" s="949">
        <f t="shared" ref="B280:M280" si="323">B675</f>
        <v>2176</v>
      </c>
      <c r="C280" s="949">
        <f t="shared" si="323"/>
        <v>2916</v>
      </c>
      <c r="D280" s="949">
        <f t="shared" si="323"/>
        <v>3882.8</v>
      </c>
      <c r="E280" s="949">
        <f t="shared" si="323"/>
        <v>4343.8</v>
      </c>
      <c r="F280" s="949">
        <f t="shared" si="323"/>
        <v>4632.7</v>
      </c>
      <c r="G280" s="949">
        <f t="shared" si="323"/>
        <v>4682.2</v>
      </c>
      <c r="H280" s="949">
        <f t="shared" si="323"/>
        <v>5803.4</v>
      </c>
      <c r="I280" s="949">
        <f t="shared" si="323"/>
        <v>5922.7</v>
      </c>
      <c r="J280" s="949">
        <f t="shared" si="323"/>
        <v>6400.3</v>
      </c>
      <c r="K280" s="949">
        <f t="shared" si="323"/>
        <v>4859.7</v>
      </c>
      <c r="L280" s="949">
        <f t="shared" si="323"/>
        <v>6304.7</v>
      </c>
      <c r="M280" s="971">
        <f t="shared" si="323"/>
        <v>6013.1</v>
      </c>
      <c r="N280" s="971">
        <f t="shared" ref="N280:O280" si="324">N675</f>
        <v>6197.5</v>
      </c>
      <c r="O280" s="971">
        <f t="shared" si="324"/>
        <v>8040.3</v>
      </c>
      <c r="P280" s="950">
        <f t="shared" ref="P280" si="325">P675</f>
        <v>10393.200000000001</v>
      </c>
    </row>
    <row r="281" spans="1:16" s="779" customFormat="1" x14ac:dyDescent="0.2">
      <c r="A281" s="936" t="s">
        <v>3354</v>
      </c>
      <c r="B281" s="949">
        <f t="shared" ref="B281:M281" si="326">B676</f>
        <v>23817</v>
      </c>
      <c r="C281" s="949">
        <f t="shared" si="326"/>
        <v>15178</v>
      </c>
      <c r="D281" s="949">
        <f t="shared" si="326"/>
        <v>10514.3</v>
      </c>
      <c r="E281" s="949">
        <f t="shared" si="326"/>
        <v>8126.4</v>
      </c>
      <c r="F281" s="949">
        <f t="shared" si="326"/>
        <v>5299.3</v>
      </c>
      <c r="G281" s="949">
        <f t="shared" si="326"/>
        <v>3836.1</v>
      </c>
      <c r="H281" s="949">
        <f t="shared" si="326"/>
        <v>5642.2</v>
      </c>
      <c r="I281" s="949">
        <f t="shared" si="326"/>
        <v>2003.4</v>
      </c>
      <c r="J281" s="949">
        <f t="shared" si="326"/>
        <v>2283.4</v>
      </c>
      <c r="K281" s="949">
        <f t="shared" si="326"/>
        <v>2761.3</v>
      </c>
      <c r="L281" s="949">
        <f t="shared" si="326"/>
        <v>3862.1</v>
      </c>
      <c r="M281" s="971">
        <f t="shared" si="326"/>
        <v>8880.4</v>
      </c>
      <c r="N281" s="971">
        <f t="shared" ref="N281:O281" si="327">N676</f>
        <v>14449.1</v>
      </c>
      <c r="O281" s="971">
        <f t="shared" si="327"/>
        <v>20620.900000000001</v>
      </c>
      <c r="P281" s="950">
        <f t="shared" ref="P281" si="328">P676</f>
        <v>27538.1</v>
      </c>
    </row>
    <row r="282" spans="1:16" s="779" customFormat="1" ht="13.5" thickBot="1" x14ac:dyDescent="0.25">
      <c r="A282" s="968"/>
      <c r="B282" s="969"/>
      <c r="C282" s="969"/>
      <c r="D282" s="969"/>
      <c r="E282" s="969"/>
      <c r="F282" s="969"/>
      <c r="G282" s="969"/>
      <c r="H282" s="969"/>
      <c r="I282" s="969"/>
      <c r="J282" s="969"/>
      <c r="K282" s="969"/>
      <c r="L282" s="969"/>
      <c r="M282" s="1636"/>
      <c r="N282" s="1636"/>
      <c r="O282" s="1636"/>
      <c r="P282" s="970"/>
    </row>
    <row r="283" spans="1:16" s="780" customFormat="1" ht="17.25" thickTop="1" thickBot="1" x14ac:dyDescent="0.3">
      <c r="A283" s="2853" t="s">
        <v>5156</v>
      </c>
      <c r="B283" s="2854"/>
      <c r="C283" s="2854"/>
      <c r="D283" s="2854"/>
      <c r="E283" s="2854"/>
      <c r="F283" s="2854"/>
      <c r="G283" s="2854"/>
      <c r="H283" s="2854"/>
      <c r="I283" s="2854"/>
      <c r="J283" s="2854"/>
      <c r="K283" s="2854"/>
      <c r="L283" s="2854"/>
      <c r="M283" s="2854"/>
      <c r="N283" s="2854"/>
      <c r="O283" s="2854"/>
      <c r="P283" s="2855"/>
    </row>
    <row r="284" spans="1:16" s="779" customFormat="1" ht="13.5" thickBot="1" x14ac:dyDescent="0.25">
      <c r="A284" s="940" t="s">
        <v>232</v>
      </c>
      <c r="B284" s="793" t="str">
        <f t="shared" ref="B284:N284" si="329">B2</f>
        <v>2012/13</v>
      </c>
      <c r="C284" s="793" t="str">
        <f t="shared" si="329"/>
        <v>2013/14</v>
      </c>
      <c r="D284" s="793" t="str">
        <f t="shared" si="329"/>
        <v>2014/15</v>
      </c>
      <c r="E284" s="793" t="str">
        <f t="shared" si="329"/>
        <v>2015/16</v>
      </c>
      <c r="F284" s="793" t="str">
        <f t="shared" si="329"/>
        <v>2016/17</v>
      </c>
      <c r="G284" s="793" t="str">
        <f t="shared" si="329"/>
        <v>2017/18</v>
      </c>
      <c r="H284" s="793" t="str">
        <f t="shared" si="329"/>
        <v>2018/19</v>
      </c>
      <c r="I284" s="793" t="str">
        <f t="shared" si="329"/>
        <v>2019/20</v>
      </c>
      <c r="J284" s="793" t="str">
        <f t="shared" si="329"/>
        <v>2020/21</v>
      </c>
      <c r="K284" s="793" t="str">
        <f t="shared" si="329"/>
        <v>2021/22</v>
      </c>
      <c r="L284" s="793" t="str">
        <f t="shared" si="329"/>
        <v>2022/23</v>
      </c>
      <c r="M284" s="1641" t="str">
        <f t="shared" si="329"/>
        <v>2023/24</v>
      </c>
      <c r="N284" s="1641" t="str">
        <f t="shared" si="329"/>
        <v>2024/25</v>
      </c>
      <c r="O284" s="1641" t="str">
        <f t="shared" ref="O284" si="330">O2</f>
        <v>2025/26</v>
      </c>
      <c r="P284" s="794" t="str">
        <f t="shared" ref="P284" si="331">P2</f>
        <v>2026/27</v>
      </c>
    </row>
    <row r="285" spans="1:16" x14ac:dyDescent="0.2">
      <c r="A285" s="1534"/>
      <c r="B285" s="442"/>
      <c r="C285" s="442"/>
      <c r="D285" s="442"/>
      <c r="E285" s="774"/>
      <c r="F285" s="774"/>
      <c r="G285" s="774"/>
      <c r="H285" s="774"/>
      <c r="I285" s="774"/>
      <c r="J285" s="774"/>
      <c r="K285" s="774"/>
      <c r="L285" s="774"/>
      <c r="M285" s="1650"/>
      <c r="N285" s="1650"/>
      <c r="O285" s="1650"/>
      <c r="P285" s="775"/>
    </row>
    <row r="286" spans="1:16" x14ac:dyDescent="0.2">
      <c r="A286" s="754" t="s">
        <v>4340</v>
      </c>
      <c r="B286" s="442"/>
      <c r="C286" s="442"/>
      <c r="D286" s="442"/>
      <c r="E286" s="442"/>
      <c r="F286" s="764"/>
      <c r="G286" s="442"/>
      <c r="H286" s="442"/>
      <c r="I286" s="442"/>
      <c r="J286" s="442"/>
      <c r="K286" s="442"/>
      <c r="L286" s="442"/>
      <c r="M286" s="444"/>
      <c r="N286" s="444"/>
      <c r="O286" s="444"/>
      <c r="P286" s="760"/>
    </row>
    <row r="287" spans="1:16" s="779" customFormat="1" x14ac:dyDescent="0.2">
      <c r="A287" s="818" t="s">
        <v>4243</v>
      </c>
      <c r="B287" s="24">
        <f>114935-44</f>
        <v>114891</v>
      </c>
      <c r="C287" s="24">
        <f>LTFP!A16/1000</f>
        <v>84574.3</v>
      </c>
      <c r="D287" s="24">
        <f>LTFP!B16/1000</f>
        <v>89935.7</v>
      </c>
      <c r="E287" s="24">
        <f>LTFP!C16/1000</f>
        <v>92124.7</v>
      </c>
      <c r="F287" s="132">
        <f>LTFP!E16/1000</f>
        <v>97731.1</v>
      </c>
      <c r="G287" s="24">
        <f>LTFP!G16/1000</f>
        <v>102194.6</v>
      </c>
      <c r="H287" s="24">
        <f>LTFP!H16/1000</f>
        <v>97194.6</v>
      </c>
      <c r="I287" s="24">
        <f>LTFP!I16/1000</f>
        <v>98539.6</v>
      </c>
      <c r="J287" s="24">
        <f>LTFP!J16/1000</f>
        <v>106687</v>
      </c>
      <c r="K287" s="24">
        <f>LTFP!K16/1000</f>
        <v>110164.1</v>
      </c>
      <c r="L287" s="24">
        <f>LTFP!L16/1000</f>
        <v>102327.7</v>
      </c>
      <c r="M287" s="24">
        <f>LTFP!M16/1000</f>
        <v>105934.39999999999</v>
      </c>
      <c r="N287" s="26">
        <f>LTFP!N16/1000</f>
        <v>108152.8</v>
      </c>
      <c r="O287" s="26">
        <f>LTFP!O16/1000</f>
        <v>112045.4</v>
      </c>
      <c r="P287" s="36">
        <f>LTFP!P16/1000</f>
        <v>116101.1</v>
      </c>
    </row>
    <row r="288" spans="1:16" s="779" customFormat="1" x14ac:dyDescent="0.2">
      <c r="A288" s="818" t="s">
        <v>4364</v>
      </c>
      <c r="B288" s="24">
        <f t="shared" ref="B288:O288" si="332">B304+B320+B334</f>
        <v>0</v>
      </c>
      <c r="C288" s="24">
        <f t="shared" si="332"/>
        <v>-6</v>
      </c>
      <c r="D288" s="24">
        <f t="shared" si="332"/>
        <v>0</v>
      </c>
      <c r="E288" s="24">
        <f t="shared" si="332"/>
        <v>0</v>
      </c>
      <c r="F288" s="132">
        <f t="shared" si="332"/>
        <v>0</v>
      </c>
      <c r="G288" s="24">
        <f t="shared" si="332"/>
        <v>0</v>
      </c>
      <c r="H288" s="24">
        <f t="shared" si="332"/>
        <v>0</v>
      </c>
      <c r="I288" s="24">
        <f t="shared" si="332"/>
        <v>0</v>
      </c>
      <c r="J288" s="24">
        <f t="shared" si="332"/>
        <v>0</v>
      </c>
      <c r="K288" s="24">
        <f t="shared" si="332"/>
        <v>0</v>
      </c>
      <c r="L288" s="24">
        <f t="shared" si="332"/>
        <v>0</v>
      </c>
      <c r="M288" s="24">
        <f t="shared" si="332"/>
        <v>0</v>
      </c>
      <c r="N288" s="26">
        <f t="shared" si="332"/>
        <v>0</v>
      </c>
      <c r="O288" s="26">
        <f t="shared" si="332"/>
        <v>0</v>
      </c>
      <c r="P288" s="36">
        <f t="shared" ref="P288" si="333">P304+P320+P334</f>
        <v>0</v>
      </c>
    </row>
    <row r="289" spans="1:16" s="779" customFormat="1" x14ac:dyDescent="0.2">
      <c r="A289" s="818" t="s">
        <v>4359</v>
      </c>
      <c r="B289" s="24">
        <f t="shared" ref="B289:O289" si="334">B305+B321+B335</f>
        <v>-414</v>
      </c>
      <c r="C289" s="24">
        <f t="shared" si="334"/>
        <v>-333</v>
      </c>
      <c r="D289" s="24">
        <f t="shared" si="334"/>
        <v>0</v>
      </c>
      <c r="E289" s="24">
        <f t="shared" si="334"/>
        <v>0</v>
      </c>
      <c r="F289" s="132">
        <f t="shared" si="334"/>
        <v>0</v>
      </c>
      <c r="G289" s="24">
        <f t="shared" si="334"/>
        <v>0</v>
      </c>
      <c r="H289" s="24">
        <f t="shared" si="334"/>
        <v>0</v>
      </c>
      <c r="I289" s="24">
        <f t="shared" si="334"/>
        <v>0</v>
      </c>
      <c r="J289" s="24">
        <f t="shared" si="334"/>
        <v>0</v>
      </c>
      <c r="K289" s="24">
        <f t="shared" si="334"/>
        <v>0</v>
      </c>
      <c r="L289" s="24">
        <f t="shared" si="334"/>
        <v>0</v>
      </c>
      <c r="M289" s="24">
        <f t="shared" si="334"/>
        <v>0</v>
      </c>
      <c r="N289" s="26">
        <f t="shared" si="334"/>
        <v>0</v>
      </c>
      <c r="O289" s="26">
        <f t="shared" si="334"/>
        <v>0</v>
      </c>
      <c r="P289" s="36">
        <f t="shared" ref="P289" si="335">P305+P321+P335</f>
        <v>0</v>
      </c>
    </row>
    <row r="290" spans="1:16" s="779" customFormat="1" x14ac:dyDescent="0.2">
      <c r="A290" s="818" t="s">
        <v>4360</v>
      </c>
      <c r="B290" s="24">
        <v>-39549</v>
      </c>
      <c r="C290" s="24">
        <f>-LTFP!A13/1000</f>
        <v>-13395.7</v>
      </c>
      <c r="D290" s="24">
        <f>-LTFP!B13/1000</f>
        <v>-15663.7</v>
      </c>
      <c r="E290" s="24">
        <f>-LTFP!C13/1000</f>
        <v>-15014</v>
      </c>
      <c r="F290" s="132">
        <f>-LTFP!E13/1000</f>
        <v>-14553.6</v>
      </c>
      <c r="G290" s="24">
        <f>-LTFP!G13/1000</f>
        <v>-20499.3</v>
      </c>
      <c r="H290" s="24">
        <f>-LTFP!H13/1000</f>
        <v>-13192.8</v>
      </c>
      <c r="I290" s="24">
        <f>-LTFP!I13/1000</f>
        <v>-11063.6</v>
      </c>
      <c r="J290" s="24">
        <f>-LTFP!J13/1000</f>
        <v>-17142.2</v>
      </c>
      <c r="K290" s="24">
        <f>-LTFP!K13/1000</f>
        <v>-17490.5</v>
      </c>
      <c r="L290" s="24">
        <f>-LTFP!L13/1000</f>
        <v>-7834.3</v>
      </c>
      <c r="M290" s="24">
        <f>-LTFP!M13/1000</f>
        <v>-7982.6</v>
      </c>
      <c r="N290" s="26">
        <f>-LTFP!N13/1000</f>
        <v>-8134.3</v>
      </c>
      <c r="O290" s="26">
        <f>-LTFP!O13/1000</f>
        <v>-8287.5</v>
      </c>
      <c r="P290" s="36">
        <f>-LTFP!P13/1000</f>
        <v>-8442.4</v>
      </c>
    </row>
    <row r="291" spans="1:16" x14ac:dyDescent="0.2">
      <c r="A291" s="942" t="s">
        <v>2864</v>
      </c>
      <c r="B291" s="1541">
        <f t="shared" ref="B291:M291" si="336">SUM(B287:B290)</f>
        <v>74928</v>
      </c>
      <c r="C291" s="1541">
        <f t="shared" si="336"/>
        <v>70839.600000000006</v>
      </c>
      <c r="D291" s="1541">
        <f t="shared" si="336"/>
        <v>74272</v>
      </c>
      <c r="E291" s="1541">
        <f t="shared" si="336"/>
        <v>77110.7</v>
      </c>
      <c r="F291" s="1541">
        <f t="shared" si="336"/>
        <v>83177.5</v>
      </c>
      <c r="G291" s="1541">
        <f t="shared" si="336"/>
        <v>81695.3</v>
      </c>
      <c r="H291" s="1541">
        <f t="shared" si="336"/>
        <v>84001.8</v>
      </c>
      <c r="I291" s="1541">
        <f t="shared" si="336"/>
        <v>87476</v>
      </c>
      <c r="J291" s="1541">
        <f t="shared" si="336"/>
        <v>89544.8</v>
      </c>
      <c r="K291" s="1541">
        <f t="shared" si="336"/>
        <v>92673.600000000006</v>
      </c>
      <c r="L291" s="1541">
        <f t="shared" si="336"/>
        <v>94493.4</v>
      </c>
      <c r="M291" s="905">
        <f t="shared" si="336"/>
        <v>97951.799999999988</v>
      </c>
      <c r="N291" s="906">
        <f t="shared" ref="N291:O291" si="337">SUM(N287:N290)</f>
        <v>100018.5</v>
      </c>
      <c r="O291" s="906">
        <f t="shared" si="337"/>
        <v>103757.9</v>
      </c>
      <c r="P291" s="907">
        <f t="shared" ref="P291" si="338">SUM(P287:P290)</f>
        <v>107658.70000000001</v>
      </c>
    </row>
    <row r="292" spans="1:16" s="779" customFormat="1" x14ac:dyDescent="0.2">
      <c r="A292" s="935" t="s">
        <v>4249</v>
      </c>
      <c r="B292" s="132">
        <v>87727</v>
      </c>
      <c r="C292" s="132">
        <f>LTFP!A25/1000</f>
        <v>84731.7</v>
      </c>
      <c r="D292" s="132">
        <f>LTFP!B25/1000</f>
        <v>90672</v>
      </c>
      <c r="E292" s="132">
        <f>LTFP!C25/1000</f>
        <v>81315.199999999997</v>
      </c>
      <c r="F292" s="132">
        <f>LTFP!E25/1000</f>
        <v>82378.8</v>
      </c>
      <c r="G292" s="132">
        <f>LTFP!G25/1000</f>
        <v>80928.3</v>
      </c>
      <c r="H292" s="132">
        <f>LTFP!H25/1000</f>
        <v>81993</v>
      </c>
      <c r="I292" s="132">
        <f>LTFP!I25/1000</f>
        <v>84495.8</v>
      </c>
      <c r="J292" s="132">
        <f>LTFP!J25/1000</f>
        <v>85537.2</v>
      </c>
      <c r="K292" s="132">
        <f>LTFP!K25/1000</f>
        <v>87850.4</v>
      </c>
      <c r="L292" s="132">
        <f>LTFP!L25/1000</f>
        <v>88634.6</v>
      </c>
      <c r="M292" s="132">
        <f>LTFP!M25/1000</f>
        <v>90905.4</v>
      </c>
      <c r="N292" s="26">
        <f>LTFP!N25/1000</f>
        <v>92070.8</v>
      </c>
      <c r="O292" s="26">
        <f>LTFP!O25/1000</f>
        <v>94194.1</v>
      </c>
      <c r="P292" s="36">
        <f>LTFP!P25/1000</f>
        <v>96492.3</v>
      </c>
    </row>
    <row r="293" spans="1:16" s="779" customFormat="1" x14ac:dyDescent="0.2">
      <c r="A293" s="935" t="s">
        <v>2328</v>
      </c>
      <c r="B293" s="132">
        <f t="shared" ref="B293:O293" si="339">B311+B325+B339</f>
        <v>-4591.2</v>
      </c>
      <c r="C293" s="132">
        <f t="shared" si="339"/>
        <v>-2506</v>
      </c>
      <c r="D293" s="132">
        <f t="shared" si="339"/>
        <v>-12177</v>
      </c>
      <c r="E293" s="132">
        <f t="shared" si="339"/>
        <v>-607</v>
      </c>
      <c r="F293" s="132">
        <f t="shared" si="339"/>
        <v>-100</v>
      </c>
      <c r="G293" s="132">
        <f t="shared" si="339"/>
        <v>-100</v>
      </c>
      <c r="H293" s="132">
        <f t="shared" si="339"/>
        <v>-100</v>
      </c>
      <c r="I293" s="132">
        <f t="shared" si="339"/>
        <v>-100</v>
      </c>
      <c r="J293" s="132">
        <f t="shared" si="339"/>
        <v>-100</v>
      </c>
      <c r="K293" s="132">
        <f t="shared" si="339"/>
        <v>-100</v>
      </c>
      <c r="L293" s="132">
        <f t="shared" si="339"/>
        <v>-100</v>
      </c>
      <c r="M293" s="26">
        <f t="shared" si="339"/>
        <v>-100</v>
      </c>
      <c r="N293" s="26">
        <f t="shared" si="339"/>
        <v>-100</v>
      </c>
      <c r="O293" s="26">
        <f t="shared" si="339"/>
        <v>-100</v>
      </c>
      <c r="P293" s="36">
        <f t="shared" ref="P293" si="340">P311+P325+P339</f>
        <v>-100</v>
      </c>
    </row>
    <row r="294" spans="1:16" s="779" customFormat="1" x14ac:dyDescent="0.2">
      <c r="A294" s="935" t="s">
        <v>4361</v>
      </c>
      <c r="B294" s="132">
        <f t="shared" ref="B294:O294" si="341">B312+B326+B340</f>
        <v>-2745</v>
      </c>
      <c r="C294" s="132">
        <f t="shared" si="341"/>
        <v>0</v>
      </c>
      <c r="D294" s="132">
        <f t="shared" si="341"/>
        <v>0</v>
      </c>
      <c r="E294" s="132">
        <f t="shared" si="341"/>
        <v>-163</v>
      </c>
      <c r="F294" s="132">
        <f t="shared" si="341"/>
        <v>0</v>
      </c>
      <c r="G294" s="132">
        <f t="shared" si="341"/>
        <v>0</v>
      </c>
      <c r="H294" s="132">
        <f t="shared" si="341"/>
        <v>0</v>
      </c>
      <c r="I294" s="132">
        <f t="shared" si="341"/>
        <v>0</v>
      </c>
      <c r="J294" s="132">
        <f t="shared" si="341"/>
        <v>0</v>
      </c>
      <c r="K294" s="132">
        <f t="shared" si="341"/>
        <v>0</v>
      </c>
      <c r="L294" s="132">
        <f t="shared" si="341"/>
        <v>0</v>
      </c>
      <c r="M294" s="26">
        <f t="shared" si="341"/>
        <v>0</v>
      </c>
      <c r="N294" s="26">
        <f t="shared" si="341"/>
        <v>0</v>
      </c>
      <c r="O294" s="26">
        <f t="shared" si="341"/>
        <v>0</v>
      </c>
      <c r="P294" s="36">
        <f t="shared" ref="P294" si="342">P312+P326+P340</f>
        <v>0</v>
      </c>
    </row>
    <row r="295" spans="1:16" x14ac:dyDescent="0.2">
      <c r="A295" s="942" t="s">
        <v>4363</v>
      </c>
      <c r="B295" s="1541">
        <f t="shared" ref="B295:C295" si="343">SUM(B292:B294)</f>
        <v>80390.8</v>
      </c>
      <c r="C295" s="1541">
        <f t="shared" si="343"/>
        <v>82225.7</v>
      </c>
      <c r="D295" s="1541">
        <f>SUM(D292:D294)</f>
        <v>78495</v>
      </c>
      <c r="E295" s="1541">
        <f t="shared" ref="E295:N295" si="344">SUM(E292:E294)</f>
        <v>80545.2</v>
      </c>
      <c r="F295" s="1541">
        <f t="shared" si="344"/>
        <v>82278.8</v>
      </c>
      <c r="G295" s="1541">
        <f t="shared" si="344"/>
        <v>80828.3</v>
      </c>
      <c r="H295" s="1541">
        <f t="shared" si="344"/>
        <v>81893</v>
      </c>
      <c r="I295" s="1541">
        <f t="shared" si="344"/>
        <v>84395.8</v>
      </c>
      <c r="J295" s="1541">
        <f t="shared" si="344"/>
        <v>85437.2</v>
      </c>
      <c r="K295" s="1541">
        <f t="shared" si="344"/>
        <v>87750.399999999994</v>
      </c>
      <c r="L295" s="1541">
        <f t="shared" si="344"/>
        <v>88534.6</v>
      </c>
      <c r="M295" s="905">
        <f t="shared" si="344"/>
        <v>90805.4</v>
      </c>
      <c r="N295" s="906">
        <f t="shared" si="344"/>
        <v>91970.8</v>
      </c>
      <c r="O295" s="906">
        <f t="shared" ref="O295" si="345">SUM(O292:O294)</f>
        <v>94094.1</v>
      </c>
      <c r="P295" s="907">
        <f t="shared" ref="P295" si="346">SUM(P292:P294)</f>
        <v>96392.3</v>
      </c>
    </row>
    <row r="296" spans="1:16" s="1" customFormat="1" x14ac:dyDescent="0.2">
      <c r="A296" s="756" t="s">
        <v>4362</v>
      </c>
      <c r="B296" s="82">
        <f t="shared" ref="B296:M296" si="347">B291-B295</f>
        <v>-5462.8000000000029</v>
      </c>
      <c r="C296" s="82">
        <f t="shared" si="347"/>
        <v>-11386.099999999991</v>
      </c>
      <c r="D296" s="82">
        <f>D291-D295</f>
        <v>-4223</v>
      </c>
      <c r="E296" s="82">
        <f t="shared" si="347"/>
        <v>-3434.5</v>
      </c>
      <c r="F296" s="116">
        <f t="shared" si="347"/>
        <v>898.69999999999709</v>
      </c>
      <c r="G296" s="82">
        <f t="shared" si="347"/>
        <v>867</v>
      </c>
      <c r="H296" s="82">
        <f t="shared" si="347"/>
        <v>2108.8000000000029</v>
      </c>
      <c r="I296" s="82">
        <f t="shared" si="347"/>
        <v>3080.1999999999971</v>
      </c>
      <c r="J296" s="82">
        <f t="shared" si="347"/>
        <v>4107.6000000000058</v>
      </c>
      <c r="K296" s="82">
        <f t="shared" si="347"/>
        <v>4923.2000000000116</v>
      </c>
      <c r="L296" s="82">
        <f t="shared" si="347"/>
        <v>5958.7999999999884</v>
      </c>
      <c r="M296" s="83">
        <f t="shared" si="347"/>
        <v>7146.3999999999942</v>
      </c>
      <c r="N296" s="83">
        <f t="shared" ref="N296:O296" si="348">N291-N295</f>
        <v>8047.6999999999971</v>
      </c>
      <c r="O296" s="83">
        <f t="shared" si="348"/>
        <v>9663.7999999999884</v>
      </c>
      <c r="P296" s="72">
        <f t="shared" ref="P296" si="349">P291-P295</f>
        <v>11266.400000000009</v>
      </c>
    </row>
    <row r="297" spans="1:16" x14ac:dyDescent="0.2">
      <c r="A297" s="469" t="s">
        <v>204</v>
      </c>
      <c r="B297" s="231">
        <f t="shared" ref="B297:M297" si="350">B291</f>
        <v>74928</v>
      </c>
      <c r="C297" s="231">
        <f t="shared" si="350"/>
        <v>70839.600000000006</v>
      </c>
      <c r="D297" s="231">
        <f t="shared" si="350"/>
        <v>74272</v>
      </c>
      <c r="E297" s="231">
        <f t="shared" si="350"/>
        <v>77110.7</v>
      </c>
      <c r="F297" s="101">
        <f t="shared" si="350"/>
        <v>83177.5</v>
      </c>
      <c r="G297" s="231">
        <f t="shared" si="350"/>
        <v>81695.3</v>
      </c>
      <c r="H297" s="231">
        <f t="shared" si="350"/>
        <v>84001.8</v>
      </c>
      <c r="I297" s="231">
        <f t="shared" si="350"/>
        <v>87476</v>
      </c>
      <c r="J297" s="231">
        <f t="shared" si="350"/>
        <v>89544.8</v>
      </c>
      <c r="K297" s="231">
        <f t="shared" si="350"/>
        <v>92673.600000000006</v>
      </c>
      <c r="L297" s="231">
        <f t="shared" si="350"/>
        <v>94493.4</v>
      </c>
      <c r="M297" s="233">
        <f t="shared" si="350"/>
        <v>97951.799999999988</v>
      </c>
      <c r="N297" s="233">
        <f t="shared" ref="N297" si="351">N291</f>
        <v>100018.5</v>
      </c>
      <c r="O297" s="233">
        <f>O291</f>
        <v>103757.9</v>
      </c>
      <c r="P297" s="88">
        <f>P291</f>
        <v>107658.70000000001</v>
      </c>
    </row>
    <row r="298" spans="1:16" s="4" customFormat="1" x14ac:dyDescent="0.2">
      <c r="A298" s="756" t="s">
        <v>4341</v>
      </c>
      <c r="B298" s="1572">
        <f t="shared" ref="B298:M298" si="352">B296/B297</f>
        <v>-7.2907324364723511E-2</v>
      </c>
      <c r="C298" s="1572">
        <f t="shared" si="352"/>
        <v>-0.16073072123501531</v>
      </c>
      <c r="D298" s="1572">
        <f>D296/D297</f>
        <v>-5.6858573890564409E-2</v>
      </c>
      <c r="E298" s="1572">
        <f t="shared" si="352"/>
        <v>-4.4539862820594293E-2</v>
      </c>
      <c r="F298" s="2575">
        <f t="shared" si="352"/>
        <v>1.0804604610621828E-2</v>
      </c>
      <c r="G298" s="1572">
        <f t="shared" si="352"/>
        <v>1.0612605621131203E-2</v>
      </c>
      <c r="H298" s="1572">
        <f t="shared" si="352"/>
        <v>2.5104223957105716E-2</v>
      </c>
      <c r="I298" s="1572">
        <f t="shared" si="352"/>
        <v>3.5211943847455268E-2</v>
      </c>
      <c r="J298" s="1572">
        <f t="shared" si="352"/>
        <v>4.58720104350002E-2</v>
      </c>
      <c r="K298" s="1572">
        <f t="shared" si="352"/>
        <v>5.3124082802437925E-2</v>
      </c>
      <c r="L298" s="1572">
        <f t="shared" si="352"/>
        <v>6.3060488880704771E-2</v>
      </c>
      <c r="M298" s="1659">
        <f t="shared" si="352"/>
        <v>7.2958332567650566E-2</v>
      </c>
      <c r="N298" s="1659">
        <f t="shared" ref="N298:O298" si="353">N296/N297</f>
        <v>8.0462114508815838E-2</v>
      </c>
      <c r="O298" s="1659">
        <f t="shared" si="353"/>
        <v>9.313796828964338E-2</v>
      </c>
      <c r="P298" s="1573">
        <f t="shared" ref="P298" si="354">P296/P297</f>
        <v>0.10464922946310895</v>
      </c>
    </row>
    <row r="299" spans="1:16" x14ac:dyDescent="0.2">
      <c r="A299" s="942"/>
      <c r="B299" s="1273"/>
      <c r="C299" s="1273"/>
      <c r="D299" s="1273"/>
      <c r="E299" s="1271"/>
      <c r="F299" s="1271"/>
      <c r="G299" s="1271"/>
      <c r="H299" s="1271"/>
      <c r="I299" s="1271"/>
      <c r="J299" s="1271"/>
      <c r="K299" s="1271"/>
      <c r="L299" s="1271"/>
      <c r="M299" s="1642"/>
      <c r="N299" s="1642"/>
      <c r="O299" s="1642"/>
      <c r="P299" s="1272"/>
    </row>
    <row r="300" spans="1:16" x14ac:dyDescent="0.2">
      <c r="A300" s="1278"/>
      <c r="B300" s="1275"/>
      <c r="C300" s="1275"/>
      <c r="D300" s="1275"/>
      <c r="E300" s="1275"/>
      <c r="F300" s="2567"/>
      <c r="G300" s="1275"/>
      <c r="H300" s="1275"/>
      <c r="I300" s="1275"/>
      <c r="J300" s="1275"/>
      <c r="K300" s="1275"/>
      <c r="L300" s="1275"/>
      <c r="M300" s="1644"/>
      <c r="N300" s="1644"/>
      <c r="O300" s="1644"/>
      <c r="P300" s="1279"/>
    </row>
    <row r="301" spans="1:16" x14ac:dyDescent="0.2">
      <c r="A301" s="754" t="s">
        <v>4342</v>
      </c>
      <c r="B301" s="442"/>
      <c r="C301" s="442"/>
      <c r="D301" s="442"/>
      <c r="E301" s="442"/>
      <c r="F301" s="764"/>
      <c r="G301" s="442"/>
      <c r="H301" s="442"/>
      <c r="I301" s="442"/>
      <c r="J301" s="442"/>
      <c r="K301" s="442"/>
      <c r="L301" s="442"/>
      <c r="M301" s="444"/>
      <c r="N301" s="444"/>
      <c r="O301" s="444"/>
      <c r="P301" s="760"/>
    </row>
    <row r="302" spans="1:16" s="779" customFormat="1" x14ac:dyDescent="0.2">
      <c r="A302" s="818" t="s">
        <v>4243</v>
      </c>
      <c r="B302" s="947">
        <v>88988</v>
      </c>
      <c r="C302" s="24">
        <f>LTFP!A47/1000</f>
        <v>56961</v>
      </c>
      <c r="D302" s="24">
        <f>LTFP!B47/1000</f>
        <v>60810.8</v>
      </c>
      <c r="E302" s="24">
        <f>LTFP!C47/1000</f>
        <v>61040.1</v>
      </c>
      <c r="F302" s="132">
        <f>LTFP!E47/1000</f>
        <v>65146.7</v>
      </c>
      <c r="G302" s="24">
        <f>LTFP!G47/1000</f>
        <v>68881.3</v>
      </c>
      <c r="H302" s="24">
        <f>LTFP!H47/1000</f>
        <v>63080.800000000003</v>
      </c>
      <c r="I302" s="24">
        <f>LTFP!I47/1000</f>
        <v>63583.4</v>
      </c>
      <c r="J302" s="24">
        <f>LTFP!J47/1000</f>
        <v>70476.800000000003</v>
      </c>
      <c r="K302" s="24">
        <f>LTFP!K47/1000</f>
        <v>72792.3</v>
      </c>
      <c r="L302" s="24">
        <f>LTFP!L47/1000</f>
        <v>63834</v>
      </c>
      <c r="M302" s="24">
        <f>LTFP!M47/1000</f>
        <v>66266.5</v>
      </c>
      <c r="N302" s="26">
        <f>LTFP!N47/1000</f>
        <v>67166.8</v>
      </c>
      <c r="O302" s="26">
        <f>LTFP!O47/1000</f>
        <v>69616.100000000006</v>
      </c>
      <c r="P302" s="36">
        <f>LTFP!P47/1000</f>
        <v>72095.899999999994</v>
      </c>
    </row>
    <row r="303" spans="1:16" s="779" customFormat="1" x14ac:dyDescent="0.2">
      <c r="A303" s="2431" t="s">
        <v>6884</v>
      </c>
      <c r="B303" s="947"/>
      <c r="C303" s="24"/>
      <c r="D303" s="24"/>
      <c r="E303" s="2286">
        <v>2013</v>
      </c>
      <c r="F303" s="132">
        <v>0</v>
      </c>
      <c r="G303" s="24">
        <v>0</v>
      </c>
      <c r="H303" s="24">
        <v>0</v>
      </c>
      <c r="I303" s="24">
        <v>0</v>
      </c>
      <c r="J303" s="24">
        <v>0</v>
      </c>
      <c r="K303" s="24">
        <v>0</v>
      </c>
      <c r="L303" s="24">
        <v>0</v>
      </c>
      <c r="M303" s="24">
        <v>0</v>
      </c>
      <c r="N303" s="24">
        <v>0</v>
      </c>
      <c r="O303" s="24">
        <v>0</v>
      </c>
      <c r="P303" s="36">
        <v>0</v>
      </c>
    </row>
    <row r="304" spans="1:16" s="779" customFormat="1" x14ac:dyDescent="0.2">
      <c r="A304" s="818" t="s">
        <v>4364</v>
      </c>
      <c r="B304" s="24"/>
      <c r="C304" s="24"/>
      <c r="D304" s="24"/>
      <c r="E304" s="24"/>
      <c r="F304" s="132"/>
      <c r="G304" s="24"/>
      <c r="H304" s="24"/>
      <c r="I304" s="24"/>
      <c r="J304" s="24"/>
      <c r="K304" s="24"/>
      <c r="L304" s="24"/>
      <c r="M304" s="26"/>
      <c r="N304" s="26"/>
      <c r="O304" s="26"/>
      <c r="P304" s="36"/>
    </row>
    <row r="305" spans="1:16" s="779" customFormat="1" x14ac:dyDescent="0.2">
      <c r="A305" s="818" t="s">
        <v>4359</v>
      </c>
      <c r="B305" s="24">
        <f>-414</f>
        <v>-414</v>
      </c>
      <c r="C305" s="24">
        <v>-333</v>
      </c>
      <c r="D305" s="24"/>
      <c r="E305" s="132"/>
      <c r="F305" s="132"/>
      <c r="G305" s="24"/>
      <c r="H305" s="24"/>
      <c r="I305" s="24"/>
      <c r="J305" s="24"/>
      <c r="K305" s="24"/>
      <c r="L305" s="24"/>
      <c r="M305" s="26"/>
      <c r="N305" s="26"/>
      <c r="O305" s="26"/>
      <c r="P305" s="36"/>
    </row>
    <row r="306" spans="1:16" s="779" customFormat="1" x14ac:dyDescent="0.2">
      <c r="A306" s="818" t="s">
        <v>4360</v>
      </c>
      <c r="B306" s="24">
        <v>-37059</v>
      </c>
      <c r="C306" s="24">
        <f>-LTFP!A44/1000</f>
        <v>-10914</v>
      </c>
      <c r="D306" s="24">
        <f>-LTFP!B44/1000</f>
        <v>-12768</v>
      </c>
      <c r="E306" s="24">
        <f>-LTFP!C44/1000</f>
        <v>-11484.1</v>
      </c>
      <c r="F306" s="132">
        <f>-LTFP!E44/1000</f>
        <v>-11588.7</v>
      </c>
      <c r="G306" s="24">
        <f>-LTFP!G44/1000</f>
        <v>-17478.8</v>
      </c>
      <c r="H306" s="24">
        <f>-LTFP!H44/1000</f>
        <v>-10117.299999999999</v>
      </c>
      <c r="I306" s="24">
        <f>-LTFP!I44/1000</f>
        <v>-7928.1</v>
      </c>
      <c r="J306" s="24">
        <f>-LTFP!J44/1000</f>
        <v>-13946.7</v>
      </c>
      <c r="K306" s="24">
        <f>-LTFP!K44/1000</f>
        <v>-14225</v>
      </c>
      <c r="L306" s="24">
        <f>-LTFP!L44/1000</f>
        <v>-4508.8</v>
      </c>
      <c r="M306" s="24">
        <f>-LTFP!M44/1000</f>
        <v>-4597.1000000000004</v>
      </c>
      <c r="N306" s="26">
        <f>-LTFP!N44/1000</f>
        <v>-4688.8</v>
      </c>
      <c r="O306" s="26">
        <f>-LTFP!O44/1000</f>
        <v>-4782</v>
      </c>
      <c r="P306" s="36">
        <f>-LTFP!P44/1000</f>
        <v>-4876.8999999999996</v>
      </c>
    </row>
    <row r="307" spans="1:16" s="779" customFormat="1" x14ac:dyDescent="0.2">
      <c r="A307" s="2431" t="s">
        <v>6885</v>
      </c>
      <c r="B307" s="24"/>
      <c r="C307" s="24"/>
      <c r="D307" s="24"/>
      <c r="E307" s="24">
        <f t="shared" ref="E307:O307" si="355">-E303</f>
        <v>-2013</v>
      </c>
      <c r="F307" s="132">
        <f t="shared" si="355"/>
        <v>0</v>
      </c>
      <c r="G307" s="24">
        <f t="shared" si="355"/>
        <v>0</v>
      </c>
      <c r="H307" s="24">
        <f t="shared" si="355"/>
        <v>0</v>
      </c>
      <c r="I307" s="24">
        <f t="shared" si="355"/>
        <v>0</v>
      </c>
      <c r="J307" s="24">
        <f t="shared" si="355"/>
        <v>0</v>
      </c>
      <c r="K307" s="24">
        <f t="shared" si="355"/>
        <v>0</v>
      </c>
      <c r="L307" s="24">
        <f t="shared" si="355"/>
        <v>0</v>
      </c>
      <c r="M307" s="24">
        <f t="shared" si="355"/>
        <v>0</v>
      </c>
      <c r="N307" s="24">
        <f t="shared" si="355"/>
        <v>0</v>
      </c>
      <c r="O307" s="24">
        <f t="shared" si="355"/>
        <v>0</v>
      </c>
      <c r="P307" s="36">
        <f t="shared" ref="P307" si="356">-P303</f>
        <v>0</v>
      </c>
    </row>
    <row r="308" spans="1:16" x14ac:dyDescent="0.2">
      <c r="A308" s="942" t="s">
        <v>2864</v>
      </c>
      <c r="B308" s="979">
        <f>SUM(B302:B306)</f>
        <v>51515</v>
      </c>
      <c r="C308" s="1541">
        <f>SUM(C302:C306)</f>
        <v>45714</v>
      </c>
      <c r="D308" s="1541">
        <f>SUM(D302:D306)</f>
        <v>48042.8</v>
      </c>
      <c r="E308" s="1541">
        <f t="shared" ref="E308:O308" si="357">SUM(E302:E307)</f>
        <v>49556</v>
      </c>
      <c r="F308" s="1541">
        <f t="shared" si="357"/>
        <v>53558</v>
      </c>
      <c r="G308" s="1541">
        <f t="shared" si="357"/>
        <v>51402.5</v>
      </c>
      <c r="H308" s="1541">
        <f t="shared" si="357"/>
        <v>52963.5</v>
      </c>
      <c r="I308" s="1541">
        <f t="shared" si="357"/>
        <v>55655.3</v>
      </c>
      <c r="J308" s="1541">
        <f t="shared" si="357"/>
        <v>56530.100000000006</v>
      </c>
      <c r="K308" s="1541">
        <f t="shared" si="357"/>
        <v>58567.3</v>
      </c>
      <c r="L308" s="1541">
        <f t="shared" si="357"/>
        <v>59325.2</v>
      </c>
      <c r="M308" s="1541">
        <f t="shared" si="357"/>
        <v>61669.4</v>
      </c>
      <c r="N308" s="1541">
        <f t="shared" si="357"/>
        <v>62478</v>
      </c>
      <c r="O308" s="1541">
        <f t="shared" si="357"/>
        <v>64834.100000000006</v>
      </c>
      <c r="P308" s="2675">
        <f t="shared" ref="P308" si="358">SUM(P302:P307)</f>
        <v>67219</v>
      </c>
    </row>
    <row r="309" spans="1:16" s="779" customFormat="1" x14ac:dyDescent="0.2">
      <c r="A309" s="935" t="s">
        <v>4249</v>
      </c>
      <c r="B309" s="1540">
        <f>59257</f>
        <v>59257</v>
      </c>
      <c r="C309" s="132">
        <f>LTFP!A56/1000</f>
        <v>56596</v>
      </c>
      <c r="D309" s="132">
        <f>LTFP!B56/1000</f>
        <v>51127</v>
      </c>
      <c r="E309" s="132">
        <f>LTFP!C56/1000</f>
        <v>53160.9</v>
      </c>
      <c r="F309" s="132">
        <f>LTFP!E56/1000</f>
        <v>53921.5</v>
      </c>
      <c r="G309" s="132">
        <f>LTFP!G56/1000</f>
        <v>51937.4</v>
      </c>
      <c r="H309" s="132">
        <f>LTFP!H56/1000</f>
        <v>52776.3</v>
      </c>
      <c r="I309" s="132">
        <f>LTFP!I56/1000</f>
        <v>54917.8</v>
      </c>
      <c r="J309" s="132">
        <f>LTFP!J56/1000</f>
        <v>55559</v>
      </c>
      <c r="K309" s="132">
        <f>LTFP!K56/1000</f>
        <v>57470.3</v>
      </c>
      <c r="L309" s="132">
        <f>LTFP!L56/1000</f>
        <v>57728.3</v>
      </c>
      <c r="M309" s="132">
        <f>LTFP!M56/1000</f>
        <v>59662.9</v>
      </c>
      <c r="N309" s="26">
        <f>LTFP!N56/1000</f>
        <v>60381.5</v>
      </c>
      <c r="O309" s="26">
        <f>LTFP!O56/1000</f>
        <v>62107.4</v>
      </c>
      <c r="P309" s="36">
        <f>LTFP!P56/1000</f>
        <v>63933.4</v>
      </c>
    </row>
    <row r="310" spans="1:16" s="779" customFormat="1" x14ac:dyDescent="0.2">
      <c r="A310" s="2430" t="s">
        <v>6883</v>
      </c>
      <c r="B310" s="1540"/>
      <c r="C310" s="132"/>
      <c r="D310" s="132"/>
      <c r="E310" s="2286">
        <v>-100</v>
      </c>
      <c r="F310" s="132">
        <v>-100</v>
      </c>
      <c r="G310" s="132">
        <f>F310</f>
        <v>-100</v>
      </c>
      <c r="H310" s="132">
        <f t="shared" ref="H310:P310" si="359">G310</f>
        <v>-100</v>
      </c>
      <c r="I310" s="132">
        <f t="shared" si="359"/>
        <v>-100</v>
      </c>
      <c r="J310" s="132">
        <f t="shared" si="359"/>
        <v>-100</v>
      </c>
      <c r="K310" s="132">
        <f t="shared" si="359"/>
        <v>-100</v>
      </c>
      <c r="L310" s="132">
        <f t="shared" si="359"/>
        <v>-100</v>
      </c>
      <c r="M310" s="132">
        <f t="shared" si="359"/>
        <v>-100</v>
      </c>
      <c r="N310" s="132">
        <f t="shared" si="359"/>
        <v>-100</v>
      </c>
      <c r="O310" s="132">
        <f t="shared" si="359"/>
        <v>-100</v>
      </c>
      <c r="P310" s="131">
        <f t="shared" si="359"/>
        <v>-100</v>
      </c>
    </row>
    <row r="311" spans="1:16" s="779" customFormat="1" x14ac:dyDescent="0.2">
      <c r="A311" s="2430" t="s">
        <v>2328</v>
      </c>
      <c r="B311" s="132">
        <v>-3171</v>
      </c>
      <c r="C311" s="132">
        <v>-2617</v>
      </c>
      <c r="D311" s="132"/>
      <c r="E311" s="2286">
        <v>-569</v>
      </c>
      <c r="F311" s="132">
        <v>-100</v>
      </c>
      <c r="G311" s="132">
        <f>F311</f>
        <v>-100</v>
      </c>
      <c r="H311" s="132">
        <f t="shared" ref="H311:P311" si="360">G311</f>
        <v>-100</v>
      </c>
      <c r="I311" s="132">
        <f t="shared" si="360"/>
        <v>-100</v>
      </c>
      <c r="J311" s="132">
        <f t="shared" si="360"/>
        <v>-100</v>
      </c>
      <c r="K311" s="132">
        <f t="shared" si="360"/>
        <v>-100</v>
      </c>
      <c r="L311" s="132">
        <f t="shared" si="360"/>
        <v>-100</v>
      </c>
      <c r="M311" s="132">
        <f t="shared" si="360"/>
        <v>-100</v>
      </c>
      <c r="N311" s="132">
        <f t="shared" si="360"/>
        <v>-100</v>
      </c>
      <c r="O311" s="132">
        <f t="shared" si="360"/>
        <v>-100</v>
      </c>
      <c r="P311" s="131">
        <f t="shared" si="360"/>
        <v>-100</v>
      </c>
    </row>
    <row r="312" spans="1:16" s="779" customFormat="1" x14ac:dyDescent="0.2">
      <c r="A312" s="935" t="s">
        <v>4361</v>
      </c>
      <c r="B312" s="132">
        <v>-2745</v>
      </c>
      <c r="C312" s="132">
        <v>0</v>
      </c>
      <c r="D312" s="132"/>
      <c r="E312" s="2286">
        <v>-163</v>
      </c>
      <c r="F312" s="132">
        <v>0</v>
      </c>
      <c r="G312" s="132">
        <f>F312</f>
        <v>0</v>
      </c>
      <c r="H312" s="132">
        <f t="shared" ref="H312:P312" si="361">G312</f>
        <v>0</v>
      </c>
      <c r="I312" s="132">
        <f t="shared" si="361"/>
        <v>0</v>
      </c>
      <c r="J312" s="132">
        <f t="shared" si="361"/>
        <v>0</v>
      </c>
      <c r="K312" s="132">
        <f t="shared" si="361"/>
        <v>0</v>
      </c>
      <c r="L312" s="132">
        <f t="shared" si="361"/>
        <v>0</v>
      </c>
      <c r="M312" s="132">
        <f t="shared" si="361"/>
        <v>0</v>
      </c>
      <c r="N312" s="132">
        <f t="shared" si="361"/>
        <v>0</v>
      </c>
      <c r="O312" s="132">
        <f t="shared" si="361"/>
        <v>0</v>
      </c>
      <c r="P312" s="131">
        <f t="shared" si="361"/>
        <v>0</v>
      </c>
    </row>
    <row r="313" spans="1:16" x14ac:dyDescent="0.2">
      <c r="A313" s="942" t="s">
        <v>4363</v>
      </c>
      <c r="B313" s="979">
        <f t="shared" ref="B313:O313" si="362">SUM(B309:B312)</f>
        <v>53341</v>
      </c>
      <c r="C313" s="1541">
        <f t="shared" si="362"/>
        <v>53979</v>
      </c>
      <c r="D313" s="1541">
        <f t="shared" si="362"/>
        <v>51127</v>
      </c>
      <c r="E313" s="1541">
        <f t="shared" si="362"/>
        <v>52328.9</v>
      </c>
      <c r="F313" s="1541">
        <f t="shared" si="362"/>
        <v>53721.5</v>
      </c>
      <c r="G313" s="1541">
        <f t="shared" si="362"/>
        <v>51737.4</v>
      </c>
      <c r="H313" s="1541">
        <f t="shared" si="362"/>
        <v>52576.3</v>
      </c>
      <c r="I313" s="1541">
        <f t="shared" si="362"/>
        <v>54717.8</v>
      </c>
      <c r="J313" s="1541">
        <f t="shared" si="362"/>
        <v>55359</v>
      </c>
      <c r="K313" s="1541">
        <f t="shared" si="362"/>
        <v>57270.3</v>
      </c>
      <c r="L313" s="1541">
        <f t="shared" si="362"/>
        <v>57528.3</v>
      </c>
      <c r="M313" s="905">
        <f t="shared" si="362"/>
        <v>59462.9</v>
      </c>
      <c r="N313" s="906">
        <f t="shared" si="362"/>
        <v>60181.5</v>
      </c>
      <c r="O313" s="906">
        <f t="shared" si="362"/>
        <v>61907.4</v>
      </c>
      <c r="P313" s="907">
        <f t="shared" ref="P313" si="363">SUM(P309:P312)</f>
        <v>63733.4</v>
      </c>
    </row>
    <row r="314" spans="1:16" x14ac:dyDescent="0.2">
      <c r="A314" s="756" t="s">
        <v>4362</v>
      </c>
      <c r="B314" s="231">
        <f t="shared" ref="B314:O314" si="364">B308-B313</f>
        <v>-1826</v>
      </c>
      <c r="C314" s="231">
        <f t="shared" si="364"/>
        <v>-8265</v>
      </c>
      <c r="D314" s="231">
        <f t="shared" si="364"/>
        <v>-3084.1999999999971</v>
      </c>
      <c r="E314" s="231">
        <f t="shared" si="364"/>
        <v>-2772.9000000000015</v>
      </c>
      <c r="F314" s="101">
        <f t="shared" si="364"/>
        <v>-163.5</v>
      </c>
      <c r="G314" s="231">
        <f t="shared" si="364"/>
        <v>-334.90000000000146</v>
      </c>
      <c r="H314" s="231">
        <f t="shared" si="364"/>
        <v>387.19999999999709</v>
      </c>
      <c r="I314" s="231">
        <f t="shared" si="364"/>
        <v>937.5</v>
      </c>
      <c r="J314" s="231">
        <f t="shared" si="364"/>
        <v>1171.1000000000058</v>
      </c>
      <c r="K314" s="231">
        <f t="shared" si="364"/>
        <v>1297</v>
      </c>
      <c r="L314" s="231">
        <f t="shared" si="364"/>
        <v>1796.8999999999942</v>
      </c>
      <c r="M314" s="233">
        <f t="shared" si="364"/>
        <v>2206.5</v>
      </c>
      <c r="N314" s="233">
        <f t="shared" si="364"/>
        <v>2296.5</v>
      </c>
      <c r="O314" s="233">
        <f t="shared" si="364"/>
        <v>2926.7000000000044</v>
      </c>
      <c r="P314" s="88">
        <f t="shared" ref="P314" si="365">P308-P313</f>
        <v>3485.5999999999985</v>
      </c>
    </row>
    <row r="315" spans="1:16" x14ac:dyDescent="0.2">
      <c r="A315" s="469" t="s">
        <v>204</v>
      </c>
      <c r="B315" s="231">
        <f t="shared" ref="B315:O315" si="366">B308</f>
        <v>51515</v>
      </c>
      <c r="C315" s="231">
        <f t="shared" si="366"/>
        <v>45714</v>
      </c>
      <c r="D315" s="231">
        <f t="shared" si="366"/>
        <v>48042.8</v>
      </c>
      <c r="E315" s="231">
        <f t="shared" si="366"/>
        <v>49556</v>
      </c>
      <c r="F315" s="101">
        <f t="shared" si="366"/>
        <v>53558</v>
      </c>
      <c r="G315" s="231">
        <f t="shared" si="366"/>
        <v>51402.5</v>
      </c>
      <c r="H315" s="231">
        <f t="shared" si="366"/>
        <v>52963.5</v>
      </c>
      <c r="I315" s="231">
        <f t="shared" si="366"/>
        <v>55655.3</v>
      </c>
      <c r="J315" s="231">
        <f t="shared" si="366"/>
        <v>56530.100000000006</v>
      </c>
      <c r="K315" s="231">
        <f t="shared" si="366"/>
        <v>58567.3</v>
      </c>
      <c r="L315" s="231">
        <f t="shared" si="366"/>
        <v>59325.2</v>
      </c>
      <c r="M315" s="233">
        <f t="shared" si="366"/>
        <v>61669.4</v>
      </c>
      <c r="N315" s="233">
        <f t="shared" si="366"/>
        <v>62478</v>
      </c>
      <c r="O315" s="233">
        <f t="shared" si="366"/>
        <v>64834.100000000006</v>
      </c>
      <c r="P315" s="88">
        <f t="shared" ref="P315" si="367">P308</f>
        <v>67219</v>
      </c>
    </row>
    <row r="316" spans="1:16" s="4" customFormat="1" x14ac:dyDescent="0.2">
      <c r="A316" s="756" t="s">
        <v>4343</v>
      </c>
      <c r="B316" s="1826">
        <f t="shared" ref="B316:M316" si="368">B314/B315</f>
        <v>-3.5445986605842958E-2</v>
      </c>
      <c r="C316" s="1826">
        <f t="shared" si="368"/>
        <v>-0.18079800498753118</v>
      </c>
      <c r="D316" s="1826">
        <f t="shared" si="368"/>
        <v>-6.4196924409068518E-2</v>
      </c>
      <c r="E316" s="1826">
        <f>E314/E315</f>
        <v>-5.5954879328436548E-2</v>
      </c>
      <c r="F316" s="2576">
        <f t="shared" si="368"/>
        <v>-3.0527652264834386E-3</v>
      </c>
      <c r="G316" s="1826">
        <f t="shared" si="368"/>
        <v>-6.5152473128739161E-3</v>
      </c>
      <c r="H316" s="1826">
        <f t="shared" si="368"/>
        <v>7.3106951013433234E-3</v>
      </c>
      <c r="I316" s="1826">
        <f t="shared" si="368"/>
        <v>1.684475692341969E-2</v>
      </c>
      <c r="J316" s="1826">
        <f t="shared" si="368"/>
        <v>2.071639710525907E-2</v>
      </c>
      <c r="K316" s="1826">
        <f t="shared" si="368"/>
        <v>2.2145463424129163E-2</v>
      </c>
      <c r="L316" s="1826">
        <f t="shared" si="368"/>
        <v>3.028898343368407E-2</v>
      </c>
      <c r="M316" s="1827">
        <f t="shared" si="368"/>
        <v>3.5779495179132599E-2</v>
      </c>
      <c r="N316" s="1827">
        <f t="shared" ref="N316:O316" si="369">N314/N315</f>
        <v>3.6756938442331702E-2</v>
      </c>
      <c r="O316" s="1827">
        <f t="shared" si="369"/>
        <v>4.5141368508238786E-2</v>
      </c>
      <c r="P316" s="1828">
        <f t="shared" ref="P316" si="370">P314/P315</f>
        <v>5.1854386408604687E-2</v>
      </c>
    </row>
    <row r="317" spans="1:16" x14ac:dyDescent="0.2">
      <c r="A317" s="942"/>
      <c r="B317" s="1273"/>
      <c r="C317" s="1273"/>
      <c r="D317" s="1273"/>
      <c r="E317" s="1271"/>
      <c r="F317" s="1271"/>
      <c r="G317" s="1271"/>
      <c r="H317" s="1271"/>
      <c r="I317" s="1271"/>
      <c r="J317" s="1271"/>
      <c r="K317" s="1271"/>
      <c r="L317" s="1271"/>
      <c r="M317" s="1642"/>
      <c r="N317" s="1642"/>
      <c r="O317" s="1642"/>
      <c r="P317" s="1272"/>
    </row>
    <row r="318" spans="1:16" x14ac:dyDescent="0.2">
      <c r="A318" s="2590" t="s">
        <v>4344</v>
      </c>
      <c r="B318" s="1275"/>
      <c r="C318" s="1275"/>
      <c r="D318" s="1275"/>
      <c r="E318" s="1275"/>
      <c r="F318" s="2567"/>
      <c r="G318" s="1275"/>
      <c r="H318" s="1275"/>
      <c r="I318" s="1275"/>
      <c r="J318" s="1275"/>
      <c r="K318" s="1275"/>
      <c r="L318" s="1275"/>
      <c r="M318" s="2595"/>
      <c r="N318" s="2595"/>
      <c r="O318" s="2595"/>
      <c r="P318" s="2596"/>
    </row>
    <row r="319" spans="1:16" s="779" customFormat="1" x14ac:dyDescent="0.2">
      <c r="A319" s="818" t="s">
        <v>4243</v>
      </c>
      <c r="B319" s="24">
        <v>10641</v>
      </c>
      <c r="C319" s="24">
        <f>LTFP!A78/1000</f>
        <v>11327.6</v>
      </c>
      <c r="D319" s="24">
        <f>LTFP!B78/1000</f>
        <v>11656.8</v>
      </c>
      <c r="E319" s="24">
        <f>LTFP!C78/1000</f>
        <v>12259</v>
      </c>
      <c r="F319" s="132">
        <f>LTFP!E78/1000</f>
        <v>12833</v>
      </c>
      <c r="G319" s="24">
        <f>LTFP!G78/1000</f>
        <v>12929.3</v>
      </c>
      <c r="H319" s="24">
        <f>LTFP!H78/1000</f>
        <v>13235.3</v>
      </c>
      <c r="I319" s="24">
        <f>LTFP!I78/1000</f>
        <v>13525.2</v>
      </c>
      <c r="J319" s="24">
        <f>LTFP!J78/1000</f>
        <v>14011.7</v>
      </c>
      <c r="K319" s="24">
        <f>LTFP!K78/1000</f>
        <v>14566.3</v>
      </c>
      <c r="L319" s="24">
        <f>LTFP!L78/1000</f>
        <v>15026.3</v>
      </c>
      <c r="M319" s="24">
        <f>LTFP!M78/1000</f>
        <v>15554.9</v>
      </c>
      <c r="N319" s="26">
        <f>LTFP!N78/1000</f>
        <v>16132.7</v>
      </c>
      <c r="O319" s="26">
        <f>LTFP!O78/1000</f>
        <v>16742.3</v>
      </c>
      <c r="P319" s="36">
        <f>LTFP!P78/1000</f>
        <v>17459.099999999999</v>
      </c>
    </row>
    <row r="320" spans="1:16" s="779" customFormat="1" x14ac:dyDescent="0.2">
      <c r="A320" s="818" t="s">
        <v>4364</v>
      </c>
      <c r="B320" s="24"/>
      <c r="C320" s="24">
        <f>-LTFP!A77/1000</f>
        <v>0</v>
      </c>
      <c r="D320" s="24">
        <f>-LTFP!B77/1000</f>
        <v>0</v>
      </c>
      <c r="E320" s="24">
        <f>-LTFP!C77/1000</f>
        <v>0</v>
      </c>
      <c r="F320" s="132">
        <f>-LTFP!E77/1000</f>
        <v>0</v>
      </c>
      <c r="G320" s="24">
        <f>-LTFP!G77/1000</f>
        <v>0</v>
      </c>
      <c r="H320" s="24">
        <f>-LTFP!H77/1000</f>
        <v>0</v>
      </c>
      <c r="I320" s="24">
        <f>-LTFP!I77/1000</f>
        <v>0</v>
      </c>
      <c r="J320" s="24">
        <f>-LTFP!J77/1000</f>
        <v>0</v>
      </c>
      <c r="K320" s="24">
        <f>-LTFP!K77/1000</f>
        <v>0</v>
      </c>
      <c r="L320" s="24">
        <f>-LTFP!L77/1000</f>
        <v>0</v>
      </c>
      <c r="M320" s="24">
        <f>-LTFP!M77/1000</f>
        <v>0</v>
      </c>
      <c r="N320" s="26">
        <f>-LTFP!N77/1000</f>
        <v>0</v>
      </c>
      <c r="O320" s="26">
        <f>-LTFP!O77/1000</f>
        <v>0</v>
      </c>
      <c r="P320" s="36">
        <f>-LTFP!P77/1000</f>
        <v>0</v>
      </c>
    </row>
    <row r="321" spans="1:16" s="779" customFormat="1" x14ac:dyDescent="0.2">
      <c r="A321" s="818" t="s">
        <v>4359</v>
      </c>
      <c r="B321" s="24"/>
      <c r="C321" s="24"/>
      <c r="D321" s="24"/>
      <c r="E321" s="24"/>
      <c r="F321" s="132"/>
      <c r="G321" s="24"/>
      <c r="H321" s="24"/>
      <c r="I321" s="24"/>
      <c r="J321" s="24"/>
      <c r="K321" s="24"/>
      <c r="L321" s="24"/>
      <c r="M321" s="26"/>
      <c r="N321" s="26"/>
      <c r="O321" s="26"/>
      <c r="P321" s="36"/>
    </row>
    <row r="322" spans="1:16" s="779" customFormat="1" x14ac:dyDescent="0.2">
      <c r="A322" s="818" t="s">
        <v>4360</v>
      </c>
      <c r="B322" s="24">
        <v>-1008</v>
      </c>
      <c r="C322" s="24">
        <f>-LTFP!A75/1000</f>
        <v>-638.5</v>
      </c>
      <c r="D322" s="24">
        <f>-LTFP!B75/1000+1</f>
        <v>-763.3</v>
      </c>
      <c r="E322" s="24">
        <f>-LTFP!C75/1000</f>
        <v>-1059.9000000000001</v>
      </c>
      <c r="F322" s="132">
        <f>-LTFP!E75/1000</f>
        <v>-919.4</v>
      </c>
      <c r="G322" s="24">
        <f>-LTFP!G75/1000</f>
        <v>-775</v>
      </c>
      <c r="H322" s="24">
        <f>-LTFP!H75/1000</f>
        <v>-800</v>
      </c>
      <c r="I322" s="24">
        <f>-LTFP!I75/1000</f>
        <v>-820</v>
      </c>
      <c r="J322" s="24">
        <f>-LTFP!J75/1000</f>
        <v>-840</v>
      </c>
      <c r="K322" s="24">
        <f>-LTFP!K75/1000</f>
        <v>-860</v>
      </c>
      <c r="L322" s="24">
        <f>-LTFP!L75/1000</f>
        <v>-880</v>
      </c>
      <c r="M322" s="24">
        <f>-LTFP!M75/1000</f>
        <v>-900</v>
      </c>
      <c r="N322" s="26">
        <f>-LTFP!N75/1000</f>
        <v>-920</v>
      </c>
      <c r="O322" s="26">
        <f>-LTFP!O75/1000</f>
        <v>-940</v>
      </c>
      <c r="P322" s="36">
        <f>-LTFP!P75/1000</f>
        <v>-960</v>
      </c>
    </row>
    <row r="323" spans="1:16" x14ac:dyDescent="0.2">
      <c r="A323" s="942" t="s">
        <v>2864</v>
      </c>
      <c r="B323" s="979">
        <f t="shared" ref="B323:M323" si="371">SUM(B319:B322)</f>
        <v>9633</v>
      </c>
      <c r="C323" s="1541">
        <f t="shared" si="371"/>
        <v>10689.1</v>
      </c>
      <c r="D323" s="1541">
        <f t="shared" si="371"/>
        <v>10893.5</v>
      </c>
      <c r="E323" s="1541">
        <f t="shared" si="371"/>
        <v>11199.1</v>
      </c>
      <c r="F323" s="1541">
        <f t="shared" si="371"/>
        <v>11913.6</v>
      </c>
      <c r="G323" s="1541">
        <f t="shared" si="371"/>
        <v>12154.3</v>
      </c>
      <c r="H323" s="1541">
        <f t="shared" si="371"/>
        <v>12435.3</v>
      </c>
      <c r="I323" s="1541">
        <f t="shared" si="371"/>
        <v>12705.2</v>
      </c>
      <c r="J323" s="1541">
        <f t="shared" si="371"/>
        <v>13171.7</v>
      </c>
      <c r="K323" s="1541">
        <f t="shared" si="371"/>
        <v>13706.3</v>
      </c>
      <c r="L323" s="1541">
        <f t="shared" si="371"/>
        <v>14146.3</v>
      </c>
      <c r="M323" s="905">
        <f t="shared" si="371"/>
        <v>14654.9</v>
      </c>
      <c r="N323" s="906">
        <f t="shared" ref="N323:O323" si="372">SUM(N319:N322)</f>
        <v>15212.7</v>
      </c>
      <c r="O323" s="906">
        <f t="shared" si="372"/>
        <v>15802.3</v>
      </c>
      <c r="P323" s="907">
        <f t="shared" ref="P323" si="373">SUM(P319:P322)</f>
        <v>16499.099999999999</v>
      </c>
    </row>
    <row r="324" spans="1:16" s="779" customFormat="1" x14ac:dyDescent="0.2">
      <c r="A324" s="935" t="s">
        <v>4249</v>
      </c>
      <c r="B324" s="132">
        <v>10805</v>
      </c>
      <c r="C324" s="132">
        <f>LTFP!A87/1000</f>
        <v>11111.6</v>
      </c>
      <c r="D324" s="132">
        <f>LTFP!B87/1000</f>
        <v>10817</v>
      </c>
      <c r="E324" s="132">
        <f>LTFP!C87/1000</f>
        <v>10849.9</v>
      </c>
      <c r="F324" s="132">
        <f>LTFP!E87/1000</f>
        <v>11269.6</v>
      </c>
      <c r="G324" s="132">
        <f>LTFP!G87/1000</f>
        <v>11190.4</v>
      </c>
      <c r="H324" s="132">
        <f>LTFP!H87/1000</f>
        <v>11506.3</v>
      </c>
      <c r="I324" s="132">
        <f>LTFP!I87/1000</f>
        <v>11749.4</v>
      </c>
      <c r="J324" s="132">
        <f>LTFP!J87/1000</f>
        <v>12039.5</v>
      </c>
      <c r="K324" s="132">
        <f>LTFP!K87/1000</f>
        <v>12348.4</v>
      </c>
      <c r="L324" s="132">
        <f>LTFP!L87/1000</f>
        <v>12715.1</v>
      </c>
      <c r="M324" s="132">
        <f>LTFP!M87/1000</f>
        <v>12989.9</v>
      </c>
      <c r="N324" s="26">
        <f>LTFP!N87/1000</f>
        <v>13323.8</v>
      </c>
      <c r="O324" s="26">
        <f>LTFP!O87/1000</f>
        <v>13666.4</v>
      </c>
      <c r="P324" s="36">
        <f>LTFP!P87/1000</f>
        <v>14018.5</v>
      </c>
    </row>
    <row r="325" spans="1:16" s="779" customFormat="1" x14ac:dyDescent="0.2">
      <c r="A325" s="935" t="s">
        <v>2328</v>
      </c>
      <c r="B325" s="132">
        <f>'W&amp;W'!A342/1000</f>
        <v>161.80000000000001</v>
      </c>
      <c r="C325" s="132">
        <f>'W&amp;W'!B342/1000</f>
        <v>111</v>
      </c>
      <c r="D325" s="132">
        <f>'W&amp;W'!C342/1000</f>
        <v>20.6</v>
      </c>
      <c r="E325" s="132">
        <f>-LTFP!C86/1000</f>
        <v>-38</v>
      </c>
      <c r="F325" s="132">
        <f>-LTFP!E86/1000</f>
        <v>0</v>
      </c>
      <c r="G325" s="132">
        <f>-LTFP!G86/1000</f>
        <v>0</v>
      </c>
      <c r="H325" s="132">
        <f>-LTFP!H86/1000</f>
        <v>0</v>
      </c>
      <c r="I325" s="132">
        <f>-LTFP!I86/1000</f>
        <v>0</v>
      </c>
      <c r="J325" s="132">
        <f>-LTFP!J86/1000</f>
        <v>0</v>
      </c>
      <c r="K325" s="132">
        <f>-LTFP!K86/1000</f>
        <v>0</v>
      </c>
      <c r="L325" s="132">
        <f>-LTFP!L86/1000</f>
        <v>0</v>
      </c>
      <c r="M325" s="132">
        <f>-LTFP!M86/1000</f>
        <v>0</v>
      </c>
      <c r="N325" s="26">
        <f>-LTFP!N86/1000</f>
        <v>0</v>
      </c>
      <c r="O325" s="26">
        <f>-LTFP!O86/1000</f>
        <v>0</v>
      </c>
      <c r="P325" s="36">
        <f>-LTFP!P86/1000</f>
        <v>0</v>
      </c>
    </row>
    <row r="326" spans="1:16" s="779" customFormat="1" x14ac:dyDescent="0.2">
      <c r="A326" s="935" t="s">
        <v>4361</v>
      </c>
      <c r="B326" s="132"/>
      <c r="C326" s="132"/>
      <c r="D326" s="132"/>
      <c r="E326" s="132"/>
      <c r="F326" s="132"/>
      <c r="G326" s="132"/>
      <c r="H326" s="132"/>
      <c r="I326" s="132"/>
      <c r="J326" s="132"/>
      <c r="K326" s="132"/>
      <c r="L326" s="132"/>
      <c r="M326" s="26"/>
      <c r="N326" s="26"/>
      <c r="O326" s="26"/>
      <c r="P326" s="36"/>
    </row>
    <row r="327" spans="1:16" x14ac:dyDescent="0.2">
      <c r="A327" s="942" t="s">
        <v>4363</v>
      </c>
      <c r="B327" s="1541">
        <f>SUM(B324:B326)</f>
        <v>10966.8</v>
      </c>
      <c r="C327" s="1541">
        <f>SUM(C324:C326)</f>
        <v>11222.6</v>
      </c>
      <c r="D327" s="1541">
        <f t="shared" ref="D327:O327" si="374">D324-D325-D326</f>
        <v>10796.4</v>
      </c>
      <c r="E327" s="1541">
        <f t="shared" si="374"/>
        <v>10887.9</v>
      </c>
      <c r="F327" s="1541">
        <f t="shared" si="374"/>
        <v>11269.6</v>
      </c>
      <c r="G327" s="1541">
        <f t="shared" si="374"/>
        <v>11190.4</v>
      </c>
      <c r="H327" s="1541">
        <f t="shared" si="374"/>
        <v>11506.3</v>
      </c>
      <c r="I327" s="1541">
        <f t="shared" si="374"/>
        <v>11749.4</v>
      </c>
      <c r="J327" s="1541">
        <f t="shared" si="374"/>
        <v>12039.5</v>
      </c>
      <c r="K327" s="1541">
        <f t="shared" si="374"/>
        <v>12348.4</v>
      </c>
      <c r="L327" s="1541">
        <f t="shared" si="374"/>
        <v>12715.1</v>
      </c>
      <c r="M327" s="905">
        <f t="shared" si="374"/>
        <v>12989.9</v>
      </c>
      <c r="N327" s="906">
        <f t="shared" si="374"/>
        <v>13323.8</v>
      </c>
      <c r="O327" s="906">
        <f t="shared" si="374"/>
        <v>13666.4</v>
      </c>
      <c r="P327" s="907">
        <f t="shared" ref="P327" si="375">P324-P325-P326</f>
        <v>14018.5</v>
      </c>
    </row>
    <row r="328" spans="1:16" x14ac:dyDescent="0.2">
      <c r="A328" s="756" t="s">
        <v>4362</v>
      </c>
      <c r="B328" s="231">
        <f t="shared" ref="B328:O328" si="376">B323-B327</f>
        <v>-1333.7999999999993</v>
      </c>
      <c r="C328" s="231">
        <f t="shared" si="376"/>
        <v>-533.5</v>
      </c>
      <c r="D328" s="231">
        <f t="shared" si="376"/>
        <v>97.100000000000364</v>
      </c>
      <c r="E328" s="231">
        <f t="shared" si="376"/>
        <v>311.20000000000073</v>
      </c>
      <c r="F328" s="101">
        <f t="shared" si="376"/>
        <v>644</v>
      </c>
      <c r="G328" s="231">
        <f t="shared" si="376"/>
        <v>963.89999999999964</v>
      </c>
      <c r="H328" s="231">
        <f t="shared" si="376"/>
        <v>929</v>
      </c>
      <c r="I328" s="231">
        <f t="shared" si="376"/>
        <v>955.80000000000109</v>
      </c>
      <c r="J328" s="231">
        <f t="shared" si="376"/>
        <v>1132.2000000000007</v>
      </c>
      <c r="K328" s="231">
        <f t="shared" si="376"/>
        <v>1357.8999999999996</v>
      </c>
      <c r="L328" s="231">
        <f t="shared" si="376"/>
        <v>1431.1999999999989</v>
      </c>
      <c r="M328" s="233">
        <f t="shared" si="376"/>
        <v>1665</v>
      </c>
      <c r="N328" s="233">
        <f t="shared" si="376"/>
        <v>1888.9000000000015</v>
      </c>
      <c r="O328" s="233">
        <f t="shared" si="376"/>
        <v>2135.8999999999996</v>
      </c>
      <c r="P328" s="88">
        <f t="shared" ref="P328" si="377">P323-P327</f>
        <v>2480.5999999999985</v>
      </c>
    </row>
    <row r="329" spans="1:16" x14ac:dyDescent="0.2">
      <c r="A329" s="469" t="s">
        <v>204</v>
      </c>
      <c r="B329" s="231">
        <f t="shared" ref="B329:O329" si="378">B323</f>
        <v>9633</v>
      </c>
      <c r="C329" s="231">
        <f t="shared" si="378"/>
        <v>10689.1</v>
      </c>
      <c r="D329" s="231">
        <f t="shared" si="378"/>
        <v>10893.5</v>
      </c>
      <c r="E329" s="231">
        <f t="shared" si="378"/>
        <v>11199.1</v>
      </c>
      <c r="F329" s="101">
        <f t="shared" si="378"/>
        <v>11913.6</v>
      </c>
      <c r="G329" s="231">
        <f t="shared" si="378"/>
        <v>12154.3</v>
      </c>
      <c r="H329" s="231">
        <f t="shared" si="378"/>
        <v>12435.3</v>
      </c>
      <c r="I329" s="231">
        <f t="shared" si="378"/>
        <v>12705.2</v>
      </c>
      <c r="J329" s="231">
        <f t="shared" si="378"/>
        <v>13171.7</v>
      </c>
      <c r="K329" s="231">
        <f t="shared" si="378"/>
        <v>13706.3</v>
      </c>
      <c r="L329" s="231">
        <f t="shared" si="378"/>
        <v>14146.3</v>
      </c>
      <c r="M329" s="233">
        <f t="shared" si="378"/>
        <v>14654.9</v>
      </c>
      <c r="N329" s="233">
        <f t="shared" si="378"/>
        <v>15212.7</v>
      </c>
      <c r="O329" s="233">
        <f t="shared" si="378"/>
        <v>15802.3</v>
      </c>
      <c r="P329" s="88">
        <f t="shared" ref="P329" si="379">P323</f>
        <v>16499.099999999999</v>
      </c>
    </row>
    <row r="330" spans="1:16" s="4" customFormat="1" x14ac:dyDescent="0.2">
      <c r="A330" s="756" t="s">
        <v>4345</v>
      </c>
      <c r="B330" s="2038">
        <f t="shared" ref="B330:M330" si="380">B328/B329</f>
        <v>-0.13846153846153839</v>
      </c>
      <c r="C330" s="2038">
        <f t="shared" si="380"/>
        <v>-4.9910656650232477E-2</v>
      </c>
      <c r="D330" s="2038">
        <f t="shared" si="380"/>
        <v>8.9135723137651231E-3</v>
      </c>
      <c r="E330" s="2038">
        <f t="shared" si="380"/>
        <v>2.7787947245760884E-2</v>
      </c>
      <c r="F330" s="2577">
        <f t="shared" si="380"/>
        <v>5.4055868922911629E-2</v>
      </c>
      <c r="G330" s="2038">
        <f t="shared" si="380"/>
        <v>7.930526644891106E-2</v>
      </c>
      <c r="H330" s="2038">
        <f t="shared" si="380"/>
        <v>7.4706681784918738E-2</v>
      </c>
      <c r="I330" s="2038">
        <f t="shared" si="380"/>
        <v>7.5229040078078346E-2</v>
      </c>
      <c r="J330" s="2038">
        <f t="shared" si="380"/>
        <v>8.5957013901015109E-2</v>
      </c>
      <c r="K330" s="2038">
        <f t="shared" si="380"/>
        <v>9.9071230018312723E-2</v>
      </c>
      <c r="L330" s="2038">
        <f t="shared" si="380"/>
        <v>0.10117133101941843</v>
      </c>
      <c r="M330" s="2039">
        <f t="shared" si="380"/>
        <v>0.11361387658735304</v>
      </c>
      <c r="N330" s="2039">
        <f t="shared" ref="N330:O330" si="381">N328/N329</f>
        <v>0.1241659928875217</v>
      </c>
      <c r="O330" s="2039">
        <f t="shared" si="381"/>
        <v>0.13516386855078055</v>
      </c>
      <c r="P330" s="2040">
        <f t="shared" ref="P330" si="382">P328/P329</f>
        <v>0.15034759471728754</v>
      </c>
    </row>
    <row r="331" spans="1:16" x14ac:dyDescent="0.2">
      <c r="A331" s="942"/>
      <c r="B331" s="1273"/>
      <c r="C331" s="1273"/>
      <c r="D331" s="1273"/>
      <c r="E331" s="1271"/>
      <c r="F331" s="1271"/>
      <c r="G331" s="1271"/>
      <c r="H331" s="1271"/>
      <c r="I331" s="1271"/>
      <c r="J331" s="1271"/>
      <c r="K331" s="1271"/>
      <c r="L331" s="1271"/>
      <c r="M331" s="1642"/>
      <c r="N331" s="1642"/>
      <c r="O331" s="1642"/>
      <c r="P331" s="1272"/>
    </row>
    <row r="332" spans="1:16" x14ac:dyDescent="0.2">
      <c r="A332" s="2590" t="s">
        <v>4346</v>
      </c>
      <c r="B332" s="2591"/>
      <c r="C332" s="2591"/>
      <c r="D332" s="2591"/>
      <c r="E332" s="2591"/>
      <c r="F332" s="2592"/>
      <c r="G332" s="2591"/>
      <c r="H332" s="2591"/>
      <c r="I332" s="2591"/>
      <c r="J332" s="2591"/>
      <c r="K332" s="2591"/>
      <c r="L332" s="2591"/>
      <c r="M332" s="2593"/>
      <c r="N332" s="2593"/>
      <c r="O332" s="2593"/>
      <c r="P332" s="2594"/>
    </row>
    <row r="333" spans="1:16" s="779" customFormat="1" x14ac:dyDescent="0.2">
      <c r="A333" s="818" t="s">
        <v>4243</v>
      </c>
      <c r="B333" s="24">
        <v>15262</v>
      </c>
      <c r="C333" s="24">
        <f>LTFP!A109/1000</f>
        <v>16456.7</v>
      </c>
      <c r="D333" s="24">
        <f>LTFP!B109/1000</f>
        <v>17468.099999999999</v>
      </c>
      <c r="E333" s="24">
        <f>LTFP!C109/1000</f>
        <v>18825.599999999999</v>
      </c>
      <c r="F333" s="132">
        <f>LTFP!E109/1000</f>
        <v>19751.400000000001</v>
      </c>
      <c r="G333" s="24">
        <f>LTFP!G109/1000</f>
        <v>20384</v>
      </c>
      <c r="H333" s="24">
        <f>LTFP!H109/1000</f>
        <v>20878.5</v>
      </c>
      <c r="I333" s="24">
        <f>LTFP!I109/1000</f>
        <v>21431</v>
      </c>
      <c r="J333" s="24">
        <f>LTFP!J109/1000</f>
        <v>22198.5</v>
      </c>
      <c r="K333" s="24">
        <f>LTFP!K109/1000</f>
        <v>22805.5</v>
      </c>
      <c r="L333" s="24">
        <f>LTFP!L109/1000</f>
        <v>23467.4</v>
      </c>
      <c r="M333" s="24">
        <f>LTFP!M109/1000</f>
        <v>24113</v>
      </c>
      <c r="N333" s="233">
        <f>LTFP!N109/1000</f>
        <v>24853.3</v>
      </c>
      <c r="O333" s="233">
        <f>LTFP!O109/1000</f>
        <v>25687</v>
      </c>
      <c r="P333" s="88">
        <f>LTFP!P109/1000</f>
        <v>26546.1</v>
      </c>
    </row>
    <row r="334" spans="1:16" s="779" customFormat="1" x14ac:dyDescent="0.2">
      <c r="A334" s="818" t="s">
        <v>4364</v>
      </c>
      <c r="B334" s="24"/>
      <c r="C334" s="24">
        <v>-6</v>
      </c>
      <c r="D334" s="24"/>
      <c r="E334" s="24"/>
      <c r="F334" s="132"/>
      <c r="G334" s="24"/>
      <c r="H334" s="24"/>
      <c r="I334" s="24"/>
      <c r="J334" s="24"/>
      <c r="K334" s="24"/>
      <c r="L334" s="24"/>
      <c r="M334" s="26"/>
      <c r="N334" s="26"/>
      <c r="O334" s="26"/>
      <c r="P334" s="36"/>
    </row>
    <row r="335" spans="1:16" s="779" customFormat="1" x14ac:dyDescent="0.2">
      <c r="A335" s="818" t="s">
        <v>4359</v>
      </c>
      <c r="B335" s="24"/>
      <c r="C335" s="24"/>
      <c r="D335" s="24"/>
      <c r="E335" s="24"/>
      <c r="F335" s="132"/>
      <c r="G335" s="24"/>
      <c r="H335" s="24"/>
      <c r="I335" s="24"/>
      <c r="J335" s="24"/>
      <c r="K335" s="24"/>
      <c r="L335" s="24"/>
      <c r="M335" s="26"/>
      <c r="N335" s="26"/>
      <c r="O335" s="26"/>
      <c r="P335" s="36"/>
    </row>
    <row r="336" spans="1:16" s="779" customFormat="1" x14ac:dyDescent="0.2">
      <c r="A336" s="818" t="s">
        <v>4360</v>
      </c>
      <c r="B336" s="24">
        <v>-1482</v>
      </c>
      <c r="C336" s="24">
        <f>-LTFP!A106/1000</f>
        <v>-2014.2</v>
      </c>
      <c r="D336" s="24">
        <f>-LTFP!B106/1000</f>
        <v>-2131.4</v>
      </c>
      <c r="E336" s="24">
        <f>-LTFP!C106/1000</f>
        <v>-2470</v>
      </c>
      <c r="F336" s="132">
        <f>-LTFP!E106/1000</f>
        <v>-2045.5</v>
      </c>
      <c r="G336" s="24">
        <f>-LTFP!G106/1000</f>
        <v>-2245.5</v>
      </c>
      <c r="H336" s="24">
        <f>-LTFP!H106/1000</f>
        <v>-2275.5</v>
      </c>
      <c r="I336" s="24">
        <f>-LTFP!I106/1000</f>
        <v>-2315.5</v>
      </c>
      <c r="J336" s="24">
        <f>-LTFP!J106/1000</f>
        <v>-2355.5</v>
      </c>
      <c r="K336" s="24">
        <f>-LTFP!K106/1000</f>
        <v>-2405.5</v>
      </c>
      <c r="L336" s="24">
        <f>-LTFP!L106/1000</f>
        <v>-2445.5</v>
      </c>
      <c r="M336" s="24">
        <f>-LTFP!M106/1000</f>
        <v>-2485.5</v>
      </c>
      <c r="N336" s="233">
        <f>-LTFP!N106/1000</f>
        <v>-2525.5</v>
      </c>
      <c r="O336" s="233">
        <f>-LTFP!O106/1000</f>
        <v>-2565.5</v>
      </c>
      <c r="P336" s="88">
        <f>-LTFP!P106/1000</f>
        <v>-2605.5</v>
      </c>
    </row>
    <row r="337" spans="1:16" x14ac:dyDescent="0.2">
      <c r="A337" s="942" t="s">
        <v>2864</v>
      </c>
      <c r="B337" s="1541">
        <f t="shared" ref="B337:M337" si="383">SUM(B333:B336)</f>
        <v>13780</v>
      </c>
      <c r="C337" s="1541">
        <f t="shared" si="383"/>
        <v>14436.5</v>
      </c>
      <c r="D337" s="1541">
        <f t="shared" si="383"/>
        <v>15336.699999999999</v>
      </c>
      <c r="E337" s="1541">
        <f t="shared" si="383"/>
        <v>16355.599999999999</v>
      </c>
      <c r="F337" s="1541">
        <f t="shared" si="383"/>
        <v>17705.900000000001</v>
      </c>
      <c r="G337" s="1541">
        <f t="shared" si="383"/>
        <v>18138.5</v>
      </c>
      <c r="H337" s="1541">
        <f t="shared" si="383"/>
        <v>18603</v>
      </c>
      <c r="I337" s="1541">
        <f t="shared" si="383"/>
        <v>19115.5</v>
      </c>
      <c r="J337" s="1541">
        <f t="shared" si="383"/>
        <v>19843</v>
      </c>
      <c r="K337" s="1541">
        <f t="shared" si="383"/>
        <v>20400</v>
      </c>
      <c r="L337" s="1541">
        <f t="shared" si="383"/>
        <v>21021.9</v>
      </c>
      <c r="M337" s="905">
        <f t="shared" si="383"/>
        <v>21627.5</v>
      </c>
      <c r="N337" s="906">
        <f t="shared" ref="N337:O337" si="384">SUM(N333:N336)</f>
        <v>22327.8</v>
      </c>
      <c r="O337" s="906">
        <f t="shared" si="384"/>
        <v>23121.5</v>
      </c>
      <c r="P337" s="907">
        <f t="shared" ref="P337" si="385">SUM(P333:P336)</f>
        <v>23940.6</v>
      </c>
    </row>
    <row r="338" spans="1:16" s="779" customFormat="1" x14ac:dyDescent="0.2">
      <c r="A338" s="935" t="s">
        <v>4249</v>
      </c>
      <c r="B338" s="132">
        <v>15935</v>
      </c>
      <c r="C338" s="132">
        <f>LTFP!A118/1000</f>
        <v>17024.099999999999</v>
      </c>
      <c r="D338" s="132">
        <f>LTFP!B118/1000</f>
        <v>28728</v>
      </c>
      <c r="E338" s="132">
        <f>LTFP!C118/1000</f>
        <v>17304.400000000001</v>
      </c>
      <c r="F338" s="132">
        <f>LTFP!E118/1000</f>
        <v>17187.7</v>
      </c>
      <c r="G338" s="132">
        <f>LTFP!G118/1000</f>
        <v>17800.5</v>
      </c>
      <c r="H338" s="132">
        <f>LTFP!H118/1000</f>
        <v>17710.400000000001</v>
      </c>
      <c r="I338" s="132">
        <f>LTFP!I118/1000</f>
        <v>17828.599999999999</v>
      </c>
      <c r="J338" s="132">
        <f>LTFP!J118/1000</f>
        <v>17938.7</v>
      </c>
      <c r="K338" s="132">
        <f>LTFP!K118/1000</f>
        <v>18031.7</v>
      </c>
      <c r="L338" s="132">
        <f>LTFP!L118/1000</f>
        <v>18191.2</v>
      </c>
      <c r="M338" s="132">
        <f>LTFP!M118/1000</f>
        <v>18252.599999999999</v>
      </c>
      <c r="N338" s="233">
        <f>LTFP!N118/1000</f>
        <v>18365.5</v>
      </c>
      <c r="O338" s="233">
        <f>LTFP!O118/1000</f>
        <v>18420.3</v>
      </c>
      <c r="P338" s="88">
        <f>LTFP!P118/1000</f>
        <v>18540.400000000001</v>
      </c>
    </row>
    <row r="339" spans="1:16" s="779" customFormat="1" x14ac:dyDescent="0.2">
      <c r="A339" s="935" t="s">
        <v>2328</v>
      </c>
      <c r="B339" s="132">
        <v>-1582</v>
      </c>
      <c r="C339" s="132"/>
      <c r="D339" s="132">
        <f>-LTFP!B117/1000</f>
        <v>-12197.6</v>
      </c>
      <c r="E339" s="132"/>
      <c r="F339" s="132"/>
      <c r="G339" s="132"/>
      <c r="H339" s="132"/>
      <c r="I339" s="132"/>
      <c r="J339" s="132"/>
      <c r="K339" s="132"/>
      <c r="L339" s="132"/>
      <c r="M339" s="26"/>
      <c r="N339" s="26"/>
      <c r="O339" s="26"/>
      <c r="P339" s="36"/>
    </row>
    <row r="340" spans="1:16" s="779" customFormat="1" x14ac:dyDescent="0.2">
      <c r="A340" s="935" t="s">
        <v>4361</v>
      </c>
      <c r="B340" s="132"/>
      <c r="C340" s="132"/>
      <c r="D340" s="132"/>
      <c r="E340" s="132"/>
      <c r="F340" s="132"/>
      <c r="G340" s="132"/>
      <c r="H340" s="132"/>
      <c r="I340" s="132"/>
      <c r="J340" s="132"/>
      <c r="K340" s="132"/>
      <c r="L340" s="132"/>
      <c r="M340" s="26"/>
      <c r="N340" s="26"/>
      <c r="O340" s="26"/>
      <c r="P340" s="36"/>
    </row>
    <row r="341" spans="1:16" x14ac:dyDescent="0.2">
      <c r="A341" s="942" t="s">
        <v>4363</v>
      </c>
      <c r="B341" s="1541">
        <f t="shared" ref="B341:M341" si="386">SUM(B338:B340)</f>
        <v>14353</v>
      </c>
      <c r="C341" s="1541">
        <f t="shared" si="386"/>
        <v>17024.099999999999</v>
      </c>
      <c r="D341" s="1541">
        <f>SUM(D338:D340)</f>
        <v>16530.400000000001</v>
      </c>
      <c r="E341" s="1541">
        <f t="shared" si="386"/>
        <v>17304.400000000001</v>
      </c>
      <c r="F341" s="1541">
        <f t="shared" si="386"/>
        <v>17187.7</v>
      </c>
      <c r="G341" s="1541">
        <f t="shared" si="386"/>
        <v>17800.5</v>
      </c>
      <c r="H341" s="1541">
        <f t="shared" si="386"/>
        <v>17710.400000000001</v>
      </c>
      <c r="I341" s="1541">
        <f t="shared" si="386"/>
        <v>17828.599999999999</v>
      </c>
      <c r="J341" s="1541">
        <f t="shared" si="386"/>
        <v>17938.7</v>
      </c>
      <c r="K341" s="1541">
        <f t="shared" si="386"/>
        <v>18031.7</v>
      </c>
      <c r="L341" s="1541">
        <f t="shared" si="386"/>
        <v>18191.2</v>
      </c>
      <c r="M341" s="905">
        <f t="shared" si="386"/>
        <v>18252.599999999999</v>
      </c>
      <c r="N341" s="906">
        <f t="shared" ref="N341:O341" si="387">SUM(N338:N340)</f>
        <v>18365.5</v>
      </c>
      <c r="O341" s="906">
        <f t="shared" si="387"/>
        <v>18420.3</v>
      </c>
      <c r="P341" s="907">
        <f t="shared" ref="P341" si="388">SUM(P338:P340)</f>
        <v>18540.400000000001</v>
      </c>
    </row>
    <row r="342" spans="1:16" x14ac:dyDescent="0.2">
      <c r="A342" s="756" t="s">
        <v>4362</v>
      </c>
      <c r="B342" s="231">
        <f>B337-B341</f>
        <v>-573</v>
      </c>
      <c r="C342" s="231">
        <f>C337-C341</f>
        <v>-2587.5999999999985</v>
      </c>
      <c r="D342" s="231">
        <f>D337-D341</f>
        <v>-1193.7000000000025</v>
      </c>
      <c r="E342" s="231">
        <f>'Cash-WW'!C13/1000</f>
        <v>-948.8</v>
      </c>
      <c r="F342" s="101">
        <f>'Cash-WW'!F13/1000</f>
        <v>518.20000000000005</v>
      </c>
      <c r="G342" s="231">
        <f>'Cash-WW'!G13/1000</f>
        <v>338</v>
      </c>
      <c r="H342" s="231">
        <f>'Cash-WW'!H13/1000</f>
        <v>892.6</v>
      </c>
      <c r="I342" s="231">
        <f>'Cash-WW'!I13/1000</f>
        <v>1286.9000000000001</v>
      </c>
      <c r="J342" s="231">
        <f>'Cash-WW'!J13/1000</f>
        <v>1904.3</v>
      </c>
      <c r="K342" s="231">
        <f>'Cash-WW'!K13/1000</f>
        <v>2368.3000000000002</v>
      </c>
      <c r="L342" s="231">
        <f>'Cash-WW'!L13/1000</f>
        <v>2830.7</v>
      </c>
      <c r="M342" s="233">
        <f>'Cash-WW'!M13/1000</f>
        <v>3374.9</v>
      </c>
      <c r="N342" s="233">
        <f>'Cash-WW'!N13/1000</f>
        <v>3962.3</v>
      </c>
      <c r="O342" s="233">
        <f>'Cash-WW'!O13/1000</f>
        <v>4701.2</v>
      </c>
      <c r="P342" s="88">
        <f>'Cash-WW'!P13/1000</f>
        <v>5400.2</v>
      </c>
    </row>
    <row r="343" spans="1:16" x14ac:dyDescent="0.2">
      <c r="A343" s="469" t="s">
        <v>204</v>
      </c>
      <c r="B343" s="231">
        <f>B337</f>
        <v>13780</v>
      </c>
      <c r="C343" s="231">
        <f>C337</f>
        <v>14436.5</v>
      </c>
      <c r="D343" s="231">
        <f>D337</f>
        <v>15336.699999999999</v>
      </c>
      <c r="E343" s="231">
        <f>'Cash-WW'!C6/1000</f>
        <v>16363.9</v>
      </c>
      <c r="F343" s="101">
        <f>'Cash-WW'!F6/1000</f>
        <v>17705.900000000001</v>
      </c>
      <c r="G343" s="231">
        <f>'Cash-WW'!G6/1000</f>
        <v>18138.5</v>
      </c>
      <c r="H343" s="231">
        <f>'Cash-WW'!H6/1000</f>
        <v>18603</v>
      </c>
      <c r="I343" s="231">
        <f>'Cash-WW'!I6/1000</f>
        <v>19115.5</v>
      </c>
      <c r="J343" s="231">
        <f>'Cash-WW'!J6/1000</f>
        <v>19843</v>
      </c>
      <c r="K343" s="231">
        <f>'Cash-WW'!K6/1000</f>
        <v>20400</v>
      </c>
      <c r="L343" s="231">
        <f>'Cash-WW'!L6/1000</f>
        <v>21021.9</v>
      </c>
      <c r="M343" s="233">
        <f>'Cash-WW'!M6/1000</f>
        <v>21627.5</v>
      </c>
      <c r="N343" s="233">
        <f>'Cash-WW'!N6/1000</f>
        <v>22327.8</v>
      </c>
      <c r="O343" s="233">
        <f>'Cash-WW'!O6/1000</f>
        <v>23121.5</v>
      </c>
      <c r="P343" s="88">
        <f>'Cash-WW'!P6/1000</f>
        <v>23940.6</v>
      </c>
    </row>
    <row r="344" spans="1:16" s="4" customFormat="1" x14ac:dyDescent="0.2">
      <c r="A344" s="756" t="s">
        <v>4347</v>
      </c>
      <c r="B344" s="2038">
        <f t="shared" ref="B344:M344" si="389">B342/B343</f>
        <v>-4.1582002902757619E-2</v>
      </c>
      <c r="C344" s="2038">
        <f t="shared" si="389"/>
        <v>-0.17924012052782867</v>
      </c>
      <c r="D344" s="2038">
        <f t="shared" si="389"/>
        <v>-7.7832910600064073E-2</v>
      </c>
      <c r="E344" s="2038">
        <f t="shared" si="389"/>
        <v>-5.7981288079247607E-2</v>
      </c>
      <c r="F344" s="2577">
        <f t="shared" si="389"/>
        <v>2.9267080464703856E-2</v>
      </c>
      <c r="G344" s="2038">
        <f t="shared" si="389"/>
        <v>1.863439644954103E-2</v>
      </c>
      <c r="H344" s="2038">
        <f t="shared" si="389"/>
        <v>4.7981508358866852E-2</v>
      </c>
      <c r="I344" s="2038">
        <f t="shared" si="389"/>
        <v>6.7322330046297507E-2</v>
      </c>
      <c r="J344" s="2038">
        <f t="shared" si="389"/>
        <v>9.5968351559743995E-2</v>
      </c>
      <c r="K344" s="2038">
        <f t="shared" si="389"/>
        <v>0.11609313725490197</v>
      </c>
      <c r="L344" s="2038">
        <f t="shared" si="389"/>
        <v>0.13465481236234592</v>
      </c>
      <c r="M344" s="2039">
        <f t="shared" si="389"/>
        <v>0.15604669980349092</v>
      </c>
      <c r="N344" s="2039">
        <f t="shared" ref="N344:O344" si="390">N342/N343</f>
        <v>0.17746038570750367</v>
      </c>
      <c r="O344" s="2039">
        <f t="shared" si="390"/>
        <v>0.20332590878619466</v>
      </c>
      <c r="P344" s="2040">
        <f t="shared" ref="P344" si="391">P342/P343</f>
        <v>0.22556661069480297</v>
      </c>
    </row>
    <row r="345" spans="1:16" s="779" customFormat="1" ht="13.5" thickBot="1" x14ac:dyDescent="0.25">
      <c r="A345" s="968"/>
      <c r="B345" s="969"/>
      <c r="C345" s="969"/>
      <c r="D345" s="969"/>
      <c r="E345" s="969"/>
      <c r="F345" s="969"/>
      <c r="G345" s="969"/>
      <c r="H345" s="969"/>
      <c r="I345" s="969"/>
      <c r="J345" s="969"/>
      <c r="K345" s="969"/>
      <c r="L345" s="969"/>
      <c r="M345" s="1636"/>
      <c r="N345" s="1636"/>
      <c r="O345" s="1636"/>
      <c r="P345" s="970"/>
    </row>
    <row r="346" spans="1:16" s="779" customFormat="1" ht="17.25" thickTop="1" thickBot="1" x14ac:dyDescent="0.3">
      <c r="A346" s="2853" t="s">
        <v>5157</v>
      </c>
      <c r="B346" s="2854"/>
      <c r="C346" s="2854"/>
      <c r="D346" s="2854"/>
      <c r="E346" s="2854"/>
      <c r="F346" s="2854"/>
      <c r="G346" s="2854"/>
      <c r="H346" s="2854"/>
      <c r="I346" s="2854"/>
      <c r="J346" s="2854"/>
      <c r="K346" s="2854"/>
      <c r="L346" s="2854"/>
      <c r="M346" s="2854"/>
      <c r="N346" s="2854"/>
      <c r="O346" s="2854"/>
      <c r="P346" s="2855"/>
    </row>
    <row r="347" spans="1:16" ht="13.5" thickBot="1" x14ac:dyDescent="0.25">
      <c r="A347" s="1677" t="str">
        <f t="shared" ref="A347:O347" si="392">A284</f>
        <v>Item</v>
      </c>
      <c r="B347" s="1678" t="str">
        <f t="shared" si="392"/>
        <v>2012/13</v>
      </c>
      <c r="C347" s="1678" t="str">
        <f t="shared" si="392"/>
        <v>2013/14</v>
      </c>
      <c r="D347" s="1678" t="str">
        <f t="shared" si="392"/>
        <v>2014/15</v>
      </c>
      <c r="E347" s="1679" t="str">
        <f t="shared" si="392"/>
        <v>2015/16</v>
      </c>
      <c r="F347" s="1679" t="str">
        <f t="shared" si="392"/>
        <v>2016/17</v>
      </c>
      <c r="G347" s="1679" t="str">
        <f t="shared" si="392"/>
        <v>2017/18</v>
      </c>
      <c r="H347" s="1679" t="str">
        <f t="shared" si="392"/>
        <v>2018/19</v>
      </c>
      <c r="I347" s="1679" t="str">
        <f t="shared" si="392"/>
        <v>2019/20</v>
      </c>
      <c r="J347" s="1679" t="str">
        <f t="shared" si="392"/>
        <v>2020/21</v>
      </c>
      <c r="K347" s="1679" t="str">
        <f t="shared" si="392"/>
        <v>2021/22</v>
      </c>
      <c r="L347" s="1679" t="str">
        <f t="shared" si="392"/>
        <v>2022/23</v>
      </c>
      <c r="M347" s="1680" t="str">
        <f t="shared" si="392"/>
        <v>2023/24</v>
      </c>
      <c r="N347" s="1680" t="str">
        <f t="shared" si="392"/>
        <v>2024/25</v>
      </c>
      <c r="O347" s="1680" t="str">
        <f t="shared" si="392"/>
        <v>2025/26</v>
      </c>
      <c r="P347" s="1681" t="str">
        <f t="shared" ref="P347" si="393">P284</f>
        <v>2026/27</v>
      </c>
    </row>
    <row r="348" spans="1:16" x14ac:dyDescent="0.2">
      <c r="A348" s="1676"/>
      <c r="B348" s="442"/>
      <c r="C348" s="442"/>
      <c r="D348" s="442"/>
      <c r="E348" s="442"/>
      <c r="F348" s="764"/>
      <c r="G348" s="442"/>
      <c r="H348" s="442"/>
      <c r="I348" s="442"/>
      <c r="J348" s="442"/>
      <c r="K348" s="442"/>
      <c r="L348" s="442"/>
      <c r="M348" s="1654"/>
      <c r="N348" s="1654"/>
      <c r="O348" s="1654"/>
      <c r="P348" s="776"/>
    </row>
    <row r="349" spans="1:16" x14ac:dyDescent="0.2">
      <c r="A349" s="756" t="s">
        <v>4313</v>
      </c>
      <c r="B349" s="442"/>
      <c r="C349" s="442"/>
      <c r="D349" s="442"/>
      <c r="E349" s="442"/>
      <c r="F349" s="764"/>
      <c r="G349" s="442"/>
      <c r="H349" s="442"/>
      <c r="I349" s="442"/>
      <c r="J349" s="442"/>
      <c r="K349" s="442"/>
      <c r="L349" s="442"/>
      <c r="M349" s="444"/>
      <c r="N349" s="444"/>
      <c r="O349" s="444"/>
      <c r="P349" s="760"/>
    </row>
    <row r="350" spans="1:16" s="779" customFormat="1" x14ac:dyDescent="0.2">
      <c r="A350" s="818" t="s">
        <v>4367</v>
      </c>
      <c r="B350" s="24">
        <f>B287</f>
        <v>114891</v>
      </c>
      <c r="C350" s="24">
        <f t="shared" ref="C350:C353" si="394">C363+C376+C389</f>
        <v>84745.3</v>
      </c>
      <c r="D350" s="24">
        <f t="shared" ref="D350:O350" si="395">D287</f>
        <v>89935.7</v>
      </c>
      <c r="E350" s="24">
        <f t="shared" si="395"/>
        <v>92124.7</v>
      </c>
      <c r="F350" s="132">
        <f t="shared" si="395"/>
        <v>97731.1</v>
      </c>
      <c r="G350" s="24">
        <f t="shared" si="395"/>
        <v>102194.6</v>
      </c>
      <c r="H350" s="24">
        <f t="shared" si="395"/>
        <v>97194.6</v>
      </c>
      <c r="I350" s="24">
        <f t="shared" si="395"/>
        <v>98539.6</v>
      </c>
      <c r="J350" s="24">
        <f t="shared" si="395"/>
        <v>106687</v>
      </c>
      <c r="K350" s="24">
        <f t="shared" si="395"/>
        <v>110164.1</v>
      </c>
      <c r="L350" s="24">
        <f t="shared" si="395"/>
        <v>102327.7</v>
      </c>
      <c r="M350" s="26">
        <f t="shared" si="395"/>
        <v>105934.39999999999</v>
      </c>
      <c r="N350" s="26">
        <f t="shared" si="395"/>
        <v>108152.8</v>
      </c>
      <c r="O350" s="26">
        <f t="shared" si="395"/>
        <v>112045.4</v>
      </c>
      <c r="P350" s="36">
        <f t="shared" ref="P350" si="396">P287</f>
        <v>116101.1</v>
      </c>
    </row>
    <row r="351" spans="1:16" s="779" customFormat="1" x14ac:dyDescent="0.2">
      <c r="A351" s="818" t="s">
        <v>4364</v>
      </c>
      <c r="B351" s="24">
        <f>B288</f>
        <v>0</v>
      </c>
      <c r="C351" s="24">
        <f t="shared" si="394"/>
        <v>-6</v>
      </c>
      <c r="D351" s="24">
        <f t="shared" ref="D351:O351" si="397">D288</f>
        <v>0</v>
      </c>
      <c r="E351" s="24">
        <f t="shared" si="397"/>
        <v>0</v>
      </c>
      <c r="F351" s="132">
        <f t="shared" si="397"/>
        <v>0</v>
      </c>
      <c r="G351" s="24">
        <f t="shared" si="397"/>
        <v>0</v>
      </c>
      <c r="H351" s="24">
        <f t="shared" si="397"/>
        <v>0</v>
      </c>
      <c r="I351" s="24">
        <f t="shared" si="397"/>
        <v>0</v>
      </c>
      <c r="J351" s="24">
        <f t="shared" si="397"/>
        <v>0</v>
      </c>
      <c r="K351" s="24">
        <f t="shared" si="397"/>
        <v>0</v>
      </c>
      <c r="L351" s="24">
        <f t="shared" si="397"/>
        <v>0</v>
      </c>
      <c r="M351" s="26">
        <f t="shared" si="397"/>
        <v>0</v>
      </c>
      <c r="N351" s="26">
        <f t="shared" si="397"/>
        <v>0</v>
      </c>
      <c r="O351" s="26">
        <f t="shared" si="397"/>
        <v>0</v>
      </c>
      <c r="P351" s="36">
        <f t="shared" ref="P351" si="398">P288</f>
        <v>0</v>
      </c>
    </row>
    <row r="352" spans="1:16" s="779" customFormat="1" x14ac:dyDescent="0.2">
      <c r="A352" s="818" t="s">
        <v>4359</v>
      </c>
      <c r="B352" s="24">
        <f>B289</f>
        <v>-414</v>
      </c>
      <c r="C352" s="24">
        <f t="shared" si="394"/>
        <v>-333</v>
      </c>
      <c r="D352" s="24">
        <f t="shared" ref="D352:O352" si="399">D289</f>
        <v>0</v>
      </c>
      <c r="E352" s="24">
        <f t="shared" si="399"/>
        <v>0</v>
      </c>
      <c r="F352" s="132">
        <f t="shared" si="399"/>
        <v>0</v>
      </c>
      <c r="G352" s="24">
        <f t="shared" si="399"/>
        <v>0</v>
      </c>
      <c r="H352" s="24">
        <f t="shared" si="399"/>
        <v>0</v>
      </c>
      <c r="I352" s="24">
        <f t="shared" si="399"/>
        <v>0</v>
      </c>
      <c r="J352" s="24">
        <f t="shared" si="399"/>
        <v>0</v>
      </c>
      <c r="K352" s="24">
        <f t="shared" si="399"/>
        <v>0</v>
      </c>
      <c r="L352" s="24">
        <f t="shared" si="399"/>
        <v>0</v>
      </c>
      <c r="M352" s="26">
        <f t="shared" si="399"/>
        <v>0</v>
      </c>
      <c r="N352" s="26">
        <f t="shared" si="399"/>
        <v>0</v>
      </c>
      <c r="O352" s="26">
        <f t="shared" si="399"/>
        <v>0</v>
      </c>
      <c r="P352" s="36">
        <f t="shared" ref="P352" si="400">P289</f>
        <v>0</v>
      </c>
    </row>
    <row r="353" spans="1:16" s="779" customFormat="1" x14ac:dyDescent="0.2">
      <c r="A353" s="818" t="s">
        <v>4360</v>
      </c>
      <c r="B353" s="24">
        <f>B290</f>
        <v>-39549</v>
      </c>
      <c r="C353" s="24">
        <f t="shared" si="394"/>
        <v>-13566.7</v>
      </c>
      <c r="D353" s="24">
        <f t="shared" ref="D353:O353" si="401">D290</f>
        <v>-15663.7</v>
      </c>
      <c r="E353" s="24">
        <f t="shared" si="401"/>
        <v>-15014</v>
      </c>
      <c r="F353" s="132">
        <f t="shared" si="401"/>
        <v>-14553.6</v>
      </c>
      <c r="G353" s="24">
        <f t="shared" si="401"/>
        <v>-20499.3</v>
      </c>
      <c r="H353" s="24">
        <f t="shared" si="401"/>
        <v>-13192.8</v>
      </c>
      <c r="I353" s="24">
        <f t="shared" si="401"/>
        <v>-11063.6</v>
      </c>
      <c r="J353" s="24">
        <f t="shared" si="401"/>
        <v>-17142.2</v>
      </c>
      <c r="K353" s="24">
        <f t="shared" si="401"/>
        <v>-17490.5</v>
      </c>
      <c r="L353" s="24">
        <f t="shared" si="401"/>
        <v>-7834.3</v>
      </c>
      <c r="M353" s="26">
        <f t="shared" si="401"/>
        <v>-7982.6</v>
      </c>
      <c r="N353" s="26">
        <f t="shared" si="401"/>
        <v>-8134.3</v>
      </c>
      <c r="O353" s="26">
        <f t="shared" si="401"/>
        <v>-8287.5</v>
      </c>
      <c r="P353" s="36">
        <f t="shared" ref="P353" si="402">P290</f>
        <v>-8442.4</v>
      </c>
    </row>
    <row r="354" spans="1:16" s="779" customFormat="1" x14ac:dyDescent="0.2">
      <c r="A354" s="818" t="s">
        <v>4365</v>
      </c>
      <c r="B354" s="24">
        <f>-13806+8</f>
        <v>-13798</v>
      </c>
      <c r="C354" s="24">
        <f>C367+C380+C393</f>
        <v>-5518.6</v>
      </c>
      <c r="D354" s="24">
        <f>-Summaries!C11/1000</f>
        <v>-7833.6</v>
      </c>
      <c r="E354" s="24">
        <f>-Summaries!D11/1000</f>
        <v>-9389.2000000000007</v>
      </c>
      <c r="F354" s="132">
        <f>-Summaries!E11/1000</f>
        <v>-10625.7</v>
      </c>
      <c r="G354" s="24">
        <f>-Summaries!F11/1000</f>
        <v>-7685.7</v>
      </c>
      <c r="H354" s="24">
        <f>-Summaries!G11/1000</f>
        <v>-7539.5</v>
      </c>
      <c r="I354" s="24">
        <f>-Summaries!H11/1000</f>
        <v>-7527.6</v>
      </c>
      <c r="J354" s="24">
        <f>-Summaries!I11/1000</f>
        <v>-7629.5</v>
      </c>
      <c r="K354" s="24">
        <f>-Summaries!J11/1000</f>
        <v>-7721.6</v>
      </c>
      <c r="L354" s="24">
        <f>-Summaries!K11/1000</f>
        <v>-7821.4</v>
      </c>
      <c r="M354" s="26">
        <f>-Summaries!L11/1000</f>
        <v>-7954.7</v>
      </c>
      <c r="N354" s="26">
        <f>-Summaries!M11/1000</f>
        <v>-8100.5</v>
      </c>
      <c r="O354" s="26">
        <f>-Summaries!N11/1000</f>
        <v>-8251.7000000000007</v>
      </c>
      <c r="P354" s="36">
        <f>-Summaries!O11/1000</f>
        <v>-8405.7999999999993</v>
      </c>
    </row>
    <row r="355" spans="1:16" x14ac:dyDescent="0.2">
      <c r="A355" s="945" t="s">
        <v>2863</v>
      </c>
      <c r="B355" s="905">
        <f t="shared" ref="B355:M355" si="403">SUM(B350:B354)</f>
        <v>61130</v>
      </c>
      <c r="C355" s="905">
        <f t="shared" si="403"/>
        <v>65321.000000000007</v>
      </c>
      <c r="D355" s="905">
        <f t="shared" si="403"/>
        <v>66438.399999999994</v>
      </c>
      <c r="E355" s="905">
        <f t="shared" si="403"/>
        <v>67721.5</v>
      </c>
      <c r="F355" s="1541">
        <f t="shared" si="403"/>
        <v>72551.8</v>
      </c>
      <c r="G355" s="905">
        <f t="shared" si="403"/>
        <v>74009.600000000006</v>
      </c>
      <c r="H355" s="905">
        <f t="shared" si="403"/>
        <v>76462.3</v>
      </c>
      <c r="I355" s="905">
        <f t="shared" si="403"/>
        <v>79948.399999999994</v>
      </c>
      <c r="J355" s="905">
        <f t="shared" si="403"/>
        <v>81915.3</v>
      </c>
      <c r="K355" s="905">
        <f t="shared" si="403"/>
        <v>84952</v>
      </c>
      <c r="L355" s="905">
        <f t="shared" si="403"/>
        <v>86672</v>
      </c>
      <c r="M355" s="1660">
        <f t="shared" si="403"/>
        <v>89997.099999999991</v>
      </c>
      <c r="N355" s="1660">
        <f t="shared" ref="N355:O355" si="404">SUM(N350:N354)</f>
        <v>91918</v>
      </c>
      <c r="O355" s="1660">
        <f t="shared" si="404"/>
        <v>95506.2</v>
      </c>
      <c r="P355" s="1047">
        <f t="shared" ref="P355" si="405">SUM(P350:P354)</f>
        <v>99252.900000000009</v>
      </c>
    </row>
    <row r="356" spans="1:16" x14ac:dyDescent="0.2">
      <c r="A356" s="818" t="s">
        <v>4374</v>
      </c>
      <c r="B356" s="231"/>
      <c r="C356" s="231">
        <f>C369+C382+C395</f>
        <v>-6</v>
      </c>
      <c r="D356" s="231"/>
      <c r="E356" s="231"/>
      <c r="F356" s="101"/>
      <c r="G356" s="231"/>
      <c r="H356" s="231"/>
      <c r="I356" s="231"/>
      <c r="J356" s="231"/>
      <c r="K356" s="231"/>
      <c r="L356" s="231"/>
      <c r="M356" s="233"/>
      <c r="N356" s="233"/>
      <c r="O356" s="233"/>
      <c r="P356" s="88"/>
    </row>
    <row r="357" spans="1:16" x14ac:dyDescent="0.2">
      <c r="A357" s="818" t="s">
        <v>4366</v>
      </c>
      <c r="B357" s="231">
        <f>B289</f>
        <v>-414</v>
      </c>
      <c r="C357" s="231">
        <f t="shared" ref="C357:C358" si="406">C370+C383+C396</f>
        <v>-333</v>
      </c>
      <c r="D357" s="231"/>
      <c r="E357" s="231"/>
      <c r="F357" s="101"/>
      <c r="G357" s="231"/>
      <c r="H357" s="231"/>
      <c r="I357" s="231"/>
      <c r="J357" s="231"/>
      <c r="K357" s="231"/>
      <c r="L357" s="231"/>
      <c r="M357" s="233"/>
      <c r="N357" s="233"/>
      <c r="O357" s="233"/>
      <c r="P357" s="88"/>
    </row>
    <row r="358" spans="1:16" x14ac:dyDescent="0.2">
      <c r="A358" s="818" t="s">
        <v>4375</v>
      </c>
      <c r="B358" s="231">
        <f>114521-44</f>
        <v>114477</v>
      </c>
      <c r="C358" s="231">
        <f t="shared" si="406"/>
        <v>84406.3</v>
      </c>
      <c r="D358" s="231">
        <f t="shared" ref="D358:M358" si="407">D350+D357+D356</f>
        <v>89935.7</v>
      </c>
      <c r="E358" s="231">
        <f t="shared" si="407"/>
        <v>92124.7</v>
      </c>
      <c r="F358" s="101">
        <f t="shared" si="407"/>
        <v>97731.1</v>
      </c>
      <c r="G358" s="231">
        <f t="shared" si="407"/>
        <v>102194.6</v>
      </c>
      <c r="H358" s="231">
        <f t="shared" si="407"/>
        <v>97194.6</v>
      </c>
      <c r="I358" s="231">
        <f t="shared" si="407"/>
        <v>98539.6</v>
      </c>
      <c r="J358" s="231">
        <f t="shared" si="407"/>
        <v>106687</v>
      </c>
      <c r="K358" s="231">
        <f t="shared" si="407"/>
        <v>110164.1</v>
      </c>
      <c r="L358" s="231">
        <f t="shared" si="407"/>
        <v>102327.7</v>
      </c>
      <c r="M358" s="233">
        <f t="shared" si="407"/>
        <v>105934.39999999999</v>
      </c>
      <c r="N358" s="233">
        <f t="shared" ref="N358:O358" si="408">N350+N357+N356</f>
        <v>108152.8</v>
      </c>
      <c r="O358" s="233">
        <f t="shared" si="408"/>
        <v>112045.4</v>
      </c>
      <c r="P358" s="88">
        <f t="shared" ref="P358" si="409">P350+P357+P356</f>
        <v>116101.1</v>
      </c>
    </row>
    <row r="359" spans="1:16" s="4" customFormat="1" x14ac:dyDescent="0.2">
      <c r="A359" s="756" t="s">
        <v>4313</v>
      </c>
      <c r="B359" s="1550">
        <f t="shared" ref="B359:M359" si="410">B355/B358</f>
        <v>0.53399372799776379</v>
      </c>
      <c r="C359" s="1550">
        <f t="shared" si="410"/>
        <v>0.7738877311290745</v>
      </c>
      <c r="D359" s="1550">
        <f t="shared" si="410"/>
        <v>0.73873222758037127</v>
      </c>
      <c r="E359" s="1550">
        <f t="shared" si="410"/>
        <v>0.73510687144707121</v>
      </c>
      <c r="F359" s="2578">
        <f t="shared" si="410"/>
        <v>0.74236143868226179</v>
      </c>
      <c r="G359" s="1550">
        <f t="shared" si="410"/>
        <v>0.72420264867223905</v>
      </c>
      <c r="H359" s="1550">
        <f t="shared" si="410"/>
        <v>0.78669288211485</v>
      </c>
      <c r="I359" s="1550">
        <f t="shared" si="410"/>
        <v>0.81133270279156799</v>
      </c>
      <c r="J359" s="1550">
        <f t="shared" si="410"/>
        <v>0.76780957379999437</v>
      </c>
      <c r="K359" s="1550">
        <f t="shared" si="410"/>
        <v>0.77114050766084408</v>
      </c>
      <c r="L359" s="1550">
        <f t="shared" si="410"/>
        <v>0.84700428134317496</v>
      </c>
      <c r="M359" s="997">
        <f t="shared" si="410"/>
        <v>0.8495550076273618</v>
      </c>
      <c r="N359" s="997">
        <f t="shared" ref="N359:O359" si="411">N355/N358</f>
        <v>0.84989015540975354</v>
      </c>
      <c r="O359" s="997">
        <f t="shared" si="411"/>
        <v>0.8523884068422265</v>
      </c>
      <c r="P359" s="1551">
        <f t="shared" ref="P359" si="412">P355/P358</f>
        <v>0.85488337319801455</v>
      </c>
    </row>
    <row r="360" spans="1:16" x14ac:dyDescent="0.2">
      <c r="A360" s="942"/>
      <c r="B360" s="1273"/>
      <c r="C360" s="1273"/>
      <c r="D360" s="1273"/>
      <c r="E360" s="1271"/>
      <c r="F360" s="1271"/>
      <c r="G360" s="1271"/>
      <c r="H360" s="1271"/>
      <c r="I360" s="1271"/>
      <c r="J360" s="1271"/>
      <c r="K360" s="1271"/>
      <c r="L360" s="1271"/>
      <c r="M360" s="1642"/>
      <c r="N360" s="1642"/>
      <c r="O360" s="1642"/>
      <c r="P360" s="1272"/>
    </row>
    <row r="361" spans="1:16" x14ac:dyDescent="0.2">
      <c r="A361" s="1278"/>
      <c r="B361" s="1275"/>
      <c r="C361" s="1275"/>
      <c r="D361" s="1275"/>
      <c r="E361" s="1275"/>
      <c r="F361" s="2567"/>
      <c r="G361" s="1275"/>
      <c r="H361" s="1275"/>
      <c r="I361" s="1275"/>
      <c r="J361" s="1275"/>
      <c r="K361" s="1275"/>
      <c r="L361" s="1275"/>
      <c r="M361" s="1644"/>
      <c r="N361" s="1644"/>
      <c r="O361" s="1644"/>
      <c r="P361" s="1279"/>
    </row>
    <row r="362" spans="1:16" x14ac:dyDescent="0.2">
      <c r="A362" s="756" t="s">
        <v>4314</v>
      </c>
      <c r="B362" s="442"/>
      <c r="C362" s="442"/>
      <c r="D362" s="442"/>
      <c r="E362" s="442"/>
      <c r="F362" s="764"/>
      <c r="G362" s="442"/>
      <c r="H362" s="442"/>
      <c r="I362" s="442"/>
      <c r="J362" s="442"/>
      <c r="K362" s="442"/>
      <c r="L362" s="442"/>
      <c r="M362" s="444"/>
      <c r="N362" s="444"/>
      <c r="O362" s="444"/>
      <c r="P362" s="760"/>
    </row>
    <row r="363" spans="1:16" s="779" customFormat="1" x14ac:dyDescent="0.2">
      <c r="A363" s="818" t="s">
        <v>4367</v>
      </c>
      <c r="B363" s="24">
        <f t="shared" ref="B363:O363" si="413">B302</f>
        <v>88988</v>
      </c>
      <c r="C363" s="24">
        <f t="shared" si="413"/>
        <v>56961</v>
      </c>
      <c r="D363" s="24">
        <f t="shared" si="413"/>
        <v>60810.8</v>
      </c>
      <c r="E363" s="24">
        <f t="shared" si="413"/>
        <v>61040.1</v>
      </c>
      <c r="F363" s="132">
        <f t="shared" si="413"/>
        <v>65146.7</v>
      </c>
      <c r="G363" s="24">
        <f t="shared" si="413"/>
        <v>68881.3</v>
      </c>
      <c r="H363" s="24">
        <f t="shared" si="413"/>
        <v>63080.800000000003</v>
      </c>
      <c r="I363" s="24">
        <f t="shared" si="413"/>
        <v>63583.4</v>
      </c>
      <c r="J363" s="24">
        <f t="shared" si="413"/>
        <v>70476.800000000003</v>
      </c>
      <c r="K363" s="24">
        <f t="shared" si="413"/>
        <v>72792.3</v>
      </c>
      <c r="L363" s="24">
        <f t="shared" si="413"/>
        <v>63834</v>
      </c>
      <c r="M363" s="26">
        <f t="shared" si="413"/>
        <v>66266.5</v>
      </c>
      <c r="N363" s="26">
        <f t="shared" si="413"/>
        <v>67166.8</v>
      </c>
      <c r="O363" s="26">
        <f t="shared" si="413"/>
        <v>69616.100000000006</v>
      </c>
      <c r="P363" s="36">
        <f t="shared" ref="P363" si="414">P302</f>
        <v>72095.899999999994</v>
      </c>
    </row>
    <row r="364" spans="1:16" s="779" customFormat="1" x14ac:dyDescent="0.2">
      <c r="A364" s="818" t="s">
        <v>4364</v>
      </c>
      <c r="B364" s="24">
        <f t="shared" ref="B364:O364" si="415">B304</f>
        <v>0</v>
      </c>
      <c r="C364" s="24">
        <f t="shared" si="415"/>
        <v>0</v>
      </c>
      <c r="D364" s="24">
        <f t="shared" si="415"/>
        <v>0</v>
      </c>
      <c r="E364" s="24">
        <f t="shared" si="415"/>
        <v>0</v>
      </c>
      <c r="F364" s="132">
        <f t="shared" si="415"/>
        <v>0</v>
      </c>
      <c r="G364" s="24">
        <f t="shared" si="415"/>
        <v>0</v>
      </c>
      <c r="H364" s="24">
        <f t="shared" si="415"/>
        <v>0</v>
      </c>
      <c r="I364" s="24">
        <f t="shared" si="415"/>
        <v>0</v>
      </c>
      <c r="J364" s="24">
        <f t="shared" si="415"/>
        <v>0</v>
      </c>
      <c r="K364" s="24">
        <f t="shared" si="415"/>
        <v>0</v>
      </c>
      <c r="L364" s="24">
        <f t="shared" si="415"/>
        <v>0</v>
      </c>
      <c r="M364" s="26">
        <f t="shared" si="415"/>
        <v>0</v>
      </c>
      <c r="N364" s="26">
        <f t="shared" si="415"/>
        <v>0</v>
      </c>
      <c r="O364" s="26">
        <f t="shared" si="415"/>
        <v>0</v>
      </c>
      <c r="P364" s="36">
        <f t="shared" ref="P364" si="416">P304</f>
        <v>0</v>
      </c>
    </row>
    <row r="365" spans="1:16" s="779" customFormat="1" x14ac:dyDescent="0.2">
      <c r="A365" s="818" t="s">
        <v>4359</v>
      </c>
      <c r="B365" s="24">
        <f t="shared" ref="B365:O365" si="417">B305</f>
        <v>-414</v>
      </c>
      <c r="C365" s="24">
        <f t="shared" si="417"/>
        <v>-333</v>
      </c>
      <c r="D365" s="24">
        <f t="shared" si="417"/>
        <v>0</v>
      </c>
      <c r="E365" s="24">
        <f t="shared" si="417"/>
        <v>0</v>
      </c>
      <c r="F365" s="132">
        <f t="shared" si="417"/>
        <v>0</v>
      </c>
      <c r="G365" s="24">
        <f t="shared" si="417"/>
        <v>0</v>
      </c>
      <c r="H365" s="24">
        <f t="shared" si="417"/>
        <v>0</v>
      </c>
      <c r="I365" s="24">
        <f t="shared" si="417"/>
        <v>0</v>
      </c>
      <c r="J365" s="24">
        <f t="shared" si="417"/>
        <v>0</v>
      </c>
      <c r="K365" s="24">
        <f t="shared" si="417"/>
        <v>0</v>
      </c>
      <c r="L365" s="24">
        <f t="shared" si="417"/>
        <v>0</v>
      </c>
      <c r="M365" s="26">
        <f t="shared" si="417"/>
        <v>0</v>
      </c>
      <c r="N365" s="26">
        <f t="shared" si="417"/>
        <v>0</v>
      </c>
      <c r="O365" s="26">
        <f t="shared" si="417"/>
        <v>0</v>
      </c>
      <c r="P365" s="36">
        <f t="shared" ref="P365" si="418">P305</f>
        <v>0</v>
      </c>
    </row>
    <row r="366" spans="1:16" s="779" customFormat="1" x14ac:dyDescent="0.2">
      <c r="A366" s="818" t="s">
        <v>4360</v>
      </c>
      <c r="B366" s="24">
        <f t="shared" ref="B366:O366" si="419">B306</f>
        <v>-37059</v>
      </c>
      <c r="C366" s="24">
        <f t="shared" si="419"/>
        <v>-10914</v>
      </c>
      <c r="D366" s="24">
        <f t="shared" si="419"/>
        <v>-12768</v>
      </c>
      <c r="E366" s="24">
        <f t="shared" si="419"/>
        <v>-11484.1</v>
      </c>
      <c r="F366" s="132">
        <f t="shared" si="419"/>
        <v>-11588.7</v>
      </c>
      <c r="G366" s="24">
        <f t="shared" si="419"/>
        <v>-17478.8</v>
      </c>
      <c r="H366" s="24">
        <f t="shared" si="419"/>
        <v>-10117.299999999999</v>
      </c>
      <c r="I366" s="24">
        <f t="shared" si="419"/>
        <v>-7928.1</v>
      </c>
      <c r="J366" s="24">
        <f t="shared" si="419"/>
        <v>-13946.7</v>
      </c>
      <c r="K366" s="24">
        <f t="shared" si="419"/>
        <v>-14225</v>
      </c>
      <c r="L366" s="24">
        <f t="shared" si="419"/>
        <v>-4508.8</v>
      </c>
      <c r="M366" s="26">
        <f t="shared" si="419"/>
        <v>-4597.1000000000004</v>
      </c>
      <c r="N366" s="26">
        <f t="shared" si="419"/>
        <v>-4688.8</v>
      </c>
      <c r="O366" s="26">
        <f t="shared" si="419"/>
        <v>-4782</v>
      </c>
      <c r="P366" s="36">
        <f t="shared" ref="P366" si="420">P306</f>
        <v>-4876.8999999999996</v>
      </c>
    </row>
    <row r="367" spans="1:16" s="779" customFormat="1" x14ac:dyDescent="0.2">
      <c r="A367" s="818" t="s">
        <v>4365</v>
      </c>
      <c r="B367" s="24">
        <v>-13493</v>
      </c>
      <c r="C367" s="24">
        <v>-5216</v>
      </c>
      <c r="D367" s="24">
        <f>-Summaries!Q11/1000</f>
        <v>-7529.3</v>
      </c>
      <c r="E367" s="24">
        <f>-Summaries!R11/1000</f>
        <v>-9075.2000000000007</v>
      </c>
      <c r="F367" s="132">
        <f>-Summaries!S11/1000</f>
        <v>-10317.700000000001</v>
      </c>
      <c r="G367" s="24">
        <f>-Summaries!T11/1000</f>
        <v>-7398.1</v>
      </c>
      <c r="H367" s="24">
        <f>-Summaries!U11/1000</f>
        <v>-7250.3</v>
      </c>
      <c r="I367" s="24">
        <f>-Summaries!V11/1000</f>
        <v>-7236.6</v>
      </c>
      <c r="J367" s="24">
        <f>-Summaries!W11/1000</f>
        <v>-7336.9</v>
      </c>
      <c r="K367" s="24">
        <f>-Summaries!X11/1000</f>
        <v>-7427.3</v>
      </c>
      <c r="L367" s="24">
        <f>-Summaries!Y11/1000</f>
        <v>-7525.4</v>
      </c>
      <c r="M367" s="26">
        <f>-Summaries!Z11/1000</f>
        <v>-7657</v>
      </c>
      <c r="N367" s="26">
        <f>-Summaries!AA11/1000</f>
        <v>-7801</v>
      </c>
      <c r="O367" s="26">
        <f>-Summaries!AB11/1000</f>
        <v>-7950.5</v>
      </c>
      <c r="P367" s="36">
        <f>-Summaries!AC11/1000</f>
        <v>-8102.9</v>
      </c>
    </row>
    <row r="368" spans="1:16" x14ac:dyDescent="0.2">
      <c r="A368" s="945" t="s">
        <v>2863</v>
      </c>
      <c r="B368" s="905">
        <f t="shared" ref="B368:M368" si="421">SUM(B363:B367)</f>
        <v>38022</v>
      </c>
      <c r="C368" s="905">
        <f t="shared" si="421"/>
        <v>40498</v>
      </c>
      <c r="D368" s="905">
        <f t="shared" si="421"/>
        <v>40513.5</v>
      </c>
      <c r="E368" s="905">
        <f t="shared" si="421"/>
        <v>40480.800000000003</v>
      </c>
      <c r="F368" s="1541">
        <f t="shared" si="421"/>
        <v>43240.3</v>
      </c>
      <c r="G368" s="905">
        <f t="shared" si="421"/>
        <v>44004.4</v>
      </c>
      <c r="H368" s="905">
        <f t="shared" si="421"/>
        <v>45713.2</v>
      </c>
      <c r="I368" s="905">
        <f t="shared" si="421"/>
        <v>48418.700000000004</v>
      </c>
      <c r="J368" s="905">
        <f t="shared" si="421"/>
        <v>49193.200000000004</v>
      </c>
      <c r="K368" s="905">
        <f t="shared" si="421"/>
        <v>51140</v>
      </c>
      <c r="L368" s="905">
        <f t="shared" si="421"/>
        <v>51799.799999999996</v>
      </c>
      <c r="M368" s="1660">
        <f t="shared" si="421"/>
        <v>54012.4</v>
      </c>
      <c r="N368" s="1660">
        <f t="shared" ref="N368:O368" si="422">SUM(N363:N367)</f>
        <v>54677</v>
      </c>
      <c r="O368" s="1660">
        <f t="shared" si="422"/>
        <v>56883.600000000006</v>
      </c>
      <c r="P368" s="1047">
        <f t="shared" ref="P368" si="423">SUM(P363:P367)</f>
        <v>59116.1</v>
      </c>
    </row>
    <row r="369" spans="1:18" x14ac:dyDescent="0.2">
      <c r="A369" s="818" t="s">
        <v>4374</v>
      </c>
      <c r="B369" s="231">
        <f t="shared" ref="B369:M369" si="424">B364</f>
        <v>0</v>
      </c>
      <c r="C369" s="231">
        <f t="shared" si="424"/>
        <v>0</v>
      </c>
      <c r="D369" s="231">
        <f t="shared" si="424"/>
        <v>0</v>
      </c>
      <c r="E369" s="231">
        <f t="shared" si="424"/>
        <v>0</v>
      </c>
      <c r="F369" s="101">
        <f t="shared" si="424"/>
        <v>0</v>
      </c>
      <c r="G369" s="231">
        <f t="shared" si="424"/>
        <v>0</v>
      </c>
      <c r="H369" s="231">
        <f t="shared" si="424"/>
        <v>0</v>
      </c>
      <c r="I369" s="231">
        <f t="shared" si="424"/>
        <v>0</v>
      </c>
      <c r="J369" s="231">
        <f t="shared" si="424"/>
        <v>0</v>
      </c>
      <c r="K369" s="231">
        <f t="shared" si="424"/>
        <v>0</v>
      </c>
      <c r="L369" s="231">
        <f t="shared" si="424"/>
        <v>0</v>
      </c>
      <c r="M369" s="233">
        <f t="shared" si="424"/>
        <v>0</v>
      </c>
      <c r="N369" s="233">
        <f t="shared" ref="N369:O369" si="425">N364</f>
        <v>0</v>
      </c>
      <c r="O369" s="233">
        <f t="shared" si="425"/>
        <v>0</v>
      </c>
      <c r="P369" s="88">
        <f t="shared" ref="P369" si="426">P364</f>
        <v>0</v>
      </c>
    </row>
    <row r="370" spans="1:18" x14ac:dyDescent="0.2">
      <c r="A370" s="818" t="s">
        <v>4366</v>
      </c>
      <c r="B370" s="231">
        <f t="shared" ref="B370:O370" si="427">B305</f>
        <v>-414</v>
      </c>
      <c r="C370" s="231">
        <f t="shared" si="427"/>
        <v>-333</v>
      </c>
      <c r="D370" s="231">
        <f t="shared" si="427"/>
        <v>0</v>
      </c>
      <c r="E370" s="231">
        <f t="shared" si="427"/>
        <v>0</v>
      </c>
      <c r="F370" s="101">
        <f t="shared" si="427"/>
        <v>0</v>
      </c>
      <c r="G370" s="231">
        <f t="shared" si="427"/>
        <v>0</v>
      </c>
      <c r="H370" s="231">
        <f t="shared" si="427"/>
        <v>0</v>
      </c>
      <c r="I370" s="231">
        <f t="shared" si="427"/>
        <v>0</v>
      </c>
      <c r="J370" s="231">
        <f t="shared" si="427"/>
        <v>0</v>
      </c>
      <c r="K370" s="231">
        <f t="shared" si="427"/>
        <v>0</v>
      </c>
      <c r="L370" s="231">
        <f t="shared" si="427"/>
        <v>0</v>
      </c>
      <c r="M370" s="233">
        <f t="shared" si="427"/>
        <v>0</v>
      </c>
      <c r="N370" s="233">
        <f t="shared" si="427"/>
        <v>0</v>
      </c>
      <c r="O370" s="233">
        <f t="shared" si="427"/>
        <v>0</v>
      </c>
      <c r="P370" s="88">
        <f t="shared" ref="P370" si="428">P305</f>
        <v>0</v>
      </c>
    </row>
    <row r="371" spans="1:18" x14ac:dyDescent="0.2">
      <c r="A371" s="818" t="s">
        <v>4375</v>
      </c>
      <c r="B371" s="231">
        <f t="shared" ref="B371:M371" si="429">B363+B370+B369</f>
        <v>88574</v>
      </c>
      <c r="C371" s="231">
        <f t="shared" si="429"/>
        <v>56628</v>
      </c>
      <c r="D371" s="231">
        <f t="shared" si="429"/>
        <v>60810.8</v>
      </c>
      <c r="E371" s="231">
        <f t="shared" si="429"/>
        <v>61040.1</v>
      </c>
      <c r="F371" s="101">
        <f t="shared" si="429"/>
        <v>65146.7</v>
      </c>
      <c r="G371" s="231">
        <f t="shared" si="429"/>
        <v>68881.3</v>
      </c>
      <c r="H371" s="231">
        <f t="shared" si="429"/>
        <v>63080.800000000003</v>
      </c>
      <c r="I371" s="231">
        <f t="shared" si="429"/>
        <v>63583.4</v>
      </c>
      <c r="J371" s="231">
        <f t="shared" si="429"/>
        <v>70476.800000000003</v>
      </c>
      <c r="K371" s="231">
        <f t="shared" si="429"/>
        <v>72792.3</v>
      </c>
      <c r="L371" s="231">
        <f t="shared" si="429"/>
        <v>63834</v>
      </c>
      <c r="M371" s="233">
        <f t="shared" si="429"/>
        <v>66266.5</v>
      </c>
      <c r="N371" s="233">
        <f t="shared" ref="N371:O371" si="430">N363+N370+N369</f>
        <v>67166.8</v>
      </c>
      <c r="O371" s="233">
        <f t="shared" si="430"/>
        <v>69616.100000000006</v>
      </c>
      <c r="P371" s="88">
        <f t="shared" ref="P371" si="431">P363+P370+P369</f>
        <v>72095.899999999994</v>
      </c>
    </row>
    <row r="372" spans="1:18" s="4" customFormat="1" x14ac:dyDescent="0.2">
      <c r="A372" s="756" t="s">
        <v>4315</v>
      </c>
      <c r="B372" s="1494">
        <f t="shared" ref="B372:M372" si="432">B368/B371</f>
        <v>0.42926818253663601</v>
      </c>
      <c r="C372" s="1494">
        <f t="shared" si="432"/>
        <v>0.71515857879494238</v>
      </c>
      <c r="D372" s="1494">
        <f t="shared" si="432"/>
        <v>0.66622211843948764</v>
      </c>
      <c r="E372" s="1494">
        <f t="shared" si="432"/>
        <v>0.66318371038055313</v>
      </c>
      <c r="F372" s="2571">
        <f t="shared" si="432"/>
        <v>0.66373738040453323</v>
      </c>
      <c r="G372" s="1494">
        <f t="shared" si="432"/>
        <v>0.63884392425810776</v>
      </c>
      <c r="H372" s="1494">
        <f t="shared" si="432"/>
        <v>0.72467692229648317</v>
      </c>
      <c r="I372" s="1494">
        <f t="shared" si="432"/>
        <v>0.76149907051211485</v>
      </c>
      <c r="J372" s="1494">
        <f t="shared" si="432"/>
        <v>0.69800558481656383</v>
      </c>
      <c r="K372" s="1494">
        <f t="shared" si="432"/>
        <v>0.70254683531087758</v>
      </c>
      <c r="L372" s="1494">
        <f t="shared" si="432"/>
        <v>0.81147664254159224</v>
      </c>
      <c r="M372" s="2041">
        <f t="shared" si="432"/>
        <v>0.81507850874876453</v>
      </c>
      <c r="N372" s="2041">
        <f t="shared" ref="N372:O372" si="433">N368/N371</f>
        <v>0.81404801181536113</v>
      </c>
      <c r="O372" s="2041">
        <f t="shared" si="433"/>
        <v>0.81710408942758928</v>
      </c>
      <c r="P372" s="2042">
        <f t="shared" ref="P372" si="434">P368/P371</f>
        <v>0.8199647968885887</v>
      </c>
    </row>
    <row r="373" spans="1:18" x14ac:dyDescent="0.2">
      <c r="A373" s="942"/>
      <c r="B373" s="1273"/>
      <c r="C373" s="1273"/>
      <c r="D373" s="1273"/>
      <c r="E373" s="1271"/>
      <c r="F373" s="1271"/>
      <c r="G373" s="1271"/>
      <c r="H373" s="1271"/>
      <c r="I373" s="1271"/>
      <c r="J373" s="1271"/>
      <c r="K373" s="1271"/>
      <c r="L373" s="1271"/>
      <c r="M373" s="1642"/>
      <c r="N373" s="1642"/>
      <c r="O373" s="1642"/>
      <c r="P373" s="1272"/>
    </row>
    <row r="374" spans="1:18" x14ac:dyDescent="0.2">
      <c r="A374" s="1278"/>
      <c r="B374" s="1275"/>
      <c r="C374" s="1275"/>
      <c r="D374" s="1275"/>
      <c r="E374" s="1275"/>
      <c r="F374" s="2567"/>
      <c r="G374" s="1275"/>
      <c r="H374" s="1275"/>
      <c r="I374" s="1275"/>
      <c r="J374" s="1275"/>
      <c r="K374" s="1275"/>
      <c r="L374" s="1275"/>
      <c r="M374" s="1644"/>
      <c r="N374" s="1644"/>
      <c r="O374" s="1644"/>
      <c r="P374" s="1279"/>
    </row>
    <row r="375" spans="1:18" x14ac:dyDescent="0.2">
      <c r="A375" s="756" t="s">
        <v>4316</v>
      </c>
      <c r="B375" s="442"/>
      <c r="C375" s="442"/>
      <c r="D375" s="442"/>
      <c r="E375" s="442"/>
      <c r="F375" s="764"/>
      <c r="G375" s="442"/>
      <c r="H375" s="442"/>
      <c r="I375" s="442"/>
      <c r="J375" s="442"/>
      <c r="K375" s="442"/>
      <c r="L375" s="442"/>
      <c r="M375" s="444"/>
      <c r="N375" s="444"/>
      <c r="O375" s="444"/>
      <c r="P375" s="760"/>
    </row>
    <row r="376" spans="1:18" s="779" customFormat="1" x14ac:dyDescent="0.2">
      <c r="A376" s="818" t="s">
        <v>4367</v>
      </c>
      <c r="B376" s="24">
        <f t="shared" ref="B376:O376" si="435">B319</f>
        <v>10641</v>
      </c>
      <c r="C376" s="24">
        <f t="shared" si="435"/>
        <v>11327.6</v>
      </c>
      <c r="D376" s="24">
        <f t="shared" si="435"/>
        <v>11656.8</v>
      </c>
      <c r="E376" s="24">
        <f t="shared" si="435"/>
        <v>12259</v>
      </c>
      <c r="F376" s="132">
        <f t="shared" si="435"/>
        <v>12833</v>
      </c>
      <c r="G376" s="24">
        <f t="shared" si="435"/>
        <v>12929.3</v>
      </c>
      <c r="H376" s="24">
        <f t="shared" si="435"/>
        <v>13235.3</v>
      </c>
      <c r="I376" s="24">
        <f t="shared" si="435"/>
        <v>13525.2</v>
      </c>
      <c r="J376" s="24">
        <f t="shared" si="435"/>
        <v>14011.7</v>
      </c>
      <c r="K376" s="24">
        <f t="shared" si="435"/>
        <v>14566.3</v>
      </c>
      <c r="L376" s="24">
        <f t="shared" si="435"/>
        <v>15026.3</v>
      </c>
      <c r="M376" s="26">
        <f t="shared" si="435"/>
        <v>15554.9</v>
      </c>
      <c r="N376" s="26">
        <f t="shared" si="435"/>
        <v>16132.7</v>
      </c>
      <c r="O376" s="26">
        <f t="shared" si="435"/>
        <v>16742.3</v>
      </c>
      <c r="P376" s="36">
        <f t="shared" ref="P376" si="436">P319</f>
        <v>17459.099999999999</v>
      </c>
    </row>
    <row r="377" spans="1:18" s="779" customFormat="1" x14ac:dyDescent="0.2">
      <c r="A377" s="818" t="s">
        <v>4364</v>
      </c>
      <c r="B377" s="24">
        <f t="shared" ref="B377:O377" si="437">B320</f>
        <v>0</v>
      </c>
      <c r="C377" s="24">
        <f t="shared" si="437"/>
        <v>0</v>
      </c>
      <c r="D377" s="24">
        <f t="shared" si="437"/>
        <v>0</v>
      </c>
      <c r="E377" s="24">
        <f t="shared" si="437"/>
        <v>0</v>
      </c>
      <c r="F377" s="132">
        <f t="shared" si="437"/>
        <v>0</v>
      </c>
      <c r="G377" s="24">
        <f t="shared" si="437"/>
        <v>0</v>
      </c>
      <c r="H377" s="24">
        <f t="shared" si="437"/>
        <v>0</v>
      </c>
      <c r="I377" s="24">
        <f t="shared" si="437"/>
        <v>0</v>
      </c>
      <c r="J377" s="24">
        <f t="shared" si="437"/>
        <v>0</v>
      </c>
      <c r="K377" s="24">
        <f t="shared" si="437"/>
        <v>0</v>
      </c>
      <c r="L377" s="24">
        <f t="shared" si="437"/>
        <v>0</v>
      </c>
      <c r="M377" s="26">
        <f t="shared" si="437"/>
        <v>0</v>
      </c>
      <c r="N377" s="26">
        <f t="shared" si="437"/>
        <v>0</v>
      </c>
      <c r="O377" s="26">
        <f t="shared" si="437"/>
        <v>0</v>
      </c>
      <c r="P377" s="36">
        <f t="shared" ref="P377" si="438">P320</f>
        <v>0</v>
      </c>
    </row>
    <row r="378" spans="1:18" s="779" customFormat="1" x14ac:dyDescent="0.2">
      <c r="A378" s="818" t="s">
        <v>4359</v>
      </c>
      <c r="B378" s="24">
        <f t="shared" ref="B378:O378" si="439">B321</f>
        <v>0</v>
      </c>
      <c r="C378" s="24">
        <f t="shared" si="439"/>
        <v>0</v>
      </c>
      <c r="D378" s="24">
        <f t="shared" si="439"/>
        <v>0</v>
      </c>
      <c r="E378" s="24">
        <f t="shared" si="439"/>
        <v>0</v>
      </c>
      <c r="F378" s="132">
        <f t="shared" si="439"/>
        <v>0</v>
      </c>
      <c r="G378" s="24">
        <f t="shared" si="439"/>
        <v>0</v>
      </c>
      <c r="H378" s="24">
        <f t="shared" si="439"/>
        <v>0</v>
      </c>
      <c r="I378" s="24">
        <f t="shared" si="439"/>
        <v>0</v>
      </c>
      <c r="J378" s="24">
        <f t="shared" si="439"/>
        <v>0</v>
      </c>
      <c r="K378" s="24">
        <f t="shared" si="439"/>
        <v>0</v>
      </c>
      <c r="L378" s="24">
        <f t="shared" si="439"/>
        <v>0</v>
      </c>
      <c r="M378" s="26">
        <f t="shared" si="439"/>
        <v>0</v>
      </c>
      <c r="N378" s="26">
        <f t="shared" si="439"/>
        <v>0</v>
      </c>
      <c r="O378" s="26">
        <f t="shared" si="439"/>
        <v>0</v>
      </c>
      <c r="P378" s="36">
        <f t="shared" ref="P378" si="440">P321</f>
        <v>0</v>
      </c>
    </row>
    <row r="379" spans="1:18" s="779" customFormat="1" x14ac:dyDescent="0.2">
      <c r="A379" s="818" t="s">
        <v>4360</v>
      </c>
      <c r="B379" s="24">
        <f t="shared" ref="B379:O379" si="441">B322</f>
        <v>-1008</v>
      </c>
      <c r="C379" s="24">
        <f t="shared" si="441"/>
        <v>-638.5</v>
      </c>
      <c r="D379" s="24">
        <f t="shared" si="441"/>
        <v>-763.3</v>
      </c>
      <c r="E379" s="24">
        <f t="shared" si="441"/>
        <v>-1059.9000000000001</v>
      </c>
      <c r="F379" s="132">
        <f t="shared" si="441"/>
        <v>-919.4</v>
      </c>
      <c r="G379" s="24">
        <f t="shared" si="441"/>
        <v>-775</v>
      </c>
      <c r="H379" s="24">
        <f t="shared" si="441"/>
        <v>-800</v>
      </c>
      <c r="I379" s="24">
        <f t="shared" si="441"/>
        <v>-820</v>
      </c>
      <c r="J379" s="24">
        <f t="shared" si="441"/>
        <v>-840</v>
      </c>
      <c r="K379" s="24">
        <f t="shared" si="441"/>
        <v>-860</v>
      </c>
      <c r="L379" s="24">
        <f t="shared" si="441"/>
        <v>-880</v>
      </c>
      <c r="M379" s="26">
        <f t="shared" si="441"/>
        <v>-900</v>
      </c>
      <c r="N379" s="26">
        <f t="shared" si="441"/>
        <v>-920</v>
      </c>
      <c r="O379" s="26">
        <f t="shared" si="441"/>
        <v>-940</v>
      </c>
      <c r="P379" s="36">
        <f t="shared" ref="P379" si="442">P322</f>
        <v>-960</v>
      </c>
      <c r="R379" s="78"/>
    </row>
    <row r="380" spans="1:18" s="779" customFormat="1" x14ac:dyDescent="0.2">
      <c r="A380" s="818" t="s">
        <v>4365</v>
      </c>
      <c r="B380" s="24">
        <v>-155</v>
      </c>
      <c r="C380" s="24">
        <f>-'W&amp;W'!B46/1000</f>
        <v>-151.80000000000001</v>
      </c>
      <c r="D380" s="24">
        <f>-'W&amp;W'!C46/1000</f>
        <v>-152.6</v>
      </c>
      <c r="E380" s="24">
        <f>-'W&amp;W'!D46/1000</f>
        <v>-157.4</v>
      </c>
      <c r="F380" s="132">
        <f>-'W&amp;W'!G46/1000</f>
        <v>-155.30000000000001</v>
      </c>
      <c r="G380" s="24">
        <f>-'W&amp;W'!I46/1000</f>
        <v>-144</v>
      </c>
      <c r="H380" s="24">
        <f>-'W&amp;W'!J46/1000</f>
        <v>-144.69999999999999</v>
      </c>
      <c r="I380" s="24">
        <f>-'W&amp;W'!K46/1000</f>
        <v>-145.5</v>
      </c>
      <c r="J380" s="24">
        <f>-'W&amp;W'!L46/1000</f>
        <v>-146.19999999999999</v>
      </c>
      <c r="K380" s="24">
        <f>-'W&amp;W'!M46/1000</f>
        <v>-147</v>
      </c>
      <c r="L380" s="24">
        <f>-'W&amp;W'!N46/1000</f>
        <v>-147.80000000000001</v>
      </c>
      <c r="M380" s="26">
        <f>-'W&amp;W'!O46/1000</f>
        <v>-148.6</v>
      </c>
      <c r="N380" s="26">
        <f>-'W&amp;W'!P46/1000</f>
        <v>-149.5</v>
      </c>
      <c r="O380" s="26">
        <f>-'W&amp;W'!Q46/1000</f>
        <v>-150.30000000000001</v>
      </c>
      <c r="P380" s="36">
        <f>-'W&amp;W'!R46/1000</f>
        <v>-151.1</v>
      </c>
    </row>
    <row r="381" spans="1:18" x14ac:dyDescent="0.2">
      <c r="A381" s="945" t="s">
        <v>2863</v>
      </c>
      <c r="B381" s="905">
        <f t="shared" ref="B381:M381" si="443">SUM(B376:B380)</f>
        <v>9478</v>
      </c>
      <c r="C381" s="905">
        <f t="shared" si="443"/>
        <v>10537.300000000001</v>
      </c>
      <c r="D381" s="905">
        <f t="shared" si="443"/>
        <v>10740.9</v>
      </c>
      <c r="E381" s="905">
        <f t="shared" si="443"/>
        <v>11041.7</v>
      </c>
      <c r="F381" s="1541">
        <f t="shared" si="443"/>
        <v>11758.300000000001</v>
      </c>
      <c r="G381" s="905">
        <f t="shared" si="443"/>
        <v>12010.3</v>
      </c>
      <c r="H381" s="905">
        <f t="shared" si="443"/>
        <v>12290.599999999999</v>
      </c>
      <c r="I381" s="905">
        <f t="shared" si="443"/>
        <v>12559.7</v>
      </c>
      <c r="J381" s="905">
        <f t="shared" si="443"/>
        <v>13025.5</v>
      </c>
      <c r="K381" s="905">
        <f t="shared" si="443"/>
        <v>13559.3</v>
      </c>
      <c r="L381" s="905">
        <f t="shared" si="443"/>
        <v>13998.5</v>
      </c>
      <c r="M381" s="1660">
        <f t="shared" si="443"/>
        <v>14506.3</v>
      </c>
      <c r="N381" s="1660">
        <f t="shared" ref="N381:O381" si="444">SUM(N376:N380)</f>
        <v>15063.2</v>
      </c>
      <c r="O381" s="1660">
        <f t="shared" si="444"/>
        <v>15652</v>
      </c>
      <c r="P381" s="1047">
        <f t="shared" ref="P381" si="445">SUM(P376:P380)</f>
        <v>16347.999999999998</v>
      </c>
    </row>
    <row r="382" spans="1:18" x14ac:dyDescent="0.2">
      <c r="A382" s="818" t="s">
        <v>4374</v>
      </c>
      <c r="B382" s="231">
        <f t="shared" ref="B382:M382" si="446">B377</f>
        <v>0</v>
      </c>
      <c r="C382" s="231">
        <f t="shared" si="446"/>
        <v>0</v>
      </c>
      <c r="D382" s="231">
        <f t="shared" si="446"/>
        <v>0</v>
      </c>
      <c r="E382" s="231">
        <f t="shared" si="446"/>
        <v>0</v>
      </c>
      <c r="F382" s="101">
        <f t="shared" si="446"/>
        <v>0</v>
      </c>
      <c r="G382" s="231">
        <f t="shared" si="446"/>
        <v>0</v>
      </c>
      <c r="H382" s="231">
        <f t="shared" si="446"/>
        <v>0</v>
      </c>
      <c r="I382" s="231">
        <f t="shared" si="446"/>
        <v>0</v>
      </c>
      <c r="J382" s="231">
        <f t="shared" si="446"/>
        <v>0</v>
      </c>
      <c r="K382" s="231">
        <f t="shared" si="446"/>
        <v>0</v>
      </c>
      <c r="L382" s="231">
        <f t="shared" si="446"/>
        <v>0</v>
      </c>
      <c r="M382" s="233">
        <f t="shared" si="446"/>
        <v>0</v>
      </c>
      <c r="N382" s="233">
        <f t="shared" ref="N382:O382" si="447">N377</f>
        <v>0</v>
      </c>
      <c r="O382" s="233">
        <f t="shared" si="447"/>
        <v>0</v>
      </c>
      <c r="P382" s="88">
        <f t="shared" ref="P382" si="448">P377</f>
        <v>0</v>
      </c>
    </row>
    <row r="383" spans="1:18" x14ac:dyDescent="0.2">
      <c r="A383" s="818" t="s">
        <v>4366</v>
      </c>
      <c r="B383" s="231">
        <f t="shared" ref="B383:M383" si="449">B378</f>
        <v>0</v>
      </c>
      <c r="C383" s="231">
        <f t="shared" si="449"/>
        <v>0</v>
      </c>
      <c r="D383" s="231">
        <f t="shared" si="449"/>
        <v>0</v>
      </c>
      <c r="E383" s="231">
        <f t="shared" si="449"/>
        <v>0</v>
      </c>
      <c r="F383" s="101">
        <f t="shared" si="449"/>
        <v>0</v>
      </c>
      <c r="G383" s="231">
        <f t="shared" si="449"/>
        <v>0</v>
      </c>
      <c r="H383" s="231">
        <f t="shared" si="449"/>
        <v>0</v>
      </c>
      <c r="I383" s="231">
        <f t="shared" si="449"/>
        <v>0</v>
      </c>
      <c r="J383" s="231">
        <f t="shared" si="449"/>
        <v>0</v>
      </c>
      <c r="K383" s="231">
        <f t="shared" si="449"/>
        <v>0</v>
      </c>
      <c r="L383" s="231">
        <f t="shared" si="449"/>
        <v>0</v>
      </c>
      <c r="M383" s="233">
        <f t="shared" si="449"/>
        <v>0</v>
      </c>
      <c r="N383" s="233">
        <f t="shared" ref="N383:O383" si="450">N378</f>
        <v>0</v>
      </c>
      <c r="O383" s="233">
        <f t="shared" si="450"/>
        <v>0</v>
      </c>
      <c r="P383" s="88">
        <f t="shared" ref="P383" si="451">P378</f>
        <v>0</v>
      </c>
    </row>
    <row r="384" spans="1:18" x14ac:dyDescent="0.2">
      <c r="A384" s="818" t="s">
        <v>4375</v>
      </c>
      <c r="B384" s="231">
        <f t="shared" ref="B384:M384" si="452">B376+B382+B383</f>
        <v>10641</v>
      </c>
      <c r="C384" s="231">
        <f t="shared" si="452"/>
        <v>11327.6</v>
      </c>
      <c r="D384" s="231">
        <f t="shared" si="452"/>
        <v>11656.8</v>
      </c>
      <c r="E384" s="231">
        <f t="shared" si="452"/>
        <v>12259</v>
      </c>
      <c r="F384" s="101">
        <f t="shared" si="452"/>
        <v>12833</v>
      </c>
      <c r="G384" s="231">
        <f t="shared" si="452"/>
        <v>12929.3</v>
      </c>
      <c r="H384" s="231">
        <f t="shared" si="452"/>
        <v>13235.3</v>
      </c>
      <c r="I384" s="231">
        <f t="shared" si="452"/>
        <v>13525.2</v>
      </c>
      <c r="J384" s="231">
        <f t="shared" si="452"/>
        <v>14011.7</v>
      </c>
      <c r="K384" s="231">
        <f t="shared" si="452"/>
        <v>14566.3</v>
      </c>
      <c r="L384" s="231">
        <f t="shared" si="452"/>
        <v>15026.3</v>
      </c>
      <c r="M384" s="233">
        <f t="shared" si="452"/>
        <v>15554.9</v>
      </c>
      <c r="N384" s="233">
        <f t="shared" ref="N384:O384" si="453">N376+N382+N383</f>
        <v>16132.7</v>
      </c>
      <c r="O384" s="233">
        <f t="shared" si="453"/>
        <v>16742.3</v>
      </c>
      <c r="P384" s="88">
        <f t="shared" ref="P384" si="454">P376+P382+P383</f>
        <v>17459.099999999999</v>
      </c>
    </row>
    <row r="385" spans="1:19" s="4" customFormat="1" x14ac:dyDescent="0.2">
      <c r="A385" s="756" t="s">
        <v>4317</v>
      </c>
      <c r="B385" s="1494">
        <f t="shared" ref="B385:M385" si="455">B381/B384</f>
        <v>0.89070576073677288</v>
      </c>
      <c r="C385" s="1494">
        <f t="shared" si="455"/>
        <v>0.93023235283731776</v>
      </c>
      <c r="D385" s="1494">
        <f t="shared" si="455"/>
        <v>0.92142783611282686</v>
      </c>
      <c r="E385" s="1494">
        <f t="shared" si="455"/>
        <v>0.900701525409903</v>
      </c>
      <c r="F385" s="2571">
        <f t="shared" si="455"/>
        <v>0.91625496766149783</v>
      </c>
      <c r="G385" s="1494">
        <f t="shared" si="455"/>
        <v>0.92892113262125564</v>
      </c>
      <c r="H385" s="1494">
        <f t="shared" si="455"/>
        <v>0.92862269838991174</v>
      </c>
      <c r="I385" s="1494">
        <f t="shared" si="455"/>
        <v>0.92861473397805583</v>
      </c>
      <c r="J385" s="1494">
        <f t="shared" si="455"/>
        <v>0.92961596380167999</v>
      </c>
      <c r="K385" s="1494">
        <f t="shared" si="455"/>
        <v>0.93086782504822774</v>
      </c>
      <c r="L385" s="1494">
        <f t="shared" si="455"/>
        <v>0.93159992812601911</v>
      </c>
      <c r="M385" s="2041">
        <f t="shared" si="455"/>
        <v>0.93258715903027334</v>
      </c>
      <c r="N385" s="2041">
        <f t="shared" ref="N385:O385" si="456">N381/N384</f>
        <v>0.93370607523849081</v>
      </c>
      <c r="O385" s="2041">
        <f t="shared" si="456"/>
        <v>0.93487752578797423</v>
      </c>
      <c r="P385" s="2042">
        <f t="shared" ref="P385" si="457">P381/P384</f>
        <v>0.93635983527215028</v>
      </c>
    </row>
    <row r="386" spans="1:19" x14ac:dyDescent="0.2">
      <c r="A386" s="942"/>
      <c r="B386" s="1273"/>
      <c r="C386" s="1273"/>
      <c r="D386" s="1273"/>
      <c r="E386" s="1271"/>
      <c r="F386" s="1271"/>
      <c r="G386" s="1271"/>
      <c r="H386" s="1271"/>
      <c r="I386" s="1271"/>
      <c r="J386" s="1271"/>
      <c r="K386" s="1271"/>
      <c r="L386" s="1271"/>
      <c r="M386" s="1642"/>
      <c r="N386" s="1642"/>
      <c r="O386" s="1642"/>
      <c r="P386" s="1272"/>
    </row>
    <row r="387" spans="1:19" x14ac:dyDescent="0.2">
      <c r="A387" s="1278"/>
      <c r="B387" s="1275"/>
      <c r="C387" s="1275"/>
      <c r="D387" s="1275"/>
      <c r="E387" s="1275"/>
      <c r="F387" s="2567"/>
      <c r="G387" s="1275"/>
      <c r="H387" s="1275"/>
      <c r="I387" s="1275"/>
      <c r="J387" s="1275"/>
      <c r="K387" s="1275"/>
      <c r="L387" s="1275"/>
      <c r="M387" s="1644"/>
      <c r="N387" s="1644"/>
      <c r="O387" s="1644"/>
      <c r="P387" s="1279"/>
    </row>
    <row r="388" spans="1:19" x14ac:dyDescent="0.2">
      <c r="A388" s="756" t="s">
        <v>4318</v>
      </c>
      <c r="B388" s="442"/>
      <c r="C388" s="442"/>
      <c r="D388" s="442"/>
      <c r="E388" s="442"/>
      <c r="F388" s="764"/>
      <c r="G388" s="442"/>
      <c r="H388" s="442"/>
      <c r="I388" s="442"/>
      <c r="J388" s="442"/>
      <c r="K388" s="442"/>
      <c r="L388" s="442"/>
      <c r="M388" s="444"/>
      <c r="N388" s="444"/>
      <c r="O388" s="444"/>
      <c r="P388" s="760"/>
    </row>
    <row r="389" spans="1:19" s="779" customFormat="1" x14ac:dyDescent="0.2">
      <c r="A389" s="818" t="s">
        <v>4367</v>
      </c>
      <c r="B389" s="24">
        <f t="shared" ref="B389:M389" si="458">B333</f>
        <v>15262</v>
      </c>
      <c r="C389" s="24">
        <f t="shared" si="458"/>
        <v>16456.7</v>
      </c>
      <c r="D389" s="24">
        <f t="shared" si="458"/>
        <v>17468.099999999999</v>
      </c>
      <c r="E389" s="24">
        <f t="shared" si="458"/>
        <v>18825.599999999999</v>
      </c>
      <c r="F389" s="132">
        <f t="shared" si="458"/>
        <v>19751.400000000001</v>
      </c>
      <c r="G389" s="24">
        <f t="shared" si="458"/>
        <v>20384</v>
      </c>
      <c r="H389" s="24">
        <f t="shared" si="458"/>
        <v>20878.5</v>
      </c>
      <c r="I389" s="24">
        <f t="shared" si="458"/>
        <v>21431</v>
      </c>
      <c r="J389" s="24">
        <f t="shared" si="458"/>
        <v>22198.5</v>
      </c>
      <c r="K389" s="24">
        <f t="shared" si="458"/>
        <v>22805.5</v>
      </c>
      <c r="L389" s="24">
        <f t="shared" si="458"/>
        <v>23467.4</v>
      </c>
      <c r="M389" s="26">
        <f t="shared" si="458"/>
        <v>24113</v>
      </c>
      <c r="N389" s="26">
        <f t="shared" ref="N389:O389" si="459">N333</f>
        <v>24853.3</v>
      </c>
      <c r="O389" s="26">
        <f t="shared" si="459"/>
        <v>25687</v>
      </c>
      <c r="P389" s="36">
        <f t="shared" ref="P389" si="460">P333</f>
        <v>26546.1</v>
      </c>
    </row>
    <row r="390" spans="1:19" s="779" customFormat="1" x14ac:dyDescent="0.2">
      <c r="A390" s="818" t="s">
        <v>4364</v>
      </c>
      <c r="B390" s="24">
        <f t="shared" ref="B390:M390" si="461">B334</f>
        <v>0</v>
      </c>
      <c r="C390" s="24">
        <f t="shared" si="461"/>
        <v>-6</v>
      </c>
      <c r="D390" s="24">
        <f t="shared" si="461"/>
        <v>0</v>
      </c>
      <c r="E390" s="24">
        <f t="shared" si="461"/>
        <v>0</v>
      </c>
      <c r="F390" s="132">
        <f t="shared" si="461"/>
        <v>0</v>
      </c>
      <c r="G390" s="24">
        <f t="shared" si="461"/>
        <v>0</v>
      </c>
      <c r="H390" s="24">
        <f t="shared" si="461"/>
        <v>0</v>
      </c>
      <c r="I390" s="24">
        <f t="shared" si="461"/>
        <v>0</v>
      </c>
      <c r="J390" s="24">
        <f t="shared" si="461"/>
        <v>0</v>
      </c>
      <c r="K390" s="24">
        <f t="shared" si="461"/>
        <v>0</v>
      </c>
      <c r="L390" s="24">
        <f t="shared" si="461"/>
        <v>0</v>
      </c>
      <c r="M390" s="26">
        <f t="shared" si="461"/>
        <v>0</v>
      </c>
      <c r="N390" s="26">
        <f t="shared" ref="N390:O390" si="462">N334</f>
        <v>0</v>
      </c>
      <c r="O390" s="26">
        <f t="shared" si="462"/>
        <v>0</v>
      </c>
      <c r="P390" s="36">
        <f t="shared" ref="P390" si="463">P334</f>
        <v>0</v>
      </c>
    </row>
    <row r="391" spans="1:19" s="779" customFormat="1" x14ac:dyDescent="0.2">
      <c r="A391" s="818" t="s">
        <v>4359</v>
      </c>
      <c r="B391" s="24">
        <f t="shared" ref="B391:M391" si="464">B335</f>
        <v>0</v>
      </c>
      <c r="C391" s="24">
        <f t="shared" si="464"/>
        <v>0</v>
      </c>
      <c r="D391" s="24">
        <f t="shared" si="464"/>
        <v>0</v>
      </c>
      <c r="E391" s="24">
        <f t="shared" si="464"/>
        <v>0</v>
      </c>
      <c r="F391" s="132">
        <f t="shared" si="464"/>
        <v>0</v>
      </c>
      <c r="G391" s="24">
        <f t="shared" si="464"/>
        <v>0</v>
      </c>
      <c r="H391" s="24">
        <f t="shared" si="464"/>
        <v>0</v>
      </c>
      <c r="I391" s="24">
        <f t="shared" si="464"/>
        <v>0</v>
      </c>
      <c r="J391" s="24">
        <f t="shared" si="464"/>
        <v>0</v>
      </c>
      <c r="K391" s="24">
        <f t="shared" si="464"/>
        <v>0</v>
      </c>
      <c r="L391" s="24">
        <f t="shared" si="464"/>
        <v>0</v>
      </c>
      <c r="M391" s="26">
        <f t="shared" si="464"/>
        <v>0</v>
      </c>
      <c r="N391" s="26">
        <f t="shared" ref="N391:O391" si="465">N335</f>
        <v>0</v>
      </c>
      <c r="O391" s="26">
        <f t="shared" si="465"/>
        <v>0</v>
      </c>
      <c r="P391" s="36">
        <f t="shared" ref="P391" si="466">P335</f>
        <v>0</v>
      </c>
    </row>
    <row r="392" spans="1:19" s="779" customFormat="1" x14ac:dyDescent="0.2">
      <c r="A392" s="818" t="s">
        <v>4360</v>
      </c>
      <c r="B392" s="24">
        <f t="shared" ref="B392:M392" si="467">B336</f>
        <v>-1482</v>
      </c>
      <c r="C392" s="24">
        <f t="shared" si="467"/>
        <v>-2014.2</v>
      </c>
      <c r="D392" s="24">
        <f t="shared" si="467"/>
        <v>-2131.4</v>
      </c>
      <c r="E392" s="24">
        <f t="shared" si="467"/>
        <v>-2470</v>
      </c>
      <c r="F392" s="132">
        <f t="shared" si="467"/>
        <v>-2045.5</v>
      </c>
      <c r="G392" s="24">
        <f t="shared" si="467"/>
        <v>-2245.5</v>
      </c>
      <c r="H392" s="24">
        <f t="shared" si="467"/>
        <v>-2275.5</v>
      </c>
      <c r="I392" s="24">
        <f t="shared" si="467"/>
        <v>-2315.5</v>
      </c>
      <c r="J392" s="24">
        <f t="shared" si="467"/>
        <v>-2355.5</v>
      </c>
      <c r="K392" s="24">
        <f t="shared" si="467"/>
        <v>-2405.5</v>
      </c>
      <c r="L392" s="24">
        <f t="shared" si="467"/>
        <v>-2445.5</v>
      </c>
      <c r="M392" s="26">
        <f t="shared" si="467"/>
        <v>-2485.5</v>
      </c>
      <c r="N392" s="26">
        <f t="shared" ref="N392:O392" si="468">N336</f>
        <v>-2525.5</v>
      </c>
      <c r="O392" s="26">
        <f t="shared" si="468"/>
        <v>-2565.5</v>
      </c>
      <c r="P392" s="36">
        <f t="shared" ref="P392" si="469">P336</f>
        <v>-2605.5</v>
      </c>
    </row>
    <row r="393" spans="1:19" s="779" customFormat="1" x14ac:dyDescent="0.2">
      <c r="A393" s="818" t="s">
        <v>4365</v>
      </c>
      <c r="B393" s="24">
        <v>-150</v>
      </c>
      <c r="C393" s="24">
        <f>-'W&amp;W'!B108/1000</f>
        <v>-150.80000000000001</v>
      </c>
      <c r="D393" s="24">
        <f>-'W&amp;W'!C108/1000</f>
        <v>-151.69999999999999</v>
      </c>
      <c r="E393" s="24">
        <f>-'W&amp;W'!D108/1000</f>
        <v>-156.6</v>
      </c>
      <c r="F393" s="132">
        <f>-'W&amp;W'!G108/1000</f>
        <v>-152.69999999999999</v>
      </c>
      <c r="G393" s="24">
        <f>-'W&amp;W'!I108/1000</f>
        <v>-143.6</v>
      </c>
      <c r="H393" s="24">
        <f>-'W&amp;W'!J108/1000</f>
        <v>-144.5</v>
      </c>
      <c r="I393" s="24">
        <f>-'W&amp;W'!K108/1000</f>
        <v>-145.5</v>
      </c>
      <c r="J393" s="24">
        <f>-'W&amp;W'!L108/1000</f>
        <v>-146.4</v>
      </c>
      <c r="K393" s="24">
        <f>-'W&amp;W'!M108/1000</f>
        <v>-147.30000000000001</v>
      </c>
      <c r="L393" s="24">
        <f>-'W&amp;W'!N108/1000</f>
        <v>-148.19999999999999</v>
      </c>
      <c r="M393" s="26">
        <f>-'W&amp;W'!O108/1000</f>
        <v>-149.1</v>
      </c>
      <c r="N393" s="26">
        <f>-'W&amp;W'!P108/1000</f>
        <v>-150</v>
      </c>
      <c r="O393" s="26">
        <f>-'W&amp;W'!Q108/1000</f>
        <v>-150.9</v>
      </c>
      <c r="P393" s="36">
        <f>-'W&amp;W'!R108/1000</f>
        <v>-151.80000000000001</v>
      </c>
    </row>
    <row r="394" spans="1:19" x14ac:dyDescent="0.2">
      <c r="A394" s="945" t="s">
        <v>2863</v>
      </c>
      <c r="B394" s="905">
        <f t="shared" ref="B394:M394" si="470">SUM(B389:B393)</f>
        <v>13630</v>
      </c>
      <c r="C394" s="905">
        <f t="shared" si="470"/>
        <v>14285.7</v>
      </c>
      <c r="D394" s="905">
        <f t="shared" si="470"/>
        <v>15184.999999999998</v>
      </c>
      <c r="E394" s="905">
        <f t="shared" si="470"/>
        <v>16198.999999999998</v>
      </c>
      <c r="F394" s="1541">
        <f t="shared" si="470"/>
        <v>17553.2</v>
      </c>
      <c r="G394" s="905">
        <f t="shared" si="470"/>
        <v>17994.900000000001</v>
      </c>
      <c r="H394" s="905">
        <f t="shared" si="470"/>
        <v>18458.5</v>
      </c>
      <c r="I394" s="905">
        <f t="shared" si="470"/>
        <v>18970</v>
      </c>
      <c r="J394" s="905">
        <f t="shared" si="470"/>
        <v>19696.599999999999</v>
      </c>
      <c r="K394" s="905">
        <f t="shared" si="470"/>
        <v>20252.7</v>
      </c>
      <c r="L394" s="905">
        <f t="shared" si="470"/>
        <v>20873.7</v>
      </c>
      <c r="M394" s="1660">
        <f t="shared" si="470"/>
        <v>21478.400000000001</v>
      </c>
      <c r="N394" s="1660">
        <f t="shared" ref="N394:O394" si="471">SUM(N389:N393)</f>
        <v>22177.8</v>
      </c>
      <c r="O394" s="1660">
        <f t="shared" si="471"/>
        <v>22970.6</v>
      </c>
      <c r="P394" s="1047">
        <f t="shared" ref="P394" si="472">SUM(P389:P393)</f>
        <v>23788.799999999999</v>
      </c>
    </row>
    <row r="395" spans="1:19" x14ac:dyDescent="0.2">
      <c r="A395" s="818" t="s">
        <v>4374</v>
      </c>
      <c r="B395" s="231">
        <f t="shared" ref="B395:M395" si="473">B390</f>
        <v>0</v>
      </c>
      <c r="C395" s="231">
        <f t="shared" si="473"/>
        <v>-6</v>
      </c>
      <c r="D395" s="231">
        <f t="shared" si="473"/>
        <v>0</v>
      </c>
      <c r="E395" s="231">
        <f t="shared" si="473"/>
        <v>0</v>
      </c>
      <c r="F395" s="101">
        <f t="shared" si="473"/>
        <v>0</v>
      </c>
      <c r="G395" s="231">
        <f t="shared" si="473"/>
        <v>0</v>
      </c>
      <c r="H395" s="231">
        <f t="shared" si="473"/>
        <v>0</v>
      </c>
      <c r="I395" s="231">
        <f t="shared" si="473"/>
        <v>0</v>
      </c>
      <c r="J395" s="231">
        <f t="shared" si="473"/>
        <v>0</v>
      </c>
      <c r="K395" s="231">
        <f t="shared" si="473"/>
        <v>0</v>
      </c>
      <c r="L395" s="231">
        <f t="shared" si="473"/>
        <v>0</v>
      </c>
      <c r="M395" s="233">
        <f t="shared" si="473"/>
        <v>0</v>
      </c>
      <c r="N395" s="233">
        <f t="shared" ref="N395:O395" si="474">N390</f>
        <v>0</v>
      </c>
      <c r="O395" s="233">
        <f t="shared" si="474"/>
        <v>0</v>
      </c>
      <c r="P395" s="88">
        <f t="shared" ref="P395" si="475">P390</f>
        <v>0</v>
      </c>
    </row>
    <row r="396" spans="1:19" x14ac:dyDescent="0.2">
      <c r="A396" s="818" t="s">
        <v>4366</v>
      </c>
      <c r="B396" s="231">
        <f t="shared" ref="B396:M396" si="476">B391</f>
        <v>0</v>
      </c>
      <c r="C396" s="231">
        <f t="shared" si="476"/>
        <v>0</v>
      </c>
      <c r="D396" s="231">
        <f t="shared" si="476"/>
        <v>0</v>
      </c>
      <c r="E396" s="231">
        <f t="shared" si="476"/>
        <v>0</v>
      </c>
      <c r="F396" s="101">
        <f t="shared" si="476"/>
        <v>0</v>
      </c>
      <c r="G396" s="231">
        <f t="shared" si="476"/>
        <v>0</v>
      </c>
      <c r="H396" s="231">
        <f t="shared" si="476"/>
        <v>0</v>
      </c>
      <c r="I396" s="231">
        <f t="shared" si="476"/>
        <v>0</v>
      </c>
      <c r="J396" s="231">
        <f t="shared" si="476"/>
        <v>0</v>
      </c>
      <c r="K396" s="231">
        <f t="shared" si="476"/>
        <v>0</v>
      </c>
      <c r="L396" s="231">
        <f t="shared" si="476"/>
        <v>0</v>
      </c>
      <c r="M396" s="233">
        <f t="shared" si="476"/>
        <v>0</v>
      </c>
      <c r="N396" s="233">
        <f t="shared" ref="N396:O396" si="477">N391</f>
        <v>0</v>
      </c>
      <c r="O396" s="233">
        <f t="shared" si="477"/>
        <v>0</v>
      </c>
      <c r="P396" s="88">
        <f t="shared" ref="P396" si="478">P391</f>
        <v>0</v>
      </c>
      <c r="R396" s="168"/>
      <c r="S396" s="63">
        <f>P358-P371-P384-P397</f>
        <v>0</v>
      </c>
    </row>
    <row r="397" spans="1:19" x14ac:dyDescent="0.2">
      <c r="A397" s="818" t="s">
        <v>4375</v>
      </c>
      <c r="B397" s="231">
        <f t="shared" ref="B397:M397" si="479">B389+B395+B396</f>
        <v>15262</v>
      </c>
      <c r="C397" s="231">
        <f t="shared" si="479"/>
        <v>16450.7</v>
      </c>
      <c r="D397" s="231">
        <f t="shared" si="479"/>
        <v>17468.099999999999</v>
      </c>
      <c r="E397" s="231">
        <f t="shared" si="479"/>
        <v>18825.599999999999</v>
      </c>
      <c r="F397" s="101">
        <f t="shared" si="479"/>
        <v>19751.400000000001</v>
      </c>
      <c r="G397" s="231">
        <f t="shared" si="479"/>
        <v>20384</v>
      </c>
      <c r="H397" s="231">
        <f t="shared" si="479"/>
        <v>20878.5</v>
      </c>
      <c r="I397" s="231">
        <f t="shared" si="479"/>
        <v>21431</v>
      </c>
      <c r="J397" s="231">
        <f t="shared" si="479"/>
        <v>22198.5</v>
      </c>
      <c r="K397" s="231">
        <f t="shared" si="479"/>
        <v>22805.5</v>
      </c>
      <c r="L397" s="231">
        <f t="shared" si="479"/>
        <v>23467.4</v>
      </c>
      <c r="M397" s="233">
        <f t="shared" si="479"/>
        <v>24113</v>
      </c>
      <c r="N397" s="233">
        <f t="shared" ref="N397:O397" si="480">N389+N395+N396</f>
        <v>24853.3</v>
      </c>
      <c r="O397" s="233">
        <f t="shared" si="480"/>
        <v>25687</v>
      </c>
      <c r="P397" s="88">
        <f t="shared" ref="P397" si="481">P389+P395+P396</f>
        <v>26546.1</v>
      </c>
    </row>
    <row r="398" spans="1:19" s="4" customFormat="1" x14ac:dyDescent="0.2">
      <c r="A398" s="756" t="s">
        <v>4319</v>
      </c>
      <c r="B398" s="1494">
        <f t="shared" ref="B398:M398" si="482">B394/B397</f>
        <v>0.89306774996723892</v>
      </c>
      <c r="C398" s="1494">
        <f t="shared" si="482"/>
        <v>0.86839465797808002</v>
      </c>
      <c r="D398" s="1494">
        <f t="shared" si="482"/>
        <v>0.86929889341141853</v>
      </c>
      <c r="E398" s="1494">
        <f t="shared" si="482"/>
        <v>0.86047722250552439</v>
      </c>
      <c r="F398" s="2571">
        <f t="shared" si="482"/>
        <v>0.88870662332796657</v>
      </c>
      <c r="G398" s="1494">
        <f t="shared" si="482"/>
        <v>0.8827953296703297</v>
      </c>
      <c r="H398" s="1494">
        <f t="shared" si="482"/>
        <v>0.88409129008309983</v>
      </c>
      <c r="I398" s="1494">
        <f t="shared" si="482"/>
        <v>0.88516634781391446</v>
      </c>
      <c r="J398" s="1494">
        <f t="shared" si="482"/>
        <v>0.88729418654413583</v>
      </c>
      <c r="K398" s="1494">
        <f t="shared" si="482"/>
        <v>0.88806209028523819</v>
      </c>
      <c r="L398" s="1494">
        <f t="shared" si="482"/>
        <v>0.88947646522409807</v>
      </c>
      <c r="M398" s="2041">
        <f t="shared" si="482"/>
        <v>0.89073943515945764</v>
      </c>
      <c r="N398" s="2041">
        <f t="shared" ref="N398:O398" si="483">N394/N397</f>
        <v>0.8923482998233635</v>
      </c>
      <c r="O398" s="2041">
        <f t="shared" si="483"/>
        <v>0.89425000973254953</v>
      </c>
      <c r="P398" s="2042">
        <f t="shared" ref="P398" si="484">P394/P397</f>
        <v>0.89613163515544658</v>
      </c>
    </row>
    <row r="399" spans="1:19" s="779" customFormat="1" ht="13.5" thickBot="1" x14ac:dyDescent="0.25">
      <c r="A399" s="968"/>
      <c r="B399" s="969"/>
      <c r="C399" s="969"/>
      <c r="D399" s="969"/>
      <c r="E399" s="969"/>
      <c r="F399" s="969"/>
      <c r="G399" s="969"/>
      <c r="H399" s="969"/>
      <c r="I399" s="969"/>
      <c r="J399" s="969"/>
      <c r="K399" s="969"/>
      <c r="L399" s="969"/>
      <c r="M399" s="1636"/>
      <c r="N399" s="1636"/>
      <c r="O399" s="1636"/>
      <c r="P399" s="970"/>
    </row>
    <row r="400" spans="1:19" s="779" customFormat="1" ht="17.25" thickTop="1" thickBot="1" x14ac:dyDescent="0.3">
      <c r="A400" s="2853" t="s">
        <v>5157</v>
      </c>
      <c r="B400" s="2854"/>
      <c r="C400" s="2854"/>
      <c r="D400" s="2854"/>
      <c r="E400" s="2854"/>
      <c r="F400" s="2854"/>
      <c r="G400" s="2854"/>
      <c r="H400" s="2854"/>
      <c r="I400" s="2854"/>
      <c r="J400" s="2854"/>
      <c r="K400" s="2854"/>
      <c r="L400" s="2854"/>
      <c r="M400" s="2854"/>
      <c r="N400" s="2854"/>
      <c r="O400" s="2854"/>
      <c r="P400" s="2855"/>
    </row>
    <row r="401" spans="1:16" s="779" customFormat="1" ht="13.5" thickBot="1" x14ac:dyDescent="0.25">
      <c r="A401" s="1268" t="str">
        <f t="shared" ref="A401:O401" si="485">A223</f>
        <v>Item</v>
      </c>
      <c r="B401" s="793" t="str">
        <f t="shared" si="485"/>
        <v>2012/13</v>
      </c>
      <c r="C401" s="793" t="str">
        <f t="shared" si="485"/>
        <v>2013/14</v>
      </c>
      <c r="D401" s="793" t="str">
        <f t="shared" si="485"/>
        <v>2014/15</v>
      </c>
      <c r="E401" s="793" t="str">
        <f t="shared" si="485"/>
        <v>2015/16</v>
      </c>
      <c r="F401" s="793" t="str">
        <f t="shared" si="485"/>
        <v>2016/17</v>
      </c>
      <c r="G401" s="793" t="str">
        <f t="shared" si="485"/>
        <v>2017/18</v>
      </c>
      <c r="H401" s="793" t="str">
        <f t="shared" si="485"/>
        <v>2018/19</v>
      </c>
      <c r="I401" s="793" t="str">
        <f t="shared" si="485"/>
        <v>2019/20</v>
      </c>
      <c r="J401" s="793" t="str">
        <f t="shared" si="485"/>
        <v>2020/21</v>
      </c>
      <c r="K401" s="793" t="str">
        <f t="shared" si="485"/>
        <v>2021/22</v>
      </c>
      <c r="L401" s="793" t="str">
        <f t="shared" si="485"/>
        <v>2022/23</v>
      </c>
      <c r="M401" s="1641" t="str">
        <f t="shared" si="485"/>
        <v>2023/24</v>
      </c>
      <c r="N401" s="1641" t="str">
        <f t="shared" si="485"/>
        <v>2024/25</v>
      </c>
      <c r="O401" s="1641" t="str">
        <f t="shared" si="485"/>
        <v>2025/26</v>
      </c>
      <c r="P401" s="794" t="str">
        <f t="shared" ref="P401" si="486">P223</f>
        <v>2026/27</v>
      </c>
    </row>
    <row r="402" spans="1:16" x14ac:dyDescent="0.2">
      <c r="A402" s="818"/>
      <c r="B402" s="231"/>
      <c r="C402" s="231"/>
      <c r="D402" s="231"/>
      <c r="E402" s="231"/>
      <c r="F402" s="101"/>
      <c r="G402" s="231"/>
      <c r="H402" s="231"/>
      <c r="I402" s="231"/>
      <c r="J402" s="231"/>
      <c r="K402" s="231"/>
      <c r="L402" s="231"/>
      <c r="M402" s="233"/>
      <c r="N402" s="233"/>
      <c r="O402" s="233"/>
      <c r="P402" s="88"/>
    </row>
    <row r="403" spans="1:16" x14ac:dyDescent="0.2">
      <c r="A403" s="942" t="s">
        <v>56</v>
      </c>
      <c r="B403" s="442"/>
      <c r="C403" s="442"/>
      <c r="D403" s="442"/>
      <c r="E403" s="774"/>
      <c r="F403" s="774"/>
      <c r="G403" s="774"/>
      <c r="H403" s="774"/>
      <c r="I403" s="774"/>
      <c r="J403" s="774"/>
      <c r="K403" s="774"/>
      <c r="L403" s="774"/>
      <c r="M403" s="1650"/>
      <c r="N403" s="1650"/>
      <c r="O403" s="1650"/>
      <c r="P403" s="775"/>
    </row>
    <row r="404" spans="1:16" x14ac:dyDescent="0.2">
      <c r="A404" s="936" t="s">
        <v>2163</v>
      </c>
      <c r="B404" s="442">
        <f t="shared" ref="B404:O404" si="487">B133</f>
        <v>89691</v>
      </c>
      <c r="C404" s="442">
        <f t="shared" si="487"/>
        <v>69413</v>
      </c>
      <c r="D404" s="442">
        <f t="shared" si="487"/>
        <v>69578</v>
      </c>
      <c r="E404" s="774">
        <f t="shared" si="487"/>
        <v>71301</v>
      </c>
      <c r="F404" s="774">
        <f t="shared" si="487"/>
        <v>55350</v>
      </c>
      <c r="G404" s="774">
        <f t="shared" si="487"/>
        <v>59860</v>
      </c>
      <c r="H404" s="774">
        <f t="shared" si="487"/>
        <v>56530</v>
      </c>
      <c r="I404" s="774">
        <f t="shared" si="487"/>
        <v>65520</v>
      </c>
      <c r="J404" s="774">
        <f t="shared" si="487"/>
        <v>63620</v>
      </c>
      <c r="K404" s="774">
        <f t="shared" si="487"/>
        <v>63540</v>
      </c>
      <c r="L404" s="774">
        <f t="shared" si="487"/>
        <v>70390</v>
      </c>
      <c r="M404" s="1650">
        <f t="shared" si="487"/>
        <v>77520</v>
      </c>
      <c r="N404" s="1650">
        <f t="shared" si="487"/>
        <v>88380</v>
      </c>
      <c r="O404" s="1650">
        <f t="shared" si="487"/>
        <v>101540</v>
      </c>
      <c r="P404" s="775">
        <f t="shared" ref="P404" si="488">P133</f>
        <v>111890</v>
      </c>
    </row>
    <row r="405" spans="1:16" x14ac:dyDescent="0.2">
      <c r="A405" s="936" t="s">
        <v>3356</v>
      </c>
      <c r="B405" s="442">
        <v>56000</v>
      </c>
      <c r="C405" s="442">
        <v>37533</v>
      </c>
      <c r="D405" s="442">
        <v>36110</v>
      </c>
      <c r="E405" s="774">
        <f>(LTFP!C281+LTFP!C330+'Res-Bal'!D163)/1000</f>
        <v>35029.5</v>
      </c>
      <c r="F405" s="774">
        <f>(LTFP!E281+LTFP!E330+'Res-Bal'!G163)/1000</f>
        <v>29996.2</v>
      </c>
      <c r="G405" s="774">
        <f>(LTFP!G281+LTFP!G330+'Res-Bal'!J163)/1000</f>
        <v>32287.3</v>
      </c>
      <c r="H405" s="774">
        <f>(LTFP!H281+LTFP!H330+'Res-Bal'!M163)/1000</f>
        <v>21381.4</v>
      </c>
      <c r="I405" s="774">
        <f>(LTFP!I281+LTFP!I330+'Res-Bal'!P163)/1000</f>
        <v>24453.3</v>
      </c>
      <c r="J405" s="774">
        <f>(LTFP!J281+LTFP!J330+'Res-Bal'!S163)/1000</f>
        <v>21673.599999999999</v>
      </c>
      <c r="K405" s="774">
        <f>(LTFP!K281+LTFP!K330+'Res-Bal'!V163)/1000</f>
        <v>19899.5</v>
      </c>
      <c r="L405" s="774">
        <f>(LTFP!L281+LTFP!L330+'Res-Bal'!Y163)/1000</f>
        <v>23047.5</v>
      </c>
      <c r="M405" s="1650">
        <f>(LTFP!M281+LTFP!M330+'Res-Bal'!AB163)/1000</f>
        <v>29862.1</v>
      </c>
      <c r="N405" s="1650">
        <f>(LTFP!N281+LTFP!N330+'Res-Bal'!AE163)/1000</f>
        <v>39282.699999999997</v>
      </c>
      <c r="O405" s="1650">
        <f>(LTFP!O281+LTFP!O330+'Res-Bal'!AH163)/1000</f>
        <v>51918.2</v>
      </c>
      <c r="P405" s="775">
        <f>(LTFP!P281+LTFP!P330+'Res-Bal'!AK163)/1000</f>
        <v>64250.8</v>
      </c>
    </row>
    <row r="406" spans="1:16" x14ac:dyDescent="0.2">
      <c r="A406" s="936" t="s">
        <v>3357</v>
      </c>
      <c r="B406" s="442">
        <v>3925</v>
      </c>
      <c r="C406" s="442">
        <v>3745</v>
      </c>
      <c r="D406" s="442">
        <f>D89+D48+D421</f>
        <v>3602</v>
      </c>
      <c r="E406" s="774">
        <f t="shared" ref="E406:O406" si="489">E89+E48</f>
        <v>3348</v>
      </c>
      <c r="F406" s="774">
        <f t="shared" si="489"/>
        <v>3430</v>
      </c>
      <c r="G406" s="774">
        <f t="shared" si="489"/>
        <v>3500</v>
      </c>
      <c r="H406" s="774">
        <f t="shared" si="489"/>
        <v>3600</v>
      </c>
      <c r="I406" s="774">
        <f t="shared" si="489"/>
        <v>3700</v>
      </c>
      <c r="J406" s="774">
        <f t="shared" si="489"/>
        <v>3800</v>
      </c>
      <c r="K406" s="774">
        <f t="shared" si="489"/>
        <v>3880</v>
      </c>
      <c r="L406" s="774">
        <f t="shared" si="489"/>
        <v>3970</v>
      </c>
      <c r="M406" s="1650">
        <f t="shared" si="489"/>
        <v>4060</v>
      </c>
      <c r="N406" s="1650">
        <f t="shared" si="489"/>
        <v>4150</v>
      </c>
      <c r="O406" s="1650">
        <f t="shared" si="489"/>
        <v>4250</v>
      </c>
      <c r="P406" s="775">
        <f t="shared" ref="P406" si="490">P89+P48</f>
        <v>4350</v>
      </c>
    </row>
    <row r="407" spans="1:16" x14ac:dyDescent="0.2">
      <c r="A407" s="936" t="s">
        <v>3358</v>
      </c>
      <c r="B407" s="442">
        <v>0</v>
      </c>
      <c r="C407" s="442">
        <f>C99+C97+C50+C49</f>
        <v>0</v>
      </c>
      <c r="D407" s="442">
        <f>ROUNDUP(C407+(C407*Assumptions!F$5),-2)</f>
        <v>0</v>
      </c>
      <c r="E407" s="774">
        <f>ROUNDUP(D407+(D407*Assumptions!G$5),-2)</f>
        <v>0</v>
      </c>
      <c r="F407" s="774">
        <f>ROUNDUP(E407+(E407*Assumptions!H$5),-2)</f>
        <v>0</v>
      </c>
      <c r="G407" s="774">
        <f>ROUNDUP(F407+(F407*Assumptions!I$5),-2)</f>
        <v>0</v>
      </c>
      <c r="H407" s="774">
        <f>ROUNDUP(G407+(G407*Assumptions!J$5),-2)</f>
        <v>0</v>
      </c>
      <c r="I407" s="774">
        <f>ROUNDUP(H407+(H407*Assumptions!K$5),-2)</f>
        <v>0</v>
      </c>
      <c r="J407" s="774">
        <f>ROUNDUP(I407+(I407*Assumptions!L$5),-2)</f>
        <v>0</v>
      </c>
      <c r="K407" s="774">
        <f>ROUNDUP(J407+(J407*Assumptions!M$5),-2)</f>
        <v>0</v>
      </c>
      <c r="L407" s="774">
        <f>ROUNDUP(K407+(K407*Assumptions!N$5),-2)</f>
        <v>0</v>
      </c>
      <c r="M407" s="1650">
        <f>ROUNDUP(L407+(L407*Assumptions!P$5),-2)</f>
        <v>0</v>
      </c>
      <c r="N407" s="1650">
        <f>ROUNDUP(M407+(M407*Assumptions!Q$5),-2)</f>
        <v>0</v>
      </c>
      <c r="O407" s="1650">
        <f>ROUNDUP(N407+(N407*Assumptions!R$5),-2)</f>
        <v>0</v>
      </c>
      <c r="P407" s="775">
        <f>ROUNDUP(O407+(O407*Assumptions!S$5),-2)</f>
        <v>0</v>
      </c>
    </row>
    <row r="408" spans="1:16" s="4" customFormat="1" x14ac:dyDescent="0.2">
      <c r="A408" s="943" t="s">
        <v>2863</v>
      </c>
      <c r="B408" s="759">
        <f t="shared" ref="B408:M408" si="491">B404-SUM(B405:B407)</f>
        <v>29766</v>
      </c>
      <c r="C408" s="759">
        <f t="shared" si="491"/>
        <v>28135</v>
      </c>
      <c r="D408" s="759">
        <f t="shared" si="491"/>
        <v>29866</v>
      </c>
      <c r="E408" s="788">
        <f t="shared" si="491"/>
        <v>32923.5</v>
      </c>
      <c r="F408" s="788">
        <f t="shared" si="491"/>
        <v>21923.800000000003</v>
      </c>
      <c r="G408" s="788">
        <f t="shared" si="491"/>
        <v>24072.699999999997</v>
      </c>
      <c r="H408" s="788">
        <f t="shared" si="491"/>
        <v>31548.6</v>
      </c>
      <c r="I408" s="788">
        <f t="shared" si="491"/>
        <v>37366.699999999997</v>
      </c>
      <c r="J408" s="788">
        <f t="shared" si="491"/>
        <v>38146.400000000001</v>
      </c>
      <c r="K408" s="788">
        <f t="shared" si="491"/>
        <v>39760.5</v>
      </c>
      <c r="L408" s="788">
        <f t="shared" si="491"/>
        <v>43372.5</v>
      </c>
      <c r="M408" s="1661">
        <f t="shared" si="491"/>
        <v>43597.9</v>
      </c>
      <c r="N408" s="1661">
        <f t="shared" ref="N408:O408" si="492">N404-SUM(N405:N407)</f>
        <v>44947.3</v>
      </c>
      <c r="O408" s="1661">
        <f t="shared" si="492"/>
        <v>45371.8</v>
      </c>
      <c r="P408" s="789">
        <f t="shared" ref="P408" si="493">P404-SUM(P405:P407)</f>
        <v>43289.2</v>
      </c>
    </row>
    <row r="409" spans="1:16" x14ac:dyDescent="0.2">
      <c r="A409" s="941"/>
      <c r="B409" s="442"/>
      <c r="C409" s="442"/>
      <c r="D409" s="442"/>
      <c r="E409" s="774"/>
      <c r="F409" s="774"/>
      <c r="G409" s="774"/>
      <c r="H409" s="774"/>
      <c r="I409" s="774"/>
      <c r="J409" s="774"/>
      <c r="K409" s="774"/>
      <c r="L409" s="774"/>
      <c r="M409" s="1650"/>
      <c r="N409" s="1650"/>
      <c r="O409" s="1650"/>
      <c r="P409" s="775"/>
    </row>
    <row r="410" spans="1:16" x14ac:dyDescent="0.2">
      <c r="A410" s="936" t="s">
        <v>2816</v>
      </c>
      <c r="B410" s="442">
        <f t="shared" ref="B410:O410" si="494">B149</f>
        <v>25184</v>
      </c>
      <c r="C410" s="442">
        <f t="shared" si="494"/>
        <v>22802</v>
      </c>
      <c r="D410" s="442">
        <f t="shared" si="494"/>
        <v>20043.3</v>
      </c>
      <c r="E410" s="774">
        <f t="shared" si="494"/>
        <v>21307.9</v>
      </c>
      <c r="F410" s="774">
        <f t="shared" si="494"/>
        <v>21398.400000000001</v>
      </c>
      <c r="G410" s="774">
        <f t="shared" si="494"/>
        <v>21711.8</v>
      </c>
      <c r="H410" s="774">
        <f t="shared" si="494"/>
        <v>22359.200000000001</v>
      </c>
      <c r="I410" s="774">
        <f t="shared" si="494"/>
        <v>21686.6</v>
      </c>
      <c r="J410" s="774">
        <f t="shared" si="494"/>
        <v>22827</v>
      </c>
      <c r="K410" s="774">
        <f t="shared" si="494"/>
        <v>22959</v>
      </c>
      <c r="L410" s="774">
        <f t="shared" si="494"/>
        <v>22817.200000000001</v>
      </c>
      <c r="M410" s="1650">
        <f t="shared" si="494"/>
        <v>23155.1</v>
      </c>
      <c r="N410" s="1650">
        <f t="shared" si="494"/>
        <v>23132.6</v>
      </c>
      <c r="O410" s="1650">
        <f t="shared" si="494"/>
        <v>23736.9</v>
      </c>
      <c r="P410" s="775">
        <f t="shared" ref="P410" si="495">P149</f>
        <v>22904</v>
      </c>
    </row>
    <row r="411" spans="1:16" x14ac:dyDescent="0.2">
      <c r="A411" s="936" t="s">
        <v>2729</v>
      </c>
      <c r="B411" s="442">
        <v>7676</v>
      </c>
      <c r="C411" s="442">
        <v>3476</v>
      </c>
      <c r="D411" s="442">
        <f t="shared" ref="D411:O411" si="496">D108+D67+D426</f>
        <v>3848.8</v>
      </c>
      <c r="E411" s="774">
        <f t="shared" si="496"/>
        <v>4017.9</v>
      </c>
      <c r="F411" s="774">
        <f t="shared" si="496"/>
        <v>6695.6</v>
      </c>
      <c r="G411" s="774">
        <f t="shared" si="496"/>
        <v>6844</v>
      </c>
      <c r="H411" s="774">
        <f t="shared" si="496"/>
        <v>7110.3</v>
      </c>
      <c r="I411" s="774">
        <f t="shared" si="496"/>
        <v>6403.5</v>
      </c>
      <c r="J411" s="774">
        <f t="shared" si="496"/>
        <v>6714.1</v>
      </c>
      <c r="K411" s="774">
        <f t="shared" si="496"/>
        <v>7014.1</v>
      </c>
      <c r="L411" s="774">
        <f t="shared" si="496"/>
        <v>7317</v>
      </c>
      <c r="M411" s="1650">
        <f t="shared" si="496"/>
        <v>7625</v>
      </c>
      <c r="N411" s="1650">
        <f t="shared" si="496"/>
        <v>7930</v>
      </c>
      <c r="O411" s="1650">
        <f t="shared" si="496"/>
        <v>8167</v>
      </c>
      <c r="P411" s="775">
        <f t="shared" ref="P411" si="497">P108+P67+P426</f>
        <v>8404</v>
      </c>
    </row>
    <row r="412" spans="1:16" x14ac:dyDescent="0.2">
      <c r="A412" s="936" t="s">
        <v>3359</v>
      </c>
      <c r="B412" s="442">
        <v>6116</v>
      </c>
      <c r="C412" s="442">
        <v>5044</v>
      </c>
      <c r="D412" s="442">
        <f>AVERAGE(B412:C412)</f>
        <v>5580</v>
      </c>
      <c r="E412" s="774">
        <f>ROUNDUP(D412+(D412*Assumptions!G$5),-1)</f>
        <v>5700</v>
      </c>
      <c r="F412" s="774">
        <f>ROUNDUP(E412+(E412*Assumptions!H$5),-1)</f>
        <v>5790</v>
      </c>
      <c r="G412" s="774">
        <f>ROUNDUP(F412+(F412*Assumptions!I$5),-1)</f>
        <v>5940</v>
      </c>
      <c r="H412" s="774">
        <f>ROUNDUP(G412+(G412*Assumptions!J$5),-1)</f>
        <v>6090</v>
      </c>
      <c r="I412" s="774">
        <f>ROUNDUP(H412+(H412*Assumptions!K$5),-1)</f>
        <v>6250</v>
      </c>
      <c r="J412" s="774">
        <f>ROUNDUP(I412+(I412*Assumptions!L$5),-1)</f>
        <v>6380</v>
      </c>
      <c r="K412" s="774">
        <f>ROUNDUP(J412+(J412*Assumptions!M$5),-1)</f>
        <v>6510</v>
      </c>
      <c r="L412" s="774">
        <f>ROUNDUP(K412+(K412*Assumptions!N$5),-1)</f>
        <v>6650</v>
      </c>
      <c r="M412" s="1650">
        <f>ROUNDUP(L412+(L412*Assumptions!P$5),-1)</f>
        <v>6790</v>
      </c>
      <c r="N412" s="1650">
        <f>ROUNDUP(M412+(M412*Assumptions!Q$5),-1)</f>
        <v>6930</v>
      </c>
      <c r="O412" s="1650">
        <f>ROUNDUP(N412+(N412*Assumptions!R$5),-1)</f>
        <v>6930</v>
      </c>
      <c r="P412" s="775">
        <f>ROUNDUP(O412+(O412*Assumptions!S$5),-1)</f>
        <v>6930</v>
      </c>
    </row>
    <row r="413" spans="1:16" s="4" customFormat="1" x14ac:dyDescent="0.2">
      <c r="A413" s="943" t="s">
        <v>2864</v>
      </c>
      <c r="B413" s="759">
        <f t="shared" ref="B413:M413" si="498">B410-SUM(B411:B412)</f>
        <v>11392</v>
      </c>
      <c r="C413" s="759">
        <f t="shared" si="498"/>
        <v>14282</v>
      </c>
      <c r="D413" s="759">
        <f t="shared" si="498"/>
        <v>10614.5</v>
      </c>
      <c r="E413" s="788">
        <f t="shared" si="498"/>
        <v>11590.000000000002</v>
      </c>
      <c r="F413" s="788">
        <f t="shared" si="498"/>
        <v>8912.8000000000011</v>
      </c>
      <c r="G413" s="788">
        <f t="shared" si="498"/>
        <v>8927.7999999999993</v>
      </c>
      <c r="H413" s="788">
        <f t="shared" si="498"/>
        <v>9158.9000000000015</v>
      </c>
      <c r="I413" s="788">
        <f t="shared" si="498"/>
        <v>9033.0999999999985</v>
      </c>
      <c r="J413" s="788">
        <f t="shared" si="498"/>
        <v>9732.9</v>
      </c>
      <c r="K413" s="788">
        <f t="shared" si="498"/>
        <v>9434.9</v>
      </c>
      <c r="L413" s="788">
        <f t="shared" si="498"/>
        <v>8850.2000000000007</v>
      </c>
      <c r="M413" s="1661">
        <f t="shared" si="498"/>
        <v>8740.0999999999985</v>
      </c>
      <c r="N413" s="1661">
        <f t="shared" ref="N413:O413" si="499">N410-SUM(N411:N412)</f>
        <v>8272.5999999999985</v>
      </c>
      <c r="O413" s="1661">
        <f t="shared" si="499"/>
        <v>8639.9000000000015</v>
      </c>
      <c r="P413" s="789">
        <f t="shared" ref="P413" si="500">P410-SUM(P411:P412)</f>
        <v>7570</v>
      </c>
    </row>
    <row r="414" spans="1:16" x14ac:dyDescent="0.2">
      <c r="A414" s="944"/>
      <c r="B414" s="442"/>
      <c r="C414" s="442"/>
      <c r="D414" s="442"/>
      <c r="E414" s="442"/>
      <c r="F414" s="772"/>
      <c r="G414" s="772"/>
      <c r="H414" s="772"/>
      <c r="I414" s="772"/>
      <c r="J414" s="772"/>
      <c r="K414" s="772"/>
      <c r="L414" s="772"/>
      <c r="M414" s="1662"/>
      <c r="N414" s="1662"/>
      <c r="O414" s="1662"/>
      <c r="P414" s="773"/>
    </row>
    <row r="415" spans="1:16" x14ac:dyDescent="0.2">
      <c r="A415" s="942" t="s">
        <v>3469</v>
      </c>
      <c r="B415" s="1493">
        <f t="shared" ref="B415:M415" si="501">ROUND(B408/B413,2)</f>
        <v>2.61</v>
      </c>
      <c r="C415" s="1493">
        <f t="shared" si="501"/>
        <v>1.97</v>
      </c>
      <c r="D415" s="1493">
        <f t="shared" si="501"/>
        <v>2.81</v>
      </c>
      <c r="E415" s="1492">
        <f t="shared" si="501"/>
        <v>2.84</v>
      </c>
      <c r="F415" s="1492">
        <f t="shared" si="501"/>
        <v>2.46</v>
      </c>
      <c r="G415" s="1492">
        <f t="shared" si="501"/>
        <v>2.7</v>
      </c>
      <c r="H415" s="1492">
        <f t="shared" si="501"/>
        <v>3.44</v>
      </c>
      <c r="I415" s="1492">
        <f t="shared" si="501"/>
        <v>4.1399999999999997</v>
      </c>
      <c r="J415" s="1492">
        <f t="shared" si="501"/>
        <v>3.92</v>
      </c>
      <c r="K415" s="1492">
        <f t="shared" si="501"/>
        <v>4.21</v>
      </c>
      <c r="L415" s="1492">
        <f t="shared" si="501"/>
        <v>4.9000000000000004</v>
      </c>
      <c r="M415" s="1655">
        <f t="shared" si="501"/>
        <v>4.99</v>
      </c>
      <c r="N415" s="1655">
        <f t="shared" ref="N415:O415" si="502">ROUND(N408/N413,2)</f>
        <v>5.43</v>
      </c>
      <c r="O415" s="1655">
        <f t="shared" si="502"/>
        <v>5.25</v>
      </c>
      <c r="P415" s="918">
        <f t="shared" ref="P415" si="503">ROUND(P408/P413,2)</f>
        <v>5.72</v>
      </c>
    </row>
    <row r="416" spans="1:16" x14ac:dyDescent="0.2">
      <c r="A416" s="942"/>
      <c r="B416" s="1273"/>
      <c r="C416" s="1273"/>
      <c r="D416" s="1273"/>
      <c r="E416" s="1273"/>
      <c r="F416" s="1271"/>
      <c r="G416" s="1271"/>
      <c r="H416" s="1271"/>
      <c r="I416" s="1271"/>
      <c r="J416" s="1271"/>
      <c r="K416" s="1271"/>
      <c r="L416" s="1271"/>
      <c r="M416" s="1642"/>
      <c r="N416" s="1642"/>
      <c r="O416" s="1642"/>
      <c r="P416" s="1272"/>
    </row>
    <row r="417" spans="1:16" x14ac:dyDescent="0.2">
      <c r="A417" s="1278"/>
      <c r="B417" s="1275"/>
      <c r="C417" s="1275"/>
      <c r="D417" s="1275"/>
      <c r="E417" s="1275"/>
      <c r="F417" s="2567"/>
      <c r="G417" s="1275"/>
      <c r="H417" s="1275"/>
      <c r="I417" s="1275"/>
      <c r="J417" s="1275"/>
      <c r="K417" s="1275"/>
      <c r="L417" s="1275"/>
      <c r="M417" s="1644"/>
      <c r="N417" s="1644"/>
      <c r="O417" s="1644"/>
      <c r="P417" s="1279"/>
    </row>
    <row r="418" spans="1:16" s="780" customFormat="1" x14ac:dyDescent="0.2">
      <c r="A418" s="937" t="s">
        <v>715</v>
      </c>
      <c r="B418" s="772"/>
      <c r="C418" s="772"/>
      <c r="D418" s="774"/>
      <c r="E418" s="772"/>
      <c r="F418" s="772"/>
      <c r="G418" s="772"/>
      <c r="H418" s="772"/>
      <c r="I418" s="772"/>
      <c r="J418" s="772"/>
      <c r="K418" s="772"/>
      <c r="L418" s="772"/>
      <c r="M418" s="1662"/>
      <c r="N418" s="1662"/>
      <c r="O418" s="1662"/>
      <c r="P418" s="773"/>
    </row>
    <row r="419" spans="1:16" s="780" customFormat="1" x14ac:dyDescent="0.2">
      <c r="A419" s="941" t="s">
        <v>2163</v>
      </c>
      <c r="B419" s="774">
        <f>'BS&amp;Ratios'!B10</f>
        <v>47023</v>
      </c>
      <c r="C419" s="774">
        <f>'BS&amp;Ratios'!C10</f>
        <v>38264</v>
      </c>
      <c r="D419" s="774">
        <f>'BS&amp;Ratios'!D10</f>
        <v>43810</v>
      </c>
      <c r="E419" s="774">
        <f>'BS&amp;Ratios'!E10</f>
        <v>44622</v>
      </c>
      <c r="F419" s="774">
        <f>'BS&amp;Ratios'!F10</f>
        <v>31100</v>
      </c>
      <c r="G419" s="774">
        <f>'BS&amp;Ratios'!G10</f>
        <v>36940</v>
      </c>
      <c r="H419" s="774">
        <f>'BS&amp;Ratios'!H10</f>
        <v>30560</v>
      </c>
      <c r="I419" s="774">
        <f>'BS&amp;Ratios'!I10</f>
        <v>36390</v>
      </c>
      <c r="J419" s="774">
        <f>'BS&amp;Ratios'!J10</f>
        <v>33620</v>
      </c>
      <c r="K419" s="774">
        <f>'BS&amp;Ratios'!K10</f>
        <v>34510</v>
      </c>
      <c r="L419" s="774">
        <f>'BS&amp;Ratios'!L10</f>
        <v>38700</v>
      </c>
      <c r="M419" s="1650">
        <f>'BS&amp;Ratios'!M10</f>
        <v>41000</v>
      </c>
      <c r="N419" s="1650">
        <f>'BS&amp;Ratios'!N10</f>
        <v>46000</v>
      </c>
      <c r="O419" s="1650">
        <f>'BS&amp;Ratios'!O10</f>
        <v>50510</v>
      </c>
      <c r="P419" s="775">
        <f>'BS&amp;Ratios'!P10</f>
        <v>53830</v>
      </c>
    </row>
    <row r="420" spans="1:16" s="780" customFormat="1" x14ac:dyDescent="0.2">
      <c r="A420" s="936" t="s">
        <v>3356</v>
      </c>
      <c r="B420" s="774">
        <v>16978</v>
      </c>
      <c r="C420" s="774">
        <f>C405-C47-C88</f>
        <v>9814</v>
      </c>
      <c r="D420" s="774">
        <f>D405-D47-D88</f>
        <v>14190</v>
      </c>
      <c r="E420" s="774">
        <f>'Res-Bal'!D163/1000</f>
        <v>8952.4</v>
      </c>
      <c r="F420" s="774">
        <f>'Res-Bal'!G163/1000</f>
        <v>8765.7999999999993</v>
      </c>
      <c r="G420" s="774">
        <f>'Res-Bal'!J163/1000</f>
        <v>14077.6</v>
      </c>
      <c r="H420" s="774">
        <f>'Res-Bal'!M163/1000</f>
        <v>5673.5</v>
      </c>
      <c r="I420" s="774">
        <f>'Res-Bal'!P163/1000</f>
        <v>12075.6</v>
      </c>
      <c r="J420" s="774">
        <f>'Res-Bal'!S163/1000</f>
        <v>9626.6</v>
      </c>
      <c r="K420" s="774">
        <f>'Res-Bal'!V163/1000</f>
        <v>9471.9</v>
      </c>
      <c r="L420" s="774">
        <f>'Res-Bal'!Y163/1000</f>
        <v>12755.3</v>
      </c>
      <c r="M420" s="1650">
        <f>'Res-Bal'!AB163/1000</f>
        <v>14506.7</v>
      </c>
      <c r="N420" s="1650">
        <f>'Res-Bal'!AE163/1000</f>
        <v>18089.7</v>
      </c>
      <c r="O420" s="1650">
        <f>'Res-Bal'!AH163/1000</f>
        <v>21852.9</v>
      </c>
      <c r="P420" s="775">
        <f>'Res-Bal'!AK163/1000</f>
        <v>24069.1</v>
      </c>
    </row>
    <row r="421" spans="1:16" s="780" customFormat="1" x14ac:dyDescent="0.2">
      <c r="A421" s="936" t="s">
        <v>3357</v>
      </c>
      <c r="B421" s="774">
        <v>279</v>
      </c>
      <c r="C421" s="774">
        <v>315</v>
      </c>
      <c r="D421" s="442">
        <f>AVERAGE(B421:C421)</f>
        <v>297</v>
      </c>
      <c r="E421" s="774">
        <f>ROUNDUP(D421+(D421*Assumptions!G$5),-1)</f>
        <v>310</v>
      </c>
      <c r="F421" s="774">
        <f>269+13</f>
        <v>282</v>
      </c>
      <c r="G421" s="774">
        <f>ROUNDUP(F421+(F421*Assumptions!I$5),-1)</f>
        <v>290</v>
      </c>
      <c r="H421" s="774">
        <f>ROUNDUP(G421+(G421*Assumptions!J$5),-1)</f>
        <v>300</v>
      </c>
      <c r="I421" s="774">
        <f>ROUNDUP(H421+(H421*Assumptions!K$5),-1)</f>
        <v>310</v>
      </c>
      <c r="J421" s="774">
        <f>ROUNDUP(I421+(I421*Assumptions!L$5),-1)</f>
        <v>320</v>
      </c>
      <c r="K421" s="774">
        <f>ROUNDUP(J421+(J421*Assumptions!M$5),-1)</f>
        <v>330</v>
      </c>
      <c r="L421" s="774">
        <f>ROUNDUP(K421+(K421*Assumptions!N$5),-1)</f>
        <v>340</v>
      </c>
      <c r="M421" s="1650">
        <f>ROUNDUP(L421+(L421*Assumptions!P$5),-1)</f>
        <v>350</v>
      </c>
      <c r="N421" s="1650">
        <f>ROUNDUP(M421+(M421*Assumptions!Q$5),-1)</f>
        <v>360</v>
      </c>
      <c r="O421" s="1650">
        <f>ROUNDUP(N421+(N421*Assumptions!R$5),-1)</f>
        <v>360</v>
      </c>
      <c r="P421" s="775">
        <f>ROUNDUP(O421+(O421*Assumptions!S$5),-1)</f>
        <v>360</v>
      </c>
    </row>
    <row r="422" spans="1:16" s="780" customFormat="1" x14ac:dyDescent="0.2">
      <c r="A422" s="936" t="s">
        <v>3358</v>
      </c>
      <c r="B422" s="774">
        <v>0</v>
      </c>
      <c r="C422" s="774">
        <v>0</v>
      </c>
      <c r="D422" s="772">
        <v>0</v>
      </c>
      <c r="E422" s="772">
        <v>0</v>
      </c>
      <c r="F422" s="772">
        <v>0</v>
      </c>
      <c r="G422" s="772">
        <v>0</v>
      </c>
      <c r="H422" s="772">
        <v>0</v>
      </c>
      <c r="I422" s="772">
        <v>0</v>
      </c>
      <c r="J422" s="772">
        <v>0</v>
      </c>
      <c r="K422" s="772">
        <v>0</v>
      </c>
      <c r="L422" s="772">
        <v>0</v>
      </c>
      <c r="M422" s="1662">
        <v>0</v>
      </c>
      <c r="N422" s="1662">
        <v>0</v>
      </c>
      <c r="O422" s="1662">
        <v>0</v>
      </c>
      <c r="P422" s="773">
        <v>0</v>
      </c>
    </row>
    <row r="423" spans="1:16" s="784" customFormat="1" x14ac:dyDescent="0.2">
      <c r="A423" s="943" t="s">
        <v>2863</v>
      </c>
      <c r="B423" s="782">
        <f t="shared" ref="B423:M423" si="504">B419-SUM(B420:B422)</f>
        <v>29766</v>
      </c>
      <c r="C423" s="782">
        <f t="shared" si="504"/>
        <v>28135</v>
      </c>
      <c r="D423" s="782">
        <f t="shared" si="504"/>
        <v>29323</v>
      </c>
      <c r="E423" s="782">
        <f t="shared" si="504"/>
        <v>35359.599999999999</v>
      </c>
      <c r="F423" s="782">
        <f t="shared" si="504"/>
        <v>22052.2</v>
      </c>
      <c r="G423" s="782">
        <f t="shared" si="504"/>
        <v>22572.400000000001</v>
      </c>
      <c r="H423" s="782">
        <f t="shared" si="504"/>
        <v>24586.5</v>
      </c>
      <c r="I423" s="782">
        <f t="shared" si="504"/>
        <v>24004.400000000001</v>
      </c>
      <c r="J423" s="782">
        <f t="shared" si="504"/>
        <v>23673.4</v>
      </c>
      <c r="K423" s="782">
        <f t="shared" si="504"/>
        <v>24708.1</v>
      </c>
      <c r="L423" s="782">
        <f t="shared" si="504"/>
        <v>25604.7</v>
      </c>
      <c r="M423" s="1663">
        <f t="shared" si="504"/>
        <v>26143.3</v>
      </c>
      <c r="N423" s="1663">
        <f t="shared" ref="N423:O423" si="505">N419-SUM(N420:N422)</f>
        <v>27550.3</v>
      </c>
      <c r="O423" s="1663">
        <f t="shared" si="505"/>
        <v>28297.1</v>
      </c>
      <c r="P423" s="783">
        <f t="shared" ref="P423" si="506">P419-SUM(P420:P422)</f>
        <v>29400.9</v>
      </c>
    </row>
    <row r="424" spans="1:16" s="780" customFormat="1" x14ac:dyDescent="0.2">
      <c r="A424" s="941"/>
      <c r="B424" s="772"/>
      <c r="C424" s="772"/>
      <c r="D424" s="772"/>
      <c r="E424" s="772"/>
      <c r="F424" s="772"/>
      <c r="G424" s="772"/>
      <c r="H424" s="772"/>
      <c r="I424" s="772"/>
      <c r="J424" s="772"/>
      <c r="K424" s="772"/>
      <c r="L424" s="772"/>
      <c r="M424" s="1662"/>
      <c r="N424" s="1662"/>
      <c r="O424" s="1662"/>
      <c r="P424" s="773"/>
    </row>
    <row r="425" spans="1:16" s="780" customFormat="1" x14ac:dyDescent="0.2">
      <c r="A425" s="936" t="s">
        <v>2816</v>
      </c>
      <c r="B425" s="774">
        <f>'BS&amp;Ratios'!B26</f>
        <v>17813</v>
      </c>
      <c r="C425" s="774">
        <f>'BS&amp;Ratios'!C26</f>
        <v>19648</v>
      </c>
      <c r="D425" s="774">
        <f>'BS&amp;Ratios'!D26</f>
        <v>16508</v>
      </c>
      <c r="E425" s="774">
        <f>'BS&amp;Ratios'!E26</f>
        <v>17610</v>
      </c>
      <c r="F425" s="774">
        <f>'BS&amp;Ratios'!F26</f>
        <v>17532.8</v>
      </c>
      <c r="G425" s="774">
        <f>'BS&amp;Ratios'!G26</f>
        <v>17777.8</v>
      </c>
      <c r="H425" s="774">
        <f>'BS&amp;Ratios'!H26</f>
        <v>18238.900000000001</v>
      </c>
      <c r="I425" s="774">
        <f>'BS&amp;Ratios'!I26</f>
        <v>18353.099999999999</v>
      </c>
      <c r="J425" s="774">
        <f>'BS&amp;Ratios'!J26</f>
        <v>19252.900000000001</v>
      </c>
      <c r="K425" s="774">
        <f>'BS&amp;Ratios'!K26</f>
        <v>19154.900000000001</v>
      </c>
      <c r="L425" s="774">
        <f>'BS&amp;Ratios'!L26</f>
        <v>18780.2</v>
      </c>
      <c r="M425" s="1650">
        <f>'BS&amp;Ratios'!M26</f>
        <v>18880.099999999999</v>
      </c>
      <c r="N425" s="1650">
        <f>'BS&amp;Ratios'!N26</f>
        <v>18622.599999999999</v>
      </c>
      <c r="O425" s="1650">
        <f>'BS&amp;Ratios'!O26</f>
        <v>18989.900000000001</v>
      </c>
      <c r="P425" s="775">
        <f>'BS&amp;Ratios'!P26</f>
        <v>17920</v>
      </c>
    </row>
    <row r="426" spans="1:16" s="780" customFormat="1" x14ac:dyDescent="0.2">
      <c r="A426" s="936" t="s">
        <v>3360</v>
      </c>
      <c r="B426" s="774">
        <v>305</v>
      </c>
      <c r="C426" s="774">
        <v>322</v>
      </c>
      <c r="D426" s="442">
        <f>AVERAGE(B426:C426)</f>
        <v>313.5</v>
      </c>
      <c r="E426" s="774">
        <f>ROUNDUP(D426+(D426*Assumptions!G$5),-1)</f>
        <v>320</v>
      </c>
      <c r="F426" s="774">
        <v>2830</v>
      </c>
      <c r="G426" s="774">
        <f>ROUNDUP(F426+(F426*Assumptions!I$5),-1)</f>
        <v>2910</v>
      </c>
      <c r="H426" s="774">
        <f>ROUNDUP(G426+(G426*Assumptions!J$5),-1)</f>
        <v>2990</v>
      </c>
      <c r="I426" s="774">
        <f>ROUNDUP(H426+(H426*Assumptions!K$5),-1)</f>
        <v>3070</v>
      </c>
      <c r="J426" s="774">
        <f>ROUNDUP(I426+(I426*Assumptions!L$5),-1)</f>
        <v>3140</v>
      </c>
      <c r="K426" s="774">
        <f>ROUNDUP(J426+(J426*Assumptions!M$5),-1)</f>
        <v>3210</v>
      </c>
      <c r="L426" s="774">
        <f>ROUNDUP(K426+(K426*Assumptions!N$5),-1)</f>
        <v>3280</v>
      </c>
      <c r="M426" s="1650">
        <f>ROUNDUP(L426+(L426*Assumptions!P$5),-1)</f>
        <v>3350</v>
      </c>
      <c r="N426" s="1650">
        <f>ROUNDUP(M426+(M426*Assumptions!Q$5),-1)</f>
        <v>3420</v>
      </c>
      <c r="O426" s="1650">
        <f>ROUNDUP(N426+(N426*Assumptions!R$5),-1)</f>
        <v>3420</v>
      </c>
      <c r="P426" s="775">
        <f>ROUNDUP(O426+(O426*Assumptions!S$5),-1)</f>
        <v>3420</v>
      </c>
    </row>
    <row r="427" spans="1:16" s="780" customFormat="1" x14ac:dyDescent="0.2">
      <c r="A427" s="936" t="s">
        <v>3361</v>
      </c>
      <c r="B427" s="772">
        <v>0</v>
      </c>
      <c r="C427" s="772">
        <v>0</v>
      </c>
      <c r="D427" s="772">
        <f>ROUNDUP(C427+(C427*Assumptions!F$5),-1)</f>
        <v>0</v>
      </c>
      <c r="E427" s="772">
        <f>ROUNDUP(D427+(D427*Assumptions!G$5),-1)</f>
        <v>0</v>
      </c>
      <c r="F427" s="772">
        <f>ROUNDUP(E427+(E427*Assumptions!H$5),-1)</f>
        <v>0</v>
      </c>
      <c r="G427" s="772">
        <f>ROUNDUP(F427+(F427*Assumptions!I$5),-1)</f>
        <v>0</v>
      </c>
      <c r="H427" s="772">
        <f>ROUNDUP(G427+(G427*Assumptions!J$5),-1)</f>
        <v>0</v>
      </c>
      <c r="I427" s="772">
        <f>ROUNDUP(H427+(H427*Assumptions!K$5),-1)</f>
        <v>0</v>
      </c>
      <c r="J427" s="772">
        <f>ROUNDUP(I427+(I427*Assumptions!L$5),-1)</f>
        <v>0</v>
      </c>
      <c r="K427" s="772">
        <f>ROUNDUP(J427+(J427*Assumptions!M$5),-1)</f>
        <v>0</v>
      </c>
      <c r="L427" s="772">
        <f>ROUNDUP(K427+(K427*Assumptions!N$5),-1)</f>
        <v>0</v>
      </c>
      <c r="M427" s="1662">
        <f>ROUNDUP(L427+(L427*Assumptions!P$5),-1)</f>
        <v>0</v>
      </c>
      <c r="N427" s="1662">
        <f>ROUNDUP(M427+(M427*Assumptions!Q$5),-1)</f>
        <v>0</v>
      </c>
      <c r="O427" s="1662">
        <f>ROUNDUP(N427+(N427*Assumptions!R$5),-1)</f>
        <v>0</v>
      </c>
      <c r="P427" s="773">
        <f>ROUNDUP(O427+(O427*Assumptions!S$5),-1)</f>
        <v>0</v>
      </c>
    </row>
    <row r="428" spans="1:16" s="780" customFormat="1" x14ac:dyDescent="0.2">
      <c r="A428" s="936" t="s">
        <v>3359</v>
      </c>
      <c r="B428" s="774">
        <v>6116</v>
      </c>
      <c r="C428" s="774">
        <f>C412</f>
        <v>5044</v>
      </c>
      <c r="D428" s="442">
        <f>AVERAGE(B428:C428)</f>
        <v>5580</v>
      </c>
      <c r="E428" s="774">
        <f>ROUNDUP(D428+(D428*Assumptions!G$5),-1)</f>
        <v>5700</v>
      </c>
      <c r="F428" s="774">
        <v>5863</v>
      </c>
      <c r="G428" s="774">
        <f>ROUNDUP(F428+(F428*Assumptions!I$5),-1)</f>
        <v>6010</v>
      </c>
      <c r="H428" s="774">
        <f>ROUNDUP(G428+(G428*Assumptions!J$5),-1)</f>
        <v>6170</v>
      </c>
      <c r="I428" s="774">
        <f>ROUNDUP(H428+(H428*Assumptions!K$5),-1)</f>
        <v>6330</v>
      </c>
      <c r="J428" s="774">
        <f>ROUNDUP(I428+(I428*Assumptions!L$5),-1)</f>
        <v>6460</v>
      </c>
      <c r="K428" s="774">
        <f>ROUNDUP(J428+(J428*Assumptions!M$5),-1)</f>
        <v>6590</v>
      </c>
      <c r="L428" s="774">
        <f>ROUNDUP(K428+(K428*Assumptions!N$5),-1)</f>
        <v>6730</v>
      </c>
      <c r="M428" s="1650">
        <f>ROUNDUP(L428+(L428*Assumptions!P$5),-1)</f>
        <v>6870</v>
      </c>
      <c r="N428" s="1650">
        <f>ROUNDUP(M428+(M428*Assumptions!Q$5),-1)</f>
        <v>7010</v>
      </c>
      <c r="O428" s="1650">
        <f>ROUNDUP(N428+(N428*Assumptions!R$5),-1)</f>
        <v>7010</v>
      </c>
      <c r="P428" s="775">
        <f>ROUNDUP(O428+(O428*Assumptions!S$5),-1)</f>
        <v>7010</v>
      </c>
    </row>
    <row r="429" spans="1:16" s="784" customFormat="1" x14ac:dyDescent="0.2">
      <c r="A429" s="943" t="s">
        <v>2864</v>
      </c>
      <c r="B429" s="782">
        <f t="shared" ref="B429:M429" si="507">B425-SUM(B426:B428)</f>
        <v>11392</v>
      </c>
      <c r="C429" s="782">
        <f t="shared" si="507"/>
        <v>14282</v>
      </c>
      <c r="D429" s="782">
        <f t="shared" si="507"/>
        <v>10614.5</v>
      </c>
      <c r="E429" s="782">
        <f t="shared" si="507"/>
        <v>11590</v>
      </c>
      <c r="F429" s="782">
        <f t="shared" si="507"/>
        <v>8839.7999999999993</v>
      </c>
      <c r="G429" s="782">
        <f t="shared" si="507"/>
        <v>8857.7999999999993</v>
      </c>
      <c r="H429" s="782">
        <f t="shared" si="507"/>
        <v>9078.9000000000015</v>
      </c>
      <c r="I429" s="782">
        <f t="shared" si="507"/>
        <v>8953.0999999999985</v>
      </c>
      <c r="J429" s="782">
        <f t="shared" si="507"/>
        <v>9652.9000000000015</v>
      </c>
      <c r="K429" s="782">
        <f t="shared" si="507"/>
        <v>9354.9000000000015</v>
      </c>
      <c r="L429" s="782">
        <f t="shared" si="507"/>
        <v>8770.2000000000007</v>
      </c>
      <c r="M429" s="1663">
        <f t="shared" si="507"/>
        <v>8660.0999999999985</v>
      </c>
      <c r="N429" s="1663">
        <f t="shared" ref="N429:O429" si="508">N425-SUM(N426:N428)</f>
        <v>8192.5999999999985</v>
      </c>
      <c r="O429" s="1663">
        <f t="shared" si="508"/>
        <v>8559.9000000000015</v>
      </c>
      <c r="P429" s="783">
        <f t="shared" ref="P429" si="509">P425-SUM(P426:P428)</f>
        <v>7490</v>
      </c>
    </row>
    <row r="430" spans="1:16" s="787" customFormat="1" x14ac:dyDescent="0.2">
      <c r="A430" s="944"/>
      <c r="B430" s="785"/>
      <c r="C430" s="785"/>
      <c r="D430" s="785"/>
      <c r="E430" s="785"/>
      <c r="F430" s="785"/>
      <c r="G430" s="785"/>
      <c r="H430" s="785"/>
      <c r="I430" s="785"/>
      <c r="J430" s="785"/>
      <c r="K430" s="785"/>
      <c r="L430" s="785"/>
      <c r="M430" s="1664"/>
      <c r="N430" s="1664"/>
      <c r="O430" s="1664"/>
      <c r="P430" s="786"/>
    </row>
    <row r="431" spans="1:16" s="2" customFormat="1" x14ac:dyDescent="0.2">
      <c r="A431" s="942" t="s">
        <v>3470</v>
      </c>
      <c r="B431" s="1492">
        <f t="shared" ref="B431:M431" si="510">ROUND(B423/B429,2)</f>
        <v>2.61</v>
      </c>
      <c r="C431" s="1492">
        <f t="shared" si="510"/>
        <v>1.97</v>
      </c>
      <c r="D431" s="1492">
        <f t="shared" si="510"/>
        <v>2.76</v>
      </c>
      <c r="E431" s="1492">
        <f t="shared" si="510"/>
        <v>3.05</v>
      </c>
      <c r="F431" s="1492">
        <f t="shared" si="510"/>
        <v>2.4900000000000002</v>
      </c>
      <c r="G431" s="1492">
        <f t="shared" si="510"/>
        <v>2.5499999999999998</v>
      </c>
      <c r="H431" s="1492">
        <f t="shared" si="510"/>
        <v>2.71</v>
      </c>
      <c r="I431" s="1492">
        <f t="shared" si="510"/>
        <v>2.68</v>
      </c>
      <c r="J431" s="1492">
        <f t="shared" si="510"/>
        <v>2.4500000000000002</v>
      </c>
      <c r="K431" s="1492">
        <f t="shared" si="510"/>
        <v>2.64</v>
      </c>
      <c r="L431" s="1492">
        <f t="shared" si="510"/>
        <v>2.92</v>
      </c>
      <c r="M431" s="1655">
        <f t="shared" si="510"/>
        <v>3.02</v>
      </c>
      <c r="N431" s="1655">
        <f t="shared" ref="N431:O431" si="511">ROUND(N423/N429,2)</f>
        <v>3.36</v>
      </c>
      <c r="O431" s="1655">
        <f t="shared" si="511"/>
        <v>3.31</v>
      </c>
      <c r="P431" s="918">
        <f t="shared" ref="P431" si="512">ROUND(P423/P429,2)</f>
        <v>3.93</v>
      </c>
    </row>
    <row r="432" spans="1:16" x14ac:dyDescent="0.2">
      <c r="A432" s="942"/>
      <c r="B432" s="1273"/>
      <c r="C432" s="1273"/>
      <c r="D432" s="1273"/>
      <c r="E432" s="1271"/>
      <c r="F432" s="1271"/>
      <c r="G432" s="1271"/>
      <c r="H432" s="1271"/>
      <c r="I432" s="1271"/>
      <c r="J432" s="1271"/>
      <c r="K432" s="1271"/>
      <c r="L432" s="1271"/>
      <c r="M432" s="1642"/>
      <c r="N432" s="1642"/>
      <c r="O432" s="1642"/>
      <c r="P432" s="1272"/>
    </row>
    <row r="433" spans="1:16" x14ac:dyDescent="0.2">
      <c r="A433" s="1278"/>
      <c r="B433" s="1275"/>
      <c r="C433" s="1275"/>
      <c r="D433" s="1275"/>
      <c r="E433" s="1275"/>
      <c r="F433" s="2567"/>
      <c r="G433" s="1275"/>
      <c r="H433" s="1275"/>
      <c r="I433" s="1275"/>
      <c r="J433" s="1275"/>
      <c r="K433" s="1275"/>
      <c r="L433" s="1275"/>
      <c r="M433" s="1644"/>
      <c r="N433" s="1644"/>
      <c r="O433" s="1644"/>
      <c r="P433" s="1279"/>
    </row>
    <row r="434" spans="1:16" s="780" customFormat="1" x14ac:dyDescent="0.2">
      <c r="A434" s="1225" t="s">
        <v>4304</v>
      </c>
      <c r="B434" s="772"/>
      <c r="C434" s="772"/>
      <c r="D434" s="1570"/>
      <c r="E434" s="772"/>
      <c r="F434" s="772"/>
      <c r="G434" s="772"/>
      <c r="H434" s="772"/>
      <c r="I434" s="772"/>
      <c r="J434" s="772"/>
      <c r="K434" s="772"/>
      <c r="L434" s="772"/>
      <c r="M434" s="1662"/>
      <c r="N434" s="1662"/>
      <c r="O434" s="1662"/>
      <c r="P434" s="773"/>
    </row>
    <row r="435" spans="1:16" s="780" customFormat="1" x14ac:dyDescent="0.2">
      <c r="A435" s="941" t="s">
        <v>2163</v>
      </c>
      <c r="B435" s="1570">
        <f t="shared" ref="B435:O435" si="513">B51</f>
        <v>11386</v>
      </c>
      <c r="C435" s="1570">
        <f t="shared" si="513"/>
        <v>11757</v>
      </c>
      <c r="D435" s="1570">
        <f t="shared" si="513"/>
        <v>11277</v>
      </c>
      <c r="E435" s="1570">
        <f t="shared" si="513"/>
        <v>11786</v>
      </c>
      <c r="F435" s="1570">
        <f t="shared" si="513"/>
        <v>12140</v>
      </c>
      <c r="G435" s="1570">
        <f t="shared" si="513"/>
        <v>12240</v>
      </c>
      <c r="H435" s="1570">
        <f t="shared" si="513"/>
        <v>13440</v>
      </c>
      <c r="I435" s="1570">
        <f t="shared" si="513"/>
        <v>13630</v>
      </c>
      <c r="J435" s="1570">
        <f t="shared" si="513"/>
        <v>14180</v>
      </c>
      <c r="K435" s="1570">
        <f t="shared" si="513"/>
        <v>12700</v>
      </c>
      <c r="L435" s="1570">
        <f t="shared" si="513"/>
        <v>14210</v>
      </c>
      <c r="M435" s="1665">
        <f t="shared" si="513"/>
        <v>13980</v>
      </c>
      <c r="N435" s="1665">
        <f t="shared" si="513"/>
        <v>14230</v>
      </c>
      <c r="O435" s="1665">
        <f t="shared" si="513"/>
        <v>16660</v>
      </c>
      <c r="P435" s="1571">
        <f t="shared" ref="P435" si="514">P51</f>
        <v>16730</v>
      </c>
    </row>
    <row r="436" spans="1:16" s="780" customFormat="1" x14ac:dyDescent="0.2">
      <c r="A436" s="936" t="s">
        <v>4409</v>
      </c>
      <c r="B436" s="1570"/>
      <c r="C436" s="1570"/>
      <c r="D436" s="1570">
        <v>-5023</v>
      </c>
      <c r="E436" s="1570">
        <f>D436/2-800</f>
        <v>-3311.5</v>
      </c>
      <c r="F436" s="1570">
        <f t="shared" ref="F436:P436" si="515">E436</f>
        <v>-3311.5</v>
      </c>
      <c r="G436" s="1570">
        <f t="shared" si="515"/>
        <v>-3311.5</v>
      </c>
      <c r="H436" s="1570">
        <f t="shared" si="515"/>
        <v>-3311.5</v>
      </c>
      <c r="I436" s="1570">
        <f t="shared" si="515"/>
        <v>-3311.5</v>
      </c>
      <c r="J436" s="1570">
        <f t="shared" si="515"/>
        <v>-3311.5</v>
      </c>
      <c r="K436" s="1570">
        <f t="shared" si="515"/>
        <v>-3311.5</v>
      </c>
      <c r="L436" s="1570">
        <f t="shared" si="515"/>
        <v>-3311.5</v>
      </c>
      <c r="M436" s="1665">
        <f t="shared" si="515"/>
        <v>-3311.5</v>
      </c>
      <c r="N436" s="1665">
        <f t="shared" si="515"/>
        <v>-3311.5</v>
      </c>
      <c r="O436" s="1665">
        <f t="shared" si="515"/>
        <v>-3311.5</v>
      </c>
      <c r="P436" s="1571">
        <f t="shared" si="515"/>
        <v>-3311.5</v>
      </c>
    </row>
    <row r="437" spans="1:16" s="780" customFormat="1" x14ac:dyDescent="0.2">
      <c r="A437" s="936" t="s">
        <v>4408</v>
      </c>
      <c r="B437" s="1570"/>
      <c r="C437" s="1570"/>
      <c r="D437" s="1570">
        <f>LTFP!B279/1000</f>
        <v>3882.8</v>
      </c>
      <c r="E437" s="1570">
        <f>LTFP!C279/1000</f>
        <v>4343.8</v>
      </c>
      <c r="F437" s="1570">
        <f>LTFP!E279/1000</f>
        <v>4632.7</v>
      </c>
      <c r="G437" s="1570">
        <f>LTFP!G279/1000</f>
        <v>4682.2</v>
      </c>
      <c r="H437" s="1570">
        <f>LTFP!H279/1000</f>
        <v>5803.4</v>
      </c>
      <c r="I437" s="1570">
        <f>LTFP!I279/1000</f>
        <v>5922.7</v>
      </c>
      <c r="J437" s="1570">
        <f>LTFP!J279/1000</f>
        <v>6400.3</v>
      </c>
      <c r="K437" s="1570">
        <f>LTFP!K279/1000</f>
        <v>4859.7</v>
      </c>
      <c r="L437" s="1570">
        <f>LTFP!L279/1000</f>
        <v>6304.7</v>
      </c>
      <c r="M437" s="1665">
        <f>LTFP!M279/1000</f>
        <v>6013.1</v>
      </c>
      <c r="N437" s="1665">
        <f>LTFP!N279/1000</f>
        <v>6197.5</v>
      </c>
      <c r="O437" s="1665">
        <f>LTFP!O279/1000</f>
        <v>8040.3</v>
      </c>
      <c r="P437" s="1571">
        <f>LTFP!P279/1000</f>
        <v>10393.200000000001</v>
      </c>
    </row>
    <row r="438" spans="1:16" s="780" customFormat="1" x14ac:dyDescent="0.2">
      <c r="A438" s="936" t="s">
        <v>4358</v>
      </c>
      <c r="B438" s="1570">
        <v>6908</v>
      </c>
      <c r="C438" s="1570">
        <v>6507</v>
      </c>
      <c r="D438" s="1570">
        <f>LTFP!B280/1000</f>
        <v>6589.1</v>
      </c>
      <c r="E438" s="1570">
        <f>LTFP!C280/1000</f>
        <v>7425.1</v>
      </c>
      <c r="F438" s="1570">
        <f>LTFP!E280/1000</f>
        <v>6294.2</v>
      </c>
      <c r="G438" s="1570">
        <f>LTFP!G280/1000</f>
        <v>5759.6</v>
      </c>
      <c r="H438" s="1570">
        <f>LTFP!H280/1000</f>
        <v>3595</v>
      </c>
      <c r="I438" s="1570">
        <f>LTFP!I280/1000</f>
        <v>2851.3</v>
      </c>
      <c r="J438" s="1570">
        <f>LTFP!J280/1000</f>
        <v>3349.5</v>
      </c>
      <c r="K438" s="1570">
        <f>LTFP!K280/1000</f>
        <v>2459.5</v>
      </c>
      <c r="L438" s="1570">
        <f>LTFP!L280/1000</f>
        <v>11.5</v>
      </c>
      <c r="M438" s="1665">
        <f>LTFP!M280/1000</f>
        <v>124.4</v>
      </c>
      <c r="N438" s="1665">
        <f>LTFP!N280/1000</f>
        <v>39.299999999999997</v>
      </c>
      <c r="O438" s="1665">
        <f>LTFP!O280/1000</f>
        <v>780.6</v>
      </c>
      <c r="P438" s="1571">
        <f>LTFP!P280/1000</f>
        <v>1566.9</v>
      </c>
    </row>
    <row r="439" spans="1:16" s="780" customFormat="1" x14ac:dyDescent="0.2">
      <c r="A439" s="936" t="s">
        <v>3357</v>
      </c>
      <c r="B439" s="1570">
        <v>0</v>
      </c>
      <c r="C439" s="1570">
        <v>0</v>
      </c>
      <c r="D439" s="1570">
        <f>ROUNDUP(C439+(C439*Assumptions!F$5),-1)</f>
        <v>0</v>
      </c>
      <c r="E439" s="1570">
        <f>ROUNDUP(D439+(D439*Assumptions!G$5),-2)</f>
        <v>0</v>
      </c>
      <c r="F439" s="1570">
        <f>ROUNDUP(E439+(E439*Assumptions!H$5),-2)</f>
        <v>0</v>
      </c>
      <c r="G439" s="1570">
        <f>ROUNDUP(F439+(F439*Assumptions!I$5),-2)</f>
        <v>0</v>
      </c>
      <c r="H439" s="1570">
        <f>ROUNDUP(G439+(G439*Assumptions!J$5),-2)</f>
        <v>0</v>
      </c>
      <c r="I439" s="1570">
        <f>ROUNDUP(H439+(H439*Assumptions!K$5),-2)</f>
        <v>0</v>
      </c>
      <c r="J439" s="1570">
        <f>ROUNDUP(I439+(I439*Assumptions!L$5),-2)</f>
        <v>0</v>
      </c>
      <c r="K439" s="1570">
        <f>ROUNDUP(J439+(J439*Assumptions!M$5),-2)</f>
        <v>0</v>
      </c>
      <c r="L439" s="1570">
        <f>ROUNDUP(K439+(K439*Assumptions!N$5),-2)</f>
        <v>0</v>
      </c>
      <c r="M439" s="1665">
        <f>ROUNDUP(L439+(L439*Assumptions!P$5),-2)</f>
        <v>0</v>
      </c>
      <c r="N439" s="1665">
        <f>ROUNDUP(M439+(M439*Assumptions!Q$5),-2)</f>
        <v>0</v>
      </c>
      <c r="O439" s="1665">
        <f>ROUNDUP(N439+(N439*Assumptions!R$5),-2)</f>
        <v>0</v>
      </c>
      <c r="P439" s="1571">
        <f>ROUNDUP(O439+(O439*Assumptions!S$5),-2)</f>
        <v>0</v>
      </c>
    </row>
    <row r="440" spans="1:16" s="780" customFormat="1" x14ac:dyDescent="0.2">
      <c r="A440" s="936" t="s">
        <v>3358</v>
      </c>
      <c r="B440" s="1570">
        <v>0</v>
      </c>
      <c r="C440" s="1570">
        <v>0</v>
      </c>
      <c r="D440" s="1570">
        <v>0</v>
      </c>
      <c r="E440" s="1570">
        <v>0</v>
      </c>
      <c r="F440" s="1570">
        <v>0</v>
      </c>
      <c r="G440" s="1570">
        <v>0</v>
      </c>
      <c r="H440" s="1570">
        <v>0</v>
      </c>
      <c r="I440" s="1570">
        <v>0</v>
      </c>
      <c r="J440" s="1570">
        <v>0</v>
      </c>
      <c r="K440" s="1570">
        <v>0</v>
      </c>
      <c r="L440" s="1570">
        <v>0</v>
      </c>
      <c r="M440" s="1665">
        <v>0</v>
      </c>
      <c r="N440" s="1665">
        <v>0</v>
      </c>
      <c r="O440" s="1665">
        <v>0</v>
      </c>
      <c r="P440" s="1571">
        <v>0</v>
      </c>
    </row>
    <row r="441" spans="1:16" s="784" customFormat="1" x14ac:dyDescent="0.2">
      <c r="A441" s="943" t="s">
        <v>2863</v>
      </c>
      <c r="B441" s="782">
        <f t="shared" ref="B441:C441" si="516">B435-SUM(B436:B440)</f>
        <v>4478</v>
      </c>
      <c r="C441" s="782">
        <f t="shared" si="516"/>
        <v>5250</v>
      </c>
      <c r="D441" s="782">
        <f>D435-SUM(D436:D440)</f>
        <v>5828.0999999999995</v>
      </c>
      <c r="E441" s="782">
        <f t="shared" ref="E441:N441" si="517">E435-SUM(E436:E440)</f>
        <v>3328.5999999999985</v>
      </c>
      <c r="F441" s="782">
        <f t="shared" si="517"/>
        <v>4524.6000000000004</v>
      </c>
      <c r="G441" s="782">
        <f t="shared" si="517"/>
        <v>5109.7</v>
      </c>
      <c r="H441" s="782">
        <f t="shared" si="517"/>
        <v>7353.1</v>
      </c>
      <c r="I441" s="782">
        <f t="shared" si="517"/>
        <v>8167.5</v>
      </c>
      <c r="J441" s="782">
        <f t="shared" si="517"/>
        <v>7741.7</v>
      </c>
      <c r="K441" s="782">
        <f t="shared" si="517"/>
        <v>8692.2999999999993</v>
      </c>
      <c r="L441" s="782">
        <f t="shared" si="517"/>
        <v>11205.3</v>
      </c>
      <c r="M441" s="1663">
        <f t="shared" si="517"/>
        <v>11154</v>
      </c>
      <c r="N441" s="1663">
        <f t="shared" si="517"/>
        <v>11304.7</v>
      </c>
      <c r="O441" s="1663">
        <f t="shared" ref="O441" si="518">O435-SUM(O436:O440)</f>
        <v>11150.599999999999</v>
      </c>
      <c r="P441" s="783">
        <f t="shared" ref="P441" si="519">P435-SUM(P436:P440)</f>
        <v>8081.4</v>
      </c>
    </row>
    <row r="442" spans="1:16" s="780" customFormat="1" x14ac:dyDescent="0.2">
      <c r="A442" s="941"/>
      <c r="B442" s="772"/>
      <c r="C442" s="772"/>
      <c r="D442" s="772"/>
      <c r="E442" s="772"/>
      <c r="F442" s="772"/>
      <c r="G442" s="772"/>
      <c r="H442" s="772"/>
      <c r="I442" s="772"/>
      <c r="J442" s="772"/>
      <c r="K442" s="772"/>
      <c r="L442" s="772"/>
      <c r="M442" s="1662"/>
      <c r="N442" s="1662"/>
      <c r="O442" s="1662"/>
      <c r="P442" s="773"/>
    </row>
    <row r="443" spans="1:16" s="780" customFormat="1" x14ac:dyDescent="0.2">
      <c r="A443" s="936" t="s">
        <v>2816</v>
      </c>
      <c r="B443" s="774">
        <f>B67</f>
        <v>146</v>
      </c>
      <c r="C443" s="774">
        <f>C67</f>
        <v>124</v>
      </c>
      <c r="D443" s="774">
        <f>D67</f>
        <v>143</v>
      </c>
      <c r="E443" s="774">
        <f t="shared" ref="E443:O443" si="520">E67/2</f>
        <v>66.5</v>
      </c>
      <c r="F443" s="774">
        <f t="shared" si="520"/>
        <v>70</v>
      </c>
      <c r="G443" s="774">
        <f t="shared" si="520"/>
        <v>75</v>
      </c>
      <c r="H443" s="774">
        <f t="shared" si="520"/>
        <v>80</v>
      </c>
      <c r="I443" s="774">
        <f t="shared" si="520"/>
        <v>85</v>
      </c>
      <c r="J443" s="774">
        <f t="shared" si="520"/>
        <v>90</v>
      </c>
      <c r="K443" s="774">
        <f t="shared" si="520"/>
        <v>95</v>
      </c>
      <c r="L443" s="774">
        <f t="shared" si="520"/>
        <v>100</v>
      </c>
      <c r="M443" s="1650">
        <f t="shared" si="520"/>
        <v>105</v>
      </c>
      <c r="N443" s="1650">
        <f t="shared" si="520"/>
        <v>110</v>
      </c>
      <c r="O443" s="1650">
        <f t="shared" si="520"/>
        <v>115</v>
      </c>
      <c r="P443" s="775">
        <f t="shared" ref="P443" si="521">P67/2</f>
        <v>120</v>
      </c>
    </row>
    <row r="444" spans="1:16" s="784" customFormat="1" x14ac:dyDescent="0.2">
      <c r="A444" s="943" t="s">
        <v>2864</v>
      </c>
      <c r="B444" s="782">
        <f t="shared" ref="B444:M444" si="522">B443</f>
        <v>146</v>
      </c>
      <c r="C444" s="782">
        <f t="shared" si="522"/>
        <v>124</v>
      </c>
      <c r="D444" s="782">
        <f t="shared" si="522"/>
        <v>143</v>
      </c>
      <c r="E444" s="782">
        <f t="shared" si="522"/>
        <v>66.5</v>
      </c>
      <c r="F444" s="782">
        <f t="shared" si="522"/>
        <v>70</v>
      </c>
      <c r="G444" s="782">
        <f t="shared" si="522"/>
        <v>75</v>
      </c>
      <c r="H444" s="782">
        <f t="shared" si="522"/>
        <v>80</v>
      </c>
      <c r="I444" s="782">
        <f t="shared" si="522"/>
        <v>85</v>
      </c>
      <c r="J444" s="782">
        <f t="shared" si="522"/>
        <v>90</v>
      </c>
      <c r="K444" s="782">
        <f t="shared" si="522"/>
        <v>95</v>
      </c>
      <c r="L444" s="782">
        <f t="shared" si="522"/>
        <v>100</v>
      </c>
      <c r="M444" s="1663">
        <f t="shared" si="522"/>
        <v>105</v>
      </c>
      <c r="N444" s="1663">
        <f t="shared" ref="N444:O444" si="523">N443</f>
        <v>110</v>
      </c>
      <c r="O444" s="1663">
        <f t="shared" si="523"/>
        <v>115</v>
      </c>
      <c r="P444" s="783">
        <f t="shared" ref="P444" si="524">P443</f>
        <v>120</v>
      </c>
    </row>
    <row r="445" spans="1:16" s="787" customFormat="1" x14ac:dyDescent="0.2">
      <c r="A445" s="944"/>
      <c r="B445" s="785"/>
      <c r="C445" s="785"/>
      <c r="D445" s="785"/>
      <c r="E445" s="785"/>
      <c r="F445" s="785"/>
      <c r="G445" s="785"/>
      <c r="H445" s="785"/>
      <c r="I445" s="785"/>
      <c r="J445" s="785"/>
      <c r="K445" s="785"/>
      <c r="L445" s="785"/>
      <c r="M445" s="1664"/>
      <c r="N445" s="1664"/>
      <c r="O445" s="1664"/>
      <c r="P445" s="786"/>
    </row>
    <row r="446" spans="1:16" s="2" customFormat="1" x14ac:dyDescent="0.2">
      <c r="A446" s="942" t="s">
        <v>4305</v>
      </c>
      <c r="B446" s="1492">
        <f t="shared" ref="B446:M446" si="525">ROUND(B441/B444,2)</f>
        <v>30.67</v>
      </c>
      <c r="C446" s="1492">
        <f t="shared" si="525"/>
        <v>42.34</v>
      </c>
      <c r="D446" s="1492">
        <f t="shared" si="525"/>
        <v>40.76</v>
      </c>
      <c r="E446" s="1492">
        <f t="shared" si="525"/>
        <v>50.05</v>
      </c>
      <c r="F446" s="1492">
        <f t="shared" si="525"/>
        <v>64.64</v>
      </c>
      <c r="G446" s="1492">
        <f t="shared" si="525"/>
        <v>68.13</v>
      </c>
      <c r="H446" s="1492">
        <f t="shared" si="525"/>
        <v>91.91</v>
      </c>
      <c r="I446" s="1492">
        <f t="shared" si="525"/>
        <v>96.09</v>
      </c>
      <c r="J446" s="1492">
        <f t="shared" si="525"/>
        <v>86.02</v>
      </c>
      <c r="K446" s="1492">
        <f t="shared" si="525"/>
        <v>91.5</v>
      </c>
      <c r="L446" s="1492">
        <f t="shared" si="525"/>
        <v>112.05</v>
      </c>
      <c r="M446" s="1655">
        <f t="shared" si="525"/>
        <v>106.23</v>
      </c>
      <c r="N446" s="1655">
        <f t="shared" ref="N446:O446" si="526">ROUND(N441/N444,2)</f>
        <v>102.77</v>
      </c>
      <c r="O446" s="1655">
        <f t="shared" si="526"/>
        <v>96.96</v>
      </c>
      <c r="P446" s="918">
        <f t="shared" ref="P446" si="527">ROUND(P441/P444,2)</f>
        <v>67.349999999999994</v>
      </c>
    </row>
    <row r="447" spans="1:16" x14ac:dyDescent="0.2">
      <c r="A447" s="942"/>
      <c r="B447" s="1273"/>
      <c r="C447" s="1273"/>
      <c r="D447" s="1273"/>
      <c r="E447" s="1271"/>
      <c r="F447" s="1271"/>
      <c r="G447" s="1271"/>
      <c r="H447" s="1271"/>
      <c r="I447" s="1271"/>
      <c r="J447" s="1271"/>
      <c r="K447" s="1271"/>
      <c r="L447" s="1271"/>
      <c r="M447" s="1642"/>
      <c r="N447" s="1642"/>
      <c r="O447" s="1642"/>
      <c r="P447" s="1272"/>
    </row>
    <row r="448" spans="1:16" x14ac:dyDescent="0.2">
      <c r="A448" s="1278"/>
      <c r="B448" s="1275"/>
      <c r="C448" s="1275"/>
      <c r="D448" s="1275"/>
      <c r="E448" s="1275"/>
      <c r="F448" s="2567"/>
      <c r="G448" s="1275"/>
      <c r="H448" s="1275"/>
      <c r="I448" s="1275"/>
      <c r="J448" s="1275"/>
      <c r="K448" s="1275"/>
      <c r="L448" s="1275"/>
      <c r="M448" s="1644"/>
      <c r="N448" s="1644"/>
      <c r="O448" s="1644"/>
      <c r="P448" s="1279"/>
    </row>
    <row r="449" spans="1:16" s="780" customFormat="1" x14ac:dyDescent="0.2">
      <c r="A449" s="1225" t="s">
        <v>4306</v>
      </c>
      <c r="B449" s="772"/>
      <c r="C449" s="772"/>
      <c r="D449" s="772"/>
      <c r="E449" s="772"/>
      <c r="F449" s="772"/>
      <c r="G449" s="772"/>
      <c r="H449" s="772"/>
      <c r="I449" s="772"/>
      <c r="J449" s="772"/>
      <c r="K449" s="772"/>
      <c r="L449" s="772"/>
      <c r="M449" s="1662"/>
      <c r="N449" s="1662"/>
      <c r="O449" s="1662"/>
      <c r="P449" s="773"/>
    </row>
    <row r="450" spans="1:16" s="780" customFormat="1" x14ac:dyDescent="0.2">
      <c r="A450" s="941" t="s">
        <v>2163</v>
      </c>
      <c r="B450" s="1570">
        <f t="shared" ref="B450:O450" si="528">B92</f>
        <v>31282</v>
      </c>
      <c r="C450" s="1570">
        <f t="shared" si="528"/>
        <v>19392</v>
      </c>
      <c r="D450" s="1570">
        <f t="shared" si="528"/>
        <v>14491</v>
      </c>
      <c r="E450" s="1570">
        <f t="shared" si="528"/>
        <v>14893</v>
      </c>
      <c r="F450" s="1570">
        <f t="shared" si="528"/>
        <v>12110</v>
      </c>
      <c r="G450" s="1570">
        <f t="shared" si="528"/>
        <v>10680</v>
      </c>
      <c r="H450" s="1570">
        <f t="shared" si="528"/>
        <v>12530</v>
      </c>
      <c r="I450" s="1570">
        <f t="shared" si="528"/>
        <v>15500</v>
      </c>
      <c r="J450" s="1570">
        <f t="shared" si="528"/>
        <v>15820</v>
      </c>
      <c r="K450" s="1570">
        <f t="shared" si="528"/>
        <v>16330</v>
      </c>
      <c r="L450" s="1570">
        <f t="shared" si="528"/>
        <v>17480</v>
      </c>
      <c r="M450" s="1665">
        <f t="shared" si="528"/>
        <v>22540</v>
      </c>
      <c r="N450" s="1665">
        <f t="shared" si="528"/>
        <v>28150</v>
      </c>
      <c r="O450" s="1665">
        <f t="shared" si="528"/>
        <v>34370</v>
      </c>
      <c r="P450" s="1571">
        <f t="shared" ref="P450" si="529">P92</f>
        <v>41330</v>
      </c>
    </row>
    <row r="451" spans="1:16" s="780" customFormat="1" x14ac:dyDescent="0.2">
      <c r="A451" s="936" t="s">
        <v>4409</v>
      </c>
      <c r="B451" s="1570"/>
      <c r="C451" s="1570"/>
      <c r="D451" s="1570">
        <v>-11025</v>
      </c>
      <c r="E451" s="1570">
        <f>D451/2</f>
        <v>-5512.5</v>
      </c>
      <c r="F451" s="1570">
        <f t="shared" ref="F451:P451" si="530">E451</f>
        <v>-5512.5</v>
      </c>
      <c r="G451" s="1570">
        <f t="shared" si="530"/>
        <v>-5512.5</v>
      </c>
      <c r="H451" s="1570">
        <f t="shared" si="530"/>
        <v>-5512.5</v>
      </c>
      <c r="I451" s="1570">
        <f t="shared" si="530"/>
        <v>-5512.5</v>
      </c>
      <c r="J451" s="1570">
        <f t="shared" si="530"/>
        <v>-5512.5</v>
      </c>
      <c r="K451" s="1570">
        <f t="shared" si="530"/>
        <v>-5512.5</v>
      </c>
      <c r="L451" s="1570">
        <f t="shared" si="530"/>
        <v>-5512.5</v>
      </c>
      <c r="M451" s="1665">
        <f t="shared" si="530"/>
        <v>-5512.5</v>
      </c>
      <c r="N451" s="1665">
        <f t="shared" si="530"/>
        <v>-5512.5</v>
      </c>
      <c r="O451" s="1665">
        <f t="shared" si="530"/>
        <v>-5512.5</v>
      </c>
      <c r="P451" s="1571">
        <f t="shared" si="530"/>
        <v>-5512.5</v>
      </c>
    </row>
    <row r="452" spans="1:16" s="780" customFormat="1" x14ac:dyDescent="0.2">
      <c r="A452" s="936" t="s">
        <v>4408</v>
      </c>
      <c r="B452" s="1570"/>
      <c r="C452" s="1570"/>
      <c r="D452" s="1570">
        <f>LTFP!B328/1000</f>
        <v>10514.3</v>
      </c>
      <c r="E452" s="1570">
        <f>LTFP!C328/1000</f>
        <v>8126.4</v>
      </c>
      <c r="F452" s="1570">
        <f>LTFP!E328/1000</f>
        <v>5299.3</v>
      </c>
      <c r="G452" s="1570">
        <f>LTFP!G328/1000</f>
        <v>3836.1</v>
      </c>
      <c r="H452" s="1570">
        <f>LTFP!H328/1000</f>
        <v>5642.2</v>
      </c>
      <c r="I452" s="1570">
        <f>LTFP!I328/1000</f>
        <v>2003.4</v>
      </c>
      <c r="J452" s="1570">
        <f>LTFP!J328/1000</f>
        <v>2283.4</v>
      </c>
      <c r="K452" s="1570">
        <f>LTFP!K328/1000</f>
        <v>2761.3</v>
      </c>
      <c r="L452" s="1570">
        <f>LTFP!L328/1000</f>
        <v>3862.1</v>
      </c>
      <c r="M452" s="1665">
        <f>LTFP!M328/1000</f>
        <v>8880.4</v>
      </c>
      <c r="N452" s="1665">
        <f>LTFP!N328/1000</f>
        <v>14449.1</v>
      </c>
      <c r="O452" s="1665">
        <f>LTFP!O328/1000</f>
        <v>20620.900000000001</v>
      </c>
      <c r="P452" s="1571">
        <f>LTFP!P328/1000</f>
        <v>27538.1</v>
      </c>
    </row>
    <row r="453" spans="1:16" s="780" customFormat="1" x14ac:dyDescent="0.2">
      <c r="A453" s="936" t="s">
        <v>4358</v>
      </c>
      <c r="B453" s="1570">
        <v>2409</v>
      </c>
      <c r="C453" s="1570">
        <v>2902</v>
      </c>
      <c r="D453" s="1570">
        <f>LTFP!B329/1000</f>
        <v>4540.5</v>
      </c>
      <c r="E453" s="1570">
        <f>LTFP!C329/1000</f>
        <v>6181.8</v>
      </c>
      <c r="F453" s="1570">
        <f>LTFP!E329/1000</f>
        <v>5004.2</v>
      </c>
      <c r="G453" s="1570">
        <f>LTFP!G329/1000</f>
        <v>3931.8</v>
      </c>
      <c r="H453" s="1570">
        <f>LTFP!H329/1000</f>
        <v>667.3</v>
      </c>
      <c r="I453" s="1570">
        <f>LTFP!I329/1000</f>
        <v>1600.3</v>
      </c>
      <c r="J453" s="1570">
        <f>LTFP!J329/1000</f>
        <v>13.8</v>
      </c>
      <c r="K453" s="1570">
        <f>LTFP!K329/1000</f>
        <v>347.1</v>
      </c>
      <c r="L453" s="1570">
        <f>LTFP!L329/1000</f>
        <v>113.9</v>
      </c>
      <c r="M453" s="1665">
        <f>LTFP!M329/1000</f>
        <v>337.5</v>
      </c>
      <c r="N453" s="1665">
        <f>LTFP!N329/1000</f>
        <v>507.1</v>
      </c>
      <c r="O453" s="1665">
        <f>LTFP!O329/1000</f>
        <v>623.5</v>
      </c>
      <c r="P453" s="1571">
        <f>LTFP!P329/1000</f>
        <v>683.5</v>
      </c>
    </row>
    <row r="454" spans="1:16" s="780" customFormat="1" x14ac:dyDescent="0.2">
      <c r="A454" s="936" t="s">
        <v>3357</v>
      </c>
      <c r="B454" s="1570"/>
      <c r="C454" s="1570">
        <v>0</v>
      </c>
      <c r="D454" s="1570">
        <f>ROUNDUP(C454+(C454*Assumptions!F$5),-1)</f>
        <v>0</v>
      </c>
      <c r="E454" s="1570">
        <f>ROUNDUP(D454+(D454*Assumptions!G$5),-2)</f>
        <v>0</v>
      </c>
      <c r="F454" s="1570">
        <f>ROUNDUP(E454+(E454*Assumptions!H$5),-2)</f>
        <v>0</v>
      </c>
      <c r="G454" s="1570">
        <f>ROUNDUP(F454+(F454*Assumptions!I$5),-2)</f>
        <v>0</v>
      </c>
      <c r="H454" s="1570">
        <f>ROUNDUP(G454+(G454*Assumptions!J$5),-2)</f>
        <v>0</v>
      </c>
      <c r="I454" s="1570">
        <f>ROUNDUP(H454+(H454*Assumptions!K$5),-2)</f>
        <v>0</v>
      </c>
      <c r="J454" s="1570">
        <f>ROUNDUP(I454+(I454*Assumptions!L$5),-2)</f>
        <v>0</v>
      </c>
      <c r="K454" s="1570">
        <f>ROUNDUP(J454+(J454*Assumptions!M$5),-2)</f>
        <v>0</v>
      </c>
      <c r="L454" s="1570">
        <f>ROUNDUP(K454+(K454*Assumptions!N$5),-2)</f>
        <v>0</v>
      </c>
      <c r="M454" s="1665">
        <f>ROUNDUP(L454+(L454*Assumptions!P$5),-2)</f>
        <v>0</v>
      </c>
      <c r="N454" s="1665">
        <f>ROUNDUP(M454+(M454*Assumptions!Q$5),-2)</f>
        <v>0</v>
      </c>
      <c r="O454" s="1665">
        <f>ROUNDUP(N454+(N454*Assumptions!R$5),-2)</f>
        <v>0</v>
      </c>
      <c r="P454" s="1571">
        <f>ROUNDUP(O454+(O454*Assumptions!S$5),-2)</f>
        <v>0</v>
      </c>
    </row>
    <row r="455" spans="1:16" s="780" customFormat="1" x14ac:dyDescent="0.2">
      <c r="A455" s="936" t="s">
        <v>3358</v>
      </c>
      <c r="B455" s="1570"/>
      <c r="C455" s="1570">
        <v>0</v>
      </c>
      <c r="D455" s="1570">
        <v>0</v>
      </c>
      <c r="E455" s="1570">
        <v>0</v>
      </c>
      <c r="F455" s="1570">
        <v>0</v>
      </c>
      <c r="G455" s="1570">
        <v>0</v>
      </c>
      <c r="H455" s="1570">
        <v>0</v>
      </c>
      <c r="I455" s="1570">
        <v>0</v>
      </c>
      <c r="J455" s="1570">
        <v>0</v>
      </c>
      <c r="K455" s="1570">
        <v>0</v>
      </c>
      <c r="L455" s="1570">
        <v>0</v>
      </c>
      <c r="M455" s="1665">
        <v>0</v>
      </c>
      <c r="N455" s="1665">
        <v>0</v>
      </c>
      <c r="O455" s="1665">
        <v>0</v>
      </c>
      <c r="P455" s="1571">
        <v>0</v>
      </c>
    </row>
    <row r="456" spans="1:16" s="784" customFormat="1" x14ac:dyDescent="0.2">
      <c r="A456" s="943" t="s">
        <v>2863</v>
      </c>
      <c r="B456" s="782">
        <f t="shared" ref="B456:C456" si="531">B450-SUM(B451:B455)</f>
        <v>28873</v>
      </c>
      <c r="C456" s="782">
        <f t="shared" si="531"/>
        <v>16490</v>
      </c>
      <c r="D456" s="782">
        <f>D450-SUM(D451:D455)</f>
        <v>10461.200000000001</v>
      </c>
      <c r="E456" s="782">
        <f t="shared" ref="E456:N456" si="532">E450-SUM(E451:E455)</f>
        <v>6097.2999999999993</v>
      </c>
      <c r="F456" s="782">
        <f t="shared" si="532"/>
        <v>7319</v>
      </c>
      <c r="G456" s="782">
        <f t="shared" si="532"/>
        <v>8424.6</v>
      </c>
      <c r="H456" s="782">
        <f t="shared" si="532"/>
        <v>11733</v>
      </c>
      <c r="I456" s="782">
        <f t="shared" si="532"/>
        <v>17408.8</v>
      </c>
      <c r="J456" s="782">
        <f t="shared" si="532"/>
        <v>19035.3</v>
      </c>
      <c r="K456" s="782">
        <f t="shared" si="532"/>
        <v>18734.099999999999</v>
      </c>
      <c r="L456" s="782">
        <f t="shared" si="532"/>
        <v>19016.5</v>
      </c>
      <c r="M456" s="1663">
        <f t="shared" si="532"/>
        <v>18834.599999999999</v>
      </c>
      <c r="N456" s="1663">
        <f t="shared" si="532"/>
        <v>18706.3</v>
      </c>
      <c r="O456" s="1663">
        <f t="shared" ref="O456" si="533">O450-SUM(O451:O455)</f>
        <v>18638.099999999999</v>
      </c>
      <c r="P456" s="783">
        <f t="shared" ref="P456" si="534">P450-SUM(P451:P455)</f>
        <v>18620.900000000001</v>
      </c>
    </row>
    <row r="457" spans="1:16" s="780" customFormat="1" x14ac:dyDescent="0.2">
      <c r="A457" s="941"/>
      <c r="B457" s="772"/>
      <c r="C457" s="772"/>
      <c r="D457" s="772"/>
      <c r="E457" s="772"/>
      <c r="F457" s="772"/>
      <c r="G457" s="772"/>
      <c r="H457" s="772"/>
      <c r="I457" s="772"/>
      <c r="J457" s="772"/>
      <c r="K457" s="772"/>
      <c r="L457" s="772"/>
      <c r="M457" s="1662"/>
      <c r="N457" s="1662"/>
      <c r="O457" s="1662"/>
      <c r="P457" s="773"/>
    </row>
    <row r="458" spans="1:16" s="780" customFormat="1" x14ac:dyDescent="0.2">
      <c r="A458" s="936" t="s">
        <v>2816</v>
      </c>
      <c r="B458" s="774">
        <f t="shared" ref="B458:O458" si="535">B108</f>
        <v>7225</v>
      </c>
      <c r="C458" s="774">
        <f t="shared" si="535"/>
        <v>3030</v>
      </c>
      <c r="D458" s="774">
        <f t="shared" si="535"/>
        <v>3392.3</v>
      </c>
      <c r="E458" s="774">
        <f t="shared" si="535"/>
        <v>3564.9</v>
      </c>
      <c r="F458" s="774">
        <f t="shared" si="535"/>
        <v>3725.6</v>
      </c>
      <c r="G458" s="774">
        <f t="shared" si="535"/>
        <v>3784</v>
      </c>
      <c r="H458" s="774">
        <f t="shared" si="535"/>
        <v>3960.3</v>
      </c>
      <c r="I458" s="774">
        <f t="shared" si="535"/>
        <v>3163.5</v>
      </c>
      <c r="J458" s="774">
        <f t="shared" si="535"/>
        <v>3394.1</v>
      </c>
      <c r="K458" s="774">
        <f t="shared" si="535"/>
        <v>3614.1</v>
      </c>
      <c r="L458" s="774">
        <f t="shared" si="535"/>
        <v>3837</v>
      </c>
      <c r="M458" s="1650">
        <f t="shared" si="535"/>
        <v>4065</v>
      </c>
      <c r="N458" s="1650">
        <f t="shared" si="535"/>
        <v>4290</v>
      </c>
      <c r="O458" s="1650">
        <f t="shared" si="535"/>
        <v>4517</v>
      </c>
      <c r="P458" s="775">
        <f t="shared" ref="P458" si="536">P108</f>
        <v>4744</v>
      </c>
    </row>
    <row r="459" spans="1:16" s="784" customFormat="1" x14ac:dyDescent="0.2">
      <c r="A459" s="943" t="s">
        <v>2864</v>
      </c>
      <c r="B459" s="782">
        <f t="shared" ref="B459:M459" si="537">B458</f>
        <v>7225</v>
      </c>
      <c r="C459" s="782">
        <f t="shared" si="537"/>
        <v>3030</v>
      </c>
      <c r="D459" s="782">
        <f t="shared" si="537"/>
        <v>3392.3</v>
      </c>
      <c r="E459" s="782">
        <f t="shared" si="537"/>
        <v>3564.9</v>
      </c>
      <c r="F459" s="782">
        <f t="shared" si="537"/>
        <v>3725.6</v>
      </c>
      <c r="G459" s="782">
        <f t="shared" si="537"/>
        <v>3784</v>
      </c>
      <c r="H459" s="782">
        <f t="shared" si="537"/>
        <v>3960.3</v>
      </c>
      <c r="I459" s="782">
        <f t="shared" si="537"/>
        <v>3163.5</v>
      </c>
      <c r="J459" s="782">
        <f t="shared" si="537"/>
        <v>3394.1</v>
      </c>
      <c r="K459" s="782">
        <f t="shared" si="537"/>
        <v>3614.1</v>
      </c>
      <c r="L459" s="782">
        <f t="shared" si="537"/>
        <v>3837</v>
      </c>
      <c r="M459" s="1663">
        <f t="shared" si="537"/>
        <v>4065</v>
      </c>
      <c r="N459" s="1663">
        <f t="shared" ref="N459:O459" si="538">N458</f>
        <v>4290</v>
      </c>
      <c r="O459" s="1663">
        <f t="shared" si="538"/>
        <v>4517</v>
      </c>
      <c r="P459" s="783">
        <f t="shared" ref="P459" si="539">P458</f>
        <v>4744</v>
      </c>
    </row>
    <row r="460" spans="1:16" s="787" customFormat="1" x14ac:dyDescent="0.2">
      <c r="A460" s="944"/>
      <c r="B460" s="785"/>
      <c r="C460" s="785"/>
      <c r="D460" s="785"/>
      <c r="E460" s="785"/>
      <c r="F460" s="785"/>
      <c r="G460" s="785"/>
      <c r="H460" s="785"/>
      <c r="I460" s="785"/>
      <c r="J460" s="785"/>
      <c r="K460" s="785"/>
      <c r="L460" s="785"/>
      <c r="M460" s="1664"/>
      <c r="N460" s="1664"/>
      <c r="O460" s="1664"/>
      <c r="P460" s="786"/>
    </row>
    <row r="461" spans="1:16" s="2" customFormat="1" x14ac:dyDescent="0.2">
      <c r="A461" s="942" t="s">
        <v>4334</v>
      </c>
      <c r="B461" s="1492">
        <f t="shared" ref="B461:M461" si="540">ROUND(B456/B459,2)</f>
        <v>4</v>
      </c>
      <c r="C461" s="1492">
        <f t="shared" si="540"/>
        <v>5.44</v>
      </c>
      <c r="D461" s="1492">
        <f t="shared" si="540"/>
        <v>3.08</v>
      </c>
      <c r="E461" s="1492">
        <f t="shared" si="540"/>
        <v>1.71</v>
      </c>
      <c r="F461" s="1492">
        <f t="shared" si="540"/>
        <v>1.96</v>
      </c>
      <c r="G461" s="1492">
        <f t="shared" si="540"/>
        <v>2.23</v>
      </c>
      <c r="H461" s="1492">
        <f t="shared" si="540"/>
        <v>2.96</v>
      </c>
      <c r="I461" s="1492">
        <f t="shared" si="540"/>
        <v>5.5</v>
      </c>
      <c r="J461" s="1492">
        <f t="shared" si="540"/>
        <v>5.61</v>
      </c>
      <c r="K461" s="1492">
        <f t="shared" si="540"/>
        <v>5.18</v>
      </c>
      <c r="L461" s="1492">
        <f t="shared" si="540"/>
        <v>4.96</v>
      </c>
      <c r="M461" s="1655">
        <f t="shared" si="540"/>
        <v>4.63</v>
      </c>
      <c r="N461" s="1655">
        <f t="shared" ref="N461:O461" si="541">ROUND(N456/N459,2)</f>
        <v>4.3600000000000003</v>
      </c>
      <c r="O461" s="1655">
        <f t="shared" si="541"/>
        <v>4.13</v>
      </c>
      <c r="P461" s="918">
        <f t="shared" ref="P461" si="542">ROUND(P456/P459,2)</f>
        <v>3.93</v>
      </c>
    </row>
    <row r="462" spans="1:16" s="779" customFormat="1" ht="13.5" thickBot="1" x14ac:dyDescent="0.25">
      <c r="A462" s="968"/>
      <c r="B462" s="969"/>
      <c r="C462" s="969"/>
      <c r="D462" s="969"/>
      <c r="E462" s="969"/>
      <c r="F462" s="969"/>
      <c r="G462" s="969"/>
      <c r="H462" s="969"/>
      <c r="I462" s="969"/>
      <c r="J462" s="969"/>
      <c r="K462" s="969"/>
      <c r="L462" s="969"/>
      <c r="M462" s="1636"/>
      <c r="N462" s="1636"/>
      <c r="O462" s="1636"/>
      <c r="P462" s="970"/>
    </row>
    <row r="463" spans="1:16" s="779" customFormat="1" ht="17.25" thickTop="1" thickBot="1" x14ac:dyDescent="0.3">
      <c r="A463" s="2853" t="s">
        <v>5157</v>
      </c>
      <c r="B463" s="2854"/>
      <c r="C463" s="2854"/>
      <c r="D463" s="2854"/>
      <c r="E463" s="2854"/>
      <c r="F463" s="2854"/>
      <c r="G463" s="2854"/>
      <c r="H463" s="2854"/>
      <c r="I463" s="2854"/>
      <c r="J463" s="2854"/>
      <c r="K463" s="2854"/>
      <c r="L463" s="2854"/>
      <c r="M463" s="2854"/>
      <c r="N463" s="2854"/>
      <c r="O463" s="2854"/>
      <c r="P463" s="2855"/>
    </row>
    <row r="464" spans="1:16" s="779" customFormat="1" ht="13.5" thickBot="1" x14ac:dyDescent="0.25">
      <c r="A464" s="1268" t="str">
        <f t="shared" ref="A464:O464" si="543">A284</f>
        <v>Item</v>
      </c>
      <c r="B464" s="793" t="str">
        <f t="shared" si="543"/>
        <v>2012/13</v>
      </c>
      <c r="C464" s="793" t="str">
        <f t="shared" si="543"/>
        <v>2013/14</v>
      </c>
      <c r="D464" s="793" t="str">
        <f t="shared" si="543"/>
        <v>2014/15</v>
      </c>
      <c r="E464" s="793" t="str">
        <f t="shared" si="543"/>
        <v>2015/16</v>
      </c>
      <c r="F464" s="793" t="str">
        <f t="shared" si="543"/>
        <v>2016/17</v>
      </c>
      <c r="G464" s="793" t="str">
        <f t="shared" si="543"/>
        <v>2017/18</v>
      </c>
      <c r="H464" s="793" t="str">
        <f t="shared" si="543"/>
        <v>2018/19</v>
      </c>
      <c r="I464" s="793" t="str">
        <f t="shared" si="543"/>
        <v>2019/20</v>
      </c>
      <c r="J464" s="793" t="str">
        <f t="shared" si="543"/>
        <v>2020/21</v>
      </c>
      <c r="K464" s="793" t="str">
        <f t="shared" si="543"/>
        <v>2021/22</v>
      </c>
      <c r="L464" s="793" t="str">
        <f t="shared" si="543"/>
        <v>2022/23</v>
      </c>
      <c r="M464" s="1641" t="str">
        <f t="shared" si="543"/>
        <v>2023/24</v>
      </c>
      <c r="N464" s="1641" t="str">
        <f t="shared" si="543"/>
        <v>2024/25</v>
      </c>
      <c r="O464" s="1641" t="str">
        <f t="shared" si="543"/>
        <v>2025/26</v>
      </c>
      <c r="P464" s="794" t="str">
        <f t="shared" ref="P464" si="544">P284</f>
        <v>2026/27</v>
      </c>
    </row>
    <row r="465" spans="1:16" x14ac:dyDescent="0.2">
      <c r="A465" s="1278"/>
      <c r="B465" s="1275"/>
      <c r="C465" s="1275"/>
      <c r="D465" s="1275"/>
      <c r="E465" s="1275"/>
      <c r="F465" s="2567"/>
      <c r="G465" s="1275"/>
      <c r="H465" s="1275"/>
      <c r="I465" s="1275"/>
      <c r="J465" s="1275"/>
      <c r="K465" s="1275"/>
      <c r="L465" s="1275"/>
      <c r="M465" s="1644"/>
      <c r="N465" s="1644"/>
      <c r="O465" s="1644"/>
      <c r="P465" s="1279"/>
    </row>
    <row r="466" spans="1:16" x14ac:dyDescent="0.2">
      <c r="A466" s="1225" t="s">
        <v>4377</v>
      </c>
      <c r="B466" s="231"/>
      <c r="C466" s="231"/>
      <c r="D466" s="231"/>
      <c r="E466" s="231"/>
      <c r="F466" s="101"/>
      <c r="G466" s="231"/>
      <c r="H466" s="231"/>
      <c r="I466" s="231"/>
      <c r="J466" s="231"/>
      <c r="K466" s="231"/>
      <c r="L466" s="231"/>
      <c r="M466" s="971"/>
      <c r="N466" s="971"/>
      <c r="O466" s="971"/>
      <c r="P466" s="950"/>
    </row>
    <row r="467" spans="1:16" x14ac:dyDescent="0.2">
      <c r="A467" s="936" t="s">
        <v>4233</v>
      </c>
      <c r="B467" s="231">
        <v>3464</v>
      </c>
      <c r="C467" s="231">
        <f>(Summaries!B50)/1000</f>
        <v>5601</v>
      </c>
      <c r="D467" s="231">
        <f>(Summaries!C50)/1000</f>
        <v>5583.3</v>
      </c>
      <c r="E467" s="231">
        <f>(Summaries!D50)/1000</f>
        <v>6582.2</v>
      </c>
      <c r="F467" s="101">
        <f>(Summaries!E50)/1000</f>
        <v>6654.1</v>
      </c>
      <c r="G467" s="231">
        <f>(Summaries!F50)/1000</f>
        <v>6408.4</v>
      </c>
      <c r="H467" s="231">
        <f>(Summaries!G50)/1000</f>
        <v>6381.8</v>
      </c>
      <c r="I467" s="231">
        <f>(Summaries!H50)/1000</f>
        <v>6599.2</v>
      </c>
      <c r="J467" s="231">
        <f>(Summaries!I50)/1000</f>
        <v>5496.6</v>
      </c>
      <c r="K467" s="231">
        <f>(Summaries!J50)/1000</f>
        <v>6197</v>
      </c>
      <c r="L467" s="231">
        <f>(Summaries!K50)/1000</f>
        <v>5929</v>
      </c>
      <c r="M467" s="971">
        <f>(Summaries!L50)/1000</f>
        <v>5387.2</v>
      </c>
      <c r="N467" s="971">
        <f>(Summaries!M50)/1000</f>
        <v>5315.1</v>
      </c>
      <c r="O467" s="971">
        <f>(Summaries!N50)/1000</f>
        <v>4882.6000000000004</v>
      </c>
      <c r="P467" s="950">
        <f>(Summaries!O50)/1000</f>
        <v>5076.8999999999996</v>
      </c>
    </row>
    <row r="468" spans="1:16" x14ac:dyDescent="0.2">
      <c r="A468" s="936" t="s">
        <v>4234</v>
      </c>
      <c r="B468" s="231">
        <v>5254</v>
      </c>
      <c r="C468" s="231">
        <v>6910</v>
      </c>
      <c r="D468" s="231">
        <f>(Summaries!C19)/1000</f>
        <v>6561.4</v>
      </c>
      <c r="E468" s="231">
        <f>(Summaries!D19)/1000</f>
        <v>5993.6</v>
      </c>
      <c r="F468" s="101">
        <f>(Summaries!E19)/1000</f>
        <v>5594.8</v>
      </c>
      <c r="G468" s="231">
        <f>(Summaries!F19)/1000</f>
        <v>5577.7</v>
      </c>
      <c r="H468" s="231">
        <f>(Summaries!G19)/1000</f>
        <v>5064.3999999999996</v>
      </c>
      <c r="I468" s="231">
        <f>(Summaries!H19)/1000</f>
        <v>4789.8</v>
      </c>
      <c r="J468" s="231">
        <f>(Summaries!I19)/1000</f>
        <v>4392.3999999999996</v>
      </c>
      <c r="K468" s="231">
        <f>(Summaries!J19)/1000</f>
        <v>4377.7</v>
      </c>
      <c r="L468" s="231">
        <f>(Summaries!K19)/1000</f>
        <v>4021.9</v>
      </c>
      <c r="M468" s="971">
        <f>(Summaries!L19)/1000</f>
        <v>3710.8</v>
      </c>
      <c r="N468" s="971">
        <f>(Summaries!M19)/1000</f>
        <v>3414.8</v>
      </c>
      <c r="O468" s="971">
        <f>(Summaries!N19)/1000</f>
        <v>3142.8</v>
      </c>
      <c r="P468" s="950">
        <f>(Summaries!O19)/1000</f>
        <v>2889.9</v>
      </c>
    </row>
    <row r="469" spans="1:16" x14ac:dyDescent="0.2">
      <c r="A469" s="942" t="s">
        <v>2863</v>
      </c>
      <c r="B469" s="905">
        <f t="shared" ref="B469:M469" si="545">SUM(B467:B468)</f>
        <v>8718</v>
      </c>
      <c r="C469" s="905">
        <f t="shared" si="545"/>
        <v>12511</v>
      </c>
      <c r="D469" s="905">
        <f t="shared" si="545"/>
        <v>12144.7</v>
      </c>
      <c r="E469" s="905">
        <f t="shared" si="545"/>
        <v>12575.8</v>
      </c>
      <c r="F469" s="1541">
        <f t="shared" si="545"/>
        <v>12248.900000000001</v>
      </c>
      <c r="G469" s="905">
        <f t="shared" si="545"/>
        <v>11986.099999999999</v>
      </c>
      <c r="H469" s="905">
        <f t="shared" si="545"/>
        <v>11446.2</v>
      </c>
      <c r="I469" s="905">
        <f t="shared" si="545"/>
        <v>11389</v>
      </c>
      <c r="J469" s="905">
        <f t="shared" si="545"/>
        <v>9889</v>
      </c>
      <c r="K469" s="905">
        <f t="shared" si="545"/>
        <v>10574.7</v>
      </c>
      <c r="L469" s="905">
        <f t="shared" si="545"/>
        <v>9950.9</v>
      </c>
      <c r="M469" s="1660">
        <f t="shared" si="545"/>
        <v>9098</v>
      </c>
      <c r="N469" s="1660">
        <f t="shared" ref="N469:O469" si="546">SUM(N467:N468)</f>
        <v>8729.9000000000015</v>
      </c>
      <c r="O469" s="1660">
        <f t="shared" si="546"/>
        <v>8025.4000000000005</v>
      </c>
      <c r="P469" s="1047">
        <f t="shared" ref="P469" si="547">SUM(P467:P468)</f>
        <v>7966.7999999999993</v>
      </c>
    </row>
    <row r="470" spans="1:16" x14ac:dyDescent="0.2">
      <c r="A470" s="818" t="s">
        <v>4367</v>
      </c>
      <c r="B470" s="231">
        <f t="shared" ref="B470:M470" si="548">B350</f>
        <v>114891</v>
      </c>
      <c r="C470" s="231">
        <f t="shared" si="548"/>
        <v>84745.3</v>
      </c>
      <c r="D470" s="231">
        <f t="shared" si="548"/>
        <v>89935.7</v>
      </c>
      <c r="E470" s="231">
        <f t="shared" si="548"/>
        <v>92124.7</v>
      </c>
      <c r="F470" s="101">
        <f t="shared" si="548"/>
        <v>97731.1</v>
      </c>
      <c r="G470" s="231">
        <f t="shared" si="548"/>
        <v>102194.6</v>
      </c>
      <c r="H470" s="231">
        <f t="shared" si="548"/>
        <v>97194.6</v>
      </c>
      <c r="I470" s="231">
        <f t="shared" si="548"/>
        <v>98539.6</v>
      </c>
      <c r="J470" s="231">
        <f t="shared" si="548"/>
        <v>106687</v>
      </c>
      <c r="K470" s="231">
        <f t="shared" si="548"/>
        <v>110164.1</v>
      </c>
      <c r="L470" s="231">
        <f t="shared" si="548"/>
        <v>102327.7</v>
      </c>
      <c r="M470" s="971">
        <f t="shared" si="548"/>
        <v>105934.39999999999</v>
      </c>
      <c r="N470" s="971">
        <f t="shared" ref="N470:O470" si="549">N350</f>
        <v>108152.8</v>
      </c>
      <c r="O470" s="971">
        <f t="shared" si="549"/>
        <v>112045.4</v>
      </c>
      <c r="P470" s="950">
        <f t="shared" ref="P470" si="550">P350</f>
        <v>116101.1</v>
      </c>
    </row>
    <row r="471" spans="1:16" x14ac:dyDescent="0.2">
      <c r="A471" s="818" t="s">
        <v>4382</v>
      </c>
      <c r="B471" s="231">
        <f t="shared" ref="B471:B473" si="551">B351</f>
        <v>0</v>
      </c>
      <c r="C471" s="231">
        <f>C351+C507</f>
        <v>-12</v>
      </c>
      <c r="D471" s="231">
        <f t="shared" ref="D471:M471" si="552">D351</f>
        <v>0</v>
      </c>
      <c r="E471" s="231">
        <f t="shared" si="552"/>
        <v>0</v>
      </c>
      <c r="F471" s="101">
        <f t="shared" si="552"/>
        <v>0</v>
      </c>
      <c r="G471" s="231">
        <f t="shared" si="552"/>
        <v>0</v>
      </c>
      <c r="H471" s="231">
        <f t="shared" si="552"/>
        <v>0</v>
      </c>
      <c r="I471" s="231">
        <f t="shared" si="552"/>
        <v>0</v>
      </c>
      <c r="J471" s="231">
        <f t="shared" si="552"/>
        <v>0</v>
      </c>
      <c r="K471" s="231">
        <f t="shared" si="552"/>
        <v>0</v>
      </c>
      <c r="L471" s="231">
        <f t="shared" si="552"/>
        <v>0</v>
      </c>
      <c r="M471" s="233">
        <f t="shared" si="552"/>
        <v>0</v>
      </c>
      <c r="N471" s="233">
        <f t="shared" ref="N471:O471" si="553">N351</f>
        <v>0</v>
      </c>
      <c r="O471" s="233">
        <f t="shared" si="553"/>
        <v>0</v>
      </c>
      <c r="P471" s="88">
        <f t="shared" ref="P471" si="554">P351</f>
        <v>0</v>
      </c>
    </row>
    <row r="472" spans="1:16" x14ac:dyDescent="0.2">
      <c r="A472" s="818" t="s">
        <v>4381</v>
      </c>
      <c r="B472" s="231">
        <f t="shared" si="551"/>
        <v>-414</v>
      </c>
      <c r="C472" s="231">
        <f>C352</f>
        <v>-333</v>
      </c>
      <c r="D472" s="231">
        <f t="shared" ref="D472:M472" si="555">D352</f>
        <v>0</v>
      </c>
      <c r="E472" s="231">
        <f t="shared" si="555"/>
        <v>0</v>
      </c>
      <c r="F472" s="101">
        <f t="shared" si="555"/>
        <v>0</v>
      </c>
      <c r="G472" s="231">
        <f t="shared" si="555"/>
        <v>0</v>
      </c>
      <c r="H472" s="231">
        <f t="shared" si="555"/>
        <v>0</v>
      </c>
      <c r="I472" s="231">
        <f t="shared" si="555"/>
        <v>0</v>
      </c>
      <c r="J472" s="231">
        <f t="shared" si="555"/>
        <v>0</v>
      </c>
      <c r="K472" s="231">
        <f t="shared" si="555"/>
        <v>0</v>
      </c>
      <c r="L472" s="231">
        <f t="shared" si="555"/>
        <v>0</v>
      </c>
      <c r="M472" s="233">
        <f t="shared" si="555"/>
        <v>0</v>
      </c>
      <c r="N472" s="233">
        <f t="shared" ref="N472:O472" si="556">N352</f>
        <v>0</v>
      </c>
      <c r="O472" s="233">
        <f t="shared" si="556"/>
        <v>0</v>
      </c>
      <c r="P472" s="88">
        <f t="shared" ref="P472" si="557">P352</f>
        <v>0</v>
      </c>
    </row>
    <row r="473" spans="1:16" x14ac:dyDescent="0.2">
      <c r="A473" s="936" t="s">
        <v>4376</v>
      </c>
      <c r="B473" s="231">
        <f t="shared" si="551"/>
        <v>-39549</v>
      </c>
      <c r="C473" s="231">
        <f>C353</f>
        <v>-13566.7</v>
      </c>
      <c r="D473" s="231">
        <f t="shared" ref="D473:M473" si="558">D353</f>
        <v>-15663.7</v>
      </c>
      <c r="E473" s="231">
        <f t="shared" si="558"/>
        <v>-15014</v>
      </c>
      <c r="F473" s="101">
        <f t="shared" si="558"/>
        <v>-14553.6</v>
      </c>
      <c r="G473" s="231">
        <f t="shared" si="558"/>
        <v>-20499.3</v>
      </c>
      <c r="H473" s="231">
        <f t="shared" si="558"/>
        <v>-13192.8</v>
      </c>
      <c r="I473" s="231">
        <f t="shared" si="558"/>
        <v>-11063.6</v>
      </c>
      <c r="J473" s="231">
        <f t="shared" si="558"/>
        <v>-17142.2</v>
      </c>
      <c r="K473" s="231">
        <f t="shared" si="558"/>
        <v>-17490.5</v>
      </c>
      <c r="L473" s="231">
        <f t="shared" si="558"/>
        <v>-7834.3</v>
      </c>
      <c r="M473" s="899">
        <f t="shared" si="558"/>
        <v>-7982.6</v>
      </c>
      <c r="N473" s="900">
        <f t="shared" ref="N473:O473" si="559">N353</f>
        <v>-8134.3</v>
      </c>
      <c r="O473" s="900">
        <f t="shared" si="559"/>
        <v>-8287.5</v>
      </c>
      <c r="P473" s="901">
        <f t="shared" ref="P473" si="560">P353</f>
        <v>-8442.4</v>
      </c>
    </row>
    <row r="474" spans="1:16" x14ac:dyDescent="0.2">
      <c r="A474" s="942" t="s">
        <v>2864</v>
      </c>
      <c r="B474" s="905">
        <f t="shared" ref="B474:M474" si="561">SUM(B470:B473)</f>
        <v>74928</v>
      </c>
      <c r="C474" s="905">
        <f t="shared" si="561"/>
        <v>70833.600000000006</v>
      </c>
      <c r="D474" s="905">
        <f t="shared" si="561"/>
        <v>74272</v>
      </c>
      <c r="E474" s="905">
        <f t="shared" si="561"/>
        <v>77110.7</v>
      </c>
      <c r="F474" s="1541">
        <f t="shared" si="561"/>
        <v>83177.5</v>
      </c>
      <c r="G474" s="905">
        <f t="shared" si="561"/>
        <v>81695.3</v>
      </c>
      <c r="H474" s="905">
        <f t="shared" si="561"/>
        <v>84001.8</v>
      </c>
      <c r="I474" s="905">
        <f t="shared" si="561"/>
        <v>87476</v>
      </c>
      <c r="J474" s="905">
        <f t="shared" si="561"/>
        <v>89544.8</v>
      </c>
      <c r="K474" s="905">
        <f t="shared" si="561"/>
        <v>92673.600000000006</v>
      </c>
      <c r="L474" s="905">
        <f t="shared" si="561"/>
        <v>94493.4</v>
      </c>
      <c r="M474" s="1660">
        <f t="shared" si="561"/>
        <v>97951.799999999988</v>
      </c>
      <c r="N474" s="1660">
        <f t="shared" ref="N474:O474" si="562">SUM(N470:N473)</f>
        <v>100018.5</v>
      </c>
      <c r="O474" s="1660">
        <f t="shared" si="562"/>
        <v>103757.9</v>
      </c>
      <c r="P474" s="1047">
        <f t="shared" ref="P474" si="563">SUM(P470:P473)</f>
        <v>107658.70000000001</v>
      </c>
    </row>
    <row r="475" spans="1:16" s="9" customFormat="1" x14ac:dyDescent="0.2">
      <c r="A475" s="942" t="s">
        <v>4383</v>
      </c>
      <c r="B475" s="1520">
        <f t="shared" ref="B475:M475" si="564">B469/B474</f>
        <v>0.11635169762972454</v>
      </c>
      <c r="C475" s="1520">
        <f t="shared" si="564"/>
        <v>0.17662521741094619</v>
      </c>
      <c r="D475" s="1520">
        <f t="shared" si="564"/>
        <v>0.16351653382162862</v>
      </c>
      <c r="E475" s="1520">
        <f t="shared" si="564"/>
        <v>0.16308761300312408</v>
      </c>
      <c r="F475" s="1520">
        <f t="shared" si="564"/>
        <v>0.14726218027711824</v>
      </c>
      <c r="G475" s="1520">
        <f t="shared" si="564"/>
        <v>0.14671713060604463</v>
      </c>
      <c r="H475" s="1520">
        <f t="shared" si="564"/>
        <v>0.13626136582787512</v>
      </c>
      <c r="I475" s="1520">
        <f t="shared" si="564"/>
        <v>0.13019571082354017</v>
      </c>
      <c r="J475" s="1520">
        <f t="shared" si="564"/>
        <v>0.11043634024532971</v>
      </c>
      <c r="K475" s="1520">
        <f t="shared" si="564"/>
        <v>0.11410693012896878</v>
      </c>
      <c r="L475" s="1520">
        <f t="shared" si="564"/>
        <v>0.10530788393686755</v>
      </c>
      <c r="M475" s="1656">
        <f t="shared" si="564"/>
        <v>9.2882417678899223E-2</v>
      </c>
      <c r="N475" s="1656">
        <f t="shared" ref="N475:O475" si="565">N469/N474</f>
        <v>8.7282852672255648E-2</v>
      </c>
      <c r="O475" s="1656">
        <f t="shared" si="565"/>
        <v>7.7347363429676214E-2</v>
      </c>
      <c r="P475" s="1495">
        <f t="shared" ref="P475" si="566">P469/P474</f>
        <v>7.4000522020050391E-2</v>
      </c>
    </row>
    <row r="476" spans="1:16" x14ac:dyDescent="0.2">
      <c r="A476" s="942"/>
      <c r="B476" s="1273"/>
      <c r="C476" s="1273"/>
      <c r="D476" s="1273"/>
      <c r="E476" s="1271"/>
      <c r="F476" s="1271"/>
      <c r="G476" s="1271"/>
      <c r="H476" s="1271"/>
      <c r="I476" s="1271"/>
      <c r="J476" s="1271"/>
      <c r="K476" s="1271"/>
      <c r="L476" s="1271"/>
      <c r="M476" s="1642"/>
      <c r="N476" s="1642"/>
      <c r="O476" s="1642"/>
      <c r="P476" s="1272"/>
    </row>
    <row r="477" spans="1:16" x14ac:dyDescent="0.2">
      <c r="A477" s="1278"/>
      <c r="B477" s="1275"/>
      <c r="C477" s="1275"/>
      <c r="D477" s="1275"/>
      <c r="E477" s="1275"/>
      <c r="F477" s="2567"/>
      <c r="G477" s="1275"/>
      <c r="H477" s="1275"/>
      <c r="I477" s="1275"/>
      <c r="J477" s="1275"/>
      <c r="K477" s="1275"/>
      <c r="L477" s="1275"/>
      <c r="M477" s="1644"/>
      <c r="N477" s="1644"/>
      <c r="O477" s="1644"/>
      <c r="P477" s="1279"/>
    </row>
    <row r="478" spans="1:16" s="779" customFormat="1" x14ac:dyDescent="0.2">
      <c r="A478" s="1225" t="s">
        <v>4378</v>
      </c>
      <c r="B478" s="898"/>
      <c r="C478" s="898"/>
      <c r="D478" s="898"/>
      <c r="E478" s="898"/>
      <c r="F478" s="898"/>
      <c r="G478" s="898"/>
      <c r="H478" s="898"/>
      <c r="I478" s="898"/>
      <c r="J478" s="898"/>
      <c r="K478" s="898"/>
      <c r="L478" s="898"/>
      <c r="M478" s="1666"/>
      <c r="N478" s="1666"/>
      <c r="O478" s="1666"/>
      <c r="P478" s="1552"/>
    </row>
    <row r="479" spans="1:16" s="779" customFormat="1" x14ac:dyDescent="0.2">
      <c r="A479" s="936" t="s">
        <v>4233</v>
      </c>
      <c r="B479" s="231">
        <v>2475</v>
      </c>
      <c r="C479" s="231">
        <f>('Debt-Gen'!E64)/1000</f>
        <v>3216.2</v>
      </c>
      <c r="D479" s="231">
        <f>('Debt-Gen'!G64)/1000</f>
        <v>3395.4</v>
      </c>
      <c r="E479" s="777">
        <f>('Debt-Gen'!I64)/1000</f>
        <v>3788.9</v>
      </c>
      <c r="F479" s="777">
        <f>('Debt-Gen'!K64)/1000</f>
        <v>3696.2</v>
      </c>
      <c r="G479" s="777">
        <f>('Debt-Gen'!M64)/1000</f>
        <v>3312.8</v>
      </c>
      <c r="H479" s="777">
        <f>('Debt-Gen'!O64)/1000</f>
        <v>3247.8</v>
      </c>
      <c r="I479" s="777">
        <f>('Debt-Gen'!Q64)/1000</f>
        <v>3319</v>
      </c>
      <c r="J479" s="777">
        <f>('Debt-Gen'!S64)/1000</f>
        <v>3043</v>
      </c>
      <c r="K479" s="777">
        <f>('Debt-Gen'!U64)/1000</f>
        <v>3542.9</v>
      </c>
      <c r="L479" s="777">
        <f>('Debt-Gen'!W64)/1000</f>
        <v>3084.9</v>
      </c>
      <c r="M479" s="1654">
        <f>('Debt-Gen'!Y64)/1000</f>
        <v>2350.3000000000002</v>
      </c>
      <c r="N479" s="1654">
        <f>('Debt-Gen'!AA64)/1000</f>
        <v>2080.1</v>
      </c>
      <c r="O479" s="1654">
        <f>('Debt-Gen'!AC64)/1000</f>
        <v>1452.6</v>
      </c>
      <c r="P479" s="776">
        <f>('Debt-Gen'!AE64)/1000</f>
        <v>1449.9</v>
      </c>
    </row>
    <row r="480" spans="1:16" s="779" customFormat="1" x14ac:dyDescent="0.2">
      <c r="A480" s="936" t="s">
        <v>4234</v>
      </c>
      <c r="B480" s="231">
        <v>889</v>
      </c>
      <c r="C480" s="231">
        <v>1749</v>
      </c>
      <c r="D480" s="231">
        <f>Summaries!Q19/1000</f>
        <v>1564.6</v>
      </c>
      <c r="E480" s="231">
        <f>Summaries!R19/1000</f>
        <v>1334.3</v>
      </c>
      <c r="F480" s="101">
        <f>Summaries!S19/1000</f>
        <v>1152.2</v>
      </c>
      <c r="G480" s="231">
        <f>Summaries!T19/1000</f>
        <v>1327.8</v>
      </c>
      <c r="H480" s="231">
        <f>Summaries!U19/1000</f>
        <v>1186.0999999999999</v>
      </c>
      <c r="I480" s="231">
        <f>Summaries!V19/1000</f>
        <v>1122.8</v>
      </c>
      <c r="J480" s="231">
        <f>Summaries!W19/1000</f>
        <v>952.6</v>
      </c>
      <c r="K480" s="231">
        <f>Summaries!X19/1000</f>
        <v>1138.5</v>
      </c>
      <c r="L480" s="231">
        <f>Summaries!Y19/1000</f>
        <v>972.7</v>
      </c>
      <c r="M480" s="1654">
        <f>Summaries!Z19/1000</f>
        <v>854.5</v>
      </c>
      <c r="N480" s="1654">
        <f>Summaries!AA19/1000</f>
        <v>756.5</v>
      </c>
      <c r="O480" s="1654">
        <f>Summaries!AB19/1000</f>
        <v>679.5</v>
      </c>
      <c r="P480" s="776">
        <f>Summaries!AC19/1000</f>
        <v>623.6</v>
      </c>
    </row>
    <row r="481" spans="1:16" s="4" customFormat="1" x14ac:dyDescent="0.2">
      <c r="A481" s="942" t="s">
        <v>2863</v>
      </c>
      <c r="B481" s="788">
        <f t="shared" ref="B481:M481" si="567">SUM(B479:B480)</f>
        <v>3364</v>
      </c>
      <c r="C481" s="788">
        <f t="shared" si="567"/>
        <v>4965.2</v>
      </c>
      <c r="D481" s="788">
        <f t="shared" si="567"/>
        <v>4960</v>
      </c>
      <c r="E481" s="788">
        <f t="shared" si="567"/>
        <v>5123.2</v>
      </c>
      <c r="F481" s="788">
        <f t="shared" si="567"/>
        <v>4848.3999999999996</v>
      </c>
      <c r="G481" s="788">
        <f t="shared" si="567"/>
        <v>4640.6000000000004</v>
      </c>
      <c r="H481" s="788">
        <f t="shared" si="567"/>
        <v>4433.8999999999996</v>
      </c>
      <c r="I481" s="788">
        <f t="shared" si="567"/>
        <v>4441.8</v>
      </c>
      <c r="J481" s="788">
        <f t="shared" si="567"/>
        <v>3995.6</v>
      </c>
      <c r="K481" s="788">
        <f t="shared" si="567"/>
        <v>4681.3999999999996</v>
      </c>
      <c r="L481" s="788">
        <f t="shared" si="567"/>
        <v>4057.6000000000004</v>
      </c>
      <c r="M481" s="1661">
        <f t="shared" si="567"/>
        <v>3204.8</v>
      </c>
      <c r="N481" s="1661">
        <f t="shared" ref="N481:O481" si="568">SUM(N479:N480)</f>
        <v>2836.6</v>
      </c>
      <c r="O481" s="1661">
        <f t="shared" si="568"/>
        <v>2132.1</v>
      </c>
      <c r="P481" s="789">
        <f t="shared" ref="P481" si="569">SUM(P479:P480)</f>
        <v>2073.5</v>
      </c>
    </row>
    <row r="482" spans="1:16" s="779" customFormat="1" x14ac:dyDescent="0.2">
      <c r="A482" s="818" t="s">
        <v>4367</v>
      </c>
      <c r="B482" s="949">
        <f t="shared" ref="B482:M482" si="570">B363</f>
        <v>88988</v>
      </c>
      <c r="C482" s="949">
        <f t="shared" si="570"/>
        <v>56961</v>
      </c>
      <c r="D482" s="949">
        <f t="shared" si="570"/>
        <v>60810.8</v>
      </c>
      <c r="E482" s="949">
        <f t="shared" si="570"/>
        <v>61040.1</v>
      </c>
      <c r="F482" s="949">
        <f t="shared" si="570"/>
        <v>65146.7</v>
      </c>
      <c r="G482" s="949">
        <f t="shared" si="570"/>
        <v>68881.3</v>
      </c>
      <c r="H482" s="949">
        <f t="shared" si="570"/>
        <v>63080.800000000003</v>
      </c>
      <c r="I482" s="949">
        <f t="shared" si="570"/>
        <v>63583.4</v>
      </c>
      <c r="J482" s="949">
        <f t="shared" si="570"/>
        <v>70476.800000000003</v>
      </c>
      <c r="K482" s="949">
        <f t="shared" si="570"/>
        <v>72792.3</v>
      </c>
      <c r="L482" s="949">
        <f t="shared" si="570"/>
        <v>63834</v>
      </c>
      <c r="M482" s="971">
        <f t="shared" si="570"/>
        <v>66266.5</v>
      </c>
      <c r="N482" s="971">
        <f t="shared" ref="N482:O482" si="571">N363</f>
        <v>67166.8</v>
      </c>
      <c r="O482" s="971">
        <f t="shared" si="571"/>
        <v>69616.100000000006</v>
      </c>
      <c r="P482" s="950">
        <f t="shared" ref="P482" si="572">P363</f>
        <v>72095.899999999994</v>
      </c>
    </row>
    <row r="483" spans="1:16" x14ac:dyDescent="0.2">
      <c r="A483" s="818" t="s">
        <v>4382</v>
      </c>
      <c r="B483" s="231">
        <f t="shared" ref="B483:M483" si="573">B364</f>
        <v>0</v>
      </c>
      <c r="C483" s="231">
        <f t="shared" si="573"/>
        <v>0</v>
      </c>
      <c r="D483" s="231">
        <f t="shared" si="573"/>
        <v>0</v>
      </c>
      <c r="E483" s="231">
        <f t="shared" si="573"/>
        <v>0</v>
      </c>
      <c r="F483" s="101">
        <f t="shared" si="573"/>
        <v>0</v>
      </c>
      <c r="G483" s="231">
        <f t="shared" si="573"/>
        <v>0</v>
      </c>
      <c r="H483" s="231">
        <f t="shared" si="573"/>
        <v>0</v>
      </c>
      <c r="I483" s="231">
        <f t="shared" si="573"/>
        <v>0</v>
      </c>
      <c r="J483" s="231">
        <f t="shared" si="573"/>
        <v>0</v>
      </c>
      <c r="K483" s="231">
        <f t="shared" si="573"/>
        <v>0</v>
      </c>
      <c r="L483" s="231">
        <f t="shared" si="573"/>
        <v>0</v>
      </c>
      <c r="M483" s="233">
        <f t="shared" si="573"/>
        <v>0</v>
      </c>
      <c r="N483" s="233">
        <f t="shared" ref="N483:O483" si="574">N364</f>
        <v>0</v>
      </c>
      <c r="O483" s="233">
        <f t="shared" si="574"/>
        <v>0</v>
      </c>
      <c r="P483" s="88">
        <f t="shared" ref="P483" si="575">P364</f>
        <v>0</v>
      </c>
    </row>
    <row r="484" spans="1:16" x14ac:dyDescent="0.2">
      <c r="A484" s="818" t="s">
        <v>4381</v>
      </c>
      <c r="B484" s="231">
        <f t="shared" ref="B484:M484" si="576">B365</f>
        <v>-414</v>
      </c>
      <c r="C484" s="231">
        <f t="shared" si="576"/>
        <v>-333</v>
      </c>
      <c r="D484" s="231">
        <f t="shared" si="576"/>
        <v>0</v>
      </c>
      <c r="E484" s="231">
        <f t="shared" si="576"/>
        <v>0</v>
      </c>
      <c r="F484" s="101">
        <f t="shared" si="576"/>
        <v>0</v>
      </c>
      <c r="G484" s="231">
        <f t="shared" si="576"/>
        <v>0</v>
      </c>
      <c r="H484" s="231">
        <f t="shared" si="576"/>
        <v>0</v>
      </c>
      <c r="I484" s="231">
        <f t="shared" si="576"/>
        <v>0</v>
      </c>
      <c r="J484" s="231">
        <f t="shared" si="576"/>
        <v>0</v>
      </c>
      <c r="K484" s="231">
        <f t="shared" si="576"/>
        <v>0</v>
      </c>
      <c r="L484" s="231">
        <f t="shared" si="576"/>
        <v>0</v>
      </c>
      <c r="M484" s="233">
        <f t="shared" si="576"/>
        <v>0</v>
      </c>
      <c r="N484" s="233">
        <f t="shared" ref="N484:O484" si="577">N365</f>
        <v>0</v>
      </c>
      <c r="O484" s="233">
        <f t="shared" si="577"/>
        <v>0</v>
      </c>
      <c r="P484" s="88">
        <f t="shared" ref="P484" si="578">P365</f>
        <v>0</v>
      </c>
    </row>
    <row r="485" spans="1:16" s="779" customFormat="1" x14ac:dyDescent="0.2">
      <c r="A485" s="936" t="s">
        <v>4376</v>
      </c>
      <c r="B485" s="949">
        <f t="shared" ref="B485:M485" si="579">B366</f>
        <v>-37059</v>
      </c>
      <c r="C485" s="949">
        <f t="shared" si="579"/>
        <v>-10914</v>
      </c>
      <c r="D485" s="949">
        <f t="shared" si="579"/>
        <v>-12768</v>
      </c>
      <c r="E485" s="949">
        <f t="shared" si="579"/>
        <v>-11484.1</v>
      </c>
      <c r="F485" s="949">
        <f t="shared" si="579"/>
        <v>-11588.7</v>
      </c>
      <c r="G485" s="949">
        <f t="shared" si="579"/>
        <v>-17478.8</v>
      </c>
      <c r="H485" s="949">
        <f t="shared" si="579"/>
        <v>-10117.299999999999</v>
      </c>
      <c r="I485" s="949">
        <f t="shared" si="579"/>
        <v>-7928.1</v>
      </c>
      <c r="J485" s="949">
        <f t="shared" si="579"/>
        <v>-13946.7</v>
      </c>
      <c r="K485" s="949">
        <f t="shared" si="579"/>
        <v>-14225</v>
      </c>
      <c r="L485" s="949">
        <f t="shared" si="579"/>
        <v>-4508.8</v>
      </c>
      <c r="M485" s="949">
        <f t="shared" si="579"/>
        <v>-4597.1000000000004</v>
      </c>
      <c r="N485" s="971">
        <f t="shared" ref="N485:O485" si="580">N366</f>
        <v>-4688.8</v>
      </c>
      <c r="O485" s="971">
        <f t="shared" si="580"/>
        <v>-4782</v>
      </c>
      <c r="P485" s="950">
        <f t="shared" ref="P485" si="581">P366</f>
        <v>-4876.8999999999996</v>
      </c>
    </row>
    <row r="486" spans="1:16" s="4" customFormat="1" x14ac:dyDescent="0.2">
      <c r="A486" s="942" t="s">
        <v>2864</v>
      </c>
      <c r="B486" s="1046">
        <f t="shared" ref="B486:M486" si="582">SUM(B482:B485)</f>
        <v>51515</v>
      </c>
      <c r="C486" s="1046">
        <f t="shared" si="582"/>
        <v>45714</v>
      </c>
      <c r="D486" s="1046">
        <f t="shared" si="582"/>
        <v>48042.8</v>
      </c>
      <c r="E486" s="1046">
        <f t="shared" si="582"/>
        <v>49556</v>
      </c>
      <c r="F486" s="1046">
        <f t="shared" si="582"/>
        <v>53558</v>
      </c>
      <c r="G486" s="1046">
        <f t="shared" si="582"/>
        <v>51402.5</v>
      </c>
      <c r="H486" s="1046">
        <f t="shared" si="582"/>
        <v>52963.5</v>
      </c>
      <c r="I486" s="1046">
        <f t="shared" si="582"/>
        <v>55655.3</v>
      </c>
      <c r="J486" s="1046">
        <f t="shared" si="582"/>
        <v>56530.100000000006</v>
      </c>
      <c r="K486" s="1046">
        <f t="shared" si="582"/>
        <v>58567.3</v>
      </c>
      <c r="L486" s="1046">
        <f t="shared" si="582"/>
        <v>59325.2</v>
      </c>
      <c r="M486" s="1660">
        <f t="shared" si="582"/>
        <v>61669.4</v>
      </c>
      <c r="N486" s="1660">
        <f t="shared" ref="N486:O486" si="583">SUM(N482:N485)</f>
        <v>62478</v>
      </c>
      <c r="O486" s="1660">
        <f t="shared" si="583"/>
        <v>64834.100000000006</v>
      </c>
      <c r="P486" s="1047">
        <f t="shared" ref="P486" si="584">SUM(P482:P485)</f>
        <v>67219</v>
      </c>
    </row>
    <row r="487" spans="1:16" s="2" customFormat="1" x14ac:dyDescent="0.2">
      <c r="A487" s="942" t="s">
        <v>4384</v>
      </c>
      <c r="B487" s="1520">
        <f t="shared" ref="B487:M487" si="585">B481/B486</f>
        <v>6.5301368533436863E-2</v>
      </c>
      <c r="C487" s="1520">
        <f t="shared" si="585"/>
        <v>0.10861442884018024</v>
      </c>
      <c r="D487" s="1520">
        <f>D481/D486</f>
        <v>0.10324127652842881</v>
      </c>
      <c r="E487" s="1520">
        <f t="shared" si="585"/>
        <v>0.10338203244813947</v>
      </c>
      <c r="F487" s="1520">
        <f t="shared" si="585"/>
        <v>9.0526158557078296E-2</v>
      </c>
      <c r="G487" s="1520">
        <f t="shared" si="585"/>
        <v>9.0279655658771468E-2</v>
      </c>
      <c r="H487" s="1520">
        <f t="shared" si="585"/>
        <v>8.3716144137000001E-2</v>
      </c>
      <c r="I487" s="1520">
        <f t="shared" si="585"/>
        <v>7.9809110722608628E-2</v>
      </c>
      <c r="J487" s="1520">
        <f t="shared" si="585"/>
        <v>7.0680929274846482E-2</v>
      </c>
      <c r="K487" s="1520">
        <f t="shared" si="585"/>
        <v>7.9931975692920779E-2</v>
      </c>
      <c r="L487" s="1520">
        <f t="shared" si="585"/>
        <v>6.8395892470653294E-2</v>
      </c>
      <c r="M487" s="1656">
        <f t="shared" si="585"/>
        <v>5.1967426308671724E-2</v>
      </c>
      <c r="N487" s="1656">
        <f t="shared" ref="N487:O487" si="586">N481/N486</f>
        <v>4.5401581356637535E-2</v>
      </c>
      <c r="O487" s="1656">
        <f t="shared" si="586"/>
        <v>3.2885472305468878E-2</v>
      </c>
      <c r="P487" s="1495">
        <f t="shared" ref="P487" si="587">P481/P486</f>
        <v>3.084693315877951E-2</v>
      </c>
    </row>
    <row r="488" spans="1:16" s="2" customFormat="1" x14ac:dyDescent="0.2">
      <c r="A488" s="942"/>
      <c r="B488" s="1270"/>
      <c r="C488" s="1270"/>
      <c r="D488" s="1270"/>
      <c r="E488" s="1270"/>
      <c r="F488" s="1270"/>
      <c r="G488" s="1270"/>
      <c r="H488" s="1270"/>
      <c r="I488" s="1270"/>
      <c r="J488" s="1270"/>
      <c r="K488" s="1270"/>
      <c r="L488" s="1270"/>
      <c r="M488" s="1667"/>
      <c r="N488" s="1667"/>
      <c r="O488" s="1667"/>
      <c r="P488" s="938"/>
    </row>
    <row r="489" spans="1:16" x14ac:dyDescent="0.2">
      <c r="A489" s="1278"/>
      <c r="B489" s="1275"/>
      <c r="C489" s="1275"/>
      <c r="D489" s="1275"/>
      <c r="E489" s="1275"/>
      <c r="F489" s="2567"/>
      <c r="G489" s="1275"/>
      <c r="H489" s="1275"/>
      <c r="I489" s="1275"/>
      <c r="J489" s="1275"/>
      <c r="K489" s="1275"/>
      <c r="L489" s="1275"/>
      <c r="M489" s="1644"/>
      <c r="N489" s="1644"/>
      <c r="O489" s="1644"/>
      <c r="P489" s="1279"/>
    </row>
    <row r="490" spans="1:16" x14ac:dyDescent="0.2">
      <c r="A490" s="1225" t="s">
        <v>4379</v>
      </c>
      <c r="B490" s="231"/>
      <c r="C490" s="231"/>
      <c r="D490" s="231"/>
      <c r="E490" s="231"/>
      <c r="F490" s="101"/>
      <c r="G490" s="231"/>
      <c r="H490" s="231"/>
      <c r="I490" s="231"/>
      <c r="J490" s="231"/>
      <c r="K490" s="231"/>
      <c r="L490" s="231"/>
      <c r="M490" s="949"/>
      <c r="N490" s="971"/>
      <c r="O490" s="971"/>
      <c r="P490" s="950"/>
    </row>
    <row r="491" spans="1:16" x14ac:dyDescent="0.2">
      <c r="A491" s="936" t="s">
        <v>4233</v>
      </c>
      <c r="B491" s="231">
        <v>0</v>
      </c>
      <c r="C491" s="231">
        <v>0</v>
      </c>
      <c r="D491" s="231">
        <f>Summaries!AE50/1000</f>
        <v>0</v>
      </c>
      <c r="E491" s="231">
        <f>Summaries!AF50/1000</f>
        <v>0</v>
      </c>
      <c r="F491" s="101">
        <f>Summaries!AG50/1000</f>
        <v>0</v>
      </c>
      <c r="G491" s="231">
        <f>Summaries!AH50/1000</f>
        <v>0</v>
      </c>
      <c r="H491" s="231">
        <f>Summaries!AI50/1000</f>
        <v>0</v>
      </c>
      <c r="I491" s="231">
        <f>Summaries!AJ50/1000</f>
        <v>0</v>
      </c>
      <c r="J491" s="231">
        <f>Summaries!AK50/1000</f>
        <v>0</v>
      </c>
      <c r="K491" s="231">
        <f>Summaries!AL50/1000</f>
        <v>0</v>
      </c>
      <c r="L491" s="231">
        <f>Summaries!AM50/1000</f>
        <v>0</v>
      </c>
      <c r="M491" s="949">
        <f>Summaries!AN50/1000</f>
        <v>0</v>
      </c>
      <c r="N491" s="971">
        <f>Summaries!AO50/1000</f>
        <v>0</v>
      </c>
      <c r="O491" s="971">
        <f>Summaries!AP50/1000</f>
        <v>0</v>
      </c>
      <c r="P491" s="950">
        <f>Summaries!AQ50/1000</f>
        <v>0</v>
      </c>
    </row>
    <row r="492" spans="1:16" x14ac:dyDescent="0.2">
      <c r="A492" s="936" t="s">
        <v>4234</v>
      </c>
      <c r="B492" s="231">
        <v>0</v>
      </c>
      <c r="C492" s="231">
        <v>0</v>
      </c>
      <c r="D492" s="231">
        <f>(Summaries!AE19)/1000</f>
        <v>0</v>
      </c>
      <c r="E492" s="231">
        <f>(Summaries!AF19)/1000</f>
        <v>0</v>
      </c>
      <c r="F492" s="101">
        <f>(Summaries!AG19)/1000</f>
        <v>0</v>
      </c>
      <c r="G492" s="231">
        <f>(Summaries!AH19)/1000</f>
        <v>0</v>
      </c>
      <c r="H492" s="231">
        <f>(Summaries!AI19)/1000</f>
        <v>0</v>
      </c>
      <c r="I492" s="231">
        <f>(Summaries!AJ19)/1000</f>
        <v>0</v>
      </c>
      <c r="J492" s="231">
        <f>(Summaries!AK19)/1000</f>
        <v>0</v>
      </c>
      <c r="K492" s="231">
        <f>(Summaries!AL19)/1000</f>
        <v>0</v>
      </c>
      <c r="L492" s="231">
        <f>(Summaries!AM19)/1000</f>
        <v>0</v>
      </c>
      <c r="M492" s="949">
        <f>(Summaries!AN19)/1000</f>
        <v>0</v>
      </c>
      <c r="N492" s="971">
        <f>(Summaries!AO19)/1000</f>
        <v>0</v>
      </c>
      <c r="O492" s="971">
        <f>(Summaries!AP19)/1000</f>
        <v>0</v>
      </c>
      <c r="P492" s="950">
        <f>(Summaries!AQ19)/1000</f>
        <v>0</v>
      </c>
    </row>
    <row r="493" spans="1:16" x14ac:dyDescent="0.2">
      <c r="A493" s="942" t="s">
        <v>2863</v>
      </c>
      <c r="B493" s="905">
        <f t="shared" ref="B493:M493" si="588">SUM(B491:B492)</f>
        <v>0</v>
      </c>
      <c r="C493" s="905">
        <f t="shared" si="588"/>
        <v>0</v>
      </c>
      <c r="D493" s="905">
        <f t="shared" si="588"/>
        <v>0</v>
      </c>
      <c r="E493" s="905">
        <f t="shared" si="588"/>
        <v>0</v>
      </c>
      <c r="F493" s="1541">
        <f t="shared" si="588"/>
        <v>0</v>
      </c>
      <c r="G493" s="905">
        <f t="shared" si="588"/>
        <v>0</v>
      </c>
      <c r="H493" s="905">
        <f t="shared" si="588"/>
        <v>0</v>
      </c>
      <c r="I493" s="905">
        <f t="shared" si="588"/>
        <v>0</v>
      </c>
      <c r="J493" s="905">
        <f t="shared" si="588"/>
        <v>0</v>
      </c>
      <c r="K493" s="905">
        <f t="shared" si="588"/>
        <v>0</v>
      </c>
      <c r="L493" s="905">
        <f t="shared" si="588"/>
        <v>0</v>
      </c>
      <c r="M493" s="1046">
        <f t="shared" si="588"/>
        <v>0</v>
      </c>
      <c r="N493" s="1660">
        <f t="shared" ref="N493:O493" si="589">SUM(N491:N492)</f>
        <v>0</v>
      </c>
      <c r="O493" s="1660">
        <f t="shared" si="589"/>
        <v>0</v>
      </c>
      <c r="P493" s="1047">
        <f t="shared" ref="P493" si="590">SUM(P491:P492)</f>
        <v>0</v>
      </c>
    </row>
    <row r="494" spans="1:16" x14ac:dyDescent="0.2">
      <c r="A494" s="818" t="s">
        <v>4367</v>
      </c>
      <c r="B494" s="231">
        <f t="shared" ref="B494:M494" si="591">B376</f>
        <v>10641</v>
      </c>
      <c r="C494" s="231">
        <f t="shared" si="591"/>
        <v>11327.6</v>
      </c>
      <c r="D494" s="231">
        <f t="shared" si="591"/>
        <v>11656.8</v>
      </c>
      <c r="E494" s="231">
        <f t="shared" si="591"/>
        <v>12259</v>
      </c>
      <c r="F494" s="101">
        <f t="shared" si="591"/>
        <v>12833</v>
      </c>
      <c r="G494" s="231">
        <f t="shared" si="591"/>
        <v>12929.3</v>
      </c>
      <c r="H494" s="231">
        <f t="shared" si="591"/>
        <v>13235.3</v>
      </c>
      <c r="I494" s="231">
        <f t="shared" si="591"/>
        <v>13525.2</v>
      </c>
      <c r="J494" s="231">
        <f t="shared" si="591"/>
        <v>14011.7</v>
      </c>
      <c r="K494" s="231">
        <f t="shared" si="591"/>
        <v>14566.3</v>
      </c>
      <c r="L494" s="231">
        <f t="shared" si="591"/>
        <v>15026.3</v>
      </c>
      <c r="M494" s="949">
        <f t="shared" si="591"/>
        <v>15554.9</v>
      </c>
      <c r="N494" s="971">
        <f t="shared" ref="N494:O494" si="592">N376</f>
        <v>16132.7</v>
      </c>
      <c r="O494" s="971">
        <f t="shared" si="592"/>
        <v>16742.3</v>
      </c>
      <c r="P494" s="950">
        <f t="shared" ref="P494" si="593">P376</f>
        <v>17459.099999999999</v>
      </c>
    </row>
    <row r="495" spans="1:16" x14ac:dyDescent="0.2">
      <c r="A495" s="818" t="s">
        <v>4382</v>
      </c>
      <c r="B495" s="231">
        <f t="shared" ref="B495:M495" si="594">B377</f>
        <v>0</v>
      </c>
      <c r="C495" s="231">
        <f t="shared" si="594"/>
        <v>0</v>
      </c>
      <c r="D495" s="231">
        <f t="shared" si="594"/>
        <v>0</v>
      </c>
      <c r="E495" s="231">
        <f t="shared" si="594"/>
        <v>0</v>
      </c>
      <c r="F495" s="101">
        <f t="shared" si="594"/>
        <v>0</v>
      </c>
      <c r="G495" s="231">
        <f t="shared" si="594"/>
        <v>0</v>
      </c>
      <c r="H495" s="231">
        <f t="shared" si="594"/>
        <v>0</v>
      </c>
      <c r="I495" s="231">
        <f t="shared" si="594"/>
        <v>0</v>
      </c>
      <c r="J495" s="231">
        <f t="shared" si="594"/>
        <v>0</v>
      </c>
      <c r="K495" s="231">
        <f t="shared" si="594"/>
        <v>0</v>
      </c>
      <c r="L495" s="231">
        <f t="shared" si="594"/>
        <v>0</v>
      </c>
      <c r="M495" s="231">
        <f t="shared" si="594"/>
        <v>0</v>
      </c>
      <c r="N495" s="233">
        <f t="shared" ref="N495:O495" si="595">N377</f>
        <v>0</v>
      </c>
      <c r="O495" s="233">
        <f t="shared" si="595"/>
        <v>0</v>
      </c>
      <c r="P495" s="88">
        <f t="shared" ref="P495" si="596">P377</f>
        <v>0</v>
      </c>
    </row>
    <row r="496" spans="1:16" x14ac:dyDescent="0.2">
      <c r="A496" s="818" t="s">
        <v>4381</v>
      </c>
      <c r="B496" s="231">
        <f t="shared" ref="B496:M496" si="597">B378</f>
        <v>0</v>
      </c>
      <c r="C496" s="231">
        <f t="shared" si="597"/>
        <v>0</v>
      </c>
      <c r="D496" s="231">
        <f t="shared" si="597"/>
        <v>0</v>
      </c>
      <c r="E496" s="231">
        <f t="shared" si="597"/>
        <v>0</v>
      </c>
      <c r="F496" s="101">
        <f t="shared" si="597"/>
        <v>0</v>
      </c>
      <c r="G496" s="231">
        <f t="shared" si="597"/>
        <v>0</v>
      </c>
      <c r="H496" s="231">
        <f t="shared" si="597"/>
        <v>0</v>
      </c>
      <c r="I496" s="231">
        <f t="shared" si="597"/>
        <v>0</v>
      </c>
      <c r="J496" s="231">
        <f t="shared" si="597"/>
        <v>0</v>
      </c>
      <c r="K496" s="231">
        <f t="shared" si="597"/>
        <v>0</v>
      </c>
      <c r="L496" s="231">
        <f t="shared" si="597"/>
        <v>0</v>
      </c>
      <c r="M496" s="231">
        <f t="shared" si="597"/>
        <v>0</v>
      </c>
      <c r="N496" s="233">
        <f t="shared" ref="N496:O496" si="598">N378</f>
        <v>0</v>
      </c>
      <c r="O496" s="233">
        <f t="shared" si="598"/>
        <v>0</v>
      </c>
      <c r="P496" s="88">
        <f t="shared" ref="P496" si="599">P378</f>
        <v>0</v>
      </c>
    </row>
    <row r="497" spans="1:16" x14ac:dyDescent="0.2">
      <c r="A497" s="936" t="s">
        <v>4376</v>
      </c>
      <c r="B497" s="231">
        <f t="shared" ref="B497:M497" si="600">B379</f>
        <v>-1008</v>
      </c>
      <c r="C497" s="231">
        <f t="shared" si="600"/>
        <v>-638.5</v>
      </c>
      <c r="D497" s="231">
        <f t="shared" si="600"/>
        <v>-763.3</v>
      </c>
      <c r="E497" s="231">
        <f t="shared" si="600"/>
        <v>-1059.9000000000001</v>
      </c>
      <c r="F497" s="101">
        <f t="shared" si="600"/>
        <v>-919.4</v>
      </c>
      <c r="G497" s="231">
        <f t="shared" si="600"/>
        <v>-775</v>
      </c>
      <c r="H497" s="231">
        <f t="shared" si="600"/>
        <v>-800</v>
      </c>
      <c r="I497" s="231">
        <f t="shared" si="600"/>
        <v>-820</v>
      </c>
      <c r="J497" s="231">
        <f t="shared" si="600"/>
        <v>-840</v>
      </c>
      <c r="K497" s="231">
        <f t="shared" si="600"/>
        <v>-860</v>
      </c>
      <c r="L497" s="231">
        <f t="shared" si="600"/>
        <v>-880</v>
      </c>
      <c r="M497" s="899">
        <f t="shared" si="600"/>
        <v>-900</v>
      </c>
      <c r="N497" s="900">
        <f t="shared" ref="N497:O497" si="601">N379</f>
        <v>-920</v>
      </c>
      <c r="O497" s="900">
        <f t="shared" si="601"/>
        <v>-940</v>
      </c>
      <c r="P497" s="901">
        <f t="shared" ref="P497" si="602">P379</f>
        <v>-960</v>
      </c>
    </row>
    <row r="498" spans="1:16" x14ac:dyDescent="0.2">
      <c r="A498" s="942" t="s">
        <v>2864</v>
      </c>
      <c r="B498" s="905">
        <f t="shared" ref="B498:M498" si="603">SUM(B494:B497)</f>
        <v>9633</v>
      </c>
      <c r="C498" s="905">
        <f t="shared" si="603"/>
        <v>10689.1</v>
      </c>
      <c r="D498" s="905">
        <f t="shared" si="603"/>
        <v>10893.5</v>
      </c>
      <c r="E498" s="905">
        <f t="shared" si="603"/>
        <v>11199.1</v>
      </c>
      <c r="F498" s="1541">
        <f t="shared" si="603"/>
        <v>11913.6</v>
      </c>
      <c r="G498" s="905">
        <f t="shared" si="603"/>
        <v>12154.3</v>
      </c>
      <c r="H498" s="905">
        <f t="shared" si="603"/>
        <v>12435.3</v>
      </c>
      <c r="I498" s="905">
        <f t="shared" si="603"/>
        <v>12705.2</v>
      </c>
      <c r="J498" s="905">
        <f t="shared" si="603"/>
        <v>13171.7</v>
      </c>
      <c r="K498" s="905">
        <f t="shared" si="603"/>
        <v>13706.3</v>
      </c>
      <c r="L498" s="905">
        <f t="shared" si="603"/>
        <v>14146.3</v>
      </c>
      <c r="M498" s="1046">
        <f t="shared" si="603"/>
        <v>14654.9</v>
      </c>
      <c r="N498" s="1660">
        <f t="shared" ref="N498:O498" si="604">SUM(N494:N497)</f>
        <v>15212.7</v>
      </c>
      <c r="O498" s="1660">
        <f t="shared" si="604"/>
        <v>15802.3</v>
      </c>
      <c r="P498" s="1047">
        <f t="shared" ref="P498" si="605">SUM(P494:P497)</f>
        <v>16499.099999999999</v>
      </c>
    </row>
    <row r="499" spans="1:16" s="9" customFormat="1" x14ac:dyDescent="0.2">
      <c r="A499" s="942" t="s">
        <v>4385</v>
      </c>
      <c r="B499" s="1520">
        <f t="shared" ref="B499:M499" si="606">B493/B498</f>
        <v>0</v>
      </c>
      <c r="C499" s="1520">
        <f t="shared" si="606"/>
        <v>0</v>
      </c>
      <c r="D499" s="1520">
        <f t="shared" si="606"/>
        <v>0</v>
      </c>
      <c r="E499" s="1520">
        <f t="shared" si="606"/>
        <v>0</v>
      </c>
      <c r="F499" s="1520">
        <f t="shared" si="606"/>
        <v>0</v>
      </c>
      <c r="G499" s="1520">
        <f t="shared" si="606"/>
        <v>0</v>
      </c>
      <c r="H499" s="1520">
        <f t="shared" si="606"/>
        <v>0</v>
      </c>
      <c r="I499" s="1520">
        <f t="shared" si="606"/>
        <v>0</v>
      </c>
      <c r="J499" s="1520">
        <f t="shared" si="606"/>
        <v>0</v>
      </c>
      <c r="K499" s="1520">
        <f t="shared" si="606"/>
        <v>0</v>
      </c>
      <c r="L499" s="1520">
        <f t="shared" si="606"/>
        <v>0</v>
      </c>
      <c r="M499" s="1520">
        <f t="shared" si="606"/>
        <v>0</v>
      </c>
      <c r="N499" s="1656">
        <f t="shared" ref="N499:O499" si="607">N493/N498</f>
        <v>0</v>
      </c>
      <c r="O499" s="1656">
        <f t="shared" si="607"/>
        <v>0</v>
      </c>
      <c r="P499" s="1495">
        <f t="shared" ref="P499" si="608">P493/P498</f>
        <v>0</v>
      </c>
    </row>
    <row r="500" spans="1:16" x14ac:dyDescent="0.2">
      <c r="A500" s="942"/>
      <c r="B500" s="1273"/>
      <c r="C500" s="1273"/>
      <c r="D500" s="1273"/>
      <c r="E500" s="1271"/>
      <c r="F500" s="1271"/>
      <c r="G500" s="1271"/>
      <c r="H500" s="1271"/>
      <c r="I500" s="1271"/>
      <c r="J500" s="1271"/>
      <c r="K500" s="1271"/>
      <c r="L500" s="1271"/>
      <c r="M500" s="1271"/>
      <c r="N500" s="1642"/>
      <c r="O500" s="1642"/>
      <c r="P500" s="1272"/>
    </row>
    <row r="501" spans="1:16" x14ac:dyDescent="0.2">
      <c r="A501" s="1278"/>
      <c r="B501" s="1275"/>
      <c r="C501" s="1275"/>
      <c r="D501" s="1275"/>
      <c r="E501" s="1275"/>
      <c r="F501" s="2567"/>
      <c r="G501" s="1275"/>
      <c r="H501" s="1275"/>
      <c r="I501" s="1275"/>
      <c r="J501" s="1275"/>
      <c r="K501" s="1275"/>
      <c r="L501" s="1275"/>
      <c r="M501" s="1668"/>
      <c r="N501" s="1644"/>
      <c r="O501" s="1644"/>
      <c r="P501" s="1279"/>
    </row>
    <row r="502" spans="1:16" x14ac:dyDescent="0.2">
      <c r="A502" s="1225" t="s">
        <v>4380</v>
      </c>
      <c r="B502" s="231"/>
      <c r="C502" s="231"/>
      <c r="D502" s="231"/>
      <c r="E502" s="231"/>
      <c r="F502" s="101"/>
      <c r="G502" s="231"/>
      <c r="H502" s="231"/>
      <c r="I502" s="231"/>
      <c r="J502" s="231"/>
      <c r="K502" s="231"/>
      <c r="L502" s="231"/>
      <c r="M502" s="949"/>
      <c r="N502" s="971"/>
      <c r="O502" s="971"/>
      <c r="P502" s="950"/>
    </row>
    <row r="503" spans="1:16" x14ac:dyDescent="0.2">
      <c r="A503" s="936" t="s">
        <v>4233</v>
      </c>
      <c r="B503" s="231">
        <v>985</v>
      </c>
      <c r="C503" s="231">
        <v>2385</v>
      </c>
      <c r="D503" s="231">
        <f>Summaries!AS50/1000</f>
        <v>2187.9</v>
      </c>
      <c r="E503" s="231">
        <f>Summaries!AT50/1000</f>
        <v>2793.3</v>
      </c>
      <c r="F503" s="101">
        <f>Summaries!AU50/1000</f>
        <v>2957.9</v>
      </c>
      <c r="G503" s="231">
        <f>Summaries!AV50/1000</f>
        <v>3095.6</v>
      </c>
      <c r="H503" s="231">
        <f>Summaries!AW50/1000</f>
        <v>3134</v>
      </c>
      <c r="I503" s="231">
        <f>Summaries!AX50/1000</f>
        <v>3280.3</v>
      </c>
      <c r="J503" s="231">
        <f>Summaries!AY50/1000</f>
        <v>2453.5</v>
      </c>
      <c r="K503" s="231">
        <f>Summaries!AZ50/1000</f>
        <v>2654.1</v>
      </c>
      <c r="L503" s="231">
        <f>Summaries!BA50/1000</f>
        <v>2844.1</v>
      </c>
      <c r="M503" s="949">
        <f>Summaries!BB50/1000</f>
        <v>3037</v>
      </c>
      <c r="N503" s="971">
        <f>Summaries!BC50/1000</f>
        <v>3235</v>
      </c>
      <c r="O503" s="971">
        <f>Summaries!BD50/1000</f>
        <v>3430</v>
      </c>
      <c r="P503" s="950">
        <f>Summaries!BE50/1000</f>
        <v>3627</v>
      </c>
    </row>
    <row r="504" spans="1:16" x14ac:dyDescent="0.2">
      <c r="A504" s="936" t="s">
        <v>4234</v>
      </c>
      <c r="B504" s="231">
        <v>3702</v>
      </c>
      <c r="C504" s="231">
        <v>5161</v>
      </c>
      <c r="D504" s="231">
        <f>(Summaries!AS19)/1000</f>
        <v>4996.8</v>
      </c>
      <c r="E504" s="231">
        <f>(Summaries!AT19)/1000</f>
        <v>4659.3</v>
      </c>
      <c r="F504" s="101">
        <f>(Summaries!AU19)/1000</f>
        <v>4442.6000000000004</v>
      </c>
      <c r="G504" s="231">
        <f>(Summaries!AV19)/1000</f>
        <v>4249.8999999999996</v>
      </c>
      <c r="H504" s="231">
        <f>(Summaries!AW19)/1000</f>
        <v>3878.3</v>
      </c>
      <c r="I504" s="231">
        <f>(Summaries!AX19)/1000</f>
        <v>3667</v>
      </c>
      <c r="J504" s="231">
        <f>(Summaries!AY19)/1000</f>
        <v>3439.8</v>
      </c>
      <c r="K504" s="231">
        <f>(Summaries!AZ19)/1000</f>
        <v>3239.2</v>
      </c>
      <c r="L504" s="231">
        <f>(Summaries!BA19)/1000</f>
        <v>3049.2</v>
      </c>
      <c r="M504" s="949">
        <f>(Summaries!BB19)/1000</f>
        <v>2856.3</v>
      </c>
      <c r="N504" s="971">
        <f>(Summaries!BC19)/1000</f>
        <v>2658.3</v>
      </c>
      <c r="O504" s="971">
        <f>(Summaries!BD19)/1000</f>
        <v>2463.3000000000002</v>
      </c>
      <c r="P504" s="950">
        <f>(Summaries!BE19)/1000</f>
        <v>2266.3000000000002</v>
      </c>
    </row>
    <row r="505" spans="1:16" x14ac:dyDescent="0.2">
      <c r="A505" s="942" t="s">
        <v>2863</v>
      </c>
      <c r="B505" s="905">
        <f t="shared" ref="B505:M505" si="609">SUM(B503:B504)</f>
        <v>4687</v>
      </c>
      <c r="C505" s="905">
        <f t="shared" si="609"/>
        <v>7546</v>
      </c>
      <c r="D505" s="905">
        <f t="shared" si="609"/>
        <v>7184.7000000000007</v>
      </c>
      <c r="E505" s="905">
        <f t="shared" si="609"/>
        <v>7452.6</v>
      </c>
      <c r="F505" s="1541">
        <f t="shared" si="609"/>
        <v>7400.5</v>
      </c>
      <c r="G505" s="905">
        <f t="shared" si="609"/>
        <v>7345.5</v>
      </c>
      <c r="H505" s="905">
        <f t="shared" si="609"/>
        <v>7012.3</v>
      </c>
      <c r="I505" s="905">
        <f t="shared" si="609"/>
        <v>6947.3</v>
      </c>
      <c r="J505" s="905">
        <f t="shared" si="609"/>
        <v>5893.3</v>
      </c>
      <c r="K505" s="905">
        <f t="shared" si="609"/>
        <v>5893.2999999999993</v>
      </c>
      <c r="L505" s="905">
        <f t="shared" si="609"/>
        <v>5893.2999999999993</v>
      </c>
      <c r="M505" s="1046">
        <f t="shared" si="609"/>
        <v>5893.3</v>
      </c>
      <c r="N505" s="1660">
        <f t="shared" ref="N505:O505" si="610">SUM(N503:N504)</f>
        <v>5893.3</v>
      </c>
      <c r="O505" s="1660">
        <f t="shared" si="610"/>
        <v>5893.3</v>
      </c>
      <c r="P505" s="1047">
        <f t="shared" ref="P505" si="611">SUM(P503:P504)</f>
        <v>5893.3</v>
      </c>
    </row>
    <row r="506" spans="1:16" x14ac:dyDescent="0.2">
      <c r="A506" s="818" t="s">
        <v>4367</v>
      </c>
      <c r="B506" s="231">
        <f t="shared" ref="B506:M506" si="612">B389</f>
        <v>15262</v>
      </c>
      <c r="C506" s="231">
        <f t="shared" si="612"/>
        <v>16456.7</v>
      </c>
      <c r="D506" s="231">
        <f t="shared" si="612"/>
        <v>17468.099999999999</v>
      </c>
      <c r="E506" s="231">
        <f t="shared" si="612"/>
        <v>18825.599999999999</v>
      </c>
      <c r="F506" s="101">
        <f t="shared" si="612"/>
        <v>19751.400000000001</v>
      </c>
      <c r="G506" s="231">
        <f t="shared" si="612"/>
        <v>20384</v>
      </c>
      <c r="H506" s="231">
        <f t="shared" si="612"/>
        <v>20878.5</v>
      </c>
      <c r="I506" s="231">
        <f t="shared" si="612"/>
        <v>21431</v>
      </c>
      <c r="J506" s="231">
        <f t="shared" si="612"/>
        <v>22198.5</v>
      </c>
      <c r="K506" s="231">
        <f t="shared" si="612"/>
        <v>22805.5</v>
      </c>
      <c r="L506" s="231">
        <f t="shared" si="612"/>
        <v>23467.4</v>
      </c>
      <c r="M506" s="949">
        <f t="shared" si="612"/>
        <v>24113</v>
      </c>
      <c r="N506" s="971">
        <f t="shared" ref="N506:O506" si="613">N389</f>
        <v>24853.3</v>
      </c>
      <c r="O506" s="971">
        <f t="shared" si="613"/>
        <v>25687</v>
      </c>
      <c r="P506" s="950">
        <f t="shared" ref="P506" si="614">P389</f>
        <v>26546.1</v>
      </c>
    </row>
    <row r="507" spans="1:16" x14ac:dyDescent="0.2">
      <c r="A507" s="818" t="s">
        <v>4382</v>
      </c>
      <c r="B507" s="231">
        <f t="shared" ref="B507:M507" si="615">B390</f>
        <v>0</v>
      </c>
      <c r="C507" s="231">
        <f t="shared" si="615"/>
        <v>-6</v>
      </c>
      <c r="D507" s="231">
        <f t="shared" si="615"/>
        <v>0</v>
      </c>
      <c r="E507" s="231">
        <f t="shared" si="615"/>
        <v>0</v>
      </c>
      <c r="F507" s="101">
        <f t="shared" si="615"/>
        <v>0</v>
      </c>
      <c r="G507" s="231">
        <f t="shared" si="615"/>
        <v>0</v>
      </c>
      <c r="H507" s="231">
        <f t="shared" si="615"/>
        <v>0</v>
      </c>
      <c r="I507" s="231">
        <f t="shared" si="615"/>
        <v>0</v>
      </c>
      <c r="J507" s="231">
        <f t="shared" si="615"/>
        <v>0</v>
      </c>
      <c r="K507" s="231">
        <f t="shared" si="615"/>
        <v>0</v>
      </c>
      <c r="L507" s="231">
        <f t="shared" si="615"/>
        <v>0</v>
      </c>
      <c r="M507" s="231">
        <f t="shared" si="615"/>
        <v>0</v>
      </c>
      <c r="N507" s="233">
        <f t="shared" ref="N507:O507" si="616">N390</f>
        <v>0</v>
      </c>
      <c r="O507" s="233">
        <f t="shared" si="616"/>
        <v>0</v>
      </c>
      <c r="P507" s="88">
        <f t="shared" ref="P507" si="617">P390</f>
        <v>0</v>
      </c>
    </row>
    <row r="508" spans="1:16" x14ac:dyDescent="0.2">
      <c r="A508" s="818" t="s">
        <v>4381</v>
      </c>
      <c r="B508" s="231">
        <f t="shared" ref="B508:M508" si="618">B391</f>
        <v>0</v>
      </c>
      <c r="C508" s="231">
        <f t="shared" si="618"/>
        <v>0</v>
      </c>
      <c r="D508" s="231">
        <f t="shared" si="618"/>
        <v>0</v>
      </c>
      <c r="E508" s="231">
        <f t="shared" si="618"/>
        <v>0</v>
      </c>
      <c r="F508" s="101">
        <f t="shared" si="618"/>
        <v>0</v>
      </c>
      <c r="G508" s="231">
        <f t="shared" si="618"/>
        <v>0</v>
      </c>
      <c r="H508" s="231">
        <f t="shared" si="618"/>
        <v>0</v>
      </c>
      <c r="I508" s="231">
        <f t="shared" si="618"/>
        <v>0</v>
      </c>
      <c r="J508" s="231">
        <f t="shared" si="618"/>
        <v>0</v>
      </c>
      <c r="K508" s="231">
        <f t="shared" si="618"/>
        <v>0</v>
      </c>
      <c r="L508" s="231">
        <f t="shared" si="618"/>
        <v>0</v>
      </c>
      <c r="M508" s="233">
        <f t="shared" si="618"/>
        <v>0</v>
      </c>
      <c r="N508" s="233">
        <f t="shared" ref="N508:O508" si="619">N391</f>
        <v>0</v>
      </c>
      <c r="O508" s="233">
        <f t="shared" si="619"/>
        <v>0</v>
      </c>
      <c r="P508" s="88">
        <f t="shared" ref="P508" si="620">P391</f>
        <v>0</v>
      </c>
    </row>
    <row r="509" spans="1:16" x14ac:dyDescent="0.2">
      <c r="A509" s="936" t="s">
        <v>4376</v>
      </c>
      <c r="B509" s="231">
        <f t="shared" ref="B509:M509" si="621">B392</f>
        <v>-1482</v>
      </c>
      <c r="C509" s="231">
        <f t="shared" si="621"/>
        <v>-2014.2</v>
      </c>
      <c r="D509" s="231">
        <f t="shared" si="621"/>
        <v>-2131.4</v>
      </c>
      <c r="E509" s="231">
        <f t="shared" si="621"/>
        <v>-2470</v>
      </c>
      <c r="F509" s="101">
        <f t="shared" si="621"/>
        <v>-2045.5</v>
      </c>
      <c r="G509" s="231">
        <f t="shared" si="621"/>
        <v>-2245.5</v>
      </c>
      <c r="H509" s="231">
        <f t="shared" si="621"/>
        <v>-2275.5</v>
      </c>
      <c r="I509" s="231">
        <f t="shared" si="621"/>
        <v>-2315.5</v>
      </c>
      <c r="J509" s="231">
        <f t="shared" si="621"/>
        <v>-2355.5</v>
      </c>
      <c r="K509" s="231">
        <f t="shared" si="621"/>
        <v>-2405.5</v>
      </c>
      <c r="L509" s="231">
        <f t="shared" si="621"/>
        <v>-2445.5</v>
      </c>
      <c r="M509" s="899">
        <f t="shared" si="621"/>
        <v>-2485.5</v>
      </c>
      <c r="N509" s="900">
        <f t="shared" ref="N509:O509" si="622">N392</f>
        <v>-2525.5</v>
      </c>
      <c r="O509" s="900">
        <f t="shared" si="622"/>
        <v>-2565.5</v>
      </c>
      <c r="P509" s="901">
        <f t="shared" ref="P509" si="623">P392</f>
        <v>-2605.5</v>
      </c>
    </row>
    <row r="510" spans="1:16" x14ac:dyDescent="0.2">
      <c r="A510" s="942" t="s">
        <v>2864</v>
      </c>
      <c r="B510" s="905">
        <f t="shared" ref="B510:M510" si="624">SUM(B506:B509)</f>
        <v>13780</v>
      </c>
      <c r="C510" s="905">
        <f t="shared" si="624"/>
        <v>14436.5</v>
      </c>
      <c r="D510" s="905">
        <f t="shared" si="624"/>
        <v>15336.699999999999</v>
      </c>
      <c r="E510" s="905">
        <f t="shared" si="624"/>
        <v>16355.599999999999</v>
      </c>
      <c r="F510" s="1541">
        <f t="shared" si="624"/>
        <v>17705.900000000001</v>
      </c>
      <c r="G510" s="905">
        <f t="shared" si="624"/>
        <v>18138.5</v>
      </c>
      <c r="H510" s="905">
        <f t="shared" si="624"/>
        <v>18603</v>
      </c>
      <c r="I510" s="905">
        <f t="shared" si="624"/>
        <v>19115.5</v>
      </c>
      <c r="J510" s="905">
        <f t="shared" si="624"/>
        <v>19843</v>
      </c>
      <c r="K510" s="905">
        <f t="shared" si="624"/>
        <v>20400</v>
      </c>
      <c r="L510" s="905">
        <f t="shared" si="624"/>
        <v>21021.9</v>
      </c>
      <c r="M510" s="1660">
        <f t="shared" si="624"/>
        <v>21627.5</v>
      </c>
      <c r="N510" s="1660">
        <f t="shared" ref="N510:O510" si="625">SUM(N506:N509)</f>
        <v>22327.8</v>
      </c>
      <c r="O510" s="1660">
        <f t="shared" si="625"/>
        <v>23121.5</v>
      </c>
      <c r="P510" s="1047">
        <f t="shared" ref="P510" si="626">SUM(P506:P509)</f>
        <v>23940.6</v>
      </c>
    </row>
    <row r="511" spans="1:16" s="9" customFormat="1" x14ac:dyDescent="0.2">
      <c r="A511" s="942" t="s">
        <v>4386</v>
      </c>
      <c r="B511" s="1520">
        <f t="shared" ref="B511:M511" si="627">B505/B510</f>
        <v>0.34013062409288825</v>
      </c>
      <c r="C511" s="1520">
        <f t="shared" si="627"/>
        <v>0.52270287119454162</v>
      </c>
      <c r="D511" s="1520">
        <f t="shared" si="627"/>
        <v>0.46846453278736633</v>
      </c>
      <c r="E511" s="1520">
        <f t="shared" si="627"/>
        <v>0.45566044657487348</v>
      </c>
      <c r="F511" s="1520">
        <f t="shared" si="627"/>
        <v>0.41796802195878208</v>
      </c>
      <c r="G511" s="1520">
        <f t="shared" si="627"/>
        <v>0.40496733467486284</v>
      </c>
      <c r="H511" s="1520">
        <f t="shared" si="627"/>
        <v>0.37694457883137128</v>
      </c>
      <c r="I511" s="1520">
        <f t="shared" si="627"/>
        <v>0.36343804765766002</v>
      </c>
      <c r="J511" s="1520">
        <f t="shared" si="627"/>
        <v>0.29699642191200926</v>
      </c>
      <c r="K511" s="1520">
        <f t="shared" si="627"/>
        <v>0.28888725490196077</v>
      </c>
      <c r="L511" s="1520">
        <f t="shared" si="627"/>
        <v>0.28034097774225919</v>
      </c>
      <c r="M511" s="1656">
        <f t="shared" si="627"/>
        <v>0.27249104149809272</v>
      </c>
      <c r="N511" s="1656">
        <f t="shared" ref="N511:O511" si="628">N505/N510</f>
        <v>0.26394449968201078</v>
      </c>
      <c r="O511" s="1656">
        <f t="shared" si="628"/>
        <v>0.25488398244058563</v>
      </c>
      <c r="P511" s="1495">
        <f t="shared" ref="P511" si="629">P505/P510</f>
        <v>0.24616342113397327</v>
      </c>
    </row>
    <row r="512" spans="1:16" ht="13.5" thickBot="1" x14ac:dyDescent="0.25">
      <c r="A512" s="1553"/>
      <c r="B512" s="1554"/>
      <c r="C512" s="1554"/>
      <c r="D512" s="1554"/>
      <c r="E512" s="1554"/>
      <c r="F512" s="90"/>
      <c r="G512" s="1554"/>
      <c r="H512" s="1554"/>
      <c r="I512" s="1554"/>
      <c r="J512" s="1554"/>
      <c r="K512" s="1554"/>
      <c r="L512" s="1554"/>
      <c r="M512" s="1669"/>
      <c r="N512" s="1669"/>
      <c r="O512" s="1669"/>
      <c r="P512" s="1577"/>
    </row>
    <row r="513" spans="1:16" s="779" customFormat="1" ht="17.25" thickTop="1" thickBot="1" x14ac:dyDescent="0.3">
      <c r="A513" s="2853" t="s">
        <v>5157</v>
      </c>
      <c r="B513" s="2854"/>
      <c r="C513" s="2854"/>
      <c r="D513" s="2854"/>
      <c r="E513" s="2854"/>
      <c r="F513" s="2854"/>
      <c r="G513" s="2854"/>
      <c r="H513" s="2854"/>
      <c r="I513" s="2854"/>
      <c r="J513" s="2854"/>
      <c r="K513" s="2854"/>
      <c r="L513" s="2854"/>
      <c r="M513" s="2854"/>
      <c r="N513" s="2854"/>
      <c r="O513" s="2854"/>
      <c r="P513" s="2855"/>
    </row>
    <row r="514" spans="1:16" s="779" customFormat="1" ht="13.5" thickBot="1" x14ac:dyDescent="0.25">
      <c r="A514" s="1268" t="str">
        <f t="shared" ref="A514:M514" si="630">A464</f>
        <v>Item</v>
      </c>
      <c r="B514" s="793" t="str">
        <f t="shared" si="630"/>
        <v>2012/13</v>
      </c>
      <c r="C514" s="793" t="str">
        <f t="shared" si="630"/>
        <v>2013/14</v>
      </c>
      <c r="D514" s="793" t="str">
        <f t="shared" si="630"/>
        <v>2014/15</v>
      </c>
      <c r="E514" s="793" t="str">
        <f t="shared" si="630"/>
        <v>2015/16</v>
      </c>
      <c r="F514" s="793" t="str">
        <f t="shared" si="630"/>
        <v>2016/17</v>
      </c>
      <c r="G514" s="793" t="str">
        <f t="shared" si="630"/>
        <v>2017/18</v>
      </c>
      <c r="H514" s="793" t="str">
        <f t="shared" si="630"/>
        <v>2018/19</v>
      </c>
      <c r="I514" s="793" t="str">
        <f t="shared" si="630"/>
        <v>2019/20</v>
      </c>
      <c r="J514" s="793" t="str">
        <f t="shared" si="630"/>
        <v>2020/21</v>
      </c>
      <c r="K514" s="793" t="str">
        <f t="shared" si="630"/>
        <v>2021/22</v>
      </c>
      <c r="L514" s="793" t="str">
        <f t="shared" si="630"/>
        <v>2022/23</v>
      </c>
      <c r="M514" s="1641" t="str">
        <f t="shared" si="630"/>
        <v>2023/24</v>
      </c>
      <c r="N514" s="1641" t="str">
        <f t="shared" ref="N514:O514" si="631">N464</f>
        <v>2024/25</v>
      </c>
      <c r="O514" s="1641" t="str">
        <f t="shared" si="631"/>
        <v>2025/26</v>
      </c>
      <c r="P514" s="794" t="str">
        <f t="shared" ref="P514" si="632">P464</f>
        <v>2026/27</v>
      </c>
    </row>
    <row r="515" spans="1:16" x14ac:dyDescent="0.2">
      <c r="A515" s="1278"/>
      <c r="B515" s="1275"/>
      <c r="C515" s="1275"/>
      <c r="D515" s="1275"/>
      <c r="E515" s="1275"/>
      <c r="F515" s="2567"/>
      <c r="G515" s="1275"/>
      <c r="H515" s="1275"/>
      <c r="I515" s="1275"/>
      <c r="J515" s="1275"/>
      <c r="K515" s="1275"/>
      <c r="L515" s="1275"/>
      <c r="M515" s="1644"/>
      <c r="N515" s="1644"/>
      <c r="O515" s="1644"/>
      <c r="P515" s="1279"/>
    </row>
    <row r="516" spans="1:16" x14ac:dyDescent="0.2">
      <c r="A516" s="1225" t="s">
        <v>4235</v>
      </c>
      <c r="B516" s="231"/>
      <c r="C516" s="231"/>
      <c r="D516" s="231"/>
      <c r="E516" s="231"/>
      <c r="F516" s="101"/>
      <c r="G516" s="231"/>
      <c r="H516" s="231"/>
      <c r="I516" s="231"/>
      <c r="J516" s="231"/>
      <c r="K516" s="231"/>
      <c r="L516" s="231"/>
      <c r="M516" s="949"/>
      <c r="N516" s="971"/>
      <c r="O516" s="971"/>
      <c r="P516" s="950"/>
    </row>
    <row r="517" spans="1:16" x14ac:dyDescent="0.2">
      <c r="A517" s="936" t="s">
        <v>4233</v>
      </c>
      <c r="B517" s="231">
        <f t="shared" ref="B517:L517" si="633">B533+B549+B563</f>
        <v>3460</v>
      </c>
      <c r="C517" s="231">
        <f t="shared" si="633"/>
        <v>5601.2</v>
      </c>
      <c r="D517" s="231">
        <f t="shared" si="633"/>
        <v>5583.3</v>
      </c>
      <c r="E517" s="231">
        <f t="shared" si="633"/>
        <v>6582.2000000000007</v>
      </c>
      <c r="F517" s="101">
        <f t="shared" si="633"/>
        <v>6654.1</v>
      </c>
      <c r="G517" s="231">
        <f t="shared" si="633"/>
        <v>6408.4</v>
      </c>
      <c r="H517" s="231">
        <f t="shared" si="633"/>
        <v>6381.8</v>
      </c>
      <c r="I517" s="231">
        <f t="shared" si="633"/>
        <v>6599.3</v>
      </c>
      <c r="J517" s="231">
        <f t="shared" si="633"/>
        <v>5496.5</v>
      </c>
      <c r="K517" s="231">
        <f t="shared" si="633"/>
        <v>6197</v>
      </c>
      <c r="L517" s="231">
        <f t="shared" si="633"/>
        <v>5929</v>
      </c>
      <c r="M517" s="949">
        <f>M533+M549+M563</f>
        <v>5387.3</v>
      </c>
      <c r="N517" s="971">
        <f t="shared" ref="N517:O518" si="634">N533+N549+N563</f>
        <v>5315.1</v>
      </c>
      <c r="O517" s="971">
        <f t="shared" si="634"/>
        <v>4882.6000000000004</v>
      </c>
      <c r="P517" s="950">
        <f t="shared" ref="P517" si="635">P533+P549+P563</f>
        <v>5076.8999999999996</v>
      </c>
    </row>
    <row r="518" spans="1:16" x14ac:dyDescent="0.2">
      <c r="A518" s="936" t="s">
        <v>4234</v>
      </c>
      <c r="B518" s="231">
        <f t="shared" ref="B518:L518" si="636">B534+B550+B564</f>
        <v>4591</v>
      </c>
      <c r="C518" s="231">
        <f t="shared" si="636"/>
        <v>6910</v>
      </c>
      <c r="D518" s="231">
        <f t="shared" si="636"/>
        <v>6561.4</v>
      </c>
      <c r="E518" s="231">
        <f t="shared" si="636"/>
        <v>5993.6</v>
      </c>
      <c r="F518" s="101">
        <f t="shared" si="636"/>
        <v>5594.8</v>
      </c>
      <c r="G518" s="231">
        <f t="shared" si="636"/>
        <v>5577.7</v>
      </c>
      <c r="H518" s="231">
        <f t="shared" si="636"/>
        <v>5064.3999999999996</v>
      </c>
      <c r="I518" s="231">
        <f t="shared" si="636"/>
        <v>4789.8</v>
      </c>
      <c r="J518" s="231">
        <f t="shared" si="636"/>
        <v>4392.4000000000005</v>
      </c>
      <c r="K518" s="231">
        <f t="shared" si="636"/>
        <v>4377.7</v>
      </c>
      <c r="L518" s="231">
        <f t="shared" si="636"/>
        <v>4021.8999999999996</v>
      </c>
      <c r="M518" s="949">
        <f>M534+M550+M564</f>
        <v>3710.8</v>
      </c>
      <c r="N518" s="971">
        <f t="shared" si="634"/>
        <v>3414.8</v>
      </c>
      <c r="O518" s="971">
        <f t="shared" si="634"/>
        <v>3142.8</v>
      </c>
      <c r="P518" s="950">
        <f t="shared" ref="P518" si="637">P534+P550+P564</f>
        <v>2889.9</v>
      </c>
    </row>
    <row r="519" spans="1:16" x14ac:dyDescent="0.2">
      <c r="A519" s="942" t="s">
        <v>2864</v>
      </c>
      <c r="B519" s="905">
        <f t="shared" ref="B519:M519" si="638">SUM(B517:B518)</f>
        <v>8051</v>
      </c>
      <c r="C519" s="905">
        <f t="shared" si="638"/>
        <v>12511.2</v>
      </c>
      <c r="D519" s="905">
        <f t="shared" si="638"/>
        <v>12144.7</v>
      </c>
      <c r="E519" s="905">
        <f t="shared" si="638"/>
        <v>12575.800000000001</v>
      </c>
      <c r="F519" s="1541">
        <f t="shared" si="638"/>
        <v>12248.900000000001</v>
      </c>
      <c r="G519" s="905">
        <f t="shared" si="638"/>
        <v>11986.099999999999</v>
      </c>
      <c r="H519" s="905">
        <f t="shared" si="638"/>
        <v>11446.2</v>
      </c>
      <c r="I519" s="905">
        <f t="shared" si="638"/>
        <v>11389.1</v>
      </c>
      <c r="J519" s="905">
        <f t="shared" si="638"/>
        <v>9888.9000000000015</v>
      </c>
      <c r="K519" s="905">
        <f t="shared" si="638"/>
        <v>10574.7</v>
      </c>
      <c r="L519" s="905">
        <f t="shared" si="638"/>
        <v>9950.9</v>
      </c>
      <c r="M519" s="1046">
        <f t="shared" si="638"/>
        <v>9098.1</v>
      </c>
      <c r="N519" s="1660">
        <f t="shared" ref="N519:O519" si="639">SUM(N517:N518)</f>
        <v>8729.9000000000015</v>
      </c>
      <c r="O519" s="1660">
        <f t="shared" si="639"/>
        <v>8025.4000000000005</v>
      </c>
      <c r="P519" s="1047">
        <f t="shared" ref="P519" si="640">SUM(P517:P518)</f>
        <v>7966.7999999999993</v>
      </c>
    </row>
    <row r="520" spans="1:16" x14ac:dyDescent="0.2">
      <c r="A520" s="818" t="s">
        <v>4243</v>
      </c>
      <c r="B520" s="231">
        <f t="shared" ref="B520:O520" si="641">B287</f>
        <v>114891</v>
      </c>
      <c r="C520" s="231">
        <f t="shared" si="641"/>
        <v>84574.3</v>
      </c>
      <c r="D520" s="231">
        <f t="shared" si="641"/>
        <v>89935.7</v>
      </c>
      <c r="E520" s="231">
        <f t="shared" si="641"/>
        <v>92124.7</v>
      </c>
      <c r="F520" s="101">
        <f t="shared" si="641"/>
        <v>97731.1</v>
      </c>
      <c r="G520" s="231">
        <f t="shared" si="641"/>
        <v>102194.6</v>
      </c>
      <c r="H520" s="231">
        <f t="shared" si="641"/>
        <v>97194.6</v>
      </c>
      <c r="I520" s="231">
        <f t="shared" si="641"/>
        <v>98539.6</v>
      </c>
      <c r="J520" s="231">
        <f t="shared" si="641"/>
        <v>106687</v>
      </c>
      <c r="K520" s="231">
        <f t="shared" si="641"/>
        <v>110164.1</v>
      </c>
      <c r="L520" s="231">
        <f t="shared" si="641"/>
        <v>102327.7</v>
      </c>
      <c r="M520" s="949">
        <f t="shared" si="641"/>
        <v>105934.39999999999</v>
      </c>
      <c r="N520" s="971">
        <f t="shared" si="641"/>
        <v>108152.8</v>
      </c>
      <c r="O520" s="971">
        <f t="shared" si="641"/>
        <v>112045.4</v>
      </c>
      <c r="P520" s="950">
        <f t="shared" ref="P520" si="642">P287</f>
        <v>116101.1</v>
      </c>
    </row>
    <row r="521" spans="1:16" x14ac:dyDescent="0.2">
      <c r="A521" s="818" t="s">
        <v>4382</v>
      </c>
      <c r="B521" s="231">
        <f t="shared" ref="B521:M521" si="643">B351</f>
        <v>0</v>
      </c>
      <c r="C521" s="231">
        <f t="shared" si="643"/>
        <v>-6</v>
      </c>
      <c r="D521" s="231">
        <f t="shared" si="643"/>
        <v>0</v>
      </c>
      <c r="E521" s="231">
        <f t="shared" si="643"/>
        <v>0</v>
      </c>
      <c r="F521" s="101">
        <f t="shared" si="643"/>
        <v>0</v>
      </c>
      <c r="G521" s="231">
        <f t="shared" si="643"/>
        <v>0</v>
      </c>
      <c r="H521" s="231">
        <f t="shared" si="643"/>
        <v>0</v>
      </c>
      <c r="I521" s="231">
        <f t="shared" si="643"/>
        <v>0</v>
      </c>
      <c r="J521" s="231">
        <f t="shared" si="643"/>
        <v>0</v>
      </c>
      <c r="K521" s="231">
        <f t="shared" si="643"/>
        <v>0</v>
      </c>
      <c r="L521" s="231">
        <f t="shared" si="643"/>
        <v>0</v>
      </c>
      <c r="M521" s="231">
        <f t="shared" si="643"/>
        <v>0</v>
      </c>
      <c r="N521" s="233">
        <f t="shared" ref="N521:O521" si="644">N351</f>
        <v>0</v>
      </c>
      <c r="O521" s="233">
        <f t="shared" si="644"/>
        <v>0</v>
      </c>
      <c r="P521" s="88">
        <f t="shared" ref="P521" si="645">P351</f>
        <v>0</v>
      </c>
    </row>
    <row r="522" spans="1:16" x14ac:dyDescent="0.2">
      <c r="A522" s="818" t="s">
        <v>4381</v>
      </c>
      <c r="B522" s="231">
        <f t="shared" ref="B522:M522" si="646">B352</f>
        <v>-414</v>
      </c>
      <c r="C522" s="231">
        <f t="shared" si="646"/>
        <v>-333</v>
      </c>
      <c r="D522" s="231">
        <f t="shared" si="646"/>
        <v>0</v>
      </c>
      <c r="E522" s="231">
        <f t="shared" si="646"/>
        <v>0</v>
      </c>
      <c r="F522" s="101">
        <f t="shared" si="646"/>
        <v>0</v>
      </c>
      <c r="G522" s="231">
        <f t="shared" si="646"/>
        <v>0</v>
      </c>
      <c r="H522" s="231">
        <f t="shared" si="646"/>
        <v>0</v>
      </c>
      <c r="I522" s="231">
        <f t="shared" si="646"/>
        <v>0</v>
      </c>
      <c r="J522" s="231">
        <f t="shared" si="646"/>
        <v>0</v>
      </c>
      <c r="K522" s="231">
        <f t="shared" si="646"/>
        <v>0</v>
      </c>
      <c r="L522" s="231">
        <f t="shared" si="646"/>
        <v>0</v>
      </c>
      <c r="M522" s="231">
        <f t="shared" si="646"/>
        <v>0</v>
      </c>
      <c r="N522" s="233">
        <f t="shared" ref="N522:O522" si="647">N352</f>
        <v>0</v>
      </c>
      <c r="O522" s="233">
        <f t="shared" si="647"/>
        <v>0</v>
      </c>
      <c r="P522" s="88">
        <f t="shared" ref="P522" si="648">P352</f>
        <v>0</v>
      </c>
    </row>
    <row r="523" spans="1:16" x14ac:dyDescent="0.2">
      <c r="A523" s="936" t="s">
        <v>4376</v>
      </c>
      <c r="B523" s="231">
        <f t="shared" ref="B523:M523" si="649">B353</f>
        <v>-39549</v>
      </c>
      <c r="C523" s="231">
        <f t="shared" si="649"/>
        <v>-13566.7</v>
      </c>
      <c r="D523" s="231">
        <f t="shared" si="649"/>
        <v>-15663.7</v>
      </c>
      <c r="E523" s="231">
        <f t="shared" si="649"/>
        <v>-15014</v>
      </c>
      <c r="F523" s="101">
        <f t="shared" si="649"/>
        <v>-14553.6</v>
      </c>
      <c r="G523" s="231">
        <f t="shared" si="649"/>
        <v>-20499.3</v>
      </c>
      <c r="H523" s="231">
        <f t="shared" si="649"/>
        <v>-13192.8</v>
      </c>
      <c r="I523" s="231">
        <f t="shared" si="649"/>
        <v>-11063.6</v>
      </c>
      <c r="J523" s="231">
        <f t="shared" si="649"/>
        <v>-17142.2</v>
      </c>
      <c r="K523" s="231">
        <f t="shared" si="649"/>
        <v>-17490.5</v>
      </c>
      <c r="L523" s="231">
        <f t="shared" si="649"/>
        <v>-7834.3</v>
      </c>
      <c r="M523" s="231">
        <f t="shared" si="649"/>
        <v>-7982.6</v>
      </c>
      <c r="N523" s="233">
        <f t="shared" ref="N523:O523" si="650">N353</f>
        <v>-8134.3</v>
      </c>
      <c r="O523" s="233">
        <f t="shared" si="650"/>
        <v>-8287.5</v>
      </c>
      <c r="P523" s="88">
        <f t="shared" ref="P523" si="651">P353</f>
        <v>-8442.4</v>
      </c>
    </row>
    <row r="524" spans="1:16" x14ac:dyDescent="0.2">
      <c r="A524" s="936" t="s">
        <v>4249</v>
      </c>
      <c r="B524" s="231">
        <f t="shared" ref="B524:O524" si="652">B292</f>
        <v>87727</v>
      </c>
      <c r="C524" s="231">
        <f t="shared" si="652"/>
        <v>84731.7</v>
      </c>
      <c r="D524" s="231">
        <f t="shared" si="652"/>
        <v>90672</v>
      </c>
      <c r="E524" s="231">
        <f t="shared" si="652"/>
        <v>81315.199999999997</v>
      </c>
      <c r="F524" s="101">
        <f t="shared" si="652"/>
        <v>82378.8</v>
      </c>
      <c r="G524" s="231">
        <f t="shared" si="652"/>
        <v>80928.3</v>
      </c>
      <c r="H524" s="231">
        <f t="shared" si="652"/>
        <v>81993</v>
      </c>
      <c r="I524" s="231">
        <f t="shared" si="652"/>
        <v>84495.8</v>
      </c>
      <c r="J524" s="231">
        <f t="shared" si="652"/>
        <v>85537.2</v>
      </c>
      <c r="K524" s="231">
        <f t="shared" si="652"/>
        <v>87850.4</v>
      </c>
      <c r="L524" s="231">
        <f t="shared" si="652"/>
        <v>88634.6</v>
      </c>
      <c r="M524" s="231">
        <f t="shared" si="652"/>
        <v>90905.4</v>
      </c>
      <c r="N524" s="233">
        <f t="shared" si="652"/>
        <v>92070.8</v>
      </c>
      <c r="O524" s="233">
        <f t="shared" si="652"/>
        <v>94194.1</v>
      </c>
      <c r="P524" s="88">
        <f t="shared" ref="P524" si="653">P292</f>
        <v>96492.3</v>
      </c>
    </row>
    <row r="525" spans="1:16" x14ac:dyDescent="0.2">
      <c r="A525" s="818" t="s">
        <v>4389</v>
      </c>
      <c r="B525" s="231">
        <f t="shared" ref="B525:O525" si="654">B293</f>
        <v>-4591.2</v>
      </c>
      <c r="C525" s="231">
        <f t="shared" si="654"/>
        <v>-2506</v>
      </c>
      <c r="D525" s="231">
        <f t="shared" si="654"/>
        <v>-12177</v>
      </c>
      <c r="E525" s="231">
        <f t="shared" si="654"/>
        <v>-607</v>
      </c>
      <c r="F525" s="101">
        <f t="shared" si="654"/>
        <v>-100</v>
      </c>
      <c r="G525" s="231">
        <f t="shared" si="654"/>
        <v>-100</v>
      </c>
      <c r="H525" s="231">
        <f t="shared" si="654"/>
        <v>-100</v>
      </c>
      <c r="I525" s="231">
        <f t="shared" si="654"/>
        <v>-100</v>
      </c>
      <c r="J525" s="231">
        <f t="shared" si="654"/>
        <v>-100</v>
      </c>
      <c r="K525" s="231">
        <f t="shared" si="654"/>
        <v>-100</v>
      </c>
      <c r="L525" s="231">
        <f t="shared" si="654"/>
        <v>-100</v>
      </c>
      <c r="M525" s="231">
        <f t="shared" si="654"/>
        <v>-100</v>
      </c>
      <c r="N525" s="233">
        <f t="shared" si="654"/>
        <v>-100</v>
      </c>
      <c r="O525" s="233">
        <f t="shared" si="654"/>
        <v>-100</v>
      </c>
      <c r="P525" s="88">
        <f t="shared" ref="P525" si="655">P293</f>
        <v>-100</v>
      </c>
    </row>
    <row r="526" spans="1:16" x14ac:dyDescent="0.2">
      <c r="A526" s="818" t="s">
        <v>4390</v>
      </c>
      <c r="B526" s="231">
        <f t="shared" ref="B526:O526" si="656">B294</f>
        <v>-2745</v>
      </c>
      <c r="C526" s="231">
        <f t="shared" si="656"/>
        <v>0</v>
      </c>
      <c r="D526" s="231">
        <f t="shared" si="656"/>
        <v>0</v>
      </c>
      <c r="E526" s="231">
        <f t="shared" si="656"/>
        <v>-163</v>
      </c>
      <c r="F526" s="101">
        <f t="shared" si="656"/>
        <v>0</v>
      </c>
      <c r="G526" s="231">
        <f t="shared" si="656"/>
        <v>0</v>
      </c>
      <c r="H526" s="231">
        <f t="shared" si="656"/>
        <v>0</v>
      </c>
      <c r="I526" s="231">
        <f t="shared" si="656"/>
        <v>0</v>
      </c>
      <c r="J526" s="231">
        <f t="shared" si="656"/>
        <v>0</v>
      </c>
      <c r="K526" s="231">
        <f t="shared" si="656"/>
        <v>0</v>
      </c>
      <c r="L526" s="231">
        <f t="shared" si="656"/>
        <v>0</v>
      </c>
      <c r="M526" s="231">
        <f t="shared" si="656"/>
        <v>0</v>
      </c>
      <c r="N526" s="233">
        <f t="shared" si="656"/>
        <v>0</v>
      </c>
      <c r="O526" s="233">
        <f t="shared" si="656"/>
        <v>0</v>
      </c>
      <c r="P526" s="88">
        <f t="shared" ref="P526" si="657">P294</f>
        <v>0</v>
      </c>
    </row>
    <row r="527" spans="1:16" x14ac:dyDescent="0.2">
      <c r="A527" s="936" t="s">
        <v>4387</v>
      </c>
      <c r="B527" s="231">
        <f t="shared" ref="B527:M527" si="658">-B518</f>
        <v>-4591</v>
      </c>
      <c r="C527" s="231">
        <f t="shared" si="658"/>
        <v>-6910</v>
      </c>
      <c r="D527" s="231">
        <f t="shared" si="658"/>
        <v>-6561.4</v>
      </c>
      <c r="E527" s="231">
        <f t="shared" si="658"/>
        <v>-5993.6</v>
      </c>
      <c r="F527" s="101">
        <f t="shared" si="658"/>
        <v>-5594.8</v>
      </c>
      <c r="G527" s="231">
        <f t="shared" si="658"/>
        <v>-5577.7</v>
      </c>
      <c r="H527" s="231">
        <f t="shared" si="658"/>
        <v>-5064.3999999999996</v>
      </c>
      <c r="I527" s="231">
        <f t="shared" si="658"/>
        <v>-4789.8</v>
      </c>
      <c r="J527" s="231">
        <f t="shared" si="658"/>
        <v>-4392.4000000000005</v>
      </c>
      <c r="K527" s="231">
        <f t="shared" si="658"/>
        <v>-4377.7</v>
      </c>
      <c r="L527" s="231">
        <f t="shared" si="658"/>
        <v>-4021.8999999999996</v>
      </c>
      <c r="M527" s="231">
        <f t="shared" si="658"/>
        <v>-3710.8</v>
      </c>
      <c r="N527" s="233">
        <f t="shared" ref="N527:O527" si="659">-N518</f>
        <v>-3414.8</v>
      </c>
      <c r="O527" s="233">
        <f t="shared" si="659"/>
        <v>-3142.8</v>
      </c>
      <c r="P527" s="88">
        <f t="shared" ref="P527" si="660">-P518</f>
        <v>-2889.9</v>
      </c>
    </row>
    <row r="528" spans="1:16" x14ac:dyDescent="0.2">
      <c r="A528" s="936" t="s">
        <v>4388</v>
      </c>
      <c r="B528" s="231">
        <v>-20428</v>
      </c>
      <c r="C528" s="231">
        <v>-20305</v>
      </c>
      <c r="D528" s="231">
        <f>-Summaries!C20/1000</f>
        <v>-17937.3</v>
      </c>
      <c r="E528" s="231">
        <f>-Summaries!D20/1000</f>
        <v>-19197.599999999999</v>
      </c>
      <c r="F528" s="101">
        <f>-Summaries!E20/1000</f>
        <v>-17162.400000000001</v>
      </c>
      <c r="G528" s="231">
        <f>-Summaries!F20/1000</f>
        <v>-18538.900000000001</v>
      </c>
      <c r="H528" s="231">
        <f>-Summaries!G20/1000</f>
        <v>-18962.900000000001</v>
      </c>
      <c r="I528" s="231">
        <f>-Summaries!H20/1000</f>
        <v>-19434.900000000001</v>
      </c>
      <c r="J528" s="231">
        <f>-Summaries!I20/1000</f>
        <v>-19825.3</v>
      </c>
      <c r="K528" s="231">
        <f>-Summaries!J20/1000</f>
        <v>-20223</v>
      </c>
      <c r="L528" s="231">
        <f>-Summaries!K20/1000</f>
        <v>-20629.2</v>
      </c>
      <c r="M528" s="231">
        <f>-Summaries!L20/1000</f>
        <v>-21042.7</v>
      </c>
      <c r="N528" s="233">
        <f>-Summaries!M20/1000</f>
        <v>-21464.9</v>
      </c>
      <c r="O528" s="233">
        <f>-Summaries!N20/1000</f>
        <v>-21896</v>
      </c>
      <c r="P528" s="88">
        <f>-Summaries!O20/1000</f>
        <v>-22334.799999999999</v>
      </c>
    </row>
    <row r="529" spans="1:16" x14ac:dyDescent="0.2">
      <c r="A529" s="942" t="s">
        <v>2863</v>
      </c>
      <c r="B529" s="905">
        <f t="shared" ref="B529:M529" si="661">SUM(B520:B523)-SUM(B524:B528)</f>
        <v>19556.199999999997</v>
      </c>
      <c r="C529" s="905">
        <f t="shared" si="661"/>
        <v>15657.900000000009</v>
      </c>
      <c r="D529" s="905">
        <f t="shared" si="661"/>
        <v>20275.699999999997</v>
      </c>
      <c r="E529" s="905">
        <f t="shared" si="661"/>
        <v>21756.700000000004</v>
      </c>
      <c r="F529" s="1541">
        <f t="shared" si="661"/>
        <v>23655.9</v>
      </c>
      <c r="G529" s="905">
        <f t="shared" si="661"/>
        <v>24983.599999999999</v>
      </c>
      <c r="H529" s="905">
        <f t="shared" si="661"/>
        <v>26136.1</v>
      </c>
      <c r="I529" s="905">
        <f t="shared" si="661"/>
        <v>27304.9</v>
      </c>
      <c r="J529" s="905">
        <f t="shared" si="661"/>
        <v>28325.300000000003</v>
      </c>
      <c r="K529" s="905">
        <f t="shared" si="661"/>
        <v>29523.900000000009</v>
      </c>
      <c r="L529" s="905">
        <f t="shared" si="661"/>
        <v>30609.89999999998</v>
      </c>
      <c r="M529" s="1046">
        <f t="shared" si="661"/>
        <v>31899.899999999994</v>
      </c>
      <c r="N529" s="1660">
        <f t="shared" ref="N529:O529" si="662">SUM(N520:N523)-SUM(N524:N528)</f>
        <v>32927.399999999994</v>
      </c>
      <c r="O529" s="1660">
        <f t="shared" si="662"/>
        <v>34702.599999999991</v>
      </c>
      <c r="P529" s="1047">
        <f t="shared" ref="P529" si="663">SUM(P520:P523)-SUM(P524:P528)</f>
        <v>36491.100000000006</v>
      </c>
    </row>
    <row r="530" spans="1:16" s="9" customFormat="1" x14ac:dyDescent="0.2">
      <c r="A530" s="942" t="s">
        <v>4236</v>
      </c>
      <c r="B530" s="1492">
        <f t="shared" ref="B530:M530" si="664">B529/B519</f>
        <v>2.4290398708234999</v>
      </c>
      <c r="C530" s="1492">
        <f t="shared" si="664"/>
        <v>1.2515106464607717</v>
      </c>
      <c r="D530" s="1492">
        <f t="shared" si="664"/>
        <v>1.6695101566938662</v>
      </c>
      <c r="E530" s="1492">
        <f t="shared" si="664"/>
        <v>1.7300450070770848</v>
      </c>
      <c r="F530" s="1492">
        <f t="shared" si="664"/>
        <v>1.9312672974716096</v>
      </c>
      <c r="G530" s="1492">
        <f t="shared" si="664"/>
        <v>2.084381074744913</v>
      </c>
      <c r="H530" s="1492">
        <f t="shared" si="664"/>
        <v>2.2833866261291953</v>
      </c>
      <c r="I530" s="1492">
        <f t="shared" si="664"/>
        <v>2.3974589739312151</v>
      </c>
      <c r="J530" s="1492">
        <f t="shared" si="664"/>
        <v>2.8643529614011669</v>
      </c>
      <c r="K530" s="1492">
        <f t="shared" si="664"/>
        <v>2.7919373599251047</v>
      </c>
      <c r="L530" s="1492">
        <f t="shared" si="664"/>
        <v>3.0760936196725903</v>
      </c>
      <c r="M530" s="1492">
        <f t="shared" si="664"/>
        <v>3.5062155834734718</v>
      </c>
      <c r="N530" s="1655">
        <f t="shared" ref="N530:O530" si="665">N529/N519</f>
        <v>3.7717957823113655</v>
      </c>
      <c r="O530" s="1655">
        <f t="shared" si="665"/>
        <v>4.3240959952151901</v>
      </c>
      <c r="P530" s="918">
        <f t="shared" ref="P530" si="666">P529/P519</f>
        <v>4.5803961439975911</v>
      </c>
    </row>
    <row r="531" spans="1:16" x14ac:dyDescent="0.2">
      <c r="A531" s="1278"/>
      <c r="B531" s="1275"/>
      <c r="C531" s="1275"/>
      <c r="D531" s="1275"/>
      <c r="E531" s="1275"/>
      <c r="F531" s="2567"/>
      <c r="G531" s="1275"/>
      <c r="H531" s="1275"/>
      <c r="I531" s="1275"/>
      <c r="J531" s="1275"/>
      <c r="K531" s="1275"/>
      <c r="L531" s="1275"/>
      <c r="M531" s="1668"/>
      <c r="N531" s="1644"/>
      <c r="O531" s="1644"/>
      <c r="P531" s="1279"/>
    </row>
    <row r="532" spans="1:16" s="779" customFormat="1" x14ac:dyDescent="0.2">
      <c r="A532" s="1225" t="s">
        <v>4351</v>
      </c>
      <c r="B532" s="1569"/>
      <c r="C532" s="1569"/>
      <c r="D532" s="1569"/>
      <c r="E532" s="1569"/>
      <c r="F532" s="1569"/>
      <c r="G532" s="1569"/>
      <c r="H532" s="1569"/>
      <c r="I532" s="1569"/>
      <c r="J532" s="1569"/>
      <c r="K532" s="1569"/>
      <c r="L532" s="1569"/>
      <c r="M532" s="1569"/>
      <c r="N532" s="2138"/>
      <c r="O532" s="2138"/>
      <c r="P532" s="1638"/>
    </row>
    <row r="533" spans="1:16" s="779" customFormat="1" x14ac:dyDescent="0.2">
      <c r="A533" s="936" t="s">
        <v>4233</v>
      </c>
      <c r="B533" s="231">
        <f t="shared" ref="B533:M533" si="667">B479</f>
        <v>2475</v>
      </c>
      <c r="C533" s="231">
        <f t="shared" si="667"/>
        <v>3216.2</v>
      </c>
      <c r="D533" s="231">
        <f t="shared" si="667"/>
        <v>3395.4</v>
      </c>
      <c r="E533" s="777">
        <f t="shared" si="667"/>
        <v>3788.9</v>
      </c>
      <c r="F533" s="777">
        <f t="shared" si="667"/>
        <v>3696.2</v>
      </c>
      <c r="G533" s="777">
        <f t="shared" si="667"/>
        <v>3312.8</v>
      </c>
      <c r="H533" s="777">
        <f t="shared" si="667"/>
        <v>3247.8</v>
      </c>
      <c r="I533" s="777">
        <f t="shared" si="667"/>
        <v>3319</v>
      </c>
      <c r="J533" s="777">
        <f t="shared" si="667"/>
        <v>3043</v>
      </c>
      <c r="K533" s="777">
        <f t="shared" si="667"/>
        <v>3542.9</v>
      </c>
      <c r="L533" s="777">
        <f t="shared" si="667"/>
        <v>3084.9</v>
      </c>
      <c r="M533" s="777">
        <f t="shared" si="667"/>
        <v>2350.3000000000002</v>
      </c>
      <c r="N533" s="1654">
        <f t="shared" ref="N533:O533" si="668">N479</f>
        <v>2080.1</v>
      </c>
      <c r="O533" s="1654">
        <f t="shared" si="668"/>
        <v>1452.6</v>
      </c>
      <c r="P533" s="776">
        <f t="shared" ref="P533" si="669">P479</f>
        <v>1449.9</v>
      </c>
    </row>
    <row r="534" spans="1:16" s="779" customFormat="1" x14ac:dyDescent="0.2">
      <c r="A534" s="936" t="s">
        <v>4234</v>
      </c>
      <c r="B534" s="231">
        <f t="shared" ref="B534:M534" si="670">B480</f>
        <v>889</v>
      </c>
      <c r="C534" s="231">
        <f t="shared" si="670"/>
        <v>1749</v>
      </c>
      <c r="D534" s="231">
        <f t="shared" si="670"/>
        <v>1564.6</v>
      </c>
      <c r="E534" s="777">
        <f t="shared" si="670"/>
        <v>1334.3</v>
      </c>
      <c r="F534" s="777">
        <f t="shared" si="670"/>
        <v>1152.2</v>
      </c>
      <c r="G534" s="777">
        <f t="shared" si="670"/>
        <v>1327.8</v>
      </c>
      <c r="H534" s="777">
        <f t="shared" si="670"/>
        <v>1186.0999999999999</v>
      </c>
      <c r="I534" s="777">
        <f t="shared" si="670"/>
        <v>1122.8</v>
      </c>
      <c r="J534" s="777">
        <f t="shared" si="670"/>
        <v>952.6</v>
      </c>
      <c r="K534" s="777">
        <f t="shared" si="670"/>
        <v>1138.5</v>
      </c>
      <c r="L534" s="777">
        <f t="shared" si="670"/>
        <v>972.7</v>
      </c>
      <c r="M534" s="777">
        <f t="shared" si="670"/>
        <v>854.5</v>
      </c>
      <c r="N534" s="1654">
        <f t="shared" ref="N534:O534" si="671">N480</f>
        <v>756.5</v>
      </c>
      <c r="O534" s="1654">
        <f t="shared" si="671"/>
        <v>679.5</v>
      </c>
      <c r="P534" s="776">
        <f t="shared" ref="P534" si="672">P480</f>
        <v>623.6</v>
      </c>
    </row>
    <row r="535" spans="1:16" s="4" customFormat="1" x14ac:dyDescent="0.2">
      <c r="A535" s="942" t="s">
        <v>2864</v>
      </c>
      <c r="B535" s="788">
        <f t="shared" ref="B535:M535" si="673">SUM(B533:B534)</f>
        <v>3364</v>
      </c>
      <c r="C535" s="788">
        <f t="shared" si="673"/>
        <v>4965.2</v>
      </c>
      <c r="D535" s="788">
        <f t="shared" si="673"/>
        <v>4960</v>
      </c>
      <c r="E535" s="788">
        <f t="shared" si="673"/>
        <v>5123.2</v>
      </c>
      <c r="F535" s="788">
        <f t="shared" si="673"/>
        <v>4848.3999999999996</v>
      </c>
      <c r="G535" s="788">
        <f t="shared" si="673"/>
        <v>4640.6000000000004</v>
      </c>
      <c r="H535" s="788">
        <f t="shared" si="673"/>
        <v>4433.8999999999996</v>
      </c>
      <c r="I535" s="788">
        <f t="shared" si="673"/>
        <v>4441.8</v>
      </c>
      <c r="J535" s="788">
        <f t="shared" si="673"/>
        <v>3995.6</v>
      </c>
      <c r="K535" s="788">
        <f t="shared" si="673"/>
        <v>4681.3999999999996</v>
      </c>
      <c r="L535" s="788">
        <f t="shared" si="673"/>
        <v>4057.6000000000004</v>
      </c>
      <c r="M535" s="788">
        <f t="shared" si="673"/>
        <v>3204.8</v>
      </c>
      <c r="N535" s="1661">
        <f t="shared" ref="N535:O535" si="674">SUM(N533:N534)</f>
        <v>2836.6</v>
      </c>
      <c r="O535" s="1661">
        <f t="shared" si="674"/>
        <v>2132.1</v>
      </c>
      <c r="P535" s="789">
        <f t="shared" ref="P535" si="675">SUM(P533:P534)</f>
        <v>2073.5</v>
      </c>
    </row>
    <row r="536" spans="1:16" x14ac:dyDescent="0.2">
      <c r="A536" s="818" t="s">
        <v>4243</v>
      </c>
      <c r="B536" s="231">
        <f t="shared" ref="B536:O536" si="676">B302</f>
        <v>88988</v>
      </c>
      <c r="C536" s="231">
        <f t="shared" si="676"/>
        <v>56961</v>
      </c>
      <c r="D536" s="231">
        <f t="shared" si="676"/>
        <v>60810.8</v>
      </c>
      <c r="E536" s="231">
        <f t="shared" si="676"/>
        <v>61040.1</v>
      </c>
      <c r="F536" s="101">
        <f t="shared" si="676"/>
        <v>65146.7</v>
      </c>
      <c r="G536" s="231">
        <f t="shared" si="676"/>
        <v>68881.3</v>
      </c>
      <c r="H536" s="231">
        <f t="shared" si="676"/>
        <v>63080.800000000003</v>
      </c>
      <c r="I536" s="231">
        <f t="shared" si="676"/>
        <v>63583.4</v>
      </c>
      <c r="J536" s="231">
        <f t="shared" si="676"/>
        <v>70476.800000000003</v>
      </c>
      <c r="K536" s="231">
        <f t="shared" si="676"/>
        <v>72792.3</v>
      </c>
      <c r="L536" s="231">
        <f t="shared" si="676"/>
        <v>63834</v>
      </c>
      <c r="M536" s="949">
        <f t="shared" si="676"/>
        <v>66266.5</v>
      </c>
      <c r="N536" s="971">
        <f t="shared" si="676"/>
        <v>67166.8</v>
      </c>
      <c r="O536" s="971">
        <f t="shared" si="676"/>
        <v>69616.100000000006</v>
      </c>
      <c r="P536" s="950">
        <f t="shared" ref="P536" si="677">P302</f>
        <v>72095.899999999994</v>
      </c>
    </row>
    <row r="537" spans="1:16" x14ac:dyDescent="0.2">
      <c r="A537" s="818" t="s">
        <v>4382</v>
      </c>
      <c r="B537" s="231">
        <f t="shared" ref="B537:O537" si="678">B304</f>
        <v>0</v>
      </c>
      <c r="C537" s="231">
        <f t="shared" si="678"/>
        <v>0</v>
      </c>
      <c r="D537" s="231">
        <f t="shared" si="678"/>
        <v>0</v>
      </c>
      <c r="E537" s="231">
        <f t="shared" si="678"/>
        <v>0</v>
      </c>
      <c r="F537" s="101">
        <f t="shared" si="678"/>
        <v>0</v>
      </c>
      <c r="G537" s="231">
        <f t="shared" si="678"/>
        <v>0</v>
      </c>
      <c r="H537" s="231">
        <f t="shared" si="678"/>
        <v>0</v>
      </c>
      <c r="I537" s="231">
        <f t="shared" si="678"/>
        <v>0</v>
      </c>
      <c r="J537" s="231">
        <f t="shared" si="678"/>
        <v>0</v>
      </c>
      <c r="K537" s="231">
        <f t="shared" si="678"/>
        <v>0</v>
      </c>
      <c r="L537" s="231">
        <f t="shared" si="678"/>
        <v>0</v>
      </c>
      <c r="M537" s="231">
        <f t="shared" si="678"/>
        <v>0</v>
      </c>
      <c r="N537" s="233">
        <f t="shared" si="678"/>
        <v>0</v>
      </c>
      <c r="O537" s="233">
        <f t="shared" si="678"/>
        <v>0</v>
      </c>
      <c r="P537" s="88">
        <f t="shared" ref="P537" si="679">P304</f>
        <v>0</v>
      </c>
    </row>
    <row r="538" spans="1:16" x14ac:dyDescent="0.2">
      <c r="A538" s="818" t="s">
        <v>4381</v>
      </c>
      <c r="B538" s="231">
        <f t="shared" ref="B538:O538" si="680">B305</f>
        <v>-414</v>
      </c>
      <c r="C538" s="231">
        <f t="shared" si="680"/>
        <v>-333</v>
      </c>
      <c r="D538" s="231">
        <f t="shared" si="680"/>
        <v>0</v>
      </c>
      <c r="E538" s="231">
        <f t="shared" si="680"/>
        <v>0</v>
      </c>
      <c r="F538" s="101">
        <f t="shared" si="680"/>
        <v>0</v>
      </c>
      <c r="G538" s="231">
        <f t="shared" si="680"/>
        <v>0</v>
      </c>
      <c r="H538" s="231">
        <f t="shared" si="680"/>
        <v>0</v>
      </c>
      <c r="I538" s="231">
        <f t="shared" si="680"/>
        <v>0</v>
      </c>
      <c r="J538" s="231">
        <f t="shared" si="680"/>
        <v>0</v>
      </c>
      <c r="K538" s="231">
        <f t="shared" si="680"/>
        <v>0</v>
      </c>
      <c r="L538" s="231">
        <f t="shared" si="680"/>
        <v>0</v>
      </c>
      <c r="M538" s="231">
        <f t="shared" si="680"/>
        <v>0</v>
      </c>
      <c r="N538" s="233">
        <f t="shared" si="680"/>
        <v>0</v>
      </c>
      <c r="O538" s="233">
        <f t="shared" si="680"/>
        <v>0</v>
      </c>
      <c r="P538" s="88">
        <f t="shared" ref="P538" si="681">P305</f>
        <v>0</v>
      </c>
    </row>
    <row r="539" spans="1:16" x14ac:dyDescent="0.2">
      <c r="A539" s="936" t="s">
        <v>4376</v>
      </c>
      <c r="B539" s="231">
        <f t="shared" ref="B539:O539" si="682">B306</f>
        <v>-37059</v>
      </c>
      <c r="C539" s="231">
        <f t="shared" si="682"/>
        <v>-10914</v>
      </c>
      <c r="D539" s="231">
        <f t="shared" si="682"/>
        <v>-12768</v>
      </c>
      <c r="E539" s="231">
        <f t="shared" si="682"/>
        <v>-11484.1</v>
      </c>
      <c r="F539" s="101">
        <f t="shared" si="682"/>
        <v>-11588.7</v>
      </c>
      <c r="G539" s="231">
        <f t="shared" si="682"/>
        <v>-17478.8</v>
      </c>
      <c r="H539" s="231">
        <f t="shared" si="682"/>
        <v>-10117.299999999999</v>
      </c>
      <c r="I539" s="231">
        <f t="shared" si="682"/>
        <v>-7928.1</v>
      </c>
      <c r="J539" s="231">
        <f t="shared" si="682"/>
        <v>-13946.7</v>
      </c>
      <c r="K539" s="231">
        <f t="shared" si="682"/>
        <v>-14225</v>
      </c>
      <c r="L539" s="231">
        <f t="shared" si="682"/>
        <v>-4508.8</v>
      </c>
      <c r="M539" s="231">
        <f t="shared" si="682"/>
        <v>-4597.1000000000004</v>
      </c>
      <c r="N539" s="233">
        <f t="shared" si="682"/>
        <v>-4688.8</v>
      </c>
      <c r="O539" s="233">
        <f t="shared" si="682"/>
        <v>-4782</v>
      </c>
      <c r="P539" s="88">
        <f t="shared" ref="P539" si="683">P306</f>
        <v>-4876.8999999999996</v>
      </c>
    </row>
    <row r="540" spans="1:16" x14ac:dyDescent="0.2">
      <c r="A540" s="936" t="s">
        <v>4249</v>
      </c>
      <c r="B540" s="231">
        <f t="shared" ref="B540:O540" si="684">B309</f>
        <v>59257</v>
      </c>
      <c r="C540" s="231">
        <f t="shared" si="684"/>
        <v>56596</v>
      </c>
      <c r="D540" s="231">
        <f t="shared" si="684"/>
        <v>51127</v>
      </c>
      <c r="E540" s="231">
        <f t="shared" si="684"/>
        <v>53160.9</v>
      </c>
      <c r="F540" s="101">
        <f t="shared" si="684"/>
        <v>53921.5</v>
      </c>
      <c r="G540" s="231">
        <f t="shared" si="684"/>
        <v>51937.4</v>
      </c>
      <c r="H540" s="231">
        <f t="shared" si="684"/>
        <v>52776.3</v>
      </c>
      <c r="I540" s="231">
        <f t="shared" si="684"/>
        <v>54917.8</v>
      </c>
      <c r="J540" s="231">
        <f t="shared" si="684"/>
        <v>55559</v>
      </c>
      <c r="K540" s="231">
        <f t="shared" si="684"/>
        <v>57470.3</v>
      </c>
      <c r="L540" s="231">
        <f t="shared" si="684"/>
        <v>57728.3</v>
      </c>
      <c r="M540" s="231">
        <f t="shared" si="684"/>
        <v>59662.9</v>
      </c>
      <c r="N540" s="233">
        <f t="shared" si="684"/>
        <v>60381.5</v>
      </c>
      <c r="O540" s="233">
        <f t="shared" si="684"/>
        <v>62107.4</v>
      </c>
      <c r="P540" s="88">
        <f t="shared" ref="P540" si="685">P309</f>
        <v>63933.4</v>
      </c>
    </row>
    <row r="541" spans="1:16" x14ac:dyDescent="0.2">
      <c r="A541" s="818" t="s">
        <v>4389</v>
      </c>
      <c r="B541" s="231">
        <f t="shared" ref="B541:O541" si="686">B311</f>
        <v>-3171</v>
      </c>
      <c r="C541" s="231">
        <f t="shared" si="686"/>
        <v>-2617</v>
      </c>
      <c r="D541" s="231">
        <f t="shared" si="686"/>
        <v>0</v>
      </c>
      <c r="E541" s="231">
        <f t="shared" si="686"/>
        <v>-569</v>
      </c>
      <c r="F541" s="101">
        <f t="shared" si="686"/>
        <v>-100</v>
      </c>
      <c r="G541" s="231">
        <f t="shared" si="686"/>
        <v>-100</v>
      </c>
      <c r="H541" s="231">
        <f t="shared" si="686"/>
        <v>-100</v>
      </c>
      <c r="I541" s="231">
        <f t="shared" si="686"/>
        <v>-100</v>
      </c>
      <c r="J541" s="231">
        <f t="shared" si="686"/>
        <v>-100</v>
      </c>
      <c r="K541" s="231">
        <f t="shared" si="686"/>
        <v>-100</v>
      </c>
      <c r="L541" s="231">
        <f t="shared" si="686"/>
        <v>-100</v>
      </c>
      <c r="M541" s="231">
        <f t="shared" si="686"/>
        <v>-100</v>
      </c>
      <c r="N541" s="233">
        <f t="shared" si="686"/>
        <v>-100</v>
      </c>
      <c r="O541" s="233">
        <f t="shared" si="686"/>
        <v>-100</v>
      </c>
      <c r="P541" s="88">
        <f t="shared" ref="P541" si="687">P311</f>
        <v>-100</v>
      </c>
    </row>
    <row r="542" spans="1:16" x14ac:dyDescent="0.2">
      <c r="A542" s="818" t="s">
        <v>4390</v>
      </c>
      <c r="B542" s="231">
        <f t="shared" ref="B542:O542" si="688">B312</f>
        <v>-2745</v>
      </c>
      <c r="C542" s="231">
        <f t="shared" si="688"/>
        <v>0</v>
      </c>
      <c r="D542" s="231">
        <f t="shared" si="688"/>
        <v>0</v>
      </c>
      <c r="E542" s="231">
        <f t="shared" si="688"/>
        <v>-163</v>
      </c>
      <c r="F542" s="101">
        <f t="shared" si="688"/>
        <v>0</v>
      </c>
      <c r="G542" s="231">
        <f t="shared" si="688"/>
        <v>0</v>
      </c>
      <c r="H542" s="231">
        <f t="shared" si="688"/>
        <v>0</v>
      </c>
      <c r="I542" s="231">
        <f t="shared" si="688"/>
        <v>0</v>
      </c>
      <c r="J542" s="231">
        <f t="shared" si="688"/>
        <v>0</v>
      </c>
      <c r="K542" s="231">
        <f t="shared" si="688"/>
        <v>0</v>
      </c>
      <c r="L542" s="231">
        <f t="shared" si="688"/>
        <v>0</v>
      </c>
      <c r="M542" s="231">
        <f t="shared" si="688"/>
        <v>0</v>
      </c>
      <c r="N542" s="233">
        <f t="shared" si="688"/>
        <v>0</v>
      </c>
      <c r="O542" s="233">
        <f t="shared" si="688"/>
        <v>0</v>
      </c>
      <c r="P542" s="88">
        <f t="shared" ref="P542" si="689">P312</f>
        <v>0</v>
      </c>
    </row>
    <row r="543" spans="1:16" x14ac:dyDescent="0.2">
      <c r="A543" s="936" t="s">
        <v>4387</v>
      </c>
      <c r="B543" s="231">
        <f t="shared" ref="B543:M543" si="690">-B534</f>
        <v>-889</v>
      </c>
      <c r="C543" s="231">
        <f t="shared" si="690"/>
        <v>-1749</v>
      </c>
      <c r="D543" s="231">
        <f t="shared" si="690"/>
        <v>-1564.6</v>
      </c>
      <c r="E543" s="231">
        <f t="shared" si="690"/>
        <v>-1334.3</v>
      </c>
      <c r="F543" s="101">
        <f t="shared" si="690"/>
        <v>-1152.2</v>
      </c>
      <c r="G543" s="231">
        <f t="shared" si="690"/>
        <v>-1327.8</v>
      </c>
      <c r="H543" s="231">
        <f t="shared" si="690"/>
        <v>-1186.0999999999999</v>
      </c>
      <c r="I543" s="231">
        <f t="shared" si="690"/>
        <v>-1122.8</v>
      </c>
      <c r="J543" s="231">
        <f t="shared" si="690"/>
        <v>-952.6</v>
      </c>
      <c r="K543" s="231">
        <f t="shared" si="690"/>
        <v>-1138.5</v>
      </c>
      <c r="L543" s="231">
        <f t="shared" si="690"/>
        <v>-972.7</v>
      </c>
      <c r="M543" s="231">
        <f t="shared" si="690"/>
        <v>-854.5</v>
      </c>
      <c r="N543" s="233">
        <f t="shared" ref="N543:O543" si="691">-N534</f>
        <v>-756.5</v>
      </c>
      <c r="O543" s="233">
        <f t="shared" si="691"/>
        <v>-679.5</v>
      </c>
      <c r="P543" s="88">
        <f t="shared" ref="P543" si="692">-P534</f>
        <v>-623.6</v>
      </c>
    </row>
    <row r="544" spans="1:16" x14ac:dyDescent="0.2">
      <c r="A544" s="936" t="s">
        <v>4388</v>
      </c>
      <c r="B544" s="231">
        <v>-15704</v>
      </c>
      <c r="C544" s="231">
        <v>-15803</v>
      </c>
      <c r="D544" s="231">
        <f>-Summaries!Q20/1000</f>
        <v>-14144.3</v>
      </c>
      <c r="E544" s="231">
        <f>-Summaries!R20/1000</f>
        <v>-14166.8</v>
      </c>
      <c r="F544" s="101">
        <f>-Summaries!S20/1000</f>
        <v>-13056.4</v>
      </c>
      <c r="G544" s="231">
        <f>-Summaries!T20/1000</f>
        <v>-13383.9</v>
      </c>
      <c r="H544" s="231">
        <f>-Summaries!U20/1000</f>
        <v>-13704.3</v>
      </c>
      <c r="I544" s="231">
        <f>-Summaries!V20/1000</f>
        <v>-14071.1</v>
      </c>
      <c r="J544" s="231">
        <f>-Summaries!W20/1000</f>
        <v>-14353.7</v>
      </c>
      <c r="K544" s="231">
        <f>-Summaries!X20/1000</f>
        <v>-14642.1</v>
      </c>
      <c r="L544" s="231">
        <f>-Summaries!Y20/1000</f>
        <v>-14936.4</v>
      </c>
      <c r="M544" s="899">
        <f>-Summaries!Z20/1000</f>
        <v>-15236.4</v>
      </c>
      <c r="N544" s="900">
        <f>-Summaries!AA20/1000</f>
        <v>-15542.5</v>
      </c>
      <c r="O544" s="900">
        <f>-Summaries!AB20/1000</f>
        <v>-15854.8</v>
      </c>
      <c r="P544" s="901">
        <f>-Summaries!AC20/1000</f>
        <v>-16173.2</v>
      </c>
    </row>
    <row r="545" spans="1:16" s="4" customFormat="1" x14ac:dyDescent="0.2">
      <c r="A545" s="942" t="s">
        <v>2863</v>
      </c>
      <c r="B545" s="905">
        <f t="shared" ref="B545:M545" si="693">SUM(B536:B539)-SUM(B540:B544)</f>
        <v>14767</v>
      </c>
      <c r="C545" s="905">
        <f t="shared" si="693"/>
        <v>9287</v>
      </c>
      <c r="D545" s="905">
        <f t="shared" si="693"/>
        <v>12624.699999999997</v>
      </c>
      <c r="E545" s="905">
        <f t="shared" si="693"/>
        <v>12628.199999999997</v>
      </c>
      <c r="F545" s="1541">
        <f t="shared" si="693"/>
        <v>13945.099999999999</v>
      </c>
      <c r="G545" s="905">
        <f t="shared" si="693"/>
        <v>14276.800000000003</v>
      </c>
      <c r="H545" s="905">
        <f t="shared" si="693"/>
        <v>15177.599999999991</v>
      </c>
      <c r="I545" s="905">
        <f t="shared" si="693"/>
        <v>16031.400000000001</v>
      </c>
      <c r="J545" s="905">
        <f t="shared" si="693"/>
        <v>16377.400000000009</v>
      </c>
      <c r="K545" s="905">
        <f t="shared" si="693"/>
        <v>16977.599999999999</v>
      </c>
      <c r="L545" s="905">
        <f t="shared" si="693"/>
        <v>17605.999999999993</v>
      </c>
      <c r="M545" s="1046">
        <f t="shared" si="693"/>
        <v>18197.400000000001</v>
      </c>
      <c r="N545" s="1660">
        <f t="shared" ref="N545:O545" si="694">SUM(N536:N539)-SUM(N540:N544)</f>
        <v>18495.5</v>
      </c>
      <c r="O545" s="1660">
        <f t="shared" si="694"/>
        <v>19361</v>
      </c>
      <c r="P545" s="1047">
        <f t="shared" ref="P545" si="695">SUM(P536:P539)-SUM(P540:P544)</f>
        <v>20182.399999999994</v>
      </c>
    </row>
    <row r="546" spans="1:16" s="2" customFormat="1" x14ac:dyDescent="0.2">
      <c r="A546" s="942" t="s">
        <v>4352</v>
      </c>
      <c r="B546" s="1492">
        <f t="shared" ref="B546:M546" si="696">B545/B535</f>
        <v>4.3897146254458974</v>
      </c>
      <c r="C546" s="1492">
        <f t="shared" si="696"/>
        <v>1.8704181100459196</v>
      </c>
      <c r="D546" s="1492">
        <f t="shared" si="696"/>
        <v>2.5453024193548379</v>
      </c>
      <c r="E546" s="1492">
        <f t="shared" si="696"/>
        <v>2.464904747033104</v>
      </c>
      <c r="F546" s="1492">
        <f t="shared" si="696"/>
        <v>2.8762272089761569</v>
      </c>
      <c r="G546" s="1492">
        <f t="shared" si="696"/>
        <v>3.0764987286126799</v>
      </c>
      <c r="H546" s="1492">
        <f t="shared" si="696"/>
        <v>3.4230812602900365</v>
      </c>
      <c r="I546" s="1492">
        <f t="shared" si="696"/>
        <v>3.6092124814264488</v>
      </c>
      <c r="J546" s="1492">
        <f t="shared" si="696"/>
        <v>4.0988587446190836</v>
      </c>
      <c r="K546" s="1492">
        <f t="shared" si="696"/>
        <v>3.6266074251292348</v>
      </c>
      <c r="L546" s="1492">
        <f t="shared" si="696"/>
        <v>4.3390181388012596</v>
      </c>
      <c r="M546" s="1492">
        <f t="shared" si="696"/>
        <v>5.6781702446330504</v>
      </c>
      <c r="N546" s="1655">
        <f t="shared" ref="N546:O546" si="697">N545/N535</f>
        <v>6.520306000141014</v>
      </c>
      <c r="O546" s="1655">
        <f t="shared" si="697"/>
        <v>9.0807185404061723</v>
      </c>
      <c r="P546" s="918">
        <f t="shared" ref="P546" si="698">P545/P535</f>
        <v>9.7334940921147783</v>
      </c>
    </row>
    <row r="547" spans="1:16" x14ac:dyDescent="0.2">
      <c r="A547" s="1278"/>
      <c r="B547" s="1275"/>
      <c r="C547" s="1275"/>
      <c r="D547" s="1275"/>
      <c r="E547" s="1275"/>
      <c r="F547" s="2567"/>
      <c r="G547" s="1275"/>
      <c r="H547" s="1275"/>
      <c r="I547" s="1275"/>
      <c r="J547" s="1275"/>
      <c r="K547" s="1275"/>
      <c r="L547" s="1275"/>
      <c r="M547" s="1668"/>
      <c r="N547" s="1644"/>
      <c r="O547" s="1644"/>
      <c r="P547" s="1279"/>
    </row>
    <row r="548" spans="1:16" x14ac:dyDescent="0.2">
      <c r="A548" s="1225" t="s">
        <v>4320</v>
      </c>
      <c r="B548" s="231"/>
      <c r="C548" s="231"/>
      <c r="D548" s="231"/>
      <c r="E548" s="231"/>
      <c r="F548" s="101"/>
      <c r="G548" s="231"/>
      <c r="H548" s="231"/>
      <c r="I548" s="231"/>
      <c r="J548" s="231"/>
      <c r="K548" s="231"/>
      <c r="L548" s="231"/>
      <c r="M548" s="949"/>
      <c r="N548" s="971"/>
      <c r="O548" s="971"/>
      <c r="P548" s="950"/>
    </row>
    <row r="549" spans="1:16" x14ac:dyDescent="0.2">
      <c r="A549" s="936" t="s">
        <v>4233</v>
      </c>
      <c r="B549" s="231">
        <f t="shared" ref="B549:M549" si="699">B491</f>
        <v>0</v>
      </c>
      <c r="C549" s="231">
        <f t="shared" si="699"/>
        <v>0</v>
      </c>
      <c r="D549" s="231">
        <f t="shared" si="699"/>
        <v>0</v>
      </c>
      <c r="E549" s="231">
        <f t="shared" si="699"/>
        <v>0</v>
      </c>
      <c r="F549" s="101">
        <f t="shared" si="699"/>
        <v>0</v>
      </c>
      <c r="G549" s="231">
        <f t="shared" si="699"/>
        <v>0</v>
      </c>
      <c r="H549" s="231">
        <f t="shared" si="699"/>
        <v>0</v>
      </c>
      <c r="I549" s="231">
        <f t="shared" si="699"/>
        <v>0</v>
      </c>
      <c r="J549" s="231">
        <f t="shared" si="699"/>
        <v>0</v>
      </c>
      <c r="K549" s="231">
        <f t="shared" si="699"/>
        <v>0</v>
      </c>
      <c r="L549" s="231">
        <f t="shared" si="699"/>
        <v>0</v>
      </c>
      <c r="M549" s="949">
        <f t="shared" si="699"/>
        <v>0</v>
      </c>
      <c r="N549" s="971">
        <f t="shared" ref="N549:O549" si="700">N491</f>
        <v>0</v>
      </c>
      <c r="O549" s="971">
        <f t="shared" si="700"/>
        <v>0</v>
      </c>
      <c r="P549" s="950">
        <f t="shared" ref="P549" si="701">P491</f>
        <v>0</v>
      </c>
    </row>
    <row r="550" spans="1:16" x14ac:dyDescent="0.2">
      <c r="A550" s="936" t="s">
        <v>4234</v>
      </c>
      <c r="B550" s="231">
        <f t="shared" ref="B550:M550" si="702">B492</f>
        <v>0</v>
      </c>
      <c r="C550" s="231">
        <f t="shared" si="702"/>
        <v>0</v>
      </c>
      <c r="D550" s="231">
        <f t="shared" si="702"/>
        <v>0</v>
      </c>
      <c r="E550" s="231">
        <f t="shared" si="702"/>
        <v>0</v>
      </c>
      <c r="F550" s="101">
        <f t="shared" si="702"/>
        <v>0</v>
      </c>
      <c r="G550" s="231">
        <f t="shared" si="702"/>
        <v>0</v>
      </c>
      <c r="H550" s="231">
        <f t="shared" si="702"/>
        <v>0</v>
      </c>
      <c r="I550" s="231">
        <f t="shared" si="702"/>
        <v>0</v>
      </c>
      <c r="J550" s="231">
        <f t="shared" si="702"/>
        <v>0</v>
      </c>
      <c r="K550" s="231">
        <f t="shared" si="702"/>
        <v>0</v>
      </c>
      <c r="L550" s="231">
        <f t="shared" si="702"/>
        <v>0</v>
      </c>
      <c r="M550" s="949">
        <f t="shared" si="702"/>
        <v>0</v>
      </c>
      <c r="N550" s="971">
        <f t="shared" ref="N550:O550" si="703">N492</f>
        <v>0</v>
      </c>
      <c r="O550" s="971">
        <f t="shared" si="703"/>
        <v>0</v>
      </c>
      <c r="P550" s="950">
        <f t="shared" ref="P550" si="704">P492</f>
        <v>0</v>
      </c>
    </row>
    <row r="551" spans="1:16" x14ac:dyDescent="0.2">
      <c r="A551" s="942" t="s">
        <v>2864</v>
      </c>
      <c r="B551" s="905">
        <f t="shared" ref="B551:M551" si="705">SUM(B549:B550)</f>
        <v>0</v>
      </c>
      <c r="C551" s="905">
        <f t="shared" si="705"/>
        <v>0</v>
      </c>
      <c r="D551" s="905">
        <f t="shared" si="705"/>
        <v>0</v>
      </c>
      <c r="E551" s="905">
        <f t="shared" si="705"/>
        <v>0</v>
      </c>
      <c r="F551" s="1541">
        <f t="shared" si="705"/>
        <v>0</v>
      </c>
      <c r="G551" s="905">
        <f t="shared" si="705"/>
        <v>0</v>
      </c>
      <c r="H551" s="905">
        <f t="shared" si="705"/>
        <v>0</v>
      </c>
      <c r="I551" s="905">
        <f t="shared" si="705"/>
        <v>0</v>
      </c>
      <c r="J551" s="905">
        <f t="shared" si="705"/>
        <v>0</v>
      </c>
      <c r="K551" s="905">
        <f t="shared" si="705"/>
        <v>0</v>
      </c>
      <c r="L551" s="905">
        <f t="shared" si="705"/>
        <v>0</v>
      </c>
      <c r="M551" s="1046">
        <f t="shared" si="705"/>
        <v>0</v>
      </c>
      <c r="N551" s="1660">
        <f t="shared" ref="N551:O551" si="706">SUM(N549:N550)</f>
        <v>0</v>
      </c>
      <c r="O551" s="1660">
        <f t="shared" si="706"/>
        <v>0</v>
      </c>
      <c r="P551" s="1047">
        <f t="shared" ref="P551" si="707">SUM(P549:P550)</f>
        <v>0</v>
      </c>
    </row>
    <row r="552" spans="1:16" x14ac:dyDescent="0.2">
      <c r="A552" s="818" t="s">
        <v>4243</v>
      </c>
      <c r="B552" s="231">
        <f t="shared" ref="B552:O552" si="708">B319</f>
        <v>10641</v>
      </c>
      <c r="C552" s="231">
        <f t="shared" si="708"/>
        <v>11327.6</v>
      </c>
      <c r="D552" s="231">
        <f t="shared" si="708"/>
        <v>11656.8</v>
      </c>
      <c r="E552" s="231">
        <f t="shared" si="708"/>
        <v>12259</v>
      </c>
      <c r="F552" s="101">
        <f t="shared" si="708"/>
        <v>12833</v>
      </c>
      <c r="G552" s="231">
        <f t="shared" si="708"/>
        <v>12929.3</v>
      </c>
      <c r="H552" s="231">
        <f t="shared" si="708"/>
        <v>13235.3</v>
      </c>
      <c r="I552" s="231">
        <f t="shared" si="708"/>
        <v>13525.2</v>
      </c>
      <c r="J552" s="231">
        <f t="shared" si="708"/>
        <v>14011.7</v>
      </c>
      <c r="K552" s="231">
        <f t="shared" si="708"/>
        <v>14566.3</v>
      </c>
      <c r="L552" s="231">
        <f t="shared" si="708"/>
        <v>15026.3</v>
      </c>
      <c r="M552" s="949">
        <f t="shared" si="708"/>
        <v>15554.9</v>
      </c>
      <c r="N552" s="971">
        <f t="shared" si="708"/>
        <v>16132.7</v>
      </c>
      <c r="O552" s="971">
        <f t="shared" si="708"/>
        <v>16742.3</v>
      </c>
      <c r="P552" s="950">
        <f t="shared" ref="P552" si="709">P319</f>
        <v>17459.099999999999</v>
      </c>
    </row>
    <row r="553" spans="1:16" x14ac:dyDescent="0.2">
      <c r="A553" s="818" t="s">
        <v>4382</v>
      </c>
      <c r="B553" s="231">
        <f t="shared" ref="B553:O553" si="710">B320</f>
        <v>0</v>
      </c>
      <c r="C553" s="231">
        <f t="shared" si="710"/>
        <v>0</v>
      </c>
      <c r="D553" s="231">
        <f t="shared" si="710"/>
        <v>0</v>
      </c>
      <c r="E553" s="231">
        <f t="shared" si="710"/>
        <v>0</v>
      </c>
      <c r="F553" s="101">
        <f t="shared" si="710"/>
        <v>0</v>
      </c>
      <c r="G553" s="231">
        <f t="shared" si="710"/>
        <v>0</v>
      </c>
      <c r="H553" s="231">
        <f t="shared" si="710"/>
        <v>0</v>
      </c>
      <c r="I553" s="231">
        <f t="shared" si="710"/>
        <v>0</v>
      </c>
      <c r="J553" s="231">
        <f t="shared" si="710"/>
        <v>0</v>
      </c>
      <c r="K553" s="231">
        <f t="shared" si="710"/>
        <v>0</v>
      </c>
      <c r="L553" s="231">
        <f t="shared" si="710"/>
        <v>0</v>
      </c>
      <c r="M553" s="231">
        <f t="shared" si="710"/>
        <v>0</v>
      </c>
      <c r="N553" s="233">
        <f t="shared" si="710"/>
        <v>0</v>
      </c>
      <c r="O553" s="233">
        <f t="shared" si="710"/>
        <v>0</v>
      </c>
      <c r="P553" s="88">
        <f t="shared" ref="P553" si="711">P320</f>
        <v>0</v>
      </c>
    </row>
    <row r="554" spans="1:16" x14ac:dyDescent="0.2">
      <c r="A554" s="818" t="s">
        <v>4381</v>
      </c>
      <c r="B554" s="231">
        <f t="shared" ref="B554:O554" si="712">B321</f>
        <v>0</v>
      </c>
      <c r="C554" s="231">
        <f t="shared" si="712"/>
        <v>0</v>
      </c>
      <c r="D554" s="231">
        <f t="shared" si="712"/>
        <v>0</v>
      </c>
      <c r="E554" s="231">
        <f t="shared" si="712"/>
        <v>0</v>
      </c>
      <c r="F554" s="101">
        <f t="shared" si="712"/>
        <v>0</v>
      </c>
      <c r="G554" s="231">
        <f t="shared" si="712"/>
        <v>0</v>
      </c>
      <c r="H554" s="231">
        <f t="shared" si="712"/>
        <v>0</v>
      </c>
      <c r="I554" s="231">
        <f t="shared" si="712"/>
        <v>0</v>
      </c>
      <c r="J554" s="231">
        <f t="shared" si="712"/>
        <v>0</v>
      </c>
      <c r="K554" s="231">
        <f t="shared" si="712"/>
        <v>0</v>
      </c>
      <c r="L554" s="231">
        <f t="shared" si="712"/>
        <v>0</v>
      </c>
      <c r="M554" s="231">
        <f t="shared" si="712"/>
        <v>0</v>
      </c>
      <c r="N554" s="233">
        <f t="shared" si="712"/>
        <v>0</v>
      </c>
      <c r="O554" s="233">
        <f t="shared" si="712"/>
        <v>0</v>
      </c>
      <c r="P554" s="88">
        <f t="shared" ref="P554" si="713">P321</f>
        <v>0</v>
      </c>
    </row>
    <row r="555" spans="1:16" x14ac:dyDescent="0.2">
      <c r="A555" s="936" t="s">
        <v>4376</v>
      </c>
      <c r="B555" s="231">
        <f t="shared" ref="B555:O555" si="714">B322</f>
        <v>-1008</v>
      </c>
      <c r="C555" s="231">
        <f t="shared" si="714"/>
        <v>-638.5</v>
      </c>
      <c r="D555" s="231">
        <f t="shared" si="714"/>
        <v>-763.3</v>
      </c>
      <c r="E555" s="231">
        <f t="shared" si="714"/>
        <v>-1059.9000000000001</v>
      </c>
      <c r="F555" s="101">
        <f t="shared" si="714"/>
        <v>-919.4</v>
      </c>
      <c r="G555" s="231">
        <f t="shared" si="714"/>
        <v>-775</v>
      </c>
      <c r="H555" s="231">
        <f t="shared" si="714"/>
        <v>-800</v>
      </c>
      <c r="I555" s="231">
        <f t="shared" si="714"/>
        <v>-820</v>
      </c>
      <c r="J555" s="231">
        <f t="shared" si="714"/>
        <v>-840</v>
      </c>
      <c r="K555" s="231">
        <f t="shared" si="714"/>
        <v>-860</v>
      </c>
      <c r="L555" s="231">
        <f t="shared" si="714"/>
        <v>-880</v>
      </c>
      <c r="M555" s="231">
        <f t="shared" si="714"/>
        <v>-900</v>
      </c>
      <c r="N555" s="233">
        <f t="shared" si="714"/>
        <v>-920</v>
      </c>
      <c r="O555" s="233">
        <f t="shared" si="714"/>
        <v>-940</v>
      </c>
      <c r="P555" s="88">
        <f t="shared" ref="P555" si="715">P322</f>
        <v>-960</v>
      </c>
    </row>
    <row r="556" spans="1:16" x14ac:dyDescent="0.2">
      <c r="A556" s="936" t="s">
        <v>4249</v>
      </c>
      <c r="B556" s="231">
        <f t="shared" ref="B556:O556" si="716">B324</f>
        <v>10805</v>
      </c>
      <c r="C556" s="231">
        <f t="shared" si="716"/>
        <v>11111.6</v>
      </c>
      <c r="D556" s="231">
        <f t="shared" si="716"/>
        <v>10817</v>
      </c>
      <c r="E556" s="231">
        <f t="shared" si="716"/>
        <v>10849.9</v>
      </c>
      <c r="F556" s="101">
        <f t="shared" si="716"/>
        <v>11269.6</v>
      </c>
      <c r="G556" s="231">
        <f t="shared" si="716"/>
        <v>11190.4</v>
      </c>
      <c r="H556" s="231">
        <f t="shared" si="716"/>
        <v>11506.3</v>
      </c>
      <c r="I556" s="231">
        <f t="shared" si="716"/>
        <v>11749.4</v>
      </c>
      <c r="J556" s="231">
        <f t="shared" si="716"/>
        <v>12039.5</v>
      </c>
      <c r="K556" s="231">
        <f t="shared" si="716"/>
        <v>12348.4</v>
      </c>
      <c r="L556" s="231">
        <f t="shared" si="716"/>
        <v>12715.1</v>
      </c>
      <c r="M556" s="231">
        <f t="shared" si="716"/>
        <v>12989.9</v>
      </c>
      <c r="N556" s="233">
        <f t="shared" si="716"/>
        <v>13323.8</v>
      </c>
      <c r="O556" s="233">
        <f t="shared" si="716"/>
        <v>13666.4</v>
      </c>
      <c r="P556" s="88">
        <f t="shared" ref="P556" si="717">P324</f>
        <v>14018.5</v>
      </c>
    </row>
    <row r="557" spans="1:16" x14ac:dyDescent="0.2">
      <c r="A557" s="818" t="s">
        <v>4389</v>
      </c>
      <c r="B557" s="231">
        <f t="shared" ref="B557:O557" si="718">B325</f>
        <v>161.80000000000001</v>
      </c>
      <c r="C557" s="231">
        <f t="shared" si="718"/>
        <v>111</v>
      </c>
      <c r="D557" s="231">
        <f t="shared" si="718"/>
        <v>20.6</v>
      </c>
      <c r="E557" s="231">
        <f t="shared" si="718"/>
        <v>-38</v>
      </c>
      <c r="F557" s="101">
        <f t="shared" si="718"/>
        <v>0</v>
      </c>
      <c r="G557" s="231">
        <f t="shared" si="718"/>
        <v>0</v>
      </c>
      <c r="H557" s="231">
        <f t="shared" si="718"/>
        <v>0</v>
      </c>
      <c r="I557" s="231">
        <f t="shared" si="718"/>
        <v>0</v>
      </c>
      <c r="J557" s="231">
        <f t="shared" si="718"/>
        <v>0</v>
      </c>
      <c r="K557" s="231">
        <f t="shared" si="718"/>
        <v>0</v>
      </c>
      <c r="L557" s="231">
        <f t="shared" si="718"/>
        <v>0</v>
      </c>
      <c r="M557" s="231">
        <f t="shared" si="718"/>
        <v>0</v>
      </c>
      <c r="N557" s="233">
        <f t="shared" si="718"/>
        <v>0</v>
      </c>
      <c r="O557" s="233">
        <f t="shared" si="718"/>
        <v>0</v>
      </c>
      <c r="P557" s="88">
        <f t="shared" ref="P557" si="719">P325</f>
        <v>0</v>
      </c>
    </row>
    <row r="558" spans="1:16" x14ac:dyDescent="0.2">
      <c r="A558" s="936" t="s">
        <v>4388</v>
      </c>
      <c r="B558" s="231">
        <f>-1809-74</f>
        <v>-1883</v>
      </c>
      <c r="C558" s="231">
        <v>-1859</v>
      </c>
      <c r="D558" s="231">
        <f>-Summaries!AE20/1000</f>
        <v>-1478.7</v>
      </c>
      <c r="E558" s="231">
        <f>-Summaries!AF20/1000</f>
        <v>-1498.9</v>
      </c>
      <c r="F558" s="101">
        <f>-Summaries!AG20/1000</f>
        <v>-1428</v>
      </c>
      <c r="G558" s="231">
        <f>-Summaries!AH20/1000</f>
        <v>-1380</v>
      </c>
      <c r="H558" s="231">
        <f>-Summaries!AI20/1000</f>
        <v>-1407.6</v>
      </c>
      <c r="I558" s="231">
        <f>-Summaries!AJ20/1000</f>
        <v>-1435.8</v>
      </c>
      <c r="J558" s="231">
        <f>-Summaries!AK20/1000</f>
        <v>-1464.6</v>
      </c>
      <c r="K558" s="231">
        <f>-Summaries!AL20/1000</f>
        <v>-1493.9</v>
      </c>
      <c r="L558" s="231">
        <f>-Summaries!AM20/1000</f>
        <v>-1523.8</v>
      </c>
      <c r="M558" s="899">
        <f>-Summaries!AN20/1000</f>
        <v>-1554.3</v>
      </c>
      <c r="N558" s="900">
        <f>-Summaries!AO20/1000</f>
        <v>-1585.4</v>
      </c>
      <c r="O558" s="900">
        <f>-Summaries!AP20/1000</f>
        <v>-1617.2</v>
      </c>
      <c r="P558" s="901">
        <f>-Summaries!AQ20/1000</f>
        <v>-1649.6</v>
      </c>
    </row>
    <row r="559" spans="1:16" x14ac:dyDescent="0.2">
      <c r="A559" s="942" t="s">
        <v>2863</v>
      </c>
      <c r="B559" s="905">
        <f t="shared" ref="B559:M559" si="720">SUM(B552:B555)-SUM(B556:B558)</f>
        <v>549.20000000000073</v>
      </c>
      <c r="C559" s="905">
        <f t="shared" si="720"/>
        <v>1325.5</v>
      </c>
      <c r="D559" s="905">
        <f t="shared" si="720"/>
        <v>1534.6000000000004</v>
      </c>
      <c r="E559" s="905">
        <f t="shared" si="720"/>
        <v>1886.1000000000004</v>
      </c>
      <c r="F559" s="1541">
        <f t="shared" si="720"/>
        <v>2072</v>
      </c>
      <c r="G559" s="905">
        <f t="shared" si="720"/>
        <v>2343.8999999999996</v>
      </c>
      <c r="H559" s="905">
        <f t="shared" si="720"/>
        <v>2336.6000000000004</v>
      </c>
      <c r="I559" s="905">
        <f t="shared" si="720"/>
        <v>2391.6000000000004</v>
      </c>
      <c r="J559" s="905">
        <f t="shared" si="720"/>
        <v>2596.8000000000011</v>
      </c>
      <c r="K559" s="905">
        <f t="shared" si="720"/>
        <v>2851.7999999999993</v>
      </c>
      <c r="L559" s="905">
        <f t="shared" si="720"/>
        <v>2954.9999999999982</v>
      </c>
      <c r="M559" s="1046">
        <f t="shared" si="720"/>
        <v>3219.2999999999993</v>
      </c>
      <c r="N559" s="1660">
        <f t="shared" ref="N559:O559" si="721">SUM(N552:N555)-SUM(N556:N558)</f>
        <v>3474.3000000000011</v>
      </c>
      <c r="O559" s="1660">
        <f t="shared" si="721"/>
        <v>3753.1000000000004</v>
      </c>
      <c r="P559" s="1047">
        <f t="shared" ref="P559" si="722">SUM(P552:P555)-SUM(P556:P558)</f>
        <v>4130.1999999999989</v>
      </c>
    </row>
    <row r="560" spans="1:16" s="9" customFormat="1" x14ac:dyDescent="0.2">
      <c r="A560" s="942" t="s">
        <v>4321</v>
      </c>
      <c r="B560" s="1492">
        <f t="shared" ref="B560:M560" si="723">IF(B551=0,100,B559/B551)</f>
        <v>100</v>
      </c>
      <c r="C560" s="1492">
        <f t="shared" si="723"/>
        <v>100</v>
      </c>
      <c r="D560" s="1492">
        <f t="shared" si="723"/>
        <v>100</v>
      </c>
      <c r="E560" s="1492">
        <f t="shared" si="723"/>
        <v>100</v>
      </c>
      <c r="F560" s="1492">
        <f t="shared" si="723"/>
        <v>100</v>
      </c>
      <c r="G560" s="1492">
        <f t="shared" si="723"/>
        <v>100</v>
      </c>
      <c r="H560" s="1492">
        <f t="shared" si="723"/>
        <v>100</v>
      </c>
      <c r="I560" s="1492">
        <f t="shared" si="723"/>
        <v>100</v>
      </c>
      <c r="J560" s="1492">
        <f t="shared" si="723"/>
        <v>100</v>
      </c>
      <c r="K560" s="1492">
        <f t="shared" si="723"/>
        <v>100</v>
      </c>
      <c r="L560" s="1492">
        <f t="shared" si="723"/>
        <v>100</v>
      </c>
      <c r="M560" s="1492">
        <f t="shared" si="723"/>
        <v>100</v>
      </c>
      <c r="N560" s="1655">
        <f t="shared" ref="N560:O560" si="724">IF(N551=0,100,N559/N551)</f>
        <v>100</v>
      </c>
      <c r="O560" s="1655">
        <f t="shared" si="724"/>
        <v>100</v>
      </c>
      <c r="P560" s="918">
        <f t="shared" ref="P560" si="725">IF(P551=0,100,P559/P551)</f>
        <v>100</v>
      </c>
    </row>
    <row r="561" spans="1:16" x14ac:dyDescent="0.2">
      <c r="A561" s="1278"/>
      <c r="B561" s="1275"/>
      <c r="C561" s="1275"/>
      <c r="D561" s="1275"/>
      <c r="E561" s="1275"/>
      <c r="F561" s="2567"/>
      <c r="G561" s="1275"/>
      <c r="H561" s="1275"/>
      <c r="I561" s="1275"/>
      <c r="J561" s="1275"/>
      <c r="K561" s="1275"/>
      <c r="L561" s="1275"/>
      <c r="M561" s="1668"/>
      <c r="N561" s="1644"/>
      <c r="O561" s="1644"/>
      <c r="P561" s="1279"/>
    </row>
    <row r="562" spans="1:16" x14ac:dyDescent="0.2">
      <c r="A562" s="1225" t="s">
        <v>4322</v>
      </c>
      <c r="B562" s="231"/>
      <c r="C562" s="231"/>
      <c r="D562" s="231"/>
      <c r="E562" s="231"/>
      <c r="F562" s="101"/>
      <c r="G562" s="231"/>
      <c r="H562" s="231"/>
      <c r="I562" s="231"/>
      <c r="J562" s="231"/>
      <c r="K562" s="231"/>
      <c r="L562" s="231"/>
      <c r="M562" s="949"/>
      <c r="N562" s="971"/>
      <c r="O562" s="971"/>
      <c r="P562" s="950"/>
    </row>
    <row r="563" spans="1:16" x14ac:dyDescent="0.2">
      <c r="A563" s="936" t="s">
        <v>4233</v>
      </c>
      <c r="B563" s="231">
        <f t="shared" ref="B563:M563" si="726">B503</f>
        <v>985</v>
      </c>
      <c r="C563" s="231">
        <f t="shared" si="726"/>
        <v>2385</v>
      </c>
      <c r="D563" s="231">
        <f t="shared" si="726"/>
        <v>2187.9</v>
      </c>
      <c r="E563" s="231">
        <f t="shared" si="726"/>
        <v>2793.3</v>
      </c>
      <c r="F563" s="101">
        <f t="shared" si="726"/>
        <v>2957.9</v>
      </c>
      <c r="G563" s="231">
        <f t="shared" si="726"/>
        <v>3095.6</v>
      </c>
      <c r="H563" s="231">
        <f t="shared" si="726"/>
        <v>3134</v>
      </c>
      <c r="I563" s="231">
        <f t="shared" si="726"/>
        <v>3280.3</v>
      </c>
      <c r="J563" s="231">
        <f t="shared" si="726"/>
        <v>2453.5</v>
      </c>
      <c r="K563" s="231">
        <f t="shared" si="726"/>
        <v>2654.1</v>
      </c>
      <c r="L563" s="231">
        <f t="shared" si="726"/>
        <v>2844.1</v>
      </c>
      <c r="M563" s="949">
        <f t="shared" si="726"/>
        <v>3037</v>
      </c>
      <c r="N563" s="971">
        <f t="shared" ref="N563:O563" si="727">N503</f>
        <v>3235</v>
      </c>
      <c r="O563" s="971">
        <f t="shared" si="727"/>
        <v>3430</v>
      </c>
      <c r="P563" s="950">
        <f t="shared" ref="P563" si="728">P503</f>
        <v>3627</v>
      </c>
    </row>
    <row r="564" spans="1:16" x14ac:dyDescent="0.2">
      <c r="A564" s="936" t="s">
        <v>4234</v>
      </c>
      <c r="B564" s="231">
        <f t="shared" ref="B564:M564" si="729">B504</f>
        <v>3702</v>
      </c>
      <c r="C564" s="231">
        <f t="shared" si="729"/>
        <v>5161</v>
      </c>
      <c r="D564" s="231">
        <f t="shared" si="729"/>
        <v>4996.8</v>
      </c>
      <c r="E564" s="231">
        <f t="shared" si="729"/>
        <v>4659.3</v>
      </c>
      <c r="F564" s="101">
        <f t="shared" si="729"/>
        <v>4442.6000000000004</v>
      </c>
      <c r="G564" s="231">
        <f t="shared" si="729"/>
        <v>4249.8999999999996</v>
      </c>
      <c r="H564" s="231">
        <f t="shared" si="729"/>
        <v>3878.3</v>
      </c>
      <c r="I564" s="231">
        <f t="shared" si="729"/>
        <v>3667</v>
      </c>
      <c r="J564" s="231">
        <f t="shared" si="729"/>
        <v>3439.8</v>
      </c>
      <c r="K564" s="231">
        <f t="shared" si="729"/>
        <v>3239.2</v>
      </c>
      <c r="L564" s="231">
        <f t="shared" si="729"/>
        <v>3049.2</v>
      </c>
      <c r="M564" s="949">
        <f t="shared" si="729"/>
        <v>2856.3</v>
      </c>
      <c r="N564" s="971">
        <f t="shared" ref="N564:O564" si="730">N504</f>
        <v>2658.3</v>
      </c>
      <c r="O564" s="971">
        <f t="shared" si="730"/>
        <v>2463.3000000000002</v>
      </c>
      <c r="P564" s="950">
        <f t="shared" ref="P564" si="731">P504</f>
        <v>2266.3000000000002</v>
      </c>
    </row>
    <row r="565" spans="1:16" x14ac:dyDescent="0.2">
      <c r="A565" s="942" t="s">
        <v>2864</v>
      </c>
      <c r="B565" s="905">
        <f t="shared" ref="B565:M565" si="732">SUM(B563:B564)</f>
        <v>4687</v>
      </c>
      <c r="C565" s="905">
        <f t="shared" si="732"/>
        <v>7546</v>
      </c>
      <c r="D565" s="905">
        <f t="shared" si="732"/>
        <v>7184.7000000000007</v>
      </c>
      <c r="E565" s="905">
        <f t="shared" si="732"/>
        <v>7452.6</v>
      </c>
      <c r="F565" s="1541">
        <f t="shared" si="732"/>
        <v>7400.5</v>
      </c>
      <c r="G565" s="905">
        <f t="shared" si="732"/>
        <v>7345.5</v>
      </c>
      <c r="H565" s="905">
        <f t="shared" si="732"/>
        <v>7012.3</v>
      </c>
      <c r="I565" s="905">
        <f t="shared" si="732"/>
        <v>6947.3</v>
      </c>
      <c r="J565" s="905">
        <f t="shared" si="732"/>
        <v>5893.3</v>
      </c>
      <c r="K565" s="905">
        <f t="shared" si="732"/>
        <v>5893.2999999999993</v>
      </c>
      <c r="L565" s="905">
        <f t="shared" si="732"/>
        <v>5893.2999999999993</v>
      </c>
      <c r="M565" s="1046">
        <f t="shared" si="732"/>
        <v>5893.3</v>
      </c>
      <c r="N565" s="1660">
        <f t="shared" ref="N565:O565" si="733">SUM(N563:N564)</f>
        <v>5893.3</v>
      </c>
      <c r="O565" s="1660">
        <f t="shared" si="733"/>
        <v>5893.3</v>
      </c>
      <c r="P565" s="1047">
        <f t="shared" ref="P565" si="734">SUM(P563:P564)</f>
        <v>5893.3</v>
      </c>
    </row>
    <row r="566" spans="1:16" x14ac:dyDescent="0.2">
      <c r="A566" s="818" t="s">
        <v>4243</v>
      </c>
      <c r="B566" s="231">
        <f t="shared" ref="B566:M566" si="735">B333</f>
        <v>15262</v>
      </c>
      <c r="C566" s="231">
        <f t="shared" si="735"/>
        <v>16456.7</v>
      </c>
      <c r="D566" s="231">
        <f t="shared" si="735"/>
        <v>17468.099999999999</v>
      </c>
      <c r="E566" s="231">
        <f t="shared" si="735"/>
        <v>18825.599999999999</v>
      </c>
      <c r="F566" s="101">
        <f t="shared" si="735"/>
        <v>19751.400000000001</v>
      </c>
      <c r="G566" s="231">
        <f t="shared" si="735"/>
        <v>20384</v>
      </c>
      <c r="H566" s="231">
        <f t="shared" si="735"/>
        <v>20878.5</v>
      </c>
      <c r="I566" s="231">
        <f t="shared" si="735"/>
        <v>21431</v>
      </c>
      <c r="J566" s="231">
        <f t="shared" si="735"/>
        <v>22198.5</v>
      </c>
      <c r="K566" s="231">
        <f t="shared" si="735"/>
        <v>22805.5</v>
      </c>
      <c r="L566" s="231">
        <f t="shared" si="735"/>
        <v>23467.4</v>
      </c>
      <c r="M566" s="949">
        <f t="shared" si="735"/>
        <v>24113</v>
      </c>
      <c r="N566" s="971">
        <f t="shared" ref="N566:O566" si="736">N333</f>
        <v>24853.3</v>
      </c>
      <c r="O566" s="971">
        <f t="shared" si="736"/>
        <v>25687</v>
      </c>
      <c r="P566" s="950">
        <f t="shared" ref="P566" si="737">P333</f>
        <v>26546.1</v>
      </c>
    </row>
    <row r="567" spans="1:16" x14ac:dyDescent="0.2">
      <c r="A567" s="818" t="s">
        <v>4382</v>
      </c>
      <c r="B567" s="231">
        <f t="shared" ref="B567:B569" si="738">B334</f>
        <v>0</v>
      </c>
      <c r="C567" s="231">
        <f>+C334</f>
        <v>-6</v>
      </c>
      <c r="D567" s="231">
        <f t="shared" ref="D567:M567" si="739">D334</f>
        <v>0</v>
      </c>
      <c r="E567" s="231">
        <f t="shared" si="739"/>
        <v>0</v>
      </c>
      <c r="F567" s="101">
        <f t="shared" si="739"/>
        <v>0</v>
      </c>
      <c r="G567" s="231">
        <f t="shared" si="739"/>
        <v>0</v>
      </c>
      <c r="H567" s="231">
        <f t="shared" si="739"/>
        <v>0</v>
      </c>
      <c r="I567" s="231">
        <f t="shared" si="739"/>
        <v>0</v>
      </c>
      <c r="J567" s="231">
        <f t="shared" si="739"/>
        <v>0</v>
      </c>
      <c r="K567" s="231">
        <f t="shared" si="739"/>
        <v>0</v>
      </c>
      <c r="L567" s="231">
        <f t="shared" si="739"/>
        <v>0</v>
      </c>
      <c r="M567" s="231">
        <f t="shared" si="739"/>
        <v>0</v>
      </c>
      <c r="N567" s="233">
        <f t="shared" ref="N567:O567" si="740">N334</f>
        <v>0</v>
      </c>
      <c r="O567" s="233">
        <f t="shared" si="740"/>
        <v>0</v>
      </c>
      <c r="P567" s="88">
        <f t="shared" ref="P567" si="741">P334</f>
        <v>0</v>
      </c>
    </row>
    <row r="568" spans="1:16" x14ac:dyDescent="0.2">
      <c r="A568" s="818" t="s">
        <v>4381</v>
      </c>
      <c r="B568" s="231">
        <f t="shared" si="738"/>
        <v>0</v>
      </c>
      <c r="C568" s="231">
        <f>C335</f>
        <v>0</v>
      </c>
      <c r="D568" s="231">
        <f t="shared" ref="D568:M568" si="742">D335</f>
        <v>0</v>
      </c>
      <c r="E568" s="231">
        <f t="shared" si="742"/>
        <v>0</v>
      </c>
      <c r="F568" s="101">
        <f t="shared" si="742"/>
        <v>0</v>
      </c>
      <c r="G568" s="231">
        <f t="shared" si="742"/>
        <v>0</v>
      </c>
      <c r="H568" s="231">
        <f t="shared" si="742"/>
        <v>0</v>
      </c>
      <c r="I568" s="231">
        <f t="shared" si="742"/>
        <v>0</v>
      </c>
      <c r="J568" s="231">
        <f t="shared" si="742"/>
        <v>0</v>
      </c>
      <c r="K568" s="231">
        <f t="shared" si="742"/>
        <v>0</v>
      </c>
      <c r="L568" s="231">
        <f t="shared" si="742"/>
        <v>0</v>
      </c>
      <c r="M568" s="231">
        <f t="shared" si="742"/>
        <v>0</v>
      </c>
      <c r="N568" s="233">
        <f t="shared" ref="N568:O568" si="743">N335</f>
        <v>0</v>
      </c>
      <c r="O568" s="233">
        <f t="shared" si="743"/>
        <v>0</v>
      </c>
      <c r="P568" s="88">
        <f t="shared" ref="P568" si="744">P335</f>
        <v>0</v>
      </c>
    </row>
    <row r="569" spans="1:16" x14ac:dyDescent="0.2">
      <c r="A569" s="936" t="s">
        <v>4376</v>
      </c>
      <c r="B569" s="231">
        <f t="shared" si="738"/>
        <v>-1482</v>
      </c>
      <c r="C569" s="231">
        <f>C336</f>
        <v>-2014.2</v>
      </c>
      <c r="D569" s="231">
        <f t="shared" ref="D569:M569" si="745">D336</f>
        <v>-2131.4</v>
      </c>
      <c r="E569" s="231">
        <f t="shared" si="745"/>
        <v>-2470</v>
      </c>
      <c r="F569" s="101">
        <f t="shared" si="745"/>
        <v>-2045.5</v>
      </c>
      <c r="G569" s="231">
        <f t="shared" si="745"/>
        <v>-2245.5</v>
      </c>
      <c r="H569" s="231">
        <f t="shared" si="745"/>
        <v>-2275.5</v>
      </c>
      <c r="I569" s="231">
        <f t="shared" si="745"/>
        <v>-2315.5</v>
      </c>
      <c r="J569" s="231">
        <f t="shared" si="745"/>
        <v>-2355.5</v>
      </c>
      <c r="K569" s="231">
        <f t="shared" si="745"/>
        <v>-2405.5</v>
      </c>
      <c r="L569" s="231">
        <f t="shared" si="745"/>
        <v>-2445.5</v>
      </c>
      <c r="M569" s="231">
        <f t="shared" si="745"/>
        <v>-2485.5</v>
      </c>
      <c r="N569" s="233">
        <f t="shared" ref="N569:O569" si="746">N336</f>
        <v>-2525.5</v>
      </c>
      <c r="O569" s="233">
        <f t="shared" si="746"/>
        <v>-2565.5</v>
      </c>
      <c r="P569" s="88">
        <f t="shared" ref="P569" si="747">P336</f>
        <v>-2605.5</v>
      </c>
    </row>
    <row r="570" spans="1:16" x14ac:dyDescent="0.2">
      <c r="A570" s="936" t="s">
        <v>4249</v>
      </c>
      <c r="B570" s="231">
        <f t="shared" ref="B570:M570" si="748">B338</f>
        <v>15935</v>
      </c>
      <c r="C570" s="231">
        <f t="shared" si="748"/>
        <v>17024.099999999999</v>
      </c>
      <c r="D570" s="231">
        <f t="shared" si="748"/>
        <v>28728</v>
      </c>
      <c r="E570" s="231">
        <f t="shared" si="748"/>
        <v>17304.400000000001</v>
      </c>
      <c r="F570" s="101">
        <f t="shared" si="748"/>
        <v>17187.7</v>
      </c>
      <c r="G570" s="231">
        <f t="shared" si="748"/>
        <v>17800.5</v>
      </c>
      <c r="H570" s="231">
        <f t="shared" si="748"/>
        <v>17710.400000000001</v>
      </c>
      <c r="I570" s="231">
        <f t="shared" si="748"/>
        <v>17828.599999999999</v>
      </c>
      <c r="J570" s="231">
        <f t="shared" si="748"/>
        <v>17938.7</v>
      </c>
      <c r="K570" s="231">
        <f t="shared" si="748"/>
        <v>18031.7</v>
      </c>
      <c r="L570" s="231">
        <f t="shared" si="748"/>
        <v>18191.2</v>
      </c>
      <c r="M570" s="231">
        <f t="shared" si="748"/>
        <v>18252.599999999999</v>
      </c>
      <c r="N570" s="233">
        <f t="shared" ref="N570:O570" si="749">N338</f>
        <v>18365.5</v>
      </c>
      <c r="O570" s="233">
        <f t="shared" si="749"/>
        <v>18420.3</v>
      </c>
      <c r="P570" s="88">
        <f t="shared" ref="P570" si="750">P338</f>
        <v>18540.400000000001</v>
      </c>
    </row>
    <row r="571" spans="1:16" x14ac:dyDescent="0.2">
      <c r="A571" s="818" t="s">
        <v>4389</v>
      </c>
      <c r="B571" s="231">
        <f t="shared" ref="B571:M571" si="751">B339</f>
        <v>-1582</v>
      </c>
      <c r="C571" s="231">
        <f t="shared" si="751"/>
        <v>0</v>
      </c>
      <c r="D571" s="231">
        <f t="shared" si="751"/>
        <v>-12197.6</v>
      </c>
      <c r="E571" s="231">
        <f t="shared" si="751"/>
        <v>0</v>
      </c>
      <c r="F571" s="101">
        <f t="shared" si="751"/>
        <v>0</v>
      </c>
      <c r="G571" s="231">
        <f t="shared" si="751"/>
        <v>0</v>
      </c>
      <c r="H571" s="231">
        <f t="shared" si="751"/>
        <v>0</v>
      </c>
      <c r="I571" s="231">
        <f t="shared" si="751"/>
        <v>0</v>
      </c>
      <c r="J571" s="231">
        <f t="shared" si="751"/>
        <v>0</v>
      </c>
      <c r="K571" s="231">
        <f t="shared" si="751"/>
        <v>0</v>
      </c>
      <c r="L571" s="231">
        <f t="shared" si="751"/>
        <v>0</v>
      </c>
      <c r="M571" s="231">
        <f t="shared" si="751"/>
        <v>0</v>
      </c>
      <c r="N571" s="233">
        <f t="shared" ref="N571:O571" si="752">N339</f>
        <v>0</v>
      </c>
      <c r="O571" s="233">
        <f t="shared" si="752"/>
        <v>0</v>
      </c>
      <c r="P571" s="88">
        <f t="shared" ref="P571" si="753">P339</f>
        <v>0</v>
      </c>
    </row>
    <row r="572" spans="1:16" x14ac:dyDescent="0.2">
      <c r="A572" s="936" t="s">
        <v>4387</v>
      </c>
      <c r="B572" s="231">
        <f t="shared" ref="B572:M572" si="754">-B564</f>
        <v>-3702</v>
      </c>
      <c r="C572" s="231">
        <f t="shared" si="754"/>
        <v>-5161</v>
      </c>
      <c r="D572" s="231">
        <f t="shared" si="754"/>
        <v>-4996.8</v>
      </c>
      <c r="E572" s="231">
        <f t="shared" si="754"/>
        <v>-4659.3</v>
      </c>
      <c r="F572" s="101">
        <f t="shared" si="754"/>
        <v>-4442.6000000000004</v>
      </c>
      <c r="G572" s="231">
        <f t="shared" si="754"/>
        <v>-4249.8999999999996</v>
      </c>
      <c r="H572" s="231">
        <f t="shared" si="754"/>
        <v>-3878.3</v>
      </c>
      <c r="I572" s="231">
        <f t="shared" si="754"/>
        <v>-3667</v>
      </c>
      <c r="J572" s="231">
        <f t="shared" si="754"/>
        <v>-3439.8</v>
      </c>
      <c r="K572" s="231">
        <f t="shared" si="754"/>
        <v>-3239.2</v>
      </c>
      <c r="L572" s="231">
        <f t="shared" si="754"/>
        <v>-3049.2</v>
      </c>
      <c r="M572" s="231">
        <f t="shared" si="754"/>
        <v>-2856.3</v>
      </c>
      <c r="N572" s="233">
        <f t="shared" ref="N572:O572" si="755">-N564</f>
        <v>-2658.3</v>
      </c>
      <c r="O572" s="233">
        <f t="shared" si="755"/>
        <v>-2463.3000000000002</v>
      </c>
      <c r="P572" s="88">
        <f t="shared" ref="P572" si="756">-P564</f>
        <v>-2266.3000000000002</v>
      </c>
    </row>
    <row r="573" spans="1:16" x14ac:dyDescent="0.2">
      <c r="A573" s="936" t="s">
        <v>4388</v>
      </c>
      <c r="B573" s="231">
        <f>-2711-130</f>
        <v>-2841</v>
      </c>
      <c r="C573" s="231">
        <v>-2643</v>
      </c>
      <c r="D573" s="231">
        <f>-Summaries!AS20/1000</f>
        <v>-2314.3000000000002</v>
      </c>
      <c r="E573" s="231">
        <f>-Summaries!AT20/1000</f>
        <v>-3531.9</v>
      </c>
      <c r="F573" s="101">
        <f>-Summaries!AU20/1000</f>
        <v>-2678</v>
      </c>
      <c r="G573" s="231">
        <f>-Summaries!AV20/1000</f>
        <v>-3775</v>
      </c>
      <c r="H573" s="231">
        <f>-Summaries!AW20/1000</f>
        <v>-3851</v>
      </c>
      <c r="I573" s="231">
        <f>-Summaries!AX20/1000</f>
        <v>-3928</v>
      </c>
      <c r="J573" s="231">
        <f>-Summaries!AY20/1000</f>
        <v>-4007</v>
      </c>
      <c r="K573" s="231">
        <f>-Summaries!AZ20/1000</f>
        <v>-4087</v>
      </c>
      <c r="L573" s="231">
        <f>-Summaries!BA20/1000</f>
        <v>-4169</v>
      </c>
      <c r="M573" s="899">
        <f>-Summaries!BB20/1000</f>
        <v>-4252</v>
      </c>
      <c r="N573" s="900">
        <f>-Summaries!BC20/1000</f>
        <v>-4337</v>
      </c>
      <c r="O573" s="900">
        <f>-Summaries!BD20/1000</f>
        <v>-4424</v>
      </c>
      <c r="P573" s="901">
        <f>-Summaries!BE20/1000</f>
        <v>-4512</v>
      </c>
    </row>
    <row r="574" spans="1:16" x14ac:dyDescent="0.2">
      <c r="A574" s="942" t="s">
        <v>2863</v>
      </c>
      <c r="B574" s="905">
        <f t="shared" ref="B574:M574" si="757">SUM(B566:B569)-SUM(B570:B573)</f>
        <v>5970</v>
      </c>
      <c r="C574" s="905">
        <f t="shared" si="757"/>
        <v>5216.4000000000015</v>
      </c>
      <c r="D574" s="905">
        <f t="shared" si="757"/>
        <v>6117.399999999996</v>
      </c>
      <c r="E574" s="905">
        <f t="shared" si="757"/>
        <v>7242.399999999996</v>
      </c>
      <c r="F574" s="1541">
        <f t="shared" si="757"/>
        <v>7638.8000000000011</v>
      </c>
      <c r="G574" s="905">
        <f t="shared" si="757"/>
        <v>8362.9</v>
      </c>
      <c r="H574" s="905">
        <f t="shared" si="757"/>
        <v>8621.8999999999978</v>
      </c>
      <c r="I574" s="905">
        <f t="shared" si="757"/>
        <v>8881.9000000000015</v>
      </c>
      <c r="J574" s="905">
        <f t="shared" si="757"/>
        <v>9351.0999999999985</v>
      </c>
      <c r="K574" s="905">
        <f t="shared" si="757"/>
        <v>9694.5</v>
      </c>
      <c r="L574" s="905">
        <f t="shared" si="757"/>
        <v>10048.900000000001</v>
      </c>
      <c r="M574" s="1046">
        <f t="shared" si="757"/>
        <v>10483.200000000001</v>
      </c>
      <c r="N574" s="1660">
        <f t="shared" ref="N574:O574" si="758">SUM(N566:N569)-SUM(N570:N573)</f>
        <v>10957.599999999999</v>
      </c>
      <c r="O574" s="1660">
        <f t="shared" si="758"/>
        <v>11588.5</v>
      </c>
      <c r="P574" s="1047">
        <f t="shared" ref="P574" si="759">SUM(P566:P569)-SUM(P570:P573)</f>
        <v>12178.499999999996</v>
      </c>
    </row>
    <row r="575" spans="1:16" s="9" customFormat="1" ht="13.5" thickBot="1" x14ac:dyDescent="0.25">
      <c r="A575" s="1567" t="s">
        <v>4323</v>
      </c>
      <c r="B575" s="1568">
        <f t="shared" ref="B575:M575" si="760">B574/B565</f>
        <v>1.2737358651589503</v>
      </c>
      <c r="C575" s="1568">
        <f t="shared" si="760"/>
        <v>0.69128014842300578</v>
      </c>
      <c r="D575" s="1568">
        <f t="shared" si="760"/>
        <v>0.85144821634862911</v>
      </c>
      <c r="E575" s="1568">
        <f t="shared" si="760"/>
        <v>0.97179507822773203</v>
      </c>
      <c r="F575" s="1568">
        <f t="shared" si="760"/>
        <v>1.0322005269914196</v>
      </c>
      <c r="G575" s="1568">
        <f t="shared" si="760"/>
        <v>1.1385065686474711</v>
      </c>
      <c r="H575" s="1568">
        <f t="shared" si="760"/>
        <v>1.2295395234088669</v>
      </c>
      <c r="I575" s="1568">
        <f t="shared" si="760"/>
        <v>1.2784678940019865</v>
      </c>
      <c r="J575" s="1568">
        <f t="shared" si="760"/>
        <v>1.5867340878624876</v>
      </c>
      <c r="K575" s="1568">
        <f t="shared" si="760"/>
        <v>1.6450036482106802</v>
      </c>
      <c r="L575" s="1568">
        <f t="shared" si="760"/>
        <v>1.7051397349532524</v>
      </c>
      <c r="M575" s="1568">
        <f t="shared" si="760"/>
        <v>1.7788335906877302</v>
      </c>
      <c r="N575" s="1670">
        <f t="shared" ref="N575:O575" si="761">N574/N565</f>
        <v>1.8593317835508116</v>
      </c>
      <c r="O575" s="1670">
        <f t="shared" si="761"/>
        <v>1.9663855564793917</v>
      </c>
      <c r="P575" s="1556">
        <f t="shared" ref="P575" si="762">P574/P565</f>
        <v>2.0664992449052306</v>
      </c>
    </row>
    <row r="576" spans="1:16" s="779" customFormat="1" ht="17.25" thickTop="1" thickBot="1" x14ac:dyDescent="0.3">
      <c r="A576" s="2853" t="s">
        <v>5157</v>
      </c>
      <c r="B576" s="2854"/>
      <c r="C576" s="2854"/>
      <c r="D576" s="2854"/>
      <c r="E576" s="2854"/>
      <c r="F576" s="2854"/>
      <c r="G576" s="2854"/>
      <c r="H576" s="2854"/>
      <c r="I576" s="2854"/>
      <c r="J576" s="2854"/>
      <c r="K576" s="2854"/>
      <c r="L576" s="2854"/>
      <c r="M576" s="2854"/>
      <c r="N576" s="2854"/>
      <c r="O576" s="2854"/>
      <c r="P576" s="2855"/>
    </row>
    <row r="577" spans="1:16" s="779" customFormat="1" ht="13.5" thickBot="1" x14ac:dyDescent="0.25">
      <c r="A577" s="1268" t="str">
        <f t="shared" ref="A577:M577" si="763">A464</f>
        <v>Item</v>
      </c>
      <c r="B577" s="793" t="str">
        <f t="shared" si="763"/>
        <v>2012/13</v>
      </c>
      <c r="C577" s="793" t="str">
        <f t="shared" si="763"/>
        <v>2013/14</v>
      </c>
      <c r="D577" s="793" t="str">
        <f t="shared" si="763"/>
        <v>2014/15</v>
      </c>
      <c r="E577" s="793" t="str">
        <f t="shared" si="763"/>
        <v>2015/16</v>
      </c>
      <c r="F577" s="793" t="str">
        <f t="shared" si="763"/>
        <v>2016/17</v>
      </c>
      <c r="G577" s="793" t="str">
        <f t="shared" si="763"/>
        <v>2017/18</v>
      </c>
      <c r="H577" s="793" t="str">
        <f t="shared" si="763"/>
        <v>2018/19</v>
      </c>
      <c r="I577" s="793" t="str">
        <f t="shared" si="763"/>
        <v>2019/20</v>
      </c>
      <c r="J577" s="793" t="str">
        <f t="shared" si="763"/>
        <v>2020/21</v>
      </c>
      <c r="K577" s="793" t="str">
        <f t="shared" si="763"/>
        <v>2021/22</v>
      </c>
      <c r="L577" s="793" t="str">
        <f t="shared" si="763"/>
        <v>2022/23</v>
      </c>
      <c r="M577" s="1641" t="str">
        <f t="shared" si="763"/>
        <v>2023/24</v>
      </c>
      <c r="N577" s="1641" t="str">
        <f t="shared" ref="N577:O577" si="764">N464</f>
        <v>2024/25</v>
      </c>
      <c r="O577" s="1641" t="str">
        <f t="shared" si="764"/>
        <v>2025/26</v>
      </c>
      <c r="P577" s="794" t="str">
        <f t="shared" ref="P577" si="765">P464</f>
        <v>2026/27</v>
      </c>
    </row>
    <row r="578" spans="1:16" s="779" customFormat="1" x14ac:dyDescent="0.2">
      <c r="A578" s="1225"/>
      <c r="B578" s="898"/>
      <c r="C578" s="898"/>
      <c r="D578" s="898"/>
      <c r="E578" s="898"/>
      <c r="F578" s="898"/>
      <c r="G578" s="898"/>
      <c r="H578" s="898"/>
      <c r="I578" s="898"/>
      <c r="J578" s="898"/>
      <c r="K578" s="898"/>
      <c r="L578" s="898"/>
      <c r="M578" s="1666"/>
      <c r="N578" s="1666"/>
      <c r="O578" s="1666"/>
      <c r="P578" s="1552"/>
    </row>
    <row r="579" spans="1:16" x14ac:dyDescent="0.2">
      <c r="A579" s="942" t="s">
        <v>3471</v>
      </c>
      <c r="B579" s="442"/>
      <c r="C579" s="442"/>
      <c r="D579" s="442"/>
      <c r="E579" s="442"/>
      <c r="F579" s="764"/>
      <c r="G579" s="442"/>
      <c r="H579" s="442"/>
      <c r="I579" s="442"/>
      <c r="J579" s="442"/>
      <c r="K579" s="442"/>
      <c r="L579" s="442"/>
      <c r="M579" s="1655"/>
      <c r="N579" s="1655"/>
      <c r="O579" s="1655"/>
      <c r="P579" s="918"/>
    </row>
    <row r="580" spans="1:16" x14ac:dyDescent="0.2">
      <c r="A580" s="936" t="s">
        <v>3362</v>
      </c>
      <c r="B580" s="231">
        <f t="shared" ref="B580:N580" si="766">B592+B604+B616</f>
        <v>2398</v>
      </c>
      <c r="C580" s="231">
        <f t="shared" si="766"/>
        <v>2016</v>
      </c>
      <c r="D580" s="231">
        <f t="shared" si="766"/>
        <v>2048.5</v>
      </c>
      <c r="E580" s="231">
        <f t="shared" si="766"/>
        <v>2154.1666666666665</v>
      </c>
      <c r="F580" s="101">
        <f t="shared" si="766"/>
        <v>2072.8888888888887</v>
      </c>
      <c r="G580" s="231">
        <f t="shared" si="766"/>
        <v>2091.8518518518517</v>
      </c>
      <c r="H580" s="231">
        <f>H592+H604+H616</f>
        <v>2106.3024691358023</v>
      </c>
      <c r="I580" s="231">
        <f>I592+I604+I616</f>
        <v>2090.3477366255138</v>
      </c>
      <c r="J580" s="231">
        <f t="shared" si="766"/>
        <v>2096.1673525377228</v>
      </c>
      <c r="K580" s="231">
        <f t="shared" si="766"/>
        <v>2097.6058527663463</v>
      </c>
      <c r="L580" s="231">
        <f t="shared" si="766"/>
        <v>2094.7069806431946</v>
      </c>
      <c r="M580" s="231">
        <f t="shared" si="766"/>
        <v>2096.1600619824212</v>
      </c>
      <c r="N580" s="1654">
        <f t="shared" si="766"/>
        <v>2096.1576317973204</v>
      </c>
      <c r="O580" s="1654">
        <f t="shared" ref="O580" si="767">O592+O604+O616</f>
        <v>2095.6748914743121</v>
      </c>
      <c r="P580" s="776">
        <f t="shared" ref="P580" si="768">P592+P604+P616</f>
        <v>2095.9975284180177</v>
      </c>
    </row>
    <row r="581" spans="1:16" x14ac:dyDescent="0.2">
      <c r="A581" s="936" t="s">
        <v>574</v>
      </c>
      <c r="B581" s="231">
        <f t="shared" ref="B581:N582" si="769">B593+B605+B617</f>
        <v>331</v>
      </c>
      <c r="C581" s="231">
        <f t="shared" si="769"/>
        <v>309</v>
      </c>
      <c r="D581" s="231">
        <f t="shared" si="769"/>
        <v>320</v>
      </c>
      <c r="E581" s="231">
        <f t="shared" si="769"/>
        <v>320</v>
      </c>
      <c r="F581" s="101">
        <f t="shared" si="769"/>
        <v>316.33333333333331</v>
      </c>
      <c r="G581" s="231">
        <f t="shared" si="769"/>
        <v>318.77777777777777</v>
      </c>
      <c r="H581" s="231">
        <f t="shared" si="769"/>
        <v>318.37037037037038</v>
      </c>
      <c r="I581" s="231">
        <f t="shared" si="769"/>
        <v>317.82716049382719</v>
      </c>
      <c r="J581" s="231">
        <f t="shared" si="769"/>
        <v>318.32510288065845</v>
      </c>
      <c r="K581" s="231">
        <f t="shared" si="769"/>
        <v>318.1742112482853</v>
      </c>
      <c r="L581" s="231">
        <f t="shared" si="769"/>
        <v>318.10882487425698</v>
      </c>
      <c r="M581" s="231">
        <f t="shared" si="769"/>
        <v>318.20271300106691</v>
      </c>
      <c r="N581" s="1654">
        <f t="shared" si="769"/>
        <v>318.16191637453636</v>
      </c>
      <c r="O581" s="1654">
        <f t="shared" ref="O581" si="770">O593+O605+O617</f>
        <v>318.15781808328671</v>
      </c>
      <c r="P581" s="776">
        <f t="shared" ref="P581" si="771">P593+P605+P617</f>
        <v>318.17414915296331</v>
      </c>
    </row>
    <row r="582" spans="1:16" x14ac:dyDescent="0.2">
      <c r="A582" s="936" t="s">
        <v>1560</v>
      </c>
      <c r="B582" s="231">
        <f t="shared" si="769"/>
        <v>0</v>
      </c>
      <c r="C582" s="231">
        <f t="shared" si="769"/>
        <v>-9</v>
      </c>
      <c r="D582" s="231">
        <f t="shared" si="769"/>
        <v>-4.5</v>
      </c>
      <c r="E582" s="231">
        <f t="shared" si="769"/>
        <v>-4.5</v>
      </c>
      <c r="F582" s="101">
        <f t="shared" si="769"/>
        <v>-6</v>
      </c>
      <c r="G582" s="231">
        <f t="shared" si="769"/>
        <v>-5</v>
      </c>
      <c r="H582" s="231">
        <f t="shared" si="769"/>
        <v>-5.166666666666667</v>
      </c>
      <c r="I582" s="231">
        <f t="shared" si="769"/>
        <v>-5.3888888888888893</v>
      </c>
      <c r="J582" s="231">
        <f t="shared" si="769"/>
        <v>-5.185185185185186</v>
      </c>
      <c r="K582" s="231">
        <f t="shared" si="769"/>
        <v>-5.2469135802469147</v>
      </c>
      <c r="L582" s="231">
        <f t="shared" si="769"/>
        <v>-5.2736625514403306</v>
      </c>
      <c r="M582" s="231">
        <f t="shared" si="769"/>
        <v>-5.235253772290811</v>
      </c>
      <c r="N582" s="1654">
        <f t="shared" si="769"/>
        <v>-5.2519433013260191</v>
      </c>
      <c r="O582" s="1654">
        <f t="shared" ref="O582" si="772">O594+O606+O618</f>
        <v>-5.2536198750190541</v>
      </c>
      <c r="P582" s="776">
        <f t="shared" ref="P582" si="773">P594+P606+P618</f>
        <v>-5.2469389828786284</v>
      </c>
    </row>
    <row r="583" spans="1:16" x14ac:dyDescent="0.2">
      <c r="A583" s="943" t="s">
        <v>2863</v>
      </c>
      <c r="B583" s="979">
        <f t="shared" ref="B583:M583" si="774">SUM(B580:B582)</f>
        <v>2729</v>
      </c>
      <c r="C583" s="979">
        <f t="shared" si="774"/>
        <v>2316</v>
      </c>
      <c r="D583" s="979">
        <f t="shared" si="774"/>
        <v>2364</v>
      </c>
      <c r="E583" s="979">
        <f t="shared" si="774"/>
        <v>2469.6666666666665</v>
      </c>
      <c r="F583" s="979">
        <f t="shared" si="774"/>
        <v>2383.2222222222222</v>
      </c>
      <c r="G583" s="979">
        <f t="shared" si="774"/>
        <v>2405.6296296296296</v>
      </c>
      <c r="H583" s="979">
        <f t="shared" si="774"/>
        <v>2419.5061728395062</v>
      </c>
      <c r="I583" s="979">
        <f t="shared" si="774"/>
        <v>2402.7860082304524</v>
      </c>
      <c r="J583" s="979">
        <f t="shared" si="774"/>
        <v>2409.307270233196</v>
      </c>
      <c r="K583" s="979">
        <f t="shared" si="774"/>
        <v>2410.5331504343844</v>
      </c>
      <c r="L583" s="979">
        <f t="shared" si="774"/>
        <v>2407.5421429660114</v>
      </c>
      <c r="M583" s="759">
        <f t="shared" si="774"/>
        <v>2409.1275212111973</v>
      </c>
      <c r="N583" s="2139">
        <f t="shared" ref="N583:O583" si="775">SUM(N580:N582)</f>
        <v>2409.0676048705309</v>
      </c>
      <c r="O583" s="2139">
        <f t="shared" si="775"/>
        <v>2408.5790896825797</v>
      </c>
      <c r="P583" s="1639">
        <f t="shared" ref="P583" si="776">SUM(P580:P582)</f>
        <v>2408.9247385881026</v>
      </c>
    </row>
    <row r="584" spans="1:16" x14ac:dyDescent="0.2">
      <c r="A584" s="936"/>
      <c r="B584" s="764"/>
      <c r="C584" s="764"/>
      <c r="D584" s="442"/>
      <c r="E584" s="442"/>
      <c r="F584" s="764"/>
      <c r="G584" s="442"/>
      <c r="H584" s="442"/>
      <c r="I584" s="442"/>
      <c r="J584" s="442"/>
      <c r="K584" s="442"/>
      <c r="L584" s="442"/>
      <c r="M584" s="1655"/>
      <c r="N584" s="1655"/>
      <c r="O584" s="1655"/>
      <c r="P584" s="918"/>
    </row>
    <row r="585" spans="1:16" x14ac:dyDescent="0.2">
      <c r="A585" s="936" t="s">
        <v>1915</v>
      </c>
      <c r="B585" s="442">
        <f t="shared" ref="B585:N585" si="777">B597+B609+B621</f>
        <v>38581</v>
      </c>
      <c r="C585" s="442">
        <f t="shared" si="777"/>
        <v>41109</v>
      </c>
      <c r="D585" s="442">
        <f t="shared" si="777"/>
        <v>43670.6</v>
      </c>
      <c r="E585" s="442">
        <f t="shared" si="777"/>
        <v>46310.8</v>
      </c>
      <c r="F585" s="764">
        <f t="shared" si="777"/>
        <v>49328.26666666667</v>
      </c>
      <c r="G585" s="442">
        <f t="shared" si="777"/>
        <v>49691.822222222225</v>
      </c>
      <c r="H585" s="442">
        <f t="shared" si="777"/>
        <v>51756.529629629629</v>
      </c>
      <c r="I585" s="442">
        <f t="shared" si="777"/>
        <v>53917.806172839504</v>
      </c>
      <c r="J585" s="442">
        <f t="shared" si="777"/>
        <v>55643.386008230453</v>
      </c>
      <c r="K585" s="442">
        <f t="shared" si="777"/>
        <v>57275.407270233191</v>
      </c>
      <c r="L585" s="442">
        <f t="shared" si="777"/>
        <v>58955.033150434378</v>
      </c>
      <c r="M585" s="442">
        <f t="shared" si="777"/>
        <v>60681.24214296601</v>
      </c>
      <c r="N585" s="1654">
        <f t="shared" si="777"/>
        <v>62463.527521211203</v>
      </c>
      <c r="O585" s="1654">
        <f t="shared" ref="O585" si="778">O597+O609+O621</f>
        <v>64300.567604870528</v>
      </c>
      <c r="P585" s="776">
        <f t="shared" ref="P585" si="779">P597+P609+P621</f>
        <v>66192.379089682581</v>
      </c>
    </row>
    <row r="586" spans="1:16" x14ac:dyDescent="0.2">
      <c r="A586" s="943" t="s">
        <v>2864</v>
      </c>
      <c r="B586" s="759">
        <f t="shared" ref="B586:M586" si="780">SUM(B585:B585)</f>
        <v>38581</v>
      </c>
      <c r="C586" s="759">
        <f t="shared" si="780"/>
        <v>41109</v>
      </c>
      <c r="D586" s="759">
        <f t="shared" si="780"/>
        <v>43670.6</v>
      </c>
      <c r="E586" s="759">
        <f t="shared" si="780"/>
        <v>46310.8</v>
      </c>
      <c r="F586" s="979">
        <f t="shared" si="780"/>
        <v>49328.26666666667</v>
      </c>
      <c r="G586" s="759">
        <f t="shared" si="780"/>
        <v>49691.822222222225</v>
      </c>
      <c r="H586" s="759">
        <f t="shared" si="780"/>
        <v>51756.529629629629</v>
      </c>
      <c r="I586" s="759">
        <f t="shared" si="780"/>
        <v>53917.806172839504</v>
      </c>
      <c r="J586" s="759">
        <f t="shared" si="780"/>
        <v>55643.386008230453</v>
      </c>
      <c r="K586" s="759">
        <f t="shared" si="780"/>
        <v>57275.407270233191</v>
      </c>
      <c r="L586" s="759">
        <f t="shared" si="780"/>
        <v>58955.033150434378</v>
      </c>
      <c r="M586" s="759">
        <f t="shared" si="780"/>
        <v>60681.24214296601</v>
      </c>
      <c r="N586" s="2139">
        <f t="shared" ref="N586:O586" si="781">SUM(N585:N585)</f>
        <v>62463.527521211203</v>
      </c>
      <c r="O586" s="2139">
        <f t="shared" si="781"/>
        <v>64300.567604870528</v>
      </c>
      <c r="P586" s="1639">
        <f t="shared" ref="P586" si="782">SUM(P585:P585)</f>
        <v>66192.379089682581</v>
      </c>
    </row>
    <row r="587" spans="1:16" x14ac:dyDescent="0.2">
      <c r="A587" s="943"/>
      <c r="B587" s="442"/>
      <c r="C587" s="442"/>
      <c r="D587" s="442"/>
      <c r="E587" s="442"/>
      <c r="F587" s="764"/>
      <c r="G587" s="442"/>
      <c r="H587" s="442"/>
      <c r="I587" s="442"/>
      <c r="J587" s="442"/>
      <c r="K587" s="442"/>
      <c r="L587" s="442"/>
      <c r="M587" s="1492"/>
      <c r="N587" s="1655"/>
      <c r="O587" s="1655"/>
      <c r="P587" s="918"/>
    </row>
    <row r="588" spans="1:16" x14ac:dyDescent="0.2">
      <c r="A588" s="942" t="s">
        <v>3472</v>
      </c>
      <c r="B588" s="1494">
        <f t="shared" ref="B588:M588" si="783">ROUND(B583/B586,4)</f>
        <v>7.0699999999999999E-2</v>
      </c>
      <c r="C588" s="1494">
        <f t="shared" si="783"/>
        <v>5.6300000000000003E-2</v>
      </c>
      <c r="D588" s="1494">
        <f t="shared" si="783"/>
        <v>5.4100000000000002E-2</v>
      </c>
      <c r="E588" s="1494">
        <f t="shared" si="783"/>
        <v>5.33E-2</v>
      </c>
      <c r="F588" s="2571">
        <f t="shared" si="783"/>
        <v>4.8300000000000003E-2</v>
      </c>
      <c r="G588" s="1494">
        <f t="shared" si="783"/>
        <v>4.8399999999999999E-2</v>
      </c>
      <c r="H588" s="1494">
        <f t="shared" si="783"/>
        <v>4.6699999999999998E-2</v>
      </c>
      <c r="I588" s="1494">
        <f t="shared" si="783"/>
        <v>4.4600000000000001E-2</v>
      </c>
      <c r="J588" s="1494">
        <f t="shared" si="783"/>
        <v>4.3299999999999998E-2</v>
      </c>
      <c r="K588" s="1494">
        <f t="shared" si="783"/>
        <v>4.2099999999999999E-2</v>
      </c>
      <c r="L588" s="1494">
        <f t="shared" si="783"/>
        <v>4.0800000000000003E-2</v>
      </c>
      <c r="M588" s="1656">
        <f t="shared" si="783"/>
        <v>3.9699999999999999E-2</v>
      </c>
      <c r="N588" s="1656">
        <f t="shared" ref="N588:O588" si="784">ROUND(N583/N586,4)</f>
        <v>3.8600000000000002E-2</v>
      </c>
      <c r="O588" s="1656">
        <f t="shared" si="784"/>
        <v>3.7499999999999999E-2</v>
      </c>
      <c r="P588" s="1495">
        <f t="shared" ref="P588" si="785">ROUND(P583/P586,4)</f>
        <v>3.6400000000000002E-2</v>
      </c>
    </row>
    <row r="589" spans="1:16" x14ac:dyDescent="0.2">
      <c r="A589" s="942"/>
      <c r="B589" s="1273"/>
      <c r="C589" s="1273"/>
      <c r="D589" s="1273"/>
      <c r="E589" s="1271"/>
      <c r="F589" s="1271"/>
      <c r="G589" s="1271"/>
      <c r="H589" s="1271"/>
      <c r="I589" s="1271"/>
      <c r="J589" s="1271"/>
      <c r="K589" s="1271"/>
      <c r="L589" s="1271"/>
      <c r="M589" s="1642"/>
      <c r="N589" s="1642"/>
      <c r="O589" s="1642"/>
      <c r="P589" s="1272"/>
    </row>
    <row r="590" spans="1:16" x14ac:dyDescent="0.2">
      <c r="A590" s="1278"/>
      <c r="B590" s="1275"/>
      <c r="C590" s="1275"/>
      <c r="D590" s="1275"/>
      <c r="E590" s="1275"/>
      <c r="F590" s="2567"/>
      <c r="G590" s="1275"/>
      <c r="H590" s="1275"/>
      <c r="I590" s="1275"/>
      <c r="J590" s="1275"/>
      <c r="K590" s="1275"/>
      <c r="L590" s="1275"/>
      <c r="M590" s="1644"/>
      <c r="N590" s="1644"/>
      <c r="O590" s="1644"/>
      <c r="P590" s="1279"/>
    </row>
    <row r="591" spans="1:16" x14ac:dyDescent="0.2">
      <c r="A591" s="942" t="s">
        <v>4307</v>
      </c>
      <c r="B591" s="442"/>
      <c r="C591" s="442"/>
      <c r="D591" s="442"/>
      <c r="E591" s="442"/>
      <c r="F591" s="764"/>
      <c r="G591" s="442"/>
      <c r="H591" s="442"/>
      <c r="I591" s="442"/>
      <c r="J591" s="442"/>
      <c r="K591" s="442"/>
      <c r="L591" s="442"/>
      <c r="M591" s="1655"/>
      <c r="N591" s="1655"/>
      <c r="O591" s="1655"/>
      <c r="P591" s="918"/>
    </row>
    <row r="592" spans="1:16" x14ac:dyDescent="0.2">
      <c r="A592" s="936" t="s">
        <v>3362</v>
      </c>
      <c r="B592" s="231">
        <v>1156</v>
      </c>
      <c r="C592" s="231">
        <v>1107</v>
      </c>
      <c r="D592" s="231">
        <f>AVERAGE(B592:C592)</f>
        <v>1131.5</v>
      </c>
      <c r="E592" s="231">
        <f t="shared" ref="E592:H594" si="786">AVERAGE(B592:D592)</f>
        <v>1131.5</v>
      </c>
      <c r="F592" s="101">
        <f t="shared" si="786"/>
        <v>1123.3333333333333</v>
      </c>
      <c r="G592" s="231">
        <f t="shared" si="786"/>
        <v>1128.7777777777776</v>
      </c>
      <c r="H592" s="231">
        <f t="shared" si="786"/>
        <v>1127.8703703703702</v>
      </c>
      <c r="I592" s="231">
        <f t="shared" ref="I592:P594" si="787">AVERAGE(F592:H592)</f>
        <v>1126.6604938271603</v>
      </c>
      <c r="J592" s="231">
        <f t="shared" si="787"/>
        <v>1127.7695473251026</v>
      </c>
      <c r="K592" s="231">
        <f t="shared" si="787"/>
        <v>1127.4334705075444</v>
      </c>
      <c r="L592" s="231">
        <f t="shared" si="787"/>
        <v>1127.2878372199357</v>
      </c>
      <c r="M592" s="971">
        <f t="shared" si="787"/>
        <v>1127.4969516841941</v>
      </c>
      <c r="N592" s="971">
        <f t="shared" si="787"/>
        <v>1127.406086470558</v>
      </c>
      <c r="O592" s="971">
        <f t="shared" si="787"/>
        <v>1127.3969584582292</v>
      </c>
      <c r="P592" s="950">
        <f>AVERAGE(M592:O592)</f>
        <v>1127.4333322043269</v>
      </c>
    </row>
    <row r="593" spans="1:16" x14ac:dyDescent="0.2">
      <c r="A593" s="936" t="s">
        <v>574</v>
      </c>
      <c r="B593" s="231">
        <v>331</v>
      </c>
      <c r="C593" s="231">
        <v>309</v>
      </c>
      <c r="D593" s="231">
        <f>AVERAGE(B593:C593)</f>
        <v>320</v>
      </c>
      <c r="E593" s="231">
        <f t="shared" si="786"/>
        <v>320</v>
      </c>
      <c r="F593" s="101">
        <f t="shared" si="786"/>
        <v>316.33333333333331</v>
      </c>
      <c r="G593" s="231">
        <f t="shared" si="786"/>
        <v>318.77777777777777</v>
      </c>
      <c r="H593" s="231">
        <f t="shared" si="786"/>
        <v>318.37037037037038</v>
      </c>
      <c r="I593" s="231">
        <f t="shared" si="787"/>
        <v>317.82716049382719</v>
      </c>
      <c r="J593" s="231">
        <f t="shared" si="787"/>
        <v>318.32510288065845</v>
      </c>
      <c r="K593" s="231">
        <f t="shared" si="787"/>
        <v>318.1742112482853</v>
      </c>
      <c r="L593" s="231">
        <f t="shared" si="787"/>
        <v>318.10882487425698</v>
      </c>
      <c r="M593" s="971">
        <f t="shared" si="787"/>
        <v>318.20271300106691</v>
      </c>
      <c r="N593" s="971">
        <f t="shared" si="787"/>
        <v>318.16191637453636</v>
      </c>
      <c r="O593" s="971">
        <f t="shared" si="787"/>
        <v>318.15781808328671</v>
      </c>
      <c r="P593" s="950">
        <f t="shared" si="787"/>
        <v>318.17414915296331</v>
      </c>
    </row>
    <row r="594" spans="1:16" x14ac:dyDescent="0.2">
      <c r="A594" s="936" t="s">
        <v>1560</v>
      </c>
      <c r="B594" s="231">
        <v>0</v>
      </c>
      <c r="C594" s="231">
        <v>-9</v>
      </c>
      <c r="D594" s="231">
        <f>AVERAGE(B594:C594)</f>
        <v>-4.5</v>
      </c>
      <c r="E594" s="231">
        <f t="shared" si="786"/>
        <v>-4.5</v>
      </c>
      <c r="F594" s="101">
        <f t="shared" si="786"/>
        <v>-6</v>
      </c>
      <c r="G594" s="231">
        <f t="shared" si="786"/>
        <v>-5</v>
      </c>
      <c r="H594" s="231">
        <f t="shared" si="786"/>
        <v>-5.166666666666667</v>
      </c>
      <c r="I594" s="231">
        <f t="shared" si="787"/>
        <v>-5.3888888888888893</v>
      </c>
      <c r="J594" s="231">
        <f t="shared" si="787"/>
        <v>-5.185185185185186</v>
      </c>
      <c r="K594" s="231">
        <f t="shared" si="787"/>
        <v>-5.2469135802469147</v>
      </c>
      <c r="L594" s="231">
        <f t="shared" si="787"/>
        <v>-5.2736625514403306</v>
      </c>
      <c r="M594" s="971">
        <f t="shared" si="787"/>
        <v>-5.235253772290811</v>
      </c>
      <c r="N594" s="971">
        <f t="shared" si="787"/>
        <v>-5.2519433013260191</v>
      </c>
      <c r="O594" s="971">
        <f t="shared" si="787"/>
        <v>-5.2536198750190541</v>
      </c>
      <c r="P594" s="950">
        <f t="shared" si="787"/>
        <v>-5.2469389828786284</v>
      </c>
    </row>
    <row r="595" spans="1:16" x14ac:dyDescent="0.2">
      <c r="A595" s="943" t="s">
        <v>2863</v>
      </c>
      <c r="B595" s="979">
        <f t="shared" ref="B595:M595" si="788">SUM(B592:B594)</f>
        <v>1487</v>
      </c>
      <c r="C595" s="979">
        <f t="shared" si="788"/>
        <v>1407</v>
      </c>
      <c r="D595" s="979">
        <f t="shared" si="788"/>
        <v>1447</v>
      </c>
      <c r="E595" s="979">
        <f t="shared" si="788"/>
        <v>1447</v>
      </c>
      <c r="F595" s="979">
        <f t="shared" si="788"/>
        <v>1433.6666666666665</v>
      </c>
      <c r="G595" s="979">
        <f t="shared" si="788"/>
        <v>1442.5555555555554</v>
      </c>
      <c r="H595" s="979">
        <f t="shared" si="788"/>
        <v>1441.0740740740739</v>
      </c>
      <c r="I595" s="979">
        <f t="shared" si="788"/>
        <v>1439.0987654320986</v>
      </c>
      <c r="J595" s="979">
        <f t="shared" si="788"/>
        <v>1440.9094650205759</v>
      </c>
      <c r="K595" s="979">
        <f t="shared" si="788"/>
        <v>1440.3607681755827</v>
      </c>
      <c r="L595" s="979">
        <f t="shared" si="788"/>
        <v>1440.1229995427523</v>
      </c>
      <c r="M595" s="759">
        <f t="shared" si="788"/>
        <v>1440.4644109129702</v>
      </c>
      <c r="N595" s="2139">
        <f t="shared" ref="N595:O595" si="789">SUM(N592:N594)</f>
        <v>1440.3160595437682</v>
      </c>
      <c r="O595" s="2139">
        <f t="shared" si="789"/>
        <v>1440.3011566664968</v>
      </c>
      <c r="P595" s="1639">
        <f t="shared" ref="P595" si="790">SUM(P592:P594)</f>
        <v>1440.3605423744116</v>
      </c>
    </row>
    <row r="596" spans="1:16" x14ac:dyDescent="0.2">
      <c r="A596" s="936"/>
      <c r="B596" s="764"/>
      <c r="C596" s="764"/>
      <c r="D596" s="442"/>
      <c r="E596" s="442"/>
      <c r="F596" s="764"/>
      <c r="G596" s="442"/>
      <c r="H596" s="442"/>
      <c r="I596" s="442"/>
      <c r="J596" s="442"/>
      <c r="K596" s="442"/>
      <c r="L596" s="442"/>
      <c r="M596" s="1655"/>
      <c r="N596" s="1655"/>
      <c r="O596" s="1655"/>
      <c r="P596" s="918"/>
    </row>
    <row r="597" spans="1:16" x14ac:dyDescent="0.2">
      <c r="A597" s="936" t="s">
        <v>1915</v>
      </c>
      <c r="B597" s="442">
        <v>23991</v>
      </c>
      <c r="C597" s="442">
        <v>25338</v>
      </c>
      <c r="D597" s="442">
        <f>Summaries!Q7/1000+C595</f>
        <v>26663.5</v>
      </c>
      <c r="E597" s="442">
        <f>Summaries!R7/1000+D595</f>
        <v>28080.6</v>
      </c>
      <c r="F597" s="764">
        <f>Summaries!S7/1000+E595</f>
        <v>29550.6</v>
      </c>
      <c r="G597" s="442">
        <f>Summaries!T7/1000+F595</f>
        <v>29446.766666666666</v>
      </c>
      <c r="H597" s="442">
        <f>Summaries!U7/1000+G595</f>
        <v>31004.455555555556</v>
      </c>
      <c r="I597" s="442">
        <f>Summaries!V7/1000+H595</f>
        <v>32644.874074074072</v>
      </c>
      <c r="J597" s="442">
        <f>Summaries!W7/1000+I595</f>
        <v>33554.698765432098</v>
      </c>
      <c r="K597" s="442">
        <f>Summaries!X7/1000+J595</f>
        <v>34494.60946502057</v>
      </c>
      <c r="L597" s="442">
        <f>Summaries!Y7/1000+K595</f>
        <v>35461.060768175579</v>
      </c>
      <c r="M597" s="1654">
        <f>Summaries!Z7/1000+L595</f>
        <v>36455.622999542749</v>
      </c>
      <c r="N597" s="1654">
        <f>Summaries!AA7/1000+M595</f>
        <v>37479.264410912976</v>
      </c>
      <c r="O597" s="1654">
        <f>Summaries!AB7/1000+N595</f>
        <v>38532.816059543766</v>
      </c>
      <c r="P597" s="776">
        <f>Summaries!AC7/1000+O595</f>
        <v>39616.701156666495</v>
      </c>
    </row>
    <row r="598" spans="1:16" x14ac:dyDescent="0.2">
      <c r="A598" s="943" t="s">
        <v>2864</v>
      </c>
      <c r="B598" s="759">
        <f t="shared" ref="B598:M598" si="791">SUM(B597:B597)</f>
        <v>23991</v>
      </c>
      <c r="C598" s="759">
        <f t="shared" si="791"/>
        <v>25338</v>
      </c>
      <c r="D598" s="759">
        <f t="shared" si="791"/>
        <v>26663.5</v>
      </c>
      <c r="E598" s="759">
        <f t="shared" si="791"/>
        <v>28080.6</v>
      </c>
      <c r="F598" s="979">
        <f t="shared" si="791"/>
        <v>29550.6</v>
      </c>
      <c r="G598" s="759">
        <f t="shared" si="791"/>
        <v>29446.766666666666</v>
      </c>
      <c r="H598" s="759">
        <f t="shared" si="791"/>
        <v>31004.455555555556</v>
      </c>
      <c r="I598" s="759">
        <f t="shared" si="791"/>
        <v>32644.874074074072</v>
      </c>
      <c r="J598" s="759">
        <f t="shared" si="791"/>
        <v>33554.698765432098</v>
      </c>
      <c r="K598" s="759">
        <f t="shared" si="791"/>
        <v>34494.60946502057</v>
      </c>
      <c r="L598" s="759">
        <f t="shared" si="791"/>
        <v>35461.060768175579</v>
      </c>
      <c r="M598" s="759">
        <f t="shared" si="791"/>
        <v>36455.622999542749</v>
      </c>
      <c r="N598" s="2139">
        <f t="shared" ref="N598:O598" si="792">SUM(N597:N597)</f>
        <v>37479.264410912976</v>
      </c>
      <c r="O598" s="2139">
        <f t="shared" si="792"/>
        <v>38532.816059543766</v>
      </c>
      <c r="P598" s="1639">
        <f t="shared" ref="P598" si="793">SUM(P597:P597)</f>
        <v>39616.701156666495</v>
      </c>
    </row>
    <row r="599" spans="1:16" x14ac:dyDescent="0.2">
      <c r="A599" s="943"/>
      <c r="B599" s="442"/>
      <c r="C599" s="442"/>
      <c r="D599" s="442"/>
      <c r="E599" s="442"/>
      <c r="F599" s="764"/>
      <c r="G599" s="442"/>
      <c r="H599" s="442"/>
      <c r="I599" s="442"/>
      <c r="J599" s="442"/>
      <c r="K599" s="442"/>
      <c r="L599" s="442"/>
      <c r="M599" s="1492"/>
      <c r="N599" s="1655"/>
      <c r="O599" s="1655"/>
      <c r="P599" s="918"/>
    </row>
    <row r="600" spans="1:16" x14ac:dyDescent="0.2">
      <c r="A600" s="942" t="s">
        <v>4308</v>
      </c>
      <c r="B600" s="1494">
        <f t="shared" ref="B600:M600" si="794">ROUND(B595/B598,4)</f>
        <v>6.2E-2</v>
      </c>
      <c r="C600" s="1494">
        <f t="shared" si="794"/>
        <v>5.5500000000000001E-2</v>
      </c>
      <c r="D600" s="1494">
        <f t="shared" si="794"/>
        <v>5.4300000000000001E-2</v>
      </c>
      <c r="E600" s="1494">
        <f t="shared" si="794"/>
        <v>5.1499999999999997E-2</v>
      </c>
      <c r="F600" s="2571">
        <f t="shared" si="794"/>
        <v>4.8500000000000001E-2</v>
      </c>
      <c r="G600" s="1494">
        <f t="shared" si="794"/>
        <v>4.9000000000000002E-2</v>
      </c>
      <c r="H600" s="1494">
        <f t="shared" si="794"/>
        <v>4.65E-2</v>
      </c>
      <c r="I600" s="1494">
        <f t="shared" si="794"/>
        <v>4.41E-2</v>
      </c>
      <c r="J600" s="1494">
        <f t="shared" si="794"/>
        <v>4.2900000000000001E-2</v>
      </c>
      <c r="K600" s="1494">
        <f t="shared" si="794"/>
        <v>4.1799999999999997E-2</v>
      </c>
      <c r="L600" s="1494">
        <f t="shared" si="794"/>
        <v>4.0599999999999997E-2</v>
      </c>
      <c r="M600" s="1656">
        <f t="shared" si="794"/>
        <v>3.95E-2</v>
      </c>
      <c r="N600" s="1656">
        <f t="shared" ref="N600:O600" si="795">ROUND(N595/N598,4)</f>
        <v>3.8399999999999997E-2</v>
      </c>
      <c r="O600" s="1656">
        <f t="shared" si="795"/>
        <v>3.7400000000000003E-2</v>
      </c>
      <c r="P600" s="1495">
        <f t="shared" ref="P600" si="796">ROUND(P595/P598,4)</f>
        <v>3.6400000000000002E-2</v>
      </c>
    </row>
    <row r="601" spans="1:16" x14ac:dyDescent="0.2">
      <c r="A601" s="942"/>
      <c r="B601" s="1273"/>
      <c r="C601" s="1273"/>
      <c r="D601" s="1273"/>
      <c r="E601" s="1271"/>
      <c r="F601" s="1271"/>
      <c r="G601" s="1271"/>
      <c r="H601" s="1271"/>
      <c r="I601" s="1271"/>
      <c r="J601" s="1271"/>
      <c r="K601" s="1271"/>
      <c r="L601" s="1271"/>
      <c r="M601" s="1642"/>
      <c r="N601" s="1642"/>
      <c r="O601" s="1642"/>
      <c r="P601" s="1272"/>
    </row>
    <row r="602" spans="1:16" x14ac:dyDescent="0.2">
      <c r="A602" s="1278"/>
      <c r="B602" s="1275"/>
      <c r="C602" s="1275"/>
      <c r="D602" s="1275"/>
      <c r="E602" s="1275"/>
      <c r="F602" s="2567"/>
      <c r="G602" s="1275"/>
      <c r="H602" s="1275"/>
      <c r="I602" s="1275"/>
      <c r="J602" s="1275"/>
      <c r="K602" s="1275"/>
      <c r="L602" s="1275"/>
      <c r="M602" s="1644"/>
      <c r="N602" s="1644"/>
      <c r="O602" s="1644"/>
      <c r="P602" s="1279"/>
    </row>
    <row r="603" spans="1:16" x14ac:dyDescent="0.2">
      <c r="A603" s="942" t="s">
        <v>4309</v>
      </c>
      <c r="B603" s="442"/>
      <c r="C603" s="442"/>
      <c r="D603" s="442"/>
      <c r="E603" s="442"/>
      <c r="F603" s="764"/>
      <c r="G603" s="442"/>
      <c r="H603" s="442"/>
      <c r="I603" s="442"/>
      <c r="J603" s="442"/>
      <c r="K603" s="442"/>
      <c r="L603" s="442"/>
      <c r="M603" s="1655"/>
      <c r="N603" s="1655"/>
      <c r="O603" s="1655"/>
      <c r="P603" s="918"/>
    </row>
    <row r="604" spans="1:16" x14ac:dyDescent="0.2">
      <c r="A604" s="936" t="s">
        <v>3362</v>
      </c>
      <c r="B604" s="231">
        <v>368</v>
      </c>
      <c r="C604" s="231">
        <v>400</v>
      </c>
      <c r="D604" s="231">
        <v>387</v>
      </c>
      <c r="E604" s="231">
        <f>AVERAGE(B604:D604)</f>
        <v>385</v>
      </c>
      <c r="F604" s="101">
        <f>AVERAGE(C604:E604)</f>
        <v>390.66666666666669</v>
      </c>
      <c r="G604" s="231">
        <f>AVERAGE(D604:F604)</f>
        <v>387.5555555555556</v>
      </c>
      <c r="H604" s="231">
        <f>AVERAGE(E604:G604)</f>
        <v>387.74074074074082</v>
      </c>
      <c r="I604" s="231">
        <f t="shared" ref="I604:P604" si="797">AVERAGE(F604:H604)</f>
        <v>388.65432098765433</v>
      </c>
      <c r="J604" s="231">
        <f t="shared" si="797"/>
        <v>387.98353909465027</v>
      </c>
      <c r="K604" s="231">
        <f t="shared" si="797"/>
        <v>388.12620027434849</v>
      </c>
      <c r="L604" s="231">
        <f t="shared" si="797"/>
        <v>388.25468678555103</v>
      </c>
      <c r="M604" s="971">
        <f t="shared" si="797"/>
        <v>388.12147538484993</v>
      </c>
      <c r="N604" s="971">
        <f t="shared" si="797"/>
        <v>388.16745414824982</v>
      </c>
      <c r="O604" s="971">
        <f t="shared" si="797"/>
        <v>388.18120543955024</v>
      </c>
      <c r="P604" s="950">
        <f t="shared" si="797"/>
        <v>388.15671165754998</v>
      </c>
    </row>
    <row r="605" spans="1:16" x14ac:dyDescent="0.2">
      <c r="A605" s="936" t="s">
        <v>574</v>
      </c>
      <c r="B605" s="231">
        <v>0</v>
      </c>
      <c r="C605" s="231">
        <v>0</v>
      </c>
      <c r="D605" s="231">
        <f>ROUNDUP(C605+(C605*Assumptions!E$5),-2)</f>
        <v>0</v>
      </c>
      <c r="E605" s="231">
        <f>ROUNDUP(D605+(D605*Assumptions!F$5),-2)</f>
        <v>0</v>
      </c>
      <c r="F605" s="101">
        <f>ROUNDUP(E605+(E605*Assumptions!G$5),-2)</f>
        <v>0</v>
      </c>
      <c r="G605" s="231">
        <f>ROUNDUP(F605+(F605*Assumptions!H$5),-2)</f>
        <v>0</v>
      </c>
      <c r="H605" s="231">
        <f>ROUNDUP(G605+(G605*Assumptions!I$5),-2)</f>
        <v>0</v>
      </c>
      <c r="I605" s="231">
        <f>ROUNDUP(H605+(H605*Assumptions!J$5),-2)</f>
        <v>0</v>
      </c>
      <c r="J605" s="231">
        <f>ROUNDUP(I605+(I605*Assumptions!K$5),-2)</f>
        <v>0</v>
      </c>
      <c r="K605" s="231">
        <f>ROUNDUP(J605+(J605*Assumptions!L$5),-2)</f>
        <v>0</v>
      </c>
      <c r="L605" s="231">
        <f>ROUNDUP(K605+(K605*Assumptions!M$5),-2)</f>
        <v>0</v>
      </c>
      <c r="M605" s="971">
        <f>ROUNDUP(L605+(L605*Assumptions!N$5),-2)</f>
        <v>0</v>
      </c>
      <c r="N605" s="971">
        <f>ROUNDUP(M605+(M605*Assumptions!O$5),-2)</f>
        <v>0</v>
      </c>
      <c r="O605" s="971">
        <f>ROUNDUP(N605+(N605*Assumptions!P$5),-2)</f>
        <v>0</v>
      </c>
      <c r="P605" s="950">
        <f>ROUNDUP(O605+(O605*Assumptions!Q$5),-2)</f>
        <v>0</v>
      </c>
    </row>
    <row r="606" spans="1:16" x14ac:dyDescent="0.2">
      <c r="A606" s="936" t="s">
        <v>1560</v>
      </c>
      <c r="B606" s="231">
        <v>0</v>
      </c>
      <c r="C606" s="231">
        <v>0</v>
      </c>
      <c r="D606" s="231">
        <f>C606</f>
        <v>0</v>
      </c>
      <c r="E606" s="231">
        <f>D606</f>
        <v>0</v>
      </c>
      <c r="F606" s="101">
        <f>E606</f>
        <v>0</v>
      </c>
      <c r="G606" s="231">
        <f t="shared" ref="G606:P606" si="798">F606</f>
        <v>0</v>
      </c>
      <c r="H606" s="231">
        <f t="shared" si="798"/>
        <v>0</v>
      </c>
      <c r="I606" s="231">
        <f t="shared" si="798"/>
        <v>0</v>
      </c>
      <c r="J606" s="231">
        <f t="shared" si="798"/>
        <v>0</v>
      </c>
      <c r="K606" s="231">
        <f t="shared" si="798"/>
        <v>0</v>
      </c>
      <c r="L606" s="231">
        <f t="shared" si="798"/>
        <v>0</v>
      </c>
      <c r="M606" s="971">
        <f t="shared" si="798"/>
        <v>0</v>
      </c>
      <c r="N606" s="971">
        <f t="shared" si="798"/>
        <v>0</v>
      </c>
      <c r="O606" s="971">
        <f t="shared" si="798"/>
        <v>0</v>
      </c>
      <c r="P606" s="950">
        <f t="shared" si="798"/>
        <v>0</v>
      </c>
    </row>
    <row r="607" spans="1:16" x14ac:dyDescent="0.2">
      <c r="A607" s="943" t="s">
        <v>2863</v>
      </c>
      <c r="B607" s="979">
        <f t="shared" ref="B607:M607" si="799">SUM(B604:B606)</f>
        <v>368</v>
      </c>
      <c r="C607" s="979">
        <f t="shared" si="799"/>
        <v>400</v>
      </c>
      <c r="D607" s="979">
        <f t="shared" si="799"/>
        <v>387</v>
      </c>
      <c r="E607" s="979">
        <f t="shared" si="799"/>
        <v>385</v>
      </c>
      <c r="F607" s="979">
        <f t="shared" si="799"/>
        <v>390.66666666666669</v>
      </c>
      <c r="G607" s="979">
        <f t="shared" si="799"/>
        <v>387.5555555555556</v>
      </c>
      <c r="H607" s="979">
        <f t="shared" si="799"/>
        <v>387.74074074074082</v>
      </c>
      <c r="I607" s="979">
        <f t="shared" si="799"/>
        <v>388.65432098765433</v>
      </c>
      <c r="J607" s="979">
        <f t="shared" si="799"/>
        <v>387.98353909465027</v>
      </c>
      <c r="K607" s="979">
        <f t="shared" si="799"/>
        <v>388.12620027434849</v>
      </c>
      <c r="L607" s="979">
        <f t="shared" si="799"/>
        <v>388.25468678555103</v>
      </c>
      <c r="M607" s="759">
        <f t="shared" si="799"/>
        <v>388.12147538484993</v>
      </c>
      <c r="N607" s="2139">
        <f t="shared" ref="N607:O607" si="800">SUM(N604:N606)</f>
        <v>388.16745414824982</v>
      </c>
      <c r="O607" s="2139">
        <f t="shared" si="800"/>
        <v>388.18120543955024</v>
      </c>
      <c r="P607" s="1639">
        <f t="shared" ref="P607" si="801">SUM(P604:P606)</f>
        <v>388.15671165754998</v>
      </c>
    </row>
    <row r="608" spans="1:16" x14ac:dyDescent="0.2">
      <c r="A608" s="936"/>
      <c r="B608" s="764"/>
      <c r="C608" s="764"/>
      <c r="D608" s="442"/>
      <c r="E608" s="442"/>
      <c r="F608" s="764"/>
      <c r="G608" s="442"/>
      <c r="H608" s="442"/>
      <c r="I608" s="442"/>
      <c r="J608" s="442"/>
      <c r="K608" s="442"/>
      <c r="L608" s="442"/>
      <c r="M608" s="1655"/>
      <c r="N608" s="1655"/>
      <c r="O608" s="1655"/>
      <c r="P608" s="918"/>
    </row>
    <row r="609" spans="1:16" x14ac:dyDescent="0.2">
      <c r="A609" s="936" t="s">
        <v>1915</v>
      </c>
      <c r="B609" s="442">
        <v>3077</v>
      </c>
      <c r="C609" s="442">
        <v>3228</v>
      </c>
      <c r="D609" s="442">
        <f>Summaries!AE7/1000+C607</f>
        <v>3492.6</v>
      </c>
      <c r="E609" s="442">
        <f>Summaries!AF7/1000+D607</f>
        <v>3613</v>
      </c>
      <c r="F609" s="764">
        <f>Summaries!AG7/1000+E607</f>
        <v>3752.8</v>
      </c>
      <c r="G609" s="442">
        <f>Summaries!AH7/1000+F607</f>
        <v>3830.1666666666665</v>
      </c>
      <c r="H609" s="442">
        <f>Summaries!AI7/1000+G607</f>
        <v>3918.5555555555557</v>
      </c>
      <c r="I609" s="442">
        <f>Summaries!AJ7/1000+H607</f>
        <v>4012.2407407407409</v>
      </c>
      <c r="J609" s="442">
        <f>Summaries!AK7/1000+I607</f>
        <v>4167.6543209876545</v>
      </c>
      <c r="K609" s="442">
        <f>Summaries!AL7/1000+J607</f>
        <v>4327.3835390946506</v>
      </c>
      <c r="L609" s="442">
        <f>Summaries!AM7/1000+K607</f>
        <v>4495.926200274349</v>
      </c>
      <c r="M609" s="1654">
        <f>Summaries!AN7/1000+L607</f>
        <v>4670.4546867855506</v>
      </c>
      <c r="N609" s="1654">
        <f>Summaries!AO7/1000+M607</f>
        <v>4851.7214753848502</v>
      </c>
      <c r="O609" s="1654">
        <f>Summaries!AP7/1000+N607</f>
        <v>5041.1674541482498</v>
      </c>
      <c r="P609" s="776">
        <f>Summaries!AQ7/1000+O607</f>
        <v>5237.5812054395501</v>
      </c>
    </row>
    <row r="610" spans="1:16" x14ac:dyDescent="0.2">
      <c r="A610" s="943" t="s">
        <v>2864</v>
      </c>
      <c r="B610" s="759">
        <f t="shared" ref="B610:M610" si="802">SUM(B609:B609)</f>
        <v>3077</v>
      </c>
      <c r="C610" s="759">
        <f t="shared" si="802"/>
        <v>3228</v>
      </c>
      <c r="D610" s="759">
        <f t="shared" si="802"/>
        <v>3492.6</v>
      </c>
      <c r="E610" s="759">
        <f t="shared" si="802"/>
        <v>3613</v>
      </c>
      <c r="F610" s="979">
        <f t="shared" si="802"/>
        <v>3752.8</v>
      </c>
      <c r="G610" s="759">
        <f t="shared" si="802"/>
        <v>3830.1666666666665</v>
      </c>
      <c r="H610" s="759">
        <f t="shared" si="802"/>
        <v>3918.5555555555557</v>
      </c>
      <c r="I610" s="759">
        <f t="shared" si="802"/>
        <v>4012.2407407407409</v>
      </c>
      <c r="J610" s="759">
        <f t="shared" si="802"/>
        <v>4167.6543209876545</v>
      </c>
      <c r="K610" s="759">
        <f t="shared" si="802"/>
        <v>4327.3835390946506</v>
      </c>
      <c r="L610" s="759">
        <f t="shared" si="802"/>
        <v>4495.926200274349</v>
      </c>
      <c r="M610" s="759">
        <f t="shared" si="802"/>
        <v>4670.4546867855506</v>
      </c>
      <c r="N610" s="2139">
        <f t="shared" ref="N610:O610" si="803">SUM(N609:N609)</f>
        <v>4851.7214753848502</v>
      </c>
      <c r="O610" s="2139">
        <f t="shared" si="803"/>
        <v>5041.1674541482498</v>
      </c>
      <c r="P610" s="1639">
        <f t="shared" ref="P610" si="804">SUM(P609:P609)</f>
        <v>5237.5812054395501</v>
      </c>
    </row>
    <row r="611" spans="1:16" x14ac:dyDescent="0.2">
      <c r="A611" s="943"/>
      <c r="B611" s="442"/>
      <c r="C611" s="442"/>
      <c r="D611" s="442"/>
      <c r="E611" s="442"/>
      <c r="F611" s="764"/>
      <c r="G611" s="442"/>
      <c r="H611" s="442"/>
      <c r="I611" s="442"/>
      <c r="J611" s="442"/>
      <c r="K611" s="442"/>
      <c r="L611" s="442"/>
      <c r="M611" s="1492"/>
      <c r="N611" s="1655"/>
      <c r="O611" s="1655"/>
      <c r="P611" s="918"/>
    </row>
    <row r="612" spans="1:16" x14ac:dyDescent="0.2">
      <c r="A612" s="942" t="s">
        <v>4310</v>
      </c>
      <c r="B612" s="1494">
        <f t="shared" ref="B612:M612" si="805">ROUND(B607/B610,4)</f>
        <v>0.1196</v>
      </c>
      <c r="C612" s="1494">
        <f t="shared" si="805"/>
        <v>0.1239</v>
      </c>
      <c r="D612" s="1494">
        <f t="shared" si="805"/>
        <v>0.1108</v>
      </c>
      <c r="E612" s="1494">
        <f t="shared" si="805"/>
        <v>0.1066</v>
      </c>
      <c r="F612" s="2571">
        <f t="shared" si="805"/>
        <v>0.1041</v>
      </c>
      <c r="G612" s="1494">
        <f t="shared" si="805"/>
        <v>0.1012</v>
      </c>
      <c r="H612" s="1494">
        <f t="shared" si="805"/>
        <v>9.8900000000000002E-2</v>
      </c>
      <c r="I612" s="1494">
        <f t="shared" si="805"/>
        <v>9.69E-2</v>
      </c>
      <c r="J612" s="1494">
        <f t="shared" si="805"/>
        <v>9.3100000000000002E-2</v>
      </c>
      <c r="K612" s="1494">
        <f t="shared" si="805"/>
        <v>8.9700000000000002E-2</v>
      </c>
      <c r="L612" s="1494">
        <f t="shared" si="805"/>
        <v>8.6400000000000005E-2</v>
      </c>
      <c r="M612" s="1656">
        <f t="shared" si="805"/>
        <v>8.3099999999999993E-2</v>
      </c>
      <c r="N612" s="1656">
        <f t="shared" ref="N612:O612" si="806">ROUND(N607/N610,4)</f>
        <v>0.08</v>
      </c>
      <c r="O612" s="1656">
        <f t="shared" si="806"/>
        <v>7.6999999999999999E-2</v>
      </c>
      <c r="P612" s="1495">
        <f t="shared" ref="P612" si="807">ROUND(P607/P610,4)</f>
        <v>7.4099999999999999E-2</v>
      </c>
    </row>
    <row r="613" spans="1:16" x14ac:dyDescent="0.2">
      <c r="A613" s="942"/>
      <c r="B613" s="1273"/>
      <c r="C613" s="1273"/>
      <c r="D613" s="1273"/>
      <c r="E613" s="1271"/>
      <c r="F613" s="1271"/>
      <c r="G613" s="1271"/>
      <c r="H613" s="1271"/>
      <c r="I613" s="1271"/>
      <c r="J613" s="1271"/>
      <c r="K613" s="1271"/>
      <c r="L613" s="1271"/>
      <c r="M613" s="1642"/>
      <c r="N613" s="1642"/>
      <c r="O613" s="1642"/>
      <c r="P613" s="1272"/>
    </row>
    <row r="614" spans="1:16" x14ac:dyDescent="0.2">
      <c r="A614" s="1278"/>
      <c r="B614" s="1275"/>
      <c r="C614" s="1275"/>
      <c r="D614" s="1275"/>
      <c r="E614" s="1275"/>
      <c r="F614" s="2567"/>
      <c r="G614" s="1275"/>
      <c r="H614" s="1275"/>
      <c r="I614" s="1275"/>
      <c r="J614" s="1275"/>
      <c r="K614" s="1275"/>
      <c r="L614" s="1275"/>
      <c r="M614" s="1644"/>
      <c r="N614" s="1644"/>
      <c r="O614" s="1644"/>
      <c r="P614" s="1279"/>
    </row>
    <row r="615" spans="1:16" x14ac:dyDescent="0.2">
      <c r="A615" s="942" t="s">
        <v>4311</v>
      </c>
      <c r="B615" s="442"/>
      <c r="C615" s="442"/>
      <c r="D615" s="442"/>
      <c r="E615" s="442"/>
      <c r="F615" s="764"/>
      <c r="G615" s="442"/>
      <c r="H615" s="442"/>
      <c r="I615" s="442"/>
      <c r="J615" s="442"/>
      <c r="K615" s="442"/>
      <c r="L615" s="442"/>
      <c r="M615" s="1655"/>
      <c r="N615" s="1655"/>
      <c r="O615" s="1655"/>
      <c r="P615" s="918"/>
    </row>
    <row r="616" spans="1:16" x14ac:dyDescent="0.2">
      <c r="A616" s="936" t="s">
        <v>3362</v>
      </c>
      <c r="B616" s="231">
        <v>874</v>
      </c>
      <c r="C616" s="231">
        <v>509</v>
      </c>
      <c r="D616" s="231">
        <v>530</v>
      </c>
      <c r="E616" s="231">
        <f>AVERAGE(B616:D616)</f>
        <v>637.66666666666663</v>
      </c>
      <c r="F616" s="101">
        <f t="shared" ref="E616:H618" si="808">AVERAGE(C616:E616)</f>
        <v>558.8888888888888</v>
      </c>
      <c r="G616" s="231">
        <f t="shared" si="808"/>
        <v>575.51851851851836</v>
      </c>
      <c r="H616" s="231">
        <f t="shared" si="808"/>
        <v>590.69135802469134</v>
      </c>
      <c r="I616" s="231">
        <f t="shared" ref="I616:P618" si="809">AVERAGE(F616:H616)</f>
        <v>575.03292181069946</v>
      </c>
      <c r="J616" s="231">
        <f t="shared" si="809"/>
        <v>580.41426611796976</v>
      </c>
      <c r="K616" s="231">
        <f t="shared" si="809"/>
        <v>582.0461819844536</v>
      </c>
      <c r="L616" s="231">
        <f t="shared" si="809"/>
        <v>579.16445663770764</v>
      </c>
      <c r="M616" s="971">
        <f t="shared" si="809"/>
        <v>580.54163491337704</v>
      </c>
      <c r="N616" s="971">
        <f t="shared" si="809"/>
        <v>580.58409117851272</v>
      </c>
      <c r="O616" s="971">
        <f t="shared" si="809"/>
        <v>580.09672757653243</v>
      </c>
      <c r="P616" s="950">
        <f t="shared" si="809"/>
        <v>580.40748455614073</v>
      </c>
    </row>
    <row r="617" spans="1:16" x14ac:dyDescent="0.2">
      <c r="A617" s="936" t="s">
        <v>574</v>
      </c>
      <c r="B617" s="231">
        <v>0</v>
      </c>
      <c r="C617" s="231">
        <v>0</v>
      </c>
      <c r="D617" s="231">
        <f>AVERAGE(B617:C617)</f>
        <v>0</v>
      </c>
      <c r="E617" s="231">
        <f t="shared" si="808"/>
        <v>0</v>
      </c>
      <c r="F617" s="101">
        <f t="shared" si="808"/>
        <v>0</v>
      </c>
      <c r="G617" s="231">
        <f t="shared" si="808"/>
        <v>0</v>
      </c>
      <c r="H617" s="231">
        <f t="shared" si="808"/>
        <v>0</v>
      </c>
      <c r="I617" s="231">
        <f t="shared" si="809"/>
        <v>0</v>
      </c>
      <c r="J617" s="231">
        <f t="shared" si="809"/>
        <v>0</v>
      </c>
      <c r="K617" s="231">
        <f t="shared" si="809"/>
        <v>0</v>
      </c>
      <c r="L617" s="231">
        <f t="shared" si="809"/>
        <v>0</v>
      </c>
      <c r="M617" s="971">
        <f t="shared" si="809"/>
        <v>0</v>
      </c>
      <c r="N617" s="971">
        <f t="shared" si="809"/>
        <v>0</v>
      </c>
      <c r="O617" s="971">
        <f t="shared" si="809"/>
        <v>0</v>
      </c>
      <c r="P617" s="950">
        <f t="shared" si="809"/>
        <v>0</v>
      </c>
    </row>
    <row r="618" spans="1:16" x14ac:dyDescent="0.2">
      <c r="A618" s="936" t="s">
        <v>1560</v>
      </c>
      <c r="B618" s="231">
        <v>0</v>
      </c>
      <c r="C618" s="231">
        <v>0</v>
      </c>
      <c r="D618" s="231">
        <f>AVERAGE(B618:C618)</f>
        <v>0</v>
      </c>
      <c r="E618" s="231">
        <f t="shared" si="808"/>
        <v>0</v>
      </c>
      <c r="F618" s="101">
        <f t="shared" si="808"/>
        <v>0</v>
      </c>
      <c r="G618" s="231">
        <f t="shared" si="808"/>
        <v>0</v>
      </c>
      <c r="H618" s="231">
        <f t="shared" si="808"/>
        <v>0</v>
      </c>
      <c r="I618" s="231">
        <f t="shared" si="809"/>
        <v>0</v>
      </c>
      <c r="J618" s="231">
        <f t="shared" si="809"/>
        <v>0</v>
      </c>
      <c r="K618" s="231">
        <f t="shared" si="809"/>
        <v>0</v>
      </c>
      <c r="L618" s="231">
        <f t="shared" si="809"/>
        <v>0</v>
      </c>
      <c r="M618" s="971">
        <f t="shared" si="809"/>
        <v>0</v>
      </c>
      <c r="N618" s="971">
        <f t="shared" si="809"/>
        <v>0</v>
      </c>
      <c r="O618" s="971">
        <f t="shared" si="809"/>
        <v>0</v>
      </c>
      <c r="P618" s="950">
        <f t="shared" si="809"/>
        <v>0</v>
      </c>
    </row>
    <row r="619" spans="1:16" x14ac:dyDescent="0.2">
      <c r="A619" s="943" t="s">
        <v>2863</v>
      </c>
      <c r="B619" s="979">
        <f t="shared" ref="B619:M619" si="810">SUM(B616:B618)</f>
        <v>874</v>
      </c>
      <c r="C619" s="979">
        <f t="shared" si="810"/>
        <v>509</v>
      </c>
      <c r="D619" s="979">
        <f t="shared" si="810"/>
        <v>530</v>
      </c>
      <c r="E619" s="979">
        <f t="shared" si="810"/>
        <v>637.66666666666663</v>
      </c>
      <c r="F619" s="979">
        <f t="shared" si="810"/>
        <v>558.8888888888888</v>
      </c>
      <c r="G619" s="979">
        <f t="shared" si="810"/>
        <v>575.51851851851836</v>
      </c>
      <c r="H619" s="979">
        <f t="shared" si="810"/>
        <v>590.69135802469134</v>
      </c>
      <c r="I619" s="979">
        <f t="shared" si="810"/>
        <v>575.03292181069946</v>
      </c>
      <c r="J619" s="979">
        <f t="shared" si="810"/>
        <v>580.41426611796976</v>
      </c>
      <c r="K619" s="979">
        <f t="shared" si="810"/>
        <v>582.0461819844536</v>
      </c>
      <c r="L619" s="979">
        <f t="shared" si="810"/>
        <v>579.16445663770764</v>
      </c>
      <c r="M619" s="759">
        <f t="shared" si="810"/>
        <v>580.54163491337704</v>
      </c>
      <c r="N619" s="2139">
        <f t="shared" ref="N619:O619" si="811">SUM(N616:N618)</f>
        <v>580.58409117851272</v>
      </c>
      <c r="O619" s="2139">
        <f t="shared" si="811"/>
        <v>580.09672757653243</v>
      </c>
      <c r="P619" s="1639">
        <f t="shared" ref="P619" si="812">SUM(P616:P618)</f>
        <v>580.40748455614073</v>
      </c>
    </row>
    <row r="620" spans="1:16" x14ac:dyDescent="0.2">
      <c r="A620" s="936"/>
      <c r="B620" s="764"/>
      <c r="C620" s="764"/>
      <c r="D620" s="442"/>
      <c r="E620" s="442"/>
      <c r="F620" s="764"/>
      <c r="G620" s="442"/>
      <c r="H620" s="442"/>
      <c r="I620" s="442"/>
      <c r="J620" s="442"/>
      <c r="K620" s="442"/>
      <c r="L620" s="442"/>
      <c r="M620" s="1655"/>
      <c r="N620" s="1655"/>
      <c r="O620" s="1655"/>
      <c r="P620" s="918"/>
    </row>
    <row r="621" spans="1:16" x14ac:dyDescent="0.2">
      <c r="A621" s="936" t="s">
        <v>1915</v>
      </c>
      <c r="B621" s="442">
        <v>11513</v>
      </c>
      <c r="C621" s="442">
        <v>12543</v>
      </c>
      <c r="D621" s="442">
        <f>Summaries!AS7/1000+C619</f>
        <v>13514.5</v>
      </c>
      <c r="E621" s="442">
        <f>Summaries!AT7/1000+D619</f>
        <v>14617.2</v>
      </c>
      <c r="F621" s="764">
        <f>Summaries!AU7/1000+E619</f>
        <v>16024.866666666667</v>
      </c>
      <c r="G621" s="442">
        <f>Summaries!AV7/1000+F619</f>
        <v>16414.888888888891</v>
      </c>
      <c r="H621" s="442">
        <f>Summaries!AW7/1000+G619</f>
        <v>16833.518518518518</v>
      </c>
      <c r="I621" s="442">
        <f>Summaries!AX7/1000+H619</f>
        <v>17260.691358024691</v>
      </c>
      <c r="J621" s="442">
        <f>Summaries!AY7/1000+I619</f>
        <v>17921.0329218107</v>
      </c>
      <c r="K621" s="442">
        <f>Summaries!AZ7/1000+J619</f>
        <v>18453.414266117969</v>
      </c>
      <c r="L621" s="442">
        <f>Summaries!BA7/1000+K619</f>
        <v>18998.046181984453</v>
      </c>
      <c r="M621" s="1654">
        <f>Summaries!BB7/1000+L619</f>
        <v>19555.164456637707</v>
      </c>
      <c r="N621" s="1654">
        <f>Summaries!BC7/1000+M619</f>
        <v>20132.541634913377</v>
      </c>
      <c r="O621" s="1654">
        <f>Summaries!BD7/1000+N619</f>
        <v>20726.584091178513</v>
      </c>
      <c r="P621" s="776">
        <f>Summaries!BE7/1000+O619</f>
        <v>21338.096727576532</v>
      </c>
    </row>
    <row r="622" spans="1:16" x14ac:dyDescent="0.2">
      <c r="A622" s="943" t="s">
        <v>2864</v>
      </c>
      <c r="B622" s="759">
        <f t="shared" ref="B622:M622" si="813">SUM(B621:B621)</f>
        <v>11513</v>
      </c>
      <c r="C622" s="759">
        <f t="shared" si="813"/>
        <v>12543</v>
      </c>
      <c r="D622" s="759">
        <f t="shared" si="813"/>
        <v>13514.5</v>
      </c>
      <c r="E622" s="759">
        <f t="shared" si="813"/>
        <v>14617.2</v>
      </c>
      <c r="F622" s="979">
        <f t="shared" si="813"/>
        <v>16024.866666666667</v>
      </c>
      <c r="G622" s="759">
        <f t="shared" si="813"/>
        <v>16414.888888888891</v>
      </c>
      <c r="H622" s="759">
        <f t="shared" si="813"/>
        <v>16833.518518518518</v>
      </c>
      <c r="I622" s="759">
        <f t="shared" si="813"/>
        <v>17260.691358024691</v>
      </c>
      <c r="J622" s="759">
        <f t="shared" si="813"/>
        <v>17921.0329218107</v>
      </c>
      <c r="K622" s="759">
        <f t="shared" si="813"/>
        <v>18453.414266117969</v>
      </c>
      <c r="L622" s="759">
        <f t="shared" si="813"/>
        <v>18998.046181984453</v>
      </c>
      <c r="M622" s="759">
        <f t="shared" si="813"/>
        <v>19555.164456637707</v>
      </c>
      <c r="N622" s="2139">
        <f t="shared" ref="N622:O622" si="814">SUM(N621:N621)</f>
        <v>20132.541634913377</v>
      </c>
      <c r="O622" s="2139">
        <f t="shared" si="814"/>
        <v>20726.584091178513</v>
      </c>
      <c r="P622" s="1639">
        <f t="shared" ref="P622" si="815">SUM(P621:P621)</f>
        <v>21338.096727576532</v>
      </c>
    </row>
    <row r="623" spans="1:16" x14ac:dyDescent="0.2">
      <c r="A623" s="943"/>
      <c r="B623" s="442"/>
      <c r="C623" s="442"/>
      <c r="D623" s="442"/>
      <c r="E623" s="442"/>
      <c r="F623" s="764"/>
      <c r="G623" s="442"/>
      <c r="H623" s="442"/>
      <c r="I623" s="442"/>
      <c r="J623" s="442"/>
      <c r="K623" s="442"/>
      <c r="L623" s="442"/>
      <c r="M623" s="1492"/>
      <c r="N623" s="1655"/>
      <c r="O623" s="1655"/>
      <c r="P623" s="918"/>
    </row>
    <row r="624" spans="1:16" x14ac:dyDescent="0.2">
      <c r="A624" s="942" t="s">
        <v>4312</v>
      </c>
      <c r="B624" s="1494">
        <f t="shared" ref="B624:M624" si="816">ROUND(B619/B622,4)</f>
        <v>7.5899999999999995E-2</v>
      </c>
      <c r="C624" s="1494">
        <f t="shared" si="816"/>
        <v>4.0599999999999997E-2</v>
      </c>
      <c r="D624" s="1494">
        <f t="shared" si="816"/>
        <v>3.9199999999999999E-2</v>
      </c>
      <c r="E624" s="1494">
        <f t="shared" si="816"/>
        <v>4.36E-2</v>
      </c>
      <c r="F624" s="2571">
        <f t="shared" si="816"/>
        <v>3.49E-2</v>
      </c>
      <c r="G624" s="1494">
        <f t="shared" si="816"/>
        <v>3.5099999999999999E-2</v>
      </c>
      <c r="H624" s="1494">
        <f t="shared" si="816"/>
        <v>3.5099999999999999E-2</v>
      </c>
      <c r="I624" s="1494">
        <f t="shared" si="816"/>
        <v>3.3300000000000003E-2</v>
      </c>
      <c r="J624" s="1494">
        <f t="shared" si="816"/>
        <v>3.2399999999999998E-2</v>
      </c>
      <c r="K624" s="1494">
        <f t="shared" si="816"/>
        <v>3.15E-2</v>
      </c>
      <c r="L624" s="1494">
        <f t="shared" si="816"/>
        <v>3.0499999999999999E-2</v>
      </c>
      <c r="M624" s="1656">
        <f t="shared" si="816"/>
        <v>2.9700000000000001E-2</v>
      </c>
      <c r="N624" s="1656">
        <f t="shared" ref="N624:O624" si="817">ROUND(N619/N622,4)</f>
        <v>2.8799999999999999E-2</v>
      </c>
      <c r="O624" s="1656">
        <f t="shared" si="817"/>
        <v>2.8000000000000001E-2</v>
      </c>
      <c r="P624" s="1495">
        <f t="shared" ref="P624" si="818">ROUND(P619/P622,4)</f>
        <v>2.7199999999999998E-2</v>
      </c>
    </row>
    <row r="625" spans="1:16" ht="13.5" thickBot="1" x14ac:dyDescent="0.25">
      <c r="A625" s="1555"/>
      <c r="B625" s="948"/>
      <c r="C625" s="948"/>
      <c r="D625" s="948"/>
      <c r="E625" s="948"/>
      <c r="F625" s="2562"/>
      <c r="G625" s="948"/>
      <c r="H625" s="948"/>
      <c r="I625" s="948"/>
      <c r="J625" s="948"/>
      <c r="K625" s="948"/>
      <c r="L625" s="948"/>
      <c r="M625" s="1670"/>
      <c r="N625" s="1670"/>
      <c r="O625" s="1670"/>
      <c r="P625" s="1556"/>
    </row>
    <row r="626" spans="1:16" s="779" customFormat="1" ht="17.25" thickTop="1" thickBot="1" x14ac:dyDescent="0.3">
      <c r="A626" s="2853" t="s">
        <v>5157</v>
      </c>
      <c r="B626" s="2854"/>
      <c r="C626" s="2854"/>
      <c r="D626" s="2854"/>
      <c r="E626" s="2854"/>
      <c r="F626" s="2854"/>
      <c r="G626" s="2854"/>
      <c r="H626" s="2854"/>
      <c r="I626" s="2854"/>
      <c r="J626" s="2854"/>
      <c r="K626" s="2854"/>
      <c r="L626" s="2854"/>
      <c r="M626" s="2854"/>
      <c r="N626" s="2854"/>
      <c r="O626" s="2854"/>
      <c r="P626" s="2855"/>
    </row>
    <row r="627" spans="1:16" ht="13.5" thickBot="1" x14ac:dyDescent="0.25">
      <c r="A627" s="1677" t="str">
        <f t="shared" ref="A627:M627" si="819">A577</f>
        <v>Item</v>
      </c>
      <c r="B627" s="1678" t="str">
        <f t="shared" si="819"/>
        <v>2012/13</v>
      </c>
      <c r="C627" s="1678" t="str">
        <f t="shared" si="819"/>
        <v>2013/14</v>
      </c>
      <c r="D627" s="1678" t="str">
        <f t="shared" si="819"/>
        <v>2014/15</v>
      </c>
      <c r="E627" s="1679" t="str">
        <f t="shared" si="819"/>
        <v>2015/16</v>
      </c>
      <c r="F627" s="1679" t="str">
        <f t="shared" si="819"/>
        <v>2016/17</v>
      </c>
      <c r="G627" s="1679" t="str">
        <f t="shared" si="819"/>
        <v>2017/18</v>
      </c>
      <c r="H627" s="1679" t="str">
        <f t="shared" si="819"/>
        <v>2018/19</v>
      </c>
      <c r="I627" s="1679" t="str">
        <f t="shared" si="819"/>
        <v>2019/20</v>
      </c>
      <c r="J627" s="1679" t="str">
        <f t="shared" si="819"/>
        <v>2020/21</v>
      </c>
      <c r="K627" s="1679" t="str">
        <f t="shared" si="819"/>
        <v>2021/22</v>
      </c>
      <c r="L627" s="1679" t="str">
        <f t="shared" si="819"/>
        <v>2022/23</v>
      </c>
      <c r="M627" s="1680" t="str">
        <f t="shared" si="819"/>
        <v>2023/24</v>
      </c>
      <c r="N627" s="1680" t="str">
        <f t="shared" ref="N627:O627" si="820">N577</f>
        <v>2024/25</v>
      </c>
      <c r="O627" s="1680" t="str">
        <f t="shared" si="820"/>
        <v>2025/26</v>
      </c>
      <c r="P627" s="1681" t="str">
        <f t="shared" ref="P627" si="821">P577</f>
        <v>2026/27</v>
      </c>
    </row>
    <row r="628" spans="1:16" x14ac:dyDescent="0.2">
      <c r="A628" s="1676"/>
      <c r="B628" s="442"/>
      <c r="C628" s="442"/>
      <c r="D628" s="442"/>
      <c r="E628" s="442"/>
      <c r="F628" s="764"/>
      <c r="G628" s="442"/>
      <c r="H628" s="442"/>
      <c r="I628" s="442"/>
      <c r="J628" s="442"/>
      <c r="K628" s="442"/>
      <c r="L628" s="442"/>
      <c r="M628" s="1654"/>
      <c r="N628" s="1654"/>
      <c r="O628" s="1654"/>
      <c r="P628" s="776"/>
    </row>
    <row r="629" spans="1:16" x14ac:dyDescent="0.2">
      <c r="A629" s="942" t="s">
        <v>4325</v>
      </c>
      <c r="B629" s="442"/>
      <c r="C629" s="442"/>
      <c r="D629" s="442"/>
      <c r="E629" s="442"/>
      <c r="F629" s="764"/>
      <c r="G629" s="442"/>
      <c r="H629" s="442"/>
      <c r="I629" s="442"/>
      <c r="J629" s="442"/>
      <c r="K629" s="442"/>
      <c r="L629" s="442"/>
      <c r="M629" s="1655"/>
      <c r="N629" s="1655"/>
      <c r="O629" s="1655"/>
      <c r="P629" s="918"/>
    </row>
    <row r="630" spans="1:16" x14ac:dyDescent="0.2">
      <c r="A630" s="936" t="s">
        <v>4326</v>
      </c>
      <c r="B630" s="231">
        <v>71026</v>
      </c>
      <c r="C630" s="231">
        <v>58241</v>
      </c>
      <c r="D630" s="231">
        <f t="shared" ref="D630:O630" si="822">D129</f>
        <v>60899</v>
      </c>
      <c r="E630" s="231">
        <f t="shared" si="822"/>
        <v>59905</v>
      </c>
      <c r="F630" s="101">
        <f t="shared" si="822"/>
        <v>43690</v>
      </c>
      <c r="G630" s="231">
        <f t="shared" si="822"/>
        <v>47980</v>
      </c>
      <c r="H630" s="231">
        <f t="shared" si="822"/>
        <v>44320</v>
      </c>
      <c r="I630" s="231">
        <f t="shared" si="822"/>
        <v>52970</v>
      </c>
      <c r="J630" s="231">
        <f t="shared" si="822"/>
        <v>50730</v>
      </c>
      <c r="K630" s="231">
        <f t="shared" si="822"/>
        <v>50370</v>
      </c>
      <c r="L630" s="231">
        <f t="shared" si="822"/>
        <v>56930</v>
      </c>
      <c r="M630" s="971">
        <f t="shared" si="822"/>
        <v>63760</v>
      </c>
      <c r="N630" s="971">
        <f t="shared" si="822"/>
        <v>74320</v>
      </c>
      <c r="O630" s="971">
        <f t="shared" si="822"/>
        <v>87160</v>
      </c>
      <c r="P630" s="950">
        <f t="shared" ref="P630" si="823">P129</f>
        <v>97180</v>
      </c>
    </row>
    <row r="631" spans="1:16" x14ac:dyDescent="0.2">
      <c r="A631" s="936" t="s">
        <v>4327</v>
      </c>
      <c r="B631" s="231">
        <v>53852</v>
      </c>
      <c r="C631" s="231">
        <v>72920</v>
      </c>
      <c r="D631" s="231">
        <f>ROUNDUP(C631+(C631*Assumptions!E$5),-1)</f>
        <v>75110</v>
      </c>
      <c r="E631" s="231">
        <f>ROUNDUP(D631+(D631*Assumptions!F$5),-1)</f>
        <v>76920</v>
      </c>
      <c r="F631" s="101">
        <f>ROUNDUP(E631+(E631*Assumptions!G$5),-1)</f>
        <v>78460</v>
      </c>
      <c r="G631" s="231">
        <f>ROUNDUP(F631+(F631*Assumptions!H$5),-1)</f>
        <v>79640</v>
      </c>
      <c r="H631" s="231">
        <f>ROUNDUP(G631+(G631*Assumptions!I$5),-1)</f>
        <v>81640</v>
      </c>
      <c r="I631" s="231">
        <f>ROUNDUP(H631+(H631*Assumptions!J$5),-1)</f>
        <v>83690</v>
      </c>
      <c r="J631" s="231">
        <f>ROUNDUP(I631+(I631*Assumptions!K$5),-1)</f>
        <v>85790</v>
      </c>
      <c r="K631" s="231">
        <f>ROUNDUP(J631+(J631*Assumptions!L$5),-1)</f>
        <v>87510</v>
      </c>
      <c r="L631" s="231">
        <f>ROUNDUP(K631+(K631*Assumptions!M$5),-1)</f>
        <v>89270</v>
      </c>
      <c r="M631" s="971">
        <f>ROUNDUP(L631+(L631*Assumptions!N$5),-1)</f>
        <v>91060</v>
      </c>
      <c r="N631" s="971">
        <f>ROUNDUP(M631+(M631*Assumptions!O$5),-1)</f>
        <v>92890</v>
      </c>
      <c r="O631" s="971">
        <f>ROUNDUP(N631+(N631*Assumptions!P$5),-1)</f>
        <v>94750</v>
      </c>
      <c r="P631" s="950">
        <f>ROUNDUP(O631+(O631*Assumptions!Q$5),-1)</f>
        <v>96650</v>
      </c>
    </row>
    <row r="632" spans="1:16" x14ac:dyDescent="0.2">
      <c r="A632" s="942" t="s">
        <v>4324</v>
      </c>
      <c r="B632" s="1494">
        <f t="shared" ref="B632:M632" si="824">B630/B631*12/100</f>
        <v>0.15826933075837479</v>
      </c>
      <c r="C632" s="1494">
        <f t="shared" si="824"/>
        <v>9.584366428963248E-2</v>
      </c>
      <c r="D632" s="1494">
        <f t="shared" si="824"/>
        <v>9.7295699640527214E-2</v>
      </c>
      <c r="E632" s="1494">
        <f t="shared" si="824"/>
        <v>9.3455538221528869E-2</v>
      </c>
      <c r="F632" s="2571">
        <f t="shared" si="824"/>
        <v>6.6821310221769042E-2</v>
      </c>
      <c r="G632" s="1494">
        <f t="shared" si="824"/>
        <v>7.2295328980411855E-2</v>
      </c>
      <c r="H632" s="1494">
        <f t="shared" si="824"/>
        <v>6.5144536991670748E-2</v>
      </c>
      <c r="I632" s="1494">
        <f t="shared" si="824"/>
        <v>7.5951726610108725E-2</v>
      </c>
      <c r="J632" s="1494">
        <f t="shared" si="824"/>
        <v>7.0959319267979951E-2</v>
      </c>
      <c r="K632" s="1494">
        <f t="shared" si="824"/>
        <v>6.9070963318477896E-2</v>
      </c>
      <c r="L632" s="1494">
        <f t="shared" si="824"/>
        <v>7.652738882043239E-2</v>
      </c>
      <c r="M632" s="1656">
        <f t="shared" si="824"/>
        <v>8.4023720623764564E-2</v>
      </c>
      <c r="N632" s="1656">
        <f t="shared" ref="N632:O632" si="825">N630/N631*12/100</f>
        <v>9.6010334804607605E-2</v>
      </c>
      <c r="O632" s="1656">
        <f t="shared" si="825"/>
        <v>0.11038733509234827</v>
      </c>
      <c r="P632" s="1495">
        <f t="shared" ref="P632" si="826">P630/P631*12/100</f>
        <v>0.1206580444904294</v>
      </c>
    </row>
    <row r="633" spans="1:16" x14ac:dyDescent="0.2">
      <c r="A633" s="942"/>
      <c r="B633" s="1273"/>
      <c r="C633" s="1273"/>
      <c r="D633" s="1273"/>
      <c r="E633" s="1271"/>
      <c r="F633" s="1271"/>
      <c r="G633" s="1271"/>
      <c r="H633" s="1271"/>
      <c r="I633" s="1271"/>
      <c r="J633" s="1271"/>
      <c r="K633" s="1271"/>
      <c r="L633" s="1271"/>
      <c r="M633" s="1642"/>
      <c r="N633" s="1642"/>
      <c r="O633" s="1642"/>
      <c r="P633" s="1272"/>
    </row>
    <row r="634" spans="1:16" x14ac:dyDescent="0.2">
      <c r="A634" s="1278"/>
      <c r="B634" s="1275"/>
      <c r="C634" s="1275"/>
      <c r="D634" s="1275"/>
      <c r="E634" s="1275"/>
      <c r="F634" s="2567"/>
      <c r="G634" s="1275"/>
      <c r="H634" s="1275"/>
      <c r="I634" s="1275"/>
      <c r="J634" s="1275"/>
      <c r="K634" s="1275"/>
      <c r="L634" s="1275"/>
      <c r="M634" s="1644"/>
      <c r="N634" s="1644"/>
      <c r="O634" s="1644"/>
      <c r="P634" s="1279"/>
    </row>
    <row r="635" spans="1:16" x14ac:dyDescent="0.2">
      <c r="A635" s="942" t="s">
        <v>4328</v>
      </c>
      <c r="B635" s="442"/>
      <c r="C635" s="442"/>
      <c r="D635" s="442"/>
      <c r="E635" s="442"/>
      <c r="F635" s="764"/>
      <c r="G635" s="442"/>
      <c r="H635" s="442"/>
      <c r="I635" s="442"/>
      <c r="J635" s="442"/>
      <c r="K635" s="442"/>
      <c r="L635" s="442"/>
      <c r="M635" s="1655"/>
      <c r="N635" s="1655"/>
      <c r="O635" s="1655"/>
      <c r="P635" s="918"/>
    </row>
    <row r="636" spans="1:16" x14ac:dyDescent="0.2">
      <c r="A636" s="936" t="s">
        <v>4326</v>
      </c>
      <c r="B636" s="231">
        <v>12264</v>
      </c>
      <c r="C636" s="231">
        <v>30522</v>
      </c>
      <c r="D636" s="231">
        <f t="shared" ref="D636:O636" si="827">D6</f>
        <v>38979</v>
      </c>
      <c r="E636" s="231">
        <f t="shared" si="827"/>
        <v>36692</v>
      </c>
      <c r="F636" s="101">
        <f t="shared" si="827"/>
        <v>23000</v>
      </c>
      <c r="G636" s="231">
        <f t="shared" si="827"/>
        <v>28700</v>
      </c>
      <c r="H636" s="231">
        <f t="shared" si="827"/>
        <v>22100</v>
      </c>
      <c r="I636" s="231">
        <f t="shared" si="827"/>
        <v>27700</v>
      </c>
      <c r="J636" s="231">
        <f t="shared" si="827"/>
        <v>24700</v>
      </c>
      <c r="K636" s="231">
        <f t="shared" si="827"/>
        <v>25400</v>
      </c>
      <c r="L636" s="231">
        <f t="shared" si="827"/>
        <v>29400</v>
      </c>
      <c r="M636" s="971">
        <f t="shared" si="827"/>
        <v>31500</v>
      </c>
      <c r="N636" s="971">
        <f t="shared" si="827"/>
        <v>36300</v>
      </c>
      <c r="O636" s="971">
        <f t="shared" si="827"/>
        <v>40600</v>
      </c>
      <c r="P636" s="950">
        <f t="shared" ref="P636" si="828">P6</f>
        <v>43700</v>
      </c>
    </row>
    <row r="637" spans="1:16" x14ac:dyDescent="0.2">
      <c r="A637" s="936" t="s">
        <v>4327</v>
      </c>
      <c r="B637" s="231">
        <v>44347</v>
      </c>
      <c r="C637" s="231">
        <v>43121</v>
      </c>
      <c r="D637" s="231">
        <f>ROUNDUP(C637+(C637*Assumptions!E$5),-1)</f>
        <v>44420</v>
      </c>
      <c r="E637" s="231">
        <f>ROUNDUP(D637+(D637*Assumptions!F$5),-1)</f>
        <v>45490</v>
      </c>
      <c r="F637" s="101">
        <f>ROUNDUP(E637+(E637*Assumptions!G$5),-1)</f>
        <v>46400</v>
      </c>
      <c r="G637" s="231">
        <f>ROUNDUP(F637+(F637*Assumptions!H$5),-1)</f>
        <v>47100</v>
      </c>
      <c r="H637" s="231">
        <f>ROUNDUP(G637+(G637*Assumptions!I$5),-1)</f>
        <v>48280</v>
      </c>
      <c r="I637" s="231">
        <f>ROUNDUP(H637+(H637*Assumptions!J$5),-1)</f>
        <v>49490</v>
      </c>
      <c r="J637" s="231">
        <f>ROUNDUP(I637+(I637*Assumptions!K$5),-1)</f>
        <v>50730</v>
      </c>
      <c r="K637" s="231">
        <f>ROUNDUP(J637+(J637*Assumptions!L$5),-1)</f>
        <v>51750</v>
      </c>
      <c r="L637" s="231">
        <f>ROUNDUP(K637+(K637*Assumptions!M$5),-1)</f>
        <v>52790</v>
      </c>
      <c r="M637" s="971">
        <f>ROUNDUP(L637+(L637*Assumptions!N$5),-1)</f>
        <v>53850</v>
      </c>
      <c r="N637" s="971">
        <f>ROUNDUP(M637+(M637*Assumptions!O$5),-1)</f>
        <v>54930</v>
      </c>
      <c r="O637" s="971">
        <f>ROUNDUP(N637+(N637*Assumptions!P$5),-1)</f>
        <v>56030</v>
      </c>
      <c r="P637" s="950">
        <f>ROUNDUP(O637+(O637*Assumptions!Q$5),-1)</f>
        <v>57160</v>
      </c>
    </row>
    <row r="638" spans="1:16" x14ac:dyDescent="0.2">
      <c r="A638" s="942" t="s">
        <v>4329</v>
      </c>
      <c r="B638" s="1494">
        <f t="shared" ref="B638:M638" si="829">B636/B637*12/100</f>
        <v>3.318555933885043E-2</v>
      </c>
      <c r="C638" s="1494">
        <f t="shared" si="829"/>
        <v>8.4938660977250072E-2</v>
      </c>
      <c r="D638" s="1494">
        <f t="shared" si="829"/>
        <v>0.10530121566861773</v>
      </c>
      <c r="E638" s="1494">
        <f t="shared" si="829"/>
        <v>9.6791382721477248E-2</v>
      </c>
      <c r="F638" s="2571">
        <f t="shared" si="829"/>
        <v>5.9482758620689663E-2</v>
      </c>
      <c r="G638" s="1494">
        <f t="shared" si="829"/>
        <v>7.3121019108280241E-2</v>
      </c>
      <c r="H638" s="1494">
        <f t="shared" si="829"/>
        <v>5.4929577464788729E-2</v>
      </c>
      <c r="I638" s="1494">
        <f t="shared" si="829"/>
        <v>6.7165083855324326E-2</v>
      </c>
      <c r="J638" s="1494">
        <f t="shared" si="829"/>
        <v>5.8426966292134834E-2</v>
      </c>
      <c r="K638" s="1494">
        <f t="shared" si="829"/>
        <v>5.8898550724637684E-2</v>
      </c>
      <c r="L638" s="1494">
        <f t="shared" si="829"/>
        <v>6.6830839174085999E-2</v>
      </c>
      <c r="M638" s="1656">
        <f t="shared" si="829"/>
        <v>7.0194986072423401E-2</v>
      </c>
      <c r="N638" s="1656">
        <f t="shared" ref="N638:O638" si="830">N636/N637*12/100</f>
        <v>7.9300928454396513E-2</v>
      </c>
      <c r="O638" s="1656">
        <f t="shared" si="830"/>
        <v>8.6953417811886494E-2</v>
      </c>
      <c r="P638" s="1495">
        <f t="shared" ref="P638" si="831">P636/P637*12/100</f>
        <v>9.1742477256822955E-2</v>
      </c>
    </row>
    <row r="639" spans="1:16" x14ac:dyDescent="0.2">
      <c r="A639" s="942"/>
      <c r="B639" s="1273"/>
      <c r="C639" s="1273"/>
      <c r="D639" s="1273"/>
      <c r="E639" s="1271"/>
      <c r="F639" s="1271"/>
      <c r="G639" s="1271"/>
      <c r="H639" s="1271"/>
      <c r="I639" s="1271"/>
      <c r="J639" s="1271"/>
      <c r="K639" s="1271"/>
      <c r="L639" s="1271"/>
      <c r="M639" s="1642"/>
      <c r="N639" s="1642"/>
      <c r="O639" s="1642"/>
      <c r="P639" s="1272"/>
    </row>
    <row r="640" spans="1:16" x14ac:dyDescent="0.2">
      <c r="A640" s="1278"/>
      <c r="B640" s="1275"/>
      <c r="C640" s="1275"/>
      <c r="D640" s="1275"/>
      <c r="E640" s="1275"/>
      <c r="F640" s="2567"/>
      <c r="G640" s="1275"/>
      <c r="H640" s="1275"/>
      <c r="I640" s="1275"/>
      <c r="J640" s="1275"/>
      <c r="K640" s="1275"/>
      <c r="L640" s="1275"/>
      <c r="M640" s="1644"/>
      <c r="N640" s="1644"/>
      <c r="O640" s="1644"/>
      <c r="P640" s="1279"/>
    </row>
    <row r="641" spans="1:16" x14ac:dyDescent="0.2">
      <c r="A641" s="942" t="s">
        <v>4330</v>
      </c>
      <c r="B641" s="442"/>
      <c r="C641" s="442"/>
      <c r="D641" s="442"/>
      <c r="E641" s="442"/>
      <c r="F641" s="764"/>
      <c r="G641" s="442"/>
      <c r="H641" s="442"/>
      <c r="I641" s="442"/>
      <c r="J641" s="442"/>
      <c r="K641" s="442"/>
      <c r="L641" s="442"/>
      <c r="M641" s="1655"/>
      <c r="N641" s="1655"/>
      <c r="O641" s="1655"/>
      <c r="P641" s="918"/>
    </row>
    <row r="642" spans="1:16" x14ac:dyDescent="0.2">
      <c r="A642" s="936" t="s">
        <v>4326</v>
      </c>
      <c r="B642" s="231">
        <v>2380</v>
      </c>
      <c r="C642" s="231">
        <v>9662</v>
      </c>
      <c r="D642" s="231">
        <f t="shared" ref="D642:O642" si="832">D47</f>
        <v>9094</v>
      </c>
      <c r="E642" s="231">
        <f t="shared" si="832"/>
        <v>9625</v>
      </c>
      <c r="F642" s="101">
        <f t="shared" si="832"/>
        <v>9920</v>
      </c>
      <c r="G642" s="231">
        <f t="shared" si="832"/>
        <v>9970</v>
      </c>
      <c r="H642" s="231">
        <f t="shared" si="832"/>
        <v>11100</v>
      </c>
      <c r="I642" s="231">
        <f t="shared" si="832"/>
        <v>11220</v>
      </c>
      <c r="J642" s="231">
        <f t="shared" si="832"/>
        <v>11700</v>
      </c>
      <c r="K642" s="231">
        <f t="shared" si="832"/>
        <v>10160</v>
      </c>
      <c r="L642" s="231">
        <f t="shared" si="832"/>
        <v>11610</v>
      </c>
      <c r="M642" s="971">
        <f t="shared" si="832"/>
        <v>11320</v>
      </c>
      <c r="N642" s="971">
        <f t="shared" si="832"/>
        <v>11510</v>
      </c>
      <c r="O642" s="971">
        <f t="shared" si="832"/>
        <v>13870</v>
      </c>
      <c r="P642" s="950">
        <f t="shared" ref="P642" si="833">P47</f>
        <v>13870</v>
      </c>
    </row>
    <row r="643" spans="1:16" x14ac:dyDescent="0.2">
      <c r="A643" s="936" t="s">
        <v>4327</v>
      </c>
      <c r="B643" s="231">
        <v>8922</v>
      </c>
      <c r="C643" s="231">
        <v>9076</v>
      </c>
      <c r="D643" s="231">
        <f>ROUNDUP(C643+(C643*Assumptions!E$5),-1)</f>
        <v>9350</v>
      </c>
      <c r="E643" s="231">
        <f>ROUNDUP(D643+(D643*Assumptions!F$5),-1)</f>
        <v>9580</v>
      </c>
      <c r="F643" s="101">
        <f>ROUNDUP(E643+(E643*Assumptions!G$5),-1)</f>
        <v>9780</v>
      </c>
      <c r="G643" s="231">
        <f>ROUNDUP(F643+(F643*Assumptions!H$5),-1)</f>
        <v>9930</v>
      </c>
      <c r="H643" s="231">
        <f>ROUNDUP(G643+(G643*Assumptions!I$5),-1)</f>
        <v>10180</v>
      </c>
      <c r="I643" s="231">
        <f>ROUNDUP(H643+(H643*Assumptions!J$5),-1)</f>
        <v>10440</v>
      </c>
      <c r="J643" s="231">
        <f>ROUNDUP(I643+(I643*Assumptions!K$5),-1)</f>
        <v>10710</v>
      </c>
      <c r="K643" s="231">
        <f>ROUNDUP(J643+(J643*Assumptions!L$5),-1)</f>
        <v>10930</v>
      </c>
      <c r="L643" s="231">
        <f>ROUNDUP(K643+(K643*Assumptions!M$5),-1)</f>
        <v>11150</v>
      </c>
      <c r="M643" s="971">
        <f>ROUNDUP(L643+(L643*Assumptions!N$5),-1)</f>
        <v>11380</v>
      </c>
      <c r="N643" s="971">
        <f>ROUNDUP(M643+(M643*Assumptions!O$5),-1)</f>
        <v>11610</v>
      </c>
      <c r="O643" s="971">
        <f>ROUNDUP(N643+(N643*Assumptions!P$5),-1)</f>
        <v>11850</v>
      </c>
      <c r="P643" s="950">
        <f>ROUNDUP(O643+(O643*Assumptions!Q$5),-1)</f>
        <v>12090</v>
      </c>
    </row>
    <row r="644" spans="1:16" x14ac:dyDescent="0.2">
      <c r="A644" s="942" t="s">
        <v>4331</v>
      </c>
      <c r="B644" s="2049">
        <f>B642/B643*12</f>
        <v>3.2010759919300602</v>
      </c>
      <c r="C644" s="2049">
        <f t="shared" ref="C644:N644" si="834">C642/C643*12</f>
        <v>12.774790656676952</v>
      </c>
      <c r="D644" s="2049">
        <f t="shared" si="834"/>
        <v>11.67144385026738</v>
      </c>
      <c r="E644" s="2049">
        <f t="shared" si="834"/>
        <v>12.056367432150314</v>
      </c>
      <c r="F644" s="2579">
        <f t="shared" si="834"/>
        <v>12.171779141104295</v>
      </c>
      <c r="G644" s="2049">
        <f t="shared" si="834"/>
        <v>12.048338368580058</v>
      </c>
      <c r="H644" s="2049">
        <f t="shared" si="834"/>
        <v>13.084479371316306</v>
      </c>
      <c r="I644" s="2049">
        <f t="shared" si="834"/>
        <v>12.896551724137931</v>
      </c>
      <c r="J644" s="2049">
        <f t="shared" si="834"/>
        <v>13.109243697478991</v>
      </c>
      <c r="K644" s="2049">
        <f t="shared" si="834"/>
        <v>11.154620311070449</v>
      </c>
      <c r="L644" s="2049">
        <f t="shared" si="834"/>
        <v>12.49506726457399</v>
      </c>
      <c r="M644" s="2049">
        <f t="shared" si="834"/>
        <v>11.936731107205624</v>
      </c>
      <c r="N644" s="2140">
        <f t="shared" si="834"/>
        <v>11.896640826873385</v>
      </c>
      <c r="O644" s="2140">
        <f t="shared" ref="O644" si="835">O642/O643*12</f>
        <v>14.045569620253165</v>
      </c>
      <c r="P644" s="2050">
        <f t="shared" ref="P644" si="836">P642/P643*12</f>
        <v>13.766749379652605</v>
      </c>
    </row>
    <row r="645" spans="1:16" x14ac:dyDescent="0.2">
      <c r="A645" s="942"/>
      <c r="B645" s="1273"/>
      <c r="C645" s="1273"/>
      <c r="D645" s="1273"/>
      <c r="E645" s="1271"/>
      <c r="F645" s="1271"/>
      <c r="G645" s="1271"/>
      <c r="H645" s="1271"/>
      <c r="I645" s="1271"/>
      <c r="J645" s="1271"/>
      <c r="K645" s="1271"/>
      <c r="L645" s="1271"/>
      <c r="M645" s="1642"/>
      <c r="N645" s="1642"/>
      <c r="O645" s="1642"/>
      <c r="P645" s="1272"/>
    </row>
    <row r="646" spans="1:16" x14ac:dyDescent="0.2">
      <c r="A646" s="1278"/>
      <c r="B646" s="1275"/>
      <c r="C646" s="1275"/>
      <c r="D646" s="1275"/>
      <c r="E646" s="1275"/>
      <c r="F646" s="2567"/>
      <c r="G646" s="1275"/>
      <c r="H646" s="1275"/>
      <c r="I646" s="1275"/>
      <c r="J646" s="1275"/>
      <c r="K646" s="1275"/>
      <c r="L646" s="1275"/>
      <c r="M646" s="1644"/>
      <c r="N646" s="1644"/>
      <c r="O646" s="1644"/>
      <c r="P646" s="1279"/>
    </row>
    <row r="647" spans="1:16" x14ac:dyDescent="0.2">
      <c r="A647" s="942" t="s">
        <v>4332</v>
      </c>
      <c r="B647" s="442"/>
      <c r="C647" s="442"/>
      <c r="D647" s="442"/>
      <c r="E647" s="442"/>
      <c r="F647" s="764"/>
      <c r="G647" s="442"/>
      <c r="H647" s="442"/>
      <c r="I647" s="442"/>
      <c r="J647" s="442"/>
      <c r="K647" s="442"/>
      <c r="L647" s="442"/>
      <c r="M647" s="1655"/>
      <c r="N647" s="1655"/>
      <c r="O647" s="1655"/>
      <c r="P647" s="918"/>
    </row>
    <row r="648" spans="1:16" x14ac:dyDescent="0.2">
      <c r="A648" s="936" t="s">
        <v>4326</v>
      </c>
      <c r="B648" s="231">
        <v>7382</v>
      </c>
      <c r="C648" s="231">
        <v>18057</v>
      </c>
      <c r="D648" s="231">
        <f t="shared" ref="D648:O648" si="837">D88</f>
        <v>12826</v>
      </c>
      <c r="E648" s="231">
        <f t="shared" si="837"/>
        <v>13588</v>
      </c>
      <c r="F648" s="101">
        <f t="shared" si="837"/>
        <v>10770</v>
      </c>
      <c r="G648" s="231">
        <f t="shared" si="837"/>
        <v>9310</v>
      </c>
      <c r="H648" s="231">
        <f t="shared" si="837"/>
        <v>11120</v>
      </c>
      <c r="I648" s="231">
        <f t="shared" si="837"/>
        <v>14050</v>
      </c>
      <c r="J648" s="231">
        <f t="shared" si="837"/>
        <v>14330</v>
      </c>
      <c r="K648" s="231">
        <f t="shared" si="837"/>
        <v>14810</v>
      </c>
      <c r="L648" s="231">
        <f t="shared" si="837"/>
        <v>15920</v>
      </c>
      <c r="M648" s="971">
        <f t="shared" si="837"/>
        <v>20940</v>
      </c>
      <c r="N648" s="971">
        <f t="shared" si="837"/>
        <v>26510</v>
      </c>
      <c r="O648" s="971">
        <f t="shared" si="837"/>
        <v>32690</v>
      </c>
      <c r="P648" s="950">
        <f t="shared" ref="P648" si="838">P88</f>
        <v>39610</v>
      </c>
    </row>
    <row r="649" spans="1:16" x14ac:dyDescent="0.2">
      <c r="A649" s="936" t="s">
        <v>4327</v>
      </c>
      <c r="B649" s="231">
        <v>9392</v>
      </c>
      <c r="C649" s="231">
        <v>20723</v>
      </c>
      <c r="D649" s="231">
        <f>ROUNDUP(C649+(C649*Assumptions!E$5),-1)</f>
        <v>21350</v>
      </c>
      <c r="E649" s="231">
        <f>ROUNDUP(D649+(D649*Assumptions!F$5),-1)</f>
        <v>21870</v>
      </c>
      <c r="F649" s="101">
        <f>ROUNDUP(E649+(E649*Assumptions!G$5),-1)</f>
        <v>22310</v>
      </c>
      <c r="G649" s="231">
        <f>ROUNDUP(F649+(F649*Assumptions!H$5),-1)</f>
        <v>22650</v>
      </c>
      <c r="H649" s="231">
        <f>ROUNDUP(G649+(G649*Assumptions!I$5),-1)</f>
        <v>23220</v>
      </c>
      <c r="I649" s="231">
        <f>ROUNDUP(H649+(H649*Assumptions!J$5),-1)</f>
        <v>23810</v>
      </c>
      <c r="J649" s="231">
        <f>ROUNDUP(I649+(I649*Assumptions!K$5),-1)</f>
        <v>24410</v>
      </c>
      <c r="K649" s="231">
        <f>ROUNDUP(J649+(J649*Assumptions!L$5),-1)</f>
        <v>24900</v>
      </c>
      <c r="L649" s="231">
        <f>ROUNDUP(K649+(K649*Assumptions!M$5),-1)</f>
        <v>25400</v>
      </c>
      <c r="M649" s="971">
        <f>ROUNDUP(L649+(L649*Assumptions!N$5),-1)</f>
        <v>25910</v>
      </c>
      <c r="N649" s="971">
        <f>ROUNDUP(M649+(M649*Assumptions!O$5),-1)</f>
        <v>26430</v>
      </c>
      <c r="O649" s="971">
        <f>ROUNDUP(N649+(N649*Assumptions!P$5),-1)</f>
        <v>26960</v>
      </c>
      <c r="P649" s="950">
        <f>ROUNDUP(O649+(O649*Assumptions!Q$5),-1)</f>
        <v>27500</v>
      </c>
    </row>
    <row r="650" spans="1:16" x14ac:dyDescent="0.2">
      <c r="A650" s="942" t="s">
        <v>4333</v>
      </c>
      <c r="B650" s="2049">
        <f>B648/B649*12</f>
        <v>9.4318568994889258</v>
      </c>
      <c r="C650" s="2049">
        <f t="shared" ref="C650:N650" si="839">C648/C649*12</f>
        <v>10.456208077980987</v>
      </c>
      <c r="D650" s="2049">
        <f t="shared" si="839"/>
        <v>7.2089929742388765</v>
      </c>
      <c r="E650" s="2049">
        <f t="shared" si="839"/>
        <v>7.4556927297668034</v>
      </c>
      <c r="F650" s="2579">
        <f t="shared" si="839"/>
        <v>5.7929179740026893</v>
      </c>
      <c r="G650" s="2049">
        <f t="shared" si="839"/>
        <v>4.9324503311258283</v>
      </c>
      <c r="H650" s="2049">
        <f t="shared" si="839"/>
        <v>5.7467700258397931</v>
      </c>
      <c r="I650" s="2049">
        <f t="shared" si="839"/>
        <v>7.0810583788324237</v>
      </c>
      <c r="J650" s="2049">
        <f t="shared" si="839"/>
        <v>7.0446538303973778</v>
      </c>
      <c r="K650" s="2049">
        <f t="shared" si="839"/>
        <v>7.137349397590361</v>
      </c>
      <c r="L650" s="2049">
        <f t="shared" si="839"/>
        <v>7.5212598425196848</v>
      </c>
      <c r="M650" s="2049">
        <f t="shared" si="839"/>
        <v>9.6981860285604018</v>
      </c>
      <c r="N650" s="2140">
        <f t="shared" si="839"/>
        <v>12.036322360953463</v>
      </c>
      <c r="O650" s="2140">
        <f t="shared" ref="O650" si="840">O648/O649*12</f>
        <v>14.550445103857568</v>
      </c>
      <c r="P650" s="2050">
        <f t="shared" ref="P650" si="841">P648/P649*12</f>
        <v>17.284363636363636</v>
      </c>
    </row>
    <row r="651" spans="1:16" x14ac:dyDescent="0.2">
      <c r="A651" s="942"/>
      <c r="B651" s="1273"/>
      <c r="C651" s="1273"/>
      <c r="D651" s="1273"/>
      <c r="E651" s="1271"/>
      <c r="F651" s="1271"/>
      <c r="G651" s="1271"/>
      <c r="H651" s="1271"/>
      <c r="I651" s="1271"/>
      <c r="J651" s="1271"/>
      <c r="K651" s="1271"/>
      <c r="L651" s="1271"/>
      <c r="M651" s="1642"/>
      <c r="N651" s="1642"/>
      <c r="O651" s="1642"/>
      <c r="P651" s="1272"/>
    </row>
    <row r="652" spans="1:16" x14ac:dyDescent="0.2">
      <c r="A652" s="1278"/>
      <c r="B652" s="1275"/>
      <c r="C652" s="1275"/>
      <c r="D652" s="1275"/>
      <c r="E652" s="1275"/>
      <c r="F652" s="2567"/>
      <c r="G652" s="1275"/>
      <c r="H652" s="1275"/>
      <c r="I652" s="1275"/>
      <c r="J652" s="1275"/>
      <c r="K652" s="1275"/>
      <c r="L652" s="1275"/>
      <c r="M652" s="1644"/>
      <c r="N652" s="1644"/>
      <c r="O652" s="1644"/>
      <c r="P652" s="1279"/>
    </row>
    <row r="653" spans="1:16" s="4" customFormat="1" x14ac:dyDescent="0.2">
      <c r="A653" s="1269" t="s">
        <v>4369</v>
      </c>
      <c r="B653" s="24"/>
      <c r="C653" s="24"/>
      <c r="D653" s="24"/>
      <c r="E653" s="24"/>
      <c r="F653" s="132"/>
      <c r="G653" s="24"/>
      <c r="H653" s="24"/>
      <c r="I653" s="24"/>
      <c r="J653" s="24"/>
      <c r="K653" s="24"/>
      <c r="L653" s="24"/>
      <c r="M653" s="24"/>
      <c r="N653" s="26"/>
      <c r="O653" s="26"/>
      <c r="P653" s="36"/>
    </row>
    <row r="654" spans="1:16" s="779" customFormat="1" x14ac:dyDescent="0.2">
      <c r="A654" s="818" t="s">
        <v>4249</v>
      </c>
      <c r="B654" s="24">
        <f t="shared" ref="B654:O654" si="842">B309</f>
        <v>59257</v>
      </c>
      <c r="C654" s="24">
        <f t="shared" si="842"/>
        <v>56596</v>
      </c>
      <c r="D654" s="24">
        <f t="shared" si="842"/>
        <v>51127</v>
      </c>
      <c r="E654" s="24">
        <f t="shared" si="842"/>
        <v>53160.9</v>
      </c>
      <c r="F654" s="132">
        <f t="shared" si="842"/>
        <v>53921.5</v>
      </c>
      <c r="G654" s="24">
        <f t="shared" si="842"/>
        <v>51937.4</v>
      </c>
      <c r="H654" s="24">
        <f t="shared" si="842"/>
        <v>52776.3</v>
      </c>
      <c r="I654" s="24">
        <f t="shared" si="842"/>
        <v>54917.8</v>
      </c>
      <c r="J654" s="24">
        <f t="shared" si="842"/>
        <v>55559</v>
      </c>
      <c r="K654" s="24">
        <f t="shared" si="842"/>
        <v>57470.3</v>
      </c>
      <c r="L654" s="24">
        <f t="shared" si="842"/>
        <v>57728.3</v>
      </c>
      <c r="M654" s="24">
        <f t="shared" si="842"/>
        <v>59662.9</v>
      </c>
      <c r="N654" s="26">
        <f t="shared" si="842"/>
        <v>60381.5</v>
      </c>
      <c r="O654" s="26">
        <f t="shared" si="842"/>
        <v>62107.4</v>
      </c>
      <c r="P654" s="36">
        <f t="shared" ref="P654" si="843">P309</f>
        <v>63933.4</v>
      </c>
    </row>
    <row r="655" spans="1:16" s="779" customFormat="1" x14ac:dyDescent="0.2">
      <c r="A655" s="818" t="s">
        <v>4370</v>
      </c>
      <c r="B655" s="24">
        <f t="shared" ref="B655:O655" si="844">B311</f>
        <v>-3171</v>
      </c>
      <c r="C655" s="24">
        <f t="shared" si="844"/>
        <v>-2617</v>
      </c>
      <c r="D655" s="24">
        <f t="shared" si="844"/>
        <v>0</v>
      </c>
      <c r="E655" s="24">
        <f t="shared" si="844"/>
        <v>-569</v>
      </c>
      <c r="F655" s="132">
        <f t="shared" si="844"/>
        <v>-100</v>
      </c>
      <c r="G655" s="24">
        <f t="shared" si="844"/>
        <v>-100</v>
      </c>
      <c r="H655" s="24">
        <f t="shared" si="844"/>
        <v>-100</v>
      </c>
      <c r="I655" s="24">
        <f t="shared" si="844"/>
        <v>-100</v>
      </c>
      <c r="J655" s="24">
        <f t="shared" si="844"/>
        <v>-100</v>
      </c>
      <c r="K655" s="24">
        <f t="shared" si="844"/>
        <v>-100</v>
      </c>
      <c r="L655" s="24">
        <f t="shared" si="844"/>
        <v>-100</v>
      </c>
      <c r="M655" s="24">
        <f t="shared" si="844"/>
        <v>-100</v>
      </c>
      <c r="N655" s="26">
        <f t="shared" si="844"/>
        <v>-100</v>
      </c>
      <c r="O655" s="26">
        <f t="shared" si="844"/>
        <v>-100</v>
      </c>
      <c r="P655" s="36">
        <f t="shared" ref="P655" si="845">P311</f>
        <v>-100</v>
      </c>
    </row>
    <row r="656" spans="1:16" s="779" customFormat="1" x14ac:dyDescent="0.2">
      <c r="A656" s="818" t="s">
        <v>4371</v>
      </c>
      <c r="B656" s="24">
        <f t="shared" ref="B656:O656" si="846">B312</f>
        <v>-2745</v>
      </c>
      <c r="C656" s="24">
        <f t="shared" si="846"/>
        <v>0</v>
      </c>
      <c r="D656" s="24">
        <f t="shared" si="846"/>
        <v>0</v>
      </c>
      <c r="E656" s="24">
        <f t="shared" si="846"/>
        <v>-163</v>
      </c>
      <c r="F656" s="132">
        <f t="shared" si="846"/>
        <v>0</v>
      </c>
      <c r="G656" s="24">
        <f t="shared" si="846"/>
        <v>0</v>
      </c>
      <c r="H656" s="24">
        <f t="shared" si="846"/>
        <v>0</v>
      </c>
      <c r="I656" s="24">
        <f t="shared" si="846"/>
        <v>0</v>
      </c>
      <c r="J656" s="24">
        <f t="shared" si="846"/>
        <v>0</v>
      </c>
      <c r="K656" s="24">
        <f t="shared" si="846"/>
        <v>0</v>
      </c>
      <c r="L656" s="24">
        <f t="shared" si="846"/>
        <v>0</v>
      </c>
      <c r="M656" s="24">
        <f t="shared" si="846"/>
        <v>0</v>
      </c>
      <c r="N656" s="26">
        <f t="shared" si="846"/>
        <v>0</v>
      </c>
      <c r="O656" s="26">
        <f t="shared" si="846"/>
        <v>0</v>
      </c>
      <c r="P656" s="36">
        <f t="shared" ref="P656" si="847">P312</f>
        <v>0</v>
      </c>
    </row>
    <row r="657" spans="1:16" x14ac:dyDescent="0.2">
      <c r="A657" s="942" t="s">
        <v>4392</v>
      </c>
      <c r="B657" s="905">
        <f t="shared" ref="B657:M657" si="848">SUM(B654:B656)</f>
        <v>53341</v>
      </c>
      <c r="C657" s="905">
        <f t="shared" si="848"/>
        <v>53979</v>
      </c>
      <c r="D657" s="905">
        <f t="shared" si="848"/>
        <v>51127</v>
      </c>
      <c r="E657" s="905">
        <f t="shared" si="848"/>
        <v>52428.9</v>
      </c>
      <c r="F657" s="1541">
        <f t="shared" si="848"/>
        <v>53821.5</v>
      </c>
      <c r="G657" s="905">
        <f t="shared" si="848"/>
        <v>51837.4</v>
      </c>
      <c r="H657" s="905">
        <f t="shared" si="848"/>
        <v>52676.3</v>
      </c>
      <c r="I657" s="905">
        <f t="shared" si="848"/>
        <v>54817.8</v>
      </c>
      <c r="J657" s="905">
        <f t="shared" si="848"/>
        <v>55459</v>
      </c>
      <c r="K657" s="905">
        <f t="shared" si="848"/>
        <v>57370.3</v>
      </c>
      <c r="L657" s="905">
        <f t="shared" si="848"/>
        <v>57628.3</v>
      </c>
      <c r="M657" s="1660">
        <f t="shared" si="848"/>
        <v>59562.9</v>
      </c>
      <c r="N657" s="1660">
        <f t="shared" ref="N657:O657" si="849">SUM(N654:N656)</f>
        <v>60281.5</v>
      </c>
      <c r="O657" s="1660">
        <f t="shared" si="849"/>
        <v>62007.4</v>
      </c>
      <c r="P657" s="1047">
        <f t="shared" ref="P657" si="850">SUM(P654:P656)</f>
        <v>63833.4</v>
      </c>
    </row>
    <row r="658" spans="1:16" x14ac:dyDescent="0.2">
      <c r="A658" s="942"/>
      <c r="B658" s="62"/>
      <c r="C658" s="62"/>
      <c r="D658" s="62"/>
      <c r="E658" s="62"/>
      <c r="F658" s="64"/>
      <c r="G658" s="62"/>
      <c r="H658" s="62"/>
      <c r="I658" s="62"/>
      <c r="J658" s="62"/>
      <c r="K658" s="62"/>
      <c r="L658" s="62"/>
      <c r="M658" s="382"/>
      <c r="N658" s="382"/>
      <c r="O658" s="382"/>
      <c r="P658" s="1023"/>
    </row>
    <row r="659" spans="1:16" x14ac:dyDescent="0.2">
      <c r="A659" s="942" t="s">
        <v>4796</v>
      </c>
      <c r="B659" s="62">
        <v>41175</v>
      </c>
      <c r="C659" s="62">
        <v>41335</v>
      </c>
      <c r="D659" s="62">
        <f>C659*Assumptions!E17+C659</f>
        <v>41686.347500000003</v>
      </c>
      <c r="E659" s="62">
        <f>D659*Assumptions!F17+D659</f>
        <v>42040.681453750003</v>
      </c>
      <c r="F659" s="64">
        <f>E659*Assumptions!G17+E659</f>
        <v>42398.027246106882</v>
      </c>
      <c r="G659" s="62">
        <f>F659*Assumptions!H17+F659</f>
        <v>42758.410477698788</v>
      </c>
      <c r="H659" s="62">
        <f>G659*Assumptions!I17+G659</f>
        <v>43121.856966759231</v>
      </c>
      <c r="I659" s="62">
        <f>H659*Assumptions!J17+H659</f>
        <v>43488.392750976687</v>
      </c>
      <c r="J659" s="62">
        <f>I659*Assumptions!K17+I659</f>
        <v>43858.044089359988</v>
      </c>
      <c r="K659" s="62">
        <f>J659*Assumptions!L17+J659</f>
        <v>44230.837464119548</v>
      </c>
      <c r="L659" s="62">
        <f>K659*Assumptions!M17+K659</f>
        <v>44606.799582564563</v>
      </c>
      <c r="M659" s="382">
        <f>L659*Assumptions!N17+L659</f>
        <v>44985.957379016363</v>
      </c>
      <c r="N659" s="382">
        <f>M659*Assumptions!O17+M659</f>
        <v>45368.338016738002</v>
      </c>
      <c r="O659" s="382">
        <f>N659*Assumptions!P17+N659</f>
        <v>45753.968889880278</v>
      </c>
      <c r="P659" s="1023">
        <f>O659*Assumptions!Q17+O659</f>
        <v>46142.877625444264</v>
      </c>
    </row>
    <row r="660" spans="1:16" x14ac:dyDescent="0.2">
      <c r="A660" s="942"/>
      <c r="B660" s="62"/>
      <c r="C660" s="62"/>
      <c r="D660" s="62"/>
      <c r="E660" s="62"/>
      <c r="F660" s="64"/>
      <c r="G660" s="62"/>
      <c r="H660" s="62"/>
      <c r="I660" s="62"/>
      <c r="J660" s="62"/>
      <c r="K660" s="62"/>
      <c r="L660" s="62"/>
      <c r="M660" s="382"/>
      <c r="N660" s="382"/>
      <c r="O660" s="382"/>
      <c r="P660" s="1023"/>
    </row>
    <row r="661" spans="1:16" s="779" customFormat="1" x14ac:dyDescent="0.2">
      <c r="A661" s="935" t="s">
        <v>4372</v>
      </c>
      <c r="B661" s="1479">
        <v>3.4000000000000002E-2</v>
      </c>
      <c r="C661" s="1479">
        <v>3.6999999999999998E-2</v>
      </c>
      <c r="D661" s="1479">
        <f>Assumptions!E5</f>
        <v>0.03</v>
      </c>
      <c r="E661" s="1479">
        <f>Assumptions!F5</f>
        <v>2.4E-2</v>
      </c>
      <c r="F661" s="2580">
        <f>Assumptions!G5</f>
        <v>0.02</v>
      </c>
      <c r="G661" s="1479">
        <f>Assumptions!H5</f>
        <v>1.4999999999999999E-2</v>
      </c>
      <c r="H661" s="1479">
        <f>Assumptions!I5</f>
        <v>2.5000000000000001E-2</v>
      </c>
      <c r="I661" s="1479">
        <f>Assumptions!J5</f>
        <v>2.5000000000000001E-2</v>
      </c>
      <c r="J661" s="1479">
        <f>Assumptions!K5</f>
        <v>2.5000000000000001E-2</v>
      </c>
      <c r="K661" s="1479">
        <f>Assumptions!L5</f>
        <v>0.02</v>
      </c>
      <c r="L661" s="1479">
        <f>Assumptions!M5</f>
        <v>0.02</v>
      </c>
      <c r="M661" s="1646">
        <f>Assumptions!N5</f>
        <v>0.02</v>
      </c>
      <c r="N661" s="1646">
        <f>Assumptions!O5</f>
        <v>0.02</v>
      </c>
      <c r="O661" s="1646">
        <f>Assumptions!P5</f>
        <v>0.02</v>
      </c>
      <c r="P661" s="1545">
        <f>Assumptions!Q5</f>
        <v>0.02</v>
      </c>
    </row>
    <row r="662" spans="1:16" s="779" customFormat="1" x14ac:dyDescent="0.2">
      <c r="A662" s="935" t="s">
        <v>4393</v>
      </c>
      <c r="B662" s="1479">
        <v>0.85499999999999998</v>
      </c>
      <c r="C662" s="1479">
        <f t="shared" ref="C662:P662" si="851">B662*(1-C661)</f>
        <v>0.8233649999999999</v>
      </c>
      <c r="D662" s="1479">
        <f>C662*(1-D661)</f>
        <v>0.79866404999999985</v>
      </c>
      <c r="E662" s="1479">
        <f>D662*(1-E661)</f>
        <v>0.77949611279999986</v>
      </c>
      <c r="F662" s="2580">
        <f>E662*(1-F661)</f>
        <v>0.76390619054399989</v>
      </c>
      <c r="G662" s="1479">
        <f t="shared" si="851"/>
        <v>0.75244759768583991</v>
      </c>
      <c r="H662" s="1479">
        <f t="shared" si="851"/>
        <v>0.73363640774369387</v>
      </c>
      <c r="I662" s="1479">
        <f t="shared" si="851"/>
        <v>0.71529549755010147</v>
      </c>
      <c r="J662" s="1479">
        <f t="shared" si="851"/>
        <v>0.69741311011134888</v>
      </c>
      <c r="K662" s="1479">
        <f t="shared" si="851"/>
        <v>0.68346484790912188</v>
      </c>
      <c r="L662" s="1479">
        <f t="shared" si="851"/>
        <v>0.66979555095093946</v>
      </c>
      <c r="M662" s="1646">
        <f t="shared" si="851"/>
        <v>0.65639963993192063</v>
      </c>
      <c r="N662" s="1646">
        <f t="shared" si="851"/>
        <v>0.64327164713328222</v>
      </c>
      <c r="O662" s="1646">
        <f t="shared" si="851"/>
        <v>0.6304062141906166</v>
      </c>
      <c r="P662" s="1545">
        <f t="shared" si="851"/>
        <v>0.61779808990680429</v>
      </c>
    </row>
    <row r="663" spans="1:16" s="779" customFormat="1" x14ac:dyDescent="0.2">
      <c r="A663" s="935"/>
      <c r="B663" s="1479"/>
      <c r="C663" s="1479"/>
      <c r="D663" s="1479"/>
      <c r="E663" s="1479"/>
      <c r="F663" s="2580"/>
      <c r="G663" s="1479"/>
      <c r="H663" s="1479"/>
      <c r="I663" s="1479"/>
      <c r="J663" s="1479"/>
      <c r="K663" s="1479"/>
      <c r="L663" s="1479"/>
      <c r="M663" s="1646"/>
      <c r="N663" s="1646"/>
      <c r="O663" s="1646"/>
      <c r="P663" s="1545"/>
    </row>
    <row r="664" spans="1:16" s="779" customFormat="1" x14ac:dyDescent="0.2">
      <c r="A664" s="935" t="s">
        <v>4373</v>
      </c>
      <c r="B664" s="24">
        <f t="shared" ref="B664:M664" si="852">B657*B662</f>
        <v>45606.555</v>
      </c>
      <c r="C664" s="24">
        <f t="shared" si="852"/>
        <v>44444.419334999991</v>
      </c>
      <c r="D664" s="24">
        <f t="shared" si="852"/>
        <v>40833.296884349991</v>
      </c>
      <c r="E664" s="24">
        <f t="shared" si="852"/>
        <v>40868.123748379912</v>
      </c>
      <c r="F664" s="132">
        <f t="shared" si="852"/>
        <v>41114.577034363887</v>
      </c>
      <c r="G664" s="24">
        <f t="shared" si="852"/>
        <v>39004.927100279958</v>
      </c>
      <c r="H664" s="24">
        <f t="shared" si="852"/>
        <v>38645.251505229142</v>
      </c>
      <c r="I664" s="24">
        <f t="shared" si="852"/>
        <v>39210.925525601953</v>
      </c>
      <c r="J664" s="24">
        <f t="shared" si="852"/>
        <v>38677.8336736653</v>
      </c>
      <c r="K664" s="24">
        <f t="shared" si="852"/>
        <v>39210.583364000697</v>
      </c>
      <c r="L664" s="24">
        <f t="shared" si="852"/>
        <v>38599.178948866029</v>
      </c>
      <c r="M664" s="971">
        <f t="shared" si="852"/>
        <v>39097.066113301</v>
      </c>
      <c r="N664" s="971">
        <f t="shared" ref="N664:O664" si="853">N657*N662</f>
        <v>38777.379796664951</v>
      </c>
      <c r="O664" s="971">
        <f t="shared" si="853"/>
        <v>39089.850285803237</v>
      </c>
      <c r="P664" s="950">
        <f t="shared" ref="P664" si="854">P657*P662</f>
        <v>39436.152592257</v>
      </c>
    </row>
    <row r="665" spans="1:16" s="779" customFormat="1" x14ac:dyDescent="0.2">
      <c r="A665" s="935" t="s">
        <v>2864</v>
      </c>
      <c r="B665" s="24">
        <f>B659</f>
        <v>41175</v>
      </c>
      <c r="C665" s="24">
        <f t="shared" ref="C665:N665" si="855">C659</f>
        <v>41335</v>
      </c>
      <c r="D665" s="24">
        <f t="shared" si="855"/>
        <v>41686.347500000003</v>
      </c>
      <c r="E665" s="24">
        <f t="shared" si="855"/>
        <v>42040.681453750003</v>
      </c>
      <c r="F665" s="132">
        <f t="shared" si="855"/>
        <v>42398.027246106882</v>
      </c>
      <c r="G665" s="24">
        <f t="shared" si="855"/>
        <v>42758.410477698788</v>
      </c>
      <c r="H665" s="24">
        <f t="shared" si="855"/>
        <v>43121.856966759231</v>
      </c>
      <c r="I665" s="24">
        <f t="shared" si="855"/>
        <v>43488.392750976687</v>
      </c>
      <c r="J665" s="24">
        <f t="shared" si="855"/>
        <v>43858.044089359988</v>
      </c>
      <c r="K665" s="24">
        <f t="shared" si="855"/>
        <v>44230.837464119548</v>
      </c>
      <c r="L665" s="24">
        <f t="shared" si="855"/>
        <v>44606.799582564563</v>
      </c>
      <c r="M665" s="971">
        <f t="shared" si="855"/>
        <v>44985.957379016363</v>
      </c>
      <c r="N665" s="971">
        <f t="shared" si="855"/>
        <v>45368.338016738002</v>
      </c>
      <c r="O665" s="971">
        <f t="shared" ref="O665" si="856">O659</f>
        <v>45753.968889880278</v>
      </c>
      <c r="P665" s="950">
        <f t="shared" ref="P665" si="857">P659</f>
        <v>46142.877625444264</v>
      </c>
    </row>
    <row r="666" spans="1:16" s="779" customFormat="1" x14ac:dyDescent="0.2">
      <c r="A666" s="935"/>
      <c r="B666" s="1560"/>
      <c r="C666" s="24"/>
      <c r="D666" s="24"/>
      <c r="E666" s="24"/>
      <c r="F666" s="132"/>
      <c r="G666" s="24"/>
      <c r="H666" s="24"/>
      <c r="I666" s="24"/>
      <c r="J666" s="24"/>
      <c r="K666" s="24"/>
      <c r="L666" s="24"/>
      <c r="M666" s="971"/>
      <c r="N666" s="971"/>
      <c r="O666" s="971"/>
      <c r="P666" s="950"/>
    </row>
    <row r="667" spans="1:16" x14ac:dyDescent="0.2">
      <c r="A667" s="942" t="s">
        <v>426</v>
      </c>
      <c r="B667" s="1559">
        <f t="shared" ref="B667:M667" si="858">B664/B665</f>
        <v>1.1076273224043716</v>
      </c>
      <c r="C667" s="1559">
        <f t="shared" si="858"/>
        <v>1.0752248538768596</v>
      </c>
      <c r="D667" s="1559">
        <f t="shared" si="858"/>
        <v>0.97953645097714515</v>
      </c>
      <c r="E667" s="1559">
        <f t="shared" si="858"/>
        <v>0.97210897481145608</v>
      </c>
      <c r="F667" s="2581">
        <f t="shared" si="858"/>
        <v>0.96972853938951031</v>
      </c>
      <c r="G667" s="1559">
        <f t="shared" si="858"/>
        <v>0.91221648944652634</v>
      </c>
      <c r="H667" s="1559">
        <f t="shared" si="858"/>
        <v>0.89618708987924822</v>
      </c>
      <c r="I667" s="1559">
        <f t="shared" si="858"/>
        <v>0.90164117469531757</v>
      </c>
      <c r="J667" s="1559">
        <f t="shared" si="858"/>
        <v>0.88188688020058303</v>
      </c>
      <c r="K667" s="1559">
        <f t="shared" si="858"/>
        <v>0.88649877804843003</v>
      </c>
      <c r="L667" s="1559">
        <f t="shared" si="858"/>
        <v>0.86532051862230597</v>
      </c>
      <c r="M667" s="1671">
        <f t="shared" si="858"/>
        <v>0.86909489963500863</v>
      </c>
      <c r="N667" s="1671">
        <f t="shared" ref="N667:O667" si="859">N664/N665</f>
        <v>0.8547233928286857</v>
      </c>
      <c r="O667" s="1671">
        <f t="shared" si="859"/>
        <v>0.85434884085977092</v>
      </c>
      <c r="P667" s="1562">
        <f t="shared" ref="P667" si="860">P664/P665</f>
        <v>0.85465308237540394</v>
      </c>
    </row>
    <row r="668" spans="1:16" x14ac:dyDescent="0.2">
      <c r="A668" s="942" t="s">
        <v>4368</v>
      </c>
      <c r="B668" s="1559"/>
      <c r="C668" s="1559">
        <f>AVERAGE(B667:C667)</f>
        <v>1.0914260881406155</v>
      </c>
      <c r="D668" s="1559">
        <f>AVERAGE(B667:D667)</f>
        <v>1.0541295424194586</v>
      </c>
      <c r="E668" s="1559">
        <f>AVERAGE(C667:E667)</f>
        <v>1.008956759888487</v>
      </c>
      <c r="F668" s="2581">
        <f>AVERAGE(D667:F667)</f>
        <v>0.97379132172603722</v>
      </c>
      <c r="G668" s="1559">
        <f>AVERAGE(E667:G667)</f>
        <v>0.95135133454916421</v>
      </c>
      <c r="H668" s="1559">
        <f t="shared" ref="H668:P668" si="861">AVERAGE(F667:H667)</f>
        <v>0.92604403957176162</v>
      </c>
      <c r="I668" s="1559">
        <f t="shared" si="861"/>
        <v>0.90334825134036401</v>
      </c>
      <c r="J668" s="1559">
        <f t="shared" si="861"/>
        <v>0.89323838159171631</v>
      </c>
      <c r="K668" s="1559">
        <f t="shared" si="861"/>
        <v>0.89000894431477695</v>
      </c>
      <c r="L668" s="1559">
        <f t="shared" si="861"/>
        <v>0.87790205895710638</v>
      </c>
      <c r="M668" s="1671">
        <f t="shared" si="861"/>
        <v>0.87363806543524813</v>
      </c>
      <c r="N668" s="1671">
        <f t="shared" si="861"/>
        <v>0.8630462703620001</v>
      </c>
      <c r="O668" s="1671">
        <f t="shared" si="861"/>
        <v>0.85938904444115505</v>
      </c>
      <c r="P668" s="1562">
        <f t="shared" si="861"/>
        <v>0.85457510535462011</v>
      </c>
    </row>
    <row r="669" spans="1:16" s="779" customFormat="1" ht="13.5" thickBot="1" x14ac:dyDescent="0.25">
      <c r="A669" s="968"/>
      <c r="B669" s="969"/>
      <c r="C669" s="969"/>
      <c r="D669" s="969"/>
      <c r="E669" s="969"/>
      <c r="F669" s="969"/>
      <c r="G669" s="969"/>
      <c r="H669" s="969"/>
      <c r="I669" s="969"/>
      <c r="J669" s="969"/>
      <c r="K669" s="969"/>
      <c r="L669" s="969"/>
      <c r="M669" s="1636"/>
      <c r="N669" s="1636"/>
      <c r="O669" s="1636"/>
      <c r="P669" s="970"/>
    </row>
    <row r="670" spans="1:16" s="779" customFormat="1" ht="17.25" thickTop="1" thickBot="1" x14ac:dyDescent="0.3">
      <c r="A670" s="2853" t="s">
        <v>5157</v>
      </c>
      <c r="B670" s="2854"/>
      <c r="C670" s="2854"/>
      <c r="D670" s="2854"/>
      <c r="E670" s="2854"/>
      <c r="F670" s="2854"/>
      <c r="G670" s="2854"/>
      <c r="H670" s="2854"/>
      <c r="I670" s="2854"/>
      <c r="J670" s="2854"/>
      <c r="K670" s="2854"/>
      <c r="L670" s="2854"/>
      <c r="M670" s="2854"/>
      <c r="N670" s="2854"/>
      <c r="O670" s="2854"/>
      <c r="P670" s="2855"/>
    </row>
    <row r="671" spans="1:16" s="779" customFormat="1" ht="13.5" thickBot="1" x14ac:dyDescent="0.25">
      <c r="A671" s="1268" t="str">
        <f t="shared" ref="A671:M671" si="862">A577</f>
        <v>Item</v>
      </c>
      <c r="B671" s="793" t="str">
        <f t="shared" si="862"/>
        <v>2012/13</v>
      </c>
      <c r="C671" s="793" t="str">
        <f t="shared" si="862"/>
        <v>2013/14</v>
      </c>
      <c r="D671" s="793" t="str">
        <f t="shared" si="862"/>
        <v>2014/15</v>
      </c>
      <c r="E671" s="793" t="str">
        <f t="shared" si="862"/>
        <v>2015/16</v>
      </c>
      <c r="F671" s="793" t="str">
        <f t="shared" si="862"/>
        <v>2016/17</v>
      </c>
      <c r="G671" s="793" t="str">
        <f t="shared" si="862"/>
        <v>2017/18</v>
      </c>
      <c r="H671" s="793" t="str">
        <f t="shared" si="862"/>
        <v>2018/19</v>
      </c>
      <c r="I671" s="793" t="str">
        <f t="shared" si="862"/>
        <v>2019/20</v>
      </c>
      <c r="J671" s="793" t="str">
        <f t="shared" si="862"/>
        <v>2020/21</v>
      </c>
      <c r="K671" s="793" t="str">
        <f t="shared" si="862"/>
        <v>2021/22</v>
      </c>
      <c r="L671" s="793" t="str">
        <f t="shared" si="862"/>
        <v>2022/23</v>
      </c>
      <c r="M671" s="1641" t="str">
        <f t="shared" si="862"/>
        <v>2023/24</v>
      </c>
      <c r="N671" s="1641" t="str">
        <f t="shared" ref="N671:O671" si="863">N577</f>
        <v>2024/25</v>
      </c>
      <c r="O671" s="1641" t="str">
        <f t="shared" si="863"/>
        <v>2025/26</v>
      </c>
      <c r="P671" s="794" t="str">
        <f t="shared" ref="P671" si="864">P577</f>
        <v>2026/27</v>
      </c>
    </row>
    <row r="672" spans="1:16" x14ac:dyDescent="0.2">
      <c r="A672" s="1278"/>
      <c r="B672" s="1275"/>
      <c r="C672" s="1275"/>
      <c r="D672" s="1275"/>
      <c r="E672" s="1275"/>
      <c r="F672" s="2567"/>
      <c r="G672" s="1275"/>
      <c r="H672" s="1275"/>
      <c r="I672" s="1275"/>
      <c r="J672" s="1275"/>
      <c r="K672" s="1275"/>
      <c r="L672" s="1275"/>
      <c r="M672" s="1644"/>
      <c r="N672" s="1644"/>
      <c r="O672" s="1644"/>
      <c r="P672" s="1279"/>
    </row>
    <row r="673" spans="1:16" s="4" customFormat="1" x14ac:dyDescent="0.2">
      <c r="A673" s="942" t="s">
        <v>3473</v>
      </c>
      <c r="B673" s="790"/>
      <c r="C673" s="790"/>
      <c r="D673" s="790"/>
      <c r="E673" s="790"/>
      <c r="F673" s="790"/>
      <c r="G673" s="790"/>
      <c r="H673" s="790"/>
      <c r="I673" s="790"/>
      <c r="J673" s="790"/>
      <c r="K673" s="790"/>
      <c r="L673" s="790"/>
      <c r="M673" s="1658"/>
      <c r="N673" s="1658"/>
      <c r="O673" s="1658"/>
      <c r="P673" s="791"/>
    </row>
    <row r="674" spans="1:16" s="779" customFormat="1" x14ac:dyDescent="0.2">
      <c r="A674" s="935" t="s">
        <v>2240</v>
      </c>
      <c r="B674" s="949">
        <v>3413</v>
      </c>
      <c r="C674" s="949">
        <f>LTFP!A231/1000</f>
        <v>3034.8</v>
      </c>
      <c r="D674" s="949">
        <f>LTFP!B231/1000</f>
        <v>3034.8</v>
      </c>
      <c r="E674" s="949">
        <f>LTFP!C231/1000</f>
        <v>3034.8</v>
      </c>
      <c r="F674" s="949">
        <f>LTFP!E231/1000</f>
        <v>3102.7</v>
      </c>
      <c r="G674" s="949">
        <f>LTFP!G231/1000</f>
        <v>2957.5</v>
      </c>
      <c r="H674" s="949">
        <f>LTFP!H231/1000</f>
        <v>2592.3000000000002</v>
      </c>
      <c r="I674" s="949">
        <f>LTFP!I231/1000</f>
        <v>2166</v>
      </c>
      <c r="J674" s="949">
        <f>LTFP!J231/1000</f>
        <v>1675.1</v>
      </c>
      <c r="K674" s="949">
        <f>LTFP!K231/1000</f>
        <v>1311.1</v>
      </c>
      <c r="L674" s="949">
        <f>LTFP!L231/1000</f>
        <v>1017.3</v>
      </c>
      <c r="M674" s="971">
        <f>LTFP!M231/1000</f>
        <v>915.1</v>
      </c>
      <c r="N674" s="971">
        <f>LTFP!N231/1000</f>
        <v>845.9</v>
      </c>
      <c r="O674" s="971">
        <f>LTFP!O231/1000</f>
        <v>773.9</v>
      </c>
      <c r="P674" s="950">
        <f>LTFP!P231/1000</f>
        <v>850.6</v>
      </c>
    </row>
    <row r="675" spans="1:16" s="779" customFormat="1" x14ac:dyDescent="0.2">
      <c r="A675" s="935" t="s">
        <v>1764</v>
      </c>
      <c r="B675" s="949">
        <v>2176</v>
      </c>
      <c r="C675" s="949">
        <f>LTFP!A279/1000</f>
        <v>2916</v>
      </c>
      <c r="D675" s="949">
        <f>LTFP!B279/1000</f>
        <v>3882.8</v>
      </c>
      <c r="E675" s="949">
        <f>LTFP!C279/1000</f>
        <v>4343.8</v>
      </c>
      <c r="F675" s="949">
        <f>LTFP!E279/1000</f>
        <v>4632.7</v>
      </c>
      <c r="G675" s="949">
        <f>LTFP!G279/1000</f>
        <v>4682.2</v>
      </c>
      <c r="H675" s="949">
        <f>LTFP!H279/1000</f>
        <v>5803.4</v>
      </c>
      <c r="I675" s="949">
        <f>LTFP!I279/1000</f>
        <v>5922.7</v>
      </c>
      <c r="J675" s="949">
        <f>LTFP!J279/1000</f>
        <v>6400.3</v>
      </c>
      <c r="K675" s="949">
        <f>LTFP!K279/1000</f>
        <v>4859.7</v>
      </c>
      <c r="L675" s="949">
        <f>LTFP!L279/1000</f>
        <v>6304.7</v>
      </c>
      <c r="M675" s="971">
        <f>LTFP!M279/1000</f>
        <v>6013.1</v>
      </c>
      <c r="N675" s="971">
        <f>LTFP!N279/1000</f>
        <v>6197.5</v>
      </c>
      <c r="O675" s="971">
        <f>LTFP!O279/1000</f>
        <v>8040.3</v>
      </c>
      <c r="P675" s="950">
        <f>LTFP!P279/1000</f>
        <v>10393.200000000001</v>
      </c>
    </row>
    <row r="676" spans="1:16" s="779" customFormat="1" x14ac:dyDescent="0.2">
      <c r="A676" s="936" t="s">
        <v>3354</v>
      </c>
      <c r="B676" s="949">
        <v>23817</v>
      </c>
      <c r="C676" s="949">
        <f>LTFP!A328/1000</f>
        <v>15178</v>
      </c>
      <c r="D676" s="949">
        <f>LTFP!B328/1000</f>
        <v>10514.3</v>
      </c>
      <c r="E676" s="949">
        <f>LTFP!C328/1000</f>
        <v>8126.4</v>
      </c>
      <c r="F676" s="949">
        <f>LTFP!E328/1000</f>
        <v>5299.3</v>
      </c>
      <c r="G676" s="949">
        <f>LTFP!G328/1000</f>
        <v>3836.1</v>
      </c>
      <c r="H676" s="949">
        <f>LTFP!H328/1000</f>
        <v>5642.2</v>
      </c>
      <c r="I676" s="949">
        <f>LTFP!I328/1000</f>
        <v>2003.4</v>
      </c>
      <c r="J676" s="949">
        <f>LTFP!J328/1000</f>
        <v>2283.4</v>
      </c>
      <c r="K676" s="949">
        <f>LTFP!K328/1000</f>
        <v>2761.3</v>
      </c>
      <c r="L676" s="949">
        <f>LTFP!L328/1000</f>
        <v>3862.1</v>
      </c>
      <c r="M676" s="971">
        <f>LTFP!M328/1000</f>
        <v>8880.4</v>
      </c>
      <c r="N676" s="971">
        <f>LTFP!N328/1000</f>
        <v>14449.1</v>
      </c>
      <c r="O676" s="971">
        <f>LTFP!O328/1000</f>
        <v>20620.900000000001</v>
      </c>
      <c r="P676" s="950">
        <f>LTFP!P328/1000</f>
        <v>27538.1</v>
      </c>
    </row>
    <row r="677" spans="1:16" x14ac:dyDescent="0.2">
      <c r="A677" s="942"/>
      <c r="B677" s="1273"/>
      <c r="C677" s="1273"/>
      <c r="D677" s="1273"/>
      <c r="E677" s="1271"/>
      <c r="F677" s="1271"/>
      <c r="G677" s="1271"/>
      <c r="H677" s="1271"/>
      <c r="I677" s="1271"/>
      <c r="J677" s="1271"/>
      <c r="K677" s="1271"/>
      <c r="L677" s="1271"/>
      <c r="M677" s="1642"/>
      <c r="N677" s="1642"/>
      <c r="O677" s="1642"/>
      <c r="P677" s="1272"/>
    </row>
    <row r="678" spans="1:16" x14ac:dyDescent="0.2">
      <c r="A678" s="1278"/>
      <c r="B678" s="1275"/>
      <c r="C678" s="1275"/>
      <c r="D678" s="1275"/>
      <c r="E678" s="1275"/>
      <c r="F678" s="2567"/>
      <c r="G678" s="1275"/>
      <c r="H678" s="1275"/>
      <c r="I678" s="1275"/>
      <c r="J678" s="1275"/>
      <c r="K678" s="1275"/>
      <c r="L678" s="1275"/>
      <c r="M678" s="1644"/>
      <c r="N678" s="1644"/>
      <c r="O678" s="1644"/>
      <c r="P678" s="1279"/>
    </row>
    <row r="679" spans="1:16" s="16" customFormat="1" x14ac:dyDescent="0.2">
      <c r="A679" s="1225" t="s">
        <v>5535</v>
      </c>
      <c r="B679" s="764"/>
      <c r="C679" s="764"/>
      <c r="D679" s="764"/>
      <c r="E679" s="764"/>
      <c r="F679" s="764"/>
      <c r="G679" s="764"/>
      <c r="H679" s="764"/>
      <c r="I679" s="764"/>
      <c r="J679" s="764"/>
      <c r="K679" s="764"/>
      <c r="L679" s="764"/>
      <c r="M679" s="766"/>
      <c r="N679" s="766"/>
      <c r="O679" s="766"/>
      <c r="P679" s="1265"/>
    </row>
    <row r="680" spans="1:16" s="16" customFormat="1" x14ac:dyDescent="0.2">
      <c r="A680" s="1086" t="s">
        <v>4394</v>
      </c>
      <c r="B680" s="764">
        <v>20243</v>
      </c>
      <c r="C680" s="764">
        <v>15523</v>
      </c>
      <c r="D680" s="764">
        <v>14286</v>
      </c>
      <c r="E680" s="764">
        <f>('Cap-Gen'!CL211+'Cap-Water'!CA68+'Cap-WW'!CB121)/1000</f>
        <v>15294</v>
      </c>
      <c r="F680" s="764">
        <f>('Cap-Gen'!CM211+'Cap-Water'!CB68+'Cap-WW'!CC121)/1000</f>
        <v>34195</v>
      </c>
      <c r="G680" s="764">
        <f>('Cap-Gen'!CN211+'Cap-Water'!CC68+'Cap-WW'!CD121)/1000</f>
        <v>22068</v>
      </c>
      <c r="H680" s="764">
        <f>('Cap-Gen'!CO211+'Cap-Water'!CD68+'Cap-WW'!CE121)/1000</f>
        <v>15367</v>
      </c>
      <c r="I680" s="764">
        <f>('Cap-Gen'!CP211+'Cap-Water'!CE68+'Cap-WW'!CF121)/1000</f>
        <v>17622</v>
      </c>
      <c r="J680" s="764">
        <f>('Cap-Gen'!CQ211+'Cap-Water'!CF68+'Cap-WW'!CG121)/1000</f>
        <v>34851</v>
      </c>
      <c r="K680" s="764">
        <f>('Cap-Gen'!CR211+'Cap-Water'!CG68+'Cap-WW'!CH121)/1000</f>
        <v>30086</v>
      </c>
      <c r="L680" s="764">
        <f>('Cap-Gen'!CS211+'Cap-Water'!CH68+'Cap-WW'!CI121)/1000</f>
        <v>17703</v>
      </c>
      <c r="M680" s="766">
        <f>('Cap-Gen'!CT211+'Cap-Water'!CI68+'Cap-WW'!CJ121)/1000</f>
        <v>16188</v>
      </c>
      <c r="N680" s="766">
        <f>('Cap-Gen'!CU211+'Cap-Water'!CJ68+'Cap-WW'!CK121)/1000</f>
        <v>17518</v>
      </c>
      <c r="O680" s="766">
        <f>('Cap-Gen'!CV211+'Cap-Water'!CK68+'Cap-WW'!CL121)/1000</f>
        <v>18223</v>
      </c>
      <c r="P680" s="1265">
        <f>('Cap-Gen'!CW211+'Cap-Water'!CL68+'Cap-WW'!CM121)/1000</f>
        <v>18715</v>
      </c>
    </row>
    <row r="681" spans="1:16" s="16" customFormat="1" x14ac:dyDescent="0.2">
      <c r="A681" s="936" t="s">
        <v>3788</v>
      </c>
      <c r="B681" s="764">
        <f>B687+'W&amp;W'!A20/1000</f>
        <v>17233.900000000001</v>
      </c>
      <c r="C681" s="764">
        <f>C687+'W&amp;W'!B20/1000</f>
        <v>20417.599999999999</v>
      </c>
      <c r="D681" s="764">
        <f>D687+'W&amp;W'!C20/1000</f>
        <v>16598.400000000001</v>
      </c>
      <c r="E681" s="764">
        <f>E687+'W&amp;W'!D20/1000</f>
        <v>17927.7</v>
      </c>
      <c r="F681" s="764">
        <f>F687+'W&amp;W'!G20/1000</f>
        <v>15878.4</v>
      </c>
      <c r="G681" s="764">
        <f>G687+'W&amp;W'!I20/1000</f>
        <v>17229</v>
      </c>
      <c r="H681" s="764">
        <f>H687+'W&amp;W'!J20/1000</f>
        <v>17626.400000000001</v>
      </c>
      <c r="I681" s="764">
        <f>I687+'W&amp;W'!K20/1000</f>
        <v>18071.3</v>
      </c>
      <c r="J681" s="764">
        <f>J687+'W&amp;W'!L20/1000</f>
        <v>18434.099999999999</v>
      </c>
      <c r="K681" s="764">
        <f>K687+'W&amp;W'!M20/1000</f>
        <v>18803.599999999999</v>
      </c>
      <c r="L681" s="764">
        <f>L687+'W&amp;W'!N20/1000</f>
        <v>19181.099999999999</v>
      </c>
      <c r="M681" s="766">
        <f>M687+'W&amp;W'!O20/1000</f>
        <v>19565.3</v>
      </c>
      <c r="N681" s="766">
        <f>N687+'W&amp;W'!P20/1000</f>
        <v>19957.599999999999</v>
      </c>
      <c r="O681" s="766">
        <f>O687+'W&amp;W'!Q20/1000</f>
        <v>20358.3</v>
      </c>
      <c r="P681" s="1265">
        <f>P687+'W&amp;W'!R20/1000</f>
        <v>20766.099999999999</v>
      </c>
    </row>
    <row r="682" spans="1:16" s="805" customFormat="1" x14ac:dyDescent="0.2">
      <c r="A682" s="1225" t="s">
        <v>3466</v>
      </c>
      <c r="B682" s="1266">
        <f t="shared" ref="B682:M682" si="865">B680/B681</f>
        <v>1.1746035430169606</v>
      </c>
      <c r="C682" s="1266">
        <f t="shared" si="865"/>
        <v>0.76027544863255236</v>
      </c>
      <c r="D682" s="1266">
        <f t="shared" si="865"/>
        <v>0.86068536726431455</v>
      </c>
      <c r="E682" s="1266">
        <f t="shared" si="865"/>
        <v>0.85309325791930923</v>
      </c>
      <c r="F682" s="1266">
        <f t="shared" si="865"/>
        <v>2.1535545143087464</v>
      </c>
      <c r="G682" s="1266">
        <f t="shared" si="865"/>
        <v>1.2808636601079575</v>
      </c>
      <c r="H682" s="1266">
        <f t="shared" si="865"/>
        <v>0.87181727408886667</v>
      </c>
      <c r="I682" s="1266">
        <f t="shared" si="865"/>
        <v>0.9751373725188559</v>
      </c>
      <c r="J682" s="1266">
        <f t="shared" si="865"/>
        <v>1.8905723631747686</v>
      </c>
      <c r="K682" s="1266">
        <f t="shared" si="865"/>
        <v>1.6000127635133699</v>
      </c>
      <c r="L682" s="1266">
        <f t="shared" si="865"/>
        <v>0.92293976883494699</v>
      </c>
      <c r="M682" s="1672">
        <f t="shared" si="865"/>
        <v>0.82738317327104627</v>
      </c>
      <c r="N682" s="1672">
        <f t="shared" ref="N682:O682" si="866">N680/N681</f>
        <v>0.87776085300837781</v>
      </c>
      <c r="O682" s="1672">
        <f t="shared" si="866"/>
        <v>0.89511403211466578</v>
      </c>
      <c r="P682" s="1267">
        <f t="shared" ref="P682" si="867">P680/P681</f>
        <v>0.90122844443588357</v>
      </c>
    </row>
    <row r="683" spans="1:16" x14ac:dyDescent="0.2">
      <c r="A683" s="942"/>
      <c r="B683" s="1273"/>
      <c r="C683" s="1273"/>
      <c r="D683" s="1273"/>
      <c r="E683" s="1271"/>
      <c r="F683" s="1271"/>
      <c r="G683" s="1271"/>
      <c r="H683" s="1271"/>
      <c r="I683" s="1271"/>
      <c r="J683" s="1271"/>
      <c r="K683" s="1271"/>
      <c r="L683" s="1271"/>
      <c r="M683" s="1642"/>
      <c r="N683" s="1642"/>
      <c r="O683" s="1642"/>
      <c r="P683" s="1272"/>
    </row>
    <row r="684" spans="1:16" x14ac:dyDescent="0.2">
      <c r="A684" s="1278"/>
      <c r="B684" s="1275"/>
      <c r="C684" s="1275"/>
      <c r="D684" s="1275"/>
      <c r="E684" s="1275"/>
      <c r="F684" s="2567"/>
      <c r="G684" s="1275"/>
      <c r="H684" s="1275"/>
      <c r="I684" s="1275"/>
      <c r="J684" s="1275"/>
      <c r="K684" s="1275"/>
      <c r="L684" s="1275"/>
      <c r="M684" s="1644"/>
      <c r="N684" s="1644"/>
      <c r="O684" s="1644"/>
      <c r="P684" s="1279"/>
    </row>
    <row r="685" spans="1:16" s="16" customFormat="1" x14ac:dyDescent="0.2">
      <c r="A685" s="1225" t="s">
        <v>4353</v>
      </c>
      <c r="B685" s="764"/>
      <c r="C685" s="764"/>
      <c r="D685" s="764"/>
      <c r="E685" s="764"/>
      <c r="F685" s="764"/>
      <c r="G685" s="764"/>
      <c r="H685" s="764"/>
      <c r="I685" s="764"/>
      <c r="J685" s="764"/>
      <c r="K685" s="764"/>
      <c r="L685" s="764"/>
      <c r="M685" s="766"/>
      <c r="N685" s="766"/>
      <c r="O685" s="766"/>
      <c r="P685" s="1265"/>
    </row>
    <row r="686" spans="1:16" s="16" customFormat="1" x14ac:dyDescent="0.2">
      <c r="A686" s="1086" t="s">
        <v>4394</v>
      </c>
      <c r="B686" s="764">
        <v>10898</v>
      </c>
      <c r="C686" s="764">
        <v>11968</v>
      </c>
      <c r="D686" s="764">
        <v>9881</v>
      </c>
      <c r="E686" s="764">
        <f>'Cap-Gen'!CL211/1000</f>
        <v>12270</v>
      </c>
      <c r="F686" s="764">
        <f>'Cap-Gen'!CM211/1000</f>
        <v>27900</v>
      </c>
      <c r="G686" s="764">
        <f>'Cap-Gen'!CN211/1000</f>
        <v>15000</v>
      </c>
      <c r="H686" s="764">
        <f>'Cap-Gen'!CO211/1000</f>
        <v>7405</v>
      </c>
      <c r="I686" s="764">
        <f>'Cap-Gen'!CP211/1000</f>
        <v>8275</v>
      </c>
      <c r="J686" s="764">
        <f>'Cap-Gen'!CQ211/1000</f>
        <v>26821</v>
      </c>
      <c r="K686" s="764">
        <f>'Cap-Gen'!CR211/1000</f>
        <v>21226</v>
      </c>
      <c r="L686" s="764">
        <f>'Cap-Gen'!CS211/1000</f>
        <v>11629</v>
      </c>
      <c r="M686" s="766">
        <f>'Cap-Gen'!CT211/1000</f>
        <v>11473</v>
      </c>
      <c r="N686" s="766">
        <f>'Cap-Gen'!CU211/1000</f>
        <v>12682</v>
      </c>
      <c r="O686" s="766">
        <f>'Cap-Gen'!CV211/1000</f>
        <v>15753</v>
      </c>
      <c r="P686" s="1265">
        <f>'Cap-Gen'!CW211/1000</f>
        <v>16181</v>
      </c>
    </row>
    <row r="687" spans="1:16" s="16" customFormat="1" x14ac:dyDescent="0.2">
      <c r="A687" s="936" t="s">
        <v>3788</v>
      </c>
      <c r="B687" s="764">
        <v>12510</v>
      </c>
      <c r="C687" s="764">
        <v>15915</v>
      </c>
      <c r="D687" s="764">
        <f>SUM(GM!C457+GM!C390+GM!C389+CIV!C674+CIV!C455+CIV!C338+CIV!C337+CIV!C271++CIV!C215+CIV!C167+CIV!C796+CIV!C546+SP!C37+DEH!C31)/1000</f>
        <v>12805.4</v>
      </c>
      <c r="E687" s="764">
        <f>SUM(GM!D457+GM!D390+GM!D389+CIV!D674+CIV!D455+CIV!D338+CIV!D337+CIV!D271++CIV!D215+CIV!D167+CIV!D796+CIV!D546+SP!D37+DEH!D31)/1000</f>
        <v>12896.9</v>
      </c>
      <c r="F687" s="764">
        <f>SUM(GM!G457+GM!G390+GM!G389+CIV!G674+CIV!G455+CIV!G338+CIV!G337+CIV!G271++CIV!G215+CIV!G167+CIV!G796+CIV!G546+SP!G37+DEH!G31)/1000</f>
        <v>11772.4</v>
      </c>
      <c r="G687" s="764">
        <f>SUM(GM!I457+GM!I390+GM!I389+CIV!I674+CIV!I455+CIV!I338+CIV!I337+CIV!I271++CIV!I215+CIV!I167+CIV!I796+CIV!I546+SP!I37+DEH!I31)/1000</f>
        <v>12074</v>
      </c>
      <c r="H687" s="764">
        <f>SUM(GM!J457+GM!J390+GM!J389+CIV!J674+CIV!J455+CIV!J338+CIV!J337+CIV!J271++CIV!J215+CIV!J167+CIV!J796+CIV!J546+SP!J37+DEH!J31)/1000</f>
        <v>12367.8</v>
      </c>
      <c r="I687" s="764">
        <f>SUM(GM!K457+GM!K390+GM!K389+CIV!K674+CIV!K455+CIV!K338+CIV!K337+CIV!K271++CIV!K215+CIV!K167+CIV!K796+CIV!K546+SP!K37+DEH!K31)/1000</f>
        <v>12707.5</v>
      </c>
      <c r="J687" s="764">
        <f>SUM(GM!L457+GM!L390+GM!L389+CIV!L674+CIV!L455+CIV!L338+CIV!L337+CIV!L271++CIV!L215+CIV!L167+CIV!L796+CIV!L546+SP!L37+DEH!L31)/1000</f>
        <v>12962.5</v>
      </c>
      <c r="K687" s="764">
        <f>SUM(GM!M457+GM!M390+GM!M389+CIV!M674+CIV!M455+CIV!M338+CIV!M337+CIV!M271++CIV!M215+CIV!M167+CIV!M796+CIV!M546+SP!M37+DEH!M31)/1000</f>
        <v>13222.7</v>
      </c>
      <c r="L687" s="764">
        <f>SUM(GM!N457+GM!N390+GM!N389+CIV!N674+CIV!N455+CIV!N338+CIV!N337+CIV!N271++CIV!N215+CIV!N167+CIV!N796+CIV!N546+SP!N37+DEH!N31)/1000</f>
        <v>13488.3</v>
      </c>
      <c r="M687" s="764">
        <f>SUM(GM!O457+GM!O390+GM!O389+CIV!O674+CIV!O455+CIV!O338+CIV!O337+CIV!O271++CIV!O215+CIV!O167+CIV!O796+CIV!O546+SP!O37+DEH!O31)/1000</f>
        <v>13759</v>
      </c>
      <c r="N687" s="766">
        <f>SUM(GM!P457+GM!P390+GM!P389+CIV!P674+CIV!P455+CIV!P338+CIV!P337+CIV!P271++CIV!P215+CIV!P167+CIV!P796+CIV!P546+SP!P37+DEH!P31)/1000</f>
        <v>14035.2</v>
      </c>
      <c r="O687" s="766">
        <f>SUM(GM!Q457+GM!Q390+GM!Q389+CIV!Q674+CIV!Q455+CIV!Q338+CIV!Q337+CIV!Q271++CIV!Q215+CIV!Q167+CIV!Q796+CIV!Q546+SP!Q37+DEH!Q31)/1000</f>
        <v>14317.1</v>
      </c>
      <c r="P687" s="1265">
        <f>SUM(GM!R457+GM!R390+GM!R389+CIV!R674+CIV!R455+CIV!R338+CIV!R337+CIV!R271++CIV!R215+CIV!R167+CIV!R796+CIV!R546+SP!R37+DEH!R31)/1000</f>
        <v>14604.5</v>
      </c>
    </row>
    <row r="688" spans="1:16" s="805" customFormat="1" x14ac:dyDescent="0.2">
      <c r="A688" s="1225" t="s">
        <v>4354</v>
      </c>
      <c r="B688" s="1266">
        <f t="shared" ref="B688:M688" si="868">B686/B687</f>
        <v>0.87114308553157471</v>
      </c>
      <c r="C688" s="1266">
        <f t="shared" si="868"/>
        <v>0.75199497329563303</v>
      </c>
      <c r="D688" s="1266">
        <f>D686/D687</f>
        <v>0.77162759460852459</v>
      </c>
      <c r="E688" s="1266">
        <f>E686/E687</f>
        <v>0.95139141964348029</v>
      </c>
      <c r="F688" s="1266">
        <f t="shared" si="868"/>
        <v>2.3699500526655566</v>
      </c>
      <c r="G688" s="1266">
        <f t="shared" si="868"/>
        <v>1.2423389100546629</v>
      </c>
      <c r="H688" s="1266">
        <f t="shared" si="868"/>
        <v>0.5987321916589855</v>
      </c>
      <c r="I688" s="1266">
        <f t="shared" si="868"/>
        <v>0.65119024198308084</v>
      </c>
      <c r="J688" s="1266">
        <f t="shared" si="868"/>
        <v>2.0691224686595948</v>
      </c>
      <c r="K688" s="1266">
        <f t="shared" si="868"/>
        <v>1.6052697255477322</v>
      </c>
      <c r="L688" s="1266">
        <f t="shared" si="868"/>
        <v>0.86215460806773281</v>
      </c>
      <c r="M688" s="1672">
        <f t="shared" si="868"/>
        <v>0.83385420452067738</v>
      </c>
      <c r="N688" s="1672">
        <f t="shared" ref="N688:O688" si="869">N686/N687</f>
        <v>0.9035852713178294</v>
      </c>
      <c r="O688" s="1672">
        <f t="shared" si="869"/>
        <v>1.1002926570324996</v>
      </c>
      <c r="P688" s="1267">
        <f t="shared" ref="P688" si="870">P686/P687</f>
        <v>1.1079461809716182</v>
      </c>
    </row>
    <row r="689" spans="1:16" x14ac:dyDescent="0.2">
      <c r="A689" s="942"/>
      <c r="B689" s="1273"/>
      <c r="C689" s="1273"/>
      <c r="D689" s="1273"/>
      <c r="E689" s="1271"/>
      <c r="F689" s="1271"/>
      <c r="G689" s="1271"/>
      <c r="H689" s="1271"/>
      <c r="I689" s="1271"/>
      <c r="J689" s="1271"/>
      <c r="K689" s="1271"/>
      <c r="L689" s="1271"/>
      <c r="M689" s="1642"/>
      <c r="N689" s="1642"/>
      <c r="O689" s="1642"/>
      <c r="P689" s="1272"/>
    </row>
    <row r="690" spans="1:16" x14ac:dyDescent="0.2">
      <c r="A690" s="1278"/>
      <c r="B690" s="1275"/>
      <c r="C690" s="1275"/>
      <c r="D690" s="1275"/>
      <c r="E690" s="1275"/>
      <c r="F690" s="2567"/>
      <c r="G690" s="1275"/>
      <c r="H690" s="1275"/>
      <c r="I690" s="1275"/>
      <c r="J690" s="1275"/>
      <c r="K690" s="1275"/>
      <c r="L690" s="1275"/>
      <c r="M690" s="1644"/>
      <c r="N690" s="1644"/>
      <c r="O690" s="1644"/>
      <c r="P690" s="1279"/>
    </row>
    <row r="691" spans="1:16" s="16" customFormat="1" x14ac:dyDescent="0.2">
      <c r="A691" s="1225" t="s">
        <v>4355</v>
      </c>
      <c r="B691" s="101"/>
      <c r="C691" s="101"/>
      <c r="D691" s="101"/>
      <c r="E691" s="101"/>
      <c r="F691" s="101"/>
      <c r="G691" s="101"/>
      <c r="H691" s="101"/>
      <c r="I691" s="101"/>
      <c r="J691" s="101"/>
      <c r="K691" s="101"/>
      <c r="L691" s="101"/>
      <c r="M691" s="234"/>
      <c r="N691" s="234"/>
      <c r="O691" s="234"/>
      <c r="P691" s="104"/>
    </row>
    <row r="692" spans="1:16" s="16" customFormat="1" x14ac:dyDescent="0.2">
      <c r="A692" s="1086" t="s">
        <v>4394</v>
      </c>
      <c r="B692" s="101">
        <v>116</v>
      </c>
      <c r="C692" s="101">
        <v>1646</v>
      </c>
      <c r="D692" s="101">
        <v>832</v>
      </c>
      <c r="E692" s="101">
        <f>'Cap-Water'!CA68/1000</f>
        <v>962</v>
      </c>
      <c r="F692" s="101">
        <f>'Cap-Water'!CB68/1000</f>
        <v>1358</v>
      </c>
      <c r="G692" s="101">
        <f>'Cap-Water'!CC68/1000</f>
        <v>2205</v>
      </c>
      <c r="H692" s="101">
        <f>'Cap-Water'!CD68/1000</f>
        <v>3752</v>
      </c>
      <c r="I692" s="101">
        <f>'Cap-Water'!CE68/1000</f>
        <v>3401</v>
      </c>
      <c r="J692" s="101">
        <f>'Cap-Water'!CF68/1000</f>
        <v>1887</v>
      </c>
      <c r="K692" s="101">
        <f>'Cap-Water'!CG68/1000</f>
        <v>4507</v>
      </c>
      <c r="L692" s="101">
        <f>'Cap-Water'!CH68/1000</f>
        <v>1166</v>
      </c>
      <c r="M692" s="234">
        <f>'Cap-Water'!CI68/1000</f>
        <v>3724</v>
      </c>
      <c r="N692" s="234">
        <f>'Cap-Water'!CJ68/1000</f>
        <v>3816</v>
      </c>
      <c r="O692" s="234">
        <f>'Cap-Water'!CK68/1000</f>
        <v>1423</v>
      </c>
      <c r="P692" s="104">
        <f>'Cap-Water'!CL68/1000</f>
        <v>1458</v>
      </c>
    </row>
    <row r="693" spans="1:16" s="16" customFormat="1" x14ac:dyDescent="0.2">
      <c r="A693" s="936" t="s">
        <v>3788</v>
      </c>
      <c r="B693" s="101">
        <f t="shared" ref="B693:C693" si="871">-B558</f>
        <v>1883</v>
      </c>
      <c r="C693" s="101">
        <f t="shared" si="871"/>
        <v>1859</v>
      </c>
      <c r="D693" s="101">
        <f>-D558-59</f>
        <v>1419.7</v>
      </c>
      <c r="E693" s="101">
        <f>-E558-44</f>
        <v>1454.9</v>
      </c>
      <c r="F693" s="101">
        <f t="shared" ref="F693:O693" si="872">-F558-44</f>
        <v>1384</v>
      </c>
      <c r="G693" s="101">
        <f t="shared" si="872"/>
        <v>1336</v>
      </c>
      <c r="H693" s="101">
        <f t="shared" si="872"/>
        <v>1363.6</v>
      </c>
      <c r="I693" s="101">
        <f t="shared" si="872"/>
        <v>1391.8</v>
      </c>
      <c r="J693" s="101">
        <f t="shared" si="872"/>
        <v>1420.6</v>
      </c>
      <c r="K693" s="101">
        <f t="shared" si="872"/>
        <v>1449.9</v>
      </c>
      <c r="L693" s="101">
        <f t="shared" si="872"/>
        <v>1479.8</v>
      </c>
      <c r="M693" s="234">
        <f t="shared" si="872"/>
        <v>1510.3</v>
      </c>
      <c r="N693" s="234">
        <f t="shared" si="872"/>
        <v>1541.4</v>
      </c>
      <c r="O693" s="234">
        <f t="shared" si="872"/>
        <v>1573.2</v>
      </c>
      <c r="P693" s="104">
        <f t="shared" ref="P693" si="873">-P558-44</f>
        <v>1605.6</v>
      </c>
    </row>
    <row r="694" spans="1:16" s="805" customFormat="1" x14ac:dyDescent="0.2">
      <c r="A694" s="1225" t="s">
        <v>4350</v>
      </c>
      <c r="B694" s="1266">
        <f t="shared" ref="B694:M694" si="874">B692/B693</f>
        <v>6.1603823685608072E-2</v>
      </c>
      <c r="C694" s="1266">
        <f t="shared" si="874"/>
        <v>0.88542227003765461</v>
      </c>
      <c r="D694" s="1266">
        <f t="shared" si="874"/>
        <v>0.58603930407832638</v>
      </c>
      <c r="E694" s="1266">
        <f t="shared" si="874"/>
        <v>0.66121382912914972</v>
      </c>
      <c r="F694" s="1266">
        <f t="shared" si="874"/>
        <v>0.98121387283236994</v>
      </c>
      <c r="G694" s="1266">
        <f t="shared" si="874"/>
        <v>1.6504491017964071</v>
      </c>
      <c r="H694" s="1266">
        <f t="shared" si="874"/>
        <v>2.751540041067762</v>
      </c>
      <c r="I694" s="1266">
        <f t="shared" si="874"/>
        <v>2.4435982181347895</v>
      </c>
      <c r="J694" s="1266">
        <f t="shared" si="874"/>
        <v>1.3283119808531607</v>
      </c>
      <c r="K694" s="1266">
        <f t="shared" si="874"/>
        <v>3.1084902407062556</v>
      </c>
      <c r="L694" s="1266">
        <f t="shared" si="874"/>
        <v>0.78794431679956756</v>
      </c>
      <c r="M694" s="1672">
        <f t="shared" si="874"/>
        <v>2.4657352843805866</v>
      </c>
      <c r="N694" s="1672">
        <f t="shared" ref="N694:O694" si="875">N692/N693</f>
        <v>2.4756714674970803</v>
      </c>
      <c r="O694" s="1672">
        <f t="shared" si="875"/>
        <v>0.90452580727180265</v>
      </c>
      <c r="P694" s="1267">
        <f t="shared" ref="P694" si="876">P692/P693</f>
        <v>0.90807174887892383</v>
      </c>
    </row>
    <row r="695" spans="1:16" x14ac:dyDescent="0.2">
      <c r="A695" s="942"/>
      <c r="B695" s="1273"/>
      <c r="C695" s="1273"/>
      <c r="D695" s="1273"/>
      <c r="E695" s="1271"/>
      <c r="F695" s="1271"/>
      <c r="G695" s="1271"/>
      <c r="H695" s="1271"/>
      <c r="I695" s="1271"/>
      <c r="J695" s="1271"/>
      <c r="K695" s="1271"/>
      <c r="L695" s="1271"/>
      <c r="M695" s="1642"/>
      <c r="N695" s="1642"/>
      <c r="O695" s="1642"/>
      <c r="P695" s="1272"/>
    </row>
    <row r="696" spans="1:16" x14ac:dyDescent="0.2">
      <c r="A696" s="1278"/>
      <c r="B696" s="1275"/>
      <c r="C696" s="1275"/>
      <c r="D696" s="1275"/>
      <c r="E696" s="1275"/>
      <c r="F696" s="2567"/>
      <c r="G696" s="1275"/>
      <c r="H696" s="1275"/>
      <c r="I696" s="1275"/>
      <c r="J696" s="1275"/>
      <c r="K696" s="1275"/>
      <c r="L696" s="1275"/>
      <c r="M696" s="1644"/>
      <c r="N696" s="1644"/>
      <c r="O696" s="1644"/>
      <c r="P696" s="1279"/>
    </row>
    <row r="697" spans="1:16" s="16" customFormat="1" x14ac:dyDescent="0.2">
      <c r="A697" s="1225" t="s">
        <v>4356</v>
      </c>
      <c r="B697" s="1563"/>
      <c r="C697" s="1563"/>
      <c r="D697" s="1563"/>
      <c r="E697" s="1563"/>
      <c r="F697" s="1563"/>
      <c r="G697" s="1563"/>
      <c r="H697" s="1563"/>
      <c r="I697" s="1563"/>
      <c r="J697" s="1563"/>
      <c r="K697" s="1563"/>
      <c r="L697" s="1563"/>
      <c r="M697" s="1673"/>
      <c r="N697" s="1673"/>
      <c r="O697" s="1673"/>
      <c r="P697" s="1564"/>
    </row>
    <row r="698" spans="1:16" s="16" customFormat="1" x14ac:dyDescent="0.2">
      <c r="A698" s="1086" t="s">
        <v>4394</v>
      </c>
      <c r="B698" s="1563">
        <v>9229</v>
      </c>
      <c r="C698" s="1563">
        <v>1909</v>
      </c>
      <c r="D698" s="1563">
        <v>3381</v>
      </c>
      <c r="E698" s="1563">
        <f>'Cap-WW'!CB121/1000</f>
        <v>2062</v>
      </c>
      <c r="F698" s="1563">
        <f>'Cap-WW'!CC121/1000</f>
        <v>4937</v>
      </c>
      <c r="G698" s="1563">
        <f>'Cap-WW'!CD121/1000</f>
        <v>4863</v>
      </c>
      <c r="H698" s="1563">
        <f>'Cap-WW'!CE121/1000</f>
        <v>4210</v>
      </c>
      <c r="I698" s="1563">
        <f>'Cap-WW'!CF121/1000</f>
        <v>5946</v>
      </c>
      <c r="J698" s="1563">
        <f>'Cap-WW'!CG121/1000</f>
        <v>6143</v>
      </c>
      <c r="K698" s="1563">
        <f>'Cap-WW'!CH121/1000</f>
        <v>4353</v>
      </c>
      <c r="L698" s="1563">
        <f>'Cap-WW'!CI121/1000</f>
        <v>4908</v>
      </c>
      <c r="M698" s="1673">
        <f>'Cap-WW'!CJ121/1000</f>
        <v>991</v>
      </c>
      <c r="N698" s="1673">
        <f>'Cap-WW'!CK121/1000</f>
        <v>1020</v>
      </c>
      <c r="O698" s="1673">
        <f>'Cap-WW'!CL121/1000</f>
        <v>1047</v>
      </c>
      <c r="P698" s="1564">
        <f>'Cap-WW'!CM121/1000</f>
        <v>1076</v>
      </c>
    </row>
    <row r="699" spans="1:16" s="16" customFormat="1" x14ac:dyDescent="0.2">
      <c r="A699" s="936" t="s">
        <v>3788</v>
      </c>
      <c r="B699" s="1563">
        <f t="shared" ref="B699:C699" si="877">-B573</f>
        <v>2841</v>
      </c>
      <c r="C699" s="1563">
        <f t="shared" si="877"/>
        <v>2643</v>
      </c>
      <c r="D699" s="1563">
        <f>-D573-68</f>
        <v>2246.3000000000002</v>
      </c>
      <c r="E699" s="1563">
        <f>-E573-53</f>
        <v>3478.9</v>
      </c>
      <c r="F699" s="1563">
        <f>-F573-53</f>
        <v>2625</v>
      </c>
      <c r="G699" s="1563">
        <f>-G573-50</f>
        <v>3725</v>
      </c>
      <c r="H699" s="1563">
        <f t="shared" ref="H699:O699" si="878">-H573-50</f>
        <v>3801</v>
      </c>
      <c r="I699" s="1563">
        <f t="shared" si="878"/>
        <v>3878</v>
      </c>
      <c r="J699" s="1563">
        <f t="shared" si="878"/>
        <v>3957</v>
      </c>
      <c r="K699" s="1563">
        <f t="shared" si="878"/>
        <v>4037</v>
      </c>
      <c r="L699" s="1563">
        <f t="shared" si="878"/>
        <v>4119</v>
      </c>
      <c r="M699" s="1673">
        <f t="shared" si="878"/>
        <v>4202</v>
      </c>
      <c r="N699" s="1673">
        <f t="shared" si="878"/>
        <v>4287</v>
      </c>
      <c r="O699" s="1673">
        <f t="shared" si="878"/>
        <v>4374</v>
      </c>
      <c r="P699" s="1564">
        <f t="shared" ref="P699" si="879">-P573-50</f>
        <v>4462</v>
      </c>
    </row>
    <row r="700" spans="1:16" s="805" customFormat="1" x14ac:dyDescent="0.2">
      <c r="A700" s="1225" t="s">
        <v>4357</v>
      </c>
      <c r="B700" s="1266">
        <f t="shared" ref="B700:M700" si="880">B698/B699</f>
        <v>3.2485040478704681</v>
      </c>
      <c r="C700" s="1266">
        <f t="shared" si="880"/>
        <v>0.72228528187665531</v>
      </c>
      <c r="D700" s="1266">
        <f t="shared" si="880"/>
        <v>1.5051417887192271</v>
      </c>
      <c r="E700" s="1266">
        <f t="shared" si="880"/>
        <v>0.59271608841875301</v>
      </c>
      <c r="F700" s="1266">
        <f t="shared" si="880"/>
        <v>1.8807619047619049</v>
      </c>
      <c r="G700" s="1266">
        <f t="shared" si="880"/>
        <v>1.305503355704698</v>
      </c>
      <c r="H700" s="1266">
        <f t="shared" si="880"/>
        <v>1.107603262299395</v>
      </c>
      <c r="I700" s="1266">
        <f t="shared" si="880"/>
        <v>1.5332645693656524</v>
      </c>
      <c r="J700" s="1266">
        <f t="shared" si="880"/>
        <v>1.5524387161991409</v>
      </c>
      <c r="K700" s="1266">
        <f t="shared" si="880"/>
        <v>1.0782759474857568</v>
      </c>
      <c r="L700" s="1266">
        <f t="shared" si="880"/>
        <v>1.191551347414421</v>
      </c>
      <c r="M700" s="1672">
        <f t="shared" si="880"/>
        <v>0.23584007615421229</v>
      </c>
      <c r="N700" s="1672">
        <f t="shared" ref="N700:O700" si="881">N698/N699</f>
        <v>0.23792862141357593</v>
      </c>
      <c r="O700" s="1672">
        <f t="shared" si="881"/>
        <v>0.23936899862825789</v>
      </c>
      <c r="P700" s="1267">
        <f t="shared" ref="P700" si="882">P698/P699</f>
        <v>0.24114746750336172</v>
      </c>
    </row>
    <row r="701" spans="1:16" x14ac:dyDescent="0.2">
      <c r="A701" s="942"/>
      <c r="B701" s="1273"/>
      <c r="C701" s="1273"/>
      <c r="D701" s="1273"/>
      <c r="E701" s="1271"/>
      <c r="F701" s="1271"/>
      <c r="G701" s="1271"/>
      <c r="H701" s="1271"/>
      <c r="I701" s="1271"/>
      <c r="J701" s="1271"/>
      <c r="K701" s="1271"/>
      <c r="L701" s="1271"/>
      <c r="M701" s="1642"/>
      <c r="N701" s="1642"/>
      <c r="O701" s="1642"/>
      <c r="P701" s="1272"/>
    </row>
    <row r="702" spans="1:16" x14ac:dyDescent="0.2">
      <c r="A702" s="1278"/>
      <c r="B702" s="1275"/>
      <c r="C702" s="1275"/>
      <c r="D702" s="1275"/>
      <c r="E702" s="1275"/>
      <c r="F702" s="2567"/>
      <c r="G702" s="1275"/>
      <c r="H702" s="1275"/>
      <c r="I702" s="1275"/>
      <c r="J702" s="1275"/>
      <c r="K702" s="1275"/>
      <c r="L702" s="1275"/>
      <c r="M702" s="1644"/>
      <c r="N702" s="1644"/>
      <c r="O702" s="1644"/>
      <c r="P702" s="1279"/>
    </row>
    <row r="703" spans="1:16" s="16" customFormat="1" x14ac:dyDescent="0.2">
      <c r="A703" s="1225" t="s">
        <v>4395</v>
      </c>
      <c r="B703" s="1563"/>
      <c r="C703" s="1563"/>
      <c r="D703" s="1563"/>
      <c r="E703" s="1563"/>
      <c r="F703" s="1563"/>
      <c r="G703" s="1563"/>
      <c r="H703" s="1563"/>
      <c r="I703" s="1563"/>
      <c r="J703" s="1563"/>
      <c r="K703" s="1563"/>
      <c r="L703" s="1563"/>
      <c r="M703" s="1673"/>
      <c r="N703" s="1673"/>
      <c r="O703" s="1673"/>
      <c r="P703" s="1564"/>
    </row>
    <row r="704" spans="1:16" s="16" customFormat="1" x14ac:dyDescent="0.2">
      <c r="A704" s="1086" t="s">
        <v>4396</v>
      </c>
      <c r="B704" s="1563">
        <f>12355</f>
        <v>12355</v>
      </c>
      <c r="C704" s="1563">
        <v>1474</v>
      </c>
      <c r="D704" s="1563">
        <v>2911</v>
      </c>
      <c r="E704" s="1563">
        <f>D704*Assumptions!F5+D704*0.99</f>
        <v>2951.7539999999999</v>
      </c>
      <c r="F704" s="1563">
        <f>E704*Assumptions!G5+E704*0.99</f>
        <v>2981.2715400000002</v>
      </c>
      <c r="G704" s="1563">
        <f>F704*Assumptions!H5+F704*0.99</f>
        <v>2996.1778977000004</v>
      </c>
      <c r="H704" s="1563">
        <f>G704*Assumptions!I5+G704*0.99</f>
        <v>3041.1205661655003</v>
      </c>
      <c r="I704" s="1563">
        <f>H704*Assumptions!J5+H704*0.99</f>
        <v>3086.7373746579829</v>
      </c>
      <c r="J704" s="1563">
        <f>I704*Assumptions!K5+I704*0.99</f>
        <v>3133.0384352778528</v>
      </c>
      <c r="K704" s="1563">
        <f>J704*Assumptions!L5+J704*0.99</f>
        <v>3164.3688196306312</v>
      </c>
      <c r="L704" s="1563">
        <f>K704*Assumptions!M5+K704*0.99</f>
        <v>3196.0125078269375</v>
      </c>
      <c r="M704" s="1563">
        <f>L704*Assumptions!N5+L704*0.99</f>
        <v>3227.9726329052069</v>
      </c>
      <c r="N704" s="1673">
        <f>M704*Assumptions!O5+M704*0.99</f>
        <v>3260.2523592342586</v>
      </c>
      <c r="O704" s="1673">
        <f>N704*Assumptions!P5+N704*0.99</f>
        <v>3292.8548828266012</v>
      </c>
      <c r="P704" s="1564">
        <f>O704*Assumptions!Q5+O704*0.99</f>
        <v>3325.7834316548669</v>
      </c>
    </row>
    <row r="705" spans="1:16" s="16" customFormat="1" x14ac:dyDescent="0.2">
      <c r="A705" s="936" t="s">
        <v>4397</v>
      </c>
      <c r="B705" s="1563">
        <f>826621-191302-104734</f>
        <v>530585</v>
      </c>
      <c r="C705" s="1563">
        <v>549669</v>
      </c>
      <c r="D705" s="1563">
        <v>629359</v>
      </c>
      <c r="E705" s="1563">
        <f>D705*Assumptions!F5+D705</f>
        <v>644463.61600000004</v>
      </c>
      <c r="F705" s="1563">
        <f>E705*Assumptions!G5+E705</f>
        <v>657352.88832000003</v>
      </c>
      <c r="G705" s="1563">
        <f>F705*Assumptions!H5+F705</f>
        <v>667213.1816448</v>
      </c>
      <c r="H705" s="1563">
        <f>G705*Assumptions!I5+G705</f>
        <v>683893.51118591998</v>
      </c>
      <c r="I705" s="1563">
        <f>H705*Assumptions!J5+H705</f>
        <v>700990.848965568</v>
      </c>
      <c r="J705" s="1563">
        <f>I705*Assumptions!K5+I705</f>
        <v>718515.62018970726</v>
      </c>
      <c r="K705" s="1563">
        <f>J705*Assumptions!L5+J705</f>
        <v>732885.93259350141</v>
      </c>
      <c r="L705" s="1563">
        <f>K705*Assumptions!M5+K705</f>
        <v>747543.65124537144</v>
      </c>
      <c r="M705" s="1563">
        <f>L705*Assumptions!N5+L705</f>
        <v>762494.52427027887</v>
      </c>
      <c r="N705" s="1673">
        <f>M705*Assumptions!O5+M705</f>
        <v>777744.41475568444</v>
      </c>
      <c r="O705" s="1673">
        <f>N705*Assumptions!P5+N705</f>
        <v>793299.30305079813</v>
      </c>
      <c r="P705" s="1564">
        <f>O705*Assumptions!Q5+O705</f>
        <v>809165.28911181411</v>
      </c>
    </row>
    <row r="706" spans="1:16" s="805" customFormat="1" x14ac:dyDescent="0.2">
      <c r="A706" s="1225" t="s">
        <v>4395</v>
      </c>
      <c r="B706" s="1565">
        <f t="shared" ref="B706:M706" si="883">IF(B704=0,0,B704/B705)</f>
        <v>2.3285618703883449E-2</v>
      </c>
      <c r="C706" s="1565">
        <f t="shared" si="883"/>
        <v>2.6816138439679153E-3</v>
      </c>
      <c r="D706" s="1565">
        <f t="shared" si="883"/>
        <v>4.6253410215790986E-3</v>
      </c>
      <c r="E706" s="1565">
        <f t="shared" si="883"/>
        <v>4.58017167566524E-3</v>
      </c>
      <c r="F706" s="1565">
        <f t="shared" si="883"/>
        <v>4.5352680317861695E-3</v>
      </c>
      <c r="G706" s="1565">
        <f t="shared" si="883"/>
        <v>4.4905855881232516E-3</v>
      </c>
      <c r="H706" s="1565">
        <f t="shared" si="883"/>
        <v>4.4467749970196107E-3</v>
      </c>
      <c r="I706" s="1565">
        <f t="shared" si="883"/>
        <v>4.4033918263169805E-3</v>
      </c>
      <c r="J706" s="1565">
        <f t="shared" si="883"/>
        <v>4.3604319060602291E-3</v>
      </c>
      <c r="K706" s="1565">
        <f t="shared" si="883"/>
        <v>4.3176825736478738E-3</v>
      </c>
      <c r="L706" s="1565">
        <f t="shared" si="883"/>
        <v>4.2753523523376006E-3</v>
      </c>
      <c r="M706" s="1674">
        <f t="shared" si="883"/>
        <v>4.2334371331970355E-3</v>
      </c>
      <c r="N706" s="1674">
        <f t="shared" ref="N706:O706" si="884">IF(N704=0,0,N704/N705)</f>
        <v>4.1919328475774568E-3</v>
      </c>
      <c r="O706" s="1674">
        <f t="shared" si="884"/>
        <v>4.150835466718854E-3</v>
      </c>
      <c r="P706" s="1566">
        <f t="shared" ref="P706" si="885">IF(P704=0,0,P704/P705)</f>
        <v>4.1101410013588647E-3</v>
      </c>
    </row>
    <row r="707" spans="1:16" ht="13.5" thickBot="1" x14ac:dyDescent="0.25">
      <c r="A707" s="563"/>
      <c r="B707" s="15"/>
      <c r="C707" s="15"/>
      <c r="D707" s="15"/>
      <c r="E707" s="15"/>
      <c r="F707" s="2237"/>
      <c r="G707" s="15"/>
      <c r="H707" s="15"/>
      <c r="I707" s="15"/>
      <c r="J707" s="15"/>
      <c r="K707" s="15"/>
      <c r="L707" s="15"/>
      <c r="M707" s="1675"/>
      <c r="N707" s="1675"/>
      <c r="O707" s="1675"/>
      <c r="P707" s="564"/>
    </row>
    <row r="708" spans="1:16" s="779" customFormat="1" ht="17.25" thickTop="1" thickBot="1" x14ac:dyDescent="0.3">
      <c r="A708" s="2853" t="s">
        <v>5157</v>
      </c>
      <c r="B708" s="2854"/>
      <c r="C708" s="2854"/>
      <c r="D708" s="2854"/>
      <c r="E708" s="2854"/>
      <c r="F708" s="2854"/>
      <c r="G708" s="2854"/>
      <c r="H708" s="2854"/>
      <c r="I708" s="2854"/>
      <c r="J708" s="2854"/>
      <c r="K708" s="2854"/>
      <c r="L708" s="2854"/>
      <c r="M708" s="2854"/>
      <c r="N708" s="2854"/>
      <c r="O708" s="2854"/>
      <c r="P708" s="2855"/>
    </row>
    <row r="709" spans="1:16" s="779" customFormat="1" ht="13.5" thickBot="1" x14ac:dyDescent="0.25">
      <c r="A709" s="1268" t="s">
        <v>232</v>
      </c>
      <c r="B709" s="793" t="str">
        <f t="shared" ref="B709:P709" si="886">B$2</f>
        <v>2012/13</v>
      </c>
      <c r="C709" s="793" t="str">
        <f t="shared" si="886"/>
        <v>2013/14</v>
      </c>
      <c r="D709" s="793" t="str">
        <f t="shared" si="886"/>
        <v>2014/15</v>
      </c>
      <c r="E709" s="793" t="str">
        <f t="shared" si="886"/>
        <v>2015/16</v>
      </c>
      <c r="F709" s="793" t="str">
        <f t="shared" si="886"/>
        <v>2016/17</v>
      </c>
      <c r="G709" s="793" t="str">
        <f t="shared" si="886"/>
        <v>2017/18</v>
      </c>
      <c r="H709" s="793" t="str">
        <f t="shared" si="886"/>
        <v>2018/19</v>
      </c>
      <c r="I709" s="793" t="str">
        <f t="shared" si="886"/>
        <v>2019/20</v>
      </c>
      <c r="J709" s="793" t="str">
        <f t="shared" si="886"/>
        <v>2020/21</v>
      </c>
      <c r="K709" s="793" t="str">
        <f t="shared" si="886"/>
        <v>2021/22</v>
      </c>
      <c r="L709" s="793" t="str">
        <f t="shared" si="886"/>
        <v>2022/23</v>
      </c>
      <c r="M709" s="1641" t="str">
        <f t="shared" si="886"/>
        <v>2023/24</v>
      </c>
      <c r="N709" s="1641" t="str">
        <f t="shared" si="886"/>
        <v>2024/25</v>
      </c>
      <c r="O709" s="1641" t="str">
        <f t="shared" si="886"/>
        <v>2025/26</v>
      </c>
      <c r="P709" s="794" t="str">
        <f t="shared" si="886"/>
        <v>2026/27</v>
      </c>
    </row>
    <row r="710" spans="1:16" x14ac:dyDescent="0.2">
      <c r="A710" s="756" t="s">
        <v>4785</v>
      </c>
      <c r="B710" s="442"/>
      <c r="C710" s="442"/>
      <c r="D710" s="442"/>
      <c r="E710" s="442"/>
      <c r="F710" s="764"/>
      <c r="G710" s="442"/>
      <c r="H710" s="442"/>
      <c r="I710" s="442"/>
      <c r="J710" s="442"/>
      <c r="K710" s="442"/>
      <c r="L710" s="442"/>
      <c r="M710" s="444"/>
      <c r="N710" s="444"/>
      <c r="O710" s="444"/>
      <c r="P710" s="760"/>
    </row>
    <row r="711" spans="1:16" s="779" customFormat="1" x14ac:dyDescent="0.2">
      <c r="A711" s="1225" t="s">
        <v>1676</v>
      </c>
      <c r="B711" s="949"/>
      <c r="C711" s="949"/>
      <c r="D711" s="949"/>
      <c r="E711" s="949"/>
      <c r="F711" s="949"/>
      <c r="G711" s="949"/>
      <c r="H711" s="949"/>
      <c r="I711" s="949"/>
      <c r="J711" s="949"/>
      <c r="K711" s="949"/>
      <c r="L711" s="949"/>
      <c r="M711" s="971"/>
      <c r="N711" s="971"/>
      <c r="O711" s="971"/>
      <c r="P711" s="950"/>
    </row>
    <row r="712" spans="1:16" s="779" customFormat="1" x14ac:dyDescent="0.2">
      <c r="A712" s="1225" t="s">
        <v>3255</v>
      </c>
      <c r="B712" s="949"/>
      <c r="C712" s="949"/>
      <c r="D712" s="949"/>
      <c r="E712" s="949"/>
      <c r="F712" s="949"/>
      <c r="G712" s="949"/>
      <c r="H712" s="949"/>
      <c r="I712" s="949"/>
      <c r="J712" s="949"/>
      <c r="K712" s="949"/>
      <c r="L712" s="949"/>
      <c r="M712" s="971"/>
      <c r="N712" s="971"/>
      <c r="O712" s="971"/>
      <c r="P712" s="950"/>
    </row>
    <row r="713" spans="1:16" s="779" customFormat="1" x14ac:dyDescent="0.2">
      <c r="A713" s="936" t="s">
        <v>3562</v>
      </c>
      <c r="B713" s="949"/>
      <c r="C713" s="949"/>
      <c r="D713" s="949"/>
      <c r="E713" s="949"/>
      <c r="F713" s="949"/>
      <c r="G713" s="949"/>
      <c r="H713" s="949"/>
      <c r="I713" s="949"/>
      <c r="J713" s="949"/>
      <c r="K713" s="949"/>
      <c r="L713" s="949"/>
      <c r="M713" s="971"/>
      <c r="N713" s="971"/>
      <c r="O713" s="971"/>
      <c r="P713" s="950"/>
    </row>
    <row r="714" spans="1:16" s="779" customFormat="1" x14ac:dyDescent="0.2">
      <c r="A714" s="936" t="s">
        <v>3555</v>
      </c>
      <c r="B714" s="949"/>
      <c r="C714" s="949"/>
      <c r="D714" s="949"/>
      <c r="E714" s="949"/>
      <c r="F714" s="949"/>
      <c r="G714" s="949"/>
      <c r="H714" s="949"/>
      <c r="I714" s="949"/>
      <c r="J714" s="949"/>
      <c r="K714" s="949"/>
      <c r="L714" s="949"/>
      <c r="M714" s="971"/>
      <c r="N714" s="971"/>
      <c r="O714" s="971"/>
      <c r="P714" s="950"/>
    </row>
    <row r="715" spans="1:16" s="779" customFormat="1" x14ac:dyDescent="0.2">
      <c r="A715" s="936" t="s">
        <v>2923</v>
      </c>
      <c r="B715" s="949"/>
      <c r="C715" s="949"/>
      <c r="D715" s="949"/>
      <c r="E715" s="949"/>
      <c r="F715" s="949"/>
      <c r="G715" s="949"/>
      <c r="H715" s="949"/>
      <c r="I715" s="949"/>
      <c r="J715" s="949"/>
      <c r="K715" s="949"/>
      <c r="L715" s="949"/>
      <c r="M715" s="971"/>
      <c r="N715" s="971"/>
      <c r="O715" s="971"/>
      <c r="P715" s="950"/>
    </row>
    <row r="716" spans="1:16" s="779" customFormat="1" x14ac:dyDescent="0.2">
      <c r="A716" s="936" t="s">
        <v>389</v>
      </c>
      <c r="B716" s="949">
        <f>(SP!A814+SP!A829)/1000</f>
        <v>117</v>
      </c>
      <c r="C716" s="949">
        <f>(SP!B814+SP!B829)/1000</f>
        <v>135.9</v>
      </c>
      <c r="D716" s="949">
        <f>(SP!C814+SP!C829)/1000</f>
        <v>77.7</v>
      </c>
      <c r="E716" s="949">
        <f>(SP!D814+SP!D829)/1000</f>
        <v>28.1</v>
      </c>
      <c r="F716" s="949">
        <f>(SP!G814+SP!G829)/1000</f>
        <v>10</v>
      </c>
      <c r="G716" s="949">
        <f>(SP!I814+SP!I829)/1000</f>
        <v>10</v>
      </c>
      <c r="H716" s="949">
        <f>(SP!J814+SP!J829)/1000</f>
        <v>10.4</v>
      </c>
      <c r="I716" s="949">
        <f>(SP!K814+SP!K829)/1000</f>
        <v>10.8</v>
      </c>
      <c r="J716" s="949">
        <f>(SP!L814+SP!L829)/1000</f>
        <v>11.2</v>
      </c>
      <c r="K716" s="949">
        <f>(SP!M814+SP!M829)/1000</f>
        <v>11.6</v>
      </c>
      <c r="L716" s="949">
        <f>(SP!N814+SP!N829)/1000</f>
        <v>12</v>
      </c>
      <c r="M716" s="949">
        <f>(SP!O814+SP!O829)/1000</f>
        <v>12.4</v>
      </c>
      <c r="N716" s="971">
        <f>(SP!P814+SP!P829)/1000</f>
        <v>12.8</v>
      </c>
      <c r="O716" s="971">
        <f>(SP!Q814+SP!Q829)/1000</f>
        <v>13.2</v>
      </c>
      <c r="P716" s="950">
        <f>(SP!R814+SP!R829)/1000</f>
        <v>13.6</v>
      </c>
    </row>
    <row r="717" spans="1:16" s="779" customFormat="1" x14ac:dyDescent="0.2">
      <c r="A717" s="936" t="s">
        <v>3307</v>
      </c>
      <c r="B717" s="949"/>
      <c r="C717" s="949"/>
      <c r="D717" s="949"/>
      <c r="E717" s="949"/>
      <c r="F717" s="949"/>
      <c r="G717" s="949"/>
      <c r="H717" s="949"/>
      <c r="I717" s="949"/>
      <c r="J717" s="949"/>
      <c r="K717" s="949"/>
      <c r="L717" s="949"/>
      <c r="M717" s="971"/>
      <c r="N717" s="971"/>
      <c r="O717" s="971"/>
      <c r="P717" s="950"/>
    </row>
    <row r="718" spans="1:16" s="779" customFormat="1" x14ac:dyDescent="0.2">
      <c r="A718" s="1225" t="s">
        <v>3364</v>
      </c>
      <c r="B718" s="949"/>
      <c r="C718" s="949"/>
      <c r="D718" s="949"/>
      <c r="E718" s="949"/>
      <c r="F718" s="949"/>
      <c r="G718" s="949"/>
      <c r="H718" s="949"/>
      <c r="I718" s="949"/>
      <c r="J718" s="949"/>
      <c r="K718" s="949"/>
      <c r="L718" s="949"/>
      <c r="M718" s="971"/>
      <c r="N718" s="971"/>
      <c r="O718" s="971"/>
      <c r="P718" s="950"/>
    </row>
    <row r="719" spans="1:16" s="779" customFormat="1" x14ac:dyDescent="0.2">
      <c r="A719" s="936" t="s">
        <v>3193</v>
      </c>
      <c r="B719" s="949"/>
      <c r="C719" s="949"/>
      <c r="D719" s="949"/>
      <c r="E719" s="949"/>
      <c r="F719" s="949"/>
      <c r="G719" s="949"/>
      <c r="H719" s="949"/>
      <c r="I719" s="949"/>
      <c r="J719" s="949"/>
      <c r="K719" s="949"/>
      <c r="L719" s="949"/>
      <c r="M719" s="971"/>
      <c r="N719" s="971"/>
      <c r="O719" s="971"/>
      <c r="P719" s="950"/>
    </row>
    <row r="720" spans="1:16" s="779" customFormat="1" x14ac:dyDescent="0.2">
      <c r="A720" s="936" t="s">
        <v>2710</v>
      </c>
      <c r="B720" s="949"/>
      <c r="C720" s="949"/>
      <c r="D720" s="949"/>
      <c r="E720" s="949"/>
      <c r="F720" s="949"/>
      <c r="G720" s="949"/>
      <c r="H720" s="949"/>
      <c r="I720" s="949"/>
      <c r="J720" s="949"/>
      <c r="K720" s="949"/>
      <c r="L720" s="949"/>
      <c r="M720" s="971"/>
      <c r="N720" s="971"/>
      <c r="O720" s="971"/>
      <c r="P720" s="950"/>
    </row>
    <row r="721" spans="1:16" s="779" customFormat="1" x14ac:dyDescent="0.2">
      <c r="A721" s="1225" t="s">
        <v>143</v>
      </c>
      <c r="B721" s="949"/>
      <c r="C721" s="949"/>
      <c r="D721" s="949"/>
      <c r="E721" s="949"/>
      <c r="F721" s="949"/>
      <c r="G721" s="949"/>
      <c r="H721" s="949"/>
      <c r="I721" s="949"/>
      <c r="J721" s="949"/>
      <c r="K721" s="949"/>
      <c r="L721" s="949"/>
      <c r="M721" s="971"/>
      <c r="N721" s="971"/>
      <c r="O721" s="971"/>
      <c r="P721" s="950"/>
    </row>
    <row r="722" spans="1:16" s="779" customFormat="1" x14ac:dyDescent="0.2">
      <c r="A722" s="936" t="s">
        <v>572</v>
      </c>
      <c r="B722" s="949"/>
      <c r="C722" s="949"/>
      <c r="D722" s="949"/>
      <c r="E722" s="949"/>
      <c r="F722" s="949"/>
      <c r="G722" s="949"/>
      <c r="H722" s="949"/>
      <c r="I722" s="949"/>
      <c r="J722" s="949"/>
      <c r="K722" s="949"/>
      <c r="L722" s="949"/>
      <c r="M722" s="971"/>
      <c r="N722" s="971"/>
      <c r="O722" s="971"/>
      <c r="P722" s="950"/>
    </row>
    <row r="723" spans="1:16" s="779" customFormat="1" x14ac:dyDescent="0.2">
      <c r="A723" s="936" t="s">
        <v>3870</v>
      </c>
      <c r="B723" s="949">
        <f>(SUM(CIV!A887:A904)+CIV!A908+CIV!A910+CIV!A914+CIV!A920+CIV!A922+CIV!A925+CIV!A926+CIV!A927+CIV!A929+CIV!A832+CIV!A834+CIV!A833+CIV!A848+CIV!A849+CIV!A858+CIV!A859)/1000</f>
        <v>604</v>
      </c>
      <c r="C723" s="949">
        <f>(SUM(CIV!B887:B904)+CIV!B908+CIV!B910+CIV!B914+CIV!B920+CIV!B922+CIV!B925+CIV!B926+CIV!B927+CIV!B929+CIV!B832+CIV!B834+CIV!B833+CIV!B848+CIV!B849+CIV!B858+CIV!B859)/1000</f>
        <v>594.1</v>
      </c>
      <c r="D723" s="949">
        <f>(SUM(CIV!C887:C904)+CIV!C908+CIV!C910+CIV!C914+CIV!C920+CIV!C922+CIV!C925+CIV!C926+CIV!C927+CIV!C929+CIV!C832+CIV!C834+CIV!C833+CIV!C848+CIV!C849+CIV!C858+CIV!C859)/1000</f>
        <v>607.29999999999995</v>
      </c>
      <c r="E723" s="949">
        <f>(SUM(CIV!D887:D904)+CIV!D908+CIV!D910+CIV!D914+CIV!D920+CIV!D922+CIV!D925+CIV!D926+CIV!D927+CIV!D929+CIV!D832+CIV!D834+CIV!D833+CIV!D848+CIV!D849+CIV!D858+CIV!D859)/1000</f>
        <v>776.5</v>
      </c>
      <c r="F723" s="949">
        <f>(SUM(CIV!G887:G904)+CIV!G908+CIV!G910+CIV!G914+CIV!G920+CIV!G922+CIV!G925+CIV!G926+CIV!G927+CIV!G929+CIV!G832+CIV!G834+CIV!G833+CIV!G848+CIV!G849+CIV!G858+CIV!G859)/1000</f>
        <v>702.3</v>
      </c>
      <c r="G723" s="949">
        <f>(SUM(CIV!I887:I904)+CIV!I908+CIV!I910+CIV!I914+CIV!I920+CIV!I922+CIV!I925+CIV!I926+CIV!I927+CIV!I929+CIV!I832+CIV!I834+CIV!I833+CIV!I848+CIV!I849+CIV!I858+CIV!I859)/1000</f>
        <v>694.2</v>
      </c>
      <c r="H723" s="949">
        <f>(SUM(CIV!J887:J904)+CIV!J908+CIV!J910+CIV!J914+CIV!J920+CIV!J922+CIV!J925+CIV!J926+CIV!J927+CIV!J929+CIV!J832+CIV!J834+CIV!J833+CIV!J848+CIV!J849+CIV!J858+CIV!J859)/1000</f>
        <v>713.1</v>
      </c>
      <c r="I723" s="949">
        <f>(SUM(CIV!K887:K904)+CIV!K908+CIV!K910+CIV!K914+CIV!K920+CIV!K922+CIV!K925+CIV!K926+CIV!K927+CIV!K929+CIV!K832+CIV!K834+CIV!K833+CIV!K848+CIV!K849+CIV!K858+CIV!K859)/1000</f>
        <v>732.4</v>
      </c>
      <c r="J723" s="949">
        <f>(SUM(CIV!L887:L904)+CIV!L908+CIV!L910+CIV!L914+CIV!L920+CIV!L922+CIV!L925+CIV!L926+CIV!L927+CIV!L929+CIV!L832+CIV!L834+CIV!L833+CIV!L848+CIV!L849+CIV!L858+CIV!L859)/1000</f>
        <v>752.3</v>
      </c>
      <c r="K723" s="949">
        <f>(SUM(CIV!M887:M904)+CIV!M908+CIV!M910+CIV!M914+CIV!M920+CIV!M922+CIV!M925+CIV!M926+CIV!M927+CIV!M929+CIV!M832+CIV!M834+CIV!M833+CIV!M848+CIV!M849+CIV!M858+CIV!M859)/1000</f>
        <v>769.3</v>
      </c>
      <c r="L723" s="949">
        <f>(SUM(CIV!N887:N904)+CIV!N908+CIV!N910+CIV!N914+CIV!N920+CIV!N922+CIV!N925+CIV!N926+CIV!N927+CIV!N929+CIV!N832+CIV!N834+CIV!N833+CIV!N848+CIV!N849+CIV!N858+CIV!N859)/1000</f>
        <v>786.3</v>
      </c>
      <c r="M723" s="949">
        <f>(SUM(CIV!O887:O904)+CIV!O908+CIV!O910+CIV!O914+CIV!O920+CIV!O922+CIV!O925+CIV!O926+CIV!O927+CIV!O929+CIV!O832+CIV!O834+CIV!O833+CIV!O848+CIV!O849+CIV!O858+CIV!O859)/1000</f>
        <v>803.7</v>
      </c>
      <c r="N723" s="971">
        <f>(SUM(CIV!P887:P904)+CIV!P908+CIV!P910+CIV!P914+CIV!P920+CIV!P922+CIV!P925+CIV!P926+CIV!P927+CIV!P929+CIV!P832+CIV!P834+CIV!P833+CIV!P848+CIV!P849+CIV!P858+CIV!P859)/1000</f>
        <v>821.5</v>
      </c>
      <c r="O723" s="971">
        <f>(SUM(CIV!Q887:Q904)+CIV!Q908+CIV!Q910+CIV!Q914+CIV!Q920+CIV!Q922+CIV!Q925+CIV!Q926+CIV!Q927+CIV!Q929+CIV!Q832+CIV!Q834+CIV!Q833+CIV!Q848+CIV!Q849+CIV!Q858+CIV!Q859)/1000</f>
        <v>839.6</v>
      </c>
      <c r="P723" s="950">
        <f>(SUM(CIV!R887:R904)+CIV!R908+CIV!R910+CIV!R914+CIV!R920+CIV!R922+CIV!R925+CIV!R926+CIV!R927+CIV!R929+CIV!R832+CIV!R834+CIV!R833+CIV!R848+CIV!R849+CIV!R858+CIV!R859)/1000</f>
        <v>857.9</v>
      </c>
    </row>
    <row r="724" spans="1:16" s="779" customFormat="1" x14ac:dyDescent="0.2">
      <c r="A724" s="936" t="s">
        <v>1262</v>
      </c>
      <c r="B724" s="949">
        <f>(CIV!A970+CIV!A971+CIV!A972+CIV!A973+CIV!A974+CIV!A975+CIV!A976+CIV!A993+CIV!A994+CIV!A987)/1000</f>
        <v>411.2</v>
      </c>
      <c r="C724" s="949">
        <f>(CIV!B970+CIV!B971+CIV!B972+CIV!B973+CIV!B974+CIV!B975+CIV!B976+CIV!B993+CIV!B994+CIV!B987)/1000</f>
        <v>318.3</v>
      </c>
      <c r="D724" s="949">
        <f>(CIV!C970+CIV!C971+CIV!C987+CIV!C993)/1000</f>
        <v>361</v>
      </c>
      <c r="E724" s="949">
        <f>(CIV!D970+CIV!D971+CIV!D987+CIV!D993)/1000</f>
        <v>314.60000000000002</v>
      </c>
      <c r="F724" s="949">
        <f>(CIV!G970+CIV!G971+CIV!G987+CIV!G993)/1000</f>
        <v>289.39999999999998</v>
      </c>
      <c r="G724" s="949">
        <f>(CIV!I970+CIV!I971+CIV!I987+CIV!I993)/1000</f>
        <v>305.2</v>
      </c>
      <c r="H724" s="949">
        <f>(CIV!J970+CIV!J971+CIV!J987+CIV!J993)/1000</f>
        <v>313</v>
      </c>
      <c r="I724" s="949">
        <f>(CIV!K970+CIV!K971+CIV!K987+CIV!K993)/1000</f>
        <v>321</v>
      </c>
      <c r="J724" s="949">
        <f>(CIV!L970+CIV!L971+CIV!L987+CIV!L993)/1000</f>
        <v>329.2</v>
      </c>
      <c r="K724" s="949">
        <f>(CIV!M970+CIV!M971+CIV!M987+CIV!M993)/1000</f>
        <v>335.9</v>
      </c>
      <c r="L724" s="949">
        <f>(CIV!N970+CIV!N971+CIV!N987+CIV!N993)/1000</f>
        <v>342.9</v>
      </c>
      <c r="M724" s="949">
        <f>(CIV!O970+CIV!O971+CIV!O987+CIV!O993)/1000</f>
        <v>349.9</v>
      </c>
      <c r="N724" s="971">
        <f>(CIV!P970+CIV!P971+CIV!P987+CIV!P993)/1000</f>
        <v>357.1</v>
      </c>
      <c r="O724" s="971">
        <f>(CIV!Q970+CIV!Q971+CIV!Q987+CIV!Q993)/1000</f>
        <v>364.4</v>
      </c>
      <c r="P724" s="950">
        <f>(CIV!R970+CIV!R971+CIV!R987+CIV!R993)/1000</f>
        <v>371.9</v>
      </c>
    </row>
    <row r="725" spans="1:16" s="779" customFormat="1" x14ac:dyDescent="0.2">
      <c r="A725" s="936" t="s">
        <v>728</v>
      </c>
      <c r="B725" s="949">
        <f>SUM(CIV!A1037:A1055)/1000</f>
        <v>3419</v>
      </c>
      <c r="C725" s="949">
        <f>SUM(CIV!B1037:B1055)/1000</f>
        <v>2656.8</v>
      </c>
      <c r="D725" s="949">
        <f>(CIV!C1038+CIV!C1039+CIV!C1042+CIV!C1046+CIV!C1048++CIV!C1053+CIV!C1055+330000)/1000</f>
        <v>1977.1</v>
      </c>
      <c r="E725" s="949">
        <f>(CIV!D1038+CIV!D1039+CIV!D1042+CIV!D1046+CIV!D1048++CIV!D1053+CIV!D1055+335000)/1000</f>
        <v>2053.1</v>
      </c>
      <c r="F725" s="949">
        <f>(CIV!G1038+CIV!G1039+CIV!G1042+CIV!G1046+CIV!G1048++CIV!G1053+CIV!G1055+340000)/1000</f>
        <v>1991.3</v>
      </c>
      <c r="G725" s="949">
        <f>(CIV!I1038+CIV!I1039+CIV!I1042+CIV!I1046+CIV!I1048++CIV!I1053+CIV!I1055+345000)/1000</f>
        <v>2079</v>
      </c>
      <c r="H725" s="949">
        <f>(CIV!J1038+CIV!J1039+CIV!J1042+CIV!J1046+CIV!J1048++CIV!J1053+CIV!J1055+345000)/1000</f>
        <v>2122.6</v>
      </c>
      <c r="I725" s="949">
        <f>(CIV!K1038+CIV!K1039+CIV!K1042+CIV!K1046+CIV!K1048++CIV!K1053+CIV!K1055+345000)/1000</f>
        <v>2167.4</v>
      </c>
      <c r="J725" s="949">
        <f>(CIV!L1038+CIV!L1039+CIV!L1042+CIV!L1046+CIV!L1048++CIV!L1053+CIV!L1055+345000)/1000</f>
        <v>2213.1999999999998</v>
      </c>
      <c r="K725" s="949">
        <f>(CIV!M1038+CIV!M1039+CIV!M1042+CIV!M1046+CIV!M1048++CIV!M1053+CIV!M1055+345000)/1000</f>
        <v>2250.9</v>
      </c>
      <c r="L725" s="949">
        <f>(CIV!N1038+CIV!N1039+CIV!N1042+CIV!N1046+CIV!N1048++CIV!N1053+CIV!N1055+345000)/1000</f>
        <v>2289.4</v>
      </c>
      <c r="M725" s="949">
        <f>(CIV!O1038+CIV!O1039+CIV!O1042+CIV!O1046+CIV!O1048++CIV!O1053+CIV!O1055+345000)/1000</f>
        <v>2328.5</v>
      </c>
      <c r="N725" s="971">
        <f>(CIV!P1038+CIV!P1039+CIV!P1042+CIV!P1046+CIV!P1048++CIV!P1053+CIV!P1055+345000)/1000</f>
        <v>2368.6999999999998</v>
      </c>
      <c r="O725" s="971">
        <f>(CIV!Q1038+CIV!Q1039+CIV!Q1042+CIV!Q1046+CIV!Q1048++CIV!Q1053+CIV!Q1055+345000)/1000</f>
        <v>2409.6</v>
      </c>
      <c r="P725" s="950">
        <f>(CIV!R1038+CIV!R1039+CIV!R1042+CIV!R1046+CIV!R1048++CIV!R1053+CIV!R1055+345000)/1000</f>
        <v>2451.3000000000002</v>
      </c>
    </row>
    <row r="726" spans="1:16" s="779" customFormat="1" x14ac:dyDescent="0.2">
      <c r="A726" s="936" t="s">
        <v>1180</v>
      </c>
      <c r="B726" s="949">
        <f>(SUM(CIV!A1104:A1119)++CIV!A1123+CIV!A1173+CIV!A1190)/1000</f>
        <v>390.3</v>
      </c>
      <c r="C726" s="949">
        <f>(SUM(CIV!B1104:B1119)++CIV!B1123+CIV!B1173+CIV!B1190)/1000</f>
        <v>485</v>
      </c>
      <c r="D726" s="949">
        <f>(SUM(CIV!C1106:C1119)+CIV!C1104++CIV!C1123+CIV!C1173+CIV!C1190)/1000</f>
        <v>376.3</v>
      </c>
      <c r="E726" s="949">
        <f>(SUM(CIV!D1106:D1119)+CIV!D1104++CIV!D1123+CIV!D1173+CIV!D1190)/1000</f>
        <v>367.3</v>
      </c>
      <c r="F726" s="949">
        <f>(SUM(CIV!G1106:G1119)+CIV!G1104++CIV!G1123+CIV!G1173+CIV!G1190)/1000</f>
        <v>332.5</v>
      </c>
      <c r="G726" s="949">
        <f>(SUM(CIV!I1106:I1119)+CIV!I1104++CIV!I1123+CIV!I1173+CIV!I1190)/1000</f>
        <v>400.6</v>
      </c>
      <c r="H726" s="949">
        <f>(SUM(CIV!J1106:J1119)+CIV!J1104++CIV!J1123+CIV!J1173+CIV!J1190)/1000</f>
        <v>309.89999999999998</v>
      </c>
      <c r="I726" s="949">
        <f>(SUM(CIV!K1106:K1119)+CIV!K1104++CIV!K1123+CIV!K1173+CIV!K1190)/1000</f>
        <v>419.3</v>
      </c>
      <c r="J726" s="949">
        <f>(SUM(CIV!L1106:L1119)+CIV!L1104++CIV!L1123+CIV!L1173+CIV!L1190)/1000</f>
        <v>328.9</v>
      </c>
      <c r="K726" s="949">
        <f>(SUM(CIV!M1106:M1119)+CIV!M1104++CIV!M1123+CIV!M1173+CIV!M1190)/1000</f>
        <v>439.3</v>
      </c>
      <c r="L726" s="949">
        <f>(SUM(CIV!N1106:N1119)+CIV!N1104++CIV!N1123+CIV!N1173+CIV!N1190)/1000</f>
        <v>345.8</v>
      </c>
      <c r="M726" s="949">
        <f>(SUM(CIV!O1106:O1119)+CIV!O1104++CIV!O1123+CIV!O1173+CIV!O1190)/1000</f>
        <v>458.5</v>
      </c>
      <c r="N726" s="971">
        <f>(SUM(CIV!P1106:P1119)+CIV!P1104++CIV!P1123+CIV!P1173+CIV!P1190)/1000</f>
        <v>363.2</v>
      </c>
      <c r="O726" s="971">
        <f>(SUM(CIV!Q1106:Q1119)+CIV!Q1104++CIV!Q1123+CIV!Q1173+CIV!Q1190)/1000</f>
        <v>478</v>
      </c>
      <c r="P726" s="950">
        <f>(SUM(CIV!R1106:R1119)+CIV!R1104++CIV!R1123+CIV!R1173+CIV!R1190)/1000</f>
        <v>381</v>
      </c>
    </row>
    <row r="727" spans="1:16" s="779" customFormat="1" x14ac:dyDescent="0.2">
      <c r="A727" s="936" t="s">
        <v>3103</v>
      </c>
      <c r="B727" s="949">
        <f>(SUM(CIV!A1237:A1250)+CIV!A1232)/1000</f>
        <v>709.7</v>
      </c>
      <c r="C727" s="949">
        <f>(SUM(CIV!B1237:B1250)+CIV!B1232)/1000</f>
        <v>749.8</v>
      </c>
      <c r="D727" s="949">
        <f>(CIV!C1241+CIV!C1243+CIV!C1245+CIV!C1247+(CIV!C1248/2))/1000</f>
        <v>293</v>
      </c>
      <c r="E727" s="949">
        <f>(CIV!D1241+CIV!D1243+CIV!D1245+CIV!D1247+(CIV!D1248/2))/1000</f>
        <v>318.05</v>
      </c>
      <c r="F727" s="949">
        <f>(CIV!G1241+CIV!G1243+CIV!G1245+CIV!G1247+(CIV!G1248/2))/1000</f>
        <v>394.35</v>
      </c>
      <c r="G727" s="949">
        <f>(CIV!I1241+CIV!I1243+CIV!I1245+CIV!I1247+(CIV!I1248/2))/1000</f>
        <v>363.65</v>
      </c>
      <c r="H727" s="949">
        <f>(CIV!J1241+CIV!J1243+CIV!J1245+CIV!J1247+(CIV!J1248/2))/1000</f>
        <v>372.9</v>
      </c>
      <c r="I727" s="949">
        <f>(CIV!K1241+CIV!K1243+CIV!K1245+CIV!K1247+(CIV!K1248/2))/1000</f>
        <v>382.4</v>
      </c>
      <c r="J727" s="949">
        <f>(CIV!L1241+CIV!L1243+CIV!L1245+CIV!L1247+(CIV!L1248/2))/1000</f>
        <v>392.15</v>
      </c>
      <c r="K727" s="949">
        <f>(CIV!M1241+CIV!M1243+CIV!M1245+CIV!M1247+(CIV!M1248/2))/1000</f>
        <v>400.3</v>
      </c>
      <c r="L727" s="949">
        <f>(CIV!N1241+CIV!N1243+CIV!N1245+CIV!N1247+(CIV!N1248/2))/1000</f>
        <v>408.5</v>
      </c>
      <c r="M727" s="949">
        <f>(CIV!O1241+CIV!O1243+CIV!O1245+CIV!O1247+(CIV!O1248/2))/1000</f>
        <v>417</v>
      </c>
      <c r="N727" s="971">
        <f>(CIV!P1241+CIV!P1243+CIV!P1245+CIV!P1247+(CIV!P1248/2))/1000</f>
        <v>425.55</v>
      </c>
      <c r="O727" s="971">
        <f>(CIV!Q1241+CIV!Q1243+CIV!Q1245+CIV!Q1247+(CIV!Q1248/2))/1000</f>
        <v>434.3</v>
      </c>
      <c r="P727" s="950">
        <f>(CIV!R1241+CIV!R1243+CIV!R1245+CIV!R1247+(CIV!R1248/2))/1000</f>
        <v>443.2</v>
      </c>
    </row>
    <row r="728" spans="1:16" s="779" customFormat="1" x14ac:dyDescent="0.2">
      <c r="A728" s="936" t="s">
        <v>500</v>
      </c>
      <c r="B728" s="949">
        <f>(CIV!A1322+CIV!A1323+CIV!A1330+CIV!A1342+CIV!A1343+CIV!A1344+CIV!A1345+CIV!A1346)/1000</f>
        <v>88.8</v>
      </c>
      <c r="C728" s="949">
        <f>(CIV!B1322+CIV!B1323+CIV!B1330+CIV!B1342+CIV!B1343+CIV!B1344+CIV!B1345+CIV!B1346)/1000</f>
        <v>91.3</v>
      </c>
      <c r="D728" s="949">
        <f>(CIV!C1322+CIV!C1342+CIV!C1343+CIV!C1344+CIV!C1345+CIV!C1346)/1000</f>
        <v>27.6</v>
      </c>
      <c r="E728" s="949">
        <f>(CIV!D1322+CIV!D1342+CIV!D1343+CIV!D1344+CIV!D1345+CIV!D1346)/1000</f>
        <v>31.6</v>
      </c>
      <c r="F728" s="949">
        <f>(CIV!G1322+CIV!G1342+CIV!G1343+CIV!G1344+CIV!G1345+CIV!G1346)/1000</f>
        <v>39.5</v>
      </c>
      <c r="G728" s="949">
        <f>(CIV!I1322+CIV!I1342+CIV!I1343+CIV!I1344+CIV!I1345+CIV!I1346)/1000</f>
        <v>40.299999999999997</v>
      </c>
      <c r="H728" s="949">
        <f>(CIV!J1322+CIV!J1342+CIV!J1343+CIV!J1344+CIV!J1345+CIV!J1346)/1000</f>
        <v>41.6</v>
      </c>
      <c r="I728" s="949">
        <f>(CIV!K1322+CIV!K1342+CIV!K1343+CIV!K1344+CIV!K1345+CIV!K1346)/1000</f>
        <v>42.9</v>
      </c>
      <c r="J728" s="949">
        <f>(CIV!L1322+CIV!L1342+CIV!L1343+CIV!L1344+CIV!L1345+CIV!L1346)/1000</f>
        <v>44.2</v>
      </c>
      <c r="K728" s="949">
        <f>(CIV!M1322+CIV!M1342+CIV!M1343+CIV!M1344+CIV!M1345+CIV!M1346)/1000</f>
        <v>45.4</v>
      </c>
      <c r="L728" s="949">
        <f>(CIV!N1322+CIV!N1342+CIV!N1343+CIV!N1344+CIV!N1345+CIV!N1346)/1000</f>
        <v>46.6</v>
      </c>
      <c r="M728" s="949">
        <f>(CIV!O1322+CIV!O1342+CIV!O1343+CIV!O1344+CIV!O1345+CIV!O1346)/1000</f>
        <v>47.8</v>
      </c>
      <c r="N728" s="971">
        <f>(CIV!P1322+CIV!P1342+CIV!P1343+CIV!P1344+CIV!P1345+CIV!P1346)/1000</f>
        <v>49.1</v>
      </c>
      <c r="O728" s="971">
        <f>(CIV!Q1322+CIV!Q1342+CIV!Q1343+CIV!Q1344+CIV!Q1345+CIV!Q1346)/1000</f>
        <v>50.4</v>
      </c>
      <c r="P728" s="950">
        <f>(CIV!R1322+CIV!R1342+CIV!R1343+CIV!R1344+CIV!R1345+CIV!R1346)/1000</f>
        <v>51.7</v>
      </c>
    </row>
    <row r="729" spans="1:16" s="779" customFormat="1" x14ac:dyDescent="0.2">
      <c r="A729" s="936" t="s">
        <v>541</v>
      </c>
      <c r="B729" s="949"/>
      <c r="C729" s="949"/>
      <c r="D729" s="949"/>
      <c r="E729" s="949"/>
      <c r="F729" s="949"/>
      <c r="G729" s="949"/>
      <c r="H729" s="949"/>
      <c r="I729" s="949"/>
      <c r="J729" s="949"/>
      <c r="K729" s="949"/>
      <c r="L729" s="949"/>
      <c r="M729" s="949"/>
      <c r="N729" s="971"/>
      <c r="O729" s="971"/>
      <c r="P729" s="950"/>
    </row>
    <row r="730" spans="1:16" s="779" customFormat="1" x14ac:dyDescent="0.2">
      <c r="A730" s="936" t="s">
        <v>1965</v>
      </c>
      <c r="B730" s="949"/>
      <c r="C730" s="949"/>
      <c r="D730" s="949"/>
      <c r="E730" s="949"/>
      <c r="F730" s="949"/>
      <c r="G730" s="949"/>
      <c r="H730" s="949"/>
      <c r="I730" s="949"/>
      <c r="J730" s="949"/>
      <c r="K730" s="949"/>
      <c r="L730" s="949"/>
      <c r="M730" s="971"/>
      <c r="N730" s="971"/>
      <c r="O730" s="971"/>
      <c r="P730" s="950"/>
    </row>
    <row r="731" spans="1:16" s="779" customFormat="1" x14ac:dyDescent="0.2">
      <c r="A731" s="936" t="s">
        <v>3123</v>
      </c>
      <c r="B731" s="949">
        <f>(CIV!A1848+CIV!A1852)/1000</f>
        <v>54.4</v>
      </c>
      <c r="C731" s="949">
        <f>(CIV!B1848+CIV!B1852)/1000</f>
        <v>55.1</v>
      </c>
      <c r="D731" s="949">
        <f>(CIV!C1848+CIV!C1852)/1000</f>
        <v>42.5</v>
      </c>
      <c r="E731" s="949">
        <f>(CIV!D1848+CIV!D1852)/1000</f>
        <v>51.9</v>
      </c>
      <c r="F731" s="949">
        <f>(CIV!G1848+CIV!G1852)/1000</f>
        <v>46</v>
      </c>
      <c r="G731" s="949">
        <f>(CIV!I1848+CIV!I1852)/1000</f>
        <v>46</v>
      </c>
      <c r="H731" s="949">
        <f>(CIV!J1848+CIV!J1852)/1000</f>
        <v>47</v>
      </c>
      <c r="I731" s="949">
        <f>(CIV!K1848+CIV!K1852)/1000</f>
        <v>48</v>
      </c>
      <c r="J731" s="949">
        <f>(CIV!L1848+CIV!L1852)/1000</f>
        <v>49</v>
      </c>
      <c r="K731" s="949">
        <f>(CIV!M1848+CIV!M1852)/1000</f>
        <v>50</v>
      </c>
      <c r="L731" s="949">
        <f>(CIV!N1848+CIV!N1852)/1000</f>
        <v>51</v>
      </c>
      <c r="M731" s="949">
        <f>(CIV!O1848+CIV!O1852)/1000</f>
        <v>52</v>
      </c>
      <c r="N731" s="971">
        <f>(CIV!P1848+CIV!P1852)/1000</f>
        <v>53</v>
      </c>
      <c r="O731" s="971">
        <f>(CIV!Q1848+CIV!Q1852)/1000</f>
        <v>54</v>
      </c>
      <c r="P731" s="950">
        <f>(CIV!R1848+CIV!R1852)/1000</f>
        <v>55</v>
      </c>
    </row>
    <row r="732" spans="1:16" s="779" customFormat="1" x14ac:dyDescent="0.2">
      <c r="A732" s="936" t="s">
        <v>1944</v>
      </c>
      <c r="B732" s="949"/>
      <c r="C732" s="949"/>
      <c r="D732" s="949"/>
      <c r="E732" s="949"/>
      <c r="F732" s="949"/>
      <c r="G732" s="949"/>
      <c r="H732" s="949"/>
      <c r="I732" s="949"/>
      <c r="J732" s="949"/>
      <c r="K732" s="949"/>
      <c r="L732" s="949"/>
      <c r="M732" s="971"/>
      <c r="N732" s="971"/>
      <c r="O732" s="971"/>
      <c r="P732" s="950"/>
    </row>
    <row r="733" spans="1:16" s="779" customFormat="1" x14ac:dyDescent="0.2">
      <c r="A733" s="1225" t="s">
        <v>3624</v>
      </c>
      <c r="B733" s="949"/>
      <c r="C733" s="949"/>
      <c r="D733" s="949"/>
      <c r="E733" s="949"/>
      <c r="F733" s="949"/>
      <c r="G733" s="949"/>
      <c r="H733" s="949"/>
      <c r="I733" s="949"/>
      <c r="J733" s="949"/>
      <c r="K733" s="949"/>
      <c r="L733" s="949"/>
      <c r="M733" s="971"/>
      <c r="N733" s="971"/>
      <c r="O733" s="971"/>
      <c r="P733" s="950"/>
    </row>
    <row r="734" spans="1:16" s="779" customFormat="1" x14ac:dyDescent="0.2">
      <c r="A734" s="936" t="s">
        <v>2543</v>
      </c>
      <c r="B734" s="949">
        <f>(GM!A949+GM!A955+GM!A957+GM!A967+GM!A976+GM!A984+GM!A985+GM!A987+GM!A1039+GM!A1040+GM!A1035)/1000</f>
        <v>215.3</v>
      </c>
      <c r="C734" s="949">
        <f>(GM!B949+GM!B955+GM!B957+GM!B967+GM!B976+GM!B984+GM!B985+GM!B987+GM!B1039+GM!B1040+GM!B1035)/1000</f>
        <v>143.6</v>
      </c>
      <c r="D734" s="949">
        <f>(GM!C949+GM!C955+GM!C957+GM!C959+GM!C967+GM!C976+GM!C984+GM!C985+GM!C987+GM!C1039+GM!C1040)/1000</f>
        <v>99.7</v>
      </c>
      <c r="E734" s="949">
        <f>(GM!D949+GM!D955+GM!D957+GM!D959+GM!D967+GM!D976+GM!D984+GM!D985+GM!D987+GM!D1039+GM!D1040)/1000</f>
        <v>107</v>
      </c>
      <c r="F734" s="949">
        <f>(GM!G949+GM!G955+GM!G957+GM!G959+GM!G967+GM!G976+GM!G984+GM!G985+GM!G987+GM!G1039+GM!G1040)/1000</f>
        <v>153.1</v>
      </c>
      <c r="G734" s="949">
        <f>(GM!I949+GM!I955+GM!I957+GM!I959+GM!I967+GM!I976+GM!I984+GM!I985+GM!I987+GM!I1039+GM!I1040)/1000</f>
        <v>156</v>
      </c>
      <c r="H734" s="949">
        <f>(GM!J949+GM!J955+GM!J957+GM!J959+GM!J967+GM!J976+GM!J984+GM!J985+GM!J987+GM!J1039+GM!J1040)/1000</f>
        <v>160.4</v>
      </c>
      <c r="I734" s="949">
        <f>(GM!K949+GM!K955+GM!K957+GM!K959+GM!K967+GM!K976+GM!K984+GM!K985+GM!K987+GM!K1039+GM!K1040)/1000</f>
        <v>164.9</v>
      </c>
      <c r="J734" s="949">
        <f>(GM!L949+GM!L955+GM!L957+GM!L959+GM!L967+GM!L976+GM!L984+GM!L985+GM!L987+GM!L1039+GM!L1040)/1000</f>
        <v>169.6</v>
      </c>
      <c r="K734" s="949">
        <f>(GM!M949+GM!M955+GM!M957+GM!M959+GM!M967+GM!M976+GM!M984+GM!M985+GM!M987+GM!M1039+GM!M1040)/1000</f>
        <v>173.6</v>
      </c>
      <c r="L734" s="949">
        <f>(GM!N949+GM!N955+GM!N957+GM!N959+GM!N967+GM!N976+GM!N984+GM!N985+GM!N987+GM!N1039+GM!N1040)/1000</f>
        <v>177.7</v>
      </c>
      <c r="M734" s="949">
        <f>(GM!O949+GM!O955+GM!O957+GM!O959+GM!O967+GM!O976+GM!O984+GM!O985+GM!O987+GM!O1039+GM!O1040)/1000</f>
        <v>181.8</v>
      </c>
      <c r="N734" s="971">
        <f>(GM!P949+GM!P955+GM!P957+GM!P959+GM!P967+GM!P976+GM!P984+GM!P985+GM!P987+GM!P1039+GM!P1040)/1000</f>
        <v>186</v>
      </c>
      <c r="O734" s="971">
        <f>(GM!Q949+GM!Q955+GM!Q957+GM!Q959+GM!Q967+GM!Q976+GM!Q984+GM!Q985+GM!Q987+GM!Q1039+GM!Q1040)/1000</f>
        <v>190.4</v>
      </c>
      <c r="P734" s="950">
        <f>(GM!R949+GM!R955+GM!R957+GM!R959+GM!R967+GM!R976+GM!R984+GM!R985+GM!R987+GM!R1039+GM!R1040)/1000</f>
        <v>194.8</v>
      </c>
    </row>
    <row r="735" spans="1:16" s="779" customFormat="1" x14ac:dyDescent="0.2">
      <c r="A735" s="936" t="s">
        <v>2129</v>
      </c>
      <c r="B735" s="949">
        <f>GM!A1113/1000</f>
        <v>145.4</v>
      </c>
      <c r="C735" s="949">
        <f>GM!B1113/1000</f>
        <v>95.5</v>
      </c>
      <c r="D735" s="949">
        <f>GM!C1113/1000</f>
        <v>98.3</v>
      </c>
      <c r="E735" s="949">
        <f>GM!D1113/1000</f>
        <v>119.7</v>
      </c>
      <c r="F735" s="949">
        <f>(GM!G1113+GM!G1114)/1000</f>
        <v>118</v>
      </c>
      <c r="G735" s="949">
        <f>GM!I1113/1000+GM!I1114/1000</f>
        <v>130.30000000000001</v>
      </c>
      <c r="H735" s="949">
        <f>GM!J1113/1000+GM!J1114/1000</f>
        <v>173.5</v>
      </c>
      <c r="I735" s="949">
        <f>GM!K1113/1000+GM!K1114/1000</f>
        <v>177.8</v>
      </c>
      <c r="J735" s="949">
        <f>GM!L1113/1000+GM!L1114/1000</f>
        <v>182.3</v>
      </c>
      <c r="K735" s="949">
        <f>GM!M1113/1000+GM!M1114/1000</f>
        <v>186</v>
      </c>
      <c r="L735" s="949">
        <f>GM!N1113/1000+GM!N1114/1000</f>
        <v>189.7</v>
      </c>
      <c r="M735" s="971">
        <f>GM!O1113/1000+GM!O1114/1000</f>
        <v>193.5</v>
      </c>
      <c r="N735" s="971">
        <f>GM!P1113/1000+GM!P1114/1000</f>
        <v>197.3</v>
      </c>
      <c r="O735" s="971">
        <f>GM!Q1113/1000+GM!Q1114/1000</f>
        <v>201.29999999999998</v>
      </c>
      <c r="P735" s="950">
        <f>GM!R1113/1000+GM!R1114/1000</f>
        <v>205.4</v>
      </c>
    </row>
    <row r="736" spans="1:16" s="779" customFormat="1" x14ac:dyDescent="0.2">
      <c r="A736" s="936" t="s">
        <v>4795</v>
      </c>
      <c r="B736" s="949">
        <f>6744-7075</f>
        <v>-331</v>
      </c>
      <c r="C736" s="949">
        <v>-1240</v>
      </c>
      <c r="D736" s="949"/>
      <c r="E736" s="949"/>
      <c r="F736" s="949"/>
      <c r="G736" s="949"/>
      <c r="H736" s="949"/>
      <c r="I736" s="949"/>
      <c r="J736" s="949"/>
      <c r="K736" s="949"/>
      <c r="L736" s="949"/>
      <c r="M736" s="971"/>
      <c r="N736" s="971"/>
      <c r="O736" s="971"/>
      <c r="P736" s="950"/>
    </row>
    <row r="737" spans="1:16" s="1" customFormat="1" x14ac:dyDescent="0.2">
      <c r="A737" s="1225" t="s">
        <v>4786</v>
      </c>
      <c r="B737" s="1049">
        <f t="shared" ref="B737:O737" si="887">SUM(B712:B736)</f>
        <v>5824.0999999999995</v>
      </c>
      <c r="C737" s="1049">
        <f t="shared" si="887"/>
        <v>4085.4000000000015</v>
      </c>
      <c r="D737" s="1049">
        <f t="shared" si="887"/>
        <v>3960.5</v>
      </c>
      <c r="E737" s="1049">
        <f t="shared" si="887"/>
        <v>4167.8500000000004</v>
      </c>
      <c r="F737" s="1049">
        <f t="shared" si="887"/>
        <v>4076.45</v>
      </c>
      <c r="G737" s="1049">
        <f t="shared" si="887"/>
        <v>4225.25</v>
      </c>
      <c r="H737" s="1049">
        <f t="shared" si="887"/>
        <v>4264.3999999999996</v>
      </c>
      <c r="I737" s="1049">
        <f t="shared" si="887"/>
        <v>4466.9000000000005</v>
      </c>
      <c r="J737" s="1049">
        <f t="shared" si="887"/>
        <v>4472.05</v>
      </c>
      <c r="K737" s="1049">
        <f t="shared" si="887"/>
        <v>4662.3</v>
      </c>
      <c r="L737" s="1049">
        <f t="shared" si="887"/>
        <v>4649.8999999999996</v>
      </c>
      <c r="M737" s="1050">
        <f t="shared" si="887"/>
        <v>4845.1000000000004</v>
      </c>
      <c r="N737" s="1050">
        <f t="shared" si="887"/>
        <v>4834.25</v>
      </c>
      <c r="O737" s="1050">
        <f t="shared" si="887"/>
        <v>5035.2</v>
      </c>
      <c r="P737" s="1051">
        <f t="shared" ref="P737" si="888">SUM(P712:P736)</f>
        <v>5025.8</v>
      </c>
    </row>
    <row r="738" spans="1:16" s="1" customFormat="1" x14ac:dyDescent="0.2">
      <c r="A738" s="1225" t="s">
        <v>4788</v>
      </c>
      <c r="B738" s="1049">
        <v>5774</v>
      </c>
      <c r="C738" s="1049">
        <v>5301</v>
      </c>
      <c r="D738" s="1049">
        <f>C738*0.7573</f>
        <v>4014.4472999999998</v>
      </c>
      <c r="E738" s="1049">
        <v>3793</v>
      </c>
      <c r="F738" s="1049">
        <f>E738*Assumptions!G5+E738</f>
        <v>3868.86</v>
      </c>
      <c r="G738" s="1049">
        <f>F738*Assumptions!H5+F738</f>
        <v>3926.8929000000003</v>
      </c>
      <c r="H738" s="1049">
        <f>G738*Assumptions!I5+G738</f>
        <v>4025.0652225000003</v>
      </c>
      <c r="I738" s="1049">
        <f>H738*Assumptions!J5+H738</f>
        <v>4125.6918530625007</v>
      </c>
      <c r="J738" s="1049">
        <f>I738*Assumptions!K5+I738</f>
        <v>4228.834149389063</v>
      </c>
      <c r="K738" s="1049">
        <f>J738*Assumptions!L5+J738</f>
        <v>4313.4108323768442</v>
      </c>
      <c r="L738" s="1049">
        <f>K738*Assumptions!M5+K738</f>
        <v>4399.6790490243811</v>
      </c>
      <c r="M738" s="1050">
        <f>L738*Assumptions!N5+L738</f>
        <v>4487.6726300048686</v>
      </c>
      <c r="N738" s="1050">
        <f>M738*Assumptions!O5+M738</f>
        <v>4577.4260826049658</v>
      </c>
      <c r="O738" s="1050">
        <f>N738*Assumptions!P5+N738</f>
        <v>4668.974604257065</v>
      </c>
      <c r="P738" s="1051">
        <f>O738*Assumptions!Q5+O738</f>
        <v>4762.3540963422065</v>
      </c>
    </row>
    <row r="739" spans="1:16" s="779" customFormat="1" x14ac:dyDescent="0.2">
      <c r="A739" s="1225" t="s">
        <v>4794</v>
      </c>
      <c r="B739" s="1549">
        <f t="shared" ref="B739:N739" si="889">B737/B738</f>
        <v>1.0086768271562174</v>
      </c>
      <c r="C739" s="1549">
        <f t="shared" si="889"/>
        <v>0.77068477645727251</v>
      </c>
      <c r="D739" s="1549">
        <f t="shared" si="889"/>
        <v>0.98656171174547491</v>
      </c>
      <c r="E739" s="1888">
        <f t="shared" si="889"/>
        <v>1.0988267861850778</v>
      </c>
      <c r="F739" s="1888">
        <f t="shared" si="889"/>
        <v>1.0536566327031736</v>
      </c>
      <c r="G739" s="1888">
        <f t="shared" si="889"/>
        <v>1.0759779060946633</v>
      </c>
      <c r="H739" s="1888">
        <f t="shared" si="889"/>
        <v>1.059461092993506</v>
      </c>
      <c r="I739" s="1888">
        <f t="shared" si="889"/>
        <v>1.0827032553786635</v>
      </c>
      <c r="J739" s="1888">
        <f t="shared" si="889"/>
        <v>1.0575136886477505</v>
      </c>
      <c r="K739" s="1888">
        <f t="shared" si="889"/>
        <v>1.0808847525036018</v>
      </c>
      <c r="L739" s="1888">
        <f t="shared" si="889"/>
        <v>1.0568725464261091</v>
      </c>
      <c r="M739" s="1889">
        <f t="shared" si="889"/>
        <v>1.0796464892749416</v>
      </c>
      <c r="N739" s="1889">
        <f t="shared" si="889"/>
        <v>1.0561066225342253</v>
      </c>
      <c r="O739" s="1889">
        <f t="shared" ref="O739" si="890">O737/O738</f>
        <v>1.0784380783328782</v>
      </c>
      <c r="P739" s="1890">
        <f t="shared" ref="P739" si="891">P737/P738</f>
        <v>1.0553184199092078</v>
      </c>
    </row>
    <row r="740" spans="1:16" s="779" customFormat="1" x14ac:dyDescent="0.2">
      <c r="A740" s="936"/>
      <c r="B740" s="949"/>
      <c r="C740" s="949"/>
      <c r="D740" s="949"/>
      <c r="E740" s="949"/>
      <c r="F740" s="949"/>
      <c r="G740" s="949"/>
      <c r="H740" s="949"/>
      <c r="I740" s="949"/>
      <c r="J740" s="949"/>
      <c r="K740" s="949"/>
      <c r="L740" s="949"/>
      <c r="M740" s="971"/>
      <c r="N740" s="971"/>
      <c r="O740" s="971"/>
      <c r="P740" s="950"/>
    </row>
    <row r="741" spans="1:16" s="779" customFormat="1" x14ac:dyDescent="0.2">
      <c r="A741" s="936" t="s">
        <v>4787</v>
      </c>
      <c r="B741" s="949">
        <f>('W&amp;W'!A338+'W&amp;W'!A322+'W&amp;W'!A318+'W&amp;W'!A319+'W&amp;W'!A309+'W&amp;W'!A307++'W&amp;W'!A295+'W&amp;W'!A296)/1000</f>
        <v>879</v>
      </c>
      <c r="C741" s="949">
        <f>('W&amp;W'!B338+'W&amp;W'!B322+'W&amp;W'!B318+'W&amp;W'!B319+'W&amp;W'!B309+'W&amp;W'!B307++'W&amp;W'!B295+'W&amp;W'!B296)/1000</f>
        <v>881.6</v>
      </c>
      <c r="D741" s="949">
        <f>('W&amp;W'!C338+'W&amp;W'!C322+'W&amp;W'!C318+'W&amp;W'!C319+'W&amp;W'!C309+'W&amp;W'!C307++'W&amp;W'!C295+'W&amp;W'!C296)/1000</f>
        <v>923.2</v>
      </c>
      <c r="E741" s="949">
        <f>(+'W&amp;W'!D322+'W&amp;W'!D318+'W&amp;W'!D319+SUM('W&amp;W'!D309:'W&amp;W'!D307)++SUM('W&amp;W'!D295:'W&amp;W'!D296))/1000</f>
        <v>774.1</v>
      </c>
      <c r="F741" s="949">
        <f>(+'W&amp;W'!G322+'W&amp;W'!G318+'W&amp;W'!G319+SUM('W&amp;W'!G309:'W&amp;W'!G307)++SUM('W&amp;W'!G295:'W&amp;W'!G296))/1000</f>
        <v>834.8</v>
      </c>
      <c r="G741" s="949">
        <f>(+'W&amp;W'!I322+'W&amp;W'!I318+'W&amp;W'!I319+SUM('W&amp;W'!I309:'W&amp;W'!I307)++SUM('W&amp;W'!I295:'W&amp;W'!I296))/1000</f>
        <v>928.7</v>
      </c>
      <c r="H741" s="949">
        <f>(+'W&amp;W'!J322+'W&amp;W'!J318+'W&amp;W'!J319+SUM('W&amp;W'!J309:'W&amp;W'!J307)++SUM('W&amp;W'!J295:'W&amp;W'!J296))/1000</f>
        <v>952.2</v>
      </c>
      <c r="I741" s="949">
        <f>(+'W&amp;W'!K322+'W&amp;W'!K318+'W&amp;W'!K319+SUM('W&amp;W'!K309:'W&amp;W'!K307)++SUM('W&amp;W'!K295:'W&amp;W'!K296))/1000</f>
        <v>976.3</v>
      </c>
      <c r="J741" s="949">
        <f>(+'W&amp;W'!L322+'W&amp;W'!L318+'W&amp;W'!L319+SUM('W&amp;W'!L309:'W&amp;W'!L307)++SUM('W&amp;W'!L295:'W&amp;W'!L296))/1000</f>
        <v>1001.2</v>
      </c>
      <c r="K741" s="949">
        <f>(+'W&amp;W'!M322+'W&amp;W'!M318+'W&amp;W'!M319+SUM('W&amp;W'!M309:'W&amp;W'!M307)++SUM('W&amp;W'!M295:'W&amp;W'!M296))/1000</f>
        <v>1021.6</v>
      </c>
      <c r="L741" s="949">
        <f>(+'W&amp;W'!N322+'W&amp;W'!N318+'W&amp;W'!N319+SUM('W&amp;W'!N309:'W&amp;W'!N307)++SUM('W&amp;W'!N295:'W&amp;W'!N296))/1000</f>
        <v>1042.2</v>
      </c>
      <c r="M741" s="949">
        <f>(+'W&amp;W'!O322+'W&amp;W'!O318+'W&amp;W'!O319+SUM('W&amp;W'!O309:'W&amp;W'!O307)++SUM('W&amp;W'!O295:'W&amp;W'!O296))/1000</f>
        <v>1063.3</v>
      </c>
      <c r="N741" s="971">
        <f>(+'W&amp;W'!P322+'W&amp;W'!P318+'W&amp;W'!P319+SUM('W&amp;W'!P309:'W&amp;W'!P307)++SUM('W&amp;W'!P295:'W&amp;W'!P296))/1000</f>
        <v>1084.9000000000001</v>
      </c>
      <c r="O741" s="971">
        <f>(+'W&amp;W'!Q322+'W&amp;W'!Q318+'W&amp;W'!Q319+SUM('W&amp;W'!Q309:'W&amp;W'!Q307)++SUM('W&amp;W'!Q295:'W&amp;W'!Q296))/1000</f>
        <v>1107</v>
      </c>
      <c r="P741" s="950">
        <f>(+'W&amp;W'!R322+'W&amp;W'!R318+'W&amp;W'!R319+SUM('W&amp;W'!R309:'W&amp;W'!R307)++SUM('W&amp;W'!R295:'W&amp;W'!R296))/1000</f>
        <v>1129.5999999999999</v>
      </c>
    </row>
    <row r="742" spans="1:16" s="779" customFormat="1" x14ac:dyDescent="0.2">
      <c r="A742" s="936" t="s">
        <v>4789</v>
      </c>
      <c r="B742" s="949">
        <f>C742</f>
        <v>913</v>
      </c>
      <c r="C742" s="949">
        <v>913</v>
      </c>
      <c r="D742" s="949">
        <v>918</v>
      </c>
      <c r="E742" s="949">
        <v>858</v>
      </c>
      <c r="F742" s="949">
        <f>E742*Assumptions!G5+E742</f>
        <v>875.16</v>
      </c>
      <c r="G742" s="949">
        <f>F742*Assumptions!H5+F742</f>
        <v>888.28739999999993</v>
      </c>
      <c r="H742" s="949">
        <f>G742*Assumptions!I5+G742</f>
        <v>910.49458499999992</v>
      </c>
      <c r="I742" s="949">
        <f>H742*Assumptions!J5+H742</f>
        <v>933.25694962499995</v>
      </c>
      <c r="J742" s="949">
        <f>I742*Assumptions!K5+I742</f>
        <v>956.58837336562499</v>
      </c>
      <c r="K742" s="949">
        <f>J742*Assumptions!L5+J742</f>
        <v>975.72014083293743</v>
      </c>
      <c r="L742" s="949">
        <f>K742*Assumptions!M5+K742</f>
        <v>995.23454364959616</v>
      </c>
      <c r="M742" s="949">
        <f>L742*Assumptions!N5+L742</f>
        <v>1015.1392345225881</v>
      </c>
      <c r="N742" s="971">
        <f>M742*Assumptions!O5+M742</f>
        <v>1035.4420192130399</v>
      </c>
      <c r="O742" s="971">
        <f>N742*Assumptions!P5+N742</f>
        <v>1056.1508595973007</v>
      </c>
      <c r="P742" s="950">
        <f>O742*Assumptions!Q5+O742</f>
        <v>1077.2738767892467</v>
      </c>
    </row>
    <row r="743" spans="1:16" s="779" customFormat="1" x14ac:dyDescent="0.2">
      <c r="A743" s="1225" t="s">
        <v>4794</v>
      </c>
      <c r="B743" s="1549">
        <f t="shared" ref="B743" si="892">B741/B742</f>
        <v>0.96276013143483019</v>
      </c>
      <c r="C743" s="1549">
        <f t="shared" ref="C743" si="893">C741/C742</f>
        <v>0.96560788608981385</v>
      </c>
      <c r="D743" s="1549">
        <f t="shared" ref="D743" si="894">D741/D742</f>
        <v>1.0056644880174292</v>
      </c>
      <c r="E743" s="1549">
        <f t="shared" ref="E743" si="895">E741/E742</f>
        <v>0.90221445221445229</v>
      </c>
      <c r="F743" s="1549">
        <f t="shared" ref="F743" si="896">F741/F742</f>
        <v>0.95388271858860096</v>
      </c>
      <c r="G743" s="1549">
        <f t="shared" ref="G743" si="897">G741/G742</f>
        <v>1.0454949603022627</v>
      </c>
      <c r="H743" s="1549">
        <f t="shared" ref="H743" si="898">H741/H742</f>
        <v>1.0458052312304527</v>
      </c>
      <c r="I743" s="1549">
        <f t="shared" ref="I743" si="899">I741/I742</f>
        <v>1.0461213285283282</v>
      </c>
      <c r="J743" s="1549">
        <f t="shared" ref="J743" si="900">J741/J742</f>
        <v>1.0466361790259013</v>
      </c>
      <c r="K743" s="1549">
        <f t="shared" ref="K743" si="901">K741/K742</f>
        <v>1.0470215354250008</v>
      </c>
      <c r="L743" s="1549">
        <f t="shared" ref="L743" si="902">L741/L742</f>
        <v>1.0471903398551443</v>
      </c>
      <c r="M743" s="1646">
        <f t="shared" ref="M743" si="903">M741/M742</f>
        <v>1.047442522010354</v>
      </c>
      <c r="N743" s="1646">
        <f t="shared" ref="N743:O743" si="904">N741/N742</f>
        <v>1.0477650895648889</v>
      </c>
      <c r="O743" s="1646">
        <f t="shared" si="904"/>
        <v>1.0481457170068369</v>
      </c>
      <c r="P743" s="1545">
        <f t="shared" ref="P743" si="905">P741/P742</f>
        <v>1.0485727207706068</v>
      </c>
    </row>
    <row r="744" spans="1:16" s="779" customFormat="1" x14ac:dyDescent="0.2">
      <c r="A744" s="936"/>
      <c r="B744" s="949"/>
      <c r="C744" s="949"/>
      <c r="D744" s="949"/>
      <c r="E744" s="949">
        <f>2571-E745</f>
        <v>-91</v>
      </c>
      <c r="F744" s="949"/>
      <c r="G744" s="949"/>
      <c r="H744" s="949"/>
      <c r="I744" s="949"/>
      <c r="J744" s="949"/>
      <c r="K744" s="949"/>
      <c r="L744" s="949"/>
      <c r="M744" s="971"/>
      <c r="N744" s="971"/>
      <c r="O744" s="971"/>
      <c r="P744" s="950"/>
    </row>
    <row r="745" spans="1:16" s="779" customFormat="1" x14ac:dyDescent="0.2">
      <c r="A745" s="936" t="s">
        <v>4793</v>
      </c>
      <c r="B745" s="949">
        <f>(SUM('W&amp;W'!A457:A457)+SUM('W&amp;W'!A472:A473)+SUM('W&amp;W'!A503:A508)++'W&amp;W'!A476+SUM('W&amp;W'!A530:A535)-'W&amp;W'!A532)/1000</f>
        <v>1871.2</v>
      </c>
      <c r="C745" s="949">
        <f>(SUM('W&amp;W'!B457:B457)+SUM('W&amp;W'!B472:B473)+SUM('W&amp;W'!B503:B508)++'W&amp;W'!B476+SUM('W&amp;W'!B530:B535)-'W&amp;W'!B532)/1000</f>
        <v>1797.5</v>
      </c>
      <c r="D745" s="949">
        <f>(SUM('W&amp;W'!C457:C457)+SUM('W&amp;W'!C472:C473)+SUM('W&amp;W'!C503:C508)++'W&amp;W'!C476+SUM('W&amp;W'!C530:C535)-'W&amp;W'!C532)/1000</f>
        <v>2044.4</v>
      </c>
      <c r="E745" s="949">
        <f>(SUM('W&amp;W'!D457:D457)+SUM('W&amp;W'!D472:D473)+SUM('W&amp;W'!D503:D508)++'W&amp;W'!D476++SUM('W&amp;W'!D530:D535)-'W&amp;W'!D532)/1000</f>
        <v>2662</v>
      </c>
      <c r="F745" s="949">
        <f>(SUM('W&amp;W'!G457:G457)+SUM('W&amp;W'!G472:G473)+SUM('W&amp;W'!G503:G508)++'W&amp;W'!G476++SUM('W&amp;W'!G530:G535)-'W&amp;W'!G532)/1000</f>
        <v>2967.5</v>
      </c>
      <c r="G745" s="949">
        <f>(SUM('W&amp;W'!I457:I457)+SUM('W&amp;W'!I472:I473)+SUM('W&amp;W'!I503:I508)++'W&amp;W'!I476++SUM('W&amp;W'!I530:I535)-'W&amp;W'!I532)/1000</f>
        <v>3012.2</v>
      </c>
      <c r="H745" s="949">
        <f>(SUM('W&amp;W'!J457:J457)+SUM('W&amp;W'!J472:J473)+SUM('W&amp;W'!J503:J508)++'W&amp;W'!J476++SUM('W&amp;W'!J530:J535)-'W&amp;W'!J532)/1000</f>
        <v>3088</v>
      </c>
      <c r="I745" s="949">
        <f>(SUM('W&amp;W'!K457:K457)+SUM('W&amp;W'!K472:K473)+SUM('W&amp;W'!K503:K508)++'W&amp;W'!K476++SUM('W&amp;W'!K530:K535)-'W&amp;W'!K532)/1000</f>
        <v>3165.7</v>
      </c>
      <c r="J745" s="949">
        <f>(SUM('W&amp;W'!L457:L457)+SUM('W&amp;W'!L472:L473)+SUM('W&amp;W'!L503:L508)++'W&amp;W'!L476++SUM('W&amp;W'!L530:L535)-'W&amp;W'!L532)/1000</f>
        <v>3245.1</v>
      </c>
      <c r="K745" s="949">
        <f>(SUM('W&amp;W'!M457:M457)+SUM('W&amp;W'!M472:M473)+SUM('W&amp;W'!M503:M508)++'W&amp;W'!M476++SUM('W&amp;W'!M530:M535)-'W&amp;W'!M532)/1000</f>
        <v>3310.5</v>
      </c>
      <c r="L745" s="949">
        <f>(SUM('W&amp;W'!N457:N457)+SUM('W&amp;W'!N472:N473)+SUM('W&amp;W'!N503:N508)++'W&amp;W'!N476++SUM('W&amp;W'!N530:N535)-'W&amp;W'!N532)/1000</f>
        <v>3377.1</v>
      </c>
      <c r="M745" s="949">
        <f>(SUM('W&amp;W'!O457:O457)+SUM('W&amp;W'!O472:O473)+SUM('W&amp;W'!O503:O508)++'W&amp;W'!O476++SUM('W&amp;W'!O530:O535)-'W&amp;W'!O532)/1000</f>
        <v>3445.1</v>
      </c>
      <c r="N745" s="971">
        <f>(SUM('W&amp;W'!P457:P457)+SUM('W&amp;W'!P472:P473)+SUM('W&amp;W'!P503:P508)++'W&amp;W'!P476++SUM('W&amp;W'!P530:P535)-'W&amp;W'!P532)/1000</f>
        <v>3514.3</v>
      </c>
      <c r="O745" s="971">
        <f>(SUM('W&amp;W'!Q457:Q457)+SUM('W&amp;W'!Q472:Q473)+SUM('W&amp;W'!Q503:Q508)++'W&amp;W'!Q476++SUM('W&amp;W'!Q530:Q535)-'W&amp;W'!Q532)/1000</f>
        <v>3585</v>
      </c>
      <c r="P745" s="950">
        <f>(SUM('W&amp;W'!R457:R457)+SUM('W&amp;W'!R472:R473)+SUM('W&amp;W'!R503:R508)++'W&amp;W'!R476++SUM('W&amp;W'!R530:R535)-'W&amp;W'!R532)/1000</f>
        <v>3657.2</v>
      </c>
    </row>
    <row r="746" spans="1:16" s="779" customFormat="1" x14ac:dyDescent="0.2">
      <c r="A746" s="936" t="s">
        <v>4790</v>
      </c>
      <c r="B746" s="949">
        <f>C746</f>
        <v>1865</v>
      </c>
      <c r="C746" s="949">
        <v>1865</v>
      </c>
      <c r="D746" s="949">
        <v>2292</v>
      </c>
      <c r="E746" s="949">
        <v>2655</v>
      </c>
      <c r="F746" s="949">
        <f>E746*Assumptions!G5+E746</f>
        <v>2708.1</v>
      </c>
      <c r="G746" s="949">
        <f>F746*Assumptions!H5+F746</f>
        <v>2748.7215000000001</v>
      </c>
      <c r="H746" s="949">
        <f>G746*Assumptions!I5+G746</f>
        <v>2817.4395374999999</v>
      </c>
      <c r="I746" s="949">
        <f>H746*Assumptions!J5+H746</f>
        <v>2887.8755259374998</v>
      </c>
      <c r="J746" s="949">
        <f>I746*Assumptions!K5+I746</f>
        <v>2960.0724140859375</v>
      </c>
      <c r="K746" s="949">
        <f>J746*Assumptions!L5+J746</f>
        <v>3019.2738623676564</v>
      </c>
      <c r="L746" s="949">
        <f>K746*Assumptions!M5+K746</f>
        <v>3079.6593396150097</v>
      </c>
      <c r="M746" s="949">
        <f>L746*Assumptions!N5+L746</f>
        <v>3141.2525264073097</v>
      </c>
      <c r="N746" s="971">
        <f>M746*Assumptions!O5+M746</f>
        <v>3204.0775769354559</v>
      </c>
      <c r="O746" s="971">
        <f>N746*Assumptions!P5+N746</f>
        <v>3268.1591284741648</v>
      </c>
      <c r="P746" s="950">
        <f>O746*Assumptions!Q5+O746</f>
        <v>3333.5223110436482</v>
      </c>
    </row>
    <row r="747" spans="1:16" s="779" customFormat="1" x14ac:dyDescent="0.2">
      <c r="A747" s="1225" t="s">
        <v>4794</v>
      </c>
      <c r="B747" s="1549">
        <f t="shared" ref="B747" si="906">B745/B746</f>
        <v>1.0033243967828418</v>
      </c>
      <c r="C747" s="1549">
        <f t="shared" ref="C747" si="907">C745/C746</f>
        <v>0.96380697050938335</v>
      </c>
      <c r="D747" s="1549">
        <f t="shared" ref="D747" si="908">D745/D746</f>
        <v>0.89197207678883073</v>
      </c>
      <c r="E747" s="1549">
        <f t="shared" ref="E747" si="909">E745/E746</f>
        <v>1.0026365348399247</v>
      </c>
      <c r="F747" s="1549">
        <f t="shared" ref="F747" si="910">F745/F746</f>
        <v>1.0957867139322772</v>
      </c>
      <c r="G747" s="1549">
        <f t="shared" ref="G747" si="911">G745/G746</f>
        <v>1.0958549274635498</v>
      </c>
      <c r="H747" s="1549">
        <f t="shared" ref="H747" si="912">H745/H746</f>
        <v>1.0960306189001936</v>
      </c>
      <c r="I747" s="1549">
        <f t="shared" ref="I747" si="913">I745/I746</f>
        <v>1.096203756556408</v>
      </c>
      <c r="J747" s="1549">
        <f t="shared" ref="J747" si="914">J745/J746</f>
        <v>1.0962907476714816</v>
      </c>
      <c r="K747" s="1549">
        <f t="shared" ref="K747" si="915">K745/K746</f>
        <v>1.0964556879924663</v>
      </c>
      <c r="L747" s="1549">
        <f t="shared" ref="L747" si="916">L745/L746</f>
        <v>1.0965823253756934</v>
      </c>
      <c r="M747" s="1646">
        <f t="shared" ref="M747" si="917">M745/M746</f>
        <v>1.0967281270889113</v>
      </c>
      <c r="N747" s="1646">
        <f t="shared" ref="N747:O747" si="918">N745/N746</f>
        <v>1.0968211335760656</v>
      </c>
      <c r="O747" s="1646">
        <f t="shared" si="918"/>
        <v>1.0969478103943371</v>
      </c>
      <c r="P747" s="1545">
        <f t="shared" ref="P747" si="919">P745/P746</f>
        <v>1.0970978018908222</v>
      </c>
    </row>
    <row r="748" spans="1:16" s="779" customFormat="1" x14ac:dyDescent="0.2">
      <c r="A748" s="936"/>
      <c r="B748" s="949"/>
      <c r="C748" s="949"/>
      <c r="D748" s="949"/>
      <c r="E748" s="949"/>
      <c r="F748" s="949"/>
      <c r="G748" s="949"/>
      <c r="H748" s="949"/>
      <c r="I748" s="949"/>
      <c r="J748" s="949"/>
      <c r="K748" s="949"/>
      <c r="L748" s="949"/>
      <c r="M748" s="971"/>
      <c r="N748" s="971"/>
      <c r="O748" s="971"/>
      <c r="P748" s="950"/>
    </row>
    <row r="749" spans="1:16" s="1" customFormat="1" x14ac:dyDescent="0.2">
      <c r="A749" s="1225" t="s">
        <v>4791</v>
      </c>
      <c r="B749" s="1049">
        <f t="shared" ref="B749:N749" si="920">B745+B741+B737</f>
        <v>8574.2999999999993</v>
      </c>
      <c r="C749" s="1049">
        <f t="shared" si="920"/>
        <v>6764.5000000000018</v>
      </c>
      <c r="D749" s="1049">
        <f t="shared" si="920"/>
        <v>6928.1</v>
      </c>
      <c r="E749" s="1049">
        <f t="shared" si="920"/>
        <v>7603.9500000000007</v>
      </c>
      <c r="F749" s="1049">
        <f t="shared" si="920"/>
        <v>7878.75</v>
      </c>
      <c r="G749" s="1049">
        <f t="shared" si="920"/>
        <v>8166.15</v>
      </c>
      <c r="H749" s="1049">
        <f t="shared" si="920"/>
        <v>8304.5999999999985</v>
      </c>
      <c r="I749" s="1049">
        <f t="shared" si="920"/>
        <v>8608.9000000000015</v>
      </c>
      <c r="J749" s="1049">
        <f t="shared" si="920"/>
        <v>8718.35</v>
      </c>
      <c r="K749" s="1049">
        <f t="shared" si="920"/>
        <v>8994.4000000000015</v>
      </c>
      <c r="L749" s="1049">
        <f t="shared" si="920"/>
        <v>9069.2000000000007</v>
      </c>
      <c r="M749" s="1049">
        <f t="shared" si="920"/>
        <v>9353.5</v>
      </c>
      <c r="N749" s="1050">
        <f t="shared" si="920"/>
        <v>9433.4500000000007</v>
      </c>
      <c r="O749" s="1050">
        <f t="shared" ref="O749" si="921">O745+O741+O737</f>
        <v>9727.2000000000007</v>
      </c>
      <c r="P749" s="1051">
        <f t="shared" ref="P749" si="922">P745+P741+P737</f>
        <v>9812.5999999999985</v>
      </c>
    </row>
    <row r="750" spans="1:16" s="1" customFormat="1" x14ac:dyDescent="0.2">
      <c r="A750" s="1225" t="s">
        <v>4792</v>
      </c>
      <c r="B750" s="1049">
        <f t="shared" ref="B750:N750" si="923">B746+B742+B738</f>
        <v>8552</v>
      </c>
      <c r="C750" s="1049">
        <f t="shared" si="923"/>
        <v>8079</v>
      </c>
      <c r="D750" s="1049">
        <f t="shared" si="923"/>
        <v>7224.4472999999998</v>
      </c>
      <c r="E750" s="1049">
        <f t="shared" si="923"/>
        <v>7306</v>
      </c>
      <c r="F750" s="1049">
        <f t="shared" si="923"/>
        <v>7452.12</v>
      </c>
      <c r="G750" s="1049">
        <f t="shared" si="923"/>
        <v>7563.9017999999996</v>
      </c>
      <c r="H750" s="1049">
        <f t="shared" si="923"/>
        <v>7752.9993450000002</v>
      </c>
      <c r="I750" s="1049">
        <f t="shared" si="923"/>
        <v>7946.8243286249999</v>
      </c>
      <c r="J750" s="1049">
        <f t="shared" si="923"/>
        <v>8145.4949368406251</v>
      </c>
      <c r="K750" s="1049">
        <f t="shared" si="923"/>
        <v>8308.4048355774376</v>
      </c>
      <c r="L750" s="1049">
        <f t="shared" si="923"/>
        <v>8474.5729322889874</v>
      </c>
      <c r="M750" s="1049">
        <f t="shared" si="923"/>
        <v>8644.0643909347673</v>
      </c>
      <c r="N750" s="1050">
        <f t="shared" si="923"/>
        <v>8816.9456787534618</v>
      </c>
      <c r="O750" s="1050">
        <f t="shared" ref="O750" si="924">O746+O742+O738</f>
        <v>8993.2845923285313</v>
      </c>
      <c r="P750" s="1051">
        <f t="shared" ref="P750" si="925">P746+P742+P738</f>
        <v>9173.1502841751026</v>
      </c>
    </row>
    <row r="751" spans="1:16" s="1" customFormat="1" x14ac:dyDescent="0.2">
      <c r="A751" s="1225" t="s">
        <v>4794</v>
      </c>
      <c r="B751" s="1829">
        <f t="shared" ref="B751" si="926">B749/B750</f>
        <v>1.0026075771749297</v>
      </c>
      <c r="C751" s="1829">
        <f t="shared" ref="C751" si="927">C749/C750</f>
        <v>0.83729421958163164</v>
      </c>
      <c r="D751" s="1829">
        <f t="shared" ref="D751" si="928">D749/D750</f>
        <v>0.95897993470033349</v>
      </c>
      <c r="E751" s="1829">
        <f t="shared" ref="E751" si="929">E749/E750</f>
        <v>1.0407815494114427</v>
      </c>
      <c r="F751" s="1829">
        <f t="shared" ref="F751" si="930">F749/F750</f>
        <v>1.057249480684691</v>
      </c>
      <c r="G751" s="1829">
        <f t="shared" ref="G751" si="931">G749/G750</f>
        <v>1.0796213668453496</v>
      </c>
      <c r="H751" s="1829">
        <f t="shared" ref="H751" si="932">H749/H750</f>
        <v>1.0711467434026978</v>
      </c>
      <c r="I751" s="1829">
        <f t="shared" ref="I751" si="933">I749/I750</f>
        <v>1.0833132385964743</v>
      </c>
      <c r="J751" s="1829">
        <f t="shared" ref="J751" si="934">J749/J750</f>
        <v>1.0703278398183582</v>
      </c>
      <c r="K751" s="1829">
        <f t="shared" ref="K751" si="935">K749/K750</f>
        <v>1.0825664105202315</v>
      </c>
      <c r="L751" s="1829">
        <f t="shared" ref="L751" si="936">L749/L750</f>
        <v>1.0701660216346034</v>
      </c>
      <c r="M751" s="1830">
        <f t="shared" ref="M751" si="937">M749/M750</f>
        <v>1.0820719949528874</v>
      </c>
      <c r="N751" s="1830">
        <f t="shared" ref="N751:O751" si="938">N749/N750</f>
        <v>1.0699226629843204</v>
      </c>
      <c r="O751" s="1830">
        <f t="shared" si="938"/>
        <v>1.0816070480297617</v>
      </c>
      <c r="P751" s="1831">
        <f t="shared" ref="P751" si="939">P749/P750</f>
        <v>1.0697088454909576</v>
      </c>
    </row>
    <row r="752" spans="1:16" s="1" customFormat="1" x14ac:dyDescent="0.2">
      <c r="A752" s="1225"/>
      <c r="B752" s="1049"/>
      <c r="C752" s="1049"/>
      <c r="D752" s="1049"/>
      <c r="E752" s="1049"/>
      <c r="F752" s="1049"/>
      <c r="G752" s="1049"/>
      <c r="H752" s="1049"/>
      <c r="I752" s="1049"/>
      <c r="J752" s="1049"/>
      <c r="K752" s="1049"/>
      <c r="L752" s="1049"/>
      <c r="M752" s="1049"/>
      <c r="N752" s="1050"/>
      <c r="O752" s="1050"/>
      <c r="P752" s="1051"/>
    </row>
    <row r="753" spans="1:16" s="890" customFormat="1" ht="13.5" thickBot="1" x14ac:dyDescent="0.25">
      <c r="A753" s="968"/>
      <c r="B753" s="969"/>
      <c r="C753" s="969"/>
      <c r="D753" s="969"/>
      <c r="E753" s="969"/>
      <c r="F753" s="969"/>
      <c r="G753" s="969"/>
      <c r="H753" s="969"/>
      <c r="I753" s="969"/>
      <c r="J753" s="969"/>
      <c r="K753" s="969"/>
      <c r="L753" s="969"/>
      <c r="M753" s="969"/>
      <c r="N753" s="1636"/>
      <c r="O753" s="1636"/>
      <c r="P753" s="970"/>
    </row>
    <row r="754" spans="1:16" s="779" customFormat="1" ht="17.25" thickTop="1" thickBot="1" x14ac:dyDescent="0.3">
      <c r="A754" s="2853" t="s">
        <v>5157</v>
      </c>
      <c r="B754" s="2854"/>
      <c r="C754" s="2854"/>
      <c r="D754" s="2854"/>
      <c r="E754" s="2854"/>
      <c r="F754" s="2854"/>
      <c r="G754" s="2854"/>
      <c r="H754" s="2854"/>
      <c r="I754" s="2854"/>
      <c r="J754" s="2854"/>
      <c r="K754" s="2854"/>
      <c r="L754" s="2854"/>
      <c r="M754" s="2854"/>
      <c r="N754" s="2854"/>
      <c r="O754" s="2854"/>
      <c r="P754" s="2855"/>
    </row>
    <row r="755" spans="1:16" s="779" customFormat="1" ht="13.5" thickBot="1" x14ac:dyDescent="0.25">
      <c r="A755" s="1268" t="s">
        <v>232</v>
      </c>
      <c r="B755" s="793" t="str">
        <f t="shared" ref="B755:O755" si="940">B671</f>
        <v>2012/13</v>
      </c>
      <c r="C755" s="793" t="str">
        <f t="shared" si="940"/>
        <v>2013/14</v>
      </c>
      <c r="D755" s="793" t="str">
        <f t="shared" si="940"/>
        <v>2014/15</v>
      </c>
      <c r="E755" s="793" t="str">
        <f t="shared" si="940"/>
        <v>2015/16</v>
      </c>
      <c r="F755" s="793" t="str">
        <f t="shared" si="940"/>
        <v>2016/17</v>
      </c>
      <c r="G755" s="793" t="str">
        <f t="shared" si="940"/>
        <v>2017/18</v>
      </c>
      <c r="H755" s="793" t="str">
        <f t="shared" si="940"/>
        <v>2018/19</v>
      </c>
      <c r="I755" s="793" t="str">
        <f t="shared" si="940"/>
        <v>2019/20</v>
      </c>
      <c r="J755" s="793" t="str">
        <f t="shared" si="940"/>
        <v>2020/21</v>
      </c>
      <c r="K755" s="793" t="str">
        <f t="shared" si="940"/>
        <v>2021/22</v>
      </c>
      <c r="L755" s="793" t="str">
        <f t="shared" si="940"/>
        <v>2022/23</v>
      </c>
      <c r="M755" s="1641" t="str">
        <f t="shared" si="940"/>
        <v>2023/24</v>
      </c>
      <c r="N755" s="1641" t="str">
        <f t="shared" si="940"/>
        <v>2024/25</v>
      </c>
      <c r="O755" s="1641" t="str">
        <f t="shared" si="940"/>
        <v>2025/26</v>
      </c>
      <c r="P755" s="794" t="str">
        <f t="shared" ref="P755" si="941">P671</f>
        <v>2026/27</v>
      </c>
    </row>
    <row r="756" spans="1:16" x14ac:dyDescent="0.2">
      <c r="A756" s="756" t="s">
        <v>3943</v>
      </c>
      <c r="B756" s="442"/>
      <c r="C756" s="442"/>
      <c r="D756" s="442"/>
      <c r="E756" s="442"/>
      <c r="F756" s="764"/>
      <c r="G756" s="442"/>
      <c r="H756" s="442"/>
      <c r="I756" s="442"/>
      <c r="J756" s="442"/>
      <c r="K756" s="442"/>
      <c r="L756" s="442"/>
      <c r="M756" s="444"/>
      <c r="N756" s="444"/>
      <c r="O756" s="444"/>
      <c r="P756" s="760"/>
    </row>
    <row r="757" spans="1:16" s="779" customFormat="1" x14ac:dyDescent="0.2">
      <c r="A757" s="936" t="s">
        <v>3941</v>
      </c>
      <c r="B757" s="949">
        <f>CIV!A1974/1000</f>
        <v>170.1</v>
      </c>
      <c r="C757" s="949">
        <f>CIV!B1974/1000</f>
        <v>169.1</v>
      </c>
      <c r="D757" s="949">
        <f>CIV!C1974/1000</f>
        <v>151.80000000000001</v>
      </c>
      <c r="E757" s="949">
        <f>CIV!D1974/1000</f>
        <v>152.1</v>
      </c>
      <c r="F757" s="949">
        <f>CIV!G1974/1000</f>
        <v>146.5</v>
      </c>
      <c r="G757" s="949">
        <f>CIV!I1974/1000</f>
        <v>137.30000000000001</v>
      </c>
      <c r="H757" s="949">
        <f>CIV!J1974/1000</f>
        <v>138.19999999999999</v>
      </c>
      <c r="I757" s="949">
        <f>CIV!K1974/1000</f>
        <v>139.1</v>
      </c>
      <c r="J757" s="949">
        <f>CIV!L1974/1000</f>
        <v>140</v>
      </c>
      <c r="K757" s="949">
        <f>CIV!M1974/1000</f>
        <v>140.9</v>
      </c>
      <c r="L757" s="949">
        <f>CIV!N1974/1000</f>
        <v>141.80000000000001</v>
      </c>
      <c r="M757" s="971">
        <f>CIV!O1974/1000</f>
        <v>142.69999999999999</v>
      </c>
      <c r="N757" s="971">
        <f>CIV!P1974/1000</f>
        <v>143.6</v>
      </c>
      <c r="O757" s="971">
        <f>CIV!Q1974/1000</f>
        <v>144.5</v>
      </c>
      <c r="P757" s="950">
        <f>CIV!R1974/1000</f>
        <v>145.5</v>
      </c>
    </row>
    <row r="758" spans="1:16" s="779" customFormat="1" x14ac:dyDescent="0.2">
      <c r="A758" s="936" t="s">
        <v>850</v>
      </c>
      <c r="B758" s="949">
        <f>SUM(GM!A620:A623)/1000</f>
        <v>3728.4</v>
      </c>
      <c r="C758" s="949">
        <f>SUM(GM!B620:B623)/1000</f>
        <v>2118.5</v>
      </c>
      <c r="D758" s="949">
        <f>SUM(GM!C620:C623)/1000</f>
        <v>4057.2</v>
      </c>
      <c r="E758" s="949">
        <f>SUM(GM!D620:D623)/1000</f>
        <v>4181.5</v>
      </c>
      <c r="F758" s="949">
        <f>SUM(GM!G620:G623)/1000</f>
        <v>4433.7</v>
      </c>
      <c r="G758" s="949">
        <f>SUM(GM!I620:I623)/1000</f>
        <v>4523.2</v>
      </c>
      <c r="H758" s="949">
        <f>SUM(GM!J620:J623)/1000</f>
        <v>4576</v>
      </c>
      <c r="I758" s="949">
        <f>SUM(GM!K620:K623)/1000</f>
        <v>4662.6000000000004</v>
      </c>
      <c r="J758" s="949">
        <f>SUM(GM!L620:L623)/1000</f>
        <v>4751</v>
      </c>
      <c r="K758" s="949">
        <f>SUM(GM!M620:M623)/1000</f>
        <v>4841.1000000000004</v>
      </c>
      <c r="L758" s="949">
        <f>SUM(GM!N620:N623)/1000</f>
        <v>4932.8999999999996</v>
      </c>
      <c r="M758" s="971">
        <f>SUM(GM!O620:O623)/1000</f>
        <v>5026.6000000000004</v>
      </c>
      <c r="N758" s="971">
        <f>SUM(GM!P620:P623)/1000</f>
        <v>5122.1000000000004</v>
      </c>
      <c r="O758" s="971">
        <f>SUM(GM!Q620:Q623)/1000</f>
        <v>5219.6000000000004</v>
      </c>
      <c r="P758" s="950">
        <f>SUM(GM!R620:R623)/1000</f>
        <v>5318.9</v>
      </c>
    </row>
    <row r="759" spans="1:16" s="779" customFormat="1" x14ac:dyDescent="0.2">
      <c r="A759" s="936" t="s">
        <v>1936</v>
      </c>
      <c r="B759" s="949">
        <f>(SP!A742+SP!A743)/1000</f>
        <v>115.6</v>
      </c>
      <c r="C759" s="949">
        <f>(SP!B742+SP!B743)/1000</f>
        <v>110.4</v>
      </c>
      <c r="D759" s="949">
        <f>(SP!C742+SP!C743)/1000</f>
        <v>136.30000000000001</v>
      </c>
      <c r="E759" s="949">
        <f>(SP!D742+SP!D743)/1000</f>
        <v>111.9</v>
      </c>
      <c r="F759" s="949">
        <f>(SP!G742+SP!G743)/1000</f>
        <v>118.6</v>
      </c>
      <c r="G759" s="949">
        <f>(SP!I742+SP!I743)/1000</f>
        <v>78.8</v>
      </c>
      <c r="H759" s="949">
        <f>(SP!J742+SP!J743)/1000</f>
        <v>80.8</v>
      </c>
      <c r="I759" s="949">
        <f>(SP!K742+SP!K743)/1000</f>
        <v>82.9</v>
      </c>
      <c r="J759" s="949">
        <f>(SP!L742+SP!L743)/1000</f>
        <v>85</v>
      </c>
      <c r="K759" s="949">
        <f>(SP!M742+SP!M743)/1000</f>
        <v>86.7</v>
      </c>
      <c r="L759" s="949">
        <f>(SP!N742+SP!N743)/1000</f>
        <v>88.5</v>
      </c>
      <c r="M759" s="971">
        <f>(SP!O742+SP!O743)/1000</f>
        <v>90.3</v>
      </c>
      <c r="N759" s="971">
        <f>(SP!P742+SP!P743)/1000</f>
        <v>92.2</v>
      </c>
      <c r="O759" s="971">
        <f>(SP!Q742+SP!Q743)/1000</f>
        <v>94.1</v>
      </c>
      <c r="P759" s="950">
        <f>(SP!R742+SP!R743)/1000</f>
        <v>96</v>
      </c>
    </row>
    <row r="760" spans="1:16" s="779" customFormat="1" x14ac:dyDescent="0.2">
      <c r="A760" s="936" t="s">
        <v>3942</v>
      </c>
      <c r="B760" s="949">
        <f>(CIV!A1653+CIV!A1654+CIV!A1655)/1000</f>
        <v>248.5</v>
      </c>
      <c r="C760" s="949">
        <f>(CIV!B1653+CIV!B1654+CIV!B1655)/1000</f>
        <v>161.5</v>
      </c>
      <c r="D760" s="949">
        <f>(CIV!C1653+CIV!C1654+CIV!C1655)/1000</f>
        <v>181.9</v>
      </c>
      <c r="E760" s="949">
        <f>(CIV!D1653+CIV!D1654+CIV!D1655)/1000</f>
        <v>172.3</v>
      </c>
      <c r="F760" s="949">
        <f>(CIV!G1653+CIV!G1654+CIV!G1655)/1000</f>
        <v>219</v>
      </c>
      <c r="G760" s="949">
        <f>(CIV!I1653+CIV!I1654+CIV!I1655)/1000</f>
        <v>167.5</v>
      </c>
      <c r="H760" s="949">
        <f>(CIV!J1653+CIV!J1654+CIV!J1655)/1000</f>
        <v>171.8</v>
      </c>
      <c r="I760" s="949">
        <f>(CIV!K1653+CIV!K1654+CIV!K1655)/1000</f>
        <v>176.2</v>
      </c>
      <c r="J760" s="949">
        <f>(CIV!L1653+CIV!L1654+CIV!L1655)/1000</f>
        <v>180.7</v>
      </c>
      <c r="K760" s="949">
        <f>(CIV!M1653+CIV!M1654+CIV!M1655)/1000</f>
        <v>184.5</v>
      </c>
      <c r="L760" s="949">
        <f>(CIV!N1653+CIV!N1654+CIV!N1655)/1000</f>
        <v>188.3</v>
      </c>
      <c r="M760" s="971">
        <f>(CIV!O1653+CIV!O1654+CIV!O1655)/1000</f>
        <v>192.1</v>
      </c>
      <c r="N760" s="971">
        <f>(CIV!P1653+CIV!P1654+CIV!P1655)/1000</f>
        <v>196.1</v>
      </c>
      <c r="O760" s="971">
        <f>(CIV!Q1653+CIV!Q1654+CIV!Q1655)/1000</f>
        <v>200.2</v>
      </c>
      <c r="P760" s="950">
        <f>(CIV!R1653+CIV!R1654+CIV!R1655)/1000</f>
        <v>204.4</v>
      </c>
    </row>
    <row r="761" spans="1:16" s="779" customFormat="1" x14ac:dyDescent="0.2">
      <c r="A761" s="936" t="s">
        <v>410</v>
      </c>
      <c r="B761" s="949">
        <f>SUM(CIV!A959:A964)/1000</f>
        <v>41.8</v>
      </c>
      <c r="C761" s="949">
        <f>SUM(CIV!B959:B964)/1000</f>
        <v>43.8</v>
      </c>
      <c r="D761" s="949">
        <f>SUM(CIV!C959:C964)/1000</f>
        <v>0</v>
      </c>
      <c r="E761" s="949">
        <f>SUM(CIV!D959:D964)/1000</f>
        <v>5.0999999999999996</v>
      </c>
      <c r="F761" s="949">
        <f>SUM(CIV!G959:G964)/1000</f>
        <v>161</v>
      </c>
      <c r="G761" s="949">
        <f>SUM(CIV!I959:I964)/1000</f>
        <v>0</v>
      </c>
      <c r="H761" s="949">
        <f>SUM(CIV!J959:J964)/1000</f>
        <v>0</v>
      </c>
      <c r="I761" s="949">
        <f>SUM(CIV!K959:K964)/1000</f>
        <v>0</v>
      </c>
      <c r="J761" s="949">
        <f>SUM(CIV!L959:L964)/1000</f>
        <v>0</v>
      </c>
      <c r="K761" s="949">
        <f>SUM(CIV!M959:M964)/1000</f>
        <v>0</v>
      </c>
      <c r="L761" s="949">
        <f>SUM(CIV!N959:N964)/1000</f>
        <v>0</v>
      </c>
      <c r="M761" s="971">
        <f>SUM(CIV!O959:O964)/1000</f>
        <v>0</v>
      </c>
      <c r="N761" s="971">
        <f>SUM(CIV!P959:P964)/1000</f>
        <v>0</v>
      </c>
      <c r="O761" s="971">
        <f>SUM(CIV!Q959:Q964)/1000</f>
        <v>0</v>
      </c>
      <c r="P761" s="950">
        <f>SUM(CIV!R959:R964)/1000</f>
        <v>0</v>
      </c>
    </row>
    <row r="762" spans="1:16" s="779" customFormat="1" x14ac:dyDescent="0.2">
      <c r="A762" s="936" t="s">
        <v>511</v>
      </c>
      <c r="B762" s="949">
        <f>SUM(CIV!A761:A765)/1000</f>
        <v>83</v>
      </c>
      <c r="C762" s="949">
        <f>SUM(CIV!B761:B765)/1000</f>
        <v>72.5</v>
      </c>
      <c r="D762" s="949">
        <f>SUM(CIV!C761:C765)/1000</f>
        <v>71</v>
      </c>
      <c r="E762" s="949">
        <f>SUM(CIV!D761:D765)/1000</f>
        <v>49.4</v>
      </c>
      <c r="F762" s="949">
        <f>SUM(CIV!G761:G765)/1000</f>
        <v>54.5</v>
      </c>
      <c r="G762" s="949">
        <f>SUM(CIV!I761:I765)/1000</f>
        <v>55.1</v>
      </c>
      <c r="H762" s="949">
        <f>SUM(CIV!J761:J765)/1000</f>
        <v>56.6</v>
      </c>
      <c r="I762" s="949">
        <f>SUM(CIV!K761:K765)/1000</f>
        <v>58.2</v>
      </c>
      <c r="J762" s="949">
        <f>SUM(CIV!L761:L765)/1000</f>
        <v>59.9</v>
      </c>
      <c r="K762" s="949">
        <f>SUM(CIV!M761:M765)/1000</f>
        <v>61.3</v>
      </c>
      <c r="L762" s="949">
        <f>SUM(CIV!N761:N765)/1000</f>
        <v>62.7</v>
      </c>
      <c r="M762" s="971">
        <f>SUM(CIV!O761:O765)/1000</f>
        <v>64.099999999999994</v>
      </c>
      <c r="N762" s="971">
        <f>SUM(CIV!P761:P765)/1000</f>
        <v>65.5</v>
      </c>
      <c r="O762" s="971">
        <f>SUM(CIV!Q761:Q765)/1000</f>
        <v>66.900000000000006</v>
      </c>
      <c r="P762" s="950">
        <f>SUM(CIV!R761:R765)/1000</f>
        <v>68.3</v>
      </c>
    </row>
    <row r="763" spans="1:16" s="779" customFormat="1" x14ac:dyDescent="0.2">
      <c r="A763" s="936" t="s">
        <v>728</v>
      </c>
      <c r="B763" s="949">
        <f>ROUND(SUM(CIV!A1024:A1032)+SUM(CIV!A1094:A1099),-3)/1000</f>
        <v>733</v>
      </c>
      <c r="C763" s="949">
        <f>ROUND(SUM(CIV!B1024:B1032)+SUM(CIV!B1094:B1099),-3)/1000</f>
        <v>564</v>
      </c>
      <c r="D763" s="949">
        <f>ROUND(SUM(CIV!C1024:C1032)+SUM(CIV!C1094:C1099),-3)/1000</f>
        <v>486</v>
      </c>
      <c r="E763" s="949">
        <f>ROUND(SUM(CIV!D1024:D1032)+SUM(CIV!D1094:D1099),-3)/1000</f>
        <v>392</v>
      </c>
      <c r="F763" s="949">
        <f>ROUND(SUM(CIV!G1024:G1032)+SUM(CIV!G1094:G1099),-3)/1000</f>
        <v>2597</v>
      </c>
      <c r="G763" s="949">
        <f>ROUND(SUM(CIV!I1024:I1032)+SUM(CIV!I1094:I1099),-3)/1000</f>
        <v>989</v>
      </c>
      <c r="H763" s="949">
        <f>ROUND(SUM(CIV!J1024:J1032)+SUM(CIV!J1094:J1099),-3)/1000</f>
        <v>781</v>
      </c>
      <c r="I763" s="949">
        <f>ROUND(SUM(CIV!K1024:K1032)+SUM(CIV!K1094:K1099),-3)/1000</f>
        <v>673</v>
      </c>
      <c r="J763" s="949">
        <f>ROUND(SUM(CIV!L1024:L1032)+SUM(CIV!L1094:L1099),-3)/1000</f>
        <v>678</v>
      </c>
      <c r="K763" s="949">
        <f>ROUND(SUM(CIV!M1024:M1032)+SUM(CIV!M1094:M1099),-3)/1000</f>
        <v>683</v>
      </c>
      <c r="L763" s="949">
        <f>ROUND(SUM(CIV!N1024:N1032)+SUM(CIV!N1094:N1099),-3)/1000</f>
        <v>688</v>
      </c>
      <c r="M763" s="971">
        <f>ROUND(SUM(CIV!O1024:O1032)+SUM(CIV!O1094:O1099),-3)/1000</f>
        <v>697</v>
      </c>
      <c r="N763" s="971">
        <f>ROUND(SUM(CIV!P1024:P1032)+SUM(CIV!P1094:P1099),-3)/1000</f>
        <v>708</v>
      </c>
      <c r="O763" s="971">
        <f>ROUND(SUM(CIV!Q1024:Q1032)+SUM(CIV!Q1094:Q1099),-3)/1000</f>
        <v>722</v>
      </c>
      <c r="P763" s="950">
        <f>ROUND(SUM(CIV!R1024:R1032)+SUM(CIV!R1094:R1099),-3)/1000</f>
        <v>737</v>
      </c>
    </row>
    <row r="764" spans="1:16" s="779" customFormat="1" x14ac:dyDescent="0.2">
      <c r="A764" s="936" t="s">
        <v>6886</v>
      </c>
      <c r="B764" s="949"/>
      <c r="C764" s="949"/>
      <c r="D764" s="949"/>
      <c r="E764" s="949">
        <v>1706</v>
      </c>
      <c r="F764" s="949"/>
      <c r="G764" s="949"/>
      <c r="H764" s="949"/>
      <c r="I764" s="949"/>
      <c r="J764" s="949"/>
      <c r="K764" s="949"/>
      <c r="L764" s="949"/>
      <c r="M764" s="971"/>
      <c r="N764" s="971"/>
      <c r="O764" s="971"/>
      <c r="P764" s="950"/>
    </row>
    <row r="765" spans="1:16" s="779" customFormat="1" x14ac:dyDescent="0.2">
      <c r="A765" s="936" t="s">
        <v>2099</v>
      </c>
      <c r="B765" s="949">
        <f>CIV!A1092/1000</f>
        <v>98</v>
      </c>
      <c r="C765" s="949">
        <f>CIV!B1092/1000</f>
        <v>98</v>
      </c>
      <c r="D765" s="949">
        <f>CIV!C1092/1000</f>
        <v>98</v>
      </c>
      <c r="E765" s="949">
        <f>CIV!D1092/1000</f>
        <v>98</v>
      </c>
      <c r="F765" s="949">
        <f>CIV!G1092/1000</f>
        <v>103</v>
      </c>
      <c r="G765" s="949">
        <f>CIV!I1092/1000</f>
        <v>104.6</v>
      </c>
      <c r="H765" s="949">
        <f>CIV!J1092/1000</f>
        <v>107.3</v>
      </c>
      <c r="I765" s="949">
        <f>CIV!K1092/1000</f>
        <v>110</v>
      </c>
      <c r="J765" s="949">
        <f>CIV!L1092/1000</f>
        <v>112.8</v>
      </c>
      <c r="K765" s="949">
        <f>CIV!M1092/1000</f>
        <v>115.1</v>
      </c>
      <c r="L765" s="949">
        <f>CIV!N1092/1000</f>
        <v>117.5</v>
      </c>
      <c r="M765" s="971">
        <f>CIV!O1092/1000</f>
        <v>119.9</v>
      </c>
      <c r="N765" s="971">
        <f>CIV!P1092/1000</f>
        <v>122.3</v>
      </c>
      <c r="O765" s="971">
        <f>CIV!Q1092/1000</f>
        <v>124.8</v>
      </c>
      <c r="P765" s="950">
        <f>CIV!R1092/1000</f>
        <v>127.3</v>
      </c>
    </row>
    <row r="766" spans="1:16" s="779" customFormat="1" x14ac:dyDescent="0.2">
      <c r="A766" s="936" t="s">
        <v>3938</v>
      </c>
      <c r="B766" s="949">
        <f>SUM(CIV!A1227)/1000</f>
        <v>677.4</v>
      </c>
      <c r="C766" s="949">
        <f>SUM(CIV!B1227)/1000</f>
        <v>926</v>
      </c>
      <c r="D766" s="949">
        <f>SUM(CIV!C1227)/1000</f>
        <v>866.5</v>
      </c>
      <c r="E766" s="949">
        <f>SUM(CIV!D1227)/1000</f>
        <v>876</v>
      </c>
      <c r="F766" s="949">
        <f>SUM(CIV!G1227)/1000</f>
        <v>970</v>
      </c>
      <c r="G766" s="949">
        <f>SUM(CIV!I1227)/1000</f>
        <v>744.6</v>
      </c>
      <c r="H766" s="949">
        <f>SUM(CIV!J1227)/1000</f>
        <v>763.5</v>
      </c>
      <c r="I766" s="949">
        <f>SUM(CIV!K1227)/1000</f>
        <v>783.1</v>
      </c>
      <c r="J766" s="949">
        <f>SUM(CIV!L1227)/1000</f>
        <v>803.1</v>
      </c>
      <c r="K766" s="949">
        <f>SUM(CIV!M1227)/1000</f>
        <v>819.6</v>
      </c>
      <c r="L766" s="949">
        <f>SUM(CIV!N1227)/1000</f>
        <v>836.5</v>
      </c>
      <c r="M766" s="971">
        <f>SUM(CIV!O1227)/1000</f>
        <v>853.8</v>
      </c>
      <c r="N766" s="971">
        <f>SUM(CIV!P1227)/1000</f>
        <v>871.3</v>
      </c>
      <c r="O766" s="971">
        <f>SUM(CIV!Q1227)/1000</f>
        <v>889.2</v>
      </c>
      <c r="P766" s="950">
        <f>SUM(CIV!R1227)/1000</f>
        <v>907.4</v>
      </c>
    </row>
    <row r="767" spans="1:16" s="779" customFormat="1" x14ac:dyDescent="0.2">
      <c r="A767" s="936" t="s">
        <v>3937</v>
      </c>
      <c r="B767" s="949">
        <f>SUM(CIV!A1157:A1161)/1000</f>
        <v>0</v>
      </c>
      <c r="C767" s="949">
        <f>SUM(CIV!B1157:B1161)/1000</f>
        <v>0</v>
      </c>
      <c r="D767" s="949">
        <f>SUM(CIV!C1157:C1161)/1000</f>
        <v>27.4</v>
      </c>
      <c r="E767" s="949">
        <f>SUM(CIV!D1157:D1161)/1000</f>
        <v>6.8</v>
      </c>
      <c r="F767" s="949">
        <f>SUM(CIV!G1157:G1161)/1000</f>
        <v>42</v>
      </c>
      <c r="G767" s="949">
        <f>SUM(CIV!I1157:I1161)/1000</f>
        <v>0</v>
      </c>
      <c r="H767" s="949">
        <f>SUM(CIV!J1157:J1161)/1000</f>
        <v>0</v>
      </c>
      <c r="I767" s="949">
        <f>SUM(CIV!K1157:K1161)/1000</f>
        <v>0</v>
      </c>
      <c r="J767" s="949">
        <f>SUM(CIV!L1157:L1161)/1000</f>
        <v>0</v>
      </c>
      <c r="K767" s="949">
        <f>SUM(CIV!M1157:M1161)/1000</f>
        <v>0</v>
      </c>
      <c r="L767" s="949">
        <f>SUM(CIV!N1157:N1161)/1000</f>
        <v>0</v>
      </c>
      <c r="M767" s="971">
        <f>SUM(CIV!O1157:O1161)/1000</f>
        <v>0</v>
      </c>
      <c r="N767" s="971">
        <f>SUM(CIV!P1157:P1161)/1000</f>
        <v>0</v>
      </c>
      <c r="O767" s="971">
        <f>SUM(CIV!Q1157:Q1161)/1000</f>
        <v>0</v>
      </c>
      <c r="P767" s="950">
        <f>SUM(CIV!R1157:R1161)/1000</f>
        <v>0</v>
      </c>
    </row>
    <row r="768" spans="1:16" s="779" customFormat="1" x14ac:dyDescent="0.2">
      <c r="A768" s="936" t="s">
        <v>3939</v>
      </c>
      <c r="B768" s="949">
        <f>SUM(CIV!A1285:A1291)/1000</f>
        <v>305.3</v>
      </c>
      <c r="C768" s="949">
        <f>SUM(CIV!B1285:B1291)/1000</f>
        <v>337.6</v>
      </c>
      <c r="D768" s="949">
        <f>SUM(CIV!C1285:C1291)/1000</f>
        <v>270.5</v>
      </c>
      <c r="E768" s="949">
        <f>SUM(CIV!D1285:D1291)/1000</f>
        <v>273</v>
      </c>
      <c r="F768" s="949">
        <f>SUM(CIV!G1285:G1291)/1000</f>
        <v>232</v>
      </c>
      <c r="G768" s="949">
        <f>SUM(CIV!I1285:I1291)/1000</f>
        <v>228.6</v>
      </c>
      <c r="H768" s="949">
        <f>SUM(CIV!J1285:J1291)/1000</f>
        <v>234.6</v>
      </c>
      <c r="I768" s="949">
        <f>SUM(CIV!K1285:K1291)/1000</f>
        <v>240.7</v>
      </c>
      <c r="J768" s="949">
        <f>SUM(CIV!L1285:L1291)/1000</f>
        <v>246.9</v>
      </c>
      <c r="K768" s="949">
        <f>SUM(CIV!M1285:M1291)/1000</f>
        <v>252.1</v>
      </c>
      <c r="L768" s="949">
        <f>SUM(CIV!N1285:N1291)/1000</f>
        <v>257.39999999999998</v>
      </c>
      <c r="M768" s="971">
        <f>SUM(CIV!O1285:O1291)/1000</f>
        <v>262.8</v>
      </c>
      <c r="N768" s="971">
        <f>SUM(CIV!P1285:P1291)/1000</f>
        <v>268.3</v>
      </c>
      <c r="O768" s="971">
        <f>SUM(CIV!Q1285:Q1291)/1000</f>
        <v>273.8</v>
      </c>
      <c r="P768" s="950">
        <f>SUM(CIV!R1285:R1291)/1000</f>
        <v>279.5</v>
      </c>
    </row>
    <row r="769" spans="1:16" s="779" customFormat="1" x14ac:dyDescent="0.2">
      <c r="A769" s="936" t="s">
        <v>3687</v>
      </c>
      <c r="B769" s="949">
        <f>SUM(CIV!A1521:A1526)/1000</f>
        <v>5.6</v>
      </c>
      <c r="C769" s="949">
        <f>SUM(CIV!B1521:B1526)/1000</f>
        <v>82.7</v>
      </c>
      <c r="D769" s="949">
        <f>SUM(CIV!C1521:C1526)/1000</f>
        <v>86.4</v>
      </c>
      <c r="E769" s="949">
        <f>SUM(CIV!D1521:D1526)/1000</f>
        <v>95.4</v>
      </c>
      <c r="F769" s="949">
        <f>SUM(CIV!G1521:G1526)/1000</f>
        <v>0</v>
      </c>
      <c r="G769" s="949">
        <f>SUM(CIV!I1521:I1526)/1000</f>
        <v>0</v>
      </c>
      <c r="H769" s="949">
        <f>SUM(CIV!J1521:J1526)/1000</f>
        <v>0</v>
      </c>
      <c r="I769" s="949">
        <f>SUM(CIV!K1521:K1526)/1000</f>
        <v>0</v>
      </c>
      <c r="J769" s="949">
        <f>SUM(CIV!L1521:L1526)/1000</f>
        <v>0</v>
      </c>
      <c r="K769" s="949">
        <f>SUM(CIV!M1521:M1526)/1000</f>
        <v>0</v>
      </c>
      <c r="L769" s="949">
        <f>SUM(CIV!N1521:N1526)/1000</f>
        <v>0</v>
      </c>
      <c r="M769" s="971">
        <f>SUM(CIV!O1521:O1526)/1000</f>
        <v>0</v>
      </c>
      <c r="N769" s="971">
        <f>SUM(CIV!P1521:P1526)/1000</f>
        <v>0</v>
      </c>
      <c r="O769" s="971">
        <f>SUM(CIV!Q1521:Q1526)/1000</f>
        <v>0</v>
      </c>
      <c r="P769" s="950">
        <f>SUM(CIV!R1521:R1526)/1000</f>
        <v>0</v>
      </c>
    </row>
    <row r="770" spans="1:16" s="779" customFormat="1" x14ac:dyDescent="0.2">
      <c r="A770" s="936" t="s">
        <v>167</v>
      </c>
      <c r="B770" s="949">
        <f>SUM(CIV!A1392)/1000</f>
        <v>151.69999999999999</v>
      </c>
      <c r="C770" s="949">
        <f>SUM(CIV!B1392)/1000</f>
        <v>136.5</v>
      </c>
      <c r="D770" s="949">
        <f>SUM(CIV!C1392)/1000</f>
        <v>95.1</v>
      </c>
      <c r="E770" s="949">
        <f>SUM(CIV!D1392)/1000</f>
        <v>158.69999999999999</v>
      </c>
      <c r="F770" s="949">
        <f>SUM(CIV!G1392)/1000</f>
        <v>30</v>
      </c>
      <c r="G770" s="949">
        <f>SUM(CIV!I1392)/1000</f>
        <v>5.0999999999999996</v>
      </c>
      <c r="H770" s="949">
        <f>SUM(CIV!J1392)/1000</f>
        <v>5.3</v>
      </c>
      <c r="I770" s="949">
        <f>SUM(CIV!K1392)/1000</f>
        <v>5.5</v>
      </c>
      <c r="J770" s="949">
        <f>SUM(CIV!L1392)/1000</f>
        <v>5.7</v>
      </c>
      <c r="K770" s="949">
        <f>SUM(CIV!M1392)/1000</f>
        <v>5.9</v>
      </c>
      <c r="L770" s="949">
        <f>SUM(CIV!N1392)/1000</f>
        <v>6.1</v>
      </c>
      <c r="M770" s="971">
        <f>SUM(CIV!O1392)/1000</f>
        <v>6.3</v>
      </c>
      <c r="N770" s="971">
        <f>SUM(CIV!P1392)/1000</f>
        <v>6.5</v>
      </c>
      <c r="O770" s="971">
        <f>SUM(CIV!Q1392)/1000</f>
        <v>6.7</v>
      </c>
      <c r="P770" s="950">
        <f>SUM(CIV!R1392)/1000</f>
        <v>6.9</v>
      </c>
    </row>
    <row r="771" spans="1:16" s="779" customFormat="1" x14ac:dyDescent="0.2">
      <c r="A771" s="936" t="s">
        <v>3940</v>
      </c>
      <c r="B771" s="949">
        <f>SUM(CIV!A1783:A1784)/1000</f>
        <v>253.5</v>
      </c>
      <c r="C771" s="949">
        <f>SUM(CIV!B1783:B1784)/1000</f>
        <v>150.30000000000001</v>
      </c>
      <c r="D771" s="949">
        <f>SUM(CIV!C1783:C1784)/1000</f>
        <v>125.4</v>
      </c>
      <c r="E771" s="949">
        <f>SUM(CIV!D1783:D1784)/1000</f>
        <v>125.5</v>
      </c>
      <c r="F771" s="949">
        <f>SUM(CIV!G1783:G1784)/1000</f>
        <v>125</v>
      </c>
      <c r="G771" s="949">
        <f>SUM(CIV!I1783:I1784)/1000</f>
        <v>21</v>
      </c>
      <c r="H771" s="949">
        <f>SUM(CIV!J1783:J1784)/1000</f>
        <v>22</v>
      </c>
      <c r="I771" s="949">
        <f>SUM(CIV!K1783:K1784)/1000</f>
        <v>23</v>
      </c>
      <c r="J771" s="949">
        <f>SUM(CIV!L1783:L1784)/1000</f>
        <v>24</v>
      </c>
      <c r="K771" s="949">
        <f>SUM(CIV!M1783:M1784)/1000</f>
        <v>24</v>
      </c>
      <c r="L771" s="949">
        <f>SUM(CIV!N1783:N1784)/1000</f>
        <v>24</v>
      </c>
      <c r="M771" s="971">
        <f>SUM(CIV!O1783:O1784)/1000</f>
        <v>24</v>
      </c>
      <c r="N771" s="971">
        <f>SUM(CIV!P1783:P1784)/1000</f>
        <v>24</v>
      </c>
      <c r="O771" s="971">
        <f>SUM(CIV!Q1783:Q1784)/1000</f>
        <v>24</v>
      </c>
      <c r="P771" s="950">
        <f>SUM(CIV!R1783:R1784)/1000</f>
        <v>24</v>
      </c>
    </row>
    <row r="772" spans="1:16" s="779" customFormat="1" x14ac:dyDescent="0.2">
      <c r="A772" s="936" t="s">
        <v>218</v>
      </c>
      <c r="B772" s="949">
        <f>SUM(SP!A396:A396)/1000</f>
        <v>0</v>
      </c>
      <c r="C772" s="949">
        <f>SUM(SP!B396:B396)/1000</f>
        <v>2.6</v>
      </c>
      <c r="D772" s="949">
        <f>SUM(SP!C396:C396)/1000</f>
        <v>62.8</v>
      </c>
      <c r="E772" s="949">
        <f>SUM(SP!D396:D396)/1000</f>
        <v>15</v>
      </c>
      <c r="F772" s="949">
        <f>SUM(SP!G396:G396)/1000</f>
        <v>0</v>
      </c>
      <c r="G772" s="949">
        <f>SUM(SP!I396:I396)/1000</f>
        <v>0</v>
      </c>
      <c r="H772" s="949">
        <f>SUM(SP!J396:J396)/1000</f>
        <v>0</v>
      </c>
      <c r="I772" s="949">
        <f>SUM(SP!K396:K396)/1000</f>
        <v>0</v>
      </c>
      <c r="J772" s="949">
        <f>SUM(SP!L396:L396)/1000</f>
        <v>0</v>
      </c>
      <c r="K772" s="949">
        <f>SUM(SP!M396:M396)/1000</f>
        <v>0</v>
      </c>
      <c r="L772" s="949">
        <f>SUM(SP!N396:N396)/1000</f>
        <v>0</v>
      </c>
      <c r="M772" s="971">
        <f>SUM(SP!O396:O396)/1000</f>
        <v>0</v>
      </c>
      <c r="N772" s="971">
        <f>SUM(SP!P396:P396)/1000</f>
        <v>0</v>
      </c>
      <c r="O772" s="971">
        <f>SUM(SP!Q396:Q396)/1000</f>
        <v>0</v>
      </c>
      <c r="P772" s="950">
        <f>SUM(SP!R396:R396)/1000</f>
        <v>0</v>
      </c>
    </row>
    <row r="773" spans="1:16" s="779" customFormat="1" x14ac:dyDescent="0.2">
      <c r="A773" s="936" t="s">
        <v>825</v>
      </c>
      <c r="B773" s="949">
        <f>SUM(SP!A617:A620)/1000</f>
        <v>20.7</v>
      </c>
      <c r="C773" s="949">
        <f>SUM(SP!B617:B620)/1000</f>
        <v>8</v>
      </c>
      <c r="D773" s="949">
        <f>SUM(SP!C617:C620)/1000</f>
        <v>1.5</v>
      </c>
      <c r="E773" s="949">
        <f>SUM(SP!D617:D620)/1000</f>
        <v>1.5</v>
      </c>
      <c r="F773" s="949">
        <f>SUM(SP!G617:G620)/1000</f>
        <v>1.5</v>
      </c>
      <c r="G773" s="949">
        <f>SUM(SP!I617:I620)/1000</f>
        <v>1.5</v>
      </c>
      <c r="H773" s="949">
        <f>SUM(SP!J617:J620)/1000</f>
        <v>1.6</v>
      </c>
      <c r="I773" s="949">
        <f>SUM(SP!K617:K620)/1000</f>
        <v>1.7</v>
      </c>
      <c r="J773" s="949">
        <f>SUM(SP!L617:L620)/1000</f>
        <v>1.8</v>
      </c>
      <c r="K773" s="949">
        <f>SUM(SP!M617:M620)/1000</f>
        <v>1.9</v>
      </c>
      <c r="L773" s="949">
        <f>SUM(SP!N617:N620)/1000</f>
        <v>2</v>
      </c>
      <c r="M773" s="971">
        <f>SUM(SP!O617:O620)/1000</f>
        <v>2.1</v>
      </c>
      <c r="N773" s="971">
        <f>SUM(SP!P617:P620)/1000</f>
        <v>2.2000000000000002</v>
      </c>
      <c r="O773" s="971">
        <f>SUM(SP!Q617:Q620)/1000</f>
        <v>2.2999999999999998</v>
      </c>
      <c r="P773" s="950">
        <f>SUM(SP!R617:R620)/1000</f>
        <v>2.4</v>
      </c>
    </row>
    <row r="774" spans="1:16" s="779" customFormat="1" x14ac:dyDescent="0.2">
      <c r="A774" s="936" t="s">
        <v>1586</v>
      </c>
      <c r="B774" s="949">
        <f>SUM(SP!A877:A880)/1000</f>
        <v>12</v>
      </c>
      <c r="C774" s="949">
        <f>SUM(SP!B877:B880)/1000</f>
        <v>25</v>
      </c>
      <c r="D774" s="949">
        <f>SUM(SP!C877:C880)/1000</f>
        <v>0</v>
      </c>
      <c r="E774" s="949">
        <f>SUM(SP!D877:D880)/1000</f>
        <v>0</v>
      </c>
      <c r="F774" s="949">
        <f>SUM(SP!G877:G880)/1000</f>
        <v>50</v>
      </c>
      <c r="G774" s="949">
        <f>SUM(SP!I877:I880)/1000</f>
        <v>0</v>
      </c>
      <c r="H774" s="949">
        <f>SUM(SP!J877:J880)/1000</f>
        <v>0</v>
      </c>
      <c r="I774" s="949">
        <f>SUM(SP!K877:K880)/1000</f>
        <v>0</v>
      </c>
      <c r="J774" s="949">
        <f>SUM(SP!L877:L880)/1000</f>
        <v>0</v>
      </c>
      <c r="K774" s="949">
        <f>SUM(SP!M877:M880)/1000</f>
        <v>0</v>
      </c>
      <c r="L774" s="949">
        <f>SUM(SP!N877:N880)/1000</f>
        <v>0</v>
      </c>
      <c r="M774" s="971">
        <f>SUM(SP!O877:O880)/1000</f>
        <v>0</v>
      </c>
      <c r="N774" s="971">
        <f>SUM(SP!P877:P880)/1000</f>
        <v>0</v>
      </c>
      <c r="O774" s="971">
        <f>SUM(SP!Q877:Q880)/1000</f>
        <v>0</v>
      </c>
      <c r="P774" s="950">
        <f>SUM(SP!R877:R880)/1000</f>
        <v>0</v>
      </c>
    </row>
    <row r="775" spans="1:16" s="779" customFormat="1" x14ac:dyDescent="0.2">
      <c r="A775" s="936" t="s">
        <v>88</v>
      </c>
      <c r="B775" s="949">
        <f>SUM(GM!A663:A665)/1000</f>
        <v>61</v>
      </c>
      <c r="C775" s="949">
        <f>SUM(GM!B663:B665)/1000</f>
        <v>54</v>
      </c>
      <c r="D775" s="949">
        <f>SUM(GM!C663:C665)/1000</f>
        <v>54</v>
      </c>
      <c r="E775" s="949">
        <f>SUM(GM!D663:D665)/1000</f>
        <v>77.099999999999994</v>
      </c>
      <c r="F775" s="949">
        <f>SUM(GM!G663:G665)/1000</f>
        <v>54</v>
      </c>
      <c r="G775" s="949">
        <f>SUM(GM!I663:I665)/1000</f>
        <v>54</v>
      </c>
      <c r="H775" s="949">
        <f>SUM(GM!J663:J665)/1000</f>
        <v>54</v>
      </c>
      <c r="I775" s="949">
        <f>SUM(GM!K663:K665)/1000</f>
        <v>54</v>
      </c>
      <c r="J775" s="949">
        <f>SUM(GM!L663:L665)/1000</f>
        <v>54</v>
      </c>
      <c r="K775" s="949">
        <f>SUM(GM!M663:M665)/1000</f>
        <v>54</v>
      </c>
      <c r="L775" s="949">
        <f>SUM(GM!N663:N665)/1000</f>
        <v>54</v>
      </c>
      <c r="M775" s="971">
        <f>SUM(GM!O663:O665)/1000</f>
        <v>54</v>
      </c>
      <c r="N775" s="971">
        <f>SUM(GM!P663:P665)/1000</f>
        <v>54</v>
      </c>
      <c r="O775" s="971">
        <f>SUM(GM!Q663:Q665)/1000</f>
        <v>54</v>
      </c>
      <c r="P775" s="950">
        <f>SUM(GM!R663:R665)/1000</f>
        <v>54</v>
      </c>
    </row>
    <row r="776" spans="1:16" s="779" customFormat="1" x14ac:dyDescent="0.2">
      <c r="A776" s="936" t="s">
        <v>362</v>
      </c>
      <c r="B776" s="949">
        <f>SUM(GM!A779:A783)/1000</f>
        <v>89.5</v>
      </c>
      <c r="C776" s="949">
        <f>SUM(GM!B779:B783)/1000</f>
        <v>84</v>
      </c>
      <c r="D776" s="949">
        <f>SUM(GM!C779:C783)/1000</f>
        <v>67.8</v>
      </c>
      <c r="E776" s="949">
        <f>SUM(GM!D779:D783)/1000</f>
        <v>75.7</v>
      </c>
      <c r="F776" s="949">
        <f>SUM(GM!G779:G783)/1000</f>
        <v>53</v>
      </c>
      <c r="G776" s="949">
        <f>SUM(GM!I779:I783)/1000</f>
        <v>53.9</v>
      </c>
      <c r="H776" s="949">
        <f>SUM(GM!J779:J783)/1000</f>
        <v>55.4</v>
      </c>
      <c r="I776" s="949">
        <f>SUM(GM!K779:K783)/1000</f>
        <v>56.9</v>
      </c>
      <c r="J776" s="949">
        <f>SUM(GM!L779:L783)/1000</f>
        <v>58.5</v>
      </c>
      <c r="K776" s="949">
        <f>SUM(GM!M779:M783)/1000</f>
        <v>59.8</v>
      </c>
      <c r="L776" s="949">
        <f>SUM(GM!N779:N783)/1000</f>
        <v>61.2</v>
      </c>
      <c r="M776" s="971">
        <f>SUM(GM!O779:O783)/1000</f>
        <v>62.6</v>
      </c>
      <c r="N776" s="971">
        <f>SUM(GM!P779:P783)/1000</f>
        <v>64</v>
      </c>
      <c r="O776" s="971">
        <f>SUM(GM!Q779:Q783)/1000</f>
        <v>65.400000000000006</v>
      </c>
      <c r="P776" s="950">
        <f>SUM(GM!R779:R783)/1000</f>
        <v>66.8</v>
      </c>
    </row>
    <row r="777" spans="1:16" s="779" customFormat="1" x14ac:dyDescent="0.2">
      <c r="A777" s="936" t="s">
        <v>1418</v>
      </c>
      <c r="B777" s="949">
        <f>SUM(GM!A1083:A1087)/1000</f>
        <v>138.6</v>
      </c>
      <c r="C777" s="949">
        <f>SUM(GM!B1083:B1087)/1000</f>
        <v>323.2</v>
      </c>
      <c r="D777" s="949">
        <f>SUM(GM!C1083:C1087)/1000</f>
        <v>286.3</v>
      </c>
      <c r="E777" s="949">
        <f>SUM(GM!D1083:D1087)/1000</f>
        <v>297.89999999999998</v>
      </c>
      <c r="F777" s="949">
        <f>SUM(GM!G1083:G1087)/1000</f>
        <v>384.4</v>
      </c>
      <c r="G777" s="949">
        <f>SUM(GM!I1083:I1087)/1000</f>
        <v>659.4</v>
      </c>
      <c r="H777" s="949">
        <f>SUM(GM!J1083:J1087)/1000</f>
        <v>673.4</v>
      </c>
      <c r="I777" s="949">
        <f>SUM(GM!K1083:K1087)/1000</f>
        <v>657.3</v>
      </c>
      <c r="J777" s="949">
        <f>SUM(GM!L1083:L1087)/1000</f>
        <v>639</v>
      </c>
      <c r="K777" s="949">
        <f>SUM(GM!M1083:M1087)/1000</f>
        <v>620.6</v>
      </c>
      <c r="L777" s="949">
        <f>SUM(GM!N1083:N1087)/1000</f>
        <v>604.1</v>
      </c>
      <c r="M777" s="971">
        <f>SUM(GM!O1083:O1087)/1000</f>
        <v>612.4</v>
      </c>
      <c r="N777" s="971">
        <f>SUM(GM!P1083:P1087)/1000</f>
        <v>627</v>
      </c>
      <c r="O777" s="971">
        <f>SUM(GM!Q1083:Q1087)/1000</f>
        <v>645.9</v>
      </c>
      <c r="P777" s="950">
        <f>SUM(GM!R1083:R1087)/1000</f>
        <v>665.5</v>
      </c>
    </row>
    <row r="778" spans="1:16" s="1" customFormat="1" x14ac:dyDescent="0.2">
      <c r="A778" s="1225" t="s">
        <v>3944</v>
      </c>
      <c r="B778" s="1049">
        <f t="shared" ref="B778:N778" si="942">SUM(B757:B777)</f>
        <v>6933.7000000000007</v>
      </c>
      <c r="C778" s="1049">
        <f t="shared" si="942"/>
        <v>5467.7000000000007</v>
      </c>
      <c r="D778" s="1049">
        <f t="shared" si="942"/>
        <v>7125.9</v>
      </c>
      <c r="E778" s="1049">
        <f t="shared" si="942"/>
        <v>8870.9000000000015</v>
      </c>
      <c r="F778" s="1049">
        <f t="shared" si="942"/>
        <v>9775.1999999999989</v>
      </c>
      <c r="G778" s="1049">
        <f t="shared" si="942"/>
        <v>7823.6000000000013</v>
      </c>
      <c r="H778" s="1049">
        <f t="shared" si="942"/>
        <v>7721.5000000000009</v>
      </c>
      <c r="I778" s="1049">
        <f t="shared" si="942"/>
        <v>7724.2</v>
      </c>
      <c r="J778" s="1049">
        <f t="shared" si="942"/>
        <v>7840.4</v>
      </c>
      <c r="K778" s="1049">
        <f t="shared" si="942"/>
        <v>7950.5000000000009</v>
      </c>
      <c r="L778" s="1049">
        <f t="shared" si="942"/>
        <v>8065</v>
      </c>
      <c r="M778" s="1049">
        <f t="shared" si="942"/>
        <v>8210.7000000000025</v>
      </c>
      <c r="N778" s="1050">
        <f t="shared" si="942"/>
        <v>8367.1000000000022</v>
      </c>
      <c r="O778" s="1050">
        <f t="shared" ref="O778" si="943">SUM(O757:O777)</f>
        <v>8533.4</v>
      </c>
      <c r="P778" s="1051">
        <f t="shared" ref="P778" si="944">SUM(P757:P777)</f>
        <v>8703.8999999999978</v>
      </c>
    </row>
    <row r="779" spans="1:16" s="779" customFormat="1" x14ac:dyDescent="0.2">
      <c r="A779" s="1225" t="s">
        <v>3945</v>
      </c>
      <c r="B779" s="949"/>
      <c r="C779" s="949"/>
      <c r="D779" s="949"/>
      <c r="E779" s="949"/>
      <c r="F779" s="949"/>
      <c r="G779" s="949"/>
      <c r="H779" s="949"/>
      <c r="I779" s="949"/>
      <c r="J779" s="949"/>
      <c r="K779" s="949"/>
      <c r="L779" s="949"/>
      <c r="M779" s="971"/>
      <c r="N779" s="971"/>
      <c r="O779" s="971"/>
      <c r="P779" s="950"/>
    </row>
    <row r="780" spans="1:16" s="779" customFormat="1" x14ac:dyDescent="0.2">
      <c r="A780" s="936" t="str">
        <f>A758</f>
        <v>General Purpose Grants</v>
      </c>
      <c r="B780" s="949">
        <f t="shared" ref="B780:N780" si="945">-B758</f>
        <v>-3728.4</v>
      </c>
      <c r="C780" s="949">
        <f t="shared" si="945"/>
        <v>-2118.5</v>
      </c>
      <c r="D780" s="949">
        <f t="shared" si="945"/>
        <v>-4057.2</v>
      </c>
      <c r="E780" s="949">
        <f t="shared" si="945"/>
        <v>-4181.5</v>
      </c>
      <c r="F780" s="949">
        <f t="shared" si="945"/>
        <v>-4433.7</v>
      </c>
      <c r="G780" s="949">
        <f t="shared" si="945"/>
        <v>-4523.2</v>
      </c>
      <c r="H780" s="949">
        <f t="shared" si="945"/>
        <v>-4576</v>
      </c>
      <c r="I780" s="949">
        <f t="shared" si="945"/>
        <v>-4662.6000000000004</v>
      </c>
      <c r="J780" s="949">
        <f t="shared" si="945"/>
        <v>-4751</v>
      </c>
      <c r="K780" s="949">
        <f t="shared" si="945"/>
        <v>-4841.1000000000004</v>
      </c>
      <c r="L780" s="949">
        <f t="shared" si="945"/>
        <v>-4932.8999999999996</v>
      </c>
      <c r="M780" s="949">
        <f t="shared" si="945"/>
        <v>-5026.6000000000004</v>
      </c>
      <c r="N780" s="971">
        <f t="shared" si="945"/>
        <v>-5122.1000000000004</v>
      </c>
      <c r="O780" s="971">
        <f t="shared" ref="O780" si="946">-O758</f>
        <v>-5219.6000000000004</v>
      </c>
      <c r="P780" s="950">
        <f t="shared" ref="P780" si="947">-P758</f>
        <v>-5318.9</v>
      </c>
    </row>
    <row r="781" spans="1:16" s="779" customFormat="1" x14ac:dyDescent="0.2">
      <c r="A781" s="936" t="s">
        <v>3946</v>
      </c>
      <c r="B781" s="949">
        <f>SUM(-CIV!A1093-CIV!A1025-GM!A1086)/1000</f>
        <v>-184.1</v>
      </c>
      <c r="C781" s="949">
        <f>SUM(-CIV!B1093-CIV!B1025-GM!B1086)/1000</f>
        <v>-345</v>
      </c>
      <c r="D781" s="949">
        <f>SUM(-CIV!C1093-CIV!C1025-GM!C1086)/1000</f>
        <v>-354</v>
      </c>
      <c r="E781" s="949">
        <f>SUM(-CIV!D1093-CIV!D1025-GM!D1086)/1000</f>
        <v>-316.8</v>
      </c>
      <c r="F781" s="949">
        <f>SUM(-CIV!G1093-CIV!G1025-GM!G1086)/1000</f>
        <v>-273.3</v>
      </c>
      <c r="G781" s="949">
        <f>SUM(-CIV!I1093-CIV!I1025-GM!I1086)/1000</f>
        <v>-234</v>
      </c>
      <c r="H781" s="949">
        <f>SUM(-CIV!J1093-CIV!J1025-GM!J1086)/1000</f>
        <v>-193.1</v>
      </c>
      <c r="I781" s="949">
        <f>SUM(-CIV!K1093-CIV!K1025-GM!K1086)/1000</f>
        <v>-150.4</v>
      </c>
      <c r="J781" s="949">
        <f>SUM(-CIV!L1093-CIV!L1025-GM!L1086)/1000</f>
        <v>-106.1</v>
      </c>
      <c r="K781" s="949">
        <f>SUM(-CIV!M1093-CIV!M1025-GM!M1086)/1000</f>
        <v>-60</v>
      </c>
      <c r="L781" s="949">
        <f>SUM(-CIV!N1093-CIV!N1025-GM!N1086)/1000</f>
        <v>-14.9</v>
      </c>
      <c r="M781" s="949">
        <f>SUM(-CIV!O1093-CIV!O1025-GM!O1086)/1000</f>
        <v>-2.6</v>
      </c>
      <c r="N781" s="971">
        <f>SUM(-CIV!P1093-CIV!P1025-GM!P1086)/1000</f>
        <v>0</v>
      </c>
      <c r="O781" s="971">
        <f>SUM(-CIV!Q1093-CIV!Q1025-GM!Q1086)/1000</f>
        <v>0</v>
      </c>
      <c r="P781" s="950">
        <f>SUM(-CIV!R1093-CIV!R1025-GM!R1086)/1000</f>
        <v>0</v>
      </c>
    </row>
    <row r="782" spans="1:16" s="1" customFormat="1" x14ac:dyDescent="0.2">
      <c r="A782" s="1225" t="s">
        <v>3944</v>
      </c>
      <c r="B782" s="1049">
        <f t="shared" ref="B782:N782" si="948">SUM(B778:B781)</f>
        <v>3021.2000000000007</v>
      </c>
      <c r="C782" s="1049">
        <f t="shared" si="948"/>
        <v>3004.2000000000007</v>
      </c>
      <c r="D782" s="1049">
        <f t="shared" si="948"/>
        <v>2714.7</v>
      </c>
      <c r="E782" s="1049">
        <f t="shared" si="948"/>
        <v>4372.6000000000013</v>
      </c>
      <c r="F782" s="1049">
        <f t="shared" si="948"/>
        <v>5068.1999999999989</v>
      </c>
      <c r="G782" s="1049">
        <f t="shared" si="948"/>
        <v>3066.4000000000015</v>
      </c>
      <c r="H782" s="1049">
        <f t="shared" si="948"/>
        <v>2952.400000000001</v>
      </c>
      <c r="I782" s="1049">
        <f t="shared" si="948"/>
        <v>2911.1999999999994</v>
      </c>
      <c r="J782" s="1049">
        <f t="shared" si="948"/>
        <v>2983.2999999999997</v>
      </c>
      <c r="K782" s="1049">
        <f t="shared" si="948"/>
        <v>3049.4000000000005</v>
      </c>
      <c r="L782" s="1049">
        <f t="shared" si="948"/>
        <v>3117.2000000000003</v>
      </c>
      <c r="M782" s="1050">
        <f t="shared" si="948"/>
        <v>3181.5000000000023</v>
      </c>
      <c r="N782" s="1050">
        <f t="shared" si="948"/>
        <v>3245.0000000000018</v>
      </c>
      <c r="O782" s="1050">
        <f t="shared" ref="O782" si="949">SUM(O778:O781)</f>
        <v>3313.7999999999993</v>
      </c>
      <c r="P782" s="1051">
        <f t="shared" ref="P782" si="950">SUM(P778:P781)</f>
        <v>3384.9999999999982</v>
      </c>
    </row>
    <row r="783" spans="1:16" s="890" customFormat="1" x14ac:dyDescent="0.2">
      <c r="A783" s="936" t="s">
        <v>2279</v>
      </c>
      <c r="B783" s="949"/>
      <c r="C783" s="949">
        <f>(ROUND(LTFP!A198+LTFP!A199,-3)/1000)</f>
        <v>9130</v>
      </c>
      <c r="D783" s="949">
        <f>(ROUND(LTFP!B198+LTFP!B199,-3)/1000)</f>
        <v>7677</v>
      </c>
      <c r="E783" s="949">
        <f>(ROUND(LTFP!C198+LTFP!C199,-3)/1000)</f>
        <v>10484</v>
      </c>
      <c r="F783" s="949">
        <f>(ROUND(LTFP!E198+LTFP!E199,-3)/1000)</f>
        <v>10569</v>
      </c>
      <c r="G783" s="949">
        <f>(ROUND(LTFP!G198+LTFP!G199,-3)/1000)</f>
        <v>16444</v>
      </c>
      <c r="H783" s="949">
        <f>(ROUND(LTFP!H198+LTFP!H199,-3)/1000)</f>
        <v>9056</v>
      </c>
      <c r="I783" s="949">
        <f>(ROUND(LTFP!I198+LTFP!I199,-3)/1000)</f>
        <v>6840</v>
      </c>
      <c r="J783" s="949">
        <f>(ROUND(LTFP!J198+LTFP!J199,-3)/1000)</f>
        <v>12832</v>
      </c>
      <c r="K783" s="949">
        <f>(ROUND(LTFP!K198+LTFP!K199,-3)/1000)</f>
        <v>13088</v>
      </c>
      <c r="L783" s="949">
        <f>(ROUND(LTFP!L198+LTFP!L199,-3)/1000)</f>
        <v>3349</v>
      </c>
      <c r="M783" s="949">
        <f>(ROUND(LTFP!M198+LTFP!M199,-3)/1000)</f>
        <v>3414</v>
      </c>
      <c r="N783" s="971">
        <f>(ROUND(LTFP!N198+LTFP!N199,-3)/1000)</f>
        <v>3482</v>
      </c>
      <c r="O783" s="971">
        <f>(ROUND(LTFP!O198+LTFP!O199,-3)/1000)</f>
        <v>3551</v>
      </c>
      <c r="P783" s="950">
        <f>(ROUND(LTFP!P198+LTFP!P199,-3)/1000)</f>
        <v>3621</v>
      </c>
    </row>
    <row r="784" spans="1:16" s="8" customFormat="1" x14ac:dyDescent="0.2">
      <c r="A784" s="1225" t="s">
        <v>3947</v>
      </c>
      <c r="B784" s="1049">
        <f t="shared" ref="B784:N784" si="951">SUM(B782:B783)</f>
        <v>3021.2000000000007</v>
      </c>
      <c r="C784" s="1049">
        <f t="shared" si="951"/>
        <v>12134.2</v>
      </c>
      <c r="D784" s="1049">
        <f t="shared" si="951"/>
        <v>10391.700000000001</v>
      </c>
      <c r="E784" s="1049">
        <f t="shared" si="951"/>
        <v>14856.600000000002</v>
      </c>
      <c r="F784" s="1049">
        <f t="shared" si="951"/>
        <v>15637.199999999999</v>
      </c>
      <c r="G784" s="1049">
        <f t="shared" si="951"/>
        <v>19510.400000000001</v>
      </c>
      <c r="H784" s="1049">
        <f t="shared" si="951"/>
        <v>12008.400000000001</v>
      </c>
      <c r="I784" s="1049">
        <f t="shared" si="951"/>
        <v>9751.1999999999989</v>
      </c>
      <c r="J784" s="1049">
        <f t="shared" si="951"/>
        <v>15815.3</v>
      </c>
      <c r="K784" s="1049">
        <f t="shared" si="951"/>
        <v>16137.400000000001</v>
      </c>
      <c r="L784" s="1049">
        <f t="shared" si="951"/>
        <v>6466.2000000000007</v>
      </c>
      <c r="M784" s="1049">
        <f t="shared" si="951"/>
        <v>6595.5000000000018</v>
      </c>
      <c r="N784" s="1050">
        <f t="shared" si="951"/>
        <v>6727.0000000000018</v>
      </c>
      <c r="O784" s="1050">
        <f t="shared" ref="O784" si="952">SUM(O782:O783)</f>
        <v>6864.7999999999993</v>
      </c>
      <c r="P784" s="1051">
        <f t="shared" ref="P784" si="953">SUM(P782:P783)</f>
        <v>7005.9999999999982</v>
      </c>
    </row>
    <row r="785" spans="1:16" s="8" customFormat="1" ht="13.5" thickBot="1" x14ac:dyDescent="0.25">
      <c r="A785" s="1583"/>
      <c r="B785" s="1584"/>
      <c r="C785" s="1584"/>
      <c r="D785" s="1584"/>
      <c r="E785" s="1584"/>
      <c r="F785" s="1584"/>
      <c r="G785" s="1584"/>
      <c r="H785" s="1584"/>
      <c r="I785" s="1584"/>
      <c r="J785" s="1584"/>
      <c r="K785" s="1584"/>
      <c r="L785" s="1584"/>
      <c r="M785" s="1584"/>
      <c r="N785" s="2141"/>
      <c r="O785" s="2141"/>
      <c r="P785" s="1640"/>
    </row>
    <row r="786" spans="1:16" s="779" customFormat="1" ht="17.25" thickTop="1" thickBot="1" x14ac:dyDescent="0.3">
      <c r="A786" s="2853" t="s">
        <v>7026</v>
      </c>
      <c r="B786" s="2854"/>
      <c r="C786" s="2854"/>
      <c r="D786" s="2854"/>
      <c r="E786" s="2854"/>
      <c r="F786" s="2854"/>
      <c r="G786" s="2854"/>
      <c r="H786" s="2854"/>
      <c r="I786" s="2854"/>
      <c r="J786" s="2854"/>
      <c r="K786" s="2854"/>
      <c r="L786" s="2854"/>
      <c r="M786" s="2854"/>
      <c r="N786" s="2854"/>
      <c r="O786" s="2854"/>
      <c r="P786" s="2855"/>
    </row>
    <row r="787" spans="1:16" s="779" customFormat="1" ht="13.5" thickBot="1" x14ac:dyDescent="0.25">
      <c r="A787" s="1268" t="s">
        <v>232</v>
      </c>
      <c r="B787" s="793" t="str">
        <f>B755</f>
        <v>2012/13</v>
      </c>
      <c r="C787" s="793" t="str">
        <f t="shared" ref="C787:O787" si="954">C755</f>
        <v>2013/14</v>
      </c>
      <c r="D787" s="793" t="str">
        <f t="shared" si="954"/>
        <v>2014/15</v>
      </c>
      <c r="E787" s="793" t="str">
        <f t="shared" si="954"/>
        <v>2015/16</v>
      </c>
      <c r="F787" s="793" t="str">
        <f t="shared" si="954"/>
        <v>2016/17</v>
      </c>
      <c r="G787" s="793" t="str">
        <f t="shared" si="954"/>
        <v>2017/18</v>
      </c>
      <c r="H787" s="793" t="str">
        <f t="shared" si="954"/>
        <v>2018/19</v>
      </c>
      <c r="I787" s="793" t="str">
        <f t="shared" si="954"/>
        <v>2019/20</v>
      </c>
      <c r="J787" s="793" t="str">
        <f t="shared" si="954"/>
        <v>2020/21</v>
      </c>
      <c r="K787" s="793" t="str">
        <f t="shared" si="954"/>
        <v>2021/22</v>
      </c>
      <c r="L787" s="793" t="str">
        <f t="shared" si="954"/>
        <v>2022/23</v>
      </c>
      <c r="M787" s="1641" t="str">
        <f t="shared" si="954"/>
        <v>2023/24</v>
      </c>
      <c r="N787" s="1641" t="str">
        <f t="shared" si="954"/>
        <v>2024/25</v>
      </c>
      <c r="O787" s="1641" t="str">
        <f t="shared" si="954"/>
        <v>2025/26</v>
      </c>
      <c r="P787" s="794" t="str">
        <f t="shared" ref="P787" si="955">P755</f>
        <v>2026/27</v>
      </c>
    </row>
    <row r="788" spans="1:16" ht="13.5" thickTop="1" x14ac:dyDescent="0.2">
      <c r="A788" s="1881"/>
      <c r="B788" s="1908"/>
      <c r="C788" s="1908"/>
      <c r="D788" s="1908"/>
      <c r="E788" s="1908"/>
      <c r="F788" s="2582"/>
      <c r="G788" s="1908"/>
      <c r="H788" s="1908"/>
      <c r="I788" s="1908"/>
      <c r="J788" s="1908"/>
      <c r="K788" s="1908"/>
      <c r="L788" s="1908"/>
      <c r="M788" s="1908"/>
      <c r="N788" s="2142"/>
      <c r="O788" s="2142"/>
      <c r="P788" s="1899"/>
    </row>
    <row r="789" spans="1:16" x14ac:dyDescent="0.2">
      <c r="A789" s="1225" t="s">
        <v>5149</v>
      </c>
      <c r="B789" s="1909"/>
      <c r="C789" s="1909" t="str">
        <f t="shared" ref="C789:O789" si="956">C2</f>
        <v>2013/14</v>
      </c>
      <c r="D789" s="1909" t="str">
        <f t="shared" si="956"/>
        <v>2014/15</v>
      </c>
      <c r="E789" s="1909" t="str">
        <f t="shared" si="956"/>
        <v>2015/16</v>
      </c>
      <c r="F789" s="898" t="str">
        <f t="shared" si="956"/>
        <v>2016/17</v>
      </c>
      <c r="G789" s="1909" t="str">
        <f t="shared" si="956"/>
        <v>2017/18</v>
      </c>
      <c r="H789" s="1909" t="str">
        <f t="shared" si="956"/>
        <v>2018/19</v>
      </c>
      <c r="I789" s="1909" t="str">
        <f t="shared" si="956"/>
        <v>2019/20</v>
      </c>
      <c r="J789" s="1909" t="str">
        <f t="shared" si="956"/>
        <v>2020/21</v>
      </c>
      <c r="K789" s="1909" t="str">
        <f t="shared" si="956"/>
        <v>2021/22</v>
      </c>
      <c r="L789" s="1909" t="str">
        <f t="shared" si="956"/>
        <v>2022/23</v>
      </c>
      <c r="M789" s="1909" t="str">
        <f t="shared" si="956"/>
        <v>2023/24</v>
      </c>
      <c r="N789" s="2143" t="str">
        <f t="shared" si="956"/>
        <v>2024/25</v>
      </c>
      <c r="O789" s="2143" t="str">
        <f t="shared" si="956"/>
        <v>2025/26</v>
      </c>
      <c r="P789" s="1900" t="str">
        <f t="shared" ref="P789" si="957">P2</f>
        <v>2026/27</v>
      </c>
    </row>
    <row r="790" spans="1:16" x14ac:dyDescent="0.2">
      <c r="A790" s="1901" t="s">
        <v>4808</v>
      </c>
      <c r="B790" s="442"/>
      <c r="C790" s="1910">
        <f t="shared" ref="C790:O790" si="958">C316</f>
        <v>-0.18079800498753118</v>
      </c>
      <c r="D790" s="1910">
        <f t="shared" si="958"/>
        <v>-6.4196924409068518E-2</v>
      </c>
      <c r="E790" s="1910">
        <f t="shared" si="958"/>
        <v>-5.5954879328436548E-2</v>
      </c>
      <c r="F790" s="2583">
        <f t="shared" si="958"/>
        <v>-3.0527652264834386E-3</v>
      </c>
      <c r="G790" s="1910">
        <f t="shared" si="958"/>
        <v>-6.5152473128739161E-3</v>
      </c>
      <c r="H790" s="1910">
        <f t="shared" si="958"/>
        <v>7.3106951013433234E-3</v>
      </c>
      <c r="I790" s="1910">
        <f t="shared" si="958"/>
        <v>1.684475692341969E-2</v>
      </c>
      <c r="J790" s="1910">
        <f t="shared" si="958"/>
        <v>2.071639710525907E-2</v>
      </c>
      <c r="K790" s="1910">
        <f t="shared" si="958"/>
        <v>2.2145463424129163E-2</v>
      </c>
      <c r="L790" s="1910">
        <f t="shared" si="958"/>
        <v>3.028898343368407E-2</v>
      </c>
      <c r="M790" s="1910">
        <f t="shared" si="958"/>
        <v>3.5779495179132599E-2</v>
      </c>
      <c r="N790" s="2144">
        <f t="shared" si="958"/>
        <v>3.6756938442331702E-2</v>
      </c>
      <c r="O790" s="2144">
        <f t="shared" si="958"/>
        <v>4.5141368508238786E-2</v>
      </c>
      <c r="P790" s="1902">
        <f t="shared" ref="P790" si="959">P316</f>
        <v>5.1854386408604687E-2</v>
      </c>
    </row>
    <row r="791" spans="1:16" ht="24" x14ac:dyDescent="0.2">
      <c r="A791" s="1901" t="s">
        <v>4809</v>
      </c>
      <c r="B791" s="442"/>
      <c r="C791" s="1911">
        <f t="shared" ref="C791:O791" si="960">C372</f>
        <v>0.71515857879494238</v>
      </c>
      <c r="D791" s="1911">
        <f t="shared" si="960"/>
        <v>0.66622211843948764</v>
      </c>
      <c r="E791" s="1911">
        <f t="shared" si="960"/>
        <v>0.66318371038055313</v>
      </c>
      <c r="F791" s="2584">
        <f t="shared" si="960"/>
        <v>0.66373738040453323</v>
      </c>
      <c r="G791" s="1911">
        <f t="shared" si="960"/>
        <v>0.63884392425810776</v>
      </c>
      <c r="H791" s="1911">
        <f t="shared" si="960"/>
        <v>0.72467692229648317</v>
      </c>
      <c r="I791" s="1911">
        <f t="shared" si="960"/>
        <v>0.76149907051211485</v>
      </c>
      <c r="J791" s="1911">
        <f t="shared" si="960"/>
        <v>0.69800558481656383</v>
      </c>
      <c r="K791" s="1911">
        <f t="shared" si="960"/>
        <v>0.70254683531087758</v>
      </c>
      <c r="L791" s="1911">
        <f t="shared" si="960"/>
        <v>0.81147664254159224</v>
      </c>
      <c r="M791" s="1911">
        <f t="shared" si="960"/>
        <v>0.81507850874876453</v>
      </c>
      <c r="N791" s="2145">
        <f t="shared" si="960"/>
        <v>0.81404801181536113</v>
      </c>
      <c r="O791" s="2145">
        <f t="shared" si="960"/>
        <v>0.81710408942758928</v>
      </c>
      <c r="P791" s="1903">
        <f t="shared" ref="P791" si="961">P372</f>
        <v>0.8199647968885887</v>
      </c>
    </row>
    <row r="792" spans="1:16" x14ac:dyDescent="0.2">
      <c r="A792" s="1901" t="s">
        <v>4810</v>
      </c>
      <c r="B792" s="442"/>
      <c r="C792" s="1911">
        <f t="shared" ref="C792:O792" si="962">C688</f>
        <v>0.75199497329563303</v>
      </c>
      <c r="D792" s="1911">
        <f t="shared" si="962"/>
        <v>0.77162759460852459</v>
      </c>
      <c r="E792" s="1911">
        <f t="shared" si="962"/>
        <v>0.95139141964348029</v>
      </c>
      <c r="F792" s="2584">
        <f t="shared" si="962"/>
        <v>2.3699500526655566</v>
      </c>
      <c r="G792" s="1911">
        <f t="shared" si="962"/>
        <v>1.2423389100546629</v>
      </c>
      <c r="H792" s="1911">
        <f t="shared" si="962"/>
        <v>0.5987321916589855</v>
      </c>
      <c r="I792" s="1911">
        <f t="shared" si="962"/>
        <v>0.65119024198308084</v>
      </c>
      <c r="J792" s="1911">
        <f t="shared" si="962"/>
        <v>2.0691224686595948</v>
      </c>
      <c r="K792" s="1911">
        <f t="shared" si="962"/>
        <v>1.6052697255477322</v>
      </c>
      <c r="L792" s="1911">
        <f t="shared" si="962"/>
        <v>0.86215460806773281</v>
      </c>
      <c r="M792" s="1911">
        <f t="shared" si="962"/>
        <v>0.83385420452067738</v>
      </c>
      <c r="N792" s="2145">
        <f t="shared" si="962"/>
        <v>0.9035852713178294</v>
      </c>
      <c r="O792" s="2145">
        <f t="shared" si="962"/>
        <v>1.1002926570324996</v>
      </c>
      <c r="P792" s="1903">
        <f t="shared" ref="P792" si="963">P688</f>
        <v>1.1079461809716182</v>
      </c>
    </row>
    <row r="793" spans="1:16" x14ac:dyDescent="0.2">
      <c r="A793" s="1901" t="s">
        <v>4811</v>
      </c>
      <c r="B793" s="442"/>
      <c r="C793" s="1911">
        <f t="shared" ref="C793:O793" si="964">C211</f>
        <v>2.6816138439679153E-3</v>
      </c>
      <c r="D793" s="1911">
        <f t="shared" si="964"/>
        <v>4.6253410215790986E-3</v>
      </c>
      <c r="E793" s="1911">
        <f t="shared" si="964"/>
        <v>4.58017167566524E-3</v>
      </c>
      <c r="F793" s="2584">
        <f t="shared" si="964"/>
        <v>4.5352680317861695E-3</v>
      </c>
      <c r="G793" s="1911">
        <f t="shared" si="964"/>
        <v>4.4905855881232516E-3</v>
      </c>
      <c r="H793" s="1911">
        <f t="shared" si="964"/>
        <v>4.4467749970196107E-3</v>
      </c>
      <c r="I793" s="1911">
        <f t="shared" si="964"/>
        <v>4.4033918263169805E-3</v>
      </c>
      <c r="J793" s="1911">
        <f t="shared" si="964"/>
        <v>4.3604319060602291E-3</v>
      </c>
      <c r="K793" s="1911">
        <f t="shared" si="964"/>
        <v>4.3176825736478738E-3</v>
      </c>
      <c r="L793" s="1911">
        <f t="shared" si="964"/>
        <v>4.2753523523376006E-3</v>
      </c>
      <c r="M793" s="1911">
        <f t="shared" si="964"/>
        <v>4.2334371331970355E-3</v>
      </c>
      <c r="N793" s="2145">
        <f t="shared" si="964"/>
        <v>4.1919328475774568E-3</v>
      </c>
      <c r="O793" s="2145">
        <f t="shared" si="964"/>
        <v>4.150835466718854E-3</v>
      </c>
      <c r="P793" s="1903">
        <f t="shared" ref="P793" si="965">P211</f>
        <v>4.1101410013588647E-3</v>
      </c>
    </row>
    <row r="794" spans="1:16" x14ac:dyDescent="0.2">
      <c r="A794" s="1901" t="s">
        <v>4812</v>
      </c>
      <c r="B794" s="442"/>
      <c r="C794" s="1911">
        <f t="shared" ref="C794:O794" si="966">C215</f>
        <v>0.77068477645727251</v>
      </c>
      <c r="D794" s="1911">
        <f t="shared" si="966"/>
        <v>0.98656171174547491</v>
      </c>
      <c r="E794" s="1911">
        <f t="shared" si="966"/>
        <v>1.0988267861850778</v>
      </c>
      <c r="F794" s="2584">
        <f t="shared" si="966"/>
        <v>1.0536566327031736</v>
      </c>
      <c r="G794" s="1911">
        <f t="shared" si="966"/>
        <v>1.0759779060946633</v>
      </c>
      <c r="H794" s="1911">
        <f t="shared" si="966"/>
        <v>1.059461092993506</v>
      </c>
      <c r="I794" s="1911">
        <f t="shared" si="966"/>
        <v>1.0827032553786635</v>
      </c>
      <c r="J794" s="1911">
        <f t="shared" si="966"/>
        <v>1.0575136886477505</v>
      </c>
      <c r="K794" s="1911">
        <f t="shared" si="966"/>
        <v>1.0808847525036018</v>
      </c>
      <c r="L794" s="1911">
        <f t="shared" si="966"/>
        <v>1.0568725464261091</v>
      </c>
      <c r="M794" s="1911">
        <f t="shared" si="966"/>
        <v>1.0796464892749416</v>
      </c>
      <c r="N794" s="2145">
        <f t="shared" si="966"/>
        <v>1.0561066225342253</v>
      </c>
      <c r="O794" s="2145">
        <f t="shared" si="966"/>
        <v>1.0784380783328782</v>
      </c>
      <c r="P794" s="1903">
        <f t="shared" ref="P794" si="967">P215</f>
        <v>1.0553184199092078</v>
      </c>
    </row>
    <row r="795" spans="1:16" ht="24" x14ac:dyDescent="0.2">
      <c r="A795" s="1901" t="s">
        <v>4813</v>
      </c>
      <c r="B795" s="442"/>
      <c r="C795" s="1912">
        <f t="shared" ref="C795:O795" si="968">C220</f>
        <v>1.0752248538768596</v>
      </c>
      <c r="D795" s="1912">
        <f t="shared" si="968"/>
        <v>0.97953645097714515</v>
      </c>
      <c r="E795" s="1912">
        <f t="shared" si="968"/>
        <v>0.97210897481145608</v>
      </c>
      <c r="F795" s="2585">
        <f t="shared" si="968"/>
        <v>0.96972853938951031</v>
      </c>
      <c r="G795" s="1912">
        <f t="shared" si="968"/>
        <v>0.91221648944652634</v>
      </c>
      <c r="H795" s="1912">
        <f t="shared" si="968"/>
        <v>0.89618708987924822</v>
      </c>
      <c r="I795" s="1912">
        <f t="shared" si="968"/>
        <v>0.90164117469531757</v>
      </c>
      <c r="J795" s="1912">
        <f t="shared" si="968"/>
        <v>0.88188688020058303</v>
      </c>
      <c r="K795" s="1912">
        <f t="shared" si="968"/>
        <v>0.88649877804843003</v>
      </c>
      <c r="L795" s="1912">
        <f t="shared" si="968"/>
        <v>0.86532051862230597</v>
      </c>
      <c r="M795" s="1912">
        <f t="shared" si="968"/>
        <v>0.86909489963500863</v>
      </c>
      <c r="N795" s="2146">
        <f t="shared" si="968"/>
        <v>0.8547233928286857</v>
      </c>
      <c r="O795" s="2146">
        <f t="shared" si="968"/>
        <v>0.85434884085977092</v>
      </c>
      <c r="P795" s="1904">
        <f t="shared" ref="P795" si="969">P220</f>
        <v>0.85465308237540394</v>
      </c>
    </row>
    <row r="796" spans="1:16" x14ac:dyDescent="0.2">
      <c r="A796" s="1901" t="s">
        <v>4404</v>
      </c>
      <c r="B796" s="442"/>
      <c r="C796" s="1911">
        <f t="shared" ref="C796:O796" si="970">C487</f>
        <v>0.10861442884018024</v>
      </c>
      <c r="D796" s="1911">
        <f t="shared" si="970"/>
        <v>0.10324127652842881</v>
      </c>
      <c r="E796" s="1911">
        <f t="shared" si="970"/>
        <v>0.10338203244813947</v>
      </c>
      <c r="F796" s="2584">
        <f t="shared" si="970"/>
        <v>9.0526158557078296E-2</v>
      </c>
      <c r="G796" s="1911">
        <f t="shared" si="970"/>
        <v>9.0279655658771468E-2</v>
      </c>
      <c r="H796" s="1911">
        <f t="shared" si="970"/>
        <v>8.3716144137000001E-2</v>
      </c>
      <c r="I796" s="1911">
        <f t="shared" si="970"/>
        <v>7.9809110722608628E-2</v>
      </c>
      <c r="J796" s="1911">
        <f t="shared" si="970"/>
        <v>7.0680929274846482E-2</v>
      </c>
      <c r="K796" s="1911">
        <f t="shared" si="970"/>
        <v>7.9931975692920779E-2</v>
      </c>
      <c r="L796" s="1911">
        <f t="shared" si="970"/>
        <v>6.8395892470653294E-2</v>
      </c>
      <c r="M796" s="1911">
        <f t="shared" si="970"/>
        <v>5.1967426308671724E-2</v>
      </c>
      <c r="N796" s="2145">
        <f t="shared" si="970"/>
        <v>4.5401581356637535E-2</v>
      </c>
      <c r="O796" s="2145">
        <f t="shared" si="970"/>
        <v>3.2885472305468878E-2</v>
      </c>
      <c r="P796" s="1903">
        <f t="shared" ref="P796" si="971">P487</f>
        <v>3.084693315877951E-2</v>
      </c>
    </row>
    <row r="797" spans="1:16" x14ac:dyDescent="0.2">
      <c r="A797" s="1901" t="s">
        <v>4403</v>
      </c>
      <c r="B797" s="442"/>
      <c r="C797" s="1912">
        <f t="shared" ref="C797:O797" si="972">C271</f>
        <v>1.97</v>
      </c>
      <c r="D797" s="1912">
        <f t="shared" si="972"/>
        <v>2.76</v>
      </c>
      <c r="E797" s="1912">
        <f t="shared" si="972"/>
        <v>3.05</v>
      </c>
      <c r="F797" s="2585">
        <f t="shared" si="972"/>
        <v>2.4900000000000002</v>
      </c>
      <c r="G797" s="1912">
        <f t="shared" si="972"/>
        <v>2.5499999999999998</v>
      </c>
      <c r="H797" s="1912">
        <f t="shared" si="972"/>
        <v>2.71</v>
      </c>
      <c r="I797" s="1912">
        <f t="shared" si="972"/>
        <v>2.68</v>
      </c>
      <c r="J797" s="1912">
        <f t="shared" si="972"/>
        <v>2.4500000000000002</v>
      </c>
      <c r="K797" s="1912">
        <f t="shared" si="972"/>
        <v>2.64</v>
      </c>
      <c r="L797" s="1912">
        <f t="shared" si="972"/>
        <v>2.92</v>
      </c>
      <c r="M797" s="1912">
        <f t="shared" si="972"/>
        <v>3.02</v>
      </c>
      <c r="N797" s="2146">
        <f t="shared" si="972"/>
        <v>3.36</v>
      </c>
      <c r="O797" s="2146">
        <f t="shared" si="972"/>
        <v>3.31</v>
      </c>
      <c r="P797" s="1904">
        <f t="shared" ref="P797" si="973">P271</f>
        <v>3.93</v>
      </c>
    </row>
    <row r="798" spans="1:16" x14ac:dyDescent="0.2">
      <c r="A798" s="469"/>
      <c r="B798" s="442"/>
      <c r="C798" s="1913"/>
      <c r="D798" s="1913"/>
      <c r="E798" s="1913"/>
      <c r="F798" s="2324"/>
      <c r="G798" s="1913"/>
      <c r="H798" s="1913"/>
      <c r="I798" s="1913"/>
      <c r="J798" s="1913"/>
      <c r="K798" s="1913"/>
      <c r="L798" s="1913"/>
      <c r="M798" s="1913"/>
      <c r="N798" s="2147"/>
      <c r="O798" s="2147"/>
      <c r="P798" s="1905"/>
    </row>
    <row r="799" spans="1:16" x14ac:dyDescent="0.2">
      <c r="A799" s="1901" t="s">
        <v>4811</v>
      </c>
      <c r="B799" s="442"/>
      <c r="C799" s="1911">
        <f t="shared" ref="C799:N799" si="974">C793</f>
        <v>2.6816138439679153E-3</v>
      </c>
      <c r="D799" s="1911">
        <f t="shared" si="974"/>
        <v>4.6253410215790986E-3</v>
      </c>
      <c r="E799" s="1911">
        <f t="shared" si="974"/>
        <v>4.58017167566524E-3</v>
      </c>
      <c r="F799" s="2584">
        <f t="shared" si="974"/>
        <v>4.5352680317861695E-3</v>
      </c>
      <c r="G799" s="1911">
        <f t="shared" si="974"/>
        <v>4.4905855881232516E-3</v>
      </c>
      <c r="H799" s="1911">
        <f t="shared" si="974"/>
        <v>4.4467749970196107E-3</v>
      </c>
      <c r="I799" s="1911">
        <f t="shared" si="974"/>
        <v>4.4033918263169805E-3</v>
      </c>
      <c r="J799" s="1911">
        <f t="shared" si="974"/>
        <v>4.3604319060602291E-3</v>
      </c>
      <c r="K799" s="1911">
        <f t="shared" si="974"/>
        <v>4.3176825736478738E-3</v>
      </c>
      <c r="L799" s="1911">
        <f t="shared" si="974"/>
        <v>4.2753523523376006E-3</v>
      </c>
      <c r="M799" s="1911">
        <f t="shared" si="974"/>
        <v>4.2334371331970355E-3</v>
      </c>
      <c r="N799" s="2145">
        <f t="shared" si="974"/>
        <v>4.1919328475774568E-3</v>
      </c>
      <c r="O799" s="2145">
        <f t="shared" ref="O799" si="975">O793</f>
        <v>4.150835466718854E-3</v>
      </c>
      <c r="P799" s="1903">
        <f t="shared" ref="P799" si="976">P793</f>
        <v>4.1101410013588647E-3</v>
      </c>
    </row>
    <row r="800" spans="1:16" x14ac:dyDescent="0.2">
      <c r="A800" s="1901" t="s">
        <v>4812</v>
      </c>
      <c r="B800" s="442"/>
      <c r="C800" s="1911">
        <f t="shared" ref="C800:N800" si="977">C794</f>
        <v>0.77068477645727251</v>
      </c>
      <c r="D800" s="1911">
        <f t="shared" si="977"/>
        <v>0.98656171174547491</v>
      </c>
      <c r="E800" s="1911">
        <f t="shared" si="977"/>
        <v>1.0988267861850778</v>
      </c>
      <c r="F800" s="2584">
        <f t="shared" si="977"/>
        <v>1.0536566327031736</v>
      </c>
      <c r="G800" s="1911">
        <f t="shared" si="977"/>
        <v>1.0759779060946633</v>
      </c>
      <c r="H800" s="1911">
        <f t="shared" si="977"/>
        <v>1.059461092993506</v>
      </c>
      <c r="I800" s="1911">
        <f t="shared" si="977"/>
        <v>1.0827032553786635</v>
      </c>
      <c r="J800" s="1911">
        <f t="shared" si="977"/>
        <v>1.0575136886477505</v>
      </c>
      <c r="K800" s="1911">
        <f t="shared" si="977"/>
        <v>1.0808847525036018</v>
      </c>
      <c r="L800" s="1911">
        <f t="shared" si="977"/>
        <v>1.0568725464261091</v>
      </c>
      <c r="M800" s="1911">
        <f t="shared" si="977"/>
        <v>1.0796464892749416</v>
      </c>
      <c r="N800" s="2145">
        <f t="shared" si="977"/>
        <v>1.0561066225342253</v>
      </c>
      <c r="O800" s="2145">
        <f t="shared" ref="O800" si="978">O794</f>
        <v>1.0784380783328782</v>
      </c>
      <c r="P800" s="1903">
        <f t="shared" ref="P800" si="979">P794</f>
        <v>1.0553184199092078</v>
      </c>
    </row>
    <row r="801" spans="1:16" x14ac:dyDescent="0.2">
      <c r="A801" s="1901" t="s">
        <v>4404</v>
      </c>
      <c r="B801" s="442"/>
      <c r="C801" s="1911">
        <f t="shared" ref="C801:N801" si="980">C796</f>
        <v>0.10861442884018024</v>
      </c>
      <c r="D801" s="1911">
        <f t="shared" si="980"/>
        <v>0.10324127652842881</v>
      </c>
      <c r="E801" s="1911">
        <f t="shared" si="980"/>
        <v>0.10338203244813947</v>
      </c>
      <c r="F801" s="2584">
        <f t="shared" si="980"/>
        <v>9.0526158557078296E-2</v>
      </c>
      <c r="G801" s="1911">
        <f t="shared" si="980"/>
        <v>9.0279655658771468E-2</v>
      </c>
      <c r="H801" s="1911">
        <f t="shared" si="980"/>
        <v>8.3716144137000001E-2</v>
      </c>
      <c r="I801" s="1911">
        <f t="shared" si="980"/>
        <v>7.9809110722608628E-2</v>
      </c>
      <c r="J801" s="1911">
        <f t="shared" si="980"/>
        <v>7.0680929274846482E-2</v>
      </c>
      <c r="K801" s="1911">
        <f t="shared" si="980"/>
        <v>7.9931975692920779E-2</v>
      </c>
      <c r="L801" s="1911">
        <f t="shared" si="980"/>
        <v>6.8395892470653294E-2</v>
      </c>
      <c r="M801" s="1911">
        <f t="shared" si="980"/>
        <v>5.1967426308671724E-2</v>
      </c>
      <c r="N801" s="2145">
        <f t="shared" si="980"/>
        <v>4.5401581356637535E-2</v>
      </c>
      <c r="O801" s="2145">
        <f t="shared" ref="O801" si="981">O796</f>
        <v>3.2885472305468878E-2</v>
      </c>
      <c r="P801" s="1903">
        <f t="shared" ref="P801" si="982">P796</f>
        <v>3.084693315877951E-2</v>
      </c>
    </row>
    <row r="802" spans="1:16" ht="24" x14ac:dyDescent="0.2">
      <c r="A802" s="1901" t="s">
        <v>4809</v>
      </c>
      <c r="B802" s="442"/>
      <c r="C802" s="1911">
        <f t="shared" ref="C802:N802" si="983">C791</f>
        <v>0.71515857879494238</v>
      </c>
      <c r="D802" s="1911">
        <f t="shared" si="983"/>
        <v>0.66622211843948764</v>
      </c>
      <c r="E802" s="1911">
        <f t="shared" si="983"/>
        <v>0.66318371038055313</v>
      </c>
      <c r="F802" s="2584">
        <f t="shared" si="983"/>
        <v>0.66373738040453323</v>
      </c>
      <c r="G802" s="1911">
        <f t="shared" si="983"/>
        <v>0.63884392425810776</v>
      </c>
      <c r="H802" s="1911">
        <f t="shared" si="983"/>
        <v>0.72467692229648317</v>
      </c>
      <c r="I802" s="1911">
        <f t="shared" si="983"/>
        <v>0.76149907051211485</v>
      </c>
      <c r="J802" s="1911">
        <f t="shared" si="983"/>
        <v>0.69800558481656383</v>
      </c>
      <c r="K802" s="1911">
        <f t="shared" si="983"/>
        <v>0.70254683531087758</v>
      </c>
      <c r="L802" s="1911">
        <f t="shared" si="983"/>
        <v>0.81147664254159224</v>
      </c>
      <c r="M802" s="1911">
        <f t="shared" si="983"/>
        <v>0.81507850874876453</v>
      </c>
      <c r="N802" s="2145">
        <f t="shared" si="983"/>
        <v>0.81404801181536113</v>
      </c>
      <c r="O802" s="2145">
        <f t="shared" ref="O802" si="984">O791</f>
        <v>0.81710408942758928</v>
      </c>
      <c r="P802" s="1903">
        <f t="shared" ref="P802" si="985">P791</f>
        <v>0.8199647968885887</v>
      </c>
    </row>
    <row r="803" spans="1:16" x14ac:dyDescent="0.2">
      <c r="A803" s="1901" t="s">
        <v>4810</v>
      </c>
      <c r="B803" s="442"/>
      <c r="C803" s="1911">
        <f t="shared" ref="C803:N803" si="986">C792</f>
        <v>0.75199497329563303</v>
      </c>
      <c r="D803" s="1911">
        <f t="shared" si="986"/>
        <v>0.77162759460852459</v>
      </c>
      <c r="E803" s="1911">
        <f t="shared" si="986"/>
        <v>0.95139141964348029</v>
      </c>
      <c r="F803" s="2584">
        <f t="shared" si="986"/>
        <v>2.3699500526655566</v>
      </c>
      <c r="G803" s="1911">
        <f t="shared" si="986"/>
        <v>1.2423389100546629</v>
      </c>
      <c r="H803" s="1911">
        <f t="shared" si="986"/>
        <v>0.5987321916589855</v>
      </c>
      <c r="I803" s="1911">
        <f t="shared" si="986"/>
        <v>0.65119024198308084</v>
      </c>
      <c r="J803" s="1911">
        <f t="shared" si="986"/>
        <v>2.0691224686595948</v>
      </c>
      <c r="K803" s="1911">
        <f t="shared" si="986"/>
        <v>1.6052697255477322</v>
      </c>
      <c r="L803" s="1911">
        <f t="shared" si="986"/>
        <v>0.86215460806773281</v>
      </c>
      <c r="M803" s="1911">
        <f t="shared" si="986"/>
        <v>0.83385420452067738</v>
      </c>
      <c r="N803" s="2145">
        <f t="shared" si="986"/>
        <v>0.9035852713178294</v>
      </c>
      <c r="O803" s="2145">
        <f t="shared" ref="O803" si="987">O792</f>
        <v>1.1002926570324996</v>
      </c>
      <c r="P803" s="1903">
        <f t="shared" ref="P803" si="988">P792</f>
        <v>1.1079461809716182</v>
      </c>
    </row>
    <row r="804" spans="1:16" ht="24" x14ac:dyDescent="0.2">
      <c r="A804" s="1901" t="s">
        <v>4813</v>
      </c>
      <c r="B804" s="442"/>
      <c r="C804" s="1912">
        <f t="shared" ref="C804:N804" si="989">C795</f>
        <v>1.0752248538768596</v>
      </c>
      <c r="D804" s="1912">
        <f t="shared" si="989"/>
        <v>0.97953645097714515</v>
      </c>
      <c r="E804" s="1912">
        <f t="shared" si="989"/>
        <v>0.97210897481145608</v>
      </c>
      <c r="F804" s="2585">
        <f t="shared" si="989"/>
        <v>0.96972853938951031</v>
      </c>
      <c r="G804" s="1912">
        <f t="shared" si="989"/>
        <v>0.91221648944652634</v>
      </c>
      <c r="H804" s="1912">
        <f t="shared" si="989"/>
        <v>0.89618708987924822</v>
      </c>
      <c r="I804" s="1912">
        <f t="shared" si="989"/>
        <v>0.90164117469531757</v>
      </c>
      <c r="J804" s="1912">
        <f t="shared" si="989"/>
        <v>0.88188688020058303</v>
      </c>
      <c r="K804" s="1912">
        <f t="shared" si="989"/>
        <v>0.88649877804843003</v>
      </c>
      <c r="L804" s="1912">
        <f t="shared" si="989"/>
        <v>0.86532051862230597</v>
      </c>
      <c r="M804" s="1912">
        <f t="shared" si="989"/>
        <v>0.86909489963500863</v>
      </c>
      <c r="N804" s="2146">
        <f t="shared" si="989"/>
        <v>0.8547233928286857</v>
      </c>
      <c r="O804" s="2146">
        <f t="shared" ref="O804" si="990">O795</f>
        <v>0.85434884085977092</v>
      </c>
      <c r="P804" s="1904">
        <f t="shared" ref="P804" si="991">P795</f>
        <v>0.85465308237540394</v>
      </c>
    </row>
    <row r="805" spans="1:16" x14ac:dyDescent="0.2">
      <c r="A805" s="1901" t="s">
        <v>4808</v>
      </c>
      <c r="B805" s="442"/>
      <c r="C805" s="1910">
        <f>C790</f>
        <v>-0.18079800498753118</v>
      </c>
      <c r="D805" s="1910">
        <f t="shared" ref="D805:N805" si="992">D790</f>
        <v>-6.4196924409068518E-2</v>
      </c>
      <c r="E805" s="1910">
        <f t="shared" si="992"/>
        <v>-5.5954879328436548E-2</v>
      </c>
      <c r="F805" s="2583">
        <f t="shared" si="992"/>
        <v>-3.0527652264834386E-3</v>
      </c>
      <c r="G805" s="1910">
        <f t="shared" si="992"/>
        <v>-6.5152473128739161E-3</v>
      </c>
      <c r="H805" s="1910">
        <f t="shared" si="992"/>
        <v>7.3106951013433234E-3</v>
      </c>
      <c r="I805" s="1910">
        <f t="shared" si="992"/>
        <v>1.684475692341969E-2</v>
      </c>
      <c r="J805" s="1910">
        <f t="shared" si="992"/>
        <v>2.071639710525907E-2</v>
      </c>
      <c r="K805" s="1910">
        <f t="shared" si="992"/>
        <v>2.2145463424129163E-2</v>
      </c>
      <c r="L805" s="1910">
        <f t="shared" si="992"/>
        <v>3.028898343368407E-2</v>
      </c>
      <c r="M805" s="1910">
        <f t="shared" si="992"/>
        <v>3.5779495179132599E-2</v>
      </c>
      <c r="N805" s="2144">
        <f t="shared" si="992"/>
        <v>3.6756938442331702E-2</v>
      </c>
      <c r="O805" s="2144">
        <f t="shared" ref="O805" si="993">O790</f>
        <v>4.5141368508238786E-2</v>
      </c>
      <c r="P805" s="1902">
        <f t="shared" ref="P805" si="994">P790</f>
        <v>5.1854386408604687E-2</v>
      </c>
    </row>
    <row r="806" spans="1:16" x14ac:dyDescent="0.2">
      <c r="A806" s="1906" t="s">
        <v>3808</v>
      </c>
      <c r="B806" s="442"/>
      <c r="C806" s="442"/>
      <c r="D806" s="442"/>
      <c r="E806" s="442"/>
      <c r="F806" s="764"/>
      <c r="G806" s="442"/>
      <c r="H806" s="442"/>
      <c r="I806" s="442"/>
      <c r="J806" s="442"/>
      <c r="K806" s="442"/>
      <c r="L806" s="442"/>
      <c r="M806" s="442"/>
      <c r="N806" s="444"/>
      <c r="O806" s="444"/>
      <c r="P806" s="760"/>
    </row>
    <row r="807" spans="1:16" x14ac:dyDescent="0.2">
      <c r="A807" s="1901" t="s">
        <v>4858</v>
      </c>
      <c r="B807" s="231"/>
      <c r="C807" s="231">
        <f>LTFP!A187/1000</f>
        <v>46105</v>
      </c>
      <c r="D807" s="231">
        <f>LTFP!B187/1000</f>
        <v>49178.400000000001</v>
      </c>
      <c r="E807" s="231">
        <f>LTFP!C187/1000</f>
        <v>50716</v>
      </c>
      <c r="F807" s="101">
        <f>LTFP!E187/1000</f>
        <v>54741</v>
      </c>
      <c r="G807" s="231">
        <f>LTFP!G187/1000</f>
        <v>51961.5</v>
      </c>
      <c r="H807" s="231">
        <f>LTFP!H187/1000</f>
        <v>54184.5</v>
      </c>
      <c r="I807" s="231">
        <f>LTFP!I187/1000</f>
        <v>56242.3</v>
      </c>
      <c r="J807" s="231">
        <f>LTFP!J187/1000</f>
        <v>57796.1</v>
      </c>
      <c r="K807" s="231">
        <f>LTFP!K187/1000</f>
        <v>59181.3</v>
      </c>
      <c r="L807" s="231">
        <f>LTFP!L187/1000</f>
        <v>60628.2</v>
      </c>
      <c r="M807" s="231">
        <f>LTFP!M187/1000</f>
        <v>62308.4</v>
      </c>
      <c r="N807" s="233">
        <f>LTFP!N187/1000</f>
        <v>63821</v>
      </c>
      <c r="O807" s="233">
        <f>LTFP!O187/1000</f>
        <v>65499.1</v>
      </c>
      <c r="P807" s="88">
        <f>LTFP!P187/1000</f>
        <v>67219</v>
      </c>
    </row>
    <row r="808" spans="1:16" x14ac:dyDescent="0.2">
      <c r="A808" s="1901" t="s">
        <v>3826</v>
      </c>
      <c r="B808" s="231"/>
      <c r="C808" s="231">
        <f>(LTFP!A188+LTFP!A191+LTFP!A193+LTFP!A194)/1000</f>
        <v>56363.4</v>
      </c>
      <c r="D808" s="231">
        <f>(LTFP!B188+LTFP!B191+LTFP!B193+LTFP!B194)/1000</f>
        <v>53582</v>
      </c>
      <c r="E808" s="231">
        <f>(LTFP!C188+LTFP!C191+LTFP!C193+LTFP!C194)/1000</f>
        <v>54640.7</v>
      </c>
      <c r="F808" s="101">
        <f>(LTFP!E188+LTFP!E191+LTFP!E193+LTFP!E194)/1000</f>
        <v>55104.5</v>
      </c>
      <c r="G808" s="231">
        <f>(LTFP!G188+LTFP!G191+LTFP!G193+LTFP!G194)/1000</f>
        <v>52496.4</v>
      </c>
      <c r="H808" s="231">
        <f>(LTFP!H188+LTFP!H191+LTFP!H193+LTFP!H194)/1000</f>
        <v>53997.3</v>
      </c>
      <c r="I808" s="231">
        <f>(LTFP!I188+LTFP!I191+LTFP!I193+LTFP!I194)/1000</f>
        <v>55504.800000000003</v>
      </c>
      <c r="J808" s="231">
        <f>(LTFP!J188+LTFP!J191+LTFP!J193+LTFP!J194)/1000</f>
        <v>56825</v>
      </c>
      <c r="K808" s="231">
        <f>(LTFP!K188+LTFP!K191+LTFP!K193+LTFP!K194)/1000</f>
        <v>58084.3</v>
      </c>
      <c r="L808" s="231">
        <f>(LTFP!L188+LTFP!L191+LTFP!L193+LTFP!L194)/1000</f>
        <v>59031.3</v>
      </c>
      <c r="M808" s="231">
        <f>(LTFP!M188+LTFP!M191+LTFP!M193+LTFP!M194)/1000</f>
        <v>60301.9</v>
      </c>
      <c r="N808" s="233">
        <f>(LTFP!N188+LTFP!N191+LTFP!N193+LTFP!N194)/1000</f>
        <v>61724.5</v>
      </c>
      <c r="O808" s="233">
        <f>(LTFP!O188+LTFP!O191+LTFP!O193+LTFP!O194)/1000</f>
        <v>62772.4</v>
      </c>
      <c r="P808" s="88">
        <f>(LTFP!P188+LTFP!P191+LTFP!P193+LTFP!P194)/1000</f>
        <v>63933.4</v>
      </c>
    </row>
    <row r="809" spans="1:16" x14ac:dyDescent="0.2">
      <c r="A809" s="1901" t="s">
        <v>426</v>
      </c>
      <c r="B809" s="231"/>
      <c r="C809" s="231">
        <f>C807-C808</f>
        <v>-10258.400000000001</v>
      </c>
      <c r="D809" s="231">
        <f>D807-D808</f>
        <v>-4403.5999999999985</v>
      </c>
      <c r="E809" s="231">
        <f>E807-E808</f>
        <v>-3924.6999999999971</v>
      </c>
      <c r="F809" s="101">
        <f t="shared" ref="F809" si="995">F807-F808</f>
        <v>-363.5</v>
      </c>
      <c r="G809" s="231">
        <f t="shared" ref="G809" si="996">G807-G808</f>
        <v>-534.90000000000146</v>
      </c>
      <c r="H809" s="231">
        <f t="shared" ref="H809" si="997">H807-H808</f>
        <v>187.19999999999709</v>
      </c>
      <c r="I809" s="231">
        <f t="shared" ref="I809" si="998">I807-I808</f>
        <v>737.5</v>
      </c>
      <c r="J809" s="231">
        <f t="shared" ref="J809" si="999">J807-J808</f>
        <v>971.09999999999854</v>
      </c>
      <c r="K809" s="231">
        <f t="shared" ref="K809" si="1000">K807-K808</f>
        <v>1097</v>
      </c>
      <c r="L809" s="231">
        <f t="shared" ref="L809" si="1001">L807-L808</f>
        <v>1596.8999999999942</v>
      </c>
      <c r="M809" s="231">
        <f t="shared" ref="M809" si="1002">M807-M808</f>
        <v>2006.5</v>
      </c>
      <c r="N809" s="233">
        <f t="shared" ref="N809:O809" si="1003">N807-N808</f>
        <v>2096.5</v>
      </c>
      <c r="O809" s="233">
        <f t="shared" si="1003"/>
        <v>2726.6999999999971</v>
      </c>
      <c r="P809" s="88">
        <f t="shared" ref="P809" si="1004">P807-P808</f>
        <v>3285.5999999999985</v>
      </c>
    </row>
    <row r="810" spans="1:16" ht="13.5" thickBot="1" x14ac:dyDescent="0.25">
      <c r="A810" s="1901"/>
      <c r="B810" s="231"/>
      <c r="C810" s="2051"/>
      <c r="D810" s="231"/>
      <c r="E810" s="231"/>
      <c r="F810" s="101"/>
      <c r="G810" s="231"/>
      <c r="H810" s="231"/>
      <c r="I810" s="231"/>
      <c r="J810" s="231"/>
      <c r="K810" s="231"/>
      <c r="L810" s="231"/>
      <c r="M810" s="231"/>
      <c r="N810" s="233"/>
      <c r="O810" s="233"/>
      <c r="P810" s="88"/>
    </row>
    <row r="811" spans="1:16" ht="13.5" thickTop="1" x14ac:dyDescent="0.2">
      <c r="A811" s="1881"/>
      <c r="B811" s="1946"/>
      <c r="C811" s="1946"/>
      <c r="D811" s="1946"/>
      <c r="E811" s="1946"/>
      <c r="F811" s="2586"/>
      <c r="G811" s="1946"/>
      <c r="H811" s="1946"/>
      <c r="I811" s="1946"/>
      <c r="J811" s="1946"/>
      <c r="K811" s="1946"/>
      <c r="L811" s="1946"/>
      <c r="M811" s="1946"/>
      <c r="N811" s="2148"/>
      <c r="O811" s="2148"/>
      <c r="P811" s="1947"/>
    </row>
    <row r="812" spans="1:16" s="1" customFormat="1" ht="24.95" customHeight="1" x14ac:dyDescent="0.2">
      <c r="A812" s="3044" t="s">
        <v>7152</v>
      </c>
      <c r="B812" s="2823"/>
      <c r="C812" s="2823"/>
      <c r="D812" s="2824" t="str">
        <f>D789</f>
        <v>2014/15</v>
      </c>
      <c r="E812" s="2824" t="str">
        <f t="shared" ref="E812:N812" si="1005">E789</f>
        <v>2015/16</v>
      </c>
      <c r="F812" s="2825" t="str">
        <f t="shared" si="1005"/>
        <v>2016/17</v>
      </c>
      <c r="G812" s="2824" t="str">
        <f t="shared" si="1005"/>
        <v>2017/18</v>
      </c>
      <c r="H812" s="2824" t="str">
        <f t="shared" si="1005"/>
        <v>2018/19</v>
      </c>
      <c r="I812" s="2824" t="str">
        <f t="shared" si="1005"/>
        <v>2019/20</v>
      </c>
      <c r="J812" s="2824" t="str">
        <f t="shared" si="1005"/>
        <v>2020/21</v>
      </c>
      <c r="K812" s="2824" t="str">
        <f t="shared" si="1005"/>
        <v>2021/22</v>
      </c>
      <c r="L812" s="2824" t="str">
        <f t="shared" si="1005"/>
        <v>2022/23</v>
      </c>
      <c r="M812" s="2824" t="str">
        <f t="shared" si="1005"/>
        <v>2023/24</v>
      </c>
      <c r="N812" s="2824" t="str">
        <f t="shared" si="1005"/>
        <v>2024/25</v>
      </c>
      <c r="O812" s="2824" t="str">
        <f t="shared" ref="O812" si="1006">O789</f>
        <v>2025/26</v>
      </c>
      <c r="P812" s="3045" t="str">
        <f t="shared" ref="P812" si="1007">P789</f>
        <v>2026/27</v>
      </c>
    </row>
    <row r="813" spans="1:16" ht="24.95" customHeight="1" x14ac:dyDescent="0.2">
      <c r="A813" s="1901" t="s">
        <v>4811</v>
      </c>
      <c r="B813" s="2826"/>
      <c r="C813" s="2826"/>
      <c r="D813" s="2827">
        <f t="shared" ref="D813:O813" si="1008">D211</f>
        <v>4.6253410215790986E-3</v>
      </c>
      <c r="E813" s="2827">
        <f t="shared" si="1008"/>
        <v>4.58017167566524E-3</v>
      </c>
      <c r="F813" s="2800">
        <f t="shared" si="1008"/>
        <v>4.5352680317861695E-3</v>
      </c>
      <c r="G813" s="2800">
        <f t="shared" si="1008"/>
        <v>4.4905855881232516E-3</v>
      </c>
      <c r="H813" s="2800">
        <f t="shared" si="1008"/>
        <v>4.4467749970196107E-3</v>
      </c>
      <c r="I813" s="2800">
        <f t="shared" si="1008"/>
        <v>4.4033918263169805E-3</v>
      </c>
      <c r="J813" s="2800">
        <f t="shared" si="1008"/>
        <v>4.3604319060602291E-3</v>
      </c>
      <c r="K813" s="2800">
        <f t="shared" si="1008"/>
        <v>4.3176825736478738E-3</v>
      </c>
      <c r="L813" s="2800">
        <f t="shared" si="1008"/>
        <v>4.2753523523376006E-3</v>
      </c>
      <c r="M813" s="2800">
        <f t="shared" si="1008"/>
        <v>4.2334371331970355E-3</v>
      </c>
      <c r="N813" s="2800">
        <f t="shared" si="1008"/>
        <v>4.1919328475774568E-3</v>
      </c>
      <c r="O813" s="2800">
        <f t="shared" si="1008"/>
        <v>4.150835466718854E-3</v>
      </c>
      <c r="P813" s="3046">
        <f t="shared" ref="P813" si="1009">P211</f>
        <v>4.1101410013588647E-3</v>
      </c>
    </row>
    <row r="814" spans="1:16" ht="24.95" customHeight="1" x14ac:dyDescent="0.2">
      <c r="A814" s="1901" t="s">
        <v>7153</v>
      </c>
      <c r="B814" s="2826"/>
      <c r="C814" s="2826"/>
      <c r="D814" s="2828">
        <f t="shared" ref="D814:O814" si="1010">D216</f>
        <v>0.92197443845298832</v>
      </c>
      <c r="E814" s="2828">
        <f t="shared" si="1010"/>
        <v>0.95202442479594174</v>
      </c>
      <c r="F814" s="2800">
        <f t="shared" si="1010"/>
        <v>1.0463483768779087</v>
      </c>
      <c r="G814" s="2800">
        <f t="shared" si="1010"/>
        <v>1.0761537749943049</v>
      </c>
      <c r="H814" s="2800">
        <f t="shared" si="1010"/>
        <v>1.063031877263781</v>
      </c>
      <c r="I814" s="2800">
        <f t="shared" si="1010"/>
        <v>1.0727140848222776</v>
      </c>
      <c r="J814" s="2800">
        <f t="shared" si="1010"/>
        <v>1.0665593456733067</v>
      </c>
      <c r="K814" s="2800">
        <f t="shared" si="1010"/>
        <v>1.0737005655100054</v>
      </c>
      <c r="L814" s="2800">
        <f t="shared" si="1010"/>
        <v>1.0650903291924871</v>
      </c>
      <c r="M814" s="2800">
        <f t="shared" si="1010"/>
        <v>1.0724679294015509</v>
      </c>
      <c r="N814" s="2800">
        <f t="shared" si="1010"/>
        <v>1.064208552745092</v>
      </c>
      <c r="O814" s="2800">
        <f t="shared" si="1010"/>
        <v>1.0713970633806815</v>
      </c>
      <c r="P814" s="3046">
        <f t="shared" ref="P814" si="1011">P216</f>
        <v>1.0632877069254372</v>
      </c>
    </row>
    <row r="815" spans="1:16" ht="24.95" customHeight="1" x14ac:dyDescent="0.2">
      <c r="A815" s="1901" t="s">
        <v>4404</v>
      </c>
      <c r="B815" s="2826"/>
      <c r="C815" s="2826"/>
      <c r="D815" s="2829">
        <f t="shared" ref="D815:O815" si="1012">D230</f>
        <v>9.2385691300681971E-2</v>
      </c>
      <c r="E815" s="2829">
        <f t="shared" si="1012"/>
        <v>0.10507924593891617</v>
      </c>
      <c r="F815" s="2800">
        <f t="shared" si="1012"/>
        <v>9.9049822511215524E-2</v>
      </c>
      <c r="G815" s="2800">
        <f t="shared" si="1012"/>
        <v>9.4729282221329744E-2</v>
      </c>
      <c r="H815" s="2800">
        <f t="shared" si="1012"/>
        <v>8.8173986117616579E-2</v>
      </c>
      <c r="I815" s="2800">
        <f t="shared" si="1012"/>
        <v>8.4601636839460023E-2</v>
      </c>
      <c r="J815" s="2800">
        <f t="shared" si="1012"/>
        <v>7.8068728044818361E-2</v>
      </c>
      <c r="K815" s="2800">
        <f t="shared" si="1012"/>
        <v>7.680733856345863E-2</v>
      </c>
      <c r="L815" s="2800">
        <f t="shared" si="1012"/>
        <v>7.3002932479473523E-2</v>
      </c>
      <c r="M815" s="2800">
        <f t="shared" si="1012"/>
        <v>6.676509815741527E-2</v>
      </c>
      <c r="N815" s="2800">
        <f t="shared" si="1012"/>
        <v>5.525496671198752E-2</v>
      </c>
      <c r="O815" s="2800">
        <f t="shared" si="1012"/>
        <v>4.3418159990259379E-2</v>
      </c>
      <c r="P815" s="3046">
        <f t="shared" ref="P815" si="1013">P230</f>
        <v>3.6377995606961977E-2</v>
      </c>
    </row>
    <row r="816" spans="1:16" ht="24.95" customHeight="1" x14ac:dyDescent="0.2">
      <c r="A816" s="1901" t="s">
        <v>4809</v>
      </c>
      <c r="B816" s="2826"/>
      <c r="C816" s="2826"/>
      <c r="D816" s="2829">
        <f t="shared" ref="D816:O816" si="1014">D187</f>
        <v>0.60354962659035538</v>
      </c>
      <c r="E816" s="2829">
        <f t="shared" si="1014"/>
        <v>0.68152146920499435</v>
      </c>
      <c r="F816" s="2800">
        <f t="shared" si="1014"/>
        <v>0.66438106974152467</v>
      </c>
      <c r="G816" s="2800">
        <f t="shared" si="1014"/>
        <v>0.65525500501439804</v>
      </c>
      <c r="H816" s="2800">
        <f t="shared" si="1014"/>
        <v>0.67575274231970806</v>
      </c>
      <c r="I816" s="2800">
        <f t="shared" si="1014"/>
        <v>0.70833997235556856</v>
      </c>
      <c r="J816" s="2800">
        <f t="shared" si="1014"/>
        <v>0.72806052587505388</v>
      </c>
      <c r="K816" s="2800">
        <f t="shared" si="1014"/>
        <v>0.72068383021318549</v>
      </c>
      <c r="L816" s="2800">
        <f t="shared" si="1014"/>
        <v>0.73734302088967796</v>
      </c>
      <c r="M816" s="2800">
        <f t="shared" si="1014"/>
        <v>0.77636732886707815</v>
      </c>
      <c r="N816" s="2800">
        <f t="shared" si="1014"/>
        <v>0.813534387701906</v>
      </c>
      <c r="O816" s="2800">
        <f t="shared" si="1014"/>
        <v>0.81541020333057157</v>
      </c>
      <c r="P816" s="3046">
        <f t="shared" ref="P816" si="1015">P187</f>
        <v>0.8170389660438464</v>
      </c>
    </row>
    <row r="817" spans="1:18" ht="24.95" customHeight="1" x14ac:dyDescent="0.2">
      <c r="A817" s="1901" t="s">
        <v>4813</v>
      </c>
      <c r="B817" s="2826"/>
      <c r="C817" s="2826"/>
      <c r="D817" s="2830">
        <f t="shared" ref="D817:O817" si="1016">D220*100/100</f>
        <v>0.97953645097714515</v>
      </c>
      <c r="E817" s="2830">
        <f t="shared" si="1016"/>
        <v>0.97210897481145608</v>
      </c>
      <c r="F817" s="2800">
        <f t="shared" si="1016"/>
        <v>0.96972853938951031</v>
      </c>
      <c r="G817" s="2800">
        <f t="shared" si="1016"/>
        <v>0.91221648944652634</v>
      </c>
      <c r="H817" s="2800">
        <f t="shared" si="1016"/>
        <v>0.89618708987924822</v>
      </c>
      <c r="I817" s="2800">
        <f t="shared" si="1016"/>
        <v>0.90164117469531757</v>
      </c>
      <c r="J817" s="2800">
        <f t="shared" si="1016"/>
        <v>0.88188688020058303</v>
      </c>
      <c r="K817" s="2800">
        <f t="shared" si="1016"/>
        <v>0.88649877804843003</v>
      </c>
      <c r="L817" s="2800">
        <f t="shared" si="1016"/>
        <v>0.86532051862230608</v>
      </c>
      <c r="M817" s="2800">
        <f t="shared" si="1016"/>
        <v>0.86909489963500863</v>
      </c>
      <c r="N817" s="2800">
        <f t="shared" si="1016"/>
        <v>0.8547233928286857</v>
      </c>
      <c r="O817" s="2800">
        <f t="shared" si="1016"/>
        <v>0.85434884085977092</v>
      </c>
      <c r="P817" s="3046">
        <f t="shared" ref="P817" si="1017">P220*100/100</f>
        <v>0.85465308237540394</v>
      </c>
    </row>
    <row r="818" spans="1:18" ht="24.95" customHeight="1" x14ac:dyDescent="0.2">
      <c r="A818" s="1901" t="s">
        <v>4810</v>
      </c>
      <c r="B818" s="2826"/>
      <c r="C818" s="2826"/>
      <c r="D818" s="2828">
        <f t="shared" ref="D818:O818" si="1018">D201</f>
        <v>0.79825521781191078</v>
      </c>
      <c r="E818" s="2828">
        <f t="shared" si="1018"/>
        <v>0.82500466251587934</v>
      </c>
      <c r="F818" s="2800">
        <f t="shared" si="1018"/>
        <v>1.3643230223058538</v>
      </c>
      <c r="G818" s="2800">
        <f t="shared" si="1018"/>
        <v>1.5212267941212332</v>
      </c>
      <c r="H818" s="2800">
        <f t="shared" si="1018"/>
        <v>1.4036737181264016</v>
      </c>
      <c r="I818" s="3043">
        <f t="shared" si="1018"/>
        <v>0.83075378123224308</v>
      </c>
      <c r="J818" s="2800">
        <f t="shared" si="1018"/>
        <v>1.1063483007672203</v>
      </c>
      <c r="K818" s="2800">
        <f t="shared" si="1018"/>
        <v>1.4418608120634693</v>
      </c>
      <c r="L818" s="2800">
        <f t="shared" si="1018"/>
        <v>1.5121822674250198</v>
      </c>
      <c r="M818" s="2800">
        <f t="shared" si="1018"/>
        <v>1.100426179378714</v>
      </c>
      <c r="N818" s="3043">
        <f t="shared" si="1018"/>
        <v>0.86653136130207997</v>
      </c>
      <c r="O818" s="3043">
        <f t="shared" si="1018"/>
        <v>0.94591071095700219</v>
      </c>
      <c r="P818" s="3046">
        <f t="shared" ref="P818" si="1019">P201</f>
        <v>1.0372747031073157</v>
      </c>
      <c r="R818" s="2791"/>
    </row>
    <row r="819" spans="1:18" ht="24.95" customHeight="1" x14ac:dyDescent="0.2">
      <c r="A819" s="1901" t="s">
        <v>4401</v>
      </c>
      <c r="B819" s="2826"/>
      <c r="C819" s="2826"/>
      <c r="D819" s="2828">
        <f t="shared" ref="D819:O819" si="1020">D173</f>
        <v>-9.348030533414757E-2</v>
      </c>
      <c r="E819" s="2828">
        <f t="shared" si="1020"/>
        <v>-0.10031660290834542</v>
      </c>
      <c r="F819" s="3043">
        <f t="shared" si="1020"/>
        <v>-4.1068189654662836E-2</v>
      </c>
      <c r="G819" s="3043">
        <f t="shared" si="1020"/>
        <v>-2.1840963955931297E-2</v>
      </c>
      <c r="H819" s="2800">
        <f t="shared" si="1020"/>
        <v>-7.5243914600467714E-4</v>
      </c>
      <c r="I819" s="2800">
        <f t="shared" si="1020"/>
        <v>5.8800682372963653E-3</v>
      </c>
      <c r="J819" s="2800">
        <f t="shared" si="1020"/>
        <v>1.4957283043340694E-2</v>
      </c>
      <c r="K819" s="2800">
        <f t="shared" si="1020"/>
        <v>1.9902205817602641E-2</v>
      </c>
      <c r="L819" s="2800">
        <f t="shared" si="1020"/>
        <v>2.4383614654357431E-2</v>
      </c>
      <c r="M819" s="2800">
        <f t="shared" si="1020"/>
        <v>2.9404647345648609E-2</v>
      </c>
      <c r="N819" s="2800">
        <f t="shared" si="1020"/>
        <v>3.4275139018382791E-2</v>
      </c>
      <c r="O819" s="2800">
        <f t="shared" si="1020"/>
        <v>3.9225934043234365E-2</v>
      </c>
      <c r="P819" s="3046">
        <f t="shared" ref="P819" si="1021">P173</f>
        <v>4.4584231119725058E-2</v>
      </c>
    </row>
    <row r="820" spans="1:18" ht="13.5" thickBot="1" x14ac:dyDescent="0.25">
      <c r="A820" s="563"/>
      <c r="B820" s="948"/>
      <c r="C820" s="948"/>
      <c r="D820" s="948"/>
      <c r="E820" s="948"/>
      <c r="F820" s="2562"/>
      <c r="G820" s="948"/>
      <c r="H820" s="948"/>
      <c r="I820" s="948"/>
      <c r="J820" s="948"/>
      <c r="K820" s="948"/>
      <c r="L820" s="948"/>
      <c r="M820" s="948"/>
      <c r="N820" s="1637"/>
      <c r="O820" s="1637"/>
      <c r="P820" s="763"/>
    </row>
    <row r="821" spans="1:18" ht="13.5" thickTop="1" x14ac:dyDescent="0.2">
      <c r="A821" s="1881"/>
      <c r="B821" s="1946"/>
      <c r="C821" s="1946"/>
      <c r="D821" s="1946"/>
      <c r="E821" s="1946"/>
      <c r="F821" s="2586"/>
      <c r="G821" s="1946"/>
      <c r="H821" s="1946"/>
      <c r="I821" s="1946"/>
      <c r="J821" s="1946"/>
      <c r="K821" s="1946"/>
      <c r="L821" s="1946"/>
      <c r="M821" s="1946"/>
      <c r="N821" s="2148"/>
      <c r="O821" s="2148"/>
      <c r="P821" s="1947"/>
    </row>
    <row r="822" spans="1:18" s="1" customFormat="1" x14ac:dyDescent="0.2">
      <c r="A822" s="1906" t="s">
        <v>6718</v>
      </c>
      <c r="B822" s="2597"/>
      <c r="C822" s="2597"/>
      <c r="D822" s="1909" t="str">
        <f>D812</f>
        <v>2014/15</v>
      </c>
      <c r="E822" s="1909" t="str">
        <f t="shared" ref="E822:O822" si="1022">E812</f>
        <v>2015/16</v>
      </c>
      <c r="F822" s="898" t="str">
        <f t="shared" si="1022"/>
        <v>2016/17</v>
      </c>
      <c r="G822" s="1909" t="str">
        <f t="shared" si="1022"/>
        <v>2017/18</v>
      </c>
      <c r="H822" s="1909" t="str">
        <f t="shared" si="1022"/>
        <v>2018/19</v>
      </c>
      <c r="I822" s="1909" t="str">
        <f t="shared" si="1022"/>
        <v>2019/20</v>
      </c>
      <c r="J822" s="1909" t="str">
        <f t="shared" si="1022"/>
        <v>2020/21</v>
      </c>
      <c r="K822" s="1909" t="str">
        <f t="shared" si="1022"/>
        <v>2021/22</v>
      </c>
      <c r="L822" s="1909" t="str">
        <f t="shared" si="1022"/>
        <v>2022/23</v>
      </c>
      <c r="M822" s="1909" t="str">
        <f t="shared" si="1022"/>
        <v>2023/24</v>
      </c>
      <c r="N822" s="2143" t="str">
        <f t="shared" si="1022"/>
        <v>2024/25</v>
      </c>
      <c r="O822" s="2143" t="str">
        <f t="shared" si="1022"/>
        <v>2025/26</v>
      </c>
      <c r="P822" s="1900" t="str">
        <f t="shared" ref="P822" si="1023">P812</f>
        <v>2026/27</v>
      </c>
    </row>
    <row r="823" spans="1:18" ht="24" x14ac:dyDescent="0.2">
      <c r="A823" s="1901" t="s">
        <v>5332</v>
      </c>
      <c r="B823" s="442"/>
      <c r="C823" s="442"/>
      <c r="D823" s="1948">
        <f t="shared" ref="D823:O823" si="1024">D211</f>
        <v>4.6253410215790986E-3</v>
      </c>
      <c r="E823" s="1948">
        <f t="shared" si="1024"/>
        <v>4.58017167566524E-3</v>
      </c>
      <c r="F823" s="2587">
        <f t="shared" si="1024"/>
        <v>4.5352680317861695E-3</v>
      </c>
      <c r="G823" s="1948">
        <f t="shared" si="1024"/>
        <v>4.4905855881232516E-3</v>
      </c>
      <c r="H823" s="1948">
        <f t="shared" si="1024"/>
        <v>4.4467749970196107E-3</v>
      </c>
      <c r="I823" s="1948">
        <f t="shared" si="1024"/>
        <v>4.4033918263169805E-3</v>
      </c>
      <c r="J823" s="1948">
        <f t="shared" si="1024"/>
        <v>4.3604319060602291E-3</v>
      </c>
      <c r="K823" s="1948">
        <f t="shared" si="1024"/>
        <v>4.3176825736478738E-3</v>
      </c>
      <c r="L823" s="1948">
        <f t="shared" si="1024"/>
        <v>4.2753523523376006E-3</v>
      </c>
      <c r="M823" s="1948">
        <f t="shared" si="1024"/>
        <v>4.2334371331970355E-3</v>
      </c>
      <c r="N823" s="2149">
        <f t="shared" si="1024"/>
        <v>4.1919328475774568E-3</v>
      </c>
      <c r="O823" s="2149">
        <f t="shared" si="1024"/>
        <v>4.150835466718854E-3</v>
      </c>
      <c r="P823" s="1949">
        <f t="shared" ref="P823" si="1025">P211</f>
        <v>4.1101410013588647E-3</v>
      </c>
    </row>
    <row r="824" spans="1:18" ht="24" x14ac:dyDescent="0.2">
      <c r="A824" s="1901" t="s">
        <v>6719</v>
      </c>
      <c r="B824" s="442"/>
      <c r="C824" s="442"/>
      <c r="D824" s="2314">
        <f t="shared" ref="D824:O824" si="1026">D215</f>
        <v>0.98656171174547491</v>
      </c>
      <c r="E824" s="2313">
        <f t="shared" si="1026"/>
        <v>1.0988267861850778</v>
      </c>
      <c r="F824" s="2588">
        <f t="shared" si="1026"/>
        <v>1.0536566327031736</v>
      </c>
      <c r="G824" s="2313">
        <f t="shared" si="1026"/>
        <v>1.0759779060946633</v>
      </c>
      <c r="H824" s="2313">
        <f t="shared" si="1026"/>
        <v>1.059461092993506</v>
      </c>
      <c r="I824" s="2313">
        <f t="shared" si="1026"/>
        <v>1.0827032553786635</v>
      </c>
      <c r="J824" s="2313">
        <f t="shared" si="1026"/>
        <v>1.0575136886477505</v>
      </c>
      <c r="K824" s="2313">
        <f t="shared" si="1026"/>
        <v>1.0808847525036018</v>
      </c>
      <c r="L824" s="2313">
        <f t="shared" si="1026"/>
        <v>1.0568725464261091</v>
      </c>
      <c r="M824" s="2313">
        <f t="shared" si="1026"/>
        <v>1.0796464892749416</v>
      </c>
      <c r="N824" s="2315">
        <f t="shared" si="1026"/>
        <v>1.0561066225342253</v>
      </c>
      <c r="O824" s="2315">
        <f t="shared" si="1026"/>
        <v>1.0784380783328782</v>
      </c>
      <c r="P824" s="2316">
        <f t="shared" ref="P824" si="1027">P215</f>
        <v>1.0553184199092078</v>
      </c>
    </row>
    <row r="825" spans="1:18" x14ac:dyDescent="0.2">
      <c r="A825" s="1901" t="s">
        <v>6720</v>
      </c>
      <c r="B825" s="442"/>
      <c r="C825" s="442"/>
      <c r="D825" s="2313">
        <f t="shared" ref="D825:O825" si="1028">D229</f>
        <v>0.10324127652842881</v>
      </c>
      <c r="E825" s="2313">
        <f t="shared" si="1028"/>
        <v>0.10338203244813947</v>
      </c>
      <c r="F825" s="2588">
        <f t="shared" si="1028"/>
        <v>9.0526158557078296E-2</v>
      </c>
      <c r="G825" s="2313">
        <f t="shared" si="1028"/>
        <v>9.0279655658771468E-2</v>
      </c>
      <c r="H825" s="2313">
        <f t="shared" si="1028"/>
        <v>8.3716144137000001E-2</v>
      </c>
      <c r="I825" s="2313">
        <f t="shared" si="1028"/>
        <v>7.9809110722608628E-2</v>
      </c>
      <c r="J825" s="2313">
        <f t="shared" si="1028"/>
        <v>7.0680929274846482E-2</v>
      </c>
      <c r="K825" s="2313">
        <f t="shared" si="1028"/>
        <v>7.9931975692920779E-2</v>
      </c>
      <c r="L825" s="2313">
        <f t="shared" si="1028"/>
        <v>6.8395892470653294E-2</v>
      </c>
      <c r="M825" s="2313">
        <f t="shared" si="1028"/>
        <v>5.1967426308671724E-2</v>
      </c>
      <c r="N825" s="2315">
        <f t="shared" si="1028"/>
        <v>4.5401581356637535E-2</v>
      </c>
      <c r="O825" s="2315">
        <f t="shared" si="1028"/>
        <v>3.2885472305468878E-2</v>
      </c>
      <c r="P825" s="2316">
        <f t="shared" ref="P825" si="1029">P229</f>
        <v>3.084693315877951E-2</v>
      </c>
    </row>
    <row r="826" spans="1:18" ht="24" x14ac:dyDescent="0.2">
      <c r="A826" s="1901" t="s">
        <v>6721</v>
      </c>
      <c r="B826" s="442"/>
      <c r="C826" s="442"/>
      <c r="D826" s="2313">
        <f t="shared" ref="D826:O826" si="1030">D372</f>
        <v>0.66622211843948764</v>
      </c>
      <c r="E826" s="2313">
        <f t="shared" si="1030"/>
        <v>0.66318371038055313</v>
      </c>
      <c r="F826" s="2588">
        <f t="shared" si="1030"/>
        <v>0.66373738040453323</v>
      </c>
      <c r="G826" s="2313">
        <f t="shared" si="1030"/>
        <v>0.63884392425810776</v>
      </c>
      <c r="H826" s="2313">
        <f t="shared" si="1030"/>
        <v>0.72467692229648317</v>
      </c>
      <c r="I826" s="2313">
        <f t="shared" si="1030"/>
        <v>0.76149907051211485</v>
      </c>
      <c r="J826" s="2313">
        <f t="shared" si="1030"/>
        <v>0.69800558481656383</v>
      </c>
      <c r="K826" s="2313">
        <f t="shared" si="1030"/>
        <v>0.70254683531087758</v>
      </c>
      <c r="L826" s="2313">
        <f t="shared" si="1030"/>
        <v>0.81147664254159224</v>
      </c>
      <c r="M826" s="2313">
        <f t="shared" si="1030"/>
        <v>0.81507850874876453</v>
      </c>
      <c r="N826" s="2315">
        <f t="shared" si="1030"/>
        <v>0.81404801181536113</v>
      </c>
      <c r="O826" s="2315">
        <f t="shared" si="1030"/>
        <v>0.81710408942758928</v>
      </c>
      <c r="P826" s="2316">
        <f t="shared" ref="P826" si="1031">P372</f>
        <v>0.8199647968885887</v>
      </c>
    </row>
    <row r="827" spans="1:18" ht="24" x14ac:dyDescent="0.2">
      <c r="A827" s="1901" t="s">
        <v>5333</v>
      </c>
      <c r="B827" s="442"/>
      <c r="C827" s="442"/>
      <c r="D827" s="2310">
        <f>D817</f>
        <v>0.97953645097714515</v>
      </c>
      <c r="E827" s="2310">
        <f t="shared" ref="E827:O827" si="1032">E817</f>
        <v>0.97210897481145608</v>
      </c>
      <c r="F827" s="2589">
        <f t="shared" si="1032"/>
        <v>0.96972853938951031</v>
      </c>
      <c r="G827" s="2310">
        <f t="shared" si="1032"/>
        <v>0.91221648944652634</v>
      </c>
      <c r="H827" s="2310">
        <f t="shared" si="1032"/>
        <v>0.89618708987924822</v>
      </c>
      <c r="I827" s="2310">
        <f t="shared" si="1032"/>
        <v>0.90164117469531757</v>
      </c>
      <c r="J827" s="2310">
        <f t="shared" si="1032"/>
        <v>0.88188688020058303</v>
      </c>
      <c r="K827" s="2310">
        <f t="shared" si="1032"/>
        <v>0.88649877804843003</v>
      </c>
      <c r="L827" s="2310">
        <f t="shared" si="1032"/>
        <v>0.86532051862230608</v>
      </c>
      <c r="M827" s="2310">
        <f t="shared" si="1032"/>
        <v>0.86909489963500863</v>
      </c>
      <c r="N827" s="2311">
        <f t="shared" si="1032"/>
        <v>0.8547233928286857</v>
      </c>
      <c r="O827" s="2311">
        <f t="shared" si="1032"/>
        <v>0.85434884085977092</v>
      </c>
      <c r="P827" s="2312">
        <f t="shared" ref="P827" si="1033">P817</f>
        <v>0.85465308237540394</v>
      </c>
    </row>
    <row r="828" spans="1:18" x14ac:dyDescent="0.2">
      <c r="A828" s="1901" t="s">
        <v>6722</v>
      </c>
      <c r="B828" s="442"/>
      <c r="C828" s="442"/>
      <c r="D828" s="2314">
        <f t="shared" ref="D828:O828" si="1034">D200</f>
        <v>0.77162759460852459</v>
      </c>
      <c r="E828" s="2314">
        <f t="shared" si="1034"/>
        <v>0.95139141964348029</v>
      </c>
      <c r="F828" s="2588">
        <f t="shared" si="1034"/>
        <v>2.3699500526655566</v>
      </c>
      <c r="G828" s="2313">
        <f t="shared" si="1034"/>
        <v>1.2423389100546629</v>
      </c>
      <c r="H828" s="2314">
        <f t="shared" si="1034"/>
        <v>0.5987321916589855</v>
      </c>
      <c r="I828" s="2314">
        <f t="shared" si="1034"/>
        <v>0.65119024198308084</v>
      </c>
      <c r="J828" s="2313">
        <f t="shared" si="1034"/>
        <v>2.0691224686595948</v>
      </c>
      <c r="K828" s="2313">
        <f t="shared" si="1034"/>
        <v>1.6052697255477322</v>
      </c>
      <c r="L828" s="2314">
        <f t="shared" si="1034"/>
        <v>0.86215460806773281</v>
      </c>
      <c r="M828" s="2314">
        <f t="shared" si="1034"/>
        <v>0.83385420452067738</v>
      </c>
      <c r="N828" s="2314">
        <f t="shared" si="1034"/>
        <v>0.9035852713178294</v>
      </c>
      <c r="O828" s="2311">
        <f t="shared" si="1034"/>
        <v>1.1002926570324996</v>
      </c>
      <c r="P828" s="2312">
        <f t="shared" ref="P828" si="1035">P200</f>
        <v>1.1079461809716182</v>
      </c>
      <c r="R828" s="2791"/>
    </row>
    <row r="829" spans="1:18" x14ac:dyDescent="0.2">
      <c r="A829" s="1901" t="s">
        <v>6723</v>
      </c>
      <c r="B829" s="442"/>
      <c r="C829" s="442"/>
      <c r="D829" s="2314">
        <f>D316</f>
        <v>-6.4196924409068518E-2</v>
      </c>
      <c r="E829" s="2314">
        <f t="shared" ref="E829:O829" si="1036">E316</f>
        <v>-5.5954879328436548E-2</v>
      </c>
      <c r="F829" s="2800">
        <f t="shared" si="1036"/>
        <v>-3.0527652264834386E-3</v>
      </c>
      <c r="G829" s="3047">
        <f t="shared" si="1036"/>
        <v>-6.5152473128739161E-3</v>
      </c>
      <c r="H829" s="2553">
        <f t="shared" si="1036"/>
        <v>7.3106951013433234E-3</v>
      </c>
      <c r="I829" s="2553">
        <f t="shared" si="1036"/>
        <v>1.684475692341969E-2</v>
      </c>
      <c r="J829" s="2553">
        <f t="shared" si="1036"/>
        <v>2.071639710525907E-2</v>
      </c>
      <c r="K829" s="2553">
        <f t="shared" si="1036"/>
        <v>2.2145463424129163E-2</v>
      </c>
      <c r="L829" s="2553">
        <f t="shared" si="1036"/>
        <v>3.028898343368407E-2</v>
      </c>
      <c r="M829" s="2553">
        <f t="shared" si="1036"/>
        <v>3.5779495179132599E-2</v>
      </c>
      <c r="N829" s="2555">
        <f t="shared" si="1036"/>
        <v>3.6756938442331702E-2</v>
      </c>
      <c r="O829" s="2555">
        <f t="shared" si="1036"/>
        <v>4.5141368508238786E-2</v>
      </c>
      <c r="P829" s="2556">
        <f t="shared" ref="P829" si="1037">P316</f>
        <v>5.1854386408604687E-2</v>
      </c>
    </row>
    <row r="830" spans="1:18" ht="13.5" thickBot="1" x14ac:dyDescent="0.25">
      <c r="A830" s="563"/>
      <c r="B830" s="948"/>
      <c r="C830" s="948"/>
      <c r="D830" s="948"/>
      <c r="E830" s="948"/>
      <c r="F830" s="2562"/>
      <c r="G830" s="948"/>
      <c r="H830" s="948"/>
      <c r="I830" s="948"/>
      <c r="J830" s="948"/>
      <c r="K830" s="948"/>
      <c r="L830" s="948"/>
      <c r="M830" s="948"/>
      <c r="N830" s="1637"/>
      <c r="O830" s="1637"/>
      <c r="P830" s="763"/>
    </row>
    <row r="831" spans="1:18" ht="13.5" thickTop="1" x14ac:dyDescent="0.2"/>
  </sheetData>
  <mergeCells count="17">
    <mergeCell ref="A786:P786"/>
    <mergeCell ref="A576:P576"/>
    <mergeCell ref="A626:P626"/>
    <mergeCell ref="A670:P670"/>
    <mergeCell ref="A708:P708"/>
    <mergeCell ref="A754:P754"/>
    <mergeCell ref="A513:P513"/>
    <mergeCell ref="A1:P1"/>
    <mergeCell ref="A42:P42"/>
    <mergeCell ref="A83:P83"/>
    <mergeCell ref="A124:P124"/>
    <mergeCell ref="A165:P165"/>
    <mergeCell ref="A222:P222"/>
    <mergeCell ref="A283:P283"/>
    <mergeCell ref="A346:P346"/>
    <mergeCell ref="A400:P400"/>
    <mergeCell ref="A463:P463"/>
  </mergeCells>
  <phoneticPr fontId="9" type="noConversion"/>
  <printOptions horizontalCentered="1"/>
  <pageMargins left="0.74803149606299213" right="0.74803149606299213" top="0.39370078740157483" bottom="0.19685039370078741" header="0.31496062992125984" footer="0.31496062992125984"/>
  <pageSetup paperSize="9" scale="70" orientation="landscape" blackAndWhite="1" r:id="rId1"/>
  <headerFooter alignWithMargins="0"/>
  <rowBreaks count="16" manualBreakCount="16">
    <brk id="41" max="16383" man="1"/>
    <brk id="82" max="16383" man="1"/>
    <brk id="122" max="16383" man="1"/>
    <brk id="163" max="16383" man="1"/>
    <brk id="221" max="16383" man="1"/>
    <brk id="282" max="16383" man="1"/>
    <brk id="345" max="16383" man="1"/>
    <brk id="399" max="16383" man="1"/>
    <brk id="462" max="16383" man="1"/>
    <brk id="512" max="16383" man="1"/>
    <brk id="575" max="16383" man="1"/>
    <brk id="625" max="16383" man="1"/>
    <brk id="669" max="16383" man="1"/>
    <brk id="707" max="16383" man="1"/>
    <brk id="753" max="16383" man="1"/>
    <brk id="785" max="16383"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R1013"/>
  <sheetViews>
    <sheetView topLeftCell="A818" workbookViewId="0">
      <selection activeCell="R847" sqref="R847"/>
    </sheetView>
  </sheetViews>
  <sheetFormatPr defaultColWidth="9.140625" defaultRowHeight="12.75" x14ac:dyDescent="0.2"/>
  <cols>
    <col min="1" max="4" width="10.28515625" style="84" bestFit="1" customWidth="1"/>
    <col min="5" max="5" width="16.28515625" style="527" customWidth="1"/>
    <col min="6" max="6" width="36.140625" style="84" customWidth="1"/>
    <col min="7" max="7" width="10.28515625" style="84" bestFit="1" customWidth="1"/>
    <col min="8" max="8" width="8.5703125" style="149" bestFit="1" customWidth="1"/>
    <col min="9" max="18" width="10.28515625" style="84" bestFit="1" customWidth="1"/>
    <col min="19" max="16384" width="9.140625" style="84"/>
  </cols>
  <sheetData>
    <row r="1" spans="1:18" s="91" customFormat="1" ht="18.75" customHeight="1" thickTop="1" thickBot="1" x14ac:dyDescent="0.3">
      <c r="A1" s="2865" t="s">
        <v>3254</v>
      </c>
      <c r="B1" s="2866"/>
      <c r="C1" s="2866"/>
      <c r="D1" s="2866"/>
      <c r="E1" s="2866"/>
      <c r="F1" s="2866"/>
      <c r="G1" s="2866"/>
      <c r="H1" s="2866"/>
      <c r="I1" s="2866"/>
      <c r="J1" s="2866"/>
      <c r="K1" s="2866"/>
      <c r="L1" s="2866"/>
      <c r="M1" s="2866"/>
      <c r="N1" s="2866"/>
      <c r="O1" s="2866"/>
      <c r="P1" s="2866"/>
      <c r="Q1" s="2866"/>
      <c r="R1" s="2867"/>
    </row>
    <row r="2" spans="1:18" s="44" customFormat="1" x14ac:dyDescent="0.2">
      <c r="A2" s="2848" t="s">
        <v>1856</v>
      </c>
      <c r="B2" s="2840"/>
      <c r="C2" s="2840"/>
      <c r="D2" s="2849"/>
      <c r="E2" s="1966" t="s">
        <v>2251</v>
      </c>
      <c r="F2" s="1967"/>
      <c r="G2" s="2850" t="s">
        <v>2253</v>
      </c>
      <c r="H2" s="2851"/>
      <c r="I2" s="2851"/>
      <c r="J2" s="2851"/>
      <c r="K2" s="2851"/>
      <c r="L2" s="2851"/>
      <c r="M2" s="2851"/>
      <c r="N2" s="2851"/>
      <c r="O2" s="2851"/>
      <c r="P2" s="2851"/>
      <c r="Q2" s="2851"/>
      <c r="R2" s="2852"/>
    </row>
    <row r="3" spans="1:18" s="23" customFormat="1" ht="13.5" thickBot="1" x14ac:dyDescent="0.25">
      <c r="A3" s="1697" t="s">
        <v>1668</v>
      </c>
      <c r="B3" s="219" t="s">
        <v>943</v>
      </c>
      <c r="C3" s="47" t="s">
        <v>897</v>
      </c>
      <c r="D3" s="97" t="s">
        <v>2072</v>
      </c>
      <c r="E3" s="1964"/>
      <c r="F3" s="1965"/>
      <c r="G3" s="2677" t="s">
        <v>1614</v>
      </c>
      <c r="H3" s="2676" t="s">
        <v>501</v>
      </c>
      <c r="I3" s="2225" t="s">
        <v>2180</v>
      </c>
      <c r="J3" s="2225" t="s">
        <v>2177</v>
      </c>
      <c r="K3" s="2678" t="s">
        <v>1547</v>
      </c>
      <c r="L3" s="2225" t="s">
        <v>1188</v>
      </c>
      <c r="M3" s="2225" t="s">
        <v>1328</v>
      </c>
      <c r="N3" s="2225" t="s">
        <v>2946</v>
      </c>
      <c r="O3" s="2679" t="s">
        <v>3529</v>
      </c>
      <c r="P3" s="2679" t="s">
        <v>4299</v>
      </c>
      <c r="Q3" s="2225" t="s">
        <v>6056</v>
      </c>
      <c r="R3" s="2680" t="s">
        <v>7037</v>
      </c>
    </row>
    <row r="4" spans="1:18" s="23" customFormat="1" x14ac:dyDescent="0.2">
      <c r="A4" s="268"/>
      <c r="B4" s="529"/>
      <c r="C4" s="529"/>
      <c r="D4" s="204"/>
      <c r="E4" s="1968"/>
      <c r="F4" s="1969"/>
      <c r="G4" s="2598"/>
      <c r="H4" s="1702"/>
      <c r="I4" s="529"/>
      <c r="J4" s="529"/>
      <c r="K4" s="316"/>
      <c r="L4" s="529"/>
      <c r="M4" s="529"/>
      <c r="N4" s="529"/>
      <c r="O4" s="531"/>
      <c r="P4" s="531"/>
      <c r="Q4" s="529"/>
      <c r="R4" s="530"/>
    </row>
    <row r="5" spans="1:18" x14ac:dyDescent="0.2">
      <c r="A5" s="107"/>
      <c r="B5" s="33"/>
      <c r="C5" s="33"/>
      <c r="D5" s="33"/>
      <c r="E5" s="1962" t="s">
        <v>1073</v>
      </c>
      <c r="F5" s="1963"/>
      <c r="G5" s="76"/>
      <c r="H5" s="138"/>
      <c r="I5" s="33"/>
      <c r="J5" s="33"/>
      <c r="K5" s="142"/>
      <c r="L5" s="33"/>
      <c r="M5" s="33"/>
      <c r="N5" s="33"/>
      <c r="O5" s="142"/>
      <c r="P5" s="142"/>
      <c r="Q5" s="33"/>
      <c r="R5" s="114"/>
    </row>
    <row r="6" spans="1:18" x14ac:dyDescent="0.2">
      <c r="A6" s="107"/>
      <c r="B6" s="33"/>
      <c r="C6" s="33"/>
      <c r="D6" s="33"/>
      <c r="E6" s="1954"/>
      <c r="F6" s="1955"/>
      <c r="G6" s="76"/>
      <c r="H6" s="138"/>
      <c r="I6" s="33"/>
      <c r="J6" s="33"/>
      <c r="K6" s="142"/>
      <c r="L6" s="33"/>
      <c r="M6" s="33"/>
      <c r="N6" s="33"/>
      <c r="O6" s="142"/>
      <c r="P6" s="142"/>
      <c r="Q6" s="33"/>
      <c r="R6" s="114"/>
    </row>
    <row r="7" spans="1:18" x14ac:dyDescent="0.2">
      <c r="A7" s="107">
        <f>A64</f>
        <v>341900</v>
      </c>
      <c r="B7" s="33">
        <f>B64</f>
        <v>366700</v>
      </c>
      <c r="C7" s="33">
        <f>C64</f>
        <v>450200</v>
      </c>
      <c r="D7" s="33">
        <f>D64</f>
        <v>358700</v>
      </c>
      <c r="E7" s="1952" t="s">
        <v>218</v>
      </c>
      <c r="F7" s="1953"/>
      <c r="G7" s="99">
        <f t="shared" ref="G7:O7" si="0">G64</f>
        <v>225500</v>
      </c>
      <c r="H7" s="138">
        <f t="shared" ref="H7:H12" si="1">IF(D7=G7,0,IF(D7=0,100,(G7-D7)/D7*100))</f>
        <v>-37.134095344298856</v>
      </c>
      <c r="I7" s="33">
        <f t="shared" si="0"/>
        <v>169500</v>
      </c>
      <c r="J7" s="33">
        <f t="shared" si="0"/>
        <v>310000</v>
      </c>
      <c r="K7" s="142">
        <f t="shared" si="0"/>
        <v>108600</v>
      </c>
      <c r="L7" s="33">
        <f t="shared" si="0"/>
        <v>239700</v>
      </c>
      <c r="M7" s="33">
        <f t="shared" si="0"/>
        <v>205700</v>
      </c>
      <c r="N7" s="33">
        <f t="shared" si="0"/>
        <v>189200</v>
      </c>
      <c r="O7" s="142">
        <f t="shared" si="0"/>
        <v>247200</v>
      </c>
      <c r="P7" s="142">
        <f t="shared" ref="P7:Q7" si="2">P64</f>
        <v>308200</v>
      </c>
      <c r="Q7" s="33">
        <f t="shared" si="2"/>
        <v>372200</v>
      </c>
      <c r="R7" s="114">
        <f t="shared" ref="R7" si="3">R64</f>
        <v>438700</v>
      </c>
    </row>
    <row r="8" spans="1:18" x14ac:dyDescent="0.2">
      <c r="A8" s="107">
        <f>A111</f>
        <v>239000</v>
      </c>
      <c r="B8" s="33">
        <f>B111</f>
        <v>298100</v>
      </c>
      <c r="C8" s="33">
        <f>C111</f>
        <v>389400</v>
      </c>
      <c r="D8" s="33">
        <f>D111</f>
        <v>385800</v>
      </c>
      <c r="E8" s="1952" t="s">
        <v>3562</v>
      </c>
      <c r="F8" s="1953"/>
      <c r="G8" s="99">
        <f t="shared" ref="G8:O8" si="4">G111</f>
        <v>403000</v>
      </c>
      <c r="H8" s="138">
        <f t="shared" si="1"/>
        <v>4.4582685329186109</v>
      </c>
      <c r="I8" s="33">
        <f t="shared" si="4"/>
        <v>417000</v>
      </c>
      <c r="J8" s="33">
        <f t="shared" si="4"/>
        <v>490800</v>
      </c>
      <c r="K8" s="142">
        <f t="shared" si="4"/>
        <v>567400</v>
      </c>
      <c r="L8" s="33">
        <f t="shared" si="4"/>
        <v>582300</v>
      </c>
      <c r="M8" s="33">
        <f t="shared" si="4"/>
        <v>594800</v>
      </c>
      <c r="N8" s="33">
        <f t="shared" si="4"/>
        <v>607400</v>
      </c>
      <c r="O8" s="142">
        <f t="shared" si="4"/>
        <v>620300</v>
      </c>
      <c r="P8" s="142">
        <f t="shared" ref="P8:Q8" si="5">P111</f>
        <v>633500</v>
      </c>
      <c r="Q8" s="33">
        <f t="shared" si="5"/>
        <v>646800</v>
      </c>
      <c r="R8" s="114">
        <f t="shared" ref="R8" si="6">R111</f>
        <v>660200</v>
      </c>
    </row>
    <row r="9" spans="1:18" x14ac:dyDescent="0.2">
      <c r="A9" s="107">
        <f>A177</f>
        <v>101000</v>
      </c>
      <c r="B9" s="33">
        <f>B177</f>
        <v>91800</v>
      </c>
      <c r="C9" s="33">
        <f>C177</f>
        <v>100000</v>
      </c>
      <c r="D9" s="33">
        <f>D177</f>
        <v>134600</v>
      </c>
      <c r="E9" s="1952" t="s">
        <v>3555</v>
      </c>
      <c r="F9" s="1953"/>
      <c r="G9" s="99">
        <f t="shared" ref="G9:O9" si="7">G177</f>
        <v>135400</v>
      </c>
      <c r="H9" s="138">
        <f t="shared" si="1"/>
        <v>0.59435364041604755</v>
      </c>
      <c r="I9" s="33">
        <f t="shared" si="7"/>
        <v>120100</v>
      </c>
      <c r="J9" s="33">
        <f t="shared" si="7"/>
        <v>127600</v>
      </c>
      <c r="K9" s="142">
        <f t="shared" si="7"/>
        <v>136800</v>
      </c>
      <c r="L9" s="33">
        <f t="shared" si="7"/>
        <v>145100</v>
      </c>
      <c r="M9" s="33">
        <f t="shared" si="7"/>
        <v>154000</v>
      </c>
      <c r="N9" s="33">
        <f t="shared" si="7"/>
        <v>162100</v>
      </c>
      <c r="O9" s="142">
        <f t="shared" si="7"/>
        <v>171200</v>
      </c>
      <c r="P9" s="142">
        <f t="shared" ref="P9:Q9" si="8">P177</f>
        <v>180400</v>
      </c>
      <c r="Q9" s="33">
        <f t="shared" si="8"/>
        <v>189700</v>
      </c>
      <c r="R9" s="114">
        <f t="shared" ref="R9" si="9">R177</f>
        <v>199200</v>
      </c>
    </row>
    <row r="10" spans="1:18" x14ac:dyDescent="0.2">
      <c r="A10" s="107">
        <f>A224</f>
        <v>115000</v>
      </c>
      <c r="B10" s="33">
        <f>B224</f>
        <v>110400</v>
      </c>
      <c r="C10" s="33">
        <f>C224</f>
        <v>136300</v>
      </c>
      <c r="D10" s="33">
        <f>D224</f>
        <v>111900</v>
      </c>
      <c r="E10" s="1952" t="s">
        <v>2923</v>
      </c>
      <c r="F10" s="1953"/>
      <c r="G10" s="99">
        <f t="shared" ref="G10:O10" si="10">G224</f>
        <v>118600</v>
      </c>
      <c r="H10" s="138">
        <f t="shared" si="1"/>
        <v>5.9874888293118858</v>
      </c>
      <c r="I10" s="33">
        <f t="shared" si="10"/>
        <v>78800</v>
      </c>
      <c r="J10" s="33">
        <f t="shared" si="10"/>
        <v>80800</v>
      </c>
      <c r="K10" s="142">
        <f t="shared" si="10"/>
        <v>82900</v>
      </c>
      <c r="L10" s="33">
        <f t="shared" si="10"/>
        <v>85000</v>
      </c>
      <c r="M10" s="33">
        <f t="shared" si="10"/>
        <v>86700</v>
      </c>
      <c r="N10" s="33">
        <f t="shared" si="10"/>
        <v>88500</v>
      </c>
      <c r="O10" s="142">
        <f t="shared" si="10"/>
        <v>90300</v>
      </c>
      <c r="P10" s="142">
        <f t="shared" ref="P10:Q10" si="11">P224</f>
        <v>92200</v>
      </c>
      <c r="Q10" s="33">
        <f t="shared" si="11"/>
        <v>94100</v>
      </c>
      <c r="R10" s="114">
        <f t="shared" ref="R10" si="12">R224</f>
        <v>96000</v>
      </c>
    </row>
    <row r="11" spans="1:18" x14ac:dyDescent="0.2">
      <c r="A11" s="107">
        <f>A273</f>
        <v>321000</v>
      </c>
      <c r="B11" s="33">
        <f>B273</f>
        <v>348700</v>
      </c>
      <c r="C11" s="33">
        <f>C273</f>
        <v>354100</v>
      </c>
      <c r="D11" s="33">
        <f>D273</f>
        <v>407300</v>
      </c>
      <c r="E11" s="1952" t="s">
        <v>389</v>
      </c>
      <c r="F11" s="1953"/>
      <c r="G11" s="99">
        <f t="shared" ref="G11:O11" si="13">G273</f>
        <v>388000</v>
      </c>
      <c r="H11" s="138">
        <f t="shared" si="1"/>
        <v>-4.7385219739749571</v>
      </c>
      <c r="I11" s="33">
        <f t="shared" si="13"/>
        <v>388200</v>
      </c>
      <c r="J11" s="33">
        <f t="shared" si="13"/>
        <v>468500</v>
      </c>
      <c r="K11" s="142">
        <f t="shared" si="13"/>
        <v>480300</v>
      </c>
      <c r="L11" s="33">
        <f t="shared" si="13"/>
        <v>492600</v>
      </c>
      <c r="M11" s="33">
        <f t="shared" si="13"/>
        <v>502800</v>
      </c>
      <c r="N11" s="33">
        <f t="shared" si="13"/>
        <v>513000</v>
      </c>
      <c r="O11" s="142">
        <f t="shared" si="13"/>
        <v>523400</v>
      </c>
      <c r="P11" s="142">
        <f t="shared" ref="P11:Q11" si="14">P273</f>
        <v>534100</v>
      </c>
      <c r="Q11" s="33">
        <f t="shared" si="14"/>
        <v>544900</v>
      </c>
      <c r="R11" s="114">
        <f t="shared" ref="R11" si="15">R273</f>
        <v>556100</v>
      </c>
    </row>
    <row r="12" spans="1:18" x14ac:dyDescent="0.2">
      <c r="A12" s="107">
        <f>A335</f>
        <v>146100</v>
      </c>
      <c r="B12" s="33">
        <f>B335</f>
        <v>139100</v>
      </c>
      <c r="C12" s="33">
        <f>C335</f>
        <v>139700</v>
      </c>
      <c r="D12" s="33">
        <f>D335</f>
        <v>144900</v>
      </c>
      <c r="E12" s="1956" t="s">
        <v>1586</v>
      </c>
      <c r="F12" s="1957"/>
      <c r="G12" s="99">
        <f t="shared" ref="G12:O12" si="16">G335</f>
        <v>114800</v>
      </c>
      <c r="H12" s="138">
        <f t="shared" si="1"/>
        <v>-20.772946859903382</v>
      </c>
      <c r="I12" s="33">
        <f t="shared" si="16"/>
        <v>66300</v>
      </c>
      <c r="J12" s="33">
        <f t="shared" si="16"/>
        <v>158400</v>
      </c>
      <c r="K12" s="142">
        <f t="shared" si="16"/>
        <v>70600</v>
      </c>
      <c r="L12" s="33">
        <f t="shared" si="16"/>
        <v>72800</v>
      </c>
      <c r="M12" s="33">
        <f t="shared" si="16"/>
        <v>74600</v>
      </c>
      <c r="N12" s="33">
        <f t="shared" si="16"/>
        <v>76400</v>
      </c>
      <c r="O12" s="142">
        <f t="shared" si="16"/>
        <v>168400</v>
      </c>
      <c r="P12" s="142">
        <f t="shared" ref="P12:Q12" si="17">P335</f>
        <v>80500</v>
      </c>
      <c r="Q12" s="33">
        <f t="shared" si="17"/>
        <v>82600</v>
      </c>
      <c r="R12" s="114">
        <f t="shared" ref="R12" si="18">R335</f>
        <v>84700</v>
      </c>
    </row>
    <row r="13" spans="1:18" ht="13.5" thickBot="1" x14ac:dyDescent="0.25">
      <c r="A13" s="107"/>
      <c r="B13" s="33"/>
      <c r="C13" s="33"/>
      <c r="D13" s="33"/>
      <c r="E13" s="1958"/>
      <c r="F13" s="1959"/>
      <c r="G13" s="76"/>
      <c r="H13" s="138"/>
      <c r="I13" s="33"/>
      <c r="J13" s="33"/>
      <c r="K13" s="142"/>
      <c r="L13" s="33"/>
      <c r="M13" s="33"/>
      <c r="N13" s="33"/>
      <c r="O13" s="142"/>
      <c r="P13" s="142"/>
      <c r="Q13" s="33"/>
      <c r="R13" s="114"/>
    </row>
    <row r="14" spans="1:18" x14ac:dyDescent="0.2">
      <c r="A14" s="105">
        <f>SUM(A7:A13)</f>
        <v>1264000</v>
      </c>
      <c r="B14" s="53">
        <f>SUM(B7:B13)</f>
        <v>1354800</v>
      </c>
      <c r="C14" s="53">
        <f>SUM(C7:C13)</f>
        <v>1569700</v>
      </c>
      <c r="D14" s="53">
        <f>SUM(D7:D13)</f>
        <v>1543200</v>
      </c>
      <c r="E14" s="1960" t="s">
        <v>2605</v>
      </c>
      <c r="F14" s="1961"/>
      <c r="G14" s="460">
        <f t="shared" ref="G14:O14" si="19">SUM(G7:G13)</f>
        <v>1385300</v>
      </c>
      <c r="H14" s="180">
        <f>IF(D14=G14,0,IF(D14=0,100,(G14-D14)/D14*100))</f>
        <v>-10.231985484707103</v>
      </c>
      <c r="I14" s="53">
        <f t="shared" si="19"/>
        <v>1239900</v>
      </c>
      <c r="J14" s="53">
        <f t="shared" si="19"/>
        <v>1636100</v>
      </c>
      <c r="K14" s="155">
        <f t="shared" si="19"/>
        <v>1446600</v>
      </c>
      <c r="L14" s="53">
        <f t="shared" si="19"/>
        <v>1617500</v>
      </c>
      <c r="M14" s="53">
        <f t="shared" si="19"/>
        <v>1618600</v>
      </c>
      <c r="N14" s="53">
        <f t="shared" si="19"/>
        <v>1636600</v>
      </c>
      <c r="O14" s="155">
        <f t="shared" si="19"/>
        <v>1820800</v>
      </c>
      <c r="P14" s="155">
        <f t="shared" ref="P14:Q14" si="20">SUM(P7:P13)</f>
        <v>1828900</v>
      </c>
      <c r="Q14" s="53">
        <f t="shared" si="20"/>
        <v>1930300</v>
      </c>
      <c r="R14" s="113">
        <f t="shared" ref="R14" si="21">SUM(R7:R13)</f>
        <v>2034900</v>
      </c>
    </row>
    <row r="15" spans="1:18" x14ac:dyDescent="0.2">
      <c r="A15" s="107"/>
      <c r="B15" s="33"/>
      <c r="C15" s="33"/>
      <c r="D15" s="33"/>
      <c r="E15" s="1954"/>
      <c r="F15" s="1955"/>
      <c r="G15" s="76"/>
      <c r="H15" s="138"/>
      <c r="I15" s="33"/>
      <c r="J15" s="33"/>
      <c r="K15" s="142"/>
      <c r="L15" s="33"/>
      <c r="M15" s="33"/>
      <c r="N15" s="33"/>
      <c r="O15" s="142"/>
      <c r="P15" s="142"/>
      <c r="Q15" s="33"/>
      <c r="R15" s="114"/>
    </row>
    <row r="16" spans="1:18" x14ac:dyDescent="0.2">
      <c r="A16" s="107"/>
      <c r="B16" s="33"/>
      <c r="C16" s="33"/>
      <c r="D16" s="33"/>
      <c r="E16" s="1962" t="s">
        <v>2205</v>
      </c>
      <c r="F16" s="1963"/>
      <c r="G16" s="76"/>
      <c r="H16" s="138"/>
      <c r="I16" s="33"/>
      <c r="J16" s="33"/>
      <c r="K16" s="142"/>
      <c r="L16" s="33"/>
      <c r="M16" s="33"/>
      <c r="N16" s="33"/>
      <c r="O16" s="142"/>
      <c r="P16" s="142"/>
      <c r="Q16" s="33"/>
      <c r="R16" s="114"/>
    </row>
    <row r="17" spans="1:18" x14ac:dyDescent="0.2">
      <c r="A17" s="107"/>
      <c r="B17" s="33"/>
      <c r="C17" s="33"/>
      <c r="D17" s="33"/>
      <c r="E17" s="1954"/>
      <c r="F17" s="1955"/>
      <c r="G17" s="99"/>
      <c r="H17" s="138"/>
      <c r="I17" s="33"/>
      <c r="J17" s="33"/>
      <c r="K17" s="142"/>
      <c r="L17" s="33"/>
      <c r="M17" s="33"/>
      <c r="N17" s="33"/>
      <c r="O17" s="142"/>
      <c r="P17" s="142"/>
      <c r="Q17" s="33"/>
      <c r="R17" s="114"/>
    </row>
    <row r="18" spans="1:18" x14ac:dyDescent="0.2">
      <c r="A18" s="107">
        <f>A80</f>
        <v>1259800</v>
      </c>
      <c r="B18" s="33">
        <f>B80</f>
        <v>1075500</v>
      </c>
      <c r="C18" s="33">
        <f>C80</f>
        <v>1150100</v>
      </c>
      <c r="D18" s="33">
        <f>D80</f>
        <v>1205100</v>
      </c>
      <c r="E18" s="1952" t="str">
        <f t="shared" ref="E18:E23" si="22">E7</f>
        <v>Strategic Planning</v>
      </c>
      <c r="F18" s="1953"/>
      <c r="G18" s="99">
        <f t="shared" ref="G18:O18" si="23">G80</f>
        <v>1521100</v>
      </c>
      <c r="H18" s="138">
        <f t="shared" ref="H18:H23" si="24">IF(D18=G18,0,IF(D18=0,100,(G18-D18)/D18*100))</f>
        <v>26.221890299560201</v>
      </c>
      <c r="I18" s="33">
        <f t="shared" si="23"/>
        <v>1170400</v>
      </c>
      <c r="J18" s="33">
        <f t="shared" si="23"/>
        <v>1200200</v>
      </c>
      <c r="K18" s="142">
        <f t="shared" si="23"/>
        <v>1231000</v>
      </c>
      <c r="L18" s="33">
        <f t="shared" si="23"/>
        <v>1262500</v>
      </c>
      <c r="M18" s="33">
        <f t="shared" si="23"/>
        <v>1294000</v>
      </c>
      <c r="N18" s="33">
        <f t="shared" si="23"/>
        <v>1326200</v>
      </c>
      <c r="O18" s="142">
        <f t="shared" si="23"/>
        <v>1359000</v>
      </c>
      <c r="P18" s="142">
        <f t="shared" ref="P18:Q18" si="25">P80</f>
        <v>1392500</v>
      </c>
      <c r="Q18" s="33">
        <f t="shared" si="25"/>
        <v>1426700</v>
      </c>
      <c r="R18" s="114">
        <f t="shared" ref="R18" si="26">R80</f>
        <v>1461700</v>
      </c>
    </row>
    <row r="19" spans="1:18" x14ac:dyDescent="0.2">
      <c r="A19" s="107">
        <f>A133</f>
        <v>1408400</v>
      </c>
      <c r="B19" s="33">
        <f>B133</f>
        <v>1354300</v>
      </c>
      <c r="C19" s="33">
        <f>C133</f>
        <v>1587400</v>
      </c>
      <c r="D19" s="33">
        <f>D133</f>
        <v>1623100</v>
      </c>
      <c r="E19" s="1952" t="str">
        <f t="shared" si="22"/>
        <v>Community Centres and Halls</v>
      </c>
      <c r="F19" s="1953"/>
      <c r="G19" s="99">
        <f t="shared" ref="G19:O19" si="27">G133</f>
        <v>1696900</v>
      </c>
      <c r="H19" s="138">
        <f t="shared" si="24"/>
        <v>4.5468547840552027</v>
      </c>
      <c r="I19" s="33">
        <f t="shared" si="27"/>
        <v>1704100</v>
      </c>
      <c r="J19" s="33">
        <f t="shared" si="27"/>
        <v>1963800</v>
      </c>
      <c r="K19" s="142">
        <f t="shared" si="27"/>
        <v>2269000</v>
      </c>
      <c r="L19" s="33">
        <f t="shared" si="27"/>
        <v>2322200</v>
      </c>
      <c r="M19" s="33">
        <f t="shared" si="27"/>
        <v>2372600</v>
      </c>
      <c r="N19" s="33">
        <f t="shared" si="27"/>
        <v>2423900</v>
      </c>
      <c r="O19" s="142">
        <f t="shared" si="27"/>
        <v>2476700</v>
      </c>
      <c r="P19" s="142">
        <f t="shared" ref="P19:Q19" si="28">P133</f>
        <v>2531500</v>
      </c>
      <c r="Q19" s="33">
        <f t="shared" si="28"/>
        <v>2587400</v>
      </c>
      <c r="R19" s="114">
        <f t="shared" ref="R19" si="29">R133</f>
        <v>2644400</v>
      </c>
    </row>
    <row r="20" spans="1:18" x14ac:dyDescent="0.2">
      <c r="A20" s="107">
        <f>A196</f>
        <v>606000</v>
      </c>
      <c r="B20" s="33">
        <f>B196</f>
        <v>477500</v>
      </c>
      <c r="C20" s="33">
        <f>C196</f>
        <v>870000</v>
      </c>
      <c r="D20" s="33">
        <f>D196</f>
        <v>934600</v>
      </c>
      <c r="E20" s="1952" t="str">
        <f t="shared" si="22"/>
        <v>Cultural and Community Services</v>
      </c>
      <c r="F20" s="1953"/>
      <c r="G20" s="99">
        <f t="shared" ref="G20:O20" si="30">G196</f>
        <v>912800</v>
      </c>
      <c r="H20" s="138">
        <f t="shared" si="24"/>
        <v>-2.3325486839289535</v>
      </c>
      <c r="I20" s="33">
        <f t="shared" si="30"/>
        <v>910000</v>
      </c>
      <c r="J20" s="33">
        <f t="shared" si="30"/>
        <v>934000</v>
      </c>
      <c r="K20" s="142">
        <f t="shared" si="30"/>
        <v>959500</v>
      </c>
      <c r="L20" s="33">
        <f t="shared" si="30"/>
        <v>984500</v>
      </c>
      <c r="M20" s="33">
        <f t="shared" si="30"/>
        <v>1010100</v>
      </c>
      <c r="N20" s="33">
        <f t="shared" si="30"/>
        <v>1035300</v>
      </c>
      <c r="O20" s="142">
        <f t="shared" si="30"/>
        <v>1061100</v>
      </c>
      <c r="P20" s="142">
        <f t="shared" ref="P20:Q20" si="31">P196</f>
        <v>1088700</v>
      </c>
      <c r="Q20" s="33">
        <f t="shared" si="31"/>
        <v>1115900</v>
      </c>
      <c r="R20" s="114">
        <f t="shared" ref="R20" si="32">R196</f>
        <v>1144700</v>
      </c>
    </row>
    <row r="21" spans="1:18" x14ac:dyDescent="0.2">
      <c r="A21" s="107">
        <f>A243</f>
        <v>1514000</v>
      </c>
      <c r="B21" s="33">
        <f>B243</f>
        <v>1637100</v>
      </c>
      <c r="C21" s="33">
        <f>C243</f>
        <v>1549900</v>
      </c>
      <c r="D21" s="33">
        <f>D243</f>
        <v>1571000</v>
      </c>
      <c r="E21" s="1952" t="str">
        <f t="shared" si="22"/>
        <v>Library Services</v>
      </c>
      <c r="F21" s="1953"/>
      <c r="G21" s="99">
        <f t="shared" ref="G21:O21" si="33">G243</f>
        <v>1688000</v>
      </c>
      <c r="H21" s="138">
        <f t="shared" si="24"/>
        <v>7.4474856779121579</v>
      </c>
      <c r="I21" s="33">
        <f t="shared" si="33"/>
        <v>1598500</v>
      </c>
      <c r="J21" s="33">
        <f t="shared" si="33"/>
        <v>1638300</v>
      </c>
      <c r="K21" s="142">
        <f t="shared" si="33"/>
        <v>1679000</v>
      </c>
      <c r="L21" s="33">
        <f t="shared" si="33"/>
        <v>1720600</v>
      </c>
      <c r="M21" s="33">
        <f t="shared" si="33"/>
        <v>1755600</v>
      </c>
      <c r="N21" s="33">
        <f t="shared" si="33"/>
        <v>1791200</v>
      </c>
      <c r="O21" s="142">
        <f t="shared" si="33"/>
        <v>1827500</v>
      </c>
      <c r="P21" s="142">
        <f t="shared" ref="P21:Q21" si="34">P243</f>
        <v>1864500</v>
      </c>
      <c r="Q21" s="33">
        <f t="shared" si="34"/>
        <v>1902400</v>
      </c>
      <c r="R21" s="114">
        <f t="shared" ref="R21" si="35">R243</f>
        <v>1941000</v>
      </c>
    </row>
    <row r="22" spans="1:18" x14ac:dyDescent="0.2">
      <c r="A22" s="107">
        <f>A294</f>
        <v>881100</v>
      </c>
      <c r="B22" s="33">
        <f>B294</f>
        <v>867100</v>
      </c>
      <c r="C22" s="33">
        <f>C294</f>
        <v>822100</v>
      </c>
      <c r="D22" s="33">
        <f>D294</f>
        <v>792800</v>
      </c>
      <c r="E22" s="1952" t="str">
        <f t="shared" si="22"/>
        <v>Swimming Pools</v>
      </c>
      <c r="F22" s="1953"/>
      <c r="G22" s="99">
        <f t="shared" ref="G22:O22" si="36">G294</f>
        <v>887700</v>
      </c>
      <c r="H22" s="138">
        <f t="shared" si="24"/>
        <v>11.970232088799193</v>
      </c>
      <c r="I22" s="33">
        <f t="shared" si="36"/>
        <v>1376900</v>
      </c>
      <c r="J22" s="33">
        <f t="shared" si="36"/>
        <v>1503200</v>
      </c>
      <c r="K22" s="142">
        <f t="shared" si="36"/>
        <v>1513400</v>
      </c>
      <c r="L22" s="33">
        <f t="shared" si="36"/>
        <v>1522300</v>
      </c>
      <c r="M22" s="33">
        <f t="shared" si="36"/>
        <v>1527700</v>
      </c>
      <c r="N22" s="33">
        <f t="shared" si="36"/>
        <v>1532400</v>
      </c>
      <c r="O22" s="142">
        <f t="shared" si="36"/>
        <v>1538500</v>
      </c>
      <c r="P22" s="142">
        <f t="shared" ref="P22:Q22" si="37">P294</f>
        <v>1541100</v>
      </c>
      <c r="Q22" s="33">
        <f t="shared" si="37"/>
        <v>1546000</v>
      </c>
      <c r="R22" s="114">
        <f t="shared" ref="R22" si="38">R294</f>
        <v>1549400</v>
      </c>
    </row>
    <row r="23" spans="1:18" x14ac:dyDescent="0.2">
      <c r="A23" s="107">
        <f>A359</f>
        <v>679700</v>
      </c>
      <c r="B23" s="33">
        <f>B359</f>
        <v>736400</v>
      </c>
      <c r="C23" s="33">
        <f>C359</f>
        <v>673000</v>
      </c>
      <c r="D23" s="33">
        <f>D359</f>
        <v>740400</v>
      </c>
      <c r="E23" s="1952" t="str">
        <f t="shared" si="22"/>
        <v>Tourism</v>
      </c>
      <c r="F23" s="1953"/>
      <c r="G23" s="99">
        <f t="shared" ref="G23:O23" si="39">G359</f>
        <v>732100</v>
      </c>
      <c r="H23" s="138">
        <f t="shared" si="24"/>
        <v>-1.1210156672069151</v>
      </c>
      <c r="I23" s="33">
        <f t="shared" si="39"/>
        <v>626200</v>
      </c>
      <c r="J23" s="33">
        <f t="shared" si="39"/>
        <v>730000</v>
      </c>
      <c r="K23" s="142">
        <f t="shared" si="39"/>
        <v>654300</v>
      </c>
      <c r="L23" s="33">
        <f t="shared" si="39"/>
        <v>668800</v>
      </c>
      <c r="M23" s="33">
        <f t="shared" si="39"/>
        <v>682000</v>
      </c>
      <c r="N23" s="33">
        <f t="shared" si="39"/>
        <v>695400</v>
      </c>
      <c r="O23" s="142">
        <f t="shared" si="39"/>
        <v>799000</v>
      </c>
      <c r="P23" s="142">
        <f t="shared" ref="P23:Q23" si="40">P359</f>
        <v>723200</v>
      </c>
      <c r="Q23" s="33">
        <f t="shared" si="40"/>
        <v>737700</v>
      </c>
      <c r="R23" s="114">
        <f t="shared" ref="R23" si="41">R359</f>
        <v>752600</v>
      </c>
    </row>
    <row r="24" spans="1:18" ht="13.5" thickBot="1" x14ac:dyDescent="0.25">
      <c r="A24" s="107"/>
      <c r="B24" s="33"/>
      <c r="C24" s="33"/>
      <c r="D24" s="33"/>
      <c r="E24" s="1954"/>
      <c r="F24" s="1955"/>
      <c r="G24" s="76"/>
      <c r="H24" s="121"/>
      <c r="I24" s="33"/>
      <c r="J24" s="33"/>
      <c r="K24" s="142"/>
      <c r="L24" s="33"/>
      <c r="M24" s="33"/>
      <c r="N24" s="33"/>
      <c r="O24" s="142"/>
      <c r="P24" s="142"/>
      <c r="Q24" s="33"/>
      <c r="R24" s="114"/>
    </row>
    <row r="25" spans="1:18" x14ac:dyDescent="0.2">
      <c r="A25" s="105">
        <f>SUM(A16:A24)</f>
        <v>6349000</v>
      </c>
      <c r="B25" s="53">
        <f>SUM(B16:B24)</f>
        <v>6147900</v>
      </c>
      <c r="C25" s="53">
        <f>SUM(C16:C24)</f>
        <v>6652500</v>
      </c>
      <c r="D25" s="53">
        <f>SUM(D16:D24)</f>
        <v>6867000</v>
      </c>
      <c r="E25" s="1960" t="s">
        <v>565</v>
      </c>
      <c r="F25" s="1961"/>
      <c r="G25" s="177">
        <f t="shared" ref="G25:O25" si="42">SUM(G16:G24)</f>
        <v>7438600</v>
      </c>
      <c r="H25" s="180">
        <f>IF(D25=G25,0,IF(D25=0,100,(G25-D25)/D25*100))</f>
        <v>8.3238677734090576</v>
      </c>
      <c r="I25" s="53">
        <f t="shared" si="42"/>
        <v>7386100</v>
      </c>
      <c r="J25" s="53">
        <f t="shared" si="42"/>
        <v>7969500</v>
      </c>
      <c r="K25" s="155">
        <f t="shared" si="42"/>
        <v>8306200</v>
      </c>
      <c r="L25" s="53">
        <f t="shared" si="42"/>
        <v>8480900</v>
      </c>
      <c r="M25" s="53">
        <f t="shared" si="42"/>
        <v>8642000</v>
      </c>
      <c r="N25" s="53">
        <f t="shared" si="42"/>
        <v>8804400</v>
      </c>
      <c r="O25" s="155">
        <f t="shared" si="42"/>
        <v>9061800</v>
      </c>
      <c r="P25" s="155">
        <f t="shared" ref="P25:Q25" si="43">SUM(P16:P24)</f>
        <v>9141500</v>
      </c>
      <c r="Q25" s="53">
        <f t="shared" si="43"/>
        <v>9316100</v>
      </c>
      <c r="R25" s="113">
        <f t="shared" ref="R25" si="44">SUM(R16:R24)</f>
        <v>9493800</v>
      </c>
    </row>
    <row r="26" spans="1:18" x14ac:dyDescent="0.2">
      <c r="A26" s="107"/>
      <c r="B26" s="33"/>
      <c r="C26" s="33"/>
      <c r="D26" s="33"/>
      <c r="E26" s="1954"/>
      <c r="F26" s="1955"/>
      <c r="G26" s="76"/>
      <c r="H26" s="138"/>
      <c r="I26" s="33"/>
      <c r="J26" s="33"/>
      <c r="K26" s="142"/>
      <c r="L26" s="33"/>
      <c r="M26" s="33"/>
      <c r="N26" s="33"/>
      <c r="O26" s="142"/>
      <c r="P26" s="142"/>
      <c r="Q26" s="33"/>
      <c r="R26" s="114"/>
    </row>
    <row r="27" spans="1:18" x14ac:dyDescent="0.2">
      <c r="A27" s="107"/>
      <c r="B27" s="33"/>
      <c r="C27" s="33"/>
      <c r="D27" s="33"/>
      <c r="E27" s="1985" t="s">
        <v>4723</v>
      </c>
      <c r="F27" s="1963"/>
      <c r="G27" s="76"/>
      <c r="H27" s="138"/>
      <c r="I27" s="33"/>
      <c r="J27" s="33"/>
      <c r="K27" s="142"/>
      <c r="L27" s="33"/>
      <c r="M27" s="33"/>
      <c r="N27" s="33"/>
      <c r="O27" s="142"/>
      <c r="P27" s="142"/>
      <c r="Q27" s="33"/>
      <c r="R27" s="114"/>
    </row>
    <row r="28" spans="1:18" x14ac:dyDescent="0.2">
      <c r="A28" s="107"/>
      <c r="B28" s="33"/>
      <c r="C28" s="33"/>
      <c r="D28" s="33"/>
      <c r="E28" s="1954"/>
      <c r="F28" s="1955"/>
      <c r="G28" s="99"/>
      <c r="H28" s="138"/>
      <c r="I28" s="33"/>
      <c r="J28" s="33"/>
      <c r="K28" s="142"/>
      <c r="L28" s="33"/>
      <c r="M28" s="33"/>
      <c r="N28" s="33"/>
      <c r="O28" s="142"/>
      <c r="P28" s="142"/>
      <c r="Q28" s="33"/>
      <c r="R28" s="114"/>
    </row>
    <row r="29" spans="1:18" x14ac:dyDescent="0.2">
      <c r="A29" s="107">
        <f t="shared" ref="A29:B29" si="45">A7-A18</f>
        <v>-917900</v>
      </c>
      <c r="B29" s="33">
        <f t="shared" si="45"/>
        <v>-708800</v>
      </c>
      <c r="C29" s="33">
        <f>C7-C18</f>
        <v>-699900</v>
      </c>
      <c r="D29" s="33">
        <f>D7-D18</f>
        <v>-846400</v>
      </c>
      <c r="E29" s="1952" t="str">
        <f t="shared" ref="E29:E34" si="46">E18</f>
        <v>Strategic Planning</v>
      </c>
      <c r="F29" s="1953"/>
      <c r="G29" s="99">
        <f t="shared" ref="G29:P34" si="47">G7-G18</f>
        <v>-1295600</v>
      </c>
      <c r="H29" s="138">
        <f t="shared" ref="H29:H34" si="48">IF(D29=G29,0,IF(D29=0,100,(G29-D29)/D29*100))</f>
        <v>53.071833648393195</v>
      </c>
      <c r="I29" s="33">
        <f t="shared" si="47"/>
        <v>-1000900</v>
      </c>
      <c r="J29" s="33">
        <f t="shared" si="47"/>
        <v>-890200</v>
      </c>
      <c r="K29" s="142">
        <f t="shared" si="47"/>
        <v>-1122400</v>
      </c>
      <c r="L29" s="33">
        <f t="shared" si="47"/>
        <v>-1022800</v>
      </c>
      <c r="M29" s="33">
        <f t="shared" si="47"/>
        <v>-1088300</v>
      </c>
      <c r="N29" s="33">
        <f t="shared" si="47"/>
        <v>-1137000</v>
      </c>
      <c r="O29" s="142">
        <f t="shared" si="47"/>
        <v>-1111800</v>
      </c>
      <c r="P29" s="142">
        <f t="shared" si="47"/>
        <v>-1084300</v>
      </c>
      <c r="Q29" s="33">
        <f t="shared" ref="Q29" si="49">Q7-Q18</f>
        <v>-1054500</v>
      </c>
      <c r="R29" s="114">
        <f t="shared" ref="R29" si="50">R7-R18</f>
        <v>-1023000</v>
      </c>
    </row>
    <row r="30" spans="1:18" x14ac:dyDescent="0.2">
      <c r="A30" s="107">
        <f t="shared" ref="A30:B30" si="51">A8-A19</f>
        <v>-1169400</v>
      </c>
      <c r="B30" s="33">
        <f t="shared" si="51"/>
        <v>-1056200</v>
      </c>
      <c r="C30" s="33">
        <f t="shared" ref="C30:C34" si="52">C8-C19</f>
        <v>-1198000</v>
      </c>
      <c r="D30" s="33">
        <f t="shared" ref="D30:D34" si="53">D8-D19</f>
        <v>-1237300</v>
      </c>
      <c r="E30" s="1952" t="str">
        <f t="shared" si="46"/>
        <v>Community Centres and Halls</v>
      </c>
      <c r="F30" s="1953"/>
      <c r="G30" s="99">
        <f t="shared" si="47"/>
        <v>-1293900</v>
      </c>
      <c r="H30" s="138">
        <f t="shared" si="48"/>
        <v>4.5744766831002988</v>
      </c>
      <c r="I30" s="33">
        <f t="shared" si="47"/>
        <v>-1287100</v>
      </c>
      <c r="J30" s="33">
        <f t="shared" si="47"/>
        <v>-1473000</v>
      </c>
      <c r="K30" s="142">
        <f t="shared" si="47"/>
        <v>-1701600</v>
      </c>
      <c r="L30" s="33">
        <f t="shared" si="47"/>
        <v>-1739900</v>
      </c>
      <c r="M30" s="33">
        <f t="shared" si="47"/>
        <v>-1777800</v>
      </c>
      <c r="N30" s="33">
        <f t="shared" si="47"/>
        <v>-1816500</v>
      </c>
      <c r="O30" s="142">
        <f t="shared" si="47"/>
        <v>-1856400</v>
      </c>
      <c r="P30" s="142">
        <f t="shared" si="47"/>
        <v>-1898000</v>
      </c>
      <c r="Q30" s="33">
        <f t="shared" ref="Q30" si="54">Q8-Q19</f>
        <v>-1940600</v>
      </c>
      <c r="R30" s="114">
        <f t="shared" ref="R30" si="55">R8-R19</f>
        <v>-1984200</v>
      </c>
    </row>
    <row r="31" spans="1:18" x14ac:dyDescent="0.2">
      <c r="A31" s="107">
        <f t="shared" ref="A31:B31" si="56">A9-A20</f>
        <v>-505000</v>
      </c>
      <c r="B31" s="33">
        <f t="shared" si="56"/>
        <v>-385700</v>
      </c>
      <c r="C31" s="33">
        <f t="shared" si="52"/>
        <v>-770000</v>
      </c>
      <c r="D31" s="33">
        <f t="shared" si="53"/>
        <v>-800000</v>
      </c>
      <c r="E31" s="1952" t="str">
        <f t="shared" si="46"/>
        <v>Cultural and Community Services</v>
      </c>
      <c r="F31" s="1953"/>
      <c r="G31" s="99">
        <f t="shared" si="47"/>
        <v>-777400</v>
      </c>
      <c r="H31" s="138">
        <f t="shared" si="48"/>
        <v>-2.8250000000000002</v>
      </c>
      <c r="I31" s="33">
        <f t="shared" si="47"/>
        <v>-789900</v>
      </c>
      <c r="J31" s="33">
        <f t="shared" si="47"/>
        <v>-806400</v>
      </c>
      <c r="K31" s="142">
        <f t="shared" si="47"/>
        <v>-822700</v>
      </c>
      <c r="L31" s="33">
        <f t="shared" si="47"/>
        <v>-839400</v>
      </c>
      <c r="M31" s="33">
        <f t="shared" si="47"/>
        <v>-856100</v>
      </c>
      <c r="N31" s="33">
        <f t="shared" si="47"/>
        <v>-873200</v>
      </c>
      <c r="O31" s="142">
        <f t="shared" si="47"/>
        <v>-889900</v>
      </c>
      <c r="P31" s="142">
        <f t="shared" si="47"/>
        <v>-908300</v>
      </c>
      <c r="Q31" s="33">
        <f t="shared" ref="Q31" si="57">Q9-Q20</f>
        <v>-926200</v>
      </c>
      <c r="R31" s="114">
        <f t="shared" ref="R31" si="58">R9-R20</f>
        <v>-945500</v>
      </c>
    </row>
    <row r="32" spans="1:18" x14ac:dyDescent="0.2">
      <c r="A32" s="107">
        <f t="shared" ref="A32:B32" si="59">A10-A21</f>
        <v>-1399000</v>
      </c>
      <c r="B32" s="33">
        <f t="shared" si="59"/>
        <v>-1526700</v>
      </c>
      <c r="C32" s="33">
        <f t="shared" si="52"/>
        <v>-1413600</v>
      </c>
      <c r="D32" s="33">
        <f t="shared" si="53"/>
        <v>-1459100</v>
      </c>
      <c r="E32" s="1952" t="str">
        <f t="shared" si="46"/>
        <v>Library Services</v>
      </c>
      <c r="F32" s="1953"/>
      <c r="G32" s="99">
        <f t="shared" si="47"/>
        <v>-1569400</v>
      </c>
      <c r="H32" s="138">
        <f t="shared" si="48"/>
        <v>7.5594544582276741</v>
      </c>
      <c r="I32" s="33">
        <f t="shared" si="47"/>
        <v>-1519700</v>
      </c>
      <c r="J32" s="33">
        <f t="shared" si="47"/>
        <v>-1557500</v>
      </c>
      <c r="K32" s="142">
        <f t="shared" si="47"/>
        <v>-1596100</v>
      </c>
      <c r="L32" s="33">
        <f t="shared" si="47"/>
        <v>-1635600</v>
      </c>
      <c r="M32" s="33">
        <f t="shared" si="47"/>
        <v>-1668900</v>
      </c>
      <c r="N32" s="33">
        <f t="shared" si="47"/>
        <v>-1702700</v>
      </c>
      <c r="O32" s="142">
        <f t="shared" si="47"/>
        <v>-1737200</v>
      </c>
      <c r="P32" s="142">
        <f t="shared" si="47"/>
        <v>-1772300</v>
      </c>
      <c r="Q32" s="33">
        <f t="shared" ref="Q32" si="60">Q10-Q21</f>
        <v>-1808300</v>
      </c>
      <c r="R32" s="114">
        <f t="shared" ref="R32" si="61">R10-R21</f>
        <v>-1845000</v>
      </c>
    </row>
    <row r="33" spans="1:18" x14ac:dyDescent="0.2">
      <c r="A33" s="107">
        <f t="shared" ref="A33:B33" si="62">A11-A22</f>
        <v>-560100</v>
      </c>
      <c r="B33" s="33">
        <f t="shared" si="62"/>
        <v>-518400</v>
      </c>
      <c r="C33" s="33">
        <f t="shared" si="52"/>
        <v>-468000</v>
      </c>
      <c r="D33" s="33">
        <f t="shared" si="53"/>
        <v>-385500</v>
      </c>
      <c r="E33" s="1952" t="str">
        <f t="shared" si="46"/>
        <v>Swimming Pools</v>
      </c>
      <c r="F33" s="1953"/>
      <c r="G33" s="99">
        <f t="shared" si="47"/>
        <v>-499700</v>
      </c>
      <c r="H33" s="138">
        <f t="shared" si="48"/>
        <v>29.623865110246435</v>
      </c>
      <c r="I33" s="33">
        <f t="shared" si="47"/>
        <v>-988700</v>
      </c>
      <c r="J33" s="33">
        <f t="shared" si="47"/>
        <v>-1034700</v>
      </c>
      <c r="K33" s="142">
        <f t="shared" si="47"/>
        <v>-1033100</v>
      </c>
      <c r="L33" s="33">
        <f t="shared" si="47"/>
        <v>-1029700</v>
      </c>
      <c r="M33" s="33">
        <f t="shared" si="47"/>
        <v>-1024900</v>
      </c>
      <c r="N33" s="33">
        <f t="shared" si="47"/>
        <v>-1019400</v>
      </c>
      <c r="O33" s="142">
        <f t="shared" si="47"/>
        <v>-1015100</v>
      </c>
      <c r="P33" s="142">
        <f t="shared" si="47"/>
        <v>-1007000</v>
      </c>
      <c r="Q33" s="33">
        <f t="shared" ref="Q33" si="63">Q11-Q22</f>
        <v>-1001100</v>
      </c>
      <c r="R33" s="114">
        <f t="shared" ref="R33" si="64">R11-R22</f>
        <v>-993300</v>
      </c>
    </row>
    <row r="34" spans="1:18" x14ac:dyDescent="0.2">
      <c r="A34" s="107">
        <f t="shared" ref="A34:B34" si="65">A12-A23</f>
        <v>-533600</v>
      </c>
      <c r="B34" s="33">
        <f t="shared" si="65"/>
        <v>-597300</v>
      </c>
      <c r="C34" s="33">
        <f t="shared" si="52"/>
        <v>-533300</v>
      </c>
      <c r="D34" s="33">
        <f t="shared" si="53"/>
        <v>-595500</v>
      </c>
      <c r="E34" s="1952" t="str">
        <f t="shared" si="46"/>
        <v>Tourism</v>
      </c>
      <c r="F34" s="1953"/>
      <c r="G34" s="99">
        <f t="shared" si="47"/>
        <v>-617300</v>
      </c>
      <c r="H34" s="138">
        <f t="shared" si="48"/>
        <v>3.6607892527287995</v>
      </c>
      <c r="I34" s="33">
        <f t="shared" si="47"/>
        <v>-559900</v>
      </c>
      <c r="J34" s="33">
        <f t="shared" si="47"/>
        <v>-571600</v>
      </c>
      <c r="K34" s="142">
        <f t="shared" si="47"/>
        <v>-583700</v>
      </c>
      <c r="L34" s="33">
        <f t="shared" si="47"/>
        <v>-596000</v>
      </c>
      <c r="M34" s="33">
        <f t="shared" si="47"/>
        <v>-607400</v>
      </c>
      <c r="N34" s="33">
        <f t="shared" si="47"/>
        <v>-619000</v>
      </c>
      <c r="O34" s="142">
        <f t="shared" si="47"/>
        <v>-630600</v>
      </c>
      <c r="P34" s="142">
        <f t="shared" si="47"/>
        <v>-642700</v>
      </c>
      <c r="Q34" s="33">
        <f t="shared" ref="Q34" si="66">Q12-Q23</f>
        <v>-655100</v>
      </c>
      <c r="R34" s="114">
        <f t="shared" ref="R34" si="67">R12-R23</f>
        <v>-667900</v>
      </c>
    </row>
    <row r="35" spans="1:18" ht="13.5" thickBot="1" x14ac:dyDescent="0.25">
      <c r="A35" s="107"/>
      <c r="B35" s="33"/>
      <c r="C35" s="33"/>
      <c r="D35" s="33"/>
      <c r="E35" s="1954"/>
      <c r="F35" s="1955"/>
      <c r="G35" s="76"/>
      <c r="H35" s="33"/>
      <c r="I35" s="33"/>
      <c r="J35" s="33"/>
      <c r="K35" s="142"/>
      <c r="L35" s="33"/>
      <c r="M35" s="33"/>
      <c r="N35" s="33"/>
      <c r="O35" s="142"/>
      <c r="P35" s="142"/>
      <c r="Q35" s="33"/>
      <c r="R35" s="114"/>
    </row>
    <row r="36" spans="1:18" x14ac:dyDescent="0.2">
      <c r="A36" s="105">
        <f>A14-A25</f>
        <v>-5085000</v>
      </c>
      <c r="B36" s="53">
        <f>B14-B25</f>
        <v>-4793100</v>
      </c>
      <c r="C36" s="53">
        <f>C14-C25</f>
        <v>-5082800</v>
      </c>
      <c r="D36" s="53">
        <f>D14-D25</f>
        <v>-5323800</v>
      </c>
      <c r="E36" s="1983" t="s">
        <v>4721</v>
      </c>
      <c r="F36" s="1984"/>
      <c r="G36" s="177">
        <f t="shared" ref="G36:P36" si="68">G14-G25</f>
        <v>-6053300</v>
      </c>
      <c r="H36" s="180">
        <f>IF(D36=G36,0,IF(D36=0,100,(G36-D36)/D36*100))</f>
        <v>13.702618430444419</v>
      </c>
      <c r="I36" s="53">
        <f t="shared" si="68"/>
        <v>-6146200</v>
      </c>
      <c r="J36" s="53">
        <f t="shared" si="68"/>
        <v>-6333400</v>
      </c>
      <c r="K36" s="155">
        <f t="shared" si="68"/>
        <v>-6859600</v>
      </c>
      <c r="L36" s="53">
        <f t="shared" si="68"/>
        <v>-6863400</v>
      </c>
      <c r="M36" s="53">
        <f t="shared" si="68"/>
        <v>-7023400</v>
      </c>
      <c r="N36" s="53">
        <f t="shared" si="68"/>
        <v>-7167800</v>
      </c>
      <c r="O36" s="155">
        <f t="shared" si="68"/>
        <v>-7241000</v>
      </c>
      <c r="P36" s="155">
        <f t="shared" si="68"/>
        <v>-7312600</v>
      </c>
      <c r="Q36" s="53">
        <f t="shared" ref="Q36" si="69">Q14-Q25</f>
        <v>-7385800</v>
      </c>
      <c r="R36" s="113">
        <f t="shared" ref="R36" si="70">R14-R25</f>
        <v>-7458900</v>
      </c>
    </row>
    <row r="37" spans="1:18" x14ac:dyDescent="0.2">
      <c r="A37" s="107">
        <f>ROUND(A978,-3)</f>
        <v>1324000</v>
      </c>
      <c r="B37" s="33">
        <f>B978</f>
        <v>1104400</v>
      </c>
      <c r="C37" s="33">
        <f>C978</f>
        <v>1160000</v>
      </c>
      <c r="D37" s="33">
        <f>D978</f>
        <v>1189100</v>
      </c>
      <c r="E37" s="1986" t="str">
        <f>GM!E41</f>
        <v>Add Back Depreciation</v>
      </c>
      <c r="F37" s="1987"/>
      <c r="G37" s="99">
        <f t="shared" ref="G37:O37" si="71">G978</f>
        <v>1241000</v>
      </c>
      <c r="H37" s="578">
        <f>IF(D37=G37,0,IF(D37=0,100,(G37-D37)/D37*100))</f>
        <v>4.3646455302329494</v>
      </c>
      <c r="I37" s="33">
        <f t="shared" si="71"/>
        <v>1266000</v>
      </c>
      <c r="J37" s="33">
        <f t="shared" si="71"/>
        <v>1331800</v>
      </c>
      <c r="K37" s="142">
        <f t="shared" si="71"/>
        <v>1438900</v>
      </c>
      <c r="L37" s="33">
        <f t="shared" si="71"/>
        <v>1468000</v>
      </c>
      <c r="M37" s="33">
        <f t="shared" si="71"/>
        <v>1497700</v>
      </c>
      <c r="N37" s="33">
        <f t="shared" si="71"/>
        <v>1528000</v>
      </c>
      <c r="O37" s="142">
        <f t="shared" si="71"/>
        <v>1558900</v>
      </c>
      <c r="P37" s="142">
        <f t="shared" ref="P37:Q37" si="72">P978</f>
        <v>1590400</v>
      </c>
      <c r="Q37" s="33">
        <f t="shared" si="72"/>
        <v>1622500</v>
      </c>
      <c r="R37" s="114">
        <f t="shared" ref="R37" si="73">R978</f>
        <v>1655300</v>
      </c>
    </row>
    <row r="38" spans="1:18" s="92" customFormat="1" x14ac:dyDescent="0.2">
      <c r="A38" s="181">
        <f>A36+A37</f>
        <v>-3761000</v>
      </c>
      <c r="B38" s="397">
        <f>B36+B37</f>
        <v>-3688700</v>
      </c>
      <c r="C38" s="397">
        <f>C36+C37</f>
        <v>-3922800</v>
      </c>
      <c r="D38" s="397">
        <f>D36+D37</f>
        <v>-4134700</v>
      </c>
      <c r="E38" s="1974" t="s">
        <v>4724</v>
      </c>
      <c r="F38" s="1973"/>
      <c r="G38" s="704">
        <f t="shared" ref="G38:O38" si="74">G36+G37</f>
        <v>-4812300</v>
      </c>
      <c r="H38" s="179">
        <f>IF(D38=G38,0,IF(D38=0,100,(G38-D38)/D38*100))</f>
        <v>16.388129731298523</v>
      </c>
      <c r="I38" s="397">
        <f t="shared" si="74"/>
        <v>-4880200</v>
      </c>
      <c r="J38" s="397">
        <f t="shared" si="74"/>
        <v>-5001600</v>
      </c>
      <c r="K38" s="377">
        <f t="shared" si="74"/>
        <v>-5420700</v>
      </c>
      <c r="L38" s="397">
        <f t="shared" si="74"/>
        <v>-5395400</v>
      </c>
      <c r="M38" s="397">
        <f t="shared" si="74"/>
        <v>-5525700</v>
      </c>
      <c r="N38" s="397">
        <f t="shared" si="74"/>
        <v>-5639800</v>
      </c>
      <c r="O38" s="377">
        <f t="shared" si="74"/>
        <v>-5682100</v>
      </c>
      <c r="P38" s="377">
        <f t="shared" ref="P38:Q38" si="75">P36+P37</f>
        <v>-5722200</v>
      </c>
      <c r="Q38" s="397">
        <f t="shared" si="75"/>
        <v>-5763300</v>
      </c>
      <c r="R38" s="399">
        <f t="shared" ref="R38" si="76">R36+R37</f>
        <v>-5803600</v>
      </c>
    </row>
    <row r="39" spans="1:18" ht="13.5" thickBot="1" x14ac:dyDescent="0.25">
      <c r="A39" s="73"/>
      <c r="B39" s="90"/>
      <c r="C39" s="90"/>
      <c r="D39" s="90"/>
      <c r="E39" s="1975"/>
      <c r="F39" s="1976"/>
      <c r="G39" s="85"/>
      <c r="H39" s="392"/>
      <c r="I39" s="121"/>
      <c r="J39" s="121"/>
      <c r="K39" s="95"/>
      <c r="L39" s="121"/>
      <c r="M39" s="121"/>
      <c r="N39" s="121"/>
      <c r="O39" s="95"/>
      <c r="P39" s="95"/>
      <c r="Q39" s="121"/>
      <c r="R39" s="161"/>
    </row>
    <row r="40" spans="1:18" ht="13.5" thickTop="1" x14ac:dyDescent="0.2">
      <c r="A40" s="383"/>
      <c r="B40" s="162"/>
      <c r="C40" s="162"/>
      <c r="D40" s="162"/>
      <c r="E40" s="1977"/>
      <c r="F40" s="1978"/>
      <c r="G40" s="125"/>
      <c r="H40" s="505"/>
      <c r="I40" s="127"/>
      <c r="J40" s="127"/>
      <c r="K40" s="164"/>
      <c r="L40" s="127"/>
      <c r="M40" s="127"/>
      <c r="N40" s="127"/>
      <c r="O40" s="127"/>
      <c r="P40" s="164"/>
      <c r="Q40" s="127"/>
      <c r="R40" s="163"/>
    </row>
    <row r="41" spans="1:18" x14ac:dyDescent="0.2">
      <c r="A41" s="70"/>
      <c r="B41" s="64"/>
      <c r="C41" s="64"/>
      <c r="D41" s="64"/>
      <c r="E41" s="1962" t="s">
        <v>196</v>
      </c>
      <c r="F41" s="1963"/>
      <c r="G41" s="74"/>
      <c r="H41" s="179"/>
      <c r="I41" s="33"/>
      <c r="J41" s="33"/>
      <c r="K41" s="142"/>
      <c r="L41" s="33"/>
      <c r="M41" s="33"/>
      <c r="N41" s="33"/>
      <c r="O41" s="33"/>
      <c r="P41" s="142"/>
      <c r="Q41" s="33"/>
      <c r="R41" s="114"/>
    </row>
    <row r="42" spans="1:18" x14ac:dyDescent="0.2">
      <c r="A42" s="70"/>
      <c r="B42" s="64"/>
      <c r="C42" s="64"/>
      <c r="D42" s="64"/>
      <c r="E42" s="1954"/>
      <c r="F42" s="1955"/>
      <c r="G42" s="74"/>
      <c r="H42" s="179"/>
      <c r="I42" s="33"/>
      <c r="J42" s="33"/>
      <c r="K42" s="142"/>
      <c r="L42" s="33"/>
      <c r="M42" s="33"/>
      <c r="N42" s="33"/>
      <c r="O42" s="33"/>
      <c r="P42" s="142"/>
      <c r="Q42" s="33"/>
      <c r="R42" s="114"/>
    </row>
    <row r="43" spans="1:18" x14ac:dyDescent="0.2">
      <c r="A43" s="107">
        <f>ROUND(A89+A141+A368+A205+A252+A303,-3)</f>
        <v>23000</v>
      </c>
      <c r="B43" s="33">
        <f>ROUND(B89+B141+B368+B205+B252+B303,-2)</f>
        <v>24300</v>
      </c>
      <c r="C43" s="33">
        <f t="shared" ref="C43:D47" si="77">C89+C141+C368+C205+C252+C303</f>
        <v>17300</v>
      </c>
      <c r="D43" s="33">
        <f t="shared" si="77"/>
        <v>18500</v>
      </c>
      <c r="E43" s="1979" t="s">
        <v>1791</v>
      </c>
      <c r="F43" s="1980"/>
      <c r="G43" s="99">
        <f>G89+G141+G368+G205+G252+G303</f>
        <v>19900</v>
      </c>
      <c r="H43" s="138"/>
      <c r="I43" s="33">
        <f t="shared" ref="I43:Q43" si="78">I89+I141+I368+I205+I252+I303</f>
        <v>388800</v>
      </c>
      <c r="J43" s="33">
        <f t="shared" si="78"/>
        <v>474700</v>
      </c>
      <c r="K43" s="142">
        <f t="shared" si="78"/>
        <v>490800</v>
      </c>
      <c r="L43" s="33">
        <f t="shared" si="78"/>
        <v>502900</v>
      </c>
      <c r="M43" s="33">
        <f t="shared" si="78"/>
        <v>522100</v>
      </c>
      <c r="N43" s="33">
        <f t="shared" si="78"/>
        <v>542500</v>
      </c>
      <c r="O43" s="33">
        <f t="shared" si="78"/>
        <v>541000</v>
      </c>
      <c r="P43" s="142">
        <f t="shared" si="78"/>
        <v>563000</v>
      </c>
      <c r="Q43" s="33">
        <f t="shared" si="78"/>
        <v>583000</v>
      </c>
      <c r="R43" s="114">
        <f t="shared" ref="R43" si="79">R89+R141+R368+R205+R252+R303</f>
        <v>605000</v>
      </c>
    </row>
    <row r="44" spans="1:18" x14ac:dyDescent="0.2">
      <c r="A44" s="107">
        <f>ROUND(A90+A142+A369+A206+A253+A304,-3)</f>
        <v>3657000</v>
      </c>
      <c r="B44" s="33">
        <f>ROUND(B90+B142+B369+B206+B253+B304,-2)</f>
        <v>3194600</v>
      </c>
      <c r="C44" s="33">
        <f t="shared" si="77"/>
        <v>4109500</v>
      </c>
      <c r="D44" s="33">
        <f t="shared" si="77"/>
        <v>3327000</v>
      </c>
      <c r="E44" s="1981" t="s">
        <v>1942</v>
      </c>
      <c r="F44" s="1982"/>
      <c r="G44" s="99">
        <f>G90+G142+G369+G206+G253+G304</f>
        <v>5164200</v>
      </c>
      <c r="H44" s="138"/>
      <c r="I44" s="33">
        <f t="shared" ref="I44:Q44" si="80">I90+I142+I369+I206+I253+I304</f>
        <v>9335400</v>
      </c>
      <c r="J44" s="33">
        <f t="shared" si="80"/>
        <v>9653600</v>
      </c>
      <c r="K44" s="142">
        <f t="shared" si="80"/>
        <v>7658800</v>
      </c>
      <c r="L44" s="33">
        <f t="shared" si="80"/>
        <v>12952500</v>
      </c>
      <c r="M44" s="33">
        <f t="shared" si="80"/>
        <v>13172200</v>
      </c>
      <c r="N44" s="33">
        <f t="shared" si="80"/>
        <v>3414400</v>
      </c>
      <c r="O44" s="33">
        <f t="shared" si="80"/>
        <v>3535100</v>
      </c>
      <c r="P44" s="142">
        <f t="shared" si="80"/>
        <v>3661800</v>
      </c>
      <c r="Q44" s="33">
        <f t="shared" si="80"/>
        <v>3792500</v>
      </c>
      <c r="R44" s="114">
        <f t="shared" ref="R44" si="81">R90+R142+R369+R206+R253+R304</f>
        <v>3926700</v>
      </c>
    </row>
    <row r="45" spans="1:18" x14ac:dyDescent="0.2">
      <c r="A45" s="107">
        <f>ROUND(A91+A143+A370+A207+A254+A305,-3)</f>
        <v>453000</v>
      </c>
      <c r="B45" s="33">
        <f>ROUND(B91+B143+B370+B207+B254+B305,-2)</f>
        <v>901600</v>
      </c>
      <c r="C45" s="33">
        <f t="shared" si="77"/>
        <v>888600</v>
      </c>
      <c r="D45" s="33">
        <f t="shared" si="77"/>
        <v>848000</v>
      </c>
      <c r="E45" s="1981" t="s">
        <v>2348</v>
      </c>
      <c r="F45" s="1982"/>
      <c r="G45" s="99">
        <f>G91+G143+G370+G207+G254+G305</f>
        <v>2918800</v>
      </c>
      <c r="H45" s="138"/>
      <c r="I45" s="33">
        <f t="shared" ref="I45:Q45" si="82">I91+I143+I370+I207+I254+I305</f>
        <v>3257000</v>
      </c>
      <c r="J45" s="33">
        <f t="shared" si="82"/>
        <v>3000000</v>
      </c>
      <c r="K45" s="142">
        <f t="shared" si="82"/>
        <v>2000000</v>
      </c>
      <c r="L45" s="33">
        <f t="shared" si="82"/>
        <v>1000000</v>
      </c>
      <c r="M45" s="33">
        <f t="shared" si="82"/>
        <v>0</v>
      </c>
      <c r="N45" s="33">
        <f t="shared" si="82"/>
        <v>0</v>
      </c>
      <c r="O45" s="33">
        <f t="shared" si="82"/>
        <v>0</v>
      </c>
      <c r="P45" s="142">
        <f t="shared" si="82"/>
        <v>0</v>
      </c>
      <c r="Q45" s="33">
        <f t="shared" si="82"/>
        <v>0</v>
      </c>
      <c r="R45" s="114">
        <f t="shared" ref="R45" si="83">R91+R143+R370+R207+R254+R305</f>
        <v>0</v>
      </c>
    </row>
    <row r="46" spans="1:18" x14ac:dyDescent="0.2">
      <c r="A46" s="107">
        <f>ROUND(A92+A144+A371+A208+A255+A306,-3)</f>
        <v>2922000</v>
      </c>
      <c r="B46" s="33">
        <f>ROUND(B92+B144+B371+B208+B255+B306,-2)</f>
        <v>2309000</v>
      </c>
      <c r="C46" s="33">
        <f t="shared" si="77"/>
        <v>3104000</v>
      </c>
      <c r="D46" s="33">
        <f t="shared" si="77"/>
        <v>2246100</v>
      </c>
      <c r="E46" s="1981" t="s">
        <v>5984</v>
      </c>
      <c r="F46" s="1982"/>
      <c r="G46" s="99">
        <f>G92+G144+G371+G208+G255+G306</f>
        <v>9815700</v>
      </c>
      <c r="H46" s="138"/>
      <c r="I46" s="33">
        <f t="shared" ref="I46:Q46" si="84">I92+I144+I371+I208+I255+I306</f>
        <v>13096800</v>
      </c>
      <c r="J46" s="33">
        <f t="shared" si="84"/>
        <v>8347000</v>
      </c>
      <c r="K46" s="142">
        <f t="shared" si="84"/>
        <v>6554000</v>
      </c>
      <c r="L46" s="33">
        <f t="shared" si="84"/>
        <v>15717000</v>
      </c>
      <c r="M46" s="33">
        <f t="shared" si="84"/>
        <v>12971000</v>
      </c>
      <c r="N46" s="33">
        <f t="shared" si="84"/>
        <v>3230000</v>
      </c>
      <c r="O46" s="33">
        <f t="shared" si="84"/>
        <v>3293000</v>
      </c>
      <c r="P46" s="142">
        <f t="shared" si="84"/>
        <v>3359000</v>
      </c>
      <c r="Q46" s="33">
        <f t="shared" si="84"/>
        <v>3426000</v>
      </c>
      <c r="R46" s="114">
        <f t="shared" ref="R46" si="85">R92+R144+R371+R208+R255+R306</f>
        <v>3494000</v>
      </c>
    </row>
    <row r="47" spans="1:18" x14ac:dyDescent="0.2">
      <c r="A47" s="107">
        <f>ROUND(A93+A145+A372+A209+A256+A307,-3)</f>
        <v>17000</v>
      </c>
      <c r="B47" s="33">
        <f>ROUND(B93+B145+B372+B209+B256+B307,-2)</f>
        <v>314000</v>
      </c>
      <c r="C47" s="33">
        <f t="shared" si="77"/>
        <v>332400</v>
      </c>
      <c r="D47" s="33">
        <f t="shared" si="77"/>
        <v>521100</v>
      </c>
      <c r="E47" s="1981" t="s">
        <v>972</v>
      </c>
      <c r="F47" s="1982"/>
      <c r="G47" s="99">
        <f>G93+G145+G372+G209+G256+G307</f>
        <v>8142000</v>
      </c>
      <c r="H47" s="138"/>
      <c r="I47" s="33">
        <f t="shared" ref="I47:Q47" si="86">I93+I145+I372+I209+I256+I307</f>
        <v>7207800</v>
      </c>
      <c r="J47" s="33">
        <f t="shared" si="86"/>
        <v>2024000</v>
      </c>
      <c r="K47" s="142">
        <f t="shared" si="86"/>
        <v>1025000</v>
      </c>
      <c r="L47" s="33">
        <f t="shared" si="86"/>
        <v>4026000</v>
      </c>
      <c r="M47" s="33">
        <f t="shared" si="86"/>
        <v>27000</v>
      </c>
      <c r="N47" s="33">
        <f t="shared" si="86"/>
        <v>28000</v>
      </c>
      <c r="O47" s="33">
        <f t="shared" si="86"/>
        <v>29000</v>
      </c>
      <c r="P47" s="142">
        <f t="shared" si="86"/>
        <v>30000</v>
      </c>
      <c r="Q47" s="33">
        <f t="shared" si="86"/>
        <v>31000</v>
      </c>
      <c r="R47" s="114">
        <f t="shared" ref="R47" si="87">R93+R145+R372+R209+R256+R307</f>
        <v>32000</v>
      </c>
    </row>
    <row r="48" spans="1:18" x14ac:dyDescent="0.2">
      <c r="A48" s="107"/>
      <c r="B48" s="33"/>
      <c r="C48" s="33"/>
      <c r="D48" s="33"/>
      <c r="E48" s="1970"/>
      <c r="F48" s="1971"/>
      <c r="G48" s="99"/>
      <c r="H48" s="578"/>
      <c r="I48" s="33"/>
      <c r="J48" s="33"/>
      <c r="K48" s="142"/>
      <c r="L48" s="33"/>
      <c r="M48" s="33"/>
      <c r="N48" s="33"/>
      <c r="O48" s="33"/>
      <c r="P48" s="142"/>
      <c r="Q48" s="33"/>
      <c r="R48" s="114"/>
    </row>
    <row r="49" spans="1:18" s="92" customFormat="1" x14ac:dyDescent="0.2">
      <c r="A49" s="181">
        <f>A38-A43-A44+A45++A46-A47</f>
        <v>-4083000</v>
      </c>
      <c r="B49" s="397">
        <f>B38-B43-B44+B45++B46-B47</f>
        <v>-4011000</v>
      </c>
      <c r="C49" s="397">
        <f>C38-C43-C44+C45++C46-C47</f>
        <v>-4389400</v>
      </c>
      <c r="D49" s="397">
        <f>D38-D43-D44+D45++D46-D47</f>
        <v>-4907200</v>
      </c>
      <c r="E49" s="1972" t="s">
        <v>2490</v>
      </c>
      <c r="F49" s="1973"/>
      <c r="G49" s="704">
        <f t="shared" ref="G49:O49" si="88">G38-G43-G44+G45++G46-G47</f>
        <v>-5403900</v>
      </c>
      <c r="H49" s="179">
        <f>IF(D49=G49,0,IF(D49=0,100,(G49-D49)/D49*100))</f>
        <v>10.121861754157155</v>
      </c>
      <c r="I49" s="397">
        <f t="shared" si="88"/>
        <v>-5458400</v>
      </c>
      <c r="J49" s="397">
        <f t="shared" si="88"/>
        <v>-5806900</v>
      </c>
      <c r="K49" s="377">
        <f t="shared" si="88"/>
        <v>-6041300</v>
      </c>
      <c r="L49" s="397">
        <f t="shared" si="88"/>
        <v>-6159800</v>
      </c>
      <c r="M49" s="397">
        <f t="shared" si="88"/>
        <v>-6276000</v>
      </c>
      <c r="N49" s="397">
        <f t="shared" si="88"/>
        <v>-6394700</v>
      </c>
      <c r="O49" s="397">
        <f t="shared" si="88"/>
        <v>-6494200</v>
      </c>
      <c r="P49" s="377">
        <f t="shared" ref="P49:Q49" si="89">P38-P43-P44+P45++P46-P47</f>
        <v>-6618000</v>
      </c>
      <c r="Q49" s="397">
        <f t="shared" si="89"/>
        <v>-6743800</v>
      </c>
      <c r="R49" s="399">
        <f t="shared" ref="R49" si="90">R38-R43-R44+R45++R46-R47</f>
        <v>-6873300</v>
      </c>
    </row>
    <row r="50" spans="1:18" ht="13.5" thickBot="1" x14ac:dyDescent="0.25">
      <c r="A50" s="73"/>
      <c r="B50" s="90"/>
      <c r="C50" s="90"/>
      <c r="D50" s="90"/>
      <c r="E50" s="1988"/>
      <c r="F50" s="1989"/>
      <c r="G50" s="120"/>
      <c r="H50" s="392"/>
      <c r="I50" s="66"/>
      <c r="J50" s="66"/>
      <c r="K50" s="166"/>
      <c r="L50" s="66"/>
      <c r="M50" s="66"/>
      <c r="N50" s="66"/>
      <c r="O50" s="66"/>
      <c r="P50" s="836"/>
      <c r="Q50" s="66"/>
      <c r="R50" s="165"/>
    </row>
    <row r="51" spans="1:18" s="99" customFormat="1" ht="14.25" thickTop="1" thickBot="1" x14ac:dyDescent="0.25">
      <c r="A51" s="74"/>
      <c r="B51" s="74"/>
      <c r="C51" s="655"/>
      <c r="D51" s="74"/>
      <c r="E51" s="670"/>
      <c r="F51" s="74"/>
      <c r="H51" s="2211"/>
    </row>
    <row r="52" spans="1:18" s="91" customFormat="1" ht="18.75" customHeight="1" thickTop="1" thickBot="1" x14ac:dyDescent="0.3">
      <c r="A52" s="2873" t="s">
        <v>462</v>
      </c>
      <c r="B52" s="2874"/>
      <c r="C52" s="2874"/>
      <c r="D52" s="2874"/>
      <c r="E52" s="2874"/>
      <c r="F52" s="2874"/>
      <c r="G52" s="2874"/>
      <c r="H52" s="2874"/>
      <c r="I52" s="2874"/>
      <c r="J52" s="2874"/>
      <c r="K52" s="2874"/>
      <c r="L52" s="2874"/>
      <c r="M52" s="2874"/>
      <c r="N52" s="2874"/>
      <c r="O52" s="2874"/>
      <c r="P52" s="2874"/>
      <c r="Q52" s="2874"/>
      <c r="R52" s="2875"/>
    </row>
    <row r="53" spans="1:18" s="44" customFormat="1" x14ac:dyDescent="0.2">
      <c r="A53" s="2848" t="s">
        <v>1856</v>
      </c>
      <c r="B53" s="2840"/>
      <c r="C53" s="2840"/>
      <c r="D53" s="2849"/>
      <c r="E53" s="513" t="s">
        <v>2663</v>
      </c>
      <c r="F53" s="369" t="s">
        <v>2251</v>
      </c>
      <c r="G53" s="2883" t="str">
        <f>G2</f>
        <v>ESTIMATED</v>
      </c>
      <c r="H53" s="2846"/>
      <c r="I53" s="2846"/>
      <c r="J53" s="2846"/>
      <c r="K53" s="2846"/>
      <c r="L53" s="2846"/>
      <c r="M53" s="2846"/>
      <c r="N53" s="2846"/>
      <c r="O53" s="2846"/>
      <c r="P53" s="2846"/>
      <c r="Q53" s="2846"/>
      <c r="R53" s="2884"/>
    </row>
    <row r="54" spans="1:18" s="23" customFormat="1" ht="13.5" thickBot="1" x14ac:dyDescent="0.25">
      <c r="A54" s="1698" t="str">
        <f t="shared" ref="A54:B54" si="91">A3</f>
        <v>2012/13</v>
      </c>
      <c r="B54" s="218" t="str">
        <f t="shared" si="91"/>
        <v>2013/14</v>
      </c>
      <c r="C54" s="370" t="str">
        <f>C3</f>
        <v>2014/15</v>
      </c>
      <c r="D54" s="93" t="str">
        <f>D3</f>
        <v>2015/16</v>
      </c>
      <c r="E54" s="370" t="s">
        <v>2664</v>
      </c>
      <c r="F54" s="42"/>
      <c r="G54" s="93" t="str">
        <f t="shared" ref="G54:P54" si="92">G3</f>
        <v>2016/17</v>
      </c>
      <c r="H54" s="2005" t="str">
        <f t="shared" ref="H54" si="93">H3</f>
        <v>%</v>
      </c>
      <c r="I54" s="370" t="str">
        <f t="shared" si="92"/>
        <v>2017/18</v>
      </c>
      <c r="J54" s="381" t="str">
        <f t="shared" si="92"/>
        <v>2018/19</v>
      </c>
      <c r="K54" s="89" t="str">
        <f t="shared" si="92"/>
        <v>2019/20</v>
      </c>
      <c r="L54" s="370" t="str">
        <f t="shared" si="92"/>
        <v>2020/21</v>
      </c>
      <c r="M54" s="370" t="str">
        <f t="shared" si="92"/>
        <v>2021/22</v>
      </c>
      <c r="N54" s="370" t="str">
        <f t="shared" si="92"/>
        <v>2022/23</v>
      </c>
      <c r="O54" s="370" t="str">
        <f t="shared" si="92"/>
        <v>2023/24</v>
      </c>
      <c r="P54" s="381" t="str">
        <f t="shared" si="92"/>
        <v>2024/25</v>
      </c>
      <c r="Q54" s="218" t="str">
        <f t="shared" ref="Q54" si="94">Q3</f>
        <v>2025/26</v>
      </c>
      <c r="R54" s="549" t="str">
        <f t="shared" ref="R54" si="95">R3</f>
        <v>2026/27</v>
      </c>
    </row>
    <row r="55" spans="1:18" x14ac:dyDescent="0.2">
      <c r="A55" s="107"/>
      <c r="B55" s="33"/>
      <c r="C55" s="33"/>
      <c r="D55" s="33"/>
      <c r="E55" s="673"/>
      <c r="F55" s="99"/>
      <c r="G55" s="33"/>
      <c r="H55" s="138"/>
      <c r="I55" s="33"/>
      <c r="J55" s="142"/>
      <c r="K55" s="33"/>
      <c r="L55" s="33"/>
      <c r="M55" s="33"/>
      <c r="N55" s="33"/>
      <c r="O55" s="33"/>
      <c r="P55" s="142"/>
      <c r="Q55" s="33"/>
      <c r="R55" s="114"/>
    </row>
    <row r="56" spans="1:18" x14ac:dyDescent="0.2">
      <c r="A56" s="107"/>
      <c r="B56" s="33"/>
      <c r="C56" s="33"/>
      <c r="D56" s="33"/>
      <c r="E56" s="658"/>
      <c r="F56" s="144" t="s">
        <v>1073</v>
      </c>
      <c r="G56" s="33"/>
      <c r="H56" s="138"/>
      <c r="I56" s="33"/>
      <c r="J56" s="142"/>
      <c r="K56" s="33"/>
      <c r="L56" s="33"/>
      <c r="M56" s="33"/>
      <c r="N56" s="33"/>
      <c r="O56" s="33"/>
      <c r="P56" s="142"/>
      <c r="Q56" s="33"/>
      <c r="R56" s="114"/>
    </row>
    <row r="57" spans="1:18" x14ac:dyDescent="0.2">
      <c r="A57" s="107"/>
      <c r="B57" s="33"/>
      <c r="C57" s="33"/>
      <c r="D57" s="33"/>
      <c r="E57" s="658"/>
      <c r="F57" s="144"/>
      <c r="G57" s="33"/>
      <c r="H57" s="138"/>
      <c r="I57" s="33"/>
      <c r="J57" s="142"/>
      <c r="K57" s="33"/>
      <c r="L57" s="33"/>
      <c r="M57" s="33"/>
      <c r="N57" s="33"/>
      <c r="O57" s="33"/>
      <c r="P57" s="142"/>
      <c r="Q57" s="33"/>
      <c r="R57" s="114"/>
    </row>
    <row r="58" spans="1:18" x14ac:dyDescent="0.2">
      <c r="A58" s="107">
        <f>ROUND(SUM(A382:A390),-3)</f>
        <v>52000</v>
      </c>
      <c r="B58" s="33">
        <f>ROUND(SUM(B382:B390),-2)</f>
        <v>89700</v>
      </c>
      <c r="C58" s="33">
        <f>SUM(C382:C390)</f>
        <v>72400</v>
      </c>
      <c r="D58" s="33">
        <f>SUM(D382:D390)</f>
        <v>114200</v>
      </c>
      <c r="E58" s="240">
        <v>20000</v>
      </c>
      <c r="F58" s="78" t="s">
        <v>6958</v>
      </c>
      <c r="G58" s="33">
        <f>SUM(G382:G390)</f>
        <v>35000</v>
      </c>
      <c r="H58" s="138">
        <f>IF(D58=G58,0,IF(D58=0,100,(G58-D58)/D58*100))</f>
        <v>-69.352014010507872</v>
      </c>
      <c r="I58" s="33">
        <f t="shared" ref="I58:Q58" si="96">SUM(I382:I390)</f>
        <v>20000</v>
      </c>
      <c r="J58" s="142">
        <f t="shared" si="96"/>
        <v>20500</v>
      </c>
      <c r="K58" s="33">
        <f t="shared" si="96"/>
        <v>21100</v>
      </c>
      <c r="L58" s="33">
        <f t="shared" si="96"/>
        <v>21700</v>
      </c>
      <c r="M58" s="33">
        <f t="shared" si="96"/>
        <v>22200</v>
      </c>
      <c r="N58" s="33">
        <f t="shared" si="96"/>
        <v>22700</v>
      </c>
      <c r="O58" s="33">
        <f t="shared" si="96"/>
        <v>23200</v>
      </c>
      <c r="P58" s="142">
        <f t="shared" si="96"/>
        <v>23700</v>
      </c>
      <c r="Q58" s="33">
        <f t="shared" si="96"/>
        <v>24200</v>
      </c>
      <c r="R58" s="114">
        <f t="shared" ref="R58" si="97">SUM(R382:R390)</f>
        <v>24700</v>
      </c>
    </row>
    <row r="59" spans="1:18" x14ac:dyDescent="0.2">
      <c r="A59" s="107">
        <f t="shared" ref="A59:B59" si="98">SUM(A392:A392)</f>
        <v>16900</v>
      </c>
      <c r="B59" s="33">
        <f t="shared" si="98"/>
        <v>18700</v>
      </c>
      <c r="C59" s="33">
        <f>SUM(C392:C392)</f>
        <v>21500</v>
      </c>
      <c r="D59" s="33">
        <f>SUM(D392:D392)</f>
        <v>25400</v>
      </c>
      <c r="E59" s="240">
        <v>20002</v>
      </c>
      <c r="F59" s="78" t="s">
        <v>4896</v>
      </c>
      <c r="G59" s="33">
        <f t="shared" ref="G59:P59" si="99">SUM(G392:G392)</f>
        <v>10000</v>
      </c>
      <c r="H59" s="138">
        <f>IF(D59=G59,0,IF(D59=0,100,(G59-D59)/D59*100))</f>
        <v>-60.629921259842526</v>
      </c>
      <c r="I59" s="33">
        <f t="shared" si="99"/>
        <v>0</v>
      </c>
      <c r="J59" s="142">
        <f t="shared" si="99"/>
        <v>0</v>
      </c>
      <c r="K59" s="33">
        <f t="shared" si="99"/>
        <v>0</v>
      </c>
      <c r="L59" s="33">
        <f t="shared" si="99"/>
        <v>0</v>
      </c>
      <c r="M59" s="33">
        <f t="shared" si="99"/>
        <v>0</v>
      </c>
      <c r="N59" s="33">
        <f t="shared" si="99"/>
        <v>0</v>
      </c>
      <c r="O59" s="33">
        <f t="shared" si="99"/>
        <v>0</v>
      </c>
      <c r="P59" s="142">
        <f t="shared" si="99"/>
        <v>0</v>
      </c>
      <c r="Q59" s="33">
        <f t="shared" ref="Q59" si="100">SUM(Q392:Q392)</f>
        <v>0</v>
      </c>
      <c r="R59" s="114">
        <f t="shared" ref="R59" si="101">SUM(R392:R392)</f>
        <v>0</v>
      </c>
    </row>
    <row r="60" spans="1:18" x14ac:dyDescent="0.2">
      <c r="A60" s="107">
        <f t="shared" ref="A60:B60" si="102">SUM(A393:A393)</f>
        <v>0</v>
      </c>
      <c r="B60" s="33">
        <f t="shared" si="102"/>
        <v>40000</v>
      </c>
      <c r="C60" s="33">
        <f>SUM(C393:C393)</f>
        <v>107700</v>
      </c>
      <c r="D60" s="33">
        <f>SUM(D393:D393)</f>
        <v>37600</v>
      </c>
      <c r="E60" s="240">
        <v>20002</v>
      </c>
      <c r="F60" s="78" t="s">
        <v>4897</v>
      </c>
      <c r="G60" s="33">
        <f t="shared" ref="G60:P60" si="103">SUM(G393:G393)</f>
        <v>0</v>
      </c>
      <c r="H60" s="138">
        <f>IF(D60=G60,0,IF(D60=0,100,(G60-D60)/D60*100))</f>
        <v>-100</v>
      </c>
      <c r="I60" s="33">
        <f t="shared" si="103"/>
        <v>0</v>
      </c>
      <c r="J60" s="142">
        <f t="shared" si="103"/>
        <v>0</v>
      </c>
      <c r="K60" s="33">
        <f t="shared" si="103"/>
        <v>0</v>
      </c>
      <c r="L60" s="33">
        <f t="shared" si="103"/>
        <v>0</v>
      </c>
      <c r="M60" s="33">
        <f t="shared" si="103"/>
        <v>0</v>
      </c>
      <c r="N60" s="33">
        <f t="shared" si="103"/>
        <v>0</v>
      </c>
      <c r="O60" s="33">
        <f t="shared" si="103"/>
        <v>0</v>
      </c>
      <c r="P60" s="142">
        <f t="shared" si="103"/>
        <v>0</v>
      </c>
      <c r="Q60" s="33">
        <f t="shared" ref="Q60" si="104">SUM(Q393:Q393)</f>
        <v>0</v>
      </c>
      <c r="R60" s="114">
        <f t="shared" ref="R60" si="105">SUM(R393:R393)</f>
        <v>0</v>
      </c>
    </row>
    <row r="61" spans="1:18" x14ac:dyDescent="0.2">
      <c r="A61" s="107">
        <f>SUM(A395:A397)</f>
        <v>5000</v>
      </c>
      <c r="B61" s="33">
        <f>SUM(B395:B397)</f>
        <v>22600</v>
      </c>
      <c r="C61" s="33">
        <f>SUM(C395:C397)</f>
        <v>73500</v>
      </c>
      <c r="D61" s="33">
        <f>SUM(D395:D397)</f>
        <v>17000</v>
      </c>
      <c r="E61" s="240">
        <v>20002</v>
      </c>
      <c r="F61" s="78" t="s">
        <v>4898</v>
      </c>
      <c r="G61" s="33">
        <f>SUM(G394:G397)</f>
        <v>26000</v>
      </c>
      <c r="H61" s="138">
        <f>IF(D61=G61,0,IF(D61=0,100,(G61-D61)/D61*100))</f>
        <v>52.941176470588239</v>
      </c>
      <c r="I61" s="33">
        <f>SUM(I394:I397)</f>
        <v>0</v>
      </c>
      <c r="J61" s="33">
        <f t="shared" ref="J61:R61" si="106">SUM(J394:J397)</f>
        <v>0</v>
      </c>
      <c r="K61" s="33">
        <f t="shared" si="106"/>
        <v>0</v>
      </c>
      <c r="L61" s="33">
        <f t="shared" si="106"/>
        <v>0</v>
      </c>
      <c r="M61" s="33">
        <f t="shared" si="106"/>
        <v>0</v>
      </c>
      <c r="N61" s="33">
        <f t="shared" si="106"/>
        <v>0</v>
      </c>
      <c r="O61" s="33">
        <f t="shared" si="106"/>
        <v>0</v>
      </c>
      <c r="P61" s="33">
        <f t="shared" si="106"/>
        <v>0</v>
      </c>
      <c r="Q61" s="33">
        <f t="shared" si="106"/>
        <v>0</v>
      </c>
      <c r="R61" s="114">
        <f t="shared" si="106"/>
        <v>0</v>
      </c>
    </row>
    <row r="62" spans="1:18" x14ac:dyDescent="0.2">
      <c r="A62" s="107">
        <f>ROUND(SUM(A398:A406),-3)</f>
        <v>268000</v>
      </c>
      <c r="B62" s="33">
        <f>ROUND(SUM(B398:B406),-2)</f>
        <v>195700</v>
      </c>
      <c r="C62" s="33">
        <f>SUM(C398:C406)</f>
        <v>175100</v>
      </c>
      <c r="D62" s="33">
        <f>SUM(D398:D406)</f>
        <v>164500</v>
      </c>
      <c r="E62" s="240">
        <v>20012</v>
      </c>
      <c r="F62" s="78" t="s">
        <v>1384</v>
      </c>
      <c r="G62" s="33">
        <f t="shared" ref="G62:O62" si="107">SUM(G398:G406)</f>
        <v>154500</v>
      </c>
      <c r="H62" s="138">
        <f>IF(D62=G62,0,IF(D62=0,100,(G62-D62)/D62*100))</f>
        <v>-6.0790273556231007</v>
      </c>
      <c r="I62" s="33">
        <f t="shared" si="107"/>
        <v>149500</v>
      </c>
      <c r="J62" s="142">
        <f t="shared" si="107"/>
        <v>289500</v>
      </c>
      <c r="K62" s="33">
        <f t="shared" si="107"/>
        <v>87500</v>
      </c>
      <c r="L62" s="33">
        <f t="shared" si="107"/>
        <v>218000</v>
      </c>
      <c r="M62" s="33">
        <f t="shared" si="107"/>
        <v>183500</v>
      </c>
      <c r="N62" s="33">
        <f t="shared" si="107"/>
        <v>166500</v>
      </c>
      <c r="O62" s="33">
        <f t="shared" si="107"/>
        <v>224000</v>
      </c>
      <c r="P62" s="142">
        <f t="shared" ref="P62:Q62" si="108">SUM(P398:P406)</f>
        <v>284500</v>
      </c>
      <c r="Q62" s="33">
        <f t="shared" si="108"/>
        <v>348000</v>
      </c>
      <c r="R62" s="114">
        <f t="shared" ref="R62" si="109">SUM(R398:R406)</f>
        <v>414000</v>
      </c>
    </row>
    <row r="63" spans="1:18" ht="13.5" thickBot="1" x14ac:dyDescent="0.25">
      <c r="A63" s="107"/>
      <c r="B63" s="33"/>
      <c r="C63" s="33"/>
      <c r="D63" s="33"/>
      <c r="E63" s="658"/>
      <c r="F63" s="99"/>
      <c r="G63" s="33"/>
      <c r="H63" s="138"/>
      <c r="I63" s="33"/>
      <c r="J63" s="142"/>
      <c r="K63" s="33"/>
      <c r="L63" s="33"/>
      <c r="M63" s="33"/>
      <c r="N63" s="33"/>
      <c r="O63" s="33"/>
      <c r="P63" s="142"/>
      <c r="Q63" s="33"/>
      <c r="R63" s="114"/>
    </row>
    <row r="64" spans="1:18" s="92" customFormat="1" x14ac:dyDescent="0.2">
      <c r="A64" s="105">
        <f>SUM(A58:A63)</f>
        <v>341900</v>
      </c>
      <c r="B64" s="53">
        <f>SUM(B58:B63)</f>
        <v>366700</v>
      </c>
      <c r="C64" s="53">
        <f>SUM(C58:C63)</f>
        <v>450200</v>
      </c>
      <c r="D64" s="53">
        <f>SUM(D58:D63)</f>
        <v>358700</v>
      </c>
      <c r="E64" s="690"/>
      <c r="F64" s="112" t="s">
        <v>2605</v>
      </c>
      <c r="G64" s="53">
        <f t="shared" ref="G64:O64" si="110">SUM(G58:G63)</f>
        <v>225500</v>
      </c>
      <c r="H64" s="180">
        <f>IF(E64=G64,0,IF(E64=0,100,(G64-E64)/E64*100))</f>
        <v>100</v>
      </c>
      <c r="I64" s="53">
        <f t="shared" si="110"/>
        <v>169500</v>
      </c>
      <c r="J64" s="155">
        <f t="shared" si="110"/>
        <v>310000</v>
      </c>
      <c r="K64" s="53">
        <f t="shared" si="110"/>
        <v>108600</v>
      </c>
      <c r="L64" s="53">
        <f t="shared" si="110"/>
        <v>239700</v>
      </c>
      <c r="M64" s="53">
        <f t="shared" si="110"/>
        <v>205700</v>
      </c>
      <c r="N64" s="53">
        <f t="shared" si="110"/>
        <v>189200</v>
      </c>
      <c r="O64" s="53">
        <f t="shared" si="110"/>
        <v>247200</v>
      </c>
      <c r="P64" s="155">
        <f t="shared" ref="P64:Q64" si="111">SUM(P58:P63)</f>
        <v>308200</v>
      </c>
      <c r="Q64" s="53">
        <f t="shared" si="111"/>
        <v>372200</v>
      </c>
      <c r="R64" s="113">
        <f t="shared" ref="R64" si="112">SUM(R58:R63)</f>
        <v>438700</v>
      </c>
    </row>
    <row r="65" spans="1:18" x14ac:dyDescent="0.2">
      <c r="A65" s="107"/>
      <c r="B65" s="33"/>
      <c r="C65" s="33"/>
      <c r="D65" s="33"/>
      <c r="E65" s="658"/>
      <c r="F65" s="99"/>
      <c r="G65" s="33"/>
      <c r="H65" s="138"/>
      <c r="I65" s="33"/>
      <c r="J65" s="142"/>
      <c r="K65" s="33"/>
      <c r="L65" s="33"/>
      <c r="M65" s="33"/>
      <c r="N65" s="33"/>
      <c r="O65" s="33"/>
      <c r="P65" s="142"/>
      <c r="Q65" s="33"/>
      <c r="R65" s="114"/>
    </row>
    <row r="66" spans="1:18" x14ac:dyDescent="0.2">
      <c r="A66" s="107"/>
      <c r="B66" s="33"/>
      <c r="C66" s="33"/>
      <c r="D66" s="33"/>
      <c r="E66" s="658"/>
      <c r="F66" s="144" t="s">
        <v>2205</v>
      </c>
      <c r="G66" s="33"/>
      <c r="H66" s="138"/>
      <c r="I66" s="33"/>
      <c r="J66" s="142"/>
      <c r="K66" s="33"/>
      <c r="L66" s="33"/>
      <c r="M66" s="33"/>
      <c r="N66" s="33"/>
      <c r="O66" s="33"/>
      <c r="P66" s="142"/>
      <c r="Q66" s="33"/>
      <c r="R66" s="114"/>
    </row>
    <row r="67" spans="1:18" x14ac:dyDescent="0.2">
      <c r="A67" s="107"/>
      <c r="B67" s="33"/>
      <c r="C67" s="33"/>
      <c r="D67" s="33"/>
      <c r="E67" s="658"/>
      <c r="F67" s="74"/>
      <c r="G67" s="33"/>
      <c r="H67" s="138"/>
      <c r="I67" s="33"/>
      <c r="J67" s="142"/>
      <c r="K67" s="33"/>
      <c r="L67" s="33"/>
      <c r="M67" s="33"/>
      <c r="N67" s="33"/>
      <c r="O67" s="33"/>
      <c r="P67" s="142"/>
      <c r="Q67" s="33"/>
      <c r="R67" s="114"/>
    </row>
    <row r="68" spans="1:18" x14ac:dyDescent="0.2">
      <c r="A68" s="107">
        <f>ROUND(SUM(A410:A414),-3)</f>
        <v>810000</v>
      </c>
      <c r="B68" s="33">
        <f>ROUND(SUM(B410:B414),-2)</f>
        <v>818700</v>
      </c>
      <c r="C68" s="33">
        <f>SUM(C410:C414)</f>
        <v>820300</v>
      </c>
      <c r="D68" s="33">
        <f>SUM(D410:D414)</f>
        <v>890900</v>
      </c>
      <c r="E68" s="240">
        <v>30000</v>
      </c>
      <c r="F68" s="99" t="s">
        <v>1249</v>
      </c>
      <c r="G68" s="33">
        <f t="shared" ref="G68:O68" si="113">SUM(G410:G414)</f>
        <v>962000</v>
      </c>
      <c r="H68" s="138">
        <f t="shared" ref="H68:H78" si="114">IF(D68=G68,0,IF(D68=0,100,(G68-D68)/D68*100))</f>
        <v>7.9806936805477608</v>
      </c>
      <c r="I68" s="33">
        <f t="shared" si="113"/>
        <v>981200</v>
      </c>
      <c r="J68" s="142">
        <f t="shared" si="113"/>
        <v>1005900</v>
      </c>
      <c r="K68" s="33">
        <f t="shared" si="113"/>
        <v>1031200</v>
      </c>
      <c r="L68" s="33">
        <f t="shared" si="113"/>
        <v>1057200</v>
      </c>
      <c r="M68" s="33">
        <f t="shared" si="113"/>
        <v>1083700</v>
      </c>
      <c r="N68" s="33">
        <f t="shared" si="113"/>
        <v>1110900</v>
      </c>
      <c r="O68" s="33">
        <f t="shared" si="113"/>
        <v>1138700</v>
      </c>
      <c r="P68" s="142">
        <f t="shared" ref="P68:Q68" si="115">SUM(P410:P414)</f>
        <v>1167200</v>
      </c>
      <c r="Q68" s="33">
        <f t="shared" si="115"/>
        <v>1196400</v>
      </c>
      <c r="R68" s="114">
        <f t="shared" ref="R68" si="116">SUM(R410:R414)</f>
        <v>1226300</v>
      </c>
    </row>
    <row r="69" spans="1:18" x14ac:dyDescent="0.2">
      <c r="A69" s="107">
        <f>ROUND(SUM(A415:A419),-3)</f>
        <v>25000</v>
      </c>
      <c r="B69" s="33">
        <f>ROUND(SUM(B415:B419),-2)</f>
        <v>28300</v>
      </c>
      <c r="C69" s="33">
        <f>SUM(C415:C419)</f>
        <v>21700</v>
      </c>
      <c r="D69" s="33">
        <f>SUM(D415:D419)</f>
        <v>36600</v>
      </c>
      <c r="E69" s="240">
        <v>30000</v>
      </c>
      <c r="F69" s="78" t="s">
        <v>2558</v>
      </c>
      <c r="G69" s="33">
        <f t="shared" ref="G69:O69" si="117">SUM(G415:G419)</f>
        <v>29000</v>
      </c>
      <c r="H69" s="138">
        <f t="shared" si="114"/>
        <v>-20.765027322404372</v>
      </c>
      <c r="I69" s="33">
        <f t="shared" si="117"/>
        <v>24000</v>
      </c>
      <c r="J69" s="142">
        <f t="shared" si="117"/>
        <v>24700</v>
      </c>
      <c r="K69" s="33">
        <f t="shared" si="117"/>
        <v>25500</v>
      </c>
      <c r="L69" s="33">
        <f t="shared" si="117"/>
        <v>26300</v>
      </c>
      <c r="M69" s="33">
        <f t="shared" si="117"/>
        <v>27000</v>
      </c>
      <c r="N69" s="33">
        <f t="shared" si="117"/>
        <v>27700</v>
      </c>
      <c r="O69" s="33">
        <f t="shared" si="117"/>
        <v>28400</v>
      </c>
      <c r="P69" s="142">
        <f t="shared" ref="P69:Q69" si="118">SUM(P415:P419)</f>
        <v>29100</v>
      </c>
      <c r="Q69" s="33">
        <f t="shared" si="118"/>
        <v>29800</v>
      </c>
      <c r="R69" s="114">
        <f t="shared" ref="R69" si="119">SUM(R415:R419)</f>
        <v>30500</v>
      </c>
    </row>
    <row r="70" spans="1:18" x14ac:dyDescent="0.2">
      <c r="A70" s="107">
        <f>ROUND(A433,-3)</f>
        <v>15000</v>
      </c>
      <c r="B70" s="33">
        <f>ROUND(B433,-2)</f>
        <v>14700</v>
      </c>
      <c r="C70" s="33">
        <f>C433</f>
        <v>14600</v>
      </c>
      <c r="D70" s="33">
        <f>D433</f>
        <v>8300</v>
      </c>
      <c r="E70" s="240">
        <v>30002</v>
      </c>
      <c r="F70" s="78" t="s">
        <v>2901</v>
      </c>
      <c r="G70" s="33">
        <f t="shared" ref="G70:P70" si="120">G433</f>
        <v>12000</v>
      </c>
      <c r="H70" s="138">
        <f t="shared" si="114"/>
        <v>44.578313253012048</v>
      </c>
      <c r="I70" s="33">
        <f t="shared" si="120"/>
        <v>15000</v>
      </c>
      <c r="J70" s="142">
        <f t="shared" si="120"/>
        <v>15400</v>
      </c>
      <c r="K70" s="33">
        <f t="shared" si="120"/>
        <v>15800</v>
      </c>
      <c r="L70" s="33">
        <f t="shared" si="120"/>
        <v>16200</v>
      </c>
      <c r="M70" s="33">
        <f t="shared" si="120"/>
        <v>16600</v>
      </c>
      <c r="N70" s="33">
        <f t="shared" si="120"/>
        <v>17000</v>
      </c>
      <c r="O70" s="33">
        <f t="shared" si="120"/>
        <v>17400</v>
      </c>
      <c r="P70" s="142">
        <f t="shared" si="120"/>
        <v>17800</v>
      </c>
      <c r="Q70" s="33">
        <f t="shared" ref="Q70" si="121">Q433</f>
        <v>18200</v>
      </c>
      <c r="R70" s="114">
        <f t="shared" ref="R70" si="122">R433</f>
        <v>18600</v>
      </c>
    </row>
    <row r="71" spans="1:18" x14ac:dyDescent="0.2">
      <c r="A71" s="107">
        <f t="shared" ref="A71:D73" si="123">SUM(A434:A434)</f>
        <v>0</v>
      </c>
      <c r="B71" s="33">
        <f t="shared" si="123"/>
        <v>4200</v>
      </c>
      <c r="C71" s="33">
        <f t="shared" si="123"/>
        <v>11300</v>
      </c>
      <c r="D71" s="33">
        <f t="shared" si="123"/>
        <v>7400</v>
      </c>
      <c r="E71" s="240">
        <v>30001</v>
      </c>
      <c r="F71" s="78" t="s">
        <v>4877</v>
      </c>
      <c r="G71" s="33">
        <f>SUM(G434:G434)</f>
        <v>12000</v>
      </c>
      <c r="H71" s="138">
        <f t="shared" si="114"/>
        <v>62.162162162162161</v>
      </c>
      <c r="I71" s="33">
        <f t="shared" ref="I71:Q71" si="124">SUM(I434:I434)</f>
        <v>15000</v>
      </c>
      <c r="J71" s="142">
        <f t="shared" si="124"/>
        <v>15400</v>
      </c>
      <c r="K71" s="33">
        <f t="shared" si="124"/>
        <v>15800</v>
      </c>
      <c r="L71" s="33">
        <f t="shared" si="124"/>
        <v>16200</v>
      </c>
      <c r="M71" s="33">
        <f t="shared" si="124"/>
        <v>16600</v>
      </c>
      <c r="N71" s="33">
        <f t="shared" si="124"/>
        <v>17000</v>
      </c>
      <c r="O71" s="33">
        <f t="shared" si="124"/>
        <v>17400</v>
      </c>
      <c r="P71" s="142">
        <f t="shared" si="124"/>
        <v>17800</v>
      </c>
      <c r="Q71" s="33">
        <f t="shared" si="124"/>
        <v>18200</v>
      </c>
      <c r="R71" s="114">
        <f t="shared" ref="R71" si="125">SUM(R434:R434)</f>
        <v>18600</v>
      </c>
    </row>
    <row r="72" spans="1:18" x14ac:dyDescent="0.2">
      <c r="A72" s="107">
        <f t="shared" si="123"/>
        <v>21700</v>
      </c>
      <c r="B72" s="33">
        <f t="shared" si="123"/>
        <v>41300</v>
      </c>
      <c r="C72" s="33">
        <f t="shared" si="123"/>
        <v>5300</v>
      </c>
      <c r="D72" s="33">
        <f t="shared" si="123"/>
        <v>6100</v>
      </c>
      <c r="E72" s="240">
        <v>30001</v>
      </c>
      <c r="F72" s="78" t="s">
        <v>4806</v>
      </c>
      <c r="G72" s="33">
        <f>SUM(G435:G435)</f>
        <v>12000</v>
      </c>
      <c r="H72" s="138">
        <f t="shared" si="114"/>
        <v>96.721311475409834</v>
      </c>
      <c r="I72" s="33">
        <f t="shared" ref="I72:Q72" si="126">SUM(I435:I435)</f>
        <v>15000</v>
      </c>
      <c r="J72" s="142">
        <f t="shared" si="126"/>
        <v>15400</v>
      </c>
      <c r="K72" s="33">
        <f t="shared" si="126"/>
        <v>15800</v>
      </c>
      <c r="L72" s="33">
        <f t="shared" si="126"/>
        <v>16200</v>
      </c>
      <c r="M72" s="33">
        <f t="shared" si="126"/>
        <v>16600</v>
      </c>
      <c r="N72" s="33">
        <f t="shared" si="126"/>
        <v>17000</v>
      </c>
      <c r="O72" s="33">
        <f t="shared" si="126"/>
        <v>17400</v>
      </c>
      <c r="P72" s="142">
        <f t="shared" si="126"/>
        <v>17800</v>
      </c>
      <c r="Q72" s="33">
        <f t="shared" si="126"/>
        <v>18200</v>
      </c>
      <c r="R72" s="114">
        <f t="shared" ref="R72" si="127">SUM(R435:R435)</f>
        <v>18600</v>
      </c>
    </row>
    <row r="73" spans="1:18" x14ac:dyDescent="0.2">
      <c r="A73" s="107">
        <f t="shared" si="123"/>
        <v>0</v>
      </c>
      <c r="B73" s="33">
        <f t="shared" si="123"/>
        <v>0</v>
      </c>
      <c r="C73" s="33">
        <f t="shared" si="123"/>
        <v>19400</v>
      </c>
      <c r="D73" s="33">
        <f t="shared" si="123"/>
        <v>2900</v>
      </c>
      <c r="E73" s="240">
        <v>30001</v>
      </c>
      <c r="F73" s="78" t="s">
        <v>6064</v>
      </c>
      <c r="G73" s="33">
        <f>SUM(G436:G436)</f>
        <v>30700</v>
      </c>
      <c r="H73" s="138">
        <f t="shared" si="114"/>
        <v>958.62068965517244</v>
      </c>
      <c r="I73" s="33">
        <f t="shared" ref="I73:Q73" si="128">SUM(I436:I436)</f>
        <v>25000</v>
      </c>
      <c r="J73" s="142">
        <f t="shared" si="128"/>
        <v>25700</v>
      </c>
      <c r="K73" s="33">
        <f t="shared" si="128"/>
        <v>26400</v>
      </c>
      <c r="L73" s="33">
        <f t="shared" si="128"/>
        <v>27100</v>
      </c>
      <c r="M73" s="33">
        <f t="shared" si="128"/>
        <v>27700</v>
      </c>
      <c r="N73" s="33">
        <f t="shared" si="128"/>
        <v>28300</v>
      </c>
      <c r="O73" s="33">
        <f t="shared" si="128"/>
        <v>28900</v>
      </c>
      <c r="P73" s="142">
        <f t="shared" si="128"/>
        <v>29500</v>
      </c>
      <c r="Q73" s="33">
        <f t="shared" si="128"/>
        <v>30100</v>
      </c>
      <c r="R73" s="114">
        <f t="shared" ref="R73" si="129">SUM(R436:R436)</f>
        <v>30800</v>
      </c>
    </row>
    <row r="74" spans="1:18" x14ac:dyDescent="0.2">
      <c r="A74" s="107">
        <f>SUM(A438:A438)</f>
        <v>23000</v>
      </c>
      <c r="B74" s="33">
        <f>SUM(B438:B438)</f>
        <v>24000</v>
      </c>
      <c r="C74" s="33">
        <f>SUM(C438:C438)</f>
        <v>16000</v>
      </c>
      <c r="D74" s="33">
        <f>SUM(D438:D438)</f>
        <v>5000</v>
      </c>
      <c r="E74" s="240">
        <v>30001</v>
      </c>
      <c r="F74" s="78" t="s">
        <v>6977</v>
      </c>
      <c r="G74" s="33">
        <f>SUM(G438:G438)</f>
        <v>15000</v>
      </c>
      <c r="H74" s="138">
        <f t="shared" ref="H74" si="130">IF(D74=G74,0,IF(D74=0,100,(G74-D74)/D74*100))</f>
        <v>200</v>
      </c>
      <c r="I74" s="33">
        <f t="shared" ref="I74:Q74" si="131">SUM(I438:I438)</f>
        <v>15000</v>
      </c>
      <c r="J74" s="142">
        <f t="shared" si="131"/>
        <v>15400</v>
      </c>
      <c r="K74" s="33">
        <f t="shared" si="131"/>
        <v>15800</v>
      </c>
      <c r="L74" s="33">
        <f t="shared" si="131"/>
        <v>16200</v>
      </c>
      <c r="M74" s="33">
        <f t="shared" si="131"/>
        <v>16600</v>
      </c>
      <c r="N74" s="33">
        <f t="shared" si="131"/>
        <v>17000</v>
      </c>
      <c r="O74" s="33">
        <f t="shared" si="131"/>
        <v>17400</v>
      </c>
      <c r="P74" s="142">
        <f t="shared" si="131"/>
        <v>17800</v>
      </c>
      <c r="Q74" s="33">
        <f t="shared" si="131"/>
        <v>18200</v>
      </c>
      <c r="R74" s="114">
        <f t="shared" ref="R74" si="132">SUM(R438:R438)</f>
        <v>18600</v>
      </c>
    </row>
    <row r="75" spans="1:18" x14ac:dyDescent="0.2">
      <c r="A75" s="107">
        <f>SUM(A423:A425)</f>
        <v>33600</v>
      </c>
      <c r="B75" s="33">
        <f t="shared" ref="B75:D75" si="133">SUM(B423:B425)</f>
        <v>15600</v>
      </c>
      <c r="C75" s="33">
        <f t="shared" si="133"/>
        <v>72500</v>
      </c>
      <c r="D75" s="33">
        <f t="shared" si="133"/>
        <v>11100</v>
      </c>
      <c r="E75" s="240">
        <v>30001</v>
      </c>
      <c r="F75" s="78" t="s">
        <v>6978</v>
      </c>
      <c r="G75" s="33">
        <f>SUM(G423:G425)</f>
        <v>67400</v>
      </c>
      <c r="H75" s="138">
        <f t="shared" ref="H75" si="134">IF(D75=G75,0,IF(D75=0,100,(G75-D75)/D75*100))</f>
        <v>507.2072072072072</v>
      </c>
      <c r="I75" s="33">
        <f t="shared" ref="I75:Q75" si="135">SUM(I423:I425)</f>
        <v>20000</v>
      </c>
      <c r="J75" s="142">
        <f t="shared" si="135"/>
        <v>20500</v>
      </c>
      <c r="K75" s="33">
        <f t="shared" si="135"/>
        <v>21100</v>
      </c>
      <c r="L75" s="33">
        <f t="shared" si="135"/>
        <v>21700</v>
      </c>
      <c r="M75" s="33">
        <f t="shared" si="135"/>
        <v>22200</v>
      </c>
      <c r="N75" s="33">
        <f t="shared" si="135"/>
        <v>22700</v>
      </c>
      <c r="O75" s="33">
        <f t="shared" si="135"/>
        <v>23200</v>
      </c>
      <c r="P75" s="142">
        <f t="shared" si="135"/>
        <v>23700</v>
      </c>
      <c r="Q75" s="33">
        <f t="shared" si="135"/>
        <v>24200</v>
      </c>
      <c r="R75" s="114">
        <f t="shared" ref="R75" si="136">SUM(R423:R425)</f>
        <v>24700</v>
      </c>
    </row>
    <row r="76" spans="1:18" x14ac:dyDescent="0.2">
      <c r="A76" s="107">
        <f>SUM(A420:A445)-SUM(A70:A75)</f>
        <v>309500</v>
      </c>
      <c r="B76" s="33">
        <f>SUM(B420:B445)-SUM(B70:B75)</f>
        <v>97400</v>
      </c>
      <c r="C76" s="33">
        <f>SUM(C420:C445)-SUM(C70:C75)</f>
        <v>125000</v>
      </c>
      <c r="D76" s="33">
        <f>SUM(D420:D445)-SUM(D70:D75)</f>
        <v>103100</v>
      </c>
      <c r="E76" s="240">
        <v>30003</v>
      </c>
      <c r="F76" s="78" t="s">
        <v>6065</v>
      </c>
      <c r="G76" s="33">
        <f>SUM(G420:G445)-SUM(G70:G75)</f>
        <v>136000</v>
      </c>
      <c r="H76" s="138">
        <f t="shared" si="114"/>
        <v>31.910766246362755</v>
      </c>
      <c r="I76" s="33">
        <f t="shared" ref="I76:R76" si="137">SUM(I420:I445)-SUM(I70:I75)</f>
        <v>30200</v>
      </c>
      <c r="J76" s="142">
        <f t="shared" si="137"/>
        <v>31000</v>
      </c>
      <c r="K76" s="33">
        <f t="shared" si="137"/>
        <v>31900</v>
      </c>
      <c r="L76" s="33">
        <f t="shared" si="137"/>
        <v>32800</v>
      </c>
      <c r="M76" s="33">
        <f t="shared" si="137"/>
        <v>33600</v>
      </c>
      <c r="N76" s="33">
        <f t="shared" si="137"/>
        <v>34400</v>
      </c>
      <c r="O76" s="33">
        <f t="shared" si="137"/>
        <v>35200</v>
      </c>
      <c r="P76" s="142">
        <f t="shared" si="137"/>
        <v>36000</v>
      </c>
      <c r="Q76" s="33">
        <f t="shared" si="137"/>
        <v>36800</v>
      </c>
      <c r="R76" s="114">
        <f t="shared" si="137"/>
        <v>37600</v>
      </c>
    </row>
    <row r="77" spans="1:18" x14ac:dyDescent="0.2">
      <c r="A77" s="107">
        <f>ROUND(SUM(A446:A458),-3)</f>
        <v>15000</v>
      </c>
      <c r="B77" s="33">
        <f>ROUND(SUM(B446:B458),-2)</f>
        <v>31300</v>
      </c>
      <c r="C77" s="33">
        <f>SUM(C446:C458)</f>
        <v>21200</v>
      </c>
      <c r="D77" s="33">
        <f>SUM(D446:D458)</f>
        <v>73000</v>
      </c>
      <c r="E77" s="240">
        <v>30003</v>
      </c>
      <c r="F77" s="78" t="s">
        <v>6959</v>
      </c>
      <c r="G77" s="33">
        <f>SUM(G446:G458)</f>
        <v>176800</v>
      </c>
      <c r="H77" s="138">
        <f t="shared" si="114"/>
        <v>142.1917808219178</v>
      </c>
      <c r="I77" s="33">
        <f t="shared" ref="I77:Q77" si="138">SUM(I446:I458)</f>
        <v>20000</v>
      </c>
      <c r="J77" s="142">
        <f t="shared" si="138"/>
        <v>20500</v>
      </c>
      <c r="K77" s="33">
        <f t="shared" si="138"/>
        <v>21100</v>
      </c>
      <c r="L77" s="33">
        <f t="shared" si="138"/>
        <v>21700</v>
      </c>
      <c r="M77" s="33">
        <f t="shared" si="138"/>
        <v>22200</v>
      </c>
      <c r="N77" s="33">
        <f t="shared" si="138"/>
        <v>22700</v>
      </c>
      <c r="O77" s="33">
        <f t="shared" si="138"/>
        <v>23200</v>
      </c>
      <c r="P77" s="142">
        <f t="shared" si="138"/>
        <v>23700</v>
      </c>
      <c r="Q77" s="33">
        <f t="shared" si="138"/>
        <v>24200</v>
      </c>
      <c r="R77" s="114">
        <f t="shared" ref="R77" si="139">SUM(R446:R458)</f>
        <v>24700</v>
      </c>
    </row>
    <row r="78" spans="1:18" x14ac:dyDescent="0.2">
      <c r="A78" s="107">
        <f>ROUND(SUM(A459:A463),-3)</f>
        <v>7000</v>
      </c>
      <c r="B78" s="33">
        <f>ROUND(SUM(B459:B463),-2)</f>
        <v>0</v>
      </c>
      <c r="C78" s="33">
        <f>SUM(C459:C463)</f>
        <v>22800</v>
      </c>
      <c r="D78" s="33">
        <f>SUM(D459:D463)</f>
        <v>60700</v>
      </c>
      <c r="E78" s="240">
        <v>30001</v>
      </c>
      <c r="F78" s="78" t="s">
        <v>3661</v>
      </c>
      <c r="G78" s="33">
        <f>SUM(G459:G463)</f>
        <v>68200</v>
      </c>
      <c r="H78" s="138">
        <f t="shared" si="114"/>
        <v>12.355848434925864</v>
      </c>
      <c r="I78" s="33">
        <f t="shared" ref="I78:Q78" si="140">SUM(I459:I463)</f>
        <v>10000</v>
      </c>
      <c r="J78" s="142">
        <f t="shared" si="140"/>
        <v>10300</v>
      </c>
      <c r="K78" s="33">
        <f t="shared" si="140"/>
        <v>10600</v>
      </c>
      <c r="L78" s="33">
        <f t="shared" si="140"/>
        <v>10900</v>
      </c>
      <c r="M78" s="33">
        <f t="shared" si="140"/>
        <v>11200</v>
      </c>
      <c r="N78" s="33">
        <f t="shared" si="140"/>
        <v>11500</v>
      </c>
      <c r="O78" s="33">
        <f t="shared" si="140"/>
        <v>11800</v>
      </c>
      <c r="P78" s="142">
        <f t="shared" si="140"/>
        <v>12100</v>
      </c>
      <c r="Q78" s="33">
        <f t="shared" si="140"/>
        <v>12400</v>
      </c>
      <c r="R78" s="114">
        <f t="shared" ref="R78" si="141">SUM(R459:R463)</f>
        <v>12700</v>
      </c>
    </row>
    <row r="79" spans="1:18" ht="13.5" thickBot="1" x14ac:dyDescent="0.25">
      <c r="A79" s="107"/>
      <c r="B79" s="33"/>
      <c r="C79" s="33"/>
      <c r="D79" s="33"/>
      <c r="E79" s="658"/>
      <c r="F79" s="99"/>
      <c r="G79" s="33"/>
      <c r="H79" s="138"/>
      <c r="I79" s="33"/>
      <c r="J79" s="142"/>
      <c r="K79" s="33"/>
      <c r="L79" s="33"/>
      <c r="M79" s="33"/>
      <c r="N79" s="33"/>
      <c r="O79" s="33"/>
      <c r="P79" s="142"/>
      <c r="Q79" s="33"/>
      <c r="R79" s="114"/>
    </row>
    <row r="80" spans="1:18" s="92" customFormat="1" x14ac:dyDescent="0.2">
      <c r="A80" s="105">
        <f>SUM(A67:A79)</f>
        <v>1259800</v>
      </c>
      <c r="B80" s="53">
        <f>SUM(B67:B79)</f>
        <v>1075500</v>
      </c>
      <c r="C80" s="53">
        <f>SUM(C67:C79)</f>
        <v>1150100</v>
      </c>
      <c r="D80" s="53">
        <f>SUM(D67:D79)</f>
        <v>1205100</v>
      </c>
      <c r="E80" s="674"/>
      <c r="F80" s="112" t="s">
        <v>565</v>
      </c>
      <c r="G80" s="53">
        <f>SUM(G67:G79)</f>
        <v>1521100</v>
      </c>
      <c r="H80" s="180">
        <f>IF(D80=G80,0,IF(D80=0,100,(G80-D80)/D80*100))</f>
        <v>26.221890299560201</v>
      </c>
      <c r="I80" s="53">
        <f t="shared" ref="I80:Q80" si="142">SUM(I67:I79)</f>
        <v>1170400</v>
      </c>
      <c r="J80" s="155">
        <f t="shared" si="142"/>
        <v>1200200</v>
      </c>
      <c r="K80" s="53">
        <f t="shared" si="142"/>
        <v>1231000</v>
      </c>
      <c r="L80" s="53">
        <f t="shared" si="142"/>
        <v>1262500</v>
      </c>
      <c r="M80" s="53">
        <f t="shared" si="142"/>
        <v>1294000</v>
      </c>
      <c r="N80" s="53">
        <f t="shared" si="142"/>
        <v>1326200</v>
      </c>
      <c r="O80" s="53">
        <f t="shared" si="142"/>
        <v>1359000</v>
      </c>
      <c r="P80" s="155">
        <f t="shared" si="142"/>
        <v>1392500</v>
      </c>
      <c r="Q80" s="53">
        <f t="shared" si="142"/>
        <v>1426700</v>
      </c>
      <c r="R80" s="113">
        <f t="shared" ref="R80" si="143">SUM(R67:R79)</f>
        <v>1461700</v>
      </c>
    </row>
    <row r="81" spans="1:18" x14ac:dyDescent="0.2">
      <c r="A81" s="107"/>
      <c r="B81" s="33"/>
      <c r="C81" s="33"/>
      <c r="D81" s="33"/>
      <c r="E81" s="673"/>
      <c r="F81" s="108"/>
      <c r="G81" s="33"/>
      <c r="H81" s="138">
        <f>IF(D81=G81,0,IF(D81=0,100,(G81-D81)/D81*100))</f>
        <v>0</v>
      </c>
      <c r="I81" s="33"/>
      <c r="J81" s="142"/>
      <c r="K81" s="33"/>
      <c r="L81" s="33"/>
      <c r="M81" s="33"/>
      <c r="N81" s="33"/>
      <c r="O81" s="33"/>
      <c r="P81" s="142"/>
      <c r="Q81" s="33"/>
      <c r="R81" s="114"/>
    </row>
    <row r="82" spans="1:18" s="92" customFormat="1" x14ac:dyDescent="0.2">
      <c r="A82" s="70">
        <f>A64-A80</f>
        <v>-917900</v>
      </c>
      <c r="B82" s="64">
        <f>B64-B80</f>
        <v>-708800</v>
      </c>
      <c r="C82" s="64">
        <f>C64-C80</f>
        <v>-699900</v>
      </c>
      <c r="D82" s="64">
        <f>D64-D80</f>
        <v>-846400</v>
      </c>
      <c r="E82" s="674"/>
      <c r="F82" s="1962" t="s">
        <v>1019</v>
      </c>
      <c r="G82" s="64">
        <f>G64-G80</f>
        <v>-1295600</v>
      </c>
      <c r="H82" s="179">
        <f>IF(D82=G82,0,IF(D82=0,100,(G82-D82)/D82*100))</f>
        <v>53.071833648393195</v>
      </c>
      <c r="I82" s="64">
        <f t="shared" ref="I82:Q82" si="144">I64-I80</f>
        <v>-1000900</v>
      </c>
      <c r="J82" s="128">
        <f t="shared" si="144"/>
        <v>-890200</v>
      </c>
      <c r="K82" s="64">
        <f t="shared" si="144"/>
        <v>-1122400</v>
      </c>
      <c r="L82" s="64">
        <f t="shared" si="144"/>
        <v>-1022800</v>
      </c>
      <c r="M82" s="64">
        <f t="shared" si="144"/>
        <v>-1088300</v>
      </c>
      <c r="N82" s="64">
        <f t="shared" si="144"/>
        <v>-1137000</v>
      </c>
      <c r="O82" s="64">
        <f t="shared" si="144"/>
        <v>-1111800</v>
      </c>
      <c r="P82" s="128">
        <f t="shared" si="144"/>
        <v>-1084300</v>
      </c>
      <c r="Q82" s="64">
        <f t="shared" si="144"/>
        <v>-1054500</v>
      </c>
      <c r="R82" s="115">
        <f t="shared" ref="R82" si="145">R64-R80</f>
        <v>-1023000</v>
      </c>
    </row>
    <row r="83" spans="1:18" x14ac:dyDescent="0.2">
      <c r="A83" s="107">
        <v>0</v>
      </c>
      <c r="B83" s="33">
        <v>0</v>
      </c>
      <c r="C83" s="33">
        <v>0</v>
      </c>
      <c r="D83" s="33">
        <v>0</v>
      </c>
      <c r="E83" s="673"/>
      <c r="F83" s="2531" t="s">
        <v>1976</v>
      </c>
      <c r="G83" s="33">
        <v>0</v>
      </c>
      <c r="H83" s="19">
        <f>IF(D83=G83,0,IF(D83=0,100,(G83-D83)/D83*100))</f>
        <v>0</v>
      </c>
      <c r="I83" s="33">
        <v>0</v>
      </c>
      <c r="J83" s="142">
        <v>0</v>
      </c>
      <c r="K83" s="33">
        <v>0</v>
      </c>
      <c r="L83" s="33">
        <v>0</v>
      </c>
      <c r="M83" s="33">
        <v>0</v>
      </c>
      <c r="N83" s="33">
        <v>0</v>
      </c>
      <c r="O83" s="33">
        <v>0</v>
      </c>
      <c r="P83" s="142">
        <v>0</v>
      </c>
      <c r="Q83" s="33">
        <v>0</v>
      </c>
      <c r="R83" s="114">
        <v>0</v>
      </c>
    </row>
    <row r="84" spans="1:18" s="92" customFormat="1" x14ac:dyDescent="0.2">
      <c r="A84" s="181">
        <f>A82+A83</f>
        <v>-917900</v>
      </c>
      <c r="B84" s="397">
        <f>B82+B83</f>
        <v>-708800</v>
      </c>
      <c r="C84" s="397">
        <f>C82+C83</f>
        <v>-699900</v>
      </c>
      <c r="D84" s="397">
        <f>D82+D83</f>
        <v>-846400</v>
      </c>
      <c r="E84" s="675"/>
      <c r="F84" s="1972" t="s">
        <v>1687</v>
      </c>
      <c r="G84" s="397">
        <f t="shared" ref="G84:O84" si="146">G82+G83</f>
        <v>-1295600</v>
      </c>
      <c r="H84" s="395">
        <f>IF(D84=G84,0,IF(D84=0,100,(G84-D84)/D84*100))</f>
        <v>53.071833648393195</v>
      </c>
      <c r="I84" s="397">
        <f t="shared" si="146"/>
        <v>-1000900</v>
      </c>
      <c r="J84" s="377">
        <f t="shared" si="146"/>
        <v>-890200</v>
      </c>
      <c r="K84" s="397">
        <f t="shared" si="146"/>
        <v>-1122400</v>
      </c>
      <c r="L84" s="397">
        <f t="shared" si="146"/>
        <v>-1022800</v>
      </c>
      <c r="M84" s="397">
        <f t="shared" si="146"/>
        <v>-1088300</v>
      </c>
      <c r="N84" s="397">
        <f t="shared" si="146"/>
        <v>-1137000</v>
      </c>
      <c r="O84" s="397">
        <f t="shared" si="146"/>
        <v>-1111800</v>
      </c>
      <c r="P84" s="377">
        <f t="shared" ref="P84:Q84" si="147">P82+P83</f>
        <v>-1084300</v>
      </c>
      <c r="Q84" s="397">
        <f t="shared" si="147"/>
        <v>-1054500</v>
      </c>
      <c r="R84" s="399">
        <f t="shared" ref="R84" si="148">R82+R83</f>
        <v>-1023000</v>
      </c>
    </row>
    <row r="85" spans="1:18" ht="13.5" thickBot="1" x14ac:dyDescent="0.25">
      <c r="A85" s="171"/>
      <c r="B85" s="66"/>
      <c r="C85" s="66"/>
      <c r="D85" s="66"/>
      <c r="E85" s="676"/>
      <c r="F85" s="2540"/>
      <c r="G85" s="66"/>
      <c r="H85" s="140"/>
      <c r="I85" s="121"/>
      <c r="J85" s="95"/>
      <c r="K85" s="121"/>
      <c r="L85" s="121"/>
      <c r="M85" s="121"/>
      <c r="N85" s="121"/>
      <c r="O85" s="121"/>
      <c r="P85" s="95"/>
      <c r="Q85" s="121"/>
      <c r="R85" s="161"/>
    </row>
    <row r="86" spans="1:18" ht="13.5" thickTop="1" x14ac:dyDescent="0.2">
      <c r="A86" s="383"/>
      <c r="B86" s="162"/>
      <c r="C86" s="162"/>
      <c r="D86" s="162"/>
      <c r="E86" s="677"/>
      <c r="F86" s="640"/>
      <c r="G86" s="162"/>
      <c r="H86" s="505"/>
      <c r="I86" s="127"/>
      <c r="J86" s="164"/>
      <c r="K86" s="127"/>
      <c r="L86" s="127"/>
      <c r="M86" s="127"/>
      <c r="N86" s="127"/>
      <c r="O86" s="127"/>
      <c r="P86" s="164"/>
      <c r="Q86" s="127"/>
      <c r="R86" s="163"/>
    </row>
    <row r="87" spans="1:18" x14ac:dyDescent="0.2">
      <c r="A87" s="70"/>
      <c r="B87" s="64"/>
      <c r="C87" s="64"/>
      <c r="D87" s="64"/>
      <c r="E87" s="657"/>
      <c r="F87" s="1962" t="s">
        <v>196</v>
      </c>
      <c r="G87" s="64"/>
      <c r="H87" s="179"/>
      <c r="I87" s="33"/>
      <c r="J87" s="142"/>
      <c r="K87" s="33"/>
      <c r="L87" s="33"/>
      <c r="M87" s="33"/>
      <c r="N87" s="33"/>
      <c r="O87" s="33"/>
      <c r="P87" s="142"/>
      <c r="Q87" s="33"/>
      <c r="R87" s="114"/>
    </row>
    <row r="88" spans="1:18" x14ac:dyDescent="0.2">
      <c r="A88" s="70"/>
      <c r="B88" s="64"/>
      <c r="C88" s="64"/>
      <c r="D88" s="64"/>
      <c r="E88" s="657"/>
      <c r="F88" s="371"/>
      <c r="G88" s="74"/>
      <c r="H88" s="179"/>
      <c r="I88" s="33"/>
      <c r="J88" s="142"/>
      <c r="K88" s="33"/>
      <c r="L88" s="33"/>
      <c r="M88" s="33"/>
      <c r="N88" s="33"/>
      <c r="O88" s="33"/>
      <c r="P88" s="142"/>
      <c r="Q88" s="33"/>
      <c r="R88" s="114"/>
    </row>
    <row r="89" spans="1:18" x14ac:dyDescent="0.2">
      <c r="A89" s="107">
        <f t="shared" ref="A89:A93" si="149">ROUND(A472,-3)</f>
        <v>0</v>
      </c>
      <c r="B89" s="33">
        <f t="shared" ref="B89:C93" si="150">B472</f>
        <v>0</v>
      </c>
      <c r="C89" s="33">
        <f t="shared" si="150"/>
        <v>0</v>
      </c>
      <c r="D89" s="33">
        <f>D472</f>
        <v>0</v>
      </c>
      <c r="E89" s="657"/>
      <c r="F89" s="525" t="s">
        <v>1791</v>
      </c>
      <c r="G89" s="99">
        <f t="shared" ref="G89:O89" si="151">G472</f>
        <v>0</v>
      </c>
      <c r="H89" s="138"/>
      <c r="I89" s="33">
        <f t="shared" si="151"/>
        <v>0</v>
      </c>
      <c r="J89" s="142">
        <f t="shared" si="151"/>
        <v>0</v>
      </c>
      <c r="K89" s="33">
        <f t="shared" si="151"/>
        <v>0</v>
      </c>
      <c r="L89" s="33">
        <f t="shared" si="151"/>
        <v>0</v>
      </c>
      <c r="M89" s="33">
        <f t="shared" si="151"/>
        <v>0</v>
      </c>
      <c r="N89" s="33">
        <f t="shared" si="151"/>
        <v>0</v>
      </c>
      <c r="O89" s="33">
        <f t="shared" si="151"/>
        <v>0</v>
      </c>
      <c r="P89" s="142">
        <f t="shared" ref="P89:Q89" si="152">P472</f>
        <v>0</v>
      </c>
      <c r="Q89" s="33">
        <f t="shared" si="152"/>
        <v>0</v>
      </c>
      <c r="R89" s="114">
        <f t="shared" ref="R89" si="153">R472</f>
        <v>0</v>
      </c>
    </row>
    <row r="90" spans="1:18" x14ac:dyDescent="0.2">
      <c r="A90" s="107">
        <f t="shared" si="149"/>
        <v>3460000</v>
      </c>
      <c r="B90" s="33">
        <f t="shared" si="150"/>
        <v>2729700</v>
      </c>
      <c r="C90" s="33">
        <f t="shared" si="150"/>
        <v>3392100</v>
      </c>
      <c r="D90" s="33">
        <f>D473</f>
        <v>2658200</v>
      </c>
      <c r="E90" s="657"/>
      <c r="F90" s="366" t="s">
        <v>1942</v>
      </c>
      <c r="G90" s="99">
        <f t="shared" ref="G90:O90" si="154">G473</f>
        <v>3258500</v>
      </c>
      <c r="H90" s="138"/>
      <c r="I90" s="33">
        <f t="shared" si="154"/>
        <v>7318500</v>
      </c>
      <c r="J90" s="142">
        <f t="shared" si="154"/>
        <v>8636500</v>
      </c>
      <c r="K90" s="33">
        <f t="shared" si="154"/>
        <v>6641500</v>
      </c>
      <c r="L90" s="33">
        <f t="shared" si="154"/>
        <v>12935000</v>
      </c>
      <c r="M90" s="33">
        <f t="shared" si="154"/>
        <v>13154500</v>
      </c>
      <c r="N90" s="33">
        <f t="shared" si="154"/>
        <v>3396500</v>
      </c>
      <c r="O90" s="33">
        <f t="shared" si="154"/>
        <v>3517000</v>
      </c>
      <c r="P90" s="142">
        <f t="shared" ref="P90:Q90" si="155">P473</f>
        <v>3643500</v>
      </c>
      <c r="Q90" s="33">
        <f t="shared" si="155"/>
        <v>3774000</v>
      </c>
      <c r="R90" s="114">
        <f t="shared" ref="R90" si="156">R473</f>
        <v>3908000</v>
      </c>
    </row>
    <row r="91" spans="1:18" x14ac:dyDescent="0.2">
      <c r="A91" s="107">
        <f t="shared" si="149"/>
        <v>294000</v>
      </c>
      <c r="B91" s="33">
        <f t="shared" si="150"/>
        <v>220400</v>
      </c>
      <c r="C91" s="33">
        <f t="shared" si="150"/>
        <v>286700</v>
      </c>
      <c r="D91" s="33">
        <f>D474</f>
        <v>239100</v>
      </c>
      <c r="E91" s="657"/>
      <c r="F91" s="366" t="s">
        <v>2348</v>
      </c>
      <c r="G91" s="99">
        <f t="shared" ref="G91:O91" si="157">G474</f>
        <v>338700</v>
      </c>
      <c r="H91" s="138"/>
      <c r="I91" s="33">
        <f t="shared" si="157"/>
        <v>0</v>
      </c>
      <c r="J91" s="142">
        <f t="shared" si="157"/>
        <v>0</v>
      </c>
      <c r="K91" s="33">
        <f t="shared" si="157"/>
        <v>0</v>
      </c>
      <c r="L91" s="33">
        <f t="shared" si="157"/>
        <v>0</v>
      </c>
      <c r="M91" s="33">
        <f t="shared" si="157"/>
        <v>0</v>
      </c>
      <c r="N91" s="33">
        <f t="shared" si="157"/>
        <v>0</v>
      </c>
      <c r="O91" s="33">
        <f t="shared" si="157"/>
        <v>0</v>
      </c>
      <c r="P91" s="142">
        <f t="shared" ref="P91:Q91" si="158">P474</f>
        <v>0</v>
      </c>
      <c r="Q91" s="33">
        <f t="shared" si="158"/>
        <v>0</v>
      </c>
      <c r="R91" s="114">
        <f t="shared" ref="R91" si="159">R474</f>
        <v>0</v>
      </c>
    </row>
    <row r="92" spans="1:18" x14ac:dyDescent="0.2">
      <c r="A92" s="107">
        <f t="shared" si="149"/>
        <v>2922000</v>
      </c>
      <c r="B92" s="33">
        <f t="shared" si="150"/>
        <v>2268800</v>
      </c>
      <c r="C92" s="33">
        <f t="shared" si="150"/>
        <v>2924000</v>
      </c>
      <c r="D92" s="33">
        <f>D475</f>
        <v>2226100</v>
      </c>
      <c r="E92" s="657"/>
      <c r="F92" s="366" t="s">
        <v>5984</v>
      </c>
      <c r="G92" s="99">
        <f t="shared" ref="G92:O92" si="160">G475</f>
        <v>3104000</v>
      </c>
      <c r="H92" s="138"/>
      <c r="I92" s="33">
        <f t="shared" si="160"/>
        <v>7169000</v>
      </c>
      <c r="J92" s="142">
        <f t="shared" si="160"/>
        <v>8347000</v>
      </c>
      <c r="K92" s="33">
        <f t="shared" si="160"/>
        <v>6554000</v>
      </c>
      <c r="L92" s="33">
        <f t="shared" si="160"/>
        <v>12717000</v>
      </c>
      <c r="M92" s="33">
        <f t="shared" si="160"/>
        <v>12971000</v>
      </c>
      <c r="N92" s="33">
        <f t="shared" si="160"/>
        <v>3230000</v>
      </c>
      <c r="O92" s="33">
        <f t="shared" si="160"/>
        <v>3293000</v>
      </c>
      <c r="P92" s="142">
        <f t="shared" ref="P92:Q92" si="161">P475</f>
        <v>3359000</v>
      </c>
      <c r="Q92" s="33">
        <f t="shared" si="161"/>
        <v>3426000</v>
      </c>
      <c r="R92" s="114">
        <f t="shared" ref="R92" si="162">R475</f>
        <v>3494000</v>
      </c>
    </row>
    <row r="93" spans="1:18" x14ac:dyDescent="0.2">
      <c r="A93" s="107">
        <f t="shared" si="149"/>
        <v>0</v>
      </c>
      <c r="B93" s="33">
        <f t="shared" si="150"/>
        <v>0</v>
      </c>
      <c r="C93" s="33">
        <f t="shared" si="150"/>
        <v>0</v>
      </c>
      <c r="D93" s="33">
        <f>D476</f>
        <v>0</v>
      </c>
      <c r="E93" s="657"/>
      <c r="F93" s="366" t="s">
        <v>972</v>
      </c>
      <c r="G93" s="99">
        <f t="shared" ref="G93:O93" si="163">G476</f>
        <v>0</v>
      </c>
      <c r="H93" s="138"/>
      <c r="I93" s="33">
        <f t="shared" si="163"/>
        <v>0</v>
      </c>
      <c r="J93" s="142">
        <f t="shared" si="163"/>
        <v>0</v>
      </c>
      <c r="K93" s="33">
        <f t="shared" si="163"/>
        <v>0</v>
      </c>
      <c r="L93" s="33">
        <f t="shared" si="163"/>
        <v>0</v>
      </c>
      <c r="M93" s="33">
        <f t="shared" si="163"/>
        <v>0</v>
      </c>
      <c r="N93" s="33">
        <f t="shared" si="163"/>
        <v>0</v>
      </c>
      <c r="O93" s="33">
        <f t="shared" si="163"/>
        <v>0</v>
      </c>
      <c r="P93" s="142">
        <f t="shared" ref="P93:Q93" si="164">P476</f>
        <v>0</v>
      </c>
      <c r="Q93" s="33">
        <f t="shared" si="164"/>
        <v>0</v>
      </c>
      <c r="R93" s="114">
        <f t="shared" ref="R93" si="165">R476</f>
        <v>0</v>
      </c>
    </row>
    <row r="94" spans="1:18" x14ac:dyDescent="0.2">
      <c r="A94" s="107"/>
      <c r="B94" s="33"/>
      <c r="C94" s="33"/>
      <c r="D94" s="33"/>
      <c r="E94" s="657"/>
      <c r="F94" s="516"/>
      <c r="G94" s="99"/>
      <c r="H94" s="138"/>
      <c r="I94" s="33"/>
      <c r="J94" s="142"/>
      <c r="K94" s="33"/>
      <c r="L94" s="33"/>
      <c r="M94" s="33"/>
      <c r="N94" s="33"/>
      <c r="O94" s="33"/>
      <c r="P94" s="142"/>
      <c r="Q94" s="33"/>
      <c r="R94" s="114"/>
    </row>
    <row r="95" spans="1:18" s="92" customFormat="1" x14ac:dyDescent="0.2">
      <c r="A95" s="181">
        <f>A84-A89-A90+A91++A92-A93</f>
        <v>-1161900</v>
      </c>
      <c r="B95" s="397">
        <f>B84-B89-B90+B91++B92-B93</f>
        <v>-949300</v>
      </c>
      <c r="C95" s="397">
        <f>C84-C89-C90+C91++C92-C93</f>
        <v>-881300</v>
      </c>
      <c r="D95" s="397">
        <f>D84-D89-D90+D91++D92-D93</f>
        <v>-1039400</v>
      </c>
      <c r="E95" s="678"/>
      <c r="F95" s="518" t="s">
        <v>2490</v>
      </c>
      <c r="G95" s="704">
        <f t="shared" ref="G95:O95" si="166">G84-G89-G90+G91++G92-G93</f>
        <v>-1111400</v>
      </c>
      <c r="H95" s="395">
        <f>IF(D95=G95,0,IF(D95=0,100,(G95-D95)/D95*100))</f>
        <v>6.9270733115258807</v>
      </c>
      <c r="I95" s="397">
        <f t="shared" si="166"/>
        <v>-1150400</v>
      </c>
      <c r="J95" s="377">
        <f t="shared" si="166"/>
        <v>-1179700</v>
      </c>
      <c r="K95" s="397">
        <f t="shared" si="166"/>
        <v>-1209900</v>
      </c>
      <c r="L95" s="397">
        <f t="shared" si="166"/>
        <v>-1240800</v>
      </c>
      <c r="M95" s="397">
        <f t="shared" si="166"/>
        <v>-1271800</v>
      </c>
      <c r="N95" s="397">
        <f t="shared" si="166"/>
        <v>-1303500</v>
      </c>
      <c r="O95" s="397">
        <f t="shared" si="166"/>
        <v>-1335800</v>
      </c>
      <c r="P95" s="377">
        <f t="shared" ref="P95:Q95" si="167">P84-P89-P90+P91++P92-P93</f>
        <v>-1368800</v>
      </c>
      <c r="Q95" s="397">
        <f t="shared" si="167"/>
        <v>-1402500</v>
      </c>
      <c r="R95" s="399">
        <f t="shared" ref="R95" si="168">R84-R89-R90+R91++R92-R93</f>
        <v>-1437000</v>
      </c>
    </row>
    <row r="96" spans="1:18" ht="13.5" thickBot="1" x14ac:dyDescent="0.25">
      <c r="A96" s="73"/>
      <c r="B96" s="90"/>
      <c r="C96" s="90"/>
      <c r="D96" s="90"/>
      <c r="E96" s="679"/>
      <c r="F96" s="368"/>
      <c r="G96" s="120"/>
      <c r="H96" s="392"/>
      <c r="I96" s="66"/>
      <c r="J96" s="166"/>
      <c r="K96" s="66"/>
      <c r="L96" s="66"/>
      <c r="M96" s="66"/>
      <c r="N96" s="66"/>
      <c r="O96" s="66"/>
      <c r="P96" s="166"/>
      <c r="Q96" s="66"/>
      <c r="R96" s="165"/>
    </row>
    <row r="97" spans="1:18" ht="14.25" thickTop="1" thickBot="1" x14ac:dyDescent="0.25">
      <c r="A97" s="74"/>
      <c r="B97" s="74"/>
      <c r="C97" s="74"/>
      <c r="D97" s="74"/>
      <c r="E97" s="660"/>
      <c r="F97" s="137"/>
      <c r="G97" s="74"/>
      <c r="H97" s="2211"/>
      <c r="I97" s="99"/>
      <c r="J97" s="99"/>
      <c r="K97" s="99"/>
      <c r="L97" s="99"/>
      <c r="M97" s="99"/>
      <c r="N97" s="99"/>
      <c r="O97" s="99"/>
      <c r="P97" s="99"/>
      <c r="Q97" s="99"/>
      <c r="R97" s="99"/>
    </row>
    <row r="98" spans="1:18" s="91" customFormat="1" ht="18.75" customHeight="1" thickTop="1" thickBot="1" x14ac:dyDescent="0.3">
      <c r="A98" s="2865" t="s">
        <v>3561</v>
      </c>
      <c r="B98" s="2866"/>
      <c r="C98" s="2866"/>
      <c r="D98" s="2866"/>
      <c r="E98" s="2866"/>
      <c r="F98" s="2866"/>
      <c r="G98" s="2866"/>
      <c r="H98" s="2866"/>
      <c r="I98" s="2866"/>
      <c r="J98" s="2866"/>
      <c r="K98" s="2866"/>
      <c r="L98" s="2866"/>
      <c r="M98" s="2866"/>
      <c r="N98" s="2866"/>
      <c r="O98" s="2866"/>
      <c r="P98" s="2866"/>
      <c r="Q98" s="2866"/>
      <c r="R98" s="2867"/>
    </row>
    <row r="99" spans="1:18" s="44" customFormat="1" x14ac:dyDescent="0.2">
      <c r="A99" s="2848" t="s">
        <v>1856</v>
      </c>
      <c r="B99" s="2840"/>
      <c r="C99" s="2840"/>
      <c r="D99" s="2849"/>
      <c r="E99" s="513" t="s">
        <v>2663</v>
      </c>
      <c r="F99" s="369" t="s">
        <v>2251</v>
      </c>
      <c r="G99" s="2839" t="s">
        <v>2253</v>
      </c>
      <c r="H99" s="2840"/>
      <c r="I99" s="2840"/>
      <c r="J99" s="2840"/>
      <c r="K99" s="2840"/>
      <c r="L99" s="2840"/>
      <c r="M99" s="2840"/>
      <c r="N99" s="2840"/>
      <c r="O99" s="2840"/>
      <c r="P99" s="2840"/>
      <c r="Q99" s="2840"/>
      <c r="R99" s="2841"/>
    </row>
    <row r="100" spans="1:18" s="23" customFormat="1" ht="13.5" thickBot="1" x14ac:dyDescent="0.25">
      <c r="A100" s="1698" t="str">
        <f t="shared" ref="A100:E100" si="169">A54</f>
        <v>2012/13</v>
      </c>
      <c r="B100" s="218" t="str">
        <f t="shared" si="169"/>
        <v>2013/14</v>
      </c>
      <c r="C100" s="370" t="str">
        <f t="shared" si="169"/>
        <v>2014/15</v>
      </c>
      <c r="D100" s="93" t="str">
        <f>D54</f>
        <v>2015/16</v>
      </c>
      <c r="E100" s="672" t="str">
        <f t="shared" si="169"/>
        <v>ACCOUNT</v>
      </c>
      <c r="F100" s="42"/>
      <c r="G100" s="93" t="str">
        <f t="shared" ref="G100:Q100" si="170">G54</f>
        <v>2016/17</v>
      </c>
      <c r="H100" s="2005" t="str">
        <f t="shared" si="170"/>
        <v>%</v>
      </c>
      <c r="I100" s="370" t="str">
        <f t="shared" si="170"/>
        <v>2017/18</v>
      </c>
      <c r="J100" s="381" t="str">
        <f t="shared" si="170"/>
        <v>2018/19</v>
      </c>
      <c r="K100" s="89" t="str">
        <f t="shared" si="170"/>
        <v>2019/20</v>
      </c>
      <c r="L100" s="370" t="str">
        <f t="shared" si="170"/>
        <v>2020/21</v>
      </c>
      <c r="M100" s="370" t="str">
        <f t="shared" si="170"/>
        <v>2021/22</v>
      </c>
      <c r="N100" s="370" t="str">
        <f t="shared" si="170"/>
        <v>2022/23</v>
      </c>
      <c r="O100" s="370" t="str">
        <f t="shared" si="170"/>
        <v>2023/24</v>
      </c>
      <c r="P100" s="370" t="str">
        <f t="shared" si="170"/>
        <v>2024/25</v>
      </c>
      <c r="Q100" s="218" t="str">
        <f t="shared" si="170"/>
        <v>2025/26</v>
      </c>
      <c r="R100" s="549" t="str">
        <f t="shared" ref="R100" si="171">R54</f>
        <v>2026/27</v>
      </c>
    </row>
    <row r="101" spans="1:18" x14ac:dyDescent="0.2">
      <c r="A101" s="107"/>
      <c r="B101" s="33"/>
      <c r="C101" s="33"/>
      <c r="D101" s="33"/>
      <c r="E101" s="658"/>
      <c r="F101" s="74"/>
      <c r="G101" s="33"/>
      <c r="H101" s="138"/>
      <c r="I101" s="33"/>
      <c r="J101" s="142"/>
      <c r="K101" s="33"/>
      <c r="L101" s="33"/>
      <c r="M101" s="33"/>
      <c r="N101" s="33"/>
      <c r="O101" s="33"/>
      <c r="P101" s="33"/>
      <c r="Q101" s="33"/>
      <c r="R101" s="114"/>
    </row>
    <row r="102" spans="1:18" x14ac:dyDescent="0.2">
      <c r="A102" s="107"/>
      <c r="B102" s="33"/>
      <c r="C102" s="33"/>
      <c r="D102" s="33"/>
      <c r="E102" s="658"/>
      <c r="F102" s="144" t="s">
        <v>1073</v>
      </c>
      <c r="G102" s="33"/>
      <c r="H102" s="138"/>
      <c r="I102" s="33"/>
      <c r="J102" s="142"/>
      <c r="K102" s="33"/>
      <c r="L102" s="33"/>
      <c r="M102" s="33"/>
      <c r="N102" s="33"/>
      <c r="O102" s="33"/>
      <c r="P102" s="33"/>
      <c r="Q102" s="33"/>
      <c r="R102" s="114"/>
    </row>
    <row r="103" spans="1:18" x14ac:dyDescent="0.2">
      <c r="A103" s="107"/>
      <c r="B103" s="33"/>
      <c r="C103" s="33"/>
      <c r="D103" s="33"/>
      <c r="E103" s="658"/>
      <c r="F103" s="74" t="s">
        <v>2881</v>
      </c>
      <c r="G103" s="33"/>
      <c r="H103" s="138"/>
      <c r="I103" s="33"/>
      <c r="J103" s="142"/>
      <c r="K103" s="33"/>
      <c r="L103" s="33"/>
      <c r="M103" s="33"/>
      <c r="N103" s="33"/>
      <c r="O103" s="33"/>
      <c r="P103" s="33"/>
      <c r="Q103" s="33"/>
      <c r="R103" s="114"/>
    </row>
    <row r="104" spans="1:18" x14ac:dyDescent="0.2">
      <c r="A104" s="107">
        <f>ROUND(SUM(A489),-3)</f>
        <v>0</v>
      </c>
      <c r="B104" s="33">
        <f>ROUND(SUM(B489),-2)</f>
        <v>5600</v>
      </c>
      <c r="C104" s="33">
        <f>SUM(C489)</f>
        <v>41800</v>
      </c>
      <c r="D104" s="33">
        <f>SUM(D489)</f>
        <v>24500</v>
      </c>
      <c r="E104" s="1100" t="s">
        <v>5487</v>
      </c>
      <c r="F104" s="78" t="s">
        <v>6058</v>
      </c>
      <c r="G104" s="33">
        <f t="shared" ref="G104:O104" si="172">SUM(G489)</f>
        <v>26800</v>
      </c>
      <c r="H104" s="138">
        <f t="shared" ref="H104:H109" si="173">IF(D104=G104,0,IF(D104=0,100,(G104-D104)/D104*100))</f>
        <v>9.387755102040817</v>
      </c>
      <c r="I104" s="33">
        <f t="shared" si="172"/>
        <v>27000</v>
      </c>
      <c r="J104" s="142">
        <f t="shared" si="172"/>
        <v>27700</v>
      </c>
      <c r="K104" s="33">
        <f t="shared" si="172"/>
        <v>28400</v>
      </c>
      <c r="L104" s="33">
        <f t="shared" si="172"/>
        <v>29200</v>
      </c>
      <c r="M104" s="33">
        <f t="shared" si="172"/>
        <v>29800</v>
      </c>
      <c r="N104" s="33">
        <f t="shared" si="172"/>
        <v>30400</v>
      </c>
      <c r="O104" s="33">
        <f t="shared" si="172"/>
        <v>31100</v>
      </c>
      <c r="P104" s="33">
        <f t="shared" ref="P104:Q104" si="174">SUM(P489)</f>
        <v>31800</v>
      </c>
      <c r="Q104" s="33">
        <f t="shared" si="174"/>
        <v>32500</v>
      </c>
      <c r="R104" s="114">
        <f t="shared" ref="R104" si="175">SUM(R489)</f>
        <v>33200</v>
      </c>
    </row>
    <row r="105" spans="1:18" x14ac:dyDescent="0.2">
      <c r="A105" s="107">
        <f>ROUND(A499+A498,-3)</f>
        <v>0</v>
      </c>
      <c r="B105" s="33">
        <f>ROUND(B499+B498,-2)</f>
        <v>49100</v>
      </c>
      <c r="C105" s="33">
        <f>C499+C498+C500</f>
        <v>107000</v>
      </c>
      <c r="D105" s="33">
        <f>D499+D498+D500</f>
        <v>110500</v>
      </c>
      <c r="E105" s="240">
        <v>26081</v>
      </c>
      <c r="F105" s="78" t="s">
        <v>2299</v>
      </c>
      <c r="G105" s="33">
        <f t="shared" ref="G105:O105" si="176">G499+G498+G500</f>
        <v>110000</v>
      </c>
      <c r="H105" s="138">
        <f t="shared" si="173"/>
        <v>-0.45248868778280549</v>
      </c>
      <c r="I105" s="33">
        <f t="shared" si="176"/>
        <v>119000</v>
      </c>
      <c r="J105" s="142">
        <f t="shared" si="176"/>
        <v>122100</v>
      </c>
      <c r="K105" s="33">
        <f t="shared" si="176"/>
        <v>125200</v>
      </c>
      <c r="L105" s="33">
        <f t="shared" si="176"/>
        <v>128500</v>
      </c>
      <c r="M105" s="33">
        <f t="shared" si="176"/>
        <v>131200</v>
      </c>
      <c r="N105" s="33">
        <f t="shared" si="176"/>
        <v>134000</v>
      </c>
      <c r="O105" s="33">
        <f t="shared" si="176"/>
        <v>136800</v>
      </c>
      <c r="P105" s="33">
        <f t="shared" ref="P105:Q105" si="177">P499+P498+P500</f>
        <v>139700</v>
      </c>
      <c r="Q105" s="33">
        <f t="shared" si="177"/>
        <v>142600</v>
      </c>
      <c r="R105" s="114">
        <f t="shared" ref="R105" si="178">R499+R498+R500</f>
        <v>145500</v>
      </c>
    </row>
    <row r="106" spans="1:18" x14ac:dyDescent="0.2">
      <c r="A106" s="107">
        <f>ROUND(SUM(A487:A488),-3)</f>
        <v>113000</v>
      </c>
      <c r="B106" s="33">
        <f>ROUND(SUM(B487:B488),-2)</f>
        <v>120600</v>
      </c>
      <c r="C106" s="33">
        <f>SUM(C487:C488)</f>
        <v>132500</v>
      </c>
      <c r="D106" s="33">
        <f>SUM(D487:D488)</f>
        <v>139400</v>
      </c>
      <c r="E106" s="240">
        <v>26082</v>
      </c>
      <c r="F106" s="78" t="s">
        <v>3695</v>
      </c>
      <c r="G106" s="33">
        <f t="shared" ref="G106:O106" si="179">SUM(G487:G488)</f>
        <v>123700</v>
      </c>
      <c r="H106" s="138">
        <f t="shared" si="173"/>
        <v>-11.262553802008608</v>
      </c>
      <c r="I106" s="33">
        <f t="shared" si="179"/>
        <v>135000</v>
      </c>
      <c r="J106" s="142">
        <f t="shared" si="179"/>
        <v>138500</v>
      </c>
      <c r="K106" s="33">
        <f t="shared" si="179"/>
        <v>142100</v>
      </c>
      <c r="L106" s="33">
        <f t="shared" si="179"/>
        <v>145700</v>
      </c>
      <c r="M106" s="33">
        <f t="shared" si="179"/>
        <v>148700</v>
      </c>
      <c r="N106" s="33">
        <f t="shared" si="179"/>
        <v>151700</v>
      </c>
      <c r="O106" s="33">
        <f t="shared" si="179"/>
        <v>154900</v>
      </c>
      <c r="P106" s="33">
        <f t="shared" ref="P106:Q106" si="180">SUM(P487:P488)</f>
        <v>158100</v>
      </c>
      <c r="Q106" s="33">
        <f t="shared" si="180"/>
        <v>161400</v>
      </c>
      <c r="R106" s="114">
        <f t="shared" ref="R106" si="181">SUM(R487:R488)</f>
        <v>164700</v>
      </c>
    </row>
    <row r="107" spans="1:18" x14ac:dyDescent="0.2">
      <c r="A107" s="107">
        <f>ROUND(SUM(A492:A493),-3)</f>
        <v>106000</v>
      </c>
      <c r="B107" s="33">
        <f>ROUND(SUM(B492:B493),-2)</f>
        <v>102600</v>
      </c>
      <c r="C107" s="33">
        <f>SUM(C492:C493)</f>
        <v>88300</v>
      </c>
      <c r="D107" s="33">
        <f>SUM(D490:D493)</f>
        <v>90500</v>
      </c>
      <c r="E107" s="240">
        <v>26083</v>
      </c>
      <c r="F107" s="78" t="s">
        <v>4578</v>
      </c>
      <c r="G107" s="33">
        <f>SUM(G490:G493)</f>
        <v>120800</v>
      </c>
      <c r="H107" s="138">
        <f t="shared" si="173"/>
        <v>33.480662983425411</v>
      </c>
      <c r="I107" s="33">
        <f t="shared" ref="I107:P107" si="182">SUM(I490:I493)</f>
        <v>116000</v>
      </c>
      <c r="J107" s="142">
        <f t="shared" si="182"/>
        <v>119000</v>
      </c>
      <c r="K107" s="33">
        <f t="shared" si="182"/>
        <v>122300</v>
      </c>
      <c r="L107" s="33">
        <f t="shared" si="182"/>
        <v>125600</v>
      </c>
      <c r="M107" s="33">
        <f t="shared" si="182"/>
        <v>128400</v>
      </c>
      <c r="N107" s="33">
        <f t="shared" si="182"/>
        <v>131200</v>
      </c>
      <c r="O107" s="33">
        <f t="shared" si="182"/>
        <v>134000</v>
      </c>
      <c r="P107" s="33">
        <f t="shared" si="182"/>
        <v>136900</v>
      </c>
      <c r="Q107" s="33">
        <f t="shared" ref="Q107" si="183">SUM(Q490:Q493)</f>
        <v>139800</v>
      </c>
      <c r="R107" s="114">
        <f t="shared" ref="R107" si="184">SUM(R490:R493)</f>
        <v>142700</v>
      </c>
    </row>
    <row r="108" spans="1:18" x14ac:dyDescent="0.2">
      <c r="A108" s="107">
        <f>ROUND(SUM(A494:A496),-3)</f>
        <v>0</v>
      </c>
      <c r="B108" s="33">
        <f>ROUND(SUM(B494:B496),-2)</f>
        <v>0</v>
      </c>
      <c r="C108" s="33">
        <f>SUM(C494:C496)</f>
        <v>0</v>
      </c>
      <c r="D108" s="33">
        <f>SUM(D494:D496)</f>
        <v>0</v>
      </c>
      <c r="E108" s="240"/>
      <c r="F108" s="78" t="s">
        <v>6037</v>
      </c>
      <c r="G108" s="33">
        <f>SUM(G494:G496)</f>
        <v>0</v>
      </c>
      <c r="H108" s="138">
        <f t="shared" si="173"/>
        <v>0</v>
      </c>
      <c r="I108" s="33">
        <f>SUM(I494:I496)</f>
        <v>0</v>
      </c>
      <c r="J108" s="142">
        <f t="shared" ref="J108:Q108" si="185">SUM(J494:J496)</f>
        <v>63000</v>
      </c>
      <c r="K108" s="33">
        <f t="shared" si="185"/>
        <v>128300</v>
      </c>
      <c r="L108" s="33">
        <f t="shared" si="185"/>
        <v>131600</v>
      </c>
      <c r="M108" s="33">
        <f t="shared" si="185"/>
        <v>134500</v>
      </c>
      <c r="N108" s="33">
        <f t="shared" si="185"/>
        <v>137400</v>
      </c>
      <c r="O108" s="33">
        <f t="shared" si="185"/>
        <v>140300</v>
      </c>
      <c r="P108" s="33">
        <f t="shared" si="185"/>
        <v>143300</v>
      </c>
      <c r="Q108" s="33">
        <f t="shared" si="185"/>
        <v>146300</v>
      </c>
      <c r="R108" s="114">
        <f t="shared" ref="R108" si="186">SUM(R494:R496)</f>
        <v>149400</v>
      </c>
    </row>
    <row r="109" spans="1:18" x14ac:dyDescent="0.2">
      <c r="A109" s="107">
        <f>ROUND(A497,-3)</f>
        <v>20000</v>
      </c>
      <c r="B109" s="33">
        <f>ROUND(B497,-2)</f>
        <v>20200</v>
      </c>
      <c r="C109" s="33">
        <f>C497</f>
        <v>19800</v>
      </c>
      <c r="D109" s="33">
        <f>D497</f>
        <v>20900</v>
      </c>
      <c r="E109" s="240">
        <v>26080</v>
      </c>
      <c r="F109" s="78" t="s">
        <v>1174</v>
      </c>
      <c r="G109" s="33">
        <f t="shared" ref="G109:O109" si="187">G497</f>
        <v>21700</v>
      </c>
      <c r="H109" s="138">
        <f t="shared" si="173"/>
        <v>3.8277511961722488</v>
      </c>
      <c r="I109" s="33">
        <f t="shared" si="187"/>
        <v>20000</v>
      </c>
      <c r="J109" s="142">
        <f t="shared" si="187"/>
        <v>20500</v>
      </c>
      <c r="K109" s="33">
        <f t="shared" si="187"/>
        <v>21100</v>
      </c>
      <c r="L109" s="33">
        <f t="shared" si="187"/>
        <v>21700</v>
      </c>
      <c r="M109" s="33">
        <f t="shared" si="187"/>
        <v>22200</v>
      </c>
      <c r="N109" s="33">
        <f t="shared" si="187"/>
        <v>22700</v>
      </c>
      <c r="O109" s="33">
        <f t="shared" si="187"/>
        <v>23200</v>
      </c>
      <c r="P109" s="33">
        <f t="shared" ref="P109:Q109" si="188">P497</f>
        <v>23700</v>
      </c>
      <c r="Q109" s="33">
        <f t="shared" si="188"/>
        <v>24200</v>
      </c>
      <c r="R109" s="114">
        <f t="shared" ref="R109" si="189">R497</f>
        <v>24700</v>
      </c>
    </row>
    <row r="110" spans="1:18" ht="13.5" thickBot="1" x14ac:dyDescent="0.25">
      <c r="A110" s="70"/>
      <c r="B110" s="64"/>
      <c r="C110" s="64"/>
      <c r="D110" s="64"/>
      <c r="E110" s="240"/>
      <c r="F110" s="74"/>
      <c r="G110" s="64"/>
      <c r="H110" s="179"/>
      <c r="I110" s="33"/>
      <c r="J110" s="142"/>
      <c r="K110" s="33"/>
      <c r="L110" s="33"/>
      <c r="M110" s="33"/>
      <c r="N110" s="33"/>
      <c r="O110" s="33"/>
      <c r="P110" s="33"/>
      <c r="Q110" s="33"/>
      <c r="R110" s="114"/>
    </row>
    <row r="111" spans="1:18" x14ac:dyDescent="0.2">
      <c r="A111" s="105">
        <f>SUM(A103:A110)</f>
        <v>239000</v>
      </c>
      <c r="B111" s="53">
        <f>SUM(B103:B110)</f>
        <v>298100</v>
      </c>
      <c r="C111" s="53">
        <f>SUM(C103:C110)</f>
        <v>389400</v>
      </c>
      <c r="D111" s="53">
        <f>SUM(D103:D110)</f>
        <v>385800</v>
      </c>
      <c r="E111" s="240"/>
      <c r="F111" s="112" t="s">
        <v>2605</v>
      </c>
      <c r="G111" s="53">
        <f t="shared" ref="G111:P111" si="190">SUM(G103:G110)</f>
        <v>403000</v>
      </c>
      <c r="H111" s="180">
        <f>IF(D111=G111,0,IF(D111=0,100,(G111-D111)/D111*100))</f>
        <v>4.4582685329186109</v>
      </c>
      <c r="I111" s="53">
        <f t="shared" si="190"/>
        <v>417000</v>
      </c>
      <c r="J111" s="155">
        <f t="shared" si="190"/>
        <v>490800</v>
      </c>
      <c r="K111" s="53">
        <f t="shared" si="190"/>
        <v>567400</v>
      </c>
      <c r="L111" s="53">
        <f t="shared" si="190"/>
        <v>582300</v>
      </c>
      <c r="M111" s="53">
        <f t="shared" si="190"/>
        <v>594800</v>
      </c>
      <c r="N111" s="53">
        <f t="shared" si="190"/>
        <v>607400</v>
      </c>
      <c r="O111" s="53">
        <f t="shared" si="190"/>
        <v>620300</v>
      </c>
      <c r="P111" s="53">
        <f t="shared" si="190"/>
        <v>633500</v>
      </c>
      <c r="Q111" s="53">
        <f t="shared" ref="Q111" si="191">SUM(Q103:Q110)</f>
        <v>646800</v>
      </c>
      <c r="R111" s="113">
        <f t="shared" ref="R111" si="192">SUM(R103:R110)</f>
        <v>660200</v>
      </c>
    </row>
    <row r="112" spans="1:18" x14ac:dyDescent="0.2">
      <c r="A112" s="107"/>
      <c r="B112" s="33"/>
      <c r="C112" s="33">
        <f>C111+C177</f>
        <v>489400</v>
      </c>
      <c r="D112" s="33"/>
      <c r="E112" s="240"/>
      <c r="F112" s="112"/>
      <c r="G112" s="33"/>
      <c r="H112" s="138"/>
      <c r="I112" s="33"/>
      <c r="J112" s="142"/>
      <c r="K112" s="33"/>
      <c r="L112" s="33"/>
      <c r="M112" s="33"/>
      <c r="N112" s="33"/>
      <c r="O112" s="33"/>
      <c r="P112" s="33"/>
      <c r="Q112" s="33"/>
      <c r="R112" s="114"/>
    </row>
    <row r="113" spans="1:18" x14ac:dyDescent="0.2">
      <c r="A113" s="107"/>
      <c r="B113" s="33"/>
      <c r="C113" s="33"/>
      <c r="D113" s="33"/>
      <c r="E113" s="240"/>
      <c r="F113" s="144" t="s">
        <v>2205</v>
      </c>
      <c r="G113" s="33"/>
      <c r="H113" s="138"/>
      <c r="I113" s="33"/>
      <c r="J113" s="142"/>
      <c r="K113" s="33"/>
      <c r="L113" s="33"/>
      <c r="M113" s="33"/>
      <c r="N113" s="33"/>
      <c r="O113" s="33"/>
      <c r="P113" s="33"/>
      <c r="Q113" s="33"/>
      <c r="R113" s="114"/>
    </row>
    <row r="114" spans="1:18" x14ac:dyDescent="0.2">
      <c r="A114" s="107">
        <f>ROUND(SUM(A505:A507),-3)</f>
        <v>126000</v>
      </c>
      <c r="B114" s="33">
        <f>ROUND(SUM(B505:B507),-2)</f>
        <v>123500</v>
      </c>
      <c r="C114" s="33">
        <f>SUM(C505:C507)</f>
        <v>169500</v>
      </c>
      <c r="D114" s="33">
        <f>SUM(D505:D507)</f>
        <v>183500</v>
      </c>
      <c r="E114" s="240">
        <v>35110</v>
      </c>
      <c r="F114" s="78" t="s">
        <v>1249</v>
      </c>
      <c r="G114" s="33">
        <f>SUM(G505:G507)</f>
        <v>203000</v>
      </c>
      <c r="H114" s="138">
        <f t="shared" ref="H114:H122" si="193">IF(D114=G114,0,IF(D114=0,100,(G114-D114)/D114*100))</f>
        <v>10.626702997275205</v>
      </c>
      <c r="I114" s="33">
        <f t="shared" ref="I114:Q114" si="194">SUM(I505:I507)</f>
        <v>187700</v>
      </c>
      <c r="J114" s="142">
        <f t="shared" si="194"/>
        <v>259400</v>
      </c>
      <c r="K114" s="33">
        <f t="shared" si="194"/>
        <v>332900</v>
      </c>
      <c r="L114" s="33">
        <f t="shared" si="194"/>
        <v>341300</v>
      </c>
      <c r="M114" s="33">
        <f t="shared" si="194"/>
        <v>349900</v>
      </c>
      <c r="N114" s="33">
        <f t="shared" si="194"/>
        <v>358700</v>
      </c>
      <c r="O114" s="33">
        <f t="shared" si="194"/>
        <v>367700</v>
      </c>
      <c r="P114" s="33">
        <f t="shared" si="194"/>
        <v>376900</v>
      </c>
      <c r="Q114" s="33">
        <f t="shared" si="194"/>
        <v>386400</v>
      </c>
      <c r="R114" s="114">
        <f t="shared" ref="R114" si="195">SUM(R505:R507)</f>
        <v>396100</v>
      </c>
    </row>
    <row r="115" spans="1:18" x14ac:dyDescent="0.2">
      <c r="A115" s="107">
        <f>ROUND(SUM(A508:A516),-3)</f>
        <v>48000</v>
      </c>
      <c r="B115" s="33">
        <f>ROUND(SUM(B508:B516),-2)</f>
        <v>52100</v>
      </c>
      <c r="C115" s="33">
        <f>SUM(C508:C516)</f>
        <v>51100</v>
      </c>
      <c r="D115" s="33">
        <f>SUM(D508:D516)</f>
        <v>58600</v>
      </c>
      <c r="E115" s="240">
        <v>35110</v>
      </c>
      <c r="F115" s="78" t="s">
        <v>3695</v>
      </c>
      <c r="G115" s="33">
        <f t="shared" ref="G115:O115" si="196">SUM(G508:G516)</f>
        <v>58100</v>
      </c>
      <c r="H115" s="138">
        <f t="shared" si="193"/>
        <v>-0.85324232081911267</v>
      </c>
      <c r="I115" s="33">
        <f t="shared" si="196"/>
        <v>59300</v>
      </c>
      <c r="J115" s="142">
        <f t="shared" si="196"/>
        <v>61300</v>
      </c>
      <c r="K115" s="33">
        <f t="shared" si="196"/>
        <v>63300</v>
      </c>
      <c r="L115" s="33">
        <f t="shared" si="196"/>
        <v>65300</v>
      </c>
      <c r="M115" s="33">
        <f t="shared" si="196"/>
        <v>67000</v>
      </c>
      <c r="N115" s="33">
        <f t="shared" si="196"/>
        <v>68700</v>
      </c>
      <c r="O115" s="33">
        <f t="shared" si="196"/>
        <v>70600</v>
      </c>
      <c r="P115" s="33">
        <f t="shared" ref="P115:Q115" si="197">SUM(P508:P516)</f>
        <v>72500</v>
      </c>
      <c r="Q115" s="33">
        <f t="shared" si="197"/>
        <v>74500</v>
      </c>
      <c r="R115" s="114">
        <f t="shared" ref="R115" si="198">SUM(R508:R516)</f>
        <v>76500</v>
      </c>
    </row>
    <row r="116" spans="1:18" x14ac:dyDescent="0.2">
      <c r="A116" s="107">
        <f>ROUND(SUM(A518:A522),-3)</f>
        <v>137000</v>
      </c>
      <c r="B116" s="33">
        <f>ROUND(SUM(B518:B522),-2)</f>
        <v>165200</v>
      </c>
      <c r="C116" s="33">
        <f>SUM(C518:C523)</f>
        <v>173400</v>
      </c>
      <c r="D116" s="33">
        <f>SUM(D518:D523)</f>
        <v>174100</v>
      </c>
      <c r="E116" s="240">
        <v>35100</v>
      </c>
      <c r="F116" s="78" t="s">
        <v>4579</v>
      </c>
      <c r="G116" s="33">
        <f t="shared" ref="G116:M116" si="199">SUM(G518:G523)</f>
        <v>195100</v>
      </c>
      <c r="H116" s="138">
        <f t="shared" si="193"/>
        <v>12.062033314187248</v>
      </c>
      <c r="I116" s="33">
        <f t="shared" si="199"/>
        <v>198300</v>
      </c>
      <c r="J116" s="142">
        <f t="shared" si="199"/>
        <v>203600</v>
      </c>
      <c r="K116" s="33">
        <f t="shared" si="199"/>
        <v>209000</v>
      </c>
      <c r="L116" s="33">
        <f t="shared" si="199"/>
        <v>214500</v>
      </c>
      <c r="M116" s="33">
        <f t="shared" si="199"/>
        <v>219000</v>
      </c>
      <c r="N116" s="33">
        <f t="shared" ref="N116:P116" si="200">SUM(N518:N523)</f>
        <v>223600</v>
      </c>
      <c r="O116" s="33">
        <f t="shared" si="200"/>
        <v>228300</v>
      </c>
      <c r="P116" s="33">
        <f t="shared" si="200"/>
        <v>233100</v>
      </c>
      <c r="Q116" s="33">
        <f t="shared" ref="Q116" si="201">SUM(Q518:Q523)</f>
        <v>238000</v>
      </c>
      <c r="R116" s="114">
        <f t="shared" ref="R116" si="202">SUM(R518:R523)</f>
        <v>243000</v>
      </c>
    </row>
    <row r="117" spans="1:18" x14ac:dyDescent="0.2">
      <c r="A117" s="107">
        <f>ROUND(SUM(A525:A541),-3)</f>
        <v>138000</v>
      </c>
      <c r="B117" s="33">
        <f>ROUND(SUM(B525:B541),-2)</f>
        <v>172400</v>
      </c>
      <c r="C117" s="33">
        <f>SUM(C525:C541)</f>
        <v>169000</v>
      </c>
      <c r="D117" s="33">
        <f>SUM(D525:D541)</f>
        <v>173600</v>
      </c>
      <c r="E117" s="240">
        <v>30023</v>
      </c>
      <c r="F117" s="78" t="s">
        <v>4578</v>
      </c>
      <c r="G117" s="33">
        <f t="shared" ref="G117:O117" si="203">SUM(G525:G541)</f>
        <v>189700</v>
      </c>
      <c r="H117" s="138">
        <f t="shared" si="193"/>
        <v>9.2741935483870961</v>
      </c>
      <c r="I117" s="33">
        <f t="shared" si="203"/>
        <v>193300</v>
      </c>
      <c r="J117" s="142">
        <f t="shared" si="203"/>
        <v>199000</v>
      </c>
      <c r="K117" s="33">
        <f t="shared" si="203"/>
        <v>204800</v>
      </c>
      <c r="L117" s="33">
        <f t="shared" si="203"/>
        <v>210800</v>
      </c>
      <c r="M117" s="33">
        <f t="shared" si="203"/>
        <v>215800</v>
      </c>
      <c r="N117" s="33">
        <f t="shared" si="203"/>
        <v>220900</v>
      </c>
      <c r="O117" s="33">
        <f t="shared" si="203"/>
        <v>226100</v>
      </c>
      <c r="P117" s="33">
        <f t="shared" ref="P117:Q117" si="204">SUM(P525:P541)</f>
        <v>231600</v>
      </c>
      <c r="Q117" s="33">
        <f t="shared" si="204"/>
        <v>237100</v>
      </c>
      <c r="R117" s="114">
        <f t="shared" ref="R117" si="205">SUM(R525:R541)</f>
        <v>242600</v>
      </c>
    </row>
    <row r="118" spans="1:18" x14ac:dyDescent="0.2">
      <c r="A118" s="107">
        <f>ROUND(SUM(A546:A559),-3)</f>
        <v>0</v>
      </c>
      <c r="B118" s="33">
        <f>ROUND(SUM(B546:B559),-2)</f>
        <v>0</v>
      </c>
      <c r="C118" s="33">
        <f>SUM(C546:C559)</f>
        <v>0</v>
      </c>
      <c r="D118" s="33">
        <f>SUM(D546:D559)</f>
        <v>0</v>
      </c>
      <c r="E118" s="240"/>
      <c r="F118" s="78" t="s">
        <v>6037</v>
      </c>
      <c r="G118" s="33">
        <f>SUM(G546:G559)</f>
        <v>0</v>
      </c>
      <c r="H118" s="138">
        <f t="shared" si="193"/>
        <v>0</v>
      </c>
      <c r="I118" s="33">
        <f t="shared" ref="I118:R118" si="206">SUM(I546:I559)</f>
        <v>0</v>
      </c>
      <c r="J118" s="142">
        <f t="shared" si="206"/>
        <v>113000</v>
      </c>
      <c r="K118" s="33">
        <f t="shared" si="206"/>
        <v>228300</v>
      </c>
      <c r="L118" s="33">
        <f t="shared" si="206"/>
        <v>234500</v>
      </c>
      <c r="M118" s="33">
        <f t="shared" si="206"/>
        <v>240000</v>
      </c>
      <c r="N118" s="33">
        <f t="shared" si="206"/>
        <v>245600</v>
      </c>
      <c r="O118" s="33">
        <f t="shared" si="206"/>
        <v>251400</v>
      </c>
      <c r="P118" s="33">
        <f t="shared" si="206"/>
        <v>257200</v>
      </c>
      <c r="Q118" s="33">
        <f t="shared" si="206"/>
        <v>263000</v>
      </c>
      <c r="R118" s="114">
        <f t="shared" si="206"/>
        <v>268900</v>
      </c>
    </row>
    <row r="119" spans="1:18" x14ac:dyDescent="0.2">
      <c r="A119" s="107">
        <f>ROUND(SUM(A560:A566),-3)</f>
        <v>24000</v>
      </c>
      <c r="B119" s="33">
        <f>ROUND(SUM(B560:B566),-2)</f>
        <v>24200</v>
      </c>
      <c r="C119" s="33">
        <f>SUM(C560:C566)</f>
        <v>25700</v>
      </c>
      <c r="D119" s="33">
        <f>SUM(D560:D566)</f>
        <v>25500</v>
      </c>
      <c r="E119" s="240">
        <v>35115</v>
      </c>
      <c r="F119" s="78" t="s">
        <v>1174</v>
      </c>
      <c r="G119" s="33">
        <f t="shared" ref="G119:P119" si="207">SUM(G560:G566)</f>
        <v>27800</v>
      </c>
      <c r="H119" s="138">
        <f t="shared" si="193"/>
        <v>9.0196078431372548</v>
      </c>
      <c r="I119" s="33">
        <f t="shared" si="207"/>
        <v>28600</v>
      </c>
      <c r="J119" s="142">
        <f t="shared" si="207"/>
        <v>29700</v>
      </c>
      <c r="K119" s="33">
        <f t="shared" si="207"/>
        <v>30800</v>
      </c>
      <c r="L119" s="33">
        <f t="shared" si="207"/>
        <v>31900</v>
      </c>
      <c r="M119" s="33">
        <f t="shared" si="207"/>
        <v>32900</v>
      </c>
      <c r="N119" s="33">
        <f t="shared" si="207"/>
        <v>33900</v>
      </c>
      <c r="O119" s="33">
        <f t="shared" si="207"/>
        <v>34900</v>
      </c>
      <c r="P119" s="33">
        <f t="shared" si="207"/>
        <v>35900</v>
      </c>
      <c r="Q119" s="33">
        <f t="shared" ref="Q119" si="208">SUM(Q560:Q566)</f>
        <v>36900</v>
      </c>
      <c r="R119" s="114">
        <f t="shared" ref="R119" si="209">SUM(R560:R566)</f>
        <v>38000</v>
      </c>
    </row>
    <row r="120" spans="1:18" x14ac:dyDescent="0.2">
      <c r="A120" s="107">
        <f>ROUND(SUM(A568:A577),-3)</f>
        <v>0</v>
      </c>
      <c r="B120" s="33">
        <f>ROUND(SUM(B569:B577),-2)</f>
        <v>71500</v>
      </c>
      <c r="C120" s="33">
        <f>SUM(C569:C577)</f>
        <v>111400</v>
      </c>
      <c r="D120" s="33">
        <f>SUM(D569:D577)</f>
        <v>96100</v>
      </c>
      <c r="E120" s="240">
        <v>30025</v>
      </c>
      <c r="F120" s="78" t="s">
        <v>2299</v>
      </c>
      <c r="G120" s="33">
        <f t="shared" ref="G120:O120" si="210">SUM(G569:G577)</f>
        <v>124600</v>
      </c>
      <c r="H120" s="138">
        <f t="shared" si="193"/>
        <v>29.656607700312176</v>
      </c>
      <c r="I120" s="33">
        <f t="shared" si="210"/>
        <v>126900</v>
      </c>
      <c r="J120" s="142">
        <f t="shared" si="210"/>
        <v>130600</v>
      </c>
      <c r="K120" s="33">
        <f t="shared" si="210"/>
        <v>134300</v>
      </c>
      <c r="L120" s="33">
        <f t="shared" si="210"/>
        <v>138100</v>
      </c>
      <c r="M120" s="33">
        <f t="shared" si="210"/>
        <v>141500</v>
      </c>
      <c r="N120" s="33">
        <f t="shared" si="210"/>
        <v>144900</v>
      </c>
      <c r="O120" s="33">
        <f t="shared" si="210"/>
        <v>148300</v>
      </c>
      <c r="P120" s="33">
        <f t="shared" ref="P120:Q120" si="211">SUM(P569:P577)</f>
        <v>151700</v>
      </c>
      <c r="Q120" s="33">
        <f t="shared" si="211"/>
        <v>155200</v>
      </c>
      <c r="R120" s="114">
        <f t="shared" ref="R120" si="212">SUM(R569:R577)</f>
        <v>158800</v>
      </c>
    </row>
    <row r="121" spans="1:18" x14ac:dyDescent="0.2">
      <c r="A121" s="107">
        <f>ROUND(SUM(A582:A586),-3)</f>
        <v>22000</v>
      </c>
      <c r="B121" s="33">
        <f>ROUND(SUM(B582:B586),-2)</f>
        <v>33600</v>
      </c>
      <c r="C121" s="33">
        <f>SUM(C582:C586)</f>
        <v>30600</v>
      </c>
      <c r="D121" s="33">
        <f>SUM(D582:D586)</f>
        <v>34300</v>
      </c>
      <c r="E121" s="240">
        <v>35107</v>
      </c>
      <c r="F121" s="78" t="s">
        <v>2904</v>
      </c>
      <c r="G121" s="33">
        <f t="shared" ref="G121:O121" si="213">SUM(G582:G586)</f>
        <v>43700</v>
      </c>
      <c r="H121" s="138">
        <f t="shared" si="193"/>
        <v>27.405247813411076</v>
      </c>
      <c r="I121" s="33">
        <f t="shared" si="213"/>
        <v>39700</v>
      </c>
      <c r="J121" s="142">
        <f t="shared" si="213"/>
        <v>40800</v>
      </c>
      <c r="K121" s="33">
        <f t="shared" si="213"/>
        <v>42000</v>
      </c>
      <c r="L121" s="33">
        <f t="shared" si="213"/>
        <v>43200</v>
      </c>
      <c r="M121" s="33">
        <f t="shared" si="213"/>
        <v>44100</v>
      </c>
      <c r="N121" s="33">
        <f t="shared" si="213"/>
        <v>45100</v>
      </c>
      <c r="O121" s="33">
        <f t="shared" si="213"/>
        <v>46100</v>
      </c>
      <c r="P121" s="33">
        <f t="shared" ref="P121:Q121" si="214">SUM(P582:P586)</f>
        <v>47100</v>
      </c>
      <c r="Q121" s="33">
        <f t="shared" si="214"/>
        <v>48100</v>
      </c>
      <c r="R121" s="114">
        <f t="shared" ref="R121" si="215">SUM(R582:R586)</f>
        <v>49100</v>
      </c>
    </row>
    <row r="122" spans="1:18" x14ac:dyDescent="0.2">
      <c r="A122" s="107">
        <f>ROUND(SUM(A587:A588),-3)</f>
        <v>5000</v>
      </c>
      <c r="B122" s="33">
        <f>ROUND(SUM(B587:B588),-2)</f>
        <v>5700</v>
      </c>
      <c r="C122" s="33">
        <f>SUM(C587:C588)</f>
        <v>5000</v>
      </c>
      <c r="D122" s="33">
        <f>SUM(D587:D588)</f>
        <v>4600</v>
      </c>
      <c r="E122" s="240">
        <v>35108</v>
      </c>
      <c r="F122" s="78" t="s">
        <v>1301</v>
      </c>
      <c r="G122" s="33">
        <f t="shared" ref="G122:O122" si="216">SUM(G587:G588)</f>
        <v>5100</v>
      </c>
      <c r="H122" s="138">
        <f t="shared" si="193"/>
        <v>10.869565217391305</v>
      </c>
      <c r="I122" s="33">
        <f t="shared" si="216"/>
        <v>5200</v>
      </c>
      <c r="J122" s="142">
        <f t="shared" si="216"/>
        <v>5400</v>
      </c>
      <c r="K122" s="33">
        <f t="shared" si="216"/>
        <v>5600</v>
      </c>
      <c r="L122" s="33">
        <f t="shared" si="216"/>
        <v>5800</v>
      </c>
      <c r="M122" s="33">
        <f t="shared" si="216"/>
        <v>6000</v>
      </c>
      <c r="N122" s="33">
        <f t="shared" si="216"/>
        <v>6200</v>
      </c>
      <c r="O122" s="33">
        <f t="shared" si="216"/>
        <v>6400</v>
      </c>
      <c r="P122" s="33">
        <f t="shared" ref="P122:Q122" si="217">SUM(P587:P588)</f>
        <v>6600</v>
      </c>
      <c r="Q122" s="33">
        <f t="shared" si="217"/>
        <v>6800</v>
      </c>
      <c r="R122" s="114">
        <f t="shared" ref="R122" si="218">SUM(R587:R588)</f>
        <v>7000</v>
      </c>
    </row>
    <row r="123" spans="1:18" x14ac:dyDescent="0.2">
      <c r="A123" s="107"/>
      <c r="B123" s="33"/>
      <c r="C123" s="33"/>
      <c r="D123" s="33"/>
      <c r="E123" s="240"/>
      <c r="F123" s="78"/>
      <c r="G123" s="33"/>
      <c r="H123" s="138"/>
      <c r="I123" s="33"/>
      <c r="J123" s="142"/>
      <c r="K123" s="33"/>
      <c r="L123" s="33"/>
      <c r="M123" s="33"/>
      <c r="N123" s="33"/>
      <c r="O123" s="33"/>
      <c r="P123" s="33"/>
      <c r="Q123" s="33"/>
      <c r="R123" s="114"/>
    </row>
    <row r="124" spans="1:18" x14ac:dyDescent="0.2">
      <c r="A124" s="107"/>
      <c r="B124" s="33"/>
      <c r="C124" s="33"/>
      <c r="D124" s="33"/>
      <c r="E124" s="240"/>
      <c r="F124" s="79" t="s">
        <v>1130</v>
      </c>
      <c r="G124" s="33"/>
      <c r="H124" s="138"/>
      <c r="I124" s="33"/>
      <c r="J124" s="142"/>
      <c r="K124" s="33"/>
      <c r="L124" s="33"/>
      <c r="M124" s="33"/>
      <c r="N124" s="33"/>
      <c r="O124" s="33"/>
      <c r="P124" s="33"/>
      <c r="Q124" s="33"/>
      <c r="R124" s="114"/>
    </row>
    <row r="125" spans="1:18" x14ac:dyDescent="0.2">
      <c r="A125" s="107">
        <f>ROUND(A590,-3)</f>
        <v>3000</v>
      </c>
      <c r="B125" s="33">
        <f>ROUND(B590,-2)</f>
        <v>2900</v>
      </c>
      <c r="C125" s="33">
        <f>C590</f>
        <v>2500</v>
      </c>
      <c r="D125" s="33">
        <f>D590</f>
        <v>2200</v>
      </c>
      <c r="E125" s="240">
        <v>35111</v>
      </c>
      <c r="F125" s="78" t="s">
        <v>3810</v>
      </c>
      <c r="G125" s="33">
        <f t="shared" ref="G125:O125" si="219">G590</f>
        <v>1800</v>
      </c>
      <c r="H125" s="138">
        <f>IF(D125=G125,0,IF(D125=0,100,(G125-D125)/D125*100))</f>
        <v>-18.181818181818183</v>
      </c>
      <c r="I125" s="33">
        <f t="shared" si="219"/>
        <v>1300</v>
      </c>
      <c r="J125" s="142">
        <f t="shared" si="219"/>
        <v>800</v>
      </c>
      <c r="K125" s="33">
        <f t="shared" si="219"/>
        <v>300</v>
      </c>
      <c r="L125" s="33">
        <f t="shared" si="219"/>
        <v>0</v>
      </c>
      <c r="M125" s="33">
        <f t="shared" si="219"/>
        <v>0</v>
      </c>
      <c r="N125" s="33">
        <f t="shared" si="219"/>
        <v>0</v>
      </c>
      <c r="O125" s="33">
        <f t="shared" si="219"/>
        <v>0</v>
      </c>
      <c r="P125" s="33">
        <f t="shared" ref="P125:Q125" si="220">P590</f>
        <v>0</v>
      </c>
      <c r="Q125" s="33">
        <f t="shared" si="220"/>
        <v>0</v>
      </c>
      <c r="R125" s="114">
        <f t="shared" ref="R125" si="221">R590</f>
        <v>0</v>
      </c>
    </row>
    <row r="126" spans="1:18" x14ac:dyDescent="0.2">
      <c r="A126" s="107">
        <f>ROUND(A591,-3)</f>
        <v>11000</v>
      </c>
      <c r="B126" s="33">
        <f>ROUND(B591,-2)</f>
        <v>10400</v>
      </c>
      <c r="C126" s="33">
        <f>C591</f>
        <v>9600</v>
      </c>
      <c r="D126" s="33">
        <f>D591</f>
        <v>8900</v>
      </c>
      <c r="E126" s="240">
        <v>35111</v>
      </c>
      <c r="F126" s="78" t="s">
        <v>3552</v>
      </c>
      <c r="G126" s="33">
        <f t="shared" ref="G126:O126" si="222">G591</f>
        <v>8000</v>
      </c>
      <c r="H126" s="138">
        <f>IF(D126=G126,0,IF(D126=0,100,(G126-D126)/D126*100))</f>
        <v>-10.112359550561797</v>
      </c>
      <c r="I126" s="33">
        <f t="shared" si="222"/>
        <v>7000</v>
      </c>
      <c r="J126" s="142">
        <f t="shared" si="222"/>
        <v>6000</v>
      </c>
      <c r="K126" s="33">
        <f t="shared" si="222"/>
        <v>5000</v>
      </c>
      <c r="L126" s="33">
        <f t="shared" si="222"/>
        <v>3700</v>
      </c>
      <c r="M126" s="33">
        <f t="shared" si="222"/>
        <v>2500</v>
      </c>
      <c r="N126" s="33">
        <f t="shared" si="222"/>
        <v>1100</v>
      </c>
      <c r="O126" s="33">
        <f t="shared" si="222"/>
        <v>0</v>
      </c>
      <c r="P126" s="33">
        <f t="shared" ref="P126:Q126" si="223">P591</f>
        <v>0</v>
      </c>
      <c r="Q126" s="33">
        <f t="shared" si="223"/>
        <v>0</v>
      </c>
      <c r="R126" s="114">
        <f t="shared" ref="R126" si="224">R591</f>
        <v>0</v>
      </c>
    </row>
    <row r="127" spans="1:18" x14ac:dyDescent="0.2">
      <c r="A127" s="107"/>
      <c r="B127" s="33"/>
      <c r="C127" s="33"/>
      <c r="D127" s="33"/>
      <c r="E127" s="1955"/>
      <c r="F127" s="78"/>
      <c r="G127" s="33"/>
      <c r="H127" s="138"/>
      <c r="I127" s="33"/>
      <c r="J127" s="142"/>
      <c r="K127" s="33"/>
      <c r="L127" s="33"/>
      <c r="M127" s="33"/>
      <c r="N127" s="33"/>
      <c r="O127" s="33"/>
      <c r="P127" s="33"/>
      <c r="Q127" s="33"/>
      <c r="R127" s="114"/>
    </row>
    <row r="128" spans="1:18" s="133" customFormat="1" x14ac:dyDescent="0.2">
      <c r="A128" s="71"/>
      <c r="B128" s="132"/>
      <c r="C128" s="33"/>
      <c r="D128" s="33"/>
      <c r="E128" s="1097"/>
      <c r="F128" s="1308" t="s">
        <v>265</v>
      </c>
      <c r="G128" s="1011"/>
      <c r="H128" s="827"/>
      <c r="I128" s="132"/>
      <c r="J128" s="130"/>
      <c r="K128" s="132"/>
      <c r="L128" s="132"/>
      <c r="M128" s="132"/>
      <c r="N128" s="132"/>
      <c r="O128" s="132"/>
      <c r="P128" s="132"/>
      <c r="Q128" s="132"/>
      <c r="R128" s="131"/>
    </row>
    <row r="129" spans="1:18" s="133" customFormat="1" x14ac:dyDescent="0.2">
      <c r="A129" s="71">
        <f t="shared" ref="A129:B131" si="225">A593</f>
        <v>274700</v>
      </c>
      <c r="B129" s="132">
        <f t="shared" si="225"/>
        <v>2600</v>
      </c>
      <c r="C129" s="1012">
        <f t="shared" ref="C129:D131" si="226">C593</f>
        <v>49600</v>
      </c>
      <c r="D129" s="1012">
        <f t="shared" si="226"/>
        <v>50900</v>
      </c>
      <c r="E129" s="1955">
        <v>35107</v>
      </c>
      <c r="F129" s="346" t="s">
        <v>2826</v>
      </c>
      <c r="G129" s="1011">
        <f t="shared" ref="G129:O129" si="227">G593</f>
        <v>50000</v>
      </c>
      <c r="H129" s="827">
        <f>IF(D129=G129,0,IF(D129=0,100,(G129-D129)/D129*100))</f>
        <v>-1.768172888015717</v>
      </c>
      <c r="I129" s="132">
        <f t="shared" si="227"/>
        <v>51000</v>
      </c>
      <c r="J129" s="130">
        <f t="shared" si="227"/>
        <v>52100</v>
      </c>
      <c r="K129" s="132">
        <f t="shared" si="227"/>
        <v>53200</v>
      </c>
      <c r="L129" s="132">
        <f t="shared" si="227"/>
        <v>54300</v>
      </c>
      <c r="M129" s="132">
        <f t="shared" si="227"/>
        <v>55400</v>
      </c>
      <c r="N129" s="132">
        <f t="shared" si="227"/>
        <v>56600</v>
      </c>
      <c r="O129" s="132">
        <f t="shared" si="227"/>
        <v>57800</v>
      </c>
      <c r="P129" s="132">
        <f t="shared" ref="P129:Q129" si="228">P593</f>
        <v>59000</v>
      </c>
      <c r="Q129" s="132">
        <f t="shared" si="228"/>
        <v>60200</v>
      </c>
      <c r="R129" s="131">
        <f t="shared" ref="R129" si="229">R593</f>
        <v>61500</v>
      </c>
    </row>
    <row r="130" spans="1:18" s="133" customFormat="1" x14ac:dyDescent="0.2">
      <c r="A130" s="71">
        <f t="shared" si="225"/>
        <v>438900</v>
      </c>
      <c r="B130" s="132">
        <f t="shared" si="225"/>
        <v>490200</v>
      </c>
      <c r="C130" s="1012">
        <f t="shared" si="226"/>
        <v>530000</v>
      </c>
      <c r="D130" s="1012">
        <f t="shared" si="226"/>
        <v>540700</v>
      </c>
      <c r="E130" s="1955">
        <v>35110</v>
      </c>
      <c r="F130" s="76" t="s">
        <v>729</v>
      </c>
      <c r="G130" s="1011">
        <f t="shared" ref="G130:O130" si="230">G594</f>
        <v>530000</v>
      </c>
      <c r="H130" s="827">
        <f>IF(D130=G130,0,IF(D130=0,100,(G130-D130)/D130*100))</f>
        <v>-1.9789162197151839</v>
      </c>
      <c r="I130" s="132">
        <f t="shared" si="230"/>
        <v>540600</v>
      </c>
      <c r="J130" s="130">
        <f t="shared" si="230"/>
        <v>591500</v>
      </c>
      <c r="K130" s="132">
        <f>K594</f>
        <v>683400</v>
      </c>
      <c r="L130" s="132">
        <f t="shared" si="230"/>
        <v>697100</v>
      </c>
      <c r="M130" s="132">
        <f t="shared" si="230"/>
        <v>711100</v>
      </c>
      <c r="N130" s="132">
        <f t="shared" si="230"/>
        <v>725400</v>
      </c>
      <c r="O130" s="132">
        <f t="shared" si="230"/>
        <v>740000</v>
      </c>
      <c r="P130" s="132">
        <f t="shared" ref="P130:Q130" si="231">P594</f>
        <v>754800</v>
      </c>
      <c r="Q130" s="132">
        <f t="shared" si="231"/>
        <v>769900</v>
      </c>
      <c r="R130" s="131">
        <f t="shared" ref="R130" si="232">R594</f>
        <v>785300</v>
      </c>
    </row>
    <row r="131" spans="1:18" s="133" customFormat="1" x14ac:dyDescent="0.2">
      <c r="A131" s="71">
        <f t="shared" si="225"/>
        <v>180800</v>
      </c>
      <c r="B131" s="132">
        <f t="shared" si="225"/>
        <v>200000</v>
      </c>
      <c r="C131" s="1012">
        <f t="shared" si="226"/>
        <v>260000</v>
      </c>
      <c r="D131" s="1012">
        <f t="shared" si="226"/>
        <v>270100</v>
      </c>
      <c r="E131" s="1955">
        <v>30021</v>
      </c>
      <c r="F131" s="76" t="s">
        <v>532</v>
      </c>
      <c r="G131" s="1011">
        <f t="shared" ref="G131:O131" si="233">G595</f>
        <v>260000</v>
      </c>
      <c r="H131" s="827">
        <f>IF(D131=G131,0,IF(D131=0,100,(G131-D131)/D131*100))</f>
        <v>-3.7393557941503146</v>
      </c>
      <c r="I131" s="132">
        <f t="shared" si="233"/>
        <v>265200</v>
      </c>
      <c r="J131" s="130">
        <f t="shared" si="233"/>
        <v>270600</v>
      </c>
      <c r="K131" s="132">
        <f t="shared" si="233"/>
        <v>276100</v>
      </c>
      <c r="L131" s="132">
        <f t="shared" si="233"/>
        <v>281700</v>
      </c>
      <c r="M131" s="132">
        <f t="shared" si="233"/>
        <v>287400</v>
      </c>
      <c r="N131" s="132">
        <f t="shared" si="233"/>
        <v>293200</v>
      </c>
      <c r="O131" s="132">
        <f t="shared" si="233"/>
        <v>299100</v>
      </c>
      <c r="P131" s="132">
        <f t="shared" ref="P131:Q131" si="234">P595</f>
        <v>305100</v>
      </c>
      <c r="Q131" s="132">
        <f t="shared" si="234"/>
        <v>311300</v>
      </c>
      <c r="R131" s="131">
        <f t="shared" ref="R131" si="235">R595</f>
        <v>317600</v>
      </c>
    </row>
    <row r="132" spans="1:18" ht="13.5" thickBot="1" x14ac:dyDescent="0.25">
      <c r="A132" s="70"/>
      <c r="B132" s="64"/>
      <c r="C132" s="64"/>
      <c r="D132" s="64"/>
      <c r="E132" s="658"/>
      <c r="F132" s="74"/>
      <c r="G132" s="64"/>
      <c r="H132" s="179"/>
      <c r="I132" s="33"/>
      <c r="J132" s="142"/>
      <c r="K132" s="33"/>
      <c r="L132" s="33"/>
      <c r="M132" s="33"/>
      <c r="N132" s="33"/>
      <c r="O132" s="33"/>
      <c r="P132" s="33"/>
      <c r="Q132" s="33"/>
      <c r="R132" s="114"/>
    </row>
    <row r="133" spans="1:18" s="92" customFormat="1" x14ac:dyDescent="0.2">
      <c r="A133" s="105">
        <f>SUM(A114:A132)</f>
        <v>1408400</v>
      </c>
      <c r="B133" s="53">
        <f>SUM(B114:B132)</f>
        <v>1354300</v>
      </c>
      <c r="C133" s="53">
        <f>SUM(C114:C132)</f>
        <v>1587400</v>
      </c>
      <c r="D133" s="53">
        <f>SUM(D114:D132)</f>
        <v>1623100</v>
      </c>
      <c r="E133" s="674"/>
      <c r="F133" s="112" t="s">
        <v>565</v>
      </c>
      <c r="G133" s="53">
        <f t="shared" ref="G133:P133" si="236">SUM(G114:G132)</f>
        <v>1696900</v>
      </c>
      <c r="H133" s="180">
        <f>IF(D133=G133,0,IF(D133=0,100,(G133-D133)/D133*100))</f>
        <v>4.5468547840552027</v>
      </c>
      <c r="I133" s="53">
        <f t="shared" si="236"/>
        <v>1704100</v>
      </c>
      <c r="J133" s="155">
        <f t="shared" si="236"/>
        <v>1963800</v>
      </c>
      <c r="K133" s="53">
        <f t="shared" si="236"/>
        <v>2269000</v>
      </c>
      <c r="L133" s="53">
        <f t="shared" si="236"/>
        <v>2322200</v>
      </c>
      <c r="M133" s="53">
        <f t="shared" si="236"/>
        <v>2372600</v>
      </c>
      <c r="N133" s="53">
        <f t="shared" si="236"/>
        <v>2423900</v>
      </c>
      <c r="O133" s="53">
        <f t="shared" si="236"/>
        <v>2476700</v>
      </c>
      <c r="P133" s="53">
        <f t="shared" si="236"/>
        <v>2531500</v>
      </c>
      <c r="Q133" s="53">
        <f t="shared" ref="Q133" si="237">SUM(Q114:Q132)</f>
        <v>2587400</v>
      </c>
      <c r="R133" s="113">
        <f t="shared" ref="R133" si="238">SUM(R114:R132)</f>
        <v>2644400</v>
      </c>
    </row>
    <row r="134" spans="1:18" x14ac:dyDescent="0.2">
      <c r="A134" s="107"/>
      <c r="B134" s="33"/>
      <c r="C134" s="33"/>
      <c r="D134" s="33"/>
      <c r="E134" s="673"/>
      <c r="F134" s="108"/>
      <c r="G134" s="33"/>
      <c r="H134" s="138"/>
      <c r="I134" s="33"/>
      <c r="J134" s="142"/>
      <c r="K134" s="33"/>
      <c r="L134" s="33"/>
      <c r="M134" s="33"/>
      <c r="N134" s="33"/>
      <c r="O134" s="33"/>
      <c r="P134" s="33"/>
      <c r="Q134" s="33"/>
      <c r="R134" s="114"/>
    </row>
    <row r="135" spans="1:18" s="92" customFormat="1" x14ac:dyDescent="0.2">
      <c r="A135" s="70">
        <f>A111-A133</f>
        <v>-1169400</v>
      </c>
      <c r="B135" s="64">
        <f>B111-B133</f>
        <v>-1056200</v>
      </c>
      <c r="C135" s="64">
        <f>C111-C133</f>
        <v>-1198000</v>
      </c>
      <c r="D135" s="64">
        <f>D111-D133</f>
        <v>-1237300</v>
      </c>
      <c r="E135" s="674"/>
      <c r="F135" s="522" t="s">
        <v>1019</v>
      </c>
      <c r="G135" s="64">
        <f t="shared" ref="G135:P135" si="239">G111-G133</f>
        <v>-1293900</v>
      </c>
      <c r="H135" s="179">
        <f>IF(D135=G135,0,IF(D135=0,100,(G135-D135)/D135*100))</f>
        <v>4.5744766831002988</v>
      </c>
      <c r="I135" s="64">
        <f t="shared" si="239"/>
        <v>-1287100</v>
      </c>
      <c r="J135" s="128">
        <f t="shared" si="239"/>
        <v>-1473000</v>
      </c>
      <c r="K135" s="64">
        <f t="shared" si="239"/>
        <v>-1701600</v>
      </c>
      <c r="L135" s="64">
        <f t="shared" si="239"/>
        <v>-1739900</v>
      </c>
      <c r="M135" s="64">
        <f t="shared" si="239"/>
        <v>-1777800</v>
      </c>
      <c r="N135" s="64">
        <f t="shared" si="239"/>
        <v>-1816500</v>
      </c>
      <c r="O135" s="64">
        <f t="shared" si="239"/>
        <v>-1856400</v>
      </c>
      <c r="P135" s="64">
        <f t="shared" si="239"/>
        <v>-1898000</v>
      </c>
      <c r="Q135" s="64">
        <f t="shared" ref="Q135" si="240">Q111-Q133</f>
        <v>-1940600</v>
      </c>
      <c r="R135" s="115">
        <f t="shared" ref="R135" si="241">R111-R133</f>
        <v>-1984200</v>
      </c>
    </row>
    <row r="136" spans="1:18" x14ac:dyDescent="0.2">
      <c r="A136" s="107">
        <f t="shared" ref="A136:B136" si="242">SUM(A129:A132)</f>
        <v>894400</v>
      </c>
      <c r="B136" s="33">
        <f t="shared" si="242"/>
        <v>692800</v>
      </c>
      <c r="C136" s="33">
        <f>SUM(C129:C132)</f>
        <v>839600</v>
      </c>
      <c r="D136" s="33">
        <f>SUM(D129:D132)</f>
        <v>861700</v>
      </c>
      <c r="E136" s="673"/>
      <c r="F136" s="2531" t="s">
        <v>1976</v>
      </c>
      <c r="G136" s="455">
        <f t="shared" ref="G136:O136" si="243">SUM(G129:G132)</f>
        <v>840000</v>
      </c>
      <c r="H136" s="19">
        <f>IF(D136=G136,0,IF(D136=0,100,(G136-D136)/D136*100))</f>
        <v>-2.518277822908205</v>
      </c>
      <c r="I136" s="33">
        <f t="shared" si="243"/>
        <v>856800</v>
      </c>
      <c r="J136" s="142">
        <f t="shared" si="243"/>
        <v>914200</v>
      </c>
      <c r="K136" s="33">
        <f t="shared" si="243"/>
        <v>1012700</v>
      </c>
      <c r="L136" s="33">
        <f t="shared" si="243"/>
        <v>1033100</v>
      </c>
      <c r="M136" s="33">
        <f t="shared" si="243"/>
        <v>1053900</v>
      </c>
      <c r="N136" s="33">
        <f t="shared" si="243"/>
        <v>1075200</v>
      </c>
      <c r="O136" s="33">
        <f t="shared" si="243"/>
        <v>1096900</v>
      </c>
      <c r="P136" s="33">
        <f t="shared" ref="P136:Q136" si="244">SUM(P129:P132)</f>
        <v>1118900</v>
      </c>
      <c r="Q136" s="33">
        <f t="shared" si="244"/>
        <v>1141400</v>
      </c>
      <c r="R136" s="114">
        <f t="shared" ref="R136" si="245">SUM(R129:R132)</f>
        <v>1164400</v>
      </c>
    </row>
    <row r="137" spans="1:18" s="92" customFormat="1" x14ac:dyDescent="0.2">
      <c r="A137" s="181">
        <f>A135+A136</f>
        <v>-275000</v>
      </c>
      <c r="B137" s="397">
        <f>B135+B136</f>
        <v>-363400</v>
      </c>
      <c r="C137" s="397">
        <f>C135+C136</f>
        <v>-358400</v>
      </c>
      <c r="D137" s="397">
        <f>D135+D136</f>
        <v>-375600</v>
      </c>
      <c r="E137" s="675"/>
      <c r="F137" s="515" t="s">
        <v>1687</v>
      </c>
      <c r="G137" s="397">
        <f t="shared" ref="G137:O137" si="246">G135+G136</f>
        <v>-453900</v>
      </c>
      <c r="H137" s="395">
        <f>IF(D137=G137,0,IF(D137=0,100,(G137-D137)/D137*100))</f>
        <v>20.84664536741214</v>
      </c>
      <c r="I137" s="397">
        <f t="shared" si="246"/>
        <v>-430300</v>
      </c>
      <c r="J137" s="377">
        <f t="shared" si="246"/>
        <v>-558800</v>
      </c>
      <c r="K137" s="397">
        <f t="shared" si="246"/>
        <v>-688900</v>
      </c>
      <c r="L137" s="397">
        <f t="shared" si="246"/>
        <v>-706800</v>
      </c>
      <c r="M137" s="397">
        <f t="shared" si="246"/>
        <v>-723900</v>
      </c>
      <c r="N137" s="397">
        <f t="shared" si="246"/>
        <v>-741300</v>
      </c>
      <c r="O137" s="397">
        <f t="shared" si="246"/>
        <v>-759500</v>
      </c>
      <c r="P137" s="397">
        <f t="shared" ref="P137:Q137" si="247">P135+P136</f>
        <v>-779100</v>
      </c>
      <c r="Q137" s="397">
        <f t="shared" si="247"/>
        <v>-799200</v>
      </c>
      <c r="R137" s="399">
        <f t="shared" ref="R137" si="248">R135+R136</f>
        <v>-819800</v>
      </c>
    </row>
    <row r="138" spans="1:18" ht="13.5" thickBot="1" x14ac:dyDescent="0.25">
      <c r="A138" s="73"/>
      <c r="B138" s="90"/>
      <c r="C138" s="90"/>
      <c r="D138" s="90"/>
      <c r="E138" s="681"/>
      <c r="F138" s="141"/>
      <c r="G138" s="90"/>
      <c r="H138" s="392"/>
      <c r="I138" s="121"/>
      <c r="J138" s="95"/>
      <c r="K138" s="121"/>
      <c r="L138" s="121"/>
      <c r="M138" s="121"/>
      <c r="N138" s="121"/>
      <c r="O138" s="121"/>
      <c r="P138" s="121"/>
      <c r="Q138" s="121"/>
      <c r="R138" s="161"/>
    </row>
    <row r="139" spans="1:18" ht="13.5" thickTop="1" x14ac:dyDescent="0.2">
      <c r="A139" s="383"/>
      <c r="B139" s="162"/>
      <c r="C139" s="162"/>
      <c r="D139" s="393"/>
      <c r="E139" s="677"/>
      <c r="F139" s="640"/>
      <c r="G139" s="162"/>
      <c r="H139" s="505"/>
      <c r="I139" s="127"/>
      <c r="J139" s="164"/>
      <c r="K139" s="127"/>
      <c r="L139" s="127"/>
      <c r="M139" s="127"/>
      <c r="N139" s="127"/>
      <c r="O139" s="127"/>
      <c r="P139" s="127"/>
      <c r="Q139" s="127"/>
      <c r="R139" s="163"/>
    </row>
    <row r="140" spans="1:18" x14ac:dyDescent="0.2">
      <c r="A140" s="70"/>
      <c r="B140" s="64"/>
      <c r="C140" s="64"/>
      <c r="D140" s="1990"/>
      <c r="E140" s="657"/>
      <c r="F140" s="1962" t="s">
        <v>196</v>
      </c>
      <c r="G140" s="64"/>
      <c r="H140" s="179"/>
      <c r="I140" s="33"/>
      <c r="J140" s="142"/>
      <c r="K140" s="33"/>
      <c r="L140" s="33"/>
      <c r="M140" s="33"/>
      <c r="N140" s="33"/>
      <c r="O140" s="33"/>
      <c r="P140" s="33"/>
      <c r="Q140" s="33"/>
      <c r="R140" s="114"/>
    </row>
    <row r="141" spans="1:18" x14ac:dyDescent="0.2">
      <c r="A141" s="107">
        <f t="shared" ref="A141:A145" si="249">ROUND(A604,-3)</f>
        <v>15000</v>
      </c>
      <c r="B141" s="33">
        <f>ROUND(B604,-2)</f>
        <v>16200</v>
      </c>
      <c r="C141" s="33">
        <f t="shared" ref="C141:D145" si="250">C604</f>
        <v>17300</v>
      </c>
      <c r="D141" s="152">
        <f t="shared" si="250"/>
        <v>18500</v>
      </c>
      <c r="E141" s="657"/>
      <c r="F141" s="1979" t="s">
        <v>1791</v>
      </c>
      <c r="G141" s="33">
        <f t="shared" ref="G141:O141" si="251">G604</f>
        <v>19900</v>
      </c>
      <c r="H141" s="138"/>
      <c r="I141" s="33">
        <f t="shared" si="251"/>
        <v>21300</v>
      </c>
      <c r="J141" s="142">
        <f t="shared" si="251"/>
        <v>22700</v>
      </c>
      <c r="K141" s="33">
        <f t="shared" si="251"/>
        <v>22800</v>
      </c>
      <c r="L141" s="33">
        <f t="shared" si="251"/>
        <v>16900</v>
      </c>
      <c r="M141" s="33">
        <f t="shared" si="251"/>
        <v>18100</v>
      </c>
      <c r="N141" s="33">
        <f t="shared" si="251"/>
        <v>19500</v>
      </c>
      <c r="O141" s="33">
        <f t="shared" si="251"/>
        <v>0</v>
      </c>
      <c r="P141" s="33">
        <f t="shared" ref="P141:Q141" si="252">P604</f>
        <v>0</v>
      </c>
      <c r="Q141" s="33">
        <f t="shared" si="252"/>
        <v>0</v>
      </c>
      <c r="R141" s="114">
        <f t="shared" ref="R141" si="253">R604</f>
        <v>0</v>
      </c>
    </row>
    <row r="142" spans="1:18" x14ac:dyDescent="0.2">
      <c r="A142" s="107">
        <f t="shared" si="249"/>
        <v>86000</v>
      </c>
      <c r="B142" s="33">
        <f>ROUND(B605,-2)</f>
        <v>104100</v>
      </c>
      <c r="C142" s="33">
        <f t="shared" si="250"/>
        <v>298600</v>
      </c>
      <c r="D142" s="152">
        <f t="shared" si="250"/>
        <v>39100</v>
      </c>
      <c r="E142" s="657"/>
      <c r="F142" s="1981" t="s">
        <v>1942</v>
      </c>
      <c r="G142" s="33">
        <f t="shared" ref="G142:O142" si="254">G605</f>
        <v>1000000</v>
      </c>
      <c r="H142" s="138"/>
      <c r="I142" s="33">
        <f t="shared" si="254"/>
        <v>2000000</v>
      </c>
      <c r="J142" s="142">
        <f t="shared" si="254"/>
        <v>1000000</v>
      </c>
      <c r="K142" s="33">
        <f t="shared" si="254"/>
        <v>1000000</v>
      </c>
      <c r="L142" s="33">
        <f t="shared" si="254"/>
        <v>0</v>
      </c>
      <c r="M142" s="33">
        <f t="shared" si="254"/>
        <v>0</v>
      </c>
      <c r="N142" s="33">
        <f t="shared" si="254"/>
        <v>0</v>
      </c>
      <c r="O142" s="33">
        <f t="shared" si="254"/>
        <v>0</v>
      </c>
      <c r="P142" s="33">
        <f t="shared" ref="P142:Q142" si="255">P605</f>
        <v>0</v>
      </c>
      <c r="Q142" s="33">
        <f t="shared" si="255"/>
        <v>0</v>
      </c>
      <c r="R142" s="114">
        <f t="shared" ref="R142" si="256">R605</f>
        <v>0</v>
      </c>
    </row>
    <row r="143" spans="1:18" x14ac:dyDescent="0.2">
      <c r="A143" s="107">
        <f t="shared" si="249"/>
        <v>80000</v>
      </c>
      <c r="B143" s="33">
        <f>ROUND(B606,-2)</f>
        <v>379700</v>
      </c>
      <c r="C143" s="33">
        <f t="shared" si="250"/>
        <v>56100</v>
      </c>
      <c r="D143" s="152">
        <f t="shared" si="250"/>
        <v>231000</v>
      </c>
      <c r="E143" s="657"/>
      <c r="F143" s="1981" t="s">
        <v>2348</v>
      </c>
      <c r="G143" s="33">
        <f t="shared" ref="G143:O143" si="257">G606</f>
        <v>1020300</v>
      </c>
      <c r="H143" s="138"/>
      <c r="I143" s="33">
        <f t="shared" si="257"/>
        <v>3257000</v>
      </c>
      <c r="J143" s="142">
        <f t="shared" si="257"/>
        <v>3000000</v>
      </c>
      <c r="K143" s="33">
        <f t="shared" si="257"/>
        <v>2000000</v>
      </c>
      <c r="L143" s="33">
        <f t="shared" si="257"/>
        <v>1000000</v>
      </c>
      <c r="M143" s="33">
        <f t="shared" si="257"/>
        <v>0</v>
      </c>
      <c r="N143" s="33">
        <f t="shared" si="257"/>
        <v>0</v>
      </c>
      <c r="O143" s="33">
        <f t="shared" si="257"/>
        <v>0</v>
      </c>
      <c r="P143" s="33">
        <f t="shared" ref="P143:Q143" si="258">P606</f>
        <v>0</v>
      </c>
      <c r="Q143" s="33">
        <f t="shared" si="258"/>
        <v>0</v>
      </c>
      <c r="R143" s="114">
        <f t="shared" ref="R143" si="259">R606</f>
        <v>0</v>
      </c>
    </row>
    <row r="144" spans="1:18" x14ac:dyDescent="0.2">
      <c r="A144" s="107">
        <f t="shared" si="249"/>
        <v>0</v>
      </c>
      <c r="B144" s="33">
        <f>ROUND(B607,-2)</f>
        <v>9200</v>
      </c>
      <c r="C144" s="33">
        <f t="shared" si="250"/>
        <v>180000</v>
      </c>
      <c r="D144" s="152">
        <f t="shared" si="250"/>
        <v>20000</v>
      </c>
      <c r="E144" s="657"/>
      <c r="F144" s="1981" t="s">
        <v>5984</v>
      </c>
      <c r="G144" s="33">
        <f t="shared" ref="G144:O144" si="260">G607</f>
        <v>0</v>
      </c>
      <c r="H144" s="138"/>
      <c r="I144" s="33">
        <f t="shared" si="260"/>
        <v>0</v>
      </c>
      <c r="J144" s="142">
        <f t="shared" si="260"/>
        <v>0</v>
      </c>
      <c r="K144" s="33">
        <f t="shared" si="260"/>
        <v>0</v>
      </c>
      <c r="L144" s="33">
        <f t="shared" si="260"/>
        <v>3000000</v>
      </c>
      <c r="M144" s="33">
        <f t="shared" si="260"/>
        <v>0</v>
      </c>
      <c r="N144" s="33">
        <f t="shared" si="260"/>
        <v>0</v>
      </c>
      <c r="O144" s="33">
        <f t="shared" si="260"/>
        <v>0</v>
      </c>
      <c r="P144" s="33">
        <f t="shared" ref="P144:Q144" si="261">P607</f>
        <v>0</v>
      </c>
      <c r="Q144" s="33">
        <f t="shared" si="261"/>
        <v>0</v>
      </c>
      <c r="R144" s="114">
        <f t="shared" ref="R144" si="262">R607</f>
        <v>0</v>
      </c>
    </row>
    <row r="145" spans="1:18" x14ac:dyDescent="0.2">
      <c r="A145" s="107">
        <f t="shared" si="249"/>
        <v>0</v>
      </c>
      <c r="B145" s="33">
        <f>ROUND(B608,-2)</f>
        <v>237400</v>
      </c>
      <c r="C145" s="33">
        <f t="shared" si="250"/>
        <v>126100</v>
      </c>
      <c r="D145" s="152">
        <f t="shared" si="250"/>
        <v>365800</v>
      </c>
      <c r="E145" s="657"/>
      <c r="F145" s="1981" t="s">
        <v>972</v>
      </c>
      <c r="G145" s="33">
        <f t="shared" ref="G145:O145" si="263">G608</f>
        <v>26300</v>
      </c>
      <c r="H145" s="138"/>
      <c r="I145" s="33">
        <f t="shared" si="263"/>
        <v>1280000</v>
      </c>
      <c r="J145" s="142">
        <f t="shared" si="263"/>
        <v>2024000</v>
      </c>
      <c r="K145" s="33">
        <f t="shared" si="263"/>
        <v>1025000</v>
      </c>
      <c r="L145" s="33">
        <f t="shared" si="263"/>
        <v>4026000</v>
      </c>
      <c r="M145" s="33">
        <f t="shared" si="263"/>
        <v>27000</v>
      </c>
      <c r="N145" s="33">
        <f t="shared" si="263"/>
        <v>28000</v>
      </c>
      <c r="O145" s="33">
        <f t="shared" si="263"/>
        <v>29000</v>
      </c>
      <c r="P145" s="33">
        <f t="shared" ref="P145:Q145" si="264">P608</f>
        <v>30000</v>
      </c>
      <c r="Q145" s="33">
        <f t="shared" si="264"/>
        <v>31000</v>
      </c>
      <c r="R145" s="114">
        <f t="shared" ref="R145" si="265">R608</f>
        <v>32000</v>
      </c>
    </row>
    <row r="146" spans="1:18" x14ac:dyDescent="0.2">
      <c r="A146" s="107"/>
      <c r="B146" s="33"/>
      <c r="C146" s="33"/>
      <c r="D146" s="152"/>
      <c r="E146" s="657"/>
      <c r="F146" s="516"/>
      <c r="G146" s="99"/>
      <c r="H146" s="138"/>
      <c r="I146" s="33"/>
      <c r="J146" s="142"/>
      <c r="K146" s="33"/>
      <c r="L146" s="33"/>
      <c r="M146" s="33"/>
      <c r="N146" s="33"/>
      <c r="O146" s="33"/>
      <c r="P146" s="33"/>
      <c r="Q146" s="33"/>
      <c r="R146" s="114"/>
    </row>
    <row r="147" spans="1:18" s="92" customFormat="1" x14ac:dyDescent="0.2">
      <c r="A147" s="181">
        <f>A137-A141-A142+A143++A144-A145</f>
        <v>-296000</v>
      </c>
      <c r="B147" s="397">
        <f>B137-B141-B142+B143++B144-B145</f>
        <v>-332200</v>
      </c>
      <c r="C147" s="397">
        <f>C137-C141-C142+C143++C144-C145</f>
        <v>-564300</v>
      </c>
      <c r="D147" s="650">
        <f>D137-D141-D142+D143++D144-D145</f>
        <v>-548000</v>
      </c>
      <c r="E147" s="678"/>
      <c r="F147" s="518" t="s">
        <v>2490</v>
      </c>
      <c r="G147" s="704">
        <f t="shared" ref="G147:P147" si="266">G137-G141-G142+G143++G144-G145</f>
        <v>-479800</v>
      </c>
      <c r="H147" s="395">
        <f>IF(D147=G147,0,IF(D147=0,100,(G147-D147)/D147*100))</f>
        <v>-12.445255474452555</v>
      </c>
      <c r="I147" s="397">
        <f t="shared" si="266"/>
        <v>-474600</v>
      </c>
      <c r="J147" s="377">
        <f t="shared" si="266"/>
        <v>-605500</v>
      </c>
      <c r="K147" s="397">
        <f t="shared" si="266"/>
        <v>-736700</v>
      </c>
      <c r="L147" s="397">
        <f t="shared" si="266"/>
        <v>-749700</v>
      </c>
      <c r="M147" s="397">
        <f t="shared" si="266"/>
        <v>-769000</v>
      </c>
      <c r="N147" s="397">
        <f t="shared" si="266"/>
        <v>-788800</v>
      </c>
      <c r="O147" s="397">
        <f t="shared" si="266"/>
        <v>-788500</v>
      </c>
      <c r="P147" s="397">
        <f t="shared" si="266"/>
        <v>-809100</v>
      </c>
      <c r="Q147" s="397">
        <f t="shared" ref="Q147" si="267">Q137-Q141-Q142+Q143++Q144-Q145</f>
        <v>-830200</v>
      </c>
      <c r="R147" s="399">
        <f t="shared" ref="R147" si="268">R137-R141-R142+R143++R144-R145</f>
        <v>-851800</v>
      </c>
    </row>
    <row r="148" spans="1:18" ht="13.5" thickBot="1" x14ac:dyDescent="0.25">
      <c r="A148" s="73"/>
      <c r="B148" s="90"/>
      <c r="C148" s="90"/>
      <c r="D148" s="394"/>
      <c r="E148" s="679"/>
      <c r="F148" s="368"/>
      <c r="G148" s="120"/>
      <c r="H148" s="392"/>
      <c r="I148" s="66"/>
      <c r="J148" s="166"/>
      <c r="K148" s="66"/>
      <c r="L148" s="66"/>
      <c r="M148" s="66"/>
      <c r="N148" s="66"/>
      <c r="O148" s="66"/>
      <c r="P148" s="66"/>
      <c r="Q148" s="66"/>
      <c r="R148" s="165"/>
    </row>
    <row r="149" spans="1:18" ht="14.25" thickTop="1" thickBot="1" x14ac:dyDescent="0.25">
      <c r="A149" s="74"/>
      <c r="B149" s="74"/>
      <c r="C149" s="74"/>
      <c r="D149" s="2482"/>
      <c r="E149" s="660"/>
      <c r="F149" s="137"/>
      <c r="G149" s="74"/>
      <c r="H149" s="2211"/>
      <c r="I149" s="99"/>
      <c r="J149" s="99"/>
      <c r="K149" s="99"/>
      <c r="L149" s="99"/>
      <c r="M149" s="99"/>
      <c r="N149" s="99"/>
      <c r="O149" s="99"/>
      <c r="P149" s="99"/>
      <c r="Q149" s="99"/>
      <c r="R149" s="99"/>
    </row>
    <row r="150" spans="1:18" s="44" customFormat="1" ht="13.5" thickTop="1" x14ac:dyDescent="0.2">
      <c r="A150" s="2871" t="s">
        <v>1856</v>
      </c>
      <c r="B150" s="2860"/>
      <c r="C150" s="2860"/>
      <c r="D150" s="2872"/>
      <c r="E150" s="2094" t="s">
        <v>2663</v>
      </c>
      <c r="F150" s="2506" t="s">
        <v>2251</v>
      </c>
      <c r="G150" s="2880" t="s">
        <v>2253</v>
      </c>
      <c r="H150" s="2881"/>
      <c r="I150" s="2881"/>
      <c r="J150" s="2881"/>
      <c r="K150" s="2881"/>
      <c r="L150" s="2881"/>
      <c r="M150" s="2881"/>
      <c r="N150" s="2881"/>
      <c r="O150" s="2881"/>
      <c r="P150" s="2881"/>
      <c r="Q150" s="2881"/>
      <c r="R150" s="2882"/>
    </row>
    <row r="151" spans="1:18" x14ac:dyDescent="0.2">
      <c r="A151" s="1711" t="str">
        <f t="shared" ref="A151:B151" si="269">A100</f>
        <v>2012/13</v>
      </c>
      <c r="B151" s="1712" t="str">
        <f t="shared" si="269"/>
        <v>2013/14</v>
      </c>
      <c r="C151" s="1712" t="str">
        <f>C100</f>
        <v>2014/15</v>
      </c>
      <c r="D151" s="1712" t="str">
        <f>D100</f>
        <v>2015/16</v>
      </c>
      <c r="E151" s="658"/>
      <c r="F151" s="109" t="s">
        <v>3867</v>
      </c>
      <c r="G151" s="2491" t="str">
        <f t="shared" ref="G151:P151" si="270">G100</f>
        <v>2016/17</v>
      </c>
      <c r="H151" s="1712" t="str">
        <f t="shared" ref="H151" si="271">H100</f>
        <v>%</v>
      </c>
      <c r="I151" s="1712" t="str">
        <f t="shared" si="270"/>
        <v>2017/18</v>
      </c>
      <c r="J151" s="1713" t="str">
        <f t="shared" si="270"/>
        <v>2018/19</v>
      </c>
      <c r="K151" s="1712" t="str">
        <f t="shared" si="270"/>
        <v>2019/20</v>
      </c>
      <c r="L151" s="1712" t="str">
        <f t="shared" si="270"/>
        <v>2020/21</v>
      </c>
      <c r="M151" s="1712" t="str">
        <f t="shared" si="270"/>
        <v>2021/22</v>
      </c>
      <c r="N151" s="1712" t="str">
        <f t="shared" si="270"/>
        <v>2022/23</v>
      </c>
      <c r="O151" s="1712" t="str">
        <f t="shared" si="270"/>
        <v>2023/24</v>
      </c>
      <c r="P151" s="1712" t="str">
        <f t="shared" si="270"/>
        <v>2024/25</v>
      </c>
      <c r="Q151" s="1712" t="str">
        <f t="shared" ref="Q151" si="272">Q100</f>
        <v>2025/26</v>
      </c>
      <c r="R151" s="1714" t="str">
        <f t="shared" ref="R151" si="273">R100</f>
        <v>2026/27</v>
      </c>
    </row>
    <row r="152" spans="1:18" x14ac:dyDescent="0.2">
      <c r="A152" s="107">
        <f>-A114</f>
        <v>-126000</v>
      </c>
      <c r="B152" s="33">
        <f>-B114</f>
        <v>-123500</v>
      </c>
      <c r="C152" s="33">
        <f>-C114</f>
        <v>-169500</v>
      </c>
      <c r="D152" s="150">
        <f>-D114</f>
        <v>-183500</v>
      </c>
      <c r="E152" s="1955">
        <v>35110</v>
      </c>
      <c r="F152" s="78" t="s">
        <v>1249</v>
      </c>
      <c r="G152" s="76">
        <f t="shared" ref="G152:P152" si="274">-G114</f>
        <v>-203000</v>
      </c>
      <c r="H152" s="138">
        <f t="shared" ref="H152:H160" si="275">IF(D152=G152,0,IF(D152=0,100,(G152-D152)/D152*100))</f>
        <v>10.626702997275205</v>
      </c>
      <c r="I152" s="33">
        <f t="shared" si="274"/>
        <v>-187700</v>
      </c>
      <c r="J152" s="142">
        <f t="shared" si="274"/>
        <v>-259400</v>
      </c>
      <c r="K152" s="33">
        <f t="shared" si="274"/>
        <v>-332900</v>
      </c>
      <c r="L152" s="33">
        <f t="shared" si="274"/>
        <v>-341300</v>
      </c>
      <c r="M152" s="33">
        <f t="shared" si="274"/>
        <v>-349900</v>
      </c>
      <c r="N152" s="33">
        <f t="shared" si="274"/>
        <v>-358700</v>
      </c>
      <c r="O152" s="33">
        <f t="shared" si="274"/>
        <v>-367700</v>
      </c>
      <c r="P152" s="33">
        <f t="shared" si="274"/>
        <v>-376900</v>
      </c>
      <c r="Q152" s="33">
        <f t="shared" ref="Q152" si="276">-Q114</f>
        <v>-386400</v>
      </c>
      <c r="R152" s="114">
        <f t="shared" ref="R152" si="277">-R114</f>
        <v>-396100</v>
      </c>
    </row>
    <row r="153" spans="1:18" x14ac:dyDescent="0.2">
      <c r="A153" s="107">
        <f>A106-A115-A125</f>
        <v>62000</v>
      </c>
      <c r="B153" s="33">
        <f>B106-B115-B125</f>
        <v>65600</v>
      </c>
      <c r="C153" s="33">
        <f>C106-C115-C125</f>
        <v>78900</v>
      </c>
      <c r="D153" s="150">
        <f>D106-D115-D125</f>
        <v>78600</v>
      </c>
      <c r="E153" s="1955">
        <v>35110</v>
      </c>
      <c r="F153" s="78" t="s">
        <v>3019</v>
      </c>
      <c r="G153" s="76">
        <f t="shared" ref="G153:P153" si="278">G106-G115-G125</f>
        <v>63800</v>
      </c>
      <c r="H153" s="138">
        <f t="shared" si="275"/>
        <v>-18.829516539440203</v>
      </c>
      <c r="I153" s="33">
        <f t="shared" si="278"/>
        <v>74400</v>
      </c>
      <c r="J153" s="142">
        <f t="shared" si="278"/>
        <v>76400</v>
      </c>
      <c r="K153" s="33">
        <f t="shared" si="278"/>
        <v>78500</v>
      </c>
      <c r="L153" s="33">
        <f t="shared" si="278"/>
        <v>80400</v>
      </c>
      <c r="M153" s="33">
        <f t="shared" si="278"/>
        <v>81700</v>
      </c>
      <c r="N153" s="33">
        <f t="shared" si="278"/>
        <v>83000</v>
      </c>
      <c r="O153" s="33">
        <f t="shared" si="278"/>
        <v>84300</v>
      </c>
      <c r="P153" s="33">
        <f t="shared" si="278"/>
        <v>85600</v>
      </c>
      <c r="Q153" s="33">
        <f t="shared" ref="Q153" si="279">Q106-Q115-Q125</f>
        <v>86900</v>
      </c>
      <c r="R153" s="114">
        <f t="shared" ref="R153" si="280">R106-R115-R125</f>
        <v>88200</v>
      </c>
    </row>
    <row r="154" spans="1:18" x14ac:dyDescent="0.2">
      <c r="A154" s="107">
        <f>A104-A116</f>
        <v>-137000</v>
      </c>
      <c r="B154" s="33">
        <f>B104-B116</f>
        <v>-159600</v>
      </c>
      <c r="C154" s="33">
        <f>C104-C116</f>
        <v>-131600</v>
      </c>
      <c r="D154" s="150">
        <f>D104-D116</f>
        <v>-149600</v>
      </c>
      <c r="E154" s="1955">
        <v>35115</v>
      </c>
      <c r="F154" s="78" t="s">
        <v>4579</v>
      </c>
      <c r="G154" s="76">
        <f t="shared" ref="G154:P154" si="281">G104-G116</f>
        <v>-168300</v>
      </c>
      <c r="H154" s="138">
        <f t="shared" si="275"/>
        <v>12.5</v>
      </c>
      <c r="I154" s="33">
        <f t="shared" si="281"/>
        <v>-171300</v>
      </c>
      <c r="J154" s="142">
        <f t="shared" si="281"/>
        <v>-175900</v>
      </c>
      <c r="K154" s="33">
        <f t="shared" si="281"/>
        <v>-180600</v>
      </c>
      <c r="L154" s="33">
        <f t="shared" si="281"/>
        <v>-185300</v>
      </c>
      <c r="M154" s="33">
        <f t="shared" si="281"/>
        <v>-189200</v>
      </c>
      <c r="N154" s="33">
        <f t="shared" si="281"/>
        <v>-193200</v>
      </c>
      <c r="O154" s="33">
        <f t="shared" si="281"/>
        <v>-197200</v>
      </c>
      <c r="P154" s="33">
        <f t="shared" si="281"/>
        <v>-201300</v>
      </c>
      <c r="Q154" s="33">
        <f t="shared" ref="Q154" si="282">Q104-Q116</f>
        <v>-205500</v>
      </c>
      <c r="R154" s="114">
        <f t="shared" ref="R154" si="283">R104-R116</f>
        <v>-209800</v>
      </c>
    </row>
    <row r="155" spans="1:18" x14ac:dyDescent="0.2">
      <c r="A155" s="107">
        <f t="shared" ref="A155:C156" si="284">A107-A117</f>
        <v>-32000</v>
      </c>
      <c r="B155" s="33">
        <f t="shared" si="284"/>
        <v>-69800</v>
      </c>
      <c r="C155" s="33">
        <f t="shared" si="284"/>
        <v>-80700</v>
      </c>
      <c r="D155" s="150">
        <f>D107-D117</f>
        <v>-83100</v>
      </c>
      <c r="E155" s="1955">
        <v>30023</v>
      </c>
      <c r="F155" s="78" t="s">
        <v>4578</v>
      </c>
      <c r="G155" s="76">
        <f t="shared" ref="G155:P156" si="285">G107-G117</f>
        <v>-68900</v>
      </c>
      <c r="H155" s="138">
        <f t="shared" si="275"/>
        <v>-17.087845968712394</v>
      </c>
      <c r="I155" s="33">
        <f t="shared" si="285"/>
        <v>-77300</v>
      </c>
      <c r="J155" s="142">
        <f t="shared" si="285"/>
        <v>-80000</v>
      </c>
      <c r="K155" s="33">
        <f t="shared" si="285"/>
        <v>-82500</v>
      </c>
      <c r="L155" s="33">
        <f t="shared" si="285"/>
        <v>-85200</v>
      </c>
      <c r="M155" s="33">
        <f t="shared" si="285"/>
        <v>-87400</v>
      </c>
      <c r="N155" s="33">
        <f t="shared" si="285"/>
        <v>-89700</v>
      </c>
      <c r="O155" s="33">
        <f t="shared" si="285"/>
        <v>-92100</v>
      </c>
      <c r="P155" s="33">
        <f t="shared" si="285"/>
        <v>-94700</v>
      </c>
      <c r="Q155" s="33">
        <f t="shared" ref="Q155:Q156" si="286">Q107-Q117</f>
        <v>-97300</v>
      </c>
      <c r="R155" s="114">
        <f t="shared" ref="R155" si="287">R107-R117</f>
        <v>-99900</v>
      </c>
    </row>
    <row r="156" spans="1:18" x14ac:dyDescent="0.2">
      <c r="A156" s="107">
        <f t="shared" si="284"/>
        <v>0</v>
      </c>
      <c r="B156" s="33">
        <f t="shared" si="284"/>
        <v>0</v>
      </c>
      <c r="C156" s="33">
        <f t="shared" si="284"/>
        <v>0</v>
      </c>
      <c r="D156" s="150">
        <f>D108-D118</f>
        <v>0</v>
      </c>
      <c r="E156" s="1955"/>
      <c r="F156" s="78" t="s">
        <v>6037</v>
      </c>
      <c r="G156" s="76">
        <f t="shared" si="285"/>
        <v>0</v>
      </c>
      <c r="H156" s="138">
        <f t="shared" si="275"/>
        <v>0</v>
      </c>
      <c r="I156" s="33">
        <f t="shared" si="285"/>
        <v>0</v>
      </c>
      <c r="J156" s="142">
        <f t="shared" si="285"/>
        <v>-50000</v>
      </c>
      <c r="K156" s="33">
        <f t="shared" si="285"/>
        <v>-100000</v>
      </c>
      <c r="L156" s="33">
        <f t="shared" si="285"/>
        <v>-102900</v>
      </c>
      <c r="M156" s="33">
        <f t="shared" si="285"/>
        <v>-105500</v>
      </c>
      <c r="N156" s="33">
        <f t="shared" si="285"/>
        <v>-108200</v>
      </c>
      <c r="O156" s="33">
        <f t="shared" si="285"/>
        <v>-111100</v>
      </c>
      <c r="P156" s="33">
        <f t="shared" si="285"/>
        <v>-113900</v>
      </c>
      <c r="Q156" s="33">
        <f t="shared" si="286"/>
        <v>-116700</v>
      </c>
      <c r="R156" s="114">
        <f t="shared" ref="R156" si="288">R108-R118</f>
        <v>-119500</v>
      </c>
    </row>
    <row r="157" spans="1:18" x14ac:dyDescent="0.2">
      <c r="A157" s="107">
        <f t="shared" ref="A157:B157" si="289">A109-A119</f>
        <v>-4000</v>
      </c>
      <c r="B157" s="33">
        <f t="shared" si="289"/>
        <v>-4000</v>
      </c>
      <c r="C157" s="33">
        <f>C109-C119</f>
        <v>-5900</v>
      </c>
      <c r="D157" s="150">
        <f>D109-D119</f>
        <v>-4600</v>
      </c>
      <c r="E157" s="1955">
        <v>30023</v>
      </c>
      <c r="F157" s="78" t="s">
        <v>1174</v>
      </c>
      <c r="G157" s="76">
        <f t="shared" ref="G157:P157" si="290">G109-G119</f>
        <v>-6100</v>
      </c>
      <c r="H157" s="138">
        <f t="shared" si="275"/>
        <v>32.608695652173914</v>
      </c>
      <c r="I157" s="33">
        <f t="shared" si="290"/>
        <v>-8600</v>
      </c>
      <c r="J157" s="142">
        <f t="shared" si="290"/>
        <v>-9200</v>
      </c>
      <c r="K157" s="33">
        <f t="shared" si="290"/>
        <v>-9700</v>
      </c>
      <c r="L157" s="33">
        <f t="shared" si="290"/>
        <v>-10200</v>
      </c>
      <c r="M157" s="33">
        <f t="shared" si="290"/>
        <v>-10700</v>
      </c>
      <c r="N157" s="33">
        <f t="shared" si="290"/>
        <v>-11200</v>
      </c>
      <c r="O157" s="33">
        <f t="shared" si="290"/>
        <v>-11700</v>
      </c>
      <c r="P157" s="33">
        <f t="shared" si="290"/>
        <v>-12200</v>
      </c>
      <c r="Q157" s="33">
        <f t="shared" ref="Q157" si="291">Q109-Q119</f>
        <v>-12700</v>
      </c>
      <c r="R157" s="114">
        <f t="shared" ref="R157" si="292">R109-R119</f>
        <v>-13300</v>
      </c>
    </row>
    <row r="158" spans="1:18" x14ac:dyDescent="0.2">
      <c r="A158" s="107">
        <f>A105-A120</f>
        <v>0</v>
      </c>
      <c r="B158" s="33">
        <f>B105-B120</f>
        <v>-22400</v>
      </c>
      <c r="C158" s="33">
        <f>C105-C120</f>
        <v>-4400</v>
      </c>
      <c r="D158" s="150">
        <f>D105-D120</f>
        <v>14400</v>
      </c>
      <c r="E158" s="1955"/>
      <c r="F158" s="78" t="s">
        <v>3085</v>
      </c>
      <c r="G158" s="76">
        <f t="shared" ref="G158:P158" si="293">G105-G120</f>
        <v>-14600</v>
      </c>
      <c r="H158" s="138">
        <f t="shared" si="275"/>
        <v>-201.38888888888889</v>
      </c>
      <c r="I158" s="33">
        <f t="shared" si="293"/>
        <v>-7900</v>
      </c>
      <c r="J158" s="142">
        <f t="shared" si="293"/>
        <v>-8500</v>
      </c>
      <c r="K158" s="33">
        <f t="shared" si="293"/>
        <v>-9100</v>
      </c>
      <c r="L158" s="33">
        <f t="shared" si="293"/>
        <v>-9600</v>
      </c>
      <c r="M158" s="33">
        <f t="shared" si="293"/>
        <v>-10300</v>
      </c>
      <c r="N158" s="33">
        <f t="shared" si="293"/>
        <v>-10900</v>
      </c>
      <c r="O158" s="33">
        <f t="shared" si="293"/>
        <v>-11500</v>
      </c>
      <c r="P158" s="33">
        <f t="shared" si="293"/>
        <v>-12000</v>
      </c>
      <c r="Q158" s="33">
        <f t="shared" ref="Q158" si="294">Q105-Q120</f>
        <v>-12600</v>
      </c>
      <c r="R158" s="114">
        <f t="shared" ref="R158" si="295">R105-R120</f>
        <v>-13300</v>
      </c>
    </row>
    <row r="159" spans="1:18" ht="13.5" thickBot="1" x14ac:dyDescent="0.25">
      <c r="A159" s="107">
        <f>0-A121-A122-A126</f>
        <v>-38000</v>
      </c>
      <c r="B159" s="33">
        <f>0-B121-B122-B126</f>
        <v>-49700</v>
      </c>
      <c r="C159" s="33">
        <f>0-C121-C122-C126</f>
        <v>-45200</v>
      </c>
      <c r="D159" s="150">
        <f>0-D121-D122-D126</f>
        <v>-47800</v>
      </c>
      <c r="E159" s="1955"/>
      <c r="F159" s="78" t="s">
        <v>3809</v>
      </c>
      <c r="G159" s="76">
        <f t="shared" ref="G159:P159" si="296">0-G121-G122-G126</f>
        <v>-56800</v>
      </c>
      <c r="H159" s="138">
        <f t="shared" si="275"/>
        <v>18.828451882845187</v>
      </c>
      <c r="I159" s="33">
        <f t="shared" si="296"/>
        <v>-51900</v>
      </c>
      <c r="J159" s="142">
        <f t="shared" si="296"/>
        <v>-52200</v>
      </c>
      <c r="K159" s="33">
        <f t="shared" si="296"/>
        <v>-52600</v>
      </c>
      <c r="L159" s="33">
        <f t="shared" si="296"/>
        <v>-52700</v>
      </c>
      <c r="M159" s="33">
        <f t="shared" si="296"/>
        <v>-52600</v>
      </c>
      <c r="N159" s="33">
        <f t="shared" si="296"/>
        <v>-52400</v>
      </c>
      <c r="O159" s="33">
        <f t="shared" si="296"/>
        <v>-52500</v>
      </c>
      <c r="P159" s="33">
        <f t="shared" si="296"/>
        <v>-53700</v>
      </c>
      <c r="Q159" s="33">
        <f t="shared" ref="Q159" si="297">0-Q121-Q122-Q126</f>
        <v>-54900</v>
      </c>
      <c r="R159" s="114">
        <f t="shared" ref="R159" si="298">0-R121-R122-R126</f>
        <v>-56100</v>
      </c>
    </row>
    <row r="160" spans="1:18" s="92" customFormat="1" x14ac:dyDescent="0.2">
      <c r="A160" s="105">
        <f>SUM(A152:A159)</f>
        <v>-275000</v>
      </c>
      <c r="B160" s="53">
        <f>SUM(B152:B159)</f>
        <v>-363400</v>
      </c>
      <c r="C160" s="53">
        <f>SUM(C152:C159)</f>
        <v>-358400</v>
      </c>
      <c r="D160" s="53">
        <f>SUM(D152:D159)</f>
        <v>-375600</v>
      </c>
      <c r="E160" s="690"/>
      <c r="F160" s="109" t="s">
        <v>4725</v>
      </c>
      <c r="G160" s="460">
        <f t="shared" ref="G160:P160" si="299">SUM(G152:G159)</f>
        <v>-453900</v>
      </c>
      <c r="H160" s="180">
        <f t="shared" si="275"/>
        <v>20.84664536741214</v>
      </c>
      <c r="I160" s="53">
        <f t="shared" si="299"/>
        <v>-430300</v>
      </c>
      <c r="J160" s="155">
        <f t="shared" si="299"/>
        <v>-558800</v>
      </c>
      <c r="K160" s="53">
        <f t="shared" si="299"/>
        <v>-688900</v>
      </c>
      <c r="L160" s="53">
        <f t="shared" si="299"/>
        <v>-706800</v>
      </c>
      <c r="M160" s="53">
        <f t="shared" si="299"/>
        <v>-723900</v>
      </c>
      <c r="N160" s="53">
        <f t="shared" si="299"/>
        <v>-741300</v>
      </c>
      <c r="O160" s="53">
        <f t="shared" si="299"/>
        <v>-759500</v>
      </c>
      <c r="P160" s="53">
        <f t="shared" si="299"/>
        <v>-779100</v>
      </c>
      <c r="Q160" s="53">
        <f t="shared" ref="Q160" si="300">SUM(Q152:Q159)</f>
        <v>-799200</v>
      </c>
      <c r="R160" s="113">
        <f t="shared" ref="R160" si="301">SUM(R152:R159)</f>
        <v>-819800</v>
      </c>
    </row>
    <row r="161" spans="1:18" ht="13.5" thickBot="1" x14ac:dyDescent="0.25">
      <c r="A161" s="171"/>
      <c r="B161" s="66"/>
      <c r="C161" s="66"/>
      <c r="D161" s="2488"/>
      <c r="E161" s="681"/>
      <c r="F161" s="1706"/>
      <c r="G161" s="330"/>
      <c r="H161" s="140"/>
      <c r="I161" s="66"/>
      <c r="J161" s="166"/>
      <c r="K161" s="66"/>
      <c r="L161" s="66"/>
      <c r="M161" s="66"/>
      <c r="N161" s="66"/>
      <c r="O161" s="66"/>
      <c r="P161" s="66"/>
      <c r="Q161" s="66"/>
      <c r="R161" s="165"/>
    </row>
    <row r="162" spans="1:18" ht="14.25" thickTop="1" thickBot="1" x14ac:dyDescent="0.25">
      <c r="A162" s="74"/>
      <c r="B162" s="74"/>
      <c r="C162" s="74"/>
      <c r="D162" s="74"/>
      <c r="E162" s="657"/>
      <c r="F162" s="137"/>
      <c r="G162" s="74"/>
      <c r="H162" s="2211"/>
      <c r="I162" s="99"/>
      <c r="J162" s="99"/>
      <c r="K162" s="99"/>
      <c r="L162" s="99"/>
      <c r="M162" s="99"/>
      <c r="N162" s="99"/>
      <c r="O162" s="99"/>
      <c r="P162" s="99"/>
      <c r="Q162" s="99"/>
      <c r="R162" s="99"/>
    </row>
    <row r="163" spans="1:18" s="91" customFormat="1" ht="18.75" customHeight="1" thickTop="1" thickBot="1" x14ac:dyDescent="0.3">
      <c r="A163" s="2865" t="s">
        <v>3554</v>
      </c>
      <c r="B163" s="2866"/>
      <c r="C163" s="2866"/>
      <c r="D163" s="2866"/>
      <c r="E163" s="2866"/>
      <c r="F163" s="2866"/>
      <c r="G163" s="2866"/>
      <c r="H163" s="2866"/>
      <c r="I163" s="2866"/>
      <c r="J163" s="2866"/>
      <c r="K163" s="2866"/>
      <c r="L163" s="2866"/>
      <c r="M163" s="2866"/>
      <c r="N163" s="2866"/>
      <c r="O163" s="2866"/>
      <c r="P163" s="2866"/>
      <c r="Q163" s="2866"/>
      <c r="R163" s="2867"/>
    </row>
    <row r="164" spans="1:18" s="44" customFormat="1" x14ac:dyDescent="0.2">
      <c r="A164" s="2848" t="s">
        <v>1856</v>
      </c>
      <c r="B164" s="2840"/>
      <c r="C164" s="2840"/>
      <c r="D164" s="2849"/>
      <c r="E164" s="513" t="s">
        <v>2663</v>
      </c>
      <c r="F164" s="369" t="s">
        <v>2251</v>
      </c>
      <c r="G164" s="2839" t="s">
        <v>2253</v>
      </c>
      <c r="H164" s="2840"/>
      <c r="I164" s="2840"/>
      <c r="J164" s="2840"/>
      <c r="K164" s="2840"/>
      <c r="L164" s="2840"/>
      <c r="M164" s="2840"/>
      <c r="N164" s="2840"/>
      <c r="O164" s="2840"/>
      <c r="P164" s="2840"/>
      <c r="Q164" s="2840"/>
      <c r="R164" s="2841"/>
    </row>
    <row r="165" spans="1:18" s="23" customFormat="1" ht="13.5" thickBot="1" x14ac:dyDescent="0.25">
      <c r="A165" s="1698" t="str">
        <f t="shared" ref="A165:E165" si="302">A100</f>
        <v>2012/13</v>
      </c>
      <c r="B165" s="218" t="str">
        <f t="shared" si="302"/>
        <v>2013/14</v>
      </c>
      <c r="C165" s="370" t="str">
        <f>C100</f>
        <v>2014/15</v>
      </c>
      <c r="D165" s="93" t="str">
        <f>D100</f>
        <v>2015/16</v>
      </c>
      <c r="E165" s="672" t="str">
        <f t="shared" si="302"/>
        <v>ACCOUNT</v>
      </c>
      <c r="F165" s="42"/>
      <c r="G165" s="93" t="str">
        <f t="shared" ref="G165:P165" si="303">G100</f>
        <v>2016/17</v>
      </c>
      <c r="H165" s="2005" t="str">
        <f t="shared" ref="H165" si="304">H100</f>
        <v>%</v>
      </c>
      <c r="I165" s="370" t="str">
        <f t="shared" si="303"/>
        <v>2017/18</v>
      </c>
      <c r="J165" s="381" t="str">
        <f t="shared" si="303"/>
        <v>2018/19</v>
      </c>
      <c r="K165" s="89" t="str">
        <f t="shared" si="303"/>
        <v>2019/20</v>
      </c>
      <c r="L165" s="370" t="str">
        <f t="shared" si="303"/>
        <v>2020/21</v>
      </c>
      <c r="M165" s="370" t="str">
        <f t="shared" si="303"/>
        <v>2021/22</v>
      </c>
      <c r="N165" s="370" t="str">
        <f t="shared" si="303"/>
        <v>2022/23</v>
      </c>
      <c r="O165" s="370" t="str">
        <f t="shared" si="303"/>
        <v>2023/24</v>
      </c>
      <c r="P165" s="370" t="str">
        <f t="shared" si="303"/>
        <v>2024/25</v>
      </c>
      <c r="Q165" s="218" t="str">
        <f t="shared" ref="Q165" si="305">Q100</f>
        <v>2025/26</v>
      </c>
      <c r="R165" s="549" t="str">
        <f t="shared" ref="R165" si="306">R100</f>
        <v>2026/27</v>
      </c>
    </row>
    <row r="166" spans="1:18" x14ac:dyDescent="0.2">
      <c r="A166" s="107"/>
      <c r="B166" s="33"/>
      <c r="C166" s="33"/>
      <c r="D166" s="33"/>
      <c r="E166" s="658"/>
      <c r="F166" s="74"/>
      <c r="G166" s="33"/>
      <c r="H166" s="138"/>
      <c r="I166" s="33"/>
      <c r="J166" s="142"/>
      <c r="K166" s="33"/>
      <c r="L166" s="33"/>
      <c r="M166" s="33"/>
      <c r="N166" s="33"/>
      <c r="O166" s="33"/>
      <c r="P166" s="33"/>
      <c r="Q166" s="33"/>
      <c r="R166" s="114"/>
    </row>
    <row r="167" spans="1:18" x14ac:dyDescent="0.2">
      <c r="A167" s="107"/>
      <c r="B167" s="33"/>
      <c r="C167" s="33"/>
      <c r="D167" s="33"/>
      <c r="E167" s="658"/>
      <c r="F167" s="144" t="s">
        <v>1073</v>
      </c>
      <c r="G167" s="33"/>
      <c r="H167" s="138"/>
      <c r="I167" s="33"/>
      <c r="J167" s="142"/>
      <c r="K167" s="33"/>
      <c r="L167" s="33"/>
      <c r="M167" s="33"/>
      <c r="N167" s="33"/>
      <c r="O167" s="33"/>
      <c r="P167" s="33"/>
      <c r="Q167" s="33"/>
      <c r="R167" s="114"/>
    </row>
    <row r="168" spans="1:18" x14ac:dyDescent="0.2">
      <c r="A168" s="107"/>
      <c r="B168" s="33"/>
      <c r="C168" s="33"/>
      <c r="D168" s="33"/>
      <c r="E168" s="658"/>
      <c r="F168" s="144"/>
      <c r="G168" s="33"/>
      <c r="H168" s="138"/>
      <c r="I168" s="33"/>
      <c r="J168" s="142"/>
      <c r="K168" s="33"/>
      <c r="L168" s="33"/>
      <c r="M168" s="33"/>
      <c r="N168" s="33"/>
      <c r="O168" s="33"/>
      <c r="P168" s="33"/>
      <c r="Q168" s="33"/>
      <c r="R168" s="114"/>
    </row>
    <row r="169" spans="1:18" x14ac:dyDescent="0.2">
      <c r="A169" s="107"/>
      <c r="B169" s="33"/>
      <c r="C169" s="33"/>
      <c r="D169" s="33"/>
      <c r="E169" s="240"/>
      <c r="F169" s="145" t="s">
        <v>4485</v>
      </c>
      <c r="G169" s="33"/>
      <c r="H169" s="138"/>
      <c r="I169" s="33"/>
      <c r="J169" s="142"/>
      <c r="K169" s="33"/>
      <c r="L169" s="33"/>
      <c r="M169" s="33"/>
      <c r="N169" s="33"/>
      <c r="O169" s="33"/>
      <c r="P169" s="33"/>
      <c r="Q169" s="33"/>
      <c r="R169" s="114"/>
    </row>
    <row r="170" spans="1:18" x14ac:dyDescent="0.2">
      <c r="A170" s="107">
        <f t="shared" ref="A170:A171" si="307">ROUND(A618,-3)</f>
        <v>19000</v>
      </c>
      <c r="B170" s="33">
        <f>ROUND(B618,-2)</f>
        <v>6500</v>
      </c>
      <c r="C170" s="33">
        <f>C618</f>
        <v>0</v>
      </c>
      <c r="D170" s="33">
        <f>D618</f>
        <v>0</v>
      </c>
      <c r="E170" s="240">
        <v>20021</v>
      </c>
      <c r="F170" s="78" t="str">
        <f>F618</f>
        <v>Miscellaneous Grants</v>
      </c>
      <c r="G170" s="33">
        <f t="shared" ref="G170:O170" si="308">G618</f>
        <v>0</v>
      </c>
      <c r="H170" s="138">
        <f>IF(D170=G170,0,IF(D170=0,100,(G170-D170)/D170*100))</f>
        <v>0</v>
      </c>
      <c r="I170" s="33">
        <f t="shared" si="308"/>
        <v>0</v>
      </c>
      <c r="J170" s="142">
        <f t="shared" si="308"/>
        <v>0</v>
      </c>
      <c r="K170" s="33">
        <f t="shared" si="308"/>
        <v>0</v>
      </c>
      <c r="L170" s="33">
        <f t="shared" si="308"/>
        <v>0</v>
      </c>
      <c r="M170" s="33">
        <f t="shared" si="308"/>
        <v>0</v>
      </c>
      <c r="N170" s="33">
        <f t="shared" si="308"/>
        <v>0</v>
      </c>
      <c r="O170" s="33">
        <f t="shared" si="308"/>
        <v>0</v>
      </c>
      <c r="P170" s="33">
        <f t="shared" ref="P170:Q170" si="309">P618</f>
        <v>0</v>
      </c>
      <c r="Q170" s="33">
        <f t="shared" si="309"/>
        <v>0</v>
      </c>
      <c r="R170" s="114">
        <f t="shared" ref="R170" si="310">R618</f>
        <v>0</v>
      </c>
    </row>
    <row r="171" spans="1:18" x14ac:dyDescent="0.2">
      <c r="A171" s="107">
        <f t="shared" si="307"/>
        <v>2000</v>
      </c>
      <c r="B171" s="33">
        <f>ROUND(B619,-2)</f>
        <v>1500</v>
      </c>
      <c r="C171" s="33">
        <f>C619</f>
        <v>1500</v>
      </c>
      <c r="D171" s="33">
        <f>D619</f>
        <v>1500</v>
      </c>
      <c r="E171" s="240">
        <v>20021</v>
      </c>
      <c r="F171" s="78" t="str">
        <f>F619</f>
        <v>Youth Week</v>
      </c>
      <c r="G171" s="33">
        <f t="shared" ref="G171:O171" si="311">G619</f>
        <v>1500</v>
      </c>
      <c r="H171" s="138">
        <f>IF(D171=G171,0,IF(D171=0,100,(G171-D171)/D171*100))</f>
        <v>0</v>
      </c>
      <c r="I171" s="33">
        <f t="shared" si="311"/>
        <v>1500</v>
      </c>
      <c r="J171" s="142">
        <f t="shared" si="311"/>
        <v>1600</v>
      </c>
      <c r="K171" s="33">
        <f t="shared" si="311"/>
        <v>1700</v>
      </c>
      <c r="L171" s="33">
        <f t="shared" si="311"/>
        <v>1800</v>
      </c>
      <c r="M171" s="33">
        <f t="shared" si="311"/>
        <v>1900</v>
      </c>
      <c r="N171" s="33">
        <f t="shared" si="311"/>
        <v>2000</v>
      </c>
      <c r="O171" s="33">
        <f t="shared" si="311"/>
        <v>2100</v>
      </c>
      <c r="P171" s="33">
        <f t="shared" ref="P171:Q171" si="312">P619</f>
        <v>2200</v>
      </c>
      <c r="Q171" s="33">
        <f t="shared" si="312"/>
        <v>2300</v>
      </c>
      <c r="R171" s="114">
        <f t="shared" ref="R171" si="313">R619</f>
        <v>2400</v>
      </c>
    </row>
    <row r="172" spans="1:18" x14ac:dyDescent="0.2">
      <c r="A172" s="107"/>
      <c r="B172" s="33"/>
      <c r="C172" s="33"/>
      <c r="D172" s="33"/>
      <c r="E172" s="343"/>
      <c r="F172" s="78"/>
      <c r="G172" s="33"/>
      <c r="H172" s="138"/>
      <c r="I172" s="33"/>
      <c r="J172" s="142"/>
      <c r="K172" s="33"/>
      <c r="L172" s="33"/>
      <c r="M172" s="33"/>
      <c r="N172" s="33"/>
      <c r="O172" s="33"/>
      <c r="P172" s="33"/>
      <c r="Q172" s="33"/>
      <c r="R172" s="114"/>
    </row>
    <row r="173" spans="1:18" x14ac:dyDescent="0.2">
      <c r="A173" s="107"/>
      <c r="B173" s="33"/>
      <c r="C173" s="33"/>
      <c r="D173" s="33"/>
      <c r="E173" s="240"/>
      <c r="F173" s="145" t="s">
        <v>2881</v>
      </c>
      <c r="G173" s="33"/>
      <c r="H173" s="138">
        <f>IF(D173=G173,0,IF(D173=0,100,(G173-D173)/D173*100))</f>
        <v>0</v>
      </c>
      <c r="I173" s="33"/>
      <c r="J173" s="142"/>
      <c r="K173" s="33"/>
      <c r="L173" s="33"/>
      <c r="M173" s="33"/>
      <c r="N173" s="33"/>
      <c r="O173" s="33"/>
      <c r="P173" s="33"/>
      <c r="Q173" s="33"/>
      <c r="R173" s="114"/>
    </row>
    <row r="174" spans="1:18" x14ac:dyDescent="0.2">
      <c r="A174" s="107">
        <f>ROUND(A689-A679,-3)</f>
        <v>71000</v>
      </c>
      <c r="B174" s="33">
        <f>ROUND(B689-B679,-2)</f>
        <v>76200</v>
      </c>
      <c r="C174" s="33">
        <f>C689</f>
        <v>71800</v>
      </c>
      <c r="D174" s="33">
        <f>D689</f>
        <v>77100</v>
      </c>
      <c r="E174" s="240">
        <v>26130</v>
      </c>
      <c r="F174" s="78" t="s">
        <v>2902</v>
      </c>
      <c r="G174" s="33">
        <f t="shared" ref="G174:O174" si="314">G689</f>
        <v>105100</v>
      </c>
      <c r="H174" s="138">
        <f>IF(D174=G174,0,IF(D174=0,100,(G174-D174)/D174*100))</f>
        <v>36.316472114137483</v>
      </c>
      <c r="I174" s="33">
        <f t="shared" si="314"/>
        <v>89000</v>
      </c>
      <c r="J174" s="142">
        <f t="shared" si="314"/>
        <v>95500</v>
      </c>
      <c r="K174" s="33">
        <f t="shared" si="314"/>
        <v>103700</v>
      </c>
      <c r="L174" s="33">
        <f t="shared" si="314"/>
        <v>111000</v>
      </c>
      <c r="M174" s="33">
        <f t="shared" si="314"/>
        <v>118900</v>
      </c>
      <c r="N174" s="33">
        <f t="shared" si="314"/>
        <v>126000</v>
      </c>
      <c r="O174" s="33">
        <f t="shared" si="314"/>
        <v>134100</v>
      </c>
      <c r="P174" s="33">
        <f t="shared" ref="P174:Q174" si="315">P689</f>
        <v>142300</v>
      </c>
      <c r="Q174" s="33">
        <f t="shared" si="315"/>
        <v>150600</v>
      </c>
      <c r="R174" s="114">
        <f t="shared" ref="R174" si="316">R689</f>
        <v>159100</v>
      </c>
    </row>
    <row r="175" spans="1:18" x14ac:dyDescent="0.2">
      <c r="A175" s="107">
        <f>ROUND(SUM(A620:A627),-3)</f>
        <v>9000</v>
      </c>
      <c r="B175" s="33">
        <f>ROUND(SUM(B620:B627),-2)</f>
        <v>7600</v>
      </c>
      <c r="C175" s="33">
        <f>SUM(C620:C627)</f>
        <v>26700</v>
      </c>
      <c r="D175" s="33">
        <f>SUM(D620:D627)</f>
        <v>56000</v>
      </c>
      <c r="E175" s="240">
        <v>20021</v>
      </c>
      <c r="F175" s="78" t="s">
        <v>3868</v>
      </c>
      <c r="G175" s="33">
        <f>SUM(G620:G627)</f>
        <v>28800</v>
      </c>
      <c r="H175" s="138">
        <f>IF(D175=G175,0,IF(D175=0,100,(G175-D175)/D175*100))</f>
        <v>-48.571428571428569</v>
      </c>
      <c r="I175" s="33">
        <f t="shared" ref="I175:Q175" si="317">SUM(I620:I627)</f>
        <v>29600</v>
      </c>
      <c r="J175" s="142">
        <f t="shared" si="317"/>
        <v>30500</v>
      </c>
      <c r="K175" s="33">
        <f t="shared" si="317"/>
        <v>31400</v>
      </c>
      <c r="L175" s="33">
        <f t="shared" si="317"/>
        <v>32300</v>
      </c>
      <c r="M175" s="33">
        <f t="shared" si="317"/>
        <v>33200</v>
      </c>
      <c r="N175" s="33">
        <f t="shared" si="317"/>
        <v>34100</v>
      </c>
      <c r="O175" s="33">
        <f t="shared" si="317"/>
        <v>35000</v>
      </c>
      <c r="P175" s="33">
        <f t="shared" si="317"/>
        <v>35900</v>
      </c>
      <c r="Q175" s="33">
        <f t="shared" si="317"/>
        <v>36800</v>
      </c>
      <c r="R175" s="114">
        <f t="shared" ref="R175" si="318">SUM(R620:R627)</f>
        <v>37700</v>
      </c>
    </row>
    <row r="176" spans="1:18" ht="13.5" thickBot="1" x14ac:dyDescent="0.25">
      <c r="A176" s="70"/>
      <c r="B176" s="64"/>
      <c r="C176" s="64"/>
      <c r="D176" s="64"/>
      <c r="E176" s="240"/>
      <c r="F176" s="74"/>
      <c r="G176" s="64"/>
      <c r="H176" s="179"/>
      <c r="I176" s="33"/>
      <c r="J176" s="142"/>
      <c r="K176" s="33"/>
      <c r="L176" s="33"/>
      <c r="M176" s="33"/>
      <c r="N176" s="33"/>
      <c r="O176" s="33"/>
      <c r="P176" s="33"/>
      <c r="Q176" s="33"/>
      <c r="R176" s="114"/>
    </row>
    <row r="177" spans="1:18" x14ac:dyDescent="0.2">
      <c r="A177" s="105">
        <f>SUM(A168:A176)</f>
        <v>101000</v>
      </c>
      <c r="B177" s="53">
        <f>SUM(B168:B176)</f>
        <v>91800</v>
      </c>
      <c r="C177" s="53">
        <f>SUM(C168:C176)</f>
        <v>100000</v>
      </c>
      <c r="D177" s="53">
        <f>SUM(D168:D176)</f>
        <v>134600</v>
      </c>
      <c r="E177" s="240"/>
      <c r="F177" s="112" t="s">
        <v>2605</v>
      </c>
      <c r="G177" s="53">
        <f>SUM(G168:G176)</f>
        <v>135400</v>
      </c>
      <c r="H177" s="180">
        <f>IF(E177=G177,0,IF(E177=0,100,(G177-E177)/E177*100))</f>
        <v>100</v>
      </c>
      <c r="I177" s="53">
        <f t="shared" ref="I177:Q177" si="319">SUM(I168:I176)</f>
        <v>120100</v>
      </c>
      <c r="J177" s="155">
        <f t="shared" si="319"/>
        <v>127600</v>
      </c>
      <c r="K177" s="53">
        <f t="shared" si="319"/>
        <v>136800</v>
      </c>
      <c r="L177" s="53">
        <f t="shared" si="319"/>
        <v>145100</v>
      </c>
      <c r="M177" s="53">
        <f t="shared" si="319"/>
        <v>154000</v>
      </c>
      <c r="N177" s="53">
        <f t="shared" si="319"/>
        <v>162100</v>
      </c>
      <c r="O177" s="53">
        <f t="shared" si="319"/>
        <v>171200</v>
      </c>
      <c r="P177" s="53">
        <f t="shared" si="319"/>
        <v>180400</v>
      </c>
      <c r="Q177" s="53">
        <f t="shared" si="319"/>
        <v>189700</v>
      </c>
      <c r="R177" s="113">
        <f t="shared" ref="R177" si="320">SUM(R168:R176)</f>
        <v>199200</v>
      </c>
    </row>
    <row r="178" spans="1:18" x14ac:dyDescent="0.2">
      <c r="A178" s="107"/>
      <c r="B178" s="33"/>
      <c r="C178" s="33"/>
      <c r="D178" s="33"/>
      <c r="E178" s="240"/>
      <c r="F178" s="112"/>
      <c r="G178" s="33"/>
      <c r="H178" s="138"/>
      <c r="I178" s="33"/>
      <c r="J178" s="142"/>
      <c r="K178" s="33"/>
      <c r="L178" s="33"/>
      <c r="M178" s="33"/>
      <c r="N178" s="33"/>
      <c r="O178" s="33"/>
      <c r="P178" s="33"/>
      <c r="Q178" s="33"/>
      <c r="R178" s="114"/>
    </row>
    <row r="179" spans="1:18" x14ac:dyDescent="0.2">
      <c r="A179" s="107"/>
      <c r="B179" s="33"/>
      <c r="C179" s="33"/>
      <c r="D179" s="33"/>
      <c r="E179" s="240"/>
      <c r="F179" s="144" t="s">
        <v>2205</v>
      </c>
      <c r="G179" s="33"/>
      <c r="H179" s="138"/>
      <c r="I179" s="33"/>
      <c r="J179" s="142"/>
      <c r="K179" s="33"/>
      <c r="L179" s="33"/>
      <c r="M179" s="33"/>
      <c r="N179" s="33"/>
      <c r="O179" s="33"/>
      <c r="P179" s="33"/>
      <c r="Q179" s="33"/>
      <c r="R179" s="114"/>
    </row>
    <row r="180" spans="1:18" x14ac:dyDescent="0.2">
      <c r="A180" s="107"/>
      <c r="B180" s="33"/>
      <c r="C180" s="33"/>
      <c r="D180" s="33"/>
      <c r="E180" s="240"/>
      <c r="F180" s="144"/>
      <c r="G180" s="33"/>
      <c r="H180" s="138"/>
      <c r="I180" s="33"/>
      <c r="J180" s="142"/>
      <c r="K180" s="33"/>
      <c r="L180" s="33"/>
      <c r="M180" s="33"/>
      <c r="N180" s="33"/>
      <c r="O180" s="33"/>
      <c r="P180" s="33"/>
      <c r="Q180" s="33"/>
      <c r="R180" s="114"/>
    </row>
    <row r="181" spans="1:18" x14ac:dyDescent="0.2">
      <c r="A181" s="107"/>
      <c r="B181" s="33"/>
      <c r="C181" s="33"/>
      <c r="D181" s="33"/>
      <c r="E181" s="240"/>
      <c r="F181" s="109" t="s">
        <v>4019</v>
      </c>
      <c r="G181" s="33"/>
      <c r="H181" s="138"/>
      <c r="I181" s="33"/>
      <c r="J181" s="142"/>
      <c r="K181" s="33"/>
      <c r="L181" s="33"/>
      <c r="M181" s="33"/>
      <c r="N181" s="33"/>
      <c r="O181" s="33"/>
      <c r="P181" s="33"/>
      <c r="Q181" s="33"/>
      <c r="R181" s="114"/>
    </row>
    <row r="182" spans="1:18" x14ac:dyDescent="0.2">
      <c r="A182" s="107">
        <f>ROUND(SUM(A633:A634),-3)</f>
        <v>94000</v>
      </c>
      <c r="B182" s="33">
        <f>ROUND(SUM(B633:B634),-2)</f>
        <v>198000</v>
      </c>
      <c r="C182" s="33">
        <f>SUM(C633:C634)</f>
        <v>262000</v>
      </c>
      <c r="D182" s="33">
        <f>SUM(D633:D634)</f>
        <v>273800</v>
      </c>
      <c r="E182" s="240">
        <v>30020</v>
      </c>
      <c r="F182" s="78" t="s">
        <v>4580</v>
      </c>
      <c r="G182" s="33">
        <f t="shared" ref="G182:O182" si="321">SUM(G633:G634)</f>
        <v>209000</v>
      </c>
      <c r="H182" s="138">
        <f>IF(D182=G182,0,IF(D182=0,100,(G182-D182)/D182*100))</f>
        <v>-23.666910153396639</v>
      </c>
      <c r="I182" s="33">
        <f t="shared" si="321"/>
        <v>213300</v>
      </c>
      <c r="J182" s="142">
        <f t="shared" si="321"/>
        <v>218700</v>
      </c>
      <c r="K182" s="33">
        <f t="shared" si="321"/>
        <v>224300</v>
      </c>
      <c r="L182" s="33">
        <f t="shared" si="321"/>
        <v>230000</v>
      </c>
      <c r="M182" s="33">
        <f t="shared" si="321"/>
        <v>235800</v>
      </c>
      <c r="N182" s="33">
        <f t="shared" si="321"/>
        <v>241800</v>
      </c>
      <c r="O182" s="33">
        <f t="shared" si="321"/>
        <v>247900</v>
      </c>
      <c r="P182" s="33">
        <f t="shared" ref="P182:Q182" si="322">SUM(P633:P634)</f>
        <v>254200</v>
      </c>
      <c r="Q182" s="33">
        <f t="shared" si="322"/>
        <v>260600</v>
      </c>
      <c r="R182" s="114">
        <f t="shared" ref="R182" si="323">SUM(R633:R634)</f>
        <v>267200</v>
      </c>
    </row>
    <row r="183" spans="1:18" x14ac:dyDescent="0.2">
      <c r="A183" s="107">
        <f>ROUND(SUM(A637:A637),-3)</f>
        <v>246000</v>
      </c>
      <c r="B183" s="33">
        <f>ROUND(SUM(B637:B637),-2)</f>
        <v>0</v>
      </c>
      <c r="C183" s="33">
        <f>SUM(C637:C637)</f>
        <v>286800</v>
      </c>
      <c r="D183" s="33">
        <f>SUM(D637:D637)</f>
        <v>315400</v>
      </c>
      <c r="E183" s="240">
        <v>30004</v>
      </c>
      <c r="F183" s="78" t="s">
        <v>3563</v>
      </c>
      <c r="G183" s="33">
        <f t="shared" ref="G183:O183" si="324">SUM(G637:G637)</f>
        <v>327000</v>
      </c>
      <c r="H183" s="138">
        <f>IF(D183=G183,0,IF(D183=0,100,(G183-D183)/D183*100))</f>
        <v>3.6778693722257447</v>
      </c>
      <c r="I183" s="33">
        <f t="shared" si="324"/>
        <v>333600</v>
      </c>
      <c r="J183" s="142">
        <f t="shared" si="324"/>
        <v>342000</v>
      </c>
      <c r="K183" s="33">
        <f t="shared" si="324"/>
        <v>350600</v>
      </c>
      <c r="L183" s="33">
        <f t="shared" si="324"/>
        <v>359400</v>
      </c>
      <c r="M183" s="33">
        <f t="shared" si="324"/>
        <v>368400</v>
      </c>
      <c r="N183" s="33">
        <f t="shared" si="324"/>
        <v>377700</v>
      </c>
      <c r="O183" s="33">
        <f t="shared" si="324"/>
        <v>387200</v>
      </c>
      <c r="P183" s="33">
        <f t="shared" ref="P183:Q183" si="325">SUM(P637:P637)</f>
        <v>396900</v>
      </c>
      <c r="Q183" s="33">
        <f t="shared" si="325"/>
        <v>406900</v>
      </c>
      <c r="R183" s="114">
        <f t="shared" ref="R183" si="326">SUM(R637:R637)</f>
        <v>417100</v>
      </c>
    </row>
    <row r="184" spans="1:18" x14ac:dyDescent="0.2">
      <c r="A184" s="107"/>
      <c r="B184" s="33"/>
      <c r="C184" s="33"/>
      <c r="D184" s="33"/>
      <c r="E184" s="240"/>
      <c r="F184" s="1471" t="s">
        <v>246</v>
      </c>
      <c r="G184" s="33"/>
      <c r="H184" s="138"/>
      <c r="I184" s="33"/>
      <c r="J184" s="142"/>
      <c r="K184" s="33"/>
      <c r="L184" s="33"/>
      <c r="M184" s="33"/>
      <c r="N184" s="33"/>
      <c r="O184" s="33"/>
      <c r="P184" s="33"/>
      <c r="Q184" s="33"/>
      <c r="R184" s="114"/>
    </row>
    <row r="185" spans="1:18" x14ac:dyDescent="0.2">
      <c r="A185" s="107"/>
      <c r="B185" s="33"/>
      <c r="C185" s="33"/>
      <c r="D185" s="33"/>
      <c r="E185" s="240"/>
      <c r="F185" s="145" t="s">
        <v>825</v>
      </c>
      <c r="G185" s="33"/>
      <c r="H185" s="138"/>
      <c r="I185" s="33"/>
      <c r="J185" s="142"/>
      <c r="K185" s="33"/>
      <c r="L185" s="33"/>
      <c r="M185" s="33"/>
      <c r="N185" s="33"/>
      <c r="O185" s="33"/>
      <c r="P185" s="33"/>
      <c r="Q185" s="33"/>
      <c r="R185" s="114"/>
    </row>
    <row r="186" spans="1:18" x14ac:dyDescent="0.2">
      <c r="A186" s="107">
        <f>ROUND(SUM(A643:A648),-3)</f>
        <v>20000</v>
      </c>
      <c r="B186" s="33">
        <f>ROUND(SUM(B643:B648),-2)</f>
        <v>18900</v>
      </c>
      <c r="C186" s="33">
        <f>SUM(C643:C648)</f>
        <v>8500</v>
      </c>
      <c r="D186" s="33">
        <f>SUM(D643:D648)</f>
        <v>14300</v>
      </c>
      <c r="E186" s="240">
        <v>30021</v>
      </c>
      <c r="F186" s="78" t="s">
        <v>4020</v>
      </c>
      <c r="G186" s="33">
        <f t="shared" ref="G186:O186" si="327">SUM(G643:G648)</f>
        <v>17500</v>
      </c>
      <c r="H186" s="138">
        <f>IF(D186=G186,0,IF(D186=0,100,(G186-D186)/D186*100))</f>
        <v>22.377622377622377</v>
      </c>
      <c r="I186" s="33">
        <f t="shared" si="327"/>
        <v>17500</v>
      </c>
      <c r="J186" s="142">
        <f t="shared" si="327"/>
        <v>18100</v>
      </c>
      <c r="K186" s="33">
        <f t="shared" si="327"/>
        <v>18700</v>
      </c>
      <c r="L186" s="33">
        <f t="shared" si="327"/>
        <v>19300</v>
      </c>
      <c r="M186" s="33">
        <f t="shared" si="327"/>
        <v>19900</v>
      </c>
      <c r="N186" s="33">
        <f t="shared" si="327"/>
        <v>20500</v>
      </c>
      <c r="O186" s="33">
        <f t="shared" si="327"/>
        <v>21100</v>
      </c>
      <c r="P186" s="33">
        <f t="shared" ref="P186:Q186" si="328">SUM(P643:P648)</f>
        <v>21700</v>
      </c>
      <c r="Q186" s="33">
        <f t="shared" si="328"/>
        <v>22300</v>
      </c>
      <c r="R186" s="114">
        <f t="shared" ref="R186" si="329">SUM(R643:R648)</f>
        <v>22900</v>
      </c>
    </row>
    <row r="187" spans="1:18" x14ac:dyDescent="0.2">
      <c r="A187" s="107">
        <f>ROUND(SUM(A639:A642),-3)</f>
        <v>18000</v>
      </c>
      <c r="B187" s="33">
        <f>ROUND(SUM(B639:B642),-2)</f>
        <v>19000</v>
      </c>
      <c r="C187" s="33">
        <f>SUM(C639:C642)</f>
        <v>14800</v>
      </c>
      <c r="D187" s="33">
        <f>SUM(D639:D641)</f>
        <v>15300</v>
      </c>
      <c r="E187" s="240">
        <v>30020</v>
      </c>
      <c r="F187" s="78" t="s">
        <v>4661</v>
      </c>
      <c r="G187" s="33">
        <f>SUM(G639:G641)</f>
        <v>17300</v>
      </c>
      <c r="H187" s="138">
        <f>IF(D187=G187,0,IF(D187=0,100,(G187-D187)/D187*100))</f>
        <v>13.071895424836603</v>
      </c>
      <c r="I187" s="33">
        <f>SUM(I639:I641)</f>
        <v>17600</v>
      </c>
      <c r="J187" s="33">
        <f t="shared" ref="J187:Q187" si="330">SUM(J639:J641)</f>
        <v>18200</v>
      </c>
      <c r="K187" s="33">
        <f t="shared" si="330"/>
        <v>18800</v>
      </c>
      <c r="L187" s="33">
        <f t="shared" si="330"/>
        <v>19400</v>
      </c>
      <c r="M187" s="33">
        <f t="shared" si="330"/>
        <v>19900</v>
      </c>
      <c r="N187" s="33">
        <f t="shared" si="330"/>
        <v>20400</v>
      </c>
      <c r="O187" s="33">
        <f t="shared" si="330"/>
        <v>20900</v>
      </c>
      <c r="P187" s="33">
        <f t="shared" si="330"/>
        <v>21400</v>
      </c>
      <c r="Q187" s="33">
        <f t="shared" si="330"/>
        <v>21900</v>
      </c>
      <c r="R187" s="114">
        <f t="shared" ref="R187" si="331">SUM(R639:R641)</f>
        <v>22500</v>
      </c>
    </row>
    <row r="188" spans="1:18" x14ac:dyDescent="0.2">
      <c r="A188" s="107">
        <f>ROUND(SUM(A649:A652),-3)</f>
        <v>11000</v>
      </c>
      <c r="B188" s="33">
        <f>ROUND(SUM(B649:B652),-2)</f>
        <v>12000</v>
      </c>
      <c r="C188" s="33">
        <f>SUM(C649:C652)</f>
        <v>13800</v>
      </c>
      <c r="D188" s="33">
        <f>SUM(D649:D652)</f>
        <v>14000</v>
      </c>
      <c r="E188" s="240">
        <v>30021</v>
      </c>
      <c r="F188" s="78" t="s">
        <v>718</v>
      </c>
      <c r="G188" s="33">
        <f>SUM(G649:G652)</f>
        <v>20500</v>
      </c>
      <c r="H188" s="138">
        <f>IF(D188=G188,0,IF(D188=0,100,(G188-D188)/D188*100))</f>
        <v>46.428571428571431</v>
      </c>
      <c r="I188" s="33">
        <f t="shared" ref="I188:Q188" si="332">SUM(I649:I652)</f>
        <v>12800</v>
      </c>
      <c r="J188" s="142">
        <f t="shared" si="332"/>
        <v>13200</v>
      </c>
      <c r="K188" s="33">
        <f t="shared" si="332"/>
        <v>13600</v>
      </c>
      <c r="L188" s="33">
        <f t="shared" si="332"/>
        <v>14000</v>
      </c>
      <c r="M188" s="33">
        <f t="shared" si="332"/>
        <v>14300</v>
      </c>
      <c r="N188" s="33">
        <f t="shared" si="332"/>
        <v>14700</v>
      </c>
      <c r="O188" s="33">
        <f t="shared" si="332"/>
        <v>15100</v>
      </c>
      <c r="P188" s="33">
        <f t="shared" si="332"/>
        <v>15500</v>
      </c>
      <c r="Q188" s="33">
        <f t="shared" si="332"/>
        <v>15900</v>
      </c>
      <c r="R188" s="114">
        <f t="shared" ref="R188" si="333">SUM(R649:R652)</f>
        <v>16300</v>
      </c>
    </row>
    <row r="189" spans="1:18" x14ac:dyDescent="0.2">
      <c r="A189" s="107"/>
      <c r="B189" s="33"/>
      <c r="C189" s="33"/>
      <c r="D189" s="33"/>
      <c r="E189" s="240"/>
      <c r="F189" s="78"/>
      <c r="G189" s="33"/>
      <c r="H189" s="138"/>
      <c r="I189" s="33"/>
      <c r="J189" s="142"/>
      <c r="K189" s="33"/>
      <c r="L189" s="33"/>
      <c r="M189" s="33"/>
      <c r="N189" s="33"/>
      <c r="O189" s="33"/>
      <c r="P189" s="33"/>
      <c r="Q189" s="33"/>
      <c r="R189" s="114"/>
    </row>
    <row r="190" spans="1:18" x14ac:dyDescent="0.2">
      <c r="A190" s="107"/>
      <c r="B190" s="33"/>
      <c r="C190" s="33"/>
      <c r="D190" s="33"/>
      <c r="E190" s="240"/>
      <c r="F190" s="145" t="s">
        <v>2921</v>
      </c>
      <c r="G190" s="33"/>
      <c r="H190" s="138"/>
      <c r="I190" s="33"/>
      <c r="J190" s="142"/>
      <c r="K190" s="33"/>
      <c r="L190" s="33"/>
      <c r="M190" s="33"/>
      <c r="N190" s="33"/>
      <c r="O190" s="33"/>
      <c r="P190" s="33"/>
      <c r="Q190" s="33"/>
      <c r="R190" s="114"/>
    </row>
    <row r="191" spans="1:18" x14ac:dyDescent="0.2">
      <c r="A191" s="107">
        <f>ROUND((A720),-3)-A194</f>
        <v>173200</v>
      </c>
      <c r="B191" s="33">
        <f>ROUND((B720),-2)-B194</f>
        <v>184600</v>
      </c>
      <c r="C191" s="33">
        <f>ROUND((C720),-2)-C194</f>
        <v>239000</v>
      </c>
      <c r="D191" s="33">
        <f>ROUND((D720),-2)-D194</f>
        <v>255800</v>
      </c>
      <c r="E191" s="240">
        <v>35160</v>
      </c>
      <c r="F191" s="78" t="s">
        <v>2902</v>
      </c>
      <c r="G191" s="33">
        <f>ROUND((G720),-2)-G194</f>
        <v>276500</v>
      </c>
      <c r="H191" s="138">
        <f>IF(D191=G191,0,IF(D191=0,100,(G191-D191)/D191*100))</f>
        <v>8.0922595777951525</v>
      </c>
      <c r="I191" s="33">
        <f t="shared" ref="I191:R191" si="334">ROUND((I720),-2)-I194</f>
        <v>269300</v>
      </c>
      <c r="J191" s="142">
        <f t="shared" si="334"/>
        <v>276900</v>
      </c>
      <c r="K191" s="33">
        <f t="shared" si="334"/>
        <v>285600</v>
      </c>
      <c r="L191" s="33">
        <f t="shared" si="334"/>
        <v>293500</v>
      </c>
      <c r="M191" s="33">
        <f t="shared" si="334"/>
        <v>301900</v>
      </c>
      <c r="N191" s="33">
        <f t="shared" si="334"/>
        <v>309300</v>
      </c>
      <c r="O191" s="33">
        <f t="shared" si="334"/>
        <v>316900</v>
      </c>
      <c r="P191" s="33">
        <f t="shared" si="334"/>
        <v>325900</v>
      </c>
      <c r="Q191" s="33">
        <f t="shared" si="334"/>
        <v>334100</v>
      </c>
      <c r="R191" s="114">
        <f t="shared" si="334"/>
        <v>343400</v>
      </c>
    </row>
    <row r="192" spans="1:18" x14ac:dyDescent="0.2">
      <c r="A192" s="107"/>
      <c r="B192" s="33"/>
      <c r="C192" s="33"/>
      <c r="D192" s="33"/>
      <c r="E192" s="1955"/>
      <c r="F192" s="78"/>
      <c r="G192" s="33"/>
      <c r="H192" s="138"/>
      <c r="I192" s="33"/>
      <c r="J192" s="142"/>
      <c r="K192" s="33"/>
      <c r="L192" s="33"/>
      <c r="M192" s="33"/>
      <c r="N192" s="33"/>
      <c r="O192" s="33"/>
      <c r="P192" s="33"/>
      <c r="Q192" s="33"/>
      <c r="R192" s="114"/>
    </row>
    <row r="193" spans="1:18" s="133" customFormat="1" x14ac:dyDescent="0.2">
      <c r="A193" s="71"/>
      <c r="B193" s="132"/>
      <c r="C193" s="33"/>
      <c r="D193" s="1012"/>
      <c r="E193" s="1097"/>
      <c r="F193" s="1308" t="s">
        <v>265</v>
      </c>
      <c r="G193" s="1011"/>
      <c r="H193" s="827"/>
      <c r="I193" s="132"/>
      <c r="J193" s="130"/>
      <c r="K193" s="132"/>
      <c r="L193" s="132"/>
      <c r="M193" s="132"/>
      <c r="N193" s="132"/>
      <c r="O193" s="132"/>
      <c r="P193" s="132"/>
      <c r="Q193" s="132"/>
      <c r="R193" s="131"/>
    </row>
    <row r="194" spans="1:18" s="133" customFormat="1" x14ac:dyDescent="0.2">
      <c r="A194" s="71">
        <f>A719</f>
        <v>43800</v>
      </c>
      <c r="B194" s="132">
        <f>B719</f>
        <v>45000</v>
      </c>
      <c r="C194" s="33">
        <f>C719</f>
        <v>45100</v>
      </c>
      <c r="D194" s="1012">
        <f>D719</f>
        <v>46000</v>
      </c>
      <c r="E194" s="1100">
        <v>35160</v>
      </c>
      <c r="F194" s="1956" t="s">
        <v>3717</v>
      </c>
      <c r="G194" s="1011">
        <f t="shared" ref="G194:O194" si="335">G719</f>
        <v>45000</v>
      </c>
      <c r="H194" s="138">
        <f>IF(D194=G194,0,IF(D194=0,100,(G194-D194)/D194*100))</f>
        <v>-2.1739130434782608</v>
      </c>
      <c r="I194" s="132">
        <f t="shared" si="335"/>
        <v>45900</v>
      </c>
      <c r="J194" s="130">
        <f t="shared" si="335"/>
        <v>46900</v>
      </c>
      <c r="K194" s="132">
        <f t="shared" si="335"/>
        <v>47900</v>
      </c>
      <c r="L194" s="132">
        <f t="shared" si="335"/>
        <v>48900</v>
      </c>
      <c r="M194" s="132">
        <f t="shared" si="335"/>
        <v>49900</v>
      </c>
      <c r="N194" s="132">
        <f t="shared" si="335"/>
        <v>50900</v>
      </c>
      <c r="O194" s="132">
        <f t="shared" si="335"/>
        <v>52000</v>
      </c>
      <c r="P194" s="132">
        <f t="shared" ref="P194:Q194" si="336">P719</f>
        <v>53100</v>
      </c>
      <c r="Q194" s="132">
        <f t="shared" si="336"/>
        <v>54200</v>
      </c>
      <c r="R194" s="131">
        <f t="shared" ref="R194" si="337">R719</f>
        <v>55300</v>
      </c>
    </row>
    <row r="195" spans="1:18" ht="13.5" thickBot="1" x14ac:dyDescent="0.25">
      <c r="A195" s="70"/>
      <c r="B195" s="64"/>
      <c r="C195" s="64"/>
      <c r="D195" s="64"/>
      <c r="E195" s="658"/>
      <c r="F195" s="74"/>
      <c r="G195" s="64"/>
      <c r="H195" s="179"/>
      <c r="I195" s="33"/>
      <c r="J195" s="142"/>
      <c r="K195" s="33"/>
      <c r="L195" s="33"/>
      <c r="M195" s="33"/>
      <c r="N195" s="33"/>
      <c r="O195" s="33"/>
      <c r="P195" s="33"/>
      <c r="Q195" s="33"/>
      <c r="R195" s="114"/>
    </row>
    <row r="196" spans="1:18" s="92" customFormat="1" x14ac:dyDescent="0.2">
      <c r="A196" s="105">
        <f>SUM(A181:A195)</f>
        <v>606000</v>
      </c>
      <c r="B196" s="53">
        <f>SUM(B181:B195)</f>
        <v>477500</v>
      </c>
      <c r="C196" s="53">
        <f>SUM(C181:C195)</f>
        <v>870000</v>
      </c>
      <c r="D196" s="53">
        <f>SUM(D181:D195)</f>
        <v>934600</v>
      </c>
      <c r="E196" s="674"/>
      <c r="F196" s="112" t="s">
        <v>565</v>
      </c>
      <c r="G196" s="53">
        <f>SUM(G181:G195)</f>
        <v>912800</v>
      </c>
      <c r="H196" s="180">
        <f>IF(D196=G196,0,IF(D196=0,100,(G196-D196)/D196*100))</f>
        <v>-2.3325486839289535</v>
      </c>
      <c r="I196" s="53">
        <f t="shared" ref="I196:Q196" si="338">SUM(I181:I195)</f>
        <v>910000</v>
      </c>
      <c r="J196" s="155">
        <f t="shared" si="338"/>
        <v>934000</v>
      </c>
      <c r="K196" s="53">
        <f t="shared" si="338"/>
        <v>959500</v>
      </c>
      <c r="L196" s="53">
        <f t="shared" si="338"/>
        <v>984500</v>
      </c>
      <c r="M196" s="53">
        <f t="shared" si="338"/>
        <v>1010100</v>
      </c>
      <c r="N196" s="53">
        <f t="shared" si="338"/>
        <v>1035300</v>
      </c>
      <c r="O196" s="53">
        <f t="shared" si="338"/>
        <v>1061100</v>
      </c>
      <c r="P196" s="53">
        <f t="shared" si="338"/>
        <v>1088700</v>
      </c>
      <c r="Q196" s="53">
        <f t="shared" si="338"/>
        <v>1115900</v>
      </c>
      <c r="R196" s="113">
        <f t="shared" ref="R196" si="339">SUM(R181:R195)</f>
        <v>1144700</v>
      </c>
    </row>
    <row r="197" spans="1:18" x14ac:dyDescent="0.2">
      <c r="A197" s="107"/>
      <c r="B197" s="33"/>
      <c r="C197" s="33"/>
      <c r="D197" s="33"/>
      <c r="E197" s="673"/>
      <c r="F197" s="108"/>
      <c r="G197" s="33"/>
      <c r="H197" s="138"/>
      <c r="I197" s="33"/>
      <c r="J197" s="142"/>
      <c r="K197" s="33"/>
      <c r="L197" s="33"/>
      <c r="M197" s="33"/>
      <c r="N197" s="33"/>
      <c r="O197" s="33"/>
      <c r="P197" s="33"/>
      <c r="Q197" s="33"/>
      <c r="R197" s="114"/>
    </row>
    <row r="198" spans="1:18" s="92" customFormat="1" x14ac:dyDescent="0.2">
      <c r="A198" s="70">
        <f>A177-A196</f>
        <v>-505000</v>
      </c>
      <c r="B198" s="64">
        <f>B177-B196</f>
        <v>-385700</v>
      </c>
      <c r="C198" s="64">
        <f>C177-C196</f>
        <v>-770000</v>
      </c>
      <c r="D198" s="64">
        <f>D177-D196</f>
        <v>-800000</v>
      </c>
      <c r="E198" s="674"/>
      <c r="F198" s="522" t="s">
        <v>1019</v>
      </c>
      <c r="G198" s="64">
        <f>G177-G196</f>
        <v>-777400</v>
      </c>
      <c r="H198" s="179">
        <f>IF(D198=G198,0,IF(D198=0,100,(G198-D198)/D198*100))</f>
        <v>-2.8250000000000002</v>
      </c>
      <c r="I198" s="64">
        <f t="shared" ref="I198:Q198" si="340">I177-I196</f>
        <v>-789900</v>
      </c>
      <c r="J198" s="128">
        <f t="shared" si="340"/>
        <v>-806400</v>
      </c>
      <c r="K198" s="64">
        <f t="shared" si="340"/>
        <v>-822700</v>
      </c>
      <c r="L198" s="64">
        <f t="shared" si="340"/>
        <v>-839400</v>
      </c>
      <c r="M198" s="64">
        <f t="shared" si="340"/>
        <v>-856100</v>
      </c>
      <c r="N198" s="64">
        <f t="shared" si="340"/>
        <v>-873200</v>
      </c>
      <c r="O198" s="64">
        <f t="shared" si="340"/>
        <v>-889900</v>
      </c>
      <c r="P198" s="64">
        <f t="shared" si="340"/>
        <v>-908300</v>
      </c>
      <c r="Q198" s="64">
        <f t="shared" si="340"/>
        <v>-926200</v>
      </c>
      <c r="R198" s="115">
        <f t="shared" ref="R198" si="341">R177-R196</f>
        <v>-945500</v>
      </c>
    </row>
    <row r="199" spans="1:18" x14ac:dyDescent="0.2">
      <c r="A199" s="107">
        <f t="shared" ref="A199:B199" si="342">SUM(A194:A195)</f>
        <v>43800</v>
      </c>
      <c r="B199" s="33">
        <f t="shared" si="342"/>
        <v>45000</v>
      </c>
      <c r="C199" s="33">
        <f>SUM(C194:C195)</f>
        <v>45100</v>
      </c>
      <c r="D199" s="33">
        <f>SUM(D194:D195)</f>
        <v>46000</v>
      </c>
      <c r="E199" s="673"/>
      <c r="F199" s="2531" t="s">
        <v>1976</v>
      </c>
      <c r="G199" s="33">
        <f t="shared" ref="G199:O199" si="343">SUM(G194:G195)</f>
        <v>45000</v>
      </c>
      <c r="H199" s="19">
        <f>IF(D199=G199,0,IF(D199=0,100,(G199-D199)/D199*100))</f>
        <v>-2.1739130434782608</v>
      </c>
      <c r="I199" s="33">
        <f t="shared" si="343"/>
        <v>45900</v>
      </c>
      <c r="J199" s="142">
        <f t="shared" si="343"/>
        <v>46900</v>
      </c>
      <c r="K199" s="33">
        <f t="shared" si="343"/>
        <v>47900</v>
      </c>
      <c r="L199" s="33">
        <f t="shared" si="343"/>
        <v>48900</v>
      </c>
      <c r="M199" s="33">
        <f t="shared" si="343"/>
        <v>49900</v>
      </c>
      <c r="N199" s="33">
        <f t="shared" si="343"/>
        <v>50900</v>
      </c>
      <c r="O199" s="33">
        <f t="shared" si="343"/>
        <v>52000</v>
      </c>
      <c r="P199" s="33">
        <f t="shared" ref="P199:Q199" si="344">SUM(P194:P195)</f>
        <v>53100</v>
      </c>
      <c r="Q199" s="33">
        <f t="shared" si="344"/>
        <v>54200</v>
      </c>
      <c r="R199" s="114">
        <f t="shared" ref="R199" si="345">SUM(R194:R195)</f>
        <v>55300</v>
      </c>
    </row>
    <row r="200" spans="1:18" s="92" customFormat="1" x14ac:dyDescent="0.2">
      <c r="A200" s="181">
        <f>A198+A199</f>
        <v>-461200</v>
      </c>
      <c r="B200" s="397">
        <f>B198+B199</f>
        <v>-340700</v>
      </c>
      <c r="C200" s="397">
        <f>C198+C199</f>
        <v>-724900</v>
      </c>
      <c r="D200" s="397">
        <f>D198+D199</f>
        <v>-754000</v>
      </c>
      <c r="E200" s="675"/>
      <c r="F200" s="515" t="s">
        <v>1687</v>
      </c>
      <c r="G200" s="397">
        <f t="shared" ref="G200:O200" si="346">G198+G199</f>
        <v>-732400</v>
      </c>
      <c r="H200" s="395">
        <f>IF(D200=G200,0,IF(D200=0,100,(G200-D200)/D200*100))</f>
        <v>-2.8647214854111409</v>
      </c>
      <c r="I200" s="397">
        <f t="shared" si="346"/>
        <v>-744000</v>
      </c>
      <c r="J200" s="377">
        <f t="shared" si="346"/>
        <v>-759500</v>
      </c>
      <c r="K200" s="397">
        <f t="shared" si="346"/>
        <v>-774800</v>
      </c>
      <c r="L200" s="397">
        <f t="shared" si="346"/>
        <v>-790500</v>
      </c>
      <c r="M200" s="397">
        <f t="shared" si="346"/>
        <v>-806200</v>
      </c>
      <c r="N200" s="397">
        <f t="shared" si="346"/>
        <v>-822300</v>
      </c>
      <c r="O200" s="397">
        <f t="shared" si="346"/>
        <v>-837900</v>
      </c>
      <c r="P200" s="397">
        <f t="shared" ref="P200:Q200" si="347">P198+P199</f>
        <v>-855200</v>
      </c>
      <c r="Q200" s="397">
        <f t="shared" si="347"/>
        <v>-872000</v>
      </c>
      <c r="R200" s="399">
        <f t="shared" ref="R200" si="348">R198+R199</f>
        <v>-890200</v>
      </c>
    </row>
    <row r="201" spans="1:18" ht="13.5" thickBot="1" x14ac:dyDescent="0.25">
      <c r="A201" s="73"/>
      <c r="B201" s="90"/>
      <c r="C201" s="90"/>
      <c r="D201" s="90"/>
      <c r="E201" s="681"/>
      <c r="F201" s="141"/>
      <c r="G201" s="90"/>
      <c r="H201" s="392"/>
      <c r="I201" s="121"/>
      <c r="J201" s="95"/>
      <c r="K201" s="121"/>
      <c r="L201" s="121"/>
      <c r="M201" s="121"/>
      <c r="N201" s="121"/>
      <c r="O201" s="121"/>
      <c r="P201" s="121"/>
      <c r="Q201" s="121"/>
      <c r="R201" s="161"/>
    </row>
    <row r="202" spans="1:18" ht="13.5" thickTop="1" x14ac:dyDescent="0.2">
      <c r="A202" s="383"/>
      <c r="B202" s="162"/>
      <c r="C202" s="162"/>
      <c r="D202" s="393"/>
      <c r="E202" s="677"/>
      <c r="F202" s="640"/>
      <c r="G202" s="162"/>
      <c r="H202" s="505"/>
      <c r="I202" s="127"/>
      <c r="J202" s="164"/>
      <c r="K202" s="127"/>
      <c r="L202" s="127"/>
      <c r="M202" s="127"/>
      <c r="N202" s="127"/>
      <c r="O202" s="127"/>
      <c r="P202" s="127"/>
      <c r="Q202" s="127"/>
      <c r="R202" s="163"/>
    </row>
    <row r="203" spans="1:18" x14ac:dyDescent="0.2">
      <c r="A203" s="70"/>
      <c r="B203" s="64"/>
      <c r="C203" s="64"/>
      <c r="D203" s="1990"/>
      <c r="E203" s="657"/>
      <c r="F203" s="1962" t="s">
        <v>196</v>
      </c>
      <c r="G203" s="64"/>
      <c r="H203" s="179"/>
      <c r="I203" s="33"/>
      <c r="J203" s="142"/>
      <c r="K203" s="33"/>
      <c r="L203" s="33"/>
      <c r="M203" s="33"/>
      <c r="N203" s="33"/>
      <c r="O203" s="33"/>
      <c r="P203" s="33"/>
      <c r="Q203" s="33"/>
      <c r="R203" s="114"/>
    </row>
    <row r="204" spans="1:18" x14ac:dyDescent="0.2">
      <c r="A204" s="70"/>
      <c r="B204" s="64"/>
      <c r="C204" s="64"/>
      <c r="D204" s="382"/>
      <c r="E204" s="657"/>
      <c r="F204" s="175"/>
      <c r="G204" s="64"/>
      <c r="H204" s="179"/>
      <c r="I204" s="33"/>
      <c r="J204" s="142"/>
      <c r="K204" s="33"/>
      <c r="L204" s="33"/>
      <c r="M204" s="33"/>
      <c r="N204" s="33"/>
      <c r="O204" s="33"/>
      <c r="P204" s="33"/>
      <c r="Q204" s="33"/>
      <c r="R204" s="114"/>
    </row>
    <row r="205" spans="1:18" x14ac:dyDescent="0.2">
      <c r="A205" s="107">
        <f>ROUND(A662+A727,-3)</f>
        <v>0</v>
      </c>
      <c r="B205" s="142">
        <f t="shared" ref="B205:D209" si="349">ROUND(B662++B727,-2)</f>
        <v>0</v>
      </c>
      <c r="C205" s="33">
        <f t="shared" si="349"/>
        <v>0</v>
      </c>
      <c r="D205" s="152">
        <f t="shared" si="349"/>
        <v>0</v>
      </c>
      <c r="E205" s="657"/>
      <c r="F205" s="1979" t="s">
        <v>1791</v>
      </c>
      <c r="G205" s="33">
        <f>ROUND(G662++G727,-2)</f>
        <v>0</v>
      </c>
      <c r="H205" s="138"/>
      <c r="I205" s="33">
        <f t="shared" ref="I205:Q205" si="350">ROUND(I662++I727,-2)</f>
        <v>0</v>
      </c>
      <c r="J205" s="142">
        <f t="shared" si="350"/>
        <v>0</v>
      </c>
      <c r="K205" s="33">
        <f t="shared" si="350"/>
        <v>0</v>
      </c>
      <c r="L205" s="33">
        <f t="shared" si="350"/>
        <v>0</v>
      </c>
      <c r="M205" s="33">
        <f t="shared" si="350"/>
        <v>0</v>
      </c>
      <c r="N205" s="33">
        <f t="shared" si="350"/>
        <v>0</v>
      </c>
      <c r="O205" s="33">
        <f t="shared" si="350"/>
        <v>0</v>
      </c>
      <c r="P205" s="33">
        <f t="shared" si="350"/>
        <v>0</v>
      </c>
      <c r="Q205" s="33">
        <f t="shared" si="350"/>
        <v>0</v>
      </c>
      <c r="R205" s="114">
        <f t="shared" ref="R205" si="351">ROUND(R662++R727,-2)</f>
        <v>0</v>
      </c>
    </row>
    <row r="206" spans="1:18" x14ac:dyDescent="0.2">
      <c r="A206" s="107">
        <f>ROUND(A663+A728,-3)</f>
        <v>18000</v>
      </c>
      <c r="B206" s="142">
        <f t="shared" si="349"/>
        <v>75000</v>
      </c>
      <c r="C206" s="33">
        <f t="shared" si="349"/>
        <v>71300</v>
      </c>
      <c r="D206" s="152">
        <f t="shared" si="349"/>
        <v>42200</v>
      </c>
      <c r="E206" s="657"/>
      <c r="F206" s="1981" t="s">
        <v>1942</v>
      </c>
      <c r="G206" s="33">
        <f>ROUND(G663++G728,-2)</f>
        <v>16700</v>
      </c>
      <c r="H206" s="138"/>
      <c r="I206" s="33">
        <f t="shared" ref="I206:Q206" si="352">ROUND(I663++I728,-2)</f>
        <v>16900</v>
      </c>
      <c r="J206" s="142">
        <f t="shared" si="352"/>
        <v>17100</v>
      </c>
      <c r="K206" s="33">
        <f t="shared" si="352"/>
        <v>17300</v>
      </c>
      <c r="L206" s="33">
        <f t="shared" si="352"/>
        <v>17500</v>
      </c>
      <c r="M206" s="33">
        <f t="shared" si="352"/>
        <v>17700</v>
      </c>
      <c r="N206" s="33">
        <f t="shared" si="352"/>
        <v>17900</v>
      </c>
      <c r="O206" s="33">
        <f t="shared" si="352"/>
        <v>18100</v>
      </c>
      <c r="P206" s="33">
        <f t="shared" si="352"/>
        <v>18300</v>
      </c>
      <c r="Q206" s="33">
        <f t="shared" si="352"/>
        <v>18500</v>
      </c>
      <c r="R206" s="114">
        <f t="shared" ref="R206" si="353">ROUND(R663++R728,-2)</f>
        <v>18700</v>
      </c>
    </row>
    <row r="207" spans="1:18" x14ac:dyDescent="0.2">
      <c r="A207" s="107">
        <f>ROUND(A664+A729,-3)</f>
        <v>20000</v>
      </c>
      <c r="B207" s="142">
        <f t="shared" si="349"/>
        <v>60000</v>
      </c>
      <c r="C207" s="33">
        <f t="shared" si="349"/>
        <v>65000</v>
      </c>
      <c r="D207" s="152">
        <f t="shared" si="349"/>
        <v>113400</v>
      </c>
      <c r="E207" s="657"/>
      <c r="F207" s="1981" t="s">
        <v>2348</v>
      </c>
      <c r="G207" s="33">
        <f>ROUND(G664++G729,-2)</f>
        <v>32300</v>
      </c>
      <c r="H207" s="138"/>
      <c r="I207" s="33">
        <f t="shared" ref="I207:Q207" si="354">ROUND(I664++I729,-2)</f>
        <v>0</v>
      </c>
      <c r="J207" s="142">
        <f t="shared" si="354"/>
        <v>0</v>
      </c>
      <c r="K207" s="33">
        <f t="shared" si="354"/>
        <v>0</v>
      </c>
      <c r="L207" s="33">
        <f t="shared" si="354"/>
        <v>0</v>
      </c>
      <c r="M207" s="33">
        <f t="shared" si="354"/>
        <v>0</v>
      </c>
      <c r="N207" s="33">
        <f t="shared" si="354"/>
        <v>0</v>
      </c>
      <c r="O207" s="33">
        <f t="shared" si="354"/>
        <v>0</v>
      </c>
      <c r="P207" s="33">
        <f t="shared" si="354"/>
        <v>0</v>
      </c>
      <c r="Q207" s="33">
        <f t="shared" si="354"/>
        <v>0</v>
      </c>
      <c r="R207" s="114">
        <f t="shared" ref="R207" si="355">ROUND(R664++R729,-2)</f>
        <v>0</v>
      </c>
    </row>
    <row r="208" spans="1:18" x14ac:dyDescent="0.2">
      <c r="A208" s="107">
        <f>ROUND(A665+A730,-3)</f>
        <v>0</v>
      </c>
      <c r="B208" s="142">
        <f t="shared" si="349"/>
        <v>0</v>
      </c>
      <c r="C208" s="33">
        <f t="shared" si="349"/>
        <v>0</v>
      </c>
      <c r="D208" s="152">
        <f t="shared" si="349"/>
        <v>0</v>
      </c>
      <c r="E208" s="657"/>
      <c r="F208" s="1981" t="s">
        <v>5984</v>
      </c>
      <c r="G208" s="33">
        <f>ROUND(G665++G730,-2)</f>
        <v>0</v>
      </c>
      <c r="H208" s="138"/>
      <c r="I208" s="33">
        <f t="shared" ref="I208:Q208" si="356">ROUND(I665++I730,-2)</f>
        <v>0</v>
      </c>
      <c r="J208" s="142">
        <f t="shared" si="356"/>
        <v>0</v>
      </c>
      <c r="K208" s="33">
        <f t="shared" si="356"/>
        <v>0</v>
      </c>
      <c r="L208" s="33">
        <f t="shared" si="356"/>
        <v>0</v>
      </c>
      <c r="M208" s="33">
        <f t="shared" si="356"/>
        <v>0</v>
      </c>
      <c r="N208" s="33">
        <f t="shared" si="356"/>
        <v>0</v>
      </c>
      <c r="O208" s="33">
        <f t="shared" si="356"/>
        <v>0</v>
      </c>
      <c r="P208" s="33">
        <f t="shared" si="356"/>
        <v>0</v>
      </c>
      <c r="Q208" s="33">
        <f t="shared" si="356"/>
        <v>0</v>
      </c>
      <c r="R208" s="114">
        <f t="shared" ref="R208" si="357">ROUND(R665++R730,-2)</f>
        <v>0</v>
      </c>
    </row>
    <row r="209" spans="1:18" x14ac:dyDescent="0.2">
      <c r="A209" s="107">
        <f>ROUND(A666+A731,-3)</f>
        <v>17000</v>
      </c>
      <c r="B209" s="142">
        <f t="shared" si="349"/>
        <v>44500</v>
      </c>
      <c r="C209" s="33">
        <f t="shared" si="349"/>
        <v>13300</v>
      </c>
      <c r="D209" s="152">
        <f t="shared" si="349"/>
        <v>600</v>
      </c>
      <c r="E209" s="657"/>
      <c r="F209" s="1981" t="s">
        <v>972</v>
      </c>
      <c r="G209" s="33">
        <f>ROUND(G666++G731,-2)</f>
        <v>25000</v>
      </c>
      <c r="H209" s="138"/>
      <c r="I209" s="33">
        <f t="shared" ref="I209:Q209" si="358">ROUND(I666++I731,-2)</f>
        <v>0</v>
      </c>
      <c r="J209" s="142">
        <f t="shared" si="358"/>
        <v>0</v>
      </c>
      <c r="K209" s="33">
        <f t="shared" si="358"/>
        <v>0</v>
      </c>
      <c r="L209" s="33">
        <f t="shared" si="358"/>
        <v>0</v>
      </c>
      <c r="M209" s="33">
        <f t="shared" si="358"/>
        <v>0</v>
      </c>
      <c r="N209" s="33">
        <f t="shared" si="358"/>
        <v>0</v>
      </c>
      <c r="O209" s="33">
        <f t="shared" si="358"/>
        <v>0</v>
      </c>
      <c r="P209" s="33">
        <f t="shared" si="358"/>
        <v>0</v>
      </c>
      <c r="Q209" s="33">
        <f t="shared" si="358"/>
        <v>0</v>
      </c>
      <c r="R209" s="114">
        <f t="shared" ref="R209" si="359">ROUND(R666++R731,-2)</f>
        <v>0</v>
      </c>
    </row>
    <row r="210" spans="1:18" x14ac:dyDescent="0.2">
      <c r="A210" s="107"/>
      <c r="B210" s="33"/>
      <c r="C210" s="33"/>
      <c r="D210" s="152"/>
      <c r="E210" s="657"/>
      <c r="F210" s="1962"/>
      <c r="G210" s="33"/>
      <c r="H210" s="138"/>
      <c r="I210" s="33"/>
      <c r="J210" s="142"/>
      <c r="K210" s="33"/>
      <c r="L210" s="33"/>
      <c r="M210" s="33"/>
      <c r="N210" s="33"/>
      <c r="O210" s="33"/>
      <c r="P210" s="33"/>
      <c r="Q210" s="33"/>
      <c r="R210" s="114"/>
    </row>
    <row r="211" spans="1:18" s="92" customFormat="1" x14ac:dyDescent="0.2">
      <c r="A211" s="181">
        <f>A200-A205-A206+A207++A208-A209</f>
        <v>-476200</v>
      </c>
      <c r="B211" s="397">
        <f>B200-B205-B206+B207++B208-B209</f>
        <v>-400200</v>
      </c>
      <c r="C211" s="397">
        <f>C200-C205-C206+C207++C208-C209</f>
        <v>-744500</v>
      </c>
      <c r="D211" s="650">
        <f>D200-D205-D206+D207++D208-D209</f>
        <v>-683400</v>
      </c>
      <c r="E211" s="678"/>
      <c r="F211" s="1972" t="s">
        <v>2490</v>
      </c>
      <c r="G211" s="397">
        <f t="shared" ref="G211:O211" si="360">G200-G205-G206+G207++G208-G209</f>
        <v>-741800</v>
      </c>
      <c r="H211" s="395">
        <f>IF(D211=G211,0,IF(D211=0,100,(G211-D211)/D211*100))</f>
        <v>8.5455077553409424</v>
      </c>
      <c r="I211" s="397">
        <f t="shared" si="360"/>
        <v>-760900</v>
      </c>
      <c r="J211" s="377">
        <f t="shared" si="360"/>
        <v>-776600</v>
      </c>
      <c r="K211" s="397">
        <f t="shared" si="360"/>
        <v>-792100</v>
      </c>
      <c r="L211" s="397">
        <f t="shared" si="360"/>
        <v>-808000</v>
      </c>
      <c r="M211" s="397">
        <f t="shared" si="360"/>
        <v>-823900</v>
      </c>
      <c r="N211" s="397">
        <f t="shared" si="360"/>
        <v>-840200</v>
      </c>
      <c r="O211" s="397">
        <f t="shared" si="360"/>
        <v>-856000</v>
      </c>
      <c r="P211" s="397">
        <f t="shared" ref="P211:Q211" si="361">P200-P205-P206+P207++P208-P209</f>
        <v>-873500</v>
      </c>
      <c r="Q211" s="397">
        <f t="shared" si="361"/>
        <v>-890500</v>
      </c>
      <c r="R211" s="399">
        <f t="shared" ref="R211" si="362">R200-R205-R206+R207++R208-R209</f>
        <v>-908900</v>
      </c>
    </row>
    <row r="212" spans="1:18" ht="13.5" thickBot="1" x14ac:dyDescent="0.25">
      <c r="A212" s="73"/>
      <c r="B212" s="90"/>
      <c r="C212" s="90"/>
      <c r="D212" s="394"/>
      <c r="E212" s="679"/>
      <c r="F212" s="119"/>
      <c r="G212" s="90"/>
      <c r="H212" s="392"/>
      <c r="I212" s="66"/>
      <c r="J212" s="166"/>
      <c r="K212" s="66"/>
      <c r="L212" s="66"/>
      <c r="M212" s="66"/>
      <c r="N212" s="66"/>
      <c r="O212" s="66"/>
      <c r="P212" s="66"/>
      <c r="Q212" s="66"/>
      <c r="R212" s="165"/>
    </row>
    <row r="213" spans="1:18" s="133" customFormat="1" ht="14.25" thickTop="1" thickBot="1" x14ac:dyDescent="0.25">
      <c r="A213" s="78"/>
      <c r="B213" s="78"/>
      <c r="C213" s="78"/>
      <c r="D213" s="78"/>
      <c r="E213" s="1328"/>
      <c r="F213" s="111"/>
      <c r="G213" s="78"/>
      <c r="H213" s="844"/>
    </row>
    <row r="214" spans="1:18" s="91" customFormat="1" ht="18.75" customHeight="1" thickTop="1" thickBot="1" x14ac:dyDescent="0.3">
      <c r="A214" s="2862" t="s">
        <v>3656</v>
      </c>
      <c r="B214" s="2863"/>
      <c r="C214" s="2863"/>
      <c r="D214" s="2863"/>
      <c r="E214" s="2863"/>
      <c r="F214" s="2863"/>
      <c r="G214" s="2863"/>
      <c r="H214" s="2863"/>
      <c r="I214" s="2863"/>
      <c r="J214" s="2863"/>
      <c r="K214" s="2863"/>
      <c r="L214" s="2863"/>
      <c r="M214" s="2863"/>
      <c r="N214" s="2863"/>
      <c r="O214" s="2863"/>
      <c r="P214" s="2863"/>
      <c r="Q214" s="2863"/>
      <c r="R214" s="2864"/>
    </row>
    <row r="215" spans="1:18" s="44" customFormat="1" x14ac:dyDescent="0.2">
      <c r="A215" s="2848" t="s">
        <v>1856</v>
      </c>
      <c r="B215" s="2840"/>
      <c r="C215" s="2840"/>
      <c r="D215" s="2849"/>
      <c r="E215" s="513" t="s">
        <v>2663</v>
      </c>
      <c r="F215" s="369" t="s">
        <v>2251</v>
      </c>
      <c r="G215" s="2839" t="s">
        <v>2253</v>
      </c>
      <c r="H215" s="2840"/>
      <c r="I215" s="2840"/>
      <c r="J215" s="2840"/>
      <c r="K215" s="2840"/>
      <c r="L215" s="2840"/>
      <c r="M215" s="2840"/>
      <c r="N215" s="2840"/>
      <c r="O215" s="2840"/>
      <c r="P215" s="2840"/>
      <c r="Q215" s="2840"/>
      <c r="R215" s="2841"/>
    </row>
    <row r="216" spans="1:18" s="25" customFormat="1" ht="13.5" thickBot="1" x14ac:dyDescent="0.25">
      <c r="A216" s="1697" t="str">
        <f>A165</f>
        <v>2012/13</v>
      </c>
      <c r="B216" s="147" t="str">
        <f>B165</f>
        <v>2013/14</v>
      </c>
      <c r="C216" s="47" t="str">
        <f>C165</f>
        <v>2014/15</v>
      </c>
      <c r="D216" s="97" t="str">
        <f>D165</f>
        <v>2015/16</v>
      </c>
      <c r="E216" s="47" t="s">
        <v>2664</v>
      </c>
      <c r="F216" s="1330"/>
      <c r="G216" s="97" t="str">
        <f t="shared" ref="G216:Q216" si="363">G165</f>
        <v>2016/17</v>
      </c>
      <c r="H216" s="2492" t="str">
        <f t="shared" si="363"/>
        <v>%</v>
      </c>
      <c r="I216" s="47" t="str">
        <f t="shared" si="363"/>
        <v>2017/18</v>
      </c>
      <c r="J216" s="49" t="str">
        <f t="shared" si="363"/>
        <v>2018/19</v>
      </c>
      <c r="K216" s="1294" t="str">
        <f t="shared" si="363"/>
        <v>2019/20</v>
      </c>
      <c r="L216" s="47" t="str">
        <f t="shared" si="363"/>
        <v>2020/21</v>
      </c>
      <c r="M216" s="1294" t="str">
        <f t="shared" si="363"/>
        <v>2021/22</v>
      </c>
      <c r="N216" s="47" t="str">
        <f t="shared" si="363"/>
        <v>2022/23</v>
      </c>
      <c r="O216" s="47" t="str">
        <f t="shared" si="363"/>
        <v>2023/24</v>
      </c>
      <c r="P216" s="49" t="str">
        <f t="shared" si="363"/>
        <v>2024/25</v>
      </c>
      <c r="Q216" s="219" t="str">
        <f t="shared" si="363"/>
        <v>2025/26</v>
      </c>
      <c r="R216" s="220" t="str">
        <f t="shared" ref="R216" si="364">R165</f>
        <v>2026/27</v>
      </c>
    </row>
    <row r="217" spans="1:18" s="133" customFormat="1" x14ac:dyDescent="0.2">
      <c r="A217" s="71"/>
      <c r="B217" s="132"/>
      <c r="C217" s="132"/>
      <c r="D217" s="132"/>
      <c r="E217" s="1332"/>
      <c r="F217" s="145"/>
      <c r="G217" s="132"/>
      <c r="H217" s="827"/>
      <c r="I217" s="132"/>
      <c r="J217" s="130"/>
      <c r="K217" s="132"/>
      <c r="L217" s="132"/>
      <c r="M217" s="132"/>
      <c r="N217" s="132"/>
      <c r="O217" s="132"/>
      <c r="P217" s="130"/>
      <c r="Q217" s="132"/>
      <c r="R217" s="131"/>
    </row>
    <row r="218" spans="1:18" s="133" customFormat="1" x14ac:dyDescent="0.2">
      <c r="A218" s="71"/>
      <c r="B218" s="132"/>
      <c r="C218" s="132"/>
      <c r="D218" s="132"/>
      <c r="E218" s="1332"/>
      <c r="F218" s="301" t="s">
        <v>1073</v>
      </c>
      <c r="G218" s="132"/>
      <c r="H218" s="827"/>
      <c r="I218" s="132"/>
      <c r="J218" s="130"/>
      <c r="K218" s="132"/>
      <c r="L218" s="132"/>
      <c r="M218" s="132"/>
      <c r="N218" s="132"/>
      <c r="O218" s="132"/>
      <c r="P218" s="130"/>
      <c r="Q218" s="132"/>
      <c r="R218" s="131"/>
    </row>
    <row r="219" spans="1:18" s="133" customFormat="1" x14ac:dyDescent="0.2">
      <c r="A219" s="71"/>
      <c r="B219" s="132"/>
      <c r="C219" s="132"/>
      <c r="D219" s="132"/>
      <c r="E219" s="1332"/>
      <c r="F219" s="301"/>
      <c r="G219" s="132"/>
      <c r="H219" s="827"/>
      <c r="I219" s="132"/>
      <c r="J219" s="130"/>
      <c r="K219" s="132"/>
      <c r="L219" s="132"/>
      <c r="M219" s="132"/>
      <c r="N219" s="132"/>
      <c r="O219" s="132"/>
      <c r="P219" s="130"/>
      <c r="Q219" s="132"/>
      <c r="R219" s="131"/>
    </row>
    <row r="220" spans="1:18" s="133" customFormat="1" x14ac:dyDescent="0.2">
      <c r="A220" s="71"/>
      <c r="B220" s="132"/>
      <c r="C220" s="132"/>
      <c r="D220" s="132"/>
      <c r="E220" s="1332"/>
      <c r="F220" s="145" t="s">
        <v>2880</v>
      </c>
      <c r="G220" s="132"/>
      <c r="H220" s="827"/>
      <c r="I220" s="132"/>
      <c r="J220" s="130"/>
      <c r="K220" s="132"/>
      <c r="L220" s="132"/>
      <c r="M220" s="132"/>
      <c r="N220" s="132"/>
      <c r="O220" s="132"/>
      <c r="P220" s="130"/>
      <c r="Q220" s="132"/>
      <c r="R220" s="131"/>
    </row>
    <row r="221" spans="1:18" s="133" customFormat="1" x14ac:dyDescent="0.2">
      <c r="A221" s="71">
        <f>ROUND(SUM(A741:A742),-3)</f>
        <v>79000</v>
      </c>
      <c r="B221" s="132">
        <f>SUM(B741:B742)</f>
        <v>75800</v>
      </c>
      <c r="C221" s="132">
        <f>SUM(C741:C742)</f>
        <v>76500</v>
      </c>
      <c r="D221" s="132">
        <f>SUM(D741:D742)</f>
        <v>77000</v>
      </c>
      <c r="E221" s="821" t="s">
        <v>1561</v>
      </c>
      <c r="F221" s="78" t="s">
        <v>3627</v>
      </c>
      <c r="G221" s="132">
        <f t="shared" ref="G221:O221" si="365">SUM(G741:G742)</f>
        <v>77600</v>
      </c>
      <c r="H221" s="827">
        <f>IF(D221=G221,0,IF(D221=0,100,(G221-D221)/D221*100))</f>
        <v>0.77922077922077926</v>
      </c>
      <c r="I221" s="132">
        <f t="shared" si="365"/>
        <v>78800</v>
      </c>
      <c r="J221" s="130">
        <f t="shared" si="365"/>
        <v>80800</v>
      </c>
      <c r="K221" s="132">
        <f t="shared" si="365"/>
        <v>82900</v>
      </c>
      <c r="L221" s="132">
        <f t="shared" si="365"/>
        <v>85000</v>
      </c>
      <c r="M221" s="132">
        <f t="shared" si="365"/>
        <v>86700</v>
      </c>
      <c r="N221" s="132">
        <f t="shared" si="365"/>
        <v>88500</v>
      </c>
      <c r="O221" s="132">
        <f t="shared" si="365"/>
        <v>90300</v>
      </c>
      <c r="P221" s="130">
        <f t="shared" ref="P221:Q221" si="366">SUM(P741:P742)</f>
        <v>92200</v>
      </c>
      <c r="Q221" s="132">
        <f t="shared" si="366"/>
        <v>94100</v>
      </c>
      <c r="R221" s="131">
        <f t="shared" ref="R221" si="367">SUM(R741:R742)</f>
        <v>96000</v>
      </c>
    </row>
    <row r="222" spans="1:18" s="133" customFormat="1" x14ac:dyDescent="0.2">
      <c r="A222" s="71">
        <f>ROUND(SUM(A743:A744),-3)</f>
        <v>36000</v>
      </c>
      <c r="B222" s="132">
        <f>SUM(B743:B744)</f>
        <v>34600</v>
      </c>
      <c r="C222" s="132">
        <f>SUM(C743:C744)</f>
        <v>59800</v>
      </c>
      <c r="D222" s="132">
        <f>SUM(D743:D744)</f>
        <v>34900</v>
      </c>
      <c r="E222" s="821" t="s">
        <v>1561</v>
      </c>
      <c r="F222" s="78" t="s">
        <v>3596</v>
      </c>
      <c r="G222" s="132">
        <f t="shared" ref="G222:O222" si="368">SUM(G743:G744)</f>
        <v>41000</v>
      </c>
      <c r="H222" s="827">
        <f>IF(D222=G222,0,IF(D222=0,100,(G222-D222)/D222*100))</f>
        <v>17.478510028653297</v>
      </c>
      <c r="I222" s="132">
        <f t="shared" si="368"/>
        <v>0</v>
      </c>
      <c r="J222" s="130">
        <f t="shared" si="368"/>
        <v>0</v>
      </c>
      <c r="K222" s="132">
        <f t="shared" si="368"/>
        <v>0</v>
      </c>
      <c r="L222" s="132">
        <f t="shared" si="368"/>
        <v>0</v>
      </c>
      <c r="M222" s="132">
        <f t="shared" si="368"/>
        <v>0</v>
      </c>
      <c r="N222" s="132">
        <f t="shared" si="368"/>
        <v>0</v>
      </c>
      <c r="O222" s="132">
        <f t="shared" si="368"/>
        <v>0</v>
      </c>
      <c r="P222" s="130">
        <f t="shared" ref="P222:Q222" si="369">SUM(P743:P744)</f>
        <v>0</v>
      </c>
      <c r="Q222" s="132">
        <f t="shared" si="369"/>
        <v>0</v>
      </c>
      <c r="R222" s="131">
        <f t="shared" ref="R222" si="370">SUM(R743:R744)</f>
        <v>0</v>
      </c>
    </row>
    <row r="223" spans="1:18" s="133" customFormat="1" ht="13.5" thickBot="1" x14ac:dyDescent="0.25">
      <c r="A223" s="292"/>
      <c r="B223" s="116"/>
      <c r="C223" s="116"/>
      <c r="D223" s="116"/>
      <c r="E223" s="821"/>
      <c r="F223" s="145"/>
      <c r="G223" s="132"/>
      <c r="H223" s="323"/>
      <c r="I223" s="132"/>
      <c r="J223" s="130"/>
      <c r="K223" s="132"/>
      <c r="L223" s="132"/>
      <c r="M223" s="132"/>
      <c r="N223" s="132"/>
      <c r="O223" s="132"/>
      <c r="P223" s="130"/>
      <c r="Q223" s="132"/>
      <c r="R223" s="131"/>
    </row>
    <row r="224" spans="1:18" s="133" customFormat="1" x14ac:dyDescent="0.2">
      <c r="A224" s="178">
        <f>SUM(A219:A223)</f>
        <v>115000</v>
      </c>
      <c r="B224" s="106">
        <f>SUM(B219:B223)</f>
        <v>110400</v>
      </c>
      <c r="C224" s="106">
        <f>SUM(C219:C223)</f>
        <v>136300</v>
      </c>
      <c r="D224" s="106">
        <f>SUM(D219:D223)</f>
        <v>111900</v>
      </c>
      <c r="E224" s="821"/>
      <c r="F224" s="170" t="s">
        <v>2605</v>
      </c>
      <c r="G224" s="106">
        <f t="shared" ref="G224:O224" si="371">SUM(G219:G223)</f>
        <v>118600</v>
      </c>
      <c r="H224" s="560">
        <f>IF(D224=G224,0,IF(D224=0,100,(G224-D224)/D224*100))</f>
        <v>5.9874888293118858</v>
      </c>
      <c r="I224" s="106">
        <f t="shared" si="371"/>
        <v>78800</v>
      </c>
      <c r="J224" s="158">
        <f t="shared" si="371"/>
        <v>80800</v>
      </c>
      <c r="K224" s="106">
        <f t="shared" si="371"/>
        <v>82900</v>
      </c>
      <c r="L224" s="106">
        <f t="shared" si="371"/>
        <v>85000</v>
      </c>
      <c r="M224" s="106">
        <f t="shared" si="371"/>
        <v>86700</v>
      </c>
      <c r="N224" s="106">
        <f t="shared" si="371"/>
        <v>88500</v>
      </c>
      <c r="O224" s="106">
        <f t="shared" si="371"/>
        <v>90300</v>
      </c>
      <c r="P224" s="158">
        <f t="shared" ref="P224:Q224" si="372">SUM(P219:P223)</f>
        <v>92200</v>
      </c>
      <c r="Q224" s="106">
        <f t="shared" si="372"/>
        <v>94100</v>
      </c>
      <c r="R224" s="157">
        <f t="shared" ref="R224" si="373">SUM(R219:R223)</f>
        <v>96000</v>
      </c>
    </row>
    <row r="225" spans="1:18" s="133" customFormat="1" x14ac:dyDescent="0.2">
      <c r="A225" s="71"/>
      <c r="B225" s="132"/>
      <c r="C225" s="132"/>
      <c r="D225" s="132"/>
      <c r="E225" s="821"/>
      <c r="F225" s="170"/>
      <c r="G225" s="132"/>
      <c r="H225" s="827"/>
      <c r="I225" s="132"/>
      <c r="J225" s="130"/>
      <c r="K225" s="132"/>
      <c r="L225" s="132"/>
      <c r="M225" s="132"/>
      <c r="N225" s="132"/>
      <c r="O225" s="132"/>
      <c r="P225" s="130"/>
      <c r="Q225" s="132"/>
      <c r="R225" s="131"/>
    </row>
    <row r="226" spans="1:18" s="133" customFormat="1" x14ac:dyDescent="0.2">
      <c r="A226" s="71"/>
      <c r="B226" s="132"/>
      <c r="C226" s="132"/>
      <c r="D226" s="132"/>
      <c r="E226" s="821"/>
      <c r="F226" s="301" t="s">
        <v>2205</v>
      </c>
      <c r="G226" s="132"/>
      <c r="H226" s="827"/>
      <c r="I226" s="132"/>
      <c r="J226" s="130"/>
      <c r="K226" s="132"/>
      <c r="L226" s="132"/>
      <c r="M226" s="132"/>
      <c r="N226" s="132"/>
      <c r="O226" s="132"/>
      <c r="P226" s="130"/>
      <c r="Q226" s="132"/>
      <c r="R226" s="131"/>
    </row>
    <row r="227" spans="1:18" s="133" customFormat="1" x14ac:dyDescent="0.2">
      <c r="A227" s="71"/>
      <c r="B227" s="132"/>
      <c r="C227" s="132"/>
      <c r="D227" s="132"/>
      <c r="E227" s="821"/>
      <c r="F227" s="301"/>
      <c r="G227" s="132"/>
      <c r="H227" s="827"/>
      <c r="I227" s="132"/>
      <c r="J227" s="130"/>
      <c r="K227" s="132"/>
      <c r="L227" s="132"/>
      <c r="M227" s="132"/>
      <c r="N227" s="132"/>
      <c r="O227" s="132"/>
      <c r="P227" s="130"/>
      <c r="Q227" s="132"/>
      <c r="R227" s="131"/>
    </row>
    <row r="228" spans="1:18" s="133" customFormat="1" x14ac:dyDescent="0.2">
      <c r="A228" s="71">
        <f>ROUND(SUM(A749:A750),-3)</f>
        <v>1209000</v>
      </c>
      <c r="B228" s="132">
        <f>SUM(B749:B750)</f>
        <v>1253300</v>
      </c>
      <c r="C228" s="132">
        <f>SUM(C749:C750)</f>
        <v>1274700</v>
      </c>
      <c r="D228" s="132">
        <f>SUM(D749:D750)</f>
        <v>1298000</v>
      </c>
      <c r="E228" s="821" t="s">
        <v>1563</v>
      </c>
      <c r="F228" s="111" t="s">
        <v>3628</v>
      </c>
      <c r="G228" s="132">
        <f t="shared" ref="G228:O228" si="374">SUM(G749:G750)</f>
        <v>1325000</v>
      </c>
      <c r="H228" s="138">
        <f>IF(D228=G228,0,IF(D228=0,100,(G228-D228)/D228*100))</f>
        <v>2.0801232665639446</v>
      </c>
      <c r="I228" s="132">
        <f t="shared" si="374"/>
        <v>1344900</v>
      </c>
      <c r="J228" s="130">
        <f t="shared" si="374"/>
        <v>1378600</v>
      </c>
      <c r="K228" s="132">
        <f t="shared" si="374"/>
        <v>1413100</v>
      </c>
      <c r="L228" s="132">
        <f t="shared" si="374"/>
        <v>1448500</v>
      </c>
      <c r="M228" s="132">
        <f t="shared" si="374"/>
        <v>1477500</v>
      </c>
      <c r="N228" s="132">
        <f t="shared" si="374"/>
        <v>1507100</v>
      </c>
      <c r="O228" s="132">
        <f t="shared" si="374"/>
        <v>1537300</v>
      </c>
      <c r="P228" s="130">
        <f t="shared" ref="P228:Q228" si="375">SUM(P749:P750)</f>
        <v>1568100</v>
      </c>
      <c r="Q228" s="132">
        <f t="shared" si="375"/>
        <v>1599500</v>
      </c>
      <c r="R228" s="131">
        <f t="shared" ref="R228" si="376">SUM(R749:R750)</f>
        <v>1631500</v>
      </c>
    </row>
    <row r="229" spans="1:18" s="133" customFormat="1" x14ac:dyDescent="0.2">
      <c r="A229" s="71">
        <f>ROUND(SUM(A752:A756),-3)</f>
        <v>19000</v>
      </c>
      <c r="B229" s="132">
        <f>SUM(B752:B756)</f>
        <v>20000</v>
      </c>
      <c r="C229" s="132">
        <f>SUM(C752:C756)</f>
        <v>19700</v>
      </c>
      <c r="D229" s="132">
        <f>SUM(D752:D756)</f>
        <v>18800</v>
      </c>
      <c r="E229" s="821" t="s">
        <v>1562</v>
      </c>
      <c r="F229" s="111" t="s">
        <v>4666</v>
      </c>
      <c r="G229" s="132">
        <f t="shared" ref="G229:P229" si="377">SUM(G752:G756)</f>
        <v>20300</v>
      </c>
      <c r="H229" s="138">
        <f>IF(D229=G229,0,IF(D229=0,100,(G229-D229)/D229*100))</f>
        <v>7.9787234042553195</v>
      </c>
      <c r="I229" s="132">
        <f t="shared" si="377"/>
        <v>20700</v>
      </c>
      <c r="J229" s="130">
        <f t="shared" si="377"/>
        <v>21400</v>
      </c>
      <c r="K229" s="132">
        <f t="shared" si="377"/>
        <v>22100</v>
      </c>
      <c r="L229" s="132">
        <f t="shared" si="377"/>
        <v>22800</v>
      </c>
      <c r="M229" s="132">
        <f t="shared" si="377"/>
        <v>23500</v>
      </c>
      <c r="N229" s="132">
        <f t="shared" si="377"/>
        <v>24200</v>
      </c>
      <c r="O229" s="132">
        <f t="shared" si="377"/>
        <v>24900</v>
      </c>
      <c r="P229" s="130">
        <f t="shared" si="377"/>
        <v>25600</v>
      </c>
      <c r="Q229" s="132">
        <f t="shared" ref="Q229" si="378">SUM(Q752:Q756)</f>
        <v>26300</v>
      </c>
      <c r="R229" s="131">
        <f t="shared" ref="R229" si="379">SUM(R752:R756)</f>
        <v>27000</v>
      </c>
    </row>
    <row r="230" spans="1:18" s="133" customFormat="1" x14ac:dyDescent="0.2">
      <c r="A230" s="71">
        <f>ROUND(SUM(A757:A761),-3)</f>
        <v>63000</v>
      </c>
      <c r="B230" s="132">
        <f>SUM(B757:B761)</f>
        <v>61400</v>
      </c>
      <c r="C230" s="132">
        <f>SUM(C757:C761)</f>
        <v>52700</v>
      </c>
      <c r="D230" s="132">
        <f>SUM(D757:D761)</f>
        <v>59800</v>
      </c>
      <c r="E230" s="821" t="s">
        <v>1563</v>
      </c>
      <c r="F230" s="111" t="s">
        <v>4665</v>
      </c>
      <c r="G230" s="132">
        <f t="shared" ref="G230:O230" si="380">SUM(G757:G761)</f>
        <v>70000</v>
      </c>
      <c r="H230" s="138">
        <f>IF(D230=G230,0,IF(D230=0,100,(G230-D230)/D230*100))</f>
        <v>17.056856187290968</v>
      </c>
      <c r="I230" s="132">
        <f t="shared" si="380"/>
        <v>62000</v>
      </c>
      <c r="J230" s="130">
        <f t="shared" si="380"/>
        <v>63700</v>
      </c>
      <c r="K230" s="132">
        <f t="shared" si="380"/>
        <v>65400</v>
      </c>
      <c r="L230" s="132">
        <f t="shared" si="380"/>
        <v>67100</v>
      </c>
      <c r="M230" s="132">
        <f t="shared" si="380"/>
        <v>68600</v>
      </c>
      <c r="N230" s="132">
        <f t="shared" si="380"/>
        <v>70100</v>
      </c>
      <c r="O230" s="132">
        <f t="shared" si="380"/>
        <v>71600</v>
      </c>
      <c r="P230" s="130">
        <f t="shared" ref="P230:Q230" si="381">SUM(P757:P761)</f>
        <v>73100</v>
      </c>
      <c r="Q230" s="132">
        <f t="shared" si="381"/>
        <v>74800</v>
      </c>
      <c r="R230" s="131">
        <f t="shared" ref="R230" si="382">SUM(R757:R761)</f>
        <v>76500</v>
      </c>
    </row>
    <row r="231" spans="1:18" s="133" customFormat="1" x14ac:dyDescent="0.2">
      <c r="A231" s="71">
        <f>ROUND(SUM(A763:A764),-3)</f>
        <v>16000</v>
      </c>
      <c r="B231" s="132">
        <f>SUM(B763:B764)</f>
        <v>16900</v>
      </c>
      <c r="C231" s="132">
        <f>SUM(C763:C764)</f>
        <v>17200</v>
      </c>
      <c r="D231" s="132">
        <f>SUM(D763:D764)</f>
        <v>16800</v>
      </c>
      <c r="E231" s="821" t="s">
        <v>1563</v>
      </c>
      <c r="F231" s="111" t="s">
        <v>3629</v>
      </c>
      <c r="G231" s="132">
        <f t="shared" ref="G231:O231" si="383">SUM(G763:G764)</f>
        <v>18500</v>
      </c>
      <c r="H231" s="138">
        <f>IF(D231=G231,0,IF(D231=0,100,(G231-D231)/D231*100))</f>
        <v>10.119047619047619</v>
      </c>
      <c r="I231" s="132">
        <f t="shared" si="383"/>
        <v>18900</v>
      </c>
      <c r="J231" s="130">
        <f t="shared" si="383"/>
        <v>19500</v>
      </c>
      <c r="K231" s="132">
        <f t="shared" si="383"/>
        <v>20100</v>
      </c>
      <c r="L231" s="132">
        <f t="shared" si="383"/>
        <v>20700</v>
      </c>
      <c r="M231" s="132">
        <f t="shared" si="383"/>
        <v>21200</v>
      </c>
      <c r="N231" s="132">
        <f t="shared" si="383"/>
        <v>21700</v>
      </c>
      <c r="O231" s="132">
        <f t="shared" si="383"/>
        <v>22200</v>
      </c>
      <c r="P231" s="130">
        <f t="shared" ref="P231:Q231" si="384">SUM(P763:P764)</f>
        <v>22700</v>
      </c>
      <c r="Q231" s="132">
        <f t="shared" si="384"/>
        <v>23300</v>
      </c>
      <c r="R231" s="131">
        <f t="shared" ref="R231" si="385">SUM(R763:R764)</f>
        <v>23900</v>
      </c>
    </row>
    <row r="232" spans="1:18" s="133" customFormat="1" x14ac:dyDescent="0.2">
      <c r="A232" s="71">
        <f>ROUND(SUM(A766:A768),-3)</f>
        <v>34000</v>
      </c>
      <c r="B232" s="132">
        <f>SUM(B766:B768)</f>
        <v>15600</v>
      </c>
      <c r="C232" s="132">
        <f>SUM(C766:C768)</f>
        <v>37100</v>
      </c>
      <c r="D232" s="132">
        <f>SUM(D766:D768)</f>
        <v>25600</v>
      </c>
      <c r="E232" s="821" t="s">
        <v>1563</v>
      </c>
      <c r="F232" s="111" t="s">
        <v>5646</v>
      </c>
      <c r="G232" s="132">
        <f t="shared" ref="G232:O232" si="386">SUM(G766:G768)</f>
        <v>105200</v>
      </c>
      <c r="H232" s="138">
        <f>IF(D232=G232,0,IF(D232=0,100,(G232-D232)/D232*100))</f>
        <v>310.9375</v>
      </c>
      <c r="I232" s="132">
        <f t="shared" si="386"/>
        <v>0</v>
      </c>
      <c r="J232" s="130">
        <f t="shared" si="386"/>
        <v>0</v>
      </c>
      <c r="K232" s="132">
        <f t="shared" si="386"/>
        <v>0</v>
      </c>
      <c r="L232" s="132">
        <f t="shared" si="386"/>
        <v>0</v>
      </c>
      <c r="M232" s="132">
        <f t="shared" si="386"/>
        <v>0</v>
      </c>
      <c r="N232" s="132">
        <f t="shared" si="386"/>
        <v>0</v>
      </c>
      <c r="O232" s="132">
        <f t="shared" si="386"/>
        <v>0</v>
      </c>
      <c r="P232" s="130">
        <f t="shared" ref="P232:Q232" si="387">SUM(P766:P768)</f>
        <v>0</v>
      </c>
      <c r="Q232" s="132">
        <f t="shared" si="387"/>
        <v>0</v>
      </c>
      <c r="R232" s="131">
        <f t="shared" ref="R232" si="388">SUM(R766:R768)</f>
        <v>0</v>
      </c>
    </row>
    <row r="233" spans="1:18" s="133" customFormat="1" ht="12.75" hidden="1" customHeight="1" x14ac:dyDescent="0.2">
      <c r="A233" s="71"/>
      <c r="B233" s="132"/>
      <c r="C233" s="132"/>
      <c r="D233" s="132"/>
      <c r="E233" s="811"/>
      <c r="F233" s="111"/>
      <c r="G233" s="132"/>
      <c r="H233" s="827"/>
      <c r="I233" s="132"/>
      <c r="J233" s="130"/>
      <c r="K233" s="132"/>
      <c r="L233" s="132"/>
      <c r="M233" s="132"/>
      <c r="N233" s="132"/>
      <c r="O233" s="132"/>
      <c r="P233" s="130"/>
      <c r="Q233" s="132"/>
      <c r="R233" s="131"/>
    </row>
    <row r="234" spans="1:18" s="133" customFormat="1" ht="12.75" hidden="1" customHeight="1" x14ac:dyDescent="0.2">
      <c r="A234" s="71"/>
      <c r="B234" s="132"/>
      <c r="C234" s="132"/>
      <c r="D234" s="132"/>
      <c r="E234" s="811"/>
      <c r="F234" s="145" t="s">
        <v>1663</v>
      </c>
      <c r="G234" s="132"/>
      <c r="H234" s="827"/>
      <c r="I234" s="132"/>
      <c r="J234" s="130"/>
      <c r="K234" s="132"/>
      <c r="L234" s="132"/>
      <c r="M234" s="132"/>
      <c r="N234" s="132"/>
      <c r="O234" s="132"/>
      <c r="P234" s="130"/>
      <c r="Q234" s="132"/>
      <c r="R234" s="131"/>
    </row>
    <row r="235" spans="1:18" s="133" customFormat="1" ht="12.75" hidden="1" customHeight="1" x14ac:dyDescent="0.2">
      <c r="A235" s="71">
        <f>A883</f>
        <v>0</v>
      </c>
      <c r="B235" s="132">
        <f>B883</f>
        <v>0</v>
      </c>
      <c r="C235" s="132">
        <f>C883</f>
        <v>0</v>
      </c>
      <c r="D235" s="132">
        <f>D883</f>
        <v>0</v>
      </c>
      <c r="E235" s="811" t="s">
        <v>1563</v>
      </c>
      <c r="F235" s="111" t="s">
        <v>3047</v>
      </c>
      <c r="G235" s="132">
        <f t="shared" ref="G235:O235" si="389">G883</f>
        <v>0</v>
      </c>
      <c r="H235" s="827">
        <f>IF(E235=G235,0,IF(E235=0,100,(G235-E235)/E235*100))</f>
        <v>-100</v>
      </c>
      <c r="I235" s="132">
        <f t="shared" si="389"/>
        <v>0</v>
      </c>
      <c r="J235" s="130">
        <f t="shared" si="389"/>
        <v>0</v>
      </c>
      <c r="K235" s="132">
        <f t="shared" si="389"/>
        <v>0</v>
      </c>
      <c r="L235" s="132">
        <f t="shared" si="389"/>
        <v>0</v>
      </c>
      <c r="M235" s="132">
        <f t="shared" si="389"/>
        <v>0</v>
      </c>
      <c r="N235" s="132">
        <f t="shared" si="389"/>
        <v>0</v>
      </c>
      <c r="O235" s="132">
        <f t="shared" si="389"/>
        <v>0</v>
      </c>
      <c r="P235" s="130">
        <f t="shared" ref="P235:Q235" si="390">P883</f>
        <v>0</v>
      </c>
      <c r="Q235" s="132">
        <f t="shared" si="390"/>
        <v>0</v>
      </c>
      <c r="R235" s="131">
        <f t="shared" ref="R235" si="391">R883</f>
        <v>0</v>
      </c>
    </row>
    <row r="236" spans="1:18" s="133" customFormat="1" x14ac:dyDescent="0.2">
      <c r="A236" s="71"/>
      <c r="B236" s="132"/>
      <c r="C236" s="132"/>
      <c r="D236" s="132"/>
      <c r="E236" s="811"/>
      <c r="F236" s="111"/>
      <c r="G236" s="132"/>
      <c r="H236" s="827"/>
      <c r="I236" s="132"/>
      <c r="J236" s="130"/>
      <c r="K236" s="132"/>
      <c r="L236" s="132"/>
      <c r="M236" s="132"/>
      <c r="N236" s="132"/>
      <c r="O236" s="132"/>
      <c r="P236" s="130"/>
      <c r="Q236" s="132"/>
      <c r="R236" s="131"/>
    </row>
    <row r="237" spans="1:18" s="133" customFormat="1" x14ac:dyDescent="0.2">
      <c r="A237" s="71"/>
      <c r="B237" s="132"/>
      <c r="C237" s="132"/>
      <c r="D237" s="132"/>
      <c r="E237" s="811"/>
      <c r="F237" s="1308" t="s">
        <v>1130</v>
      </c>
      <c r="G237" s="132"/>
      <c r="H237" s="827"/>
      <c r="I237" s="132"/>
      <c r="J237" s="130"/>
      <c r="K237" s="132"/>
      <c r="L237" s="132"/>
      <c r="M237" s="132"/>
      <c r="N237" s="132"/>
      <c r="O237" s="132"/>
      <c r="P237" s="130"/>
      <c r="Q237" s="132"/>
      <c r="R237" s="131"/>
    </row>
    <row r="238" spans="1:18" s="133" customFormat="1" x14ac:dyDescent="0.2">
      <c r="A238" s="71">
        <f>ROUND(A770,-3)</f>
        <v>0</v>
      </c>
      <c r="B238" s="132">
        <f>B770</f>
        <v>0</v>
      </c>
      <c r="C238" s="132">
        <f>C770</f>
        <v>0</v>
      </c>
      <c r="D238" s="132">
        <f>D770</f>
        <v>0</v>
      </c>
      <c r="E238" s="811" t="s">
        <v>1563</v>
      </c>
      <c r="F238" s="1952" t="s">
        <v>1366</v>
      </c>
      <c r="G238" s="132">
        <f t="shared" ref="G238:O238" si="392">G770</f>
        <v>0</v>
      </c>
      <c r="H238" s="138">
        <f>IF(D238=G238,0,IF(D238=0,100,(G238-D238)/D238*100))</f>
        <v>0</v>
      </c>
      <c r="I238" s="132">
        <f t="shared" si="392"/>
        <v>0</v>
      </c>
      <c r="J238" s="130">
        <f t="shared" si="392"/>
        <v>0</v>
      </c>
      <c r="K238" s="132">
        <f t="shared" si="392"/>
        <v>0</v>
      </c>
      <c r="L238" s="132">
        <f t="shared" si="392"/>
        <v>0</v>
      </c>
      <c r="M238" s="132">
        <f t="shared" si="392"/>
        <v>0</v>
      </c>
      <c r="N238" s="132">
        <f t="shared" si="392"/>
        <v>0</v>
      </c>
      <c r="O238" s="132">
        <f t="shared" si="392"/>
        <v>0</v>
      </c>
      <c r="P238" s="130">
        <f t="shared" ref="P238:Q238" si="393">P770</f>
        <v>0</v>
      </c>
      <c r="Q238" s="132">
        <f t="shared" si="393"/>
        <v>0</v>
      </c>
      <c r="R238" s="131">
        <f t="shared" ref="R238" si="394">R770</f>
        <v>0</v>
      </c>
    </row>
    <row r="239" spans="1:18" s="133" customFormat="1" x14ac:dyDescent="0.2">
      <c r="A239" s="71"/>
      <c r="B239" s="132"/>
      <c r="C239" s="132"/>
      <c r="D239" s="132"/>
      <c r="E239" s="811"/>
      <c r="F239" s="1952"/>
      <c r="G239" s="132"/>
      <c r="H239" s="827"/>
      <c r="I239" s="132"/>
      <c r="J239" s="130"/>
      <c r="K239" s="132"/>
      <c r="L239" s="132"/>
      <c r="M239" s="132"/>
      <c r="N239" s="132"/>
      <c r="O239" s="132"/>
      <c r="P239" s="130"/>
      <c r="Q239" s="132"/>
      <c r="R239" s="131"/>
    </row>
    <row r="240" spans="1:18" s="133" customFormat="1" x14ac:dyDescent="0.2">
      <c r="A240" s="71"/>
      <c r="B240" s="132"/>
      <c r="C240" s="1011"/>
      <c r="D240" s="1011"/>
      <c r="E240" s="1097"/>
      <c r="F240" s="1308" t="s">
        <v>265</v>
      </c>
      <c r="G240" s="1011"/>
      <c r="H240" s="827"/>
      <c r="I240" s="132"/>
      <c r="J240" s="130"/>
      <c r="K240" s="132"/>
      <c r="L240" s="132"/>
      <c r="M240" s="132"/>
      <c r="N240" s="132"/>
      <c r="O240" s="132"/>
      <c r="P240" s="130"/>
      <c r="Q240" s="132"/>
      <c r="R240" s="131"/>
    </row>
    <row r="241" spans="1:18" s="133" customFormat="1" x14ac:dyDescent="0.2">
      <c r="A241" s="71">
        <f t="shared" ref="A241:B241" si="395">A773</f>
        <v>173000</v>
      </c>
      <c r="B241" s="132">
        <f t="shared" si="395"/>
        <v>269900</v>
      </c>
      <c r="C241" s="1011">
        <f>C773</f>
        <v>148500</v>
      </c>
      <c r="D241" s="1011">
        <f>D773</f>
        <v>152000</v>
      </c>
      <c r="E241" s="1100">
        <v>35030</v>
      </c>
      <c r="F241" s="1956" t="s">
        <v>86</v>
      </c>
      <c r="G241" s="1011">
        <f t="shared" ref="G241:O241" si="396">G773</f>
        <v>149000</v>
      </c>
      <c r="H241" s="138">
        <f>IF(D241=G241,0,IF(D241=0,100,(G241-D241)/D241*100))</f>
        <v>-1.9736842105263157</v>
      </c>
      <c r="I241" s="132">
        <f t="shared" si="396"/>
        <v>152000</v>
      </c>
      <c r="J241" s="130">
        <f t="shared" si="396"/>
        <v>155100</v>
      </c>
      <c r="K241" s="132">
        <f t="shared" si="396"/>
        <v>158300</v>
      </c>
      <c r="L241" s="132">
        <f t="shared" si="396"/>
        <v>161500</v>
      </c>
      <c r="M241" s="132">
        <f t="shared" si="396"/>
        <v>164800</v>
      </c>
      <c r="N241" s="132">
        <f t="shared" si="396"/>
        <v>168100</v>
      </c>
      <c r="O241" s="132">
        <f t="shared" si="396"/>
        <v>171500</v>
      </c>
      <c r="P241" s="130">
        <f t="shared" ref="P241:Q241" si="397">P773</f>
        <v>175000</v>
      </c>
      <c r="Q241" s="132">
        <f t="shared" si="397"/>
        <v>178500</v>
      </c>
      <c r="R241" s="131">
        <f t="shared" ref="R241" si="398">R773</f>
        <v>182100</v>
      </c>
    </row>
    <row r="242" spans="1:18" s="133" customFormat="1" ht="13.5" thickBot="1" x14ac:dyDescent="0.25">
      <c r="A242" s="292"/>
      <c r="B242" s="116"/>
      <c r="C242" s="116"/>
      <c r="D242" s="116"/>
      <c r="E242" s="821"/>
      <c r="F242" s="2529"/>
      <c r="G242" s="132"/>
      <c r="H242" s="323"/>
      <c r="I242" s="132"/>
      <c r="J242" s="130"/>
      <c r="K242" s="132"/>
      <c r="L242" s="132"/>
      <c r="M242" s="132"/>
      <c r="N242" s="132"/>
      <c r="O242" s="132"/>
      <c r="P242" s="130"/>
      <c r="Q242" s="132"/>
      <c r="R242" s="131"/>
    </row>
    <row r="243" spans="1:18" s="118" customFormat="1" x14ac:dyDescent="0.2">
      <c r="A243" s="178">
        <f t="shared" ref="A243:B243" si="399">SUM(A226:A242)</f>
        <v>1514000</v>
      </c>
      <c r="B243" s="106">
        <f t="shared" si="399"/>
        <v>1637100</v>
      </c>
      <c r="C243" s="106">
        <f>SUM(C226:C242)</f>
        <v>1549900</v>
      </c>
      <c r="D243" s="106">
        <f>SUM(D226:D242)</f>
        <v>1571000</v>
      </c>
      <c r="E243" s="1334"/>
      <c r="F243" s="2534" t="s">
        <v>565</v>
      </c>
      <c r="G243" s="106">
        <f t="shared" ref="G243:O243" si="400">SUM(G226:G242)</f>
        <v>1688000</v>
      </c>
      <c r="H243" s="560">
        <f>IF(D243=G243,0,IF(D243=0,100,(G243-D243)/D243*100))</f>
        <v>7.4474856779121579</v>
      </c>
      <c r="I243" s="106">
        <f t="shared" si="400"/>
        <v>1598500</v>
      </c>
      <c r="J243" s="158">
        <f t="shared" si="400"/>
        <v>1638300</v>
      </c>
      <c r="K243" s="106">
        <f t="shared" si="400"/>
        <v>1679000</v>
      </c>
      <c r="L243" s="106">
        <f t="shared" si="400"/>
        <v>1720600</v>
      </c>
      <c r="M243" s="106">
        <f t="shared" si="400"/>
        <v>1755600</v>
      </c>
      <c r="N243" s="106">
        <f t="shared" si="400"/>
        <v>1791200</v>
      </c>
      <c r="O243" s="106">
        <f t="shared" si="400"/>
        <v>1827500</v>
      </c>
      <c r="P243" s="158">
        <f t="shared" ref="P243:Q243" si="401">SUM(P226:P242)</f>
        <v>1864500</v>
      </c>
      <c r="Q243" s="106">
        <f t="shared" si="401"/>
        <v>1902400</v>
      </c>
      <c r="R243" s="157">
        <f t="shared" ref="R243" si="402">SUM(R226:R242)</f>
        <v>1941000</v>
      </c>
    </row>
    <row r="244" spans="1:18" s="133" customFormat="1" x14ac:dyDescent="0.2">
      <c r="A244" s="71"/>
      <c r="B244" s="132"/>
      <c r="C244" s="132"/>
      <c r="D244" s="132"/>
      <c r="E244" s="1335"/>
      <c r="F244" s="111"/>
      <c r="G244" s="132"/>
      <c r="H244" s="827"/>
      <c r="I244" s="132"/>
      <c r="J244" s="130"/>
      <c r="K244" s="132"/>
      <c r="L244" s="132"/>
      <c r="M244" s="132"/>
      <c r="N244" s="132"/>
      <c r="O244" s="132"/>
      <c r="P244" s="130"/>
      <c r="Q244" s="132"/>
      <c r="R244" s="131"/>
    </row>
    <row r="245" spans="1:18" s="118" customFormat="1" x14ac:dyDescent="0.2">
      <c r="A245" s="292">
        <f t="shared" ref="A245:B245" si="403">A224-A243</f>
        <v>-1399000</v>
      </c>
      <c r="B245" s="116">
        <f t="shared" si="403"/>
        <v>-1526700</v>
      </c>
      <c r="C245" s="116">
        <f>C224-C243</f>
        <v>-1413600</v>
      </c>
      <c r="D245" s="116">
        <f>D224-D243</f>
        <v>-1459100</v>
      </c>
      <c r="E245" s="1334"/>
      <c r="F245" s="2004" t="s">
        <v>1019</v>
      </c>
      <c r="G245" s="116">
        <f t="shared" ref="G245:O245" si="404">G224-G243</f>
        <v>-1569400</v>
      </c>
      <c r="H245" s="323">
        <f>IF(D245=G245,0,IF(D245=0,100,(G245-D245)/D245*100))</f>
        <v>7.5594544582276741</v>
      </c>
      <c r="I245" s="116">
        <f t="shared" si="404"/>
        <v>-1519700</v>
      </c>
      <c r="J245" s="160">
        <f t="shared" si="404"/>
        <v>-1557500</v>
      </c>
      <c r="K245" s="116">
        <f t="shared" si="404"/>
        <v>-1596100</v>
      </c>
      <c r="L245" s="116">
        <f t="shared" si="404"/>
        <v>-1635600</v>
      </c>
      <c r="M245" s="116">
        <f t="shared" si="404"/>
        <v>-1668900</v>
      </c>
      <c r="N245" s="116">
        <f t="shared" si="404"/>
        <v>-1702700</v>
      </c>
      <c r="O245" s="116">
        <f t="shared" si="404"/>
        <v>-1737200</v>
      </c>
      <c r="P245" s="160">
        <f t="shared" ref="P245:Q245" si="405">P224-P243</f>
        <v>-1772300</v>
      </c>
      <c r="Q245" s="116">
        <f t="shared" si="405"/>
        <v>-1808300</v>
      </c>
      <c r="R245" s="159">
        <f t="shared" ref="R245" si="406">R224-R243</f>
        <v>-1845000</v>
      </c>
    </row>
    <row r="246" spans="1:18" s="133" customFormat="1" x14ac:dyDescent="0.2">
      <c r="A246" s="71">
        <f t="shared" ref="A246:B246" si="407">A241</f>
        <v>173000</v>
      </c>
      <c r="B246" s="132">
        <f t="shared" si="407"/>
        <v>269900</v>
      </c>
      <c r="C246" s="132">
        <f>C241</f>
        <v>148500</v>
      </c>
      <c r="D246" s="132">
        <f>D241</f>
        <v>152000</v>
      </c>
      <c r="E246" s="1335"/>
      <c r="F246" s="320" t="s">
        <v>1976</v>
      </c>
      <c r="G246" s="132">
        <f t="shared" ref="G246:O246" si="408">G241</f>
        <v>149000</v>
      </c>
      <c r="H246" s="827">
        <f>IF(D246=G246,0,IF(D246=0,100,(G246-D246)/D246*100))</f>
        <v>-1.9736842105263157</v>
      </c>
      <c r="I246" s="132">
        <f t="shared" si="408"/>
        <v>152000</v>
      </c>
      <c r="J246" s="130">
        <f t="shared" si="408"/>
        <v>155100</v>
      </c>
      <c r="K246" s="132">
        <f t="shared" si="408"/>
        <v>158300</v>
      </c>
      <c r="L246" s="132">
        <f t="shared" si="408"/>
        <v>161500</v>
      </c>
      <c r="M246" s="132">
        <f t="shared" si="408"/>
        <v>164800</v>
      </c>
      <c r="N246" s="132">
        <f t="shared" si="408"/>
        <v>168100</v>
      </c>
      <c r="O246" s="132">
        <f t="shared" si="408"/>
        <v>171500</v>
      </c>
      <c r="P246" s="130">
        <f t="shared" ref="P246:Q246" si="409">P241</f>
        <v>175000</v>
      </c>
      <c r="Q246" s="132">
        <f t="shared" si="409"/>
        <v>178500</v>
      </c>
      <c r="R246" s="131">
        <f t="shared" ref="R246" si="410">R241</f>
        <v>182100</v>
      </c>
    </row>
    <row r="247" spans="1:18" s="118" customFormat="1" x14ac:dyDescent="0.2">
      <c r="A247" s="1336">
        <f t="shared" ref="A247:B247" si="411">A246+A245</f>
        <v>-1226000</v>
      </c>
      <c r="B247" s="1122">
        <f t="shared" si="411"/>
        <v>-1256800</v>
      </c>
      <c r="C247" s="1122">
        <f>C246+C245</f>
        <v>-1265100</v>
      </c>
      <c r="D247" s="1122">
        <f>D246+D245</f>
        <v>-1307100</v>
      </c>
      <c r="E247" s="1337"/>
      <c r="F247" s="1338" t="s">
        <v>1687</v>
      </c>
      <c r="G247" s="1122">
        <f t="shared" ref="G247:O247" si="412">G246+G245</f>
        <v>-1420400</v>
      </c>
      <c r="H247" s="1339">
        <f>IF(D247=G247,0,IF(D247=0,100,(G247-D247)/D247*100))</f>
        <v>8.6680437609976284</v>
      </c>
      <c r="I247" s="1122">
        <f t="shared" si="412"/>
        <v>-1367700</v>
      </c>
      <c r="J247" s="1340">
        <f t="shared" si="412"/>
        <v>-1402400</v>
      </c>
      <c r="K247" s="1122">
        <f t="shared" si="412"/>
        <v>-1437800</v>
      </c>
      <c r="L247" s="1122">
        <f t="shared" si="412"/>
        <v>-1474100</v>
      </c>
      <c r="M247" s="1122">
        <f t="shared" si="412"/>
        <v>-1504100</v>
      </c>
      <c r="N247" s="1122">
        <f t="shared" si="412"/>
        <v>-1534600</v>
      </c>
      <c r="O247" s="1122">
        <f t="shared" si="412"/>
        <v>-1565700</v>
      </c>
      <c r="P247" s="1340">
        <f t="shared" ref="P247:Q247" si="413">P246+P245</f>
        <v>-1597300</v>
      </c>
      <c r="Q247" s="1122">
        <f t="shared" si="413"/>
        <v>-1629800</v>
      </c>
      <c r="R247" s="1693">
        <f t="shared" ref="R247" si="414">R246+R245</f>
        <v>-1662900</v>
      </c>
    </row>
    <row r="248" spans="1:18" s="133" customFormat="1" ht="13.5" thickBot="1" x14ac:dyDescent="0.25">
      <c r="A248" s="1341"/>
      <c r="B248" s="1306"/>
      <c r="C248" s="1306"/>
      <c r="D248" s="1306"/>
      <c r="E248" s="1342"/>
      <c r="F248" s="1343"/>
      <c r="G248" s="835"/>
      <c r="H248" s="1344"/>
      <c r="I248" s="1346"/>
      <c r="J248" s="1345"/>
      <c r="K248" s="1346"/>
      <c r="L248" s="1346"/>
      <c r="M248" s="1346"/>
      <c r="N248" s="1346"/>
      <c r="O248" s="1346"/>
      <c r="P248" s="1345"/>
      <c r="Q248" s="1346"/>
      <c r="R248" s="1694"/>
    </row>
    <row r="249" spans="1:18" s="133" customFormat="1" ht="13.5" thickTop="1" x14ac:dyDescent="0.2">
      <c r="A249" s="1347"/>
      <c r="B249" s="1348"/>
      <c r="C249" s="1348"/>
      <c r="D249" s="1348"/>
      <c r="E249" s="1349"/>
      <c r="F249" s="2535"/>
      <c r="G249" s="1351"/>
      <c r="H249" s="1779"/>
      <c r="I249" s="1351"/>
      <c r="J249" s="1350"/>
      <c r="K249" s="1351"/>
      <c r="L249" s="1351"/>
      <c r="M249" s="1351"/>
      <c r="N249" s="1351"/>
      <c r="O249" s="1351"/>
      <c r="P249" s="1350"/>
      <c r="Q249" s="1351"/>
      <c r="R249" s="1695"/>
    </row>
    <row r="250" spans="1:18" s="133" customFormat="1" x14ac:dyDescent="0.2">
      <c r="A250" s="292"/>
      <c r="B250" s="116"/>
      <c r="C250" s="116"/>
      <c r="D250" s="116"/>
      <c r="E250" s="1328"/>
      <c r="F250" s="1985" t="s">
        <v>196</v>
      </c>
      <c r="G250" s="132"/>
      <c r="H250" s="323"/>
      <c r="I250" s="132"/>
      <c r="J250" s="130"/>
      <c r="K250" s="132"/>
      <c r="L250" s="132"/>
      <c r="M250" s="132"/>
      <c r="N250" s="132"/>
      <c r="O250" s="132"/>
      <c r="P250" s="130"/>
      <c r="Q250" s="132"/>
      <c r="R250" s="131"/>
    </row>
    <row r="251" spans="1:18" s="133" customFormat="1" x14ac:dyDescent="0.2">
      <c r="A251" s="292"/>
      <c r="B251" s="116"/>
      <c r="C251" s="116"/>
      <c r="D251" s="116"/>
      <c r="E251" s="1328"/>
      <c r="F251" s="1308"/>
      <c r="G251" s="132"/>
      <c r="H251" s="323"/>
      <c r="I251" s="132"/>
      <c r="J251" s="130"/>
      <c r="K251" s="132"/>
      <c r="L251" s="132"/>
      <c r="M251" s="132"/>
      <c r="N251" s="132"/>
      <c r="O251" s="132"/>
      <c r="P251" s="130"/>
      <c r="Q251" s="132"/>
      <c r="R251" s="131"/>
    </row>
    <row r="252" spans="1:18" s="133" customFormat="1" x14ac:dyDescent="0.2">
      <c r="A252" s="71">
        <f t="shared" ref="A252:A256" si="415">ROUND(A784,-3)</f>
        <v>0</v>
      </c>
      <c r="B252" s="132">
        <f t="shared" ref="B252:C256" si="416">B784</f>
        <v>0</v>
      </c>
      <c r="C252" s="132">
        <f t="shared" si="416"/>
        <v>0</v>
      </c>
      <c r="D252" s="132">
        <f>D784</f>
        <v>0</v>
      </c>
      <c r="E252" s="1328"/>
      <c r="F252" s="1952" t="s">
        <v>2900</v>
      </c>
      <c r="G252" s="132">
        <f t="shared" ref="G252:O252" si="417">G784</f>
        <v>0</v>
      </c>
      <c r="H252" s="827"/>
      <c r="I252" s="132">
        <f t="shared" si="417"/>
        <v>0</v>
      </c>
      <c r="J252" s="130">
        <f t="shared" si="417"/>
        <v>0</v>
      </c>
      <c r="K252" s="132">
        <f t="shared" si="417"/>
        <v>0</v>
      </c>
      <c r="L252" s="132">
        <f t="shared" si="417"/>
        <v>0</v>
      </c>
      <c r="M252" s="132">
        <f t="shared" si="417"/>
        <v>0</v>
      </c>
      <c r="N252" s="132">
        <f t="shared" si="417"/>
        <v>0</v>
      </c>
      <c r="O252" s="132">
        <f t="shared" si="417"/>
        <v>0</v>
      </c>
      <c r="P252" s="130">
        <f t="shared" ref="P252:Q252" si="418">P784</f>
        <v>0</v>
      </c>
      <c r="Q252" s="132">
        <f t="shared" si="418"/>
        <v>0</v>
      </c>
      <c r="R252" s="131">
        <f t="shared" ref="R252" si="419">R784</f>
        <v>0</v>
      </c>
    </row>
    <row r="253" spans="1:18" s="133" customFormat="1" x14ac:dyDescent="0.2">
      <c r="A253" s="71">
        <f t="shared" si="415"/>
        <v>61000</v>
      </c>
      <c r="B253" s="132">
        <f t="shared" si="416"/>
        <v>253800</v>
      </c>
      <c r="C253" s="132">
        <f t="shared" si="416"/>
        <v>120100</v>
      </c>
      <c r="D253" s="132">
        <f>D785</f>
        <v>64200</v>
      </c>
      <c r="E253" s="1328"/>
      <c r="F253" s="1952" t="s">
        <v>1942</v>
      </c>
      <c r="G253" s="132">
        <f t="shared" ref="G253:O253" si="420">G785</f>
        <v>0</v>
      </c>
      <c r="H253" s="827"/>
      <c r="I253" s="132">
        <f t="shared" si="420"/>
        <v>0</v>
      </c>
      <c r="J253" s="130">
        <f t="shared" si="420"/>
        <v>0</v>
      </c>
      <c r="K253" s="132">
        <f t="shared" si="420"/>
        <v>0</v>
      </c>
      <c r="L253" s="132">
        <f t="shared" si="420"/>
        <v>0</v>
      </c>
      <c r="M253" s="132">
        <f t="shared" si="420"/>
        <v>0</v>
      </c>
      <c r="N253" s="132">
        <f t="shared" si="420"/>
        <v>0</v>
      </c>
      <c r="O253" s="132">
        <f t="shared" si="420"/>
        <v>0</v>
      </c>
      <c r="P253" s="130">
        <f t="shared" ref="P253:Q253" si="421">P785</f>
        <v>0</v>
      </c>
      <c r="Q253" s="132">
        <f t="shared" si="421"/>
        <v>0</v>
      </c>
      <c r="R253" s="131">
        <f t="shared" ref="R253" si="422">R785</f>
        <v>0</v>
      </c>
    </row>
    <row r="254" spans="1:18" s="133" customFormat="1" x14ac:dyDescent="0.2">
      <c r="A254" s="71">
        <f t="shared" si="415"/>
        <v>59000</v>
      </c>
      <c r="B254" s="132">
        <f t="shared" si="416"/>
        <v>209200</v>
      </c>
      <c r="C254" s="132">
        <f t="shared" si="416"/>
        <v>253800</v>
      </c>
      <c r="D254" s="132">
        <f>D786</f>
        <v>88100</v>
      </c>
      <c r="E254" s="1328"/>
      <c r="F254" s="1952" t="s">
        <v>2348</v>
      </c>
      <c r="G254" s="132">
        <f t="shared" ref="G254:O254" si="423">G786</f>
        <v>64200</v>
      </c>
      <c r="H254" s="827"/>
      <c r="I254" s="132">
        <f t="shared" si="423"/>
        <v>0</v>
      </c>
      <c r="J254" s="130">
        <f t="shared" si="423"/>
        <v>0</v>
      </c>
      <c r="K254" s="132">
        <f t="shared" si="423"/>
        <v>0</v>
      </c>
      <c r="L254" s="132">
        <f t="shared" si="423"/>
        <v>0</v>
      </c>
      <c r="M254" s="132">
        <f t="shared" si="423"/>
        <v>0</v>
      </c>
      <c r="N254" s="132">
        <f t="shared" si="423"/>
        <v>0</v>
      </c>
      <c r="O254" s="132">
        <f t="shared" si="423"/>
        <v>0</v>
      </c>
      <c r="P254" s="130">
        <f t="shared" ref="P254:Q254" si="424">P786</f>
        <v>0</v>
      </c>
      <c r="Q254" s="132">
        <f t="shared" si="424"/>
        <v>0</v>
      </c>
      <c r="R254" s="131">
        <f t="shared" ref="R254" si="425">R786</f>
        <v>0</v>
      </c>
    </row>
    <row r="255" spans="1:18" s="133" customFormat="1" x14ac:dyDescent="0.2">
      <c r="A255" s="71">
        <f t="shared" si="415"/>
        <v>0</v>
      </c>
      <c r="B255" s="132">
        <f t="shared" si="416"/>
        <v>16000</v>
      </c>
      <c r="C255" s="132">
        <f t="shared" si="416"/>
        <v>0</v>
      </c>
      <c r="D255" s="132">
        <f>D787</f>
        <v>0</v>
      </c>
      <c r="E255" s="1328"/>
      <c r="F255" s="891" t="s">
        <v>5984</v>
      </c>
      <c r="G255" s="78">
        <f t="shared" ref="G255:O255" si="426">G787</f>
        <v>0</v>
      </c>
      <c r="H255" s="827"/>
      <c r="I255" s="132">
        <f t="shared" si="426"/>
        <v>0</v>
      </c>
      <c r="J255" s="130">
        <f t="shared" si="426"/>
        <v>0</v>
      </c>
      <c r="K255" s="132">
        <f t="shared" si="426"/>
        <v>0</v>
      </c>
      <c r="L255" s="132">
        <f t="shared" si="426"/>
        <v>0</v>
      </c>
      <c r="M255" s="132">
        <f t="shared" si="426"/>
        <v>0</v>
      </c>
      <c r="N255" s="132">
        <f t="shared" si="426"/>
        <v>0</v>
      </c>
      <c r="O255" s="132">
        <f t="shared" si="426"/>
        <v>0</v>
      </c>
      <c r="P255" s="130">
        <f t="shared" ref="P255:Q255" si="427">P787</f>
        <v>0</v>
      </c>
      <c r="Q255" s="132">
        <f t="shared" si="427"/>
        <v>0</v>
      </c>
      <c r="R255" s="131">
        <f t="shared" ref="R255" si="428">R787</f>
        <v>0</v>
      </c>
    </row>
    <row r="256" spans="1:18" s="133" customFormat="1" x14ac:dyDescent="0.2">
      <c r="A256" s="71">
        <f t="shared" si="415"/>
        <v>0</v>
      </c>
      <c r="B256" s="132">
        <f t="shared" si="416"/>
        <v>10400</v>
      </c>
      <c r="C256" s="132">
        <f t="shared" si="416"/>
        <v>156600</v>
      </c>
      <c r="D256" s="132">
        <f>D788</f>
        <v>39300</v>
      </c>
      <c r="E256" s="1328"/>
      <c r="F256" s="891" t="s">
        <v>972</v>
      </c>
      <c r="G256" s="78">
        <f t="shared" ref="G256:O256" si="429">G788</f>
        <v>0</v>
      </c>
      <c r="H256" s="827"/>
      <c r="I256" s="132">
        <f t="shared" si="429"/>
        <v>0</v>
      </c>
      <c r="J256" s="130">
        <f t="shared" si="429"/>
        <v>0</v>
      </c>
      <c r="K256" s="132">
        <f t="shared" si="429"/>
        <v>0</v>
      </c>
      <c r="L256" s="132">
        <f t="shared" si="429"/>
        <v>0</v>
      </c>
      <c r="M256" s="132">
        <f t="shared" si="429"/>
        <v>0</v>
      </c>
      <c r="N256" s="132">
        <f t="shared" si="429"/>
        <v>0</v>
      </c>
      <c r="O256" s="132">
        <f t="shared" si="429"/>
        <v>0</v>
      </c>
      <c r="P256" s="130">
        <f t="shared" ref="P256:Q256" si="430">P788</f>
        <v>0</v>
      </c>
      <c r="Q256" s="132">
        <f t="shared" si="430"/>
        <v>0</v>
      </c>
      <c r="R256" s="131">
        <f t="shared" ref="R256" si="431">R788</f>
        <v>0</v>
      </c>
    </row>
    <row r="257" spans="1:18" s="133" customFormat="1" x14ac:dyDescent="0.2">
      <c r="A257" s="71"/>
      <c r="B257" s="132"/>
      <c r="C257" s="132"/>
      <c r="D257" s="132"/>
      <c r="E257" s="1328"/>
      <c r="F257" s="1352"/>
      <c r="G257" s="78"/>
      <c r="H257" s="827"/>
      <c r="I257" s="132"/>
      <c r="J257" s="130"/>
      <c r="K257" s="132"/>
      <c r="L257" s="132"/>
      <c r="M257" s="132"/>
      <c r="N257" s="132"/>
      <c r="O257" s="132"/>
      <c r="P257" s="130"/>
      <c r="Q257" s="132"/>
      <c r="R257" s="131"/>
    </row>
    <row r="258" spans="1:18" s="118" customFormat="1" ht="11.25" customHeight="1" x14ac:dyDescent="0.2">
      <c r="A258" s="1336">
        <f>A247-A252-A253+A254++A255-A256</f>
        <v>-1228000</v>
      </c>
      <c r="B258" s="1122">
        <f>B247-B252-B253+B254++B255-B256</f>
        <v>-1295800</v>
      </c>
      <c r="C258" s="1122">
        <f>C247-C252-C253+C254++C255-C256</f>
        <v>-1288000</v>
      </c>
      <c r="D258" s="1122">
        <f>D247-D252-D253+D254++D255-D256</f>
        <v>-1322500</v>
      </c>
      <c r="E258" s="1353"/>
      <c r="F258" s="1354" t="s">
        <v>2490</v>
      </c>
      <c r="G258" s="2599">
        <f t="shared" ref="G258:O258" si="432">G247-G252-G253+G254++G255-G256</f>
        <v>-1356200</v>
      </c>
      <c r="H258" s="1339">
        <f>IF(D258=G258,0,IF(D258=0,100,(G258-D258)/D258*100))</f>
        <v>2.54820415879017</v>
      </c>
      <c r="I258" s="1122">
        <f t="shared" si="432"/>
        <v>-1367700</v>
      </c>
      <c r="J258" s="1340">
        <f t="shared" si="432"/>
        <v>-1402400</v>
      </c>
      <c r="K258" s="1122">
        <f t="shared" si="432"/>
        <v>-1437800</v>
      </c>
      <c r="L258" s="1122">
        <f t="shared" si="432"/>
        <v>-1474100</v>
      </c>
      <c r="M258" s="1122">
        <f t="shared" si="432"/>
        <v>-1504100</v>
      </c>
      <c r="N258" s="1122">
        <f t="shared" si="432"/>
        <v>-1534600</v>
      </c>
      <c r="O258" s="1122">
        <f t="shared" si="432"/>
        <v>-1565700</v>
      </c>
      <c r="P258" s="1340">
        <f t="shared" ref="P258:Q258" si="433">P247-P252-P253+P254++P255-P256</f>
        <v>-1597300</v>
      </c>
      <c r="Q258" s="1122">
        <f t="shared" si="433"/>
        <v>-1629800</v>
      </c>
      <c r="R258" s="1693">
        <f t="shared" ref="R258" si="434">R247-R252-R253+R254++R255-R256</f>
        <v>-1662900</v>
      </c>
    </row>
    <row r="259" spans="1:18" s="133" customFormat="1" ht="13.5" thickBot="1" x14ac:dyDescent="0.25">
      <c r="A259" s="1341"/>
      <c r="B259" s="1306"/>
      <c r="C259" s="1306"/>
      <c r="D259" s="1306"/>
      <c r="E259" s="1355"/>
      <c r="F259" s="1356"/>
      <c r="G259" s="302"/>
      <c r="H259" s="1344"/>
      <c r="I259" s="835"/>
      <c r="J259" s="836"/>
      <c r="K259" s="835"/>
      <c r="L259" s="835"/>
      <c r="M259" s="835"/>
      <c r="N259" s="835"/>
      <c r="O259" s="835"/>
      <c r="P259" s="836"/>
      <c r="Q259" s="835"/>
      <c r="R259" s="837"/>
    </row>
    <row r="260" spans="1:18" s="133" customFormat="1" ht="14.25" thickTop="1" thickBot="1" x14ac:dyDescent="0.25">
      <c r="C260" s="78"/>
      <c r="D260" s="78"/>
      <c r="E260" s="1357"/>
      <c r="G260" s="78"/>
      <c r="H260" s="1358"/>
    </row>
    <row r="261" spans="1:18" s="91" customFormat="1" ht="18.75" customHeight="1" thickTop="1" thickBot="1" x14ac:dyDescent="0.3">
      <c r="A261" s="2865" t="s">
        <v>2349</v>
      </c>
      <c r="B261" s="2866"/>
      <c r="C261" s="2866"/>
      <c r="D261" s="2866"/>
      <c r="E261" s="2866"/>
      <c r="F261" s="2866"/>
      <c r="G261" s="2866"/>
      <c r="H261" s="2866"/>
      <c r="I261" s="2866"/>
      <c r="J261" s="2866"/>
      <c r="K261" s="2866"/>
      <c r="L261" s="2866"/>
      <c r="M261" s="2866"/>
      <c r="N261" s="2866"/>
      <c r="O261" s="2866"/>
      <c r="P261" s="2866"/>
      <c r="Q261" s="2866"/>
      <c r="R261" s="2867"/>
    </row>
    <row r="262" spans="1:18" s="44" customFormat="1" x14ac:dyDescent="0.2">
      <c r="A262" s="2848" t="s">
        <v>1856</v>
      </c>
      <c r="B262" s="2840"/>
      <c r="C262" s="2840"/>
      <c r="D262" s="2849"/>
      <c r="E262" s="513" t="s">
        <v>2663</v>
      </c>
      <c r="F262" s="369" t="s">
        <v>2251</v>
      </c>
      <c r="G262" s="2839" t="s">
        <v>2253</v>
      </c>
      <c r="H262" s="2840"/>
      <c r="I262" s="2840"/>
      <c r="J262" s="2840"/>
      <c r="K262" s="2840"/>
      <c r="L262" s="2840"/>
      <c r="M262" s="2840"/>
      <c r="N262" s="2840"/>
      <c r="O262" s="2840"/>
      <c r="P262" s="2840"/>
      <c r="Q262" s="2840"/>
      <c r="R262" s="2841"/>
    </row>
    <row r="263" spans="1:18" s="25" customFormat="1" ht="12.75" customHeight="1" thickBot="1" x14ac:dyDescent="0.25">
      <c r="A263" s="1697" t="str">
        <f t="shared" ref="A263:E263" si="435">A216</f>
        <v>2012/13</v>
      </c>
      <c r="B263" s="219" t="str">
        <f t="shared" si="435"/>
        <v>2013/14</v>
      </c>
      <c r="C263" s="47" t="str">
        <f t="shared" si="435"/>
        <v>2014/15</v>
      </c>
      <c r="D263" s="97" t="str">
        <f>D216</f>
        <v>2015/16</v>
      </c>
      <c r="E263" s="47" t="str">
        <f t="shared" si="435"/>
        <v>ACCOUNT</v>
      </c>
      <c r="F263" s="1359"/>
      <c r="G263" s="97" t="str">
        <f t="shared" ref="G263:O263" si="436">G216</f>
        <v>2016/17</v>
      </c>
      <c r="H263" s="2492" t="str">
        <f t="shared" ref="H263" si="437">H216</f>
        <v>%</v>
      </c>
      <c r="I263" s="47" t="str">
        <f t="shared" si="436"/>
        <v>2017/18</v>
      </c>
      <c r="J263" s="49" t="str">
        <f t="shared" si="436"/>
        <v>2018/19</v>
      </c>
      <c r="K263" s="1294" t="str">
        <f t="shared" si="436"/>
        <v>2019/20</v>
      </c>
      <c r="L263" s="47" t="str">
        <f t="shared" si="436"/>
        <v>2020/21</v>
      </c>
      <c r="M263" s="1294" t="str">
        <f t="shared" si="436"/>
        <v>2021/22</v>
      </c>
      <c r="N263" s="47" t="str">
        <f t="shared" si="436"/>
        <v>2022/23</v>
      </c>
      <c r="O263" s="47" t="str">
        <f t="shared" si="436"/>
        <v>2023/24</v>
      </c>
      <c r="P263" s="47" t="str">
        <f t="shared" ref="P263:Q263" si="438">P216</f>
        <v>2024/25</v>
      </c>
      <c r="Q263" s="219" t="str">
        <f t="shared" si="438"/>
        <v>2025/26</v>
      </c>
      <c r="R263" s="220" t="str">
        <f t="shared" ref="R263" si="439">R216</f>
        <v>2026/27</v>
      </c>
    </row>
    <row r="264" spans="1:18" s="133" customFormat="1" x14ac:dyDescent="0.2">
      <c r="A264" s="824"/>
      <c r="B264" s="132"/>
      <c r="C264" s="1011"/>
      <c r="D264" s="1011"/>
      <c r="E264" s="1360"/>
      <c r="F264" s="1361"/>
      <c r="G264" s="1011"/>
      <c r="H264" s="827"/>
      <c r="I264" s="132"/>
      <c r="J264" s="130"/>
      <c r="K264" s="132"/>
      <c r="L264" s="132"/>
      <c r="M264" s="132"/>
      <c r="N264" s="132"/>
      <c r="O264" s="132"/>
      <c r="P264" s="132"/>
      <c r="Q264" s="132"/>
      <c r="R264" s="131"/>
    </row>
    <row r="265" spans="1:18" s="133" customFormat="1" x14ac:dyDescent="0.2">
      <c r="A265" s="824"/>
      <c r="B265" s="132"/>
      <c r="C265" s="1011"/>
      <c r="D265" s="1011"/>
      <c r="E265" s="1360"/>
      <c r="F265" s="1363" t="s">
        <v>1073</v>
      </c>
      <c r="G265" s="1011"/>
      <c r="H265" s="827"/>
      <c r="I265" s="132"/>
      <c r="J265" s="130"/>
      <c r="K265" s="132"/>
      <c r="L265" s="132"/>
      <c r="M265" s="132"/>
      <c r="N265" s="132"/>
      <c r="O265" s="132"/>
      <c r="P265" s="132"/>
      <c r="Q265" s="132"/>
      <c r="R265" s="131"/>
    </row>
    <row r="266" spans="1:18" s="133" customFormat="1" x14ac:dyDescent="0.2">
      <c r="A266" s="824"/>
      <c r="B266" s="132"/>
      <c r="C266" s="1011"/>
      <c r="D266" s="1011"/>
      <c r="E266" s="1360"/>
      <c r="F266" s="1363"/>
      <c r="G266" s="1011"/>
      <c r="H266" s="827"/>
      <c r="I266" s="132"/>
      <c r="J266" s="130"/>
      <c r="K266" s="132"/>
      <c r="L266" s="132"/>
      <c r="M266" s="132"/>
      <c r="N266" s="132"/>
      <c r="O266" s="132"/>
      <c r="P266" s="132"/>
      <c r="Q266" s="132"/>
      <c r="R266" s="131"/>
    </row>
    <row r="267" spans="1:18" s="133" customFormat="1" x14ac:dyDescent="0.2">
      <c r="A267" s="824"/>
      <c r="B267" s="132"/>
      <c r="C267" s="1011"/>
      <c r="D267" s="1012"/>
      <c r="E267" s="1360"/>
      <c r="F267" s="1308" t="s">
        <v>1175</v>
      </c>
      <c r="G267" s="1011"/>
      <c r="H267" s="827"/>
      <c r="I267" s="132"/>
      <c r="J267" s="130"/>
      <c r="K267" s="132"/>
      <c r="L267" s="132"/>
      <c r="M267" s="132"/>
      <c r="N267" s="132"/>
      <c r="O267" s="132"/>
      <c r="P267" s="132"/>
      <c r="Q267" s="132"/>
      <c r="R267" s="131"/>
    </row>
    <row r="268" spans="1:18" s="133" customFormat="1" x14ac:dyDescent="0.2">
      <c r="A268" s="71">
        <f>ROUND(SUM(A797:A800),-3)</f>
        <v>178000</v>
      </c>
      <c r="B268" s="132">
        <f>SUM(B797:B800)</f>
        <v>193600</v>
      </c>
      <c r="C268" s="1011">
        <f>SUM(C797:C800)</f>
        <v>198400</v>
      </c>
      <c r="D268" s="1012">
        <f>SUM(D797:D800)</f>
        <v>247200</v>
      </c>
      <c r="E268" s="1360">
        <v>22270</v>
      </c>
      <c r="F268" s="1952" t="s">
        <v>3631</v>
      </c>
      <c r="G268" s="1011">
        <f t="shared" ref="G268:P268" si="440">SUM(G797:G800)</f>
        <v>228000</v>
      </c>
      <c r="H268" s="138">
        <f>IF(D268=G268,0,IF(D268=0,100,(G268-D268)/D268*100))</f>
        <v>-7.7669902912621351</v>
      </c>
      <c r="I268" s="132">
        <f t="shared" si="440"/>
        <v>228200</v>
      </c>
      <c r="J268" s="130">
        <f t="shared" si="440"/>
        <v>268500</v>
      </c>
      <c r="K268" s="132">
        <f t="shared" si="440"/>
        <v>275300</v>
      </c>
      <c r="L268" s="132">
        <f t="shared" si="440"/>
        <v>282400</v>
      </c>
      <c r="M268" s="132">
        <f t="shared" si="440"/>
        <v>288200</v>
      </c>
      <c r="N268" s="132">
        <f t="shared" si="440"/>
        <v>294000</v>
      </c>
      <c r="O268" s="132">
        <f t="shared" si="440"/>
        <v>300000</v>
      </c>
      <c r="P268" s="132">
        <f t="shared" si="440"/>
        <v>306100</v>
      </c>
      <c r="Q268" s="132">
        <f t="shared" ref="Q268" si="441">SUM(Q797:Q800)</f>
        <v>312300</v>
      </c>
      <c r="R268" s="131">
        <f t="shared" ref="R268" si="442">SUM(R797:R800)</f>
        <v>318700</v>
      </c>
    </row>
    <row r="269" spans="1:18" s="133" customFormat="1" x14ac:dyDescent="0.2">
      <c r="A269" s="71"/>
      <c r="B269" s="132"/>
      <c r="C269" s="1011"/>
      <c r="D269" s="1012"/>
      <c r="E269" s="1360"/>
      <c r="F269" s="1952"/>
      <c r="G269" s="1011"/>
      <c r="H269" s="827"/>
      <c r="I269" s="132"/>
      <c r="J269" s="130"/>
      <c r="K269" s="132"/>
      <c r="L269" s="132"/>
      <c r="M269" s="132"/>
      <c r="N269" s="132"/>
      <c r="O269" s="132"/>
      <c r="P269" s="132"/>
      <c r="Q269" s="132"/>
      <c r="R269" s="131"/>
    </row>
    <row r="270" spans="1:18" s="133" customFormat="1" x14ac:dyDescent="0.2">
      <c r="A270" s="71"/>
      <c r="B270" s="132"/>
      <c r="C270" s="1011"/>
      <c r="D270" s="1012"/>
      <c r="E270" s="1360"/>
      <c r="F270" s="1308" t="s">
        <v>2015</v>
      </c>
      <c r="G270" s="1011"/>
      <c r="H270" s="827"/>
      <c r="I270" s="132"/>
      <c r="J270" s="130"/>
      <c r="K270" s="132"/>
      <c r="L270" s="132"/>
      <c r="M270" s="132"/>
      <c r="N270" s="132"/>
      <c r="O270" s="132"/>
      <c r="P270" s="132"/>
      <c r="Q270" s="132"/>
      <c r="R270" s="131"/>
    </row>
    <row r="271" spans="1:18" s="133" customFormat="1" x14ac:dyDescent="0.2">
      <c r="A271" s="71">
        <f>ROUND(SUM(A801:A803),-3)</f>
        <v>143000</v>
      </c>
      <c r="B271" s="132">
        <f>SUM(B801:B803)</f>
        <v>155100</v>
      </c>
      <c r="C271" s="1011">
        <f>SUM(C801:C803)</f>
        <v>155700</v>
      </c>
      <c r="D271" s="1012">
        <f>SUM(D801:D803)</f>
        <v>160100</v>
      </c>
      <c r="E271" s="1360">
        <v>22271</v>
      </c>
      <c r="F271" s="1952" t="s">
        <v>3631</v>
      </c>
      <c r="G271" s="1011">
        <f t="shared" ref="G271:P271" si="443">SUM(G801:G803)</f>
        <v>160000</v>
      </c>
      <c r="H271" s="138">
        <f>IF(D271=G271,0,IF(D271=0,100,(G271-D271)/D271*100))</f>
        <v>-6.2460961898813241E-2</v>
      </c>
      <c r="I271" s="132">
        <f t="shared" si="443"/>
        <v>160000</v>
      </c>
      <c r="J271" s="130">
        <f t="shared" si="443"/>
        <v>200000</v>
      </c>
      <c r="K271" s="132">
        <f t="shared" si="443"/>
        <v>205000</v>
      </c>
      <c r="L271" s="132">
        <f t="shared" si="443"/>
        <v>210200</v>
      </c>
      <c r="M271" s="132">
        <f t="shared" si="443"/>
        <v>214600</v>
      </c>
      <c r="N271" s="132">
        <f t="shared" si="443"/>
        <v>219000</v>
      </c>
      <c r="O271" s="132">
        <f t="shared" si="443"/>
        <v>223400</v>
      </c>
      <c r="P271" s="132">
        <f t="shared" si="443"/>
        <v>228000</v>
      </c>
      <c r="Q271" s="132">
        <f t="shared" ref="Q271" si="444">SUM(Q801:Q803)</f>
        <v>232600</v>
      </c>
      <c r="R271" s="131">
        <f t="shared" ref="R271" si="445">SUM(R801:R803)</f>
        <v>237400</v>
      </c>
    </row>
    <row r="272" spans="1:18" s="133" customFormat="1" ht="13.5" thickBot="1" x14ac:dyDescent="0.25">
      <c r="A272" s="71" t="s">
        <v>2252</v>
      </c>
      <c r="B272" s="132" t="s">
        <v>2252</v>
      </c>
      <c r="C272" s="1011" t="s">
        <v>2252</v>
      </c>
      <c r="D272" s="1011" t="s">
        <v>2252</v>
      </c>
      <c r="E272" s="1100"/>
      <c r="F272" s="1956"/>
      <c r="G272" s="1011" t="s">
        <v>2252</v>
      </c>
      <c r="H272" s="827"/>
      <c r="I272" s="132" t="s">
        <v>2252</v>
      </c>
      <c r="J272" s="130" t="s">
        <v>2252</v>
      </c>
      <c r="K272" s="132" t="s">
        <v>2252</v>
      </c>
      <c r="L272" s="132" t="s">
        <v>2252</v>
      </c>
      <c r="M272" s="132" t="s">
        <v>2252</v>
      </c>
      <c r="N272" s="132" t="s">
        <v>2252</v>
      </c>
      <c r="O272" s="132" t="s">
        <v>2252</v>
      </c>
      <c r="P272" s="132" t="s">
        <v>2252</v>
      </c>
      <c r="Q272" s="132" t="s">
        <v>2252</v>
      </c>
      <c r="R272" s="131" t="s">
        <v>2252</v>
      </c>
    </row>
    <row r="273" spans="1:18" s="133" customFormat="1" x14ac:dyDescent="0.2">
      <c r="A273" s="178">
        <f>SUM(A265:A272)</f>
        <v>321000</v>
      </c>
      <c r="B273" s="106">
        <f>SUM(B265:B272)</f>
        <v>348700</v>
      </c>
      <c r="C273" s="1365">
        <f>SUM(C265:C272)</f>
        <v>354100</v>
      </c>
      <c r="D273" s="1365">
        <f>SUM(D265:D272)</f>
        <v>407300</v>
      </c>
      <c r="E273" s="1364"/>
      <c r="F273" s="1305"/>
      <c r="G273" s="1365">
        <f t="shared" ref="G273:O273" si="446">SUM(G265:G272)</f>
        <v>388000</v>
      </c>
      <c r="H273" s="560">
        <f>IF(E273=G273,0,IF(E273=0,100,(G273-E273)/E273*100))</f>
        <v>100</v>
      </c>
      <c r="I273" s="106">
        <f t="shared" si="446"/>
        <v>388200</v>
      </c>
      <c r="J273" s="158">
        <f t="shared" si="446"/>
        <v>468500</v>
      </c>
      <c r="K273" s="106">
        <f t="shared" si="446"/>
        <v>480300</v>
      </c>
      <c r="L273" s="106">
        <f t="shared" si="446"/>
        <v>492600</v>
      </c>
      <c r="M273" s="106">
        <f t="shared" si="446"/>
        <v>502800</v>
      </c>
      <c r="N273" s="106">
        <f t="shared" si="446"/>
        <v>513000</v>
      </c>
      <c r="O273" s="106">
        <f t="shared" si="446"/>
        <v>523400</v>
      </c>
      <c r="P273" s="106">
        <f t="shared" ref="P273:Q273" si="447">SUM(P265:P272)</f>
        <v>534100</v>
      </c>
      <c r="Q273" s="106">
        <f t="shared" si="447"/>
        <v>544900</v>
      </c>
      <c r="R273" s="157">
        <f t="shared" ref="R273" si="448">SUM(R265:R272)</f>
        <v>556100</v>
      </c>
    </row>
    <row r="274" spans="1:18" s="133" customFormat="1" x14ac:dyDescent="0.2">
      <c r="A274" s="71"/>
      <c r="B274" s="132"/>
      <c r="C274" s="1011"/>
      <c r="D274" s="1011"/>
      <c r="E274" s="1100"/>
      <c r="F274" s="1360"/>
      <c r="G274" s="1011"/>
      <c r="H274" s="827"/>
      <c r="I274" s="132"/>
      <c r="J274" s="130"/>
      <c r="K274" s="132"/>
      <c r="L274" s="132"/>
      <c r="M274" s="132"/>
      <c r="N274" s="132"/>
      <c r="O274" s="132"/>
      <c r="P274" s="132"/>
      <c r="Q274" s="132"/>
      <c r="R274" s="131"/>
    </row>
    <row r="275" spans="1:18" s="133" customFormat="1" x14ac:dyDescent="0.2">
      <c r="A275" s="71"/>
      <c r="B275" s="132"/>
      <c r="C275" s="1011"/>
      <c r="D275" s="1011"/>
      <c r="E275" s="1100"/>
      <c r="F275" s="1363" t="s">
        <v>2205</v>
      </c>
      <c r="G275" s="1011"/>
      <c r="H275" s="827"/>
      <c r="I275" s="132"/>
      <c r="J275" s="130"/>
      <c r="K275" s="132"/>
      <c r="L275" s="132"/>
      <c r="M275" s="132"/>
      <c r="N275" s="132"/>
      <c r="O275" s="132"/>
      <c r="P275" s="132"/>
      <c r="Q275" s="132"/>
      <c r="R275" s="131"/>
    </row>
    <row r="276" spans="1:18" s="133" customFormat="1" x14ac:dyDescent="0.2">
      <c r="A276" s="71"/>
      <c r="B276" s="132"/>
      <c r="C276" s="1011"/>
      <c r="D276" s="1011"/>
      <c r="E276" s="1100"/>
      <c r="F276" s="1363"/>
      <c r="G276" s="1011"/>
      <c r="H276" s="827"/>
      <c r="I276" s="132"/>
      <c r="J276" s="130"/>
      <c r="K276" s="132"/>
      <c r="L276" s="132"/>
      <c r="M276" s="132"/>
      <c r="N276" s="132"/>
      <c r="O276" s="132"/>
      <c r="P276" s="132"/>
      <c r="Q276" s="132"/>
      <c r="R276" s="131"/>
    </row>
    <row r="277" spans="1:18" s="133" customFormat="1" x14ac:dyDescent="0.2">
      <c r="A277" s="71"/>
      <c r="B277" s="132"/>
      <c r="C277" s="1011"/>
      <c r="D277" s="1011"/>
      <c r="E277" s="1100"/>
      <c r="F277" s="1305" t="s">
        <v>1383</v>
      </c>
      <c r="G277" s="1011"/>
      <c r="H277" s="827"/>
      <c r="I277" s="132"/>
      <c r="J277" s="130"/>
      <c r="K277" s="132"/>
      <c r="L277" s="132"/>
      <c r="M277" s="132"/>
      <c r="N277" s="132"/>
      <c r="O277" s="132"/>
      <c r="P277" s="132"/>
      <c r="Q277" s="132"/>
      <c r="R277" s="131"/>
    </row>
    <row r="278" spans="1:18" s="133" customFormat="1" x14ac:dyDescent="0.2">
      <c r="A278" s="71">
        <f>ROUND(SUM(A807:A815),-3)</f>
        <v>150000</v>
      </c>
      <c r="B278" s="132">
        <f>SUM(B807:B815)</f>
        <v>192000</v>
      </c>
      <c r="C278" s="1011">
        <f>SUM(C807:C815)</f>
        <v>119100</v>
      </c>
      <c r="D278" s="1012">
        <f>SUM(D807:D815)</f>
        <v>128800</v>
      </c>
      <c r="E278" s="1100">
        <v>32330</v>
      </c>
      <c r="F278" s="1956" t="s">
        <v>2173</v>
      </c>
      <c r="G278" s="1011">
        <f t="shared" ref="G278:P278" si="449">SUM(G807:G815)</f>
        <v>120600</v>
      </c>
      <c r="H278" s="138">
        <f>IF(D278=G278,0,IF(D278=0,100,(G278-D278)/D278*100))</f>
        <v>-6.366459627329192</v>
      </c>
      <c r="I278" s="132">
        <f t="shared" si="449"/>
        <v>189600</v>
      </c>
      <c r="J278" s="130">
        <f t="shared" si="449"/>
        <v>204100</v>
      </c>
      <c r="K278" s="132">
        <f t="shared" si="449"/>
        <v>209600</v>
      </c>
      <c r="L278" s="132">
        <f t="shared" si="449"/>
        <v>215300</v>
      </c>
      <c r="M278" s="132">
        <f t="shared" si="449"/>
        <v>220200</v>
      </c>
      <c r="N278" s="132">
        <f t="shared" si="449"/>
        <v>225100</v>
      </c>
      <c r="O278" s="132">
        <f t="shared" si="449"/>
        <v>230100</v>
      </c>
      <c r="P278" s="132">
        <f t="shared" si="449"/>
        <v>235200</v>
      </c>
      <c r="Q278" s="132">
        <f t="shared" ref="Q278" si="450">SUM(Q807:Q815)</f>
        <v>240300</v>
      </c>
      <c r="R278" s="131">
        <f t="shared" ref="R278" si="451">SUM(R807:R815)</f>
        <v>245500</v>
      </c>
    </row>
    <row r="279" spans="1:18" s="133" customFormat="1" x14ac:dyDescent="0.2">
      <c r="A279" s="71">
        <f>ROUND(SUM(A816:A818),-3)</f>
        <v>200000</v>
      </c>
      <c r="B279" s="132">
        <f>SUM(B816:B818)</f>
        <v>201200</v>
      </c>
      <c r="C279" s="1011">
        <f>SUM(C816:C818)</f>
        <v>200500</v>
      </c>
      <c r="D279" s="1012">
        <f>SUM(D816:D818)</f>
        <v>195900</v>
      </c>
      <c r="E279" s="1100">
        <v>32330</v>
      </c>
      <c r="F279" s="1956" t="s">
        <v>6980</v>
      </c>
      <c r="G279" s="1011">
        <f t="shared" ref="G279:P279" si="452">SUM(G816:G818)</f>
        <v>208000</v>
      </c>
      <c r="H279" s="138">
        <f>IF(D279=G279,0,IF(D279=0,100,(G279-D279)/D279*100))</f>
        <v>6.1766207248596228</v>
      </c>
      <c r="I279" s="132">
        <f t="shared" si="452"/>
        <v>200000</v>
      </c>
      <c r="J279" s="130">
        <f t="shared" si="452"/>
        <v>224300</v>
      </c>
      <c r="K279" s="132">
        <f t="shared" si="452"/>
        <v>230000</v>
      </c>
      <c r="L279" s="132">
        <f t="shared" si="452"/>
        <v>235800</v>
      </c>
      <c r="M279" s="132">
        <f t="shared" si="452"/>
        <v>240600</v>
      </c>
      <c r="N279" s="132">
        <f t="shared" si="452"/>
        <v>245500</v>
      </c>
      <c r="O279" s="132">
        <f t="shared" si="452"/>
        <v>250500</v>
      </c>
      <c r="P279" s="132">
        <f t="shared" si="452"/>
        <v>255600</v>
      </c>
      <c r="Q279" s="132">
        <f t="shared" ref="Q279" si="453">SUM(Q816:Q818)</f>
        <v>260800</v>
      </c>
      <c r="R279" s="131">
        <f t="shared" ref="R279" si="454">SUM(R816:R818)</f>
        <v>266100</v>
      </c>
    </row>
    <row r="280" spans="1:18" s="133" customFormat="1" x14ac:dyDescent="0.2">
      <c r="A280" s="71"/>
      <c r="B280" s="132"/>
      <c r="C280" s="1011"/>
      <c r="D280" s="1012"/>
      <c r="E280" s="1097"/>
      <c r="F280" s="1956"/>
      <c r="G280" s="1011"/>
      <c r="H280" s="827"/>
      <c r="I280" s="132"/>
      <c r="J280" s="130"/>
      <c r="K280" s="132"/>
      <c r="L280" s="132"/>
      <c r="M280" s="132"/>
      <c r="N280" s="132"/>
      <c r="O280" s="132"/>
      <c r="P280" s="132"/>
      <c r="Q280" s="132"/>
      <c r="R280" s="131"/>
    </row>
    <row r="281" spans="1:18" s="133" customFormat="1" x14ac:dyDescent="0.2">
      <c r="A281" s="71"/>
      <c r="B281" s="132"/>
      <c r="C281" s="1011"/>
      <c r="D281" s="1012"/>
      <c r="E281" s="1097"/>
      <c r="F281" s="1305" t="s">
        <v>1130</v>
      </c>
      <c r="G281" s="1011"/>
      <c r="H281" s="827"/>
      <c r="I281" s="132"/>
      <c r="J281" s="130"/>
      <c r="K281" s="132"/>
      <c r="L281" s="132"/>
      <c r="M281" s="132"/>
      <c r="N281" s="132"/>
      <c r="O281" s="132"/>
      <c r="P281" s="132"/>
      <c r="Q281" s="132"/>
      <c r="R281" s="131"/>
    </row>
    <row r="282" spans="1:18" s="133" customFormat="1" x14ac:dyDescent="0.2">
      <c r="A282" s="71">
        <f>ROUND(SUM(A819:A820),-3)</f>
        <v>1000</v>
      </c>
      <c r="B282" s="132">
        <f>SUM(B819:B820)</f>
        <v>400</v>
      </c>
      <c r="C282" s="1011">
        <f>SUM(C819:C820)</f>
        <v>0</v>
      </c>
      <c r="D282" s="1012">
        <f>SUM(D819:D820)</f>
        <v>0</v>
      </c>
      <c r="E282" s="1097">
        <v>32330</v>
      </c>
      <c r="F282" s="77" t="s">
        <v>1102</v>
      </c>
      <c r="G282" s="1011">
        <f t="shared" ref="G282:P282" si="455">SUM(G819:G820)</f>
        <v>0</v>
      </c>
      <c r="H282" s="138">
        <f>IF(D282=G282,0,IF(D282=0,100,(G282-D282)/D282*100))</f>
        <v>0</v>
      </c>
      <c r="I282" s="132">
        <f t="shared" si="455"/>
        <v>235000</v>
      </c>
      <c r="J282" s="130">
        <f t="shared" si="455"/>
        <v>227000</v>
      </c>
      <c r="K282" s="132">
        <f t="shared" si="455"/>
        <v>218000</v>
      </c>
      <c r="L282" s="132">
        <f t="shared" si="455"/>
        <v>209000</v>
      </c>
      <c r="M282" s="132">
        <f t="shared" si="455"/>
        <v>200000</v>
      </c>
      <c r="N282" s="132">
        <f t="shared" si="455"/>
        <v>190000</v>
      </c>
      <c r="O282" s="132">
        <f t="shared" si="455"/>
        <v>181000</v>
      </c>
      <c r="P282" s="132">
        <f t="shared" si="455"/>
        <v>170000</v>
      </c>
      <c r="Q282" s="132">
        <f t="shared" ref="Q282" si="456">SUM(Q819:Q820)</f>
        <v>160000</v>
      </c>
      <c r="R282" s="131">
        <f t="shared" ref="R282" si="457">SUM(R819:R820)</f>
        <v>149000</v>
      </c>
    </row>
    <row r="283" spans="1:18" s="133" customFormat="1" x14ac:dyDescent="0.2">
      <c r="A283" s="71"/>
      <c r="B283" s="132"/>
      <c r="C283" s="1011"/>
      <c r="D283" s="1012"/>
      <c r="E283" s="1097"/>
      <c r="F283" s="77"/>
      <c r="G283" s="1011"/>
      <c r="H283" s="827"/>
      <c r="I283" s="132"/>
      <c r="J283" s="130"/>
      <c r="K283" s="132"/>
      <c r="L283" s="132"/>
      <c r="M283" s="132"/>
      <c r="N283" s="132"/>
      <c r="O283" s="132"/>
      <c r="P283" s="132"/>
      <c r="Q283" s="132"/>
      <c r="R283" s="131"/>
    </row>
    <row r="284" spans="1:18" s="133" customFormat="1" x14ac:dyDescent="0.2">
      <c r="A284" s="71"/>
      <c r="B284" s="132"/>
      <c r="C284" s="1011"/>
      <c r="D284" s="1011"/>
      <c r="E284" s="1100"/>
      <c r="F284" s="1305" t="s">
        <v>1071</v>
      </c>
      <c r="G284" s="1011"/>
      <c r="H284" s="827"/>
      <c r="I284" s="132"/>
      <c r="J284" s="130"/>
      <c r="K284" s="132"/>
      <c r="L284" s="132"/>
      <c r="M284" s="132"/>
      <c r="N284" s="132"/>
      <c r="O284" s="132"/>
      <c r="P284" s="132"/>
      <c r="Q284" s="132"/>
      <c r="R284" s="131"/>
    </row>
    <row r="285" spans="1:18" s="133" customFormat="1" x14ac:dyDescent="0.2">
      <c r="A285" s="71">
        <f>ROUND(SUM(A822:A830),-3)</f>
        <v>209000</v>
      </c>
      <c r="B285" s="132">
        <f>SUM(B822:B830)</f>
        <v>227400</v>
      </c>
      <c r="C285" s="1011">
        <f>SUM(C822:C830)</f>
        <v>197500</v>
      </c>
      <c r="D285" s="1012">
        <f>SUM(D822:D830)</f>
        <v>155300</v>
      </c>
      <c r="E285" s="1100">
        <v>32331</v>
      </c>
      <c r="F285" s="1956" t="s">
        <v>2173</v>
      </c>
      <c r="G285" s="1011">
        <f t="shared" ref="G285:P285" si="458">SUM(G822:G830)</f>
        <v>160600</v>
      </c>
      <c r="H285" s="138">
        <f>IF(D285=G285,0,IF(D285=0,100,(G285-D285)/D285*100))</f>
        <v>3.4127495170637476</v>
      </c>
      <c r="I285" s="132">
        <f t="shared" si="458"/>
        <v>189600</v>
      </c>
      <c r="J285" s="130">
        <f t="shared" si="458"/>
        <v>204100</v>
      </c>
      <c r="K285" s="132">
        <f t="shared" si="458"/>
        <v>209600</v>
      </c>
      <c r="L285" s="132">
        <f t="shared" si="458"/>
        <v>215300</v>
      </c>
      <c r="M285" s="132">
        <f t="shared" si="458"/>
        <v>220200</v>
      </c>
      <c r="N285" s="132">
        <f t="shared" si="458"/>
        <v>225100</v>
      </c>
      <c r="O285" s="132">
        <f t="shared" si="458"/>
        <v>230100</v>
      </c>
      <c r="P285" s="132">
        <f t="shared" si="458"/>
        <v>235200</v>
      </c>
      <c r="Q285" s="132">
        <f t="shared" ref="Q285" si="459">SUM(Q822:Q830)</f>
        <v>240300</v>
      </c>
      <c r="R285" s="131">
        <f t="shared" ref="R285" si="460">SUM(R822:R830)</f>
        <v>245500</v>
      </c>
    </row>
    <row r="286" spans="1:18" s="133" customFormat="1" x14ac:dyDescent="0.2">
      <c r="A286" s="71">
        <f t="shared" ref="A286:B286" si="461">SUM(A831:A833)</f>
        <v>196100</v>
      </c>
      <c r="B286" s="132">
        <f t="shared" si="461"/>
        <v>197900</v>
      </c>
      <c r="C286" s="1011">
        <f>SUM(C831:C833)</f>
        <v>204200</v>
      </c>
      <c r="D286" s="1012">
        <f>SUM(D831:D833)</f>
        <v>210000</v>
      </c>
      <c r="E286" s="1100">
        <v>32331</v>
      </c>
      <c r="F286" s="1956" t="s">
        <v>6980</v>
      </c>
      <c r="G286" s="1011">
        <f t="shared" ref="G286:P286" si="462">SUM(G831:G833)</f>
        <v>217500</v>
      </c>
      <c r="H286" s="138">
        <f>IF(D286=G286,0,IF(D286=0,100,(G286-D286)/D286*100))</f>
        <v>3.5714285714285712</v>
      </c>
      <c r="I286" s="132">
        <f t="shared" si="462"/>
        <v>200000</v>
      </c>
      <c r="J286" s="130">
        <f t="shared" si="462"/>
        <v>224300</v>
      </c>
      <c r="K286" s="132">
        <f t="shared" si="462"/>
        <v>230000</v>
      </c>
      <c r="L286" s="132">
        <f t="shared" si="462"/>
        <v>235800</v>
      </c>
      <c r="M286" s="132">
        <f t="shared" si="462"/>
        <v>240600</v>
      </c>
      <c r="N286" s="132">
        <f t="shared" si="462"/>
        <v>245500</v>
      </c>
      <c r="O286" s="132">
        <f t="shared" si="462"/>
        <v>250500</v>
      </c>
      <c r="P286" s="132">
        <f t="shared" si="462"/>
        <v>255600</v>
      </c>
      <c r="Q286" s="132">
        <f t="shared" ref="Q286" si="463">SUM(Q831:Q833)</f>
        <v>260800</v>
      </c>
      <c r="R286" s="131">
        <f t="shared" ref="R286" si="464">SUM(R831:R833)</f>
        <v>266100</v>
      </c>
    </row>
    <row r="287" spans="1:18" s="133" customFormat="1" x14ac:dyDescent="0.2">
      <c r="A287" s="71"/>
      <c r="B287" s="132"/>
      <c r="C287" s="1011"/>
      <c r="D287" s="1012"/>
      <c r="E287" s="1097"/>
      <c r="F287" s="1956"/>
      <c r="G287" s="1011"/>
      <c r="H287" s="827"/>
      <c r="I287" s="132"/>
      <c r="J287" s="130"/>
      <c r="K287" s="132"/>
      <c r="L287" s="132"/>
      <c r="M287" s="132"/>
      <c r="N287" s="132"/>
      <c r="O287" s="132"/>
      <c r="P287" s="132"/>
      <c r="Q287" s="132"/>
      <c r="R287" s="131"/>
    </row>
    <row r="288" spans="1:18" s="133" customFormat="1" x14ac:dyDescent="0.2">
      <c r="A288" s="71"/>
      <c r="B288" s="132"/>
      <c r="C288" s="1011"/>
      <c r="D288" s="1012"/>
      <c r="E288" s="1097"/>
      <c r="F288" s="1305" t="s">
        <v>1130</v>
      </c>
      <c r="G288" s="1011"/>
      <c r="H288" s="827"/>
      <c r="I288" s="132"/>
      <c r="J288" s="130"/>
      <c r="K288" s="132"/>
      <c r="L288" s="132"/>
      <c r="M288" s="132"/>
      <c r="N288" s="132"/>
      <c r="O288" s="132"/>
      <c r="P288" s="132"/>
      <c r="Q288" s="132"/>
      <c r="R288" s="131"/>
    </row>
    <row r="289" spans="1:18" s="133" customFormat="1" x14ac:dyDescent="0.2">
      <c r="A289" s="71">
        <f t="shared" ref="A289:B289" si="465">SUM(A835)</f>
        <v>0</v>
      </c>
      <c r="B289" s="132">
        <f t="shared" si="465"/>
        <v>0</v>
      </c>
      <c r="C289" s="1011">
        <f>SUM(C835)</f>
        <v>0</v>
      </c>
      <c r="D289" s="1012">
        <f>SUM(D835)</f>
        <v>0</v>
      </c>
      <c r="E289" s="1097">
        <v>32330</v>
      </c>
      <c r="F289" s="77" t="s">
        <v>4726</v>
      </c>
      <c r="G289" s="1011">
        <f t="shared" ref="G289:P289" si="466">SUM(G835)</f>
        <v>0</v>
      </c>
      <c r="H289" s="138">
        <f>IF(D289=G289,0,IF(D289=0,100,(G289-D289)/D289*100))</f>
        <v>0</v>
      </c>
      <c r="I289" s="132">
        <f t="shared" si="466"/>
        <v>178000</v>
      </c>
      <c r="J289" s="130">
        <f t="shared" si="466"/>
        <v>231000</v>
      </c>
      <c r="K289" s="132">
        <f t="shared" si="466"/>
        <v>224000</v>
      </c>
      <c r="L289" s="132">
        <f t="shared" si="466"/>
        <v>215000</v>
      </c>
      <c r="M289" s="132">
        <f t="shared" si="466"/>
        <v>206000</v>
      </c>
      <c r="N289" s="132">
        <f t="shared" si="466"/>
        <v>197000</v>
      </c>
      <c r="O289" s="132">
        <f t="shared" si="466"/>
        <v>188000</v>
      </c>
      <c r="P289" s="132">
        <f t="shared" si="466"/>
        <v>177000</v>
      </c>
      <c r="Q289" s="132">
        <f t="shared" ref="Q289" si="467">SUM(Q835)</f>
        <v>167000</v>
      </c>
      <c r="R289" s="131">
        <f t="shared" ref="R289" si="468">SUM(R835)</f>
        <v>156000</v>
      </c>
    </row>
    <row r="290" spans="1:18" s="133" customFormat="1" x14ac:dyDescent="0.2">
      <c r="A290" s="71"/>
      <c r="B290" s="132"/>
      <c r="C290" s="1011"/>
      <c r="D290" s="1012"/>
      <c r="E290" s="1097"/>
      <c r="F290" s="77"/>
      <c r="G290" s="1011"/>
      <c r="H290" s="827"/>
      <c r="I290" s="132"/>
      <c r="J290" s="130"/>
      <c r="K290" s="132"/>
      <c r="L290" s="132"/>
      <c r="M290" s="132"/>
      <c r="N290" s="132"/>
      <c r="O290" s="132"/>
      <c r="P290" s="132"/>
      <c r="Q290" s="132"/>
      <c r="R290" s="131"/>
    </row>
    <row r="291" spans="1:18" s="133" customFormat="1" x14ac:dyDescent="0.2">
      <c r="A291" s="71"/>
      <c r="B291" s="132"/>
      <c r="C291" s="1011"/>
      <c r="D291" s="1012"/>
      <c r="E291" s="1097"/>
      <c r="F291" s="1308" t="s">
        <v>265</v>
      </c>
      <c r="G291" s="1011"/>
      <c r="H291" s="827"/>
      <c r="I291" s="132"/>
      <c r="J291" s="130"/>
      <c r="K291" s="132"/>
      <c r="L291" s="132"/>
      <c r="M291" s="132"/>
      <c r="N291" s="132"/>
      <c r="O291" s="132"/>
      <c r="P291" s="132"/>
      <c r="Q291" s="132"/>
      <c r="R291" s="131"/>
    </row>
    <row r="292" spans="1:18" s="133" customFormat="1" x14ac:dyDescent="0.2">
      <c r="A292" s="71">
        <f>ROUND(SUM(A836:A838),-3)</f>
        <v>125000</v>
      </c>
      <c r="B292" s="132">
        <f>SUM(B836:B838)</f>
        <v>48200</v>
      </c>
      <c r="C292" s="1011">
        <f>SUM(C836:C838)</f>
        <v>100800</v>
      </c>
      <c r="D292" s="1012">
        <f>SUM(D836:D838)</f>
        <v>102800</v>
      </c>
      <c r="E292" s="1100">
        <v>32330</v>
      </c>
      <c r="F292" s="1956" t="s">
        <v>86</v>
      </c>
      <c r="G292" s="1011">
        <f t="shared" ref="G292:O292" si="469">SUM(G836:G838)</f>
        <v>181000</v>
      </c>
      <c r="H292" s="138">
        <f>IF(D292=G292,0,IF(D292=0,100,(G292-D292)/D292*100))</f>
        <v>76.070038910505829</v>
      </c>
      <c r="I292" s="132">
        <f t="shared" si="469"/>
        <v>184700</v>
      </c>
      <c r="J292" s="130">
        <f t="shared" si="469"/>
        <v>188400</v>
      </c>
      <c r="K292" s="132">
        <f t="shared" si="469"/>
        <v>192200</v>
      </c>
      <c r="L292" s="132">
        <f t="shared" si="469"/>
        <v>196100</v>
      </c>
      <c r="M292" s="132">
        <f t="shared" si="469"/>
        <v>200100</v>
      </c>
      <c r="N292" s="132">
        <f t="shared" si="469"/>
        <v>204200</v>
      </c>
      <c r="O292" s="132">
        <f t="shared" si="469"/>
        <v>208300</v>
      </c>
      <c r="P292" s="132">
        <f t="shared" ref="P292:Q292" si="470">SUM(P836:P838)</f>
        <v>212500</v>
      </c>
      <c r="Q292" s="132">
        <f t="shared" si="470"/>
        <v>216800</v>
      </c>
      <c r="R292" s="131">
        <f t="shared" ref="R292" si="471">SUM(R836:R838)</f>
        <v>221200</v>
      </c>
    </row>
    <row r="293" spans="1:18" s="133" customFormat="1" ht="13.5" thickBot="1" x14ac:dyDescent="0.25">
      <c r="A293" s="71"/>
      <c r="B293" s="132"/>
      <c r="C293" s="1011"/>
      <c r="D293" s="1011"/>
      <c r="E293" s="1100"/>
      <c r="F293" s="1360"/>
      <c r="G293" s="1011"/>
      <c r="H293" s="827"/>
      <c r="I293" s="132"/>
      <c r="J293" s="130"/>
      <c r="K293" s="132"/>
      <c r="L293" s="132"/>
      <c r="M293" s="132"/>
      <c r="N293" s="132"/>
      <c r="O293" s="132"/>
      <c r="P293" s="132"/>
      <c r="Q293" s="132"/>
      <c r="R293" s="131"/>
    </row>
    <row r="294" spans="1:18" s="133" customFormat="1" x14ac:dyDescent="0.2">
      <c r="A294" s="178">
        <f>SUM(A275:A293)</f>
        <v>881100</v>
      </c>
      <c r="B294" s="106">
        <f>SUM(B275:B293)</f>
        <v>867100</v>
      </c>
      <c r="C294" s="1365">
        <f>SUM(C275:C293)</f>
        <v>822100</v>
      </c>
      <c r="D294" s="2489">
        <f>SUM(D275:D293)</f>
        <v>792800</v>
      </c>
      <c r="E294" s="1366"/>
      <c r="F294" s="2534" t="s">
        <v>565</v>
      </c>
      <c r="G294" s="1365">
        <f t="shared" ref="G294:O294" si="472">SUM(G275:G293)</f>
        <v>887700</v>
      </c>
      <c r="H294" s="560">
        <f>IF(D294=G294,0,IF(D294=0,100,(G294-D294)/D294*100))</f>
        <v>11.970232088799193</v>
      </c>
      <c r="I294" s="106">
        <f t="shared" si="472"/>
        <v>1376900</v>
      </c>
      <c r="J294" s="158">
        <f t="shared" si="472"/>
        <v>1503200</v>
      </c>
      <c r="K294" s="106">
        <f t="shared" si="472"/>
        <v>1513400</v>
      </c>
      <c r="L294" s="106">
        <f t="shared" si="472"/>
        <v>1522300</v>
      </c>
      <c r="M294" s="106">
        <f t="shared" si="472"/>
        <v>1527700</v>
      </c>
      <c r="N294" s="106">
        <f t="shared" si="472"/>
        <v>1532400</v>
      </c>
      <c r="O294" s="106">
        <f t="shared" si="472"/>
        <v>1538500</v>
      </c>
      <c r="P294" s="106">
        <f t="shared" ref="P294:Q294" si="473">SUM(P275:P293)</f>
        <v>1541100</v>
      </c>
      <c r="Q294" s="106">
        <f t="shared" si="473"/>
        <v>1546000</v>
      </c>
      <c r="R294" s="157">
        <f t="shared" ref="R294" si="474">SUM(R275:R293)</f>
        <v>1549400</v>
      </c>
    </row>
    <row r="295" spans="1:18" s="133" customFormat="1" x14ac:dyDescent="0.2">
      <c r="A295" s="71"/>
      <c r="B295" s="132"/>
      <c r="C295" s="1011"/>
      <c r="D295" s="1012"/>
      <c r="E295" s="1097"/>
      <c r="F295" s="1952"/>
      <c r="G295" s="1011"/>
      <c r="H295" s="827"/>
      <c r="I295" s="116"/>
      <c r="J295" s="160"/>
      <c r="K295" s="116"/>
      <c r="L295" s="116"/>
      <c r="M295" s="116"/>
      <c r="N295" s="116"/>
      <c r="O295" s="116"/>
      <c r="P295" s="116"/>
      <c r="Q295" s="116"/>
      <c r="R295" s="159"/>
    </row>
    <row r="296" spans="1:18" s="133" customFormat="1" x14ac:dyDescent="0.2">
      <c r="A296" s="292">
        <f>A273-A294</f>
        <v>-560100</v>
      </c>
      <c r="B296" s="116">
        <f>B273-B294</f>
        <v>-518400</v>
      </c>
      <c r="C296" s="1699">
        <f>C273-C294</f>
        <v>-468000</v>
      </c>
      <c r="D296" s="2446">
        <f>D273-D294</f>
        <v>-385500</v>
      </c>
      <c r="E296" s="1366"/>
      <c r="F296" s="1985" t="s">
        <v>1019</v>
      </c>
      <c r="G296" s="1699">
        <f t="shared" ref="G296:O296" si="475">G273-G294</f>
        <v>-499700</v>
      </c>
      <c r="H296" s="323">
        <f>IF(D296=G296,0,IF(D296=0,100,(G296-D296)/D296*100))</f>
        <v>29.623865110246435</v>
      </c>
      <c r="I296" s="116">
        <f t="shared" si="475"/>
        <v>-988700</v>
      </c>
      <c r="J296" s="160">
        <f t="shared" si="475"/>
        <v>-1034700</v>
      </c>
      <c r="K296" s="116">
        <f t="shared" si="475"/>
        <v>-1033100</v>
      </c>
      <c r="L296" s="116">
        <f t="shared" si="475"/>
        <v>-1029700</v>
      </c>
      <c r="M296" s="116">
        <f t="shared" si="475"/>
        <v>-1024900</v>
      </c>
      <c r="N296" s="116">
        <f t="shared" si="475"/>
        <v>-1019400</v>
      </c>
      <c r="O296" s="116">
        <f t="shared" si="475"/>
        <v>-1015100</v>
      </c>
      <c r="P296" s="116">
        <f t="shared" ref="P296:Q296" si="476">P273-P294</f>
        <v>-1007000</v>
      </c>
      <c r="Q296" s="116">
        <f t="shared" si="476"/>
        <v>-1001100</v>
      </c>
      <c r="R296" s="159">
        <f t="shared" ref="R296" si="477">R273-R294</f>
        <v>-993300</v>
      </c>
    </row>
    <row r="297" spans="1:18" s="133" customFormat="1" x14ac:dyDescent="0.2">
      <c r="A297" s="71">
        <f>ROUND(A292,-3)</f>
        <v>125000</v>
      </c>
      <c r="B297" s="132">
        <f>B292</f>
        <v>48200</v>
      </c>
      <c r="C297" s="1011">
        <f>C292</f>
        <v>100800</v>
      </c>
      <c r="D297" s="1012">
        <f>D292</f>
        <v>102800</v>
      </c>
      <c r="E297" s="1097"/>
      <c r="F297" s="2531" t="s">
        <v>1976</v>
      </c>
      <c r="G297" s="1011">
        <f t="shared" ref="G297:O297" si="478">G292</f>
        <v>181000</v>
      </c>
      <c r="H297" s="827">
        <f>IF(D297=G297,0,IF(D297=0,100,(G297-D297)/D297*100))</f>
        <v>76.070038910505829</v>
      </c>
      <c r="I297" s="132">
        <f t="shared" si="478"/>
        <v>184700</v>
      </c>
      <c r="J297" s="130">
        <f t="shared" si="478"/>
        <v>188400</v>
      </c>
      <c r="K297" s="132">
        <f t="shared" si="478"/>
        <v>192200</v>
      </c>
      <c r="L297" s="132">
        <f t="shared" si="478"/>
        <v>196100</v>
      </c>
      <c r="M297" s="132">
        <f t="shared" si="478"/>
        <v>200100</v>
      </c>
      <c r="N297" s="132">
        <f t="shared" si="478"/>
        <v>204200</v>
      </c>
      <c r="O297" s="132">
        <f t="shared" si="478"/>
        <v>208300</v>
      </c>
      <c r="P297" s="132">
        <f t="shared" ref="P297:Q297" si="479">P292</f>
        <v>212500</v>
      </c>
      <c r="Q297" s="132">
        <f t="shared" si="479"/>
        <v>216800</v>
      </c>
      <c r="R297" s="131">
        <f t="shared" ref="R297" si="480">R292</f>
        <v>221200</v>
      </c>
    </row>
    <row r="298" spans="1:18" s="118" customFormat="1" x14ac:dyDescent="0.2">
      <c r="A298" s="1336">
        <f>A296+A297</f>
        <v>-435100</v>
      </c>
      <c r="B298" s="1122">
        <f>B296+B297</f>
        <v>-470200</v>
      </c>
      <c r="C298" s="1700">
        <f>C296+C297</f>
        <v>-367200</v>
      </c>
      <c r="D298" s="2490">
        <f>D296+D297</f>
        <v>-282700</v>
      </c>
      <c r="E298" s="1368"/>
      <c r="F298" s="1974" t="s">
        <v>1687</v>
      </c>
      <c r="G298" s="1700">
        <f t="shared" ref="G298:O298" si="481">G296+G297</f>
        <v>-318700</v>
      </c>
      <c r="H298" s="1339">
        <f>IF(D298=G298,0,IF(D298=0,100,(G298-D298)/D298*100))</f>
        <v>12.734347364697559</v>
      </c>
      <c r="I298" s="1122">
        <f t="shared" si="481"/>
        <v>-804000</v>
      </c>
      <c r="J298" s="1340">
        <f t="shared" si="481"/>
        <v>-846300</v>
      </c>
      <c r="K298" s="1122">
        <f t="shared" si="481"/>
        <v>-840900</v>
      </c>
      <c r="L298" s="1122">
        <f t="shared" si="481"/>
        <v>-833600</v>
      </c>
      <c r="M298" s="1122">
        <f t="shared" si="481"/>
        <v>-824800</v>
      </c>
      <c r="N298" s="1122">
        <f t="shared" si="481"/>
        <v>-815200</v>
      </c>
      <c r="O298" s="1122">
        <f t="shared" si="481"/>
        <v>-806800</v>
      </c>
      <c r="P298" s="1122">
        <f t="shared" ref="P298:Q298" si="482">P296+P297</f>
        <v>-794500</v>
      </c>
      <c r="Q298" s="1122">
        <f t="shared" si="482"/>
        <v>-784300</v>
      </c>
      <c r="R298" s="1693">
        <f t="shared" ref="R298" si="483">R296+R297</f>
        <v>-772100</v>
      </c>
    </row>
    <row r="299" spans="1:18" s="133" customFormat="1" ht="13.5" thickBot="1" x14ac:dyDescent="0.25">
      <c r="A299" s="2493"/>
      <c r="B299" s="1306"/>
      <c r="C299" s="1371"/>
      <c r="D299" s="1371"/>
      <c r="E299" s="1369"/>
      <c r="F299" s="1369"/>
      <c r="G299" s="1371"/>
      <c r="H299" s="1344"/>
      <c r="I299" s="1346"/>
      <c r="J299" s="1345"/>
      <c r="K299" s="1346"/>
      <c r="L299" s="1346"/>
      <c r="M299" s="1346"/>
      <c r="N299" s="1346"/>
      <c r="O299" s="1346"/>
      <c r="P299" s="1346"/>
      <c r="Q299" s="1346"/>
      <c r="R299" s="1694"/>
    </row>
    <row r="300" spans="1:18" s="133" customFormat="1" ht="13.5" thickTop="1" x14ac:dyDescent="0.2">
      <c r="A300" s="1347"/>
      <c r="B300" s="1348"/>
      <c r="C300" s="1701"/>
      <c r="D300" s="2486"/>
      <c r="E300" s="1373"/>
      <c r="F300" s="2536"/>
      <c r="G300" s="1701"/>
      <c r="H300" s="1779"/>
      <c r="I300" s="1351"/>
      <c r="J300" s="1350"/>
      <c r="K300" s="1351"/>
      <c r="L300" s="1351"/>
      <c r="M300" s="1351"/>
      <c r="N300" s="1351"/>
      <c r="O300" s="1351"/>
      <c r="P300" s="1351"/>
      <c r="Q300" s="1351"/>
      <c r="R300" s="1695"/>
    </row>
    <row r="301" spans="1:18" s="133" customFormat="1" x14ac:dyDescent="0.2">
      <c r="A301" s="292"/>
      <c r="B301" s="116"/>
      <c r="C301" s="1699"/>
      <c r="D301" s="2446"/>
      <c r="E301" s="1100"/>
      <c r="F301" s="1985" t="s">
        <v>196</v>
      </c>
      <c r="G301" s="1699"/>
      <c r="H301" s="323"/>
      <c r="I301" s="132"/>
      <c r="J301" s="130"/>
      <c r="K301" s="132"/>
      <c r="L301" s="132"/>
      <c r="M301" s="132"/>
      <c r="N301" s="132"/>
      <c r="O301" s="132"/>
      <c r="P301" s="132"/>
      <c r="Q301" s="132"/>
      <c r="R301" s="131"/>
    </row>
    <row r="302" spans="1:18" s="133" customFormat="1" x14ac:dyDescent="0.2">
      <c r="A302" s="292"/>
      <c r="B302" s="116"/>
      <c r="C302" s="1699"/>
      <c r="D302" s="2446"/>
      <c r="E302" s="1100"/>
      <c r="F302" s="1360"/>
      <c r="G302" s="1699"/>
      <c r="H302" s="323"/>
      <c r="I302" s="132"/>
      <c r="J302" s="130"/>
      <c r="K302" s="132"/>
      <c r="L302" s="132"/>
      <c r="M302" s="132"/>
      <c r="N302" s="132"/>
      <c r="O302" s="132"/>
      <c r="P302" s="132"/>
      <c r="Q302" s="132"/>
      <c r="R302" s="131"/>
    </row>
    <row r="303" spans="1:18" s="133" customFormat="1" x14ac:dyDescent="0.2">
      <c r="A303" s="71">
        <f t="shared" ref="A303:A307" si="484">ROUND(A847,-3)</f>
        <v>8000</v>
      </c>
      <c r="B303" s="132">
        <f t="shared" ref="B303:C307" si="485">B847</f>
        <v>8100</v>
      </c>
      <c r="C303" s="1011">
        <f t="shared" si="485"/>
        <v>0</v>
      </c>
      <c r="D303" s="1012">
        <f>D847</f>
        <v>0</v>
      </c>
      <c r="E303" s="1100"/>
      <c r="F303" s="1952" t="s">
        <v>2900</v>
      </c>
      <c r="G303" s="1011">
        <f t="shared" ref="G303:O303" si="486">G847</f>
        <v>0</v>
      </c>
      <c r="H303" s="827"/>
      <c r="I303" s="1011">
        <f t="shared" si="486"/>
        <v>367500</v>
      </c>
      <c r="J303" s="130">
        <f t="shared" si="486"/>
        <v>452000</v>
      </c>
      <c r="K303" s="132">
        <f t="shared" si="486"/>
        <v>468000</v>
      </c>
      <c r="L303" s="132">
        <f t="shared" si="486"/>
        <v>486000</v>
      </c>
      <c r="M303" s="132">
        <f t="shared" si="486"/>
        <v>504000</v>
      </c>
      <c r="N303" s="132">
        <f t="shared" si="486"/>
        <v>523000</v>
      </c>
      <c r="O303" s="1011">
        <f t="shared" si="486"/>
        <v>541000</v>
      </c>
      <c r="P303" s="1011">
        <f t="shared" ref="P303:Q303" si="487">P847</f>
        <v>563000</v>
      </c>
      <c r="Q303" s="1011">
        <f t="shared" si="487"/>
        <v>583000</v>
      </c>
      <c r="R303" s="1696">
        <f t="shared" ref="R303" si="488">R847</f>
        <v>605000</v>
      </c>
    </row>
    <row r="304" spans="1:18" s="133" customFormat="1" x14ac:dyDescent="0.2">
      <c r="A304" s="71">
        <f t="shared" si="484"/>
        <v>0</v>
      </c>
      <c r="B304" s="132">
        <f t="shared" si="485"/>
        <v>0</v>
      </c>
      <c r="C304" s="1011">
        <f t="shared" si="485"/>
        <v>166400</v>
      </c>
      <c r="D304" s="1012">
        <f>D848</f>
        <v>439000</v>
      </c>
      <c r="E304" s="1100"/>
      <c r="F304" s="891" t="s">
        <v>1942</v>
      </c>
      <c r="G304" s="1362">
        <f t="shared" ref="G304:O304" si="489">G848</f>
        <v>889000</v>
      </c>
      <c r="H304" s="827"/>
      <c r="I304" s="132">
        <f t="shared" si="489"/>
        <v>0</v>
      </c>
      <c r="J304" s="130">
        <f t="shared" si="489"/>
        <v>0</v>
      </c>
      <c r="K304" s="132">
        <f t="shared" si="489"/>
        <v>0</v>
      </c>
      <c r="L304" s="132">
        <f t="shared" si="489"/>
        <v>0</v>
      </c>
      <c r="M304" s="132">
        <f t="shared" si="489"/>
        <v>0</v>
      </c>
      <c r="N304" s="132">
        <f t="shared" si="489"/>
        <v>0</v>
      </c>
      <c r="O304" s="132">
        <f t="shared" si="489"/>
        <v>0</v>
      </c>
      <c r="P304" s="132">
        <f t="shared" ref="P304:Q304" si="490">P848</f>
        <v>0</v>
      </c>
      <c r="Q304" s="132">
        <f t="shared" si="490"/>
        <v>0</v>
      </c>
      <c r="R304" s="131">
        <f t="shared" ref="R304" si="491">R848</f>
        <v>0</v>
      </c>
    </row>
    <row r="305" spans="1:18" s="133" customFormat="1" x14ac:dyDescent="0.2">
      <c r="A305" s="71">
        <f t="shared" si="484"/>
        <v>0</v>
      </c>
      <c r="B305" s="132">
        <f t="shared" si="485"/>
        <v>0</v>
      </c>
      <c r="C305" s="1011">
        <f t="shared" si="485"/>
        <v>200000</v>
      </c>
      <c r="D305" s="1012">
        <f>D849</f>
        <v>115400</v>
      </c>
      <c r="E305" s="1100"/>
      <c r="F305" s="891" t="s">
        <v>2348</v>
      </c>
      <c r="G305" s="1362">
        <f t="shared" ref="G305:O305" si="492">G849</f>
        <v>1379000</v>
      </c>
      <c r="H305" s="827"/>
      <c r="I305" s="132">
        <f t="shared" si="492"/>
        <v>0</v>
      </c>
      <c r="J305" s="130">
        <f t="shared" si="492"/>
        <v>0</v>
      </c>
      <c r="K305" s="132">
        <f t="shared" si="492"/>
        <v>0</v>
      </c>
      <c r="L305" s="132">
        <f t="shared" si="492"/>
        <v>0</v>
      </c>
      <c r="M305" s="132">
        <f t="shared" si="492"/>
        <v>0</v>
      </c>
      <c r="N305" s="132">
        <f t="shared" si="492"/>
        <v>0</v>
      </c>
      <c r="O305" s="132">
        <f t="shared" si="492"/>
        <v>0</v>
      </c>
      <c r="P305" s="132">
        <f t="shared" ref="P305:Q305" si="493">P849</f>
        <v>0</v>
      </c>
      <c r="Q305" s="132">
        <f t="shared" si="493"/>
        <v>0</v>
      </c>
      <c r="R305" s="131">
        <f t="shared" ref="R305" si="494">R849</f>
        <v>0</v>
      </c>
    </row>
    <row r="306" spans="1:18" s="133" customFormat="1" x14ac:dyDescent="0.2">
      <c r="A306" s="71">
        <f t="shared" si="484"/>
        <v>0</v>
      </c>
      <c r="B306" s="132">
        <f t="shared" si="485"/>
        <v>15000</v>
      </c>
      <c r="C306" s="1011">
        <f t="shared" si="485"/>
        <v>0</v>
      </c>
      <c r="D306" s="1012">
        <f>D850</f>
        <v>0</v>
      </c>
      <c r="E306" s="1100"/>
      <c r="F306" s="891" t="s">
        <v>5984</v>
      </c>
      <c r="G306" s="1362">
        <f t="shared" ref="G306:O306" si="495">G850</f>
        <v>6711700</v>
      </c>
      <c r="H306" s="827"/>
      <c r="I306" s="132">
        <f t="shared" si="495"/>
        <v>5927800</v>
      </c>
      <c r="J306" s="130">
        <f t="shared" si="495"/>
        <v>0</v>
      </c>
      <c r="K306" s="132">
        <f t="shared" si="495"/>
        <v>0</v>
      </c>
      <c r="L306" s="132">
        <f t="shared" si="495"/>
        <v>0</v>
      </c>
      <c r="M306" s="132">
        <f t="shared" si="495"/>
        <v>0</v>
      </c>
      <c r="N306" s="132">
        <f t="shared" si="495"/>
        <v>0</v>
      </c>
      <c r="O306" s="132">
        <f t="shared" si="495"/>
        <v>0</v>
      </c>
      <c r="P306" s="132">
        <f t="shared" ref="P306:Q306" si="496">P850</f>
        <v>0</v>
      </c>
      <c r="Q306" s="132">
        <f t="shared" si="496"/>
        <v>0</v>
      </c>
      <c r="R306" s="131">
        <f t="shared" ref="R306" si="497">R850</f>
        <v>0</v>
      </c>
    </row>
    <row r="307" spans="1:18" s="133" customFormat="1" x14ac:dyDescent="0.2">
      <c r="A307" s="71">
        <f t="shared" si="484"/>
        <v>0</v>
      </c>
      <c r="B307" s="132">
        <f t="shared" si="485"/>
        <v>21700</v>
      </c>
      <c r="C307" s="1011">
        <f t="shared" si="485"/>
        <v>36400</v>
      </c>
      <c r="D307" s="1012">
        <f>D851</f>
        <v>115400</v>
      </c>
      <c r="E307" s="1100"/>
      <c r="F307" s="891" t="s">
        <v>972</v>
      </c>
      <c r="G307" s="1362">
        <f t="shared" ref="G307:O307" si="498">G851</f>
        <v>8090700</v>
      </c>
      <c r="H307" s="827"/>
      <c r="I307" s="132">
        <f t="shared" si="498"/>
        <v>5927800</v>
      </c>
      <c r="J307" s="130">
        <f t="shared" si="498"/>
        <v>0</v>
      </c>
      <c r="K307" s="132">
        <f t="shared" si="498"/>
        <v>0</v>
      </c>
      <c r="L307" s="132">
        <f t="shared" si="498"/>
        <v>0</v>
      </c>
      <c r="M307" s="132">
        <f t="shared" si="498"/>
        <v>0</v>
      </c>
      <c r="N307" s="132">
        <f t="shared" si="498"/>
        <v>0</v>
      </c>
      <c r="O307" s="132">
        <f t="shared" si="498"/>
        <v>0</v>
      </c>
      <c r="P307" s="132">
        <f t="shared" ref="P307:Q307" si="499">P851</f>
        <v>0</v>
      </c>
      <c r="Q307" s="132">
        <f t="shared" si="499"/>
        <v>0</v>
      </c>
      <c r="R307" s="131">
        <f t="shared" ref="R307" si="500">R851</f>
        <v>0</v>
      </c>
    </row>
    <row r="308" spans="1:18" s="133" customFormat="1" x14ac:dyDescent="0.2">
      <c r="A308" s="71"/>
      <c r="B308" s="132"/>
      <c r="C308" s="1011"/>
      <c r="D308" s="1012"/>
      <c r="E308" s="1100"/>
      <c r="F308" s="1100"/>
      <c r="G308" s="1362"/>
      <c r="H308" s="827"/>
      <c r="I308" s="132"/>
      <c r="J308" s="130"/>
      <c r="K308" s="132"/>
      <c r="L308" s="132"/>
      <c r="M308" s="132"/>
      <c r="N308" s="132"/>
      <c r="O308" s="132"/>
      <c r="P308" s="132"/>
      <c r="Q308" s="132"/>
      <c r="R308" s="131"/>
    </row>
    <row r="309" spans="1:18" s="118" customFormat="1" x14ac:dyDescent="0.2">
      <c r="A309" s="1336">
        <f>A298-A303-A304+A305++A306-A307</f>
        <v>-443100</v>
      </c>
      <c r="B309" s="1122">
        <f>B298-B303-B304+B305++B306-B307</f>
        <v>-485000</v>
      </c>
      <c r="C309" s="1700">
        <f>C298-C303-C304+C305++C306-C307</f>
        <v>-370000</v>
      </c>
      <c r="D309" s="2490">
        <f>D298-D303-D304+D305++D306-D307</f>
        <v>-721700</v>
      </c>
      <c r="E309" s="1374"/>
      <c r="F309" s="1354" t="s">
        <v>2490</v>
      </c>
      <c r="G309" s="2600">
        <f t="shared" ref="G309:O309" si="501">G298-G303-G304+G305++G306-G307</f>
        <v>-1207700</v>
      </c>
      <c r="H309" s="1339">
        <f>IF(D309=G309,0,IF(D309=0,100,(G309-D309)/D309*100))</f>
        <v>67.341000415685187</v>
      </c>
      <c r="I309" s="1122">
        <f t="shared" si="501"/>
        <v>-1171500</v>
      </c>
      <c r="J309" s="1340">
        <f t="shared" si="501"/>
        <v>-1298300</v>
      </c>
      <c r="K309" s="1122">
        <f t="shared" si="501"/>
        <v>-1308900</v>
      </c>
      <c r="L309" s="1122">
        <f t="shared" si="501"/>
        <v>-1319600</v>
      </c>
      <c r="M309" s="1122">
        <f t="shared" si="501"/>
        <v>-1328800</v>
      </c>
      <c r="N309" s="1122">
        <f t="shared" si="501"/>
        <v>-1338200</v>
      </c>
      <c r="O309" s="1122">
        <f t="shared" si="501"/>
        <v>-1347800</v>
      </c>
      <c r="P309" s="1122">
        <f t="shared" ref="P309:Q309" si="502">P298-P303-P304+P305++P306-P307</f>
        <v>-1357500</v>
      </c>
      <c r="Q309" s="1122">
        <f t="shared" si="502"/>
        <v>-1367300</v>
      </c>
      <c r="R309" s="1693">
        <f t="shared" ref="R309" si="503">R298-R303-R304+R305++R306-R307</f>
        <v>-1377100</v>
      </c>
    </row>
    <row r="310" spans="1:18" s="133" customFormat="1" ht="13.5" thickBot="1" x14ac:dyDescent="0.25">
      <c r="A310" s="1341"/>
      <c r="B310" s="1306"/>
      <c r="C310" s="1371"/>
      <c r="D310" s="2487"/>
      <c r="E310" s="1375"/>
      <c r="F310" s="1375"/>
      <c r="G310" s="2601"/>
      <c r="H310" s="1344"/>
      <c r="I310" s="835"/>
      <c r="J310" s="836"/>
      <c r="K310" s="835"/>
      <c r="L310" s="835"/>
      <c r="M310" s="835"/>
      <c r="N310" s="835"/>
      <c r="O310" s="835"/>
      <c r="P310" s="835"/>
      <c r="Q310" s="835"/>
      <c r="R310" s="837"/>
    </row>
    <row r="311" spans="1:18" s="99" customFormat="1" ht="14.25" thickTop="1" thickBot="1" x14ac:dyDescent="0.25">
      <c r="A311" s="74"/>
      <c r="B311" s="74"/>
      <c r="C311" s="74"/>
      <c r="D311" s="2646"/>
      <c r="E311" s="660"/>
      <c r="F311" s="137"/>
      <c r="G311" s="74"/>
      <c r="H311" s="2646"/>
    </row>
    <row r="312" spans="1:18" s="44" customFormat="1" ht="13.5" thickTop="1" x14ac:dyDescent="0.2">
      <c r="A312" s="2871" t="s">
        <v>1856</v>
      </c>
      <c r="B312" s="2860"/>
      <c r="C312" s="2860"/>
      <c r="D312" s="2872"/>
      <c r="E312" s="2094" t="s">
        <v>2663</v>
      </c>
      <c r="F312" s="2506" t="s">
        <v>2251</v>
      </c>
      <c r="G312" s="2878" t="s">
        <v>2253</v>
      </c>
      <c r="H312" s="2878"/>
      <c r="I312" s="2878"/>
      <c r="J312" s="2878"/>
      <c r="K312" s="2878"/>
      <c r="L312" s="2878"/>
      <c r="M312" s="2878"/>
      <c r="N312" s="2878"/>
      <c r="O312" s="2878"/>
      <c r="P312" s="2878"/>
      <c r="Q312" s="2878"/>
      <c r="R312" s="2879"/>
    </row>
    <row r="313" spans="1:18" x14ac:dyDescent="0.2">
      <c r="A313" s="1711" t="str">
        <f t="shared" ref="A313:B313" si="504">A263</f>
        <v>2012/13</v>
      </c>
      <c r="B313" s="1712" t="str">
        <f t="shared" si="504"/>
        <v>2013/14</v>
      </c>
      <c r="C313" s="1712" t="str">
        <f>C263</f>
        <v>2014/15</v>
      </c>
      <c r="D313" s="1712" t="str">
        <f>D263</f>
        <v>2015/16</v>
      </c>
      <c r="E313" s="658"/>
      <c r="F313" s="109" t="s">
        <v>4727</v>
      </c>
      <c r="G313" s="1712" t="str">
        <f t="shared" ref="G313:P313" si="505">G263</f>
        <v>2016/17</v>
      </c>
      <c r="H313" s="1712" t="str">
        <f t="shared" ref="H313" si="506">H263</f>
        <v>%</v>
      </c>
      <c r="I313" s="1712" t="str">
        <f t="shared" si="505"/>
        <v>2017/18</v>
      </c>
      <c r="J313" s="1712" t="str">
        <f t="shared" si="505"/>
        <v>2018/19</v>
      </c>
      <c r="K313" s="1712" t="str">
        <f t="shared" si="505"/>
        <v>2019/20</v>
      </c>
      <c r="L313" s="1712" t="str">
        <f t="shared" si="505"/>
        <v>2020/21</v>
      </c>
      <c r="M313" s="1712" t="str">
        <f t="shared" si="505"/>
        <v>2021/22</v>
      </c>
      <c r="N313" s="1712" t="str">
        <f t="shared" si="505"/>
        <v>2022/23</v>
      </c>
      <c r="O313" s="1712" t="str">
        <f t="shared" si="505"/>
        <v>2023/24</v>
      </c>
      <c r="P313" s="1712" t="str">
        <f t="shared" si="505"/>
        <v>2024/25</v>
      </c>
      <c r="Q313" s="1712" t="str">
        <f t="shared" ref="Q313" si="507">Q263</f>
        <v>2025/26</v>
      </c>
      <c r="R313" s="2681" t="str">
        <f t="shared" ref="R313" si="508">R263</f>
        <v>2026/27</v>
      </c>
    </row>
    <row r="314" spans="1:18" x14ac:dyDescent="0.2">
      <c r="A314" s="612"/>
      <c r="B314" s="179"/>
      <c r="C314" s="179"/>
      <c r="D314" s="179"/>
      <c r="E314" s="673"/>
      <c r="F314" s="109"/>
      <c r="G314" s="179"/>
      <c r="H314" s="179"/>
      <c r="I314" s="179"/>
      <c r="J314" s="179"/>
      <c r="K314" s="179"/>
      <c r="L314" s="179"/>
      <c r="M314" s="179"/>
      <c r="N314" s="179"/>
      <c r="O314" s="179"/>
      <c r="P314" s="179"/>
      <c r="Q314" s="179"/>
      <c r="R314" s="2682"/>
    </row>
    <row r="315" spans="1:18" x14ac:dyDescent="0.2">
      <c r="A315" s="107">
        <f t="shared" ref="A315:B315" si="509">A268-A278-A279-A282</f>
        <v>-173000</v>
      </c>
      <c r="B315" s="33">
        <f t="shared" si="509"/>
        <v>-200000</v>
      </c>
      <c r="C315" s="33">
        <f>C268-C278-C279-C282</f>
        <v>-121200</v>
      </c>
      <c r="D315" s="150">
        <f>D268-D278-D279-D282</f>
        <v>-77500</v>
      </c>
      <c r="E315" s="1955">
        <v>35110</v>
      </c>
      <c r="F315" s="78" t="s">
        <v>1383</v>
      </c>
      <c r="G315" s="33">
        <f t="shared" ref="G315:P315" si="510">G268-G278-G279-G282</f>
        <v>-100600</v>
      </c>
      <c r="H315" s="138">
        <f>IF(D315=G315,0,IF(D315=0,100,(G315-D315)/D315*100))</f>
        <v>29.806451612903224</v>
      </c>
      <c r="I315" s="33">
        <f t="shared" si="510"/>
        <v>-396400</v>
      </c>
      <c r="J315" s="33">
        <f t="shared" si="510"/>
        <v>-386900</v>
      </c>
      <c r="K315" s="33">
        <f t="shared" si="510"/>
        <v>-382300</v>
      </c>
      <c r="L315" s="33">
        <f t="shared" si="510"/>
        <v>-377700</v>
      </c>
      <c r="M315" s="33">
        <f t="shared" si="510"/>
        <v>-372600</v>
      </c>
      <c r="N315" s="33">
        <f t="shared" si="510"/>
        <v>-366600</v>
      </c>
      <c r="O315" s="33">
        <f t="shared" si="510"/>
        <v>-361600</v>
      </c>
      <c r="P315" s="33">
        <f t="shared" si="510"/>
        <v>-354700</v>
      </c>
      <c r="Q315" s="33">
        <f t="shared" ref="Q315" si="511">Q268-Q278-Q279-Q282</f>
        <v>-348800</v>
      </c>
      <c r="R315" s="100">
        <f t="shared" ref="R315" si="512">R268-R278-R279-R282</f>
        <v>-341900</v>
      </c>
    </row>
    <row r="316" spans="1:18" x14ac:dyDescent="0.2">
      <c r="A316" s="107">
        <f t="shared" ref="A316:B316" si="513">A271-A285-A286-A289</f>
        <v>-262100</v>
      </c>
      <c r="B316" s="33">
        <f t="shared" si="513"/>
        <v>-270200</v>
      </c>
      <c r="C316" s="33">
        <f>C271-C285-C286-C289</f>
        <v>-246000</v>
      </c>
      <c r="D316" s="150">
        <f>D271-D285-D286-D289</f>
        <v>-205200</v>
      </c>
      <c r="E316" s="1955">
        <v>35110</v>
      </c>
      <c r="F316" s="78" t="s">
        <v>1071</v>
      </c>
      <c r="G316" s="33">
        <f t="shared" ref="G316:P316" si="514">G271-G285-G286-G289</f>
        <v>-218100</v>
      </c>
      <c r="H316" s="138">
        <f>IF(D316=G316,0,IF(D316=0,100,(G316-D316)/D316*100))</f>
        <v>6.2865497076023384</v>
      </c>
      <c r="I316" s="33">
        <f t="shared" si="514"/>
        <v>-407600</v>
      </c>
      <c r="J316" s="33">
        <f t="shared" si="514"/>
        <v>-459400</v>
      </c>
      <c r="K316" s="33">
        <f t="shared" si="514"/>
        <v>-458600</v>
      </c>
      <c r="L316" s="33">
        <f t="shared" si="514"/>
        <v>-455900</v>
      </c>
      <c r="M316" s="33">
        <f t="shared" si="514"/>
        <v>-452200</v>
      </c>
      <c r="N316" s="33">
        <f t="shared" si="514"/>
        <v>-448600</v>
      </c>
      <c r="O316" s="33">
        <f t="shared" si="514"/>
        <v>-445200</v>
      </c>
      <c r="P316" s="33">
        <f t="shared" si="514"/>
        <v>-439800</v>
      </c>
      <c r="Q316" s="33">
        <f t="shared" ref="Q316" si="515">Q271-Q285-Q286-Q289</f>
        <v>-435500</v>
      </c>
      <c r="R316" s="100">
        <f t="shared" ref="R316" si="516">R271-R285-R286-R289</f>
        <v>-430200</v>
      </c>
    </row>
    <row r="317" spans="1:18" ht="13.5" thickBot="1" x14ac:dyDescent="0.25">
      <c r="A317" s="107"/>
      <c r="B317" s="33"/>
      <c r="C317" s="33"/>
      <c r="D317" s="150"/>
      <c r="E317" s="1955"/>
      <c r="F317" s="78"/>
      <c r="G317" s="33"/>
      <c r="H317" s="138"/>
      <c r="I317" s="33"/>
      <c r="J317" s="33"/>
      <c r="K317" s="33"/>
      <c r="L317" s="33"/>
      <c r="M317" s="33"/>
      <c r="N317" s="33"/>
      <c r="O317" s="33"/>
      <c r="P317" s="33"/>
      <c r="Q317" s="33"/>
      <c r="R317" s="100"/>
    </row>
    <row r="318" spans="1:18" s="92" customFormat="1" x14ac:dyDescent="0.2">
      <c r="A318" s="105">
        <f>SUM(A315:A317)</f>
        <v>-435100</v>
      </c>
      <c r="B318" s="53">
        <f>SUM(B315:B317)</f>
        <v>-470200</v>
      </c>
      <c r="C318" s="53">
        <f>SUM(C315:C317)</f>
        <v>-367200</v>
      </c>
      <c r="D318" s="53">
        <f>SUM(D315:D317)</f>
        <v>-282700</v>
      </c>
      <c r="E318" s="690"/>
      <c r="F318" s="109" t="s">
        <v>4725</v>
      </c>
      <c r="G318" s="53">
        <f t="shared" ref="G318:P318" si="517">SUM(G315:G317)</f>
        <v>-318700</v>
      </c>
      <c r="H318" s="180">
        <f>IF(D318=G318,0,IF(D318=0,100,(G318-D318)/D318*100))</f>
        <v>12.734347364697559</v>
      </c>
      <c r="I318" s="53">
        <f t="shared" si="517"/>
        <v>-804000</v>
      </c>
      <c r="J318" s="53">
        <f t="shared" si="517"/>
        <v>-846300</v>
      </c>
      <c r="K318" s="53">
        <f t="shared" si="517"/>
        <v>-840900</v>
      </c>
      <c r="L318" s="53">
        <f t="shared" si="517"/>
        <v>-833600</v>
      </c>
      <c r="M318" s="53">
        <f t="shared" si="517"/>
        <v>-824800</v>
      </c>
      <c r="N318" s="53">
        <f t="shared" si="517"/>
        <v>-815200</v>
      </c>
      <c r="O318" s="53">
        <f t="shared" si="517"/>
        <v>-806800</v>
      </c>
      <c r="P318" s="53">
        <f t="shared" si="517"/>
        <v>-794500</v>
      </c>
      <c r="Q318" s="53">
        <f t="shared" ref="Q318" si="518">SUM(Q315:Q317)</f>
        <v>-784300</v>
      </c>
      <c r="R318" s="2683">
        <f t="shared" ref="R318" si="519">SUM(R315:R317)</f>
        <v>-772100</v>
      </c>
    </row>
    <row r="319" spans="1:18" ht="13.5" thickBot="1" x14ac:dyDescent="0.25">
      <c r="A319" s="171"/>
      <c r="B319" s="66"/>
      <c r="C319" s="66"/>
      <c r="D319" s="2488"/>
      <c r="E319" s="681"/>
      <c r="F319" s="1706"/>
      <c r="G319" s="66"/>
      <c r="H319" s="140"/>
      <c r="I319" s="66"/>
      <c r="J319" s="66"/>
      <c r="K319" s="66"/>
      <c r="L319" s="66"/>
      <c r="M319" s="66"/>
      <c r="N319" s="66"/>
      <c r="O319" s="66"/>
      <c r="P319" s="66"/>
      <c r="Q319" s="66"/>
      <c r="R319" s="167"/>
    </row>
    <row r="320" spans="1:18" s="78" customFormat="1" ht="13.5" thickTop="1" x14ac:dyDescent="0.2">
      <c r="A320" s="145"/>
      <c r="B320" s="145"/>
      <c r="C320" s="1376"/>
      <c r="D320" s="1376"/>
      <c r="E320" s="1376"/>
      <c r="F320" s="1376"/>
      <c r="G320" s="1376"/>
      <c r="H320" s="1376"/>
      <c r="I320" s="1376"/>
      <c r="J320" s="1376"/>
      <c r="K320" s="1376"/>
      <c r="L320" s="1376"/>
      <c r="M320" s="1376"/>
      <c r="N320" s="1376"/>
      <c r="O320" s="1376"/>
      <c r="P320" s="1376"/>
      <c r="Q320" s="1376"/>
      <c r="R320" s="1376"/>
    </row>
    <row r="321" spans="1:18" s="99" customFormat="1" ht="13.5" thickBot="1" x14ac:dyDescent="0.25">
      <c r="A321" s="74"/>
      <c r="B321" s="74"/>
      <c r="C321" s="74"/>
      <c r="D321" s="74"/>
      <c r="E321" s="273"/>
      <c r="F321" s="137"/>
      <c r="H321" s="2211"/>
    </row>
    <row r="322" spans="1:18" s="91" customFormat="1" ht="18.75" customHeight="1" thickTop="1" thickBot="1" x14ac:dyDescent="0.3">
      <c r="A322" s="2862" t="s">
        <v>5342</v>
      </c>
      <c r="B322" s="2863"/>
      <c r="C322" s="2863"/>
      <c r="D322" s="2863"/>
      <c r="E322" s="2863"/>
      <c r="F322" s="2863"/>
      <c r="G322" s="2863"/>
      <c r="H322" s="2863"/>
      <c r="I322" s="2863"/>
      <c r="J322" s="2863"/>
      <c r="K322" s="2863"/>
      <c r="L322" s="2863"/>
      <c r="M322" s="2863"/>
      <c r="N322" s="2863"/>
      <c r="O322" s="2863"/>
      <c r="P322" s="2863"/>
      <c r="Q322" s="2863"/>
      <c r="R322" s="2864"/>
    </row>
    <row r="323" spans="1:18" s="44" customFormat="1" x14ac:dyDescent="0.2">
      <c r="A323" s="2848" t="s">
        <v>1856</v>
      </c>
      <c r="B323" s="2840"/>
      <c r="C323" s="2840"/>
      <c r="D323" s="2849"/>
      <c r="E323" s="513" t="s">
        <v>2663</v>
      </c>
      <c r="F323" s="369" t="s">
        <v>2251</v>
      </c>
      <c r="G323" s="2839" t="s">
        <v>2253</v>
      </c>
      <c r="H323" s="2840"/>
      <c r="I323" s="2840"/>
      <c r="J323" s="2840"/>
      <c r="K323" s="2840"/>
      <c r="L323" s="2840"/>
      <c r="M323" s="2840"/>
      <c r="N323" s="2840"/>
      <c r="O323" s="2840"/>
      <c r="P323" s="2840"/>
      <c r="Q323" s="2840"/>
      <c r="R323" s="2841"/>
    </row>
    <row r="324" spans="1:18" s="23" customFormat="1" ht="13.5" thickBot="1" x14ac:dyDescent="0.25">
      <c r="A324" s="208" t="str">
        <f>A263</f>
        <v>2012/13</v>
      </c>
      <c r="B324" s="75" t="str">
        <f>B263</f>
        <v>2013/14</v>
      </c>
      <c r="C324" s="370" t="str">
        <f>C263</f>
        <v>2014/15</v>
      </c>
      <c r="D324" s="93" t="str">
        <f>D263</f>
        <v>2015/16</v>
      </c>
      <c r="E324" s="370" t="s">
        <v>2664</v>
      </c>
      <c r="F324" s="42"/>
      <c r="G324" s="2513" t="str">
        <f t="shared" ref="G324:P324" si="520">G263</f>
        <v>2016/17</v>
      </c>
      <c r="H324" s="2005" t="str">
        <f t="shared" ref="H324" si="521">H263</f>
        <v>%</v>
      </c>
      <c r="I324" s="370" t="str">
        <f t="shared" si="520"/>
        <v>2017/18</v>
      </c>
      <c r="J324" s="381" t="str">
        <f t="shared" si="520"/>
        <v>2018/19</v>
      </c>
      <c r="K324" s="89" t="str">
        <f t="shared" si="520"/>
        <v>2019/20</v>
      </c>
      <c r="L324" s="370" t="str">
        <f t="shared" si="520"/>
        <v>2020/21</v>
      </c>
      <c r="M324" s="89" t="str">
        <f t="shared" si="520"/>
        <v>2021/22</v>
      </c>
      <c r="N324" s="370" t="str">
        <f t="shared" si="520"/>
        <v>2022/23</v>
      </c>
      <c r="O324" s="370" t="str">
        <f t="shared" si="520"/>
        <v>2023/24</v>
      </c>
      <c r="P324" s="370" t="str">
        <f t="shared" si="520"/>
        <v>2024/25</v>
      </c>
      <c r="Q324" s="218" t="str">
        <f t="shared" ref="Q324" si="522">Q263</f>
        <v>2025/26</v>
      </c>
      <c r="R324" s="549" t="str">
        <f t="shared" ref="R324" si="523">R263</f>
        <v>2026/27</v>
      </c>
    </row>
    <row r="325" spans="1:18" x14ac:dyDescent="0.2">
      <c r="A325" s="107"/>
      <c r="B325" s="33"/>
      <c r="C325" s="33"/>
      <c r="D325" s="33"/>
      <c r="E325" s="252"/>
      <c r="F325" s="74"/>
      <c r="G325" s="76"/>
      <c r="H325" s="138"/>
      <c r="I325" s="33"/>
      <c r="J325" s="142"/>
      <c r="K325" s="33"/>
      <c r="L325" s="33"/>
      <c r="M325" s="33"/>
      <c r="N325" s="33"/>
      <c r="O325" s="33"/>
      <c r="P325" s="33"/>
      <c r="Q325" s="33"/>
      <c r="R325" s="114"/>
    </row>
    <row r="326" spans="1:18" x14ac:dyDescent="0.2">
      <c r="A326" s="107"/>
      <c r="B326" s="33"/>
      <c r="C326" s="33"/>
      <c r="D326" s="33"/>
      <c r="E326" s="252"/>
      <c r="F326" s="144" t="s">
        <v>1073</v>
      </c>
      <c r="G326" s="76"/>
      <c r="H326" s="138"/>
      <c r="I326" s="33"/>
      <c r="J326" s="142"/>
      <c r="K326" s="33"/>
      <c r="L326" s="33"/>
      <c r="M326" s="33"/>
      <c r="N326" s="33"/>
      <c r="O326" s="33"/>
      <c r="P326" s="33"/>
      <c r="Q326" s="33"/>
      <c r="R326" s="114"/>
    </row>
    <row r="327" spans="1:18" x14ac:dyDescent="0.2">
      <c r="A327" s="107"/>
      <c r="B327" s="33"/>
      <c r="C327" s="33"/>
      <c r="D327" s="33"/>
      <c r="E327" s="252"/>
      <c r="F327" s="144"/>
      <c r="G327" s="76"/>
      <c r="H327" s="138"/>
      <c r="I327" s="33"/>
      <c r="J327" s="142"/>
      <c r="K327" s="33"/>
      <c r="L327" s="33"/>
      <c r="M327" s="33"/>
      <c r="N327" s="33"/>
      <c r="O327" s="33"/>
      <c r="P327" s="33"/>
      <c r="Q327" s="33"/>
      <c r="R327" s="114"/>
    </row>
    <row r="328" spans="1:18" x14ac:dyDescent="0.2">
      <c r="A328" s="107"/>
      <c r="B328" s="33"/>
      <c r="C328" s="33"/>
      <c r="D328" s="33"/>
      <c r="E328" s="252"/>
      <c r="F328" s="74" t="s">
        <v>2881</v>
      </c>
      <c r="G328" s="76"/>
      <c r="H328" s="138"/>
      <c r="I328" s="33"/>
      <c r="J328" s="142"/>
      <c r="K328" s="33"/>
      <c r="L328" s="33"/>
      <c r="M328" s="33"/>
      <c r="N328" s="33"/>
      <c r="O328" s="33"/>
      <c r="P328" s="33"/>
      <c r="Q328" s="33"/>
      <c r="R328" s="114"/>
    </row>
    <row r="329" spans="1:18" x14ac:dyDescent="0.2">
      <c r="A329" s="107">
        <f>ROUND(SUM(SP!A861:A865),-3)</f>
        <v>5000</v>
      </c>
      <c r="B329" s="33">
        <f>ROUND(SUM(SP!B861:B865),-2)</f>
        <v>9400</v>
      </c>
      <c r="C329" s="33">
        <f>SUM(SP!C861:C865)</f>
        <v>12900</v>
      </c>
      <c r="D329" s="33">
        <f>SUM(SP!D861:D865)</f>
        <v>14100</v>
      </c>
      <c r="E329" s="343" t="s">
        <v>139</v>
      </c>
      <c r="F329" s="99" t="s">
        <v>2861</v>
      </c>
      <c r="G329" s="76">
        <f>SUM(SP!G861:G865)</f>
        <v>15500</v>
      </c>
      <c r="H329" s="138">
        <f>IF(D329=G329,0,IF(D329=0,100,(G329-D329)/D329*100))</f>
        <v>9.9290780141843982</v>
      </c>
      <c r="I329" s="33">
        <f>SUM(SP!I861:I865)</f>
        <v>16000</v>
      </c>
      <c r="J329" s="142">
        <f>SUM(SP!J861:J865)</f>
        <v>16600</v>
      </c>
      <c r="K329" s="33">
        <f>SUM(SP!K861:K865)</f>
        <v>17200</v>
      </c>
      <c r="L329" s="33">
        <f>SUM(SP!L861:L865)</f>
        <v>17800</v>
      </c>
      <c r="M329" s="33">
        <f>SUM(SP!M861:M865)</f>
        <v>18300</v>
      </c>
      <c r="N329" s="33">
        <f>SUM(SP!N861:N865)</f>
        <v>18800</v>
      </c>
      <c r="O329" s="33">
        <f>SUM(SP!O861:O865)</f>
        <v>19400</v>
      </c>
      <c r="P329" s="33">
        <f>SUM(SP!P861:P865)</f>
        <v>20000</v>
      </c>
      <c r="Q329" s="33">
        <f>SUM(SP!Q861:Q865)</f>
        <v>20600</v>
      </c>
      <c r="R329" s="114">
        <f>SUM(SP!R861:R865)</f>
        <v>21200</v>
      </c>
    </row>
    <row r="330" spans="1:18" x14ac:dyDescent="0.2">
      <c r="A330" s="107">
        <f>SUM(SP!A866:A867)</f>
        <v>24100</v>
      </c>
      <c r="B330" s="33">
        <f>SUM(SP!B866:B867)</f>
        <v>31600</v>
      </c>
      <c r="C330" s="33">
        <f>SUM(SP!C866:C867)</f>
        <v>31400</v>
      </c>
      <c r="D330" s="33">
        <f>SUM(SP!D866:D867)</f>
        <v>40600</v>
      </c>
      <c r="E330" s="343" t="s">
        <v>139</v>
      </c>
      <c r="F330" s="78" t="s">
        <v>4581</v>
      </c>
      <c r="G330" s="33">
        <f>SUM(SP!G866:G867)</f>
        <v>33600</v>
      </c>
      <c r="H330" s="1959">
        <f>IF(D330=G330,0,IF(D330=0,100,(G330-D330)/D330*100))</f>
        <v>-17.241379310344829</v>
      </c>
      <c r="I330" s="33">
        <f>SUM(SP!I866:I867)</f>
        <v>34200</v>
      </c>
      <c r="J330" s="142">
        <f>SUM(SP!J866:J867)</f>
        <v>35100</v>
      </c>
      <c r="K330" s="33">
        <f>SUM(SP!K866:K867)</f>
        <v>36100</v>
      </c>
      <c r="L330" s="33">
        <f>SUM(SP!L866:L867)</f>
        <v>37100</v>
      </c>
      <c r="M330" s="33">
        <f>SUM(SP!M866:M867)</f>
        <v>37900</v>
      </c>
      <c r="N330" s="33">
        <f>SUM(SP!N866:N867)</f>
        <v>38700</v>
      </c>
      <c r="O330" s="33">
        <f>SUM(SP!O866:O867)</f>
        <v>39600</v>
      </c>
      <c r="P330" s="33">
        <f>SUM(SP!P866:P867)</f>
        <v>40500</v>
      </c>
      <c r="Q330" s="33">
        <f>SUM(SP!Q866:Q867)</f>
        <v>41400</v>
      </c>
      <c r="R330" s="114">
        <f>SUM(SP!R866:R867)</f>
        <v>42300</v>
      </c>
    </row>
    <row r="331" spans="1:18" x14ac:dyDescent="0.2">
      <c r="A331" s="107">
        <f>ROUND(SUM(SP!A868:A871),-3)</f>
        <v>66000</v>
      </c>
      <c r="B331" s="33">
        <f>ROUND(SUM(SP!B868:B871),-2)</f>
        <v>69700</v>
      </c>
      <c r="C331" s="33">
        <f>SUM(SP!C868:C871)</f>
        <v>95300</v>
      </c>
      <c r="D331" s="33">
        <f>SUM(SP!D868:D871)</f>
        <v>83500</v>
      </c>
      <c r="E331" s="343" t="s">
        <v>140</v>
      </c>
      <c r="F331" s="1952" t="s">
        <v>3670</v>
      </c>
      <c r="G331" s="33">
        <f>SUM(SP!G868:G872)</f>
        <v>13000</v>
      </c>
      <c r="H331" s="1959">
        <f>IF(D331=G331,0,IF(D331=0,100,(G331-D331)/D331*100))</f>
        <v>-84.431137724550894</v>
      </c>
      <c r="I331" s="33">
        <f>SUM(SP!I868:I872)</f>
        <v>13200</v>
      </c>
      <c r="J331" s="33">
        <f>SUM(SP!J868:J872)</f>
        <v>103600</v>
      </c>
      <c r="K331" s="33">
        <f>SUM(SP!K868:K872)</f>
        <v>14000</v>
      </c>
      <c r="L331" s="33">
        <f>SUM(SP!L868:L872)</f>
        <v>14400</v>
      </c>
      <c r="M331" s="33">
        <f>SUM(SP!M868:M872)</f>
        <v>14700</v>
      </c>
      <c r="N331" s="33">
        <f>SUM(SP!N868:N872)</f>
        <v>15000</v>
      </c>
      <c r="O331" s="33">
        <f>SUM(SP!O868:O872)</f>
        <v>105300</v>
      </c>
      <c r="P331" s="33">
        <f>SUM(SP!P868:P872)</f>
        <v>15700</v>
      </c>
      <c r="Q331" s="33">
        <f>SUM(SP!Q868:Q872)</f>
        <v>16100</v>
      </c>
      <c r="R331" s="114">
        <f>SUM(SP!R868:R872)</f>
        <v>16500</v>
      </c>
    </row>
    <row r="332" spans="1:18" x14ac:dyDescent="0.2">
      <c r="A332" s="107">
        <f>ROUND(SUM(SP!A873:A875),-3)</f>
        <v>39000</v>
      </c>
      <c r="B332" s="142">
        <f>ROUND(SUM(SP!B873:B875),-2)</f>
        <v>3400</v>
      </c>
      <c r="C332" s="33">
        <f>SUM(SP!C873:C876)</f>
        <v>100</v>
      </c>
      <c r="D332" s="33">
        <f>SUM(SP!D873:D876)</f>
        <v>6700</v>
      </c>
      <c r="E332" s="343" t="s">
        <v>140</v>
      </c>
      <c r="F332" s="76" t="s">
        <v>2862</v>
      </c>
      <c r="G332" s="33">
        <f>SUM(SP!G873:G876)</f>
        <v>2700</v>
      </c>
      <c r="H332" s="1959">
        <f>IF(D332=G332,0,IF(D332=0,100,(G332-D332)/D332*100))</f>
        <v>-59.701492537313428</v>
      </c>
      <c r="I332" s="33">
        <f>SUM(SP!I873:I876)</f>
        <v>2900</v>
      </c>
      <c r="J332" s="142">
        <f>SUM(SP!J873:J876)</f>
        <v>3100</v>
      </c>
      <c r="K332" s="33">
        <f>SUM(SP!K873:K876)</f>
        <v>3300</v>
      </c>
      <c r="L332" s="33">
        <f>SUM(SP!L873:L876)</f>
        <v>3500</v>
      </c>
      <c r="M332" s="33">
        <f>SUM(SP!M873:M876)</f>
        <v>3700</v>
      </c>
      <c r="N332" s="33">
        <f>SUM(SP!N873:N876)</f>
        <v>3900</v>
      </c>
      <c r="O332" s="33">
        <f>SUM(SP!O873:O876)</f>
        <v>4100</v>
      </c>
      <c r="P332" s="33">
        <f>SUM(SP!P873:P876)</f>
        <v>4300</v>
      </c>
      <c r="Q332" s="33">
        <f>SUM(SP!Q873:Q876)</f>
        <v>4500</v>
      </c>
      <c r="R332" s="114">
        <f>SUM(SP!R873:R876)</f>
        <v>4700</v>
      </c>
    </row>
    <row r="333" spans="1:18" x14ac:dyDescent="0.2">
      <c r="A333" s="107">
        <f>SP!A878</f>
        <v>12000</v>
      </c>
      <c r="B333" s="33">
        <f>ROUND(SP!B878,-2)</f>
        <v>25000</v>
      </c>
      <c r="C333" s="33">
        <f>SP!C878</f>
        <v>0</v>
      </c>
      <c r="D333" s="33">
        <f>SP!D878</f>
        <v>0</v>
      </c>
      <c r="E333" s="821" t="s">
        <v>140</v>
      </c>
      <c r="F333" s="77" t="s">
        <v>1263</v>
      </c>
      <c r="G333" s="33">
        <f>SP!G878+G879</f>
        <v>50000</v>
      </c>
      <c r="H333" s="1959">
        <f>IF(D333=G333,0,IF(D333=0,100,(G333-D333)/D333*100))</f>
        <v>100</v>
      </c>
      <c r="I333" s="33">
        <f>SP!I878+I879</f>
        <v>0</v>
      </c>
      <c r="J333" s="33">
        <f>SP!J878+J879</f>
        <v>0</v>
      </c>
      <c r="K333" s="33">
        <f>SP!K878+K879</f>
        <v>0</v>
      </c>
      <c r="L333" s="33">
        <f>SP!L878+L879</f>
        <v>0</v>
      </c>
      <c r="M333" s="33">
        <f>SP!M878+M879</f>
        <v>0</v>
      </c>
      <c r="N333" s="33">
        <f>SP!N878+N879</f>
        <v>0</v>
      </c>
      <c r="O333" s="33">
        <f>SP!O878+O879</f>
        <v>0</v>
      </c>
      <c r="P333" s="33">
        <f>SP!P878+P879</f>
        <v>0</v>
      </c>
      <c r="Q333" s="33">
        <f>SP!Q878+Q879</f>
        <v>0</v>
      </c>
      <c r="R333" s="114">
        <f>SP!R878+R879</f>
        <v>0</v>
      </c>
    </row>
    <row r="334" spans="1:18" ht="13.5" thickBot="1" x14ac:dyDescent="0.25">
      <c r="A334" s="70"/>
      <c r="B334" s="64"/>
      <c r="C334" s="64"/>
      <c r="D334" s="64"/>
      <c r="E334" s="343"/>
      <c r="F334" s="79"/>
      <c r="G334" s="33"/>
      <c r="H334" s="1990"/>
      <c r="I334" s="33"/>
      <c r="J334" s="142"/>
      <c r="K334" s="33"/>
      <c r="L334" s="33"/>
      <c r="M334" s="33"/>
      <c r="N334" s="33"/>
      <c r="O334" s="33"/>
      <c r="P334" s="33"/>
      <c r="Q334" s="33"/>
      <c r="R334" s="114"/>
    </row>
    <row r="335" spans="1:18" x14ac:dyDescent="0.2">
      <c r="A335" s="105">
        <f>SUM(A327:A334)</f>
        <v>146100</v>
      </c>
      <c r="B335" s="53">
        <f>SUM(B327:B334)</f>
        <v>139100</v>
      </c>
      <c r="C335" s="53">
        <f>SUM(C327:C334)</f>
        <v>139700</v>
      </c>
      <c r="D335" s="53">
        <f>SUM(D327:D334)</f>
        <v>144900</v>
      </c>
      <c r="E335" s="343"/>
      <c r="F335" s="1960" t="s">
        <v>2605</v>
      </c>
      <c r="G335" s="53">
        <f t="shared" ref="G335:O335" si="524">SUM(G327:G334)</f>
        <v>114800</v>
      </c>
      <c r="H335" s="2485">
        <f>IF(D335=G335,0,IF(D335=0,100,(G335-D335)/D335*100))</f>
        <v>-20.772946859903382</v>
      </c>
      <c r="I335" s="53">
        <f t="shared" si="524"/>
        <v>66300</v>
      </c>
      <c r="J335" s="155">
        <f t="shared" si="524"/>
        <v>158400</v>
      </c>
      <c r="K335" s="53">
        <f t="shared" si="524"/>
        <v>70600</v>
      </c>
      <c r="L335" s="53">
        <f t="shared" si="524"/>
        <v>72800</v>
      </c>
      <c r="M335" s="53">
        <f t="shared" si="524"/>
        <v>74600</v>
      </c>
      <c r="N335" s="53">
        <f t="shared" si="524"/>
        <v>76400</v>
      </c>
      <c r="O335" s="53">
        <f t="shared" si="524"/>
        <v>168400</v>
      </c>
      <c r="P335" s="53">
        <f t="shared" ref="P335:Q335" si="525">SUM(P327:P334)</f>
        <v>80500</v>
      </c>
      <c r="Q335" s="53">
        <f t="shared" si="525"/>
        <v>82600</v>
      </c>
      <c r="R335" s="113">
        <f t="shared" ref="R335" si="526">SUM(R327:R334)</f>
        <v>84700</v>
      </c>
    </row>
    <row r="336" spans="1:18" x14ac:dyDescent="0.2">
      <c r="A336" s="107"/>
      <c r="B336" s="33"/>
      <c r="C336" s="33"/>
      <c r="D336" s="33"/>
      <c r="E336" s="343"/>
      <c r="F336" s="1960"/>
      <c r="G336" s="33"/>
      <c r="H336" s="1959"/>
      <c r="I336" s="33"/>
      <c r="J336" s="142"/>
      <c r="K336" s="33"/>
      <c r="L336" s="33"/>
      <c r="M336" s="33"/>
      <c r="N336" s="33"/>
      <c r="O336" s="33"/>
      <c r="P336" s="33"/>
      <c r="Q336" s="33"/>
      <c r="R336" s="114"/>
    </row>
    <row r="337" spans="1:18" x14ac:dyDescent="0.2">
      <c r="A337" s="107"/>
      <c r="B337" s="33"/>
      <c r="C337" s="33"/>
      <c r="D337" s="33"/>
      <c r="E337" s="343"/>
      <c r="F337" s="103" t="s">
        <v>2205</v>
      </c>
      <c r="G337" s="33"/>
      <c r="H337" s="1959"/>
      <c r="I337" s="33"/>
      <c r="J337" s="142"/>
      <c r="K337" s="33"/>
      <c r="L337" s="33"/>
      <c r="M337" s="33"/>
      <c r="N337" s="33"/>
      <c r="O337" s="33"/>
      <c r="P337" s="33"/>
      <c r="Q337" s="33"/>
      <c r="R337" s="114"/>
    </row>
    <row r="338" spans="1:18" x14ac:dyDescent="0.2">
      <c r="A338" s="107"/>
      <c r="B338" s="33"/>
      <c r="C338" s="33"/>
      <c r="D338" s="33"/>
      <c r="E338" s="343"/>
      <c r="F338" s="103"/>
      <c r="G338" s="33"/>
      <c r="H338" s="1959"/>
      <c r="I338" s="33"/>
      <c r="J338" s="142"/>
      <c r="K338" s="33"/>
      <c r="L338" s="33"/>
      <c r="M338" s="33"/>
      <c r="N338" s="33"/>
      <c r="O338" s="33"/>
      <c r="P338" s="33"/>
      <c r="Q338" s="33"/>
      <c r="R338" s="114"/>
    </row>
    <row r="339" spans="1:18" x14ac:dyDescent="0.2">
      <c r="A339" s="107"/>
      <c r="B339" s="33"/>
      <c r="C339" s="33"/>
      <c r="D339" s="33"/>
      <c r="E339" s="343"/>
      <c r="F339" s="2529" t="s">
        <v>4670</v>
      </c>
      <c r="G339" s="33"/>
      <c r="H339" s="1959"/>
      <c r="I339" s="33"/>
      <c r="J339" s="142"/>
      <c r="K339" s="33"/>
      <c r="L339" s="33"/>
      <c r="M339" s="33"/>
      <c r="N339" s="33"/>
      <c r="O339" s="33"/>
      <c r="P339" s="33"/>
      <c r="Q339" s="33"/>
      <c r="R339" s="114"/>
    </row>
    <row r="340" spans="1:18" x14ac:dyDescent="0.2">
      <c r="A340" s="107">
        <f>ROUND(SUM(SP!A884:A887),-3)</f>
        <v>223000</v>
      </c>
      <c r="B340" s="33">
        <f>ROUND(SUM(SP!B884:B887),-2)</f>
        <v>238300</v>
      </c>
      <c r="C340" s="33">
        <f>SUM(SP!C884:C887)</f>
        <v>251300</v>
      </c>
      <c r="D340" s="33">
        <f>SUM(SP!D884:D887)</f>
        <v>273600</v>
      </c>
      <c r="E340" s="343" t="s">
        <v>141</v>
      </c>
      <c r="F340" s="1981" t="s">
        <v>1249</v>
      </c>
      <c r="G340" s="33">
        <f>SUM(SP!G884:G887)</f>
        <v>214100</v>
      </c>
      <c r="H340" s="1959">
        <f t="shared" ref="H340:H344" si="527">IF(D340=G340,0,IF(D340=0,100,(G340-D340)/D340*100))</f>
        <v>-21.747076023391813</v>
      </c>
      <c r="I340" s="33">
        <f>SUM(SP!I884:I887)</f>
        <v>218500</v>
      </c>
      <c r="J340" s="142">
        <f>SUM(SP!J884:J887)</f>
        <v>224100</v>
      </c>
      <c r="K340" s="33">
        <f>SUM(SP!K884:K887)</f>
        <v>229900</v>
      </c>
      <c r="L340" s="33">
        <f>SUM(SP!L884:L887)</f>
        <v>235800</v>
      </c>
      <c r="M340" s="33">
        <f>SUM(SP!M884:M887)</f>
        <v>241700</v>
      </c>
      <c r="N340" s="33">
        <f>SUM(SP!N884:N887)</f>
        <v>247800</v>
      </c>
      <c r="O340" s="33">
        <f>SUM(SP!O884:O887)</f>
        <v>254000</v>
      </c>
      <c r="P340" s="33">
        <f>SUM(SP!P884:P887)</f>
        <v>260400</v>
      </c>
      <c r="Q340" s="33">
        <f>SUM(SP!Q884:Q887)</f>
        <v>267000</v>
      </c>
      <c r="R340" s="114">
        <f>SUM(SP!R884:R887)</f>
        <v>273800</v>
      </c>
    </row>
    <row r="341" spans="1:18" x14ac:dyDescent="0.2">
      <c r="A341" s="107">
        <f>ROUND(SUM(SP!A895:A909),-3)</f>
        <v>78000</v>
      </c>
      <c r="B341" s="33">
        <f>ROUND(SUM(SP!B895:B909),-2)</f>
        <v>75100</v>
      </c>
      <c r="C341" s="33">
        <f>SUM(SP!C895:C909)</f>
        <v>71000</v>
      </c>
      <c r="D341" s="33">
        <f>SUM(SP!D895:D909)</f>
        <v>83700</v>
      </c>
      <c r="E341" s="343" t="s">
        <v>141</v>
      </c>
      <c r="F341" s="1952" t="s">
        <v>4667</v>
      </c>
      <c r="G341" s="33">
        <f>SUM(SP!G895:G909)</f>
        <v>90100</v>
      </c>
      <c r="H341" s="1959">
        <f t="shared" si="527"/>
        <v>7.6463560334528076</v>
      </c>
      <c r="I341" s="33">
        <f>SUM(SP!I895:I909)</f>
        <v>86900</v>
      </c>
      <c r="J341" s="142">
        <f>SUM(SP!J895:J909)</f>
        <v>89800</v>
      </c>
      <c r="K341" s="33">
        <f>SUM(SP!K895:K909)</f>
        <v>92700</v>
      </c>
      <c r="L341" s="33">
        <f>SUM(SP!L895:L909)</f>
        <v>95600</v>
      </c>
      <c r="M341" s="33">
        <f>SUM(SP!M895:M909)</f>
        <v>98100</v>
      </c>
      <c r="N341" s="33">
        <f>SUM(SP!N895:N909)</f>
        <v>100600</v>
      </c>
      <c r="O341" s="33">
        <f>SUM(SP!O895:O909)</f>
        <v>103100</v>
      </c>
      <c r="P341" s="33">
        <f>SUM(SP!P895:P909)</f>
        <v>105900</v>
      </c>
      <c r="Q341" s="33">
        <f>SUM(SP!Q895:Q909)</f>
        <v>108700</v>
      </c>
      <c r="R341" s="114">
        <f>SUM(SP!R895:R909)</f>
        <v>111600</v>
      </c>
    </row>
    <row r="342" spans="1:18" x14ac:dyDescent="0.2">
      <c r="A342" s="107">
        <f>ROUND(SUM(SP!A889:A891),-3)</f>
        <v>14000</v>
      </c>
      <c r="B342" s="33">
        <f>ROUND(SUM(SP!B889:B891),-2)</f>
        <v>16200</v>
      </c>
      <c r="C342" s="33">
        <f>SUM(SP!C889:C891)</f>
        <v>16800</v>
      </c>
      <c r="D342" s="33">
        <f>SUM(SP!D889:D891)</f>
        <v>114900</v>
      </c>
      <c r="E342" s="343" t="s">
        <v>142</v>
      </c>
      <c r="F342" s="1981" t="s">
        <v>1741</v>
      </c>
      <c r="G342" s="33">
        <f>SUM(SP!G889:G891)</f>
        <v>24000</v>
      </c>
      <c r="H342" s="1959">
        <f t="shared" si="527"/>
        <v>-79.112271540469976</v>
      </c>
      <c r="I342" s="33">
        <f>SUM(SP!I889:I891)</f>
        <v>24400</v>
      </c>
      <c r="J342" s="142">
        <f>SUM(SP!J889:J891)</f>
        <v>115100</v>
      </c>
      <c r="K342" s="33">
        <f>SUM(SP!K889:K891)</f>
        <v>25800</v>
      </c>
      <c r="L342" s="33">
        <f>SUM(SP!L889:L891)</f>
        <v>26500</v>
      </c>
      <c r="M342" s="33">
        <f>SUM(SP!M889:M891)</f>
        <v>27100</v>
      </c>
      <c r="N342" s="33">
        <f>SUM(SP!N889:N891)</f>
        <v>27700</v>
      </c>
      <c r="O342" s="33">
        <f>SUM(SP!O889:O891)</f>
        <v>118300</v>
      </c>
      <c r="P342" s="33">
        <f>SUM(SP!P889:P891)</f>
        <v>28900</v>
      </c>
      <c r="Q342" s="33">
        <f>SUM(SP!Q889:Q891)</f>
        <v>29500</v>
      </c>
      <c r="R342" s="114">
        <f>SUM(SP!R889:R891)</f>
        <v>30100</v>
      </c>
    </row>
    <row r="343" spans="1:18" x14ac:dyDescent="0.2">
      <c r="A343" s="107">
        <f>ROUND(SUM(SP!A892:A894),-3)</f>
        <v>3000</v>
      </c>
      <c r="B343" s="33">
        <f>ROUND(SUM(SP!B892:B894),-2)</f>
        <v>2500</v>
      </c>
      <c r="C343" s="33">
        <f>SUM(SP!C892:C894)</f>
        <v>2900</v>
      </c>
      <c r="D343" s="33">
        <f>SUM(SP!D892:D894)</f>
        <v>2900</v>
      </c>
      <c r="E343" s="343" t="s">
        <v>142</v>
      </c>
      <c r="F343" s="1981" t="s">
        <v>1742</v>
      </c>
      <c r="G343" s="33">
        <f>SUM(SP!G892:G894)</f>
        <v>3000</v>
      </c>
      <c r="H343" s="1959">
        <f t="shared" si="527"/>
        <v>3.4482758620689653</v>
      </c>
      <c r="I343" s="33">
        <f>SUM(SP!I892:I894)</f>
        <v>3100</v>
      </c>
      <c r="J343" s="142">
        <f>SUM(SP!J892:J894)</f>
        <v>3200</v>
      </c>
      <c r="K343" s="33">
        <f>SUM(SP!K892:K894)</f>
        <v>3300</v>
      </c>
      <c r="L343" s="33">
        <f>SUM(SP!L892:L894)</f>
        <v>3400</v>
      </c>
      <c r="M343" s="33">
        <f>SUM(SP!M892:M894)</f>
        <v>3500</v>
      </c>
      <c r="N343" s="33">
        <f>SUM(SP!N892:N894)</f>
        <v>3600</v>
      </c>
      <c r="O343" s="33">
        <f>SUM(SP!O892:O894)</f>
        <v>3700</v>
      </c>
      <c r="P343" s="33">
        <f>SUM(SP!P892:P894)</f>
        <v>3800</v>
      </c>
      <c r="Q343" s="33">
        <f>SUM(SP!Q892:Q894)</f>
        <v>3900</v>
      </c>
      <c r="R343" s="114">
        <f>SUM(SP!R892:R894)</f>
        <v>4000</v>
      </c>
    </row>
    <row r="344" spans="1:18" x14ac:dyDescent="0.2">
      <c r="A344" s="107">
        <f>ROUND(SUM(SP!A911:A922),-3)</f>
        <v>178000</v>
      </c>
      <c r="B344" s="33">
        <f>ROUND(SUM(SP!B911:B922),-2)</f>
        <v>215500</v>
      </c>
      <c r="C344" s="33">
        <f>SUM(SP!C911:C922)</f>
        <v>153400</v>
      </c>
      <c r="D344" s="33">
        <f>SUM(SP!D911:D922)</f>
        <v>69800</v>
      </c>
      <c r="E344" s="343" t="s">
        <v>142</v>
      </c>
      <c r="F344" s="1952" t="s">
        <v>3670</v>
      </c>
      <c r="G344" s="33">
        <f>SUM(SP!G911:G922)</f>
        <v>214300</v>
      </c>
      <c r="H344" s="1959">
        <f t="shared" si="527"/>
        <v>207.02005730659025</v>
      </c>
      <c r="I344" s="33">
        <f>SUM(SP!I911:I922)</f>
        <v>105000</v>
      </c>
      <c r="J344" s="142">
        <f>SUM(SP!J911:J922)</f>
        <v>107700</v>
      </c>
      <c r="K344" s="33">
        <f>SUM(SP!K911:K922)</f>
        <v>110500</v>
      </c>
      <c r="L344" s="33">
        <f>SUM(SP!L911:L922)</f>
        <v>113400</v>
      </c>
      <c r="M344" s="33">
        <f>SUM(SP!M911:M922)</f>
        <v>115800</v>
      </c>
      <c r="N344" s="33">
        <f>SUM(SP!N911:N922)</f>
        <v>118200</v>
      </c>
      <c r="O344" s="33">
        <f>SUM(SP!O911:O922)</f>
        <v>120700</v>
      </c>
      <c r="P344" s="33">
        <f>SUM(SP!P911:P922)</f>
        <v>123200</v>
      </c>
      <c r="Q344" s="33">
        <f>SUM(SP!Q911:Q922)</f>
        <v>125800</v>
      </c>
      <c r="R344" s="114">
        <f>SUM(SP!R911:R922)</f>
        <v>128400</v>
      </c>
    </row>
    <row r="345" spans="1:18" x14ac:dyDescent="0.2">
      <c r="A345" s="107"/>
      <c r="B345" s="33"/>
      <c r="C345" s="33"/>
      <c r="D345" s="33"/>
      <c r="E345" s="343"/>
      <c r="F345" s="1952"/>
      <c r="G345" s="33"/>
      <c r="H345" s="1959"/>
      <c r="I345" s="33"/>
      <c r="J345" s="142"/>
      <c r="K345" s="33"/>
      <c r="L345" s="33"/>
      <c r="M345" s="33"/>
      <c r="N345" s="33"/>
      <c r="O345" s="33"/>
      <c r="P345" s="33"/>
      <c r="Q345" s="33"/>
      <c r="R345" s="114"/>
    </row>
    <row r="346" spans="1:18" x14ac:dyDescent="0.2">
      <c r="A346" s="107"/>
      <c r="B346" s="33"/>
      <c r="C346" s="33"/>
      <c r="D346" s="33"/>
      <c r="E346" s="343"/>
      <c r="F346" s="1308" t="s">
        <v>3571</v>
      </c>
      <c r="G346" s="33"/>
      <c r="H346" s="1959"/>
      <c r="I346" s="33"/>
      <c r="J346" s="142"/>
      <c r="K346" s="33"/>
      <c r="L346" s="33"/>
      <c r="M346" s="33"/>
      <c r="N346" s="33"/>
      <c r="O346" s="33"/>
      <c r="P346" s="33"/>
      <c r="Q346" s="33"/>
      <c r="R346" s="114"/>
    </row>
    <row r="347" spans="1:18" ht="12" customHeight="1" x14ac:dyDescent="0.2">
      <c r="A347" s="107">
        <f t="shared" ref="A347:B347" si="528">A923</f>
        <v>50300</v>
      </c>
      <c r="B347" s="33">
        <f t="shared" si="528"/>
        <v>79600</v>
      </c>
      <c r="C347" s="33">
        <f t="shared" ref="C347:D351" si="529">C923</f>
        <v>95900</v>
      </c>
      <c r="D347" s="33">
        <f t="shared" si="529"/>
        <v>122300</v>
      </c>
      <c r="E347" s="343" t="s">
        <v>142</v>
      </c>
      <c r="F347" s="1952" t="s">
        <v>4777</v>
      </c>
      <c r="G347" s="33">
        <f t="shared" ref="G347:P347" si="530">G923</f>
        <v>120000</v>
      </c>
      <c r="H347" s="1959">
        <f t="shared" ref="H347:H354" si="531">IF(D347=G347,0,IF(D347=0,100,(G347-D347)/D347*100))</f>
        <v>-1.8806214227309894</v>
      </c>
      <c r="I347" s="33">
        <f t="shared" si="530"/>
        <v>120000</v>
      </c>
      <c r="J347" s="142">
        <f t="shared" si="530"/>
        <v>120000</v>
      </c>
      <c r="K347" s="33">
        <f t="shared" si="530"/>
        <v>120000</v>
      </c>
      <c r="L347" s="33">
        <f t="shared" si="530"/>
        <v>120000</v>
      </c>
      <c r="M347" s="33">
        <f t="shared" si="530"/>
        <v>120000</v>
      </c>
      <c r="N347" s="33">
        <f t="shared" si="530"/>
        <v>120000</v>
      </c>
      <c r="O347" s="33">
        <f t="shared" si="530"/>
        <v>120000</v>
      </c>
      <c r="P347" s="33">
        <f t="shared" si="530"/>
        <v>120000</v>
      </c>
      <c r="Q347" s="33">
        <f t="shared" ref="Q347" si="532">Q923</f>
        <v>120000</v>
      </c>
      <c r="R347" s="114">
        <f t="shared" ref="R347" si="533">R923</f>
        <v>120000</v>
      </c>
    </row>
    <row r="348" spans="1:18" ht="12" customHeight="1" x14ac:dyDescent="0.2">
      <c r="A348" s="107">
        <f t="shared" ref="A348:B348" si="534">A924</f>
        <v>3300</v>
      </c>
      <c r="B348" s="33">
        <f t="shared" si="534"/>
        <v>4700</v>
      </c>
      <c r="C348" s="33">
        <f t="shared" si="529"/>
        <v>7500</v>
      </c>
      <c r="D348" s="33">
        <f t="shared" si="529"/>
        <v>0</v>
      </c>
      <c r="E348" s="343" t="s">
        <v>142</v>
      </c>
      <c r="F348" s="1952" t="s">
        <v>4668</v>
      </c>
      <c r="G348" s="33">
        <f t="shared" ref="G348:P348" si="535">G924</f>
        <v>0</v>
      </c>
      <c r="H348" s="1959">
        <f t="shared" si="531"/>
        <v>0</v>
      </c>
      <c r="I348" s="33">
        <f t="shared" si="535"/>
        <v>0</v>
      </c>
      <c r="J348" s="142">
        <f t="shared" si="535"/>
        <v>0</v>
      </c>
      <c r="K348" s="33">
        <f t="shared" si="535"/>
        <v>0</v>
      </c>
      <c r="L348" s="33">
        <f t="shared" si="535"/>
        <v>0</v>
      </c>
      <c r="M348" s="33">
        <f t="shared" si="535"/>
        <v>0</v>
      </c>
      <c r="N348" s="33">
        <f t="shared" si="535"/>
        <v>0</v>
      </c>
      <c r="O348" s="33">
        <f t="shared" si="535"/>
        <v>0</v>
      </c>
      <c r="P348" s="33">
        <f t="shared" si="535"/>
        <v>0</v>
      </c>
      <c r="Q348" s="33">
        <f t="shared" ref="Q348" si="536">Q924</f>
        <v>0</v>
      </c>
      <c r="R348" s="114">
        <f t="shared" ref="R348" si="537">R924</f>
        <v>0</v>
      </c>
    </row>
    <row r="349" spans="1:18" ht="12" customHeight="1" x14ac:dyDescent="0.2">
      <c r="A349" s="107">
        <f t="shared" ref="A349:B349" si="538">A925</f>
        <v>2800</v>
      </c>
      <c r="B349" s="33">
        <f t="shared" si="538"/>
        <v>2000</v>
      </c>
      <c r="C349" s="33">
        <f t="shared" si="529"/>
        <v>0</v>
      </c>
      <c r="D349" s="33">
        <f t="shared" si="529"/>
        <v>0</v>
      </c>
      <c r="E349" s="343" t="s">
        <v>142</v>
      </c>
      <c r="F349" s="1952" t="s">
        <v>1176</v>
      </c>
      <c r="G349" s="33">
        <f t="shared" ref="G349:P349" si="539">G925</f>
        <v>0</v>
      </c>
      <c r="H349" s="1959">
        <f t="shared" si="531"/>
        <v>0</v>
      </c>
      <c r="I349" s="33">
        <f t="shared" si="539"/>
        <v>0</v>
      </c>
      <c r="J349" s="142">
        <f t="shared" si="539"/>
        <v>0</v>
      </c>
      <c r="K349" s="33">
        <f t="shared" si="539"/>
        <v>0</v>
      </c>
      <c r="L349" s="33">
        <f t="shared" si="539"/>
        <v>0</v>
      </c>
      <c r="M349" s="33">
        <f t="shared" si="539"/>
        <v>0</v>
      </c>
      <c r="N349" s="33">
        <f t="shared" si="539"/>
        <v>0</v>
      </c>
      <c r="O349" s="33">
        <f t="shared" si="539"/>
        <v>0</v>
      </c>
      <c r="P349" s="33">
        <f t="shared" si="539"/>
        <v>0</v>
      </c>
      <c r="Q349" s="33">
        <f t="shared" ref="Q349" si="540">Q925</f>
        <v>0</v>
      </c>
      <c r="R349" s="114">
        <f t="shared" ref="R349" si="541">R925</f>
        <v>0</v>
      </c>
    </row>
    <row r="350" spans="1:18" ht="12" customHeight="1" x14ac:dyDescent="0.2">
      <c r="A350" s="107">
        <f t="shared" ref="A350:B350" si="542">A926</f>
        <v>13200</v>
      </c>
      <c r="B350" s="33">
        <f t="shared" si="542"/>
        <v>14600</v>
      </c>
      <c r="C350" s="33">
        <f t="shared" si="529"/>
        <v>13500</v>
      </c>
      <c r="D350" s="33">
        <f t="shared" si="529"/>
        <v>3900</v>
      </c>
      <c r="E350" s="343" t="s">
        <v>142</v>
      </c>
      <c r="F350" s="1952" t="s">
        <v>1503</v>
      </c>
      <c r="G350" s="33">
        <f t="shared" ref="G350:P350" si="543">G926</f>
        <v>4000</v>
      </c>
      <c r="H350" s="1959">
        <f t="shared" si="531"/>
        <v>2.5641025641025639</v>
      </c>
      <c r="I350" s="33">
        <f t="shared" si="543"/>
        <v>4000</v>
      </c>
      <c r="J350" s="142">
        <f t="shared" si="543"/>
        <v>4100</v>
      </c>
      <c r="K350" s="33">
        <f t="shared" si="543"/>
        <v>4300</v>
      </c>
      <c r="L350" s="33">
        <f t="shared" si="543"/>
        <v>4500</v>
      </c>
      <c r="M350" s="33">
        <f t="shared" si="543"/>
        <v>4600</v>
      </c>
      <c r="N350" s="33">
        <f t="shared" si="543"/>
        <v>4700</v>
      </c>
      <c r="O350" s="33">
        <f t="shared" si="543"/>
        <v>4800</v>
      </c>
      <c r="P350" s="33">
        <f t="shared" si="543"/>
        <v>4900</v>
      </c>
      <c r="Q350" s="33">
        <f t="shared" ref="Q350" si="544">Q926</f>
        <v>5000</v>
      </c>
      <c r="R350" s="114">
        <f t="shared" ref="R350" si="545">R926</f>
        <v>5100</v>
      </c>
    </row>
    <row r="351" spans="1:18" ht="12" customHeight="1" x14ac:dyDescent="0.2">
      <c r="A351" s="107">
        <f t="shared" ref="A351:B351" si="546">A927</f>
        <v>1500</v>
      </c>
      <c r="B351" s="33">
        <f t="shared" si="546"/>
        <v>3600</v>
      </c>
      <c r="C351" s="33">
        <f t="shared" si="529"/>
        <v>3400</v>
      </c>
      <c r="D351" s="33">
        <f t="shared" si="529"/>
        <v>3800</v>
      </c>
      <c r="E351" s="343" t="s">
        <v>142</v>
      </c>
      <c r="F351" s="1952" t="s">
        <v>4778</v>
      </c>
      <c r="G351" s="33">
        <f t="shared" ref="G351:P351" si="547">G927</f>
        <v>3000</v>
      </c>
      <c r="H351" s="1959">
        <f t="shared" si="531"/>
        <v>-21.052631578947366</v>
      </c>
      <c r="I351" s="33">
        <f t="shared" si="547"/>
        <v>3000</v>
      </c>
      <c r="J351" s="142">
        <f t="shared" si="547"/>
        <v>3100</v>
      </c>
      <c r="K351" s="33">
        <f t="shared" si="547"/>
        <v>3200</v>
      </c>
      <c r="L351" s="33">
        <f t="shared" si="547"/>
        <v>3300</v>
      </c>
      <c r="M351" s="33">
        <f t="shared" si="547"/>
        <v>3400</v>
      </c>
      <c r="N351" s="33">
        <f t="shared" si="547"/>
        <v>3500</v>
      </c>
      <c r="O351" s="33">
        <f t="shared" si="547"/>
        <v>3600</v>
      </c>
      <c r="P351" s="33">
        <f t="shared" si="547"/>
        <v>3700</v>
      </c>
      <c r="Q351" s="33">
        <f t="shared" ref="Q351" si="548">Q927</f>
        <v>3800</v>
      </c>
      <c r="R351" s="114">
        <f t="shared" ref="R351" si="549">R927</f>
        <v>3900</v>
      </c>
    </row>
    <row r="352" spans="1:18" ht="12" customHeight="1" x14ac:dyDescent="0.2">
      <c r="A352" s="107">
        <f>SP!A929</f>
        <v>16700</v>
      </c>
      <c r="B352" s="33">
        <f>SP!B929</f>
        <v>18700</v>
      </c>
      <c r="C352" s="33">
        <f>SP!C929</f>
        <v>19000</v>
      </c>
      <c r="D352" s="33">
        <f>SP!D929</f>
        <v>19700</v>
      </c>
      <c r="E352" s="343" t="s">
        <v>142</v>
      </c>
      <c r="F352" s="1952" t="s">
        <v>2802</v>
      </c>
      <c r="G352" s="33">
        <f>SP!G929</f>
        <v>20000</v>
      </c>
      <c r="H352" s="138">
        <f t="shared" si="531"/>
        <v>1.5228426395939088</v>
      </c>
      <c r="I352" s="33">
        <f>SP!I929</f>
        <v>21000</v>
      </c>
      <c r="J352" s="142">
        <f>SP!J929</f>
        <v>21600</v>
      </c>
      <c r="K352" s="33">
        <f>SP!K929</f>
        <v>22200</v>
      </c>
      <c r="L352" s="33">
        <f>SP!L929</f>
        <v>22800</v>
      </c>
      <c r="M352" s="33">
        <f>SP!M929</f>
        <v>23300</v>
      </c>
      <c r="N352" s="33">
        <f>SP!N929</f>
        <v>23800</v>
      </c>
      <c r="O352" s="33">
        <f>SP!O929</f>
        <v>24300</v>
      </c>
      <c r="P352" s="33">
        <f>SP!P929</f>
        <v>24800</v>
      </c>
      <c r="Q352" s="33">
        <f>SP!Q929</f>
        <v>25300</v>
      </c>
      <c r="R352" s="114">
        <f>SP!R929</f>
        <v>25900</v>
      </c>
    </row>
    <row r="353" spans="1:18" ht="12" customHeight="1" x14ac:dyDescent="0.2">
      <c r="A353" s="107">
        <f>SP!A928</f>
        <v>5600</v>
      </c>
      <c r="B353" s="33">
        <f>SP!B928</f>
        <v>15800</v>
      </c>
      <c r="C353" s="33">
        <f>SP!C928</f>
        <v>11000</v>
      </c>
      <c r="D353" s="33">
        <f>SP!D928</f>
        <v>19200</v>
      </c>
      <c r="E353" s="343" t="s">
        <v>142</v>
      </c>
      <c r="F353" s="1952" t="s">
        <v>1523</v>
      </c>
      <c r="G353" s="33">
        <f>SP!G928</f>
        <v>12000</v>
      </c>
      <c r="H353" s="138">
        <f t="shared" si="531"/>
        <v>-37.5</v>
      </c>
      <c r="I353" s="33">
        <f>SP!I928</f>
        <v>12000</v>
      </c>
      <c r="J353" s="142">
        <f>SP!J928</f>
        <v>12300</v>
      </c>
      <c r="K353" s="33">
        <f>SP!K928</f>
        <v>12700</v>
      </c>
      <c r="L353" s="33">
        <f>SP!L928</f>
        <v>13100</v>
      </c>
      <c r="M353" s="33">
        <f>SP!M928</f>
        <v>13400</v>
      </c>
      <c r="N353" s="33">
        <f>SP!N928</f>
        <v>13700</v>
      </c>
      <c r="O353" s="33">
        <f>SP!O928</f>
        <v>14000</v>
      </c>
      <c r="P353" s="33">
        <f>SP!P928</f>
        <v>14300</v>
      </c>
      <c r="Q353" s="33">
        <f>SP!Q928</f>
        <v>14600</v>
      </c>
      <c r="R353" s="114">
        <f>SP!R928</f>
        <v>14900</v>
      </c>
    </row>
    <row r="354" spans="1:18" ht="12" customHeight="1" x14ac:dyDescent="0.2">
      <c r="A354" s="107">
        <f>+A930</f>
        <v>2200</v>
      </c>
      <c r="B354" s="33">
        <f>+B930</f>
        <v>1300</v>
      </c>
      <c r="C354" s="33">
        <f>+C930</f>
        <v>1300</v>
      </c>
      <c r="D354" s="33">
        <f>+D930</f>
        <v>0</v>
      </c>
      <c r="E354" s="343" t="s">
        <v>142</v>
      </c>
      <c r="F354" s="1952" t="s">
        <v>4669</v>
      </c>
      <c r="G354" s="33">
        <f>+G930</f>
        <v>1600</v>
      </c>
      <c r="H354" s="138">
        <f t="shared" si="531"/>
        <v>100</v>
      </c>
      <c r="I354" s="33">
        <f>+I930</f>
        <v>1700</v>
      </c>
      <c r="J354" s="142">
        <f t="shared" ref="J354:Q354" si="550">+J930</f>
        <v>1800</v>
      </c>
      <c r="K354" s="33">
        <f t="shared" si="550"/>
        <v>1900</v>
      </c>
      <c r="L354" s="99">
        <f t="shared" si="550"/>
        <v>2000</v>
      </c>
      <c r="M354" s="99">
        <f t="shared" si="550"/>
        <v>2100</v>
      </c>
      <c r="N354" s="33">
        <f t="shared" si="550"/>
        <v>2200</v>
      </c>
      <c r="O354" s="33">
        <f t="shared" si="550"/>
        <v>2300</v>
      </c>
      <c r="P354" s="33">
        <f t="shared" si="550"/>
        <v>2400</v>
      </c>
      <c r="Q354" s="33">
        <f t="shared" si="550"/>
        <v>2500</v>
      </c>
      <c r="R354" s="114">
        <f t="shared" ref="R354" si="551">+R930</f>
        <v>2600</v>
      </c>
    </row>
    <row r="355" spans="1:18" ht="12" customHeight="1" x14ac:dyDescent="0.2">
      <c r="A355" s="107"/>
      <c r="B355" s="33"/>
      <c r="C355" s="33"/>
      <c r="D355" s="142"/>
      <c r="E355" s="344"/>
      <c r="F355" s="1952"/>
      <c r="G355" s="33"/>
      <c r="H355" s="138"/>
      <c r="I355" s="33"/>
      <c r="J355" s="142"/>
      <c r="K355" s="33"/>
      <c r="L355" s="99"/>
      <c r="M355" s="33"/>
      <c r="N355" s="33"/>
      <c r="O355" s="33"/>
      <c r="P355" s="33"/>
      <c r="Q355" s="33"/>
      <c r="R355" s="114"/>
    </row>
    <row r="356" spans="1:18" s="133" customFormat="1" x14ac:dyDescent="0.2">
      <c r="A356" s="71"/>
      <c r="B356" s="132"/>
      <c r="C356" s="1011"/>
      <c r="D356" s="1012"/>
      <c r="E356" s="1097"/>
      <c r="F356" s="1308" t="s">
        <v>265</v>
      </c>
      <c r="G356" s="1011"/>
      <c r="H356" s="827"/>
      <c r="I356" s="132"/>
      <c r="J356" s="130"/>
      <c r="K356" s="132"/>
      <c r="L356" s="132"/>
      <c r="M356" s="132"/>
      <c r="N356" s="132"/>
      <c r="O356" s="132"/>
      <c r="P356" s="132"/>
      <c r="Q356" s="132"/>
      <c r="R356" s="131"/>
    </row>
    <row r="357" spans="1:18" x14ac:dyDescent="0.2">
      <c r="A357" s="98">
        <f t="shared" ref="A357:B357" si="552">A933</f>
        <v>88100</v>
      </c>
      <c r="B357" s="33">
        <f t="shared" si="552"/>
        <v>48500</v>
      </c>
      <c r="C357" s="187">
        <f>C933</f>
        <v>26000</v>
      </c>
      <c r="D357" s="189">
        <f>D933</f>
        <v>26600</v>
      </c>
      <c r="E357" s="1417">
        <v>35150</v>
      </c>
      <c r="F357" s="1956" t="s">
        <v>4671</v>
      </c>
      <c r="G357" s="187">
        <f t="shared" ref="G357:O357" si="553">G933</f>
        <v>26000</v>
      </c>
      <c r="H357" s="138">
        <f>IF(D357=G357,0,IF(D357=0,100,(G357-D357)/D357*100))</f>
        <v>-2.2556390977443606</v>
      </c>
      <c r="I357" s="33">
        <f t="shared" si="553"/>
        <v>26600</v>
      </c>
      <c r="J357" s="142">
        <f t="shared" si="553"/>
        <v>27200</v>
      </c>
      <c r="K357" s="33">
        <f t="shared" si="553"/>
        <v>27800</v>
      </c>
      <c r="L357" s="33">
        <f t="shared" si="553"/>
        <v>28400</v>
      </c>
      <c r="M357" s="33">
        <f t="shared" si="553"/>
        <v>29000</v>
      </c>
      <c r="N357" s="33">
        <f t="shared" si="553"/>
        <v>29600</v>
      </c>
      <c r="O357" s="33">
        <f t="shared" si="553"/>
        <v>30200</v>
      </c>
      <c r="P357" s="33">
        <f t="shared" ref="P357:Q357" si="554">P933</f>
        <v>30900</v>
      </c>
      <c r="Q357" s="33">
        <f t="shared" si="554"/>
        <v>31600</v>
      </c>
      <c r="R357" s="114">
        <f t="shared" ref="R357" si="555">R933</f>
        <v>32300</v>
      </c>
    </row>
    <row r="358" spans="1:18" ht="13.5" thickBot="1" x14ac:dyDescent="0.25">
      <c r="A358" s="70"/>
      <c r="B358" s="64"/>
      <c r="C358" s="64"/>
      <c r="D358" s="64"/>
      <c r="E358" s="343"/>
      <c r="F358" s="74"/>
      <c r="G358" s="33"/>
      <c r="H358" s="179"/>
      <c r="I358" s="33"/>
      <c r="J358" s="142"/>
      <c r="K358" s="33"/>
      <c r="L358" s="33"/>
      <c r="M358" s="33"/>
      <c r="N358" s="33"/>
      <c r="O358" s="33"/>
      <c r="P358" s="33"/>
      <c r="Q358" s="33"/>
      <c r="R358" s="114"/>
    </row>
    <row r="359" spans="1:18" s="92" customFormat="1" x14ac:dyDescent="0.2">
      <c r="A359" s="105">
        <f>SUM(A337:A358)</f>
        <v>679700</v>
      </c>
      <c r="B359" s="53">
        <f>SUM(B337:B358)</f>
        <v>736400</v>
      </c>
      <c r="C359" s="53">
        <f>SUM(C337:C358)</f>
        <v>673000</v>
      </c>
      <c r="D359" s="53">
        <f>SUM(D337:D358)</f>
        <v>740400</v>
      </c>
      <c r="E359" s="282"/>
      <c r="F359" s="112" t="s">
        <v>565</v>
      </c>
      <c r="G359" s="53">
        <f>SUM(G337:G358)</f>
        <v>732100</v>
      </c>
      <c r="H359" s="180">
        <f>IF(D359=G359,0,IF(D359=0,100,(G359-D359)/D359*100))</f>
        <v>-1.1210156672069151</v>
      </c>
      <c r="I359" s="53">
        <f t="shared" ref="I359:Q359" si="556">SUM(I337:I358)</f>
        <v>626200</v>
      </c>
      <c r="J359" s="155">
        <f t="shared" si="556"/>
        <v>730000</v>
      </c>
      <c r="K359" s="53">
        <f t="shared" si="556"/>
        <v>654300</v>
      </c>
      <c r="L359" s="53">
        <f t="shared" si="556"/>
        <v>668800</v>
      </c>
      <c r="M359" s="53">
        <f t="shared" si="556"/>
        <v>682000</v>
      </c>
      <c r="N359" s="53">
        <f t="shared" si="556"/>
        <v>695400</v>
      </c>
      <c r="O359" s="53">
        <f t="shared" si="556"/>
        <v>799000</v>
      </c>
      <c r="P359" s="53">
        <f t="shared" si="556"/>
        <v>723200</v>
      </c>
      <c r="Q359" s="53">
        <f t="shared" si="556"/>
        <v>737700</v>
      </c>
      <c r="R359" s="113">
        <f t="shared" ref="R359" si="557">SUM(R337:R358)</f>
        <v>752600</v>
      </c>
    </row>
    <row r="360" spans="1:18" x14ac:dyDescent="0.2">
      <c r="A360" s="107"/>
      <c r="B360" s="33"/>
      <c r="C360" s="33"/>
      <c r="D360" s="33"/>
      <c r="E360" s="255"/>
      <c r="F360" s="108"/>
      <c r="G360" s="33"/>
      <c r="H360" s="138"/>
      <c r="I360" s="33"/>
      <c r="J360" s="142"/>
      <c r="K360" s="33"/>
      <c r="L360" s="33"/>
      <c r="M360" s="33"/>
      <c r="N360" s="33"/>
      <c r="O360" s="33"/>
      <c r="P360" s="33"/>
      <c r="Q360" s="33"/>
      <c r="R360" s="114"/>
    </row>
    <row r="361" spans="1:18" s="92" customFormat="1" x14ac:dyDescent="0.2">
      <c r="A361" s="70">
        <f>A335-A359</f>
        <v>-533600</v>
      </c>
      <c r="B361" s="64">
        <f>B335-B359</f>
        <v>-597300</v>
      </c>
      <c r="C361" s="64">
        <f>C335-C359</f>
        <v>-533300</v>
      </c>
      <c r="D361" s="64">
        <f>D335-D359</f>
        <v>-595500</v>
      </c>
      <c r="E361" s="282"/>
      <c r="F361" s="1962" t="s">
        <v>1019</v>
      </c>
      <c r="G361" s="64">
        <f>G335-G359</f>
        <v>-617300</v>
      </c>
      <c r="H361" s="179">
        <f>IF(D361=G361,0,IF(D361=0,100,(G361-D361)/D361*100))</f>
        <v>3.6607892527287995</v>
      </c>
      <c r="I361" s="64">
        <f t="shared" ref="I361:Q361" si="558">I335-I359</f>
        <v>-559900</v>
      </c>
      <c r="J361" s="128">
        <f t="shared" si="558"/>
        <v>-571600</v>
      </c>
      <c r="K361" s="64">
        <f t="shared" si="558"/>
        <v>-583700</v>
      </c>
      <c r="L361" s="64">
        <f t="shared" si="558"/>
        <v>-596000</v>
      </c>
      <c r="M361" s="64">
        <f t="shared" si="558"/>
        <v>-607400</v>
      </c>
      <c r="N361" s="64">
        <f t="shared" si="558"/>
        <v>-619000</v>
      </c>
      <c r="O361" s="64">
        <f t="shared" si="558"/>
        <v>-630600</v>
      </c>
      <c r="P361" s="64">
        <f t="shared" si="558"/>
        <v>-642700</v>
      </c>
      <c r="Q361" s="64">
        <f t="shared" si="558"/>
        <v>-655100</v>
      </c>
      <c r="R361" s="115">
        <f t="shared" ref="R361" si="559">R335-R359</f>
        <v>-667900</v>
      </c>
    </row>
    <row r="362" spans="1:18" x14ac:dyDescent="0.2">
      <c r="A362" s="107">
        <f t="shared" ref="A362:B362" si="560">A357</f>
        <v>88100</v>
      </c>
      <c r="B362" s="33">
        <f t="shared" si="560"/>
        <v>48500</v>
      </c>
      <c r="C362" s="33">
        <f>C357</f>
        <v>26000</v>
      </c>
      <c r="D362" s="33">
        <f>D357</f>
        <v>26600</v>
      </c>
      <c r="E362" s="255"/>
      <c r="F362" s="2531" t="s">
        <v>1976</v>
      </c>
      <c r="G362" s="33">
        <f t="shared" ref="G362:O362" si="561">G357</f>
        <v>26000</v>
      </c>
      <c r="H362" s="2218">
        <f>IF(D362=G362,0,IF(D362=0,100,(G362-D362)/D362*100))</f>
        <v>-2.2556390977443606</v>
      </c>
      <c r="I362" s="33">
        <f t="shared" si="561"/>
        <v>26600</v>
      </c>
      <c r="J362" s="142">
        <f t="shared" si="561"/>
        <v>27200</v>
      </c>
      <c r="K362" s="33">
        <f t="shared" si="561"/>
        <v>27800</v>
      </c>
      <c r="L362" s="33">
        <f t="shared" si="561"/>
        <v>28400</v>
      </c>
      <c r="M362" s="33">
        <f t="shared" si="561"/>
        <v>29000</v>
      </c>
      <c r="N362" s="33">
        <f t="shared" si="561"/>
        <v>29600</v>
      </c>
      <c r="O362" s="33">
        <f t="shared" si="561"/>
        <v>30200</v>
      </c>
      <c r="P362" s="33">
        <f t="shared" ref="P362:Q362" si="562">P357</f>
        <v>30900</v>
      </c>
      <c r="Q362" s="33">
        <f t="shared" si="562"/>
        <v>31600</v>
      </c>
      <c r="R362" s="114">
        <f t="shared" ref="R362" si="563">R357</f>
        <v>32300</v>
      </c>
    </row>
    <row r="363" spans="1:18" s="92" customFormat="1" x14ac:dyDescent="0.2">
      <c r="A363" s="181">
        <f>A361+A362</f>
        <v>-445500</v>
      </c>
      <c r="B363" s="397">
        <f>B361+B362</f>
        <v>-548800</v>
      </c>
      <c r="C363" s="397">
        <f>C361+C362</f>
        <v>-507300</v>
      </c>
      <c r="D363" s="397">
        <f>D361+D362</f>
        <v>-568900</v>
      </c>
      <c r="E363" s="514"/>
      <c r="F363" s="1972" t="s">
        <v>1687</v>
      </c>
      <c r="G363" s="397">
        <f t="shared" ref="G363:O363" si="564">G361+G362</f>
        <v>-591300</v>
      </c>
      <c r="H363" s="395">
        <f>IF(D363=G363,0,IF(D363=0,100,(G363-D363)/D363*100))</f>
        <v>3.9374230972051323</v>
      </c>
      <c r="I363" s="397">
        <f t="shared" si="564"/>
        <v>-533300</v>
      </c>
      <c r="J363" s="377">
        <f t="shared" si="564"/>
        <v>-544400</v>
      </c>
      <c r="K363" s="397">
        <f t="shared" si="564"/>
        <v>-555900</v>
      </c>
      <c r="L363" s="397">
        <f t="shared" si="564"/>
        <v>-567600</v>
      </c>
      <c r="M363" s="397">
        <f t="shared" si="564"/>
        <v>-578400</v>
      </c>
      <c r="N363" s="397">
        <f t="shared" si="564"/>
        <v>-589400</v>
      </c>
      <c r="O363" s="397">
        <f t="shared" si="564"/>
        <v>-600400</v>
      </c>
      <c r="P363" s="397">
        <f t="shared" ref="P363:Q363" si="565">P361+P362</f>
        <v>-611800</v>
      </c>
      <c r="Q363" s="397">
        <f t="shared" si="565"/>
        <v>-623500</v>
      </c>
      <c r="R363" s="399">
        <f t="shared" ref="R363" si="566">R361+R362</f>
        <v>-635600</v>
      </c>
    </row>
    <row r="364" spans="1:18" ht="13.5" thickBot="1" x14ac:dyDescent="0.25">
      <c r="A364" s="73"/>
      <c r="B364" s="90"/>
      <c r="C364" s="90"/>
      <c r="D364" s="90"/>
      <c r="E364" s="285"/>
      <c r="F364" s="368"/>
      <c r="G364" s="174"/>
      <c r="H364" s="392"/>
      <c r="I364" s="121"/>
      <c r="J364" s="95"/>
      <c r="K364" s="121"/>
      <c r="L364" s="121"/>
      <c r="M364" s="121"/>
      <c r="N364" s="121"/>
      <c r="O364" s="121"/>
      <c r="P364" s="121"/>
      <c r="Q364" s="121"/>
      <c r="R364" s="161"/>
    </row>
    <row r="365" spans="1:18" ht="13.5" thickTop="1" x14ac:dyDescent="0.2">
      <c r="A365" s="383"/>
      <c r="B365" s="162"/>
      <c r="C365" s="162"/>
      <c r="D365" s="162"/>
      <c r="E365" s="286"/>
      <c r="F365" s="367"/>
      <c r="G365" s="176"/>
      <c r="H365" s="505"/>
      <c r="I365" s="127"/>
      <c r="J365" s="164"/>
      <c r="K365" s="127"/>
      <c r="L365" s="127"/>
      <c r="M365" s="127"/>
      <c r="N365" s="127"/>
      <c r="O365" s="127"/>
      <c r="P365" s="127"/>
      <c r="Q365" s="127"/>
      <c r="R365" s="163"/>
    </row>
    <row r="366" spans="1:18" x14ac:dyDescent="0.2">
      <c r="A366" s="70"/>
      <c r="B366" s="64"/>
      <c r="C366" s="64"/>
      <c r="D366" s="64"/>
      <c r="E366" s="283"/>
      <c r="F366" s="516" t="s">
        <v>196</v>
      </c>
      <c r="G366" s="99"/>
      <c r="H366" s="179"/>
      <c r="I366" s="33"/>
      <c r="J366" s="142"/>
      <c r="K366" s="33"/>
      <c r="L366" s="33"/>
      <c r="M366" s="33"/>
      <c r="N366" s="33"/>
      <c r="O366" s="33"/>
      <c r="P366" s="33"/>
      <c r="Q366" s="33"/>
      <c r="R366" s="114"/>
    </row>
    <row r="367" spans="1:18" x14ac:dyDescent="0.2">
      <c r="A367" s="70"/>
      <c r="B367" s="64"/>
      <c r="C367" s="64"/>
      <c r="D367" s="64"/>
      <c r="E367" s="283"/>
      <c r="F367" s="371"/>
      <c r="G367" s="99"/>
      <c r="H367" s="179"/>
      <c r="I367" s="33"/>
      <c r="J367" s="142"/>
      <c r="K367" s="33"/>
      <c r="L367" s="33"/>
      <c r="M367" s="33"/>
      <c r="N367" s="33"/>
      <c r="O367" s="33"/>
      <c r="P367" s="33"/>
      <c r="Q367" s="33"/>
      <c r="R367" s="114"/>
    </row>
    <row r="368" spans="1:18" x14ac:dyDescent="0.2">
      <c r="A368" s="107">
        <f>ROUND(SP!A943+SP!A727,-3)</f>
        <v>0</v>
      </c>
      <c r="B368" s="33">
        <f>SP!B943+SP!B727</f>
        <v>0</v>
      </c>
      <c r="C368" s="33">
        <f>SP!C943+SP!C727</f>
        <v>0</v>
      </c>
      <c r="D368" s="33">
        <f>SP!D943+SP!D727</f>
        <v>0</v>
      </c>
      <c r="E368" s="283"/>
      <c r="F368" s="366" t="s">
        <v>2900</v>
      </c>
      <c r="G368" s="99">
        <f>SP!G943+SP!G727</f>
        <v>0</v>
      </c>
      <c r="H368" s="138"/>
      <c r="I368" s="33">
        <f>SP!I943+SP!I727</f>
        <v>0</v>
      </c>
      <c r="J368" s="142">
        <f>SP!J943+SP!J727</f>
        <v>0</v>
      </c>
      <c r="K368" s="33">
        <f>SP!K943+SP!K727</f>
        <v>0</v>
      </c>
      <c r="L368" s="33">
        <f>SP!L943+SP!L727</f>
        <v>0</v>
      </c>
      <c r="M368" s="33">
        <f>SP!M943+SP!M727</f>
        <v>0</v>
      </c>
      <c r="N368" s="33">
        <f>SP!N943+SP!N727</f>
        <v>0</v>
      </c>
      <c r="O368" s="33">
        <f>SP!O943+SP!O727</f>
        <v>0</v>
      </c>
      <c r="P368" s="33">
        <f>SP!P943+SP!P727</f>
        <v>0</v>
      </c>
      <c r="Q368" s="33">
        <f>SP!Q943+SP!Q727</f>
        <v>0</v>
      </c>
      <c r="R368" s="114">
        <f>SP!R943+SP!R727</f>
        <v>0</v>
      </c>
    </row>
    <row r="369" spans="1:18" x14ac:dyDescent="0.2">
      <c r="A369" s="107">
        <f>ROUND(SP!A944,-3)</f>
        <v>32000</v>
      </c>
      <c r="B369" s="33">
        <f>SP!B944</f>
        <v>32000</v>
      </c>
      <c r="C369" s="33">
        <f>SP!C944</f>
        <v>61000</v>
      </c>
      <c r="D369" s="33">
        <f>SP!D944</f>
        <v>84300</v>
      </c>
      <c r="E369" s="283"/>
      <c r="F369" s="366" t="s">
        <v>1942</v>
      </c>
      <c r="G369" s="99">
        <f>SP!G944</f>
        <v>0</v>
      </c>
      <c r="H369" s="138"/>
      <c r="I369" s="33">
        <f>SP!I944</f>
        <v>0</v>
      </c>
      <c r="J369" s="142">
        <f>SP!J944</f>
        <v>0</v>
      </c>
      <c r="K369" s="33">
        <f>SP!K944</f>
        <v>0</v>
      </c>
      <c r="L369" s="33">
        <f>SP!L944</f>
        <v>0</v>
      </c>
      <c r="M369" s="33">
        <f>SP!M944</f>
        <v>0</v>
      </c>
      <c r="N369" s="33">
        <f>SP!N944</f>
        <v>0</v>
      </c>
      <c r="O369" s="33">
        <f>SP!O944</f>
        <v>0</v>
      </c>
      <c r="P369" s="33">
        <f>SP!P944</f>
        <v>0</v>
      </c>
      <c r="Q369" s="33">
        <f>SP!Q944</f>
        <v>0</v>
      </c>
      <c r="R369" s="114">
        <f>SP!R944</f>
        <v>0</v>
      </c>
    </row>
    <row r="370" spans="1:18" x14ac:dyDescent="0.2">
      <c r="A370" s="107">
        <f>ROUND(SP!A945,-3)</f>
        <v>0</v>
      </c>
      <c r="B370" s="33">
        <f>SP!B945</f>
        <v>32300</v>
      </c>
      <c r="C370" s="33">
        <f>SP!C945</f>
        <v>27000</v>
      </c>
      <c r="D370" s="33">
        <f>SP!D945</f>
        <v>61000</v>
      </c>
      <c r="E370" s="283"/>
      <c r="F370" s="366" t="s">
        <v>2348</v>
      </c>
      <c r="G370" s="99">
        <f>SP!G945</f>
        <v>84300</v>
      </c>
      <c r="H370" s="138"/>
      <c r="I370" s="33">
        <f>SP!I945</f>
        <v>0</v>
      </c>
      <c r="J370" s="142">
        <f>SP!J945</f>
        <v>0</v>
      </c>
      <c r="K370" s="33">
        <f>SP!K945</f>
        <v>0</v>
      </c>
      <c r="L370" s="33">
        <f>SP!L945</f>
        <v>0</v>
      </c>
      <c r="M370" s="33">
        <f>SP!M945</f>
        <v>0</v>
      </c>
      <c r="N370" s="33">
        <f>SP!N945</f>
        <v>0</v>
      </c>
      <c r="O370" s="33">
        <f>SP!O945</f>
        <v>0</v>
      </c>
      <c r="P370" s="33">
        <f>SP!P945</f>
        <v>0</v>
      </c>
      <c r="Q370" s="33">
        <f>SP!Q945</f>
        <v>0</v>
      </c>
      <c r="R370" s="114">
        <f>SP!R945</f>
        <v>0</v>
      </c>
    </row>
    <row r="371" spans="1:18" x14ac:dyDescent="0.2">
      <c r="A371" s="107">
        <f>ROUND(SP!A946,-3)</f>
        <v>0</v>
      </c>
      <c r="B371" s="33">
        <f>SP!B946</f>
        <v>0</v>
      </c>
      <c r="C371" s="33">
        <f>SP!C946</f>
        <v>0</v>
      </c>
      <c r="D371" s="33">
        <f>SP!D946</f>
        <v>0</v>
      </c>
      <c r="E371" s="283"/>
      <c r="F371" s="366" t="s">
        <v>5984</v>
      </c>
      <c r="G371" s="99">
        <f>SP!G946</f>
        <v>0</v>
      </c>
      <c r="H371" s="138"/>
      <c r="I371" s="33">
        <f>SP!I946</f>
        <v>0</v>
      </c>
      <c r="J371" s="142">
        <f>SP!J946</f>
        <v>0</v>
      </c>
      <c r="K371" s="33">
        <f>SP!K946</f>
        <v>0</v>
      </c>
      <c r="L371" s="33">
        <f>SP!L946</f>
        <v>0</v>
      </c>
      <c r="M371" s="33">
        <f>SP!M946</f>
        <v>0</v>
      </c>
      <c r="N371" s="33">
        <f>SP!N946</f>
        <v>0</v>
      </c>
      <c r="O371" s="33">
        <f>SP!O946</f>
        <v>0</v>
      </c>
      <c r="P371" s="33">
        <f>SP!P946</f>
        <v>0</v>
      </c>
      <c r="Q371" s="33">
        <f>SP!Q946</f>
        <v>0</v>
      </c>
      <c r="R371" s="114">
        <f>SP!R946</f>
        <v>0</v>
      </c>
    </row>
    <row r="372" spans="1:18" x14ac:dyDescent="0.2">
      <c r="A372" s="107">
        <f>ROUND(SP!A947,-3)</f>
        <v>0</v>
      </c>
      <c r="B372" s="33">
        <f>SP!B947</f>
        <v>0</v>
      </c>
      <c r="C372" s="33">
        <f>SP!C947</f>
        <v>0</v>
      </c>
      <c r="D372" s="33">
        <f>SP!D947</f>
        <v>0</v>
      </c>
      <c r="E372" s="283"/>
      <c r="F372" s="366" t="s">
        <v>972</v>
      </c>
      <c r="G372" s="99">
        <f>SP!G947</f>
        <v>0</v>
      </c>
      <c r="H372" s="138"/>
      <c r="I372" s="33">
        <f>SP!I947</f>
        <v>0</v>
      </c>
      <c r="J372" s="142">
        <f>SP!J947</f>
        <v>0</v>
      </c>
      <c r="K372" s="33">
        <f>SP!K947</f>
        <v>0</v>
      </c>
      <c r="L372" s="33">
        <f>SP!L947</f>
        <v>0</v>
      </c>
      <c r="M372" s="33">
        <f>SP!M947</f>
        <v>0</v>
      </c>
      <c r="N372" s="33">
        <f>SP!N947</f>
        <v>0</v>
      </c>
      <c r="O372" s="33">
        <f>SP!O947</f>
        <v>0</v>
      </c>
      <c r="P372" s="33">
        <f>SP!P947</f>
        <v>0</v>
      </c>
      <c r="Q372" s="33">
        <f>SP!Q947</f>
        <v>0</v>
      </c>
      <c r="R372" s="114">
        <f>SP!R947</f>
        <v>0</v>
      </c>
    </row>
    <row r="373" spans="1:18" x14ac:dyDescent="0.2">
      <c r="A373" s="107"/>
      <c r="B373" s="33"/>
      <c r="C373" s="33"/>
      <c r="D373" s="33"/>
      <c r="E373" s="283"/>
      <c r="F373" s="516"/>
      <c r="G373" s="99"/>
      <c r="H373" s="138"/>
      <c r="I373" s="33"/>
      <c r="J373" s="142"/>
      <c r="K373" s="33"/>
      <c r="L373" s="33"/>
      <c r="M373" s="33"/>
      <c r="N373" s="33"/>
      <c r="O373" s="33"/>
      <c r="P373" s="33"/>
      <c r="Q373" s="33"/>
      <c r="R373" s="114"/>
    </row>
    <row r="374" spans="1:18" s="92" customFormat="1" ht="11.25" customHeight="1" x14ac:dyDescent="0.2">
      <c r="A374" s="181">
        <f>A363-A368-A369+A370++A371-A372</f>
        <v>-477500</v>
      </c>
      <c r="B374" s="397">
        <f>B363-B368-B369+B370++B371-B372</f>
        <v>-548500</v>
      </c>
      <c r="C374" s="397">
        <f>C363-C368-C369+C370++C371-C372</f>
        <v>-541300</v>
      </c>
      <c r="D374" s="397">
        <f>D363-D368-D369+D370++D371-D372</f>
        <v>-592200</v>
      </c>
      <c r="E374" s="517"/>
      <c r="F374" s="518" t="s">
        <v>2490</v>
      </c>
      <c r="G374" s="704">
        <f t="shared" ref="G374:O374" si="567">G363-G368-G369+G370++G371-G372</f>
        <v>-507000</v>
      </c>
      <c r="H374" s="395">
        <f>IF(D374=G374,0,IF(D374=0,100,(G374-D374)/D374*100))</f>
        <v>-14.387031408308005</v>
      </c>
      <c r="I374" s="397">
        <f t="shared" si="567"/>
        <v>-533300</v>
      </c>
      <c r="J374" s="377">
        <f t="shared" si="567"/>
        <v>-544400</v>
      </c>
      <c r="K374" s="397">
        <f t="shared" si="567"/>
        <v>-555900</v>
      </c>
      <c r="L374" s="397">
        <f t="shared" si="567"/>
        <v>-567600</v>
      </c>
      <c r="M374" s="397">
        <f t="shared" si="567"/>
        <v>-578400</v>
      </c>
      <c r="N374" s="397">
        <f t="shared" si="567"/>
        <v>-589400</v>
      </c>
      <c r="O374" s="397">
        <f t="shared" si="567"/>
        <v>-600400</v>
      </c>
      <c r="P374" s="397">
        <f t="shared" ref="P374:Q374" si="568">P363-P368-P369+P370++P371-P372</f>
        <v>-611800</v>
      </c>
      <c r="Q374" s="397">
        <f t="shared" si="568"/>
        <v>-623500</v>
      </c>
      <c r="R374" s="399">
        <f t="shared" ref="R374" si="569">R363-R368-R369+R370++R371-R372</f>
        <v>-635600</v>
      </c>
    </row>
    <row r="375" spans="1:18" ht="13.5" thickBot="1" x14ac:dyDescent="0.25">
      <c r="A375" s="73"/>
      <c r="B375" s="90"/>
      <c r="C375" s="90"/>
      <c r="D375" s="90"/>
      <c r="E375" s="284"/>
      <c r="F375" s="368"/>
      <c r="G375" s="174"/>
      <c r="H375" s="392"/>
      <c r="I375" s="66"/>
      <c r="J375" s="166"/>
      <c r="K375" s="66"/>
      <c r="L375" s="66"/>
      <c r="M375" s="66"/>
      <c r="N375" s="66"/>
      <c r="O375" s="66"/>
      <c r="P375" s="66"/>
      <c r="Q375" s="66"/>
      <c r="R375" s="165"/>
    </row>
    <row r="376" spans="1:18" ht="14.25" thickTop="1" thickBot="1" x14ac:dyDescent="0.25">
      <c r="A376" s="74"/>
      <c r="B376" s="74"/>
      <c r="C376" s="74"/>
      <c r="D376" s="74"/>
      <c r="E376" s="657"/>
      <c r="F376" s="137"/>
      <c r="G376" s="74"/>
      <c r="H376" s="2211"/>
      <c r="I376" s="99"/>
      <c r="J376" s="99"/>
      <c r="K376" s="99"/>
      <c r="L376" s="99"/>
      <c r="M376" s="99"/>
      <c r="N376" s="99"/>
      <c r="O376" s="99"/>
      <c r="P376" s="99"/>
      <c r="Q376" s="99"/>
      <c r="R376" s="99"/>
    </row>
    <row r="377" spans="1:18" s="91" customFormat="1" ht="18.75" customHeight="1" thickTop="1" thickBot="1" x14ac:dyDescent="0.3">
      <c r="A377" s="2865" t="s">
        <v>462</v>
      </c>
      <c r="B377" s="2866"/>
      <c r="C377" s="2866"/>
      <c r="D377" s="2866"/>
      <c r="E377" s="2866"/>
      <c r="F377" s="2866"/>
      <c r="G377" s="2866"/>
      <c r="H377" s="2866"/>
      <c r="I377" s="2866"/>
      <c r="J377" s="2866"/>
      <c r="K377" s="2866"/>
      <c r="L377" s="2866"/>
      <c r="M377" s="2866"/>
      <c r="N377" s="2866"/>
      <c r="O377" s="2866"/>
      <c r="P377" s="2866"/>
      <c r="Q377" s="2866"/>
      <c r="R377" s="2867"/>
    </row>
    <row r="378" spans="1:18" s="44" customFormat="1" x14ac:dyDescent="0.2">
      <c r="A378" s="2848" t="s">
        <v>1856</v>
      </c>
      <c r="B378" s="2840"/>
      <c r="C378" s="2840"/>
      <c r="D378" s="2849"/>
      <c r="E378" s="513" t="s">
        <v>2663</v>
      </c>
      <c r="F378" s="369" t="s">
        <v>2251</v>
      </c>
      <c r="G378" s="2839" t="s">
        <v>2253</v>
      </c>
      <c r="H378" s="2840"/>
      <c r="I378" s="2840"/>
      <c r="J378" s="2840"/>
      <c r="K378" s="2840"/>
      <c r="L378" s="2840"/>
      <c r="M378" s="2840"/>
      <c r="N378" s="2840"/>
      <c r="O378" s="2840"/>
      <c r="P378" s="2840"/>
      <c r="Q378" s="2840"/>
      <c r="R378" s="2841"/>
    </row>
    <row r="379" spans="1:18" s="23" customFormat="1" ht="13.5" thickBot="1" x14ac:dyDescent="0.25">
      <c r="A379" s="743" t="str">
        <f>A3</f>
        <v>2012/13</v>
      </c>
      <c r="B379" s="218" t="str">
        <f>B3</f>
        <v>2013/14</v>
      </c>
      <c r="C379" s="370" t="str">
        <f>C3</f>
        <v>2014/15</v>
      </c>
      <c r="D379" s="93" t="str">
        <f>D3</f>
        <v>2015/16</v>
      </c>
      <c r="E379" s="501" t="s">
        <v>2664</v>
      </c>
      <c r="F379" s="34"/>
      <c r="G379" s="93" t="str">
        <f>G3</f>
        <v>2016/17</v>
      </c>
      <c r="H379" s="2492" t="s">
        <v>501</v>
      </c>
      <c r="I379" s="370" t="str">
        <f t="shared" ref="I379:Q379" si="570">I3</f>
        <v>2017/18</v>
      </c>
      <c r="J379" s="381" t="str">
        <f t="shared" si="570"/>
        <v>2018/19</v>
      </c>
      <c r="K379" s="89" t="str">
        <f t="shared" si="570"/>
        <v>2019/20</v>
      </c>
      <c r="L379" s="370" t="str">
        <f t="shared" si="570"/>
        <v>2020/21</v>
      </c>
      <c r="M379" s="370" t="str">
        <f t="shared" si="570"/>
        <v>2021/22</v>
      </c>
      <c r="N379" s="370" t="str">
        <f t="shared" si="570"/>
        <v>2022/23</v>
      </c>
      <c r="O379" s="381" t="str">
        <f t="shared" si="570"/>
        <v>2023/24</v>
      </c>
      <c r="P379" s="370" t="str">
        <f t="shared" si="570"/>
        <v>2024/25</v>
      </c>
      <c r="Q379" s="218" t="str">
        <f t="shared" si="570"/>
        <v>2025/26</v>
      </c>
      <c r="R379" s="549" t="str">
        <f t="shared" ref="R379" si="571">R3</f>
        <v>2026/27</v>
      </c>
    </row>
    <row r="380" spans="1:18" x14ac:dyDescent="0.2">
      <c r="A380" s="2494"/>
      <c r="B380" s="33"/>
      <c r="C380" s="33"/>
      <c r="D380" s="33"/>
      <c r="E380" s="240"/>
      <c r="F380" s="365"/>
      <c r="G380" s="33"/>
      <c r="H380" s="138"/>
      <c r="I380" s="33"/>
      <c r="J380" s="142"/>
      <c r="K380" s="33"/>
      <c r="L380" s="33"/>
      <c r="M380" s="33"/>
      <c r="N380" s="33"/>
      <c r="O380" s="142"/>
      <c r="P380" s="33"/>
      <c r="Q380" s="33"/>
      <c r="R380" s="114"/>
    </row>
    <row r="381" spans="1:18" x14ac:dyDescent="0.2">
      <c r="A381" s="107"/>
      <c r="B381" s="33"/>
      <c r="C381" s="33"/>
      <c r="D381" s="33"/>
      <c r="E381" s="240"/>
      <c r="F381" s="365" t="s">
        <v>1073</v>
      </c>
      <c r="G381" s="33"/>
      <c r="H381" s="138"/>
      <c r="I381" s="33"/>
      <c r="J381" s="142"/>
      <c r="K381" s="33"/>
      <c r="L381" s="33"/>
      <c r="M381" s="33"/>
      <c r="N381" s="33"/>
      <c r="O381" s="142"/>
      <c r="P381" s="33"/>
      <c r="Q381" s="33"/>
      <c r="R381" s="114"/>
    </row>
    <row r="382" spans="1:18" x14ac:dyDescent="0.2">
      <c r="A382" s="107"/>
      <c r="B382" s="33"/>
      <c r="C382" s="33"/>
      <c r="D382" s="33"/>
      <c r="E382" s="240"/>
      <c r="F382" s="1110" t="s">
        <v>3242</v>
      </c>
      <c r="G382" s="33"/>
      <c r="H382" s="138"/>
      <c r="I382" s="33"/>
      <c r="J382" s="142"/>
      <c r="K382" s="33"/>
      <c r="L382" s="33"/>
      <c r="M382" s="33"/>
      <c r="N382" s="33"/>
      <c r="O382" s="142"/>
      <c r="P382" s="33"/>
      <c r="Q382" s="33"/>
      <c r="R382" s="114"/>
    </row>
    <row r="383" spans="1:18" x14ac:dyDescent="0.2">
      <c r="A383" s="107">
        <v>52400</v>
      </c>
      <c r="B383" s="33">
        <f>82100+600+7000</f>
        <v>89700</v>
      </c>
      <c r="C383" s="33">
        <f>51800+4600+16000</f>
        <v>72400</v>
      </c>
      <c r="D383" s="33">
        <f>14500+26600+100</f>
        <v>41200</v>
      </c>
      <c r="E383" s="240" t="s">
        <v>798</v>
      </c>
      <c r="F383" s="891" t="s">
        <v>3082</v>
      </c>
      <c r="G383" s="33">
        <v>20000</v>
      </c>
      <c r="H383" s="138">
        <f t="shared" ref="H383:H389" si="572">IF(D383=G383,0,IF(D383=0,100,(G383-D383)/D383*100))</f>
        <v>-51.456310679611647</v>
      </c>
      <c r="I383" s="33">
        <v>20000</v>
      </c>
      <c r="J383" s="142">
        <f>ROUNDUP(I383+(I383*Assumptions!I$5),-2)</f>
        <v>20500</v>
      </c>
      <c r="K383" s="33">
        <f>ROUNDUP(J383+(J383*Assumptions!J$5),-2)</f>
        <v>21100</v>
      </c>
      <c r="L383" s="33">
        <f>ROUNDUP(K383+(K383*Assumptions!K$5),-2)</f>
        <v>21700</v>
      </c>
      <c r="M383" s="33">
        <f>ROUNDUP(L383+(L383*Assumptions!L$5),-2)</f>
        <v>22200</v>
      </c>
      <c r="N383" s="33">
        <f>ROUNDUP(M383+(M383*Assumptions!M$5),-2)</f>
        <v>22700</v>
      </c>
      <c r="O383" s="142">
        <f>ROUNDUP(N383+(N383*Assumptions!N$5),-2)</f>
        <v>23200</v>
      </c>
      <c r="P383" s="33">
        <f>ROUNDUP(O383+(O383*Assumptions!O$5),-2)</f>
        <v>23700</v>
      </c>
      <c r="Q383" s="33">
        <f>ROUNDUP(P383+(P383*Assumptions!P$5),-2)</f>
        <v>24200</v>
      </c>
      <c r="R383" s="114">
        <f>ROUNDUP(Q383+(Q383*Assumptions!Q$5),-2)</f>
        <v>24700</v>
      </c>
    </row>
    <row r="384" spans="1:18" x14ac:dyDescent="0.2">
      <c r="A384" s="107">
        <v>0</v>
      </c>
      <c r="B384" s="99">
        <v>0</v>
      </c>
      <c r="C384" s="33">
        <v>0</v>
      </c>
      <c r="D384" s="142">
        <f>30660+40</f>
        <v>30700</v>
      </c>
      <c r="E384" s="1100" t="s">
        <v>5924</v>
      </c>
      <c r="F384" s="1953" t="s">
        <v>6652</v>
      </c>
      <c r="G384" s="33">
        <v>0</v>
      </c>
      <c r="H384" s="138">
        <f t="shared" si="572"/>
        <v>-100</v>
      </c>
      <c r="I384" s="33">
        <f>ROUNDUP(G384+(G384*Assumptions!H$5),-2)</f>
        <v>0</v>
      </c>
      <c r="J384" s="142">
        <f>ROUNDUP(I384+(I384*Assumptions!I$5),-2)</f>
        <v>0</v>
      </c>
      <c r="K384" s="33">
        <f>ROUNDUP(J384+(J384*Assumptions!J$5),-2)</f>
        <v>0</v>
      </c>
      <c r="L384" s="33">
        <f>ROUNDUP(K384+(K384*Assumptions!K$5),-2)</f>
        <v>0</v>
      </c>
      <c r="M384" s="33">
        <f>ROUNDUP(L384+(L384*Assumptions!L$5),-2)</f>
        <v>0</v>
      </c>
      <c r="N384" s="33">
        <f>ROUNDUP(M384+(M384*Assumptions!M$5),-2)</f>
        <v>0</v>
      </c>
      <c r="O384" s="142">
        <f>ROUNDUP(N384+(N384*Assumptions!N$5),-2)</f>
        <v>0</v>
      </c>
      <c r="P384" s="33">
        <f>ROUNDUP(O384+(O384*Assumptions!O$5),-2)</f>
        <v>0</v>
      </c>
      <c r="Q384" s="33">
        <f>ROUNDUP(P384+(P384*Assumptions!P$5),-2)</f>
        <v>0</v>
      </c>
      <c r="R384" s="114">
        <f>ROUNDUP(Q384+(Q384*Assumptions!Q$5),-2)</f>
        <v>0</v>
      </c>
    </row>
    <row r="385" spans="1:18" x14ac:dyDescent="0.2">
      <c r="A385" s="107">
        <v>0</v>
      </c>
      <c r="B385" s="99">
        <v>0</v>
      </c>
      <c r="C385" s="33">
        <v>0</v>
      </c>
      <c r="D385" s="142">
        <f>3414-14</f>
        <v>3400</v>
      </c>
      <c r="E385" s="1100" t="s">
        <v>6132</v>
      </c>
      <c r="F385" s="1953" t="s">
        <v>6653</v>
      </c>
      <c r="G385" s="33">
        <v>0</v>
      </c>
      <c r="H385" s="138">
        <f t="shared" si="572"/>
        <v>-100</v>
      </c>
      <c r="I385" s="33">
        <f>ROUNDUP(G385+(G385*Assumptions!H$5),-2)</f>
        <v>0</v>
      </c>
      <c r="J385" s="142">
        <f>ROUNDUP(I385+(I385*Assumptions!I$5),-2)</f>
        <v>0</v>
      </c>
      <c r="K385" s="33">
        <f>ROUNDUP(J385+(J385*Assumptions!J$5),-2)</f>
        <v>0</v>
      </c>
      <c r="L385" s="33">
        <f>ROUNDUP(K385+(K385*Assumptions!K$5),-2)</f>
        <v>0</v>
      </c>
      <c r="M385" s="33">
        <f>ROUNDUP(L385+(L385*Assumptions!L$5),-2)</f>
        <v>0</v>
      </c>
      <c r="N385" s="33">
        <f>ROUNDUP(M385+(M385*Assumptions!M$5),-2)</f>
        <v>0</v>
      </c>
      <c r="O385" s="142">
        <f>ROUNDUP(N385+(N385*Assumptions!N$5),-2)</f>
        <v>0</v>
      </c>
      <c r="P385" s="33">
        <f>ROUNDUP(O385+(O385*Assumptions!O$5),-2)</f>
        <v>0</v>
      </c>
      <c r="Q385" s="33">
        <f>ROUNDUP(P385+(P385*Assumptions!P$5),-2)</f>
        <v>0</v>
      </c>
      <c r="R385" s="114">
        <f>ROUNDUP(Q385+(Q385*Assumptions!Q$5),-2)</f>
        <v>0</v>
      </c>
    </row>
    <row r="386" spans="1:18" x14ac:dyDescent="0.2">
      <c r="A386" s="107">
        <v>0</v>
      </c>
      <c r="B386" s="99">
        <v>0</v>
      </c>
      <c r="C386" s="33">
        <v>0</v>
      </c>
      <c r="D386" s="142">
        <f>25975+25</f>
        <v>26000</v>
      </c>
      <c r="E386" s="1100" t="s">
        <v>5925</v>
      </c>
      <c r="F386" s="1953" t="s">
        <v>6645</v>
      </c>
      <c r="G386" s="33">
        <v>0</v>
      </c>
      <c r="H386" s="138">
        <f t="shared" si="572"/>
        <v>-100</v>
      </c>
      <c r="I386" s="33">
        <f>ROUNDUP(G386+(G386*Assumptions!H$5),-2)</f>
        <v>0</v>
      </c>
      <c r="J386" s="142">
        <f>ROUNDUP(I386+(I386*Assumptions!I$5),-2)</f>
        <v>0</v>
      </c>
      <c r="K386" s="33">
        <f>ROUNDUP(J386+(J386*Assumptions!J$5),-2)</f>
        <v>0</v>
      </c>
      <c r="L386" s="33">
        <f>ROUNDUP(K386+(K386*Assumptions!K$5),-2)</f>
        <v>0</v>
      </c>
      <c r="M386" s="33">
        <f>ROUNDUP(L386+(L386*Assumptions!L$5),-2)</f>
        <v>0</v>
      </c>
      <c r="N386" s="33">
        <f>ROUNDUP(M386+(M386*Assumptions!M$5),-2)</f>
        <v>0</v>
      </c>
      <c r="O386" s="142">
        <f>ROUNDUP(N386+(N386*Assumptions!N$5),-2)</f>
        <v>0</v>
      </c>
      <c r="P386" s="33">
        <f>ROUNDUP(O386+(O386*Assumptions!O$5),-2)</f>
        <v>0</v>
      </c>
      <c r="Q386" s="33">
        <f>ROUNDUP(P386+(P386*Assumptions!P$5),-2)</f>
        <v>0</v>
      </c>
      <c r="R386" s="114">
        <f>ROUNDUP(Q386+(Q386*Assumptions!Q$5),-2)</f>
        <v>0</v>
      </c>
    </row>
    <row r="387" spans="1:18" x14ac:dyDescent="0.2">
      <c r="A387" s="107">
        <v>0</v>
      </c>
      <c r="B387" s="99">
        <v>0</v>
      </c>
      <c r="C387" s="33">
        <v>0</v>
      </c>
      <c r="D387" s="142">
        <f>6120-20</f>
        <v>6100</v>
      </c>
      <c r="E387" s="1100" t="s">
        <v>4911</v>
      </c>
      <c r="F387" s="1953" t="s">
        <v>6693</v>
      </c>
      <c r="G387" s="33">
        <v>0</v>
      </c>
      <c r="H387" s="138">
        <f t="shared" si="572"/>
        <v>-100</v>
      </c>
      <c r="I387" s="33">
        <f>ROUNDUP(G387+(G387*Assumptions!H$5),-2)</f>
        <v>0</v>
      </c>
      <c r="J387" s="142">
        <f>ROUNDUP(I387+(I387*Assumptions!I$5),-2)</f>
        <v>0</v>
      </c>
      <c r="K387" s="33">
        <f>ROUNDUP(J387+(J387*Assumptions!J$5),-2)</f>
        <v>0</v>
      </c>
      <c r="L387" s="33">
        <f>ROUNDUP(K387+(K387*Assumptions!K$5),-2)</f>
        <v>0</v>
      </c>
      <c r="M387" s="33">
        <f>ROUNDUP(L387+(L387*Assumptions!L$5),-2)</f>
        <v>0</v>
      </c>
      <c r="N387" s="33">
        <f>ROUNDUP(M387+(M387*Assumptions!M$5),-2)</f>
        <v>0</v>
      </c>
      <c r="O387" s="142">
        <f>ROUNDUP(N387+(N387*Assumptions!N$5),-2)</f>
        <v>0</v>
      </c>
      <c r="P387" s="33">
        <f>ROUNDUP(O387+(O387*Assumptions!O$5),-2)</f>
        <v>0</v>
      </c>
      <c r="Q387" s="33">
        <f>ROUNDUP(P387+(P387*Assumptions!P$5),-2)</f>
        <v>0</v>
      </c>
      <c r="R387" s="114">
        <f>ROUNDUP(Q387+(Q387*Assumptions!Q$5),-2)</f>
        <v>0</v>
      </c>
    </row>
    <row r="388" spans="1:18" x14ac:dyDescent="0.2">
      <c r="A388" s="107">
        <v>0</v>
      </c>
      <c r="B388" s="99">
        <v>0</v>
      </c>
      <c r="C388" s="33">
        <v>0</v>
      </c>
      <c r="D388" s="142">
        <f>6760+40</f>
        <v>6800</v>
      </c>
      <c r="E388" s="1100" t="s">
        <v>5926</v>
      </c>
      <c r="F388" s="1953" t="s">
        <v>6646</v>
      </c>
      <c r="G388" s="33">
        <v>0</v>
      </c>
      <c r="H388" s="138">
        <f t="shared" si="572"/>
        <v>-100</v>
      </c>
      <c r="I388" s="33">
        <f>ROUNDUP(G388+(G388*Assumptions!H$5),-2)</f>
        <v>0</v>
      </c>
      <c r="J388" s="142">
        <f>ROUNDUP(I388+(I388*Assumptions!I$5),-2)</f>
        <v>0</v>
      </c>
      <c r="K388" s="33">
        <f>ROUNDUP(J388+(J388*Assumptions!J$5),-2)</f>
        <v>0</v>
      </c>
      <c r="L388" s="33">
        <f>ROUNDUP(K388+(K388*Assumptions!K$5),-2)</f>
        <v>0</v>
      </c>
      <c r="M388" s="33">
        <f>ROUNDUP(L388+(L388*Assumptions!L$5),-2)</f>
        <v>0</v>
      </c>
      <c r="N388" s="33">
        <f>ROUNDUP(M388+(M388*Assumptions!M$5),-2)</f>
        <v>0</v>
      </c>
      <c r="O388" s="142">
        <f>ROUNDUP(N388+(N388*Assumptions!N$5),-2)</f>
        <v>0</v>
      </c>
      <c r="P388" s="33">
        <f>ROUNDUP(O388+(O388*Assumptions!O$5),-2)</f>
        <v>0</v>
      </c>
      <c r="Q388" s="33">
        <f>ROUNDUP(P388+(P388*Assumptions!P$5),-2)</f>
        <v>0</v>
      </c>
      <c r="R388" s="114">
        <f>ROUNDUP(Q388+(Q388*Assumptions!Q$5),-2)</f>
        <v>0</v>
      </c>
    </row>
    <row r="389" spans="1:18" x14ac:dyDescent="0.2">
      <c r="A389" s="107"/>
      <c r="B389" s="99"/>
      <c r="C389" s="33"/>
      <c r="D389" s="142"/>
      <c r="E389" s="1100" t="s">
        <v>7074</v>
      </c>
      <c r="F389" s="1953" t="s">
        <v>7075</v>
      </c>
      <c r="G389" s="33">
        <v>15000</v>
      </c>
      <c r="H389" s="138">
        <f t="shared" si="572"/>
        <v>100</v>
      </c>
      <c r="I389" s="33">
        <v>0</v>
      </c>
      <c r="J389" s="142">
        <f>ROUNDUP(I389+(I389*Assumptions!I$5),-2)</f>
        <v>0</v>
      </c>
      <c r="K389" s="33">
        <f>ROUNDUP(J389+(J389*Assumptions!J$5),-2)</f>
        <v>0</v>
      </c>
      <c r="L389" s="33">
        <f>ROUNDUP(K389+(K389*Assumptions!K$5),-2)</f>
        <v>0</v>
      </c>
      <c r="M389" s="33">
        <f>ROUNDUP(L389+(L389*Assumptions!L$5),-2)</f>
        <v>0</v>
      </c>
      <c r="N389" s="33">
        <f>ROUNDUP(M389+(M389*Assumptions!M$5),-2)</f>
        <v>0</v>
      </c>
      <c r="O389" s="142">
        <f>ROUNDUP(N389+(N389*Assumptions!N$5),-2)</f>
        <v>0</v>
      </c>
      <c r="P389" s="33">
        <f>ROUNDUP(O389+(O389*Assumptions!O$5),-2)</f>
        <v>0</v>
      </c>
      <c r="Q389" s="33">
        <f>ROUNDUP(P389+(P389*Assumptions!P$5),-2)</f>
        <v>0</v>
      </c>
      <c r="R389" s="114">
        <f>ROUNDUP(Q389+(Q389*Assumptions!Q$5),-2)</f>
        <v>0</v>
      </c>
    </row>
    <row r="390" spans="1:18" x14ac:dyDescent="0.2">
      <c r="A390" s="107"/>
      <c r="B390" s="33"/>
      <c r="C390" s="33"/>
      <c r="D390" s="33"/>
      <c r="E390" s="240"/>
      <c r="F390" s="366"/>
      <c r="G390" s="33"/>
      <c r="H390" s="138"/>
      <c r="I390" s="33"/>
      <c r="J390" s="142"/>
      <c r="K390" s="33"/>
      <c r="L390" s="33"/>
      <c r="M390" s="33"/>
      <c r="N390" s="33"/>
      <c r="O390" s="142"/>
      <c r="P390" s="33"/>
      <c r="Q390" s="33"/>
      <c r="R390" s="114"/>
    </row>
    <row r="391" spans="1:18" x14ac:dyDescent="0.2">
      <c r="A391" s="107"/>
      <c r="B391" s="33"/>
      <c r="C391" s="33"/>
      <c r="D391" s="33"/>
      <c r="E391" s="240"/>
      <c r="F391" s="371" t="s">
        <v>1263</v>
      </c>
      <c r="G391" s="33"/>
      <c r="H391" s="138"/>
      <c r="I391" s="33"/>
      <c r="J391" s="142"/>
      <c r="K391" s="33"/>
      <c r="L391" s="33"/>
      <c r="M391" s="33"/>
      <c r="N391" s="33"/>
      <c r="O391" s="142"/>
      <c r="P391" s="33"/>
      <c r="Q391" s="33"/>
      <c r="R391" s="114"/>
    </row>
    <row r="392" spans="1:18" x14ac:dyDescent="0.2">
      <c r="A392" s="107">
        <v>16900</v>
      </c>
      <c r="B392" s="33">
        <v>18700</v>
      </c>
      <c r="C392" s="33">
        <v>21500</v>
      </c>
      <c r="D392" s="33">
        <f>25385+15</f>
        <v>25400</v>
      </c>
      <c r="E392" s="240" t="s">
        <v>679</v>
      </c>
      <c r="F392" s="891" t="s">
        <v>3004</v>
      </c>
      <c r="G392" s="33">
        <v>10000</v>
      </c>
      <c r="H392" s="138">
        <f>IF(D392=G392,0,IF(D392=0,100,(G392-D392)/D392*100))</f>
        <v>-60.629921259842526</v>
      </c>
      <c r="I392" s="33">
        <v>0</v>
      </c>
      <c r="J392" s="142">
        <f>ROUNDUP(I392+(I392*Assumptions!I$5),-2)</f>
        <v>0</v>
      </c>
      <c r="K392" s="33">
        <f>ROUNDUP(J392+(J392*Assumptions!J$5),-2)</f>
        <v>0</v>
      </c>
      <c r="L392" s="33">
        <f>ROUNDUP(K392+(K392*Assumptions!K$5),-2)</f>
        <v>0</v>
      </c>
      <c r="M392" s="33">
        <f>ROUNDUP(L392+(L392*Assumptions!L$5),-2)</f>
        <v>0</v>
      </c>
      <c r="N392" s="33">
        <f>ROUNDUP(M392+(M392*Assumptions!M$5),-2)</f>
        <v>0</v>
      </c>
      <c r="O392" s="142">
        <f>ROUNDUP(N392+(N392*Assumptions!N$5),-2)</f>
        <v>0</v>
      </c>
      <c r="P392" s="33">
        <f>ROUNDUP(O392+(O392*Assumptions!O$5),-2)</f>
        <v>0</v>
      </c>
      <c r="Q392" s="33">
        <f>ROUNDUP(P392+(P392*Assumptions!P$5),-2)</f>
        <v>0</v>
      </c>
      <c r="R392" s="114">
        <f>ROUNDUP(Q392+(Q392*Assumptions!Q$5),-2)</f>
        <v>0</v>
      </c>
    </row>
    <row r="393" spans="1:18" x14ac:dyDescent="0.2">
      <c r="A393" s="107">
        <v>0</v>
      </c>
      <c r="B393" s="99">
        <v>40000</v>
      </c>
      <c r="C393" s="33">
        <v>107700</v>
      </c>
      <c r="D393" s="189">
        <f>37583+17</f>
        <v>37600</v>
      </c>
      <c r="E393" s="1100" t="s">
        <v>3886</v>
      </c>
      <c r="F393" s="1953" t="s">
        <v>3662</v>
      </c>
      <c r="G393" s="33">
        <v>0</v>
      </c>
      <c r="H393" s="138">
        <f>IF(D393=G393,0,IF(D393=0,100,(G393-D393)/D393*100))</f>
        <v>-100</v>
      </c>
      <c r="I393" s="33">
        <f>ROUNDUP(G393+(G393*Assumptions!H$5),-2)</f>
        <v>0</v>
      </c>
      <c r="J393" s="142">
        <f>ROUNDUP(I393+(I393*Assumptions!I$5),-2)</f>
        <v>0</v>
      </c>
      <c r="K393" s="33">
        <f>ROUNDUP(J393+(J393*Assumptions!J$5),-2)</f>
        <v>0</v>
      </c>
      <c r="L393" s="33">
        <f>ROUNDUP(K393+(K393*Assumptions!K$5),-2)</f>
        <v>0</v>
      </c>
      <c r="M393" s="33">
        <f>ROUNDUP(L393+(L393*Assumptions!L$5),-2)</f>
        <v>0</v>
      </c>
      <c r="N393" s="33">
        <f>ROUNDUP(M393+(M393*Assumptions!M$5),-2)</f>
        <v>0</v>
      </c>
      <c r="O393" s="142">
        <f>ROUNDUP(N393+(N393*Assumptions!N$5),-2)</f>
        <v>0</v>
      </c>
      <c r="P393" s="33">
        <f>ROUNDUP(O393+(O393*Assumptions!O$5),-2)</f>
        <v>0</v>
      </c>
      <c r="Q393" s="33">
        <f>ROUNDUP(P393+(P393*Assumptions!P$5),-2)</f>
        <v>0</v>
      </c>
      <c r="R393" s="114">
        <f>ROUNDUP(Q393+(Q393*Assumptions!Q$5),-2)</f>
        <v>0</v>
      </c>
    </row>
    <row r="394" spans="1:18" x14ac:dyDescent="0.2">
      <c r="A394" s="107"/>
      <c r="B394" s="99"/>
      <c r="C394" s="33"/>
      <c r="D394" s="189"/>
      <c r="E394" s="1100" t="s">
        <v>7071</v>
      </c>
      <c r="F394" s="1953" t="s">
        <v>7072</v>
      </c>
      <c r="G394" s="33">
        <v>1000</v>
      </c>
      <c r="H394" s="138"/>
      <c r="I394" s="33">
        <v>0</v>
      </c>
      <c r="J394" s="142">
        <f>ROUNDUP(I394+(I394*Assumptions!I$5),-2)</f>
        <v>0</v>
      </c>
      <c r="K394" s="33">
        <f>ROUNDUP(J394+(J394*Assumptions!J$5),-2)</f>
        <v>0</v>
      </c>
      <c r="L394" s="33">
        <f>ROUNDUP(K394+(K394*Assumptions!K$5),-2)</f>
        <v>0</v>
      </c>
      <c r="M394" s="33">
        <f>ROUNDUP(L394+(L394*Assumptions!L$5),-2)</f>
        <v>0</v>
      </c>
      <c r="N394" s="33">
        <f>ROUNDUP(M394+(M394*Assumptions!M$5),-2)</f>
        <v>0</v>
      </c>
      <c r="O394" s="142">
        <f>ROUNDUP(N394+(N394*Assumptions!N$5),-2)</f>
        <v>0</v>
      </c>
      <c r="P394" s="33">
        <f>ROUNDUP(O394+(O394*Assumptions!O$5),-2)</f>
        <v>0</v>
      </c>
      <c r="Q394" s="33">
        <f>ROUNDUP(P394+(P394*Assumptions!P$5),-2)</f>
        <v>0</v>
      </c>
      <c r="R394" s="114">
        <f>ROUNDUP(Q394+(Q394*Assumptions!Q$5),-2)</f>
        <v>0</v>
      </c>
    </row>
    <row r="395" spans="1:18" x14ac:dyDescent="0.2">
      <c r="A395" s="107">
        <v>5000</v>
      </c>
      <c r="B395" s="78">
        <v>20000</v>
      </c>
      <c r="C395" s="132">
        <v>10700</v>
      </c>
      <c r="D395" s="189">
        <v>2000</v>
      </c>
      <c r="E395" s="1100" t="s">
        <v>6567</v>
      </c>
      <c r="F395" s="1953" t="s">
        <v>6654</v>
      </c>
      <c r="G395" s="33">
        <v>25000</v>
      </c>
      <c r="H395" s="138">
        <f>IF(D395=G395,0,IF(D395=0,100,(G395-D395)/D395*100))</f>
        <v>1150</v>
      </c>
      <c r="I395" s="33">
        <v>0</v>
      </c>
      <c r="J395" s="142">
        <f>ROUNDUP(I395+(I395*Assumptions!I$5),-2)</f>
        <v>0</v>
      </c>
      <c r="K395" s="33">
        <f>ROUNDUP(J395+(J395*Assumptions!J$5),-2)</f>
        <v>0</v>
      </c>
      <c r="L395" s="33">
        <f>ROUNDUP(K395+(K395*Assumptions!K$5),-2)</f>
        <v>0</v>
      </c>
      <c r="M395" s="33">
        <f>ROUNDUP(L395+(L395*Assumptions!L$5),-2)</f>
        <v>0</v>
      </c>
      <c r="N395" s="33">
        <f>ROUNDUP(M395+(M395*Assumptions!M$5),-2)</f>
        <v>0</v>
      </c>
      <c r="O395" s="142">
        <f>ROUNDUP(N395+(N395*Assumptions!N$5),-2)</f>
        <v>0</v>
      </c>
      <c r="P395" s="33">
        <f>ROUNDUP(O395+(O395*Assumptions!O$5),-2)</f>
        <v>0</v>
      </c>
      <c r="Q395" s="33">
        <f>ROUNDUP(P395+(P395*Assumptions!P$5),-2)</f>
        <v>0</v>
      </c>
      <c r="R395" s="114">
        <f>ROUNDUP(Q395+(Q395*Assumptions!Q$5),-2)</f>
        <v>0</v>
      </c>
    </row>
    <row r="396" spans="1:18" x14ac:dyDescent="0.2">
      <c r="A396" s="107">
        <v>0</v>
      </c>
      <c r="B396" s="33">
        <v>2600</v>
      </c>
      <c r="C396" s="33">
        <f>3800+59000</f>
        <v>62800</v>
      </c>
      <c r="D396" s="33">
        <v>15000</v>
      </c>
      <c r="E396" s="240" t="s">
        <v>630</v>
      </c>
      <c r="F396" s="891" t="s">
        <v>79</v>
      </c>
      <c r="G396" s="33">
        <v>0</v>
      </c>
      <c r="H396" s="138">
        <f>IF(D396=G396,0,IF(D396=0,100,(G396-D396)/D396*100))</f>
        <v>-100</v>
      </c>
      <c r="I396" s="33">
        <f>ROUNDUP(G396+(G396*Assumptions!H$5),-2)</f>
        <v>0</v>
      </c>
      <c r="J396" s="142">
        <f>ROUNDUP(I396+(I396*Assumptions!I$5),-2)</f>
        <v>0</v>
      </c>
      <c r="K396" s="33">
        <f>ROUNDUP(J396+(J396*Assumptions!J$5),-2)</f>
        <v>0</v>
      </c>
      <c r="L396" s="33">
        <f>ROUNDUP(K396+(K396*Assumptions!K$5),-2)</f>
        <v>0</v>
      </c>
      <c r="M396" s="33">
        <f>ROUNDUP(L396+(L396*Assumptions!L$5),-2)</f>
        <v>0</v>
      </c>
      <c r="N396" s="33">
        <f>ROUNDUP(M396+(M396*Assumptions!M$5),-2)</f>
        <v>0</v>
      </c>
      <c r="O396" s="142">
        <f>ROUNDUP(N396+(N396*Assumptions!N$5),-2)</f>
        <v>0</v>
      </c>
      <c r="P396" s="33">
        <f>ROUNDUP(O396+(O396*Assumptions!O$5),-2)</f>
        <v>0</v>
      </c>
      <c r="Q396" s="33">
        <f>ROUNDUP(P396+(P396*Assumptions!P$5),-2)</f>
        <v>0</v>
      </c>
      <c r="R396" s="114">
        <f>ROUNDUP(Q396+(Q396*Assumptions!Q$5),-2)</f>
        <v>0</v>
      </c>
    </row>
    <row r="397" spans="1:18" x14ac:dyDescent="0.2">
      <c r="A397" s="107"/>
      <c r="B397" s="33"/>
      <c r="C397" s="33"/>
      <c r="D397" s="33"/>
      <c r="E397" s="240"/>
      <c r="F397" s="366"/>
      <c r="G397" s="33"/>
      <c r="H397" s="138"/>
      <c r="I397" s="33"/>
      <c r="J397" s="142"/>
      <c r="K397" s="33"/>
      <c r="L397" s="33"/>
      <c r="M397" s="33"/>
      <c r="N397" s="33"/>
      <c r="O397" s="142"/>
      <c r="P397" s="33"/>
      <c r="Q397" s="33"/>
      <c r="R397" s="114"/>
    </row>
    <row r="398" spans="1:18" x14ac:dyDescent="0.2">
      <c r="A398" s="107"/>
      <c r="B398" s="33"/>
      <c r="C398" s="33"/>
      <c r="D398" s="33"/>
      <c r="E398" s="240"/>
      <c r="F398" s="371" t="s">
        <v>1384</v>
      </c>
      <c r="G398" s="33"/>
      <c r="H398" s="138"/>
      <c r="I398" s="33"/>
      <c r="J398" s="142"/>
      <c r="K398" s="33"/>
      <c r="L398" s="33"/>
      <c r="M398" s="33"/>
      <c r="N398" s="33"/>
      <c r="O398" s="142"/>
      <c r="P398" s="33"/>
      <c r="Q398" s="33"/>
      <c r="R398" s="114"/>
    </row>
    <row r="399" spans="1:18" x14ac:dyDescent="0.2">
      <c r="A399" s="107">
        <v>13500</v>
      </c>
      <c r="B399" s="132">
        <v>13900</v>
      </c>
      <c r="C399" s="33">
        <v>16200</v>
      </c>
      <c r="D399" s="142">
        <f>19493+7</f>
        <v>19500</v>
      </c>
      <c r="E399" s="658" t="s">
        <v>955</v>
      </c>
      <c r="F399" s="33" t="s">
        <v>202</v>
      </c>
      <c r="G399" s="142">
        <v>14000</v>
      </c>
      <c r="H399" s="138">
        <f t="shared" ref="H399:H405" si="573">IF(D399=G399,0,IF(D399=0,100,(G399-D399)/D399*100))</f>
        <v>-28.205128205128204</v>
      </c>
      <c r="I399" s="142">
        <f>IF('Sec 94'!F4*Assumptions!H$14/2&gt;0,ROUND('Sec 94'!F4*Assumptions!H$14,-3)/2,0)</f>
        <v>7500</v>
      </c>
      <c r="J399" s="142">
        <f>IF('Sec 94'!G4*Assumptions!I$14/2&gt;0,ROUND('Sec 94'!G4*Assumptions!I$14,-3)/2,0)</f>
        <v>10500</v>
      </c>
      <c r="K399" s="33">
        <f>IF('Sec 94'!H4*Assumptions!J$14/2&gt;0,ROUND('Sec 94'!H4*Assumptions!J$14,-3)/2,0)</f>
        <v>13500</v>
      </c>
      <c r="L399" s="33">
        <f>IF('Sec 94'!I4*Assumptions!K$14/2&gt;0,ROUND('Sec 94'!I4*Assumptions!K$14,-3)/2,0)</f>
        <v>17000</v>
      </c>
      <c r="M399" s="33">
        <f>IF('Sec 94'!J4*Assumptions!L$14/2&gt;0,ROUND('Sec 94'!J4*Assumptions!L$14,-3)/2,0)</f>
        <v>20500</v>
      </c>
      <c r="N399" s="33">
        <f>IF('Sec 94'!K4*Assumptions!M$14/2&gt;0,ROUND('Sec 94'!K4*Assumptions!M$14,-3)/2,0)</f>
        <v>24500</v>
      </c>
      <c r="O399" s="142">
        <f>IF('Sec 94'!L4*Assumptions!N$14/2&gt;0,ROUND('Sec 94'!L4*Assumptions!N$14,-3)/2,0)</f>
        <v>28500</v>
      </c>
      <c r="P399" s="33">
        <f>IF('Sec 94'!M4*Assumptions!O$14/2&gt;0,ROUND('Sec 94'!M4*Assumptions!O$14,-3)/2,0)</f>
        <v>33000</v>
      </c>
      <c r="Q399" s="33">
        <f>IF('Sec 94'!N4*Assumptions!P$14/2&gt;0,ROUND('Sec 94'!N4*Assumptions!P$14,-3)/2,0)</f>
        <v>37500</v>
      </c>
      <c r="R399" s="114">
        <f>IF('Sec 94'!O4*Assumptions!Q$14/2&gt;0,ROUND('Sec 94'!O4*Assumptions!Q$14,-3)/2,0)</f>
        <v>42500</v>
      </c>
    </row>
    <row r="400" spans="1:18" x14ac:dyDescent="0.2">
      <c r="A400" s="107">
        <v>27600</v>
      </c>
      <c r="B400" s="132">
        <v>15700</v>
      </c>
      <c r="C400" s="187">
        <f>18700+3300</f>
        <v>22000</v>
      </c>
      <c r="D400" s="142">
        <f>4950+17631+19</f>
        <v>22600</v>
      </c>
      <c r="E400" s="658" t="s">
        <v>1322</v>
      </c>
      <c r="F400" s="366" t="s">
        <v>559</v>
      </c>
      <c r="G400" s="142">
        <v>22000</v>
      </c>
      <c r="H400" s="138">
        <f t="shared" si="573"/>
        <v>-2.6548672566371683</v>
      </c>
      <c r="I400" s="142">
        <f>IF('Sec 94'!F5*Assumptions!H$14/2&gt;0,ROUND('Sec 94'!F5*Assumptions!H$14,-3)/2,0)</f>
        <v>19500</v>
      </c>
      <c r="J400" s="142">
        <f>IF('Sec 94'!G5*Assumptions!I$14/2&gt;0,ROUND('Sec 94'!G5*Assumptions!I$14,-3)/2,0)</f>
        <v>23500</v>
      </c>
      <c r="K400" s="33">
        <f>IF('Sec 94'!H5*Assumptions!J$14/2&gt;0,ROUND('Sec 94'!H5*Assumptions!J$14,-3)/2,0)</f>
        <v>32000</v>
      </c>
      <c r="L400" s="33">
        <f>IF('Sec 94'!I5*Assumptions!K$14/2&gt;0,ROUND('Sec 94'!I5*Assumptions!K$14,-3)/2,0)</f>
        <v>41500</v>
      </c>
      <c r="M400" s="33">
        <f>IF('Sec 94'!J5*Assumptions!L$14/2&gt;0,ROUND('Sec 94'!J5*Assumptions!L$14,-3)/2,0)</f>
        <v>51000</v>
      </c>
      <c r="N400" s="33">
        <f>IF('Sec 94'!K5*Assumptions!M$14/2&gt;0,ROUND('Sec 94'!K5*Assumptions!M$14,-3)/2,0)</f>
        <v>61500</v>
      </c>
      <c r="O400" s="142">
        <f>IF('Sec 94'!L5*Assumptions!N$14/2&gt;0,ROUND('Sec 94'!L5*Assumptions!N$14,-3)/2,0)</f>
        <v>72500</v>
      </c>
      <c r="P400" s="33">
        <f>IF('Sec 94'!M5*Assumptions!O$14/2&gt;0,ROUND('Sec 94'!M5*Assumptions!O$14,-3)/2,0)</f>
        <v>84000</v>
      </c>
      <c r="Q400" s="33">
        <f>IF('Sec 94'!N5*Assumptions!P$14/2&gt;0,ROUND('Sec 94'!N5*Assumptions!P$14,-3)/2,0)</f>
        <v>96000</v>
      </c>
      <c r="R400" s="114">
        <f>IF('Sec 94'!O5*Assumptions!Q$14/2&gt;0,ROUND('Sec 94'!O5*Assumptions!Q$14,-3)/2,0)</f>
        <v>108500</v>
      </c>
    </row>
    <row r="401" spans="1:18" x14ac:dyDescent="0.2">
      <c r="A401" s="107">
        <v>2700</v>
      </c>
      <c r="B401" s="132">
        <v>3700</v>
      </c>
      <c r="C401" s="187">
        <v>12100</v>
      </c>
      <c r="D401" s="142">
        <v>10100</v>
      </c>
      <c r="E401" s="658" t="s">
        <v>1310</v>
      </c>
      <c r="F401" s="366" t="s">
        <v>321</v>
      </c>
      <c r="G401" s="142">
        <v>6000</v>
      </c>
      <c r="H401" s="138">
        <f t="shared" si="573"/>
        <v>-40.594059405940598</v>
      </c>
      <c r="I401" s="142">
        <f>IF('Sec 94'!F6*Assumptions!H$14/2&gt;0,ROUND('Sec 94'!F6*Assumptions!H$14,-3)/2,0)</f>
        <v>3500</v>
      </c>
      <c r="J401" s="142">
        <f>IF('Sec 94'!G6*Assumptions!I$14/2&gt;0,ROUND('Sec 94'!G6*Assumptions!I$14,-3)/2,0)</f>
        <v>2000</v>
      </c>
      <c r="K401" s="33">
        <f>IF('Sec 94'!H6*Assumptions!J$14/2&gt;0,ROUND('Sec 94'!H6*Assumptions!J$14,-3)/2,0)</f>
        <v>1000</v>
      </c>
      <c r="L401" s="33">
        <f>IF('Sec 94'!I6*Assumptions!K$14/2&gt;0,ROUND('Sec 94'!I6*Assumptions!K$14,-3)/2,0)</f>
        <v>1000</v>
      </c>
      <c r="M401" s="33">
        <f>IF('Sec 94'!J6*Assumptions!L$14/2&gt;0,ROUND('Sec 94'!J6*Assumptions!L$14,-3)/2,0)</f>
        <v>2000</v>
      </c>
      <c r="N401" s="33">
        <f>IF('Sec 94'!K6*Assumptions!M$14/2&gt;0,ROUND('Sec 94'!K6*Assumptions!M$14,-3)/2,0)</f>
        <v>3500</v>
      </c>
      <c r="O401" s="142">
        <f>IF('Sec 94'!L6*Assumptions!N$14/2&gt;0,ROUND('Sec 94'!L6*Assumptions!N$14,-3)/2,0)</f>
        <v>4500</v>
      </c>
      <c r="P401" s="33">
        <f>IF('Sec 94'!M6*Assumptions!O$14/2&gt;0,ROUND('Sec 94'!M6*Assumptions!O$14,-3)/2,0)</f>
        <v>6000</v>
      </c>
      <c r="Q401" s="33">
        <f>IF('Sec 94'!N6*Assumptions!P$14/2&gt;0,ROUND('Sec 94'!N6*Assumptions!P$14,-3)/2,0)</f>
        <v>7500</v>
      </c>
      <c r="R401" s="114">
        <f>IF('Sec 94'!O6*Assumptions!Q$14/2&gt;0,ROUND('Sec 94'!O6*Assumptions!Q$14,-3)/2,0)</f>
        <v>9000</v>
      </c>
    </row>
    <row r="402" spans="1:18" x14ac:dyDescent="0.2">
      <c r="A402" s="107">
        <v>47300</v>
      </c>
      <c r="B402" s="132">
        <v>31600</v>
      </c>
      <c r="C402" s="187">
        <v>12500</v>
      </c>
      <c r="D402" s="142">
        <v>11200</v>
      </c>
      <c r="E402" s="658" t="s">
        <v>1311</v>
      </c>
      <c r="F402" s="33" t="s">
        <v>1318</v>
      </c>
      <c r="G402" s="142">
        <v>4500</v>
      </c>
      <c r="H402" s="138">
        <f t="shared" si="573"/>
        <v>-59.821428571428569</v>
      </c>
      <c r="I402" s="142">
        <f>IF('Sec 94'!F7*Assumptions!H$14/2&gt;0,ROUND('Sec 94'!F7*Assumptions!H$14,-3)/2,0)</f>
        <v>7000</v>
      </c>
      <c r="J402" s="142">
        <f>IF('Sec 94'!G7*Assumptions!I$14/2&gt;0,ROUND('Sec 94'!G7*Assumptions!I$14,-3)/2,0)</f>
        <v>9500</v>
      </c>
      <c r="K402" s="33">
        <f>IF('Sec 94'!H7*Assumptions!J$14/2&gt;0,ROUND('Sec 94'!H7*Assumptions!J$14,-3)/2,0)</f>
        <v>11500</v>
      </c>
      <c r="L402" s="33">
        <f>IF('Sec 94'!I7*Assumptions!K$14/2&gt;0,ROUND('Sec 94'!I7*Assumptions!K$14,-3)/2,0)</f>
        <v>14000</v>
      </c>
      <c r="M402" s="33">
        <f>IF('Sec 94'!J7*Assumptions!L$14/2&gt;0,ROUND('Sec 94'!J7*Assumptions!L$14,-3)/2,0)</f>
        <v>16500</v>
      </c>
      <c r="N402" s="33">
        <f>IF('Sec 94'!K7*Assumptions!M$14/2&gt;0,ROUND('Sec 94'!K7*Assumptions!M$14,-3)/2,0)</f>
        <v>19500</v>
      </c>
      <c r="O402" s="142">
        <f>IF('Sec 94'!L7*Assumptions!N$14/2&gt;0,ROUND('Sec 94'!L7*Assumptions!N$14,-3)/2,0)</f>
        <v>22000</v>
      </c>
      <c r="P402" s="33">
        <f>IF('Sec 94'!M7*Assumptions!O$14/2&gt;0,ROUND('Sec 94'!M7*Assumptions!O$14,-3)/2,0)</f>
        <v>25000</v>
      </c>
      <c r="Q402" s="33">
        <f>IF('Sec 94'!N7*Assumptions!P$14/2&gt;0,ROUND('Sec 94'!N7*Assumptions!P$14,-3)/2,0)</f>
        <v>28000</v>
      </c>
      <c r="R402" s="114">
        <f>IF('Sec 94'!O7*Assumptions!Q$14/2&gt;0,ROUND('Sec 94'!O7*Assumptions!Q$14,-3)/2,0)</f>
        <v>31000</v>
      </c>
    </row>
    <row r="403" spans="1:18" x14ac:dyDescent="0.2">
      <c r="A403" s="107">
        <v>36700</v>
      </c>
      <c r="B403" s="132">
        <v>26300</v>
      </c>
      <c r="C403" s="187">
        <v>20500</v>
      </c>
      <c r="D403" s="142">
        <f>22923-23</f>
        <v>22900</v>
      </c>
      <c r="E403" s="658" t="s">
        <v>1312</v>
      </c>
      <c r="F403" s="33" t="s">
        <v>409</v>
      </c>
      <c r="G403" s="142">
        <v>12500</v>
      </c>
      <c r="H403" s="138">
        <f t="shared" si="573"/>
        <v>-45.414847161572055</v>
      </c>
      <c r="I403" s="142">
        <f>IF('Sec 94'!F8*Assumptions!H$14/2&gt;0,ROUND('Sec 94'!F8*Assumptions!H$14,-3)/2,0)</f>
        <v>13500</v>
      </c>
      <c r="J403" s="142">
        <f>IF('Sec 94'!G8*Assumptions!I$14/2&gt;0,ROUND('Sec 94'!G8*Assumptions!I$14,-3)/2,0)</f>
        <v>13500</v>
      </c>
      <c r="K403" s="33">
        <f>IF('Sec 94'!H8*Assumptions!J$14/2&gt;0,ROUND('Sec 94'!H8*Assumptions!J$14,-3)/2,0)</f>
        <v>14000</v>
      </c>
      <c r="L403" s="33">
        <f>IF('Sec 94'!I8*Assumptions!K$14/2&gt;0,ROUND('Sec 94'!I8*Assumptions!K$14,-3)/2,0)</f>
        <v>14500</v>
      </c>
      <c r="M403" s="33">
        <f>IF('Sec 94'!J8*Assumptions!L$14/2&gt;0,ROUND('Sec 94'!J8*Assumptions!L$14,-3)/2,0)</f>
        <v>14500</v>
      </c>
      <c r="N403" s="33">
        <f>IF('Sec 94'!K8*Assumptions!M$14/2&gt;0,ROUND('Sec 94'!K8*Assumptions!M$14,-3)/2,0)</f>
        <v>15000</v>
      </c>
      <c r="O403" s="142">
        <f>IF('Sec 94'!L8*Assumptions!N$14/2&gt;0,ROUND('Sec 94'!L8*Assumptions!N$14,-3)/2,0)</f>
        <v>15500</v>
      </c>
      <c r="P403" s="33">
        <f>IF('Sec 94'!M8*Assumptions!O$14/2&gt;0,ROUND('Sec 94'!M8*Assumptions!O$14,-3)/2,0)</f>
        <v>15500</v>
      </c>
      <c r="Q403" s="33">
        <f>IF('Sec 94'!N8*Assumptions!P$14/2&gt;0,ROUND('Sec 94'!N8*Assumptions!P$14,-3)/2,0)</f>
        <v>16000</v>
      </c>
      <c r="R403" s="114">
        <f>IF('Sec 94'!O8*Assumptions!Q$14/2&gt;0,ROUND('Sec 94'!O8*Assumptions!Q$14,-3)/2,0)</f>
        <v>16500</v>
      </c>
    </row>
    <row r="404" spans="1:18" x14ac:dyDescent="0.2">
      <c r="A404" s="107">
        <v>33000</v>
      </c>
      <c r="B404" s="132">
        <v>59000</v>
      </c>
      <c r="C404" s="187">
        <v>63200</v>
      </c>
      <c r="D404" s="142">
        <f>51381+19</f>
        <v>51400</v>
      </c>
      <c r="E404" s="658" t="s">
        <v>2692</v>
      </c>
      <c r="F404" s="33" t="s">
        <v>509</v>
      </c>
      <c r="G404" s="142">
        <v>95500</v>
      </c>
      <c r="H404" s="138">
        <f t="shared" si="573"/>
        <v>85.797665369649806</v>
      </c>
      <c r="I404" s="142">
        <f>IF('Sec 94'!F9*Assumptions!H$14/2&gt;0,ROUND('Sec 94'!F9*Assumptions!H$14,-3)/2,0)</f>
        <v>98500</v>
      </c>
      <c r="J404" s="142">
        <f>IF('Sec 94'!G9*Assumptions!I$14/2&gt;0,ROUND('Sec 94'!G9*Assumptions!I$14,-3)/2,0)</f>
        <v>230500</v>
      </c>
      <c r="K404" s="33">
        <f>IF('Sec 94'!H9*Assumptions!J$14/2&gt;0,ROUND('Sec 94'!H9*Assumptions!J$14,-3)/2,0)</f>
        <v>15500</v>
      </c>
      <c r="L404" s="33">
        <f>IF('Sec 94'!I9*Assumptions!K$14/2&gt;0,ROUND('Sec 94'!I9*Assumptions!K$14,-3)/2,0)</f>
        <v>130000</v>
      </c>
      <c r="M404" s="33">
        <f>IF('Sec 94'!J9*Assumptions!L$14/2&gt;0,ROUND('Sec 94'!J9*Assumptions!L$14,-3)/2,0)</f>
        <v>79000</v>
      </c>
      <c r="N404" s="33">
        <f>IF('Sec 94'!K9*Assumptions!M$14/2&gt;0,ROUND('Sec 94'!K9*Assumptions!M$14,-3)/2,0)</f>
        <v>42500</v>
      </c>
      <c r="O404" s="142">
        <f>IF('Sec 94'!L9*Assumptions!N$14/2&gt;0,ROUND('Sec 94'!L9*Assumptions!N$14,-3)/2,0)</f>
        <v>81000</v>
      </c>
      <c r="P404" s="33">
        <f>IF('Sec 94'!M9*Assumptions!O$14/2&gt;0,ROUND('Sec 94'!M9*Assumptions!O$14,-3)/2,0)</f>
        <v>121000</v>
      </c>
      <c r="Q404" s="33">
        <f>IF('Sec 94'!N9*Assumptions!P$14/2&gt;0,ROUND('Sec 94'!N9*Assumptions!P$14,-3)/2,0)</f>
        <v>163000</v>
      </c>
      <c r="R404" s="114">
        <f>IF('Sec 94'!O9*Assumptions!Q$14/2&gt;0,ROUND('Sec 94'!O9*Assumptions!Q$14,-3)/2,0)</f>
        <v>206500</v>
      </c>
    </row>
    <row r="405" spans="1:18" x14ac:dyDescent="0.2">
      <c r="A405" s="107">
        <v>107000</v>
      </c>
      <c r="B405" s="132">
        <v>45500</v>
      </c>
      <c r="C405" s="187">
        <v>28600</v>
      </c>
      <c r="D405" s="142">
        <f>26757+43</f>
        <v>26800</v>
      </c>
      <c r="E405" s="658" t="s">
        <v>27</v>
      </c>
      <c r="F405" s="33" t="s">
        <v>2342</v>
      </c>
      <c r="G405" s="142">
        <v>0</v>
      </c>
      <c r="H405" s="138">
        <f t="shared" si="573"/>
        <v>-100</v>
      </c>
      <c r="I405" s="142">
        <v>0</v>
      </c>
      <c r="J405" s="142">
        <v>0</v>
      </c>
      <c r="K405" s="33">
        <v>0</v>
      </c>
      <c r="L405" s="33">
        <v>0</v>
      </c>
      <c r="M405" s="33">
        <v>0</v>
      </c>
      <c r="N405" s="33">
        <v>0</v>
      </c>
      <c r="O405" s="142">
        <v>0</v>
      </c>
      <c r="P405" s="33">
        <v>0</v>
      </c>
      <c r="Q405" s="33">
        <v>0</v>
      </c>
      <c r="R405" s="114">
        <v>0</v>
      </c>
    </row>
    <row r="406" spans="1:18" ht="13.5" thickBot="1" x14ac:dyDescent="0.25">
      <c r="A406" s="107"/>
      <c r="B406" s="33"/>
      <c r="C406" s="33"/>
      <c r="D406" s="33"/>
      <c r="E406" s="240"/>
      <c r="F406" s="33"/>
      <c r="G406" s="33"/>
      <c r="H406" s="138"/>
      <c r="I406" s="33"/>
      <c r="J406" s="142"/>
      <c r="K406" s="33"/>
      <c r="L406" s="33"/>
      <c r="M406" s="33"/>
      <c r="N406" s="33"/>
      <c r="O406" s="142"/>
      <c r="P406" s="33"/>
      <c r="Q406" s="33"/>
      <c r="R406" s="114"/>
    </row>
    <row r="407" spans="1:18" x14ac:dyDescent="0.2">
      <c r="A407" s="105">
        <f>SUM(A382:A406)</f>
        <v>342100</v>
      </c>
      <c r="B407" s="53">
        <f>SUM(B382:B406)</f>
        <v>366700</v>
      </c>
      <c r="C407" s="53">
        <f>SUM(C382:C406)</f>
        <v>450200</v>
      </c>
      <c r="D407" s="53">
        <f>SUM(D382:D406)</f>
        <v>358700</v>
      </c>
      <c r="E407" s="240"/>
      <c r="F407" s="378" t="s">
        <v>2605</v>
      </c>
      <c r="G407" s="53">
        <f>SUM(G382:G406)</f>
        <v>225500</v>
      </c>
      <c r="H407" s="180">
        <f>IF(E407=G407,0,IF(E407=0,100,(G407-E407)/E407*100))</f>
        <v>100</v>
      </c>
      <c r="I407" s="53">
        <f t="shared" ref="I407:R407" si="574">SUM(I382:I406)</f>
        <v>169500</v>
      </c>
      <c r="J407" s="155">
        <f t="shared" si="574"/>
        <v>310000</v>
      </c>
      <c r="K407" s="53">
        <f t="shared" si="574"/>
        <v>108600</v>
      </c>
      <c r="L407" s="53">
        <f t="shared" si="574"/>
        <v>239700</v>
      </c>
      <c r="M407" s="53">
        <f t="shared" si="574"/>
        <v>205700</v>
      </c>
      <c r="N407" s="53">
        <f t="shared" si="574"/>
        <v>189200</v>
      </c>
      <c r="O407" s="155">
        <f t="shared" si="574"/>
        <v>247200</v>
      </c>
      <c r="P407" s="53">
        <f t="shared" si="574"/>
        <v>308200</v>
      </c>
      <c r="Q407" s="53">
        <f t="shared" si="574"/>
        <v>372200</v>
      </c>
      <c r="R407" s="113">
        <f t="shared" si="574"/>
        <v>438700</v>
      </c>
    </row>
    <row r="408" spans="1:18" x14ac:dyDescent="0.2">
      <c r="A408" s="107"/>
      <c r="B408" s="33"/>
      <c r="C408" s="33"/>
      <c r="D408" s="33"/>
      <c r="E408" s="240"/>
      <c r="F408" s="64"/>
      <c r="G408" s="33"/>
      <c r="H408" s="138"/>
      <c r="I408" s="33"/>
      <c r="J408" s="142"/>
      <c r="K408" s="33"/>
      <c r="L408" s="33"/>
      <c r="M408" s="33"/>
      <c r="N408" s="33"/>
      <c r="O408" s="142"/>
      <c r="P408" s="33"/>
      <c r="Q408" s="33"/>
      <c r="R408" s="114"/>
    </row>
    <row r="409" spans="1:18" x14ac:dyDescent="0.2">
      <c r="A409" s="107"/>
      <c r="B409" s="33"/>
      <c r="C409" s="33"/>
      <c r="D409" s="33"/>
      <c r="E409" s="240"/>
      <c r="F409" s="365" t="s">
        <v>2205</v>
      </c>
      <c r="G409" s="33"/>
      <c r="H409" s="138"/>
      <c r="I409" s="33"/>
      <c r="J409" s="142"/>
      <c r="K409" s="33"/>
      <c r="L409" s="33"/>
      <c r="M409" s="33"/>
      <c r="N409" s="33"/>
      <c r="O409" s="142"/>
      <c r="P409" s="33"/>
      <c r="Q409" s="33"/>
      <c r="R409" s="114"/>
    </row>
    <row r="410" spans="1:18" x14ac:dyDescent="0.2">
      <c r="A410" s="107"/>
      <c r="B410" s="33"/>
      <c r="C410" s="33"/>
      <c r="D410" s="33"/>
      <c r="E410" s="240"/>
      <c r="F410" s="371" t="s">
        <v>1249</v>
      </c>
      <c r="G410" s="33"/>
      <c r="H410" s="138"/>
      <c r="I410" s="33"/>
      <c r="J410" s="142"/>
      <c r="K410" s="33"/>
      <c r="L410" s="33"/>
      <c r="M410" s="33"/>
      <c r="N410" s="33"/>
      <c r="O410" s="142"/>
      <c r="P410" s="33"/>
      <c r="Q410" s="33"/>
      <c r="R410" s="114"/>
    </row>
    <row r="411" spans="1:18" x14ac:dyDescent="0.2">
      <c r="A411" s="107">
        <v>788400</v>
      </c>
      <c r="B411" s="132">
        <v>799000</v>
      </c>
      <c r="C411" s="33">
        <v>800300</v>
      </c>
      <c r="D411" s="33">
        <f>870286+14</f>
        <v>870300</v>
      </c>
      <c r="E411" s="240" t="s">
        <v>631</v>
      </c>
      <c r="F411" s="366" t="s">
        <v>1341</v>
      </c>
      <c r="G411" s="33">
        <v>945000</v>
      </c>
      <c r="H411" s="138">
        <f>IF(D411=G411,0,IF(D411=0,100,(G411-D411)/D411*100))</f>
        <v>8.5832471561530514</v>
      </c>
      <c r="I411" s="33">
        <f>ROUNDUP(G411+(G411*Assumptions!H$13),-2)</f>
        <v>963900</v>
      </c>
      <c r="J411" s="142">
        <f>ROUNDUP(I411+(I411*Assumptions!I$13),-2)</f>
        <v>988000</v>
      </c>
      <c r="K411" s="33">
        <f>ROUNDUP(J411+(J411*Assumptions!J$13),-2)</f>
        <v>1012700</v>
      </c>
      <c r="L411" s="33">
        <f>ROUNDUP(K411+(K411*Assumptions!K$13),-2)</f>
        <v>1038100</v>
      </c>
      <c r="M411" s="33">
        <f>ROUNDUP(L411+(L411*Assumptions!L$13),-2)</f>
        <v>1064100</v>
      </c>
      <c r="N411" s="33">
        <f>ROUNDUP(M411+(M411*Assumptions!M$13),-2)</f>
        <v>1090800</v>
      </c>
      <c r="O411" s="142">
        <f>ROUNDUP(N411+(N411*Assumptions!N$13),-2)</f>
        <v>1118100</v>
      </c>
      <c r="P411" s="33">
        <f>ROUNDUP(O411+(O411*Assumptions!O$13),-2)</f>
        <v>1146100</v>
      </c>
      <c r="Q411" s="33">
        <f>ROUNDUP(P411+(P411*Assumptions!P$13),-2)</f>
        <v>1174800</v>
      </c>
      <c r="R411" s="114">
        <f>ROUNDUP(Q411+(Q411*Assumptions!Q$13),-2)</f>
        <v>1204200</v>
      </c>
    </row>
    <row r="412" spans="1:18" x14ac:dyDescent="0.2">
      <c r="A412" s="107">
        <v>4000</v>
      </c>
      <c r="B412" s="132">
        <v>4700</v>
      </c>
      <c r="C412" s="33">
        <v>4500</v>
      </c>
      <c r="D412" s="33">
        <f>5102-2</f>
        <v>5100</v>
      </c>
      <c r="E412" s="240" t="s">
        <v>2633</v>
      </c>
      <c r="F412" s="366" t="s">
        <v>1921</v>
      </c>
      <c r="G412" s="33">
        <v>5000</v>
      </c>
      <c r="H412" s="138">
        <f>IF(D412=G412,0,IF(D412=0,100,(G412-D412)/D412*100))</f>
        <v>-1.9607843137254901</v>
      </c>
      <c r="I412" s="33">
        <f>ROUNDUP(G412+(G412*Assumptions!H$5),-2)</f>
        <v>5100</v>
      </c>
      <c r="J412" s="142">
        <f>ROUNDUP(I412+(I412*Assumptions!I$5),-2)</f>
        <v>5300</v>
      </c>
      <c r="K412" s="33">
        <f>ROUNDUP(J412+(J412*Assumptions!J$5),-2)</f>
        <v>5500</v>
      </c>
      <c r="L412" s="33">
        <f>ROUNDUP(K412+(K412*Assumptions!K$5),-2)</f>
        <v>5700</v>
      </c>
      <c r="M412" s="33">
        <f>ROUNDUP(L412+(L412*Assumptions!L$5),-2)</f>
        <v>5900</v>
      </c>
      <c r="N412" s="33">
        <f>ROUNDUP(M412+(M412*Assumptions!M$5),-2)</f>
        <v>6100</v>
      </c>
      <c r="O412" s="142">
        <f>ROUNDUP(N412+(N412*Assumptions!N$5),-2)</f>
        <v>6300</v>
      </c>
      <c r="P412" s="33">
        <f>ROUNDUP(O412+(O412*Assumptions!O$5),-2)</f>
        <v>6500</v>
      </c>
      <c r="Q412" s="33">
        <f>ROUNDUP(P412+(P412*Assumptions!P$5),-2)</f>
        <v>6700</v>
      </c>
      <c r="R412" s="114">
        <f>ROUNDUP(Q412+(Q412*Assumptions!Q$5),-2)</f>
        <v>6900</v>
      </c>
    </row>
    <row r="413" spans="1:18" x14ac:dyDescent="0.2">
      <c r="A413" s="107">
        <v>17900</v>
      </c>
      <c r="B413" s="132">
        <v>15000</v>
      </c>
      <c r="C413" s="33">
        <v>15500</v>
      </c>
      <c r="D413" s="33">
        <f>15504-4</f>
        <v>15500</v>
      </c>
      <c r="E413" s="240" t="s">
        <v>417</v>
      </c>
      <c r="F413" s="366" t="s">
        <v>508</v>
      </c>
      <c r="G413" s="33">
        <v>12000</v>
      </c>
      <c r="H413" s="138">
        <f>IF(D413=G413,0,IF(D413=0,100,(G413-D413)/D413*100))</f>
        <v>-22.58064516129032</v>
      </c>
      <c r="I413" s="33">
        <f>ROUNDUP(G413+(G413*Assumptions!H$5),-2)</f>
        <v>12200</v>
      </c>
      <c r="J413" s="142">
        <f>ROUNDUP(I413+(I413*Assumptions!I$5),-2)</f>
        <v>12600</v>
      </c>
      <c r="K413" s="33">
        <f>ROUNDUP(J413+(J413*Assumptions!J$5),-2)</f>
        <v>13000</v>
      </c>
      <c r="L413" s="33">
        <f>ROUNDUP(K413+(K413*Assumptions!K$5),-2)</f>
        <v>13400</v>
      </c>
      <c r="M413" s="33">
        <f>ROUNDUP(L413+(L413*Assumptions!L$5),-2)</f>
        <v>13700</v>
      </c>
      <c r="N413" s="33">
        <f>ROUNDUP(M413+(M413*Assumptions!M$5),-2)</f>
        <v>14000</v>
      </c>
      <c r="O413" s="142">
        <f>ROUNDUP(N413+(N413*Assumptions!N$5),-2)</f>
        <v>14300</v>
      </c>
      <c r="P413" s="33">
        <f>ROUNDUP(O413+(O413*Assumptions!O$5),-2)</f>
        <v>14600</v>
      </c>
      <c r="Q413" s="33">
        <f>ROUNDUP(P413+(P413*Assumptions!P$5),-2)</f>
        <v>14900</v>
      </c>
      <c r="R413" s="114">
        <f>ROUNDUP(Q413+(Q413*Assumptions!Q$5),-2)</f>
        <v>15200</v>
      </c>
    </row>
    <row r="414" spans="1:18" x14ac:dyDescent="0.2">
      <c r="A414" s="107"/>
      <c r="B414" s="132"/>
      <c r="C414" s="33"/>
      <c r="D414" s="33"/>
      <c r="E414" s="240"/>
      <c r="F414" s="366"/>
      <c r="G414" s="33"/>
      <c r="H414" s="138"/>
      <c r="I414" s="33"/>
      <c r="J414" s="142"/>
      <c r="K414" s="33"/>
      <c r="L414" s="33"/>
      <c r="M414" s="33"/>
      <c r="N414" s="33"/>
      <c r="O414" s="142"/>
      <c r="P414" s="33"/>
      <c r="Q414" s="33"/>
      <c r="R414" s="114"/>
    </row>
    <row r="415" spans="1:18" x14ac:dyDescent="0.2">
      <c r="A415" s="107"/>
      <c r="B415" s="132"/>
      <c r="C415" s="33"/>
      <c r="D415" s="33"/>
      <c r="E415" s="240"/>
      <c r="F415" s="371" t="s">
        <v>2558</v>
      </c>
      <c r="G415" s="33"/>
      <c r="H415" s="138"/>
      <c r="I415" s="33"/>
      <c r="J415" s="142"/>
      <c r="K415" s="33"/>
      <c r="L415" s="33"/>
      <c r="M415" s="33"/>
      <c r="N415" s="33"/>
      <c r="O415" s="142"/>
      <c r="P415" s="33"/>
      <c r="Q415" s="33"/>
      <c r="R415" s="114"/>
    </row>
    <row r="416" spans="1:18" x14ac:dyDescent="0.2">
      <c r="A416" s="107">
        <v>3100</v>
      </c>
      <c r="B416" s="132">
        <v>5000</v>
      </c>
      <c r="C416" s="33">
        <v>4100</v>
      </c>
      <c r="D416" s="33">
        <f>4599+1</f>
        <v>4600</v>
      </c>
      <c r="E416" s="240" t="s">
        <v>2634</v>
      </c>
      <c r="F416" s="366" t="s">
        <v>727</v>
      </c>
      <c r="G416" s="33">
        <v>5000</v>
      </c>
      <c r="H416" s="138">
        <f>IF(D416=G416,0,IF(D416=0,100,(G416-D416)/D416*100))</f>
        <v>8.695652173913043</v>
      </c>
      <c r="I416" s="33">
        <v>5000</v>
      </c>
      <c r="J416" s="142">
        <f>ROUNDUP(I416+(I416*Assumptions!I$5),-2)</f>
        <v>5200</v>
      </c>
      <c r="K416" s="33">
        <f>ROUNDUP(J416+(J416*Assumptions!J$5),-2)</f>
        <v>5400</v>
      </c>
      <c r="L416" s="33">
        <f>ROUNDUP(K416+(K416*Assumptions!K$5),-2)</f>
        <v>5600</v>
      </c>
      <c r="M416" s="33">
        <f>ROUNDUP(L416+(L416*Assumptions!L$5),-2)</f>
        <v>5800</v>
      </c>
      <c r="N416" s="33">
        <f>ROUNDUP(M416+(M416*Assumptions!M$5),-2)</f>
        <v>6000</v>
      </c>
      <c r="O416" s="142">
        <f>ROUNDUP(N416+(N416*Assumptions!N$5),-2)</f>
        <v>6200</v>
      </c>
      <c r="P416" s="33">
        <f>ROUNDUP(O416+(O416*Assumptions!O$5),-2)</f>
        <v>6400</v>
      </c>
      <c r="Q416" s="33">
        <f>ROUNDUP(P416+(P416*Assumptions!P$5),-2)</f>
        <v>6600</v>
      </c>
      <c r="R416" s="114">
        <f>ROUNDUP(Q416+(Q416*Assumptions!Q$5),-2)</f>
        <v>6800</v>
      </c>
    </row>
    <row r="417" spans="1:18" x14ac:dyDescent="0.2">
      <c r="A417" s="107">
        <v>18100</v>
      </c>
      <c r="B417" s="132">
        <v>17000</v>
      </c>
      <c r="C417" s="33">
        <v>14100</v>
      </c>
      <c r="D417" s="33">
        <f>23781+19</f>
        <v>23800</v>
      </c>
      <c r="E417" s="240" t="s">
        <v>1208</v>
      </c>
      <c r="F417" s="366" t="s">
        <v>2670</v>
      </c>
      <c r="G417" s="33">
        <f>15000+3000</f>
        <v>18000</v>
      </c>
      <c r="H417" s="138">
        <f>IF(D417=G417,0,IF(D417=0,100,(G417-D417)/D417*100))</f>
        <v>-24.369747899159663</v>
      </c>
      <c r="I417" s="33">
        <v>15000</v>
      </c>
      <c r="J417" s="142">
        <f>ROUNDUP(I417+(I417*Assumptions!I$5),-2)</f>
        <v>15400</v>
      </c>
      <c r="K417" s="33">
        <f>ROUNDUP(J417+(J417*Assumptions!J$5),-2)</f>
        <v>15800</v>
      </c>
      <c r="L417" s="33">
        <f>ROUNDUP(K417+(K417*Assumptions!K$5),-2)</f>
        <v>16200</v>
      </c>
      <c r="M417" s="33">
        <f>ROUNDUP(L417+(L417*Assumptions!L$5),-2)</f>
        <v>16600</v>
      </c>
      <c r="N417" s="33">
        <f>ROUNDUP(M417+(M417*Assumptions!M$5),-2)</f>
        <v>17000</v>
      </c>
      <c r="O417" s="142">
        <f>ROUNDUP(N417+(N417*Assumptions!N$5),-2)</f>
        <v>17400</v>
      </c>
      <c r="P417" s="33">
        <f>ROUNDUP(O417+(O417*Assumptions!O$5),-2)</f>
        <v>17800</v>
      </c>
      <c r="Q417" s="33">
        <f>ROUNDUP(P417+(P417*Assumptions!P$5),-2)</f>
        <v>18200</v>
      </c>
      <c r="R417" s="114">
        <f>ROUNDUP(Q417+(Q417*Assumptions!Q$5),-2)</f>
        <v>18600</v>
      </c>
    </row>
    <row r="418" spans="1:18" x14ac:dyDescent="0.2">
      <c r="A418" s="107">
        <v>3300</v>
      </c>
      <c r="B418" s="132">
        <v>6300</v>
      </c>
      <c r="C418" s="33">
        <v>3500</v>
      </c>
      <c r="D418" s="33">
        <f>8262-62</f>
        <v>8200</v>
      </c>
      <c r="E418" s="240" t="s">
        <v>1238</v>
      </c>
      <c r="F418" s="366" t="s">
        <v>676</v>
      </c>
      <c r="G418" s="33">
        <f>4000+2000</f>
        <v>6000</v>
      </c>
      <c r="H418" s="138">
        <f>IF(D418=G418,0,IF(D418=0,100,(G418-D418)/D418*100))</f>
        <v>-26.829268292682929</v>
      </c>
      <c r="I418" s="33">
        <v>4000</v>
      </c>
      <c r="J418" s="142">
        <f>ROUNDUP(I418+(I418*Assumptions!I$5),-2)</f>
        <v>4100</v>
      </c>
      <c r="K418" s="33">
        <f>ROUNDUP(J418+(J418*Assumptions!J$5),-2)</f>
        <v>4300</v>
      </c>
      <c r="L418" s="33">
        <f>ROUNDUP(K418+(K418*Assumptions!K$5),-2)</f>
        <v>4500</v>
      </c>
      <c r="M418" s="33">
        <f>ROUNDUP(L418+(L418*Assumptions!L$5),-2)</f>
        <v>4600</v>
      </c>
      <c r="N418" s="33">
        <f>ROUNDUP(M418+(M418*Assumptions!M$5),-2)</f>
        <v>4700</v>
      </c>
      <c r="O418" s="142">
        <f>ROUNDUP(N418+(N418*Assumptions!N$5),-2)</f>
        <v>4800</v>
      </c>
      <c r="P418" s="33">
        <f>ROUNDUP(O418+(O418*Assumptions!O$5),-2)</f>
        <v>4900</v>
      </c>
      <c r="Q418" s="33">
        <f>ROUNDUP(P418+(P418*Assumptions!P$5),-2)</f>
        <v>5000</v>
      </c>
      <c r="R418" s="114">
        <f>ROUNDUP(Q418+(Q418*Assumptions!Q$5),-2)</f>
        <v>5100</v>
      </c>
    </row>
    <row r="419" spans="1:18" x14ac:dyDescent="0.2">
      <c r="A419" s="107"/>
      <c r="B419" s="33"/>
      <c r="C419" s="33"/>
      <c r="D419" s="33"/>
      <c r="E419" s="240"/>
      <c r="F419" s="366"/>
      <c r="G419" s="33"/>
      <c r="H419" s="138"/>
      <c r="I419" s="33"/>
      <c r="J419" s="142"/>
      <c r="K419" s="33"/>
      <c r="L419" s="33"/>
      <c r="M419" s="33"/>
      <c r="N419" s="33"/>
      <c r="O419" s="142"/>
      <c r="P419" s="33"/>
      <c r="Q419" s="33"/>
      <c r="R419" s="114"/>
    </row>
    <row r="420" spans="1:18" x14ac:dyDescent="0.2">
      <c r="A420" s="107"/>
      <c r="B420" s="33"/>
      <c r="C420" s="33"/>
      <c r="D420" s="33"/>
      <c r="E420" s="240"/>
      <c r="F420" s="371" t="s">
        <v>294</v>
      </c>
      <c r="G420" s="33"/>
      <c r="H420" s="138"/>
      <c r="I420" s="33"/>
      <c r="J420" s="142"/>
      <c r="K420" s="33"/>
      <c r="L420" s="33"/>
      <c r="M420" s="33"/>
      <c r="N420" s="33"/>
      <c r="O420" s="142"/>
      <c r="P420" s="33"/>
      <c r="Q420" s="33"/>
      <c r="R420" s="114"/>
    </row>
    <row r="421" spans="1:18" x14ac:dyDescent="0.2">
      <c r="A421" s="107">
        <v>14200</v>
      </c>
      <c r="B421" s="33">
        <v>15700</v>
      </c>
      <c r="C421" s="33">
        <v>17000</v>
      </c>
      <c r="D421" s="33">
        <f>6164+36</f>
        <v>6200</v>
      </c>
      <c r="E421" s="240" t="s">
        <v>1515</v>
      </c>
      <c r="F421" s="891" t="s">
        <v>3021</v>
      </c>
      <c r="G421" s="33">
        <v>20000</v>
      </c>
      <c r="H421" s="138">
        <f t="shared" ref="H421:H438" si="575">IF(D421=G421,0,IF(D421=0,100,(G421-D421)/D421*100))</f>
        <v>222.58064516129031</v>
      </c>
      <c r="I421" s="33">
        <v>20000</v>
      </c>
      <c r="J421" s="142">
        <f>ROUNDUP(I421+(I421*Assumptions!I$5),-2)</f>
        <v>20500</v>
      </c>
      <c r="K421" s="33">
        <f>ROUNDUP(J421+(J421*Assumptions!J$5),-2)</f>
        <v>21100</v>
      </c>
      <c r="L421" s="33">
        <f>ROUNDUP(K421+(K421*Assumptions!K$5),-2)</f>
        <v>21700</v>
      </c>
      <c r="M421" s="33">
        <f>ROUNDUP(L421+(L421*Assumptions!L$5),-2)</f>
        <v>22200</v>
      </c>
      <c r="N421" s="33">
        <f>ROUNDUP(M421+(M421*Assumptions!M$5),-2)</f>
        <v>22700</v>
      </c>
      <c r="O421" s="142">
        <f>ROUNDUP(N421+(N421*Assumptions!N$5),-2)</f>
        <v>23200</v>
      </c>
      <c r="P421" s="33">
        <f>ROUNDUP(O421+(O421*Assumptions!O$5),-2)</f>
        <v>23700</v>
      </c>
      <c r="Q421" s="33">
        <f>ROUNDUP(P421+(P421*Assumptions!P$5),-2)</f>
        <v>24200</v>
      </c>
      <c r="R421" s="114">
        <f>ROUNDUP(Q421+(Q421*Assumptions!Q$5),-2)</f>
        <v>24700</v>
      </c>
    </row>
    <row r="422" spans="1:18" x14ac:dyDescent="0.2">
      <c r="A422" s="107">
        <v>0</v>
      </c>
      <c r="B422" s="33">
        <v>0</v>
      </c>
      <c r="C422" s="33">
        <v>0</v>
      </c>
      <c r="D422" s="132">
        <f>5362+38</f>
        <v>5400</v>
      </c>
      <c r="E422" s="1100" t="s">
        <v>5311</v>
      </c>
      <c r="F422" s="891" t="s">
        <v>5344</v>
      </c>
      <c r="G422" s="33">
        <v>0</v>
      </c>
      <c r="H422" s="138">
        <f t="shared" si="575"/>
        <v>-100</v>
      </c>
      <c r="I422" s="33">
        <f>ROUNDUP(G422+(G422*Assumptions!H$5),-2)</f>
        <v>0</v>
      </c>
      <c r="J422" s="142">
        <f>ROUNDUP(I422+(I422*Assumptions!I$5),-2)</f>
        <v>0</v>
      </c>
      <c r="K422" s="33">
        <f>ROUNDUP(J422+(J422*Assumptions!J$5),-2)</f>
        <v>0</v>
      </c>
      <c r="L422" s="33">
        <f>ROUNDUP(K422+(K422*Assumptions!K$5),-2)</f>
        <v>0</v>
      </c>
      <c r="M422" s="33">
        <f>ROUNDUP(L422+(L422*Assumptions!L$5),-2)</f>
        <v>0</v>
      </c>
      <c r="N422" s="33">
        <f>ROUNDUP(M422+(M422*Assumptions!M$5),-2)</f>
        <v>0</v>
      </c>
      <c r="O422" s="142">
        <f>ROUNDUP(N422+(N422*Assumptions!N$5),-2)</f>
        <v>0</v>
      </c>
      <c r="P422" s="33">
        <f>ROUNDUP(O422+(O422*Assumptions!O$5),-2)</f>
        <v>0</v>
      </c>
      <c r="Q422" s="33">
        <f>ROUNDUP(P422+(P422*Assumptions!P$5),-2)</f>
        <v>0</v>
      </c>
      <c r="R422" s="114">
        <f>ROUNDUP(Q422+(Q422*Assumptions!Q$5),-2)</f>
        <v>0</v>
      </c>
    </row>
    <row r="423" spans="1:18" x14ac:dyDescent="0.2">
      <c r="A423" s="107">
        <v>19200</v>
      </c>
      <c r="B423" s="33">
        <v>10000</v>
      </c>
      <c r="C423" s="33">
        <v>15000</v>
      </c>
      <c r="D423" s="33">
        <v>5000</v>
      </c>
      <c r="E423" s="240" t="s">
        <v>1516</v>
      </c>
      <c r="F423" s="891" t="s">
        <v>6656</v>
      </c>
      <c r="G423" s="33">
        <v>0</v>
      </c>
      <c r="H423" s="138">
        <f t="shared" si="575"/>
        <v>-100</v>
      </c>
      <c r="I423" s="33">
        <f>ROUNDUP(G423+(G423*Assumptions!H$5),-2)</f>
        <v>0</v>
      </c>
      <c r="J423" s="142">
        <f>ROUNDUP(I423+(I423*Assumptions!I$5),-2)</f>
        <v>0</v>
      </c>
      <c r="K423" s="33">
        <f>ROUNDUP(J423+(J423*Assumptions!J$5),-2)</f>
        <v>0</v>
      </c>
      <c r="L423" s="33">
        <f>ROUNDUP(K423+(K423*Assumptions!K$5),-2)</f>
        <v>0</v>
      </c>
      <c r="M423" s="33">
        <f>ROUNDUP(L423+(L423*Assumptions!L$5),-2)</f>
        <v>0</v>
      </c>
      <c r="N423" s="33">
        <f>ROUNDUP(M423+(M423*Assumptions!M$5),-2)</f>
        <v>0</v>
      </c>
      <c r="O423" s="142">
        <f>ROUNDUP(N423+(N423*Assumptions!N$5),-2)</f>
        <v>0</v>
      </c>
      <c r="P423" s="33">
        <f>ROUNDUP(O423+(O423*Assumptions!O$5),-2)</f>
        <v>0</v>
      </c>
      <c r="Q423" s="33">
        <f>ROUNDUP(P423+(P423*Assumptions!P$5),-2)</f>
        <v>0</v>
      </c>
      <c r="R423" s="114">
        <f>ROUNDUP(Q423+(Q423*Assumptions!Q$5),-2)</f>
        <v>0</v>
      </c>
    </row>
    <row r="424" spans="1:18" x14ac:dyDescent="0.2">
      <c r="A424" s="107">
        <v>14400</v>
      </c>
      <c r="B424" s="33">
        <v>5600</v>
      </c>
      <c r="C424" s="33">
        <v>57500</v>
      </c>
      <c r="D424" s="33">
        <f>3779+21</f>
        <v>3800</v>
      </c>
      <c r="E424" s="1100" t="s">
        <v>4206</v>
      </c>
      <c r="F424" s="891" t="s">
        <v>6979</v>
      </c>
      <c r="G424" s="33">
        <v>39700</v>
      </c>
      <c r="H424" s="138">
        <f t="shared" si="575"/>
        <v>944.73684210526324</v>
      </c>
      <c r="I424" s="33">
        <v>20000</v>
      </c>
      <c r="J424" s="142">
        <f>ROUNDUP(I424+(I424*Assumptions!I$5),-2)</f>
        <v>20500</v>
      </c>
      <c r="K424" s="33">
        <f>ROUNDUP(J424+(J424*Assumptions!J$5),-2)</f>
        <v>21100</v>
      </c>
      <c r="L424" s="33">
        <f>ROUNDUP(K424+(K424*Assumptions!K$5),-2)</f>
        <v>21700</v>
      </c>
      <c r="M424" s="33">
        <f>ROUNDUP(L424+(L424*Assumptions!L$5),-2)</f>
        <v>22200</v>
      </c>
      <c r="N424" s="33">
        <f>ROUNDUP(M424+(M424*Assumptions!M$5),-2)</f>
        <v>22700</v>
      </c>
      <c r="O424" s="142">
        <f>ROUNDUP(N424+(N424*Assumptions!N$5),-2)</f>
        <v>23200</v>
      </c>
      <c r="P424" s="33">
        <f>ROUNDUP(O424+(O424*Assumptions!O$5),-2)</f>
        <v>23700</v>
      </c>
      <c r="Q424" s="33">
        <f>ROUNDUP(P424+(P424*Assumptions!P$5),-2)</f>
        <v>24200</v>
      </c>
      <c r="R424" s="114">
        <f>ROUNDUP(Q424+(Q424*Assumptions!Q$5),-2)</f>
        <v>24700</v>
      </c>
    </row>
    <row r="425" spans="1:18" x14ac:dyDescent="0.2">
      <c r="A425" s="107">
        <v>0</v>
      </c>
      <c r="B425" s="33">
        <v>0</v>
      </c>
      <c r="C425" s="33">
        <v>0</v>
      </c>
      <c r="D425" s="33">
        <f>2250+50</f>
        <v>2300</v>
      </c>
      <c r="E425" s="1100" t="s">
        <v>4207</v>
      </c>
      <c r="F425" s="891" t="s">
        <v>6655</v>
      </c>
      <c r="G425" s="33">
        <v>27700</v>
      </c>
      <c r="H425" s="138">
        <f t="shared" si="575"/>
        <v>1104.3478260869565</v>
      </c>
      <c r="I425" s="33">
        <v>0</v>
      </c>
      <c r="J425" s="142">
        <f>ROUNDUP(I425+(I425*Assumptions!I$5),-2)</f>
        <v>0</v>
      </c>
      <c r="K425" s="33">
        <f>ROUNDUP(J425+(J425*Assumptions!J$5),-2)</f>
        <v>0</v>
      </c>
      <c r="L425" s="33">
        <f>ROUNDUP(K425+(K425*Assumptions!K$5),-2)</f>
        <v>0</v>
      </c>
      <c r="M425" s="33">
        <f>ROUNDUP(L425+(L425*Assumptions!L$5),-2)</f>
        <v>0</v>
      </c>
      <c r="N425" s="33">
        <f>ROUNDUP(M425+(M425*Assumptions!M$5),-2)</f>
        <v>0</v>
      </c>
      <c r="O425" s="142">
        <f>ROUNDUP(N425+(N425*Assumptions!N$5),-2)</f>
        <v>0</v>
      </c>
      <c r="P425" s="33">
        <f>ROUNDUP(O425+(O425*Assumptions!O$5),-2)</f>
        <v>0</v>
      </c>
      <c r="Q425" s="33">
        <f>ROUNDUP(P425+(P425*Assumptions!P$5),-2)</f>
        <v>0</v>
      </c>
      <c r="R425" s="114">
        <f>ROUNDUP(Q425+(Q425*Assumptions!Q$5),-2)</f>
        <v>0</v>
      </c>
    </row>
    <row r="426" spans="1:18" x14ac:dyDescent="0.2">
      <c r="A426" s="107">
        <f>34100+256000</f>
        <v>290100</v>
      </c>
      <c r="B426" s="33">
        <v>27400</v>
      </c>
      <c r="C426" s="33">
        <v>0</v>
      </c>
      <c r="D426" s="33">
        <v>1700</v>
      </c>
      <c r="E426" s="240" t="s">
        <v>1517</v>
      </c>
      <c r="F426" s="891" t="s">
        <v>6658</v>
      </c>
      <c r="G426" s="33">
        <v>10000</v>
      </c>
      <c r="H426" s="138">
        <f t="shared" si="575"/>
        <v>488.23529411764707</v>
      </c>
      <c r="I426" s="33">
        <f>ROUNDUP(G426+(G426*Assumptions!H$5),-2)</f>
        <v>10200</v>
      </c>
      <c r="J426" s="142">
        <f>ROUNDUP(I426+(I426*Assumptions!I$5),-2)</f>
        <v>10500</v>
      </c>
      <c r="K426" s="33">
        <f>ROUNDUP(J426+(J426*Assumptions!J$5),-2)</f>
        <v>10800</v>
      </c>
      <c r="L426" s="33">
        <f>ROUNDUP(K426+(K426*Assumptions!K$5),-2)</f>
        <v>11100</v>
      </c>
      <c r="M426" s="33">
        <f>ROUNDUP(L426+(L426*Assumptions!L$5),-2)</f>
        <v>11400</v>
      </c>
      <c r="N426" s="33">
        <f>ROUNDUP(M426+(M426*Assumptions!M$5),-2)</f>
        <v>11700</v>
      </c>
      <c r="O426" s="142">
        <f>ROUNDUP(N426+(N426*Assumptions!N$5),-2)</f>
        <v>12000</v>
      </c>
      <c r="P426" s="33">
        <f>ROUNDUP(O426+(O426*Assumptions!O$5),-2)</f>
        <v>12300</v>
      </c>
      <c r="Q426" s="33">
        <f>ROUNDUP(P426+(P426*Assumptions!P$5),-2)</f>
        <v>12600</v>
      </c>
      <c r="R426" s="114">
        <f>ROUNDUP(Q426+(Q426*Assumptions!Q$5),-2)</f>
        <v>12900</v>
      </c>
    </row>
    <row r="427" spans="1:18" x14ac:dyDescent="0.2">
      <c r="A427" s="107">
        <v>0</v>
      </c>
      <c r="B427" s="33">
        <v>19400</v>
      </c>
      <c r="C427" s="33">
        <v>107700</v>
      </c>
      <c r="D427" s="33">
        <f>70526-26</f>
        <v>70500</v>
      </c>
      <c r="E427" s="1100" t="s">
        <v>4151</v>
      </c>
      <c r="F427" s="891" t="s">
        <v>3662</v>
      </c>
      <c r="G427" s="33">
        <v>20000</v>
      </c>
      <c r="H427" s="138">
        <f t="shared" si="575"/>
        <v>-71.63120567375887</v>
      </c>
      <c r="I427" s="33">
        <v>0</v>
      </c>
      <c r="J427" s="142">
        <f>ROUNDUP(I427+(I427*Assumptions!I$5),-2)</f>
        <v>0</v>
      </c>
      <c r="K427" s="33">
        <f>ROUNDUP(J427+(J427*Assumptions!J$5),-2)</f>
        <v>0</v>
      </c>
      <c r="L427" s="33">
        <f>ROUNDUP(K427+(K427*Assumptions!K$5),-2)</f>
        <v>0</v>
      </c>
      <c r="M427" s="33">
        <f>ROUNDUP(L427+(L427*Assumptions!L$5),-2)</f>
        <v>0</v>
      </c>
      <c r="N427" s="33">
        <f>ROUNDUP(M427+(M427*Assumptions!M$5),-2)</f>
        <v>0</v>
      </c>
      <c r="O427" s="142">
        <f>ROUNDUP(N427+(N427*Assumptions!N$5),-2)</f>
        <v>0</v>
      </c>
      <c r="P427" s="33">
        <f>ROUNDUP(O427+(O427*Assumptions!O$5),-2)</f>
        <v>0</v>
      </c>
      <c r="Q427" s="33">
        <f>ROUNDUP(P427+(P427*Assumptions!P$5),-2)</f>
        <v>0</v>
      </c>
      <c r="R427" s="114">
        <f>ROUNDUP(Q427+(Q427*Assumptions!Q$5),-2)</f>
        <v>0</v>
      </c>
    </row>
    <row r="428" spans="1:18" x14ac:dyDescent="0.2">
      <c r="A428" s="107">
        <v>5500</v>
      </c>
      <c r="B428" s="33">
        <v>34900</v>
      </c>
      <c r="C428" s="33">
        <v>300</v>
      </c>
      <c r="D428" s="33">
        <v>19300</v>
      </c>
      <c r="E428" s="240" t="s">
        <v>1497</v>
      </c>
      <c r="F428" s="891" t="s">
        <v>6899</v>
      </c>
      <c r="G428" s="33">
        <v>0</v>
      </c>
      <c r="H428" s="138">
        <f t="shared" si="575"/>
        <v>-100</v>
      </c>
      <c r="I428" s="33">
        <f>ROUNDUP(G428+(G428*Assumptions!H$5),-2)</f>
        <v>0</v>
      </c>
      <c r="J428" s="142">
        <f>ROUNDUP(I428+(I428*Assumptions!I$5),-2)</f>
        <v>0</v>
      </c>
      <c r="K428" s="33">
        <f>ROUNDUP(J428+(J428*Assumptions!J$5),-2)</f>
        <v>0</v>
      </c>
      <c r="L428" s="33">
        <f>ROUNDUP(K428+(K428*Assumptions!K$5),-2)</f>
        <v>0</v>
      </c>
      <c r="M428" s="33">
        <f>ROUNDUP(L428+(L428*Assumptions!L$5),-2)</f>
        <v>0</v>
      </c>
      <c r="N428" s="33">
        <f>ROUNDUP(M428+(M428*Assumptions!M$5),-2)</f>
        <v>0</v>
      </c>
      <c r="O428" s="142">
        <f>ROUNDUP(N428+(N428*Assumptions!N$5),-2)</f>
        <v>0</v>
      </c>
      <c r="P428" s="33">
        <f>ROUNDUP(O428+(O428*Assumptions!O$5),-2)</f>
        <v>0</v>
      </c>
      <c r="Q428" s="33">
        <f>ROUNDUP(P428+(P428*Assumptions!P$5),-2)</f>
        <v>0</v>
      </c>
      <c r="R428" s="114">
        <f>ROUNDUP(Q428+(Q428*Assumptions!Q$5),-2)</f>
        <v>0</v>
      </c>
    </row>
    <row r="429" spans="1:18" x14ac:dyDescent="0.2">
      <c r="A429" s="107"/>
      <c r="B429" s="33"/>
      <c r="C429" s="33"/>
      <c r="D429" s="33"/>
      <c r="E429" s="1100" t="s">
        <v>7073</v>
      </c>
      <c r="F429" s="891" t="s">
        <v>7072</v>
      </c>
      <c r="G429" s="33">
        <v>1000</v>
      </c>
      <c r="H429" s="138"/>
      <c r="I429" s="33">
        <v>0</v>
      </c>
      <c r="J429" s="142">
        <f>ROUNDUP(I429+(I429*Assumptions!I$5),-2)</f>
        <v>0</v>
      </c>
      <c r="K429" s="33">
        <f>ROUNDUP(J429+(J429*Assumptions!J$5),-2)</f>
        <v>0</v>
      </c>
      <c r="L429" s="33">
        <f>ROUNDUP(K429+(K429*Assumptions!K$5),-2)</f>
        <v>0</v>
      </c>
      <c r="M429" s="33">
        <f>ROUNDUP(L429+(L429*Assumptions!L$5),-2)</f>
        <v>0</v>
      </c>
      <c r="N429" s="33">
        <f>ROUNDUP(M429+(M429*Assumptions!M$5),-2)</f>
        <v>0</v>
      </c>
      <c r="O429" s="142">
        <f>ROUNDUP(N429+(N429*Assumptions!N$5),-2)</f>
        <v>0</v>
      </c>
      <c r="P429" s="33">
        <f>ROUNDUP(O429+(O429*Assumptions!O$5),-2)</f>
        <v>0</v>
      </c>
      <c r="Q429" s="33">
        <f>ROUNDUP(P429+(P429*Assumptions!P$5),-2)</f>
        <v>0</v>
      </c>
      <c r="R429" s="114">
        <f>ROUNDUP(Q429+(Q429*Assumptions!Q$5),-2)</f>
        <v>0</v>
      </c>
    </row>
    <row r="430" spans="1:18" x14ac:dyDescent="0.2">
      <c r="A430" s="107">
        <v>0</v>
      </c>
      <c r="B430" s="33">
        <v>0</v>
      </c>
      <c r="C430" s="33">
        <v>0</v>
      </c>
      <c r="D430" s="33">
        <v>0</v>
      </c>
      <c r="E430" s="1100" t="s">
        <v>6547</v>
      </c>
      <c r="F430" s="891" t="s">
        <v>6548</v>
      </c>
      <c r="G430" s="33">
        <v>20000</v>
      </c>
      <c r="H430" s="138">
        <f t="shared" si="575"/>
        <v>100</v>
      </c>
      <c r="I430" s="33">
        <v>0</v>
      </c>
      <c r="J430" s="142">
        <f>ROUNDUP(I430+(I430*Assumptions!I$5),-2)</f>
        <v>0</v>
      </c>
      <c r="K430" s="33">
        <f>ROUNDUP(J430+(J430*Assumptions!J$5),-2)</f>
        <v>0</v>
      </c>
      <c r="L430" s="33">
        <f>ROUNDUP(K430+(K430*Assumptions!K$5),-2)</f>
        <v>0</v>
      </c>
      <c r="M430" s="33">
        <f>ROUNDUP(L430+(L430*Assumptions!L$5),-2)</f>
        <v>0</v>
      </c>
      <c r="N430" s="33">
        <f>ROUNDUP(M430+(M430*Assumptions!M$5),-2)</f>
        <v>0</v>
      </c>
      <c r="O430" s="142">
        <f>ROUNDUP(N430+(N430*Assumptions!N$5),-2)</f>
        <v>0</v>
      </c>
      <c r="P430" s="33">
        <f>ROUNDUP(O430+(O430*Assumptions!O$5),-2)</f>
        <v>0</v>
      </c>
      <c r="Q430" s="33">
        <f>ROUNDUP(P430+(P430*Assumptions!P$5),-2)</f>
        <v>0</v>
      </c>
      <c r="R430" s="114">
        <f>ROUNDUP(Q430+(Q430*Assumptions!Q$5),-2)</f>
        <v>0</v>
      </c>
    </row>
    <row r="431" spans="1:18" x14ac:dyDescent="0.2">
      <c r="A431" s="107">
        <v>0</v>
      </c>
      <c r="B431" s="33">
        <v>0</v>
      </c>
      <c r="C431" s="33">
        <v>0</v>
      </c>
      <c r="D431" s="33">
        <v>0</v>
      </c>
      <c r="E431" s="1100" t="s">
        <v>6549</v>
      </c>
      <c r="F431" s="891" t="s">
        <v>6648</v>
      </c>
      <c r="G431" s="33">
        <v>15000</v>
      </c>
      <c r="H431" s="138">
        <f t="shared" si="575"/>
        <v>100</v>
      </c>
      <c r="I431" s="33">
        <v>0</v>
      </c>
      <c r="J431" s="142">
        <f>ROUNDUP(I431+(I431*Assumptions!I$5),-2)</f>
        <v>0</v>
      </c>
      <c r="K431" s="33">
        <f>ROUNDUP(J431+(J431*Assumptions!J$5),-2)</f>
        <v>0</v>
      </c>
      <c r="L431" s="33">
        <f>ROUNDUP(K431+(K431*Assumptions!K$5),-2)</f>
        <v>0</v>
      </c>
      <c r="M431" s="33">
        <f>ROUNDUP(L431+(L431*Assumptions!L$5),-2)</f>
        <v>0</v>
      </c>
      <c r="N431" s="33">
        <f>ROUNDUP(M431+(M431*Assumptions!M$5),-2)</f>
        <v>0</v>
      </c>
      <c r="O431" s="142">
        <f>ROUNDUP(N431+(N431*Assumptions!N$5),-2)</f>
        <v>0</v>
      </c>
      <c r="P431" s="33">
        <f>ROUNDUP(O431+(O431*Assumptions!O$5),-2)</f>
        <v>0</v>
      </c>
      <c r="Q431" s="33">
        <f>ROUNDUP(P431+(P431*Assumptions!P$5),-2)</f>
        <v>0</v>
      </c>
      <c r="R431" s="114">
        <f>ROUNDUP(Q431+(Q431*Assumptions!Q$5),-2)</f>
        <v>0</v>
      </c>
    </row>
    <row r="432" spans="1:18" x14ac:dyDescent="0.2">
      <c r="A432" s="107">
        <v>0</v>
      </c>
      <c r="B432" s="33">
        <v>0</v>
      </c>
      <c r="C432" s="33">
        <v>0</v>
      </c>
      <c r="D432" s="33">
        <v>0</v>
      </c>
      <c r="E432" s="1100" t="s">
        <v>6550</v>
      </c>
      <c r="F432" s="891" t="s">
        <v>6551</v>
      </c>
      <c r="G432" s="33">
        <v>15000</v>
      </c>
      <c r="H432" s="138">
        <f t="shared" si="575"/>
        <v>100</v>
      </c>
      <c r="I432" s="33">
        <v>0</v>
      </c>
      <c r="J432" s="142">
        <f>ROUNDUP(I432+(I432*Assumptions!I$5),-2)</f>
        <v>0</v>
      </c>
      <c r="K432" s="33">
        <f>ROUNDUP(J432+(J432*Assumptions!J$5),-2)</f>
        <v>0</v>
      </c>
      <c r="L432" s="33">
        <f>ROUNDUP(K432+(K432*Assumptions!K$5),-2)</f>
        <v>0</v>
      </c>
      <c r="M432" s="33">
        <f>ROUNDUP(L432+(L432*Assumptions!L$5),-2)</f>
        <v>0</v>
      </c>
      <c r="N432" s="33">
        <f>ROUNDUP(M432+(M432*Assumptions!M$5),-2)</f>
        <v>0</v>
      </c>
      <c r="O432" s="142">
        <f>ROUNDUP(N432+(N432*Assumptions!N$5),-2)</f>
        <v>0</v>
      </c>
      <c r="P432" s="33">
        <f>ROUNDUP(O432+(O432*Assumptions!O$5),-2)</f>
        <v>0</v>
      </c>
      <c r="Q432" s="33">
        <f>ROUNDUP(P432+(P432*Assumptions!P$5),-2)</f>
        <v>0</v>
      </c>
      <c r="R432" s="114">
        <f>ROUNDUP(Q432+(Q432*Assumptions!Q$5),-2)</f>
        <v>0</v>
      </c>
    </row>
    <row r="433" spans="1:18" x14ac:dyDescent="0.2">
      <c r="A433" s="107">
        <v>14700</v>
      </c>
      <c r="B433" s="33">
        <v>14700</v>
      </c>
      <c r="C433" s="33">
        <v>14600</v>
      </c>
      <c r="D433" s="33">
        <f>8335-35</f>
        <v>8300</v>
      </c>
      <c r="E433" s="240" t="s">
        <v>2159</v>
      </c>
      <c r="F433" s="891" t="s">
        <v>2901</v>
      </c>
      <c r="G433" s="33">
        <v>12000</v>
      </c>
      <c r="H433" s="138">
        <f t="shared" si="575"/>
        <v>44.578313253012048</v>
      </c>
      <c r="I433" s="33">
        <v>15000</v>
      </c>
      <c r="J433" s="142">
        <f>ROUNDUP(I433+(I433*Assumptions!I$5),-2)</f>
        <v>15400</v>
      </c>
      <c r="K433" s="33">
        <f>ROUNDUP(J433+(J433*Assumptions!J$5),-2)</f>
        <v>15800</v>
      </c>
      <c r="L433" s="33">
        <f>ROUNDUP(K433+(K433*Assumptions!K$5),-2)</f>
        <v>16200</v>
      </c>
      <c r="M433" s="33">
        <f>ROUNDUP(L433+(L433*Assumptions!L$5),-2)</f>
        <v>16600</v>
      </c>
      <c r="N433" s="33">
        <f>ROUNDUP(M433+(M433*Assumptions!M$5),-2)</f>
        <v>17000</v>
      </c>
      <c r="O433" s="142">
        <f>ROUNDUP(N433+(N433*Assumptions!N$5),-2)</f>
        <v>17400</v>
      </c>
      <c r="P433" s="33">
        <f>ROUNDUP(O433+(O433*Assumptions!O$5),-2)</f>
        <v>17800</v>
      </c>
      <c r="Q433" s="33">
        <f>ROUNDUP(P433+(P433*Assumptions!P$5),-2)</f>
        <v>18200</v>
      </c>
      <c r="R433" s="114">
        <f>ROUNDUP(Q433+(Q433*Assumptions!Q$5),-2)</f>
        <v>18600</v>
      </c>
    </row>
    <row r="434" spans="1:18" x14ac:dyDescent="0.2">
      <c r="A434" s="107">
        <v>0</v>
      </c>
      <c r="B434" s="33">
        <v>4200</v>
      </c>
      <c r="C434" s="33">
        <v>11300</v>
      </c>
      <c r="D434" s="33">
        <f>7382+18</f>
        <v>7400</v>
      </c>
      <c r="E434" s="1092" t="s">
        <v>3245</v>
      </c>
      <c r="F434" s="814" t="s">
        <v>4877</v>
      </c>
      <c r="G434" s="99">
        <v>12000</v>
      </c>
      <c r="H434" s="138">
        <f t="shared" si="575"/>
        <v>62.162162162162161</v>
      </c>
      <c r="I434" s="33">
        <v>15000</v>
      </c>
      <c r="J434" s="142">
        <f>ROUNDUP(I434+(I434*Assumptions!I$5),-2)</f>
        <v>15400</v>
      </c>
      <c r="K434" s="33">
        <f>ROUNDUP(J434+(J434*Assumptions!J$5),-2)</f>
        <v>15800</v>
      </c>
      <c r="L434" s="33">
        <f>ROUNDUP(K434+(K434*Assumptions!K$5),-2)</f>
        <v>16200</v>
      </c>
      <c r="M434" s="33">
        <f>ROUNDUP(L434+(L434*Assumptions!L$5),-2)</f>
        <v>16600</v>
      </c>
      <c r="N434" s="33">
        <f>ROUNDUP(M434+(M434*Assumptions!M$5),-2)</f>
        <v>17000</v>
      </c>
      <c r="O434" s="33">
        <f>ROUNDUP(N434+(N434*Assumptions!N$5),-2)</f>
        <v>17400</v>
      </c>
      <c r="P434" s="33">
        <f>ROUNDUP(O434+(O434*Assumptions!O$5),-2)</f>
        <v>17800</v>
      </c>
      <c r="Q434" s="33">
        <f>ROUNDUP(P434+(P434*Assumptions!P$5),-2)</f>
        <v>18200</v>
      </c>
      <c r="R434" s="114">
        <f>ROUNDUP(Q434+(Q434*Assumptions!Q$5),-2)</f>
        <v>18600</v>
      </c>
    </row>
    <row r="435" spans="1:18" x14ac:dyDescent="0.2">
      <c r="A435" s="107">
        <f>6600+5600+9500</f>
        <v>21700</v>
      </c>
      <c r="B435" s="33">
        <f>28100+13200</f>
        <v>41300</v>
      </c>
      <c r="C435" s="33">
        <v>5300</v>
      </c>
      <c r="D435" s="33">
        <f>6128-28</f>
        <v>6100</v>
      </c>
      <c r="E435" s="240" t="s">
        <v>1519</v>
      </c>
      <c r="F435" s="891" t="s">
        <v>4806</v>
      </c>
      <c r="G435" s="33">
        <v>12000</v>
      </c>
      <c r="H435" s="138">
        <f t="shared" si="575"/>
        <v>96.721311475409834</v>
      </c>
      <c r="I435" s="33">
        <v>15000</v>
      </c>
      <c r="J435" s="142">
        <f>ROUNDUP(I435+(I435*Assumptions!I$5),-2)</f>
        <v>15400</v>
      </c>
      <c r="K435" s="33">
        <f>ROUNDUP(J435+(J435*Assumptions!J$5),-2)</f>
        <v>15800</v>
      </c>
      <c r="L435" s="33">
        <f>ROUNDUP(K435+(K435*Assumptions!K$5),-2)</f>
        <v>16200</v>
      </c>
      <c r="M435" s="33">
        <f>ROUNDUP(L435+(L435*Assumptions!L$5),-2)</f>
        <v>16600</v>
      </c>
      <c r="N435" s="33">
        <f>ROUNDUP(M435+(M435*Assumptions!M$5),-2)</f>
        <v>17000</v>
      </c>
      <c r="O435" s="142">
        <f>ROUNDUP(N435+(N435*Assumptions!N$5),-2)</f>
        <v>17400</v>
      </c>
      <c r="P435" s="33">
        <f>ROUNDUP(O435+(O435*Assumptions!O$5),-2)</f>
        <v>17800</v>
      </c>
      <c r="Q435" s="33">
        <f>ROUNDUP(P435+(P435*Assumptions!P$5),-2)</f>
        <v>18200</v>
      </c>
      <c r="R435" s="114">
        <f>ROUNDUP(Q435+(Q435*Assumptions!Q$5),-2)</f>
        <v>18600</v>
      </c>
    </row>
    <row r="436" spans="1:18" x14ac:dyDescent="0.2">
      <c r="A436" s="107">
        <v>0</v>
      </c>
      <c r="B436" s="33">
        <v>0</v>
      </c>
      <c r="C436" s="33">
        <v>19400</v>
      </c>
      <c r="D436" s="33">
        <f>2878+22</f>
        <v>2900</v>
      </c>
      <c r="E436" s="1100" t="s">
        <v>4205</v>
      </c>
      <c r="F436" s="891" t="s">
        <v>6657</v>
      </c>
      <c r="G436" s="33">
        <v>30700</v>
      </c>
      <c r="H436" s="138">
        <f t="shared" si="575"/>
        <v>958.62068965517244</v>
      </c>
      <c r="I436" s="33">
        <v>25000</v>
      </c>
      <c r="J436" s="142">
        <f>ROUNDUP(I436+(I436*Assumptions!I$5),-2)</f>
        <v>25700</v>
      </c>
      <c r="K436" s="33">
        <f>ROUNDUP(J436+(J436*Assumptions!J$5),-2)</f>
        <v>26400</v>
      </c>
      <c r="L436" s="33">
        <f>ROUNDUP(K436+(K436*Assumptions!K$5),-2)</f>
        <v>27100</v>
      </c>
      <c r="M436" s="33">
        <f>ROUNDUP(L436+(L436*Assumptions!L$5),-2)</f>
        <v>27700</v>
      </c>
      <c r="N436" s="33">
        <f>ROUNDUP(M436+(M436*Assumptions!M$5),-2)</f>
        <v>28300</v>
      </c>
      <c r="O436" s="142">
        <f>ROUNDUP(N436+(N436*Assumptions!N$5),-2)</f>
        <v>28900</v>
      </c>
      <c r="P436" s="33">
        <f>ROUNDUP(O436+(O436*Assumptions!O$5),-2)</f>
        <v>29500</v>
      </c>
      <c r="Q436" s="33">
        <f>ROUNDUP(P436+(P436*Assumptions!P$5),-2)</f>
        <v>30100</v>
      </c>
      <c r="R436" s="114">
        <f>ROUNDUP(Q436+(Q436*Assumptions!Q$5),-2)</f>
        <v>30800</v>
      </c>
    </row>
    <row r="437" spans="1:18" x14ac:dyDescent="0.2">
      <c r="A437" s="107"/>
      <c r="B437" s="33"/>
      <c r="C437" s="33"/>
      <c r="D437" s="33"/>
      <c r="E437" s="1100" t="s">
        <v>7077</v>
      </c>
      <c r="F437" s="1953" t="s">
        <v>7078</v>
      </c>
      <c r="G437" s="33">
        <v>35000</v>
      </c>
      <c r="H437" s="138">
        <f t="shared" si="575"/>
        <v>100</v>
      </c>
      <c r="I437" s="33">
        <v>0</v>
      </c>
      <c r="J437" s="142">
        <f>ROUNDUP(I437+(I437*Assumptions!I$5),-2)</f>
        <v>0</v>
      </c>
      <c r="K437" s="33">
        <f>ROUNDUP(J437+(J437*Assumptions!J$5),-2)</f>
        <v>0</v>
      </c>
      <c r="L437" s="33">
        <f>ROUNDUP(K437+(K437*Assumptions!K$5),-2)</f>
        <v>0</v>
      </c>
      <c r="M437" s="33">
        <f>ROUNDUP(L437+(L437*Assumptions!L$5),-2)</f>
        <v>0</v>
      </c>
      <c r="N437" s="33">
        <f>ROUNDUP(M437+(M437*Assumptions!M$5),-2)</f>
        <v>0</v>
      </c>
      <c r="O437" s="142">
        <f>ROUNDUP(N437+(N437*Assumptions!N$5),-2)</f>
        <v>0</v>
      </c>
      <c r="P437" s="33">
        <f>ROUNDUP(O437+(O437*Assumptions!O$5),-2)</f>
        <v>0</v>
      </c>
      <c r="Q437" s="33">
        <f>ROUNDUP(P437+(P437*Assumptions!P$5),-2)</f>
        <v>0</v>
      </c>
      <c r="R437" s="114">
        <f>ROUNDUP(Q437+(Q437*Assumptions!Q$5),-2)</f>
        <v>0</v>
      </c>
    </row>
    <row r="438" spans="1:18" x14ac:dyDescent="0.2">
      <c r="A438" s="107">
        <v>23000</v>
      </c>
      <c r="B438" s="33">
        <f>20700+3300</f>
        <v>24000</v>
      </c>
      <c r="C438" s="33">
        <v>16000</v>
      </c>
      <c r="D438" s="33">
        <f>4951+49</f>
        <v>5000</v>
      </c>
      <c r="E438" s="1100" t="s">
        <v>5484</v>
      </c>
      <c r="F438" s="814" t="s">
        <v>5645</v>
      </c>
      <c r="G438" s="33">
        <v>15000</v>
      </c>
      <c r="H438" s="138">
        <f t="shared" si="575"/>
        <v>200</v>
      </c>
      <c r="I438" s="33">
        <v>15000</v>
      </c>
      <c r="J438" s="142">
        <f>ROUNDUP(I438+(I438*Assumptions!I$5),-2)</f>
        <v>15400</v>
      </c>
      <c r="K438" s="33">
        <f>ROUNDUP(J438+(J438*Assumptions!J$5),-2)</f>
        <v>15800</v>
      </c>
      <c r="L438" s="33">
        <f>ROUNDUP(K438+(K438*Assumptions!K$5),-2)</f>
        <v>16200</v>
      </c>
      <c r="M438" s="33">
        <f>ROUNDUP(L438+(L438*Assumptions!L$5),-2)</f>
        <v>16600</v>
      </c>
      <c r="N438" s="33">
        <f>ROUNDUP(M438+(M438*Assumptions!M$5),-2)</f>
        <v>17000</v>
      </c>
      <c r="O438" s="142">
        <f>ROUNDUP(N438+(N438*Assumptions!N$5),-2)</f>
        <v>17400</v>
      </c>
      <c r="P438" s="33">
        <f>ROUNDUP(O438+(O438*Assumptions!O$5),-2)</f>
        <v>17800</v>
      </c>
      <c r="Q438" s="33">
        <f>ROUNDUP(P438+(P438*Assumptions!P$5),-2)</f>
        <v>18200</v>
      </c>
      <c r="R438" s="114">
        <f>ROUNDUP(Q438+(Q438*Assumptions!Q$5),-2)</f>
        <v>18600</v>
      </c>
    </row>
    <row r="439" spans="1:18" x14ac:dyDescent="0.2">
      <c r="A439" s="107"/>
      <c r="B439" s="33"/>
      <c r="C439" s="33"/>
      <c r="D439" s="33"/>
      <c r="E439" s="1100"/>
      <c r="F439" s="891"/>
      <c r="G439" s="33"/>
      <c r="H439" s="138"/>
      <c r="I439" s="33"/>
      <c r="J439" s="142"/>
      <c r="K439" s="33"/>
      <c r="L439" s="33"/>
      <c r="M439" s="33"/>
      <c r="N439" s="33"/>
      <c r="O439" s="142"/>
      <c r="P439" s="33"/>
      <c r="Q439" s="33"/>
      <c r="R439" s="114"/>
    </row>
    <row r="440" spans="1:18" s="78" customFormat="1" ht="13.5" thickBot="1" x14ac:dyDescent="0.25">
      <c r="A440" s="2495"/>
      <c r="B440" s="1490"/>
      <c r="C440" s="1490"/>
      <c r="D440" s="1490"/>
      <c r="E440" s="1999"/>
      <c r="F440" s="1490"/>
      <c r="G440" s="1490"/>
      <c r="H440" s="1490"/>
      <c r="I440" s="2000"/>
      <c r="J440" s="2000"/>
      <c r="K440" s="2000"/>
      <c r="L440" s="2000"/>
      <c r="M440" s="2000"/>
      <c r="N440" s="2000"/>
      <c r="O440" s="2000"/>
      <c r="P440" s="2000"/>
      <c r="Q440" s="2000"/>
      <c r="R440" s="2001"/>
    </row>
    <row r="441" spans="1:18" s="91" customFormat="1" ht="18.75" customHeight="1" thickTop="1" thickBot="1" x14ac:dyDescent="0.3">
      <c r="A441" s="2865" t="s">
        <v>4577</v>
      </c>
      <c r="B441" s="2866"/>
      <c r="C441" s="2866"/>
      <c r="D441" s="2866"/>
      <c r="E441" s="2866"/>
      <c r="F441" s="2866"/>
      <c r="G441" s="2866"/>
      <c r="H441" s="2866"/>
      <c r="I441" s="2866"/>
      <c r="J441" s="2866"/>
      <c r="K441" s="2866"/>
      <c r="L441" s="2866"/>
      <c r="M441" s="2866"/>
      <c r="N441" s="2866"/>
      <c r="O441" s="2866"/>
      <c r="P441" s="2866"/>
      <c r="Q441" s="2866"/>
      <c r="R441" s="2867"/>
    </row>
    <row r="442" spans="1:18" s="44" customFormat="1" x14ac:dyDescent="0.2">
      <c r="A442" s="2848" t="s">
        <v>1856</v>
      </c>
      <c r="B442" s="2840"/>
      <c r="C442" s="2840"/>
      <c r="D442" s="2849"/>
      <c r="E442" s="513" t="s">
        <v>2663</v>
      </c>
      <c r="F442" s="369" t="s">
        <v>2251</v>
      </c>
      <c r="G442" s="2839" t="s">
        <v>2253</v>
      </c>
      <c r="H442" s="2840"/>
      <c r="I442" s="2840"/>
      <c r="J442" s="2840"/>
      <c r="K442" s="2840"/>
      <c r="L442" s="2840"/>
      <c r="M442" s="2840"/>
      <c r="N442" s="2840"/>
      <c r="O442" s="2840"/>
      <c r="P442" s="2840"/>
      <c r="Q442" s="2840"/>
      <c r="R442" s="2841"/>
    </row>
    <row r="443" spans="1:18" s="23" customFormat="1" ht="13.5" thickBot="1" x14ac:dyDescent="0.25">
      <c r="A443" s="1698" t="str">
        <f t="shared" ref="A443:R443" si="576">A$3</f>
        <v>2012/13</v>
      </c>
      <c r="B443" s="218" t="str">
        <f t="shared" si="576"/>
        <v>2013/14</v>
      </c>
      <c r="C443" s="370" t="str">
        <f>C$3</f>
        <v>2014/15</v>
      </c>
      <c r="D443" s="93" t="str">
        <f>D$3</f>
        <v>2015/16</v>
      </c>
      <c r="E443" s="1965" t="str">
        <f>E379</f>
        <v>ACCOUNT</v>
      </c>
      <c r="F443" s="42"/>
      <c r="G443" s="93" t="str">
        <f t="shared" si="576"/>
        <v>2016/17</v>
      </c>
      <c r="H443" s="2005" t="str">
        <f t="shared" si="576"/>
        <v>%</v>
      </c>
      <c r="I443" s="370" t="str">
        <f t="shared" si="576"/>
        <v>2017/18</v>
      </c>
      <c r="J443" s="370" t="str">
        <f t="shared" si="576"/>
        <v>2018/19</v>
      </c>
      <c r="K443" s="370" t="str">
        <f t="shared" si="576"/>
        <v>2019/20</v>
      </c>
      <c r="L443" s="370" t="str">
        <f t="shared" si="576"/>
        <v>2020/21</v>
      </c>
      <c r="M443" s="370" t="str">
        <f t="shared" si="576"/>
        <v>2021/22</v>
      </c>
      <c r="N443" s="370" t="str">
        <f t="shared" si="576"/>
        <v>2022/23</v>
      </c>
      <c r="O443" s="370" t="str">
        <f t="shared" si="576"/>
        <v>2023/24</v>
      </c>
      <c r="P443" s="370" t="str">
        <f t="shared" si="576"/>
        <v>2024/25</v>
      </c>
      <c r="Q443" s="218" t="str">
        <f t="shared" si="576"/>
        <v>2025/26</v>
      </c>
      <c r="R443" s="549" t="str">
        <f t="shared" si="576"/>
        <v>2026/27</v>
      </c>
    </row>
    <row r="444" spans="1:18" x14ac:dyDescent="0.2">
      <c r="A444" s="107"/>
      <c r="B444" s="33"/>
      <c r="C444" s="33"/>
      <c r="D444" s="33"/>
      <c r="E444" s="673"/>
      <c r="F444" s="1982"/>
      <c r="G444" s="187"/>
      <c r="H444" s="138"/>
      <c r="I444" s="33"/>
      <c r="J444" s="33"/>
      <c r="K444" s="33"/>
      <c r="L444" s="33"/>
      <c r="M444" s="33"/>
      <c r="N444" s="33"/>
      <c r="O444" s="33"/>
      <c r="P444" s="33"/>
      <c r="Q444" s="33"/>
      <c r="R444" s="114"/>
    </row>
    <row r="445" spans="1:18" x14ac:dyDescent="0.2">
      <c r="A445" s="107"/>
      <c r="B445" s="33"/>
      <c r="C445" s="33"/>
      <c r="D445" s="33"/>
      <c r="E445" s="240"/>
      <c r="F445" s="366"/>
      <c r="G445" s="33"/>
      <c r="H445" s="138"/>
      <c r="I445" s="33"/>
      <c r="J445" s="142"/>
      <c r="K445" s="33"/>
      <c r="L445" s="33"/>
      <c r="M445" s="33"/>
      <c r="N445" s="33"/>
      <c r="O445" s="142"/>
      <c r="P445" s="33"/>
      <c r="Q445" s="33"/>
      <c r="R445" s="114"/>
    </row>
    <row r="446" spans="1:18" x14ac:dyDescent="0.2">
      <c r="A446" s="107"/>
      <c r="B446" s="33"/>
      <c r="C446" s="33"/>
      <c r="D446" s="33"/>
      <c r="E446" s="240"/>
      <c r="F446" s="1110" t="s">
        <v>3081</v>
      </c>
      <c r="G446" s="33"/>
      <c r="H446" s="138"/>
      <c r="I446" s="33"/>
      <c r="J446" s="142"/>
      <c r="K446" s="33"/>
      <c r="L446" s="33"/>
      <c r="M446" s="33"/>
      <c r="N446" s="33"/>
      <c r="O446" s="142"/>
      <c r="P446" s="33"/>
      <c r="Q446" s="33"/>
      <c r="R446" s="114"/>
    </row>
    <row r="447" spans="1:18" x14ac:dyDescent="0.2">
      <c r="A447" s="107">
        <v>0</v>
      </c>
      <c r="B447" s="33">
        <v>1500</v>
      </c>
      <c r="C447" s="33">
        <v>4500</v>
      </c>
      <c r="D447" s="33">
        <f>12134-34</f>
        <v>12100</v>
      </c>
      <c r="E447" s="240" t="s">
        <v>2087</v>
      </c>
      <c r="F447" s="891" t="s">
        <v>6659</v>
      </c>
      <c r="G447" s="198">
        <f>G383</f>
        <v>20000</v>
      </c>
      <c r="H447" s="138">
        <f t="shared" ref="H447:H457" si="577">IF(D447=G447,0,IF(D447=0,100,(G447-D447)/D447*100))</f>
        <v>65.289256198347118</v>
      </c>
      <c r="I447" s="33">
        <f t="shared" ref="I447:R447" si="578">I383</f>
        <v>20000</v>
      </c>
      <c r="J447" s="142">
        <f t="shared" si="578"/>
        <v>20500</v>
      </c>
      <c r="K447" s="33">
        <f t="shared" si="578"/>
        <v>21100</v>
      </c>
      <c r="L447" s="33">
        <f t="shared" si="578"/>
        <v>21700</v>
      </c>
      <c r="M447" s="33">
        <f t="shared" si="578"/>
        <v>22200</v>
      </c>
      <c r="N447" s="33">
        <f t="shared" si="578"/>
        <v>22700</v>
      </c>
      <c r="O447" s="33">
        <f t="shared" si="578"/>
        <v>23200</v>
      </c>
      <c r="P447" s="33">
        <f t="shared" si="578"/>
        <v>23700</v>
      </c>
      <c r="Q447" s="33">
        <f t="shared" si="578"/>
        <v>24200</v>
      </c>
      <c r="R447" s="114">
        <f t="shared" si="578"/>
        <v>24700</v>
      </c>
    </row>
    <row r="448" spans="1:18" x14ac:dyDescent="0.2">
      <c r="A448" s="107">
        <v>1800</v>
      </c>
      <c r="B448" s="33">
        <v>4300</v>
      </c>
      <c r="C448" s="33">
        <v>4000</v>
      </c>
      <c r="D448" s="33">
        <v>0</v>
      </c>
      <c r="E448" s="240" t="s">
        <v>784</v>
      </c>
      <c r="F448" s="891" t="s">
        <v>4484</v>
      </c>
      <c r="G448" s="33">
        <v>4000</v>
      </c>
      <c r="H448" s="138">
        <f t="shared" si="577"/>
        <v>100</v>
      </c>
      <c r="I448" s="33">
        <v>0</v>
      </c>
      <c r="J448" s="142">
        <f>ROUNDUP(I448+(I448*Assumptions!I$5),-2)</f>
        <v>0</v>
      </c>
      <c r="K448" s="33">
        <f>ROUNDUP(J448+(J448*Assumptions!J$5),-2)</f>
        <v>0</v>
      </c>
      <c r="L448" s="33">
        <f>ROUNDUP(K448+(K448*Assumptions!K$5),-2)</f>
        <v>0</v>
      </c>
      <c r="M448" s="33">
        <f>ROUNDUP(L448+(L448*Assumptions!L$5),-2)</f>
        <v>0</v>
      </c>
      <c r="N448" s="33">
        <f>ROUNDUP(M448+(M448*Assumptions!M$5),-2)</f>
        <v>0</v>
      </c>
      <c r="O448" s="142">
        <f>ROUNDUP(N448+(N448*Assumptions!N$5),-2)</f>
        <v>0</v>
      </c>
      <c r="P448" s="33">
        <f>ROUNDUP(O448+(O448*Assumptions!O$5),-2)</f>
        <v>0</v>
      </c>
      <c r="Q448" s="33">
        <f>ROUNDUP(P448+(P448*Assumptions!P$5),-2)</f>
        <v>0</v>
      </c>
      <c r="R448" s="114">
        <f>ROUNDUP(Q448+(Q448*Assumptions!Q$5),-2)</f>
        <v>0</v>
      </c>
    </row>
    <row r="449" spans="1:18" x14ac:dyDescent="0.2">
      <c r="A449" s="107">
        <f>7000+500+500+4800</f>
        <v>12800</v>
      </c>
      <c r="B449" s="132">
        <f>1000+15000+2500+100</f>
        <v>18600</v>
      </c>
      <c r="C449" s="33">
        <v>0</v>
      </c>
      <c r="D449" s="33">
        <v>8500</v>
      </c>
      <c r="E449" s="240" t="s">
        <v>1518</v>
      </c>
      <c r="F449" s="891" t="s">
        <v>3550</v>
      </c>
      <c r="G449" s="33">
        <f>3500+13400+8700</f>
        <v>25600</v>
      </c>
      <c r="H449" s="138">
        <f t="shared" si="577"/>
        <v>201.1764705882353</v>
      </c>
      <c r="I449" s="33">
        <v>0</v>
      </c>
      <c r="J449" s="142">
        <f>ROUNDUP(I449+(I449*Assumptions!I$5),-2)</f>
        <v>0</v>
      </c>
      <c r="K449" s="33">
        <f>ROUNDUP(J449+(J449*Assumptions!J$5),-2)</f>
        <v>0</v>
      </c>
      <c r="L449" s="33">
        <f>ROUNDUP(K449+(K449*Assumptions!K$5),-2)</f>
        <v>0</v>
      </c>
      <c r="M449" s="33">
        <f>ROUNDUP(L449+(L449*Assumptions!L$5),-2)</f>
        <v>0</v>
      </c>
      <c r="N449" s="33">
        <f>ROUNDUP(M449+(M449*Assumptions!M$5),-2)</f>
        <v>0</v>
      </c>
      <c r="O449" s="142">
        <f>ROUNDUP(N449+(N449*Assumptions!N$5),-2)</f>
        <v>0</v>
      </c>
      <c r="P449" s="33">
        <f>ROUNDUP(O449+(O449*Assumptions!O$5),-2)</f>
        <v>0</v>
      </c>
      <c r="Q449" s="33">
        <f>ROUNDUP(P449+(P449*Assumptions!P$5),-2)</f>
        <v>0</v>
      </c>
      <c r="R449" s="114">
        <f>ROUNDUP(Q449+(Q449*Assumptions!Q$5),-2)</f>
        <v>0</v>
      </c>
    </row>
    <row r="450" spans="1:18" x14ac:dyDescent="0.2">
      <c r="A450" s="107">
        <v>600</v>
      </c>
      <c r="B450" s="33">
        <v>2300</v>
      </c>
      <c r="C450" s="33">
        <v>0</v>
      </c>
      <c r="D450" s="33">
        <v>0</v>
      </c>
      <c r="E450" s="240" t="s">
        <v>2934</v>
      </c>
      <c r="F450" s="891" t="s">
        <v>4169</v>
      </c>
      <c r="G450" s="33">
        <v>22000</v>
      </c>
      <c r="H450" s="138">
        <f t="shared" si="577"/>
        <v>100</v>
      </c>
      <c r="I450" s="33">
        <v>0</v>
      </c>
      <c r="J450" s="142">
        <f>ROUNDUP(I450+(I450*Assumptions!I$5),-2)</f>
        <v>0</v>
      </c>
      <c r="K450" s="33">
        <f>ROUNDUP(J450+(J450*Assumptions!J$5),-2)</f>
        <v>0</v>
      </c>
      <c r="L450" s="33">
        <f>ROUNDUP(K450+(K450*Assumptions!K$5),-2)</f>
        <v>0</v>
      </c>
      <c r="M450" s="33">
        <f>ROUNDUP(L450+(L450*Assumptions!L$5),-2)</f>
        <v>0</v>
      </c>
      <c r="N450" s="33">
        <f>ROUNDUP(M450+(M450*Assumptions!M$5),-2)</f>
        <v>0</v>
      </c>
      <c r="O450" s="142">
        <f>ROUNDUP(N450+(N450*Assumptions!N$5),-2)</f>
        <v>0</v>
      </c>
      <c r="P450" s="33">
        <f>ROUNDUP(O450+(O450*Assumptions!O$5),-2)</f>
        <v>0</v>
      </c>
      <c r="Q450" s="33">
        <f>ROUNDUP(P450+(P450*Assumptions!P$5),-2)</f>
        <v>0</v>
      </c>
      <c r="R450" s="114">
        <f>ROUNDUP(Q450+(Q450*Assumptions!Q$5),-2)</f>
        <v>0</v>
      </c>
    </row>
    <row r="451" spans="1:18" x14ac:dyDescent="0.2">
      <c r="A451" s="107">
        <v>0</v>
      </c>
      <c r="B451" s="132">
        <v>4600</v>
      </c>
      <c r="C451" s="132">
        <v>0</v>
      </c>
      <c r="D451" s="33">
        <f>15910-10</f>
        <v>15900</v>
      </c>
      <c r="E451" s="1100" t="s">
        <v>3887</v>
      </c>
      <c r="F451" s="891" t="s">
        <v>4170</v>
      </c>
      <c r="G451" s="33">
        <v>17500</v>
      </c>
      <c r="H451" s="138">
        <f t="shared" si="577"/>
        <v>10.062893081761008</v>
      </c>
      <c r="I451" s="33">
        <v>0</v>
      </c>
      <c r="J451" s="142">
        <f>ROUNDUP(I451+(I451*Assumptions!I$5),-2)</f>
        <v>0</v>
      </c>
      <c r="K451" s="33">
        <f>ROUNDUP(J451+(J451*Assumptions!J$5),-2)</f>
        <v>0</v>
      </c>
      <c r="L451" s="33">
        <f>ROUNDUP(K451+(K451*Assumptions!K$5),-2)</f>
        <v>0</v>
      </c>
      <c r="M451" s="33">
        <f>ROUNDUP(L451+(L451*Assumptions!L$5),-2)</f>
        <v>0</v>
      </c>
      <c r="N451" s="33">
        <f>ROUNDUP(M451+(M451*Assumptions!M$5),-2)</f>
        <v>0</v>
      </c>
      <c r="O451" s="142">
        <f>ROUNDUP(N451+(N451*Assumptions!N$5),-2)</f>
        <v>0</v>
      </c>
      <c r="P451" s="33">
        <f>ROUNDUP(O451+(O451*Assumptions!O$5),-2)</f>
        <v>0</v>
      </c>
      <c r="Q451" s="33">
        <f>ROUNDUP(P451+(P451*Assumptions!P$5),-2)</f>
        <v>0</v>
      </c>
      <c r="R451" s="114">
        <f>ROUNDUP(Q451+(Q451*Assumptions!Q$5),-2)</f>
        <v>0</v>
      </c>
    </row>
    <row r="452" spans="1:18" x14ac:dyDescent="0.2">
      <c r="A452" s="107">
        <v>0</v>
      </c>
      <c r="B452" s="132">
        <v>0</v>
      </c>
      <c r="C452" s="132">
        <v>0</v>
      </c>
      <c r="D452" s="33">
        <f>3414-14</f>
        <v>3400</v>
      </c>
      <c r="E452" s="1100" t="s">
        <v>4203</v>
      </c>
      <c r="F452" s="891" t="s">
        <v>4219</v>
      </c>
      <c r="G452" s="33">
        <v>10000</v>
      </c>
      <c r="H452" s="138">
        <f t="shared" si="577"/>
        <v>194.11764705882354</v>
      </c>
      <c r="I452" s="33">
        <v>0</v>
      </c>
      <c r="J452" s="142">
        <f>ROUNDUP(I452+(I452*Assumptions!I$5),-2)</f>
        <v>0</v>
      </c>
      <c r="K452" s="33">
        <f>ROUNDUP(J452+(J452*Assumptions!J$5),-2)</f>
        <v>0</v>
      </c>
      <c r="L452" s="33">
        <f>ROUNDUP(K452+(K452*Assumptions!K$5),-2)</f>
        <v>0</v>
      </c>
      <c r="M452" s="33">
        <f>ROUNDUP(L452+(L452*Assumptions!L$5),-2)</f>
        <v>0</v>
      </c>
      <c r="N452" s="33">
        <f>ROUNDUP(M452+(M452*Assumptions!M$5),-2)</f>
        <v>0</v>
      </c>
      <c r="O452" s="142">
        <f>ROUNDUP(N452+(N452*Assumptions!N$5),-2)</f>
        <v>0</v>
      </c>
      <c r="P452" s="33">
        <f>ROUNDUP(O452+(O452*Assumptions!O$5),-2)</f>
        <v>0</v>
      </c>
      <c r="Q452" s="33">
        <f>ROUNDUP(P452+(P452*Assumptions!P$5),-2)</f>
        <v>0</v>
      </c>
      <c r="R452" s="114">
        <f>ROUNDUP(Q452+(Q452*Assumptions!Q$5),-2)</f>
        <v>0</v>
      </c>
    </row>
    <row r="453" spans="1:18" x14ac:dyDescent="0.2">
      <c r="A453" s="107">
        <v>0</v>
      </c>
      <c r="B453" s="132">
        <v>0</v>
      </c>
      <c r="C453" s="132">
        <v>12700</v>
      </c>
      <c r="D453" s="33">
        <f>6555-55</f>
        <v>6500</v>
      </c>
      <c r="E453" s="1100" t="s">
        <v>4202</v>
      </c>
      <c r="F453" s="891" t="s">
        <v>5346</v>
      </c>
      <c r="G453" s="33">
        <v>21900</v>
      </c>
      <c r="H453" s="138">
        <f t="shared" si="577"/>
        <v>236.92307692307693</v>
      </c>
      <c r="I453" s="33">
        <v>0</v>
      </c>
      <c r="J453" s="142">
        <f>ROUNDUP(I453+(I453*Assumptions!I$5),-2)</f>
        <v>0</v>
      </c>
      <c r="K453" s="33">
        <f>ROUNDUP(J453+(J453*Assumptions!J$5),-2)</f>
        <v>0</v>
      </c>
      <c r="L453" s="33">
        <f>ROUNDUP(K453+(K453*Assumptions!K$5),-2)</f>
        <v>0</v>
      </c>
      <c r="M453" s="33">
        <f>ROUNDUP(L453+(L453*Assumptions!L$5),-2)</f>
        <v>0</v>
      </c>
      <c r="N453" s="33">
        <f>ROUNDUP(M453+(M453*Assumptions!M$5),-2)</f>
        <v>0</v>
      </c>
      <c r="O453" s="142">
        <f>ROUNDUP(N453+(N453*Assumptions!N$5),-2)</f>
        <v>0</v>
      </c>
      <c r="P453" s="33">
        <f>ROUNDUP(O453+(O453*Assumptions!O$5),-2)</f>
        <v>0</v>
      </c>
      <c r="Q453" s="33">
        <f>ROUNDUP(P453+(P453*Assumptions!P$5),-2)</f>
        <v>0</v>
      </c>
      <c r="R453" s="114">
        <f>ROUNDUP(Q453+(Q453*Assumptions!Q$5),-2)</f>
        <v>0</v>
      </c>
    </row>
    <row r="454" spans="1:18" x14ac:dyDescent="0.2">
      <c r="A454" s="107">
        <v>0</v>
      </c>
      <c r="B454" s="132">
        <v>0</v>
      </c>
      <c r="C454" s="132">
        <v>0</v>
      </c>
      <c r="D454" s="33">
        <f>11220-20</f>
        <v>11200</v>
      </c>
      <c r="E454" s="1100" t="s">
        <v>4912</v>
      </c>
      <c r="F454" s="891" t="s">
        <v>5345</v>
      </c>
      <c r="G454" s="33">
        <v>10900</v>
      </c>
      <c r="H454" s="138">
        <f t="shared" si="577"/>
        <v>-2.6785714285714284</v>
      </c>
      <c r="I454" s="33">
        <v>0</v>
      </c>
      <c r="J454" s="142">
        <f>ROUNDUP(I454+(I454*Assumptions!I$5),-2)</f>
        <v>0</v>
      </c>
      <c r="K454" s="33">
        <f>ROUNDUP(J454+(J454*Assumptions!J$5),-2)</f>
        <v>0</v>
      </c>
      <c r="L454" s="33">
        <f>ROUNDUP(K454+(K454*Assumptions!K$5),-2)</f>
        <v>0</v>
      </c>
      <c r="M454" s="33">
        <f>ROUNDUP(L454+(L454*Assumptions!L$5),-2)</f>
        <v>0</v>
      </c>
      <c r="N454" s="33">
        <f>ROUNDUP(M454+(M454*Assumptions!M$5),-2)</f>
        <v>0</v>
      </c>
      <c r="O454" s="142">
        <f>ROUNDUP(N454+(N454*Assumptions!N$5),-2)</f>
        <v>0</v>
      </c>
      <c r="P454" s="33">
        <f>ROUNDUP(O454+(O454*Assumptions!O$5),-2)</f>
        <v>0</v>
      </c>
      <c r="Q454" s="33">
        <f>ROUNDUP(P454+(P454*Assumptions!P$5),-2)</f>
        <v>0</v>
      </c>
      <c r="R454" s="114">
        <f>ROUNDUP(Q454+(Q454*Assumptions!Q$5),-2)</f>
        <v>0</v>
      </c>
    </row>
    <row r="455" spans="1:18" x14ac:dyDescent="0.2">
      <c r="A455" s="107">
        <v>0</v>
      </c>
      <c r="B455" s="132">
        <v>0</v>
      </c>
      <c r="C455" s="132">
        <v>0</v>
      </c>
      <c r="D455" s="33">
        <f>3810-10</f>
        <v>3800</v>
      </c>
      <c r="E455" s="1100" t="s">
        <v>5060</v>
      </c>
      <c r="F455" s="891" t="s">
        <v>6649</v>
      </c>
      <c r="G455" s="33">
        <v>15000</v>
      </c>
      <c r="H455" s="138">
        <f t="shared" si="577"/>
        <v>294.73684210526312</v>
      </c>
      <c r="I455" s="33">
        <v>0</v>
      </c>
      <c r="J455" s="142">
        <f>ROUNDUP(I455+(I455*Assumptions!I$5),-2)</f>
        <v>0</v>
      </c>
      <c r="K455" s="33">
        <f>ROUNDUP(J455+(J455*Assumptions!J$5),-2)</f>
        <v>0</v>
      </c>
      <c r="L455" s="33">
        <f>ROUNDUP(K455+(K455*Assumptions!K$5),-2)</f>
        <v>0</v>
      </c>
      <c r="M455" s="33">
        <f>ROUNDUP(L455+(L455*Assumptions!L$5),-2)</f>
        <v>0</v>
      </c>
      <c r="N455" s="33">
        <f>ROUNDUP(M455+(M455*Assumptions!M$5),-2)</f>
        <v>0</v>
      </c>
      <c r="O455" s="142">
        <f>ROUNDUP(N455+(N455*Assumptions!N$5),-2)</f>
        <v>0</v>
      </c>
      <c r="P455" s="33">
        <f>ROUNDUP(O455+(O455*Assumptions!O$5),-2)</f>
        <v>0</v>
      </c>
      <c r="Q455" s="33">
        <f>ROUNDUP(P455+(P455*Assumptions!P$5),-2)</f>
        <v>0</v>
      </c>
      <c r="R455" s="114">
        <f>ROUNDUP(Q455+(Q455*Assumptions!Q$5),-2)</f>
        <v>0</v>
      </c>
    </row>
    <row r="456" spans="1:18" x14ac:dyDescent="0.2">
      <c r="A456" s="107">
        <v>0</v>
      </c>
      <c r="B456" s="132">
        <v>0</v>
      </c>
      <c r="C456" s="132">
        <v>0</v>
      </c>
      <c r="D456" s="33">
        <f>11620-20</f>
        <v>11600</v>
      </c>
      <c r="E456" s="1100" t="s">
        <v>5582</v>
      </c>
      <c r="F456" s="891" t="s">
        <v>6650</v>
      </c>
      <c r="G456" s="33">
        <v>14900</v>
      </c>
      <c r="H456" s="138">
        <f t="shared" si="577"/>
        <v>28.448275862068968</v>
      </c>
      <c r="I456" s="33">
        <v>0</v>
      </c>
      <c r="J456" s="142">
        <f>ROUNDUP(I456+(I456*Assumptions!I$5),-2)</f>
        <v>0</v>
      </c>
      <c r="K456" s="33">
        <f>ROUNDUP(J456+(J456*Assumptions!J$5),-2)</f>
        <v>0</v>
      </c>
      <c r="L456" s="33">
        <f>ROUNDUP(K456+(K456*Assumptions!K$5),-2)</f>
        <v>0</v>
      </c>
      <c r="M456" s="33">
        <f>ROUNDUP(L456+(L456*Assumptions!L$5),-2)</f>
        <v>0</v>
      </c>
      <c r="N456" s="33">
        <f>ROUNDUP(M456+(M456*Assumptions!M$5),-2)</f>
        <v>0</v>
      </c>
      <c r="O456" s="142">
        <f>ROUNDUP(N456+(N456*Assumptions!N$5),-2)</f>
        <v>0</v>
      </c>
      <c r="P456" s="33">
        <f>ROUNDUP(O456+(O456*Assumptions!O$5),-2)</f>
        <v>0</v>
      </c>
      <c r="Q456" s="33">
        <f>ROUNDUP(P456+(P456*Assumptions!P$5),-2)</f>
        <v>0</v>
      </c>
      <c r="R456" s="114">
        <f>ROUNDUP(Q456+(Q456*Assumptions!Q$5),-2)</f>
        <v>0</v>
      </c>
    </row>
    <row r="457" spans="1:18" x14ac:dyDescent="0.2">
      <c r="A457" s="107"/>
      <c r="B457" s="132"/>
      <c r="C457" s="132"/>
      <c r="D457" s="33"/>
      <c r="E457" s="1100" t="s">
        <v>7076</v>
      </c>
      <c r="F457" s="1953" t="s">
        <v>7075</v>
      </c>
      <c r="G457" s="33">
        <v>15000</v>
      </c>
      <c r="H457" s="138">
        <f t="shared" si="577"/>
        <v>100</v>
      </c>
      <c r="I457" s="33">
        <v>0</v>
      </c>
      <c r="J457" s="33">
        <v>0</v>
      </c>
      <c r="K457" s="33">
        <v>0</v>
      </c>
      <c r="L457" s="33">
        <v>0</v>
      </c>
      <c r="M457" s="33">
        <v>0</v>
      </c>
      <c r="N457" s="33">
        <v>0</v>
      </c>
      <c r="O457" s="33">
        <v>0</v>
      </c>
      <c r="P457" s="33">
        <v>0</v>
      </c>
      <c r="Q457" s="33">
        <v>0</v>
      </c>
      <c r="R457" s="114">
        <v>0</v>
      </c>
    </row>
    <row r="458" spans="1:18" x14ac:dyDescent="0.2">
      <c r="A458" s="107"/>
      <c r="B458" s="33"/>
      <c r="C458" s="33"/>
      <c r="D458" s="33"/>
      <c r="E458" s="240"/>
      <c r="F458" s="366"/>
      <c r="G458" s="33"/>
      <c r="H458" s="138"/>
      <c r="I458" s="33"/>
      <c r="J458" s="142"/>
      <c r="K458" s="33"/>
      <c r="L458" s="33"/>
      <c r="M458" s="33"/>
      <c r="N458" s="33"/>
      <c r="O458" s="142"/>
      <c r="P458" s="33"/>
      <c r="Q458" s="33"/>
      <c r="R458" s="114"/>
    </row>
    <row r="459" spans="1:18" x14ac:dyDescent="0.2">
      <c r="A459" s="107"/>
      <c r="B459" s="33"/>
      <c r="C459" s="33"/>
      <c r="D459" s="33"/>
      <c r="E459" s="240"/>
      <c r="F459" s="371" t="s">
        <v>2098</v>
      </c>
      <c r="G459" s="33"/>
      <c r="H459" s="138"/>
      <c r="I459" s="33"/>
      <c r="J459" s="142"/>
      <c r="K459" s="33"/>
      <c r="L459" s="33"/>
      <c r="M459" s="33"/>
      <c r="N459" s="33"/>
      <c r="O459" s="142"/>
      <c r="P459" s="33"/>
      <c r="Q459" s="33"/>
      <c r="R459" s="114"/>
    </row>
    <row r="460" spans="1:18" x14ac:dyDescent="0.2">
      <c r="A460" s="107">
        <v>0</v>
      </c>
      <c r="B460" s="33">
        <v>0</v>
      </c>
      <c r="C460" s="33">
        <v>8800</v>
      </c>
      <c r="D460" s="33">
        <f>33951+49</f>
        <v>34000</v>
      </c>
      <c r="E460" s="1100" t="s">
        <v>5530</v>
      </c>
      <c r="F460" s="1953" t="s">
        <v>5343</v>
      </c>
      <c r="G460" s="33">
        <v>33200</v>
      </c>
      <c r="H460" s="138">
        <f>IF(D460=G460,0,IF(D460=0,100,(G460-D460)/D460*100))</f>
        <v>-2.3529411764705883</v>
      </c>
      <c r="I460" s="33">
        <v>0</v>
      </c>
      <c r="J460" s="142">
        <f>ROUNDUP(I460+(I460*Assumptions!I$5),-2)</f>
        <v>0</v>
      </c>
      <c r="K460" s="33">
        <f>ROUNDUP(J460+(J460*Assumptions!J$5),-2)</f>
        <v>0</v>
      </c>
      <c r="L460" s="33">
        <f>ROUNDUP(K460+(K460*Assumptions!K$5),-2)</f>
        <v>0</v>
      </c>
      <c r="M460" s="33">
        <f>ROUNDUP(L460+(L460*Assumptions!L$5),-2)</f>
        <v>0</v>
      </c>
      <c r="N460" s="33">
        <f>ROUNDUP(M460+(M460*Assumptions!M$5),-2)</f>
        <v>0</v>
      </c>
      <c r="O460" s="142">
        <f>ROUNDUP(N460+(N460*Assumptions!N$5),-2)</f>
        <v>0</v>
      </c>
      <c r="P460" s="33">
        <f>ROUNDUP(O460+(O460*Assumptions!O$5),-2)</f>
        <v>0</v>
      </c>
      <c r="Q460" s="33">
        <f>ROUNDUP(P460+(P460*Assumptions!P$5),-2)</f>
        <v>0</v>
      </c>
      <c r="R460" s="114">
        <f>ROUNDUP(Q460+(Q460*Assumptions!Q$5),-2)</f>
        <v>0</v>
      </c>
    </row>
    <row r="461" spans="1:18" x14ac:dyDescent="0.2">
      <c r="A461" s="107">
        <v>0</v>
      </c>
      <c r="B461" s="33">
        <v>0</v>
      </c>
      <c r="C461" s="33">
        <f>10000</f>
        <v>10000</v>
      </c>
      <c r="D461" s="33">
        <v>2000</v>
      </c>
      <c r="E461" s="1100" t="s">
        <v>6566</v>
      </c>
      <c r="F461" s="1953" t="s">
        <v>6647</v>
      </c>
      <c r="G461" s="33">
        <v>25000</v>
      </c>
      <c r="H461" s="138">
        <f>IF(D461=G461,0,IF(D461=0,100,(G461-D461)/D461*100))</f>
        <v>1150</v>
      </c>
      <c r="I461" s="33">
        <v>0</v>
      </c>
      <c r="J461" s="142">
        <f>ROUNDUP(I461+(I461*Assumptions!I$5),-2)</f>
        <v>0</v>
      </c>
      <c r="K461" s="33">
        <f>ROUNDUP(J461+(J461*Assumptions!J$5),-2)</f>
        <v>0</v>
      </c>
      <c r="L461" s="33">
        <f>ROUNDUP(K461+(K461*Assumptions!K$5),-2)</f>
        <v>0</v>
      </c>
      <c r="M461" s="33">
        <f>ROUNDUP(L461+(L461*Assumptions!L$5),-2)</f>
        <v>0</v>
      </c>
      <c r="N461" s="33">
        <f>ROUNDUP(M461+(M461*Assumptions!M$5),-2)</f>
        <v>0</v>
      </c>
      <c r="O461" s="142">
        <f>ROUNDUP(N461+(N461*Assumptions!N$5),-2)</f>
        <v>0</v>
      </c>
      <c r="P461" s="33">
        <f>ROUNDUP(O461+(O461*Assumptions!O$5),-2)</f>
        <v>0</v>
      </c>
      <c r="Q461" s="33">
        <f>ROUNDUP(P461+(P461*Assumptions!P$5),-2)</f>
        <v>0</v>
      </c>
      <c r="R461" s="114">
        <f>ROUNDUP(Q461+(Q461*Assumptions!Q$5),-2)</f>
        <v>0</v>
      </c>
    </row>
    <row r="462" spans="1:18" x14ac:dyDescent="0.2">
      <c r="A462" s="107">
        <v>7000</v>
      </c>
      <c r="B462" s="33">
        <v>0</v>
      </c>
      <c r="C462" s="33">
        <v>4000</v>
      </c>
      <c r="D462" s="33">
        <f>24714-14</f>
        <v>24700</v>
      </c>
      <c r="E462" s="1100" t="s">
        <v>4023</v>
      </c>
      <c r="F462" s="814" t="s">
        <v>3661</v>
      </c>
      <c r="G462" s="33">
        <v>10000</v>
      </c>
      <c r="H462" s="138">
        <f>IF(D462=G462,0,IF(D462=0,100,(G462-D462)/D462*100))</f>
        <v>-59.514170040485823</v>
      </c>
      <c r="I462" s="33">
        <v>10000</v>
      </c>
      <c r="J462" s="142">
        <f>ROUNDUP(I462+(I462*Assumptions!I$5),-2)</f>
        <v>10300</v>
      </c>
      <c r="K462" s="33">
        <f>ROUNDUP(J462+(J462*Assumptions!J$5),-2)</f>
        <v>10600</v>
      </c>
      <c r="L462" s="33">
        <f>ROUNDUP(K462+(K462*Assumptions!K$5),-2)</f>
        <v>10900</v>
      </c>
      <c r="M462" s="33">
        <f>ROUNDUP(L462+(L462*Assumptions!L$5),-2)</f>
        <v>11200</v>
      </c>
      <c r="N462" s="33">
        <f>ROUNDUP(M462+(M462*Assumptions!M$5),-2)</f>
        <v>11500</v>
      </c>
      <c r="O462" s="142">
        <f>ROUNDUP(N462+(N462*Assumptions!N$5),-2)</f>
        <v>11800</v>
      </c>
      <c r="P462" s="33">
        <f>ROUNDUP(O462+(O462*Assumptions!O$5),-2)</f>
        <v>12100</v>
      </c>
      <c r="Q462" s="33">
        <f>ROUNDUP(P462+(P462*Assumptions!P$5),-2)</f>
        <v>12400</v>
      </c>
      <c r="R462" s="114">
        <f>ROUNDUP(Q462+(Q462*Assumptions!Q$5),-2)</f>
        <v>12700</v>
      </c>
    </row>
    <row r="463" spans="1:18" ht="13.5" thickBot="1" x14ac:dyDescent="0.25">
      <c r="A463" s="107"/>
      <c r="B463" s="33"/>
      <c r="C463" s="33"/>
      <c r="D463" s="33"/>
      <c r="E463" s="240"/>
      <c r="F463" s="365"/>
      <c r="G463" s="33"/>
      <c r="H463" s="138"/>
      <c r="I463" s="33"/>
      <c r="J463" s="142"/>
      <c r="K463" s="33"/>
      <c r="L463" s="33"/>
      <c r="M463" s="33"/>
      <c r="N463" s="33"/>
      <c r="O463" s="142"/>
      <c r="P463" s="33"/>
      <c r="Q463" s="33"/>
      <c r="R463" s="114"/>
    </row>
    <row r="464" spans="1:18" x14ac:dyDescent="0.2">
      <c r="A464" s="105">
        <f>SUM(A409:A463)</f>
        <v>1259800</v>
      </c>
      <c r="B464" s="53">
        <f>SUM(B409:B463)</f>
        <v>1075500</v>
      </c>
      <c r="C464" s="53">
        <f>SUM(C409:C463)</f>
        <v>1150100</v>
      </c>
      <c r="D464" s="53">
        <f>SUM(D409:D463)</f>
        <v>1205100</v>
      </c>
      <c r="E464" s="240"/>
      <c r="F464" s="378" t="s">
        <v>565</v>
      </c>
      <c r="G464" s="53">
        <f>SUM(G409:G463)</f>
        <v>1521100</v>
      </c>
      <c r="H464" s="180">
        <f>IF(D464=G464,0,IF(D464=0,100,(G464-D464)/D464*100))</f>
        <v>26.221890299560201</v>
      </c>
      <c r="I464" s="53">
        <f t="shared" ref="I464:R464" si="579">SUM(I409:I463)</f>
        <v>1170400</v>
      </c>
      <c r="J464" s="155">
        <f t="shared" si="579"/>
        <v>1200200</v>
      </c>
      <c r="K464" s="53">
        <f t="shared" si="579"/>
        <v>1231000</v>
      </c>
      <c r="L464" s="53">
        <f t="shared" si="579"/>
        <v>1262500</v>
      </c>
      <c r="M464" s="53">
        <f t="shared" si="579"/>
        <v>1294000</v>
      </c>
      <c r="N464" s="53">
        <f t="shared" si="579"/>
        <v>1326200</v>
      </c>
      <c r="O464" s="155">
        <f t="shared" si="579"/>
        <v>1359000</v>
      </c>
      <c r="P464" s="53">
        <f t="shared" si="579"/>
        <v>1392500</v>
      </c>
      <c r="Q464" s="53">
        <f t="shared" si="579"/>
        <v>1426700</v>
      </c>
      <c r="R464" s="113">
        <f t="shared" si="579"/>
        <v>1461700</v>
      </c>
    </row>
    <row r="465" spans="1:18" x14ac:dyDescent="0.2">
      <c r="A465" s="107"/>
      <c r="B465" s="33"/>
      <c r="C465" s="33"/>
      <c r="D465" s="33"/>
      <c r="E465" s="240"/>
      <c r="F465" s="366"/>
      <c r="G465" s="33"/>
      <c r="H465" s="138"/>
      <c r="I465" s="33"/>
      <c r="J465" s="142"/>
      <c r="K465" s="33"/>
      <c r="L465" s="33"/>
      <c r="M465" s="33"/>
      <c r="N465" s="33"/>
      <c r="O465" s="142"/>
      <c r="P465" s="33"/>
      <c r="Q465" s="33"/>
      <c r="R465" s="114"/>
    </row>
    <row r="466" spans="1:18" x14ac:dyDescent="0.2">
      <c r="A466" s="70">
        <f>A407-A464</f>
        <v>-917700</v>
      </c>
      <c r="B466" s="64">
        <f>B407-B464</f>
        <v>-708800</v>
      </c>
      <c r="C466" s="64">
        <f>C407-C464</f>
        <v>-699900</v>
      </c>
      <c r="D466" s="64">
        <f>D407-D464</f>
        <v>-846400</v>
      </c>
      <c r="E466" s="246"/>
      <c r="F466" s="516" t="s">
        <v>1019</v>
      </c>
      <c r="G466" s="64">
        <f>G407-G464</f>
        <v>-1295600</v>
      </c>
      <c r="H466" s="179">
        <f>IF(D466=G466,0,IF(D466=0,100,(G466-D466)/D466*100))</f>
        <v>53.071833648393195</v>
      </c>
      <c r="I466" s="64">
        <f t="shared" ref="I466:R466" si="580">I407-I464</f>
        <v>-1000900</v>
      </c>
      <c r="J466" s="128">
        <f t="shared" si="580"/>
        <v>-890200</v>
      </c>
      <c r="K466" s="64">
        <f t="shared" si="580"/>
        <v>-1122400</v>
      </c>
      <c r="L466" s="64">
        <f t="shared" si="580"/>
        <v>-1022800</v>
      </c>
      <c r="M466" s="64">
        <f t="shared" si="580"/>
        <v>-1088300</v>
      </c>
      <c r="N466" s="64">
        <f t="shared" si="580"/>
        <v>-1137000</v>
      </c>
      <c r="O466" s="128">
        <f t="shared" si="580"/>
        <v>-1111800</v>
      </c>
      <c r="P466" s="64">
        <f t="shared" si="580"/>
        <v>-1084300</v>
      </c>
      <c r="Q466" s="64">
        <f t="shared" si="580"/>
        <v>-1054500</v>
      </c>
      <c r="R466" s="115">
        <f t="shared" si="580"/>
        <v>-1023000</v>
      </c>
    </row>
    <row r="467" spans="1:18" x14ac:dyDescent="0.2">
      <c r="A467" s="107">
        <v>0</v>
      </c>
      <c r="B467" s="33">
        <v>0</v>
      </c>
      <c r="C467" s="33">
        <v>0</v>
      </c>
      <c r="D467" s="33">
        <v>0</v>
      </c>
      <c r="E467" s="240"/>
      <c r="F467" s="372" t="str">
        <f>E37</f>
        <v>Add Back Depreciation</v>
      </c>
      <c r="G467" s="33">
        <v>0</v>
      </c>
      <c r="H467" s="19">
        <f>IF(D467=G467,0,IF(D467=0,100,(G467-D467)/D467*100))</f>
        <v>0</v>
      </c>
      <c r="I467" s="33">
        <v>0</v>
      </c>
      <c r="J467" s="142">
        <v>0</v>
      </c>
      <c r="K467" s="33">
        <v>0</v>
      </c>
      <c r="L467" s="33">
        <v>0</v>
      </c>
      <c r="M467" s="33">
        <v>0</v>
      </c>
      <c r="N467" s="33">
        <v>0</v>
      </c>
      <c r="O467" s="142">
        <v>0</v>
      </c>
      <c r="P467" s="33">
        <v>0</v>
      </c>
      <c r="Q467" s="33">
        <v>0</v>
      </c>
      <c r="R467" s="114">
        <v>0</v>
      </c>
    </row>
    <row r="468" spans="1:18" s="92" customFormat="1" x14ac:dyDescent="0.2">
      <c r="A468" s="181">
        <f>A466+A467</f>
        <v>-917700</v>
      </c>
      <c r="B468" s="397">
        <f>B466+B467</f>
        <v>-708800</v>
      </c>
      <c r="C468" s="397">
        <f>C466+C467</f>
        <v>-699900</v>
      </c>
      <c r="D468" s="397">
        <f>D466+D467</f>
        <v>-846400</v>
      </c>
      <c r="E468" s="532"/>
      <c r="F468" s="518" t="s">
        <v>1687</v>
      </c>
      <c r="G468" s="397">
        <f t="shared" ref="G468:O468" si="581">G466+G467</f>
        <v>-1295600</v>
      </c>
      <c r="H468" s="395">
        <f>IF(D468=G468,0,IF(D468=0,100,(G468-D468)/D468*100))</f>
        <v>53.071833648393195</v>
      </c>
      <c r="I468" s="397">
        <f t="shared" si="581"/>
        <v>-1000900</v>
      </c>
      <c r="J468" s="377">
        <f t="shared" si="581"/>
        <v>-890200</v>
      </c>
      <c r="K468" s="397">
        <f t="shared" si="581"/>
        <v>-1122400</v>
      </c>
      <c r="L468" s="397">
        <f t="shared" si="581"/>
        <v>-1022800</v>
      </c>
      <c r="M468" s="397">
        <f t="shared" si="581"/>
        <v>-1088300</v>
      </c>
      <c r="N468" s="397">
        <f t="shared" si="581"/>
        <v>-1137000</v>
      </c>
      <c r="O468" s="377">
        <f t="shared" si="581"/>
        <v>-1111800</v>
      </c>
      <c r="P468" s="397">
        <f t="shared" ref="P468:Q468" si="582">P466+P467</f>
        <v>-1084300</v>
      </c>
      <c r="Q468" s="397">
        <f t="shared" si="582"/>
        <v>-1054500</v>
      </c>
      <c r="R468" s="399">
        <f t="shared" ref="R468" si="583">R466+R467</f>
        <v>-1023000</v>
      </c>
    </row>
    <row r="469" spans="1:18" ht="13.5" thickBot="1" x14ac:dyDescent="0.25">
      <c r="A469" s="646"/>
      <c r="B469" s="183"/>
      <c r="C469" s="183"/>
      <c r="D469" s="183"/>
      <c r="E469" s="706"/>
      <c r="F469" s="707"/>
      <c r="G469" s="183"/>
      <c r="H469" s="46"/>
      <c r="I469" s="121"/>
      <c r="J469" s="95"/>
      <c r="K469" s="121"/>
      <c r="L469" s="121"/>
      <c r="M469" s="121"/>
      <c r="N469" s="121"/>
      <c r="O469" s="95"/>
      <c r="P469" s="121"/>
      <c r="Q469" s="121"/>
      <c r="R469" s="161"/>
    </row>
    <row r="470" spans="1:18" ht="13.5" thickTop="1" x14ac:dyDescent="0.2">
      <c r="A470" s="70"/>
      <c r="B470" s="64"/>
      <c r="C470" s="64"/>
      <c r="D470" s="64"/>
      <c r="E470" s="240"/>
      <c r="F470" s="371"/>
      <c r="G470" s="64"/>
      <c r="H470" s="179"/>
      <c r="I470" s="127"/>
      <c r="J470" s="164"/>
      <c r="K470" s="127"/>
      <c r="L470" s="127"/>
      <c r="M470" s="127"/>
      <c r="N470" s="127"/>
      <c r="O470" s="127"/>
      <c r="P470" s="127"/>
      <c r="Q470" s="127"/>
      <c r="R470" s="163"/>
    </row>
    <row r="471" spans="1:18" x14ac:dyDescent="0.2">
      <c r="A471" s="70"/>
      <c r="B471" s="64"/>
      <c r="C471" s="64"/>
      <c r="D471" s="64"/>
      <c r="E471" s="240"/>
      <c r="F471" s="516" t="s">
        <v>196</v>
      </c>
      <c r="G471" s="64"/>
      <c r="H471" s="179"/>
      <c r="I471" s="33"/>
      <c r="J471" s="142"/>
      <c r="K471" s="33"/>
      <c r="L471" s="33"/>
      <c r="M471" s="33"/>
      <c r="N471" s="33"/>
      <c r="O471" s="33"/>
      <c r="P471" s="33"/>
      <c r="Q471" s="33"/>
      <c r="R471" s="114"/>
    </row>
    <row r="472" spans="1:18" x14ac:dyDescent="0.2">
      <c r="A472" s="107">
        <v>0</v>
      </c>
      <c r="B472" s="33">
        <v>0</v>
      </c>
      <c r="C472" s="33">
        <v>0</v>
      </c>
      <c r="D472" s="33">
        <v>0</v>
      </c>
      <c r="E472" s="240"/>
      <c r="F472" s="525" t="s">
        <v>1791</v>
      </c>
      <c r="G472" s="33">
        <v>0</v>
      </c>
      <c r="H472" s="138"/>
      <c r="I472" s="33">
        <v>0</v>
      </c>
      <c r="J472" s="142">
        <v>0</v>
      </c>
      <c r="K472" s="33">
        <v>0</v>
      </c>
      <c r="L472" s="33">
        <v>0</v>
      </c>
      <c r="M472" s="33">
        <v>0</v>
      </c>
      <c r="N472" s="33">
        <v>0</v>
      </c>
      <c r="O472" s="33">
        <v>0</v>
      </c>
      <c r="P472" s="33">
        <v>0</v>
      </c>
      <c r="Q472" s="33">
        <v>0</v>
      </c>
      <c r="R472" s="114">
        <v>0</v>
      </c>
    </row>
    <row r="473" spans="1:18" x14ac:dyDescent="0.2">
      <c r="A473" s="107">
        <v>3460300</v>
      </c>
      <c r="B473" s="33">
        <v>2729700</v>
      </c>
      <c r="C473" s="33">
        <v>3392100</v>
      </c>
      <c r="D473" s="33">
        <f>SUM('Res-Gen'!B7:B7)+'Res-Gen'!B165+'Res-Gen'!B8-50000+'Res-Gen'!B9</f>
        <v>2658200</v>
      </c>
      <c r="E473" s="240"/>
      <c r="F473" s="366" t="s">
        <v>1942</v>
      </c>
      <c r="G473" s="33">
        <f>SUM('Res-Gen'!E6:E10)+'Res-Gen'!E165</f>
        <v>3258500</v>
      </c>
      <c r="H473" s="138"/>
      <c r="I473" s="33">
        <f>SUM('Res-Gen'!H6:H10)</f>
        <v>7318500</v>
      </c>
      <c r="J473" s="142">
        <f>SUM('Res-Gen'!K6:K10)</f>
        <v>8636500</v>
      </c>
      <c r="K473" s="33">
        <f>SUM('Res-Gen'!N6:N10)</f>
        <v>6641500</v>
      </c>
      <c r="L473" s="33">
        <f>SUM('Res-Gen'!Q6:Q10)</f>
        <v>12935000</v>
      </c>
      <c r="M473" s="33">
        <f>SUM('Res-Gen'!T6:T10)</f>
        <v>13154500</v>
      </c>
      <c r="N473" s="33">
        <f>SUM('Res-Gen'!W6:W10)</f>
        <v>3396500</v>
      </c>
      <c r="O473" s="33">
        <f>SUM('Res-Gen'!Z6:Z10)</f>
        <v>3517000</v>
      </c>
      <c r="P473" s="33">
        <f>SUM('Res-Gen'!AC6:AC10)</f>
        <v>3643500</v>
      </c>
      <c r="Q473" s="33">
        <f>SUM('Res-Gen'!AF6:AF10)</f>
        <v>3774000</v>
      </c>
      <c r="R473" s="114">
        <f>SUM('Res-Gen'!AI6:AI10)</f>
        <v>3908000</v>
      </c>
    </row>
    <row r="474" spans="1:18" x14ac:dyDescent="0.2">
      <c r="A474" s="107">
        <v>293700</v>
      </c>
      <c r="B474" s="33">
        <v>220400</v>
      </c>
      <c r="C474" s="33">
        <v>286700</v>
      </c>
      <c r="D474" s="33">
        <f>SUM('Res-Gen'!C8:C10)</f>
        <v>239100</v>
      </c>
      <c r="E474" s="240"/>
      <c r="F474" s="366" t="s">
        <v>2348</v>
      </c>
      <c r="G474" s="33">
        <f>SUM('Res-Gen'!F8:F10)+'Res-Gen'!F22</f>
        <v>338700</v>
      </c>
      <c r="H474" s="138"/>
      <c r="I474" s="33">
        <f>SUM('Res-Gen'!I8:I10)</f>
        <v>0</v>
      </c>
      <c r="J474" s="142">
        <f>SUM('Res-Gen'!L8:L10)</f>
        <v>0</v>
      </c>
      <c r="K474" s="33">
        <f>SUM('Res-Gen'!O8:O10)</f>
        <v>0</v>
      </c>
      <c r="L474" s="33">
        <f>SUM('Res-Gen'!R8:R10)</f>
        <v>0</v>
      </c>
      <c r="M474" s="33">
        <f>SUM('Res-Gen'!U8:U10)</f>
        <v>0</v>
      </c>
      <c r="N474" s="33">
        <f>SUM('Res-Gen'!X8:X10)</f>
        <v>0</v>
      </c>
      <c r="O474" s="33">
        <f>SUM('Res-Gen'!AA8:AA10)</f>
        <v>0</v>
      </c>
      <c r="P474" s="33">
        <f>SUM('Res-Gen'!AD8:AD10)</f>
        <v>0</v>
      </c>
      <c r="Q474" s="33">
        <f>SUM('Res-Gen'!AG8:AG10)</f>
        <v>0</v>
      </c>
      <c r="R474" s="114">
        <f>SUM('Res-Gen'!AJ8:AJ10)</f>
        <v>0</v>
      </c>
    </row>
    <row r="475" spans="1:18" x14ac:dyDescent="0.2">
      <c r="A475" s="107">
        <v>2922200</v>
      </c>
      <c r="B475" s="33">
        <f>'Sec 94'!A28</f>
        <v>2268800</v>
      </c>
      <c r="C475" s="33">
        <f>'Sec 94'!C28</f>
        <v>2924000</v>
      </c>
      <c r="D475" s="33">
        <f>'Sec 94'!E28</f>
        <v>2226100</v>
      </c>
      <c r="E475" s="240"/>
      <c r="F475" s="366" t="s">
        <v>5984</v>
      </c>
      <c r="G475" s="33">
        <f>'Sec 94'!F28</f>
        <v>3104000</v>
      </c>
      <c r="H475" s="138"/>
      <c r="I475" s="33">
        <f>'Sec 94'!G28</f>
        <v>7169000</v>
      </c>
      <c r="J475" s="142">
        <f>'Sec 94'!H28</f>
        <v>8347000</v>
      </c>
      <c r="K475" s="33">
        <f>'Sec 94'!I28</f>
        <v>6554000</v>
      </c>
      <c r="L475" s="33">
        <f>'Sec 94'!J28</f>
        <v>12717000</v>
      </c>
      <c r="M475" s="33">
        <f>'Sec 94'!K28</f>
        <v>12971000</v>
      </c>
      <c r="N475" s="33">
        <f>'Sec 94'!L28</f>
        <v>3230000</v>
      </c>
      <c r="O475" s="33">
        <f>'Sec 94'!M28</f>
        <v>3293000</v>
      </c>
      <c r="P475" s="33">
        <f>'Sec 94'!N28</f>
        <v>3359000</v>
      </c>
      <c r="Q475" s="33">
        <f>'Sec 94'!O28</f>
        <v>3426000</v>
      </c>
      <c r="R475" s="114">
        <f>'Sec 94'!P28</f>
        <v>3494000</v>
      </c>
    </row>
    <row r="476" spans="1:18" x14ac:dyDescent="0.2">
      <c r="A476" s="107">
        <v>0</v>
      </c>
      <c r="B476" s="33">
        <v>0</v>
      </c>
      <c r="C476" s="33">
        <v>0</v>
      </c>
      <c r="D476" s="33">
        <v>0</v>
      </c>
      <c r="E476" s="240"/>
      <c r="F476" s="366" t="s">
        <v>972</v>
      </c>
      <c r="G476" s="33">
        <v>0</v>
      </c>
      <c r="H476" s="138"/>
      <c r="I476" s="33">
        <v>0</v>
      </c>
      <c r="J476" s="142">
        <v>0</v>
      </c>
      <c r="K476" s="33">
        <v>0</v>
      </c>
      <c r="L476" s="33">
        <v>0</v>
      </c>
      <c r="M476" s="33">
        <v>0</v>
      </c>
      <c r="N476" s="33">
        <v>0</v>
      </c>
      <c r="O476" s="33">
        <v>0</v>
      </c>
      <c r="P476" s="33">
        <v>0</v>
      </c>
      <c r="Q476" s="33">
        <v>0</v>
      </c>
      <c r="R476" s="114">
        <v>0</v>
      </c>
    </row>
    <row r="477" spans="1:18" x14ac:dyDescent="0.2">
      <c r="A477" s="107"/>
      <c r="B477" s="33"/>
      <c r="C477" s="33"/>
      <c r="D477" s="33"/>
      <c r="E477" s="240"/>
      <c r="F477" s="516"/>
      <c r="G477" s="33"/>
      <c r="H477" s="138"/>
      <c r="I477" s="33"/>
      <c r="J477" s="142"/>
      <c r="K477" s="33"/>
      <c r="L477" s="33"/>
      <c r="M477" s="33"/>
      <c r="N477" s="33"/>
      <c r="O477" s="33"/>
      <c r="P477" s="33"/>
      <c r="Q477" s="33"/>
      <c r="R477" s="114"/>
    </row>
    <row r="478" spans="1:18" s="92" customFormat="1" x14ac:dyDescent="0.2">
      <c r="A478" s="181">
        <f>A468-A472-A473+A474++A475-A476</f>
        <v>-1162100</v>
      </c>
      <c r="B478" s="397">
        <f>B468-B472-B473+B474++B475-B476</f>
        <v>-949300</v>
      </c>
      <c r="C478" s="397">
        <f>C468-C472-C473+C474++C475-C476</f>
        <v>-881300</v>
      </c>
      <c r="D478" s="397">
        <f>D468-D472-D473+D474++D475-D476</f>
        <v>-1039400</v>
      </c>
      <c r="E478" s="532"/>
      <c r="F478" s="518" t="s">
        <v>2490</v>
      </c>
      <c r="G478" s="397">
        <f t="shared" ref="G478:O478" si="584">G468-G472-G473+G474++G475-G476</f>
        <v>-1111400</v>
      </c>
      <c r="H478" s="395">
        <f>IF(D478=G478,0,IF(D478=0,100,(G478-D478)/D478*100))</f>
        <v>6.9270733115258807</v>
      </c>
      <c r="I478" s="397">
        <f t="shared" si="584"/>
        <v>-1150400</v>
      </c>
      <c r="J478" s="377">
        <f t="shared" si="584"/>
        <v>-1179700</v>
      </c>
      <c r="K478" s="397">
        <f t="shared" si="584"/>
        <v>-1209900</v>
      </c>
      <c r="L478" s="397">
        <f t="shared" si="584"/>
        <v>-1240800</v>
      </c>
      <c r="M478" s="397">
        <f t="shared" si="584"/>
        <v>-1271800</v>
      </c>
      <c r="N478" s="397">
        <f t="shared" si="584"/>
        <v>-1303500</v>
      </c>
      <c r="O478" s="397">
        <f t="shared" si="584"/>
        <v>-1335800</v>
      </c>
      <c r="P478" s="397">
        <f t="shared" ref="P478:Q478" si="585">P468-P472-P473+P474++P475-P476</f>
        <v>-1368800</v>
      </c>
      <c r="Q478" s="397">
        <f t="shared" si="585"/>
        <v>-1402500</v>
      </c>
      <c r="R478" s="399">
        <f t="shared" ref="R478" si="586">R468-R472-R473+R474++R475-R476</f>
        <v>-1437000</v>
      </c>
    </row>
    <row r="479" spans="1:18" ht="13.5" thickBot="1" x14ac:dyDescent="0.25">
      <c r="A479" s="73"/>
      <c r="B479" s="90"/>
      <c r="C479" s="90"/>
      <c r="D479" s="90"/>
      <c r="E479" s="239"/>
      <c r="F479" s="368"/>
      <c r="G479" s="90"/>
      <c r="H479" s="392"/>
      <c r="I479" s="66"/>
      <c r="J479" s="166"/>
      <c r="K479" s="66"/>
      <c r="L479" s="66"/>
      <c r="M479" s="66"/>
      <c r="N479" s="66"/>
      <c r="O479" s="66"/>
      <c r="P479" s="66"/>
      <c r="Q479" s="66"/>
      <c r="R479" s="165"/>
    </row>
    <row r="480" spans="1:18" s="447" customFormat="1" ht="18.75" customHeight="1" thickTop="1" thickBot="1" x14ac:dyDescent="0.35">
      <c r="A480" s="538"/>
      <c r="B480" s="538"/>
      <c r="C480" s="538"/>
      <c r="D480" s="538"/>
      <c r="E480" s="2002"/>
      <c r="F480" s="538"/>
      <c r="G480" s="538"/>
      <c r="H480" s="538"/>
      <c r="I480" s="2003"/>
      <c r="J480" s="2003"/>
      <c r="K480" s="2003"/>
      <c r="L480" s="2003"/>
      <c r="M480" s="2003"/>
      <c r="N480" s="2003"/>
      <c r="O480" s="2003"/>
      <c r="P480" s="2003"/>
      <c r="Q480" s="2003"/>
      <c r="R480" s="2003"/>
    </row>
    <row r="481" spans="1:18" s="91" customFormat="1" ht="18.75" customHeight="1" thickTop="1" thickBot="1" x14ac:dyDescent="0.3">
      <c r="A481" s="2865" t="s">
        <v>3561</v>
      </c>
      <c r="B481" s="2866"/>
      <c r="C481" s="2866"/>
      <c r="D481" s="2866"/>
      <c r="E481" s="2866"/>
      <c r="F481" s="2866"/>
      <c r="G481" s="2866"/>
      <c r="H481" s="2866"/>
      <c r="I481" s="2866"/>
      <c r="J481" s="2866"/>
      <c r="K481" s="2866"/>
      <c r="L481" s="2866"/>
      <c r="M481" s="2866"/>
      <c r="N481" s="2866"/>
      <c r="O481" s="2866"/>
      <c r="P481" s="2866"/>
      <c r="Q481" s="2866"/>
      <c r="R481" s="2867"/>
    </row>
    <row r="482" spans="1:18" s="44" customFormat="1" x14ac:dyDescent="0.2">
      <c r="A482" s="2848" t="s">
        <v>1856</v>
      </c>
      <c r="B482" s="2840"/>
      <c r="C482" s="2840"/>
      <c r="D482" s="2849"/>
      <c r="E482" s="2684" t="s">
        <v>2663</v>
      </c>
      <c r="F482" s="2685" t="s">
        <v>2251</v>
      </c>
      <c r="G482" s="2839" t="s">
        <v>2253</v>
      </c>
      <c r="H482" s="2840"/>
      <c r="I482" s="2840"/>
      <c r="J482" s="2840"/>
      <c r="K482" s="2840"/>
      <c r="L482" s="2840"/>
      <c r="M482" s="2840"/>
      <c r="N482" s="2840"/>
      <c r="O482" s="2840"/>
      <c r="P482" s="2840"/>
      <c r="Q482" s="2840"/>
      <c r="R482" s="2841"/>
    </row>
    <row r="483" spans="1:18" s="23" customFormat="1" ht="13.5" thickBot="1" x14ac:dyDescent="0.25">
      <c r="A483" s="1698" t="str">
        <f>A3</f>
        <v>2012/13</v>
      </c>
      <c r="B483" s="218" t="str">
        <f>B3</f>
        <v>2013/14</v>
      </c>
      <c r="C483" s="370" t="str">
        <f>C3</f>
        <v>2014/15</v>
      </c>
      <c r="D483" s="93" t="str">
        <f>D3</f>
        <v>2015/16</v>
      </c>
      <c r="E483" s="1965" t="s">
        <v>2664</v>
      </c>
      <c r="F483" s="42"/>
      <c r="G483" s="93" t="str">
        <f>G3</f>
        <v>2016/17</v>
      </c>
      <c r="H483" s="2492" t="s">
        <v>501</v>
      </c>
      <c r="I483" s="370" t="str">
        <f t="shared" ref="I483:R483" si="587">I3</f>
        <v>2017/18</v>
      </c>
      <c r="J483" s="370" t="str">
        <f t="shared" si="587"/>
        <v>2018/19</v>
      </c>
      <c r="K483" s="370" t="str">
        <f t="shared" si="587"/>
        <v>2019/20</v>
      </c>
      <c r="L483" s="370" t="str">
        <f t="shared" si="587"/>
        <v>2020/21</v>
      </c>
      <c r="M483" s="370" t="str">
        <f t="shared" si="587"/>
        <v>2021/22</v>
      </c>
      <c r="N483" s="370" t="str">
        <f t="shared" si="587"/>
        <v>2022/23</v>
      </c>
      <c r="O483" s="370" t="str">
        <f t="shared" si="587"/>
        <v>2023/24</v>
      </c>
      <c r="P483" s="381" t="str">
        <f t="shared" si="587"/>
        <v>2024/25</v>
      </c>
      <c r="Q483" s="218" t="str">
        <f t="shared" si="587"/>
        <v>2025/26</v>
      </c>
      <c r="R483" s="549" t="str">
        <f t="shared" si="587"/>
        <v>2026/27</v>
      </c>
    </row>
    <row r="484" spans="1:18" s="23" customFormat="1" x14ac:dyDescent="0.2">
      <c r="A484" s="2496"/>
      <c r="B484" s="529"/>
      <c r="C484" s="529"/>
      <c r="D484" s="204"/>
      <c r="E484" s="391"/>
      <c r="F484" s="22"/>
      <c r="G484" s="204"/>
      <c r="H484" s="1702"/>
      <c r="I484" s="529"/>
      <c r="J484" s="529"/>
      <c r="K484" s="529"/>
      <c r="L484" s="529"/>
      <c r="M484" s="529"/>
      <c r="N484" s="529"/>
      <c r="O484" s="529"/>
      <c r="P484" s="531"/>
      <c r="Q484" s="529"/>
      <c r="R484" s="530"/>
    </row>
    <row r="485" spans="1:18" x14ac:dyDescent="0.2">
      <c r="A485" s="107"/>
      <c r="B485" s="33"/>
      <c r="C485" s="33"/>
      <c r="D485" s="33"/>
      <c r="E485" s="238"/>
      <c r="F485" s="103" t="s">
        <v>1073</v>
      </c>
      <c r="G485" s="33"/>
      <c r="H485" s="138"/>
      <c r="I485" s="33"/>
      <c r="J485" s="33"/>
      <c r="K485" s="33"/>
      <c r="L485" s="33"/>
      <c r="M485" s="33"/>
      <c r="N485" s="33"/>
      <c r="O485" s="33"/>
      <c r="P485" s="142"/>
      <c r="Q485" s="33"/>
      <c r="R485" s="114"/>
    </row>
    <row r="486" spans="1:18" s="23" customFormat="1" ht="12.75" customHeight="1" x14ac:dyDescent="0.2">
      <c r="A486" s="727"/>
      <c r="B486" s="204"/>
      <c r="C486" s="529"/>
      <c r="D486" s="204"/>
      <c r="E486" s="529"/>
      <c r="F486" s="109" t="s">
        <v>3242</v>
      </c>
      <c r="G486" s="204"/>
      <c r="H486" s="1702"/>
      <c r="I486" s="529"/>
      <c r="J486" s="33"/>
      <c r="K486" s="529"/>
      <c r="L486" s="529"/>
      <c r="M486" s="529"/>
      <c r="N486" s="529"/>
      <c r="O486" s="529"/>
      <c r="P486" s="531"/>
      <c r="Q486" s="529"/>
      <c r="R486" s="530"/>
    </row>
    <row r="487" spans="1:18" x14ac:dyDescent="0.2">
      <c r="A487" s="107">
        <v>32900</v>
      </c>
      <c r="B487" s="33">
        <v>35100</v>
      </c>
      <c r="C487" s="187">
        <v>48000</v>
      </c>
      <c r="D487" s="187">
        <f>53387+13</f>
        <v>53400</v>
      </c>
      <c r="E487" s="1097" t="s">
        <v>3151</v>
      </c>
      <c r="F487" s="890" t="s">
        <v>4582</v>
      </c>
      <c r="G487" s="187">
        <v>34000</v>
      </c>
      <c r="H487" s="138">
        <f t="shared" ref="H487:H500" si="588">IF(D487=G487,0,IF(D487=0,100,(G487-D487)/D487*100))</f>
        <v>-36.329588014981276</v>
      </c>
      <c r="I487" s="33">
        <v>45000</v>
      </c>
      <c r="J487" s="33">
        <f>ROUNDUP(I487+(I487*Assumptions!I$5),-2)</f>
        <v>46200</v>
      </c>
      <c r="K487" s="33">
        <f>ROUNDUP(J487+(J487*Assumptions!J$5),-2)</f>
        <v>47400</v>
      </c>
      <c r="L487" s="33">
        <f>ROUNDUP(K487+(K487*Assumptions!K$5),-2)</f>
        <v>48600</v>
      </c>
      <c r="M487" s="33">
        <f>ROUNDUP(L487+(L487*Assumptions!L$5),-2)</f>
        <v>49600</v>
      </c>
      <c r="N487" s="33">
        <f>ROUNDUP(M487+(M487*Assumptions!M$5),-2)</f>
        <v>50600</v>
      </c>
      <c r="O487" s="33">
        <f>ROUNDUP(N487+(N487*Assumptions!N$5),-2)</f>
        <v>51700</v>
      </c>
      <c r="P487" s="142">
        <f>ROUNDUP(O487+(O487*Assumptions!O$5),-2)</f>
        <v>52800</v>
      </c>
      <c r="Q487" s="33">
        <f>ROUNDUP(P487+(P487*Assumptions!P$5),-2)</f>
        <v>53900</v>
      </c>
      <c r="R487" s="114">
        <f>ROUNDUP(Q487+(Q487*Assumptions!Q$5),-2)</f>
        <v>55000</v>
      </c>
    </row>
    <row r="488" spans="1:18" x14ac:dyDescent="0.2">
      <c r="A488" s="107">
        <v>80000</v>
      </c>
      <c r="B488" s="33">
        <f>82900+2600</f>
        <v>85500</v>
      </c>
      <c r="C488" s="187">
        <v>84500</v>
      </c>
      <c r="D488" s="187">
        <f>86033-33</f>
        <v>86000</v>
      </c>
      <c r="E488" s="1955" t="s">
        <v>2575</v>
      </c>
      <c r="F488" s="890" t="s">
        <v>4583</v>
      </c>
      <c r="G488" s="187">
        <v>89700</v>
      </c>
      <c r="H488" s="138">
        <f t="shared" si="588"/>
        <v>4.3023255813953494</v>
      </c>
      <c r="I488" s="33">
        <v>90000</v>
      </c>
      <c r="J488" s="33">
        <f>ROUNDUP(I488+(I488*Assumptions!I$5),-2)</f>
        <v>92300</v>
      </c>
      <c r="K488" s="33">
        <f>ROUNDUP(J488+(J488*Assumptions!J$5),-2)</f>
        <v>94700</v>
      </c>
      <c r="L488" s="33">
        <f>ROUNDUP(K488+(K488*Assumptions!K$5),-2)</f>
        <v>97100</v>
      </c>
      <c r="M488" s="33">
        <f>ROUNDUP(L488+(L488*Assumptions!L$5),-2)</f>
        <v>99100</v>
      </c>
      <c r="N488" s="33">
        <f>ROUNDUP(M488+(M488*Assumptions!M$5),-2)</f>
        <v>101100</v>
      </c>
      <c r="O488" s="33">
        <f>ROUNDUP(N488+(N488*Assumptions!N$5),-2)</f>
        <v>103200</v>
      </c>
      <c r="P488" s="142">
        <f>ROUNDUP(O488+(O488*Assumptions!O$5),-2)</f>
        <v>105300</v>
      </c>
      <c r="Q488" s="33">
        <f>ROUNDUP(P488+(P488*Assumptions!P$5),-2)</f>
        <v>107500</v>
      </c>
      <c r="R488" s="114">
        <f>ROUNDUP(Q488+(Q488*Assumptions!Q$5),-2)</f>
        <v>109700</v>
      </c>
    </row>
    <row r="489" spans="1:18" x14ac:dyDescent="0.2">
      <c r="A489" s="107">
        <v>0</v>
      </c>
      <c r="B489" s="33">
        <v>5600</v>
      </c>
      <c r="C489" s="187">
        <v>41800</v>
      </c>
      <c r="D489" s="187">
        <f>24438+62</f>
        <v>24500</v>
      </c>
      <c r="E489" s="1097" t="s">
        <v>3139</v>
      </c>
      <c r="F489" s="890" t="s">
        <v>3058</v>
      </c>
      <c r="G489" s="187">
        <v>26800</v>
      </c>
      <c r="H489" s="138">
        <f t="shared" si="588"/>
        <v>9.387755102040817</v>
      </c>
      <c r="I489" s="33">
        <v>27000</v>
      </c>
      <c r="J489" s="33">
        <f>ROUNDUP(I489+(I489*Assumptions!I$5),-2)</f>
        <v>27700</v>
      </c>
      <c r="K489" s="33">
        <f>ROUNDUP(J489+(J489*Assumptions!J$5),-2)</f>
        <v>28400</v>
      </c>
      <c r="L489" s="33">
        <f>ROUNDUP(K489+(K489*Assumptions!K$5),-2)</f>
        <v>29200</v>
      </c>
      <c r="M489" s="33">
        <f>ROUNDUP(L489+(L489*Assumptions!L$5),-2)</f>
        <v>29800</v>
      </c>
      <c r="N489" s="33">
        <f>ROUNDUP(M489+(M489*Assumptions!M$5),-2)</f>
        <v>30400</v>
      </c>
      <c r="O489" s="33">
        <f>ROUNDUP(N489+(N489*Assumptions!N$5),-2)</f>
        <v>31100</v>
      </c>
      <c r="P489" s="142">
        <f>ROUNDUP(O489+(O489*Assumptions!O$5),-2)</f>
        <v>31800</v>
      </c>
      <c r="Q489" s="33">
        <f>ROUNDUP(P489+(P489*Assumptions!P$5),-2)</f>
        <v>32500</v>
      </c>
      <c r="R489" s="114">
        <f>ROUNDUP(Q489+(Q489*Assumptions!Q$5),-2)</f>
        <v>33200</v>
      </c>
    </row>
    <row r="490" spans="1:18" x14ac:dyDescent="0.2">
      <c r="A490" s="107">
        <v>0</v>
      </c>
      <c r="B490" s="33">
        <v>0</v>
      </c>
      <c r="C490" s="187">
        <v>0</v>
      </c>
      <c r="D490" s="187">
        <f>363+37</f>
        <v>400</v>
      </c>
      <c r="E490" s="1097" t="s">
        <v>5651</v>
      </c>
      <c r="F490" s="1099" t="s">
        <v>6066</v>
      </c>
      <c r="G490" s="187">
        <v>5000</v>
      </c>
      <c r="H490" s="138">
        <f t="shared" si="588"/>
        <v>1150</v>
      </c>
      <c r="I490" s="33">
        <v>5000</v>
      </c>
      <c r="J490" s="33">
        <f>ROUNDUP(I490+(I490*Assumptions!I$5),-2)</f>
        <v>5200</v>
      </c>
      <c r="K490" s="33">
        <f>ROUNDUP(J490+(J490*Assumptions!J$5),-2)</f>
        <v>5400</v>
      </c>
      <c r="L490" s="33">
        <f>ROUNDUP(K490+(K490*Assumptions!K$5),-2)</f>
        <v>5600</v>
      </c>
      <c r="M490" s="33">
        <f>ROUNDUP(L490+(L490*Assumptions!L$5),-2)</f>
        <v>5800</v>
      </c>
      <c r="N490" s="33">
        <f>ROUNDUP(M490+(M490*Assumptions!M$5),-2)</f>
        <v>6000</v>
      </c>
      <c r="O490" s="33">
        <f>ROUNDUP(N490+(N490*Assumptions!N$5),-2)</f>
        <v>6200</v>
      </c>
      <c r="P490" s="142">
        <f>ROUNDUP(O490+(O490*Assumptions!O$5),-2)</f>
        <v>6400</v>
      </c>
      <c r="Q490" s="33">
        <f>ROUNDUP(P490+(P490*Assumptions!P$5),-2)</f>
        <v>6600</v>
      </c>
      <c r="R490" s="114">
        <f>ROUNDUP(Q490+(Q490*Assumptions!Q$5),-2)</f>
        <v>6800</v>
      </c>
    </row>
    <row r="491" spans="1:18" x14ac:dyDescent="0.2">
      <c r="A491" s="107">
        <v>0</v>
      </c>
      <c r="B491" s="33">
        <v>0</v>
      </c>
      <c r="C491" s="187">
        <v>0</v>
      </c>
      <c r="D491" s="187">
        <f>770+30</f>
        <v>800</v>
      </c>
      <c r="E491" s="1097" t="s">
        <v>6607</v>
      </c>
      <c r="F491" s="1099" t="s">
        <v>6660</v>
      </c>
      <c r="G491" s="187">
        <f>5000+5000</f>
        <v>10000</v>
      </c>
      <c r="H491" s="138">
        <f t="shared" si="588"/>
        <v>1150</v>
      </c>
      <c r="I491" s="33">
        <v>20000</v>
      </c>
      <c r="J491" s="33">
        <f>ROUNDUP(I491+(I491*Assumptions!I$5),-2)</f>
        <v>20500</v>
      </c>
      <c r="K491" s="33">
        <f>ROUNDUP(J491+(J491*Assumptions!J$5),-2)</f>
        <v>21100</v>
      </c>
      <c r="L491" s="33">
        <f>ROUNDUP(K491+(K491*Assumptions!K$5),-2)</f>
        <v>21700</v>
      </c>
      <c r="M491" s="33">
        <f>ROUNDUP(L491+(L491*Assumptions!L$5),-2)</f>
        <v>22200</v>
      </c>
      <c r="N491" s="33">
        <f>ROUNDUP(M491+(M491*Assumptions!M$5),-2)</f>
        <v>22700</v>
      </c>
      <c r="O491" s="33">
        <f>ROUNDUP(N491+(N491*Assumptions!N$5),-2)</f>
        <v>23200</v>
      </c>
      <c r="P491" s="142">
        <f>ROUNDUP(O491+(O491*Assumptions!O$5),-2)</f>
        <v>23700</v>
      </c>
      <c r="Q491" s="33">
        <f>ROUNDUP(P491+(P491*Assumptions!P$5),-2)</f>
        <v>24200</v>
      </c>
      <c r="R491" s="114">
        <f>ROUNDUP(Q491+(Q491*Assumptions!Q$5),-2)</f>
        <v>24700</v>
      </c>
    </row>
    <row r="492" spans="1:18" x14ac:dyDescent="0.2">
      <c r="A492" s="107">
        <v>72400</v>
      </c>
      <c r="B492" s="33">
        <v>88400</v>
      </c>
      <c r="C492" s="187">
        <v>75700</v>
      </c>
      <c r="D492" s="187">
        <f>74109-9</f>
        <v>74100</v>
      </c>
      <c r="E492" s="1955" t="s">
        <v>2050</v>
      </c>
      <c r="F492" s="890" t="s">
        <v>3016</v>
      </c>
      <c r="G492" s="187">
        <f>95800-5000</f>
        <v>90800</v>
      </c>
      <c r="H492" s="138">
        <f t="shared" si="588"/>
        <v>22.537112010796221</v>
      </c>
      <c r="I492" s="33">
        <v>75000</v>
      </c>
      <c r="J492" s="33">
        <f>ROUNDUP(I492+(I492*Assumptions!I$5),-2)</f>
        <v>76900</v>
      </c>
      <c r="K492" s="33">
        <f>ROUNDUP(J492+(J492*Assumptions!J$5),-2)</f>
        <v>78900</v>
      </c>
      <c r="L492" s="33">
        <f>ROUNDUP(K492+(K492*Assumptions!K$5),-2)</f>
        <v>80900</v>
      </c>
      <c r="M492" s="33">
        <f>ROUNDUP(L492+(L492*Assumptions!L$5),-2)</f>
        <v>82600</v>
      </c>
      <c r="N492" s="33">
        <f>ROUNDUP(M492+(M492*Assumptions!M$5),-2)</f>
        <v>84300</v>
      </c>
      <c r="O492" s="33">
        <f>ROUNDUP(N492+(N492*Assumptions!N$5),-2)</f>
        <v>86000</v>
      </c>
      <c r="P492" s="142">
        <f>ROUNDUP(O492+(O492*Assumptions!O$5),-2)</f>
        <v>87800</v>
      </c>
      <c r="Q492" s="33">
        <f>ROUNDUP(P492+(P492*Assumptions!P$5),-2)</f>
        <v>89600</v>
      </c>
      <c r="R492" s="114">
        <f>ROUNDUP(Q492+(Q492*Assumptions!Q$5),-2)</f>
        <v>91400</v>
      </c>
    </row>
    <row r="493" spans="1:18" x14ac:dyDescent="0.2">
      <c r="A493" s="107">
        <v>33800</v>
      </c>
      <c r="B493" s="33">
        <v>14200</v>
      </c>
      <c r="C493" s="187">
        <v>12600</v>
      </c>
      <c r="D493" s="187">
        <f>15205-5</f>
        <v>15200</v>
      </c>
      <c r="E493" s="1097" t="s">
        <v>3035</v>
      </c>
      <c r="F493" s="890" t="s">
        <v>3017</v>
      </c>
      <c r="G493" s="187">
        <v>15000</v>
      </c>
      <c r="H493" s="138">
        <f t="shared" si="588"/>
        <v>-1.3157894736842104</v>
      </c>
      <c r="I493" s="33">
        <v>16000</v>
      </c>
      <c r="J493" s="33">
        <f>ROUNDUP(I493+(I493*Assumptions!I$5),-2)</f>
        <v>16400</v>
      </c>
      <c r="K493" s="33">
        <f>ROUNDUP(J493+(J493*Assumptions!J$5),-2)</f>
        <v>16900</v>
      </c>
      <c r="L493" s="33">
        <f>ROUNDUP(K493+(K493*Assumptions!K$5),-2)</f>
        <v>17400</v>
      </c>
      <c r="M493" s="33">
        <f>ROUNDUP(L493+(L493*Assumptions!L$5),-2)</f>
        <v>17800</v>
      </c>
      <c r="N493" s="33">
        <f>ROUNDUP(M493+(M493*Assumptions!M$5),-2)</f>
        <v>18200</v>
      </c>
      <c r="O493" s="33">
        <f>ROUNDUP(N493+(N493*Assumptions!N$5),-2)</f>
        <v>18600</v>
      </c>
      <c r="P493" s="142">
        <f>ROUNDUP(O493+(O493*Assumptions!O$5),-2)</f>
        <v>19000</v>
      </c>
      <c r="Q493" s="33">
        <f>ROUNDUP(P493+(P493*Assumptions!P$5),-2)</f>
        <v>19400</v>
      </c>
      <c r="R493" s="114">
        <f>ROUNDUP(Q493+(Q493*Assumptions!Q$5),-2)</f>
        <v>19800</v>
      </c>
    </row>
    <row r="494" spans="1:18" x14ac:dyDescent="0.2">
      <c r="A494" s="107">
        <v>0</v>
      </c>
      <c r="B494" s="33">
        <v>0</v>
      </c>
      <c r="C494" s="187">
        <v>0</v>
      </c>
      <c r="D494" s="187">
        <v>0</v>
      </c>
      <c r="E494" s="1097"/>
      <c r="F494" s="1099" t="s">
        <v>6160</v>
      </c>
      <c r="G494" s="187">
        <v>0</v>
      </c>
      <c r="H494" s="138">
        <f t="shared" si="588"/>
        <v>0</v>
      </c>
      <c r="I494" s="33">
        <v>0</v>
      </c>
      <c r="J494" s="33">
        <v>10000</v>
      </c>
      <c r="K494" s="33">
        <v>20000</v>
      </c>
      <c r="L494" s="33">
        <f>ROUNDUP(K494+(K494*Assumptions!K$5),-2)</f>
        <v>20500</v>
      </c>
      <c r="M494" s="33">
        <f>ROUNDUP(L494+(L494*Assumptions!L$5),-2)</f>
        <v>21000</v>
      </c>
      <c r="N494" s="33">
        <f>ROUNDUP(M494+(M494*Assumptions!M$5),-2)</f>
        <v>21500</v>
      </c>
      <c r="O494" s="33">
        <f>ROUNDUP(N494+(N494*Assumptions!N$5),-2)</f>
        <v>22000</v>
      </c>
      <c r="P494" s="142">
        <f>ROUNDUP(O494+(O494*Assumptions!O$5),-2)</f>
        <v>22500</v>
      </c>
      <c r="Q494" s="33">
        <f>ROUNDUP(P494+(P494*Assumptions!P$5),-2)</f>
        <v>23000</v>
      </c>
      <c r="R494" s="114">
        <f>ROUNDUP(Q494+(Q494*Assumptions!Q$5),-2)</f>
        <v>23500</v>
      </c>
    </row>
    <row r="495" spans="1:18" x14ac:dyDescent="0.2">
      <c r="A495" s="107">
        <v>0</v>
      </c>
      <c r="B495" s="33">
        <v>0</v>
      </c>
      <c r="C495" s="187">
        <v>0</v>
      </c>
      <c r="D495" s="187">
        <v>0</v>
      </c>
      <c r="E495" s="1955"/>
      <c r="F495" s="1099" t="s">
        <v>7135</v>
      </c>
      <c r="G495" s="187">
        <v>0</v>
      </c>
      <c r="H495" s="138">
        <f t="shared" ref="H495" si="589">IF(D495=G495,0,IF(D495=0,100,(G495-D495)/D495*100))</f>
        <v>0</v>
      </c>
      <c r="I495" s="33">
        <v>0</v>
      </c>
      <c r="J495" s="33">
        <v>43000</v>
      </c>
      <c r="K495" s="33">
        <v>88300</v>
      </c>
      <c r="L495" s="33">
        <f>ROUNDUP(K495+(K495*Assumptions!K$5),-2)</f>
        <v>90600</v>
      </c>
      <c r="M495" s="33">
        <f>ROUNDUP(L495+(L495*Assumptions!L$5),-2)</f>
        <v>92500</v>
      </c>
      <c r="N495" s="33">
        <f>ROUNDUP(M495+(M495*Assumptions!M$5),-2)</f>
        <v>94400</v>
      </c>
      <c r="O495" s="33">
        <f>ROUNDUP(N495+(N495*Assumptions!N$5),-2)</f>
        <v>96300</v>
      </c>
      <c r="P495" s="142">
        <f>ROUNDUP(O495+(O495*Assumptions!O$5),-2)</f>
        <v>98300</v>
      </c>
      <c r="Q495" s="33">
        <f>ROUNDUP(P495+(P495*Assumptions!P$5),-2)</f>
        <v>100300</v>
      </c>
      <c r="R495" s="114">
        <f>ROUNDUP(Q495+(Q495*Assumptions!Q$5),-2)</f>
        <v>102400</v>
      </c>
    </row>
    <row r="496" spans="1:18" x14ac:dyDescent="0.2">
      <c r="A496" s="107">
        <v>0</v>
      </c>
      <c r="B496" s="33">
        <v>0</v>
      </c>
      <c r="C496" s="187">
        <v>0</v>
      </c>
      <c r="D496" s="187">
        <v>0</v>
      </c>
      <c r="E496" s="1955"/>
      <c r="F496" s="1099" t="s">
        <v>7136</v>
      </c>
      <c r="G496" s="187">
        <v>0</v>
      </c>
      <c r="H496" s="138">
        <f t="shared" si="588"/>
        <v>0</v>
      </c>
      <c r="I496" s="33">
        <v>0</v>
      </c>
      <c r="J496" s="33">
        <v>10000</v>
      </c>
      <c r="K496" s="33">
        <v>20000</v>
      </c>
      <c r="L496" s="33">
        <f>ROUNDUP(K496+(K496*Assumptions!K$5),-2)</f>
        <v>20500</v>
      </c>
      <c r="M496" s="33">
        <f>ROUNDUP(L496+(L496*Assumptions!L$5),-2)</f>
        <v>21000</v>
      </c>
      <c r="N496" s="33">
        <f>ROUNDUP(M496+(M496*Assumptions!M$5),-2)</f>
        <v>21500</v>
      </c>
      <c r="O496" s="33">
        <f>ROUNDUP(N496+(N496*Assumptions!N$5),-2)</f>
        <v>22000</v>
      </c>
      <c r="P496" s="142">
        <f>ROUNDUP(O496+(O496*Assumptions!O$5),-2)</f>
        <v>22500</v>
      </c>
      <c r="Q496" s="33">
        <f>ROUNDUP(P496+(P496*Assumptions!P$5),-2)</f>
        <v>23000</v>
      </c>
      <c r="R496" s="114">
        <f>ROUNDUP(Q496+(Q496*Assumptions!Q$5),-2)</f>
        <v>23500</v>
      </c>
    </row>
    <row r="497" spans="1:18" x14ac:dyDescent="0.2">
      <c r="A497" s="107">
        <v>20000</v>
      </c>
      <c r="B497" s="33">
        <v>20200</v>
      </c>
      <c r="C497" s="187">
        <v>19800</v>
      </c>
      <c r="D497" s="187">
        <f>20926-26</f>
        <v>20900</v>
      </c>
      <c r="E497" s="1955" t="s">
        <v>2519</v>
      </c>
      <c r="F497" s="3" t="s">
        <v>1174</v>
      </c>
      <c r="G497" s="187">
        <v>21700</v>
      </c>
      <c r="H497" s="138">
        <f t="shared" si="588"/>
        <v>3.8277511961722488</v>
      </c>
      <c r="I497" s="33">
        <v>20000</v>
      </c>
      <c r="J497" s="33">
        <f>ROUNDUP(I497+(I497*Assumptions!I$5),-2)</f>
        <v>20500</v>
      </c>
      <c r="K497" s="33">
        <f>ROUNDUP(J497+(J497*Assumptions!J$5),-2)</f>
        <v>21100</v>
      </c>
      <c r="L497" s="33">
        <f>ROUNDUP(K497+(K497*Assumptions!K$5),-2)</f>
        <v>21700</v>
      </c>
      <c r="M497" s="33">
        <f>ROUNDUP(L497+(L497*Assumptions!L$5),-2)</f>
        <v>22200</v>
      </c>
      <c r="N497" s="33">
        <f>ROUNDUP(M497+(M497*Assumptions!M$5),-2)</f>
        <v>22700</v>
      </c>
      <c r="O497" s="33">
        <f>ROUNDUP(N497+(N497*Assumptions!N$5),-2)</f>
        <v>23200</v>
      </c>
      <c r="P497" s="142">
        <f>ROUNDUP(O497+(O497*Assumptions!O$5),-2)</f>
        <v>23700</v>
      </c>
      <c r="Q497" s="33">
        <f>ROUNDUP(P497+(P497*Assumptions!P$5),-2)</f>
        <v>24200</v>
      </c>
      <c r="R497" s="114">
        <f>ROUNDUP(Q497+(Q497*Assumptions!Q$5),-2)</f>
        <v>24700</v>
      </c>
    </row>
    <row r="498" spans="1:18" x14ac:dyDescent="0.2">
      <c r="A498" s="107">
        <v>0</v>
      </c>
      <c r="B498" s="33">
        <v>30200</v>
      </c>
      <c r="C498" s="187">
        <v>43900</v>
      </c>
      <c r="D498" s="187">
        <f>49642-42</f>
        <v>49600</v>
      </c>
      <c r="E498" s="1097" t="s">
        <v>3055</v>
      </c>
      <c r="F498" s="1099" t="s">
        <v>3540</v>
      </c>
      <c r="G498" s="187">
        <v>42000</v>
      </c>
      <c r="H498" s="138">
        <f t="shared" si="588"/>
        <v>-15.32258064516129</v>
      </c>
      <c r="I498" s="33">
        <v>50000</v>
      </c>
      <c r="J498" s="33">
        <f>ROUNDUP(I498+(I498*Assumptions!I$5),-2)</f>
        <v>51300</v>
      </c>
      <c r="K498" s="33">
        <f>ROUNDUP(J498+(J498*Assumptions!J$5),-2)</f>
        <v>52600</v>
      </c>
      <c r="L498" s="33">
        <f>ROUNDUP(K498+(K498*Assumptions!K$5),-2)</f>
        <v>54000</v>
      </c>
      <c r="M498" s="33">
        <f>ROUNDUP(L498+(L498*Assumptions!L$5),-2)</f>
        <v>55100</v>
      </c>
      <c r="N498" s="33">
        <f>ROUNDUP(M498+(M498*Assumptions!M$5),-2)</f>
        <v>56300</v>
      </c>
      <c r="O498" s="33">
        <f>ROUNDUP(N498+(N498*Assumptions!N$5),-2)</f>
        <v>57500</v>
      </c>
      <c r="P498" s="142">
        <f>ROUNDUP(O498+(O498*Assumptions!O$5),-2)</f>
        <v>58700</v>
      </c>
      <c r="Q498" s="33">
        <f>ROUNDUP(P498+(P498*Assumptions!P$5),-2)</f>
        <v>59900</v>
      </c>
      <c r="R498" s="114">
        <f>ROUNDUP(Q498+(Q498*Assumptions!Q$5),-2)</f>
        <v>61100</v>
      </c>
    </row>
    <row r="499" spans="1:18" x14ac:dyDescent="0.2">
      <c r="A499" s="107">
        <v>0</v>
      </c>
      <c r="B499" s="33">
        <f>49100-B498</f>
        <v>18900</v>
      </c>
      <c r="C499" s="187">
        <v>58400</v>
      </c>
      <c r="D499" s="187">
        <f>58340+60</f>
        <v>58400</v>
      </c>
      <c r="E499" s="1097" t="s">
        <v>4150</v>
      </c>
      <c r="F499" s="1099" t="s">
        <v>4585</v>
      </c>
      <c r="G499" s="187">
        <v>64900</v>
      </c>
      <c r="H499" s="138">
        <f t="shared" si="588"/>
        <v>11.13013698630137</v>
      </c>
      <c r="I499" s="33">
        <v>66000</v>
      </c>
      <c r="J499" s="33">
        <f>ROUNDUP(I499+(I499*Assumptions!I$5),-2)</f>
        <v>67700</v>
      </c>
      <c r="K499" s="33">
        <f>ROUNDUP(J499+(J499*Assumptions!J$5),-2)</f>
        <v>69400</v>
      </c>
      <c r="L499" s="33">
        <f>ROUNDUP(K499+(K499*Assumptions!K$5),-2)</f>
        <v>71200</v>
      </c>
      <c r="M499" s="33">
        <f>ROUNDUP(L499+(L499*Assumptions!L$5),-2)</f>
        <v>72700</v>
      </c>
      <c r="N499" s="33">
        <f>ROUNDUP(M499+(M499*Assumptions!M$5),-2)</f>
        <v>74200</v>
      </c>
      <c r="O499" s="33">
        <f>ROUNDUP(N499+(N499*Assumptions!N$5),-2)</f>
        <v>75700</v>
      </c>
      <c r="P499" s="142">
        <f>ROUNDUP(O499+(O499*Assumptions!O$5),-2)</f>
        <v>77300</v>
      </c>
      <c r="Q499" s="33">
        <f>ROUNDUP(P499+(P499*Assumptions!P$5),-2)</f>
        <v>78900</v>
      </c>
      <c r="R499" s="114">
        <f>ROUNDUP(Q499+(Q499*Assumptions!Q$5),-2)</f>
        <v>80500</v>
      </c>
    </row>
    <row r="500" spans="1:18" x14ac:dyDescent="0.2">
      <c r="A500" s="107">
        <v>0</v>
      </c>
      <c r="B500" s="33">
        <v>0</v>
      </c>
      <c r="C500" s="187">
        <f>2700+2000</f>
        <v>4700</v>
      </c>
      <c r="D500" s="187">
        <f>2488+12</f>
        <v>2500</v>
      </c>
      <c r="E500" s="1097" t="s">
        <v>4256</v>
      </c>
      <c r="F500" s="1099" t="s">
        <v>4584</v>
      </c>
      <c r="G500" s="187">
        <v>3100</v>
      </c>
      <c r="H500" s="138">
        <f t="shared" si="588"/>
        <v>24</v>
      </c>
      <c r="I500" s="33">
        <v>3000</v>
      </c>
      <c r="J500" s="33">
        <f>ROUNDUP(I500+(I500*Assumptions!I$5),-2)</f>
        <v>3100</v>
      </c>
      <c r="K500" s="33">
        <f>ROUNDUP(J500+(J500*Assumptions!J$5),-2)</f>
        <v>3200</v>
      </c>
      <c r="L500" s="33">
        <f>ROUNDUP(K500+(K500*Assumptions!K$5),-2)</f>
        <v>3300</v>
      </c>
      <c r="M500" s="33">
        <f>ROUNDUP(L500+(L500*Assumptions!L$5),-2)</f>
        <v>3400</v>
      </c>
      <c r="N500" s="33">
        <f>ROUNDUP(M500+(M500*Assumptions!M$5),-2)</f>
        <v>3500</v>
      </c>
      <c r="O500" s="33">
        <f>ROUNDUP(N500+(N500*Assumptions!N$5),-2)</f>
        <v>3600</v>
      </c>
      <c r="P500" s="142">
        <f>ROUNDUP(O500+(O500*Assumptions!O$5),-2)</f>
        <v>3700</v>
      </c>
      <c r="Q500" s="33">
        <f>ROUNDUP(P500+(P500*Assumptions!P$5),-2)</f>
        <v>3800</v>
      </c>
      <c r="R500" s="114">
        <f>ROUNDUP(Q500+(Q500*Assumptions!Q$5),-2)</f>
        <v>3900</v>
      </c>
    </row>
    <row r="501" spans="1:18" ht="13.5" thickBot="1" x14ac:dyDescent="0.25">
      <c r="A501" s="107"/>
      <c r="B501" s="33"/>
      <c r="C501" s="33"/>
      <c r="D501" s="33"/>
      <c r="E501" s="658"/>
      <c r="F501" s="99"/>
      <c r="G501" s="33"/>
      <c r="H501" s="138"/>
      <c r="I501" s="33"/>
      <c r="J501" s="33"/>
      <c r="K501" s="33"/>
      <c r="L501" s="33"/>
      <c r="M501" s="33"/>
      <c r="N501" s="33"/>
      <c r="O501" s="33"/>
      <c r="P501" s="142"/>
      <c r="Q501" s="33"/>
      <c r="R501" s="114"/>
    </row>
    <row r="502" spans="1:18" x14ac:dyDescent="0.2">
      <c r="A502" s="105">
        <f>SUM(A486:A501)</f>
        <v>239100</v>
      </c>
      <c r="B502" s="53">
        <f>SUM(B486:B501)</f>
        <v>298100</v>
      </c>
      <c r="C502" s="53">
        <f>SUM(C486:C501)</f>
        <v>389400</v>
      </c>
      <c r="D502" s="53">
        <f>SUM(D486:D501)</f>
        <v>385800</v>
      </c>
      <c r="E502" s="658"/>
      <c r="F502" s="112" t="s">
        <v>2605</v>
      </c>
      <c r="G502" s="53">
        <f>SUM(G486:G501)</f>
        <v>403000</v>
      </c>
      <c r="H502" s="180">
        <f>IF(E502=G502,0,IF(E502=0,100,(G502-E502)/E502*100))</f>
        <v>100</v>
      </c>
      <c r="I502" s="53">
        <f t="shared" ref="I502:Q502" si="590">SUM(I486:I501)</f>
        <v>417000</v>
      </c>
      <c r="J502" s="53">
        <f t="shared" si="590"/>
        <v>490800</v>
      </c>
      <c r="K502" s="53">
        <f t="shared" si="590"/>
        <v>567400</v>
      </c>
      <c r="L502" s="53">
        <f t="shared" si="590"/>
        <v>582300</v>
      </c>
      <c r="M502" s="53">
        <f t="shared" si="590"/>
        <v>594800</v>
      </c>
      <c r="N502" s="53">
        <f t="shared" si="590"/>
        <v>607400</v>
      </c>
      <c r="O502" s="53">
        <f t="shared" si="590"/>
        <v>620300</v>
      </c>
      <c r="P502" s="155">
        <f t="shared" si="590"/>
        <v>633500</v>
      </c>
      <c r="Q502" s="53">
        <f t="shared" si="590"/>
        <v>646800</v>
      </c>
      <c r="R502" s="113">
        <f t="shared" ref="R502" si="591">SUM(R486:R501)</f>
        <v>660200</v>
      </c>
    </row>
    <row r="503" spans="1:18" x14ac:dyDescent="0.2">
      <c r="A503" s="107"/>
      <c r="B503" s="33"/>
      <c r="C503" s="33"/>
      <c r="D503" s="33"/>
      <c r="E503" s="658"/>
      <c r="F503" s="74"/>
      <c r="G503" s="33"/>
      <c r="H503" s="138"/>
      <c r="I503" s="33"/>
      <c r="J503" s="33"/>
      <c r="K503" s="132"/>
      <c r="L503" s="33"/>
      <c r="M503" s="33"/>
      <c r="N503" s="33"/>
      <c r="O503" s="33"/>
      <c r="P503" s="142"/>
      <c r="Q503" s="33"/>
      <c r="R503" s="114"/>
    </row>
    <row r="504" spans="1:18" x14ac:dyDescent="0.2">
      <c r="A504" s="107"/>
      <c r="B504" s="33"/>
      <c r="C504" s="33"/>
      <c r="D504" s="33"/>
      <c r="E504" s="658"/>
      <c r="F504" s="144" t="s">
        <v>2205</v>
      </c>
      <c r="G504" s="33"/>
      <c r="H504" s="138"/>
      <c r="I504" s="33"/>
      <c r="J504" s="33"/>
      <c r="K504" s="33"/>
      <c r="L504" s="33"/>
      <c r="M504" s="33"/>
      <c r="N504" s="33"/>
      <c r="O504" s="33"/>
      <c r="P504" s="142"/>
      <c r="Q504" s="33"/>
      <c r="R504" s="114"/>
    </row>
    <row r="505" spans="1:18" x14ac:dyDescent="0.2">
      <c r="A505" s="107"/>
      <c r="B505" s="33"/>
      <c r="C505" s="33"/>
      <c r="D505" s="33"/>
      <c r="E505" s="673"/>
      <c r="F505" s="74" t="s">
        <v>1249</v>
      </c>
      <c r="G505" s="33"/>
      <c r="H505" s="138"/>
      <c r="I505" s="33"/>
      <c r="J505" s="33"/>
      <c r="K505" s="33"/>
      <c r="L505" s="33"/>
      <c r="M505" s="33"/>
      <c r="N505" s="33"/>
      <c r="O505" s="33"/>
      <c r="P505" s="142"/>
      <c r="Q505" s="33"/>
      <c r="R505" s="114"/>
    </row>
    <row r="506" spans="1:18" x14ac:dyDescent="0.2">
      <c r="A506" s="107">
        <f>91700+34500</f>
        <v>126200</v>
      </c>
      <c r="B506" s="33">
        <v>123500</v>
      </c>
      <c r="C506" s="187">
        <v>169500</v>
      </c>
      <c r="D506" s="33">
        <f>183498+2</f>
        <v>183500</v>
      </c>
      <c r="E506" s="1955" t="s">
        <v>842</v>
      </c>
      <c r="F506" s="916" t="s">
        <v>4586</v>
      </c>
      <c r="G506" s="187">
        <f>184000+19000</f>
        <v>203000</v>
      </c>
      <c r="H506" s="138">
        <f>IF(D506=G506,0,IF(D506=0,100,(G506-D506)/D506*100))</f>
        <v>10.626702997275205</v>
      </c>
      <c r="I506" s="33">
        <v>187700</v>
      </c>
      <c r="J506" s="142">
        <f>ROUNDUP(I506+(I506*Assumptions!I$13),-2)+67000</f>
        <v>259400</v>
      </c>
      <c r="K506" s="33">
        <f>ROUNDUP(J506+(J506*Assumptions!J$13),-2)+67000</f>
        <v>332900</v>
      </c>
      <c r="L506" s="33">
        <f>ROUNDUP(K506+(K506*Assumptions!K$13),-2)</f>
        <v>341300</v>
      </c>
      <c r="M506" s="33">
        <f>ROUNDUP(L506+(L506*Assumptions!L$13),-2)</f>
        <v>349900</v>
      </c>
      <c r="N506" s="33">
        <f>ROUNDUP(M506+(M506*Assumptions!M$13),-2)</f>
        <v>358700</v>
      </c>
      <c r="O506" s="33">
        <f>ROUNDUP(N506+(N506*Assumptions!N$13),-2)</f>
        <v>367700</v>
      </c>
      <c r="P506" s="142">
        <f>ROUNDUP(O506+(O506*Assumptions!O$13),-2)</f>
        <v>376900</v>
      </c>
      <c r="Q506" s="33">
        <f>ROUNDUP(P506+(P506*Assumptions!P$13),-2)</f>
        <v>386400</v>
      </c>
      <c r="R506" s="114">
        <f>ROUNDUP(Q506+(Q506*Assumptions!Q$13),-2)</f>
        <v>396100</v>
      </c>
    </row>
    <row r="507" spans="1:18" x14ac:dyDescent="0.2">
      <c r="A507" s="107"/>
      <c r="B507" s="33"/>
      <c r="C507" s="33"/>
      <c r="D507" s="33"/>
      <c r="E507" s="673"/>
      <c r="F507" s="144"/>
      <c r="G507" s="33"/>
      <c r="H507" s="138"/>
      <c r="I507" s="33"/>
      <c r="J507" s="33"/>
      <c r="K507" s="33"/>
      <c r="L507" s="33"/>
      <c r="M507" s="33"/>
      <c r="N507" s="33"/>
      <c r="O507" s="33"/>
      <c r="P507" s="142"/>
      <c r="Q507" s="33"/>
      <c r="R507" s="114"/>
    </row>
    <row r="508" spans="1:18" x14ac:dyDescent="0.2">
      <c r="A508" s="107"/>
      <c r="B508" s="33"/>
      <c r="C508" s="33"/>
      <c r="D508" s="33"/>
      <c r="E508" s="1955"/>
      <c r="F508" s="74" t="s">
        <v>2784</v>
      </c>
      <c r="G508" s="33"/>
      <c r="H508" s="138"/>
      <c r="I508" s="33"/>
      <c r="J508" s="33"/>
      <c r="K508" s="33"/>
      <c r="L508" s="33"/>
      <c r="M508" s="33"/>
      <c r="N508" s="33"/>
      <c r="O508" s="33"/>
      <c r="P508" s="142"/>
      <c r="Q508" s="33"/>
      <c r="R508" s="114"/>
    </row>
    <row r="509" spans="1:18" x14ac:dyDescent="0.2">
      <c r="A509" s="107">
        <v>2500</v>
      </c>
      <c r="B509" s="33">
        <v>4000</v>
      </c>
      <c r="C509" s="187">
        <v>3800</v>
      </c>
      <c r="D509" s="33">
        <f>8280+20</f>
        <v>8300</v>
      </c>
      <c r="E509" s="1955" t="s">
        <v>2593</v>
      </c>
      <c r="F509" s="814" t="s">
        <v>2558</v>
      </c>
      <c r="G509" s="187">
        <v>6000</v>
      </c>
      <c r="H509" s="138">
        <f t="shared" ref="H509:H516" si="592">IF(D509=G509,0,IF(D509=0,100,(G509-D509)/D509*100))</f>
        <v>-27.710843373493976</v>
      </c>
      <c r="I509" s="33">
        <f>ROUNDUP(G509+(G509*Assumptions!H$5),-2)</f>
        <v>6100</v>
      </c>
      <c r="J509" s="33">
        <f>ROUNDUP(I509+(I509*Assumptions!I$5),-2)</f>
        <v>6300</v>
      </c>
      <c r="K509" s="33">
        <f>ROUNDUP(J509+(J509*Assumptions!J$5),-2)</f>
        <v>6500</v>
      </c>
      <c r="L509" s="33">
        <f>ROUNDUP(K509+(K509*Assumptions!K$5),-2)</f>
        <v>6700</v>
      </c>
      <c r="M509" s="33">
        <f>ROUNDUP(L509+(L509*Assumptions!L$5),-2)</f>
        <v>6900</v>
      </c>
      <c r="N509" s="33">
        <f>ROUNDUP(M509+(M509*Assumptions!M$5),-2)</f>
        <v>7100</v>
      </c>
      <c r="O509" s="33">
        <f>ROUNDUP(N509+(N509*Assumptions!N$5),-2)</f>
        <v>7300</v>
      </c>
      <c r="P509" s="142">
        <f>ROUNDUP(O509+(O509*Assumptions!O$5),-2)</f>
        <v>7500</v>
      </c>
      <c r="Q509" s="33">
        <f>ROUNDUP(P509+(P509*Assumptions!P$5),-2)</f>
        <v>7700</v>
      </c>
      <c r="R509" s="114">
        <f>ROUNDUP(Q509+(Q509*Assumptions!Q$5),-2)</f>
        <v>7900</v>
      </c>
    </row>
    <row r="510" spans="1:18" x14ac:dyDescent="0.2">
      <c r="A510" s="107">
        <v>3500</v>
      </c>
      <c r="B510" s="33">
        <v>3900</v>
      </c>
      <c r="C510" s="187">
        <v>4200</v>
      </c>
      <c r="D510" s="33">
        <f>3331-31</f>
        <v>3300</v>
      </c>
      <c r="E510" s="1955" t="s">
        <v>453</v>
      </c>
      <c r="F510" s="443" t="s">
        <v>2891</v>
      </c>
      <c r="G510" s="187">
        <v>4000</v>
      </c>
      <c r="H510" s="138">
        <f t="shared" si="592"/>
        <v>21.212121212121211</v>
      </c>
      <c r="I510" s="33">
        <f>ROUNDUP(G510+(G510*Assumptions!H$5),-2)</f>
        <v>4100</v>
      </c>
      <c r="J510" s="33">
        <f>ROUNDUP(I510+(I510*Assumptions!I$5),-2)</f>
        <v>4300</v>
      </c>
      <c r="K510" s="33">
        <f>ROUNDUP(J510+(J510*Assumptions!J$5),-2)</f>
        <v>4500</v>
      </c>
      <c r="L510" s="33">
        <f>ROUNDUP(K510+(K510*Assumptions!K$5),-2)</f>
        <v>4700</v>
      </c>
      <c r="M510" s="33">
        <f>ROUNDUP(L510+(L510*Assumptions!L$5),-2)</f>
        <v>4800</v>
      </c>
      <c r="N510" s="33">
        <f>ROUNDUP(M510+(M510*Assumptions!M$5),-2)</f>
        <v>4900</v>
      </c>
      <c r="O510" s="33">
        <f>ROUNDUP(N510+(N510*Assumptions!N$5),-2)</f>
        <v>5000</v>
      </c>
      <c r="P510" s="142">
        <f>ROUNDUP(O510+(O510*Assumptions!O$5),-2)</f>
        <v>5100</v>
      </c>
      <c r="Q510" s="33">
        <f>ROUNDUP(P510+(P510*Assumptions!P$5),-2)</f>
        <v>5300</v>
      </c>
      <c r="R510" s="114">
        <f>ROUNDUP(Q510+(Q510*Assumptions!Q$5),-2)</f>
        <v>5500</v>
      </c>
    </row>
    <row r="511" spans="1:18" x14ac:dyDescent="0.2">
      <c r="A511" s="107">
        <v>7900</v>
      </c>
      <c r="B511" s="33">
        <v>8800</v>
      </c>
      <c r="C511" s="187">
        <v>7600</v>
      </c>
      <c r="D511" s="33">
        <f>7099+1</f>
        <v>7100</v>
      </c>
      <c r="E511" s="1955" t="s">
        <v>1948</v>
      </c>
      <c r="F511" s="443" t="s">
        <v>2774</v>
      </c>
      <c r="G511" s="187">
        <v>9000</v>
      </c>
      <c r="H511" s="138">
        <f t="shared" si="592"/>
        <v>26.760563380281688</v>
      </c>
      <c r="I511" s="33">
        <f>ROUNDUP(G511+(G511*Assumptions!H$5),-2)</f>
        <v>9200</v>
      </c>
      <c r="J511" s="33">
        <f>ROUNDUP(I511+(I511*Assumptions!I$5),-2)</f>
        <v>9500</v>
      </c>
      <c r="K511" s="33">
        <f>ROUNDUP(J511+(J511*Assumptions!J$5),-2)</f>
        <v>9800</v>
      </c>
      <c r="L511" s="33">
        <f>ROUNDUP(K511+(K511*Assumptions!K$5),-2)</f>
        <v>10100</v>
      </c>
      <c r="M511" s="33">
        <f>ROUNDUP(L511+(L511*Assumptions!L$5),-2)</f>
        <v>10400</v>
      </c>
      <c r="N511" s="33">
        <f>ROUNDUP(M511+(M511*Assumptions!M$5),-2)</f>
        <v>10700</v>
      </c>
      <c r="O511" s="33">
        <f>ROUNDUP(N511+(N511*Assumptions!N$5),-2)</f>
        <v>11000</v>
      </c>
      <c r="P511" s="142">
        <f>ROUNDUP(O511+(O511*Assumptions!O$5),-2)</f>
        <v>11300</v>
      </c>
      <c r="Q511" s="33">
        <f>ROUNDUP(P511+(P511*Assumptions!P$5),-2)</f>
        <v>11600</v>
      </c>
      <c r="R511" s="114">
        <f>ROUNDUP(Q511+(Q511*Assumptions!Q$5),-2)</f>
        <v>11900</v>
      </c>
    </row>
    <row r="512" spans="1:18" x14ac:dyDescent="0.2">
      <c r="A512" s="107">
        <v>5200</v>
      </c>
      <c r="B512" s="33">
        <v>5500</v>
      </c>
      <c r="C512" s="187">
        <v>6100</v>
      </c>
      <c r="D512" s="33">
        <f>6409-9</f>
        <v>6400</v>
      </c>
      <c r="E512" s="1955" t="s">
        <v>812</v>
      </c>
      <c r="F512" s="814" t="s">
        <v>1470</v>
      </c>
      <c r="G512" s="187">
        <v>6500</v>
      </c>
      <c r="H512" s="138">
        <f t="shared" si="592"/>
        <v>1.5625</v>
      </c>
      <c r="I512" s="33">
        <f>ROUNDUP(G512+(G512*Assumptions!H$5),-2)</f>
        <v>6600</v>
      </c>
      <c r="J512" s="33">
        <f>ROUNDUP(I512+(I512*Assumptions!I$5),-2)</f>
        <v>6800</v>
      </c>
      <c r="K512" s="33">
        <f>ROUNDUP(J512+(J512*Assumptions!J$5),-2)</f>
        <v>7000</v>
      </c>
      <c r="L512" s="33">
        <f>ROUNDUP(K512+(K512*Assumptions!K$5),-2)</f>
        <v>7200</v>
      </c>
      <c r="M512" s="33">
        <f>ROUNDUP(L512+(L512*Assumptions!L$5),-2)</f>
        <v>7400</v>
      </c>
      <c r="N512" s="33">
        <f>ROUNDUP(M512+(M512*Assumptions!M$5),-2)</f>
        <v>7600</v>
      </c>
      <c r="O512" s="33">
        <f>ROUNDUP(N512+(N512*Assumptions!N$5),-2)</f>
        <v>7800</v>
      </c>
      <c r="P512" s="142">
        <f>ROUNDUP(O512+(O512*Assumptions!O$5),-2)</f>
        <v>8000</v>
      </c>
      <c r="Q512" s="33">
        <f>ROUNDUP(P512+(P512*Assumptions!P$5),-2)</f>
        <v>8200</v>
      </c>
      <c r="R512" s="114">
        <f>ROUNDUP(Q512+(Q512*Assumptions!Q$5),-2)</f>
        <v>8400</v>
      </c>
    </row>
    <row r="513" spans="1:18" x14ac:dyDescent="0.2">
      <c r="A513" s="107">
        <v>4500</v>
      </c>
      <c r="B513" s="33">
        <v>5600</v>
      </c>
      <c r="C513" s="187">
        <v>3800</v>
      </c>
      <c r="D513" s="33">
        <f>3697+3</f>
        <v>3700</v>
      </c>
      <c r="E513" s="1955" t="s">
        <v>813</v>
      </c>
      <c r="F513" s="443" t="s">
        <v>2193</v>
      </c>
      <c r="G513" s="187">
        <v>5500</v>
      </c>
      <c r="H513" s="138">
        <f t="shared" si="592"/>
        <v>48.648648648648653</v>
      </c>
      <c r="I513" s="33">
        <f>ROUNDUP(G513+(G513*Assumptions!H$5),-2)</f>
        <v>5600</v>
      </c>
      <c r="J513" s="33">
        <f>ROUNDUP(I513+(I513*Assumptions!I$5),-2)</f>
        <v>5800</v>
      </c>
      <c r="K513" s="33">
        <f>ROUNDUP(J513+(J513*Assumptions!J$5),-2)</f>
        <v>6000</v>
      </c>
      <c r="L513" s="33">
        <f>ROUNDUP(K513+(K513*Assumptions!K$5),-2)</f>
        <v>6200</v>
      </c>
      <c r="M513" s="33">
        <f>ROUNDUP(L513+(L513*Assumptions!L$5),-2)</f>
        <v>6400</v>
      </c>
      <c r="N513" s="33">
        <f>ROUNDUP(M513+(M513*Assumptions!M$5),-2)</f>
        <v>6600</v>
      </c>
      <c r="O513" s="33">
        <f>ROUNDUP(N513+(N513*Assumptions!N$5),-2)</f>
        <v>6800</v>
      </c>
      <c r="P513" s="142">
        <f>ROUNDUP(O513+(O513*Assumptions!O$5),-2)</f>
        <v>7000</v>
      </c>
      <c r="Q513" s="33">
        <f>ROUNDUP(P513+(P513*Assumptions!P$5),-2)</f>
        <v>7200</v>
      </c>
      <c r="R513" s="114">
        <f>ROUNDUP(Q513+(Q513*Assumptions!Q$5),-2)</f>
        <v>7400</v>
      </c>
    </row>
    <row r="514" spans="1:18" x14ac:dyDescent="0.2">
      <c r="A514" s="107">
        <v>14600</v>
      </c>
      <c r="B514" s="33">
        <v>15000</v>
      </c>
      <c r="C514" s="187">
        <v>15100</v>
      </c>
      <c r="D514" s="33">
        <f>17436+64</f>
        <v>17500</v>
      </c>
      <c r="E514" s="1955" t="s">
        <v>2594</v>
      </c>
      <c r="F514" s="443" t="s">
        <v>1526</v>
      </c>
      <c r="G514" s="187">
        <v>17500</v>
      </c>
      <c r="H514" s="138">
        <f t="shared" si="592"/>
        <v>0</v>
      </c>
      <c r="I514" s="33">
        <f>ROUNDUP(G514+(G514*Assumptions!H$5),-2)</f>
        <v>17800</v>
      </c>
      <c r="J514" s="33">
        <f>ROUNDUP(I514+(I514*Assumptions!I$5),-2)</f>
        <v>18300</v>
      </c>
      <c r="K514" s="33">
        <f>ROUNDUP(J514+(J514*Assumptions!J$5),-2)</f>
        <v>18800</v>
      </c>
      <c r="L514" s="33">
        <f>ROUNDUP(K514+(K514*Assumptions!K$5),-2)</f>
        <v>19300</v>
      </c>
      <c r="M514" s="33">
        <f>ROUNDUP(L514+(L514*Assumptions!L$5),-2)</f>
        <v>19700</v>
      </c>
      <c r="N514" s="33">
        <f>ROUNDUP(M514+(M514*Assumptions!M$5),-2)</f>
        <v>20100</v>
      </c>
      <c r="O514" s="33">
        <f>ROUNDUP(N514+(N514*Assumptions!N$5),-2)</f>
        <v>20600</v>
      </c>
      <c r="P514" s="142">
        <f>ROUNDUP(O514+(O514*Assumptions!O$5),-2)</f>
        <v>21100</v>
      </c>
      <c r="Q514" s="33">
        <f>ROUNDUP(P514+(P514*Assumptions!P$5),-2)</f>
        <v>21600</v>
      </c>
      <c r="R514" s="114">
        <f>ROUNDUP(Q514+(Q514*Assumptions!Q$5),-2)</f>
        <v>22100</v>
      </c>
    </row>
    <row r="515" spans="1:18" x14ac:dyDescent="0.2">
      <c r="A515" s="107">
        <v>500</v>
      </c>
      <c r="B515" s="33">
        <v>500</v>
      </c>
      <c r="C515" s="187">
        <v>0</v>
      </c>
      <c r="D515" s="33">
        <f>1925-25</f>
        <v>1900</v>
      </c>
      <c r="E515" s="1955" t="s">
        <v>811</v>
      </c>
      <c r="F515" s="443" t="s">
        <v>2561</v>
      </c>
      <c r="G515" s="187">
        <v>1000</v>
      </c>
      <c r="H515" s="138">
        <f t="shared" si="592"/>
        <v>-47.368421052631575</v>
      </c>
      <c r="I515" s="33">
        <f>ROUNDUP(G515+(G515*Assumptions!H$5),-2)</f>
        <v>1100</v>
      </c>
      <c r="J515" s="33">
        <f>ROUNDUP(I515+(I515*Assumptions!I$5),-2)</f>
        <v>1200</v>
      </c>
      <c r="K515" s="33">
        <f>ROUNDUP(J515+(J515*Assumptions!J$5),-2)</f>
        <v>1300</v>
      </c>
      <c r="L515" s="33">
        <f>ROUNDUP(K515+(K515*Assumptions!K$5),-2)</f>
        <v>1400</v>
      </c>
      <c r="M515" s="33">
        <f>ROUNDUP(L515+(L515*Assumptions!L$5),-2)</f>
        <v>1500</v>
      </c>
      <c r="N515" s="33">
        <f>ROUNDUP(M515+(M515*Assumptions!M$5),-2)</f>
        <v>1600</v>
      </c>
      <c r="O515" s="33">
        <f>ROUNDUP(N515+(N515*Assumptions!N$5),-2)</f>
        <v>1700</v>
      </c>
      <c r="P515" s="142">
        <f>ROUNDUP(O515+(O515*Assumptions!O$5),-2)</f>
        <v>1800</v>
      </c>
      <c r="Q515" s="33">
        <f>ROUNDUP(P515+(P515*Assumptions!P$5),-2)</f>
        <v>1900</v>
      </c>
      <c r="R515" s="114">
        <f>ROUNDUP(Q515+(Q515*Assumptions!Q$5),-2)</f>
        <v>2000</v>
      </c>
    </row>
    <row r="516" spans="1:18" x14ac:dyDescent="0.2">
      <c r="A516" s="107">
        <v>9500</v>
      </c>
      <c r="B516" s="33">
        <v>8800</v>
      </c>
      <c r="C516" s="187">
        <v>10500</v>
      </c>
      <c r="D516" s="33">
        <f>10419-19</f>
        <v>10400</v>
      </c>
      <c r="E516" s="1955" t="s">
        <v>2635</v>
      </c>
      <c r="F516" s="443" t="s">
        <v>720</v>
      </c>
      <c r="G516" s="187">
        <v>8600</v>
      </c>
      <c r="H516" s="138">
        <f t="shared" si="592"/>
        <v>-17.307692307692307</v>
      </c>
      <c r="I516" s="33">
        <f>ROUNDUP(G516+(G516*Assumptions!H$5),-2)</f>
        <v>8800</v>
      </c>
      <c r="J516" s="33">
        <f>ROUNDUP(I516+(I516*Assumptions!I$5),-2)</f>
        <v>9100</v>
      </c>
      <c r="K516" s="33">
        <f>ROUNDUP(J516+(J516*Assumptions!J$5),-2)</f>
        <v>9400</v>
      </c>
      <c r="L516" s="33">
        <f>ROUNDUP(K516+(K516*Assumptions!K$5),-2)</f>
        <v>9700</v>
      </c>
      <c r="M516" s="33">
        <f>ROUNDUP(L516+(L516*Assumptions!L$5),-2)</f>
        <v>9900</v>
      </c>
      <c r="N516" s="33">
        <f>ROUNDUP(M516+(M516*Assumptions!M$5),-2)</f>
        <v>10100</v>
      </c>
      <c r="O516" s="33">
        <f>ROUNDUP(N516+(N516*Assumptions!N$5),-2)</f>
        <v>10400</v>
      </c>
      <c r="P516" s="142">
        <f>ROUNDUP(O516+(O516*Assumptions!O$5),-2)</f>
        <v>10700</v>
      </c>
      <c r="Q516" s="33">
        <f>ROUNDUP(P516+(P516*Assumptions!P$5),-2)</f>
        <v>11000</v>
      </c>
      <c r="R516" s="114">
        <f>ROUNDUP(Q516+(Q516*Assumptions!Q$5),-2)</f>
        <v>11300</v>
      </c>
    </row>
    <row r="517" spans="1:18" x14ac:dyDescent="0.2">
      <c r="A517" s="107"/>
      <c r="B517" s="33"/>
      <c r="C517" s="187"/>
      <c r="D517" s="33"/>
      <c r="E517" s="1955"/>
      <c r="F517" s="443"/>
      <c r="G517" s="187"/>
      <c r="H517" s="138"/>
      <c r="I517" s="33"/>
      <c r="J517" s="33"/>
      <c r="K517" s="33"/>
      <c r="L517" s="33"/>
      <c r="M517" s="33"/>
      <c r="N517" s="33"/>
      <c r="O517" s="33"/>
      <c r="P517" s="142"/>
      <c r="Q517" s="33"/>
      <c r="R517" s="114"/>
    </row>
    <row r="518" spans="1:18" x14ac:dyDescent="0.2">
      <c r="A518" s="107"/>
      <c r="B518" s="33"/>
      <c r="C518" s="187"/>
      <c r="D518" s="33"/>
      <c r="E518" s="437"/>
      <c r="F518" s="562" t="s">
        <v>2200</v>
      </c>
      <c r="G518" s="187"/>
      <c r="H518" s="138"/>
      <c r="I518" s="33"/>
      <c r="J518" s="33"/>
      <c r="K518" s="33"/>
      <c r="L518" s="33"/>
      <c r="M518" s="33"/>
      <c r="N518" s="33"/>
      <c r="O518" s="33"/>
      <c r="P518" s="142"/>
      <c r="Q518" s="33"/>
      <c r="R518" s="114"/>
    </row>
    <row r="519" spans="1:18" x14ac:dyDescent="0.2">
      <c r="A519" s="107">
        <v>13800</v>
      </c>
      <c r="B519" s="33">
        <v>15400</v>
      </c>
      <c r="C519" s="187">
        <v>12800</v>
      </c>
      <c r="D519" s="33">
        <f>11987+13</f>
        <v>12000</v>
      </c>
      <c r="E519" s="1955" t="s">
        <v>2510</v>
      </c>
      <c r="F519" s="351" t="s">
        <v>2774</v>
      </c>
      <c r="G519" s="187">
        <v>14000</v>
      </c>
      <c r="H519" s="138">
        <f>IF(D519=G519,0,IF(D519=0,100,(G519-D519)/D519*100))</f>
        <v>16.666666666666664</v>
      </c>
      <c r="I519" s="33">
        <f>ROUNDUP(G519+(G519*Assumptions!H$5),-2)</f>
        <v>14300</v>
      </c>
      <c r="J519" s="33">
        <f>ROUNDUP(I519+(I519*Assumptions!I$5),-2)</f>
        <v>14700</v>
      </c>
      <c r="K519" s="33">
        <f>ROUNDUP(J519+(J519*Assumptions!J$5),-2)</f>
        <v>15100</v>
      </c>
      <c r="L519" s="33">
        <f>ROUNDUP(K519+(K519*Assumptions!K$5),-2)</f>
        <v>15500</v>
      </c>
      <c r="M519" s="33">
        <f>ROUNDUP(L519+(L519*Assumptions!L$5),-2)</f>
        <v>15900</v>
      </c>
      <c r="N519" s="33">
        <f>ROUNDUP(M519+(M519*Assumptions!M$5),-2)</f>
        <v>16300</v>
      </c>
      <c r="O519" s="33">
        <f>ROUNDUP(N519+(N519*Assumptions!N$5),-2)</f>
        <v>16700</v>
      </c>
      <c r="P519" s="142">
        <f>ROUNDUP(O519+(O519*Assumptions!O$5),-2)</f>
        <v>17100</v>
      </c>
      <c r="Q519" s="33">
        <f>ROUNDUP(P519+(P519*Assumptions!P$5),-2)</f>
        <v>17500</v>
      </c>
      <c r="R519" s="114">
        <f>ROUNDUP(Q519+(Q519*Assumptions!Q$5),-2)</f>
        <v>17900</v>
      </c>
    </row>
    <row r="520" spans="1:18" x14ac:dyDescent="0.2">
      <c r="A520" s="107">
        <v>11300</v>
      </c>
      <c r="B520" s="33">
        <v>11700</v>
      </c>
      <c r="C520" s="187">
        <v>12200</v>
      </c>
      <c r="D520" s="33">
        <f>11945+55</f>
        <v>12000</v>
      </c>
      <c r="E520" s="1955" t="s">
        <v>28</v>
      </c>
      <c r="F520" s="916" t="s">
        <v>1470</v>
      </c>
      <c r="G520" s="187">
        <v>13000</v>
      </c>
      <c r="H520" s="138">
        <f>IF(D520=G520,0,IF(D520=0,100,(G520-D520)/D520*100))</f>
        <v>8.3333333333333321</v>
      </c>
      <c r="I520" s="33">
        <f>ROUNDUP(G520+(G520*Assumptions!H$5),-2)</f>
        <v>13200</v>
      </c>
      <c r="J520" s="33">
        <f>ROUNDUP(I520+(I520*Assumptions!I$5),-2)</f>
        <v>13600</v>
      </c>
      <c r="K520" s="33">
        <f>ROUNDUP(J520+(J520*Assumptions!J$5),-2)</f>
        <v>14000</v>
      </c>
      <c r="L520" s="33">
        <f>ROUNDUP(K520+(K520*Assumptions!K$5),-2)</f>
        <v>14400</v>
      </c>
      <c r="M520" s="33">
        <f>ROUNDUP(L520+(L520*Assumptions!L$5),-2)</f>
        <v>14700</v>
      </c>
      <c r="N520" s="33">
        <f>ROUNDUP(M520+(M520*Assumptions!M$5),-2)</f>
        <v>15000</v>
      </c>
      <c r="O520" s="33">
        <f>ROUNDUP(N520+(N520*Assumptions!N$5),-2)</f>
        <v>15300</v>
      </c>
      <c r="P520" s="142">
        <f>ROUNDUP(O520+(O520*Assumptions!O$5),-2)</f>
        <v>15700</v>
      </c>
      <c r="Q520" s="33">
        <f>ROUNDUP(P520+(P520*Assumptions!P$5),-2)</f>
        <v>16100</v>
      </c>
      <c r="R520" s="114">
        <f>ROUNDUP(Q520+(Q520*Assumptions!Q$5),-2)</f>
        <v>16500</v>
      </c>
    </row>
    <row r="521" spans="1:18" x14ac:dyDescent="0.2">
      <c r="A521" s="107">
        <v>0</v>
      </c>
      <c r="B521" s="33">
        <v>0</v>
      </c>
      <c r="C521" s="1703">
        <v>3700</v>
      </c>
      <c r="D521" s="33">
        <f>2036-36</f>
        <v>2000</v>
      </c>
      <c r="E521" s="1097" t="s">
        <v>4024</v>
      </c>
      <c r="F521" s="916" t="s">
        <v>2558</v>
      </c>
      <c r="G521" s="187">
        <v>2000</v>
      </c>
      <c r="H521" s="138">
        <f>IF(D521=G521,0,IF(D521=0,100,(G521-D521)/D521*100))</f>
        <v>0</v>
      </c>
      <c r="I521" s="33">
        <f>ROUNDUP(G521+(G521*Assumptions!H$5),-2)</f>
        <v>2100</v>
      </c>
      <c r="J521" s="33">
        <f>ROUNDUP(I521+(I521*Assumptions!I$5),-2)</f>
        <v>2200</v>
      </c>
      <c r="K521" s="33">
        <f>ROUNDUP(J521+(J521*Assumptions!J$5),-2)</f>
        <v>2300</v>
      </c>
      <c r="L521" s="33">
        <f>ROUNDUP(K521+(K521*Assumptions!K$5),-2)</f>
        <v>2400</v>
      </c>
      <c r="M521" s="33">
        <f>ROUNDUP(L521+(L521*Assumptions!L$5),-2)</f>
        <v>2500</v>
      </c>
      <c r="N521" s="33">
        <f>ROUNDUP(M521+(M521*Assumptions!M$5),-2)</f>
        <v>2600</v>
      </c>
      <c r="O521" s="33">
        <f>ROUNDUP(N521+(N521*Assumptions!N$5),-2)</f>
        <v>2700</v>
      </c>
      <c r="P521" s="142">
        <f>ROUNDUP(O521+(O521*Assumptions!O$5),-2)</f>
        <v>2800</v>
      </c>
      <c r="Q521" s="33">
        <f>ROUNDUP(P521+(P521*Assumptions!P$5),-2)</f>
        <v>2900</v>
      </c>
      <c r="R521" s="114">
        <f>ROUNDUP(Q521+(Q521*Assumptions!Q$5),-2)</f>
        <v>3000</v>
      </c>
    </row>
    <row r="522" spans="1:18" x14ac:dyDescent="0.2">
      <c r="A522" s="107">
        <v>111800</v>
      </c>
      <c r="B522" s="33">
        <v>138100</v>
      </c>
      <c r="C522" s="1703">
        <v>133100</v>
      </c>
      <c r="D522" s="33">
        <f>139728-28</f>
        <v>139700</v>
      </c>
      <c r="E522" s="1955" t="s">
        <v>29</v>
      </c>
      <c r="F522" s="351" t="s">
        <v>2063</v>
      </c>
      <c r="G522" s="187">
        <v>154100</v>
      </c>
      <c r="H522" s="138">
        <f>IF(D522=G522,0,IF(D522=0,100,(G522-D522)/D522*100))</f>
        <v>10.307802433786687</v>
      </c>
      <c r="I522" s="33">
        <f>ROUNDUP(G522+(G522*Assumptions!H$5),-2)</f>
        <v>156500</v>
      </c>
      <c r="J522" s="33">
        <f>ROUNDUP(I522+(I522*Assumptions!I$5),-2)</f>
        <v>160500</v>
      </c>
      <c r="K522" s="33">
        <f>ROUNDUP(J522+(J522*Assumptions!J$5),-2)</f>
        <v>164600</v>
      </c>
      <c r="L522" s="33">
        <f>ROUNDUP(K522+(K522*Assumptions!K$5),-2)</f>
        <v>168800</v>
      </c>
      <c r="M522" s="33">
        <f>ROUNDUP(L522+(L522*Assumptions!L$5),-2)</f>
        <v>172200</v>
      </c>
      <c r="N522" s="33">
        <f>ROUNDUP(M522+(M522*Assumptions!M$5),-2)</f>
        <v>175700</v>
      </c>
      <c r="O522" s="33">
        <f>ROUNDUP(N522+(N522*Assumptions!N$5),-2)</f>
        <v>179300</v>
      </c>
      <c r="P522" s="142">
        <f>ROUNDUP(O522+(O522*Assumptions!O$5),-2)</f>
        <v>182900</v>
      </c>
      <c r="Q522" s="33">
        <f>ROUNDUP(P522+(P522*Assumptions!P$5),-2)</f>
        <v>186600</v>
      </c>
      <c r="R522" s="114">
        <f>ROUNDUP(Q522+(Q522*Assumptions!Q$5),-2)</f>
        <v>190400</v>
      </c>
    </row>
    <row r="523" spans="1:18" x14ac:dyDescent="0.2">
      <c r="A523" s="107">
        <v>0</v>
      </c>
      <c r="B523" s="33">
        <v>0</v>
      </c>
      <c r="C523" s="1703">
        <v>11600</v>
      </c>
      <c r="D523" s="33">
        <f>8393+7</f>
        <v>8400</v>
      </c>
      <c r="E523" s="1097" t="s">
        <v>5260</v>
      </c>
      <c r="F523" s="351" t="s">
        <v>720</v>
      </c>
      <c r="G523" s="187">
        <v>12000</v>
      </c>
      <c r="H523" s="138">
        <f>IF(D523=G523,0,IF(D523=0,100,(G523-D523)/D523*100))</f>
        <v>42.857142857142854</v>
      </c>
      <c r="I523" s="33">
        <f>ROUNDUP(G523+(G523*Assumptions!H$5),-2)</f>
        <v>12200</v>
      </c>
      <c r="J523" s="33">
        <f>ROUNDUP(I523+(I523*Assumptions!I$5),-2)</f>
        <v>12600</v>
      </c>
      <c r="K523" s="33">
        <f>ROUNDUP(J523+(J523*Assumptions!J$5),-2)</f>
        <v>13000</v>
      </c>
      <c r="L523" s="33">
        <f>ROUNDUP(K523+(K523*Assumptions!K$5),-2)</f>
        <v>13400</v>
      </c>
      <c r="M523" s="33">
        <f>ROUNDUP(L523+(L523*Assumptions!L$5),-2)</f>
        <v>13700</v>
      </c>
      <c r="N523" s="33">
        <f>ROUNDUP(M523+(M523*Assumptions!M$5),-2)</f>
        <v>14000</v>
      </c>
      <c r="O523" s="33">
        <f>ROUNDUP(N523+(N523*Assumptions!N$5),-2)</f>
        <v>14300</v>
      </c>
      <c r="P523" s="142">
        <f>ROUNDUP(O523+(O523*Assumptions!O$5),-2)</f>
        <v>14600</v>
      </c>
      <c r="Q523" s="33">
        <f>ROUNDUP(P523+(P523*Assumptions!P$5),-2)</f>
        <v>14900</v>
      </c>
      <c r="R523" s="114">
        <f>ROUNDUP(Q523+(Q523*Assumptions!Q$5),-2)</f>
        <v>15200</v>
      </c>
    </row>
    <row r="524" spans="1:18" x14ac:dyDescent="0.2">
      <c r="A524" s="107"/>
      <c r="B524" s="33"/>
      <c r="C524" s="1703"/>
      <c r="D524" s="33"/>
      <c r="E524" s="1955"/>
      <c r="F524" s="351"/>
      <c r="G524" s="187"/>
      <c r="H524" s="138"/>
      <c r="I524" s="33"/>
      <c r="J524" s="33"/>
      <c r="K524" s="33"/>
      <c r="L524" s="33"/>
      <c r="M524" s="33"/>
      <c r="N524" s="33"/>
      <c r="O524" s="33"/>
      <c r="P524" s="142"/>
      <c r="Q524" s="33"/>
      <c r="R524" s="114"/>
    </row>
    <row r="525" spans="1:18" x14ac:dyDescent="0.2">
      <c r="A525" s="107"/>
      <c r="B525" s="33"/>
      <c r="C525" s="33"/>
      <c r="D525" s="33"/>
      <c r="E525" s="1955"/>
      <c r="F525" s="64" t="s">
        <v>2903</v>
      </c>
      <c r="G525" s="187"/>
      <c r="H525" s="138"/>
      <c r="I525" s="33"/>
      <c r="J525" s="33"/>
      <c r="K525" s="33"/>
      <c r="L525" s="33"/>
      <c r="M525" s="33"/>
      <c r="N525" s="33"/>
      <c r="O525" s="33"/>
      <c r="P525" s="142"/>
      <c r="Q525" s="33"/>
      <c r="R525" s="114"/>
    </row>
    <row r="526" spans="1:18" x14ac:dyDescent="0.2">
      <c r="A526" s="107">
        <v>18200</v>
      </c>
      <c r="B526" s="33">
        <v>8100</v>
      </c>
      <c r="C526" s="187">
        <v>15800</v>
      </c>
      <c r="D526" s="33">
        <f>10021-21</f>
        <v>10000</v>
      </c>
      <c r="E526" s="1955" t="s">
        <v>843</v>
      </c>
      <c r="F526" s="916" t="s">
        <v>2558</v>
      </c>
      <c r="G526" s="187">
        <v>8500</v>
      </c>
      <c r="H526" s="138">
        <f t="shared" ref="H526:H541" si="593">IF(D526=G526,0,IF(D526=0,100,(G526-D526)/D526*100))</f>
        <v>-15</v>
      </c>
      <c r="I526" s="33">
        <f>ROUNDUP(G526+(G526*Assumptions!H$5),-2)</f>
        <v>8700</v>
      </c>
      <c r="J526" s="33">
        <f>ROUNDUP(I526+(I526*Assumptions!I$5),-2)</f>
        <v>9000</v>
      </c>
      <c r="K526" s="33">
        <f>ROUNDUP(J526+(J526*Assumptions!J$5),-2)</f>
        <v>9300</v>
      </c>
      <c r="L526" s="33">
        <f>ROUNDUP(K526+(K526*Assumptions!K$5),-2)</f>
        <v>9600</v>
      </c>
      <c r="M526" s="33">
        <f>ROUNDUP(L526+(L526*Assumptions!L$5),-2)</f>
        <v>9800</v>
      </c>
      <c r="N526" s="33">
        <f>ROUNDUP(M526+(M526*Assumptions!M$5),-2)</f>
        <v>10000</v>
      </c>
      <c r="O526" s="33">
        <f>ROUNDUP(N526+(N526*Assumptions!N$5),-2)</f>
        <v>10200</v>
      </c>
      <c r="P526" s="142">
        <f>ROUNDUP(O526+(O526*Assumptions!O$5),-2)</f>
        <v>10500</v>
      </c>
      <c r="Q526" s="33">
        <f>ROUNDUP(P526+(P526*Assumptions!P$5),-2)</f>
        <v>10800</v>
      </c>
      <c r="R526" s="114">
        <f>ROUNDUP(Q526+(Q526*Assumptions!Q$5),-2)</f>
        <v>11100</v>
      </c>
    </row>
    <row r="527" spans="1:18" x14ac:dyDescent="0.2">
      <c r="A527" s="107">
        <v>2900</v>
      </c>
      <c r="B527" s="33">
        <v>2900</v>
      </c>
      <c r="C527" s="187">
        <v>2000</v>
      </c>
      <c r="D527" s="33">
        <f>1710-10</f>
        <v>1700</v>
      </c>
      <c r="E527" s="1955" t="s">
        <v>455</v>
      </c>
      <c r="F527" s="351" t="s">
        <v>2891</v>
      </c>
      <c r="G527" s="187">
        <v>3200</v>
      </c>
      <c r="H527" s="138">
        <f t="shared" si="593"/>
        <v>88.235294117647058</v>
      </c>
      <c r="I527" s="33">
        <f>ROUNDUP(G527+(G527*Assumptions!H$5),-2)</f>
        <v>3300</v>
      </c>
      <c r="J527" s="33">
        <f>ROUNDUP(I527+(I527*Assumptions!I$5),-2)</f>
        <v>3400</v>
      </c>
      <c r="K527" s="33">
        <f>ROUNDUP(J527+(J527*Assumptions!J$5),-2)</f>
        <v>3500</v>
      </c>
      <c r="L527" s="33">
        <f>ROUNDUP(K527+(K527*Assumptions!K$5),-2)</f>
        <v>3600</v>
      </c>
      <c r="M527" s="33">
        <f>ROUNDUP(L527+(L527*Assumptions!L$5),-2)</f>
        <v>3700</v>
      </c>
      <c r="N527" s="33">
        <f>ROUNDUP(M527+(M527*Assumptions!M$5),-2)</f>
        <v>3800</v>
      </c>
      <c r="O527" s="33">
        <f>ROUNDUP(N527+(N527*Assumptions!N$5),-2)</f>
        <v>3900</v>
      </c>
      <c r="P527" s="142">
        <f>ROUNDUP(O527+(O527*Assumptions!O$5),-2)</f>
        <v>4000</v>
      </c>
      <c r="Q527" s="33">
        <f>ROUNDUP(P527+(P527*Assumptions!P$5),-2)</f>
        <v>4100</v>
      </c>
      <c r="R527" s="114">
        <f>ROUNDUP(Q527+(Q527*Assumptions!Q$5),-2)</f>
        <v>4200</v>
      </c>
    </row>
    <row r="528" spans="1:18" x14ac:dyDescent="0.2">
      <c r="A528" s="107">
        <v>1000</v>
      </c>
      <c r="B528" s="33">
        <v>1600</v>
      </c>
      <c r="C528" s="187">
        <v>4700</v>
      </c>
      <c r="D528" s="33">
        <f>2198+2</f>
        <v>2200</v>
      </c>
      <c r="E528" s="1955" t="s">
        <v>1084</v>
      </c>
      <c r="F528" s="814" t="s">
        <v>3096</v>
      </c>
      <c r="G528" s="187">
        <v>2000</v>
      </c>
      <c r="H528" s="138">
        <f t="shared" si="593"/>
        <v>-9.0909090909090917</v>
      </c>
      <c r="I528" s="33">
        <f>ROUNDUP(G528+(G528*Assumptions!H$5),-2)</f>
        <v>2100</v>
      </c>
      <c r="J528" s="33">
        <f>ROUNDUP(I528+(I528*Assumptions!I$5),-2)</f>
        <v>2200</v>
      </c>
      <c r="K528" s="33">
        <f>ROUNDUP(J528+(J528*Assumptions!J$5),-2)</f>
        <v>2300</v>
      </c>
      <c r="L528" s="33">
        <f>ROUNDUP(K528+(K528*Assumptions!K$5),-2)</f>
        <v>2400</v>
      </c>
      <c r="M528" s="33">
        <f>ROUNDUP(L528+(L528*Assumptions!L$5),-2)</f>
        <v>2500</v>
      </c>
      <c r="N528" s="33">
        <f>ROUNDUP(M528+(M528*Assumptions!M$5),-2)</f>
        <v>2600</v>
      </c>
      <c r="O528" s="33">
        <f>ROUNDUP(N528+(N528*Assumptions!N$5),-2)</f>
        <v>2700</v>
      </c>
      <c r="P528" s="142">
        <f>ROUNDUP(O528+(O528*Assumptions!O$5),-2)</f>
        <v>2800</v>
      </c>
      <c r="Q528" s="33">
        <f>ROUNDUP(P528+(P528*Assumptions!P$5),-2)</f>
        <v>2900</v>
      </c>
      <c r="R528" s="114">
        <f>ROUNDUP(Q528+(Q528*Assumptions!Q$5),-2)</f>
        <v>3000</v>
      </c>
    </row>
    <row r="529" spans="1:18" x14ac:dyDescent="0.2">
      <c r="A529" s="107">
        <v>27000</v>
      </c>
      <c r="B529" s="33">
        <v>33800</v>
      </c>
      <c r="C529" s="187">
        <v>23400</v>
      </c>
      <c r="D529" s="33">
        <f>21813-13</f>
        <v>21800</v>
      </c>
      <c r="E529" s="1955" t="s">
        <v>2002</v>
      </c>
      <c r="F529" s="443" t="s">
        <v>2774</v>
      </c>
      <c r="G529" s="187">
        <v>22000</v>
      </c>
      <c r="H529" s="138">
        <f t="shared" si="593"/>
        <v>0.91743119266055051</v>
      </c>
      <c r="I529" s="33">
        <f>ROUNDUP(G529+(G529*Assumptions!H$5),-2)</f>
        <v>22400</v>
      </c>
      <c r="J529" s="33">
        <f>ROUNDUP(I529+(I529*Assumptions!I$5),-2)</f>
        <v>23000</v>
      </c>
      <c r="K529" s="33">
        <f>ROUNDUP(J529+(J529*Assumptions!J$5),-2)</f>
        <v>23600</v>
      </c>
      <c r="L529" s="33">
        <f>ROUNDUP(K529+(K529*Assumptions!K$5),-2)</f>
        <v>24200</v>
      </c>
      <c r="M529" s="33">
        <f>ROUNDUP(L529+(L529*Assumptions!L$5),-2)</f>
        <v>24700</v>
      </c>
      <c r="N529" s="33">
        <f>ROUNDUP(M529+(M529*Assumptions!M$5),-2)</f>
        <v>25200</v>
      </c>
      <c r="O529" s="33">
        <f>ROUNDUP(N529+(N529*Assumptions!N$5),-2)</f>
        <v>25800</v>
      </c>
      <c r="P529" s="142">
        <f>ROUNDUP(O529+(O529*Assumptions!O$5),-2)</f>
        <v>26400</v>
      </c>
      <c r="Q529" s="33">
        <f>ROUNDUP(P529+(P529*Assumptions!P$5),-2)</f>
        <v>27000</v>
      </c>
      <c r="R529" s="114">
        <f>ROUNDUP(Q529+(Q529*Assumptions!Q$5),-2)</f>
        <v>27600</v>
      </c>
    </row>
    <row r="530" spans="1:18" x14ac:dyDescent="0.2">
      <c r="A530" s="107">
        <v>6800</v>
      </c>
      <c r="B530" s="33">
        <v>7400</v>
      </c>
      <c r="C530" s="187">
        <v>8200</v>
      </c>
      <c r="D530" s="33">
        <f>8078+22</f>
        <v>8100</v>
      </c>
      <c r="E530" s="1955" t="s">
        <v>1117</v>
      </c>
      <c r="F530" s="351" t="s">
        <v>1470</v>
      </c>
      <c r="G530" s="187">
        <v>9000</v>
      </c>
      <c r="H530" s="138">
        <f t="shared" si="593"/>
        <v>11.111111111111111</v>
      </c>
      <c r="I530" s="33">
        <f>ROUNDUP(G530+(G530*Assumptions!H$5),-2)</f>
        <v>9200</v>
      </c>
      <c r="J530" s="33">
        <f>ROUNDUP(I530+(I530*Assumptions!I$5),-2)</f>
        <v>9500</v>
      </c>
      <c r="K530" s="33">
        <f>ROUNDUP(J530+(J530*Assumptions!J$5),-2)</f>
        <v>9800</v>
      </c>
      <c r="L530" s="33">
        <f>ROUNDUP(K530+(K530*Assumptions!K$5),-2)</f>
        <v>10100</v>
      </c>
      <c r="M530" s="33">
        <f>ROUNDUP(L530+(L530*Assumptions!L$5),-2)</f>
        <v>10400</v>
      </c>
      <c r="N530" s="33">
        <f>ROUNDUP(M530+(M530*Assumptions!M$5),-2)</f>
        <v>10700</v>
      </c>
      <c r="O530" s="33">
        <f>ROUNDUP(N530+(N530*Assumptions!N$5),-2)</f>
        <v>11000</v>
      </c>
      <c r="P530" s="142">
        <f>ROUNDUP(O530+(O530*Assumptions!O$5),-2)</f>
        <v>11300</v>
      </c>
      <c r="Q530" s="33">
        <f>ROUNDUP(P530+(P530*Assumptions!P$5),-2)</f>
        <v>11600</v>
      </c>
      <c r="R530" s="114">
        <f>ROUNDUP(Q530+(Q530*Assumptions!Q$5),-2)</f>
        <v>11900</v>
      </c>
    </row>
    <row r="531" spans="1:18" x14ac:dyDescent="0.2">
      <c r="A531" s="107">
        <v>0</v>
      </c>
      <c r="B531" s="33">
        <v>0</v>
      </c>
      <c r="C531" s="187">
        <v>0</v>
      </c>
      <c r="D531" s="33">
        <f>4923-23</f>
        <v>4900</v>
      </c>
      <c r="E531" s="1097" t="s">
        <v>5649</v>
      </c>
      <c r="F531" s="953" t="s">
        <v>5650</v>
      </c>
      <c r="G531" s="187">
        <v>5000</v>
      </c>
      <c r="H531" s="138">
        <f t="shared" si="593"/>
        <v>2.0408163265306123</v>
      </c>
      <c r="I531" s="33">
        <f>ROUNDUP(G531+(G531*Assumptions!H$5),-2)</f>
        <v>5100</v>
      </c>
      <c r="J531" s="33">
        <f>ROUNDUP(I531+(I531*Assumptions!I$5),-2)</f>
        <v>5300</v>
      </c>
      <c r="K531" s="33">
        <f>ROUNDUP(J531+(J531*Assumptions!J$5),-2)</f>
        <v>5500</v>
      </c>
      <c r="L531" s="33">
        <f>ROUNDUP(K531+(K531*Assumptions!K$5),-2)</f>
        <v>5700</v>
      </c>
      <c r="M531" s="33">
        <f>ROUNDUP(L531+(L531*Assumptions!L$5),-2)</f>
        <v>5900</v>
      </c>
      <c r="N531" s="33">
        <f>ROUNDUP(M531+(M531*Assumptions!M$5),-2)</f>
        <v>6100</v>
      </c>
      <c r="O531" s="33">
        <f>ROUNDUP(N531+(N531*Assumptions!N$5),-2)</f>
        <v>6300</v>
      </c>
      <c r="P531" s="142">
        <f>ROUNDUP(O531+(O531*Assumptions!O$5),-2)</f>
        <v>6500</v>
      </c>
      <c r="Q531" s="33">
        <f>ROUNDUP(P531+(P531*Assumptions!P$5),-2)</f>
        <v>6700</v>
      </c>
      <c r="R531" s="114">
        <f>ROUNDUP(Q531+(Q531*Assumptions!Q$5),-2)</f>
        <v>6900</v>
      </c>
    </row>
    <row r="532" spans="1:18" x14ac:dyDescent="0.2">
      <c r="A532" s="107">
        <v>6500</v>
      </c>
      <c r="B532" s="33">
        <v>12500</v>
      </c>
      <c r="C532" s="187">
        <v>12700</v>
      </c>
      <c r="D532" s="33">
        <f>14395+5</f>
        <v>14400</v>
      </c>
      <c r="E532" s="1955" t="s">
        <v>1118</v>
      </c>
      <c r="F532" s="443" t="s">
        <v>2193</v>
      </c>
      <c r="G532" s="187">
        <v>13000</v>
      </c>
      <c r="H532" s="138">
        <f t="shared" si="593"/>
        <v>-9.7222222222222232</v>
      </c>
      <c r="I532" s="33">
        <f>ROUNDUP(G532+(G532*Assumptions!H$5),-2)</f>
        <v>13200</v>
      </c>
      <c r="J532" s="33">
        <f>ROUNDUP(I532+(I532*Assumptions!I$5),-2)</f>
        <v>13600</v>
      </c>
      <c r="K532" s="33">
        <f>ROUNDUP(J532+(J532*Assumptions!J$5),-2)</f>
        <v>14000</v>
      </c>
      <c r="L532" s="33">
        <f>ROUNDUP(K532+(K532*Assumptions!K$5),-2)</f>
        <v>14400</v>
      </c>
      <c r="M532" s="33">
        <f>ROUNDUP(L532+(L532*Assumptions!L$5),-2)</f>
        <v>14700</v>
      </c>
      <c r="N532" s="33">
        <f>ROUNDUP(M532+(M532*Assumptions!M$5),-2)</f>
        <v>15000</v>
      </c>
      <c r="O532" s="33">
        <f>ROUNDUP(N532+(N532*Assumptions!N$5),-2)</f>
        <v>15300</v>
      </c>
      <c r="P532" s="142">
        <f>ROUNDUP(O532+(O532*Assumptions!O$5),-2)</f>
        <v>15700</v>
      </c>
      <c r="Q532" s="33">
        <f>ROUNDUP(P532+(P532*Assumptions!P$5),-2)</f>
        <v>16100</v>
      </c>
      <c r="R532" s="114">
        <f>ROUNDUP(Q532+(Q532*Assumptions!Q$5),-2)</f>
        <v>16500</v>
      </c>
    </row>
    <row r="533" spans="1:18" x14ac:dyDescent="0.2">
      <c r="A533" s="107">
        <v>32400</v>
      </c>
      <c r="B533" s="33">
        <v>42200</v>
      </c>
      <c r="C533" s="187">
        <v>43500</v>
      </c>
      <c r="D533" s="33">
        <f>36040+60</f>
        <v>36100</v>
      </c>
      <c r="E533" s="1955" t="s">
        <v>844</v>
      </c>
      <c r="F533" s="351" t="s">
        <v>1526</v>
      </c>
      <c r="G533" s="187">
        <v>45000</v>
      </c>
      <c r="H533" s="138">
        <f t="shared" si="593"/>
        <v>24.653739612188367</v>
      </c>
      <c r="I533" s="33">
        <f>ROUNDUP(G533+(G533*Assumptions!H$5),-2)</f>
        <v>45700</v>
      </c>
      <c r="J533" s="33">
        <f>ROUNDUP(I533+(I533*Assumptions!I$5),-2)</f>
        <v>46900</v>
      </c>
      <c r="K533" s="33">
        <f>ROUNDUP(J533+(J533*Assumptions!J$5),-2)</f>
        <v>48100</v>
      </c>
      <c r="L533" s="33">
        <f>ROUNDUP(K533+(K533*Assumptions!K$5),-2)</f>
        <v>49400</v>
      </c>
      <c r="M533" s="33">
        <f>ROUNDUP(L533+(L533*Assumptions!L$5),-2)</f>
        <v>50400</v>
      </c>
      <c r="N533" s="33">
        <f>ROUNDUP(M533+(M533*Assumptions!M$5),-2)</f>
        <v>51500</v>
      </c>
      <c r="O533" s="33">
        <f>ROUNDUP(N533+(N533*Assumptions!N$5),-2)</f>
        <v>52600</v>
      </c>
      <c r="P533" s="142">
        <f>ROUNDUP(O533+(O533*Assumptions!O$5),-2)</f>
        <v>53700</v>
      </c>
      <c r="Q533" s="33">
        <f>ROUNDUP(P533+(P533*Assumptions!P$5),-2)</f>
        <v>54800</v>
      </c>
      <c r="R533" s="114">
        <f>ROUNDUP(Q533+(Q533*Assumptions!Q$5),-2)</f>
        <v>55900</v>
      </c>
    </row>
    <row r="534" spans="1:18" x14ac:dyDescent="0.2">
      <c r="A534" s="107">
        <v>0</v>
      </c>
      <c r="B534" s="33">
        <v>400</v>
      </c>
      <c r="C534" s="187">
        <v>2000</v>
      </c>
      <c r="D534" s="33">
        <f>2669+31</f>
        <v>2700</v>
      </c>
      <c r="E534" s="1955" t="s">
        <v>1085</v>
      </c>
      <c r="F534" s="814" t="s">
        <v>1780</v>
      </c>
      <c r="G534" s="187">
        <v>2000</v>
      </c>
      <c r="H534" s="138">
        <f t="shared" si="593"/>
        <v>-25.925925925925924</v>
      </c>
      <c r="I534" s="33">
        <f>ROUNDUP(G534+(G534*Assumptions!H$5),-2)</f>
        <v>2100</v>
      </c>
      <c r="J534" s="33">
        <f>ROUNDUP(I534+(I534*Assumptions!I$5),-2)</f>
        <v>2200</v>
      </c>
      <c r="K534" s="33">
        <f>ROUNDUP(J534+(J534*Assumptions!J$5),-2)</f>
        <v>2300</v>
      </c>
      <c r="L534" s="33">
        <f>ROUNDUP(K534+(K534*Assumptions!K$5),-2)</f>
        <v>2400</v>
      </c>
      <c r="M534" s="33">
        <f>ROUNDUP(L534+(L534*Assumptions!L$5),-2)</f>
        <v>2500</v>
      </c>
      <c r="N534" s="33">
        <f>ROUNDUP(M534+(M534*Assumptions!M$5),-2)</f>
        <v>2600</v>
      </c>
      <c r="O534" s="33">
        <f>ROUNDUP(N534+(N534*Assumptions!N$5),-2)</f>
        <v>2700</v>
      </c>
      <c r="P534" s="142">
        <f>ROUNDUP(O534+(O534*Assumptions!O$5),-2)</f>
        <v>2800</v>
      </c>
      <c r="Q534" s="33">
        <f>ROUNDUP(P534+(P534*Assumptions!P$5),-2)</f>
        <v>2900</v>
      </c>
      <c r="R534" s="114">
        <f>ROUNDUP(Q534+(Q534*Assumptions!Q$5),-2)</f>
        <v>3000</v>
      </c>
    </row>
    <row r="535" spans="1:18" x14ac:dyDescent="0.2">
      <c r="A535" s="107">
        <v>0</v>
      </c>
      <c r="B535" s="33">
        <v>2000</v>
      </c>
      <c r="C535" s="187">
        <v>900</v>
      </c>
      <c r="D535" s="33">
        <f>7046-46</f>
        <v>7000</v>
      </c>
      <c r="E535" s="1955" t="s">
        <v>2004</v>
      </c>
      <c r="F535" s="443" t="s">
        <v>2561</v>
      </c>
      <c r="G535" s="187">
        <v>1000</v>
      </c>
      <c r="H535" s="138">
        <f t="shared" si="593"/>
        <v>-85.714285714285708</v>
      </c>
      <c r="I535" s="33">
        <f>ROUNDUP(G535+(G535*Assumptions!H$5),-2)</f>
        <v>1100</v>
      </c>
      <c r="J535" s="33">
        <f>ROUNDUP(I535+(I535*Assumptions!I$5),-2)</f>
        <v>1200</v>
      </c>
      <c r="K535" s="33">
        <f>ROUNDUP(J535+(J535*Assumptions!J$5),-2)</f>
        <v>1300</v>
      </c>
      <c r="L535" s="33">
        <f>ROUNDUP(K535+(K535*Assumptions!K$5),-2)</f>
        <v>1400</v>
      </c>
      <c r="M535" s="33">
        <f>ROUNDUP(L535+(L535*Assumptions!L$5),-2)</f>
        <v>1500</v>
      </c>
      <c r="N535" s="33">
        <f>ROUNDUP(M535+(M535*Assumptions!M$5),-2)</f>
        <v>1600</v>
      </c>
      <c r="O535" s="33">
        <f>ROUNDUP(N535+(N535*Assumptions!N$5),-2)</f>
        <v>1700</v>
      </c>
      <c r="P535" s="142">
        <f>ROUNDUP(O535+(O535*Assumptions!O$5),-2)</f>
        <v>1800</v>
      </c>
      <c r="Q535" s="33">
        <f>ROUNDUP(P535+(P535*Assumptions!P$5),-2)</f>
        <v>1900</v>
      </c>
      <c r="R535" s="114">
        <f>ROUNDUP(Q535+(Q535*Assumptions!Q$5),-2)</f>
        <v>2000</v>
      </c>
    </row>
    <row r="536" spans="1:18" x14ac:dyDescent="0.2">
      <c r="A536" s="107">
        <v>13500</v>
      </c>
      <c r="B536" s="33">
        <v>22400</v>
      </c>
      <c r="C536" s="187">
        <v>10500</v>
      </c>
      <c r="D536" s="33">
        <f>21146-46</f>
        <v>21100</v>
      </c>
      <c r="E536" s="1955" t="s">
        <v>1116</v>
      </c>
      <c r="F536" s="443" t="s">
        <v>720</v>
      </c>
      <c r="G536" s="187">
        <v>23400</v>
      </c>
      <c r="H536" s="138">
        <f t="shared" si="593"/>
        <v>10.900473933649289</v>
      </c>
      <c r="I536" s="33">
        <f>ROUNDUP(G536+(G536*Assumptions!H$5),-2)</f>
        <v>23800</v>
      </c>
      <c r="J536" s="33">
        <f>ROUNDUP(I536+(I536*Assumptions!I$5),-2)</f>
        <v>24400</v>
      </c>
      <c r="K536" s="33">
        <f>ROUNDUP(J536+(J536*Assumptions!J$5),-2)</f>
        <v>25100</v>
      </c>
      <c r="L536" s="33">
        <f>ROUNDUP(K536+(K536*Assumptions!K$5),-2)</f>
        <v>25800</v>
      </c>
      <c r="M536" s="33">
        <f>ROUNDUP(L536+(L536*Assumptions!L$5),-2)</f>
        <v>26400</v>
      </c>
      <c r="N536" s="33">
        <f>ROUNDUP(M536+(M536*Assumptions!M$5),-2)</f>
        <v>27000</v>
      </c>
      <c r="O536" s="33">
        <f>ROUNDUP(N536+(N536*Assumptions!N$5),-2)</f>
        <v>27600</v>
      </c>
      <c r="P536" s="142">
        <f>ROUNDUP(O536+(O536*Assumptions!O$5),-2)</f>
        <v>28200</v>
      </c>
      <c r="Q536" s="33">
        <f>ROUNDUP(P536+(P536*Assumptions!P$5),-2)</f>
        <v>28800</v>
      </c>
      <c r="R536" s="114">
        <f>ROUNDUP(Q536+(Q536*Assumptions!Q$5),-2)</f>
        <v>29400</v>
      </c>
    </row>
    <row r="537" spans="1:18" x14ac:dyDescent="0.2">
      <c r="A537" s="107">
        <v>0</v>
      </c>
      <c r="B537" s="33">
        <v>12500</v>
      </c>
      <c r="C537" s="187">
        <v>21000</v>
      </c>
      <c r="D537" s="33">
        <f>17638-38</f>
        <v>17600</v>
      </c>
      <c r="E537" s="1097" t="s">
        <v>3458</v>
      </c>
      <c r="F537" s="814" t="s">
        <v>4892</v>
      </c>
      <c r="G537" s="187">
        <v>12000</v>
      </c>
      <c r="H537" s="138">
        <f t="shared" si="593"/>
        <v>-31.818181818181817</v>
      </c>
      <c r="I537" s="33">
        <f>ROUNDUP(G537+(G537*Assumptions!H$5),-2)</f>
        <v>12200</v>
      </c>
      <c r="J537" s="33">
        <f>ROUNDUP(I537+(I537*Assumptions!I$5),-2)</f>
        <v>12600</v>
      </c>
      <c r="K537" s="33">
        <f>ROUNDUP(J537+(J537*Assumptions!J$5),-2)</f>
        <v>13000</v>
      </c>
      <c r="L537" s="33">
        <f>ROUNDUP(K537+(K537*Assumptions!K$5),-2)</f>
        <v>13400</v>
      </c>
      <c r="M537" s="33">
        <f>ROUNDUP(L537+(L537*Assumptions!L$5),-2)</f>
        <v>13700</v>
      </c>
      <c r="N537" s="33">
        <f>ROUNDUP(M537+(M537*Assumptions!M$5),-2)</f>
        <v>14000</v>
      </c>
      <c r="O537" s="33">
        <f>ROUNDUP(N537+(N537*Assumptions!N$5),-2)</f>
        <v>14300</v>
      </c>
      <c r="P537" s="142">
        <f>ROUNDUP(O537+(O537*Assumptions!O$5),-2)</f>
        <v>14600</v>
      </c>
      <c r="Q537" s="33">
        <f>ROUNDUP(P537+(P537*Assumptions!P$5),-2)</f>
        <v>14900</v>
      </c>
      <c r="R537" s="114">
        <f>ROUNDUP(Q537+(Q537*Assumptions!Q$5),-2)</f>
        <v>15200</v>
      </c>
    </row>
    <row r="538" spans="1:18" x14ac:dyDescent="0.2">
      <c r="A538" s="107">
        <v>0</v>
      </c>
      <c r="B538" s="33">
        <v>0</v>
      </c>
      <c r="C538" s="187">
        <v>0</v>
      </c>
      <c r="D538" s="33">
        <v>0</v>
      </c>
      <c r="E538" s="1097" t="s">
        <v>6642</v>
      </c>
      <c r="F538" s="814" t="s">
        <v>6643</v>
      </c>
      <c r="G538" s="187">
        <f>5000+1000</f>
        <v>6000</v>
      </c>
      <c r="H538" s="138">
        <f t="shared" si="593"/>
        <v>100</v>
      </c>
      <c r="I538" s="33">
        <f>ROUNDUP(G538+(G538*Assumptions!H$5),-2)</f>
        <v>6100</v>
      </c>
      <c r="J538" s="33">
        <f>ROUNDUP(I538+(I538*Assumptions!I$5),-2)</f>
        <v>6300</v>
      </c>
      <c r="K538" s="33">
        <f>ROUNDUP(J538+(J538*Assumptions!J$5),-2)</f>
        <v>6500</v>
      </c>
      <c r="L538" s="33">
        <f>ROUNDUP(K538+(K538*Assumptions!K$5),-2)</f>
        <v>6700</v>
      </c>
      <c r="M538" s="33">
        <f>ROUNDUP(L538+(L538*Assumptions!L$5),-2)</f>
        <v>6900</v>
      </c>
      <c r="N538" s="33">
        <f>ROUNDUP(M538+(M538*Assumptions!M$5),-2)</f>
        <v>7100</v>
      </c>
      <c r="O538" s="33">
        <f>ROUNDUP(N538+(N538*Assumptions!N$5),-2)</f>
        <v>7300</v>
      </c>
      <c r="P538" s="142">
        <f>ROUNDUP(O538+(O538*Assumptions!O$5),-2)</f>
        <v>7500</v>
      </c>
      <c r="Q538" s="33">
        <f>ROUNDUP(P538+(P538*Assumptions!P$5),-2)</f>
        <v>7700</v>
      </c>
      <c r="R538" s="114">
        <f>ROUNDUP(Q538+(Q538*Assumptions!Q$5),-2)</f>
        <v>7900</v>
      </c>
    </row>
    <row r="539" spans="1:18" x14ac:dyDescent="0.2">
      <c r="A539" s="107">
        <v>17300</v>
      </c>
      <c r="B539" s="33">
        <v>15200</v>
      </c>
      <c r="C539" s="187">
        <v>12400</v>
      </c>
      <c r="D539" s="33">
        <f>14149-49</f>
        <v>14100</v>
      </c>
      <c r="E539" s="1097" t="s">
        <v>3002</v>
      </c>
      <c r="F539" s="814" t="s">
        <v>3003</v>
      </c>
      <c r="G539" s="187">
        <v>15000</v>
      </c>
      <c r="H539" s="138">
        <f t="shared" si="593"/>
        <v>6.3829787234042552</v>
      </c>
      <c r="I539" s="33">
        <f>ROUNDUP(G539+(G539*Assumptions!H$5),-2)</f>
        <v>15300</v>
      </c>
      <c r="J539" s="33">
        <f>ROUNDUP(I539+(I539*Assumptions!I$5),-2)</f>
        <v>15700</v>
      </c>
      <c r="K539" s="33">
        <f>ROUNDUP(J539+(J539*Assumptions!J$5),-2)</f>
        <v>16100</v>
      </c>
      <c r="L539" s="33">
        <f>ROUNDUP(K539+(K539*Assumptions!K$5),-2)</f>
        <v>16600</v>
      </c>
      <c r="M539" s="33">
        <f>ROUNDUP(L539+(L539*Assumptions!L$5),-2)</f>
        <v>17000</v>
      </c>
      <c r="N539" s="33">
        <f>ROUNDUP(M539+(M539*Assumptions!M$5),-2)</f>
        <v>17400</v>
      </c>
      <c r="O539" s="33">
        <f>ROUNDUP(N539+(N539*Assumptions!N$5),-2)</f>
        <v>17800</v>
      </c>
      <c r="P539" s="142">
        <f>ROUNDUP(O539+(O539*Assumptions!O$5),-2)</f>
        <v>18200</v>
      </c>
      <c r="Q539" s="33">
        <f>ROUNDUP(P539+(P539*Assumptions!P$5),-2)</f>
        <v>18600</v>
      </c>
      <c r="R539" s="114">
        <f>ROUNDUP(Q539+(Q539*Assumptions!Q$5),-2)</f>
        <v>19000</v>
      </c>
    </row>
    <row r="540" spans="1:18" x14ac:dyDescent="0.2">
      <c r="A540" s="107">
        <v>0</v>
      </c>
      <c r="B540" s="33">
        <v>0</v>
      </c>
      <c r="C540" s="187">
        <v>0</v>
      </c>
      <c r="D540" s="33">
        <v>0</v>
      </c>
      <c r="E540" s="1955" t="s">
        <v>1910</v>
      </c>
      <c r="F540" s="814" t="s">
        <v>4680</v>
      </c>
      <c r="G540" s="187">
        <v>9600</v>
      </c>
      <c r="H540" s="138">
        <f t="shared" si="593"/>
        <v>100</v>
      </c>
      <c r="I540" s="33">
        <f>ROUNDUP(G540+(G540*Assumptions!H$5),-2)</f>
        <v>9800</v>
      </c>
      <c r="J540" s="33">
        <f>ROUNDUP(I540+(I540*Assumptions!I$5),-2)</f>
        <v>10100</v>
      </c>
      <c r="K540" s="33">
        <f>ROUNDUP(J540+(J540*Assumptions!J$5),-2)</f>
        <v>10400</v>
      </c>
      <c r="L540" s="33">
        <f>ROUNDUP(K540+(K540*Assumptions!K$5),-2)</f>
        <v>10700</v>
      </c>
      <c r="M540" s="33">
        <f>ROUNDUP(L540+(L540*Assumptions!L$5),-2)</f>
        <v>11000</v>
      </c>
      <c r="N540" s="33">
        <f>ROUNDUP(M540+(M540*Assumptions!M$5),-2)</f>
        <v>11300</v>
      </c>
      <c r="O540" s="33">
        <f>ROUNDUP(N540+(N540*Assumptions!N$5),-2)</f>
        <v>11600</v>
      </c>
      <c r="P540" s="142">
        <f>ROUNDUP(O540+(O540*Assumptions!O$5),-2)</f>
        <v>11900</v>
      </c>
      <c r="Q540" s="33">
        <f>ROUNDUP(P540+(P540*Assumptions!P$5),-2)</f>
        <v>12200</v>
      </c>
      <c r="R540" s="114">
        <f>ROUNDUP(Q540+(Q540*Assumptions!Q$5),-2)</f>
        <v>12500</v>
      </c>
    </row>
    <row r="541" spans="1:18" x14ac:dyDescent="0.2">
      <c r="A541" s="107">
        <v>12000</v>
      </c>
      <c r="B541" s="33">
        <v>11400</v>
      </c>
      <c r="C541" s="187">
        <v>11900</v>
      </c>
      <c r="D541" s="33">
        <f>11904-4</f>
        <v>11900</v>
      </c>
      <c r="E541" s="1955" t="s">
        <v>1887</v>
      </c>
      <c r="F541" s="351" t="s">
        <v>642</v>
      </c>
      <c r="G541" s="187">
        <v>13000</v>
      </c>
      <c r="H541" s="138">
        <f t="shared" si="593"/>
        <v>9.2436974789915975</v>
      </c>
      <c r="I541" s="33">
        <f>ROUNDUP(G541+(G541*Assumptions!H$5),-2)</f>
        <v>13200</v>
      </c>
      <c r="J541" s="33">
        <f>ROUNDUP(I541+(I541*Assumptions!I$5),-2)</f>
        <v>13600</v>
      </c>
      <c r="K541" s="33">
        <f>ROUNDUP(J541+(J541*Assumptions!J$5),-2)</f>
        <v>14000</v>
      </c>
      <c r="L541" s="33">
        <f>ROUNDUP(K541+(K541*Assumptions!K$5),-2)</f>
        <v>14400</v>
      </c>
      <c r="M541" s="33">
        <f>ROUNDUP(L541+(L541*Assumptions!L$5),-2)</f>
        <v>14700</v>
      </c>
      <c r="N541" s="33">
        <f>ROUNDUP(M541+(M541*Assumptions!M$5),-2)</f>
        <v>15000</v>
      </c>
      <c r="O541" s="33">
        <f>ROUNDUP(N541+(N541*Assumptions!N$5),-2)</f>
        <v>15300</v>
      </c>
      <c r="P541" s="142">
        <f>ROUNDUP(O541+(O541*Assumptions!O$5),-2)</f>
        <v>15700</v>
      </c>
      <c r="Q541" s="33">
        <f>ROUNDUP(P541+(P541*Assumptions!P$5),-2)</f>
        <v>16100</v>
      </c>
      <c r="R541" s="114">
        <f>ROUNDUP(Q541+(Q541*Assumptions!Q$5),-2)</f>
        <v>16500</v>
      </c>
    </row>
    <row r="542" spans="1:18" s="78" customFormat="1" ht="13.5" thickBot="1" x14ac:dyDescent="0.25">
      <c r="A542" s="2495"/>
      <c r="B542" s="1490"/>
      <c r="C542" s="1490"/>
      <c r="D542" s="1490"/>
      <c r="E542" s="1999"/>
      <c r="F542" s="1490"/>
      <c r="G542" s="1490"/>
      <c r="H542" s="1490"/>
      <c r="I542" s="2000"/>
      <c r="J542" s="2000"/>
      <c r="K542" s="2000"/>
      <c r="L542" s="2000"/>
      <c r="M542" s="2000"/>
      <c r="N542" s="2000"/>
      <c r="O542" s="2000"/>
      <c r="P542" s="2096"/>
      <c r="Q542" s="2000"/>
      <c r="R542" s="2001"/>
    </row>
    <row r="543" spans="1:18" s="91" customFormat="1" ht="18.75" customHeight="1" thickTop="1" thickBot="1" x14ac:dyDescent="0.3">
      <c r="A543" s="2873" t="s">
        <v>3632</v>
      </c>
      <c r="B543" s="2874"/>
      <c r="C543" s="2874"/>
      <c r="D543" s="2874"/>
      <c r="E543" s="2874"/>
      <c r="F543" s="2874"/>
      <c r="G543" s="2874"/>
      <c r="H543" s="2874"/>
      <c r="I543" s="2874"/>
      <c r="J543" s="2874"/>
      <c r="K543" s="2874"/>
      <c r="L543" s="2874"/>
      <c r="M543" s="2874"/>
      <c r="N543" s="2874"/>
      <c r="O543" s="2874"/>
      <c r="P543" s="2874"/>
      <c r="Q543" s="2874"/>
      <c r="R543" s="2875"/>
    </row>
    <row r="544" spans="1:18" s="44" customFormat="1" x14ac:dyDescent="0.2">
      <c r="A544" s="2876" t="s">
        <v>1856</v>
      </c>
      <c r="B544" s="2851"/>
      <c r="C544" s="2851"/>
      <c r="D544" s="2877"/>
      <c r="E544" s="513" t="s">
        <v>2663</v>
      </c>
      <c r="F544" s="369" t="s">
        <v>2251</v>
      </c>
      <c r="G544" s="2839" t="s">
        <v>2253</v>
      </c>
      <c r="H544" s="2840"/>
      <c r="I544" s="2840"/>
      <c r="J544" s="2840"/>
      <c r="K544" s="2840"/>
      <c r="L544" s="2840"/>
      <c r="M544" s="2840"/>
      <c r="N544" s="2840"/>
      <c r="O544" s="2840"/>
      <c r="P544" s="2840"/>
      <c r="Q544" s="2840"/>
      <c r="R544" s="2841"/>
    </row>
    <row r="545" spans="1:18" s="23" customFormat="1" ht="13.5" thickBot="1" x14ac:dyDescent="0.25">
      <c r="A545" s="1698" t="str">
        <f>A483</f>
        <v>2012/13</v>
      </c>
      <c r="B545" s="218" t="str">
        <f>B483</f>
        <v>2013/14</v>
      </c>
      <c r="C545" s="370" t="str">
        <f>C483</f>
        <v>2014/15</v>
      </c>
      <c r="D545" s="93" t="str">
        <f>D483</f>
        <v>2015/16</v>
      </c>
      <c r="E545" s="1965" t="str">
        <f>E483</f>
        <v>ACCOUNT</v>
      </c>
      <c r="F545" s="42"/>
      <c r="G545" s="93" t="str">
        <f t="shared" ref="G545:Q545" si="594">G483</f>
        <v>2016/17</v>
      </c>
      <c r="H545" s="2005" t="str">
        <f t="shared" si="594"/>
        <v>%</v>
      </c>
      <c r="I545" s="370" t="str">
        <f t="shared" si="594"/>
        <v>2017/18</v>
      </c>
      <c r="J545" s="370" t="str">
        <f t="shared" si="594"/>
        <v>2018/19</v>
      </c>
      <c r="K545" s="370" t="str">
        <f t="shared" si="594"/>
        <v>2019/20</v>
      </c>
      <c r="L545" s="370" t="str">
        <f t="shared" si="594"/>
        <v>2020/21</v>
      </c>
      <c r="M545" s="370" t="str">
        <f t="shared" si="594"/>
        <v>2021/22</v>
      </c>
      <c r="N545" s="370" t="str">
        <f t="shared" si="594"/>
        <v>2022/23</v>
      </c>
      <c r="O545" s="370" t="str">
        <f t="shared" si="594"/>
        <v>2023/24</v>
      </c>
      <c r="P545" s="370" t="str">
        <f t="shared" si="594"/>
        <v>2024/25</v>
      </c>
      <c r="Q545" s="218" t="str">
        <f t="shared" si="594"/>
        <v>2025/26</v>
      </c>
      <c r="R545" s="549" t="str">
        <f t="shared" ref="R545" si="595">R483</f>
        <v>2026/27</v>
      </c>
    </row>
    <row r="546" spans="1:18" x14ac:dyDescent="0.2">
      <c r="A546" s="107"/>
      <c r="B546" s="33"/>
      <c r="C546" s="33"/>
      <c r="D546" s="33"/>
      <c r="E546" s="673"/>
      <c r="F546" s="1982"/>
      <c r="G546" s="187"/>
      <c r="H546" s="138"/>
      <c r="I546" s="33"/>
      <c r="J546" s="33"/>
      <c r="K546" s="33"/>
      <c r="L546" s="33"/>
      <c r="M546" s="33"/>
      <c r="N546" s="33"/>
      <c r="O546" s="33"/>
      <c r="P546" s="33"/>
      <c r="Q546" s="33"/>
      <c r="R546" s="114"/>
    </row>
    <row r="547" spans="1:18" x14ac:dyDescent="0.2">
      <c r="A547" s="107"/>
      <c r="B547" s="33"/>
      <c r="C547" s="33"/>
      <c r="D547" s="33"/>
      <c r="E547" s="1955"/>
      <c r="F547" s="116" t="s">
        <v>6037</v>
      </c>
      <c r="G547" s="187"/>
      <c r="H547" s="138"/>
      <c r="I547" s="33"/>
      <c r="J547" s="33"/>
      <c r="K547" s="33"/>
      <c r="L547" s="33"/>
      <c r="M547" s="33"/>
      <c r="N547" s="33"/>
      <c r="O547" s="33"/>
      <c r="P547" s="142"/>
      <c r="Q547" s="33"/>
      <c r="R547" s="114"/>
    </row>
    <row r="548" spans="1:18" x14ac:dyDescent="0.2">
      <c r="A548" s="107">
        <v>0</v>
      </c>
      <c r="B548" s="33">
        <v>0</v>
      </c>
      <c r="C548" s="187">
        <v>0</v>
      </c>
      <c r="D548" s="33">
        <v>0</v>
      </c>
      <c r="E548" s="1955"/>
      <c r="F548" s="916" t="s">
        <v>2558</v>
      </c>
      <c r="G548" s="187">
        <v>0</v>
      </c>
      <c r="H548" s="138">
        <f t="shared" ref="H548:H558" si="596">IF(D548=G548,0,IF(D548=0,100,(G548-D548)/D548*100))</f>
        <v>0</v>
      </c>
      <c r="I548" s="33">
        <f>ROUNDUP(G548+(G548*Assumptions!H$5),-2)</f>
        <v>0</v>
      </c>
      <c r="J548" s="33">
        <v>5000</v>
      </c>
      <c r="K548" s="33">
        <v>10000</v>
      </c>
      <c r="L548" s="33">
        <f>ROUNDUP(K548+(K548*Assumptions!K$5),-2)</f>
        <v>10300</v>
      </c>
      <c r="M548" s="33">
        <f>ROUNDUP(L548+(L548*Assumptions!L$5),-2)</f>
        <v>10600</v>
      </c>
      <c r="N548" s="33">
        <f>ROUNDUP(M548+(M548*Assumptions!M$5),-2)</f>
        <v>10900</v>
      </c>
      <c r="O548" s="33">
        <f>ROUNDUP(N548+(N548*Assumptions!N$5),-2)</f>
        <v>11200</v>
      </c>
      <c r="P548" s="142">
        <f>ROUNDUP(O548+(O548*Assumptions!O$5),-2)</f>
        <v>11500</v>
      </c>
      <c r="Q548" s="33">
        <f>ROUNDUP(P548+(P548*Assumptions!P$5),-2)</f>
        <v>11800</v>
      </c>
      <c r="R548" s="114">
        <f>ROUNDUP(Q548+(Q548*Assumptions!Q$5),-2)</f>
        <v>12100</v>
      </c>
    </row>
    <row r="549" spans="1:18" x14ac:dyDescent="0.2">
      <c r="A549" s="107">
        <v>0</v>
      </c>
      <c r="B549" s="33">
        <v>0</v>
      </c>
      <c r="C549" s="187">
        <v>0</v>
      </c>
      <c r="D549" s="33">
        <v>0</v>
      </c>
      <c r="E549" s="1955"/>
      <c r="F549" s="351" t="s">
        <v>2891</v>
      </c>
      <c r="G549" s="187">
        <v>0</v>
      </c>
      <c r="H549" s="138">
        <f t="shared" si="596"/>
        <v>0</v>
      </c>
      <c r="I549" s="33">
        <f>ROUNDUP(G549+(G549*Assumptions!H$5),-2)</f>
        <v>0</v>
      </c>
      <c r="J549" s="33">
        <v>2500</v>
      </c>
      <c r="K549" s="33">
        <v>5000</v>
      </c>
      <c r="L549" s="33">
        <f>ROUNDUP(K549+(K549*Assumptions!K$5),-2)</f>
        <v>5200</v>
      </c>
      <c r="M549" s="33">
        <f>ROUNDUP(L549+(L549*Assumptions!L$5),-2)</f>
        <v>5400</v>
      </c>
      <c r="N549" s="33">
        <f>ROUNDUP(M549+(M549*Assumptions!M$5),-2)</f>
        <v>5600</v>
      </c>
      <c r="O549" s="33">
        <f>ROUNDUP(N549+(N549*Assumptions!N$5),-2)</f>
        <v>5800</v>
      </c>
      <c r="P549" s="142">
        <f>ROUNDUP(O549+(O549*Assumptions!O$5),-2)</f>
        <v>6000</v>
      </c>
      <c r="Q549" s="33">
        <f>ROUNDUP(P549+(P549*Assumptions!P$5),-2)</f>
        <v>6200</v>
      </c>
      <c r="R549" s="114">
        <f>ROUNDUP(Q549+(Q549*Assumptions!Q$5),-2)</f>
        <v>6400</v>
      </c>
    </row>
    <row r="550" spans="1:18" x14ac:dyDescent="0.2">
      <c r="A550" s="107">
        <v>0</v>
      </c>
      <c r="B550" s="33">
        <v>0</v>
      </c>
      <c r="C550" s="187">
        <v>0</v>
      </c>
      <c r="D550" s="33">
        <v>0</v>
      </c>
      <c r="E550" s="1955"/>
      <c r="F550" s="814" t="s">
        <v>3096</v>
      </c>
      <c r="G550" s="187">
        <v>0</v>
      </c>
      <c r="H550" s="138">
        <f t="shared" si="596"/>
        <v>0</v>
      </c>
      <c r="I550" s="33">
        <f>ROUNDUP(G550+(G550*Assumptions!H$5),-2)</f>
        <v>0</v>
      </c>
      <c r="J550" s="33">
        <v>2500</v>
      </c>
      <c r="K550" s="33">
        <v>5000</v>
      </c>
      <c r="L550" s="33">
        <f>ROUNDUP(K550+(K550*Assumptions!K$5),-2)</f>
        <v>5200</v>
      </c>
      <c r="M550" s="33">
        <f>ROUNDUP(L550+(L550*Assumptions!L$5),-2)</f>
        <v>5400</v>
      </c>
      <c r="N550" s="33">
        <f>ROUNDUP(M550+(M550*Assumptions!M$5),-2)</f>
        <v>5600</v>
      </c>
      <c r="O550" s="33">
        <f>ROUNDUP(N550+(N550*Assumptions!N$5),-2)</f>
        <v>5800</v>
      </c>
      <c r="P550" s="142">
        <f>ROUNDUP(O550+(O550*Assumptions!O$5),-2)</f>
        <v>6000</v>
      </c>
      <c r="Q550" s="33">
        <f>ROUNDUP(P550+(P550*Assumptions!P$5),-2)</f>
        <v>6200</v>
      </c>
      <c r="R550" s="114">
        <f>ROUNDUP(Q550+(Q550*Assumptions!Q$5),-2)</f>
        <v>6400</v>
      </c>
    </row>
    <row r="551" spans="1:18" x14ac:dyDescent="0.2">
      <c r="A551" s="107">
        <v>0</v>
      </c>
      <c r="B551" s="33">
        <v>0</v>
      </c>
      <c r="C551" s="187">
        <v>0</v>
      </c>
      <c r="D551" s="33">
        <v>0</v>
      </c>
      <c r="E551" s="1955"/>
      <c r="F551" s="443" t="s">
        <v>2774</v>
      </c>
      <c r="G551" s="187">
        <v>0</v>
      </c>
      <c r="H551" s="138">
        <f t="shared" si="596"/>
        <v>0</v>
      </c>
      <c r="I551" s="33">
        <f>ROUNDUP(G551+(G551*Assumptions!H$5),-2)</f>
        <v>0</v>
      </c>
      <c r="J551" s="33">
        <v>16000</v>
      </c>
      <c r="K551" s="33">
        <v>33000</v>
      </c>
      <c r="L551" s="33">
        <f>ROUNDUP(K551+(K551*Assumptions!K$5),-2)</f>
        <v>33900</v>
      </c>
      <c r="M551" s="33">
        <f>ROUNDUP(L551+(L551*Assumptions!L$5),-2)</f>
        <v>34600</v>
      </c>
      <c r="N551" s="33">
        <f>ROUNDUP(M551+(M551*Assumptions!M$5),-2)</f>
        <v>35300</v>
      </c>
      <c r="O551" s="33">
        <f>ROUNDUP(N551+(N551*Assumptions!N$5),-2)</f>
        <v>36100</v>
      </c>
      <c r="P551" s="142">
        <f>ROUNDUP(O551+(O551*Assumptions!O$5),-2)</f>
        <v>36900</v>
      </c>
      <c r="Q551" s="33">
        <f>ROUNDUP(P551+(P551*Assumptions!P$5),-2)</f>
        <v>37700</v>
      </c>
      <c r="R551" s="114">
        <f>ROUNDUP(Q551+(Q551*Assumptions!Q$5),-2)</f>
        <v>38500</v>
      </c>
    </row>
    <row r="552" spans="1:18" x14ac:dyDescent="0.2">
      <c r="A552" s="107">
        <v>0</v>
      </c>
      <c r="B552" s="33">
        <v>0</v>
      </c>
      <c r="C552" s="187">
        <v>0</v>
      </c>
      <c r="D552" s="33">
        <v>0</v>
      </c>
      <c r="E552" s="1955"/>
      <c r="F552" s="351" t="s">
        <v>1470</v>
      </c>
      <c r="G552" s="187">
        <v>0</v>
      </c>
      <c r="H552" s="138">
        <f t="shared" si="596"/>
        <v>0</v>
      </c>
      <c r="I552" s="33">
        <f>ROUNDUP(G552+(G552*Assumptions!H$5),-2)</f>
        <v>0</v>
      </c>
      <c r="J552" s="33">
        <v>7500</v>
      </c>
      <c r="K552" s="33">
        <v>15000</v>
      </c>
      <c r="L552" s="33">
        <f>ROUNDUP(K552+(K552*Assumptions!K$5),-2)</f>
        <v>15400</v>
      </c>
      <c r="M552" s="33">
        <f>ROUNDUP(L552+(L552*Assumptions!L$5),-2)</f>
        <v>15800</v>
      </c>
      <c r="N552" s="33">
        <f>ROUNDUP(M552+(M552*Assumptions!M$5),-2)</f>
        <v>16200</v>
      </c>
      <c r="O552" s="33">
        <f>ROUNDUP(N552+(N552*Assumptions!N$5),-2)</f>
        <v>16600</v>
      </c>
      <c r="P552" s="142">
        <f>ROUNDUP(O552+(O552*Assumptions!O$5),-2)</f>
        <v>17000</v>
      </c>
      <c r="Q552" s="33">
        <f>ROUNDUP(P552+(P552*Assumptions!P$5),-2)</f>
        <v>17400</v>
      </c>
      <c r="R552" s="114">
        <f>ROUNDUP(Q552+(Q552*Assumptions!Q$5),-2)</f>
        <v>17800</v>
      </c>
    </row>
    <row r="553" spans="1:18" x14ac:dyDescent="0.2">
      <c r="A553" s="107">
        <v>0</v>
      </c>
      <c r="B553" s="33">
        <v>0</v>
      </c>
      <c r="C553" s="187">
        <v>0</v>
      </c>
      <c r="D553" s="33">
        <v>0</v>
      </c>
      <c r="E553" s="1097"/>
      <c r="F553" s="953" t="s">
        <v>5650</v>
      </c>
      <c r="G553" s="187">
        <v>0</v>
      </c>
      <c r="H553" s="138">
        <f t="shared" si="596"/>
        <v>0</v>
      </c>
      <c r="I553" s="33">
        <f>ROUNDUP(G553+(G553*Assumptions!H$5),-2)</f>
        <v>0</v>
      </c>
      <c r="J553" s="33">
        <v>7500</v>
      </c>
      <c r="K553" s="33">
        <v>15000</v>
      </c>
      <c r="L553" s="33">
        <f>ROUNDUP(K553+(K553*Assumptions!K$5),-2)</f>
        <v>15400</v>
      </c>
      <c r="M553" s="33">
        <f>ROUNDUP(L553+(L553*Assumptions!L$5),-2)</f>
        <v>15800</v>
      </c>
      <c r="N553" s="33">
        <f>ROUNDUP(M553+(M553*Assumptions!M$5),-2)</f>
        <v>16200</v>
      </c>
      <c r="O553" s="33">
        <f>ROUNDUP(N553+(N553*Assumptions!N$5),-2)</f>
        <v>16600</v>
      </c>
      <c r="P553" s="142">
        <f>ROUNDUP(O553+(O553*Assumptions!O$5),-2)</f>
        <v>17000</v>
      </c>
      <c r="Q553" s="33">
        <f>ROUNDUP(P553+(P553*Assumptions!P$5),-2)</f>
        <v>17400</v>
      </c>
      <c r="R553" s="114">
        <f>ROUNDUP(Q553+(Q553*Assumptions!Q$5),-2)</f>
        <v>17800</v>
      </c>
    </row>
    <row r="554" spans="1:18" x14ac:dyDescent="0.2">
      <c r="A554" s="107">
        <v>0</v>
      </c>
      <c r="B554" s="33">
        <v>0</v>
      </c>
      <c r="C554" s="187">
        <v>0</v>
      </c>
      <c r="D554" s="33">
        <v>0</v>
      </c>
      <c r="E554" s="1955"/>
      <c r="F554" s="443" t="s">
        <v>2193</v>
      </c>
      <c r="G554" s="187">
        <v>0</v>
      </c>
      <c r="H554" s="138">
        <f t="shared" si="596"/>
        <v>0</v>
      </c>
      <c r="I554" s="33">
        <f>ROUNDUP(G554+(G554*Assumptions!H$5),-2)</f>
        <v>0</v>
      </c>
      <c r="J554" s="33">
        <v>7500</v>
      </c>
      <c r="K554" s="33">
        <v>15000</v>
      </c>
      <c r="L554" s="33">
        <f>ROUNDUP(K554+(K554*Assumptions!K$5),-2)</f>
        <v>15400</v>
      </c>
      <c r="M554" s="33">
        <f>ROUNDUP(L554+(L554*Assumptions!L$5),-2)</f>
        <v>15800</v>
      </c>
      <c r="N554" s="33">
        <f>ROUNDUP(M554+(M554*Assumptions!M$5),-2)</f>
        <v>16200</v>
      </c>
      <c r="O554" s="33">
        <f>ROUNDUP(N554+(N554*Assumptions!N$5),-2)</f>
        <v>16600</v>
      </c>
      <c r="P554" s="142">
        <f>ROUNDUP(O554+(O554*Assumptions!O$5),-2)</f>
        <v>17000</v>
      </c>
      <c r="Q554" s="33">
        <f>ROUNDUP(P554+(P554*Assumptions!P$5),-2)</f>
        <v>17400</v>
      </c>
      <c r="R554" s="114">
        <f>ROUNDUP(Q554+(Q554*Assumptions!Q$5),-2)</f>
        <v>17800</v>
      </c>
    </row>
    <row r="555" spans="1:18" x14ac:dyDescent="0.2">
      <c r="A555" s="107">
        <v>0</v>
      </c>
      <c r="B555" s="33">
        <v>0</v>
      </c>
      <c r="C555" s="187">
        <v>0</v>
      </c>
      <c r="D555" s="33">
        <v>0</v>
      </c>
      <c r="E555" s="1955"/>
      <c r="F555" s="351" t="s">
        <v>1526</v>
      </c>
      <c r="G555" s="187">
        <v>0</v>
      </c>
      <c r="H555" s="138">
        <f t="shared" si="596"/>
        <v>0</v>
      </c>
      <c r="I555" s="33">
        <f>ROUNDUP(G555+(G555*Assumptions!H$5),-2)</f>
        <v>0</v>
      </c>
      <c r="J555" s="33">
        <v>37000</v>
      </c>
      <c r="K555" s="33">
        <v>75000</v>
      </c>
      <c r="L555" s="33">
        <f>ROUNDUP(K555+(K555*Assumptions!K$5),-2)</f>
        <v>76900</v>
      </c>
      <c r="M555" s="33">
        <f>ROUNDUP(L555+(L555*Assumptions!L$5),-2)</f>
        <v>78500</v>
      </c>
      <c r="N555" s="33">
        <f>ROUNDUP(M555+(M555*Assumptions!M$5),-2)</f>
        <v>80100</v>
      </c>
      <c r="O555" s="33">
        <f>ROUNDUP(N555+(N555*Assumptions!N$5),-2)</f>
        <v>81800</v>
      </c>
      <c r="P555" s="142">
        <f>ROUNDUP(O555+(O555*Assumptions!O$5),-2)</f>
        <v>83500</v>
      </c>
      <c r="Q555" s="33">
        <f>ROUNDUP(P555+(P555*Assumptions!P$5),-2)</f>
        <v>85200</v>
      </c>
      <c r="R555" s="114">
        <f>ROUNDUP(Q555+(Q555*Assumptions!Q$5),-2)</f>
        <v>87000</v>
      </c>
    </row>
    <row r="556" spans="1:18" x14ac:dyDescent="0.2">
      <c r="A556" s="107">
        <v>0</v>
      </c>
      <c r="B556" s="33">
        <v>0</v>
      </c>
      <c r="C556" s="187">
        <v>0</v>
      </c>
      <c r="D556" s="33">
        <v>0</v>
      </c>
      <c r="E556" s="1955"/>
      <c r="F556" s="814" t="s">
        <v>1780</v>
      </c>
      <c r="G556" s="187">
        <v>0</v>
      </c>
      <c r="H556" s="138">
        <f t="shared" si="596"/>
        <v>0</v>
      </c>
      <c r="I556" s="33">
        <f>ROUNDUP(G556+(G556*Assumptions!H$5),-2)</f>
        <v>0</v>
      </c>
      <c r="J556" s="33">
        <v>1000</v>
      </c>
      <c r="K556" s="33">
        <v>2300</v>
      </c>
      <c r="L556" s="33">
        <f>ROUNDUP(K556+(K556*Assumptions!K$5),-2)</f>
        <v>2400</v>
      </c>
      <c r="M556" s="33">
        <f>ROUNDUP(L556+(L556*Assumptions!L$5),-2)</f>
        <v>2500</v>
      </c>
      <c r="N556" s="33">
        <f>ROUNDUP(M556+(M556*Assumptions!M$5),-2)</f>
        <v>2600</v>
      </c>
      <c r="O556" s="33">
        <f>ROUNDUP(N556+(N556*Assumptions!N$5),-2)</f>
        <v>2700</v>
      </c>
      <c r="P556" s="142">
        <f>ROUNDUP(O556+(O556*Assumptions!O$5),-2)</f>
        <v>2800</v>
      </c>
      <c r="Q556" s="33">
        <f>ROUNDUP(P556+(P556*Assumptions!P$5),-2)</f>
        <v>2900</v>
      </c>
      <c r="R556" s="114">
        <f>ROUNDUP(Q556+(Q556*Assumptions!Q$5),-2)</f>
        <v>3000</v>
      </c>
    </row>
    <row r="557" spans="1:18" x14ac:dyDescent="0.2">
      <c r="A557" s="107">
        <v>0</v>
      </c>
      <c r="B557" s="33">
        <v>0</v>
      </c>
      <c r="C557" s="187">
        <v>0</v>
      </c>
      <c r="D557" s="33">
        <v>0</v>
      </c>
      <c r="E557" s="1955"/>
      <c r="F557" s="443" t="s">
        <v>2561</v>
      </c>
      <c r="G557" s="187">
        <v>0</v>
      </c>
      <c r="H557" s="138">
        <f t="shared" si="596"/>
        <v>0</v>
      </c>
      <c r="I557" s="33">
        <f>ROUNDUP(G557+(G557*Assumptions!H$5),-2)</f>
        <v>0</v>
      </c>
      <c r="J557" s="33">
        <v>2500</v>
      </c>
      <c r="K557" s="33">
        <v>5000</v>
      </c>
      <c r="L557" s="33">
        <f>ROUNDUP(K557+(K557*Assumptions!K$5),-2)</f>
        <v>5200</v>
      </c>
      <c r="M557" s="33">
        <f>ROUNDUP(L557+(L557*Assumptions!L$5),-2)</f>
        <v>5400</v>
      </c>
      <c r="N557" s="33">
        <f>ROUNDUP(M557+(M557*Assumptions!M$5),-2)</f>
        <v>5600</v>
      </c>
      <c r="O557" s="33">
        <f>ROUNDUP(N557+(N557*Assumptions!N$5),-2)</f>
        <v>5800</v>
      </c>
      <c r="P557" s="142">
        <f>ROUNDUP(O557+(O557*Assumptions!O$5),-2)</f>
        <v>6000</v>
      </c>
      <c r="Q557" s="33">
        <f>ROUNDUP(P557+(P557*Assumptions!P$5),-2)</f>
        <v>6200</v>
      </c>
      <c r="R557" s="114">
        <f>ROUNDUP(Q557+(Q557*Assumptions!Q$5),-2)</f>
        <v>6400</v>
      </c>
    </row>
    <row r="558" spans="1:18" x14ac:dyDescent="0.2">
      <c r="A558" s="107">
        <v>0</v>
      </c>
      <c r="B558" s="33">
        <v>0</v>
      </c>
      <c r="C558" s="187">
        <v>0</v>
      </c>
      <c r="D558" s="33">
        <v>0</v>
      </c>
      <c r="E558" s="1955"/>
      <c r="F558" s="443" t="s">
        <v>720</v>
      </c>
      <c r="G558" s="187">
        <v>0</v>
      </c>
      <c r="H558" s="138">
        <f t="shared" si="596"/>
        <v>0</v>
      </c>
      <c r="I558" s="33">
        <f>ROUNDUP(G558+(G558*Assumptions!H$5),-2)</f>
        <v>0</v>
      </c>
      <c r="J558" s="33">
        <v>24000</v>
      </c>
      <c r="K558" s="33">
        <v>48000</v>
      </c>
      <c r="L558" s="33">
        <f>ROUNDUP(K558+(K558*Assumptions!K$5),-2)</f>
        <v>49200</v>
      </c>
      <c r="M558" s="33">
        <f>ROUNDUP(L558+(L558*Assumptions!L$5),-2)</f>
        <v>50200</v>
      </c>
      <c r="N558" s="33">
        <f>ROUNDUP(M558+(M558*Assumptions!M$5),-2)</f>
        <v>51300</v>
      </c>
      <c r="O558" s="33">
        <f>ROUNDUP(N558+(N558*Assumptions!N$5),-2)</f>
        <v>52400</v>
      </c>
      <c r="P558" s="142">
        <f>ROUNDUP(O558+(O558*Assumptions!O$5),-2)</f>
        <v>53500</v>
      </c>
      <c r="Q558" s="33">
        <f>ROUNDUP(P558+(P558*Assumptions!P$5),-2)</f>
        <v>54600</v>
      </c>
      <c r="R558" s="114">
        <f>ROUNDUP(Q558+(Q558*Assumptions!Q$5),-2)</f>
        <v>55700</v>
      </c>
    </row>
    <row r="559" spans="1:18" x14ac:dyDescent="0.2">
      <c r="A559" s="107"/>
      <c r="B559" s="33"/>
      <c r="C559" s="187"/>
      <c r="D559" s="33"/>
      <c r="E559" s="1955"/>
      <c r="F559" s="443"/>
      <c r="G559" s="187"/>
      <c r="H559" s="138"/>
      <c r="I559" s="33"/>
      <c r="J559" s="33"/>
      <c r="K559" s="33"/>
      <c r="L559" s="33"/>
      <c r="M559" s="33"/>
      <c r="N559" s="33"/>
      <c r="O559" s="33"/>
      <c r="P559" s="142"/>
      <c r="Q559" s="33"/>
      <c r="R559" s="114"/>
    </row>
    <row r="560" spans="1:18" x14ac:dyDescent="0.2">
      <c r="A560" s="107"/>
      <c r="B560" s="33"/>
      <c r="C560" s="187"/>
      <c r="D560" s="33"/>
      <c r="E560" s="1955"/>
      <c r="F560" s="439" t="s">
        <v>1174</v>
      </c>
      <c r="G560" s="187"/>
      <c r="H560" s="138"/>
      <c r="I560" s="33"/>
      <c r="J560" s="33"/>
      <c r="K560" s="33"/>
      <c r="L560" s="33"/>
      <c r="M560" s="33"/>
      <c r="N560" s="33"/>
      <c r="O560" s="33"/>
      <c r="P560" s="33"/>
      <c r="Q560" s="33"/>
      <c r="R560" s="114"/>
    </row>
    <row r="561" spans="1:18" x14ac:dyDescent="0.2">
      <c r="A561" s="107">
        <v>1000</v>
      </c>
      <c r="B561" s="33">
        <v>500</v>
      </c>
      <c r="C561" s="187">
        <v>1500</v>
      </c>
      <c r="D561" s="33">
        <f>1022-22</f>
        <v>1000</v>
      </c>
      <c r="E561" s="1955" t="s">
        <v>454</v>
      </c>
      <c r="F561" s="814" t="s">
        <v>2558</v>
      </c>
      <c r="G561" s="187">
        <v>1000</v>
      </c>
      <c r="H561" s="138">
        <f t="shared" ref="H561:H566" si="597">IF(D561=G561,0,IF(D561=0,100,(G561-D561)/D561*100))</f>
        <v>0</v>
      </c>
      <c r="I561" s="33">
        <f>ROUNDUP(G561+(G561*Assumptions!H$5),-2)</f>
        <v>1100</v>
      </c>
      <c r="J561" s="33">
        <f>ROUNDUP(I561+(I561*Assumptions!I$5),-2)</f>
        <v>1200</v>
      </c>
      <c r="K561" s="33">
        <f>ROUNDUP(J561+(J561*Assumptions!J$5),-2)</f>
        <v>1300</v>
      </c>
      <c r="L561" s="33">
        <f>ROUNDUP(K561+(K561*Assumptions!K$5),-2)</f>
        <v>1400</v>
      </c>
      <c r="M561" s="33">
        <f>ROUNDUP(L561+(L561*Assumptions!L$5),-2)</f>
        <v>1500</v>
      </c>
      <c r="N561" s="33">
        <f>ROUNDUP(M561+(M561*Assumptions!M$5),-2)</f>
        <v>1600</v>
      </c>
      <c r="O561" s="33">
        <f>ROUNDUP(N561+(N561*Assumptions!N$5),-2)</f>
        <v>1700</v>
      </c>
      <c r="P561" s="33">
        <f>ROUNDUP(O561+(O561*Assumptions!O$5),-2)</f>
        <v>1800</v>
      </c>
      <c r="Q561" s="33">
        <f>ROUNDUP(P561+(P561*Assumptions!P$5),-2)</f>
        <v>1900</v>
      </c>
      <c r="R561" s="114">
        <f>ROUNDUP(Q561+(Q561*Assumptions!Q$5),-2)</f>
        <v>2000</v>
      </c>
    </row>
    <row r="562" spans="1:18" x14ac:dyDescent="0.2">
      <c r="A562" s="107">
        <v>1500</v>
      </c>
      <c r="B562" s="33">
        <v>1700</v>
      </c>
      <c r="C562" s="187">
        <v>1900</v>
      </c>
      <c r="D562" s="33">
        <f>1955+45</f>
        <v>2000</v>
      </c>
      <c r="E562" s="1955" t="s">
        <v>1949</v>
      </c>
      <c r="F562" s="814" t="s">
        <v>1470</v>
      </c>
      <c r="G562" s="187">
        <v>2200</v>
      </c>
      <c r="H562" s="138">
        <f t="shared" si="597"/>
        <v>10</v>
      </c>
      <c r="I562" s="33">
        <f>ROUNDUP(G562+(G562*Assumptions!H$5),-2)</f>
        <v>2300</v>
      </c>
      <c r="J562" s="33">
        <f>ROUNDUP(I562+(I562*Assumptions!I$5),-2)</f>
        <v>2400</v>
      </c>
      <c r="K562" s="33">
        <f>ROUNDUP(J562+(J562*Assumptions!J$5),-2)</f>
        <v>2500</v>
      </c>
      <c r="L562" s="33">
        <f>ROUNDUP(K562+(K562*Assumptions!K$5),-2)</f>
        <v>2600</v>
      </c>
      <c r="M562" s="33">
        <f>ROUNDUP(L562+(L562*Assumptions!L$5),-2)</f>
        <v>2700</v>
      </c>
      <c r="N562" s="33">
        <f>ROUNDUP(M562+(M562*Assumptions!M$5),-2)</f>
        <v>2800</v>
      </c>
      <c r="O562" s="33">
        <f>ROUNDUP(N562+(N562*Assumptions!N$5),-2)</f>
        <v>2900</v>
      </c>
      <c r="P562" s="33">
        <f>ROUNDUP(O562+(O562*Assumptions!O$5),-2)</f>
        <v>3000</v>
      </c>
      <c r="Q562" s="33">
        <f>ROUNDUP(P562+(P562*Assumptions!P$5),-2)</f>
        <v>3100</v>
      </c>
      <c r="R562" s="114">
        <f>ROUNDUP(Q562+(Q562*Assumptions!Q$5),-2)</f>
        <v>3200</v>
      </c>
    </row>
    <row r="563" spans="1:18" x14ac:dyDescent="0.2">
      <c r="A563" s="107">
        <v>1400</v>
      </c>
      <c r="B563" s="33">
        <v>500</v>
      </c>
      <c r="C563" s="187">
        <v>400</v>
      </c>
      <c r="D563" s="33">
        <f>193+7</f>
        <v>200</v>
      </c>
      <c r="E563" s="1955" t="s">
        <v>32</v>
      </c>
      <c r="F563" s="814" t="s">
        <v>2193</v>
      </c>
      <c r="G563" s="187">
        <v>1100</v>
      </c>
      <c r="H563" s="138">
        <f t="shared" si="597"/>
        <v>450</v>
      </c>
      <c r="I563" s="33">
        <f>ROUNDUP(G563+(G563*Assumptions!H$5),-2)</f>
        <v>1200</v>
      </c>
      <c r="J563" s="33">
        <f>ROUNDUP(I563+(I563*Assumptions!I$5),-2)</f>
        <v>1300</v>
      </c>
      <c r="K563" s="33">
        <f>ROUNDUP(J563+(J563*Assumptions!J$5),-2)</f>
        <v>1400</v>
      </c>
      <c r="L563" s="33">
        <f>ROUNDUP(K563+(K563*Assumptions!K$5),-2)</f>
        <v>1500</v>
      </c>
      <c r="M563" s="33">
        <f>ROUNDUP(L563+(L563*Assumptions!L$5),-2)</f>
        <v>1600</v>
      </c>
      <c r="N563" s="33">
        <f>ROUNDUP(M563+(M563*Assumptions!M$5),-2)</f>
        <v>1700</v>
      </c>
      <c r="O563" s="33">
        <f>ROUNDUP(N563+(N563*Assumptions!N$5),-2)</f>
        <v>1800</v>
      </c>
      <c r="P563" s="33">
        <f>ROUNDUP(O563+(O563*Assumptions!O$5),-2)</f>
        <v>1900</v>
      </c>
      <c r="Q563" s="33">
        <f>ROUNDUP(P563+(P563*Assumptions!P$5),-2)</f>
        <v>2000</v>
      </c>
      <c r="R563" s="114">
        <f>ROUNDUP(Q563+(Q563*Assumptions!Q$5),-2)</f>
        <v>2100</v>
      </c>
    </row>
    <row r="564" spans="1:18" x14ac:dyDescent="0.2">
      <c r="A564" s="107">
        <v>7000</v>
      </c>
      <c r="B564" s="33">
        <v>7300</v>
      </c>
      <c r="C564" s="187">
        <v>7000</v>
      </c>
      <c r="D564" s="33">
        <f>9117-17</f>
        <v>9100</v>
      </c>
      <c r="E564" s="1955" t="s">
        <v>30</v>
      </c>
      <c r="F564" s="443" t="s">
        <v>1526</v>
      </c>
      <c r="G564" s="187">
        <v>8000</v>
      </c>
      <c r="H564" s="138">
        <f t="shared" si="597"/>
        <v>-12.087912087912088</v>
      </c>
      <c r="I564" s="33">
        <f>ROUNDUP(G564+(G564*Assumptions!H$5),-2)</f>
        <v>8200</v>
      </c>
      <c r="J564" s="33">
        <f>ROUNDUP(I564+(I564*Assumptions!I$5),-2)</f>
        <v>8500</v>
      </c>
      <c r="K564" s="33">
        <f>ROUNDUP(J564+(J564*Assumptions!J$5),-2)</f>
        <v>8800</v>
      </c>
      <c r="L564" s="33">
        <f>ROUNDUP(K564+(K564*Assumptions!K$5),-2)</f>
        <v>9100</v>
      </c>
      <c r="M564" s="33">
        <f>ROUNDUP(L564+(L564*Assumptions!L$5),-2)</f>
        <v>9300</v>
      </c>
      <c r="N564" s="33">
        <f>ROUNDUP(M564+(M564*Assumptions!M$5),-2)</f>
        <v>9500</v>
      </c>
      <c r="O564" s="33">
        <f>ROUNDUP(N564+(N564*Assumptions!N$5),-2)</f>
        <v>9700</v>
      </c>
      <c r="P564" s="33">
        <f>ROUNDUP(O564+(O564*Assumptions!O$5),-2)</f>
        <v>9900</v>
      </c>
      <c r="Q564" s="33">
        <f>ROUNDUP(P564+(P564*Assumptions!P$5),-2)</f>
        <v>10100</v>
      </c>
      <c r="R564" s="114">
        <f>ROUNDUP(Q564+(Q564*Assumptions!Q$5),-2)</f>
        <v>10400</v>
      </c>
    </row>
    <row r="565" spans="1:18" x14ac:dyDescent="0.2">
      <c r="A565" s="107">
        <v>5300</v>
      </c>
      <c r="B565" s="33">
        <v>6000</v>
      </c>
      <c r="C565" s="187">
        <v>6400</v>
      </c>
      <c r="D565" s="33">
        <f>4685+15</f>
        <v>4700</v>
      </c>
      <c r="E565" s="1955" t="s">
        <v>2737</v>
      </c>
      <c r="F565" s="443" t="s">
        <v>720</v>
      </c>
      <c r="G565" s="187">
        <v>6500</v>
      </c>
      <c r="H565" s="138">
        <f t="shared" si="597"/>
        <v>38.297872340425535</v>
      </c>
      <c r="I565" s="33">
        <f>ROUNDUP(G565+(G565*Assumptions!H$5),-2)</f>
        <v>6600</v>
      </c>
      <c r="J565" s="33">
        <f>ROUNDUP(I565+(I565*Assumptions!I$5),-2)</f>
        <v>6800</v>
      </c>
      <c r="K565" s="33">
        <f>ROUNDUP(J565+(J565*Assumptions!J$5),-2)</f>
        <v>7000</v>
      </c>
      <c r="L565" s="33">
        <f>ROUNDUP(K565+(K565*Assumptions!K$5),-2)</f>
        <v>7200</v>
      </c>
      <c r="M565" s="33">
        <f>ROUNDUP(L565+(L565*Assumptions!L$5),-2)</f>
        <v>7400</v>
      </c>
      <c r="N565" s="33">
        <f>ROUNDUP(M565+(M565*Assumptions!M$5),-2)</f>
        <v>7600</v>
      </c>
      <c r="O565" s="33">
        <f>ROUNDUP(N565+(N565*Assumptions!N$5),-2)</f>
        <v>7800</v>
      </c>
      <c r="P565" s="33">
        <f>ROUNDUP(O565+(O565*Assumptions!O$5),-2)</f>
        <v>8000</v>
      </c>
      <c r="Q565" s="33">
        <f>ROUNDUP(P565+(P565*Assumptions!P$5),-2)</f>
        <v>8200</v>
      </c>
      <c r="R565" s="114">
        <f>ROUNDUP(Q565+(Q565*Assumptions!Q$5),-2)</f>
        <v>8400</v>
      </c>
    </row>
    <row r="566" spans="1:18" s="99" customFormat="1" x14ac:dyDescent="0.2">
      <c r="A566" s="107">
        <v>7500</v>
      </c>
      <c r="B566" s="33">
        <v>8200</v>
      </c>
      <c r="C566" s="187">
        <v>8500</v>
      </c>
      <c r="D566" s="33">
        <v>8500</v>
      </c>
      <c r="E566" s="1955" t="s">
        <v>31</v>
      </c>
      <c r="F566" s="814" t="s">
        <v>3094</v>
      </c>
      <c r="G566" s="187">
        <v>9000</v>
      </c>
      <c r="H566" s="138">
        <f t="shared" si="597"/>
        <v>5.8823529411764701</v>
      </c>
      <c r="I566" s="33">
        <f>ROUNDUP(G566+(G566*Assumptions!H$5),-2)</f>
        <v>9200</v>
      </c>
      <c r="J566" s="33">
        <f>ROUNDUP(I566+(I566*Assumptions!I$5),-2)</f>
        <v>9500</v>
      </c>
      <c r="K566" s="33">
        <f>ROUNDUP(J566+(J566*Assumptions!J$5),-2)</f>
        <v>9800</v>
      </c>
      <c r="L566" s="33">
        <f>ROUNDUP(K566+(K566*Assumptions!K$5),-2)</f>
        <v>10100</v>
      </c>
      <c r="M566" s="33">
        <f>ROUNDUP(L566+(L566*Assumptions!L$5),-2)</f>
        <v>10400</v>
      </c>
      <c r="N566" s="33">
        <f>ROUNDUP(M566+(M566*Assumptions!M$5),-2)</f>
        <v>10700</v>
      </c>
      <c r="O566" s="33">
        <f>ROUNDUP(N566+(N566*Assumptions!N$5),-2)</f>
        <v>11000</v>
      </c>
      <c r="P566" s="33">
        <f>ROUNDUP(O566+(O566*Assumptions!O$5),-2)</f>
        <v>11300</v>
      </c>
      <c r="Q566" s="33">
        <f>ROUNDUP(P566+(P566*Assumptions!P$5),-2)</f>
        <v>11600</v>
      </c>
      <c r="R566" s="114">
        <f>ROUNDUP(Q566+(Q566*Assumptions!Q$5),-2)</f>
        <v>11900</v>
      </c>
    </row>
    <row r="567" spans="1:18" s="23" customFormat="1" x14ac:dyDescent="0.2">
      <c r="A567" s="990"/>
      <c r="B567" s="529"/>
      <c r="C567" s="529"/>
      <c r="D567" s="204"/>
      <c r="E567" s="593"/>
      <c r="F567" s="22"/>
      <c r="G567" s="204"/>
      <c r="H567" s="1702"/>
      <c r="I567" s="529"/>
      <c r="J567" s="529"/>
      <c r="K567" s="529"/>
      <c r="L567" s="529"/>
      <c r="M567" s="529"/>
      <c r="N567" s="529"/>
      <c r="O567" s="529"/>
      <c r="P567" s="529"/>
      <c r="Q567" s="529"/>
      <c r="R567" s="530"/>
    </row>
    <row r="568" spans="1:18" x14ac:dyDescent="0.2">
      <c r="A568" s="107"/>
      <c r="B568" s="33"/>
      <c r="C568" s="187"/>
      <c r="D568" s="33"/>
      <c r="E568" s="1955"/>
      <c r="F568" s="1103" t="s">
        <v>2299</v>
      </c>
      <c r="G568" s="187"/>
      <c r="H568" s="138"/>
      <c r="I568" s="33"/>
      <c r="J568" s="33"/>
      <c r="K568" s="33"/>
      <c r="L568" s="33"/>
      <c r="M568" s="33"/>
      <c r="N568" s="33"/>
      <c r="O568" s="33"/>
      <c r="P568" s="33"/>
      <c r="Q568" s="33"/>
      <c r="R568" s="114"/>
    </row>
    <row r="569" spans="1:18" x14ac:dyDescent="0.2">
      <c r="A569" s="107">
        <v>0</v>
      </c>
      <c r="B569" s="33">
        <v>2500</v>
      </c>
      <c r="C569" s="187">
        <v>4900</v>
      </c>
      <c r="D569" s="33">
        <f>6240-40</f>
        <v>6200</v>
      </c>
      <c r="E569" s="1097" t="s">
        <v>3547</v>
      </c>
      <c r="F569" s="814" t="s">
        <v>2558</v>
      </c>
      <c r="G569" s="187">
        <v>6000</v>
      </c>
      <c r="H569" s="138">
        <f t="shared" ref="H569:H577" si="598">IF(D569=G569,0,IF(D569=0,100,(G569-D569)/D569*100))</f>
        <v>-3.225806451612903</v>
      </c>
      <c r="I569" s="33">
        <f>ROUNDUP(G569+(G569*Assumptions!H$5),-2)</f>
        <v>6100</v>
      </c>
      <c r="J569" s="33">
        <f>ROUNDUP(I569+(I569*Assumptions!I$5),-2)</f>
        <v>6300</v>
      </c>
      <c r="K569" s="33">
        <f>ROUNDUP(J569+(J569*Assumptions!J$5),-2)</f>
        <v>6500</v>
      </c>
      <c r="L569" s="33">
        <f>ROUNDUP(K569+(K569*Assumptions!K$5),-2)</f>
        <v>6700</v>
      </c>
      <c r="M569" s="33">
        <f>ROUNDUP(L569+(L569*Assumptions!L$5),-2)</f>
        <v>6900</v>
      </c>
      <c r="N569" s="33">
        <f>ROUNDUP(M569+(M569*Assumptions!M$5),-2)</f>
        <v>7100</v>
      </c>
      <c r="O569" s="33">
        <f>ROUNDUP(N569+(N569*Assumptions!N$5),-2)</f>
        <v>7300</v>
      </c>
      <c r="P569" s="33">
        <f>ROUNDUP(O569+(O569*Assumptions!O$5),-2)</f>
        <v>7500</v>
      </c>
      <c r="Q569" s="33">
        <f>ROUNDUP(P569+(P569*Assumptions!P$5),-2)</f>
        <v>7700</v>
      </c>
      <c r="R569" s="114">
        <f>ROUNDUP(Q569+(Q569*Assumptions!Q$5),-2)</f>
        <v>7900</v>
      </c>
    </row>
    <row r="570" spans="1:18" x14ac:dyDescent="0.2">
      <c r="A570" s="107">
        <v>0</v>
      </c>
      <c r="B570" s="33">
        <v>12700</v>
      </c>
      <c r="C570" s="33">
        <v>10800</v>
      </c>
      <c r="D570" s="33">
        <f>10058+42</f>
        <v>10100</v>
      </c>
      <c r="E570" s="1097" t="s">
        <v>3150</v>
      </c>
      <c r="F570" s="916" t="s">
        <v>2774</v>
      </c>
      <c r="G570" s="33">
        <v>10500</v>
      </c>
      <c r="H570" s="138">
        <f t="shared" si="598"/>
        <v>3.9603960396039604</v>
      </c>
      <c r="I570" s="33">
        <f>ROUNDUP(G570+(G570*Assumptions!H$5),-2)</f>
        <v>10700</v>
      </c>
      <c r="J570" s="33">
        <f>ROUNDUP(I570+(I570*Assumptions!I$5),-2)</f>
        <v>11000</v>
      </c>
      <c r="K570" s="33">
        <f>ROUNDUP(J570+(J570*Assumptions!J$5),-2)</f>
        <v>11300</v>
      </c>
      <c r="L570" s="33">
        <f>ROUNDUP(K570+(K570*Assumptions!K$5),-2)</f>
        <v>11600</v>
      </c>
      <c r="M570" s="33">
        <f>ROUNDUP(L570+(L570*Assumptions!L$5),-2)</f>
        <v>11900</v>
      </c>
      <c r="N570" s="33">
        <f>ROUNDUP(M570+(M570*Assumptions!M$5),-2)</f>
        <v>12200</v>
      </c>
      <c r="O570" s="33">
        <f>ROUNDUP(N570+(N570*Assumptions!N$5),-2)</f>
        <v>12500</v>
      </c>
      <c r="P570" s="33">
        <f>ROUNDUP(O570+(O570*Assumptions!O$5),-2)</f>
        <v>12800</v>
      </c>
      <c r="Q570" s="33">
        <f>ROUNDUP(P570+(P570*Assumptions!P$5),-2)</f>
        <v>13100</v>
      </c>
      <c r="R570" s="114">
        <f>ROUNDUP(Q570+(Q570*Assumptions!Q$5),-2)</f>
        <v>13400</v>
      </c>
    </row>
    <row r="571" spans="1:18" x14ac:dyDescent="0.2">
      <c r="A571" s="107">
        <v>0</v>
      </c>
      <c r="B571" s="33">
        <v>1600</v>
      </c>
      <c r="C571" s="132">
        <v>8600</v>
      </c>
      <c r="D571" s="33">
        <f>8539-39</f>
        <v>8500</v>
      </c>
      <c r="E571" s="1097" t="s">
        <v>3147</v>
      </c>
      <c r="F571" s="916" t="s">
        <v>1470</v>
      </c>
      <c r="G571" s="33">
        <v>8000</v>
      </c>
      <c r="H571" s="138">
        <f t="shared" si="598"/>
        <v>-5.8823529411764701</v>
      </c>
      <c r="I571" s="33">
        <f>ROUNDUP(G571+(G571*Assumptions!H$5),-2)</f>
        <v>8200</v>
      </c>
      <c r="J571" s="33">
        <f>ROUNDUP(I571+(I571*Assumptions!I$5),-2)</f>
        <v>8500</v>
      </c>
      <c r="K571" s="33">
        <f>ROUNDUP(J571+(J571*Assumptions!J$5),-2)</f>
        <v>8800</v>
      </c>
      <c r="L571" s="33">
        <f>ROUNDUP(K571+(K571*Assumptions!K$5),-2)</f>
        <v>9100</v>
      </c>
      <c r="M571" s="33">
        <f>ROUNDUP(L571+(L571*Assumptions!L$5),-2)</f>
        <v>9300</v>
      </c>
      <c r="N571" s="33">
        <f>ROUNDUP(M571+(M571*Assumptions!M$5),-2)</f>
        <v>9500</v>
      </c>
      <c r="O571" s="33">
        <f>ROUNDUP(N571+(N571*Assumptions!N$5),-2)</f>
        <v>9700</v>
      </c>
      <c r="P571" s="33">
        <f>ROUNDUP(O571+(O571*Assumptions!O$5),-2)</f>
        <v>9900</v>
      </c>
      <c r="Q571" s="33">
        <f>ROUNDUP(P571+(P571*Assumptions!P$5),-2)</f>
        <v>10100</v>
      </c>
      <c r="R571" s="114">
        <f>ROUNDUP(Q571+(Q571*Assumptions!Q$5),-2)</f>
        <v>10400</v>
      </c>
    </row>
    <row r="572" spans="1:18" x14ac:dyDescent="0.2">
      <c r="A572" s="107">
        <v>0</v>
      </c>
      <c r="B572" s="33">
        <v>7200</v>
      </c>
      <c r="C572" s="132">
        <v>7500</v>
      </c>
      <c r="D572" s="33">
        <f>10584+16</f>
        <v>10600</v>
      </c>
      <c r="E572" s="1097" t="s">
        <v>3148</v>
      </c>
      <c r="F572" s="916" t="s">
        <v>2193</v>
      </c>
      <c r="G572" s="33">
        <v>14500</v>
      </c>
      <c r="H572" s="138">
        <f t="shared" si="598"/>
        <v>36.79245283018868</v>
      </c>
      <c r="I572" s="33">
        <f>ROUNDUP(G572+(G572*Assumptions!H$5),-2)</f>
        <v>14800</v>
      </c>
      <c r="J572" s="33">
        <f>ROUNDUP(I572+(I572*Assumptions!I$5),-2)</f>
        <v>15200</v>
      </c>
      <c r="K572" s="33">
        <f>ROUNDUP(J572+(J572*Assumptions!J$5),-2)</f>
        <v>15600</v>
      </c>
      <c r="L572" s="33">
        <f>ROUNDUP(K572+(K572*Assumptions!K$5),-2)</f>
        <v>16000</v>
      </c>
      <c r="M572" s="33">
        <f>ROUNDUP(L572+(L572*Assumptions!L$5),-2)</f>
        <v>16400</v>
      </c>
      <c r="N572" s="33">
        <f>ROUNDUP(M572+(M572*Assumptions!M$5),-2)</f>
        <v>16800</v>
      </c>
      <c r="O572" s="33">
        <f>ROUNDUP(N572+(N572*Assumptions!N$5),-2)</f>
        <v>17200</v>
      </c>
      <c r="P572" s="33">
        <f>ROUNDUP(O572+(O572*Assumptions!O$5),-2)</f>
        <v>17600</v>
      </c>
      <c r="Q572" s="33">
        <f>ROUNDUP(P572+(P572*Assumptions!P$5),-2)</f>
        <v>18000</v>
      </c>
      <c r="R572" s="114">
        <f>ROUNDUP(Q572+(Q572*Assumptions!Q$5),-2)</f>
        <v>18400</v>
      </c>
    </row>
    <row r="573" spans="1:18" x14ac:dyDescent="0.2">
      <c r="A573" s="107">
        <v>0</v>
      </c>
      <c r="B573" s="33">
        <v>44000</v>
      </c>
      <c r="C573" s="187">
        <v>58700</v>
      </c>
      <c r="D573" s="33">
        <f>54532-32</f>
        <v>54500</v>
      </c>
      <c r="E573" s="1097" t="s">
        <v>3144</v>
      </c>
      <c r="F573" s="814" t="s">
        <v>1526</v>
      </c>
      <c r="G573" s="187">
        <v>64000</v>
      </c>
      <c r="H573" s="138">
        <f t="shared" si="598"/>
        <v>17.431192660550458</v>
      </c>
      <c r="I573" s="33">
        <f>ROUNDUP(G573+(G573*Assumptions!H$5),-2)</f>
        <v>65000</v>
      </c>
      <c r="J573" s="33">
        <f>ROUNDUP(I573+(I573*Assumptions!I$5),-2)</f>
        <v>66700</v>
      </c>
      <c r="K573" s="33">
        <f>ROUNDUP(J573+(J573*Assumptions!J$5),-2)</f>
        <v>68400</v>
      </c>
      <c r="L573" s="33">
        <f>ROUNDUP(K573+(K573*Assumptions!K$5),-2)</f>
        <v>70200</v>
      </c>
      <c r="M573" s="33">
        <f>ROUNDUP(L573+(L573*Assumptions!L$5),-2)</f>
        <v>71700</v>
      </c>
      <c r="N573" s="33">
        <f>ROUNDUP(M573+(M573*Assumptions!M$5),-2)</f>
        <v>73200</v>
      </c>
      <c r="O573" s="33">
        <f>ROUNDUP(N573+(N573*Assumptions!N$5),-2)</f>
        <v>74700</v>
      </c>
      <c r="P573" s="33">
        <f>ROUNDUP(O573+(O573*Assumptions!O$5),-2)</f>
        <v>76200</v>
      </c>
      <c r="Q573" s="33">
        <f>ROUNDUP(P573+(P573*Assumptions!P$5),-2)</f>
        <v>77800</v>
      </c>
      <c r="R573" s="114">
        <f>ROUNDUP(Q573+(Q573*Assumptions!Q$5),-2)</f>
        <v>79400</v>
      </c>
    </row>
    <row r="574" spans="1:18" x14ac:dyDescent="0.2">
      <c r="A574" s="107">
        <v>0</v>
      </c>
      <c r="B574" s="33">
        <v>0</v>
      </c>
      <c r="C574" s="33">
        <v>0</v>
      </c>
      <c r="D574" s="33">
        <f>783+17</f>
        <v>800</v>
      </c>
      <c r="E574" s="1097" t="s">
        <v>3149</v>
      </c>
      <c r="F574" s="916" t="s">
        <v>2561</v>
      </c>
      <c r="G574" s="33">
        <v>1100</v>
      </c>
      <c r="H574" s="138">
        <f t="shared" si="598"/>
        <v>37.5</v>
      </c>
      <c r="I574" s="33">
        <f>ROUNDUP(G574+(G574*Assumptions!H$5),-2)</f>
        <v>1200</v>
      </c>
      <c r="J574" s="33">
        <f>ROUNDUP(I574+(I574*Assumptions!I$5),-2)</f>
        <v>1300</v>
      </c>
      <c r="K574" s="33">
        <f>ROUNDUP(J574+(J574*Assumptions!J$5),-2)</f>
        <v>1400</v>
      </c>
      <c r="L574" s="33">
        <f>ROUNDUP(K574+(K574*Assumptions!K$5),-2)</f>
        <v>1500</v>
      </c>
      <c r="M574" s="33">
        <f>ROUNDUP(L574+(L574*Assumptions!L$5),-2)</f>
        <v>1600</v>
      </c>
      <c r="N574" s="33">
        <f>ROUNDUP(M574+(M574*Assumptions!M$5),-2)</f>
        <v>1700</v>
      </c>
      <c r="O574" s="33">
        <f>ROUNDUP(N574+(N574*Assumptions!N$5),-2)</f>
        <v>1800</v>
      </c>
      <c r="P574" s="33">
        <f>ROUNDUP(O574+(O574*Assumptions!O$5),-2)</f>
        <v>1900</v>
      </c>
      <c r="Q574" s="33">
        <f>ROUNDUP(P574+(P574*Assumptions!P$5),-2)</f>
        <v>2000</v>
      </c>
      <c r="R574" s="114">
        <f>ROUNDUP(Q574+(Q574*Assumptions!Q$5),-2)</f>
        <v>2100</v>
      </c>
    </row>
    <row r="575" spans="1:18" x14ac:dyDescent="0.2">
      <c r="A575" s="107">
        <v>0</v>
      </c>
      <c r="B575" s="33">
        <v>3500</v>
      </c>
      <c r="C575" s="33">
        <v>4800</v>
      </c>
      <c r="D575" s="33">
        <f>5431-31</f>
        <v>5400</v>
      </c>
      <c r="E575" s="1097" t="s">
        <v>3145</v>
      </c>
      <c r="F575" s="916" t="s">
        <v>720</v>
      </c>
      <c r="G575" s="33">
        <v>5100</v>
      </c>
      <c r="H575" s="138">
        <f t="shared" si="598"/>
        <v>-5.5555555555555554</v>
      </c>
      <c r="I575" s="33">
        <f>ROUNDUP(G575+(G575*Assumptions!H$5),-2)</f>
        <v>5200</v>
      </c>
      <c r="J575" s="33">
        <f>ROUNDUP(I575+(I575*Assumptions!I$5),-2)</f>
        <v>5400</v>
      </c>
      <c r="K575" s="33">
        <f>ROUNDUP(J575+(J575*Assumptions!J$5),-2)</f>
        <v>5600</v>
      </c>
      <c r="L575" s="33">
        <f>ROUNDUP(K575+(K575*Assumptions!K$5),-2)</f>
        <v>5800</v>
      </c>
      <c r="M575" s="33">
        <f>ROUNDUP(L575+(L575*Assumptions!L$5),-2)</f>
        <v>6000</v>
      </c>
      <c r="N575" s="33">
        <f>ROUNDUP(M575+(M575*Assumptions!M$5),-2)</f>
        <v>6200</v>
      </c>
      <c r="O575" s="33">
        <f>ROUNDUP(N575+(N575*Assumptions!N$5),-2)</f>
        <v>6400</v>
      </c>
      <c r="P575" s="33">
        <f>ROUNDUP(O575+(O575*Assumptions!O$5),-2)</f>
        <v>6600</v>
      </c>
      <c r="Q575" s="33">
        <f>ROUNDUP(P575+(P575*Assumptions!P$5),-2)</f>
        <v>6800</v>
      </c>
      <c r="R575" s="114">
        <f>ROUNDUP(Q575+(Q575*Assumptions!Q$5),-2)</f>
        <v>7000</v>
      </c>
    </row>
    <row r="576" spans="1:18" x14ac:dyDescent="0.2">
      <c r="A576" s="107">
        <v>0</v>
      </c>
      <c r="B576" s="33">
        <v>0</v>
      </c>
      <c r="C576" s="33">
        <v>0</v>
      </c>
      <c r="D576" s="33">
        <v>0</v>
      </c>
      <c r="E576" s="1097" t="s">
        <v>3146</v>
      </c>
      <c r="F576" s="916" t="s">
        <v>3094</v>
      </c>
      <c r="G576" s="33">
        <v>4800</v>
      </c>
      <c r="H576" s="138">
        <f t="shared" si="598"/>
        <v>100</v>
      </c>
      <c r="I576" s="33">
        <f>ROUNDUP(G576+(G576*Assumptions!H$5),-2)</f>
        <v>4900</v>
      </c>
      <c r="J576" s="33">
        <f>ROUNDUP(I576+(I576*Assumptions!I$5),-2)</f>
        <v>5100</v>
      </c>
      <c r="K576" s="33">
        <f>ROUNDUP(J576+(J576*Assumptions!J$5),-2)</f>
        <v>5300</v>
      </c>
      <c r="L576" s="33">
        <f>ROUNDUP(K576+(K576*Assumptions!K$5),-2)</f>
        <v>5500</v>
      </c>
      <c r="M576" s="33">
        <f>ROUNDUP(L576+(L576*Assumptions!L$5),-2)</f>
        <v>5700</v>
      </c>
      <c r="N576" s="33">
        <f>ROUNDUP(M576+(M576*Assumptions!M$5),-2)</f>
        <v>5900</v>
      </c>
      <c r="O576" s="33">
        <f>ROUNDUP(N576+(N576*Assumptions!N$5),-2)</f>
        <v>6100</v>
      </c>
      <c r="P576" s="33">
        <f>ROUNDUP(O576+(O576*Assumptions!O$5),-2)</f>
        <v>6300</v>
      </c>
      <c r="Q576" s="33">
        <f>ROUNDUP(P576+(P576*Assumptions!P$5),-2)</f>
        <v>6500</v>
      </c>
      <c r="R576" s="114">
        <f>ROUNDUP(Q576+(Q576*Assumptions!Q$5),-2)</f>
        <v>6700</v>
      </c>
    </row>
    <row r="577" spans="1:18" x14ac:dyDescent="0.2">
      <c r="A577" s="107">
        <v>0</v>
      </c>
      <c r="B577" s="33">
        <v>0</v>
      </c>
      <c r="C577" s="33">
        <v>16100</v>
      </c>
      <c r="D577" s="33">
        <v>0</v>
      </c>
      <c r="E577" s="1097" t="s">
        <v>4025</v>
      </c>
      <c r="F577" s="916" t="s">
        <v>4681</v>
      </c>
      <c r="G577" s="33">
        <v>10600</v>
      </c>
      <c r="H577" s="138">
        <f t="shared" si="598"/>
        <v>100</v>
      </c>
      <c r="I577" s="33">
        <f>ROUNDUP(G577+(G577*Assumptions!H$5),-2)</f>
        <v>10800</v>
      </c>
      <c r="J577" s="33">
        <f>ROUNDUP(I577+(I577*Assumptions!I$5),-2)</f>
        <v>11100</v>
      </c>
      <c r="K577" s="33">
        <f>ROUNDUP(J577+(J577*Assumptions!J$5),-2)</f>
        <v>11400</v>
      </c>
      <c r="L577" s="33">
        <f>ROUNDUP(K577+(K577*Assumptions!K$5),-2)</f>
        <v>11700</v>
      </c>
      <c r="M577" s="33">
        <f>ROUNDUP(L577+(L577*Assumptions!L$5),-2)</f>
        <v>12000</v>
      </c>
      <c r="N577" s="33">
        <f>ROUNDUP(M577+(M577*Assumptions!M$5),-2)</f>
        <v>12300</v>
      </c>
      <c r="O577" s="33">
        <f>ROUNDUP(N577+(N577*Assumptions!N$5),-2)</f>
        <v>12600</v>
      </c>
      <c r="P577" s="33">
        <f>ROUNDUP(O577+(O577*Assumptions!O$5),-2)</f>
        <v>12900</v>
      </c>
      <c r="Q577" s="33">
        <f>ROUNDUP(P577+(P577*Assumptions!P$5),-2)</f>
        <v>13200</v>
      </c>
      <c r="R577" s="114">
        <f>ROUNDUP(Q577+(Q577*Assumptions!Q$5),-2)</f>
        <v>13500</v>
      </c>
    </row>
    <row r="578" spans="1:18" ht="12.75" hidden="1" customHeight="1" x14ac:dyDescent="0.2">
      <c r="A578" s="107"/>
      <c r="B578" s="33"/>
      <c r="C578" s="33"/>
      <c r="D578" s="33">
        <f>ROUNDUP(C578+(C578*Assumptions!F$5),-2)</f>
        <v>0</v>
      </c>
      <c r="E578" s="658"/>
      <c r="F578" s="528"/>
      <c r="G578" s="33">
        <v>0</v>
      </c>
      <c r="H578" s="138"/>
      <c r="I578" s="33">
        <f>ROUNDUP(G578+(G578*Assumptions!H$5),-2)</f>
        <v>0</v>
      </c>
      <c r="J578" s="33">
        <f>ROUNDUP(I578+(I578*Assumptions!I$5),-2)</f>
        <v>0</v>
      </c>
      <c r="K578" s="33">
        <f>ROUNDUP(J578+(J578*Assumptions!J$5),-2)</f>
        <v>0</v>
      </c>
      <c r="L578" s="33">
        <f>ROUNDUP(K578+(K578*Assumptions!K$5),-2)</f>
        <v>0</v>
      </c>
      <c r="M578" s="33">
        <f>ROUNDUP(L578+(L578*Assumptions!L$5),-2)</f>
        <v>0</v>
      </c>
      <c r="N578" s="33">
        <f>ROUNDUP(M578+(M578*Assumptions!M$5),-2)</f>
        <v>0</v>
      </c>
      <c r="O578" s="33">
        <f>ROUNDUP(N578+(N578*Assumptions!N$5),-2)</f>
        <v>0</v>
      </c>
      <c r="P578" s="33">
        <f>ROUNDUP(O578+(O578*Assumptions!O$5),-2)</f>
        <v>0</v>
      </c>
      <c r="Q578" s="33">
        <f>ROUNDUP(P578+(P578*Assumptions!P$5),-2)</f>
        <v>0</v>
      </c>
      <c r="R578" s="114">
        <f>ROUNDUP(Q578+(Q578*Assumptions!Q$5),-2)</f>
        <v>0</v>
      </c>
    </row>
    <row r="579" spans="1:18" ht="12.75" hidden="1" customHeight="1" x14ac:dyDescent="0.2">
      <c r="A579" s="107"/>
      <c r="B579" s="33"/>
      <c r="C579" s="33"/>
      <c r="D579" s="33">
        <f>ROUNDUP(C579+(C579*Assumptions!F$5),-2)</f>
        <v>0</v>
      </c>
      <c r="E579" s="658"/>
      <c r="F579" s="371" t="s">
        <v>2278</v>
      </c>
      <c r="G579" s="33">
        <v>0</v>
      </c>
      <c r="H579" s="138"/>
      <c r="I579" s="33">
        <f>ROUNDUP(G579+(G579*Assumptions!H$5),-2)</f>
        <v>0</v>
      </c>
      <c r="J579" s="33">
        <f>ROUNDUP(I579+(I579*Assumptions!I$5),-2)</f>
        <v>0</v>
      </c>
      <c r="K579" s="33">
        <f>ROUNDUP(J579+(J579*Assumptions!J$5),-2)</f>
        <v>0</v>
      </c>
      <c r="L579" s="33">
        <f>ROUNDUP(K579+(K579*Assumptions!K$5),-2)</f>
        <v>0</v>
      </c>
      <c r="M579" s="33">
        <f>ROUNDUP(L579+(L579*Assumptions!L$5),-2)</f>
        <v>0</v>
      </c>
      <c r="N579" s="33">
        <f>ROUNDUP(M579+(M579*Assumptions!M$5),-2)</f>
        <v>0</v>
      </c>
      <c r="O579" s="33">
        <f>ROUNDUP(N579+(N579*Assumptions!N$5),-2)</f>
        <v>0</v>
      </c>
      <c r="P579" s="33">
        <f>ROUNDUP(O579+(O579*Assumptions!O$5),-2)</f>
        <v>0</v>
      </c>
      <c r="Q579" s="33">
        <f>ROUNDUP(P579+(P579*Assumptions!P$5),-2)</f>
        <v>0</v>
      </c>
      <c r="R579" s="114">
        <f>ROUNDUP(Q579+(Q579*Assumptions!Q$5),-2)</f>
        <v>0</v>
      </c>
    </row>
    <row r="580" spans="1:18" ht="12.75" hidden="1" customHeight="1" x14ac:dyDescent="0.2">
      <c r="A580" s="107">
        <v>0</v>
      </c>
      <c r="B580" s="33">
        <v>0</v>
      </c>
      <c r="C580" s="33"/>
      <c r="D580" s="33">
        <f>ROUNDUP(C580+(C580*Assumptions!F$5),-2)</f>
        <v>0</v>
      </c>
      <c r="E580" s="1092" t="s">
        <v>3049</v>
      </c>
      <c r="F580" s="814" t="s">
        <v>3050</v>
      </c>
      <c r="G580" s="33">
        <v>0</v>
      </c>
      <c r="H580" s="138" t="e">
        <f>IF(E580=G580,0,IF(E580=0,100,(G580-E580)/E580*100))</f>
        <v>#VALUE!</v>
      </c>
      <c r="I580" s="33">
        <f>ROUNDUP(G580+(G580*Assumptions!H$5),-2)</f>
        <v>0</v>
      </c>
      <c r="J580" s="33">
        <f>ROUNDUP(I580+(I580*Assumptions!I$5),-2)</f>
        <v>0</v>
      </c>
      <c r="K580" s="33">
        <f>ROUNDUP(J580+(J580*Assumptions!J$5),-2)</f>
        <v>0</v>
      </c>
      <c r="L580" s="33">
        <f>ROUNDUP(K580+(K580*Assumptions!K$5),-2)</f>
        <v>0</v>
      </c>
      <c r="M580" s="33">
        <f>ROUNDUP(L580+(L580*Assumptions!L$5),-2)</f>
        <v>0</v>
      </c>
      <c r="N580" s="33">
        <f>ROUNDUP(M580+(M580*Assumptions!M$5),-2)</f>
        <v>0</v>
      </c>
      <c r="O580" s="33">
        <f>ROUNDUP(N580+(N580*Assumptions!N$5),-2)</f>
        <v>0</v>
      </c>
      <c r="P580" s="33">
        <f>ROUNDUP(O580+(O580*Assumptions!O$5),-2)</f>
        <v>0</v>
      </c>
      <c r="Q580" s="33">
        <f>ROUNDUP(P580+(P580*Assumptions!P$5),-2)</f>
        <v>0</v>
      </c>
      <c r="R580" s="114">
        <f>ROUNDUP(Q580+(Q580*Assumptions!Q$5),-2)</f>
        <v>0</v>
      </c>
    </row>
    <row r="581" spans="1:18" x14ac:dyDescent="0.2">
      <c r="A581" s="107"/>
      <c r="B581" s="33"/>
      <c r="C581" s="33"/>
      <c r="D581" s="33"/>
      <c r="E581" s="673"/>
      <c r="F581" s="355"/>
      <c r="G581" s="33"/>
      <c r="H581" s="138"/>
      <c r="I581" s="33"/>
      <c r="J581" s="33"/>
      <c r="K581" s="33"/>
      <c r="L581" s="33"/>
      <c r="M581" s="33"/>
      <c r="N581" s="33"/>
      <c r="O581" s="33"/>
      <c r="P581" s="33"/>
      <c r="Q581" s="33"/>
      <c r="R581" s="114"/>
    </row>
    <row r="582" spans="1:18" x14ac:dyDescent="0.2">
      <c r="A582" s="107"/>
      <c r="B582" s="33"/>
      <c r="C582" s="187"/>
      <c r="D582" s="33"/>
      <c r="E582" s="240"/>
      <c r="F582" s="243" t="s">
        <v>2904</v>
      </c>
      <c r="G582" s="187"/>
      <c r="H582" s="138"/>
      <c r="I582" s="33"/>
      <c r="J582" s="33"/>
      <c r="K582" s="33"/>
      <c r="L582" s="33"/>
      <c r="M582" s="33"/>
      <c r="N582" s="33"/>
      <c r="O582" s="33"/>
      <c r="P582" s="33"/>
      <c r="Q582" s="33"/>
      <c r="R582" s="114"/>
    </row>
    <row r="583" spans="1:18" x14ac:dyDescent="0.2">
      <c r="A583" s="107">
        <v>12900</v>
      </c>
      <c r="B583" s="33">
        <v>14400</v>
      </c>
      <c r="C583" s="187">
        <v>13600</v>
      </c>
      <c r="D583" s="33">
        <f>11713-13</f>
        <v>11700</v>
      </c>
      <c r="E583" s="1955" t="s">
        <v>2511</v>
      </c>
      <c r="F583" s="443" t="s">
        <v>2774</v>
      </c>
      <c r="G583" s="187">
        <v>12000</v>
      </c>
      <c r="H583" s="138">
        <f>IF(D583=G583,0,IF(D583=0,100,(G583-D583)/D583*100))</f>
        <v>2.5641025641025639</v>
      </c>
      <c r="I583" s="33">
        <f>ROUNDUP(G583+(G583*Assumptions!H$5),-2)</f>
        <v>12200</v>
      </c>
      <c r="J583" s="33">
        <f>ROUNDUP(I583+(I583*Assumptions!I$5),-2)</f>
        <v>12600</v>
      </c>
      <c r="K583" s="33">
        <f>ROUNDUP(J583+(J583*Assumptions!J$5),-2)</f>
        <v>13000</v>
      </c>
      <c r="L583" s="33">
        <f>ROUNDUP(K583+(K583*Assumptions!K$5),-2)</f>
        <v>13400</v>
      </c>
      <c r="M583" s="33">
        <f>ROUNDUP(L583+(L583*Assumptions!L$5),-2)</f>
        <v>13700</v>
      </c>
      <c r="N583" s="33">
        <f>ROUNDUP(M583+(M583*Assumptions!M$5),-2)</f>
        <v>14000</v>
      </c>
      <c r="O583" s="33">
        <f>ROUNDUP(N583+(N583*Assumptions!N$5),-2)</f>
        <v>14300</v>
      </c>
      <c r="P583" s="33">
        <f>ROUNDUP(O583+(O583*Assumptions!O$5),-2)</f>
        <v>14600</v>
      </c>
      <c r="Q583" s="33">
        <f>ROUNDUP(P583+(P583*Assumptions!P$5),-2)</f>
        <v>14900</v>
      </c>
      <c r="R583" s="114">
        <f>ROUNDUP(Q583+(Q583*Assumptions!Q$5),-2)</f>
        <v>15200</v>
      </c>
    </row>
    <row r="584" spans="1:18" x14ac:dyDescent="0.2">
      <c r="A584" s="107">
        <v>8700</v>
      </c>
      <c r="B584" s="33">
        <v>19200</v>
      </c>
      <c r="C584" s="187">
        <f>10300+6700</f>
        <v>17000</v>
      </c>
      <c r="D584" s="33">
        <f>21539-39</f>
        <v>21500</v>
      </c>
      <c r="E584" s="1955" t="s">
        <v>33</v>
      </c>
      <c r="F584" s="953" t="s">
        <v>1470</v>
      </c>
      <c r="G584" s="187">
        <v>27000</v>
      </c>
      <c r="H584" s="138">
        <f>IF(D584=G584,0,IF(D584=0,100,(G584-D584)/D584*100))</f>
        <v>25.581395348837212</v>
      </c>
      <c r="I584" s="33">
        <f>ROUNDUP(G584+(G584*Assumptions!H$5),-2)</f>
        <v>27500</v>
      </c>
      <c r="J584" s="33">
        <f>ROUNDUP(I584+(I584*Assumptions!I$5),-2)</f>
        <v>28200</v>
      </c>
      <c r="K584" s="33">
        <f>ROUNDUP(J584+(J584*Assumptions!J$5),-2)</f>
        <v>29000</v>
      </c>
      <c r="L584" s="33">
        <f>ROUNDUP(K584+(K584*Assumptions!K$5),-2)</f>
        <v>29800</v>
      </c>
      <c r="M584" s="33">
        <f>ROUNDUP(L584+(L584*Assumptions!L$5),-2)</f>
        <v>30400</v>
      </c>
      <c r="N584" s="33">
        <f>ROUNDUP(M584+(M584*Assumptions!M$5),-2)</f>
        <v>31100</v>
      </c>
      <c r="O584" s="33">
        <f>ROUNDUP(N584+(N584*Assumptions!N$5),-2)</f>
        <v>31800</v>
      </c>
      <c r="P584" s="33">
        <f>ROUNDUP(O584+(O584*Assumptions!O$5),-2)</f>
        <v>32500</v>
      </c>
      <c r="Q584" s="33">
        <f>ROUNDUP(P584+(P584*Assumptions!P$5),-2)</f>
        <v>33200</v>
      </c>
      <c r="R584" s="114">
        <f>ROUNDUP(Q584+(Q584*Assumptions!Q$5),-2)</f>
        <v>33900</v>
      </c>
    </row>
    <row r="585" spans="1:18" x14ac:dyDescent="0.2">
      <c r="A585" s="107">
        <v>0</v>
      </c>
      <c r="B585" s="33">
        <v>0</v>
      </c>
      <c r="C585" s="187">
        <v>0</v>
      </c>
      <c r="D585" s="33">
        <f>1101-1</f>
        <v>1100</v>
      </c>
      <c r="E585" s="1097" t="s">
        <v>6133</v>
      </c>
      <c r="F585" s="953" t="s">
        <v>3775</v>
      </c>
      <c r="G585" s="187">
        <v>4700</v>
      </c>
      <c r="H585" s="138">
        <f>IF(D585=G585,0,IF(D585=0,100,(G585-D585)/D585*100))</f>
        <v>327.27272727272731</v>
      </c>
      <c r="I585" s="33">
        <v>0</v>
      </c>
      <c r="J585" s="33">
        <f>ROUNDUP(I585+(I585*Assumptions!I$5),-2)</f>
        <v>0</v>
      </c>
      <c r="K585" s="33">
        <f>ROUNDUP(J585+(J585*Assumptions!J$5),-2)</f>
        <v>0</v>
      </c>
      <c r="L585" s="33">
        <f>ROUNDUP(K585+(K585*Assumptions!K$5),-2)</f>
        <v>0</v>
      </c>
      <c r="M585" s="33">
        <f>ROUNDUP(L585+(L585*Assumptions!L$5),-2)</f>
        <v>0</v>
      </c>
      <c r="N585" s="33">
        <f>ROUNDUP(M585+(M585*Assumptions!M$5),-2)</f>
        <v>0</v>
      </c>
      <c r="O585" s="33">
        <f>ROUNDUP(N585+(N585*Assumptions!N$5),-2)</f>
        <v>0</v>
      </c>
      <c r="P585" s="33">
        <f>ROUNDUP(O585+(O585*Assumptions!O$5),-2)</f>
        <v>0</v>
      </c>
      <c r="Q585" s="33">
        <f>ROUNDUP(P585+(P585*Assumptions!P$5),-2)</f>
        <v>0</v>
      </c>
      <c r="R585" s="114">
        <f>ROUNDUP(Q585+(Q585*Assumptions!Q$5),-2)</f>
        <v>0</v>
      </c>
    </row>
    <row r="586" spans="1:18" x14ac:dyDescent="0.2">
      <c r="A586" s="107"/>
      <c r="B586" s="33"/>
      <c r="C586" s="187"/>
      <c r="D586" s="33"/>
      <c r="E586" s="1955"/>
      <c r="F586" s="443"/>
      <c r="G586" s="187"/>
      <c r="H586" s="138"/>
      <c r="I586" s="33"/>
      <c r="J586" s="33"/>
      <c r="K586" s="33"/>
      <c r="L586" s="33"/>
      <c r="M586" s="33"/>
      <c r="N586" s="33"/>
      <c r="O586" s="33"/>
      <c r="P586" s="33"/>
      <c r="Q586" s="33"/>
      <c r="R586" s="114"/>
    </row>
    <row r="587" spans="1:18" x14ac:dyDescent="0.2">
      <c r="A587" s="107"/>
      <c r="B587" s="33"/>
      <c r="C587" s="187"/>
      <c r="D587" s="33"/>
      <c r="E587" s="1955"/>
      <c r="F587" s="602" t="s">
        <v>1301</v>
      </c>
      <c r="G587" s="187"/>
      <c r="H587" s="138"/>
      <c r="I587" s="33"/>
      <c r="J587" s="33"/>
      <c r="K587" s="33"/>
      <c r="L587" s="33"/>
      <c r="M587" s="33"/>
      <c r="N587" s="33"/>
      <c r="O587" s="33"/>
      <c r="P587" s="33"/>
      <c r="Q587" s="33"/>
      <c r="R587" s="114"/>
    </row>
    <row r="588" spans="1:18" x14ac:dyDescent="0.2">
      <c r="A588" s="107">
        <v>5200</v>
      </c>
      <c r="B588" s="33">
        <v>5700</v>
      </c>
      <c r="C588" s="187">
        <v>5000</v>
      </c>
      <c r="D588" s="33">
        <f>4638-38</f>
        <v>4600</v>
      </c>
      <c r="E588" s="1955" t="s">
        <v>2512</v>
      </c>
      <c r="F588" s="443" t="s">
        <v>2774</v>
      </c>
      <c r="G588" s="187">
        <v>5100</v>
      </c>
      <c r="H588" s="138">
        <f>IF(D588=G588,0,IF(D588=0,100,(G588-D588)/D588*100))</f>
        <v>10.869565217391305</v>
      </c>
      <c r="I588" s="33">
        <f>ROUNDUP(G588+(G588*Assumptions!H$5),-2)</f>
        <v>5200</v>
      </c>
      <c r="J588" s="33">
        <f>ROUNDUP(I588+(I588*Assumptions!I$5),-2)</f>
        <v>5400</v>
      </c>
      <c r="K588" s="33">
        <f>ROUNDUP(J588+(J588*Assumptions!J$5),-2)</f>
        <v>5600</v>
      </c>
      <c r="L588" s="33">
        <f>ROUNDUP(K588+(K588*Assumptions!K$5),-2)</f>
        <v>5800</v>
      </c>
      <c r="M588" s="33">
        <f>ROUNDUP(L588+(L588*Assumptions!L$5),-2)</f>
        <v>6000</v>
      </c>
      <c r="N588" s="33">
        <f>ROUNDUP(M588+(M588*Assumptions!M$5),-2)</f>
        <v>6200</v>
      </c>
      <c r="O588" s="33">
        <f>ROUNDUP(N588+(N588*Assumptions!N$5),-2)</f>
        <v>6400</v>
      </c>
      <c r="P588" s="33">
        <f>ROUNDUP(O588+(O588*Assumptions!O$5),-2)</f>
        <v>6600</v>
      </c>
      <c r="Q588" s="33">
        <f>ROUNDUP(P588+(P588*Assumptions!P$5),-2)</f>
        <v>6800</v>
      </c>
      <c r="R588" s="114">
        <f>ROUNDUP(Q588+(Q588*Assumptions!Q$5),-2)</f>
        <v>7000</v>
      </c>
    </row>
    <row r="589" spans="1:18" x14ac:dyDescent="0.2">
      <c r="A589" s="107"/>
      <c r="B589" s="33"/>
      <c r="C589" s="33"/>
      <c r="D589" s="33"/>
      <c r="E589" s="658"/>
      <c r="F589" s="439" t="s">
        <v>1130</v>
      </c>
      <c r="G589" s="33"/>
      <c r="H589" s="138"/>
      <c r="I589" s="33"/>
      <c r="J589" s="33"/>
      <c r="K589" s="33"/>
      <c r="L589" s="33"/>
      <c r="M589" s="33"/>
      <c r="N589" s="33"/>
      <c r="O589" s="33"/>
      <c r="P589" s="33"/>
      <c r="Q589" s="33"/>
      <c r="R589" s="114"/>
    </row>
    <row r="590" spans="1:18" x14ac:dyDescent="0.2">
      <c r="A590" s="107">
        <v>3300</v>
      </c>
      <c r="B590" s="33">
        <v>2900</v>
      </c>
      <c r="C590" s="33">
        <v>2500</v>
      </c>
      <c r="D590" s="33">
        <f>ROUND('Debt-Gen'!J$10,-2)</f>
        <v>2200</v>
      </c>
      <c r="E590" s="1955" t="s">
        <v>2334</v>
      </c>
      <c r="F590" s="99" t="s">
        <v>1871</v>
      </c>
      <c r="G590" s="187">
        <f>ROUND('Debt-Gen'!L$10,-2)</f>
        <v>1800</v>
      </c>
      <c r="H590" s="138">
        <f>IF(D590=G590,0,IF(D590=0,100,(G590-D590)/D590*100))</f>
        <v>-18.181818181818183</v>
      </c>
      <c r="I590" s="33">
        <f>ROUND('Debt-Gen'!N$10,-2)</f>
        <v>1300</v>
      </c>
      <c r="J590" s="33">
        <f>ROUND('Debt-Gen'!P$10,-2)</f>
        <v>800</v>
      </c>
      <c r="K590" s="33">
        <f>ROUND('Debt-Gen'!R$10,-2)</f>
        <v>300</v>
      </c>
      <c r="L590" s="33">
        <f>ROUND('Debt-Gen'!T$10,-2)</f>
        <v>0</v>
      </c>
      <c r="M590" s="33">
        <f>ROUND('Debt-Gen'!V$10,-2)</f>
        <v>0</v>
      </c>
      <c r="N590" s="33">
        <f>ROUND('Debt-Gen'!X$10,-2)</f>
        <v>0</v>
      </c>
      <c r="O590" s="33">
        <f>ROUND('Debt-Gen'!Z$10,-2)</f>
        <v>0</v>
      </c>
      <c r="P590" s="33">
        <f>ROUND('Debt-Gen'!AB$10,-2)</f>
        <v>0</v>
      </c>
      <c r="Q590" s="33">
        <f>ROUND('Debt-Gen'!AD$10,-2)</f>
        <v>0</v>
      </c>
      <c r="R590" s="114">
        <f>ROUND('Debt-Gen'!AF$10,-2)</f>
        <v>0</v>
      </c>
    </row>
    <row r="591" spans="1:18" x14ac:dyDescent="0.2">
      <c r="A591" s="107">
        <v>11100</v>
      </c>
      <c r="B591" s="33">
        <v>10400</v>
      </c>
      <c r="C591" s="33">
        <f>ROUND('Debt-Gen'!H13,-2)</f>
        <v>9600</v>
      </c>
      <c r="D591" s="33">
        <f>ROUND('Debt-Gen'!J13,-2)</f>
        <v>8900</v>
      </c>
      <c r="E591" s="1955" t="s">
        <v>1482</v>
      </c>
      <c r="F591" s="814" t="s">
        <v>4587</v>
      </c>
      <c r="G591" s="187">
        <f>ROUND('Debt-Gen'!L13,-2)</f>
        <v>8000</v>
      </c>
      <c r="H591" s="138">
        <f>IF(D591=G591,0,IF(D591=0,100,(G591-D591)/D591*100))</f>
        <v>-10.112359550561797</v>
      </c>
      <c r="I591" s="33">
        <f>ROUND('Debt-Gen'!N13,-2)</f>
        <v>7000</v>
      </c>
      <c r="J591" s="33">
        <f>ROUND('Debt-Gen'!P13,-2)</f>
        <v>6000</v>
      </c>
      <c r="K591" s="33">
        <f>ROUND('Debt-Gen'!R13,-2)</f>
        <v>5000</v>
      </c>
      <c r="L591" s="33">
        <f>ROUND('Debt-Gen'!T13,-2)</f>
        <v>3700</v>
      </c>
      <c r="M591" s="33">
        <f>ROUND('Debt-Gen'!V13,-2)</f>
        <v>2500</v>
      </c>
      <c r="N591" s="33">
        <f>ROUND('Debt-Gen'!X13,-2)</f>
        <v>1100</v>
      </c>
      <c r="O591" s="33">
        <f>ROUND('Debt-Gen'!Z13,-2)</f>
        <v>0</v>
      </c>
      <c r="P591" s="33">
        <f>ROUND('Debt-Gen'!AB13,-2)</f>
        <v>0</v>
      </c>
      <c r="Q591" s="33">
        <f>ROUND('Debt-Gen'!AD13,-2)</f>
        <v>0</v>
      </c>
      <c r="R591" s="114">
        <f>ROUND('Debt-Gen'!AF13,-2)</f>
        <v>0</v>
      </c>
    </row>
    <row r="592" spans="1:18" x14ac:dyDescent="0.2">
      <c r="A592" s="107"/>
      <c r="B592" s="33"/>
      <c r="C592" s="33"/>
      <c r="D592" s="33"/>
      <c r="E592" s="1955"/>
      <c r="F592" s="1103" t="s">
        <v>265</v>
      </c>
      <c r="G592" s="187"/>
      <c r="H592" s="138"/>
      <c r="I592" s="33"/>
      <c r="J592" s="33"/>
      <c r="K592" s="33"/>
      <c r="L592" s="33"/>
      <c r="M592" s="33"/>
      <c r="N592" s="33"/>
      <c r="O592" s="33"/>
      <c r="P592" s="33"/>
      <c r="Q592" s="33"/>
      <c r="R592" s="114"/>
    </row>
    <row r="593" spans="1:18" x14ac:dyDescent="0.2">
      <c r="A593" s="107">
        <v>274700</v>
      </c>
      <c r="B593" s="33">
        <v>2600</v>
      </c>
      <c r="C593" s="187">
        <v>49600</v>
      </c>
      <c r="D593" s="187">
        <v>50900</v>
      </c>
      <c r="E593" s="1955" t="s">
        <v>1794</v>
      </c>
      <c r="F593" s="601" t="s">
        <v>2826</v>
      </c>
      <c r="G593" s="187">
        <v>50000</v>
      </c>
      <c r="H593" s="138">
        <f>IF(D593=G593,0,IF(D593=0,100,(G593-D593)/D593*100))</f>
        <v>-1.768172888015717</v>
      </c>
      <c r="I593" s="33">
        <f>ROUNDUP(G593+(G593*Assumptions!H$18),-2)</f>
        <v>51000</v>
      </c>
      <c r="J593" s="33">
        <f>ROUNDUP(I593+(I593*Assumptions!I$18),-2)</f>
        <v>52100</v>
      </c>
      <c r="K593" s="33">
        <f>ROUNDUP(J593+(J593*Assumptions!J$18),-2)</f>
        <v>53200</v>
      </c>
      <c r="L593" s="33">
        <f>ROUNDUP(K593+(K593*Assumptions!K$18),-2)</f>
        <v>54300</v>
      </c>
      <c r="M593" s="33">
        <f>ROUNDUP(L593+(L593*Assumptions!L$18),-2)</f>
        <v>55400</v>
      </c>
      <c r="N593" s="33">
        <f>ROUNDUP(M593+(M593*Assumptions!M$18),-2)</f>
        <v>56600</v>
      </c>
      <c r="O593" s="33">
        <f>ROUNDUP(N593+(N593*Assumptions!N$18),-2)</f>
        <v>57800</v>
      </c>
      <c r="P593" s="33">
        <f>ROUNDUP(O593+(O593*Assumptions!O$18),-2)</f>
        <v>59000</v>
      </c>
      <c r="Q593" s="33">
        <f>ROUNDUP(P593+(P593*Assumptions!P$18),-2)</f>
        <v>60200</v>
      </c>
      <c r="R593" s="114">
        <f>ROUNDUP(Q593+(Q593*Assumptions!Q$18),-2)</f>
        <v>61500</v>
      </c>
    </row>
    <row r="594" spans="1:18" x14ac:dyDescent="0.2">
      <c r="A594" s="107">
        <v>438900</v>
      </c>
      <c r="B594" s="33">
        <v>490200</v>
      </c>
      <c r="C594" s="33">
        <v>530000</v>
      </c>
      <c r="D594" s="33">
        <v>540700</v>
      </c>
      <c r="E594" s="1955" t="s">
        <v>1124</v>
      </c>
      <c r="F594" s="33" t="s">
        <v>729</v>
      </c>
      <c r="G594" s="33">
        <v>530000</v>
      </c>
      <c r="H594" s="138">
        <f>IF(D594=G594,0,IF(D594=0,100,(G594-D594)/D594*100))</f>
        <v>-1.9789162197151839</v>
      </c>
      <c r="I594" s="33">
        <f>ROUNDUP(G594+(G594*Assumptions!H$18),-2)</f>
        <v>540600</v>
      </c>
      <c r="J594" s="33">
        <f>ROUNDUP(I594+(I594*Assumptions!I$18),-2)+8000000/100/2</f>
        <v>591500</v>
      </c>
      <c r="K594" s="33">
        <f>ROUNDUP(J594+(J594*Assumptions!J$18),-2)+8000000/100</f>
        <v>683400</v>
      </c>
      <c r="L594" s="33">
        <f>ROUNDUP(K594+(K594*Assumptions!K$18),-2)</f>
        <v>697100</v>
      </c>
      <c r="M594" s="33">
        <f>ROUNDUP(L594+(L594*Assumptions!L$18),-2)</f>
        <v>711100</v>
      </c>
      <c r="N594" s="33">
        <f>ROUNDUP(M594+(M594*Assumptions!M$18),-2)</f>
        <v>725400</v>
      </c>
      <c r="O594" s="33">
        <f>ROUNDUP(N594+(N594*Assumptions!N$18),-2)</f>
        <v>740000</v>
      </c>
      <c r="P594" s="33">
        <f>ROUNDUP(O594+(O594*Assumptions!O$18),-2)</f>
        <v>754800</v>
      </c>
      <c r="Q594" s="33">
        <f>ROUNDUP(P594+(P594*Assumptions!P$18),-2)</f>
        <v>769900</v>
      </c>
      <c r="R594" s="114">
        <f>ROUNDUP(Q594+(Q594*Assumptions!Q$18),-2)</f>
        <v>785300</v>
      </c>
    </row>
    <row r="595" spans="1:18" x14ac:dyDescent="0.2">
      <c r="A595" s="107">
        <v>180800</v>
      </c>
      <c r="B595" s="33">
        <v>200000</v>
      </c>
      <c r="C595" s="33">
        <v>260000</v>
      </c>
      <c r="D595" s="33">
        <v>270100</v>
      </c>
      <c r="E595" s="658" t="s">
        <v>125</v>
      </c>
      <c r="F595" s="108" t="s">
        <v>532</v>
      </c>
      <c r="G595" s="33">
        <v>260000</v>
      </c>
      <c r="H595" s="138">
        <f>IF(D595=G595,0,IF(D595=0,100,(G595-D595)/D595*100))</f>
        <v>-3.7393557941503146</v>
      </c>
      <c r="I595" s="33">
        <f>ROUNDUP(G595+(G595*Assumptions!H$18),-2)</f>
        <v>265200</v>
      </c>
      <c r="J595" s="33">
        <f>ROUNDUP(I595+(I595*Assumptions!I$18),-2)</f>
        <v>270600</v>
      </c>
      <c r="K595" s="33">
        <f>ROUNDUP(J595+(J595*Assumptions!J$18),-2)</f>
        <v>276100</v>
      </c>
      <c r="L595" s="33">
        <f>ROUNDUP(K595+(K595*Assumptions!K$18),-2)</f>
        <v>281700</v>
      </c>
      <c r="M595" s="33">
        <f>ROUNDUP(L595+(L595*Assumptions!L$18),-2)</f>
        <v>287400</v>
      </c>
      <c r="N595" s="33">
        <f>ROUNDUP(M595+(M595*Assumptions!M$18),-2)</f>
        <v>293200</v>
      </c>
      <c r="O595" s="33">
        <f>ROUNDUP(N595+(N595*Assumptions!N$18),-2)</f>
        <v>299100</v>
      </c>
      <c r="P595" s="33">
        <f>ROUNDUP(O595+(O595*Assumptions!O$18),-2)</f>
        <v>305100</v>
      </c>
      <c r="Q595" s="33">
        <f>ROUNDUP(P595+(P595*Assumptions!P$18),-2)</f>
        <v>311300</v>
      </c>
      <c r="R595" s="114">
        <f>ROUNDUP(Q595+(Q595*Assumptions!Q$18),-2)</f>
        <v>317600</v>
      </c>
    </row>
    <row r="596" spans="1:18" ht="13.5" thickBot="1" x14ac:dyDescent="0.25">
      <c r="A596" s="107"/>
      <c r="B596" s="33"/>
      <c r="C596" s="33"/>
      <c r="D596" s="33"/>
      <c r="E596" s="238"/>
      <c r="F596" s="103"/>
      <c r="G596" s="33"/>
      <c r="H596" s="138"/>
      <c r="I596" s="33"/>
      <c r="J596" s="33"/>
      <c r="K596" s="33"/>
      <c r="L596" s="33"/>
      <c r="M596" s="33"/>
      <c r="N596" s="33"/>
      <c r="O596" s="33"/>
      <c r="P596" s="33"/>
      <c r="Q596" s="33"/>
      <c r="R596" s="114"/>
    </row>
    <row r="597" spans="1:18" x14ac:dyDescent="0.2">
      <c r="A597" s="105">
        <f>SUM(A504:A596)</f>
        <v>1408200</v>
      </c>
      <c r="B597" s="53">
        <f>SUM(B504:B596)</f>
        <v>1354300</v>
      </c>
      <c r="C597" s="53">
        <f>SUM(C504:C596)</f>
        <v>1587400</v>
      </c>
      <c r="D597" s="53">
        <f>SUM(D504:D596)</f>
        <v>1623100</v>
      </c>
      <c r="E597" s="1990"/>
      <c r="F597" s="112" t="s">
        <v>565</v>
      </c>
      <c r="G597" s="53">
        <f>SUM(G504:G596)</f>
        <v>1696900</v>
      </c>
      <c r="H597" s="180">
        <f>IF(D597=G597,0,IF(D597=0,100,(G597-D597)/D597*100))</f>
        <v>4.5468547840552027</v>
      </c>
      <c r="I597" s="53">
        <f t="shared" ref="I597:R597" si="599">SUM(I504:I596)</f>
        <v>1704100</v>
      </c>
      <c r="J597" s="53">
        <f t="shared" si="599"/>
        <v>1963800</v>
      </c>
      <c r="K597" s="53">
        <f t="shared" si="599"/>
        <v>2269000</v>
      </c>
      <c r="L597" s="53">
        <f t="shared" si="599"/>
        <v>2322200</v>
      </c>
      <c r="M597" s="53">
        <f t="shared" si="599"/>
        <v>2372600</v>
      </c>
      <c r="N597" s="53">
        <f t="shared" si="599"/>
        <v>2423900</v>
      </c>
      <c r="O597" s="53">
        <f t="shared" si="599"/>
        <v>2476700</v>
      </c>
      <c r="P597" s="53">
        <f t="shared" si="599"/>
        <v>2531500</v>
      </c>
      <c r="Q597" s="53">
        <f t="shared" si="599"/>
        <v>2587400</v>
      </c>
      <c r="R597" s="113">
        <f t="shared" si="599"/>
        <v>2644400</v>
      </c>
    </row>
    <row r="598" spans="1:18" x14ac:dyDescent="0.2">
      <c r="A598" s="107"/>
      <c r="B598" s="33"/>
      <c r="C598" s="33"/>
      <c r="D598" s="33"/>
      <c r="E598" s="1955"/>
      <c r="F598" s="108"/>
      <c r="G598" s="33"/>
      <c r="H598" s="138"/>
      <c r="I598" s="33"/>
      <c r="J598" s="33"/>
      <c r="K598" s="33"/>
      <c r="L598" s="33"/>
      <c r="M598" s="33"/>
      <c r="N598" s="33"/>
      <c r="O598" s="33"/>
      <c r="P598" s="33"/>
      <c r="Q598" s="33"/>
      <c r="R598" s="114"/>
    </row>
    <row r="599" spans="1:18" x14ac:dyDescent="0.2">
      <c r="A599" s="70">
        <f>A502-A597</f>
        <v>-1169100</v>
      </c>
      <c r="B599" s="64">
        <f>B502-B597</f>
        <v>-1056200</v>
      </c>
      <c r="C599" s="64">
        <f>C502-C597</f>
        <v>-1198000</v>
      </c>
      <c r="D599" s="64">
        <f>D502-D597</f>
        <v>-1237300</v>
      </c>
      <c r="E599" s="1990"/>
      <c r="F599" s="1963" t="s">
        <v>1019</v>
      </c>
      <c r="G599" s="64">
        <f>G502-G597</f>
        <v>-1293900</v>
      </c>
      <c r="H599" s="179">
        <f>IF(D599=G599,0,IF(D599=0,100,(G599-D599)/D599*100))</f>
        <v>4.5744766831002988</v>
      </c>
      <c r="I599" s="64">
        <f t="shared" ref="I599:R599" si="600">I502-I597</f>
        <v>-1287100</v>
      </c>
      <c r="J599" s="64">
        <f t="shared" si="600"/>
        <v>-1473000</v>
      </c>
      <c r="K599" s="64">
        <f t="shared" si="600"/>
        <v>-1701600</v>
      </c>
      <c r="L599" s="64">
        <f t="shared" si="600"/>
        <v>-1739900</v>
      </c>
      <c r="M599" s="64">
        <f t="shared" si="600"/>
        <v>-1777800</v>
      </c>
      <c r="N599" s="64">
        <f t="shared" si="600"/>
        <v>-1816500</v>
      </c>
      <c r="O599" s="64">
        <f t="shared" si="600"/>
        <v>-1856400</v>
      </c>
      <c r="P599" s="64">
        <f t="shared" si="600"/>
        <v>-1898000</v>
      </c>
      <c r="Q599" s="64">
        <f t="shared" si="600"/>
        <v>-1940600</v>
      </c>
      <c r="R599" s="115">
        <f t="shared" si="600"/>
        <v>-1984200</v>
      </c>
    </row>
    <row r="600" spans="1:18" x14ac:dyDescent="0.2">
      <c r="A600" s="107">
        <f t="shared" ref="A600:B600" si="601">SUM(A592:A596)</f>
        <v>894400</v>
      </c>
      <c r="B600" s="33">
        <f t="shared" si="601"/>
        <v>692800</v>
      </c>
      <c r="C600" s="33">
        <f>SUM(C592:C596)</f>
        <v>839600</v>
      </c>
      <c r="D600" s="33">
        <f>SUM(D592:D596)</f>
        <v>861700</v>
      </c>
      <c r="E600" s="1955"/>
      <c r="F600" s="320" t="str">
        <f>E37</f>
        <v>Add Back Depreciation</v>
      </c>
      <c r="G600" s="33">
        <f t="shared" ref="G600:O600" si="602">SUM(G592:G596)</f>
        <v>840000</v>
      </c>
      <c r="H600" s="19">
        <f>IF(D600=G600,0,IF(D600=0,100,(G600-D600)/D600*100))</f>
        <v>-2.518277822908205</v>
      </c>
      <c r="I600" s="33">
        <f t="shared" si="602"/>
        <v>856800</v>
      </c>
      <c r="J600" s="33">
        <f t="shared" si="602"/>
        <v>914200</v>
      </c>
      <c r="K600" s="33">
        <f t="shared" si="602"/>
        <v>1012700</v>
      </c>
      <c r="L600" s="33">
        <f t="shared" si="602"/>
        <v>1033100</v>
      </c>
      <c r="M600" s="33">
        <f t="shared" si="602"/>
        <v>1053900</v>
      </c>
      <c r="N600" s="33">
        <f t="shared" si="602"/>
        <v>1075200</v>
      </c>
      <c r="O600" s="33">
        <f t="shared" si="602"/>
        <v>1096900</v>
      </c>
      <c r="P600" s="33">
        <f t="shared" ref="P600:Q600" si="603">SUM(P592:P596)</f>
        <v>1118900</v>
      </c>
      <c r="Q600" s="33">
        <f t="shared" si="603"/>
        <v>1141400</v>
      </c>
      <c r="R600" s="114">
        <f t="shared" ref="R600" si="604">SUM(R592:R596)</f>
        <v>1164400</v>
      </c>
    </row>
    <row r="601" spans="1:18" s="92" customFormat="1" x14ac:dyDescent="0.2">
      <c r="A601" s="181">
        <f>A599+A600</f>
        <v>-274700</v>
      </c>
      <c r="B601" s="397">
        <f>B599+B600</f>
        <v>-363400</v>
      </c>
      <c r="C601" s="397">
        <f>C599+C600</f>
        <v>-358400</v>
      </c>
      <c r="D601" s="397">
        <f>D599+D600</f>
        <v>-375600</v>
      </c>
      <c r="E601" s="523"/>
      <c r="F601" s="515" t="s">
        <v>1687</v>
      </c>
      <c r="G601" s="397">
        <f t="shared" ref="G601:O601" si="605">G599+G600</f>
        <v>-453900</v>
      </c>
      <c r="H601" s="395">
        <f>IF(D601=G601,0,IF(D601=0,100,(G601-D601)/D601*100))</f>
        <v>20.84664536741214</v>
      </c>
      <c r="I601" s="397">
        <f t="shared" si="605"/>
        <v>-430300</v>
      </c>
      <c r="J601" s="397">
        <f t="shared" si="605"/>
        <v>-558800</v>
      </c>
      <c r="K601" s="397">
        <f t="shared" si="605"/>
        <v>-688900</v>
      </c>
      <c r="L601" s="397">
        <f t="shared" si="605"/>
        <v>-706800</v>
      </c>
      <c r="M601" s="397">
        <f t="shared" si="605"/>
        <v>-723900</v>
      </c>
      <c r="N601" s="397">
        <f t="shared" si="605"/>
        <v>-741300</v>
      </c>
      <c r="O601" s="397">
        <f t="shared" si="605"/>
        <v>-759500</v>
      </c>
      <c r="P601" s="397">
        <f t="shared" ref="P601:Q601" si="606">P599+P600</f>
        <v>-779100</v>
      </c>
      <c r="Q601" s="397">
        <f t="shared" si="606"/>
        <v>-799200</v>
      </c>
      <c r="R601" s="399">
        <f t="shared" ref="R601" si="607">R599+R600</f>
        <v>-819800</v>
      </c>
    </row>
    <row r="602" spans="1:18" ht="13.5" thickBot="1" x14ac:dyDescent="0.25">
      <c r="A602" s="646"/>
      <c r="B602" s="183"/>
      <c r="C602" s="183"/>
      <c r="D602" s="183"/>
      <c r="E602" s="637"/>
      <c r="F602" s="638"/>
      <c r="G602" s="183"/>
      <c r="H602" s="46"/>
      <c r="I602" s="121"/>
      <c r="J602" s="121"/>
      <c r="K602" s="121"/>
      <c r="L602" s="121"/>
      <c r="M602" s="121"/>
      <c r="N602" s="121"/>
      <c r="O602" s="121"/>
      <c r="P602" s="121"/>
      <c r="Q602" s="121"/>
      <c r="R602" s="161"/>
    </row>
    <row r="603" spans="1:18" x14ac:dyDescent="0.2">
      <c r="A603" s="70"/>
      <c r="B603" s="128"/>
      <c r="C603" s="64"/>
      <c r="D603" s="64"/>
      <c r="E603" s="238"/>
      <c r="F603" s="516" t="s">
        <v>196</v>
      </c>
      <c r="G603" s="64"/>
      <c r="H603" s="179"/>
      <c r="I603" s="33"/>
      <c r="J603" s="33"/>
      <c r="K603" s="33"/>
      <c r="L603" s="33"/>
      <c r="M603" s="33"/>
      <c r="N603" s="33"/>
      <c r="O603" s="33"/>
      <c r="P603" s="33"/>
      <c r="Q603" s="33"/>
      <c r="R603" s="114"/>
    </row>
    <row r="604" spans="1:18" x14ac:dyDescent="0.2">
      <c r="A604" s="107">
        <v>15060</v>
      </c>
      <c r="B604" s="142">
        <f>ROUND(SUM('Debt-Gen'!E10:E13),-2)</f>
        <v>16200</v>
      </c>
      <c r="C604" s="33">
        <f>ROUND(SUM('Debt-Gen'!G10:G13),-2)</f>
        <v>17300</v>
      </c>
      <c r="D604" s="33">
        <f>ROUND(SUM('Debt-Gen'!I10:I13),-2)</f>
        <v>18500</v>
      </c>
      <c r="E604" s="238"/>
      <c r="F604" s="525" t="s">
        <v>1791</v>
      </c>
      <c r="G604" s="33">
        <f>ROUND(SUM('Debt-Gen'!K10:K13),-2)</f>
        <v>19900</v>
      </c>
      <c r="H604" s="138"/>
      <c r="I604" s="33">
        <f>ROUND(SUM('Debt-Gen'!M10:M13),-2)</f>
        <v>21300</v>
      </c>
      <c r="J604" s="33">
        <f>ROUND(SUM('Debt-Gen'!O10:O13),-2)</f>
        <v>22700</v>
      </c>
      <c r="K604" s="33">
        <f>ROUND(SUM('Debt-Gen'!Q10:Q13),-2)</f>
        <v>22800</v>
      </c>
      <c r="L604" s="33">
        <f>ROUND(SUM('Debt-Gen'!S10:S13),-2)</f>
        <v>16900</v>
      </c>
      <c r="M604" s="33">
        <f>ROUND(SUM('Debt-Gen'!U10:U13),-2)</f>
        <v>18100</v>
      </c>
      <c r="N604" s="33">
        <f>ROUND(SUM('Debt-Gen'!W10:W13),-2)</f>
        <v>19500</v>
      </c>
      <c r="O604" s="33">
        <f>ROUND(SUM('Debt-Gen'!Y10:Y13),-2)</f>
        <v>0</v>
      </c>
      <c r="P604" s="33">
        <f>ROUND(SUM('Debt-Gen'!AA10:AA13),-2)</f>
        <v>0</v>
      </c>
      <c r="Q604" s="33">
        <f>ROUND(SUM('Debt-Gen'!AC10:AC13),-2)</f>
        <v>0</v>
      </c>
      <c r="R604" s="114">
        <f>ROUND(SUM('Debt-Gen'!AD10:AD13),-2)</f>
        <v>0</v>
      </c>
    </row>
    <row r="605" spans="1:18" x14ac:dyDescent="0.2">
      <c r="A605" s="107">
        <v>85700</v>
      </c>
      <c r="B605" s="142">
        <v>104100</v>
      </c>
      <c r="C605" s="33">
        <v>298600</v>
      </c>
      <c r="D605" s="33">
        <f>'Res-Gen'!B13+'Res-Gen'!B16+'Res-Gen'!B17+'Res-Gen'!B71+'Res-Gen'!B29</f>
        <v>39100</v>
      </c>
      <c r="E605" s="238"/>
      <c r="F605" s="366" t="s">
        <v>1942</v>
      </c>
      <c r="G605" s="33">
        <f>'Res-Gen'!E15</f>
        <v>1000000</v>
      </c>
      <c r="H605" s="138"/>
      <c r="I605" s="33">
        <f>'Res-Gen'!H15</f>
        <v>2000000</v>
      </c>
      <c r="J605" s="33">
        <f>'Res-Gen'!K15</f>
        <v>1000000</v>
      </c>
      <c r="K605" s="33">
        <f>'Res-Gen'!N15</f>
        <v>1000000</v>
      </c>
      <c r="L605" s="33">
        <f>'Res-Gen'!Q15</f>
        <v>0</v>
      </c>
      <c r="M605" s="33">
        <v>0</v>
      </c>
      <c r="N605" s="33">
        <v>0</v>
      </c>
      <c r="O605" s="33">
        <v>0</v>
      </c>
      <c r="P605" s="33">
        <v>0</v>
      </c>
      <c r="Q605" s="33">
        <v>0</v>
      </c>
      <c r="R605" s="114">
        <v>0</v>
      </c>
    </row>
    <row r="606" spans="1:18" x14ac:dyDescent="0.2">
      <c r="A606" s="107">
        <v>80000</v>
      </c>
      <c r="B606" s="142">
        <v>379700</v>
      </c>
      <c r="C606" s="33">
        <v>56100</v>
      </c>
      <c r="D606" s="33">
        <f>'Res-Gen'!C14+'Res-Gen'!C16+35000+12600</f>
        <v>231000</v>
      </c>
      <c r="E606" s="238"/>
      <c r="F606" s="366" t="s">
        <v>2348</v>
      </c>
      <c r="G606" s="33">
        <f>'Res-Gen'!F233+'Res-Gen'!F17+'Res-Gen'!F16</f>
        <v>1020300</v>
      </c>
      <c r="H606" s="138"/>
      <c r="I606" s="33">
        <f>'Res-Gen'!I233+SUM('Res-Gen'!I13:I19)</f>
        <v>3257000</v>
      </c>
      <c r="J606" s="33">
        <f>'Res-Gen'!L233+SUM('Res-Gen'!L13:L19)</f>
        <v>3000000</v>
      </c>
      <c r="K606" s="33">
        <f>'Res-Gen'!O233+SUM('Res-Gen'!O13:O19)</f>
        <v>2000000</v>
      </c>
      <c r="L606" s="33">
        <f>'Res-Gen'!R233+SUM('Res-Gen'!R13:R19)</f>
        <v>1000000</v>
      </c>
      <c r="M606" s="33">
        <v>0</v>
      </c>
      <c r="N606" s="33">
        <v>0</v>
      </c>
      <c r="O606" s="33">
        <v>0</v>
      </c>
      <c r="P606" s="33">
        <v>0</v>
      </c>
      <c r="Q606" s="33">
        <v>0</v>
      </c>
      <c r="R606" s="114">
        <v>0</v>
      </c>
    </row>
    <row r="607" spans="1:18" x14ac:dyDescent="0.2">
      <c r="A607" s="107">
        <v>0</v>
      </c>
      <c r="B607" s="142">
        <v>9200</v>
      </c>
      <c r="C607" s="33">
        <f>+'Cap Inc'!A8</f>
        <v>180000</v>
      </c>
      <c r="D607" s="33">
        <f>'Cap Inc'!B6</f>
        <v>20000</v>
      </c>
      <c r="E607" s="238"/>
      <c r="F607" s="366" t="s">
        <v>5984</v>
      </c>
      <c r="G607" s="33">
        <v>0</v>
      </c>
      <c r="H607" s="138"/>
      <c r="I607" s="33">
        <v>0</v>
      </c>
      <c r="J607" s="33">
        <v>0</v>
      </c>
      <c r="K607" s="33">
        <f>'Cap Inc'!H7</f>
        <v>0</v>
      </c>
      <c r="L607" s="33">
        <f>'Cap Inc'!I124</f>
        <v>3000000</v>
      </c>
      <c r="M607" s="33">
        <v>0</v>
      </c>
      <c r="N607" s="33">
        <v>0</v>
      </c>
      <c r="O607" s="33">
        <v>0</v>
      </c>
      <c r="P607" s="33">
        <v>0</v>
      </c>
      <c r="Q607" s="33">
        <v>0</v>
      </c>
      <c r="R607" s="114">
        <v>0</v>
      </c>
    </row>
    <row r="608" spans="1:18" x14ac:dyDescent="0.2">
      <c r="A608" s="107">
        <v>0</v>
      </c>
      <c r="B608" s="142">
        <v>237400</v>
      </c>
      <c r="C608" s="33">
        <v>126100</v>
      </c>
      <c r="D608" s="33">
        <f>SUM('Cap-Gen'!E7:'Cap-Gen'!E12)-'Cap-Gen'!E11</f>
        <v>365800</v>
      </c>
      <c r="E608" s="238"/>
      <c r="F608" s="366" t="s">
        <v>972</v>
      </c>
      <c r="G608" s="33">
        <f>SUM('Cap-Gen'!F7:'Cap-Gen'!F12)</f>
        <v>26300</v>
      </c>
      <c r="H608" s="138"/>
      <c r="I608" s="33">
        <f>SUM('Cap-Gen'!G7:'Cap-Gen'!G12)</f>
        <v>1280000</v>
      </c>
      <c r="J608" s="33">
        <f>SUM('Cap-Gen'!H7:'Cap-Gen'!H12)</f>
        <v>2024000</v>
      </c>
      <c r="K608" s="33">
        <f>SUM('Cap-Gen'!I7:'Cap-Gen'!I12)</f>
        <v>1025000</v>
      </c>
      <c r="L608" s="33">
        <f>SUM('Cap-Gen'!J7:'Cap-Gen'!J12)</f>
        <v>4026000</v>
      </c>
      <c r="M608" s="33">
        <f>SUM('Cap-Gen'!K7:'Cap-Gen'!K12)</f>
        <v>27000</v>
      </c>
      <c r="N608" s="33">
        <f>SUM('Cap-Gen'!L7:'Cap-Gen'!L12)</f>
        <v>28000</v>
      </c>
      <c r="O608" s="33">
        <f>SUM('Cap-Gen'!M7:'Cap-Gen'!M12)</f>
        <v>29000</v>
      </c>
      <c r="P608" s="33">
        <f>SUM('Cap-Gen'!N7:'Cap-Gen'!N12)</f>
        <v>30000</v>
      </c>
      <c r="Q608" s="33">
        <f>SUM('Cap-Gen'!O7:'Cap-Gen'!O12)</f>
        <v>31000</v>
      </c>
      <c r="R608" s="114">
        <f>SUM('Cap-Gen'!P7:'Cap-Gen'!P12)</f>
        <v>32000</v>
      </c>
    </row>
    <row r="609" spans="1:18" s="92" customFormat="1" x14ac:dyDescent="0.2">
      <c r="A609" s="181">
        <f>A601-A604-A605+A606++A607-A608</f>
        <v>-295460</v>
      </c>
      <c r="B609" s="377">
        <f>B601-B604-B605+B606++B607-B608</f>
        <v>-332200</v>
      </c>
      <c r="C609" s="397">
        <f>C601-C604-C605+C606++C607-C608</f>
        <v>-564300</v>
      </c>
      <c r="D609" s="397">
        <f>D601-D604-D605+D606++D607-D608</f>
        <v>-548000</v>
      </c>
      <c r="E609" s="526"/>
      <c r="F609" s="518" t="s">
        <v>2490</v>
      </c>
      <c r="G609" s="397">
        <f t="shared" ref="G609:O609" si="608">G601-G604-G605+G606++G607-G608</f>
        <v>-479800</v>
      </c>
      <c r="H609" s="395">
        <f>IF(D609=G609,0,IF(D609=0,100,(G609-D609)/D609*100))</f>
        <v>-12.445255474452555</v>
      </c>
      <c r="I609" s="397">
        <f t="shared" si="608"/>
        <v>-474600</v>
      </c>
      <c r="J609" s="397">
        <f t="shared" si="608"/>
        <v>-605500</v>
      </c>
      <c r="K609" s="397">
        <f t="shared" si="608"/>
        <v>-736700</v>
      </c>
      <c r="L609" s="397">
        <f t="shared" si="608"/>
        <v>-749700</v>
      </c>
      <c r="M609" s="397">
        <f t="shared" si="608"/>
        <v>-769000</v>
      </c>
      <c r="N609" s="397">
        <f t="shared" si="608"/>
        <v>-788800</v>
      </c>
      <c r="O609" s="397">
        <f t="shared" si="608"/>
        <v>-788500</v>
      </c>
      <c r="P609" s="397">
        <f t="shared" ref="P609:Q609" si="609">P601-P604-P605+P606++P607-P608</f>
        <v>-809100</v>
      </c>
      <c r="Q609" s="397">
        <f t="shared" si="609"/>
        <v>-830200</v>
      </c>
      <c r="R609" s="399">
        <f t="shared" ref="R609" si="610">R601-R604-R605+R606++R607-R608</f>
        <v>-851800</v>
      </c>
    </row>
    <row r="610" spans="1:18" ht="13.5" thickBot="1" x14ac:dyDescent="0.25">
      <c r="A610" s="73"/>
      <c r="B610" s="134"/>
      <c r="C610" s="90"/>
      <c r="D610" s="90"/>
      <c r="E610" s="239"/>
      <c r="F610" s="368"/>
      <c r="G610" s="90"/>
      <c r="H610" s="392"/>
      <c r="I610" s="66"/>
      <c r="J610" s="66"/>
      <c r="K610" s="66"/>
      <c r="L610" s="66"/>
      <c r="M610" s="66"/>
      <c r="N610" s="66"/>
      <c r="O610" s="66"/>
      <c r="P610" s="66"/>
      <c r="Q610" s="66"/>
      <c r="R610" s="165"/>
    </row>
    <row r="611" spans="1:18" s="447" customFormat="1" ht="18.75" customHeight="1" thickTop="1" thickBot="1" x14ac:dyDescent="0.35">
      <c r="A611" s="538"/>
      <c r="B611" s="538"/>
      <c r="C611" s="538"/>
      <c r="D611" s="538"/>
      <c r="E611" s="2002"/>
      <c r="F611" s="538"/>
      <c r="G611" s="538"/>
      <c r="H611" s="538"/>
      <c r="I611" s="2003"/>
      <c r="J611" s="2003"/>
      <c r="K611" s="2003"/>
      <c r="L611" s="2003"/>
      <c r="M611" s="2003"/>
      <c r="N611" s="2003"/>
      <c r="O611" s="2003"/>
      <c r="P611" s="2003"/>
      <c r="Q611" s="2003"/>
      <c r="R611" s="2003"/>
    </row>
    <row r="612" spans="1:18" s="91" customFormat="1" ht="18.75" customHeight="1" thickTop="1" thickBot="1" x14ac:dyDescent="0.3">
      <c r="A612" s="2865" t="s">
        <v>3553</v>
      </c>
      <c r="B612" s="2866"/>
      <c r="C612" s="2866"/>
      <c r="D612" s="2866"/>
      <c r="E612" s="2866"/>
      <c r="F612" s="2866"/>
      <c r="G612" s="2866"/>
      <c r="H612" s="2866"/>
      <c r="I612" s="2866"/>
      <c r="J612" s="2866"/>
      <c r="K612" s="2866"/>
      <c r="L612" s="2866"/>
      <c r="M612" s="2866"/>
      <c r="N612" s="2866"/>
      <c r="O612" s="2866"/>
      <c r="P612" s="2866"/>
      <c r="Q612" s="2866"/>
      <c r="R612" s="2867"/>
    </row>
    <row r="613" spans="1:18" s="44" customFormat="1" x14ac:dyDescent="0.2">
      <c r="A613" s="2848" t="s">
        <v>1856</v>
      </c>
      <c r="B613" s="2840"/>
      <c r="C613" s="2840"/>
      <c r="D613" s="2849"/>
      <c r="E613" s="513" t="s">
        <v>2663</v>
      </c>
      <c r="F613" s="369" t="s">
        <v>2251</v>
      </c>
      <c r="G613" s="2839" t="s">
        <v>2253</v>
      </c>
      <c r="H613" s="2840"/>
      <c r="I613" s="2840"/>
      <c r="J613" s="2840"/>
      <c r="K613" s="2840"/>
      <c r="L613" s="2840"/>
      <c r="M613" s="2840"/>
      <c r="N613" s="2840"/>
      <c r="O613" s="2840"/>
      <c r="P613" s="2840"/>
      <c r="Q613" s="2840"/>
      <c r="R613" s="2841"/>
    </row>
    <row r="614" spans="1:18" s="23" customFormat="1" ht="13.5" thickBot="1" x14ac:dyDescent="0.25">
      <c r="A614" s="1698" t="str">
        <f>A483</f>
        <v>2012/13</v>
      </c>
      <c r="B614" s="218" t="str">
        <f>B483</f>
        <v>2013/14</v>
      </c>
      <c r="C614" s="370" t="str">
        <f>C483</f>
        <v>2014/15</v>
      </c>
      <c r="D614" s="93" t="str">
        <f>D483</f>
        <v>2015/16</v>
      </c>
      <c r="E614" s="1965" t="str">
        <f>E483</f>
        <v>ACCOUNT</v>
      </c>
      <c r="F614" s="42"/>
      <c r="G614" s="93" t="str">
        <f t="shared" ref="G614:R614" si="611">G483</f>
        <v>2016/17</v>
      </c>
      <c r="H614" s="2005" t="str">
        <f t="shared" si="611"/>
        <v>%</v>
      </c>
      <c r="I614" s="370" t="str">
        <f t="shared" si="611"/>
        <v>2017/18</v>
      </c>
      <c r="J614" s="370" t="str">
        <f t="shared" si="611"/>
        <v>2018/19</v>
      </c>
      <c r="K614" s="370" t="str">
        <f t="shared" si="611"/>
        <v>2019/20</v>
      </c>
      <c r="L614" s="370" t="str">
        <f t="shared" si="611"/>
        <v>2020/21</v>
      </c>
      <c r="M614" s="370" t="str">
        <f t="shared" si="611"/>
        <v>2021/22</v>
      </c>
      <c r="N614" s="370" t="str">
        <f t="shared" si="611"/>
        <v>2022/23</v>
      </c>
      <c r="O614" s="370" t="str">
        <f t="shared" si="611"/>
        <v>2023/24</v>
      </c>
      <c r="P614" s="381" t="str">
        <f t="shared" si="611"/>
        <v>2024/25</v>
      </c>
      <c r="Q614" s="218" t="str">
        <f t="shared" si="611"/>
        <v>2025/26</v>
      </c>
      <c r="R614" s="549" t="str">
        <f t="shared" si="611"/>
        <v>2026/27</v>
      </c>
    </row>
    <row r="615" spans="1:18" s="23" customFormat="1" x14ac:dyDescent="0.2">
      <c r="A615" s="2496"/>
      <c r="B615" s="529"/>
      <c r="C615" s="529"/>
      <c r="D615" s="204"/>
      <c r="E615" s="391"/>
      <c r="F615" s="22"/>
      <c r="G615" s="204"/>
      <c r="H615" s="1702"/>
      <c r="I615" s="529"/>
      <c r="J615" s="529"/>
      <c r="K615" s="529"/>
      <c r="L615" s="529"/>
      <c r="M615" s="529"/>
      <c r="N615" s="529"/>
      <c r="O615" s="529"/>
      <c r="P615" s="531"/>
      <c r="Q615" s="529"/>
      <c r="R615" s="530"/>
    </row>
    <row r="616" spans="1:18" x14ac:dyDescent="0.2">
      <c r="A616" s="107"/>
      <c r="B616" s="33"/>
      <c r="C616" s="33"/>
      <c r="D616" s="33"/>
      <c r="E616" s="238"/>
      <c r="F616" s="103" t="s">
        <v>1073</v>
      </c>
      <c r="G616" s="33"/>
      <c r="H616" s="138"/>
      <c r="I616" s="33"/>
      <c r="J616" s="33"/>
      <c r="K616" s="33"/>
      <c r="L616" s="33"/>
      <c r="M616" s="33"/>
      <c r="N616" s="33"/>
      <c r="O616" s="33"/>
      <c r="P616" s="142"/>
      <c r="Q616" s="33"/>
      <c r="R616" s="114"/>
    </row>
    <row r="617" spans="1:18" x14ac:dyDescent="0.2">
      <c r="A617" s="107"/>
      <c r="B617" s="33"/>
      <c r="C617" s="33"/>
      <c r="D617" s="33"/>
      <c r="E617" s="658"/>
      <c r="F617" s="137" t="s">
        <v>687</v>
      </c>
      <c r="G617" s="33"/>
      <c r="H617" s="138"/>
      <c r="I617" s="33"/>
      <c r="J617" s="33"/>
      <c r="K617" s="33"/>
      <c r="L617" s="33"/>
      <c r="M617" s="33"/>
      <c r="N617" s="33"/>
      <c r="O617" s="33"/>
      <c r="P617" s="142"/>
      <c r="Q617" s="33"/>
      <c r="R617" s="114"/>
    </row>
    <row r="618" spans="1:18" x14ac:dyDescent="0.2">
      <c r="A618" s="107">
        <f>7800+11400</f>
        <v>19200</v>
      </c>
      <c r="B618" s="33">
        <v>6500</v>
      </c>
      <c r="C618" s="33">
        <v>0</v>
      </c>
      <c r="D618" s="33">
        <v>0</v>
      </c>
      <c r="E618" s="658" t="s">
        <v>1825</v>
      </c>
      <c r="F618" s="111" t="s">
        <v>6975</v>
      </c>
      <c r="G618" s="33">
        <v>0</v>
      </c>
      <c r="H618" s="138">
        <f>IF(D618=G618,0,IF(D618=0,100,(G618-D618)/D618*100))</f>
        <v>0</v>
      </c>
      <c r="I618" s="33">
        <f>ROUNDUP(G618+(G618*Assumptions!H$5),-2)</f>
        <v>0</v>
      </c>
      <c r="J618" s="33">
        <f>ROUNDUP(I618+(I618*Assumptions!I$5),-2)</f>
        <v>0</v>
      </c>
      <c r="K618" s="33">
        <f>ROUNDUP(J618+(J618*Assumptions!J$5),-2)</f>
        <v>0</v>
      </c>
      <c r="L618" s="33">
        <f>ROUNDUP(K618+(K618*Assumptions!K$5),-2)</f>
        <v>0</v>
      </c>
      <c r="M618" s="33">
        <f>ROUNDUP(L618+(L618*Assumptions!L$5),-2)</f>
        <v>0</v>
      </c>
      <c r="N618" s="33">
        <f>ROUNDUP(M618+(M618*Assumptions!M$5),-2)</f>
        <v>0</v>
      </c>
      <c r="O618" s="33">
        <f>ROUNDUP(N618+(N618*Assumptions!N$5),-2)</f>
        <v>0</v>
      </c>
      <c r="P618" s="142">
        <f>ROUNDUP(O618+(O618*Assumptions!O$5),-2)</f>
        <v>0</v>
      </c>
      <c r="Q618" s="33">
        <f>ROUNDUP(P618+(P618*Assumptions!P$5),-2)</f>
        <v>0</v>
      </c>
      <c r="R618" s="114">
        <f>ROUNDUP(Q618+(Q618*Assumptions!Q$5),-2)</f>
        <v>0</v>
      </c>
    </row>
    <row r="619" spans="1:18" x14ac:dyDescent="0.2">
      <c r="A619" s="107">
        <v>1500</v>
      </c>
      <c r="B619" s="33">
        <v>1500</v>
      </c>
      <c r="C619" s="33">
        <v>1500</v>
      </c>
      <c r="D619" s="33">
        <f>1538-38</f>
        <v>1500</v>
      </c>
      <c r="E619" s="658" t="s">
        <v>1826</v>
      </c>
      <c r="F619" s="443" t="s">
        <v>380</v>
      </c>
      <c r="G619" s="33">
        <v>1500</v>
      </c>
      <c r="H619" s="138">
        <f>IF(D619=G619,0,IF(D619=0,100,(G619-D619)/D619*100))</f>
        <v>0</v>
      </c>
      <c r="I619" s="33">
        <v>1500</v>
      </c>
      <c r="J619" s="33">
        <f>ROUNDUP(I619+(I619*Assumptions!I$5),-2)</f>
        <v>1600</v>
      </c>
      <c r="K619" s="33">
        <f>ROUNDUP(J619+(J619*Assumptions!J$5),-2)</f>
        <v>1700</v>
      </c>
      <c r="L619" s="33">
        <f>ROUNDUP(K619+(K619*Assumptions!K$5),-2)</f>
        <v>1800</v>
      </c>
      <c r="M619" s="33">
        <f>ROUNDUP(L619+(L619*Assumptions!L$5),-2)</f>
        <v>1900</v>
      </c>
      <c r="N619" s="33">
        <f>ROUNDUP(M619+(M619*Assumptions!M$5),-2)</f>
        <v>2000</v>
      </c>
      <c r="O619" s="33">
        <f>ROUNDUP(N619+(N619*Assumptions!N$5),-2)</f>
        <v>2100</v>
      </c>
      <c r="P619" s="142">
        <f>ROUNDUP(O619+(O619*Assumptions!O$5),-2)</f>
        <v>2200</v>
      </c>
      <c r="Q619" s="33">
        <f>ROUNDUP(P619+(P619*Assumptions!P$5),-2)</f>
        <v>2300</v>
      </c>
      <c r="R619" s="114">
        <f>ROUNDUP(Q619+(Q619*Assumptions!Q$5),-2)</f>
        <v>2400</v>
      </c>
    </row>
    <row r="620" spans="1:18" x14ac:dyDescent="0.2">
      <c r="A620" s="107"/>
      <c r="B620" s="33"/>
      <c r="C620" s="33"/>
      <c r="D620" s="33"/>
      <c r="E620" s="1092"/>
      <c r="F620" s="890"/>
      <c r="G620" s="33"/>
      <c r="H620" s="138"/>
      <c r="I620" s="33"/>
      <c r="J620" s="33"/>
      <c r="K620" s="33"/>
      <c r="L620" s="33"/>
      <c r="M620" s="33"/>
      <c r="N620" s="33"/>
      <c r="O620" s="33"/>
      <c r="P620" s="142"/>
      <c r="Q620" s="33"/>
      <c r="R620" s="114"/>
    </row>
    <row r="621" spans="1:18" x14ac:dyDescent="0.2">
      <c r="A621" s="107"/>
      <c r="B621" s="33"/>
      <c r="C621" s="33"/>
      <c r="D621" s="33"/>
      <c r="E621" s="1092"/>
      <c r="F621" s="746" t="s">
        <v>428</v>
      </c>
      <c r="G621" s="33"/>
      <c r="H621" s="138"/>
      <c r="I621" s="33"/>
      <c r="J621" s="33"/>
      <c r="K621" s="33"/>
      <c r="L621" s="33"/>
      <c r="M621" s="33"/>
      <c r="N621" s="33"/>
      <c r="O621" s="33"/>
      <c r="P621" s="142"/>
      <c r="Q621" s="33"/>
      <c r="R621" s="114"/>
    </row>
    <row r="622" spans="1:18" x14ac:dyDescent="0.2">
      <c r="A622" s="107">
        <v>0</v>
      </c>
      <c r="B622" s="33">
        <v>0</v>
      </c>
      <c r="C622" s="33">
        <v>11000</v>
      </c>
      <c r="D622" s="33">
        <f>10488+12</f>
        <v>10500</v>
      </c>
      <c r="E622" s="1098" t="s">
        <v>4257</v>
      </c>
      <c r="F622" s="1099" t="s">
        <v>4819</v>
      </c>
      <c r="G622" s="33">
        <v>6500</v>
      </c>
      <c r="H622" s="138">
        <f t="shared" ref="H622:H627" si="612">IF(D622=G622,0,IF(D622=0,100,(G622-D622)/D622*100))</f>
        <v>-38.095238095238095</v>
      </c>
      <c r="I622" s="33">
        <f>ROUNDUP(G622+(G622*Assumptions!H$5),-2)</f>
        <v>6600</v>
      </c>
      <c r="J622" s="33">
        <f>ROUNDUP(I622+(I622*Assumptions!I$5),-2)</f>
        <v>6800</v>
      </c>
      <c r="K622" s="33">
        <f>ROUNDUP(J622+(J622*Assumptions!J$5),-2)</f>
        <v>7000</v>
      </c>
      <c r="L622" s="33">
        <f>ROUNDUP(K622+(K622*Assumptions!K$5),-2)</f>
        <v>7200</v>
      </c>
      <c r="M622" s="33">
        <f>ROUNDUP(L622+(L622*Assumptions!L$5),-2)</f>
        <v>7400</v>
      </c>
      <c r="N622" s="33">
        <f>ROUNDUP(M622+(M622*Assumptions!M$5),-2)</f>
        <v>7600</v>
      </c>
      <c r="O622" s="33">
        <f>ROUNDUP(N622+(N622*Assumptions!N$5),-2)</f>
        <v>7800</v>
      </c>
      <c r="P622" s="142">
        <f>ROUNDUP(O622+(O622*Assumptions!O$5),-2)</f>
        <v>8000</v>
      </c>
      <c r="Q622" s="33">
        <f>ROUNDUP(P622+(P622*Assumptions!P$5),-2)</f>
        <v>8200</v>
      </c>
      <c r="R622" s="114">
        <f>ROUNDUP(Q622+(Q622*Assumptions!Q$5),-2)</f>
        <v>8400</v>
      </c>
    </row>
    <row r="623" spans="1:18" x14ac:dyDescent="0.2">
      <c r="A623" s="107">
        <v>0</v>
      </c>
      <c r="B623" s="33">
        <v>0</v>
      </c>
      <c r="C623" s="33">
        <v>2300</v>
      </c>
      <c r="D623" s="33">
        <f>2446-46</f>
        <v>2400</v>
      </c>
      <c r="E623" s="1098" t="s">
        <v>4258</v>
      </c>
      <c r="F623" s="1099" t="s">
        <v>6976</v>
      </c>
      <c r="G623" s="33">
        <v>1200</v>
      </c>
      <c r="H623" s="138">
        <f t="shared" si="612"/>
        <v>-50</v>
      </c>
      <c r="I623" s="33">
        <f>ROUNDUP(G623+(G623*Assumptions!H$5),-2)</f>
        <v>1300</v>
      </c>
      <c r="J623" s="33">
        <f>ROUNDUP(I623+(I623*Assumptions!I$5),-2)</f>
        <v>1400</v>
      </c>
      <c r="K623" s="33">
        <f>ROUNDUP(J623+(J623*Assumptions!J$5),-2)</f>
        <v>1500</v>
      </c>
      <c r="L623" s="33">
        <f>ROUNDUP(K623+(K623*Assumptions!K$5),-2)</f>
        <v>1600</v>
      </c>
      <c r="M623" s="33">
        <f>ROUNDUP(L623+(L623*Assumptions!L$5),-2)</f>
        <v>1700</v>
      </c>
      <c r="N623" s="33">
        <f>ROUNDUP(M623+(M623*Assumptions!M$5),-2)</f>
        <v>1800</v>
      </c>
      <c r="O623" s="33">
        <f>ROUNDUP(N623+(N623*Assumptions!N$5),-2)</f>
        <v>1900</v>
      </c>
      <c r="P623" s="142">
        <f>ROUNDUP(O623+(O623*Assumptions!O$5),-2)</f>
        <v>2000</v>
      </c>
      <c r="Q623" s="33">
        <f>ROUNDUP(P623+(P623*Assumptions!P$5),-2)</f>
        <v>2100</v>
      </c>
      <c r="R623" s="114">
        <f>ROUNDUP(Q623+(Q623*Assumptions!Q$5),-2)</f>
        <v>2200</v>
      </c>
    </row>
    <row r="624" spans="1:18" x14ac:dyDescent="0.2">
      <c r="A624" s="107">
        <v>0</v>
      </c>
      <c r="B624" s="33">
        <v>0</v>
      </c>
      <c r="C624" s="33">
        <v>6700</v>
      </c>
      <c r="D624" s="33">
        <f>14042-42</f>
        <v>14000</v>
      </c>
      <c r="E624" s="1097" t="s">
        <v>4033</v>
      </c>
      <c r="F624" s="814" t="s">
        <v>3821</v>
      </c>
      <c r="G624" s="33">
        <v>7400</v>
      </c>
      <c r="H624" s="138">
        <f t="shared" si="612"/>
        <v>-47.142857142857139</v>
      </c>
      <c r="I624" s="33">
        <f>ROUNDUP(G624+(G624*Assumptions!H$5),-2)</f>
        <v>7600</v>
      </c>
      <c r="J624" s="33">
        <f>ROUNDUP(I624+(I624*Assumptions!I$5),-2)</f>
        <v>7800</v>
      </c>
      <c r="K624" s="33">
        <f>ROUNDUP(J624+(J624*Assumptions!J$5),-2)</f>
        <v>8000</v>
      </c>
      <c r="L624" s="33">
        <f>ROUNDUP(K624+(K624*Assumptions!K$5),-2)</f>
        <v>8200</v>
      </c>
      <c r="M624" s="33">
        <f>ROUNDUP(L624+(L624*Assumptions!L$5),-2)</f>
        <v>8400</v>
      </c>
      <c r="N624" s="33">
        <f>ROUNDUP(M624+(M624*Assumptions!M$5),-2)</f>
        <v>8600</v>
      </c>
      <c r="O624" s="33">
        <f>ROUNDUP(N624+(N624*Assumptions!N$5),-2)</f>
        <v>8800</v>
      </c>
      <c r="P624" s="142">
        <f>ROUNDUP(O624+(O624*Assumptions!O$5),-2)</f>
        <v>9000</v>
      </c>
      <c r="Q624" s="33">
        <f>ROUNDUP(P624+(P624*Assumptions!P$5),-2)</f>
        <v>9200</v>
      </c>
      <c r="R624" s="114">
        <f>ROUNDUP(Q624+(Q624*Assumptions!Q$5),-2)</f>
        <v>9400</v>
      </c>
    </row>
    <row r="625" spans="1:18" x14ac:dyDescent="0.2">
      <c r="A625" s="107">
        <v>0</v>
      </c>
      <c r="B625" s="33">
        <v>0</v>
      </c>
      <c r="C625" s="33">
        <v>0</v>
      </c>
      <c r="D625" s="33">
        <v>0</v>
      </c>
      <c r="E625" s="1097" t="s">
        <v>4033</v>
      </c>
      <c r="F625" s="132" t="s">
        <v>5072</v>
      </c>
      <c r="G625" s="33">
        <v>6700</v>
      </c>
      <c r="H625" s="138">
        <f t="shared" si="612"/>
        <v>100</v>
      </c>
      <c r="I625" s="33">
        <f>ROUNDUP(G625+(G625*Assumptions!H$5),-2)</f>
        <v>6900</v>
      </c>
      <c r="J625" s="33">
        <f>ROUNDUP(I625+(I625*Assumptions!I$5),-2)</f>
        <v>7100</v>
      </c>
      <c r="K625" s="33">
        <f>ROUNDUP(J625+(J625*Assumptions!J$5),-2)</f>
        <v>7300</v>
      </c>
      <c r="L625" s="33">
        <f>ROUNDUP(K625+(K625*Assumptions!K$5),-2)</f>
        <v>7500</v>
      </c>
      <c r="M625" s="33">
        <f>ROUNDUP(L625+(L625*Assumptions!L$5),-2)</f>
        <v>7700</v>
      </c>
      <c r="N625" s="33">
        <f>ROUNDUP(M625+(M625*Assumptions!M$5),-2)</f>
        <v>7900</v>
      </c>
      <c r="O625" s="33">
        <f>ROUNDUP(N625+(N625*Assumptions!N$5),-2)</f>
        <v>8100</v>
      </c>
      <c r="P625" s="142">
        <f>ROUNDUP(O625+(O625*Assumptions!O$5),-2)</f>
        <v>8300</v>
      </c>
      <c r="Q625" s="33">
        <f>ROUNDUP(P625+(P625*Assumptions!P$5),-2)</f>
        <v>8500</v>
      </c>
      <c r="R625" s="114">
        <f>ROUNDUP(Q625+(Q625*Assumptions!Q$5),-2)</f>
        <v>8700</v>
      </c>
    </row>
    <row r="626" spans="1:18" x14ac:dyDescent="0.2">
      <c r="A626" s="107">
        <v>9200</v>
      </c>
      <c r="B626" s="33">
        <v>7600</v>
      </c>
      <c r="C626" s="33">
        <v>6700</v>
      </c>
      <c r="D626" s="33">
        <f>6392+8</f>
        <v>6400</v>
      </c>
      <c r="E626" s="1097" t="s">
        <v>4026</v>
      </c>
      <c r="F626" s="443" t="s">
        <v>2131</v>
      </c>
      <c r="G626" s="33">
        <v>7000</v>
      </c>
      <c r="H626" s="138">
        <f t="shared" si="612"/>
        <v>9.375</v>
      </c>
      <c r="I626" s="33">
        <f>ROUNDUP(G626+(G626*Assumptions!H$5),-2)</f>
        <v>7200</v>
      </c>
      <c r="J626" s="33">
        <f>ROUNDUP(I626+(I626*Assumptions!I$5),-2)</f>
        <v>7400</v>
      </c>
      <c r="K626" s="33">
        <f>ROUNDUP(J626+(J626*Assumptions!J$5),-2)</f>
        <v>7600</v>
      </c>
      <c r="L626" s="33">
        <f>ROUNDUP(K626+(K626*Assumptions!K$5),-2)</f>
        <v>7800</v>
      </c>
      <c r="M626" s="33">
        <f>ROUNDUP(L626+(L626*Assumptions!L$5),-2)</f>
        <v>8000</v>
      </c>
      <c r="N626" s="33">
        <f>ROUNDUP(M626+(M626*Assumptions!M$5),-2)</f>
        <v>8200</v>
      </c>
      <c r="O626" s="33">
        <f>ROUNDUP(N626+(N626*Assumptions!N$5),-2)</f>
        <v>8400</v>
      </c>
      <c r="P626" s="142">
        <f>ROUNDUP(O626+(O626*Assumptions!O$5),-2)</f>
        <v>8600</v>
      </c>
      <c r="Q626" s="33">
        <f>ROUNDUP(P626+(P626*Assumptions!P$5),-2)</f>
        <v>8800</v>
      </c>
      <c r="R626" s="114">
        <f>ROUNDUP(Q626+(Q626*Assumptions!Q$5),-2)</f>
        <v>9000</v>
      </c>
    </row>
    <row r="627" spans="1:18" x14ac:dyDescent="0.2">
      <c r="A627" s="107">
        <v>0</v>
      </c>
      <c r="B627" s="33">
        <v>0</v>
      </c>
      <c r="C627" s="187">
        <v>0</v>
      </c>
      <c r="D627" s="187">
        <f>22727-27</f>
        <v>22700</v>
      </c>
      <c r="E627" s="1097" t="s">
        <v>5486</v>
      </c>
      <c r="F627" s="1099" t="s">
        <v>5555</v>
      </c>
      <c r="G627" s="187">
        <v>0</v>
      </c>
      <c r="H627" s="138">
        <f t="shared" si="612"/>
        <v>-100</v>
      </c>
      <c r="I627" s="33">
        <f>ROUNDUP(G627+(G627*Assumptions!H$5),-2)</f>
        <v>0</v>
      </c>
      <c r="J627" s="33">
        <f>ROUNDUP(I627+(I627*Assumptions!I$5),-2)</f>
        <v>0</v>
      </c>
      <c r="K627" s="33">
        <f>ROUNDUP(J627+(J627*Assumptions!J$5),-2)</f>
        <v>0</v>
      </c>
      <c r="L627" s="33">
        <f>ROUNDUP(K627+(K627*Assumptions!K$5),-2)</f>
        <v>0</v>
      </c>
      <c r="M627" s="33">
        <f>ROUNDUP(L627+(L627*Assumptions!L$5),-2)</f>
        <v>0</v>
      </c>
      <c r="N627" s="33">
        <f>ROUNDUP(M627+(M627*Assumptions!M$5),-2)</f>
        <v>0</v>
      </c>
      <c r="O627" s="33">
        <f>ROUNDUP(N627+(N627*Assumptions!N$5),-2)</f>
        <v>0</v>
      </c>
      <c r="P627" s="142">
        <f>ROUNDUP(O627+(O627*Assumptions!O$5),-2)</f>
        <v>0</v>
      </c>
      <c r="Q627" s="33">
        <f>ROUNDUP(P627+(P627*Assumptions!P$5),-2)</f>
        <v>0</v>
      </c>
      <c r="R627" s="114">
        <f>ROUNDUP(Q627+(Q627*Assumptions!Q$5),-2)</f>
        <v>0</v>
      </c>
    </row>
    <row r="628" spans="1:18" ht="13.5" thickBot="1" x14ac:dyDescent="0.25">
      <c r="A628" s="107"/>
      <c r="B628" s="33"/>
      <c r="C628" s="33"/>
      <c r="D628" s="33"/>
      <c r="E628" s="658"/>
      <c r="F628" s="99"/>
      <c r="G628" s="33"/>
      <c r="H628" s="138"/>
      <c r="I628" s="33"/>
      <c r="J628" s="33"/>
      <c r="K628" s="33"/>
      <c r="L628" s="33"/>
      <c r="M628" s="33"/>
      <c r="N628" s="33"/>
      <c r="O628" s="33"/>
      <c r="P628" s="142"/>
      <c r="Q628" s="33"/>
      <c r="R628" s="114"/>
    </row>
    <row r="629" spans="1:18" x14ac:dyDescent="0.2">
      <c r="A629" s="105">
        <f>SUM(A617:A628)</f>
        <v>29900</v>
      </c>
      <c r="B629" s="53">
        <f>SUM(B617:B628)</f>
        <v>15600</v>
      </c>
      <c r="C629" s="53">
        <f>SUM(C617:C628)</f>
        <v>28200</v>
      </c>
      <c r="D629" s="53">
        <f>SUM(D617:D628)</f>
        <v>57500</v>
      </c>
      <c r="E629" s="658"/>
      <c r="F629" s="112" t="s">
        <v>2605</v>
      </c>
      <c r="G629" s="53">
        <f>SUM(G617:G628)</f>
        <v>30300</v>
      </c>
      <c r="H629" s="180">
        <f>IF(E629=G629,0,IF(E629=0,100,(G629-E629)/E629*100))</f>
        <v>100</v>
      </c>
      <c r="I629" s="53">
        <f t="shared" ref="I629:Q629" si="613">SUM(I617:I628)</f>
        <v>31100</v>
      </c>
      <c r="J629" s="53">
        <f t="shared" si="613"/>
        <v>32100</v>
      </c>
      <c r="K629" s="53">
        <f t="shared" si="613"/>
        <v>33100</v>
      </c>
      <c r="L629" s="53">
        <f t="shared" si="613"/>
        <v>34100</v>
      </c>
      <c r="M629" s="53">
        <f t="shared" si="613"/>
        <v>35100</v>
      </c>
      <c r="N629" s="53">
        <f t="shared" si="613"/>
        <v>36100</v>
      </c>
      <c r="O629" s="53">
        <f t="shared" si="613"/>
        <v>37100</v>
      </c>
      <c r="P629" s="155">
        <f t="shared" si="613"/>
        <v>38100</v>
      </c>
      <c r="Q629" s="53">
        <f t="shared" si="613"/>
        <v>39100</v>
      </c>
      <c r="R629" s="113">
        <f t="shared" ref="R629" si="614">SUM(R617:R628)</f>
        <v>40100</v>
      </c>
    </row>
    <row r="630" spans="1:18" x14ac:dyDescent="0.2">
      <c r="A630" s="107"/>
      <c r="B630" s="33"/>
      <c r="C630" s="33"/>
      <c r="D630" s="33"/>
      <c r="E630" s="658"/>
      <c r="F630" s="74"/>
      <c r="G630" s="33"/>
      <c r="H630" s="138"/>
      <c r="I630" s="33"/>
      <c r="J630" s="33"/>
      <c r="K630" s="33"/>
      <c r="L630" s="33"/>
      <c r="M630" s="33"/>
      <c r="N630" s="33"/>
      <c r="O630" s="33"/>
      <c r="P630" s="142"/>
      <c r="Q630" s="33"/>
      <c r="R630" s="114"/>
    </row>
    <row r="631" spans="1:18" x14ac:dyDescent="0.2">
      <c r="A631" s="107"/>
      <c r="B631" s="33"/>
      <c r="C631" s="33"/>
      <c r="D631" s="33"/>
      <c r="E631" s="658"/>
      <c r="F631" s="144" t="s">
        <v>2205</v>
      </c>
      <c r="G631" s="33"/>
      <c r="H631" s="138"/>
      <c r="I631" s="33"/>
      <c r="J631" s="33"/>
      <c r="K631" s="33"/>
      <c r="L631" s="33"/>
      <c r="M631" s="33"/>
      <c r="N631" s="33"/>
      <c r="O631" s="33"/>
      <c r="P631" s="142"/>
      <c r="Q631" s="33"/>
      <c r="R631" s="114"/>
    </row>
    <row r="632" spans="1:18" x14ac:dyDescent="0.2">
      <c r="A632" s="107"/>
      <c r="B632" s="33"/>
      <c r="C632" s="33"/>
      <c r="D632" s="33"/>
      <c r="E632" s="658"/>
      <c r="F632" s="109" t="s">
        <v>4017</v>
      </c>
      <c r="G632" s="33"/>
      <c r="H632" s="138"/>
      <c r="I632" s="33"/>
      <c r="J632" s="33"/>
      <c r="K632" s="33"/>
      <c r="L632" s="33"/>
      <c r="M632" s="33"/>
      <c r="N632" s="33"/>
      <c r="O632" s="33"/>
      <c r="P632" s="142"/>
      <c r="Q632" s="33"/>
      <c r="R632" s="114"/>
    </row>
    <row r="633" spans="1:18" x14ac:dyDescent="0.2">
      <c r="A633" s="107">
        <v>93500</v>
      </c>
      <c r="B633" s="33">
        <v>198000</v>
      </c>
      <c r="C633" s="33">
        <v>254800</v>
      </c>
      <c r="D633" s="33">
        <f>266590+10</f>
        <v>266600</v>
      </c>
      <c r="E633" s="658" t="s">
        <v>1827</v>
      </c>
      <c r="F633" s="111" t="s">
        <v>4588</v>
      </c>
      <c r="G633" s="33">
        <v>203000</v>
      </c>
      <c r="H633" s="138">
        <f>IF(D633=G633,0,IF(D633=0,100,(G633-D633)/D633*100))</f>
        <v>-23.855963990997751</v>
      </c>
      <c r="I633" s="33">
        <f>ROUNDUP(G633+(G633*Assumptions!H$13),-2)</f>
        <v>207100</v>
      </c>
      <c r="J633" s="33">
        <f>ROUNDUP(I633+(I633*Assumptions!I$13),-2)</f>
        <v>212300</v>
      </c>
      <c r="K633" s="33">
        <f>ROUNDUP(J633+(J633*Assumptions!J$13),-2)</f>
        <v>217700</v>
      </c>
      <c r="L633" s="33">
        <f>ROUNDUP(K633+(K633*Assumptions!K$13),-2)</f>
        <v>223200</v>
      </c>
      <c r="M633" s="33">
        <f>ROUNDUP(L633+(L633*Assumptions!L$13),-2)</f>
        <v>228800</v>
      </c>
      <c r="N633" s="33">
        <f>ROUNDUP(M633+(M633*Assumptions!M$13),-2)</f>
        <v>234600</v>
      </c>
      <c r="O633" s="33">
        <f>ROUNDUP(N633+(N633*Assumptions!N$13),-2)</f>
        <v>240500</v>
      </c>
      <c r="P633" s="142">
        <f>ROUNDUP(O633+(O633*Assumptions!O$13),-2)</f>
        <v>246600</v>
      </c>
      <c r="Q633" s="33">
        <f>ROUNDUP(P633+(P633*Assumptions!P$13),-2)</f>
        <v>252800</v>
      </c>
      <c r="R633" s="114">
        <f>ROUNDUP(Q633+(Q633*Assumptions!Q$13),-2)</f>
        <v>259200</v>
      </c>
    </row>
    <row r="634" spans="1:18" x14ac:dyDescent="0.2">
      <c r="A634" s="107">
        <v>0</v>
      </c>
      <c r="B634" s="33">
        <v>0</v>
      </c>
      <c r="C634" s="33">
        <v>7200</v>
      </c>
      <c r="D634" s="33">
        <v>7200</v>
      </c>
      <c r="E634" s="1098" t="s">
        <v>3402</v>
      </c>
      <c r="F634" s="891" t="s">
        <v>3654</v>
      </c>
      <c r="G634" s="33">
        <v>6000</v>
      </c>
      <c r="H634" s="138">
        <f>IF(D634=G634,0,IF(D634=0,100,(G634-D634)/D634*100))</f>
        <v>-16.666666666666664</v>
      </c>
      <c r="I634" s="33">
        <f>ROUNDUP(G634+(G634*Assumptions!H$13),-2)</f>
        <v>6200</v>
      </c>
      <c r="J634" s="33">
        <f>ROUNDUP(I634+(I634*Assumptions!I$13),-2)</f>
        <v>6400</v>
      </c>
      <c r="K634" s="33">
        <f>ROUNDUP(J634+(J634*Assumptions!J$13),-2)</f>
        <v>6600</v>
      </c>
      <c r="L634" s="33">
        <f>ROUNDUP(K634+(K634*Assumptions!K$13),-2)</f>
        <v>6800</v>
      </c>
      <c r="M634" s="33">
        <f>ROUNDUP(L634+(L634*Assumptions!L$13),-2)</f>
        <v>7000</v>
      </c>
      <c r="N634" s="33">
        <f>ROUNDUP(M634+(M634*Assumptions!M$13),-2)</f>
        <v>7200</v>
      </c>
      <c r="O634" s="33">
        <f>ROUNDUP(N634+(N634*Assumptions!N$13),-2)</f>
        <v>7400</v>
      </c>
      <c r="P634" s="142">
        <f>ROUNDUP(O634+(O634*Assumptions!O$13),-2)</f>
        <v>7600</v>
      </c>
      <c r="Q634" s="33">
        <f>ROUNDUP(P634+(P634*Assumptions!P$13),-2)</f>
        <v>7800</v>
      </c>
      <c r="R634" s="114">
        <f>ROUNDUP(Q634+(Q634*Assumptions!Q$13),-2)</f>
        <v>8000</v>
      </c>
    </row>
    <row r="635" spans="1:18" x14ac:dyDescent="0.2">
      <c r="A635" s="107"/>
      <c r="B635" s="33"/>
      <c r="C635" s="33"/>
      <c r="D635" s="33"/>
      <c r="E635" s="658"/>
      <c r="F635" s="144"/>
      <c r="G635" s="33"/>
      <c r="H635" s="138"/>
      <c r="I635" s="33"/>
      <c r="J635" s="33"/>
      <c r="K635" s="33"/>
      <c r="L635" s="33"/>
      <c r="M635" s="33"/>
      <c r="N635" s="33"/>
      <c r="O635" s="33"/>
      <c r="P635" s="142"/>
      <c r="Q635" s="33"/>
      <c r="R635" s="114"/>
    </row>
    <row r="636" spans="1:18" x14ac:dyDescent="0.2">
      <c r="A636" s="107"/>
      <c r="B636" s="33"/>
      <c r="C636" s="33"/>
      <c r="D636" s="33"/>
      <c r="E636" s="658"/>
      <c r="F636" s="109" t="s">
        <v>4018</v>
      </c>
      <c r="G636" s="33"/>
      <c r="H636" s="138"/>
      <c r="I636" s="33"/>
      <c r="J636" s="33"/>
      <c r="K636" s="33"/>
      <c r="L636" s="33"/>
      <c r="M636" s="33"/>
      <c r="N636" s="33"/>
      <c r="O636" s="33"/>
      <c r="P636" s="142"/>
      <c r="Q636" s="33"/>
      <c r="R636" s="114"/>
    </row>
    <row r="637" spans="1:18" x14ac:dyDescent="0.2">
      <c r="A637" s="107">
        <f>62000+184000</f>
        <v>246000</v>
      </c>
      <c r="B637" s="33">
        <v>0</v>
      </c>
      <c r="C637" s="33">
        <v>286800</v>
      </c>
      <c r="D637" s="33">
        <f>315430-30</f>
        <v>315400</v>
      </c>
      <c r="E637" s="1098" t="s">
        <v>3541</v>
      </c>
      <c r="F637" s="111" t="s">
        <v>3664</v>
      </c>
      <c r="G637" s="33">
        <v>327000</v>
      </c>
      <c r="H637" s="138">
        <f>IF(D637=G637,0,IF(D637=0,100,(G637-D637)/D637*100))</f>
        <v>3.6778693722257447</v>
      </c>
      <c r="I637" s="33">
        <f>ROUNDUP(G637+(G637*Assumptions!H$13),-2)</f>
        <v>333600</v>
      </c>
      <c r="J637" s="33">
        <f>ROUNDUP(I637+(I637*Assumptions!I$13),-2)</f>
        <v>342000</v>
      </c>
      <c r="K637" s="33">
        <f>ROUNDUP(J637+(J637*Assumptions!J$13),-2)</f>
        <v>350600</v>
      </c>
      <c r="L637" s="33">
        <f>ROUNDUP(K637+(K637*Assumptions!K$13),-2)</f>
        <v>359400</v>
      </c>
      <c r="M637" s="33">
        <f>ROUNDUP(L637+(L637*Assumptions!L$13),-2)</f>
        <v>368400</v>
      </c>
      <c r="N637" s="33">
        <f>ROUNDUP(M637+(M637*Assumptions!M$13),-2)</f>
        <v>377700</v>
      </c>
      <c r="O637" s="33">
        <f>ROUNDUP(N637+(N637*Assumptions!N$13),-2)</f>
        <v>387200</v>
      </c>
      <c r="P637" s="142">
        <f>ROUNDUP(O637+(O637*Assumptions!O$13),-2)</f>
        <v>396900</v>
      </c>
      <c r="Q637" s="33">
        <f>ROUNDUP(P637+(P637*Assumptions!P$13),-2)</f>
        <v>406900</v>
      </c>
      <c r="R637" s="114">
        <f>ROUNDUP(Q637+(Q637*Assumptions!Q$13),-2)</f>
        <v>417100</v>
      </c>
    </row>
    <row r="638" spans="1:18" x14ac:dyDescent="0.2">
      <c r="A638" s="107"/>
      <c r="B638" s="33"/>
      <c r="C638" s="33"/>
      <c r="D638" s="33"/>
      <c r="E638" s="1098"/>
      <c r="F638" s="108"/>
      <c r="G638" s="33"/>
      <c r="H638" s="138"/>
      <c r="I638" s="33"/>
      <c r="J638" s="33"/>
      <c r="K638" s="33"/>
      <c r="L638" s="33"/>
      <c r="M638" s="33"/>
      <c r="N638" s="33"/>
      <c r="O638" s="33"/>
      <c r="P638" s="142"/>
      <c r="Q638" s="33"/>
      <c r="R638" s="114"/>
    </row>
    <row r="639" spans="1:18" x14ac:dyDescent="0.2">
      <c r="A639" s="107"/>
      <c r="B639" s="33"/>
      <c r="C639" s="33"/>
      <c r="D639" s="33"/>
      <c r="E639" s="658"/>
      <c r="F639" s="746" t="s">
        <v>473</v>
      </c>
      <c r="G639" s="33"/>
      <c r="H639" s="138"/>
      <c r="I639" s="33"/>
      <c r="J639" s="33"/>
      <c r="K639" s="33"/>
      <c r="L639" s="33"/>
      <c r="M639" s="33"/>
      <c r="N639" s="33"/>
      <c r="O639" s="33"/>
      <c r="P639" s="142"/>
      <c r="Q639" s="33"/>
      <c r="R639" s="114"/>
    </row>
    <row r="640" spans="1:18" x14ac:dyDescent="0.2">
      <c r="A640" s="107">
        <v>13700</v>
      </c>
      <c r="B640" s="33">
        <v>15200</v>
      </c>
      <c r="C640" s="33">
        <v>11400</v>
      </c>
      <c r="D640" s="33">
        <f>10650+50</f>
        <v>10700</v>
      </c>
      <c r="E640" s="658" t="s">
        <v>1197</v>
      </c>
      <c r="F640" s="443" t="s">
        <v>1720</v>
      </c>
      <c r="G640" s="33">
        <v>12300</v>
      </c>
      <c r="H640" s="138">
        <f>IF(D640=G640,0,IF(D640=0,100,(G640-D640)/D640*100))</f>
        <v>14.953271028037381</v>
      </c>
      <c r="I640" s="33">
        <f>ROUNDUP(G640+(G640*Assumptions!H$5),-2)</f>
        <v>12500</v>
      </c>
      <c r="J640" s="33">
        <f>ROUNDUP(I640+(I640*Assumptions!I$5),-2)</f>
        <v>12900</v>
      </c>
      <c r="K640" s="33">
        <f>ROUNDUP(J640+(J640*Assumptions!J$5),-2)</f>
        <v>13300</v>
      </c>
      <c r="L640" s="33">
        <f>ROUNDUP(K640+(K640*Assumptions!K$5),-2)</f>
        <v>13700</v>
      </c>
      <c r="M640" s="33">
        <f>ROUNDUP(L640+(L640*Assumptions!L$5),-2)</f>
        <v>14000</v>
      </c>
      <c r="N640" s="33">
        <f>ROUNDUP(M640+(M640*Assumptions!M$5),-2)</f>
        <v>14300</v>
      </c>
      <c r="O640" s="33">
        <f>ROUNDUP(N640+(N640*Assumptions!N$5),-2)</f>
        <v>14600</v>
      </c>
      <c r="P640" s="142">
        <f>ROUNDUP(O640+(O640*Assumptions!O$5),-2)</f>
        <v>14900</v>
      </c>
      <c r="Q640" s="33">
        <f>ROUNDUP(P640+(P640*Assumptions!P$5),-2)</f>
        <v>15200</v>
      </c>
      <c r="R640" s="114">
        <f>ROUNDUP(Q640+(Q640*Assumptions!Q$5),-2)</f>
        <v>15600</v>
      </c>
    </row>
    <row r="641" spans="1:18" x14ac:dyDescent="0.2">
      <c r="A641" s="107">
        <v>4600</v>
      </c>
      <c r="B641" s="33">
        <v>3800</v>
      </c>
      <c r="C641" s="33">
        <v>3400</v>
      </c>
      <c r="D641" s="33">
        <v>4600</v>
      </c>
      <c r="E641" s="1092" t="s">
        <v>6608</v>
      </c>
      <c r="F641" s="890" t="s">
        <v>6661</v>
      </c>
      <c r="G641" s="33">
        <v>5000</v>
      </c>
      <c r="H641" s="138">
        <f>IF(D641=G641,0,IF(D641=0,100,(G641-D641)/D641*100))</f>
        <v>8.695652173913043</v>
      </c>
      <c r="I641" s="33">
        <f>ROUNDUP(G641+(G641*Assumptions!H$5),-2)</f>
        <v>5100</v>
      </c>
      <c r="J641" s="33">
        <f>ROUNDUP(I641+(I641*Assumptions!I$5),-2)</f>
        <v>5300</v>
      </c>
      <c r="K641" s="33">
        <f>ROUNDUP(J641+(J641*Assumptions!J$5),-2)</f>
        <v>5500</v>
      </c>
      <c r="L641" s="33">
        <f>ROUNDUP(K641+(K641*Assumptions!K$5),-2)</f>
        <v>5700</v>
      </c>
      <c r="M641" s="33">
        <f>ROUNDUP(L641+(L641*Assumptions!L$5),-2)</f>
        <v>5900</v>
      </c>
      <c r="N641" s="33">
        <f>ROUNDUP(M641+(M641*Assumptions!M$5),-2)</f>
        <v>6100</v>
      </c>
      <c r="O641" s="33">
        <f>ROUNDUP(N641+(N641*Assumptions!N$5),-2)</f>
        <v>6300</v>
      </c>
      <c r="P641" s="142">
        <f>ROUNDUP(O641+(O641*Assumptions!O$5),-2)</f>
        <v>6500</v>
      </c>
      <c r="Q641" s="33">
        <f>ROUNDUP(P641+(P641*Assumptions!P$5),-2)</f>
        <v>6700</v>
      </c>
      <c r="R641" s="114">
        <f>ROUNDUP(Q641+(Q641*Assumptions!Q$5),-2)</f>
        <v>6900</v>
      </c>
    </row>
    <row r="642" spans="1:18" x14ac:dyDescent="0.2">
      <c r="A642" s="107"/>
      <c r="B642" s="33"/>
      <c r="C642" s="33"/>
      <c r="D642" s="33"/>
      <c r="E642" s="658"/>
      <c r="F642" s="3"/>
      <c r="G642" s="33"/>
      <c r="H642" s="138"/>
      <c r="I642" s="33"/>
      <c r="J642" s="33"/>
      <c r="K642" s="33"/>
      <c r="L642" s="33"/>
      <c r="M642" s="33"/>
      <c r="N642" s="33"/>
      <c r="O642" s="33"/>
      <c r="P642" s="142"/>
      <c r="Q642" s="33"/>
      <c r="R642" s="114"/>
    </row>
    <row r="643" spans="1:18" x14ac:dyDescent="0.2">
      <c r="A643" s="107"/>
      <c r="B643" s="33"/>
      <c r="C643" s="33"/>
      <c r="D643" s="33"/>
      <c r="E643" s="658"/>
      <c r="F643" s="746" t="s">
        <v>3461</v>
      </c>
      <c r="G643" s="33"/>
      <c r="H643" s="138"/>
      <c r="I643" s="33"/>
      <c r="J643" s="33"/>
      <c r="K643" s="33"/>
      <c r="L643" s="33"/>
      <c r="M643" s="33"/>
      <c r="N643" s="33"/>
      <c r="O643" s="33"/>
      <c r="P643" s="142"/>
      <c r="Q643" s="33"/>
      <c r="R643" s="114"/>
    </row>
    <row r="644" spans="1:18" x14ac:dyDescent="0.2">
      <c r="A644" s="107">
        <v>5700</v>
      </c>
      <c r="B644" s="33">
        <v>8000</v>
      </c>
      <c r="C644" s="33">
        <v>2100</v>
      </c>
      <c r="D644" s="33">
        <f>6899+1</f>
        <v>6900</v>
      </c>
      <c r="E644" s="658" t="s">
        <v>2730</v>
      </c>
      <c r="F644" s="1099" t="s">
        <v>3099</v>
      </c>
      <c r="G644" s="33">
        <v>10000</v>
      </c>
      <c r="H644" s="138">
        <f>IF(D644=G644,0,IF(D644=0,100,(G644-D644)/D644*100))</f>
        <v>44.927536231884055</v>
      </c>
      <c r="I644" s="33">
        <v>10000</v>
      </c>
      <c r="J644" s="33">
        <f>ROUNDUP(I644+(I644*Assumptions!I$5),-2)</f>
        <v>10300</v>
      </c>
      <c r="K644" s="33">
        <f>ROUNDUP(J644+(J644*Assumptions!J$5),-2)</f>
        <v>10600</v>
      </c>
      <c r="L644" s="33">
        <f>ROUNDUP(K644+(K644*Assumptions!K$5),-2)</f>
        <v>10900</v>
      </c>
      <c r="M644" s="33">
        <f>ROUNDUP(L644+(L644*Assumptions!L$5),-2)</f>
        <v>11200</v>
      </c>
      <c r="N644" s="33">
        <f>ROUNDUP(M644+(M644*Assumptions!M$5),-2)</f>
        <v>11500</v>
      </c>
      <c r="O644" s="33">
        <f>ROUNDUP(N644+(N644*Assumptions!N$5),-2)</f>
        <v>11800</v>
      </c>
      <c r="P644" s="142">
        <f>ROUNDUP(O644+(O644*Assumptions!O$5),-2)</f>
        <v>12100</v>
      </c>
      <c r="Q644" s="33">
        <f>ROUNDUP(P644+(P644*Assumptions!P$5),-2)</f>
        <v>12400</v>
      </c>
      <c r="R644" s="114">
        <f>ROUNDUP(Q644+(Q644*Assumptions!Q$5),-2)</f>
        <v>12700</v>
      </c>
    </row>
    <row r="645" spans="1:18" x14ac:dyDescent="0.2">
      <c r="A645" s="107">
        <v>2600</v>
      </c>
      <c r="B645" s="33">
        <v>3100</v>
      </c>
      <c r="C645" s="33">
        <v>2700</v>
      </c>
      <c r="D645" s="33">
        <f>2983+17</f>
        <v>3000</v>
      </c>
      <c r="E645" s="658" t="s">
        <v>1199</v>
      </c>
      <c r="F645" s="814" t="s">
        <v>3463</v>
      </c>
      <c r="G645" s="33">
        <v>3000</v>
      </c>
      <c r="H645" s="138">
        <f>IF(D645=G645,0,IF(D645=0,100,(G645-D645)/D645*100))</f>
        <v>0</v>
      </c>
      <c r="I645" s="33">
        <v>3000</v>
      </c>
      <c r="J645" s="33">
        <f>ROUNDUP(I645+(I645*Assumptions!I$5),-2)</f>
        <v>3100</v>
      </c>
      <c r="K645" s="33">
        <f>ROUNDUP(J645+(J645*Assumptions!J$5),-2)</f>
        <v>3200</v>
      </c>
      <c r="L645" s="33">
        <f>ROUNDUP(K645+(K645*Assumptions!K$5),-2)</f>
        <v>3300</v>
      </c>
      <c r="M645" s="33">
        <f>ROUNDUP(L645+(L645*Assumptions!L$5),-2)</f>
        <v>3400</v>
      </c>
      <c r="N645" s="33">
        <f>ROUNDUP(M645+(M645*Assumptions!M$5),-2)</f>
        <v>3500</v>
      </c>
      <c r="O645" s="33">
        <f>ROUNDUP(N645+(N645*Assumptions!N$5),-2)</f>
        <v>3600</v>
      </c>
      <c r="P645" s="142">
        <f>ROUNDUP(O645+(O645*Assumptions!O$5),-2)</f>
        <v>3700</v>
      </c>
      <c r="Q645" s="33">
        <f>ROUNDUP(P645+(P645*Assumptions!P$5),-2)</f>
        <v>3800</v>
      </c>
      <c r="R645" s="114">
        <f>ROUNDUP(Q645+(Q645*Assumptions!Q$5),-2)</f>
        <v>3900</v>
      </c>
    </row>
    <row r="646" spans="1:18" x14ac:dyDescent="0.2">
      <c r="A646" s="107">
        <v>7700</v>
      </c>
      <c r="B646" s="33">
        <v>3700</v>
      </c>
      <c r="C646" s="33">
        <v>0</v>
      </c>
      <c r="D646" s="33">
        <v>0</v>
      </c>
      <c r="E646" s="658" t="s">
        <v>123</v>
      </c>
      <c r="F646" s="814" t="s">
        <v>3018</v>
      </c>
      <c r="G646" s="33">
        <v>0</v>
      </c>
      <c r="H646" s="138">
        <f>IF(D646=G646,0,IF(D646=0,100,(G646-D646)/D646*100))</f>
        <v>0</v>
      </c>
      <c r="I646" s="33">
        <f>ROUNDUP(G646+(G646*Assumptions!H$5),-2)</f>
        <v>0</v>
      </c>
      <c r="J646" s="33">
        <f>ROUNDUP(I646+(I646*Assumptions!I$5),-2)</f>
        <v>0</v>
      </c>
      <c r="K646" s="33">
        <f>ROUNDUP(J646+(J646*Assumptions!J$5),-2)</f>
        <v>0</v>
      </c>
      <c r="L646" s="33">
        <f>ROUNDUP(K646+(K646*Assumptions!K$5),-2)</f>
        <v>0</v>
      </c>
      <c r="M646" s="33">
        <f>ROUNDUP(L646+(L646*Assumptions!L$5),-2)</f>
        <v>0</v>
      </c>
      <c r="N646" s="33">
        <f>ROUNDUP(M646+(M646*Assumptions!M$5),-2)</f>
        <v>0</v>
      </c>
      <c r="O646" s="33">
        <f>ROUNDUP(N646+(N646*Assumptions!N$5),-2)</f>
        <v>0</v>
      </c>
      <c r="P646" s="142">
        <f>ROUNDUP(O646+(O646*Assumptions!O$5),-2)</f>
        <v>0</v>
      </c>
      <c r="Q646" s="33">
        <f>ROUNDUP(P646+(P646*Assumptions!P$5),-2)</f>
        <v>0</v>
      </c>
      <c r="R646" s="114">
        <f>ROUNDUP(Q646+(Q646*Assumptions!Q$5),-2)</f>
        <v>0</v>
      </c>
    </row>
    <row r="647" spans="1:18" x14ac:dyDescent="0.2">
      <c r="A647" s="107">
        <v>4100</v>
      </c>
      <c r="B647" s="33">
        <v>4100</v>
      </c>
      <c r="C647" s="33">
        <v>3700</v>
      </c>
      <c r="D647" s="33">
        <f>4356+44</f>
        <v>4400</v>
      </c>
      <c r="E647" s="658" t="s">
        <v>124</v>
      </c>
      <c r="F647" s="814" t="s">
        <v>3462</v>
      </c>
      <c r="G647" s="33">
        <v>4500</v>
      </c>
      <c r="H647" s="138">
        <f>IF(D647=G647,0,IF(D647=0,100,(G647-D647)/D647*100))</f>
        <v>2.2727272727272729</v>
      </c>
      <c r="I647" s="33">
        <v>4500</v>
      </c>
      <c r="J647" s="33">
        <f>ROUNDUP(I647+(I647*Assumptions!I$5),-2)</f>
        <v>4700</v>
      </c>
      <c r="K647" s="33">
        <f>ROUNDUP(J647+(J647*Assumptions!J$5),-2)</f>
        <v>4900</v>
      </c>
      <c r="L647" s="33">
        <f>ROUNDUP(K647+(K647*Assumptions!K$5),-2)</f>
        <v>5100</v>
      </c>
      <c r="M647" s="33">
        <f>ROUNDUP(L647+(L647*Assumptions!L$5),-2)</f>
        <v>5300</v>
      </c>
      <c r="N647" s="33">
        <f>ROUNDUP(M647+(M647*Assumptions!M$5),-2)</f>
        <v>5500</v>
      </c>
      <c r="O647" s="33">
        <f>ROUNDUP(N647+(N647*Assumptions!N$5),-2)</f>
        <v>5700</v>
      </c>
      <c r="P647" s="142">
        <f>ROUNDUP(O647+(O647*Assumptions!O$5),-2)</f>
        <v>5900</v>
      </c>
      <c r="Q647" s="33">
        <f>ROUNDUP(P647+(P647*Assumptions!P$5),-2)</f>
        <v>6100</v>
      </c>
      <c r="R647" s="114">
        <f>ROUNDUP(Q647+(Q647*Assumptions!Q$5),-2)</f>
        <v>6300</v>
      </c>
    </row>
    <row r="648" spans="1:18" x14ac:dyDescent="0.2">
      <c r="A648" s="107"/>
      <c r="B648" s="33"/>
      <c r="C648" s="33"/>
      <c r="D648" s="33"/>
      <c r="E648" s="658"/>
      <c r="F648" s="814"/>
      <c r="G648" s="33"/>
      <c r="H648" s="138"/>
      <c r="I648" s="33"/>
      <c r="J648" s="33"/>
      <c r="K648" s="33"/>
      <c r="L648" s="33"/>
      <c r="M648" s="33"/>
      <c r="N648" s="33"/>
      <c r="O648" s="33"/>
      <c r="P648" s="142"/>
      <c r="Q648" s="33"/>
      <c r="R648" s="114"/>
    </row>
    <row r="649" spans="1:18" x14ac:dyDescent="0.2">
      <c r="A649" s="107"/>
      <c r="B649" s="33"/>
      <c r="C649" s="33"/>
      <c r="D649" s="33"/>
      <c r="E649" s="658"/>
      <c r="F649" s="1103" t="s">
        <v>6662</v>
      </c>
      <c r="G649" s="33"/>
      <c r="H649" s="138"/>
      <c r="I649" s="33"/>
      <c r="J649" s="33"/>
      <c r="K649" s="33"/>
      <c r="L649" s="33"/>
      <c r="M649" s="33"/>
      <c r="N649" s="33"/>
      <c r="O649" s="33"/>
      <c r="P649" s="142"/>
      <c r="Q649" s="33"/>
      <c r="R649" s="114"/>
    </row>
    <row r="650" spans="1:18" x14ac:dyDescent="0.2">
      <c r="A650" s="107">
        <v>100</v>
      </c>
      <c r="B650" s="33">
        <v>2400</v>
      </c>
      <c r="C650" s="33">
        <v>1900</v>
      </c>
      <c r="D650" s="33">
        <f>1742-42</f>
        <v>1700</v>
      </c>
      <c r="E650" s="1092" t="s">
        <v>3211</v>
      </c>
      <c r="F650" s="814" t="s">
        <v>3308</v>
      </c>
      <c r="G650" s="33">
        <v>5300</v>
      </c>
      <c r="H650" s="138">
        <f>IF(D650=G650,0,IF(D650=0,100,(G650-D650)/D650*100))</f>
        <v>211.76470588235296</v>
      </c>
      <c r="I650" s="33">
        <v>0</v>
      </c>
      <c r="J650" s="33">
        <f>ROUNDUP(I650+(I650*Assumptions!I$5),-2)</f>
        <v>0</v>
      </c>
      <c r="K650" s="33">
        <f>ROUNDUP(J650+(J650*Assumptions!J$5),-2)</f>
        <v>0</v>
      </c>
      <c r="L650" s="33">
        <f>ROUNDUP(K650+(K650*Assumptions!K$5),-2)</f>
        <v>0</v>
      </c>
      <c r="M650" s="33">
        <f>ROUNDUP(L650+(L650*Assumptions!L$5),-2)</f>
        <v>0</v>
      </c>
      <c r="N650" s="33">
        <f>ROUNDUP(M650+(M650*Assumptions!M$5),-2)</f>
        <v>0</v>
      </c>
      <c r="O650" s="33">
        <f>ROUNDUP(N650+(N650*Assumptions!N$5),-2)</f>
        <v>0</v>
      </c>
      <c r="P650" s="142">
        <f>ROUNDUP(O650+(O650*Assumptions!O$5),-2)</f>
        <v>0</v>
      </c>
      <c r="Q650" s="33">
        <f>ROUNDUP(P650+(P650*Assumptions!P$5),-2)</f>
        <v>0</v>
      </c>
      <c r="R650" s="114">
        <f>ROUNDUP(Q650+(Q650*Assumptions!Q$5),-2)</f>
        <v>0</v>
      </c>
    </row>
    <row r="651" spans="1:18" x14ac:dyDescent="0.2">
      <c r="A651" s="107">
        <v>3700</v>
      </c>
      <c r="B651" s="33">
        <v>1400</v>
      </c>
      <c r="C651" s="33">
        <v>3500</v>
      </c>
      <c r="D651" s="33">
        <f>3779+21</f>
        <v>3800</v>
      </c>
      <c r="E651" s="658" t="s">
        <v>1198</v>
      </c>
      <c r="F651" s="443" t="s">
        <v>2878</v>
      </c>
      <c r="G651" s="33">
        <f>3700+2700</f>
        <v>6400</v>
      </c>
      <c r="H651" s="138">
        <f>IF(D651=G651,0,IF(D651=0,100,(G651-D651)/D651*100))</f>
        <v>68.421052631578945</v>
      </c>
      <c r="I651" s="33">
        <v>3800</v>
      </c>
      <c r="J651" s="33">
        <f>ROUNDUP(I651+(I651*Assumptions!I$5),-2)</f>
        <v>3900</v>
      </c>
      <c r="K651" s="33">
        <f>ROUNDUP(J651+(J651*Assumptions!J$5),-2)</f>
        <v>4000</v>
      </c>
      <c r="L651" s="33">
        <f>ROUNDUP(K651+(K651*Assumptions!K$5),-2)</f>
        <v>4100</v>
      </c>
      <c r="M651" s="33">
        <f>ROUNDUP(L651+(L651*Assumptions!L$5),-2)</f>
        <v>4200</v>
      </c>
      <c r="N651" s="33">
        <f>ROUNDUP(M651+(M651*Assumptions!M$5),-2)</f>
        <v>4300</v>
      </c>
      <c r="O651" s="33">
        <f>ROUNDUP(N651+(N651*Assumptions!N$5),-2)</f>
        <v>4400</v>
      </c>
      <c r="P651" s="142">
        <f>ROUNDUP(O651+(O651*Assumptions!O$5),-2)</f>
        <v>4500</v>
      </c>
      <c r="Q651" s="33">
        <f>ROUNDUP(P651+(P651*Assumptions!P$5),-2)</f>
        <v>4600</v>
      </c>
      <c r="R651" s="114">
        <f>ROUNDUP(Q651+(Q651*Assumptions!Q$5),-2)</f>
        <v>4700</v>
      </c>
    </row>
    <row r="652" spans="1:18" x14ac:dyDescent="0.2">
      <c r="A652" s="107">
        <v>7500</v>
      </c>
      <c r="B652" s="33">
        <v>8200</v>
      </c>
      <c r="C652" s="33">
        <v>8400</v>
      </c>
      <c r="D652" s="33">
        <v>8500</v>
      </c>
      <c r="E652" s="658" t="s">
        <v>1200</v>
      </c>
      <c r="F652" s="814" t="s">
        <v>4682</v>
      </c>
      <c r="G652" s="33">
        <v>8800</v>
      </c>
      <c r="H652" s="138">
        <f>IF(D652=G652,0,IF(D652=0,100,(G652-D652)/D652*100))</f>
        <v>3.5294117647058822</v>
      </c>
      <c r="I652" s="33">
        <f>ROUNDUP(G652+(G652*Assumptions!H$5),-2)</f>
        <v>9000</v>
      </c>
      <c r="J652" s="33">
        <f>ROUNDUP(I652+(I652*Assumptions!I$5),-2)</f>
        <v>9300</v>
      </c>
      <c r="K652" s="33">
        <f>ROUNDUP(J652+(J652*Assumptions!J$5),-2)</f>
        <v>9600</v>
      </c>
      <c r="L652" s="33">
        <f>ROUNDUP(K652+(K652*Assumptions!K$5),-2)</f>
        <v>9900</v>
      </c>
      <c r="M652" s="33">
        <f>ROUNDUP(L652+(L652*Assumptions!L$5),-2)</f>
        <v>10100</v>
      </c>
      <c r="N652" s="33">
        <f>ROUNDUP(M652+(M652*Assumptions!M$5),-2)</f>
        <v>10400</v>
      </c>
      <c r="O652" s="33">
        <f>ROUNDUP(N652+(N652*Assumptions!N$5),-2)</f>
        <v>10700</v>
      </c>
      <c r="P652" s="142">
        <f>ROUNDUP(O652+(O652*Assumptions!O$5),-2)</f>
        <v>11000</v>
      </c>
      <c r="Q652" s="33">
        <f>ROUNDUP(P652+(P652*Assumptions!P$5),-2)</f>
        <v>11300</v>
      </c>
      <c r="R652" s="114">
        <f>ROUNDUP(Q652+(Q652*Assumptions!Q$5),-2)</f>
        <v>11600</v>
      </c>
    </row>
    <row r="653" spans="1:18" ht="13.5" thickBot="1" x14ac:dyDescent="0.25">
      <c r="A653" s="107"/>
      <c r="B653" s="33"/>
      <c r="C653" s="33"/>
      <c r="D653" s="33"/>
      <c r="E653" s="238"/>
      <c r="F653" s="103"/>
      <c r="G653" s="33"/>
      <c r="H653" s="138"/>
      <c r="I653" s="33"/>
      <c r="J653" s="33"/>
      <c r="K653" s="33"/>
      <c r="L653" s="33"/>
      <c r="M653" s="33"/>
      <c r="N653" s="33"/>
      <c r="O653" s="33"/>
      <c r="P653" s="142"/>
      <c r="Q653" s="33"/>
      <c r="R653" s="114"/>
    </row>
    <row r="654" spans="1:18" x14ac:dyDescent="0.2">
      <c r="A654" s="105">
        <f>SUM(A631:A653)</f>
        <v>389200</v>
      </c>
      <c r="B654" s="53">
        <f>SUM(B631:B653)</f>
        <v>247900</v>
      </c>
      <c r="C654" s="53">
        <f>SUM(C631:C653)</f>
        <v>585900</v>
      </c>
      <c r="D654" s="53">
        <f>SUM(D631:D653)</f>
        <v>632800</v>
      </c>
      <c r="E654" s="1990"/>
      <c r="F654" s="112" t="s">
        <v>565</v>
      </c>
      <c r="G654" s="53">
        <f>SUM(G631:G653)</f>
        <v>591300</v>
      </c>
      <c r="H654" s="180">
        <f>IF(D654=G654,0,IF(D654=0,100,(G654-D654)/D654*100))</f>
        <v>-6.5581542351453859</v>
      </c>
      <c r="I654" s="53">
        <f t="shared" ref="I654:Q654" si="615">SUM(I631:I653)</f>
        <v>594800</v>
      </c>
      <c r="J654" s="53">
        <f t="shared" si="615"/>
        <v>610200</v>
      </c>
      <c r="K654" s="53">
        <f t="shared" si="615"/>
        <v>626000</v>
      </c>
      <c r="L654" s="53">
        <f t="shared" si="615"/>
        <v>642100</v>
      </c>
      <c r="M654" s="53">
        <f t="shared" si="615"/>
        <v>658300</v>
      </c>
      <c r="N654" s="53">
        <f t="shared" si="615"/>
        <v>675100</v>
      </c>
      <c r="O654" s="53">
        <f t="shared" si="615"/>
        <v>692200</v>
      </c>
      <c r="P654" s="155">
        <f t="shared" si="615"/>
        <v>709700</v>
      </c>
      <c r="Q654" s="53">
        <f t="shared" si="615"/>
        <v>727600</v>
      </c>
      <c r="R654" s="113">
        <f t="shared" ref="R654" si="616">SUM(R631:R653)</f>
        <v>746000</v>
      </c>
    </row>
    <row r="655" spans="1:18" x14ac:dyDescent="0.2">
      <c r="A655" s="107"/>
      <c r="B655" s="33"/>
      <c r="C655" s="33"/>
      <c r="D655" s="33"/>
      <c r="E655" s="1955"/>
      <c r="F655" s="108"/>
      <c r="G655" s="33"/>
      <c r="H655" s="138"/>
      <c r="I655" s="33"/>
      <c r="J655" s="33"/>
      <c r="K655" s="33"/>
      <c r="L655" s="33"/>
      <c r="M655" s="33"/>
      <c r="N655" s="33"/>
      <c r="O655" s="33"/>
      <c r="P655" s="142"/>
      <c r="Q655" s="33"/>
      <c r="R655" s="114"/>
    </row>
    <row r="656" spans="1:18" x14ac:dyDescent="0.2">
      <c r="A656" s="70">
        <f>A629-A654</f>
        <v>-359300</v>
      </c>
      <c r="B656" s="64">
        <f>B629-B654</f>
        <v>-232300</v>
      </c>
      <c r="C656" s="64">
        <f>C629-C654</f>
        <v>-557700</v>
      </c>
      <c r="D656" s="64">
        <f>D629-D654</f>
        <v>-575300</v>
      </c>
      <c r="E656" s="1990"/>
      <c r="F656" s="1963" t="s">
        <v>1019</v>
      </c>
      <c r="G656" s="64">
        <f>G629-G654</f>
        <v>-561000</v>
      </c>
      <c r="H656" s="179">
        <f>IF(D656=G656,0,IF(D656=0,100,(G656-D656)/D656*100))</f>
        <v>-2.4856596558317401</v>
      </c>
      <c r="I656" s="64">
        <f t="shared" ref="I656:Q656" si="617">I629-I654</f>
        <v>-563700</v>
      </c>
      <c r="J656" s="64">
        <f t="shared" si="617"/>
        <v>-578100</v>
      </c>
      <c r="K656" s="64">
        <f t="shared" si="617"/>
        <v>-592900</v>
      </c>
      <c r="L656" s="64">
        <f t="shared" si="617"/>
        <v>-608000</v>
      </c>
      <c r="M656" s="64">
        <f t="shared" si="617"/>
        <v>-623200</v>
      </c>
      <c r="N656" s="64">
        <f t="shared" si="617"/>
        <v>-639000</v>
      </c>
      <c r="O656" s="64">
        <f t="shared" si="617"/>
        <v>-655100</v>
      </c>
      <c r="P656" s="128">
        <f t="shared" si="617"/>
        <v>-671600</v>
      </c>
      <c r="Q656" s="64">
        <f t="shared" si="617"/>
        <v>-688500</v>
      </c>
      <c r="R656" s="115">
        <f t="shared" ref="R656" si="618">R629-R654</f>
        <v>-705900</v>
      </c>
    </row>
    <row r="657" spans="1:18" x14ac:dyDescent="0.2">
      <c r="A657" s="107">
        <v>0</v>
      </c>
      <c r="B657" s="33">
        <v>0</v>
      </c>
      <c r="C657" s="33">
        <v>0</v>
      </c>
      <c r="D657" s="33">
        <v>0</v>
      </c>
      <c r="E657" s="1955"/>
      <c r="F657" s="320" t="str">
        <f>E37</f>
        <v>Add Back Depreciation</v>
      </c>
      <c r="G657" s="33">
        <v>0</v>
      </c>
      <c r="H657" s="19">
        <f>IF(D657=G657,0,IF(D657=0,100,(G657-D657)/D657*100))</f>
        <v>0</v>
      </c>
      <c r="I657" s="33">
        <v>0</v>
      </c>
      <c r="J657" s="33">
        <v>0</v>
      </c>
      <c r="K657" s="33">
        <v>0</v>
      </c>
      <c r="L657" s="33">
        <v>0</v>
      </c>
      <c r="M657" s="33">
        <v>0</v>
      </c>
      <c r="N657" s="33">
        <v>0</v>
      </c>
      <c r="O657" s="33">
        <v>0</v>
      </c>
      <c r="P657" s="142">
        <v>0</v>
      </c>
      <c r="Q657" s="33">
        <v>0</v>
      </c>
      <c r="R657" s="114">
        <v>0</v>
      </c>
    </row>
    <row r="658" spans="1:18" s="92" customFormat="1" x14ac:dyDescent="0.2">
      <c r="A658" s="181">
        <f>A656+A657</f>
        <v>-359300</v>
      </c>
      <c r="B658" s="397">
        <f>B656+B657</f>
        <v>-232300</v>
      </c>
      <c r="C658" s="397">
        <f>C656+C657</f>
        <v>-557700</v>
      </c>
      <c r="D658" s="397">
        <f>D656+D657</f>
        <v>-575300</v>
      </c>
      <c r="E658" s="523"/>
      <c r="F658" s="515" t="s">
        <v>1687</v>
      </c>
      <c r="G658" s="397">
        <f t="shared" ref="G658:O658" si="619">G656+G657</f>
        <v>-561000</v>
      </c>
      <c r="H658" s="395">
        <f>IF(D658=G658,0,IF(D658=0,100,(G658-D658)/D658*100))</f>
        <v>-2.4856596558317401</v>
      </c>
      <c r="I658" s="397">
        <f t="shared" si="619"/>
        <v>-563700</v>
      </c>
      <c r="J658" s="397">
        <f t="shared" si="619"/>
        <v>-578100</v>
      </c>
      <c r="K658" s="397">
        <f t="shared" si="619"/>
        <v>-592900</v>
      </c>
      <c r="L658" s="397">
        <f t="shared" si="619"/>
        <v>-608000</v>
      </c>
      <c r="M658" s="397">
        <f t="shared" si="619"/>
        <v>-623200</v>
      </c>
      <c r="N658" s="397">
        <f t="shared" si="619"/>
        <v>-639000</v>
      </c>
      <c r="O658" s="397">
        <f t="shared" si="619"/>
        <v>-655100</v>
      </c>
      <c r="P658" s="377">
        <f t="shared" ref="P658:Q658" si="620">P656+P657</f>
        <v>-671600</v>
      </c>
      <c r="Q658" s="397">
        <f t="shared" si="620"/>
        <v>-688500</v>
      </c>
      <c r="R658" s="399">
        <f t="shared" ref="R658" si="621">R656+R657</f>
        <v>-705900</v>
      </c>
    </row>
    <row r="659" spans="1:18" ht="13.5" thickBot="1" x14ac:dyDescent="0.25">
      <c r="A659" s="646"/>
      <c r="B659" s="183"/>
      <c r="C659" s="183"/>
      <c r="D659" s="183"/>
      <c r="E659" s="637"/>
      <c r="F659" s="638"/>
      <c r="G659" s="183"/>
      <c r="H659" s="46"/>
      <c r="I659" s="121"/>
      <c r="J659" s="121"/>
      <c r="K659" s="121"/>
      <c r="L659" s="121"/>
      <c r="M659" s="121"/>
      <c r="N659" s="121"/>
      <c r="O659" s="121"/>
      <c r="P659" s="95"/>
      <c r="Q659" s="121"/>
      <c r="R659" s="161"/>
    </row>
    <row r="660" spans="1:18" x14ac:dyDescent="0.2">
      <c r="A660" s="70"/>
      <c r="B660" s="128"/>
      <c r="C660" s="64"/>
      <c r="D660" s="64"/>
      <c r="E660" s="238"/>
      <c r="F660" s="373"/>
      <c r="G660" s="64"/>
      <c r="H660" s="179"/>
      <c r="I660" s="33"/>
      <c r="J660" s="33"/>
      <c r="K660" s="33"/>
      <c r="L660" s="33"/>
      <c r="M660" s="33"/>
      <c r="N660" s="33"/>
      <c r="O660" s="33"/>
      <c r="P660" s="142"/>
      <c r="Q660" s="33"/>
      <c r="R660" s="114"/>
    </row>
    <row r="661" spans="1:18" x14ac:dyDescent="0.2">
      <c r="A661" s="70"/>
      <c r="B661" s="128"/>
      <c r="C661" s="64"/>
      <c r="D661" s="64"/>
      <c r="E661" s="238"/>
      <c r="F661" s="516" t="s">
        <v>196</v>
      </c>
      <c r="G661" s="64"/>
      <c r="H661" s="179"/>
      <c r="I661" s="33"/>
      <c r="J661" s="33"/>
      <c r="K661" s="33"/>
      <c r="L661" s="33"/>
      <c r="M661" s="33"/>
      <c r="N661" s="33"/>
      <c r="O661" s="33"/>
      <c r="P661" s="142"/>
      <c r="Q661" s="33"/>
      <c r="R661" s="114"/>
    </row>
    <row r="662" spans="1:18" x14ac:dyDescent="0.2">
      <c r="A662" s="107">
        <v>0</v>
      </c>
      <c r="B662" s="142">
        <v>0</v>
      </c>
      <c r="C662" s="33">
        <v>0</v>
      </c>
      <c r="D662" s="33">
        <v>0</v>
      </c>
      <c r="E662" s="238"/>
      <c r="F662" s="525" t="s">
        <v>1791</v>
      </c>
      <c r="G662" s="33">
        <v>0</v>
      </c>
      <c r="H662" s="138"/>
      <c r="I662" s="33">
        <v>0</v>
      </c>
      <c r="J662" s="33">
        <v>0</v>
      </c>
      <c r="K662" s="33">
        <v>0</v>
      </c>
      <c r="L662" s="33">
        <v>0</v>
      </c>
      <c r="M662" s="33">
        <v>0</v>
      </c>
      <c r="N662" s="33">
        <v>0</v>
      </c>
      <c r="O662" s="33">
        <v>0</v>
      </c>
      <c r="P662" s="142">
        <v>0</v>
      </c>
      <c r="Q662" s="33">
        <v>0</v>
      </c>
      <c r="R662" s="114">
        <v>0</v>
      </c>
    </row>
    <row r="663" spans="1:18" x14ac:dyDescent="0.2">
      <c r="A663" s="107">
        <v>0</v>
      </c>
      <c r="B663" s="142">
        <v>38000</v>
      </c>
      <c r="C663" s="142">
        <v>44000</v>
      </c>
      <c r="D663" s="33">
        <f>6500+13700</f>
        <v>20200</v>
      </c>
      <c r="E663" s="238"/>
      <c r="F663" s="366" t="s">
        <v>1942</v>
      </c>
      <c r="G663" s="33">
        <f>'Res-Gen'!E217</f>
        <v>6700</v>
      </c>
      <c r="H663" s="138"/>
      <c r="I663" s="33">
        <f>'Res-Gen'!H217</f>
        <v>6900</v>
      </c>
      <c r="J663" s="33">
        <f>'Res-Gen'!K217</f>
        <v>7100</v>
      </c>
      <c r="K663" s="33">
        <f>'Res-Gen'!N217</f>
        <v>7300</v>
      </c>
      <c r="L663" s="33">
        <f>'Res-Gen'!Q217</f>
        <v>7500</v>
      </c>
      <c r="M663" s="33">
        <f>'Res-Gen'!T217</f>
        <v>7700</v>
      </c>
      <c r="N663" s="33">
        <f>'Res-Gen'!W217</f>
        <v>7900</v>
      </c>
      <c r="O663" s="33">
        <f>'Res-Gen'!Z217</f>
        <v>8100</v>
      </c>
      <c r="P663" s="142">
        <f>'Res-Gen'!AC217</f>
        <v>8300</v>
      </c>
      <c r="Q663" s="33">
        <f>'Res-Gen'!AF217</f>
        <v>8500</v>
      </c>
      <c r="R663" s="114">
        <f>'Res-Gen'!AI217</f>
        <v>8700</v>
      </c>
    </row>
    <row r="664" spans="1:18" x14ac:dyDescent="0.2">
      <c r="A664" s="107">
        <v>0</v>
      </c>
      <c r="B664" s="142">
        <v>0</v>
      </c>
      <c r="C664" s="142">
        <v>3000</v>
      </c>
      <c r="D664" s="33">
        <f>'Res-Gen'!C13+'Res-Gen'!C18</f>
        <v>86100</v>
      </c>
      <c r="E664" s="238"/>
      <c r="F664" s="366" t="s">
        <v>2348</v>
      </c>
      <c r="G664" s="33">
        <f>'Res-Gen'!F13</f>
        <v>5300</v>
      </c>
      <c r="H664" s="138"/>
      <c r="I664" s="33">
        <v>0</v>
      </c>
      <c r="J664" s="33">
        <v>0</v>
      </c>
      <c r="K664" s="33">
        <v>0</v>
      </c>
      <c r="L664" s="33">
        <v>0</v>
      </c>
      <c r="M664" s="33">
        <v>0</v>
      </c>
      <c r="N664" s="33">
        <v>0</v>
      </c>
      <c r="O664" s="33">
        <v>0</v>
      </c>
      <c r="P664" s="142">
        <v>0</v>
      </c>
      <c r="Q664" s="33">
        <v>0</v>
      </c>
      <c r="R664" s="114">
        <v>0</v>
      </c>
    </row>
    <row r="665" spans="1:18" x14ac:dyDescent="0.2">
      <c r="A665" s="107">
        <v>0</v>
      </c>
      <c r="B665" s="142">
        <v>0</v>
      </c>
      <c r="C665" s="33">
        <f>'Cap Inc'!A141</f>
        <v>0</v>
      </c>
      <c r="D665" s="33">
        <v>0</v>
      </c>
      <c r="E665" s="238"/>
      <c r="F665" s="366" t="s">
        <v>5984</v>
      </c>
      <c r="G665" s="33">
        <v>0</v>
      </c>
      <c r="H665" s="138"/>
      <c r="I665" s="33">
        <v>0</v>
      </c>
      <c r="J665" s="33">
        <v>0</v>
      </c>
      <c r="K665" s="33">
        <v>0</v>
      </c>
      <c r="L665" s="33">
        <v>0</v>
      </c>
      <c r="M665" s="33">
        <v>0</v>
      </c>
      <c r="N665" s="33">
        <v>0</v>
      </c>
      <c r="O665" s="33">
        <v>0</v>
      </c>
      <c r="P665" s="142">
        <v>0</v>
      </c>
      <c r="Q665" s="33">
        <v>0</v>
      </c>
      <c r="R665" s="114">
        <v>0</v>
      </c>
    </row>
    <row r="666" spans="1:18" x14ac:dyDescent="0.2">
      <c r="A666" s="107">
        <v>0</v>
      </c>
      <c r="B666" s="142">
        <v>0</v>
      </c>
      <c r="C666" s="33">
        <v>0</v>
      </c>
      <c r="D666" s="33">
        <v>0</v>
      </c>
      <c r="E666" s="238"/>
      <c r="F666" s="366" t="s">
        <v>972</v>
      </c>
      <c r="G666" s="33">
        <v>0</v>
      </c>
      <c r="H666" s="138"/>
      <c r="I666" s="33">
        <v>0</v>
      </c>
      <c r="J666" s="33">
        <v>0</v>
      </c>
      <c r="K666" s="33">
        <v>0</v>
      </c>
      <c r="L666" s="33">
        <v>0</v>
      </c>
      <c r="M666" s="33">
        <v>0</v>
      </c>
      <c r="N666" s="33">
        <v>0</v>
      </c>
      <c r="O666" s="33">
        <v>0</v>
      </c>
      <c r="P666" s="142">
        <v>0</v>
      </c>
      <c r="Q666" s="33">
        <v>0</v>
      </c>
      <c r="R666" s="114">
        <v>0</v>
      </c>
    </row>
    <row r="667" spans="1:18" s="92" customFormat="1" x14ac:dyDescent="0.2">
      <c r="A667" s="181">
        <f>A658-A662-A663+A664++A665-A666</f>
        <v>-359300</v>
      </c>
      <c r="B667" s="377">
        <f>B658-B662-B663+B664++B665-B666</f>
        <v>-270300</v>
      </c>
      <c r="C667" s="397">
        <f>C658-C662-C663+C664++C665-C666</f>
        <v>-598700</v>
      </c>
      <c r="D667" s="397">
        <f>D658-D662-D663+D664++D665-D666</f>
        <v>-509400</v>
      </c>
      <c r="E667" s="526"/>
      <c r="F667" s="518" t="s">
        <v>2490</v>
      </c>
      <c r="G667" s="397">
        <f t="shared" ref="G667:O667" si="622">G658-G662-G663+G664++G665-G666</f>
        <v>-562400</v>
      </c>
      <c r="H667" s="395">
        <f>IF(D667=G667,0,IF(D667=0,100,(G667-D667)/D667*100))</f>
        <v>10.404397330192383</v>
      </c>
      <c r="I667" s="397">
        <f t="shared" si="622"/>
        <v>-570600</v>
      </c>
      <c r="J667" s="397">
        <f t="shared" si="622"/>
        <v>-585200</v>
      </c>
      <c r="K667" s="397">
        <f t="shared" si="622"/>
        <v>-600200</v>
      </c>
      <c r="L667" s="397">
        <f t="shared" si="622"/>
        <v>-615500</v>
      </c>
      <c r="M667" s="397">
        <f t="shared" si="622"/>
        <v>-630900</v>
      </c>
      <c r="N667" s="397">
        <f t="shared" si="622"/>
        <v>-646900</v>
      </c>
      <c r="O667" s="397">
        <f t="shared" si="622"/>
        <v>-663200</v>
      </c>
      <c r="P667" s="377">
        <f t="shared" ref="P667:Q667" si="623">P658-P662-P663+P664++P665-P666</f>
        <v>-679900</v>
      </c>
      <c r="Q667" s="397">
        <f t="shared" si="623"/>
        <v>-697000</v>
      </c>
      <c r="R667" s="399">
        <f t="shared" ref="R667" si="624">R658-R662-R663+R664++R665-R666</f>
        <v>-714600</v>
      </c>
    </row>
    <row r="668" spans="1:18" ht="13.5" thickBot="1" x14ac:dyDescent="0.25">
      <c r="A668" s="73"/>
      <c r="B668" s="134"/>
      <c r="C668" s="90"/>
      <c r="D668" s="90"/>
      <c r="E668" s="239"/>
      <c r="F668" s="368"/>
      <c r="G668" s="90"/>
      <c r="H668" s="392"/>
      <c r="I668" s="66"/>
      <c r="J668" s="66"/>
      <c r="K668" s="66"/>
      <c r="L668" s="66"/>
      <c r="M668" s="66"/>
      <c r="N668" s="66"/>
      <c r="O668" s="66"/>
      <c r="P668" s="166"/>
      <c r="Q668" s="66"/>
      <c r="R668" s="165"/>
    </row>
    <row r="669" spans="1:18" s="99" customFormat="1" ht="14.25" thickTop="1" thickBot="1" x14ac:dyDescent="0.25">
      <c r="A669" s="125"/>
      <c r="B669" s="125"/>
      <c r="C669" s="196"/>
      <c r="D669" s="196"/>
      <c r="E669" s="954"/>
      <c r="F669" s="542"/>
      <c r="G669" s="196"/>
      <c r="H669" s="2210"/>
      <c r="I669" s="176"/>
      <c r="J669" s="176"/>
      <c r="K669" s="176"/>
      <c r="L669" s="176"/>
      <c r="M669" s="176"/>
      <c r="N669" s="176"/>
      <c r="O669" s="176"/>
      <c r="P669" s="176"/>
      <c r="Q669" s="176"/>
      <c r="R669" s="176"/>
    </row>
    <row r="670" spans="1:18" s="91" customFormat="1" ht="18.75" customHeight="1" thickTop="1" thickBot="1" x14ac:dyDescent="0.3">
      <c r="A670" s="2862" t="s">
        <v>206</v>
      </c>
      <c r="B670" s="2863"/>
      <c r="C670" s="2863"/>
      <c r="D670" s="2863"/>
      <c r="E670" s="2863"/>
      <c r="F670" s="2863"/>
      <c r="G670" s="2863"/>
      <c r="H670" s="2863"/>
      <c r="I670" s="2863"/>
      <c r="J670" s="2863"/>
      <c r="K670" s="2863"/>
      <c r="L670" s="2863"/>
      <c r="M670" s="2863"/>
      <c r="N670" s="2863"/>
      <c r="O670" s="2863"/>
      <c r="P670" s="2863"/>
      <c r="Q670" s="2863"/>
      <c r="R670" s="2864"/>
    </row>
    <row r="671" spans="1:18" s="44" customFormat="1" x14ac:dyDescent="0.2">
      <c r="A671" s="2848" t="s">
        <v>1856</v>
      </c>
      <c r="B671" s="2840"/>
      <c r="C671" s="2840"/>
      <c r="D671" s="2849"/>
      <c r="E671" s="513" t="s">
        <v>2663</v>
      </c>
      <c r="F671" s="369" t="s">
        <v>2251</v>
      </c>
      <c r="G671" s="2839" t="s">
        <v>2253</v>
      </c>
      <c r="H671" s="2840"/>
      <c r="I671" s="2840"/>
      <c r="J671" s="2840"/>
      <c r="K671" s="2840"/>
      <c r="L671" s="2840"/>
      <c r="M671" s="2840"/>
      <c r="N671" s="2840"/>
      <c r="O671" s="2840"/>
      <c r="P671" s="2840"/>
      <c r="Q671" s="2840"/>
      <c r="R671" s="2841"/>
    </row>
    <row r="672" spans="1:18" s="23" customFormat="1" ht="13.5" thickBot="1" x14ac:dyDescent="0.25">
      <c r="A672" s="208" t="str">
        <f>GM!A3</f>
        <v>2012/13</v>
      </c>
      <c r="B672" s="75" t="str">
        <f>GM!B3</f>
        <v>2013/14</v>
      </c>
      <c r="C672" s="370" t="str">
        <f>GM!C3</f>
        <v>2014/15</v>
      </c>
      <c r="D672" s="93" t="str">
        <f>GM!D3</f>
        <v>2015/16</v>
      </c>
      <c r="E672" s="370" t="s">
        <v>2664</v>
      </c>
      <c r="F672" s="42"/>
      <c r="G672" s="93" t="str">
        <f>GM!G3</f>
        <v>2016/17</v>
      </c>
      <c r="H672" s="2492" t="s">
        <v>501</v>
      </c>
      <c r="I672" s="370" t="str">
        <f>GM!I3</f>
        <v>2017/18</v>
      </c>
      <c r="J672" s="370" t="str">
        <f>GM!J3</f>
        <v>2018/19</v>
      </c>
      <c r="K672" s="370" t="str">
        <f>GM!K3</f>
        <v>2019/20</v>
      </c>
      <c r="L672" s="370" t="str">
        <f>GM!L3</f>
        <v>2020/21</v>
      </c>
      <c r="M672" s="370" t="str">
        <f>GM!M3</f>
        <v>2021/22</v>
      </c>
      <c r="N672" s="370" t="str">
        <f>GM!N3</f>
        <v>2022/23</v>
      </c>
      <c r="O672" s="370" t="str">
        <f>GM!O3</f>
        <v>2023/24</v>
      </c>
      <c r="P672" s="370" t="str">
        <f>GM!P3</f>
        <v>2024/25</v>
      </c>
      <c r="Q672" s="218" t="str">
        <f>GM!Q3</f>
        <v>2025/26</v>
      </c>
      <c r="R672" s="549" t="str">
        <f>GM!R3</f>
        <v>2026/27</v>
      </c>
    </row>
    <row r="673" spans="1:18" x14ac:dyDescent="0.2">
      <c r="A673" s="107"/>
      <c r="B673" s="33"/>
      <c r="C673" s="33"/>
      <c r="D673" s="33"/>
      <c r="E673" s="252"/>
      <c r="F673" s="144" t="s">
        <v>1073</v>
      </c>
      <c r="G673" s="33"/>
      <c r="H673" s="138"/>
      <c r="I673" s="33"/>
      <c r="J673" s="33"/>
      <c r="K673" s="33"/>
      <c r="L673" s="33"/>
      <c r="M673" s="33"/>
      <c r="N673" s="33"/>
      <c r="O673" s="33"/>
      <c r="P673" s="33"/>
      <c r="Q673" s="33"/>
      <c r="R673" s="114"/>
    </row>
    <row r="674" spans="1:18" x14ac:dyDescent="0.2">
      <c r="A674" s="107"/>
      <c r="B674" s="33"/>
      <c r="C674" s="33"/>
      <c r="D674" s="33"/>
      <c r="E674" s="252"/>
      <c r="F674" s="145" t="s">
        <v>3242</v>
      </c>
      <c r="G674" s="33"/>
      <c r="H674" s="138"/>
      <c r="I674" s="33"/>
      <c r="J674" s="33"/>
      <c r="K674" s="33"/>
      <c r="L674" s="33"/>
      <c r="M674" s="33"/>
      <c r="N674" s="33"/>
      <c r="O674" s="33"/>
      <c r="P674" s="33"/>
      <c r="Q674" s="33"/>
      <c r="R674" s="114"/>
    </row>
    <row r="675" spans="1:18" x14ac:dyDescent="0.2">
      <c r="A675" s="107">
        <v>0</v>
      </c>
      <c r="B675" s="33">
        <v>0</v>
      </c>
      <c r="C675" s="33">
        <v>5600</v>
      </c>
      <c r="D675" s="33">
        <v>5000</v>
      </c>
      <c r="E675" s="1335" t="s">
        <v>4259</v>
      </c>
      <c r="F675" s="78" t="s">
        <v>4260</v>
      </c>
      <c r="G675" s="33">
        <v>6200</v>
      </c>
      <c r="H675" s="138">
        <f>IF(D675=G675,0,IF(D675=0,100,(G675-D675)/D675*100))</f>
        <v>24</v>
      </c>
      <c r="I675" s="33">
        <v>6000</v>
      </c>
      <c r="J675" s="33">
        <f>ROUNDUP(I675+(I675*Assumptions!I$5),-2)</f>
        <v>6200</v>
      </c>
      <c r="K675" s="33">
        <f>ROUNDUP(J675+(J675*Assumptions!J$5),-2)</f>
        <v>6400</v>
      </c>
      <c r="L675" s="33">
        <f>ROUNDUP(K675+(K675*Assumptions!K$5),-2)</f>
        <v>6600</v>
      </c>
      <c r="M675" s="33">
        <f>ROUNDUP(L675+(L675*Assumptions!L$5),-2)</f>
        <v>6800</v>
      </c>
      <c r="N675" s="33">
        <f>ROUNDUP(M675+(M675*Assumptions!M$5),-2)</f>
        <v>7000</v>
      </c>
      <c r="O675" s="33">
        <f>ROUNDUP(N675+(N675*Assumptions!N$5),-2)</f>
        <v>7200</v>
      </c>
      <c r="P675" s="33">
        <f>ROUNDUP(O675+(O675*Assumptions!O$5),-2)</f>
        <v>7400</v>
      </c>
      <c r="Q675" s="33">
        <f>ROUNDUP(P675+(P675*Assumptions!P$5),-2)</f>
        <v>7600</v>
      </c>
      <c r="R675" s="114">
        <f>ROUNDUP(Q675+(Q675*Assumptions!Q$5),-2)</f>
        <v>7800</v>
      </c>
    </row>
    <row r="676" spans="1:18" x14ac:dyDescent="0.2">
      <c r="A676" s="107">
        <v>11700</v>
      </c>
      <c r="B676" s="33">
        <v>12400</v>
      </c>
      <c r="C676" s="33">
        <v>12700</v>
      </c>
      <c r="D676" s="33">
        <v>11200</v>
      </c>
      <c r="E676" s="344" t="s">
        <v>1191</v>
      </c>
      <c r="F676" s="99" t="s">
        <v>738</v>
      </c>
      <c r="G676" s="33">
        <v>14300</v>
      </c>
      <c r="H676" s="138">
        <f>IF(D676=G676,0,IF(D676=0,100,(G676-D676)/D676*100))</f>
        <v>27.678571428571431</v>
      </c>
      <c r="I676" s="33">
        <v>14000</v>
      </c>
      <c r="J676" s="33">
        <f>ROUNDUP(I676+(I676*Assumptions!I$5),-2)</f>
        <v>14400</v>
      </c>
      <c r="K676" s="33">
        <f>ROUNDUP(J676+(J676*Assumptions!J$5),-2)</f>
        <v>14800</v>
      </c>
      <c r="L676" s="33">
        <f>ROUNDUP(K676+(K676*Assumptions!K$5),-2)</f>
        <v>15200</v>
      </c>
      <c r="M676" s="33">
        <f>ROUNDUP(L676+(L676*Assumptions!L$5),-2)</f>
        <v>15600</v>
      </c>
      <c r="N676" s="33">
        <f>ROUNDUP(M676+(M676*Assumptions!M$5),-2)</f>
        <v>16000</v>
      </c>
      <c r="O676" s="33">
        <f>ROUNDUP(N676+(N676*Assumptions!N$5),-2)</f>
        <v>16400</v>
      </c>
      <c r="P676" s="33">
        <f>ROUNDUP(O676+(O676*Assumptions!O$5),-2)</f>
        <v>16800</v>
      </c>
      <c r="Q676" s="33">
        <f>ROUNDUP(P676+(P676*Assumptions!P$5),-2)</f>
        <v>17200</v>
      </c>
      <c r="R676" s="114">
        <f>ROUNDUP(Q676+(Q676*Assumptions!Q$5),-2)</f>
        <v>17600</v>
      </c>
    </row>
    <row r="677" spans="1:18" x14ac:dyDescent="0.2">
      <c r="A677" s="107">
        <v>2700</v>
      </c>
      <c r="B677" s="33">
        <v>2700</v>
      </c>
      <c r="C677" s="33">
        <v>2500</v>
      </c>
      <c r="D677" s="33">
        <v>600</v>
      </c>
      <c r="E677" s="344" t="s">
        <v>1543</v>
      </c>
      <c r="F677" s="99" t="s">
        <v>1542</v>
      </c>
      <c r="G677" s="33">
        <v>4100</v>
      </c>
      <c r="H677" s="138">
        <f>IF(D677=G677,0,IF(D677=0,100,(G677-D677)/D677*100))</f>
        <v>583.33333333333326</v>
      </c>
      <c r="I677" s="33">
        <v>4000</v>
      </c>
      <c r="J677" s="33">
        <f>ROUNDUP(I677+(I677*Assumptions!I$5),-2)</f>
        <v>4100</v>
      </c>
      <c r="K677" s="33">
        <f>ROUNDUP(J677+(J677*Assumptions!J$5),-2)</f>
        <v>4300</v>
      </c>
      <c r="L677" s="33">
        <f>ROUNDUP(K677+(K677*Assumptions!K$5),-2)</f>
        <v>4500</v>
      </c>
      <c r="M677" s="33">
        <f>ROUNDUP(L677+(L677*Assumptions!L$5),-2)</f>
        <v>4600</v>
      </c>
      <c r="N677" s="33">
        <f>ROUNDUP(M677+(M677*Assumptions!M$5),-2)</f>
        <v>4700</v>
      </c>
      <c r="O677" s="33">
        <f>ROUNDUP(N677+(N677*Assumptions!N$5),-2)</f>
        <v>4800</v>
      </c>
      <c r="P677" s="33">
        <f>ROUNDUP(O677+(O677*Assumptions!O$5),-2)</f>
        <v>4900</v>
      </c>
      <c r="Q677" s="33">
        <f>ROUNDUP(P677+(P677*Assumptions!P$5),-2)</f>
        <v>5000</v>
      </c>
      <c r="R677" s="114">
        <f>ROUNDUP(Q677+(Q677*Assumptions!Q$5),-2)</f>
        <v>5100</v>
      </c>
    </row>
    <row r="678" spans="1:18" x14ac:dyDescent="0.2">
      <c r="A678" s="107"/>
      <c r="B678" s="33"/>
      <c r="C678" s="33"/>
      <c r="D678" s="33"/>
      <c r="E678" s="344"/>
      <c r="F678" s="145" t="s">
        <v>687</v>
      </c>
      <c r="G678" s="33"/>
      <c r="H678" s="138"/>
      <c r="I678" s="33"/>
      <c r="J678" s="33"/>
      <c r="K678" s="33"/>
      <c r="L678" s="33"/>
      <c r="M678" s="33"/>
      <c r="N678" s="33"/>
      <c r="O678" s="33"/>
      <c r="P678" s="33"/>
      <c r="Q678" s="33"/>
      <c r="R678" s="114"/>
    </row>
    <row r="679" spans="1:18" x14ac:dyDescent="0.2">
      <c r="A679" s="107">
        <v>0</v>
      </c>
      <c r="B679" s="33">
        <v>0</v>
      </c>
      <c r="C679" s="33">
        <v>0</v>
      </c>
      <c r="D679" s="33">
        <v>0</v>
      </c>
      <c r="E679" s="811" t="s">
        <v>6859</v>
      </c>
      <c r="F679" s="78" t="s">
        <v>6909</v>
      </c>
      <c r="G679" s="33">
        <v>5000</v>
      </c>
      <c r="H679" s="138">
        <f>IF(D679=G679,0,IF(D679=0,100,(G679-D679)/D679*100))</f>
        <v>100</v>
      </c>
      <c r="I679" s="33">
        <v>0</v>
      </c>
      <c r="J679" s="33">
        <f>ROUNDUP(I679+(I679*Assumptions!I$5),-2)</f>
        <v>0</v>
      </c>
      <c r="K679" s="33">
        <f>ROUNDUP(J679+(J679*Assumptions!J$5),-2)</f>
        <v>0</v>
      </c>
      <c r="L679" s="33">
        <f>ROUNDUP(K679+(K679*Assumptions!K$5),-2)</f>
        <v>0</v>
      </c>
      <c r="M679" s="33">
        <f>ROUNDUP(L679+(L679*Assumptions!L$5),-2)</f>
        <v>0</v>
      </c>
      <c r="N679" s="33">
        <f>ROUNDUP(M679+(M679*Assumptions!M$5),-2)</f>
        <v>0</v>
      </c>
      <c r="O679" s="33">
        <f>ROUNDUP(N679+(N679*Assumptions!N$5),-2)</f>
        <v>0</v>
      </c>
      <c r="P679" s="33">
        <f>ROUNDUP(O679+(O679*Assumptions!O$5),-2)</f>
        <v>0</v>
      </c>
      <c r="Q679" s="33">
        <f>ROUNDUP(P679+(P679*Assumptions!P$5),-2)</f>
        <v>0</v>
      </c>
      <c r="R679" s="114">
        <f>ROUNDUP(Q679+(Q679*Assumptions!Q$5),-2)</f>
        <v>0</v>
      </c>
    </row>
    <row r="680" spans="1:18" x14ac:dyDescent="0.2">
      <c r="A680" s="107"/>
      <c r="B680" s="33"/>
      <c r="C680" s="33"/>
      <c r="D680" s="33"/>
      <c r="E680" s="811" t="s">
        <v>7079</v>
      </c>
      <c r="F680" s="78" t="s">
        <v>7080</v>
      </c>
      <c r="G680" s="33">
        <v>8000</v>
      </c>
      <c r="H680" s="138">
        <f>IF(D680=G680,0,IF(D680=0,100,(G680-D680)/D680*100))</f>
        <v>100</v>
      </c>
      <c r="I680" s="33">
        <v>0</v>
      </c>
      <c r="J680" s="33">
        <f>ROUNDUP(I680+(I680*Assumptions!I$5),-2)</f>
        <v>0</v>
      </c>
      <c r="K680" s="33">
        <f>ROUNDUP(J680+(J680*Assumptions!J$5),-2)</f>
        <v>0</v>
      </c>
      <c r="L680" s="33">
        <f>ROUNDUP(K680+(K680*Assumptions!K$5),-2)</f>
        <v>0</v>
      </c>
      <c r="M680" s="33">
        <f>ROUNDUP(L680+(L680*Assumptions!L$5),-2)</f>
        <v>0</v>
      </c>
      <c r="N680" s="33">
        <f>ROUNDUP(M680+(M680*Assumptions!M$5),-2)</f>
        <v>0</v>
      </c>
      <c r="O680" s="33">
        <f>ROUNDUP(N680+(N680*Assumptions!N$5),-2)</f>
        <v>0</v>
      </c>
      <c r="P680" s="33">
        <f>ROUNDUP(O680+(O680*Assumptions!O$5),-2)</f>
        <v>0</v>
      </c>
      <c r="Q680" s="33">
        <f>ROUNDUP(P680+(P680*Assumptions!P$5),-2)</f>
        <v>0</v>
      </c>
      <c r="R680" s="114">
        <f>ROUNDUP(Q680+(Q680*Assumptions!Q$5),-2)</f>
        <v>0</v>
      </c>
    </row>
    <row r="681" spans="1:18" x14ac:dyDescent="0.2">
      <c r="A681" s="107"/>
      <c r="B681" s="33"/>
      <c r="C681" s="33"/>
      <c r="D681" s="33"/>
      <c r="E681" s="344"/>
      <c r="F681" s="8" t="s">
        <v>428</v>
      </c>
      <c r="G681" s="33"/>
      <c r="H681" s="138"/>
      <c r="I681" s="33"/>
      <c r="J681" s="33"/>
      <c r="K681" s="33"/>
      <c r="L681" s="33"/>
      <c r="M681" s="33"/>
      <c r="N681" s="33"/>
      <c r="O681" s="33"/>
      <c r="P681" s="33"/>
      <c r="Q681" s="33"/>
      <c r="R681" s="114"/>
    </row>
    <row r="682" spans="1:18" x14ac:dyDescent="0.2">
      <c r="A682" s="107">
        <v>300</v>
      </c>
      <c r="B682" s="33">
        <v>700</v>
      </c>
      <c r="C682" s="33">
        <v>3500</v>
      </c>
      <c r="D682" s="33">
        <v>11200</v>
      </c>
      <c r="E682" s="344" t="s">
        <v>1192</v>
      </c>
      <c r="F682" s="99" t="s">
        <v>1700</v>
      </c>
      <c r="G682" s="33">
        <v>9200</v>
      </c>
      <c r="H682" s="138">
        <f>IF(D682=G682,0,IF(D682=0,100,(G682-D682)/D682*100))</f>
        <v>-17.857142857142858</v>
      </c>
      <c r="I682" s="33">
        <v>10000</v>
      </c>
      <c r="J682" s="33">
        <f>ROUNDUP(I682+(I682*Assumptions!I$5),-2)</f>
        <v>10300</v>
      </c>
      <c r="K682" s="33">
        <f>ROUNDUP(J682+(J682*Assumptions!J$5),-2)</f>
        <v>10600</v>
      </c>
      <c r="L682" s="33">
        <f>ROUNDUP(K682+(K682*Assumptions!K$5),-2)</f>
        <v>10900</v>
      </c>
      <c r="M682" s="33">
        <f>ROUNDUP(L682+(L682*Assumptions!L$5),-2)</f>
        <v>11200</v>
      </c>
      <c r="N682" s="33">
        <f>ROUNDUP(M682+(M682*Assumptions!M$5),-2)</f>
        <v>11500</v>
      </c>
      <c r="O682" s="33">
        <f>ROUNDUP(N682+(N682*Assumptions!N$5),-2)</f>
        <v>11800</v>
      </c>
      <c r="P682" s="33">
        <f>ROUNDUP(O682+(O682*Assumptions!O$5),-2)</f>
        <v>12100</v>
      </c>
      <c r="Q682" s="33">
        <f>ROUNDUP(P682+(P682*Assumptions!P$5),-2)</f>
        <v>12400</v>
      </c>
      <c r="R682" s="114">
        <f>ROUNDUP(Q682+(Q682*Assumptions!Q$5),-2)</f>
        <v>12700</v>
      </c>
    </row>
    <row r="683" spans="1:18" x14ac:dyDescent="0.2">
      <c r="A683" s="107">
        <v>28400</v>
      </c>
      <c r="B683" s="33">
        <v>28400</v>
      </c>
      <c r="C683" s="33">
        <v>14700</v>
      </c>
      <c r="D683" s="33">
        <v>17100</v>
      </c>
      <c r="E683" s="344" t="s">
        <v>1193</v>
      </c>
      <c r="F683" s="99" t="s">
        <v>90</v>
      </c>
      <c r="G683" s="33">
        <v>23000</v>
      </c>
      <c r="H683" s="138">
        <f>IF(D683=G683,0,IF(D683=0,100,(G683-D683)/D683*100))</f>
        <v>34.502923976608187</v>
      </c>
      <c r="I683" s="33">
        <v>20000</v>
      </c>
      <c r="J683" s="33">
        <f>ROUNDUP(I683+(I683*Assumptions!I$5),-2)+4000</f>
        <v>24500</v>
      </c>
      <c r="K683" s="33">
        <f>ROUNDUP(J683+(J683*Assumptions!J$5),-2)+5300</f>
        <v>30500</v>
      </c>
      <c r="L683" s="33">
        <f>ROUNDUP(K683+(K683*Assumptions!K$5),-2)+4300</f>
        <v>35600</v>
      </c>
      <c r="M683" s="33">
        <f>ROUNDUP(L683+(L683*Assumptions!L$5),-2)+5200</f>
        <v>41600</v>
      </c>
      <c r="N683" s="33">
        <f>ROUNDUP(M683+(M683*Assumptions!M$5),-2)+4200</f>
        <v>46700</v>
      </c>
      <c r="O683" s="33">
        <f>ROUNDUP(N683+(N683*Assumptions!N$5),-2)+5100</f>
        <v>52800</v>
      </c>
      <c r="P683" s="33">
        <f>ROUNDUP(O683+(O683*Assumptions!O$5),-2)+5100</f>
        <v>59000</v>
      </c>
      <c r="Q683" s="33">
        <f>ROUNDUP(P683+(P683*Assumptions!P$5),-2)+5100</f>
        <v>65300</v>
      </c>
      <c r="R683" s="114">
        <f>ROUNDUP(Q683+(Q683*Assumptions!Q$5),-2)+5100</f>
        <v>71800</v>
      </c>
    </row>
    <row r="684" spans="1:18" x14ac:dyDescent="0.2">
      <c r="A684" s="107">
        <v>3600</v>
      </c>
      <c r="B684" s="33">
        <v>1100</v>
      </c>
      <c r="C684" s="33">
        <v>800</v>
      </c>
      <c r="D684" s="33">
        <v>1000</v>
      </c>
      <c r="E684" s="344" t="s">
        <v>1194</v>
      </c>
      <c r="F684" s="99" t="s">
        <v>1133</v>
      </c>
      <c r="G684" s="33">
        <v>1100</v>
      </c>
      <c r="H684" s="138">
        <f>IF(D684=G684,0,IF(D684=0,100,(G684-D684)/D684*100))</f>
        <v>10</v>
      </c>
      <c r="I684" s="33">
        <v>1000</v>
      </c>
      <c r="J684" s="33">
        <f>ROUNDUP(I684+(I684*Assumptions!I$5),-2)</f>
        <v>1100</v>
      </c>
      <c r="K684" s="33">
        <f>ROUNDUP(J684+(J684*Assumptions!J$5),-2)</f>
        <v>1200</v>
      </c>
      <c r="L684" s="33">
        <f>ROUNDUP(K684+(K684*Assumptions!K$5),-2)</f>
        <v>1300</v>
      </c>
      <c r="M684" s="33">
        <f>ROUNDUP(L684+(L684*Assumptions!L$5),-2)</f>
        <v>1400</v>
      </c>
      <c r="N684" s="33">
        <f>ROUNDUP(M684+(M684*Assumptions!M$5),-2)</f>
        <v>1500</v>
      </c>
      <c r="O684" s="33">
        <f>ROUNDUP(N684+(N684*Assumptions!N$5),-2)</f>
        <v>1600</v>
      </c>
      <c r="P684" s="33">
        <f>ROUNDUP(O684+(O684*Assumptions!O$5),-2)</f>
        <v>1700</v>
      </c>
      <c r="Q684" s="33">
        <f>ROUNDUP(P684+(P684*Assumptions!P$5),-2)</f>
        <v>1800</v>
      </c>
      <c r="R684" s="114">
        <f>ROUNDUP(Q684+(Q684*Assumptions!Q$5),-2)</f>
        <v>1900</v>
      </c>
    </row>
    <row r="685" spans="1:18" x14ac:dyDescent="0.2">
      <c r="A685" s="107">
        <v>24700</v>
      </c>
      <c r="B685" s="33">
        <f>26300+900</f>
        <v>27200</v>
      </c>
      <c r="C685" s="187">
        <v>32000</v>
      </c>
      <c r="D685" s="33">
        <f>36000-5000</f>
        <v>31000</v>
      </c>
      <c r="E685" s="344" t="s">
        <v>1190</v>
      </c>
      <c r="F685" s="443" t="s">
        <v>1512</v>
      </c>
      <c r="G685" s="33">
        <v>31700</v>
      </c>
      <c r="H685" s="138">
        <f>IF(D685=G685,0,IF(D685=0,100,(G685-D685)/D685*100))</f>
        <v>2.258064516129032</v>
      </c>
      <c r="I685" s="33">
        <v>32000</v>
      </c>
      <c r="J685" s="33">
        <f>ROUNDUP(I685+(I685*Assumptions!I$5),-2)</f>
        <v>32800</v>
      </c>
      <c r="K685" s="33">
        <f>ROUNDUP(J685+(J685*Assumptions!J$5),-2)</f>
        <v>33700</v>
      </c>
      <c r="L685" s="33">
        <f>ROUNDUP(K685+(K685*Assumptions!K$5),-2)</f>
        <v>34600</v>
      </c>
      <c r="M685" s="33">
        <f>ROUNDUP(L685+(L685*Assumptions!L$5),-2)</f>
        <v>35300</v>
      </c>
      <c r="N685" s="33">
        <f>ROUNDUP(M685+(M685*Assumptions!M$5),-2)</f>
        <v>36100</v>
      </c>
      <c r="O685" s="33">
        <f>ROUNDUP(N685+(N685*Assumptions!N$5),-2)</f>
        <v>36900</v>
      </c>
      <c r="P685" s="33">
        <f>ROUNDUP(O685+(O685*Assumptions!O$5),-2)</f>
        <v>37700</v>
      </c>
      <c r="Q685" s="33">
        <f>ROUNDUP(P685+(P685*Assumptions!P$5),-2)</f>
        <v>38500</v>
      </c>
      <c r="R685" s="114">
        <f>ROUNDUP(Q685+(Q685*Assumptions!Q$5),-2)</f>
        <v>39300</v>
      </c>
    </row>
    <row r="686" spans="1:18" x14ac:dyDescent="0.2">
      <c r="A686" s="107">
        <v>0</v>
      </c>
      <c r="B686" s="132">
        <v>3700</v>
      </c>
      <c r="C686" s="1011">
        <v>0</v>
      </c>
      <c r="D686" s="33">
        <v>0</v>
      </c>
      <c r="E686" s="811" t="s">
        <v>3888</v>
      </c>
      <c r="F686" s="916" t="s">
        <v>6651</v>
      </c>
      <c r="G686" s="33">
        <v>2000</v>
      </c>
      <c r="H686" s="138">
        <f>IF(D686=G686,0,IF(D686=0,100,(G686-D686)/D686*100))</f>
        <v>100</v>
      </c>
      <c r="I686" s="33">
        <v>2000</v>
      </c>
      <c r="J686" s="33">
        <f>ROUNDUP(I686+(I686*Assumptions!I$5),-2)</f>
        <v>2100</v>
      </c>
      <c r="K686" s="33">
        <f>ROUNDUP(J686+(J686*Assumptions!J$5),-2)</f>
        <v>2200</v>
      </c>
      <c r="L686" s="33">
        <f>ROUNDUP(K686+(K686*Assumptions!K$5),-2)</f>
        <v>2300</v>
      </c>
      <c r="M686" s="33">
        <f>ROUNDUP(L686+(L686*Assumptions!L$5),-2)</f>
        <v>2400</v>
      </c>
      <c r="N686" s="33">
        <f>ROUNDUP(M686+(M686*Assumptions!M$5),-2)</f>
        <v>2500</v>
      </c>
      <c r="O686" s="33">
        <f>ROUNDUP(N686+(N686*Assumptions!N$5),-2)</f>
        <v>2600</v>
      </c>
      <c r="P686" s="33">
        <f>ROUNDUP(O686+(O686*Assumptions!O$5),-2)</f>
        <v>2700</v>
      </c>
      <c r="Q686" s="33">
        <f>ROUNDUP(P686+(P686*Assumptions!P$5),-2)</f>
        <v>2800</v>
      </c>
      <c r="R686" s="114">
        <f>ROUNDUP(Q686+(Q686*Assumptions!Q$5),-2)</f>
        <v>2900</v>
      </c>
    </row>
    <row r="687" spans="1:18" x14ac:dyDescent="0.2">
      <c r="A687" s="107"/>
      <c r="B687" s="132"/>
      <c r="C687" s="1011"/>
      <c r="D687" s="33"/>
      <c r="E687" s="811" t="s">
        <v>7082</v>
      </c>
      <c r="F687" s="1099" t="s">
        <v>7083</v>
      </c>
      <c r="G687" s="33">
        <v>500</v>
      </c>
      <c r="H687" s="138"/>
      <c r="I687" s="33">
        <v>0</v>
      </c>
      <c r="J687" s="33">
        <f>ROUNDUP(I687+(I687*Assumptions!I$5),-2)</f>
        <v>0</v>
      </c>
      <c r="K687" s="33">
        <f>ROUNDUP(J687+(J687*Assumptions!J$5),-2)</f>
        <v>0</v>
      </c>
      <c r="L687" s="33">
        <f>ROUNDUP(K687+(K687*Assumptions!K$5),-2)</f>
        <v>0</v>
      </c>
      <c r="M687" s="33">
        <f>ROUNDUP(L687+(L687*Assumptions!L$5),-2)</f>
        <v>0</v>
      </c>
      <c r="N687" s="33">
        <f>ROUNDUP(M687+(M687*Assumptions!M$5),-2)</f>
        <v>0</v>
      </c>
      <c r="O687" s="33">
        <f>ROUNDUP(N687+(N687*Assumptions!N$5),-2)</f>
        <v>0</v>
      </c>
      <c r="P687" s="33">
        <f>ROUNDUP(O687+(O687*Assumptions!O$5),-2)</f>
        <v>0</v>
      </c>
      <c r="Q687" s="33">
        <f>ROUNDUP(P687+(P687*Assumptions!P$5),-2)</f>
        <v>0</v>
      </c>
      <c r="R687" s="114">
        <f>ROUNDUP(Q687+(Q687*Assumptions!Q$5),-2)</f>
        <v>0</v>
      </c>
    </row>
    <row r="688" spans="1:18" ht="13.5" thickBot="1" x14ac:dyDescent="0.25">
      <c r="A688" s="70"/>
      <c r="B688" s="64"/>
      <c r="C688" s="64"/>
      <c r="D688" s="64"/>
      <c r="E688" s="343"/>
      <c r="F688" s="74"/>
      <c r="G688" s="33"/>
      <c r="H688" s="179"/>
      <c r="I688" s="33"/>
      <c r="J688" s="33"/>
      <c r="K688" s="33"/>
      <c r="L688" s="33"/>
      <c r="M688" s="33"/>
      <c r="N688" s="33"/>
      <c r="O688" s="33"/>
      <c r="P688" s="33"/>
      <c r="Q688" s="33"/>
      <c r="R688" s="114"/>
    </row>
    <row r="689" spans="1:18" x14ac:dyDescent="0.2">
      <c r="A689" s="105">
        <f>SUM(A674:A688)</f>
        <v>71400</v>
      </c>
      <c r="B689" s="53">
        <f>SUM(B674:B688)</f>
        <v>76200</v>
      </c>
      <c r="C689" s="53">
        <f>SUM(C674:C688)</f>
        <v>71800</v>
      </c>
      <c r="D689" s="53">
        <f>SUM(D674:D688)</f>
        <v>77100</v>
      </c>
      <c r="E689" s="343"/>
      <c r="F689" s="112" t="s">
        <v>2605</v>
      </c>
      <c r="G689" s="53">
        <f>SUM(G674:G688)</f>
        <v>105100</v>
      </c>
      <c r="H689" s="180">
        <f>IF(D689=G689,0,IF(D689=0,100,(G689-D689)/D689*100))</f>
        <v>36.316472114137483</v>
      </c>
      <c r="I689" s="53">
        <f t="shared" ref="I689:Q689" si="625">SUM(I674:I688)</f>
        <v>89000</v>
      </c>
      <c r="J689" s="53">
        <f t="shared" si="625"/>
        <v>95500</v>
      </c>
      <c r="K689" s="53">
        <f t="shared" si="625"/>
        <v>103700</v>
      </c>
      <c r="L689" s="53">
        <f t="shared" si="625"/>
        <v>111000</v>
      </c>
      <c r="M689" s="53">
        <f t="shared" si="625"/>
        <v>118900</v>
      </c>
      <c r="N689" s="53">
        <f t="shared" si="625"/>
        <v>126000</v>
      </c>
      <c r="O689" s="53">
        <f t="shared" si="625"/>
        <v>134100</v>
      </c>
      <c r="P689" s="53">
        <f t="shared" si="625"/>
        <v>142300</v>
      </c>
      <c r="Q689" s="53">
        <f t="shared" si="625"/>
        <v>150600</v>
      </c>
      <c r="R689" s="113">
        <f t="shared" ref="R689" si="626">SUM(R674:R688)</f>
        <v>159100</v>
      </c>
    </row>
    <row r="690" spans="1:18" x14ac:dyDescent="0.2">
      <c r="A690" s="107"/>
      <c r="B690" s="33"/>
      <c r="C690" s="33"/>
      <c r="D690" s="33"/>
      <c r="E690" s="343"/>
      <c r="F690" s="144" t="s">
        <v>2205</v>
      </c>
      <c r="G690" s="33"/>
      <c r="H690" s="138"/>
      <c r="I690" s="33"/>
      <c r="J690" s="33"/>
      <c r="K690" s="33"/>
      <c r="L690" s="33"/>
      <c r="M690" s="33"/>
      <c r="N690" s="33"/>
      <c r="O690" s="33"/>
      <c r="P690" s="33"/>
      <c r="Q690" s="33"/>
      <c r="R690" s="114"/>
    </row>
    <row r="691" spans="1:18" x14ac:dyDescent="0.2">
      <c r="A691" s="107"/>
      <c r="B691" s="142"/>
      <c r="C691" s="33"/>
      <c r="D691" s="33"/>
      <c r="E691" s="437"/>
      <c r="F691" s="1103" t="s">
        <v>473</v>
      </c>
      <c r="G691" s="33"/>
      <c r="H691" s="138"/>
      <c r="I691" s="33"/>
      <c r="J691" s="33"/>
      <c r="K691" s="33"/>
      <c r="L691" s="33"/>
      <c r="M691" s="33"/>
      <c r="N691" s="33"/>
      <c r="O691" s="33"/>
      <c r="P691" s="33"/>
      <c r="Q691" s="33"/>
      <c r="R691" s="114"/>
    </row>
    <row r="692" spans="1:18" x14ac:dyDescent="0.2">
      <c r="A692" s="107">
        <v>86200</v>
      </c>
      <c r="B692" s="142">
        <v>83800</v>
      </c>
      <c r="C692" s="33">
        <v>113800</v>
      </c>
      <c r="D692" s="33">
        <v>127000</v>
      </c>
      <c r="E692" s="344" t="s">
        <v>386</v>
      </c>
      <c r="F692" s="443" t="s">
        <v>1341</v>
      </c>
      <c r="G692" s="33">
        <v>131000</v>
      </c>
      <c r="H692" s="138">
        <f>IF(D692=G692,0,IF(D692=0,100,(G692-D692)/D692*100))</f>
        <v>3.1496062992125982</v>
      </c>
      <c r="I692" s="33">
        <f>ROUNDUP(G692+(G692*Assumptions!H$13),-2)</f>
        <v>133700</v>
      </c>
      <c r="J692" s="33">
        <f>ROUNDUP(I692+(I692*Assumptions!I$13),-2)</f>
        <v>137100</v>
      </c>
      <c r="K692" s="33">
        <f>ROUNDUP(J692+(J692*Assumptions!J$13),-2)</f>
        <v>140600</v>
      </c>
      <c r="L692" s="33">
        <f>ROUNDUP(K692+(K692*Assumptions!K$13),-2)</f>
        <v>144200</v>
      </c>
      <c r="M692" s="33">
        <f>ROUNDUP(L692+(L692*Assumptions!L$13),-2)</f>
        <v>147900</v>
      </c>
      <c r="N692" s="33">
        <f>ROUNDUP(M692+(M692*Assumptions!M$13),-2)</f>
        <v>151600</v>
      </c>
      <c r="O692" s="33">
        <f>ROUNDUP(N692+(N692*Assumptions!N$13),-2)</f>
        <v>155400</v>
      </c>
      <c r="P692" s="33">
        <f>ROUNDUP(O692+(O692*Assumptions!O$13),-2)</f>
        <v>159300</v>
      </c>
      <c r="Q692" s="33">
        <f>ROUNDUP(P692+(P692*Assumptions!P$13),-2)</f>
        <v>163300</v>
      </c>
      <c r="R692" s="114">
        <f>ROUNDUP(Q692+(Q692*Assumptions!Q$13),-2)</f>
        <v>167400</v>
      </c>
    </row>
    <row r="693" spans="1:18" x14ac:dyDescent="0.2">
      <c r="A693" s="107">
        <v>1500</v>
      </c>
      <c r="B693" s="33">
        <v>0</v>
      </c>
      <c r="C693" s="33">
        <v>0</v>
      </c>
      <c r="D693" s="33">
        <v>0</v>
      </c>
      <c r="E693" s="344" t="s">
        <v>387</v>
      </c>
      <c r="F693" s="443" t="s">
        <v>2561</v>
      </c>
      <c r="G693" s="33">
        <v>1000</v>
      </c>
      <c r="H693" s="138">
        <f>IF(D693=G693,0,IF(D693=0,100,(G693-D693)/D693*100))</f>
        <v>100</v>
      </c>
      <c r="I693" s="33">
        <f>ROUNDUP(G693+(G693*Assumptions!H$5),-2)</f>
        <v>1100</v>
      </c>
      <c r="J693" s="33">
        <f>ROUNDUP(I693+(I693*Assumptions!I$5),-2)</f>
        <v>1200</v>
      </c>
      <c r="K693" s="33">
        <f>ROUNDUP(J693+(J693*Assumptions!J$5),-2)</f>
        <v>1300</v>
      </c>
      <c r="L693" s="33">
        <f>ROUNDUP(K693+(K693*Assumptions!K$5),-2)</f>
        <v>1400</v>
      </c>
      <c r="M693" s="33">
        <f>ROUNDUP(L693+(L693*Assumptions!L$5),-2)</f>
        <v>1500</v>
      </c>
      <c r="N693" s="33">
        <f>ROUNDUP(M693+(M693*Assumptions!M$5),-2)</f>
        <v>1600</v>
      </c>
      <c r="O693" s="33">
        <f>ROUNDUP(N693+(N693*Assumptions!N$5),-2)</f>
        <v>1700</v>
      </c>
      <c r="P693" s="33">
        <f>ROUNDUP(O693+(O693*Assumptions!O$5),-2)</f>
        <v>1800</v>
      </c>
      <c r="Q693" s="33">
        <f>ROUNDUP(P693+(P693*Assumptions!P$5),-2)</f>
        <v>1900</v>
      </c>
      <c r="R693" s="114">
        <f>ROUNDUP(Q693+(Q693*Assumptions!Q$5),-2)</f>
        <v>2000</v>
      </c>
    </row>
    <row r="694" spans="1:18" x14ac:dyDescent="0.2">
      <c r="A694" s="107">
        <v>5100</v>
      </c>
      <c r="B694" s="33">
        <v>7200</v>
      </c>
      <c r="C694" s="33">
        <v>7300</v>
      </c>
      <c r="D694" s="33">
        <v>7600</v>
      </c>
      <c r="E694" s="344" t="s">
        <v>388</v>
      </c>
      <c r="F694" s="443" t="s">
        <v>1526</v>
      </c>
      <c r="G694" s="33">
        <v>8400</v>
      </c>
      <c r="H694" s="138">
        <f>IF(D694=G694,0,IF(D694=0,100,(G694-D694)/D694*100))</f>
        <v>10.526315789473683</v>
      </c>
      <c r="I694" s="33">
        <f>ROUNDUP(G694+(G694*Assumptions!H$5),-2)</f>
        <v>8600</v>
      </c>
      <c r="J694" s="33">
        <f>ROUNDUP(I694+(I694*Assumptions!I$5),-2)</f>
        <v>8900</v>
      </c>
      <c r="K694" s="33">
        <f>ROUNDUP(J694+(J694*Assumptions!J$5),-2)</f>
        <v>9200</v>
      </c>
      <c r="L694" s="33">
        <f>ROUNDUP(K694+(K694*Assumptions!K$5),-2)</f>
        <v>9500</v>
      </c>
      <c r="M694" s="33">
        <f>ROUNDUP(L694+(L694*Assumptions!L$5),-2)</f>
        <v>9700</v>
      </c>
      <c r="N694" s="33">
        <f>ROUNDUP(M694+(M694*Assumptions!M$5),-2)</f>
        <v>9900</v>
      </c>
      <c r="O694" s="33">
        <f>ROUNDUP(N694+(N694*Assumptions!N$5),-2)</f>
        <v>10100</v>
      </c>
      <c r="P694" s="33">
        <f>ROUNDUP(O694+(O694*Assumptions!O$5),-2)</f>
        <v>10400</v>
      </c>
      <c r="Q694" s="33">
        <f>ROUNDUP(P694+(P694*Assumptions!P$5),-2)</f>
        <v>10700</v>
      </c>
      <c r="R694" s="114">
        <f>ROUNDUP(Q694+(Q694*Assumptions!Q$5),-2)</f>
        <v>11000</v>
      </c>
    </row>
    <row r="695" spans="1:18" x14ac:dyDescent="0.2">
      <c r="A695" s="107">
        <v>18600</v>
      </c>
      <c r="B695" s="142">
        <v>19400</v>
      </c>
      <c r="C695" s="33">
        <v>20100</v>
      </c>
      <c r="D695" s="33">
        <v>20900</v>
      </c>
      <c r="E695" s="811" t="s">
        <v>6609</v>
      </c>
      <c r="F695" s="814" t="s">
        <v>6610</v>
      </c>
      <c r="G695" s="33">
        <v>21400</v>
      </c>
      <c r="H695" s="138">
        <f>IF(D695=G695,0,IF(D695=0,100,(G695-D695)/D695*100))</f>
        <v>2.3923444976076556</v>
      </c>
      <c r="I695" s="33">
        <f>ROUNDUP(G695+(G695*Assumptions!H$5),-2)</f>
        <v>21800</v>
      </c>
      <c r="J695" s="33">
        <f>ROUNDUP(I695+(I695*Assumptions!I$5),-2)</f>
        <v>22400</v>
      </c>
      <c r="K695" s="33">
        <f>ROUNDUP(J695+(J695*Assumptions!J$5),-2)</f>
        <v>23000</v>
      </c>
      <c r="L695" s="33">
        <f>ROUNDUP(K695+(K695*Assumptions!K$5),-2)</f>
        <v>23600</v>
      </c>
      <c r="M695" s="33">
        <f>ROUNDUP(L695+(L695*Assumptions!L$5),-2)</f>
        <v>24100</v>
      </c>
      <c r="N695" s="33">
        <f>ROUNDUP(M695+(M695*Assumptions!M$5),-2)</f>
        <v>24600</v>
      </c>
      <c r="O695" s="33">
        <f>ROUNDUP(N695+(N695*Assumptions!N$5),-2)</f>
        <v>25100</v>
      </c>
      <c r="P695" s="33">
        <f>ROUNDUP(O695+(O695*Assumptions!O$5),-2)</f>
        <v>25700</v>
      </c>
      <c r="Q695" s="33">
        <f>ROUNDUP(P695+(P695*Assumptions!P$5),-2)</f>
        <v>26300</v>
      </c>
      <c r="R695" s="114">
        <f>ROUNDUP(Q695+(Q695*Assumptions!Q$5),-2)</f>
        <v>26900</v>
      </c>
    </row>
    <row r="696" spans="1:18" x14ac:dyDescent="0.2">
      <c r="A696" s="107"/>
      <c r="B696" s="142"/>
      <c r="C696" s="33"/>
      <c r="D696" s="33"/>
      <c r="E696" s="437"/>
      <c r="F696" s="439" t="s">
        <v>668</v>
      </c>
      <c r="G696" s="33"/>
      <c r="H696" s="138"/>
      <c r="I696" s="33"/>
      <c r="J696" s="33"/>
      <c r="K696" s="33"/>
      <c r="L696" s="33"/>
      <c r="M696" s="33"/>
      <c r="N696" s="33"/>
      <c r="O696" s="33"/>
      <c r="P696" s="33"/>
      <c r="Q696" s="33"/>
      <c r="R696" s="114"/>
    </row>
    <row r="697" spans="1:18" x14ac:dyDescent="0.2">
      <c r="A697" s="107">
        <v>1100</v>
      </c>
      <c r="B697" s="33">
        <f>4500-B698-B699</f>
        <v>2200</v>
      </c>
      <c r="C697" s="33">
        <f>1100</f>
        <v>1100</v>
      </c>
      <c r="D697" s="33">
        <v>2300</v>
      </c>
      <c r="E697" s="344" t="s">
        <v>23</v>
      </c>
      <c r="F697" s="814" t="s">
        <v>2558</v>
      </c>
      <c r="G697" s="33">
        <v>2000</v>
      </c>
      <c r="H697" s="138">
        <f t="shared" ref="H697:H717" si="627">IF(D697=G697,0,IF(D697=0,100,(G697-D697)/D697*100))</f>
        <v>-13.043478260869565</v>
      </c>
      <c r="I697" s="33">
        <v>2000</v>
      </c>
      <c r="J697" s="33">
        <f>ROUNDUP(I697+(I697*Assumptions!I$5),-2)</f>
        <v>2100</v>
      </c>
      <c r="K697" s="33">
        <f>ROUNDUP(J697+(J697*Assumptions!J$5),-2)</f>
        <v>2200</v>
      </c>
      <c r="L697" s="33">
        <f>ROUNDUP(K697+(K697*Assumptions!K$5),-2)</f>
        <v>2300</v>
      </c>
      <c r="M697" s="33">
        <f>ROUNDUP(L697+(L697*Assumptions!L$5),-2)</f>
        <v>2400</v>
      </c>
      <c r="N697" s="33">
        <f>ROUNDUP(M697+(M697*Assumptions!M$5),-2)</f>
        <v>2500</v>
      </c>
      <c r="O697" s="33">
        <f>ROUNDUP(N697+(N697*Assumptions!N$5),-2)</f>
        <v>2600</v>
      </c>
      <c r="P697" s="33">
        <f>ROUNDUP(O697+(O697*Assumptions!O$5),-2)</f>
        <v>2700</v>
      </c>
      <c r="Q697" s="33">
        <f>ROUNDUP(P697+(P697*Assumptions!P$5),-2)</f>
        <v>2800</v>
      </c>
      <c r="R697" s="114">
        <f>ROUNDUP(Q697+(Q697*Assumptions!Q$5),-2)</f>
        <v>2900</v>
      </c>
    </row>
    <row r="698" spans="1:18" x14ac:dyDescent="0.2">
      <c r="A698" s="107">
        <v>1400</v>
      </c>
      <c r="B698" s="33">
        <v>1200</v>
      </c>
      <c r="C698" s="33">
        <v>900</v>
      </c>
      <c r="D698" s="33">
        <v>1300</v>
      </c>
      <c r="E698" s="344" t="s">
        <v>372</v>
      </c>
      <c r="F698" s="814" t="s">
        <v>3739</v>
      </c>
      <c r="G698" s="33">
        <v>1500</v>
      </c>
      <c r="H698" s="138">
        <f t="shared" si="627"/>
        <v>15.384615384615385</v>
      </c>
      <c r="I698" s="33">
        <f>ROUNDUP(G698+(G698*Assumptions!H$5),-2)</f>
        <v>1600</v>
      </c>
      <c r="J698" s="33">
        <f>ROUNDUP(I698+(I698*Assumptions!I$5),-2)</f>
        <v>1700</v>
      </c>
      <c r="K698" s="33">
        <f>ROUNDUP(J698+(J698*Assumptions!J$5),-2)</f>
        <v>1800</v>
      </c>
      <c r="L698" s="33">
        <f>ROUNDUP(K698+(K698*Assumptions!K$5),-2)</f>
        <v>1900</v>
      </c>
      <c r="M698" s="33">
        <f>ROUNDUP(L698+(L698*Assumptions!L$5),-2)</f>
        <v>2000</v>
      </c>
      <c r="N698" s="33">
        <f>ROUNDUP(M698+(M698*Assumptions!M$5),-2)</f>
        <v>2100</v>
      </c>
      <c r="O698" s="33">
        <f>ROUNDUP(N698+(N698*Assumptions!N$5),-2)</f>
        <v>2200</v>
      </c>
      <c r="P698" s="33">
        <f>ROUNDUP(O698+(O698*Assumptions!O$5),-2)</f>
        <v>2300</v>
      </c>
      <c r="Q698" s="33">
        <f>ROUNDUP(P698+(P698*Assumptions!P$5),-2)</f>
        <v>2400</v>
      </c>
      <c r="R698" s="114">
        <f>ROUNDUP(Q698+(Q698*Assumptions!Q$5),-2)</f>
        <v>2500</v>
      </c>
    </row>
    <row r="699" spans="1:18" x14ac:dyDescent="0.2">
      <c r="A699" s="107">
        <v>700</v>
      </c>
      <c r="B699" s="33">
        <v>1100</v>
      </c>
      <c r="C699" s="33">
        <v>600</v>
      </c>
      <c r="D699" s="33">
        <v>600</v>
      </c>
      <c r="E699" s="344" t="s">
        <v>2683</v>
      </c>
      <c r="F699" s="443" t="s">
        <v>153</v>
      </c>
      <c r="G699" s="33">
        <v>600</v>
      </c>
      <c r="H699" s="138">
        <f t="shared" si="627"/>
        <v>0</v>
      </c>
      <c r="I699" s="33">
        <f>ROUNDUP(G699+(G699*Assumptions!H$5),-2)</f>
        <v>700</v>
      </c>
      <c r="J699" s="33">
        <f>ROUNDUP(I699+(I699*Assumptions!I$5),-2)</f>
        <v>800</v>
      </c>
      <c r="K699" s="33">
        <f>ROUNDUP(J699+(J699*Assumptions!J$5),-2)</f>
        <v>900</v>
      </c>
      <c r="L699" s="33">
        <f>ROUNDUP(K699+(K699*Assumptions!K$5),-2)</f>
        <v>1000</v>
      </c>
      <c r="M699" s="33">
        <f>ROUNDUP(L699+(L699*Assumptions!L$5),-2)</f>
        <v>1100</v>
      </c>
      <c r="N699" s="33">
        <f>ROUNDUP(M699+(M699*Assumptions!M$5),-2)</f>
        <v>1200</v>
      </c>
      <c r="O699" s="33">
        <f>ROUNDUP(N699+(N699*Assumptions!N$5),-2)</f>
        <v>1300</v>
      </c>
      <c r="P699" s="33">
        <f>ROUNDUP(O699+(O699*Assumptions!O$5),-2)</f>
        <v>1400</v>
      </c>
      <c r="Q699" s="33">
        <f>ROUNDUP(P699+(P699*Assumptions!P$5),-2)</f>
        <v>1500</v>
      </c>
      <c r="R699" s="114">
        <f>ROUNDUP(Q699+(Q699*Assumptions!Q$5),-2)</f>
        <v>1600</v>
      </c>
    </row>
    <row r="700" spans="1:18" x14ac:dyDescent="0.2">
      <c r="A700" s="107">
        <v>1500</v>
      </c>
      <c r="B700" s="33">
        <v>1400</v>
      </c>
      <c r="C700" s="33">
        <v>100</v>
      </c>
      <c r="D700" s="33">
        <v>1000</v>
      </c>
      <c r="E700" s="344" t="s">
        <v>2742</v>
      </c>
      <c r="F700" s="443" t="s">
        <v>22</v>
      </c>
      <c r="G700" s="33">
        <v>1500</v>
      </c>
      <c r="H700" s="138">
        <f t="shared" si="627"/>
        <v>50</v>
      </c>
      <c r="I700" s="33">
        <f>ROUNDUP(G700+(G700*Assumptions!H$5),-2)</f>
        <v>1600</v>
      </c>
      <c r="J700" s="33">
        <f>ROUNDUP(I700+(I700*Assumptions!I$5),-2)</f>
        <v>1700</v>
      </c>
      <c r="K700" s="33">
        <f>ROUNDUP(J700+(J700*Assumptions!J$5),-2)</f>
        <v>1800</v>
      </c>
      <c r="L700" s="33">
        <f>ROUNDUP(K700+(K700*Assumptions!K$5),-2)</f>
        <v>1900</v>
      </c>
      <c r="M700" s="33">
        <f>ROUNDUP(L700+(L700*Assumptions!L$5),-2)</f>
        <v>2000</v>
      </c>
      <c r="N700" s="33">
        <f>ROUNDUP(M700+(M700*Assumptions!M$5),-2)</f>
        <v>2100</v>
      </c>
      <c r="O700" s="33">
        <f>ROUNDUP(N700+(N700*Assumptions!N$5),-2)</f>
        <v>2200</v>
      </c>
      <c r="P700" s="33">
        <f>ROUNDUP(O700+(O700*Assumptions!O$5),-2)</f>
        <v>2300</v>
      </c>
      <c r="Q700" s="33">
        <f>ROUNDUP(P700+(P700*Assumptions!P$5),-2)</f>
        <v>2400</v>
      </c>
      <c r="R700" s="114">
        <f>ROUNDUP(Q700+(Q700*Assumptions!Q$5),-2)</f>
        <v>2500</v>
      </c>
    </row>
    <row r="701" spans="1:18" x14ac:dyDescent="0.2">
      <c r="A701" s="107">
        <v>5000</v>
      </c>
      <c r="B701" s="33">
        <v>6400</v>
      </c>
      <c r="C701" s="33">
        <v>4400</v>
      </c>
      <c r="D701" s="33">
        <v>5000</v>
      </c>
      <c r="E701" s="344" t="s">
        <v>2738</v>
      </c>
      <c r="F701" s="443" t="s">
        <v>1855</v>
      </c>
      <c r="G701" s="33">
        <v>5000</v>
      </c>
      <c r="H701" s="138">
        <f t="shared" si="627"/>
        <v>0</v>
      </c>
      <c r="I701" s="33">
        <f>ROUNDUP(G701+(G701*Assumptions!H$5),-2)</f>
        <v>5100</v>
      </c>
      <c r="J701" s="33">
        <f>ROUNDUP(I701+(I701*Assumptions!I$5),-2)</f>
        <v>5300</v>
      </c>
      <c r="K701" s="33">
        <f>ROUNDUP(J701+(J701*Assumptions!J$5),-2)</f>
        <v>5500</v>
      </c>
      <c r="L701" s="33">
        <f>ROUNDUP(K701+(K701*Assumptions!K$5),-2)</f>
        <v>5700</v>
      </c>
      <c r="M701" s="33">
        <f>ROUNDUP(L701+(L701*Assumptions!L$5),-2)</f>
        <v>5900</v>
      </c>
      <c r="N701" s="33">
        <f>ROUNDUP(M701+(M701*Assumptions!M$5),-2)</f>
        <v>6100</v>
      </c>
      <c r="O701" s="33">
        <f>ROUNDUP(N701+(N701*Assumptions!N$5),-2)</f>
        <v>6300</v>
      </c>
      <c r="P701" s="33">
        <f>ROUNDUP(O701+(O701*Assumptions!O$5),-2)</f>
        <v>6500</v>
      </c>
      <c r="Q701" s="33">
        <f>ROUNDUP(P701+(P701*Assumptions!P$5),-2)</f>
        <v>6700</v>
      </c>
      <c r="R701" s="114">
        <f>ROUNDUP(Q701+(Q701*Assumptions!Q$5),-2)</f>
        <v>6900</v>
      </c>
    </row>
    <row r="702" spans="1:18" x14ac:dyDescent="0.2">
      <c r="A702" s="107">
        <v>1700</v>
      </c>
      <c r="B702" s="33">
        <v>1900</v>
      </c>
      <c r="C702" s="33">
        <v>1800</v>
      </c>
      <c r="D702" s="33">
        <v>1800</v>
      </c>
      <c r="E702" s="344" t="s">
        <v>2743</v>
      </c>
      <c r="F702" s="443" t="s">
        <v>719</v>
      </c>
      <c r="G702" s="33">
        <v>2000</v>
      </c>
      <c r="H702" s="138">
        <f t="shared" si="627"/>
        <v>11.111111111111111</v>
      </c>
      <c r="I702" s="33">
        <f>ROUNDUP(G702+(G702*Assumptions!H$5),-2)</f>
        <v>2100</v>
      </c>
      <c r="J702" s="33">
        <f>ROUNDUP(I702+(I702*Assumptions!I$5),-2)</f>
        <v>2200</v>
      </c>
      <c r="K702" s="33">
        <f>ROUNDUP(J702+(J702*Assumptions!J$5),-2)</f>
        <v>2300</v>
      </c>
      <c r="L702" s="33">
        <f>ROUNDUP(K702+(K702*Assumptions!K$5),-2)</f>
        <v>2400</v>
      </c>
      <c r="M702" s="33">
        <f>ROUNDUP(L702+(L702*Assumptions!L$5),-2)</f>
        <v>2500</v>
      </c>
      <c r="N702" s="33">
        <f>ROUNDUP(M702+(M702*Assumptions!M$5),-2)</f>
        <v>2600</v>
      </c>
      <c r="O702" s="33">
        <f>ROUNDUP(N702+(N702*Assumptions!N$5),-2)</f>
        <v>2700</v>
      </c>
      <c r="P702" s="33">
        <f>ROUNDUP(O702+(O702*Assumptions!O$5),-2)</f>
        <v>2800</v>
      </c>
      <c r="Q702" s="33">
        <f>ROUNDUP(P702+(P702*Assumptions!P$5),-2)</f>
        <v>2900</v>
      </c>
      <c r="R702" s="114">
        <f>ROUNDUP(Q702+(Q702*Assumptions!Q$5),-2)</f>
        <v>3000</v>
      </c>
    </row>
    <row r="703" spans="1:18" x14ac:dyDescent="0.2">
      <c r="A703" s="107">
        <v>1600</v>
      </c>
      <c r="B703" s="33">
        <v>1700</v>
      </c>
      <c r="C703" s="33">
        <v>100</v>
      </c>
      <c r="D703" s="33">
        <v>1600</v>
      </c>
      <c r="E703" s="344" t="s">
        <v>2740</v>
      </c>
      <c r="F703" s="443" t="s">
        <v>576</v>
      </c>
      <c r="G703" s="33">
        <v>2000</v>
      </c>
      <c r="H703" s="138">
        <f t="shared" si="627"/>
        <v>25</v>
      </c>
      <c r="I703" s="33">
        <f>ROUNDUP(G703+(G703*Assumptions!H$5),-2)</f>
        <v>2100</v>
      </c>
      <c r="J703" s="33">
        <f>ROUNDUP(I703+(I703*Assumptions!I$5),-2)</f>
        <v>2200</v>
      </c>
      <c r="K703" s="33">
        <f>ROUNDUP(J703+(J703*Assumptions!J$5),-2)</f>
        <v>2300</v>
      </c>
      <c r="L703" s="33">
        <f>ROUNDUP(K703+(K703*Assumptions!K$5),-2)</f>
        <v>2400</v>
      </c>
      <c r="M703" s="33">
        <f>ROUNDUP(L703+(L703*Assumptions!L$5),-2)</f>
        <v>2500</v>
      </c>
      <c r="N703" s="33">
        <f>ROUNDUP(M703+(M703*Assumptions!M$5),-2)</f>
        <v>2600</v>
      </c>
      <c r="O703" s="33">
        <f>ROUNDUP(N703+(N703*Assumptions!N$5),-2)</f>
        <v>2700</v>
      </c>
      <c r="P703" s="33">
        <f>ROUNDUP(O703+(O703*Assumptions!O$5),-2)</f>
        <v>2800</v>
      </c>
      <c r="Q703" s="33">
        <f>ROUNDUP(P703+(P703*Assumptions!P$5),-2)</f>
        <v>2900</v>
      </c>
      <c r="R703" s="114">
        <f>ROUNDUP(Q703+(Q703*Assumptions!Q$5),-2)</f>
        <v>3000</v>
      </c>
    </row>
    <row r="704" spans="1:18" x14ac:dyDescent="0.2">
      <c r="A704" s="107">
        <v>1000</v>
      </c>
      <c r="B704" s="33">
        <v>900</v>
      </c>
      <c r="C704" s="33">
        <v>1700</v>
      </c>
      <c r="D704" s="33">
        <v>1800</v>
      </c>
      <c r="E704" s="811" t="s">
        <v>3265</v>
      </c>
      <c r="F704" s="814" t="s">
        <v>676</v>
      </c>
      <c r="G704" s="33">
        <f>2000+500</f>
        <v>2500</v>
      </c>
      <c r="H704" s="138">
        <f t="shared" si="627"/>
        <v>38.888888888888893</v>
      </c>
      <c r="I704" s="33">
        <f>ROUNDUP(G704+(G704*Assumptions!H$5),-2)</f>
        <v>2600</v>
      </c>
      <c r="J704" s="33">
        <f>ROUNDUP(I704+(I704*Assumptions!I$5),-2)</f>
        <v>2700</v>
      </c>
      <c r="K704" s="33">
        <f>ROUNDUP(J704+(J704*Assumptions!J$5),-2)</f>
        <v>2800</v>
      </c>
      <c r="L704" s="33">
        <f>ROUNDUP(K704+(K704*Assumptions!K$5),-2)</f>
        <v>2900</v>
      </c>
      <c r="M704" s="33">
        <f>ROUNDUP(L704+(L704*Assumptions!L$5),-2)</f>
        <v>3000</v>
      </c>
      <c r="N704" s="33">
        <f>ROUNDUP(M704+(M704*Assumptions!M$5),-2)</f>
        <v>3100</v>
      </c>
      <c r="O704" s="33">
        <f>ROUNDUP(N704+(N704*Assumptions!N$5),-2)</f>
        <v>3200</v>
      </c>
      <c r="P704" s="33">
        <f>ROUNDUP(O704+(O704*Assumptions!O$5),-2)</f>
        <v>3300</v>
      </c>
      <c r="Q704" s="33">
        <f>ROUNDUP(P704+(P704*Assumptions!P$5),-2)</f>
        <v>3400</v>
      </c>
      <c r="R704" s="114">
        <f>ROUNDUP(Q704+(Q704*Assumptions!Q$5),-2)</f>
        <v>3500</v>
      </c>
    </row>
    <row r="705" spans="1:18" x14ac:dyDescent="0.2">
      <c r="A705" s="107">
        <v>3800</v>
      </c>
      <c r="B705" s="142">
        <v>4200</v>
      </c>
      <c r="C705" s="33">
        <v>3500</v>
      </c>
      <c r="D705" s="33">
        <v>3200</v>
      </c>
      <c r="E705" s="344" t="s">
        <v>2741</v>
      </c>
      <c r="F705" s="443" t="s">
        <v>2774</v>
      </c>
      <c r="G705" s="33">
        <v>3300</v>
      </c>
      <c r="H705" s="138">
        <f t="shared" si="627"/>
        <v>3.125</v>
      </c>
      <c r="I705" s="33">
        <f>ROUNDUP(G705+(G705*Assumptions!H$5),-2)</f>
        <v>3400</v>
      </c>
      <c r="J705" s="33">
        <f>ROUNDUP(I705+(I705*Assumptions!I$5),-2)</f>
        <v>3500</v>
      </c>
      <c r="K705" s="33">
        <f>ROUNDUP(J705+(J705*Assumptions!J$5),-2)</f>
        <v>3600</v>
      </c>
      <c r="L705" s="33">
        <f>ROUNDUP(K705+(K705*Assumptions!K$5),-2)</f>
        <v>3700</v>
      </c>
      <c r="M705" s="33">
        <f>ROUNDUP(L705+(L705*Assumptions!L$5),-2)</f>
        <v>3800</v>
      </c>
      <c r="N705" s="33">
        <f>ROUNDUP(M705+(M705*Assumptions!M$5),-2)</f>
        <v>3900</v>
      </c>
      <c r="O705" s="33">
        <f>ROUNDUP(N705+(N705*Assumptions!N$5),-2)</f>
        <v>4000</v>
      </c>
      <c r="P705" s="33">
        <f>ROUNDUP(O705+(O705*Assumptions!O$5),-2)</f>
        <v>4100</v>
      </c>
      <c r="Q705" s="33">
        <f>ROUNDUP(P705+(P705*Assumptions!P$5),-2)</f>
        <v>4200</v>
      </c>
      <c r="R705" s="114">
        <f>ROUNDUP(Q705+(Q705*Assumptions!Q$5),-2)</f>
        <v>4300</v>
      </c>
    </row>
    <row r="706" spans="1:18" x14ac:dyDescent="0.2">
      <c r="A706" s="107">
        <v>2800</v>
      </c>
      <c r="B706" s="142">
        <v>3100</v>
      </c>
      <c r="C706" s="33">
        <v>5000</v>
      </c>
      <c r="D706" s="33">
        <v>5400</v>
      </c>
      <c r="E706" s="344" t="s">
        <v>588</v>
      </c>
      <c r="F706" s="814" t="s">
        <v>1470</v>
      </c>
      <c r="G706" s="33">
        <v>5500</v>
      </c>
      <c r="H706" s="138">
        <f t="shared" si="627"/>
        <v>1.8518518518518516</v>
      </c>
      <c r="I706" s="33">
        <f>ROUNDUP(G706+(G706*Assumptions!H$5),-2)</f>
        <v>5600</v>
      </c>
      <c r="J706" s="33">
        <f>ROUNDUP(I706+(I706*Assumptions!I$5),-2)</f>
        <v>5800</v>
      </c>
      <c r="K706" s="33">
        <f>ROUNDUP(J706+(J706*Assumptions!J$5),-2)</f>
        <v>6000</v>
      </c>
      <c r="L706" s="33">
        <f>ROUNDUP(K706+(K706*Assumptions!K$5),-2)</f>
        <v>6200</v>
      </c>
      <c r="M706" s="33">
        <f>ROUNDUP(L706+(L706*Assumptions!L$5),-2)</f>
        <v>6400</v>
      </c>
      <c r="N706" s="33">
        <f>ROUNDUP(M706+(M706*Assumptions!M$5),-2)</f>
        <v>6600</v>
      </c>
      <c r="O706" s="33">
        <f>ROUNDUP(N706+(N706*Assumptions!N$5),-2)</f>
        <v>6800</v>
      </c>
      <c r="P706" s="33">
        <f>ROUNDUP(O706+(O706*Assumptions!O$5),-2)</f>
        <v>7000</v>
      </c>
      <c r="Q706" s="33">
        <f>ROUNDUP(P706+(P706*Assumptions!P$5),-2)</f>
        <v>7200</v>
      </c>
      <c r="R706" s="114">
        <f>ROUNDUP(Q706+(Q706*Assumptions!Q$5),-2)</f>
        <v>7400</v>
      </c>
    </row>
    <row r="707" spans="1:18" x14ac:dyDescent="0.2">
      <c r="A707" s="107">
        <v>5500</v>
      </c>
      <c r="B707" s="33">
        <v>6400</v>
      </c>
      <c r="C707" s="33">
        <v>5500</v>
      </c>
      <c r="D707" s="33">
        <v>4600</v>
      </c>
      <c r="E707" s="344" t="s">
        <v>24</v>
      </c>
      <c r="F707" s="443" t="s">
        <v>2193</v>
      </c>
      <c r="G707" s="33">
        <v>5000</v>
      </c>
      <c r="H707" s="138">
        <f t="shared" si="627"/>
        <v>8.695652173913043</v>
      </c>
      <c r="I707" s="33">
        <f>ROUNDUP(G707+(G707*Assumptions!H$5),-2)</f>
        <v>5100</v>
      </c>
      <c r="J707" s="33">
        <f>ROUNDUP(I707+(I707*Assumptions!I$5),-2)</f>
        <v>5300</v>
      </c>
      <c r="K707" s="33">
        <f>ROUNDUP(J707+(J707*Assumptions!J$5),-2)</f>
        <v>5500</v>
      </c>
      <c r="L707" s="33">
        <f>ROUNDUP(K707+(K707*Assumptions!K$5),-2)</f>
        <v>5700</v>
      </c>
      <c r="M707" s="33">
        <f>ROUNDUP(L707+(L707*Assumptions!L$5),-2)</f>
        <v>5900</v>
      </c>
      <c r="N707" s="33">
        <f>ROUNDUP(M707+(M707*Assumptions!M$5),-2)</f>
        <v>6100</v>
      </c>
      <c r="O707" s="33">
        <f>ROUNDUP(N707+(N707*Assumptions!N$5),-2)</f>
        <v>6300</v>
      </c>
      <c r="P707" s="33">
        <f>ROUNDUP(O707+(O707*Assumptions!O$5),-2)</f>
        <v>6500</v>
      </c>
      <c r="Q707" s="33">
        <f>ROUNDUP(P707+(P707*Assumptions!P$5),-2)</f>
        <v>6700</v>
      </c>
      <c r="R707" s="114">
        <f>ROUNDUP(Q707+(Q707*Assumptions!Q$5),-2)</f>
        <v>6900</v>
      </c>
    </row>
    <row r="708" spans="1:18" x14ac:dyDescent="0.2">
      <c r="A708" s="107">
        <v>14400</v>
      </c>
      <c r="B708" s="33">
        <v>15100</v>
      </c>
      <c r="C708" s="33">
        <v>12000</v>
      </c>
      <c r="D708" s="33">
        <v>21200</v>
      </c>
      <c r="E708" s="344" t="s">
        <v>2739</v>
      </c>
      <c r="F708" s="443" t="s">
        <v>720</v>
      </c>
      <c r="G708" s="33">
        <v>22000</v>
      </c>
      <c r="H708" s="138">
        <f t="shared" si="627"/>
        <v>3.7735849056603774</v>
      </c>
      <c r="I708" s="33">
        <f>ROUNDUP(G708+(G708*Assumptions!H$5),-2)</f>
        <v>22400</v>
      </c>
      <c r="J708" s="33">
        <f>ROUNDUP(I708+(I708*Assumptions!I$5),-2)</f>
        <v>23000</v>
      </c>
      <c r="K708" s="33">
        <f>ROUNDUP(J708+(J708*Assumptions!J$5),-2)</f>
        <v>23600</v>
      </c>
      <c r="L708" s="33">
        <f>ROUNDUP(K708+(K708*Assumptions!K$5),-2)</f>
        <v>24200</v>
      </c>
      <c r="M708" s="33">
        <f>ROUNDUP(L708+(L708*Assumptions!L$5),-2)</f>
        <v>24700</v>
      </c>
      <c r="N708" s="33">
        <f>ROUNDUP(M708+(M708*Assumptions!M$5),-2)</f>
        <v>25200</v>
      </c>
      <c r="O708" s="33">
        <f>ROUNDUP(N708+(N708*Assumptions!N$5),-2)</f>
        <v>25800</v>
      </c>
      <c r="P708" s="33">
        <f>ROUNDUP(O708+(O708*Assumptions!O$5),-2)</f>
        <v>26400</v>
      </c>
      <c r="Q708" s="33">
        <f>ROUNDUP(P708+(P708*Assumptions!P$5),-2)</f>
        <v>27000</v>
      </c>
      <c r="R708" s="114">
        <f>ROUNDUP(Q708+(Q708*Assumptions!Q$5),-2)</f>
        <v>27600</v>
      </c>
    </row>
    <row r="709" spans="1:18" x14ac:dyDescent="0.2">
      <c r="A709" s="107">
        <v>0</v>
      </c>
      <c r="B709" s="33">
        <v>0</v>
      </c>
      <c r="C709" s="33">
        <v>0</v>
      </c>
      <c r="D709" s="33">
        <v>0</v>
      </c>
      <c r="E709" s="811" t="s">
        <v>6611</v>
      </c>
      <c r="F709" s="814" t="s">
        <v>6651</v>
      </c>
      <c r="G709" s="33">
        <v>2000</v>
      </c>
      <c r="H709" s="138">
        <f t="shared" si="627"/>
        <v>100</v>
      </c>
      <c r="I709" s="33">
        <f>ROUNDUP(G709+(G709*Assumptions!H$5),-2)</f>
        <v>2100</v>
      </c>
      <c r="J709" s="33">
        <f>ROUNDUP(I709+(I709*Assumptions!I$5),-2)</f>
        <v>2200</v>
      </c>
      <c r="K709" s="33">
        <f>ROUNDUP(J709+(J709*Assumptions!J$5),-2)</f>
        <v>2300</v>
      </c>
      <c r="L709" s="33">
        <f>ROUNDUP(K709+(K709*Assumptions!K$5),-2)</f>
        <v>2400</v>
      </c>
      <c r="M709" s="33">
        <f>ROUNDUP(L709+(L709*Assumptions!L$5),-2)</f>
        <v>2500</v>
      </c>
      <c r="N709" s="33">
        <f>ROUNDUP(M709+(M709*Assumptions!M$5),-2)</f>
        <v>2600</v>
      </c>
      <c r="O709" s="33">
        <f>ROUNDUP(N709+(N709*Assumptions!N$5),-2)</f>
        <v>2700</v>
      </c>
      <c r="P709" s="33">
        <f>ROUNDUP(O709+(O709*Assumptions!O$5),-2)</f>
        <v>2800</v>
      </c>
      <c r="Q709" s="33">
        <f>ROUNDUP(P709+(P709*Assumptions!P$5),-2)</f>
        <v>2900</v>
      </c>
      <c r="R709" s="114">
        <f>ROUNDUP(Q709+(Q709*Assumptions!Q$5),-2)</f>
        <v>3000</v>
      </c>
    </row>
    <row r="710" spans="1:18" x14ac:dyDescent="0.2">
      <c r="A710" s="107">
        <f>12900+1900</f>
        <v>14800</v>
      </c>
      <c r="B710" s="33">
        <f>14100+10300</f>
        <v>24400</v>
      </c>
      <c r="C710" s="33">
        <v>14300</v>
      </c>
      <c r="D710" s="33">
        <v>14300</v>
      </c>
      <c r="E710" s="344" t="s">
        <v>369</v>
      </c>
      <c r="F710" s="443" t="s">
        <v>2340</v>
      </c>
      <c r="G710" s="33">
        <v>13000</v>
      </c>
      <c r="H710" s="138">
        <f t="shared" si="627"/>
        <v>-9.0909090909090917</v>
      </c>
      <c r="I710" s="33">
        <f>ROUNDUP(G710+(G710*Assumptions!H$5),-2)</f>
        <v>13200</v>
      </c>
      <c r="J710" s="33">
        <f>ROUNDUP(I710+(I710*Assumptions!I$5),-2)</f>
        <v>13600</v>
      </c>
      <c r="K710" s="33">
        <f>ROUNDUP(J710+(J710*Assumptions!J$5),-2)</f>
        <v>14000</v>
      </c>
      <c r="L710" s="33">
        <f>ROUNDUP(K710+(K710*Assumptions!K$5),-2)</f>
        <v>14400</v>
      </c>
      <c r="M710" s="33">
        <f>ROUNDUP(L710+(L710*Assumptions!L$5),-2)</f>
        <v>14700</v>
      </c>
      <c r="N710" s="33">
        <f>ROUNDUP(M710+(M710*Assumptions!M$5),-2)</f>
        <v>15000</v>
      </c>
      <c r="O710" s="33">
        <f>ROUNDUP(N710+(N710*Assumptions!N$5),-2)</f>
        <v>15300</v>
      </c>
      <c r="P710" s="33">
        <f>ROUNDUP(O710+(O710*Assumptions!O$5),-2)</f>
        <v>15700</v>
      </c>
      <c r="Q710" s="33">
        <f>ROUNDUP(P710+(P710*Assumptions!P$5),-2)</f>
        <v>16100</v>
      </c>
      <c r="R710" s="114">
        <f>ROUNDUP(Q710+(Q710*Assumptions!Q$5),-2)</f>
        <v>16500</v>
      </c>
    </row>
    <row r="711" spans="1:18" x14ac:dyDescent="0.2">
      <c r="A711" s="107">
        <v>500</v>
      </c>
      <c r="B711" s="33">
        <v>600</v>
      </c>
      <c r="C711" s="33">
        <v>30900</v>
      </c>
      <c r="D711" s="33">
        <v>15600</v>
      </c>
      <c r="E711" s="344" t="s">
        <v>371</v>
      </c>
      <c r="F711" s="953" t="s">
        <v>3337</v>
      </c>
      <c r="G711" s="33">
        <v>15800</v>
      </c>
      <c r="H711" s="138">
        <f t="shared" si="627"/>
        <v>1.2820512820512819</v>
      </c>
      <c r="I711" s="33">
        <f t="shared" ref="I711:P711" si="628">ROUND(I685/2,-3)</f>
        <v>16000</v>
      </c>
      <c r="J711" s="33">
        <f t="shared" si="628"/>
        <v>16000</v>
      </c>
      <c r="K711" s="33">
        <f t="shared" si="628"/>
        <v>17000</v>
      </c>
      <c r="L711" s="33">
        <f t="shared" si="628"/>
        <v>17000</v>
      </c>
      <c r="M711" s="33">
        <f t="shared" si="628"/>
        <v>18000</v>
      </c>
      <c r="N711" s="33">
        <f t="shared" si="628"/>
        <v>18000</v>
      </c>
      <c r="O711" s="33">
        <f t="shared" si="628"/>
        <v>18000</v>
      </c>
      <c r="P711" s="33">
        <f t="shared" si="628"/>
        <v>19000</v>
      </c>
      <c r="Q711" s="33">
        <f t="shared" ref="Q711" si="629">ROUND(Q685/2,-3)</f>
        <v>19000</v>
      </c>
      <c r="R711" s="114">
        <f t="shared" ref="R711" si="630">ROUND(R685/2,-3)</f>
        <v>20000</v>
      </c>
    </row>
    <row r="712" spans="1:18" x14ac:dyDescent="0.2">
      <c r="A712" s="107">
        <v>4000</v>
      </c>
      <c r="B712" s="33">
        <v>3300</v>
      </c>
      <c r="C712" s="33">
        <v>3000</v>
      </c>
      <c r="D712" s="33">
        <v>1000</v>
      </c>
      <c r="E712" s="344" t="s">
        <v>1702</v>
      </c>
      <c r="F712" s="443" t="s">
        <v>1701</v>
      </c>
      <c r="G712" s="33">
        <v>4000</v>
      </c>
      <c r="H712" s="138">
        <f t="shared" si="627"/>
        <v>300</v>
      </c>
      <c r="I712" s="33">
        <f>ROUNDUP(G712+(G712*Assumptions!H$5),-2)</f>
        <v>4100</v>
      </c>
      <c r="J712" s="33">
        <f>ROUNDUP(I712+(I712*Assumptions!I$5),-2)</f>
        <v>4300</v>
      </c>
      <c r="K712" s="33">
        <f>ROUNDUP(J712+(J712*Assumptions!J$5),-2)</f>
        <v>4500</v>
      </c>
      <c r="L712" s="33">
        <f>ROUNDUP(K712+(K712*Assumptions!K$5),-2)</f>
        <v>4700</v>
      </c>
      <c r="M712" s="33">
        <f>ROUNDUP(L712+(L712*Assumptions!L$5),-2)</f>
        <v>4800</v>
      </c>
      <c r="N712" s="33">
        <f>ROUNDUP(M712+(M712*Assumptions!M$5),-2)</f>
        <v>4900</v>
      </c>
      <c r="O712" s="33">
        <f>ROUNDUP(N712+(N712*Assumptions!N$5),-2)</f>
        <v>5000</v>
      </c>
      <c r="P712" s="33">
        <f>ROUNDUP(O712+(O712*Assumptions!O$5),-2)</f>
        <v>5100</v>
      </c>
      <c r="Q712" s="33">
        <f>ROUNDUP(P712+(P712*Assumptions!P$5),-2)</f>
        <v>5300</v>
      </c>
      <c r="R712" s="114">
        <f>ROUNDUP(Q712+(Q712*Assumptions!Q$5),-2)</f>
        <v>5500</v>
      </c>
    </row>
    <row r="713" spans="1:18" x14ac:dyDescent="0.2">
      <c r="A713" s="107">
        <v>500</v>
      </c>
      <c r="B713" s="33">
        <v>300</v>
      </c>
      <c r="C713" s="33">
        <v>6400</v>
      </c>
      <c r="D713" s="33">
        <v>400</v>
      </c>
      <c r="E713" s="344" t="s">
        <v>370</v>
      </c>
      <c r="F713" s="443" t="s">
        <v>1008</v>
      </c>
      <c r="G713" s="33">
        <v>7500</v>
      </c>
      <c r="H713" s="138">
        <f t="shared" si="627"/>
        <v>1775</v>
      </c>
      <c r="I713" s="33">
        <f>ROUNDUP(G713+(G713*Assumptions!H$5),-2)</f>
        <v>7700</v>
      </c>
      <c r="J713" s="33">
        <f>ROUNDUP(I713+(I713*Assumptions!I$5),-2)</f>
        <v>7900</v>
      </c>
      <c r="K713" s="33">
        <f>ROUNDUP(J713+(J713*Assumptions!J$5),-2)</f>
        <v>8100</v>
      </c>
      <c r="L713" s="33">
        <f>ROUNDUP(K713+(K713*Assumptions!K$5),-2)</f>
        <v>8400</v>
      </c>
      <c r="M713" s="33">
        <f>ROUNDUP(L713+(L713*Assumptions!L$5),-2)</f>
        <v>8600</v>
      </c>
      <c r="N713" s="33">
        <f>ROUNDUP(M713+(M713*Assumptions!M$5),-2)</f>
        <v>8800</v>
      </c>
      <c r="O713" s="33">
        <f>ROUNDUP(N713+(N713*Assumptions!N$5),-2)</f>
        <v>9000</v>
      </c>
      <c r="P713" s="33">
        <f>ROUNDUP(O713+(O713*Assumptions!O$5),-2)</f>
        <v>9200</v>
      </c>
      <c r="Q713" s="33">
        <f>ROUNDUP(P713+(P713*Assumptions!P$5),-2)</f>
        <v>9400</v>
      </c>
      <c r="R713" s="114">
        <f>ROUNDUP(Q713+(Q713*Assumptions!Q$5),-2)</f>
        <v>9600</v>
      </c>
    </row>
    <row r="714" spans="1:18" x14ac:dyDescent="0.2">
      <c r="A714" s="107">
        <v>0</v>
      </c>
      <c r="B714" s="130">
        <v>0</v>
      </c>
      <c r="C714" s="132">
        <v>4800</v>
      </c>
      <c r="D714" s="33">
        <v>3900</v>
      </c>
      <c r="E714" s="1477" t="s">
        <v>1446</v>
      </c>
      <c r="F714" s="814" t="s">
        <v>4168</v>
      </c>
      <c r="G714" s="33">
        <v>4500</v>
      </c>
      <c r="H714" s="138">
        <f t="shared" si="627"/>
        <v>15.384615384615385</v>
      </c>
      <c r="I714" s="33">
        <f>ROUNDUP(G714+(G714*Assumptions!H$5),-2)</f>
        <v>4600</v>
      </c>
      <c r="J714" s="33">
        <f>ROUNDUP(I714+(I714*Assumptions!I$5),-2)</f>
        <v>4800</v>
      </c>
      <c r="K714" s="33">
        <f>ROUNDUP(J714+(J714*Assumptions!J$5),-2)</f>
        <v>5000</v>
      </c>
      <c r="L714" s="33">
        <f>ROUNDUP(K714+(K714*Assumptions!K$5),-2)</f>
        <v>5200</v>
      </c>
      <c r="M714" s="33">
        <f>ROUNDUP(L714+(L714*Assumptions!L$5),-2)</f>
        <v>5400</v>
      </c>
      <c r="N714" s="33">
        <f>ROUNDUP(M714+(M714*Assumptions!M$5),-2)</f>
        <v>5600</v>
      </c>
      <c r="O714" s="33">
        <f>ROUNDUP(N714+(N714*Assumptions!N$5),-2)</f>
        <v>5800</v>
      </c>
      <c r="P714" s="33">
        <f>ROUNDUP(O714+(O714*Assumptions!O$5),-2)</f>
        <v>6000</v>
      </c>
      <c r="Q714" s="33">
        <f>ROUNDUP(P714+(P714*Assumptions!P$5),-2)</f>
        <v>6200</v>
      </c>
      <c r="R714" s="114">
        <f>ROUNDUP(Q714+(Q714*Assumptions!Q$5),-2)</f>
        <v>6400</v>
      </c>
    </row>
    <row r="715" spans="1:18" x14ac:dyDescent="0.2">
      <c r="A715" s="107">
        <v>1500</v>
      </c>
      <c r="B715" s="130">
        <v>0</v>
      </c>
      <c r="C715" s="132">
        <v>1700</v>
      </c>
      <c r="D715" s="33">
        <v>15300</v>
      </c>
      <c r="E715" s="1477" t="s">
        <v>5040</v>
      </c>
      <c r="F715" s="814" t="s">
        <v>3576</v>
      </c>
      <c r="G715" s="33">
        <v>2000</v>
      </c>
      <c r="H715" s="138">
        <f t="shared" si="627"/>
        <v>-86.928104575163403</v>
      </c>
      <c r="I715" s="33">
        <f>ROUNDUP(G715+(G715*Assumptions!H$5),-2)</f>
        <v>2100</v>
      </c>
      <c r="J715" s="33">
        <f>ROUNDUP(I715+(I715*Assumptions!I$5),-2)</f>
        <v>2200</v>
      </c>
      <c r="K715" s="33">
        <f>ROUNDUP(J715+(J715*Assumptions!J$5),-2)</f>
        <v>2300</v>
      </c>
      <c r="L715" s="33">
        <f>ROUNDUP(K715+(K715*Assumptions!K$5),-2)</f>
        <v>2400</v>
      </c>
      <c r="M715" s="33">
        <f>ROUNDUP(L715+(L715*Assumptions!L$5),-2)</f>
        <v>2500</v>
      </c>
      <c r="N715" s="33">
        <f>ROUNDUP(M715+(M715*Assumptions!M$5),-2)</f>
        <v>2600</v>
      </c>
      <c r="O715" s="33">
        <f>ROUNDUP(N715+(N715*Assumptions!N$5),-2)</f>
        <v>2700</v>
      </c>
      <c r="P715" s="33">
        <f>ROUNDUP(O715+(O715*Assumptions!O$5),-2)</f>
        <v>2800</v>
      </c>
      <c r="Q715" s="33">
        <f>ROUNDUP(P715+(P715*Assumptions!P$5),-2)</f>
        <v>2900</v>
      </c>
      <c r="R715" s="114">
        <f>ROUNDUP(Q715+(Q715*Assumptions!Q$5),-2)</f>
        <v>3000</v>
      </c>
    </row>
    <row r="716" spans="1:18" x14ac:dyDescent="0.2">
      <c r="A716" s="107">
        <v>0</v>
      </c>
      <c r="B716" s="130">
        <v>0</v>
      </c>
      <c r="C716" s="132">
        <v>0</v>
      </c>
      <c r="D716" s="33">
        <v>0</v>
      </c>
      <c r="E716" s="1477" t="s">
        <v>6860</v>
      </c>
      <c r="F716" s="78" t="s">
        <v>6909</v>
      </c>
      <c r="G716" s="33">
        <v>5000</v>
      </c>
      <c r="H716" s="138">
        <f t="shared" si="627"/>
        <v>100</v>
      </c>
      <c r="I716" s="33">
        <v>0</v>
      </c>
      <c r="J716" s="33">
        <f>ROUNDUP(I716+(I716*Assumptions!I$5),-2)</f>
        <v>0</v>
      </c>
      <c r="K716" s="33">
        <f>ROUNDUP(J716+(J716*Assumptions!J$5),-2)</f>
        <v>0</v>
      </c>
      <c r="L716" s="33">
        <f>ROUNDUP(K716+(K716*Assumptions!K$5),-2)</f>
        <v>0</v>
      </c>
      <c r="M716" s="33">
        <f>ROUNDUP(L716+(L716*Assumptions!L$5),-2)</f>
        <v>0</v>
      </c>
      <c r="N716" s="33">
        <f>ROUNDUP(M716+(M716*Assumptions!M$5),-2)</f>
        <v>0</v>
      </c>
      <c r="O716" s="33">
        <f>ROUNDUP(N716+(N716*Assumptions!N$5),-2)</f>
        <v>0</v>
      </c>
      <c r="P716" s="33">
        <f>ROUNDUP(O716+(O716*Assumptions!O$5),-2)</f>
        <v>0</v>
      </c>
      <c r="Q716" s="33">
        <f>ROUNDUP(P716+(P716*Assumptions!P$5),-2)</f>
        <v>0</v>
      </c>
      <c r="R716" s="114">
        <f>ROUNDUP(Q716+(Q716*Assumptions!Q$5),-2)</f>
        <v>0</v>
      </c>
    </row>
    <row r="717" spans="1:18" x14ac:dyDescent="0.2">
      <c r="A717" s="107"/>
      <c r="B717" s="130"/>
      <c r="C717" s="132"/>
      <c r="D717" s="33"/>
      <c r="E717" s="1477" t="s">
        <v>7081</v>
      </c>
      <c r="F717" s="78" t="s">
        <v>7080</v>
      </c>
      <c r="G717" s="33">
        <v>8000</v>
      </c>
      <c r="H717" s="138">
        <f t="shared" si="627"/>
        <v>100</v>
      </c>
      <c r="I717" s="33">
        <v>0</v>
      </c>
      <c r="J717" s="33">
        <f>ROUNDUP(I717+(I717*Assumptions!I$5),-2)</f>
        <v>0</v>
      </c>
      <c r="K717" s="33">
        <f>ROUNDUP(J717+(J717*Assumptions!J$5),-2)</f>
        <v>0</v>
      </c>
      <c r="L717" s="33">
        <f>ROUNDUP(K717+(K717*Assumptions!K$5),-2)</f>
        <v>0</v>
      </c>
      <c r="M717" s="33">
        <f>ROUNDUP(L717+(L717*Assumptions!L$5),-2)</f>
        <v>0</v>
      </c>
      <c r="N717" s="33">
        <f>ROUNDUP(M717+(M717*Assumptions!M$5),-2)</f>
        <v>0</v>
      </c>
      <c r="O717" s="33">
        <f>ROUNDUP(N717+(N717*Assumptions!N$5),-2)</f>
        <v>0</v>
      </c>
      <c r="P717" s="33">
        <f>ROUNDUP(O717+(O717*Assumptions!O$5),-2)</f>
        <v>0</v>
      </c>
      <c r="Q717" s="33">
        <f>ROUNDUP(P717+(P717*Assumptions!P$5),-2)</f>
        <v>0</v>
      </c>
      <c r="R717" s="114">
        <f>ROUNDUP(Q717+(Q717*Assumptions!Q$5),-2)</f>
        <v>0</v>
      </c>
    </row>
    <row r="718" spans="1:18" x14ac:dyDescent="0.2">
      <c r="A718" s="107"/>
      <c r="B718" s="142"/>
      <c r="C718" s="33"/>
      <c r="D718" s="33"/>
      <c r="E718" s="344"/>
      <c r="F718" s="116" t="s">
        <v>265</v>
      </c>
      <c r="G718" s="33"/>
      <c r="H718" s="138"/>
      <c r="I718" s="33"/>
      <c r="J718" s="33"/>
      <c r="K718" s="33"/>
      <c r="L718" s="33"/>
      <c r="M718" s="33"/>
      <c r="N718" s="33"/>
      <c r="O718" s="33"/>
      <c r="P718" s="33"/>
      <c r="Q718" s="33"/>
      <c r="R718" s="114"/>
    </row>
    <row r="719" spans="1:18" ht="13.5" thickBot="1" x14ac:dyDescent="0.25">
      <c r="A719" s="107">
        <v>43800</v>
      </c>
      <c r="B719" s="33">
        <v>45000</v>
      </c>
      <c r="C719" s="33">
        <v>45100</v>
      </c>
      <c r="D719" s="33">
        <v>46000</v>
      </c>
      <c r="E719" s="811" t="s">
        <v>6808</v>
      </c>
      <c r="F719" s="814" t="s">
        <v>3717</v>
      </c>
      <c r="G719" s="33">
        <v>45000</v>
      </c>
      <c r="H719" s="138">
        <f>IF(D719=G719,0,IF(D719=0,100,(G719-D719)/D719*100))</f>
        <v>-2.1739130434782608</v>
      </c>
      <c r="I719" s="33">
        <f>ROUNDUP(G719+(G719*Assumptions!H$18),-2)</f>
        <v>45900</v>
      </c>
      <c r="J719" s="33">
        <f>ROUNDUP(I719+(I719*Assumptions!I$18),-2)</f>
        <v>46900</v>
      </c>
      <c r="K719" s="33">
        <f>ROUNDUP(J719+(J719*Assumptions!J$18),-2)</f>
        <v>47900</v>
      </c>
      <c r="L719" s="33">
        <f>ROUNDUP(K719+(K719*Assumptions!K$18),-2)</f>
        <v>48900</v>
      </c>
      <c r="M719" s="33">
        <f>ROUNDUP(L719+(L719*Assumptions!L$18),-2)</f>
        <v>49900</v>
      </c>
      <c r="N719" s="33">
        <f>ROUNDUP(M719+(M719*Assumptions!M$18),-2)</f>
        <v>50900</v>
      </c>
      <c r="O719" s="33">
        <f>ROUNDUP(N719+(N719*Assumptions!N$18),-2)</f>
        <v>52000</v>
      </c>
      <c r="P719" s="33">
        <f>ROUNDUP(O719+(O719*Assumptions!O$18),-2)</f>
        <v>53100</v>
      </c>
      <c r="Q719" s="33">
        <f>ROUNDUP(P719+(P719*Assumptions!P$18),-2)</f>
        <v>54200</v>
      </c>
      <c r="R719" s="114">
        <f>ROUNDUP(Q719+(Q719*Assumptions!Q$18),-2)</f>
        <v>55300</v>
      </c>
    </row>
    <row r="720" spans="1:18" s="92" customFormat="1" x14ac:dyDescent="0.2">
      <c r="A720" s="105">
        <f>SUM(A690:A719)</f>
        <v>217000</v>
      </c>
      <c r="B720" s="155">
        <f>SUM(B690:B719)</f>
        <v>229600</v>
      </c>
      <c r="C720" s="53">
        <f>SUM(C690:C719)</f>
        <v>284100</v>
      </c>
      <c r="D720" s="53">
        <f>SUM(D690:D719)</f>
        <v>301800</v>
      </c>
      <c r="E720" s="282"/>
      <c r="F720" s="378" t="s">
        <v>565</v>
      </c>
      <c r="G720" s="53">
        <f>SUM(G690:G719)</f>
        <v>321500</v>
      </c>
      <c r="H720" s="180">
        <f>IF(D720=G720,0,IF(D720=0,100,(G720-D720)/D720*100))</f>
        <v>6.5275016567263089</v>
      </c>
      <c r="I720" s="53">
        <f t="shared" ref="I720:P720" si="631">SUM(I690:I719)</f>
        <v>315200</v>
      </c>
      <c r="J720" s="53">
        <f t="shared" si="631"/>
        <v>323800</v>
      </c>
      <c r="K720" s="53">
        <f t="shared" si="631"/>
        <v>333500</v>
      </c>
      <c r="L720" s="53">
        <f t="shared" si="631"/>
        <v>342400</v>
      </c>
      <c r="M720" s="53">
        <f t="shared" si="631"/>
        <v>351800</v>
      </c>
      <c r="N720" s="53">
        <f t="shared" si="631"/>
        <v>360200</v>
      </c>
      <c r="O720" s="53">
        <f t="shared" si="631"/>
        <v>368900</v>
      </c>
      <c r="P720" s="53">
        <f t="shared" si="631"/>
        <v>379000</v>
      </c>
      <c r="Q720" s="53">
        <f t="shared" ref="Q720" si="632">SUM(Q690:Q719)</f>
        <v>388300</v>
      </c>
      <c r="R720" s="113">
        <f t="shared" ref="R720" si="633">SUM(R690:R719)</f>
        <v>398700</v>
      </c>
    </row>
    <row r="721" spans="1:18" x14ac:dyDescent="0.2">
      <c r="A721" s="107"/>
      <c r="B721" s="33"/>
      <c r="C721" s="33"/>
      <c r="D721" s="33"/>
      <c r="E721" s="255"/>
      <c r="F721" s="108"/>
      <c r="G721" s="33"/>
      <c r="H721" s="138"/>
      <c r="I721" s="33"/>
      <c r="J721" s="33"/>
      <c r="K721" s="33"/>
      <c r="L721" s="33"/>
      <c r="M721" s="33"/>
      <c r="N721" s="33"/>
      <c r="O721" s="33"/>
      <c r="P721" s="33"/>
      <c r="Q721" s="33"/>
      <c r="R721" s="114"/>
    </row>
    <row r="722" spans="1:18" s="92" customFormat="1" x14ac:dyDescent="0.2">
      <c r="A722" s="70">
        <f>A689-A720</f>
        <v>-145600</v>
      </c>
      <c r="B722" s="64">
        <f>B689-B720</f>
        <v>-153400</v>
      </c>
      <c r="C722" s="64">
        <f>C689-C720</f>
        <v>-212300</v>
      </c>
      <c r="D722" s="64">
        <f>D689-D720</f>
        <v>-224700</v>
      </c>
      <c r="E722" s="282"/>
      <c r="F722" s="1963" t="s">
        <v>1019</v>
      </c>
      <c r="G722" s="64">
        <f t="shared" ref="G722:P722" si="634">G689-G720</f>
        <v>-216400</v>
      </c>
      <c r="H722" s="179">
        <f>IF(D722=G722,0,IF(D722=0,100,(G722-D722)/D722*100))</f>
        <v>-3.693813974187806</v>
      </c>
      <c r="I722" s="64">
        <f t="shared" si="634"/>
        <v>-226200</v>
      </c>
      <c r="J722" s="64">
        <f t="shared" si="634"/>
        <v>-228300</v>
      </c>
      <c r="K722" s="64">
        <f t="shared" si="634"/>
        <v>-229800</v>
      </c>
      <c r="L722" s="64">
        <f t="shared" si="634"/>
        <v>-231400</v>
      </c>
      <c r="M722" s="64">
        <f t="shared" si="634"/>
        <v>-232900</v>
      </c>
      <c r="N722" s="64">
        <f t="shared" si="634"/>
        <v>-234200</v>
      </c>
      <c r="O722" s="64">
        <f t="shared" si="634"/>
        <v>-234800</v>
      </c>
      <c r="P722" s="64">
        <f t="shared" si="634"/>
        <v>-236700</v>
      </c>
      <c r="Q722" s="64">
        <f t="shared" ref="Q722" si="635">Q689-Q720</f>
        <v>-237700</v>
      </c>
      <c r="R722" s="115">
        <f t="shared" ref="R722" si="636">R689-R720</f>
        <v>-239600</v>
      </c>
    </row>
    <row r="723" spans="1:18" x14ac:dyDescent="0.2">
      <c r="A723" s="107">
        <f>A719</f>
        <v>43800</v>
      </c>
      <c r="B723" s="33">
        <f>B719</f>
        <v>45000</v>
      </c>
      <c r="C723" s="33">
        <f>C719</f>
        <v>45100</v>
      </c>
      <c r="D723" s="33">
        <f>D719</f>
        <v>46000</v>
      </c>
      <c r="E723" s="255"/>
      <c r="F723" s="320" t="s">
        <v>1976</v>
      </c>
      <c r="G723" s="33">
        <f t="shared" ref="G723:P723" si="637">G719</f>
        <v>45000</v>
      </c>
      <c r="H723" s="19">
        <f>IF(D723=G723,0,IF(D723=0,100,(G723-D723)/D723*100))</f>
        <v>-2.1739130434782608</v>
      </c>
      <c r="I723" s="33">
        <f t="shared" si="637"/>
        <v>45900</v>
      </c>
      <c r="J723" s="33">
        <f t="shared" si="637"/>
        <v>46900</v>
      </c>
      <c r="K723" s="33">
        <f t="shared" si="637"/>
        <v>47900</v>
      </c>
      <c r="L723" s="33">
        <f t="shared" si="637"/>
        <v>48900</v>
      </c>
      <c r="M723" s="33">
        <f t="shared" si="637"/>
        <v>49900</v>
      </c>
      <c r="N723" s="33">
        <f t="shared" si="637"/>
        <v>50900</v>
      </c>
      <c r="O723" s="33">
        <f t="shared" si="637"/>
        <v>52000</v>
      </c>
      <c r="P723" s="33">
        <f t="shared" si="637"/>
        <v>53100</v>
      </c>
      <c r="Q723" s="33">
        <f t="shared" ref="Q723" si="638">Q719</f>
        <v>54200</v>
      </c>
      <c r="R723" s="114">
        <f t="shared" ref="R723" si="639">R719</f>
        <v>55300</v>
      </c>
    </row>
    <row r="724" spans="1:18" s="92" customFormat="1" x14ac:dyDescent="0.2">
      <c r="A724" s="181">
        <f>A722+A723</f>
        <v>-101800</v>
      </c>
      <c r="B724" s="397">
        <f>B722+B723</f>
        <v>-108400</v>
      </c>
      <c r="C724" s="397">
        <f>C722+C723</f>
        <v>-167200</v>
      </c>
      <c r="D724" s="397">
        <f>D722+D723</f>
        <v>-178700</v>
      </c>
      <c r="E724" s="514"/>
      <c r="F724" s="515" t="s">
        <v>1687</v>
      </c>
      <c r="G724" s="397">
        <f t="shared" ref="G724:O724" si="640">G722+G723</f>
        <v>-171400</v>
      </c>
      <c r="H724" s="395">
        <f>IF(D724=G724,0,IF(D724=0,100,(G724-D724)/D724*100))</f>
        <v>-4.0850587576944601</v>
      </c>
      <c r="I724" s="397">
        <f t="shared" si="640"/>
        <v>-180300</v>
      </c>
      <c r="J724" s="397">
        <f t="shared" si="640"/>
        <v>-181400</v>
      </c>
      <c r="K724" s="397">
        <f t="shared" si="640"/>
        <v>-181900</v>
      </c>
      <c r="L724" s="397">
        <f t="shared" si="640"/>
        <v>-182500</v>
      </c>
      <c r="M724" s="397">
        <f t="shared" si="640"/>
        <v>-183000</v>
      </c>
      <c r="N724" s="397">
        <f t="shared" si="640"/>
        <v>-183300</v>
      </c>
      <c r="O724" s="397">
        <f t="shared" si="640"/>
        <v>-182800</v>
      </c>
      <c r="P724" s="397">
        <f t="shared" ref="P724:Q724" si="641">P722+P723</f>
        <v>-183600</v>
      </c>
      <c r="Q724" s="397">
        <f t="shared" si="641"/>
        <v>-183500</v>
      </c>
      <c r="R724" s="399">
        <f t="shared" ref="R724" si="642">R722+R723</f>
        <v>-184300</v>
      </c>
    </row>
    <row r="725" spans="1:18" ht="13.5" thickBot="1" x14ac:dyDescent="0.25">
      <c r="A725" s="73"/>
      <c r="B725" s="90"/>
      <c r="C725" s="90"/>
      <c r="D725" s="90"/>
      <c r="E725" s="285"/>
      <c r="F725" s="141"/>
      <c r="G725" s="66"/>
      <c r="H725" s="392"/>
      <c r="I725" s="121"/>
      <c r="J725" s="121"/>
      <c r="K725" s="121"/>
      <c r="L725" s="121"/>
      <c r="M725" s="121"/>
      <c r="N725" s="121"/>
      <c r="O725" s="121"/>
      <c r="P725" s="121"/>
      <c r="Q725" s="121"/>
      <c r="R725" s="161"/>
    </row>
    <row r="726" spans="1:18" ht="13.5" thickTop="1" x14ac:dyDescent="0.2">
      <c r="A726" s="70"/>
      <c r="B726" s="128"/>
      <c r="C726" s="64"/>
      <c r="D726" s="64"/>
      <c r="E726" s="283"/>
      <c r="F726" s="516" t="s">
        <v>196</v>
      </c>
      <c r="G726" s="33"/>
      <c r="H726" s="179"/>
      <c r="I726" s="33"/>
      <c r="J726" s="33"/>
      <c r="K726" s="33"/>
      <c r="L726" s="33"/>
      <c r="M726" s="33"/>
      <c r="N726" s="33"/>
      <c r="O726" s="33"/>
      <c r="P726" s="33"/>
      <c r="Q726" s="33"/>
      <c r="R726" s="114"/>
    </row>
    <row r="727" spans="1:18" x14ac:dyDescent="0.2">
      <c r="A727" s="107">
        <v>0</v>
      </c>
      <c r="B727" s="142">
        <v>0</v>
      </c>
      <c r="C727" s="33">
        <v>0</v>
      </c>
      <c r="D727" s="33">
        <v>0</v>
      </c>
      <c r="E727" s="283"/>
      <c r="F727" s="366" t="s">
        <v>2900</v>
      </c>
      <c r="G727" s="33">
        <v>0</v>
      </c>
      <c r="H727" s="138"/>
      <c r="I727" s="33">
        <v>0</v>
      </c>
      <c r="J727" s="33">
        <v>0</v>
      </c>
      <c r="K727" s="33">
        <v>0</v>
      </c>
      <c r="L727" s="33">
        <v>0</v>
      </c>
      <c r="M727" s="33">
        <v>0</v>
      </c>
      <c r="N727" s="33">
        <v>0</v>
      </c>
      <c r="O727" s="33">
        <v>0</v>
      </c>
      <c r="P727" s="33">
        <v>0</v>
      </c>
      <c r="Q727" s="33">
        <v>0</v>
      </c>
      <c r="R727" s="114">
        <v>0</v>
      </c>
    </row>
    <row r="728" spans="1:18" x14ac:dyDescent="0.2">
      <c r="A728" s="107">
        <v>18000</v>
      </c>
      <c r="B728" s="142">
        <v>37000</v>
      </c>
      <c r="C728" s="33">
        <v>27300</v>
      </c>
      <c r="D728" s="33">
        <v>22000</v>
      </c>
      <c r="E728" s="283"/>
      <c r="F728" s="366" t="s">
        <v>1942</v>
      </c>
      <c r="G728" s="33">
        <f>SUM('Res-Gen'!E20:E22)</f>
        <v>10000</v>
      </c>
      <c r="H728" s="138"/>
      <c r="I728" s="33">
        <f>SUM('Res-Gen'!H20:H22)</f>
        <v>10000</v>
      </c>
      <c r="J728" s="33">
        <f>SUM('Res-Gen'!K20:K22)</f>
        <v>10000</v>
      </c>
      <c r="K728" s="33">
        <f>SUM('Res-Gen'!N20:N22)</f>
        <v>10000</v>
      </c>
      <c r="L728" s="33">
        <f>SUM('Res-Gen'!Q20:Q22)</f>
        <v>10000</v>
      </c>
      <c r="M728" s="33">
        <f>SUM('Res-Gen'!T20:T22)</f>
        <v>10000</v>
      </c>
      <c r="N728" s="33">
        <f>SUM('Res-Gen'!W20:W22)</f>
        <v>10000</v>
      </c>
      <c r="O728" s="33">
        <f>SUM('Res-Gen'!Z20:Z22)</f>
        <v>10000</v>
      </c>
      <c r="P728" s="33">
        <f>SUM('Res-Gen'!AC20:AC22)</f>
        <v>10000</v>
      </c>
      <c r="Q728" s="33">
        <f>SUM('Res-Gen'!AF20:AF22)</f>
        <v>10000</v>
      </c>
      <c r="R728" s="114">
        <f>SUM('Res-Gen'!AI20:AI22)</f>
        <v>10000</v>
      </c>
    </row>
    <row r="729" spans="1:18" x14ac:dyDescent="0.2">
      <c r="A729" s="107">
        <v>20000</v>
      </c>
      <c r="B729" s="142">
        <v>60000</v>
      </c>
      <c r="C729" s="33">
        <v>62000</v>
      </c>
      <c r="D729" s="33">
        <f>SUM('Res-Gen'!C20:C22)</f>
        <v>27300</v>
      </c>
      <c r="E729" s="283"/>
      <c r="F729" s="366" t="s">
        <v>2348</v>
      </c>
      <c r="G729" s="33">
        <f>'Res-Gen'!F21+'Res-Gen'!F72</f>
        <v>27000</v>
      </c>
      <c r="H729" s="138"/>
      <c r="I729" s="33">
        <v>0</v>
      </c>
      <c r="J729" s="33">
        <v>0</v>
      </c>
      <c r="K729" s="33">
        <v>0</v>
      </c>
      <c r="L729" s="33">
        <v>0</v>
      </c>
      <c r="M729" s="33">
        <v>0</v>
      </c>
      <c r="N729" s="33">
        <v>0</v>
      </c>
      <c r="O729" s="33">
        <v>0</v>
      </c>
      <c r="P729" s="33">
        <v>0</v>
      </c>
      <c r="Q729" s="33">
        <v>0</v>
      </c>
      <c r="R729" s="114">
        <v>0</v>
      </c>
    </row>
    <row r="730" spans="1:18" x14ac:dyDescent="0.2">
      <c r="A730" s="107">
        <v>0</v>
      </c>
      <c r="B730" s="33">
        <v>0</v>
      </c>
      <c r="C730" s="33">
        <v>0</v>
      </c>
      <c r="D730" s="33">
        <v>0</v>
      </c>
      <c r="E730" s="283"/>
      <c r="F730" s="366" t="s">
        <v>5984</v>
      </c>
      <c r="G730" s="33">
        <v>0</v>
      </c>
      <c r="H730" s="138"/>
      <c r="I730" s="33">
        <v>0</v>
      </c>
      <c r="J730" s="33">
        <v>0</v>
      </c>
      <c r="K730" s="33">
        <v>0</v>
      </c>
      <c r="L730" s="33">
        <v>0</v>
      </c>
      <c r="M730" s="33">
        <v>0</v>
      </c>
      <c r="N730" s="33">
        <v>0</v>
      </c>
      <c r="O730" s="33">
        <v>0</v>
      </c>
      <c r="P730" s="33">
        <v>0</v>
      </c>
      <c r="Q730" s="33">
        <v>0</v>
      </c>
      <c r="R730" s="114">
        <v>0</v>
      </c>
    </row>
    <row r="731" spans="1:18" x14ac:dyDescent="0.2">
      <c r="A731" s="107">
        <v>16706</v>
      </c>
      <c r="B731" s="33">
        <v>44500</v>
      </c>
      <c r="C731" s="33">
        <v>13300</v>
      </c>
      <c r="D731" s="33">
        <f>'Cap-Gen'!E22</f>
        <v>600</v>
      </c>
      <c r="E731" s="283"/>
      <c r="F731" s="366" t="s">
        <v>972</v>
      </c>
      <c r="G731" s="33">
        <f>'Cap-Gen'!F21</f>
        <v>25000</v>
      </c>
      <c r="H731" s="138"/>
      <c r="I731" s="33">
        <v>0</v>
      </c>
      <c r="J731" s="33">
        <v>0</v>
      </c>
      <c r="K731" s="33">
        <v>0</v>
      </c>
      <c r="L731" s="33">
        <v>0</v>
      </c>
      <c r="M731" s="33">
        <v>0</v>
      </c>
      <c r="N731" s="33">
        <v>0</v>
      </c>
      <c r="O731" s="33">
        <v>0</v>
      </c>
      <c r="P731" s="33">
        <v>0</v>
      </c>
      <c r="Q731" s="33">
        <v>0</v>
      </c>
      <c r="R731" s="114">
        <v>0</v>
      </c>
    </row>
    <row r="732" spans="1:18" s="92" customFormat="1" ht="11.25" customHeight="1" x14ac:dyDescent="0.2">
      <c r="A732" s="181">
        <f>A724-A727-A728+A729++A730-A731</f>
        <v>-116506</v>
      </c>
      <c r="B732" s="377">
        <f>B724-B727-B728+B729++B730-B731</f>
        <v>-129900</v>
      </c>
      <c r="C732" s="397">
        <f>C724-C727-C728+C729++C730-C731</f>
        <v>-145800</v>
      </c>
      <c r="D732" s="397">
        <f>D724-D727-D728+D729++D730-D731</f>
        <v>-174000</v>
      </c>
      <c r="E732" s="517"/>
      <c r="F732" s="518" t="s">
        <v>2490</v>
      </c>
      <c r="G732" s="397">
        <f t="shared" ref="G732:P732" si="643">G724-G727-G728+G729++G730-G731</f>
        <v>-179400</v>
      </c>
      <c r="H732" s="395">
        <f>IF(D732=G732,0,IF(D732=0,100,(G732-D732)/D732*100))</f>
        <v>3.103448275862069</v>
      </c>
      <c r="I732" s="397">
        <f t="shared" si="643"/>
        <v>-190300</v>
      </c>
      <c r="J732" s="397">
        <f t="shared" si="643"/>
        <v>-191400</v>
      </c>
      <c r="K732" s="397">
        <f t="shared" si="643"/>
        <v>-191900</v>
      </c>
      <c r="L732" s="397">
        <f t="shared" si="643"/>
        <v>-192500</v>
      </c>
      <c r="M732" s="397">
        <f t="shared" si="643"/>
        <v>-193000</v>
      </c>
      <c r="N732" s="397">
        <f t="shared" si="643"/>
        <v>-193300</v>
      </c>
      <c r="O732" s="397">
        <f t="shared" si="643"/>
        <v>-192800</v>
      </c>
      <c r="P732" s="397">
        <f t="shared" si="643"/>
        <v>-193600</v>
      </c>
      <c r="Q732" s="397">
        <f t="shared" ref="Q732" si="644">Q724-Q727-Q728+Q729++Q730-Q731</f>
        <v>-193500</v>
      </c>
      <c r="R732" s="399">
        <f t="shared" ref="R732" si="645">R724-R727-R728+R729++R730-R731</f>
        <v>-194300</v>
      </c>
    </row>
    <row r="733" spans="1:18" ht="13.5" thickBot="1" x14ac:dyDescent="0.25">
      <c r="A733" s="73"/>
      <c r="B733" s="134"/>
      <c r="C733" s="90"/>
      <c r="D733" s="90"/>
      <c r="E733" s="284"/>
      <c r="F733" s="368"/>
      <c r="G733" s="66"/>
      <c r="H733" s="392"/>
      <c r="I733" s="66"/>
      <c r="J733" s="66"/>
      <c r="K733" s="66"/>
      <c r="L733" s="66"/>
      <c r="M733" s="66"/>
      <c r="N733" s="66"/>
      <c r="O733" s="66"/>
      <c r="P733" s="66"/>
      <c r="Q733" s="66"/>
      <c r="R733" s="165"/>
    </row>
    <row r="734" spans="1:18" ht="14.25" thickTop="1" thickBot="1" x14ac:dyDescent="0.25">
      <c r="A734" s="74"/>
      <c r="B734" s="137"/>
      <c r="C734" s="137"/>
      <c r="D734" s="137"/>
      <c r="E734" s="283"/>
      <c r="F734" s="137"/>
      <c r="G734" s="137"/>
      <c r="H734" s="137"/>
      <c r="I734" s="99"/>
      <c r="J734" s="99"/>
      <c r="K734" s="99"/>
      <c r="L734" s="99"/>
      <c r="M734" s="99"/>
      <c r="N734" s="99"/>
      <c r="O734" s="99"/>
      <c r="P734" s="99"/>
      <c r="Q734" s="99"/>
      <c r="R734" s="99"/>
    </row>
    <row r="735" spans="1:18" s="91" customFormat="1" ht="18.75" customHeight="1" thickTop="1" thickBot="1" x14ac:dyDescent="0.3">
      <c r="A735" s="2862" t="s">
        <v>3549</v>
      </c>
      <c r="B735" s="2863"/>
      <c r="C735" s="2863"/>
      <c r="D735" s="2863"/>
      <c r="E735" s="2863"/>
      <c r="F735" s="2863"/>
      <c r="G735" s="2863"/>
      <c r="H735" s="2863"/>
      <c r="I735" s="2863"/>
      <c r="J735" s="2863"/>
      <c r="K735" s="2863"/>
      <c r="L735" s="2863"/>
      <c r="M735" s="2863"/>
      <c r="N735" s="2863"/>
      <c r="O735" s="2863"/>
      <c r="P735" s="2863"/>
      <c r="Q735" s="2863"/>
      <c r="R735" s="2864"/>
    </row>
    <row r="736" spans="1:18" s="44" customFormat="1" x14ac:dyDescent="0.2">
      <c r="A736" s="2848" t="s">
        <v>1856</v>
      </c>
      <c r="B736" s="2840"/>
      <c r="C736" s="2840"/>
      <c r="D736" s="2849"/>
      <c r="E736" s="513" t="s">
        <v>2663</v>
      </c>
      <c r="F736" s="369" t="s">
        <v>2251</v>
      </c>
      <c r="G736" s="2839" t="s">
        <v>2253</v>
      </c>
      <c r="H736" s="2840"/>
      <c r="I736" s="2840"/>
      <c r="J736" s="2840"/>
      <c r="K736" s="2840"/>
      <c r="L736" s="2840"/>
      <c r="M736" s="2840"/>
      <c r="N736" s="2840"/>
      <c r="O736" s="2840"/>
      <c r="P736" s="2840"/>
      <c r="Q736" s="2840"/>
      <c r="R736" s="2841"/>
    </row>
    <row r="737" spans="1:18" s="23" customFormat="1" ht="13.5" thickBot="1" x14ac:dyDescent="0.25">
      <c r="A737" s="208" t="str">
        <f>GM!A3</f>
        <v>2012/13</v>
      </c>
      <c r="B737" s="75" t="str">
        <f>GM!B3</f>
        <v>2013/14</v>
      </c>
      <c r="C737" s="370" t="str">
        <f>GM!C3</f>
        <v>2014/15</v>
      </c>
      <c r="D737" s="93" t="str">
        <f>GM!D3</f>
        <v>2015/16</v>
      </c>
      <c r="E737" s="370" t="s">
        <v>2664</v>
      </c>
      <c r="F737" s="42"/>
      <c r="G737" s="93" t="str">
        <f>GM!G3</f>
        <v>2016/17</v>
      </c>
      <c r="H737" s="2492" t="s">
        <v>501</v>
      </c>
      <c r="I737" s="370" t="str">
        <f>GM!I3</f>
        <v>2017/18</v>
      </c>
      <c r="J737" s="370" t="str">
        <f>GM!J3</f>
        <v>2018/19</v>
      </c>
      <c r="K737" s="370" t="str">
        <f>GM!K3</f>
        <v>2019/20</v>
      </c>
      <c r="L737" s="370" t="str">
        <f>GM!L3</f>
        <v>2020/21</v>
      </c>
      <c r="M737" s="370" t="str">
        <f>GM!M3</f>
        <v>2021/22</v>
      </c>
      <c r="N737" s="370" t="str">
        <f>GM!N3</f>
        <v>2022/23</v>
      </c>
      <c r="O737" s="370" t="str">
        <f>GM!O3</f>
        <v>2023/24</v>
      </c>
      <c r="P737" s="381" t="str">
        <f>GM!P3</f>
        <v>2024/25</v>
      </c>
      <c r="Q737" s="218" t="str">
        <f>GM!Q3</f>
        <v>2025/26</v>
      </c>
      <c r="R737" s="549" t="str">
        <f>GM!R3</f>
        <v>2026/27</v>
      </c>
    </row>
    <row r="738" spans="1:18" x14ac:dyDescent="0.2">
      <c r="A738" s="107"/>
      <c r="B738" s="33"/>
      <c r="C738" s="33"/>
      <c r="D738" s="33"/>
      <c r="E738" s="252"/>
      <c r="F738" s="74"/>
      <c r="G738" s="33"/>
      <c r="H738" s="138"/>
      <c r="I738" s="33"/>
      <c r="J738" s="33"/>
      <c r="K738" s="33"/>
      <c r="L738" s="33"/>
      <c r="M738" s="33"/>
      <c r="N738" s="33"/>
      <c r="O738" s="33"/>
      <c r="P738" s="142"/>
      <c r="Q738" s="33"/>
      <c r="R738" s="114"/>
    </row>
    <row r="739" spans="1:18" x14ac:dyDescent="0.2">
      <c r="A739" s="107"/>
      <c r="B739" s="33"/>
      <c r="C739" s="33"/>
      <c r="D739" s="33"/>
      <c r="E739" s="252"/>
      <c r="F739" s="144" t="s">
        <v>1073</v>
      </c>
      <c r="G739" s="33"/>
      <c r="H739" s="138"/>
      <c r="I739" s="33"/>
      <c r="J739" s="33"/>
      <c r="K739" s="33"/>
      <c r="L739" s="33"/>
      <c r="M739" s="33"/>
      <c r="N739" s="33"/>
      <c r="O739" s="33"/>
      <c r="P739" s="142"/>
      <c r="Q739" s="33"/>
      <c r="R739" s="114"/>
    </row>
    <row r="740" spans="1:18" x14ac:dyDescent="0.2">
      <c r="A740" s="107"/>
      <c r="B740" s="33"/>
      <c r="C740" s="33"/>
      <c r="D740" s="33"/>
      <c r="E740" s="252"/>
      <c r="F740" s="144"/>
      <c r="G740" s="33"/>
      <c r="H740" s="138"/>
      <c r="I740" s="33"/>
      <c r="J740" s="33"/>
      <c r="K740" s="33"/>
      <c r="L740" s="33"/>
      <c r="M740" s="33"/>
      <c r="N740" s="33"/>
      <c r="O740" s="33"/>
      <c r="P740" s="142"/>
      <c r="Q740" s="33"/>
      <c r="R740" s="114"/>
    </row>
    <row r="741" spans="1:18" x14ac:dyDescent="0.2">
      <c r="A741" s="107"/>
      <c r="B741" s="33"/>
      <c r="C741" s="33"/>
      <c r="D741" s="33"/>
      <c r="E741" s="252"/>
      <c r="F741" s="145" t="s">
        <v>687</v>
      </c>
      <c r="G741" s="33"/>
      <c r="H741" s="138"/>
      <c r="I741" s="33"/>
      <c r="J741" s="33"/>
      <c r="K741" s="33"/>
      <c r="L741" s="33"/>
      <c r="M741" s="33"/>
      <c r="N741" s="33"/>
      <c r="O741" s="33"/>
      <c r="P741" s="142"/>
      <c r="Q741" s="33"/>
      <c r="R741" s="114"/>
    </row>
    <row r="742" spans="1:18" x14ac:dyDescent="0.2">
      <c r="A742" s="107">
        <v>79400</v>
      </c>
      <c r="B742" s="33">
        <v>75800</v>
      </c>
      <c r="C742" s="33">
        <v>76500</v>
      </c>
      <c r="D742" s="33">
        <f>82000-5000</f>
        <v>77000</v>
      </c>
      <c r="E742" s="344" t="s">
        <v>1962</v>
      </c>
      <c r="F742" s="3" t="s">
        <v>2237</v>
      </c>
      <c r="G742" s="33">
        <f>78600-1000</f>
        <v>77600</v>
      </c>
      <c r="H742" s="138">
        <f>IF(D742=G742,0,IF(D742=0,100,(G742-D742)/D742*100))</f>
        <v>0.77922077922077926</v>
      </c>
      <c r="I742" s="33">
        <f>ROUNDUP(G742+(G742*Assumptions!H$5),-2)</f>
        <v>78800</v>
      </c>
      <c r="J742" s="33">
        <f>ROUNDUP(I742+(I742*Assumptions!I$5),-2)</f>
        <v>80800</v>
      </c>
      <c r="K742" s="33">
        <f>ROUNDUP(J742+(J742*Assumptions!J$5),-2)</f>
        <v>82900</v>
      </c>
      <c r="L742" s="33">
        <f>ROUNDUP(K742+(K742*Assumptions!K$5),-2)</f>
        <v>85000</v>
      </c>
      <c r="M742" s="33">
        <f>ROUNDUP(L742+(L742*Assumptions!L$5),-2)</f>
        <v>86700</v>
      </c>
      <c r="N742" s="33">
        <f>ROUNDUP(M742+(M742*Assumptions!M$5),-2)</f>
        <v>88500</v>
      </c>
      <c r="O742" s="33">
        <f>ROUNDUP(N742+(N742*Assumptions!N$5),-2)</f>
        <v>90300</v>
      </c>
      <c r="P742" s="142">
        <f>ROUNDUP(O742+(O742*Assumptions!O$5),-2)</f>
        <v>92200</v>
      </c>
      <c r="Q742" s="33">
        <f>ROUNDUP(P742+(P742*Assumptions!P$5),-2)</f>
        <v>94100</v>
      </c>
      <c r="R742" s="114">
        <f>ROUNDUP(Q742+(Q742*Assumptions!Q$5),-2)</f>
        <v>96000</v>
      </c>
    </row>
    <row r="743" spans="1:18" x14ac:dyDescent="0.2">
      <c r="A743" s="107">
        <v>36200</v>
      </c>
      <c r="B743" s="33">
        <v>34600</v>
      </c>
      <c r="C743" s="33">
        <f>136300-76500</f>
        <v>59800</v>
      </c>
      <c r="D743" s="33">
        <v>34900</v>
      </c>
      <c r="E743" s="344" t="s">
        <v>1963</v>
      </c>
      <c r="F743" s="3" t="s">
        <v>147</v>
      </c>
      <c r="G743" s="33">
        <v>41000</v>
      </c>
      <c r="H743" s="138">
        <f>IF(D743=G743,0,IF(D743=0,100,(G743-D743)/D743*100))</f>
        <v>17.478510028653297</v>
      </c>
      <c r="I743" s="33">
        <v>0</v>
      </c>
      <c r="J743" s="33">
        <f>ROUNDUP(I743+(I743*Assumptions!I$5),-2)</f>
        <v>0</v>
      </c>
      <c r="K743" s="33">
        <f>ROUNDUP(J743+(J743*Assumptions!J$5),-2)</f>
        <v>0</v>
      </c>
      <c r="L743" s="33">
        <f>ROUNDUP(K743+(K743*Assumptions!K$5),-2)</f>
        <v>0</v>
      </c>
      <c r="M743" s="33">
        <f>ROUNDUP(L743+(L743*Assumptions!L$5),-2)</f>
        <v>0</v>
      </c>
      <c r="N743" s="33">
        <f>ROUNDUP(M743+(M743*Assumptions!M$5),-2)</f>
        <v>0</v>
      </c>
      <c r="O743" s="33">
        <f>ROUNDUP(N743+(N743*Assumptions!N$5),-2)</f>
        <v>0</v>
      </c>
      <c r="P743" s="142">
        <f>ROUNDUP(O743+(O743*Assumptions!O$5),-2)</f>
        <v>0</v>
      </c>
      <c r="Q743" s="33">
        <f>ROUNDUP(P743+(P743*Assumptions!P$5),-2)</f>
        <v>0</v>
      </c>
      <c r="R743" s="114">
        <f>ROUNDUP(Q743+(Q743*Assumptions!Q$5),-2)</f>
        <v>0</v>
      </c>
    </row>
    <row r="744" spans="1:18" ht="13.5" thickBot="1" x14ac:dyDescent="0.25">
      <c r="A744" s="70"/>
      <c r="B744" s="64"/>
      <c r="C744" s="64"/>
      <c r="D744" s="64"/>
      <c r="E744" s="343"/>
      <c r="F744" s="74"/>
      <c r="G744" s="33"/>
      <c r="H744" s="179"/>
      <c r="I744" s="33"/>
      <c r="J744" s="33"/>
      <c r="K744" s="33"/>
      <c r="L744" s="33"/>
      <c r="M744" s="33"/>
      <c r="N744" s="33"/>
      <c r="O744" s="33"/>
      <c r="P744" s="142"/>
      <c r="Q744" s="33"/>
      <c r="R744" s="114"/>
    </row>
    <row r="745" spans="1:18" x14ac:dyDescent="0.2">
      <c r="A745" s="105">
        <f>SUM(A740:A744)</f>
        <v>115600</v>
      </c>
      <c r="B745" s="53">
        <f>SUM(B740:B744)</f>
        <v>110400</v>
      </c>
      <c r="C745" s="53">
        <f>SUM(C740:C744)</f>
        <v>136300</v>
      </c>
      <c r="D745" s="53">
        <f>SUM(D740:D744)</f>
        <v>111900</v>
      </c>
      <c r="E745" s="343"/>
      <c r="F745" s="112" t="s">
        <v>2605</v>
      </c>
      <c r="G745" s="53">
        <f t="shared" ref="G745:O745" si="646">SUM(G740:G744)</f>
        <v>118600</v>
      </c>
      <c r="H745" s="180">
        <f>IF(D745=G745,0,IF(D745=0,100,(G745-D745)/D745*100))</f>
        <v>5.9874888293118858</v>
      </c>
      <c r="I745" s="53">
        <f t="shared" si="646"/>
        <v>78800</v>
      </c>
      <c r="J745" s="53">
        <f t="shared" si="646"/>
        <v>80800</v>
      </c>
      <c r="K745" s="53">
        <f t="shared" si="646"/>
        <v>82900</v>
      </c>
      <c r="L745" s="53">
        <f t="shared" si="646"/>
        <v>85000</v>
      </c>
      <c r="M745" s="53">
        <f t="shared" si="646"/>
        <v>86700</v>
      </c>
      <c r="N745" s="53">
        <f t="shared" si="646"/>
        <v>88500</v>
      </c>
      <c r="O745" s="53">
        <f t="shared" si="646"/>
        <v>90300</v>
      </c>
      <c r="P745" s="155">
        <f t="shared" ref="P745:Q745" si="647">SUM(P740:P744)</f>
        <v>92200</v>
      </c>
      <c r="Q745" s="53">
        <f t="shared" si="647"/>
        <v>94100</v>
      </c>
      <c r="R745" s="113">
        <f t="shared" ref="R745" si="648">SUM(R740:R744)</f>
        <v>96000</v>
      </c>
    </row>
    <row r="746" spans="1:18" x14ac:dyDescent="0.2">
      <c r="A746" s="107"/>
      <c r="B746" s="33"/>
      <c r="C746" s="33"/>
      <c r="D746" s="33"/>
      <c r="E746" s="343"/>
      <c r="F746" s="112"/>
      <c r="G746" s="33"/>
      <c r="H746" s="138"/>
      <c r="I746" s="33"/>
      <c r="J746" s="33"/>
      <c r="K746" s="33"/>
      <c r="L746" s="33"/>
      <c r="M746" s="33"/>
      <c r="N746" s="33"/>
      <c r="O746" s="33"/>
      <c r="P746" s="142"/>
      <c r="Q746" s="33"/>
      <c r="R746" s="114"/>
    </row>
    <row r="747" spans="1:18" x14ac:dyDescent="0.2">
      <c r="A747" s="107"/>
      <c r="B747" s="33"/>
      <c r="C747" s="33"/>
      <c r="D747" s="33"/>
      <c r="E747" s="343"/>
      <c r="F747" s="144" t="s">
        <v>2205</v>
      </c>
      <c r="G747" s="33"/>
      <c r="H747" s="138"/>
      <c r="I747" s="33"/>
      <c r="J747" s="33"/>
      <c r="K747" s="33"/>
      <c r="L747" s="33"/>
      <c r="M747" s="33"/>
      <c r="N747" s="33"/>
      <c r="O747" s="33"/>
      <c r="P747" s="142"/>
      <c r="Q747" s="33"/>
      <c r="R747" s="114"/>
    </row>
    <row r="748" spans="1:18" x14ac:dyDescent="0.2">
      <c r="A748" s="107"/>
      <c r="B748" s="142"/>
      <c r="C748" s="33"/>
      <c r="D748" s="33"/>
      <c r="E748" s="343"/>
      <c r="F748" s="1981"/>
      <c r="G748" s="33"/>
      <c r="H748" s="138"/>
      <c r="I748" s="33"/>
      <c r="J748" s="33"/>
      <c r="K748" s="33"/>
      <c r="L748" s="33"/>
      <c r="M748" s="33"/>
      <c r="N748" s="33"/>
      <c r="O748" s="33"/>
      <c r="P748" s="142"/>
      <c r="Q748" s="33"/>
      <c r="R748" s="114"/>
    </row>
    <row r="749" spans="1:18" x14ac:dyDescent="0.2">
      <c r="A749" s="107"/>
      <c r="B749" s="142"/>
      <c r="C749" s="33"/>
      <c r="D749" s="33"/>
      <c r="E749" s="344"/>
      <c r="F749" s="6" t="s">
        <v>1486</v>
      </c>
      <c r="G749" s="33"/>
      <c r="H749" s="138"/>
      <c r="I749" s="33"/>
      <c r="J749" s="33"/>
      <c r="K749" s="33"/>
      <c r="L749" s="33"/>
      <c r="M749" s="33"/>
      <c r="N749" s="33"/>
      <c r="O749" s="33"/>
      <c r="P749" s="142"/>
      <c r="Q749" s="33"/>
      <c r="R749" s="114"/>
    </row>
    <row r="750" spans="1:18" x14ac:dyDescent="0.2">
      <c r="A750" s="107">
        <v>1208700</v>
      </c>
      <c r="B750" s="33">
        <v>1253300</v>
      </c>
      <c r="C750" s="33">
        <v>1274700</v>
      </c>
      <c r="D750" s="33">
        <v>1298000</v>
      </c>
      <c r="E750" s="344" t="s">
        <v>639</v>
      </c>
      <c r="F750" s="3" t="s">
        <v>270</v>
      </c>
      <c r="G750" s="33">
        <v>1325000</v>
      </c>
      <c r="H750" s="138">
        <f>IF(D750=G750,0,IF(D750=0,100,(G750-D750)/D750*100))</f>
        <v>2.0801232665639446</v>
      </c>
      <c r="I750" s="33">
        <f>ROUNDUP(G750+(G750*Assumptions!H$5),-2)</f>
        <v>1344900</v>
      </c>
      <c r="J750" s="33">
        <f>ROUNDUP(I750+(I750*Assumptions!I$5),-2)</f>
        <v>1378600</v>
      </c>
      <c r="K750" s="33">
        <f>ROUNDUP(J750+(J750*Assumptions!J$5),-2)</f>
        <v>1413100</v>
      </c>
      <c r="L750" s="33">
        <f>ROUNDUP(K750+(K750*Assumptions!K$5),-2)</f>
        <v>1448500</v>
      </c>
      <c r="M750" s="33">
        <f>ROUNDUP(L750+(L750*Assumptions!L$5),-2)</f>
        <v>1477500</v>
      </c>
      <c r="N750" s="33">
        <f>ROUNDUP(M750+(M750*Assumptions!M$5),-2)</f>
        <v>1507100</v>
      </c>
      <c r="O750" s="33">
        <f>ROUNDUP(N750+(N750*Assumptions!N$5),-2)</f>
        <v>1537300</v>
      </c>
      <c r="P750" s="33">
        <f>ROUNDUP(O750+(O750*Assumptions!O$5),-2)</f>
        <v>1568100</v>
      </c>
      <c r="Q750" s="33">
        <f>ROUNDUP(P750+(P750*Assumptions!P$5),-2)</f>
        <v>1599500</v>
      </c>
      <c r="R750" s="114">
        <f>ROUNDUP(Q750+(Q750*Assumptions!Q$5),-2)</f>
        <v>1631500</v>
      </c>
    </row>
    <row r="751" spans="1:18" x14ac:dyDescent="0.2">
      <c r="A751" s="107"/>
      <c r="B751" s="142"/>
      <c r="C751" s="33"/>
      <c r="D751" s="33"/>
      <c r="E751" s="344"/>
      <c r="F751" s="3"/>
      <c r="G751" s="33"/>
      <c r="H751" s="138"/>
      <c r="I751" s="33"/>
      <c r="J751" s="33"/>
      <c r="K751" s="33"/>
      <c r="L751" s="33"/>
      <c r="M751" s="33"/>
      <c r="N751" s="33"/>
      <c r="O751" s="33"/>
      <c r="P751" s="142"/>
      <c r="Q751" s="33"/>
      <c r="R751" s="114"/>
    </row>
    <row r="752" spans="1:18" x14ac:dyDescent="0.2">
      <c r="A752" s="107"/>
      <c r="B752" s="142"/>
      <c r="C752" s="33"/>
      <c r="D752" s="33"/>
      <c r="E752" s="437"/>
      <c r="F752" s="6" t="s">
        <v>2879</v>
      </c>
      <c r="G752" s="33"/>
      <c r="H752" s="138"/>
      <c r="I752" s="33"/>
      <c r="J752" s="33"/>
      <c r="K752" s="33"/>
      <c r="L752" s="33"/>
      <c r="M752" s="33"/>
      <c r="N752" s="33"/>
      <c r="O752" s="33"/>
      <c r="P752" s="142"/>
      <c r="Q752" s="33"/>
      <c r="R752" s="114"/>
    </row>
    <row r="753" spans="1:18" x14ac:dyDescent="0.2">
      <c r="A753" s="107">
        <v>12000</v>
      </c>
      <c r="B753" s="33">
        <v>13400</v>
      </c>
      <c r="C753" s="33">
        <v>10900</v>
      </c>
      <c r="D753" s="33">
        <v>10200</v>
      </c>
      <c r="E753" s="344" t="s">
        <v>2497</v>
      </c>
      <c r="F753" s="3" t="s">
        <v>2774</v>
      </c>
      <c r="G753" s="33">
        <f>11000-1000</f>
        <v>10000</v>
      </c>
      <c r="H753" s="138">
        <f>IF(D753=G753,0,IF(D753=0,100,(G753-D753)/D753*100))</f>
        <v>-1.9607843137254901</v>
      </c>
      <c r="I753" s="33">
        <f>ROUNDUP(G753+(G753*Assumptions!H$5),-2)</f>
        <v>10200</v>
      </c>
      <c r="J753" s="33">
        <f>ROUNDUP(I753+(I753*Assumptions!I$5),-2)</f>
        <v>10500</v>
      </c>
      <c r="K753" s="33">
        <f>ROUNDUP(J753+(J753*Assumptions!J$5),-2)</f>
        <v>10800</v>
      </c>
      <c r="L753" s="33">
        <f>ROUNDUP(K753+(K753*Assumptions!K$5),-2)</f>
        <v>11100</v>
      </c>
      <c r="M753" s="33">
        <f>ROUNDUP(L753+(L753*Assumptions!L$5),-2)</f>
        <v>11400</v>
      </c>
      <c r="N753" s="33">
        <f>ROUNDUP(M753+(M753*Assumptions!M$5),-2)</f>
        <v>11700</v>
      </c>
      <c r="O753" s="33">
        <f>ROUNDUP(N753+(N753*Assumptions!N$5),-2)</f>
        <v>12000</v>
      </c>
      <c r="P753" s="142">
        <f>ROUNDUP(O753+(O753*Assumptions!O$5),-2)</f>
        <v>12300</v>
      </c>
      <c r="Q753" s="33">
        <f>ROUNDUP(P753+(P753*Assumptions!P$5),-2)</f>
        <v>12600</v>
      </c>
      <c r="R753" s="114">
        <f>ROUNDUP(Q753+(Q753*Assumptions!Q$5),-2)</f>
        <v>12900</v>
      </c>
    </row>
    <row r="754" spans="1:18" x14ac:dyDescent="0.2">
      <c r="A754" s="107">
        <v>2900</v>
      </c>
      <c r="B754" s="33">
        <v>3300</v>
      </c>
      <c r="C754" s="33">
        <v>3600</v>
      </c>
      <c r="D754" s="33">
        <v>3900</v>
      </c>
      <c r="E754" s="344" t="s">
        <v>1964</v>
      </c>
      <c r="F754" s="890" t="s">
        <v>1470</v>
      </c>
      <c r="G754" s="33">
        <f>3800+1000</f>
        <v>4800</v>
      </c>
      <c r="H754" s="138">
        <f>IF(D754=G754,0,IF(D754=0,100,(G754-D754)/D754*100))</f>
        <v>23.076923076923077</v>
      </c>
      <c r="I754" s="33">
        <f>ROUNDUP(G754+(G754*Assumptions!H$5),-2)</f>
        <v>4900</v>
      </c>
      <c r="J754" s="33">
        <f>ROUNDUP(I754+(I754*Assumptions!I$5),-2)</f>
        <v>5100</v>
      </c>
      <c r="K754" s="33">
        <f>ROUNDUP(J754+(J754*Assumptions!J$5),-2)</f>
        <v>5300</v>
      </c>
      <c r="L754" s="33">
        <f>ROUNDUP(K754+(K754*Assumptions!K$5),-2)</f>
        <v>5500</v>
      </c>
      <c r="M754" s="33">
        <f>ROUNDUP(L754+(L754*Assumptions!L$5),-2)</f>
        <v>5700</v>
      </c>
      <c r="N754" s="33">
        <f>ROUNDUP(M754+(M754*Assumptions!M$5),-2)</f>
        <v>5900</v>
      </c>
      <c r="O754" s="33">
        <f>ROUNDUP(N754+(N754*Assumptions!N$5),-2)</f>
        <v>6100</v>
      </c>
      <c r="P754" s="142">
        <f>ROUNDUP(O754+(O754*Assumptions!O$5),-2)</f>
        <v>6300</v>
      </c>
      <c r="Q754" s="33">
        <f>ROUNDUP(P754+(P754*Assumptions!P$5),-2)</f>
        <v>6500</v>
      </c>
      <c r="R754" s="114">
        <f>ROUNDUP(Q754+(Q754*Assumptions!Q$5),-2)</f>
        <v>6700</v>
      </c>
    </row>
    <row r="755" spans="1:18" x14ac:dyDescent="0.2">
      <c r="A755" s="107">
        <v>4100</v>
      </c>
      <c r="B755" s="33">
        <v>3300</v>
      </c>
      <c r="C755" s="33">
        <v>5200</v>
      </c>
      <c r="D755" s="33">
        <v>4700</v>
      </c>
      <c r="E755" s="344" t="s">
        <v>2703</v>
      </c>
      <c r="F755" s="3" t="s">
        <v>2193</v>
      </c>
      <c r="G755" s="33">
        <v>5500</v>
      </c>
      <c r="H755" s="138">
        <f>IF(D755=G755,0,IF(D755=0,100,(G755-D755)/D755*100))</f>
        <v>17.021276595744681</v>
      </c>
      <c r="I755" s="33">
        <f>ROUNDUP(G755+(G755*Assumptions!H$5),-2)</f>
        <v>5600</v>
      </c>
      <c r="J755" s="33">
        <f>ROUNDUP(I755+(I755*Assumptions!I$5),-2)</f>
        <v>5800</v>
      </c>
      <c r="K755" s="33">
        <f>ROUNDUP(J755+(J755*Assumptions!J$5),-2)</f>
        <v>6000</v>
      </c>
      <c r="L755" s="33">
        <f>ROUNDUP(K755+(K755*Assumptions!K$5),-2)</f>
        <v>6200</v>
      </c>
      <c r="M755" s="33">
        <f>ROUNDUP(L755+(L755*Assumptions!L$5),-2)</f>
        <v>6400</v>
      </c>
      <c r="N755" s="33">
        <f>ROUNDUP(M755+(M755*Assumptions!M$5),-2)</f>
        <v>6600</v>
      </c>
      <c r="O755" s="33">
        <f>ROUNDUP(N755+(N755*Assumptions!N$5),-2)</f>
        <v>6800</v>
      </c>
      <c r="P755" s="142">
        <f>ROUNDUP(O755+(O755*Assumptions!O$5),-2)</f>
        <v>7000</v>
      </c>
      <c r="Q755" s="33">
        <f>ROUNDUP(P755+(P755*Assumptions!P$5),-2)</f>
        <v>7200</v>
      </c>
      <c r="R755" s="114">
        <f>ROUNDUP(Q755+(Q755*Assumptions!Q$5),-2)</f>
        <v>7400</v>
      </c>
    </row>
    <row r="756" spans="1:18" x14ac:dyDescent="0.2">
      <c r="A756" s="107"/>
      <c r="B756" s="142"/>
      <c r="C756" s="33"/>
      <c r="D756" s="33"/>
      <c r="E756" s="344"/>
      <c r="F756" s="3"/>
      <c r="G756" s="33"/>
      <c r="H756" s="138"/>
      <c r="I756" s="33"/>
      <c r="J756" s="33"/>
      <c r="K756" s="33"/>
      <c r="L756" s="33"/>
      <c r="M756" s="33"/>
      <c r="N756" s="33"/>
      <c r="O756" s="33"/>
      <c r="P756" s="142"/>
      <c r="Q756" s="33"/>
      <c r="R756" s="114"/>
    </row>
    <row r="757" spans="1:18" x14ac:dyDescent="0.2">
      <c r="A757" s="107"/>
      <c r="B757" s="142"/>
      <c r="C757" s="33"/>
      <c r="D757" s="33"/>
      <c r="E757" s="344"/>
      <c r="F757" s="6" t="s">
        <v>1155</v>
      </c>
      <c r="G757" s="33"/>
      <c r="H757" s="138"/>
      <c r="I757" s="33"/>
      <c r="J757" s="33"/>
      <c r="K757" s="33"/>
      <c r="L757" s="33"/>
      <c r="M757" s="33"/>
      <c r="N757" s="33"/>
      <c r="O757" s="33"/>
      <c r="P757" s="142"/>
      <c r="Q757" s="33"/>
      <c r="R757" s="114"/>
    </row>
    <row r="758" spans="1:18" x14ac:dyDescent="0.2">
      <c r="A758" s="107">
        <v>28700</v>
      </c>
      <c r="B758" s="33">
        <v>26700</v>
      </c>
      <c r="C758" s="33">
        <v>29100</v>
      </c>
      <c r="D758" s="33">
        <v>26100</v>
      </c>
      <c r="E758" s="344" t="s">
        <v>2498</v>
      </c>
      <c r="F758" s="3" t="s">
        <v>720</v>
      </c>
      <c r="G758" s="33">
        <v>34000</v>
      </c>
      <c r="H758" s="138">
        <f>IF(D758=G758,0,IF(D758=0,100,(G758-D758)/D758*100))</f>
        <v>30.268199233716476</v>
      </c>
      <c r="I758" s="33">
        <v>30000</v>
      </c>
      <c r="J758" s="33">
        <f>ROUNDUP(I758+(I758*Assumptions!I$5),-2)</f>
        <v>30800</v>
      </c>
      <c r="K758" s="33">
        <f>ROUNDUP(J758+(J758*Assumptions!J$5),-2)</f>
        <v>31600</v>
      </c>
      <c r="L758" s="33">
        <f>ROUNDUP(K758+(K758*Assumptions!K$5),-2)</f>
        <v>32400</v>
      </c>
      <c r="M758" s="33">
        <f>ROUNDUP(L758+(L758*Assumptions!L$5),-2)</f>
        <v>33100</v>
      </c>
      <c r="N758" s="33">
        <f>ROUNDUP(M758+(M758*Assumptions!M$5),-2)</f>
        <v>33800</v>
      </c>
      <c r="O758" s="33">
        <f>ROUNDUP(N758+(N758*Assumptions!N$5),-2)</f>
        <v>34500</v>
      </c>
      <c r="P758" s="142">
        <f>ROUNDUP(O758+(O758*Assumptions!O$5),-2)</f>
        <v>35200</v>
      </c>
      <c r="Q758" s="33">
        <f>ROUNDUP(P758+(P758*Assumptions!P$5),-2)</f>
        <v>36000</v>
      </c>
      <c r="R758" s="114">
        <f>ROUNDUP(Q758+(Q758*Assumptions!Q$5),-2)</f>
        <v>36800</v>
      </c>
    </row>
    <row r="759" spans="1:18" x14ac:dyDescent="0.2">
      <c r="A759" s="107">
        <v>30900</v>
      </c>
      <c r="B759" s="33">
        <v>34400</v>
      </c>
      <c r="C759" s="33">
        <v>22600</v>
      </c>
      <c r="D759" s="33">
        <v>33100</v>
      </c>
      <c r="E759" s="344" t="s">
        <v>637</v>
      </c>
      <c r="F759" s="3" t="s">
        <v>1526</v>
      </c>
      <c r="G759" s="33">
        <v>34000</v>
      </c>
      <c r="H759" s="138">
        <f>IF(D759=G759,0,IF(D759=0,100,(G759-D759)/D759*100))</f>
        <v>2.7190332326283988</v>
      </c>
      <c r="I759" s="33">
        <v>30000</v>
      </c>
      <c r="J759" s="33">
        <f>ROUNDUP(I759+(I759*Assumptions!I$5),-2)</f>
        <v>30800</v>
      </c>
      <c r="K759" s="33">
        <f>ROUNDUP(J759+(J759*Assumptions!J$5),-2)</f>
        <v>31600</v>
      </c>
      <c r="L759" s="33">
        <f>ROUNDUP(K759+(K759*Assumptions!K$5),-2)</f>
        <v>32400</v>
      </c>
      <c r="M759" s="33">
        <f>ROUNDUP(L759+(L759*Assumptions!L$5),-2)</f>
        <v>33100</v>
      </c>
      <c r="N759" s="33">
        <f>ROUNDUP(M759+(M759*Assumptions!M$5),-2)</f>
        <v>33800</v>
      </c>
      <c r="O759" s="33">
        <f>ROUNDUP(N759+(N759*Assumptions!N$5),-2)</f>
        <v>34500</v>
      </c>
      <c r="P759" s="142">
        <f>ROUNDUP(O759+(O759*Assumptions!O$5),-2)</f>
        <v>35200</v>
      </c>
      <c r="Q759" s="33">
        <f>ROUNDUP(P759+(P759*Assumptions!P$5),-2)</f>
        <v>36000</v>
      </c>
      <c r="R759" s="114">
        <f>ROUNDUP(Q759+(Q759*Assumptions!Q$5),-2)</f>
        <v>36800</v>
      </c>
    </row>
    <row r="760" spans="1:18" x14ac:dyDescent="0.2">
      <c r="A760" s="107">
        <v>3700</v>
      </c>
      <c r="B760" s="33">
        <v>300</v>
      </c>
      <c r="C760" s="33">
        <v>1000</v>
      </c>
      <c r="D760" s="33">
        <v>600</v>
      </c>
      <c r="E760" s="344" t="s">
        <v>638</v>
      </c>
      <c r="F760" s="3" t="s">
        <v>676</v>
      </c>
      <c r="G760" s="33">
        <v>2000</v>
      </c>
      <c r="H760" s="138">
        <f>IF(D760=G760,0,IF(D760=0,100,(G760-D760)/D760*100))</f>
        <v>233.33333333333334</v>
      </c>
      <c r="I760" s="33">
        <v>2000</v>
      </c>
      <c r="J760" s="33">
        <f>ROUNDUP(I760+(I760*Assumptions!I$5),-2)</f>
        <v>2100</v>
      </c>
      <c r="K760" s="33">
        <f>ROUNDUP(J760+(J760*Assumptions!J$5),-2)</f>
        <v>2200</v>
      </c>
      <c r="L760" s="33">
        <f>ROUNDUP(K760+(K760*Assumptions!K$5),-2)</f>
        <v>2300</v>
      </c>
      <c r="M760" s="33">
        <f>ROUNDUP(L760+(L760*Assumptions!L$5),-2)</f>
        <v>2400</v>
      </c>
      <c r="N760" s="33">
        <f>ROUNDUP(M760+(M760*Assumptions!M$5),-2)</f>
        <v>2500</v>
      </c>
      <c r="O760" s="33">
        <f>ROUNDUP(N760+(N760*Assumptions!N$5),-2)</f>
        <v>2600</v>
      </c>
      <c r="P760" s="142">
        <f>ROUNDUP(O760+(O760*Assumptions!O$5),-2)</f>
        <v>2700</v>
      </c>
      <c r="Q760" s="33">
        <f>ROUNDUP(P760+(P760*Assumptions!P$5),-2)</f>
        <v>2800</v>
      </c>
      <c r="R760" s="114">
        <f>ROUNDUP(Q760+(Q760*Assumptions!Q$5),-2)</f>
        <v>2900</v>
      </c>
    </row>
    <row r="761" spans="1:18" x14ac:dyDescent="0.2">
      <c r="A761" s="107"/>
      <c r="B761" s="142"/>
      <c r="C761" s="33"/>
      <c r="D761" s="33"/>
      <c r="E761" s="445"/>
      <c r="F761" s="3"/>
      <c r="G761" s="33"/>
      <c r="H761" s="138"/>
      <c r="I761" s="33"/>
      <c r="J761" s="33"/>
      <c r="K761" s="33"/>
      <c r="L761" s="33"/>
      <c r="M761" s="33"/>
      <c r="N761" s="33"/>
      <c r="O761" s="33"/>
      <c r="P761" s="142"/>
      <c r="Q761" s="33"/>
      <c r="R761" s="114"/>
    </row>
    <row r="762" spans="1:18" x14ac:dyDescent="0.2">
      <c r="A762" s="107"/>
      <c r="B762" s="142"/>
      <c r="C762" s="33"/>
      <c r="D762" s="33"/>
      <c r="E762" s="437"/>
      <c r="F762" s="6" t="s">
        <v>416</v>
      </c>
      <c r="G762" s="33"/>
      <c r="H762" s="138"/>
      <c r="I762" s="33"/>
      <c r="J762" s="33"/>
      <c r="K762" s="33"/>
      <c r="L762" s="33"/>
      <c r="M762" s="33"/>
      <c r="N762" s="33"/>
      <c r="O762" s="33"/>
      <c r="P762" s="142"/>
      <c r="Q762" s="33"/>
      <c r="R762" s="114"/>
    </row>
    <row r="763" spans="1:18" x14ac:dyDescent="0.2">
      <c r="A763" s="107">
        <v>1200</v>
      </c>
      <c r="B763" s="33">
        <v>1100</v>
      </c>
      <c r="C763" s="33">
        <v>1100</v>
      </c>
      <c r="D763" s="33">
        <v>1100</v>
      </c>
      <c r="E763" s="344" t="s">
        <v>2496</v>
      </c>
      <c r="F763" s="890" t="s">
        <v>2891</v>
      </c>
      <c r="G763" s="33">
        <v>1500</v>
      </c>
      <c r="H763" s="138">
        <f>IF(D763=G763,0,IF(D763=0,100,(G763-D763)/D763*100))</f>
        <v>36.363636363636367</v>
      </c>
      <c r="I763" s="33">
        <f>ROUNDUP(G763+(G763*Assumptions!H$5),-2)</f>
        <v>1600</v>
      </c>
      <c r="J763" s="33">
        <f>ROUNDUP(I763+(I763*Assumptions!I$5),-2)</f>
        <v>1700</v>
      </c>
      <c r="K763" s="33">
        <f>ROUNDUP(J763+(J763*Assumptions!J$5),-2)</f>
        <v>1800</v>
      </c>
      <c r="L763" s="33">
        <f>ROUNDUP(K763+(K763*Assumptions!K$5),-2)</f>
        <v>1900</v>
      </c>
      <c r="M763" s="33">
        <f>ROUNDUP(L763+(L763*Assumptions!L$5),-2)</f>
        <v>2000</v>
      </c>
      <c r="N763" s="33">
        <f>ROUNDUP(M763+(M763*Assumptions!M$5),-2)</f>
        <v>2100</v>
      </c>
      <c r="O763" s="33">
        <f>ROUNDUP(N763+(N763*Assumptions!N$5),-2)</f>
        <v>2200</v>
      </c>
      <c r="P763" s="142">
        <f>ROUNDUP(O763+(O763*Assumptions!O$5),-2)</f>
        <v>2300</v>
      </c>
      <c r="Q763" s="33">
        <f>ROUNDUP(P763+(P763*Assumptions!P$5),-2)</f>
        <v>2400</v>
      </c>
      <c r="R763" s="114">
        <f>ROUNDUP(Q763+(Q763*Assumptions!Q$5),-2)</f>
        <v>2500</v>
      </c>
    </row>
    <row r="764" spans="1:18" x14ac:dyDescent="0.2">
      <c r="A764" s="107">
        <v>14600</v>
      </c>
      <c r="B764" s="33">
        <v>15800</v>
      </c>
      <c r="C764" s="33">
        <v>16100</v>
      </c>
      <c r="D764" s="33">
        <v>15700</v>
      </c>
      <c r="E764" s="344" t="s">
        <v>635</v>
      </c>
      <c r="F764" s="890" t="s">
        <v>4683</v>
      </c>
      <c r="G764" s="33">
        <v>17000</v>
      </c>
      <c r="H764" s="138">
        <f>IF(D764=G764,0,IF(D764=0,100,(G764-D764)/D764*100))</f>
        <v>8.2802547770700627</v>
      </c>
      <c r="I764" s="33">
        <f>ROUNDUP(G764+(G764*Assumptions!H$5),-2)</f>
        <v>17300</v>
      </c>
      <c r="J764" s="33">
        <f>ROUNDUP(I764+(I764*Assumptions!I$5),-2)</f>
        <v>17800</v>
      </c>
      <c r="K764" s="33">
        <f>ROUNDUP(J764+(J764*Assumptions!J$5),-2)</f>
        <v>18300</v>
      </c>
      <c r="L764" s="33">
        <f>ROUNDUP(K764+(K764*Assumptions!K$5),-2)</f>
        <v>18800</v>
      </c>
      <c r="M764" s="33">
        <f>ROUNDUP(L764+(L764*Assumptions!L$5),-2)</f>
        <v>19200</v>
      </c>
      <c r="N764" s="33">
        <f>ROUNDUP(M764+(M764*Assumptions!M$5),-2)</f>
        <v>19600</v>
      </c>
      <c r="O764" s="33">
        <f>ROUNDUP(N764+(N764*Assumptions!N$5),-2)</f>
        <v>20000</v>
      </c>
      <c r="P764" s="142">
        <f>ROUNDUP(O764+(O764*Assumptions!O$5),-2)</f>
        <v>20400</v>
      </c>
      <c r="Q764" s="33">
        <f>ROUNDUP(P764+(P764*Assumptions!P$5),-2)</f>
        <v>20900</v>
      </c>
      <c r="R764" s="114">
        <f>ROUNDUP(Q764+(Q764*Assumptions!Q$5),-2)</f>
        <v>21400</v>
      </c>
    </row>
    <row r="765" spans="1:18" x14ac:dyDescent="0.2">
      <c r="A765" s="107"/>
      <c r="B765" s="142"/>
      <c r="C765" s="33"/>
      <c r="D765" s="33"/>
      <c r="E765" s="344"/>
      <c r="F765" s="890"/>
      <c r="G765" s="33"/>
      <c r="H765" s="138"/>
      <c r="I765" s="33"/>
      <c r="J765" s="33"/>
      <c r="K765" s="33"/>
      <c r="L765" s="33"/>
      <c r="M765" s="33"/>
      <c r="N765" s="33"/>
      <c r="O765" s="33"/>
      <c r="P765" s="142"/>
      <c r="Q765" s="33"/>
      <c r="R765" s="114"/>
    </row>
    <row r="766" spans="1:18" s="118" customFormat="1" x14ac:dyDescent="0.2">
      <c r="A766" s="292"/>
      <c r="B766" s="160"/>
      <c r="C766" s="116"/>
      <c r="D766" s="116"/>
      <c r="E766" s="1303"/>
      <c r="F766" s="8" t="s">
        <v>3551</v>
      </c>
      <c r="G766" s="116"/>
      <c r="H766" s="323"/>
      <c r="I766" s="116"/>
      <c r="J766" s="116"/>
      <c r="K766" s="116"/>
      <c r="L766" s="116"/>
      <c r="M766" s="116"/>
      <c r="N766" s="116"/>
      <c r="O766" s="116"/>
      <c r="P766" s="160"/>
      <c r="Q766" s="116"/>
      <c r="R766" s="159"/>
    </row>
    <row r="767" spans="1:18" x14ac:dyDescent="0.2">
      <c r="A767" s="107">
        <v>34000</v>
      </c>
      <c r="B767" s="142">
        <v>15600</v>
      </c>
      <c r="C767" s="33">
        <v>37100</v>
      </c>
      <c r="D767" s="33">
        <v>25600</v>
      </c>
      <c r="E767" s="344" t="s">
        <v>636</v>
      </c>
      <c r="F767" s="3" t="s">
        <v>159</v>
      </c>
      <c r="G767" s="33">
        <f>64200+41000</f>
        <v>105200</v>
      </c>
      <c r="H767" s="138">
        <f>IF(D767=G767,0,IF(D767=0,100,(G767-D767)/D767*100))</f>
        <v>310.9375</v>
      </c>
      <c r="I767" s="33">
        <v>0</v>
      </c>
      <c r="J767" s="33">
        <f>ROUNDUP(I767+(I767*Assumptions!I$5),-2)</f>
        <v>0</v>
      </c>
      <c r="K767" s="33">
        <f>ROUNDUP(J767+(J767*Assumptions!J$5),-2)</f>
        <v>0</v>
      </c>
      <c r="L767" s="33">
        <f>ROUNDUP(K767+(K767*Assumptions!K$5),-2)</f>
        <v>0</v>
      </c>
      <c r="M767" s="33">
        <f>ROUNDUP(L767+(L767*Assumptions!L$5),-2)</f>
        <v>0</v>
      </c>
      <c r="N767" s="33">
        <f>ROUNDUP(M767+(M767*Assumptions!M$5),-2)</f>
        <v>0</v>
      </c>
      <c r="O767" s="33">
        <f>ROUNDUP(N767+(N767*Assumptions!N$5),-2)</f>
        <v>0</v>
      </c>
      <c r="P767" s="142">
        <f>ROUNDUP(O767+(O767*Assumptions!O$5),-2)</f>
        <v>0</v>
      </c>
      <c r="Q767" s="33">
        <f>ROUNDUP(P767+(P767*Assumptions!P$5),-2)</f>
        <v>0</v>
      </c>
      <c r="R767" s="114">
        <f>ROUNDUP(Q767+(Q767*Assumptions!Q$5),-2)</f>
        <v>0</v>
      </c>
    </row>
    <row r="768" spans="1:18" x14ac:dyDescent="0.2">
      <c r="A768" s="107"/>
      <c r="B768" s="142"/>
      <c r="C768" s="616"/>
      <c r="D768" s="33"/>
      <c r="E768" s="344"/>
      <c r="F768" s="3"/>
      <c r="G768" s="33"/>
      <c r="H768" s="138"/>
      <c r="I768" s="33"/>
      <c r="J768" s="33"/>
      <c r="K768" s="33"/>
      <c r="L768" s="33"/>
      <c r="M768" s="33"/>
      <c r="N768" s="33"/>
      <c r="O768" s="33"/>
      <c r="P768" s="142"/>
      <c r="Q768" s="33"/>
      <c r="R768" s="114"/>
    </row>
    <row r="769" spans="1:18" x14ac:dyDescent="0.2">
      <c r="A769" s="107"/>
      <c r="B769" s="142"/>
      <c r="C769" s="33"/>
      <c r="D769" s="33"/>
      <c r="E769" s="344"/>
      <c r="F769" s="6" t="s">
        <v>2238</v>
      </c>
      <c r="G769" s="33"/>
      <c r="H769" s="138"/>
      <c r="I769" s="33"/>
      <c r="J769" s="33"/>
      <c r="K769" s="33"/>
      <c r="L769" s="33"/>
      <c r="M769" s="33"/>
      <c r="N769" s="33"/>
      <c r="O769" s="33"/>
      <c r="P769" s="142"/>
      <c r="Q769" s="33"/>
      <c r="R769" s="114"/>
    </row>
    <row r="770" spans="1:18" x14ac:dyDescent="0.2">
      <c r="A770" s="107">
        <v>0</v>
      </c>
      <c r="B770" s="33">
        <v>0</v>
      </c>
      <c r="C770" s="33">
        <v>0</v>
      </c>
      <c r="D770" s="33">
        <v>0</v>
      </c>
      <c r="E770" s="344" t="s">
        <v>2247</v>
      </c>
      <c r="F770" s="3" t="s">
        <v>2716</v>
      </c>
      <c r="G770" s="33">
        <v>0</v>
      </c>
      <c r="H770" s="138">
        <f>IF(D770=G770,0,IF(D770=0,100,(G770-D770)/D770*100))</f>
        <v>0</v>
      </c>
      <c r="I770" s="33">
        <v>0</v>
      </c>
      <c r="J770" s="33">
        <v>0</v>
      </c>
      <c r="K770" s="33">
        <v>0</v>
      </c>
      <c r="L770" s="33">
        <v>0</v>
      </c>
      <c r="M770" s="33">
        <v>0</v>
      </c>
      <c r="N770" s="33">
        <v>0</v>
      </c>
      <c r="O770" s="33">
        <v>0</v>
      </c>
      <c r="P770" s="142">
        <v>0</v>
      </c>
      <c r="Q770" s="33">
        <v>0</v>
      </c>
      <c r="R770" s="114">
        <v>0</v>
      </c>
    </row>
    <row r="771" spans="1:18" x14ac:dyDescent="0.2">
      <c r="A771" s="107"/>
      <c r="B771" s="33"/>
      <c r="C771" s="33"/>
      <c r="D771" s="33"/>
      <c r="E771" s="344"/>
      <c r="F771" s="3"/>
      <c r="G771" s="33"/>
      <c r="H771" s="138"/>
      <c r="I771" s="33"/>
      <c r="J771" s="33"/>
      <c r="K771" s="33"/>
      <c r="L771" s="33"/>
      <c r="M771" s="33"/>
      <c r="N771" s="33"/>
      <c r="O771" s="33"/>
      <c r="P771" s="142"/>
      <c r="Q771" s="33"/>
      <c r="R771" s="114"/>
    </row>
    <row r="772" spans="1:18" x14ac:dyDescent="0.2">
      <c r="A772" s="107"/>
      <c r="B772" s="33"/>
      <c r="C772" s="33"/>
      <c r="D772" s="33"/>
      <c r="E772" s="344"/>
      <c r="F772" s="2529" t="s">
        <v>265</v>
      </c>
      <c r="G772" s="33"/>
      <c r="H772" s="138"/>
      <c r="I772" s="33"/>
      <c r="J772" s="33"/>
      <c r="K772" s="33"/>
      <c r="L772" s="33"/>
      <c r="M772" s="33"/>
      <c r="N772" s="33"/>
      <c r="O772" s="33"/>
      <c r="P772" s="142"/>
      <c r="Q772" s="33"/>
      <c r="R772" s="114"/>
    </row>
    <row r="773" spans="1:18" x14ac:dyDescent="0.2">
      <c r="A773" s="107">
        <v>173000</v>
      </c>
      <c r="B773" s="33">
        <f>314900-45000</f>
        <v>269900</v>
      </c>
      <c r="C773" s="33">
        <v>148500</v>
      </c>
      <c r="D773" s="33">
        <v>152000</v>
      </c>
      <c r="E773" s="344" t="s">
        <v>640</v>
      </c>
      <c r="F773" s="890" t="s">
        <v>3718</v>
      </c>
      <c r="G773" s="33">
        <v>149000</v>
      </c>
      <c r="H773" s="138">
        <f>IF(D773=G773,0,IF(D773=0,100,(G773-D773)/D773*100))</f>
        <v>-1.9736842105263157</v>
      </c>
      <c r="I773" s="33">
        <f>ROUNDUP(G773+(G773*Assumptions!H$18),-2)</f>
        <v>152000</v>
      </c>
      <c r="J773" s="33">
        <f>ROUNDUP(I773+(I773*Assumptions!I$18),-2)</f>
        <v>155100</v>
      </c>
      <c r="K773" s="33">
        <f>ROUNDUP(J773+(J773*Assumptions!J$18),-2)</f>
        <v>158300</v>
      </c>
      <c r="L773" s="33">
        <f>ROUNDUP(K773+(K773*Assumptions!K$18),-2)</f>
        <v>161500</v>
      </c>
      <c r="M773" s="33">
        <f>ROUNDUP(L773+(L773*Assumptions!L$18),-2)</f>
        <v>164800</v>
      </c>
      <c r="N773" s="33">
        <f>ROUNDUP(M773+(M773*Assumptions!M$18),-2)</f>
        <v>168100</v>
      </c>
      <c r="O773" s="33">
        <f>ROUNDUP(N773+(N773*Assumptions!N$18),-2)</f>
        <v>171500</v>
      </c>
      <c r="P773" s="142">
        <f>ROUNDUP(O773+(O773*Assumptions!O$18),-2)</f>
        <v>175000</v>
      </c>
      <c r="Q773" s="33">
        <f>ROUNDUP(P773+(P773*Assumptions!P$18),-2)</f>
        <v>178500</v>
      </c>
      <c r="R773" s="114">
        <f>ROUNDUP(Q773+(Q773*Assumptions!Q$18),-2)</f>
        <v>182100</v>
      </c>
    </row>
    <row r="774" spans="1:18" ht="13.5" thickBot="1" x14ac:dyDescent="0.25">
      <c r="A774" s="70"/>
      <c r="B774" s="128"/>
      <c r="C774" s="64"/>
      <c r="D774" s="64"/>
      <c r="E774" s="343"/>
      <c r="F774" s="79"/>
      <c r="G774" s="33"/>
      <c r="H774" s="179"/>
      <c r="I774" s="33"/>
      <c r="J774" s="33"/>
      <c r="K774" s="33"/>
      <c r="L774" s="33"/>
      <c r="M774" s="33"/>
      <c r="N774" s="33"/>
      <c r="O774" s="33"/>
      <c r="P774" s="142"/>
      <c r="Q774" s="33"/>
      <c r="R774" s="114"/>
    </row>
    <row r="775" spans="1:18" s="92" customFormat="1" x14ac:dyDescent="0.2">
      <c r="A775" s="105">
        <f>SUM(A747:A774)</f>
        <v>1513800</v>
      </c>
      <c r="B775" s="155">
        <f>SUM(B747:B774)</f>
        <v>1637100</v>
      </c>
      <c r="C775" s="53">
        <f>SUM(C747:C774)</f>
        <v>1549900</v>
      </c>
      <c r="D775" s="53">
        <f>SUM(D747:D774)</f>
        <v>1571000</v>
      </c>
      <c r="E775" s="282"/>
      <c r="F775" s="1960" t="s">
        <v>565</v>
      </c>
      <c r="G775" s="53">
        <f t="shared" ref="G775:P775" si="649">SUM(G747:G774)</f>
        <v>1688000</v>
      </c>
      <c r="H775" s="180">
        <f>IF(D775=G775,0,IF(D775=0,100,(G775-D775)/D775*100))</f>
        <v>7.4474856779121579</v>
      </c>
      <c r="I775" s="53">
        <f t="shared" si="649"/>
        <v>1598500</v>
      </c>
      <c r="J775" s="53">
        <f t="shared" si="649"/>
        <v>1638300</v>
      </c>
      <c r="K775" s="53">
        <f t="shared" si="649"/>
        <v>1679000</v>
      </c>
      <c r="L775" s="53">
        <f t="shared" si="649"/>
        <v>1720600</v>
      </c>
      <c r="M775" s="53">
        <f t="shared" si="649"/>
        <v>1755600</v>
      </c>
      <c r="N775" s="53">
        <f t="shared" si="649"/>
        <v>1791200</v>
      </c>
      <c r="O775" s="53">
        <f t="shared" si="649"/>
        <v>1827500</v>
      </c>
      <c r="P775" s="155">
        <f t="shared" si="649"/>
        <v>1864500</v>
      </c>
      <c r="Q775" s="53">
        <f t="shared" ref="Q775" si="650">SUM(Q747:Q774)</f>
        <v>1902400</v>
      </c>
      <c r="R775" s="113">
        <f t="shared" ref="R775" si="651">SUM(R747:R774)</f>
        <v>1941000</v>
      </c>
    </row>
    <row r="776" spans="1:18" x14ac:dyDescent="0.2">
      <c r="A776" s="107"/>
      <c r="B776" s="33"/>
      <c r="C776" s="33"/>
      <c r="D776" s="33"/>
      <c r="E776" s="255"/>
      <c r="F776" s="108"/>
      <c r="G776" s="33"/>
      <c r="H776" s="138"/>
      <c r="I776" s="33"/>
      <c r="J776" s="33"/>
      <c r="K776" s="33"/>
      <c r="L776" s="33"/>
      <c r="M776" s="33"/>
      <c r="N776" s="33"/>
      <c r="O776" s="33"/>
      <c r="P776" s="142"/>
      <c r="Q776" s="33"/>
      <c r="R776" s="114"/>
    </row>
    <row r="777" spans="1:18" s="92" customFormat="1" x14ac:dyDescent="0.2">
      <c r="A777" s="70">
        <f>A745-A775</f>
        <v>-1398200</v>
      </c>
      <c r="B777" s="64">
        <f>B745-B775</f>
        <v>-1526700</v>
      </c>
      <c r="C777" s="64">
        <f>C745-C775</f>
        <v>-1413600</v>
      </c>
      <c r="D777" s="64">
        <f>D745-D775</f>
        <v>-1459100</v>
      </c>
      <c r="E777" s="282"/>
      <c r="F777" s="522" t="s">
        <v>1019</v>
      </c>
      <c r="G777" s="64">
        <f t="shared" ref="G777:P777" si="652">G745-G775</f>
        <v>-1569400</v>
      </c>
      <c r="H777" s="179">
        <f>IF(D777=G777,0,IF(D777=0,100,(G777-D777)/D777*100))</f>
        <v>7.5594544582276741</v>
      </c>
      <c r="I777" s="64">
        <f t="shared" si="652"/>
        <v>-1519700</v>
      </c>
      <c r="J777" s="64">
        <f t="shared" si="652"/>
        <v>-1557500</v>
      </c>
      <c r="K777" s="64">
        <f t="shared" si="652"/>
        <v>-1596100</v>
      </c>
      <c r="L777" s="64">
        <f t="shared" si="652"/>
        <v>-1635600</v>
      </c>
      <c r="M777" s="64">
        <f t="shared" si="652"/>
        <v>-1668900</v>
      </c>
      <c r="N777" s="64">
        <f t="shared" si="652"/>
        <v>-1702700</v>
      </c>
      <c r="O777" s="64">
        <f t="shared" si="652"/>
        <v>-1737200</v>
      </c>
      <c r="P777" s="128">
        <f t="shared" si="652"/>
        <v>-1772300</v>
      </c>
      <c r="Q777" s="64">
        <f t="shared" ref="Q777" si="653">Q745-Q775</f>
        <v>-1808300</v>
      </c>
      <c r="R777" s="115">
        <f t="shared" ref="R777" si="654">R745-R775</f>
        <v>-1845000</v>
      </c>
    </row>
    <row r="778" spans="1:18" x14ac:dyDescent="0.2">
      <c r="A778" s="107">
        <f t="shared" ref="A778:B778" si="655">A773</f>
        <v>173000</v>
      </c>
      <c r="B778" s="33">
        <f t="shared" si="655"/>
        <v>269900</v>
      </c>
      <c r="C778" s="33">
        <f>C773</f>
        <v>148500</v>
      </c>
      <c r="D778" s="33">
        <f>D773</f>
        <v>152000</v>
      </c>
      <c r="E778" s="255"/>
      <c r="F778" s="320" t="s">
        <v>1976</v>
      </c>
      <c r="G778" s="33">
        <f t="shared" ref="G778:O778" si="656">G773</f>
        <v>149000</v>
      </c>
      <c r="H778" s="138">
        <f>IF(D778=G778,0,IF(D778=0,100,(G778-D778)/D778*100))</f>
        <v>-1.9736842105263157</v>
      </c>
      <c r="I778" s="33">
        <f t="shared" si="656"/>
        <v>152000</v>
      </c>
      <c r="J778" s="33">
        <f t="shared" si="656"/>
        <v>155100</v>
      </c>
      <c r="K778" s="33">
        <f t="shared" si="656"/>
        <v>158300</v>
      </c>
      <c r="L778" s="33">
        <f t="shared" si="656"/>
        <v>161500</v>
      </c>
      <c r="M778" s="33">
        <f t="shared" si="656"/>
        <v>164800</v>
      </c>
      <c r="N778" s="33">
        <f t="shared" si="656"/>
        <v>168100</v>
      </c>
      <c r="O778" s="33">
        <f t="shared" si="656"/>
        <v>171500</v>
      </c>
      <c r="P778" s="142">
        <f t="shared" ref="P778:Q778" si="657">P773</f>
        <v>175000</v>
      </c>
      <c r="Q778" s="33">
        <f t="shared" si="657"/>
        <v>178500</v>
      </c>
      <c r="R778" s="114">
        <f t="shared" ref="R778" si="658">R773</f>
        <v>182100</v>
      </c>
    </row>
    <row r="779" spans="1:18" s="92" customFormat="1" x14ac:dyDescent="0.2">
      <c r="A779" s="181">
        <f>A777+A778</f>
        <v>-1225200</v>
      </c>
      <c r="B779" s="397">
        <f>B777+B778</f>
        <v>-1256800</v>
      </c>
      <c r="C779" s="397">
        <f>C777+C778</f>
        <v>-1265100</v>
      </c>
      <c r="D779" s="397">
        <f>D777+D778</f>
        <v>-1307100</v>
      </c>
      <c r="E779" s="514"/>
      <c r="F779" s="515" t="s">
        <v>1687</v>
      </c>
      <c r="G779" s="397">
        <f t="shared" ref="G779:O779" si="659">G777+G778</f>
        <v>-1420400</v>
      </c>
      <c r="H779" s="395">
        <f>IF(D779=G779,0,IF(D779=0,100,(G779-D779)/D779*100))</f>
        <v>8.6680437609976284</v>
      </c>
      <c r="I779" s="397">
        <f t="shared" si="659"/>
        <v>-1367700</v>
      </c>
      <c r="J779" s="397">
        <f t="shared" si="659"/>
        <v>-1402400</v>
      </c>
      <c r="K779" s="397">
        <f t="shared" si="659"/>
        <v>-1437800</v>
      </c>
      <c r="L779" s="397">
        <f t="shared" si="659"/>
        <v>-1474100</v>
      </c>
      <c r="M779" s="397">
        <f t="shared" si="659"/>
        <v>-1504100</v>
      </c>
      <c r="N779" s="397">
        <f t="shared" si="659"/>
        <v>-1534600</v>
      </c>
      <c r="O779" s="397">
        <f t="shared" si="659"/>
        <v>-1565700</v>
      </c>
      <c r="P779" s="377">
        <f t="shared" ref="P779:Q779" si="660">P777+P778</f>
        <v>-1597300</v>
      </c>
      <c r="Q779" s="397">
        <f t="shared" si="660"/>
        <v>-1629800</v>
      </c>
      <c r="R779" s="399">
        <f t="shared" ref="R779" si="661">R777+R778</f>
        <v>-1662900</v>
      </c>
    </row>
    <row r="780" spans="1:18" ht="13.5" thickBot="1" x14ac:dyDescent="0.25">
      <c r="A780" s="73"/>
      <c r="B780" s="90"/>
      <c r="C780" s="90"/>
      <c r="D780" s="90"/>
      <c r="E780" s="285"/>
      <c r="F780" s="141"/>
      <c r="G780" s="66"/>
      <c r="H780" s="392"/>
      <c r="I780" s="121"/>
      <c r="J780" s="121"/>
      <c r="K780" s="121"/>
      <c r="L780" s="121"/>
      <c r="M780" s="121"/>
      <c r="N780" s="121"/>
      <c r="O780" s="121"/>
      <c r="P780" s="95"/>
      <c r="Q780" s="121"/>
      <c r="R780" s="161"/>
    </row>
    <row r="781" spans="1:18" ht="13.5" thickTop="1" x14ac:dyDescent="0.2">
      <c r="A781" s="383"/>
      <c r="B781" s="122"/>
      <c r="C781" s="162"/>
      <c r="D781" s="162"/>
      <c r="E781" s="286"/>
      <c r="F781" s="640"/>
      <c r="G781" s="127"/>
      <c r="H781" s="505"/>
      <c r="I781" s="127"/>
      <c r="J781" s="127"/>
      <c r="K781" s="127"/>
      <c r="L781" s="127"/>
      <c r="M781" s="127"/>
      <c r="N781" s="127"/>
      <c r="O781" s="127"/>
      <c r="P781" s="164"/>
      <c r="Q781" s="127"/>
      <c r="R781" s="163"/>
    </row>
    <row r="782" spans="1:18" x14ac:dyDescent="0.2">
      <c r="A782" s="70"/>
      <c r="B782" s="128"/>
      <c r="C782" s="64"/>
      <c r="D782" s="64"/>
      <c r="E782" s="283"/>
      <c r="F782" s="1962" t="s">
        <v>196</v>
      </c>
      <c r="G782" s="33"/>
      <c r="H782" s="179"/>
      <c r="I782" s="33"/>
      <c r="J782" s="33"/>
      <c r="K782" s="33"/>
      <c r="L782" s="33"/>
      <c r="M782" s="33"/>
      <c r="N782" s="33"/>
      <c r="O782" s="33"/>
      <c r="P782" s="142"/>
      <c r="Q782" s="33"/>
      <c r="R782" s="114"/>
    </row>
    <row r="783" spans="1:18" x14ac:dyDescent="0.2">
      <c r="A783" s="70"/>
      <c r="B783" s="128"/>
      <c r="C783" s="64"/>
      <c r="D783" s="64"/>
      <c r="E783" s="283"/>
      <c r="F783" s="175"/>
      <c r="G783" s="33"/>
      <c r="H783" s="179"/>
      <c r="I783" s="33"/>
      <c r="J783" s="33"/>
      <c r="K783" s="33"/>
      <c r="L783" s="33"/>
      <c r="M783" s="33"/>
      <c r="N783" s="33"/>
      <c r="O783" s="33"/>
      <c r="P783" s="142"/>
      <c r="Q783" s="33"/>
      <c r="R783" s="114"/>
    </row>
    <row r="784" spans="1:18" x14ac:dyDescent="0.2">
      <c r="A784" s="107">
        <v>0</v>
      </c>
      <c r="B784" s="142">
        <v>0</v>
      </c>
      <c r="C784" s="142">
        <v>0</v>
      </c>
      <c r="D784" s="33">
        <v>0</v>
      </c>
      <c r="E784" s="283"/>
      <c r="F784" s="1981" t="s">
        <v>2900</v>
      </c>
      <c r="G784" s="33">
        <v>0</v>
      </c>
      <c r="H784" s="138"/>
      <c r="I784" s="33">
        <v>0</v>
      </c>
      <c r="J784" s="33">
        <v>0</v>
      </c>
      <c r="K784" s="33">
        <v>0</v>
      </c>
      <c r="L784" s="33">
        <v>0</v>
      </c>
      <c r="M784" s="33">
        <v>0</v>
      </c>
      <c r="N784" s="33">
        <v>0</v>
      </c>
      <c r="O784" s="33">
        <v>0</v>
      </c>
      <c r="P784" s="142">
        <v>0</v>
      </c>
      <c r="Q784" s="33">
        <v>0</v>
      </c>
      <c r="R784" s="114">
        <v>0</v>
      </c>
    </row>
    <row r="785" spans="1:18" x14ac:dyDescent="0.2">
      <c r="A785" s="107">
        <v>60700</v>
      </c>
      <c r="B785" s="142">
        <v>253800</v>
      </c>
      <c r="C785" s="33">
        <v>120100</v>
      </c>
      <c r="D785" s="33">
        <f>SUM('Res-Gen'!B24:B26)</f>
        <v>64200</v>
      </c>
      <c r="E785" s="283"/>
      <c r="F785" s="1981" t="s">
        <v>1942</v>
      </c>
      <c r="G785" s="33">
        <f>SUM('Res-Gen'!E24:E26)</f>
        <v>0</v>
      </c>
      <c r="H785" s="138"/>
      <c r="I785" s="33">
        <f>SUM('Res-Gen'!H24:H26)</f>
        <v>0</v>
      </c>
      <c r="J785" s="33">
        <f>SUM('Res-Gen'!K24:K26)</f>
        <v>0</v>
      </c>
      <c r="K785" s="33">
        <f>SUM('Res-Gen'!N24:N26)</f>
        <v>0</v>
      </c>
      <c r="L785" s="33">
        <f>SUM('Res-Gen'!Q24:Q26)</f>
        <v>0</v>
      </c>
      <c r="M785" s="33">
        <f>SUM('Res-Gen'!T24:T26)</f>
        <v>0</v>
      </c>
      <c r="N785" s="33">
        <f>SUM('Res-Gen'!W24:W26)</f>
        <v>0</v>
      </c>
      <c r="O785" s="33">
        <f>SUM('Res-Gen'!Z24:Z26)</f>
        <v>0</v>
      </c>
      <c r="P785" s="142">
        <f>SUM('Res-Gen'!AC24:AC26)</f>
        <v>0</v>
      </c>
      <c r="Q785" s="33">
        <f>SUM('Res-Gen'!AF24:AF26)</f>
        <v>0</v>
      </c>
      <c r="R785" s="114">
        <f>SUM('Res-Gen'!AI24:AI26)</f>
        <v>0</v>
      </c>
    </row>
    <row r="786" spans="1:18" x14ac:dyDescent="0.2">
      <c r="A786" s="107">
        <v>58500</v>
      </c>
      <c r="B786" s="142">
        <v>209200</v>
      </c>
      <c r="C786" s="33">
        <v>253800</v>
      </c>
      <c r="D786" s="33">
        <f>'Res-Gen'!C25+33300</f>
        <v>88100</v>
      </c>
      <c r="E786" s="283"/>
      <c r="F786" s="1981" t="s">
        <v>2348</v>
      </c>
      <c r="G786" s="33">
        <f>SUM('Res-Gen'!F24:F25)</f>
        <v>64200</v>
      </c>
      <c r="H786" s="138"/>
      <c r="I786" s="33">
        <f>SUM('Res-Gen'!I24:I25)</f>
        <v>0</v>
      </c>
      <c r="J786" s="33">
        <f>SUM('Res-Gen'!L24:L25)</f>
        <v>0</v>
      </c>
      <c r="K786" s="33">
        <f>SUM('Res-Gen'!O24:O25)</f>
        <v>0</v>
      </c>
      <c r="L786" s="33">
        <f>SUM('Res-Gen'!R24:R25)</f>
        <v>0</v>
      </c>
      <c r="M786" s="33">
        <f>SUM('Res-Gen'!U24:U25)</f>
        <v>0</v>
      </c>
      <c r="N786" s="33">
        <f>SUM('Res-Gen'!X24:X25)</f>
        <v>0</v>
      </c>
      <c r="O786" s="33">
        <f>SUM('Res-Gen'!AA24:AA25)</f>
        <v>0</v>
      </c>
      <c r="P786" s="142">
        <f>SUM('Res-Gen'!AD24:AD25)</f>
        <v>0</v>
      </c>
      <c r="Q786" s="33">
        <f>SUM('Res-Gen'!AG24:AG25)</f>
        <v>0</v>
      </c>
      <c r="R786" s="114">
        <f>SUM('Res-Gen'!AJ24:AJ25)</f>
        <v>0</v>
      </c>
    </row>
    <row r="787" spans="1:18" x14ac:dyDescent="0.2">
      <c r="A787" s="107">
        <v>0</v>
      </c>
      <c r="B787" s="33">
        <v>16000</v>
      </c>
      <c r="C787" s="33">
        <v>0</v>
      </c>
      <c r="D787" s="33">
        <f>SUM('Cap-Gen'!Q13:S14)</f>
        <v>0</v>
      </c>
      <c r="E787" s="283"/>
      <c r="F787" s="366" t="s">
        <v>5984</v>
      </c>
      <c r="G787" s="99">
        <f>SUM('Cap-Gen'!V13:X14)</f>
        <v>0</v>
      </c>
      <c r="H787" s="138"/>
      <c r="I787" s="33">
        <v>0</v>
      </c>
      <c r="J787" s="33">
        <v>0</v>
      </c>
      <c r="K787" s="33">
        <v>0</v>
      </c>
      <c r="L787" s="33">
        <v>0</v>
      </c>
      <c r="M787" s="33">
        <v>0</v>
      </c>
      <c r="N787" s="33">
        <v>0</v>
      </c>
      <c r="O787" s="33">
        <v>0</v>
      </c>
      <c r="P787" s="142">
        <v>0</v>
      </c>
      <c r="Q787" s="33">
        <v>0</v>
      </c>
      <c r="R787" s="114">
        <v>0</v>
      </c>
    </row>
    <row r="788" spans="1:18" x14ac:dyDescent="0.2">
      <c r="A788" s="107">
        <v>0</v>
      </c>
      <c r="B788" s="142">
        <v>10400</v>
      </c>
      <c r="C788" s="33">
        <v>156600</v>
      </c>
      <c r="D788" s="33">
        <f>SUM('Cap-Gen'!E13:E14)</f>
        <v>39300</v>
      </c>
      <c r="E788" s="283"/>
      <c r="F788" s="366" t="s">
        <v>972</v>
      </c>
      <c r="G788" s="99">
        <f>SUM('Cap-Gen'!F13:F14)</f>
        <v>0</v>
      </c>
      <c r="H788" s="138"/>
      <c r="I788" s="33">
        <f>SUM('Cap-Gen'!G13:G14)</f>
        <v>0</v>
      </c>
      <c r="J788" s="33">
        <f>SUM('Cap-Gen'!H13:H14)</f>
        <v>0</v>
      </c>
      <c r="K788" s="33">
        <f>SUM('Cap-Gen'!I13:I14)</f>
        <v>0</v>
      </c>
      <c r="L788" s="33">
        <f>SUM('Cap-Gen'!J13:J14)</f>
        <v>0</v>
      </c>
      <c r="M788" s="33">
        <f>SUM('Cap-Gen'!K13:K14)</f>
        <v>0</v>
      </c>
      <c r="N788" s="33">
        <f>SUM('Cap-Gen'!L13:L14)</f>
        <v>0</v>
      </c>
      <c r="O788" s="33">
        <f>SUM('Cap-Gen'!M13:M14)</f>
        <v>0</v>
      </c>
      <c r="P788" s="142">
        <f>SUM('Cap-Gen'!N13:N14)</f>
        <v>0</v>
      </c>
      <c r="Q788" s="33">
        <f>SUM('Cap-Gen'!O13:O14)</f>
        <v>0</v>
      </c>
      <c r="R788" s="114">
        <f>SUM('Cap-Gen'!P13:P14)</f>
        <v>0</v>
      </c>
    </row>
    <row r="789" spans="1:18" x14ac:dyDescent="0.2">
      <c r="A789" s="107"/>
      <c r="B789" s="142"/>
      <c r="C789" s="33"/>
      <c r="D789" s="33"/>
      <c r="E789" s="283"/>
      <c r="F789" s="516"/>
      <c r="G789" s="99"/>
      <c r="H789" s="138"/>
      <c r="I789" s="33"/>
      <c r="J789" s="33"/>
      <c r="K789" s="33"/>
      <c r="L789" s="33"/>
      <c r="M789" s="33"/>
      <c r="N789" s="33"/>
      <c r="O789" s="33"/>
      <c r="P789" s="142"/>
      <c r="Q789" s="33"/>
      <c r="R789" s="114"/>
    </row>
    <row r="790" spans="1:18" s="92" customFormat="1" ht="11.25" customHeight="1" x14ac:dyDescent="0.2">
      <c r="A790" s="181">
        <f>A779-A784-A785+A786++A787-A788</f>
        <v>-1227400</v>
      </c>
      <c r="B790" s="377">
        <f>B779-B784-B785+B786++B787-B788</f>
        <v>-1295800</v>
      </c>
      <c r="C790" s="397">
        <f>C779-C784-C785+C786++C787-C788</f>
        <v>-1288000</v>
      </c>
      <c r="D790" s="397">
        <f>D779-D784-D785+D786++D787-D788</f>
        <v>-1322500</v>
      </c>
      <c r="E790" s="517"/>
      <c r="F790" s="518" t="s">
        <v>2490</v>
      </c>
      <c r="G790" s="704">
        <f t="shared" ref="G790:O790" si="662">G779-G784-G785+G786++G787-G788</f>
        <v>-1356200</v>
      </c>
      <c r="H790" s="395">
        <f>IF(D790=G790,0,IF(D790=0,100,(G790-D790)/D790*100))</f>
        <v>2.54820415879017</v>
      </c>
      <c r="I790" s="397">
        <f t="shared" si="662"/>
        <v>-1367700</v>
      </c>
      <c r="J790" s="397">
        <f t="shared" si="662"/>
        <v>-1402400</v>
      </c>
      <c r="K790" s="397">
        <f t="shared" si="662"/>
        <v>-1437800</v>
      </c>
      <c r="L790" s="397">
        <f t="shared" si="662"/>
        <v>-1474100</v>
      </c>
      <c r="M790" s="397">
        <f t="shared" si="662"/>
        <v>-1504100</v>
      </c>
      <c r="N790" s="397">
        <f t="shared" si="662"/>
        <v>-1534600</v>
      </c>
      <c r="O790" s="397">
        <f t="shared" si="662"/>
        <v>-1565700</v>
      </c>
      <c r="P790" s="377">
        <f t="shared" ref="P790:Q790" si="663">P779-P784-P785+P786++P787-P788</f>
        <v>-1597300</v>
      </c>
      <c r="Q790" s="397">
        <f t="shared" si="663"/>
        <v>-1629800</v>
      </c>
      <c r="R790" s="399">
        <f t="shared" ref="R790" si="664">R779-R784-R785+R786++R787-R788</f>
        <v>-1662900</v>
      </c>
    </row>
    <row r="791" spans="1:18" ht="13.5" thickBot="1" x14ac:dyDescent="0.25">
      <c r="A791" s="73"/>
      <c r="B791" s="134"/>
      <c r="C791" s="1306"/>
      <c r="D791" s="90"/>
      <c r="E791" s="284"/>
      <c r="F791" s="368"/>
      <c r="G791" s="174"/>
      <c r="H791" s="392"/>
      <c r="I791" s="66"/>
      <c r="J791" s="66"/>
      <c r="K791" s="66"/>
      <c r="L791" s="66"/>
      <c r="M791" s="66"/>
      <c r="N791" s="66"/>
      <c r="O791" s="66"/>
      <c r="P791" s="166"/>
      <c r="Q791" s="66"/>
      <c r="R791" s="165"/>
    </row>
    <row r="792" spans="1:18" ht="14.25" thickTop="1" thickBot="1" x14ac:dyDescent="0.25">
      <c r="A792" s="176"/>
      <c r="B792" s="176"/>
      <c r="C792" s="201"/>
      <c r="D792" s="201"/>
      <c r="E792" s="804"/>
      <c r="F792" s="176"/>
      <c r="G792" s="201"/>
      <c r="H792" s="396"/>
      <c r="I792" s="176"/>
      <c r="J792" s="176"/>
      <c r="K792" s="176"/>
      <c r="L792" s="176"/>
      <c r="M792" s="176"/>
      <c r="N792" s="176"/>
      <c r="O792" s="176"/>
      <c r="P792" s="176"/>
      <c r="Q792" s="176"/>
      <c r="R792" s="176"/>
    </row>
    <row r="793" spans="1:18" s="91" customFormat="1" ht="18.75" customHeight="1" thickTop="1" thickBot="1" x14ac:dyDescent="0.3">
      <c r="A793" s="2865" t="s">
        <v>2349</v>
      </c>
      <c r="B793" s="2866"/>
      <c r="C793" s="2866"/>
      <c r="D793" s="2866"/>
      <c r="E793" s="2866"/>
      <c r="F793" s="2866"/>
      <c r="G793" s="2866"/>
      <c r="H793" s="2866"/>
      <c r="I793" s="2866"/>
      <c r="J793" s="2866"/>
      <c r="K793" s="2866"/>
      <c r="L793" s="2866"/>
      <c r="M793" s="2866"/>
      <c r="N793" s="2866"/>
      <c r="O793" s="2866"/>
      <c r="P793" s="2866"/>
      <c r="Q793" s="2866"/>
      <c r="R793" s="2867"/>
    </row>
    <row r="794" spans="1:18" s="44" customFormat="1" x14ac:dyDescent="0.2">
      <c r="A794" s="2868" t="s">
        <v>1856</v>
      </c>
      <c r="B794" s="2869"/>
      <c r="C794" s="2869"/>
      <c r="D794" s="2870"/>
      <c r="E794" s="513" t="s">
        <v>2663</v>
      </c>
      <c r="F794" s="369" t="s">
        <v>2251</v>
      </c>
      <c r="G794" s="2839" t="s">
        <v>2253</v>
      </c>
      <c r="H794" s="2840"/>
      <c r="I794" s="2840"/>
      <c r="J794" s="2840"/>
      <c r="K794" s="2840"/>
      <c r="L794" s="2840"/>
      <c r="M794" s="2840"/>
      <c r="N794" s="2840"/>
      <c r="O794" s="2840"/>
      <c r="P794" s="2840"/>
      <c r="Q794" s="2840"/>
      <c r="R794" s="2841"/>
    </row>
    <row r="795" spans="1:18" s="23" customFormat="1" ht="12.75" customHeight="1" thickBot="1" x14ac:dyDescent="0.25">
      <c r="A795" s="208" t="str">
        <f>CIV!A3</f>
        <v>2012/13</v>
      </c>
      <c r="B795" s="218" t="str">
        <f>CIV!B3</f>
        <v>2013/14</v>
      </c>
      <c r="C795" s="370" t="str">
        <f>CIV!C3</f>
        <v>2014/15</v>
      </c>
      <c r="D795" s="93" t="str">
        <f>CIV!D3</f>
        <v>2015/16</v>
      </c>
      <c r="E795" s="370" t="str">
        <f>CIV!E1705</f>
        <v>ACCOUNT</v>
      </c>
      <c r="F795" s="361"/>
      <c r="G795" s="93" t="str">
        <f>CIV!G3</f>
        <v>2016/17</v>
      </c>
      <c r="H795" s="2492" t="s">
        <v>501</v>
      </c>
      <c r="I795" s="370" t="str">
        <f>CIV!I3</f>
        <v>2017/18</v>
      </c>
      <c r="J795" s="370" t="str">
        <f>CIV!J3</f>
        <v>2018/19</v>
      </c>
      <c r="K795" s="370" t="str">
        <f>CIV!K3</f>
        <v>2019/20</v>
      </c>
      <c r="L795" s="370" t="str">
        <f>CIV!L3</f>
        <v>2020/21</v>
      </c>
      <c r="M795" s="370" t="str">
        <f>CIV!M3</f>
        <v>2021/22</v>
      </c>
      <c r="N795" s="370" t="str">
        <f>CIV!N3</f>
        <v>2022/23</v>
      </c>
      <c r="O795" s="370" t="str">
        <f>CIV!O3</f>
        <v>2023/24</v>
      </c>
      <c r="P795" s="370" t="str">
        <f>CIV!P3</f>
        <v>2024/25</v>
      </c>
      <c r="Q795" s="218" t="str">
        <f>CIV!Q3</f>
        <v>2025/26</v>
      </c>
      <c r="R795" s="549" t="str">
        <f>CIV!R3</f>
        <v>2026/27</v>
      </c>
    </row>
    <row r="796" spans="1:18" x14ac:dyDescent="0.2">
      <c r="A796" s="98"/>
      <c r="B796" s="33"/>
      <c r="C796" s="187"/>
      <c r="D796" s="187"/>
      <c r="E796" s="1954"/>
      <c r="F796" s="103" t="s">
        <v>1073</v>
      </c>
      <c r="G796" s="187"/>
      <c r="H796" s="138"/>
      <c r="I796" s="33"/>
      <c r="J796" s="33"/>
      <c r="K796" s="33"/>
      <c r="L796" s="33"/>
      <c r="M796" s="33"/>
      <c r="N796" s="33"/>
      <c r="O796" s="33"/>
      <c r="P796" s="33"/>
      <c r="Q796" s="33"/>
      <c r="R796" s="114"/>
    </row>
    <row r="797" spans="1:18" x14ac:dyDescent="0.2">
      <c r="A797" s="98"/>
      <c r="B797" s="33"/>
      <c r="C797" s="187"/>
      <c r="D797" s="187"/>
      <c r="E797" s="1954"/>
      <c r="F797" s="371" t="s">
        <v>1175</v>
      </c>
      <c r="G797" s="187"/>
      <c r="H797" s="138"/>
      <c r="I797" s="33"/>
      <c r="J797" s="33"/>
      <c r="K797" s="33"/>
      <c r="L797" s="33"/>
      <c r="M797" s="33"/>
      <c r="N797" s="33"/>
      <c r="O797" s="33"/>
      <c r="P797" s="33"/>
      <c r="Q797" s="33"/>
      <c r="R797" s="114"/>
    </row>
    <row r="798" spans="1:18" x14ac:dyDescent="0.2">
      <c r="A798" s="107">
        <v>133400</v>
      </c>
      <c r="B798" s="33">
        <v>144000</v>
      </c>
      <c r="C798" s="187">
        <v>142500</v>
      </c>
      <c r="D798" s="187">
        <v>185200</v>
      </c>
      <c r="E798" s="658" t="s">
        <v>2154</v>
      </c>
      <c r="F798" s="366" t="s">
        <v>2445</v>
      </c>
      <c r="G798" s="187">
        <v>165000</v>
      </c>
      <c r="H798" s="138">
        <f>IF(D798=G798,0,IF(D798=0,100,(G798-D798)/D798*100))</f>
        <v>-10.907127429805616</v>
      </c>
      <c r="I798" s="33">
        <v>165000</v>
      </c>
      <c r="J798" s="33">
        <v>200000</v>
      </c>
      <c r="K798" s="33">
        <f>ROUNDUP(J798+(J798*Assumptions!J$5),-2)</f>
        <v>205000</v>
      </c>
      <c r="L798" s="33">
        <f>ROUNDUP(K798+(K798*Assumptions!K$5),-2)</f>
        <v>210200</v>
      </c>
      <c r="M798" s="33">
        <f>ROUNDUP(L798+(L798*Assumptions!L$5),-2)</f>
        <v>214500</v>
      </c>
      <c r="N798" s="33">
        <f>ROUNDUP(M798+(M798*Assumptions!M$5),-2)</f>
        <v>218800</v>
      </c>
      <c r="O798" s="33">
        <f>ROUNDUP(N798+(N798*Assumptions!N$5),-2)</f>
        <v>223200</v>
      </c>
      <c r="P798" s="33">
        <f>ROUNDUP(O798+(O798*Assumptions!O$5),-2)</f>
        <v>227700</v>
      </c>
      <c r="Q798" s="33">
        <f>ROUNDUP(P798+(P798*Assumptions!P$5),-2)</f>
        <v>232300</v>
      </c>
      <c r="R798" s="114">
        <f>ROUNDUP(Q798+(Q798*Assumptions!Q$5),-2)</f>
        <v>237000</v>
      </c>
    </row>
    <row r="799" spans="1:18" x14ac:dyDescent="0.2">
      <c r="A799" s="107">
        <v>7700</v>
      </c>
      <c r="B799" s="33">
        <v>7600</v>
      </c>
      <c r="C799" s="187">
        <v>7800</v>
      </c>
      <c r="D799" s="187">
        <v>8000</v>
      </c>
      <c r="E799" s="658" t="s">
        <v>2155</v>
      </c>
      <c r="F799" s="366" t="s">
        <v>323</v>
      </c>
      <c r="G799" s="187">
        <v>8000</v>
      </c>
      <c r="H799" s="138">
        <f>IF(D799=G799,0,IF(D799=0,100,(G799-D799)/D799*100))</f>
        <v>0</v>
      </c>
      <c r="I799" s="33">
        <f>ROUNDUP(G799+(G799*Assumptions!H$5),-2)</f>
        <v>8200</v>
      </c>
      <c r="J799" s="33">
        <f>ROUNDUP(I799+(I799*Assumptions!I$5),-2)</f>
        <v>8500</v>
      </c>
      <c r="K799" s="33">
        <f>ROUNDUP(J799+(J799*Assumptions!J$5),-2)</f>
        <v>8800</v>
      </c>
      <c r="L799" s="33">
        <f>ROUNDUP(K799+(K799*Assumptions!K$5),-2)</f>
        <v>9100</v>
      </c>
      <c r="M799" s="33">
        <f>ROUNDUP(L799+(L799*Assumptions!L$5),-2)</f>
        <v>9300</v>
      </c>
      <c r="N799" s="33">
        <f>ROUNDUP(M799+(M799*Assumptions!M$5),-2)</f>
        <v>9500</v>
      </c>
      <c r="O799" s="33">
        <f>ROUNDUP(N799+(N799*Assumptions!N$5),-2)</f>
        <v>9700</v>
      </c>
      <c r="P799" s="33">
        <f>ROUNDUP(O799+(O799*Assumptions!O$5),-2)</f>
        <v>9900</v>
      </c>
      <c r="Q799" s="33">
        <f>ROUNDUP(P799+(P799*Assumptions!P$5),-2)</f>
        <v>10100</v>
      </c>
      <c r="R799" s="114">
        <f>ROUNDUP(Q799+(Q799*Assumptions!Q$5),-2)</f>
        <v>10400</v>
      </c>
    </row>
    <row r="800" spans="1:18" x14ac:dyDescent="0.2">
      <c r="A800" s="107">
        <v>37200</v>
      </c>
      <c r="B800" s="33">
        <v>42000</v>
      </c>
      <c r="C800" s="187">
        <v>48100</v>
      </c>
      <c r="D800" s="187">
        <f>39000+15000</f>
        <v>54000</v>
      </c>
      <c r="E800" s="658" t="s">
        <v>2156</v>
      </c>
      <c r="F800" s="366" t="s">
        <v>466</v>
      </c>
      <c r="G800" s="187">
        <v>55000</v>
      </c>
      <c r="H800" s="138">
        <f>IF(D800=G800,0,IF(D800=0,100,(G800-D800)/D800*100))</f>
        <v>1.8518518518518516</v>
      </c>
      <c r="I800" s="33">
        <v>55000</v>
      </c>
      <c r="J800" s="33">
        <v>60000</v>
      </c>
      <c r="K800" s="33">
        <f>ROUNDUP(J800+(J800*Assumptions!J$5),-2)</f>
        <v>61500</v>
      </c>
      <c r="L800" s="33">
        <f>ROUNDUP(K800+(K800*Assumptions!K$5),-2)</f>
        <v>63100</v>
      </c>
      <c r="M800" s="33">
        <f>ROUNDUP(L800+(L800*Assumptions!L$5),-2)</f>
        <v>64400</v>
      </c>
      <c r="N800" s="33">
        <f>ROUNDUP(M800+(M800*Assumptions!M$5),-2)</f>
        <v>65700</v>
      </c>
      <c r="O800" s="33">
        <f>ROUNDUP(N800+(N800*Assumptions!N$5),-2)</f>
        <v>67100</v>
      </c>
      <c r="P800" s="33">
        <f>ROUNDUP(O800+(O800*Assumptions!O$5),-2)</f>
        <v>68500</v>
      </c>
      <c r="Q800" s="33">
        <f>ROUNDUP(P800+(P800*Assumptions!P$5),-2)</f>
        <v>69900</v>
      </c>
      <c r="R800" s="114">
        <f>ROUNDUP(Q800+(Q800*Assumptions!Q$5),-2)</f>
        <v>71300</v>
      </c>
    </row>
    <row r="801" spans="1:18" x14ac:dyDescent="0.2">
      <c r="A801" s="107"/>
      <c r="B801" s="33"/>
      <c r="C801" s="187"/>
      <c r="D801" s="187"/>
      <c r="E801" s="658"/>
      <c r="F801" s="371" t="s">
        <v>2015</v>
      </c>
      <c r="G801" s="187"/>
      <c r="H801" s="138"/>
      <c r="I801" s="33"/>
      <c r="J801" s="33"/>
      <c r="K801" s="33"/>
      <c r="L801" s="33"/>
      <c r="M801" s="33"/>
      <c r="N801" s="33"/>
      <c r="O801" s="33"/>
      <c r="P801" s="33"/>
      <c r="Q801" s="33"/>
      <c r="R801" s="114"/>
    </row>
    <row r="802" spans="1:18" x14ac:dyDescent="0.2">
      <c r="A802" s="107">
        <v>73000</v>
      </c>
      <c r="B802" s="33">
        <v>76200</v>
      </c>
      <c r="C802" s="187">
        <v>76500</v>
      </c>
      <c r="D802" s="187">
        <v>78800</v>
      </c>
      <c r="E802" s="658" t="s">
        <v>1219</v>
      </c>
      <c r="F802" s="366" t="s">
        <v>2445</v>
      </c>
      <c r="G802" s="187">
        <v>79000</v>
      </c>
      <c r="H802" s="138">
        <f>IF(D802=G802,0,IF(D802=0,100,(G802-D802)/D802*100))</f>
        <v>0.25380710659898476</v>
      </c>
      <c r="I802" s="33">
        <v>79000</v>
      </c>
      <c r="J802" s="33">
        <v>100000</v>
      </c>
      <c r="K802" s="33">
        <f>ROUNDUP(J802+(J802*Assumptions!J$5),-2)</f>
        <v>102500</v>
      </c>
      <c r="L802" s="33">
        <f>ROUNDUP(K802+(K802*Assumptions!K$5),-2)</f>
        <v>105100</v>
      </c>
      <c r="M802" s="33">
        <f>ROUNDUP(L802+(L802*Assumptions!L$5),-2)</f>
        <v>107300</v>
      </c>
      <c r="N802" s="33">
        <f>ROUNDUP(M802+(M802*Assumptions!M$5),-2)</f>
        <v>109500</v>
      </c>
      <c r="O802" s="33">
        <f>ROUNDUP(N802+(N802*Assumptions!N$5),-2)</f>
        <v>111700</v>
      </c>
      <c r="P802" s="33">
        <f>ROUNDUP(O802+(O802*Assumptions!O$5),-2)</f>
        <v>114000</v>
      </c>
      <c r="Q802" s="33">
        <f>ROUNDUP(P802+(P802*Assumptions!P$5),-2)</f>
        <v>116300</v>
      </c>
      <c r="R802" s="114">
        <f>ROUNDUP(Q802+(Q802*Assumptions!Q$5),-2)</f>
        <v>118700</v>
      </c>
    </row>
    <row r="803" spans="1:18" ht="13.5" thickBot="1" x14ac:dyDescent="0.25">
      <c r="A803" s="107">
        <v>70200</v>
      </c>
      <c r="B803" s="33">
        <v>78900</v>
      </c>
      <c r="C803" s="187">
        <v>79200</v>
      </c>
      <c r="D803" s="187">
        <v>81300</v>
      </c>
      <c r="E803" s="658" t="s">
        <v>1220</v>
      </c>
      <c r="F803" s="366" t="s">
        <v>466</v>
      </c>
      <c r="G803" s="187">
        <v>81000</v>
      </c>
      <c r="H803" s="138">
        <f>IF(D803=G803,0,IF(D803=0,100,(G803-D803)/D803*100))</f>
        <v>-0.36900369003690037</v>
      </c>
      <c r="I803" s="33">
        <v>81000</v>
      </c>
      <c r="J803" s="33">
        <v>100000</v>
      </c>
      <c r="K803" s="33">
        <f>ROUNDUP(J803+(J803*Assumptions!J$5),-2)</f>
        <v>102500</v>
      </c>
      <c r="L803" s="33">
        <f>ROUNDUP(K803+(K803*Assumptions!K$5),-2)</f>
        <v>105100</v>
      </c>
      <c r="M803" s="33">
        <f>ROUNDUP(L803+(L803*Assumptions!L$5),-2)</f>
        <v>107300</v>
      </c>
      <c r="N803" s="33">
        <f>ROUNDUP(M803+(M803*Assumptions!M$5),-2)</f>
        <v>109500</v>
      </c>
      <c r="O803" s="33">
        <f>ROUNDUP(N803+(N803*Assumptions!N$5),-2)</f>
        <v>111700</v>
      </c>
      <c r="P803" s="33">
        <f>ROUNDUP(O803+(O803*Assumptions!O$5),-2)</f>
        <v>114000</v>
      </c>
      <c r="Q803" s="33">
        <f>ROUNDUP(P803+(P803*Assumptions!P$5),-2)</f>
        <v>116300</v>
      </c>
      <c r="R803" s="114">
        <f>ROUNDUP(Q803+(Q803*Assumptions!Q$5),-2)</f>
        <v>118700</v>
      </c>
    </row>
    <row r="804" spans="1:18" x14ac:dyDescent="0.2">
      <c r="A804" s="105">
        <f>SUM(A796:A803)</f>
        <v>321500</v>
      </c>
      <c r="B804" s="53">
        <f>SUM(B796:B803)</f>
        <v>348700</v>
      </c>
      <c r="C804" s="199">
        <f>SUM(C796:C803)</f>
        <v>354100</v>
      </c>
      <c r="D804" s="199">
        <f>SUM(D796:D803)</f>
        <v>407300</v>
      </c>
      <c r="E804" s="246"/>
      <c r="F804" s="243"/>
      <c r="G804" s="199">
        <f t="shared" ref="G804:P804" si="665">SUM(G796:G803)</f>
        <v>388000</v>
      </c>
      <c r="H804" s="180">
        <f>IF(E804=G804,0,IF(E804=0,100,(G804-E804)/E804*100))</f>
        <v>100</v>
      </c>
      <c r="I804" s="53">
        <f t="shared" si="665"/>
        <v>388200</v>
      </c>
      <c r="J804" s="53">
        <f t="shared" si="665"/>
        <v>468500</v>
      </c>
      <c r="K804" s="53">
        <f t="shared" si="665"/>
        <v>480300</v>
      </c>
      <c r="L804" s="53">
        <f t="shared" si="665"/>
        <v>492600</v>
      </c>
      <c r="M804" s="53">
        <f t="shared" si="665"/>
        <v>502800</v>
      </c>
      <c r="N804" s="53">
        <f t="shared" si="665"/>
        <v>513000</v>
      </c>
      <c r="O804" s="53">
        <f t="shared" si="665"/>
        <v>523400</v>
      </c>
      <c r="P804" s="53">
        <f t="shared" si="665"/>
        <v>534100</v>
      </c>
      <c r="Q804" s="53">
        <f t="shared" ref="Q804" si="666">SUM(Q796:Q803)</f>
        <v>544900</v>
      </c>
      <c r="R804" s="113">
        <f t="shared" ref="R804" si="667">SUM(R796:R803)</f>
        <v>556100</v>
      </c>
    </row>
    <row r="805" spans="1:18" x14ac:dyDescent="0.2">
      <c r="A805" s="107"/>
      <c r="B805" s="33"/>
      <c r="C805" s="187"/>
      <c r="D805" s="187"/>
      <c r="E805" s="240"/>
      <c r="F805" s="103" t="s">
        <v>2205</v>
      </c>
      <c r="G805" s="187"/>
      <c r="H805" s="138"/>
      <c r="I805" s="33"/>
      <c r="J805" s="33"/>
      <c r="K805" s="33"/>
      <c r="L805" s="33"/>
      <c r="M805" s="33"/>
      <c r="N805" s="33"/>
      <c r="O805" s="33"/>
      <c r="P805" s="33"/>
      <c r="Q805" s="33"/>
      <c r="R805" s="114"/>
    </row>
    <row r="806" spans="1:18" x14ac:dyDescent="0.2">
      <c r="A806" s="107"/>
      <c r="B806" s="33"/>
      <c r="C806" s="187"/>
      <c r="D806" s="187"/>
      <c r="E806" s="240"/>
      <c r="F806" s="243" t="s">
        <v>1383</v>
      </c>
      <c r="G806" s="187"/>
      <c r="H806" s="138"/>
      <c r="I806" s="33"/>
      <c r="J806" s="33"/>
      <c r="K806" s="33"/>
      <c r="L806" s="33"/>
      <c r="M806" s="33"/>
      <c r="N806" s="33"/>
      <c r="O806" s="33"/>
      <c r="P806" s="33"/>
      <c r="Q806" s="33"/>
      <c r="R806" s="114"/>
    </row>
    <row r="807" spans="1:18" x14ac:dyDescent="0.2">
      <c r="A807" s="107"/>
      <c r="B807" s="33"/>
      <c r="C807" s="187"/>
      <c r="D807" s="187"/>
      <c r="E807" s="1955"/>
      <c r="F807" s="64" t="s">
        <v>594</v>
      </c>
      <c r="G807" s="187"/>
      <c r="H807" s="138"/>
      <c r="I807" s="33"/>
      <c r="J807" s="33"/>
      <c r="K807" s="33"/>
      <c r="L807" s="33"/>
      <c r="M807" s="33"/>
      <c r="N807" s="33"/>
      <c r="O807" s="33"/>
      <c r="P807" s="33"/>
      <c r="Q807" s="33"/>
      <c r="R807" s="114"/>
    </row>
    <row r="808" spans="1:18" x14ac:dyDescent="0.2">
      <c r="A808" s="107">
        <v>800</v>
      </c>
      <c r="B808" s="33">
        <v>1000</v>
      </c>
      <c r="C808" s="187">
        <v>1300</v>
      </c>
      <c r="D808" s="187">
        <v>1600</v>
      </c>
      <c r="E808" s="1097" t="s">
        <v>3406</v>
      </c>
      <c r="F808" s="130" t="s">
        <v>4172</v>
      </c>
      <c r="G808" s="187">
        <v>1000</v>
      </c>
      <c r="H808" s="138">
        <f t="shared" ref="H808:H815" si="668">IF(D808=G808,0,IF(D808=0,100,(G808-D808)/D808*100))</f>
        <v>-37.5</v>
      </c>
      <c r="I808" s="33">
        <v>1000</v>
      </c>
      <c r="J808" s="33">
        <f>ROUNDUP(I808+(I808*Assumptions!I$5),-2)</f>
        <v>1100</v>
      </c>
      <c r="K808" s="33">
        <f>ROUNDUP(J808+(J808*Assumptions!J$5),-2)</f>
        <v>1200</v>
      </c>
      <c r="L808" s="33">
        <f>ROUNDUP(K808+(K808*Assumptions!K$5),-2)</f>
        <v>1300</v>
      </c>
      <c r="M808" s="33">
        <f>ROUNDUP(L808+(L808*Assumptions!L$5),-2)</f>
        <v>1400</v>
      </c>
      <c r="N808" s="33">
        <f>ROUNDUP(M808+(M808*Assumptions!M$5),-2)</f>
        <v>1500</v>
      </c>
      <c r="O808" s="33">
        <f>ROUNDUP(N808+(N808*Assumptions!N$5),-2)</f>
        <v>1600</v>
      </c>
      <c r="P808" s="33">
        <f>ROUNDUP(O808+(O808*Assumptions!O$5),-2)</f>
        <v>1700</v>
      </c>
      <c r="Q808" s="33">
        <f>ROUNDUP(P808+(P808*Assumptions!P$5),-2)</f>
        <v>1800</v>
      </c>
      <c r="R808" s="114">
        <f>ROUNDUP(Q808+(Q808*Assumptions!Q$5),-2)</f>
        <v>1900</v>
      </c>
    </row>
    <row r="809" spans="1:18" x14ac:dyDescent="0.2">
      <c r="A809" s="107">
        <v>22000</v>
      </c>
      <c r="B809" s="33">
        <v>22400</v>
      </c>
      <c r="C809" s="187">
        <v>28100</v>
      </c>
      <c r="D809" s="187">
        <v>24500</v>
      </c>
      <c r="E809" s="658" t="s">
        <v>1070</v>
      </c>
      <c r="F809" s="443" t="s">
        <v>907</v>
      </c>
      <c r="G809" s="187">
        <v>28000</v>
      </c>
      <c r="H809" s="138">
        <f t="shared" si="668"/>
        <v>14.285714285714285</v>
      </c>
      <c r="I809" s="33">
        <v>28000</v>
      </c>
      <c r="J809" s="33">
        <v>25000</v>
      </c>
      <c r="K809" s="33">
        <f>ROUNDUP(J809+(J809*Assumptions!J$5),-2)</f>
        <v>25700</v>
      </c>
      <c r="L809" s="33">
        <f>ROUNDUP(K809+(K809*Assumptions!K$5),-2)</f>
        <v>26400</v>
      </c>
      <c r="M809" s="33">
        <f>ROUNDUP(L809+(L809*Assumptions!L$5),-2)</f>
        <v>27000</v>
      </c>
      <c r="N809" s="33">
        <f>ROUNDUP(M809+(M809*Assumptions!M$5),-2)</f>
        <v>27600</v>
      </c>
      <c r="O809" s="33">
        <f>ROUNDUP(N809+(N809*Assumptions!N$5),-2)</f>
        <v>28200</v>
      </c>
      <c r="P809" s="33">
        <f>ROUNDUP(O809+(O809*Assumptions!O$5),-2)</f>
        <v>28800</v>
      </c>
      <c r="Q809" s="33">
        <f>ROUNDUP(P809+(P809*Assumptions!P$5),-2)</f>
        <v>29400</v>
      </c>
      <c r="R809" s="114">
        <f>ROUNDUP(Q809+(Q809*Assumptions!Q$5),-2)</f>
        <v>30000</v>
      </c>
    </row>
    <row r="810" spans="1:18" x14ac:dyDescent="0.2">
      <c r="A810" s="107">
        <v>3800</v>
      </c>
      <c r="B810" s="33">
        <v>4200</v>
      </c>
      <c r="C810" s="187">
        <v>6800</v>
      </c>
      <c r="D810" s="187">
        <v>6300</v>
      </c>
      <c r="E810" s="658" t="s">
        <v>1292</v>
      </c>
      <c r="F810" s="443" t="s">
        <v>2774</v>
      </c>
      <c r="G810" s="187">
        <v>7000</v>
      </c>
      <c r="H810" s="138">
        <f t="shared" si="668"/>
        <v>11.111111111111111</v>
      </c>
      <c r="I810" s="33">
        <v>10000</v>
      </c>
      <c r="J810" s="33">
        <f>ROUNDUP(I810+(I810*Assumptions!I$5),-2)</f>
        <v>10300</v>
      </c>
      <c r="K810" s="33">
        <f>ROUNDUP(J810+(J810*Assumptions!J$5),-2)</f>
        <v>10600</v>
      </c>
      <c r="L810" s="33">
        <f>ROUNDUP(K810+(K810*Assumptions!K$5),-2)</f>
        <v>10900</v>
      </c>
      <c r="M810" s="33">
        <f>ROUNDUP(L810+(L810*Assumptions!L$5),-2)</f>
        <v>11200</v>
      </c>
      <c r="N810" s="33">
        <f>ROUNDUP(M810+(M810*Assumptions!M$5),-2)</f>
        <v>11500</v>
      </c>
      <c r="O810" s="33">
        <f>ROUNDUP(N810+(N810*Assumptions!N$5),-2)</f>
        <v>11800</v>
      </c>
      <c r="P810" s="33">
        <f>ROUNDUP(O810+(O810*Assumptions!O$5),-2)</f>
        <v>12100</v>
      </c>
      <c r="Q810" s="33">
        <f>ROUNDUP(P810+(P810*Assumptions!P$5),-2)</f>
        <v>12400</v>
      </c>
      <c r="R810" s="114">
        <f>ROUNDUP(Q810+(Q810*Assumptions!Q$5),-2)</f>
        <v>12700</v>
      </c>
    </row>
    <row r="811" spans="1:18" x14ac:dyDescent="0.2">
      <c r="A811" s="107">
        <v>62300</v>
      </c>
      <c r="B811" s="33">
        <v>85700</v>
      </c>
      <c r="C811" s="187">
        <v>42000</v>
      </c>
      <c r="D811" s="187">
        <v>71200</v>
      </c>
      <c r="E811" s="658" t="s">
        <v>1160</v>
      </c>
      <c r="F811" s="814" t="s">
        <v>1470</v>
      </c>
      <c r="G811" s="187">
        <v>65000</v>
      </c>
      <c r="H811" s="138">
        <f t="shared" si="668"/>
        <v>-8.7078651685393265</v>
      </c>
      <c r="I811" s="33">
        <v>70000</v>
      </c>
      <c r="J811" s="33">
        <f>ROUNDUP(I811+(I811*Assumptions!I$5),-2)</f>
        <v>71800</v>
      </c>
      <c r="K811" s="33">
        <f>ROUNDUP(J811+(J811*Assumptions!J$5),-2)</f>
        <v>73600</v>
      </c>
      <c r="L811" s="33">
        <f>ROUNDUP(K811+(K811*Assumptions!K$5),-2)</f>
        <v>75500</v>
      </c>
      <c r="M811" s="33">
        <f>ROUNDUP(L811+(L811*Assumptions!L$5),-2)</f>
        <v>77100</v>
      </c>
      <c r="N811" s="33">
        <f>ROUNDUP(M811+(M811*Assumptions!M$5),-2)</f>
        <v>78700</v>
      </c>
      <c r="O811" s="33">
        <f>ROUNDUP(N811+(N811*Assumptions!N$5),-2)</f>
        <v>80300</v>
      </c>
      <c r="P811" s="33">
        <f>ROUNDUP(O811+(O811*Assumptions!O$5),-2)</f>
        <v>82000</v>
      </c>
      <c r="Q811" s="33">
        <f>ROUNDUP(P811+(P811*Assumptions!P$5),-2)</f>
        <v>83700</v>
      </c>
      <c r="R811" s="114">
        <f>ROUNDUP(Q811+(Q811*Assumptions!Q$5),-2)</f>
        <v>85400</v>
      </c>
    </row>
    <row r="812" spans="1:18" x14ac:dyDescent="0.2">
      <c r="A812" s="107">
        <v>12800</v>
      </c>
      <c r="B812" s="33">
        <v>12400</v>
      </c>
      <c r="C812" s="187">
        <v>11800</v>
      </c>
      <c r="D812" s="187">
        <v>11800</v>
      </c>
      <c r="E812" s="658" t="s">
        <v>1291</v>
      </c>
      <c r="F812" s="443" t="s">
        <v>720</v>
      </c>
      <c r="G812" s="187">
        <v>14000</v>
      </c>
      <c r="H812" s="138">
        <f t="shared" si="668"/>
        <v>18.64406779661017</v>
      </c>
      <c r="I812" s="33">
        <v>50000</v>
      </c>
      <c r="J812" s="33">
        <v>60000</v>
      </c>
      <c r="K812" s="33">
        <f>ROUNDUP(J812+(J812*Assumptions!J$5),-2)</f>
        <v>61500</v>
      </c>
      <c r="L812" s="33">
        <f>ROUNDUP(K812+(K812*Assumptions!K$5),-2)</f>
        <v>63100</v>
      </c>
      <c r="M812" s="33">
        <f>ROUNDUP(L812+(L812*Assumptions!L$5),-2)</f>
        <v>64400</v>
      </c>
      <c r="N812" s="33">
        <f>ROUNDUP(M812+(M812*Assumptions!M$5),-2)</f>
        <v>65700</v>
      </c>
      <c r="O812" s="33">
        <f>ROUNDUP(N812+(N812*Assumptions!N$5),-2)</f>
        <v>67100</v>
      </c>
      <c r="P812" s="33">
        <f>ROUNDUP(O812+(O812*Assumptions!O$5),-2)</f>
        <v>68500</v>
      </c>
      <c r="Q812" s="33">
        <f>ROUNDUP(P812+(P812*Assumptions!P$5),-2)</f>
        <v>69900</v>
      </c>
      <c r="R812" s="114">
        <f>ROUNDUP(Q812+(Q812*Assumptions!Q$5),-2)</f>
        <v>71300</v>
      </c>
    </row>
    <row r="813" spans="1:18" x14ac:dyDescent="0.2">
      <c r="A813" s="107">
        <v>800</v>
      </c>
      <c r="B813" s="33">
        <v>700</v>
      </c>
      <c r="C813" s="187">
        <v>400</v>
      </c>
      <c r="D813" s="187">
        <v>300</v>
      </c>
      <c r="E813" s="658" t="s">
        <v>1390</v>
      </c>
      <c r="F813" s="443" t="s">
        <v>719</v>
      </c>
      <c r="G813" s="187">
        <v>600</v>
      </c>
      <c r="H813" s="138">
        <f t="shared" si="668"/>
        <v>100</v>
      </c>
      <c r="I813" s="33">
        <v>600</v>
      </c>
      <c r="J813" s="33">
        <f>ROUNDUP(I813+(I813*Assumptions!I$5),-2)</f>
        <v>700</v>
      </c>
      <c r="K813" s="33">
        <f>ROUNDUP(J813+(J813*Assumptions!J$5),-2)</f>
        <v>800</v>
      </c>
      <c r="L813" s="33">
        <f>ROUNDUP(K813+(K813*Assumptions!K$5),-2)</f>
        <v>900</v>
      </c>
      <c r="M813" s="33">
        <f>ROUNDUP(L813+(L813*Assumptions!L$5),-2)</f>
        <v>1000</v>
      </c>
      <c r="N813" s="33">
        <f>ROUNDUP(M813+(M813*Assumptions!M$5),-2)</f>
        <v>1100</v>
      </c>
      <c r="O813" s="33">
        <f>ROUNDUP(N813+(N813*Assumptions!N$5),-2)</f>
        <v>1200</v>
      </c>
      <c r="P813" s="33">
        <f>ROUNDUP(O813+(O813*Assumptions!O$5),-2)</f>
        <v>1300</v>
      </c>
      <c r="Q813" s="33">
        <f>ROUNDUP(P813+(P813*Assumptions!P$5),-2)</f>
        <v>1400</v>
      </c>
      <c r="R813" s="114">
        <f>ROUNDUP(Q813+(Q813*Assumptions!Q$5),-2)</f>
        <v>1500</v>
      </c>
    </row>
    <row r="814" spans="1:18" x14ac:dyDescent="0.2">
      <c r="A814" s="107">
        <v>47600</v>
      </c>
      <c r="B814" s="33">
        <v>65600</v>
      </c>
      <c r="C814" s="187">
        <f>29100-400</f>
        <v>28700</v>
      </c>
      <c r="D814" s="187">
        <v>13100</v>
      </c>
      <c r="E814" s="658" t="s">
        <v>2606</v>
      </c>
      <c r="F814" s="443" t="s">
        <v>985</v>
      </c>
      <c r="G814" s="187">
        <v>5000</v>
      </c>
      <c r="H814" s="138">
        <f t="shared" si="668"/>
        <v>-61.832061068702295</v>
      </c>
      <c r="I814" s="33">
        <v>5000</v>
      </c>
      <c r="J814" s="33">
        <f>ROUNDUP(I814+(I814*Assumptions!I$5),-2)</f>
        <v>5200</v>
      </c>
      <c r="K814" s="33">
        <f>ROUNDUP(J814+(J814*Assumptions!J$5),-2)</f>
        <v>5400</v>
      </c>
      <c r="L814" s="33">
        <f>ROUNDUP(K814+(K814*Assumptions!K$5),-2)</f>
        <v>5600</v>
      </c>
      <c r="M814" s="33">
        <f>ROUNDUP(L814+(L814*Assumptions!L$5),-2)</f>
        <v>5800</v>
      </c>
      <c r="N814" s="33">
        <f>ROUNDUP(M814+(M814*Assumptions!M$5),-2)</f>
        <v>6000</v>
      </c>
      <c r="O814" s="33">
        <f>ROUNDUP(N814+(N814*Assumptions!N$5),-2)</f>
        <v>6200</v>
      </c>
      <c r="P814" s="33">
        <f>ROUNDUP(O814+(O814*Assumptions!O$5),-2)</f>
        <v>6400</v>
      </c>
      <c r="Q814" s="33">
        <f>ROUNDUP(P814+(P814*Assumptions!P$5),-2)</f>
        <v>6600</v>
      </c>
      <c r="R814" s="114">
        <f>ROUNDUP(Q814+(Q814*Assumptions!Q$5),-2)</f>
        <v>6800</v>
      </c>
    </row>
    <row r="815" spans="1:18" x14ac:dyDescent="0.2">
      <c r="A815" s="107">
        <v>0</v>
      </c>
      <c r="B815" s="33">
        <v>0</v>
      </c>
      <c r="C815" s="187">
        <v>0</v>
      </c>
      <c r="D815" s="187">
        <v>0</v>
      </c>
      <c r="E815" s="658">
        <v>32330</v>
      </c>
      <c r="F815" s="814" t="s">
        <v>4816</v>
      </c>
      <c r="G815" s="187">
        <v>0</v>
      </c>
      <c r="H815" s="138">
        <f t="shared" si="668"/>
        <v>0</v>
      </c>
      <c r="I815" s="33">
        <v>25000</v>
      </c>
      <c r="J815" s="33">
        <v>30000</v>
      </c>
      <c r="K815" s="33">
        <f>ROUNDUP(J815+(J815*Assumptions!J$5),-2)</f>
        <v>30800</v>
      </c>
      <c r="L815" s="33">
        <f>ROUNDUP(K815+(K815*Assumptions!K$5),-2)</f>
        <v>31600</v>
      </c>
      <c r="M815" s="33">
        <f>ROUNDUP(L815+(L815*Assumptions!L$5),-2)</f>
        <v>32300</v>
      </c>
      <c r="N815" s="33">
        <f>ROUNDUP(M815+(M815*Assumptions!M$5),-2)</f>
        <v>33000</v>
      </c>
      <c r="O815" s="33">
        <f>ROUNDUP(N815+(N815*Assumptions!N$5),-2)</f>
        <v>33700</v>
      </c>
      <c r="P815" s="33">
        <f>ROUNDUP(O815+(O815*Assumptions!O$5),-2)</f>
        <v>34400</v>
      </c>
      <c r="Q815" s="33">
        <f>ROUNDUP(P815+(P815*Assumptions!P$5),-2)</f>
        <v>35100</v>
      </c>
      <c r="R815" s="114">
        <f>ROUNDUP(Q815+(Q815*Assumptions!Q$5),-2)</f>
        <v>35900</v>
      </c>
    </row>
    <row r="816" spans="1:18" x14ac:dyDescent="0.2">
      <c r="A816" s="107"/>
      <c r="B816" s="33"/>
      <c r="C816" s="187"/>
      <c r="D816" s="187"/>
      <c r="E816" s="658"/>
      <c r="F816" s="439" t="s">
        <v>2350</v>
      </c>
      <c r="G816" s="187"/>
      <c r="H816" s="138"/>
      <c r="I816" s="33"/>
      <c r="J816" s="33"/>
      <c r="K816" s="33"/>
      <c r="L816" s="33"/>
      <c r="M816" s="33"/>
      <c r="N816" s="33"/>
      <c r="O816" s="33"/>
      <c r="P816" s="33"/>
      <c r="Q816" s="33"/>
      <c r="R816" s="114"/>
    </row>
    <row r="817" spans="1:18" x14ac:dyDescent="0.2">
      <c r="A817" s="107">
        <v>155500</v>
      </c>
      <c r="B817" s="33">
        <v>153900</v>
      </c>
      <c r="C817" s="187">
        <v>161800</v>
      </c>
      <c r="D817" s="187">
        <v>159600</v>
      </c>
      <c r="E817" s="658" t="s">
        <v>4</v>
      </c>
      <c r="F817" s="814" t="s">
        <v>3071</v>
      </c>
      <c r="G817" s="187">
        <v>168000</v>
      </c>
      <c r="H817" s="138">
        <f>IF(D817=G817,0,IF(D817=0,100,(G817-D817)/D817*100))</f>
        <v>5.2631578947368416</v>
      </c>
      <c r="I817" s="33">
        <v>170000</v>
      </c>
      <c r="J817" s="33">
        <f>ROUNDUP(I817+(I817*Assumptions!I$5),-2)</f>
        <v>174300</v>
      </c>
      <c r="K817" s="33">
        <f>ROUNDUP(J817+(J817*Assumptions!J$5),-2)</f>
        <v>178700</v>
      </c>
      <c r="L817" s="33">
        <f>ROUNDUP(K817+(K817*Assumptions!K$5),-2)</f>
        <v>183200</v>
      </c>
      <c r="M817" s="33">
        <f>ROUNDUP(L817+(L817*Assumptions!L$5),-2)</f>
        <v>186900</v>
      </c>
      <c r="N817" s="33">
        <f>ROUNDUP(M817+(M817*Assumptions!M$5),-2)</f>
        <v>190700</v>
      </c>
      <c r="O817" s="33">
        <f>ROUNDUP(N817+(N817*Assumptions!N$5),-2)</f>
        <v>194600</v>
      </c>
      <c r="P817" s="33">
        <f>ROUNDUP(O817+(O817*Assumptions!O$5),-2)</f>
        <v>198500</v>
      </c>
      <c r="Q817" s="33">
        <f>ROUNDUP(P817+(P817*Assumptions!P$5),-2)</f>
        <v>202500</v>
      </c>
      <c r="R817" s="114">
        <f>ROUNDUP(Q817+(Q817*Assumptions!Q$5),-2)</f>
        <v>206600</v>
      </c>
    </row>
    <row r="818" spans="1:18" x14ac:dyDescent="0.2">
      <c r="A818" s="107">
        <v>44100</v>
      </c>
      <c r="B818" s="33">
        <v>47300</v>
      </c>
      <c r="C818" s="187">
        <v>38700</v>
      </c>
      <c r="D818" s="187">
        <v>36300</v>
      </c>
      <c r="E818" s="658" t="s">
        <v>5</v>
      </c>
      <c r="F818" s="814" t="s">
        <v>4917</v>
      </c>
      <c r="G818" s="187">
        <v>40000</v>
      </c>
      <c r="H818" s="138">
        <f>IF(D818=G818,0,IF(D818=0,100,(G818-D818)/D818*100))</f>
        <v>10.192837465564738</v>
      </c>
      <c r="I818" s="33">
        <v>30000</v>
      </c>
      <c r="J818" s="33">
        <v>50000</v>
      </c>
      <c r="K818" s="33">
        <f>ROUNDUP(J818+(J818*Assumptions!J$5),-2)</f>
        <v>51300</v>
      </c>
      <c r="L818" s="33">
        <f>ROUNDUP(K818+(K818*Assumptions!K$5),-2)</f>
        <v>52600</v>
      </c>
      <c r="M818" s="33">
        <f>ROUNDUP(L818+(L818*Assumptions!L$5),-2)</f>
        <v>53700</v>
      </c>
      <c r="N818" s="33">
        <f>ROUNDUP(M818+(M818*Assumptions!M$5),-2)</f>
        <v>54800</v>
      </c>
      <c r="O818" s="33">
        <f>ROUNDUP(N818+(N818*Assumptions!N$5),-2)</f>
        <v>55900</v>
      </c>
      <c r="P818" s="33">
        <f>ROUNDUP(O818+(O818*Assumptions!O$5),-2)</f>
        <v>57100</v>
      </c>
      <c r="Q818" s="33">
        <f>ROUNDUP(P818+(P818*Assumptions!P$5),-2)</f>
        <v>58300</v>
      </c>
      <c r="R818" s="114">
        <f>ROUNDUP(Q818+(Q818*Assumptions!Q$5),-2)</f>
        <v>59500</v>
      </c>
    </row>
    <row r="819" spans="1:18" x14ac:dyDescent="0.2">
      <c r="A819" s="107"/>
      <c r="B819" s="33"/>
      <c r="C819" s="187"/>
      <c r="D819" s="187"/>
      <c r="E819" s="658"/>
      <c r="F819" s="1103" t="s">
        <v>3753</v>
      </c>
      <c r="G819" s="187"/>
      <c r="H819" s="138"/>
      <c r="I819" s="33"/>
      <c r="J819" s="33"/>
      <c r="K819" s="33"/>
      <c r="L819" s="33"/>
      <c r="M819" s="33"/>
      <c r="N819" s="33"/>
      <c r="O819" s="33"/>
      <c r="P819" s="33"/>
      <c r="Q819" s="33"/>
      <c r="R819" s="114"/>
    </row>
    <row r="820" spans="1:18" x14ac:dyDescent="0.2">
      <c r="A820" s="107">
        <v>900</v>
      </c>
      <c r="B820" s="33">
        <f>ROUND('Debt-Gen'!F16,-2)</f>
        <v>400</v>
      </c>
      <c r="C820" s="33">
        <f>ROUND('Debt-Gen'!H16,-2)</f>
        <v>0</v>
      </c>
      <c r="D820" s="33">
        <f>280000-80000-200000</f>
        <v>0</v>
      </c>
      <c r="E820" s="658" t="s">
        <v>6</v>
      </c>
      <c r="F820" s="443" t="s">
        <v>726</v>
      </c>
      <c r="G820" s="187">
        <f>ROUND(SUM('Debt-Gen'!L16:'Debt-Gen'!L17),-2)</f>
        <v>0</v>
      </c>
      <c r="H820" s="138">
        <f>IF(D820=G820,0,IF(D820=0,100,(G820-D820)/D820*100))</f>
        <v>0</v>
      </c>
      <c r="I820" s="33">
        <f>ROUND(SUM('Debt-Gen'!N16:'Debt-Gen'!N17),-2)</f>
        <v>235000</v>
      </c>
      <c r="J820" s="33">
        <f>ROUND(SUM('Debt-Gen'!P16:'Debt-Gen'!P17),-2)</f>
        <v>227000</v>
      </c>
      <c r="K820" s="33">
        <f>ROUND(SUM('Debt-Gen'!R16:'Debt-Gen'!R17),-2)</f>
        <v>218000</v>
      </c>
      <c r="L820" s="33">
        <f>ROUND(SUM('Debt-Gen'!T16:'Debt-Gen'!T17),-2)</f>
        <v>209000</v>
      </c>
      <c r="M820" s="33">
        <f>ROUND(SUM('Debt-Gen'!V16:'Debt-Gen'!V17),-2)</f>
        <v>200000</v>
      </c>
      <c r="N820" s="33">
        <f>ROUND(SUM('Debt-Gen'!X16:'Debt-Gen'!X17),-2)</f>
        <v>190000</v>
      </c>
      <c r="O820" s="33">
        <f>ROUND(SUM('Debt-Gen'!Z16:'Debt-Gen'!Z17),-2)</f>
        <v>181000</v>
      </c>
      <c r="P820" s="33">
        <f>ROUND(SUM('Debt-Gen'!AB16:'Debt-Gen'!AB17),-2)</f>
        <v>170000</v>
      </c>
      <c r="Q820" s="33">
        <f>ROUND(SUM('Debt-Gen'!AD16:'Debt-Gen'!AD17),-2)</f>
        <v>160000</v>
      </c>
      <c r="R820" s="114">
        <f>ROUND(SUM('Debt-Gen'!AF16:'Debt-Gen'!AF17),-2)</f>
        <v>149000</v>
      </c>
    </row>
    <row r="821" spans="1:18" x14ac:dyDescent="0.2">
      <c r="A821" s="107"/>
      <c r="B821" s="33"/>
      <c r="C821" s="187"/>
      <c r="D821" s="187"/>
      <c r="E821" s="240"/>
      <c r="F821" s="602" t="s">
        <v>1071</v>
      </c>
      <c r="G821" s="187"/>
      <c r="H821" s="138"/>
      <c r="I821" s="33"/>
      <c r="J821" s="33"/>
      <c r="K821" s="33"/>
      <c r="L821" s="33"/>
      <c r="M821" s="33"/>
      <c r="N821" s="33"/>
      <c r="O821" s="33"/>
      <c r="P821" s="33"/>
      <c r="Q821" s="33"/>
      <c r="R821" s="114"/>
    </row>
    <row r="822" spans="1:18" x14ac:dyDescent="0.2">
      <c r="A822" s="107"/>
      <c r="B822" s="33"/>
      <c r="C822" s="187"/>
      <c r="D822" s="187"/>
      <c r="E822" s="1955"/>
      <c r="F822" s="64" t="s">
        <v>594</v>
      </c>
      <c r="G822" s="187"/>
      <c r="H822" s="138"/>
      <c r="I822" s="33"/>
      <c r="J822" s="33"/>
      <c r="K822" s="33"/>
      <c r="L822" s="33"/>
      <c r="M822" s="33"/>
      <c r="N822" s="33"/>
      <c r="O822" s="33"/>
      <c r="P822" s="33"/>
      <c r="Q822" s="33"/>
      <c r="R822" s="114"/>
    </row>
    <row r="823" spans="1:18" x14ac:dyDescent="0.2">
      <c r="A823" s="107">
        <v>500</v>
      </c>
      <c r="B823" s="33">
        <v>1000</v>
      </c>
      <c r="C823" s="187">
        <v>700</v>
      </c>
      <c r="D823" s="187">
        <v>800</v>
      </c>
      <c r="E823" s="1097" t="s">
        <v>3407</v>
      </c>
      <c r="F823" s="130" t="s">
        <v>4172</v>
      </c>
      <c r="G823" s="187">
        <v>1000</v>
      </c>
      <c r="H823" s="138">
        <f t="shared" ref="H823:H830" si="669">IF(D823=G823,0,IF(D823=0,100,(G823-D823)/D823*100))</f>
        <v>25</v>
      </c>
      <c r="I823" s="33">
        <v>1000</v>
      </c>
      <c r="J823" s="33">
        <f>ROUNDUP(I823+(I823*Assumptions!I$5),-2)</f>
        <v>1100</v>
      </c>
      <c r="K823" s="33">
        <f>ROUNDUP(J823+(J823*Assumptions!J$5),-2)</f>
        <v>1200</v>
      </c>
      <c r="L823" s="33">
        <f>ROUNDUP(K823+(K823*Assumptions!K$5),-2)</f>
        <v>1300</v>
      </c>
      <c r="M823" s="33">
        <f>ROUNDUP(L823+(L823*Assumptions!L$5),-2)</f>
        <v>1400</v>
      </c>
      <c r="N823" s="33">
        <f>ROUNDUP(M823+(M823*Assumptions!M$5),-2)</f>
        <v>1500</v>
      </c>
      <c r="O823" s="33">
        <f>ROUNDUP(N823+(N823*Assumptions!N$5),-2)</f>
        <v>1600</v>
      </c>
      <c r="P823" s="33">
        <f>ROUNDUP(O823+(O823*Assumptions!O$5),-2)</f>
        <v>1700</v>
      </c>
      <c r="Q823" s="33">
        <f>ROUNDUP(P823+(P823*Assumptions!P$5),-2)</f>
        <v>1800</v>
      </c>
      <c r="R823" s="114">
        <f>ROUNDUP(Q823+(Q823*Assumptions!Q$5),-2)</f>
        <v>1900</v>
      </c>
    </row>
    <row r="824" spans="1:18" x14ac:dyDescent="0.2">
      <c r="A824" s="107">
        <v>22700</v>
      </c>
      <c r="B824" s="33">
        <v>26500</v>
      </c>
      <c r="C824" s="187">
        <v>24300</v>
      </c>
      <c r="D824" s="187">
        <v>27500</v>
      </c>
      <c r="E824" s="658" t="s">
        <v>525</v>
      </c>
      <c r="F824" s="443" t="s">
        <v>907</v>
      </c>
      <c r="G824" s="187">
        <v>28000</v>
      </c>
      <c r="H824" s="138">
        <f t="shared" si="669"/>
        <v>1.8181818181818181</v>
      </c>
      <c r="I824" s="33">
        <v>28000</v>
      </c>
      <c r="J824" s="33">
        <v>25000</v>
      </c>
      <c r="K824" s="33">
        <f>ROUNDUP(J824+(J824*Assumptions!J$5),-2)</f>
        <v>25700</v>
      </c>
      <c r="L824" s="33">
        <f>ROUNDUP(K824+(K824*Assumptions!K$5),-2)</f>
        <v>26400</v>
      </c>
      <c r="M824" s="33">
        <f>ROUNDUP(L824+(L824*Assumptions!L$5),-2)</f>
        <v>27000</v>
      </c>
      <c r="N824" s="33">
        <f>ROUNDUP(M824+(M824*Assumptions!M$5),-2)</f>
        <v>27600</v>
      </c>
      <c r="O824" s="33">
        <f>ROUNDUP(N824+(N824*Assumptions!N$5),-2)</f>
        <v>28200</v>
      </c>
      <c r="P824" s="33">
        <f>ROUNDUP(O824+(O824*Assumptions!O$5),-2)</f>
        <v>28800</v>
      </c>
      <c r="Q824" s="33">
        <f>ROUNDUP(P824+(P824*Assumptions!P$5),-2)</f>
        <v>29400</v>
      </c>
      <c r="R824" s="114">
        <f>ROUNDUP(Q824+(Q824*Assumptions!Q$5),-2)</f>
        <v>30000</v>
      </c>
    </row>
    <row r="825" spans="1:18" x14ac:dyDescent="0.2">
      <c r="A825" s="107">
        <v>2500</v>
      </c>
      <c r="B825" s="33">
        <v>2800</v>
      </c>
      <c r="C825" s="187">
        <v>5800</v>
      </c>
      <c r="D825" s="187">
        <v>4800</v>
      </c>
      <c r="E825" s="658" t="s">
        <v>1294</v>
      </c>
      <c r="F825" s="351" t="s">
        <v>2774</v>
      </c>
      <c r="G825" s="187">
        <v>5000</v>
      </c>
      <c r="H825" s="138">
        <f t="shared" si="669"/>
        <v>4.1666666666666661</v>
      </c>
      <c r="I825" s="33">
        <v>10000</v>
      </c>
      <c r="J825" s="33">
        <f>ROUNDUP(I825+(I825*Assumptions!I$5),-2)</f>
        <v>10300</v>
      </c>
      <c r="K825" s="33">
        <f>ROUNDUP(J825+(J825*Assumptions!J$5),-2)</f>
        <v>10600</v>
      </c>
      <c r="L825" s="33">
        <f>ROUNDUP(K825+(K825*Assumptions!K$5),-2)</f>
        <v>10900</v>
      </c>
      <c r="M825" s="33">
        <f>ROUNDUP(L825+(L825*Assumptions!L$5),-2)</f>
        <v>11200</v>
      </c>
      <c r="N825" s="33">
        <f>ROUNDUP(M825+(M825*Assumptions!M$5),-2)</f>
        <v>11500</v>
      </c>
      <c r="O825" s="33">
        <f>ROUNDUP(N825+(N825*Assumptions!N$5),-2)</f>
        <v>11800</v>
      </c>
      <c r="P825" s="33">
        <f>ROUNDUP(O825+(O825*Assumptions!O$5),-2)</f>
        <v>12100</v>
      </c>
      <c r="Q825" s="33">
        <f>ROUNDUP(P825+(P825*Assumptions!P$5),-2)</f>
        <v>12400</v>
      </c>
      <c r="R825" s="114">
        <f>ROUNDUP(Q825+(Q825*Assumptions!Q$5),-2)</f>
        <v>12700</v>
      </c>
    </row>
    <row r="826" spans="1:18" x14ac:dyDescent="0.2">
      <c r="A826" s="107">
        <v>52300</v>
      </c>
      <c r="B826" s="33">
        <v>66000</v>
      </c>
      <c r="C826" s="187">
        <v>66300</v>
      </c>
      <c r="D826" s="187">
        <v>60200</v>
      </c>
      <c r="E826" s="658" t="s">
        <v>2367</v>
      </c>
      <c r="F826" s="814" t="s">
        <v>1470</v>
      </c>
      <c r="G826" s="187">
        <v>64000</v>
      </c>
      <c r="H826" s="138">
        <f t="shared" si="669"/>
        <v>6.3122923588039868</v>
      </c>
      <c r="I826" s="33">
        <v>70000</v>
      </c>
      <c r="J826" s="33">
        <f>ROUNDUP(I826+(I826*Assumptions!I$5),-2)</f>
        <v>71800</v>
      </c>
      <c r="K826" s="33">
        <f>ROUNDUP(J826+(J826*Assumptions!J$5),-2)</f>
        <v>73600</v>
      </c>
      <c r="L826" s="33">
        <f>ROUNDUP(K826+(K826*Assumptions!K$5),-2)</f>
        <v>75500</v>
      </c>
      <c r="M826" s="33">
        <f>ROUNDUP(L826+(L826*Assumptions!L$5),-2)</f>
        <v>77100</v>
      </c>
      <c r="N826" s="33">
        <f>ROUNDUP(M826+(M826*Assumptions!M$5),-2)</f>
        <v>78700</v>
      </c>
      <c r="O826" s="33">
        <f>ROUNDUP(N826+(N826*Assumptions!N$5),-2)</f>
        <v>80300</v>
      </c>
      <c r="P826" s="33">
        <f>ROUNDUP(O826+(O826*Assumptions!O$5),-2)</f>
        <v>82000</v>
      </c>
      <c r="Q826" s="33">
        <f>ROUNDUP(P826+(P826*Assumptions!P$5),-2)</f>
        <v>83700</v>
      </c>
      <c r="R826" s="114">
        <f>ROUNDUP(Q826+(Q826*Assumptions!Q$5),-2)</f>
        <v>85400</v>
      </c>
    </row>
    <row r="827" spans="1:18" x14ac:dyDescent="0.2">
      <c r="A827" s="107">
        <v>22200</v>
      </c>
      <c r="B827" s="33">
        <v>23000</v>
      </c>
      <c r="C827" s="187">
        <v>20000</v>
      </c>
      <c r="D827" s="187">
        <v>20700</v>
      </c>
      <c r="E827" s="658" t="s">
        <v>1293</v>
      </c>
      <c r="F827" s="443" t="s">
        <v>720</v>
      </c>
      <c r="G827" s="187">
        <v>22000</v>
      </c>
      <c r="H827" s="138">
        <f t="shared" si="669"/>
        <v>6.2801932367149762</v>
      </c>
      <c r="I827" s="33">
        <v>50000</v>
      </c>
      <c r="J827" s="33">
        <v>60000</v>
      </c>
      <c r="K827" s="33">
        <f>ROUNDUP(J827+(J827*Assumptions!J$5),-2)</f>
        <v>61500</v>
      </c>
      <c r="L827" s="33">
        <f>ROUNDUP(K827+(K827*Assumptions!K$5),-2)</f>
        <v>63100</v>
      </c>
      <c r="M827" s="33">
        <f>ROUNDUP(L827+(L827*Assumptions!L$5),-2)</f>
        <v>64400</v>
      </c>
      <c r="N827" s="33">
        <f>ROUNDUP(M827+(M827*Assumptions!M$5),-2)</f>
        <v>65700</v>
      </c>
      <c r="O827" s="33">
        <f>ROUNDUP(N827+(N827*Assumptions!N$5),-2)</f>
        <v>67100</v>
      </c>
      <c r="P827" s="33">
        <f>ROUNDUP(O827+(O827*Assumptions!O$5),-2)</f>
        <v>68500</v>
      </c>
      <c r="Q827" s="33">
        <f>ROUNDUP(P827+(P827*Assumptions!P$5),-2)</f>
        <v>69900</v>
      </c>
      <c r="R827" s="114">
        <f>ROUNDUP(Q827+(Q827*Assumptions!Q$5),-2)</f>
        <v>71300</v>
      </c>
    </row>
    <row r="828" spans="1:18" x14ac:dyDescent="0.2">
      <c r="A828" s="107">
        <v>1000</v>
      </c>
      <c r="B828" s="33">
        <v>900</v>
      </c>
      <c r="C828" s="187">
        <v>500</v>
      </c>
      <c r="D828" s="187">
        <v>500</v>
      </c>
      <c r="E828" s="658" t="s">
        <v>7</v>
      </c>
      <c r="F828" s="443" t="s">
        <v>719</v>
      </c>
      <c r="G828" s="187">
        <v>600</v>
      </c>
      <c r="H828" s="138">
        <f t="shared" si="669"/>
        <v>20</v>
      </c>
      <c r="I828" s="33">
        <v>600</v>
      </c>
      <c r="J828" s="33">
        <f>ROUNDUP(I828+(I828*Assumptions!I$5),-2)</f>
        <v>700</v>
      </c>
      <c r="K828" s="33">
        <f>ROUNDUP(J828+(J828*Assumptions!J$5),-2)</f>
        <v>800</v>
      </c>
      <c r="L828" s="33">
        <f>ROUNDUP(K828+(K828*Assumptions!K$5),-2)</f>
        <v>900</v>
      </c>
      <c r="M828" s="33">
        <f>ROUNDUP(L828+(L828*Assumptions!L$5),-2)</f>
        <v>1000</v>
      </c>
      <c r="N828" s="33">
        <f>ROUNDUP(M828+(M828*Assumptions!M$5),-2)</f>
        <v>1100</v>
      </c>
      <c r="O828" s="33">
        <f>ROUNDUP(N828+(N828*Assumptions!N$5),-2)</f>
        <v>1200</v>
      </c>
      <c r="P828" s="33">
        <f>ROUNDUP(O828+(O828*Assumptions!O$5),-2)</f>
        <v>1300</v>
      </c>
      <c r="Q828" s="33">
        <f>ROUNDUP(P828+(P828*Assumptions!P$5),-2)</f>
        <v>1400</v>
      </c>
      <c r="R828" s="114">
        <f>ROUNDUP(Q828+(Q828*Assumptions!Q$5),-2)</f>
        <v>1500</v>
      </c>
    </row>
    <row r="829" spans="1:18" x14ac:dyDescent="0.2">
      <c r="A829" s="107">
        <v>69400</v>
      </c>
      <c r="B829" s="33">
        <f>71200-B828</f>
        <v>70300</v>
      </c>
      <c r="C829" s="187">
        <f>49500-500</f>
        <v>49000</v>
      </c>
      <c r="D829" s="187">
        <f>5000+45000-45000+10000</f>
        <v>15000</v>
      </c>
      <c r="E829" s="658" t="s">
        <v>526</v>
      </c>
      <c r="F829" s="443" t="s">
        <v>985</v>
      </c>
      <c r="G829" s="187">
        <v>5000</v>
      </c>
      <c r="H829" s="138">
        <f t="shared" si="669"/>
        <v>-66.666666666666657</v>
      </c>
      <c r="I829" s="33">
        <v>5000</v>
      </c>
      <c r="J829" s="33">
        <f>ROUNDUP(I829+(I829*Assumptions!I$5),-2)</f>
        <v>5200</v>
      </c>
      <c r="K829" s="33">
        <f>ROUNDUP(J829+(J829*Assumptions!J$5),-2)</f>
        <v>5400</v>
      </c>
      <c r="L829" s="33">
        <f>ROUNDUP(K829+(K829*Assumptions!K$5),-2)</f>
        <v>5600</v>
      </c>
      <c r="M829" s="33">
        <f>ROUNDUP(L829+(L829*Assumptions!L$5),-2)</f>
        <v>5800</v>
      </c>
      <c r="N829" s="33">
        <f>ROUNDUP(M829+(M829*Assumptions!M$5),-2)</f>
        <v>6000</v>
      </c>
      <c r="O829" s="33">
        <f>ROUNDUP(N829+(N829*Assumptions!N$5),-2)</f>
        <v>6200</v>
      </c>
      <c r="P829" s="33">
        <f>ROUNDUP(O829+(O829*Assumptions!O$5),-2)</f>
        <v>6400</v>
      </c>
      <c r="Q829" s="33">
        <f>ROUNDUP(P829+(P829*Assumptions!P$5),-2)</f>
        <v>6600</v>
      </c>
      <c r="R829" s="114">
        <f>ROUNDUP(Q829+(Q829*Assumptions!Q$5),-2)</f>
        <v>6800</v>
      </c>
    </row>
    <row r="830" spans="1:18" x14ac:dyDescent="0.2">
      <c r="A830" s="107">
        <v>38500</v>
      </c>
      <c r="B830" s="33">
        <v>36900</v>
      </c>
      <c r="C830" s="187">
        <v>30900</v>
      </c>
      <c r="D830" s="187">
        <v>25800</v>
      </c>
      <c r="E830" s="658" t="s">
        <v>315</v>
      </c>
      <c r="F830" s="814" t="s">
        <v>4816</v>
      </c>
      <c r="G830" s="187">
        <v>35000</v>
      </c>
      <c r="H830" s="138">
        <f t="shared" si="669"/>
        <v>35.65891472868217</v>
      </c>
      <c r="I830" s="33">
        <v>25000</v>
      </c>
      <c r="J830" s="33">
        <v>30000</v>
      </c>
      <c r="K830" s="33">
        <f>ROUNDUP(J830+(J830*Assumptions!J$5),-2)</f>
        <v>30800</v>
      </c>
      <c r="L830" s="33">
        <f>ROUNDUP(K830+(K830*Assumptions!K$5),-2)</f>
        <v>31600</v>
      </c>
      <c r="M830" s="33">
        <f>ROUNDUP(L830+(L830*Assumptions!L$5),-2)</f>
        <v>32300</v>
      </c>
      <c r="N830" s="33">
        <f>ROUNDUP(M830+(M830*Assumptions!M$5),-2)</f>
        <v>33000</v>
      </c>
      <c r="O830" s="33">
        <f>ROUNDUP(N830+(N830*Assumptions!N$5),-2)</f>
        <v>33700</v>
      </c>
      <c r="P830" s="33">
        <f>ROUNDUP(O830+(O830*Assumptions!O$5),-2)</f>
        <v>34400</v>
      </c>
      <c r="Q830" s="33">
        <f>ROUNDUP(P830+(P830*Assumptions!P$5),-2)</f>
        <v>35100</v>
      </c>
      <c r="R830" s="114">
        <f>ROUNDUP(Q830+(Q830*Assumptions!Q$5),-2)</f>
        <v>35900</v>
      </c>
    </row>
    <row r="831" spans="1:18" x14ac:dyDescent="0.2">
      <c r="A831" s="107"/>
      <c r="B831" s="33"/>
      <c r="C831" s="187"/>
      <c r="D831" s="187"/>
      <c r="E831" s="658"/>
      <c r="F831" s="439" t="s">
        <v>2350</v>
      </c>
      <c r="G831" s="187"/>
      <c r="H831" s="138"/>
      <c r="I831" s="33"/>
      <c r="J831" s="33"/>
      <c r="K831" s="33"/>
      <c r="L831" s="33"/>
      <c r="M831" s="33"/>
      <c r="N831" s="33"/>
      <c r="O831" s="33"/>
      <c r="P831" s="33"/>
      <c r="Q831" s="33"/>
      <c r="R831" s="114"/>
    </row>
    <row r="832" spans="1:18" x14ac:dyDescent="0.2">
      <c r="A832" s="107">
        <v>157300</v>
      </c>
      <c r="B832" s="33">
        <v>153300</v>
      </c>
      <c r="C832" s="187">
        <v>163500</v>
      </c>
      <c r="D832" s="187">
        <v>168500</v>
      </c>
      <c r="E832" s="658" t="s">
        <v>316</v>
      </c>
      <c r="F832" s="814" t="s">
        <v>3070</v>
      </c>
      <c r="G832" s="187">
        <v>172500</v>
      </c>
      <c r="H832" s="138">
        <f>IF(D832=G832,0,IF(D832=0,100,(G832-D832)/D832*100))</f>
        <v>2.3738872403560833</v>
      </c>
      <c r="I832" s="33">
        <v>170000</v>
      </c>
      <c r="J832" s="33">
        <f>ROUNDUP(I832+(I832*Assumptions!I$5),-2)</f>
        <v>174300</v>
      </c>
      <c r="K832" s="33">
        <f>ROUNDUP(J832+(J832*Assumptions!J$5),-2)</f>
        <v>178700</v>
      </c>
      <c r="L832" s="33">
        <f>ROUNDUP(K832+(K832*Assumptions!K$5),-2)</f>
        <v>183200</v>
      </c>
      <c r="M832" s="33">
        <f>ROUNDUP(L832+(L832*Assumptions!L$5),-2)</f>
        <v>186900</v>
      </c>
      <c r="N832" s="33">
        <f>ROUNDUP(M832+(M832*Assumptions!M$5),-2)</f>
        <v>190700</v>
      </c>
      <c r="O832" s="33">
        <f>ROUNDUP(N832+(N832*Assumptions!N$5),-2)</f>
        <v>194600</v>
      </c>
      <c r="P832" s="33">
        <f>ROUNDUP(O832+(O832*Assumptions!O$5),-2)</f>
        <v>198500</v>
      </c>
      <c r="Q832" s="33">
        <f>ROUNDUP(P832+(P832*Assumptions!P$5),-2)</f>
        <v>202500</v>
      </c>
      <c r="R832" s="114">
        <f>ROUNDUP(Q832+(Q832*Assumptions!Q$5),-2)</f>
        <v>206600</v>
      </c>
    </row>
    <row r="833" spans="1:18" x14ac:dyDescent="0.2">
      <c r="A833" s="107">
        <v>38800</v>
      </c>
      <c r="B833" s="33">
        <v>44600</v>
      </c>
      <c r="C833" s="187">
        <v>40700</v>
      </c>
      <c r="D833" s="187">
        <v>41500</v>
      </c>
      <c r="E833" s="658" t="s">
        <v>1395</v>
      </c>
      <c r="F833" s="814" t="s">
        <v>4916</v>
      </c>
      <c r="G833" s="187">
        <v>45000</v>
      </c>
      <c r="H833" s="138">
        <f>IF(D833=G833,0,IF(D833=0,100,(G833-D833)/D833*100))</f>
        <v>8.4337349397590362</v>
      </c>
      <c r="I833" s="33">
        <v>30000</v>
      </c>
      <c r="J833" s="33">
        <v>50000</v>
      </c>
      <c r="K833" s="33">
        <f>ROUNDUP(J833+(J833*Assumptions!J$5),-2)</f>
        <v>51300</v>
      </c>
      <c r="L833" s="33">
        <f>ROUNDUP(K833+(K833*Assumptions!K$5),-2)</f>
        <v>52600</v>
      </c>
      <c r="M833" s="33">
        <f>ROUNDUP(L833+(L833*Assumptions!L$5),-2)</f>
        <v>53700</v>
      </c>
      <c r="N833" s="33">
        <f>ROUNDUP(M833+(M833*Assumptions!M$5),-2)</f>
        <v>54800</v>
      </c>
      <c r="O833" s="33">
        <f>ROUNDUP(N833+(N833*Assumptions!N$5),-2)</f>
        <v>55900</v>
      </c>
      <c r="P833" s="33">
        <f>ROUNDUP(O833+(O833*Assumptions!O$5),-2)</f>
        <v>57100</v>
      </c>
      <c r="Q833" s="33">
        <f>ROUNDUP(P833+(P833*Assumptions!P$5),-2)</f>
        <v>58300</v>
      </c>
      <c r="R833" s="114">
        <f>ROUNDUP(Q833+(Q833*Assumptions!Q$5),-2)</f>
        <v>59500</v>
      </c>
    </row>
    <row r="834" spans="1:18" x14ac:dyDescent="0.2">
      <c r="A834" s="107"/>
      <c r="B834" s="33"/>
      <c r="C834" s="187"/>
      <c r="D834" s="187"/>
      <c r="E834" s="658"/>
      <c r="F834" s="1103" t="s">
        <v>3753</v>
      </c>
      <c r="G834" s="187"/>
      <c r="H834" s="138"/>
      <c r="I834" s="33"/>
      <c r="J834" s="33"/>
      <c r="K834" s="33"/>
      <c r="L834" s="33"/>
      <c r="M834" s="33"/>
      <c r="N834" s="33"/>
      <c r="O834" s="33"/>
      <c r="P834" s="33"/>
      <c r="Q834" s="33"/>
      <c r="R834" s="114"/>
    </row>
    <row r="835" spans="1:18" x14ac:dyDescent="0.2">
      <c r="A835" s="107">
        <v>0</v>
      </c>
      <c r="B835" s="33">
        <f>ROUND('Debt-Gen'!F18,-2)</f>
        <v>0</v>
      </c>
      <c r="C835" s="33">
        <f>ROUND('Debt-Gen'!H18,-2)</f>
        <v>0</v>
      </c>
      <c r="D835" s="33">
        <f>ROUND('Debt-Gen'!J18,-2)</f>
        <v>0</v>
      </c>
      <c r="E835" s="658" t="s">
        <v>6</v>
      </c>
      <c r="F835" s="814" t="s">
        <v>3754</v>
      </c>
      <c r="G835" s="187">
        <f>ROUND(SUM('Debt-Gen'!L18:'Debt-Gen'!L19),-2)</f>
        <v>0</v>
      </c>
      <c r="H835" s="138">
        <f>IF(D835=G835,0,IF(D835=0,100,(G835-D835)/D835*100))</f>
        <v>0</v>
      </c>
      <c r="I835" s="33">
        <f>ROUND(SUM('Debt-Gen'!N18:'Debt-Gen'!N19),-2)</f>
        <v>178000</v>
      </c>
      <c r="J835" s="33">
        <f>ROUND(SUM('Debt-Gen'!P18:'Debt-Gen'!P19),-2)</f>
        <v>231000</v>
      </c>
      <c r="K835" s="33">
        <f>ROUND(SUM('Debt-Gen'!R18:'Debt-Gen'!R19),-2)</f>
        <v>224000</v>
      </c>
      <c r="L835" s="33">
        <f>ROUND(SUM('Debt-Gen'!T18:'Debt-Gen'!T19),-2)</f>
        <v>215000</v>
      </c>
      <c r="M835" s="33">
        <f>ROUND(SUM('Debt-Gen'!V18:'Debt-Gen'!V19),-2)</f>
        <v>206000</v>
      </c>
      <c r="N835" s="33">
        <f>ROUND(SUM('Debt-Gen'!X18:'Debt-Gen'!X19),-2)</f>
        <v>197000</v>
      </c>
      <c r="O835" s="33">
        <f>ROUND(SUM('Debt-Gen'!Z18:'Debt-Gen'!Z19),-2)</f>
        <v>188000</v>
      </c>
      <c r="P835" s="33">
        <f>ROUND(SUM('Debt-Gen'!AB18:'Debt-Gen'!AB19),-2)</f>
        <v>177000</v>
      </c>
      <c r="Q835" s="33">
        <f>ROUND(SUM('Debt-Gen'!AD18:'Debt-Gen'!AD19),-2)</f>
        <v>167000</v>
      </c>
      <c r="R835" s="114">
        <f>ROUND(SUM('Debt-Gen'!AF18:'Debt-Gen'!AF19),-2)</f>
        <v>156000</v>
      </c>
    </row>
    <row r="836" spans="1:18" x14ac:dyDescent="0.2">
      <c r="A836" s="107"/>
      <c r="B836" s="33"/>
      <c r="C836" s="187"/>
      <c r="D836" s="187"/>
      <c r="E836" s="658"/>
      <c r="F836" s="116" t="s">
        <v>265</v>
      </c>
      <c r="G836" s="187"/>
      <c r="H836" s="138"/>
      <c r="I836" s="33"/>
      <c r="J836" s="33"/>
      <c r="K836" s="33"/>
      <c r="L836" s="33"/>
      <c r="M836" s="33"/>
      <c r="N836" s="33"/>
      <c r="O836" s="33"/>
      <c r="P836" s="33"/>
      <c r="Q836" s="33"/>
      <c r="R836" s="114"/>
    </row>
    <row r="837" spans="1:18" x14ac:dyDescent="0.2">
      <c r="A837" s="107">
        <v>125000</v>
      </c>
      <c r="B837" s="33">
        <v>48200</v>
      </c>
      <c r="C837" s="187">
        <v>100800</v>
      </c>
      <c r="D837" s="187">
        <v>102800</v>
      </c>
      <c r="E837" s="658" t="s">
        <v>1396</v>
      </c>
      <c r="F837" s="1111" t="s">
        <v>3719</v>
      </c>
      <c r="G837" s="187">
        <v>181000</v>
      </c>
      <c r="H837" s="138">
        <f>IF(D837=G837,0,IF(D837=0,100,(G837-D837)/D837*100))</f>
        <v>76.070038910505829</v>
      </c>
      <c r="I837" s="33">
        <f>ROUNDUP(G837+(G837*Assumptions!H$18),-2)</f>
        <v>184700</v>
      </c>
      <c r="J837" s="33">
        <f>ROUNDUP(I837+(I837*Assumptions!I$18),-2)</f>
        <v>188400</v>
      </c>
      <c r="K837" s="33">
        <f>ROUNDUP(J837+(J837*Assumptions!J$18),-2)</f>
        <v>192200</v>
      </c>
      <c r="L837" s="33">
        <f>ROUNDUP(K837+(K837*Assumptions!K$18),-2)</f>
        <v>196100</v>
      </c>
      <c r="M837" s="33">
        <f>ROUNDUP(L837+(L837*Assumptions!L$18),-2)</f>
        <v>200100</v>
      </c>
      <c r="N837" s="33">
        <f>ROUNDUP(M837+(M837*Assumptions!M$18),-2)</f>
        <v>204200</v>
      </c>
      <c r="O837" s="33">
        <f>ROUNDUP(N837+(N837*Assumptions!N$18),-2)</f>
        <v>208300</v>
      </c>
      <c r="P837" s="33">
        <f>ROUNDUP(O837+(O837*Assumptions!O$18),-2)</f>
        <v>212500</v>
      </c>
      <c r="Q837" s="33">
        <f>ROUNDUP(P837+(P837*Assumptions!P$18),-2)</f>
        <v>216800</v>
      </c>
      <c r="R837" s="114">
        <f>ROUNDUP(Q837+(Q837*Assumptions!Q$18),-2)</f>
        <v>221200</v>
      </c>
    </row>
    <row r="838" spans="1:18" ht="13.5" thickBot="1" x14ac:dyDescent="0.25">
      <c r="A838" s="107"/>
      <c r="B838" s="33"/>
      <c r="C838" s="187"/>
      <c r="D838" s="187"/>
      <c r="E838" s="240"/>
      <c r="F838" s="240"/>
      <c r="G838" s="187"/>
      <c r="H838" s="138"/>
      <c r="I838" s="33"/>
      <c r="J838" s="33"/>
      <c r="K838" s="33"/>
      <c r="L838" s="33"/>
      <c r="M838" s="33"/>
      <c r="N838" s="33"/>
      <c r="O838" s="33"/>
      <c r="P838" s="33"/>
      <c r="Q838" s="33"/>
      <c r="R838" s="114"/>
    </row>
    <row r="839" spans="1:18" x14ac:dyDescent="0.2">
      <c r="A839" s="105">
        <f>SUM(A805:A838)</f>
        <v>880800</v>
      </c>
      <c r="B839" s="53">
        <f>SUM(B805:B838)</f>
        <v>867100</v>
      </c>
      <c r="C839" s="199">
        <f>SUM(C805:C838)</f>
        <v>822100</v>
      </c>
      <c r="D839" s="199">
        <f>SUM(D805:D838)</f>
        <v>792800</v>
      </c>
      <c r="E839" s="237"/>
      <c r="F839" s="378" t="s">
        <v>565</v>
      </c>
      <c r="G839" s="199">
        <f t="shared" ref="G839:P839" si="670">SUM(G805:G838)</f>
        <v>887700</v>
      </c>
      <c r="H839" s="180">
        <f>IF(D839=G839,0,IF(D839=0,100,(G839-D839)/D839*100))</f>
        <v>11.970232088799193</v>
      </c>
      <c r="I839" s="53">
        <f t="shared" si="670"/>
        <v>1376900</v>
      </c>
      <c r="J839" s="53">
        <f t="shared" si="670"/>
        <v>1503200</v>
      </c>
      <c r="K839" s="53">
        <f t="shared" si="670"/>
        <v>1513400</v>
      </c>
      <c r="L839" s="53">
        <f t="shared" si="670"/>
        <v>1522300</v>
      </c>
      <c r="M839" s="53">
        <f t="shared" si="670"/>
        <v>1527700</v>
      </c>
      <c r="N839" s="53">
        <f t="shared" si="670"/>
        <v>1532400</v>
      </c>
      <c r="O839" s="53">
        <f t="shared" si="670"/>
        <v>1538500</v>
      </c>
      <c r="P839" s="53">
        <f t="shared" si="670"/>
        <v>1541100</v>
      </c>
      <c r="Q839" s="53">
        <f t="shared" ref="Q839" si="671">SUM(Q805:Q838)</f>
        <v>1546000</v>
      </c>
      <c r="R839" s="113">
        <f t="shared" ref="R839" si="672">SUM(R805:R838)</f>
        <v>1549400</v>
      </c>
    </row>
    <row r="840" spans="1:18" x14ac:dyDescent="0.2">
      <c r="A840" s="107"/>
      <c r="B840" s="33"/>
      <c r="C840" s="187"/>
      <c r="D840" s="187">
        <f>D839-D837-D820</f>
        <v>690000</v>
      </c>
      <c r="E840" s="1955"/>
      <c r="F840" s="366"/>
      <c r="G840" s="187"/>
      <c r="H840" s="138"/>
      <c r="I840" s="64"/>
      <c r="J840" s="64"/>
      <c r="K840" s="64"/>
      <c r="L840" s="64"/>
      <c r="M840" s="64"/>
      <c r="N840" s="64"/>
      <c r="O840" s="64"/>
      <c r="P840" s="64"/>
      <c r="Q840" s="64"/>
      <c r="R840" s="115"/>
    </row>
    <row r="841" spans="1:18" x14ac:dyDescent="0.2">
      <c r="A841" s="70">
        <f>A804-A839</f>
        <v>-559300</v>
      </c>
      <c r="B841" s="64">
        <f>B804-B839</f>
        <v>-518400</v>
      </c>
      <c r="C841" s="192">
        <f>C804-C839</f>
        <v>-468000</v>
      </c>
      <c r="D841" s="192">
        <f>D804-D839</f>
        <v>-385500</v>
      </c>
      <c r="E841" s="237"/>
      <c r="F841" s="516" t="s">
        <v>1019</v>
      </c>
      <c r="G841" s="192">
        <f t="shared" ref="G841:P841" si="673">G804-G839</f>
        <v>-499700</v>
      </c>
      <c r="H841" s="179">
        <f>IF(D841=G841,0,IF(D841=0,100,(G841-D841)/D841*100))</f>
        <v>29.623865110246435</v>
      </c>
      <c r="I841" s="64">
        <f t="shared" si="673"/>
        <v>-988700</v>
      </c>
      <c r="J841" s="64">
        <f t="shared" si="673"/>
        <v>-1034700</v>
      </c>
      <c r="K841" s="64">
        <f t="shared" si="673"/>
        <v>-1033100</v>
      </c>
      <c r="L841" s="64">
        <f t="shared" si="673"/>
        <v>-1029700</v>
      </c>
      <c r="M841" s="64">
        <f t="shared" si="673"/>
        <v>-1024900</v>
      </c>
      <c r="N841" s="64">
        <f t="shared" si="673"/>
        <v>-1019400</v>
      </c>
      <c r="O841" s="64">
        <f t="shared" si="673"/>
        <v>-1015100</v>
      </c>
      <c r="P841" s="64">
        <f t="shared" si="673"/>
        <v>-1007000</v>
      </c>
      <c r="Q841" s="64">
        <f t="shared" ref="Q841" si="674">Q804-Q839</f>
        <v>-1001100</v>
      </c>
      <c r="R841" s="115">
        <f t="shared" ref="R841" si="675">R804-R839</f>
        <v>-993300</v>
      </c>
    </row>
    <row r="842" spans="1:18" x14ac:dyDescent="0.2">
      <c r="A842" s="107">
        <f>A837</f>
        <v>125000</v>
      </c>
      <c r="B842" s="33">
        <f>B837</f>
        <v>48200</v>
      </c>
      <c r="C842" s="187">
        <f>C837</f>
        <v>100800</v>
      </c>
      <c r="D842" s="187">
        <f>D837</f>
        <v>102800</v>
      </c>
      <c r="E842" s="1955"/>
      <c r="F842" s="372" t="s">
        <v>1976</v>
      </c>
      <c r="G842" s="187">
        <f t="shared" ref="G842:O842" si="676">G837</f>
        <v>181000</v>
      </c>
      <c r="H842" s="138">
        <f>IF(D842=G842,0,IF(D842=0,100,(G842-D842)/D842*100))</f>
        <v>76.070038910505829</v>
      </c>
      <c r="I842" s="33">
        <f t="shared" si="676"/>
        <v>184700</v>
      </c>
      <c r="J842" s="33">
        <f t="shared" si="676"/>
        <v>188400</v>
      </c>
      <c r="K842" s="33">
        <f t="shared" si="676"/>
        <v>192200</v>
      </c>
      <c r="L842" s="33">
        <f t="shared" si="676"/>
        <v>196100</v>
      </c>
      <c r="M842" s="33">
        <f t="shared" si="676"/>
        <v>200100</v>
      </c>
      <c r="N842" s="33">
        <f t="shared" si="676"/>
        <v>204200</v>
      </c>
      <c r="O842" s="33">
        <f t="shared" si="676"/>
        <v>208300</v>
      </c>
      <c r="P842" s="33">
        <f t="shared" ref="P842:Q842" si="677">P837</f>
        <v>212500</v>
      </c>
      <c r="Q842" s="33">
        <f t="shared" si="677"/>
        <v>216800</v>
      </c>
      <c r="R842" s="114">
        <f t="shared" ref="R842" si="678">R837</f>
        <v>221200</v>
      </c>
    </row>
    <row r="843" spans="1:18" s="92" customFormat="1" x14ac:dyDescent="0.2">
      <c r="A843" s="181">
        <f>A841+A842</f>
        <v>-434300</v>
      </c>
      <c r="B843" s="397">
        <f>B841+B842</f>
        <v>-470200</v>
      </c>
      <c r="C843" s="728">
        <f>C841+C842</f>
        <v>-367200</v>
      </c>
      <c r="D843" s="728">
        <f>D841+D842</f>
        <v>-282700</v>
      </c>
      <c r="E843" s="523"/>
      <c r="F843" s="518" t="s">
        <v>1687</v>
      </c>
      <c r="G843" s="728">
        <f t="shared" ref="G843:O843" si="679">G841+G842</f>
        <v>-318700</v>
      </c>
      <c r="H843" s="395">
        <f>IF(D843=G843,0,IF(D843=0,100,(G843-D843)/D843*100))</f>
        <v>12.734347364697559</v>
      </c>
      <c r="I843" s="397">
        <f t="shared" si="679"/>
        <v>-804000</v>
      </c>
      <c r="J843" s="397">
        <f t="shared" si="679"/>
        <v>-846300</v>
      </c>
      <c r="K843" s="397">
        <f t="shared" si="679"/>
        <v>-840900</v>
      </c>
      <c r="L843" s="397">
        <f t="shared" si="679"/>
        <v>-833600</v>
      </c>
      <c r="M843" s="397">
        <f t="shared" si="679"/>
        <v>-824800</v>
      </c>
      <c r="N843" s="397">
        <f t="shared" si="679"/>
        <v>-815200</v>
      </c>
      <c r="O843" s="397">
        <f t="shared" si="679"/>
        <v>-806800</v>
      </c>
      <c r="P843" s="397">
        <f t="shared" ref="P843:Q843" si="680">P841+P842</f>
        <v>-794500</v>
      </c>
      <c r="Q843" s="397">
        <f t="shared" si="680"/>
        <v>-784300</v>
      </c>
      <c r="R843" s="399">
        <f t="shared" ref="R843" si="681">R841+R842</f>
        <v>-772100</v>
      </c>
    </row>
    <row r="844" spans="1:18" ht="13.5" thickBot="1" x14ac:dyDescent="0.25">
      <c r="A844" s="614"/>
      <c r="B844" s="90"/>
      <c r="C844" s="200"/>
      <c r="D844" s="200"/>
      <c r="E844" s="1975"/>
      <c r="F844" s="1975"/>
      <c r="G844" s="200"/>
      <c r="H844" s="392"/>
      <c r="I844" s="121"/>
      <c r="J844" s="121"/>
      <c r="K844" s="121"/>
      <c r="L844" s="121"/>
      <c r="M844" s="121"/>
      <c r="N844" s="121"/>
      <c r="O844" s="121"/>
      <c r="P844" s="121"/>
      <c r="Q844" s="121"/>
      <c r="R844" s="161"/>
    </row>
    <row r="845" spans="1:18" ht="13.5" thickTop="1" x14ac:dyDescent="0.2">
      <c r="A845" s="383"/>
      <c r="B845" s="162"/>
      <c r="C845" s="730"/>
      <c r="D845" s="730"/>
      <c r="E845" s="363"/>
      <c r="F845" s="363"/>
      <c r="G845" s="730"/>
      <c r="H845" s="505"/>
      <c r="I845" s="127"/>
      <c r="J845" s="127"/>
      <c r="K845" s="127"/>
      <c r="L845" s="127"/>
      <c r="M845" s="127"/>
      <c r="N845" s="127"/>
      <c r="O845" s="127"/>
      <c r="P845" s="127"/>
      <c r="Q845" s="127"/>
      <c r="R845" s="163"/>
    </row>
    <row r="846" spans="1:18" x14ac:dyDescent="0.2">
      <c r="A846" s="70"/>
      <c r="B846" s="64"/>
      <c r="C846" s="192"/>
      <c r="D846" s="192"/>
      <c r="E846" s="240"/>
      <c r="F846" s="516" t="s">
        <v>196</v>
      </c>
      <c r="G846" s="192"/>
      <c r="H846" s="179"/>
      <c r="I846" s="33"/>
      <c r="J846" s="33"/>
      <c r="K846" s="33"/>
      <c r="L846" s="33"/>
      <c r="M846" s="33"/>
      <c r="N846" s="33"/>
      <c r="O846" s="33"/>
      <c r="P846" s="33"/>
      <c r="Q846" s="33"/>
      <c r="R846" s="114"/>
    </row>
    <row r="847" spans="1:18" x14ac:dyDescent="0.2">
      <c r="A847" s="107">
        <v>7600</v>
      </c>
      <c r="B847" s="33">
        <f>ROUND('Debt-Gen'!E16+'Debt-Gen'!E18,-2)</f>
        <v>8100</v>
      </c>
      <c r="C847" s="33">
        <f>ROUND('Debt-Gen'!G16,-2)+ROUND('Debt-Gen'!G18,-2)</f>
        <v>0</v>
      </c>
      <c r="D847" s="33">
        <f>ROUND('Debt-Gen'!I16,-2)+ROUND('Debt-Gen'!I18,-2)</f>
        <v>0</v>
      </c>
      <c r="E847" s="240"/>
      <c r="F847" s="366" t="str">
        <f>CIV!F1761</f>
        <v>Less Loan Principal Repayments</v>
      </c>
      <c r="G847" s="187">
        <f>ROUND(SUM('Debt-Gen'!K16:'Debt-Gen'!K19),-2)</f>
        <v>0</v>
      </c>
      <c r="H847" s="138"/>
      <c r="I847" s="33">
        <f>ROUND(SUM('Debt-Gen'!M16:'Debt-Gen'!M19),-2)</f>
        <v>367500</v>
      </c>
      <c r="J847" s="33">
        <f>ROUND(SUM('Debt-Gen'!O16:'Debt-Gen'!O19),-2)</f>
        <v>452000</v>
      </c>
      <c r="K847" s="33">
        <f>ROUND(SUM('Debt-Gen'!Q16:'Debt-Gen'!Q19),-2)</f>
        <v>468000</v>
      </c>
      <c r="L847" s="33">
        <f>ROUND(SUM('Debt-Gen'!S16:'Debt-Gen'!S19),-2)</f>
        <v>486000</v>
      </c>
      <c r="M847" s="33">
        <f>ROUND(SUM('Debt-Gen'!U16:'Debt-Gen'!U19),-2)</f>
        <v>504000</v>
      </c>
      <c r="N847" s="33">
        <f>ROUND(SUM('Debt-Gen'!W16:'Debt-Gen'!W19),-2)</f>
        <v>523000</v>
      </c>
      <c r="O847" s="187">
        <f>ROUND(SUM('Debt-Gen'!Y16:'Debt-Gen'!Y19),-2)</f>
        <v>541000</v>
      </c>
      <c r="P847" s="187">
        <f>ROUND(SUM('Debt-Gen'!AA16:'Debt-Gen'!AA19),-2)</f>
        <v>563000</v>
      </c>
      <c r="Q847" s="187">
        <f>ROUND(SUM('Debt-Gen'!AC16:'Debt-Gen'!AC19),-2)</f>
        <v>583000</v>
      </c>
      <c r="R847" s="188">
        <f>ROUND(SUM('Debt-Gen'!AE16:'Debt-Gen'!AE19),-2)</f>
        <v>605000</v>
      </c>
    </row>
    <row r="848" spans="1:18" x14ac:dyDescent="0.2">
      <c r="A848" s="107">
        <v>0</v>
      </c>
      <c r="B848" s="33">
        <v>0</v>
      </c>
      <c r="C848" s="187">
        <v>166400</v>
      </c>
      <c r="D848" s="187">
        <f>'Res-Gen'!B30</f>
        <v>439000</v>
      </c>
      <c r="E848" s="240"/>
      <c r="F848" s="366" t="str">
        <f>CIV!F1762</f>
        <v>Less Transfer to Reserves</v>
      </c>
      <c r="G848" s="187">
        <f>'Res-Gen'!E30</f>
        <v>889000</v>
      </c>
      <c r="H848" s="138"/>
      <c r="I848" s="33">
        <v>0</v>
      </c>
      <c r="J848" s="33">
        <v>0</v>
      </c>
      <c r="K848" s="33">
        <v>0</v>
      </c>
      <c r="L848" s="33">
        <v>0</v>
      </c>
      <c r="M848" s="33">
        <v>0</v>
      </c>
      <c r="N848" s="33">
        <v>0</v>
      </c>
      <c r="O848" s="33">
        <v>0</v>
      </c>
      <c r="P848" s="33">
        <v>0</v>
      </c>
      <c r="Q848" s="33">
        <v>0</v>
      </c>
      <c r="R848" s="114">
        <v>0</v>
      </c>
    </row>
    <row r="849" spans="1:18" x14ac:dyDescent="0.2">
      <c r="A849" s="107">
        <v>0</v>
      </c>
      <c r="B849" s="33">
        <v>0</v>
      </c>
      <c r="C849" s="187">
        <v>200000</v>
      </c>
      <c r="D849" s="187">
        <f>'Res-Gen'!C30</f>
        <v>115400</v>
      </c>
      <c r="E849" s="240"/>
      <c r="F849" s="366" t="str">
        <f>CIV!F1763</f>
        <v>Add Transfer from Reserves</v>
      </c>
      <c r="G849" s="187">
        <f>'Res-Gen'!F30</f>
        <v>1379000</v>
      </c>
      <c r="H849" s="138"/>
      <c r="I849" s="33">
        <v>0</v>
      </c>
      <c r="J849" s="33">
        <v>0</v>
      </c>
      <c r="K849" s="33">
        <v>0</v>
      </c>
      <c r="L849" s="33">
        <v>0</v>
      </c>
      <c r="M849" s="33">
        <v>0</v>
      </c>
      <c r="N849" s="33">
        <v>0</v>
      </c>
      <c r="O849" s="33">
        <v>0</v>
      </c>
      <c r="P849" s="33">
        <v>0</v>
      </c>
      <c r="Q849" s="33">
        <v>0</v>
      </c>
      <c r="R849" s="114">
        <v>0</v>
      </c>
    </row>
    <row r="850" spans="1:18" x14ac:dyDescent="0.2">
      <c r="A850" s="107">
        <v>0</v>
      </c>
      <c r="B850" s="33">
        <v>15000</v>
      </c>
      <c r="C850" s="187">
        <v>0</v>
      </c>
      <c r="D850" s="187">
        <f>'Cap-Gen'!S17</f>
        <v>0</v>
      </c>
      <c r="E850" s="240"/>
      <c r="F850" s="366" t="str">
        <f>CIV!F1764</f>
        <v>Add Capital Income Applied</v>
      </c>
      <c r="G850" s="187">
        <f>'Cap-Gen'!X18+'Cap-Gen'!X17</f>
        <v>6711700</v>
      </c>
      <c r="H850" s="138"/>
      <c r="I850" s="33">
        <f>'Cap-Gen'!AC17+'Cap-Gen'!AC18</f>
        <v>5927800</v>
      </c>
      <c r="J850" s="33">
        <v>0</v>
      </c>
      <c r="K850" s="33">
        <v>0</v>
      </c>
      <c r="L850" s="33">
        <v>0</v>
      </c>
      <c r="M850" s="33">
        <v>0</v>
      </c>
      <c r="N850" s="33">
        <v>0</v>
      </c>
      <c r="O850" s="33">
        <v>0</v>
      </c>
      <c r="P850" s="33">
        <v>0</v>
      </c>
      <c r="Q850" s="33">
        <v>0</v>
      </c>
      <c r="R850" s="114">
        <v>0</v>
      </c>
    </row>
    <row r="851" spans="1:18" x14ac:dyDescent="0.2">
      <c r="A851" s="107">
        <v>0</v>
      </c>
      <c r="B851" s="33">
        <v>21700</v>
      </c>
      <c r="C851" s="187">
        <v>36400</v>
      </c>
      <c r="D851" s="187">
        <f>SUM('Cap-Gen'!E16:E18)</f>
        <v>115400</v>
      </c>
      <c r="E851" s="240"/>
      <c r="F851" s="366" t="str">
        <f>CIV!F1765</f>
        <v>Less Capital Expenditure</v>
      </c>
      <c r="G851" s="187">
        <f>SUM('Cap-Gen'!F16:F18)</f>
        <v>8090700</v>
      </c>
      <c r="H851" s="138"/>
      <c r="I851" s="187">
        <f>SUM('Cap-Gen'!G16:G18)</f>
        <v>5927800</v>
      </c>
      <c r="J851" s="187">
        <f>SUM('Cap-Gen'!H16:H18)</f>
        <v>0</v>
      </c>
      <c r="K851" s="187">
        <f>SUM('Cap-Gen'!I16:I18)</f>
        <v>0</v>
      </c>
      <c r="L851" s="187">
        <f>SUM('Cap-Gen'!J16:J18)</f>
        <v>0</v>
      </c>
      <c r="M851" s="187">
        <f>SUM('Cap-Gen'!K16:K18)</f>
        <v>0</v>
      </c>
      <c r="N851" s="187">
        <f>SUM('Cap-Gen'!L16:L18)</f>
        <v>0</v>
      </c>
      <c r="O851" s="187">
        <f>SUM('Cap-Gen'!M16:M18)</f>
        <v>0</v>
      </c>
      <c r="P851" s="187">
        <f>SUM('Cap-Gen'!N16:N18)</f>
        <v>0</v>
      </c>
      <c r="Q851" s="187">
        <f>SUM('Cap-Gen'!O16:O18)</f>
        <v>0</v>
      </c>
      <c r="R851" s="188">
        <f>SUM('Cap-Gen'!Q16:Q18)</f>
        <v>0</v>
      </c>
    </row>
    <row r="852" spans="1:18" s="92" customFormat="1" x14ac:dyDescent="0.2">
      <c r="A852" s="181">
        <f>A843-A847-A848+A849++A850-A851</f>
        <v>-441900</v>
      </c>
      <c r="B852" s="397">
        <f>B843-B847-B848+B849++B850-B851</f>
        <v>-485000</v>
      </c>
      <c r="C852" s="728">
        <f>C843-C847-C848+C849++C850-C851</f>
        <v>-370000</v>
      </c>
      <c r="D852" s="728">
        <f>D843-D847-D848+D849++D850-D851</f>
        <v>-721700</v>
      </c>
      <c r="E852" s="532"/>
      <c r="F852" s="518" t="s">
        <v>2490</v>
      </c>
      <c r="G852" s="728">
        <f t="shared" ref="G852:P852" si="682">G843-G847-G848+G849++G850-G851</f>
        <v>-1207700</v>
      </c>
      <c r="H852" s="395">
        <f>IF(D852=G852,0,IF(D852=0,100,(G852-D852)/D852*100))</f>
        <v>67.341000415685187</v>
      </c>
      <c r="I852" s="397">
        <f t="shared" si="682"/>
        <v>-1171500</v>
      </c>
      <c r="J852" s="397">
        <f t="shared" si="682"/>
        <v>-1298300</v>
      </c>
      <c r="K852" s="397">
        <f t="shared" si="682"/>
        <v>-1308900</v>
      </c>
      <c r="L852" s="397">
        <f t="shared" si="682"/>
        <v>-1319600</v>
      </c>
      <c r="M852" s="397">
        <f t="shared" si="682"/>
        <v>-1328800</v>
      </c>
      <c r="N852" s="397">
        <f t="shared" si="682"/>
        <v>-1338200</v>
      </c>
      <c r="O852" s="397">
        <f t="shared" si="682"/>
        <v>-1347800</v>
      </c>
      <c r="P852" s="397">
        <f t="shared" si="682"/>
        <v>-1357500</v>
      </c>
      <c r="Q852" s="397">
        <f t="shared" ref="Q852" si="683">Q843-Q847-Q848+Q849++Q850-Q851</f>
        <v>-1367300</v>
      </c>
      <c r="R852" s="399">
        <f t="shared" ref="R852" si="684">R843-R847-R848+R849++R850-R851</f>
        <v>-1377100</v>
      </c>
    </row>
    <row r="853" spans="1:18" ht="13.5" thickBot="1" x14ac:dyDescent="0.25">
      <c r="A853" s="73"/>
      <c r="B853" s="90"/>
      <c r="C853" s="200"/>
      <c r="D853" s="200"/>
      <c r="E853" s="239"/>
      <c r="F853" s="239"/>
      <c r="G853" s="200"/>
      <c r="H853" s="392"/>
      <c r="I853" s="66"/>
      <c r="J853" s="66"/>
      <c r="K853" s="66"/>
      <c r="L853" s="66"/>
      <c r="M853" s="66"/>
      <c r="N853" s="66"/>
      <c r="O853" s="66"/>
      <c r="P853" s="66"/>
      <c r="Q853" s="66"/>
      <c r="R853" s="165"/>
    </row>
    <row r="854" spans="1:18" ht="14.25" thickTop="1" thickBot="1" x14ac:dyDescent="0.25">
      <c r="A854" s="74"/>
      <c r="B854" s="74"/>
      <c r="C854" s="74"/>
      <c r="D854" s="74"/>
      <c r="E854" s="273"/>
      <c r="F854" s="137"/>
      <c r="G854" s="99"/>
      <c r="H854" s="2211"/>
      <c r="I854" s="99"/>
      <c r="J854" s="99"/>
      <c r="K854" s="99"/>
      <c r="L854" s="99"/>
      <c r="M854" s="99"/>
      <c r="N854" s="99"/>
      <c r="O854" s="99"/>
      <c r="P854" s="99"/>
      <c r="Q854" s="99"/>
      <c r="R854" s="99"/>
    </row>
    <row r="855" spans="1:18" s="91" customFormat="1" ht="18.75" customHeight="1" thickTop="1" thickBot="1" x14ac:dyDescent="0.3">
      <c r="A855" s="2862" t="str">
        <f>SP!A322</f>
        <v>TOURISM</v>
      </c>
      <c r="B855" s="2863"/>
      <c r="C855" s="2863"/>
      <c r="D855" s="2863"/>
      <c r="E855" s="2863"/>
      <c r="F855" s="2863"/>
      <c r="G855" s="2863"/>
      <c r="H855" s="2863"/>
      <c r="I855" s="2863"/>
      <c r="J855" s="2863"/>
      <c r="K855" s="2863"/>
      <c r="L855" s="2863"/>
      <c r="M855" s="2863"/>
      <c r="N855" s="2863"/>
      <c r="O855" s="2863"/>
      <c r="P855" s="2863"/>
      <c r="Q855" s="2863"/>
      <c r="R855" s="2864"/>
    </row>
    <row r="856" spans="1:18" s="44" customFormat="1" x14ac:dyDescent="0.2">
      <c r="A856" s="2848" t="s">
        <v>1856</v>
      </c>
      <c r="B856" s="2840"/>
      <c r="C856" s="2840"/>
      <c r="D856" s="2849"/>
      <c r="E856" s="513" t="s">
        <v>2663</v>
      </c>
      <c r="F856" s="369" t="s">
        <v>2251</v>
      </c>
      <c r="G856" s="2839" t="s">
        <v>2253</v>
      </c>
      <c r="H856" s="2840"/>
      <c r="I856" s="2840"/>
      <c r="J856" s="2840"/>
      <c r="K856" s="2840"/>
      <c r="L856" s="2840"/>
      <c r="M856" s="2840"/>
      <c r="N856" s="2840"/>
      <c r="O856" s="2840"/>
      <c r="P856" s="2840"/>
      <c r="Q856" s="2840"/>
      <c r="R856" s="2841"/>
    </row>
    <row r="857" spans="1:18" s="23" customFormat="1" ht="13.5" thickBot="1" x14ac:dyDescent="0.25">
      <c r="A857" s="208" t="str">
        <f>GM!A3</f>
        <v>2012/13</v>
      </c>
      <c r="B857" s="75" t="str">
        <f>GM!B3</f>
        <v>2013/14</v>
      </c>
      <c r="C857" s="370" t="str">
        <f>GM!C3</f>
        <v>2014/15</v>
      </c>
      <c r="D857" s="93" t="str">
        <f>GM!D3</f>
        <v>2015/16</v>
      </c>
      <c r="E857" s="370" t="s">
        <v>2664</v>
      </c>
      <c r="F857" s="42"/>
      <c r="G857" s="93" t="str">
        <f>GM!G3</f>
        <v>2016/17</v>
      </c>
      <c r="H857" s="2492" t="s">
        <v>501</v>
      </c>
      <c r="I857" s="370" t="str">
        <f>GM!I3</f>
        <v>2017/18</v>
      </c>
      <c r="J857" s="370" t="str">
        <f>GM!J3</f>
        <v>2018/19</v>
      </c>
      <c r="K857" s="370" t="str">
        <f>GM!K3</f>
        <v>2019/20</v>
      </c>
      <c r="L857" s="370" t="str">
        <f>GM!L3</f>
        <v>2020/21</v>
      </c>
      <c r="M857" s="370" t="str">
        <f>GM!M3</f>
        <v>2021/22</v>
      </c>
      <c r="N857" s="370" t="str">
        <f>GM!N3</f>
        <v>2022/23</v>
      </c>
      <c r="O857" s="370" t="str">
        <f>GM!O3</f>
        <v>2023/24</v>
      </c>
      <c r="P857" s="381" t="str">
        <f>GM!P3</f>
        <v>2024/25</v>
      </c>
      <c r="Q857" s="218" t="str">
        <f>GM!Q3</f>
        <v>2025/26</v>
      </c>
      <c r="R857" s="549" t="str">
        <f>GM!R3</f>
        <v>2026/27</v>
      </c>
    </row>
    <row r="858" spans="1:18" s="23" customFormat="1" x14ac:dyDescent="0.2">
      <c r="A858" s="268"/>
      <c r="B858" s="204"/>
      <c r="C858" s="529"/>
      <c r="D858" s="204"/>
      <c r="E858" s="529"/>
      <c r="F858" s="22"/>
      <c r="G858" s="204"/>
      <c r="H858" s="1702"/>
      <c r="I858" s="529"/>
      <c r="J858" s="529"/>
      <c r="K858" s="529"/>
      <c r="L858" s="529"/>
      <c r="M858" s="529"/>
      <c r="N858" s="529"/>
      <c r="O858" s="529"/>
      <c r="P858" s="531"/>
      <c r="Q858" s="529"/>
      <c r="R858" s="530"/>
    </row>
    <row r="859" spans="1:18" x14ac:dyDescent="0.2">
      <c r="A859" s="107"/>
      <c r="B859" s="33"/>
      <c r="C859" s="33"/>
      <c r="D859" s="33"/>
      <c r="E859" s="252"/>
      <c r="F859" s="144" t="s">
        <v>1073</v>
      </c>
      <c r="G859" s="33"/>
      <c r="H859" s="138"/>
      <c r="I859" s="33"/>
      <c r="J859" s="33"/>
      <c r="K859" s="33"/>
      <c r="L859" s="33"/>
      <c r="M859" s="33"/>
      <c r="N859" s="33"/>
      <c r="O859" s="33"/>
      <c r="P859" s="142"/>
      <c r="Q859" s="33"/>
      <c r="R859" s="114"/>
    </row>
    <row r="860" spans="1:18" x14ac:dyDescent="0.2">
      <c r="A860" s="107"/>
      <c r="B860" s="142"/>
      <c r="C860" s="33"/>
      <c r="D860" s="33"/>
      <c r="E860" s="255"/>
      <c r="F860" s="144"/>
      <c r="G860" s="33"/>
      <c r="H860" s="138"/>
      <c r="I860" s="33"/>
      <c r="J860" s="33"/>
      <c r="K860" s="33"/>
      <c r="L860" s="33"/>
      <c r="M860" s="33"/>
      <c r="N860" s="33"/>
      <c r="O860" s="33"/>
      <c r="P860" s="142"/>
      <c r="Q860" s="33"/>
      <c r="R860" s="114"/>
    </row>
    <row r="861" spans="1:18" x14ac:dyDescent="0.2">
      <c r="A861" s="107"/>
      <c r="B861" s="142"/>
      <c r="C861" s="33"/>
      <c r="D861" s="33"/>
      <c r="E861" s="344"/>
      <c r="F861" s="6" t="s">
        <v>736</v>
      </c>
      <c r="G861" s="33"/>
      <c r="H861" s="138"/>
      <c r="I861" s="33"/>
      <c r="J861" s="33"/>
      <c r="K861" s="33"/>
      <c r="L861" s="33"/>
      <c r="M861" s="33"/>
      <c r="N861" s="33"/>
      <c r="O861" s="33"/>
      <c r="P861" s="142"/>
      <c r="Q861" s="33"/>
      <c r="R861" s="114"/>
    </row>
    <row r="862" spans="1:18" x14ac:dyDescent="0.2">
      <c r="A862" s="107">
        <v>4900</v>
      </c>
      <c r="B862" s="33">
        <v>5800</v>
      </c>
      <c r="C862" s="33">
        <v>8600</v>
      </c>
      <c r="D862" s="33">
        <v>7200</v>
      </c>
      <c r="E862" s="344" t="s">
        <v>2397</v>
      </c>
      <c r="F862" s="3" t="s">
        <v>1285</v>
      </c>
      <c r="G862" s="33">
        <v>8700</v>
      </c>
      <c r="H862" s="138">
        <f t="shared" ref="H862:H867" si="685">IF(D862=G862,0,IF(D862=0,100,(G862-D862)/D862*100))</f>
        <v>20.833333333333336</v>
      </c>
      <c r="I862" s="33">
        <f>ROUNDUP(G862+(G862*Assumptions!H$5),-2)</f>
        <v>8900</v>
      </c>
      <c r="J862" s="33">
        <f>ROUNDUP(I862+(I862*Assumptions!I$5),-2)</f>
        <v>9200</v>
      </c>
      <c r="K862" s="33">
        <f>ROUNDUP(J862+(J862*Assumptions!J$5),-2)</f>
        <v>9500</v>
      </c>
      <c r="L862" s="33">
        <f>ROUNDUP(K862+(K862*Assumptions!K$5),-2)</f>
        <v>9800</v>
      </c>
      <c r="M862" s="33">
        <f>ROUNDUP(L862+(L862*Assumptions!L$5),-2)</f>
        <v>10000</v>
      </c>
      <c r="N862" s="33">
        <f>ROUNDUP(M862+(M862*Assumptions!M$5),-2)</f>
        <v>10200</v>
      </c>
      <c r="O862" s="33">
        <f>ROUNDUP(N862+(N862*Assumptions!N$5),-2)</f>
        <v>10500</v>
      </c>
      <c r="P862" s="142">
        <f>ROUNDUP(O862+(O862*Assumptions!O$5),-2)</f>
        <v>10800</v>
      </c>
      <c r="Q862" s="33">
        <f>ROUNDUP(P862+(P862*Assumptions!P$5),-2)</f>
        <v>11100</v>
      </c>
      <c r="R862" s="114">
        <f>ROUNDUP(Q862+(Q862*Assumptions!Q$5),-2)</f>
        <v>11400</v>
      </c>
    </row>
    <row r="863" spans="1:18" x14ac:dyDescent="0.2">
      <c r="A863" s="107">
        <v>100</v>
      </c>
      <c r="B863" s="33">
        <v>1100</v>
      </c>
      <c r="C863" s="33">
        <v>1400</v>
      </c>
      <c r="D863" s="33">
        <v>2800</v>
      </c>
      <c r="E863" s="344" t="s">
        <v>2398</v>
      </c>
      <c r="F863" s="3" t="s">
        <v>2172</v>
      </c>
      <c r="G863" s="33">
        <v>3100</v>
      </c>
      <c r="H863" s="138">
        <f t="shared" si="685"/>
        <v>10.714285714285714</v>
      </c>
      <c r="I863" s="33">
        <f>ROUNDUP(G863+(G863*Assumptions!H$5),-2)</f>
        <v>3200</v>
      </c>
      <c r="J863" s="33">
        <f>ROUNDUP(I863+(I863*Assumptions!I$5),-2)</f>
        <v>3300</v>
      </c>
      <c r="K863" s="33">
        <f>ROUNDUP(J863+(J863*Assumptions!J$5),-2)</f>
        <v>3400</v>
      </c>
      <c r="L863" s="33">
        <f>ROUNDUP(K863+(K863*Assumptions!K$5),-2)</f>
        <v>3500</v>
      </c>
      <c r="M863" s="33">
        <f>ROUNDUP(L863+(L863*Assumptions!L$5),-2)</f>
        <v>3600</v>
      </c>
      <c r="N863" s="33">
        <f>ROUNDUP(M863+(M863*Assumptions!M$5),-2)</f>
        <v>3700</v>
      </c>
      <c r="O863" s="33">
        <f>ROUNDUP(N863+(N863*Assumptions!N$5),-2)</f>
        <v>3800</v>
      </c>
      <c r="P863" s="142">
        <f>ROUNDUP(O863+(O863*Assumptions!O$5),-2)</f>
        <v>3900</v>
      </c>
      <c r="Q863" s="33">
        <f>ROUNDUP(P863+(P863*Assumptions!P$5),-2)</f>
        <v>4000</v>
      </c>
      <c r="R863" s="114">
        <f>ROUNDUP(Q863+(Q863*Assumptions!Q$5),-2)</f>
        <v>4100</v>
      </c>
    </row>
    <row r="864" spans="1:18" x14ac:dyDescent="0.2">
      <c r="A864" s="107">
        <v>0</v>
      </c>
      <c r="B864" s="130">
        <v>2000</v>
      </c>
      <c r="C864" s="33">
        <v>2500</v>
      </c>
      <c r="D864" s="33">
        <v>3500</v>
      </c>
      <c r="E864" s="811" t="s">
        <v>3889</v>
      </c>
      <c r="F864" s="890" t="s">
        <v>4535</v>
      </c>
      <c r="G864" s="33">
        <v>3100</v>
      </c>
      <c r="H864" s="138">
        <f t="shared" si="685"/>
        <v>-11.428571428571429</v>
      </c>
      <c r="I864" s="33">
        <f>ROUNDUP(G864+(G864*Assumptions!H$5),-2)</f>
        <v>3200</v>
      </c>
      <c r="J864" s="33">
        <f>ROUNDUP(I864+(I864*Assumptions!I$5),-2)</f>
        <v>3300</v>
      </c>
      <c r="K864" s="33">
        <f>ROUNDUP(J864+(J864*Assumptions!J$5),-2)</f>
        <v>3400</v>
      </c>
      <c r="L864" s="33">
        <f>ROUNDUP(K864+(K864*Assumptions!K$5),-2)</f>
        <v>3500</v>
      </c>
      <c r="M864" s="33">
        <f>ROUNDUP(L864+(L864*Assumptions!L$5),-2)</f>
        <v>3600</v>
      </c>
      <c r="N864" s="33">
        <f>ROUNDUP(M864+(M864*Assumptions!M$5),-2)</f>
        <v>3700</v>
      </c>
      <c r="O864" s="33">
        <f>ROUNDUP(N864+(N864*Assumptions!N$5),-2)</f>
        <v>3800</v>
      </c>
      <c r="P864" s="142">
        <f>ROUNDUP(O864+(O864*Assumptions!O$5),-2)</f>
        <v>3900</v>
      </c>
      <c r="Q864" s="33">
        <f>ROUNDUP(P864+(P864*Assumptions!P$5),-2)</f>
        <v>4000</v>
      </c>
      <c r="R864" s="114">
        <f>ROUNDUP(Q864+(Q864*Assumptions!Q$5),-2)</f>
        <v>4100</v>
      </c>
    </row>
    <row r="865" spans="1:18" x14ac:dyDescent="0.2">
      <c r="A865" s="107">
        <v>200</v>
      </c>
      <c r="B865" s="33">
        <v>500</v>
      </c>
      <c r="C865" s="33">
        <v>400</v>
      </c>
      <c r="D865" s="33">
        <v>600</v>
      </c>
      <c r="E865" s="344" t="s">
        <v>257</v>
      </c>
      <c r="F865" s="3" t="s">
        <v>2360</v>
      </c>
      <c r="G865" s="33">
        <v>600</v>
      </c>
      <c r="H865" s="138">
        <f t="shared" si="685"/>
        <v>0</v>
      </c>
      <c r="I865" s="33">
        <f>ROUNDUP(G865+(G865*Assumptions!H$5),-2)</f>
        <v>700</v>
      </c>
      <c r="J865" s="33">
        <f>ROUNDUP(I865+(I865*Assumptions!I$5),-2)</f>
        <v>800</v>
      </c>
      <c r="K865" s="33">
        <f>ROUNDUP(J865+(J865*Assumptions!J$5),-2)</f>
        <v>900</v>
      </c>
      <c r="L865" s="33">
        <f>ROUNDUP(K865+(K865*Assumptions!K$5),-2)</f>
        <v>1000</v>
      </c>
      <c r="M865" s="33">
        <f>ROUNDUP(L865+(L865*Assumptions!L$5),-2)</f>
        <v>1100</v>
      </c>
      <c r="N865" s="33">
        <f>ROUNDUP(M865+(M865*Assumptions!M$5),-2)</f>
        <v>1200</v>
      </c>
      <c r="O865" s="33">
        <f>ROUNDUP(N865+(N865*Assumptions!N$5),-2)</f>
        <v>1300</v>
      </c>
      <c r="P865" s="142">
        <f>ROUNDUP(O865+(O865*Assumptions!O$5),-2)</f>
        <v>1400</v>
      </c>
      <c r="Q865" s="33">
        <f>ROUNDUP(P865+(P865*Assumptions!P$5),-2)</f>
        <v>1500</v>
      </c>
      <c r="R865" s="114">
        <f>ROUNDUP(Q865+(Q865*Assumptions!Q$5),-2)</f>
        <v>1600</v>
      </c>
    </row>
    <row r="866" spans="1:18" x14ac:dyDescent="0.2">
      <c r="A866" s="107">
        <v>0</v>
      </c>
      <c r="B866" s="33">
        <v>0</v>
      </c>
      <c r="C866" s="33">
        <v>1000</v>
      </c>
      <c r="D866" s="33">
        <v>2400</v>
      </c>
      <c r="E866" s="811" t="s">
        <v>4262</v>
      </c>
      <c r="F866" s="890" t="s">
        <v>4817</v>
      </c>
      <c r="G866" s="33">
        <v>2600</v>
      </c>
      <c r="H866" s="138">
        <f t="shared" si="685"/>
        <v>8.3333333333333321</v>
      </c>
      <c r="I866" s="33">
        <f>ROUNDUP(G866+(G866*Assumptions!H$5),-2)</f>
        <v>2700</v>
      </c>
      <c r="J866" s="33">
        <f>ROUNDUP(I866+(I866*Assumptions!I$5),-2)</f>
        <v>2800</v>
      </c>
      <c r="K866" s="33">
        <f>ROUNDUP(J866+(J866*Assumptions!J$5),-2)</f>
        <v>2900</v>
      </c>
      <c r="L866" s="33">
        <f>ROUNDUP(K866+(K866*Assumptions!K$5),-2)</f>
        <v>3000</v>
      </c>
      <c r="M866" s="33">
        <f>ROUNDUP(L866+(L866*Assumptions!L$5),-2)</f>
        <v>3100</v>
      </c>
      <c r="N866" s="33">
        <f>ROUNDUP(M866+(M866*Assumptions!M$5),-2)</f>
        <v>3200</v>
      </c>
      <c r="O866" s="33">
        <f>ROUNDUP(N866+(N866*Assumptions!N$5),-2)</f>
        <v>3300</v>
      </c>
      <c r="P866" s="142">
        <f>ROUNDUP(O866+(O866*Assumptions!O$5),-2)</f>
        <v>3400</v>
      </c>
      <c r="Q866" s="33">
        <f>ROUNDUP(P866+(P866*Assumptions!P$5),-2)</f>
        <v>3500</v>
      </c>
      <c r="R866" s="114">
        <f>ROUNDUP(Q866+(Q866*Assumptions!Q$5),-2)</f>
        <v>3600</v>
      </c>
    </row>
    <row r="867" spans="1:18" x14ac:dyDescent="0.2">
      <c r="A867" s="107">
        <v>24100</v>
      </c>
      <c r="B867" s="33">
        <f>31400+200</f>
        <v>31600</v>
      </c>
      <c r="C867" s="33">
        <v>30400</v>
      </c>
      <c r="D867" s="33">
        <v>38200</v>
      </c>
      <c r="E867" s="344" t="s">
        <v>258</v>
      </c>
      <c r="F867" s="890" t="s">
        <v>4818</v>
      </c>
      <c r="G867" s="33">
        <v>31000</v>
      </c>
      <c r="H867" s="138">
        <f t="shared" si="685"/>
        <v>-18.848167539267017</v>
      </c>
      <c r="I867" s="33">
        <f>ROUNDUP(G867+(G867*Assumptions!H$5),-2)</f>
        <v>31500</v>
      </c>
      <c r="J867" s="33">
        <f>ROUNDUP(I867+(I867*Assumptions!I$5),-2)</f>
        <v>32300</v>
      </c>
      <c r="K867" s="33">
        <f>ROUNDUP(J867+(J867*Assumptions!J$5),-2)</f>
        <v>33200</v>
      </c>
      <c r="L867" s="33">
        <f>ROUNDUP(K867+(K867*Assumptions!K$5),-2)</f>
        <v>34100</v>
      </c>
      <c r="M867" s="33">
        <f>ROUNDUP(L867+(L867*Assumptions!L$5),-2)</f>
        <v>34800</v>
      </c>
      <c r="N867" s="33">
        <f>ROUNDUP(M867+(M867*Assumptions!M$5),-2)</f>
        <v>35500</v>
      </c>
      <c r="O867" s="33">
        <f>ROUNDUP(N867+(N867*Assumptions!N$5),-2)</f>
        <v>36300</v>
      </c>
      <c r="P867" s="142">
        <f>ROUNDUP(O867+(O867*Assumptions!O$5),-2)</f>
        <v>37100</v>
      </c>
      <c r="Q867" s="33">
        <f>ROUNDUP(P867+(P867*Assumptions!P$5),-2)</f>
        <v>37900</v>
      </c>
      <c r="R867" s="114">
        <f>ROUNDUP(Q867+(Q867*Assumptions!Q$5),-2)</f>
        <v>38700</v>
      </c>
    </row>
    <row r="868" spans="1:18" x14ac:dyDescent="0.2">
      <c r="A868" s="107"/>
      <c r="B868" s="142"/>
      <c r="C868" s="33"/>
      <c r="D868" s="33"/>
      <c r="E868" s="437"/>
      <c r="F868" s="8" t="s">
        <v>4171</v>
      </c>
      <c r="G868" s="33"/>
      <c r="H868" s="138"/>
      <c r="I868" s="33"/>
      <c r="J868" s="33"/>
      <c r="K868" s="33"/>
      <c r="L868" s="33"/>
      <c r="M868" s="33"/>
      <c r="N868" s="33"/>
      <c r="O868" s="33"/>
      <c r="P868" s="142"/>
      <c r="Q868" s="33"/>
      <c r="R868" s="114"/>
    </row>
    <row r="869" spans="1:18" x14ac:dyDescent="0.2">
      <c r="A869" s="107">
        <v>0</v>
      </c>
      <c r="B869" s="142">
        <v>0</v>
      </c>
      <c r="C869" s="33">
        <v>5500</v>
      </c>
      <c r="D869" s="33">
        <v>0</v>
      </c>
      <c r="E869" s="1132" t="s">
        <v>3027</v>
      </c>
      <c r="F869" s="890" t="s">
        <v>4261</v>
      </c>
      <c r="G869" s="33">
        <v>0</v>
      </c>
      <c r="H869" s="138">
        <f t="shared" ref="H869:H876" si="686">IF(D869=G869,0,IF(D869=0,100,(G869-D869)/D869*100))</f>
        <v>0</v>
      </c>
      <c r="I869" s="33">
        <f>ROUNDUP(G869+(G869*Assumptions!H$5),-2)</f>
        <v>0</v>
      </c>
      <c r="J869" s="33">
        <f>ROUNDUP(I869+(I869*Assumptions!I$5),-2)</f>
        <v>0</v>
      </c>
      <c r="K869" s="33">
        <f>ROUNDUP(J869+(J869*Assumptions!J$5),-2)</f>
        <v>0</v>
      </c>
      <c r="L869" s="33">
        <f>ROUNDUP(K869+(K869*Assumptions!K$5),-2)</f>
        <v>0</v>
      </c>
      <c r="M869" s="33">
        <f>ROUNDUP(L869+(L869*Assumptions!L$5),-2)</f>
        <v>0</v>
      </c>
      <c r="N869" s="33">
        <f>ROUNDUP(M869+(M869*Assumptions!M$5),-2)</f>
        <v>0</v>
      </c>
      <c r="O869" s="33">
        <f>ROUNDUP(N869+(N869*Assumptions!N$5),-2)</f>
        <v>0</v>
      </c>
      <c r="P869" s="142">
        <f>ROUNDUP(O869+(O869*Assumptions!O$5),-2)</f>
        <v>0</v>
      </c>
      <c r="Q869" s="33">
        <f>ROUNDUP(P869+(P869*Assumptions!P$5),-2)</f>
        <v>0</v>
      </c>
      <c r="R869" s="114">
        <f>ROUNDUP(Q869+(Q869*Assumptions!Q$5),-2)</f>
        <v>0</v>
      </c>
    </row>
    <row r="870" spans="1:18" x14ac:dyDescent="0.2">
      <c r="A870" s="107">
        <v>56400</v>
      </c>
      <c r="B870" s="142">
        <v>60400</v>
      </c>
      <c r="C870" s="33">
        <v>500</v>
      </c>
      <c r="D870" s="33">
        <v>0</v>
      </c>
      <c r="E870" s="344" t="s">
        <v>2455</v>
      </c>
      <c r="F870" s="3" t="s">
        <v>1471</v>
      </c>
      <c r="G870" s="33">
        <v>0</v>
      </c>
      <c r="H870" s="138">
        <f t="shared" si="686"/>
        <v>0</v>
      </c>
      <c r="I870" s="33">
        <f>ROUNDUP(G870+(G870*Assumptions!H$5),-2)</f>
        <v>0</v>
      </c>
      <c r="J870" s="33">
        <f>ROUNDUP(I870+(I870*Assumptions!I$5),-2)</f>
        <v>0</v>
      </c>
      <c r="K870" s="33">
        <f>ROUNDUP(J870+(J870*Assumptions!J$5),-2)</f>
        <v>0</v>
      </c>
      <c r="L870" s="33">
        <f>ROUNDUP(K870+(K870*Assumptions!K$5),-2)</f>
        <v>0</v>
      </c>
      <c r="M870" s="33">
        <f>ROUNDUP(L870+(L870*Assumptions!L$5),-2)</f>
        <v>0</v>
      </c>
      <c r="N870" s="33">
        <f>ROUNDUP(M870+(M870*Assumptions!M$5),-2)</f>
        <v>0</v>
      </c>
      <c r="O870" s="33">
        <f>ROUNDUP(N870+(N870*Assumptions!N$5),-2)</f>
        <v>0</v>
      </c>
      <c r="P870" s="142">
        <f>ROUNDUP(O870+(O870*Assumptions!O$5),-2)</f>
        <v>0</v>
      </c>
      <c r="Q870" s="33">
        <f>ROUNDUP(P870+(P870*Assumptions!P$5),-2)</f>
        <v>0</v>
      </c>
      <c r="R870" s="114">
        <f>ROUNDUP(Q870+(Q870*Assumptions!Q$5),-2)</f>
        <v>0</v>
      </c>
    </row>
    <row r="871" spans="1:18" x14ac:dyDescent="0.2">
      <c r="A871" s="107">
        <v>9100</v>
      </c>
      <c r="B871" s="33">
        <v>9300</v>
      </c>
      <c r="C871" s="33">
        <v>89300</v>
      </c>
      <c r="D871" s="33">
        <v>83500</v>
      </c>
      <c r="E871" s="344" t="s">
        <v>2456</v>
      </c>
      <c r="F871" s="443" t="s">
        <v>1041</v>
      </c>
      <c r="G871" s="99">
        <v>0</v>
      </c>
      <c r="H871" s="138">
        <f t="shared" si="686"/>
        <v>-100</v>
      </c>
      <c r="I871" s="33">
        <f>ROUNDUP(G871+(G871*Assumptions!H$5),-2)</f>
        <v>0</v>
      </c>
      <c r="J871" s="33">
        <v>90000</v>
      </c>
      <c r="K871" s="33">
        <v>0</v>
      </c>
      <c r="L871" s="33">
        <f>ROUNDUP(K871+(K871*Assumptions!K$5),-2)</f>
        <v>0</v>
      </c>
      <c r="M871" s="33">
        <f>ROUNDUP(L871+(L871*Assumptions!L$5),-2)</f>
        <v>0</v>
      </c>
      <c r="N871" s="33">
        <f>ROUNDUP(M871+(M871*Assumptions!M$5),-2)</f>
        <v>0</v>
      </c>
      <c r="O871" s="33">
        <v>90000</v>
      </c>
      <c r="P871" s="142">
        <v>0</v>
      </c>
      <c r="Q871" s="33">
        <f>ROUNDUP(P871+(P871*Assumptions!P$5),-2)</f>
        <v>0</v>
      </c>
      <c r="R871" s="114">
        <f>ROUNDUP(Q871+(Q871*Assumptions!Q$5),-2)</f>
        <v>0</v>
      </c>
    </row>
    <row r="872" spans="1:18" x14ac:dyDescent="0.2">
      <c r="A872" s="107">
        <v>0</v>
      </c>
      <c r="B872" s="33">
        <v>0</v>
      </c>
      <c r="C872" s="33">
        <v>0</v>
      </c>
      <c r="D872" s="33">
        <v>0</v>
      </c>
      <c r="E872" s="344" t="s">
        <v>2456</v>
      </c>
      <c r="F872" s="814" t="s">
        <v>6644</v>
      </c>
      <c r="G872" s="99">
        <f>6600+6400</f>
        <v>13000</v>
      </c>
      <c r="H872" s="138">
        <f t="shared" si="686"/>
        <v>100</v>
      </c>
      <c r="I872" s="33">
        <f>ROUNDUP(G872+(G872*Assumptions!H$5),-2)</f>
        <v>13200</v>
      </c>
      <c r="J872" s="33">
        <f>ROUNDUP(I872+(I872*Assumptions!I$5),-2)</f>
        <v>13600</v>
      </c>
      <c r="K872" s="33">
        <f>ROUNDUP(J872+(J872*Assumptions!J$5),-2)</f>
        <v>14000</v>
      </c>
      <c r="L872" s="33">
        <f>ROUNDUP(K872+(K872*Assumptions!K$5),-2)</f>
        <v>14400</v>
      </c>
      <c r="M872" s="33">
        <f>ROUNDUP(L872+(L872*Assumptions!L$5),-2)</f>
        <v>14700</v>
      </c>
      <c r="N872" s="33">
        <f>ROUNDUP(M872+(M872*Assumptions!M$5),-2)</f>
        <v>15000</v>
      </c>
      <c r="O872" s="33">
        <f>ROUNDUP(N872+(N872*Assumptions!N$5),-2)</f>
        <v>15300</v>
      </c>
      <c r="P872" s="33">
        <f>ROUNDUP(O872+(O872*Assumptions!O$5),-2)</f>
        <v>15700</v>
      </c>
      <c r="Q872" s="33">
        <f>ROUNDUP(P872+(P872*Assumptions!P$5),-2)</f>
        <v>16100</v>
      </c>
      <c r="R872" s="114">
        <f>ROUNDUP(Q872+(Q872*Assumptions!Q$5),-2)</f>
        <v>16500</v>
      </c>
    </row>
    <row r="873" spans="1:18" x14ac:dyDescent="0.2">
      <c r="A873" s="107">
        <v>3000</v>
      </c>
      <c r="B873" s="33">
        <v>1700</v>
      </c>
      <c r="C873" s="33">
        <v>100</v>
      </c>
      <c r="D873" s="33">
        <v>100</v>
      </c>
      <c r="E873" s="344" t="s">
        <v>2645</v>
      </c>
      <c r="F873" s="814" t="s">
        <v>4193</v>
      </c>
      <c r="G873" s="99">
        <v>0</v>
      </c>
      <c r="H873" s="138">
        <f t="shared" si="686"/>
        <v>-100</v>
      </c>
      <c r="I873" s="33">
        <f>ROUNDUP(G873+(G873*Assumptions!H$5),-2)</f>
        <v>0</v>
      </c>
      <c r="J873" s="33">
        <f>ROUNDUP(I873+(I873*Assumptions!I$5),-2)</f>
        <v>0</v>
      </c>
      <c r="K873" s="33">
        <f>ROUNDUP(J873+(J873*Assumptions!J$5),-2)</f>
        <v>0</v>
      </c>
      <c r="L873" s="33">
        <f>ROUNDUP(K873+(K873*Assumptions!K$5),-2)</f>
        <v>0</v>
      </c>
      <c r="M873" s="33">
        <f>ROUNDUP(L873+(L873*Assumptions!L$5),-2)</f>
        <v>0</v>
      </c>
      <c r="N873" s="33">
        <f>ROUNDUP(M873+(M873*Assumptions!M$5),-2)</f>
        <v>0</v>
      </c>
      <c r="O873" s="33">
        <f>ROUNDUP(N873+(N873*Assumptions!N$5),-2)</f>
        <v>0</v>
      </c>
      <c r="P873" s="142">
        <f>ROUNDUP(O873+(O873*Assumptions!O$5),-2)</f>
        <v>0</v>
      </c>
      <c r="Q873" s="33">
        <f>ROUNDUP(P873+(P873*Assumptions!P$5),-2)</f>
        <v>0</v>
      </c>
      <c r="R873" s="114">
        <f>ROUNDUP(Q873+(Q873*Assumptions!Q$5),-2)</f>
        <v>0</v>
      </c>
    </row>
    <row r="874" spans="1:18" x14ac:dyDescent="0.2">
      <c r="A874" s="107">
        <v>35700</v>
      </c>
      <c r="B874" s="33">
        <v>1200</v>
      </c>
      <c r="C874" s="33">
        <v>0</v>
      </c>
      <c r="D874" s="33">
        <f>1500+1500</f>
        <v>3000</v>
      </c>
      <c r="E874" s="811" t="s">
        <v>3027</v>
      </c>
      <c r="F874" s="443" t="s">
        <v>2595</v>
      </c>
      <c r="G874" s="99">
        <v>0</v>
      </c>
      <c r="H874" s="138">
        <f t="shared" si="686"/>
        <v>-100</v>
      </c>
      <c r="I874" s="33">
        <f>ROUNDUP(G874+(G874*Assumptions!H$5),-2)</f>
        <v>0</v>
      </c>
      <c r="J874" s="33">
        <f>ROUNDUP(I874+(I874*Assumptions!I$5),-2)</f>
        <v>0</v>
      </c>
      <c r="K874" s="33">
        <f>ROUNDUP(J874+(J874*Assumptions!J$5),-2)</f>
        <v>0</v>
      </c>
      <c r="L874" s="33">
        <f>ROUNDUP(K874+(K874*Assumptions!K$5),-2)</f>
        <v>0</v>
      </c>
      <c r="M874" s="33">
        <f>ROUNDUP(L874+(L874*Assumptions!L$5),-2)</f>
        <v>0</v>
      </c>
      <c r="N874" s="33">
        <f>ROUNDUP(M874+(M874*Assumptions!M$5),-2)</f>
        <v>0</v>
      </c>
      <c r="O874" s="33">
        <f>ROUNDUP(N874+(N874*Assumptions!N$5),-2)</f>
        <v>0</v>
      </c>
      <c r="P874" s="142">
        <f>ROUNDUP(O874+(O874*Assumptions!O$5),-2)</f>
        <v>0</v>
      </c>
      <c r="Q874" s="33">
        <f>ROUNDUP(P874+(P874*Assumptions!P$5),-2)</f>
        <v>0</v>
      </c>
      <c r="R874" s="114">
        <f>ROUNDUP(Q874+(Q874*Assumptions!Q$5),-2)</f>
        <v>0</v>
      </c>
    </row>
    <row r="875" spans="1:18" x14ac:dyDescent="0.2">
      <c r="A875" s="107">
        <v>0</v>
      </c>
      <c r="B875" s="33">
        <v>500</v>
      </c>
      <c r="C875" s="33">
        <v>0</v>
      </c>
      <c r="D875" s="33">
        <v>3300</v>
      </c>
      <c r="E875" s="811" t="s">
        <v>3548</v>
      </c>
      <c r="F875" s="814" t="s">
        <v>4192</v>
      </c>
      <c r="G875" s="99">
        <v>2100</v>
      </c>
      <c r="H875" s="138">
        <f t="shared" si="686"/>
        <v>-36.363636363636367</v>
      </c>
      <c r="I875" s="33">
        <f>ROUNDUP(G875+(G875*Assumptions!H$5),-2)</f>
        <v>2200</v>
      </c>
      <c r="J875" s="33">
        <f>ROUNDUP(I875+(I875*Assumptions!I$5),-2)</f>
        <v>2300</v>
      </c>
      <c r="K875" s="33">
        <f>ROUNDUP(J875+(J875*Assumptions!J$5),-2)</f>
        <v>2400</v>
      </c>
      <c r="L875" s="33">
        <f>ROUNDUP(K875+(K875*Assumptions!K$5),-2)</f>
        <v>2500</v>
      </c>
      <c r="M875" s="33">
        <f>ROUNDUP(L875+(L875*Assumptions!L$5),-2)</f>
        <v>2600</v>
      </c>
      <c r="N875" s="33">
        <f>ROUNDUP(M875+(M875*Assumptions!M$5),-2)</f>
        <v>2700</v>
      </c>
      <c r="O875" s="33">
        <f>ROUNDUP(N875+(N875*Assumptions!N$5),-2)</f>
        <v>2800</v>
      </c>
      <c r="P875" s="142">
        <f>ROUNDUP(O875+(O875*Assumptions!O$5),-2)</f>
        <v>2900</v>
      </c>
      <c r="Q875" s="33">
        <f>ROUNDUP(P875+(P875*Assumptions!P$5),-2)</f>
        <v>3000</v>
      </c>
      <c r="R875" s="114">
        <f>ROUNDUP(Q875+(Q875*Assumptions!Q$5),-2)</f>
        <v>3100</v>
      </c>
    </row>
    <row r="876" spans="1:18" x14ac:dyDescent="0.2">
      <c r="A876" s="107">
        <v>200</v>
      </c>
      <c r="B876" s="33">
        <v>0</v>
      </c>
      <c r="C876" s="33">
        <v>0</v>
      </c>
      <c r="D876" s="33">
        <v>300</v>
      </c>
      <c r="E876" s="1092" t="s">
        <v>5043</v>
      </c>
      <c r="F876" s="355" t="s">
        <v>1559</v>
      </c>
      <c r="G876" s="33">
        <v>600</v>
      </c>
      <c r="H876" s="138">
        <f t="shared" si="686"/>
        <v>100</v>
      </c>
      <c r="I876" s="33">
        <f>ROUNDUP(G876+(G876*Assumptions!H$5),-2)</f>
        <v>700</v>
      </c>
      <c r="J876" s="33">
        <f>ROUNDUP(I876+(I876*Assumptions!I$5),-2)</f>
        <v>800</v>
      </c>
      <c r="K876" s="33">
        <f>ROUNDUP(J876+(J876*Assumptions!J$5),-2)</f>
        <v>900</v>
      </c>
      <c r="L876" s="33">
        <f>ROUNDUP(K876+(K876*Assumptions!K$5),-2)</f>
        <v>1000</v>
      </c>
      <c r="M876" s="33">
        <f>ROUNDUP(L876+(L876*Assumptions!L$5),-2)</f>
        <v>1100</v>
      </c>
      <c r="N876" s="33">
        <f>ROUNDUP(M876+(M876*Assumptions!M$5),-2)</f>
        <v>1200</v>
      </c>
      <c r="O876" s="33">
        <f>ROUNDUP(N876+(N876*Assumptions!N$5),-2)</f>
        <v>1300</v>
      </c>
      <c r="P876" s="142">
        <f>ROUNDUP(O876+(O876*Assumptions!O$5),-2)</f>
        <v>1400</v>
      </c>
      <c r="Q876" s="33">
        <f>ROUNDUP(P876+(P876*Assumptions!P$5),-2)</f>
        <v>1500</v>
      </c>
      <c r="R876" s="114">
        <f>ROUNDUP(Q876+(Q876*Assumptions!Q$5),-2)</f>
        <v>1600</v>
      </c>
    </row>
    <row r="877" spans="1:18" x14ac:dyDescent="0.2">
      <c r="A877" s="107"/>
      <c r="B877" s="33"/>
      <c r="C877" s="33"/>
      <c r="D877" s="33"/>
      <c r="E877" s="445"/>
      <c r="F877" s="1103" t="s">
        <v>687</v>
      </c>
      <c r="G877" s="99"/>
      <c r="H877" s="138"/>
      <c r="I877" s="33"/>
      <c r="J877" s="33"/>
      <c r="K877" s="33"/>
      <c r="L877" s="33"/>
      <c r="M877" s="33"/>
      <c r="N877" s="33"/>
      <c r="O877" s="33"/>
      <c r="P877" s="142"/>
      <c r="Q877" s="33"/>
      <c r="R877" s="114"/>
    </row>
    <row r="878" spans="1:18" x14ac:dyDescent="0.2">
      <c r="A878" s="107">
        <v>12000</v>
      </c>
      <c r="B878" s="33">
        <v>25000</v>
      </c>
      <c r="C878" s="142">
        <v>0</v>
      </c>
      <c r="D878" s="33">
        <v>0</v>
      </c>
      <c r="E878" s="344" t="s">
        <v>1379</v>
      </c>
      <c r="F878" s="443" t="s">
        <v>1378</v>
      </c>
      <c r="G878" s="99">
        <v>0</v>
      </c>
      <c r="H878" s="138">
        <f>IF(D878=G878,0,IF(D878=0,100,(G878-D878)/D878*100))</f>
        <v>0</v>
      </c>
      <c r="I878" s="33">
        <v>0</v>
      </c>
      <c r="J878" s="33">
        <f>ROUNDUP(I878+(I878*Assumptions!I$5),-2)</f>
        <v>0</v>
      </c>
      <c r="K878" s="33">
        <f>ROUNDUP(J878+(J878*Assumptions!J$5),-2)</f>
        <v>0</v>
      </c>
      <c r="L878" s="33">
        <f>ROUNDUP(K878+(K878*Assumptions!K$5),-2)</f>
        <v>0</v>
      </c>
      <c r="M878" s="33">
        <f>ROUNDUP(L878+(L878*Assumptions!L$5),-2)</f>
        <v>0</v>
      </c>
      <c r="N878" s="33">
        <f>ROUNDUP(M878+(M878*Assumptions!M$5),-2)</f>
        <v>0</v>
      </c>
      <c r="O878" s="33">
        <f>ROUNDUP(N878+(N878*Assumptions!N$5),-2)</f>
        <v>0</v>
      </c>
      <c r="P878" s="142">
        <f>ROUNDUP(O878+(O878*Assumptions!O$5),-2)</f>
        <v>0</v>
      </c>
      <c r="Q878" s="33">
        <f>ROUNDUP(P878+(P878*Assumptions!P$5),-2)</f>
        <v>0</v>
      </c>
      <c r="R878" s="114">
        <f>ROUNDUP(Q878+(Q878*Assumptions!Q$5),-2)</f>
        <v>0</v>
      </c>
    </row>
    <row r="879" spans="1:18" x14ac:dyDescent="0.2">
      <c r="A879" s="107">
        <v>0</v>
      </c>
      <c r="B879" s="33">
        <v>0</v>
      </c>
      <c r="C879" s="142">
        <v>0</v>
      </c>
      <c r="D879" s="33">
        <v>0</v>
      </c>
      <c r="E879" s="811" t="s">
        <v>6612</v>
      </c>
      <c r="F879" s="814" t="s">
        <v>6613</v>
      </c>
      <c r="G879" s="99">
        <v>50000</v>
      </c>
      <c r="H879" s="138">
        <f>IF(D879=G879,0,IF(D879=0,100,(G879-D879)/D879*100))</f>
        <v>100</v>
      </c>
      <c r="I879" s="33">
        <v>0</v>
      </c>
      <c r="J879" s="33">
        <v>0</v>
      </c>
      <c r="K879" s="33">
        <v>0</v>
      </c>
      <c r="L879" s="33">
        <v>0</v>
      </c>
      <c r="M879" s="33">
        <v>0</v>
      </c>
      <c r="N879" s="33">
        <v>0</v>
      </c>
      <c r="O879" s="33">
        <v>0</v>
      </c>
      <c r="P879" s="33">
        <v>0</v>
      </c>
      <c r="Q879" s="33">
        <v>0</v>
      </c>
      <c r="R879" s="114">
        <v>0</v>
      </c>
    </row>
    <row r="880" spans="1:18" ht="13.5" thickBot="1" x14ac:dyDescent="0.25">
      <c r="A880" s="609"/>
      <c r="B880" s="33"/>
      <c r="C880" s="189"/>
      <c r="D880" s="187"/>
      <c r="E880" s="240"/>
      <c r="F880" s="365"/>
      <c r="G880" s="198"/>
      <c r="H880" s="138"/>
      <c r="I880" s="33"/>
      <c r="J880" s="33"/>
      <c r="K880" s="33"/>
      <c r="L880" s="33"/>
      <c r="M880" s="33"/>
      <c r="N880" s="33"/>
      <c r="O880" s="33"/>
      <c r="P880" s="142"/>
      <c r="Q880" s="33"/>
      <c r="R880" s="114"/>
    </row>
    <row r="881" spans="1:18" x14ac:dyDescent="0.2">
      <c r="A881" s="105">
        <f>SUM(A861:A880)</f>
        <v>145700</v>
      </c>
      <c r="B881" s="155">
        <f>SUM(B861:B880)</f>
        <v>139100</v>
      </c>
      <c r="C881" s="53">
        <f>SUM(C861:C880)</f>
        <v>139700</v>
      </c>
      <c r="D881" s="53">
        <f>SUM(D861:D880)</f>
        <v>144900</v>
      </c>
      <c r="E881" s="343"/>
      <c r="F881" s="378" t="s">
        <v>2605</v>
      </c>
      <c r="G881" s="53">
        <f>SUM(G861:G880)</f>
        <v>114800</v>
      </c>
      <c r="H881" s="2485">
        <f>IF(D881=G881,0,IF(D881=0,100,(G881-D881)/D881*100))</f>
        <v>-20.772946859903382</v>
      </c>
      <c r="I881" s="53">
        <f t="shared" ref="I881:P881" si="687">SUM(I861:I880)</f>
        <v>66300</v>
      </c>
      <c r="J881" s="53">
        <f t="shared" si="687"/>
        <v>158400</v>
      </c>
      <c r="K881" s="53">
        <f t="shared" si="687"/>
        <v>70600</v>
      </c>
      <c r="L881" s="53">
        <f t="shared" si="687"/>
        <v>72800</v>
      </c>
      <c r="M881" s="53">
        <f t="shared" si="687"/>
        <v>74600</v>
      </c>
      <c r="N881" s="53">
        <f t="shared" si="687"/>
        <v>76400</v>
      </c>
      <c r="O881" s="53">
        <f t="shared" si="687"/>
        <v>168400</v>
      </c>
      <c r="P881" s="155">
        <f t="shared" si="687"/>
        <v>80500</v>
      </c>
      <c r="Q881" s="53">
        <f t="shared" ref="Q881" si="688">SUM(Q861:Q880)</f>
        <v>82600</v>
      </c>
      <c r="R881" s="113">
        <f t="shared" ref="R881" si="689">SUM(R861:R880)</f>
        <v>84700</v>
      </c>
    </row>
    <row r="882" spans="1:18" x14ac:dyDescent="0.2">
      <c r="A882" s="107"/>
      <c r="B882" s="142"/>
      <c r="C882" s="33"/>
      <c r="D882" s="33"/>
      <c r="E882" s="343"/>
      <c r="F882" s="378"/>
      <c r="G882" s="99"/>
      <c r="H882" s="138"/>
      <c r="I882" s="33"/>
      <c r="J882" s="33"/>
      <c r="K882" s="33"/>
      <c r="L882" s="33"/>
      <c r="M882" s="33"/>
      <c r="N882" s="33"/>
      <c r="O882" s="33"/>
      <c r="P882" s="142"/>
      <c r="Q882" s="33"/>
      <c r="R882" s="114"/>
    </row>
    <row r="883" spans="1:18" x14ac:dyDescent="0.2">
      <c r="A883" s="107"/>
      <c r="B883" s="142"/>
      <c r="C883" s="33"/>
      <c r="D883" s="33"/>
      <c r="E883" s="343"/>
      <c r="F883" s="365" t="s">
        <v>2205</v>
      </c>
      <c r="G883" s="99"/>
      <c r="H883" s="138"/>
      <c r="I883" s="33"/>
      <c r="J883" s="33"/>
      <c r="K883" s="33"/>
      <c r="L883" s="33"/>
      <c r="M883" s="33"/>
      <c r="N883" s="33"/>
      <c r="O883" s="33"/>
      <c r="P883" s="142"/>
      <c r="Q883" s="33"/>
      <c r="R883" s="114"/>
    </row>
    <row r="884" spans="1:18" x14ac:dyDescent="0.2">
      <c r="A884" s="107"/>
      <c r="B884" s="142"/>
      <c r="C884" s="33"/>
      <c r="D884" s="33"/>
      <c r="E884" s="343"/>
      <c r="F884" s="371" t="s">
        <v>1249</v>
      </c>
      <c r="G884" s="99"/>
      <c r="H884" s="138"/>
      <c r="I884" s="33"/>
      <c r="J884" s="33"/>
      <c r="K884" s="33"/>
      <c r="L884" s="33"/>
      <c r="M884" s="33"/>
      <c r="N884" s="33"/>
      <c r="O884" s="33"/>
      <c r="P884" s="142"/>
      <c r="Q884" s="33"/>
      <c r="R884" s="114"/>
    </row>
    <row r="885" spans="1:18" x14ac:dyDescent="0.2">
      <c r="A885" s="107">
        <v>220000</v>
      </c>
      <c r="B885" s="33">
        <v>235000</v>
      </c>
      <c r="C885" s="33">
        <v>250000</v>
      </c>
      <c r="D885" s="33">
        <v>268000</v>
      </c>
      <c r="E885" s="344" t="s">
        <v>2457</v>
      </c>
      <c r="F885" s="366" t="s">
        <v>1341</v>
      </c>
      <c r="G885" s="99">
        <f>192000+15000+2000</f>
        <v>209000</v>
      </c>
      <c r="H885" s="138">
        <f>IF(D885=G885,0,IF(D885=0,100,(G885-D885)/D885*100))</f>
        <v>-22.014925373134329</v>
      </c>
      <c r="I885" s="33">
        <f>ROUND((G885*Assumptions!H$13)+SP!G885,-2)</f>
        <v>213200</v>
      </c>
      <c r="J885" s="33">
        <f>ROUND((I885*Assumptions!I$13)+SP!I885,-2)</f>
        <v>218500</v>
      </c>
      <c r="K885" s="33">
        <f>ROUND((J885*Assumptions!J$13)+SP!J885,-2)</f>
        <v>224000</v>
      </c>
      <c r="L885" s="33">
        <f>ROUND((K885*Assumptions!K$13)+SP!K885,-2)</f>
        <v>229600</v>
      </c>
      <c r="M885" s="33">
        <f>ROUND((L885*Assumptions!L$13)+SP!L885,-2)</f>
        <v>235300</v>
      </c>
      <c r="N885" s="33">
        <f>ROUND((M885*Assumptions!M$13)+SP!M885,-2)</f>
        <v>241200</v>
      </c>
      <c r="O885" s="33">
        <f>ROUND((N885*Assumptions!N$13)+SP!N885,-2)</f>
        <v>247200</v>
      </c>
      <c r="P885" s="142">
        <f>ROUND((O885*Assumptions!O$13)+SP!O885,-2)</f>
        <v>253400</v>
      </c>
      <c r="Q885" s="33">
        <f>ROUND((P885*Assumptions!P$13)+SP!P885,-2)</f>
        <v>259700</v>
      </c>
      <c r="R885" s="114">
        <f>ROUND((Q885*Assumptions!Q$13)+SP!Q885,-2)</f>
        <v>266200</v>
      </c>
    </row>
    <row r="886" spans="1:18" x14ac:dyDescent="0.2">
      <c r="A886" s="107">
        <v>200</v>
      </c>
      <c r="B886" s="33">
        <v>0</v>
      </c>
      <c r="C886" s="33">
        <v>0</v>
      </c>
      <c r="D886" s="33">
        <v>0</v>
      </c>
      <c r="E886" s="344" t="s">
        <v>1975</v>
      </c>
      <c r="F886" s="366" t="s">
        <v>721</v>
      </c>
      <c r="G886" s="99">
        <v>1100</v>
      </c>
      <c r="H886" s="138">
        <f>IF(D886=G886,0,IF(D886=0,100,(G886-D886)/D886*100))</f>
        <v>100</v>
      </c>
      <c r="I886" s="33">
        <f>ROUNDUP(G886+(G886*Assumptions!H$5),-2)</f>
        <v>1200</v>
      </c>
      <c r="J886" s="33">
        <f>ROUNDUP(I886+(I886*Assumptions!I$5),-2)</f>
        <v>1300</v>
      </c>
      <c r="K886" s="33">
        <f>ROUNDUP(J886+(J886*Assumptions!J$5),-2)</f>
        <v>1400</v>
      </c>
      <c r="L886" s="33">
        <f>ROUNDUP(K886+(K886*Assumptions!K$5),-2)</f>
        <v>1500</v>
      </c>
      <c r="M886" s="33">
        <f>ROUNDUP(L886+(L886*Assumptions!L$5),-2)</f>
        <v>1600</v>
      </c>
      <c r="N886" s="33">
        <f>ROUNDUP(M886+(M886*Assumptions!M$5),-2)</f>
        <v>1700</v>
      </c>
      <c r="O886" s="33">
        <f>ROUNDUP(N886+(N886*Assumptions!N$5),-2)</f>
        <v>1800</v>
      </c>
      <c r="P886" s="142">
        <f>ROUNDUP(O886+(O886*Assumptions!O$5),-2)</f>
        <v>1900</v>
      </c>
      <c r="Q886" s="33">
        <f>ROUNDUP(P886+(P886*Assumptions!P$5),-2)</f>
        <v>2000</v>
      </c>
      <c r="R886" s="114">
        <f>ROUNDUP(Q886+(Q886*Assumptions!Q$5),-2)</f>
        <v>2100</v>
      </c>
    </row>
    <row r="887" spans="1:18" x14ac:dyDescent="0.2">
      <c r="A887" s="107">
        <v>2700</v>
      </c>
      <c r="B887" s="33">
        <v>3300</v>
      </c>
      <c r="C887" s="33">
        <v>1300</v>
      </c>
      <c r="D887" s="33">
        <v>5600</v>
      </c>
      <c r="E887" s="344" t="s">
        <v>1568</v>
      </c>
      <c r="F887" s="366" t="s">
        <v>1921</v>
      </c>
      <c r="G887" s="99">
        <v>4000</v>
      </c>
      <c r="H887" s="138">
        <f>IF(D887=G887,0,IF(D887=0,100,(G887-D887)/D887*100))</f>
        <v>-28.571428571428569</v>
      </c>
      <c r="I887" s="33">
        <f>ROUNDUP(G887+(G887*Assumptions!H$5),-2)</f>
        <v>4100</v>
      </c>
      <c r="J887" s="33">
        <f>ROUNDUP(I887+(I887*Assumptions!I$5),-2)</f>
        <v>4300</v>
      </c>
      <c r="K887" s="33">
        <f>ROUNDUP(J887+(J887*Assumptions!J$5),-2)</f>
        <v>4500</v>
      </c>
      <c r="L887" s="33">
        <f>ROUNDUP(K887+(K887*Assumptions!K$5),-2)</f>
        <v>4700</v>
      </c>
      <c r="M887" s="33">
        <f>ROUNDUP(L887+(L887*Assumptions!L$5),-2)</f>
        <v>4800</v>
      </c>
      <c r="N887" s="33">
        <f>ROUNDUP(M887+(M887*Assumptions!M$5),-2)</f>
        <v>4900</v>
      </c>
      <c r="O887" s="33">
        <f>ROUNDUP(N887+(N887*Assumptions!N$5),-2)</f>
        <v>5000</v>
      </c>
      <c r="P887" s="142">
        <f>ROUNDUP(O887+(O887*Assumptions!O$5),-2)</f>
        <v>5100</v>
      </c>
      <c r="Q887" s="33">
        <f>ROUNDUP(P887+(P887*Assumptions!P$5),-2)</f>
        <v>5300</v>
      </c>
      <c r="R887" s="114">
        <f>ROUNDUP(Q887+(Q887*Assumptions!Q$5),-2)</f>
        <v>5500</v>
      </c>
    </row>
    <row r="888" spans="1:18" x14ac:dyDescent="0.2">
      <c r="A888" s="107"/>
      <c r="B888" s="142"/>
      <c r="C888" s="33"/>
      <c r="D888" s="33"/>
      <c r="E888" s="344"/>
      <c r="F888" s="366"/>
      <c r="G888" s="99"/>
      <c r="H888" s="138"/>
      <c r="I888" s="33"/>
      <c r="J888" s="33"/>
      <c r="K888" s="33"/>
      <c r="L888" s="33"/>
      <c r="M888" s="33"/>
      <c r="N888" s="33"/>
      <c r="O888" s="33"/>
      <c r="P888" s="142"/>
      <c r="Q888" s="33"/>
      <c r="R888" s="114"/>
    </row>
    <row r="889" spans="1:18" x14ac:dyDescent="0.2">
      <c r="A889" s="107"/>
      <c r="B889" s="142"/>
      <c r="C889" s="33"/>
      <c r="D889" s="33"/>
      <c r="E889" s="344"/>
      <c r="F889" s="371" t="s">
        <v>1888</v>
      </c>
      <c r="G889" s="99"/>
      <c r="H889" s="138"/>
      <c r="I889" s="33"/>
      <c r="J889" s="33"/>
      <c r="K889" s="33"/>
      <c r="L889" s="33"/>
      <c r="M889" s="33"/>
      <c r="N889" s="33"/>
      <c r="O889" s="33"/>
      <c r="P889" s="142"/>
      <c r="Q889" s="33"/>
      <c r="R889" s="114"/>
    </row>
    <row r="890" spans="1:18" x14ac:dyDescent="0.2">
      <c r="A890" s="107">
        <v>0</v>
      </c>
      <c r="B890" s="33">
        <v>0</v>
      </c>
      <c r="C890" s="33">
        <v>0</v>
      </c>
      <c r="D890" s="33">
        <v>89600</v>
      </c>
      <c r="E890" s="811" t="s">
        <v>5927</v>
      </c>
      <c r="F890" s="891" t="s">
        <v>5928</v>
      </c>
      <c r="G890" s="99">
        <v>0</v>
      </c>
      <c r="H890" s="138">
        <f>IF(D890=G890,0,IF(D890=0,100,(G890-D890)/D890*100))</f>
        <v>-100</v>
      </c>
      <c r="I890" s="33">
        <f t="shared" ref="I890" si="690">I871</f>
        <v>0</v>
      </c>
      <c r="J890" s="33">
        <f>J871</f>
        <v>90000</v>
      </c>
      <c r="K890" s="33">
        <f t="shared" ref="K890:Q890" si="691">K871</f>
        <v>0</v>
      </c>
      <c r="L890" s="33">
        <f t="shared" si="691"/>
        <v>0</v>
      </c>
      <c r="M890" s="33">
        <f t="shared" si="691"/>
        <v>0</v>
      </c>
      <c r="N890" s="33">
        <f t="shared" si="691"/>
        <v>0</v>
      </c>
      <c r="O890" s="33">
        <f t="shared" si="691"/>
        <v>90000</v>
      </c>
      <c r="P890" s="142">
        <f t="shared" si="691"/>
        <v>0</v>
      </c>
      <c r="Q890" s="33">
        <f t="shared" si="691"/>
        <v>0</v>
      </c>
      <c r="R890" s="114">
        <f t="shared" ref="R890" si="692">R871</f>
        <v>0</v>
      </c>
    </row>
    <row r="891" spans="1:18" x14ac:dyDescent="0.2">
      <c r="A891" s="107">
        <v>13700</v>
      </c>
      <c r="B891" s="33">
        <v>16200</v>
      </c>
      <c r="C891" s="33">
        <v>16800</v>
      </c>
      <c r="D891" s="33">
        <v>25300</v>
      </c>
      <c r="E891" s="344" t="s">
        <v>2158</v>
      </c>
      <c r="F891" s="891" t="s">
        <v>3074</v>
      </c>
      <c r="G891" s="99">
        <v>24000</v>
      </c>
      <c r="H891" s="138">
        <f>IF(D891=G891,0,IF(D891=0,100,(G891-D891)/D891*100))</f>
        <v>-5.1383399209486171</v>
      </c>
      <c r="I891" s="33">
        <f>ROUNDUP(G891+(G891*Assumptions!H$5),-2)</f>
        <v>24400</v>
      </c>
      <c r="J891" s="33">
        <f>ROUNDUP(I891+(I891*Assumptions!I$5),-2)</f>
        <v>25100</v>
      </c>
      <c r="K891" s="33">
        <f>ROUNDUP(J891+(J891*Assumptions!J$5),-2)</f>
        <v>25800</v>
      </c>
      <c r="L891" s="33">
        <f>ROUNDUP(K891+(K891*Assumptions!K$5),-2)</f>
        <v>26500</v>
      </c>
      <c r="M891" s="33">
        <f>ROUNDUP(L891+(L891*Assumptions!L$5),-2)</f>
        <v>27100</v>
      </c>
      <c r="N891" s="33">
        <f>ROUNDUP(M891+(M891*Assumptions!M$5),-2)</f>
        <v>27700</v>
      </c>
      <c r="O891" s="33">
        <f>ROUNDUP(N891+(N891*Assumptions!N$5),-2)</f>
        <v>28300</v>
      </c>
      <c r="P891" s="142">
        <f>ROUNDUP(O891+(O891*Assumptions!O$5),-2)</f>
        <v>28900</v>
      </c>
      <c r="Q891" s="33">
        <f>ROUNDUP(P891+(P891*Assumptions!P$5),-2)</f>
        <v>29500</v>
      </c>
      <c r="R891" s="114">
        <f>ROUNDUP(Q891+(Q891*Assumptions!Q$5),-2)</f>
        <v>30100</v>
      </c>
    </row>
    <row r="892" spans="1:18" x14ac:dyDescent="0.2">
      <c r="A892" s="107">
        <v>2200</v>
      </c>
      <c r="B892" s="33">
        <v>2500</v>
      </c>
      <c r="C892" s="33">
        <v>1600</v>
      </c>
      <c r="D892" s="33">
        <v>2400</v>
      </c>
      <c r="E892" s="344" t="s">
        <v>25</v>
      </c>
      <c r="F892" s="366" t="s">
        <v>405</v>
      </c>
      <c r="G892" s="99">
        <v>3000</v>
      </c>
      <c r="H892" s="138">
        <f>IF(D892=G892,0,IF(D892=0,100,(G892-D892)/D892*100))</f>
        <v>25</v>
      </c>
      <c r="I892" s="33">
        <f>ROUNDUP(G892+(G892*Assumptions!H$5),-2)</f>
        <v>3100</v>
      </c>
      <c r="J892" s="33">
        <f>ROUNDUP(I892+(I892*Assumptions!I$5),-2)</f>
        <v>3200</v>
      </c>
      <c r="K892" s="33">
        <f>ROUNDUP(J892+(J892*Assumptions!J$5),-2)</f>
        <v>3300</v>
      </c>
      <c r="L892" s="33">
        <f>ROUNDUP(K892+(K892*Assumptions!K$5),-2)</f>
        <v>3400</v>
      </c>
      <c r="M892" s="33">
        <f>ROUNDUP(L892+(L892*Assumptions!L$5),-2)</f>
        <v>3500</v>
      </c>
      <c r="N892" s="33">
        <f>ROUNDUP(M892+(M892*Assumptions!M$5),-2)</f>
        <v>3600</v>
      </c>
      <c r="O892" s="33">
        <f>ROUNDUP(N892+(N892*Assumptions!N$5),-2)</f>
        <v>3700</v>
      </c>
      <c r="P892" s="142">
        <f>ROUNDUP(O892+(O892*Assumptions!O$5),-2)</f>
        <v>3800</v>
      </c>
      <c r="Q892" s="33">
        <f>ROUNDUP(P892+(P892*Assumptions!P$5),-2)</f>
        <v>3900</v>
      </c>
      <c r="R892" s="114">
        <f>ROUNDUP(Q892+(Q892*Assumptions!Q$5),-2)</f>
        <v>4000</v>
      </c>
    </row>
    <row r="893" spans="1:18" x14ac:dyDescent="0.2">
      <c r="A893" s="107">
        <v>800</v>
      </c>
      <c r="B893" s="142">
        <v>0</v>
      </c>
      <c r="C893" s="33">
        <v>1300</v>
      </c>
      <c r="D893" s="33">
        <v>500</v>
      </c>
      <c r="E893" s="811" t="s">
        <v>3014</v>
      </c>
      <c r="F893" s="891" t="s">
        <v>3075</v>
      </c>
      <c r="G893" s="99">
        <v>0</v>
      </c>
      <c r="H893" s="138">
        <f>IF(D893=G893,0,IF(D893=0,100,(G893-D893)/D893*100))</f>
        <v>-100</v>
      </c>
      <c r="I893" s="33">
        <f>ROUNDUP(G893+(G893*Assumptions!H$5),-2)</f>
        <v>0</v>
      </c>
      <c r="J893" s="33">
        <f>ROUNDUP(I893+(I893*Assumptions!I$5),-2)</f>
        <v>0</v>
      </c>
      <c r="K893" s="33">
        <f>ROUNDUP(J893+(J893*Assumptions!J$5),-2)</f>
        <v>0</v>
      </c>
      <c r="L893" s="33">
        <f>ROUNDUP(K893+(K893*Assumptions!K$5),-2)</f>
        <v>0</v>
      </c>
      <c r="M893" s="33">
        <f>ROUNDUP(L893+(L893*Assumptions!L$5),-2)</f>
        <v>0</v>
      </c>
      <c r="N893" s="33">
        <f>ROUNDUP(M893+(M893*Assumptions!M$5),-2)</f>
        <v>0</v>
      </c>
      <c r="O893" s="33">
        <f>ROUNDUP(N893+(N893*Assumptions!N$5),-2)</f>
        <v>0</v>
      </c>
      <c r="P893" s="142">
        <f>ROUNDUP(O893+(O893*Assumptions!O$5),-2)</f>
        <v>0</v>
      </c>
      <c r="Q893" s="33">
        <f>ROUNDUP(P893+(P893*Assumptions!P$5),-2)</f>
        <v>0</v>
      </c>
      <c r="R893" s="114">
        <f>ROUNDUP(Q893+(Q893*Assumptions!Q$5),-2)</f>
        <v>0</v>
      </c>
    </row>
    <row r="894" spans="1:18" x14ac:dyDescent="0.2">
      <c r="A894" s="107"/>
      <c r="B894" s="142"/>
      <c r="C894" s="33"/>
      <c r="D894" s="33"/>
      <c r="E894" s="344"/>
      <c r="F894" s="366"/>
      <c r="G894" s="99"/>
      <c r="H894" s="138"/>
      <c r="I894" s="33"/>
      <c r="J894" s="33"/>
      <c r="K894" s="33"/>
      <c r="L894" s="33"/>
      <c r="M894" s="33"/>
      <c r="N894" s="33"/>
      <c r="O894" s="33"/>
      <c r="P894" s="142"/>
      <c r="Q894" s="33"/>
      <c r="R894" s="114"/>
    </row>
    <row r="895" spans="1:18" x14ac:dyDescent="0.2">
      <c r="A895" s="107"/>
      <c r="B895" s="142"/>
      <c r="C895" s="33"/>
      <c r="D895" s="33"/>
      <c r="E895" s="344"/>
      <c r="F895" s="371" t="s">
        <v>668</v>
      </c>
      <c r="G895" s="99"/>
      <c r="H895" s="138"/>
      <c r="I895" s="33"/>
      <c r="J895" s="33"/>
      <c r="K895" s="33"/>
      <c r="L895" s="33"/>
      <c r="M895" s="33"/>
      <c r="N895" s="33"/>
      <c r="O895" s="33"/>
      <c r="P895" s="142"/>
      <c r="Q895" s="33"/>
      <c r="R895" s="114"/>
    </row>
    <row r="896" spans="1:18" x14ac:dyDescent="0.2">
      <c r="A896" s="107">
        <v>11000</v>
      </c>
      <c r="B896" s="33">
        <v>7500</v>
      </c>
      <c r="C896" s="33">
        <v>5200</v>
      </c>
      <c r="D896" s="33">
        <v>11600</v>
      </c>
      <c r="E896" s="344" t="s">
        <v>2499</v>
      </c>
      <c r="F896" s="891" t="s">
        <v>648</v>
      </c>
      <c r="G896" s="99">
        <f>11000-500</f>
        <v>10500</v>
      </c>
      <c r="H896" s="138">
        <f t="shared" ref="H896:H909" si="693">IF(D896=G896,0,IF(D896=0,100,(G896-D896)/D896*100))</f>
        <v>-9.4827586206896548</v>
      </c>
      <c r="I896" s="33">
        <f>ROUNDUP(G896+(G896*Assumptions!H$5),-2)</f>
        <v>10700</v>
      </c>
      <c r="J896" s="33">
        <f>ROUNDUP(I896+(I896*Assumptions!I$5),-2)</f>
        <v>11000</v>
      </c>
      <c r="K896" s="33">
        <f>ROUNDUP(J896+(J896*Assumptions!J$5),-2)</f>
        <v>11300</v>
      </c>
      <c r="L896" s="33">
        <f>ROUNDUP(K896+(K896*Assumptions!K$5),-2)</f>
        <v>11600</v>
      </c>
      <c r="M896" s="33">
        <f>ROUNDUP(L896+(L896*Assumptions!L$5),-2)</f>
        <v>11900</v>
      </c>
      <c r="N896" s="33">
        <f>ROUNDUP(M896+(M896*Assumptions!M$5),-2)</f>
        <v>12200</v>
      </c>
      <c r="O896" s="33">
        <f>ROUNDUP(N896+(N896*Assumptions!N$5),-2)</f>
        <v>12500</v>
      </c>
      <c r="P896" s="142">
        <f>ROUNDUP(O896+(O896*Assumptions!O$5),-2)</f>
        <v>12800</v>
      </c>
      <c r="Q896" s="33">
        <f>ROUNDUP(P896+(P896*Assumptions!P$5),-2)</f>
        <v>13100</v>
      </c>
      <c r="R896" s="114">
        <f>ROUNDUP(Q896+(Q896*Assumptions!Q$5),-2)</f>
        <v>13400</v>
      </c>
    </row>
    <row r="897" spans="1:18" x14ac:dyDescent="0.2">
      <c r="A897" s="107">
        <v>11200</v>
      </c>
      <c r="B897" s="33">
        <v>9900</v>
      </c>
      <c r="C897" s="33">
        <v>7100</v>
      </c>
      <c r="D897" s="33">
        <v>8100</v>
      </c>
      <c r="E897" s="344" t="s">
        <v>2500</v>
      </c>
      <c r="F897" s="366" t="s">
        <v>1021</v>
      </c>
      <c r="G897" s="99">
        <v>8500</v>
      </c>
      <c r="H897" s="138">
        <f t="shared" si="693"/>
        <v>4.9382716049382713</v>
      </c>
      <c r="I897" s="33">
        <f>ROUNDUP(G897+(G897*Assumptions!H$5),-2)</f>
        <v>8700</v>
      </c>
      <c r="J897" s="33">
        <f>ROUNDUP(I897+(I897*Assumptions!I$5),-2)</f>
        <v>9000</v>
      </c>
      <c r="K897" s="33">
        <f>ROUNDUP(J897+(J897*Assumptions!J$5),-2)</f>
        <v>9300</v>
      </c>
      <c r="L897" s="33">
        <f>ROUNDUP(K897+(K897*Assumptions!K$5),-2)</f>
        <v>9600</v>
      </c>
      <c r="M897" s="33">
        <f>ROUNDUP(L897+(L897*Assumptions!L$5),-2)</f>
        <v>9800</v>
      </c>
      <c r="N897" s="33">
        <f>ROUNDUP(M897+(M897*Assumptions!M$5),-2)</f>
        <v>10000</v>
      </c>
      <c r="O897" s="33">
        <f>ROUNDUP(N897+(N897*Assumptions!N$5),-2)</f>
        <v>10200</v>
      </c>
      <c r="P897" s="142">
        <f>ROUNDUP(O897+(O897*Assumptions!O$5),-2)</f>
        <v>10500</v>
      </c>
      <c r="Q897" s="33">
        <f>ROUNDUP(P897+(P897*Assumptions!P$5),-2)</f>
        <v>10800</v>
      </c>
      <c r="R897" s="114">
        <f>ROUNDUP(Q897+(Q897*Assumptions!Q$5),-2)</f>
        <v>11100</v>
      </c>
    </row>
    <row r="898" spans="1:18" x14ac:dyDescent="0.2">
      <c r="A898" s="107">
        <v>6800</v>
      </c>
      <c r="B898" s="33">
        <v>7600</v>
      </c>
      <c r="C898" s="33">
        <v>5300</v>
      </c>
      <c r="D898" s="33">
        <v>3900</v>
      </c>
      <c r="E898" s="344" t="s">
        <v>2502</v>
      </c>
      <c r="F898" s="366" t="s">
        <v>944</v>
      </c>
      <c r="G898" s="99">
        <v>7200</v>
      </c>
      <c r="H898" s="138">
        <f t="shared" si="693"/>
        <v>84.615384615384613</v>
      </c>
      <c r="I898" s="33">
        <f>ROUNDUP(G898+(G898*Assumptions!H$5),-2)</f>
        <v>7400</v>
      </c>
      <c r="J898" s="33">
        <f>ROUNDUP(I898+(I898*Assumptions!I$5),-2)</f>
        <v>7600</v>
      </c>
      <c r="K898" s="33">
        <f>ROUNDUP(J898+(J898*Assumptions!J$5),-2)</f>
        <v>7800</v>
      </c>
      <c r="L898" s="33">
        <f>ROUNDUP(K898+(K898*Assumptions!K$5),-2)</f>
        <v>8000</v>
      </c>
      <c r="M898" s="33">
        <f>ROUNDUP(L898+(L898*Assumptions!L$5),-2)</f>
        <v>8200</v>
      </c>
      <c r="N898" s="33">
        <f>ROUNDUP(M898+(M898*Assumptions!M$5),-2)</f>
        <v>8400</v>
      </c>
      <c r="O898" s="33">
        <f>ROUNDUP(N898+(N898*Assumptions!N$5),-2)</f>
        <v>8600</v>
      </c>
      <c r="P898" s="142">
        <f>ROUNDUP(O898+(O898*Assumptions!O$5),-2)</f>
        <v>8800</v>
      </c>
      <c r="Q898" s="33">
        <f>ROUNDUP(P898+(P898*Assumptions!P$5),-2)</f>
        <v>9000</v>
      </c>
      <c r="R898" s="114">
        <f>ROUNDUP(Q898+(Q898*Assumptions!Q$5),-2)</f>
        <v>9200</v>
      </c>
    </row>
    <row r="899" spans="1:18" x14ac:dyDescent="0.2">
      <c r="A899" s="107">
        <v>900</v>
      </c>
      <c r="B899" s="33">
        <v>900</v>
      </c>
      <c r="C899" s="33">
        <v>1000</v>
      </c>
      <c r="D899" s="33">
        <v>1600</v>
      </c>
      <c r="E899" s="344" t="s">
        <v>2504</v>
      </c>
      <c r="F899" s="366" t="s">
        <v>607</v>
      </c>
      <c r="G899" s="99">
        <v>1000</v>
      </c>
      <c r="H899" s="138">
        <f t="shared" si="693"/>
        <v>-37.5</v>
      </c>
      <c r="I899" s="33">
        <f>ROUNDUP(G899+(G899*Assumptions!H$5),-2)</f>
        <v>1100</v>
      </c>
      <c r="J899" s="33">
        <f>ROUNDUP(I899+(I899*Assumptions!I$5),-2)</f>
        <v>1200</v>
      </c>
      <c r="K899" s="33">
        <f>ROUNDUP(J899+(J899*Assumptions!J$5),-2)</f>
        <v>1300</v>
      </c>
      <c r="L899" s="33">
        <f>ROUNDUP(K899+(K899*Assumptions!K$5),-2)</f>
        <v>1400</v>
      </c>
      <c r="M899" s="33">
        <f>ROUNDUP(L899+(L899*Assumptions!L$5),-2)</f>
        <v>1500</v>
      </c>
      <c r="N899" s="33">
        <f>ROUNDUP(M899+(M899*Assumptions!M$5),-2)</f>
        <v>1600</v>
      </c>
      <c r="O899" s="33">
        <f>ROUNDUP(N899+(N899*Assumptions!N$5),-2)</f>
        <v>1700</v>
      </c>
      <c r="P899" s="142">
        <f>ROUNDUP(O899+(O899*Assumptions!O$5),-2)</f>
        <v>1800</v>
      </c>
      <c r="Q899" s="33">
        <f>ROUNDUP(P899+(P899*Assumptions!P$5),-2)</f>
        <v>1900</v>
      </c>
      <c r="R899" s="114">
        <f>ROUNDUP(Q899+(Q899*Assumptions!Q$5),-2)</f>
        <v>2000</v>
      </c>
    </row>
    <row r="900" spans="1:18" x14ac:dyDescent="0.2">
      <c r="A900" s="107">
        <v>2200</v>
      </c>
      <c r="B900" s="33">
        <v>2500</v>
      </c>
      <c r="C900" s="33">
        <v>2000</v>
      </c>
      <c r="D900" s="33">
        <v>1900</v>
      </c>
      <c r="E900" s="344" t="s">
        <v>2501</v>
      </c>
      <c r="F900" s="366" t="s">
        <v>2774</v>
      </c>
      <c r="G900" s="99">
        <v>2700</v>
      </c>
      <c r="H900" s="138">
        <f t="shared" si="693"/>
        <v>42.105263157894733</v>
      </c>
      <c r="I900" s="33">
        <f>ROUNDUP(G900+(G900*Assumptions!H$5),-2)</f>
        <v>2800</v>
      </c>
      <c r="J900" s="33">
        <f>ROUNDUP(I900+(I900*Assumptions!I$5),-2)</f>
        <v>2900</v>
      </c>
      <c r="K900" s="33">
        <f>ROUNDUP(J900+(J900*Assumptions!J$5),-2)</f>
        <v>3000</v>
      </c>
      <c r="L900" s="33">
        <f>ROUNDUP(K900+(K900*Assumptions!K$5),-2)</f>
        <v>3100</v>
      </c>
      <c r="M900" s="33">
        <f>ROUNDUP(L900+(L900*Assumptions!L$5),-2)</f>
        <v>3200</v>
      </c>
      <c r="N900" s="33">
        <f>ROUNDUP(M900+(M900*Assumptions!M$5),-2)</f>
        <v>3300</v>
      </c>
      <c r="O900" s="33">
        <f>ROUNDUP(N900+(N900*Assumptions!N$5),-2)</f>
        <v>3400</v>
      </c>
      <c r="P900" s="142">
        <f>ROUNDUP(O900+(O900*Assumptions!O$5),-2)</f>
        <v>3500</v>
      </c>
      <c r="Q900" s="33">
        <f>ROUNDUP(P900+(P900*Assumptions!P$5),-2)</f>
        <v>3600</v>
      </c>
      <c r="R900" s="114">
        <f>ROUNDUP(Q900+(Q900*Assumptions!Q$5),-2)</f>
        <v>3700</v>
      </c>
    </row>
    <row r="901" spans="1:18" x14ac:dyDescent="0.2">
      <c r="A901" s="107">
        <v>2200</v>
      </c>
      <c r="B901" s="33">
        <v>2400</v>
      </c>
      <c r="C901" s="33">
        <v>2700</v>
      </c>
      <c r="D901" s="33">
        <v>2800</v>
      </c>
      <c r="E901" s="344" t="s">
        <v>1886</v>
      </c>
      <c r="F901" s="366" t="s">
        <v>1317</v>
      </c>
      <c r="G901" s="99">
        <v>2700</v>
      </c>
      <c r="H901" s="138">
        <f t="shared" si="693"/>
        <v>-3.5714285714285712</v>
      </c>
      <c r="I901" s="33">
        <f>ROUNDUP(G901+(G901*Assumptions!H$5),-2)</f>
        <v>2800</v>
      </c>
      <c r="J901" s="33">
        <f>ROUNDUP(I901+(I901*Assumptions!I$5),-2)</f>
        <v>2900</v>
      </c>
      <c r="K901" s="33">
        <f>ROUNDUP(J901+(J901*Assumptions!J$5),-2)</f>
        <v>3000</v>
      </c>
      <c r="L901" s="33">
        <f>ROUNDUP(K901+(K901*Assumptions!K$5),-2)</f>
        <v>3100</v>
      </c>
      <c r="M901" s="33">
        <f>ROUNDUP(L901+(L901*Assumptions!L$5),-2)</f>
        <v>3200</v>
      </c>
      <c r="N901" s="33">
        <f>ROUNDUP(M901+(M901*Assumptions!M$5),-2)</f>
        <v>3300</v>
      </c>
      <c r="O901" s="33">
        <f>ROUNDUP(N901+(N901*Assumptions!N$5),-2)</f>
        <v>3400</v>
      </c>
      <c r="P901" s="142">
        <f>ROUNDUP(O901+(O901*Assumptions!O$5),-2)</f>
        <v>3500</v>
      </c>
      <c r="Q901" s="33">
        <f>ROUNDUP(P901+(P901*Assumptions!P$5),-2)</f>
        <v>3600</v>
      </c>
      <c r="R901" s="114">
        <f>ROUNDUP(Q901+(Q901*Assumptions!Q$5),-2)</f>
        <v>3700</v>
      </c>
    </row>
    <row r="902" spans="1:18" x14ac:dyDescent="0.2">
      <c r="A902" s="107">
        <v>2500</v>
      </c>
      <c r="B902" s="33">
        <v>2700</v>
      </c>
      <c r="C902" s="33">
        <v>2100</v>
      </c>
      <c r="D902" s="33">
        <v>2200</v>
      </c>
      <c r="E902" s="344" t="s">
        <v>26</v>
      </c>
      <c r="F902" s="366" t="s">
        <v>2193</v>
      </c>
      <c r="G902" s="99">
        <f>3000+5300</f>
        <v>8300</v>
      </c>
      <c r="H902" s="138">
        <f t="shared" si="693"/>
        <v>277.27272727272731</v>
      </c>
      <c r="I902" s="33">
        <v>3100</v>
      </c>
      <c r="J902" s="33">
        <f>ROUNDUP(I902+(I902*Assumptions!I$5),-2)</f>
        <v>3200</v>
      </c>
      <c r="K902" s="33">
        <f>ROUNDUP(J902+(J902*Assumptions!J$5),-2)</f>
        <v>3300</v>
      </c>
      <c r="L902" s="33">
        <f>ROUNDUP(K902+(K902*Assumptions!K$5),-2)</f>
        <v>3400</v>
      </c>
      <c r="M902" s="33">
        <f>ROUNDUP(L902+(L902*Assumptions!L$5),-2)</f>
        <v>3500</v>
      </c>
      <c r="N902" s="33">
        <f>ROUNDUP(M902+(M902*Assumptions!M$5),-2)</f>
        <v>3600</v>
      </c>
      <c r="O902" s="33">
        <f>ROUNDUP(N902+(N902*Assumptions!N$5),-2)</f>
        <v>3700</v>
      </c>
      <c r="P902" s="142">
        <f>ROUNDUP(O902+(O902*Assumptions!O$5),-2)</f>
        <v>3800</v>
      </c>
      <c r="Q902" s="33">
        <f>ROUNDUP(P902+(P902*Assumptions!P$5),-2)</f>
        <v>3900</v>
      </c>
      <c r="R902" s="114">
        <f>ROUNDUP(Q902+(Q902*Assumptions!Q$5),-2)</f>
        <v>4000</v>
      </c>
    </row>
    <row r="903" spans="1:18" x14ac:dyDescent="0.2">
      <c r="A903" s="107">
        <v>7900</v>
      </c>
      <c r="B903" s="33">
        <v>8200</v>
      </c>
      <c r="C903" s="33">
        <v>8500</v>
      </c>
      <c r="D903" s="33">
        <v>8700</v>
      </c>
      <c r="E903" s="344" t="s">
        <v>1364</v>
      </c>
      <c r="F903" s="366" t="s">
        <v>722</v>
      </c>
      <c r="G903" s="99">
        <v>9500</v>
      </c>
      <c r="H903" s="138">
        <f t="shared" si="693"/>
        <v>9.1954022988505741</v>
      </c>
      <c r="I903" s="33">
        <f>ROUNDUP(G903+(G903*Assumptions!H$5),-2)</f>
        <v>9700</v>
      </c>
      <c r="J903" s="33">
        <f>ROUNDUP(I903+(I903*Assumptions!I$5),-2)</f>
        <v>10000</v>
      </c>
      <c r="K903" s="33">
        <f>ROUNDUP(J903+(J903*Assumptions!J$5),-2)</f>
        <v>10300</v>
      </c>
      <c r="L903" s="33">
        <f>ROUNDUP(K903+(K903*Assumptions!K$5),-2)</f>
        <v>10600</v>
      </c>
      <c r="M903" s="33">
        <f>ROUNDUP(L903+(L903*Assumptions!L$5),-2)</f>
        <v>10900</v>
      </c>
      <c r="N903" s="33">
        <f>ROUNDUP(M903+(M903*Assumptions!M$5),-2)</f>
        <v>11200</v>
      </c>
      <c r="O903" s="33">
        <f>ROUNDUP(N903+(N903*Assumptions!N$5),-2)</f>
        <v>11500</v>
      </c>
      <c r="P903" s="142">
        <f>ROUNDUP(O903+(O903*Assumptions!O$5),-2)</f>
        <v>11800</v>
      </c>
      <c r="Q903" s="33">
        <f>ROUNDUP(P903+(P903*Assumptions!P$5),-2)</f>
        <v>12100</v>
      </c>
      <c r="R903" s="114">
        <f>ROUNDUP(Q903+(Q903*Assumptions!Q$5),-2)</f>
        <v>12400</v>
      </c>
    </row>
    <row r="904" spans="1:18" x14ac:dyDescent="0.2">
      <c r="A904" s="107">
        <v>1300</v>
      </c>
      <c r="B904" s="33">
        <v>500</v>
      </c>
      <c r="C904" s="33">
        <f>3500+1500</f>
        <v>5000</v>
      </c>
      <c r="D904" s="33">
        <v>6600</v>
      </c>
      <c r="E904" s="344" t="s">
        <v>2305</v>
      </c>
      <c r="F904" s="366" t="s">
        <v>563</v>
      </c>
      <c r="G904" s="99">
        <v>4100</v>
      </c>
      <c r="H904" s="138">
        <f t="shared" si="693"/>
        <v>-37.878787878787875</v>
      </c>
      <c r="I904" s="33">
        <f>ROUNDUP(G904+(G904*Assumptions!H$5),-2)</f>
        <v>4200</v>
      </c>
      <c r="J904" s="33">
        <f>ROUNDUP(I904+(I904*Assumptions!I$5),-2)</f>
        <v>4400</v>
      </c>
      <c r="K904" s="33">
        <f>ROUNDUP(J904+(J904*Assumptions!J$5),-2)</f>
        <v>4600</v>
      </c>
      <c r="L904" s="33">
        <f>ROUNDUP(K904+(K904*Assumptions!K$5),-2)</f>
        <v>4800</v>
      </c>
      <c r="M904" s="33">
        <f>ROUNDUP(L904+(L904*Assumptions!L$5),-2)</f>
        <v>4900</v>
      </c>
      <c r="N904" s="33">
        <f>ROUNDUP(M904+(M904*Assumptions!M$5),-2)</f>
        <v>5000</v>
      </c>
      <c r="O904" s="33">
        <f>ROUNDUP(N904+(N904*Assumptions!N$5),-2)</f>
        <v>5100</v>
      </c>
      <c r="P904" s="142">
        <f>ROUNDUP(O904+(O904*Assumptions!O$5),-2)</f>
        <v>5300</v>
      </c>
      <c r="Q904" s="33">
        <f>ROUNDUP(P904+(P904*Assumptions!P$5),-2)</f>
        <v>5500</v>
      </c>
      <c r="R904" s="114">
        <f>ROUNDUP(Q904+(Q904*Assumptions!Q$5),-2)</f>
        <v>5700</v>
      </c>
    </row>
    <row r="905" spans="1:18" x14ac:dyDescent="0.2">
      <c r="A905" s="107">
        <v>14300</v>
      </c>
      <c r="B905" s="33">
        <v>15700</v>
      </c>
      <c r="C905" s="33">
        <v>14100</v>
      </c>
      <c r="D905" s="33">
        <v>12000</v>
      </c>
      <c r="E905" s="344" t="s">
        <v>2503</v>
      </c>
      <c r="F905" s="366" t="s">
        <v>720</v>
      </c>
      <c r="G905" s="99">
        <v>16500</v>
      </c>
      <c r="H905" s="138">
        <f t="shared" si="693"/>
        <v>37.5</v>
      </c>
      <c r="I905" s="33">
        <f>ROUNDUP(G905+(G905*Assumptions!H$5),-2)</f>
        <v>16800</v>
      </c>
      <c r="J905" s="33">
        <f>ROUNDUP(I905+(I905*Assumptions!I$5),-2)</f>
        <v>17300</v>
      </c>
      <c r="K905" s="33">
        <f>ROUNDUP(J905+(J905*Assumptions!J$5),-2)</f>
        <v>17800</v>
      </c>
      <c r="L905" s="33">
        <f>ROUNDUP(K905+(K905*Assumptions!K$5),-2)</f>
        <v>18300</v>
      </c>
      <c r="M905" s="33">
        <f>ROUNDUP(L905+(L905*Assumptions!L$5),-2)</f>
        <v>18700</v>
      </c>
      <c r="N905" s="33">
        <f>ROUNDUP(M905+(M905*Assumptions!M$5),-2)</f>
        <v>19100</v>
      </c>
      <c r="O905" s="33">
        <f>ROUNDUP(N905+(N905*Assumptions!N$5),-2)</f>
        <v>19500</v>
      </c>
      <c r="P905" s="142">
        <f>ROUNDUP(O905+(O905*Assumptions!O$5),-2)</f>
        <v>19900</v>
      </c>
      <c r="Q905" s="33">
        <f>ROUNDUP(P905+(P905*Assumptions!P$5),-2)</f>
        <v>20300</v>
      </c>
      <c r="R905" s="114">
        <f>ROUNDUP(Q905+(Q905*Assumptions!Q$5),-2)</f>
        <v>20800</v>
      </c>
    </row>
    <row r="906" spans="1:18" x14ac:dyDescent="0.2">
      <c r="A906" s="107">
        <v>14600</v>
      </c>
      <c r="B906" s="33">
        <v>15800</v>
      </c>
      <c r="C906" s="33">
        <v>16000</v>
      </c>
      <c r="D906" s="33">
        <f>17000+500</f>
        <v>17500</v>
      </c>
      <c r="E906" s="344" t="s">
        <v>1885</v>
      </c>
      <c r="F906" s="891" t="s">
        <v>3073</v>
      </c>
      <c r="G906" s="99">
        <f>17900-500</f>
        <v>17400</v>
      </c>
      <c r="H906" s="138">
        <f t="shared" si="693"/>
        <v>-0.5714285714285714</v>
      </c>
      <c r="I906" s="33">
        <f>ROUNDUP(G906+(G906*Assumptions!H$5),-2)</f>
        <v>17700</v>
      </c>
      <c r="J906" s="33">
        <f>ROUNDUP(I906+(I906*Assumptions!I$5),-2)</f>
        <v>18200</v>
      </c>
      <c r="K906" s="33">
        <f>ROUNDUP(J906+(J906*Assumptions!J$5),-2)</f>
        <v>18700</v>
      </c>
      <c r="L906" s="33">
        <f>ROUNDUP(K906+(K906*Assumptions!K$5),-2)</f>
        <v>19200</v>
      </c>
      <c r="M906" s="33">
        <f>ROUNDUP(L906+(L906*Assumptions!L$5),-2)</f>
        <v>19600</v>
      </c>
      <c r="N906" s="33">
        <f>ROUNDUP(M906+(M906*Assumptions!M$5),-2)</f>
        <v>20000</v>
      </c>
      <c r="O906" s="33">
        <f>ROUNDUP(N906+(N906*Assumptions!N$5),-2)</f>
        <v>20400</v>
      </c>
      <c r="P906" s="142">
        <f>ROUNDUP(O906+(O906*Assumptions!O$5),-2)</f>
        <v>20900</v>
      </c>
      <c r="Q906" s="33">
        <f>ROUNDUP(P906+(P906*Assumptions!P$5),-2)</f>
        <v>21400</v>
      </c>
      <c r="R906" s="114">
        <f>ROUNDUP(Q906+(Q906*Assumptions!Q$5),-2)</f>
        <v>21900</v>
      </c>
    </row>
    <row r="907" spans="1:18" x14ac:dyDescent="0.2">
      <c r="A907" s="107">
        <v>600</v>
      </c>
      <c r="B907" s="33">
        <v>200</v>
      </c>
      <c r="C907" s="33">
        <v>100</v>
      </c>
      <c r="D907" s="33">
        <v>0</v>
      </c>
      <c r="E907" s="344" t="s">
        <v>2304</v>
      </c>
      <c r="F907" s="366" t="s">
        <v>2312</v>
      </c>
      <c r="G907" s="99">
        <v>600</v>
      </c>
      <c r="H907" s="138">
        <f t="shared" si="693"/>
        <v>100</v>
      </c>
      <c r="I907" s="33">
        <f>ROUNDUP(G907+(G907*Assumptions!H$5),-2)</f>
        <v>700</v>
      </c>
      <c r="J907" s="33">
        <f>ROUNDUP(I907+(I907*Assumptions!I$5),-2)</f>
        <v>800</v>
      </c>
      <c r="K907" s="33">
        <f>ROUNDUP(J907+(J907*Assumptions!J$5),-2)</f>
        <v>900</v>
      </c>
      <c r="L907" s="33">
        <f>ROUNDUP(K907+(K907*Assumptions!K$5),-2)</f>
        <v>1000</v>
      </c>
      <c r="M907" s="33">
        <f>ROUNDUP(L907+(L907*Assumptions!L$5),-2)</f>
        <v>1100</v>
      </c>
      <c r="N907" s="33">
        <f>ROUNDUP(M907+(M907*Assumptions!M$5),-2)</f>
        <v>1200</v>
      </c>
      <c r="O907" s="33">
        <f>ROUNDUP(N907+(N907*Assumptions!N$5),-2)</f>
        <v>1300</v>
      </c>
      <c r="P907" s="142">
        <f>ROUNDUP(O907+(O907*Assumptions!O$5),-2)</f>
        <v>1400</v>
      </c>
      <c r="Q907" s="33">
        <f>ROUNDUP(P907+(P907*Assumptions!P$5),-2)</f>
        <v>1500</v>
      </c>
      <c r="R907" s="114">
        <f>ROUNDUP(Q907+(Q907*Assumptions!Q$5),-2)</f>
        <v>1600</v>
      </c>
    </row>
    <row r="908" spans="1:18" x14ac:dyDescent="0.2">
      <c r="A908" s="107">
        <v>800</v>
      </c>
      <c r="B908" s="33">
        <v>800</v>
      </c>
      <c r="C908" s="33">
        <v>900</v>
      </c>
      <c r="D908" s="33">
        <v>800</v>
      </c>
      <c r="E908" s="344" t="s">
        <v>2306</v>
      </c>
      <c r="F908" s="366" t="s">
        <v>1363</v>
      </c>
      <c r="G908" s="99">
        <v>1100</v>
      </c>
      <c r="H908" s="138">
        <f t="shared" si="693"/>
        <v>37.5</v>
      </c>
      <c r="I908" s="33">
        <f>ROUNDUP(G908+(G908*Assumptions!H$5),-2)</f>
        <v>1200</v>
      </c>
      <c r="J908" s="33">
        <f>ROUNDUP(I908+(I908*Assumptions!I$5),-2)</f>
        <v>1300</v>
      </c>
      <c r="K908" s="33">
        <f>ROUNDUP(J908+(J908*Assumptions!J$5),-2)</f>
        <v>1400</v>
      </c>
      <c r="L908" s="33">
        <f>ROUNDUP(K908+(K908*Assumptions!K$5),-2)</f>
        <v>1500</v>
      </c>
      <c r="M908" s="33">
        <f>ROUNDUP(L908+(L908*Assumptions!L$5),-2)</f>
        <v>1600</v>
      </c>
      <c r="N908" s="33">
        <f>ROUNDUP(M908+(M908*Assumptions!M$5),-2)</f>
        <v>1700</v>
      </c>
      <c r="O908" s="33">
        <f>ROUNDUP(N908+(N908*Assumptions!N$5),-2)</f>
        <v>1800</v>
      </c>
      <c r="P908" s="142">
        <f>ROUNDUP(O908+(O908*Assumptions!O$5),-2)</f>
        <v>1900</v>
      </c>
      <c r="Q908" s="33">
        <f>ROUNDUP(P908+(P908*Assumptions!P$5),-2)</f>
        <v>2000</v>
      </c>
      <c r="R908" s="114">
        <f>ROUNDUP(Q908+(Q908*Assumptions!Q$5),-2)</f>
        <v>2100</v>
      </c>
    </row>
    <row r="909" spans="1:18" x14ac:dyDescent="0.2">
      <c r="A909" s="107">
        <v>1800</v>
      </c>
      <c r="B909" s="142">
        <v>400</v>
      </c>
      <c r="C909" s="33">
        <v>1000</v>
      </c>
      <c r="D909" s="33">
        <v>6000</v>
      </c>
      <c r="E909" s="344" t="s">
        <v>2533</v>
      </c>
      <c r="F909" s="366" t="s">
        <v>2534</v>
      </c>
      <c r="G909" s="99">
        <v>0</v>
      </c>
      <c r="H909" s="138">
        <f t="shared" si="693"/>
        <v>-100</v>
      </c>
      <c r="I909" s="33">
        <f>ROUNDUP(G909+(G909*Assumptions!H$5),-2)</f>
        <v>0</v>
      </c>
      <c r="J909" s="33">
        <f>ROUNDUP(I909+(I909*Assumptions!I$5),-2)</f>
        <v>0</v>
      </c>
      <c r="K909" s="33">
        <f>ROUNDUP(J909+(J909*Assumptions!J$5),-2)</f>
        <v>0</v>
      </c>
      <c r="L909" s="33">
        <f>ROUNDUP(K909+(K909*Assumptions!K$5),-2)</f>
        <v>0</v>
      </c>
      <c r="M909" s="33">
        <f>ROUNDUP(L909+(L909*Assumptions!L$5),-2)</f>
        <v>0</v>
      </c>
      <c r="N909" s="33">
        <f>ROUNDUP(M909+(M909*Assumptions!M$5),-2)</f>
        <v>0</v>
      </c>
      <c r="O909" s="33">
        <f>ROUNDUP(N909+(N909*Assumptions!N$5),-2)</f>
        <v>0</v>
      </c>
      <c r="P909" s="142">
        <f>ROUNDUP(O909+(O909*Assumptions!O$5),-2)</f>
        <v>0</v>
      </c>
      <c r="Q909" s="33">
        <f>ROUNDUP(P909+(P909*Assumptions!P$5),-2)</f>
        <v>0</v>
      </c>
      <c r="R909" s="114">
        <f>ROUNDUP(Q909+(Q909*Assumptions!Q$5),-2)</f>
        <v>0</v>
      </c>
    </row>
    <row r="910" spans="1:18" x14ac:dyDescent="0.2">
      <c r="A910" s="107"/>
      <c r="B910" s="142"/>
      <c r="C910" s="33"/>
      <c r="D910" s="33"/>
      <c r="E910" s="344"/>
      <c r="F910" s="366"/>
      <c r="G910" s="99"/>
      <c r="H910" s="138"/>
      <c r="I910" s="33"/>
      <c r="J910" s="33"/>
      <c r="K910" s="33"/>
      <c r="L910" s="33"/>
      <c r="M910" s="33"/>
      <c r="N910" s="33"/>
      <c r="O910" s="33"/>
      <c r="P910" s="142"/>
      <c r="Q910" s="33"/>
      <c r="R910" s="114"/>
    </row>
    <row r="911" spans="1:18" x14ac:dyDescent="0.2">
      <c r="A911" s="107"/>
      <c r="B911" s="142"/>
      <c r="C911" s="33"/>
      <c r="D911" s="33"/>
      <c r="E911" s="344"/>
      <c r="F911" s="371" t="s">
        <v>280</v>
      </c>
      <c r="G911" s="99"/>
      <c r="H911" s="138"/>
      <c r="I911" s="33"/>
      <c r="J911" s="33"/>
      <c r="K911" s="33"/>
      <c r="L911" s="33"/>
      <c r="M911" s="33"/>
      <c r="N911" s="33"/>
      <c r="O911" s="33"/>
      <c r="P911" s="142"/>
      <c r="Q911" s="33"/>
      <c r="R911" s="114"/>
    </row>
    <row r="912" spans="1:18" x14ac:dyDescent="0.2">
      <c r="A912" s="107">
        <v>100500</v>
      </c>
      <c r="B912" s="33">
        <v>140700</v>
      </c>
      <c r="C912" s="33">
        <v>138900</v>
      </c>
      <c r="D912" s="33">
        <v>65700</v>
      </c>
      <c r="E912" s="344" t="s">
        <v>96</v>
      </c>
      <c r="F912" s="366" t="s">
        <v>280</v>
      </c>
      <c r="G912" s="99">
        <f>90000+84300-15000-32000+6100</f>
        <v>133400</v>
      </c>
      <c r="H912" s="138">
        <f>IF(D912=G912,0,IF(D912=0,100,(G912-D912)/D912*100))</f>
        <v>103.0441400304414</v>
      </c>
      <c r="I912" s="33">
        <v>100000</v>
      </c>
      <c r="J912" s="33">
        <f>ROUNDUP(I912+(I912*Assumptions!I$5),-2)</f>
        <v>102500</v>
      </c>
      <c r="K912" s="33">
        <f>ROUNDUP(J912+(J912*Assumptions!J$5),-2)</f>
        <v>105100</v>
      </c>
      <c r="L912" s="33">
        <f>ROUNDUP(K912+(K912*Assumptions!K$5),-2)</f>
        <v>107800</v>
      </c>
      <c r="M912" s="33">
        <f>ROUNDUP(L912+(L912*Assumptions!L$5),-2)</f>
        <v>110000</v>
      </c>
      <c r="N912" s="33">
        <f>ROUNDUP(M912+(M912*Assumptions!M$5),-2)</f>
        <v>112200</v>
      </c>
      <c r="O912" s="33">
        <f>ROUNDUP(N912+(N912*Assumptions!N$5),-2)</f>
        <v>114500</v>
      </c>
      <c r="P912" s="142">
        <f>ROUNDUP(O912+(O912*Assumptions!O$5),-2)</f>
        <v>116800</v>
      </c>
      <c r="Q912" s="33">
        <f>ROUNDUP(P912+(P912*Assumptions!P$5),-2)</f>
        <v>119200</v>
      </c>
      <c r="R912" s="114">
        <f>ROUNDUP(Q912+(Q912*Assumptions!Q$5),-2)</f>
        <v>121600</v>
      </c>
    </row>
    <row r="913" spans="1:18" x14ac:dyDescent="0.2">
      <c r="A913" s="107">
        <v>19700</v>
      </c>
      <c r="B913" s="33">
        <v>19900</v>
      </c>
      <c r="C913" s="189">
        <v>7500</v>
      </c>
      <c r="D913" s="33">
        <v>4100</v>
      </c>
      <c r="E913" s="1092" t="s">
        <v>3269</v>
      </c>
      <c r="F913" s="814" t="s">
        <v>3100</v>
      </c>
      <c r="G913" s="99">
        <v>5000</v>
      </c>
      <c r="H913" s="138">
        <f>IF(D913=G913,0,IF(D913=0,100,(G913-D913)/D913*100))</f>
        <v>21.951219512195124</v>
      </c>
      <c r="I913" s="33">
        <v>5000</v>
      </c>
      <c r="J913" s="33">
        <f>ROUNDUP(I913+(I913*Assumptions!I$5),-2)</f>
        <v>5200</v>
      </c>
      <c r="K913" s="33">
        <f>ROUNDUP(J913+(J913*Assumptions!J$5),-2)</f>
        <v>5400</v>
      </c>
      <c r="L913" s="33">
        <f>ROUNDUP(K913+(K913*Assumptions!K$5),-2)</f>
        <v>5600</v>
      </c>
      <c r="M913" s="33">
        <f>ROUNDUP(L913+(L913*Assumptions!L$5),-2)</f>
        <v>5800</v>
      </c>
      <c r="N913" s="33">
        <f>ROUNDUP(M913+(M913*Assumptions!M$5),-2)</f>
        <v>6000</v>
      </c>
      <c r="O913" s="33">
        <f>ROUNDUP(N913+(N913*Assumptions!N$5),-2)</f>
        <v>6200</v>
      </c>
      <c r="P913" s="142">
        <f>ROUNDUP(O913+(O913*Assumptions!O$5),-2)</f>
        <v>6400</v>
      </c>
      <c r="Q913" s="33">
        <f>ROUNDUP(P913+(P913*Assumptions!P$5),-2)</f>
        <v>6600</v>
      </c>
      <c r="R913" s="114">
        <f>ROUNDUP(Q913+(Q913*Assumptions!Q$5),-2)</f>
        <v>6800</v>
      </c>
    </row>
    <row r="914" spans="1:18" x14ac:dyDescent="0.2">
      <c r="A914" s="107">
        <v>57400</v>
      </c>
      <c r="B914" s="33">
        <v>11900</v>
      </c>
      <c r="C914" s="33">
        <v>0</v>
      </c>
      <c r="D914" s="33">
        <f>ROUNDUP(C914+(C914*Assumptions!F$5),-2)</f>
        <v>0</v>
      </c>
      <c r="E914" s="344" t="s">
        <v>1380</v>
      </c>
      <c r="F914" s="366" t="s">
        <v>1381</v>
      </c>
      <c r="G914" s="99">
        <v>0</v>
      </c>
      <c r="H914" s="138">
        <f>IF(D914=G914,0,IF(D914=0,100,(G914-D914)/D914*100))</f>
        <v>0</v>
      </c>
      <c r="I914" s="33">
        <f>ROUNDUP(G914+(G914*Assumptions!H$5),-2)</f>
        <v>0</v>
      </c>
      <c r="J914" s="33">
        <f>ROUNDUP(I914+(I914*Assumptions!I$5),-2)</f>
        <v>0</v>
      </c>
      <c r="K914" s="33">
        <f>ROUNDUP(J914+(J914*Assumptions!J$5),-2)</f>
        <v>0</v>
      </c>
      <c r="L914" s="33">
        <f>ROUNDUP(K914+(K914*Assumptions!K$5),-2)</f>
        <v>0</v>
      </c>
      <c r="M914" s="33">
        <f>ROUNDUP(L914+(L914*Assumptions!L$5),-2)</f>
        <v>0</v>
      </c>
      <c r="N914" s="33">
        <f>ROUNDUP(M914+(M914*Assumptions!M$5),-2)</f>
        <v>0</v>
      </c>
      <c r="O914" s="33">
        <f>ROUNDUP(N914+(N914*Assumptions!N$5),-2)</f>
        <v>0</v>
      </c>
      <c r="P914" s="142">
        <f>ROUNDUP(O914+(O914*Assumptions!O$5),-2)</f>
        <v>0</v>
      </c>
      <c r="Q914" s="33">
        <f>ROUNDUP(P914+(P914*Assumptions!P$5),-2)</f>
        <v>0</v>
      </c>
      <c r="R914" s="114">
        <f>ROUNDUP(Q914+(Q914*Assumptions!Q$5),-2)</f>
        <v>0</v>
      </c>
    </row>
    <row r="915" spans="1:18" x14ac:dyDescent="0.2">
      <c r="A915" s="107">
        <v>0</v>
      </c>
      <c r="B915" s="33">
        <v>43000</v>
      </c>
      <c r="C915" s="33">
        <v>7000</v>
      </c>
      <c r="D915" s="33">
        <v>0</v>
      </c>
      <c r="E915" s="811" t="s">
        <v>3292</v>
      </c>
      <c r="F915" s="891" t="s">
        <v>4418</v>
      </c>
      <c r="G915" s="99">
        <v>0</v>
      </c>
      <c r="H915" s="138">
        <f>IF(D915=G915,0,IF(D915=0,100,(G915-D915)/D915*100))</f>
        <v>0</v>
      </c>
      <c r="I915" s="33">
        <f>ROUNDUP(G915+(G915*Assumptions!H$5),-2)</f>
        <v>0</v>
      </c>
      <c r="J915" s="33">
        <f>ROUNDUP(I915+(I915*Assumptions!I$5),-2)</f>
        <v>0</v>
      </c>
      <c r="K915" s="33">
        <f>ROUNDUP(J915+(J915*Assumptions!J$5),-2)</f>
        <v>0</v>
      </c>
      <c r="L915" s="33">
        <f>ROUNDUP(K915+(K915*Assumptions!K$5),-2)</f>
        <v>0</v>
      </c>
      <c r="M915" s="33">
        <f>ROUNDUP(L915+(L915*Assumptions!L$5),-2)</f>
        <v>0</v>
      </c>
      <c r="N915" s="33">
        <f>ROUNDUP(M915+(M915*Assumptions!M$5),-2)</f>
        <v>0</v>
      </c>
      <c r="O915" s="33">
        <f>ROUNDUP(N915+(N915*Assumptions!N$5),-2)</f>
        <v>0</v>
      </c>
      <c r="P915" s="142">
        <f>ROUNDUP(O915+(O915*Assumptions!O$5),-2)</f>
        <v>0</v>
      </c>
      <c r="Q915" s="33">
        <f>ROUNDUP(P915+(P915*Assumptions!P$5),-2)</f>
        <v>0</v>
      </c>
      <c r="R915" s="114">
        <f>ROUNDUP(Q915+(Q915*Assumptions!Q$5),-2)</f>
        <v>0</v>
      </c>
    </row>
    <row r="916" spans="1:18" x14ac:dyDescent="0.2">
      <c r="A916" s="107">
        <v>0</v>
      </c>
      <c r="B916" s="33">
        <v>0</v>
      </c>
      <c r="C916" s="33">
        <v>0</v>
      </c>
      <c r="D916" s="33">
        <v>0</v>
      </c>
      <c r="E916" s="811" t="s">
        <v>6614</v>
      </c>
      <c r="F916" s="891" t="s">
        <v>6615</v>
      </c>
      <c r="G916" s="99">
        <f>82000-6100</f>
        <v>75900</v>
      </c>
      <c r="H916" s="138">
        <f>IF(D916=G916,0,IF(D916=0,100,(G916-D916)/D916*100))</f>
        <v>100</v>
      </c>
      <c r="I916" s="33">
        <v>0</v>
      </c>
      <c r="J916" s="33">
        <v>0</v>
      </c>
      <c r="K916" s="33">
        <v>0</v>
      </c>
      <c r="L916" s="33">
        <v>0</v>
      </c>
      <c r="M916" s="33">
        <v>0</v>
      </c>
      <c r="N916" s="33">
        <v>0</v>
      </c>
      <c r="O916" s="33">
        <v>0</v>
      </c>
      <c r="P916" s="33">
        <v>0</v>
      </c>
      <c r="Q916" s="33">
        <v>0</v>
      </c>
      <c r="R916" s="114">
        <v>0</v>
      </c>
    </row>
    <row r="917" spans="1:18" s="78" customFormat="1" ht="13.5" thickBot="1" x14ac:dyDescent="0.25">
      <c r="A917" s="2495"/>
      <c r="B917" s="1490"/>
      <c r="C917" s="1490"/>
      <c r="D917" s="1490"/>
      <c r="E917" s="1999"/>
      <c r="F917" s="1490"/>
      <c r="G917" s="1490"/>
      <c r="H917" s="1490"/>
      <c r="I917" s="2000"/>
      <c r="J917" s="2000"/>
      <c r="K917" s="2000"/>
      <c r="L917" s="2000"/>
      <c r="M917" s="2000"/>
      <c r="N917" s="2000"/>
      <c r="O917" s="2000"/>
      <c r="P917" s="2096"/>
      <c r="Q917" s="2000"/>
      <c r="R917" s="2001"/>
    </row>
    <row r="918" spans="1:18" s="91" customFormat="1" ht="18.75" customHeight="1" thickTop="1" thickBot="1" x14ac:dyDescent="0.3">
      <c r="A918" s="2865" t="s">
        <v>6410</v>
      </c>
      <c r="B918" s="2866"/>
      <c r="C918" s="2866"/>
      <c r="D918" s="2866"/>
      <c r="E918" s="2866"/>
      <c r="F918" s="2866"/>
      <c r="G918" s="2866"/>
      <c r="H918" s="2866"/>
      <c r="I918" s="2866"/>
      <c r="J918" s="2866"/>
      <c r="K918" s="2866"/>
      <c r="L918" s="2866"/>
      <c r="M918" s="2866"/>
      <c r="N918" s="2866"/>
      <c r="O918" s="2866"/>
      <c r="P918" s="2866"/>
      <c r="Q918" s="2866"/>
      <c r="R918" s="2867"/>
    </row>
    <row r="919" spans="1:18" s="44" customFormat="1" x14ac:dyDescent="0.2">
      <c r="A919" s="2848" t="s">
        <v>1856</v>
      </c>
      <c r="B919" s="2840"/>
      <c r="C919" s="2840"/>
      <c r="D919" s="2849"/>
      <c r="E919" s="513" t="s">
        <v>2663</v>
      </c>
      <c r="F919" s="369" t="s">
        <v>2251</v>
      </c>
      <c r="G919" s="2839" t="s">
        <v>2253</v>
      </c>
      <c r="H919" s="2840"/>
      <c r="I919" s="2840"/>
      <c r="J919" s="2840"/>
      <c r="K919" s="2840"/>
      <c r="L919" s="2840"/>
      <c r="M919" s="2840"/>
      <c r="N919" s="2840"/>
      <c r="O919" s="2840"/>
      <c r="P919" s="2840"/>
      <c r="Q919" s="2840"/>
      <c r="R919" s="2841"/>
    </row>
    <row r="920" spans="1:18" s="23" customFormat="1" ht="13.5" thickBot="1" x14ac:dyDescent="0.25">
      <c r="A920" s="1698" t="str">
        <f t="shared" ref="A920:R920" si="694">A$3</f>
        <v>2012/13</v>
      </c>
      <c r="B920" s="218" t="str">
        <f t="shared" si="694"/>
        <v>2013/14</v>
      </c>
      <c r="C920" s="370" t="str">
        <f>C$3</f>
        <v>2014/15</v>
      </c>
      <c r="D920" s="93" t="str">
        <f>D$3</f>
        <v>2015/16</v>
      </c>
      <c r="E920" s="381" t="str">
        <f>E857</f>
        <v>ACCOUNT</v>
      </c>
      <c r="F920" s="42"/>
      <c r="G920" s="2513" t="str">
        <f t="shared" si="694"/>
        <v>2016/17</v>
      </c>
      <c r="H920" s="2492" t="s">
        <v>501</v>
      </c>
      <c r="I920" s="370" t="str">
        <f t="shared" si="694"/>
        <v>2017/18</v>
      </c>
      <c r="J920" s="370" t="str">
        <f t="shared" si="694"/>
        <v>2018/19</v>
      </c>
      <c r="K920" s="370" t="str">
        <f t="shared" si="694"/>
        <v>2019/20</v>
      </c>
      <c r="L920" s="370" t="str">
        <f t="shared" si="694"/>
        <v>2020/21</v>
      </c>
      <c r="M920" s="370" t="str">
        <f t="shared" si="694"/>
        <v>2021/22</v>
      </c>
      <c r="N920" s="370" t="str">
        <f t="shared" si="694"/>
        <v>2022/23</v>
      </c>
      <c r="O920" s="370" t="str">
        <f t="shared" si="694"/>
        <v>2023/24</v>
      </c>
      <c r="P920" s="370" t="str">
        <f t="shared" si="694"/>
        <v>2024/25</v>
      </c>
      <c r="Q920" s="218" t="str">
        <f t="shared" si="694"/>
        <v>2025/26</v>
      </c>
      <c r="R920" s="549" t="str">
        <f t="shared" si="694"/>
        <v>2026/27</v>
      </c>
    </row>
    <row r="921" spans="1:18" x14ac:dyDescent="0.2">
      <c r="A921" s="107"/>
      <c r="B921" s="33"/>
      <c r="C921" s="33"/>
      <c r="D921" s="33"/>
      <c r="E921" s="673"/>
      <c r="F921" s="1982"/>
      <c r="G921" s="2509"/>
      <c r="H921" s="138"/>
      <c r="I921" s="33"/>
      <c r="J921" s="33"/>
      <c r="K921" s="33"/>
      <c r="L921" s="33"/>
      <c r="M921" s="33"/>
      <c r="N921" s="33"/>
      <c r="O921" s="33"/>
      <c r="P921" s="33"/>
      <c r="Q921" s="33"/>
      <c r="R921" s="114"/>
    </row>
    <row r="922" spans="1:18" x14ac:dyDescent="0.2">
      <c r="A922" s="107"/>
      <c r="B922" s="33"/>
      <c r="C922" s="33"/>
      <c r="D922" s="33"/>
      <c r="E922" s="344"/>
      <c r="F922" s="1110" t="s">
        <v>3571</v>
      </c>
      <c r="G922" s="99"/>
      <c r="H922" s="138"/>
      <c r="I922" s="33"/>
      <c r="J922" s="33"/>
      <c r="K922" s="33"/>
      <c r="L922" s="33"/>
      <c r="M922" s="33"/>
      <c r="N922" s="33"/>
      <c r="O922" s="33"/>
      <c r="P922" s="33"/>
      <c r="Q922" s="33"/>
      <c r="R922" s="114"/>
    </row>
    <row r="923" spans="1:18" x14ac:dyDescent="0.2">
      <c r="A923" s="107">
        <v>50300</v>
      </c>
      <c r="B923" s="33">
        <v>79600</v>
      </c>
      <c r="C923" s="33">
        <v>95900</v>
      </c>
      <c r="D923" s="189">
        <v>122300</v>
      </c>
      <c r="E923" s="344" t="s">
        <v>1912</v>
      </c>
      <c r="F923" s="814" t="s">
        <v>3565</v>
      </c>
      <c r="G923" s="198">
        <v>120000</v>
      </c>
      <c r="H923" s="138">
        <f t="shared" ref="H923:H930" si="695">IF(D923=G923,0,IF(D923=0,100,(G923-D923)/D923*100))</f>
        <v>-1.8806214227309894</v>
      </c>
      <c r="I923" s="33">
        <v>120000</v>
      </c>
      <c r="J923" s="33">
        <f t="shared" ref="J923:R923" si="696">I923</f>
        <v>120000</v>
      </c>
      <c r="K923" s="33">
        <f t="shared" si="696"/>
        <v>120000</v>
      </c>
      <c r="L923" s="33">
        <f t="shared" si="696"/>
        <v>120000</v>
      </c>
      <c r="M923" s="33">
        <f t="shared" si="696"/>
        <v>120000</v>
      </c>
      <c r="N923" s="33">
        <f t="shared" si="696"/>
        <v>120000</v>
      </c>
      <c r="O923" s="33">
        <f t="shared" si="696"/>
        <v>120000</v>
      </c>
      <c r="P923" s="33">
        <f t="shared" si="696"/>
        <v>120000</v>
      </c>
      <c r="Q923" s="33">
        <f t="shared" si="696"/>
        <v>120000</v>
      </c>
      <c r="R923" s="114">
        <f t="shared" si="696"/>
        <v>120000</v>
      </c>
    </row>
    <row r="924" spans="1:18" x14ac:dyDescent="0.2">
      <c r="A924" s="107">
        <v>3300</v>
      </c>
      <c r="B924" s="33">
        <v>4700</v>
      </c>
      <c r="C924" s="189">
        <v>7500</v>
      </c>
      <c r="D924" s="189">
        <v>0</v>
      </c>
      <c r="E924" s="658" t="s">
        <v>395</v>
      </c>
      <c r="F924" s="443" t="s">
        <v>824</v>
      </c>
      <c r="G924" s="198">
        <v>0</v>
      </c>
      <c r="H924" s="138">
        <f t="shared" si="695"/>
        <v>0</v>
      </c>
      <c r="I924" s="33">
        <f>ROUNDUP(G924+(G924*Assumptions!H$5),-2)</f>
        <v>0</v>
      </c>
      <c r="J924" s="33">
        <f>ROUNDUP(I924+(I924*Assumptions!I$5),-2)</f>
        <v>0</v>
      </c>
      <c r="K924" s="33">
        <f>ROUNDUP(J924+(J924*Assumptions!J$5),-2)</f>
        <v>0</v>
      </c>
      <c r="L924" s="33">
        <f>ROUNDUP(K924+(K924*Assumptions!K$5),-2)</f>
        <v>0</v>
      </c>
      <c r="M924" s="33">
        <f>ROUNDUP(L924+(L924*Assumptions!L$5),-2)</f>
        <v>0</v>
      </c>
      <c r="N924" s="33">
        <f>ROUNDUP(M924+(M924*Assumptions!M$5),-2)</f>
        <v>0</v>
      </c>
      <c r="O924" s="33">
        <f>ROUNDUP(N924+(N924*Assumptions!N$5),-2)</f>
        <v>0</v>
      </c>
      <c r="P924" s="33">
        <f>ROUNDUP(O924+(O924*Assumptions!O$5),-2)</f>
        <v>0</v>
      </c>
      <c r="Q924" s="33">
        <f>ROUNDUP(P924+(P924*Assumptions!P$5),-2)</f>
        <v>0</v>
      </c>
      <c r="R924" s="114">
        <f>ROUNDUP(Q924+(Q924*Assumptions!Q$5),-2)</f>
        <v>0</v>
      </c>
    </row>
    <row r="925" spans="1:18" x14ac:dyDescent="0.2">
      <c r="A925" s="107">
        <v>2800</v>
      </c>
      <c r="B925" s="33">
        <v>2000</v>
      </c>
      <c r="C925" s="189">
        <v>0</v>
      </c>
      <c r="D925" s="189">
        <v>0</v>
      </c>
      <c r="E925" s="658" t="s">
        <v>396</v>
      </c>
      <c r="F925" s="3" t="s">
        <v>1176</v>
      </c>
      <c r="G925" s="187">
        <v>0</v>
      </c>
      <c r="H925" s="138">
        <f t="shared" si="695"/>
        <v>0</v>
      </c>
      <c r="I925" s="33">
        <f>ROUNDUP(G925+(G925*Assumptions!H$5),-2)</f>
        <v>0</v>
      </c>
      <c r="J925" s="33">
        <f>ROUNDUP(I925+(I925*Assumptions!I$5),-2)</f>
        <v>0</v>
      </c>
      <c r="K925" s="33">
        <f>ROUNDUP(J925+(J925*Assumptions!J$5),-2)</f>
        <v>0</v>
      </c>
      <c r="L925" s="33">
        <f>ROUNDUP(K925+(K925*Assumptions!K$5),-2)</f>
        <v>0</v>
      </c>
      <c r="M925" s="33">
        <f>ROUNDUP(L925+(L925*Assumptions!L$5),-2)</f>
        <v>0</v>
      </c>
      <c r="N925" s="33">
        <f>ROUNDUP(M925+(M925*Assumptions!M$5),-2)</f>
        <v>0</v>
      </c>
      <c r="O925" s="33">
        <f>ROUNDUP(N925+(N925*Assumptions!N$5),-2)</f>
        <v>0</v>
      </c>
      <c r="P925" s="33">
        <f>ROUNDUP(O925+(O925*Assumptions!O$5),-2)</f>
        <v>0</v>
      </c>
      <c r="Q925" s="33">
        <f>ROUNDUP(P925+(P925*Assumptions!P$5),-2)</f>
        <v>0</v>
      </c>
      <c r="R925" s="114">
        <f>ROUNDUP(Q925+(Q925*Assumptions!Q$5),-2)</f>
        <v>0</v>
      </c>
    </row>
    <row r="926" spans="1:18" x14ac:dyDescent="0.2">
      <c r="A926" s="107">
        <v>13200</v>
      </c>
      <c r="B926" s="33">
        <v>14600</v>
      </c>
      <c r="C926" s="189">
        <v>13500</v>
      </c>
      <c r="D926" s="189">
        <v>3900</v>
      </c>
      <c r="E926" s="658" t="s">
        <v>397</v>
      </c>
      <c r="F926" s="3" t="s">
        <v>1503</v>
      </c>
      <c r="G926" s="187">
        <v>4000</v>
      </c>
      <c r="H926" s="138">
        <f t="shared" si="695"/>
        <v>2.5641025641025639</v>
      </c>
      <c r="I926" s="33">
        <v>4000</v>
      </c>
      <c r="J926" s="33">
        <f>ROUNDUP(I926+(I926*Assumptions!I$5),-2)</f>
        <v>4100</v>
      </c>
      <c r="K926" s="33">
        <f>ROUNDUP(J926+(J926*Assumptions!J$5),-2)</f>
        <v>4300</v>
      </c>
      <c r="L926" s="33">
        <f>ROUNDUP(K926+(K926*Assumptions!K$5),-2)</f>
        <v>4500</v>
      </c>
      <c r="M926" s="33">
        <f>ROUNDUP(L926+(L926*Assumptions!L$5),-2)</f>
        <v>4600</v>
      </c>
      <c r="N926" s="33">
        <f>ROUNDUP(M926+(M926*Assumptions!M$5),-2)</f>
        <v>4700</v>
      </c>
      <c r="O926" s="33">
        <f>ROUNDUP(N926+(N926*Assumptions!N$5),-2)</f>
        <v>4800</v>
      </c>
      <c r="P926" s="33">
        <f>ROUNDUP(O926+(O926*Assumptions!O$5),-2)</f>
        <v>4900</v>
      </c>
      <c r="Q926" s="33">
        <f>ROUNDUP(P926+(P926*Assumptions!P$5),-2)</f>
        <v>5000</v>
      </c>
      <c r="R926" s="114">
        <f>ROUNDUP(Q926+(Q926*Assumptions!Q$5),-2)</f>
        <v>5100</v>
      </c>
    </row>
    <row r="927" spans="1:18" x14ac:dyDescent="0.2">
      <c r="A927" s="107">
        <v>1500</v>
      </c>
      <c r="B927" s="33">
        <v>3600</v>
      </c>
      <c r="C927" s="189">
        <v>3400</v>
      </c>
      <c r="D927" s="189">
        <v>3800</v>
      </c>
      <c r="E927" s="658" t="s">
        <v>398</v>
      </c>
      <c r="F927" s="3" t="s">
        <v>404</v>
      </c>
      <c r="G927" s="187">
        <v>3000</v>
      </c>
      <c r="H927" s="138">
        <f t="shared" si="695"/>
        <v>-21.052631578947366</v>
      </c>
      <c r="I927" s="33">
        <v>3000</v>
      </c>
      <c r="J927" s="33">
        <f>ROUNDUP(I927+(I927*Assumptions!I$5),-2)</f>
        <v>3100</v>
      </c>
      <c r="K927" s="33">
        <f>ROUNDUP(J927+(J927*Assumptions!J$5),-2)</f>
        <v>3200</v>
      </c>
      <c r="L927" s="33">
        <f>ROUNDUP(K927+(K927*Assumptions!K$5),-2)</f>
        <v>3300</v>
      </c>
      <c r="M927" s="33">
        <f>ROUNDUP(L927+(L927*Assumptions!L$5),-2)</f>
        <v>3400</v>
      </c>
      <c r="N927" s="33">
        <f>ROUNDUP(M927+(M927*Assumptions!M$5),-2)</f>
        <v>3500</v>
      </c>
      <c r="O927" s="33">
        <f>ROUNDUP(N927+(N927*Assumptions!N$5),-2)</f>
        <v>3600</v>
      </c>
      <c r="P927" s="33">
        <f>ROUNDUP(O927+(O927*Assumptions!O$5),-2)</f>
        <v>3700</v>
      </c>
      <c r="Q927" s="33">
        <f>ROUNDUP(P927+(P927*Assumptions!P$5),-2)</f>
        <v>3800</v>
      </c>
      <c r="R927" s="114">
        <f>ROUNDUP(Q927+(Q927*Assumptions!Q$5),-2)</f>
        <v>3900</v>
      </c>
    </row>
    <row r="928" spans="1:18" x14ac:dyDescent="0.2">
      <c r="A928" s="107">
        <v>5600</v>
      </c>
      <c r="B928" s="33">
        <v>15800</v>
      </c>
      <c r="C928" s="189">
        <f>10000+1000</f>
        <v>11000</v>
      </c>
      <c r="D928" s="189">
        <v>19200</v>
      </c>
      <c r="E928" s="344" t="s">
        <v>1679</v>
      </c>
      <c r="F928" s="3" t="s">
        <v>1523</v>
      </c>
      <c r="G928" s="187">
        <f>10000+2000</f>
        <v>12000</v>
      </c>
      <c r="H928" s="138">
        <f t="shared" si="695"/>
        <v>-37.5</v>
      </c>
      <c r="I928" s="33">
        <v>12000</v>
      </c>
      <c r="J928" s="33">
        <f>ROUNDUP(I928+(I928*Assumptions!I$5),-2)</f>
        <v>12300</v>
      </c>
      <c r="K928" s="33">
        <f>ROUNDUP(J928+(J928*Assumptions!J$5),-2)</f>
        <v>12700</v>
      </c>
      <c r="L928" s="33">
        <f>ROUNDUP(K928+(K928*Assumptions!K$5),-2)</f>
        <v>13100</v>
      </c>
      <c r="M928" s="33">
        <f>ROUNDUP(L928+(L928*Assumptions!L$5),-2)</f>
        <v>13400</v>
      </c>
      <c r="N928" s="33">
        <f>ROUNDUP(M928+(M928*Assumptions!M$5),-2)</f>
        <v>13700</v>
      </c>
      <c r="O928" s="33">
        <f>ROUNDUP(N928+(N928*Assumptions!N$5),-2)</f>
        <v>14000</v>
      </c>
      <c r="P928" s="33">
        <f>ROUNDUP(O928+(O928*Assumptions!O$5),-2)</f>
        <v>14300</v>
      </c>
      <c r="Q928" s="33">
        <f>ROUNDUP(P928+(P928*Assumptions!P$5),-2)</f>
        <v>14600</v>
      </c>
      <c r="R928" s="114">
        <f>ROUNDUP(Q928+(Q928*Assumptions!Q$5),-2)</f>
        <v>14900</v>
      </c>
    </row>
    <row r="929" spans="1:18" x14ac:dyDescent="0.2">
      <c r="A929" s="107">
        <v>16700</v>
      </c>
      <c r="B929" s="33">
        <v>18700</v>
      </c>
      <c r="C929" s="33">
        <v>19000</v>
      </c>
      <c r="D929" s="33">
        <v>19700</v>
      </c>
      <c r="E929" s="344" t="s">
        <v>97</v>
      </c>
      <c r="F929" s="1981" t="s">
        <v>2802</v>
      </c>
      <c r="G929" s="33">
        <v>20000</v>
      </c>
      <c r="H929" s="138">
        <f t="shared" si="695"/>
        <v>1.5228426395939088</v>
      </c>
      <c r="I929" s="33">
        <v>21000</v>
      </c>
      <c r="J929" s="33">
        <f>ROUNDUP(I929+(I929*Assumptions!I$5),-2)</f>
        <v>21600</v>
      </c>
      <c r="K929" s="33">
        <f>ROUNDUP(J929+(J929*Assumptions!J$5),-2)</f>
        <v>22200</v>
      </c>
      <c r="L929" s="33">
        <f>ROUNDUP(K929+(K929*Assumptions!K$5),-2)</f>
        <v>22800</v>
      </c>
      <c r="M929" s="33">
        <f>ROUNDUP(L929+(L929*Assumptions!L$5),-2)</f>
        <v>23300</v>
      </c>
      <c r="N929" s="33">
        <f>ROUNDUP(M929+(M929*Assumptions!M$5),-2)</f>
        <v>23800</v>
      </c>
      <c r="O929" s="33">
        <f>ROUNDUP(N929+(N929*Assumptions!N$5),-2)</f>
        <v>24300</v>
      </c>
      <c r="P929" s="33">
        <f>ROUNDUP(O929+(O929*Assumptions!O$5),-2)</f>
        <v>24800</v>
      </c>
      <c r="Q929" s="33">
        <f>ROUNDUP(P929+(P929*Assumptions!P$5),-2)</f>
        <v>25300</v>
      </c>
      <c r="R929" s="114">
        <f>ROUNDUP(Q929+(Q929*Assumptions!Q$5),-2)</f>
        <v>25900</v>
      </c>
    </row>
    <row r="930" spans="1:18" x14ac:dyDescent="0.2">
      <c r="A930" s="107">
        <v>2200</v>
      </c>
      <c r="B930" s="33">
        <v>1300</v>
      </c>
      <c r="C930" s="33">
        <v>1300</v>
      </c>
      <c r="D930" s="33">
        <v>0</v>
      </c>
      <c r="E930" s="1092" t="s">
        <v>4932</v>
      </c>
      <c r="F930" s="108" t="s">
        <v>582</v>
      </c>
      <c r="G930" s="33">
        <f>2600-1000</f>
        <v>1600</v>
      </c>
      <c r="H930" s="138">
        <f t="shared" si="695"/>
        <v>100</v>
      </c>
      <c r="I930" s="33">
        <f>ROUNDUP(G930+(G930*Assumptions!H$5),-2)</f>
        <v>1700</v>
      </c>
      <c r="J930" s="33">
        <f>ROUNDUP(I930+(I930*Assumptions!I$5),-2)</f>
        <v>1800</v>
      </c>
      <c r="K930" s="33">
        <f>ROUNDUP(J930+(J930*Assumptions!J$5),-2)</f>
        <v>1900</v>
      </c>
      <c r="L930" s="33">
        <f>ROUNDUP(K930+(K930*Assumptions!K$5),-2)</f>
        <v>2000</v>
      </c>
      <c r="M930" s="33">
        <f>ROUNDUP(L930+(L930*Assumptions!L$5),-2)</f>
        <v>2100</v>
      </c>
      <c r="N930" s="33">
        <f>ROUNDUP(M930+(M930*Assumptions!M$5),-2)</f>
        <v>2200</v>
      </c>
      <c r="O930" s="33">
        <f>ROUNDUP(N930+(N930*Assumptions!N$5),-2)</f>
        <v>2300</v>
      </c>
      <c r="P930" s="33">
        <f>ROUNDUP(O930+(O930*Assumptions!O$5),-2)</f>
        <v>2400</v>
      </c>
      <c r="Q930" s="33">
        <f>ROUNDUP(P930+(P930*Assumptions!P$5),-2)</f>
        <v>2500</v>
      </c>
      <c r="R930" s="114">
        <f>ROUNDUP(Q930+(Q930*Assumptions!Q$5),-2)</f>
        <v>2600</v>
      </c>
    </row>
    <row r="931" spans="1:18" x14ac:dyDescent="0.2">
      <c r="A931" s="107"/>
      <c r="B931" s="33"/>
      <c r="C931" s="33"/>
      <c r="D931" s="33"/>
      <c r="E931" s="811"/>
      <c r="F931" s="111"/>
      <c r="G931" s="33"/>
      <c r="H931" s="138"/>
      <c r="I931" s="33"/>
      <c r="J931" s="33"/>
      <c r="K931" s="33"/>
      <c r="L931" s="33"/>
      <c r="M931" s="33"/>
      <c r="N931" s="33"/>
      <c r="O931" s="33"/>
      <c r="P931" s="33"/>
      <c r="Q931" s="33"/>
      <c r="R931" s="114"/>
    </row>
    <row r="932" spans="1:18" x14ac:dyDescent="0.2">
      <c r="A932" s="107"/>
      <c r="B932" s="33"/>
      <c r="C932" s="33"/>
      <c r="D932" s="33"/>
      <c r="E932" s="811"/>
      <c r="F932" s="2529" t="s">
        <v>265</v>
      </c>
      <c r="G932" s="33"/>
      <c r="H932" s="138"/>
      <c r="I932" s="33"/>
      <c r="J932" s="33"/>
      <c r="K932" s="33"/>
      <c r="L932" s="33"/>
      <c r="M932" s="33"/>
      <c r="N932" s="33"/>
      <c r="O932" s="33"/>
      <c r="P932" s="33"/>
      <c r="Q932" s="33"/>
      <c r="R932" s="114"/>
    </row>
    <row r="933" spans="1:18" x14ac:dyDescent="0.2">
      <c r="A933" s="107">
        <v>88100</v>
      </c>
      <c r="B933" s="33">
        <v>48500</v>
      </c>
      <c r="C933" s="33">
        <v>26000</v>
      </c>
      <c r="D933" s="33">
        <v>26600</v>
      </c>
      <c r="E933" s="344" t="s">
        <v>2198</v>
      </c>
      <c r="F933" s="1981" t="s">
        <v>2384</v>
      </c>
      <c r="G933" s="33">
        <v>26000</v>
      </c>
      <c r="H933" s="138">
        <f>IF(D933=G933,0,IF(D933=0,100,(G933-D933)/D933*100))</f>
        <v>-2.2556390977443606</v>
      </c>
      <c r="I933" s="33">
        <f>ROUNDUP(G933+(G933*Assumptions!H$18),-2)</f>
        <v>26600</v>
      </c>
      <c r="J933" s="33">
        <f>ROUNDUP(I933+(I933*Assumptions!I$18),-2)</f>
        <v>27200</v>
      </c>
      <c r="K933" s="33">
        <f>ROUNDUP(J933+(J933*Assumptions!J$18),-2)</f>
        <v>27800</v>
      </c>
      <c r="L933" s="33">
        <f>ROUNDUP(K933+(K933*Assumptions!K$18),-2)</f>
        <v>28400</v>
      </c>
      <c r="M933" s="33">
        <f>ROUNDUP(L933+(L933*Assumptions!L$18),-2)</f>
        <v>29000</v>
      </c>
      <c r="N933" s="33">
        <f>ROUNDUP(M933+(M933*Assumptions!M$18),-2)</f>
        <v>29600</v>
      </c>
      <c r="O933" s="33">
        <f>ROUNDUP(N933+(N933*Assumptions!N$18),-2)</f>
        <v>30200</v>
      </c>
      <c r="P933" s="33">
        <f>ROUNDUP(O933+(O933*Assumptions!O$18),-2)</f>
        <v>30900</v>
      </c>
      <c r="Q933" s="33">
        <f>ROUNDUP(P933+(P933*Assumptions!P$18),-2)</f>
        <v>31600</v>
      </c>
      <c r="R933" s="114">
        <f>ROUNDUP(Q933+(Q933*Assumptions!Q$18),-2)</f>
        <v>32300</v>
      </c>
    </row>
    <row r="934" spans="1:18" ht="13.5" thickBot="1" x14ac:dyDescent="0.25">
      <c r="A934" s="70"/>
      <c r="B934" s="64"/>
      <c r="C934" s="64"/>
      <c r="D934" s="64"/>
      <c r="E934" s="343"/>
      <c r="F934" s="74"/>
      <c r="G934" s="33"/>
      <c r="H934" s="179"/>
      <c r="I934" s="33"/>
      <c r="J934" s="33"/>
      <c r="K934" s="33"/>
      <c r="L934" s="33"/>
      <c r="M934" s="33"/>
      <c r="N934" s="33"/>
      <c r="O934" s="33"/>
      <c r="P934" s="33"/>
      <c r="Q934" s="33"/>
      <c r="R934" s="114"/>
    </row>
    <row r="935" spans="1:18" s="92" customFormat="1" x14ac:dyDescent="0.2">
      <c r="A935" s="105">
        <f>SUM(A883:A934)</f>
        <v>679000</v>
      </c>
      <c r="B935" s="53">
        <f>SUM(B883:B934)</f>
        <v>736400</v>
      </c>
      <c r="C935" s="53">
        <f>SUM(C883:C934)</f>
        <v>673000</v>
      </c>
      <c r="D935" s="53">
        <f>SUM(D883:D934)</f>
        <v>740400</v>
      </c>
      <c r="E935" s="282"/>
      <c r="F935" s="112" t="s">
        <v>565</v>
      </c>
      <c r="G935" s="53">
        <f>SUM(G883:G934)</f>
        <v>732100</v>
      </c>
      <c r="H935" s="180">
        <f>IF(D935=G935,0,IF(D935=0,100,(G935-D935)/D935*100))</f>
        <v>-1.1210156672069151</v>
      </c>
      <c r="I935" s="53">
        <f t="shared" ref="I935:Q935" si="697">SUM(I883:I934)</f>
        <v>626200</v>
      </c>
      <c r="J935" s="53">
        <f t="shared" si="697"/>
        <v>730000</v>
      </c>
      <c r="K935" s="53">
        <f t="shared" si="697"/>
        <v>654300</v>
      </c>
      <c r="L935" s="53">
        <f t="shared" si="697"/>
        <v>668800</v>
      </c>
      <c r="M935" s="53">
        <f t="shared" si="697"/>
        <v>682000</v>
      </c>
      <c r="N935" s="53">
        <f t="shared" si="697"/>
        <v>695400</v>
      </c>
      <c r="O935" s="53">
        <f t="shared" si="697"/>
        <v>799000</v>
      </c>
      <c r="P935" s="53">
        <f t="shared" si="697"/>
        <v>723200</v>
      </c>
      <c r="Q935" s="53">
        <f t="shared" si="697"/>
        <v>737700</v>
      </c>
      <c r="R935" s="113">
        <f t="shared" ref="R935" si="698">SUM(R883:R934)</f>
        <v>752600</v>
      </c>
    </row>
    <row r="936" spans="1:18" x14ac:dyDescent="0.2">
      <c r="A936" s="107"/>
      <c r="B936" s="33"/>
      <c r="C936" s="33"/>
      <c r="D936" s="33"/>
      <c r="E936" s="255"/>
      <c r="F936" s="108"/>
      <c r="G936" s="33"/>
      <c r="H936" s="138"/>
      <c r="I936" s="33"/>
      <c r="J936" s="33"/>
      <c r="K936" s="33"/>
      <c r="L936" s="33"/>
      <c r="M936" s="33"/>
      <c r="N936" s="33"/>
      <c r="O936" s="33"/>
      <c r="P936" s="33"/>
      <c r="Q936" s="33"/>
      <c r="R936" s="114"/>
    </row>
    <row r="937" spans="1:18" s="92" customFormat="1" x14ac:dyDescent="0.2">
      <c r="A937" s="70">
        <f>A881-A935</f>
        <v>-533300</v>
      </c>
      <c r="B937" s="128">
        <f>B881-B935</f>
        <v>-597300</v>
      </c>
      <c r="C937" s="64">
        <f>C881-C935</f>
        <v>-533300</v>
      </c>
      <c r="D937" s="64">
        <f>D881-D935</f>
        <v>-595500</v>
      </c>
      <c r="E937" s="282"/>
      <c r="F937" s="1962" t="s">
        <v>1019</v>
      </c>
      <c r="G937" s="64">
        <f>G881-G935</f>
        <v>-617300</v>
      </c>
      <c r="H937" s="179">
        <v>2</v>
      </c>
      <c r="I937" s="64">
        <f t="shared" ref="I937:Q937" si="699">I881-I935</f>
        <v>-559900</v>
      </c>
      <c r="J937" s="64">
        <f t="shared" si="699"/>
        <v>-571600</v>
      </c>
      <c r="K937" s="64">
        <f t="shared" si="699"/>
        <v>-583700</v>
      </c>
      <c r="L937" s="64">
        <f t="shared" si="699"/>
        <v>-596000</v>
      </c>
      <c r="M937" s="64">
        <f t="shared" si="699"/>
        <v>-607400</v>
      </c>
      <c r="N937" s="64">
        <f t="shared" si="699"/>
        <v>-619000</v>
      </c>
      <c r="O937" s="64">
        <f t="shared" si="699"/>
        <v>-630600</v>
      </c>
      <c r="P937" s="64">
        <f t="shared" si="699"/>
        <v>-642700</v>
      </c>
      <c r="Q937" s="64">
        <f t="shared" si="699"/>
        <v>-655100</v>
      </c>
      <c r="R937" s="115">
        <f t="shared" ref="R937" si="700">R881-R935</f>
        <v>-667900</v>
      </c>
    </row>
    <row r="938" spans="1:18" x14ac:dyDescent="0.2">
      <c r="A938" s="107">
        <f t="shared" ref="A938:B938" si="701">SUM(A933:A934)</f>
        <v>88100</v>
      </c>
      <c r="B938" s="142">
        <f t="shared" si="701"/>
        <v>48500</v>
      </c>
      <c r="C938" s="33">
        <f>SUM(C933:C934)</f>
        <v>26000</v>
      </c>
      <c r="D938" s="33">
        <f>SUM(D933:D934)</f>
        <v>26600</v>
      </c>
      <c r="E938" s="255"/>
      <c r="F938" s="2531" t="s">
        <v>1976</v>
      </c>
      <c r="G938" s="33">
        <f t="shared" ref="G938:O938" si="702">SUM(G933:G934)</f>
        <v>26000</v>
      </c>
      <c r="H938" s="19">
        <v>2</v>
      </c>
      <c r="I938" s="33">
        <f t="shared" si="702"/>
        <v>26600</v>
      </c>
      <c r="J938" s="33">
        <f t="shared" si="702"/>
        <v>27200</v>
      </c>
      <c r="K938" s="33">
        <f t="shared" si="702"/>
        <v>27800</v>
      </c>
      <c r="L938" s="33">
        <f t="shared" si="702"/>
        <v>28400</v>
      </c>
      <c r="M938" s="33">
        <f t="shared" si="702"/>
        <v>29000</v>
      </c>
      <c r="N938" s="33">
        <f t="shared" si="702"/>
        <v>29600</v>
      </c>
      <c r="O938" s="33">
        <f t="shared" si="702"/>
        <v>30200</v>
      </c>
      <c r="P938" s="33">
        <f t="shared" ref="P938:Q938" si="703">SUM(P933:P934)</f>
        <v>30900</v>
      </c>
      <c r="Q938" s="33">
        <f t="shared" si="703"/>
        <v>31600</v>
      </c>
      <c r="R938" s="114">
        <f t="shared" ref="R938" si="704">SUM(R933:R934)</f>
        <v>32300</v>
      </c>
    </row>
    <row r="939" spans="1:18" s="92" customFormat="1" x14ac:dyDescent="0.2">
      <c r="A939" s="181">
        <f>A937+A938</f>
        <v>-445200</v>
      </c>
      <c r="B939" s="377">
        <f>B937+B938</f>
        <v>-548800</v>
      </c>
      <c r="C939" s="397">
        <f>C937+C938</f>
        <v>-507300</v>
      </c>
      <c r="D939" s="397">
        <f>D937+D938</f>
        <v>-568900</v>
      </c>
      <c r="E939" s="514"/>
      <c r="F939" s="1972" t="s">
        <v>1687</v>
      </c>
      <c r="G939" s="397">
        <f t="shared" ref="G939:O939" si="705">G937+G938</f>
        <v>-591300</v>
      </c>
      <c r="H939" s="395">
        <v>2</v>
      </c>
      <c r="I939" s="397">
        <f t="shared" si="705"/>
        <v>-533300</v>
      </c>
      <c r="J939" s="397">
        <f t="shared" si="705"/>
        <v>-544400</v>
      </c>
      <c r="K939" s="397">
        <f t="shared" si="705"/>
        <v>-555900</v>
      </c>
      <c r="L939" s="397">
        <f t="shared" si="705"/>
        <v>-567600</v>
      </c>
      <c r="M939" s="397">
        <f t="shared" si="705"/>
        <v>-578400</v>
      </c>
      <c r="N939" s="397">
        <f t="shared" si="705"/>
        <v>-589400</v>
      </c>
      <c r="O939" s="397">
        <f t="shared" si="705"/>
        <v>-600400</v>
      </c>
      <c r="P939" s="397">
        <f t="shared" ref="P939:Q939" si="706">P937+P938</f>
        <v>-611800</v>
      </c>
      <c r="Q939" s="397">
        <f t="shared" si="706"/>
        <v>-623500</v>
      </c>
      <c r="R939" s="399">
        <f t="shared" ref="R939" si="707">R937+R938</f>
        <v>-635600</v>
      </c>
    </row>
    <row r="940" spans="1:18" ht="13.5" thickBot="1" x14ac:dyDescent="0.25">
      <c r="A940" s="73"/>
      <c r="B940" s="134"/>
      <c r="C940" s="90"/>
      <c r="D940" s="90"/>
      <c r="E940" s="285"/>
      <c r="F940" s="119"/>
      <c r="G940" s="66"/>
      <c r="H940" s="392"/>
      <c r="I940" s="121"/>
      <c r="J940" s="121"/>
      <c r="K940" s="121"/>
      <c r="L940" s="121"/>
      <c r="M940" s="121"/>
      <c r="N940" s="121"/>
      <c r="O940" s="121"/>
      <c r="P940" s="121"/>
      <c r="Q940" s="121"/>
      <c r="R940" s="161"/>
    </row>
    <row r="941" spans="1:18" ht="13.5" thickTop="1" x14ac:dyDescent="0.2">
      <c r="A941" s="383"/>
      <c r="B941" s="122"/>
      <c r="C941" s="162"/>
      <c r="D941" s="162"/>
      <c r="E941" s="286"/>
      <c r="F941" s="640"/>
      <c r="G941" s="127"/>
      <c r="H941" s="505"/>
      <c r="I941" s="33"/>
      <c r="J941" s="33"/>
      <c r="K941" s="33"/>
      <c r="L941" s="33"/>
      <c r="M941" s="33"/>
      <c r="N941" s="33"/>
      <c r="O941" s="33"/>
      <c r="P941" s="33"/>
      <c r="Q941" s="33"/>
      <c r="R941" s="114"/>
    </row>
    <row r="942" spans="1:18" x14ac:dyDescent="0.2">
      <c r="A942" s="70"/>
      <c r="B942" s="128"/>
      <c r="C942" s="64"/>
      <c r="D942" s="64"/>
      <c r="E942" s="283"/>
      <c r="F942" s="1962" t="s">
        <v>196</v>
      </c>
      <c r="G942" s="33"/>
      <c r="H942" s="179"/>
      <c r="I942" s="33"/>
      <c r="J942" s="33"/>
      <c r="K942" s="33"/>
      <c r="L942" s="33"/>
      <c r="M942" s="33"/>
      <c r="N942" s="33"/>
      <c r="O942" s="33"/>
      <c r="P942" s="33"/>
      <c r="Q942" s="33"/>
      <c r="R942" s="114"/>
    </row>
    <row r="943" spans="1:18" x14ac:dyDescent="0.2">
      <c r="A943" s="107">
        <v>0</v>
      </c>
      <c r="B943" s="142">
        <v>0</v>
      </c>
      <c r="C943" s="142">
        <v>0</v>
      </c>
      <c r="D943" s="142">
        <v>0</v>
      </c>
      <c r="E943" s="283"/>
      <c r="F943" s="1981" t="s">
        <v>2900</v>
      </c>
      <c r="G943" s="33">
        <v>0</v>
      </c>
      <c r="H943" s="138"/>
      <c r="I943" s="33">
        <v>0</v>
      </c>
      <c r="J943" s="33">
        <v>0</v>
      </c>
      <c r="K943" s="33">
        <v>0</v>
      </c>
      <c r="L943" s="33">
        <v>0</v>
      </c>
      <c r="M943" s="33">
        <v>0</v>
      </c>
      <c r="N943" s="33">
        <v>0</v>
      </c>
      <c r="O943" s="33">
        <v>0</v>
      </c>
      <c r="P943" s="33">
        <v>0</v>
      </c>
      <c r="Q943" s="33">
        <v>0</v>
      </c>
      <c r="R943" s="114">
        <v>0</v>
      </c>
    </row>
    <row r="944" spans="1:18" x14ac:dyDescent="0.2">
      <c r="A944" s="107">
        <v>32300</v>
      </c>
      <c r="B944" s="142">
        <v>32000</v>
      </c>
      <c r="C944" s="142">
        <v>61000</v>
      </c>
      <c r="D944" s="33">
        <f>'Res-Gen'!B34</f>
        <v>84300</v>
      </c>
      <c r="E944" s="283"/>
      <c r="F944" s="1981" t="s">
        <v>1942</v>
      </c>
      <c r="G944" s="33">
        <v>0</v>
      </c>
      <c r="H944" s="138"/>
      <c r="I944" s="33">
        <v>0</v>
      </c>
      <c r="J944" s="33">
        <v>0</v>
      </c>
      <c r="K944" s="33">
        <v>0</v>
      </c>
      <c r="L944" s="33">
        <v>0</v>
      </c>
      <c r="M944" s="33">
        <v>0</v>
      </c>
      <c r="N944" s="33"/>
      <c r="O944" s="33">
        <v>0</v>
      </c>
      <c r="P944" s="33">
        <v>0</v>
      </c>
      <c r="Q944" s="33">
        <v>0</v>
      </c>
      <c r="R944" s="114">
        <v>0</v>
      </c>
    </row>
    <row r="945" spans="1:18" x14ac:dyDescent="0.2">
      <c r="A945" s="107">
        <v>0</v>
      </c>
      <c r="B945" s="142">
        <v>32300</v>
      </c>
      <c r="C945" s="33">
        <v>27000</v>
      </c>
      <c r="D945" s="33">
        <f>'Res-Gen'!C34</f>
        <v>61000</v>
      </c>
      <c r="E945" s="283"/>
      <c r="F945" s="1981" t="s">
        <v>2348</v>
      </c>
      <c r="G945" s="33">
        <f>'Res-Gen'!F34</f>
        <v>84300</v>
      </c>
      <c r="H945" s="138"/>
      <c r="I945" s="33">
        <v>0</v>
      </c>
      <c r="J945" s="33">
        <v>0</v>
      </c>
      <c r="K945" s="33">
        <v>0</v>
      </c>
      <c r="L945" s="33">
        <v>0</v>
      </c>
      <c r="M945" s="33">
        <v>0</v>
      </c>
      <c r="N945" s="33">
        <v>0</v>
      </c>
      <c r="O945" s="33">
        <v>0</v>
      </c>
      <c r="P945" s="33">
        <v>0</v>
      </c>
      <c r="Q945" s="33">
        <v>0</v>
      </c>
      <c r="R945" s="114">
        <v>0</v>
      </c>
    </row>
    <row r="946" spans="1:18" x14ac:dyDescent="0.2">
      <c r="A946" s="107">
        <v>0</v>
      </c>
      <c r="B946" s="142">
        <v>0</v>
      </c>
      <c r="C946" s="33">
        <v>0</v>
      </c>
      <c r="D946" s="33">
        <v>0</v>
      </c>
      <c r="E946" s="283"/>
      <c r="F946" s="1981" t="s">
        <v>5984</v>
      </c>
      <c r="G946" s="33">
        <v>0</v>
      </c>
      <c r="H946" s="138"/>
      <c r="I946" s="33">
        <v>0</v>
      </c>
      <c r="J946" s="33">
        <v>0</v>
      </c>
      <c r="K946" s="33">
        <v>0</v>
      </c>
      <c r="L946" s="33">
        <v>0</v>
      </c>
      <c r="M946" s="33">
        <v>0</v>
      </c>
      <c r="N946" s="33">
        <v>0</v>
      </c>
      <c r="O946" s="33">
        <v>0</v>
      </c>
      <c r="P946" s="33">
        <v>0</v>
      </c>
      <c r="Q946" s="33">
        <v>0</v>
      </c>
      <c r="R946" s="114">
        <v>0</v>
      </c>
    </row>
    <row r="947" spans="1:18" x14ac:dyDescent="0.2">
      <c r="A947" s="107">
        <v>0</v>
      </c>
      <c r="B947" s="142">
        <v>0</v>
      </c>
      <c r="C947" s="33">
        <v>0</v>
      </c>
      <c r="D947" s="33">
        <v>0</v>
      </c>
      <c r="E947" s="283"/>
      <c r="F947" s="366" t="s">
        <v>972</v>
      </c>
      <c r="G947" s="99">
        <v>0</v>
      </c>
      <c r="H947" s="138"/>
      <c r="I947" s="33">
        <v>0</v>
      </c>
      <c r="J947" s="33">
        <v>0</v>
      </c>
      <c r="K947" s="33">
        <v>0</v>
      </c>
      <c r="L947" s="33">
        <v>0</v>
      </c>
      <c r="M947" s="33">
        <v>0</v>
      </c>
      <c r="N947" s="33">
        <v>0</v>
      </c>
      <c r="O947" s="33">
        <v>0</v>
      </c>
      <c r="P947" s="33">
        <v>0</v>
      </c>
      <c r="Q947" s="33">
        <v>0</v>
      </c>
      <c r="R947" s="114">
        <v>0</v>
      </c>
    </row>
    <row r="948" spans="1:18" s="92" customFormat="1" ht="12.75" customHeight="1" x14ac:dyDescent="0.2">
      <c r="A948" s="181">
        <f>A939-A943-A944+A945++A946-A947</f>
        <v>-477500</v>
      </c>
      <c r="B948" s="377">
        <f>B939-B943-B944+B945++B946-B947</f>
        <v>-548500</v>
      </c>
      <c r="C948" s="397">
        <f>C939-C943-C944+C945++C946-C947</f>
        <v>-541300</v>
      </c>
      <c r="D948" s="397">
        <f>D939-D943-D944+D945++D946-D947</f>
        <v>-592200</v>
      </c>
      <c r="E948" s="517"/>
      <c r="F948" s="518" t="s">
        <v>2490</v>
      </c>
      <c r="G948" s="704">
        <f t="shared" ref="G948:O948" si="708">G939-G943-G944+G945++G946-G947</f>
        <v>-507000</v>
      </c>
      <c r="H948" s="395">
        <f>IF(D948=G948,0,IF(D948=0,100,(G948-D948)/D948*100))</f>
        <v>-14.387031408308005</v>
      </c>
      <c r="I948" s="397">
        <f t="shared" si="708"/>
        <v>-533300</v>
      </c>
      <c r="J948" s="397">
        <f t="shared" si="708"/>
        <v>-544400</v>
      </c>
      <c r="K948" s="397">
        <f t="shared" si="708"/>
        <v>-555900</v>
      </c>
      <c r="L948" s="397">
        <f t="shared" si="708"/>
        <v>-567600</v>
      </c>
      <c r="M948" s="397">
        <f t="shared" si="708"/>
        <v>-578400</v>
      </c>
      <c r="N948" s="397">
        <f t="shared" si="708"/>
        <v>-589400</v>
      </c>
      <c r="O948" s="397">
        <f t="shared" si="708"/>
        <v>-600400</v>
      </c>
      <c r="P948" s="397">
        <f t="shared" ref="P948:Q948" si="709">P939-P943-P944+P945++P946-P947</f>
        <v>-611800</v>
      </c>
      <c r="Q948" s="397">
        <f t="shared" si="709"/>
        <v>-623500</v>
      </c>
      <c r="R948" s="399">
        <f t="shared" ref="R948" si="710">R939-R943-R944+R945++R946-R947</f>
        <v>-635600</v>
      </c>
    </row>
    <row r="949" spans="1:18" ht="13.5" thickBot="1" x14ac:dyDescent="0.25">
      <c r="A949" s="73"/>
      <c r="B949" s="134"/>
      <c r="C949" s="90"/>
      <c r="D949" s="90"/>
      <c r="E949" s="284"/>
      <c r="F949" s="368"/>
      <c r="G949" s="174"/>
      <c r="H949" s="392"/>
      <c r="I949" s="66"/>
      <c r="J949" s="66"/>
      <c r="K949" s="66"/>
      <c r="L949" s="66"/>
      <c r="M949" s="66"/>
      <c r="N949" s="66"/>
      <c r="O949" s="66"/>
      <c r="P949" s="66"/>
      <c r="Q949" s="66"/>
      <c r="R949" s="165"/>
    </row>
    <row r="950" spans="1:18" s="99" customFormat="1" ht="14.25" thickTop="1" thickBot="1" x14ac:dyDescent="0.25">
      <c r="A950" s="74"/>
      <c r="B950" s="74"/>
      <c r="C950" s="74"/>
      <c r="D950" s="74"/>
      <c r="E950" s="242"/>
      <c r="F950" s="137"/>
      <c r="G950" s="74"/>
      <c r="H950" s="2211"/>
    </row>
    <row r="951" spans="1:18" s="44" customFormat="1" ht="13.5" thickTop="1" x14ac:dyDescent="0.2">
      <c r="A951" s="2871" t="s">
        <v>1856</v>
      </c>
      <c r="B951" s="2860"/>
      <c r="C951" s="2860"/>
      <c r="D951" s="2872"/>
      <c r="E951" s="2094" t="s">
        <v>2663</v>
      </c>
      <c r="F951" s="2097" t="s">
        <v>2251</v>
      </c>
      <c r="G951" s="2859" t="s">
        <v>2253</v>
      </c>
      <c r="H951" s="2860"/>
      <c r="I951" s="2860"/>
      <c r="J951" s="2860"/>
      <c r="K951" s="2860"/>
      <c r="L951" s="2860"/>
      <c r="M951" s="2860"/>
      <c r="N951" s="2860"/>
      <c r="O951" s="2860"/>
      <c r="P951" s="2860"/>
      <c r="Q951" s="2860"/>
      <c r="R951" s="2861"/>
    </row>
    <row r="952" spans="1:18" ht="13.5" thickBot="1" x14ac:dyDescent="0.25">
      <c r="A952" s="1705" t="str">
        <f>A3</f>
        <v>2012/13</v>
      </c>
      <c r="B952" s="218" t="str">
        <f>B3</f>
        <v>2013/14</v>
      </c>
      <c r="C952" s="218" t="str">
        <f>C3</f>
        <v>2014/15</v>
      </c>
      <c r="D952" s="75" t="str">
        <f>D3</f>
        <v>2015/16</v>
      </c>
      <c r="E952" s="235" t="s">
        <v>2664</v>
      </c>
      <c r="F952" s="121"/>
      <c r="G952" s="75" t="str">
        <f>G3</f>
        <v>2016/17</v>
      </c>
      <c r="H952" s="1727" t="s">
        <v>501</v>
      </c>
      <c r="I952" s="218" t="str">
        <f t="shared" ref="I952:R952" si="711">I3</f>
        <v>2017/18</v>
      </c>
      <c r="J952" s="218" t="str">
        <f t="shared" si="711"/>
        <v>2018/19</v>
      </c>
      <c r="K952" s="218" t="str">
        <f t="shared" si="711"/>
        <v>2019/20</v>
      </c>
      <c r="L952" s="218" t="str">
        <f t="shared" si="711"/>
        <v>2020/21</v>
      </c>
      <c r="M952" s="218" t="str">
        <f t="shared" si="711"/>
        <v>2021/22</v>
      </c>
      <c r="N952" s="218" t="str">
        <f t="shared" si="711"/>
        <v>2022/23</v>
      </c>
      <c r="O952" s="218" t="str">
        <f t="shared" si="711"/>
        <v>2023/24</v>
      </c>
      <c r="P952" s="218" t="str">
        <f t="shared" si="711"/>
        <v>2024/25</v>
      </c>
      <c r="Q952" s="218" t="str">
        <f t="shared" si="711"/>
        <v>2025/26</v>
      </c>
      <c r="R952" s="1704" t="str">
        <f t="shared" si="711"/>
        <v>2026/27</v>
      </c>
    </row>
    <row r="953" spans="1:18" x14ac:dyDescent="0.2">
      <c r="A953" s="98"/>
      <c r="B953" s="33"/>
      <c r="C953" s="33"/>
      <c r="D953" s="33"/>
      <c r="E953" s="240"/>
      <c r="F953" s="64"/>
      <c r="G953" s="33"/>
      <c r="H953" s="138"/>
      <c r="I953" s="33"/>
      <c r="J953" s="33"/>
      <c r="K953" s="33"/>
      <c r="L953" s="33"/>
      <c r="M953" s="33"/>
      <c r="N953" s="33"/>
      <c r="O953" s="33"/>
      <c r="P953" s="33"/>
      <c r="Q953" s="33"/>
      <c r="R953" s="114"/>
    </row>
    <row r="954" spans="1:18" x14ac:dyDescent="0.2">
      <c r="A954" s="98">
        <f>A84</f>
        <v>-917900</v>
      </c>
      <c r="B954" s="33">
        <f>B84</f>
        <v>-708800</v>
      </c>
      <c r="C954" s="33">
        <f>C84</f>
        <v>-699900</v>
      </c>
      <c r="D954" s="33">
        <f>D84</f>
        <v>-846400</v>
      </c>
      <c r="E954" s="240"/>
      <c r="F954" s="33" t="str">
        <f t="shared" ref="F954:F959" si="712">E7</f>
        <v>Strategic Planning</v>
      </c>
      <c r="G954" s="33">
        <f>G84</f>
        <v>-1295600</v>
      </c>
      <c r="H954" s="138">
        <f t="shared" ref="H954:H959" si="713">IF(D954=G954,0,IF(D954=0,100,(G954-D954)/D954*100))</f>
        <v>53.071833648393195</v>
      </c>
      <c r="I954" s="33">
        <f t="shared" ref="I954:R954" si="714">I84</f>
        <v>-1000900</v>
      </c>
      <c r="J954" s="33">
        <f t="shared" si="714"/>
        <v>-890200</v>
      </c>
      <c r="K954" s="33">
        <f t="shared" si="714"/>
        <v>-1122400</v>
      </c>
      <c r="L954" s="33">
        <f t="shared" si="714"/>
        <v>-1022800</v>
      </c>
      <c r="M954" s="33">
        <f t="shared" si="714"/>
        <v>-1088300</v>
      </c>
      <c r="N954" s="33">
        <f t="shared" si="714"/>
        <v>-1137000</v>
      </c>
      <c r="O954" s="33">
        <f t="shared" si="714"/>
        <v>-1111800</v>
      </c>
      <c r="P954" s="33">
        <f t="shared" si="714"/>
        <v>-1084300</v>
      </c>
      <c r="Q954" s="33">
        <f t="shared" si="714"/>
        <v>-1054500</v>
      </c>
      <c r="R954" s="114">
        <f t="shared" si="714"/>
        <v>-1023000</v>
      </c>
    </row>
    <row r="955" spans="1:18" x14ac:dyDescent="0.2">
      <c r="A955" s="98">
        <f>A137</f>
        <v>-275000</v>
      </c>
      <c r="B955" s="33">
        <f>B137</f>
        <v>-363400</v>
      </c>
      <c r="C955" s="33">
        <f>C137</f>
        <v>-358400</v>
      </c>
      <c r="D955" s="33">
        <f>D137</f>
        <v>-375600</v>
      </c>
      <c r="E955" s="240"/>
      <c r="F955" s="33" t="str">
        <f t="shared" si="712"/>
        <v>Community Centres and Halls</v>
      </c>
      <c r="G955" s="33">
        <f>G137</f>
        <v>-453900</v>
      </c>
      <c r="H955" s="138">
        <f t="shared" si="713"/>
        <v>20.84664536741214</v>
      </c>
      <c r="I955" s="33">
        <f t="shared" ref="I955:R955" si="715">I137</f>
        <v>-430300</v>
      </c>
      <c r="J955" s="33">
        <f t="shared" si="715"/>
        <v>-558800</v>
      </c>
      <c r="K955" s="33">
        <f t="shared" si="715"/>
        <v>-688900</v>
      </c>
      <c r="L955" s="33">
        <f t="shared" si="715"/>
        <v>-706800</v>
      </c>
      <c r="M955" s="33">
        <f t="shared" si="715"/>
        <v>-723900</v>
      </c>
      <c r="N955" s="33">
        <f t="shared" si="715"/>
        <v>-741300</v>
      </c>
      <c r="O955" s="33">
        <f t="shared" si="715"/>
        <v>-759500</v>
      </c>
      <c r="P955" s="33">
        <f t="shared" si="715"/>
        <v>-779100</v>
      </c>
      <c r="Q955" s="33">
        <f t="shared" si="715"/>
        <v>-799200</v>
      </c>
      <c r="R955" s="114">
        <f t="shared" si="715"/>
        <v>-819800</v>
      </c>
    </row>
    <row r="956" spans="1:18" x14ac:dyDescent="0.2">
      <c r="A956" s="98">
        <f>A200</f>
        <v>-461200</v>
      </c>
      <c r="B956" s="33">
        <f>B200</f>
        <v>-340700</v>
      </c>
      <c r="C956" s="33">
        <f>C200</f>
        <v>-724900</v>
      </c>
      <c r="D956" s="33">
        <f>D200</f>
        <v>-754000</v>
      </c>
      <c r="E956" s="240"/>
      <c r="F956" s="33" t="str">
        <f t="shared" si="712"/>
        <v>Cultural and Community Services</v>
      </c>
      <c r="G956" s="33">
        <f>G200</f>
        <v>-732400</v>
      </c>
      <c r="H956" s="138">
        <f t="shared" si="713"/>
        <v>-2.8647214854111409</v>
      </c>
      <c r="I956" s="33">
        <f t="shared" ref="I956:R956" si="716">I200</f>
        <v>-744000</v>
      </c>
      <c r="J956" s="33">
        <f t="shared" si="716"/>
        <v>-759500</v>
      </c>
      <c r="K956" s="33">
        <f t="shared" si="716"/>
        <v>-774800</v>
      </c>
      <c r="L956" s="33">
        <f t="shared" si="716"/>
        <v>-790500</v>
      </c>
      <c r="M956" s="33">
        <f t="shared" si="716"/>
        <v>-806200</v>
      </c>
      <c r="N956" s="33">
        <f t="shared" si="716"/>
        <v>-822300</v>
      </c>
      <c r="O956" s="33">
        <f t="shared" si="716"/>
        <v>-837900</v>
      </c>
      <c r="P956" s="33">
        <f t="shared" si="716"/>
        <v>-855200</v>
      </c>
      <c r="Q956" s="33">
        <f t="shared" si="716"/>
        <v>-872000</v>
      </c>
      <c r="R956" s="114">
        <f t="shared" si="716"/>
        <v>-890200</v>
      </c>
    </row>
    <row r="957" spans="1:18" x14ac:dyDescent="0.2">
      <c r="A957" s="98">
        <f>A247</f>
        <v>-1226000</v>
      </c>
      <c r="B957" s="33">
        <f>B247</f>
        <v>-1256800</v>
      </c>
      <c r="C957" s="33">
        <f>C247</f>
        <v>-1265100</v>
      </c>
      <c r="D957" s="33">
        <f>D247</f>
        <v>-1307100</v>
      </c>
      <c r="E957" s="240"/>
      <c r="F957" s="33" t="str">
        <f t="shared" si="712"/>
        <v>Library Services</v>
      </c>
      <c r="G957" s="33">
        <f>G247</f>
        <v>-1420400</v>
      </c>
      <c r="H957" s="138">
        <f t="shared" si="713"/>
        <v>8.6680437609976284</v>
      </c>
      <c r="I957" s="33">
        <f t="shared" ref="I957:R957" si="717">I247</f>
        <v>-1367700</v>
      </c>
      <c r="J957" s="33">
        <f t="shared" si="717"/>
        <v>-1402400</v>
      </c>
      <c r="K957" s="33">
        <f t="shared" si="717"/>
        <v>-1437800</v>
      </c>
      <c r="L957" s="33">
        <f t="shared" si="717"/>
        <v>-1474100</v>
      </c>
      <c r="M957" s="33">
        <f t="shared" si="717"/>
        <v>-1504100</v>
      </c>
      <c r="N957" s="33">
        <f t="shared" si="717"/>
        <v>-1534600</v>
      </c>
      <c r="O957" s="33">
        <f t="shared" si="717"/>
        <v>-1565700</v>
      </c>
      <c r="P957" s="33">
        <f t="shared" si="717"/>
        <v>-1597300</v>
      </c>
      <c r="Q957" s="33">
        <f t="shared" si="717"/>
        <v>-1629800</v>
      </c>
      <c r="R957" s="114">
        <f t="shared" si="717"/>
        <v>-1662900</v>
      </c>
    </row>
    <row r="958" spans="1:18" x14ac:dyDescent="0.2">
      <c r="A958" s="98">
        <f>A298</f>
        <v>-435100</v>
      </c>
      <c r="B958" s="33">
        <f>B298</f>
        <v>-470200</v>
      </c>
      <c r="C958" s="33">
        <f>C298</f>
        <v>-367200</v>
      </c>
      <c r="D958" s="33">
        <f>D298</f>
        <v>-282700</v>
      </c>
      <c r="E958" s="240"/>
      <c r="F958" s="33" t="str">
        <f t="shared" si="712"/>
        <v>Swimming Pools</v>
      </c>
      <c r="G958" s="33">
        <f>G298</f>
        <v>-318700</v>
      </c>
      <c r="H958" s="138">
        <f t="shared" si="713"/>
        <v>12.734347364697559</v>
      </c>
      <c r="I958" s="33">
        <f t="shared" ref="I958:R958" si="718">I298</f>
        <v>-804000</v>
      </c>
      <c r="J958" s="33">
        <f t="shared" si="718"/>
        <v>-846300</v>
      </c>
      <c r="K958" s="33">
        <f t="shared" si="718"/>
        <v>-840900</v>
      </c>
      <c r="L958" s="33">
        <f t="shared" si="718"/>
        <v>-833600</v>
      </c>
      <c r="M958" s="33">
        <f t="shared" si="718"/>
        <v>-824800</v>
      </c>
      <c r="N958" s="33">
        <f t="shared" si="718"/>
        <v>-815200</v>
      </c>
      <c r="O958" s="33">
        <f t="shared" si="718"/>
        <v>-806800</v>
      </c>
      <c r="P958" s="33">
        <f t="shared" si="718"/>
        <v>-794500</v>
      </c>
      <c r="Q958" s="33">
        <f t="shared" si="718"/>
        <v>-784300</v>
      </c>
      <c r="R958" s="114">
        <f t="shared" si="718"/>
        <v>-772100</v>
      </c>
    </row>
    <row r="959" spans="1:18" x14ac:dyDescent="0.2">
      <c r="A959" s="98">
        <f>A363</f>
        <v>-445500</v>
      </c>
      <c r="B959" s="33">
        <f>B363</f>
        <v>-548800</v>
      </c>
      <c r="C959" s="33">
        <f>C363</f>
        <v>-507300</v>
      </c>
      <c r="D959" s="33">
        <f>D363</f>
        <v>-568900</v>
      </c>
      <c r="E959" s="240"/>
      <c r="F959" s="33" t="str">
        <f t="shared" si="712"/>
        <v>Tourism</v>
      </c>
      <c r="G959" s="33">
        <f>G363</f>
        <v>-591300</v>
      </c>
      <c r="H959" s="138">
        <f t="shared" si="713"/>
        <v>3.9374230972051323</v>
      </c>
      <c r="I959" s="33">
        <f t="shared" ref="I959:R959" si="719">I363</f>
        <v>-533300</v>
      </c>
      <c r="J959" s="33">
        <f t="shared" si="719"/>
        <v>-544400</v>
      </c>
      <c r="K959" s="33">
        <f t="shared" si="719"/>
        <v>-555900</v>
      </c>
      <c r="L959" s="33">
        <f t="shared" si="719"/>
        <v>-567600</v>
      </c>
      <c r="M959" s="33">
        <f t="shared" si="719"/>
        <v>-578400</v>
      </c>
      <c r="N959" s="33">
        <f t="shared" si="719"/>
        <v>-589400</v>
      </c>
      <c r="O959" s="33">
        <f t="shared" si="719"/>
        <v>-600400</v>
      </c>
      <c r="P959" s="33">
        <f t="shared" si="719"/>
        <v>-611800</v>
      </c>
      <c r="Q959" s="33">
        <f t="shared" si="719"/>
        <v>-623500</v>
      </c>
      <c r="R959" s="114">
        <f t="shared" si="719"/>
        <v>-635600</v>
      </c>
    </row>
    <row r="960" spans="1:18" ht="13.5" thickBot="1" x14ac:dyDescent="0.25">
      <c r="A960" s="751"/>
      <c r="B960" s="64"/>
      <c r="C960" s="64"/>
      <c r="D960" s="64"/>
      <c r="E960" s="240"/>
      <c r="F960" s="33"/>
      <c r="G960" s="64"/>
      <c r="H960" s="179"/>
      <c r="I960" s="33"/>
      <c r="J960" s="33"/>
      <c r="K960" s="33"/>
      <c r="L960" s="33"/>
      <c r="M960" s="33"/>
      <c r="N960" s="33"/>
      <c r="O960" s="33"/>
      <c r="P960" s="33"/>
      <c r="Q960" s="33"/>
      <c r="R960" s="114"/>
    </row>
    <row r="961" spans="1:18" x14ac:dyDescent="0.2">
      <c r="A961" s="752">
        <f>SUM(A954:A960)</f>
        <v>-3760700</v>
      </c>
      <c r="B961" s="53">
        <f>SUM(B954:B960)</f>
        <v>-3688700</v>
      </c>
      <c r="C961" s="53">
        <f>SUM(C954:C960)</f>
        <v>-3922800</v>
      </c>
      <c r="D961" s="53">
        <f>SUM(D954:D960)</f>
        <v>-4134700</v>
      </c>
      <c r="E961" s="240"/>
      <c r="F961" s="516" t="s">
        <v>2179</v>
      </c>
      <c r="G961" s="53">
        <f t="shared" ref="G961:O961" si="720">SUM(G954:G960)</f>
        <v>-4812300</v>
      </c>
      <c r="H961" s="179">
        <f>IF(D961=G961,0,IF(D961=0,100,(G961-D961)/D961*100))</f>
        <v>16.388129731298523</v>
      </c>
      <c r="I961" s="53">
        <f t="shared" si="720"/>
        <v>-4880200</v>
      </c>
      <c r="J961" s="53">
        <f t="shared" si="720"/>
        <v>-5001600</v>
      </c>
      <c r="K961" s="53">
        <f t="shared" si="720"/>
        <v>-5420700</v>
      </c>
      <c r="L961" s="53">
        <f t="shared" si="720"/>
        <v>-5395400</v>
      </c>
      <c r="M961" s="53">
        <f t="shared" si="720"/>
        <v>-5525700</v>
      </c>
      <c r="N961" s="53">
        <f t="shared" si="720"/>
        <v>-5639800</v>
      </c>
      <c r="O961" s="53">
        <f t="shared" si="720"/>
        <v>-5682100</v>
      </c>
      <c r="P961" s="53">
        <f t="shared" ref="P961:Q961" si="721">SUM(P954:P960)</f>
        <v>-5722200</v>
      </c>
      <c r="Q961" s="53">
        <f t="shared" si="721"/>
        <v>-5763300</v>
      </c>
      <c r="R961" s="113">
        <f t="shared" ref="R961" si="722">SUM(R954:R960)</f>
        <v>-5803600</v>
      </c>
    </row>
    <row r="962" spans="1:18" ht="13.5" thickBot="1" x14ac:dyDescent="0.25">
      <c r="A962" s="614"/>
      <c r="B962" s="90"/>
      <c r="C962" s="90"/>
      <c r="D962" s="90"/>
      <c r="E962" s="241"/>
      <c r="F962" s="368"/>
      <c r="G962" s="90"/>
      <c r="H962" s="392"/>
      <c r="I962" s="66"/>
      <c r="J962" s="66"/>
      <c r="K962" s="66"/>
      <c r="L962" s="66"/>
      <c r="M962" s="66"/>
      <c r="N962" s="66"/>
      <c r="O962" s="66"/>
      <c r="P962" s="66"/>
      <c r="Q962" s="66"/>
      <c r="R962" s="165"/>
    </row>
    <row r="963" spans="1:18" s="99" customFormat="1" ht="14.25" thickTop="1" thickBot="1" x14ac:dyDescent="0.25">
      <c r="A963" s="74"/>
      <c r="B963" s="74"/>
      <c r="C963" s="74"/>
      <c r="D963" s="74"/>
      <c r="E963" s="238"/>
      <c r="F963" s="137"/>
      <c r="G963" s="74"/>
      <c r="H963" s="2211"/>
      <c r="I963" s="74"/>
      <c r="J963" s="74"/>
      <c r="K963" s="74"/>
    </row>
    <row r="964" spans="1:18" s="44" customFormat="1" ht="13.5" thickTop="1" x14ac:dyDescent="0.2">
      <c r="A964" s="2871" t="s">
        <v>1856</v>
      </c>
      <c r="B964" s="2860"/>
      <c r="C964" s="2860"/>
      <c r="D964" s="2872"/>
      <c r="E964" s="2094" t="s">
        <v>2663</v>
      </c>
      <c r="F964" s="2097" t="s">
        <v>2251</v>
      </c>
      <c r="G964" s="2859" t="s">
        <v>2253</v>
      </c>
      <c r="H964" s="2860"/>
      <c r="I964" s="2860"/>
      <c r="J964" s="2860"/>
      <c r="K964" s="2860"/>
      <c r="L964" s="2860"/>
      <c r="M964" s="2860"/>
      <c r="N964" s="2860"/>
      <c r="O964" s="2860"/>
      <c r="P964" s="2860"/>
      <c r="Q964" s="2860"/>
      <c r="R964" s="2861"/>
    </row>
    <row r="965" spans="1:18" ht="13.5" thickBot="1" x14ac:dyDescent="0.25">
      <c r="A965" s="743" t="str">
        <f>A3</f>
        <v>2012/13</v>
      </c>
      <c r="B965" s="218" t="str">
        <f>B3</f>
        <v>2013/14</v>
      </c>
      <c r="C965" s="218" t="str">
        <f>C3</f>
        <v>2014/15</v>
      </c>
      <c r="D965" s="75" t="str">
        <f>D3</f>
        <v>2015/16</v>
      </c>
      <c r="E965" s="235"/>
      <c r="F965" s="94"/>
      <c r="G965" s="75" t="str">
        <f>G3</f>
        <v>2016/17</v>
      </c>
      <c r="H965" s="2603" t="s">
        <v>501</v>
      </c>
      <c r="I965" s="218" t="str">
        <f t="shared" ref="I965:R965" si="723">I3</f>
        <v>2017/18</v>
      </c>
      <c r="J965" s="1499" t="str">
        <f t="shared" si="723"/>
        <v>2018/19</v>
      </c>
      <c r="K965" s="209" t="str">
        <f t="shared" si="723"/>
        <v>2019/20</v>
      </c>
      <c r="L965" s="218" t="str">
        <f t="shared" si="723"/>
        <v>2020/21</v>
      </c>
      <c r="M965" s="218" t="str">
        <f t="shared" si="723"/>
        <v>2021/22</v>
      </c>
      <c r="N965" s="218" t="str">
        <f t="shared" si="723"/>
        <v>2022/23</v>
      </c>
      <c r="O965" s="209" t="str">
        <f t="shared" si="723"/>
        <v>2023/24</v>
      </c>
      <c r="P965" s="218" t="str">
        <f t="shared" si="723"/>
        <v>2024/25</v>
      </c>
      <c r="Q965" s="218" t="str">
        <f t="shared" si="723"/>
        <v>2025/26</v>
      </c>
      <c r="R965" s="1704" t="str">
        <f t="shared" si="723"/>
        <v>2026/27</v>
      </c>
    </row>
    <row r="966" spans="1:18" x14ac:dyDescent="0.2">
      <c r="A966" s="107"/>
      <c r="B966" s="33"/>
      <c r="C966" s="33"/>
      <c r="D966" s="33"/>
      <c r="E966" s="240"/>
      <c r="F966" s="74"/>
      <c r="G966" s="33"/>
      <c r="H966" s="138"/>
      <c r="I966" s="33"/>
      <c r="J966" s="142"/>
      <c r="K966" s="33"/>
      <c r="L966" s="33"/>
      <c r="M966" s="33"/>
      <c r="N966" s="33"/>
      <c r="O966" s="99"/>
      <c r="P966" s="33"/>
      <c r="Q966" s="33"/>
      <c r="R966" s="114"/>
    </row>
    <row r="967" spans="1:18" x14ac:dyDescent="0.2">
      <c r="A967" s="107">
        <f>A82</f>
        <v>-917900</v>
      </c>
      <c r="B967" s="132">
        <f>B82</f>
        <v>-708800</v>
      </c>
      <c r="C967" s="33">
        <f>C82</f>
        <v>-699900</v>
      </c>
      <c r="D967" s="33">
        <f>D82</f>
        <v>-846400</v>
      </c>
      <c r="E967" s="240"/>
      <c r="F967" s="99" t="str">
        <f t="shared" ref="F967:F972" si="724">E7</f>
        <v>Strategic Planning</v>
      </c>
      <c r="G967" s="33">
        <f>G82</f>
        <v>-1295600</v>
      </c>
      <c r="H967" s="138">
        <f t="shared" ref="H967:H972" si="725">IF(D967=G967,0,IF(D967=0,100,(G967-D967)/D967*100))</f>
        <v>53.071833648393195</v>
      </c>
      <c r="I967" s="33">
        <f t="shared" ref="I967:R967" si="726">I82</f>
        <v>-1000900</v>
      </c>
      <c r="J967" s="142">
        <f t="shared" si="726"/>
        <v>-890200</v>
      </c>
      <c r="K967" s="33">
        <f t="shared" si="726"/>
        <v>-1122400</v>
      </c>
      <c r="L967" s="33">
        <f t="shared" si="726"/>
        <v>-1022800</v>
      </c>
      <c r="M967" s="33">
        <f t="shared" si="726"/>
        <v>-1088300</v>
      </c>
      <c r="N967" s="33">
        <f t="shared" si="726"/>
        <v>-1137000</v>
      </c>
      <c r="O967" s="99">
        <f t="shared" si="726"/>
        <v>-1111800</v>
      </c>
      <c r="P967" s="33">
        <f t="shared" si="726"/>
        <v>-1084300</v>
      </c>
      <c r="Q967" s="33">
        <f t="shared" si="726"/>
        <v>-1054500</v>
      </c>
      <c r="R967" s="114">
        <f t="shared" si="726"/>
        <v>-1023000</v>
      </c>
    </row>
    <row r="968" spans="1:18" x14ac:dyDescent="0.2">
      <c r="A968" s="107">
        <f>A135</f>
        <v>-1169400</v>
      </c>
      <c r="B968" s="132">
        <f>B135</f>
        <v>-1056200</v>
      </c>
      <c r="C968" s="33">
        <f>C135</f>
        <v>-1198000</v>
      </c>
      <c r="D968" s="33">
        <f>D135</f>
        <v>-1237300</v>
      </c>
      <c r="E968" s="240"/>
      <c r="F968" s="99" t="str">
        <f t="shared" si="724"/>
        <v>Community Centres and Halls</v>
      </c>
      <c r="G968" s="33">
        <f>G135</f>
        <v>-1293900</v>
      </c>
      <c r="H968" s="138">
        <f t="shared" si="725"/>
        <v>4.5744766831002988</v>
      </c>
      <c r="I968" s="33">
        <f t="shared" ref="I968:R968" si="727">I135</f>
        <v>-1287100</v>
      </c>
      <c r="J968" s="142">
        <f t="shared" si="727"/>
        <v>-1473000</v>
      </c>
      <c r="K968" s="33">
        <f t="shared" si="727"/>
        <v>-1701600</v>
      </c>
      <c r="L968" s="33">
        <f t="shared" si="727"/>
        <v>-1739900</v>
      </c>
      <c r="M968" s="33">
        <f t="shared" si="727"/>
        <v>-1777800</v>
      </c>
      <c r="N968" s="33">
        <f t="shared" si="727"/>
        <v>-1816500</v>
      </c>
      <c r="O968" s="99">
        <f t="shared" si="727"/>
        <v>-1856400</v>
      </c>
      <c r="P968" s="33">
        <f t="shared" si="727"/>
        <v>-1898000</v>
      </c>
      <c r="Q968" s="33">
        <f t="shared" si="727"/>
        <v>-1940600</v>
      </c>
      <c r="R968" s="114">
        <f t="shared" si="727"/>
        <v>-1984200</v>
      </c>
    </row>
    <row r="969" spans="1:18" x14ac:dyDescent="0.2">
      <c r="A969" s="107">
        <f>A198</f>
        <v>-505000</v>
      </c>
      <c r="B969" s="132">
        <f>B198</f>
        <v>-385700</v>
      </c>
      <c r="C969" s="33">
        <f>C198</f>
        <v>-770000</v>
      </c>
      <c r="D969" s="33">
        <f>D198</f>
        <v>-800000</v>
      </c>
      <c r="E969" s="240"/>
      <c r="F969" s="99" t="str">
        <f t="shared" si="724"/>
        <v>Cultural and Community Services</v>
      </c>
      <c r="G969" s="33">
        <f>G198</f>
        <v>-777400</v>
      </c>
      <c r="H969" s="138">
        <f t="shared" si="725"/>
        <v>-2.8250000000000002</v>
      </c>
      <c r="I969" s="33">
        <f t="shared" ref="I969:R969" si="728">I198</f>
        <v>-789900</v>
      </c>
      <c r="J969" s="142">
        <f t="shared" si="728"/>
        <v>-806400</v>
      </c>
      <c r="K969" s="33">
        <f t="shared" si="728"/>
        <v>-822700</v>
      </c>
      <c r="L969" s="33">
        <f t="shared" si="728"/>
        <v>-839400</v>
      </c>
      <c r="M969" s="33">
        <f t="shared" si="728"/>
        <v>-856100</v>
      </c>
      <c r="N969" s="33">
        <f t="shared" si="728"/>
        <v>-873200</v>
      </c>
      <c r="O969" s="99">
        <f t="shared" si="728"/>
        <v>-889900</v>
      </c>
      <c r="P969" s="33">
        <f t="shared" si="728"/>
        <v>-908300</v>
      </c>
      <c r="Q969" s="33">
        <f t="shared" si="728"/>
        <v>-926200</v>
      </c>
      <c r="R969" s="114">
        <f t="shared" si="728"/>
        <v>-945500</v>
      </c>
    </row>
    <row r="970" spans="1:18" x14ac:dyDescent="0.2">
      <c r="A970" s="107">
        <f>A245</f>
        <v>-1399000</v>
      </c>
      <c r="B970" s="132">
        <f>B245</f>
        <v>-1526700</v>
      </c>
      <c r="C970" s="33">
        <f>C245</f>
        <v>-1413600</v>
      </c>
      <c r="D970" s="33">
        <f>D245</f>
        <v>-1459100</v>
      </c>
      <c r="E970" s="240"/>
      <c r="F970" s="99" t="str">
        <f t="shared" si="724"/>
        <v>Library Services</v>
      </c>
      <c r="G970" s="33">
        <f>G245</f>
        <v>-1569400</v>
      </c>
      <c r="H970" s="138">
        <f t="shared" si="725"/>
        <v>7.5594544582276741</v>
      </c>
      <c r="I970" s="33">
        <f t="shared" ref="I970:R970" si="729">I245</f>
        <v>-1519700</v>
      </c>
      <c r="J970" s="142">
        <f t="shared" si="729"/>
        <v>-1557500</v>
      </c>
      <c r="K970" s="33">
        <f t="shared" si="729"/>
        <v>-1596100</v>
      </c>
      <c r="L970" s="33">
        <f t="shared" si="729"/>
        <v>-1635600</v>
      </c>
      <c r="M970" s="33">
        <f t="shared" si="729"/>
        <v>-1668900</v>
      </c>
      <c r="N970" s="33">
        <f t="shared" si="729"/>
        <v>-1702700</v>
      </c>
      <c r="O970" s="99">
        <f t="shared" si="729"/>
        <v>-1737200</v>
      </c>
      <c r="P970" s="33">
        <f t="shared" si="729"/>
        <v>-1772300</v>
      </c>
      <c r="Q970" s="33">
        <f t="shared" si="729"/>
        <v>-1808300</v>
      </c>
      <c r="R970" s="114">
        <f t="shared" si="729"/>
        <v>-1845000</v>
      </c>
    </row>
    <row r="971" spans="1:18" x14ac:dyDescent="0.2">
      <c r="A971" s="107">
        <f>A296</f>
        <v>-560100</v>
      </c>
      <c r="B971" s="132">
        <f>B296</f>
        <v>-518400</v>
      </c>
      <c r="C971" s="33">
        <f>C296</f>
        <v>-468000</v>
      </c>
      <c r="D971" s="33">
        <f>D296</f>
        <v>-385500</v>
      </c>
      <c r="E971" s="240"/>
      <c r="F971" s="99" t="str">
        <f t="shared" si="724"/>
        <v>Swimming Pools</v>
      </c>
      <c r="G971" s="33">
        <f>G296</f>
        <v>-499700</v>
      </c>
      <c r="H971" s="138">
        <f t="shared" si="725"/>
        <v>29.623865110246435</v>
      </c>
      <c r="I971" s="33">
        <f t="shared" ref="I971:R971" si="730">I296</f>
        <v>-988700</v>
      </c>
      <c r="J971" s="142">
        <f t="shared" si="730"/>
        <v>-1034700</v>
      </c>
      <c r="K971" s="33">
        <f t="shared" si="730"/>
        <v>-1033100</v>
      </c>
      <c r="L971" s="33">
        <f t="shared" si="730"/>
        <v>-1029700</v>
      </c>
      <c r="M971" s="33">
        <f t="shared" si="730"/>
        <v>-1024900</v>
      </c>
      <c r="N971" s="33">
        <f t="shared" si="730"/>
        <v>-1019400</v>
      </c>
      <c r="O971" s="99">
        <f t="shared" si="730"/>
        <v>-1015100</v>
      </c>
      <c r="P971" s="33">
        <f t="shared" si="730"/>
        <v>-1007000</v>
      </c>
      <c r="Q971" s="33">
        <f t="shared" si="730"/>
        <v>-1001100</v>
      </c>
      <c r="R971" s="114">
        <f t="shared" si="730"/>
        <v>-993300</v>
      </c>
    </row>
    <row r="972" spans="1:18" x14ac:dyDescent="0.2">
      <c r="A972" s="107">
        <f>A361</f>
        <v>-533600</v>
      </c>
      <c r="B972" s="132">
        <f>B361</f>
        <v>-597300</v>
      </c>
      <c r="C972" s="33">
        <f>C361</f>
        <v>-533300</v>
      </c>
      <c r="D972" s="33">
        <f>D361</f>
        <v>-595500</v>
      </c>
      <c r="E972" s="240"/>
      <c r="F972" s="99" t="str">
        <f t="shared" si="724"/>
        <v>Tourism</v>
      </c>
      <c r="G972" s="33">
        <f>G361</f>
        <v>-617300</v>
      </c>
      <c r="H972" s="138">
        <f t="shared" si="725"/>
        <v>3.6607892527287995</v>
      </c>
      <c r="I972" s="33">
        <f t="shared" ref="I972:R972" si="731">I361</f>
        <v>-559900</v>
      </c>
      <c r="J972" s="142">
        <f t="shared" si="731"/>
        <v>-571600</v>
      </c>
      <c r="K972" s="33">
        <f t="shared" si="731"/>
        <v>-583700</v>
      </c>
      <c r="L972" s="33">
        <f t="shared" si="731"/>
        <v>-596000</v>
      </c>
      <c r="M972" s="33">
        <f t="shared" si="731"/>
        <v>-607400</v>
      </c>
      <c r="N972" s="33">
        <f t="shared" si="731"/>
        <v>-619000</v>
      </c>
      <c r="O972" s="99">
        <f t="shared" si="731"/>
        <v>-630600</v>
      </c>
      <c r="P972" s="33">
        <f t="shared" si="731"/>
        <v>-642700</v>
      </c>
      <c r="Q972" s="33">
        <f t="shared" si="731"/>
        <v>-655100</v>
      </c>
      <c r="R972" s="114">
        <f t="shared" si="731"/>
        <v>-667900</v>
      </c>
    </row>
    <row r="973" spans="1:18" ht="13.5" thickBot="1" x14ac:dyDescent="0.25">
      <c r="A973" s="70"/>
      <c r="B973" s="64"/>
      <c r="C973" s="64"/>
      <c r="D973" s="64"/>
      <c r="E973" s="240"/>
      <c r="F973" s="99"/>
      <c r="G973" s="64"/>
      <c r="H973" s="179"/>
      <c r="I973" s="33"/>
      <c r="J973" s="142"/>
      <c r="K973" s="33"/>
      <c r="L973" s="33"/>
      <c r="M973" s="33"/>
      <c r="N973" s="33"/>
      <c r="O973" s="99"/>
      <c r="P973" s="33"/>
      <c r="Q973" s="33"/>
      <c r="R973" s="114"/>
    </row>
    <row r="974" spans="1:18" x14ac:dyDescent="0.2">
      <c r="A974" s="105">
        <f>SUM(A967:A973)</f>
        <v>-5085000</v>
      </c>
      <c r="B974" s="53">
        <f>SUM(B967:B973)</f>
        <v>-4793100</v>
      </c>
      <c r="C974" s="53">
        <f>SUM(C967:C973)</f>
        <v>-5082800</v>
      </c>
      <c r="D974" s="53">
        <f>SUM(D967:D973)</f>
        <v>-5323800</v>
      </c>
      <c r="E974" s="240"/>
      <c r="F974" s="522" t="s">
        <v>366</v>
      </c>
      <c r="G974" s="53">
        <f t="shared" ref="G974:O974" si="732">SUM(G967:G973)</f>
        <v>-6053300</v>
      </c>
      <c r="H974" s="179">
        <f>IF(D974=G974,0,IF(D974=0,100,(G974-D974)/D974*100))</f>
        <v>13.702618430444419</v>
      </c>
      <c r="I974" s="53">
        <f t="shared" si="732"/>
        <v>-6146200</v>
      </c>
      <c r="J974" s="155">
        <f t="shared" si="732"/>
        <v>-6333400</v>
      </c>
      <c r="K974" s="53">
        <f t="shared" si="732"/>
        <v>-6859600</v>
      </c>
      <c r="L974" s="53">
        <f t="shared" si="732"/>
        <v>-6863400</v>
      </c>
      <c r="M974" s="53">
        <f t="shared" si="732"/>
        <v>-7023400</v>
      </c>
      <c r="N974" s="53">
        <f t="shared" si="732"/>
        <v>-7167800</v>
      </c>
      <c r="O974" s="177">
        <f t="shared" si="732"/>
        <v>-7241000</v>
      </c>
      <c r="P974" s="53">
        <f t="shared" ref="P974:Q974" si="733">SUM(P967:P973)</f>
        <v>-7312600</v>
      </c>
      <c r="Q974" s="53">
        <f t="shared" si="733"/>
        <v>-7385800</v>
      </c>
      <c r="R974" s="113">
        <f t="shared" ref="R974" si="734">SUM(R967:R973)</f>
        <v>-7458900</v>
      </c>
    </row>
    <row r="975" spans="1:18" x14ac:dyDescent="0.2">
      <c r="A975" s="70"/>
      <c r="B975" s="64"/>
      <c r="C975" s="64"/>
      <c r="D975" s="64"/>
      <c r="E975" s="240"/>
      <c r="F975" s="522"/>
      <c r="G975" s="64"/>
      <c r="H975" s="179"/>
      <c r="I975" s="64"/>
      <c r="J975" s="128"/>
      <c r="K975" s="64"/>
      <c r="L975" s="64"/>
      <c r="M975" s="64"/>
      <c r="N975" s="64"/>
      <c r="O975" s="74"/>
      <c r="P975" s="64"/>
      <c r="Q975" s="64"/>
      <c r="R975" s="115"/>
    </row>
    <row r="976" spans="1:18" x14ac:dyDescent="0.2">
      <c r="A976" s="70">
        <f>A961</f>
        <v>-3760700</v>
      </c>
      <c r="B976" s="64">
        <f>B961</f>
        <v>-3688700</v>
      </c>
      <c r="C976" s="64">
        <f>C961</f>
        <v>-3922800</v>
      </c>
      <c r="D976" s="64">
        <f>D961</f>
        <v>-4134700</v>
      </c>
      <c r="E976" s="240"/>
      <c r="F976" s="522" t="s">
        <v>2806</v>
      </c>
      <c r="G976" s="64">
        <f t="shared" ref="G976:P976" si="735">G961</f>
        <v>-4812300</v>
      </c>
      <c r="H976" s="138">
        <f>IF(D976=G976,0,IF(D976=0,100,(G976-D976)/D976*100))</f>
        <v>16.388129731298523</v>
      </c>
      <c r="I976" s="64">
        <f t="shared" si="735"/>
        <v>-4880200</v>
      </c>
      <c r="J976" s="128">
        <f t="shared" si="735"/>
        <v>-5001600</v>
      </c>
      <c r="K976" s="64">
        <f t="shared" si="735"/>
        <v>-5420700</v>
      </c>
      <c r="L976" s="64">
        <f t="shared" si="735"/>
        <v>-5395400</v>
      </c>
      <c r="M976" s="64">
        <f t="shared" si="735"/>
        <v>-5525700</v>
      </c>
      <c r="N976" s="64">
        <f t="shared" si="735"/>
        <v>-5639800</v>
      </c>
      <c r="O976" s="74">
        <f t="shared" si="735"/>
        <v>-5682100</v>
      </c>
      <c r="P976" s="64">
        <f t="shared" si="735"/>
        <v>-5722200</v>
      </c>
      <c r="Q976" s="64">
        <f t="shared" ref="Q976" si="736">Q961</f>
        <v>-5763300</v>
      </c>
      <c r="R976" s="115">
        <f t="shared" ref="R976" si="737">R961</f>
        <v>-5803600</v>
      </c>
    </row>
    <row r="977" spans="1:18" x14ac:dyDescent="0.2">
      <c r="A977" s="70"/>
      <c r="B977" s="64"/>
      <c r="C977" s="64"/>
      <c r="D977" s="64"/>
      <c r="E977" s="240"/>
      <c r="F977" s="522"/>
      <c r="G977" s="64"/>
      <c r="H977" s="179"/>
      <c r="I977" s="64"/>
      <c r="J977" s="128"/>
      <c r="K977" s="64"/>
      <c r="L977" s="64"/>
      <c r="M977" s="64"/>
      <c r="N977" s="64"/>
      <c r="O977" s="74"/>
      <c r="P977" s="64"/>
      <c r="Q977" s="64"/>
      <c r="R977" s="115"/>
    </row>
    <row r="978" spans="1:18" x14ac:dyDescent="0.2">
      <c r="A978" s="70">
        <f>ROUND(A938+A842+A778+A723+A657+A600+A467,-2)</f>
        <v>1324300</v>
      </c>
      <c r="B978" s="64">
        <f>ROUND(B938+B842+B778+B723+B657+B600+B467,-2)</f>
        <v>1104400</v>
      </c>
      <c r="C978" s="64">
        <f>ROUND(C938+C842+C778+C723+C657+C600+C467,-2)</f>
        <v>1160000</v>
      </c>
      <c r="D978" s="64">
        <f>ROUND(D938+D842+D778+D723+D657+D600+D467,-2)</f>
        <v>1189100</v>
      </c>
      <c r="E978" s="240"/>
      <c r="F978" s="522" t="s">
        <v>2070</v>
      </c>
      <c r="G978" s="64">
        <f>ROUND(G938+G842+G778+G723+G657+G600+G467,-2)</f>
        <v>1241000</v>
      </c>
      <c r="H978" s="138"/>
      <c r="I978" s="64">
        <f t="shared" ref="I978:R978" si="738">ROUND(I938+I842+I778+I723+I657+I600+I467,-2)</f>
        <v>1266000</v>
      </c>
      <c r="J978" s="128">
        <f t="shared" si="738"/>
        <v>1331800</v>
      </c>
      <c r="K978" s="64">
        <f t="shared" si="738"/>
        <v>1438900</v>
      </c>
      <c r="L978" s="64">
        <f t="shared" si="738"/>
        <v>1468000</v>
      </c>
      <c r="M978" s="64">
        <f t="shared" si="738"/>
        <v>1497700</v>
      </c>
      <c r="N978" s="64">
        <f t="shared" si="738"/>
        <v>1528000</v>
      </c>
      <c r="O978" s="74">
        <f t="shared" si="738"/>
        <v>1558900</v>
      </c>
      <c r="P978" s="64">
        <f t="shared" si="738"/>
        <v>1590400</v>
      </c>
      <c r="Q978" s="64">
        <f t="shared" si="738"/>
        <v>1622500</v>
      </c>
      <c r="R978" s="115">
        <f t="shared" si="738"/>
        <v>1655300</v>
      </c>
    </row>
    <row r="979" spans="1:18" x14ac:dyDescent="0.2">
      <c r="A979" s="70"/>
      <c r="B979" s="64"/>
      <c r="C979" s="64"/>
      <c r="D979" s="64"/>
      <c r="E979" s="240"/>
      <c r="F979" s="522"/>
      <c r="G979" s="64"/>
      <c r="H979" s="179"/>
      <c r="I979" s="64"/>
      <c r="J979" s="128"/>
      <c r="K979" s="64"/>
      <c r="L979" s="64"/>
      <c r="M979" s="64"/>
      <c r="N979" s="64"/>
      <c r="O979" s="74"/>
      <c r="P979" s="64"/>
      <c r="Q979" s="64"/>
      <c r="R979" s="115"/>
    </row>
    <row r="980" spans="1:18" x14ac:dyDescent="0.2">
      <c r="A980" s="70">
        <f>ROUND(A974+A978-A976,-3)</f>
        <v>0</v>
      </c>
      <c r="B980" s="64">
        <f>B974+B978-B976</f>
        <v>0</v>
      </c>
      <c r="C980" s="64">
        <f>C974+C978-C976</f>
        <v>0</v>
      </c>
      <c r="D980" s="64">
        <f>D974+D978-D976</f>
        <v>0</v>
      </c>
      <c r="E980" s="240"/>
      <c r="F980" s="522" t="s">
        <v>1763</v>
      </c>
      <c r="G980" s="64">
        <f t="shared" ref="G980:O980" si="739">G974+G978-G976</f>
        <v>0</v>
      </c>
      <c r="H980" s="138">
        <f>IF(E980=G980,0,IF(E980=0,100,(G980-E980)/E980*100))</f>
        <v>0</v>
      </c>
      <c r="I980" s="64">
        <f t="shared" si="739"/>
        <v>0</v>
      </c>
      <c r="J980" s="128">
        <f t="shared" si="739"/>
        <v>0</v>
      </c>
      <c r="K980" s="64">
        <f t="shared" si="739"/>
        <v>0</v>
      </c>
      <c r="L980" s="64">
        <f t="shared" si="739"/>
        <v>0</v>
      </c>
      <c r="M980" s="64">
        <f t="shared" si="739"/>
        <v>0</v>
      </c>
      <c r="N980" s="64">
        <f t="shared" si="739"/>
        <v>0</v>
      </c>
      <c r="O980" s="74">
        <f t="shared" si="739"/>
        <v>0</v>
      </c>
      <c r="P980" s="64">
        <f t="shared" ref="P980:Q980" si="740">P974+P978-P976</f>
        <v>0</v>
      </c>
      <c r="Q980" s="64">
        <f t="shared" si="740"/>
        <v>0</v>
      </c>
      <c r="R980" s="115">
        <f t="shared" ref="R980" si="741">R974+R978-R976</f>
        <v>0</v>
      </c>
    </row>
    <row r="981" spans="1:18" ht="13.5" thickBot="1" x14ac:dyDescent="0.25">
      <c r="A981" s="73"/>
      <c r="B981" s="90"/>
      <c r="C981" s="90"/>
      <c r="D981" s="90"/>
      <c r="E981" s="241"/>
      <c r="F981" s="141"/>
      <c r="G981" s="90"/>
      <c r="H981" s="392"/>
      <c r="I981" s="66"/>
      <c r="J981" s="166"/>
      <c r="K981" s="66"/>
      <c r="L981" s="66"/>
      <c r="M981" s="66"/>
      <c r="N981" s="66"/>
      <c r="O981" s="174"/>
      <c r="P981" s="66"/>
      <c r="Q981" s="66"/>
      <c r="R981" s="165"/>
    </row>
    <row r="982" spans="1:18" s="99" customFormat="1" ht="14.25" thickTop="1" thickBot="1" x14ac:dyDescent="0.25">
      <c r="E982" s="537"/>
      <c r="H982" s="123"/>
    </row>
    <row r="983" spans="1:18" s="44" customFormat="1" ht="13.5" thickTop="1" x14ac:dyDescent="0.2">
      <c r="A983" s="2871" t="s">
        <v>1856</v>
      </c>
      <c r="B983" s="2860"/>
      <c r="C983" s="2860"/>
      <c r="D983" s="2872"/>
      <c r="E983" s="2094" t="s">
        <v>2663</v>
      </c>
      <c r="F983" s="2097" t="s">
        <v>2251</v>
      </c>
      <c r="G983" s="2859" t="s">
        <v>2253</v>
      </c>
      <c r="H983" s="2860"/>
      <c r="I983" s="2860"/>
      <c r="J983" s="2860"/>
      <c r="K983" s="2860"/>
      <c r="L983" s="2860"/>
      <c r="M983" s="2860"/>
      <c r="N983" s="2860"/>
      <c r="O983" s="2860"/>
      <c r="P983" s="2860"/>
      <c r="Q983" s="2860"/>
      <c r="R983" s="2861"/>
    </row>
    <row r="984" spans="1:18" ht="13.5" thickBot="1" x14ac:dyDescent="0.25">
      <c r="A984" s="743" t="str">
        <f>A3</f>
        <v>2012/13</v>
      </c>
      <c r="B984" s="370" t="str">
        <f>B3</f>
        <v>2013/14</v>
      </c>
      <c r="C984" s="218" t="str">
        <f>C3</f>
        <v>2014/15</v>
      </c>
      <c r="D984" s="75" t="str">
        <f>D3</f>
        <v>2015/16</v>
      </c>
      <c r="E984" s="235" t="s">
        <v>2664</v>
      </c>
      <c r="F984" s="94"/>
      <c r="G984" s="75" t="str">
        <f>G3</f>
        <v>2016/17</v>
      </c>
      <c r="H984" s="2603" t="s">
        <v>501</v>
      </c>
      <c r="I984" s="218" t="str">
        <f t="shared" ref="I984:R984" si="742">I3</f>
        <v>2017/18</v>
      </c>
      <c r="J984" s="218" t="str">
        <f t="shared" si="742"/>
        <v>2018/19</v>
      </c>
      <c r="K984" s="218" t="str">
        <f t="shared" si="742"/>
        <v>2019/20</v>
      </c>
      <c r="L984" s="218" t="str">
        <f t="shared" si="742"/>
        <v>2020/21</v>
      </c>
      <c r="M984" s="218" t="str">
        <f t="shared" si="742"/>
        <v>2021/22</v>
      </c>
      <c r="N984" s="218" t="str">
        <f t="shared" si="742"/>
        <v>2022/23</v>
      </c>
      <c r="O984" s="218" t="str">
        <f t="shared" si="742"/>
        <v>2023/24</v>
      </c>
      <c r="P984" s="218" t="str">
        <f t="shared" si="742"/>
        <v>2024/25</v>
      </c>
      <c r="Q984" s="218" t="str">
        <f t="shared" si="742"/>
        <v>2025/26</v>
      </c>
      <c r="R984" s="1704" t="str">
        <f t="shared" si="742"/>
        <v>2026/27</v>
      </c>
    </row>
    <row r="985" spans="1:18" x14ac:dyDescent="0.2">
      <c r="A985" s="107"/>
      <c r="B985" s="33"/>
      <c r="C985" s="33"/>
      <c r="D985" s="33"/>
      <c r="E985" s="240"/>
      <c r="F985" s="74"/>
      <c r="G985" s="33"/>
      <c r="H985" s="138"/>
      <c r="I985" s="33"/>
      <c r="J985" s="33"/>
      <c r="K985" s="33"/>
      <c r="L985" s="33"/>
      <c r="M985" s="33"/>
      <c r="N985" s="33"/>
      <c r="O985" s="33"/>
      <c r="P985" s="33"/>
      <c r="Q985" s="33"/>
      <c r="R985" s="114"/>
    </row>
    <row r="986" spans="1:18" x14ac:dyDescent="0.2">
      <c r="A986" s="107"/>
      <c r="B986" s="33"/>
      <c r="C986" s="33"/>
      <c r="D986" s="33"/>
      <c r="E986" s="240"/>
      <c r="F986" s="74" t="s">
        <v>393</v>
      </c>
      <c r="G986" s="33"/>
      <c r="H986" s="138"/>
      <c r="I986" s="33"/>
      <c r="J986" s="33"/>
      <c r="K986" s="33"/>
      <c r="L986" s="33"/>
      <c r="M986" s="33"/>
      <c r="N986" s="33"/>
      <c r="O986" s="33"/>
      <c r="P986" s="33"/>
      <c r="Q986" s="33"/>
      <c r="R986" s="114"/>
    </row>
    <row r="987" spans="1:18" x14ac:dyDescent="0.2">
      <c r="A987" s="107"/>
      <c r="B987" s="33"/>
      <c r="C987" s="33"/>
      <c r="D987" s="33"/>
      <c r="E987" s="240"/>
      <c r="F987" s="74"/>
      <c r="G987" s="33"/>
      <c r="H987" s="138"/>
      <c r="I987" s="33"/>
      <c r="J987" s="33"/>
      <c r="K987" s="33"/>
      <c r="L987" s="33"/>
      <c r="M987" s="33"/>
      <c r="N987" s="33"/>
      <c r="O987" s="33"/>
      <c r="P987" s="33"/>
      <c r="Q987" s="33"/>
      <c r="R987" s="114"/>
    </row>
    <row r="988" spans="1:18" x14ac:dyDescent="0.2">
      <c r="A988" s="107">
        <f>A14</f>
        <v>1264000</v>
      </c>
      <c r="B988" s="33">
        <f>B14</f>
        <v>1354800</v>
      </c>
      <c r="C988" s="33">
        <f>C14</f>
        <v>1569700</v>
      </c>
      <c r="D988" s="33">
        <f>D14</f>
        <v>1543200</v>
      </c>
      <c r="E988" s="240"/>
      <c r="F988" s="78" t="s">
        <v>3630</v>
      </c>
      <c r="G988" s="33">
        <f>G14</f>
        <v>1385300</v>
      </c>
      <c r="H988" s="138">
        <f>IF(D988=G988,0,IF(D988=0,100,(G988-D988)/D988*100))</f>
        <v>-10.231985484707103</v>
      </c>
      <c r="I988" s="33">
        <f t="shared" ref="I988:R988" si="743">I14</f>
        <v>1239900</v>
      </c>
      <c r="J988" s="33">
        <f t="shared" si="743"/>
        <v>1636100</v>
      </c>
      <c r="K988" s="33">
        <f t="shared" si="743"/>
        <v>1446600</v>
      </c>
      <c r="L988" s="33">
        <f t="shared" si="743"/>
        <v>1617500</v>
      </c>
      <c r="M988" s="33">
        <f t="shared" si="743"/>
        <v>1618600</v>
      </c>
      <c r="N988" s="33">
        <f t="shared" si="743"/>
        <v>1636600</v>
      </c>
      <c r="O988" s="33">
        <f t="shared" si="743"/>
        <v>1820800</v>
      </c>
      <c r="P988" s="33">
        <f t="shared" si="743"/>
        <v>1828900</v>
      </c>
      <c r="Q988" s="33">
        <f t="shared" si="743"/>
        <v>1930300</v>
      </c>
      <c r="R988" s="114">
        <f t="shared" si="743"/>
        <v>2034900</v>
      </c>
    </row>
    <row r="989" spans="1:18" ht="13.5" thickBot="1" x14ac:dyDescent="0.25">
      <c r="A989" s="107"/>
      <c r="B989" s="33"/>
      <c r="C989" s="33"/>
      <c r="D989" s="33"/>
      <c r="E989" s="1955"/>
      <c r="F989" s="99"/>
      <c r="G989" s="33"/>
      <c r="H989" s="138"/>
      <c r="I989" s="33"/>
      <c r="J989" s="33"/>
      <c r="K989" s="33"/>
      <c r="L989" s="33"/>
      <c r="M989" s="33"/>
      <c r="N989" s="33"/>
      <c r="O989" s="33"/>
      <c r="P989" s="33"/>
      <c r="Q989" s="33"/>
      <c r="R989" s="114"/>
    </row>
    <row r="990" spans="1:18" s="92" customFormat="1" x14ac:dyDescent="0.2">
      <c r="A990" s="105">
        <f>SUM(A988:A989)</f>
        <v>1264000</v>
      </c>
      <c r="B990" s="53">
        <f>SUM(B988:B989)</f>
        <v>1354800</v>
      </c>
      <c r="C990" s="53">
        <f>SUM(C988:C989)</f>
        <v>1569700</v>
      </c>
      <c r="D990" s="53">
        <f>SUM(D988:D989)</f>
        <v>1543200</v>
      </c>
      <c r="E990" s="237"/>
      <c r="F990" s="112" t="s">
        <v>2605</v>
      </c>
      <c r="G990" s="53">
        <f t="shared" ref="G990:J990" si="744">SUM(G988:G989)</f>
        <v>1385300</v>
      </c>
      <c r="H990" s="179">
        <f>IF(D990=G990,0,IF(D990=0,100,(G990-D990)/D990*100))</f>
        <v>-10.231985484707103</v>
      </c>
      <c r="I990" s="53">
        <f t="shared" si="744"/>
        <v>1239900</v>
      </c>
      <c r="J990" s="53">
        <f t="shared" si="744"/>
        <v>1636100</v>
      </c>
      <c r="K990" s="53">
        <f t="shared" ref="K990:P990" si="745">SUM(K988:K989)</f>
        <v>1446600</v>
      </c>
      <c r="L990" s="53">
        <f t="shared" si="745"/>
        <v>1617500</v>
      </c>
      <c r="M990" s="53">
        <f t="shared" si="745"/>
        <v>1618600</v>
      </c>
      <c r="N990" s="53">
        <f t="shared" si="745"/>
        <v>1636600</v>
      </c>
      <c r="O990" s="53">
        <f t="shared" si="745"/>
        <v>1820800</v>
      </c>
      <c r="P990" s="53">
        <f t="shared" si="745"/>
        <v>1828900</v>
      </c>
      <c r="Q990" s="53">
        <f t="shared" ref="Q990" si="746">SUM(Q988:Q989)</f>
        <v>1930300</v>
      </c>
      <c r="R990" s="113">
        <f t="shared" ref="R990" si="747">SUM(R988:R989)</f>
        <v>2034900</v>
      </c>
    </row>
    <row r="991" spans="1:18" x14ac:dyDescent="0.2">
      <c r="A991" s="107"/>
      <c r="B991" s="33"/>
      <c r="C991" s="33"/>
      <c r="D991" s="33"/>
      <c r="E991" s="1955"/>
      <c r="F991" s="99"/>
      <c r="G991" s="33"/>
      <c r="H991" s="138"/>
      <c r="I991" s="33"/>
      <c r="J991" s="33"/>
      <c r="K991" s="33"/>
      <c r="L991" s="33"/>
      <c r="M991" s="33"/>
      <c r="N991" s="33"/>
      <c r="O991" s="33"/>
      <c r="P991" s="33"/>
      <c r="Q991" s="33"/>
      <c r="R991" s="114"/>
    </row>
    <row r="992" spans="1:18" x14ac:dyDescent="0.2">
      <c r="A992" s="107"/>
      <c r="B992" s="33"/>
      <c r="C992" s="33"/>
      <c r="D992" s="33"/>
      <c r="E992" s="1955"/>
      <c r="F992" s="144" t="s">
        <v>2205</v>
      </c>
      <c r="G992" s="33"/>
      <c r="H992" s="138"/>
      <c r="I992" s="33"/>
      <c r="J992" s="33"/>
      <c r="K992" s="33"/>
      <c r="L992" s="33"/>
      <c r="M992" s="33"/>
      <c r="N992" s="33"/>
      <c r="O992" s="33"/>
      <c r="P992" s="33"/>
      <c r="Q992" s="33"/>
      <c r="R992" s="114"/>
    </row>
    <row r="993" spans="1:18" x14ac:dyDescent="0.2">
      <c r="A993" s="107"/>
      <c r="B993" s="33"/>
      <c r="C993" s="33"/>
      <c r="D993" s="33"/>
      <c r="E993" s="240"/>
      <c r="F993" s="74"/>
      <c r="G993" s="33"/>
      <c r="H993" s="138"/>
      <c r="I993" s="33"/>
      <c r="J993" s="33"/>
      <c r="K993" s="33"/>
      <c r="L993" s="33"/>
      <c r="M993" s="33"/>
      <c r="N993" s="33"/>
      <c r="O993" s="33"/>
      <c r="P993" s="33"/>
      <c r="Q993" s="33"/>
      <c r="R993" s="114"/>
    </row>
    <row r="994" spans="1:18" x14ac:dyDescent="0.2">
      <c r="A994" s="107">
        <f>A25</f>
        <v>6349000</v>
      </c>
      <c r="B994" s="33">
        <f>B25</f>
        <v>6147900</v>
      </c>
      <c r="C994" s="33">
        <f>C25</f>
        <v>6652500</v>
      </c>
      <c r="D994" s="33">
        <f>D25</f>
        <v>6867000</v>
      </c>
      <c r="E994" s="240"/>
      <c r="F994" s="99" t="str">
        <f>F988</f>
        <v>Group</v>
      </c>
      <c r="G994" s="33">
        <f>G25</f>
        <v>7438600</v>
      </c>
      <c r="H994" s="138">
        <f>IF(D994=G994,0,IF(D994=0,100,(G994-D994)/D994*100))</f>
        <v>8.3238677734090576</v>
      </c>
      <c r="I994" s="33">
        <f t="shared" ref="I994:R994" si="748">I25</f>
        <v>7386100</v>
      </c>
      <c r="J994" s="33">
        <f t="shared" si="748"/>
        <v>7969500</v>
      </c>
      <c r="K994" s="33">
        <f t="shared" si="748"/>
        <v>8306200</v>
      </c>
      <c r="L994" s="33">
        <f t="shared" si="748"/>
        <v>8480900</v>
      </c>
      <c r="M994" s="33">
        <f t="shared" si="748"/>
        <v>8642000</v>
      </c>
      <c r="N994" s="33">
        <f t="shared" si="748"/>
        <v>8804400</v>
      </c>
      <c r="O994" s="33">
        <f t="shared" si="748"/>
        <v>9061800</v>
      </c>
      <c r="P994" s="33">
        <f t="shared" si="748"/>
        <v>9141500</v>
      </c>
      <c r="Q994" s="33">
        <f t="shared" si="748"/>
        <v>9316100</v>
      </c>
      <c r="R994" s="114">
        <f t="shared" si="748"/>
        <v>9493800</v>
      </c>
    </row>
    <row r="995" spans="1:18" ht="13.5" thickBot="1" x14ac:dyDescent="0.25">
      <c r="A995" s="107"/>
      <c r="B995" s="33"/>
      <c r="C995" s="33"/>
      <c r="D995" s="33"/>
      <c r="E995" s="1955"/>
      <c r="F995" s="108"/>
      <c r="G995" s="33"/>
      <c r="H995" s="138"/>
      <c r="I995" s="33"/>
      <c r="J995" s="33"/>
      <c r="K995" s="33"/>
      <c r="L995" s="33"/>
      <c r="M995" s="33"/>
      <c r="N995" s="33"/>
      <c r="O995" s="33"/>
      <c r="P995" s="33"/>
      <c r="Q995" s="33"/>
      <c r="R995" s="114"/>
    </row>
    <row r="996" spans="1:18" s="92" customFormat="1" x14ac:dyDescent="0.2">
      <c r="A996" s="105">
        <f>SUM(A993:A995)</f>
        <v>6349000</v>
      </c>
      <c r="B996" s="53">
        <f>SUM(B993:B995)</f>
        <v>6147900</v>
      </c>
      <c r="C996" s="53">
        <f>SUM(C993:C995)</f>
        <v>6652500</v>
      </c>
      <c r="D996" s="53">
        <f>SUM(D993:D995)</f>
        <v>6867000</v>
      </c>
      <c r="E996" s="237"/>
      <c r="F996" s="112" t="s">
        <v>565</v>
      </c>
      <c r="G996" s="53">
        <f t="shared" ref="G996:J996" si="749">SUM(G993:G995)</f>
        <v>7438600</v>
      </c>
      <c r="H996" s="179">
        <f>IF(D996=G996,0,IF(D996=0,100,(G996-D996)/D996*100))</f>
        <v>8.3238677734090576</v>
      </c>
      <c r="I996" s="53">
        <f t="shared" si="749"/>
        <v>7386100</v>
      </c>
      <c r="J996" s="53">
        <f t="shared" si="749"/>
        <v>7969500</v>
      </c>
      <c r="K996" s="53">
        <f t="shared" ref="K996:P996" si="750">SUM(K993:K995)</f>
        <v>8306200</v>
      </c>
      <c r="L996" s="53">
        <f t="shared" si="750"/>
        <v>8480900</v>
      </c>
      <c r="M996" s="53">
        <f t="shared" si="750"/>
        <v>8642000</v>
      </c>
      <c r="N996" s="53">
        <f t="shared" si="750"/>
        <v>8804400</v>
      </c>
      <c r="O996" s="53">
        <f t="shared" si="750"/>
        <v>9061800</v>
      </c>
      <c r="P996" s="53">
        <f t="shared" si="750"/>
        <v>9141500</v>
      </c>
      <c r="Q996" s="53">
        <f t="shared" ref="Q996" si="751">SUM(Q993:Q995)</f>
        <v>9316100</v>
      </c>
      <c r="R996" s="113">
        <f t="shared" ref="R996" si="752">SUM(R993:R995)</f>
        <v>9493800</v>
      </c>
    </row>
    <row r="997" spans="1:18" ht="13.5" thickBot="1" x14ac:dyDescent="0.25">
      <c r="A997" s="70"/>
      <c r="B997" s="64"/>
      <c r="C997" s="64"/>
      <c r="D997" s="64"/>
      <c r="E997" s="240"/>
      <c r="F997" s="99"/>
      <c r="G997" s="64"/>
      <c r="H997" s="179"/>
      <c r="I997" s="33"/>
      <c r="J997" s="33"/>
      <c r="K997" s="33"/>
      <c r="L997" s="33"/>
      <c r="M997" s="33"/>
      <c r="N997" s="33"/>
      <c r="O997" s="33"/>
      <c r="P997" s="33"/>
      <c r="Q997" s="33"/>
      <c r="R997" s="114"/>
    </row>
    <row r="998" spans="1:18" x14ac:dyDescent="0.2">
      <c r="A998" s="105">
        <f>A990-A996</f>
        <v>-5085000</v>
      </c>
      <c r="B998" s="53">
        <f>B990-B996</f>
        <v>-4793100</v>
      </c>
      <c r="C998" s="53">
        <f>C990-C996</f>
        <v>-5082800</v>
      </c>
      <c r="D998" s="53">
        <f>D990-D996</f>
        <v>-5323800</v>
      </c>
      <c r="E998" s="240"/>
      <c r="F998" s="522" t="s">
        <v>366</v>
      </c>
      <c r="G998" s="53">
        <f t="shared" ref="G998:L998" si="753">G990-G996</f>
        <v>-6053300</v>
      </c>
      <c r="H998" s="179">
        <f>IF(D998=G998,0,IF(D998=0,100,(G998-D998)/D998*100))</f>
        <v>13.702618430444419</v>
      </c>
      <c r="I998" s="53">
        <f t="shared" si="753"/>
        <v>-6146200</v>
      </c>
      <c r="J998" s="53">
        <f t="shared" si="753"/>
        <v>-6333400</v>
      </c>
      <c r="K998" s="53">
        <f t="shared" si="753"/>
        <v>-6859600</v>
      </c>
      <c r="L998" s="53">
        <f t="shared" si="753"/>
        <v>-6863400</v>
      </c>
      <c r="M998" s="53">
        <f t="shared" ref="M998:R998" si="754">M990-M996</f>
        <v>-7023400</v>
      </c>
      <c r="N998" s="53">
        <f t="shared" si="754"/>
        <v>-7167800</v>
      </c>
      <c r="O998" s="53">
        <f t="shared" si="754"/>
        <v>-7241000</v>
      </c>
      <c r="P998" s="53">
        <f t="shared" si="754"/>
        <v>-7312600</v>
      </c>
      <c r="Q998" s="53">
        <f t="shared" si="754"/>
        <v>-7385800</v>
      </c>
      <c r="R998" s="113">
        <f t="shared" si="754"/>
        <v>-7458900</v>
      </c>
    </row>
    <row r="999" spans="1:18" x14ac:dyDescent="0.2">
      <c r="A999" s="70"/>
      <c r="B999" s="64"/>
      <c r="C999" s="64"/>
      <c r="D999" s="64"/>
      <c r="E999" s="240"/>
      <c r="F999" s="522"/>
      <c r="G999" s="64"/>
      <c r="H999" s="179"/>
      <c r="I999" s="64"/>
      <c r="J999" s="64"/>
      <c r="K999" s="64"/>
      <c r="L999" s="64"/>
      <c r="M999" s="64"/>
      <c r="N999" s="64"/>
      <c r="O999" s="64"/>
      <c r="P999" s="64"/>
      <c r="Q999" s="64"/>
      <c r="R999" s="115"/>
    </row>
    <row r="1000" spans="1:18" x14ac:dyDescent="0.2">
      <c r="A1000" s="70">
        <f>A998-A974</f>
        <v>0</v>
      </c>
      <c r="B1000" s="64">
        <f>B998-B974</f>
        <v>0</v>
      </c>
      <c r="C1000" s="64">
        <f>C998-C974</f>
        <v>0</v>
      </c>
      <c r="D1000" s="64">
        <f>D998-D974</f>
        <v>0</v>
      </c>
      <c r="E1000" s="240"/>
      <c r="F1000" s="522" t="s">
        <v>1763</v>
      </c>
      <c r="G1000" s="64">
        <f t="shared" ref="G1000:P1000" si="755">G998-G974</f>
        <v>0</v>
      </c>
      <c r="H1000" s="179"/>
      <c r="I1000" s="64">
        <f t="shared" si="755"/>
        <v>0</v>
      </c>
      <c r="J1000" s="64">
        <f t="shared" si="755"/>
        <v>0</v>
      </c>
      <c r="K1000" s="64">
        <f t="shared" si="755"/>
        <v>0</v>
      </c>
      <c r="L1000" s="64">
        <f t="shared" si="755"/>
        <v>0</v>
      </c>
      <c r="M1000" s="64">
        <f t="shared" si="755"/>
        <v>0</v>
      </c>
      <c r="N1000" s="64">
        <f t="shared" si="755"/>
        <v>0</v>
      </c>
      <c r="O1000" s="64">
        <f t="shared" si="755"/>
        <v>0</v>
      </c>
      <c r="P1000" s="64">
        <f t="shared" si="755"/>
        <v>0</v>
      </c>
      <c r="Q1000" s="64">
        <f t="shared" ref="Q1000" si="756">Q998-Q974</f>
        <v>0</v>
      </c>
      <c r="R1000" s="115">
        <f t="shared" ref="R1000" si="757">R998-R974</f>
        <v>0</v>
      </c>
    </row>
    <row r="1001" spans="1:18" ht="13.5" thickBot="1" x14ac:dyDescent="0.25">
      <c r="A1001" s="73"/>
      <c r="B1001" s="90"/>
      <c r="C1001" s="90"/>
      <c r="D1001" s="90"/>
      <c r="E1001" s="241"/>
      <c r="F1001" s="1706"/>
      <c r="G1001" s="90"/>
      <c r="H1001" s="392"/>
      <c r="I1001" s="90"/>
      <c r="J1001" s="90"/>
      <c r="K1001" s="90"/>
      <c r="L1001" s="90"/>
      <c r="M1001" s="90"/>
      <c r="N1001" s="90"/>
      <c r="O1001" s="90"/>
      <c r="P1001" s="90"/>
      <c r="Q1001" s="90"/>
      <c r="R1001" s="135"/>
    </row>
    <row r="1002" spans="1:18" s="99" customFormat="1" ht="14.25" thickTop="1" thickBot="1" x14ac:dyDescent="0.25">
      <c r="E1002" s="537"/>
      <c r="H1002" s="123"/>
    </row>
    <row r="1003" spans="1:18" s="44" customFormat="1" ht="13.5" thickTop="1" x14ac:dyDescent="0.2">
      <c r="A1003" s="2871" t="s">
        <v>1856</v>
      </c>
      <c r="B1003" s="2860"/>
      <c r="C1003" s="2860"/>
      <c r="D1003" s="2872"/>
      <c r="E1003" s="2094" t="s">
        <v>2663</v>
      </c>
      <c r="F1003" s="2506" t="s">
        <v>2251</v>
      </c>
      <c r="G1003" s="2859" t="s">
        <v>2253</v>
      </c>
      <c r="H1003" s="2860"/>
      <c r="I1003" s="2860"/>
      <c r="J1003" s="2860"/>
      <c r="K1003" s="2860"/>
      <c r="L1003" s="2860"/>
      <c r="M1003" s="2860"/>
      <c r="N1003" s="2860"/>
      <c r="O1003" s="2860"/>
      <c r="P1003" s="2860"/>
      <c r="Q1003" s="2860"/>
      <c r="R1003" s="2861"/>
    </row>
    <row r="1004" spans="1:18" ht="13.5" thickBot="1" x14ac:dyDescent="0.25">
      <c r="A1004" s="743" t="str">
        <f>A3</f>
        <v>2012/13</v>
      </c>
      <c r="B1004" s="218" t="str">
        <f>B3</f>
        <v>2013/14</v>
      </c>
      <c r="C1004" s="218" t="str">
        <f>C3</f>
        <v>2014/15</v>
      </c>
      <c r="D1004" s="75" t="str">
        <f>D3</f>
        <v>2015/16</v>
      </c>
      <c r="E1004" s="235" t="s">
        <v>2664</v>
      </c>
      <c r="F1004" s="94"/>
      <c r="G1004" s="2602" t="str">
        <f>G3</f>
        <v>2016/17</v>
      </c>
      <c r="H1004" s="1331" t="s">
        <v>501</v>
      </c>
      <c r="I1004" s="218" t="str">
        <f t="shared" ref="I1004:R1004" si="758">I3</f>
        <v>2017/18</v>
      </c>
      <c r="J1004" s="218" t="str">
        <f t="shared" si="758"/>
        <v>2018/19</v>
      </c>
      <c r="K1004" s="218" t="str">
        <f t="shared" si="758"/>
        <v>2019/20</v>
      </c>
      <c r="L1004" s="218" t="str">
        <f t="shared" si="758"/>
        <v>2020/21</v>
      </c>
      <c r="M1004" s="218" t="str">
        <f t="shared" si="758"/>
        <v>2021/22</v>
      </c>
      <c r="N1004" s="218" t="str">
        <f t="shared" si="758"/>
        <v>2022/23</v>
      </c>
      <c r="O1004" s="218" t="str">
        <f t="shared" si="758"/>
        <v>2023/24</v>
      </c>
      <c r="P1004" s="218" t="str">
        <f t="shared" si="758"/>
        <v>2024/25</v>
      </c>
      <c r="Q1004" s="218" t="str">
        <f t="shared" si="758"/>
        <v>2025/26</v>
      </c>
      <c r="R1004" s="1704" t="str">
        <f t="shared" si="758"/>
        <v>2026/27</v>
      </c>
    </row>
    <row r="1005" spans="1:18" x14ac:dyDescent="0.2">
      <c r="A1005" s="107"/>
      <c r="B1005" s="33"/>
      <c r="C1005" s="33"/>
      <c r="D1005" s="33"/>
      <c r="E1005" s="240"/>
      <c r="F1005" s="74"/>
      <c r="G1005" s="76"/>
      <c r="H1005" s="138"/>
      <c r="I1005" s="33"/>
      <c r="J1005" s="33"/>
      <c r="K1005" s="33"/>
      <c r="L1005" s="33"/>
      <c r="M1005" s="33"/>
      <c r="N1005" s="33"/>
      <c r="O1005" s="33"/>
      <c r="P1005" s="33"/>
      <c r="Q1005" s="33"/>
      <c r="R1005" s="114"/>
    </row>
    <row r="1006" spans="1:18" x14ac:dyDescent="0.2">
      <c r="A1006" s="107">
        <f t="shared" ref="A1006:D1010" si="759">A43</f>
        <v>23000</v>
      </c>
      <c r="B1006" s="33">
        <f t="shared" si="759"/>
        <v>24300</v>
      </c>
      <c r="C1006" s="33">
        <f t="shared" si="759"/>
        <v>17300</v>
      </c>
      <c r="D1006" s="33">
        <f t="shared" si="759"/>
        <v>18500</v>
      </c>
      <c r="E1006" s="240"/>
      <c r="F1006" s="1981" t="s">
        <v>2084</v>
      </c>
      <c r="G1006" s="76">
        <f>G43</f>
        <v>19900</v>
      </c>
      <c r="H1006" s="138"/>
      <c r="I1006" s="33">
        <f t="shared" ref="I1006:R1006" si="760">I43</f>
        <v>388800</v>
      </c>
      <c r="J1006" s="33">
        <f t="shared" si="760"/>
        <v>474700</v>
      </c>
      <c r="K1006" s="33">
        <f t="shared" si="760"/>
        <v>490800</v>
      </c>
      <c r="L1006" s="33">
        <f t="shared" si="760"/>
        <v>502900</v>
      </c>
      <c r="M1006" s="33">
        <f t="shared" si="760"/>
        <v>522100</v>
      </c>
      <c r="N1006" s="33">
        <f t="shared" si="760"/>
        <v>542500</v>
      </c>
      <c r="O1006" s="33">
        <f t="shared" si="760"/>
        <v>541000</v>
      </c>
      <c r="P1006" s="33">
        <f t="shared" si="760"/>
        <v>563000</v>
      </c>
      <c r="Q1006" s="33">
        <f t="shared" si="760"/>
        <v>583000</v>
      </c>
      <c r="R1006" s="114">
        <f t="shared" si="760"/>
        <v>605000</v>
      </c>
    </row>
    <row r="1007" spans="1:18" x14ac:dyDescent="0.2">
      <c r="A1007" s="107">
        <f t="shared" si="759"/>
        <v>3657000</v>
      </c>
      <c r="B1007" s="33">
        <f t="shared" si="759"/>
        <v>3194600</v>
      </c>
      <c r="C1007" s="33">
        <f t="shared" si="759"/>
        <v>4109500</v>
      </c>
      <c r="D1007" s="33">
        <f t="shared" si="759"/>
        <v>3327000</v>
      </c>
      <c r="E1007" s="240"/>
      <c r="F1007" s="1981" t="s">
        <v>1942</v>
      </c>
      <c r="G1007" s="76">
        <f>G44</f>
        <v>5164200</v>
      </c>
      <c r="H1007" s="138"/>
      <c r="I1007" s="33">
        <f t="shared" ref="I1007:R1007" si="761">I44</f>
        <v>9335400</v>
      </c>
      <c r="J1007" s="33">
        <f t="shared" si="761"/>
        <v>9653600</v>
      </c>
      <c r="K1007" s="33">
        <f t="shared" si="761"/>
        <v>7658800</v>
      </c>
      <c r="L1007" s="33">
        <f t="shared" si="761"/>
        <v>12952500</v>
      </c>
      <c r="M1007" s="33">
        <f t="shared" si="761"/>
        <v>13172200</v>
      </c>
      <c r="N1007" s="33">
        <f t="shared" si="761"/>
        <v>3414400</v>
      </c>
      <c r="O1007" s="33">
        <f t="shared" si="761"/>
        <v>3535100</v>
      </c>
      <c r="P1007" s="33">
        <f t="shared" si="761"/>
        <v>3661800</v>
      </c>
      <c r="Q1007" s="33">
        <f t="shared" si="761"/>
        <v>3792500</v>
      </c>
      <c r="R1007" s="114">
        <f t="shared" si="761"/>
        <v>3926700</v>
      </c>
    </row>
    <row r="1008" spans="1:18" x14ac:dyDescent="0.2">
      <c r="A1008" s="107">
        <f t="shared" si="759"/>
        <v>453000</v>
      </c>
      <c r="B1008" s="33">
        <f t="shared" si="759"/>
        <v>901600</v>
      </c>
      <c r="C1008" s="33">
        <f t="shared" si="759"/>
        <v>888600</v>
      </c>
      <c r="D1008" s="33">
        <f t="shared" si="759"/>
        <v>848000</v>
      </c>
      <c r="E1008" s="240"/>
      <c r="F1008" s="1981" t="s">
        <v>2348</v>
      </c>
      <c r="G1008" s="76">
        <f>G45</f>
        <v>2918800</v>
      </c>
      <c r="H1008" s="138"/>
      <c r="I1008" s="33">
        <f t="shared" ref="I1008:R1008" si="762">I45</f>
        <v>3257000</v>
      </c>
      <c r="J1008" s="33">
        <f t="shared" si="762"/>
        <v>3000000</v>
      </c>
      <c r="K1008" s="33">
        <f t="shared" si="762"/>
        <v>2000000</v>
      </c>
      <c r="L1008" s="33">
        <f t="shared" si="762"/>
        <v>1000000</v>
      </c>
      <c r="M1008" s="33">
        <f t="shared" si="762"/>
        <v>0</v>
      </c>
      <c r="N1008" s="33">
        <f t="shared" si="762"/>
        <v>0</v>
      </c>
      <c r="O1008" s="33">
        <f t="shared" si="762"/>
        <v>0</v>
      </c>
      <c r="P1008" s="33">
        <f t="shared" si="762"/>
        <v>0</v>
      </c>
      <c r="Q1008" s="33">
        <f t="shared" si="762"/>
        <v>0</v>
      </c>
      <c r="R1008" s="114">
        <f t="shared" si="762"/>
        <v>0</v>
      </c>
    </row>
    <row r="1009" spans="1:18" x14ac:dyDescent="0.2">
      <c r="A1009" s="107">
        <f t="shared" si="759"/>
        <v>2922000</v>
      </c>
      <c r="B1009" s="33">
        <f t="shared" si="759"/>
        <v>2309000</v>
      </c>
      <c r="C1009" s="33">
        <f t="shared" si="759"/>
        <v>3104000</v>
      </c>
      <c r="D1009" s="33">
        <f t="shared" si="759"/>
        <v>2246100</v>
      </c>
      <c r="E1009" s="240"/>
      <c r="F1009" s="1981" t="s">
        <v>5984</v>
      </c>
      <c r="G1009" s="76">
        <f>G46</f>
        <v>9815700</v>
      </c>
      <c r="H1009" s="138"/>
      <c r="I1009" s="33">
        <f t="shared" ref="I1009:R1009" si="763">I46</f>
        <v>13096800</v>
      </c>
      <c r="J1009" s="33">
        <f t="shared" si="763"/>
        <v>8347000</v>
      </c>
      <c r="K1009" s="33">
        <f t="shared" si="763"/>
        <v>6554000</v>
      </c>
      <c r="L1009" s="33">
        <f t="shared" si="763"/>
        <v>15717000</v>
      </c>
      <c r="M1009" s="33">
        <f t="shared" si="763"/>
        <v>12971000</v>
      </c>
      <c r="N1009" s="33">
        <f t="shared" si="763"/>
        <v>3230000</v>
      </c>
      <c r="O1009" s="33">
        <f t="shared" si="763"/>
        <v>3293000</v>
      </c>
      <c r="P1009" s="33">
        <f t="shared" si="763"/>
        <v>3359000</v>
      </c>
      <c r="Q1009" s="33">
        <f t="shared" si="763"/>
        <v>3426000</v>
      </c>
      <c r="R1009" s="114">
        <f t="shared" si="763"/>
        <v>3494000</v>
      </c>
    </row>
    <row r="1010" spans="1:18" x14ac:dyDescent="0.2">
      <c r="A1010" s="107">
        <f t="shared" si="759"/>
        <v>17000</v>
      </c>
      <c r="B1010" s="33">
        <f t="shared" si="759"/>
        <v>314000</v>
      </c>
      <c r="C1010" s="33">
        <f t="shared" si="759"/>
        <v>332400</v>
      </c>
      <c r="D1010" s="33">
        <f t="shared" si="759"/>
        <v>521100</v>
      </c>
      <c r="E1010" s="240"/>
      <c r="F1010" s="1981" t="s">
        <v>972</v>
      </c>
      <c r="G1010" s="76">
        <f>G47</f>
        <v>8142000</v>
      </c>
      <c r="H1010" s="138"/>
      <c r="I1010" s="33">
        <f t="shared" ref="I1010:R1010" si="764">I47</f>
        <v>7207800</v>
      </c>
      <c r="J1010" s="33">
        <f t="shared" si="764"/>
        <v>2024000</v>
      </c>
      <c r="K1010" s="33">
        <f t="shared" si="764"/>
        <v>1025000</v>
      </c>
      <c r="L1010" s="33">
        <f t="shared" si="764"/>
        <v>4026000</v>
      </c>
      <c r="M1010" s="33">
        <f t="shared" si="764"/>
        <v>27000</v>
      </c>
      <c r="N1010" s="33">
        <f t="shared" si="764"/>
        <v>28000</v>
      </c>
      <c r="O1010" s="33">
        <f t="shared" si="764"/>
        <v>29000</v>
      </c>
      <c r="P1010" s="33">
        <f t="shared" si="764"/>
        <v>30000</v>
      </c>
      <c r="Q1010" s="33">
        <f t="shared" si="764"/>
        <v>31000</v>
      </c>
      <c r="R1010" s="114">
        <f t="shared" si="764"/>
        <v>32000</v>
      </c>
    </row>
    <row r="1011" spans="1:18" s="92" customFormat="1" x14ac:dyDescent="0.2">
      <c r="A1011" s="70">
        <f>-A1006-A1007+A1008++A1009-A1010</f>
        <v>-322000</v>
      </c>
      <c r="B1011" s="64">
        <f>-B1006-B1007+B1008++B1009-B1010</f>
        <v>-322300</v>
      </c>
      <c r="C1011" s="64">
        <f>-C1006-C1007+C1008++C1009-C1010</f>
        <v>-466600</v>
      </c>
      <c r="D1011" s="64">
        <f>-D1006-D1007+D1008++D1009-D1010</f>
        <v>-772500</v>
      </c>
      <c r="E1011" s="246"/>
      <c r="F1011" s="137" t="s">
        <v>1530</v>
      </c>
      <c r="G1011" s="79">
        <f t="shared" ref="G1011:J1011" si="765">-G1006-G1007+G1008++G1009-G1010</f>
        <v>-591600</v>
      </c>
      <c r="H1011" s="179"/>
      <c r="I1011" s="64">
        <f t="shared" si="765"/>
        <v>-578200</v>
      </c>
      <c r="J1011" s="64">
        <f t="shared" si="765"/>
        <v>-805300</v>
      </c>
      <c r="K1011" s="64">
        <f t="shared" ref="K1011:P1011" si="766">-K1006-K1007+K1008++K1009-K1010</f>
        <v>-620600</v>
      </c>
      <c r="L1011" s="64">
        <f t="shared" si="766"/>
        <v>-764400</v>
      </c>
      <c r="M1011" s="64">
        <f t="shared" si="766"/>
        <v>-750300</v>
      </c>
      <c r="N1011" s="64">
        <f t="shared" si="766"/>
        <v>-754900</v>
      </c>
      <c r="O1011" s="64">
        <f t="shared" si="766"/>
        <v>-812100</v>
      </c>
      <c r="P1011" s="64">
        <f t="shared" si="766"/>
        <v>-895800</v>
      </c>
      <c r="Q1011" s="64">
        <f t="shared" ref="Q1011" si="767">-Q1006-Q1007+Q1008++Q1009-Q1010</f>
        <v>-980500</v>
      </c>
      <c r="R1011" s="115">
        <f t="shared" ref="R1011" si="768">-R1006-R1007+R1008++R1009-R1010</f>
        <v>-1069700</v>
      </c>
    </row>
    <row r="1012" spans="1:18" ht="13.5" thickBot="1" x14ac:dyDescent="0.25">
      <c r="A1012" s="73"/>
      <c r="B1012" s="90"/>
      <c r="C1012" s="90"/>
      <c r="D1012" s="90"/>
      <c r="E1012" s="241"/>
      <c r="F1012" s="141"/>
      <c r="G1012" s="85"/>
      <c r="H1012" s="392"/>
      <c r="I1012" s="66"/>
      <c r="J1012" s="66"/>
      <c r="K1012" s="66"/>
      <c r="L1012" s="66"/>
      <c r="M1012" s="66"/>
      <c r="N1012" s="66"/>
      <c r="O1012" s="66"/>
      <c r="P1012" s="66"/>
      <c r="Q1012" s="66"/>
      <c r="R1012" s="165"/>
    </row>
    <row r="1013" spans="1:18" ht="13.5" thickTop="1" x14ac:dyDescent="0.2"/>
  </sheetData>
  <mergeCells count="63">
    <mergeCell ref="A322:R322"/>
    <mergeCell ref="G323:R323"/>
    <mergeCell ref="A2:D2"/>
    <mergeCell ref="A53:D53"/>
    <mergeCell ref="A1:R1"/>
    <mergeCell ref="G2:R2"/>
    <mergeCell ref="G53:R53"/>
    <mergeCell ref="A52:R52"/>
    <mergeCell ref="A215:D215"/>
    <mergeCell ref="A99:D99"/>
    <mergeCell ref="A262:D262"/>
    <mergeCell ref="A312:D312"/>
    <mergeCell ref="A323:D323"/>
    <mergeCell ref="A214:R214"/>
    <mergeCell ref="G215:R215"/>
    <mergeCell ref="A261:R261"/>
    <mergeCell ref="G262:R262"/>
    <mergeCell ref="G312:R312"/>
    <mergeCell ref="A98:R98"/>
    <mergeCell ref="G99:R99"/>
    <mergeCell ref="G150:R150"/>
    <mergeCell ref="A163:R163"/>
    <mergeCell ref="G164:R164"/>
    <mergeCell ref="A150:D150"/>
    <mergeCell ref="A164:D164"/>
    <mergeCell ref="A377:R377"/>
    <mergeCell ref="G378:R378"/>
    <mergeCell ref="A441:R441"/>
    <mergeCell ref="G442:R442"/>
    <mergeCell ref="A481:R481"/>
    <mergeCell ref="A378:D378"/>
    <mergeCell ref="A442:D442"/>
    <mergeCell ref="G482:R482"/>
    <mergeCell ref="A543:R543"/>
    <mergeCell ref="G544:R544"/>
    <mergeCell ref="A612:R612"/>
    <mergeCell ref="G613:R613"/>
    <mergeCell ref="A544:D544"/>
    <mergeCell ref="A613:D613"/>
    <mergeCell ref="A482:D482"/>
    <mergeCell ref="A670:R670"/>
    <mergeCell ref="G671:R671"/>
    <mergeCell ref="A735:R735"/>
    <mergeCell ref="G736:R736"/>
    <mergeCell ref="A793:R793"/>
    <mergeCell ref="A671:D671"/>
    <mergeCell ref="A736:D736"/>
    <mergeCell ref="G951:R951"/>
    <mergeCell ref="G964:R964"/>
    <mergeCell ref="G983:R983"/>
    <mergeCell ref="G1003:R1003"/>
    <mergeCell ref="G794:R794"/>
    <mergeCell ref="A855:R855"/>
    <mergeCell ref="G856:R856"/>
    <mergeCell ref="A918:R918"/>
    <mergeCell ref="G919:R919"/>
    <mergeCell ref="A794:D794"/>
    <mergeCell ref="A856:D856"/>
    <mergeCell ref="A919:D919"/>
    <mergeCell ref="A951:D951"/>
    <mergeCell ref="A964:D964"/>
    <mergeCell ref="A983:D983"/>
    <mergeCell ref="A1003:D1003"/>
  </mergeCells>
  <phoneticPr fontId="9" type="noConversion"/>
  <printOptions horizontalCentered="1"/>
  <pageMargins left="0.19685039370078741" right="0.19685039370078741" top="0.39370078740157483" bottom="0.39370078740157483" header="0.39370078740157483" footer="0.39370078740157483"/>
  <pageSetup paperSize="9" scale="65" orientation="landscape" r:id="rId1"/>
  <headerFooter alignWithMargins="0"/>
  <rowBreaks count="17" manualBreakCount="17">
    <brk id="51" max="16383" man="1"/>
    <brk id="97" max="16383" man="1"/>
    <brk id="161" max="16383" man="1"/>
    <brk id="212" max="16383" man="1"/>
    <brk id="259" max="16383" man="1"/>
    <brk id="320" max="16383" man="1"/>
    <brk id="376" max="16383" man="1"/>
    <brk id="440" max="16383" man="1"/>
    <brk id="480" max="16383" man="1"/>
    <brk id="542" max="16383" man="1"/>
    <brk id="610" max="16383" man="1"/>
    <brk id="669" max="16383" man="1"/>
    <brk id="733" max="16383" man="1"/>
    <brk id="792" max="16383" man="1"/>
    <brk id="853" max="16383" man="1"/>
    <brk id="917" max="16383" man="1"/>
    <brk id="949" max="16383"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V526"/>
  <sheetViews>
    <sheetView showGridLines="0" topLeftCell="B373" workbookViewId="0">
      <selection activeCell="I378" sqref="I378"/>
    </sheetView>
  </sheetViews>
  <sheetFormatPr defaultColWidth="9.140625" defaultRowHeight="12.75" x14ac:dyDescent="0.2"/>
  <cols>
    <col min="1" max="2" width="10.28515625" style="84" bestFit="1" customWidth="1"/>
    <col min="3" max="4" width="10.28515625" style="99" bestFit="1" customWidth="1"/>
    <col min="5" max="5" width="15.42578125" style="680" customWidth="1"/>
    <col min="6" max="6" width="32.7109375" style="84" customWidth="1"/>
    <col min="7" max="7" width="10.28515625" style="84" bestFit="1" customWidth="1"/>
    <col min="8" max="8" width="6.140625" style="149" bestFit="1" customWidth="1"/>
    <col min="9" max="18" width="10.28515625" style="84" bestFit="1" customWidth="1"/>
    <col min="19" max="21" width="9.140625" style="84"/>
    <col min="22" max="22" width="10.140625" style="84" bestFit="1" customWidth="1"/>
    <col min="23" max="16384" width="9.140625" style="84"/>
  </cols>
  <sheetData>
    <row r="1" spans="1:18" s="91" customFormat="1" ht="18.75" customHeight="1" thickTop="1" thickBot="1" x14ac:dyDescent="0.3">
      <c r="A1" s="2862" t="s">
        <v>3296</v>
      </c>
      <c r="B1" s="2863"/>
      <c r="C1" s="2863"/>
      <c r="D1" s="2863"/>
      <c r="E1" s="2863"/>
      <c r="F1" s="2863"/>
      <c r="G1" s="2863"/>
      <c r="H1" s="2863"/>
      <c r="I1" s="2863"/>
      <c r="J1" s="2863"/>
      <c r="K1" s="2863"/>
      <c r="L1" s="2863"/>
      <c r="M1" s="2863"/>
      <c r="N1" s="2863"/>
      <c r="O1" s="2863"/>
      <c r="P1" s="2863"/>
      <c r="Q1" s="2863"/>
      <c r="R1" s="2864"/>
    </row>
    <row r="2" spans="1:18" s="92" customFormat="1" x14ac:dyDescent="0.2">
      <c r="A2" s="2888" t="s">
        <v>1856</v>
      </c>
      <c r="B2" s="2889"/>
      <c r="C2" s="2889"/>
      <c r="D2" s="2890"/>
      <c r="E2" s="1966" t="s">
        <v>2251</v>
      </c>
      <c r="F2" s="1967"/>
      <c r="G2" s="2885" t="s">
        <v>2253</v>
      </c>
      <c r="H2" s="2886"/>
      <c r="I2" s="2886"/>
      <c r="J2" s="2886"/>
      <c r="K2" s="2886"/>
      <c r="L2" s="2886"/>
      <c r="M2" s="2886"/>
      <c r="N2" s="2886"/>
      <c r="O2" s="2886"/>
      <c r="P2" s="2886"/>
      <c r="Q2" s="2886"/>
      <c r="R2" s="2887"/>
    </row>
    <row r="3" spans="1:18" ht="13.5" thickBot="1" x14ac:dyDescent="0.25">
      <c r="A3" s="45" t="str">
        <f>SP!A3</f>
        <v>2012/13</v>
      </c>
      <c r="B3" s="93" t="str">
        <f>SP!B3</f>
        <v>2013/14</v>
      </c>
      <c r="C3" s="370" t="str">
        <f>SP!C3</f>
        <v>2014/15</v>
      </c>
      <c r="D3" s="93" t="str">
        <f>SP!D3</f>
        <v>2015/16</v>
      </c>
      <c r="E3" s="659"/>
      <c r="F3" s="94"/>
      <c r="G3" s="2513" t="str">
        <f>SP!G3</f>
        <v>2016/17</v>
      </c>
      <c r="H3" s="2492" t="s">
        <v>501</v>
      </c>
      <c r="I3" s="370" t="str">
        <f>SP!I3</f>
        <v>2017/18</v>
      </c>
      <c r="J3" s="370" t="str">
        <f>SP!J3</f>
        <v>2018/19</v>
      </c>
      <c r="K3" s="370" t="str">
        <f>SP!K3</f>
        <v>2019/20</v>
      </c>
      <c r="L3" s="370" t="str">
        <f>SP!L3</f>
        <v>2020/21</v>
      </c>
      <c r="M3" s="370" t="str">
        <f>SP!M3</f>
        <v>2021/22</v>
      </c>
      <c r="N3" s="370" t="str">
        <f>SP!N3</f>
        <v>2022/23</v>
      </c>
      <c r="O3" s="370" t="str">
        <f>SP!O3</f>
        <v>2023/24</v>
      </c>
      <c r="P3" s="381" t="str">
        <f>SP!P3</f>
        <v>2024/25</v>
      </c>
      <c r="Q3" s="218" t="str">
        <f>SP!Q3</f>
        <v>2025/26</v>
      </c>
      <c r="R3" s="549" t="str">
        <f>SP!R3</f>
        <v>2026/27</v>
      </c>
    </row>
    <row r="4" spans="1:18" x14ac:dyDescent="0.2">
      <c r="A4" s="2494"/>
      <c r="B4" s="169"/>
      <c r="C4" s="33"/>
      <c r="D4" s="169"/>
      <c r="E4" s="660"/>
      <c r="F4" s="74"/>
      <c r="G4" s="169"/>
      <c r="H4" s="1707"/>
      <c r="I4" s="169"/>
      <c r="J4" s="169"/>
      <c r="K4" s="169"/>
      <c r="L4" s="169"/>
      <c r="M4" s="169"/>
      <c r="N4" s="169"/>
      <c r="O4" s="169"/>
      <c r="P4" s="142"/>
      <c r="Q4" s="33"/>
      <c r="R4" s="114"/>
    </row>
    <row r="5" spans="1:18" x14ac:dyDescent="0.2">
      <c r="A5" s="608"/>
      <c r="B5" s="150"/>
      <c r="C5" s="150"/>
      <c r="D5" s="150"/>
      <c r="E5" s="661" t="s">
        <v>1073</v>
      </c>
      <c r="F5" s="74"/>
      <c r="G5" s="33"/>
      <c r="H5" s="138"/>
      <c r="I5" s="33"/>
      <c r="J5" s="33"/>
      <c r="K5" s="33"/>
      <c r="L5" s="33"/>
      <c r="M5" s="33"/>
      <c r="N5" s="33"/>
      <c r="O5" s="33"/>
      <c r="P5" s="142"/>
      <c r="Q5" s="33"/>
      <c r="R5" s="114"/>
    </row>
    <row r="6" spans="1:18" x14ac:dyDescent="0.2">
      <c r="A6" s="608"/>
      <c r="B6" s="150"/>
      <c r="C6" s="150"/>
      <c r="D6" s="150"/>
      <c r="E6" s="660"/>
      <c r="F6" s="74"/>
      <c r="G6" s="33"/>
      <c r="H6" s="138"/>
      <c r="I6" s="33"/>
      <c r="J6" s="33"/>
      <c r="K6" s="33"/>
      <c r="L6" s="33"/>
      <c r="M6" s="33"/>
      <c r="N6" s="33"/>
      <c r="O6" s="33"/>
      <c r="P6" s="142"/>
      <c r="Q6" s="33"/>
      <c r="R6" s="114"/>
    </row>
    <row r="7" spans="1:18" x14ac:dyDescent="0.2">
      <c r="A7" s="608">
        <f>A56</f>
        <v>356000</v>
      </c>
      <c r="B7" s="150">
        <f>B56</f>
        <v>372200</v>
      </c>
      <c r="C7" s="150">
        <f>C56</f>
        <v>307900</v>
      </c>
      <c r="D7" s="150">
        <f>D56</f>
        <v>604000</v>
      </c>
      <c r="E7" s="662" t="str">
        <f>F465</f>
        <v>Development Services</v>
      </c>
      <c r="F7" s="99"/>
      <c r="G7" s="33">
        <f t="shared" ref="G7:L7" si="0">G56</f>
        <v>692000</v>
      </c>
      <c r="H7" s="138">
        <f>IF(D7=G7,0,IF(D7=0,100,(G7-D7)/D7*100))</f>
        <v>14.569536423841059</v>
      </c>
      <c r="I7" s="33">
        <f t="shared" si="0"/>
        <v>600000</v>
      </c>
      <c r="J7" s="33">
        <f t="shared" si="0"/>
        <v>613400</v>
      </c>
      <c r="K7" s="33">
        <f t="shared" si="0"/>
        <v>629400</v>
      </c>
      <c r="L7" s="33">
        <f t="shared" si="0"/>
        <v>645700</v>
      </c>
      <c r="M7" s="33">
        <f t="shared" ref="M7:R7" si="1">M56</f>
        <v>659000</v>
      </c>
      <c r="N7" s="33">
        <f t="shared" si="1"/>
        <v>672800</v>
      </c>
      <c r="O7" s="33">
        <f t="shared" si="1"/>
        <v>686700</v>
      </c>
      <c r="P7" s="142">
        <f t="shared" si="1"/>
        <v>701000</v>
      </c>
      <c r="Q7" s="33">
        <f t="shared" si="1"/>
        <v>715500</v>
      </c>
      <c r="R7" s="114">
        <f t="shared" si="1"/>
        <v>730300</v>
      </c>
    </row>
    <row r="8" spans="1:18" x14ac:dyDescent="0.2">
      <c r="A8" s="608">
        <f>A91</f>
        <v>598000</v>
      </c>
      <c r="B8" s="150">
        <f>B91</f>
        <v>893100</v>
      </c>
      <c r="C8" s="150">
        <f>C91</f>
        <v>1178900</v>
      </c>
      <c r="D8" s="150">
        <f>D91</f>
        <v>1425400</v>
      </c>
      <c r="E8" s="662" t="str">
        <f>F466</f>
        <v>Building Services</v>
      </c>
      <c r="F8" s="99"/>
      <c r="G8" s="33">
        <f t="shared" ref="G8:L8" si="2">G91</f>
        <v>1417500</v>
      </c>
      <c r="H8" s="138">
        <f>IF(D8=G8,0,IF(D8=0,100,(G8-D8)/D8*100))</f>
        <v>-0.55423039146906139</v>
      </c>
      <c r="I8" s="33">
        <f t="shared" si="2"/>
        <v>1281000</v>
      </c>
      <c r="J8" s="33">
        <f t="shared" si="2"/>
        <v>1314000</v>
      </c>
      <c r="K8" s="33">
        <f t="shared" si="2"/>
        <v>1347900</v>
      </c>
      <c r="L8" s="33">
        <f t="shared" si="2"/>
        <v>1382900</v>
      </c>
      <c r="M8" s="33">
        <f t="shared" ref="M8:R8" si="3">M91</f>
        <v>1411500</v>
      </c>
      <c r="N8" s="33">
        <f t="shared" si="3"/>
        <v>1440900</v>
      </c>
      <c r="O8" s="33">
        <f t="shared" si="3"/>
        <v>1470900</v>
      </c>
      <c r="P8" s="142">
        <f t="shared" si="3"/>
        <v>1501400</v>
      </c>
      <c r="Q8" s="33">
        <f t="shared" si="3"/>
        <v>1532600</v>
      </c>
      <c r="R8" s="114">
        <f t="shared" si="3"/>
        <v>1564300</v>
      </c>
    </row>
    <row r="9" spans="1:18" x14ac:dyDescent="0.2">
      <c r="A9" s="608">
        <f>A130</f>
        <v>188200</v>
      </c>
      <c r="B9" s="150">
        <f>B130</f>
        <v>184800</v>
      </c>
      <c r="C9" s="150">
        <f>C130</f>
        <v>238100</v>
      </c>
      <c r="D9" s="150">
        <f>D130</f>
        <v>262400</v>
      </c>
      <c r="E9" s="662" t="str">
        <f>F467</f>
        <v>Environmental and Public Health</v>
      </c>
      <c r="F9" s="99"/>
      <c r="G9" s="33">
        <f t="shared" ref="G9:L9" si="4">G130</f>
        <v>279300</v>
      </c>
      <c r="H9" s="138">
        <f>IF(D9=G9,0,IF(D9=0,100,(G9-D9)/D9*100))</f>
        <v>6.4405487804878048</v>
      </c>
      <c r="I9" s="33">
        <f t="shared" si="4"/>
        <v>280000</v>
      </c>
      <c r="J9" s="33">
        <f t="shared" si="4"/>
        <v>287700</v>
      </c>
      <c r="K9" s="33">
        <f t="shared" si="4"/>
        <v>295800</v>
      </c>
      <c r="L9" s="33">
        <f t="shared" si="4"/>
        <v>304000</v>
      </c>
      <c r="M9" s="33">
        <f t="shared" ref="M9:R9" si="5">M130</f>
        <v>310800</v>
      </c>
      <c r="N9" s="33">
        <f t="shared" si="5"/>
        <v>317900</v>
      </c>
      <c r="O9" s="33">
        <f t="shared" si="5"/>
        <v>325000</v>
      </c>
      <c r="P9" s="142">
        <f t="shared" si="5"/>
        <v>332200</v>
      </c>
      <c r="Q9" s="33">
        <f t="shared" si="5"/>
        <v>339600</v>
      </c>
      <c r="R9" s="114">
        <f t="shared" si="5"/>
        <v>347000</v>
      </c>
    </row>
    <row r="10" spans="1:18" x14ac:dyDescent="0.2">
      <c r="A10" s="608">
        <f>A178</f>
        <v>110600</v>
      </c>
      <c r="B10" s="150">
        <f>B178</f>
        <v>163400</v>
      </c>
      <c r="C10" s="150">
        <f>C178</f>
        <v>313900</v>
      </c>
      <c r="D10" s="150">
        <f>D178</f>
        <v>233100</v>
      </c>
      <c r="E10" s="662" t="str">
        <f>F468</f>
        <v>Administration and Public Order</v>
      </c>
      <c r="F10" s="99"/>
      <c r="G10" s="33">
        <f t="shared" ref="G10:O10" si="6">G178</f>
        <v>208500</v>
      </c>
      <c r="H10" s="138">
        <f>IF(D10=G10,0,IF(D10=0,100,(G10-D10)/D10*100))</f>
        <v>-10.553410553410554</v>
      </c>
      <c r="I10" s="33">
        <f t="shared" si="6"/>
        <v>210000</v>
      </c>
      <c r="J10" s="33">
        <f t="shared" si="6"/>
        <v>215800</v>
      </c>
      <c r="K10" s="33">
        <f t="shared" si="6"/>
        <v>221800</v>
      </c>
      <c r="L10" s="33">
        <f t="shared" si="6"/>
        <v>227900</v>
      </c>
      <c r="M10" s="33">
        <f t="shared" si="6"/>
        <v>233100</v>
      </c>
      <c r="N10" s="33">
        <f t="shared" si="6"/>
        <v>238300</v>
      </c>
      <c r="O10" s="33">
        <f t="shared" si="6"/>
        <v>243700</v>
      </c>
      <c r="P10" s="142">
        <f t="shared" ref="P10:Q10" si="7">P178</f>
        <v>249200</v>
      </c>
      <c r="Q10" s="33">
        <f t="shared" si="7"/>
        <v>254800</v>
      </c>
      <c r="R10" s="114">
        <f t="shared" ref="R10" si="8">R178</f>
        <v>260500</v>
      </c>
    </row>
    <row r="11" spans="1:18" ht="13.5" thickBot="1" x14ac:dyDescent="0.25">
      <c r="A11" s="2499"/>
      <c r="B11" s="150"/>
      <c r="C11" s="152"/>
      <c r="D11" s="150"/>
      <c r="E11" s="662"/>
      <c r="F11" s="142"/>
      <c r="G11" s="33"/>
      <c r="H11" s="138"/>
      <c r="I11" s="33"/>
      <c r="J11" s="33"/>
      <c r="K11" s="33"/>
      <c r="L11" s="33"/>
      <c r="M11" s="33"/>
      <c r="N11" s="33"/>
      <c r="O11" s="33"/>
      <c r="P11" s="142"/>
      <c r="Q11" s="33"/>
      <c r="R11" s="114"/>
    </row>
    <row r="12" spans="1:18" s="92" customFormat="1" x14ac:dyDescent="0.2">
      <c r="A12" s="610">
        <f>SUM(A5:A11)</f>
        <v>1252800</v>
      </c>
      <c r="B12" s="153">
        <f>SUM(B5:B11)</f>
        <v>1613500</v>
      </c>
      <c r="C12" s="154">
        <f>SUM(C5:C11)</f>
        <v>2038800</v>
      </c>
      <c r="D12" s="153">
        <f>SUM(D5:D11)</f>
        <v>2524900</v>
      </c>
      <c r="E12" s="2021" t="s">
        <v>2605</v>
      </c>
      <c r="F12" s="128"/>
      <c r="G12" s="53">
        <f t="shared" ref="G12:O12" si="9">SUM(G5:G11)</f>
        <v>2597300</v>
      </c>
      <c r="H12" s="180">
        <f>IF(D12=G12,0,IF(D12=0,100,(G12-D12)/D12*100))</f>
        <v>2.8674402946651352</v>
      </c>
      <c r="I12" s="53">
        <f t="shared" si="9"/>
        <v>2371000</v>
      </c>
      <c r="J12" s="53">
        <f t="shared" si="9"/>
        <v>2430900</v>
      </c>
      <c r="K12" s="53">
        <f t="shared" si="9"/>
        <v>2494900</v>
      </c>
      <c r="L12" s="53">
        <f t="shared" si="9"/>
        <v>2560500</v>
      </c>
      <c r="M12" s="53">
        <f t="shared" si="9"/>
        <v>2614400</v>
      </c>
      <c r="N12" s="53">
        <f t="shared" si="9"/>
        <v>2669900</v>
      </c>
      <c r="O12" s="53">
        <f t="shared" si="9"/>
        <v>2726300</v>
      </c>
      <c r="P12" s="155">
        <f t="shared" ref="P12:Q12" si="10">SUM(P5:P11)</f>
        <v>2783800</v>
      </c>
      <c r="Q12" s="53">
        <f t="shared" si="10"/>
        <v>2842500</v>
      </c>
      <c r="R12" s="113">
        <f t="shared" ref="R12" si="11">SUM(R5:R11)</f>
        <v>2902100</v>
      </c>
    </row>
    <row r="13" spans="1:18" x14ac:dyDescent="0.2">
      <c r="A13" s="608"/>
      <c r="B13" s="150"/>
      <c r="C13" s="152"/>
      <c r="D13" s="150"/>
      <c r="E13" s="662"/>
      <c r="F13" s="142"/>
      <c r="G13" s="33"/>
      <c r="H13" s="138"/>
      <c r="I13" s="33"/>
      <c r="J13" s="33"/>
      <c r="K13" s="33"/>
      <c r="L13" s="33"/>
      <c r="M13" s="33"/>
      <c r="N13" s="33"/>
      <c r="O13" s="33"/>
      <c r="P13" s="142"/>
      <c r="Q13" s="33"/>
      <c r="R13" s="114"/>
    </row>
    <row r="14" spans="1:18" x14ac:dyDescent="0.2">
      <c r="A14" s="608"/>
      <c r="B14" s="150"/>
      <c r="C14" s="152"/>
      <c r="D14" s="150"/>
      <c r="E14" s="661" t="s">
        <v>2205</v>
      </c>
      <c r="F14" s="142"/>
      <c r="G14" s="33"/>
      <c r="H14" s="138"/>
      <c r="I14" s="33"/>
      <c r="J14" s="33"/>
      <c r="K14" s="33"/>
      <c r="L14" s="33"/>
      <c r="M14" s="33"/>
      <c r="N14" s="33"/>
      <c r="O14" s="33"/>
      <c r="P14" s="142"/>
      <c r="Q14" s="33"/>
      <c r="R14" s="114"/>
    </row>
    <row r="15" spans="1:18" x14ac:dyDescent="0.2">
      <c r="A15" s="608"/>
      <c r="B15" s="150"/>
      <c r="C15" s="150"/>
      <c r="D15" s="150"/>
      <c r="E15" s="660"/>
      <c r="F15" s="128"/>
      <c r="G15" s="33"/>
      <c r="H15" s="138"/>
      <c r="I15" s="33"/>
      <c r="J15" s="33"/>
      <c r="K15" s="33"/>
      <c r="L15" s="33"/>
      <c r="M15" s="33"/>
      <c r="N15" s="33"/>
      <c r="O15" s="33"/>
      <c r="P15" s="142"/>
      <c r="Q15" s="33"/>
      <c r="R15" s="114"/>
    </row>
    <row r="16" spans="1:18" x14ac:dyDescent="0.2">
      <c r="A16" s="608">
        <f>A64</f>
        <v>1156000</v>
      </c>
      <c r="B16" s="150">
        <f>B64</f>
        <v>1077900</v>
      </c>
      <c r="C16" s="150">
        <f>C64</f>
        <v>1075600</v>
      </c>
      <c r="D16" s="150">
        <f>D64</f>
        <v>1084700</v>
      </c>
      <c r="E16" s="662" t="str">
        <f>E7</f>
        <v>Development Services</v>
      </c>
      <c r="F16" s="142"/>
      <c r="G16" s="33">
        <f t="shared" ref="G16:L16" si="12">G64</f>
        <v>1277500</v>
      </c>
      <c r="H16" s="138">
        <f>IF(D16=G16,0,IF(D16=0,100,(G16-D16)/D16*100))</f>
        <v>17.774499861712918</v>
      </c>
      <c r="I16" s="33">
        <f t="shared" si="12"/>
        <v>1273400</v>
      </c>
      <c r="J16" s="33">
        <f t="shared" si="12"/>
        <v>1301700</v>
      </c>
      <c r="K16" s="33">
        <f t="shared" si="12"/>
        <v>1330800</v>
      </c>
      <c r="L16" s="33">
        <f t="shared" si="12"/>
        <v>1360600</v>
      </c>
      <c r="M16" s="33">
        <f t="shared" ref="M16:R16" si="13">M64</f>
        <v>1390600</v>
      </c>
      <c r="N16" s="33">
        <f t="shared" si="13"/>
        <v>1421400</v>
      </c>
      <c r="O16" s="33">
        <f t="shared" si="13"/>
        <v>1452900</v>
      </c>
      <c r="P16" s="142">
        <f t="shared" si="13"/>
        <v>1485200</v>
      </c>
      <c r="Q16" s="33">
        <f t="shared" si="13"/>
        <v>1518200</v>
      </c>
      <c r="R16" s="114">
        <f t="shared" si="13"/>
        <v>1552100</v>
      </c>
    </row>
    <row r="17" spans="1:18" x14ac:dyDescent="0.2">
      <c r="A17" s="608">
        <f>A99</f>
        <v>776000</v>
      </c>
      <c r="B17" s="150">
        <f>B99</f>
        <v>728000</v>
      </c>
      <c r="C17" s="150">
        <f>C99</f>
        <v>708900</v>
      </c>
      <c r="D17" s="150">
        <f>D99</f>
        <v>835600</v>
      </c>
      <c r="E17" s="662" t="str">
        <f>E8</f>
        <v>Building Services</v>
      </c>
      <c r="F17" s="142"/>
      <c r="G17" s="33">
        <f t="shared" ref="G17:L17" si="14">G99</f>
        <v>965000</v>
      </c>
      <c r="H17" s="138">
        <f>IF(D17=G17,0,IF(D17=0,100,(G17-D17)/D17*100))</f>
        <v>15.485878410722833</v>
      </c>
      <c r="I17" s="33">
        <f t="shared" si="14"/>
        <v>883200</v>
      </c>
      <c r="J17" s="33">
        <f t="shared" si="14"/>
        <v>905200</v>
      </c>
      <c r="K17" s="33">
        <f t="shared" si="14"/>
        <v>927800</v>
      </c>
      <c r="L17" s="33">
        <f t="shared" si="14"/>
        <v>950900</v>
      </c>
      <c r="M17" s="33">
        <f t="shared" ref="M17:R17" si="15">M99</f>
        <v>974400</v>
      </c>
      <c r="N17" s="33">
        <f t="shared" si="15"/>
        <v>998400</v>
      </c>
      <c r="O17" s="33">
        <f t="shared" si="15"/>
        <v>1023000</v>
      </c>
      <c r="P17" s="142">
        <f t="shared" si="15"/>
        <v>1048200</v>
      </c>
      <c r="Q17" s="33">
        <f t="shared" si="15"/>
        <v>1073900</v>
      </c>
      <c r="R17" s="114">
        <f t="shared" si="15"/>
        <v>1100400</v>
      </c>
    </row>
    <row r="18" spans="1:18" x14ac:dyDescent="0.2">
      <c r="A18" s="608">
        <f>A148</f>
        <v>638000</v>
      </c>
      <c r="B18" s="150">
        <f>B148</f>
        <v>682400</v>
      </c>
      <c r="C18" s="150">
        <f>C148</f>
        <v>596800</v>
      </c>
      <c r="D18" s="150">
        <f>D148</f>
        <v>784400</v>
      </c>
      <c r="E18" s="662" t="str">
        <f>E9</f>
        <v>Environmental and Public Health</v>
      </c>
      <c r="F18" s="142"/>
      <c r="G18" s="33">
        <f t="shared" ref="G18:L18" si="16">G148</f>
        <v>853700</v>
      </c>
      <c r="H18" s="138">
        <f>IF(D18=G18,0,IF(D18=0,100,(G18-D18)/D18*100))</f>
        <v>8.8347781744008156</v>
      </c>
      <c r="I18" s="33">
        <f t="shared" si="16"/>
        <v>1169400</v>
      </c>
      <c r="J18" s="33">
        <f t="shared" si="16"/>
        <v>1199300</v>
      </c>
      <c r="K18" s="33">
        <f t="shared" si="16"/>
        <v>1229900</v>
      </c>
      <c r="L18" s="33">
        <f t="shared" si="16"/>
        <v>1261300</v>
      </c>
      <c r="M18" s="33">
        <f t="shared" ref="M18:R18" si="17">M148</f>
        <v>1292900</v>
      </c>
      <c r="N18" s="33">
        <f t="shared" si="17"/>
        <v>1325200</v>
      </c>
      <c r="O18" s="33">
        <f t="shared" si="17"/>
        <v>1358200</v>
      </c>
      <c r="P18" s="142">
        <f t="shared" si="17"/>
        <v>1391900</v>
      </c>
      <c r="Q18" s="33">
        <f t="shared" si="17"/>
        <v>1426500</v>
      </c>
      <c r="R18" s="114">
        <f t="shared" si="17"/>
        <v>1462000</v>
      </c>
    </row>
    <row r="19" spans="1:18" x14ac:dyDescent="0.2">
      <c r="A19" s="608">
        <f>A195</f>
        <v>1005000</v>
      </c>
      <c r="B19" s="150">
        <f>B195</f>
        <v>1080300</v>
      </c>
      <c r="C19" s="150">
        <f>C195</f>
        <v>1111000</v>
      </c>
      <c r="D19" s="150">
        <f>D195</f>
        <v>1176500</v>
      </c>
      <c r="E19" s="662" t="str">
        <f>E10</f>
        <v>Administration and Public Order</v>
      </c>
      <c r="F19" s="142"/>
      <c r="G19" s="33">
        <f t="shared" ref="G19:O19" si="18">G195</f>
        <v>1265100</v>
      </c>
      <c r="H19" s="138">
        <f>IF(D19=G19,0,IF(D19=0,100,(G19-D19)/D19*100))</f>
        <v>7.5308117297067572</v>
      </c>
      <c r="I19" s="33">
        <f t="shared" si="18"/>
        <v>1285600</v>
      </c>
      <c r="J19" s="33">
        <f t="shared" si="18"/>
        <v>1318300</v>
      </c>
      <c r="K19" s="33">
        <f t="shared" si="18"/>
        <v>1352000</v>
      </c>
      <c r="L19" s="33">
        <f t="shared" si="18"/>
        <v>1386700</v>
      </c>
      <c r="M19" s="33">
        <f t="shared" si="18"/>
        <v>1422000</v>
      </c>
      <c r="N19" s="33">
        <f t="shared" si="18"/>
        <v>1458200</v>
      </c>
      <c r="O19" s="33">
        <f t="shared" si="18"/>
        <v>1495200</v>
      </c>
      <c r="P19" s="142">
        <f t="shared" ref="P19:Q19" si="19">P195</f>
        <v>1533100</v>
      </c>
      <c r="Q19" s="33">
        <f t="shared" si="19"/>
        <v>1571900</v>
      </c>
      <c r="R19" s="114">
        <f t="shared" ref="R19" si="20">R195</f>
        <v>1611700</v>
      </c>
    </row>
    <row r="20" spans="1:18" ht="13.5" thickBot="1" x14ac:dyDescent="0.25">
      <c r="A20" s="2499"/>
      <c r="B20" s="574"/>
      <c r="C20" s="152"/>
      <c r="D20" s="150"/>
      <c r="E20" s="664"/>
      <c r="F20" s="142"/>
      <c r="G20" s="33"/>
      <c r="H20" s="138"/>
      <c r="I20" s="33"/>
      <c r="J20" s="33"/>
      <c r="K20" s="33"/>
      <c r="L20" s="33"/>
      <c r="M20" s="33"/>
      <c r="N20" s="33"/>
      <c r="O20" s="33"/>
      <c r="P20" s="142"/>
      <c r="Q20" s="33"/>
      <c r="R20" s="114"/>
    </row>
    <row r="21" spans="1:18" s="92" customFormat="1" x14ac:dyDescent="0.2">
      <c r="A21" s="610">
        <f>SUM(A14:A20)</f>
        <v>3575000</v>
      </c>
      <c r="B21" s="153">
        <f>SUM(B14:B20)</f>
        <v>3568600</v>
      </c>
      <c r="C21" s="154">
        <f>SUM(C14:C20)</f>
        <v>3492300</v>
      </c>
      <c r="D21" s="153">
        <f>SUM(D14:D20)</f>
        <v>3881200</v>
      </c>
      <c r="E21" s="663" t="s">
        <v>565</v>
      </c>
      <c r="F21" s="128"/>
      <c r="G21" s="53">
        <f t="shared" ref="G21:O21" si="21">SUM(G14:G20)</f>
        <v>4361300</v>
      </c>
      <c r="H21" s="180">
        <f>IF(D21=G21,0,IF(D21=0,100,(G21-D21)/D21*100))</f>
        <v>12.369885602391014</v>
      </c>
      <c r="I21" s="53">
        <f t="shared" si="21"/>
        <v>4611600</v>
      </c>
      <c r="J21" s="53">
        <f t="shared" si="21"/>
        <v>4724500</v>
      </c>
      <c r="K21" s="53">
        <f t="shared" si="21"/>
        <v>4840500</v>
      </c>
      <c r="L21" s="53">
        <f t="shared" si="21"/>
        <v>4959500</v>
      </c>
      <c r="M21" s="53">
        <f t="shared" si="21"/>
        <v>5079900</v>
      </c>
      <c r="N21" s="53">
        <f t="shared" si="21"/>
        <v>5203200</v>
      </c>
      <c r="O21" s="53">
        <f t="shared" si="21"/>
        <v>5329300</v>
      </c>
      <c r="P21" s="155">
        <f t="shared" ref="P21:Q21" si="22">SUM(P14:P20)</f>
        <v>5458400</v>
      </c>
      <c r="Q21" s="53">
        <f t="shared" si="22"/>
        <v>5590500</v>
      </c>
      <c r="R21" s="113">
        <f t="shared" ref="R21" si="23">SUM(R14:R20)</f>
        <v>5726200</v>
      </c>
    </row>
    <row r="22" spans="1:18" x14ac:dyDescent="0.2">
      <c r="A22" s="608"/>
      <c r="B22" s="150"/>
      <c r="C22" s="152"/>
      <c r="D22" s="150"/>
      <c r="E22" s="662"/>
      <c r="F22" s="142"/>
      <c r="G22" s="33"/>
      <c r="H22" s="138"/>
      <c r="I22" s="33"/>
      <c r="J22" s="33"/>
      <c r="K22" s="33"/>
      <c r="L22" s="33"/>
      <c r="M22" s="33"/>
      <c r="N22" s="33"/>
      <c r="O22" s="33"/>
      <c r="P22" s="142"/>
      <c r="Q22" s="33"/>
      <c r="R22" s="114"/>
    </row>
    <row r="23" spans="1:18" x14ac:dyDescent="0.2">
      <c r="A23" s="608"/>
      <c r="B23" s="150"/>
      <c r="C23" s="152"/>
      <c r="D23" s="150"/>
      <c r="E23" s="2004" t="s">
        <v>4723</v>
      </c>
      <c r="F23" s="1963"/>
      <c r="G23" s="33"/>
      <c r="H23" s="138"/>
      <c r="I23" s="33"/>
      <c r="J23" s="33"/>
      <c r="K23" s="33"/>
      <c r="L23" s="33"/>
      <c r="M23" s="33"/>
      <c r="N23" s="33"/>
      <c r="O23" s="33"/>
      <c r="P23" s="142"/>
      <c r="Q23" s="33"/>
      <c r="R23" s="114"/>
    </row>
    <row r="24" spans="1:18" x14ac:dyDescent="0.2">
      <c r="A24" s="608"/>
      <c r="B24" s="150"/>
      <c r="C24" s="150"/>
      <c r="D24" s="150"/>
      <c r="E24" s="660"/>
      <c r="F24" s="128"/>
      <c r="G24" s="33"/>
      <c r="H24" s="138"/>
      <c r="I24" s="33"/>
      <c r="J24" s="33"/>
      <c r="K24" s="33"/>
      <c r="L24" s="33"/>
      <c r="M24" s="33"/>
      <c r="N24" s="33"/>
      <c r="O24" s="33"/>
      <c r="P24" s="142"/>
      <c r="Q24" s="33"/>
      <c r="R24" s="114"/>
    </row>
    <row r="25" spans="1:18" x14ac:dyDescent="0.2">
      <c r="A25" s="608">
        <f t="shared" ref="A25:B25" si="24">A7-A16</f>
        <v>-800000</v>
      </c>
      <c r="B25" s="150">
        <f t="shared" si="24"/>
        <v>-705700</v>
      </c>
      <c r="C25" s="150">
        <f t="shared" ref="C25:C28" si="25">C7-C16</f>
        <v>-767700</v>
      </c>
      <c r="D25" s="150">
        <f t="shared" ref="D25:D28" si="26">D7-D16</f>
        <v>-480700</v>
      </c>
      <c r="E25" s="662" t="str">
        <f>E16</f>
        <v>Development Services</v>
      </c>
      <c r="F25" s="142"/>
      <c r="G25" s="33">
        <f t="shared" ref="G25:P25" si="27">G7-G16</f>
        <v>-585500</v>
      </c>
      <c r="H25" s="138">
        <f>IF(D25=G25,0,IF(D25=0,100,(G25-D25)/D25*100))</f>
        <v>21.801539421676722</v>
      </c>
      <c r="I25" s="33">
        <f t="shared" si="27"/>
        <v>-673400</v>
      </c>
      <c r="J25" s="33">
        <f t="shared" si="27"/>
        <v>-688300</v>
      </c>
      <c r="K25" s="33">
        <f t="shared" si="27"/>
        <v>-701400</v>
      </c>
      <c r="L25" s="33">
        <f t="shared" si="27"/>
        <v>-714900</v>
      </c>
      <c r="M25" s="33">
        <f t="shared" si="27"/>
        <v>-731600</v>
      </c>
      <c r="N25" s="33">
        <f t="shared" si="27"/>
        <v>-748600</v>
      </c>
      <c r="O25" s="33">
        <f t="shared" si="27"/>
        <v>-766200</v>
      </c>
      <c r="P25" s="142">
        <f t="shared" si="27"/>
        <v>-784200</v>
      </c>
      <c r="Q25" s="33">
        <f t="shared" ref="Q25" si="28">Q7-Q16</f>
        <v>-802700</v>
      </c>
      <c r="R25" s="114">
        <f t="shared" ref="R25" si="29">R7-R16</f>
        <v>-821800</v>
      </c>
    </row>
    <row r="26" spans="1:18" x14ac:dyDescent="0.2">
      <c r="A26" s="608">
        <f t="shared" ref="A26:B26" si="30">A8-A17</f>
        <v>-178000</v>
      </c>
      <c r="B26" s="150">
        <f t="shared" si="30"/>
        <v>165100</v>
      </c>
      <c r="C26" s="150">
        <f t="shared" si="25"/>
        <v>470000</v>
      </c>
      <c r="D26" s="150">
        <f t="shared" si="26"/>
        <v>589800</v>
      </c>
      <c r="E26" s="662" t="str">
        <f>E17</f>
        <v>Building Services</v>
      </c>
      <c r="F26" s="142"/>
      <c r="G26" s="33">
        <f t="shared" ref="G26:P26" si="31">G8-G17</f>
        <v>452500</v>
      </c>
      <c r="H26" s="138">
        <f>IF(D26=G26,0,IF(D26=0,100,(G26-D26)/D26*100))</f>
        <v>-23.279077653441846</v>
      </c>
      <c r="I26" s="33">
        <f t="shared" si="31"/>
        <v>397800</v>
      </c>
      <c r="J26" s="33">
        <f t="shared" si="31"/>
        <v>408800</v>
      </c>
      <c r="K26" s="33">
        <f t="shared" si="31"/>
        <v>420100</v>
      </c>
      <c r="L26" s="33">
        <f t="shared" si="31"/>
        <v>432000</v>
      </c>
      <c r="M26" s="33">
        <f t="shared" si="31"/>
        <v>437100</v>
      </c>
      <c r="N26" s="33">
        <f t="shared" si="31"/>
        <v>442500</v>
      </c>
      <c r="O26" s="33">
        <f t="shared" si="31"/>
        <v>447900</v>
      </c>
      <c r="P26" s="142">
        <f t="shared" si="31"/>
        <v>453200</v>
      </c>
      <c r="Q26" s="33">
        <f t="shared" ref="Q26" si="32">Q8-Q17</f>
        <v>458700</v>
      </c>
      <c r="R26" s="114">
        <f t="shared" ref="R26" si="33">R8-R17</f>
        <v>463900</v>
      </c>
    </row>
    <row r="27" spans="1:18" x14ac:dyDescent="0.2">
      <c r="A27" s="608">
        <f t="shared" ref="A27:B27" si="34">A9-A18</f>
        <v>-449800</v>
      </c>
      <c r="B27" s="150">
        <f t="shared" si="34"/>
        <v>-497600</v>
      </c>
      <c r="C27" s="150">
        <f t="shared" si="25"/>
        <v>-358700</v>
      </c>
      <c r="D27" s="150">
        <f t="shared" si="26"/>
        <v>-522000</v>
      </c>
      <c r="E27" s="662" t="str">
        <f>E18</f>
        <v>Environmental and Public Health</v>
      </c>
      <c r="F27" s="142"/>
      <c r="G27" s="33">
        <f t="shared" ref="G27:P27" si="35">G9-G18</f>
        <v>-574400</v>
      </c>
      <c r="H27" s="138">
        <f>IF(D27=G27,0,IF(D27=0,100,(G27-D27)/D27*100))</f>
        <v>10.038314176245212</v>
      </c>
      <c r="I27" s="33">
        <f t="shared" si="35"/>
        <v>-889400</v>
      </c>
      <c r="J27" s="33">
        <f t="shared" si="35"/>
        <v>-911600</v>
      </c>
      <c r="K27" s="33">
        <f t="shared" si="35"/>
        <v>-934100</v>
      </c>
      <c r="L27" s="33">
        <f t="shared" si="35"/>
        <v>-957300</v>
      </c>
      <c r="M27" s="33">
        <f t="shared" si="35"/>
        <v>-982100</v>
      </c>
      <c r="N27" s="33">
        <f t="shared" si="35"/>
        <v>-1007300</v>
      </c>
      <c r="O27" s="33">
        <f t="shared" si="35"/>
        <v>-1033200</v>
      </c>
      <c r="P27" s="142">
        <f t="shared" si="35"/>
        <v>-1059700</v>
      </c>
      <c r="Q27" s="33">
        <f t="shared" ref="Q27" si="36">Q9-Q18</f>
        <v>-1086900</v>
      </c>
      <c r="R27" s="114">
        <f t="shared" ref="R27" si="37">R9-R18</f>
        <v>-1115000</v>
      </c>
    </row>
    <row r="28" spans="1:18" x14ac:dyDescent="0.2">
      <c r="A28" s="608">
        <f t="shared" ref="A28:B28" si="38">A10-A19</f>
        <v>-894400</v>
      </c>
      <c r="B28" s="150">
        <f t="shared" si="38"/>
        <v>-916900</v>
      </c>
      <c r="C28" s="150">
        <f t="shared" si="25"/>
        <v>-797100</v>
      </c>
      <c r="D28" s="150">
        <f t="shared" si="26"/>
        <v>-943400</v>
      </c>
      <c r="E28" s="662" t="str">
        <f>E19</f>
        <v>Administration and Public Order</v>
      </c>
      <c r="F28" s="142"/>
      <c r="G28" s="33">
        <f t="shared" ref="G28:P28" si="39">G10-G19</f>
        <v>-1056600</v>
      </c>
      <c r="H28" s="138">
        <f>IF(D28=G28,0,IF(D28=0,100,(G28-D28)/D28*100))</f>
        <v>11.999152003391988</v>
      </c>
      <c r="I28" s="33">
        <f t="shared" si="39"/>
        <v>-1075600</v>
      </c>
      <c r="J28" s="33">
        <f t="shared" si="39"/>
        <v>-1102500</v>
      </c>
      <c r="K28" s="33">
        <f t="shared" si="39"/>
        <v>-1130200</v>
      </c>
      <c r="L28" s="33">
        <f t="shared" si="39"/>
        <v>-1158800</v>
      </c>
      <c r="M28" s="33">
        <f t="shared" si="39"/>
        <v>-1188900</v>
      </c>
      <c r="N28" s="33">
        <f t="shared" si="39"/>
        <v>-1219900</v>
      </c>
      <c r="O28" s="33">
        <f t="shared" si="39"/>
        <v>-1251500</v>
      </c>
      <c r="P28" s="142">
        <f t="shared" si="39"/>
        <v>-1283900</v>
      </c>
      <c r="Q28" s="33">
        <f t="shared" ref="Q28" si="40">Q10-Q19</f>
        <v>-1317100</v>
      </c>
      <c r="R28" s="114">
        <f t="shared" ref="R28" si="41">R10-R19</f>
        <v>-1351200</v>
      </c>
    </row>
    <row r="29" spans="1:18" ht="13.5" thickBot="1" x14ac:dyDescent="0.25">
      <c r="A29" s="611"/>
      <c r="B29" s="156"/>
      <c r="C29" s="156"/>
      <c r="D29" s="156"/>
      <c r="E29" s="662"/>
      <c r="F29" s="128"/>
      <c r="G29" s="33"/>
      <c r="H29" s="179"/>
      <c r="I29" s="33"/>
      <c r="J29" s="33"/>
      <c r="K29" s="33"/>
      <c r="L29" s="33"/>
      <c r="M29" s="33"/>
      <c r="N29" s="33"/>
      <c r="O29" s="33"/>
      <c r="P29" s="142"/>
      <c r="Q29" s="33"/>
      <c r="R29" s="114"/>
    </row>
    <row r="30" spans="1:18" x14ac:dyDescent="0.2">
      <c r="A30" s="610">
        <f>A12-A21</f>
        <v>-2322200</v>
      </c>
      <c r="B30" s="153">
        <f>B12-B21</f>
        <v>-1955100</v>
      </c>
      <c r="C30" s="154">
        <f>C12-C21</f>
        <v>-1453500</v>
      </c>
      <c r="D30" s="153">
        <f>D12-D21</f>
        <v>-1356300</v>
      </c>
      <c r="E30" s="1813" t="s">
        <v>4721</v>
      </c>
      <c r="F30" s="142"/>
      <c r="G30" s="53">
        <f t="shared" ref="G30:P30" si="42">G12-G21</f>
        <v>-1764000</v>
      </c>
      <c r="H30" s="180">
        <f>IF(D30=G30,0,IF(D30=0,100,(G30-D30)/D30*100))</f>
        <v>30.059721300597214</v>
      </c>
      <c r="I30" s="53">
        <f t="shared" si="42"/>
        <v>-2240600</v>
      </c>
      <c r="J30" s="53">
        <f t="shared" si="42"/>
        <v>-2293600</v>
      </c>
      <c r="K30" s="53">
        <f t="shared" si="42"/>
        <v>-2345600</v>
      </c>
      <c r="L30" s="53">
        <f t="shared" si="42"/>
        <v>-2399000</v>
      </c>
      <c r="M30" s="53">
        <f t="shared" si="42"/>
        <v>-2465500</v>
      </c>
      <c r="N30" s="53">
        <f t="shared" si="42"/>
        <v>-2533300</v>
      </c>
      <c r="O30" s="53">
        <f t="shared" si="42"/>
        <v>-2603000</v>
      </c>
      <c r="P30" s="155">
        <f t="shared" si="42"/>
        <v>-2674600</v>
      </c>
      <c r="Q30" s="53">
        <f t="shared" ref="Q30" si="43">Q12-Q21</f>
        <v>-2748000</v>
      </c>
      <c r="R30" s="113">
        <f t="shared" ref="R30" si="44">R12-R21</f>
        <v>-2824100</v>
      </c>
    </row>
    <row r="31" spans="1:18" x14ac:dyDescent="0.2">
      <c r="A31" s="608">
        <f>ROUND(A485,-3)</f>
        <v>5000</v>
      </c>
      <c r="B31" s="150">
        <f>B485</f>
        <v>9800</v>
      </c>
      <c r="C31" s="152">
        <f>C485</f>
        <v>4400</v>
      </c>
      <c r="D31" s="150">
        <f>D485</f>
        <v>4500</v>
      </c>
      <c r="E31" s="665" t="s">
        <v>1976</v>
      </c>
      <c r="F31" s="142"/>
      <c r="G31" s="33">
        <f t="shared" ref="G31:O31" si="45">G485</f>
        <v>4400</v>
      </c>
      <c r="H31" s="138">
        <f>IF(D31=G31,0,IF(D31=0,100,(G31-D31)/D31*100))</f>
        <v>-2.2222222222222223</v>
      </c>
      <c r="I31" s="33">
        <f t="shared" si="45"/>
        <v>4500</v>
      </c>
      <c r="J31" s="33">
        <f t="shared" si="45"/>
        <v>4600</v>
      </c>
      <c r="K31" s="33">
        <f t="shared" si="45"/>
        <v>4700</v>
      </c>
      <c r="L31" s="33">
        <f t="shared" si="45"/>
        <v>4800</v>
      </c>
      <c r="M31" s="33">
        <f t="shared" si="45"/>
        <v>4900</v>
      </c>
      <c r="N31" s="33">
        <f t="shared" si="45"/>
        <v>5000</v>
      </c>
      <c r="O31" s="33">
        <f t="shared" si="45"/>
        <v>5100</v>
      </c>
      <c r="P31" s="142">
        <f t="shared" ref="P31:Q31" si="46">P485</f>
        <v>5300</v>
      </c>
      <c r="Q31" s="33">
        <f t="shared" si="46"/>
        <v>5500</v>
      </c>
      <c r="R31" s="114">
        <f t="shared" ref="R31" si="47">R485</f>
        <v>5700</v>
      </c>
    </row>
    <row r="32" spans="1:18" s="92" customFormat="1" x14ac:dyDescent="0.2">
      <c r="A32" s="181">
        <f>A30+A31</f>
        <v>-2317200</v>
      </c>
      <c r="B32" s="397">
        <f>B30+B31</f>
        <v>-1945300</v>
      </c>
      <c r="C32" s="377">
        <f>C30+C31</f>
        <v>-1449100</v>
      </c>
      <c r="D32" s="397">
        <f>D30+D31</f>
        <v>-1351800</v>
      </c>
      <c r="E32" s="1814" t="s">
        <v>4724</v>
      </c>
      <c r="F32" s="377"/>
      <c r="G32" s="397">
        <f t="shared" ref="G32:O32" si="48">G30+G31</f>
        <v>-1759600</v>
      </c>
      <c r="H32" s="395">
        <f>IF(D32=G32,0,IF(D32=0,100,(G32-D32)/D32*100))</f>
        <v>30.167184494747744</v>
      </c>
      <c r="I32" s="397">
        <f t="shared" si="48"/>
        <v>-2236100</v>
      </c>
      <c r="J32" s="397">
        <f t="shared" si="48"/>
        <v>-2289000</v>
      </c>
      <c r="K32" s="397">
        <f t="shared" si="48"/>
        <v>-2340900</v>
      </c>
      <c r="L32" s="397">
        <f t="shared" si="48"/>
        <v>-2394200</v>
      </c>
      <c r="M32" s="397">
        <f t="shared" si="48"/>
        <v>-2460600</v>
      </c>
      <c r="N32" s="397">
        <f t="shared" si="48"/>
        <v>-2528300</v>
      </c>
      <c r="O32" s="397">
        <f t="shared" si="48"/>
        <v>-2597900</v>
      </c>
      <c r="P32" s="377">
        <f t="shared" ref="P32:Q32" si="49">P30+P31</f>
        <v>-2669300</v>
      </c>
      <c r="Q32" s="397">
        <f t="shared" si="49"/>
        <v>-2742500</v>
      </c>
      <c r="R32" s="399">
        <f t="shared" ref="R32" si="50">R30+R31</f>
        <v>-2818400</v>
      </c>
    </row>
    <row r="33" spans="1:18" ht="13.5" thickBot="1" x14ac:dyDescent="0.25">
      <c r="A33" s="708"/>
      <c r="B33" s="405"/>
      <c r="C33" s="405"/>
      <c r="D33" s="405"/>
      <c r="E33" s="667"/>
      <c r="F33" s="134"/>
      <c r="G33" s="66"/>
      <c r="H33" s="392"/>
      <c r="I33" s="121"/>
      <c r="J33" s="121"/>
      <c r="K33" s="121"/>
      <c r="L33" s="121"/>
      <c r="M33" s="121"/>
      <c r="N33" s="121"/>
      <c r="O33" s="121"/>
      <c r="P33" s="95"/>
      <c r="Q33" s="121"/>
      <c r="R33" s="161"/>
    </row>
    <row r="34" spans="1:18" ht="13.5" thickTop="1" x14ac:dyDescent="0.2">
      <c r="A34" s="383"/>
      <c r="B34" s="162"/>
      <c r="C34" s="122"/>
      <c r="D34" s="162"/>
      <c r="E34" s="668"/>
      <c r="F34" s="122"/>
      <c r="G34" s="127"/>
      <c r="H34" s="505"/>
      <c r="I34" s="127"/>
      <c r="J34" s="127"/>
      <c r="K34" s="127"/>
      <c r="L34" s="127"/>
      <c r="M34" s="127"/>
      <c r="N34" s="127"/>
      <c r="O34" s="127"/>
      <c r="P34" s="164"/>
      <c r="Q34" s="127"/>
      <c r="R34" s="163"/>
    </row>
    <row r="35" spans="1:18" x14ac:dyDescent="0.2">
      <c r="A35" s="70"/>
      <c r="B35" s="64"/>
      <c r="C35" s="128"/>
      <c r="D35" s="64"/>
      <c r="E35" s="669" t="s">
        <v>196</v>
      </c>
      <c r="F35" s="128"/>
      <c r="G35" s="33"/>
      <c r="H35" s="179"/>
      <c r="I35" s="33"/>
      <c r="J35" s="33"/>
      <c r="K35" s="33"/>
      <c r="L35" s="33"/>
      <c r="M35" s="33"/>
      <c r="N35" s="33"/>
      <c r="O35" s="33"/>
      <c r="P35" s="142"/>
      <c r="Q35" s="33"/>
      <c r="R35" s="114"/>
    </row>
    <row r="36" spans="1:18" x14ac:dyDescent="0.2">
      <c r="A36" s="70"/>
      <c r="B36" s="64"/>
      <c r="C36" s="128"/>
      <c r="D36" s="64"/>
      <c r="E36" s="670"/>
      <c r="F36" s="128"/>
      <c r="G36" s="33"/>
      <c r="H36" s="179"/>
      <c r="I36" s="33"/>
      <c r="J36" s="33"/>
      <c r="K36" s="33"/>
      <c r="L36" s="33"/>
      <c r="M36" s="33"/>
      <c r="N36" s="33"/>
      <c r="O36" s="33"/>
      <c r="P36" s="142"/>
      <c r="Q36" s="33"/>
      <c r="R36" s="114"/>
    </row>
    <row r="37" spans="1:18" x14ac:dyDescent="0.2">
      <c r="A37" s="107">
        <f>ROUND(A73+A108+A157+CIV!A557+A204,-3)</f>
        <v>6000</v>
      </c>
      <c r="B37" s="33">
        <f>B73+B108+B157+CIV!B557+B204</f>
        <v>6100</v>
      </c>
      <c r="C37" s="142">
        <f>C73+C108+C157+CIV!C557+C204</f>
        <v>6500</v>
      </c>
      <c r="D37" s="33">
        <f>D73+D108+D157+CIV!D557+D204</f>
        <v>6900</v>
      </c>
      <c r="E37" s="664" t="s">
        <v>2900</v>
      </c>
      <c r="F37" s="1982"/>
      <c r="G37" s="33">
        <f>G73+G108+G157+CIV!G557+G204</f>
        <v>7300</v>
      </c>
      <c r="H37" s="138"/>
      <c r="I37" s="33">
        <f>I73+I108+I157+CIV!I557+I204</f>
        <v>7800</v>
      </c>
      <c r="J37" s="33">
        <f>J73+J108+J157+CIV!J557+J204</f>
        <v>8300</v>
      </c>
      <c r="K37" s="33">
        <f>K73+K108+K157+CIV!K557+K204</f>
        <v>7300</v>
      </c>
      <c r="L37" s="33">
        <f>L73+L108+L157+CIV!L557+L204</f>
        <v>0</v>
      </c>
      <c r="M37" s="33">
        <f>M73+M108+M157+CIV!M557+M204</f>
        <v>0</v>
      </c>
      <c r="N37" s="33">
        <f>N73+N108+N157+CIV!N557+N204</f>
        <v>0</v>
      </c>
      <c r="O37" s="33">
        <f>O73+O108+O157+CIV!O557+O204</f>
        <v>0</v>
      </c>
      <c r="P37" s="142">
        <f>P73+P108+P157+CIV!P557+P204</f>
        <v>0</v>
      </c>
      <c r="Q37" s="33">
        <f>Q73+Q108+Q157+CIV!Q557+Q204</f>
        <v>0</v>
      </c>
      <c r="R37" s="114">
        <f>R73+R108+R157+CIV!R557+R204</f>
        <v>0</v>
      </c>
    </row>
    <row r="38" spans="1:18" x14ac:dyDescent="0.2">
      <c r="A38" s="107">
        <f>ROUND(A74+A109+A158++A205,-3)</f>
        <v>176000</v>
      </c>
      <c r="B38" s="33">
        <f t="shared" ref="B38:D41" si="51">B74+B109+B158+B205</f>
        <v>412300</v>
      </c>
      <c r="C38" s="142">
        <f t="shared" si="51"/>
        <v>44000</v>
      </c>
      <c r="D38" s="33">
        <f t="shared" si="51"/>
        <v>78000</v>
      </c>
      <c r="E38" s="671" t="s">
        <v>1942</v>
      </c>
      <c r="F38" s="1982"/>
      <c r="G38" s="33">
        <f>G74+G109+G158+G205</f>
        <v>100000</v>
      </c>
      <c r="H38" s="138"/>
      <c r="I38" s="33">
        <f t="shared" ref="I38:Q38" si="52">I74+I109+I158+I205</f>
        <v>0</v>
      </c>
      <c r="J38" s="33">
        <f t="shared" si="52"/>
        <v>0</v>
      </c>
      <c r="K38" s="33">
        <f t="shared" si="52"/>
        <v>0</v>
      </c>
      <c r="L38" s="33">
        <f t="shared" si="52"/>
        <v>0</v>
      </c>
      <c r="M38" s="33">
        <f t="shared" si="52"/>
        <v>0</v>
      </c>
      <c r="N38" s="33">
        <f t="shared" si="52"/>
        <v>0</v>
      </c>
      <c r="O38" s="33">
        <f t="shared" si="52"/>
        <v>0</v>
      </c>
      <c r="P38" s="142">
        <f t="shared" si="52"/>
        <v>0</v>
      </c>
      <c r="Q38" s="33">
        <f t="shared" si="52"/>
        <v>0</v>
      </c>
      <c r="R38" s="114">
        <f t="shared" ref="R38" si="53">R74+R109+R158+R205</f>
        <v>0</v>
      </c>
    </row>
    <row r="39" spans="1:18" x14ac:dyDescent="0.2">
      <c r="A39" s="107">
        <f>ROUND(A75+A110+A159+A206,-3)</f>
        <v>281000</v>
      </c>
      <c r="B39" s="33">
        <f t="shared" si="51"/>
        <v>885700</v>
      </c>
      <c r="C39" s="142">
        <f t="shared" si="51"/>
        <v>39300</v>
      </c>
      <c r="D39" s="33">
        <f t="shared" si="51"/>
        <v>54000</v>
      </c>
      <c r="E39" s="671" t="s">
        <v>2348</v>
      </c>
      <c r="F39" s="1982"/>
      <c r="G39" s="33">
        <f>G75+G110+G159+G206</f>
        <v>184700</v>
      </c>
      <c r="H39" s="138"/>
      <c r="I39" s="33">
        <f t="shared" ref="I39:Q39" si="54">I75+I110+I159+I206</f>
        <v>208000</v>
      </c>
      <c r="J39" s="33">
        <f t="shared" si="54"/>
        <v>0</v>
      </c>
      <c r="K39" s="33">
        <f t="shared" si="54"/>
        <v>0</v>
      </c>
      <c r="L39" s="33">
        <f t="shared" si="54"/>
        <v>0</v>
      </c>
      <c r="M39" s="33">
        <f t="shared" si="54"/>
        <v>0</v>
      </c>
      <c r="N39" s="33">
        <f t="shared" si="54"/>
        <v>0</v>
      </c>
      <c r="O39" s="33">
        <f t="shared" si="54"/>
        <v>0</v>
      </c>
      <c r="P39" s="142">
        <f t="shared" si="54"/>
        <v>0</v>
      </c>
      <c r="Q39" s="33">
        <f t="shared" si="54"/>
        <v>0</v>
      </c>
      <c r="R39" s="114">
        <f t="shared" ref="R39" si="55">R75+R110+R159+R206</f>
        <v>0</v>
      </c>
    </row>
    <row r="40" spans="1:18" x14ac:dyDescent="0.2">
      <c r="A40" s="107">
        <f>ROUND(A76+A111+A160+A207,-3)</f>
        <v>0</v>
      </c>
      <c r="B40" s="33">
        <f t="shared" si="51"/>
        <v>340000</v>
      </c>
      <c r="C40" s="142">
        <f t="shared" si="51"/>
        <v>0</v>
      </c>
      <c r="D40" s="33">
        <f t="shared" si="51"/>
        <v>0</v>
      </c>
      <c r="E40" s="1715" t="s">
        <v>5984</v>
      </c>
      <c r="F40" s="1982"/>
      <c r="G40" s="33">
        <f>G76+G111+G160+G207</f>
        <v>95000</v>
      </c>
      <c r="H40" s="138"/>
      <c r="I40" s="33">
        <f t="shared" ref="I40:Q40" si="56">I76+I111+I160+I207</f>
        <v>0</v>
      </c>
      <c r="J40" s="33">
        <f t="shared" si="56"/>
        <v>0</v>
      </c>
      <c r="K40" s="33">
        <f t="shared" si="56"/>
        <v>0</v>
      </c>
      <c r="L40" s="33">
        <f t="shared" si="56"/>
        <v>0</v>
      </c>
      <c r="M40" s="33">
        <f t="shared" si="56"/>
        <v>0</v>
      </c>
      <c r="N40" s="33">
        <f t="shared" si="56"/>
        <v>0</v>
      </c>
      <c r="O40" s="33">
        <f t="shared" si="56"/>
        <v>0</v>
      </c>
      <c r="P40" s="142">
        <f t="shared" si="56"/>
        <v>0</v>
      </c>
      <c r="Q40" s="33">
        <f t="shared" si="56"/>
        <v>0</v>
      </c>
      <c r="R40" s="114">
        <f t="shared" ref="R40" si="57">R76+R111+R160+R207</f>
        <v>0</v>
      </c>
    </row>
    <row r="41" spans="1:18" x14ac:dyDescent="0.2">
      <c r="A41" s="107">
        <f>ROUND(A77+A112+A161+A208,-3)</f>
        <v>142000</v>
      </c>
      <c r="B41" s="33">
        <f t="shared" si="51"/>
        <v>796900</v>
      </c>
      <c r="C41" s="142">
        <f t="shared" si="51"/>
        <v>22400</v>
      </c>
      <c r="D41" s="33">
        <f t="shared" si="51"/>
        <v>5100</v>
      </c>
      <c r="E41" s="671" t="s">
        <v>972</v>
      </c>
      <c r="F41" s="1982"/>
      <c r="G41" s="33">
        <f>G77+G112+G161+G208</f>
        <v>267000</v>
      </c>
      <c r="H41" s="138"/>
      <c r="I41" s="33">
        <f t="shared" ref="I41:Q41" si="58">I77+I112+I161+I208</f>
        <v>208000</v>
      </c>
      <c r="J41" s="33">
        <f t="shared" si="58"/>
        <v>0</v>
      </c>
      <c r="K41" s="33">
        <f t="shared" si="58"/>
        <v>0</v>
      </c>
      <c r="L41" s="33">
        <f t="shared" si="58"/>
        <v>0</v>
      </c>
      <c r="M41" s="33">
        <f t="shared" si="58"/>
        <v>0</v>
      </c>
      <c r="N41" s="33">
        <f t="shared" si="58"/>
        <v>0</v>
      </c>
      <c r="O41" s="33">
        <f t="shared" si="58"/>
        <v>0</v>
      </c>
      <c r="P41" s="142">
        <f t="shared" si="58"/>
        <v>0</v>
      </c>
      <c r="Q41" s="33">
        <f t="shared" si="58"/>
        <v>0</v>
      </c>
      <c r="R41" s="114">
        <f t="shared" ref="R41" si="59">R77+R112+R161+R208</f>
        <v>0</v>
      </c>
    </row>
    <row r="42" spans="1:18" x14ac:dyDescent="0.2">
      <c r="A42" s="107"/>
      <c r="B42" s="33"/>
      <c r="C42" s="142"/>
      <c r="D42" s="33"/>
      <c r="E42" s="669"/>
      <c r="F42" s="142"/>
      <c r="G42" s="33"/>
      <c r="H42" s="138"/>
      <c r="I42" s="33"/>
      <c r="J42" s="33"/>
      <c r="K42" s="33"/>
      <c r="L42" s="33"/>
      <c r="M42" s="33"/>
      <c r="N42" s="33"/>
      <c r="O42" s="33"/>
      <c r="P42" s="142"/>
      <c r="Q42" s="33"/>
      <c r="R42" s="114"/>
    </row>
    <row r="43" spans="1:18" s="92" customFormat="1" x14ac:dyDescent="0.2">
      <c r="A43" s="181">
        <f>A32-A37-A38+A39++A40-A41</f>
        <v>-2360200</v>
      </c>
      <c r="B43" s="397">
        <f>B32-B37-B38+B39++B40-B41</f>
        <v>-1934900</v>
      </c>
      <c r="C43" s="377">
        <f>C32-C37-C38+C39++C40-C41</f>
        <v>-1482700</v>
      </c>
      <c r="D43" s="397">
        <f>D32-D37-D38+D39++D40-D41</f>
        <v>-1387800</v>
      </c>
      <c r="E43" s="666" t="s">
        <v>2490</v>
      </c>
      <c r="F43" s="377"/>
      <c r="G43" s="397">
        <f t="shared" ref="G43:L43" si="60">G32-G37-G38+G39++G40-G41</f>
        <v>-1854200</v>
      </c>
      <c r="H43" s="395">
        <f>IF(D43=G43,0,IF(D43=0,100,(G43-D43)/D43*100))</f>
        <v>33.607148004035167</v>
      </c>
      <c r="I43" s="397">
        <f t="shared" si="60"/>
        <v>-2243900</v>
      </c>
      <c r="J43" s="397">
        <f t="shared" si="60"/>
        <v>-2297300</v>
      </c>
      <c r="K43" s="397">
        <f t="shared" si="60"/>
        <v>-2348200</v>
      </c>
      <c r="L43" s="397">
        <f t="shared" si="60"/>
        <v>-2394200</v>
      </c>
      <c r="M43" s="397">
        <f t="shared" ref="M43:R43" si="61">M32-M37-M38+M39++M40-M41</f>
        <v>-2460600</v>
      </c>
      <c r="N43" s="397">
        <f t="shared" si="61"/>
        <v>-2528300</v>
      </c>
      <c r="O43" s="397">
        <f t="shared" si="61"/>
        <v>-2597900</v>
      </c>
      <c r="P43" s="377">
        <f t="shared" si="61"/>
        <v>-2669300</v>
      </c>
      <c r="Q43" s="397">
        <f t="shared" si="61"/>
        <v>-2742500</v>
      </c>
      <c r="R43" s="399">
        <f t="shared" si="61"/>
        <v>-2818400</v>
      </c>
    </row>
    <row r="44" spans="1:18" ht="13.5" thickBot="1" x14ac:dyDescent="0.25">
      <c r="A44" s="73"/>
      <c r="B44" s="90"/>
      <c r="C44" s="134"/>
      <c r="D44" s="90"/>
      <c r="E44" s="667"/>
      <c r="F44" s="134"/>
      <c r="G44" s="835"/>
      <c r="H44" s="392"/>
      <c r="I44" s="66"/>
      <c r="J44" s="66"/>
      <c r="K44" s="66"/>
      <c r="L44" s="66"/>
      <c r="M44" s="66"/>
      <c r="N44" s="66"/>
      <c r="O44" s="66"/>
      <c r="P44" s="166"/>
      <c r="Q44" s="66"/>
      <c r="R44" s="165"/>
    </row>
    <row r="45" spans="1:18" s="99" customFormat="1" ht="14.25" thickTop="1" thickBot="1" x14ac:dyDescent="0.25">
      <c r="A45" s="74"/>
      <c r="B45" s="74"/>
      <c r="C45" s="655"/>
      <c r="D45" s="74"/>
      <c r="E45" s="670"/>
      <c r="F45" s="74"/>
      <c r="H45" s="2482"/>
    </row>
    <row r="46" spans="1:18" s="91" customFormat="1" ht="18.75" customHeight="1" thickTop="1" thickBot="1" x14ac:dyDescent="0.3">
      <c r="A46" s="2865" t="s">
        <v>1673</v>
      </c>
      <c r="B46" s="2866"/>
      <c r="C46" s="2866"/>
      <c r="D46" s="2866"/>
      <c r="E46" s="2866"/>
      <c r="F46" s="2866"/>
      <c r="G46" s="2866"/>
      <c r="H46" s="2866"/>
      <c r="I46" s="2866"/>
      <c r="J46" s="2866"/>
      <c r="K46" s="2866"/>
      <c r="L46" s="2866"/>
      <c r="M46" s="2866"/>
      <c r="N46" s="2866"/>
      <c r="O46" s="2866"/>
      <c r="P46" s="2866"/>
      <c r="Q46" s="2866"/>
      <c r="R46" s="2867"/>
    </row>
    <row r="47" spans="1:18" s="44" customFormat="1" x14ac:dyDescent="0.2">
      <c r="A47" s="2888" t="s">
        <v>1856</v>
      </c>
      <c r="B47" s="2889"/>
      <c r="C47" s="2889"/>
      <c r="D47" s="2890"/>
      <c r="E47" s="1998" t="s">
        <v>2663</v>
      </c>
      <c r="F47" s="2649" t="s">
        <v>2251</v>
      </c>
      <c r="G47" s="2885" t="s">
        <v>2253</v>
      </c>
      <c r="H47" s="2886"/>
      <c r="I47" s="2886"/>
      <c r="J47" s="2886"/>
      <c r="K47" s="2886"/>
      <c r="L47" s="2886"/>
      <c r="M47" s="2886"/>
      <c r="N47" s="2886"/>
      <c r="O47" s="2886"/>
      <c r="P47" s="2886"/>
      <c r="Q47" s="2886"/>
      <c r="R47" s="2887"/>
    </row>
    <row r="48" spans="1:18" s="23" customFormat="1" ht="13.5" thickBot="1" x14ac:dyDescent="0.25">
      <c r="A48" s="615" t="str">
        <f>SP!A3</f>
        <v>2012/13</v>
      </c>
      <c r="B48" s="370" t="str">
        <f>B3</f>
        <v>2013/14</v>
      </c>
      <c r="C48" s="370" t="str">
        <f>SP!C3</f>
        <v>2014/15</v>
      </c>
      <c r="D48" s="93" t="str">
        <f>SP!D3</f>
        <v>2015/16</v>
      </c>
      <c r="E48" s="672" t="s">
        <v>2664</v>
      </c>
      <c r="F48" s="42"/>
      <c r="G48" s="93" t="str">
        <f>SP!G3</f>
        <v>2016/17</v>
      </c>
      <c r="H48" s="2492" t="s">
        <v>501</v>
      </c>
      <c r="I48" s="370" t="str">
        <f>SP!I3</f>
        <v>2017/18</v>
      </c>
      <c r="J48" s="370" t="str">
        <f>SP!J3</f>
        <v>2018/19</v>
      </c>
      <c r="K48" s="370" t="str">
        <f>SP!K3</f>
        <v>2019/20</v>
      </c>
      <c r="L48" s="370" t="str">
        <f>SP!L3</f>
        <v>2020/21</v>
      </c>
      <c r="M48" s="370" t="str">
        <f>SP!M3</f>
        <v>2021/22</v>
      </c>
      <c r="N48" s="370" t="str">
        <f>SP!N3</f>
        <v>2022/23</v>
      </c>
      <c r="O48" s="370" t="str">
        <f>SP!O3</f>
        <v>2023/24</v>
      </c>
      <c r="P48" s="370" t="str">
        <f>SP!P3</f>
        <v>2024/25</v>
      </c>
      <c r="Q48" s="218" t="str">
        <f>SP!Q3</f>
        <v>2025/26</v>
      </c>
      <c r="R48" s="549" t="str">
        <f>SP!R3</f>
        <v>2026/27</v>
      </c>
    </row>
    <row r="49" spans="1:18" x14ac:dyDescent="0.2">
      <c r="A49" s="107"/>
      <c r="B49" s="33"/>
      <c r="C49" s="33"/>
      <c r="D49" s="33"/>
      <c r="E49" s="673"/>
      <c r="F49" s="99"/>
      <c r="G49" s="33"/>
      <c r="H49" s="138"/>
      <c r="I49" s="33"/>
      <c r="J49" s="33"/>
      <c r="K49" s="33"/>
      <c r="L49" s="33"/>
      <c r="M49" s="33"/>
      <c r="N49" s="33"/>
      <c r="O49" s="33"/>
      <c r="P49" s="33"/>
      <c r="Q49" s="33"/>
      <c r="R49" s="114"/>
    </row>
    <row r="50" spans="1:18" x14ac:dyDescent="0.2">
      <c r="A50" s="107"/>
      <c r="B50" s="33"/>
      <c r="C50" s="33"/>
      <c r="D50" s="33"/>
      <c r="E50" s="658"/>
      <c r="F50" s="144" t="s">
        <v>1073</v>
      </c>
      <c r="G50" s="33"/>
      <c r="H50" s="138"/>
      <c r="I50" s="33"/>
      <c r="J50" s="33"/>
      <c r="K50" s="33"/>
      <c r="L50" s="33"/>
      <c r="M50" s="33"/>
      <c r="N50" s="33"/>
      <c r="O50" s="33"/>
      <c r="P50" s="33"/>
      <c r="Q50" s="33"/>
      <c r="R50" s="114"/>
    </row>
    <row r="51" spans="1:18" x14ac:dyDescent="0.2">
      <c r="A51" s="107"/>
      <c r="B51" s="33"/>
      <c r="C51" s="33"/>
      <c r="D51" s="33"/>
      <c r="E51" s="658"/>
      <c r="F51" s="144"/>
      <c r="G51" s="33"/>
      <c r="H51" s="138"/>
      <c r="I51" s="33"/>
      <c r="J51" s="33"/>
      <c r="K51" s="33"/>
      <c r="L51" s="33"/>
      <c r="M51" s="33"/>
      <c r="N51" s="33"/>
      <c r="O51" s="33"/>
      <c r="P51" s="33"/>
      <c r="Q51" s="33"/>
      <c r="R51" s="114"/>
    </row>
    <row r="52" spans="1:18" x14ac:dyDescent="0.2">
      <c r="A52" s="107">
        <f>ROUND(SUM(A219:A231),-3)</f>
        <v>307000</v>
      </c>
      <c r="B52" s="33">
        <f>SUM(B219:B231)</f>
        <v>337500</v>
      </c>
      <c r="C52" s="33">
        <f>SUM(C219:C231)</f>
        <v>302800</v>
      </c>
      <c r="D52" s="33">
        <f>SUM(D219:D231)</f>
        <v>584300</v>
      </c>
      <c r="E52" s="240">
        <v>21000</v>
      </c>
      <c r="F52" s="78" t="s">
        <v>3101</v>
      </c>
      <c r="G52" s="33">
        <f t="shared" ref="G52:O52" si="62">SUM(G219:G231)</f>
        <v>622000</v>
      </c>
      <c r="H52" s="138">
        <f>IF(D52=G52,0,IF(D52=0,100,(G52-D52)/D52*100))</f>
        <v>6.4521649837412296</v>
      </c>
      <c r="I52" s="33">
        <f t="shared" si="62"/>
        <v>560000</v>
      </c>
      <c r="J52" s="33">
        <f t="shared" si="62"/>
        <v>572400</v>
      </c>
      <c r="K52" s="33">
        <f t="shared" si="62"/>
        <v>587300</v>
      </c>
      <c r="L52" s="33">
        <f t="shared" si="62"/>
        <v>602500</v>
      </c>
      <c r="M52" s="33">
        <f t="shared" si="62"/>
        <v>614900</v>
      </c>
      <c r="N52" s="33">
        <f t="shared" si="62"/>
        <v>627800</v>
      </c>
      <c r="O52" s="33">
        <f t="shared" si="62"/>
        <v>640800</v>
      </c>
      <c r="P52" s="33">
        <f t="shared" ref="P52:Q52" si="63">SUM(P219:P231)</f>
        <v>654100</v>
      </c>
      <c r="Q52" s="33">
        <f t="shared" si="63"/>
        <v>667600</v>
      </c>
      <c r="R52" s="114">
        <f t="shared" ref="R52" si="64">SUM(R219:R231)</f>
        <v>681400</v>
      </c>
    </row>
    <row r="53" spans="1:18" x14ac:dyDescent="0.2">
      <c r="A53" s="107">
        <f>ROUND(A233,-3)</f>
        <v>30000</v>
      </c>
      <c r="B53" s="33">
        <f>B233</f>
        <v>0</v>
      </c>
      <c r="C53" s="33">
        <f>C233</f>
        <v>0</v>
      </c>
      <c r="D53" s="33">
        <f>D233</f>
        <v>0</v>
      </c>
      <c r="E53" s="240">
        <v>21002</v>
      </c>
      <c r="F53" s="78" t="s">
        <v>687</v>
      </c>
      <c r="G53" s="33">
        <f t="shared" ref="G53:O53" si="65">G233</f>
        <v>0</v>
      </c>
      <c r="H53" s="138">
        <f>IF(D53=G53,0,IF(D53=0,100,(G53-D53)/D53*100))</f>
        <v>0</v>
      </c>
      <c r="I53" s="33">
        <f t="shared" si="65"/>
        <v>0</v>
      </c>
      <c r="J53" s="33">
        <f t="shared" si="65"/>
        <v>0</v>
      </c>
      <c r="K53" s="33">
        <f t="shared" si="65"/>
        <v>0</v>
      </c>
      <c r="L53" s="33">
        <f t="shared" si="65"/>
        <v>0</v>
      </c>
      <c r="M53" s="33">
        <f t="shared" si="65"/>
        <v>0</v>
      </c>
      <c r="N53" s="33">
        <f t="shared" si="65"/>
        <v>0</v>
      </c>
      <c r="O53" s="33">
        <f t="shared" si="65"/>
        <v>0</v>
      </c>
      <c r="P53" s="33">
        <f t="shared" ref="P53:Q53" si="66">P233</f>
        <v>0</v>
      </c>
      <c r="Q53" s="33">
        <f t="shared" si="66"/>
        <v>0</v>
      </c>
      <c r="R53" s="114">
        <f t="shared" ref="R53" si="67">R233</f>
        <v>0</v>
      </c>
    </row>
    <row r="54" spans="1:18" x14ac:dyDescent="0.2">
      <c r="A54" s="107">
        <f>ROUND(SUM(A235:A236),-3)</f>
        <v>19000</v>
      </c>
      <c r="B54" s="33">
        <f>SUM(B235:B236)</f>
        <v>34700</v>
      </c>
      <c r="C54" s="33">
        <f>SUM(C235:C236)</f>
        <v>5100</v>
      </c>
      <c r="D54" s="33">
        <f>SUM(D235:D236)</f>
        <v>19700</v>
      </c>
      <c r="E54" s="240">
        <v>21001</v>
      </c>
      <c r="F54" s="78" t="s">
        <v>3665</v>
      </c>
      <c r="G54" s="33">
        <f t="shared" ref="G54:O54" si="68">SUM(G235:G236)</f>
        <v>70000</v>
      </c>
      <c r="H54" s="138">
        <f>IF(D54=G54,0,IF(D54=0,100,(G54-D54)/D54*100))</f>
        <v>255.32994923857868</v>
      </c>
      <c r="I54" s="33">
        <f t="shared" si="68"/>
        <v>40000</v>
      </c>
      <c r="J54" s="33">
        <f t="shared" si="68"/>
        <v>41000</v>
      </c>
      <c r="K54" s="33">
        <f t="shared" si="68"/>
        <v>42100</v>
      </c>
      <c r="L54" s="33">
        <f t="shared" si="68"/>
        <v>43200</v>
      </c>
      <c r="M54" s="33">
        <f t="shared" si="68"/>
        <v>44100</v>
      </c>
      <c r="N54" s="33">
        <f t="shared" si="68"/>
        <v>45000</v>
      </c>
      <c r="O54" s="33">
        <f t="shared" si="68"/>
        <v>45900</v>
      </c>
      <c r="P54" s="33">
        <f t="shared" ref="P54:Q54" si="69">SUM(P235:P236)</f>
        <v>46900</v>
      </c>
      <c r="Q54" s="33">
        <f t="shared" si="69"/>
        <v>47900</v>
      </c>
      <c r="R54" s="114">
        <f t="shared" ref="R54" si="70">SUM(R235:R236)</f>
        <v>48900</v>
      </c>
    </row>
    <row r="55" spans="1:18" ht="13.5" thickBot="1" x14ac:dyDescent="0.25">
      <c r="A55" s="107"/>
      <c r="B55" s="33"/>
      <c r="C55" s="33"/>
      <c r="D55" s="33"/>
      <c r="E55" s="658"/>
      <c r="F55" s="99"/>
      <c r="G55" s="33"/>
      <c r="H55" s="138"/>
      <c r="I55" s="33"/>
      <c r="J55" s="33"/>
      <c r="K55" s="33"/>
      <c r="L55" s="33"/>
      <c r="M55" s="33"/>
      <c r="N55" s="33"/>
      <c r="O55" s="33"/>
      <c r="P55" s="33"/>
      <c r="Q55" s="33"/>
      <c r="R55" s="114"/>
    </row>
    <row r="56" spans="1:18" s="92" customFormat="1" x14ac:dyDescent="0.2">
      <c r="A56" s="105">
        <f>SUM(A52:A55)</f>
        <v>356000</v>
      </c>
      <c r="B56" s="53">
        <f>SUM(B52:B55)</f>
        <v>372200</v>
      </c>
      <c r="C56" s="53">
        <f>SUM(C52:C55)</f>
        <v>307900</v>
      </c>
      <c r="D56" s="53">
        <f>SUM(D52:D55)</f>
        <v>604000</v>
      </c>
      <c r="E56" s="690"/>
      <c r="F56" s="112" t="s">
        <v>2605</v>
      </c>
      <c r="G56" s="53">
        <f t="shared" ref="G56:O56" si="71">SUM(G52:G55)</f>
        <v>692000</v>
      </c>
      <c r="H56" s="180">
        <f>IF(E56=G56,0,IF(E56=0,100,(G56-E56)/E56*100))</f>
        <v>100</v>
      </c>
      <c r="I56" s="53">
        <f t="shared" si="71"/>
        <v>600000</v>
      </c>
      <c r="J56" s="53">
        <f t="shared" si="71"/>
        <v>613400</v>
      </c>
      <c r="K56" s="53">
        <f t="shared" si="71"/>
        <v>629400</v>
      </c>
      <c r="L56" s="53">
        <f t="shared" si="71"/>
        <v>645700</v>
      </c>
      <c r="M56" s="53">
        <f t="shared" si="71"/>
        <v>659000</v>
      </c>
      <c r="N56" s="53">
        <f t="shared" si="71"/>
        <v>672800</v>
      </c>
      <c r="O56" s="53">
        <f t="shared" si="71"/>
        <v>686700</v>
      </c>
      <c r="P56" s="53">
        <f t="shared" ref="P56:Q56" si="72">SUM(P52:P55)</f>
        <v>701000</v>
      </c>
      <c r="Q56" s="53">
        <f t="shared" si="72"/>
        <v>715500</v>
      </c>
      <c r="R56" s="113">
        <f t="shared" ref="R56" si="73">SUM(R52:R55)</f>
        <v>730300</v>
      </c>
    </row>
    <row r="57" spans="1:18" x14ac:dyDescent="0.2">
      <c r="A57" s="107"/>
      <c r="B57" s="33"/>
      <c r="C57" s="33"/>
      <c r="D57" s="33"/>
      <c r="E57" s="658"/>
      <c r="F57" s="99"/>
      <c r="G57" s="33"/>
      <c r="H57" s="138"/>
      <c r="I57" s="33"/>
      <c r="J57" s="33"/>
      <c r="K57" s="33"/>
      <c r="L57" s="33"/>
      <c r="M57" s="33"/>
      <c r="N57" s="33"/>
      <c r="O57" s="33"/>
      <c r="P57" s="33"/>
      <c r="Q57" s="33"/>
      <c r="R57" s="114"/>
    </row>
    <row r="58" spans="1:18" x14ac:dyDescent="0.2">
      <c r="A58" s="107"/>
      <c r="B58" s="33"/>
      <c r="C58" s="33"/>
      <c r="D58" s="33"/>
      <c r="E58" s="658"/>
      <c r="F58" s="144" t="s">
        <v>2205</v>
      </c>
      <c r="G58" s="33"/>
      <c r="H58" s="138"/>
      <c r="I58" s="33"/>
      <c r="J58" s="33"/>
      <c r="K58" s="33"/>
      <c r="L58" s="33"/>
      <c r="M58" s="33"/>
      <c r="N58" s="33"/>
      <c r="O58" s="33"/>
      <c r="P58" s="33"/>
      <c r="Q58" s="33"/>
      <c r="R58" s="114"/>
    </row>
    <row r="59" spans="1:18" x14ac:dyDescent="0.2">
      <c r="A59" s="107"/>
      <c r="B59" s="33"/>
      <c r="C59" s="33"/>
      <c r="D59" s="33"/>
      <c r="E59" s="658"/>
      <c r="F59" s="74"/>
      <c r="G59" s="33"/>
      <c r="H59" s="138"/>
      <c r="I59" s="33"/>
      <c r="J59" s="33"/>
      <c r="K59" s="33"/>
      <c r="L59" s="33"/>
      <c r="M59" s="33"/>
      <c r="N59" s="33"/>
      <c r="O59" s="33"/>
      <c r="P59" s="33"/>
      <c r="Q59" s="33"/>
      <c r="R59" s="114"/>
    </row>
    <row r="60" spans="1:18" x14ac:dyDescent="0.2">
      <c r="A60" s="107">
        <f>ROUND(SUM(A242:A246),-3)</f>
        <v>1045000</v>
      </c>
      <c r="B60" s="33">
        <f>SUM(B242:B246)</f>
        <v>913200</v>
      </c>
      <c r="C60" s="33">
        <f>SUM(C242:C246)</f>
        <v>919200</v>
      </c>
      <c r="D60" s="33">
        <f>SUM(D242:D246)</f>
        <v>965500</v>
      </c>
      <c r="E60" s="240">
        <v>31000</v>
      </c>
      <c r="F60" s="99" t="s">
        <v>1249</v>
      </c>
      <c r="G60" s="33">
        <f t="shared" ref="G60:O60" si="74">SUM(G242:G246)</f>
        <v>1057500</v>
      </c>
      <c r="H60" s="138">
        <f>IF(D60=G60,0,IF(D60=0,100,(G60-D60)/D60*100))</f>
        <v>9.5287415846711543</v>
      </c>
      <c r="I60" s="33">
        <f t="shared" si="74"/>
        <v>1078400</v>
      </c>
      <c r="J60" s="33">
        <f t="shared" si="74"/>
        <v>1105500</v>
      </c>
      <c r="K60" s="33">
        <f t="shared" si="74"/>
        <v>1133300</v>
      </c>
      <c r="L60" s="33">
        <f t="shared" si="74"/>
        <v>1161800</v>
      </c>
      <c r="M60" s="33">
        <f t="shared" si="74"/>
        <v>1190600</v>
      </c>
      <c r="N60" s="33">
        <f t="shared" si="74"/>
        <v>1220200</v>
      </c>
      <c r="O60" s="33">
        <f t="shared" si="74"/>
        <v>1250500</v>
      </c>
      <c r="P60" s="33">
        <f t="shared" ref="P60:Q60" si="75">SUM(P242:P246)</f>
        <v>1281600</v>
      </c>
      <c r="Q60" s="33">
        <f t="shared" si="75"/>
        <v>1313400</v>
      </c>
      <c r="R60" s="114">
        <f t="shared" ref="R60" si="76">SUM(R242:R246)</f>
        <v>1346100</v>
      </c>
    </row>
    <row r="61" spans="1:18" x14ac:dyDescent="0.2">
      <c r="A61" s="107">
        <f>ROUND(SUM(A247:A252),-3)</f>
        <v>53000</v>
      </c>
      <c r="B61" s="33">
        <f>SUM(B247:B252)</f>
        <v>64600</v>
      </c>
      <c r="C61" s="33">
        <f>SUM(C247:C252)</f>
        <v>53400</v>
      </c>
      <c r="D61" s="33">
        <f>SUM(D247:D252)</f>
        <v>69700</v>
      </c>
      <c r="E61" s="240">
        <v>31000</v>
      </c>
      <c r="F61" s="78" t="s">
        <v>4820</v>
      </c>
      <c r="G61" s="33">
        <f t="shared" ref="G61:P61" si="77">SUM(G247:G252)</f>
        <v>70000</v>
      </c>
      <c r="H61" s="138">
        <f>IF(D61=G61,0,IF(D61=0,100,(G61-D61)/D61*100))</f>
        <v>0.43041606886657102</v>
      </c>
      <c r="I61" s="33">
        <f t="shared" si="77"/>
        <v>45000</v>
      </c>
      <c r="J61" s="33">
        <f t="shared" si="77"/>
        <v>46200</v>
      </c>
      <c r="K61" s="33">
        <f t="shared" si="77"/>
        <v>47500</v>
      </c>
      <c r="L61" s="33">
        <f t="shared" si="77"/>
        <v>48800</v>
      </c>
      <c r="M61" s="33">
        <f t="shared" si="77"/>
        <v>50000</v>
      </c>
      <c r="N61" s="33">
        <f t="shared" si="77"/>
        <v>51200</v>
      </c>
      <c r="O61" s="33">
        <f t="shared" si="77"/>
        <v>52400</v>
      </c>
      <c r="P61" s="33">
        <f t="shared" si="77"/>
        <v>53600</v>
      </c>
      <c r="Q61" s="33">
        <f t="shared" ref="Q61" si="78">SUM(Q247:Q252)</f>
        <v>54800</v>
      </c>
      <c r="R61" s="114">
        <f t="shared" ref="R61" si="79">SUM(R247:R252)</f>
        <v>56000</v>
      </c>
    </row>
    <row r="62" spans="1:18" x14ac:dyDescent="0.2">
      <c r="A62" s="107">
        <f>ROUND(SUM(A253:A254),-3)</f>
        <v>58000</v>
      </c>
      <c r="B62" s="33">
        <f>SUM(B253:B254)</f>
        <v>100100</v>
      </c>
      <c r="C62" s="33">
        <f>SUM(C253:C254)</f>
        <v>103000</v>
      </c>
      <c r="D62" s="33">
        <f>SUM(D253:D254)</f>
        <v>49500</v>
      </c>
      <c r="E62" s="240">
        <v>31000</v>
      </c>
      <c r="F62" s="99" t="s">
        <v>154</v>
      </c>
      <c r="G62" s="33">
        <f t="shared" ref="G62:O62" si="80">SUM(G253:G254)</f>
        <v>150000</v>
      </c>
      <c r="H62" s="138">
        <f>IF(D62=G62,0,IF(D62=0,100,(G62-D62)/D62*100))</f>
        <v>203.03030303030303</v>
      </c>
      <c r="I62" s="33">
        <f t="shared" si="80"/>
        <v>150000</v>
      </c>
      <c r="J62" s="33">
        <f t="shared" si="80"/>
        <v>150000</v>
      </c>
      <c r="K62" s="33">
        <f t="shared" si="80"/>
        <v>150000</v>
      </c>
      <c r="L62" s="33">
        <f t="shared" si="80"/>
        <v>150000</v>
      </c>
      <c r="M62" s="33">
        <f t="shared" si="80"/>
        <v>150000</v>
      </c>
      <c r="N62" s="33">
        <f t="shared" si="80"/>
        <v>150000</v>
      </c>
      <c r="O62" s="33">
        <f t="shared" si="80"/>
        <v>150000</v>
      </c>
      <c r="P62" s="33">
        <f t="shared" ref="P62:Q62" si="81">SUM(P253:P254)</f>
        <v>150000</v>
      </c>
      <c r="Q62" s="33">
        <f t="shared" si="81"/>
        <v>150000</v>
      </c>
      <c r="R62" s="114">
        <f t="shared" ref="R62" si="82">SUM(R253:R254)</f>
        <v>150000</v>
      </c>
    </row>
    <row r="63" spans="1:18" ht="13.5" thickBot="1" x14ac:dyDescent="0.25">
      <c r="A63" s="107"/>
      <c r="B63" s="33"/>
      <c r="C63" s="33"/>
      <c r="D63" s="33"/>
      <c r="E63" s="658"/>
      <c r="F63" s="99"/>
      <c r="G63" s="33"/>
      <c r="H63" s="138"/>
      <c r="I63" s="33"/>
      <c r="J63" s="33"/>
      <c r="K63" s="33"/>
      <c r="L63" s="33"/>
      <c r="M63" s="33"/>
      <c r="N63" s="33"/>
      <c r="O63" s="33"/>
      <c r="P63" s="33"/>
      <c r="Q63" s="33"/>
      <c r="R63" s="114"/>
    </row>
    <row r="64" spans="1:18" s="92" customFormat="1" x14ac:dyDescent="0.2">
      <c r="A64" s="105">
        <f>SUM(A59:A63)</f>
        <v>1156000</v>
      </c>
      <c r="B64" s="53">
        <f>SUM(B59:B63)</f>
        <v>1077900</v>
      </c>
      <c r="C64" s="53">
        <f>SUM(C59:C63)</f>
        <v>1075600</v>
      </c>
      <c r="D64" s="53">
        <f>SUM(D59:D63)</f>
        <v>1084700</v>
      </c>
      <c r="E64" s="674"/>
      <c r="F64" s="112" t="s">
        <v>565</v>
      </c>
      <c r="G64" s="53">
        <f>SUM(G59:G63)</f>
        <v>1277500</v>
      </c>
      <c r="H64" s="180">
        <f>IF(D64=G64,0,IF(D64=0,100,(G64-D64)/D64*100))</f>
        <v>17.774499861712918</v>
      </c>
      <c r="I64" s="53">
        <f t="shared" ref="I64:R64" si="83">SUM(I59:I63)</f>
        <v>1273400</v>
      </c>
      <c r="J64" s="53">
        <f t="shared" si="83"/>
        <v>1301700</v>
      </c>
      <c r="K64" s="53">
        <f t="shared" si="83"/>
        <v>1330800</v>
      </c>
      <c r="L64" s="53">
        <f t="shared" si="83"/>
        <v>1360600</v>
      </c>
      <c r="M64" s="53">
        <f t="shared" si="83"/>
        <v>1390600</v>
      </c>
      <c r="N64" s="53">
        <f t="shared" si="83"/>
        <v>1421400</v>
      </c>
      <c r="O64" s="53">
        <f t="shared" si="83"/>
        <v>1452900</v>
      </c>
      <c r="P64" s="53">
        <f t="shared" si="83"/>
        <v>1485200</v>
      </c>
      <c r="Q64" s="53">
        <f t="shared" si="83"/>
        <v>1518200</v>
      </c>
      <c r="R64" s="113">
        <f t="shared" si="83"/>
        <v>1552100</v>
      </c>
    </row>
    <row r="65" spans="1:18" x14ac:dyDescent="0.2">
      <c r="A65" s="107"/>
      <c r="B65" s="33"/>
      <c r="C65" s="33"/>
      <c r="D65" s="33"/>
      <c r="E65" s="673"/>
      <c r="F65" s="108"/>
      <c r="G65" s="33"/>
      <c r="H65" s="138"/>
      <c r="I65" s="33"/>
      <c r="J65" s="33"/>
      <c r="K65" s="33"/>
      <c r="L65" s="33"/>
      <c r="M65" s="33"/>
      <c r="N65" s="33"/>
      <c r="O65" s="33"/>
      <c r="P65" s="33"/>
      <c r="Q65" s="33"/>
      <c r="R65" s="114"/>
    </row>
    <row r="66" spans="1:18" s="92" customFormat="1" x14ac:dyDescent="0.2">
      <c r="A66" s="70">
        <f>A56-A64</f>
        <v>-800000</v>
      </c>
      <c r="B66" s="64">
        <f>B56-B64</f>
        <v>-705700</v>
      </c>
      <c r="C66" s="64">
        <f>C56-C64</f>
        <v>-767700</v>
      </c>
      <c r="D66" s="64">
        <f>D56-D64</f>
        <v>-480700</v>
      </c>
      <c r="E66" s="674"/>
      <c r="F66" s="516" t="s">
        <v>1019</v>
      </c>
      <c r="G66" s="64">
        <f>G56-G64</f>
        <v>-585500</v>
      </c>
      <c r="H66" s="179">
        <f>IF(D66=G66,0,IF(D66=0,100,(G66-D66)/D66*100))</f>
        <v>21.801539421676722</v>
      </c>
      <c r="I66" s="64">
        <f t="shared" ref="I66:R66" si="84">I56-I64</f>
        <v>-673400</v>
      </c>
      <c r="J66" s="64">
        <f t="shared" si="84"/>
        <v>-688300</v>
      </c>
      <c r="K66" s="64">
        <f t="shared" si="84"/>
        <v>-701400</v>
      </c>
      <c r="L66" s="64">
        <f t="shared" si="84"/>
        <v>-714900</v>
      </c>
      <c r="M66" s="64">
        <f t="shared" si="84"/>
        <v>-731600</v>
      </c>
      <c r="N66" s="64">
        <f t="shared" si="84"/>
        <v>-748600</v>
      </c>
      <c r="O66" s="64">
        <f t="shared" si="84"/>
        <v>-766200</v>
      </c>
      <c r="P66" s="64">
        <f t="shared" si="84"/>
        <v>-784200</v>
      </c>
      <c r="Q66" s="64">
        <f t="shared" si="84"/>
        <v>-802700</v>
      </c>
      <c r="R66" s="115">
        <f t="shared" si="84"/>
        <v>-821800</v>
      </c>
    </row>
    <row r="67" spans="1:18" x14ac:dyDescent="0.2">
      <c r="A67" s="107">
        <v>0</v>
      </c>
      <c r="B67" s="33">
        <v>0</v>
      </c>
      <c r="C67" s="33">
        <v>0</v>
      </c>
      <c r="D67" s="33">
        <v>0</v>
      </c>
      <c r="E67" s="673"/>
      <c r="F67" s="372" t="s">
        <v>1976</v>
      </c>
      <c r="G67" s="33">
        <v>0</v>
      </c>
      <c r="H67" s="19">
        <f>IF(D67=G67,0,IF(D67=0,100,(G67-D67)/D67*100))</f>
        <v>0</v>
      </c>
      <c r="I67" s="33">
        <v>0</v>
      </c>
      <c r="J67" s="33">
        <v>0</v>
      </c>
      <c r="K67" s="33">
        <v>0</v>
      </c>
      <c r="L67" s="33">
        <v>0</v>
      </c>
      <c r="M67" s="33">
        <v>0</v>
      </c>
      <c r="N67" s="33">
        <v>0</v>
      </c>
      <c r="O67" s="33">
        <v>0</v>
      </c>
      <c r="P67" s="33">
        <v>0</v>
      </c>
      <c r="Q67" s="33">
        <v>0</v>
      </c>
      <c r="R67" s="114">
        <v>0</v>
      </c>
    </row>
    <row r="68" spans="1:18" s="92" customFormat="1" x14ac:dyDescent="0.2">
      <c r="A68" s="181">
        <f>A66+A67</f>
        <v>-800000</v>
      </c>
      <c r="B68" s="397">
        <f>B66+B67</f>
        <v>-705700</v>
      </c>
      <c r="C68" s="397">
        <f>C66+C67</f>
        <v>-767700</v>
      </c>
      <c r="D68" s="397">
        <f>D66+D67</f>
        <v>-480700</v>
      </c>
      <c r="E68" s="675"/>
      <c r="F68" s="518" t="s">
        <v>1687</v>
      </c>
      <c r="G68" s="397">
        <f t="shared" ref="G68:O68" si="85">G66+G67</f>
        <v>-585500</v>
      </c>
      <c r="H68" s="395">
        <f>IF(D68=G68,0,IF(D68=0,100,(G68-D68)/D68*100))</f>
        <v>21.801539421676722</v>
      </c>
      <c r="I68" s="397">
        <f t="shared" si="85"/>
        <v>-673400</v>
      </c>
      <c r="J68" s="397">
        <f t="shared" si="85"/>
        <v>-688300</v>
      </c>
      <c r="K68" s="397">
        <f t="shared" si="85"/>
        <v>-701400</v>
      </c>
      <c r="L68" s="397">
        <f t="shared" si="85"/>
        <v>-714900</v>
      </c>
      <c r="M68" s="397">
        <f t="shared" si="85"/>
        <v>-731600</v>
      </c>
      <c r="N68" s="397">
        <f t="shared" si="85"/>
        <v>-748600</v>
      </c>
      <c r="O68" s="397">
        <f t="shared" si="85"/>
        <v>-766200</v>
      </c>
      <c r="P68" s="397">
        <f t="shared" ref="P68:Q68" si="86">P66+P67</f>
        <v>-784200</v>
      </c>
      <c r="Q68" s="397">
        <f t="shared" si="86"/>
        <v>-802700</v>
      </c>
      <c r="R68" s="399">
        <f t="shared" ref="R68" si="87">R66+R67</f>
        <v>-821800</v>
      </c>
    </row>
    <row r="69" spans="1:18" ht="13.5" thickBot="1" x14ac:dyDescent="0.25">
      <c r="A69" s="171"/>
      <c r="B69" s="66"/>
      <c r="C69" s="66"/>
      <c r="D69" s="66"/>
      <c r="E69" s="676"/>
      <c r="F69" s="524"/>
      <c r="G69" s="66"/>
      <c r="H69" s="140"/>
      <c r="I69" s="121"/>
      <c r="J69" s="121"/>
      <c r="K69" s="121"/>
      <c r="L69" s="121"/>
      <c r="M69" s="121"/>
      <c r="N69" s="121"/>
      <c r="O69" s="121"/>
      <c r="P69" s="121"/>
      <c r="Q69" s="121"/>
      <c r="R69" s="161"/>
    </row>
    <row r="70" spans="1:18" ht="13.5" thickTop="1" x14ac:dyDescent="0.2">
      <c r="A70" s="383"/>
      <c r="B70" s="162"/>
      <c r="C70" s="162"/>
      <c r="D70" s="162"/>
      <c r="E70" s="677"/>
      <c r="F70" s="367"/>
      <c r="G70" s="162"/>
      <c r="H70" s="505"/>
      <c r="I70" s="127"/>
      <c r="J70" s="127"/>
      <c r="K70" s="127"/>
      <c r="L70" s="127"/>
      <c r="M70" s="127"/>
      <c r="N70" s="127"/>
      <c r="O70" s="127"/>
      <c r="P70" s="127"/>
      <c r="Q70" s="127"/>
      <c r="R70" s="163"/>
    </row>
    <row r="71" spans="1:18" x14ac:dyDescent="0.2">
      <c r="A71" s="70"/>
      <c r="B71" s="64"/>
      <c r="C71" s="64"/>
      <c r="D71" s="64"/>
      <c r="E71" s="657"/>
      <c r="F71" s="516" t="s">
        <v>196</v>
      </c>
      <c r="G71" s="64"/>
      <c r="H71" s="179"/>
      <c r="I71" s="33"/>
      <c r="J71" s="33"/>
      <c r="K71" s="33"/>
      <c r="L71" s="33"/>
      <c r="M71" s="33"/>
      <c r="N71" s="33"/>
      <c r="O71" s="33"/>
      <c r="P71" s="33"/>
      <c r="Q71" s="33"/>
      <c r="R71" s="114"/>
    </row>
    <row r="72" spans="1:18" x14ac:dyDescent="0.2">
      <c r="A72" s="70"/>
      <c r="B72" s="64"/>
      <c r="C72" s="64"/>
      <c r="D72" s="64"/>
      <c r="E72" s="657"/>
      <c r="F72" s="371"/>
      <c r="G72" s="64"/>
      <c r="H72" s="179"/>
      <c r="I72" s="33"/>
      <c r="J72" s="33"/>
      <c r="K72" s="33"/>
      <c r="L72" s="33"/>
      <c r="M72" s="33"/>
      <c r="N72" s="33"/>
      <c r="O72" s="33"/>
      <c r="P72" s="33"/>
      <c r="Q72" s="33"/>
      <c r="R72" s="114"/>
    </row>
    <row r="73" spans="1:18" x14ac:dyDescent="0.2">
      <c r="A73" s="107">
        <f t="shared" ref="A73:A77" si="88">ROUND(A265,-3)</f>
        <v>0</v>
      </c>
      <c r="B73" s="33">
        <f t="shared" ref="B73:C77" si="89">B265</f>
        <v>0</v>
      </c>
      <c r="C73" s="33">
        <f t="shared" si="89"/>
        <v>0</v>
      </c>
      <c r="D73" s="33">
        <f>D265</f>
        <v>0</v>
      </c>
      <c r="E73" s="657"/>
      <c r="F73" s="525" t="s">
        <v>1791</v>
      </c>
      <c r="G73" s="33">
        <f t="shared" ref="G73:O73" si="90">G265</f>
        <v>0</v>
      </c>
      <c r="H73" s="138"/>
      <c r="I73" s="33">
        <f t="shared" si="90"/>
        <v>0</v>
      </c>
      <c r="J73" s="33">
        <f t="shared" si="90"/>
        <v>0</v>
      </c>
      <c r="K73" s="33">
        <f t="shared" si="90"/>
        <v>0</v>
      </c>
      <c r="L73" s="33">
        <f t="shared" si="90"/>
        <v>0</v>
      </c>
      <c r="M73" s="33">
        <f t="shared" si="90"/>
        <v>0</v>
      </c>
      <c r="N73" s="33">
        <f t="shared" si="90"/>
        <v>0</v>
      </c>
      <c r="O73" s="33">
        <f t="shared" si="90"/>
        <v>0</v>
      </c>
      <c r="P73" s="33">
        <f t="shared" ref="P73:Q73" si="91">P265</f>
        <v>0</v>
      </c>
      <c r="Q73" s="33">
        <f t="shared" si="91"/>
        <v>0</v>
      </c>
      <c r="R73" s="114">
        <f t="shared" ref="R73" si="92">R265</f>
        <v>0</v>
      </c>
    </row>
    <row r="74" spans="1:18" x14ac:dyDescent="0.2">
      <c r="A74" s="107">
        <f t="shared" si="88"/>
        <v>22000</v>
      </c>
      <c r="B74" s="33">
        <f t="shared" si="89"/>
        <v>0</v>
      </c>
      <c r="C74" s="33">
        <f t="shared" si="89"/>
        <v>0</v>
      </c>
      <c r="D74" s="33">
        <f>D266</f>
        <v>50000</v>
      </c>
      <c r="E74" s="657"/>
      <c r="F74" s="366" t="s">
        <v>1942</v>
      </c>
      <c r="G74" s="33">
        <f t="shared" ref="G74:O74" si="93">G266</f>
        <v>100000</v>
      </c>
      <c r="H74" s="138"/>
      <c r="I74" s="33">
        <f t="shared" si="93"/>
        <v>0</v>
      </c>
      <c r="J74" s="33">
        <f t="shared" si="93"/>
        <v>0</v>
      </c>
      <c r="K74" s="33">
        <f t="shared" si="93"/>
        <v>0</v>
      </c>
      <c r="L74" s="33">
        <f t="shared" si="93"/>
        <v>0</v>
      </c>
      <c r="M74" s="33">
        <f t="shared" si="93"/>
        <v>0</v>
      </c>
      <c r="N74" s="33">
        <f t="shared" si="93"/>
        <v>0</v>
      </c>
      <c r="O74" s="33">
        <f t="shared" si="93"/>
        <v>0</v>
      </c>
      <c r="P74" s="33">
        <f t="shared" ref="P74:Q74" si="94">P266</f>
        <v>0</v>
      </c>
      <c r="Q74" s="33">
        <f t="shared" si="94"/>
        <v>0</v>
      </c>
      <c r="R74" s="114">
        <f t="shared" ref="R74" si="95">R266</f>
        <v>0</v>
      </c>
    </row>
    <row r="75" spans="1:18" x14ac:dyDescent="0.2">
      <c r="A75" s="107">
        <f t="shared" si="88"/>
        <v>0</v>
      </c>
      <c r="B75" s="33">
        <f t="shared" si="89"/>
        <v>21600</v>
      </c>
      <c r="C75" s="33">
        <f t="shared" si="89"/>
        <v>0</v>
      </c>
      <c r="D75" s="33">
        <f>D267</f>
        <v>0</v>
      </c>
      <c r="E75" s="657"/>
      <c r="F75" s="366" t="s">
        <v>2348</v>
      </c>
      <c r="G75" s="33">
        <f t="shared" ref="G75:O75" si="96">G267</f>
        <v>0</v>
      </c>
      <c r="H75" s="138"/>
      <c r="I75" s="33">
        <f t="shared" si="96"/>
        <v>0</v>
      </c>
      <c r="J75" s="33">
        <f t="shared" si="96"/>
        <v>0</v>
      </c>
      <c r="K75" s="33">
        <f t="shared" si="96"/>
        <v>0</v>
      </c>
      <c r="L75" s="33">
        <f t="shared" si="96"/>
        <v>0</v>
      </c>
      <c r="M75" s="33">
        <f t="shared" si="96"/>
        <v>0</v>
      </c>
      <c r="N75" s="33">
        <f t="shared" si="96"/>
        <v>0</v>
      </c>
      <c r="O75" s="33">
        <f t="shared" si="96"/>
        <v>0</v>
      </c>
      <c r="P75" s="33">
        <f t="shared" ref="P75:Q75" si="97">P267</f>
        <v>0</v>
      </c>
      <c r="Q75" s="33">
        <f t="shared" si="97"/>
        <v>0</v>
      </c>
      <c r="R75" s="114">
        <f t="shared" ref="R75" si="98">R267</f>
        <v>0</v>
      </c>
    </row>
    <row r="76" spans="1:18" x14ac:dyDescent="0.2">
      <c r="A76" s="107">
        <f t="shared" si="88"/>
        <v>0</v>
      </c>
      <c r="B76" s="33">
        <f t="shared" si="89"/>
        <v>0</v>
      </c>
      <c r="C76" s="33">
        <f t="shared" si="89"/>
        <v>0</v>
      </c>
      <c r="D76" s="33">
        <f>D268</f>
        <v>0</v>
      </c>
      <c r="E76" s="657"/>
      <c r="F76" s="366" t="s">
        <v>5984</v>
      </c>
      <c r="G76" s="33">
        <f t="shared" ref="G76:O76" si="99">G268</f>
        <v>0</v>
      </c>
      <c r="H76" s="138"/>
      <c r="I76" s="33">
        <f t="shared" si="99"/>
        <v>0</v>
      </c>
      <c r="J76" s="33">
        <f t="shared" si="99"/>
        <v>0</v>
      </c>
      <c r="K76" s="33">
        <f t="shared" si="99"/>
        <v>0</v>
      </c>
      <c r="L76" s="33">
        <f t="shared" si="99"/>
        <v>0</v>
      </c>
      <c r="M76" s="33">
        <f t="shared" si="99"/>
        <v>0</v>
      </c>
      <c r="N76" s="33">
        <f t="shared" si="99"/>
        <v>0</v>
      </c>
      <c r="O76" s="33">
        <f t="shared" si="99"/>
        <v>0</v>
      </c>
      <c r="P76" s="33">
        <f t="shared" ref="P76:Q76" si="100">P268</f>
        <v>0</v>
      </c>
      <c r="Q76" s="33">
        <f t="shared" si="100"/>
        <v>0</v>
      </c>
      <c r="R76" s="114">
        <f t="shared" ref="R76" si="101">R268</f>
        <v>0</v>
      </c>
    </row>
    <row r="77" spans="1:18" x14ac:dyDescent="0.2">
      <c r="A77" s="107">
        <f t="shared" si="88"/>
        <v>0</v>
      </c>
      <c r="B77" s="33">
        <f t="shared" si="89"/>
        <v>0</v>
      </c>
      <c r="C77" s="33">
        <f t="shared" si="89"/>
        <v>0</v>
      </c>
      <c r="D77" s="33">
        <f>D269</f>
        <v>0</v>
      </c>
      <c r="E77" s="657"/>
      <c r="F77" s="366" t="s">
        <v>972</v>
      </c>
      <c r="G77" s="33">
        <f t="shared" ref="G77:O77" si="102">G269</f>
        <v>0</v>
      </c>
      <c r="H77" s="138"/>
      <c r="I77" s="33">
        <f t="shared" si="102"/>
        <v>0</v>
      </c>
      <c r="J77" s="33">
        <f t="shared" si="102"/>
        <v>0</v>
      </c>
      <c r="K77" s="33">
        <f t="shared" si="102"/>
        <v>0</v>
      </c>
      <c r="L77" s="33">
        <f t="shared" si="102"/>
        <v>0</v>
      </c>
      <c r="M77" s="33">
        <f t="shared" si="102"/>
        <v>0</v>
      </c>
      <c r="N77" s="33">
        <f t="shared" si="102"/>
        <v>0</v>
      </c>
      <c r="O77" s="33">
        <f t="shared" si="102"/>
        <v>0</v>
      </c>
      <c r="P77" s="33">
        <f t="shared" ref="P77:Q77" si="103">P269</f>
        <v>0</v>
      </c>
      <c r="Q77" s="33">
        <f t="shared" si="103"/>
        <v>0</v>
      </c>
      <c r="R77" s="114">
        <f t="shared" ref="R77" si="104">R269</f>
        <v>0</v>
      </c>
    </row>
    <row r="78" spans="1:18" x14ac:dyDescent="0.2">
      <c r="A78" s="107"/>
      <c r="B78" s="33"/>
      <c r="C78" s="33"/>
      <c r="D78" s="33"/>
      <c r="E78" s="657"/>
      <c r="F78" s="516"/>
      <c r="G78" s="33"/>
      <c r="H78" s="138"/>
      <c r="I78" s="33"/>
      <c r="J78" s="33"/>
      <c r="K78" s="33"/>
      <c r="L78" s="33"/>
      <c r="M78" s="33"/>
      <c r="N78" s="33"/>
      <c r="O78" s="33"/>
      <c r="P78" s="33"/>
      <c r="Q78" s="33"/>
      <c r="R78" s="114"/>
    </row>
    <row r="79" spans="1:18" s="92" customFormat="1" x14ac:dyDescent="0.2">
      <c r="A79" s="181">
        <f>A68-A73-A74+A75++A76-A77</f>
        <v>-822000</v>
      </c>
      <c r="B79" s="397">
        <f>B68-B73-B74+B75++B76-B77</f>
        <v>-684100</v>
      </c>
      <c r="C79" s="397">
        <f>C68-C73-C74+C75++C76-C77</f>
        <v>-767700</v>
      </c>
      <c r="D79" s="397">
        <f>D68-D73-D74+D75++D76-D77</f>
        <v>-530700</v>
      </c>
      <c r="E79" s="678"/>
      <c r="F79" s="518" t="s">
        <v>2490</v>
      </c>
      <c r="G79" s="397">
        <f t="shared" ref="G79:L79" si="105">G68-G73-G74+G75++G76-G77</f>
        <v>-685500</v>
      </c>
      <c r="H79" s="395">
        <f>IF(D79=G79,0,IF(D79=0,100,(G79-D79)/D79*100))</f>
        <v>29.16902204635387</v>
      </c>
      <c r="I79" s="397">
        <f t="shared" si="105"/>
        <v>-673400</v>
      </c>
      <c r="J79" s="397">
        <f t="shared" si="105"/>
        <v>-688300</v>
      </c>
      <c r="K79" s="397">
        <f t="shared" si="105"/>
        <v>-701400</v>
      </c>
      <c r="L79" s="397">
        <f t="shared" si="105"/>
        <v>-714900</v>
      </c>
      <c r="M79" s="397">
        <f t="shared" ref="M79:R79" si="106">M68-M73-M74+M75++M76-M77</f>
        <v>-731600</v>
      </c>
      <c r="N79" s="397">
        <f t="shared" si="106"/>
        <v>-748600</v>
      </c>
      <c r="O79" s="397">
        <f t="shared" si="106"/>
        <v>-766200</v>
      </c>
      <c r="P79" s="397">
        <f t="shared" si="106"/>
        <v>-784200</v>
      </c>
      <c r="Q79" s="397">
        <f t="shared" si="106"/>
        <v>-802700</v>
      </c>
      <c r="R79" s="399">
        <f t="shared" si="106"/>
        <v>-821800</v>
      </c>
    </row>
    <row r="80" spans="1:18" ht="13.5" thickBot="1" x14ac:dyDescent="0.25">
      <c r="A80" s="73"/>
      <c r="B80" s="90"/>
      <c r="C80" s="90"/>
      <c r="D80" s="90"/>
      <c r="E80" s="679"/>
      <c r="F80" s="368"/>
      <c r="G80" s="90"/>
      <c r="H80" s="392"/>
      <c r="I80" s="66"/>
      <c r="J80" s="66"/>
      <c r="K80" s="66"/>
      <c r="L80" s="66"/>
      <c r="M80" s="66"/>
      <c r="N80" s="66"/>
      <c r="O80" s="66"/>
      <c r="P80" s="66"/>
      <c r="Q80" s="66"/>
      <c r="R80" s="165"/>
    </row>
    <row r="81" spans="1:20" ht="13.5" thickTop="1" x14ac:dyDescent="0.2">
      <c r="A81" s="74"/>
      <c r="B81" s="74"/>
      <c r="C81" s="74"/>
      <c r="D81" s="74"/>
      <c r="E81" s="660"/>
      <c r="F81" s="137"/>
      <c r="G81" s="74"/>
      <c r="H81" s="2482"/>
      <c r="I81" s="99"/>
      <c r="J81" s="99"/>
      <c r="K81" s="99"/>
      <c r="L81" s="99"/>
      <c r="M81" s="99"/>
      <c r="N81" s="99"/>
      <c r="O81" s="99"/>
      <c r="P81" s="99"/>
      <c r="Q81" s="99"/>
      <c r="R81" s="99"/>
    </row>
    <row r="82" spans="1:20" ht="13.5" thickBot="1" x14ac:dyDescent="0.25"/>
    <row r="83" spans="1:20" s="91" customFormat="1" ht="18.75" customHeight="1" thickTop="1" thickBot="1" x14ac:dyDescent="0.3">
      <c r="A83" s="2865" t="s">
        <v>1672</v>
      </c>
      <c r="B83" s="2866"/>
      <c r="C83" s="2866"/>
      <c r="D83" s="2866"/>
      <c r="E83" s="2866"/>
      <c r="F83" s="2866"/>
      <c r="G83" s="2866"/>
      <c r="H83" s="2866"/>
      <c r="I83" s="2866"/>
      <c r="J83" s="2866"/>
      <c r="K83" s="2866"/>
      <c r="L83" s="2866"/>
      <c r="M83" s="2866"/>
      <c r="N83" s="2866"/>
      <c r="O83" s="2866"/>
      <c r="P83" s="2866"/>
      <c r="Q83" s="2866"/>
      <c r="R83" s="2867"/>
    </row>
    <row r="84" spans="1:20" s="44" customFormat="1" x14ac:dyDescent="0.2">
      <c r="A84" s="2888" t="s">
        <v>1856</v>
      </c>
      <c r="B84" s="2889"/>
      <c r="C84" s="2889"/>
      <c r="D84" s="2890"/>
      <c r="E84" s="1998" t="s">
        <v>2663</v>
      </c>
      <c r="F84" s="2649" t="s">
        <v>2251</v>
      </c>
      <c r="G84" s="2885" t="s">
        <v>2253</v>
      </c>
      <c r="H84" s="2886"/>
      <c r="I84" s="2886"/>
      <c r="J84" s="2886"/>
      <c r="K84" s="2886"/>
      <c r="L84" s="2886"/>
      <c r="M84" s="2886"/>
      <c r="N84" s="2886"/>
      <c r="O84" s="2886"/>
      <c r="P84" s="2886"/>
      <c r="Q84" s="2886"/>
      <c r="R84" s="2887"/>
    </row>
    <row r="85" spans="1:20" s="23" customFormat="1" ht="13.5" thickBot="1" x14ac:dyDescent="0.25">
      <c r="A85" s="615" t="str">
        <f>A3</f>
        <v>2012/13</v>
      </c>
      <c r="B85" s="370" t="str">
        <f>B3</f>
        <v>2013/14</v>
      </c>
      <c r="C85" s="370" t="str">
        <f>C3</f>
        <v>2014/15</v>
      </c>
      <c r="D85" s="93" t="str">
        <f>D3</f>
        <v>2015/16</v>
      </c>
      <c r="E85" s="672" t="s">
        <v>2664</v>
      </c>
      <c r="F85" s="42"/>
      <c r="G85" s="93" t="str">
        <f>G3</f>
        <v>2016/17</v>
      </c>
      <c r="H85" s="2492" t="s">
        <v>501</v>
      </c>
      <c r="I85" s="370" t="str">
        <f t="shared" ref="I85:R85" si="107">I3</f>
        <v>2017/18</v>
      </c>
      <c r="J85" s="370" t="str">
        <f t="shared" si="107"/>
        <v>2018/19</v>
      </c>
      <c r="K85" s="370" t="str">
        <f t="shared" si="107"/>
        <v>2019/20</v>
      </c>
      <c r="L85" s="370" t="str">
        <f t="shared" si="107"/>
        <v>2020/21</v>
      </c>
      <c r="M85" s="370" t="str">
        <f t="shared" si="107"/>
        <v>2021/22</v>
      </c>
      <c r="N85" s="370" t="str">
        <f t="shared" si="107"/>
        <v>2022/23</v>
      </c>
      <c r="O85" s="370" t="str">
        <f t="shared" si="107"/>
        <v>2023/24</v>
      </c>
      <c r="P85" s="370" t="str">
        <f t="shared" si="107"/>
        <v>2024/25</v>
      </c>
      <c r="Q85" s="218" t="str">
        <f t="shared" si="107"/>
        <v>2025/26</v>
      </c>
      <c r="R85" s="549" t="str">
        <f t="shared" si="107"/>
        <v>2026/27</v>
      </c>
    </row>
    <row r="86" spans="1:20" x14ac:dyDescent="0.2">
      <c r="A86" s="107"/>
      <c r="B86" s="33"/>
      <c r="C86" s="33"/>
      <c r="D86" s="33"/>
      <c r="E86" s="658"/>
      <c r="F86" s="74"/>
      <c r="G86" s="33"/>
      <c r="H86" s="138"/>
      <c r="I86" s="33"/>
      <c r="J86" s="33"/>
      <c r="K86" s="33"/>
      <c r="L86" s="33"/>
      <c r="M86" s="33"/>
      <c r="N86" s="33"/>
      <c r="O86" s="33"/>
      <c r="P86" s="33"/>
      <c r="Q86" s="33"/>
      <c r="R86" s="114"/>
    </row>
    <row r="87" spans="1:20" x14ac:dyDescent="0.2">
      <c r="A87" s="107"/>
      <c r="B87" s="33"/>
      <c r="C87" s="33"/>
      <c r="D87" s="33"/>
      <c r="E87" s="658"/>
      <c r="F87" s="144" t="s">
        <v>1073</v>
      </c>
      <c r="G87" s="33"/>
      <c r="H87" s="138"/>
      <c r="I87" s="33"/>
      <c r="J87" s="33"/>
      <c r="K87" s="33"/>
      <c r="L87" s="33"/>
      <c r="M87" s="33"/>
      <c r="N87" s="33"/>
      <c r="O87" s="33"/>
      <c r="P87" s="33"/>
      <c r="Q87" s="33"/>
      <c r="R87" s="114"/>
    </row>
    <row r="88" spans="1:20" x14ac:dyDescent="0.2">
      <c r="A88" s="107"/>
      <c r="B88" s="33"/>
      <c r="C88" s="33"/>
      <c r="D88" s="33"/>
      <c r="E88" s="658"/>
      <c r="F88" s="144"/>
      <c r="G88" s="33"/>
      <c r="H88" s="138"/>
      <c r="I88" s="33"/>
      <c r="J88" s="33"/>
      <c r="K88" s="33"/>
      <c r="L88" s="33"/>
      <c r="M88" s="33"/>
      <c r="N88" s="33"/>
      <c r="O88" s="33"/>
      <c r="P88" s="33"/>
      <c r="Q88" s="33"/>
      <c r="R88" s="114"/>
    </row>
    <row r="89" spans="1:20" x14ac:dyDescent="0.2">
      <c r="A89" s="107">
        <f>ROUND(SUM(A279:A304),-3)</f>
        <v>598000</v>
      </c>
      <c r="B89" s="33">
        <f>SUM(B279:B304)</f>
        <v>893100</v>
      </c>
      <c r="C89" s="33">
        <f>SUM(C279:C304)</f>
        <v>1178900</v>
      </c>
      <c r="D89" s="33">
        <f>SUM(D279:D304)</f>
        <v>1425400</v>
      </c>
      <c r="E89" s="240">
        <v>21020</v>
      </c>
      <c r="F89" s="78" t="s">
        <v>2881</v>
      </c>
      <c r="G89" s="33">
        <f>SUM(G279:G304)</f>
        <v>1417500</v>
      </c>
      <c r="H89" s="138">
        <f>IF(D89=G89,0,IF(D89=0,100,(G89-D89)/D89*100))</f>
        <v>-0.55423039146906139</v>
      </c>
      <c r="I89" s="33">
        <f t="shared" ref="I89:Q89" si="108">SUM(I279:I304)</f>
        <v>1281000</v>
      </c>
      <c r="J89" s="33">
        <f t="shared" si="108"/>
        <v>1314000</v>
      </c>
      <c r="K89" s="33">
        <f t="shared" si="108"/>
        <v>1347900</v>
      </c>
      <c r="L89" s="33">
        <f t="shared" si="108"/>
        <v>1382900</v>
      </c>
      <c r="M89" s="33">
        <f t="shared" si="108"/>
        <v>1411500</v>
      </c>
      <c r="N89" s="33">
        <f t="shared" si="108"/>
        <v>1440900</v>
      </c>
      <c r="O89" s="33">
        <f t="shared" si="108"/>
        <v>1470900</v>
      </c>
      <c r="P89" s="33">
        <f t="shared" si="108"/>
        <v>1501400</v>
      </c>
      <c r="Q89" s="33">
        <f t="shared" si="108"/>
        <v>1532600</v>
      </c>
      <c r="R89" s="114">
        <f t="shared" ref="R89" si="109">SUM(R279:R304)</f>
        <v>1564300</v>
      </c>
    </row>
    <row r="90" spans="1:20" ht="13.5" thickBot="1" x14ac:dyDescent="0.25">
      <c r="A90" s="70"/>
      <c r="B90" s="64"/>
      <c r="C90" s="64"/>
      <c r="D90" s="64"/>
      <c r="E90" s="240"/>
      <c r="F90" s="74"/>
      <c r="G90" s="64"/>
      <c r="H90" s="179"/>
      <c r="I90" s="33"/>
      <c r="J90" s="33"/>
      <c r="K90" s="33"/>
      <c r="L90" s="33"/>
      <c r="M90" s="33"/>
      <c r="N90" s="33"/>
      <c r="O90" s="33"/>
      <c r="P90" s="33"/>
      <c r="Q90" s="33"/>
      <c r="R90" s="114"/>
    </row>
    <row r="91" spans="1:20" x14ac:dyDescent="0.2">
      <c r="A91" s="105">
        <f>SUM(A88:A90)</f>
        <v>598000</v>
      </c>
      <c r="B91" s="53">
        <f>SUM(B88:B90)</f>
        <v>893100</v>
      </c>
      <c r="C91" s="53">
        <f>SUM(C88:C90)</f>
        <v>1178900</v>
      </c>
      <c r="D91" s="53">
        <f>SUM(D88:D90)</f>
        <v>1425400</v>
      </c>
      <c r="E91" s="240"/>
      <c r="F91" s="112" t="s">
        <v>2605</v>
      </c>
      <c r="G91" s="53">
        <f t="shared" ref="G91:O91" si="110">SUM(G88:G90)</f>
        <v>1417500</v>
      </c>
      <c r="H91" s="180">
        <f>IF(D91=G91,0,IF(D91=0,100,(G91-D91)/D91*100))</f>
        <v>-0.55423039146906139</v>
      </c>
      <c r="I91" s="53">
        <f t="shared" si="110"/>
        <v>1281000</v>
      </c>
      <c r="J91" s="53">
        <f t="shared" si="110"/>
        <v>1314000</v>
      </c>
      <c r="K91" s="53">
        <f t="shared" si="110"/>
        <v>1347900</v>
      </c>
      <c r="L91" s="53">
        <f t="shared" si="110"/>
        <v>1382900</v>
      </c>
      <c r="M91" s="53">
        <f t="shared" si="110"/>
        <v>1411500</v>
      </c>
      <c r="N91" s="53">
        <f t="shared" si="110"/>
        <v>1440900</v>
      </c>
      <c r="O91" s="53">
        <f t="shared" si="110"/>
        <v>1470900</v>
      </c>
      <c r="P91" s="53">
        <f t="shared" ref="P91:Q91" si="111">SUM(P88:P90)</f>
        <v>1501400</v>
      </c>
      <c r="Q91" s="53">
        <f t="shared" si="111"/>
        <v>1532600</v>
      </c>
      <c r="R91" s="113">
        <f t="shared" ref="R91" si="112">SUM(R88:R90)</f>
        <v>1564300</v>
      </c>
    </row>
    <row r="92" spans="1:20" x14ac:dyDescent="0.2">
      <c r="A92" s="107"/>
      <c r="B92" s="33"/>
      <c r="C92" s="33"/>
      <c r="D92" s="33"/>
      <c r="E92" s="240"/>
      <c r="F92" s="112"/>
      <c r="G92" s="33"/>
      <c r="H92" s="138"/>
      <c r="I92" s="33"/>
      <c r="J92" s="33"/>
      <c r="K92" s="33"/>
      <c r="L92" s="33"/>
      <c r="M92" s="33"/>
      <c r="N92" s="33"/>
      <c r="O92" s="33"/>
      <c r="P92" s="33"/>
      <c r="Q92" s="33"/>
      <c r="R92" s="114"/>
    </row>
    <row r="93" spans="1:20" x14ac:dyDescent="0.2">
      <c r="A93" s="107"/>
      <c r="B93" s="33"/>
      <c r="C93" s="33"/>
      <c r="D93" s="33"/>
      <c r="E93" s="240"/>
      <c r="F93" s="144" t="s">
        <v>2205</v>
      </c>
      <c r="G93" s="33"/>
      <c r="H93" s="138"/>
      <c r="I93" s="33"/>
      <c r="J93" s="33"/>
      <c r="K93" s="33"/>
      <c r="L93" s="33"/>
      <c r="M93" s="33"/>
      <c r="N93" s="33"/>
      <c r="O93" s="33"/>
      <c r="P93" s="33"/>
      <c r="Q93" s="33"/>
      <c r="R93" s="114"/>
    </row>
    <row r="94" spans="1:20" x14ac:dyDescent="0.2">
      <c r="A94" s="107"/>
      <c r="B94" s="33"/>
      <c r="C94" s="33"/>
      <c r="D94" s="33"/>
      <c r="E94" s="240"/>
      <c r="F94" s="108"/>
      <c r="G94" s="33"/>
      <c r="H94" s="138"/>
      <c r="I94" s="33"/>
      <c r="J94" s="33"/>
      <c r="K94" s="33"/>
      <c r="L94" s="33"/>
      <c r="M94" s="33"/>
      <c r="N94" s="33"/>
      <c r="O94" s="33"/>
      <c r="P94" s="33"/>
      <c r="Q94" s="33"/>
      <c r="R94" s="114"/>
    </row>
    <row r="95" spans="1:20" x14ac:dyDescent="0.2">
      <c r="A95" s="107">
        <f>ROUND(SUM(A308:A311),-3)</f>
        <v>726000</v>
      </c>
      <c r="B95" s="33">
        <f>SUM(B308:B311)</f>
        <v>708600</v>
      </c>
      <c r="C95" s="33">
        <f>SUM(C308:C311)</f>
        <v>688000</v>
      </c>
      <c r="D95" s="33">
        <f>SUM(D308:D311)</f>
        <v>796800</v>
      </c>
      <c r="E95" s="240">
        <v>31020</v>
      </c>
      <c r="F95" s="99" t="s">
        <v>1249</v>
      </c>
      <c r="G95" s="33">
        <f>SUM(G308:G312)</f>
        <v>943000</v>
      </c>
      <c r="H95" s="138">
        <f>IF(D95=G95,0,IF(D95=0,100,(G95-D95)/D95*100))</f>
        <v>18.348393574297191</v>
      </c>
      <c r="I95" s="33">
        <f>SUM(I308:I312)</f>
        <v>861200</v>
      </c>
      <c r="J95" s="33">
        <f t="shared" ref="J95:Q95" si="113">SUM(J308:J312)</f>
        <v>882900</v>
      </c>
      <c r="K95" s="33">
        <f t="shared" si="113"/>
        <v>905100</v>
      </c>
      <c r="L95" s="33">
        <f t="shared" si="113"/>
        <v>927800</v>
      </c>
      <c r="M95" s="33">
        <f t="shared" si="113"/>
        <v>951000</v>
      </c>
      <c r="N95" s="33">
        <f t="shared" si="113"/>
        <v>974700</v>
      </c>
      <c r="O95" s="33">
        <f t="shared" si="113"/>
        <v>999000</v>
      </c>
      <c r="P95" s="33">
        <f t="shared" si="113"/>
        <v>1023900</v>
      </c>
      <c r="Q95" s="33">
        <f t="shared" si="113"/>
        <v>1049300</v>
      </c>
      <c r="R95" s="114">
        <f t="shared" ref="R95" si="114">SUM(R308:R312)</f>
        <v>1075500</v>
      </c>
    </row>
    <row r="96" spans="1:20" x14ac:dyDescent="0.2">
      <c r="A96" s="107">
        <f>ROUND(SUM(A313:A314),-3)</f>
        <v>14000</v>
      </c>
      <c r="B96" s="33">
        <f>SUM(B313:B314)</f>
        <v>13800</v>
      </c>
      <c r="C96" s="33">
        <f>SUM(C313:C314)</f>
        <v>14600</v>
      </c>
      <c r="D96" s="33">
        <f>SUM(D313:D314)</f>
        <v>25900</v>
      </c>
      <c r="E96" s="240">
        <v>31020</v>
      </c>
      <c r="F96" s="78" t="s">
        <v>4820</v>
      </c>
      <c r="G96" s="33">
        <f>SUM(G313:G315)</f>
        <v>12000</v>
      </c>
      <c r="H96" s="138">
        <f>IF(D96=G96,0,IF(D96=0,100,(G96-D96)/D96*100))</f>
        <v>-53.667953667953668</v>
      </c>
      <c r="I96" s="33">
        <f t="shared" ref="I96:Q96" si="115">SUM(I313:I315)</f>
        <v>12000</v>
      </c>
      <c r="J96" s="33">
        <f t="shared" si="115"/>
        <v>12300</v>
      </c>
      <c r="K96" s="33">
        <f t="shared" si="115"/>
        <v>12700</v>
      </c>
      <c r="L96" s="33">
        <f t="shared" si="115"/>
        <v>13100</v>
      </c>
      <c r="M96" s="33">
        <f t="shared" si="115"/>
        <v>13400</v>
      </c>
      <c r="N96" s="33">
        <f t="shared" si="115"/>
        <v>13700</v>
      </c>
      <c r="O96" s="33">
        <f t="shared" si="115"/>
        <v>14000</v>
      </c>
      <c r="P96" s="33">
        <f t="shared" si="115"/>
        <v>14300</v>
      </c>
      <c r="Q96" s="33">
        <f t="shared" si="115"/>
        <v>14600</v>
      </c>
      <c r="R96" s="114">
        <f t="shared" ref="R96" si="116">SUM(R313:R315)</f>
        <v>14900</v>
      </c>
      <c r="T96" s="546"/>
    </row>
    <row r="97" spans="1:18" x14ac:dyDescent="0.2">
      <c r="A97" s="107">
        <f>ROUND(SUM(A315:A316),-3)</f>
        <v>36000</v>
      </c>
      <c r="B97" s="33">
        <f>SUM(B315:B316)</f>
        <v>5600</v>
      </c>
      <c r="C97" s="33">
        <f>SUM(C315:C316)</f>
        <v>6300</v>
      </c>
      <c r="D97" s="33">
        <f>SUM(D315:D316)</f>
        <v>12900</v>
      </c>
      <c r="E97" s="240">
        <v>31020</v>
      </c>
      <c r="F97" s="99" t="s">
        <v>154</v>
      </c>
      <c r="G97" s="33">
        <f t="shared" ref="G97:P97" si="117">SUM(G315:G316)</f>
        <v>10000</v>
      </c>
      <c r="H97" s="138">
        <f>IF(D97=G97,0,IF(D97=0,100,(G97-D97)/D97*100))</f>
        <v>-22.480620155038761</v>
      </c>
      <c r="I97" s="33">
        <f t="shared" si="117"/>
        <v>10000</v>
      </c>
      <c r="J97" s="33">
        <f t="shared" si="117"/>
        <v>10000</v>
      </c>
      <c r="K97" s="33">
        <f t="shared" si="117"/>
        <v>10000</v>
      </c>
      <c r="L97" s="33">
        <f t="shared" si="117"/>
        <v>10000</v>
      </c>
      <c r="M97" s="33">
        <f t="shared" si="117"/>
        <v>10000</v>
      </c>
      <c r="N97" s="33">
        <f t="shared" si="117"/>
        <v>10000</v>
      </c>
      <c r="O97" s="33">
        <f t="shared" si="117"/>
        <v>10000</v>
      </c>
      <c r="P97" s="33">
        <f t="shared" si="117"/>
        <v>10000</v>
      </c>
      <c r="Q97" s="33">
        <f t="shared" ref="Q97" si="118">SUM(Q315:Q316)</f>
        <v>10000</v>
      </c>
      <c r="R97" s="114">
        <f t="shared" ref="R97" si="119">SUM(R315:R316)</f>
        <v>10000</v>
      </c>
    </row>
    <row r="98" spans="1:18" ht="13.5" thickBot="1" x14ac:dyDescent="0.25">
      <c r="A98" s="70"/>
      <c r="B98" s="64"/>
      <c r="C98" s="64"/>
      <c r="D98" s="64"/>
      <c r="E98" s="658"/>
      <c r="F98" s="74"/>
      <c r="G98" s="64"/>
      <c r="H98" s="179"/>
      <c r="I98" s="33"/>
      <c r="J98" s="33"/>
      <c r="K98" s="33"/>
      <c r="L98" s="33"/>
      <c r="M98" s="33"/>
      <c r="N98" s="33"/>
      <c r="O98" s="33"/>
      <c r="P98" s="33"/>
      <c r="Q98" s="33"/>
      <c r="R98" s="114"/>
    </row>
    <row r="99" spans="1:18" s="92" customFormat="1" x14ac:dyDescent="0.2">
      <c r="A99" s="105">
        <f>SUM(A94:A98)</f>
        <v>776000</v>
      </c>
      <c r="B99" s="53">
        <f>SUM(B94:B98)</f>
        <v>728000</v>
      </c>
      <c r="C99" s="53">
        <f>SUM(C94:C98)</f>
        <v>708900</v>
      </c>
      <c r="D99" s="53">
        <f>SUM(D94:D98)</f>
        <v>835600</v>
      </c>
      <c r="E99" s="674"/>
      <c r="F99" s="112" t="s">
        <v>565</v>
      </c>
      <c r="G99" s="53">
        <f t="shared" ref="G99:O99" si="120">SUM(G94:G98)</f>
        <v>965000</v>
      </c>
      <c r="H99" s="180">
        <f>IF(D99=G99,0,IF(D99=0,100,(G99-D99)/D99*100))</f>
        <v>15.485878410722833</v>
      </c>
      <c r="I99" s="53">
        <f t="shared" si="120"/>
        <v>883200</v>
      </c>
      <c r="J99" s="53">
        <f t="shared" si="120"/>
        <v>905200</v>
      </c>
      <c r="K99" s="53">
        <f t="shared" si="120"/>
        <v>927800</v>
      </c>
      <c r="L99" s="53">
        <f t="shared" si="120"/>
        <v>950900</v>
      </c>
      <c r="M99" s="53">
        <f t="shared" si="120"/>
        <v>974400</v>
      </c>
      <c r="N99" s="53">
        <f t="shared" si="120"/>
        <v>998400</v>
      </c>
      <c r="O99" s="53">
        <f t="shared" si="120"/>
        <v>1023000</v>
      </c>
      <c r="P99" s="53">
        <f t="shared" ref="P99:Q99" si="121">SUM(P94:P98)</f>
        <v>1048200</v>
      </c>
      <c r="Q99" s="53">
        <f t="shared" si="121"/>
        <v>1073900</v>
      </c>
      <c r="R99" s="113">
        <f t="shared" ref="R99" si="122">SUM(R94:R98)</f>
        <v>1100400</v>
      </c>
    </row>
    <row r="100" spans="1:18" x14ac:dyDescent="0.2">
      <c r="A100" s="107"/>
      <c r="B100" s="33"/>
      <c r="C100" s="33"/>
      <c r="D100" s="33"/>
      <c r="E100" s="673"/>
      <c r="F100" s="108"/>
      <c r="G100" s="33"/>
      <c r="H100" s="138"/>
      <c r="I100" s="33"/>
      <c r="J100" s="33"/>
      <c r="K100" s="33"/>
      <c r="L100" s="33"/>
      <c r="M100" s="33"/>
      <c r="N100" s="33"/>
      <c r="O100" s="33"/>
      <c r="P100" s="33"/>
      <c r="Q100" s="33"/>
      <c r="R100" s="114"/>
    </row>
    <row r="101" spans="1:18" s="92" customFormat="1" x14ac:dyDescent="0.2">
      <c r="A101" s="70">
        <f>A91-A99</f>
        <v>-178000</v>
      </c>
      <c r="B101" s="64">
        <f>B91-B99</f>
        <v>165100</v>
      </c>
      <c r="C101" s="64">
        <f>C91-C99</f>
        <v>470000</v>
      </c>
      <c r="D101" s="64">
        <f>D91-D99</f>
        <v>589800</v>
      </c>
      <c r="E101" s="674"/>
      <c r="F101" s="1963" t="s">
        <v>1019</v>
      </c>
      <c r="G101" s="64">
        <f t="shared" ref="G101:L101" si="123">G91-G99</f>
        <v>452500</v>
      </c>
      <c r="H101" s="179">
        <f>IF(D101=G101,0,IF(D101=0,100,(G101-D101)/D101*100))</f>
        <v>-23.279077653441846</v>
      </c>
      <c r="I101" s="64">
        <f t="shared" si="123"/>
        <v>397800</v>
      </c>
      <c r="J101" s="64">
        <f t="shared" si="123"/>
        <v>408800</v>
      </c>
      <c r="K101" s="64">
        <f t="shared" si="123"/>
        <v>420100</v>
      </c>
      <c r="L101" s="64">
        <f t="shared" si="123"/>
        <v>432000</v>
      </c>
      <c r="M101" s="64">
        <f t="shared" ref="M101:R101" si="124">M91-M99</f>
        <v>437100</v>
      </c>
      <c r="N101" s="64">
        <f t="shared" si="124"/>
        <v>442500</v>
      </c>
      <c r="O101" s="64">
        <f t="shared" si="124"/>
        <v>447900</v>
      </c>
      <c r="P101" s="64">
        <f t="shared" si="124"/>
        <v>453200</v>
      </c>
      <c r="Q101" s="64">
        <f t="shared" si="124"/>
        <v>458700</v>
      </c>
      <c r="R101" s="115">
        <f t="shared" si="124"/>
        <v>463900</v>
      </c>
    </row>
    <row r="102" spans="1:18" x14ac:dyDescent="0.2">
      <c r="A102" s="107"/>
      <c r="B102" s="33"/>
      <c r="C102" s="33"/>
      <c r="D102" s="33"/>
      <c r="E102" s="673"/>
      <c r="F102" s="320"/>
      <c r="G102" s="33"/>
      <c r="H102" s="19"/>
      <c r="I102" s="33"/>
      <c r="J102" s="33"/>
      <c r="K102" s="33"/>
      <c r="L102" s="33"/>
      <c r="M102" s="33"/>
      <c r="N102" s="33"/>
      <c r="O102" s="33"/>
      <c r="P102" s="33"/>
      <c r="Q102" s="33"/>
      <c r="R102" s="114"/>
    </row>
    <row r="103" spans="1:18" s="92" customFormat="1" x14ac:dyDescent="0.2">
      <c r="A103" s="181">
        <f>A101</f>
        <v>-178000</v>
      </c>
      <c r="B103" s="397">
        <f>B101</f>
        <v>165100</v>
      </c>
      <c r="C103" s="397">
        <f>C101</f>
        <v>470000</v>
      </c>
      <c r="D103" s="397">
        <f>D101</f>
        <v>589800</v>
      </c>
      <c r="E103" s="675"/>
      <c r="F103" s="515" t="s">
        <v>1687</v>
      </c>
      <c r="G103" s="397">
        <f t="shared" ref="G103:L103" si="125">G101</f>
        <v>452500</v>
      </c>
      <c r="H103" s="395">
        <f>IF(D103=G103,0,IF(D103=0,100,(G103-D103)/D103*100))</f>
        <v>-23.279077653441846</v>
      </c>
      <c r="I103" s="397">
        <f t="shared" si="125"/>
        <v>397800</v>
      </c>
      <c r="J103" s="397">
        <f t="shared" si="125"/>
        <v>408800</v>
      </c>
      <c r="K103" s="397">
        <f t="shared" si="125"/>
        <v>420100</v>
      </c>
      <c r="L103" s="397">
        <f t="shared" si="125"/>
        <v>432000</v>
      </c>
      <c r="M103" s="397">
        <f t="shared" ref="M103:R103" si="126">M101</f>
        <v>437100</v>
      </c>
      <c r="N103" s="397">
        <f t="shared" si="126"/>
        <v>442500</v>
      </c>
      <c r="O103" s="397">
        <f t="shared" si="126"/>
        <v>447900</v>
      </c>
      <c r="P103" s="397">
        <f t="shared" si="126"/>
        <v>453200</v>
      </c>
      <c r="Q103" s="397">
        <f t="shared" si="126"/>
        <v>458700</v>
      </c>
      <c r="R103" s="399">
        <f t="shared" si="126"/>
        <v>463900</v>
      </c>
    </row>
    <row r="104" spans="1:18" ht="13.5" thickBot="1" x14ac:dyDescent="0.25">
      <c r="A104" s="73"/>
      <c r="B104" s="90"/>
      <c r="C104" s="90"/>
      <c r="D104" s="90"/>
      <c r="E104" s="681"/>
      <c r="F104" s="141"/>
      <c r="G104" s="90"/>
      <c r="H104" s="392"/>
      <c r="I104" s="121"/>
      <c r="J104" s="121"/>
      <c r="K104" s="121"/>
      <c r="L104" s="121"/>
      <c r="M104" s="121"/>
      <c r="N104" s="121"/>
      <c r="O104" s="121"/>
      <c r="P104" s="121"/>
      <c r="Q104" s="121"/>
      <c r="R104" s="161"/>
    </row>
    <row r="105" spans="1:18" ht="13.5" thickTop="1" x14ac:dyDescent="0.2">
      <c r="A105" s="383"/>
      <c r="B105" s="162"/>
      <c r="C105" s="162"/>
      <c r="D105" s="505"/>
      <c r="E105" s="677"/>
      <c r="F105" s="367"/>
      <c r="G105" s="162"/>
      <c r="H105" s="505"/>
      <c r="I105" s="127"/>
      <c r="J105" s="127"/>
      <c r="K105" s="127"/>
      <c r="L105" s="127"/>
      <c r="M105" s="127"/>
      <c r="N105" s="127"/>
      <c r="O105" s="127"/>
      <c r="P105" s="127"/>
      <c r="Q105" s="127"/>
      <c r="R105" s="163"/>
    </row>
    <row r="106" spans="1:18" x14ac:dyDescent="0.2">
      <c r="A106" s="70"/>
      <c r="B106" s="64"/>
      <c r="C106" s="64"/>
      <c r="D106" s="179"/>
      <c r="E106" s="657"/>
      <c r="F106" s="516" t="s">
        <v>196</v>
      </c>
      <c r="G106" s="64"/>
      <c r="H106" s="179"/>
      <c r="I106" s="33"/>
      <c r="J106" s="33"/>
      <c r="K106" s="33"/>
      <c r="L106" s="33"/>
      <c r="M106" s="33"/>
      <c r="N106" s="33"/>
      <c r="O106" s="33"/>
      <c r="P106" s="33"/>
      <c r="Q106" s="33"/>
      <c r="R106" s="114"/>
    </row>
    <row r="107" spans="1:18" x14ac:dyDescent="0.2">
      <c r="A107" s="70"/>
      <c r="B107" s="64"/>
      <c r="C107" s="64"/>
      <c r="D107" s="156"/>
      <c r="E107" s="657"/>
      <c r="F107" s="371"/>
      <c r="G107" s="64"/>
      <c r="H107" s="179"/>
      <c r="I107" s="33"/>
      <c r="J107" s="33"/>
      <c r="K107" s="33"/>
      <c r="L107" s="33"/>
      <c r="M107" s="33"/>
      <c r="N107" s="33"/>
      <c r="O107" s="33"/>
      <c r="P107" s="33"/>
      <c r="Q107" s="33"/>
      <c r="R107" s="114"/>
    </row>
    <row r="108" spans="1:18" x14ac:dyDescent="0.2">
      <c r="A108" s="107">
        <f t="shared" ref="A108:A112" si="127">ROUND(A326,-3)</f>
        <v>0</v>
      </c>
      <c r="B108" s="33">
        <f t="shared" ref="B108:C112" si="128">B326</f>
        <v>0</v>
      </c>
      <c r="C108" s="33">
        <f t="shared" si="128"/>
        <v>0</v>
      </c>
      <c r="D108" s="150">
        <f>D326</f>
        <v>0</v>
      </c>
      <c r="E108" s="657"/>
      <c r="F108" s="525" t="s">
        <v>1791</v>
      </c>
      <c r="G108" s="33">
        <f t="shared" ref="G108:O108" si="129">G326</f>
        <v>0</v>
      </c>
      <c r="H108" s="138"/>
      <c r="I108" s="33">
        <f t="shared" si="129"/>
        <v>0</v>
      </c>
      <c r="J108" s="33">
        <f t="shared" si="129"/>
        <v>0</v>
      </c>
      <c r="K108" s="33">
        <f t="shared" si="129"/>
        <v>0</v>
      </c>
      <c r="L108" s="33">
        <f t="shared" si="129"/>
        <v>0</v>
      </c>
      <c r="M108" s="33">
        <f t="shared" si="129"/>
        <v>0</v>
      </c>
      <c r="N108" s="33">
        <f t="shared" si="129"/>
        <v>0</v>
      </c>
      <c r="O108" s="33">
        <f t="shared" si="129"/>
        <v>0</v>
      </c>
      <c r="P108" s="33">
        <f t="shared" ref="P108:Q108" si="130">P326</f>
        <v>0</v>
      </c>
      <c r="Q108" s="33">
        <f t="shared" si="130"/>
        <v>0</v>
      </c>
      <c r="R108" s="114">
        <f t="shared" ref="R108" si="131">R326</f>
        <v>0</v>
      </c>
    </row>
    <row r="109" spans="1:18" x14ac:dyDescent="0.2">
      <c r="A109" s="107">
        <f t="shared" si="127"/>
        <v>0</v>
      </c>
      <c r="B109" s="33">
        <f t="shared" si="128"/>
        <v>0</v>
      </c>
      <c r="C109" s="33">
        <f t="shared" si="128"/>
        <v>0</v>
      </c>
      <c r="D109" s="150">
        <f>D327</f>
        <v>0</v>
      </c>
      <c r="E109" s="657"/>
      <c r="F109" s="366" t="s">
        <v>1942</v>
      </c>
      <c r="G109" s="33">
        <f t="shared" ref="G109:O109" si="132">G327</f>
        <v>0</v>
      </c>
      <c r="H109" s="138"/>
      <c r="I109" s="33">
        <f t="shared" si="132"/>
        <v>0</v>
      </c>
      <c r="J109" s="33">
        <f t="shared" si="132"/>
        <v>0</v>
      </c>
      <c r="K109" s="33">
        <f t="shared" si="132"/>
        <v>0</v>
      </c>
      <c r="L109" s="33">
        <f t="shared" si="132"/>
        <v>0</v>
      </c>
      <c r="M109" s="33">
        <f t="shared" si="132"/>
        <v>0</v>
      </c>
      <c r="N109" s="33">
        <f t="shared" si="132"/>
        <v>0</v>
      </c>
      <c r="O109" s="33">
        <f t="shared" si="132"/>
        <v>0</v>
      </c>
      <c r="P109" s="33">
        <f t="shared" ref="P109:Q109" si="133">P327</f>
        <v>0</v>
      </c>
      <c r="Q109" s="33">
        <f t="shared" si="133"/>
        <v>0</v>
      </c>
      <c r="R109" s="114">
        <f t="shared" ref="R109" si="134">R327</f>
        <v>0</v>
      </c>
    </row>
    <row r="110" spans="1:18" x14ac:dyDescent="0.2">
      <c r="A110" s="107">
        <f t="shared" si="127"/>
        <v>0</v>
      </c>
      <c r="B110" s="33">
        <f t="shared" si="128"/>
        <v>0</v>
      </c>
      <c r="C110" s="33">
        <f t="shared" si="128"/>
        <v>0</v>
      </c>
      <c r="D110" s="150">
        <f>D328</f>
        <v>0</v>
      </c>
      <c r="E110" s="657"/>
      <c r="F110" s="366" t="s">
        <v>2348</v>
      </c>
      <c r="G110" s="33">
        <f t="shared" ref="G110:O110" si="135">G328</f>
        <v>0</v>
      </c>
      <c r="H110" s="138"/>
      <c r="I110" s="33">
        <f t="shared" si="135"/>
        <v>0</v>
      </c>
      <c r="J110" s="33">
        <f t="shared" si="135"/>
        <v>0</v>
      </c>
      <c r="K110" s="33">
        <f t="shared" si="135"/>
        <v>0</v>
      </c>
      <c r="L110" s="33">
        <f t="shared" si="135"/>
        <v>0</v>
      </c>
      <c r="M110" s="33">
        <f t="shared" si="135"/>
        <v>0</v>
      </c>
      <c r="N110" s="33">
        <f t="shared" si="135"/>
        <v>0</v>
      </c>
      <c r="O110" s="33">
        <f t="shared" si="135"/>
        <v>0</v>
      </c>
      <c r="P110" s="33">
        <f t="shared" ref="P110:Q110" si="136">P328</f>
        <v>0</v>
      </c>
      <c r="Q110" s="33">
        <f t="shared" si="136"/>
        <v>0</v>
      </c>
      <c r="R110" s="114">
        <f t="shared" ref="R110" si="137">R328</f>
        <v>0</v>
      </c>
    </row>
    <row r="111" spans="1:18" x14ac:dyDescent="0.2">
      <c r="A111" s="107">
        <f t="shared" si="127"/>
        <v>0</v>
      </c>
      <c r="B111" s="33">
        <f t="shared" si="128"/>
        <v>0</v>
      </c>
      <c r="C111" s="33">
        <f t="shared" si="128"/>
        <v>0</v>
      </c>
      <c r="D111" s="150">
        <f>D329</f>
        <v>0</v>
      </c>
      <c r="E111" s="657"/>
      <c r="F111" s="366" t="s">
        <v>5984</v>
      </c>
      <c r="G111" s="33">
        <f t="shared" ref="G111:O111" si="138">G329</f>
        <v>0</v>
      </c>
      <c r="H111" s="138"/>
      <c r="I111" s="33">
        <f t="shared" si="138"/>
        <v>0</v>
      </c>
      <c r="J111" s="33">
        <f t="shared" si="138"/>
        <v>0</v>
      </c>
      <c r="K111" s="33">
        <f t="shared" si="138"/>
        <v>0</v>
      </c>
      <c r="L111" s="33">
        <f t="shared" si="138"/>
        <v>0</v>
      </c>
      <c r="M111" s="33">
        <f t="shared" si="138"/>
        <v>0</v>
      </c>
      <c r="N111" s="33">
        <f t="shared" si="138"/>
        <v>0</v>
      </c>
      <c r="O111" s="33">
        <f t="shared" si="138"/>
        <v>0</v>
      </c>
      <c r="P111" s="33">
        <f t="shared" ref="P111:Q111" si="139">P329</f>
        <v>0</v>
      </c>
      <c r="Q111" s="33">
        <f t="shared" si="139"/>
        <v>0</v>
      </c>
      <c r="R111" s="114">
        <f t="shared" ref="R111" si="140">R329</f>
        <v>0</v>
      </c>
    </row>
    <row r="112" spans="1:18" x14ac:dyDescent="0.2">
      <c r="A112" s="107">
        <f t="shared" si="127"/>
        <v>0</v>
      </c>
      <c r="B112" s="33">
        <f t="shared" si="128"/>
        <v>0</v>
      </c>
      <c r="C112" s="33">
        <f t="shared" si="128"/>
        <v>0</v>
      </c>
      <c r="D112" s="150">
        <f>D330</f>
        <v>0</v>
      </c>
      <c r="E112" s="657"/>
      <c r="F112" s="366" t="s">
        <v>972</v>
      </c>
      <c r="G112" s="33">
        <f t="shared" ref="G112:O112" si="141">G330</f>
        <v>0</v>
      </c>
      <c r="H112" s="138"/>
      <c r="I112" s="33">
        <f t="shared" si="141"/>
        <v>0</v>
      </c>
      <c r="J112" s="33">
        <f t="shared" si="141"/>
        <v>0</v>
      </c>
      <c r="K112" s="33">
        <f t="shared" si="141"/>
        <v>0</v>
      </c>
      <c r="L112" s="33">
        <f t="shared" si="141"/>
        <v>0</v>
      </c>
      <c r="M112" s="33">
        <f t="shared" si="141"/>
        <v>0</v>
      </c>
      <c r="N112" s="33">
        <f t="shared" si="141"/>
        <v>0</v>
      </c>
      <c r="O112" s="33">
        <f t="shared" si="141"/>
        <v>0</v>
      </c>
      <c r="P112" s="33">
        <f t="shared" ref="P112:Q112" si="142">P330</f>
        <v>0</v>
      </c>
      <c r="Q112" s="33">
        <f t="shared" si="142"/>
        <v>0</v>
      </c>
      <c r="R112" s="114">
        <f t="shared" ref="R112" si="143">R330</f>
        <v>0</v>
      </c>
    </row>
    <row r="113" spans="1:18" x14ac:dyDescent="0.2">
      <c r="A113" s="107"/>
      <c r="B113" s="33"/>
      <c r="C113" s="33"/>
      <c r="D113" s="150"/>
      <c r="E113" s="657"/>
      <c r="F113" s="516"/>
      <c r="G113" s="33"/>
      <c r="H113" s="138"/>
      <c r="I113" s="33"/>
      <c r="J113" s="33"/>
      <c r="K113" s="33"/>
      <c r="L113" s="33"/>
      <c r="M113" s="33"/>
      <c r="N113" s="33"/>
      <c r="O113" s="33"/>
      <c r="P113" s="33"/>
      <c r="Q113" s="33"/>
      <c r="R113" s="114"/>
    </row>
    <row r="114" spans="1:18" s="92" customFormat="1" x14ac:dyDescent="0.2">
      <c r="A114" s="181">
        <f>A103-A108-A109+A110++A111-A112</f>
        <v>-178000</v>
      </c>
      <c r="B114" s="397">
        <f>B103-B108-B109+B110++B111-B112</f>
        <v>165100</v>
      </c>
      <c r="C114" s="397">
        <f>C103-C108-C109+C110++C111-C112</f>
        <v>470000</v>
      </c>
      <c r="D114" s="880">
        <f>D103-D108-D109+D110++D111-D112</f>
        <v>589800</v>
      </c>
      <c r="E114" s="678"/>
      <c r="F114" s="518" t="s">
        <v>2490</v>
      </c>
      <c r="G114" s="397">
        <f t="shared" ref="G114:L114" si="144">G103-G108-G109+G110++G111-G112</f>
        <v>452500</v>
      </c>
      <c r="H114" s="395">
        <f>IF(D114=G114,0,IF(D114=0,100,(G114-D114)/D114*100))</f>
        <v>-23.279077653441846</v>
      </c>
      <c r="I114" s="397">
        <f t="shared" si="144"/>
        <v>397800</v>
      </c>
      <c r="J114" s="397">
        <f t="shared" si="144"/>
        <v>408800</v>
      </c>
      <c r="K114" s="397">
        <f t="shared" si="144"/>
        <v>420100</v>
      </c>
      <c r="L114" s="397">
        <f t="shared" si="144"/>
        <v>432000</v>
      </c>
      <c r="M114" s="397">
        <f t="shared" ref="M114:R114" si="145">M103-M108-M109+M110++M111-M112</f>
        <v>437100</v>
      </c>
      <c r="N114" s="397">
        <f t="shared" si="145"/>
        <v>442500</v>
      </c>
      <c r="O114" s="397">
        <f t="shared" si="145"/>
        <v>447900</v>
      </c>
      <c r="P114" s="397">
        <f t="shared" si="145"/>
        <v>453200</v>
      </c>
      <c r="Q114" s="397">
        <f t="shared" si="145"/>
        <v>458700</v>
      </c>
      <c r="R114" s="399">
        <f t="shared" si="145"/>
        <v>463900</v>
      </c>
    </row>
    <row r="115" spans="1:18" ht="13.5" thickBot="1" x14ac:dyDescent="0.25">
      <c r="A115" s="73"/>
      <c r="B115" s="90"/>
      <c r="C115" s="90"/>
      <c r="D115" s="392"/>
      <c r="E115" s="679"/>
      <c r="F115" s="368"/>
      <c r="G115" s="90"/>
      <c r="H115" s="392"/>
      <c r="I115" s="66"/>
      <c r="J115" s="66"/>
      <c r="K115" s="66"/>
      <c r="L115" s="66"/>
      <c r="M115" s="66"/>
      <c r="N115" s="66"/>
      <c r="O115" s="66"/>
      <c r="P115" s="66"/>
      <c r="Q115" s="66"/>
      <c r="R115" s="165"/>
    </row>
    <row r="116" spans="1:18" ht="14.25" thickTop="1" thickBot="1" x14ac:dyDescent="0.25">
      <c r="A116" s="74"/>
      <c r="B116" s="74"/>
      <c r="C116" s="74"/>
      <c r="D116" s="74"/>
      <c r="E116" s="657"/>
      <c r="F116" s="137"/>
      <c r="G116" s="74"/>
      <c r="H116" s="2482"/>
      <c r="I116" s="99"/>
      <c r="J116" s="99"/>
      <c r="K116" s="99"/>
      <c r="L116" s="99"/>
      <c r="M116" s="99"/>
      <c r="N116" s="99"/>
      <c r="O116" s="99"/>
      <c r="P116" s="99"/>
      <c r="Q116" s="99"/>
      <c r="R116" s="99"/>
    </row>
    <row r="117" spans="1:18" s="91" customFormat="1" ht="18.75" customHeight="1" thickTop="1" thickBot="1" x14ac:dyDescent="0.3">
      <c r="A117" s="2865" t="s">
        <v>3192</v>
      </c>
      <c r="B117" s="2866"/>
      <c r="C117" s="2866"/>
      <c r="D117" s="2866"/>
      <c r="E117" s="2866"/>
      <c r="F117" s="2866"/>
      <c r="G117" s="2866"/>
      <c r="H117" s="2866"/>
      <c r="I117" s="2866"/>
      <c r="J117" s="2866"/>
      <c r="K117" s="2866"/>
      <c r="L117" s="2866"/>
      <c r="M117" s="2866"/>
      <c r="N117" s="2866"/>
      <c r="O117" s="2866"/>
      <c r="P117" s="2866"/>
      <c r="Q117" s="2866"/>
      <c r="R117" s="2867"/>
    </row>
    <row r="118" spans="1:18" s="44" customFormat="1" x14ac:dyDescent="0.2">
      <c r="A118" s="2888" t="s">
        <v>1856</v>
      </c>
      <c r="B118" s="2889"/>
      <c r="C118" s="2889"/>
      <c r="D118" s="2890"/>
      <c r="E118" s="1998" t="s">
        <v>2663</v>
      </c>
      <c r="F118" s="2649" t="s">
        <v>2251</v>
      </c>
      <c r="G118" s="2885" t="s">
        <v>2253</v>
      </c>
      <c r="H118" s="2886"/>
      <c r="I118" s="2886"/>
      <c r="J118" s="2886"/>
      <c r="K118" s="2886"/>
      <c r="L118" s="2886"/>
      <c r="M118" s="2886"/>
      <c r="N118" s="2886"/>
      <c r="O118" s="2886"/>
      <c r="P118" s="2886"/>
      <c r="Q118" s="2886"/>
      <c r="R118" s="2887"/>
    </row>
    <row r="119" spans="1:18" s="23" customFormat="1" ht="13.5" thickBot="1" x14ac:dyDescent="0.25">
      <c r="A119" s="615" t="str">
        <f>A3</f>
        <v>2012/13</v>
      </c>
      <c r="B119" s="370" t="str">
        <f>B3</f>
        <v>2013/14</v>
      </c>
      <c r="C119" s="370" t="str">
        <f>C3</f>
        <v>2014/15</v>
      </c>
      <c r="D119" s="93" t="str">
        <f>D3</f>
        <v>2015/16</v>
      </c>
      <c r="E119" s="672" t="s">
        <v>2664</v>
      </c>
      <c r="F119" s="42"/>
      <c r="G119" s="93" t="str">
        <f>G3</f>
        <v>2016/17</v>
      </c>
      <c r="H119" s="2492" t="s">
        <v>501</v>
      </c>
      <c r="I119" s="370" t="str">
        <f t="shared" ref="I119:R119" si="146">I3</f>
        <v>2017/18</v>
      </c>
      <c r="J119" s="370" t="str">
        <f t="shared" si="146"/>
        <v>2018/19</v>
      </c>
      <c r="K119" s="370" t="str">
        <f t="shared" si="146"/>
        <v>2019/20</v>
      </c>
      <c r="L119" s="370" t="str">
        <f t="shared" si="146"/>
        <v>2020/21</v>
      </c>
      <c r="M119" s="370" t="str">
        <f t="shared" si="146"/>
        <v>2021/22</v>
      </c>
      <c r="N119" s="370" t="str">
        <f t="shared" si="146"/>
        <v>2022/23</v>
      </c>
      <c r="O119" s="370" t="str">
        <f t="shared" si="146"/>
        <v>2023/24</v>
      </c>
      <c r="P119" s="381" t="str">
        <f t="shared" si="146"/>
        <v>2024/25</v>
      </c>
      <c r="Q119" s="218" t="str">
        <f t="shared" si="146"/>
        <v>2025/26</v>
      </c>
      <c r="R119" s="549" t="str">
        <f t="shared" si="146"/>
        <v>2026/27</v>
      </c>
    </row>
    <row r="120" spans="1:18" x14ac:dyDescent="0.2">
      <c r="A120" s="107"/>
      <c r="B120" s="33"/>
      <c r="C120" s="33"/>
      <c r="D120" s="33"/>
      <c r="E120" s="658"/>
      <c r="F120" s="74"/>
      <c r="G120" s="33"/>
      <c r="H120" s="138"/>
      <c r="I120" s="33"/>
      <c r="J120" s="33"/>
      <c r="K120" s="33"/>
      <c r="L120" s="33"/>
      <c r="M120" s="33"/>
      <c r="N120" s="33"/>
      <c r="O120" s="33"/>
      <c r="P120" s="142"/>
      <c r="Q120" s="33"/>
      <c r="R120" s="114"/>
    </row>
    <row r="121" spans="1:18" x14ac:dyDescent="0.2">
      <c r="A121" s="107"/>
      <c r="B121" s="33"/>
      <c r="C121" s="33"/>
      <c r="D121" s="33"/>
      <c r="E121" s="658"/>
      <c r="F121" s="144" t="s">
        <v>1073</v>
      </c>
      <c r="G121" s="33"/>
      <c r="H121" s="138"/>
      <c r="I121" s="33"/>
      <c r="J121" s="33"/>
      <c r="K121" s="33"/>
      <c r="L121" s="33"/>
      <c r="M121" s="33"/>
      <c r="N121" s="33"/>
      <c r="O121" s="33"/>
      <c r="P121" s="142"/>
      <c r="Q121" s="33"/>
      <c r="R121" s="114"/>
    </row>
    <row r="122" spans="1:18" x14ac:dyDescent="0.2">
      <c r="A122" s="107"/>
      <c r="B122" s="33"/>
      <c r="C122" s="33"/>
      <c r="D122" s="33"/>
      <c r="E122" s="240"/>
      <c r="F122" s="112"/>
      <c r="G122" s="33"/>
      <c r="H122" s="138"/>
      <c r="I122" s="33"/>
      <c r="J122" s="33"/>
      <c r="K122" s="33"/>
      <c r="L122" s="33"/>
      <c r="M122" s="33"/>
      <c r="N122" s="33"/>
      <c r="O122" s="33"/>
      <c r="P122" s="142"/>
      <c r="Q122" s="33"/>
      <c r="R122" s="114"/>
    </row>
    <row r="123" spans="1:18" x14ac:dyDescent="0.2">
      <c r="A123" s="107"/>
      <c r="B123" s="33"/>
      <c r="C123" s="33"/>
      <c r="D123" s="33"/>
      <c r="E123" s="240"/>
      <c r="F123" s="137" t="s">
        <v>993</v>
      </c>
      <c r="G123" s="33"/>
      <c r="H123" s="138"/>
      <c r="I123" s="33"/>
      <c r="J123" s="33"/>
      <c r="K123" s="33"/>
      <c r="L123" s="33"/>
      <c r="M123" s="33"/>
      <c r="N123" s="33"/>
      <c r="O123" s="33"/>
      <c r="P123" s="142"/>
      <c r="Q123" s="33"/>
      <c r="R123" s="114"/>
    </row>
    <row r="124" spans="1:18" x14ac:dyDescent="0.2">
      <c r="A124" s="107">
        <f>SUM(A339:A343)</f>
        <v>79700</v>
      </c>
      <c r="B124" s="33">
        <f>SUM(B339:B343)</f>
        <v>79400</v>
      </c>
      <c r="C124" s="33">
        <f t="shared" ref="C124:D124" si="147">SUM(C339:C343)</f>
        <v>109900</v>
      </c>
      <c r="D124" s="33">
        <f t="shared" si="147"/>
        <v>128600</v>
      </c>
      <c r="E124" s="240">
        <v>21040</v>
      </c>
      <c r="F124" s="111" t="s">
        <v>6966</v>
      </c>
      <c r="G124" s="33">
        <f>SUM(G339:G343)</f>
        <v>139000</v>
      </c>
      <c r="H124" s="138">
        <f>IF(D124=G124,0,IF(D124=0,100,(G124-D124)/D124*100))</f>
        <v>8.0870917573872472</v>
      </c>
      <c r="I124" s="33">
        <f t="shared" ref="I124:Q124" si="148">SUM(I339:I343)</f>
        <v>145000</v>
      </c>
      <c r="J124" s="33">
        <f t="shared" si="148"/>
        <v>148900</v>
      </c>
      <c r="K124" s="33">
        <f t="shared" si="148"/>
        <v>152900</v>
      </c>
      <c r="L124" s="33">
        <f t="shared" si="148"/>
        <v>156900</v>
      </c>
      <c r="M124" s="33">
        <f t="shared" si="148"/>
        <v>160200</v>
      </c>
      <c r="N124" s="33">
        <f t="shared" si="148"/>
        <v>163700</v>
      </c>
      <c r="O124" s="33">
        <f t="shared" si="148"/>
        <v>167200</v>
      </c>
      <c r="P124" s="142">
        <f t="shared" si="148"/>
        <v>170800</v>
      </c>
      <c r="Q124" s="33">
        <f t="shared" si="148"/>
        <v>174500</v>
      </c>
      <c r="R124" s="114">
        <f t="shared" ref="R124" si="149">SUM(R339:R343)</f>
        <v>178200</v>
      </c>
    </row>
    <row r="125" spans="1:18" x14ac:dyDescent="0.2">
      <c r="A125" s="107">
        <f>SUM(A344:A348)</f>
        <v>89800</v>
      </c>
      <c r="B125" s="33">
        <f>SUM(B344:B348)</f>
        <v>91400</v>
      </c>
      <c r="C125" s="33">
        <f t="shared" ref="C125:D125" si="150">SUM(C344:C348)</f>
        <v>108400</v>
      </c>
      <c r="D125" s="33">
        <f t="shared" si="150"/>
        <v>115100</v>
      </c>
      <c r="E125" s="240">
        <v>21040</v>
      </c>
      <c r="F125" s="111" t="s">
        <v>6969</v>
      </c>
      <c r="G125" s="33">
        <f>SUM(G344:G348)</f>
        <v>122000</v>
      </c>
      <c r="H125" s="138">
        <f>IF(D125=G125,0,IF(D125=0,100,(G125-D125)/D125*100))</f>
        <v>5.9947871416159861</v>
      </c>
      <c r="I125" s="33">
        <f t="shared" ref="I125:Q125" si="151">SUM(I344:I348)</f>
        <v>117000</v>
      </c>
      <c r="J125" s="33">
        <f t="shared" si="151"/>
        <v>120100</v>
      </c>
      <c r="K125" s="33">
        <f t="shared" si="151"/>
        <v>123400</v>
      </c>
      <c r="L125" s="33">
        <f t="shared" si="151"/>
        <v>126800</v>
      </c>
      <c r="M125" s="33">
        <f t="shared" si="151"/>
        <v>129600</v>
      </c>
      <c r="N125" s="33">
        <f t="shared" si="151"/>
        <v>132500</v>
      </c>
      <c r="O125" s="33">
        <f t="shared" si="151"/>
        <v>135400</v>
      </c>
      <c r="P125" s="142">
        <f t="shared" si="151"/>
        <v>138300</v>
      </c>
      <c r="Q125" s="33">
        <f t="shared" si="151"/>
        <v>141300</v>
      </c>
      <c r="R125" s="114">
        <f t="shared" ref="R125" si="152">SUM(R344:R348)</f>
        <v>144300</v>
      </c>
    </row>
    <row r="126" spans="1:18" x14ac:dyDescent="0.2">
      <c r="A126" s="107">
        <f>SUM(A349:A354)</f>
        <v>7700</v>
      </c>
      <c r="B126" s="33">
        <f>SUM(B349:B354)</f>
        <v>13300</v>
      </c>
      <c r="C126" s="33">
        <f t="shared" ref="C126:D126" si="153">SUM(C349:C354)</f>
        <v>18400</v>
      </c>
      <c r="D126" s="33">
        <f t="shared" si="153"/>
        <v>16100</v>
      </c>
      <c r="E126" s="240">
        <v>21040</v>
      </c>
      <c r="F126" s="111" t="s">
        <v>6968</v>
      </c>
      <c r="G126" s="33">
        <f>SUM(G349:G354)</f>
        <v>14300</v>
      </c>
      <c r="H126" s="138">
        <f>IF(D126=G126,0,IF(D126=0,100,(G126-D126)/D126*100))</f>
        <v>-11.180124223602485</v>
      </c>
      <c r="I126" s="33">
        <f t="shared" ref="I126:Q126" si="154">SUM(I349:I354)</f>
        <v>15000</v>
      </c>
      <c r="J126" s="33">
        <f t="shared" si="154"/>
        <v>15600</v>
      </c>
      <c r="K126" s="33">
        <f t="shared" si="154"/>
        <v>16300</v>
      </c>
      <c r="L126" s="33">
        <f t="shared" si="154"/>
        <v>17000</v>
      </c>
      <c r="M126" s="33">
        <f t="shared" si="154"/>
        <v>17600</v>
      </c>
      <c r="N126" s="33">
        <f t="shared" si="154"/>
        <v>18200</v>
      </c>
      <c r="O126" s="33">
        <f t="shared" si="154"/>
        <v>18800</v>
      </c>
      <c r="P126" s="142">
        <f t="shared" si="154"/>
        <v>19400</v>
      </c>
      <c r="Q126" s="33">
        <f t="shared" si="154"/>
        <v>20000</v>
      </c>
      <c r="R126" s="114">
        <f t="shared" ref="R126" si="155">SUM(R349:R354)</f>
        <v>20600</v>
      </c>
    </row>
    <row r="127" spans="1:18" x14ac:dyDescent="0.2">
      <c r="A127" s="107">
        <f>ROUND(SUM(A355:A355),-3)</f>
        <v>0</v>
      </c>
      <c r="B127" s="33">
        <f>SUM(B355:B355)</f>
        <v>0</v>
      </c>
      <c r="C127" s="33">
        <f>SUM(C355:C355)</f>
        <v>0</v>
      </c>
      <c r="D127" s="33">
        <f>SUM(D355:D355)</f>
        <v>0</v>
      </c>
      <c r="E127" s="240">
        <v>21041</v>
      </c>
      <c r="F127" s="111" t="s">
        <v>2880</v>
      </c>
      <c r="G127" s="33">
        <f>SUM(G355:G355)</f>
        <v>0</v>
      </c>
      <c r="H127" s="138">
        <f>IF(D127=G127,0,IF(D127=0,100,(G127-D127)/D127*100))</f>
        <v>0</v>
      </c>
      <c r="I127" s="33">
        <f t="shared" ref="I127:R127" si="156">SUM(I355:I355)</f>
        <v>0</v>
      </c>
      <c r="J127" s="33">
        <f t="shared" si="156"/>
        <v>0</v>
      </c>
      <c r="K127" s="33">
        <f t="shared" si="156"/>
        <v>0</v>
      </c>
      <c r="L127" s="33">
        <f t="shared" si="156"/>
        <v>0</v>
      </c>
      <c r="M127" s="33">
        <f t="shared" si="156"/>
        <v>0</v>
      </c>
      <c r="N127" s="33">
        <f t="shared" si="156"/>
        <v>0</v>
      </c>
      <c r="O127" s="33">
        <f t="shared" si="156"/>
        <v>0</v>
      </c>
      <c r="P127" s="142">
        <f t="shared" si="156"/>
        <v>0</v>
      </c>
      <c r="Q127" s="33">
        <f t="shared" si="156"/>
        <v>0</v>
      </c>
      <c r="R127" s="114">
        <f t="shared" si="156"/>
        <v>0</v>
      </c>
    </row>
    <row r="128" spans="1:18" x14ac:dyDescent="0.2">
      <c r="A128" s="107">
        <f>ROUND(SUM(A356:A357),-3)</f>
        <v>11000</v>
      </c>
      <c r="B128" s="33">
        <f>SUM(B356:B357)</f>
        <v>700</v>
      </c>
      <c r="C128" s="33">
        <f t="shared" ref="C128:D128" si="157">SUM(C356:C357)</f>
        <v>1400</v>
      </c>
      <c r="D128" s="33">
        <f t="shared" si="157"/>
        <v>2600</v>
      </c>
      <c r="E128" s="240">
        <v>21040</v>
      </c>
      <c r="F128" s="77" t="s">
        <v>6967</v>
      </c>
      <c r="G128" s="33">
        <f>SUM(G356:G357)</f>
        <v>4000</v>
      </c>
      <c r="H128" s="138">
        <f>IF(D128=G128,0,IF(D128=0,100,(G128-D128)/D128*100))</f>
        <v>53.846153846153847</v>
      </c>
      <c r="I128" s="33">
        <f t="shared" ref="I128:Q128" si="158">SUM(I356:I357)</f>
        <v>3000</v>
      </c>
      <c r="J128" s="33">
        <f t="shared" si="158"/>
        <v>3100</v>
      </c>
      <c r="K128" s="33">
        <f t="shared" si="158"/>
        <v>3200</v>
      </c>
      <c r="L128" s="33">
        <f t="shared" si="158"/>
        <v>3300</v>
      </c>
      <c r="M128" s="33">
        <f t="shared" si="158"/>
        <v>3400</v>
      </c>
      <c r="N128" s="33">
        <f t="shared" si="158"/>
        <v>3500</v>
      </c>
      <c r="O128" s="33">
        <f t="shared" si="158"/>
        <v>3600</v>
      </c>
      <c r="P128" s="142">
        <f t="shared" si="158"/>
        <v>3700</v>
      </c>
      <c r="Q128" s="33">
        <f t="shared" si="158"/>
        <v>3800</v>
      </c>
      <c r="R128" s="114">
        <f t="shared" ref="R128" si="159">SUM(R356:R357)</f>
        <v>3900</v>
      </c>
    </row>
    <row r="129" spans="1:18" ht="13.5" thickBot="1" x14ac:dyDescent="0.25">
      <c r="A129" s="70"/>
      <c r="B129" s="64"/>
      <c r="C129" s="64"/>
      <c r="D129" s="64"/>
      <c r="E129" s="240"/>
      <c r="F129" s="74"/>
      <c r="G129" s="64"/>
      <c r="H129" s="179"/>
      <c r="I129" s="33"/>
      <c r="J129" s="33"/>
      <c r="K129" s="33"/>
      <c r="L129" s="33"/>
      <c r="M129" s="33"/>
      <c r="N129" s="33"/>
      <c r="O129" s="33"/>
      <c r="P129" s="142"/>
      <c r="Q129" s="33"/>
      <c r="R129" s="114"/>
    </row>
    <row r="130" spans="1:18" x14ac:dyDescent="0.2">
      <c r="A130" s="105">
        <f>SUM(A122:A129)</f>
        <v>188200</v>
      </c>
      <c r="B130" s="53">
        <f>SUM(B122:B129)</f>
        <v>184800</v>
      </c>
      <c r="C130" s="53">
        <f>SUM(C122:C129)</f>
        <v>238100</v>
      </c>
      <c r="D130" s="53">
        <f>SUM(D122:D129)</f>
        <v>262400</v>
      </c>
      <c r="E130" s="240"/>
      <c r="F130" s="112" t="s">
        <v>2605</v>
      </c>
      <c r="G130" s="53">
        <f>SUM(G122:G129)</f>
        <v>279300</v>
      </c>
      <c r="H130" s="153">
        <f>IF(D130=G130,0,IF(D130=0,100,(G130-D130)/D130*100))</f>
        <v>6.4405487804878048</v>
      </c>
      <c r="I130" s="53">
        <f t="shared" ref="I130:Q130" si="160">SUM(I122:I129)</f>
        <v>280000</v>
      </c>
      <c r="J130" s="53">
        <f t="shared" si="160"/>
        <v>287700</v>
      </c>
      <c r="K130" s="53">
        <f t="shared" si="160"/>
        <v>295800</v>
      </c>
      <c r="L130" s="53">
        <f t="shared" si="160"/>
        <v>304000</v>
      </c>
      <c r="M130" s="53">
        <f t="shared" si="160"/>
        <v>310800</v>
      </c>
      <c r="N130" s="53">
        <f t="shared" si="160"/>
        <v>317900</v>
      </c>
      <c r="O130" s="53">
        <f t="shared" si="160"/>
        <v>325000</v>
      </c>
      <c r="P130" s="155">
        <f t="shared" si="160"/>
        <v>332200</v>
      </c>
      <c r="Q130" s="53">
        <f t="shared" si="160"/>
        <v>339600</v>
      </c>
      <c r="R130" s="113">
        <f t="shared" ref="R130" si="161">SUM(R122:R129)</f>
        <v>347000</v>
      </c>
    </row>
    <row r="131" spans="1:18" x14ac:dyDescent="0.2">
      <c r="A131" s="107"/>
      <c r="B131" s="33"/>
      <c r="C131" s="33"/>
      <c r="D131" s="33"/>
      <c r="E131" s="240"/>
      <c r="F131" s="112"/>
      <c r="G131" s="33"/>
      <c r="H131" s="138"/>
      <c r="I131" s="33"/>
      <c r="J131" s="33"/>
      <c r="K131" s="33"/>
      <c r="L131" s="33"/>
      <c r="M131" s="33"/>
      <c r="N131" s="33"/>
      <c r="O131" s="33"/>
      <c r="P131" s="142"/>
      <c r="Q131" s="33"/>
      <c r="R131" s="114"/>
    </row>
    <row r="132" spans="1:18" x14ac:dyDescent="0.2">
      <c r="A132" s="107"/>
      <c r="B132" s="33"/>
      <c r="C132" s="33"/>
      <c r="D132" s="33"/>
      <c r="E132" s="240"/>
      <c r="F132" s="144" t="s">
        <v>2205</v>
      </c>
      <c r="G132" s="33"/>
      <c r="H132" s="138"/>
      <c r="I132" s="33"/>
      <c r="J132" s="33"/>
      <c r="K132" s="33"/>
      <c r="L132" s="33"/>
      <c r="M132" s="33"/>
      <c r="N132" s="33"/>
      <c r="O132" s="33"/>
      <c r="P132" s="142"/>
      <c r="Q132" s="33"/>
      <c r="R132" s="114"/>
    </row>
    <row r="133" spans="1:18" x14ac:dyDescent="0.2">
      <c r="A133" s="107"/>
      <c r="B133" s="33"/>
      <c r="C133" s="33"/>
      <c r="D133" s="33"/>
      <c r="E133" s="240"/>
      <c r="F133" s="144"/>
      <c r="G133" s="33"/>
      <c r="H133" s="138"/>
      <c r="I133" s="33"/>
      <c r="J133" s="33"/>
      <c r="K133" s="33"/>
      <c r="L133" s="33"/>
      <c r="M133" s="33"/>
      <c r="N133" s="33"/>
      <c r="O133" s="33"/>
      <c r="P133" s="142"/>
      <c r="Q133" s="33"/>
      <c r="R133" s="114"/>
    </row>
    <row r="134" spans="1:18" x14ac:dyDescent="0.2">
      <c r="A134" s="107"/>
      <c r="B134" s="33"/>
      <c r="C134" s="33"/>
      <c r="D134" s="33"/>
      <c r="E134" s="240"/>
      <c r="F134" s="74" t="s">
        <v>993</v>
      </c>
      <c r="G134" s="33"/>
      <c r="H134" s="138"/>
      <c r="I134" s="33"/>
      <c r="J134" s="33"/>
      <c r="K134" s="33"/>
      <c r="L134" s="33"/>
      <c r="M134" s="33"/>
      <c r="N134" s="33"/>
      <c r="O134" s="33"/>
      <c r="P134" s="142"/>
      <c r="Q134" s="33"/>
      <c r="R134" s="114"/>
    </row>
    <row r="135" spans="1:18" x14ac:dyDescent="0.2">
      <c r="A135" s="107">
        <f>ROUND(SUM(A361:A364),-3)</f>
        <v>610000</v>
      </c>
      <c r="B135" s="33">
        <f>SUM(B361:B364)</f>
        <v>608600</v>
      </c>
      <c r="C135" s="33">
        <f>SUM(C361:C364)</f>
        <v>542500</v>
      </c>
      <c r="D135" s="33">
        <f>SUM(D361:D364)</f>
        <v>712000</v>
      </c>
      <c r="E135" s="240">
        <v>31040</v>
      </c>
      <c r="F135" s="99" t="s">
        <v>1249</v>
      </c>
      <c r="G135" s="33">
        <f t="shared" ref="G135:P135" si="162">SUM(G361:G364)</f>
        <v>742400</v>
      </c>
      <c r="H135" s="138">
        <f>IF(D135=G135,0,IF(D135=0,100,(G135-D135)/D135*100))</f>
        <v>4.2696629213483144</v>
      </c>
      <c r="I135" s="33">
        <f t="shared" si="162"/>
        <v>757100</v>
      </c>
      <c r="J135" s="33">
        <f t="shared" si="162"/>
        <v>776100</v>
      </c>
      <c r="K135" s="33">
        <f t="shared" si="162"/>
        <v>795500</v>
      </c>
      <c r="L135" s="33">
        <f t="shared" si="162"/>
        <v>815400</v>
      </c>
      <c r="M135" s="33">
        <f t="shared" si="162"/>
        <v>835700</v>
      </c>
      <c r="N135" s="33">
        <f t="shared" si="162"/>
        <v>856500</v>
      </c>
      <c r="O135" s="33">
        <f t="shared" si="162"/>
        <v>877800</v>
      </c>
      <c r="P135" s="142">
        <f t="shared" si="162"/>
        <v>899600</v>
      </c>
      <c r="Q135" s="33">
        <f t="shared" ref="Q135" si="163">SUM(Q361:Q364)</f>
        <v>921900</v>
      </c>
      <c r="R135" s="114">
        <f t="shared" ref="R135" si="164">SUM(R361:R364)</f>
        <v>944800</v>
      </c>
    </row>
    <row r="136" spans="1:18" x14ac:dyDescent="0.2">
      <c r="A136" s="107">
        <f>ROUND(SUM(A365:A368),-3)</f>
        <v>10000</v>
      </c>
      <c r="B136" s="33">
        <f>SUM(B365:B368)</f>
        <v>14200</v>
      </c>
      <c r="C136" s="33">
        <f>SUM(C365:C368)</f>
        <v>19800</v>
      </c>
      <c r="D136" s="33">
        <f>SUM(D365:D368)</f>
        <v>35300</v>
      </c>
      <c r="E136" s="240">
        <v>31040</v>
      </c>
      <c r="F136" s="78" t="s">
        <v>4820</v>
      </c>
      <c r="G136" s="33">
        <f t="shared" ref="G136:O136" si="165">SUM(G365:G368)</f>
        <v>14000</v>
      </c>
      <c r="H136" s="138">
        <f>IF(D136=G136,0,IF(D136=0,100,(G136-D136)/D136*100))</f>
        <v>-60.339943342776202</v>
      </c>
      <c r="I136" s="33">
        <f t="shared" si="165"/>
        <v>14000</v>
      </c>
      <c r="J136" s="33">
        <f t="shared" si="165"/>
        <v>14500</v>
      </c>
      <c r="K136" s="33">
        <f t="shared" si="165"/>
        <v>15100</v>
      </c>
      <c r="L136" s="33">
        <f t="shared" si="165"/>
        <v>15700</v>
      </c>
      <c r="M136" s="33">
        <f t="shared" si="165"/>
        <v>16200</v>
      </c>
      <c r="N136" s="33">
        <f t="shared" si="165"/>
        <v>16700</v>
      </c>
      <c r="O136" s="33">
        <f t="shared" si="165"/>
        <v>17200</v>
      </c>
      <c r="P136" s="142">
        <f t="shared" ref="P136:Q136" si="166">SUM(P365:P368)</f>
        <v>17700</v>
      </c>
      <c r="Q136" s="33">
        <f t="shared" si="166"/>
        <v>18200</v>
      </c>
      <c r="R136" s="114">
        <f t="shared" ref="R136" si="167">SUM(R365:R368)</f>
        <v>18700</v>
      </c>
    </row>
    <row r="137" spans="1:18" x14ac:dyDescent="0.2">
      <c r="A137" s="107">
        <f>ROUND(SUM(A369:A372),-3)</f>
        <v>7000</v>
      </c>
      <c r="B137" s="33">
        <f>SUM(B369:B372)</f>
        <v>2900</v>
      </c>
      <c r="C137" s="33">
        <f>SUM(C369:C372)</f>
        <v>7400</v>
      </c>
      <c r="D137" s="33">
        <f>SUM(D369:D372)</f>
        <v>6900</v>
      </c>
      <c r="E137" s="240">
        <v>31040</v>
      </c>
      <c r="F137" s="78" t="s">
        <v>3102</v>
      </c>
      <c r="G137" s="33">
        <f t="shared" ref="G137:P137" si="168">SUM(G369:G372)</f>
        <v>12000</v>
      </c>
      <c r="H137" s="138">
        <f>IF(D137=G137,0,IF(D137=0,100,(G137-D137)/D137*100))</f>
        <v>73.91304347826086</v>
      </c>
      <c r="I137" s="33">
        <f t="shared" si="168"/>
        <v>8000</v>
      </c>
      <c r="J137" s="33">
        <f t="shared" si="168"/>
        <v>8300</v>
      </c>
      <c r="K137" s="33">
        <f t="shared" si="168"/>
        <v>8600</v>
      </c>
      <c r="L137" s="33">
        <f t="shared" si="168"/>
        <v>8900</v>
      </c>
      <c r="M137" s="33">
        <f t="shared" si="168"/>
        <v>9200</v>
      </c>
      <c r="N137" s="33">
        <f t="shared" si="168"/>
        <v>9500</v>
      </c>
      <c r="O137" s="33">
        <f t="shared" si="168"/>
        <v>9800</v>
      </c>
      <c r="P137" s="142">
        <f t="shared" si="168"/>
        <v>10100</v>
      </c>
      <c r="Q137" s="33">
        <f t="shared" ref="Q137" si="169">SUM(Q369:Q372)</f>
        <v>10400</v>
      </c>
      <c r="R137" s="114">
        <f t="shared" ref="R137" si="170">SUM(R369:R372)</f>
        <v>10700</v>
      </c>
    </row>
    <row r="138" spans="1:18" x14ac:dyDescent="0.2">
      <c r="A138" s="107"/>
      <c r="B138" s="33"/>
      <c r="C138" s="189"/>
      <c r="D138" s="189"/>
      <c r="E138" s="10"/>
      <c r="F138" s="3"/>
      <c r="G138" s="33"/>
      <c r="H138" s="138"/>
      <c r="I138" s="33"/>
      <c r="J138" s="33"/>
      <c r="K138" s="33"/>
      <c r="L138" s="33"/>
      <c r="M138" s="33"/>
      <c r="N138" s="33"/>
      <c r="O138" s="33"/>
      <c r="P138" s="142"/>
      <c r="Q138" s="33"/>
      <c r="R138" s="114"/>
    </row>
    <row r="139" spans="1:18" x14ac:dyDescent="0.2">
      <c r="A139" s="107"/>
      <c r="B139" s="33"/>
      <c r="C139" s="142"/>
      <c r="D139" s="142"/>
      <c r="E139" s="711"/>
      <c r="F139" s="8" t="s">
        <v>145</v>
      </c>
      <c r="G139" s="33"/>
      <c r="H139" s="138"/>
      <c r="I139" s="33"/>
      <c r="J139" s="33"/>
      <c r="K139" s="33"/>
      <c r="L139" s="33"/>
      <c r="M139" s="33"/>
      <c r="N139" s="33"/>
      <c r="O139" s="33"/>
      <c r="P139" s="142"/>
      <c r="Q139" s="33"/>
      <c r="R139" s="114"/>
    </row>
    <row r="140" spans="1:18" x14ac:dyDescent="0.2">
      <c r="A140" s="107">
        <f>ROUND(SUM(A374:A376),-3)</f>
        <v>11000</v>
      </c>
      <c r="B140" s="33">
        <f>SUM(B374:B376)</f>
        <v>14600</v>
      </c>
      <c r="C140" s="33">
        <f>SUM(C374:C376)</f>
        <v>14600</v>
      </c>
      <c r="D140" s="33">
        <f>SUM(D374:D376)</f>
        <v>17500</v>
      </c>
      <c r="E140" s="10">
        <v>31042</v>
      </c>
      <c r="F140" s="3" t="s">
        <v>782</v>
      </c>
      <c r="G140" s="33">
        <f t="shared" ref="G140:P140" si="171">SUM(G374:G376)</f>
        <v>22000</v>
      </c>
      <c r="H140" s="138">
        <f>IF(D140=G140,0,IF(D140=0,100,(G140-D140)/D140*100))</f>
        <v>25.714285714285712</v>
      </c>
      <c r="I140" s="33">
        <f t="shared" si="171"/>
        <v>22000</v>
      </c>
      <c r="J140" s="33">
        <f t="shared" si="171"/>
        <v>22700</v>
      </c>
      <c r="K140" s="33">
        <f t="shared" si="171"/>
        <v>23500</v>
      </c>
      <c r="L140" s="33">
        <f t="shared" si="171"/>
        <v>24300</v>
      </c>
      <c r="M140" s="33">
        <f t="shared" si="171"/>
        <v>25000</v>
      </c>
      <c r="N140" s="33">
        <f t="shared" si="171"/>
        <v>25700</v>
      </c>
      <c r="O140" s="33">
        <f t="shared" si="171"/>
        <v>26400</v>
      </c>
      <c r="P140" s="142">
        <f t="shared" si="171"/>
        <v>27100</v>
      </c>
      <c r="Q140" s="33">
        <f t="shared" ref="Q140" si="172">SUM(Q374:Q376)</f>
        <v>27800</v>
      </c>
      <c r="R140" s="114">
        <f t="shared" ref="R140" si="173">SUM(R374:R376)</f>
        <v>28500</v>
      </c>
    </row>
    <row r="141" spans="1:18" x14ac:dyDescent="0.2">
      <c r="A141" s="107">
        <f t="shared" ref="A141" si="174">SUM(A377:A378)</f>
        <v>0</v>
      </c>
      <c r="B141" s="33">
        <f>SUM(B377:B378)</f>
        <v>10600</v>
      </c>
      <c r="C141" s="33">
        <f>SUM(C377:C378)</f>
        <v>0</v>
      </c>
      <c r="D141" s="33">
        <f>SUM(D377:D378)</f>
        <v>0</v>
      </c>
      <c r="E141" s="10">
        <v>31045</v>
      </c>
      <c r="F141" s="890" t="s">
        <v>4728</v>
      </c>
      <c r="G141" s="33">
        <f t="shared" ref="G141:P141" si="175">SUM(G377:G378)</f>
        <v>20000</v>
      </c>
      <c r="H141" s="138">
        <f>IF(D141=G141,0,IF(D141=0,100,(G141-D141)/D141*100))</f>
        <v>100</v>
      </c>
      <c r="I141" s="33">
        <f t="shared" si="175"/>
        <v>30000</v>
      </c>
      <c r="J141" s="33">
        <f t="shared" si="175"/>
        <v>30800</v>
      </c>
      <c r="K141" s="33">
        <f t="shared" si="175"/>
        <v>31600</v>
      </c>
      <c r="L141" s="33">
        <f t="shared" si="175"/>
        <v>32400</v>
      </c>
      <c r="M141" s="33">
        <f t="shared" si="175"/>
        <v>33100</v>
      </c>
      <c r="N141" s="33">
        <f t="shared" si="175"/>
        <v>33800</v>
      </c>
      <c r="O141" s="33">
        <f t="shared" si="175"/>
        <v>34500</v>
      </c>
      <c r="P141" s="142">
        <f t="shared" si="175"/>
        <v>35200</v>
      </c>
      <c r="Q141" s="33">
        <f t="shared" ref="Q141" si="176">SUM(Q377:Q378)</f>
        <v>36000</v>
      </c>
      <c r="R141" s="114">
        <f t="shared" ref="R141" si="177">SUM(R377:R378)</f>
        <v>36800</v>
      </c>
    </row>
    <row r="142" spans="1:18" x14ac:dyDescent="0.2">
      <c r="A142" s="107">
        <f>SUM(A379:A379)</f>
        <v>0</v>
      </c>
      <c r="B142" s="33">
        <f t="shared" ref="B142:D142" si="178">SUM(B379:B379)</f>
        <v>31100</v>
      </c>
      <c r="C142" s="33">
        <f t="shared" si="178"/>
        <v>12000</v>
      </c>
      <c r="D142" s="33">
        <f t="shared" si="178"/>
        <v>12100</v>
      </c>
      <c r="E142" s="10">
        <v>31045</v>
      </c>
      <c r="F142" s="890" t="s">
        <v>4231</v>
      </c>
      <c r="G142" s="33">
        <f>SUM(G379:G379)</f>
        <v>42700</v>
      </c>
      <c r="H142" s="138">
        <f>IF(D142=G142,0,IF(D142=0,100,(G142-D142)/D142*100))</f>
        <v>252.89256198347107</v>
      </c>
      <c r="I142" s="33">
        <f t="shared" ref="I142:Q142" si="179">SUM(I379:I379)</f>
        <v>30000</v>
      </c>
      <c r="J142" s="33">
        <f t="shared" si="179"/>
        <v>30800</v>
      </c>
      <c r="K142" s="33">
        <f t="shared" si="179"/>
        <v>31600</v>
      </c>
      <c r="L142" s="33">
        <f t="shared" si="179"/>
        <v>32400</v>
      </c>
      <c r="M142" s="33">
        <f t="shared" si="179"/>
        <v>33100</v>
      </c>
      <c r="N142" s="33">
        <f t="shared" si="179"/>
        <v>33800</v>
      </c>
      <c r="O142" s="33">
        <f t="shared" si="179"/>
        <v>34500</v>
      </c>
      <c r="P142" s="142">
        <f t="shared" si="179"/>
        <v>35200</v>
      </c>
      <c r="Q142" s="33">
        <f t="shared" si="179"/>
        <v>36000</v>
      </c>
      <c r="R142" s="114">
        <f t="shared" ref="R142" si="180">SUM(R379:R379)</f>
        <v>36800</v>
      </c>
    </row>
    <row r="143" spans="1:18" x14ac:dyDescent="0.2">
      <c r="A143" s="107">
        <f>SUM(A380:A380)</f>
        <v>0</v>
      </c>
      <c r="B143" s="33">
        <f t="shared" ref="B143:D143" si="181">SUM(B380:B380)</f>
        <v>0</v>
      </c>
      <c r="C143" s="33">
        <f t="shared" si="181"/>
        <v>0</v>
      </c>
      <c r="D143" s="33">
        <f t="shared" si="181"/>
        <v>0</v>
      </c>
      <c r="E143" s="10">
        <v>31045</v>
      </c>
      <c r="F143" s="890" t="s">
        <v>7022</v>
      </c>
      <c r="G143" s="33">
        <f>SUM(G380:G380)</f>
        <v>0</v>
      </c>
      <c r="H143" s="138">
        <f>IF(D143=G143,0,IF(D143=0,100,(G143-D143)/D143*100))</f>
        <v>0</v>
      </c>
      <c r="I143" s="33">
        <f t="shared" ref="I143:Q143" si="182">SUM(I380:I380)</f>
        <v>307600</v>
      </c>
      <c r="J143" s="33">
        <f t="shared" si="182"/>
        <v>315300</v>
      </c>
      <c r="K143" s="33">
        <f t="shared" si="182"/>
        <v>323100</v>
      </c>
      <c r="L143" s="33">
        <f t="shared" si="182"/>
        <v>331200</v>
      </c>
      <c r="M143" s="33">
        <f t="shared" si="182"/>
        <v>339500</v>
      </c>
      <c r="N143" s="33">
        <f t="shared" si="182"/>
        <v>348000</v>
      </c>
      <c r="O143" s="33">
        <f t="shared" si="182"/>
        <v>356700</v>
      </c>
      <c r="P143" s="142">
        <f t="shared" si="182"/>
        <v>365600</v>
      </c>
      <c r="Q143" s="33">
        <f t="shared" si="182"/>
        <v>374700</v>
      </c>
      <c r="R143" s="114">
        <f t="shared" ref="R143" si="183">SUM(R380:R380)</f>
        <v>384100</v>
      </c>
    </row>
    <row r="144" spans="1:18" x14ac:dyDescent="0.2">
      <c r="A144" s="107"/>
      <c r="B144" s="33"/>
      <c r="C144" s="33"/>
      <c r="D144" s="33"/>
      <c r="E144" s="1955"/>
      <c r="F144" s="99"/>
      <c r="G144" s="33"/>
      <c r="H144" s="138"/>
      <c r="I144" s="33"/>
      <c r="J144" s="33"/>
      <c r="K144" s="33"/>
      <c r="L144" s="33"/>
      <c r="M144" s="33"/>
      <c r="N144" s="33"/>
      <c r="O144" s="33"/>
      <c r="P144" s="142"/>
      <c r="Q144" s="33"/>
      <c r="R144" s="114"/>
    </row>
    <row r="145" spans="1:18" x14ac:dyDescent="0.2">
      <c r="A145" s="107"/>
      <c r="B145" s="33"/>
      <c r="C145" s="33"/>
      <c r="D145" s="33"/>
      <c r="E145" s="1955"/>
      <c r="F145" s="137" t="s">
        <v>1671</v>
      </c>
      <c r="G145" s="33"/>
      <c r="H145" s="138"/>
      <c r="I145" s="33"/>
      <c r="J145" s="33"/>
      <c r="K145" s="33"/>
      <c r="L145" s="33"/>
      <c r="M145" s="33"/>
      <c r="N145" s="33"/>
      <c r="O145" s="33"/>
      <c r="P145" s="142"/>
      <c r="Q145" s="33"/>
      <c r="R145" s="114"/>
    </row>
    <row r="146" spans="1:18" x14ac:dyDescent="0.2">
      <c r="A146" s="107">
        <f>ROUND(SUM(A381:A382),-3)</f>
        <v>0</v>
      </c>
      <c r="B146" s="33">
        <f>SUM(B381:B382)</f>
        <v>400</v>
      </c>
      <c r="C146" s="33">
        <f>SUM(C381:C382)</f>
        <v>500</v>
      </c>
      <c r="D146" s="33">
        <f>SUM(D381:D382)</f>
        <v>600</v>
      </c>
      <c r="E146" s="1955">
        <v>31043</v>
      </c>
      <c r="F146" s="99" t="s">
        <v>562</v>
      </c>
      <c r="G146" s="33">
        <f t="shared" ref="G146:O146" si="184">SUM(G381:G382)</f>
        <v>600</v>
      </c>
      <c r="H146" s="138">
        <f>IF(D146=G146,0,IF(D146=0,100,(G146-D146)/D146*100))</f>
        <v>0</v>
      </c>
      <c r="I146" s="33">
        <f t="shared" si="184"/>
        <v>700</v>
      </c>
      <c r="J146" s="33">
        <f t="shared" si="184"/>
        <v>800</v>
      </c>
      <c r="K146" s="33">
        <f t="shared" si="184"/>
        <v>900</v>
      </c>
      <c r="L146" s="33">
        <f t="shared" si="184"/>
        <v>1000</v>
      </c>
      <c r="M146" s="33">
        <f t="shared" si="184"/>
        <v>1100</v>
      </c>
      <c r="N146" s="33">
        <f t="shared" si="184"/>
        <v>1200</v>
      </c>
      <c r="O146" s="33">
        <f t="shared" si="184"/>
        <v>1300</v>
      </c>
      <c r="P146" s="142">
        <f t="shared" ref="P146:Q146" si="185">SUM(P381:P382)</f>
        <v>1400</v>
      </c>
      <c r="Q146" s="33">
        <f t="shared" si="185"/>
        <v>1500</v>
      </c>
      <c r="R146" s="114">
        <f t="shared" ref="R146" si="186">SUM(R381:R382)</f>
        <v>1600</v>
      </c>
    </row>
    <row r="147" spans="1:18" ht="13.5" thickBot="1" x14ac:dyDescent="0.25">
      <c r="A147" s="70"/>
      <c r="B147" s="64"/>
      <c r="C147" s="64"/>
      <c r="D147" s="64"/>
      <c r="E147" s="240"/>
      <c r="F147" s="74"/>
      <c r="G147" s="64"/>
      <c r="H147" s="179"/>
      <c r="I147" s="33"/>
      <c r="J147" s="33"/>
      <c r="K147" s="33"/>
      <c r="L147" s="33"/>
      <c r="M147" s="33"/>
      <c r="N147" s="33"/>
      <c r="O147" s="33"/>
      <c r="P147" s="142"/>
      <c r="Q147" s="33"/>
      <c r="R147" s="114"/>
    </row>
    <row r="148" spans="1:18" s="92" customFormat="1" x14ac:dyDescent="0.2">
      <c r="A148" s="105">
        <f>SUM(A135:A147)</f>
        <v>638000</v>
      </c>
      <c r="B148" s="53">
        <f>SUM(B135:B147)</f>
        <v>682400</v>
      </c>
      <c r="C148" s="53">
        <f>SUM(C135:C147)</f>
        <v>596800</v>
      </c>
      <c r="D148" s="53">
        <f>SUM(D135:D147)</f>
        <v>784400</v>
      </c>
      <c r="E148" s="674"/>
      <c r="F148" s="112" t="s">
        <v>565</v>
      </c>
      <c r="G148" s="53">
        <f t="shared" ref="G148:P148" si="187">SUM(G135:G147)</f>
        <v>853700</v>
      </c>
      <c r="H148" s="180">
        <f>IF(D148=G148,0,IF(D148=0,100,(G148-D148)/D148*100))</f>
        <v>8.8347781744008156</v>
      </c>
      <c r="I148" s="53">
        <f t="shared" si="187"/>
        <v>1169400</v>
      </c>
      <c r="J148" s="53">
        <f t="shared" si="187"/>
        <v>1199300</v>
      </c>
      <c r="K148" s="53">
        <f t="shared" si="187"/>
        <v>1229900</v>
      </c>
      <c r="L148" s="53">
        <f t="shared" si="187"/>
        <v>1261300</v>
      </c>
      <c r="M148" s="53">
        <f t="shared" si="187"/>
        <v>1292900</v>
      </c>
      <c r="N148" s="53">
        <f t="shared" si="187"/>
        <v>1325200</v>
      </c>
      <c r="O148" s="53">
        <f t="shared" si="187"/>
        <v>1358200</v>
      </c>
      <c r="P148" s="155">
        <f t="shared" si="187"/>
        <v>1391900</v>
      </c>
      <c r="Q148" s="53">
        <f t="shared" ref="Q148" si="188">SUM(Q135:Q147)</f>
        <v>1426500</v>
      </c>
      <c r="R148" s="113">
        <f t="shared" ref="R148" si="189">SUM(R135:R147)</f>
        <v>1462000</v>
      </c>
    </row>
    <row r="149" spans="1:18" x14ac:dyDescent="0.2">
      <c r="A149" s="107"/>
      <c r="B149" s="33"/>
      <c r="C149" s="33"/>
      <c r="D149" s="33"/>
      <c r="E149" s="673"/>
      <c r="F149" s="108"/>
      <c r="G149" s="33"/>
      <c r="H149" s="138"/>
      <c r="I149" s="33"/>
      <c r="J149" s="33"/>
      <c r="K149" s="33"/>
      <c r="L149" s="33"/>
      <c r="M149" s="33"/>
      <c r="N149" s="33"/>
      <c r="O149" s="33"/>
      <c r="P149" s="142"/>
      <c r="Q149" s="33"/>
      <c r="R149" s="114"/>
    </row>
    <row r="150" spans="1:18" s="92" customFormat="1" x14ac:dyDescent="0.2">
      <c r="A150" s="70">
        <f>A130-A148</f>
        <v>-449800</v>
      </c>
      <c r="B150" s="64">
        <f>B130-B148</f>
        <v>-497600</v>
      </c>
      <c r="C150" s="64">
        <f>C130-C148</f>
        <v>-358700</v>
      </c>
      <c r="D150" s="64">
        <f>D130-D148</f>
        <v>-522000</v>
      </c>
      <c r="E150" s="674"/>
      <c r="F150" s="522" t="s">
        <v>1019</v>
      </c>
      <c r="G150" s="64">
        <f t="shared" ref="G150:P150" si="190">G130-G148</f>
        <v>-574400</v>
      </c>
      <c r="H150" s="179">
        <f>IF(D150=G150,0,IF(D150=0,100,(G150-D150)/D150*100))</f>
        <v>10.038314176245212</v>
      </c>
      <c r="I150" s="64">
        <f t="shared" si="190"/>
        <v>-889400</v>
      </c>
      <c r="J150" s="64">
        <f t="shared" si="190"/>
        <v>-911600</v>
      </c>
      <c r="K150" s="64">
        <f t="shared" si="190"/>
        <v>-934100</v>
      </c>
      <c r="L150" s="64">
        <f t="shared" si="190"/>
        <v>-957300</v>
      </c>
      <c r="M150" s="64">
        <f t="shared" si="190"/>
        <v>-982100</v>
      </c>
      <c r="N150" s="64">
        <f t="shared" si="190"/>
        <v>-1007300</v>
      </c>
      <c r="O150" s="64">
        <f t="shared" si="190"/>
        <v>-1033200</v>
      </c>
      <c r="P150" s="128">
        <f t="shared" si="190"/>
        <v>-1059700</v>
      </c>
      <c r="Q150" s="64">
        <f t="shared" ref="Q150" si="191">Q130-Q148</f>
        <v>-1086900</v>
      </c>
      <c r="R150" s="115">
        <f t="shared" ref="R150" si="192">R130-R148</f>
        <v>-1115000</v>
      </c>
    </row>
    <row r="151" spans="1:18" x14ac:dyDescent="0.2">
      <c r="A151" s="107">
        <v>0</v>
      </c>
      <c r="B151" s="33">
        <v>0</v>
      </c>
      <c r="C151" s="33">
        <v>0</v>
      </c>
      <c r="D151" s="33">
        <v>0</v>
      </c>
      <c r="E151" s="673"/>
      <c r="F151" s="320" t="s">
        <v>1976</v>
      </c>
      <c r="G151" s="33">
        <v>0</v>
      </c>
      <c r="H151" s="19">
        <f>IF(D151=G151,0,IF(D151=0,100,(G151-D151)/D151*100))</f>
        <v>0</v>
      </c>
      <c r="I151" s="33">
        <v>0</v>
      </c>
      <c r="J151" s="33">
        <v>0</v>
      </c>
      <c r="K151" s="33">
        <v>0</v>
      </c>
      <c r="L151" s="33">
        <v>0</v>
      </c>
      <c r="M151" s="33">
        <v>0</v>
      </c>
      <c r="N151" s="33">
        <v>0</v>
      </c>
      <c r="O151" s="33">
        <v>0</v>
      </c>
      <c r="P151" s="142">
        <v>0</v>
      </c>
      <c r="Q151" s="33">
        <v>0</v>
      </c>
      <c r="R151" s="114">
        <v>0</v>
      </c>
    </row>
    <row r="152" spans="1:18" s="92" customFormat="1" x14ac:dyDescent="0.2">
      <c r="A152" s="181">
        <f>A151+A150</f>
        <v>-449800</v>
      </c>
      <c r="B152" s="397">
        <f>B151+B150</f>
        <v>-497600</v>
      </c>
      <c r="C152" s="397">
        <f>C151+C150</f>
        <v>-358700</v>
      </c>
      <c r="D152" s="397">
        <f>D151+D150</f>
        <v>-522000</v>
      </c>
      <c r="E152" s="675"/>
      <c r="F152" s="515" t="s">
        <v>1687</v>
      </c>
      <c r="G152" s="397">
        <f t="shared" ref="G152:O152" si="193">G151+G150</f>
        <v>-574400</v>
      </c>
      <c r="H152" s="395">
        <f>IF(D152=G152,0,IF(D152=0,100,(G152-D152)/D152*100))</f>
        <v>10.038314176245212</v>
      </c>
      <c r="I152" s="397">
        <f t="shared" si="193"/>
        <v>-889400</v>
      </c>
      <c r="J152" s="397">
        <f t="shared" si="193"/>
        <v>-911600</v>
      </c>
      <c r="K152" s="397">
        <f t="shared" si="193"/>
        <v>-934100</v>
      </c>
      <c r="L152" s="397">
        <f t="shared" si="193"/>
        <v>-957300</v>
      </c>
      <c r="M152" s="397">
        <f t="shared" si="193"/>
        <v>-982100</v>
      </c>
      <c r="N152" s="397">
        <f t="shared" si="193"/>
        <v>-1007300</v>
      </c>
      <c r="O152" s="397">
        <f t="shared" si="193"/>
        <v>-1033200</v>
      </c>
      <c r="P152" s="377">
        <f t="shared" ref="P152:Q152" si="194">P151+P150</f>
        <v>-1059700</v>
      </c>
      <c r="Q152" s="397">
        <f t="shared" si="194"/>
        <v>-1086900</v>
      </c>
      <c r="R152" s="399">
        <f t="shared" ref="R152" si="195">R151+R150</f>
        <v>-1115000</v>
      </c>
    </row>
    <row r="153" spans="1:18" ht="13.5" thickBot="1" x14ac:dyDescent="0.25">
      <c r="A153" s="73"/>
      <c r="B153" s="90"/>
      <c r="C153" s="90"/>
      <c r="D153" s="90"/>
      <c r="E153" s="681"/>
      <c r="F153" s="141"/>
      <c r="G153" s="90"/>
      <c r="H153" s="392"/>
      <c r="I153" s="121"/>
      <c r="J153" s="121"/>
      <c r="K153" s="121"/>
      <c r="L153" s="121"/>
      <c r="M153" s="121"/>
      <c r="N153" s="121"/>
      <c r="O153" s="121"/>
      <c r="P153" s="95"/>
      <c r="Q153" s="121"/>
      <c r="R153" s="161"/>
    </row>
    <row r="154" spans="1:18" ht="13.5" thickTop="1" x14ac:dyDescent="0.2">
      <c r="A154" s="383"/>
      <c r="B154" s="162"/>
      <c r="C154" s="162"/>
      <c r="D154" s="162"/>
      <c r="E154" s="657"/>
      <c r="F154" s="124"/>
      <c r="G154" s="162"/>
      <c r="H154" s="505"/>
      <c r="I154" s="127"/>
      <c r="J154" s="127"/>
      <c r="K154" s="127"/>
      <c r="L154" s="127"/>
      <c r="M154" s="127"/>
      <c r="N154" s="127"/>
      <c r="O154" s="127"/>
      <c r="P154" s="164"/>
      <c r="Q154" s="127"/>
      <c r="R154" s="163"/>
    </row>
    <row r="155" spans="1:18" x14ac:dyDescent="0.2">
      <c r="A155" s="70"/>
      <c r="B155" s="64"/>
      <c r="C155" s="64"/>
      <c r="D155" s="64"/>
      <c r="E155" s="657"/>
      <c r="F155" s="1962" t="s">
        <v>196</v>
      </c>
      <c r="G155" s="64"/>
      <c r="H155" s="179"/>
      <c r="I155" s="33"/>
      <c r="J155" s="33"/>
      <c r="K155" s="33"/>
      <c r="L155" s="33"/>
      <c r="M155" s="33"/>
      <c r="N155" s="33"/>
      <c r="O155" s="33"/>
      <c r="P155" s="142"/>
      <c r="Q155" s="33"/>
      <c r="R155" s="114"/>
    </row>
    <row r="156" spans="1:18" x14ac:dyDescent="0.2">
      <c r="A156" s="70"/>
      <c r="B156" s="64"/>
      <c r="C156" s="64"/>
      <c r="D156" s="64"/>
      <c r="E156" s="657"/>
      <c r="F156" s="175"/>
      <c r="G156" s="64"/>
      <c r="H156" s="179"/>
      <c r="I156" s="33"/>
      <c r="J156" s="33"/>
      <c r="K156" s="33"/>
      <c r="L156" s="33"/>
      <c r="M156" s="33"/>
      <c r="N156" s="33"/>
      <c r="O156" s="33"/>
      <c r="P156" s="142"/>
      <c r="Q156" s="33"/>
      <c r="R156" s="114"/>
    </row>
    <row r="157" spans="1:18" x14ac:dyDescent="0.2">
      <c r="A157" s="107">
        <f t="shared" ref="A157:A161" si="196">ROUND(A391,-3)</f>
        <v>0</v>
      </c>
      <c r="B157" s="33">
        <f t="shared" ref="B157:C161" si="197">B391</f>
        <v>0</v>
      </c>
      <c r="C157" s="33">
        <f t="shared" si="197"/>
        <v>0</v>
      </c>
      <c r="D157" s="33">
        <f>D391</f>
        <v>0</v>
      </c>
      <c r="E157" s="657"/>
      <c r="F157" s="1979" t="s">
        <v>1791</v>
      </c>
      <c r="G157" s="33">
        <f t="shared" ref="G157:N157" si="198">G391</f>
        <v>0</v>
      </c>
      <c r="H157" s="138"/>
      <c r="I157" s="33">
        <f t="shared" si="198"/>
        <v>0</v>
      </c>
      <c r="J157" s="33">
        <f t="shared" si="198"/>
        <v>0</v>
      </c>
      <c r="K157" s="33">
        <f t="shared" si="198"/>
        <v>0</v>
      </c>
      <c r="L157" s="33">
        <f t="shared" si="198"/>
        <v>0</v>
      </c>
      <c r="M157" s="33">
        <f t="shared" si="198"/>
        <v>0</v>
      </c>
      <c r="N157" s="33">
        <f t="shared" si="198"/>
        <v>0</v>
      </c>
      <c r="O157" s="33">
        <f t="shared" ref="O157:P161" si="199">O391</f>
        <v>0</v>
      </c>
      <c r="P157" s="142">
        <f t="shared" si="199"/>
        <v>0</v>
      </c>
      <c r="Q157" s="33">
        <f t="shared" ref="Q157" si="200">Q391</f>
        <v>0</v>
      </c>
      <c r="R157" s="114">
        <f t="shared" ref="R157" si="201">R391</f>
        <v>0</v>
      </c>
    </row>
    <row r="158" spans="1:18" x14ac:dyDescent="0.2">
      <c r="A158" s="107">
        <f t="shared" si="196"/>
        <v>20000</v>
      </c>
      <c r="B158" s="33">
        <f t="shared" si="197"/>
        <v>27000</v>
      </c>
      <c r="C158" s="33">
        <f t="shared" si="197"/>
        <v>44000</v>
      </c>
      <c r="D158" s="33">
        <f>D392</f>
        <v>28000</v>
      </c>
      <c r="E158" s="657"/>
      <c r="F158" s="1979" t="s">
        <v>1942</v>
      </c>
      <c r="G158" s="33">
        <f t="shared" ref="G158:N158" si="202">G392</f>
        <v>0</v>
      </c>
      <c r="H158" s="138"/>
      <c r="I158" s="33">
        <f t="shared" si="202"/>
        <v>0</v>
      </c>
      <c r="J158" s="33">
        <f t="shared" si="202"/>
        <v>0</v>
      </c>
      <c r="K158" s="33">
        <f t="shared" si="202"/>
        <v>0</v>
      </c>
      <c r="L158" s="33">
        <f t="shared" si="202"/>
        <v>0</v>
      </c>
      <c r="M158" s="33">
        <f t="shared" si="202"/>
        <v>0</v>
      </c>
      <c r="N158" s="33">
        <f t="shared" si="202"/>
        <v>0</v>
      </c>
      <c r="O158" s="33">
        <f t="shared" si="199"/>
        <v>0</v>
      </c>
      <c r="P158" s="142">
        <f t="shared" si="199"/>
        <v>0</v>
      </c>
      <c r="Q158" s="33">
        <f t="shared" ref="Q158" si="203">Q392</f>
        <v>0</v>
      </c>
      <c r="R158" s="114">
        <f t="shared" ref="R158" si="204">R392</f>
        <v>0</v>
      </c>
    </row>
    <row r="159" spans="1:18" x14ac:dyDescent="0.2">
      <c r="A159" s="107">
        <f t="shared" si="196"/>
        <v>5000</v>
      </c>
      <c r="B159" s="33">
        <f t="shared" si="197"/>
        <v>20300</v>
      </c>
      <c r="C159" s="33">
        <f t="shared" si="197"/>
        <v>14000</v>
      </c>
      <c r="D159" s="33">
        <f>D393</f>
        <v>54000</v>
      </c>
      <c r="E159" s="657"/>
      <c r="F159" s="1981" t="s">
        <v>2348</v>
      </c>
      <c r="G159" s="33">
        <f t="shared" ref="G159:N159" si="205">G393</f>
        <v>184700</v>
      </c>
      <c r="H159" s="138"/>
      <c r="I159" s="33">
        <f t="shared" si="205"/>
        <v>208000</v>
      </c>
      <c r="J159" s="33">
        <f t="shared" si="205"/>
        <v>0</v>
      </c>
      <c r="K159" s="33">
        <f t="shared" si="205"/>
        <v>0</v>
      </c>
      <c r="L159" s="33">
        <f t="shared" si="205"/>
        <v>0</v>
      </c>
      <c r="M159" s="33">
        <f t="shared" si="205"/>
        <v>0</v>
      </c>
      <c r="N159" s="33">
        <f t="shared" si="205"/>
        <v>0</v>
      </c>
      <c r="O159" s="33">
        <f t="shared" si="199"/>
        <v>0</v>
      </c>
      <c r="P159" s="142">
        <f t="shared" si="199"/>
        <v>0</v>
      </c>
      <c r="Q159" s="33">
        <f t="shared" ref="Q159" si="206">Q393</f>
        <v>0</v>
      </c>
      <c r="R159" s="114">
        <f t="shared" ref="R159" si="207">R393</f>
        <v>0</v>
      </c>
    </row>
    <row r="160" spans="1:18" x14ac:dyDescent="0.2">
      <c r="A160" s="107">
        <f t="shared" si="196"/>
        <v>0</v>
      </c>
      <c r="B160" s="33">
        <f t="shared" si="197"/>
        <v>0</v>
      </c>
      <c r="C160" s="33">
        <f t="shared" si="197"/>
        <v>0</v>
      </c>
      <c r="D160" s="33">
        <f>D394</f>
        <v>0</v>
      </c>
      <c r="E160" s="657"/>
      <c r="F160" s="1981" t="s">
        <v>5984</v>
      </c>
      <c r="G160" s="33">
        <f t="shared" ref="G160:N160" si="208">G394</f>
        <v>95000</v>
      </c>
      <c r="H160" s="138"/>
      <c r="I160" s="33">
        <f t="shared" si="208"/>
        <v>0</v>
      </c>
      <c r="J160" s="33">
        <f t="shared" si="208"/>
        <v>0</v>
      </c>
      <c r="K160" s="33">
        <f t="shared" si="208"/>
        <v>0</v>
      </c>
      <c r="L160" s="33">
        <f t="shared" si="208"/>
        <v>0</v>
      </c>
      <c r="M160" s="33">
        <f t="shared" si="208"/>
        <v>0</v>
      </c>
      <c r="N160" s="33">
        <f t="shared" si="208"/>
        <v>0</v>
      </c>
      <c r="O160" s="33">
        <f t="shared" si="199"/>
        <v>0</v>
      </c>
      <c r="P160" s="142">
        <f t="shared" si="199"/>
        <v>0</v>
      </c>
      <c r="Q160" s="33">
        <f t="shared" ref="Q160" si="209">Q394</f>
        <v>0</v>
      </c>
      <c r="R160" s="114">
        <f t="shared" ref="R160" si="210">R394</f>
        <v>0</v>
      </c>
    </row>
    <row r="161" spans="1:18" x14ac:dyDescent="0.2">
      <c r="A161" s="107">
        <f t="shared" si="196"/>
        <v>0</v>
      </c>
      <c r="B161" s="33">
        <f t="shared" si="197"/>
        <v>0</v>
      </c>
      <c r="C161" s="33">
        <f t="shared" si="197"/>
        <v>0</v>
      </c>
      <c r="D161" s="33">
        <f>D395</f>
        <v>0</v>
      </c>
      <c r="E161" s="657"/>
      <c r="F161" s="1981" t="s">
        <v>972</v>
      </c>
      <c r="G161" s="33">
        <f t="shared" ref="G161:N161" si="211">G395</f>
        <v>267000</v>
      </c>
      <c r="H161" s="138"/>
      <c r="I161" s="33">
        <f t="shared" si="211"/>
        <v>208000</v>
      </c>
      <c r="J161" s="33">
        <f t="shared" si="211"/>
        <v>0</v>
      </c>
      <c r="K161" s="33">
        <f t="shared" si="211"/>
        <v>0</v>
      </c>
      <c r="L161" s="33">
        <f t="shared" si="211"/>
        <v>0</v>
      </c>
      <c r="M161" s="33">
        <f t="shared" si="211"/>
        <v>0</v>
      </c>
      <c r="N161" s="33">
        <f t="shared" si="211"/>
        <v>0</v>
      </c>
      <c r="O161" s="33">
        <f t="shared" si="199"/>
        <v>0</v>
      </c>
      <c r="P161" s="142">
        <f t="shared" si="199"/>
        <v>0</v>
      </c>
      <c r="Q161" s="33">
        <f t="shared" ref="Q161" si="212">Q395</f>
        <v>0</v>
      </c>
      <c r="R161" s="114">
        <f t="shared" ref="R161" si="213">R395</f>
        <v>0</v>
      </c>
    </row>
    <row r="162" spans="1:18" x14ac:dyDescent="0.2">
      <c r="A162" s="107"/>
      <c r="B162" s="33"/>
      <c r="C162" s="33"/>
      <c r="D162" s="33"/>
      <c r="E162" s="657"/>
      <c r="F162" s="1962"/>
      <c r="G162" s="33"/>
      <c r="H162" s="138"/>
      <c r="I162" s="33"/>
      <c r="J162" s="33"/>
      <c r="K162" s="33"/>
      <c r="L162" s="33"/>
      <c r="M162" s="33"/>
      <c r="N162" s="33"/>
      <c r="O162" s="33"/>
      <c r="P162" s="142"/>
      <c r="Q162" s="33"/>
      <c r="R162" s="114"/>
    </row>
    <row r="163" spans="1:18" s="92" customFormat="1" x14ac:dyDescent="0.2">
      <c r="A163" s="181">
        <f>A152-A157-A158+A159+A160-A161</f>
        <v>-464800</v>
      </c>
      <c r="B163" s="397">
        <f>B152-B157-B158+B159+B160-B161</f>
        <v>-504300</v>
      </c>
      <c r="C163" s="397">
        <f>C152-C157-C158+C159++C160-C161</f>
        <v>-388700</v>
      </c>
      <c r="D163" s="397">
        <f>D152-D157-D158+D159++D160-D161</f>
        <v>-496000</v>
      </c>
      <c r="E163" s="678"/>
      <c r="F163" s="1972" t="s">
        <v>2490</v>
      </c>
      <c r="G163" s="397">
        <f t="shared" ref="G163:O163" si="214">G152-G157-G158+G159++G160-G161</f>
        <v>-561700</v>
      </c>
      <c r="H163" s="395">
        <f>IF(D163=G163,0,IF(D163=0,100,(G163-D163)/D163*100))</f>
        <v>13.245967741935482</v>
      </c>
      <c r="I163" s="397">
        <f t="shared" si="214"/>
        <v>-889400</v>
      </c>
      <c r="J163" s="397">
        <f t="shared" si="214"/>
        <v>-911600</v>
      </c>
      <c r="K163" s="397">
        <f t="shared" si="214"/>
        <v>-934100</v>
      </c>
      <c r="L163" s="397">
        <f t="shared" si="214"/>
        <v>-957300</v>
      </c>
      <c r="M163" s="397">
        <f t="shared" si="214"/>
        <v>-982100</v>
      </c>
      <c r="N163" s="397">
        <f t="shared" si="214"/>
        <v>-1007300</v>
      </c>
      <c r="O163" s="397">
        <f t="shared" si="214"/>
        <v>-1033200</v>
      </c>
      <c r="P163" s="377">
        <f t="shared" ref="P163:Q163" si="215">P152-P157-P158+P159++P160-P161</f>
        <v>-1059700</v>
      </c>
      <c r="Q163" s="397">
        <f t="shared" si="215"/>
        <v>-1086900</v>
      </c>
      <c r="R163" s="399">
        <f t="shared" ref="R163" si="216">R152-R157-R158+R159++R160-R161</f>
        <v>-1115000</v>
      </c>
    </row>
    <row r="164" spans="1:18" ht="13.5" thickBot="1" x14ac:dyDescent="0.25">
      <c r="A164" s="73"/>
      <c r="B164" s="90"/>
      <c r="C164" s="90"/>
      <c r="D164" s="90"/>
      <c r="E164" s="679"/>
      <c r="F164" s="119"/>
      <c r="G164" s="90"/>
      <c r="H164" s="392"/>
      <c r="I164" s="66"/>
      <c r="J164" s="66"/>
      <c r="K164" s="66"/>
      <c r="L164" s="66"/>
      <c r="M164" s="66"/>
      <c r="N164" s="66"/>
      <c r="O164" s="66"/>
      <c r="P164" s="166"/>
      <c r="Q164" s="66"/>
      <c r="R164" s="165"/>
    </row>
    <row r="165" spans="1:18" s="99" customFormat="1" ht="14.25" thickTop="1" thickBot="1" x14ac:dyDescent="0.25">
      <c r="A165" s="74"/>
      <c r="B165" s="74"/>
      <c r="C165" s="74"/>
      <c r="D165" s="74"/>
      <c r="E165" s="684"/>
      <c r="F165" s="74"/>
      <c r="G165" s="74"/>
      <c r="H165" s="2482"/>
      <c r="I165" s="74"/>
    </row>
    <row r="166" spans="1:18" s="91" customFormat="1" ht="18.75" customHeight="1" thickTop="1" thickBot="1" x14ac:dyDescent="0.3">
      <c r="A166" s="2865" t="s">
        <v>1152</v>
      </c>
      <c r="B166" s="2866"/>
      <c r="C166" s="2866"/>
      <c r="D166" s="2866"/>
      <c r="E166" s="2866"/>
      <c r="F166" s="2866"/>
      <c r="G166" s="2866"/>
      <c r="H166" s="2866"/>
      <c r="I166" s="2866"/>
      <c r="J166" s="2866"/>
      <c r="K166" s="2866"/>
      <c r="L166" s="2866"/>
      <c r="M166" s="2866"/>
      <c r="N166" s="2866"/>
      <c r="O166" s="2866"/>
      <c r="P166" s="2866"/>
      <c r="Q166" s="2866"/>
      <c r="R166" s="2867"/>
    </row>
    <row r="167" spans="1:18" s="44" customFormat="1" x14ac:dyDescent="0.2">
      <c r="A167" s="2888" t="s">
        <v>1856</v>
      </c>
      <c r="B167" s="2889"/>
      <c r="C167" s="2889"/>
      <c r="D167" s="2890"/>
      <c r="E167" s="1998" t="s">
        <v>2663</v>
      </c>
      <c r="F167" s="2649" t="s">
        <v>2251</v>
      </c>
      <c r="G167" s="2885" t="s">
        <v>2253</v>
      </c>
      <c r="H167" s="2886"/>
      <c r="I167" s="2886"/>
      <c r="J167" s="2886"/>
      <c r="K167" s="2886"/>
      <c r="L167" s="2886"/>
      <c r="M167" s="2886"/>
      <c r="N167" s="2886"/>
      <c r="O167" s="2886"/>
      <c r="P167" s="2886"/>
      <c r="Q167" s="2886"/>
      <c r="R167" s="2887"/>
    </row>
    <row r="168" spans="1:18" s="23" customFormat="1" ht="13.5" thickBot="1" x14ac:dyDescent="0.25">
      <c r="A168" s="615" t="str">
        <f>A3</f>
        <v>2012/13</v>
      </c>
      <c r="B168" s="370" t="str">
        <f>B3</f>
        <v>2013/14</v>
      </c>
      <c r="C168" s="370" t="str">
        <f>C3</f>
        <v>2014/15</v>
      </c>
      <c r="D168" s="93" t="str">
        <f>D3</f>
        <v>2015/16</v>
      </c>
      <c r="E168" s="672" t="s">
        <v>2664</v>
      </c>
      <c r="F168" s="42"/>
      <c r="G168" s="93" t="str">
        <f>G3</f>
        <v>2016/17</v>
      </c>
      <c r="H168" s="2492" t="s">
        <v>501</v>
      </c>
      <c r="I168" s="370" t="str">
        <f t="shared" ref="I168:R168" si="217">I3</f>
        <v>2017/18</v>
      </c>
      <c r="J168" s="370" t="str">
        <f t="shared" si="217"/>
        <v>2018/19</v>
      </c>
      <c r="K168" s="370" t="str">
        <f t="shared" si="217"/>
        <v>2019/20</v>
      </c>
      <c r="L168" s="370" t="str">
        <f t="shared" si="217"/>
        <v>2020/21</v>
      </c>
      <c r="M168" s="370" t="str">
        <f t="shared" si="217"/>
        <v>2021/22</v>
      </c>
      <c r="N168" s="370" t="str">
        <f t="shared" si="217"/>
        <v>2022/23</v>
      </c>
      <c r="O168" s="370" t="str">
        <f t="shared" si="217"/>
        <v>2023/24</v>
      </c>
      <c r="P168" s="381" t="str">
        <f t="shared" si="217"/>
        <v>2024/25</v>
      </c>
      <c r="Q168" s="218" t="str">
        <f t="shared" si="217"/>
        <v>2025/26</v>
      </c>
      <c r="R168" s="549" t="str">
        <f t="shared" si="217"/>
        <v>2026/27</v>
      </c>
    </row>
    <row r="169" spans="1:18" x14ac:dyDescent="0.2">
      <c r="A169" s="107"/>
      <c r="B169" s="33"/>
      <c r="C169" s="33"/>
      <c r="D169" s="33"/>
      <c r="E169" s="673"/>
      <c r="F169" s="99"/>
      <c r="G169" s="33"/>
      <c r="H169" s="138"/>
      <c r="I169" s="33"/>
      <c r="J169" s="33"/>
      <c r="K169" s="33"/>
      <c r="L169" s="33"/>
      <c r="M169" s="33"/>
      <c r="N169" s="33"/>
      <c r="O169" s="33"/>
      <c r="P169" s="142"/>
      <c r="Q169" s="33"/>
      <c r="R169" s="114"/>
    </row>
    <row r="170" spans="1:18" x14ac:dyDescent="0.2">
      <c r="A170" s="107"/>
      <c r="B170" s="33"/>
      <c r="C170" s="33"/>
      <c r="D170" s="33"/>
      <c r="E170" s="673"/>
      <c r="F170" s="144" t="s">
        <v>1073</v>
      </c>
      <c r="G170" s="33"/>
      <c r="H170" s="138"/>
      <c r="I170" s="33"/>
      <c r="J170" s="33"/>
      <c r="K170" s="33"/>
      <c r="L170" s="33"/>
      <c r="M170" s="33"/>
      <c r="N170" s="33"/>
      <c r="O170" s="33"/>
      <c r="P170" s="142"/>
      <c r="Q170" s="33"/>
      <c r="R170" s="114"/>
    </row>
    <row r="171" spans="1:18" x14ac:dyDescent="0.2">
      <c r="A171" s="107"/>
      <c r="B171" s="33"/>
      <c r="C171" s="33"/>
      <c r="D171" s="33"/>
      <c r="E171" s="1955"/>
      <c r="F171" s="144"/>
      <c r="G171" s="33"/>
      <c r="H171" s="138"/>
      <c r="I171" s="33"/>
      <c r="J171" s="33"/>
      <c r="K171" s="33"/>
      <c r="L171" s="33"/>
      <c r="M171" s="33"/>
      <c r="N171" s="33"/>
      <c r="O171" s="33"/>
      <c r="P171" s="142"/>
      <c r="Q171" s="33"/>
      <c r="R171" s="114"/>
    </row>
    <row r="172" spans="1:18" x14ac:dyDescent="0.2">
      <c r="A172" s="107"/>
      <c r="B172" s="33"/>
      <c r="C172" s="33"/>
      <c r="D172" s="33"/>
      <c r="E172" s="1955"/>
      <c r="F172" s="74" t="s">
        <v>2336</v>
      </c>
      <c r="G172" s="33"/>
      <c r="H172" s="138"/>
      <c r="I172" s="33"/>
      <c r="J172" s="33"/>
      <c r="K172" s="33"/>
      <c r="L172" s="33"/>
      <c r="M172" s="33"/>
      <c r="N172" s="33"/>
      <c r="O172" s="33"/>
      <c r="P172" s="142"/>
      <c r="Q172" s="33"/>
      <c r="R172" s="114"/>
    </row>
    <row r="173" spans="1:18" x14ac:dyDescent="0.2">
      <c r="A173" s="107">
        <f>ROUND(SUM(A403:A408),-3)</f>
        <v>32000</v>
      </c>
      <c r="B173" s="33">
        <f>SUM(B403:B408)</f>
        <v>47100</v>
      </c>
      <c r="C173" s="33">
        <f>SUM(C403:C408)</f>
        <v>56400</v>
      </c>
      <c r="D173" s="33">
        <f>SUM(D403:D408)</f>
        <v>46100</v>
      </c>
      <c r="E173" s="238">
        <v>21080</v>
      </c>
      <c r="F173" s="1952" t="s">
        <v>2881</v>
      </c>
      <c r="G173" s="33">
        <f t="shared" ref="G173:O173" si="218">SUM(G403:G408)</f>
        <v>37000</v>
      </c>
      <c r="H173" s="138">
        <f>IF(D173=G173,0,IF(D173=0,100,(G173-D173)/D173*100))</f>
        <v>-19.739696312364423</v>
      </c>
      <c r="I173" s="33">
        <f t="shared" si="218"/>
        <v>28000</v>
      </c>
      <c r="J173" s="33">
        <f t="shared" si="218"/>
        <v>29000</v>
      </c>
      <c r="K173" s="33">
        <f t="shared" si="218"/>
        <v>30000</v>
      </c>
      <c r="L173" s="33">
        <f t="shared" si="218"/>
        <v>31000</v>
      </c>
      <c r="M173" s="33">
        <f t="shared" si="218"/>
        <v>31900</v>
      </c>
      <c r="N173" s="33">
        <f t="shared" si="218"/>
        <v>32800</v>
      </c>
      <c r="O173" s="33">
        <f t="shared" si="218"/>
        <v>33800</v>
      </c>
      <c r="P173" s="142">
        <f t="shared" ref="P173:Q173" si="219">SUM(P403:P408)</f>
        <v>34800</v>
      </c>
      <c r="Q173" s="33">
        <f t="shared" si="219"/>
        <v>35800</v>
      </c>
      <c r="R173" s="114">
        <f t="shared" ref="R173" si="220">SUM(R403:R408)</f>
        <v>36800</v>
      </c>
    </row>
    <row r="174" spans="1:18" x14ac:dyDescent="0.2">
      <c r="A174" s="107">
        <f>SUM(A410)</f>
        <v>56600</v>
      </c>
      <c r="B174" s="33">
        <f>SUM(B410:B410)</f>
        <v>77000</v>
      </c>
      <c r="C174" s="33">
        <f t="shared" ref="C174:D174" si="221">SUM(C410:C410)</f>
        <v>195500</v>
      </c>
      <c r="D174" s="33">
        <f t="shared" si="221"/>
        <v>129800</v>
      </c>
      <c r="E174" s="238">
        <v>21081</v>
      </c>
      <c r="F174" s="1952" t="s">
        <v>2167</v>
      </c>
      <c r="G174" s="33">
        <f>SUM(G410:G410)</f>
        <v>125000</v>
      </c>
      <c r="H174" s="138">
        <f>IF(D174=G174,0,IF(D174=0,100,(G174-D174)/D174*100))</f>
        <v>-3.6979969183359018</v>
      </c>
      <c r="I174" s="33">
        <f t="shared" ref="I174:Q174" si="222">SUM(I410:I410)</f>
        <v>130000</v>
      </c>
      <c r="J174" s="33">
        <f t="shared" si="222"/>
        <v>133300</v>
      </c>
      <c r="K174" s="33">
        <f t="shared" si="222"/>
        <v>136700</v>
      </c>
      <c r="L174" s="33">
        <f t="shared" si="222"/>
        <v>140200</v>
      </c>
      <c r="M174" s="33">
        <f t="shared" si="222"/>
        <v>143100</v>
      </c>
      <c r="N174" s="33">
        <f t="shared" si="222"/>
        <v>146000</v>
      </c>
      <c r="O174" s="33">
        <f t="shared" si="222"/>
        <v>149000</v>
      </c>
      <c r="P174" s="142">
        <f t="shared" si="222"/>
        <v>152000</v>
      </c>
      <c r="Q174" s="33">
        <f t="shared" si="222"/>
        <v>155100</v>
      </c>
      <c r="R174" s="114">
        <f t="shared" ref="R174" si="223">SUM(R410:R410)</f>
        <v>158300</v>
      </c>
    </row>
    <row r="175" spans="1:18" x14ac:dyDescent="0.2">
      <c r="A175" s="107">
        <f>SUM(A411)</f>
        <v>13000</v>
      </c>
      <c r="B175" s="33">
        <f>SUM(B411:B411)</f>
        <v>23100</v>
      </c>
      <c r="C175" s="33">
        <f t="shared" ref="C175:D175" si="224">SUM(C411:C411)</f>
        <v>51500</v>
      </c>
      <c r="D175" s="33">
        <f t="shared" si="224"/>
        <v>44400</v>
      </c>
      <c r="E175" s="238">
        <v>21081</v>
      </c>
      <c r="F175" s="1952" t="s">
        <v>2805</v>
      </c>
      <c r="G175" s="33">
        <f>SUM(G411:G411)</f>
        <v>35000</v>
      </c>
      <c r="H175" s="138">
        <f>IF(D175=G175,0,IF(D175=0,100,(G175-D175)/D175*100))</f>
        <v>-21.171171171171171</v>
      </c>
      <c r="I175" s="33">
        <f t="shared" ref="I175:Q175" si="225">SUM(I411:I411)</f>
        <v>40000</v>
      </c>
      <c r="J175" s="33">
        <f t="shared" si="225"/>
        <v>41000</v>
      </c>
      <c r="K175" s="33">
        <f t="shared" si="225"/>
        <v>42100</v>
      </c>
      <c r="L175" s="33">
        <f t="shared" si="225"/>
        <v>43200</v>
      </c>
      <c r="M175" s="33">
        <f t="shared" si="225"/>
        <v>44100</v>
      </c>
      <c r="N175" s="33">
        <f t="shared" si="225"/>
        <v>45000</v>
      </c>
      <c r="O175" s="33">
        <f t="shared" si="225"/>
        <v>45900</v>
      </c>
      <c r="P175" s="142">
        <f t="shared" si="225"/>
        <v>46900</v>
      </c>
      <c r="Q175" s="33">
        <f t="shared" si="225"/>
        <v>47900</v>
      </c>
      <c r="R175" s="114">
        <f t="shared" ref="R175" si="226">SUM(R411:R411)</f>
        <v>48900</v>
      </c>
    </row>
    <row r="176" spans="1:18" x14ac:dyDescent="0.2">
      <c r="A176" s="107">
        <f>ROUND(SUM(A412:A415),-3)</f>
        <v>9000</v>
      </c>
      <c r="B176" s="33">
        <f>SUM(B412:B415)</f>
        <v>16200</v>
      </c>
      <c r="C176" s="33">
        <f t="shared" ref="C176:D176" si="227">SUM(C412:C415)</f>
        <v>10500</v>
      </c>
      <c r="D176" s="33">
        <f t="shared" si="227"/>
        <v>12800</v>
      </c>
      <c r="E176" s="238">
        <v>21081</v>
      </c>
      <c r="F176" s="1952" t="s">
        <v>6965</v>
      </c>
      <c r="G176" s="33">
        <f>SUM(G412:G415)</f>
        <v>11500</v>
      </c>
      <c r="H176" s="138">
        <f>IF(D176=G176,0,IF(D176=0,100,(G176-D176)/D176*100))</f>
        <v>-10.15625</v>
      </c>
      <c r="I176" s="33">
        <f t="shared" ref="I176:Q176" si="228">SUM(I412:I415)</f>
        <v>12000</v>
      </c>
      <c r="J176" s="33">
        <f t="shared" si="228"/>
        <v>12500</v>
      </c>
      <c r="K176" s="33">
        <f t="shared" si="228"/>
        <v>13000</v>
      </c>
      <c r="L176" s="33">
        <f t="shared" si="228"/>
        <v>13500</v>
      </c>
      <c r="M176" s="33">
        <f t="shared" si="228"/>
        <v>14000</v>
      </c>
      <c r="N176" s="33">
        <f t="shared" si="228"/>
        <v>14500</v>
      </c>
      <c r="O176" s="33">
        <f t="shared" si="228"/>
        <v>15000</v>
      </c>
      <c r="P176" s="142">
        <f t="shared" si="228"/>
        <v>15500</v>
      </c>
      <c r="Q176" s="33">
        <f t="shared" si="228"/>
        <v>16000</v>
      </c>
      <c r="R176" s="114">
        <f t="shared" ref="R176" si="229">SUM(R412:R415)</f>
        <v>16500</v>
      </c>
    </row>
    <row r="177" spans="1:18" ht="13.5" thickBot="1" x14ac:dyDescent="0.25">
      <c r="A177" s="107"/>
      <c r="B177" s="33"/>
      <c r="C177" s="33"/>
      <c r="D177" s="33"/>
      <c r="E177" s="1955"/>
      <c r="F177" s="99"/>
      <c r="G177" s="33"/>
      <c r="H177" s="138"/>
      <c r="I177" s="33"/>
      <c r="J177" s="33"/>
      <c r="K177" s="33"/>
      <c r="L177" s="33"/>
      <c r="M177" s="33"/>
      <c r="N177" s="33"/>
      <c r="O177" s="33"/>
      <c r="P177" s="142"/>
      <c r="Q177" s="33"/>
      <c r="R177" s="114"/>
    </row>
    <row r="178" spans="1:18" s="92" customFormat="1" x14ac:dyDescent="0.2">
      <c r="A178" s="105">
        <f>SUM(A170:A177)</f>
        <v>110600</v>
      </c>
      <c r="B178" s="53">
        <f>SUM(B170:B177)</f>
        <v>163400</v>
      </c>
      <c r="C178" s="53">
        <f>SUM(C170:C177)</f>
        <v>313900</v>
      </c>
      <c r="D178" s="53">
        <f>SUM(D170:D177)</f>
        <v>233100</v>
      </c>
      <c r="E178" s="237"/>
      <c r="F178" s="112" t="s">
        <v>2605</v>
      </c>
      <c r="G178" s="53">
        <f t="shared" ref="G178:O178" si="230">SUM(G170:G177)</f>
        <v>208500</v>
      </c>
      <c r="H178" s="180">
        <f>IF(D178=G178,0,IF(D178=0,100,(G178-D178)/D178*100))</f>
        <v>-10.553410553410554</v>
      </c>
      <c r="I178" s="53">
        <f t="shared" si="230"/>
        <v>210000</v>
      </c>
      <c r="J178" s="53">
        <f t="shared" si="230"/>
        <v>215800</v>
      </c>
      <c r="K178" s="53">
        <f t="shared" si="230"/>
        <v>221800</v>
      </c>
      <c r="L178" s="53">
        <f t="shared" si="230"/>
        <v>227900</v>
      </c>
      <c r="M178" s="53">
        <f t="shared" si="230"/>
        <v>233100</v>
      </c>
      <c r="N178" s="53">
        <f t="shared" si="230"/>
        <v>238300</v>
      </c>
      <c r="O178" s="53">
        <f t="shared" si="230"/>
        <v>243700</v>
      </c>
      <c r="P178" s="155">
        <f t="shared" ref="P178:Q178" si="231">SUM(P170:P177)</f>
        <v>249200</v>
      </c>
      <c r="Q178" s="53">
        <f t="shared" si="231"/>
        <v>254800</v>
      </c>
      <c r="R178" s="113">
        <f t="shared" ref="R178" si="232">SUM(R170:R177)</f>
        <v>260500</v>
      </c>
    </row>
    <row r="179" spans="1:18" x14ac:dyDescent="0.2">
      <c r="A179" s="107"/>
      <c r="B179" s="33"/>
      <c r="C179" s="33"/>
      <c r="D179" s="33"/>
      <c r="E179" s="1955"/>
      <c r="F179" s="99"/>
      <c r="G179" s="33"/>
      <c r="H179" s="138"/>
      <c r="I179" s="33"/>
      <c r="J179" s="33"/>
      <c r="K179" s="33"/>
      <c r="L179" s="33"/>
      <c r="M179" s="33"/>
      <c r="N179" s="33"/>
      <c r="O179" s="33"/>
      <c r="P179" s="142"/>
      <c r="Q179" s="33"/>
      <c r="R179" s="114"/>
    </row>
    <row r="180" spans="1:18" x14ac:dyDescent="0.2">
      <c r="A180" s="107"/>
      <c r="B180" s="33"/>
      <c r="C180" s="33"/>
      <c r="D180" s="33"/>
      <c r="E180" s="1955"/>
      <c r="F180" s="144" t="s">
        <v>2205</v>
      </c>
      <c r="G180" s="33"/>
      <c r="H180" s="138"/>
      <c r="I180" s="33"/>
      <c r="J180" s="33"/>
      <c r="K180" s="33"/>
      <c r="L180" s="33"/>
      <c r="M180" s="33"/>
      <c r="N180" s="33"/>
      <c r="O180" s="33"/>
      <c r="P180" s="142"/>
      <c r="Q180" s="33"/>
      <c r="R180" s="114"/>
    </row>
    <row r="181" spans="1:18" x14ac:dyDescent="0.2">
      <c r="A181" s="107"/>
      <c r="B181" s="33"/>
      <c r="C181" s="33"/>
      <c r="D181" s="33"/>
      <c r="E181" s="1955"/>
      <c r="F181" s="144"/>
      <c r="G181" s="33"/>
      <c r="H181" s="138"/>
      <c r="I181" s="33"/>
      <c r="J181" s="33"/>
      <c r="K181" s="33"/>
      <c r="L181" s="33"/>
      <c r="M181" s="33"/>
      <c r="N181" s="33"/>
      <c r="O181" s="33"/>
      <c r="P181" s="142"/>
      <c r="Q181" s="33"/>
      <c r="R181" s="114"/>
    </row>
    <row r="182" spans="1:18" x14ac:dyDescent="0.2">
      <c r="A182" s="107"/>
      <c r="B182" s="33"/>
      <c r="C182" s="33"/>
      <c r="D182" s="33"/>
      <c r="E182" s="1955"/>
      <c r="F182" s="145" t="s">
        <v>4729</v>
      </c>
      <c r="G182" s="33"/>
      <c r="H182" s="138"/>
      <c r="I182" s="33"/>
      <c r="J182" s="33"/>
      <c r="K182" s="33"/>
      <c r="L182" s="33"/>
      <c r="M182" s="33"/>
      <c r="N182" s="33"/>
      <c r="O182" s="33"/>
      <c r="P182" s="142"/>
      <c r="Q182" s="33"/>
      <c r="R182" s="114"/>
    </row>
    <row r="183" spans="1:18" x14ac:dyDescent="0.2">
      <c r="A183" s="107">
        <f>ROUND(SUM(A419:A421),-3)</f>
        <v>617000</v>
      </c>
      <c r="B183" s="33">
        <f>SUM(B419:B421)</f>
        <v>599400</v>
      </c>
      <c r="C183" s="33">
        <f>SUM(C419:C421)</f>
        <v>586900</v>
      </c>
      <c r="D183" s="33">
        <f>SUM(D419:D421)</f>
        <v>629300</v>
      </c>
      <c r="E183" s="1955">
        <v>31082</v>
      </c>
      <c r="F183" s="78" t="s">
        <v>6981</v>
      </c>
      <c r="G183" s="33">
        <f t="shared" ref="G183:P183" si="233">SUM(G419:G421)</f>
        <v>727800</v>
      </c>
      <c r="H183" s="138">
        <f>IF(D183=G183,0,IF(D183=0,100,(G183-D183)/D183*100))</f>
        <v>15.652312092801527</v>
      </c>
      <c r="I183" s="33">
        <f t="shared" si="233"/>
        <v>742400</v>
      </c>
      <c r="J183" s="33">
        <f t="shared" si="233"/>
        <v>761100</v>
      </c>
      <c r="K183" s="33">
        <f t="shared" si="233"/>
        <v>780200</v>
      </c>
      <c r="L183" s="33">
        <f t="shared" si="233"/>
        <v>799800</v>
      </c>
      <c r="M183" s="33">
        <f t="shared" si="233"/>
        <v>819800</v>
      </c>
      <c r="N183" s="33">
        <f t="shared" si="233"/>
        <v>840400</v>
      </c>
      <c r="O183" s="33">
        <f t="shared" si="233"/>
        <v>861500</v>
      </c>
      <c r="P183" s="142">
        <f t="shared" si="233"/>
        <v>883100</v>
      </c>
      <c r="Q183" s="33">
        <f t="shared" ref="Q183" si="234">SUM(Q419:Q421)</f>
        <v>905300</v>
      </c>
      <c r="R183" s="114">
        <f t="shared" ref="R183" si="235">SUM(R419:R421)</f>
        <v>928000</v>
      </c>
    </row>
    <row r="184" spans="1:18" x14ac:dyDescent="0.2">
      <c r="A184" s="107"/>
      <c r="B184" s="33"/>
      <c r="C184" s="33"/>
      <c r="D184" s="33"/>
      <c r="E184" s="1955"/>
      <c r="F184" s="144"/>
      <c r="G184" s="33"/>
      <c r="H184" s="138"/>
      <c r="I184" s="33"/>
      <c r="J184" s="33"/>
      <c r="K184" s="33"/>
      <c r="L184" s="33"/>
      <c r="M184" s="33"/>
      <c r="N184" s="33"/>
      <c r="O184" s="33"/>
      <c r="P184" s="142"/>
      <c r="Q184" s="33"/>
      <c r="R184" s="114"/>
    </row>
    <row r="185" spans="1:18" x14ac:dyDescent="0.2">
      <c r="A185" s="107"/>
      <c r="B185" s="33"/>
      <c r="C185" s="33"/>
      <c r="D185" s="33"/>
      <c r="E185" s="1955"/>
      <c r="F185" s="175" t="s">
        <v>2301</v>
      </c>
      <c r="G185" s="33"/>
      <c r="H185" s="138"/>
      <c r="I185" s="33"/>
      <c r="J185" s="33"/>
      <c r="K185" s="33"/>
      <c r="L185" s="33"/>
      <c r="M185" s="33"/>
      <c r="N185" s="33"/>
      <c r="O185" s="33"/>
      <c r="P185" s="142"/>
      <c r="Q185" s="33"/>
      <c r="R185" s="114"/>
    </row>
    <row r="186" spans="1:18" x14ac:dyDescent="0.2">
      <c r="A186" s="107">
        <f>ROUND(SUM(A423:A425),-3)</f>
        <v>332000</v>
      </c>
      <c r="B186" s="33">
        <f>SUM(B423:B425)</f>
        <v>394400</v>
      </c>
      <c r="C186" s="33">
        <f>SUM(C422:C425)</f>
        <v>443300</v>
      </c>
      <c r="D186" s="33">
        <f>SUM(D422:D425)</f>
        <v>469800</v>
      </c>
      <c r="E186" s="1955">
        <v>31080</v>
      </c>
      <c r="F186" s="99" t="s">
        <v>1341</v>
      </c>
      <c r="G186" s="33">
        <f t="shared" ref="G186:P186" si="236">SUM(G422:G425)</f>
        <v>451500</v>
      </c>
      <c r="H186" s="138">
        <f>IF(D186=G186,0,IF(D186=0,100,(G186-D186)/D186*100))</f>
        <v>-3.8952745849297572</v>
      </c>
      <c r="I186" s="33">
        <f t="shared" si="236"/>
        <v>460500</v>
      </c>
      <c r="J186" s="33">
        <f t="shared" si="236"/>
        <v>472200</v>
      </c>
      <c r="K186" s="33">
        <f t="shared" si="236"/>
        <v>484200</v>
      </c>
      <c r="L186" s="33">
        <f t="shared" si="236"/>
        <v>496500</v>
      </c>
      <c r="M186" s="33">
        <f t="shared" si="236"/>
        <v>509100</v>
      </c>
      <c r="N186" s="33">
        <f t="shared" si="236"/>
        <v>522000</v>
      </c>
      <c r="O186" s="33">
        <f t="shared" si="236"/>
        <v>535200</v>
      </c>
      <c r="P186" s="142">
        <f t="shared" si="236"/>
        <v>548700</v>
      </c>
      <c r="Q186" s="33">
        <f t="shared" ref="Q186" si="237">SUM(Q422:Q425)</f>
        <v>562500</v>
      </c>
      <c r="R186" s="114">
        <f t="shared" ref="R186" si="238">SUM(R422:R425)</f>
        <v>576700</v>
      </c>
    </row>
    <row r="187" spans="1:18" x14ac:dyDescent="0.2">
      <c r="A187" s="107">
        <f>ROUND(SUM(A426:A442),-3)</f>
        <v>48000</v>
      </c>
      <c r="B187" s="33">
        <f>SUM(B426:B442)</f>
        <v>73700</v>
      </c>
      <c r="C187" s="33">
        <f>SUM(C426:C442)</f>
        <v>73900</v>
      </c>
      <c r="D187" s="33">
        <f>SUM(D426:D442)</f>
        <v>70700</v>
      </c>
      <c r="E187" s="1955">
        <v>31083</v>
      </c>
      <c r="F187" s="1981" t="s">
        <v>1684</v>
      </c>
      <c r="G187" s="33">
        <f t="shared" ref="G187:P187" si="239">SUM(G426:G442)</f>
        <v>79600</v>
      </c>
      <c r="H187" s="138">
        <f>IF(D187=G187,0,IF(D187=0,100,(G187-D187)/D187*100))</f>
        <v>12.588401697312587</v>
      </c>
      <c r="I187" s="33">
        <f t="shared" si="239"/>
        <v>76900</v>
      </c>
      <c r="J187" s="33">
        <f t="shared" si="239"/>
        <v>79600</v>
      </c>
      <c r="K187" s="33">
        <f t="shared" si="239"/>
        <v>82600</v>
      </c>
      <c r="L187" s="33">
        <f t="shared" si="239"/>
        <v>85600</v>
      </c>
      <c r="M187" s="33">
        <f t="shared" si="239"/>
        <v>88200</v>
      </c>
      <c r="N187" s="33">
        <f t="shared" si="239"/>
        <v>90800</v>
      </c>
      <c r="O187" s="33">
        <f t="shared" si="239"/>
        <v>93400</v>
      </c>
      <c r="P187" s="142">
        <f t="shared" si="239"/>
        <v>96000</v>
      </c>
      <c r="Q187" s="33">
        <f t="shared" ref="Q187" si="240">SUM(Q426:Q442)</f>
        <v>98600</v>
      </c>
      <c r="R187" s="114">
        <f t="shared" ref="R187" si="241">SUM(R426:R442)</f>
        <v>101300</v>
      </c>
    </row>
    <row r="188" spans="1:18" x14ac:dyDescent="0.2">
      <c r="A188" s="107"/>
      <c r="B188" s="33"/>
      <c r="C188" s="33"/>
      <c r="D188" s="33"/>
      <c r="E188" s="238"/>
      <c r="F188" s="1981"/>
      <c r="G188" s="33"/>
      <c r="H188" s="138"/>
      <c r="I188" s="33"/>
      <c r="J188" s="33"/>
      <c r="K188" s="33"/>
      <c r="L188" s="33"/>
      <c r="M188" s="33"/>
      <c r="N188" s="33"/>
      <c r="O188" s="33"/>
      <c r="P188" s="142"/>
      <c r="Q188" s="33"/>
      <c r="R188" s="114"/>
    </row>
    <row r="189" spans="1:18" x14ac:dyDescent="0.2">
      <c r="A189" s="107"/>
      <c r="B189" s="33"/>
      <c r="C189" s="33"/>
      <c r="D189" s="33"/>
      <c r="E189" s="238"/>
      <c r="F189" s="175" t="s">
        <v>1130</v>
      </c>
      <c r="G189" s="33"/>
      <c r="H189" s="138"/>
      <c r="I189" s="33"/>
      <c r="J189" s="33"/>
      <c r="K189" s="33"/>
      <c r="L189" s="33"/>
      <c r="M189" s="33"/>
      <c r="N189" s="33"/>
      <c r="O189" s="33"/>
      <c r="P189" s="142"/>
      <c r="Q189" s="33"/>
      <c r="R189" s="114"/>
    </row>
    <row r="190" spans="1:18" x14ac:dyDescent="0.2">
      <c r="A190" s="107">
        <f>ROUND(SUM(A443:A444),-3)</f>
        <v>3000</v>
      </c>
      <c r="B190" s="33">
        <f>SUM(B443:B444)</f>
        <v>3000</v>
      </c>
      <c r="C190" s="33">
        <f>SUM(C443:C444)</f>
        <v>2500</v>
      </c>
      <c r="D190" s="33">
        <f>SUM(D443:D444)</f>
        <v>2200</v>
      </c>
      <c r="E190" s="238">
        <v>31083</v>
      </c>
      <c r="F190" s="1981" t="s">
        <v>707</v>
      </c>
      <c r="G190" s="33">
        <f t="shared" ref="G190:O190" si="242">SUM(G443:G444)</f>
        <v>1800</v>
      </c>
      <c r="H190" s="138">
        <f>IF(D190=G190,0,IF(D190=0,100,(G190-D190)/D190*100))</f>
        <v>-18.181818181818183</v>
      </c>
      <c r="I190" s="33">
        <f t="shared" si="242"/>
        <v>1300</v>
      </c>
      <c r="J190" s="33">
        <f t="shared" si="242"/>
        <v>800</v>
      </c>
      <c r="K190" s="33">
        <f t="shared" si="242"/>
        <v>300</v>
      </c>
      <c r="L190" s="33">
        <f t="shared" si="242"/>
        <v>0</v>
      </c>
      <c r="M190" s="33">
        <f t="shared" si="242"/>
        <v>0</v>
      </c>
      <c r="N190" s="33">
        <f t="shared" si="242"/>
        <v>0</v>
      </c>
      <c r="O190" s="33">
        <f t="shared" si="242"/>
        <v>0</v>
      </c>
      <c r="P190" s="142">
        <f t="shared" ref="P190:Q190" si="243">SUM(P443:P444)</f>
        <v>0</v>
      </c>
      <c r="Q190" s="33">
        <f t="shared" si="243"/>
        <v>0</v>
      </c>
      <c r="R190" s="114">
        <f t="shared" ref="R190" si="244">SUM(R443:R444)</f>
        <v>0</v>
      </c>
    </row>
    <row r="191" spans="1:18" x14ac:dyDescent="0.2">
      <c r="A191" s="107"/>
      <c r="B191" s="33"/>
      <c r="C191" s="33"/>
      <c r="D191" s="33"/>
      <c r="E191" s="238"/>
      <c r="F191" s="1981"/>
      <c r="G191" s="33"/>
      <c r="H191" s="138"/>
      <c r="I191" s="33"/>
      <c r="J191" s="33"/>
      <c r="K191" s="33"/>
      <c r="L191" s="33"/>
      <c r="M191" s="33"/>
      <c r="N191" s="33"/>
      <c r="O191" s="33"/>
      <c r="P191" s="142"/>
      <c r="Q191" s="33"/>
      <c r="R191" s="114"/>
    </row>
    <row r="192" spans="1:18" x14ac:dyDescent="0.2">
      <c r="A192" s="107"/>
      <c r="B192" s="33"/>
      <c r="C192" s="33"/>
      <c r="D192" s="33"/>
      <c r="E192" s="238"/>
      <c r="F192" s="1308" t="s">
        <v>265</v>
      </c>
      <c r="G192" s="33"/>
      <c r="H192" s="138"/>
      <c r="I192" s="33"/>
      <c r="J192" s="33"/>
      <c r="K192" s="33"/>
      <c r="L192" s="33"/>
      <c r="M192" s="33"/>
      <c r="N192" s="33"/>
      <c r="O192" s="33"/>
      <c r="P192" s="142"/>
      <c r="Q192" s="33"/>
      <c r="R192" s="114"/>
    </row>
    <row r="193" spans="1:18" x14ac:dyDescent="0.2">
      <c r="A193" s="107">
        <f>ROUND(A446,-3)</f>
        <v>5000</v>
      </c>
      <c r="B193" s="33">
        <f>B446</f>
        <v>9800</v>
      </c>
      <c r="C193" s="33">
        <f>C446</f>
        <v>4400</v>
      </c>
      <c r="D193" s="33">
        <f>D446</f>
        <v>4500</v>
      </c>
      <c r="E193" s="238">
        <v>31083</v>
      </c>
      <c r="F193" s="1981" t="s">
        <v>2557</v>
      </c>
      <c r="G193" s="33">
        <f t="shared" ref="G193:O193" si="245">G446</f>
        <v>4400</v>
      </c>
      <c r="H193" s="138">
        <f>IF(D193=G193,0,IF(D193=0,100,(G193-D193)/D193*100))</f>
        <v>-2.2222222222222223</v>
      </c>
      <c r="I193" s="33">
        <f t="shared" si="245"/>
        <v>4500</v>
      </c>
      <c r="J193" s="33">
        <f t="shared" si="245"/>
        <v>4600</v>
      </c>
      <c r="K193" s="33">
        <f t="shared" si="245"/>
        <v>4700</v>
      </c>
      <c r="L193" s="33">
        <f t="shared" si="245"/>
        <v>4800</v>
      </c>
      <c r="M193" s="33">
        <f t="shared" si="245"/>
        <v>4900</v>
      </c>
      <c r="N193" s="33">
        <f t="shared" si="245"/>
        <v>5000</v>
      </c>
      <c r="O193" s="33">
        <f t="shared" si="245"/>
        <v>5100</v>
      </c>
      <c r="P193" s="142">
        <f t="shared" ref="P193:Q193" si="246">P446</f>
        <v>5300</v>
      </c>
      <c r="Q193" s="33">
        <f t="shared" si="246"/>
        <v>5500</v>
      </c>
      <c r="R193" s="114">
        <f t="shared" ref="R193" si="247">R446</f>
        <v>5700</v>
      </c>
    </row>
    <row r="194" spans="1:18" ht="13.5" thickBot="1" x14ac:dyDescent="0.25">
      <c r="A194" s="107"/>
      <c r="B194" s="33"/>
      <c r="C194" s="33"/>
      <c r="D194" s="33"/>
      <c r="E194" s="1955"/>
      <c r="F194" s="108"/>
      <c r="G194" s="33"/>
      <c r="H194" s="138"/>
      <c r="I194" s="33"/>
      <c r="J194" s="33"/>
      <c r="K194" s="33"/>
      <c r="L194" s="33"/>
      <c r="M194" s="33"/>
      <c r="N194" s="33"/>
      <c r="O194" s="33"/>
      <c r="P194" s="142"/>
      <c r="Q194" s="33"/>
      <c r="R194" s="114"/>
    </row>
    <row r="195" spans="1:18" s="92" customFormat="1" x14ac:dyDescent="0.2">
      <c r="A195" s="105">
        <f>SUM(A180:A194)</f>
        <v>1005000</v>
      </c>
      <c r="B195" s="53">
        <f>SUM(B180:B194)</f>
        <v>1080300</v>
      </c>
      <c r="C195" s="53">
        <f>SUM(C180:C194)</f>
        <v>1111000</v>
      </c>
      <c r="D195" s="53">
        <f>SUM(D180:D194)</f>
        <v>1176500</v>
      </c>
      <c r="E195" s="674"/>
      <c r="F195" s="112" t="s">
        <v>565</v>
      </c>
      <c r="G195" s="53">
        <f t="shared" ref="G195:O195" si="248">SUM(G180:G194)</f>
        <v>1265100</v>
      </c>
      <c r="H195" s="180">
        <f>IF(D195=G195,0,IF(D195=0,100,(G195-D195)/D195*100))</f>
        <v>7.5308117297067572</v>
      </c>
      <c r="I195" s="53">
        <f t="shared" si="248"/>
        <v>1285600</v>
      </c>
      <c r="J195" s="53">
        <f t="shared" si="248"/>
        <v>1318300</v>
      </c>
      <c r="K195" s="53">
        <f t="shared" si="248"/>
        <v>1352000</v>
      </c>
      <c r="L195" s="53">
        <f t="shared" si="248"/>
        <v>1386700</v>
      </c>
      <c r="M195" s="53">
        <f t="shared" si="248"/>
        <v>1422000</v>
      </c>
      <c r="N195" s="53">
        <f t="shared" si="248"/>
        <v>1458200</v>
      </c>
      <c r="O195" s="53">
        <f t="shared" si="248"/>
        <v>1495200</v>
      </c>
      <c r="P195" s="155">
        <f t="shared" ref="P195:Q195" si="249">SUM(P180:P194)</f>
        <v>1533100</v>
      </c>
      <c r="Q195" s="53">
        <f t="shared" si="249"/>
        <v>1571900</v>
      </c>
      <c r="R195" s="113">
        <f t="shared" ref="R195" si="250">SUM(R180:R194)</f>
        <v>1611700</v>
      </c>
    </row>
    <row r="196" spans="1:18" x14ac:dyDescent="0.2">
      <c r="A196" s="107"/>
      <c r="B196" s="33"/>
      <c r="C196" s="33"/>
      <c r="D196" s="33"/>
      <c r="E196" s="673"/>
      <c r="F196" s="108"/>
      <c r="G196" s="33"/>
      <c r="H196" s="138"/>
      <c r="I196" s="33"/>
      <c r="J196" s="33"/>
      <c r="K196" s="33"/>
      <c r="L196" s="33"/>
      <c r="M196" s="33"/>
      <c r="N196" s="33"/>
      <c r="O196" s="33"/>
      <c r="P196" s="142"/>
      <c r="Q196" s="33"/>
      <c r="R196" s="114"/>
    </row>
    <row r="197" spans="1:18" s="92" customFormat="1" x14ac:dyDescent="0.2">
      <c r="A197" s="70">
        <f>A178-A195</f>
        <v>-894400</v>
      </c>
      <c r="B197" s="64">
        <f>B178-B195</f>
        <v>-916900</v>
      </c>
      <c r="C197" s="64">
        <f>C178-C195</f>
        <v>-797100</v>
      </c>
      <c r="D197" s="64">
        <f>D178-D195</f>
        <v>-943400</v>
      </c>
      <c r="E197" s="674"/>
      <c r="F197" s="522" t="s">
        <v>1019</v>
      </c>
      <c r="G197" s="64">
        <f t="shared" ref="G197:O197" si="251">G178-G195</f>
        <v>-1056600</v>
      </c>
      <c r="H197" s="179">
        <f>IF(D197=G197,0,IF(D197=0,100,(G197-D197)/D197*100))</f>
        <v>11.999152003391988</v>
      </c>
      <c r="I197" s="64">
        <f t="shared" si="251"/>
        <v>-1075600</v>
      </c>
      <c r="J197" s="64">
        <f t="shared" si="251"/>
        <v>-1102500</v>
      </c>
      <c r="K197" s="64">
        <f t="shared" si="251"/>
        <v>-1130200</v>
      </c>
      <c r="L197" s="64">
        <f t="shared" si="251"/>
        <v>-1158800</v>
      </c>
      <c r="M197" s="64">
        <f t="shared" si="251"/>
        <v>-1188900</v>
      </c>
      <c r="N197" s="64">
        <f t="shared" si="251"/>
        <v>-1219900</v>
      </c>
      <c r="O197" s="64">
        <f t="shared" si="251"/>
        <v>-1251500</v>
      </c>
      <c r="P197" s="128">
        <f t="shared" ref="P197:Q197" si="252">P178-P195</f>
        <v>-1283900</v>
      </c>
      <c r="Q197" s="64">
        <f t="shared" si="252"/>
        <v>-1317100</v>
      </c>
      <c r="R197" s="115">
        <f t="shared" ref="R197" si="253">R178-R195</f>
        <v>-1351200</v>
      </c>
    </row>
    <row r="198" spans="1:18" x14ac:dyDescent="0.2">
      <c r="A198" s="98">
        <f>A193</f>
        <v>5000</v>
      </c>
      <c r="B198" s="33">
        <f>B193</f>
        <v>9800</v>
      </c>
      <c r="C198" s="33">
        <f>C193</f>
        <v>4400</v>
      </c>
      <c r="D198" s="33">
        <f>D193</f>
        <v>4500</v>
      </c>
      <c r="E198" s="673"/>
      <c r="F198" s="2531" t="s">
        <v>1976</v>
      </c>
      <c r="G198" s="33">
        <f t="shared" ref="G198:O198" si="254">G193</f>
        <v>4400</v>
      </c>
      <c r="H198" s="138">
        <f>IF(D198=G198,0,IF(D198=0,100,(G198-D198)/D198*100))</f>
        <v>-2.2222222222222223</v>
      </c>
      <c r="I198" s="33">
        <f t="shared" si="254"/>
        <v>4500</v>
      </c>
      <c r="J198" s="33">
        <f t="shared" si="254"/>
        <v>4600</v>
      </c>
      <c r="K198" s="33">
        <f t="shared" si="254"/>
        <v>4700</v>
      </c>
      <c r="L198" s="33">
        <f t="shared" si="254"/>
        <v>4800</v>
      </c>
      <c r="M198" s="33">
        <f t="shared" si="254"/>
        <v>4900</v>
      </c>
      <c r="N198" s="33">
        <f t="shared" si="254"/>
        <v>5000</v>
      </c>
      <c r="O198" s="33">
        <f t="shared" si="254"/>
        <v>5100</v>
      </c>
      <c r="P198" s="142">
        <f t="shared" ref="P198:Q198" si="255">P193</f>
        <v>5300</v>
      </c>
      <c r="Q198" s="33">
        <f t="shared" si="255"/>
        <v>5500</v>
      </c>
      <c r="R198" s="114">
        <f t="shared" ref="R198" si="256">R193</f>
        <v>5700</v>
      </c>
    </row>
    <row r="199" spans="1:18" s="92" customFormat="1" x14ac:dyDescent="0.2">
      <c r="A199" s="750">
        <f>A197+A198</f>
        <v>-889400</v>
      </c>
      <c r="B199" s="397">
        <f>B197+B198</f>
        <v>-907100</v>
      </c>
      <c r="C199" s="397">
        <f>C197+C198</f>
        <v>-792700</v>
      </c>
      <c r="D199" s="397">
        <f>D197+D198</f>
        <v>-938900</v>
      </c>
      <c r="E199" s="675"/>
      <c r="F199" s="1972" t="s">
        <v>1687</v>
      </c>
      <c r="G199" s="397">
        <f t="shared" ref="G199:O199" si="257">G197+G198</f>
        <v>-1052200</v>
      </c>
      <c r="H199" s="395">
        <f>IF(D199=G199,0,IF(D199=0,100,(G199-D199)/D199*100))</f>
        <v>12.06731281286612</v>
      </c>
      <c r="I199" s="397">
        <f t="shared" si="257"/>
        <v>-1071100</v>
      </c>
      <c r="J199" s="397">
        <f t="shared" si="257"/>
        <v>-1097900</v>
      </c>
      <c r="K199" s="397">
        <f t="shared" si="257"/>
        <v>-1125500</v>
      </c>
      <c r="L199" s="397">
        <f t="shared" si="257"/>
        <v>-1154000</v>
      </c>
      <c r="M199" s="397">
        <f t="shared" si="257"/>
        <v>-1184000</v>
      </c>
      <c r="N199" s="397">
        <f t="shared" si="257"/>
        <v>-1214900</v>
      </c>
      <c r="O199" s="397">
        <f t="shared" si="257"/>
        <v>-1246400</v>
      </c>
      <c r="P199" s="377">
        <f t="shared" ref="P199:Q199" si="258">P197+P198</f>
        <v>-1278600</v>
      </c>
      <c r="Q199" s="397">
        <f t="shared" si="258"/>
        <v>-1311600</v>
      </c>
      <c r="R199" s="399">
        <f t="shared" ref="R199" si="259">R197+R198</f>
        <v>-1345500</v>
      </c>
    </row>
    <row r="200" spans="1:18" ht="13.5" thickBot="1" x14ac:dyDescent="0.25">
      <c r="A200" s="614"/>
      <c r="B200" s="90"/>
      <c r="C200" s="90"/>
      <c r="D200" s="90"/>
      <c r="E200" s="685"/>
      <c r="F200" s="119"/>
      <c r="G200" s="90"/>
      <c r="H200" s="392"/>
      <c r="I200" s="121"/>
      <c r="J200" s="121"/>
      <c r="K200" s="121"/>
      <c r="L200" s="121"/>
      <c r="M200" s="121"/>
      <c r="N200" s="121"/>
      <c r="O200" s="121"/>
      <c r="P200" s="95"/>
      <c r="Q200" s="121"/>
      <c r="R200" s="161"/>
    </row>
    <row r="201" spans="1:18" ht="13.5" thickTop="1" x14ac:dyDescent="0.2">
      <c r="A201" s="2498"/>
      <c r="B201" s="162"/>
      <c r="C201" s="162"/>
      <c r="D201" s="162"/>
      <c r="E201" s="657"/>
      <c r="F201" s="124"/>
      <c r="G201" s="162"/>
      <c r="H201" s="505"/>
      <c r="I201" s="127"/>
      <c r="J201" s="127"/>
      <c r="K201" s="127"/>
      <c r="L201" s="127"/>
      <c r="M201" s="127"/>
      <c r="N201" s="127"/>
      <c r="O201" s="127"/>
      <c r="P201" s="164"/>
      <c r="Q201" s="127"/>
      <c r="R201" s="163"/>
    </row>
    <row r="202" spans="1:18" x14ac:dyDescent="0.2">
      <c r="A202" s="751"/>
      <c r="B202" s="64"/>
      <c r="C202" s="64"/>
      <c r="D202" s="64"/>
      <c r="E202" s="657"/>
      <c r="F202" s="1962" t="s">
        <v>196</v>
      </c>
      <c r="G202" s="64"/>
      <c r="H202" s="179"/>
      <c r="I202" s="33"/>
      <c r="J202" s="33"/>
      <c r="K202" s="33"/>
      <c r="L202" s="33"/>
      <c r="M202" s="33"/>
      <c r="N202" s="33"/>
      <c r="O202" s="33"/>
      <c r="P202" s="142"/>
      <c r="Q202" s="33"/>
      <c r="R202" s="114"/>
    </row>
    <row r="203" spans="1:18" x14ac:dyDescent="0.2">
      <c r="A203" s="751"/>
      <c r="B203" s="64"/>
      <c r="C203" s="64"/>
      <c r="D203" s="64"/>
      <c r="E203" s="657"/>
      <c r="F203" s="175"/>
      <c r="G203" s="64"/>
      <c r="H203" s="179"/>
      <c r="I203" s="33"/>
      <c r="J203" s="33"/>
      <c r="K203" s="33"/>
      <c r="L203" s="33"/>
      <c r="M203" s="33"/>
      <c r="N203" s="33"/>
      <c r="O203" s="33"/>
      <c r="P203" s="142"/>
      <c r="Q203" s="33"/>
      <c r="R203" s="114"/>
    </row>
    <row r="204" spans="1:18" x14ac:dyDescent="0.2">
      <c r="A204" s="98">
        <f t="shared" ref="A204:A208" si="260">ROUND(A454,-3)</f>
        <v>6000</v>
      </c>
      <c r="B204" s="33">
        <f t="shared" ref="B204:C208" si="261">B454</f>
        <v>6100</v>
      </c>
      <c r="C204" s="33">
        <f t="shared" si="261"/>
        <v>6500</v>
      </c>
      <c r="D204" s="33">
        <f>D454</f>
        <v>6900</v>
      </c>
      <c r="E204" s="657"/>
      <c r="F204" s="1979" t="s">
        <v>1791</v>
      </c>
      <c r="G204" s="33">
        <f t="shared" ref="G204:O204" si="262">G454</f>
        <v>7300</v>
      </c>
      <c r="H204" s="138"/>
      <c r="I204" s="33">
        <f t="shared" si="262"/>
        <v>7800</v>
      </c>
      <c r="J204" s="33">
        <f t="shared" si="262"/>
        <v>8300</v>
      </c>
      <c r="K204" s="33">
        <f t="shared" si="262"/>
        <v>7300</v>
      </c>
      <c r="L204" s="33">
        <f t="shared" si="262"/>
        <v>0</v>
      </c>
      <c r="M204" s="33">
        <f t="shared" si="262"/>
        <v>0</v>
      </c>
      <c r="N204" s="33">
        <f t="shared" si="262"/>
        <v>0</v>
      </c>
      <c r="O204" s="33">
        <f t="shared" si="262"/>
        <v>0</v>
      </c>
      <c r="P204" s="142">
        <f t="shared" ref="P204:Q204" si="263">P454</f>
        <v>0</v>
      </c>
      <c r="Q204" s="33">
        <f t="shared" si="263"/>
        <v>0</v>
      </c>
      <c r="R204" s="114">
        <f t="shared" ref="R204" si="264">R454</f>
        <v>0</v>
      </c>
    </row>
    <row r="205" spans="1:18" x14ac:dyDescent="0.2">
      <c r="A205" s="98">
        <f t="shared" si="260"/>
        <v>134000</v>
      </c>
      <c r="B205" s="33">
        <f t="shared" si="261"/>
        <v>385300</v>
      </c>
      <c r="C205" s="33">
        <f t="shared" si="261"/>
        <v>0</v>
      </c>
      <c r="D205" s="33">
        <f>D455</f>
        <v>0</v>
      </c>
      <c r="E205" s="657"/>
      <c r="F205" s="1981" t="s">
        <v>1942</v>
      </c>
      <c r="G205" s="33">
        <f t="shared" ref="G205:O205" si="265">G455</f>
        <v>0</v>
      </c>
      <c r="H205" s="138"/>
      <c r="I205" s="33">
        <f t="shared" si="265"/>
        <v>0</v>
      </c>
      <c r="J205" s="33">
        <f t="shared" si="265"/>
        <v>0</v>
      </c>
      <c r="K205" s="33">
        <f t="shared" si="265"/>
        <v>0</v>
      </c>
      <c r="L205" s="33">
        <f t="shared" si="265"/>
        <v>0</v>
      </c>
      <c r="M205" s="33">
        <f t="shared" si="265"/>
        <v>0</v>
      </c>
      <c r="N205" s="33">
        <f t="shared" si="265"/>
        <v>0</v>
      </c>
      <c r="O205" s="33">
        <f t="shared" si="265"/>
        <v>0</v>
      </c>
      <c r="P205" s="142">
        <f t="shared" ref="P205:Q205" si="266">P455</f>
        <v>0</v>
      </c>
      <c r="Q205" s="33">
        <f t="shared" si="266"/>
        <v>0</v>
      </c>
      <c r="R205" s="114">
        <f t="shared" ref="R205" si="267">R455</f>
        <v>0</v>
      </c>
    </row>
    <row r="206" spans="1:18" x14ac:dyDescent="0.2">
      <c r="A206" s="98">
        <f t="shared" si="260"/>
        <v>276000</v>
      </c>
      <c r="B206" s="33">
        <f t="shared" si="261"/>
        <v>843800</v>
      </c>
      <c r="C206" s="142">
        <f t="shared" si="261"/>
        <v>25300</v>
      </c>
      <c r="D206" s="142">
        <f>D456</f>
        <v>0</v>
      </c>
      <c r="E206" s="657"/>
      <c r="F206" s="1981" t="s">
        <v>2348</v>
      </c>
      <c r="G206" s="33">
        <f t="shared" ref="G206:O206" si="268">G456</f>
        <v>0</v>
      </c>
      <c r="H206" s="138"/>
      <c r="I206" s="33">
        <f t="shared" si="268"/>
        <v>0</v>
      </c>
      <c r="J206" s="33">
        <f t="shared" si="268"/>
        <v>0</v>
      </c>
      <c r="K206" s="33">
        <f t="shared" si="268"/>
        <v>0</v>
      </c>
      <c r="L206" s="33">
        <f t="shared" si="268"/>
        <v>0</v>
      </c>
      <c r="M206" s="33">
        <f t="shared" si="268"/>
        <v>0</v>
      </c>
      <c r="N206" s="33">
        <f t="shared" si="268"/>
        <v>0</v>
      </c>
      <c r="O206" s="33">
        <f t="shared" si="268"/>
        <v>0</v>
      </c>
      <c r="P206" s="142">
        <f t="shared" ref="P206:Q206" si="269">P456</f>
        <v>0</v>
      </c>
      <c r="Q206" s="33">
        <f t="shared" si="269"/>
        <v>0</v>
      </c>
      <c r="R206" s="114">
        <f t="shared" ref="R206" si="270">R456</f>
        <v>0</v>
      </c>
    </row>
    <row r="207" spans="1:18" x14ac:dyDescent="0.2">
      <c r="A207" s="98">
        <f t="shared" si="260"/>
        <v>0</v>
      </c>
      <c r="B207" s="33">
        <f t="shared" si="261"/>
        <v>340000</v>
      </c>
      <c r="C207" s="33">
        <f t="shared" si="261"/>
        <v>0</v>
      </c>
      <c r="D207" s="33">
        <f>D457</f>
        <v>0</v>
      </c>
      <c r="E207" s="657"/>
      <c r="F207" s="1981" t="s">
        <v>5984</v>
      </c>
      <c r="G207" s="33">
        <f t="shared" ref="G207:O207" si="271">G457</f>
        <v>0</v>
      </c>
      <c r="H207" s="138"/>
      <c r="I207" s="33">
        <f t="shared" si="271"/>
        <v>0</v>
      </c>
      <c r="J207" s="33">
        <f t="shared" si="271"/>
        <v>0</v>
      </c>
      <c r="K207" s="33">
        <f t="shared" si="271"/>
        <v>0</v>
      </c>
      <c r="L207" s="33">
        <f t="shared" si="271"/>
        <v>0</v>
      </c>
      <c r="M207" s="33">
        <f t="shared" si="271"/>
        <v>0</v>
      </c>
      <c r="N207" s="33">
        <f t="shared" si="271"/>
        <v>0</v>
      </c>
      <c r="O207" s="33">
        <f t="shared" si="271"/>
        <v>0</v>
      </c>
      <c r="P207" s="142">
        <f t="shared" ref="P207:Q207" si="272">P457</f>
        <v>0</v>
      </c>
      <c r="Q207" s="33">
        <f t="shared" si="272"/>
        <v>0</v>
      </c>
      <c r="R207" s="114">
        <f t="shared" ref="R207" si="273">R457</f>
        <v>0</v>
      </c>
    </row>
    <row r="208" spans="1:18" x14ac:dyDescent="0.2">
      <c r="A208" s="98">
        <f t="shared" si="260"/>
        <v>142000</v>
      </c>
      <c r="B208" s="33">
        <f t="shared" si="261"/>
        <v>796900</v>
      </c>
      <c r="C208" s="33">
        <f t="shared" si="261"/>
        <v>22400</v>
      </c>
      <c r="D208" s="33">
        <f>D458</f>
        <v>5100</v>
      </c>
      <c r="E208" s="657"/>
      <c r="F208" s="1981" t="s">
        <v>972</v>
      </c>
      <c r="G208" s="33">
        <f t="shared" ref="G208:O208" si="274">G458</f>
        <v>0</v>
      </c>
      <c r="H208" s="138"/>
      <c r="I208" s="33">
        <f t="shared" si="274"/>
        <v>0</v>
      </c>
      <c r="J208" s="33">
        <f t="shared" si="274"/>
        <v>0</v>
      </c>
      <c r="K208" s="33">
        <f t="shared" si="274"/>
        <v>0</v>
      </c>
      <c r="L208" s="33">
        <f t="shared" si="274"/>
        <v>0</v>
      </c>
      <c r="M208" s="33">
        <f t="shared" si="274"/>
        <v>0</v>
      </c>
      <c r="N208" s="33">
        <f t="shared" si="274"/>
        <v>0</v>
      </c>
      <c r="O208" s="33">
        <f t="shared" si="274"/>
        <v>0</v>
      </c>
      <c r="P208" s="142">
        <f t="shared" ref="P208:Q208" si="275">P458</f>
        <v>0</v>
      </c>
      <c r="Q208" s="33">
        <f t="shared" si="275"/>
        <v>0</v>
      </c>
      <c r="R208" s="114">
        <f t="shared" ref="R208" si="276">R458</f>
        <v>0</v>
      </c>
    </row>
    <row r="209" spans="1:19" x14ac:dyDescent="0.2">
      <c r="A209" s="98"/>
      <c r="B209" s="33"/>
      <c r="C209" s="33"/>
      <c r="D209" s="33"/>
      <c r="E209" s="657"/>
      <c r="F209" s="1962"/>
      <c r="G209" s="33"/>
      <c r="H209" s="138"/>
      <c r="I209" s="33"/>
      <c r="J209" s="33"/>
      <c r="K209" s="33"/>
      <c r="L209" s="33"/>
      <c r="M209" s="33"/>
      <c r="N209" s="33"/>
      <c r="O209" s="33"/>
      <c r="P209" s="142"/>
      <c r="Q209" s="33"/>
      <c r="R209" s="114"/>
    </row>
    <row r="210" spans="1:19" s="92" customFormat="1" x14ac:dyDescent="0.2">
      <c r="A210" s="750">
        <f>A199-A204-A205+A206++A207-A208</f>
        <v>-895400</v>
      </c>
      <c r="B210" s="397">
        <f>B199-B204-B205+B206++B207-B208</f>
        <v>-911600</v>
      </c>
      <c r="C210" s="397">
        <f>C199-C204-C205+C206++C207-C208</f>
        <v>-796300</v>
      </c>
      <c r="D210" s="397">
        <f>D199-D204-D205+D206++D207-D208</f>
        <v>-950900</v>
      </c>
      <c r="E210" s="678"/>
      <c r="F210" s="1972" t="s">
        <v>2490</v>
      </c>
      <c r="G210" s="397">
        <f t="shared" ref="G210:O210" si="277">G199-G204-G205+G206++G207-G208</f>
        <v>-1059500</v>
      </c>
      <c r="H210" s="395">
        <f>IF(D210=G210,0,IF(D210=0,100,(G210-D210)/D210*100))</f>
        <v>11.420759280681461</v>
      </c>
      <c r="I210" s="397">
        <f t="shared" si="277"/>
        <v>-1078900</v>
      </c>
      <c r="J210" s="397">
        <f t="shared" si="277"/>
        <v>-1106200</v>
      </c>
      <c r="K210" s="397">
        <f t="shared" si="277"/>
        <v>-1132800</v>
      </c>
      <c r="L210" s="397">
        <f t="shared" si="277"/>
        <v>-1154000</v>
      </c>
      <c r="M210" s="397">
        <f t="shared" si="277"/>
        <v>-1184000</v>
      </c>
      <c r="N210" s="397">
        <f t="shared" si="277"/>
        <v>-1214900</v>
      </c>
      <c r="O210" s="397">
        <f t="shared" si="277"/>
        <v>-1246400</v>
      </c>
      <c r="P210" s="377">
        <f t="shared" ref="P210:Q210" si="278">P199-P204-P205+P206++P207-P208</f>
        <v>-1278600</v>
      </c>
      <c r="Q210" s="397">
        <f t="shared" si="278"/>
        <v>-1311600</v>
      </c>
      <c r="R210" s="399">
        <f t="shared" ref="R210" si="279">R199-R204-R205+R206++R207-R208</f>
        <v>-1345500</v>
      </c>
    </row>
    <row r="211" spans="1:19" ht="13.5" thickBot="1" x14ac:dyDescent="0.25">
      <c r="A211" s="614"/>
      <c r="B211" s="90"/>
      <c r="C211" s="90"/>
      <c r="D211" s="90"/>
      <c r="E211" s="679"/>
      <c r="F211" s="119"/>
      <c r="G211" s="90"/>
      <c r="H211" s="392"/>
      <c r="I211" s="66"/>
      <c r="J211" s="66"/>
      <c r="K211" s="66"/>
      <c r="L211" s="66"/>
      <c r="M211" s="66"/>
      <c r="N211" s="66"/>
      <c r="O211" s="66"/>
      <c r="P211" s="166"/>
      <c r="Q211" s="66"/>
      <c r="R211" s="165"/>
    </row>
    <row r="212" spans="1:19" s="99" customFormat="1" ht="14.25" thickTop="1" thickBot="1" x14ac:dyDescent="0.25">
      <c r="A212" s="74"/>
      <c r="B212" s="74"/>
      <c r="C212" s="74"/>
      <c r="D212" s="74"/>
      <c r="E212" s="670"/>
      <c r="F212" s="74"/>
      <c r="H212" s="2482"/>
    </row>
    <row r="213" spans="1:19" s="91" customFormat="1" ht="18.75" customHeight="1" thickTop="1" thickBot="1" x14ac:dyDescent="0.3">
      <c r="A213" s="2865" t="str">
        <f>A46</f>
        <v>DEVELOPMENT SERVICES</v>
      </c>
      <c r="B213" s="2866"/>
      <c r="C213" s="2866"/>
      <c r="D213" s="2866"/>
      <c r="E213" s="2866"/>
      <c r="F213" s="2866"/>
      <c r="G213" s="2866"/>
      <c r="H213" s="2866"/>
      <c r="I213" s="2866"/>
      <c r="J213" s="2866"/>
      <c r="K213" s="2866"/>
      <c r="L213" s="2866"/>
      <c r="M213" s="2866"/>
      <c r="N213" s="2866"/>
      <c r="O213" s="2866"/>
      <c r="P213" s="2866"/>
      <c r="Q213" s="2866"/>
      <c r="R213" s="2867"/>
    </row>
    <row r="214" spans="1:19" s="44" customFormat="1" x14ac:dyDescent="0.2">
      <c r="A214" s="2888" t="s">
        <v>1856</v>
      </c>
      <c r="B214" s="2889"/>
      <c r="C214" s="2889"/>
      <c r="D214" s="2890"/>
      <c r="E214" s="1998" t="s">
        <v>2663</v>
      </c>
      <c r="F214" s="2649" t="s">
        <v>2251</v>
      </c>
      <c r="G214" s="2885" t="s">
        <v>2253</v>
      </c>
      <c r="H214" s="2886"/>
      <c r="I214" s="2886"/>
      <c r="J214" s="2886"/>
      <c r="K214" s="2886"/>
      <c r="L214" s="2886"/>
      <c r="M214" s="2886"/>
      <c r="N214" s="2886"/>
      <c r="O214" s="2886"/>
      <c r="P214" s="2886"/>
      <c r="Q214" s="2886"/>
      <c r="R214" s="2887"/>
    </row>
    <row r="215" spans="1:19" s="23" customFormat="1" ht="13.5" thickBot="1" x14ac:dyDescent="0.25">
      <c r="A215" s="615" t="str">
        <f>A3</f>
        <v>2012/13</v>
      </c>
      <c r="B215" s="370" t="str">
        <f>B3</f>
        <v>2013/14</v>
      </c>
      <c r="C215" s="370" t="str">
        <f>C3</f>
        <v>2014/15</v>
      </c>
      <c r="D215" s="93" t="str">
        <f>D3</f>
        <v>2015/16</v>
      </c>
      <c r="E215" s="672" t="str">
        <f>E168</f>
        <v>ACCOUNT</v>
      </c>
      <c r="F215" s="42"/>
      <c r="G215" s="93" t="str">
        <f>G3</f>
        <v>2016/17</v>
      </c>
      <c r="H215" s="2492" t="s">
        <v>501</v>
      </c>
      <c r="I215" s="370" t="str">
        <f t="shared" ref="I215:R215" si="280">I3</f>
        <v>2017/18</v>
      </c>
      <c r="J215" s="370" t="str">
        <f t="shared" si="280"/>
        <v>2018/19</v>
      </c>
      <c r="K215" s="370" t="str">
        <f t="shared" si="280"/>
        <v>2019/20</v>
      </c>
      <c r="L215" s="370" t="str">
        <f t="shared" si="280"/>
        <v>2020/21</v>
      </c>
      <c r="M215" s="370" t="str">
        <f t="shared" si="280"/>
        <v>2021/22</v>
      </c>
      <c r="N215" s="370" t="str">
        <f t="shared" si="280"/>
        <v>2022/23</v>
      </c>
      <c r="O215" s="370" t="str">
        <f t="shared" si="280"/>
        <v>2023/24</v>
      </c>
      <c r="P215" s="370" t="str">
        <f t="shared" si="280"/>
        <v>2024/25</v>
      </c>
      <c r="Q215" s="218" t="str">
        <f t="shared" si="280"/>
        <v>2025/26</v>
      </c>
      <c r="R215" s="549" t="str">
        <f t="shared" si="280"/>
        <v>2026/27</v>
      </c>
    </row>
    <row r="216" spans="1:19" x14ac:dyDescent="0.2">
      <c r="A216" s="107"/>
      <c r="B216" s="33"/>
      <c r="C216" s="33"/>
      <c r="D216" s="33"/>
      <c r="E216" s="673"/>
      <c r="F216" s="99"/>
      <c r="G216" s="33"/>
      <c r="H216" s="138"/>
      <c r="I216" s="33"/>
      <c r="J216" s="33"/>
      <c r="K216" s="33"/>
      <c r="L216" s="33"/>
      <c r="M216" s="33"/>
      <c r="N216" s="33"/>
      <c r="O216" s="33"/>
      <c r="P216" s="33"/>
      <c r="Q216" s="33"/>
      <c r="R216" s="114"/>
    </row>
    <row r="217" spans="1:19" x14ac:dyDescent="0.2">
      <c r="A217" s="107"/>
      <c r="B217" s="33"/>
      <c r="C217" s="33"/>
      <c r="D217" s="33"/>
      <c r="E217" s="673"/>
      <c r="F217" s="144" t="s">
        <v>1073</v>
      </c>
      <c r="G217" s="33"/>
      <c r="H217" s="138"/>
      <c r="I217" s="33"/>
      <c r="J217" s="33"/>
      <c r="K217" s="33"/>
      <c r="L217" s="33"/>
      <c r="M217" s="33"/>
      <c r="N217" s="33"/>
      <c r="O217" s="33"/>
      <c r="P217" s="33"/>
      <c r="Q217" s="33"/>
      <c r="R217" s="114"/>
    </row>
    <row r="218" spans="1:19" x14ac:dyDescent="0.2">
      <c r="A218" s="107"/>
      <c r="B218" s="33"/>
      <c r="C218" s="33"/>
      <c r="D218" s="33"/>
      <c r="E218" s="673"/>
      <c r="F218" s="144"/>
      <c r="G218" s="33"/>
      <c r="H218" s="138"/>
      <c r="I218" s="33"/>
      <c r="J218" s="33"/>
      <c r="K218" s="33"/>
      <c r="L218" s="33"/>
      <c r="M218" s="33"/>
      <c r="N218" s="33"/>
      <c r="O218" s="33"/>
      <c r="P218" s="33"/>
      <c r="Q218" s="33"/>
      <c r="R218" s="114"/>
    </row>
    <row r="219" spans="1:19" x14ac:dyDescent="0.2">
      <c r="A219" s="107"/>
      <c r="B219" s="33"/>
      <c r="C219" s="33"/>
      <c r="D219" s="33"/>
      <c r="E219" s="673"/>
      <c r="F219" s="1308" t="s">
        <v>3242</v>
      </c>
      <c r="G219" s="33"/>
      <c r="H219" s="138"/>
      <c r="I219" s="33"/>
      <c r="J219" s="33"/>
      <c r="K219" s="33"/>
      <c r="L219" s="33"/>
      <c r="M219" s="33"/>
      <c r="N219" s="33"/>
      <c r="O219" s="33"/>
      <c r="P219" s="33"/>
      <c r="Q219" s="33"/>
      <c r="R219" s="114"/>
    </row>
    <row r="220" spans="1:19" x14ac:dyDescent="0.2">
      <c r="A220" s="107">
        <v>92500</v>
      </c>
      <c r="B220" s="132">
        <v>110700</v>
      </c>
      <c r="C220" s="33">
        <v>87300</v>
      </c>
      <c r="D220" s="33">
        <v>183600</v>
      </c>
      <c r="E220" s="658" t="s">
        <v>126</v>
      </c>
      <c r="F220" s="3" t="s">
        <v>1535</v>
      </c>
      <c r="G220" s="33">
        <f>140000+20000+60000</f>
        <v>220000</v>
      </c>
      <c r="H220" s="138">
        <f t="shared" ref="H220:H230" si="281">IF(D220=G220,0,IF(D220=0,100,(G220-D220)/D220*100))</f>
        <v>19.825708061002178</v>
      </c>
      <c r="I220" s="33">
        <v>198000</v>
      </c>
      <c r="J220" s="33">
        <f>ROUNDUP(I220+(I220*Assumptions!I$5),-2)</f>
        <v>203000</v>
      </c>
      <c r="K220" s="33">
        <f>ROUNDUP(J220+(J220*Assumptions!J$5),-2)</f>
        <v>208100</v>
      </c>
      <c r="L220" s="33">
        <f>ROUNDUP(K220+(K220*Assumptions!K$5),-2)</f>
        <v>213400</v>
      </c>
      <c r="M220" s="33">
        <f>ROUNDUP(L220+(L220*Assumptions!L$5),-2)</f>
        <v>217700</v>
      </c>
      <c r="N220" s="33">
        <f>ROUNDUP(M220+(M220*Assumptions!M$5),-2)</f>
        <v>222100</v>
      </c>
      <c r="O220" s="33">
        <f>ROUNDUP(N220+(N220*Assumptions!N$5),-2)</f>
        <v>226600</v>
      </c>
      <c r="P220" s="33">
        <f>ROUNDUP(O220+(O220*Assumptions!O$5),-2)</f>
        <v>231200</v>
      </c>
      <c r="Q220" s="33">
        <f>ROUNDUP(P220+(P220*Assumptions!P$5),-2)</f>
        <v>235900</v>
      </c>
      <c r="R220" s="114">
        <f>ROUNDUP(Q220+(Q220*Assumptions!Q$5),-2)</f>
        <v>240700</v>
      </c>
      <c r="S220" s="84">
        <f>ROUND(G220*0.9,-3)</f>
        <v>198000</v>
      </c>
    </row>
    <row r="221" spans="1:19" x14ac:dyDescent="0.2">
      <c r="A221" s="107">
        <v>33300</v>
      </c>
      <c r="B221" s="132">
        <v>19300</v>
      </c>
      <c r="C221" s="33">
        <v>15700</v>
      </c>
      <c r="D221" s="33">
        <v>24700</v>
      </c>
      <c r="E221" s="658" t="s">
        <v>127</v>
      </c>
      <c r="F221" s="890" t="s">
        <v>4589</v>
      </c>
      <c r="G221" s="33">
        <v>23000</v>
      </c>
      <c r="H221" s="138">
        <f t="shared" si="281"/>
        <v>-6.8825910931174086</v>
      </c>
      <c r="I221" s="33">
        <v>21000</v>
      </c>
      <c r="J221" s="33">
        <f>ROUNDUP(I221+(I221*Assumptions!I$5),-2)</f>
        <v>21600</v>
      </c>
      <c r="K221" s="33">
        <f>ROUNDUP(J221+(J221*Assumptions!J$5),-2)</f>
        <v>22200</v>
      </c>
      <c r="L221" s="33">
        <f>ROUNDUP(K221+(K221*Assumptions!K$5),-2)</f>
        <v>22800</v>
      </c>
      <c r="M221" s="33">
        <f>ROUNDUP(L221+(L221*Assumptions!L$5),-2)</f>
        <v>23300</v>
      </c>
      <c r="N221" s="33">
        <f>ROUNDUP(M221+(M221*Assumptions!M$5),-2)</f>
        <v>23800</v>
      </c>
      <c r="O221" s="33">
        <f>ROUNDUP(N221+(N221*Assumptions!N$5),-2)</f>
        <v>24300</v>
      </c>
      <c r="P221" s="33">
        <f>ROUNDUP(O221+(O221*Assumptions!O$5),-2)</f>
        <v>24800</v>
      </c>
      <c r="Q221" s="33">
        <f>ROUNDUP(P221+(P221*Assumptions!P$5),-2)</f>
        <v>25300</v>
      </c>
      <c r="R221" s="114">
        <f>ROUNDUP(Q221+(Q221*Assumptions!Q$5),-2)</f>
        <v>25900</v>
      </c>
      <c r="S221" s="84">
        <f t="shared" ref="S221:S230" si="282">ROUND(G221*0.9,-3)</f>
        <v>21000</v>
      </c>
    </row>
    <row r="222" spans="1:19" x14ac:dyDescent="0.2">
      <c r="A222" s="107">
        <v>0</v>
      </c>
      <c r="B222" s="132">
        <v>3600</v>
      </c>
      <c r="C222" s="132">
        <v>3000</v>
      </c>
      <c r="D222" s="33">
        <v>2900</v>
      </c>
      <c r="E222" s="1092" t="s">
        <v>3883</v>
      </c>
      <c r="F222" s="890" t="s">
        <v>4718</v>
      </c>
      <c r="G222" s="33">
        <v>2000</v>
      </c>
      <c r="H222" s="138">
        <f t="shared" si="281"/>
        <v>-31.03448275862069</v>
      </c>
      <c r="I222" s="33">
        <v>2000</v>
      </c>
      <c r="J222" s="33">
        <v>0</v>
      </c>
      <c r="K222" s="33">
        <v>0</v>
      </c>
      <c r="L222" s="33">
        <v>0</v>
      </c>
      <c r="M222" s="33">
        <v>0</v>
      </c>
      <c r="N222" s="33">
        <v>0</v>
      </c>
      <c r="O222" s="33">
        <f>ROUNDUP(N222+(N222*Assumptions!N$5),-2)</f>
        <v>0</v>
      </c>
      <c r="P222" s="33">
        <f>ROUNDUP(O222+(O222*Assumptions!O$5),-2)</f>
        <v>0</v>
      </c>
      <c r="Q222" s="33">
        <f>ROUNDUP(P222+(P222*Assumptions!P$5),-2)</f>
        <v>0</v>
      </c>
      <c r="R222" s="114">
        <f>ROUNDUP(Q222+(Q222*Assumptions!Q$5),-2)</f>
        <v>0</v>
      </c>
      <c r="S222" s="84">
        <f t="shared" si="282"/>
        <v>2000</v>
      </c>
    </row>
    <row r="223" spans="1:19" x14ac:dyDescent="0.2">
      <c r="A223" s="107">
        <v>9800</v>
      </c>
      <c r="B223" s="132">
        <v>19000</v>
      </c>
      <c r="C223" s="33">
        <v>9400</v>
      </c>
      <c r="D223" s="33">
        <v>80100</v>
      </c>
      <c r="E223" s="658" t="s">
        <v>128</v>
      </c>
      <c r="F223" s="890" t="s">
        <v>4590</v>
      </c>
      <c r="G223" s="33">
        <f>78000+30000+60000</f>
        <v>168000</v>
      </c>
      <c r="H223" s="138">
        <f t="shared" si="281"/>
        <v>109.73782771535581</v>
      </c>
      <c r="I223" s="33">
        <v>151000</v>
      </c>
      <c r="J223" s="33">
        <f>ROUNDUP(I223+(I223*Assumptions!I$5),-2)</f>
        <v>154800</v>
      </c>
      <c r="K223" s="33">
        <f>ROUNDUP(J223+(J223*Assumptions!J$5),-2)</f>
        <v>158700</v>
      </c>
      <c r="L223" s="33">
        <f>ROUNDUP(K223+(K223*Assumptions!K$5),-2)</f>
        <v>162700</v>
      </c>
      <c r="M223" s="33">
        <f>ROUNDUP(L223+(L223*Assumptions!L$5),-2)</f>
        <v>166000</v>
      </c>
      <c r="N223" s="33">
        <f>ROUNDUP(M223+(M223*Assumptions!M$5),-2)</f>
        <v>169400</v>
      </c>
      <c r="O223" s="33">
        <f>ROUNDUP(N223+(N223*Assumptions!N$5),-2)</f>
        <v>172800</v>
      </c>
      <c r="P223" s="33">
        <f>ROUNDUP(O223+(O223*Assumptions!O$5),-2)</f>
        <v>176300</v>
      </c>
      <c r="Q223" s="33">
        <f>ROUNDUP(P223+(P223*Assumptions!P$5),-2)</f>
        <v>179900</v>
      </c>
      <c r="R223" s="114">
        <f>ROUNDUP(Q223+(Q223*Assumptions!Q$5),-2)</f>
        <v>183500</v>
      </c>
      <c r="S223" s="84">
        <f t="shared" si="282"/>
        <v>151000</v>
      </c>
    </row>
    <row r="224" spans="1:19" x14ac:dyDescent="0.2">
      <c r="A224" s="107">
        <v>6700</v>
      </c>
      <c r="B224" s="132">
        <v>4000</v>
      </c>
      <c r="C224" s="33">
        <v>9400</v>
      </c>
      <c r="D224" s="33">
        <v>6700</v>
      </c>
      <c r="E224" s="658" t="s">
        <v>568</v>
      </c>
      <c r="F224" s="3" t="s">
        <v>482</v>
      </c>
      <c r="G224" s="33">
        <v>6000</v>
      </c>
      <c r="H224" s="138">
        <f t="shared" si="281"/>
        <v>-10.44776119402985</v>
      </c>
      <c r="I224" s="33">
        <v>5000</v>
      </c>
      <c r="J224" s="33">
        <f>ROUNDUP(I224+(I224*Assumptions!I$5),-2)</f>
        <v>5200</v>
      </c>
      <c r="K224" s="33">
        <f>ROUNDUP(J224+(J224*Assumptions!J$5),-2)</f>
        <v>5400</v>
      </c>
      <c r="L224" s="33">
        <f>ROUNDUP(K224+(K224*Assumptions!K$5),-2)</f>
        <v>5600</v>
      </c>
      <c r="M224" s="33">
        <f>ROUNDUP(L224+(L224*Assumptions!L$5),-2)</f>
        <v>5800</v>
      </c>
      <c r="N224" s="33">
        <f>ROUNDUP(M224+(M224*Assumptions!M$5),-2)</f>
        <v>6000</v>
      </c>
      <c r="O224" s="33">
        <f>ROUNDUP(N224+(N224*Assumptions!N$5),-2)</f>
        <v>6200</v>
      </c>
      <c r="P224" s="33">
        <f>ROUNDUP(O224+(O224*Assumptions!O$5),-2)</f>
        <v>6400</v>
      </c>
      <c r="Q224" s="33">
        <f>ROUNDUP(P224+(P224*Assumptions!P$5),-2)</f>
        <v>6600</v>
      </c>
      <c r="R224" s="114">
        <f>ROUNDUP(Q224+(Q224*Assumptions!Q$5),-2)</f>
        <v>6800</v>
      </c>
      <c r="S224" s="84">
        <f t="shared" si="282"/>
        <v>5000</v>
      </c>
    </row>
    <row r="225" spans="1:19" x14ac:dyDescent="0.2">
      <c r="A225" s="107">
        <v>16400</v>
      </c>
      <c r="B225" s="132">
        <v>32900</v>
      </c>
      <c r="C225" s="33">
        <v>20200</v>
      </c>
      <c r="D225" s="33">
        <v>94100</v>
      </c>
      <c r="E225" s="658" t="s">
        <v>2809</v>
      </c>
      <c r="F225" s="3" t="s">
        <v>852</v>
      </c>
      <c r="G225" s="33">
        <f>36000+5000</f>
        <v>41000</v>
      </c>
      <c r="H225" s="138">
        <f t="shared" si="281"/>
        <v>-56.429330499468655</v>
      </c>
      <c r="I225" s="33">
        <v>37000</v>
      </c>
      <c r="J225" s="33">
        <f>ROUNDUP(I225+(I225*Assumptions!I$5),-2)</f>
        <v>38000</v>
      </c>
      <c r="K225" s="33">
        <f>ROUNDUP(J225+(J225*Assumptions!J$5),-2)</f>
        <v>39000</v>
      </c>
      <c r="L225" s="33">
        <f>ROUNDUP(K225+(K225*Assumptions!K$5),-2)</f>
        <v>40000</v>
      </c>
      <c r="M225" s="33">
        <f>ROUNDUP(L225+(L225*Assumptions!L$5),-2)</f>
        <v>40800</v>
      </c>
      <c r="N225" s="33">
        <f>ROUNDUP(M225+(M225*Assumptions!M$5),-2)</f>
        <v>41700</v>
      </c>
      <c r="O225" s="33">
        <f>ROUNDUP(N225+(N225*Assumptions!N$5),-2)</f>
        <v>42600</v>
      </c>
      <c r="P225" s="33">
        <f>ROUNDUP(O225+(O225*Assumptions!O$5),-2)</f>
        <v>43500</v>
      </c>
      <c r="Q225" s="33">
        <f>ROUNDUP(P225+(P225*Assumptions!P$5),-2)</f>
        <v>44400</v>
      </c>
      <c r="R225" s="114">
        <f>ROUNDUP(Q225+(Q225*Assumptions!Q$5),-2)</f>
        <v>45300</v>
      </c>
      <c r="S225" s="84">
        <f t="shared" si="282"/>
        <v>37000</v>
      </c>
    </row>
    <row r="226" spans="1:19" x14ac:dyDescent="0.2">
      <c r="A226" s="107">
        <v>9400</v>
      </c>
      <c r="B226" s="132">
        <v>9600</v>
      </c>
      <c r="C226" s="33">
        <v>11100</v>
      </c>
      <c r="D226" s="33">
        <v>12200</v>
      </c>
      <c r="E226" s="658" t="s">
        <v>2810</v>
      </c>
      <c r="F226" s="3" t="s">
        <v>853</v>
      </c>
      <c r="G226" s="33">
        <v>10000</v>
      </c>
      <c r="H226" s="138">
        <f t="shared" si="281"/>
        <v>-18.032786885245901</v>
      </c>
      <c r="I226" s="33">
        <v>9000</v>
      </c>
      <c r="J226" s="33">
        <f>ROUNDUP(I226+(I226*Assumptions!I$5),-2)</f>
        <v>9300</v>
      </c>
      <c r="K226" s="33">
        <f>ROUNDUP(J226+(J226*Assumptions!J$5),-2)</f>
        <v>9600</v>
      </c>
      <c r="L226" s="33">
        <f>ROUNDUP(K226+(K226*Assumptions!K$5),-2)</f>
        <v>9900</v>
      </c>
      <c r="M226" s="33">
        <f>ROUNDUP(L226+(L226*Assumptions!L$5),-2)</f>
        <v>10100</v>
      </c>
      <c r="N226" s="33">
        <f>ROUNDUP(M226+(M226*Assumptions!M$5),-2)</f>
        <v>10400</v>
      </c>
      <c r="O226" s="33">
        <f>ROUNDUP(N226+(N226*Assumptions!N$5),-2)</f>
        <v>10700</v>
      </c>
      <c r="P226" s="33">
        <f>ROUNDUP(O226+(O226*Assumptions!O$5),-2)</f>
        <v>11000</v>
      </c>
      <c r="Q226" s="33">
        <f>ROUNDUP(P226+(P226*Assumptions!P$5),-2)</f>
        <v>11300</v>
      </c>
      <c r="R226" s="114">
        <f>ROUNDUP(Q226+(Q226*Assumptions!Q$5),-2)</f>
        <v>11600</v>
      </c>
      <c r="S226" s="84">
        <f t="shared" si="282"/>
        <v>9000</v>
      </c>
    </row>
    <row r="227" spans="1:19" x14ac:dyDescent="0.2">
      <c r="A227" s="107">
        <v>119400</v>
      </c>
      <c r="B227" s="132">
        <v>118200</v>
      </c>
      <c r="C227" s="33">
        <v>128400</v>
      </c>
      <c r="D227" s="33">
        <v>119500</v>
      </c>
      <c r="E227" s="658" t="s">
        <v>2811</v>
      </c>
      <c r="F227" s="3" t="s">
        <v>1088</v>
      </c>
      <c r="G227" s="33">
        <f>130000-8000</f>
        <v>122000</v>
      </c>
      <c r="H227" s="138">
        <f t="shared" si="281"/>
        <v>2.0920502092050208</v>
      </c>
      <c r="I227" s="33">
        <v>110000</v>
      </c>
      <c r="J227" s="33">
        <f>ROUNDUP(I227+(I227*Assumptions!I$5),-2)</f>
        <v>112800</v>
      </c>
      <c r="K227" s="33">
        <f>ROUNDUP(J227+(J227*Assumptions!J$5),-2)</f>
        <v>115700</v>
      </c>
      <c r="L227" s="33">
        <f>ROUNDUP(K227+(K227*Assumptions!K$5),-2)</f>
        <v>118600</v>
      </c>
      <c r="M227" s="33">
        <f>ROUNDUP(L227+(L227*Assumptions!L$5),-2)</f>
        <v>121000</v>
      </c>
      <c r="N227" s="33">
        <f>ROUNDUP(M227+(M227*Assumptions!M$5),-2)</f>
        <v>123500</v>
      </c>
      <c r="O227" s="33">
        <f>ROUNDUP(N227+(N227*Assumptions!N$5),-2)</f>
        <v>126000</v>
      </c>
      <c r="P227" s="33">
        <f>ROUNDUP(O227+(O227*Assumptions!O$5),-2)</f>
        <v>128600</v>
      </c>
      <c r="Q227" s="33">
        <f>ROUNDUP(P227+(P227*Assumptions!P$5),-2)</f>
        <v>131200</v>
      </c>
      <c r="R227" s="114">
        <f>ROUNDUP(Q227+(Q227*Assumptions!Q$5),-2)</f>
        <v>133900</v>
      </c>
      <c r="S227" s="84">
        <f t="shared" si="282"/>
        <v>110000</v>
      </c>
    </row>
    <row r="228" spans="1:19" x14ac:dyDescent="0.2">
      <c r="A228" s="107">
        <v>16300</v>
      </c>
      <c r="B228" s="132">
        <v>13200</v>
      </c>
      <c r="C228" s="33">
        <v>13100</v>
      </c>
      <c r="D228" s="33">
        <v>15200</v>
      </c>
      <c r="E228" s="658" t="s">
        <v>2812</v>
      </c>
      <c r="F228" s="890" t="s">
        <v>4591</v>
      </c>
      <c r="G228" s="33">
        <f>9000+3000</f>
        <v>12000</v>
      </c>
      <c r="H228" s="138">
        <f t="shared" si="281"/>
        <v>-21.052631578947366</v>
      </c>
      <c r="I228" s="33">
        <v>11000</v>
      </c>
      <c r="J228" s="33">
        <f>ROUNDUP(I228+(I228*Assumptions!I$5),-2)</f>
        <v>11300</v>
      </c>
      <c r="K228" s="33">
        <f>ROUNDUP(J228+(J228*Assumptions!J$5),-2)</f>
        <v>11600</v>
      </c>
      <c r="L228" s="33">
        <f>ROUNDUP(K228+(K228*Assumptions!K$5),-2)</f>
        <v>11900</v>
      </c>
      <c r="M228" s="33">
        <f>ROUNDUP(L228+(L228*Assumptions!L$5),-2)</f>
        <v>12200</v>
      </c>
      <c r="N228" s="33">
        <f>ROUNDUP(M228+(M228*Assumptions!M$5),-2)</f>
        <v>12500</v>
      </c>
      <c r="O228" s="33">
        <f>ROUNDUP(N228+(N228*Assumptions!N$5),-2)</f>
        <v>12800</v>
      </c>
      <c r="P228" s="33">
        <f>ROUNDUP(O228+(O228*Assumptions!O$5),-2)</f>
        <v>13100</v>
      </c>
      <c r="Q228" s="33">
        <f>ROUNDUP(P228+(P228*Assumptions!P$5),-2)</f>
        <v>13400</v>
      </c>
      <c r="R228" s="114">
        <f>ROUNDUP(Q228+(Q228*Assumptions!Q$5),-2)</f>
        <v>13700</v>
      </c>
      <c r="S228" s="84">
        <f t="shared" si="282"/>
        <v>11000</v>
      </c>
    </row>
    <row r="229" spans="1:19" x14ac:dyDescent="0.2">
      <c r="A229" s="107">
        <v>0</v>
      </c>
      <c r="B229" s="132">
        <v>0</v>
      </c>
      <c r="C229" s="33">
        <v>0</v>
      </c>
      <c r="D229" s="33">
        <v>32400</v>
      </c>
      <c r="E229" s="1092" t="s">
        <v>6496</v>
      </c>
      <c r="F229" s="890" t="s">
        <v>5929</v>
      </c>
      <c r="G229" s="33">
        <v>9000</v>
      </c>
      <c r="H229" s="138">
        <f t="shared" si="281"/>
        <v>-72.222222222222214</v>
      </c>
      <c r="I229" s="33">
        <v>8000</v>
      </c>
      <c r="J229" s="33">
        <f>ROUNDUP(I229+(I229*Assumptions!I$5),-2)</f>
        <v>8200</v>
      </c>
      <c r="K229" s="33">
        <f>ROUNDUP(J229+(J229*Assumptions!J$5),-2)</f>
        <v>8500</v>
      </c>
      <c r="L229" s="33">
        <f>ROUNDUP(K229+(K229*Assumptions!K$5),-2)</f>
        <v>8800</v>
      </c>
      <c r="M229" s="33">
        <f>ROUNDUP(L229+(L229*Assumptions!L$5),-2)</f>
        <v>9000</v>
      </c>
      <c r="N229" s="33">
        <f>ROUNDUP(M229+(M229*Assumptions!M$5),-2)</f>
        <v>9200</v>
      </c>
      <c r="O229" s="33">
        <f>ROUNDUP(N229+(N229*Assumptions!N$5),-2)</f>
        <v>9400</v>
      </c>
      <c r="P229" s="33">
        <f>ROUNDUP(O229+(O229*Assumptions!O$5),-2)</f>
        <v>9600</v>
      </c>
      <c r="Q229" s="33">
        <f>ROUNDUP(P229+(P229*Assumptions!P$5),-2)</f>
        <v>9800</v>
      </c>
      <c r="R229" s="114">
        <f>ROUNDUP(Q229+(Q229*Assumptions!Q$5),-2)</f>
        <v>10000</v>
      </c>
      <c r="S229" s="84">
        <f t="shared" si="282"/>
        <v>8000</v>
      </c>
    </row>
    <row r="230" spans="1:19" x14ac:dyDescent="0.2">
      <c r="A230" s="107">
        <v>3500</v>
      </c>
      <c r="B230" s="132">
        <v>7000</v>
      </c>
      <c r="C230" s="33">
        <v>5200</v>
      </c>
      <c r="D230" s="33">
        <v>12900</v>
      </c>
      <c r="E230" s="658" t="s">
        <v>2813</v>
      </c>
      <c r="F230" s="3" t="s">
        <v>734</v>
      </c>
      <c r="G230" s="33">
        <f>5000+4000</f>
        <v>9000</v>
      </c>
      <c r="H230" s="138">
        <f t="shared" si="281"/>
        <v>-30.232558139534881</v>
      </c>
      <c r="I230" s="33">
        <v>8000</v>
      </c>
      <c r="J230" s="33">
        <f>ROUNDUP(I230+(I230*Assumptions!I$5),-2)</f>
        <v>8200</v>
      </c>
      <c r="K230" s="33">
        <f>ROUNDUP(J230+(J230*Assumptions!J$5),-2)</f>
        <v>8500</v>
      </c>
      <c r="L230" s="33">
        <f>ROUNDUP(K230+(K230*Assumptions!K$5),-2)</f>
        <v>8800</v>
      </c>
      <c r="M230" s="33">
        <f>ROUNDUP(L230+(L230*Assumptions!L$5),-2)</f>
        <v>9000</v>
      </c>
      <c r="N230" s="33">
        <f>ROUNDUP(M230+(M230*Assumptions!M$5),-2)</f>
        <v>9200</v>
      </c>
      <c r="O230" s="33">
        <f>ROUNDUP(N230+(N230*Assumptions!N$5),-2)</f>
        <v>9400</v>
      </c>
      <c r="P230" s="33">
        <f>ROUNDUP(O230+(O230*Assumptions!O$5),-2)</f>
        <v>9600</v>
      </c>
      <c r="Q230" s="33">
        <f>ROUNDUP(P230+(P230*Assumptions!P$5),-2)</f>
        <v>9800</v>
      </c>
      <c r="R230" s="114">
        <f>ROUNDUP(Q230+(Q230*Assumptions!Q$5),-2)</f>
        <v>10000</v>
      </c>
      <c r="S230" s="84">
        <f t="shared" si="282"/>
        <v>8000</v>
      </c>
    </row>
    <row r="231" spans="1:19" x14ac:dyDescent="0.2">
      <c r="A231" s="107"/>
      <c r="B231" s="132"/>
      <c r="C231" s="33"/>
      <c r="D231" s="33"/>
      <c r="E231" s="658"/>
      <c r="F231" s="3"/>
      <c r="G231" s="33"/>
      <c r="H231" s="138"/>
      <c r="I231" s="33"/>
      <c r="J231" s="33"/>
      <c r="K231" s="33"/>
      <c r="L231" s="33"/>
      <c r="M231" s="33"/>
      <c r="N231" s="33"/>
      <c r="O231" s="33"/>
      <c r="P231" s="33"/>
      <c r="Q231" s="33"/>
      <c r="R231" s="114"/>
    </row>
    <row r="232" spans="1:19" x14ac:dyDescent="0.2">
      <c r="A232" s="107"/>
      <c r="B232" s="132"/>
      <c r="C232" s="33"/>
      <c r="D232" s="33"/>
      <c r="E232" s="658"/>
      <c r="F232" s="8" t="s">
        <v>687</v>
      </c>
      <c r="G232" s="33"/>
      <c r="H232" s="138"/>
      <c r="I232" s="33"/>
      <c r="J232" s="33"/>
      <c r="K232" s="33"/>
      <c r="L232" s="33"/>
      <c r="M232" s="33"/>
      <c r="N232" s="33"/>
      <c r="O232" s="33"/>
      <c r="P232" s="33"/>
      <c r="Q232" s="33"/>
      <c r="R232" s="114"/>
    </row>
    <row r="233" spans="1:19" x14ac:dyDescent="0.2">
      <c r="A233" s="107">
        <v>30000</v>
      </c>
      <c r="B233" s="132">
        <v>0</v>
      </c>
      <c r="C233" s="33">
        <v>0</v>
      </c>
      <c r="D233" s="33">
        <v>0</v>
      </c>
      <c r="E233" s="1092" t="s">
        <v>3248</v>
      </c>
      <c r="F233" s="890" t="s">
        <v>3247</v>
      </c>
      <c r="G233" s="33">
        <v>0</v>
      </c>
      <c r="H233" s="138">
        <f>IF(D233=G233,0,IF(D233=0,100,(G233-D233)/D233*100))</f>
        <v>0</v>
      </c>
      <c r="I233" s="33">
        <v>0</v>
      </c>
      <c r="J233" s="33">
        <f>ROUNDUP(I233+(I233*Assumptions!I$5),-2)</f>
        <v>0</v>
      </c>
      <c r="K233" s="33">
        <f>ROUNDUP(J233+(J233*Assumptions!J$5),-2)</f>
        <v>0</v>
      </c>
      <c r="L233" s="33">
        <f>ROUNDUP(K233+(K233*Assumptions!K$5),-2)</f>
        <v>0</v>
      </c>
      <c r="M233" s="33">
        <f>ROUNDUP(L233+(L233*Assumptions!L$5),-2)</f>
        <v>0</v>
      </c>
      <c r="N233" s="33">
        <f>ROUNDUP(M233+(M233*Assumptions!M$5),-2)</f>
        <v>0</v>
      </c>
      <c r="O233" s="33">
        <f>ROUNDUP(N233+(N233*Assumptions!N$5),-2)</f>
        <v>0</v>
      </c>
      <c r="P233" s="33">
        <f>ROUNDUP(O233+(O233*Assumptions!O$5),-2)</f>
        <v>0</v>
      </c>
      <c r="Q233" s="33">
        <f>ROUNDUP(P233+(P233*Assumptions!P$5),-2)</f>
        <v>0</v>
      </c>
      <c r="R233" s="114">
        <f>ROUNDUP(Q233+(Q233*Assumptions!Q$5),-2)</f>
        <v>0</v>
      </c>
    </row>
    <row r="234" spans="1:19" x14ac:dyDescent="0.2">
      <c r="A234" s="649"/>
      <c r="B234" s="947"/>
      <c r="C234" s="33"/>
      <c r="D234" s="33"/>
      <c r="E234" s="658"/>
      <c r="F234" s="3"/>
      <c r="G234" s="33"/>
      <c r="H234" s="138"/>
      <c r="I234" s="33"/>
      <c r="J234" s="33"/>
      <c r="K234" s="33"/>
      <c r="L234" s="33"/>
      <c r="M234" s="33"/>
      <c r="N234" s="33"/>
      <c r="O234" s="33"/>
      <c r="P234" s="33"/>
      <c r="Q234" s="33"/>
      <c r="R234" s="114"/>
    </row>
    <row r="235" spans="1:19" x14ac:dyDescent="0.2">
      <c r="A235" s="710"/>
      <c r="B235" s="749"/>
      <c r="C235" s="33"/>
      <c r="D235" s="33"/>
      <c r="E235" s="658"/>
      <c r="F235" s="6" t="s">
        <v>428</v>
      </c>
      <c r="G235" s="33"/>
      <c r="H235" s="138"/>
      <c r="I235" s="33"/>
      <c r="J235" s="33"/>
      <c r="K235" s="33"/>
      <c r="L235" s="33"/>
      <c r="M235" s="33"/>
      <c r="N235" s="33"/>
      <c r="O235" s="33"/>
      <c r="P235" s="33"/>
      <c r="Q235" s="33"/>
      <c r="R235" s="114"/>
    </row>
    <row r="236" spans="1:19" x14ac:dyDescent="0.2">
      <c r="A236" s="107">
        <v>18900</v>
      </c>
      <c r="B236" s="132">
        <v>34700</v>
      </c>
      <c r="C236" s="33">
        <v>5100</v>
      </c>
      <c r="D236" s="33">
        <v>19700</v>
      </c>
      <c r="E236" s="658" t="s">
        <v>2814</v>
      </c>
      <c r="F236" s="3" t="s">
        <v>1315</v>
      </c>
      <c r="G236" s="33">
        <f>10000+30000+30000</f>
        <v>70000</v>
      </c>
      <c r="H236" s="138">
        <f>IF(D236=G236,0,IF(D236=0,100,(G236-D236)/D236*100))</f>
        <v>255.32994923857868</v>
      </c>
      <c r="I236" s="33">
        <v>40000</v>
      </c>
      <c r="J236" s="33">
        <f>ROUNDUP(I236+(I236*Assumptions!I$5),-2)</f>
        <v>41000</v>
      </c>
      <c r="K236" s="33">
        <f>ROUNDUP(J236+(J236*Assumptions!J$5),-2)</f>
        <v>42100</v>
      </c>
      <c r="L236" s="33">
        <f>ROUNDUP(K236+(K236*Assumptions!K$5),-2)</f>
        <v>43200</v>
      </c>
      <c r="M236" s="33">
        <f>ROUNDUP(L236+(L236*Assumptions!L$5),-2)</f>
        <v>44100</v>
      </c>
      <c r="N236" s="33">
        <f>ROUNDUP(M236+(M236*Assumptions!M$5),-2)</f>
        <v>45000</v>
      </c>
      <c r="O236" s="33">
        <f>ROUNDUP(N236+(N236*Assumptions!N$5),-2)</f>
        <v>45900</v>
      </c>
      <c r="P236" s="33">
        <f>ROUNDUP(O236+(O236*Assumptions!O$5),-2)</f>
        <v>46900</v>
      </c>
      <c r="Q236" s="33">
        <f>ROUNDUP(P236+(P236*Assumptions!P$5),-2)</f>
        <v>47900</v>
      </c>
      <c r="R236" s="114">
        <f>ROUNDUP(Q236+(Q236*Assumptions!Q$5),-2)</f>
        <v>48900</v>
      </c>
    </row>
    <row r="237" spans="1:19" ht="13.5" thickBot="1" x14ac:dyDescent="0.25">
      <c r="A237" s="107"/>
      <c r="B237" s="33"/>
      <c r="C237" s="33"/>
      <c r="D237" s="33"/>
      <c r="E237" s="658"/>
      <c r="F237" s="99"/>
      <c r="G237" s="33"/>
      <c r="H237" s="138"/>
      <c r="I237" s="33"/>
      <c r="J237" s="33"/>
      <c r="K237" s="33"/>
      <c r="L237" s="33"/>
      <c r="M237" s="33"/>
      <c r="N237" s="33"/>
      <c r="O237" s="33"/>
      <c r="P237" s="33"/>
      <c r="Q237" s="33"/>
      <c r="R237" s="114"/>
    </row>
    <row r="238" spans="1:19" s="92" customFormat="1" x14ac:dyDescent="0.2">
      <c r="A238" s="105">
        <f>SUM(A219:A237)</f>
        <v>356200</v>
      </c>
      <c r="B238" s="53">
        <f>SUM(B219:B237)</f>
        <v>372200</v>
      </c>
      <c r="C238" s="53">
        <f>SUM(C219:C237)</f>
        <v>307900</v>
      </c>
      <c r="D238" s="53">
        <f>SUM(D219:D237)</f>
        <v>604000</v>
      </c>
      <c r="E238" s="658"/>
      <c r="F238" s="112" t="s">
        <v>2605</v>
      </c>
      <c r="G238" s="53">
        <f>SUM(G219:G237)</f>
        <v>692000</v>
      </c>
      <c r="H238" s="180">
        <f>IF(D238=G238,0,IF(D238=0,100,(G238-D238)/D238*100))</f>
        <v>14.569536423841059</v>
      </c>
      <c r="I238" s="53">
        <f>SUM(I219:I237)</f>
        <v>600000</v>
      </c>
      <c r="J238" s="53">
        <f t="shared" ref="J238:O238" si="283">SUM(J219:J237)</f>
        <v>613400</v>
      </c>
      <c r="K238" s="53">
        <f t="shared" si="283"/>
        <v>629400</v>
      </c>
      <c r="L238" s="53">
        <f t="shared" si="283"/>
        <v>645700</v>
      </c>
      <c r="M238" s="53">
        <f t="shared" si="283"/>
        <v>659000</v>
      </c>
      <c r="N238" s="53">
        <f t="shared" si="283"/>
        <v>672800</v>
      </c>
      <c r="O238" s="53">
        <f t="shared" si="283"/>
        <v>686700</v>
      </c>
      <c r="P238" s="53">
        <f t="shared" ref="P238:Q238" si="284">SUM(P219:P237)</f>
        <v>701000</v>
      </c>
      <c r="Q238" s="53">
        <f t="shared" si="284"/>
        <v>715500</v>
      </c>
      <c r="R238" s="113">
        <f t="shared" ref="R238" si="285">SUM(R219:R237)</f>
        <v>730300</v>
      </c>
    </row>
    <row r="239" spans="1:19" x14ac:dyDescent="0.2">
      <c r="A239" s="107"/>
      <c r="B239" s="33"/>
      <c r="C239" s="33"/>
      <c r="D239" s="33"/>
      <c r="E239" s="658"/>
      <c r="F239" s="99"/>
      <c r="G239" s="33"/>
      <c r="H239" s="138"/>
      <c r="I239" s="33"/>
      <c r="J239" s="33"/>
      <c r="K239" s="33"/>
      <c r="L239" s="33"/>
      <c r="M239" s="33"/>
      <c r="N239" s="33"/>
      <c r="O239" s="33"/>
      <c r="P239" s="33"/>
      <c r="Q239" s="33"/>
      <c r="R239" s="114"/>
    </row>
    <row r="240" spans="1:19" x14ac:dyDescent="0.2">
      <c r="A240" s="107"/>
      <c r="B240" s="33"/>
      <c r="C240" s="33"/>
      <c r="D240" s="33"/>
      <c r="E240" s="658"/>
      <c r="F240" s="144" t="s">
        <v>2205</v>
      </c>
      <c r="G240" s="33"/>
      <c r="H240" s="138"/>
      <c r="I240" s="33"/>
      <c r="J240" s="33"/>
      <c r="K240" s="33"/>
      <c r="L240" s="33"/>
      <c r="M240" s="33"/>
      <c r="N240" s="33"/>
      <c r="O240" s="33"/>
      <c r="P240" s="33"/>
      <c r="Q240" s="33"/>
      <c r="R240" s="114"/>
    </row>
    <row r="241" spans="1:18" x14ac:dyDescent="0.2">
      <c r="A241" s="107"/>
      <c r="B241" s="33"/>
      <c r="C241" s="33"/>
      <c r="D241" s="33"/>
      <c r="E241" s="658"/>
      <c r="F241" s="74"/>
      <c r="G241" s="33"/>
      <c r="H241" s="138"/>
      <c r="I241" s="33"/>
      <c r="J241" s="33"/>
      <c r="K241" s="33"/>
      <c r="L241" s="33"/>
      <c r="M241" s="33"/>
      <c r="N241" s="33"/>
      <c r="O241" s="33"/>
      <c r="P241" s="33"/>
      <c r="Q241" s="33"/>
      <c r="R241" s="114"/>
    </row>
    <row r="242" spans="1:18" x14ac:dyDescent="0.2">
      <c r="A242" s="107"/>
      <c r="B242" s="749"/>
      <c r="C242" s="33"/>
      <c r="D242" s="33"/>
      <c r="E242" s="658"/>
      <c r="F242" s="6" t="s">
        <v>1249</v>
      </c>
      <c r="G242" s="33"/>
      <c r="H242" s="138"/>
      <c r="I242" s="33"/>
      <c r="J242" s="33"/>
      <c r="K242" s="33"/>
      <c r="L242" s="33"/>
      <c r="M242" s="33"/>
      <c r="N242" s="33"/>
      <c r="O242" s="33"/>
      <c r="P242" s="33"/>
      <c r="Q242" s="33"/>
      <c r="R242" s="114"/>
    </row>
    <row r="243" spans="1:18" x14ac:dyDescent="0.2">
      <c r="A243" s="107">
        <v>987900</v>
      </c>
      <c r="B243" s="132">
        <v>865000</v>
      </c>
      <c r="C243" s="33">
        <v>869700</v>
      </c>
      <c r="D243" s="33">
        <v>914100</v>
      </c>
      <c r="E243" s="658" t="s">
        <v>2815</v>
      </c>
      <c r="F243" s="3" t="s">
        <v>1341</v>
      </c>
      <c r="G243" s="33">
        <v>1003000</v>
      </c>
      <c r="H243" s="138">
        <f>IF(D243=G243,0,IF(D243=0,100,(G243-D243)/D243*100))</f>
        <v>9.7254129745104478</v>
      </c>
      <c r="I243" s="33">
        <f>ROUND(G243*Assumptions!H$13+DEH!G243,-2)</f>
        <v>1023100</v>
      </c>
      <c r="J243" s="33">
        <f>ROUND(I243*Assumptions!I$13+DEH!I243,-2)</f>
        <v>1048700</v>
      </c>
      <c r="K243" s="33">
        <f>ROUND(J243*Assumptions!J$13+DEH!J243,-2)</f>
        <v>1074900</v>
      </c>
      <c r="L243" s="33">
        <f>ROUND(K243*Assumptions!K$13+DEH!K243,-2)</f>
        <v>1101800</v>
      </c>
      <c r="M243" s="33">
        <f>ROUND(L243*Assumptions!L$13+DEH!L243,-2)</f>
        <v>1129300</v>
      </c>
      <c r="N243" s="33">
        <f>ROUND(M243*Assumptions!M$13+DEH!M243,-2)</f>
        <v>1157500</v>
      </c>
      <c r="O243" s="33">
        <f>ROUND(N243*Assumptions!N$13+DEH!N243,-2)</f>
        <v>1186400</v>
      </c>
      <c r="P243" s="33">
        <f>ROUND(O243*Assumptions!O$13+DEH!O243,-2)</f>
        <v>1216100</v>
      </c>
      <c r="Q243" s="33">
        <f>ROUND(P243*Assumptions!P$13+DEH!P243,-2)</f>
        <v>1246500</v>
      </c>
      <c r="R243" s="114">
        <f>ROUND(Q243*Assumptions!Q$13+DEH!Q243,-2)</f>
        <v>1277700</v>
      </c>
    </row>
    <row r="244" spans="1:18" x14ac:dyDescent="0.2">
      <c r="A244" s="107">
        <v>4400</v>
      </c>
      <c r="B244" s="132">
        <v>1200</v>
      </c>
      <c r="C244" s="33">
        <v>1000</v>
      </c>
      <c r="D244" s="33">
        <v>2900</v>
      </c>
      <c r="E244" s="658" t="s">
        <v>2641</v>
      </c>
      <c r="F244" s="3" t="s">
        <v>1921</v>
      </c>
      <c r="G244" s="33">
        <v>4500</v>
      </c>
      <c r="H244" s="138">
        <f>IF(D244=G244,0,IF(D244=0,100,(G244-D244)/D244*100))</f>
        <v>55.172413793103445</v>
      </c>
      <c r="I244" s="33">
        <v>4500</v>
      </c>
      <c r="J244" s="33">
        <f>ROUNDUP(I244+(I244*Assumptions!I$5),-2)</f>
        <v>4700</v>
      </c>
      <c r="K244" s="33">
        <f>ROUNDUP(J244+(J244*Assumptions!J$5),-2)</f>
        <v>4900</v>
      </c>
      <c r="L244" s="33">
        <f>ROUNDUP(K244+(K244*Assumptions!K$5),-2)</f>
        <v>5100</v>
      </c>
      <c r="M244" s="33">
        <f>ROUNDUP(L244+(L244*Assumptions!L$5),-2)</f>
        <v>5300</v>
      </c>
      <c r="N244" s="33">
        <f>ROUNDUP(M244+(M244*Assumptions!M$5),-2)</f>
        <v>5500</v>
      </c>
      <c r="O244" s="33">
        <f>ROUNDUP(N244+(N244*Assumptions!N$5),-2)</f>
        <v>5700</v>
      </c>
      <c r="P244" s="33">
        <f>ROUNDUP(O244+(O244*Assumptions!O$5),-2)</f>
        <v>5900</v>
      </c>
      <c r="Q244" s="33">
        <f>ROUNDUP(P244+(P244*Assumptions!P$5),-2)</f>
        <v>6100</v>
      </c>
      <c r="R244" s="114">
        <f>ROUNDUP(Q244+(Q244*Assumptions!Q$5),-2)</f>
        <v>6300</v>
      </c>
    </row>
    <row r="245" spans="1:18" x14ac:dyDescent="0.2">
      <c r="A245" s="107">
        <v>52800</v>
      </c>
      <c r="B245" s="132">
        <v>47000</v>
      </c>
      <c r="C245" s="33">
        <v>48500</v>
      </c>
      <c r="D245" s="33">
        <v>48500</v>
      </c>
      <c r="E245" s="658" t="s">
        <v>418</v>
      </c>
      <c r="F245" s="3" t="s">
        <v>534</v>
      </c>
      <c r="G245" s="33">
        <v>50000</v>
      </c>
      <c r="H245" s="138">
        <f>IF(D245=G245,0,IF(D245=0,100,(G245-D245)/D245*100))</f>
        <v>3.0927835051546393</v>
      </c>
      <c r="I245" s="33">
        <f>ROUNDUP(G245+(G245*Assumptions!H$5),-2)</f>
        <v>50800</v>
      </c>
      <c r="J245" s="33">
        <f>ROUNDUP(I245+(I245*Assumptions!I$5),-2)</f>
        <v>52100</v>
      </c>
      <c r="K245" s="33">
        <f>ROUNDUP(J245+(J245*Assumptions!J$5),-2)</f>
        <v>53500</v>
      </c>
      <c r="L245" s="33">
        <f>ROUNDUP(K245+(K245*Assumptions!K$5),-2)</f>
        <v>54900</v>
      </c>
      <c r="M245" s="33">
        <f>ROUNDUP(L245+(L245*Assumptions!L$5),-2)</f>
        <v>56000</v>
      </c>
      <c r="N245" s="33">
        <f>ROUNDUP(M245+(M245*Assumptions!M$5),-2)</f>
        <v>57200</v>
      </c>
      <c r="O245" s="33">
        <f>ROUNDUP(N245+(N245*Assumptions!N$5),-2)</f>
        <v>58400</v>
      </c>
      <c r="P245" s="33">
        <f>ROUNDUP(O245+(O245*Assumptions!O$5),-2)</f>
        <v>59600</v>
      </c>
      <c r="Q245" s="33">
        <f>ROUNDUP(P245+(P245*Assumptions!P$5),-2)</f>
        <v>60800</v>
      </c>
      <c r="R245" s="114">
        <f>ROUNDUP(Q245+(Q245*Assumptions!Q$5),-2)</f>
        <v>62100</v>
      </c>
    </row>
    <row r="246" spans="1:18" x14ac:dyDescent="0.2">
      <c r="A246" s="649"/>
      <c r="B246" s="947"/>
      <c r="C246" s="33"/>
      <c r="D246" s="33"/>
      <c r="E246" s="658"/>
      <c r="F246" s="3"/>
      <c r="G246" s="33"/>
      <c r="H246" s="138"/>
      <c r="I246" s="33"/>
      <c r="J246" s="33"/>
      <c r="K246" s="33"/>
      <c r="L246" s="33"/>
      <c r="M246" s="33"/>
      <c r="N246" s="33"/>
      <c r="O246" s="33"/>
      <c r="P246" s="33"/>
      <c r="Q246" s="33"/>
      <c r="R246" s="114"/>
    </row>
    <row r="247" spans="1:18" x14ac:dyDescent="0.2">
      <c r="A247" s="710"/>
      <c r="B247" s="749"/>
      <c r="C247" s="33"/>
      <c r="D247" s="33"/>
      <c r="E247" s="658"/>
      <c r="F247" s="6" t="s">
        <v>1093</v>
      </c>
      <c r="G247" s="33"/>
      <c r="H247" s="138"/>
      <c r="I247" s="33"/>
      <c r="J247" s="33"/>
      <c r="K247" s="33"/>
      <c r="L247" s="33"/>
      <c r="M247" s="33"/>
      <c r="N247" s="33"/>
      <c r="O247" s="33"/>
      <c r="P247" s="33"/>
      <c r="Q247" s="33"/>
      <c r="R247" s="114"/>
    </row>
    <row r="248" spans="1:18" x14ac:dyDescent="0.2">
      <c r="A248" s="107">
        <v>16200</v>
      </c>
      <c r="B248" s="132">
        <v>24300</v>
      </c>
      <c r="C248" s="33">
        <v>20700</v>
      </c>
      <c r="D248" s="33">
        <v>27600</v>
      </c>
      <c r="E248" s="658" t="s">
        <v>1113</v>
      </c>
      <c r="F248" s="3" t="s">
        <v>2558</v>
      </c>
      <c r="G248" s="33">
        <v>15000</v>
      </c>
      <c r="H248" s="138">
        <f>IF(D248=G248,0,IF(D248=0,100,(G248-D248)/D248*100))</f>
        <v>-45.652173913043477</v>
      </c>
      <c r="I248" s="33">
        <v>15000</v>
      </c>
      <c r="J248" s="33">
        <f>ROUNDUP(I248+(I248*Assumptions!I$5),-2)</f>
        <v>15400</v>
      </c>
      <c r="K248" s="33">
        <f>ROUNDUP(J248+(J248*Assumptions!J$5),-2)</f>
        <v>15800</v>
      </c>
      <c r="L248" s="33">
        <f>ROUNDUP(K248+(K248*Assumptions!K$5),-2)</f>
        <v>16200</v>
      </c>
      <c r="M248" s="33">
        <f>ROUNDUP(L248+(L248*Assumptions!L$5),-2)</f>
        <v>16600</v>
      </c>
      <c r="N248" s="33">
        <f>ROUNDUP(M248+(M248*Assumptions!M$5),-2)</f>
        <v>17000</v>
      </c>
      <c r="O248" s="33">
        <f>ROUNDUP(N248+(N248*Assumptions!N$5),-2)</f>
        <v>17400</v>
      </c>
      <c r="P248" s="33">
        <f>ROUNDUP(O248+(O248*Assumptions!O$5),-2)</f>
        <v>17800</v>
      </c>
      <c r="Q248" s="33">
        <f>ROUNDUP(P248+(P248*Assumptions!P$5),-2)</f>
        <v>18200</v>
      </c>
      <c r="R248" s="114">
        <f>ROUNDUP(Q248+(Q248*Assumptions!Q$5),-2)</f>
        <v>18600</v>
      </c>
    </row>
    <row r="249" spans="1:18" x14ac:dyDescent="0.2">
      <c r="A249" s="107">
        <v>26100</v>
      </c>
      <c r="B249" s="132">
        <v>19100</v>
      </c>
      <c r="C249" s="33">
        <v>23100</v>
      </c>
      <c r="D249" s="33">
        <v>33100</v>
      </c>
      <c r="E249" s="658" t="s">
        <v>1950</v>
      </c>
      <c r="F249" s="3" t="s">
        <v>535</v>
      </c>
      <c r="G249" s="132">
        <f>20000+2000</f>
        <v>22000</v>
      </c>
      <c r="H249" s="138">
        <f>IF(D249=G249,0,IF(D249=0,100,(G249-D249)/D249*100))</f>
        <v>-33.534743202416919</v>
      </c>
      <c r="I249" s="33">
        <v>20000</v>
      </c>
      <c r="J249" s="33">
        <f>ROUNDUP(I249+(I249*Assumptions!I$5),-2)</f>
        <v>20500</v>
      </c>
      <c r="K249" s="33">
        <f>ROUNDUP(J249+(J249*Assumptions!J$5),-2)</f>
        <v>21100</v>
      </c>
      <c r="L249" s="33">
        <f>ROUNDUP(K249+(K249*Assumptions!K$5),-2)</f>
        <v>21700</v>
      </c>
      <c r="M249" s="33">
        <f>ROUNDUP(L249+(L249*Assumptions!L$5),-2)</f>
        <v>22200</v>
      </c>
      <c r="N249" s="33">
        <f>ROUNDUP(M249+(M249*Assumptions!M$5),-2)</f>
        <v>22700</v>
      </c>
      <c r="O249" s="33">
        <f>ROUNDUP(N249+(N249*Assumptions!N$5),-2)</f>
        <v>23200</v>
      </c>
      <c r="P249" s="33">
        <f>ROUNDUP(O249+(O249*Assumptions!O$5),-2)</f>
        <v>23700</v>
      </c>
      <c r="Q249" s="33">
        <f>ROUNDUP(P249+(P249*Assumptions!P$5),-2)</f>
        <v>24200</v>
      </c>
      <c r="R249" s="114">
        <f>ROUNDUP(Q249+(Q249*Assumptions!Q$5),-2)</f>
        <v>24700</v>
      </c>
    </row>
    <row r="250" spans="1:18" x14ac:dyDescent="0.2">
      <c r="A250" s="107">
        <v>11100</v>
      </c>
      <c r="B250" s="132">
        <v>21200</v>
      </c>
      <c r="C250" s="33">
        <v>9600</v>
      </c>
      <c r="D250" s="33">
        <v>9000</v>
      </c>
      <c r="E250" s="658" t="s">
        <v>1287</v>
      </c>
      <c r="F250" s="3" t="s">
        <v>2016</v>
      </c>
      <c r="G250" s="33">
        <v>10000</v>
      </c>
      <c r="H250" s="138">
        <f>IF(D250=G250,0,IF(D250=0,100,(G250-D250)/D250*100))</f>
        <v>11.111111111111111</v>
      </c>
      <c r="I250" s="33">
        <v>10000</v>
      </c>
      <c r="J250" s="33">
        <f>ROUNDUP(I250+(I250*Assumptions!I$5),-2)</f>
        <v>10300</v>
      </c>
      <c r="K250" s="33">
        <f>ROUNDUP(J250+(J250*Assumptions!J$5),-2)</f>
        <v>10600</v>
      </c>
      <c r="L250" s="33">
        <f>ROUNDUP(K250+(K250*Assumptions!K$5),-2)</f>
        <v>10900</v>
      </c>
      <c r="M250" s="33">
        <f>ROUNDUP(L250+(L250*Assumptions!L$5),-2)</f>
        <v>11200</v>
      </c>
      <c r="N250" s="33">
        <f>ROUNDUP(M250+(M250*Assumptions!M$5),-2)</f>
        <v>11500</v>
      </c>
      <c r="O250" s="33">
        <f>ROUNDUP(N250+(N250*Assumptions!N$5),-2)</f>
        <v>11800</v>
      </c>
      <c r="P250" s="33">
        <f>ROUNDUP(O250+(O250*Assumptions!O$5),-2)</f>
        <v>12100</v>
      </c>
      <c r="Q250" s="33">
        <f>ROUNDUP(P250+(P250*Assumptions!P$5),-2)</f>
        <v>12400</v>
      </c>
      <c r="R250" s="114">
        <f>ROUNDUP(Q250+(Q250*Assumptions!Q$5),-2)</f>
        <v>12700</v>
      </c>
    </row>
    <row r="251" spans="1:18" x14ac:dyDescent="0.2">
      <c r="A251" s="107"/>
      <c r="B251" s="132"/>
      <c r="C251" s="33"/>
      <c r="D251" s="33"/>
      <c r="E251" s="1092" t="s">
        <v>7084</v>
      </c>
      <c r="F251" s="1099" t="s">
        <v>7085</v>
      </c>
      <c r="G251" s="33">
        <v>23000</v>
      </c>
      <c r="H251" s="138"/>
      <c r="I251" s="33">
        <v>0</v>
      </c>
      <c r="J251" s="33">
        <f>ROUNDUP(I251+(I251*Assumptions!I$5),-2)</f>
        <v>0</v>
      </c>
      <c r="K251" s="33">
        <f>ROUNDUP(J251+(J251*Assumptions!J$5),-2)</f>
        <v>0</v>
      </c>
      <c r="L251" s="33">
        <f>ROUNDUP(K251+(K251*Assumptions!K$5),-2)</f>
        <v>0</v>
      </c>
      <c r="M251" s="33">
        <f>ROUNDUP(L251+(L251*Assumptions!L$5),-2)</f>
        <v>0</v>
      </c>
      <c r="N251" s="33">
        <f>ROUNDUP(M251+(M251*Assumptions!M$5),-2)</f>
        <v>0</v>
      </c>
      <c r="O251" s="33">
        <f>ROUNDUP(N251+(N251*Assumptions!N$5),-2)</f>
        <v>0</v>
      </c>
      <c r="P251" s="33">
        <f>ROUNDUP(O251+(O251*Assumptions!O$5),-2)</f>
        <v>0</v>
      </c>
      <c r="Q251" s="33">
        <f>ROUNDUP(P251+(P251*Assumptions!P$5),-2)</f>
        <v>0</v>
      </c>
      <c r="R251" s="114">
        <f>ROUNDUP(Q251+(Q251*Assumptions!Q$5),-2)</f>
        <v>0</v>
      </c>
    </row>
    <row r="252" spans="1:18" x14ac:dyDescent="0.2">
      <c r="A252" s="649"/>
      <c r="B252" s="947"/>
      <c r="C252" s="33"/>
      <c r="D252" s="33"/>
      <c r="E252" s="658"/>
      <c r="F252" s="3"/>
      <c r="G252" s="33"/>
      <c r="H252" s="138"/>
      <c r="I252" s="33"/>
      <c r="J252" s="33"/>
      <c r="K252" s="33"/>
      <c r="L252" s="33"/>
      <c r="M252" s="33"/>
      <c r="N252" s="33"/>
      <c r="O252" s="33"/>
      <c r="P252" s="33"/>
      <c r="Q252" s="33"/>
      <c r="R252" s="114"/>
    </row>
    <row r="253" spans="1:18" x14ac:dyDescent="0.2">
      <c r="A253" s="710"/>
      <c r="B253" s="749"/>
      <c r="C253" s="33"/>
      <c r="D253" s="33"/>
      <c r="E253" s="658"/>
      <c r="F253" s="6" t="s">
        <v>2139</v>
      </c>
      <c r="G253" s="33"/>
      <c r="H253" s="138"/>
      <c r="I253" s="33"/>
      <c r="J253" s="33"/>
      <c r="K253" s="33"/>
      <c r="L253" s="33"/>
      <c r="M253" s="33"/>
      <c r="N253" s="33"/>
      <c r="O253" s="33"/>
      <c r="P253" s="33"/>
      <c r="Q253" s="33"/>
      <c r="R253" s="114"/>
    </row>
    <row r="254" spans="1:18" x14ac:dyDescent="0.2">
      <c r="A254" s="107">
        <v>57700</v>
      </c>
      <c r="B254" s="132">
        <f>97900+2200</f>
        <v>100100</v>
      </c>
      <c r="C254" s="33">
        <v>103000</v>
      </c>
      <c r="D254" s="33">
        <v>49500</v>
      </c>
      <c r="E254" s="658" t="s">
        <v>1114</v>
      </c>
      <c r="F254" s="3" t="s">
        <v>1667</v>
      </c>
      <c r="G254" s="33">
        <v>150000</v>
      </c>
      <c r="H254" s="138">
        <f>IF(D254=G254,0,IF(D254=0,100,(G254-D254)/D254*100))</f>
        <v>203.03030303030303</v>
      </c>
      <c r="I254" s="33">
        <v>150000</v>
      </c>
      <c r="J254" s="33">
        <f t="shared" ref="J254:R254" si="286">I254</f>
        <v>150000</v>
      </c>
      <c r="K254" s="33">
        <f t="shared" si="286"/>
        <v>150000</v>
      </c>
      <c r="L254" s="33">
        <f t="shared" si="286"/>
        <v>150000</v>
      </c>
      <c r="M254" s="33">
        <f t="shared" si="286"/>
        <v>150000</v>
      </c>
      <c r="N254" s="33">
        <f t="shared" si="286"/>
        <v>150000</v>
      </c>
      <c r="O254" s="33">
        <f t="shared" si="286"/>
        <v>150000</v>
      </c>
      <c r="P254" s="33">
        <f t="shared" si="286"/>
        <v>150000</v>
      </c>
      <c r="Q254" s="33">
        <f t="shared" si="286"/>
        <v>150000</v>
      </c>
      <c r="R254" s="114">
        <f t="shared" si="286"/>
        <v>150000</v>
      </c>
    </row>
    <row r="255" spans="1:18" ht="13.5" thickBot="1" x14ac:dyDescent="0.25">
      <c r="A255" s="107"/>
      <c r="B255" s="33"/>
      <c r="C255" s="33"/>
      <c r="D255" s="33"/>
      <c r="E255" s="673"/>
      <c r="F255" s="99"/>
      <c r="G255" s="33"/>
      <c r="H255" s="138"/>
      <c r="I255" s="33"/>
      <c r="J255" s="33"/>
      <c r="K255" s="33"/>
      <c r="L255" s="33"/>
      <c r="M255" s="33"/>
      <c r="N255" s="33"/>
      <c r="O255" s="33"/>
      <c r="P255" s="33"/>
      <c r="Q255" s="33"/>
      <c r="R255" s="114"/>
    </row>
    <row r="256" spans="1:18" s="92" customFormat="1" x14ac:dyDescent="0.2">
      <c r="A256" s="105">
        <f>SUM(A241:A255)</f>
        <v>1156200</v>
      </c>
      <c r="B256" s="53">
        <f>SUM(B241:B255)</f>
        <v>1077900</v>
      </c>
      <c r="C256" s="53">
        <f>SUM(C241:C255)</f>
        <v>1075600</v>
      </c>
      <c r="D256" s="53">
        <f>SUM(D241:D255)</f>
        <v>1084700</v>
      </c>
      <c r="E256" s="674"/>
      <c r="F256" s="112" t="s">
        <v>565</v>
      </c>
      <c r="G256" s="53">
        <f t="shared" ref="G256:P256" si="287">SUM(G241:G255)</f>
        <v>1277500</v>
      </c>
      <c r="H256" s="180">
        <f>IF(D256=G256,0,IF(D256=0,100,(G256-D256)/D256*100))</f>
        <v>17.774499861712918</v>
      </c>
      <c r="I256" s="53">
        <f t="shared" si="287"/>
        <v>1273400</v>
      </c>
      <c r="J256" s="53">
        <f t="shared" si="287"/>
        <v>1301700</v>
      </c>
      <c r="K256" s="53">
        <f t="shared" si="287"/>
        <v>1330800</v>
      </c>
      <c r="L256" s="53">
        <f t="shared" si="287"/>
        <v>1360600</v>
      </c>
      <c r="M256" s="53">
        <f t="shared" si="287"/>
        <v>1390600</v>
      </c>
      <c r="N256" s="53">
        <f t="shared" si="287"/>
        <v>1421400</v>
      </c>
      <c r="O256" s="53">
        <f t="shared" si="287"/>
        <v>1452900</v>
      </c>
      <c r="P256" s="53">
        <f t="shared" si="287"/>
        <v>1485200</v>
      </c>
      <c r="Q256" s="53">
        <f t="shared" ref="Q256" si="288">SUM(Q241:Q255)</f>
        <v>1518200</v>
      </c>
      <c r="R256" s="113">
        <f t="shared" ref="R256" si="289">SUM(R241:R255)</f>
        <v>1552100</v>
      </c>
    </row>
    <row r="257" spans="1:18" x14ac:dyDescent="0.2">
      <c r="A257" s="107"/>
      <c r="B257" s="33"/>
      <c r="C257" s="33"/>
      <c r="D257" s="33"/>
      <c r="E257" s="673"/>
      <c r="F257" s="108"/>
      <c r="G257" s="33"/>
      <c r="H257" s="138"/>
      <c r="I257" s="33"/>
      <c r="J257" s="33"/>
      <c r="K257" s="33"/>
      <c r="L257" s="33"/>
      <c r="M257" s="33"/>
      <c r="N257" s="33"/>
      <c r="O257" s="33"/>
      <c r="P257" s="33"/>
      <c r="Q257" s="33"/>
      <c r="R257" s="114"/>
    </row>
    <row r="258" spans="1:18" s="92" customFormat="1" x14ac:dyDescent="0.2">
      <c r="A258" s="70">
        <f>A238-A256</f>
        <v>-800000</v>
      </c>
      <c r="B258" s="64">
        <f>B238-B256</f>
        <v>-705700</v>
      </c>
      <c r="C258" s="64">
        <f>C238-C256</f>
        <v>-767700</v>
      </c>
      <c r="D258" s="64">
        <f>D238-D256</f>
        <v>-480700</v>
      </c>
      <c r="E258" s="674"/>
      <c r="F258" s="1962" t="s">
        <v>1019</v>
      </c>
      <c r="G258" s="64">
        <f t="shared" ref="G258:P258" si="290">G238-G256</f>
        <v>-585500</v>
      </c>
      <c r="H258" s="179">
        <f>IF(D258=G258,0,IF(D258=0,100,(G258-D258)/D258*100))</f>
        <v>21.801539421676722</v>
      </c>
      <c r="I258" s="64">
        <f t="shared" si="290"/>
        <v>-673400</v>
      </c>
      <c r="J258" s="64">
        <f t="shared" si="290"/>
        <v>-688300</v>
      </c>
      <c r="K258" s="64">
        <f t="shared" si="290"/>
        <v>-701400</v>
      </c>
      <c r="L258" s="64">
        <f t="shared" si="290"/>
        <v>-714900</v>
      </c>
      <c r="M258" s="64">
        <f t="shared" si="290"/>
        <v>-731600</v>
      </c>
      <c r="N258" s="64">
        <f t="shared" si="290"/>
        <v>-748600</v>
      </c>
      <c r="O258" s="64">
        <f t="shared" si="290"/>
        <v>-766200</v>
      </c>
      <c r="P258" s="64">
        <f t="shared" si="290"/>
        <v>-784200</v>
      </c>
      <c r="Q258" s="64">
        <f t="shared" ref="Q258" si="291">Q238-Q256</f>
        <v>-802700</v>
      </c>
      <c r="R258" s="115">
        <f t="shared" ref="R258" si="292">R238-R256</f>
        <v>-821800</v>
      </c>
    </row>
    <row r="259" spans="1:18" x14ac:dyDescent="0.2">
      <c r="A259" s="107">
        <v>0</v>
      </c>
      <c r="B259" s="33">
        <v>0</v>
      </c>
      <c r="C259" s="33">
        <v>0</v>
      </c>
      <c r="D259" s="33">
        <v>0</v>
      </c>
      <c r="E259" s="673"/>
      <c r="F259" s="2531" t="s">
        <v>1976</v>
      </c>
      <c r="G259" s="33">
        <v>0</v>
      </c>
      <c r="H259" s="19">
        <f>IF(D259=G259,0,IF(D259=0,100,(G259-D259)/D259*100))</f>
        <v>0</v>
      </c>
      <c r="I259" s="33">
        <v>0</v>
      </c>
      <c r="J259" s="33">
        <v>0</v>
      </c>
      <c r="K259" s="33">
        <v>0</v>
      </c>
      <c r="L259" s="33">
        <v>0</v>
      </c>
      <c r="M259" s="33">
        <v>0</v>
      </c>
      <c r="N259" s="33">
        <v>0</v>
      </c>
      <c r="O259" s="33">
        <v>0</v>
      </c>
      <c r="P259" s="33">
        <v>0</v>
      </c>
      <c r="Q259" s="33">
        <v>0</v>
      </c>
      <c r="R259" s="114">
        <v>0</v>
      </c>
    </row>
    <row r="260" spans="1:18" s="92" customFormat="1" x14ac:dyDescent="0.2">
      <c r="A260" s="181">
        <f>A258+A259</f>
        <v>-800000</v>
      </c>
      <c r="B260" s="397">
        <f>B258+B259</f>
        <v>-705700</v>
      </c>
      <c r="C260" s="397">
        <f>C258+C259</f>
        <v>-767700</v>
      </c>
      <c r="D260" s="397">
        <f>D258+D259</f>
        <v>-480700</v>
      </c>
      <c r="E260" s="675"/>
      <c r="F260" s="1972" t="s">
        <v>1687</v>
      </c>
      <c r="G260" s="397">
        <f t="shared" ref="G260:O260" si="293">G258+G259</f>
        <v>-585500</v>
      </c>
      <c r="H260" s="395">
        <f>IF(D260=G260,0,IF(D260=0,100,(G260-D260)/D260*100))</f>
        <v>21.801539421676722</v>
      </c>
      <c r="I260" s="397">
        <f t="shared" si="293"/>
        <v>-673400</v>
      </c>
      <c r="J260" s="397">
        <f t="shared" si="293"/>
        <v>-688300</v>
      </c>
      <c r="K260" s="397">
        <f t="shared" si="293"/>
        <v>-701400</v>
      </c>
      <c r="L260" s="397">
        <f t="shared" si="293"/>
        <v>-714900</v>
      </c>
      <c r="M260" s="397">
        <f t="shared" si="293"/>
        <v>-731600</v>
      </c>
      <c r="N260" s="397">
        <f t="shared" si="293"/>
        <v>-748600</v>
      </c>
      <c r="O260" s="397">
        <f t="shared" si="293"/>
        <v>-766200</v>
      </c>
      <c r="P260" s="397">
        <f t="shared" ref="P260:Q260" si="294">P258+P259</f>
        <v>-784200</v>
      </c>
      <c r="Q260" s="397">
        <f t="shared" si="294"/>
        <v>-802700</v>
      </c>
      <c r="R260" s="399">
        <f t="shared" ref="R260" si="295">R258+R259</f>
        <v>-821800</v>
      </c>
    </row>
    <row r="261" spans="1:18" ht="13.5" thickBot="1" x14ac:dyDescent="0.25">
      <c r="A261" s="107"/>
      <c r="B261" s="33"/>
      <c r="C261" s="33"/>
      <c r="D261" s="33"/>
      <c r="E261" s="673"/>
      <c r="F261" s="1962"/>
      <c r="G261" s="33"/>
      <c r="H261" s="138"/>
      <c r="I261" s="121"/>
      <c r="J261" s="121"/>
      <c r="K261" s="121"/>
      <c r="L261" s="121"/>
      <c r="M261" s="121"/>
      <c r="N261" s="121"/>
      <c r="O261" s="121"/>
      <c r="P261" s="121"/>
      <c r="Q261" s="121"/>
      <c r="R261" s="161"/>
    </row>
    <row r="262" spans="1:18" ht="13.5" thickTop="1" x14ac:dyDescent="0.2">
      <c r="A262" s="383"/>
      <c r="B262" s="162"/>
      <c r="C262" s="162"/>
      <c r="D262" s="162"/>
      <c r="E262" s="677"/>
      <c r="F262" s="640"/>
      <c r="G262" s="162"/>
      <c r="H262" s="505"/>
      <c r="I262" s="127"/>
      <c r="J262" s="127"/>
      <c r="K262" s="127"/>
      <c r="L262" s="127"/>
      <c r="M262" s="127"/>
      <c r="N262" s="127"/>
      <c r="O262" s="127"/>
      <c r="P262" s="127"/>
      <c r="Q262" s="127"/>
      <c r="R262" s="163"/>
    </row>
    <row r="263" spans="1:18" x14ac:dyDescent="0.2">
      <c r="A263" s="70"/>
      <c r="B263" s="64"/>
      <c r="C263" s="64"/>
      <c r="D263" s="64"/>
      <c r="E263" s="657"/>
      <c r="F263" s="1962" t="s">
        <v>196</v>
      </c>
      <c r="G263" s="64"/>
      <c r="H263" s="179"/>
      <c r="I263" s="33"/>
      <c r="J263" s="33"/>
      <c r="K263" s="33"/>
      <c r="L263" s="33"/>
      <c r="M263" s="33"/>
      <c r="N263" s="33"/>
      <c r="O263" s="33"/>
      <c r="P263" s="33"/>
      <c r="Q263" s="33"/>
      <c r="R263" s="114"/>
    </row>
    <row r="264" spans="1:18" x14ac:dyDescent="0.2">
      <c r="A264" s="70"/>
      <c r="B264" s="64"/>
      <c r="C264" s="64"/>
      <c r="D264" s="64"/>
      <c r="E264" s="657"/>
      <c r="F264" s="175"/>
      <c r="G264" s="64"/>
      <c r="H264" s="179"/>
      <c r="I264" s="33"/>
      <c r="J264" s="33"/>
      <c r="K264" s="33"/>
      <c r="L264" s="33"/>
      <c r="M264" s="33"/>
      <c r="N264" s="33"/>
      <c r="O264" s="33"/>
      <c r="P264" s="33"/>
      <c r="Q264" s="33"/>
      <c r="R264" s="114"/>
    </row>
    <row r="265" spans="1:18" x14ac:dyDescent="0.2">
      <c r="A265" s="107">
        <v>0</v>
      </c>
      <c r="B265" s="33">
        <v>0</v>
      </c>
      <c r="C265" s="33">
        <v>0</v>
      </c>
      <c r="D265" s="33">
        <v>0</v>
      </c>
      <c r="E265" s="657"/>
      <c r="F265" s="525" t="s">
        <v>1791</v>
      </c>
      <c r="G265" s="99">
        <v>0</v>
      </c>
      <c r="H265" s="138"/>
      <c r="I265" s="33">
        <v>0</v>
      </c>
      <c r="J265" s="33">
        <v>0</v>
      </c>
      <c r="K265" s="33">
        <v>0</v>
      </c>
      <c r="L265" s="33">
        <v>0</v>
      </c>
      <c r="M265" s="33">
        <v>0</v>
      </c>
      <c r="N265" s="33">
        <v>0</v>
      </c>
      <c r="O265" s="33">
        <v>0</v>
      </c>
      <c r="P265" s="33">
        <v>0</v>
      </c>
      <c r="Q265" s="33">
        <v>0</v>
      </c>
      <c r="R265" s="114">
        <v>0</v>
      </c>
    </row>
    <row r="266" spans="1:18" x14ac:dyDescent="0.2">
      <c r="A266" s="107">
        <v>21600</v>
      </c>
      <c r="B266" s="33">
        <v>0</v>
      </c>
      <c r="C266" s="33">
        <v>0</v>
      </c>
      <c r="D266" s="33">
        <f>'Res-Gen'!B127</f>
        <v>50000</v>
      </c>
      <c r="E266" s="657"/>
      <c r="F266" s="366" t="s">
        <v>1942</v>
      </c>
      <c r="G266" s="99">
        <f>'Res-Gen'!E127</f>
        <v>100000</v>
      </c>
      <c r="H266" s="138"/>
      <c r="I266" s="33">
        <v>0</v>
      </c>
      <c r="J266" s="33">
        <v>0</v>
      </c>
      <c r="K266" s="33">
        <v>0</v>
      </c>
      <c r="L266" s="33">
        <v>0</v>
      </c>
      <c r="M266" s="33">
        <v>0</v>
      </c>
      <c r="N266" s="33">
        <v>0</v>
      </c>
      <c r="O266" s="33">
        <v>0</v>
      </c>
      <c r="P266" s="33">
        <v>0</v>
      </c>
      <c r="Q266" s="33">
        <v>0</v>
      </c>
      <c r="R266" s="114">
        <v>0</v>
      </c>
    </row>
    <row r="267" spans="1:18" x14ac:dyDescent="0.2">
      <c r="A267" s="107">
        <v>0</v>
      </c>
      <c r="B267" s="33">
        <v>21600</v>
      </c>
      <c r="C267" s="142">
        <v>0</v>
      </c>
      <c r="D267" s="142">
        <v>0</v>
      </c>
      <c r="E267" s="657"/>
      <c r="F267" s="366" t="s">
        <v>2348</v>
      </c>
      <c r="G267" s="99">
        <v>0</v>
      </c>
      <c r="H267" s="33"/>
      <c r="I267" s="33">
        <v>0</v>
      </c>
      <c r="J267" s="33">
        <v>0</v>
      </c>
      <c r="K267" s="33">
        <v>0</v>
      </c>
      <c r="L267" s="33">
        <v>0</v>
      </c>
      <c r="M267" s="33">
        <v>0</v>
      </c>
      <c r="N267" s="33">
        <v>0</v>
      </c>
      <c r="O267" s="33">
        <v>0</v>
      </c>
      <c r="P267" s="33">
        <v>0</v>
      </c>
      <c r="Q267" s="33">
        <v>0</v>
      </c>
      <c r="R267" s="114">
        <v>0</v>
      </c>
    </row>
    <row r="268" spans="1:18" x14ac:dyDescent="0.2">
      <c r="A268" s="107">
        <v>0</v>
      </c>
      <c r="B268" s="33">
        <v>0</v>
      </c>
      <c r="C268" s="33">
        <v>0</v>
      </c>
      <c r="D268" s="33">
        <v>0</v>
      </c>
      <c r="E268" s="657"/>
      <c r="F268" s="366" t="s">
        <v>5984</v>
      </c>
      <c r="G268" s="99">
        <v>0</v>
      </c>
      <c r="H268" s="138"/>
      <c r="I268" s="33">
        <v>0</v>
      </c>
      <c r="J268" s="33">
        <v>0</v>
      </c>
      <c r="K268" s="33">
        <v>0</v>
      </c>
      <c r="L268" s="33">
        <v>0</v>
      </c>
      <c r="M268" s="33">
        <v>0</v>
      </c>
      <c r="N268" s="33">
        <v>0</v>
      </c>
      <c r="O268" s="33">
        <v>0</v>
      </c>
      <c r="P268" s="33">
        <v>0</v>
      </c>
      <c r="Q268" s="33">
        <v>0</v>
      </c>
      <c r="R268" s="114">
        <v>0</v>
      </c>
    </row>
    <row r="269" spans="1:18" x14ac:dyDescent="0.2">
      <c r="A269" s="107">
        <v>0</v>
      </c>
      <c r="B269" s="33">
        <v>0</v>
      </c>
      <c r="C269" s="33">
        <v>0</v>
      </c>
      <c r="D269" s="33">
        <v>0</v>
      </c>
      <c r="E269" s="657"/>
      <c r="F269" s="366" t="s">
        <v>972</v>
      </c>
      <c r="G269" s="99">
        <v>0</v>
      </c>
      <c r="H269" s="138"/>
      <c r="I269" s="33">
        <v>0</v>
      </c>
      <c r="J269" s="33">
        <v>0</v>
      </c>
      <c r="K269" s="33">
        <v>0</v>
      </c>
      <c r="L269" s="33">
        <v>0</v>
      </c>
      <c r="M269" s="33">
        <v>0</v>
      </c>
      <c r="N269" s="33">
        <v>0</v>
      </c>
      <c r="O269" s="33">
        <v>0</v>
      </c>
      <c r="P269" s="33">
        <v>0</v>
      </c>
      <c r="Q269" s="33">
        <v>0</v>
      </c>
      <c r="R269" s="114">
        <v>0</v>
      </c>
    </row>
    <row r="270" spans="1:18" x14ac:dyDescent="0.2">
      <c r="A270" s="107"/>
      <c r="B270" s="33"/>
      <c r="C270" s="33"/>
      <c r="D270" s="33"/>
      <c r="E270" s="657"/>
      <c r="F270" s="516"/>
      <c r="G270" s="99"/>
      <c r="H270" s="138"/>
      <c r="I270" s="33"/>
      <c r="J270" s="33"/>
      <c r="K270" s="33"/>
      <c r="L270" s="33"/>
      <c r="M270" s="33"/>
      <c r="N270" s="33"/>
      <c r="O270" s="33"/>
      <c r="P270" s="33"/>
      <c r="Q270" s="33"/>
      <c r="R270" s="114"/>
    </row>
    <row r="271" spans="1:18" s="92" customFormat="1" x14ac:dyDescent="0.2">
      <c r="A271" s="181">
        <f>A260-A265-A266+A267++A268-A269</f>
        <v>-821600</v>
      </c>
      <c r="B271" s="397">
        <f>B260-B265-B266+B267++B268-B269</f>
        <v>-684100</v>
      </c>
      <c r="C271" s="397">
        <f>C260-C265-C266+C267++C268-C269</f>
        <v>-767700</v>
      </c>
      <c r="D271" s="397">
        <f>D260-D265-D266+D267++D268-D269</f>
        <v>-530700</v>
      </c>
      <c r="E271" s="678"/>
      <c r="F271" s="518" t="s">
        <v>2490</v>
      </c>
      <c r="G271" s="704">
        <f t="shared" ref="G271:O271" si="296">G260-G265-G266+G267++G268-G269</f>
        <v>-685500</v>
      </c>
      <c r="H271" s="395">
        <f>IF(D271=G271,0,IF(D271=0,100,(G271-D271)/D271*100))</f>
        <v>29.16902204635387</v>
      </c>
      <c r="I271" s="397">
        <f t="shared" si="296"/>
        <v>-673400</v>
      </c>
      <c r="J271" s="397">
        <f t="shared" si="296"/>
        <v>-688300</v>
      </c>
      <c r="K271" s="397">
        <f t="shared" si="296"/>
        <v>-701400</v>
      </c>
      <c r="L271" s="397">
        <f t="shared" si="296"/>
        <v>-714900</v>
      </c>
      <c r="M271" s="397">
        <f t="shared" si="296"/>
        <v>-731600</v>
      </c>
      <c r="N271" s="397">
        <f t="shared" si="296"/>
        <v>-748600</v>
      </c>
      <c r="O271" s="397">
        <f t="shared" si="296"/>
        <v>-766200</v>
      </c>
      <c r="P271" s="397">
        <f t="shared" ref="P271:Q271" si="297">P260-P265-P266+P267++P268-P269</f>
        <v>-784200</v>
      </c>
      <c r="Q271" s="397">
        <f t="shared" si="297"/>
        <v>-802700</v>
      </c>
      <c r="R271" s="399">
        <f t="shared" ref="R271" si="298">R260-R265-R266+R267++R268-R269</f>
        <v>-821800</v>
      </c>
    </row>
    <row r="272" spans="1:18" ht="13.5" thickBot="1" x14ac:dyDescent="0.25">
      <c r="A272" s="73"/>
      <c r="B272" s="90"/>
      <c r="C272" s="90"/>
      <c r="D272" s="90"/>
      <c r="E272" s="679"/>
      <c r="F272" s="368"/>
      <c r="G272" s="120"/>
      <c r="H272" s="392"/>
      <c r="I272" s="66"/>
      <c r="J272" s="66"/>
      <c r="K272" s="66"/>
      <c r="L272" s="66"/>
      <c r="M272" s="66"/>
      <c r="N272" s="66"/>
      <c r="O272" s="66"/>
      <c r="P272" s="66"/>
      <c r="Q272" s="66"/>
      <c r="R272" s="165"/>
    </row>
    <row r="273" spans="1:18" ht="14.25" thickTop="1" thickBot="1" x14ac:dyDescent="0.25">
      <c r="A273" s="74"/>
      <c r="B273" s="74"/>
      <c r="C273" s="74"/>
      <c r="D273" s="74"/>
      <c r="E273" s="660"/>
      <c r="F273" s="137"/>
      <c r="G273" s="74"/>
      <c r="H273" s="2482"/>
      <c r="I273" s="99"/>
      <c r="J273" s="99"/>
      <c r="K273" s="99"/>
      <c r="L273" s="99"/>
      <c r="M273" s="99"/>
      <c r="N273" s="99"/>
      <c r="O273" s="99"/>
      <c r="P273" s="99"/>
      <c r="Q273" s="99"/>
      <c r="R273" s="99"/>
    </row>
    <row r="274" spans="1:18" s="91" customFormat="1" ht="18.75" customHeight="1" thickTop="1" thickBot="1" x14ac:dyDescent="0.3">
      <c r="A274" s="2865" t="str">
        <f>A83</f>
        <v>BUILDING SERVICES</v>
      </c>
      <c r="B274" s="2866"/>
      <c r="C274" s="2866"/>
      <c r="D274" s="2866"/>
      <c r="E274" s="2866"/>
      <c r="F274" s="2866"/>
      <c r="G274" s="2866"/>
      <c r="H274" s="2866"/>
      <c r="I274" s="2866"/>
      <c r="J274" s="2866"/>
      <c r="K274" s="2866"/>
      <c r="L274" s="2866"/>
      <c r="M274" s="2866"/>
      <c r="N274" s="2866"/>
      <c r="O274" s="2866"/>
      <c r="P274" s="2866"/>
      <c r="Q274" s="2866"/>
      <c r="R274" s="2867"/>
    </row>
    <row r="275" spans="1:18" s="44" customFormat="1" x14ac:dyDescent="0.2">
      <c r="A275" s="2888" t="s">
        <v>1856</v>
      </c>
      <c r="B275" s="2889"/>
      <c r="C275" s="2889"/>
      <c r="D275" s="2890"/>
      <c r="E275" s="1998" t="s">
        <v>2663</v>
      </c>
      <c r="F275" s="2649" t="s">
        <v>2251</v>
      </c>
      <c r="G275" s="2885" t="s">
        <v>2253</v>
      </c>
      <c r="H275" s="2886"/>
      <c r="I275" s="2886"/>
      <c r="J275" s="2886"/>
      <c r="K275" s="2886"/>
      <c r="L275" s="2886"/>
      <c r="M275" s="2886"/>
      <c r="N275" s="2886"/>
      <c r="O275" s="2886"/>
      <c r="P275" s="2886"/>
      <c r="Q275" s="2886"/>
      <c r="R275" s="2887"/>
    </row>
    <row r="276" spans="1:18" s="23" customFormat="1" ht="13.5" thickBot="1" x14ac:dyDescent="0.25">
      <c r="A276" s="615" t="str">
        <f>A3</f>
        <v>2012/13</v>
      </c>
      <c r="B276" s="370" t="str">
        <f>B3</f>
        <v>2013/14</v>
      </c>
      <c r="C276" s="370" t="str">
        <f>C3</f>
        <v>2014/15</v>
      </c>
      <c r="D276" s="93" t="str">
        <f>D3</f>
        <v>2015/16</v>
      </c>
      <c r="E276" s="672" t="s">
        <v>2664</v>
      </c>
      <c r="F276" s="42"/>
      <c r="G276" s="93" t="str">
        <f>G3</f>
        <v>2016/17</v>
      </c>
      <c r="H276" s="2492" t="s">
        <v>501</v>
      </c>
      <c r="I276" s="370" t="str">
        <f t="shared" ref="I276:R276" si="299">I3</f>
        <v>2017/18</v>
      </c>
      <c r="J276" s="370" t="str">
        <f t="shared" si="299"/>
        <v>2018/19</v>
      </c>
      <c r="K276" s="370" t="str">
        <f t="shared" si="299"/>
        <v>2019/20</v>
      </c>
      <c r="L276" s="370" t="str">
        <f t="shared" si="299"/>
        <v>2020/21</v>
      </c>
      <c r="M276" s="370" t="str">
        <f t="shared" si="299"/>
        <v>2021/22</v>
      </c>
      <c r="N276" s="370" t="str">
        <f t="shared" si="299"/>
        <v>2022/23</v>
      </c>
      <c r="O276" s="370" t="str">
        <f t="shared" si="299"/>
        <v>2023/24</v>
      </c>
      <c r="P276" s="370" t="str">
        <f t="shared" si="299"/>
        <v>2024/25</v>
      </c>
      <c r="Q276" s="218" t="str">
        <f t="shared" si="299"/>
        <v>2025/26</v>
      </c>
      <c r="R276" s="549" t="str">
        <f t="shared" si="299"/>
        <v>2026/27</v>
      </c>
    </row>
    <row r="277" spans="1:18" x14ac:dyDescent="0.2">
      <c r="A277" s="107"/>
      <c r="B277" s="33"/>
      <c r="C277" s="33"/>
      <c r="D277" s="33"/>
      <c r="E277" s="658"/>
      <c r="F277" s="74"/>
      <c r="G277" s="33"/>
      <c r="H277" s="138"/>
      <c r="I277" s="33"/>
      <c r="J277" s="33"/>
      <c r="K277" s="33"/>
      <c r="L277" s="33"/>
      <c r="M277" s="33"/>
      <c r="N277" s="33"/>
      <c r="O277" s="33"/>
      <c r="P277" s="33"/>
      <c r="Q277" s="33"/>
      <c r="R277" s="114"/>
    </row>
    <row r="278" spans="1:18" x14ac:dyDescent="0.2">
      <c r="A278" s="107"/>
      <c r="B278" s="33"/>
      <c r="C278" s="33"/>
      <c r="D278" s="33"/>
      <c r="E278" s="658"/>
      <c r="F278" s="144" t="s">
        <v>1073</v>
      </c>
      <c r="G278" s="33"/>
      <c r="H278" s="138"/>
      <c r="I278" s="33"/>
      <c r="J278" s="33"/>
      <c r="K278" s="33"/>
      <c r="L278" s="33"/>
      <c r="M278" s="33"/>
      <c r="N278" s="33"/>
      <c r="O278" s="33"/>
      <c r="P278" s="33"/>
      <c r="Q278" s="33"/>
      <c r="R278" s="114"/>
    </row>
    <row r="279" spans="1:18" x14ac:dyDescent="0.2">
      <c r="A279" s="107"/>
      <c r="B279" s="441"/>
      <c r="C279" s="33"/>
      <c r="D279" s="33"/>
      <c r="E279" s="682"/>
      <c r="F279" s="1110" t="s">
        <v>3242</v>
      </c>
      <c r="G279" s="33"/>
      <c r="H279" s="138"/>
      <c r="I279" s="33"/>
      <c r="J279" s="33"/>
      <c r="K279" s="33"/>
      <c r="L279" s="33"/>
      <c r="M279" s="33"/>
      <c r="N279" s="33"/>
      <c r="O279" s="33"/>
      <c r="P279" s="33"/>
      <c r="Q279" s="33"/>
      <c r="R279" s="114"/>
    </row>
    <row r="280" spans="1:18" x14ac:dyDescent="0.2">
      <c r="A280" s="107">
        <v>0</v>
      </c>
      <c r="B280" s="1077">
        <v>1700</v>
      </c>
      <c r="C280" s="132">
        <v>10500</v>
      </c>
      <c r="D280" s="132">
        <v>3400</v>
      </c>
      <c r="E280" s="1450" t="s">
        <v>3884</v>
      </c>
      <c r="F280" s="1953" t="s">
        <v>3885</v>
      </c>
      <c r="G280" s="33">
        <v>5000</v>
      </c>
      <c r="H280" s="138">
        <f t="shared" ref="H280:H295" si="300">IF(D280=G280,0,IF(D280=0,100,(G280-D280)/D280*100))</f>
        <v>47.058823529411761</v>
      </c>
      <c r="I280" s="33">
        <v>5000</v>
      </c>
      <c r="J280" s="33">
        <f>ROUNDUP(I280+(I280*Assumptions!I$5),-2)</f>
        <v>5200</v>
      </c>
      <c r="K280" s="33">
        <f>ROUNDUP(J280+(J280*Assumptions!J$5),-2)</f>
        <v>5400</v>
      </c>
      <c r="L280" s="33">
        <f>ROUNDUP(K280+(K280*Assumptions!K$5),-2)</f>
        <v>5600</v>
      </c>
      <c r="M280" s="33">
        <f>ROUNDUP(L280+(L280*Assumptions!L$5),-2)</f>
        <v>5800</v>
      </c>
      <c r="N280" s="33">
        <f>ROUNDUP(M280+(M280*Assumptions!M$5),-2)</f>
        <v>6000</v>
      </c>
      <c r="O280" s="33">
        <f>ROUNDUP(N280+(N280*Assumptions!N$5),-2)</f>
        <v>6200</v>
      </c>
      <c r="P280" s="33">
        <f>ROUNDUP(O280+(O280*Assumptions!O$5),-2)</f>
        <v>6400</v>
      </c>
      <c r="Q280" s="33">
        <f>ROUNDUP(P280+(P280*Assumptions!P$5),-2)</f>
        <v>6600</v>
      </c>
      <c r="R280" s="114">
        <f>ROUNDUP(Q280+(Q280*Assumptions!Q$5),-2)</f>
        <v>6800</v>
      </c>
    </row>
    <row r="281" spans="1:18" x14ac:dyDescent="0.2">
      <c r="A281" s="107">
        <v>173800</v>
      </c>
      <c r="B281" s="132">
        <v>266400</v>
      </c>
      <c r="C281" s="33">
        <v>336400</v>
      </c>
      <c r="D281" s="33">
        <v>373300</v>
      </c>
      <c r="E281" s="658" t="s">
        <v>499</v>
      </c>
      <c r="F281" s="814" t="s">
        <v>4592</v>
      </c>
      <c r="G281" s="33">
        <f>347000+50000+5000</f>
        <v>402000</v>
      </c>
      <c r="H281" s="138">
        <f t="shared" si="300"/>
        <v>7.6881864452183226</v>
      </c>
      <c r="I281" s="33">
        <v>362000</v>
      </c>
      <c r="J281" s="33">
        <f>ROUNDUP(I281+(I281*Assumptions!I$5),-2)</f>
        <v>371100</v>
      </c>
      <c r="K281" s="33">
        <f>ROUNDUP(J281+(J281*Assumptions!J$5),-2)</f>
        <v>380400</v>
      </c>
      <c r="L281" s="33">
        <f>ROUNDUP(K281+(K281*Assumptions!K$5),-2)</f>
        <v>390000</v>
      </c>
      <c r="M281" s="33">
        <f>ROUNDUP(L281+(L281*Assumptions!L$5),-2)</f>
        <v>397800</v>
      </c>
      <c r="N281" s="33">
        <f>ROUNDUP(M281+(M281*Assumptions!M$5),-2)</f>
        <v>405800</v>
      </c>
      <c r="O281" s="33">
        <f>ROUNDUP(N281+(N281*Assumptions!N$5),-2)</f>
        <v>414000</v>
      </c>
      <c r="P281" s="33">
        <f>ROUNDUP(O281+(O281*Assumptions!O$5),-2)</f>
        <v>422300</v>
      </c>
      <c r="Q281" s="33">
        <f>ROUNDUP(P281+(P281*Assumptions!P$5),-2)</f>
        <v>430800</v>
      </c>
      <c r="R281" s="114">
        <f>ROUNDUP(Q281+(Q281*Assumptions!Q$5),-2)</f>
        <v>439500</v>
      </c>
    </row>
    <row r="282" spans="1:18" x14ac:dyDescent="0.2">
      <c r="A282" s="107">
        <v>72100</v>
      </c>
      <c r="B282" s="132">
        <v>94000</v>
      </c>
      <c r="C282" s="33">
        <v>125100</v>
      </c>
      <c r="D282" s="33">
        <f>133300+1100+500</f>
        <v>134900</v>
      </c>
      <c r="E282" s="658" t="s">
        <v>1320</v>
      </c>
      <c r="F282" s="443" t="s">
        <v>560</v>
      </c>
      <c r="G282" s="33">
        <v>114000</v>
      </c>
      <c r="H282" s="138">
        <f t="shared" si="300"/>
        <v>-15.492957746478872</v>
      </c>
      <c r="I282" s="33">
        <v>103000</v>
      </c>
      <c r="J282" s="33">
        <f>ROUNDUP(I282+(I282*Assumptions!I$5),-2)</f>
        <v>105600</v>
      </c>
      <c r="K282" s="33">
        <f>ROUNDUP(J282+(J282*Assumptions!J$5),-2)</f>
        <v>108300</v>
      </c>
      <c r="L282" s="33">
        <f>ROUNDUP(K282+(K282*Assumptions!K$5),-2)</f>
        <v>111100</v>
      </c>
      <c r="M282" s="33">
        <f>ROUNDUP(L282+(L282*Assumptions!L$5),-2)</f>
        <v>113400</v>
      </c>
      <c r="N282" s="33">
        <f>ROUNDUP(M282+(M282*Assumptions!M$5),-2)</f>
        <v>115700</v>
      </c>
      <c r="O282" s="33">
        <f>ROUNDUP(N282+(N282*Assumptions!N$5),-2)</f>
        <v>118100</v>
      </c>
      <c r="P282" s="33">
        <f>ROUNDUP(O282+(O282*Assumptions!O$5),-2)</f>
        <v>120500</v>
      </c>
      <c r="Q282" s="33">
        <f>ROUNDUP(P282+(P282*Assumptions!P$5),-2)</f>
        <v>123000</v>
      </c>
      <c r="R282" s="114">
        <f>ROUNDUP(Q282+(Q282*Assumptions!Q$5),-2)</f>
        <v>125500</v>
      </c>
    </row>
    <row r="283" spans="1:18" x14ac:dyDescent="0.2">
      <c r="A283" s="107">
        <v>57900</v>
      </c>
      <c r="B283" s="132">
        <v>123900</v>
      </c>
      <c r="C283" s="33">
        <f>172400+500</f>
        <v>172900</v>
      </c>
      <c r="D283" s="33">
        <v>214900</v>
      </c>
      <c r="E283" s="658" t="s">
        <v>1321</v>
      </c>
      <c r="F283" s="443" t="s">
        <v>561</v>
      </c>
      <c r="G283" s="33">
        <f>162000+40000+3000</f>
        <v>205000</v>
      </c>
      <c r="H283" s="138">
        <f t="shared" si="300"/>
        <v>-4.6067938576081904</v>
      </c>
      <c r="I283" s="33">
        <v>185000</v>
      </c>
      <c r="J283" s="33">
        <f>ROUNDUP(I283+(I283*Assumptions!I$5),-2)</f>
        <v>189700</v>
      </c>
      <c r="K283" s="33">
        <f>ROUNDUP(J283+(J283*Assumptions!J$5),-2)</f>
        <v>194500</v>
      </c>
      <c r="L283" s="33">
        <f>ROUNDUP(K283+(K283*Assumptions!K$5),-2)</f>
        <v>199400</v>
      </c>
      <c r="M283" s="33">
        <f>ROUNDUP(L283+(L283*Assumptions!L$5),-2)</f>
        <v>203400</v>
      </c>
      <c r="N283" s="33">
        <f>ROUNDUP(M283+(M283*Assumptions!M$5),-2)</f>
        <v>207500</v>
      </c>
      <c r="O283" s="33">
        <f>ROUNDUP(N283+(N283*Assumptions!N$5),-2)</f>
        <v>211700</v>
      </c>
      <c r="P283" s="33">
        <f>ROUNDUP(O283+(O283*Assumptions!O$5),-2)</f>
        <v>216000</v>
      </c>
      <c r="Q283" s="33">
        <f>ROUNDUP(P283+(P283*Assumptions!P$5),-2)</f>
        <v>220400</v>
      </c>
      <c r="R283" s="114">
        <f>ROUNDUP(Q283+(Q283*Assumptions!Q$5),-2)</f>
        <v>224900</v>
      </c>
    </row>
    <row r="284" spans="1:18" x14ac:dyDescent="0.2">
      <c r="A284" s="107">
        <v>90000</v>
      </c>
      <c r="B284" s="132">
        <v>120000</v>
      </c>
      <c r="C284" s="33">
        <v>198600</v>
      </c>
      <c r="D284" s="33">
        <v>273300</v>
      </c>
      <c r="E284" s="658" t="s">
        <v>2358</v>
      </c>
      <c r="F284" s="443" t="s">
        <v>2603</v>
      </c>
      <c r="G284" s="33">
        <f>190000+60000+30000</f>
        <v>280000</v>
      </c>
      <c r="H284" s="138">
        <f t="shared" si="300"/>
        <v>2.451518477863154</v>
      </c>
      <c r="I284" s="33">
        <v>252000</v>
      </c>
      <c r="J284" s="33">
        <f>ROUNDUP(I284+(I284*Assumptions!I$5),-2)</f>
        <v>258300</v>
      </c>
      <c r="K284" s="33">
        <f>ROUNDUP(J284+(J284*Assumptions!J$5),-2)</f>
        <v>264800</v>
      </c>
      <c r="L284" s="33">
        <f>ROUNDUP(K284+(K284*Assumptions!K$5),-2)</f>
        <v>271500</v>
      </c>
      <c r="M284" s="33">
        <f>ROUNDUP(L284+(L284*Assumptions!L$5),-2)</f>
        <v>277000</v>
      </c>
      <c r="N284" s="33">
        <f>ROUNDUP(M284+(M284*Assumptions!M$5),-2)</f>
        <v>282600</v>
      </c>
      <c r="O284" s="33">
        <f>ROUNDUP(N284+(N284*Assumptions!N$5),-2)</f>
        <v>288300</v>
      </c>
      <c r="P284" s="33">
        <f>ROUNDUP(O284+(O284*Assumptions!O$5),-2)</f>
        <v>294100</v>
      </c>
      <c r="Q284" s="33">
        <f>ROUNDUP(P284+(P284*Assumptions!P$5),-2)</f>
        <v>300000</v>
      </c>
      <c r="R284" s="114">
        <f>ROUNDUP(Q284+(Q284*Assumptions!Q$5),-2)</f>
        <v>306000</v>
      </c>
    </row>
    <row r="285" spans="1:18" x14ac:dyDescent="0.2">
      <c r="A285" s="107">
        <v>87700</v>
      </c>
      <c r="B285" s="132">
        <v>117000</v>
      </c>
      <c r="C285" s="33">
        <v>145100</v>
      </c>
      <c r="D285" s="33">
        <v>153200</v>
      </c>
      <c r="E285" s="658" t="s">
        <v>2321</v>
      </c>
      <c r="F285" s="443" t="s">
        <v>1103</v>
      </c>
      <c r="G285" s="33">
        <f>133000+3000</f>
        <v>136000</v>
      </c>
      <c r="H285" s="138">
        <f t="shared" si="300"/>
        <v>-11.22715404699739</v>
      </c>
      <c r="I285" s="33">
        <v>122000</v>
      </c>
      <c r="J285" s="33">
        <f>ROUNDUP(I285+(I285*Assumptions!I$5),-2)</f>
        <v>125100</v>
      </c>
      <c r="K285" s="33">
        <f>ROUNDUP(J285+(J285*Assumptions!J$5),-2)</f>
        <v>128300</v>
      </c>
      <c r="L285" s="33">
        <f>ROUNDUP(K285+(K285*Assumptions!K$5),-2)</f>
        <v>131600</v>
      </c>
      <c r="M285" s="33">
        <f>ROUNDUP(L285+(L285*Assumptions!L$5),-2)</f>
        <v>134300</v>
      </c>
      <c r="N285" s="33">
        <f>ROUNDUP(M285+(M285*Assumptions!M$5),-2)</f>
        <v>137000</v>
      </c>
      <c r="O285" s="33">
        <f>ROUNDUP(N285+(N285*Assumptions!N$5),-2)</f>
        <v>139800</v>
      </c>
      <c r="P285" s="33">
        <f>ROUNDUP(O285+(O285*Assumptions!O$5),-2)</f>
        <v>142600</v>
      </c>
      <c r="Q285" s="33">
        <f>ROUNDUP(P285+(P285*Assumptions!P$5),-2)</f>
        <v>145500</v>
      </c>
      <c r="R285" s="114">
        <f>ROUNDUP(Q285+(Q285*Assumptions!Q$5),-2)</f>
        <v>148500</v>
      </c>
    </row>
    <row r="286" spans="1:18" x14ac:dyDescent="0.2">
      <c r="A286" s="107">
        <v>18300</v>
      </c>
      <c r="B286" s="132">
        <v>22000</v>
      </c>
      <c r="C286" s="33">
        <v>23600</v>
      </c>
      <c r="D286" s="33">
        <v>18900</v>
      </c>
      <c r="E286" s="658" t="s">
        <v>2322</v>
      </c>
      <c r="F286" s="443" t="s">
        <v>503</v>
      </c>
      <c r="G286" s="33">
        <v>15000</v>
      </c>
      <c r="H286" s="138">
        <f t="shared" si="300"/>
        <v>-20.634920634920633</v>
      </c>
      <c r="I286" s="33">
        <v>14000</v>
      </c>
      <c r="J286" s="33">
        <f>ROUNDUP(I286+(I286*Assumptions!I$5),-2)</f>
        <v>14400</v>
      </c>
      <c r="K286" s="33">
        <f>ROUNDUP(J286+(J286*Assumptions!J$5),-2)</f>
        <v>14800</v>
      </c>
      <c r="L286" s="33">
        <f>ROUNDUP(K286+(K286*Assumptions!K$5),-2)</f>
        <v>15200</v>
      </c>
      <c r="M286" s="33">
        <f>ROUNDUP(L286+(L286*Assumptions!L$5),-2)</f>
        <v>15600</v>
      </c>
      <c r="N286" s="33">
        <f>ROUNDUP(M286+(M286*Assumptions!M$5),-2)</f>
        <v>16000</v>
      </c>
      <c r="O286" s="33">
        <f>ROUNDUP(N286+(N286*Assumptions!N$5),-2)</f>
        <v>16400</v>
      </c>
      <c r="P286" s="33">
        <f>ROUNDUP(O286+(O286*Assumptions!O$5),-2)</f>
        <v>16800</v>
      </c>
      <c r="Q286" s="33">
        <f>ROUNDUP(P286+(P286*Assumptions!P$5),-2)</f>
        <v>17200</v>
      </c>
      <c r="R286" s="114">
        <f>ROUNDUP(Q286+(Q286*Assumptions!Q$5),-2)</f>
        <v>17600</v>
      </c>
    </row>
    <row r="287" spans="1:18" x14ac:dyDescent="0.2">
      <c r="A287" s="107">
        <v>11300</v>
      </c>
      <c r="B287" s="132">
        <v>12800</v>
      </c>
      <c r="C287" s="33">
        <v>19200</v>
      </c>
      <c r="D287" s="33">
        <v>21000</v>
      </c>
      <c r="E287" s="658" t="s">
        <v>2437</v>
      </c>
      <c r="F287" s="443" t="s">
        <v>1232</v>
      </c>
      <c r="G287" s="33">
        <v>14000</v>
      </c>
      <c r="H287" s="138">
        <f t="shared" si="300"/>
        <v>-33.333333333333329</v>
      </c>
      <c r="I287" s="33">
        <v>13000</v>
      </c>
      <c r="J287" s="33">
        <f>ROUNDUP(I287+(I287*Assumptions!I$5),-2)</f>
        <v>13400</v>
      </c>
      <c r="K287" s="33">
        <f>ROUNDUP(J287+(J287*Assumptions!J$5),-2)</f>
        <v>13800</v>
      </c>
      <c r="L287" s="33">
        <f>ROUNDUP(K287+(K287*Assumptions!K$5),-2)</f>
        <v>14200</v>
      </c>
      <c r="M287" s="33">
        <f>ROUNDUP(L287+(L287*Assumptions!L$5),-2)</f>
        <v>14500</v>
      </c>
      <c r="N287" s="33">
        <f>ROUNDUP(M287+(M287*Assumptions!M$5),-2)</f>
        <v>14800</v>
      </c>
      <c r="O287" s="33">
        <f>ROUNDUP(N287+(N287*Assumptions!N$5),-2)</f>
        <v>15100</v>
      </c>
      <c r="P287" s="33">
        <f>ROUNDUP(O287+(O287*Assumptions!O$5),-2)</f>
        <v>15500</v>
      </c>
      <c r="Q287" s="33">
        <f>ROUNDUP(P287+(P287*Assumptions!P$5),-2)</f>
        <v>15900</v>
      </c>
      <c r="R287" s="114">
        <f>ROUNDUP(Q287+(Q287*Assumptions!Q$5),-2)</f>
        <v>16300</v>
      </c>
    </row>
    <row r="288" spans="1:18" x14ac:dyDescent="0.2">
      <c r="A288" s="107">
        <v>6700</v>
      </c>
      <c r="B288" s="132">
        <v>9400</v>
      </c>
      <c r="C288" s="33">
        <v>13400</v>
      </c>
      <c r="D288" s="33">
        <v>12700</v>
      </c>
      <c r="E288" s="658" t="s">
        <v>2438</v>
      </c>
      <c r="F288" s="443" t="s">
        <v>340</v>
      </c>
      <c r="G288" s="33">
        <f>10000+2000</f>
        <v>12000</v>
      </c>
      <c r="H288" s="138">
        <f t="shared" si="300"/>
        <v>-5.5118110236220472</v>
      </c>
      <c r="I288" s="33">
        <v>11000</v>
      </c>
      <c r="J288" s="33">
        <f>ROUNDUP(I288+(I288*Assumptions!I$5),-2)</f>
        <v>11300</v>
      </c>
      <c r="K288" s="33">
        <f>ROUNDUP(J288+(J288*Assumptions!J$5),-2)</f>
        <v>11600</v>
      </c>
      <c r="L288" s="33">
        <f>ROUNDUP(K288+(K288*Assumptions!K$5),-2)</f>
        <v>11900</v>
      </c>
      <c r="M288" s="33">
        <f>ROUNDUP(L288+(L288*Assumptions!L$5),-2)</f>
        <v>12200</v>
      </c>
      <c r="N288" s="33">
        <f>ROUNDUP(M288+(M288*Assumptions!M$5),-2)</f>
        <v>12500</v>
      </c>
      <c r="O288" s="33">
        <f>ROUNDUP(N288+(N288*Assumptions!N$5),-2)</f>
        <v>12800</v>
      </c>
      <c r="P288" s="33">
        <f>ROUNDUP(O288+(O288*Assumptions!O$5),-2)</f>
        <v>13100</v>
      </c>
      <c r="Q288" s="33">
        <f>ROUNDUP(P288+(P288*Assumptions!P$5),-2)</f>
        <v>13400</v>
      </c>
      <c r="R288" s="114">
        <f>ROUNDUP(Q288+(Q288*Assumptions!Q$5),-2)</f>
        <v>13700</v>
      </c>
    </row>
    <row r="289" spans="1:18" x14ac:dyDescent="0.2">
      <c r="A289" s="107">
        <v>7200</v>
      </c>
      <c r="B289" s="132">
        <v>20000</v>
      </c>
      <c r="C289" s="33">
        <v>8200</v>
      </c>
      <c r="D289" s="33">
        <v>18600</v>
      </c>
      <c r="E289" s="658" t="s">
        <v>2439</v>
      </c>
      <c r="F289" s="814" t="s">
        <v>4593</v>
      </c>
      <c r="G289" s="33">
        <f>10000+5000+10000</f>
        <v>25000</v>
      </c>
      <c r="H289" s="138">
        <f t="shared" si="300"/>
        <v>34.408602150537639</v>
      </c>
      <c r="I289" s="33">
        <v>23000</v>
      </c>
      <c r="J289" s="33">
        <f>ROUNDUP(I289+(I289*Assumptions!I$5),-2)</f>
        <v>23600</v>
      </c>
      <c r="K289" s="33">
        <f>ROUNDUP(J289+(J289*Assumptions!J$5),-2)</f>
        <v>24200</v>
      </c>
      <c r="L289" s="33">
        <f>ROUNDUP(K289+(K289*Assumptions!K$5),-2)</f>
        <v>24900</v>
      </c>
      <c r="M289" s="33">
        <f>ROUNDUP(L289+(L289*Assumptions!L$5),-2)</f>
        <v>25400</v>
      </c>
      <c r="N289" s="33">
        <f>ROUNDUP(M289+(M289*Assumptions!M$5),-2)</f>
        <v>26000</v>
      </c>
      <c r="O289" s="33">
        <f>ROUNDUP(N289+(N289*Assumptions!N$5),-2)</f>
        <v>26600</v>
      </c>
      <c r="P289" s="33">
        <f>ROUNDUP(O289+(O289*Assumptions!O$5),-2)</f>
        <v>27200</v>
      </c>
      <c r="Q289" s="33">
        <f>ROUNDUP(P289+(P289*Assumptions!P$5),-2)</f>
        <v>27800</v>
      </c>
      <c r="R289" s="114">
        <f>ROUNDUP(Q289+(Q289*Assumptions!Q$5),-2)</f>
        <v>28400</v>
      </c>
    </row>
    <row r="290" spans="1:18" x14ac:dyDescent="0.2">
      <c r="A290" s="107">
        <v>5200</v>
      </c>
      <c r="B290" s="132">
        <v>7300</v>
      </c>
      <c r="C290" s="33">
        <v>8000</v>
      </c>
      <c r="D290" s="33">
        <v>11800</v>
      </c>
      <c r="E290" s="658" t="s">
        <v>2440</v>
      </c>
      <c r="F290" s="443" t="s">
        <v>761</v>
      </c>
      <c r="G290" s="33">
        <f>8000+50000-5000-10000-4500</f>
        <v>38500</v>
      </c>
      <c r="H290" s="138">
        <f t="shared" si="300"/>
        <v>226.27118644067798</v>
      </c>
      <c r="I290" s="33">
        <v>35000</v>
      </c>
      <c r="J290" s="33">
        <f>ROUNDUP(I290+(I290*Assumptions!I$5),-2)</f>
        <v>35900</v>
      </c>
      <c r="K290" s="33">
        <f>ROUNDUP(J290+(J290*Assumptions!J$5),-2)</f>
        <v>36800</v>
      </c>
      <c r="L290" s="33">
        <f>ROUNDUP(K290+(K290*Assumptions!K$5),-2)</f>
        <v>37800</v>
      </c>
      <c r="M290" s="33">
        <f>ROUNDUP(L290+(L290*Assumptions!L$5),-2)</f>
        <v>38600</v>
      </c>
      <c r="N290" s="33">
        <f>ROUNDUP(M290+(M290*Assumptions!M$5),-2)</f>
        <v>39400</v>
      </c>
      <c r="O290" s="33">
        <f>ROUNDUP(N290+(N290*Assumptions!N$5),-2)</f>
        <v>40200</v>
      </c>
      <c r="P290" s="33">
        <f>ROUNDUP(O290+(O290*Assumptions!O$5),-2)</f>
        <v>41100</v>
      </c>
      <c r="Q290" s="33">
        <f>ROUNDUP(P290+(P290*Assumptions!P$5),-2)</f>
        <v>42000</v>
      </c>
      <c r="R290" s="114">
        <f>ROUNDUP(Q290+(Q290*Assumptions!Q$5),-2)</f>
        <v>42900</v>
      </c>
    </row>
    <row r="291" spans="1:18" x14ac:dyDescent="0.2">
      <c r="A291" s="107">
        <v>11500</v>
      </c>
      <c r="B291" s="132">
        <v>18600</v>
      </c>
      <c r="C291" s="33">
        <v>24900</v>
      </c>
      <c r="D291" s="33">
        <v>91600</v>
      </c>
      <c r="E291" s="658" t="s">
        <v>2441</v>
      </c>
      <c r="F291" s="443" t="s">
        <v>2338</v>
      </c>
      <c r="G291" s="33">
        <f>72000+10000</f>
        <v>82000</v>
      </c>
      <c r="H291" s="138">
        <f t="shared" si="300"/>
        <v>-10.480349344978166</v>
      </c>
      <c r="I291" s="33">
        <v>74000</v>
      </c>
      <c r="J291" s="33">
        <f>ROUNDUP(I291+(I291*Assumptions!I$5),-2)</f>
        <v>75900</v>
      </c>
      <c r="K291" s="33">
        <f>ROUNDUP(J291+(J291*Assumptions!J$5),-2)</f>
        <v>77800</v>
      </c>
      <c r="L291" s="33">
        <f>ROUNDUP(K291+(K291*Assumptions!K$5),-2)</f>
        <v>79800</v>
      </c>
      <c r="M291" s="33">
        <f>ROUNDUP(L291+(L291*Assumptions!L$5),-2)</f>
        <v>81400</v>
      </c>
      <c r="N291" s="33">
        <f>ROUNDUP(M291+(M291*Assumptions!M$5),-2)</f>
        <v>83100</v>
      </c>
      <c r="O291" s="33">
        <f>ROUNDUP(N291+(N291*Assumptions!N$5),-2)</f>
        <v>84800</v>
      </c>
      <c r="P291" s="33">
        <f>ROUNDUP(O291+(O291*Assumptions!O$5),-2)</f>
        <v>86500</v>
      </c>
      <c r="Q291" s="33">
        <f>ROUNDUP(P291+(P291*Assumptions!P$5),-2)</f>
        <v>88300</v>
      </c>
      <c r="R291" s="114">
        <f>ROUNDUP(Q291+(Q291*Assumptions!Q$5),-2)</f>
        <v>90100</v>
      </c>
    </row>
    <row r="292" spans="1:18" x14ac:dyDescent="0.2">
      <c r="A292" s="107">
        <v>1200</v>
      </c>
      <c r="B292" s="132">
        <v>1600</v>
      </c>
      <c r="C292" s="33">
        <v>5600</v>
      </c>
      <c r="D292" s="33">
        <v>6300</v>
      </c>
      <c r="E292" s="1092" t="s">
        <v>3001</v>
      </c>
      <c r="F292" s="443" t="s">
        <v>456</v>
      </c>
      <c r="G292" s="33">
        <f>21000-10000</f>
        <v>11000</v>
      </c>
      <c r="H292" s="138">
        <f t="shared" si="300"/>
        <v>74.603174603174608</v>
      </c>
      <c r="I292" s="33">
        <v>10000</v>
      </c>
      <c r="J292" s="33">
        <f>ROUNDUP(I292+(I292*Assumptions!I$5),-2)</f>
        <v>10300</v>
      </c>
      <c r="K292" s="33">
        <f>ROUNDUP(J292+(J292*Assumptions!J$5),-2)</f>
        <v>10600</v>
      </c>
      <c r="L292" s="33">
        <f>ROUNDUP(K292+(K292*Assumptions!K$5),-2)</f>
        <v>10900</v>
      </c>
      <c r="M292" s="33">
        <f>ROUNDUP(L292+(L292*Assumptions!L$5),-2)</f>
        <v>11200</v>
      </c>
      <c r="N292" s="33">
        <f>ROUNDUP(M292+(M292*Assumptions!M$5),-2)</f>
        <v>11500</v>
      </c>
      <c r="O292" s="33">
        <f>ROUNDUP(N292+(N292*Assumptions!N$5),-2)</f>
        <v>11800</v>
      </c>
      <c r="P292" s="33">
        <f>ROUNDUP(O292+(O292*Assumptions!O$5),-2)</f>
        <v>12100</v>
      </c>
      <c r="Q292" s="33">
        <f>ROUNDUP(P292+(P292*Assumptions!P$5),-2)</f>
        <v>12400</v>
      </c>
      <c r="R292" s="114">
        <f>ROUNDUP(Q292+(Q292*Assumptions!Q$5),-2)</f>
        <v>12700</v>
      </c>
    </row>
    <row r="293" spans="1:18" x14ac:dyDescent="0.2">
      <c r="A293" s="649">
        <v>3700</v>
      </c>
      <c r="B293" s="1077">
        <v>7500</v>
      </c>
      <c r="C293" s="33">
        <v>9800</v>
      </c>
      <c r="D293" s="33">
        <v>14500</v>
      </c>
      <c r="E293" s="658" t="s">
        <v>647</v>
      </c>
      <c r="F293" s="443" t="s">
        <v>1583</v>
      </c>
      <c r="G293" s="33">
        <v>10000</v>
      </c>
      <c r="H293" s="138">
        <f t="shared" si="300"/>
        <v>-31.03448275862069</v>
      </c>
      <c r="I293" s="33">
        <v>9000</v>
      </c>
      <c r="J293" s="33">
        <f>ROUNDUP(I293+(I293*Assumptions!I$5),-2)</f>
        <v>9300</v>
      </c>
      <c r="K293" s="33">
        <f>ROUNDUP(J293+(J293*Assumptions!J$5),-2)</f>
        <v>9600</v>
      </c>
      <c r="L293" s="33">
        <f>ROUNDUP(K293+(K293*Assumptions!K$5),-2)</f>
        <v>9900</v>
      </c>
      <c r="M293" s="33">
        <f>ROUNDUP(L293+(L293*Assumptions!L$5),-2)</f>
        <v>10100</v>
      </c>
      <c r="N293" s="33">
        <f>ROUNDUP(M293+(M293*Assumptions!M$5),-2)</f>
        <v>10400</v>
      </c>
      <c r="O293" s="33">
        <f>ROUNDUP(N293+(N293*Assumptions!N$5),-2)</f>
        <v>10700</v>
      </c>
      <c r="P293" s="33">
        <f>ROUNDUP(O293+(O293*Assumptions!O$5),-2)</f>
        <v>11000</v>
      </c>
      <c r="Q293" s="33">
        <f>ROUNDUP(P293+(P293*Assumptions!P$5),-2)</f>
        <v>11300</v>
      </c>
      <c r="R293" s="114">
        <f>ROUNDUP(Q293+(Q293*Assumptions!Q$5),-2)</f>
        <v>11600</v>
      </c>
    </row>
    <row r="294" spans="1:18" x14ac:dyDescent="0.2">
      <c r="A294" s="107">
        <v>29900</v>
      </c>
      <c r="B294" s="132">
        <v>41700</v>
      </c>
      <c r="C294" s="33">
        <v>55600</v>
      </c>
      <c r="D294" s="33">
        <v>59400</v>
      </c>
      <c r="E294" s="658" t="s">
        <v>76</v>
      </c>
      <c r="F294" s="443" t="s">
        <v>2845</v>
      </c>
      <c r="G294" s="33">
        <v>41000</v>
      </c>
      <c r="H294" s="138">
        <f t="shared" si="300"/>
        <v>-30.976430976430976</v>
      </c>
      <c r="I294" s="33">
        <v>37000</v>
      </c>
      <c r="J294" s="33">
        <f>ROUNDUP(I294+(I294*Assumptions!I$5),-2)</f>
        <v>38000</v>
      </c>
      <c r="K294" s="33">
        <f>ROUNDUP(J294+(J294*Assumptions!J$5),-2)</f>
        <v>39000</v>
      </c>
      <c r="L294" s="33">
        <f>ROUNDUP(K294+(K294*Assumptions!K$5),-2)</f>
        <v>40000</v>
      </c>
      <c r="M294" s="33">
        <f>ROUNDUP(L294+(L294*Assumptions!L$5),-2)</f>
        <v>40800</v>
      </c>
      <c r="N294" s="33">
        <f>ROUNDUP(M294+(M294*Assumptions!M$5),-2)</f>
        <v>41700</v>
      </c>
      <c r="O294" s="33">
        <f>ROUNDUP(N294+(N294*Assumptions!N$5),-2)</f>
        <v>42600</v>
      </c>
      <c r="P294" s="33">
        <f>ROUNDUP(O294+(O294*Assumptions!O$5),-2)</f>
        <v>43500</v>
      </c>
      <c r="Q294" s="33">
        <f>ROUNDUP(P294+(P294*Assumptions!P$5),-2)</f>
        <v>44400</v>
      </c>
      <c r="R294" s="114">
        <f>ROUNDUP(Q294+(Q294*Assumptions!Q$5),-2)</f>
        <v>45300</v>
      </c>
    </row>
    <row r="295" spans="1:18" x14ac:dyDescent="0.2">
      <c r="A295" s="107">
        <v>700</v>
      </c>
      <c r="B295" s="132">
        <v>4700</v>
      </c>
      <c r="C295" s="33">
        <v>3100</v>
      </c>
      <c r="D295" s="33">
        <v>500</v>
      </c>
      <c r="E295" s="658" t="s">
        <v>77</v>
      </c>
      <c r="F295" s="528" t="s">
        <v>796</v>
      </c>
      <c r="G295" s="33">
        <v>0</v>
      </c>
      <c r="H295" s="138">
        <f t="shared" si="300"/>
        <v>-100</v>
      </c>
      <c r="I295" s="33">
        <v>0</v>
      </c>
      <c r="J295" s="33">
        <f>ROUNDUP(I295+(I295*Assumptions!I$5),-2)</f>
        <v>0</v>
      </c>
      <c r="K295" s="33">
        <f>ROUNDUP(J295+(J295*Assumptions!J$5),-2)</f>
        <v>0</v>
      </c>
      <c r="L295" s="33">
        <f>ROUNDUP(K295+(K295*Assumptions!K$5),-2)</f>
        <v>0</v>
      </c>
      <c r="M295" s="33">
        <f>ROUNDUP(L295+(L295*Assumptions!L$5),-2)</f>
        <v>0</v>
      </c>
      <c r="N295" s="33">
        <f>ROUNDUP(M295+(M295*Assumptions!M$5),-2)</f>
        <v>0</v>
      </c>
      <c r="O295" s="33">
        <f>ROUNDUP(N295+(N295*Assumptions!N$5),-2)</f>
        <v>0</v>
      </c>
      <c r="P295" s="33">
        <f>ROUNDUP(O295+(O295*Assumptions!O$5),-2)</f>
        <v>0</v>
      </c>
      <c r="Q295" s="33">
        <f>ROUNDUP(P295+(P295*Assumptions!P$5),-2)</f>
        <v>0</v>
      </c>
      <c r="R295" s="114">
        <f>ROUNDUP(Q295+(Q295*Assumptions!Q$5),-2)</f>
        <v>0</v>
      </c>
    </row>
    <row r="296" spans="1:18" x14ac:dyDescent="0.2">
      <c r="A296" s="107"/>
      <c r="B296" s="33"/>
      <c r="C296" s="33"/>
      <c r="D296" s="33"/>
      <c r="E296" s="658"/>
      <c r="F296" s="439" t="s">
        <v>2168</v>
      </c>
      <c r="G296" s="33"/>
      <c r="H296" s="138"/>
      <c r="I296" s="33"/>
      <c r="J296" s="33"/>
      <c r="K296" s="33"/>
      <c r="L296" s="33"/>
      <c r="M296" s="33"/>
      <c r="N296" s="33"/>
      <c r="O296" s="33"/>
      <c r="P296" s="33"/>
      <c r="Q296" s="33"/>
      <c r="R296" s="114"/>
    </row>
    <row r="297" spans="1:18" x14ac:dyDescent="0.2">
      <c r="A297" s="107">
        <v>4000</v>
      </c>
      <c r="B297" s="132">
        <v>500</v>
      </c>
      <c r="C297" s="33">
        <v>2000</v>
      </c>
      <c r="D297" s="33">
        <v>0</v>
      </c>
      <c r="E297" s="658" t="s">
        <v>300</v>
      </c>
      <c r="F297" s="443" t="s">
        <v>1057</v>
      </c>
      <c r="G297" s="33">
        <v>5000</v>
      </c>
      <c r="H297" s="138">
        <f t="shared" ref="H297:H303" si="301">IF(D297=G297,0,IF(D297=0,100,(G297-D297)/D297*100))</f>
        <v>100</v>
      </c>
      <c r="I297" s="33">
        <v>5000</v>
      </c>
      <c r="J297" s="33">
        <f>ROUNDUP(I297+(I297*Assumptions!I$5),-2)</f>
        <v>5200</v>
      </c>
      <c r="K297" s="33">
        <f>ROUNDUP(J297+(J297*Assumptions!J$5),-2)</f>
        <v>5400</v>
      </c>
      <c r="L297" s="33">
        <f>ROUNDUP(K297+(K297*Assumptions!K$5),-2)</f>
        <v>5600</v>
      </c>
      <c r="M297" s="33">
        <f>ROUNDUP(L297+(L297*Assumptions!L$5),-2)</f>
        <v>5800</v>
      </c>
      <c r="N297" s="33">
        <f>ROUNDUP(M297+(M297*Assumptions!M$5),-2)</f>
        <v>6000</v>
      </c>
      <c r="O297" s="33">
        <f>ROUNDUP(N297+(N297*Assumptions!N$5),-2)</f>
        <v>6200</v>
      </c>
      <c r="P297" s="33">
        <f>ROUNDUP(O297+(O297*Assumptions!O$5),-2)</f>
        <v>6400</v>
      </c>
      <c r="Q297" s="33">
        <f>ROUNDUP(P297+(P297*Assumptions!P$5),-2)</f>
        <v>6600</v>
      </c>
      <c r="R297" s="114">
        <f>ROUNDUP(Q297+(Q297*Assumptions!Q$5),-2)</f>
        <v>6800</v>
      </c>
    </row>
    <row r="298" spans="1:18" x14ac:dyDescent="0.2">
      <c r="A298" s="107">
        <v>1700</v>
      </c>
      <c r="B298" s="132">
        <v>400</v>
      </c>
      <c r="C298" s="33">
        <v>600</v>
      </c>
      <c r="D298" s="33">
        <v>1400</v>
      </c>
      <c r="E298" s="658" t="s">
        <v>301</v>
      </c>
      <c r="F298" s="443" t="s">
        <v>2190</v>
      </c>
      <c r="G298" s="33">
        <v>0</v>
      </c>
      <c r="H298" s="138">
        <f t="shared" si="301"/>
        <v>-100</v>
      </c>
      <c r="I298" s="33">
        <v>0</v>
      </c>
      <c r="J298" s="33">
        <f>ROUNDUP(I298+(I298*Assumptions!I$5),-2)</f>
        <v>0</v>
      </c>
      <c r="K298" s="33">
        <f>ROUNDUP(J298+(J298*Assumptions!J$5),-2)</f>
        <v>0</v>
      </c>
      <c r="L298" s="33">
        <f>ROUNDUP(K298+(K298*Assumptions!K$5),-2)</f>
        <v>0</v>
      </c>
      <c r="M298" s="33">
        <f>ROUNDUP(L298+(L298*Assumptions!L$5),-2)</f>
        <v>0</v>
      </c>
      <c r="N298" s="33">
        <f>ROUNDUP(M298+(M298*Assumptions!M$5),-2)</f>
        <v>0</v>
      </c>
      <c r="O298" s="33">
        <f>ROUNDUP(N298+(N298*Assumptions!N$5),-2)</f>
        <v>0</v>
      </c>
      <c r="P298" s="33">
        <f>ROUNDUP(O298+(O298*Assumptions!O$5),-2)</f>
        <v>0</v>
      </c>
      <c r="Q298" s="33">
        <f>ROUNDUP(P298+(P298*Assumptions!P$5),-2)</f>
        <v>0</v>
      </c>
      <c r="R298" s="114">
        <f>ROUNDUP(Q298+(Q298*Assumptions!Q$5),-2)</f>
        <v>0</v>
      </c>
    </row>
    <row r="299" spans="1:18" x14ac:dyDescent="0.2">
      <c r="A299" s="107">
        <v>6100</v>
      </c>
      <c r="B299" s="132">
        <v>9100</v>
      </c>
      <c r="C299" s="33">
        <v>8600</v>
      </c>
      <c r="D299" s="33">
        <v>7300</v>
      </c>
      <c r="E299" s="658" t="s">
        <v>1412</v>
      </c>
      <c r="F299" s="443" t="s">
        <v>2191</v>
      </c>
      <c r="G299" s="33">
        <v>9000</v>
      </c>
      <c r="H299" s="138">
        <f t="shared" si="301"/>
        <v>23.287671232876711</v>
      </c>
      <c r="I299" s="33">
        <v>8000</v>
      </c>
      <c r="J299" s="33">
        <f>ROUNDUP(I299+(I299*Assumptions!I$5),-2)</f>
        <v>8200</v>
      </c>
      <c r="K299" s="33">
        <f>ROUNDUP(J299+(J299*Assumptions!J$5),-2)</f>
        <v>8500</v>
      </c>
      <c r="L299" s="33">
        <f>ROUNDUP(K299+(K299*Assumptions!K$5),-2)</f>
        <v>8800</v>
      </c>
      <c r="M299" s="33">
        <f>ROUNDUP(L299+(L299*Assumptions!L$5),-2)</f>
        <v>9000</v>
      </c>
      <c r="N299" s="33">
        <f>ROUNDUP(M299+(M299*Assumptions!M$5),-2)</f>
        <v>9200</v>
      </c>
      <c r="O299" s="33">
        <f>ROUNDUP(N299+(N299*Assumptions!N$5),-2)</f>
        <v>9400</v>
      </c>
      <c r="P299" s="33">
        <f>ROUNDUP(O299+(O299*Assumptions!O$5),-2)</f>
        <v>9600</v>
      </c>
      <c r="Q299" s="33">
        <f>ROUNDUP(P299+(P299*Assumptions!P$5),-2)</f>
        <v>9800</v>
      </c>
      <c r="R299" s="114">
        <f>ROUNDUP(Q299+(Q299*Assumptions!Q$5),-2)</f>
        <v>10000</v>
      </c>
    </row>
    <row r="300" spans="1:18" x14ac:dyDescent="0.2">
      <c r="A300" s="107">
        <v>600</v>
      </c>
      <c r="B300" s="132">
        <v>800</v>
      </c>
      <c r="C300" s="33">
        <v>300</v>
      </c>
      <c r="D300" s="33">
        <v>800</v>
      </c>
      <c r="E300" s="658" t="s">
        <v>1413</v>
      </c>
      <c r="F300" s="443" t="s">
        <v>507</v>
      </c>
      <c r="G300" s="33">
        <v>1000</v>
      </c>
      <c r="H300" s="138">
        <f t="shared" si="301"/>
        <v>25</v>
      </c>
      <c r="I300" s="33">
        <v>1000</v>
      </c>
      <c r="J300" s="33">
        <f>ROUNDUP(I300+(I300*Assumptions!I$5),-2)</f>
        <v>1100</v>
      </c>
      <c r="K300" s="33">
        <f>ROUNDUP(J300+(J300*Assumptions!J$5),-2)</f>
        <v>1200</v>
      </c>
      <c r="L300" s="33">
        <f>ROUNDUP(K300+(K300*Assumptions!K$5),-2)</f>
        <v>1300</v>
      </c>
      <c r="M300" s="33">
        <f>ROUNDUP(L300+(L300*Assumptions!L$5),-2)</f>
        <v>1400</v>
      </c>
      <c r="N300" s="33">
        <f>ROUNDUP(M300+(M300*Assumptions!M$5),-2)</f>
        <v>1500</v>
      </c>
      <c r="O300" s="33">
        <f>ROUNDUP(N300+(N300*Assumptions!N$5),-2)</f>
        <v>1600</v>
      </c>
      <c r="P300" s="33">
        <f>ROUNDUP(O300+(O300*Assumptions!O$5),-2)</f>
        <v>1700</v>
      </c>
      <c r="Q300" s="33">
        <f>ROUNDUP(P300+(P300*Assumptions!P$5),-2)</f>
        <v>1800</v>
      </c>
      <c r="R300" s="114">
        <f>ROUNDUP(Q300+(Q300*Assumptions!Q$5),-2)</f>
        <v>1900</v>
      </c>
    </row>
    <row r="301" spans="1:18" x14ac:dyDescent="0.2">
      <c r="A301" s="107">
        <v>3200</v>
      </c>
      <c r="B301" s="132">
        <v>5800</v>
      </c>
      <c r="C301" s="33">
        <v>4700</v>
      </c>
      <c r="D301" s="33">
        <v>3800</v>
      </c>
      <c r="E301" s="658" t="s">
        <v>838</v>
      </c>
      <c r="F301" s="443" t="s">
        <v>2652</v>
      </c>
      <c r="G301" s="33">
        <v>5000</v>
      </c>
      <c r="H301" s="138">
        <f t="shared" si="301"/>
        <v>31.578947368421051</v>
      </c>
      <c r="I301" s="33">
        <v>5000</v>
      </c>
      <c r="J301" s="33">
        <f>ROUNDUP(I301+(I301*Assumptions!I$5),-2)</f>
        <v>5200</v>
      </c>
      <c r="K301" s="33">
        <f>ROUNDUP(J301+(J301*Assumptions!J$5),-2)</f>
        <v>5400</v>
      </c>
      <c r="L301" s="33">
        <f>ROUNDUP(K301+(K301*Assumptions!K$5),-2)</f>
        <v>5600</v>
      </c>
      <c r="M301" s="33">
        <f>ROUNDUP(L301+(L301*Assumptions!L$5),-2)</f>
        <v>5800</v>
      </c>
      <c r="N301" s="33">
        <f>ROUNDUP(M301+(M301*Assumptions!M$5),-2)</f>
        <v>6000</v>
      </c>
      <c r="O301" s="33">
        <f>ROUNDUP(N301+(N301*Assumptions!N$5),-2)</f>
        <v>6200</v>
      </c>
      <c r="P301" s="33">
        <f>ROUNDUP(O301+(O301*Assumptions!O$5),-2)</f>
        <v>6400</v>
      </c>
      <c r="Q301" s="33">
        <f>ROUNDUP(P301+(P301*Assumptions!P$5),-2)</f>
        <v>6600</v>
      </c>
      <c r="R301" s="114">
        <f>ROUNDUP(Q301+(Q301*Assumptions!Q$5),-2)</f>
        <v>6800</v>
      </c>
    </row>
    <row r="302" spans="1:18" x14ac:dyDescent="0.2">
      <c r="A302" s="107">
        <v>3400</v>
      </c>
      <c r="B302" s="132">
        <v>5300</v>
      </c>
      <c r="C302" s="33">
        <v>1800</v>
      </c>
      <c r="D302" s="33">
        <v>2500</v>
      </c>
      <c r="E302" s="658" t="s">
        <v>1491</v>
      </c>
      <c r="F302" s="443" t="s">
        <v>761</v>
      </c>
      <c r="G302" s="33">
        <v>4000</v>
      </c>
      <c r="H302" s="138">
        <f t="shared" si="301"/>
        <v>60</v>
      </c>
      <c r="I302" s="33">
        <v>4000</v>
      </c>
      <c r="J302" s="33">
        <f>ROUNDUP(I302+(I302*Assumptions!I$5),-2)</f>
        <v>4100</v>
      </c>
      <c r="K302" s="33">
        <f>ROUNDUP(J302+(J302*Assumptions!J$5),-2)</f>
        <v>4300</v>
      </c>
      <c r="L302" s="33">
        <f>ROUNDUP(K302+(K302*Assumptions!K$5),-2)</f>
        <v>4500</v>
      </c>
      <c r="M302" s="33">
        <f>ROUNDUP(L302+(L302*Assumptions!L$5),-2)</f>
        <v>4600</v>
      </c>
      <c r="N302" s="33">
        <f>ROUNDUP(M302+(M302*Assumptions!M$5),-2)</f>
        <v>4700</v>
      </c>
      <c r="O302" s="33">
        <f>ROUNDUP(N302+(N302*Assumptions!N$5),-2)</f>
        <v>4800</v>
      </c>
      <c r="P302" s="33">
        <f>ROUNDUP(O302+(O302*Assumptions!O$5),-2)</f>
        <v>4900</v>
      </c>
      <c r="Q302" s="33">
        <f>ROUNDUP(P302+(P302*Assumptions!P$5),-2)</f>
        <v>5000</v>
      </c>
      <c r="R302" s="114">
        <f>ROUNDUP(Q302+(Q302*Assumptions!Q$5),-2)</f>
        <v>5100</v>
      </c>
    </row>
    <row r="303" spans="1:18" x14ac:dyDescent="0.2">
      <c r="A303" s="107">
        <v>1500</v>
      </c>
      <c r="B303" s="132">
        <v>2600</v>
      </c>
      <c r="C303" s="33">
        <v>900</v>
      </c>
      <c r="D303" s="33">
        <v>1300</v>
      </c>
      <c r="E303" s="658" t="s">
        <v>1492</v>
      </c>
      <c r="F303" s="814" t="s">
        <v>4593</v>
      </c>
      <c r="G303" s="33">
        <v>3000</v>
      </c>
      <c r="H303" s="138">
        <f t="shared" si="301"/>
        <v>130.76923076923077</v>
      </c>
      <c r="I303" s="33">
        <v>3000</v>
      </c>
      <c r="J303" s="33">
        <f>ROUNDUP(I303+(I303*Assumptions!I$5),-2)</f>
        <v>3100</v>
      </c>
      <c r="K303" s="33">
        <f>ROUNDUP(J303+(J303*Assumptions!J$5),-2)</f>
        <v>3200</v>
      </c>
      <c r="L303" s="33">
        <f>ROUNDUP(K303+(K303*Assumptions!K$5),-2)</f>
        <v>3300</v>
      </c>
      <c r="M303" s="33">
        <f>ROUNDUP(L303+(L303*Assumptions!L$5),-2)</f>
        <v>3400</v>
      </c>
      <c r="N303" s="33">
        <f>ROUNDUP(M303+(M303*Assumptions!M$5),-2)</f>
        <v>3500</v>
      </c>
      <c r="O303" s="33">
        <f>ROUNDUP(N303+(N303*Assumptions!N$5),-2)</f>
        <v>3600</v>
      </c>
      <c r="P303" s="33">
        <f>ROUNDUP(O303+(O303*Assumptions!O$5),-2)</f>
        <v>3700</v>
      </c>
      <c r="Q303" s="33">
        <f>ROUNDUP(P303+(P303*Assumptions!P$5),-2)</f>
        <v>3800</v>
      </c>
      <c r="R303" s="114">
        <f>ROUNDUP(Q303+(Q303*Assumptions!Q$5),-2)</f>
        <v>3900</v>
      </c>
    </row>
    <row r="304" spans="1:18" ht="13.5" thickBot="1" x14ac:dyDescent="0.25">
      <c r="A304" s="70"/>
      <c r="B304" s="64"/>
      <c r="C304" s="64"/>
      <c r="D304" s="64"/>
      <c r="E304" s="658"/>
      <c r="F304" s="74"/>
      <c r="G304" s="64"/>
      <c r="H304" s="179"/>
      <c r="I304" s="33"/>
      <c r="J304" s="33"/>
      <c r="K304" s="33"/>
      <c r="L304" s="33"/>
      <c r="M304" s="33"/>
      <c r="N304" s="33"/>
      <c r="O304" s="33"/>
      <c r="P304" s="33"/>
      <c r="Q304" s="33"/>
      <c r="R304" s="114"/>
    </row>
    <row r="305" spans="1:18" x14ac:dyDescent="0.2">
      <c r="A305" s="105">
        <f>SUM(A279:A304)</f>
        <v>597700</v>
      </c>
      <c r="B305" s="53">
        <f>SUM(B279:B304)</f>
        <v>893100</v>
      </c>
      <c r="C305" s="53">
        <f>SUM(C279:C304)</f>
        <v>1178900</v>
      </c>
      <c r="D305" s="53">
        <f>SUM(D279:D304)</f>
        <v>1425400</v>
      </c>
      <c r="E305" s="658"/>
      <c r="F305" s="112" t="s">
        <v>2605</v>
      </c>
      <c r="G305" s="53">
        <f>SUM(G279:G304)</f>
        <v>1417500</v>
      </c>
      <c r="H305" s="180">
        <f>IF(D305=G305,0,IF(D305=0,100,(G305-D305)/D305*100))</f>
        <v>-0.55423039146906139</v>
      </c>
      <c r="I305" s="53">
        <f t="shared" ref="I305:Q305" si="302">SUM(I279:I304)</f>
        <v>1281000</v>
      </c>
      <c r="J305" s="53">
        <f t="shared" si="302"/>
        <v>1314000</v>
      </c>
      <c r="K305" s="53">
        <f t="shared" si="302"/>
        <v>1347900</v>
      </c>
      <c r="L305" s="53">
        <f t="shared" si="302"/>
        <v>1382900</v>
      </c>
      <c r="M305" s="53">
        <f t="shared" si="302"/>
        <v>1411500</v>
      </c>
      <c r="N305" s="53">
        <f t="shared" si="302"/>
        <v>1440900</v>
      </c>
      <c r="O305" s="53">
        <f t="shared" si="302"/>
        <v>1470900</v>
      </c>
      <c r="P305" s="53">
        <f t="shared" si="302"/>
        <v>1501400</v>
      </c>
      <c r="Q305" s="53">
        <f t="shared" si="302"/>
        <v>1532600</v>
      </c>
      <c r="R305" s="113">
        <f t="shared" ref="R305" si="303">SUM(R279:R304)</f>
        <v>1564300</v>
      </c>
    </row>
    <row r="306" spans="1:18" x14ac:dyDescent="0.2">
      <c r="A306" s="107"/>
      <c r="B306" s="33"/>
      <c r="C306" s="33"/>
      <c r="D306" s="33"/>
      <c r="E306" s="658"/>
      <c r="F306" s="112"/>
      <c r="G306" s="33"/>
      <c r="H306" s="138"/>
      <c r="I306" s="33"/>
      <c r="J306" s="33"/>
      <c r="K306" s="33"/>
      <c r="L306" s="33"/>
      <c r="M306" s="33"/>
      <c r="N306" s="33"/>
      <c r="O306" s="33"/>
      <c r="P306" s="33"/>
      <c r="Q306" s="33"/>
      <c r="R306" s="114"/>
    </row>
    <row r="307" spans="1:18" x14ac:dyDescent="0.2">
      <c r="A307" s="107"/>
      <c r="B307" s="33"/>
      <c r="C307" s="33"/>
      <c r="D307" s="33"/>
      <c r="E307" s="658"/>
      <c r="F307" s="144" t="s">
        <v>2205</v>
      </c>
      <c r="G307" s="33"/>
      <c r="H307" s="138"/>
      <c r="I307" s="33"/>
      <c r="J307" s="33"/>
      <c r="K307" s="33"/>
      <c r="L307" s="33"/>
      <c r="M307" s="33"/>
      <c r="N307" s="33"/>
      <c r="O307" s="33"/>
      <c r="P307" s="33"/>
      <c r="Q307" s="33"/>
      <c r="R307" s="114"/>
    </row>
    <row r="308" spans="1:18" x14ac:dyDescent="0.2">
      <c r="A308" s="107"/>
      <c r="B308" s="441"/>
      <c r="C308" s="33"/>
      <c r="D308" s="33"/>
      <c r="E308" s="658"/>
      <c r="F308" s="439" t="s">
        <v>1249</v>
      </c>
      <c r="G308" s="33"/>
      <c r="H308" s="138"/>
      <c r="I308" s="33"/>
      <c r="J308" s="33"/>
      <c r="K308" s="33"/>
      <c r="L308" s="33"/>
      <c r="M308" s="33"/>
      <c r="N308" s="33"/>
      <c r="O308" s="33"/>
      <c r="P308" s="33"/>
      <c r="Q308" s="33"/>
      <c r="R308" s="114"/>
    </row>
    <row r="309" spans="1:18" x14ac:dyDescent="0.2">
      <c r="A309" s="107">
        <v>665200</v>
      </c>
      <c r="B309" s="132">
        <v>654900</v>
      </c>
      <c r="C309" s="33">
        <v>633100</v>
      </c>
      <c r="D309" s="33">
        <v>741700</v>
      </c>
      <c r="E309" s="658" t="s">
        <v>78</v>
      </c>
      <c r="F309" s="528" t="s">
        <v>1341</v>
      </c>
      <c r="G309" s="33">
        <f>803000+50000+40000</f>
        <v>893000</v>
      </c>
      <c r="H309" s="138">
        <f>IF(D309=G309,0,IF(D309=0,100,(G309-D309)/D309*100))</f>
        <v>20.399083187272481</v>
      </c>
      <c r="I309" s="33">
        <f>819100</f>
        <v>819100</v>
      </c>
      <c r="J309" s="33">
        <f>ROUND(I309*Assumptions!I$13+DEH!I309,-2)</f>
        <v>839600</v>
      </c>
      <c r="K309" s="33">
        <f>ROUND(J309*Assumptions!J$13+DEH!J309,-2)</f>
        <v>860600</v>
      </c>
      <c r="L309" s="33">
        <f>ROUND(K309*Assumptions!K$13+DEH!K309,-2)</f>
        <v>882100</v>
      </c>
      <c r="M309" s="33">
        <f>ROUND(L309*Assumptions!L$13+DEH!L309,-2)</f>
        <v>904200</v>
      </c>
      <c r="N309" s="33">
        <f>ROUND(M309*Assumptions!M$13+DEH!M309,-2)</f>
        <v>926800</v>
      </c>
      <c r="O309" s="33">
        <f>ROUND(N309*Assumptions!N$13+DEH!N309,-2)</f>
        <v>950000</v>
      </c>
      <c r="P309" s="33">
        <f>ROUND(O309*Assumptions!O$13+DEH!O309,-2)</f>
        <v>973800</v>
      </c>
      <c r="Q309" s="33">
        <f>ROUND(P309*Assumptions!P$13+DEH!P309,-2)</f>
        <v>998100</v>
      </c>
      <c r="R309" s="114">
        <f>ROUND(Q309*Assumptions!Q$13+DEH!Q309,-2)</f>
        <v>1023100</v>
      </c>
    </row>
    <row r="310" spans="1:18" x14ac:dyDescent="0.2">
      <c r="A310" s="107">
        <v>1700</v>
      </c>
      <c r="B310" s="132">
        <v>3200</v>
      </c>
      <c r="C310" s="33">
        <v>2800</v>
      </c>
      <c r="D310" s="33">
        <v>3000</v>
      </c>
      <c r="E310" s="658" t="s">
        <v>2640</v>
      </c>
      <c r="F310" s="443" t="s">
        <v>1921</v>
      </c>
      <c r="G310" s="33">
        <v>5000</v>
      </c>
      <c r="H310" s="138">
        <f>IF(D310=G310,0,IF(D310=0,100,(G310-D310)/D310*100))</f>
        <v>66.666666666666657</v>
      </c>
      <c r="I310" s="33">
        <v>4500</v>
      </c>
      <c r="J310" s="33">
        <f>ROUNDUP(I310+(I310*Assumptions!I$5),-2)</f>
        <v>4700</v>
      </c>
      <c r="K310" s="33">
        <f>ROUNDUP(J310+(J310*Assumptions!J$5),-2)</f>
        <v>4900</v>
      </c>
      <c r="L310" s="33">
        <f>ROUNDUP(K310+(K310*Assumptions!K$5),-2)</f>
        <v>5100</v>
      </c>
      <c r="M310" s="33">
        <f>ROUNDUP(L310+(L310*Assumptions!L$5),-2)</f>
        <v>5300</v>
      </c>
      <c r="N310" s="33">
        <f>ROUNDUP(M310+(M310*Assumptions!M$5),-2)</f>
        <v>5500</v>
      </c>
      <c r="O310" s="33">
        <f>ROUNDUP(N310+(N310*Assumptions!N$5),-2)</f>
        <v>5700</v>
      </c>
      <c r="P310" s="33">
        <f>ROUNDUP(O310+(O310*Assumptions!O$5),-2)</f>
        <v>5900</v>
      </c>
      <c r="Q310" s="33">
        <f>ROUNDUP(P310+(P310*Assumptions!P$5),-2)</f>
        <v>6100</v>
      </c>
      <c r="R310" s="114">
        <f>ROUNDUP(Q310+(Q310*Assumptions!Q$5),-2)</f>
        <v>6300</v>
      </c>
    </row>
    <row r="311" spans="1:18" x14ac:dyDescent="0.2">
      <c r="A311" s="107">
        <v>58700</v>
      </c>
      <c r="B311" s="132">
        <v>50500</v>
      </c>
      <c r="C311" s="33">
        <v>52100</v>
      </c>
      <c r="D311" s="33">
        <v>52100</v>
      </c>
      <c r="E311" s="658" t="s">
        <v>1966</v>
      </c>
      <c r="F311" s="443" t="s">
        <v>534</v>
      </c>
      <c r="G311" s="33">
        <v>37000</v>
      </c>
      <c r="H311" s="138">
        <f>IF(D311=G311,0,IF(D311=0,100,(G311-D311)/D311*100))</f>
        <v>-28.982725527831093</v>
      </c>
      <c r="I311" s="33">
        <f>ROUNDUP(G311+(G311*Assumptions!H$5),-2)</f>
        <v>37600</v>
      </c>
      <c r="J311" s="33">
        <f>ROUNDUP(I311+(I311*Assumptions!I$5),-2)</f>
        <v>38600</v>
      </c>
      <c r="K311" s="33">
        <f>ROUNDUP(J311+(J311*Assumptions!J$5),-2)</f>
        <v>39600</v>
      </c>
      <c r="L311" s="33">
        <f>ROUNDUP(K311+(K311*Assumptions!K$5),-2)</f>
        <v>40600</v>
      </c>
      <c r="M311" s="33">
        <f>ROUNDUP(L311+(L311*Assumptions!L$5),-2)</f>
        <v>41500</v>
      </c>
      <c r="N311" s="33">
        <f>ROUNDUP(M311+(M311*Assumptions!M$5),-2)</f>
        <v>42400</v>
      </c>
      <c r="O311" s="33">
        <f>ROUNDUP(N311+(N311*Assumptions!N$5),-2)</f>
        <v>43300</v>
      </c>
      <c r="P311" s="33">
        <f>ROUNDUP(O311+(O311*Assumptions!O$5),-2)</f>
        <v>44200</v>
      </c>
      <c r="Q311" s="33">
        <f>ROUNDUP(P311+(P311*Assumptions!P$5),-2)</f>
        <v>45100</v>
      </c>
      <c r="R311" s="114">
        <f>ROUNDUP(Q311+(Q311*Assumptions!Q$5),-2)</f>
        <v>46100</v>
      </c>
    </row>
    <row r="312" spans="1:18" x14ac:dyDescent="0.2">
      <c r="A312" s="107">
        <v>0</v>
      </c>
      <c r="B312" s="130">
        <v>0</v>
      </c>
      <c r="C312" s="33">
        <v>0</v>
      </c>
      <c r="D312" s="33">
        <v>0</v>
      </c>
      <c r="E312" s="1092" t="s">
        <v>6616</v>
      </c>
      <c r="F312" s="814" t="s">
        <v>6617</v>
      </c>
      <c r="G312" s="33">
        <v>8000</v>
      </c>
      <c r="H312" s="138">
        <f>IF(D312=G312,0,IF(D312=0,100,(G312-D312)/D312*100))</f>
        <v>100</v>
      </c>
      <c r="I312" s="33">
        <v>0</v>
      </c>
      <c r="J312" s="33">
        <v>0</v>
      </c>
      <c r="K312" s="33">
        <v>0</v>
      </c>
      <c r="L312" s="33">
        <v>0</v>
      </c>
      <c r="M312" s="33">
        <v>0</v>
      </c>
      <c r="N312" s="33">
        <v>0</v>
      </c>
      <c r="O312" s="33">
        <v>0</v>
      </c>
      <c r="P312" s="33">
        <v>0</v>
      </c>
      <c r="Q312" s="33">
        <v>0</v>
      </c>
      <c r="R312" s="114">
        <v>0</v>
      </c>
    </row>
    <row r="313" spans="1:18" x14ac:dyDescent="0.2">
      <c r="A313" s="710"/>
      <c r="B313" s="441"/>
      <c r="C313" s="33"/>
      <c r="D313" s="33"/>
      <c r="E313" s="658"/>
      <c r="F313" s="439" t="s">
        <v>1093</v>
      </c>
      <c r="G313" s="33"/>
      <c r="H313" s="138"/>
      <c r="I313" s="33"/>
      <c r="J313" s="33"/>
      <c r="K313" s="33"/>
      <c r="L313" s="33"/>
      <c r="M313" s="33"/>
      <c r="N313" s="33"/>
      <c r="O313" s="33"/>
      <c r="P313" s="33"/>
      <c r="Q313" s="33"/>
      <c r="R313" s="114"/>
    </row>
    <row r="314" spans="1:18" x14ac:dyDescent="0.2">
      <c r="A314" s="107">
        <v>13800</v>
      </c>
      <c r="B314" s="132">
        <v>13800</v>
      </c>
      <c r="C314" s="33">
        <v>14600</v>
      </c>
      <c r="D314" s="33">
        <f>25300+600</f>
        <v>25900</v>
      </c>
      <c r="E314" s="658" t="s">
        <v>2866</v>
      </c>
      <c r="F314" s="443" t="s">
        <v>2558</v>
      </c>
      <c r="G314" s="33">
        <v>12000</v>
      </c>
      <c r="H314" s="138">
        <f>IF(D314=G314,0,IF(D314=0,100,(G314-D314)/D314*100))</f>
        <v>-53.667953667953668</v>
      </c>
      <c r="I314" s="33">
        <v>12000</v>
      </c>
      <c r="J314" s="33">
        <f>ROUNDUP(I314+(I314*Assumptions!I$5),-2)</f>
        <v>12300</v>
      </c>
      <c r="K314" s="33">
        <f>ROUNDUP(J314+(J314*Assumptions!J$5),-2)</f>
        <v>12700</v>
      </c>
      <c r="L314" s="33">
        <f>ROUNDUP(K314+(K314*Assumptions!K$5),-2)</f>
        <v>13100</v>
      </c>
      <c r="M314" s="33">
        <f>ROUNDUP(L314+(L314*Assumptions!L$5),-2)</f>
        <v>13400</v>
      </c>
      <c r="N314" s="33">
        <f>ROUNDUP(M314+(M314*Assumptions!M$5),-2)</f>
        <v>13700</v>
      </c>
      <c r="O314" s="33">
        <f>ROUNDUP(N314+(N314*Assumptions!N$5),-2)</f>
        <v>14000</v>
      </c>
      <c r="P314" s="33">
        <f>ROUNDUP(O314+(O314*Assumptions!O$5),-2)</f>
        <v>14300</v>
      </c>
      <c r="Q314" s="33">
        <f>ROUNDUP(P314+(P314*Assumptions!P$5),-2)</f>
        <v>14600</v>
      </c>
      <c r="R314" s="114">
        <f>ROUNDUP(Q314+(Q314*Assumptions!Q$5),-2)</f>
        <v>14900</v>
      </c>
    </row>
    <row r="315" spans="1:18" x14ac:dyDescent="0.2">
      <c r="A315" s="710"/>
      <c r="B315" s="441"/>
      <c r="C315" s="33"/>
      <c r="D315" s="33"/>
      <c r="E315" s="658"/>
      <c r="F315" s="439" t="s">
        <v>2139</v>
      </c>
      <c r="G315" s="33"/>
      <c r="H315" s="138"/>
      <c r="I315" s="33"/>
      <c r="J315" s="33"/>
      <c r="K315" s="33"/>
      <c r="L315" s="33"/>
      <c r="M315" s="33"/>
      <c r="N315" s="33"/>
      <c r="O315" s="33"/>
      <c r="P315" s="33"/>
      <c r="Q315" s="33"/>
      <c r="R315" s="114"/>
    </row>
    <row r="316" spans="1:18" x14ac:dyDescent="0.2">
      <c r="A316" s="107">
        <v>35600</v>
      </c>
      <c r="B316" s="132">
        <v>5600</v>
      </c>
      <c r="C316" s="33">
        <v>6300</v>
      </c>
      <c r="D316" s="33">
        <v>12900</v>
      </c>
      <c r="E316" s="658" t="s">
        <v>71</v>
      </c>
      <c r="F316" s="443" t="s">
        <v>2139</v>
      </c>
      <c r="G316" s="33">
        <v>10000</v>
      </c>
      <c r="H316" s="138">
        <f>IF(D316=G316,0,IF(D316=0,100,(G316-D316)/D316*100))</f>
        <v>-22.480620155038761</v>
      </c>
      <c r="I316" s="33">
        <v>10000</v>
      </c>
      <c r="J316" s="33">
        <f t="shared" ref="J316:R316" si="304">I316</f>
        <v>10000</v>
      </c>
      <c r="K316" s="33">
        <f t="shared" si="304"/>
        <v>10000</v>
      </c>
      <c r="L316" s="33">
        <f t="shared" si="304"/>
        <v>10000</v>
      </c>
      <c r="M316" s="33">
        <f t="shared" si="304"/>
        <v>10000</v>
      </c>
      <c r="N316" s="33">
        <f t="shared" si="304"/>
        <v>10000</v>
      </c>
      <c r="O316" s="33">
        <f t="shared" si="304"/>
        <v>10000</v>
      </c>
      <c r="P316" s="33">
        <f t="shared" si="304"/>
        <v>10000</v>
      </c>
      <c r="Q316" s="33">
        <f t="shared" si="304"/>
        <v>10000</v>
      </c>
      <c r="R316" s="114">
        <f t="shared" si="304"/>
        <v>10000</v>
      </c>
    </row>
    <row r="317" spans="1:18" ht="13.5" thickBot="1" x14ac:dyDescent="0.25">
      <c r="A317" s="70"/>
      <c r="B317" s="64"/>
      <c r="C317" s="64"/>
      <c r="D317" s="64"/>
      <c r="E317" s="658"/>
      <c r="F317" s="74"/>
      <c r="G317" s="64"/>
      <c r="H317" s="179"/>
      <c r="I317" s="33"/>
      <c r="J317" s="33"/>
      <c r="K317" s="33"/>
      <c r="L317" s="33"/>
      <c r="M317" s="33"/>
      <c r="N317" s="33"/>
      <c r="O317" s="33"/>
      <c r="P317" s="33"/>
      <c r="Q317" s="33"/>
      <c r="R317" s="114"/>
    </row>
    <row r="318" spans="1:18" s="92" customFormat="1" x14ac:dyDescent="0.2">
      <c r="A318" s="105">
        <f>SUM(A308:A317)</f>
        <v>775000</v>
      </c>
      <c r="B318" s="53">
        <f>SUM(B308:B317)</f>
        <v>728000</v>
      </c>
      <c r="C318" s="53">
        <f>SUM(C308:C317)</f>
        <v>708900</v>
      </c>
      <c r="D318" s="53">
        <f>SUM(D308:D317)</f>
        <v>835600</v>
      </c>
      <c r="E318" s="674"/>
      <c r="F318" s="112" t="s">
        <v>565</v>
      </c>
      <c r="G318" s="53">
        <f>SUM(G308:G317)</f>
        <v>965000</v>
      </c>
      <c r="H318" s="180">
        <f>IF(D318=G318,0,IF(D318=0,100,(G318-D318)/D318*100))</f>
        <v>15.485878410722833</v>
      </c>
      <c r="I318" s="53">
        <f t="shared" ref="I318:Q318" si="305">SUM(I308:I317)</f>
        <v>883200</v>
      </c>
      <c r="J318" s="53">
        <f t="shared" si="305"/>
        <v>905200</v>
      </c>
      <c r="K318" s="53">
        <f t="shared" si="305"/>
        <v>927800</v>
      </c>
      <c r="L318" s="53">
        <f t="shared" si="305"/>
        <v>950900</v>
      </c>
      <c r="M318" s="53">
        <f t="shared" si="305"/>
        <v>974400</v>
      </c>
      <c r="N318" s="53">
        <f t="shared" si="305"/>
        <v>998400</v>
      </c>
      <c r="O318" s="53">
        <f t="shared" si="305"/>
        <v>1023000</v>
      </c>
      <c r="P318" s="53">
        <f t="shared" si="305"/>
        <v>1048200</v>
      </c>
      <c r="Q318" s="53">
        <f t="shared" si="305"/>
        <v>1073900</v>
      </c>
      <c r="R318" s="113">
        <f t="shared" ref="R318" si="306">SUM(R308:R317)</f>
        <v>1100400</v>
      </c>
    </row>
    <row r="319" spans="1:18" x14ac:dyDescent="0.2">
      <c r="A319" s="107"/>
      <c r="B319" s="33"/>
      <c r="C319" s="33"/>
      <c r="D319" s="33"/>
      <c r="E319" s="673"/>
      <c r="F319" s="108"/>
      <c r="G319" s="33"/>
      <c r="H319" s="138"/>
      <c r="I319" s="33"/>
      <c r="J319" s="33"/>
      <c r="K319" s="33"/>
      <c r="L319" s="33"/>
      <c r="M319" s="33"/>
      <c r="N319" s="33"/>
      <c r="O319" s="33"/>
      <c r="P319" s="33"/>
      <c r="Q319" s="33"/>
      <c r="R319" s="114"/>
    </row>
    <row r="320" spans="1:18" s="92" customFormat="1" x14ac:dyDescent="0.2">
      <c r="A320" s="70">
        <f>A305-A318</f>
        <v>-177300</v>
      </c>
      <c r="B320" s="64">
        <f>B305-B318</f>
        <v>165100</v>
      </c>
      <c r="C320" s="64">
        <f>C305-C318</f>
        <v>470000</v>
      </c>
      <c r="D320" s="64">
        <f>D305-D318</f>
        <v>589800</v>
      </c>
      <c r="E320" s="674"/>
      <c r="F320" s="1963" t="s">
        <v>1019</v>
      </c>
      <c r="G320" s="64">
        <f>G305-G318</f>
        <v>452500</v>
      </c>
      <c r="H320" s="179">
        <f>IF(D320=G320,0,IF(D320=0,100,(G320-D320)/D320*100))</f>
        <v>-23.279077653441846</v>
      </c>
      <c r="I320" s="64">
        <f t="shared" ref="I320:Q320" si="307">I305-I318</f>
        <v>397800</v>
      </c>
      <c r="J320" s="64">
        <f t="shared" si="307"/>
        <v>408800</v>
      </c>
      <c r="K320" s="64">
        <f t="shared" si="307"/>
        <v>420100</v>
      </c>
      <c r="L320" s="64">
        <f t="shared" si="307"/>
        <v>432000</v>
      </c>
      <c r="M320" s="64">
        <f t="shared" si="307"/>
        <v>437100</v>
      </c>
      <c r="N320" s="64">
        <f t="shared" si="307"/>
        <v>442500</v>
      </c>
      <c r="O320" s="64">
        <f t="shared" si="307"/>
        <v>447900</v>
      </c>
      <c r="P320" s="64">
        <f t="shared" si="307"/>
        <v>453200</v>
      </c>
      <c r="Q320" s="64">
        <f t="shared" si="307"/>
        <v>458700</v>
      </c>
      <c r="R320" s="115">
        <f t="shared" ref="R320" si="308">R305-R318</f>
        <v>463900</v>
      </c>
    </row>
    <row r="321" spans="1:18" x14ac:dyDescent="0.2">
      <c r="A321" s="107"/>
      <c r="B321" s="33"/>
      <c r="C321" s="33"/>
      <c r="D321" s="33"/>
      <c r="E321" s="673"/>
      <c r="F321" s="320"/>
      <c r="G321" s="33"/>
      <c r="H321" s="19"/>
      <c r="I321" s="33"/>
      <c r="J321" s="33"/>
      <c r="K321" s="33"/>
      <c r="L321" s="33"/>
      <c r="M321" s="33"/>
      <c r="N321" s="33"/>
      <c r="O321" s="33"/>
      <c r="P321" s="33"/>
      <c r="Q321" s="33"/>
      <c r="R321" s="114"/>
    </row>
    <row r="322" spans="1:18" s="92" customFormat="1" x14ac:dyDescent="0.2">
      <c r="A322" s="181">
        <f>A320</f>
        <v>-177300</v>
      </c>
      <c r="B322" s="397">
        <f>B320</f>
        <v>165100</v>
      </c>
      <c r="C322" s="397">
        <f>C320</f>
        <v>470000</v>
      </c>
      <c r="D322" s="397">
        <f>D320</f>
        <v>589800</v>
      </c>
      <c r="E322" s="675"/>
      <c r="F322" s="515" t="s">
        <v>1687</v>
      </c>
      <c r="G322" s="397">
        <f t="shared" ref="G322:O322" si="309">G320</f>
        <v>452500</v>
      </c>
      <c r="H322" s="395">
        <f>IF(D322=G322,0,IF(D322=0,100,(G322-D322)/D322*100))</f>
        <v>-23.279077653441846</v>
      </c>
      <c r="I322" s="397">
        <f t="shared" si="309"/>
        <v>397800</v>
      </c>
      <c r="J322" s="397">
        <f t="shared" si="309"/>
        <v>408800</v>
      </c>
      <c r="K322" s="397">
        <f t="shared" si="309"/>
        <v>420100</v>
      </c>
      <c r="L322" s="397">
        <f t="shared" si="309"/>
        <v>432000</v>
      </c>
      <c r="M322" s="397">
        <f t="shared" si="309"/>
        <v>437100</v>
      </c>
      <c r="N322" s="397">
        <f t="shared" si="309"/>
        <v>442500</v>
      </c>
      <c r="O322" s="397">
        <f t="shared" si="309"/>
        <v>447900</v>
      </c>
      <c r="P322" s="397">
        <f t="shared" ref="P322:Q322" si="310">P320</f>
        <v>453200</v>
      </c>
      <c r="Q322" s="397">
        <f t="shared" si="310"/>
        <v>458700</v>
      </c>
      <c r="R322" s="399">
        <f t="shared" ref="R322" si="311">R320</f>
        <v>463900</v>
      </c>
    </row>
    <row r="323" spans="1:18" ht="13.5" thickBot="1" x14ac:dyDescent="0.25">
      <c r="A323" s="70"/>
      <c r="B323" s="64"/>
      <c r="C323" s="64"/>
      <c r="D323" s="64"/>
      <c r="E323" s="658"/>
      <c r="F323" s="137"/>
      <c r="G323" s="64"/>
      <c r="H323" s="179"/>
      <c r="I323" s="121"/>
      <c r="J323" s="121"/>
      <c r="K323" s="121"/>
      <c r="L323" s="121"/>
      <c r="M323" s="121"/>
      <c r="N323" s="121"/>
      <c r="O323" s="121"/>
      <c r="P323" s="121"/>
      <c r="Q323" s="121"/>
      <c r="R323" s="161"/>
    </row>
    <row r="324" spans="1:18" ht="13.5" thickTop="1" x14ac:dyDescent="0.2">
      <c r="A324" s="383"/>
      <c r="B324" s="122"/>
      <c r="C324" s="162"/>
      <c r="D324" s="162"/>
      <c r="E324" s="677"/>
      <c r="F324" s="367"/>
      <c r="G324" s="162"/>
      <c r="H324" s="505"/>
      <c r="I324" s="127"/>
      <c r="J324" s="127"/>
      <c r="K324" s="127"/>
      <c r="L324" s="127"/>
      <c r="M324" s="127"/>
      <c r="N324" s="127"/>
      <c r="O324" s="127"/>
      <c r="P324" s="127"/>
      <c r="Q324" s="127"/>
      <c r="R324" s="163"/>
    </row>
    <row r="325" spans="1:18" x14ac:dyDescent="0.2">
      <c r="A325" s="70"/>
      <c r="B325" s="128"/>
      <c r="C325" s="64"/>
      <c r="D325" s="64"/>
      <c r="E325" s="657"/>
      <c r="F325" s="516" t="s">
        <v>196</v>
      </c>
      <c r="G325" s="64"/>
      <c r="H325" s="179"/>
      <c r="I325" s="33"/>
      <c r="J325" s="33"/>
      <c r="K325" s="33"/>
      <c r="L325" s="33"/>
      <c r="M325" s="33"/>
      <c r="N325" s="33"/>
      <c r="O325" s="33"/>
      <c r="P325" s="33"/>
      <c r="Q325" s="33"/>
      <c r="R325" s="114"/>
    </row>
    <row r="326" spans="1:18" x14ac:dyDescent="0.2">
      <c r="A326" s="107">
        <v>0</v>
      </c>
      <c r="B326" s="142">
        <v>0</v>
      </c>
      <c r="C326" s="33">
        <v>0</v>
      </c>
      <c r="D326" s="33">
        <v>0</v>
      </c>
      <c r="E326" s="657"/>
      <c r="F326" s="525" t="s">
        <v>1791</v>
      </c>
      <c r="G326" s="33">
        <v>0</v>
      </c>
      <c r="H326" s="138"/>
      <c r="I326" s="33">
        <v>0</v>
      </c>
      <c r="J326" s="33">
        <v>0</v>
      </c>
      <c r="K326" s="33">
        <v>0</v>
      </c>
      <c r="L326" s="33">
        <v>0</v>
      </c>
      <c r="M326" s="33">
        <v>0</v>
      </c>
      <c r="N326" s="33">
        <v>0</v>
      </c>
      <c r="O326" s="33">
        <v>0</v>
      </c>
      <c r="P326" s="33">
        <v>0</v>
      </c>
      <c r="Q326" s="33">
        <v>0</v>
      </c>
      <c r="R326" s="114">
        <v>0</v>
      </c>
    </row>
    <row r="327" spans="1:18" x14ac:dyDescent="0.2">
      <c r="A327" s="107">
        <v>0</v>
      </c>
      <c r="B327" s="142">
        <v>0</v>
      </c>
      <c r="C327" s="33">
        <v>0</v>
      </c>
      <c r="D327" s="33">
        <v>0</v>
      </c>
      <c r="E327" s="657"/>
      <c r="F327" s="366" t="s">
        <v>1942</v>
      </c>
      <c r="G327" s="33">
        <v>0</v>
      </c>
      <c r="H327" s="138"/>
      <c r="I327" s="33">
        <v>0</v>
      </c>
      <c r="J327" s="33">
        <v>0</v>
      </c>
      <c r="K327" s="33">
        <v>0</v>
      </c>
      <c r="L327" s="33">
        <v>0</v>
      </c>
      <c r="M327" s="33">
        <v>0</v>
      </c>
      <c r="N327" s="33">
        <v>0</v>
      </c>
      <c r="O327" s="33">
        <v>0</v>
      </c>
      <c r="P327" s="33">
        <v>0</v>
      </c>
      <c r="Q327" s="33">
        <v>0</v>
      </c>
      <c r="R327" s="114">
        <v>0</v>
      </c>
    </row>
    <row r="328" spans="1:18" x14ac:dyDescent="0.2">
      <c r="A328" s="107">
        <v>0</v>
      </c>
      <c r="B328" s="142">
        <v>0</v>
      </c>
      <c r="C328" s="33">
        <v>0</v>
      </c>
      <c r="D328" s="33">
        <v>0</v>
      </c>
      <c r="E328" s="657"/>
      <c r="F328" s="366" t="s">
        <v>2348</v>
      </c>
      <c r="G328" s="33">
        <v>0</v>
      </c>
      <c r="H328" s="138"/>
      <c r="I328" s="33">
        <v>0</v>
      </c>
      <c r="J328" s="33">
        <v>0</v>
      </c>
      <c r="K328" s="33">
        <v>0</v>
      </c>
      <c r="L328" s="33">
        <v>0</v>
      </c>
      <c r="M328" s="33">
        <v>0</v>
      </c>
      <c r="N328" s="33">
        <v>0</v>
      </c>
      <c r="O328" s="33">
        <v>0</v>
      </c>
      <c r="P328" s="33">
        <v>0</v>
      </c>
      <c r="Q328" s="33">
        <v>0</v>
      </c>
      <c r="R328" s="114">
        <v>0</v>
      </c>
    </row>
    <row r="329" spans="1:18" x14ac:dyDescent="0.2">
      <c r="A329" s="107">
        <v>0</v>
      </c>
      <c r="B329" s="142">
        <v>0</v>
      </c>
      <c r="C329" s="33">
        <v>0</v>
      </c>
      <c r="D329" s="33">
        <v>0</v>
      </c>
      <c r="E329" s="657"/>
      <c r="F329" s="366" t="s">
        <v>5984</v>
      </c>
      <c r="G329" s="33">
        <v>0</v>
      </c>
      <c r="H329" s="138"/>
      <c r="I329" s="33">
        <v>0</v>
      </c>
      <c r="J329" s="33">
        <v>0</v>
      </c>
      <c r="K329" s="33">
        <v>0</v>
      </c>
      <c r="L329" s="33">
        <v>0</v>
      </c>
      <c r="M329" s="33">
        <v>0</v>
      </c>
      <c r="N329" s="33">
        <v>0</v>
      </c>
      <c r="O329" s="33">
        <v>0</v>
      </c>
      <c r="P329" s="33">
        <v>0</v>
      </c>
      <c r="Q329" s="33">
        <v>0</v>
      </c>
      <c r="R329" s="114">
        <v>0</v>
      </c>
    </row>
    <row r="330" spans="1:18" x14ac:dyDescent="0.2">
      <c r="A330" s="107">
        <v>0</v>
      </c>
      <c r="B330" s="142">
        <v>0</v>
      </c>
      <c r="C330" s="33">
        <v>0</v>
      </c>
      <c r="D330" s="33">
        <v>0</v>
      </c>
      <c r="E330" s="657"/>
      <c r="F330" s="366" t="s">
        <v>972</v>
      </c>
      <c r="G330" s="33">
        <v>0</v>
      </c>
      <c r="H330" s="138"/>
      <c r="I330" s="33">
        <v>0</v>
      </c>
      <c r="J330" s="33">
        <v>0</v>
      </c>
      <c r="K330" s="33">
        <v>0</v>
      </c>
      <c r="L330" s="33">
        <v>0</v>
      </c>
      <c r="M330" s="33">
        <v>0</v>
      </c>
      <c r="N330" s="33">
        <v>0</v>
      </c>
      <c r="O330" s="33">
        <v>0</v>
      </c>
      <c r="P330" s="33">
        <v>0</v>
      </c>
      <c r="Q330" s="33">
        <v>0</v>
      </c>
      <c r="R330" s="114">
        <v>0</v>
      </c>
    </row>
    <row r="331" spans="1:18" x14ac:dyDescent="0.2">
      <c r="A331" s="107"/>
      <c r="B331" s="142"/>
      <c r="C331" s="33"/>
      <c r="D331" s="33"/>
      <c r="E331" s="657"/>
      <c r="F331" s="516"/>
      <c r="G331" s="33"/>
      <c r="H331" s="138"/>
      <c r="I331" s="33"/>
      <c r="J331" s="33"/>
      <c r="K331" s="33"/>
      <c r="L331" s="33"/>
      <c r="M331" s="33"/>
      <c r="N331" s="33"/>
      <c r="O331" s="33"/>
      <c r="P331" s="33"/>
      <c r="Q331" s="33"/>
      <c r="R331" s="114"/>
    </row>
    <row r="332" spans="1:18" s="92" customFormat="1" x14ac:dyDescent="0.2">
      <c r="A332" s="181">
        <f>A322-A326-A327+A328++A329-A330</f>
        <v>-177300</v>
      </c>
      <c r="B332" s="377">
        <f>B322-B326-B327+B328++B329-B330</f>
        <v>165100</v>
      </c>
      <c r="C332" s="397">
        <f>C322-C326-C327+C328++C329-C330</f>
        <v>470000</v>
      </c>
      <c r="D332" s="397">
        <f>D322-D326-D327+D328++D329-D330</f>
        <v>589800</v>
      </c>
      <c r="E332" s="678"/>
      <c r="F332" s="518" t="s">
        <v>2490</v>
      </c>
      <c r="G332" s="397">
        <f t="shared" ref="G332:P332" si="312">G322-G326-G327+G328++G329-G330</f>
        <v>452500</v>
      </c>
      <c r="H332" s="395">
        <f>IF(D332=G332,0,IF(D332=0,100,(G332-D332)/D332*100))</f>
        <v>-23.279077653441846</v>
      </c>
      <c r="I332" s="397">
        <f t="shared" si="312"/>
        <v>397800</v>
      </c>
      <c r="J332" s="397">
        <f t="shared" si="312"/>
        <v>408800</v>
      </c>
      <c r="K332" s="397">
        <f t="shared" si="312"/>
        <v>420100</v>
      </c>
      <c r="L332" s="397">
        <f t="shared" si="312"/>
        <v>432000</v>
      </c>
      <c r="M332" s="397">
        <f t="shared" si="312"/>
        <v>437100</v>
      </c>
      <c r="N332" s="397">
        <f t="shared" si="312"/>
        <v>442500</v>
      </c>
      <c r="O332" s="397">
        <f t="shared" si="312"/>
        <v>447900</v>
      </c>
      <c r="P332" s="397">
        <f t="shared" si="312"/>
        <v>453200</v>
      </c>
      <c r="Q332" s="397">
        <f t="shared" ref="Q332" si="313">Q322-Q326-Q327+Q328++Q329-Q330</f>
        <v>458700</v>
      </c>
      <c r="R332" s="399">
        <f t="shared" ref="R332" si="314">R322-R326-R327+R328++R329-R330</f>
        <v>463900</v>
      </c>
    </row>
    <row r="333" spans="1:18" ht="13.5" thickBot="1" x14ac:dyDescent="0.25">
      <c r="A333" s="73"/>
      <c r="B333" s="134"/>
      <c r="C333" s="90"/>
      <c r="D333" s="90"/>
      <c r="E333" s="679"/>
      <c r="F333" s="368"/>
      <c r="G333" s="90"/>
      <c r="H333" s="392"/>
      <c r="I333" s="66"/>
      <c r="J333" s="66"/>
      <c r="K333" s="66"/>
      <c r="L333" s="66"/>
      <c r="M333" s="66"/>
      <c r="N333" s="66"/>
      <c r="O333" s="66"/>
      <c r="P333" s="66"/>
      <c r="Q333" s="66"/>
      <c r="R333" s="165"/>
    </row>
    <row r="334" spans="1:18" ht="14.25" thickTop="1" thickBot="1" x14ac:dyDescent="0.25">
      <c r="A334" s="74"/>
      <c r="B334" s="74"/>
      <c r="C334" s="74"/>
      <c r="D334" s="74"/>
      <c r="E334" s="657"/>
      <c r="F334" s="137"/>
      <c r="G334" s="74"/>
      <c r="H334" s="2482"/>
      <c r="I334" s="99"/>
      <c r="J334" s="99"/>
      <c r="K334" s="99"/>
      <c r="L334" s="99"/>
      <c r="M334" s="99"/>
      <c r="N334" s="99"/>
      <c r="O334" s="99"/>
      <c r="P334" s="99"/>
      <c r="Q334" s="99"/>
      <c r="R334" s="99"/>
    </row>
    <row r="335" spans="1:18" s="91" customFormat="1" ht="18.75" customHeight="1" thickTop="1" thickBot="1" x14ac:dyDescent="0.3">
      <c r="A335" s="2865" t="str">
        <f>A117</f>
        <v>ENVIRONMENTAL AND PUBLIC HEALTH</v>
      </c>
      <c r="B335" s="2866"/>
      <c r="C335" s="2866"/>
      <c r="D335" s="2866"/>
      <c r="E335" s="2866"/>
      <c r="F335" s="2866"/>
      <c r="G335" s="2866"/>
      <c r="H335" s="2866"/>
      <c r="I335" s="2866"/>
      <c r="J335" s="2866"/>
      <c r="K335" s="2866"/>
      <c r="L335" s="2866"/>
      <c r="M335" s="2866"/>
      <c r="N335" s="2866"/>
      <c r="O335" s="2866"/>
      <c r="P335" s="2866"/>
      <c r="Q335" s="2866"/>
      <c r="R335" s="2867"/>
    </row>
    <row r="336" spans="1:18" s="44" customFormat="1" x14ac:dyDescent="0.2">
      <c r="A336" s="2888" t="s">
        <v>1856</v>
      </c>
      <c r="B336" s="2889"/>
      <c r="C336" s="2889"/>
      <c r="D336" s="2890"/>
      <c r="E336" s="1998" t="s">
        <v>2663</v>
      </c>
      <c r="F336" s="2649" t="s">
        <v>2251</v>
      </c>
      <c r="G336" s="2885" t="s">
        <v>2253</v>
      </c>
      <c r="H336" s="2886"/>
      <c r="I336" s="2886"/>
      <c r="J336" s="2886"/>
      <c r="K336" s="2886"/>
      <c r="L336" s="2886"/>
      <c r="M336" s="2886"/>
      <c r="N336" s="2886"/>
      <c r="O336" s="2886"/>
      <c r="P336" s="2886"/>
      <c r="Q336" s="2886"/>
      <c r="R336" s="2887"/>
    </row>
    <row r="337" spans="1:18" s="23" customFormat="1" ht="13.5" thickBot="1" x14ac:dyDescent="0.25">
      <c r="A337" s="615" t="str">
        <f>A3</f>
        <v>2012/13</v>
      </c>
      <c r="B337" s="370" t="str">
        <f>B3</f>
        <v>2013/14</v>
      </c>
      <c r="C337" s="370" t="str">
        <f>C3</f>
        <v>2014/15</v>
      </c>
      <c r="D337" s="93" t="str">
        <f>D3</f>
        <v>2015/16</v>
      </c>
      <c r="E337" s="672" t="s">
        <v>2664</v>
      </c>
      <c r="F337" s="42"/>
      <c r="G337" s="93" t="str">
        <f>G3</f>
        <v>2016/17</v>
      </c>
      <c r="H337" s="2492" t="s">
        <v>501</v>
      </c>
      <c r="I337" s="370" t="str">
        <f t="shared" ref="I337:R337" si="315">I3</f>
        <v>2017/18</v>
      </c>
      <c r="J337" s="370" t="str">
        <f t="shared" si="315"/>
        <v>2018/19</v>
      </c>
      <c r="K337" s="370" t="str">
        <f t="shared" si="315"/>
        <v>2019/20</v>
      </c>
      <c r="L337" s="370" t="str">
        <f t="shared" si="315"/>
        <v>2020/21</v>
      </c>
      <c r="M337" s="370" t="str">
        <f t="shared" si="315"/>
        <v>2021/22</v>
      </c>
      <c r="N337" s="370" t="str">
        <f t="shared" si="315"/>
        <v>2022/23</v>
      </c>
      <c r="O337" s="370" t="str">
        <f t="shared" si="315"/>
        <v>2023/24</v>
      </c>
      <c r="P337" s="370" t="str">
        <f t="shared" si="315"/>
        <v>2024/25</v>
      </c>
      <c r="Q337" s="218" t="str">
        <f t="shared" si="315"/>
        <v>2025/26</v>
      </c>
      <c r="R337" s="549" t="str">
        <f t="shared" si="315"/>
        <v>2026/27</v>
      </c>
    </row>
    <row r="338" spans="1:18" x14ac:dyDescent="0.2">
      <c r="A338" s="107"/>
      <c r="B338" s="33"/>
      <c r="C338" s="33"/>
      <c r="D338" s="33"/>
      <c r="E338" s="658"/>
      <c r="F338" s="144" t="s">
        <v>1073</v>
      </c>
      <c r="G338" s="33"/>
      <c r="H338" s="138"/>
      <c r="I338" s="33"/>
      <c r="J338" s="33"/>
      <c r="K338" s="33"/>
      <c r="L338" s="33"/>
      <c r="M338" s="33"/>
      <c r="N338" s="33"/>
      <c r="O338" s="33"/>
      <c r="P338" s="33"/>
      <c r="Q338" s="33"/>
      <c r="R338" s="114"/>
    </row>
    <row r="339" spans="1:18" x14ac:dyDescent="0.2">
      <c r="A339" s="107"/>
      <c r="B339" s="33"/>
      <c r="C339" s="33"/>
      <c r="D339" s="33"/>
      <c r="E339" s="658"/>
      <c r="F339" s="1308" t="s">
        <v>3242</v>
      </c>
      <c r="G339" s="33"/>
      <c r="H339" s="138"/>
      <c r="I339" s="33"/>
      <c r="J339" s="33"/>
      <c r="K339" s="33"/>
      <c r="L339" s="33"/>
      <c r="M339" s="33"/>
      <c r="N339" s="33"/>
      <c r="O339" s="33"/>
      <c r="P339" s="33"/>
      <c r="Q339" s="33"/>
      <c r="R339" s="114"/>
    </row>
    <row r="340" spans="1:18" x14ac:dyDescent="0.2">
      <c r="A340" s="107">
        <v>500</v>
      </c>
      <c r="B340" s="132">
        <v>100</v>
      </c>
      <c r="C340" s="189">
        <v>4000</v>
      </c>
      <c r="D340" s="33">
        <v>8200</v>
      </c>
      <c r="E340" s="658" t="s">
        <v>1416</v>
      </c>
      <c r="F340" s="3" t="s">
        <v>516</v>
      </c>
      <c r="G340" s="187">
        <v>5000</v>
      </c>
      <c r="H340" s="138">
        <f>IF(D340=G340,0,IF(D340=0,100,(G340-D340)/D340*100))</f>
        <v>-39.024390243902438</v>
      </c>
      <c r="I340" s="33">
        <v>9000</v>
      </c>
      <c r="J340" s="33">
        <f>ROUNDUP(I340+(I340*Assumptions!I$5),-2)</f>
        <v>9300</v>
      </c>
      <c r="K340" s="33">
        <f>ROUNDUP(J340+(J340*Assumptions!J$5),-2)</f>
        <v>9600</v>
      </c>
      <c r="L340" s="33">
        <f>ROUNDUP(K340+(K340*Assumptions!K$5),-2)</f>
        <v>9900</v>
      </c>
      <c r="M340" s="33">
        <f>ROUNDUP(L340+(L340*Assumptions!L$5),-2)</f>
        <v>10100</v>
      </c>
      <c r="N340" s="33">
        <f>ROUNDUP(M340+(M340*Assumptions!M$5),-2)</f>
        <v>10400</v>
      </c>
      <c r="O340" s="33">
        <f>ROUNDUP(N340+(N340*Assumptions!N$5),-2)</f>
        <v>10700</v>
      </c>
      <c r="P340" s="33">
        <f>ROUNDUP(O340+(O340*Assumptions!O$5),-2)</f>
        <v>11000</v>
      </c>
      <c r="Q340" s="33">
        <f>ROUNDUP(P340+(P340*Assumptions!P$5),-2)</f>
        <v>11300</v>
      </c>
      <c r="R340" s="114">
        <f>ROUNDUP(Q340+(Q340*Assumptions!Q$5),-2)</f>
        <v>11600</v>
      </c>
    </row>
    <row r="341" spans="1:18" x14ac:dyDescent="0.2">
      <c r="A341" s="107">
        <v>67000</v>
      </c>
      <c r="B341" s="132">
        <v>70000</v>
      </c>
      <c r="C341" s="189">
        <v>103900</v>
      </c>
      <c r="D341" s="33">
        <v>117300</v>
      </c>
      <c r="E341" s="658" t="s">
        <v>320</v>
      </c>
      <c r="F341" s="3" t="s">
        <v>1505</v>
      </c>
      <c r="G341" s="187">
        <f>130000+1000</f>
        <v>131000</v>
      </c>
      <c r="H341" s="138">
        <f>IF(D341=G341,0,IF(D341=0,100,(G341-D341)/D341*100))</f>
        <v>11.679454390451834</v>
      </c>
      <c r="I341" s="33">
        <v>133000</v>
      </c>
      <c r="J341" s="33">
        <f>ROUNDUP(I341+(I341*Assumptions!I$5),-2)</f>
        <v>136400</v>
      </c>
      <c r="K341" s="33">
        <f>ROUNDUP(J341+(J341*Assumptions!J$5),-2)</f>
        <v>139900</v>
      </c>
      <c r="L341" s="33">
        <f>ROUNDUP(K341+(K341*Assumptions!K$5),-2)</f>
        <v>143400</v>
      </c>
      <c r="M341" s="33">
        <f>ROUNDUP(L341+(L341*Assumptions!L$5),-2)</f>
        <v>146300</v>
      </c>
      <c r="N341" s="33">
        <f>ROUNDUP(M341+(M341*Assumptions!M$5),-2)</f>
        <v>149300</v>
      </c>
      <c r="O341" s="33">
        <f>ROUNDUP(N341+(N341*Assumptions!N$5),-2)</f>
        <v>152300</v>
      </c>
      <c r="P341" s="33">
        <f>ROUNDUP(O341+(O341*Assumptions!O$5),-2)</f>
        <v>155400</v>
      </c>
      <c r="Q341" s="33">
        <f>ROUNDUP(P341+(P341*Assumptions!P$5),-2)</f>
        <v>158600</v>
      </c>
      <c r="R341" s="114">
        <f>ROUNDUP(Q341+(Q341*Assumptions!Q$5),-2)</f>
        <v>161800</v>
      </c>
    </row>
    <row r="342" spans="1:18" x14ac:dyDescent="0.2">
      <c r="A342" s="107">
        <v>10700</v>
      </c>
      <c r="B342" s="132">
        <v>7300</v>
      </c>
      <c r="C342" s="189">
        <v>0</v>
      </c>
      <c r="D342" s="33">
        <v>0</v>
      </c>
      <c r="E342" s="658" t="s">
        <v>864</v>
      </c>
      <c r="F342" s="890" t="s">
        <v>5559</v>
      </c>
      <c r="G342" s="187">
        <v>1000</v>
      </c>
      <c r="H342" s="138">
        <f>IF(D342=G342,0,IF(D342=0,100,(G342-D342)/D342*100))</f>
        <v>100</v>
      </c>
      <c r="I342" s="33">
        <v>1000</v>
      </c>
      <c r="J342" s="33">
        <f>ROUNDUP(I342+(I342*Assumptions!I$5),-2)</f>
        <v>1100</v>
      </c>
      <c r="K342" s="33">
        <f>ROUNDUP(J342+(J342*Assumptions!J$5),-2)</f>
        <v>1200</v>
      </c>
      <c r="L342" s="33">
        <f>ROUNDUP(K342+(K342*Assumptions!K$5),-2)</f>
        <v>1300</v>
      </c>
      <c r="M342" s="33">
        <f>ROUNDUP(L342+(L342*Assumptions!L$5),-2)</f>
        <v>1400</v>
      </c>
      <c r="N342" s="33">
        <f>ROUNDUP(M342+(M342*Assumptions!M$5),-2)</f>
        <v>1500</v>
      </c>
      <c r="O342" s="33">
        <f>ROUNDUP(N342+(N342*Assumptions!N$5),-2)</f>
        <v>1600</v>
      </c>
      <c r="P342" s="33">
        <f>ROUNDUP(O342+(O342*Assumptions!O$5),-2)</f>
        <v>1700</v>
      </c>
      <c r="Q342" s="33">
        <f>ROUNDUP(P342+(P342*Assumptions!P$5),-2)</f>
        <v>1800</v>
      </c>
      <c r="R342" s="114">
        <f>ROUNDUP(Q342+(Q342*Assumptions!Q$5),-2)</f>
        <v>1900</v>
      </c>
    </row>
    <row r="343" spans="1:18" x14ac:dyDescent="0.2">
      <c r="A343" s="107">
        <v>1500</v>
      </c>
      <c r="B343" s="132">
        <v>2000</v>
      </c>
      <c r="C343" s="189">
        <v>2000</v>
      </c>
      <c r="D343" s="33">
        <v>3100</v>
      </c>
      <c r="E343" s="658" t="s">
        <v>865</v>
      </c>
      <c r="F343" s="890" t="s">
        <v>5558</v>
      </c>
      <c r="G343" s="187">
        <v>2000</v>
      </c>
      <c r="H343" s="138">
        <f>IF(D343=G343,0,IF(D343=0,100,(G343-D343)/D343*100))</f>
        <v>-35.483870967741936</v>
      </c>
      <c r="I343" s="33">
        <v>2000</v>
      </c>
      <c r="J343" s="33">
        <f>ROUNDUP(I343+(I343*Assumptions!I$5),-2)</f>
        <v>2100</v>
      </c>
      <c r="K343" s="33">
        <f>ROUNDUP(J343+(J343*Assumptions!J$5),-2)</f>
        <v>2200</v>
      </c>
      <c r="L343" s="33">
        <f>ROUNDUP(K343+(K343*Assumptions!K$5),-2)</f>
        <v>2300</v>
      </c>
      <c r="M343" s="33">
        <f>ROUNDUP(L343+(L343*Assumptions!L$5),-2)</f>
        <v>2400</v>
      </c>
      <c r="N343" s="33">
        <f>ROUNDUP(M343+(M343*Assumptions!M$5),-2)</f>
        <v>2500</v>
      </c>
      <c r="O343" s="33">
        <f>ROUNDUP(N343+(N343*Assumptions!N$5),-2)</f>
        <v>2600</v>
      </c>
      <c r="P343" s="33">
        <f>ROUNDUP(O343+(O343*Assumptions!O$5),-2)</f>
        <v>2700</v>
      </c>
      <c r="Q343" s="33">
        <f>ROUNDUP(P343+(P343*Assumptions!P$5),-2)</f>
        <v>2800</v>
      </c>
      <c r="R343" s="114">
        <f>ROUNDUP(Q343+(Q343*Assumptions!Q$5),-2)</f>
        <v>2900</v>
      </c>
    </row>
    <row r="344" spans="1:18" x14ac:dyDescent="0.2">
      <c r="A344" s="107">
        <v>5800</v>
      </c>
      <c r="B344" s="132">
        <v>6000</v>
      </c>
      <c r="C344" s="33">
        <v>7000</v>
      </c>
      <c r="D344" s="33">
        <v>8900</v>
      </c>
      <c r="E344" s="658" t="s">
        <v>1951</v>
      </c>
      <c r="F344" s="3" t="s">
        <v>1952</v>
      </c>
      <c r="G344" s="33">
        <v>7000</v>
      </c>
      <c r="H344" s="138">
        <f t="shared" ref="H344:H353" si="316">IF(D344=G344,0,IF(D344=0,100,(G344-D344)/D344*100))</f>
        <v>-21.348314606741571</v>
      </c>
      <c r="I344" s="33">
        <v>8000</v>
      </c>
      <c r="J344" s="33">
        <f>ROUNDUP(I344+(I344*Assumptions!I$5),-2)</f>
        <v>8200</v>
      </c>
      <c r="K344" s="33">
        <f>ROUNDUP(J344+(J344*Assumptions!J$5),-2)</f>
        <v>8500</v>
      </c>
      <c r="L344" s="33">
        <f>ROUNDUP(K344+(K344*Assumptions!K$5),-2)</f>
        <v>8800</v>
      </c>
      <c r="M344" s="33">
        <f>ROUNDUP(L344+(L344*Assumptions!L$5),-2)</f>
        <v>9000</v>
      </c>
      <c r="N344" s="33">
        <f>ROUNDUP(M344+(M344*Assumptions!M$5),-2)</f>
        <v>9200</v>
      </c>
      <c r="O344" s="33">
        <f>ROUNDUP(N344+(N344*Assumptions!N$5),-2)</f>
        <v>9400</v>
      </c>
      <c r="P344" s="33">
        <f>ROUNDUP(O344+(O344*Assumptions!O$5),-2)</f>
        <v>9600</v>
      </c>
      <c r="Q344" s="33">
        <f>ROUNDUP(P344+(P344*Assumptions!P$5),-2)</f>
        <v>9800</v>
      </c>
      <c r="R344" s="114">
        <f>ROUNDUP(Q344+(Q344*Assumptions!Q$5),-2)</f>
        <v>10000</v>
      </c>
    </row>
    <row r="345" spans="1:18" x14ac:dyDescent="0.2">
      <c r="A345" s="107">
        <v>74300</v>
      </c>
      <c r="B345" s="132">
        <v>75500</v>
      </c>
      <c r="C345" s="33">
        <v>89700</v>
      </c>
      <c r="D345" s="33">
        <v>93700</v>
      </c>
      <c r="E345" s="658" t="s">
        <v>951</v>
      </c>
      <c r="F345" s="890" t="s">
        <v>4594</v>
      </c>
      <c r="G345" s="33">
        <v>95000</v>
      </c>
      <c r="H345" s="138">
        <f t="shared" si="316"/>
        <v>1.3874066168623265</v>
      </c>
      <c r="I345" s="33">
        <v>96000</v>
      </c>
      <c r="J345" s="33">
        <f>ROUNDUP(I345+(I345*Assumptions!I$5),-2)</f>
        <v>98400</v>
      </c>
      <c r="K345" s="33">
        <f>ROUNDUP(J345+(J345*Assumptions!J$5),-2)</f>
        <v>100900</v>
      </c>
      <c r="L345" s="33">
        <f>ROUNDUP(K345+(K345*Assumptions!K$5),-2)</f>
        <v>103500</v>
      </c>
      <c r="M345" s="33">
        <f>ROUNDUP(L345+(L345*Assumptions!L$5),-2)</f>
        <v>105600</v>
      </c>
      <c r="N345" s="33">
        <f>ROUNDUP(M345+(M345*Assumptions!M$5),-2)</f>
        <v>107800</v>
      </c>
      <c r="O345" s="33">
        <f>ROUNDUP(N345+(N345*Assumptions!N$5),-2)</f>
        <v>110000</v>
      </c>
      <c r="P345" s="33">
        <f>ROUNDUP(O345+(O345*Assumptions!O$5),-2)</f>
        <v>112200</v>
      </c>
      <c r="Q345" s="33">
        <f>ROUNDUP(P345+(P345*Assumptions!P$5),-2)</f>
        <v>114500</v>
      </c>
      <c r="R345" s="114">
        <f>ROUNDUP(Q345+(Q345*Assumptions!Q$5),-2)</f>
        <v>116800</v>
      </c>
    </row>
    <row r="346" spans="1:18" x14ac:dyDescent="0.2">
      <c r="A346" s="107">
        <v>7500</v>
      </c>
      <c r="B346" s="132">
        <v>7600</v>
      </c>
      <c r="C346" s="33">
        <v>7600</v>
      </c>
      <c r="D346" s="33">
        <f>8000+2000+1000</f>
        <v>11000</v>
      </c>
      <c r="E346" s="658" t="s">
        <v>375</v>
      </c>
      <c r="F346" s="890" t="s">
        <v>4595</v>
      </c>
      <c r="G346" s="33">
        <f>8000+1000</f>
        <v>9000</v>
      </c>
      <c r="H346" s="138">
        <f t="shared" si="316"/>
        <v>-18.181818181818183</v>
      </c>
      <c r="I346" s="33">
        <v>11000</v>
      </c>
      <c r="J346" s="33">
        <f>ROUNDUP(I346+(I346*Assumptions!I$5),-2)</f>
        <v>11300</v>
      </c>
      <c r="K346" s="33">
        <f>ROUNDUP(J346+(J346*Assumptions!J$5),-2)</f>
        <v>11600</v>
      </c>
      <c r="L346" s="33">
        <f>ROUNDUP(K346+(K346*Assumptions!K$5),-2)</f>
        <v>11900</v>
      </c>
      <c r="M346" s="33">
        <f>ROUNDUP(L346+(L346*Assumptions!L$5),-2)</f>
        <v>12200</v>
      </c>
      <c r="N346" s="33">
        <f>ROUNDUP(M346+(M346*Assumptions!M$5),-2)</f>
        <v>12500</v>
      </c>
      <c r="O346" s="33">
        <f>ROUNDUP(N346+(N346*Assumptions!N$5),-2)</f>
        <v>12800</v>
      </c>
      <c r="P346" s="33">
        <f>ROUNDUP(O346+(O346*Assumptions!O$5),-2)</f>
        <v>13100</v>
      </c>
      <c r="Q346" s="33">
        <f>ROUNDUP(P346+(P346*Assumptions!P$5),-2)</f>
        <v>13400</v>
      </c>
      <c r="R346" s="114">
        <f>ROUNDUP(Q346+(Q346*Assumptions!Q$5),-2)</f>
        <v>13700</v>
      </c>
    </row>
    <row r="347" spans="1:18" x14ac:dyDescent="0.2">
      <c r="A347" s="107">
        <v>1600</v>
      </c>
      <c r="B347" s="132">
        <v>100</v>
      </c>
      <c r="C347" s="33">
        <v>3300</v>
      </c>
      <c r="D347" s="33">
        <v>300</v>
      </c>
      <c r="E347" s="658" t="s">
        <v>376</v>
      </c>
      <c r="F347" s="3" t="s">
        <v>1260</v>
      </c>
      <c r="G347" s="33">
        <f>15000-5000</f>
        <v>10000</v>
      </c>
      <c r="H347" s="138">
        <f t="shared" si="316"/>
        <v>3233.3333333333335</v>
      </c>
      <c r="I347" s="33">
        <v>1000</v>
      </c>
      <c r="J347" s="33">
        <f>ROUNDUP(I347+(I347*Assumptions!I$5),-2)</f>
        <v>1100</v>
      </c>
      <c r="K347" s="33">
        <f>ROUNDUP(J347+(J347*Assumptions!J$5),-2)</f>
        <v>1200</v>
      </c>
      <c r="L347" s="33">
        <f>ROUNDUP(K347+(K347*Assumptions!K$5),-2)</f>
        <v>1300</v>
      </c>
      <c r="M347" s="33">
        <f>ROUNDUP(L347+(L347*Assumptions!L$5),-2)</f>
        <v>1400</v>
      </c>
      <c r="N347" s="33">
        <f>ROUNDUP(M347+(M347*Assumptions!M$5),-2)</f>
        <v>1500</v>
      </c>
      <c r="O347" s="33">
        <f>ROUNDUP(N347+(N347*Assumptions!N$5),-2)</f>
        <v>1600</v>
      </c>
      <c r="P347" s="33">
        <f>ROUNDUP(O347+(O347*Assumptions!O$5),-2)</f>
        <v>1700</v>
      </c>
      <c r="Q347" s="33">
        <f>ROUNDUP(P347+(P347*Assumptions!P$5),-2)</f>
        <v>1800</v>
      </c>
      <c r="R347" s="114">
        <f>ROUNDUP(Q347+(Q347*Assumptions!Q$5),-2)</f>
        <v>1900</v>
      </c>
    </row>
    <row r="348" spans="1:18" x14ac:dyDescent="0.2">
      <c r="A348" s="107">
        <v>600</v>
      </c>
      <c r="B348" s="132">
        <v>2200</v>
      </c>
      <c r="C348" s="33">
        <v>800</v>
      </c>
      <c r="D348" s="33">
        <v>1200</v>
      </c>
      <c r="E348" s="658" t="s">
        <v>377</v>
      </c>
      <c r="F348" s="3" t="s">
        <v>1075</v>
      </c>
      <c r="G348" s="33">
        <v>1000</v>
      </c>
      <c r="H348" s="138">
        <f t="shared" si="316"/>
        <v>-16.666666666666664</v>
      </c>
      <c r="I348" s="33">
        <v>1000</v>
      </c>
      <c r="J348" s="33">
        <f>ROUNDUP(I348+(I348*Assumptions!I$5),-2)</f>
        <v>1100</v>
      </c>
      <c r="K348" s="33">
        <f>ROUNDUP(J348+(J348*Assumptions!J$5),-2)</f>
        <v>1200</v>
      </c>
      <c r="L348" s="33">
        <f>ROUNDUP(K348+(K348*Assumptions!K$5),-2)</f>
        <v>1300</v>
      </c>
      <c r="M348" s="33">
        <f>ROUNDUP(L348+(L348*Assumptions!L$5),-2)</f>
        <v>1400</v>
      </c>
      <c r="N348" s="33">
        <f>ROUNDUP(M348+(M348*Assumptions!M$5),-2)</f>
        <v>1500</v>
      </c>
      <c r="O348" s="33">
        <f>ROUNDUP(N348+(N348*Assumptions!N$5),-2)</f>
        <v>1600</v>
      </c>
      <c r="P348" s="33">
        <f>ROUNDUP(O348+(O348*Assumptions!O$5),-2)</f>
        <v>1700</v>
      </c>
      <c r="Q348" s="33">
        <f>ROUNDUP(P348+(P348*Assumptions!P$5),-2)</f>
        <v>1800</v>
      </c>
      <c r="R348" s="114">
        <f>ROUNDUP(Q348+(Q348*Assumptions!Q$5),-2)</f>
        <v>1900</v>
      </c>
    </row>
    <row r="349" spans="1:18" x14ac:dyDescent="0.2">
      <c r="A349" s="107">
        <v>600</v>
      </c>
      <c r="B349" s="132">
        <v>600</v>
      </c>
      <c r="C349" s="33">
        <v>800</v>
      </c>
      <c r="D349" s="33">
        <v>700</v>
      </c>
      <c r="E349" s="658" t="s">
        <v>1415</v>
      </c>
      <c r="F349" s="3" t="s">
        <v>1669</v>
      </c>
      <c r="G349" s="33">
        <v>800</v>
      </c>
      <c r="H349" s="138">
        <f t="shared" si="316"/>
        <v>14.285714285714285</v>
      </c>
      <c r="I349" s="33">
        <v>1000</v>
      </c>
      <c r="J349" s="33">
        <f>ROUNDUP(I349+(I349*Assumptions!I$5),-2)</f>
        <v>1100</v>
      </c>
      <c r="K349" s="33">
        <f>ROUNDUP(J349+(J349*Assumptions!J$5),-2)</f>
        <v>1200</v>
      </c>
      <c r="L349" s="33">
        <f>ROUNDUP(K349+(K349*Assumptions!K$5),-2)</f>
        <v>1300</v>
      </c>
      <c r="M349" s="33">
        <f>ROUNDUP(L349+(L349*Assumptions!L$5),-2)</f>
        <v>1400</v>
      </c>
      <c r="N349" s="33">
        <f>ROUNDUP(M349+(M349*Assumptions!M$5),-2)</f>
        <v>1500</v>
      </c>
      <c r="O349" s="33">
        <f>ROUNDUP(N349+(N349*Assumptions!N$5),-2)</f>
        <v>1600</v>
      </c>
      <c r="P349" s="33">
        <f>ROUNDUP(O349+(O349*Assumptions!O$5),-2)</f>
        <v>1700</v>
      </c>
      <c r="Q349" s="33">
        <f>ROUNDUP(P349+(P349*Assumptions!P$5),-2)</f>
        <v>1800</v>
      </c>
      <c r="R349" s="114">
        <f>ROUNDUP(Q349+(Q349*Assumptions!Q$5),-2)</f>
        <v>1900</v>
      </c>
    </row>
    <row r="350" spans="1:18" x14ac:dyDescent="0.2">
      <c r="A350" s="107">
        <v>-900</v>
      </c>
      <c r="B350" s="132">
        <v>1000</v>
      </c>
      <c r="C350" s="33">
        <v>8600</v>
      </c>
      <c r="D350" s="33">
        <v>5400</v>
      </c>
      <c r="E350" s="658" t="s">
        <v>1946</v>
      </c>
      <c r="F350" s="3" t="s">
        <v>1261</v>
      </c>
      <c r="G350" s="33">
        <v>4500</v>
      </c>
      <c r="H350" s="138">
        <f t="shared" si="316"/>
        <v>-16.666666666666664</v>
      </c>
      <c r="I350" s="33">
        <v>4000</v>
      </c>
      <c r="J350" s="33">
        <f>ROUNDUP(I350+(I350*Assumptions!I$5),-2)</f>
        <v>4100</v>
      </c>
      <c r="K350" s="33">
        <f>ROUNDUP(J350+(J350*Assumptions!J$5),-2)</f>
        <v>4300</v>
      </c>
      <c r="L350" s="33">
        <f>ROUNDUP(K350+(K350*Assumptions!K$5),-2)</f>
        <v>4500</v>
      </c>
      <c r="M350" s="33">
        <f>ROUNDUP(L350+(L350*Assumptions!L$5),-2)</f>
        <v>4600</v>
      </c>
      <c r="N350" s="33">
        <f>ROUNDUP(M350+(M350*Assumptions!M$5),-2)</f>
        <v>4700</v>
      </c>
      <c r="O350" s="33">
        <f>ROUNDUP(N350+(N350*Assumptions!N$5),-2)</f>
        <v>4800</v>
      </c>
      <c r="P350" s="33">
        <f>ROUNDUP(O350+(O350*Assumptions!O$5),-2)</f>
        <v>4900</v>
      </c>
      <c r="Q350" s="33">
        <f>ROUNDUP(P350+(P350*Assumptions!P$5),-2)</f>
        <v>5000</v>
      </c>
      <c r="R350" s="114">
        <f>ROUNDUP(Q350+(Q350*Assumptions!Q$5),-2)</f>
        <v>5100</v>
      </c>
    </row>
    <row r="351" spans="1:18" x14ac:dyDescent="0.2">
      <c r="A351" s="107">
        <v>2700</v>
      </c>
      <c r="B351" s="132">
        <v>3400</v>
      </c>
      <c r="C351" s="33">
        <v>4400</v>
      </c>
      <c r="D351" s="33">
        <v>5400</v>
      </c>
      <c r="E351" s="658" t="s">
        <v>450</v>
      </c>
      <c r="F351" s="3" t="s">
        <v>2141</v>
      </c>
      <c r="G351" s="132">
        <f>3000+1000</f>
        <v>4000</v>
      </c>
      <c r="H351" s="138">
        <f t="shared" si="316"/>
        <v>-25.925925925925924</v>
      </c>
      <c r="I351" s="33">
        <v>5000</v>
      </c>
      <c r="J351" s="33">
        <f>ROUNDUP(I351+(I351*Assumptions!I$5),-2)</f>
        <v>5200</v>
      </c>
      <c r="K351" s="33">
        <f>ROUNDUP(J351+(J351*Assumptions!J$5),-2)</f>
        <v>5400</v>
      </c>
      <c r="L351" s="33">
        <f>ROUNDUP(K351+(K351*Assumptions!K$5),-2)</f>
        <v>5600</v>
      </c>
      <c r="M351" s="33">
        <f>ROUNDUP(L351+(L351*Assumptions!L$5),-2)</f>
        <v>5800</v>
      </c>
      <c r="N351" s="33">
        <f>ROUNDUP(M351+(M351*Assumptions!M$5),-2)</f>
        <v>6000</v>
      </c>
      <c r="O351" s="33">
        <f>ROUNDUP(N351+(N351*Assumptions!N$5),-2)</f>
        <v>6200</v>
      </c>
      <c r="P351" s="33">
        <f>ROUNDUP(O351+(O351*Assumptions!O$5),-2)</f>
        <v>6400</v>
      </c>
      <c r="Q351" s="33">
        <f>ROUNDUP(P351+(P351*Assumptions!P$5),-2)</f>
        <v>6600</v>
      </c>
      <c r="R351" s="114">
        <f>ROUNDUP(Q351+(Q351*Assumptions!Q$5),-2)</f>
        <v>6800</v>
      </c>
    </row>
    <row r="352" spans="1:18" x14ac:dyDescent="0.2">
      <c r="A352" s="107">
        <v>2700</v>
      </c>
      <c r="B352" s="132">
        <f>6000+1200</f>
        <v>7200</v>
      </c>
      <c r="C352" s="33">
        <v>3800</v>
      </c>
      <c r="D352" s="33">
        <v>3400</v>
      </c>
      <c r="E352" s="658" t="s">
        <v>449</v>
      </c>
      <c r="F352" s="3" t="s">
        <v>492</v>
      </c>
      <c r="G352" s="33">
        <v>3000</v>
      </c>
      <c r="H352" s="138">
        <f t="shared" si="316"/>
        <v>-11.76470588235294</v>
      </c>
      <c r="I352" s="33">
        <v>3000</v>
      </c>
      <c r="J352" s="33">
        <f>ROUNDUP(I352+(I352*Assumptions!I$5),-2)</f>
        <v>3100</v>
      </c>
      <c r="K352" s="33">
        <f>ROUNDUP(J352+(J352*Assumptions!J$5),-2)</f>
        <v>3200</v>
      </c>
      <c r="L352" s="33">
        <f>ROUNDUP(K352+(K352*Assumptions!K$5),-2)</f>
        <v>3300</v>
      </c>
      <c r="M352" s="33">
        <f>ROUNDUP(L352+(L352*Assumptions!L$5),-2)</f>
        <v>3400</v>
      </c>
      <c r="N352" s="33">
        <f>ROUNDUP(M352+(M352*Assumptions!M$5),-2)</f>
        <v>3500</v>
      </c>
      <c r="O352" s="33">
        <f>ROUNDUP(N352+(N352*Assumptions!N$5),-2)</f>
        <v>3600</v>
      </c>
      <c r="P352" s="33">
        <f>ROUNDUP(O352+(O352*Assumptions!O$5),-2)</f>
        <v>3700</v>
      </c>
      <c r="Q352" s="33">
        <f>ROUNDUP(P352+(P352*Assumptions!P$5),-2)</f>
        <v>3800</v>
      </c>
      <c r="R352" s="114">
        <f>ROUNDUP(Q352+(Q352*Assumptions!Q$5),-2)</f>
        <v>3900</v>
      </c>
    </row>
    <row r="353" spans="1:18" x14ac:dyDescent="0.2">
      <c r="A353" s="107">
        <v>2600</v>
      </c>
      <c r="B353" s="132">
        <v>1100</v>
      </c>
      <c r="C353" s="33">
        <v>800</v>
      </c>
      <c r="D353" s="33">
        <v>1200</v>
      </c>
      <c r="E353" s="658" t="s">
        <v>2562</v>
      </c>
      <c r="F353" s="3" t="s">
        <v>867</v>
      </c>
      <c r="G353" s="33">
        <v>2000</v>
      </c>
      <c r="H353" s="138">
        <f t="shared" si="316"/>
        <v>66.666666666666657</v>
      </c>
      <c r="I353" s="33">
        <v>2000</v>
      </c>
      <c r="J353" s="33">
        <f>ROUNDUP(I353+(I353*Assumptions!I$5),-2)</f>
        <v>2100</v>
      </c>
      <c r="K353" s="33">
        <f>ROUNDUP(J353+(J353*Assumptions!J$5),-2)</f>
        <v>2200</v>
      </c>
      <c r="L353" s="33">
        <f>ROUNDUP(K353+(K353*Assumptions!K$5),-2)</f>
        <v>2300</v>
      </c>
      <c r="M353" s="33">
        <f>ROUNDUP(L353+(L353*Assumptions!L$5),-2)</f>
        <v>2400</v>
      </c>
      <c r="N353" s="33">
        <f>ROUNDUP(M353+(M353*Assumptions!M$5),-2)</f>
        <v>2500</v>
      </c>
      <c r="O353" s="33">
        <f>ROUNDUP(N353+(N353*Assumptions!N$5),-2)</f>
        <v>2600</v>
      </c>
      <c r="P353" s="33">
        <f>ROUNDUP(O353+(O353*Assumptions!O$5),-2)</f>
        <v>2700</v>
      </c>
      <c r="Q353" s="33">
        <f>ROUNDUP(P353+(P353*Assumptions!P$5),-2)</f>
        <v>2800</v>
      </c>
      <c r="R353" s="114">
        <f>ROUNDUP(Q353+(Q353*Assumptions!Q$5),-2)</f>
        <v>2900</v>
      </c>
    </row>
    <row r="354" spans="1:18" x14ac:dyDescent="0.2">
      <c r="A354" s="107"/>
      <c r="B354" s="132"/>
      <c r="C354" s="33"/>
      <c r="D354" s="33"/>
      <c r="E354" s="658"/>
      <c r="F354" s="8" t="s">
        <v>687</v>
      </c>
      <c r="G354" s="33"/>
      <c r="H354" s="138"/>
      <c r="I354" s="33"/>
      <c r="J354" s="33"/>
      <c r="K354" s="33"/>
      <c r="L354" s="33"/>
      <c r="M354" s="33"/>
      <c r="N354" s="33"/>
      <c r="O354" s="33"/>
      <c r="P354" s="33"/>
      <c r="Q354" s="33"/>
      <c r="R354" s="114"/>
    </row>
    <row r="355" spans="1:18" x14ac:dyDescent="0.2">
      <c r="A355" s="107">
        <v>0</v>
      </c>
      <c r="B355" s="132">
        <v>0</v>
      </c>
      <c r="C355" s="33">
        <v>0</v>
      </c>
      <c r="D355" s="33">
        <v>0</v>
      </c>
      <c r="E355" s="1092"/>
      <c r="F355" s="890" t="s">
        <v>6117</v>
      </c>
      <c r="G355" s="33">
        <v>0</v>
      </c>
      <c r="H355" s="138">
        <f>IF(D355=G355,0,IF(D355=0,100,(G355-D355)/D355*100))</f>
        <v>0</v>
      </c>
      <c r="I355" s="33">
        <v>0</v>
      </c>
      <c r="J355" s="33">
        <v>0</v>
      </c>
      <c r="K355" s="33">
        <v>0</v>
      </c>
      <c r="L355" s="33">
        <v>0</v>
      </c>
      <c r="M355" s="33">
        <v>0</v>
      </c>
      <c r="N355" s="33">
        <v>0</v>
      </c>
      <c r="O355" s="33">
        <v>0</v>
      </c>
      <c r="P355" s="33">
        <v>0</v>
      </c>
      <c r="Q355" s="33">
        <v>0</v>
      </c>
      <c r="R355" s="114">
        <v>0</v>
      </c>
    </row>
    <row r="356" spans="1:18" x14ac:dyDescent="0.2">
      <c r="A356" s="107"/>
      <c r="B356" s="132"/>
      <c r="C356" s="33"/>
      <c r="D356" s="33"/>
      <c r="E356" s="658"/>
      <c r="F356" s="6" t="s">
        <v>428</v>
      </c>
      <c r="G356" s="33"/>
      <c r="H356" s="138"/>
      <c r="I356" s="33"/>
      <c r="J356" s="33"/>
      <c r="K356" s="33"/>
      <c r="L356" s="33"/>
      <c r="M356" s="33"/>
      <c r="N356" s="33"/>
      <c r="O356" s="33"/>
      <c r="P356" s="33"/>
      <c r="Q356" s="33"/>
      <c r="R356" s="114"/>
    </row>
    <row r="357" spans="1:18" x14ac:dyDescent="0.2">
      <c r="A357" s="107">
        <v>10700</v>
      </c>
      <c r="B357" s="132">
        <v>700</v>
      </c>
      <c r="C357" s="33">
        <v>1400</v>
      </c>
      <c r="D357" s="33">
        <v>2600</v>
      </c>
      <c r="E357" s="658" t="s">
        <v>1136</v>
      </c>
      <c r="F357" s="355" t="s">
        <v>1876</v>
      </c>
      <c r="G357" s="33">
        <v>4000</v>
      </c>
      <c r="H357" s="138">
        <f>IF(D357=G357,0,IF(D357=0,100,(G357-D357)/D357*100))</f>
        <v>53.846153846153847</v>
      </c>
      <c r="I357" s="33">
        <v>3000</v>
      </c>
      <c r="J357" s="33">
        <f>ROUNDUP(I357+(I357*Assumptions!I$5),-2)</f>
        <v>3100</v>
      </c>
      <c r="K357" s="33">
        <f>ROUNDUP(J357+(J357*Assumptions!J$5),-2)</f>
        <v>3200</v>
      </c>
      <c r="L357" s="33">
        <f>ROUNDUP(K357+(K357*Assumptions!K$5),-2)</f>
        <v>3300</v>
      </c>
      <c r="M357" s="33">
        <f>ROUNDUP(L357+(L357*Assumptions!L$5),-2)</f>
        <v>3400</v>
      </c>
      <c r="N357" s="33">
        <f>ROUNDUP(M357+(M357*Assumptions!M$5),-2)</f>
        <v>3500</v>
      </c>
      <c r="O357" s="33">
        <f>ROUNDUP(N357+(N357*Assumptions!N$5),-2)</f>
        <v>3600</v>
      </c>
      <c r="P357" s="33">
        <f>ROUNDUP(O357+(O357*Assumptions!O$5),-2)</f>
        <v>3700</v>
      </c>
      <c r="Q357" s="33">
        <f>ROUNDUP(P357+(P357*Assumptions!P$5),-2)</f>
        <v>3800</v>
      </c>
      <c r="R357" s="114">
        <f>ROUNDUP(Q357+(Q357*Assumptions!Q$5),-2)</f>
        <v>3900</v>
      </c>
    </row>
    <row r="358" spans="1:18" ht="13.5" thickBot="1" x14ac:dyDescent="0.25">
      <c r="A358" s="70"/>
      <c r="B358" s="64"/>
      <c r="C358" s="64"/>
      <c r="D358" s="64"/>
      <c r="E358" s="658"/>
      <c r="F358" s="74"/>
      <c r="G358" s="64"/>
      <c r="H358" s="179"/>
      <c r="I358" s="33"/>
      <c r="J358" s="33"/>
      <c r="K358" s="33"/>
      <c r="L358" s="33"/>
      <c r="M358" s="33"/>
      <c r="N358" s="33"/>
      <c r="O358" s="33"/>
      <c r="P358" s="33"/>
      <c r="Q358" s="33"/>
      <c r="R358" s="114"/>
    </row>
    <row r="359" spans="1:18" x14ac:dyDescent="0.2">
      <c r="A359" s="105">
        <f>SUM(A339:A358)</f>
        <v>187900</v>
      </c>
      <c r="B359" s="53">
        <f>SUM(B339:B358)</f>
        <v>184800</v>
      </c>
      <c r="C359" s="53">
        <f>SUM(C339:C358)</f>
        <v>238100</v>
      </c>
      <c r="D359" s="53">
        <f>SUM(D339:D358)</f>
        <v>262400</v>
      </c>
      <c r="E359" s="658"/>
      <c r="F359" s="112" t="s">
        <v>2605</v>
      </c>
      <c r="G359" s="53">
        <f>SUM(G339:G358)</f>
        <v>279300</v>
      </c>
      <c r="H359" s="180">
        <f>IF(D359=G359,0,IF(D359=0,100,(G359-D359)/D359*100))</f>
        <v>6.4405487804878048</v>
      </c>
      <c r="I359" s="53">
        <f t="shared" ref="I359:R359" si="317">SUM(I339:I358)</f>
        <v>280000</v>
      </c>
      <c r="J359" s="53">
        <f t="shared" si="317"/>
        <v>287700</v>
      </c>
      <c r="K359" s="53">
        <f t="shared" si="317"/>
        <v>295800</v>
      </c>
      <c r="L359" s="53">
        <f t="shared" si="317"/>
        <v>304000</v>
      </c>
      <c r="M359" s="53">
        <f t="shared" si="317"/>
        <v>310800</v>
      </c>
      <c r="N359" s="53">
        <f t="shared" si="317"/>
        <v>317900</v>
      </c>
      <c r="O359" s="53">
        <f t="shared" si="317"/>
        <v>325000</v>
      </c>
      <c r="P359" s="53">
        <f t="shared" si="317"/>
        <v>332200</v>
      </c>
      <c r="Q359" s="53">
        <f t="shared" si="317"/>
        <v>339600</v>
      </c>
      <c r="R359" s="113">
        <f t="shared" si="317"/>
        <v>347000</v>
      </c>
    </row>
    <row r="360" spans="1:18" x14ac:dyDescent="0.2">
      <c r="A360" s="107"/>
      <c r="B360" s="33"/>
      <c r="C360" s="33"/>
      <c r="D360" s="33"/>
      <c r="E360" s="658"/>
      <c r="F360" s="144" t="s">
        <v>2205</v>
      </c>
      <c r="G360" s="33"/>
      <c r="H360" s="138"/>
      <c r="I360" s="33"/>
      <c r="J360" s="33"/>
      <c r="K360" s="33"/>
      <c r="L360" s="33"/>
      <c r="M360" s="33"/>
      <c r="N360" s="33"/>
      <c r="O360" s="33"/>
      <c r="P360" s="33"/>
      <c r="Q360" s="33"/>
      <c r="R360" s="114"/>
    </row>
    <row r="361" spans="1:18" x14ac:dyDescent="0.2">
      <c r="A361" s="107"/>
      <c r="B361" s="33"/>
      <c r="C361" s="33"/>
      <c r="D361" s="33"/>
      <c r="E361" s="658"/>
      <c r="F361" s="74" t="s">
        <v>677</v>
      </c>
      <c r="G361" s="33"/>
      <c r="H361" s="138"/>
      <c r="I361" s="33"/>
      <c r="J361" s="33"/>
      <c r="K361" s="33"/>
      <c r="L361" s="33"/>
      <c r="M361" s="33"/>
      <c r="N361" s="33"/>
      <c r="O361" s="33"/>
      <c r="P361" s="33"/>
      <c r="Q361" s="33"/>
      <c r="R361" s="114"/>
    </row>
    <row r="362" spans="1:18" x14ac:dyDescent="0.2">
      <c r="A362" s="107">
        <v>570485</v>
      </c>
      <c r="B362" s="132">
        <v>573000</v>
      </c>
      <c r="C362" s="33">
        <v>504800</v>
      </c>
      <c r="D362" s="33">
        <v>674500</v>
      </c>
      <c r="E362" s="658" t="s">
        <v>451</v>
      </c>
      <c r="F362" s="3" t="s">
        <v>1341</v>
      </c>
      <c r="G362" s="33">
        <v>702000</v>
      </c>
      <c r="H362" s="138">
        <f>IF(D362=G362,0,IF(D362=0,100,(G362-D362)/D362*100))</f>
        <v>4.0770941438102293</v>
      </c>
      <c r="I362" s="33">
        <f>ROUND(G362*Assumptions!H$13+DEH!G362,-2)</f>
        <v>716000</v>
      </c>
      <c r="J362" s="33">
        <f>ROUND(I362*Assumptions!I$13+DEH!I362,-2)</f>
        <v>733900</v>
      </c>
      <c r="K362" s="33">
        <f>ROUND(J362*Assumptions!J$13+DEH!J362,-2)</f>
        <v>752200</v>
      </c>
      <c r="L362" s="33">
        <f>ROUND(K362*Assumptions!K$13+DEH!K362,-2)</f>
        <v>771000</v>
      </c>
      <c r="M362" s="33">
        <f>ROUND(L362*Assumptions!L$13+DEH!L362,-2)</f>
        <v>790300</v>
      </c>
      <c r="N362" s="33">
        <f>ROUND(M362*Assumptions!M$13+DEH!M362,-2)</f>
        <v>810100</v>
      </c>
      <c r="O362" s="33">
        <f>ROUND(N362*Assumptions!N$13+DEH!N362,-2)</f>
        <v>830400</v>
      </c>
      <c r="P362" s="33">
        <f>ROUND(O362*Assumptions!O$13+DEH!O362,-2)</f>
        <v>851200</v>
      </c>
      <c r="Q362" s="33">
        <f>ROUND(P362*Assumptions!P$13+DEH!P362,-2)</f>
        <v>872500</v>
      </c>
      <c r="R362" s="114">
        <f>ROUND(Q362*Assumptions!Q$13+DEH!Q362,-2)</f>
        <v>894300</v>
      </c>
    </row>
    <row r="363" spans="1:18" x14ac:dyDescent="0.2">
      <c r="A363" s="107">
        <v>905</v>
      </c>
      <c r="B363" s="132">
        <v>2100</v>
      </c>
      <c r="C363" s="33">
        <v>3100</v>
      </c>
      <c r="D363" s="33">
        <v>2900</v>
      </c>
      <c r="E363" s="658" t="s">
        <v>2552</v>
      </c>
      <c r="F363" s="3" t="s">
        <v>1921</v>
      </c>
      <c r="G363" s="33">
        <v>3400</v>
      </c>
      <c r="H363" s="138">
        <f>IF(D363=G363,0,IF(D363=0,100,(G363-D363)/D363*100))</f>
        <v>17.241379310344829</v>
      </c>
      <c r="I363" s="33">
        <f>ROUNDUP(G363+(G363*Assumptions!H$5),-2)</f>
        <v>3500</v>
      </c>
      <c r="J363" s="33">
        <f>ROUNDUP(I363+(I363*Assumptions!I$5),-2)</f>
        <v>3600</v>
      </c>
      <c r="K363" s="33">
        <f>ROUNDUP(J363+(J363*Assumptions!J$5),-2)</f>
        <v>3700</v>
      </c>
      <c r="L363" s="33">
        <f>ROUNDUP(K363+(K363*Assumptions!K$5),-2)</f>
        <v>3800</v>
      </c>
      <c r="M363" s="33">
        <f>ROUNDUP(L363+(L363*Assumptions!L$5),-2)</f>
        <v>3900</v>
      </c>
      <c r="N363" s="33">
        <f>ROUNDUP(M363+(M363*Assumptions!M$5),-2)</f>
        <v>4000</v>
      </c>
      <c r="O363" s="33">
        <f>ROUNDUP(N363+(N363*Assumptions!N$5),-2)</f>
        <v>4100</v>
      </c>
      <c r="P363" s="33">
        <f>ROUNDUP(O363+(O363*Assumptions!O$5),-2)</f>
        <v>4200</v>
      </c>
      <c r="Q363" s="33">
        <f>ROUNDUP(P363+(P363*Assumptions!P$5),-2)</f>
        <v>4300</v>
      </c>
      <c r="R363" s="114">
        <f>ROUNDUP(Q363+(Q363*Assumptions!Q$5),-2)</f>
        <v>4400</v>
      </c>
    </row>
    <row r="364" spans="1:18" x14ac:dyDescent="0.2">
      <c r="A364" s="107">
        <v>38196</v>
      </c>
      <c r="B364" s="132">
        <v>33500</v>
      </c>
      <c r="C364" s="33">
        <v>34600</v>
      </c>
      <c r="D364" s="33">
        <v>34600</v>
      </c>
      <c r="E364" s="658" t="s">
        <v>1967</v>
      </c>
      <c r="F364" s="3" t="s">
        <v>534</v>
      </c>
      <c r="G364" s="33">
        <v>37000</v>
      </c>
      <c r="H364" s="138">
        <f>IF(D364=G364,0,IF(D364=0,100,(G364-D364)/D364*100))</f>
        <v>6.9364161849710975</v>
      </c>
      <c r="I364" s="33">
        <f>ROUNDUP(G364+(G364*Assumptions!H$5),-2)</f>
        <v>37600</v>
      </c>
      <c r="J364" s="33">
        <f>ROUNDUP(I364+(I364*Assumptions!I$5),-2)</f>
        <v>38600</v>
      </c>
      <c r="K364" s="33">
        <f>ROUNDUP(J364+(J364*Assumptions!J$5),-2)</f>
        <v>39600</v>
      </c>
      <c r="L364" s="33">
        <f>ROUNDUP(K364+(K364*Assumptions!K$5),-2)</f>
        <v>40600</v>
      </c>
      <c r="M364" s="33">
        <f>ROUNDUP(L364+(L364*Assumptions!L$5),-2)</f>
        <v>41500</v>
      </c>
      <c r="N364" s="33">
        <f>ROUNDUP(M364+(M364*Assumptions!M$5),-2)</f>
        <v>42400</v>
      </c>
      <c r="O364" s="33">
        <f>ROUNDUP(N364+(N364*Assumptions!N$5),-2)</f>
        <v>43300</v>
      </c>
      <c r="P364" s="33">
        <f>ROUNDUP(O364+(O364*Assumptions!O$5),-2)</f>
        <v>44200</v>
      </c>
      <c r="Q364" s="33">
        <f>ROUNDUP(P364+(P364*Assumptions!P$5),-2)</f>
        <v>45100</v>
      </c>
      <c r="R364" s="114">
        <f>ROUNDUP(Q364+(Q364*Assumptions!Q$5),-2)</f>
        <v>46100</v>
      </c>
    </row>
    <row r="365" spans="1:18" x14ac:dyDescent="0.2">
      <c r="A365" s="107"/>
      <c r="B365" s="132"/>
      <c r="C365" s="33"/>
      <c r="D365" s="33"/>
      <c r="E365" s="658"/>
      <c r="F365" s="6" t="s">
        <v>2558</v>
      </c>
      <c r="G365" s="33"/>
      <c r="H365" s="138"/>
      <c r="I365" s="33"/>
      <c r="J365" s="33"/>
      <c r="K365" s="33"/>
      <c r="L365" s="33"/>
      <c r="M365" s="33"/>
      <c r="N365" s="33"/>
      <c r="O365" s="33"/>
      <c r="P365" s="33"/>
      <c r="Q365" s="33"/>
      <c r="R365" s="114"/>
    </row>
    <row r="366" spans="1:18" x14ac:dyDescent="0.2">
      <c r="A366" s="107">
        <v>6528</v>
      </c>
      <c r="B366" s="132">
        <v>8200</v>
      </c>
      <c r="C366" s="33">
        <v>10700</v>
      </c>
      <c r="D366" s="33">
        <v>9800</v>
      </c>
      <c r="E366" s="658" t="s">
        <v>452</v>
      </c>
      <c r="F366" s="3" t="s">
        <v>2558</v>
      </c>
      <c r="G366" s="33">
        <v>8000</v>
      </c>
      <c r="H366" s="138">
        <f>IF(D366=G366,0,IF(D366=0,100,(G366-D366)/D366*100))</f>
        <v>-18.367346938775512</v>
      </c>
      <c r="I366" s="33">
        <v>8000</v>
      </c>
      <c r="J366" s="33">
        <f>ROUNDUP(I366+(I366*Assumptions!I$5),-2)</f>
        <v>8200</v>
      </c>
      <c r="K366" s="33">
        <f>ROUNDUP(J366+(J366*Assumptions!J$5),-2)</f>
        <v>8500</v>
      </c>
      <c r="L366" s="33">
        <f>ROUNDUP(K366+(K366*Assumptions!K$5),-2)</f>
        <v>8800</v>
      </c>
      <c r="M366" s="33">
        <f>ROUNDUP(L366+(L366*Assumptions!L$5),-2)</f>
        <v>9000</v>
      </c>
      <c r="N366" s="33">
        <f>ROUNDUP(M366+(M366*Assumptions!M$5),-2)</f>
        <v>9200</v>
      </c>
      <c r="O366" s="33">
        <f>ROUNDUP(N366+(N366*Assumptions!N$5),-2)</f>
        <v>9400</v>
      </c>
      <c r="P366" s="33">
        <f>ROUNDUP(O366+(O366*Assumptions!O$5),-2)</f>
        <v>9600</v>
      </c>
      <c r="Q366" s="33">
        <f>ROUNDUP(P366+(P366*Assumptions!P$5),-2)</f>
        <v>9800</v>
      </c>
      <c r="R366" s="114">
        <f>ROUNDUP(Q366+(Q366*Assumptions!Q$5),-2)</f>
        <v>10000</v>
      </c>
    </row>
    <row r="367" spans="1:18" x14ac:dyDescent="0.2">
      <c r="A367" s="107">
        <v>3008</v>
      </c>
      <c r="B367" s="132">
        <v>5500</v>
      </c>
      <c r="C367" s="33">
        <v>8200</v>
      </c>
      <c r="D367" s="33">
        <v>25500</v>
      </c>
      <c r="E367" s="658" t="s">
        <v>1288</v>
      </c>
      <c r="F367" s="3" t="s">
        <v>2139</v>
      </c>
      <c r="G367" s="33">
        <v>5000</v>
      </c>
      <c r="H367" s="138">
        <f>IF(D367=G367,0,IF(D367=0,100,(G367-D367)/D367*100))</f>
        <v>-80.392156862745097</v>
      </c>
      <c r="I367" s="33">
        <v>5000</v>
      </c>
      <c r="J367" s="33">
        <f>ROUNDUP(I367+(I367*Assumptions!I$5),-2)</f>
        <v>5200</v>
      </c>
      <c r="K367" s="33">
        <f>ROUNDUP(J367+(J367*Assumptions!J$5),-2)</f>
        <v>5400</v>
      </c>
      <c r="L367" s="33">
        <f>ROUNDUP(K367+(K367*Assumptions!K$5),-2)</f>
        <v>5600</v>
      </c>
      <c r="M367" s="33">
        <f>ROUNDUP(L367+(L367*Assumptions!L$5),-2)</f>
        <v>5800</v>
      </c>
      <c r="N367" s="33">
        <f>ROUNDUP(M367+(M367*Assumptions!M$5),-2)</f>
        <v>6000</v>
      </c>
      <c r="O367" s="33">
        <f>ROUNDUP(N367+(N367*Assumptions!N$5),-2)</f>
        <v>6200</v>
      </c>
      <c r="P367" s="33">
        <f>ROUNDUP(O367+(O367*Assumptions!O$5),-2)</f>
        <v>6400</v>
      </c>
      <c r="Q367" s="33">
        <f>ROUNDUP(P367+(P367*Assumptions!P$5),-2)</f>
        <v>6600</v>
      </c>
      <c r="R367" s="114">
        <f>ROUNDUP(Q367+(Q367*Assumptions!Q$5),-2)</f>
        <v>6800</v>
      </c>
    </row>
    <row r="368" spans="1:18" x14ac:dyDescent="0.2">
      <c r="A368" s="107">
        <v>362</v>
      </c>
      <c r="B368" s="132">
        <v>500</v>
      </c>
      <c r="C368" s="33">
        <v>900</v>
      </c>
      <c r="D368" s="33">
        <v>0</v>
      </c>
      <c r="E368" s="658" t="s">
        <v>2521</v>
      </c>
      <c r="F368" s="3" t="s">
        <v>535</v>
      </c>
      <c r="G368" s="33">
        <v>1000</v>
      </c>
      <c r="H368" s="138">
        <f>IF(D368=G368,0,IF(D368=0,100,(G368-D368)/D368*100))</f>
        <v>100</v>
      </c>
      <c r="I368" s="33">
        <v>1000</v>
      </c>
      <c r="J368" s="33">
        <f>ROUNDUP(I368+(I368*Assumptions!I$5),-2)</f>
        <v>1100</v>
      </c>
      <c r="K368" s="33">
        <f>ROUNDUP(J368+(J368*Assumptions!J$5),-2)</f>
        <v>1200</v>
      </c>
      <c r="L368" s="33">
        <f>ROUNDUP(K368+(K368*Assumptions!K$5),-2)</f>
        <v>1300</v>
      </c>
      <c r="M368" s="33">
        <f>ROUNDUP(L368+(L368*Assumptions!L$5),-2)</f>
        <v>1400</v>
      </c>
      <c r="N368" s="33">
        <f>ROUNDUP(M368+(M368*Assumptions!M$5),-2)</f>
        <v>1500</v>
      </c>
      <c r="O368" s="33">
        <f>ROUNDUP(N368+(N368*Assumptions!N$5),-2)</f>
        <v>1600</v>
      </c>
      <c r="P368" s="33">
        <f>ROUNDUP(O368+(O368*Assumptions!O$5),-2)</f>
        <v>1700</v>
      </c>
      <c r="Q368" s="33">
        <f>ROUNDUP(P368+(P368*Assumptions!P$5),-2)</f>
        <v>1800</v>
      </c>
      <c r="R368" s="114">
        <f>ROUNDUP(Q368+(Q368*Assumptions!Q$5),-2)</f>
        <v>1900</v>
      </c>
    </row>
    <row r="369" spans="1:18" x14ac:dyDescent="0.2">
      <c r="A369" s="107"/>
      <c r="B369" s="132"/>
      <c r="C369" s="33"/>
      <c r="D369" s="33"/>
      <c r="E369" s="658"/>
      <c r="F369" s="6" t="s">
        <v>416</v>
      </c>
      <c r="G369" s="33"/>
      <c r="H369" s="138"/>
      <c r="I369" s="33"/>
      <c r="J369" s="33"/>
      <c r="K369" s="33"/>
      <c r="L369" s="33"/>
      <c r="M369" s="33"/>
      <c r="N369" s="33"/>
      <c r="O369" s="33"/>
      <c r="P369" s="33"/>
      <c r="Q369" s="33"/>
      <c r="R369" s="114"/>
    </row>
    <row r="370" spans="1:18" x14ac:dyDescent="0.2">
      <c r="A370" s="107">
        <v>5180</v>
      </c>
      <c r="B370" s="132">
        <v>500</v>
      </c>
      <c r="C370" s="33">
        <v>6800</v>
      </c>
      <c r="D370" s="33">
        <v>2900</v>
      </c>
      <c r="E370" s="658" t="s">
        <v>330</v>
      </c>
      <c r="F370" s="3" t="s">
        <v>245</v>
      </c>
      <c r="G370" s="33">
        <v>6000</v>
      </c>
      <c r="H370" s="138">
        <f>IF(D370=G370,0,IF(D370=0,100,(G370-D370)/D370*100))</f>
        <v>106.89655172413792</v>
      </c>
      <c r="I370" s="33">
        <v>6000</v>
      </c>
      <c r="J370" s="33">
        <f>ROUNDUP(I370+(I370*Assumptions!I$5),-2)</f>
        <v>6200</v>
      </c>
      <c r="K370" s="33">
        <f>ROUNDUP(J370+(J370*Assumptions!J$5),-2)</f>
        <v>6400</v>
      </c>
      <c r="L370" s="33">
        <f>ROUNDUP(K370+(K370*Assumptions!K$5),-2)</f>
        <v>6600</v>
      </c>
      <c r="M370" s="33">
        <f>ROUNDUP(L370+(L370*Assumptions!L$5),-2)</f>
        <v>6800</v>
      </c>
      <c r="N370" s="33">
        <f>ROUNDUP(M370+(M370*Assumptions!M$5),-2)</f>
        <v>7000</v>
      </c>
      <c r="O370" s="33">
        <f>ROUNDUP(N370+(N370*Assumptions!N$5),-2)</f>
        <v>7200</v>
      </c>
      <c r="P370" s="33">
        <f>ROUNDUP(O370+(O370*Assumptions!O$5),-2)</f>
        <v>7400</v>
      </c>
      <c r="Q370" s="33">
        <f>ROUNDUP(P370+(P370*Assumptions!P$5),-2)</f>
        <v>7600</v>
      </c>
      <c r="R370" s="114">
        <f>ROUNDUP(Q370+(Q370*Assumptions!Q$5),-2)</f>
        <v>7800</v>
      </c>
    </row>
    <row r="371" spans="1:18" x14ac:dyDescent="0.2">
      <c r="A371" s="107">
        <v>0</v>
      </c>
      <c r="B371" s="132">
        <v>0</v>
      </c>
      <c r="C371" s="33">
        <v>0</v>
      </c>
      <c r="D371" s="33">
        <v>2200</v>
      </c>
      <c r="E371" s="1092" t="s">
        <v>6134</v>
      </c>
      <c r="F371" s="890" t="s">
        <v>6135</v>
      </c>
      <c r="G371" s="33">
        <v>4000</v>
      </c>
      <c r="H371" s="138">
        <f>IF(D371=G371,0,IF(D371=0,100,(G371-D371)/D371*100))</f>
        <v>81.818181818181827</v>
      </c>
      <c r="I371" s="33">
        <v>0</v>
      </c>
      <c r="J371" s="33">
        <f>ROUNDUP(I371+(I371*Assumptions!I$5),-2)</f>
        <v>0</v>
      </c>
      <c r="K371" s="33">
        <f>ROUNDUP(J371+(J371*Assumptions!J$5),-2)</f>
        <v>0</v>
      </c>
      <c r="L371" s="33">
        <f>ROUNDUP(K371+(K371*Assumptions!K$5),-2)</f>
        <v>0</v>
      </c>
      <c r="M371" s="33">
        <f>ROUNDUP(L371+(L371*Assumptions!L$5),-2)</f>
        <v>0</v>
      </c>
      <c r="N371" s="33">
        <f>ROUNDUP(M371+(M371*Assumptions!M$5),-2)</f>
        <v>0</v>
      </c>
      <c r="O371" s="33">
        <f>ROUNDUP(N371+(N371*Assumptions!N$5),-2)</f>
        <v>0</v>
      </c>
      <c r="P371" s="33">
        <f>ROUNDUP(O371+(O371*Assumptions!O$5),-2)</f>
        <v>0</v>
      </c>
      <c r="Q371" s="33">
        <f>ROUNDUP(P371+(P371*Assumptions!P$5),-2)</f>
        <v>0</v>
      </c>
      <c r="R371" s="114">
        <f>ROUNDUP(Q371+(Q371*Assumptions!Q$5),-2)</f>
        <v>0</v>
      </c>
    </row>
    <row r="372" spans="1:18" x14ac:dyDescent="0.2">
      <c r="A372" s="107">
        <v>1730</v>
      </c>
      <c r="B372" s="132">
        <v>2400</v>
      </c>
      <c r="C372" s="33">
        <v>600</v>
      </c>
      <c r="D372" s="33">
        <v>1800</v>
      </c>
      <c r="E372" s="658" t="s">
        <v>1195</v>
      </c>
      <c r="F372" s="890" t="s">
        <v>3020</v>
      </c>
      <c r="G372" s="33">
        <v>2000</v>
      </c>
      <c r="H372" s="138">
        <f>IF(D372=G372,0,IF(D372=0,100,(G372-D372)/D372*100))</f>
        <v>11.111111111111111</v>
      </c>
      <c r="I372" s="33">
        <v>2000</v>
      </c>
      <c r="J372" s="33">
        <f>ROUNDUP(I372+(I372*Assumptions!I$5),-2)</f>
        <v>2100</v>
      </c>
      <c r="K372" s="33">
        <f>ROUNDUP(J372+(J372*Assumptions!J$5),-2)</f>
        <v>2200</v>
      </c>
      <c r="L372" s="33">
        <f>ROUNDUP(K372+(K372*Assumptions!K$5),-2)</f>
        <v>2300</v>
      </c>
      <c r="M372" s="33">
        <f>ROUNDUP(L372+(L372*Assumptions!L$5),-2)</f>
        <v>2400</v>
      </c>
      <c r="N372" s="33">
        <f>ROUNDUP(M372+(M372*Assumptions!M$5),-2)</f>
        <v>2500</v>
      </c>
      <c r="O372" s="33">
        <f>ROUNDUP(N372+(N372*Assumptions!N$5),-2)</f>
        <v>2600</v>
      </c>
      <c r="P372" s="33">
        <f>ROUNDUP(O372+(O372*Assumptions!O$5),-2)</f>
        <v>2700</v>
      </c>
      <c r="Q372" s="33">
        <f>ROUNDUP(P372+(P372*Assumptions!P$5),-2)</f>
        <v>2800</v>
      </c>
      <c r="R372" s="114">
        <f>ROUNDUP(Q372+(Q372*Assumptions!Q$5),-2)</f>
        <v>2900</v>
      </c>
    </row>
    <row r="373" spans="1:18" x14ac:dyDescent="0.2">
      <c r="A373" s="107"/>
      <c r="B373" s="132"/>
      <c r="C373" s="142"/>
      <c r="D373" s="33"/>
      <c r="E373" s="658"/>
      <c r="F373" s="6" t="s">
        <v>768</v>
      </c>
      <c r="G373" s="33"/>
      <c r="H373" s="138"/>
      <c r="I373" s="33"/>
      <c r="J373" s="33"/>
      <c r="K373" s="33"/>
      <c r="L373" s="33"/>
      <c r="M373" s="33"/>
      <c r="N373" s="33"/>
      <c r="O373" s="33"/>
      <c r="P373" s="33"/>
      <c r="Q373" s="33"/>
      <c r="R373" s="114"/>
    </row>
    <row r="374" spans="1:18" x14ac:dyDescent="0.2">
      <c r="A374" s="107">
        <v>4379</v>
      </c>
      <c r="B374" s="132">
        <v>4000</v>
      </c>
      <c r="C374" s="33">
        <v>8300</v>
      </c>
      <c r="D374" s="33">
        <v>7700</v>
      </c>
      <c r="E374" s="658" t="s">
        <v>806</v>
      </c>
      <c r="F374" s="3" t="s">
        <v>1746</v>
      </c>
      <c r="G374" s="33">
        <v>12000</v>
      </c>
      <c r="H374" s="138">
        <f>IF(D374=G374,0,IF(D374=0,100,(G374-D374)/D374*100))</f>
        <v>55.844155844155843</v>
      </c>
      <c r="I374" s="33">
        <v>12000</v>
      </c>
      <c r="J374" s="33">
        <f>ROUNDUP(I374+(I374*Assumptions!I$5),-2)</f>
        <v>12300</v>
      </c>
      <c r="K374" s="33">
        <f>ROUNDUP(J374+(J374*Assumptions!J$5),-2)</f>
        <v>12700</v>
      </c>
      <c r="L374" s="33">
        <f>ROUNDUP(K374+(K374*Assumptions!K$5),-2)</f>
        <v>13100</v>
      </c>
      <c r="M374" s="33">
        <f>ROUNDUP(L374+(L374*Assumptions!L$5),-2)</f>
        <v>13400</v>
      </c>
      <c r="N374" s="33">
        <f>ROUNDUP(M374+(M374*Assumptions!M$5),-2)</f>
        <v>13700</v>
      </c>
      <c r="O374" s="33">
        <f>ROUNDUP(N374+(N374*Assumptions!N$5),-2)</f>
        <v>14000</v>
      </c>
      <c r="P374" s="33">
        <f>ROUNDUP(O374+(O374*Assumptions!O$5),-2)</f>
        <v>14300</v>
      </c>
      <c r="Q374" s="33">
        <f>ROUNDUP(P374+(P374*Assumptions!P$5),-2)</f>
        <v>14600</v>
      </c>
      <c r="R374" s="114">
        <f>ROUNDUP(Q374+(Q374*Assumptions!Q$5),-2)</f>
        <v>14900</v>
      </c>
    </row>
    <row r="375" spans="1:18" x14ac:dyDescent="0.2">
      <c r="A375" s="107">
        <v>5822</v>
      </c>
      <c r="B375" s="132">
        <v>5900</v>
      </c>
      <c r="C375" s="33">
        <v>5000</v>
      </c>
      <c r="D375" s="132">
        <v>9000</v>
      </c>
      <c r="E375" s="658" t="s">
        <v>807</v>
      </c>
      <c r="F375" s="3" t="s">
        <v>2711</v>
      </c>
      <c r="G375" s="33">
        <v>5000</v>
      </c>
      <c r="H375" s="138">
        <f>IF(D375=G375,0,IF(D375=0,100,(G375-D375)/D375*100))</f>
        <v>-44.444444444444443</v>
      </c>
      <c r="I375" s="33">
        <v>5000</v>
      </c>
      <c r="J375" s="33">
        <f>ROUNDUP(I375+(I375*Assumptions!I$5),-2)</f>
        <v>5200</v>
      </c>
      <c r="K375" s="33">
        <f>ROUNDUP(J375+(J375*Assumptions!J$5),-2)</f>
        <v>5400</v>
      </c>
      <c r="L375" s="33">
        <f>ROUNDUP(K375+(K375*Assumptions!K$5),-2)</f>
        <v>5600</v>
      </c>
      <c r="M375" s="33">
        <f>ROUNDUP(L375+(L375*Assumptions!L$5),-2)</f>
        <v>5800</v>
      </c>
      <c r="N375" s="33">
        <f>ROUNDUP(M375+(M375*Assumptions!M$5),-2)</f>
        <v>6000</v>
      </c>
      <c r="O375" s="33">
        <f>ROUNDUP(N375+(N375*Assumptions!N$5),-2)</f>
        <v>6200</v>
      </c>
      <c r="P375" s="33">
        <f>ROUNDUP(O375+(O375*Assumptions!O$5),-2)</f>
        <v>6400</v>
      </c>
      <c r="Q375" s="33">
        <f>ROUNDUP(P375+(P375*Assumptions!P$5),-2)</f>
        <v>6600</v>
      </c>
      <c r="R375" s="114">
        <f>ROUNDUP(Q375+(Q375*Assumptions!Q$5),-2)</f>
        <v>6800</v>
      </c>
    </row>
    <row r="376" spans="1:18" x14ac:dyDescent="0.2">
      <c r="A376" s="107">
        <v>1051</v>
      </c>
      <c r="B376" s="132">
        <v>4700</v>
      </c>
      <c r="C376" s="33">
        <v>1300</v>
      </c>
      <c r="D376" s="33">
        <v>800</v>
      </c>
      <c r="E376" s="658" t="s">
        <v>1660</v>
      </c>
      <c r="F376" s="3" t="s">
        <v>2712</v>
      </c>
      <c r="G376" s="33">
        <v>5000</v>
      </c>
      <c r="H376" s="138">
        <f>IF(D376=G376,0,IF(D376=0,100,(G376-D376)/D376*100))</f>
        <v>525</v>
      </c>
      <c r="I376" s="33">
        <v>5000</v>
      </c>
      <c r="J376" s="33">
        <f>ROUNDUP(I376+(I376*Assumptions!I$5),-2)</f>
        <v>5200</v>
      </c>
      <c r="K376" s="33">
        <f>ROUNDUP(J376+(J376*Assumptions!J$5),-2)</f>
        <v>5400</v>
      </c>
      <c r="L376" s="33">
        <f>ROUNDUP(K376+(K376*Assumptions!K$5),-2)</f>
        <v>5600</v>
      </c>
      <c r="M376" s="33">
        <f>ROUNDUP(L376+(L376*Assumptions!L$5),-2)</f>
        <v>5800</v>
      </c>
      <c r="N376" s="33">
        <f>ROUNDUP(M376+(M376*Assumptions!M$5),-2)</f>
        <v>6000</v>
      </c>
      <c r="O376" s="33">
        <f>ROUNDUP(N376+(N376*Assumptions!N$5),-2)</f>
        <v>6200</v>
      </c>
      <c r="P376" s="33">
        <f>ROUNDUP(O376+(O376*Assumptions!O$5),-2)</f>
        <v>6400</v>
      </c>
      <c r="Q376" s="33">
        <f>ROUNDUP(P376+(P376*Assumptions!P$5),-2)</f>
        <v>6600</v>
      </c>
      <c r="R376" s="114">
        <f>ROUNDUP(Q376+(Q376*Assumptions!Q$5),-2)</f>
        <v>6800</v>
      </c>
    </row>
    <row r="377" spans="1:18" x14ac:dyDescent="0.2">
      <c r="A377" s="107"/>
      <c r="B377" s="132"/>
      <c r="C377" s="142"/>
      <c r="D377" s="189"/>
      <c r="E377" s="658"/>
      <c r="F377" s="8" t="s">
        <v>7024</v>
      </c>
      <c r="G377" s="33"/>
      <c r="H377" s="138"/>
      <c r="I377" s="33"/>
      <c r="J377" s="33"/>
      <c r="K377" s="33"/>
      <c r="L377" s="33"/>
      <c r="M377" s="33"/>
      <c r="N377" s="33"/>
      <c r="O377" s="33"/>
      <c r="P377" s="33"/>
      <c r="Q377" s="33"/>
      <c r="R377" s="114"/>
    </row>
    <row r="378" spans="1:18" x14ac:dyDescent="0.2">
      <c r="A378" s="107">
        <v>0</v>
      </c>
      <c r="B378" s="132">
        <v>10600</v>
      </c>
      <c r="C378" s="189">
        <v>0</v>
      </c>
      <c r="D378" s="33">
        <f>20000+15000-35000</f>
        <v>0</v>
      </c>
      <c r="E378" s="658" t="s">
        <v>288</v>
      </c>
      <c r="F378" s="890" t="s">
        <v>4764</v>
      </c>
      <c r="G378" s="187">
        <v>20000</v>
      </c>
      <c r="H378" s="138">
        <f>IF(D378=G378,0,IF(D378=0,100,(G378-D378)/D378*100))</f>
        <v>100</v>
      </c>
      <c r="I378" s="33">
        <v>30000</v>
      </c>
      <c r="J378" s="33">
        <f>ROUNDUP(I378+(I378*Assumptions!I$5),-2)</f>
        <v>30800</v>
      </c>
      <c r="K378" s="33">
        <f>ROUNDUP(J378+(J378*Assumptions!J$5),-2)</f>
        <v>31600</v>
      </c>
      <c r="L378" s="33">
        <f>ROUNDUP(K378+(K378*Assumptions!K$5),-2)</f>
        <v>32400</v>
      </c>
      <c r="M378" s="33">
        <f>ROUNDUP(L378+(L378*Assumptions!L$5),-2)</f>
        <v>33100</v>
      </c>
      <c r="N378" s="33">
        <f>ROUNDUP(M378+(M378*Assumptions!M$5),-2)</f>
        <v>33800</v>
      </c>
      <c r="O378" s="33">
        <f>ROUNDUP(N378+(N378*Assumptions!N$5),-2)</f>
        <v>34500</v>
      </c>
      <c r="P378" s="33">
        <f>ROUNDUP(O378+(O378*Assumptions!O$5),-2)</f>
        <v>35200</v>
      </c>
      <c r="Q378" s="33">
        <f>ROUNDUP(P378+(P378*Assumptions!P$5),-2)</f>
        <v>36000</v>
      </c>
      <c r="R378" s="114">
        <f>ROUNDUP(Q378+(Q378*Assumptions!Q$5),-2)</f>
        <v>36800</v>
      </c>
    </row>
    <row r="379" spans="1:18" x14ac:dyDescent="0.2">
      <c r="A379" s="107">
        <v>0</v>
      </c>
      <c r="B379" s="132">
        <v>31100</v>
      </c>
      <c r="C379" s="189">
        <v>12000</v>
      </c>
      <c r="D379" s="33">
        <v>12100</v>
      </c>
      <c r="E379" s="658" t="s">
        <v>289</v>
      </c>
      <c r="F379" s="890" t="s">
        <v>6115</v>
      </c>
      <c r="G379" s="187">
        <f>34700+8000</f>
        <v>42700</v>
      </c>
      <c r="H379" s="138">
        <f>IF(D379=G379,0,IF(D379=0,100,(G379-D379)/D379*100))</f>
        <v>252.89256198347107</v>
      </c>
      <c r="I379" s="33">
        <v>30000</v>
      </c>
      <c r="J379" s="33">
        <f>ROUNDUP(I379+(I379*Assumptions!I$5),-2)</f>
        <v>30800</v>
      </c>
      <c r="K379" s="33">
        <f>ROUNDUP(J379+(J379*Assumptions!J$5),-2)</f>
        <v>31600</v>
      </c>
      <c r="L379" s="33">
        <f>ROUNDUP(K379+(K379*Assumptions!K$5),-2)</f>
        <v>32400</v>
      </c>
      <c r="M379" s="33">
        <f>ROUNDUP(L379+(L379*Assumptions!L$5),-2)</f>
        <v>33100</v>
      </c>
      <c r="N379" s="33">
        <f>ROUNDUP(M379+(M379*Assumptions!M$5),-2)</f>
        <v>33800</v>
      </c>
      <c r="O379" s="33">
        <f>ROUNDUP(N379+(N379*Assumptions!N$5),-2)</f>
        <v>34500</v>
      </c>
      <c r="P379" s="33">
        <f>ROUNDUP(O379+(O379*Assumptions!O$5),-2)</f>
        <v>35200</v>
      </c>
      <c r="Q379" s="33">
        <f>ROUNDUP(P379+(P379*Assumptions!P$5),-2)</f>
        <v>36000</v>
      </c>
      <c r="R379" s="114">
        <f>ROUNDUP(Q379+(Q379*Assumptions!Q$5),-2)</f>
        <v>36800</v>
      </c>
    </row>
    <row r="380" spans="1:18" x14ac:dyDescent="0.2">
      <c r="A380" s="107">
        <v>0</v>
      </c>
      <c r="B380" s="132">
        <v>0</v>
      </c>
      <c r="C380" s="189">
        <v>0</v>
      </c>
      <c r="D380" s="33">
        <v>0</v>
      </c>
      <c r="E380" s="658">
        <v>31045</v>
      </c>
      <c r="F380" s="890" t="s">
        <v>7025</v>
      </c>
      <c r="G380" s="187">
        <v>0</v>
      </c>
      <c r="H380" s="138">
        <f>IF(D380=G380,0,IF(D380=0,100,(G380-D380)/D380*100))</f>
        <v>0</v>
      </c>
      <c r="I380" s="132">
        <v>307600</v>
      </c>
      <c r="J380" s="132">
        <v>315300</v>
      </c>
      <c r="K380" s="132">
        <v>323100</v>
      </c>
      <c r="L380" s="33">
        <v>331200</v>
      </c>
      <c r="M380" s="33">
        <v>339500</v>
      </c>
      <c r="N380" s="33">
        <v>348000</v>
      </c>
      <c r="O380" s="33">
        <v>356700</v>
      </c>
      <c r="P380" s="33">
        <v>365600</v>
      </c>
      <c r="Q380" s="33">
        <v>374700</v>
      </c>
      <c r="R380" s="114">
        <v>384100</v>
      </c>
    </row>
    <row r="381" spans="1:18" x14ac:dyDescent="0.2">
      <c r="A381" s="107"/>
      <c r="B381" s="132"/>
      <c r="C381" s="33"/>
      <c r="D381" s="33"/>
      <c r="E381" s="658"/>
      <c r="F381" s="6" t="s">
        <v>562</v>
      </c>
      <c r="G381" s="33"/>
      <c r="H381" s="138"/>
      <c r="I381" s="33"/>
      <c r="J381" s="33"/>
      <c r="K381" s="33"/>
      <c r="L381" s="33"/>
      <c r="M381" s="33"/>
      <c r="N381" s="33"/>
      <c r="O381" s="33"/>
      <c r="P381" s="33"/>
      <c r="Q381" s="33"/>
      <c r="R381" s="114"/>
    </row>
    <row r="382" spans="1:18" ht="13.5" thickBot="1" x14ac:dyDescent="0.25">
      <c r="A382" s="107">
        <v>255</v>
      </c>
      <c r="B382" s="132">
        <v>400</v>
      </c>
      <c r="C382" s="33">
        <v>500</v>
      </c>
      <c r="D382" s="33">
        <v>600</v>
      </c>
      <c r="E382" s="658" t="s">
        <v>1661</v>
      </c>
      <c r="F382" s="890" t="s">
        <v>562</v>
      </c>
      <c r="G382" s="33">
        <v>600</v>
      </c>
      <c r="H382" s="138">
        <f>IF(D382=G382,0,IF(D382=0,100,(G382-D382)/D382*100))</f>
        <v>0</v>
      </c>
      <c r="I382" s="33">
        <f>ROUNDUP(G382+(G382*Assumptions!H$5),-2)</f>
        <v>700</v>
      </c>
      <c r="J382" s="33">
        <f>ROUNDUP(I382+(I382*Assumptions!I$5),-2)</f>
        <v>800</v>
      </c>
      <c r="K382" s="33">
        <f>ROUNDUP(J382+(J382*Assumptions!J$5),-2)</f>
        <v>900</v>
      </c>
      <c r="L382" s="33">
        <f>ROUNDUP(K382+(K382*Assumptions!K$5),-2)</f>
        <v>1000</v>
      </c>
      <c r="M382" s="33">
        <f>ROUNDUP(L382+(L382*Assumptions!L$5),-2)</f>
        <v>1100</v>
      </c>
      <c r="N382" s="33">
        <f>ROUNDUP(M382+(M382*Assumptions!M$5),-2)</f>
        <v>1200</v>
      </c>
      <c r="O382" s="33">
        <f>ROUNDUP(N382+(N382*Assumptions!N$5),-2)</f>
        <v>1300</v>
      </c>
      <c r="P382" s="33">
        <f>ROUNDUP(O382+(O382*Assumptions!O$5),-2)</f>
        <v>1400</v>
      </c>
      <c r="Q382" s="33">
        <f>ROUNDUP(P382+(P382*Assumptions!P$5),-2)</f>
        <v>1500</v>
      </c>
      <c r="R382" s="114">
        <f>ROUNDUP(Q382+(Q382*Assumptions!Q$5),-2)</f>
        <v>1600</v>
      </c>
    </row>
    <row r="383" spans="1:18" s="92" customFormat="1" x14ac:dyDescent="0.2">
      <c r="A383" s="105">
        <f>SUM(A361:A382)</f>
        <v>637901</v>
      </c>
      <c r="B383" s="53">
        <f>SUM(B361:B382)</f>
        <v>682400</v>
      </c>
      <c r="C383" s="53">
        <f>SUM(C361:C382)</f>
        <v>596800</v>
      </c>
      <c r="D383" s="53">
        <f>SUM(D361:D382)</f>
        <v>784400</v>
      </c>
      <c r="E383" s="674"/>
      <c r="F383" s="112" t="s">
        <v>565</v>
      </c>
      <c r="G383" s="53">
        <f t="shared" ref="G383:P383" si="318">SUM(G361:G382)</f>
        <v>853700</v>
      </c>
      <c r="H383" s="180">
        <f>IF(D383=G383,0,IF(D383=0,100,(G383-D383)/D383*100))</f>
        <v>8.8347781744008156</v>
      </c>
      <c r="I383" s="53">
        <f t="shared" si="318"/>
        <v>1169400</v>
      </c>
      <c r="J383" s="53">
        <f t="shared" si="318"/>
        <v>1199300</v>
      </c>
      <c r="K383" s="53">
        <f t="shared" si="318"/>
        <v>1229900</v>
      </c>
      <c r="L383" s="53">
        <f t="shared" si="318"/>
        <v>1261300</v>
      </c>
      <c r="M383" s="53">
        <f t="shared" si="318"/>
        <v>1292900</v>
      </c>
      <c r="N383" s="53">
        <f t="shared" si="318"/>
        <v>1325200</v>
      </c>
      <c r="O383" s="53">
        <f t="shared" si="318"/>
        <v>1358200</v>
      </c>
      <c r="P383" s="53">
        <f t="shared" si="318"/>
        <v>1391900</v>
      </c>
      <c r="Q383" s="53">
        <f t="shared" ref="Q383" si="319">SUM(Q361:Q382)</f>
        <v>1426500</v>
      </c>
      <c r="R383" s="113">
        <f t="shared" ref="R383" si="320">SUM(R361:R382)</f>
        <v>1462000</v>
      </c>
    </row>
    <row r="384" spans="1:18" x14ac:dyDescent="0.2">
      <c r="A384" s="107"/>
      <c r="B384" s="33"/>
      <c r="C384" s="33"/>
      <c r="D384" s="33"/>
      <c r="E384" s="673"/>
      <c r="F384" s="108"/>
      <c r="G384" s="33"/>
      <c r="H384" s="138"/>
      <c r="I384" s="33"/>
      <c r="J384" s="33"/>
      <c r="K384" s="33"/>
      <c r="L384" s="33"/>
      <c r="M384" s="33"/>
      <c r="N384" s="33"/>
      <c r="O384" s="33"/>
      <c r="P384" s="33"/>
      <c r="Q384" s="33"/>
      <c r="R384" s="114"/>
    </row>
    <row r="385" spans="1:22" s="92" customFormat="1" x14ac:dyDescent="0.2">
      <c r="A385" s="70">
        <f>A359-A383</f>
        <v>-450001</v>
      </c>
      <c r="B385" s="64">
        <f>B359-B383</f>
        <v>-497600</v>
      </c>
      <c r="C385" s="64">
        <f>C359-C383</f>
        <v>-358700</v>
      </c>
      <c r="D385" s="64">
        <f>D359-D383</f>
        <v>-522000</v>
      </c>
      <c r="E385" s="674"/>
      <c r="F385" s="522" t="s">
        <v>1019</v>
      </c>
      <c r="G385" s="64">
        <f t="shared" ref="G385:P385" si="321">G359-G383</f>
        <v>-574400</v>
      </c>
      <c r="H385" s="179">
        <f>IF(D385=G385,0,IF(D385=0,100,(G385-D385)/D385*100))</f>
        <v>10.038314176245212</v>
      </c>
      <c r="I385" s="64">
        <f t="shared" si="321"/>
        <v>-889400</v>
      </c>
      <c r="J385" s="64">
        <f t="shared" si="321"/>
        <v>-911600</v>
      </c>
      <c r="K385" s="64">
        <f t="shared" si="321"/>
        <v>-934100</v>
      </c>
      <c r="L385" s="64">
        <f t="shared" si="321"/>
        <v>-957300</v>
      </c>
      <c r="M385" s="64">
        <f t="shared" si="321"/>
        <v>-982100</v>
      </c>
      <c r="N385" s="64">
        <f t="shared" si="321"/>
        <v>-1007300</v>
      </c>
      <c r="O385" s="64">
        <f t="shared" si="321"/>
        <v>-1033200</v>
      </c>
      <c r="P385" s="64">
        <f t="shared" si="321"/>
        <v>-1059700</v>
      </c>
      <c r="Q385" s="64">
        <f t="shared" ref="Q385" si="322">Q359-Q383</f>
        <v>-1086900</v>
      </c>
      <c r="R385" s="115">
        <f t="shared" ref="R385" si="323">R359-R383</f>
        <v>-1115000</v>
      </c>
    </row>
    <row r="386" spans="1:22" x14ac:dyDescent="0.2">
      <c r="A386" s="107"/>
      <c r="B386" s="33"/>
      <c r="C386" s="33"/>
      <c r="D386" s="33"/>
      <c r="E386" s="673"/>
      <c r="F386" s="320"/>
      <c r="G386" s="33"/>
      <c r="H386" s="19"/>
      <c r="I386" s="33"/>
      <c r="J386" s="33"/>
      <c r="K386" s="33"/>
      <c r="L386" s="33"/>
      <c r="M386" s="33"/>
      <c r="N386" s="33"/>
      <c r="O386" s="33"/>
      <c r="P386" s="33"/>
      <c r="Q386" s="33"/>
      <c r="R386" s="114"/>
    </row>
    <row r="387" spans="1:22" s="92" customFormat="1" x14ac:dyDescent="0.2">
      <c r="A387" s="181">
        <f>A386+A385</f>
        <v>-450001</v>
      </c>
      <c r="B387" s="397">
        <f>B386+B385</f>
        <v>-497600</v>
      </c>
      <c r="C387" s="397">
        <f>C386+C385</f>
        <v>-358700</v>
      </c>
      <c r="D387" s="397">
        <f>D386+D385</f>
        <v>-522000</v>
      </c>
      <c r="E387" s="675"/>
      <c r="F387" s="515" t="s">
        <v>1687</v>
      </c>
      <c r="G387" s="397">
        <f t="shared" ref="G387:O387" si="324">G386+G385</f>
        <v>-574400</v>
      </c>
      <c r="H387" s="395">
        <f>IF(D387=G387,0,IF(D387=0,100,(G387-D387)/D387*100))</f>
        <v>10.038314176245212</v>
      </c>
      <c r="I387" s="397">
        <f t="shared" si="324"/>
        <v>-889400</v>
      </c>
      <c r="J387" s="397">
        <f t="shared" si="324"/>
        <v>-911600</v>
      </c>
      <c r="K387" s="397">
        <f t="shared" si="324"/>
        <v>-934100</v>
      </c>
      <c r="L387" s="397">
        <f t="shared" si="324"/>
        <v>-957300</v>
      </c>
      <c r="M387" s="397">
        <f t="shared" si="324"/>
        <v>-982100</v>
      </c>
      <c r="N387" s="397">
        <f t="shared" si="324"/>
        <v>-1007300</v>
      </c>
      <c r="O387" s="397">
        <f t="shared" si="324"/>
        <v>-1033200</v>
      </c>
      <c r="P387" s="397">
        <f t="shared" ref="P387:Q387" si="325">P386+P385</f>
        <v>-1059700</v>
      </c>
      <c r="Q387" s="397">
        <f t="shared" si="325"/>
        <v>-1086900</v>
      </c>
      <c r="R387" s="399">
        <f t="shared" ref="R387" si="326">R386+R385</f>
        <v>-1115000</v>
      </c>
    </row>
    <row r="388" spans="1:22" ht="13.5" thickBot="1" x14ac:dyDescent="0.25">
      <c r="A388" s="70"/>
      <c r="B388" s="64"/>
      <c r="C388" s="64"/>
      <c r="D388" s="64"/>
      <c r="E388" s="658"/>
      <c r="F388" s="137"/>
      <c r="G388" s="64"/>
      <c r="H388" s="179"/>
      <c r="I388" s="121"/>
      <c r="J388" s="121"/>
      <c r="K388" s="121"/>
      <c r="L388" s="121"/>
      <c r="M388" s="121"/>
      <c r="N388" s="121"/>
      <c r="O388" s="121"/>
      <c r="P388" s="121"/>
      <c r="Q388" s="121"/>
      <c r="R388" s="161"/>
    </row>
    <row r="389" spans="1:22" ht="13.5" thickTop="1" x14ac:dyDescent="0.2">
      <c r="A389" s="383"/>
      <c r="B389" s="162"/>
      <c r="C389" s="162"/>
      <c r="D389" s="162"/>
      <c r="E389" s="677"/>
      <c r="F389" s="640"/>
      <c r="G389" s="162"/>
      <c r="H389" s="505"/>
      <c r="I389" s="127"/>
      <c r="J389" s="127"/>
      <c r="K389" s="127"/>
      <c r="L389" s="127"/>
      <c r="M389" s="127"/>
      <c r="N389" s="127"/>
      <c r="O389" s="127"/>
      <c r="P389" s="127"/>
      <c r="Q389" s="127"/>
      <c r="R389" s="163"/>
    </row>
    <row r="390" spans="1:22" ht="13.5" customHeight="1" x14ac:dyDescent="0.2">
      <c r="A390" s="70"/>
      <c r="B390" s="64"/>
      <c r="C390" s="64"/>
      <c r="D390" s="64"/>
      <c r="E390" s="657"/>
      <c r="F390" s="1962" t="s">
        <v>196</v>
      </c>
      <c r="G390" s="64"/>
      <c r="H390" s="179"/>
      <c r="I390" s="33"/>
      <c r="J390" s="33"/>
      <c r="K390" s="33"/>
      <c r="L390" s="33"/>
      <c r="M390" s="33"/>
      <c r="N390" s="33"/>
      <c r="O390" s="33"/>
      <c r="P390" s="33"/>
      <c r="Q390" s="33"/>
      <c r="R390" s="114"/>
    </row>
    <row r="391" spans="1:22" x14ac:dyDescent="0.2">
      <c r="A391" s="107">
        <v>0</v>
      </c>
      <c r="B391" s="33">
        <v>0</v>
      </c>
      <c r="C391" s="33">
        <v>0</v>
      </c>
      <c r="D391" s="33">
        <v>0</v>
      </c>
      <c r="E391" s="657"/>
      <c r="F391" s="1979" t="s">
        <v>1791</v>
      </c>
      <c r="G391" s="33">
        <v>0</v>
      </c>
      <c r="H391" s="138"/>
      <c r="I391" s="33">
        <v>0</v>
      </c>
      <c r="J391" s="33">
        <v>0</v>
      </c>
      <c r="K391" s="33">
        <v>0</v>
      </c>
      <c r="L391" s="33">
        <v>0</v>
      </c>
      <c r="M391" s="33">
        <v>0</v>
      </c>
      <c r="N391" s="33">
        <v>0</v>
      </c>
      <c r="O391" s="33">
        <v>0</v>
      </c>
      <c r="P391" s="33">
        <v>0</v>
      </c>
      <c r="Q391" s="33">
        <v>0</v>
      </c>
      <c r="R391" s="114">
        <v>0</v>
      </c>
      <c r="U391" s="2247"/>
    </row>
    <row r="392" spans="1:22" x14ac:dyDescent="0.2">
      <c r="A392" s="107">
        <v>20300</v>
      </c>
      <c r="B392" s="33">
        <v>27000</v>
      </c>
      <c r="C392" s="33">
        <v>44000</v>
      </c>
      <c r="D392" s="33">
        <f>'Res-Gen'!B130</f>
        <v>28000</v>
      </c>
      <c r="E392" s="657"/>
      <c r="F392" s="1981" t="s">
        <v>1942</v>
      </c>
      <c r="G392" s="33">
        <v>0</v>
      </c>
      <c r="H392" s="138"/>
      <c r="I392" s="33">
        <v>0</v>
      </c>
      <c r="J392" s="33">
        <v>0</v>
      </c>
      <c r="K392" s="33">
        <v>0</v>
      </c>
      <c r="L392" s="33">
        <v>0</v>
      </c>
      <c r="M392" s="33">
        <v>0</v>
      </c>
      <c r="N392" s="33">
        <v>0</v>
      </c>
      <c r="O392" s="33">
        <v>0</v>
      </c>
      <c r="P392" s="33">
        <v>0</v>
      </c>
      <c r="Q392" s="33">
        <v>0</v>
      </c>
      <c r="R392" s="114">
        <v>0</v>
      </c>
      <c r="U392" s="2247"/>
    </row>
    <row r="393" spans="1:22" x14ac:dyDescent="0.2">
      <c r="A393" s="107">
        <v>5300</v>
      </c>
      <c r="B393" s="33">
        <v>20300</v>
      </c>
      <c r="C393" s="33">
        <v>14000</v>
      </c>
      <c r="D393" s="33">
        <f>SUM('Res-Gen'!C129:C131)+12000</f>
        <v>54000</v>
      </c>
      <c r="E393" s="657"/>
      <c r="F393" s="1981" t="s">
        <v>2348</v>
      </c>
      <c r="G393" s="33">
        <f>SUM('Res-Gen'!F129:F130)+'Sec 94'!F40+'Res-Gen'!F228+'Res-Gen'!F73</f>
        <v>184700</v>
      </c>
      <c r="H393" s="138"/>
      <c r="I393" s="33">
        <f>SUM('Res-Gen'!I129:I130)+'Sec 94'!G40+'Res-Gen'!I228+'Res-Gen'!I73</f>
        <v>208000</v>
      </c>
      <c r="J393" s="33">
        <f>SUM('Res-Gen'!L129:L130)+'Sec 94'!H40</f>
        <v>0</v>
      </c>
      <c r="K393" s="33">
        <f>SUM('Res-Gen'!O129:O130)+'Sec 94'!I40</f>
        <v>0</v>
      </c>
      <c r="L393" s="33">
        <f>SUM('Res-Gen'!R129:R130)</f>
        <v>0</v>
      </c>
      <c r="M393" s="33">
        <f>SUM('Res-Gen'!U129:U130)</f>
        <v>0</v>
      </c>
      <c r="N393" s="33">
        <f>SUM('Res-Gen'!X129:X130)</f>
        <v>0</v>
      </c>
      <c r="O393" s="33">
        <f>SUM('Res-Gen'!AA129:AA130)</f>
        <v>0</v>
      </c>
      <c r="P393" s="33">
        <f>SUM('Res-Gen'!AD129:AD130)</f>
        <v>0</v>
      </c>
      <c r="Q393" s="33">
        <f>SUM('Res-Gen'!AG129:AG130)</f>
        <v>0</v>
      </c>
      <c r="R393" s="114">
        <f>SUM('Res-Gen'!AJ129:AJ130)</f>
        <v>0</v>
      </c>
      <c r="U393" s="2247"/>
      <c r="V393" s="546"/>
    </row>
    <row r="394" spans="1:22" x14ac:dyDescent="0.2">
      <c r="A394" s="107">
        <v>0</v>
      </c>
      <c r="B394" s="33">
        <v>0</v>
      </c>
      <c r="C394" s="33">
        <f>'Sec 94'!C40</f>
        <v>0</v>
      </c>
      <c r="D394" s="33">
        <f>SUM('Cap-Gen'!Q69)</f>
        <v>0</v>
      </c>
      <c r="E394" s="657"/>
      <c r="F394" s="1981" t="s">
        <v>5984</v>
      </c>
      <c r="G394" s="33">
        <f>SUM('Cap-Gen'!V69)</f>
        <v>95000</v>
      </c>
      <c r="H394" s="138"/>
      <c r="I394" s="33">
        <f>SUM('Cap-Gen'!AA69)</f>
        <v>0</v>
      </c>
      <c r="J394" s="33">
        <f>SUM('Cap-Gen'!AF69)</f>
        <v>0</v>
      </c>
      <c r="K394" s="33">
        <f>SUM('Cap-Gen'!AK69)</f>
        <v>0</v>
      </c>
      <c r="L394" s="33">
        <f>SUM('Cap-Gen'!AP69)</f>
        <v>0</v>
      </c>
      <c r="M394" s="33">
        <v>0</v>
      </c>
      <c r="N394" s="33">
        <v>0</v>
      </c>
      <c r="O394" s="33">
        <v>0</v>
      </c>
      <c r="P394" s="33">
        <v>0</v>
      </c>
      <c r="Q394" s="33">
        <v>0</v>
      </c>
      <c r="R394" s="114">
        <v>0</v>
      </c>
    </row>
    <row r="395" spans="1:22" x14ac:dyDescent="0.2">
      <c r="A395" s="107">
        <v>0</v>
      </c>
      <c r="B395" s="33">
        <v>0</v>
      </c>
      <c r="C395" s="33">
        <v>0</v>
      </c>
      <c r="D395" s="33">
        <f>'Cap-Gen'!E69</f>
        <v>0</v>
      </c>
      <c r="E395" s="657"/>
      <c r="F395" s="1981" t="s">
        <v>972</v>
      </c>
      <c r="G395" s="33">
        <f>'Cap-Gen'!F69</f>
        <v>267000</v>
      </c>
      <c r="H395" s="138"/>
      <c r="I395" s="33">
        <f>'Cap-Gen'!G69</f>
        <v>208000</v>
      </c>
      <c r="J395" s="33">
        <f>'Cap-Gen'!H69</f>
        <v>0</v>
      </c>
      <c r="K395" s="33">
        <f>'Cap-Gen'!I69</f>
        <v>0</v>
      </c>
      <c r="L395" s="33">
        <f>'Cap-Gen'!J69</f>
        <v>0</v>
      </c>
      <c r="M395" s="33">
        <f>'Cap-Gen'!K69</f>
        <v>0</v>
      </c>
      <c r="N395" s="33">
        <f>'Cap-Gen'!L69</f>
        <v>0</v>
      </c>
      <c r="O395" s="33">
        <f>'Cap-Gen'!M69</f>
        <v>0</v>
      </c>
      <c r="P395" s="33">
        <f>'Cap-Gen'!N69</f>
        <v>0</v>
      </c>
      <c r="Q395" s="33">
        <f>'Cap-Gen'!O69</f>
        <v>0</v>
      </c>
      <c r="R395" s="114">
        <f>'Cap-Gen'!P69</f>
        <v>0</v>
      </c>
    </row>
    <row r="396" spans="1:22" s="92" customFormat="1" x14ac:dyDescent="0.2">
      <c r="A396" s="181">
        <f>A387-A391-A392+A393+A394-A395</f>
        <v>-465001</v>
      </c>
      <c r="B396" s="397">
        <f>B387-B391-B392+B393+B394-B395</f>
        <v>-504300</v>
      </c>
      <c r="C396" s="397">
        <f>C387-C391-C392+C393++C394-C395</f>
        <v>-388700</v>
      </c>
      <c r="D396" s="397">
        <f>D387-D391-D392+D393++D394-D395</f>
        <v>-496000</v>
      </c>
      <c r="E396" s="678"/>
      <c r="F396" s="1972" t="s">
        <v>2490</v>
      </c>
      <c r="G396" s="397">
        <f t="shared" ref="G396:O396" si="327">G387-G391-G392+G393++G394-G395</f>
        <v>-561700</v>
      </c>
      <c r="H396" s="395">
        <f>IF(D396=G396,0,IF(D396=0,100,(G396-D396)/D396*100))</f>
        <v>13.245967741935482</v>
      </c>
      <c r="I396" s="397">
        <f t="shared" si="327"/>
        <v>-889400</v>
      </c>
      <c r="J396" s="397">
        <f t="shared" si="327"/>
        <v>-911600</v>
      </c>
      <c r="K396" s="397">
        <f t="shared" si="327"/>
        <v>-934100</v>
      </c>
      <c r="L396" s="397">
        <f t="shared" si="327"/>
        <v>-957300</v>
      </c>
      <c r="M396" s="397">
        <f t="shared" si="327"/>
        <v>-982100</v>
      </c>
      <c r="N396" s="397">
        <f t="shared" si="327"/>
        <v>-1007300</v>
      </c>
      <c r="O396" s="397">
        <f t="shared" si="327"/>
        <v>-1033200</v>
      </c>
      <c r="P396" s="397">
        <f t="shared" ref="P396:Q396" si="328">P387-P391-P392+P393++P394-P395</f>
        <v>-1059700</v>
      </c>
      <c r="Q396" s="397">
        <f t="shared" si="328"/>
        <v>-1086900</v>
      </c>
      <c r="R396" s="399">
        <f t="shared" ref="R396" si="329">R387-R391-R392+R393++R394-R395</f>
        <v>-1115000</v>
      </c>
    </row>
    <row r="397" spans="1:22" ht="13.5" thickBot="1" x14ac:dyDescent="0.25">
      <c r="A397" s="73"/>
      <c r="B397" s="90"/>
      <c r="C397" s="90"/>
      <c r="D397" s="90"/>
      <c r="E397" s="679"/>
      <c r="F397" s="119"/>
      <c r="G397" s="90"/>
      <c r="H397" s="392"/>
      <c r="I397" s="66"/>
      <c r="J397" s="66"/>
      <c r="K397" s="66"/>
      <c r="L397" s="66"/>
      <c r="M397" s="66"/>
      <c r="N397" s="66"/>
      <c r="O397" s="66"/>
      <c r="P397" s="66"/>
      <c r="Q397" s="66"/>
      <c r="R397" s="165"/>
    </row>
    <row r="398" spans="1:22" ht="14.25" thickTop="1" thickBot="1" x14ac:dyDescent="0.25">
      <c r="A398" s="74"/>
      <c r="B398" s="74"/>
      <c r="C398" s="74"/>
      <c r="D398" s="74"/>
      <c r="E398" s="684"/>
      <c r="F398" s="74"/>
      <c r="G398" s="74"/>
      <c r="H398" s="2482"/>
      <c r="I398" s="74"/>
    </row>
    <row r="399" spans="1:22" s="91" customFormat="1" ht="18.75" customHeight="1" thickTop="1" thickBot="1" x14ac:dyDescent="0.3">
      <c r="A399" s="2865" t="str">
        <f>A166</f>
        <v>ADMINISTRATION AND PUBLIC ORDER</v>
      </c>
      <c r="B399" s="2866"/>
      <c r="C399" s="2866"/>
      <c r="D399" s="2866"/>
      <c r="E399" s="2866"/>
      <c r="F399" s="2866"/>
      <c r="G399" s="2866"/>
      <c r="H399" s="2866"/>
      <c r="I399" s="2866"/>
      <c r="J399" s="2866"/>
      <c r="K399" s="2866"/>
      <c r="L399" s="2866"/>
      <c r="M399" s="2866"/>
      <c r="N399" s="2866"/>
      <c r="O399" s="2866"/>
      <c r="P399" s="2866"/>
      <c r="Q399" s="2866"/>
      <c r="R399" s="2867"/>
    </row>
    <row r="400" spans="1:22" s="44" customFormat="1" x14ac:dyDescent="0.2">
      <c r="A400" s="2888" t="s">
        <v>1856</v>
      </c>
      <c r="B400" s="2889"/>
      <c r="C400" s="2889"/>
      <c r="D400" s="2890"/>
      <c r="E400" s="1998" t="s">
        <v>2663</v>
      </c>
      <c r="F400" s="2649" t="s">
        <v>2251</v>
      </c>
      <c r="G400" s="2885" t="s">
        <v>2253</v>
      </c>
      <c r="H400" s="2886"/>
      <c r="I400" s="2886"/>
      <c r="J400" s="2886"/>
      <c r="K400" s="2886"/>
      <c r="L400" s="2886"/>
      <c r="M400" s="2886"/>
      <c r="N400" s="2886"/>
      <c r="O400" s="2886"/>
      <c r="P400" s="2886"/>
      <c r="Q400" s="2886"/>
      <c r="R400" s="2887"/>
    </row>
    <row r="401" spans="1:18" s="23" customFormat="1" ht="13.5" thickBot="1" x14ac:dyDescent="0.25">
      <c r="A401" s="615" t="str">
        <f>A3</f>
        <v>2012/13</v>
      </c>
      <c r="B401" s="370" t="str">
        <f>B3</f>
        <v>2013/14</v>
      </c>
      <c r="C401" s="370" t="str">
        <f>C3</f>
        <v>2014/15</v>
      </c>
      <c r="D401" s="93" t="str">
        <f>D3</f>
        <v>2015/16</v>
      </c>
      <c r="E401" s="672" t="s">
        <v>2664</v>
      </c>
      <c r="F401" s="42"/>
      <c r="G401" s="93" t="str">
        <f>G3</f>
        <v>2016/17</v>
      </c>
      <c r="H401" s="2492" t="s">
        <v>501</v>
      </c>
      <c r="I401" s="370" t="str">
        <f t="shared" ref="I401:R401" si="330">I3</f>
        <v>2017/18</v>
      </c>
      <c r="J401" s="370" t="str">
        <f t="shared" si="330"/>
        <v>2018/19</v>
      </c>
      <c r="K401" s="370" t="str">
        <f t="shared" si="330"/>
        <v>2019/20</v>
      </c>
      <c r="L401" s="370" t="str">
        <f t="shared" si="330"/>
        <v>2020/21</v>
      </c>
      <c r="M401" s="370" t="str">
        <f t="shared" si="330"/>
        <v>2021/22</v>
      </c>
      <c r="N401" s="370" t="str">
        <f t="shared" si="330"/>
        <v>2022/23</v>
      </c>
      <c r="O401" s="370" t="str">
        <f t="shared" si="330"/>
        <v>2023/24</v>
      </c>
      <c r="P401" s="370" t="str">
        <f t="shared" si="330"/>
        <v>2024/25</v>
      </c>
      <c r="Q401" s="218" t="str">
        <f t="shared" si="330"/>
        <v>2025/26</v>
      </c>
      <c r="R401" s="549" t="str">
        <f t="shared" si="330"/>
        <v>2026/27</v>
      </c>
    </row>
    <row r="402" spans="1:18" x14ac:dyDescent="0.2">
      <c r="A402" s="107"/>
      <c r="B402" s="33"/>
      <c r="C402" s="33"/>
      <c r="D402" s="33"/>
      <c r="E402" s="673"/>
      <c r="F402" s="144" t="s">
        <v>1073</v>
      </c>
      <c r="G402" s="33"/>
      <c r="H402" s="138"/>
      <c r="I402" s="33"/>
      <c r="J402" s="33"/>
      <c r="K402" s="33"/>
      <c r="L402" s="33"/>
      <c r="M402" s="33"/>
      <c r="N402" s="33"/>
      <c r="O402" s="33"/>
      <c r="P402" s="33"/>
      <c r="Q402" s="33"/>
      <c r="R402" s="114"/>
    </row>
    <row r="403" spans="1:18" x14ac:dyDescent="0.2">
      <c r="A403" s="107"/>
      <c r="B403" s="33"/>
      <c r="C403" s="33"/>
      <c r="D403" s="33"/>
      <c r="E403" s="682"/>
      <c r="F403" s="1110" t="s">
        <v>3242</v>
      </c>
      <c r="G403" s="33"/>
      <c r="H403" s="138"/>
      <c r="I403" s="33"/>
      <c r="J403" s="33"/>
      <c r="K403" s="33"/>
      <c r="L403" s="33"/>
      <c r="M403" s="33"/>
      <c r="N403" s="33"/>
      <c r="O403" s="33"/>
      <c r="P403" s="33"/>
      <c r="Q403" s="33"/>
      <c r="R403" s="114"/>
    </row>
    <row r="404" spans="1:18" x14ac:dyDescent="0.2">
      <c r="A404" s="107">
        <v>22200</v>
      </c>
      <c r="B404" s="132">
        <v>36900</v>
      </c>
      <c r="C404" s="33">
        <v>48300</v>
      </c>
      <c r="D404" s="33">
        <v>36500</v>
      </c>
      <c r="E404" s="658" t="s">
        <v>1253</v>
      </c>
      <c r="F404" s="443" t="s">
        <v>1683</v>
      </c>
      <c r="G404" s="33">
        <f>12000+15000</f>
        <v>27000</v>
      </c>
      <c r="H404" s="138">
        <f>IF(D404=G404,0,IF(D404=0,100,(G404-D404)/D404*100))</f>
        <v>-26.027397260273972</v>
      </c>
      <c r="I404" s="33">
        <v>18000</v>
      </c>
      <c r="J404" s="33">
        <f>ROUNDUP(I404+(I404*Assumptions!I$5),-2)</f>
        <v>18500</v>
      </c>
      <c r="K404" s="33">
        <f>ROUNDUP(J404+(J404*Assumptions!J$5),-2)</f>
        <v>19000</v>
      </c>
      <c r="L404" s="33">
        <f>ROUNDUP(K404+(K404*Assumptions!K$5),-2)</f>
        <v>19500</v>
      </c>
      <c r="M404" s="33">
        <f>ROUNDUP(L404+(L404*Assumptions!L$5),-2)</f>
        <v>19900</v>
      </c>
      <c r="N404" s="33">
        <f>ROUNDUP(M404+(M404*Assumptions!M$5),-2)</f>
        <v>20300</v>
      </c>
      <c r="O404" s="33">
        <f>ROUNDUP(N404+(N404*Assumptions!N$5),-2)</f>
        <v>20800</v>
      </c>
      <c r="P404" s="33">
        <f>ROUNDUP(O404+(O404*Assumptions!O$5),-2)</f>
        <v>21300</v>
      </c>
      <c r="Q404" s="33">
        <f>ROUNDUP(P404+(P404*Assumptions!P$5),-2)</f>
        <v>21800</v>
      </c>
      <c r="R404" s="114">
        <f>ROUNDUP(Q404+(Q404*Assumptions!Q$5),-2)</f>
        <v>22300</v>
      </c>
    </row>
    <row r="405" spans="1:18" x14ac:dyDescent="0.2">
      <c r="A405" s="107">
        <v>6500</v>
      </c>
      <c r="B405" s="132">
        <v>7600</v>
      </c>
      <c r="C405" s="33">
        <v>4900</v>
      </c>
      <c r="D405" s="33">
        <v>6100</v>
      </c>
      <c r="E405" s="658" t="s">
        <v>1254</v>
      </c>
      <c r="F405" s="443" t="s">
        <v>2804</v>
      </c>
      <c r="G405" s="33">
        <v>7000</v>
      </c>
      <c r="H405" s="138">
        <f>IF(D405=G405,0,IF(D405=0,100,(G405-D405)/D405*100))</f>
        <v>14.754098360655737</v>
      </c>
      <c r="I405" s="33">
        <v>6500</v>
      </c>
      <c r="J405" s="33">
        <f>ROUNDUP(I405+(I405*Assumptions!I$5),-2)</f>
        <v>6700</v>
      </c>
      <c r="K405" s="33">
        <f>ROUNDUP(J405+(J405*Assumptions!J$5),-2)</f>
        <v>6900</v>
      </c>
      <c r="L405" s="33">
        <f>ROUNDUP(K405+(K405*Assumptions!K$5),-2)</f>
        <v>7100</v>
      </c>
      <c r="M405" s="33">
        <f>ROUNDUP(L405+(L405*Assumptions!L$5),-2)</f>
        <v>7300</v>
      </c>
      <c r="N405" s="33">
        <f>ROUNDUP(M405+(M405*Assumptions!M$5),-2)</f>
        <v>7500</v>
      </c>
      <c r="O405" s="33">
        <f>ROUNDUP(N405+(N405*Assumptions!N$5),-2)</f>
        <v>7700</v>
      </c>
      <c r="P405" s="33">
        <f>ROUNDUP(O405+(O405*Assumptions!O$5),-2)</f>
        <v>7900</v>
      </c>
      <c r="Q405" s="33">
        <f>ROUNDUP(P405+(P405*Assumptions!P$5),-2)</f>
        <v>8100</v>
      </c>
      <c r="R405" s="114">
        <f>ROUNDUP(Q405+(Q405*Assumptions!Q$5),-2)</f>
        <v>8300</v>
      </c>
    </row>
    <row r="406" spans="1:18" x14ac:dyDescent="0.2">
      <c r="A406" s="107">
        <v>1200</v>
      </c>
      <c r="B406" s="132">
        <v>1500</v>
      </c>
      <c r="C406" s="33">
        <v>1200</v>
      </c>
      <c r="D406" s="33">
        <v>1600</v>
      </c>
      <c r="E406" s="658" t="s">
        <v>1256</v>
      </c>
      <c r="F406" s="443" t="s">
        <v>2331</v>
      </c>
      <c r="G406" s="33">
        <v>1000</v>
      </c>
      <c r="H406" s="138">
        <f>IF(D406=G406,0,IF(D406=0,100,(G406-D406)/D406*100))</f>
        <v>-37.5</v>
      </c>
      <c r="I406" s="33">
        <v>1500</v>
      </c>
      <c r="J406" s="33">
        <f>ROUNDUP(I406+(I406*Assumptions!I$5),-2)</f>
        <v>1600</v>
      </c>
      <c r="K406" s="33">
        <f>ROUNDUP(J406+(J406*Assumptions!J$5),-2)</f>
        <v>1700</v>
      </c>
      <c r="L406" s="33">
        <f>ROUNDUP(K406+(K406*Assumptions!K$5),-2)</f>
        <v>1800</v>
      </c>
      <c r="M406" s="33">
        <f>ROUNDUP(L406+(L406*Assumptions!L$5),-2)</f>
        <v>1900</v>
      </c>
      <c r="N406" s="33">
        <f>ROUNDUP(M406+(M406*Assumptions!M$5),-2)</f>
        <v>2000</v>
      </c>
      <c r="O406" s="33">
        <f>ROUNDUP(N406+(N406*Assumptions!N$5),-2)</f>
        <v>2100</v>
      </c>
      <c r="P406" s="33">
        <f>ROUNDUP(O406+(O406*Assumptions!O$5),-2)</f>
        <v>2200</v>
      </c>
      <c r="Q406" s="33">
        <f>ROUNDUP(P406+(P406*Assumptions!P$5),-2)</f>
        <v>2300</v>
      </c>
      <c r="R406" s="114">
        <f>ROUNDUP(Q406+(Q406*Assumptions!Q$5),-2)</f>
        <v>2400</v>
      </c>
    </row>
    <row r="407" spans="1:18" x14ac:dyDescent="0.2">
      <c r="A407" s="107">
        <v>1100</v>
      </c>
      <c r="B407" s="132">
        <v>500</v>
      </c>
      <c r="C407" s="33">
        <v>1500</v>
      </c>
      <c r="D407" s="33">
        <v>1900</v>
      </c>
      <c r="E407" s="658" t="s">
        <v>1257</v>
      </c>
      <c r="F407" s="443" t="s">
        <v>2571</v>
      </c>
      <c r="G407" s="33">
        <v>1500</v>
      </c>
      <c r="H407" s="138">
        <f>IF(D407=G407,0,IF(D407=0,100,(G407-D407)/D407*100))</f>
        <v>-21.052631578947366</v>
      </c>
      <c r="I407" s="33">
        <v>1500</v>
      </c>
      <c r="J407" s="33">
        <f>ROUNDUP(I407+(I407*Assumptions!I$5),-2)</f>
        <v>1600</v>
      </c>
      <c r="K407" s="33">
        <f>ROUNDUP(J407+(J407*Assumptions!J$5),-2)</f>
        <v>1700</v>
      </c>
      <c r="L407" s="33">
        <f>ROUNDUP(K407+(K407*Assumptions!K$5),-2)</f>
        <v>1800</v>
      </c>
      <c r="M407" s="33">
        <f>ROUNDUP(L407+(L407*Assumptions!L$5),-2)</f>
        <v>1900</v>
      </c>
      <c r="N407" s="33">
        <f>ROUNDUP(M407+(M407*Assumptions!M$5),-2)</f>
        <v>2000</v>
      </c>
      <c r="O407" s="33">
        <f>ROUNDUP(N407+(N407*Assumptions!N$5),-2)</f>
        <v>2100</v>
      </c>
      <c r="P407" s="33">
        <f>ROUNDUP(O407+(O407*Assumptions!O$5),-2)</f>
        <v>2200</v>
      </c>
      <c r="Q407" s="33">
        <f>ROUNDUP(P407+(P407*Assumptions!P$5),-2)</f>
        <v>2300</v>
      </c>
      <c r="R407" s="114">
        <f>ROUNDUP(Q407+(Q407*Assumptions!Q$5),-2)</f>
        <v>2400</v>
      </c>
    </row>
    <row r="408" spans="1:18" x14ac:dyDescent="0.2">
      <c r="A408" s="107">
        <v>600</v>
      </c>
      <c r="B408" s="132">
        <v>600</v>
      </c>
      <c r="C408" s="33">
        <v>500</v>
      </c>
      <c r="D408" s="33">
        <v>0</v>
      </c>
      <c r="E408" s="658" t="s">
        <v>1258</v>
      </c>
      <c r="F408" s="443" t="s">
        <v>1316</v>
      </c>
      <c r="G408" s="33">
        <v>500</v>
      </c>
      <c r="H408" s="138">
        <f>IF(D408=G408,0,IF(D408=0,100,(G408-D408)/D408*100))</f>
        <v>100</v>
      </c>
      <c r="I408" s="33">
        <v>500</v>
      </c>
      <c r="J408" s="33">
        <f>ROUNDUP(I408+(I408*Assumptions!I$5),-2)</f>
        <v>600</v>
      </c>
      <c r="K408" s="33">
        <f>ROUNDUP(J408+(J408*Assumptions!J$5),-2)</f>
        <v>700</v>
      </c>
      <c r="L408" s="33">
        <f>ROUNDUP(K408+(K408*Assumptions!K$5),-2)</f>
        <v>800</v>
      </c>
      <c r="M408" s="33">
        <f>ROUNDUP(L408+(L408*Assumptions!L$5),-2)</f>
        <v>900</v>
      </c>
      <c r="N408" s="33">
        <f>ROUNDUP(M408+(M408*Assumptions!M$5),-2)</f>
        <v>1000</v>
      </c>
      <c r="O408" s="33">
        <f>ROUNDUP(N408+(N408*Assumptions!N$5),-2)</f>
        <v>1100</v>
      </c>
      <c r="P408" s="33">
        <f>ROUNDUP(O408+(O408*Assumptions!O$5),-2)</f>
        <v>1200</v>
      </c>
      <c r="Q408" s="33">
        <f>ROUNDUP(P408+(P408*Assumptions!P$5),-2)</f>
        <v>1300</v>
      </c>
      <c r="R408" s="114">
        <f>ROUNDUP(Q408+(Q408*Assumptions!Q$5),-2)</f>
        <v>1400</v>
      </c>
    </row>
    <row r="409" spans="1:18" x14ac:dyDescent="0.2">
      <c r="A409" s="107"/>
      <c r="B409" s="132"/>
      <c r="C409" s="33"/>
      <c r="D409" s="33"/>
      <c r="E409" s="658"/>
      <c r="F409" s="1103" t="s">
        <v>428</v>
      </c>
      <c r="G409" s="33"/>
      <c r="H409" s="138"/>
      <c r="I409" s="33"/>
      <c r="J409" s="33"/>
      <c r="K409" s="33"/>
      <c r="L409" s="33"/>
      <c r="M409" s="33"/>
      <c r="N409" s="33"/>
      <c r="O409" s="33"/>
      <c r="P409" s="33"/>
      <c r="Q409" s="33"/>
      <c r="R409" s="114"/>
    </row>
    <row r="410" spans="1:18" x14ac:dyDescent="0.2">
      <c r="A410" s="107">
        <v>56600</v>
      </c>
      <c r="B410" s="132">
        <v>77000</v>
      </c>
      <c r="C410" s="33">
        <v>195500</v>
      </c>
      <c r="D410" s="33">
        <v>129800</v>
      </c>
      <c r="E410" s="658" t="s">
        <v>1252</v>
      </c>
      <c r="F410" s="443" t="s">
        <v>2167</v>
      </c>
      <c r="G410" s="33">
        <f>140000-15000</f>
        <v>125000</v>
      </c>
      <c r="H410" s="138">
        <f>IF(D410=G410,0,IF(D410=0,100,(G410-D410)/D410*100))</f>
        <v>-3.6979969183359018</v>
      </c>
      <c r="I410" s="33">
        <v>130000</v>
      </c>
      <c r="J410" s="33">
        <f>ROUNDUP(I410+(I410*Assumptions!I$5),-2)</f>
        <v>133300</v>
      </c>
      <c r="K410" s="33">
        <f>ROUNDUP(J410+(J410*Assumptions!J$5),-2)</f>
        <v>136700</v>
      </c>
      <c r="L410" s="33">
        <f>ROUNDUP(K410+(K410*Assumptions!K$5),-2)</f>
        <v>140200</v>
      </c>
      <c r="M410" s="33">
        <f>ROUNDUP(L410+(L410*Assumptions!L$5),-2)</f>
        <v>143100</v>
      </c>
      <c r="N410" s="33">
        <f>ROUNDUP(M410+(M410*Assumptions!M$5),-2)</f>
        <v>146000</v>
      </c>
      <c r="O410" s="33">
        <f>ROUNDUP(N410+(N410*Assumptions!N$5),-2)</f>
        <v>149000</v>
      </c>
      <c r="P410" s="33">
        <f>ROUNDUP(O410+(O410*Assumptions!O$5),-2)</f>
        <v>152000</v>
      </c>
      <c r="Q410" s="33">
        <f>ROUNDUP(P410+(P410*Assumptions!P$5),-2)</f>
        <v>155100</v>
      </c>
      <c r="R410" s="114">
        <f>ROUNDUP(Q410+(Q410*Assumptions!Q$5),-2)</f>
        <v>158300</v>
      </c>
    </row>
    <row r="411" spans="1:18" x14ac:dyDescent="0.2">
      <c r="A411" s="107">
        <v>13000</v>
      </c>
      <c r="B411" s="132">
        <v>23100</v>
      </c>
      <c r="C411" s="33">
        <v>51500</v>
      </c>
      <c r="D411" s="33">
        <v>44400</v>
      </c>
      <c r="E411" s="658" t="s">
        <v>1255</v>
      </c>
      <c r="F411" s="443" t="s">
        <v>2805</v>
      </c>
      <c r="G411" s="33">
        <f>41000-6000</f>
        <v>35000</v>
      </c>
      <c r="H411" s="138">
        <f>IF(D411=G411,0,IF(D411=0,100,(G411-D411)/D411*100))</f>
        <v>-21.171171171171171</v>
      </c>
      <c r="I411" s="33">
        <v>40000</v>
      </c>
      <c r="J411" s="33">
        <f>ROUNDUP(I411+(I411*Assumptions!I$5),-2)</f>
        <v>41000</v>
      </c>
      <c r="K411" s="33">
        <f>ROUNDUP(J411+(J411*Assumptions!J$5),-2)</f>
        <v>42100</v>
      </c>
      <c r="L411" s="33">
        <f>ROUNDUP(K411+(K411*Assumptions!K$5),-2)</f>
        <v>43200</v>
      </c>
      <c r="M411" s="33">
        <f>ROUNDUP(L411+(L411*Assumptions!L$5),-2)</f>
        <v>44100</v>
      </c>
      <c r="N411" s="33">
        <f>ROUNDUP(M411+(M411*Assumptions!M$5),-2)</f>
        <v>45000</v>
      </c>
      <c r="O411" s="33">
        <f>ROUNDUP(N411+(N411*Assumptions!N$5),-2)</f>
        <v>45900</v>
      </c>
      <c r="P411" s="33">
        <f>ROUNDUP(O411+(O411*Assumptions!O$5),-2)</f>
        <v>46900</v>
      </c>
      <c r="Q411" s="33">
        <f>ROUNDUP(P411+(P411*Assumptions!P$5),-2)</f>
        <v>47900</v>
      </c>
      <c r="R411" s="114">
        <f>ROUNDUP(Q411+(Q411*Assumptions!Q$5),-2)</f>
        <v>48900</v>
      </c>
    </row>
    <row r="412" spans="1:18" x14ac:dyDescent="0.2">
      <c r="A412" s="107">
        <v>9300</v>
      </c>
      <c r="B412" s="132">
        <f>14400+600</f>
        <v>15000</v>
      </c>
      <c r="C412" s="33">
        <v>8500</v>
      </c>
      <c r="D412" s="33">
        <v>9900</v>
      </c>
      <c r="E412" s="658" t="s">
        <v>2744</v>
      </c>
      <c r="F412" s="814" t="s">
        <v>4173</v>
      </c>
      <c r="G412" s="33">
        <v>10000</v>
      </c>
      <c r="H412" s="138">
        <f>IF(D412=G412,0,IF(D412=0,100,(G412-D412)/D412*100))</f>
        <v>1.0101010101010102</v>
      </c>
      <c r="I412" s="33">
        <v>10000</v>
      </c>
      <c r="J412" s="33">
        <f>ROUNDUP(I412+(I412*Assumptions!I$5),-2)</f>
        <v>10300</v>
      </c>
      <c r="K412" s="33">
        <f>ROUNDUP(J412+(J412*Assumptions!J$5),-2)</f>
        <v>10600</v>
      </c>
      <c r="L412" s="33">
        <f>ROUNDUP(K412+(K412*Assumptions!K$5),-2)</f>
        <v>10900</v>
      </c>
      <c r="M412" s="33">
        <f>ROUNDUP(L412+(L412*Assumptions!L$5),-2)</f>
        <v>11200</v>
      </c>
      <c r="N412" s="33">
        <f>ROUNDUP(M412+(M412*Assumptions!M$5),-2)</f>
        <v>11500</v>
      </c>
      <c r="O412" s="33">
        <f>ROUNDUP(N412+(N412*Assumptions!N$5),-2)</f>
        <v>11800</v>
      </c>
      <c r="P412" s="33">
        <f>ROUNDUP(O412+(O412*Assumptions!O$5),-2)</f>
        <v>12100</v>
      </c>
      <c r="Q412" s="33">
        <f>ROUNDUP(P412+(P412*Assumptions!P$5),-2)</f>
        <v>12400</v>
      </c>
      <c r="R412" s="114">
        <f>ROUNDUP(Q412+(Q412*Assumptions!Q$5),-2)</f>
        <v>12700</v>
      </c>
    </row>
    <row r="413" spans="1:18" x14ac:dyDescent="0.2">
      <c r="A413" s="107">
        <v>100</v>
      </c>
      <c r="B413" s="132">
        <v>200</v>
      </c>
      <c r="C413" s="33">
        <v>0</v>
      </c>
      <c r="D413" s="33">
        <v>2600</v>
      </c>
      <c r="E413" s="658" t="s">
        <v>1251</v>
      </c>
      <c r="F413" s="443" t="s">
        <v>1916</v>
      </c>
      <c r="G413" s="33">
        <v>1000</v>
      </c>
      <c r="H413" s="138">
        <f>IF(D413=G413,0,IF(D413=0,100,(G413-D413)/D413*100))</f>
        <v>-61.53846153846154</v>
      </c>
      <c r="I413" s="33">
        <v>1000</v>
      </c>
      <c r="J413" s="33">
        <f>ROUNDUP(I413+(I413*Assumptions!I$5),-2)</f>
        <v>1100</v>
      </c>
      <c r="K413" s="33">
        <f>ROUNDUP(J413+(J413*Assumptions!J$5),-2)</f>
        <v>1200</v>
      </c>
      <c r="L413" s="33">
        <f>ROUNDUP(K413+(K413*Assumptions!K$5),-2)</f>
        <v>1300</v>
      </c>
      <c r="M413" s="33">
        <f>ROUNDUP(L413+(L413*Assumptions!L$5),-2)</f>
        <v>1400</v>
      </c>
      <c r="N413" s="33">
        <f>ROUNDUP(M413+(M413*Assumptions!M$5),-2)</f>
        <v>1500</v>
      </c>
      <c r="O413" s="33">
        <f>ROUNDUP(N413+(N413*Assumptions!N$5),-2)</f>
        <v>1600</v>
      </c>
      <c r="P413" s="33">
        <f>ROUNDUP(O413+(O413*Assumptions!O$5),-2)</f>
        <v>1700</v>
      </c>
      <c r="Q413" s="33">
        <f>ROUNDUP(P413+(P413*Assumptions!P$5),-2)</f>
        <v>1800</v>
      </c>
      <c r="R413" s="114">
        <f>ROUNDUP(Q413+(Q413*Assumptions!Q$5),-2)</f>
        <v>1900</v>
      </c>
    </row>
    <row r="414" spans="1:18" x14ac:dyDescent="0.2">
      <c r="A414" s="107">
        <v>0</v>
      </c>
      <c r="B414" s="132">
        <v>1000</v>
      </c>
      <c r="C414" s="33">
        <v>2000</v>
      </c>
      <c r="D414" s="33">
        <v>300</v>
      </c>
      <c r="E414" s="658" t="s">
        <v>2771</v>
      </c>
      <c r="F414" s="443" t="s">
        <v>1703</v>
      </c>
      <c r="G414" s="33">
        <v>500</v>
      </c>
      <c r="H414" s="138">
        <f>IF(D414=G414,0,IF(D414=0,100,(G414-D414)/D414*100))</f>
        <v>66.666666666666657</v>
      </c>
      <c r="I414" s="33">
        <v>1000</v>
      </c>
      <c r="J414" s="33">
        <f>ROUNDUP(I414+(I414*Assumptions!I$5),-2)</f>
        <v>1100</v>
      </c>
      <c r="K414" s="33">
        <f>ROUNDUP(J414+(J414*Assumptions!J$5),-2)</f>
        <v>1200</v>
      </c>
      <c r="L414" s="33">
        <f>ROUNDUP(K414+(K414*Assumptions!K$5),-2)</f>
        <v>1300</v>
      </c>
      <c r="M414" s="33">
        <f>ROUNDUP(L414+(L414*Assumptions!L$5),-2)</f>
        <v>1400</v>
      </c>
      <c r="N414" s="33">
        <f>ROUNDUP(M414+(M414*Assumptions!M$5),-2)</f>
        <v>1500</v>
      </c>
      <c r="O414" s="33">
        <f>ROUNDUP(N414+(N414*Assumptions!N$5),-2)</f>
        <v>1600</v>
      </c>
      <c r="P414" s="33">
        <f>ROUNDUP(O414+(O414*Assumptions!O$5),-2)</f>
        <v>1700</v>
      </c>
      <c r="Q414" s="33">
        <f>ROUNDUP(P414+(P414*Assumptions!P$5),-2)</f>
        <v>1800</v>
      </c>
      <c r="R414" s="114">
        <f>ROUNDUP(Q414+(Q414*Assumptions!Q$5),-2)</f>
        <v>1900</v>
      </c>
    </row>
    <row r="415" spans="1:18" ht="13.5" thickBot="1" x14ac:dyDescent="0.25">
      <c r="A415" s="107"/>
      <c r="B415" s="33"/>
      <c r="C415" s="33"/>
      <c r="D415" s="33"/>
      <c r="E415" s="658"/>
      <c r="F415" s="99"/>
      <c r="G415" s="33"/>
      <c r="H415" s="138"/>
      <c r="I415" s="33"/>
      <c r="J415" s="33"/>
      <c r="K415" s="33"/>
      <c r="L415" s="33"/>
      <c r="M415" s="33"/>
      <c r="N415" s="33"/>
      <c r="O415" s="33"/>
      <c r="P415" s="33"/>
      <c r="Q415" s="33"/>
      <c r="R415" s="114"/>
    </row>
    <row r="416" spans="1:18" s="92" customFormat="1" x14ac:dyDescent="0.2">
      <c r="A416" s="105">
        <f>SUM(A402:A415)</f>
        <v>110600</v>
      </c>
      <c r="B416" s="53">
        <f>SUM(B402:B415)</f>
        <v>163400</v>
      </c>
      <c r="C416" s="53">
        <f>SUM(C402:C415)</f>
        <v>313900</v>
      </c>
      <c r="D416" s="53">
        <f>SUM(D402:D415)</f>
        <v>233100</v>
      </c>
      <c r="E416" s="658"/>
      <c r="F416" s="112" t="s">
        <v>2605</v>
      </c>
      <c r="G416" s="53">
        <f>SUM(G402:G415)</f>
        <v>208500</v>
      </c>
      <c r="H416" s="180">
        <f>IF(D416=G416,0,IF(D416=0,100,(G416-D416)/D416*100))</f>
        <v>-10.553410553410554</v>
      </c>
      <c r="I416" s="53">
        <f t="shared" ref="I416:Q416" si="331">SUM(I402:I415)</f>
        <v>210000</v>
      </c>
      <c r="J416" s="53">
        <f t="shared" si="331"/>
        <v>215800</v>
      </c>
      <c r="K416" s="53">
        <f t="shared" si="331"/>
        <v>221800</v>
      </c>
      <c r="L416" s="53">
        <f t="shared" si="331"/>
        <v>227900</v>
      </c>
      <c r="M416" s="53">
        <f t="shared" si="331"/>
        <v>233100</v>
      </c>
      <c r="N416" s="53">
        <f t="shared" si="331"/>
        <v>238300</v>
      </c>
      <c r="O416" s="53">
        <f t="shared" si="331"/>
        <v>243700</v>
      </c>
      <c r="P416" s="53">
        <f t="shared" si="331"/>
        <v>249200</v>
      </c>
      <c r="Q416" s="53">
        <f t="shared" si="331"/>
        <v>254800</v>
      </c>
      <c r="R416" s="113">
        <f t="shared" ref="R416" si="332">SUM(R402:R415)</f>
        <v>260500</v>
      </c>
    </row>
    <row r="417" spans="1:18" x14ac:dyDescent="0.2">
      <c r="A417" s="107"/>
      <c r="B417" s="33"/>
      <c r="C417" s="33"/>
      <c r="D417" s="33"/>
      <c r="E417" s="658"/>
      <c r="F417" s="99"/>
      <c r="G417" s="33"/>
      <c r="H417" s="138"/>
      <c r="I417" s="33"/>
      <c r="J417" s="33"/>
      <c r="K417" s="33"/>
      <c r="L417" s="33"/>
      <c r="M417" s="33"/>
      <c r="N417" s="33"/>
      <c r="O417" s="33"/>
      <c r="P417" s="33"/>
      <c r="Q417" s="33"/>
      <c r="R417" s="114"/>
    </row>
    <row r="418" spans="1:18" x14ac:dyDescent="0.2">
      <c r="A418" s="107"/>
      <c r="B418" s="33"/>
      <c r="C418" s="33"/>
      <c r="D418" s="33"/>
      <c r="E418" s="658"/>
      <c r="F418" s="144" t="s">
        <v>2205</v>
      </c>
      <c r="G418" s="33"/>
      <c r="H418" s="138"/>
      <c r="I418" s="33"/>
      <c r="J418" s="33"/>
      <c r="K418" s="33"/>
      <c r="L418" s="33"/>
      <c r="M418" s="33"/>
      <c r="N418" s="33"/>
      <c r="O418" s="33"/>
      <c r="P418" s="33"/>
      <c r="Q418" s="33"/>
      <c r="R418" s="114"/>
    </row>
    <row r="419" spans="1:18" x14ac:dyDescent="0.2">
      <c r="A419" s="107"/>
      <c r="B419" s="33"/>
      <c r="C419" s="33"/>
      <c r="D419" s="33"/>
      <c r="E419" s="658"/>
      <c r="F419" s="1308" t="s">
        <v>3625</v>
      </c>
      <c r="G419" s="33"/>
      <c r="H419" s="138"/>
      <c r="I419" s="33"/>
      <c r="J419" s="33"/>
      <c r="K419" s="33"/>
      <c r="L419" s="33"/>
      <c r="M419" s="33"/>
      <c r="N419" s="33"/>
      <c r="O419" s="33"/>
      <c r="P419" s="33"/>
      <c r="Q419" s="33"/>
      <c r="R419" s="114"/>
    </row>
    <row r="420" spans="1:18" x14ac:dyDescent="0.2">
      <c r="A420" s="107">
        <v>607800</v>
      </c>
      <c r="B420" s="132">
        <v>591400</v>
      </c>
      <c r="C420" s="33">
        <v>578600</v>
      </c>
      <c r="D420" s="33">
        <v>620700</v>
      </c>
      <c r="E420" s="658" t="s">
        <v>2731</v>
      </c>
      <c r="F420" s="271" t="s">
        <v>1341</v>
      </c>
      <c r="G420" s="33">
        <f>724000-5000</f>
        <v>719000</v>
      </c>
      <c r="H420" s="138">
        <f>IF(D420=G420,0,IF(D420=0,100,(G420-D420)/D420*100))</f>
        <v>15.836958272917673</v>
      </c>
      <c r="I420" s="33">
        <f>ROUNDUP(G420+(G420*Assumptions!H$13),-2)</f>
        <v>733400</v>
      </c>
      <c r="J420" s="33">
        <f>ROUNDUP(I420+(I420*Assumptions!I$13),-2)</f>
        <v>751800</v>
      </c>
      <c r="K420" s="33">
        <f>ROUNDUP(J420+(J420*Assumptions!J$13),-2)</f>
        <v>770600</v>
      </c>
      <c r="L420" s="33">
        <f>ROUNDUP(K420+(K420*Assumptions!K$13),-2)</f>
        <v>789900</v>
      </c>
      <c r="M420" s="33">
        <f>ROUNDUP(L420+(L420*Assumptions!L$13),-2)</f>
        <v>809700</v>
      </c>
      <c r="N420" s="33">
        <f>ROUNDUP(M420+(M420*Assumptions!M$13),-2)</f>
        <v>830000</v>
      </c>
      <c r="O420" s="33">
        <f>ROUNDUP(N420+(N420*Assumptions!N$13),-2)</f>
        <v>850800</v>
      </c>
      <c r="P420" s="33">
        <f>ROUNDUP(O420+(O420*Assumptions!O$13),-2)</f>
        <v>872100</v>
      </c>
      <c r="Q420" s="33">
        <f>ROUNDUP(P420+(P420*Assumptions!P$13),-2)</f>
        <v>894000</v>
      </c>
      <c r="R420" s="114">
        <f>ROUNDUP(Q420+(Q420*Assumptions!Q$13),-2)</f>
        <v>916400</v>
      </c>
    </row>
    <row r="421" spans="1:18" x14ac:dyDescent="0.2">
      <c r="A421" s="107">
        <v>9600</v>
      </c>
      <c r="B421" s="132">
        <v>8000</v>
      </c>
      <c r="C421" s="33">
        <v>8300</v>
      </c>
      <c r="D421" s="33">
        <v>8600</v>
      </c>
      <c r="E421" s="658" t="s">
        <v>1968</v>
      </c>
      <c r="F421" s="271" t="s">
        <v>534</v>
      </c>
      <c r="G421" s="33">
        <v>8800</v>
      </c>
      <c r="H421" s="138">
        <f>IF(D421=G421,0,IF(D421=0,100,(G421-D421)/D421*100))</f>
        <v>2.3255813953488373</v>
      </c>
      <c r="I421" s="33">
        <f>ROUNDUP(G421+(G421*Assumptions!H$5),-2)</f>
        <v>9000</v>
      </c>
      <c r="J421" s="33">
        <f>ROUNDUP(I421+(I421*Assumptions!I$5),-2)</f>
        <v>9300</v>
      </c>
      <c r="K421" s="33">
        <f>ROUNDUP(J421+(J421*Assumptions!J$5),-2)</f>
        <v>9600</v>
      </c>
      <c r="L421" s="33">
        <f>ROUNDUP(K421+(K421*Assumptions!K$5),-2)</f>
        <v>9900</v>
      </c>
      <c r="M421" s="33">
        <f>ROUNDUP(L421+(L421*Assumptions!L$5),-2)</f>
        <v>10100</v>
      </c>
      <c r="N421" s="33">
        <f>ROUNDUP(M421+(M421*Assumptions!M$5),-2)</f>
        <v>10400</v>
      </c>
      <c r="O421" s="33">
        <f>ROUNDUP(N421+(N421*Assumptions!N$5),-2)</f>
        <v>10700</v>
      </c>
      <c r="P421" s="33">
        <f>ROUNDUP(O421+(O421*Assumptions!O$5),-2)</f>
        <v>11000</v>
      </c>
      <c r="Q421" s="33">
        <f>ROUNDUP(P421+(P421*Assumptions!P$5),-2)</f>
        <v>11300</v>
      </c>
      <c r="R421" s="114">
        <f>ROUNDUP(Q421+(Q421*Assumptions!Q$5),-2)</f>
        <v>11600</v>
      </c>
    </row>
    <row r="422" spans="1:18" x14ac:dyDescent="0.2">
      <c r="A422" s="107"/>
      <c r="B422" s="132"/>
      <c r="C422" s="33"/>
      <c r="D422" s="33"/>
      <c r="E422" s="658"/>
      <c r="F422" s="1308" t="s">
        <v>1249</v>
      </c>
      <c r="G422" s="33"/>
      <c r="H422" s="138"/>
      <c r="I422" s="33"/>
      <c r="J422" s="33"/>
      <c r="K422" s="33"/>
      <c r="L422" s="33"/>
      <c r="M422" s="33"/>
      <c r="N422" s="33"/>
      <c r="O422" s="33"/>
      <c r="P422" s="33"/>
      <c r="Q422" s="33"/>
      <c r="R422" s="114"/>
    </row>
    <row r="423" spans="1:18" x14ac:dyDescent="0.2">
      <c r="A423" s="107">
        <v>327500</v>
      </c>
      <c r="B423" s="132">
        <v>390000</v>
      </c>
      <c r="C423" s="33">
        <v>441700</v>
      </c>
      <c r="D423" s="33">
        <v>465000</v>
      </c>
      <c r="E423" s="658" t="s">
        <v>730</v>
      </c>
      <c r="F423" s="1953" t="s">
        <v>3309</v>
      </c>
      <c r="G423" s="33">
        <f>443000+5000</f>
        <v>448000</v>
      </c>
      <c r="H423" s="138">
        <f>IF(D423=G423,0,IF(D423=0,100,(G423-D423)/D423*100))</f>
        <v>-3.655913978494624</v>
      </c>
      <c r="I423" s="33">
        <f>ROUNDUP(G423+(G423*Assumptions!H$13),-2)</f>
        <v>457000</v>
      </c>
      <c r="J423" s="33">
        <f>ROUNDUP(I423+(I423*Assumptions!I$13),-2)</f>
        <v>468500</v>
      </c>
      <c r="K423" s="33">
        <f>ROUNDUP(J423+(J423*Assumptions!J$13),-2)</f>
        <v>480300</v>
      </c>
      <c r="L423" s="33">
        <f>ROUNDUP(K423+(K423*Assumptions!K$13),-2)</f>
        <v>492400</v>
      </c>
      <c r="M423" s="33">
        <f>ROUNDUP(L423+(L423*Assumptions!L$13),-2)</f>
        <v>504800</v>
      </c>
      <c r="N423" s="33">
        <f>ROUNDUP(M423+(M423*Assumptions!M$13),-2)</f>
        <v>517500</v>
      </c>
      <c r="O423" s="33">
        <f>ROUNDUP(N423+(N423*Assumptions!N$13),-2)</f>
        <v>530500</v>
      </c>
      <c r="P423" s="33">
        <f>ROUNDUP(O423+(O423*Assumptions!O$13),-2)</f>
        <v>543800</v>
      </c>
      <c r="Q423" s="33">
        <f>ROUNDUP(P423+(P423*Assumptions!P$13),-2)</f>
        <v>557400</v>
      </c>
      <c r="R423" s="114">
        <f>ROUNDUP(Q423+(Q423*Assumptions!Q$13),-2)</f>
        <v>571400</v>
      </c>
    </row>
    <row r="424" spans="1:18" x14ac:dyDescent="0.2">
      <c r="A424" s="107">
        <v>1200</v>
      </c>
      <c r="B424" s="132">
        <v>3000</v>
      </c>
      <c r="C424" s="33">
        <v>1000</v>
      </c>
      <c r="D424" s="33">
        <v>2000</v>
      </c>
      <c r="E424" s="658" t="s">
        <v>1045</v>
      </c>
      <c r="F424" s="1953" t="s">
        <v>2051</v>
      </c>
      <c r="G424" s="33">
        <v>1000</v>
      </c>
      <c r="H424" s="138">
        <f>IF(D424=G424,0,IF(D424=0,100,(G424-D424)/D424*100))</f>
        <v>-50</v>
      </c>
      <c r="I424" s="33">
        <v>1000</v>
      </c>
      <c r="J424" s="33">
        <f>ROUNDUP(I424+(I424*Assumptions!I$5),-2)</f>
        <v>1100</v>
      </c>
      <c r="K424" s="33">
        <f>ROUNDUP(J424+(J424*Assumptions!J$5),-2)</f>
        <v>1200</v>
      </c>
      <c r="L424" s="33">
        <f>ROUNDUP(K424+(K424*Assumptions!K$5),-2)</f>
        <v>1300</v>
      </c>
      <c r="M424" s="33">
        <f>ROUNDUP(L424+(L424*Assumptions!L$5),-2)</f>
        <v>1400</v>
      </c>
      <c r="N424" s="33">
        <f>ROUNDUP(M424+(M424*Assumptions!M$5),-2)</f>
        <v>1500</v>
      </c>
      <c r="O424" s="33">
        <f>ROUNDUP(N424+(N424*Assumptions!N$5),-2)</f>
        <v>1600</v>
      </c>
      <c r="P424" s="33">
        <f>ROUNDUP(O424+(O424*Assumptions!O$5),-2)</f>
        <v>1700</v>
      </c>
      <c r="Q424" s="33">
        <f>ROUNDUP(P424+(P424*Assumptions!P$5),-2)</f>
        <v>1800</v>
      </c>
      <c r="R424" s="114">
        <f>ROUNDUP(Q424+(Q424*Assumptions!Q$5),-2)</f>
        <v>1900</v>
      </c>
    </row>
    <row r="425" spans="1:18" x14ac:dyDescent="0.2">
      <c r="A425" s="107">
        <v>2800</v>
      </c>
      <c r="B425" s="132">
        <v>1400</v>
      </c>
      <c r="C425" s="33">
        <v>600</v>
      </c>
      <c r="D425" s="33">
        <v>2800</v>
      </c>
      <c r="E425" s="658" t="s">
        <v>2551</v>
      </c>
      <c r="F425" s="1981" t="s">
        <v>37</v>
      </c>
      <c r="G425" s="33">
        <v>2500</v>
      </c>
      <c r="H425" s="138">
        <f>IF(D425=G425,0,IF(D425=0,100,(G425-D425)/D425*100))</f>
        <v>-10.714285714285714</v>
      </c>
      <c r="I425" s="33">
        <v>2500</v>
      </c>
      <c r="J425" s="33">
        <f>ROUNDUP(I425+(I425*Assumptions!I$5),-2)</f>
        <v>2600</v>
      </c>
      <c r="K425" s="33">
        <f>ROUNDUP(J425+(J425*Assumptions!J$5),-2)</f>
        <v>2700</v>
      </c>
      <c r="L425" s="33">
        <f>ROUNDUP(K425+(K425*Assumptions!K$5),-2)</f>
        <v>2800</v>
      </c>
      <c r="M425" s="33">
        <f>ROUNDUP(L425+(L425*Assumptions!L$5),-2)</f>
        <v>2900</v>
      </c>
      <c r="N425" s="33">
        <f>ROUNDUP(M425+(M425*Assumptions!M$5),-2)</f>
        <v>3000</v>
      </c>
      <c r="O425" s="33">
        <f>ROUNDUP(N425+(N425*Assumptions!N$5),-2)</f>
        <v>3100</v>
      </c>
      <c r="P425" s="33">
        <f>ROUNDUP(O425+(O425*Assumptions!O$5),-2)</f>
        <v>3200</v>
      </c>
      <c r="Q425" s="33">
        <f>ROUNDUP(P425+(P425*Assumptions!P$5),-2)</f>
        <v>3300</v>
      </c>
      <c r="R425" s="114">
        <f>ROUNDUP(Q425+(Q425*Assumptions!Q$5),-2)</f>
        <v>3400</v>
      </c>
    </row>
    <row r="426" spans="1:18" x14ac:dyDescent="0.2">
      <c r="A426" s="107"/>
      <c r="B426" s="33"/>
      <c r="C426" s="33"/>
      <c r="D426" s="33"/>
      <c r="E426" s="658"/>
      <c r="F426" s="1308" t="s">
        <v>3657</v>
      </c>
      <c r="G426" s="33"/>
      <c r="H426" s="138"/>
      <c r="I426" s="33"/>
      <c r="J426" s="33"/>
      <c r="K426" s="33"/>
      <c r="L426" s="33"/>
      <c r="M426" s="33"/>
      <c r="N426" s="33"/>
      <c r="O426" s="33"/>
      <c r="P426" s="33"/>
      <c r="Q426" s="33"/>
      <c r="R426" s="114"/>
    </row>
    <row r="427" spans="1:18" x14ac:dyDescent="0.2">
      <c r="A427" s="107">
        <v>3900</v>
      </c>
      <c r="B427" s="132">
        <v>3600</v>
      </c>
      <c r="C427" s="33">
        <v>2400</v>
      </c>
      <c r="D427" s="33">
        <v>2600</v>
      </c>
      <c r="E427" s="658" t="s">
        <v>101</v>
      </c>
      <c r="F427" s="1981" t="s">
        <v>1317</v>
      </c>
      <c r="G427" s="33">
        <v>4900</v>
      </c>
      <c r="H427" s="138">
        <f t="shared" ref="H427:H442" si="333">IF(D427=G427,0,IF(D427=0,100,(G427-D427)/D427*100))</f>
        <v>88.461538461538453</v>
      </c>
      <c r="I427" s="33">
        <v>4000</v>
      </c>
      <c r="J427" s="33">
        <f>ROUNDUP(I427+(I427*Assumptions!I$5),-2)</f>
        <v>4100</v>
      </c>
      <c r="K427" s="33">
        <f>ROUNDUP(J427+(J427*Assumptions!J$5),-2)</f>
        <v>4300</v>
      </c>
      <c r="L427" s="33">
        <f>ROUNDUP(K427+(K427*Assumptions!K$5),-2)</f>
        <v>4500</v>
      </c>
      <c r="M427" s="33">
        <f>ROUNDUP(L427+(L427*Assumptions!L$5),-2)</f>
        <v>4600</v>
      </c>
      <c r="N427" s="33">
        <f>ROUNDUP(M427+(M427*Assumptions!M$5),-2)</f>
        <v>4700</v>
      </c>
      <c r="O427" s="33">
        <f>ROUNDUP(N427+(N427*Assumptions!N$5),-2)</f>
        <v>4800</v>
      </c>
      <c r="P427" s="33">
        <f>ROUNDUP(O427+(O427*Assumptions!O$5),-2)</f>
        <v>4900</v>
      </c>
      <c r="Q427" s="33">
        <f>ROUNDUP(P427+(P427*Assumptions!P$5),-2)</f>
        <v>5000</v>
      </c>
      <c r="R427" s="114">
        <f>ROUNDUP(Q427+(Q427*Assumptions!Q$5),-2)</f>
        <v>5100</v>
      </c>
    </row>
    <row r="428" spans="1:18" x14ac:dyDescent="0.2">
      <c r="A428" s="107">
        <v>19500</v>
      </c>
      <c r="B428" s="132">
        <v>26200</v>
      </c>
      <c r="C428" s="33">
        <v>26500</v>
      </c>
      <c r="D428" s="33">
        <v>22500</v>
      </c>
      <c r="E428" s="658" t="s">
        <v>1588</v>
      </c>
      <c r="F428" s="1981" t="s">
        <v>1237</v>
      </c>
      <c r="G428" s="33">
        <v>30000</v>
      </c>
      <c r="H428" s="138">
        <f t="shared" si="333"/>
        <v>33.333333333333329</v>
      </c>
      <c r="I428" s="33">
        <v>25000</v>
      </c>
      <c r="J428" s="33">
        <f>ROUNDUP(I428+(I428*Assumptions!I$5),-2)</f>
        <v>25700</v>
      </c>
      <c r="K428" s="33">
        <f>ROUNDUP(J428+(J428*Assumptions!J$5),-2)</f>
        <v>26400</v>
      </c>
      <c r="L428" s="33">
        <f>ROUNDUP(K428+(K428*Assumptions!K$5),-2)</f>
        <v>27100</v>
      </c>
      <c r="M428" s="33">
        <f>ROUNDUP(L428+(L428*Assumptions!L$5),-2)</f>
        <v>27700</v>
      </c>
      <c r="N428" s="33">
        <f>ROUNDUP(M428+(M428*Assumptions!M$5),-2)</f>
        <v>28300</v>
      </c>
      <c r="O428" s="33">
        <f>ROUNDUP(N428+(N428*Assumptions!N$5),-2)</f>
        <v>28900</v>
      </c>
      <c r="P428" s="33">
        <f>ROUNDUP(O428+(O428*Assumptions!O$5),-2)</f>
        <v>29500</v>
      </c>
      <c r="Q428" s="33">
        <f>ROUNDUP(P428+(P428*Assumptions!P$5),-2)</f>
        <v>30100</v>
      </c>
      <c r="R428" s="114">
        <f>ROUNDUP(Q428+(Q428*Assumptions!Q$5),-2)</f>
        <v>30800</v>
      </c>
    </row>
    <row r="429" spans="1:18" x14ac:dyDescent="0.2">
      <c r="A429" s="107">
        <v>2100</v>
      </c>
      <c r="B429" s="132">
        <v>3200</v>
      </c>
      <c r="C429" s="33">
        <v>2700</v>
      </c>
      <c r="D429" s="33">
        <v>4500</v>
      </c>
      <c r="E429" s="658" t="s">
        <v>1590</v>
      </c>
      <c r="F429" s="1981" t="s">
        <v>2894</v>
      </c>
      <c r="G429" s="33">
        <v>2500</v>
      </c>
      <c r="H429" s="138">
        <f t="shared" si="333"/>
        <v>-44.444444444444443</v>
      </c>
      <c r="I429" s="33">
        <v>3000</v>
      </c>
      <c r="J429" s="33">
        <f>ROUNDUP(I429+(I429*Assumptions!I$5),-2)</f>
        <v>3100</v>
      </c>
      <c r="K429" s="33">
        <f>ROUNDUP(J429+(J429*Assumptions!J$5),-2)</f>
        <v>3200</v>
      </c>
      <c r="L429" s="33">
        <f>ROUNDUP(K429+(K429*Assumptions!K$5),-2)</f>
        <v>3300</v>
      </c>
      <c r="M429" s="33">
        <f>ROUNDUP(L429+(L429*Assumptions!L$5),-2)</f>
        <v>3400</v>
      </c>
      <c r="N429" s="33">
        <f>ROUNDUP(M429+(M429*Assumptions!M$5),-2)</f>
        <v>3500</v>
      </c>
      <c r="O429" s="33">
        <f>ROUNDUP(N429+(N429*Assumptions!N$5),-2)</f>
        <v>3600</v>
      </c>
      <c r="P429" s="33">
        <f>ROUNDUP(O429+(O429*Assumptions!O$5),-2)</f>
        <v>3700</v>
      </c>
      <c r="Q429" s="33">
        <f>ROUNDUP(P429+(P429*Assumptions!P$5),-2)</f>
        <v>3800</v>
      </c>
      <c r="R429" s="114">
        <f>ROUNDUP(Q429+(Q429*Assumptions!Q$5),-2)</f>
        <v>3900</v>
      </c>
    </row>
    <row r="430" spans="1:18" x14ac:dyDescent="0.2">
      <c r="A430" s="107">
        <v>300</v>
      </c>
      <c r="B430" s="132">
        <v>900</v>
      </c>
      <c r="C430" s="33">
        <v>1300</v>
      </c>
      <c r="D430" s="33">
        <v>1200</v>
      </c>
      <c r="E430" s="658" t="s">
        <v>1043</v>
      </c>
      <c r="F430" s="1981" t="s">
        <v>2893</v>
      </c>
      <c r="G430" s="33">
        <v>1000</v>
      </c>
      <c r="H430" s="138">
        <f t="shared" si="333"/>
        <v>-16.666666666666664</v>
      </c>
      <c r="I430" s="33">
        <v>2000</v>
      </c>
      <c r="J430" s="33">
        <f>ROUNDUP(I430+(I430*Assumptions!I$5),-2)</f>
        <v>2100</v>
      </c>
      <c r="K430" s="33">
        <f>ROUNDUP(J430+(J430*Assumptions!J$5),-2)</f>
        <v>2200</v>
      </c>
      <c r="L430" s="33">
        <f>ROUNDUP(K430+(K430*Assumptions!K$5),-2)</f>
        <v>2300</v>
      </c>
      <c r="M430" s="33">
        <f>ROUNDUP(L430+(L430*Assumptions!L$5),-2)</f>
        <v>2400</v>
      </c>
      <c r="N430" s="33">
        <f>ROUNDUP(M430+(M430*Assumptions!M$5),-2)</f>
        <v>2500</v>
      </c>
      <c r="O430" s="33">
        <f>ROUNDUP(N430+(N430*Assumptions!N$5),-2)</f>
        <v>2600</v>
      </c>
      <c r="P430" s="33">
        <f>ROUNDUP(O430+(O430*Assumptions!O$5),-2)</f>
        <v>2700</v>
      </c>
      <c r="Q430" s="33">
        <f>ROUNDUP(P430+(P430*Assumptions!P$5),-2)</f>
        <v>2800</v>
      </c>
      <c r="R430" s="114">
        <f>ROUNDUP(Q430+(Q430*Assumptions!Q$5),-2)</f>
        <v>2900</v>
      </c>
    </row>
    <row r="431" spans="1:18" x14ac:dyDescent="0.2">
      <c r="A431" s="107">
        <v>4500</v>
      </c>
      <c r="B431" s="132">
        <v>7700</v>
      </c>
      <c r="C431" s="33">
        <v>8400</v>
      </c>
      <c r="D431" s="33">
        <v>7400</v>
      </c>
      <c r="E431" s="658" t="s">
        <v>2221</v>
      </c>
      <c r="F431" s="1981" t="s">
        <v>2896</v>
      </c>
      <c r="G431" s="33">
        <v>5000</v>
      </c>
      <c r="H431" s="138">
        <f t="shared" si="333"/>
        <v>-32.432432432432435</v>
      </c>
      <c r="I431" s="33">
        <v>7000</v>
      </c>
      <c r="J431" s="33">
        <f>ROUNDUP(I431+(I431*Assumptions!I$5),-2)</f>
        <v>7200</v>
      </c>
      <c r="K431" s="33">
        <f>ROUNDUP(J431+(J431*Assumptions!J$5),-2)</f>
        <v>7400</v>
      </c>
      <c r="L431" s="33">
        <f>ROUNDUP(K431+(K431*Assumptions!K$5),-2)</f>
        <v>7600</v>
      </c>
      <c r="M431" s="33">
        <f>ROUNDUP(L431+(L431*Assumptions!L$5),-2)</f>
        <v>7800</v>
      </c>
      <c r="N431" s="33">
        <f>ROUNDUP(M431+(M431*Assumptions!M$5),-2)</f>
        <v>8000</v>
      </c>
      <c r="O431" s="33">
        <f>ROUNDUP(N431+(N431*Assumptions!N$5),-2)</f>
        <v>8200</v>
      </c>
      <c r="P431" s="33">
        <f>ROUNDUP(O431+(O431*Assumptions!O$5),-2)</f>
        <v>8400</v>
      </c>
      <c r="Q431" s="33">
        <f>ROUNDUP(P431+(P431*Assumptions!P$5),-2)</f>
        <v>8600</v>
      </c>
      <c r="R431" s="114">
        <f>ROUNDUP(Q431+(Q431*Assumptions!Q$5),-2)</f>
        <v>8800</v>
      </c>
    </row>
    <row r="432" spans="1:18" x14ac:dyDescent="0.2">
      <c r="A432" s="107">
        <v>600</v>
      </c>
      <c r="B432" s="132">
        <v>2200</v>
      </c>
      <c r="C432" s="33">
        <v>800</v>
      </c>
      <c r="D432" s="33">
        <v>0</v>
      </c>
      <c r="E432" s="658" t="s">
        <v>2224</v>
      </c>
      <c r="F432" s="1981" t="s">
        <v>2049</v>
      </c>
      <c r="G432" s="33">
        <v>1600</v>
      </c>
      <c r="H432" s="138">
        <f t="shared" si="333"/>
        <v>100</v>
      </c>
      <c r="I432" s="33">
        <v>1000</v>
      </c>
      <c r="J432" s="33">
        <f>ROUNDUP(I432+(I432*Assumptions!I$5),-2)</f>
        <v>1100</v>
      </c>
      <c r="K432" s="33">
        <f>ROUNDUP(J432+(J432*Assumptions!J$5),-2)</f>
        <v>1200</v>
      </c>
      <c r="L432" s="33">
        <f>ROUNDUP(K432+(K432*Assumptions!K$5),-2)</f>
        <v>1300</v>
      </c>
      <c r="M432" s="33">
        <f>ROUNDUP(L432+(L432*Assumptions!L$5),-2)</f>
        <v>1400</v>
      </c>
      <c r="N432" s="33">
        <f>ROUNDUP(M432+(M432*Assumptions!M$5),-2)</f>
        <v>1500</v>
      </c>
      <c r="O432" s="33">
        <f>ROUNDUP(N432+(N432*Assumptions!N$5),-2)</f>
        <v>1600</v>
      </c>
      <c r="P432" s="33">
        <f>ROUNDUP(O432+(O432*Assumptions!O$5),-2)</f>
        <v>1700</v>
      </c>
      <c r="Q432" s="33">
        <f>ROUNDUP(P432+(P432*Assumptions!P$5),-2)</f>
        <v>1800</v>
      </c>
      <c r="R432" s="114">
        <f>ROUNDUP(Q432+(Q432*Assumptions!Q$5),-2)</f>
        <v>1900</v>
      </c>
    </row>
    <row r="433" spans="1:18" x14ac:dyDescent="0.2">
      <c r="A433" s="107">
        <v>8700</v>
      </c>
      <c r="B433" s="132">
        <v>13800</v>
      </c>
      <c r="C433" s="33">
        <v>18200</v>
      </c>
      <c r="D433" s="33">
        <v>20500</v>
      </c>
      <c r="E433" s="658" t="s">
        <v>2225</v>
      </c>
      <c r="F433" s="1981" t="s">
        <v>2721</v>
      </c>
      <c r="G433" s="33">
        <v>14000</v>
      </c>
      <c r="H433" s="138">
        <f t="shared" si="333"/>
        <v>-31.707317073170731</v>
      </c>
      <c r="I433" s="33">
        <v>16000</v>
      </c>
      <c r="J433" s="33">
        <f>ROUNDUP(I433+(I433*Assumptions!I$5),-2)</f>
        <v>16400</v>
      </c>
      <c r="K433" s="33">
        <f>ROUNDUP(J433+(J433*Assumptions!J$5),-2)</f>
        <v>16900</v>
      </c>
      <c r="L433" s="33">
        <f>ROUNDUP(K433+(K433*Assumptions!K$5),-2)</f>
        <v>17400</v>
      </c>
      <c r="M433" s="33">
        <f>ROUNDUP(L433+(L433*Assumptions!L$5),-2)</f>
        <v>17800</v>
      </c>
      <c r="N433" s="33">
        <f>ROUNDUP(M433+(M433*Assumptions!M$5),-2)</f>
        <v>18200</v>
      </c>
      <c r="O433" s="33">
        <f>ROUNDUP(N433+(N433*Assumptions!N$5),-2)</f>
        <v>18600</v>
      </c>
      <c r="P433" s="33">
        <f>ROUNDUP(O433+(O433*Assumptions!O$5),-2)</f>
        <v>19000</v>
      </c>
      <c r="Q433" s="33">
        <f>ROUNDUP(P433+(P433*Assumptions!P$5),-2)</f>
        <v>19400</v>
      </c>
      <c r="R433" s="114">
        <f>ROUNDUP(Q433+(Q433*Assumptions!Q$5),-2)</f>
        <v>19800</v>
      </c>
    </row>
    <row r="434" spans="1:18" x14ac:dyDescent="0.2">
      <c r="A434" s="107">
        <v>600</v>
      </c>
      <c r="B434" s="132">
        <v>5800</v>
      </c>
      <c r="C434" s="33">
        <v>2500</v>
      </c>
      <c r="D434" s="33">
        <v>1000</v>
      </c>
      <c r="E434" s="658" t="s">
        <v>1044</v>
      </c>
      <c r="F434" s="1981" t="s">
        <v>2895</v>
      </c>
      <c r="G434" s="33">
        <v>3000</v>
      </c>
      <c r="H434" s="138">
        <f t="shared" si="333"/>
        <v>200</v>
      </c>
      <c r="I434" s="33">
        <v>3000</v>
      </c>
      <c r="J434" s="33">
        <f>ROUNDUP(I434+(I434*Assumptions!I$5),-2)</f>
        <v>3100</v>
      </c>
      <c r="K434" s="33">
        <f>ROUNDUP(J434+(J434*Assumptions!J$5),-2)</f>
        <v>3200</v>
      </c>
      <c r="L434" s="33">
        <f>ROUNDUP(K434+(K434*Assumptions!K$5),-2)</f>
        <v>3300</v>
      </c>
      <c r="M434" s="33">
        <f>ROUNDUP(L434+(L434*Assumptions!L$5),-2)</f>
        <v>3400</v>
      </c>
      <c r="N434" s="33">
        <f>ROUNDUP(M434+(M434*Assumptions!M$5),-2)</f>
        <v>3500</v>
      </c>
      <c r="O434" s="33">
        <f>ROUNDUP(N434+(N434*Assumptions!N$5),-2)</f>
        <v>3600</v>
      </c>
      <c r="P434" s="33">
        <f>ROUNDUP(O434+(O434*Assumptions!O$5),-2)</f>
        <v>3700</v>
      </c>
      <c r="Q434" s="33">
        <f>ROUNDUP(P434+(P434*Assumptions!P$5),-2)</f>
        <v>3800</v>
      </c>
      <c r="R434" s="114">
        <f>ROUNDUP(Q434+(Q434*Assumptions!Q$5),-2)</f>
        <v>3900</v>
      </c>
    </row>
    <row r="435" spans="1:18" x14ac:dyDescent="0.2">
      <c r="A435" s="107">
        <v>800</v>
      </c>
      <c r="B435" s="132">
        <v>2100</v>
      </c>
      <c r="C435" s="33">
        <v>4500</v>
      </c>
      <c r="D435" s="33">
        <v>5200</v>
      </c>
      <c r="E435" s="658" t="s">
        <v>1589</v>
      </c>
      <c r="F435" s="1981" t="s">
        <v>2892</v>
      </c>
      <c r="G435" s="33">
        <v>5400</v>
      </c>
      <c r="H435" s="138">
        <f t="shared" si="333"/>
        <v>3.8461538461538463</v>
      </c>
      <c r="I435" s="33">
        <v>5500</v>
      </c>
      <c r="J435" s="33">
        <f>ROUNDUP(I435+(I435*Assumptions!I$5),-2)</f>
        <v>5700</v>
      </c>
      <c r="K435" s="33">
        <f>ROUNDUP(J435+(J435*Assumptions!J$5),-2)</f>
        <v>5900</v>
      </c>
      <c r="L435" s="33">
        <f>ROUNDUP(K435+(K435*Assumptions!K$5),-2)</f>
        <v>6100</v>
      </c>
      <c r="M435" s="33">
        <f>ROUNDUP(L435+(L435*Assumptions!L$5),-2)</f>
        <v>6300</v>
      </c>
      <c r="N435" s="33">
        <f>ROUNDUP(M435+(M435*Assumptions!M$5),-2)</f>
        <v>6500</v>
      </c>
      <c r="O435" s="33">
        <f>ROUNDUP(N435+(N435*Assumptions!N$5),-2)</f>
        <v>6700</v>
      </c>
      <c r="P435" s="33">
        <f>ROUNDUP(O435+(O435*Assumptions!O$5),-2)</f>
        <v>6900</v>
      </c>
      <c r="Q435" s="33">
        <f>ROUNDUP(P435+(P435*Assumptions!P$5),-2)</f>
        <v>7100</v>
      </c>
      <c r="R435" s="114">
        <f>ROUNDUP(Q435+(Q435*Assumptions!Q$5),-2)</f>
        <v>7300</v>
      </c>
    </row>
    <row r="436" spans="1:18" x14ac:dyDescent="0.2">
      <c r="A436" s="107">
        <v>600</v>
      </c>
      <c r="B436" s="132">
        <v>700</v>
      </c>
      <c r="C436" s="33">
        <v>1400</v>
      </c>
      <c r="D436" s="33">
        <v>1300</v>
      </c>
      <c r="E436" s="658" t="s">
        <v>2220</v>
      </c>
      <c r="F436" s="1981" t="s">
        <v>2774</v>
      </c>
      <c r="G436" s="33">
        <v>1200</v>
      </c>
      <c r="H436" s="138">
        <f t="shared" si="333"/>
        <v>-7.6923076923076925</v>
      </c>
      <c r="I436" s="33">
        <v>1300</v>
      </c>
      <c r="J436" s="33">
        <f>ROUNDUP(I436+(I436*Assumptions!I$5),-2)</f>
        <v>1400</v>
      </c>
      <c r="K436" s="33">
        <f>ROUNDUP(J436+(J436*Assumptions!J$5),-2)</f>
        <v>1500</v>
      </c>
      <c r="L436" s="33">
        <f>ROUNDUP(K436+(K436*Assumptions!K$5),-2)</f>
        <v>1600</v>
      </c>
      <c r="M436" s="33">
        <f>ROUNDUP(L436+(L436*Assumptions!L$5),-2)</f>
        <v>1700</v>
      </c>
      <c r="N436" s="33">
        <f>ROUNDUP(M436+(M436*Assumptions!M$5),-2)</f>
        <v>1800</v>
      </c>
      <c r="O436" s="33">
        <f>ROUNDUP(N436+(N436*Assumptions!N$5),-2)</f>
        <v>1900</v>
      </c>
      <c r="P436" s="33">
        <f>ROUNDUP(O436+(O436*Assumptions!O$5),-2)</f>
        <v>2000</v>
      </c>
      <c r="Q436" s="33">
        <f>ROUNDUP(P436+(P436*Assumptions!P$5),-2)</f>
        <v>2100</v>
      </c>
      <c r="R436" s="114">
        <f>ROUNDUP(Q436+(Q436*Assumptions!Q$5),-2)</f>
        <v>2200</v>
      </c>
    </row>
    <row r="437" spans="1:18" x14ac:dyDescent="0.2">
      <c r="A437" s="107">
        <v>300</v>
      </c>
      <c r="B437" s="132">
        <v>1100</v>
      </c>
      <c r="C437" s="33">
        <v>0</v>
      </c>
      <c r="D437" s="33">
        <v>0</v>
      </c>
      <c r="E437" s="658" t="s">
        <v>2222</v>
      </c>
      <c r="F437" s="1981" t="s">
        <v>535</v>
      </c>
      <c r="G437" s="33">
        <v>1000</v>
      </c>
      <c r="H437" s="138">
        <f t="shared" si="333"/>
        <v>100</v>
      </c>
      <c r="I437" s="33">
        <v>1000</v>
      </c>
      <c r="J437" s="33">
        <f>ROUNDUP(I437+(I437*Assumptions!I$5),-2)</f>
        <v>1100</v>
      </c>
      <c r="K437" s="33">
        <f>ROUNDUP(J437+(J437*Assumptions!J$5),-2)</f>
        <v>1200</v>
      </c>
      <c r="L437" s="33">
        <f>ROUNDUP(K437+(K437*Assumptions!K$5),-2)</f>
        <v>1300</v>
      </c>
      <c r="M437" s="33">
        <f>ROUNDUP(L437+(L437*Assumptions!L$5),-2)</f>
        <v>1400</v>
      </c>
      <c r="N437" s="33">
        <f>ROUNDUP(M437+(M437*Assumptions!M$5),-2)</f>
        <v>1500</v>
      </c>
      <c r="O437" s="33">
        <f>ROUNDUP(N437+(N437*Assumptions!N$5),-2)</f>
        <v>1600</v>
      </c>
      <c r="P437" s="33">
        <f>ROUNDUP(O437+(O437*Assumptions!O$5),-2)</f>
        <v>1700</v>
      </c>
      <c r="Q437" s="33">
        <f>ROUNDUP(P437+(P437*Assumptions!P$5),-2)</f>
        <v>1800</v>
      </c>
      <c r="R437" s="114">
        <f>ROUNDUP(Q437+(Q437*Assumptions!Q$5),-2)</f>
        <v>1900</v>
      </c>
    </row>
    <row r="438" spans="1:18" x14ac:dyDescent="0.2">
      <c r="A438" s="107">
        <v>600</v>
      </c>
      <c r="B438" s="132">
        <v>600</v>
      </c>
      <c r="C438" s="33">
        <v>500</v>
      </c>
      <c r="D438" s="33">
        <v>500</v>
      </c>
      <c r="E438" s="658" t="s">
        <v>2522</v>
      </c>
      <c r="F438" s="1952" t="s">
        <v>153</v>
      </c>
      <c r="G438" s="33">
        <v>500</v>
      </c>
      <c r="H438" s="138">
        <f t="shared" si="333"/>
        <v>0</v>
      </c>
      <c r="I438" s="33">
        <v>600</v>
      </c>
      <c r="J438" s="33">
        <f>ROUNDUP(I438+(I438*Assumptions!I$5),-2)</f>
        <v>700</v>
      </c>
      <c r="K438" s="33">
        <f>ROUNDUP(J438+(J438*Assumptions!J$5),-2)</f>
        <v>800</v>
      </c>
      <c r="L438" s="33">
        <f>ROUNDUP(K438+(K438*Assumptions!K$5),-2)</f>
        <v>900</v>
      </c>
      <c r="M438" s="33">
        <f>ROUNDUP(L438+(L438*Assumptions!L$5),-2)</f>
        <v>1000</v>
      </c>
      <c r="N438" s="33">
        <f>ROUNDUP(M438+(M438*Assumptions!M$5),-2)</f>
        <v>1100</v>
      </c>
      <c r="O438" s="33">
        <f>ROUNDUP(N438+(N438*Assumptions!N$5),-2)</f>
        <v>1200</v>
      </c>
      <c r="P438" s="33">
        <f>ROUNDUP(O438+(O438*Assumptions!O$5),-2)</f>
        <v>1300</v>
      </c>
      <c r="Q438" s="33">
        <f>ROUNDUP(P438+(P438*Assumptions!P$5),-2)</f>
        <v>1400</v>
      </c>
      <c r="R438" s="114">
        <f>ROUNDUP(Q438+(Q438*Assumptions!Q$5),-2)</f>
        <v>1500</v>
      </c>
    </row>
    <row r="439" spans="1:18" x14ac:dyDescent="0.2">
      <c r="A439" s="107">
        <v>3100</v>
      </c>
      <c r="B439" s="132">
        <v>4600</v>
      </c>
      <c r="C439" s="33">
        <v>4700</v>
      </c>
      <c r="D439" s="33">
        <v>3700</v>
      </c>
      <c r="E439" s="658" t="s">
        <v>2223</v>
      </c>
      <c r="F439" s="1981" t="s">
        <v>2354</v>
      </c>
      <c r="G439" s="33">
        <v>4000</v>
      </c>
      <c r="H439" s="138">
        <f t="shared" si="333"/>
        <v>8.1081081081081088</v>
      </c>
      <c r="I439" s="33">
        <v>4000</v>
      </c>
      <c r="J439" s="33">
        <f>ROUNDUP(I439+(I439*Assumptions!I$5),-2)</f>
        <v>4100</v>
      </c>
      <c r="K439" s="33">
        <f>ROUNDUP(J439+(J439*Assumptions!J$5),-2)</f>
        <v>4300</v>
      </c>
      <c r="L439" s="33">
        <f>ROUNDUP(K439+(K439*Assumptions!K$5),-2)</f>
        <v>4500</v>
      </c>
      <c r="M439" s="33">
        <f>ROUNDUP(L439+(L439*Assumptions!L$5),-2)</f>
        <v>4600</v>
      </c>
      <c r="N439" s="33">
        <f>ROUNDUP(M439+(M439*Assumptions!M$5),-2)</f>
        <v>4700</v>
      </c>
      <c r="O439" s="33">
        <f>ROUNDUP(N439+(N439*Assumptions!N$5),-2)</f>
        <v>4800</v>
      </c>
      <c r="P439" s="33">
        <f>ROUNDUP(O439+(O439*Assumptions!O$5),-2)</f>
        <v>4900</v>
      </c>
      <c r="Q439" s="33">
        <f>ROUNDUP(P439+(P439*Assumptions!P$5),-2)</f>
        <v>5000</v>
      </c>
      <c r="R439" s="114">
        <f>ROUNDUP(Q439+(Q439*Assumptions!Q$5),-2)</f>
        <v>5100</v>
      </c>
    </row>
    <row r="440" spans="1:18" x14ac:dyDescent="0.2">
      <c r="A440" s="107">
        <v>0</v>
      </c>
      <c r="B440" s="132">
        <v>1200</v>
      </c>
      <c r="C440" s="33">
        <v>0</v>
      </c>
      <c r="D440" s="33">
        <v>300</v>
      </c>
      <c r="E440" s="658" t="s">
        <v>1705</v>
      </c>
      <c r="F440" s="443" t="s">
        <v>857</v>
      </c>
      <c r="G440" s="33">
        <v>2000</v>
      </c>
      <c r="H440" s="138">
        <f t="shared" si="333"/>
        <v>566.66666666666674</v>
      </c>
      <c r="I440" s="33">
        <v>1000</v>
      </c>
      <c r="J440" s="33">
        <f>ROUNDUP(I440+(I440*Assumptions!I$5),-2)</f>
        <v>1100</v>
      </c>
      <c r="K440" s="33">
        <f>ROUNDUP(J440+(J440*Assumptions!J$5),-2)</f>
        <v>1200</v>
      </c>
      <c r="L440" s="33">
        <f>ROUNDUP(K440+(K440*Assumptions!K$5),-2)</f>
        <v>1300</v>
      </c>
      <c r="M440" s="33">
        <f>ROUNDUP(L440+(L440*Assumptions!L$5),-2)</f>
        <v>1400</v>
      </c>
      <c r="N440" s="33">
        <f>ROUNDUP(M440+(M440*Assumptions!M$5),-2)</f>
        <v>1500</v>
      </c>
      <c r="O440" s="33">
        <f>ROUNDUP(N440+(N440*Assumptions!N$5),-2)</f>
        <v>1600</v>
      </c>
      <c r="P440" s="33">
        <f>ROUNDUP(O440+(O440*Assumptions!O$5),-2)</f>
        <v>1700</v>
      </c>
      <c r="Q440" s="33">
        <f>ROUNDUP(P440+(P440*Assumptions!P$5),-2)</f>
        <v>1800</v>
      </c>
      <c r="R440" s="114">
        <f>ROUNDUP(Q440+(Q440*Assumptions!Q$5),-2)</f>
        <v>1900</v>
      </c>
    </row>
    <row r="441" spans="1:18" x14ac:dyDescent="0.2">
      <c r="A441" s="107">
        <v>2700</v>
      </c>
      <c r="B441" s="132">
        <v>0</v>
      </c>
      <c r="C441" s="33">
        <v>0</v>
      </c>
      <c r="D441" s="33">
        <v>0</v>
      </c>
      <c r="E441" s="658" t="s">
        <v>1100</v>
      </c>
      <c r="F441" s="443" t="s">
        <v>1101</v>
      </c>
      <c r="G441" s="33">
        <v>1500</v>
      </c>
      <c r="H441" s="138">
        <f t="shared" si="333"/>
        <v>100</v>
      </c>
      <c r="I441" s="33">
        <v>500</v>
      </c>
      <c r="J441" s="33">
        <f>ROUNDUP(I441+(I441*Assumptions!I$5),-2)</f>
        <v>600</v>
      </c>
      <c r="K441" s="33">
        <f>ROUNDUP(J441+(J441*Assumptions!J$5),-2)</f>
        <v>700</v>
      </c>
      <c r="L441" s="33">
        <f>ROUNDUP(K441+(K441*Assumptions!K$5),-2)</f>
        <v>800</v>
      </c>
      <c r="M441" s="33">
        <f>ROUNDUP(L441+(L441*Assumptions!L$5),-2)</f>
        <v>900</v>
      </c>
      <c r="N441" s="33">
        <f>ROUNDUP(M441+(M441*Assumptions!M$5),-2)</f>
        <v>1000</v>
      </c>
      <c r="O441" s="33">
        <f>ROUNDUP(N441+(N441*Assumptions!N$5),-2)</f>
        <v>1100</v>
      </c>
      <c r="P441" s="33">
        <f>ROUNDUP(O441+(O441*Assumptions!O$5),-2)</f>
        <v>1200</v>
      </c>
      <c r="Q441" s="33">
        <f>ROUNDUP(P441+(P441*Assumptions!P$5),-2)</f>
        <v>1300</v>
      </c>
      <c r="R441" s="114">
        <f>ROUNDUP(Q441+(Q441*Assumptions!Q$5),-2)</f>
        <v>1400</v>
      </c>
    </row>
    <row r="442" spans="1:18" x14ac:dyDescent="0.2">
      <c r="A442" s="107">
        <v>0</v>
      </c>
      <c r="B442" s="132">
        <v>0</v>
      </c>
      <c r="C442" s="33">
        <v>0</v>
      </c>
      <c r="D442" s="33">
        <v>0</v>
      </c>
      <c r="E442" s="1092" t="s">
        <v>3697</v>
      </c>
      <c r="F442" s="814" t="s">
        <v>3658</v>
      </c>
      <c r="G442" s="33">
        <v>2000</v>
      </c>
      <c r="H442" s="138">
        <f t="shared" si="333"/>
        <v>100</v>
      </c>
      <c r="I442" s="33">
        <v>2000</v>
      </c>
      <c r="J442" s="33">
        <f>ROUNDUP(I442+(I442*Assumptions!I$5),-2)</f>
        <v>2100</v>
      </c>
      <c r="K442" s="33">
        <f>ROUNDUP(J442+(J442*Assumptions!J$5),-2)</f>
        <v>2200</v>
      </c>
      <c r="L442" s="33">
        <f>ROUNDUP(K442+(K442*Assumptions!K$5),-2)</f>
        <v>2300</v>
      </c>
      <c r="M442" s="33">
        <f>ROUNDUP(L442+(L442*Assumptions!L$5),-2)</f>
        <v>2400</v>
      </c>
      <c r="N442" s="33">
        <f>ROUNDUP(M442+(M442*Assumptions!M$5),-2)</f>
        <v>2500</v>
      </c>
      <c r="O442" s="33">
        <f>ROUNDUP(N442+(N442*Assumptions!N$5),-2)</f>
        <v>2600</v>
      </c>
      <c r="P442" s="33">
        <f>ROUNDUP(O442+(O442*Assumptions!O$5),-2)</f>
        <v>2700</v>
      </c>
      <c r="Q442" s="33">
        <f>ROUNDUP(P442+(P442*Assumptions!P$5),-2)</f>
        <v>2800</v>
      </c>
      <c r="R442" s="114">
        <f>ROUNDUP(Q442+(Q442*Assumptions!Q$5),-2)</f>
        <v>2900</v>
      </c>
    </row>
    <row r="443" spans="1:18" x14ac:dyDescent="0.2">
      <c r="A443" s="107"/>
      <c r="B443" s="33"/>
      <c r="C443" s="33"/>
      <c r="D443" s="33"/>
      <c r="E443" s="658"/>
      <c r="F443" s="175" t="s">
        <v>1130</v>
      </c>
      <c r="G443" s="33"/>
      <c r="H443" s="138"/>
      <c r="I443" s="33"/>
      <c r="J443" s="33"/>
      <c r="K443" s="33"/>
      <c r="L443" s="33"/>
      <c r="M443" s="33"/>
      <c r="N443" s="33"/>
      <c r="O443" s="33"/>
      <c r="P443" s="33"/>
      <c r="Q443" s="33"/>
      <c r="R443" s="114"/>
    </row>
    <row r="444" spans="1:18" x14ac:dyDescent="0.2">
      <c r="A444" s="107">
        <v>3300</v>
      </c>
      <c r="B444" s="33">
        <v>3000</v>
      </c>
      <c r="C444" s="33">
        <v>2500</v>
      </c>
      <c r="D444" s="33">
        <f>ROUND('Debt-Gen'!J7,-2)</f>
        <v>2200</v>
      </c>
      <c r="E444" s="658" t="s">
        <v>2801</v>
      </c>
      <c r="F444" s="1952" t="s">
        <v>4730</v>
      </c>
      <c r="G444" s="33">
        <f>ROUND('Debt-Gen'!L7,-2)</f>
        <v>1800</v>
      </c>
      <c r="H444" s="138">
        <f>IF(D444=G444,0,IF(D444=0,100,(G444-D444)/D444*100))</f>
        <v>-18.181818181818183</v>
      </c>
      <c r="I444" s="33">
        <f>ROUND('Debt-Gen'!N7,-2)</f>
        <v>1300</v>
      </c>
      <c r="J444" s="33">
        <f>ROUND('Debt-Gen'!P7,-2)</f>
        <v>800</v>
      </c>
      <c r="K444" s="33">
        <f>ROUND('Debt-Gen'!R7,-2)</f>
        <v>300</v>
      </c>
      <c r="L444" s="33">
        <f>ROUND('Debt-Gen'!T7,-2)</f>
        <v>0</v>
      </c>
      <c r="M444" s="33">
        <f>ROUND('Debt-Gen'!V7,-2)</f>
        <v>0</v>
      </c>
      <c r="N444" s="33">
        <f>ROUND('Debt-Gen'!X7,-2)</f>
        <v>0</v>
      </c>
      <c r="O444" s="33">
        <f>ROUND('Debt-Gen'!Z7,-2)</f>
        <v>0</v>
      </c>
      <c r="P444" s="33">
        <f>ROUND('Debt-Gen'!AB7,-2)</f>
        <v>0</v>
      </c>
      <c r="Q444" s="33">
        <f>ROUND('Debt-Gen'!AD7,-2)</f>
        <v>0</v>
      </c>
      <c r="R444" s="114">
        <f>ROUND('Debt-Gen'!AF7,-2)</f>
        <v>0</v>
      </c>
    </row>
    <row r="445" spans="1:18" x14ac:dyDescent="0.2">
      <c r="A445" s="107"/>
      <c r="B445" s="33"/>
      <c r="C445" s="33"/>
      <c r="D445" s="33"/>
      <c r="E445" s="658"/>
      <c r="F445" s="175" t="s">
        <v>265</v>
      </c>
      <c r="G445" s="33"/>
      <c r="H445" s="138"/>
      <c r="I445" s="33"/>
      <c r="J445" s="33"/>
      <c r="K445" s="33"/>
      <c r="L445" s="33"/>
      <c r="M445" s="33"/>
      <c r="N445" s="33"/>
      <c r="O445" s="33"/>
      <c r="P445" s="33"/>
      <c r="Q445" s="33"/>
      <c r="R445" s="114"/>
    </row>
    <row r="446" spans="1:18" ht="13.5" thickBot="1" x14ac:dyDescent="0.25">
      <c r="A446" s="107">
        <v>5000</v>
      </c>
      <c r="B446" s="33">
        <v>9800</v>
      </c>
      <c r="C446" s="33">
        <v>4400</v>
      </c>
      <c r="D446" s="33">
        <v>4500</v>
      </c>
      <c r="E446" s="658" t="s">
        <v>1587</v>
      </c>
      <c r="F446" s="1981" t="s">
        <v>2557</v>
      </c>
      <c r="G446" s="33">
        <v>4400</v>
      </c>
      <c r="H446" s="138">
        <f>IF(D446=G446,0,IF(D446=0,100,(G446-D446)/D446*100))</f>
        <v>-2.2222222222222223</v>
      </c>
      <c r="I446" s="33">
        <f>ROUNDUP(G446+(G446*Assumptions!H$18),-2)</f>
        <v>4500</v>
      </c>
      <c r="J446" s="33">
        <f>ROUNDUP(I446+(I446*Assumptions!I$18),-2)</f>
        <v>4600</v>
      </c>
      <c r="K446" s="33">
        <f>ROUNDUP(J446+(J446*Assumptions!J$18),-2)</f>
        <v>4700</v>
      </c>
      <c r="L446" s="33">
        <f>ROUNDUP(K446+(K446*Assumptions!K$18),-2)</f>
        <v>4800</v>
      </c>
      <c r="M446" s="33">
        <f>ROUNDUP(L446+(L446*Assumptions!L$18),-2)</f>
        <v>4900</v>
      </c>
      <c r="N446" s="33">
        <f>ROUNDUP(M446+(M446*Assumptions!M$18),-2)</f>
        <v>5000</v>
      </c>
      <c r="O446" s="33">
        <f>ROUNDUP(N446+(N446*Assumptions!N$18),-2)</f>
        <v>5100</v>
      </c>
      <c r="P446" s="33">
        <f>ROUNDUP(O446+(O446*Assumptions!O$18),-2)</f>
        <v>5300</v>
      </c>
      <c r="Q446" s="33">
        <f>ROUNDUP(P446+(P446*Assumptions!P$18),-2)</f>
        <v>5500</v>
      </c>
      <c r="R446" s="114">
        <f>ROUNDUP(Q446+(Q446*Assumptions!Q$18),-2)</f>
        <v>5700</v>
      </c>
    </row>
    <row r="447" spans="1:18" s="92" customFormat="1" x14ac:dyDescent="0.2">
      <c r="A447" s="105">
        <f>SUM(A418:A446)</f>
        <v>1005500</v>
      </c>
      <c r="B447" s="53">
        <f>SUM(B418:B446)</f>
        <v>1080300</v>
      </c>
      <c r="C447" s="53">
        <f>SUM(C418:C446)</f>
        <v>1111000</v>
      </c>
      <c r="D447" s="53">
        <f>SUM(D418:D446)</f>
        <v>1176500</v>
      </c>
      <c r="E447" s="674"/>
      <c r="F447" s="112" t="s">
        <v>565</v>
      </c>
      <c r="G447" s="53">
        <f t="shared" ref="G447:P447" si="334">SUM(G418:G446)</f>
        <v>1265100</v>
      </c>
      <c r="H447" s="180">
        <f>IF(D447=G447,0,IF(D447=0,100,(G447-D447)/D447*100))</f>
        <v>7.5308117297067572</v>
      </c>
      <c r="I447" s="53">
        <f t="shared" si="334"/>
        <v>1285600</v>
      </c>
      <c r="J447" s="53">
        <f t="shared" si="334"/>
        <v>1318300</v>
      </c>
      <c r="K447" s="53">
        <f t="shared" si="334"/>
        <v>1352000</v>
      </c>
      <c r="L447" s="53">
        <f t="shared" si="334"/>
        <v>1386700</v>
      </c>
      <c r="M447" s="53">
        <f t="shared" si="334"/>
        <v>1422000</v>
      </c>
      <c r="N447" s="53">
        <f t="shared" si="334"/>
        <v>1458200</v>
      </c>
      <c r="O447" s="53">
        <f t="shared" si="334"/>
        <v>1495200</v>
      </c>
      <c r="P447" s="53">
        <f t="shared" si="334"/>
        <v>1533100</v>
      </c>
      <c r="Q447" s="53">
        <f t="shared" ref="Q447" si="335">SUM(Q418:Q446)</f>
        <v>1571900</v>
      </c>
      <c r="R447" s="113">
        <f t="shared" ref="R447" si="336">SUM(R418:R446)</f>
        <v>1611700</v>
      </c>
    </row>
    <row r="448" spans="1:18" x14ac:dyDescent="0.2">
      <c r="A448" s="107"/>
      <c r="B448" s="33"/>
      <c r="C448" s="33"/>
      <c r="D448" s="33"/>
      <c r="E448" s="673"/>
      <c r="F448" s="108"/>
      <c r="G448" s="33"/>
      <c r="H448" s="138"/>
      <c r="I448" s="33"/>
      <c r="J448" s="33"/>
      <c r="K448" s="33"/>
      <c r="L448" s="33"/>
      <c r="M448" s="33"/>
      <c r="N448" s="33"/>
      <c r="O448" s="33"/>
      <c r="P448" s="33"/>
      <c r="Q448" s="33"/>
      <c r="R448" s="114"/>
    </row>
    <row r="449" spans="1:18" s="92" customFormat="1" x14ac:dyDescent="0.2">
      <c r="A449" s="70">
        <f>A416-A447</f>
        <v>-894900</v>
      </c>
      <c r="B449" s="64">
        <f>B416-B447</f>
        <v>-916900</v>
      </c>
      <c r="C449" s="64">
        <f>C416-C447</f>
        <v>-797100</v>
      </c>
      <c r="D449" s="64">
        <f>D416-D447</f>
        <v>-943400</v>
      </c>
      <c r="E449" s="674"/>
      <c r="F449" s="1963" t="s">
        <v>1019</v>
      </c>
      <c r="G449" s="64">
        <f t="shared" ref="G449:P449" si="337">G416-G447</f>
        <v>-1056600</v>
      </c>
      <c r="H449" s="179">
        <f>IF(D449=G449,0,IF(D449=0,100,(G449-D449)/D449*100))</f>
        <v>11.999152003391988</v>
      </c>
      <c r="I449" s="64">
        <f t="shared" si="337"/>
        <v>-1075600</v>
      </c>
      <c r="J449" s="64">
        <f t="shared" si="337"/>
        <v>-1102500</v>
      </c>
      <c r="K449" s="64">
        <f t="shared" si="337"/>
        <v>-1130200</v>
      </c>
      <c r="L449" s="64">
        <f t="shared" si="337"/>
        <v>-1158800</v>
      </c>
      <c r="M449" s="64">
        <f t="shared" si="337"/>
        <v>-1188900</v>
      </c>
      <c r="N449" s="64">
        <f t="shared" si="337"/>
        <v>-1219900</v>
      </c>
      <c r="O449" s="64">
        <f t="shared" si="337"/>
        <v>-1251500</v>
      </c>
      <c r="P449" s="64">
        <f t="shared" si="337"/>
        <v>-1283900</v>
      </c>
      <c r="Q449" s="64">
        <f t="shared" ref="Q449" si="338">Q416-Q447</f>
        <v>-1317100</v>
      </c>
      <c r="R449" s="115">
        <f t="shared" ref="R449" si="339">R416-R447</f>
        <v>-1351200</v>
      </c>
    </row>
    <row r="450" spans="1:18" x14ac:dyDescent="0.2">
      <c r="A450" s="107">
        <f>A446</f>
        <v>5000</v>
      </c>
      <c r="B450" s="142">
        <f>B446</f>
        <v>9800</v>
      </c>
      <c r="C450" s="33">
        <f>C446</f>
        <v>4400</v>
      </c>
      <c r="D450" s="33">
        <f>D446</f>
        <v>4500</v>
      </c>
      <c r="E450" s="673"/>
      <c r="F450" s="372" t="s">
        <v>1976</v>
      </c>
      <c r="G450" s="33">
        <f t="shared" ref="G450:P450" si="340">G446</f>
        <v>4400</v>
      </c>
      <c r="H450" s="138">
        <f>IF(D450=G450,0,IF(D450=0,100,(G450-D450)/D450*100))</f>
        <v>-2.2222222222222223</v>
      </c>
      <c r="I450" s="33">
        <f t="shared" si="340"/>
        <v>4500</v>
      </c>
      <c r="J450" s="33">
        <f t="shared" si="340"/>
        <v>4600</v>
      </c>
      <c r="K450" s="33">
        <f t="shared" si="340"/>
        <v>4700</v>
      </c>
      <c r="L450" s="33">
        <f t="shared" si="340"/>
        <v>4800</v>
      </c>
      <c r="M450" s="33">
        <f t="shared" si="340"/>
        <v>4900</v>
      </c>
      <c r="N450" s="33">
        <f t="shared" si="340"/>
        <v>5000</v>
      </c>
      <c r="O450" s="33">
        <f t="shared" si="340"/>
        <v>5100</v>
      </c>
      <c r="P450" s="33">
        <f t="shared" si="340"/>
        <v>5300</v>
      </c>
      <c r="Q450" s="33">
        <f t="shared" ref="Q450" si="341">Q446</f>
        <v>5500</v>
      </c>
      <c r="R450" s="114">
        <f t="shared" ref="R450" si="342">R446</f>
        <v>5700</v>
      </c>
    </row>
    <row r="451" spans="1:18" s="92" customFormat="1" x14ac:dyDescent="0.2">
      <c r="A451" s="181">
        <f>A449+A450</f>
        <v>-889900</v>
      </c>
      <c r="B451" s="377">
        <f>B449+B450</f>
        <v>-907100</v>
      </c>
      <c r="C451" s="397">
        <f>C449+C450</f>
        <v>-792700</v>
      </c>
      <c r="D451" s="397">
        <f>D449+D450</f>
        <v>-938900</v>
      </c>
      <c r="E451" s="675"/>
      <c r="F451" s="518" t="s">
        <v>1687</v>
      </c>
      <c r="G451" s="397">
        <f t="shared" ref="G451:O451" si="343">G449+G450</f>
        <v>-1052200</v>
      </c>
      <c r="H451" s="395">
        <f>IF(D451=G451,0,IF(D451=0,100,(G451-D451)/D451*100))</f>
        <v>12.06731281286612</v>
      </c>
      <c r="I451" s="397">
        <f t="shared" si="343"/>
        <v>-1071100</v>
      </c>
      <c r="J451" s="397">
        <f t="shared" si="343"/>
        <v>-1097900</v>
      </c>
      <c r="K451" s="397">
        <f t="shared" si="343"/>
        <v>-1125500</v>
      </c>
      <c r="L451" s="397">
        <f t="shared" si="343"/>
        <v>-1154000</v>
      </c>
      <c r="M451" s="397">
        <f t="shared" si="343"/>
        <v>-1184000</v>
      </c>
      <c r="N451" s="397">
        <f t="shared" si="343"/>
        <v>-1214900</v>
      </c>
      <c r="O451" s="397">
        <f t="shared" si="343"/>
        <v>-1246400</v>
      </c>
      <c r="P451" s="397">
        <f t="shared" ref="P451:Q451" si="344">P449+P450</f>
        <v>-1278600</v>
      </c>
      <c r="Q451" s="397">
        <f t="shared" si="344"/>
        <v>-1311600</v>
      </c>
      <c r="R451" s="399">
        <f t="shared" ref="R451" si="345">R449+R450</f>
        <v>-1345500</v>
      </c>
    </row>
    <row r="452" spans="1:18" ht="13.5" thickBot="1" x14ac:dyDescent="0.25">
      <c r="A452" s="70"/>
      <c r="B452" s="128"/>
      <c r="C452" s="64"/>
      <c r="D452" s="64"/>
      <c r="E452" s="688"/>
      <c r="F452" s="371"/>
      <c r="G452" s="64"/>
      <c r="H452" s="179"/>
      <c r="I452" s="33"/>
      <c r="J452" s="33"/>
      <c r="K452" s="33"/>
      <c r="L452" s="33"/>
      <c r="M452" s="33"/>
      <c r="N452" s="33"/>
      <c r="O452" s="33"/>
      <c r="P452" s="33"/>
      <c r="Q452" s="33"/>
      <c r="R452" s="114"/>
    </row>
    <row r="453" spans="1:18" ht="13.5" thickTop="1" x14ac:dyDescent="0.2">
      <c r="A453" s="383"/>
      <c r="B453" s="122"/>
      <c r="C453" s="162"/>
      <c r="D453" s="162"/>
      <c r="E453" s="677"/>
      <c r="F453" s="1821" t="s">
        <v>196</v>
      </c>
      <c r="G453" s="162"/>
      <c r="H453" s="505"/>
      <c r="I453" s="127"/>
      <c r="J453" s="127"/>
      <c r="K453" s="127"/>
      <c r="L453" s="127"/>
      <c r="M453" s="127"/>
      <c r="N453" s="127"/>
      <c r="O453" s="127"/>
      <c r="P453" s="127"/>
      <c r="Q453" s="127"/>
      <c r="R453" s="163"/>
    </row>
    <row r="454" spans="1:18" x14ac:dyDescent="0.2">
      <c r="A454" s="107">
        <v>5745</v>
      </c>
      <c r="B454" s="142">
        <f>ROUND('Debt-Gen'!E7,-2)</f>
        <v>6100</v>
      </c>
      <c r="C454" s="33">
        <f>ROUND('Debt-Gen'!G7,-2)</f>
        <v>6500</v>
      </c>
      <c r="D454" s="33">
        <f>ROUND('Debt-Gen'!I7,-2)</f>
        <v>6900</v>
      </c>
      <c r="E454" s="657"/>
      <c r="F454" s="525" t="s">
        <v>1791</v>
      </c>
      <c r="G454" s="33">
        <f>ROUND('Debt-Gen'!K7,-2)</f>
        <v>7300</v>
      </c>
      <c r="H454" s="138"/>
      <c r="I454" s="33">
        <f>ROUND('Debt-Gen'!M7,-2)</f>
        <v>7800</v>
      </c>
      <c r="J454" s="33">
        <f>ROUND('Debt-Gen'!O7,-2)</f>
        <v>8300</v>
      </c>
      <c r="K454" s="33">
        <f>ROUND('Debt-Gen'!Q7,-2)</f>
        <v>7300</v>
      </c>
      <c r="L454" s="33">
        <f>ROUND('Debt-Gen'!S7,-2)</f>
        <v>0</v>
      </c>
      <c r="M454" s="33">
        <f>ROUND('Debt-Gen'!U7,-2)</f>
        <v>0</v>
      </c>
      <c r="N454" s="33">
        <f>ROUND('Debt-Gen'!W7,-2)</f>
        <v>0</v>
      </c>
      <c r="O454" s="33">
        <f>ROUND('Debt-Gen'!Y7,-2)</f>
        <v>0</v>
      </c>
      <c r="P454" s="33">
        <f>ROUND('Debt-Gen'!AA7,-2)</f>
        <v>0</v>
      </c>
      <c r="Q454" s="33">
        <f>ROUND('Debt-Gen'!AC7,-2)</f>
        <v>0</v>
      </c>
      <c r="R454" s="114">
        <f>ROUND('Debt-Gen'!AE7,-2)</f>
        <v>0</v>
      </c>
    </row>
    <row r="455" spans="1:18" x14ac:dyDescent="0.2">
      <c r="A455" s="107">
        <v>133800</v>
      </c>
      <c r="B455" s="142">
        <v>385300</v>
      </c>
      <c r="C455" s="33">
        <v>0</v>
      </c>
      <c r="D455" s="33">
        <v>0</v>
      </c>
      <c r="E455" s="657"/>
      <c r="F455" s="366" t="s">
        <v>1942</v>
      </c>
      <c r="G455" s="33">
        <v>0</v>
      </c>
      <c r="H455" s="138"/>
      <c r="I455" s="33">
        <v>0</v>
      </c>
      <c r="J455" s="33">
        <v>0</v>
      </c>
      <c r="K455" s="33">
        <v>0</v>
      </c>
      <c r="L455" s="33">
        <v>0</v>
      </c>
      <c r="M455" s="33">
        <v>0</v>
      </c>
      <c r="N455" s="33">
        <v>0</v>
      </c>
      <c r="O455" s="33">
        <v>0</v>
      </c>
      <c r="P455" s="33">
        <v>0</v>
      </c>
      <c r="Q455" s="33">
        <v>0</v>
      </c>
      <c r="R455" s="114">
        <v>0</v>
      </c>
    </row>
    <row r="456" spans="1:18" x14ac:dyDescent="0.2">
      <c r="A456" s="107">
        <v>275600</v>
      </c>
      <c r="B456" s="142">
        <v>843800</v>
      </c>
      <c r="C456" s="33">
        <v>25300</v>
      </c>
      <c r="D456" s="33">
        <v>0</v>
      </c>
      <c r="E456" s="657"/>
      <c r="F456" s="366" t="s">
        <v>2348</v>
      </c>
      <c r="G456" s="33">
        <v>0</v>
      </c>
      <c r="H456" s="138"/>
      <c r="I456" s="33">
        <v>0</v>
      </c>
      <c r="J456" s="33">
        <v>0</v>
      </c>
      <c r="K456" s="33">
        <v>0</v>
      </c>
      <c r="L456" s="33">
        <v>0</v>
      </c>
      <c r="M456" s="33">
        <v>0</v>
      </c>
      <c r="N456" s="33">
        <v>0</v>
      </c>
      <c r="O456" s="33">
        <v>0</v>
      </c>
      <c r="P456" s="33">
        <v>0</v>
      </c>
      <c r="Q456" s="33">
        <v>0</v>
      </c>
      <c r="R456" s="114">
        <v>0</v>
      </c>
    </row>
    <row r="457" spans="1:18" x14ac:dyDescent="0.2">
      <c r="A457" s="107">
        <v>0</v>
      </c>
      <c r="B457" s="142">
        <v>340000</v>
      </c>
      <c r="C457" s="33">
        <v>0</v>
      </c>
      <c r="D457" s="33">
        <v>0</v>
      </c>
      <c r="E457" s="657"/>
      <c r="F457" s="366" t="s">
        <v>5984</v>
      </c>
      <c r="G457" s="33">
        <v>0</v>
      </c>
      <c r="H457" s="138"/>
      <c r="I457" s="33">
        <v>0</v>
      </c>
      <c r="J457" s="33">
        <v>0</v>
      </c>
      <c r="K457" s="33">
        <v>0</v>
      </c>
      <c r="L457" s="33">
        <v>0</v>
      </c>
      <c r="M457" s="33">
        <v>0</v>
      </c>
      <c r="N457" s="33">
        <v>0</v>
      </c>
      <c r="O457" s="33">
        <v>0</v>
      </c>
      <c r="P457" s="33">
        <v>0</v>
      </c>
      <c r="Q457" s="33">
        <v>0</v>
      </c>
      <c r="R457" s="114">
        <v>0</v>
      </c>
    </row>
    <row r="458" spans="1:18" x14ac:dyDescent="0.2">
      <c r="A458" s="107">
        <v>141813</v>
      </c>
      <c r="B458" s="142">
        <v>796900</v>
      </c>
      <c r="C458" s="33">
        <v>22400</v>
      </c>
      <c r="D458" s="33">
        <f>'Cap-Gen'!E72</f>
        <v>5100</v>
      </c>
      <c r="E458" s="657"/>
      <c r="F458" s="366" t="s">
        <v>972</v>
      </c>
      <c r="G458" s="33">
        <v>0</v>
      </c>
      <c r="H458" s="138"/>
      <c r="I458" s="33">
        <v>0</v>
      </c>
      <c r="J458" s="33">
        <v>0</v>
      </c>
      <c r="K458" s="33">
        <v>0</v>
      </c>
      <c r="L458" s="33">
        <v>0</v>
      </c>
      <c r="M458" s="33">
        <v>0</v>
      </c>
      <c r="N458" s="33">
        <v>0</v>
      </c>
      <c r="O458" s="33">
        <v>0</v>
      </c>
      <c r="P458" s="33">
        <v>0</v>
      </c>
      <c r="Q458" s="33">
        <v>0</v>
      </c>
      <c r="R458" s="114">
        <v>0</v>
      </c>
    </row>
    <row r="459" spans="1:18" s="92" customFormat="1" ht="13.5" thickBot="1" x14ac:dyDescent="0.25">
      <c r="A459" s="1719">
        <f>A451-A454-A455+A456++A457-A458</f>
        <v>-895658</v>
      </c>
      <c r="B459" s="1728">
        <f>B451-B454-B455+B456++B457-B458</f>
        <v>-911600</v>
      </c>
      <c r="C459" s="1720">
        <f>C451-C454-C455+C456++C457-C458</f>
        <v>-796300</v>
      </c>
      <c r="D459" s="1720">
        <f>D451-D454-D455+D456++D457-D458</f>
        <v>-950900</v>
      </c>
      <c r="E459" s="2497"/>
      <c r="F459" s="1722" t="s">
        <v>2490</v>
      </c>
      <c r="G459" s="1720">
        <f t="shared" ref="G459:P459" si="346">G451-G454-G455+G456++G457-G458</f>
        <v>-1059500</v>
      </c>
      <c r="H459" s="1724">
        <f>IF(D459=G459,0,IF(D459=0,100,(G459-D459)/D459*100))</f>
        <v>11.420759280681461</v>
      </c>
      <c r="I459" s="1720">
        <f t="shared" si="346"/>
        <v>-1078900</v>
      </c>
      <c r="J459" s="1720">
        <f t="shared" si="346"/>
        <v>-1106200</v>
      </c>
      <c r="K459" s="1720">
        <f t="shared" si="346"/>
        <v>-1132800</v>
      </c>
      <c r="L459" s="1720">
        <f t="shared" si="346"/>
        <v>-1154000</v>
      </c>
      <c r="M459" s="1720">
        <f t="shared" si="346"/>
        <v>-1184000</v>
      </c>
      <c r="N459" s="1720">
        <f t="shared" si="346"/>
        <v>-1214900</v>
      </c>
      <c r="O459" s="1720">
        <f t="shared" si="346"/>
        <v>-1246400</v>
      </c>
      <c r="P459" s="1720">
        <f t="shared" si="346"/>
        <v>-1278600</v>
      </c>
      <c r="Q459" s="1720">
        <f t="shared" ref="Q459" si="347">Q451-Q454-Q455+Q456++Q457-Q458</f>
        <v>-1311600</v>
      </c>
      <c r="R459" s="1725">
        <f t="shared" ref="R459" si="348">R451-R454-R455+R456++R457-R458</f>
        <v>-1345500</v>
      </c>
    </row>
    <row r="460" spans="1:18" ht="14.25" thickTop="1" thickBot="1" x14ac:dyDescent="0.25">
      <c r="A460" s="90"/>
      <c r="B460" s="134"/>
      <c r="C460" s="90"/>
      <c r="D460" s="90"/>
      <c r="E460" s="679"/>
      <c r="F460" s="368"/>
      <c r="G460" s="90"/>
      <c r="H460" s="392"/>
      <c r="I460" s="66"/>
      <c r="J460" s="66"/>
      <c r="K460" s="66"/>
      <c r="L460" s="66"/>
      <c r="M460" s="66"/>
      <c r="N460" s="66"/>
      <c r="O460" s="66"/>
      <c r="P460" s="66"/>
      <c r="Q460" s="66"/>
      <c r="R460" s="166"/>
    </row>
    <row r="461" spans="1:18" ht="14.25" thickTop="1" thickBot="1" x14ac:dyDescent="0.25">
      <c r="E461" s="686"/>
    </row>
    <row r="462" spans="1:18" s="44" customFormat="1" ht="13.5" thickTop="1" x14ac:dyDescent="0.2">
      <c r="A462" s="2891" t="s">
        <v>1856</v>
      </c>
      <c r="B462" s="2892"/>
      <c r="C462" s="2892"/>
      <c r="D462" s="2893"/>
      <c r="E462" s="2151" t="s">
        <v>2663</v>
      </c>
      <c r="F462" s="2506" t="s">
        <v>2251</v>
      </c>
      <c r="G462" s="2880" t="s">
        <v>2253</v>
      </c>
      <c r="H462" s="2881"/>
      <c r="I462" s="2881"/>
      <c r="J462" s="2881"/>
      <c r="K462" s="2881"/>
      <c r="L462" s="2881"/>
      <c r="M462" s="2881"/>
      <c r="N462" s="2881"/>
      <c r="O462" s="2881"/>
      <c r="P462" s="2881"/>
      <c r="Q462" s="2881"/>
      <c r="R462" s="2882"/>
    </row>
    <row r="463" spans="1:18" ht="13.5" thickBot="1" x14ac:dyDescent="0.25">
      <c r="A463" s="1708" t="str">
        <f>A3</f>
        <v>2012/13</v>
      </c>
      <c r="B463" s="218" t="str">
        <f>B3</f>
        <v>2013/14</v>
      </c>
      <c r="C463" s="218" t="str">
        <f>C3</f>
        <v>2014/15</v>
      </c>
      <c r="D463" s="75" t="str">
        <f>D3</f>
        <v>2015/16</v>
      </c>
      <c r="E463" s="689" t="s">
        <v>2664</v>
      </c>
      <c r="F463" s="94"/>
      <c r="G463" s="75" t="str">
        <f>G3</f>
        <v>2016/17</v>
      </c>
      <c r="H463" s="1331" t="s">
        <v>501</v>
      </c>
      <c r="I463" s="218" t="str">
        <f t="shared" ref="I463:R463" si="349">I3</f>
        <v>2017/18</v>
      </c>
      <c r="J463" s="218" t="str">
        <f t="shared" si="349"/>
        <v>2018/19</v>
      </c>
      <c r="K463" s="218" t="str">
        <f t="shared" si="349"/>
        <v>2019/20</v>
      </c>
      <c r="L463" s="218" t="str">
        <f t="shared" si="349"/>
        <v>2020/21</v>
      </c>
      <c r="M463" s="218" t="str">
        <f t="shared" si="349"/>
        <v>2021/22</v>
      </c>
      <c r="N463" s="218" t="str">
        <f t="shared" si="349"/>
        <v>2022/23</v>
      </c>
      <c r="O463" s="218" t="str">
        <f t="shared" si="349"/>
        <v>2023/24</v>
      </c>
      <c r="P463" s="218" t="str">
        <f t="shared" si="349"/>
        <v>2024/25</v>
      </c>
      <c r="Q463" s="218" t="str">
        <f t="shared" si="349"/>
        <v>2025/26</v>
      </c>
      <c r="R463" s="1704" t="str">
        <f t="shared" si="349"/>
        <v>2026/27</v>
      </c>
    </row>
    <row r="464" spans="1:18" x14ac:dyDescent="0.2">
      <c r="A464" s="107"/>
      <c r="B464" s="33"/>
      <c r="C464" s="76"/>
      <c r="D464" s="76"/>
      <c r="E464" s="658"/>
      <c r="F464" s="74"/>
      <c r="G464" s="33"/>
      <c r="H464" s="138"/>
      <c r="I464" s="33"/>
      <c r="J464" s="33"/>
      <c r="K464" s="33"/>
      <c r="L464" s="33"/>
      <c r="M464" s="33"/>
      <c r="N464" s="33"/>
      <c r="O464" s="33"/>
      <c r="P464" s="33"/>
      <c r="Q464" s="33"/>
      <c r="R464" s="114"/>
    </row>
    <row r="465" spans="1:18" x14ac:dyDescent="0.2">
      <c r="A465" s="107">
        <f>A68</f>
        <v>-800000</v>
      </c>
      <c r="B465" s="33">
        <f>B68</f>
        <v>-705700</v>
      </c>
      <c r="C465" s="76">
        <f>C68</f>
        <v>-767700</v>
      </c>
      <c r="D465" s="76">
        <f>D68</f>
        <v>-480700</v>
      </c>
      <c r="E465" s="658"/>
      <c r="F465" s="99" t="s">
        <v>1259</v>
      </c>
      <c r="G465" s="33">
        <f>G68</f>
        <v>-585500</v>
      </c>
      <c r="H465" s="138">
        <f>IF(D465=G465,0,IF(D465=0,100,(G465-D465)/D465*100))</f>
        <v>21.801539421676722</v>
      </c>
      <c r="I465" s="33">
        <f t="shared" ref="I465:R465" si="350">I68</f>
        <v>-673400</v>
      </c>
      <c r="J465" s="33">
        <f t="shared" si="350"/>
        <v>-688300</v>
      </c>
      <c r="K465" s="33">
        <f t="shared" si="350"/>
        <v>-701400</v>
      </c>
      <c r="L465" s="33">
        <f t="shared" si="350"/>
        <v>-714900</v>
      </c>
      <c r="M465" s="33">
        <f t="shared" si="350"/>
        <v>-731600</v>
      </c>
      <c r="N465" s="33">
        <f t="shared" si="350"/>
        <v>-748600</v>
      </c>
      <c r="O465" s="33">
        <f t="shared" si="350"/>
        <v>-766200</v>
      </c>
      <c r="P465" s="33">
        <f t="shared" si="350"/>
        <v>-784200</v>
      </c>
      <c r="Q465" s="33">
        <f t="shared" si="350"/>
        <v>-802700</v>
      </c>
      <c r="R465" s="114">
        <f t="shared" si="350"/>
        <v>-821800</v>
      </c>
    </row>
    <row r="466" spans="1:18" x14ac:dyDescent="0.2">
      <c r="A466" s="107">
        <f>A103</f>
        <v>-178000</v>
      </c>
      <c r="B466" s="33">
        <f>B103</f>
        <v>165100</v>
      </c>
      <c r="C466" s="76">
        <f>C103</f>
        <v>470000</v>
      </c>
      <c r="D466" s="76">
        <f>D103</f>
        <v>589800</v>
      </c>
      <c r="E466" s="658"/>
      <c r="F466" s="99" t="s">
        <v>2698</v>
      </c>
      <c r="G466" s="33">
        <f>G103</f>
        <v>452500</v>
      </c>
      <c r="H466" s="138">
        <f>IF(D466=G466,0,IF(D466=0,100,(G466-D466)/D466*100))</f>
        <v>-23.279077653441846</v>
      </c>
      <c r="I466" s="33">
        <f t="shared" ref="I466:R466" si="351">I103</f>
        <v>397800</v>
      </c>
      <c r="J466" s="33">
        <f t="shared" si="351"/>
        <v>408800</v>
      </c>
      <c r="K466" s="33">
        <f t="shared" si="351"/>
        <v>420100</v>
      </c>
      <c r="L466" s="33">
        <f t="shared" si="351"/>
        <v>432000</v>
      </c>
      <c r="M466" s="33">
        <f t="shared" si="351"/>
        <v>437100</v>
      </c>
      <c r="N466" s="33">
        <f t="shared" si="351"/>
        <v>442500</v>
      </c>
      <c r="O466" s="33">
        <f t="shared" si="351"/>
        <v>447900</v>
      </c>
      <c r="P466" s="33">
        <f t="shared" si="351"/>
        <v>453200</v>
      </c>
      <c r="Q466" s="33">
        <f t="shared" si="351"/>
        <v>458700</v>
      </c>
      <c r="R466" s="114">
        <f t="shared" si="351"/>
        <v>463900</v>
      </c>
    </row>
    <row r="467" spans="1:18" x14ac:dyDescent="0.2">
      <c r="A467" s="107">
        <f>A152</f>
        <v>-449800</v>
      </c>
      <c r="B467" s="33">
        <f>B152</f>
        <v>-497600</v>
      </c>
      <c r="C467" s="76">
        <f>C152</f>
        <v>-358700</v>
      </c>
      <c r="D467" s="76">
        <f>D152</f>
        <v>-522000</v>
      </c>
      <c r="E467" s="658"/>
      <c r="F467" s="78" t="s">
        <v>3193</v>
      </c>
      <c r="G467" s="33">
        <f>G152</f>
        <v>-574400</v>
      </c>
      <c r="H467" s="138">
        <f>IF(D467=G467,0,IF(D467=0,100,(G467-D467)/D467*100))</f>
        <v>10.038314176245212</v>
      </c>
      <c r="I467" s="33">
        <f t="shared" ref="I467:R467" si="352">I152</f>
        <v>-889400</v>
      </c>
      <c r="J467" s="33">
        <f t="shared" si="352"/>
        <v>-911600</v>
      </c>
      <c r="K467" s="33">
        <f t="shared" si="352"/>
        <v>-934100</v>
      </c>
      <c r="L467" s="33">
        <f t="shared" si="352"/>
        <v>-957300</v>
      </c>
      <c r="M467" s="33">
        <f t="shared" si="352"/>
        <v>-982100</v>
      </c>
      <c r="N467" s="33">
        <f t="shared" si="352"/>
        <v>-1007300</v>
      </c>
      <c r="O467" s="33">
        <f t="shared" si="352"/>
        <v>-1033200</v>
      </c>
      <c r="P467" s="33">
        <f t="shared" si="352"/>
        <v>-1059700</v>
      </c>
      <c r="Q467" s="33">
        <f t="shared" si="352"/>
        <v>-1086900</v>
      </c>
      <c r="R467" s="114">
        <f t="shared" si="352"/>
        <v>-1115000</v>
      </c>
    </row>
    <row r="468" spans="1:18" x14ac:dyDescent="0.2">
      <c r="A468" s="107">
        <f>A199</f>
        <v>-889400</v>
      </c>
      <c r="B468" s="33">
        <f>B199</f>
        <v>-907100</v>
      </c>
      <c r="C468" s="76">
        <f>C199</f>
        <v>-792700</v>
      </c>
      <c r="D468" s="76">
        <f>D199</f>
        <v>-938900</v>
      </c>
      <c r="E468" s="658"/>
      <c r="F468" s="99" t="s">
        <v>2710</v>
      </c>
      <c r="G468" s="33">
        <f>G199</f>
        <v>-1052200</v>
      </c>
      <c r="H468" s="138">
        <f>IF(D468=G468,0,IF(D468=0,100,(G468-D468)/D468*100))</f>
        <v>12.06731281286612</v>
      </c>
      <c r="I468" s="33">
        <f t="shared" ref="I468:R468" si="353">I199</f>
        <v>-1071100</v>
      </c>
      <c r="J468" s="33">
        <f t="shared" si="353"/>
        <v>-1097900</v>
      </c>
      <c r="K468" s="33">
        <f t="shared" si="353"/>
        <v>-1125500</v>
      </c>
      <c r="L468" s="33">
        <f t="shared" si="353"/>
        <v>-1154000</v>
      </c>
      <c r="M468" s="33">
        <f t="shared" si="353"/>
        <v>-1184000</v>
      </c>
      <c r="N468" s="33">
        <f t="shared" si="353"/>
        <v>-1214900</v>
      </c>
      <c r="O468" s="33">
        <f t="shared" si="353"/>
        <v>-1246400</v>
      </c>
      <c r="P468" s="33">
        <f t="shared" si="353"/>
        <v>-1278600</v>
      </c>
      <c r="Q468" s="33">
        <f t="shared" si="353"/>
        <v>-1311600</v>
      </c>
      <c r="R468" s="114">
        <f t="shared" si="353"/>
        <v>-1345500</v>
      </c>
    </row>
    <row r="469" spans="1:18" ht="13.5" thickBot="1" x14ac:dyDescent="0.25">
      <c r="A469" s="70"/>
      <c r="B469" s="64"/>
      <c r="C469" s="79"/>
      <c r="D469" s="79"/>
      <c r="E469" s="658"/>
      <c r="F469" s="99"/>
      <c r="G469" s="64"/>
      <c r="H469" s="179"/>
      <c r="I469" s="33"/>
      <c r="J469" s="33"/>
      <c r="K469" s="33"/>
      <c r="L469" s="33"/>
      <c r="M469" s="33"/>
      <c r="N469" s="33"/>
      <c r="O469" s="33"/>
      <c r="P469" s="33"/>
      <c r="Q469" s="33"/>
      <c r="R469" s="114"/>
    </row>
    <row r="470" spans="1:18" x14ac:dyDescent="0.2">
      <c r="A470" s="105">
        <f>SUM(A465:A469)</f>
        <v>-2317200</v>
      </c>
      <c r="B470" s="53">
        <f>SUM(B465:B469)</f>
        <v>-1945300</v>
      </c>
      <c r="C470" s="177">
        <f>SUM(C465:C469)</f>
        <v>-1449100</v>
      </c>
      <c r="D470" s="177">
        <f>SUM(D465:D469)</f>
        <v>-1351800</v>
      </c>
      <c r="E470" s="658"/>
      <c r="F470" s="516" t="s">
        <v>2179</v>
      </c>
      <c r="G470" s="53">
        <f t="shared" ref="G470:O470" si="354">SUM(G465:G469)</f>
        <v>-1759600</v>
      </c>
      <c r="H470" s="2485">
        <f>IF(D470=G470,0,IF(D470=0,100,(G470-D470)/D470*100))</f>
        <v>30.167184494747744</v>
      </c>
      <c r="I470" s="53">
        <f t="shared" si="354"/>
        <v>-2236100</v>
      </c>
      <c r="J470" s="53">
        <f t="shared" si="354"/>
        <v>-2289000</v>
      </c>
      <c r="K470" s="53">
        <f t="shared" si="354"/>
        <v>-2340900</v>
      </c>
      <c r="L470" s="53">
        <f t="shared" si="354"/>
        <v>-2394200</v>
      </c>
      <c r="M470" s="53">
        <f t="shared" si="354"/>
        <v>-2460600</v>
      </c>
      <c r="N470" s="53">
        <f t="shared" si="354"/>
        <v>-2528300</v>
      </c>
      <c r="O470" s="53">
        <f t="shared" si="354"/>
        <v>-2597900</v>
      </c>
      <c r="P470" s="53">
        <f t="shared" ref="P470:Q470" si="355">SUM(P465:P469)</f>
        <v>-2669300</v>
      </c>
      <c r="Q470" s="53">
        <f t="shared" si="355"/>
        <v>-2742500</v>
      </c>
      <c r="R470" s="113">
        <f t="shared" ref="R470" si="356">SUM(R465:R469)</f>
        <v>-2818400</v>
      </c>
    </row>
    <row r="471" spans="1:18" ht="13.5" thickBot="1" x14ac:dyDescent="0.25">
      <c r="A471" s="73"/>
      <c r="B471" s="90"/>
      <c r="C471" s="85"/>
      <c r="D471" s="85"/>
      <c r="E471" s="681"/>
      <c r="F471" s="141"/>
      <c r="G471" s="90"/>
      <c r="H471" s="392"/>
      <c r="I471" s="66"/>
      <c r="J471" s="66"/>
      <c r="K471" s="66"/>
      <c r="L471" s="66"/>
      <c r="M471" s="66"/>
      <c r="N471" s="66"/>
      <c r="O471" s="66"/>
      <c r="P471" s="66"/>
      <c r="Q471" s="66"/>
      <c r="R471" s="165"/>
    </row>
    <row r="472" spans="1:18" ht="14.25" thickTop="1" thickBot="1" x14ac:dyDescent="0.25">
      <c r="A472" s="74"/>
      <c r="B472" s="74"/>
      <c r="C472" s="74"/>
      <c r="D472" s="74"/>
      <c r="E472" s="657"/>
      <c r="F472" s="137"/>
      <c r="G472" s="74"/>
      <c r="H472" s="2482"/>
      <c r="I472" s="74"/>
      <c r="J472" s="74"/>
      <c r="K472" s="74"/>
      <c r="L472" s="99"/>
      <c r="M472" s="99"/>
      <c r="N472" s="99"/>
      <c r="O472" s="99"/>
      <c r="P472" s="99"/>
      <c r="Q472" s="99"/>
      <c r="R472" s="99"/>
    </row>
    <row r="473" spans="1:18" s="44" customFormat="1" ht="13.5" thickTop="1" x14ac:dyDescent="0.2">
      <c r="A473" s="2891" t="s">
        <v>1856</v>
      </c>
      <c r="B473" s="2892"/>
      <c r="C473" s="2892"/>
      <c r="D473" s="2893"/>
      <c r="E473" s="2151" t="s">
        <v>2663</v>
      </c>
      <c r="F473" s="2506" t="s">
        <v>2251</v>
      </c>
      <c r="G473" s="2880" t="s">
        <v>2253</v>
      </c>
      <c r="H473" s="2881"/>
      <c r="I473" s="2881"/>
      <c r="J473" s="2881"/>
      <c r="K473" s="2881"/>
      <c r="L473" s="2881"/>
      <c r="M473" s="2881"/>
      <c r="N473" s="2881"/>
      <c r="O473" s="2881"/>
      <c r="P473" s="2881"/>
      <c r="Q473" s="2881"/>
      <c r="R473" s="2882"/>
    </row>
    <row r="474" spans="1:18" ht="13.5" thickBot="1" x14ac:dyDescent="0.25">
      <c r="A474" s="1708" t="str">
        <f>A3</f>
        <v>2012/13</v>
      </c>
      <c r="B474" s="218" t="str">
        <f>B3</f>
        <v>2013/14</v>
      </c>
      <c r="C474" s="251" t="str">
        <f>C3</f>
        <v>2014/15</v>
      </c>
      <c r="D474" s="75" t="str">
        <f>D3</f>
        <v>2015/16</v>
      </c>
      <c r="E474" s="689" t="s">
        <v>2664</v>
      </c>
      <c r="F474" s="94"/>
      <c r="G474" s="75" t="str">
        <f>G3</f>
        <v>2016/17</v>
      </c>
      <c r="H474" s="1727" t="s">
        <v>501</v>
      </c>
      <c r="I474" s="218" t="str">
        <f t="shared" ref="I474:R474" si="357">I3</f>
        <v>2017/18</v>
      </c>
      <c r="J474" s="218" t="str">
        <f t="shared" si="357"/>
        <v>2018/19</v>
      </c>
      <c r="K474" s="218" t="str">
        <f t="shared" si="357"/>
        <v>2019/20</v>
      </c>
      <c r="L474" s="218" t="str">
        <f t="shared" si="357"/>
        <v>2020/21</v>
      </c>
      <c r="M474" s="218" t="str">
        <f t="shared" si="357"/>
        <v>2021/22</v>
      </c>
      <c r="N474" s="218" t="str">
        <f t="shared" si="357"/>
        <v>2022/23</v>
      </c>
      <c r="O474" s="218" t="str">
        <f t="shared" si="357"/>
        <v>2023/24</v>
      </c>
      <c r="P474" s="218" t="str">
        <f t="shared" si="357"/>
        <v>2024/25</v>
      </c>
      <c r="Q474" s="218" t="str">
        <f t="shared" si="357"/>
        <v>2025/26</v>
      </c>
      <c r="R474" s="1704" t="str">
        <f t="shared" si="357"/>
        <v>2026/27</v>
      </c>
    </row>
    <row r="475" spans="1:18" x14ac:dyDescent="0.2">
      <c r="A475" s="107"/>
      <c r="B475" s="33"/>
      <c r="C475" s="76"/>
      <c r="D475" s="33"/>
      <c r="E475" s="658"/>
      <c r="F475" s="74"/>
      <c r="G475" s="33"/>
      <c r="H475" s="138"/>
      <c r="I475" s="33"/>
      <c r="J475" s="33"/>
      <c r="K475" s="33"/>
      <c r="L475" s="33"/>
      <c r="M475" s="33"/>
      <c r="N475" s="33"/>
      <c r="O475" s="33"/>
      <c r="P475" s="33"/>
      <c r="Q475" s="33"/>
      <c r="R475" s="114"/>
    </row>
    <row r="476" spans="1:18" x14ac:dyDescent="0.2">
      <c r="A476" s="107">
        <f>A66</f>
        <v>-800000</v>
      </c>
      <c r="B476" s="33">
        <f>B66</f>
        <v>-705700</v>
      </c>
      <c r="C476" s="76">
        <f>C66</f>
        <v>-767700</v>
      </c>
      <c r="D476" s="33">
        <f>D66</f>
        <v>-480700</v>
      </c>
      <c r="E476" s="658"/>
      <c r="F476" s="99" t="str">
        <f>F465</f>
        <v>Development Services</v>
      </c>
      <c r="G476" s="33">
        <f>G66</f>
        <v>-585500</v>
      </c>
      <c r="H476" s="138">
        <f>IF(D476=G476,0,IF(D476=0,100,(G476-D476)/D476*100))</f>
        <v>21.801539421676722</v>
      </c>
      <c r="I476" s="33">
        <f t="shared" ref="I476:R476" si="358">I66</f>
        <v>-673400</v>
      </c>
      <c r="J476" s="33">
        <f t="shared" si="358"/>
        <v>-688300</v>
      </c>
      <c r="K476" s="33">
        <f t="shared" si="358"/>
        <v>-701400</v>
      </c>
      <c r="L476" s="33">
        <f t="shared" si="358"/>
        <v>-714900</v>
      </c>
      <c r="M476" s="33">
        <f t="shared" si="358"/>
        <v>-731600</v>
      </c>
      <c r="N476" s="33">
        <f t="shared" si="358"/>
        <v>-748600</v>
      </c>
      <c r="O476" s="33">
        <f t="shared" si="358"/>
        <v>-766200</v>
      </c>
      <c r="P476" s="33">
        <f t="shared" si="358"/>
        <v>-784200</v>
      </c>
      <c r="Q476" s="33">
        <f t="shared" si="358"/>
        <v>-802700</v>
      </c>
      <c r="R476" s="114">
        <f t="shared" si="358"/>
        <v>-821800</v>
      </c>
    </row>
    <row r="477" spans="1:18" x14ac:dyDescent="0.2">
      <c r="A477" s="107">
        <f>A101</f>
        <v>-178000</v>
      </c>
      <c r="B477" s="33">
        <f>B101</f>
        <v>165100</v>
      </c>
      <c r="C477" s="76">
        <f>C101</f>
        <v>470000</v>
      </c>
      <c r="D477" s="33">
        <f>D101</f>
        <v>589800</v>
      </c>
      <c r="E477" s="658"/>
      <c r="F477" s="99" t="str">
        <f>F466</f>
        <v>Building Services</v>
      </c>
      <c r="G477" s="33">
        <f>G101</f>
        <v>452500</v>
      </c>
      <c r="H477" s="138">
        <f>IF(D477=G477,0,IF(D477=0,100,(G477-D477)/D477*100))</f>
        <v>-23.279077653441846</v>
      </c>
      <c r="I477" s="33">
        <f t="shared" ref="I477:R477" si="359">I101</f>
        <v>397800</v>
      </c>
      <c r="J477" s="33">
        <f t="shared" si="359"/>
        <v>408800</v>
      </c>
      <c r="K477" s="33">
        <f t="shared" si="359"/>
        <v>420100</v>
      </c>
      <c r="L477" s="33">
        <f t="shared" si="359"/>
        <v>432000</v>
      </c>
      <c r="M477" s="33">
        <f t="shared" si="359"/>
        <v>437100</v>
      </c>
      <c r="N477" s="33">
        <f t="shared" si="359"/>
        <v>442500</v>
      </c>
      <c r="O477" s="33">
        <f t="shared" si="359"/>
        <v>447900</v>
      </c>
      <c r="P477" s="33">
        <f t="shared" si="359"/>
        <v>453200</v>
      </c>
      <c r="Q477" s="33">
        <f t="shared" si="359"/>
        <v>458700</v>
      </c>
      <c r="R477" s="114">
        <f t="shared" si="359"/>
        <v>463900</v>
      </c>
    </row>
    <row r="478" spans="1:18" x14ac:dyDescent="0.2">
      <c r="A478" s="107">
        <f>A150</f>
        <v>-449800</v>
      </c>
      <c r="B478" s="33">
        <f>B150</f>
        <v>-497600</v>
      </c>
      <c r="C478" s="76">
        <f>C150</f>
        <v>-358700</v>
      </c>
      <c r="D478" s="33">
        <f>D150</f>
        <v>-522000</v>
      </c>
      <c r="E478" s="658"/>
      <c r="F478" s="99" t="str">
        <f>F467</f>
        <v>Environmental and Public Health</v>
      </c>
      <c r="G478" s="33">
        <f>G150</f>
        <v>-574400</v>
      </c>
      <c r="H478" s="138">
        <f>IF(D478=G478,0,IF(D478=0,100,(G478-D478)/D478*100))</f>
        <v>10.038314176245212</v>
      </c>
      <c r="I478" s="33">
        <f t="shared" ref="I478:R478" si="360">I150</f>
        <v>-889400</v>
      </c>
      <c r="J478" s="33">
        <f t="shared" si="360"/>
        <v>-911600</v>
      </c>
      <c r="K478" s="33">
        <f t="shared" si="360"/>
        <v>-934100</v>
      </c>
      <c r="L478" s="33">
        <f t="shared" si="360"/>
        <v>-957300</v>
      </c>
      <c r="M478" s="33">
        <f t="shared" si="360"/>
        <v>-982100</v>
      </c>
      <c r="N478" s="33">
        <f t="shared" si="360"/>
        <v>-1007300</v>
      </c>
      <c r="O478" s="33">
        <f t="shared" si="360"/>
        <v>-1033200</v>
      </c>
      <c r="P478" s="33">
        <f t="shared" si="360"/>
        <v>-1059700</v>
      </c>
      <c r="Q478" s="33">
        <f t="shared" si="360"/>
        <v>-1086900</v>
      </c>
      <c r="R478" s="114">
        <f t="shared" si="360"/>
        <v>-1115000</v>
      </c>
    </row>
    <row r="479" spans="1:18" x14ac:dyDescent="0.2">
      <c r="A479" s="107">
        <f>A197</f>
        <v>-894400</v>
      </c>
      <c r="B479" s="33">
        <f>B197</f>
        <v>-916900</v>
      </c>
      <c r="C479" s="76">
        <f>C197</f>
        <v>-797100</v>
      </c>
      <c r="D479" s="33">
        <f>D197</f>
        <v>-943400</v>
      </c>
      <c r="E479" s="658"/>
      <c r="F479" s="99" t="str">
        <f>F468</f>
        <v>Administration and Public Order</v>
      </c>
      <c r="G479" s="33">
        <f>G197</f>
        <v>-1056600</v>
      </c>
      <c r="H479" s="138">
        <f>IF(D479=G479,0,IF(D479=0,100,(G479-D479)/D479*100))</f>
        <v>11.999152003391988</v>
      </c>
      <c r="I479" s="33">
        <f t="shared" ref="I479:R479" si="361">I197</f>
        <v>-1075600</v>
      </c>
      <c r="J479" s="33">
        <f t="shared" si="361"/>
        <v>-1102500</v>
      </c>
      <c r="K479" s="33">
        <f t="shared" si="361"/>
        <v>-1130200</v>
      </c>
      <c r="L479" s="33">
        <f t="shared" si="361"/>
        <v>-1158800</v>
      </c>
      <c r="M479" s="33">
        <f t="shared" si="361"/>
        <v>-1188900</v>
      </c>
      <c r="N479" s="33">
        <f t="shared" si="361"/>
        <v>-1219900</v>
      </c>
      <c r="O479" s="33">
        <f t="shared" si="361"/>
        <v>-1251500</v>
      </c>
      <c r="P479" s="33">
        <f t="shared" si="361"/>
        <v>-1283900</v>
      </c>
      <c r="Q479" s="33">
        <f t="shared" si="361"/>
        <v>-1317100</v>
      </c>
      <c r="R479" s="114">
        <f t="shared" si="361"/>
        <v>-1351200</v>
      </c>
    </row>
    <row r="480" spans="1:18" ht="13.5" thickBot="1" x14ac:dyDescent="0.25">
      <c r="A480" s="70"/>
      <c r="B480" s="64"/>
      <c r="C480" s="79"/>
      <c r="D480" s="64"/>
      <c r="E480" s="658"/>
      <c r="F480" s="99"/>
      <c r="G480" s="64"/>
      <c r="H480" s="179"/>
      <c r="I480" s="33"/>
      <c r="J480" s="33"/>
      <c r="K480" s="33"/>
      <c r="L480" s="33"/>
      <c r="M480" s="33"/>
      <c r="N480" s="33"/>
      <c r="O480" s="33"/>
      <c r="P480" s="33"/>
      <c r="Q480" s="33"/>
      <c r="R480" s="114"/>
    </row>
    <row r="481" spans="1:18" x14ac:dyDescent="0.2">
      <c r="A481" s="105">
        <f>SUM(A476:A480)</f>
        <v>-2322200</v>
      </c>
      <c r="B481" s="53">
        <f>SUM(B476:B480)</f>
        <v>-1955100</v>
      </c>
      <c r="C481" s="177">
        <f>SUM(C476:C480)</f>
        <v>-1453500</v>
      </c>
      <c r="D481" s="53">
        <f>SUM(D476:D480)</f>
        <v>-1356300</v>
      </c>
      <c r="E481" s="658"/>
      <c r="F481" s="516" t="s">
        <v>366</v>
      </c>
      <c r="G481" s="53">
        <f t="shared" ref="G481:O481" si="362">SUM(G476:G480)</f>
        <v>-1764000</v>
      </c>
      <c r="H481" s="180">
        <f>IF(D481=G481,0,IF(D481=0,100,(G481-D481)/D481*100))</f>
        <v>30.059721300597214</v>
      </c>
      <c r="I481" s="53">
        <f t="shared" si="362"/>
        <v>-2240600</v>
      </c>
      <c r="J481" s="53">
        <f t="shared" si="362"/>
        <v>-2293600</v>
      </c>
      <c r="K481" s="53">
        <f t="shared" si="362"/>
        <v>-2345600</v>
      </c>
      <c r="L481" s="53">
        <f t="shared" si="362"/>
        <v>-2399000</v>
      </c>
      <c r="M481" s="53">
        <f t="shared" si="362"/>
        <v>-2465500</v>
      </c>
      <c r="N481" s="53">
        <f t="shared" si="362"/>
        <v>-2533300</v>
      </c>
      <c r="O481" s="53">
        <f t="shared" si="362"/>
        <v>-2603000</v>
      </c>
      <c r="P481" s="53">
        <f t="shared" ref="P481:Q481" si="363">SUM(P476:P480)</f>
        <v>-2674600</v>
      </c>
      <c r="Q481" s="53">
        <f t="shared" si="363"/>
        <v>-2748000</v>
      </c>
      <c r="R481" s="113">
        <f t="shared" ref="R481" si="364">SUM(R476:R480)</f>
        <v>-2824100</v>
      </c>
    </row>
    <row r="482" spans="1:18" x14ac:dyDescent="0.2">
      <c r="A482" s="70"/>
      <c r="B482" s="64"/>
      <c r="C482" s="74"/>
      <c r="D482" s="64"/>
      <c r="E482" s="658"/>
      <c r="F482" s="516"/>
      <c r="G482" s="64"/>
      <c r="H482" s="179"/>
      <c r="I482" s="64"/>
      <c r="J482" s="64"/>
      <c r="K482" s="64"/>
      <c r="L482" s="64"/>
      <c r="M482" s="64"/>
      <c r="N482" s="64"/>
      <c r="O482" s="64"/>
      <c r="P482" s="64"/>
      <c r="Q482" s="64"/>
      <c r="R482" s="115"/>
    </row>
    <row r="483" spans="1:18" x14ac:dyDescent="0.2">
      <c r="A483" s="70">
        <f>A470</f>
        <v>-2317200</v>
      </c>
      <c r="B483" s="64">
        <f>B470</f>
        <v>-1945300</v>
      </c>
      <c r="C483" s="74">
        <f>C470</f>
        <v>-1449100</v>
      </c>
      <c r="D483" s="64">
        <f>D470</f>
        <v>-1351800</v>
      </c>
      <c r="E483" s="658"/>
      <c r="F483" s="516" t="s">
        <v>2806</v>
      </c>
      <c r="G483" s="64">
        <f t="shared" ref="G483:P483" si="365">G470</f>
        <v>-1759600</v>
      </c>
      <c r="H483" s="32">
        <f>IF(D483=G483,0,IF(D483=0,100,(G483-D483)/D483*100))</f>
        <v>30.167184494747744</v>
      </c>
      <c r="I483" s="64">
        <f t="shared" si="365"/>
        <v>-2236100</v>
      </c>
      <c r="J483" s="64">
        <f t="shared" si="365"/>
        <v>-2289000</v>
      </c>
      <c r="K483" s="64">
        <f t="shared" si="365"/>
        <v>-2340900</v>
      </c>
      <c r="L483" s="64">
        <f t="shared" si="365"/>
        <v>-2394200</v>
      </c>
      <c r="M483" s="64">
        <f t="shared" si="365"/>
        <v>-2460600</v>
      </c>
      <c r="N483" s="64">
        <f t="shared" si="365"/>
        <v>-2528300</v>
      </c>
      <c r="O483" s="64">
        <f t="shared" si="365"/>
        <v>-2597900</v>
      </c>
      <c r="P483" s="64">
        <f t="shared" si="365"/>
        <v>-2669300</v>
      </c>
      <c r="Q483" s="64">
        <f t="shared" ref="Q483" si="366">Q470</f>
        <v>-2742500</v>
      </c>
      <c r="R483" s="115">
        <f t="shared" ref="R483" si="367">R470</f>
        <v>-2818400</v>
      </c>
    </row>
    <row r="484" spans="1:18" x14ac:dyDescent="0.2">
      <c r="A484" s="70"/>
      <c r="B484" s="64"/>
      <c r="C484" s="74"/>
      <c r="D484" s="64"/>
      <c r="E484" s="658"/>
      <c r="F484" s="516"/>
      <c r="G484" s="64"/>
      <c r="H484" s="179"/>
      <c r="I484" s="64"/>
      <c r="J484" s="64"/>
      <c r="K484" s="64"/>
      <c r="L484" s="64"/>
      <c r="M484" s="64"/>
      <c r="N484" s="64"/>
      <c r="O484" s="64"/>
      <c r="P484" s="64"/>
      <c r="Q484" s="64"/>
      <c r="R484" s="115"/>
    </row>
    <row r="485" spans="1:18" x14ac:dyDescent="0.2">
      <c r="A485" s="70">
        <f>A446</f>
        <v>5000</v>
      </c>
      <c r="B485" s="64">
        <f>B446</f>
        <v>9800</v>
      </c>
      <c r="C485" s="74">
        <f>C446</f>
        <v>4400</v>
      </c>
      <c r="D485" s="64">
        <f>D446</f>
        <v>4500</v>
      </c>
      <c r="E485" s="658"/>
      <c r="F485" s="516" t="s">
        <v>2070</v>
      </c>
      <c r="G485" s="64">
        <f t="shared" ref="G485:P485" si="368">G446</f>
        <v>4400</v>
      </c>
      <c r="H485" s="32">
        <f>IF(D485=G485,0,IF(D485=0,100,(G485-D485)/D485*100))</f>
        <v>-2.2222222222222223</v>
      </c>
      <c r="I485" s="64">
        <f t="shared" si="368"/>
        <v>4500</v>
      </c>
      <c r="J485" s="64">
        <f t="shared" si="368"/>
        <v>4600</v>
      </c>
      <c r="K485" s="64">
        <f t="shared" si="368"/>
        <v>4700</v>
      </c>
      <c r="L485" s="64">
        <f t="shared" si="368"/>
        <v>4800</v>
      </c>
      <c r="M485" s="64">
        <f t="shared" si="368"/>
        <v>4900</v>
      </c>
      <c r="N485" s="64">
        <f t="shared" si="368"/>
        <v>5000</v>
      </c>
      <c r="O485" s="64">
        <f t="shared" si="368"/>
        <v>5100</v>
      </c>
      <c r="P485" s="64">
        <f t="shared" si="368"/>
        <v>5300</v>
      </c>
      <c r="Q485" s="64">
        <f t="shared" ref="Q485" si="369">Q446</f>
        <v>5500</v>
      </c>
      <c r="R485" s="115">
        <f t="shared" ref="R485" si="370">R446</f>
        <v>5700</v>
      </c>
    </row>
    <row r="486" spans="1:18" x14ac:dyDescent="0.2">
      <c r="A486" s="70"/>
      <c r="B486" s="64"/>
      <c r="C486" s="74"/>
      <c r="D486" s="64"/>
      <c r="E486" s="658"/>
      <c r="F486" s="516"/>
      <c r="G486" s="64"/>
      <c r="H486" s="179"/>
      <c r="I486" s="64"/>
      <c r="J486" s="64"/>
      <c r="K486" s="64"/>
      <c r="L486" s="64"/>
      <c r="M486" s="64"/>
      <c r="N486" s="64"/>
      <c r="O486" s="64"/>
      <c r="P486" s="64"/>
      <c r="Q486" s="64"/>
      <c r="R486" s="115"/>
    </row>
    <row r="487" spans="1:18" x14ac:dyDescent="0.2">
      <c r="A487" s="70">
        <f>A481+A485-A483</f>
        <v>0</v>
      </c>
      <c r="B487" s="64">
        <f>B481+B485-B483</f>
        <v>0</v>
      </c>
      <c r="C487" s="74">
        <f>C481+C485-C483</f>
        <v>0</v>
      </c>
      <c r="D487" s="64">
        <f>D481+D485-D483</f>
        <v>0</v>
      </c>
      <c r="E487" s="658"/>
      <c r="F487" s="516" t="s">
        <v>1763</v>
      </c>
      <c r="G487" s="64">
        <f t="shared" ref="G487:O487" si="371">G481+G485-G483</f>
        <v>0</v>
      </c>
      <c r="H487" s="32">
        <f>IF(D487=G487,0,IF(D487=0,100,(G487-D487)/D487*100))</f>
        <v>0</v>
      </c>
      <c r="I487" s="64">
        <f t="shared" si="371"/>
        <v>0</v>
      </c>
      <c r="J487" s="64">
        <f t="shared" si="371"/>
        <v>0</v>
      </c>
      <c r="K487" s="64">
        <f t="shared" si="371"/>
        <v>0</v>
      </c>
      <c r="L487" s="64">
        <f t="shared" si="371"/>
        <v>0</v>
      </c>
      <c r="M487" s="64">
        <f t="shared" si="371"/>
        <v>0</v>
      </c>
      <c r="N487" s="64">
        <f t="shared" si="371"/>
        <v>0</v>
      </c>
      <c r="O487" s="64">
        <f t="shared" si="371"/>
        <v>0</v>
      </c>
      <c r="P487" s="64">
        <f t="shared" ref="P487:Q487" si="372">P481+P485-P483</f>
        <v>0</v>
      </c>
      <c r="Q487" s="64">
        <f t="shared" si="372"/>
        <v>0</v>
      </c>
      <c r="R487" s="115">
        <f t="shared" ref="R487" si="373">R481+R485-R483</f>
        <v>0</v>
      </c>
    </row>
    <row r="488" spans="1:18" ht="13.5" thickBot="1" x14ac:dyDescent="0.25">
      <c r="A488" s="73"/>
      <c r="B488" s="90"/>
      <c r="C488" s="85"/>
      <c r="D488" s="90"/>
      <c r="E488" s="681"/>
      <c r="F488" s="141"/>
      <c r="G488" s="90"/>
      <c r="H488" s="392"/>
      <c r="I488" s="66"/>
      <c r="J488" s="66"/>
      <c r="K488" s="66"/>
      <c r="L488" s="66"/>
      <c r="M488" s="66"/>
      <c r="N488" s="66"/>
      <c r="O488" s="66"/>
      <c r="P488" s="66"/>
      <c r="Q488" s="66"/>
      <c r="R488" s="165"/>
    </row>
    <row r="489" spans="1:18" ht="14.25" thickTop="1" thickBot="1" x14ac:dyDescent="0.25"/>
    <row r="490" spans="1:18" s="44" customFormat="1" ht="13.5" thickTop="1" x14ac:dyDescent="0.2">
      <c r="A490" s="2891" t="s">
        <v>1856</v>
      </c>
      <c r="B490" s="2892"/>
      <c r="C490" s="2892"/>
      <c r="D490" s="2893"/>
      <c r="E490" s="2151" t="s">
        <v>2663</v>
      </c>
      <c r="F490" s="2506" t="s">
        <v>2251</v>
      </c>
      <c r="G490" s="2880" t="s">
        <v>2253</v>
      </c>
      <c r="H490" s="2881"/>
      <c r="I490" s="2881"/>
      <c r="J490" s="2881"/>
      <c r="K490" s="2881"/>
      <c r="L490" s="2881"/>
      <c r="M490" s="2881"/>
      <c r="N490" s="2881"/>
      <c r="O490" s="2881"/>
      <c r="P490" s="2881"/>
      <c r="Q490" s="2881"/>
      <c r="R490" s="2882"/>
    </row>
    <row r="491" spans="1:18" ht="13.5" thickBot="1" x14ac:dyDescent="0.25">
      <c r="A491" s="1708" t="str">
        <f>A3</f>
        <v>2012/13</v>
      </c>
      <c r="B491" s="218" t="str">
        <f>B3</f>
        <v>2013/14</v>
      </c>
      <c r="C491" s="218" t="str">
        <f>C3</f>
        <v>2014/15</v>
      </c>
      <c r="D491" s="75" t="str">
        <f>D3</f>
        <v>2015/16</v>
      </c>
      <c r="E491" s="689" t="s">
        <v>2664</v>
      </c>
      <c r="F491" s="94"/>
      <c r="G491" s="75" t="str">
        <f>G3</f>
        <v>2016/17</v>
      </c>
      <c r="H491" s="1727" t="s">
        <v>501</v>
      </c>
      <c r="I491" s="218" t="str">
        <f t="shared" ref="I491:R491" si="374">I3</f>
        <v>2017/18</v>
      </c>
      <c r="J491" s="218" t="str">
        <f t="shared" si="374"/>
        <v>2018/19</v>
      </c>
      <c r="K491" s="218" t="str">
        <f t="shared" si="374"/>
        <v>2019/20</v>
      </c>
      <c r="L491" s="218" t="str">
        <f t="shared" si="374"/>
        <v>2020/21</v>
      </c>
      <c r="M491" s="218" t="str">
        <f t="shared" si="374"/>
        <v>2021/22</v>
      </c>
      <c r="N491" s="218" t="str">
        <f t="shared" si="374"/>
        <v>2022/23</v>
      </c>
      <c r="O491" s="218" t="str">
        <f t="shared" si="374"/>
        <v>2023/24</v>
      </c>
      <c r="P491" s="218" t="str">
        <f t="shared" si="374"/>
        <v>2024/25</v>
      </c>
      <c r="Q491" s="218" t="str">
        <f t="shared" si="374"/>
        <v>2025/26</v>
      </c>
      <c r="R491" s="1704" t="str">
        <f t="shared" si="374"/>
        <v>2026/27</v>
      </c>
    </row>
    <row r="492" spans="1:18" x14ac:dyDescent="0.2">
      <c r="A492" s="107"/>
      <c r="B492" s="33"/>
      <c r="C492" s="33"/>
      <c r="D492" s="33"/>
      <c r="E492" s="658"/>
      <c r="F492" s="74"/>
      <c r="G492" s="33"/>
      <c r="H492" s="138"/>
      <c r="I492" s="33"/>
      <c r="J492" s="33"/>
      <c r="K492" s="33"/>
      <c r="L492" s="33"/>
      <c r="M492" s="33"/>
      <c r="N492" s="33"/>
      <c r="O492" s="33"/>
      <c r="P492" s="33"/>
      <c r="Q492" s="33"/>
      <c r="R492" s="114"/>
    </row>
    <row r="493" spans="1:18" x14ac:dyDescent="0.2">
      <c r="A493" s="107"/>
      <c r="B493" s="33"/>
      <c r="C493" s="33"/>
      <c r="D493" s="33"/>
      <c r="E493" s="658"/>
      <c r="F493" s="74" t="s">
        <v>393</v>
      </c>
      <c r="G493" s="33"/>
      <c r="H493" s="138"/>
      <c r="I493" s="33"/>
      <c r="J493" s="33"/>
      <c r="K493" s="33"/>
      <c r="L493" s="33"/>
      <c r="M493" s="33"/>
      <c r="N493" s="33"/>
      <c r="O493" s="33"/>
      <c r="P493" s="33"/>
      <c r="Q493" s="33"/>
      <c r="R493" s="114"/>
    </row>
    <row r="494" spans="1:18" x14ac:dyDescent="0.2">
      <c r="A494" s="107"/>
      <c r="B494" s="33"/>
      <c r="C494" s="33"/>
      <c r="D494" s="33"/>
      <c r="E494" s="658"/>
      <c r="F494" s="74"/>
      <c r="G494" s="33"/>
      <c r="H494" s="138"/>
      <c r="I494" s="33"/>
      <c r="J494" s="33"/>
      <c r="K494" s="33"/>
      <c r="L494" s="33"/>
      <c r="M494" s="33"/>
      <c r="N494" s="33"/>
      <c r="O494" s="33"/>
      <c r="P494" s="33"/>
      <c r="Q494" s="33"/>
      <c r="R494" s="114"/>
    </row>
    <row r="495" spans="1:18" x14ac:dyDescent="0.2">
      <c r="A495" s="107">
        <f>A56</f>
        <v>356000</v>
      </c>
      <c r="B495" s="33">
        <f>B56</f>
        <v>372200</v>
      </c>
      <c r="C495" s="33">
        <f>C56</f>
        <v>307900</v>
      </c>
      <c r="D495" s="33">
        <f>D56</f>
        <v>604000</v>
      </c>
      <c r="E495" s="658"/>
      <c r="F495" s="99" t="str">
        <f>F476</f>
        <v>Development Services</v>
      </c>
      <c r="G495" s="33">
        <f>G56</f>
        <v>692000</v>
      </c>
      <c r="H495" s="138">
        <f>IF(D495=G495,0,IF(D495=0,100,(G495-D495)/D495*100))</f>
        <v>14.569536423841059</v>
      </c>
      <c r="I495" s="33">
        <f t="shared" ref="I495:R495" si="375">I56</f>
        <v>600000</v>
      </c>
      <c r="J495" s="33">
        <f t="shared" si="375"/>
        <v>613400</v>
      </c>
      <c r="K495" s="33">
        <f t="shared" si="375"/>
        <v>629400</v>
      </c>
      <c r="L495" s="33">
        <f t="shared" si="375"/>
        <v>645700</v>
      </c>
      <c r="M495" s="33">
        <f t="shared" si="375"/>
        <v>659000</v>
      </c>
      <c r="N495" s="33">
        <f t="shared" si="375"/>
        <v>672800</v>
      </c>
      <c r="O495" s="33">
        <f t="shared" si="375"/>
        <v>686700</v>
      </c>
      <c r="P495" s="33">
        <f t="shared" si="375"/>
        <v>701000</v>
      </c>
      <c r="Q495" s="33">
        <f t="shared" si="375"/>
        <v>715500</v>
      </c>
      <c r="R495" s="114">
        <f t="shared" si="375"/>
        <v>730300</v>
      </c>
    </row>
    <row r="496" spans="1:18" x14ac:dyDescent="0.2">
      <c r="A496" s="107">
        <f>A91</f>
        <v>598000</v>
      </c>
      <c r="B496" s="33">
        <f>B91</f>
        <v>893100</v>
      </c>
      <c r="C496" s="33">
        <f>C91</f>
        <v>1178900</v>
      </c>
      <c r="D496" s="33">
        <f>D91</f>
        <v>1425400</v>
      </c>
      <c r="E496" s="658"/>
      <c r="F496" s="99" t="str">
        <f>F477</f>
        <v>Building Services</v>
      </c>
      <c r="G496" s="33">
        <f>G91</f>
        <v>1417500</v>
      </c>
      <c r="H496" s="138">
        <f>IF(D496=G496,0,IF(D496=0,100,(G496-D496)/D496*100))</f>
        <v>-0.55423039146906139</v>
      </c>
      <c r="I496" s="33">
        <f t="shared" ref="I496:R496" si="376">I91</f>
        <v>1281000</v>
      </c>
      <c r="J496" s="33">
        <f t="shared" si="376"/>
        <v>1314000</v>
      </c>
      <c r="K496" s="33">
        <f t="shared" si="376"/>
        <v>1347900</v>
      </c>
      <c r="L496" s="33">
        <f t="shared" si="376"/>
        <v>1382900</v>
      </c>
      <c r="M496" s="33">
        <f t="shared" si="376"/>
        <v>1411500</v>
      </c>
      <c r="N496" s="33">
        <f t="shared" si="376"/>
        <v>1440900</v>
      </c>
      <c r="O496" s="33">
        <f t="shared" si="376"/>
        <v>1470900</v>
      </c>
      <c r="P496" s="33">
        <f t="shared" si="376"/>
        <v>1501400</v>
      </c>
      <c r="Q496" s="33">
        <f t="shared" si="376"/>
        <v>1532600</v>
      </c>
      <c r="R496" s="114">
        <f t="shared" si="376"/>
        <v>1564300</v>
      </c>
    </row>
    <row r="497" spans="1:18" x14ac:dyDescent="0.2">
      <c r="A497" s="107">
        <f>A130</f>
        <v>188200</v>
      </c>
      <c r="B497" s="33">
        <f>B130</f>
        <v>184800</v>
      </c>
      <c r="C497" s="33">
        <f>C130</f>
        <v>238100</v>
      </c>
      <c r="D497" s="33">
        <f>D130</f>
        <v>262400</v>
      </c>
      <c r="E497" s="673"/>
      <c r="F497" s="99" t="str">
        <f>F478</f>
        <v>Environmental and Public Health</v>
      </c>
      <c r="G497" s="33">
        <f>G130</f>
        <v>279300</v>
      </c>
      <c r="H497" s="138">
        <f>IF(D497=G497,0,IF(D497=0,100,(G497-D497)/D497*100))</f>
        <v>6.4405487804878048</v>
      </c>
      <c r="I497" s="33">
        <f t="shared" ref="I497:R497" si="377">I130</f>
        <v>280000</v>
      </c>
      <c r="J497" s="33">
        <f t="shared" si="377"/>
        <v>287700</v>
      </c>
      <c r="K497" s="33">
        <f t="shared" si="377"/>
        <v>295800</v>
      </c>
      <c r="L497" s="33">
        <f t="shared" si="377"/>
        <v>304000</v>
      </c>
      <c r="M497" s="33">
        <f t="shared" si="377"/>
        <v>310800</v>
      </c>
      <c r="N497" s="33">
        <f t="shared" si="377"/>
        <v>317900</v>
      </c>
      <c r="O497" s="33">
        <f t="shared" si="377"/>
        <v>325000</v>
      </c>
      <c r="P497" s="33">
        <f t="shared" si="377"/>
        <v>332200</v>
      </c>
      <c r="Q497" s="33">
        <f t="shared" si="377"/>
        <v>339600</v>
      </c>
      <c r="R497" s="114">
        <f t="shared" si="377"/>
        <v>347000</v>
      </c>
    </row>
    <row r="498" spans="1:18" x14ac:dyDescent="0.2">
      <c r="A498" s="107">
        <f>A178</f>
        <v>110600</v>
      </c>
      <c r="B498" s="33">
        <f>B178</f>
        <v>163400</v>
      </c>
      <c r="C498" s="33">
        <f>C178</f>
        <v>313900</v>
      </c>
      <c r="D498" s="33">
        <f>D178</f>
        <v>233100</v>
      </c>
      <c r="E498" s="673"/>
      <c r="F498" s="99" t="str">
        <f>F479</f>
        <v>Administration and Public Order</v>
      </c>
      <c r="G498" s="33">
        <f>G178</f>
        <v>208500</v>
      </c>
      <c r="H498" s="138">
        <f>IF(D498=G498,0,IF(D498=0,100,(G498-D498)/D498*100))</f>
        <v>-10.553410553410554</v>
      </c>
      <c r="I498" s="33">
        <f t="shared" ref="I498:R498" si="378">I178</f>
        <v>210000</v>
      </c>
      <c r="J498" s="33">
        <f t="shared" si="378"/>
        <v>215800</v>
      </c>
      <c r="K498" s="33">
        <f t="shared" si="378"/>
        <v>221800</v>
      </c>
      <c r="L498" s="33">
        <f t="shared" si="378"/>
        <v>227900</v>
      </c>
      <c r="M498" s="33">
        <f t="shared" si="378"/>
        <v>233100</v>
      </c>
      <c r="N498" s="33">
        <f t="shared" si="378"/>
        <v>238300</v>
      </c>
      <c r="O498" s="33">
        <f t="shared" si="378"/>
        <v>243700</v>
      </c>
      <c r="P498" s="33">
        <f t="shared" si="378"/>
        <v>249200</v>
      </c>
      <c r="Q498" s="33">
        <f t="shared" si="378"/>
        <v>254800</v>
      </c>
      <c r="R498" s="114">
        <f t="shared" si="378"/>
        <v>260500</v>
      </c>
    </row>
    <row r="499" spans="1:18" ht="13.5" thickBot="1" x14ac:dyDescent="0.25">
      <c r="A499" s="107"/>
      <c r="B499" s="33"/>
      <c r="C499" s="33"/>
      <c r="D499" s="33"/>
      <c r="E499" s="673"/>
      <c r="F499" s="76"/>
      <c r="G499" s="33"/>
      <c r="H499" s="32"/>
      <c r="I499" s="33"/>
      <c r="J499" s="33"/>
      <c r="K499" s="33"/>
      <c r="L499" s="33"/>
      <c r="M499" s="33"/>
      <c r="N499" s="33"/>
      <c r="O499" s="33"/>
      <c r="P499" s="33"/>
      <c r="Q499" s="33"/>
      <c r="R499" s="114"/>
    </row>
    <row r="500" spans="1:18" s="92" customFormat="1" x14ac:dyDescent="0.2">
      <c r="A500" s="105">
        <f>SUM(A495:A499)</f>
        <v>1252800</v>
      </c>
      <c r="B500" s="53">
        <f>SUM(B495:B499)</f>
        <v>1613500</v>
      </c>
      <c r="C500" s="53">
        <f>SUM(C495:C499)</f>
        <v>2038800</v>
      </c>
      <c r="D500" s="53">
        <f>SUM(D495:D499)</f>
        <v>2524900</v>
      </c>
      <c r="E500" s="674"/>
      <c r="F500" s="1960" t="s">
        <v>2605</v>
      </c>
      <c r="G500" s="53">
        <f t="shared" ref="G500:O500" si="379">SUM(G495:G499)</f>
        <v>2597300</v>
      </c>
      <c r="H500" s="32">
        <f>IF(D500=G500,0,IF(D500=0,100,(G500-D500)/D500*100))</f>
        <v>2.8674402946651352</v>
      </c>
      <c r="I500" s="53">
        <f t="shared" si="379"/>
        <v>2371000</v>
      </c>
      <c r="J500" s="53">
        <f t="shared" si="379"/>
        <v>2430900</v>
      </c>
      <c r="K500" s="53">
        <f t="shared" si="379"/>
        <v>2494900</v>
      </c>
      <c r="L500" s="53">
        <f t="shared" si="379"/>
        <v>2560500</v>
      </c>
      <c r="M500" s="53">
        <f t="shared" si="379"/>
        <v>2614400</v>
      </c>
      <c r="N500" s="53">
        <f t="shared" si="379"/>
        <v>2669900</v>
      </c>
      <c r="O500" s="53">
        <f t="shared" si="379"/>
        <v>2726300</v>
      </c>
      <c r="P500" s="53">
        <f t="shared" ref="P500:Q500" si="380">SUM(P495:P499)</f>
        <v>2783800</v>
      </c>
      <c r="Q500" s="53">
        <f t="shared" si="380"/>
        <v>2842500</v>
      </c>
      <c r="R500" s="113">
        <f t="shared" ref="R500" si="381">SUM(R495:R499)</f>
        <v>2902100</v>
      </c>
    </row>
    <row r="501" spans="1:18" x14ac:dyDescent="0.2">
      <c r="A501" s="107"/>
      <c r="B501" s="33"/>
      <c r="C501" s="33"/>
      <c r="D501" s="33"/>
      <c r="E501" s="673"/>
      <c r="F501" s="76"/>
      <c r="G501" s="33"/>
      <c r="H501" s="138"/>
      <c r="I501" s="33"/>
      <c r="J501" s="33"/>
      <c r="K501" s="33"/>
      <c r="L501" s="33"/>
      <c r="M501" s="33"/>
      <c r="N501" s="33"/>
      <c r="O501" s="33"/>
      <c r="P501" s="33"/>
      <c r="Q501" s="33"/>
      <c r="R501" s="114"/>
    </row>
    <row r="502" spans="1:18" x14ac:dyDescent="0.2">
      <c r="A502" s="107"/>
      <c r="B502" s="33"/>
      <c r="C502" s="33"/>
      <c r="D502" s="33"/>
      <c r="E502" s="673"/>
      <c r="F502" s="103" t="s">
        <v>2205</v>
      </c>
      <c r="G502" s="33"/>
      <c r="H502" s="138"/>
      <c r="I502" s="33"/>
      <c r="J502" s="33"/>
      <c r="K502" s="33"/>
      <c r="L502" s="33"/>
      <c r="M502" s="33"/>
      <c r="N502" s="33"/>
      <c r="O502" s="33"/>
      <c r="P502" s="33"/>
      <c r="Q502" s="33"/>
      <c r="R502" s="114"/>
    </row>
    <row r="503" spans="1:18" x14ac:dyDescent="0.2">
      <c r="A503" s="107"/>
      <c r="B503" s="33"/>
      <c r="C503" s="33"/>
      <c r="D503" s="33"/>
      <c r="E503" s="658"/>
      <c r="F503" s="74"/>
      <c r="G503" s="33"/>
      <c r="H503" s="138"/>
      <c r="I503" s="33"/>
      <c r="J503" s="33"/>
      <c r="K503" s="33"/>
      <c r="L503" s="33"/>
      <c r="M503" s="33"/>
      <c r="N503" s="33"/>
      <c r="O503" s="33"/>
      <c r="P503" s="33"/>
      <c r="Q503" s="33"/>
      <c r="R503" s="114"/>
    </row>
    <row r="504" spans="1:18" x14ac:dyDescent="0.2">
      <c r="A504" s="107">
        <f>A64</f>
        <v>1156000</v>
      </c>
      <c r="B504" s="33">
        <f>B64</f>
        <v>1077900</v>
      </c>
      <c r="C504" s="33">
        <f>C64</f>
        <v>1075600</v>
      </c>
      <c r="D504" s="33">
        <f>D64</f>
        <v>1084700</v>
      </c>
      <c r="E504" s="658"/>
      <c r="F504" s="99" t="str">
        <f>F495</f>
        <v>Development Services</v>
      </c>
      <c r="G504" s="33">
        <f>G64</f>
        <v>1277500</v>
      </c>
      <c r="H504" s="138">
        <f>IF(D504=G504,0,IF(D504=0,100,(G504-D504)/D504*100))</f>
        <v>17.774499861712918</v>
      </c>
      <c r="I504" s="33">
        <f t="shared" ref="I504:R504" si="382">I64</f>
        <v>1273400</v>
      </c>
      <c r="J504" s="33">
        <f t="shared" si="382"/>
        <v>1301700</v>
      </c>
      <c r="K504" s="33">
        <f t="shared" si="382"/>
        <v>1330800</v>
      </c>
      <c r="L504" s="33">
        <f t="shared" si="382"/>
        <v>1360600</v>
      </c>
      <c r="M504" s="33">
        <f t="shared" si="382"/>
        <v>1390600</v>
      </c>
      <c r="N504" s="33">
        <f t="shared" si="382"/>
        <v>1421400</v>
      </c>
      <c r="O504" s="33">
        <f t="shared" si="382"/>
        <v>1452900</v>
      </c>
      <c r="P504" s="33">
        <f t="shared" si="382"/>
        <v>1485200</v>
      </c>
      <c r="Q504" s="33">
        <f t="shared" si="382"/>
        <v>1518200</v>
      </c>
      <c r="R504" s="114">
        <f t="shared" si="382"/>
        <v>1552100</v>
      </c>
    </row>
    <row r="505" spans="1:18" x14ac:dyDescent="0.2">
      <c r="A505" s="107">
        <f>A99</f>
        <v>776000</v>
      </c>
      <c r="B505" s="33">
        <f>B99</f>
        <v>728000</v>
      </c>
      <c r="C505" s="33">
        <f>C99</f>
        <v>708900</v>
      </c>
      <c r="D505" s="33">
        <f>D99</f>
        <v>835600</v>
      </c>
      <c r="E505" s="658"/>
      <c r="F505" s="99" t="str">
        <f>F496</f>
        <v>Building Services</v>
      </c>
      <c r="G505" s="33">
        <f>G99</f>
        <v>965000</v>
      </c>
      <c r="H505" s="138">
        <f>IF(D505=G505,0,IF(D505=0,100,(G505-D505)/D505*100))</f>
        <v>15.485878410722833</v>
      </c>
      <c r="I505" s="33">
        <f t="shared" ref="I505:R505" si="383">I99</f>
        <v>883200</v>
      </c>
      <c r="J505" s="33">
        <f t="shared" si="383"/>
        <v>905200</v>
      </c>
      <c r="K505" s="33">
        <f t="shared" si="383"/>
        <v>927800</v>
      </c>
      <c r="L505" s="33">
        <f t="shared" si="383"/>
        <v>950900</v>
      </c>
      <c r="M505" s="33">
        <f t="shared" si="383"/>
        <v>974400</v>
      </c>
      <c r="N505" s="33">
        <f t="shared" si="383"/>
        <v>998400</v>
      </c>
      <c r="O505" s="33">
        <f t="shared" si="383"/>
        <v>1023000</v>
      </c>
      <c r="P505" s="33">
        <f t="shared" si="383"/>
        <v>1048200</v>
      </c>
      <c r="Q505" s="33">
        <f t="shared" si="383"/>
        <v>1073900</v>
      </c>
      <c r="R505" s="114">
        <f t="shared" si="383"/>
        <v>1100400</v>
      </c>
    </row>
    <row r="506" spans="1:18" x14ac:dyDescent="0.2">
      <c r="A506" s="107">
        <f>A148</f>
        <v>638000</v>
      </c>
      <c r="B506" s="33">
        <f>B148</f>
        <v>682400</v>
      </c>
      <c r="C506" s="33">
        <f>C148</f>
        <v>596800</v>
      </c>
      <c r="D506" s="33">
        <f>D148</f>
        <v>784400</v>
      </c>
      <c r="E506" s="673"/>
      <c r="F506" s="99" t="str">
        <f>F497</f>
        <v>Environmental and Public Health</v>
      </c>
      <c r="G506" s="33">
        <f>G148</f>
        <v>853700</v>
      </c>
      <c r="H506" s="138">
        <f>IF(D506=G506,0,IF(D506=0,100,(G506-D506)/D506*100))</f>
        <v>8.8347781744008156</v>
      </c>
      <c r="I506" s="33">
        <f t="shared" ref="I506:R506" si="384">I148</f>
        <v>1169400</v>
      </c>
      <c r="J506" s="33">
        <f t="shared" si="384"/>
        <v>1199300</v>
      </c>
      <c r="K506" s="33">
        <f t="shared" si="384"/>
        <v>1229900</v>
      </c>
      <c r="L506" s="33">
        <f t="shared" si="384"/>
        <v>1261300</v>
      </c>
      <c r="M506" s="33">
        <f t="shared" si="384"/>
        <v>1292900</v>
      </c>
      <c r="N506" s="33">
        <f t="shared" si="384"/>
        <v>1325200</v>
      </c>
      <c r="O506" s="33">
        <f t="shared" si="384"/>
        <v>1358200</v>
      </c>
      <c r="P506" s="33">
        <f t="shared" si="384"/>
        <v>1391900</v>
      </c>
      <c r="Q506" s="33">
        <f t="shared" si="384"/>
        <v>1426500</v>
      </c>
      <c r="R506" s="114">
        <f t="shared" si="384"/>
        <v>1462000</v>
      </c>
    </row>
    <row r="507" spans="1:18" x14ac:dyDescent="0.2">
      <c r="A507" s="107">
        <f>A195</f>
        <v>1005000</v>
      </c>
      <c r="B507" s="33">
        <f>B195</f>
        <v>1080300</v>
      </c>
      <c r="C507" s="33">
        <f>C195</f>
        <v>1111000</v>
      </c>
      <c r="D507" s="33">
        <f>D195</f>
        <v>1176500</v>
      </c>
      <c r="E507" s="673"/>
      <c r="F507" s="76" t="str">
        <f>F498</f>
        <v>Administration and Public Order</v>
      </c>
      <c r="G507" s="33">
        <f>G195</f>
        <v>1265100</v>
      </c>
      <c r="H507" s="138">
        <f>IF(D507=G507,0,IF(D507=0,100,(G507-D507)/D507*100))</f>
        <v>7.5308117297067572</v>
      </c>
      <c r="I507" s="33">
        <f t="shared" ref="I507:R507" si="385">I195</f>
        <v>1285600</v>
      </c>
      <c r="J507" s="33">
        <f t="shared" si="385"/>
        <v>1318300</v>
      </c>
      <c r="K507" s="33">
        <f t="shared" si="385"/>
        <v>1352000</v>
      </c>
      <c r="L507" s="33">
        <f t="shared" si="385"/>
        <v>1386700</v>
      </c>
      <c r="M507" s="33">
        <f t="shared" si="385"/>
        <v>1422000</v>
      </c>
      <c r="N507" s="33">
        <f t="shared" si="385"/>
        <v>1458200</v>
      </c>
      <c r="O507" s="33">
        <f t="shared" si="385"/>
        <v>1495200</v>
      </c>
      <c r="P507" s="33">
        <f t="shared" si="385"/>
        <v>1533100</v>
      </c>
      <c r="Q507" s="33">
        <f t="shared" si="385"/>
        <v>1571900</v>
      </c>
      <c r="R507" s="114">
        <f t="shared" si="385"/>
        <v>1611700</v>
      </c>
    </row>
    <row r="508" spans="1:18" ht="13.5" thickBot="1" x14ac:dyDescent="0.25">
      <c r="A508" s="107"/>
      <c r="B508" s="33"/>
      <c r="C508" s="33"/>
      <c r="D508" s="33"/>
      <c r="E508" s="673"/>
      <c r="F508" s="1981"/>
      <c r="G508" s="33"/>
      <c r="H508" s="138"/>
      <c r="I508" s="33"/>
      <c r="J508" s="33"/>
      <c r="K508" s="33"/>
      <c r="L508" s="33"/>
      <c r="M508" s="33"/>
      <c r="N508" s="33"/>
      <c r="O508" s="33"/>
      <c r="P508" s="33"/>
      <c r="Q508" s="33"/>
      <c r="R508" s="114"/>
    </row>
    <row r="509" spans="1:18" s="92" customFormat="1" x14ac:dyDescent="0.2">
      <c r="A509" s="105">
        <f>SUM(A503:A508)</f>
        <v>3575000</v>
      </c>
      <c r="B509" s="53">
        <f>SUM(B503:B508)</f>
        <v>3568600</v>
      </c>
      <c r="C509" s="53">
        <f>SUM(C503:C508)</f>
        <v>3492300</v>
      </c>
      <c r="D509" s="53">
        <f>SUM(D503:D508)</f>
        <v>3881200</v>
      </c>
      <c r="E509" s="674"/>
      <c r="F509" s="1960" t="s">
        <v>565</v>
      </c>
      <c r="G509" s="53">
        <f t="shared" ref="G509:O509" si="386">SUM(G503:G508)</f>
        <v>4361300</v>
      </c>
      <c r="H509" s="179">
        <f>IF(D509=G509,0,IF(D509=0,100,(G509-D509)/D509*100))</f>
        <v>12.369885602391014</v>
      </c>
      <c r="I509" s="53">
        <f t="shared" si="386"/>
        <v>4611600</v>
      </c>
      <c r="J509" s="53">
        <f t="shared" si="386"/>
        <v>4724500</v>
      </c>
      <c r="K509" s="53">
        <f t="shared" si="386"/>
        <v>4840500</v>
      </c>
      <c r="L509" s="53">
        <f t="shared" si="386"/>
        <v>4959500</v>
      </c>
      <c r="M509" s="53">
        <f t="shared" si="386"/>
        <v>5079900</v>
      </c>
      <c r="N509" s="53">
        <f t="shared" si="386"/>
        <v>5203200</v>
      </c>
      <c r="O509" s="53">
        <f t="shared" si="386"/>
        <v>5329300</v>
      </c>
      <c r="P509" s="53">
        <f t="shared" ref="P509:Q509" si="387">SUM(P503:P508)</f>
        <v>5458400</v>
      </c>
      <c r="Q509" s="53">
        <f t="shared" si="387"/>
        <v>5590500</v>
      </c>
      <c r="R509" s="113">
        <f t="shared" ref="R509" si="388">SUM(R503:R508)</f>
        <v>5726200</v>
      </c>
    </row>
    <row r="510" spans="1:18" ht="13.5" thickBot="1" x14ac:dyDescent="0.25">
      <c r="A510" s="70"/>
      <c r="B510" s="64"/>
      <c r="C510" s="64"/>
      <c r="D510" s="64"/>
      <c r="E510" s="658"/>
      <c r="F510" s="76"/>
      <c r="G510" s="64"/>
      <c r="H510" s="138"/>
      <c r="I510" s="33"/>
      <c r="J510" s="33"/>
      <c r="K510" s="33"/>
      <c r="L510" s="33"/>
      <c r="M510" s="33"/>
      <c r="N510" s="33"/>
      <c r="O510" s="33"/>
      <c r="P510" s="33"/>
      <c r="Q510" s="33"/>
      <c r="R510" s="114"/>
    </row>
    <row r="511" spans="1:18" x14ac:dyDescent="0.2">
      <c r="A511" s="105">
        <f>A500-A509</f>
        <v>-2322200</v>
      </c>
      <c r="B511" s="53">
        <f>B500-B509</f>
        <v>-1955100</v>
      </c>
      <c r="C511" s="53">
        <f>C500-C509</f>
        <v>-1453500</v>
      </c>
      <c r="D511" s="53">
        <f>D500-D509</f>
        <v>-1356300</v>
      </c>
      <c r="E511" s="658"/>
      <c r="F511" s="1962" t="s">
        <v>366</v>
      </c>
      <c r="G511" s="53">
        <f t="shared" ref="G511:O511" si="389">G500-G509</f>
        <v>-1764000</v>
      </c>
      <c r="H511" s="179">
        <f>IF(D511=G511,0,IF(D511=0,100,(G511-D511)/D511*100))</f>
        <v>30.059721300597214</v>
      </c>
      <c r="I511" s="53">
        <f t="shared" si="389"/>
        <v>-2240600</v>
      </c>
      <c r="J511" s="53">
        <f t="shared" si="389"/>
        <v>-2293600</v>
      </c>
      <c r="K511" s="53">
        <f t="shared" si="389"/>
        <v>-2345600</v>
      </c>
      <c r="L511" s="53">
        <f t="shared" si="389"/>
        <v>-2399000</v>
      </c>
      <c r="M511" s="53">
        <f t="shared" si="389"/>
        <v>-2465500</v>
      </c>
      <c r="N511" s="53">
        <f t="shared" si="389"/>
        <v>-2533300</v>
      </c>
      <c r="O511" s="53">
        <f t="shared" si="389"/>
        <v>-2603000</v>
      </c>
      <c r="P511" s="53">
        <f t="shared" ref="P511:Q511" si="390">P500-P509</f>
        <v>-2674600</v>
      </c>
      <c r="Q511" s="53">
        <f t="shared" si="390"/>
        <v>-2748000</v>
      </c>
      <c r="R511" s="113">
        <f t="shared" ref="R511" si="391">R500-R509</f>
        <v>-2824100</v>
      </c>
    </row>
    <row r="512" spans="1:18" x14ac:dyDescent="0.2">
      <c r="A512" s="70"/>
      <c r="B512" s="64"/>
      <c r="C512" s="64"/>
      <c r="D512" s="64"/>
      <c r="E512" s="658"/>
      <c r="F512" s="1962"/>
      <c r="G512" s="64"/>
      <c r="H512" s="179"/>
      <c r="I512" s="64"/>
      <c r="J512" s="64"/>
      <c r="K512" s="64"/>
      <c r="L512" s="64"/>
      <c r="M512" s="64"/>
      <c r="N512" s="64"/>
      <c r="O512" s="64"/>
      <c r="P512" s="64"/>
      <c r="Q512" s="64"/>
      <c r="R512" s="115"/>
    </row>
    <row r="513" spans="1:18" x14ac:dyDescent="0.2">
      <c r="A513" s="70">
        <f>A511-A481</f>
        <v>0</v>
      </c>
      <c r="B513" s="64">
        <f>B511-B481</f>
        <v>0</v>
      </c>
      <c r="C513" s="64">
        <f>C511-C481</f>
        <v>0</v>
      </c>
      <c r="D513" s="64">
        <f>D511-D481</f>
        <v>0</v>
      </c>
      <c r="E513" s="658"/>
      <c r="F513" s="1962" t="s">
        <v>1763</v>
      </c>
      <c r="G513" s="64">
        <f t="shared" ref="G513:P513" si="392">G511-G481</f>
        <v>0</v>
      </c>
      <c r="H513" s="179"/>
      <c r="I513" s="64">
        <f t="shared" si="392"/>
        <v>0</v>
      </c>
      <c r="J513" s="64">
        <f t="shared" si="392"/>
        <v>0</v>
      </c>
      <c r="K513" s="64">
        <f t="shared" si="392"/>
        <v>0</v>
      </c>
      <c r="L513" s="64">
        <f t="shared" si="392"/>
        <v>0</v>
      </c>
      <c r="M513" s="64">
        <f t="shared" si="392"/>
        <v>0</v>
      </c>
      <c r="N513" s="64">
        <f t="shared" si="392"/>
        <v>0</v>
      </c>
      <c r="O513" s="64">
        <f t="shared" si="392"/>
        <v>0</v>
      </c>
      <c r="P513" s="64">
        <f t="shared" si="392"/>
        <v>0</v>
      </c>
      <c r="Q513" s="64">
        <f t="shared" ref="Q513" si="393">Q511-Q481</f>
        <v>0</v>
      </c>
      <c r="R513" s="115">
        <f t="shared" ref="R513" si="394">R511-R481</f>
        <v>0</v>
      </c>
    </row>
    <row r="514" spans="1:18" ht="13.5" thickBot="1" x14ac:dyDescent="0.25">
      <c r="A514" s="73"/>
      <c r="B514" s="90"/>
      <c r="C514" s="90"/>
      <c r="D514" s="90"/>
      <c r="E514" s="681"/>
      <c r="F514" s="141"/>
      <c r="G514" s="90"/>
      <c r="H514" s="392"/>
      <c r="I514" s="66"/>
      <c r="J514" s="66"/>
      <c r="K514" s="66"/>
      <c r="L514" s="66"/>
      <c r="M514" s="66"/>
      <c r="N514" s="66"/>
      <c r="O514" s="66"/>
      <c r="P514" s="66"/>
      <c r="Q514" s="66"/>
      <c r="R514" s="165"/>
    </row>
    <row r="515" spans="1:18" ht="14.25" thickTop="1" thickBot="1" x14ac:dyDescent="0.25"/>
    <row r="516" spans="1:18" s="44" customFormat="1" ht="13.5" thickTop="1" x14ac:dyDescent="0.2">
      <c r="A516" s="2891" t="s">
        <v>1856</v>
      </c>
      <c r="B516" s="2892"/>
      <c r="C516" s="2892"/>
      <c r="D516" s="2893"/>
      <c r="E516" s="2151" t="s">
        <v>2663</v>
      </c>
      <c r="F516" s="2506" t="s">
        <v>2251</v>
      </c>
      <c r="G516" s="2880" t="s">
        <v>2253</v>
      </c>
      <c r="H516" s="2881"/>
      <c r="I516" s="2881"/>
      <c r="J516" s="2881"/>
      <c r="K516" s="2881"/>
      <c r="L516" s="2881"/>
      <c r="M516" s="2881"/>
      <c r="N516" s="2881"/>
      <c r="O516" s="2881"/>
      <c r="P516" s="2881"/>
      <c r="Q516" s="2881"/>
      <c r="R516" s="2882"/>
    </row>
    <row r="517" spans="1:18" ht="13.5" thickBot="1" x14ac:dyDescent="0.25">
      <c r="A517" s="1708" t="str">
        <f>A3</f>
        <v>2012/13</v>
      </c>
      <c r="B517" s="218" t="str">
        <f>B3</f>
        <v>2013/14</v>
      </c>
      <c r="C517" s="218" t="str">
        <f>C3</f>
        <v>2014/15</v>
      </c>
      <c r="D517" s="75" t="str">
        <f>D3</f>
        <v>2015/16</v>
      </c>
      <c r="E517" s="689" t="s">
        <v>2664</v>
      </c>
      <c r="F517" s="94"/>
      <c r="G517" s="75" t="str">
        <f>G3</f>
        <v>2016/17</v>
      </c>
      <c r="H517" s="1727" t="s">
        <v>501</v>
      </c>
      <c r="I517" s="218" t="str">
        <f t="shared" ref="I517:R517" si="395">I3</f>
        <v>2017/18</v>
      </c>
      <c r="J517" s="218" t="str">
        <f t="shared" si="395"/>
        <v>2018/19</v>
      </c>
      <c r="K517" s="218" t="str">
        <f t="shared" si="395"/>
        <v>2019/20</v>
      </c>
      <c r="L517" s="218" t="str">
        <f t="shared" si="395"/>
        <v>2020/21</v>
      </c>
      <c r="M517" s="218" t="str">
        <f t="shared" si="395"/>
        <v>2021/22</v>
      </c>
      <c r="N517" s="218" t="str">
        <f t="shared" si="395"/>
        <v>2022/23</v>
      </c>
      <c r="O517" s="218" t="str">
        <f t="shared" si="395"/>
        <v>2023/24</v>
      </c>
      <c r="P517" s="218" t="str">
        <f t="shared" si="395"/>
        <v>2024/25</v>
      </c>
      <c r="Q517" s="218" t="str">
        <f t="shared" si="395"/>
        <v>2025/26</v>
      </c>
      <c r="R517" s="1704" t="str">
        <f t="shared" si="395"/>
        <v>2026/27</v>
      </c>
    </row>
    <row r="518" spans="1:18" x14ac:dyDescent="0.2">
      <c r="A518" s="107"/>
      <c r="B518" s="33"/>
      <c r="C518" s="33"/>
      <c r="D518" s="33"/>
      <c r="E518" s="658"/>
      <c r="F518" s="74"/>
      <c r="G518" s="33"/>
      <c r="H518" s="138"/>
      <c r="I518" s="33"/>
      <c r="J518" s="33"/>
      <c r="K518" s="33"/>
      <c r="L518" s="33"/>
      <c r="M518" s="33"/>
      <c r="N518" s="33"/>
      <c r="O518" s="33"/>
      <c r="P518" s="33"/>
      <c r="Q518" s="33"/>
      <c r="R518" s="114"/>
    </row>
    <row r="519" spans="1:18" x14ac:dyDescent="0.2">
      <c r="A519" s="107">
        <f>A73+A108+A157+CIV!A557+A204</f>
        <v>6000</v>
      </c>
      <c r="B519" s="33">
        <f>B73+B108+B157+CIV!B557+B204</f>
        <v>6100</v>
      </c>
      <c r="C519" s="33">
        <f t="shared" ref="C519:D523" si="396">C73+C108+C157+C204</f>
        <v>6500</v>
      </c>
      <c r="D519" s="33">
        <f t="shared" si="396"/>
        <v>6900</v>
      </c>
      <c r="E519" s="658"/>
      <c r="F519" s="1979" t="s">
        <v>1791</v>
      </c>
      <c r="G519" s="33">
        <f>G73+G108+G157+G204</f>
        <v>7300</v>
      </c>
      <c r="H519" s="138"/>
      <c r="I519" s="33">
        <f t="shared" ref="I519:R519" si="397">I73+I108+I157+I204</f>
        <v>7800</v>
      </c>
      <c r="J519" s="33">
        <f t="shared" si="397"/>
        <v>8300</v>
      </c>
      <c r="K519" s="33">
        <f t="shared" si="397"/>
        <v>7300</v>
      </c>
      <c r="L519" s="33">
        <f t="shared" si="397"/>
        <v>0</v>
      </c>
      <c r="M519" s="33">
        <f t="shared" si="397"/>
        <v>0</v>
      </c>
      <c r="N519" s="33">
        <f t="shared" si="397"/>
        <v>0</v>
      </c>
      <c r="O519" s="33">
        <f t="shared" si="397"/>
        <v>0</v>
      </c>
      <c r="P519" s="33">
        <f t="shared" si="397"/>
        <v>0</v>
      </c>
      <c r="Q519" s="33">
        <f t="shared" si="397"/>
        <v>0</v>
      </c>
      <c r="R519" s="114">
        <f t="shared" si="397"/>
        <v>0</v>
      </c>
    </row>
    <row r="520" spans="1:18" x14ac:dyDescent="0.2">
      <c r="A520" s="107">
        <f t="shared" ref="A520:B523" si="398">A74+A109+A158+A205</f>
        <v>176000</v>
      </c>
      <c r="B520" s="33">
        <f t="shared" si="398"/>
        <v>412300</v>
      </c>
      <c r="C520" s="33">
        <f t="shared" si="396"/>
        <v>44000</v>
      </c>
      <c r="D520" s="33">
        <f t="shared" si="396"/>
        <v>78000</v>
      </c>
      <c r="E520" s="658"/>
      <c r="F520" s="1981" t="s">
        <v>1942</v>
      </c>
      <c r="G520" s="33">
        <f>G74+G109+G158+G205</f>
        <v>100000</v>
      </c>
      <c r="H520" s="138"/>
      <c r="I520" s="33">
        <f t="shared" ref="I520:R520" si="399">I74+I109+I158+I205</f>
        <v>0</v>
      </c>
      <c r="J520" s="33">
        <f t="shared" si="399"/>
        <v>0</v>
      </c>
      <c r="K520" s="33">
        <f t="shared" si="399"/>
        <v>0</v>
      </c>
      <c r="L520" s="33">
        <f t="shared" si="399"/>
        <v>0</v>
      </c>
      <c r="M520" s="33">
        <f t="shared" si="399"/>
        <v>0</v>
      </c>
      <c r="N520" s="33">
        <f t="shared" si="399"/>
        <v>0</v>
      </c>
      <c r="O520" s="33">
        <f t="shared" si="399"/>
        <v>0</v>
      </c>
      <c r="P520" s="33">
        <f t="shared" si="399"/>
        <v>0</v>
      </c>
      <c r="Q520" s="33">
        <f t="shared" si="399"/>
        <v>0</v>
      </c>
      <c r="R520" s="114">
        <f t="shared" si="399"/>
        <v>0</v>
      </c>
    </row>
    <row r="521" spans="1:18" x14ac:dyDescent="0.2">
      <c r="A521" s="107">
        <f t="shared" si="398"/>
        <v>281000</v>
      </c>
      <c r="B521" s="33">
        <f t="shared" si="398"/>
        <v>885700</v>
      </c>
      <c r="C521" s="33">
        <f t="shared" si="396"/>
        <v>39300</v>
      </c>
      <c r="D521" s="33">
        <f t="shared" si="396"/>
        <v>54000</v>
      </c>
      <c r="E521" s="658"/>
      <c r="F521" s="1981" t="s">
        <v>2348</v>
      </c>
      <c r="G521" s="33">
        <f>G75+G110+G159+G206</f>
        <v>184700</v>
      </c>
      <c r="H521" s="138"/>
      <c r="I521" s="33">
        <f t="shared" ref="I521:R521" si="400">I75+I110+I159+I206</f>
        <v>208000</v>
      </c>
      <c r="J521" s="33">
        <f t="shared" si="400"/>
        <v>0</v>
      </c>
      <c r="K521" s="33">
        <f t="shared" si="400"/>
        <v>0</v>
      </c>
      <c r="L521" s="33">
        <f t="shared" si="400"/>
        <v>0</v>
      </c>
      <c r="M521" s="33">
        <f t="shared" si="400"/>
        <v>0</v>
      </c>
      <c r="N521" s="33">
        <f t="shared" si="400"/>
        <v>0</v>
      </c>
      <c r="O521" s="33">
        <f t="shared" si="400"/>
        <v>0</v>
      </c>
      <c r="P521" s="33">
        <f t="shared" si="400"/>
        <v>0</v>
      </c>
      <c r="Q521" s="33">
        <f t="shared" si="400"/>
        <v>0</v>
      </c>
      <c r="R521" s="114">
        <f t="shared" si="400"/>
        <v>0</v>
      </c>
    </row>
    <row r="522" spans="1:18" x14ac:dyDescent="0.2">
      <c r="A522" s="107">
        <f t="shared" si="398"/>
        <v>0</v>
      </c>
      <c r="B522" s="33">
        <f t="shared" si="398"/>
        <v>340000</v>
      </c>
      <c r="C522" s="33">
        <f t="shared" si="396"/>
        <v>0</v>
      </c>
      <c r="D522" s="33">
        <f t="shared" si="396"/>
        <v>0</v>
      </c>
      <c r="E522" s="658"/>
      <c r="F522" s="1981" t="s">
        <v>5984</v>
      </c>
      <c r="G522" s="33">
        <f>G76+G111+G160+G207</f>
        <v>95000</v>
      </c>
      <c r="H522" s="138"/>
      <c r="I522" s="33">
        <f t="shared" ref="I522:R522" si="401">I76+I111+I160+I207</f>
        <v>0</v>
      </c>
      <c r="J522" s="33">
        <f t="shared" si="401"/>
        <v>0</v>
      </c>
      <c r="K522" s="33">
        <f t="shared" si="401"/>
        <v>0</v>
      </c>
      <c r="L522" s="33">
        <f t="shared" si="401"/>
        <v>0</v>
      </c>
      <c r="M522" s="33">
        <f t="shared" si="401"/>
        <v>0</v>
      </c>
      <c r="N522" s="33">
        <f t="shared" si="401"/>
        <v>0</v>
      </c>
      <c r="O522" s="33">
        <f t="shared" si="401"/>
        <v>0</v>
      </c>
      <c r="P522" s="33">
        <f t="shared" si="401"/>
        <v>0</v>
      </c>
      <c r="Q522" s="33">
        <f t="shared" si="401"/>
        <v>0</v>
      </c>
      <c r="R522" s="114">
        <f t="shared" si="401"/>
        <v>0</v>
      </c>
    </row>
    <row r="523" spans="1:18" x14ac:dyDescent="0.2">
      <c r="A523" s="107">
        <f t="shared" si="398"/>
        <v>142000</v>
      </c>
      <c r="B523" s="33">
        <f t="shared" si="398"/>
        <v>796900</v>
      </c>
      <c r="C523" s="33">
        <f t="shared" si="396"/>
        <v>22400</v>
      </c>
      <c r="D523" s="33">
        <f t="shared" si="396"/>
        <v>5100</v>
      </c>
      <c r="E523" s="658"/>
      <c r="F523" s="1981" t="s">
        <v>972</v>
      </c>
      <c r="G523" s="33">
        <f>G77+G112+G161+G208</f>
        <v>267000</v>
      </c>
      <c r="H523" s="138"/>
      <c r="I523" s="33">
        <f t="shared" ref="I523:R523" si="402">I77+I112+I161+I208</f>
        <v>208000</v>
      </c>
      <c r="J523" s="33">
        <f t="shared" si="402"/>
        <v>0</v>
      </c>
      <c r="K523" s="33">
        <f t="shared" si="402"/>
        <v>0</v>
      </c>
      <c r="L523" s="33">
        <f t="shared" si="402"/>
        <v>0</v>
      </c>
      <c r="M523" s="33">
        <f t="shared" si="402"/>
        <v>0</v>
      </c>
      <c r="N523" s="33">
        <f t="shared" si="402"/>
        <v>0</v>
      </c>
      <c r="O523" s="33">
        <f t="shared" si="402"/>
        <v>0</v>
      </c>
      <c r="P523" s="33">
        <f t="shared" si="402"/>
        <v>0</v>
      </c>
      <c r="Q523" s="33">
        <f t="shared" si="402"/>
        <v>0</v>
      </c>
      <c r="R523" s="114">
        <f t="shared" si="402"/>
        <v>0</v>
      </c>
    </row>
    <row r="524" spans="1:18" s="92" customFormat="1" x14ac:dyDescent="0.2">
      <c r="A524" s="70">
        <f>-A519-A520+A521++A522-A523</f>
        <v>-43000</v>
      </c>
      <c r="B524" s="64">
        <f>-B519-B520+B521++B522-B523</f>
        <v>10400</v>
      </c>
      <c r="C524" s="64">
        <f>-C519-C520+C521++C522-C523</f>
        <v>-33600</v>
      </c>
      <c r="D524" s="64">
        <f>-D519-D520+D521++D522-D523</f>
        <v>-36000</v>
      </c>
      <c r="E524" s="690"/>
      <c r="F524" s="175" t="s">
        <v>1530</v>
      </c>
      <c r="G524" s="64">
        <f t="shared" ref="G524:O524" si="403">-G519-G520+G521++G522-G523</f>
        <v>-94600</v>
      </c>
      <c r="H524" s="179"/>
      <c r="I524" s="64">
        <f t="shared" si="403"/>
        <v>-7800</v>
      </c>
      <c r="J524" s="64">
        <f t="shared" si="403"/>
        <v>-8300</v>
      </c>
      <c r="K524" s="64">
        <f t="shared" si="403"/>
        <v>-7300</v>
      </c>
      <c r="L524" s="64">
        <f t="shared" si="403"/>
        <v>0</v>
      </c>
      <c r="M524" s="64">
        <f t="shared" si="403"/>
        <v>0</v>
      </c>
      <c r="N524" s="64">
        <f t="shared" si="403"/>
        <v>0</v>
      </c>
      <c r="O524" s="64">
        <f t="shared" si="403"/>
        <v>0</v>
      </c>
      <c r="P524" s="64">
        <f t="shared" ref="P524:Q524" si="404">-P519-P520+P521++P522-P523</f>
        <v>0</v>
      </c>
      <c r="Q524" s="64">
        <f t="shared" si="404"/>
        <v>0</v>
      </c>
      <c r="R524" s="115">
        <f t="shared" ref="R524" si="405">-R519-R520+R521++R522-R523</f>
        <v>0</v>
      </c>
    </row>
    <row r="525" spans="1:18" ht="13.5" thickBot="1" x14ac:dyDescent="0.25">
      <c r="A525" s="73"/>
      <c r="B525" s="90"/>
      <c r="C525" s="90"/>
      <c r="D525" s="90"/>
      <c r="E525" s="681"/>
      <c r="F525" s="141"/>
      <c r="G525" s="90"/>
      <c r="H525" s="392"/>
      <c r="I525" s="66"/>
      <c r="J525" s="66"/>
      <c r="K525" s="66"/>
      <c r="L525" s="66"/>
      <c r="M525" s="66"/>
      <c r="N525" s="66"/>
      <c r="O525" s="66"/>
      <c r="P525" s="66"/>
      <c r="Q525" s="66"/>
      <c r="R525" s="165"/>
    </row>
    <row r="526" spans="1:18" ht="13.5" thickTop="1" x14ac:dyDescent="0.2"/>
  </sheetData>
  <mergeCells count="35">
    <mergeCell ref="A473:D473"/>
    <mergeCell ref="A490:D490"/>
    <mergeCell ref="A516:D516"/>
    <mergeCell ref="A400:D400"/>
    <mergeCell ref="A462:D462"/>
    <mergeCell ref="A84:D84"/>
    <mergeCell ref="A118:D118"/>
    <mergeCell ref="A167:D167"/>
    <mergeCell ref="A83:R83"/>
    <mergeCell ref="G84:R84"/>
    <mergeCell ref="A117:R117"/>
    <mergeCell ref="G118:R118"/>
    <mergeCell ref="A214:D214"/>
    <mergeCell ref="A166:R166"/>
    <mergeCell ref="G167:R167"/>
    <mergeCell ref="A213:R213"/>
    <mergeCell ref="G214:R214"/>
    <mergeCell ref="A2:D2"/>
    <mergeCell ref="A1:R1"/>
    <mergeCell ref="G2:R2"/>
    <mergeCell ref="A46:R46"/>
    <mergeCell ref="G47:R47"/>
    <mergeCell ref="A47:D47"/>
    <mergeCell ref="A274:R274"/>
    <mergeCell ref="G275:R275"/>
    <mergeCell ref="A335:R335"/>
    <mergeCell ref="G336:R336"/>
    <mergeCell ref="A399:R399"/>
    <mergeCell ref="A275:D275"/>
    <mergeCell ref="A336:D336"/>
    <mergeCell ref="G400:R400"/>
    <mergeCell ref="G462:R462"/>
    <mergeCell ref="G473:R473"/>
    <mergeCell ref="G490:R490"/>
    <mergeCell ref="G516:R516"/>
  </mergeCells>
  <phoneticPr fontId="9" type="noConversion"/>
  <printOptions horizontalCentered="1"/>
  <pageMargins left="0.39370078740157483" right="0.39370078740157483" top="0.19685039370078741" bottom="0.19685039370078741" header="0.39370078740157483" footer="0.39370078740157483"/>
  <pageSetup paperSize="9" scale="60" orientation="landscape" r:id="rId1"/>
  <headerFooter alignWithMargins="0"/>
  <rowBreaks count="8" manualBreakCount="8">
    <brk id="44" max="16383" man="1"/>
    <brk id="82" max="16383" man="1"/>
    <brk id="115" max="16383" man="1"/>
    <brk id="165" max="16383" man="1"/>
    <brk id="212" max="16383" man="1"/>
    <brk id="272" max="16383" man="1"/>
    <brk id="334" max="16383" man="1"/>
    <brk id="397" max="1638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A8076"/>
  <sheetViews>
    <sheetView showGridLines="0" topLeftCell="A1422" zoomScaleNormal="100" workbookViewId="0">
      <selection activeCell="G1445" sqref="G1445"/>
    </sheetView>
  </sheetViews>
  <sheetFormatPr defaultColWidth="9.140625" defaultRowHeight="12.75" x14ac:dyDescent="0.2"/>
  <cols>
    <col min="1" max="2" width="11.28515625" style="84" bestFit="1" customWidth="1"/>
    <col min="3" max="4" width="11.28515625" style="189" bestFit="1" customWidth="1"/>
    <col min="5" max="5" width="15.140625" style="527" customWidth="1"/>
    <col min="6" max="6" width="37.140625" style="84" customWidth="1"/>
    <col min="7" max="7" width="11.28515625" style="203" bestFit="1" customWidth="1"/>
    <col min="8" max="8" width="7.85546875" style="149" customWidth="1"/>
    <col min="9" max="18" width="11.28515625" style="84" bestFit="1" customWidth="1"/>
    <col min="19" max="16384" width="9.140625" style="84"/>
  </cols>
  <sheetData>
    <row r="1" spans="1:18" s="91" customFormat="1" ht="18.75" customHeight="1" thickTop="1" thickBot="1" x14ac:dyDescent="0.3">
      <c r="A1" s="2862" t="s">
        <v>3126</v>
      </c>
      <c r="B1" s="2863"/>
      <c r="C1" s="2863"/>
      <c r="D1" s="2863"/>
      <c r="E1" s="2863"/>
      <c r="F1" s="2863"/>
      <c r="G1" s="2863"/>
      <c r="H1" s="2863"/>
      <c r="I1" s="2863"/>
      <c r="J1" s="2863"/>
      <c r="K1" s="2863"/>
      <c r="L1" s="2863"/>
      <c r="M1" s="2863"/>
      <c r="N1" s="2863"/>
      <c r="O1" s="2863"/>
      <c r="P1" s="2863"/>
      <c r="Q1" s="2863"/>
      <c r="R1" s="2864"/>
    </row>
    <row r="2" spans="1:18" s="92" customFormat="1" x14ac:dyDescent="0.2">
      <c r="A2" s="2848" t="s">
        <v>1856</v>
      </c>
      <c r="B2" s="2840"/>
      <c r="C2" s="2840"/>
      <c r="D2" s="2849"/>
      <c r="E2" s="1966" t="s">
        <v>2251</v>
      </c>
      <c r="F2" s="1967"/>
      <c r="G2" s="2885" t="s">
        <v>2253</v>
      </c>
      <c r="H2" s="2886"/>
      <c r="I2" s="2886"/>
      <c r="J2" s="2886"/>
      <c r="K2" s="2886"/>
      <c r="L2" s="2886"/>
      <c r="M2" s="2886"/>
      <c r="N2" s="2886"/>
      <c r="O2" s="2886"/>
      <c r="P2" s="2886"/>
      <c r="Q2" s="2886"/>
      <c r="R2" s="2887"/>
    </row>
    <row r="3" spans="1:18" ht="13.5" thickBot="1" x14ac:dyDescent="0.25">
      <c r="A3" s="208" t="str">
        <f>SP!A3</f>
        <v>2012/13</v>
      </c>
      <c r="B3" s="75" t="str">
        <f>SP!B3</f>
        <v>2013/14</v>
      </c>
      <c r="C3" s="370" t="str">
        <f>SP!C3</f>
        <v>2014/15</v>
      </c>
      <c r="D3" s="93" t="str">
        <f>SP!D3</f>
        <v>2015/16</v>
      </c>
      <c r="E3" s="272"/>
      <c r="F3" s="94"/>
      <c r="G3" s="93" t="str">
        <f>SP!G3</f>
        <v>2016/17</v>
      </c>
      <c r="H3" s="2527" t="s">
        <v>501</v>
      </c>
      <c r="I3" s="370" t="str">
        <f>SP!I3</f>
        <v>2017/18</v>
      </c>
      <c r="J3" s="370" t="str">
        <f>SP!J3</f>
        <v>2018/19</v>
      </c>
      <c r="K3" s="370" t="str">
        <f>SP!K3</f>
        <v>2019/20</v>
      </c>
      <c r="L3" s="370" t="str">
        <f>SP!L3</f>
        <v>2020/21</v>
      </c>
      <c r="M3" s="370" t="str">
        <f>SP!M3</f>
        <v>2021/22</v>
      </c>
      <c r="N3" s="370" t="str">
        <f>SP!N3</f>
        <v>2022/23</v>
      </c>
      <c r="O3" s="370" t="str">
        <f>SP!O3</f>
        <v>2023/24</v>
      </c>
      <c r="P3" s="381" t="str">
        <f>SP!P3</f>
        <v>2024/25</v>
      </c>
      <c r="Q3" s="218" t="str">
        <f>SP!Q3</f>
        <v>2025/26</v>
      </c>
      <c r="R3" s="549" t="str">
        <f>SP!R3</f>
        <v>2026/27</v>
      </c>
    </row>
    <row r="4" spans="1:18" x14ac:dyDescent="0.2">
      <c r="A4" s="2494"/>
      <c r="B4" s="169"/>
      <c r="C4" s="33"/>
      <c r="D4" s="33"/>
      <c r="E4" s="273"/>
      <c r="F4" s="155"/>
      <c r="G4" s="33"/>
      <c r="H4" s="138"/>
      <c r="I4" s="33"/>
      <c r="J4" s="33"/>
      <c r="K4" s="33"/>
      <c r="L4" s="33"/>
      <c r="M4" s="33"/>
      <c r="N4" s="33"/>
      <c r="O4" s="33"/>
      <c r="P4" s="142"/>
      <c r="Q4" s="33"/>
      <c r="R4" s="114"/>
    </row>
    <row r="5" spans="1:18" x14ac:dyDescent="0.2">
      <c r="A5" s="608"/>
      <c r="B5" s="150"/>
      <c r="C5" s="150"/>
      <c r="D5" s="150"/>
      <c r="E5" s="274" t="s">
        <v>1073</v>
      </c>
      <c r="F5" s="128"/>
      <c r="G5" s="33"/>
      <c r="H5" s="138"/>
      <c r="I5" s="33"/>
      <c r="J5" s="33"/>
      <c r="K5" s="33"/>
      <c r="L5" s="33"/>
      <c r="M5" s="33"/>
      <c r="N5" s="33"/>
      <c r="O5" s="33"/>
      <c r="P5" s="142"/>
      <c r="Q5" s="33"/>
      <c r="R5" s="114"/>
    </row>
    <row r="6" spans="1:18" x14ac:dyDescent="0.2">
      <c r="A6" s="608">
        <f>A81</f>
        <v>360000</v>
      </c>
      <c r="B6" s="150">
        <f>B81</f>
        <v>308300</v>
      </c>
      <c r="C6" s="150">
        <f>C81</f>
        <v>321800</v>
      </c>
      <c r="D6" s="150">
        <f>D81</f>
        <v>254400</v>
      </c>
      <c r="E6" s="276" t="str">
        <f>F2036</f>
        <v>Engineering Management</v>
      </c>
      <c r="F6" s="142"/>
      <c r="G6" s="33">
        <f t="shared" ref="G6:O6" si="0">G81</f>
        <v>288500</v>
      </c>
      <c r="H6" s="138">
        <f t="shared" ref="H6:H17" si="1">IF(D6=G6,0,IF(D6=0,100,(G6-D6)/D6*100))</f>
        <v>13.404088050314467</v>
      </c>
      <c r="I6" s="33">
        <f t="shared" si="0"/>
        <v>270600</v>
      </c>
      <c r="J6" s="33">
        <f t="shared" si="0"/>
        <v>277800</v>
      </c>
      <c r="K6" s="33">
        <f t="shared" si="0"/>
        <v>285300</v>
      </c>
      <c r="L6" s="33">
        <f t="shared" si="0"/>
        <v>293000</v>
      </c>
      <c r="M6" s="33">
        <f t="shared" si="0"/>
        <v>299400</v>
      </c>
      <c r="N6" s="33">
        <f t="shared" si="0"/>
        <v>305900</v>
      </c>
      <c r="O6" s="33">
        <f t="shared" si="0"/>
        <v>312500</v>
      </c>
      <c r="P6" s="142">
        <f t="shared" ref="P6:Q6" si="2">P81</f>
        <v>319200</v>
      </c>
      <c r="Q6" s="33">
        <f t="shared" si="2"/>
        <v>326000</v>
      </c>
      <c r="R6" s="114">
        <f t="shared" ref="R6" si="3">R81</f>
        <v>332900</v>
      </c>
    </row>
    <row r="7" spans="1:18" x14ac:dyDescent="0.2">
      <c r="A7" s="608">
        <f>A132</f>
        <v>5000</v>
      </c>
      <c r="B7" s="150">
        <f>B132</f>
        <v>180100</v>
      </c>
      <c r="C7" s="150">
        <f>C132</f>
        <v>0</v>
      </c>
      <c r="D7" s="150">
        <f>D132</f>
        <v>0</v>
      </c>
      <c r="E7" s="276" t="str">
        <f>F2037</f>
        <v>Procurement and Building Management</v>
      </c>
      <c r="F7" s="142"/>
      <c r="G7" s="33">
        <f t="shared" ref="G7:O7" si="4">G132</f>
        <v>0</v>
      </c>
      <c r="H7" s="138">
        <f t="shared" si="1"/>
        <v>0</v>
      </c>
      <c r="I7" s="33">
        <f t="shared" si="4"/>
        <v>0</v>
      </c>
      <c r="J7" s="33">
        <f t="shared" si="4"/>
        <v>0</v>
      </c>
      <c r="K7" s="33">
        <f t="shared" si="4"/>
        <v>0</v>
      </c>
      <c r="L7" s="33">
        <f t="shared" si="4"/>
        <v>0</v>
      </c>
      <c r="M7" s="33">
        <f t="shared" si="4"/>
        <v>0</v>
      </c>
      <c r="N7" s="33">
        <f t="shared" si="4"/>
        <v>0</v>
      </c>
      <c r="O7" s="33">
        <f t="shared" si="4"/>
        <v>0</v>
      </c>
      <c r="P7" s="142">
        <f t="shared" ref="P7:Q7" si="5">P132</f>
        <v>0</v>
      </c>
      <c r="Q7" s="33">
        <f t="shared" si="5"/>
        <v>0</v>
      </c>
      <c r="R7" s="114">
        <f t="shared" ref="R7" si="6">R132</f>
        <v>0</v>
      </c>
    </row>
    <row r="8" spans="1:18" x14ac:dyDescent="0.2">
      <c r="A8" s="608">
        <f>A196</f>
        <v>329300</v>
      </c>
      <c r="B8" s="150">
        <f>B196</f>
        <v>347400</v>
      </c>
      <c r="C8" s="150">
        <f>C196</f>
        <v>291700</v>
      </c>
      <c r="D8" s="150">
        <f>D196</f>
        <v>374600</v>
      </c>
      <c r="E8" s="276" t="str">
        <f t="shared" ref="E8:E15" si="7">F2038</f>
        <v>Stormwater and Environmental Protection</v>
      </c>
      <c r="F8" s="142"/>
      <c r="G8" s="33">
        <f t="shared" ref="G8:O8" si="8">G196</f>
        <v>579000</v>
      </c>
      <c r="H8" s="138">
        <f t="shared" si="1"/>
        <v>54.564869193806729</v>
      </c>
      <c r="I8" s="33">
        <f t="shared" si="8"/>
        <v>376900</v>
      </c>
      <c r="J8" s="33">
        <f t="shared" si="8"/>
        <v>378800</v>
      </c>
      <c r="K8" s="33">
        <f t="shared" si="8"/>
        <v>380700</v>
      </c>
      <c r="L8" s="33">
        <f t="shared" si="8"/>
        <v>382700</v>
      </c>
      <c r="M8" s="33">
        <f t="shared" si="8"/>
        <v>384700</v>
      </c>
      <c r="N8" s="33">
        <f t="shared" si="8"/>
        <v>386700</v>
      </c>
      <c r="O8" s="33">
        <f t="shared" si="8"/>
        <v>388700</v>
      </c>
      <c r="P8" s="142">
        <f t="shared" ref="P8:Q8" si="9">P196</f>
        <v>390700</v>
      </c>
      <c r="Q8" s="33">
        <f t="shared" si="9"/>
        <v>392700</v>
      </c>
      <c r="R8" s="114">
        <f t="shared" ref="R8" si="10">R196</f>
        <v>394700</v>
      </c>
    </row>
    <row r="9" spans="1:18" x14ac:dyDescent="0.2">
      <c r="A9" s="608">
        <f>A255</f>
        <v>687900</v>
      </c>
      <c r="B9" s="150">
        <f>B255</f>
        <v>499700</v>
      </c>
      <c r="C9" s="150">
        <f>C255</f>
        <v>413800</v>
      </c>
      <c r="D9" s="150">
        <f>D255</f>
        <v>350500</v>
      </c>
      <c r="E9" s="276" t="str">
        <f t="shared" si="7"/>
        <v>Roads and Bridges</v>
      </c>
      <c r="F9" s="142"/>
      <c r="G9" s="33">
        <f t="shared" ref="G9:O9" si="11">G255</f>
        <v>2559300</v>
      </c>
      <c r="H9" s="138">
        <f t="shared" si="1"/>
        <v>630.18544935805994</v>
      </c>
      <c r="I9" s="33">
        <f t="shared" si="11"/>
        <v>982500</v>
      </c>
      <c r="J9" s="33">
        <f t="shared" si="11"/>
        <v>774000</v>
      </c>
      <c r="K9" s="33">
        <f t="shared" si="11"/>
        <v>666200</v>
      </c>
      <c r="L9" s="33">
        <f t="shared" si="11"/>
        <v>670900</v>
      </c>
      <c r="M9" s="33">
        <f t="shared" si="11"/>
        <v>675500</v>
      </c>
      <c r="N9" s="33">
        <f t="shared" si="11"/>
        <v>680400</v>
      </c>
      <c r="O9" s="33">
        <f t="shared" si="11"/>
        <v>689000</v>
      </c>
      <c r="P9" s="142">
        <f t="shared" ref="P9:Q9" si="12">P255</f>
        <v>700200</v>
      </c>
      <c r="Q9" s="33">
        <f t="shared" si="12"/>
        <v>714300</v>
      </c>
      <c r="R9" s="114">
        <f t="shared" ref="R9" si="13">R255</f>
        <v>728600</v>
      </c>
    </row>
    <row r="10" spans="1:18" x14ac:dyDescent="0.2">
      <c r="A10" s="608">
        <f>A315</f>
        <v>598700</v>
      </c>
      <c r="B10" s="150">
        <f>B315</f>
        <v>905900</v>
      </c>
      <c r="C10" s="150">
        <f>C315</f>
        <v>896500</v>
      </c>
      <c r="D10" s="150">
        <f>D315</f>
        <v>1375200</v>
      </c>
      <c r="E10" s="276" t="str">
        <f t="shared" si="7"/>
        <v>Ancillary Transport Services</v>
      </c>
      <c r="F10" s="142"/>
      <c r="G10" s="33">
        <f t="shared" ref="G10:O10" si="14">G315</f>
        <v>960400</v>
      </c>
      <c r="H10" s="138">
        <f t="shared" si="1"/>
        <v>-30.162885398487493</v>
      </c>
      <c r="I10" s="33">
        <f t="shared" si="14"/>
        <v>894000</v>
      </c>
      <c r="J10" s="33">
        <f t="shared" si="14"/>
        <v>910900</v>
      </c>
      <c r="K10" s="33">
        <f t="shared" si="14"/>
        <v>927900</v>
      </c>
      <c r="L10" s="33">
        <f t="shared" si="14"/>
        <v>945200</v>
      </c>
      <c r="M10" s="33">
        <f t="shared" si="14"/>
        <v>958300</v>
      </c>
      <c r="N10" s="33">
        <f t="shared" si="14"/>
        <v>972100</v>
      </c>
      <c r="O10" s="33">
        <f t="shared" si="14"/>
        <v>990800</v>
      </c>
      <c r="P10" s="142">
        <f t="shared" ref="P10:Q10" si="15">P315</f>
        <v>1011000</v>
      </c>
      <c r="Q10" s="33">
        <f t="shared" si="15"/>
        <v>1031600</v>
      </c>
      <c r="R10" s="114">
        <f t="shared" ref="R10" si="16">R315</f>
        <v>1052600</v>
      </c>
    </row>
    <row r="11" spans="1:18" x14ac:dyDescent="0.2">
      <c r="A11" s="608">
        <f>A372</f>
        <v>677000</v>
      </c>
      <c r="B11" s="150">
        <f>B372</f>
        <v>926000</v>
      </c>
      <c r="C11" s="150">
        <f>C372</f>
        <v>866500</v>
      </c>
      <c r="D11" s="150">
        <f>D372</f>
        <v>876000</v>
      </c>
      <c r="E11" s="276" t="str">
        <f t="shared" si="7"/>
        <v>Roads and Maritime Services</v>
      </c>
      <c r="F11" s="142"/>
      <c r="G11" s="33">
        <f t="shared" ref="G11:O11" si="17">G372</f>
        <v>970000</v>
      </c>
      <c r="H11" s="138">
        <f t="shared" si="1"/>
        <v>10.730593607305936</v>
      </c>
      <c r="I11" s="33">
        <f t="shared" si="17"/>
        <v>744600</v>
      </c>
      <c r="J11" s="33">
        <f t="shared" si="17"/>
        <v>763500</v>
      </c>
      <c r="K11" s="33">
        <f t="shared" si="17"/>
        <v>783100</v>
      </c>
      <c r="L11" s="33">
        <f t="shared" si="17"/>
        <v>803100</v>
      </c>
      <c r="M11" s="33">
        <f t="shared" si="17"/>
        <v>819600</v>
      </c>
      <c r="N11" s="33">
        <f t="shared" si="17"/>
        <v>836500</v>
      </c>
      <c r="O11" s="33">
        <f t="shared" si="17"/>
        <v>853800</v>
      </c>
      <c r="P11" s="142">
        <f t="shared" ref="P11:Q11" si="18">P372</f>
        <v>871300</v>
      </c>
      <c r="Q11" s="33">
        <f t="shared" si="18"/>
        <v>889200</v>
      </c>
      <c r="R11" s="114">
        <f t="shared" ref="R11" si="19">R372</f>
        <v>907400</v>
      </c>
    </row>
    <row r="12" spans="1:18" x14ac:dyDescent="0.2">
      <c r="A12" s="608">
        <f>A419</f>
        <v>906200</v>
      </c>
      <c r="B12" s="150">
        <f>B419</f>
        <v>986500</v>
      </c>
      <c r="C12" s="150">
        <f>C419</f>
        <v>963100</v>
      </c>
      <c r="D12" s="150">
        <f>D419</f>
        <v>1046300</v>
      </c>
      <c r="E12" s="276" t="str">
        <f t="shared" si="7"/>
        <v>Open Spaces and Reserves</v>
      </c>
      <c r="F12" s="142"/>
      <c r="G12" s="33">
        <f t="shared" ref="G12:O12" si="20">G419</f>
        <v>764000</v>
      </c>
      <c r="H12" s="138">
        <f t="shared" si="1"/>
        <v>-26.980789448532928</v>
      </c>
      <c r="I12" s="33">
        <f t="shared" si="20"/>
        <v>750200</v>
      </c>
      <c r="J12" s="33">
        <f t="shared" si="20"/>
        <v>769700</v>
      </c>
      <c r="K12" s="33">
        <f t="shared" si="20"/>
        <v>789700</v>
      </c>
      <c r="L12" s="33">
        <f t="shared" si="20"/>
        <v>810100</v>
      </c>
      <c r="M12" s="33">
        <f t="shared" si="20"/>
        <v>827100</v>
      </c>
      <c r="N12" s="33">
        <f t="shared" si="20"/>
        <v>844400</v>
      </c>
      <c r="O12" s="33">
        <f t="shared" si="20"/>
        <v>862000</v>
      </c>
      <c r="P12" s="142">
        <f t="shared" ref="P12:Q12" si="21">P419</f>
        <v>879900</v>
      </c>
      <c r="Q12" s="33">
        <f t="shared" si="21"/>
        <v>898100</v>
      </c>
      <c r="R12" s="114">
        <f t="shared" ref="R12" si="22">R419</f>
        <v>916700</v>
      </c>
    </row>
    <row r="13" spans="1:18" x14ac:dyDescent="0.2">
      <c r="A13" s="608">
        <f>A490</f>
        <v>308500</v>
      </c>
      <c r="B13" s="150">
        <f>B490</f>
        <v>302000</v>
      </c>
      <c r="C13" s="150">
        <f>C490</f>
        <v>326900</v>
      </c>
      <c r="D13" s="150">
        <f>D490</f>
        <v>284000</v>
      </c>
      <c r="E13" s="276" t="str">
        <f t="shared" si="7"/>
        <v>Fleet Management and Workshop</v>
      </c>
      <c r="F13" s="142"/>
      <c r="G13" s="33">
        <f t="shared" ref="G13:O13" si="23">G490</f>
        <v>254000</v>
      </c>
      <c r="H13" s="138">
        <f t="shared" si="1"/>
        <v>-10.56338028169014</v>
      </c>
      <c r="I13" s="33">
        <f t="shared" si="23"/>
        <v>255900</v>
      </c>
      <c r="J13" s="33">
        <f t="shared" si="23"/>
        <v>268400</v>
      </c>
      <c r="K13" s="33">
        <f t="shared" si="23"/>
        <v>276100</v>
      </c>
      <c r="L13" s="33">
        <f t="shared" si="23"/>
        <v>297900</v>
      </c>
      <c r="M13" s="33">
        <f t="shared" si="23"/>
        <v>298500</v>
      </c>
      <c r="N13" s="33">
        <f t="shared" si="23"/>
        <v>310300</v>
      </c>
      <c r="O13" s="33">
        <f t="shared" si="23"/>
        <v>313200</v>
      </c>
      <c r="P13" s="142">
        <f t="shared" ref="P13:Q13" si="24">P490</f>
        <v>319200</v>
      </c>
      <c r="Q13" s="33">
        <f t="shared" si="24"/>
        <v>296400</v>
      </c>
      <c r="R13" s="114">
        <f t="shared" ref="R13" si="25">R490</f>
        <v>323700</v>
      </c>
    </row>
    <row r="14" spans="1:18" x14ac:dyDescent="0.2">
      <c r="A14" s="608">
        <f>A536</f>
        <v>249000</v>
      </c>
      <c r="B14" s="150">
        <f>B536</f>
        <v>161500</v>
      </c>
      <c r="C14" s="152">
        <f>C536</f>
        <v>181900</v>
      </c>
      <c r="D14" s="150">
        <f>D536</f>
        <v>172300</v>
      </c>
      <c r="E14" s="276" t="str">
        <f t="shared" si="7"/>
        <v>Rural Fire Service</v>
      </c>
      <c r="F14" s="142"/>
      <c r="G14" s="33">
        <f t="shared" ref="G14:O14" si="26">G536</f>
        <v>219000</v>
      </c>
      <c r="H14" s="138">
        <f t="shared" si="1"/>
        <v>27.103888566453861</v>
      </c>
      <c r="I14" s="33">
        <f t="shared" si="26"/>
        <v>167500</v>
      </c>
      <c r="J14" s="33">
        <f t="shared" si="26"/>
        <v>171800</v>
      </c>
      <c r="K14" s="33">
        <f t="shared" si="26"/>
        <v>176200</v>
      </c>
      <c r="L14" s="33">
        <f t="shared" si="26"/>
        <v>180700</v>
      </c>
      <c r="M14" s="33">
        <f t="shared" si="26"/>
        <v>184500</v>
      </c>
      <c r="N14" s="33">
        <f t="shared" si="26"/>
        <v>188300</v>
      </c>
      <c r="O14" s="33">
        <f t="shared" si="26"/>
        <v>192100</v>
      </c>
      <c r="P14" s="142">
        <f t="shared" ref="P14:Q14" si="27">P536</f>
        <v>196100</v>
      </c>
      <c r="Q14" s="33">
        <f t="shared" si="27"/>
        <v>200200</v>
      </c>
      <c r="R14" s="114">
        <f t="shared" ref="R14" si="28">R536</f>
        <v>204400</v>
      </c>
    </row>
    <row r="15" spans="1:18" x14ac:dyDescent="0.2">
      <c r="A15" s="608">
        <f>A579</f>
        <v>411000</v>
      </c>
      <c r="B15" s="150">
        <f>B579</f>
        <v>349700</v>
      </c>
      <c r="C15" s="152">
        <f>C579</f>
        <v>475700</v>
      </c>
      <c r="D15" s="150">
        <f>D579</f>
        <v>377200</v>
      </c>
      <c r="E15" s="276" t="str">
        <f t="shared" si="7"/>
        <v>Quarries and Sandpit</v>
      </c>
      <c r="F15" s="142"/>
      <c r="G15" s="33">
        <f t="shared" ref="G15:O15" si="29">G579</f>
        <v>64800</v>
      </c>
      <c r="H15" s="138">
        <f t="shared" si="1"/>
        <v>-82.820784729586421</v>
      </c>
      <c r="I15" s="33">
        <f t="shared" si="29"/>
        <v>48800</v>
      </c>
      <c r="J15" s="33">
        <f t="shared" si="29"/>
        <v>50100</v>
      </c>
      <c r="K15" s="33">
        <f t="shared" si="29"/>
        <v>51500</v>
      </c>
      <c r="L15" s="33">
        <f t="shared" si="29"/>
        <v>52900</v>
      </c>
      <c r="M15" s="33">
        <f t="shared" si="29"/>
        <v>54100</v>
      </c>
      <c r="N15" s="33">
        <f t="shared" si="29"/>
        <v>55300</v>
      </c>
      <c r="O15" s="33">
        <f t="shared" si="29"/>
        <v>56500</v>
      </c>
      <c r="P15" s="142">
        <f t="shared" ref="P15:Q15" si="30">P579</f>
        <v>57800</v>
      </c>
      <c r="Q15" s="33">
        <f t="shared" si="30"/>
        <v>59100</v>
      </c>
      <c r="R15" s="114">
        <f t="shared" ref="R15" si="31">R579</f>
        <v>60400</v>
      </c>
    </row>
    <row r="16" spans="1:18" x14ac:dyDescent="0.2">
      <c r="A16" s="608">
        <f>A635</f>
        <v>2497000</v>
      </c>
      <c r="B16" s="150">
        <f>B635</f>
        <v>2720200</v>
      </c>
      <c r="C16" s="152">
        <f>C635</f>
        <v>3958300</v>
      </c>
      <c r="D16" s="150">
        <f>D635</f>
        <v>3844500</v>
      </c>
      <c r="E16" s="1113" t="s">
        <v>3123</v>
      </c>
      <c r="F16" s="142"/>
      <c r="G16" s="33">
        <f t="shared" ref="G16:O16" si="32">G635</f>
        <v>3567000</v>
      </c>
      <c r="H16" s="138">
        <f t="shared" si="1"/>
        <v>-7.2181037846273899</v>
      </c>
      <c r="I16" s="33">
        <f t="shared" si="32"/>
        <v>2215000</v>
      </c>
      <c r="J16" s="33">
        <f t="shared" si="32"/>
        <v>2312400</v>
      </c>
      <c r="K16" s="33">
        <f t="shared" si="32"/>
        <v>2415800</v>
      </c>
      <c r="L16" s="33">
        <f t="shared" si="32"/>
        <v>2467200</v>
      </c>
      <c r="M16" s="33">
        <f t="shared" si="32"/>
        <v>2517600</v>
      </c>
      <c r="N16" s="33">
        <f t="shared" si="32"/>
        <v>2569000</v>
      </c>
      <c r="O16" s="33">
        <f t="shared" si="32"/>
        <v>2619400</v>
      </c>
      <c r="P16" s="142">
        <f t="shared" ref="P16:Q16" si="33">P635</f>
        <v>2680800</v>
      </c>
      <c r="Q16" s="33">
        <f t="shared" si="33"/>
        <v>2744200</v>
      </c>
      <c r="R16" s="114">
        <f t="shared" ref="R16" si="34">R635</f>
        <v>2809600</v>
      </c>
    </row>
    <row r="17" spans="1:18" x14ac:dyDescent="0.2">
      <c r="A17" s="608">
        <f>A705</f>
        <v>6579200</v>
      </c>
      <c r="B17" s="150">
        <f>B705</f>
        <v>6736500</v>
      </c>
      <c r="C17" s="152">
        <f>C705</f>
        <v>5865100</v>
      </c>
      <c r="D17" s="150">
        <f>D705</f>
        <v>6079500</v>
      </c>
      <c r="E17" s="1476" t="s">
        <v>1944</v>
      </c>
      <c r="F17" s="142"/>
      <c r="G17" s="33">
        <f t="shared" ref="G17:O17" si="35">G705</f>
        <v>6294500</v>
      </c>
      <c r="H17" s="138">
        <f t="shared" si="1"/>
        <v>3.5364750390657127</v>
      </c>
      <c r="I17" s="33">
        <f t="shared" si="35"/>
        <v>6417900</v>
      </c>
      <c r="J17" s="33">
        <f t="shared" si="35"/>
        <v>6557400</v>
      </c>
      <c r="K17" s="33">
        <f t="shared" si="35"/>
        <v>6737000</v>
      </c>
      <c r="L17" s="33">
        <f t="shared" si="35"/>
        <v>6922700</v>
      </c>
      <c r="M17" s="33">
        <f t="shared" si="35"/>
        <v>7072800</v>
      </c>
      <c r="N17" s="33">
        <f t="shared" si="35"/>
        <v>7268200</v>
      </c>
      <c r="O17" s="33">
        <f t="shared" si="35"/>
        <v>7469100</v>
      </c>
      <c r="P17" s="142">
        <f t="shared" ref="P17:Q17" si="36">P705</f>
        <v>7633600</v>
      </c>
      <c r="Q17" s="33">
        <f t="shared" si="36"/>
        <v>7844800</v>
      </c>
      <c r="R17" s="114">
        <f t="shared" ref="R17" si="37">R705</f>
        <v>8041900</v>
      </c>
    </row>
    <row r="18" spans="1:18" ht="13.5" thickBot="1" x14ac:dyDescent="0.25">
      <c r="A18" s="608"/>
      <c r="B18" s="150"/>
      <c r="C18" s="152"/>
      <c r="D18" s="150"/>
      <c r="E18" s="276"/>
      <c r="F18" s="142"/>
      <c r="G18" s="33"/>
      <c r="H18" s="138"/>
      <c r="I18" s="33"/>
      <c r="J18" s="33"/>
      <c r="K18" s="33"/>
      <c r="L18" s="33"/>
      <c r="M18" s="33"/>
      <c r="N18" s="33"/>
      <c r="O18" s="33"/>
      <c r="P18" s="142"/>
      <c r="Q18" s="33"/>
      <c r="R18" s="114"/>
    </row>
    <row r="19" spans="1:18" s="92" customFormat="1" x14ac:dyDescent="0.2">
      <c r="A19" s="610">
        <f>SUM(A5:A18)</f>
        <v>13608800</v>
      </c>
      <c r="B19" s="153">
        <f>SUM(B5:B18)</f>
        <v>14423800</v>
      </c>
      <c r="C19" s="154">
        <f>SUM(C5:C18)</f>
        <v>14561300</v>
      </c>
      <c r="D19" s="153">
        <f>SUM(D5:D18)</f>
        <v>15034500</v>
      </c>
      <c r="E19" s="581" t="s">
        <v>2605</v>
      </c>
      <c r="F19" s="128"/>
      <c r="G19" s="53">
        <f t="shared" ref="G19:P19" si="38">SUM(G5:G18)</f>
        <v>16520500</v>
      </c>
      <c r="H19" s="180">
        <f>IF(D19=G19,0,IF(D19=0,100,(G19-D19)/D19*100))</f>
        <v>9.8839336193421801</v>
      </c>
      <c r="I19" s="53">
        <f t="shared" si="38"/>
        <v>13123900</v>
      </c>
      <c r="J19" s="53">
        <f t="shared" si="38"/>
        <v>13234800</v>
      </c>
      <c r="K19" s="53">
        <f t="shared" si="38"/>
        <v>13489500</v>
      </c>
      <c r="L19" s="53">
        <f t="shared" si="38"/>
        <v>13826400</v>
      </c>
      <c r="M19" s="53">
        <f t="shared" si="38"/>
        <v>14092100</v>
      </c>
      <c r="N19" s="53">
        <f t="shared" si="38"/>
        <v>14417100</v>
      </c>
      <c r="O19" s="53">
        <f t="shared" si="38"/>
        <v>14747100</v>
      </c>
      <c r="P19" s="155">
        <f t="shared" si="38"/>
        <v>15059800</v>
      </c>
      <c r="Q19" s="53">
        <f t="shared" ref="Q19" si="39">SUM(Q5:Q18)</f>
        <v>15396600</v>
      </c>
      <c r="R19" s="113">
        <f t="shared" ref="R19" si="40">SUM(R5:R18)</f>
        <v>15772900</v>
      </c>
    </row>
    <row r="20" spans="1:18" x14ac:dyDescent="0.2">
      <c r="A20" s="608"/>
      <c r="B20" s="150"/>
      <c r="C20" s="152"/>
      <c r="D20" s="150"/>
      <c r="E20" s="276"/>
      <c r="F20" s="142"/>
      <c r="G20" s="33"/>
      <c r="H20" s="138"/>
      <c r="I20" s="33"/>
      <c r="J20" s="33"/>
      <c r="K20" s="33"/>
      <c r="L20" s="33"/>
      <c r="M20" s="33"/>
      <c r="N20" s="33"/>
      <c r="O20" s="33"/>
      <c r="P20" s="142"/>
      <c r="Q20" s="33"/>
      <c r="R20" s="114"/>
    </row>
    <row r="21" spans="1:18" x14ac:dyDescent="0.2">
      <c r="A21" s="608"/>
      <c r="B21" s="150"/>
      <c r="C21" s="152"/>
      <c r="D21" s="150"/>
      <c r="E21" s="274" t="s">
        <v>2205</v>
      </c>
      <c r="F21" s="142"/>
      <c r="G21" s="33"/>
      <c r="H21" s="138"/>
      <c r="I21" s="33"/>
      <c r="J21" s="33"/>
      <c r="K21" s="33"/>
      <c r="L21" s="33"/>
      <c r="M21" s="33"/>
      <c r="N21" s="33"/>
      <c r="O21" s="33"/>
      <c r="P21" s="142"/>
      <c r="Q21" s="33"/>
      <c r="R21" s="114"/>
    </row>
    <row r="22" spans="1:18" x14ac:dyDescent="0.2">
      <c r="A22" s="608">
        <f>A105</f>
        <v>2423000</v>
      </c>
      <c r="B22" s="150">
        <f>B105</f>
        <v>2053400</v>
      </c>
      <c r="C22" s="150">
        <f>C105</f>
        <v>2505100</v>
      </c>
      <c r="D22" s="150">
        <f>D105</f>
        <v>2621900</v>
      </c>
      <c r="E22" s="276" t="str">
        <f t="shared" ref="E22:E33" si="41">E6</f>
        <v>Engineering Management</v>
      </c>
      <c r="F22" s="142"/>
      <c r="G22" s="33">
        <f t="shared" ref="G22:O22" si="42">G105</f>
        <v>2669400</v>
      </c>
      <c r="H22" s="138">
        <f t="shared" ref="H22:H33" si="43">IF(D22=G22,0,IF(D22=0,100,(G22-D22)/D22*100))</f>
        <v>1.8116632976086047</v>
      </c>
      <c r="I22" s="33">
        <f t="shared" si="42"/>
        <v>2705100</v>
      </c>
      <c r="J22" s="33">
        <f t="shared" si="42"/>
        <v>2773100</v>
      </c>
      <c r="K22" s="33">
        <f t="shared" si="42"/>
        <v>2842800</v>
      </c>
      <c r="L22" s="33">
        <f t="shared" si="42"/>
        <v>2914400</v>
      </c>
      <c r="M22" s="33">
        <f t="shared" si="42"/>
        <v>2985800</v>
      </c>
      <c r="N22" s="33">
        <f t="shared" si="42"/>
        <v>3058900</v>
      </c>
      <c r="O22" s="33">
        <f t="shared" si="42"/>
        <v>3133600</v>
      </c>
      <c r="P22" s="142">
        <f t="shared" ref="P22:Q22" si="44">P105</f>
        <v>3210000</v>
      </c>
      <c r="Q22" s="33">
        <f t="shared" si="44"/>
        <v>3288100</v>
      </c>
      <c r="R22" s="114">
        <f t="shared" ref="R22" si="45">R105</f>
        <v>3368400</v>
      </c>
    </row>
    <row r="23" spans="1:18" x14ac:dyDescent="0.2">
      <c r="A23" s="608">
        <f>A164</f>
        <v>3004000</v>
      </c>
      <c r="B23" s="150">
        <f>B164</f>
        <v>3634900</v>
      </c>
      <c r="C23" s="150">
        <f>C164</f>
        <v>3726400</v>
      </c>
      <c r="D23" s="150">
        <f>D164</f>
        <v>3713200</v>
      </c>
      <c r="E23" s="276" t="str">
        <f t="shared" si="41"/>
        <v>Procurement and Building Management</v>
      </c>
      <c r="F23" s="142"/>
      <c r="G23" s="33">
        <f t="shared" ref="G23:O23" si="46">G164</f>
        <v>3686700</v>
      </c>
      <c r="H23" s="138">
        <f t="shared" si="43"/>
        <v>-0.71367014973607668</v>
      </c>
      <c r="I23" s="33">
        <f t="shared" si="46"/>
        <v>3739500</v>
      </c>
      <c r="J23" s="33">
        <f t="shared" si="46"/>
        <v>3828000</v>
      </c>
      <c r="K23" s="33">
        <f t="shared" si="46"/>
        <v>3918600</v>
      </c>
      <c r="L23" s="33">
        <f t="shared" si="46"/>
        <v>4011500</v>
      </c>
      <c r="M23" s="33">
        <f t="shared" si="46"/>
        <v>4097700</v>
      </c>
      <c r="N23" s="33">
        <f t="shared" si="46"/>
        <v>4185100</v>
      </c>
      <c r="O23" s="33">
        <f t="shared" si="46"/>
        <v>4274500</v>
      </c>
      <c r="P23" s="142">
        <f t="shared" ref="P23:Q23" si="47">P164</f>
        <v>4365400</v>
      </c>
      <c r="Q23" s="33">
        <f t="shared" si="47"/>
        <v>4445400</v>
      </c>
      <c r="R23" s="114">
        <f t="shared" ref="R23" si="48">R164</f>
        <v>4527100</v>
      </c>
    </row>
    <row r="24" spans="1:18" x14ac:dyDescent="0.2">
      <c r="A24" s="608">
        <f>A218</f>
        <v>2446000</v>
      </c>
      <c r="B24" s="150">
        <f>B218</f>
        <v>2507800</v>
      </c>
      <c r="C24" s="150">
        <f>C218</f>
        <v>2343200</v>
      </c>
      <c r="D24" s="150">
        <f>D218</f>
        <v>2213900</v>
      </c>
      <c r="E24" s="276" t="str">
        <f t="shared" si="41"/>
        <v>Stormwater and Environmental Protection</v>
      </c>
      <c r="F24" s="142"/>
      <c r="G24" s="33">
        <f t="shared" ref="G24:O24" si="49">G218</f>
        <v>2373300</v>
      </c>
      <c r="H24" s="138">
        <f t="shared" si="43"/>
        <v>7.1999638646732009</v>
      </c>
      <c r="I24" s="33">
        <f t="shared" si="49"/>
        <v>2220300</v>
      </c>
      <c r="J24" s="33">
        <f t="shared" si="49"/>
        <v>2269300</v>
      </c>
      <c r="K24" s="33">
        <f t="shared" si="49"/>
        <v>2319400</v>
      </c>
      <c r="L24" s="33">
        <f t="shared" si="49"/>
        <v>2370600</v>
      </c>
      <c r="M24" s="33">
        <f t="shared" si="49"/>
        <v>2418900</v>
      </c>
      <c r="N24" s="33">
        <f t="shared" si="49"/>
        <v>2468200</v>
      </c>
      <c r="O24" s="33">
        <f t="shared" si="49"/>
        <v>2518400</v>
      </c>
      <c r="P24" s="142">
        <f t="shared" ref="P24:Q24" si="50">P218</f>
        <v>2569800</v>
      </c>
      <c r="Q24" s="33">
        <f t="shared" si="50"/>
        <v>2622200</v>
      </c>
      <c r="R24" s="114">
        <f t="shared" ref="R24" si="51">R218</f>
        <v>2675600</v>
      </c>
    </row>
    <row r="25" spans="1:18" x14ac:dyDescent="0.2">
      <c r="A25" s="608">
        <f>A275</f>
        <v>15778700</v>
      </c>
      <c r="B25" s="150">
        <f>B275</f>
        <v>12418700</v>
      </c>
      <c r="C25" s="150">
        <f>C275</f>
        <v>12830100</v>
      </c>
      <c r="D25" s="150">
        <f>D275</f>
        <v>9730300</v>
      </c>
      <c r="E25" s="276" t="str">
        <f t="shared" si="41"/>
        <v>Roads and Bridges</v>
      </c>
      <c r="F25" s="142"/>
      <c r="G25" s="33">
        <f t="shared" ref="G25:O25" si="52">G275</f>
        <v>8210300</v>
      </c>
      <c r="H25" s="138">
        <f t="shared" si="43"/>
        <v>-15.621306640083041</v>
      </c>
      <c r="I25" s="33">
        <f t="shared" si="52"/>
        <v>8411600</v>
      </c>
      <c r="J25" s="33">
        <f t="shared" si="52"/>
        <v>8532800</v>
      </c>
      <c r="K25" s="33">
        <f t="shared" si="52"/>
        <v>8654500</v>
      </c>
      <c r="L25" s="33">
        <f t="shared" si="52"/>
        <v>8773500</v>
      </c>
      <c r="M25" s="33">
        <f t="shared" si="52"/>
        <v>9238400</v>
      </c>
      <c r="N25" s="33">
        <f t="shared" si="52"/>
        <v>9355500</v>
      </c>
      <c r="O25" s="33">
        <f t="shared" si="52"/>
        <v>9478300</v>
      </c>
      <c r="P25" s="142">
        <f t="shared" ref="P25:Q25" si="53">P275</f>
        <v>9606800</v>
      </c>
      <c r="Q25" s="33">
        <f t="shared" si="53"/>
        <v>9750200</v>
      </c>
      <c r="R25" s="114">
        <f t="shared" ref="R25" si="54">R275</f>
        <v>9920800</v>
      </c>
    </row>
    <row r="26" spans="1:18" x14ac:dyDescent="0.2">
      <c r="A26" s="608">
        <f>A341</f>
        <v>2264000</v>
      </c>
      <c r="B26" s="150">
        <f>B341</f>
        <v>1960000</v>
      </c>
      <c r="C26" s="150">
        <f>C341</f>
        <v>2286800</v>
      </c>
      <c r="D26" s="150">
        <f>D341</f>
        <v>2871400</v>
      </c>
      <c r="E26" s="276" t="str">
        <f t="shared" si="41"/>
        <v>Ancillary Transport Services</v>
      </c>
      <c r="F26" s="142"/>
      <c r="G26" s="33">
        <f t="shared" ref="G26:O26" si="55">G341</f>
        <v>2381200</v>
      </c>
      <c r="H26" s="138">
        <f t="shared" si="43"/>
        <v>-17.071811659817509</v>
      </c>
      <c r="I26" s="33">
        <f t="shared" si="55"/>
        <v>2392100</v>
      </c>
      <c r="J26" s="33">
        <f t="shared" si="55"/>
        <v>2318300</v>
      </c>
      <c r="K26" s="33">
        <f t="shared" si="55"/>
        <v>2552800</v>
      </c>
      <c r="L26" s="33">
        <f t="shared" si="55"/>
        <v>2494900</v>
      </c>
      <c r="M26" s="33">
        <f t="shared" si="55"/>
        <v>2630100</v>
      </c>
      <c r="N26" s="33">
        <f t="shared" si="55"/>
        <v>2562400</v>
      </c>
      <c r="O26" s="33">
        <f t="shared" si="55"/>
        <v>2708200</v>
      </c>
      <c r="P26" s="142">
        <f t="shared" ref="P26:Q26" si="56">P341</f>
        <v>2647600</v>
      </c>
      <c r="Q26" s="33">
        <f t="shared" si="56"/>
        <v>2797900</v>
      </c>
      <c r="R26" s="114">
        <f t="shared" ref="R26" si="57">R341</f>
        <v>2736300</v>
      </c>
    </row>
    <row r="27" spans="1:18" x14ac:dyDescent="0.2">
      <c r="A27" s="608">
        <f>A380</f>
        <v>730000</v>
      </c>
      <c r="B27" s="150">
        <f>B380</f>
        <v>749800</v>
      </c>
      <c r="C27" s="150">
        <f>C380</f>
        <v>669200</v>
      </c>
      <c r="D27" s="150">
        <f>D380</f>
        <v>770000</v>
      </c>
      <c r="E27" s="276" t="str">
        <f t="shared" si="41"/>
        <v>Roads and Maritime Services</v>
      </c>
      <c r="F27" s="142"/>
      <c r="G27" s="33">
        <f t="shared" ref="G27:O27" si="58">G380</f>
        <v>908800</v>
      </c>
      <c r="H27" s="138">
        <f t="shared" si="43"/>
        <v>18.025974025974026</v>
      </c>
      <c r="I27" s="33">
        <f t="shared" si="58"/>
        <v>744600</v>
      </c>
      <c r="J27" s="33">
        <f t="shared" si="58"/>
        <v>763500</v>
      </c>
      <c r="K27" s="33">
        <f t="shared" si="58"/>
        <v>783100</v>
      </c>
      <c r="L27" s="33">
        <f t="shared" si="58"/>
        <v>803100</v>
      </c>
      <c r="M27" s="33">
        <f t="shared" si="58"/>
        <v>819600</v>
      </c>
      <c r="N27" s="33">
        <f t="shared" si="58"/>
        <v>836500</v>
      </c>
      <c r="O27" s="33">
        <f t="shared" si="58"/>
        <v>853800</v>
      </c>
      <c r="P27" s="142">
        <f t="shared" ref="P27:Q27" si="59">P380</f>
        <v>871300</v>
      </c>
      <c r="Q27" s="33">
        <f t="shared" si="59"/>
        <v>889200</v>
      </c>
      <c r="R27" s="114">
        <f t="shared" ref="R27" si="60">R380</f>
        <v>907400</v>
      </c>
    </row>
    <row r="28" spans="1:18" x14ac:dyDescent="0.2">
      <c r="A28" s="608">
        <f>A452</f>
        <v>3134000</v>
      </c>
      <c r="B28" s="150">
        <f>B452</f>
        <v>3301100</v>
      </c>
      <c r="C28" s="150">
        <f>C452</f>
        <v>3436700</v>
      </c>
      <c r="D28" s="150">
        <f>D452</f>
        <v>3695700</v>
      </c>
      <c r="E28" s="276" t="str">
        <f t="shared" si="41"/>
        <v>Open Spaces and Reserves</v>
      </c>
      <c r="F28" s="142"/>
      <c r="G28" s="33">
        <f t="shared" ref="G28:O28" si="61">G452</f>
        <v>3913700</v>
      </c>
      <c r="H28" s="138">
        <f t="shared" si="43"/>
        <v>5.8987471926833885</v>
      </c>
      <c r="I28" s="33">
        <f t="shared" si="61"/>
        <v>3694800</v>
      </c>
      <c r="J28" s="33">
        <f t="shared" si="61"/>
        <v>3798700</v>
      </c>
      <c r="K28" s="33">
        <f t="shared" si="61"/>
        <v>3898200</v>
      </c>
      <c r="L28" s="33">
        <f t="shared" si="61"/>
        <v>4000100</v>
      </c>
      <c r="M28" s="33">
        <f t="shared" si="61"/>
        <v>4086900</v>
      </c>
      <c r="N28" s="33">
        <f t="shared" si="61"/>
        <v>4175000</v>
      </c>
      <c r="O28" s="33">
        <f t="shared" si="61"/>
        <v>4264600</v>
      </c>
      <c r="P28" s="142">
        <f t="shared" ref="P28:Q28" si="62">P452</f>
        <v>4355900</v>
      </c>
      <c r="Q28" s="33">
        <f t="shared" si="62"/>
        <v>4440900</v>
      </c>
      <c r="R28" s="114">
        <f t="shared" ref="R28" si="63">R452</f>
        <v>4527500</v>
      </c>
    </row>
    <row r="29" spans="1:18" x14ac:dyDescent="0.2">
      <c r="A29" s="608">
        <f>A509</f>
        <v>264200</v>
      </c>
      <c r="B29" s="150">
        <f>B509</f>
        <v>236000</v>
      </c>
      <c r="C29" s="150">
        <f>C509</f>
        <v>40900</v>
      </c>
      <c r="D29" s="150">
        <f>D509</f>
        <v>-214500</v>
      </c>
      <c r="E29" s="276" t="str">
        <f t="shared" si="41"/>
        <v>Fleet Management and Workshop</v>
      </c>
      <c r="F29" s="142"/>
      <c r="G29" s="33">
        <f t="shared" ref="G29:O29" si="64">G509</f>
        <v>41300</v>
      </c>
      <c r="H29" s="138">
        <f t="shared" si="43"/>
        <v>-119.25407925407924</v>
      </c>
      <c r="I29" s="33">
        <f t="shared" si="64"/>
        <v>-123000</v>
      </c>
      <c r="J29" s="33">
        <f t="shared" si="64"/>
        <v>-130800</v>
      </c>
      <c r="K29" s="33">
        <f t="shared" si="64"/>
        <v>-138900</v>
      </c>
      <c r="L29" s="33">
        <f t="shared" si="64"/>
        <v>-147100</v>
      </c>
      <c r="M29" s="33">
        <f t="shared" si="64"/>
        <v>-149800</v>
      </c>
      <c r="N29" s="33">
        <f t="shared" si="64"/>
        <v>-152800</v>
      </c>
      <c r="O29" s="33">
        <f t="shared" si="64"/>
        <v>-155600</v>
      </c>
      <c r="P29" s="142">
        <f t="shared" ref="P29:Q29" si="65">P509</f>
        <v>-158800</v>
      </c>
      <c r="Q29" s="33">
        <f t="shared" si="65"/>
        <v>-162100</v>
      </c>
      <c r="R29" s="114">
        <f t="shared" ref="R29" si="66">R509</f>
        <v>-165400</v>
      </c>
    </row>
    <row r="30" spans="1:18" x14ac:dyDescent="0.2">
      <c r="A30" s="608">
        <f>A548</f>
        <v>407000</v>
      </c>
      <c r="B30" s="150">
        <f>B548</f>
        <v>364900</v>
      </c>
      <c r="C30" s="152">
        <f>C548</f>
        <v>277000</v>
      </c>
      <c r="D30" s="150">
        <f>D548</f>
        <v>330000</v>
      </c>
      <c r="E30" s="276" t="str">
        <f t="shared" si="41"/>
        <v>Rural Fire Service</v>
      </c>
      <c r="F30" s="142"/>
      <c r="G30" s="33">
        <f t="shared" ref="G30:O30" si="67">G548</f>
        <v>393800</v>
      </c>
      <c r="H30" s="138">
        <f t="shared" si="43"/>
        <v>19.333333333333332</v>
      </c>
      <c r="I30" s="33">
        <f t="shared" si="67"/>
        <v>381700</v>
      </c>
      <c r="J30" s="33">
        <f t="shared" si="67"/>
        <v>392100</v>
      </c>
      <c r="K30" s="33">
        <f t="shared" si="67"/>
        <v>402700</v>
      </c>
      <c r="L30" s="33">
        <f t="shared" si="67"/>
        <v>413500</v>
      </c>
      <c r="M30" s="33">
        <f t="shared" si="67"/>
        <v>422300</v>
      </c>
      <c r="N30" s="33">
        <f t="shared" si="67"/>
        <v>431500</v>
      </c>
      <c r="O30" s="33">
        <f t="shared" si="67"/>
        <v>440900</v>
      </c>
      <c r="P30" s="142">
        <f t="shared" ref="P30:Q30" si="68">P548</f>
        <v>450500</v>
      </c>
      <c r="Q30" s="33">
        <f t="shared" si="68"/>
        <v>460200</v>
      </c>
      <c r="R30" s="114">
        <f t="shared" ref="R30" si="69">R548</f>
        <v>470200</v>
      </c>
    </row>
    <row r="31" spans="1:18" x14ac:dyDescent="0.2">
      <c r="A31" s="608">
        <f>A601</f>
        <v>218000</v>
      </c>
      <c r="B31" s="150">
        <f>B601</f>
        <v>172600</v>
      </c>
      <c r="C31" s="152">
        <f>C601</f>
        <v>227800</v>
      </c>
      <c r="D31" s="150">
        <f>D601</f>
        <v>188400</v>
      </c>
      <c r="E31" s="276" t="str">
        <f t="shared" si="41"/>
        <v>Quarries and Sandpit</v>
      </c>
      <c r="F31" s="142"/>
      <c r="G31" s="33">
        <f t="shared" ref="G31:O31" si="70">G601</f>
        <v>738900</v>
      </c>
      <c r="H31" s="138">
        <f t="shared" si="43"/>
        <v>292.19745222929936</v>
      </c>
      <c r="I31" s="33">
        <f t="shared" si="70"/>
        <v>77300</v>
      </c>
      <c r="J31" s="33">
        <f t="shared" si="70"/>
        <v>50400</v>
      </c>
      <c r="K31" s="33">
        <f t="shared" si="70"/>
        <v>52200</v>
      </c>
      <c r="L31" s="33">
        <f t="shared" si="70"/>
        <v>54000</v>
      </c>
      <c r="M31" s="33">
        <f t="shared" si="70"/>
        <v>55800</v>
      </c>
      <c r="N31" s="33">
        <f t="shared" si="70"/>
        <v>57500</v>
      </c>
      <c r="O31" s="33">
        <f t="shared" si="70"/>
        <v>59400</v>
      </c>
      <c r="P31" s="142">
        <f t="shared" ref="P31:Q31" si="71">P601</f>
        <v>61400</v>
      </c>
      <c r="Q31" s="33">
        <f t="shared" si="71"/>
        <v>63400</v>
      </c>
      <c r="R31" s="114">
        <f t="shared" ref="R31" si="72">R601</f>
        <v>65400</v>
      </c>
    </row>
    <row r="32" spans="1:18" x14ac:dyDescent="0.2">
      <c r="A32" s="608">
        <f>A678</f>
        <v>2751600</v>
      </c>
      <c r="B32" s="150">
        <f>B678</f>
        <v>2493800</v>
      </c>
      <c r="C32" s="152">
        <f>C678</f>
        <v>2612000</v>
      </c>
      <c r="D32" s="150">
        <f>D678</f>
        <v>3544300</v>
      </c>
      <c r="E32" s="276" t="str">
        <f t="shared" si="41"/>
        <v>Landfill and Resource Management</v>
      </c>
      <c r="F32" s="142"/>
      <c r="G32" s="33">
        <f t="shared" ref="G32:O32" si="73">G678</f>
        <v>2983800</v>
      </c>
      <c r="H32" s="138">
        <f t="shared" si="43"/>
        <v>-15.81412408656152</v>
      </c>
      <c r="I32" s="33">
        <f t="shared" si="73"/>
        <v>2417200</v>
      </c>
      <c r="J32" s="33">
        <f t="shared" si="73"/>
        <v>2424200</v>
      </c>
      <c r="K32" s="33">
        <f t="shared" si="73"/>
        <v>2476100</v>
      </c>
      <c r="L32" s="33">
        <f t="shared" si="73"/>
        <v>2529500</v>
      </c>
      <c r="M32" s="33">
        <f t="shared" si="73"/>
        <v>2560500</v>
      </c>
      <c r="N32" s="33">
        <f t="shared" si="73"/>
        <v>2592900</v>
      </c>
      <c r="O32" s="33">
        <f t="shared" si="73"/>
        <v>2625900</v>
      </c>
      <c r="P32" s="142">
        <f t="shared" ref="P32:Q32" si="74">P678</f>
        <v>2656500</v>
      </c>
      <c r="Q32" s="33">
        <f t="shared" si="74"/>
        <v>2685600</v>
      </c>
      <c r="R32" s="114">
        <f t="shared" ref="R32" si="75">R678</f>
        <v>2717300</v>
      </c>
    </row>
    <row r="33" spans="1:18" x14ac:dyDescent="0.2">
      <c r="A33" s="608">
        <f>A732</f>
        <v>6163100</v>
      </c>
      <c r="B33" s="150">
        <f>B732</f>
        <v>6082600</v>
      </c>
      <c r="C33" s="152">
        <f>C732</f>
        <v>5865100</v>
      </c>
      <c r="D33" s="150">
        <f>D732</f>
        <v>5916800</v>
      </c>
      <c r="E33" s="276" t="str">
        <f t="shared" si="41"/>
        <v>Domestic Waste Management</v>
      </c>
      <c r="F33" s="142"/>
      <c r="G33" s="33">
        <f t="shared" ref="G33:O33" si="76">G732</f>
        <v>5843000</v>
      </c>
      <c r="H33" s="138">
        <f t="shared" si="43"/>
        <v>-1.2472958355868038</v>
      </c>
      <c r="I33" s="33">
        <f t="shared" si="76"/>
        <v>6006600</v>
      </c>
      <c r="J33" s="33">
        <f t="shared" si="76"/>
        <v>6153300</v>
      </c>
      <c r="K33" s="33">
        <f t="shared" si="76"/>
        <v>6304000</v>
      </c>
      <c r="L33" s="33">
        <f t="shared" si="76"/>
        <v>6459800</v>
      </c>
      <c r="M33" s="33">
        <f t="shared" si="76"/>
        <v>6603700</v>
      </c>
      <c r="N33" s="33">
        <f t="shared" si="76"/>
        <v>6751700</v>
      </c>
      <c r="O33" s="33">
        <f t="shared" si="76"/>
        <v>6901700</v>
      </c>
      <c r="P33" s="142">
        <f t="shared" ref="P33:Q33" si="77">P732</f>
        <v>7056800</v>
      </c>
      <c r="Q33" s="33">
        <f t="shared" si="77"/>
        <v>7214000</v>
      </c>
      <c r="R33" s="114">
        <f t="shared" ref="R33" si="78">R732</f>
        <v>7376300</v>
      </c>
    </row>
    <row r="34" spans="1:18" ht="13.5" thickBot="1" x14ac:dyDescent="0.25">
      <c r="A34" s="608"/>
      <c r="B34" s="150"/>
      <c r="C34" s="152"/>
      <c r="D34" s="150"/>
      <c r="E34" s="277"/>
      <c r="F34" s="142"/>
      <c r="G34" s="33"/>
      <c r="H34" s="138"/>
      <c r="I34" s="33"/>
      <c r="J34" s="33"/>
      <c r="K34" s="33"/>
      <c r="L34" s="33"/>
      <c r="M34" s="33"/>
      <c r="N34" s="33"/>
      <c r="O34" s="33"/>
      <c r="P34" s="142"/>
      <c r="Q34" s="33"/>
      <c r="R34" s="114"/>
    </row>
    <row r="35" spans="1:18" s="92" customFormat="1" x14ac:dyDescent="0.2">
      <c r="A35" s="610">
        <f>SUM(A21:A34)</f>
        <v>39583600</v>
      </c>
      <c r="B35" s="153">
        <f>SUM(B21:B34)</f>
        <v>35975600</v>
      </c>
      <c r="C35" s="154">
        <f>SUM(C21:C34)</f>
        <v>36820300</v>
      </c>
      <c r="D35" s="153">
        <f>SUM(D21:D34)</f>
        <v>35381400</v>
      </c>
      <c r="E35" s="275" t="s">
        <v>565</v>
      </c>
      <c r="F35" s="128"/>
      <c r="G35" s="53">
        <f t="shared" ref="G35:P35" si="79">SUM(G21:G34)</f>
        <v>34144200</v>
      </c>
      <c r="H35" s="180">
        <f>IF(D35=G35,0,IF(D35=0,100,(G35-D35)/D35*100))</f>
        <v>-3.49675253099086</v>
      </c>
      <c r="I35" s="53">
        <f t="shared" si="79"/>
        <v>32667800</v>
      </c>
      <c r="J35" s="53">
        <f t="shared" si="79"/>
        <v>33172900</v>
      </c>
      <c r="K35" s="53">
        <f t="shared" si="79"/>
        <v>34065500</v>
      </c>
      <c r="L35" s="53">
        <f t="shared" si="79"/>
        <v>34677800</v>
      </c>
      <c r="M35" s="53">
        <f t="shared" si="79"/>
        <v>35769900</v>
      </c>
      <c r="N35" s="53">
        <f t="shared" si="79"/>
        <v>36322400</v>
      </c>
      <c r="O35" s="53">
        <f t="shared" si="79"/>
        <v>37103700</v>
      </c>
      <c r="P35" s="155">
        <f t="shared" si="79"/>
        <v>37693200</v>
      </c>
      <c r="Q35" s="53">
        <f t="shared" ref="Q35" si="80">SUM(Q21:Q34)</f>
        <v>38495000</v>
      </c>
      <c r="R35" s="113">
        <f t="shared" ref="R35" si="81">SUM(R21:R34)</f>
        <v>39126900</v>
      </c>
    </row>
    <row r="36" spans="1:18" x14ac:dyDescent="0.2">
      <c r="A36" s="608"/>
      <c r="B36" s="150"/>
      <c r="C36" s="152"/>
      <c r="D36" s="150"/>
      <c r="E36" s="276"/>
      <c r="F36" s="142"/>
      <c r="G36" s="33"/>
      <c r="H36" s="138"/>
      <c r="I36" s="33"/>
      <c r="J36" s="33"/>
      <c r="K36" s="33"/>
      <c r="L36" s="33"/>
      <c r="M36" s="33"/>
      <c r="N36" s="33"/>
      <c r="O36" s="33"/>
      <c r="P36" s="142"/>
      <c r="Q36" s="33"/>
      <c r="R36" s="114"/>
    </row>
    <row r="37" spans="1:18" x14ac:dyDescent="0.2">
      <c r="A37" s="608"/>
      <c r="B37" s="150"/>
      <c r="C37" s="152"/>
      <c r="D37" s="150"/>
      <c r="E37" s="1985" t="s">
        <v>4723</v>
      </c>
      <c r="F37" s="1963"/>
      <c r="G37" s="33"/>
      <c r="H37" s="138"/>
      <c r="I37" s="33"/>
      <c r="J37" s="33"/>
      <c r="K37" s="33"/>
      <c r="L37" s="33"/>
      <c r="M37" s="33"/>
      <c r="N37" s="33"/>
      <c r="O37" s="33"/>
      <c r="P37" s="142"/>
      <c r="Q37" s="33"/>
      <c r="R37" s="114"/>
    </row>
    <row r="38" spans="1:18" x14ac:dyDescent="0.2">
      <c r="A38" s="608">
        <f t="shared" ref="A38:B49" si="82">A6-A22</f>
        <v>-2063000</v>
      </c>
      <c r="B38" s="150">
        <f t="shared" si="82"/>
        <v>-1745100</v>
      </c>
      <c r="C38" s="150">
        <f t="shared" ref="C38:C49" si="83">C6-C22</f>
        <v>-2183300</v>
      </c>
      <c r="D38" s="150">
        <f t="shared" ref="D38:D49" si="84">D6-D22</f>
        <v>-2367500</v>
      </c>
      <c r="E38" s="276" t="str">
        <f t="shared" ref="E38:E49" si="85">E22</f>
        <v>Engineering Management</v>
      </c>
      <c r="F38" s="142"/>
      <c r="G38" s="33">
        <f t="shared" ref="G38:P38" si="86">G6-G22</f>
        <v>-2380900</v>
      </c>
      <c r="H38" s="138">
        <f t="shared" ref="H38:H49" si="87">IF(D38=G38,0,IF(D38=0,100,(G38-D38)/D38*100))</f>
        <v>0.56599788806758178</v>
      </c>
      <c r="I38" s="33">
        <f t="shared" si="86"/>
        <v>-2434500</v>
      </c>
      <c r="J38" s="33">
        <f t="shared" si="86"/>
        <v>-2495300</v>
      </c>
      <c r="K38" s="33">
        <f t="shared" si="86"/>
        <v>-2557500</v>
      </c>
      <c r="L38" s="33">
        <f t="shared" si="86"/>
        <v>-2621400</v>
      </c>
      <c r="M38" s="33">
        <f t="shared" si="86"/>
        <v>-2686400</v>
      </c>
      <c r="N38" s="33">
        <f t="shared" si="86"/>
        <v>-2753000</v>
      </c>
      <c r="O38" s="33">
        <f t="shared" si="86"/>
        <v>-2821100</v>
      </c>
      <c r="P38" s="142">
        <f t="shared" si="86"/>
        <v>-2890800</v>
      </c>
      <c r="Q38" s="33">
        <f t="shared" ref="Q38" si="88">Q6-Q22</f>
        <v>-2962100</v>
      </c>
      <c r="R38" s="114">
        <f t="shared" ref="R38" si="89">R6-R22</f>
        <v>-3035500</v>
      </c>
    </row>
    <row r="39" spans="1:18" x14ac:dyDescent="0.2">
      <c r="A39" s="608">
        <f t="shared" si="82"/>
        <v>-2999000</v>
      </c>
      <c r="B39" s="150">
        <f t="shared" si="82"/>
        <v>-3454800</v>
      </c>
      <c r="C39" s="150">
        <f t="shared" si="83"/>
        <v>-3726400</v>
      </c>
      <c r="D39" s="150">
        <f t="shared" si="84"/>
        <v>-3713200</v>
      </c>
      <c r="E39" s="276" t="str">
        <f t="shared" si="85"/>
        <v>Procurement and Building Management</v>
      </c>
      <c r="F39" s="142"/>
      <c r="G39" s="33">
        <f t="shared" ref="G39:P39" si="90">G7-G23</f>
        <v>-3686700</v>
      </c>
      <c r="H39" s="138">
        <f t="shared" si="87"/>
        <v>-0.71367014973607668</v>
      </c>
      <c r="I39" s="33">
        <f t="shared" si="90"/>
        <v>-3739500</v>
      </c>
      <c r="J39" s="33">
        <f t="shared" si="90"/>
        <v>-3828000</v>
      </c>
      <c r="K39" s="33">
        <f t="shared" si="90"/>
        <v>-3918600</v>
      </c>
      <c r="L39" s="33">
        <f t="shared" si="90"/>
        <v>-4011500</v>
      </c>
      <c r="M39" s="33">
        <f t="shared" si="90"/>
        <v>-4097700</v>
      </c>
      <c r="N39" s="33">
        <f t="shared" si="90"/>
        <v>-4185100</v>
      </c>
      <c r="O39" s="33">
        <f t="shared" si="90"/>
        <v>-4274500</v>
      </c>
      <c r="P39" s="142">
        <f t="shared" si="90"/>
        <v>-4365400</v>
      </c>
      <c r="Q39" s="33">
        <f t="shared" ref="Q39" si="91">Q7-Q23</f>
        <v>-4445400</v>
      </c>
      <c r="R39" s="114">
        <f t="shared" ref="R39" si="92">R7-R23</f>
        <v>-4527100</v>
      </c>
    </row>
    <row r="40" spans="1:18" x14ac:dyDescent="0.2">
      <c r="A40" s="608">
        <f t="shared" si="82"/>
        <v>-2116700</v>
      </c>
      <c r="B40" s="150">
        <f t="shared" si="82"/>
        <v>-2160400</v>
      </c>
      <c r="C40" s="150">
        <f t="shared" si="83"/>
        <v>-2051500</v>
      </c>
      <c r="D40" s="150">
        <f t="shared" si="84"/>
        <v>-1839300</v>
      </c>
      <c r="E40" s="276" t="str">
        <f t="shared" si="85"/>
        <v>Stormwater and Environmental Protection</v>
      </c>
      <c r="F40" s="142"/>
      <c r="G40" s="33">
        <f t="shared" ref="G40:P40" si="93">G8-G24</f>
        <v>-1794300</v>
      </c>
      <c r="H40" s="138">
        <f t="shared" si="87"/>
        <v>-2.4465829391616376</v>
      </c>
      <c r="I40" s="33">
        <f t="shared" si="93"/>
        <v>-1843400</v>
      </c>
      <c r="J40" s="33">
        <f t="shared" si="93"/>
        <v>-1890500</v>
      </c>
      <c r="K40" s="33">
        <f t="shared" si="93"/>
        <v>-1938700</v>
      </c>
      <c r="L40" s="33">
        <f t="shared" si="93"/>
        <v>-1987900</v>
      </c>
      <c r="M40" s="33">
        <f t="shared" si="93"/>
        <v>-2034200</v>
      </c>
      <c r="N40" s="33">
        <f t="shared" si="93"/>
        <v>-2081500</v>
      </c>
      <c r="O40" s="33">
        <f t="shared" si="93"/>
        <v>-2129700</v>
      </c>
      <c r="P40" s="142">
        <f t="shared" si="93"/>
        <v>-2179100</v>
      </c>
      <c r="Q40" s="33">
        <f t="shared" ref="Q40" si="94">Q8-Q24</f>
        <v>-2229500</v>
      </c>
      <c r="R40" s="114">
        <f t="shared" ref="R40" si="95">R8-R24</f>
        <v>-2280900</v>
      </c>
    </row>
    <row r="41" spans="1:18" x14ac:dyDescent="0.2">
      <c r="A41" s="608">
        <f t="shared" si="82"/>
        <v>-15090800</v>
      </c>
      <c r="B41" s="150">
        <f t="shared" si="82"/>
        <v>-11919000</v>
      </c>
      <c r="C41" s="150">
        <f t="shared" si="83"/>
        <v>-12416300</v>
      </c>
      <c r="D41" s="150">
        <f t="shared" si="84"/>
        <v>-9379800</v>
      </c>
      <c r="E41" s="276" t="str">
        <f t="shared" si="85"/>
        <v>Roads and Bridges</v>
      </c>
      <c r="F41" s="142"/>
      <c r="G41" s="33">
        <f t="shared" ref="G41:P41" si="96">G9-G25</f>
        <v>-5651000</v>
      </c>
      <c r="H41" s="138">
        <f t="shared" si="87"/>
        <v>-39.753512868078211</v>
      </c>
      <c r="I41" s="33">
        <f t="shared" si="96"/>
        <v>-7429100</v>
      </c>
      <c r="J41" s="33">
        <f t="shared" si="96"/>
        <v>-7758800</v>
      </c>
      <c r="K41" s="33">
        <f t="shared" si="96"/>
        <v>-7988300</v>
      </c>
      <c r="L41" s="33">
        <f t="shared" si="96"/>
        <v>-8102600</v>
      </c>
      <c r="M41" s="33">
        <f t="shared" si="96"/>
        <v>-8562900</v>
      </c>
      <c r="N41" s="33">
        <f t="shared" si="96"/>
        <v>-8675100</v>
      </c>
      <c r="O41" s="33">
        <f t="shared" si="96"/>
        <v>-8789300</v>
      </c>
      <c r="P41" s="142">
        <f t="shared" si="96"/>
        <v>-8906600</v>
      </c>
      <c r="Q41" s="33">
        <f t="shared" ref="Q41" si="97">Q9-Q25</f>
        <v>-9035900</v>
      </c>
      <c r="R41" s="114">
        <f t="shared" ref="R41" si="98">R9-R25</f>
        <v>-9192200</v>
      </c>
    </row>
    <row r="42" spans="1:18" x14ac:dyDescent="0.2">
      <c r="A42" s="608">
        <f t="shared" si="82"/>
        <v>-1665300</v>
      </c>
      <c r="B42" s="150">
        <f t="shared" si="82"/>
        <v>-1054100</v>
      </c>
      <c r="C42" s="150">
        <f t="shared" si="83"/>
        <v>-1390300</v>
      </c>
      <c r="D42" s="150">
        <f t="shared" si="84"/>
        <v>-1496200</v>
      </c>
      <c r="E42" s="276" t="str">
        <f t="shared" si="85"/>
        <v>Ancillary Transport Services</v>
      </c>
      <c r="F42" s="142"/>
      <c r="G42" s="33">
        <f t="shared" ref="G42:P42" si="99">G10-G26</f>
        <v>-1420800</v>
      </c>
      <c r="H42" s="138">
        <f t="shared" si="87"/>
        <v>-5.0394332308514898</v>
      </c>
      <c r="I42" s="33">
        <f t="shared" si="99"/>
        <v>-1498100</v>
      </c>
      <c r="J42" s="33">
        <f t="shared" si="99"/>
        <v>-1407400</v>
      </c>
      <c r="K42" s="33">
        <f t="shared" si="99"/>
        <v>-1624900</v>
      </c>
      <c r="L42" s="33">
        <f t="shared" si="99"/>
        <v>-1549700</v>
      </c>
      <c r="M42" s="33">
        <f t="shared" si="99"/>
        <v>-1671800</v>
      </c>
      <c r="N42" s="33">
        <f t="shared" si="99"/>
        <v>-1590300</v>
      </c>
      <c r="O42" s="33">
        <f t="shared" si="99"/>
        <v>-1717400</v>
      </c>
      <c r="P42" s="142">
        <f t="shared" si="99"/>
        <v>-1636600</v>
      </c>
      <c r="Q42" s="33">
        <f t="shared" ref="Q42" si="100">Q10-Q26</f>
        <v>-1766300</v>
      </c>
      <c r="R42" s="114">
        <f t="shared" ref="R42" si="101">R10-R26</f>
        <v>-1683700</v>
      </c>
    </row>
    <row r="43" spans="1:18" x14ac:dyDescent="0.2">
      <c r="A43" s="608">
        <f t="shared" si="82"/>
        <v>-53000</v>
      </c>
      <c r="B43" s="150">
        <f t="shared" si="82"/>
        <v>176200</v>
      </c>
      <c r="C43" s="150">
        <f t="shared" si="83"/>
        <v>197300</v>
      </c>
      <c r="D43" s="150">
        <f t="shared" si="84"/>
        <v>106000</v>
      </c>
      <c r="E43" s="276" t="str">
        <f t="shared" si="85"/>
        <v>Roads and Maritime Services</v>
      </c>
      <c r="F43" s="142"/>
      <c r="G43" s="33">
        <f t="shared" ref="G43:P43" si="102">G11-G27</f>
        <v>61200</v>
      </c>
      <c r="H43" s="138">
        <f t="shared" si="87"/>
        <v>-42.264150943396231</v>
      </c>
      <c r="I43" s="33">
        <f t="shared" si="102"/>
        <v>0</v>
      </c>
      <c r="J43" s="33">
        <f t="shared" si="102"/>
        <v>0</v>
      </c>
      <c r="K43" s="33">
        <f t="shared" si="102"/>
        <v>0</v>
      </c>
      <c r="L43" s="33">
        <f t="shared" si="102"/>
        <v>0</v>
      </c>
      <c r="M43" s="33">
        <f t="shared" si="102"/>
        <v>0</v>
      </c>
      <c r="N43" s="33">
        <f t="shared" si="102"/>
        <v>0</v>
      </c>
      <c r="O43" s="33">
        <f t="shared" si="102"/>
        <v>0</v>
      </c>
      <c r="P43" s="142">
        <f t="shared" si="102"/>
        <v>0</v>
      </c>
      <c r="Q43" s="33">
        <f t="shared" ref="Q43" si="103">Q11-Q27</f>
        <v>0</v>
      </c>
      <c r="R43" s="114">
        <f t="shared" ref="R43" si="104">R11-R27</f>
        <v>0</v>
      </c>
    </row>
    <row r="44" spans="1:18" x14ac:dyDescent="0.2">
      <c r="A44" s="608">
        <f t="shared" si="82"/>
        <v>-2227800</v>
      </c>
      <c r="B44" s="150">
        <f t="shared" si="82"/>
        <v>-2314600</v>
      </c>
      <c r="C44" s="150">
        <f t="shared" si="83"/>
        <v>-2473600</v>
      </c>
      <c r="D44" s="150">
        <f t="shared" si="84"/>
        <v>-2649400</v>
      </c>
      <c r="E44" s="276" t="str">
        <f t="shared" si="85"/>
        <v>Open Spaces and Reserves</v>
      </c>
      <c r="F44" s="142"/>
      <c r="G44" s="33">
        <f t="shared" ref="G44:P44" si="105">G12-G28</f>
        <v>-3149700</v>
      </c>
      <c r="H44" s="138">
        <f t="shared" si="87"/>
        <v>18.883520797161619</v>
      </c>
      <c r="I44" s="33">
        <f t="shared" si="105"/>
        <v>-2944600</v>
      </c>
      <c r="J44" s="33">
        <f t="shared" si="105"/>
        <v>-3029000</v>
      </c>
      <c r="K44" s="33">
        <f t="shared" si="105"/>
        <v>-3108500</v>
      </c>
      <c r="L44" s="33">
        <f t="shared" si="105"/>
        <v>-3190000</v>
      </c>
      <c r="M44" s="33">
        <f t="shared" si="105"/>
        <v>-3259800</v>
      </c>
      <c r="N44" s="33">
        <f t="shared" si="105"/>
        <v>-3330600</v>
      </c>
      <c r="O44" s="33">
        <f t="shared" si="105"/>
        <v>-3402600</v>
      </c>
      <c r="P44" s="142">
        <f t="shared" si="105"/>
        <v>-3476000</v>
      </c>
      <c r="Q44" s="33">
        <f t="shared" ref="Q44" si="106">Q12-Q28</f>
        <v>-3542800</v>
      </c>
      <c r="R44" s="114">
        <f t="shared" ref="R44" si="107">R12-R28</f>
        <v>-3610800</v>
      </c>
    </row>
    <row r="45" spans="1:18" x14ac:dyDescent="0.2">
      <c r="A45" s="608">
        <f t="shared" si="82"/>
        <v>44300</v>
      </c>
      <c r="B45" s="150">
        <f t="shared" si="82"/>
        <v>66000</v>
      </c>
      <c r="C45" s="150">
        <f t="shared" si="83"/>
        <v>286000</v>
      </c>
      <c r="D45" s="150">
        <f t="shared" si="84"/>
        <v>498500</v>
      </c>
      <c r="E45" s="276" t="str">
        <f t="shared" si="85"/>
        <v>Fleet Management and Workshop</v>
      </c>
      <c r="F45" s="142"/>
      <c r="G45" s="33">
        <f t="shared" ref="G45:P45" si="108">G13-G29</f>
        <v>212700</v>
      </c>
      <c r="H45" s="138">
        <f t="shared" si="87"/>
        <v>-57.331995987963893</v>
      </c>
      <c r="I45" s="33">
        <f t="shared" si="108"/>
        <v>378900</v>
      </c>
      <c r="J45" s="33">
        <f t="shared" si="108"/>
        <v>399200</v>
      </c>
      <c r="K45" s="33">
        <f t="shared" si="108"/>
        <v>415000</v>
      </c>
      <c r="L45" s="33">
        <f t="shared" si="108"/>
        <v>445000</v>
      </c>
      <c r="M45" s="33">
        <f t="shared" si="108"/>
        <v>448300</v>
      </c>
      <c r="N45" s="33">
        <f t="shared" si="108"/>
        <v>463100</v>
      </c>
      <c r="O45" s="33">
        <f t="shared" si="108"/>
        <v>468800</v>
      </c>
      <c r="P45" s="142">
        <f t="shared" si="108"/>
        <v>478000</v>
      </c>
      <c r="Q45" s="33">
        <f t="shared" ref="Q45" si="109">Q13-Q29</f>
        <v>458500</v>
      </c>
      <c r="R45" s="114">
        <f t="shared" ref="R45" si="110">R13-R29</f>
        <v>489100</v>
      </c>
    </row>
    <row r="46" spans="1:18" x14ac:dyDescent="0.2">
      <c r="A46" s="608">
        <f t="shared" si="82"/>
        <v>-158000</v>
      </c>
      <c r="B46" s="150">
        <f t="shared" si="82"/>
        <v>-203400</v>
      </c>
      <c r="C46" s="152">
        <f t="shared" si="83"/>
        <v>-95100</v>
      </c>
      <c r="D46" s="150">
        <f t="shared" si="84"/>
        <v>-157700</v>
      </c>
      <c r="E46" s="276" t="str">
        <f t="shared" si="85"/>
        <v>Rural Fire Service</v>
      </c>
      <c r="F46" s="142"/>
      <c r="G46" s="33">
        <f t="shared" ref="G46:P46" si="111">G14-G30</f>
        <v>-174800</v>
      </c>
      <c r="H46" s="138">
        <f t="shared" si="87"/>
        <v>10.843373493975903</v>
      </c>
      <c r="I46" s="33">
        <f t="shared" si="111"/>
        <v>-214200</v>
      </c>
      <c r="J46" s="33">
        <f t="shared" si="111"/>
        <v>-220300</v>
      </c>
      <c r="K46" s="33">
        <f t="shared" si="111"/>
        <v>-226500</v>
      </c>
      <c r="L46" s="33">
        <f t="shared" si="111"/>
        <v>-232800</v>
      </c>
      <c r="M46" s="33">
        <f t="shared" si="111"/>
        <v>-237800</v>
      </c>
      <c r="N46" s="33">
        <f t="shared" si="111"/>
        <v>-243200</v>
      </c>
      <c r="O46" s="33">
        <f t="shared" si="111"/>
        <v>-248800</v>
      </c>
      <c r="P46" s="142">
        <f t="shared" si="111"/>
        <v>-254400</v>
      </c>
      <c r="Q46" s="33">
        <f t="shared" ref="Q46" si="112">Q14-Q30</f>
        <v>-260000</v>
      </c>
      <c r="R46" s="114">
        <f t="shared" ref="R46" si="113">R14-R30</f>
        <v>-265800</v>
      </c>
    </row>
    <row r="47" spans="1:18" x14ac:dyDescent="0.2">
      <c r="A47" s="608">
        <f t="shared" si="82"/>
        <v>193000</v>
      </c>
      <c r="B47" s="150">
        <f t="shared" si="82"/>
        <v>177100</v>
      </c>
      <c r="C47" s="152">
        <f t="shared" si="83"/>
        <v>247900</v>
      </c>
      <c r="D47" s="150">
        <f t="shared" si="84"/>
        <v>188800</v>
      </c>
      <c r="E47" s="276" t="str">
        <f t="shared" si="85"/>
        <v>Quarries and Sandpit</v>
      </c>
      <c r="F47" s="142"/>
      <c r="G47" s="33">
        <f t="shared" ref="G47:P47" si="114">G15-G31</f>
        <v>-674100</v>
      </c>
      <c r="H47" s="138">
        <f t="shared" si="87"/>
        <v>-457.04449152542372</v>
      </c>
      <c r="I47" s="33">
        <f t="shared" si="114"/>
        <v>-28500</v>
      </c>
      <c r="J47" s="33">
        <f t="shared" si="114"/>
        <v>-300</v>
      </c>
      <c r="K47" s="33">
        <f t="shared" si="114"/>
        <v>-700</v>
      </c>
      <c r="L47" s="33">
        <f t="shared" si="114"/>
        <v>-1100</v>
      </c>
      <c r="M47" s="33">
        <f t="shared" si="114"/>
        <v>-1700</v>
      </c>
      <c r="N47" s="33">
        <f t="shared" si="114"/>
        <v>-2200</v>
      </c>
      <c r="O47" s="33">
        <f t="shared" si="114"/>
        <v>-2900</v>
      </c>
      <c r="P47" s="142">
        <f t="shared" si="114"/>
        <v>-3600</v>
      </c>
      <c r="Q47" s="33">
        <f t="shared" ref="Q47" si="115">Q15-Q31</f>
        <v>-4300</v>
      </c>
      <c r="R47" s="114">
        <f t="shared" ref="R47" si="116">R15-R31</f>
        <v>-5000</v>
      </c>
    </row>
    <row r="48" spans="1:18" x14ac:dyDescent="0.2">
      <c r="A48" s="608">
        <f t="shared" si="82"/>
        <v>-254600</v>
      </c>
      <c r="B48" s="150">
        <f t="shared" si="82"/>
        <v>226400</v>
      </c>
      <c r="C48" s="152">
        <f t="shared" si="83"/>
        <v>1346300</v>
      </c>
      <c r="D48" s="150">
        <f t="shared" si="84"/>
        <v>300200</v>
      </c>
      <c r="E48" s="276" t="str">
        <f t="shared" si="85"/>
        <v>Landfill and Resource Management</v>
      </c>
      <c r="F48" s="142"/>
      <c r="G48" s="33">
        <f t="shared" ref="G48:P48" si="117">G16-G32</f>
        <v>583200</v>
      </c>
      <c r="H48" s="138">
        <f t="shared" si="87"/>
        <v>94.270486342438375</v>
      </c>
      <c r="I48" s="33">
        <f t="shared" si="117"/>
        <v>-202200</v>
      </c>
      <c r="J48" s="33">
        <f t="shared" si="117"/>
        <v>-111800</v>
      </c>
      <c r="K48" s="33">
        <f t="shared" si="117"/>
        <v>-60300</v>
      </c>
      <c r="L48" s="33">
        <f t="shared" si="117"/>
        <v>-62300</v>
      </c>
      <c r="M48" s="33">
        <f t="shared" si="117"/>
        <v>-42900</v>
      </c>
      <c r="N48" s="33">
        <f t="shared" si="117"/>
        <v>-23900</v>
      </c>
      <c r="O48" s="33">
        <f t="shared" si="117"/>
        <v>-6500</v>
      </c>
      <c r="P48" s="142">
        <f t="shared" si="117"/>
        <v>24300</v>
      </c>
      <c r="Q48" s="33">
        <f t="shared" ref="Q48" si="118">Q16-Q32</f>
        <v>58600</v>
      </c>
      <c r="R48" s="114">
        <f t="shared" ref="R48" si="119">R16-R32</f>
        <v>92300</v>
      </c>
    </row>
    <row r="49" spans="1:18" x14ac:dyDescent="0.2">
      <c r="A49" s="608">
        <f t="shared" si="82"/>
        <v>416100</v>
      </c>
      <c r="B49" s="150">
        <f t="shared" si="82"/>
        <v>653900</v>
      </c>
      <c r="C49" s="152">
        <f t="shared" si="83"/>
        <v>0</v>
      </c>
      <c r="D49" s="150">
        <f t="shared" si="84"/>
        <v>162700</v>
      </c>
      <c r="E49" s="276" t="str">
        <f t="shared" si="85"/>
        <v>Domestic Waste Management</v>
      </c>
      <c r="F49" s="142"/>
      <c r="G49" s="33">
        <f t="shared" ref="G49:P49" si="120">G17-G33</f>
        <v>451500</v>
      </c>
      <c r="H49" s="138">
        <f t="shared" si="87"/>
        <v>177.50460971112477</v>
      </c>
      <c r="I49" s="33">
        <f t="shared" si="120"/>
        <v>411300</v>
      </c>
      <c r="J49" s="33">
        <f t="shared" si="120"/>
        <v>404100</v>
      </c>
      <c r="K49" s="33">
        <f t="shared" si="120"/>
        <v>433000</v>
      </c>
      <c r="L49" s="33">
        <f t="shared" si="120"/>
        <v>462900</v>
      </c>
      <c r="M49" s="33">
        <f t="shared" si="120"/>
        <v>469100</v>
      </c>
      <c r="N49" s="33">
        <f t="shared" si="120"/>
        <v>516500</v>
      </c>
      <c r="O49" s="33">
        <f t="shared" si="120"/>
        <v>567400</v>
      </c>
      <c r="P49" s="142">
        <f t="shared" si="120"/>
        <v>576800</v>
      </c>
      <c r="Q49" s="33">
        <f t="shared" ref="Q49" si="121">Q17-Q33</f>
        <v>630800</v>
      </c>
      <c r="R49" s="114">
        <f t="shared" ref="R49" si="122">R17-R33</f>
        <v>665600</v>
      </c>
    </row>
    <row r="50" spans="1:18" ht="13.5" thickBot="1" x14ac:dyDescent="0.25">
      <c r="A50" s="611"/>
      <c r="B50" s="156"/>
      <c r="C50" s="156"/>
      <c r="D50" s="156"/>
      <c r="E50" s="276"/>
      <c r="F50" s="128"/>
      <c r="G50" s="33"/>
      <c r="H50" s="179"/>
      <c r="I50" s="33"/>
      <c r="J50" s="33"/>
      <c r="K50" s="33"/>
      <c r="L50" s="33"/>
      <c r="M50" s="33"/>
      <c r="N50" s="33"/>
      <c r="O50" s="33"/>
      <c r="P50" s="142"/>
      <c r="Q50" s="33"/>
      <c r="R50" s="114"/>
    </row>
    <row r="51" spans="1:18" x14ac:dyDescent="0.2">
      <c r="A51" s="610">
        <f>A19-A35</f>
        <v>-25974800</v>
      </c>
      <c r="B51" s="153">
        <f>B19-B35</f>
        <v>-21551800</v>
      </c>
      <c r="C51" s="154">
        <f>C19-C35</f>
        <v>-22259000</v>
      </c>
      <c r="D51" s="153">
        <f>D19-D35</f>
        <v>-20346900</v>
      </c>
      <c r="E51" s="1815" t="s">
        <v>4721</v>
      </c>
      <c r="F51" s="142"/>
      <c r="G51" s="53">
        <f t="shared" ref="G51:P51" si="123">G19-G35</f>
        <v>-17623700</v>
      </c>
      <c r="H51" s="180">
        <f t="shared" ref="H51:H56" si="124">IF(D51=G51,0,IF(D51=0,100,(G51-D51)/D51*100))</f>
        <v>-13.383857000329288</v>
      </c>
      <c r="I51" s="53">
        <f t="shared" si="123"/>
        <v>-19543900</v>
      </c>
      <c r="J51" s="53">
        <f t="shared" si="123"/>
        <v>-19938100</v>
      </c>
      <c r="K51" s="53">
        <f t="shared" si="123"/>
        <v>-20576000</v>
      </c>
      <c r="L51" s="53">
        <f t="shared" si="123"/>
        <v>-20851400</v>
      </c>
      <c r="M51" s="53">
        <f t="shared" si="123"/>
        <v>-21677800</v>
      </c>
      <c r="N51" s="53">
        <f t="shared" si="123"/>
        <v>-21905300</v>
      </c>
      <c r="O51" s="53">
        <f t="shared" si="123"/>
        <v>-22356600</v>
      </c>
      <c r="P51" s="155">
        <f t="shared" si="123"/>
        <v>-22633400</v>
      </c>
      <c r="Q51" s="53">
        <f t="shared" ref="Q51" si="125">Q19-Q35</f>
        <v>-23098400</v>
      </c>
      <c r="R51" s="113">
        <f t="shared" ref="R51" si="126">R19-R35</f>
        <v>-23354000</v>
      </c>
    </row>
    <row r="52" spans="1:18" x14ac:dyDescent="0.2">
      <c r="A52" s="608">
        <f>ROUND(A2073,-3)</f>
        <v>13931000</v>
      </c>
      <c r="B52" s="150">
        <f t="shared" ref="B52:D55" si="127">ROUND(B2073,)</f>
        <v>13367400</v>
      </c>
      <c r="C52" s="152">
        <f t="shared" si="127"/>
        <v>12100500</v>
      </c>
      <c r="D52" s="150">
        <f t="shared" si="127"/>
        <v>12031000</v>
      </c>
      <c r="E52" s="320" t="s">
        <v>1976</v>
      </c>
      <c r="F52" s="142"/>
      <c r="G52" s="33">
        <f t="shared" ref="G52:O52" si="128">ROUND(G2073,)</f>
        <v>10787000</v>
      </c>
      <c r="H52" s="138">
        <f t="shared" si="124"/>
        <v>-10.339955115950461</v>
      </c>
      <c r="I52" s="33">
        <f t="shared" si="128"/>
        <v>11003200</v>
      </c>
      <c r="J52" s="33">
        <f t="shared" si="128"/>
        <v>11224400</v>
      </c>
      <c r="K52" s="33">
        <f t="shared" si="128"/>
        <v>11449700</v>
      </c>
      <c r="L52" s="33">
        <f t="shared" si="128"/>
        <v>11679500</v>
      </c>
      <c r="M52" s="33">
        <f t="shared" si="128"/>
        <v>11913900</v>
      </c>
      <c r="N52" s="33">
        <f t="shared" si="128"/>
        <v>12153100</v>
      </c>
      <c r="O52" s="33">
        <f t="shared" si="128"/>
        <v>12397000</v>
      </c>
      <c r="P52" s="142">
        <f t="shared" ref="P52:Q53" si="129">ROUND(P2073,)</f>
        <v>12645800</v>
      </c>
      <c r="Q52" s="33">
        <f t="shared" si="129"/>
        <v>12899600</v>
      </c>
      <c r="R52" s="114">
        <f t="shared" ref="R52" si="130">ROUND(R2073,)</f>
        <v>13158400</v>
      </c>
    </row>
    <row r="53" spans="1:18" x14ac:dyDescent="0.2">
      <c r="A53" s="608">
        <f>ROUND(A2074,)</f>
        <v>0</v>
      </c>
      <c r="B53" s="150">
        <f t="shared" si="127"/>
        <v>0</v>
      </c>
      <c r="C53" s="152">
        <f t="shared" si="127"/>
        <v>-223900</v>
      </c>
      <c r="D53" s="150">
        <f t="shared" si="127"/>
        <v>-53100</v>
      </c>
      <c r="E53" s="320" t="s">
        <v>5472</v>
      </c>
      <c r="F53" s="142"/>
      <c r="G53" s="33">
        <f t="shared" ref="G53:O53" si="131">ROUND(G2074,)</f>
        <v>0</v>
      </c>
      <c r="H53" s="138">
        <f t="shared" si="124"/>
        <v>-100</v>
      </c>
      <c r="I53" s="33">
        <f t="shared" si="131"/>
        <v>0</v>
      </c>
      <c r="J53" s="33">
        <f t="shared" si="131"/>
        <v>0</v>
      </c>
      <c r="K53" s="33">
        <f t="shared" si="131"/>
        <v>0</v>
      </c>
      <c r="L53" s="33">
        <f t="shared" si="131"/>
        <v>0</v>
      </c>
      <c r="M53" s="33">
        <f t="shared" si="131"/>
        <v>0</v>
      </c>
      <c r="N53" s="33">
        <f t="shared" si="131"/>
        <v>0</v>
      </c>
      <c r="O53" s="33">
        <f t="shared" si="131"/>
        <v>0</v>
      </c>
      <c r="P53" s="142">
        <f t="shared" si="129"/>
        <v>0</v>
      </c>
      <c r="Q53" s="33">
        <f t="shared" si="129"/>
        <v>0</v>
      </c>
      <c r="R53" s="114">
        <f t="shared" ref="R53" si="132">ROUND(R2074,)</f>
        <v>0</v>
      </c>
    </row>
    <row r="54" spans="1:18" x14ac:dyDescent="0.2">
      <c r="A54" s="608">
        <f>ROUND(+A2075,-3)</f>
        <v>202000</v>
      </c>
      <c r="B54" s="150">
        <f t="shared" si="127"/>
        <v>169300</v>
      </c>
      <c r="C54" s="152">
        <f t="shared" si="127"/>
        <v>231300</v>
      </c>
      <c r="D54" s="150">
        <f t="shared" si="127"/>
        <v>190800</v>
      </c>
      <c r="E54" s="320" t="s">
        <v>4241</v>
      </c>
      <c r="F54" s="142"/>
      <c r="G54" s="33">
        <f t="shared" ref="G54:P54" si="133">ROUND(G2075,)</f>
        <v>205900</v>
      </c>
      <c r="H54" s="138">
        <f t="shared" si="124"/>
        <v>7.9140461215932918</v>
      </c>
      <c r="I54" s="33">
        <f t="shared" si="133"/>
        <v>119100</v>
      </c>
      <c r="J54" s="33">
        <f t="shared" si="133"/>
        <v>70200</v>
      </c>
      <c r="K54" s="33">
        <f t="shared" si="133"/>
        <v>48000</v>
      </c>
      <c r="L54" s="33">
        <f t="shared" si="133"/>
        <v>20600</v>
      </c>
      <c r="M54" s="33">
        <f t="shared" si="133"/>
        <v>21400</v>
      </c>
      <c r="N54" s="33">
        <f t="shared" si="133"/>
        <v>22100</v>
      </c>
      <c r="O54" s="33">
        <f t="shared" si="133"/>
        <v>22900</v>
      </c>
      <c r="P54" s="142">
        <f t="shared" si="133"/>
        <v>23800</v>
      </c>
      <c r="Q54" s="33">
        <f t="shared" ref="Q54" si="134">ROUND(Q2075,)</f>
        <v>24700</v>
      </c>
      <c r="R54" s="114">
        <f t="shared" ref="R54" si="135">ROUND(R2075,)</f>
        <v>25600</v>
      </c>
    </row>
    <row r="55" spans="1:18" x14ac:dyDescent="0.2">
      <c r="A55" s="608">
        <f>ROUND(+A2076,-3)</f>
        <v>4734000</v>
      </c>
      <c r="B55" s="150">
        <f t="shared" si="127"/>
        <v>1892000</v>
      </c>
      <c r="C55" s="152">
        <f t="shared" si="127"/>
        <v>3347700</v>
      </c>
      <c r="D55" s="150">
        <f t="shared" si="127"/>
        <v>0</v>
      </c>
      <c r="E55" s="320" t="s">
        <v>4544</v>
      </c>
      <c r="F55" s="142"/>
      <c r="G55" s="33">
        <f t="shared" ref="G55:O55" si="136">ROUND(G2076,)</f>
        <v>0</v>
      </c>
      <c r="H55" s="138">
        <f t="shared" si="124"/>
        <v>0</v>
      </c>
      <c r="I55" s="33">
        <f t="shared" si="136"/>
        <v>0</v>
      </c>
      <c r="J55" s="33">
        <f t="shared" si="136"/>
        <v>0</v>
      </c>
      <c r="K55" s="33">
        <f t="shared" si="136"/>
        <v>0</v>
      </c>
      <c r="L55" s="33">
        <f t="shared" si="136"/>
        <v>0</v>
      </c>
      <c r="M55" s="33">
        <f t="shared" si="136"/>
        <v>0</v>
      </c>
      <c r="N55" s="33">
        <f t="shared" si="136"/>
        <v>0</v>
      </c>
      <c r="O55" s="33">
        <f t="shared" si="136"/>
        <v>0</v>
      </c>
      <c r="P55" s="142">
        <f t="shared" ref="P55:Q55" si="137">ROUND(P2076,)</f>
        <v>0</v>
      </c>
      <c r="Q55" s="33">
        <f t="shared" si="137"/>
        <v>0</v>
      </c>
      <c r="R55" s="114">
        <f t="shared" ref="R55" si="138">ROUND(R2076,)</f>
        <v>0</v>
      </c>
    </row>
    <row r="56" spans="1:18" s="92" customFormat="1" x14ac:dyDescent="0.2">
      <c r="A56" s="181">
        <f t="shared" ref="A56:B56" si="139">SUM(A51:A55)</f>
        <v>-7107800</v>
      </c>
      <c r="B56" s="397">
        <f t="shared" si="139"/>
        <v>-6123100</v>
      </c>
      <c r="C56" s="377">
        <f>SUM(C51:C55)</f>
        <v>-6803400</v>
      </c>
      <c r="D56" s="397">
        <f>SUM(D51:D55)</f>
        <v>-8178200</v>
      </c>
      <c r="E56" s="1816" t="s">
        <v>4722</v>
      </c>
      <c r="F56" s="377"/>
      <c r="G56" s="397">
        <f t="shared" ref="G56:O56" si="140">SUM(G51:G55)</f>
        <v>-6630800</v>
      </c>
      <c r="H56" s="395">
        <f t="shared" si="124"/>
        <v>-18.921033968354894</v>
      </c>
      <c r="I56" s="397">
        <f t="shared" si="140"/>
        <v>-8421600</v>
      </c>
      <c r="J56" s="397">
        <f t="shared" si="140"/>
        <v>-8643500</v>
      </c>
      <c r="K56" s="397">
        <f t="shared" si="140"/>
        <v>-9078300</v>
      </c>
      <c r="L56" s="397">
        <f t="shared" si="140"/>
        <v>-9151300</v>
      </c>
      <c r="M56" s="397">
        <f t="shared" si="140"/>
        <v>-9742500</v>
      </c>
      <c r="N56" s="397">
        <f t="shared" si="140"/>
        <v>-9730100</v>
      </c>
      <c r="O56" s="397">
        <f t="shared" si="140"/>
        <v>-9936700</v>
      </c>
      <c r="P56" s="377">
        <f t="shared" ref="P56:Q56" si="141">SUM(P51:P55)</f>
        <v>-9963800</v>
      </c>
      <c r="Q56" s="397">
        <f t="shared" si="141"/>
        <v>-10174100</v>
      </c>
      <c r="R56" s="399">
        <f t="shared" ref="R56" si="142">SUM(R51:R55)</f>
        <v>-10170000</v>
      </c>
    </row>
    <row r="57" spans="1:18" ht="13.5" thickBot="1" x14ac:dyDescent="0.25">
      <c r="A57" s="611"/>
      <c r="B57" s="156"/>
      <c r="C57" s="156"/>
      <c r="D57" s="156"/>
      <c r="E57" s="279"/>
      <c r="F57" s="74"/>
      <c r="G57" s="33"/>
      <c r="H57" s="179"/>
      <c r="I57" s="33"/>
      <c r="J57" s="33"/>
      <c r="K57" s="33"/>
      <c r="L57" s="33"/>
      <c r="M57" s="33"/>
      <c r="N57" s="33"/>
      <c r="O57" s="33"/>
      <c r="P57" s="142"/>
      <c r="Q57" s="33"/>
      <c r="R57" s="114"/>
    </row>
    <row r="58" spans="1:18" ht="13.5" thickTop="1" x14ac:dyDescent="0.2">
      <c r="A58" s="383"/>
      <c r="B58" s="162"/>
      <c r="C58" s="122"/>
      <c r="D58" s="162"/>
      <c r="E58" s="278"/>
      <c r="F58" s="122"/>
      <c r="G58" s="127"/>
      <c r="H58" s="505"/>
      <c r="I58" s="127"/>
      <c r="J58" s="127"/>
      <c r="K58" s="127"/>
      <c r="L58" s="127"/>
      <c r="M58" s="127"/>
      <c r="N58" s="127"/>
      <c r="O58" s="127"/>
      <c r="P58" s="164"/>
      <c r="Q58" s="127"/>
      <c r="R58" s="163"/>
    </row>
    <row r="59" spans="1:18" x14ac:dyDescent="0.2">
      <c r="A59" s="70"/>
      <c r="B59" s="64"/>
      <c r="C59" s="128"/>
      <c r="D59" s="64"/>
      <c r="E59" s="511" t="s">
        <v>196</v>
      </c>
      <c r="F59" s="128"/>
      <c r="G59" s="33"/>
      <c r="H59" s="179"/>
      <c r="I59" s="33"/>
      <c r="J59" s="33"/>
      <c r="K59" s="33"/>
      <c r="L59" s="33"/>
      <c r="M59" s="33"/>
      <c r="N59" s="33"/>
      <c r="O59" s="33"/>
      <c r="P59" s="142"/>
      <c r="Q59" s="33"/>
      <c r="R59" s="114"/>
    </row>
    <row r="60" spans="1:18" x14ac:dyDescent="0.2">
      <c r="A60" s="70"/>
      <c r="B60" s="64"/>
      <c r="C60" s="128"/>
      <c r="D60" s="64"/>
      <c r="E60" s="279"/>
      <c r="F60" s="128"/>
      <c r="G60" s="33"/>
      <c r="H60" s="179"/>
      <c r="I60" s="33"/>
      <c r="J60" s="33"/>
      <c r="K60" s="33"/>
      <c r="L60" s="33"/>
      <c r="M60" s="33"/>
      <c r="N60" s="33"/>
      <c r="O60" s="33"/>
      <c r="P60" s="142"/>
      <c r="Q60" s="33"/>
      <c r="R60" s="114"/>
    </row>
    <row r="61" spans="1:18" x14ac:dyDescent="0.2">
      <c r="A61" s="107">
        <f t="shared" ref="A61:D65" si="143">A114+A228+A286+A350+A389+A461+A518+A557+A612++A685+A741+A174</f>
        <v>1946000</v>
      </c>
      <c r="B61" s="33">
        <f t="shared" si="143"/>
        <v>2347100</v>
      </c>
      <c r="C61" s="142">
        <f t="shared" si="143"/>
        <v>2526100</v>
      </c>
      <c r="D61" s="33">
        <f t="shared" si="143"/>
        <v>2792900</v>
      </c>
      <c r="E61" s="108" t="s">
        <v>2900</v>
      </c>
      <c r="F61" s="366"/>
      <c r="G61" s="33">
        <f>G114+G228+G286+G350+G389+G461+G518+G557+G612++G685+G741+G174</f>
        <v>2595700</v>
      </c>
      <c r="H61" s="138"/>
      <c r="I61" s="33">
        <f t="shared" ref="I61:Q61" si="144">I114+I228+I286+I350+I389+I461+I518+I557+I612++I685+I741+I174</f>
        <v>1741200</v>
      </c>
      <c r="J61" s="33">
        <f t="shared" si="144"/>
        <v>1529200</v>
      </c>
      <c r="K61" s="33">
        <f t="shared" si="144"/>
        <v>1521100</v>
      </c>
      <c r="L61" s="33">
        <f t="shared" si="144"/>
        <v>1171500</v>
      </c>
      <c r="M61" s="33">
        <f t="shared" si="144"/>
        <v>1646500</v>
      </c>
      <c r="N61" s="33">
        <f t="shared" si="144"/>
        <v>1572900</v>
      </c>
      <c r="O61" s="33">
        <f t="shared" si="144"/>
        <v>1490800</v>
      </c>
      <c r="P61" s="142">
        <f t="shared" si="144"/>
        <v>1401900</v>
      </c>
      <c r="Q61" s="33">
        <f t="shared" si="144"/>
        <v>750000</v>
      </c>
      <c r="R61" s="114">
        <f t="shared" ref="R61" si="145">R114+R228+R286+R350+R389+R461+R518+R557+R612++R685+R741+R174</f>
        <v>781000</v>
      </c>
    </row>
    <row r="62" spans="1:18" x14ac:dyDescent="0.2">
      <c r="A62" s="107">
        <f t="shared" si="143"/>
        <v>17578400</v>
      </c>
      <c r="B62" s="33">
        <f t="shared" si="143"/>
        <v>10223300</v>
      </c>
      <c r="C62" s="142">
        <f t="shared" si="143"/>
        <v>15060600</v>
      </c>
      <c r="D62" s="33">
        <f t="shared" si="143"/>
        <v>12835300</v>
      </c>
      <c r="E62" s="512" t="s">
        <v>1942</v>
      </c>
      <c r="F62" s="366"/>
      <c r="G62" s="33">
        <f>G115+G229+G287+G351+G390+G462+G519+G558+G613++G686+G742+G175</f>
        <v>3189400</v>
      </c>
      <c r="H62" s="138"/>
      <c r="I62" s="33">
        <f t="shared" ref="I62:Q62" si="146">I115+I229+I287+I351+I390+I462+I519+I558+I613++I686+I742+I175</f>
        <v>2930900</v>
      </c>
      <c r="J62" s="33">
        <f t="shared" si="146"/>
        <v>3329300</v>
      </c>
      <c r="K62" s="33">
        <f t="shared" si="146"/>
        <v>3477500</v>
      </c>
      <c r="L62" s="33">
        <f t="shared" si="146"/>
        <v>3588500</v>
      </c>
      <c r="M62" s="33">
        <f t="shared" si="146"/>
        <v>3670900</v>
      </c>
      <c r="N62" s="33">
        <f t="shared" si="146"/>
        <v>3806700</v>
      </c>
      <c r="O62" s="33">
        <f t="shared" si="146"/>
        <v>3936200</v>
      </c>
      <c r="P62" s="142">
        <f t="shared" si="146"/>
        <v>4042300</v>
      </c>
      <c r="Q62" s="33">
        <f t="shared" si="146"/>
        <v>4168800</v>
      </c>
      <c r="R62" s="114">
        <f t="shared" ref="R62" si="147">R115+R229+R287+R351+R390+R462+R519+R558+R613++R686+R742+R175</f>
        <v>4326800</v>
      </c>
    </row>
    <row r="63" spans="1:18" x14ac:dyDescent="0.2">
      <c r="A63" s="107">
        <f t="shared" si="143"/>
        <v>11111000</v>
      </c>
      <c r="B63" s="33">
        <f t="shared" si="143"/>
        <v>17009200</v>
      </c>
      <c r="C63" s="142">
        <f t="shared" si="143"/>
        <v>16815200</v>
      </c>
      <c r="D63" s="33">
        <f t="shared" si="143"/>
        <v>18672700</v>
      </c>
      <c r="E63" s="512" t="s">
        <v>2348</v>
      </c>
      <c r="F63" s="366"/>
      <c r="G63" s="33">
        <f>G116+G230+G288+G352+G391+G463+G520+G559+G614++G687+G743+G176</f>
        <v>16554300</v>
      </c>
      <c r="H63" s="138"/>
      <c r="I63" s="33">
        <f t="shared" ref="I63:Q63" si="148">I116+I230+I288+I352+I391+I463+I520+I559+I614++I687+I743+I176</f>
        <v>9497100</v>
      </c>
      <c r="J63" s="33">
        <f t="shared" si="148"/>
        <v>20129400</v>
      </c>
      <c r="K63" s="33">
        <f t="shared" si="148"/>
        <v>2453500</v>
      </c>
      <c r="L63" s="33">
        <f t="shared" si="148"/>
        <v>20795200</v>
      </c>
      <c r="M63" s="33">
        <f t="shared" si="148"/>
        <v>18452100</v>
      </c>
      <c r="N63" s="33">
        <f t="shared" si="148"/>
        <v>4976900</v>
      </c>
      <c r="O63" s="33">
        <f t="shared" si="148"/>
        <v>6556100</v>
      </c>
      <c r="P63" s="142">
        <f t="shared" si="148"/>
        <v>4968000</v>
      </c>
      <c r="Q63" s="33">
        <f t="shared" si="148"/>
        <v>4987000</v>
      </c>
      <c r="R63" s="114">
        <f t="shared" ref="R63" si="149">R116+R230+R288+R352+R391+R463+R520+R559+R614++R687+R743+R176</f>
        <v>6748000</v>
      </c>
    </row>
    <row r="64" spans="1:18" x14ac:dyDescent="0.2">
      <c r="A64" s="107">
        <f t="shared" si="143"/>
        <v>13028000</v>
      </c>
      <c r="B64" s="33">
        <f t="shared" si="143"/>
        <v>7871000</v>
      </c>
      <c r="C64" s="142">
        <f t="shared" si="143"/>
        <v>4041900</v>
      </c>
      <c r="D64" s="33">
        <f t="shared" si="143"/>
        <v>5946600</v>
      </c>
      <c r="E64" s="512" t="s">
        <v>5984</v>
      </c>
      <c r="F64" s="366"/>
      <c r="G64" s="33">
        <f>G117+G231+G289+G353+G392+G464+G521+G560+G615++G688+G744+G177</f>
        <v>7369700</v>
      </c>
      <c r="H64" s="138"/>
      <c r="I64" s="33">
        <f t="shared" ref="I64:Q64" si="150">I117+I231+I289+I353+I392+I464+I521+I560+I615++I688+I744+I177</f>
        <v>4858900</v>
      </c>
      <c r="J64" s="33">
        <f t="shared" si="150"/>
        <v>3209100</v>
      </c>
      <c r="K64" s="33">
        <f t="shared" si="150"/>
        <v>286300</v>
      </c>
      <c r="L64" s="33">
        <f t="shared" si="150"/>
        <v>8454700</v>
      </c>
      <c r="M64" s="33">
        <f t="shared" si="150"/>
        <v>116700</v>
      </c>
      <c r="N64" s="33">
        <f t="shared" si="150"/>
        <v>118700</v>
      </c>
      <c r="O64" s="33">
        <f t="shared" si="150"/>
        <v>120700</v>
      </c>
      <c r="P64" s="142">
        <f t="shared" si="150"/>
        <v>122700</v>
      </c>
      <c r="Q64" s="33">
        <f t="shared" si="150"/>
        <v>124700</v>
      </c>
      <c r="R64" s="114">
        <f t="shared" ref="R64" si="151">R117+R231+R289+R353+R392+R464+R521+R560+R615++R688+R744+R177</f>
        <v>126900</v>
      </c>
    </row>
    <row r="65" spans="1:18" x14ac:dyDescent="0.2">
      <c r="A65" s="107">
        <f t="shared" si="143"/>
        <v>18530000</v>
      </c>
      <c r="B65" s="33">
        <f t="shared" si="143"/>
        <v>20544100</v>
      </c>
      <c r="C65" s="142">
        <f t="shared" si="143"/>
        <v>12522400</v>
      </c>
      <c r="D65" s="33">
        <f t="shared" si="143"/>
        <v>18610900</v>
      </c>
      <c r="E65" s="512" t="s">
        <v>972</v>
      </c>
      <c r="F65" s="366"/>
      <c r="G65" s="33">
        <f>G118+G232+G290+G354+G393+G465+G522+G561+G616++G689+G745+G178</f>
        <v>29070300</v>
      </c>
      <c r="H65" s="138"/>
      <c r="I65" s="33">
        <f t="shared" ref="I65:Q65" si="152">I118+I232+I290+I354+I393+I465+I522+I561+I616++I689+I745+I178</f>
        <v>19919100</v>
      </c>
      <c r="J65" s="33">
        <f t="shared" si="152"/>
        <v>29719100</v>
      </c>
      <c r="K65" s="33">
        <f t="shared" si="152"/>
        <v>9948300</v>
      </c>
      <c r="L65" s="33">
        <f t="shared" si="152"/>
        <v>37303300</v>
      </c>
      <c r="M65" s="33">
        <f t="shared" si="152"/>
        <v>25949900</v>
      </c>
      <c r="N65" s="33">
        <f t="shared" si="152"/>
        <v>12943900</v>
      </c>
      <c r="O65" s="33">
        <f t="shared" si="152"/>
        <v>14746500</v>
      </c>
      <c r="P65" s="142">
        <f t="shared" si="152"/>
        <v>13748700</v>
      </c>
      <c r="Q65" s="33">
        <f t="shared" si="152"/>
        <v>14789500</v>
      </c>
      <c r="R65" s="114">
        <f t="shared" ref="R65" si="153">R118+R232+R290+R354+R393+R465+R522+R561+R616++R689+R745+R178</f>
        <v>16937900</v>
      </c>
    </row>
    <row r="66" spans="1:18" x14ac:dyDescent="0.2">
      <c r="A66" s="107"/>
      <c r="B66" s="33"/>
      <c r="C66" s="142"/>
      <c r="D66" s="33"/>
      <c r="E66" s="511"/>
      <c r="F66" s="142"/>
      <c r="G66" s="33"/>
      <c r="H66" s="138"/>
      <c r="I66" s="33"/>
      <c r="J66" s="33"/>
      <c r="K66" s="33"/>
      <c r="L66" s="33"/>
      <c r="M66" s="33"/>
      <c r="N66" s="33"/>
      <c r="O66" s="33"/>
      <c r="P66" s="142"/>
      <c r="Q66" s="33"/>
      <c r="R66" s="114"/>
    </row>
    <row r="67" spans="1:18" s="92" customFormat="1" x14ac:dyDescent="0.2">
      <c r="A67" s="181">
        <f>A56-A61-A62+A63++A64-A65</f>
        <v>-21023200</v>
      </c>
      <c r="B67" s="397">
        <f>B56-B61-B62+B63++B64-B65</f>
        <v>-14357400</v>
      </c>
      <c r="C67" s="377">
        <f>C56-C61-C62+C63++C64-C65</f>
        <v>-16055400</v>
      </c>
      <c r="D67" s="397">
        <f>D56-D61-D62+D63++D64-D65</f>
        <v>-17798000</v>
      </c>
      <c r="E67" s="509" t="s">
        <v>2490</v>
      </c>
      <c r="F67" s="377"/>
      <c r="G67" s="397">
        <f t="shared" ref="G67:O67" si="154">G56-G61-G62+G63++G64-G65</f>
        <v>-17562200</v>
      </c>
      <c r="H67" s="395">
        <f>IF(D67=G67,0,IF(D67=0,100,(G67-D67)/D67*100))</f>
        <v>-1.3248679626924373</v>
      </c>
      <c r="I67" s="397">
        <f t="shared" si="154"/>
        <v>-18656800</v>
      </c>
      <c r="J67" s="397">
        <f t="shared" si="154"/>
        <v>-19882600</v>
      </c>
      <c r="K67" s="397">
        <f t="shared" si="154"/>
        <v>-21285400</v>
      </c>
      <c r="L67" s="397">
        <f t="shared" si="154"/>
        <v>-21964700</v>
      </c>
      <c r="M67" s="397">
        <f t="shared" si="154"/>
        <v>-22441000</v>
      </c>
      <c r="N67" s="397">
        <f t="shared" si="154"/>
        <v>-22958000</v>
      </c>
      <c r="O67" s="397">
        <f t="shared" si="154"/>
        <v>-23433400</v>
      </c>
      <c r="P67" s="377">
        <f t="shared" ref="P67:Q67" si="155">P56-P61-P62+P63++P64-P65</f>
        <v>-24066000</v>
      </c>
      <c r="Q67" s="397">
        <f t="shared" si="155"/>
        <v>-24770700</v>
      </c>
      <c r="R67" s="399">
        <f t="shared" ref="R67" si="156">R56-R61-R62+R63++R64-R65</f>
        <v>-25340800</v>
      </c>
    </row>
    <row r="68" spans="1:18" ht="13.5" thickBot="1" x14ac:dyDescent="0.25">
      <c r="A68" s="73"/>
      <c r="B68" s="90"/>
      <c r="C68" s="134"/>
      <c r="D68" s="90"/>
      <c r="E68" s="280"/>
      <c r="F68" s="134"/>
      <c r="G68" s="66"/>
      <c r="H68" s="392"/>
      <c r="I68" s="66"/>
      <c r="J68" s="66"/>
      <c r="K68" s="66"/>
      <c r="L68" s="66"/>
      <c r="M68" s="66"/>
      <c r="N68" s="66"/>
      <c r="O68" s="66"/>
      <c r="P68" s="166"/>
      <c r="Q68" s="66"/>
      <c r="R68" s="165"/>
    </row>
    <row r="69" spans="1:18" ht="14.25" thickTop="1" thickBot="1" x14ac:dyDescent="0.25">
      <c r="A69" s="74"/>
      <c r="B69" s="74"/>
      <c r="C69" s="74"/>
      <c r="D69" s="74"/>
      <c r="E69" s="279"/>
      <c r="F69" s="74"/>
      <c r="G69" s="74"/>
      <c r="H69" s="2507"/>
      <c r="I69" s="74"/>
      <c r="J69" s="74"/>
      <c r="K69" s="99"/>
      <c r="L69" s="99"/>
      <c r="M69" s="99"/>
      <c r="N69" s="99"/>
      <c r="O69" s="99"/>
      <c r="P69" s="99"/>
      <c r="Q69" s="99"/>
      <c r="R69" s="99"/>
    </row>
    <row r="70" spans="1:18" s="91" customFormat="1" ht="18.75" customHeight="1" thickTop="1" thickBot="1" x14ac:dyDescent="0.3">
      <c r="A70" s="2865" t="s">
        <v>4576</v>
      </c>
      <c r="B70" s="2866"/>
      <c r="C70" s="2866"/>
      <c r="D70" s="2866"/>
      <c r="E70" s="2866"/>
      <c r="F70" s="2866"/>
      <c r="G70" s="2866"/>
      <c r="H70" s="2866"/>
      <c r="I70" s="2866"/>
      <c r="J70" s="2866"/>
      <c r="K70" s="2866"/>
      <c r="L70" s="2866"/>
      <c r="M70" s="2866"/>
      <c r="N70" s="2866"/>
      <c r="O70" s="2866"/>
      <c r="P70" s="2866"/>
      <c r="Q70" s="2866"/>
      <c r="R70" s="2867"/>
    </row>
    <row r="71" spans="1:18" s="44" customFormat="1" x14ac:dyDescent="0.2">
      <c r="A71" s="2848" t="s">
        <v>1856</v>
      </c>
      <c r="B71" s="2840"/>
      <c r="C71" s="2840"/>
      <c r="D71" s="2849"/>
      <c r="E71" s="369" t="s">
        <v>2663</v>
      </c>
      <c r="F71" s="2649" t="s">
        <v>2251</v>
      </c>
      <c r="G71" s="2885" t="s">
        <v>2253</v>
      </c>
      <c r="H71" s="2886"/>
      <c r="I71" s="2886"/>
      <c r="J71" s="2886"/>
      <c r="K71" s="2886"/>
      <c r="L71" s="2886"/>
      <c r="M71" s="2886"/>
      <c r="N71" s="2886"/>
      <c r="O71" s="2886"/>
      <c r="P71" s="2886"/>
      <c r="Q71" s="2886"/>
      <c r="R71" s="2887"/>
    </row>
    <row r="72" spans="1:18" s="23" customFormat="1" ht="12.75" customHeight="1" thickBot="1" x14ac:dyDescent="0.25">
      <c r="A72" s="208" t="str">
        <f t="shared" ref="A72:B72" si="157">A3</f>
        <v>2012/13</v>
      </c>
      <c r="B72" s="75" t="str">
        <f t="shared" si="157"/>
        <v>2013/14</v>
      </c>
      <c r="C72" s="370" t="str">
        <f>C3</f>
        <v>2014/15</v>
      </c>
      <c r="D72" s="93" t="str">
        <f>D3</f>
        <v>2015/16</v>
      </c>
      <c r="E72" s="370" t="s">
        <v>2664</v>
      </c>
      <c r="F72" s="42"/>
      <c r="G72" s="2513" t="str">
        <f t="shared" ref="G72:P72" si="158">G3</f>
        <v>2016/17</v>
      </c>
      <c r="H72" s="2193" t="s">
        <v>1307</v>
      </c>
      <c r="I72" s="370" t="str">
        <f t="shared" si="158"/>
        <v>2017/18</v>
      </c>
      <c r="J72" s="370" t="str">
        <f t="shared" si="158"/>
        <v>2018/19</v>
      </c>
      <c r="K72" s="370" t="str">
        <f t="shared" si="158"/>
        <v>2019/20</v>
      </c>
      <c r="L72" s="370" t="str">
        <f t="shared" si="158"/>
        <v>2020/21</v>
      </c>
      <c r="M72" s="370" t="str">
        <f t="shared" si="158"/>
        <v>2021/22</v>
      </c>
      <c r="N72" s="370" t="str">
        <f t="shared" si="158"/>
        <v>2022/23</v>
      </c>
      <c r="O72" s="370" t="str">
        <f t="shared" si="158"/>
        <v>2023/24</v>
      </c>
      <c r="P72" s="370" t="str">
        <f t="shared" si="158"/>
        <v>2024/25</v>
      </c>
      <c r="Q72" s="218" t="str">
        <f t="shared" ref="Q72" si="159">Q3</f>
        <v>2025/26</v>
      </c>
      <c r="R72" s="549" t="str">
        <f t="shared" ref="R72" si="160">R3</f>
        <v>2026/27</v>
      </c>
    </row>
    <row r="73" spans="1:18" s="23" customFormat="1" x14ac:dyDescent="0.2">
      <c r="A73" s="2645"/>
      <c r="B73" s="529"/>
      <c r="C73" s="529"/>
      <c r="D73" s="204"/>
      <c r="E73" s="391"/>
      <c r="F73" s="22"/>
      <c r="G73" s="2598"/>
      <c r="H73" s="2416"/>
      <c r="I73" s="529"/>
      <c r="J73" s="529"/>
      <c r="K73" s="529"/>
      <c r="L73" s="529"/>
      <c r="M73" s="529"/>
      <c r="N73" s="529"/>
      <c r="O73" s="513"/>
      <c r="P73" s="513"/>
      <c r="Q73" s="513"/>
      <c r="R73" s="1710"/>
    </row>
    <row r="74" spans="1:18" x14ac:dyDescent="0.2">
      <c r="A74" s="98"/>
      <c r="B74" s="33"/>
      <c r="C74" s="187"/>
      <c r="D74" s="187"/>
      <c r="E74" s="240"/>
      <c r="F74" s="144" t="s">
        <v>1073</v>
      </c>
      <c r="G74" s="2509"/>
      <c r="H74" s="138"/>
      <c r="I74" s="33"/>
      <c r="J74" s="33"/>
      <c r="K74" s="33"/>
      <c r="L74" s="33"/>
      <c r="M74" s="33"/>
      <c r="N74" s="33"/>
      <c r="O74" s="33"/>
      <c r="P74" s="33"/>
      <c r="Q74" s="33"/>
      <c r="R74" s="114"/>
    </row>
    <row r="75" spans="1:18" x14ac:dyDescent="0.2">
      <c r="A75" s="98"/>
      <c r="B75" s="33"/>
      <c r="C75" s="187"/>
      <c r="D75" s="187"/>
      <c r="E75" s="240"/>
      <c r="F75" s="99"/>
      <c r="G75" s="2509"/>
      <c r="H75" s="138"/>
      <c r="I75" s="33"/>
      <c r="J75" s="33"/>
      <c r="K75" s="33"/>
      <c r="L75" s="33"/>
      <c r="M75" s="33"/>
      <c r="N75" s="33"/>
      <c r="O75" s="33"/>
      <c r="P75" s="33"/>
      <c r="Q75" s="33"/>
      <c r="R75" s="114"/>
    </row>
    <row r="76" spans="1:18" x14ac:dyDescent="0.2">
      <c r="A76" s="98"/>
      <c r="B76" s="33"/>
      <c r="E76" s="240"/>
      <c r="F76" s="175" t="s">
        <v>1454</v>
      </c>
      <c r="G76" s="2509"/>
      <c r="H76" s="138"/>
      <c r="I76" s="33"/>
      <c r="J76" s="33"/>
      <c r="K76" s="33"/>
      <c r="L76" s="33"/>
      <c r="M76" s="33"/>
      <c r="N76" s="33"/>
      <c r="O76" s="33"/>
      <c r="P76" s="33"/>
      <c r="Q76" s="33"/>
      <c r="R76" s="114"/>
    </row>
    <row r="77" spans="1:18" x14ac:dyDescent="0.2">
      <c r="A77" s="98">
        <f>ROUND(SUM(A754:A760),-3)</f>
        <v>277000</v>
      </c>
      <c r="B77" s="33">
        <f>SUM(B754:B760)</f>
        <v>235800</v>
      </c>
      <c r="C77" s="189">
        <f>SUM(C754:C760)</f>
        <v>250800</v>
      </c>
      <c r="D77" s="189">
        <f>SUM(D754:D760)</f>
        <v>205000</v>
      </c>
      <c r="E77" s="240">
        <v>22010</v>
      </c>
      <c r="F77" s="1952" t="s">
        <v>6982</v>
      </c>
      <c r="G77" s="2509">
        <f>SUM(G754:G760)</f>
        <v>234000</v>
      </c>
      <c r="H77" s="138">
        <f>IF(D77=G77,0,IF(D77=0,100,(G77-D77)/D77*100))</f>
        <v>14.146341463414632</v>
      </c>
      <c r="I77" s="33">
        <f t="shared" ref="I77:Q77" si="161">SUM(I754:I760)</f>
        <v>215500</v>
      </c>
      <c r="J77" s="33">
        <f t="shared" si="161"/>
        <v>221200</v>
      </c>
      <c r="K77" s="33">
        <f t="shared" si="161"/>
        <v>227100</v>
      </c>
      <c r="L77" s="33">
        <f t="shared" si="161"/>
        <v>233100</v>
      </c>
      <c r="M77" s="33">
        <f t="shared" si="161"/>
        <v>238100</v>
      </c>
      <c r="N77" s="33">
        <f t="shared" si="161"/>
        <v>243200</v>
      </c>
      <c r="O77" s="33">
        <f t="shared" si="161"/>
        <v>248400</v>
      </c>
      <c r="P77" s="33">
        <f t="shared" si="161"/>
        <v>253700</v>
      </c>
      <c r="Q77" s="33">
        <f t="shared" si="161"/>
        <v>259100</v>
      </c>
      <c r="R77" s="114">
        <f t="shared" ref="R77" si="162">SUM(R754:R760)</f>
        <v>264600</v>
      </c>
    </row>
    <row r="78" spans="1:18" x14ac:dyDescent="0.2">
      <c r="A78" s="98">
        <f>ROUND(SUM(A761:A766),-3)</f>
        <v>83000</v>
      </c>
      <c r="B78" s="33">
        <f>SUM(B761:B766)</f>
        <v>72500</v>
      </c>
      <c r="C78" s="142">
        <f>SUM(C761:C766)</f>
        <v>71000</v>
      </c>
      <c r="D78" s="33">
        <f>SUM(D761:D766)</f>
        <v>49400</v>
      </c>
      <c r="E78" s="240">
        <v>22011</v>
      </c>
      <c r="F78" s="1952" t="s">
        <v>4617</v>
      </c>
      <c r="G78" s="187">
        <f>SUM(G761:G766)</f>
        <v>54500</v>
      </c>
      <c r="H78" s="138">
        <f>IF(D78=G78,0,IF(D78=0,100,(G78-D78)/D78*100))</f>
        <v>10.323886639676113</v>
      </c>
      <c r="I78" s="33">
        <f t="shared" ref="I78:Q78" si="163">SUM(I761:I766)</f>
        <v>55100</v>
      </c>
      <c r="J78" s="33">
        <f t="shared" si="163"/>
        <v>56600</v>
      </c>
      <c r="K78" s="33">
        <f t="shared" si="163"/>
        <v>58200</v>
      </c>
      <c r="L78" s="33">
        <f t="shared" si="163"/>
        <v>59900</v>
      </c>
      <c r="M78" s="33">
        <f t="shared" si="163"/>
        <v>61300</v>
      </c>
      <c r="N78" s="33">
        <f t="shared" si="163"/>
        <v>62700</v>
      </c>
      <c r="O78" s="33">
        <f t="shared" si="163"/>
        <v>64100</v>
      </c>
      <c r="P78" s="33">
        <f t="shared" si="163"/>
        <v>65500</v>
      </c>
      <c r="Q78" s="33">
        <f t="shared" si="163"/>
        <v>66900</v>
      </c>
      <c r="R78" s="114">
        <f t="shared" ref="R78" si="164">SUM(R761:R766)</f>
        <v>68300</v>
      </c>
    </row>
    <row r="79" spans="1:18" x14ac:dyDescent="0.2">
      <c r="A79" s="98">
        <f>ROUND(+SUM(A766:A766),-3)</f>
        <v>0</v>
      </c>
      <c r="B79" s="33">
        <f>SUM(B766:B766)</f>
        <v>0</v>
      </c>
      <c r="C79" s="142">
        <f>SUM(C766:C766)</f>
        <v>0</v>
      </c>
      <c r="D79" s="33">
        <f>SUM(D766:D766)</f>
        <v>0</v>
      </c>
      <c r="E79" s="1954">
        <v>22011</v>
      </c>
      <c r="F79" s="1952" t="s">
        <v>3310</v>
      </c>
      <c r="G79" s="187">
        <f t="shared" ref="G79:O79" si="165">SUM(G766:G766)</f>
        <v>0</v>
      </c>
      <c r="H79" s="138">
        <f>IF(D79=G79,0,IF(D79=0,100,(G79-D79)/D79*100))</f>
        <v>0</v>
      </c>
      <c r="I79" s="33">
        <f t="shared" si="165"/>
        <v>0</v>
      </c>
      <c r="J79" s="33">
        <f t="shared" si="165"/>
        <v>0</v>
      </c>
      <c r="K79" s="33">
        <f t="shared" si="165"/>
        <v>0</v>
      </c>
      <c r="L79" s="33">
        <f t="shared" si="165"/>
        <v>0</v>
      </c>
      <c r="M79" s="33">
        <f t="shared" si="165"/>
        <v>0</v>
      </c>
      <c r="N79" s="33">
        <f t="shared" si="165"/>
        <v>0</v>
      </c>
      <c r="O79" s="33">
        <f t="shared" si="165"/>
        <v>0</v>
      </c>
      <c r="P79" s="33">
        <f t="shared" ref="P79:Q79" si="166">SUM(P766:P766)</f>
        <v>0</v>
      </c>
      <c r="Q79" s="33">
        <f t="shared" si="166"/>
        <v>0</v>
      </c>
      <c r="R79" s="114">
        <f t="shared" ref="R79" si="167">SUM(R766:R766)</f>
        <v>0</v>
      </c>
    </row>
    <row r="80" spans="1:18" ht="13.5" thickBot="1" x14ac:dyDescent="0.25">
      <c r="A80" s="98"/>
      <c r="B80" s="33"/>
      <c r="C80" s="187"/>
      <c r="D80" s="187"/>
      <c r="E80" s="357"/>
      <c r="F80" s="1981"/>
      <c r="G80" s="187"/>
      <c r="H80" s="138"/>
      <c r="I80" s="33"/>
      <c r="J80" s="33"/>
      <c r="K80" s="33"/>
      <c r="L80" s="33"/>
      <c r="M80" s="33"/>
      <c r="N80" s="33"/>
      <c r="O80" s="33"/>
      <c r="P80" s="33"/>
      <c r="Q80" s="33"/>
      <c r="R80" s="114"/>
    </row>
    <row r="81" spans="1:18" s="92" customFormat="1" x14ac:dyDescent="0.2">
      <c r="A81" s="752">
        <f>SUM(A77:A80)</f>
        <v>360000</v>
      </c>
      <c r="B81" s="53">
        <f>SUM(B77:B80)</f>
        <v>308300</v>
      </c>
      <c r="C81" s="199">
        <f>SUM(C77:C80)</f>
        <v>321800</v>
      </c>
      <c r="D81" s="199">
        <f>SUM(D77:D80)</f>
        <v>254400</v>
      </c>
      <c r="E81" s="236"/>
      <c r="F81" s="1960" t="s">
        <v>2605</v>
      </c>
      <c r="G81" s="199">
        <f t="shared" ref="G81:O81" si="168">SUM(G77:G80)</f>
        <v>288500</v>
      </c>
      <c r="H81" s="180">
        <f>IF(D81=G81,0,IF(D81=0,100,(G81-D81)/D81*100))</f>
        <v>13.404088050314467</v>
      </c>
      <c r="I81" s="53">
        <f t="shared" si="168"/>
        <v>270600</v>
      </c>
      <c r="J81" s="53">
        <f t="shared" si="168"/>
        <v>277800</v>
      </c>
      <c r="K81" s="53">
        <f t="shared" si="168"/>
        <v>285300</v>
      </c>
      <c r="L81" s="53">
        <f t="shared" si="168"/>
        <v>293000</v>
      </c>
      <c r="M81" s="53">
        <f t="shared" si="168"/>
        <v>299400</v>
      </c>
      <c r="N81" s="53">
        <f t="shared" si="168"/>
        <v>305900</v>
      </c>
      <c r="O81" s="53">
        <f t="shared" si="168"/>
        <v>312500</v>
      </c>
      <c r="P81" s="53">
        <f t="shared" ref="P81:Q81" si="169">SUM(P77:P80)</f>
        <v>319200</v>
      </c>
      <c r="Q81" s="53">
        <f t="shared" si="169"/>
        <v>326000</v>
      </c>
      <c r="R81" s="113">
        <f t="shared" ref="R81" si="170">SUM(R77:R80)</f>
        <v>332900</v>
      </c>
    </row>
    <row r="82" spans="1:18" x14ac:dyDescent="0.2">
      <c r="A82" s="98"/>
      <c r="B82" s="33"/>
      <c r="C82" s="187"/>
      <c r="D82" s="187"/>
      <c r="E82" s="1954"/>
      <c r="F82" s="79"/>
      <c r="G82" s="187"/>
      <c r="H82" s="138"/>
      <c r="I82" s="33"/>
      <c r="J82" s="33"/>
      <c r="K82" s="33"/>
      <c r="L82" s="33"/>
      <c r="M82" s="33"/>
      <c r="N82" s="33"/>
      <c r="O82" s="33"/>
      <c r="P82" s="33"/>
      <c r="Q82" s="33"/>
      <c r="R82" s="114"/>
    </row>
    <row r="83" spans="1:18" x14ac:dyDescent="0.2">
      <c r="A83" s="98"/>
      <c r="B83" s="33"/>
      <c r="C83" s="187"/>
      <c r="D83" s="187"/>
      <c r="E83" s="240"/>
      <c r="F83" s="144" t="s">
        <v>2205</v>
      </c>
      <c r="G83" s="187"/>
      <c r="H83" s="138"/>
      <c r="I83" s="33"/>
      <c r="J83" s="33"/>
      <c r="K83" s="33"/>
      <c r="L83" s="33"/>
      <c r="M83" s="33"/>
      <c r="N83" s="33"/>
      <c r="O83" s="33"/>
      <c r="P83" s="33"/>
      <c r="Q83" s="33"/>
      <c r="R83" s="114"/>
    </row>
    <row r="84" spans="1:18" x14ac:dyDescent="0.2">
      <c r="A84" s="98"/>
      <c r="B84" s="580"/>
      <c r="E84" s="1954"/>
      <c r="F84" s="76"/>
      <c r="G84" s="187"/>
      <c r="H84" s="138"/>
      <c r="I84" s="33"/>
      <c r="J84" s="33"/>
      <c r="K84" s="33"/>
      <c r="L84" s="33"/>
      <c r="M84" s="33"/>
      <c r="N84" s="33"/>
      <c r="O84" s="33"/>
      <c r="P84" s="33"/>
      <c r="Q84" s="33"/>
      <c r="R84" s="114"/>
    </row>
    <row r="85" spans="1:18" x14ac:dyDescent="0.2">
      <c r="A85" s="98"/>
      <c r="B85" s="33"/>
      <c r="E85" s="1954"/>
      <c r="F85" s="79" t="s">
        <v>329</v>
      </c>
      <c r="G85" s="187"/>
      <c r="H85" s="138"/>
      <c r="I85" s="33"/>
      <c r="J85" s="33"/>
      <c r="K85" s="33"/>
      <c r="L85" s="33"/>
      <c r="M85" s="33"/>
      <c r="N85" s="33"/>
      <c r="O85" s="33"/>
      <c r="P85" s="33"/>
      <c r="Q85" s="33"/>
      <c r="R85" s="114"/>
    </row>
    <row r="86" spans="1:18" x14ac:dyDescent="0.2">
      <c r="A86" s="98">
        <f t="shared" ref="A86:A91" si="171">ROUND(SUM(A770),-3)</f>
        <v>589000</v>
      </c>
      <c r="B86" s="33">
        <f t="shared" ref="B86:B91" si="172">SUM(B770)</f>
        <v>601600</v>
      </c>
      <c r="C86" s="189">
        <f t="shared" ref="C86:C91" si="173">SUM(C770)</f>
        <v>769000</v>
      </c>
      <c r="D86" s="189">
        <f t="shared" ref="D86:D91" si="174">SUM(D770)</f>
        <v>790400</v>
      </c>
      <c r="E86" s="238">
        <v>32020</v>
      </c>
      <c r="F86" s="1956" t="s">
        <v>4597</v>
      </c>
      <c r="G86" s="187">
        <f t="shared" ref="G86:O86" si="175">SUM(G770)</f>
        <v>830000</v>
      </c>
      <c r="H86" s="138">
        <f t="shared" ref="H86:H95" si="176">IF(D86=G86,0,IF(D86=0,100,(G86-D86)/D86*100))</f>
        <v>5.0101214574898787</v>
      </c>
      <c r="I86" s="33">
        <f t="shared" si="175"/>
        <v>846600</v>
      </c>
      <c r="J86" s="33">
        <f t="shared" si="175"/>
        <v>867800</v>
      </c>
      <c r="K86" s="33">
        <f t="shared" si="175"/>
        <v>889500</v>
      </c>
      <c r="L86" s="33">
        <f t="shared" si="175"/>
        <v>911700</v>
      </c>
      <c r="M86" s="33">
        <f t="shared" si="175"/>
        <v>934500</v>
      </c>
      <c r="N86" s="33">
        <f t="shared" si="175"/>
        <v>957900</v>
      </c>
      <c r="O86" s="33">
        <f t="shared" si="175"/>
        <v>981800</v>
      </c>
      <c r="P86" s="33">
        <f t="shared" ref="P86:Q86" si="177">SUM(P770)</f>
        <v>1006300</v>
      </c>
      <c r="Q86" s="33">
        <f t="shared" si="177"/>
        <v>1031500</v>
      </c>
      <c r="R86" s="114">
        <f t="shared" ref="R86" si="178">SUM(R770)</f>
        <v>1057300</v>
      </c>
    </row>
    <row r="87" spans="1:18" x14ac:dyDescent="0.2">
      <c r="A87" s="98">
        <f t="shared" si="171"/>
        <v>685000</v>
      </c>
      <c r="B87" s="33">
        <f t="shared" si="172"/>
        <v>661300</v>
      </c>
      <c r="C87" s="189">
        <f t="shared" si="173"/>
        <v>732000</v>
      </c>
      <c r="D87" s="189">
        <f t="shared" si="174"/>
        <v>763300</v>
      </c>
      <c r="E87" s="238">
        <v>32020</v>
      </c>
      <c r="F87" s="1956" t="s">
        <v>4616</v>
      </c>
      <c r="G87" s="187">
        <f t="shared" ref="G87:O87" si="179">SUM(G771)</f>
        <v>789000</v>
      </c>
      <c r="H87" s="138">
        <f t="shared" si="176"/>
        <v>3.3669592558627013</v>
      </c>
      <c r="I87" s="33">
        <f t="shared" si="179"/>
        <v>804800</v>
      </c>
      <c r="J87" s="33">
        <f t="shared" si="179"/>
        <v>824900</v>
      </c>
      <c r="K87" s="33">
        <f t="shared" si="179"/>
        <v>845500</v>
      </c>
      <c r="L87" s="33">
        <f t="shared" si="179"/>
        <v>866600</v>
      </c>
      <c r="M87" s="33">
        <f t="shared" si="179"/>
        <v>888300</v>
      </c>
      <c r="N87" s="33">
        <f t="shared" si="179"/>
        <v>910500</v>
      </c>
      <c r="O87" s="33">
        <f t="shared" si="179"/>
        <v>933300</v>
      </c>
      <c r="P87" s="33">
        <f t="shared" ref="P87:Q87" si="180">SUM(P771)</f>
        <v>956600</v>
      </c>
      <c r="Q87" s="33">
        <f t="shared" si="180"/>
        <v>980500</v>
      </c>
      <c r="R87" s="114">
        <f t="shared" ref="R87" si="181">SUM(R771)</f>
        <v>1005000</v>
      </c>
    </row>
    <row r="88" spans="1:18" x14ac:dyDescent="0.2">
      <c r="A88" s="98">
        <f t="shared" si="171"/>
        <v>398000</v>
      </c>
      <c r="B88" s="33">
        <f t="shared" si="172"/>
        <v>440700</v>
      </c>
      <c r="C88" s="189">
        <f t="shared" si="173"/>
        <v>546000</v>
      </c>
      <c r="D88" s="189">
        <f t="shared" si="174"/>
        <v>600600</v>
      </c>
      <c r="E88" s="238">
        <v>32020</v>
      </c>
      <c r="F88" s="1956" t="s">
        <v>3671</v>
      </c>
      <c r="G88" s="187">
        <f t="shared" ref="G88:O88" si="182">SUM(G772)</f>
        <v>585000</v>
      </c>
      <c r="H88" s="138">
        <f t="shared" si="176"/>
        <v>-2.5974025974025974</v>
      </c>
      <c r="I88" s="33">
        <f t="shared" si="182"/>
        <v>596700</v>
      </c>
      <c r="J88" s="33">
        <f t="shared" si="182"/>
        <v>611600</v>
      </c>
      <c r="K88" s="33">
        <f t="shared" si="182"/>
        <v>626900</v>
      </c>
      <c r="L88" s="33">
        <f t="shared" si="182"/>
        <v>642600</v>
      </c>
      <c r="M88" s="33">
        <f t="shared" si="182"/>
        <v>658700</v>
      </c>
      <c r="N88" s="33">
        <f t="shared" si="182"/>
        <v>675200</v>
      </c>
      <c r="O88" s="33">
        <f t="shared" si="182"/>
        <v>692100</v>
      </c>
      <c r="P88" s="33">
        <f t="shared" ref="P88:Q88" si="183">SUM(P772)</f>
        <v>709400</v>
      </c>
      <c r="Q88" s="33">
        <f t="shared" si="183"/>
        <v>727100</v>
      </c>
      <c r="R88" s="114">
        <f t="shared" ref="R88" si="184">SUM(R772)</f>
        <v>745300</v>
      </c>
    </row>
    <row r="89" spans="1:18" x14ac:dyDescent="0.2">
      <c r="A89" s="98">
        <f t="shared" si="171"/>
        <v>183000</v>
      </c>
      <c r="B89" s="33">
        <f t="shared" si="172"/>
        <v>0</v>
      </c>
      <c r="C89" s="189">
        <f t="shared" si="173"/>
        <v>0</v>
      </c>
      <c r="D89" s="189">
        <f t="shared" si="174"/>
        <v>0</v>
      </c>
      <c r="E89" s="238">
        <v>32020</v>
      </c>
      <c r="F89" s="346" t="s">
        <v>628</v>
      </c>
      <c r="G89" s="187">
        <f t="shared" ref="G89:O89" si="185">SUM(G773)</f>
        <v>0</v>
      </c>
      <c r="H89" s="138">
        <f t="shared" si="176"/>
        <v>0</v>
      </c>
      <c r="I89" s="33">
        <f t="shared" si="185"/>
        <v>0</v>
      </c>
      <c r="J89" s="33">
        <f t="shared" si="185"/>
        <v>0</v>
      </c>
      <c r="K89" s="33">
        <f t="shared" si="185"/>
        <v>0</v>
      </c>
      <c r="L89" s="33">
        <f t="shared" si="185"/>
        <v>0</v>
      </c>
      <c r="M89" s="33">
        <f t="shared" si="185"/>
        <v>0</v>
      </c>
      <c r="N89" s="33">
        <f t="shared" si="185"/>
        <v>0</v>
      </c>
      <c r="O89" s="33">
        <f t="shared" si="185"/>
        <v>0</v>
      </c>
      <c r="P89" s="33">
        <f t="shared" ref="P89:Q89" si="186">SUM(P773)</f>
        <v>0</v>
      </c>
      <c r="Q89" s="33">
        <f t="shared" si="186"/>
        <v>0</v>
      </c>
      <c r="R89" s="114">
        <f t="shared" ref="R89" si="187">SUM(R773)</f>
        <v>0</v>
      </c>
    </row>
    <row r="90" spans="1:18" x14ac:dyDescent="0.2">
      <c r="A90" s="98">
        <f t="shared" si="171"/>
        <v>11000</v>
      </c>
      <c r="B90" s="33">
        <f t="shared" si="172"/>
        <v>8300</v>
      </c>
      <c r="C90" s="189">
        <f t="shared" si="173"/>
        <v>13000</v>
      </c>
      <c r="D90" s="189">
        <f t="shared" si="174"/>
        <v>10800</v>
      </c>
      <c r="E90" s="238">
        <v>32020</v>
      </c>
      <c r="F90" s="1956" t="s">
        <v>3264</v>
      </c>
      <c r="G90" s="187">
        <f t="shared" ref="G90:O90" si="188">SUM(G774)</f>
        <v>8000</v>
      </c>
      <c r="H90" s="138">
        <f t="shared" si="176"/>
        <v>-25.925925925925924</v>
      </c>
      <c r="I90" s="33">
        <f t="shared" si="188"/>
        <v>8200</v>
      </c>
      <c r="J90" s="33">
        <f t="shared" si="188"/>
        <v>8500</v>
      </c>
      <c r="K90" s="33">
        <f t="shared" si="188"/>
        <v>8800</v>
      </c>
      <c r="L90" s="33">
        <f t="shared" si="188"/>
        <v>9100</v>
      </c>
      <c r="M90" s="33">
        <f t="shared" si="188"/>
        <v>9300</v>
      </c>
      <c r="N90" s="33">
        <f t="shared" si="188"/>
        <v>9500</v>
      </c>
      <c r="O90" s="33">
        <f t="shared" si="188"/>
        <v>9700</v>
      </c>
      <c r="P90" s="33">
        <f t="shared" ref="P90:Q90" si="189">SUM(P774)</f>
        <v>9900</v>
      </c>
      <c r="Q90" s="33">
        <f t="shared" si="189"/>
        <v>10100</v>
      </c>
      <c r="R90" s="114">
        <f t="shared" ref="R90" si="190">SUM(R774)</f>
        <v>10400</v>
      </c>
    </row>
    <row r="91" spans="1:18" x14ac:dyDescent="0.2">
      <c r="A91" s="98">
        <f t="shared" si="171"/>
        <v>92000</v>
      </c>
      <c r="B91" s="33">
        <f t="shared" si="172"/>
        <v>103500</v>
      </c>
      <c r="C91" s="189">
        <f t="shared" si="173"/>
        <v>106700</v>
      </c>
      <c r="D91" s="189">
        <f t="shared" si="174"/>
        <v>106700</v>
      </c>
      <c r="E91" s="238">
        <v>32020</v>
      </c>
      <c r="F91" s="1956" t="s">
        <v>3672</v>
      </c>
      <c r="G91" s="187">
        <f t="shared" ref="G91:O91" si="191">SUM(G775)</f>
        <v>108900</v>
      </c>
      <c r="H91" s="138">
        <f t="shared" si="176"/>
        <v>2.0618556701030926</v>
      </c>
      <c r="I91" s="33">
        <f t="shared" si="191"/>
        <v>110600</v>
      </c>
      <c r="J91" s="33">
        <f t="shared" si="191"/>
        <v>113400</v>
      </c>
      <c r="K91" s="33">
        <f t="shared" si="191"/>
        <v>116300</v>
      </c>
      <c r="L91" s="33">
        <f t="shared" si="191"/>
        <v>119300</v>
      </c>
      <c r="M91" s="33">
        <f t="shared" si="191"/>
        <v>121700</v>
      </c>
      <c r="N91" s="33">
        <f t="shared" si="191"/>
        <v>124200</v>
      </c>
      <c r="O91" s="33">
        <f t="shared" si="191"/>
        <v>126700</v>
      </c>
      <c r="P91" s="33">
        <f t="shared" ref="P91:Q91" si="192">SUM(P775)</f>
        <v>129300</v>
      </c>
      <c r="Q91" s="33">
        <f t="shared" si="192"/>
        <v>131900</v>
      </c>
      <c r="R91" s="114">
        <f t="shared" ref="R91" si="193">SUM(R775)</f>
        <v>134600</v>
      </c>
    </row>
    <row r="92" spans="1:18" x14ac:dyDescent="0.2">
      <c r="A92" s="98">
        <f>ROUND(SUM(A776:A780),-3)</f>
        <v>44000</v>
      </c>
      <c r="B92" s="33">
        <f>SUM(B776:B780)</f>
        <v>29300</v>
      </c>
      <c r="C92" s="189">
        <f>SUM(C776:C780)</f>
        <v>43000</v>
      </c>
      <c r="D92" s="189">
        <f>SUM(D776:D780)</f>
        <v>48000</v>
      </c>
      <c r="E92" s="238">
        <v>32020</v>
      </c>
      <c r="F92" s="346" t="s">
        <v>510</v>
      </c>
      <c r="G92" s="187">
        <f t="shared" ref="G92:P92" si="194">SUM(G776:G780)</f>
        <v>35500</v>
      </c>
      <c r="H92" s="138">
        <f t="shared" si="176"/>
        <v>-26.041666666666668</v>
      </c>
      <c r="I92" s="33">
        <f t="shared" si="194"/>
        <v>47000</v>
      </c>
      <c r="J92" s="33">
        <f t="shared" si="194"/>
        <v>48300</v>
      </c>
      <c r="K92" s="33">
        <f t="shared" si="194"/>
        <v>49800</v>
      </c>
      <c r="L92" s="33">
        <f t="shared" si="194"/>
        <v>51300</v>
      </c>
      <c r="M92" s="33">
        <f t="shared" si="194"/>
        <v>52500</v>
      </c>
      <c r="N92" s="33">
        <f t="shared" si="194"/>
        <v>53700</v>
      </c>
      <c r="O92" s="33">
        <f t="shared" si="194"/>
        <v>54900</v>
      </c>
      <c r="P92" s="33">
        <f t="shared" si="194"/>
        <v>56100</v>
      </c>
      <c r="Q92" s="33">
        <f t="shared" ref="Q92" si="195">SUM(Q776:Q780)</f>
        <v>57300</v>
      </c>
      <c r="R92" s="114">
        <f t="shared" ref="R92" si="196">SUM(R776:R780)</f>
        <v>58600</v>
      </c>
    </row>
    <row r="93" spans="1:18" x14ac:dyDescent="0.2">
      <c r="A93" s="98">
        <f>ROUND(SUM(A781:A784),-3)</f>
        <v>88000</v>
      </c>
      <c r="B93" s="33">
        <f>SUM(B781:B784)</f>
        <v>81600</v>
      </c>
      <c r="C93" s="189">
        <f>SUM(C781:C784)</f>
        <v>74000</v>
      </c>
      <c r="D93" s="189">
        <f>SUM(D781:D784)</f>
        <v>55600</v>
      </c>
      <c r="E93" s="238">
        <v>32020</v>
      </c>
      <c r="F93" s="1952" t="s">
        <v>3090</v>
      </c>
      <c r="G93" s="187">
        <f t="shared" ref="G93:O93" si="197">SUM(G781:G784)</f>
        <v>57000</v>
      </c>
      <c r="H93" s="138">
        <f t="shared" si="176"/>
        <v>2.5179856115107913</v>
      </c>
      <c r="I93" s="33">
        <f t="shared" si="197"/>
        <v>58000</v>
      </c>
      <c r="J93" s="33">
        <f t="shared" si="197"/>
        <v>59600</v>
      </c>
      <c r="K93" s="33">
        <f t="shared" si="197"/>
        <v>61200</v>
      </c>
      <c r="L93" s="33">
        <f t="shared" si="197"/>
        <v>63000</v>
      </c>
      <c r="M93" s="33">
        <f t="shared" si="197"/>
        <v>64500</v>
      </c>
      <c r="N93" s="33">
        <f t="shared" si="197"/>
        <v>66000</v>
      </c>
      <c r="O93" s="33">
        <f t="shared" si="197"/>
        <v>67500</v>
      </c>
      <c r="P93" s="33">
        <f t="shared" ref="P93:Q93" si="198">SUM(P781:P784)</f>
        <v>69000</v>
      </c>
      <c r="Q93" s="33">
        <f t="shared" si="198"/>
        <v>70500</v>
      </c>
      <c r="R93" s="114">
        <f t="shared" ref="R93" si="199">SUM(R781:R784)</f>
        <v>72000</v>
      </c>
    </row>
    <row r="94" spans="1:18" x14ac:dyDescent="0.2">
      <c r="A94" s="98">
        <f>(SUM(A786:A786))</f>
        <v>65000</v>
      </c>
      <c r="B94" s="33">
        <f>(SUM(B786:B786))</f>
        <v>5800</v>
      </c>
      <c r="C94" s="189">
        <f>(SUM(C786:C786))</f>
        <v>10000</v>
      </c>
      <c r="D94" s="189">
        <f>(SUM(D786:D786))</f>
        <v>2600</v>
      </c>
      <c r="E94" s="238">
        <v>32020</v>
      </c>
      <c r="F94" s="1952" t="s">
        <v>4821</v>
      </c>
      <c r="G94" s="187">
        <f>(SUM(G786:G787))</f>
        <v>36600</v>
      </c>
      <c r="H94" s="138">
        <f t="shared" si="176"/>
        <v>1307.6923076923076</v>
      </c>
      <c r="I94" s="33">
        <f>(SUM(I786:I787))</f>
        <v>10000</v>
      </c>
      <c r="J94" s="33">
        <f t="shared" ref="J94:Q94" si="200">(SUM(J786:J787))</f>
        <v>10300</v>
      </c>
      <c r="K94" s="33">
        <f t="shared" si="200"/>
        <v>10600</v>
      </c>
      <c r="L94" s="33">
        <f t="shared" si="200"/>
        <v>10900</v>
      </c>
      <c r="M94" s="33">
        <f t="shared" si="200"/>
        <v>11200</v>
      </c>
      <c r="N94" s="33">
        <f t="shared" si="200"/>
        <v>11500</v>
      </c>
      <c r="O94" s="33">
        <f t="shared" si="200"/>
        <v>11800</v>
      </c>
      <c r="P94" s="33">
        <f t="shared" si="200"/>
        <v>12100</v>
      </c>
      <c r="Q94" s="33">
        <f t="shared" si="200"/>
        <v>12400</v>
      </c>
      <c r="R94" s="114">
        <f t="shared" ref="R94" si="201">(SUM(R786:R787))</f>
        <v>12700</v>
      </c>
    </row>
    <row r="95" spans="1:18" x14ac:dyDescent="0.2">
      <c r="A95" s="98">
        <f>ROUND(SUM(A789:A789),-3)</f>
        <v>23000</v>
      </c>
      <c r="B95" s="33">
        <f>SUM(B789:B789)</f>
        <v>64700</v>
      </c>
      <c r="C95" s="189">
        <f>SUM(C789:C789)</f>
        <v>27500</v>
      </c>
      <c r="D95" s="189">
        <f>SUM(D789:D789)</f>
        <v>61800</v>
      </c>
      <c r="E95" s="238">
        <v>32020</v>
      </c>
      <c r="F95" s="1981" t="s">
        <v>629</v>
      </c>
      <c r="G95" s="187">
        <f t="shared" ref="G95:P95" si="202">SUM(G789:G789)</f>
        <v>29000</v>
      </c>
      <c r="H95" s="138">
        <f t="shared" si="176"/>
        <v>-53.074433656957929</v>
      </c>
      <c r="I95" s="33">
        <f t="shared" si="202"/>
        <v>29500</v>
      </c>
      <c r="J95" s="33">
        <f t="shared" si="202"/>
        <v>30300</v>
      </c>
      <c r="K95" s="33">
        <f t="shared" si="202"/>
        <v>31100</v>
      </c>
      <c r="L95" s="33">
        <f t="shared" si="202"/>
        <v>31900</v>
      </c>
      <c r="M95" s="33">
        <f t="shared" si="202"/>
        <v>32600</v>
      </c>
      <c r="N95" s="33">
        <f t="shared" si="202"/>
        <v>33300</v>
      </c>
      <c r="O95" s="33">
        <f t="shared" si="202"/>
        <v>34000</v>
      </c>
      <c r="P95" s="33">
        <f t="shared" si="202"/>
        <v>34700</v>
      </c>
      <c r="Q95" s="33">
        <f t="shared" ref="Q95" si="203">SUM(Q789:Q789)</f>
        <v>35400</v>
      </c>
      <c r="R95" s="114">
        <f t="shared" ref="R95" si="204">SUM(R789:R789)</f>
        <v>36200</v>
      </c>
    </row>
    <row r="96" spans="1:18" x14ac:dyDescent="0.2">
      <c r="A96" s="98"/>
      <c r="B96" s="33"/>
      <c r="E96" s="238"/>
      <c r="F96" s="1981"/>
      <c r="G96" s="187"/>
      <c r="H96" s="138"/>
      <c r="I96" s="33"/>
      <c r="J96" s="33"/>
      <c r="K96" s="33"/>
      <c r="L96" s="33"/>
      <c r="M96" s="33"/>
      <c r="N96" s="33"/>
      <c r="O96" s="33"/>
      <c r="P96" s="33"/>
      <c r="Q96" s="33"/>
      <c r="R96" s="114"/>
    </row>
    <row r="97" spans="1:18" x14ac:dyDescent="0.2">
      <c r="A97" s="98"/>
      <c r="B97" s="33"/>
      <c r="E97" s="238"/>
      <c r="F97" s="175" t="s">
        <v>2161</v>
      </c>
      <c r="G97" s="187"/>
      <c r="H97" s="138"/>
      <c r="I97" s="33"/>
      <c r="J97" s="33"/>
      <c r="K97" s="33"/>
      <c r="L97" s="33"/>
      <c r="M97" s="33"/>
      <c r="N97" s="33"/>
      <c r="O97" s="33"/>
      <c r="P97" s="33"/>
      <c r="Q97" s="33"/>
      <c r="R97" s="114"/>
    </row>
    <row r="98" spans="1:18" x14ac:dyDescent="0.2">
      <c r="A98" s="98">
        <f>ROUND(SUM(A790:A793),-3)</f>
        <v>13000</v>
      </c>
      <c r="B98" s="33">
        <f>SUM(B790:B793)</f>
        <v>5300</v>
      </c>
      <c r="C98" s="189">
        <f>SUM(C790:C793)</f>
        <v>22000</v>
      </c>
      <c r="D98" s="189">
        <f>SUM(D790:D793)</f>
        <v>7800</v>
      </c>
      <c r="E98" s="240">
        <v>32021</v>
      </c>
      <c r="F98" s="1981" t="s">
        <v>2052</v>
      </c>
      <c r="G98" s="187">
        <f>SUM(G790:G793)</f>
        <v>11400</v>
      </c>
      <c r="H98" s="138">
        <f>IF(D98=G98,0,IF(D98=0,100,(G98-D98)/D98*100))</f>
        <v>46.153846153846153</v>
      </c>
      <c r="I98" s="33">
        <f t="shared" ref="I98:Q98" si="205">SUM(I790:I793)</f>
        <v>11500</v>
      </c>
      <c r="J98" s="33">
        <f t="shared" si="205"/>
        <v>12000</v>
      </c>
      <c r="K98" s="33">
        <f t="shared" si="205"/>
        <v>12500</v>
      </c>
      <c r="L98" s="33">
        <f t="shared" si="205"/>
        <v>13000</v>
      </c>
      <c r="M98" s="33">
        <f t="shared" si="205"/>
        <v>13500</v>
      </c>
      <c r="N98" s="33">
        <f t="shared" si="205"/>
        <v>14000</v>
      </c>
      <c r="O98" s="33">
        <f t="shared" si="205"/>
        <v>14500</v>
      </c>
      <c r="P98" s="33">
        <f t="shared" si="205"/>
        <v>15000</v>
      </c>
      <c r="Q98" s="33">
        <f t="shared" si="205"/>
        <v>15500</v>
      </c>
      <c r="R98" s="114">
        <f t="shared" ref="R98" si="206">SUM(R790:R793)</f>
        <v>16000</v>
      </c>
    </row>
    <row r="99" spans="1:18" x14ac:dyDescent="0.2">
      <c r="A99" s="98">
        <f>ROUND(SUM(A794:A794),-3)</f>
        <v>41000</v>
      </c>
      <c r="B99" s="33">
        <f>SUM(B794:B794)</f>
        <v>50600</v>
      </c>
      <c r="C99" s="189">
        <f>SUM(C794:C794)</f>
        <v>62000</v>
      </c>
      <c r="D99" s="189">
        <f>SUM(D794:D794)</f>
        <v>72800</v>
      </c>
      <c r="E99" s="240">
        <v>32021</v>
      </c>
      <c r="F99" s="1952" t="s">
        <v>3104</v>
      </c>
      <c r="G99" s="187">
        <f t="shared" ref="G99:O99" si="207">SUM(G794:G794)</f>
        <v>79000</v>
      </c>
      <c r="H99" s="138">
        <f>IF(D99=G99,0,IF(D99=0,100,(G99-D99)/D99*100))</f>
        <v>8.5164835164835164</v>
      </c>
      <c r="I99" s="33">
        <f t="shared" si="207"/>
        <v>80200</v>
      </c>
      <c r="J99" s="33">
        <f t="shared" si="207"/>
        <v>82300</v>
      </c>
      <c r="K99" s="33">
        <f t="shared" si="207"/>
        <v>84400</v>
      </c>
      <c r="L99" s="33">
        <f t="shared" si="207"/>
        <v>86600</v>
      </c>
      <c r="M99" s="33">
        <f t="shared" si="207"/>
        <v>88400</v>
      </c>
      <c r="N99" s="33">
        <f t="shared" si="207"/>
        <v>90200</v>
      </c>
      <c r="O99" s="33">
        <f t="shared" si="207"/>
        <v>92100</v>
      </c>
      <c r="P99" s="33">
        <f t="shared" ref="P99:Q99" si="208">SUM(P794:P794)</f>
        <v>94000</v>
      </c>
      <c r="Q99" s="33">
        <f t="shared" si="208"/>
        <v>95900</v>
      </c>
      <c r="R99" s="114">
        <f t="shared" ref="R99" si="209">SUM(R794:R794)</f>
        <v>97900</v>
      </c>
    </row>
    <row r="100" spans="1:18" x14ac:dyDescent="0.2">
      <c r="A100" s="98"/>
      <c r="B100" s="33"/>
      <c r="E100" s="238"/>
      <c r="F100" s="346"/>
      <c r="G100" s="187"/>
      <c r="H100" s="138"/>
      <c r="I100" s="33"/>
      <c r="J100" s="33"/>
      <c r="K100" s="33"/>
      <c r="L100" s="33"/>
      <c r="M100" s="33"/>
      <c r="N100" s="33"/>
      <c r="O100" s="33"/>
      <c r="P100" s="33"/>
      <c r="Q100" s="33"/>
      <c r="R100" s="114"/>
    </row>
    <row r="101" spans="1:18" x14ac:dyDescent="0.2">
      <c r="A101" s="98"/>
      <c r="B101" s="33"/>
      <c r="E101" s="240"/>
      <c r="F101" s="243" t="s">
        <v>2685</v>
      </c>
      <c r="G101" s="187"/>
      <c r="H101" s="138"/>
      <c r="I101" s="33"/>
      <c r="J101" s="33"/>
      <c r="K101" s="33"/>
      <c r="L101" s="33"/>
      <c r="M101" s="33"/>
      <c r="N101" s="33"/>
      <c r="O101" s="33"/>
      <c r="P101" s="33"/>
      <c r="Q101" s="33"/>
      <c r="R101" s="114"/>
    </row>
    <row r="102" spans="1:18" x14ac:dyDescent="0.2">
      <c r="A102" s="98">
        <f>ROUND(A796,-3)</f>
        <v>18000</v>
      </c>
      <c r="B102" s="33">
        <f t="shared" ref="B102:D103" si="210">B796</f>
        <v>0</v>
      </c>
      <c r="C102" s="189">
        <f t="shared" si="210"/>
        <v>99900</v>
      </c>
      <c r="D102" s="189">
        <f t="shared" si="210"/>
        <v>101500</v>
      </c>
      <c r="E102" s="1955">
        <v>32021</v>
      </c>
      <c r="F102" s="1981" t="s">
        <v>763</v>
      </c>
      <c r="G102" s="187">
        <f t="shared" ref="G102:O102" si="211">G796</f>
        <v>100000</v>
      </c>
      <c r="H102" s="138">
        <f>IF(D102=G102,0,IF(D102=0,100,(G102-D102)/D102*100))</f>
        <v>-1.4778325123152709</v>
      </c>
      <c r="I102" s="33">
        <f t="shared" si="211"/>
        <v>102000</v>
      </c>
      <c r="J102" s="33">
        <f t="shared" si="211"/>
        <v>104100</v>
      </c>
      <c r="K102" s="33">
        <f t="shared" si="211"/>
        <v>106200</v>
      </c>
      <c r="L102" s="33">
        <f t="shared" si="211"/>
        <v>108400</v>
      </c>
      <c r="M102" s="33">
        <f t="shared" si="211"/>
        <v>110600</v>
      </c>
      <c r="N102" s="33">
        <f t="shared" si="211"/>
        <v>112900</v>
      </c>
      <c r="O102" s="33">
        <f t="shared" si="211"/>
        <v>115200</v>
      </c>
      <c r="P102" s="33">
        <f t="shared" ref="P102:Q102" si="212">P796</f>
        <v>117600</v>
      </c>
      <c r="Q102" s="33">
        <f t="shared" si="212"/>
        <v>120000</v>
      </c>
      <c r="R102" s="114">
        <f t="shared" ref="R102" si="213">R796</f>
        <v>122400</v>
      </c>
    </row>
    <row r="103" spans="1:18" x14ac:dyDescent="0.2">
      <c r="A103" s="98">
        <f>ROUND(A797,-3)</f>
        <v>173000</v>
      </c>
      <c r="B103" s="33">
        <f t="shared" si="210"/>
        <v>700</v>
      </c>
      <c r="C103" s="189">
        <f t="shared" si="210"/>
        <v>0</v>
      </c>
      <c r="D103" s="189">
        <f t="shared" si="210"/>
        <v>0</v>
      </c>
      <c r="E103" s="240">
        <v>32021</v>
      </c>
      <c r="F103" s="346" t="s">
        <v>2787</v>
      </c>
      <c r="G103" s="187">
        <f t="shared" ref="G103:O103" si="214">G797</f>
        <v>0</v>
      </c>
      <c r="H103" s="138">
        <f>IF(D103=G103,0,IF(D103=0,100,(G103-D103)/D103*100))</f>
        <v>0</v>
      </c>
      <c r="I103" s="33">
        <f t="shared" si="214"/>
        <v>0</v>
      </c>
      <c r="J103" s="33">
        <f t="shared" si="214"/>
        <v>0</v>
      </c>
      <c r="K103" s="33">
        <f t="shared" si="214"/>
        <v>0</v>
      </c>
      <c r="L103" s="33">
        <f t="shared" si="214"/>
        <v>0</v>
      </c>
      <c r="M103" s="33">
        <f t="shared" si="214"/>
        <v>0</v>
      </c>
      <c r="N103" s="33">
        <f t="shared" si="214"/>
        <v>0</v>
      </c>
      <c r="O103" s="33">
        <f t="shared" si="214"/>
        <v>0</v>
      </c>
      <c r="P103" s="33">
        <f t="shared" ref="P103:Q103" si="215">P797</f>
        <v>0</v>
      </c>
      <c r="Q103" s="33">
        <f t="shared" si="215"/>
        <v>0</v>
      </c>
      <c r="R103" s="114">
        <f t="shared" ref="R103" si="216">R797</f>
        <v>0</v>
      </c>
    </row>
    <row r="104" spans="1:18" ht="13.5" thickBot="1" x14ac:dyDescent="0.25">
      <c r="A104" s="98"/>
      <c r="B104" s="33"/>
      <c r="E104" s="240"/>
      <c r="F104" s="1981"/>
      <c r="G104" s="2604"/>
      <c r="H104" s="138"/>
      <c r="I104" s="33"/>
      <c r="J104" s="33"/>
      <c r="K104" s="33"/>
      <c r="L104" s="33"/>
      <c r="M104" s="33"/>
      <c r="N104" s="33"/>
      <c r="O104" s="33"/>
      <c r="P104" s="33"/>
      <c r="Q104" s="33"/>
      <c r="R104" s="114"/>
    </row>
    <row r="105" spans="1:18" s="92" customFormat="1" x14ac:dyDescent="0.2">
      <c r="A105" s="752">
        <f>SUM(A86:A104)</f>
        <v>2423000</v>
      </c>
      <c r="B105" s="53">
        <f>SUM(B86:B104)</f>
        <v>2053400</v>
      </c>
      <c r="C105" s="53">
        <f>SUM(C86:C104)</f>
        <v>2505100</v>
      </c>
      <c r="D105" s="53">
        <f>SUM(D86:D104)</f>
        <v>2621900</v>
      </c>
      <c r="E105" s="1990"/>
      <c r="F105" s="112" t="s">
        <v>565</v>
      </c>
      <c r="G105" s="53">
        <f t="shared" ref="G105:P105" si="217">SUM(G86:G104)</f>
        <v>2669400</v>
      </c>
      <c r="H105" s="180">
        <f>IF(D105=G105,0,IF(D105=0,100,(G105-D105)/D105*100))</f>
        <v>1.8116632976086047</v>
      </c>
      <c r="I105" s="53">
        <f t="shared" si="217"/>
        <v>2705100</v>
      </c>
      <c r="J105" s="53">
        <f t="shared" si="217"/>
        <v>2773100</v>
      </c>
      <c r="K105" s="53">
        <f t="shared" si="217"/>
        <v>2842800</v>
      </c>
      <c r="L105" s="53">
        <f t="shared" si="217"/>
        <v>2914400</v>
      </c>
      <c r="M105" s="53">
        <f t="shared" si="217"/>
        <v>2985800</v>
      </c>
      <c r="N105" s="53">
        <f t="shared" si="217"/>
        <v>3058900</v>
      </c>
      <c r="O105" s="53">
        <f t="shared" si="217"/>
        <v>3133600</v>
      </c>
      <c r="P105" s="53">
        <f t="shared" si="217"/>
        <v>3210000</v>
      </c>
      <c r="Q105" s="53">
        <f t="shared" ref="Q105" si="218">SUM(Q86:Q104)</f>
        <v>3288100</v>
      </c>
      <c r="R105" s="113">
        <f t="shared" ref="R105" si="219">SUM(R86:R104)</f>
        <v>3368400</v>
      </c>
    </row>
    <row r="106" spans="1:18" x14ac:dyDescent="0.2">
      <c r="A106" s="98"/>
      <c r="B106" s="33"/>
      <c r="E106" s="1955"/>
      <c r="F106" s="1981"/>
      <c r="G106" s="187"/>
      <c r="H106" s="138"/>
      <c r="I106" s="33"/>
      <c r="J106" s="33"/>
      <c r="K106" s="33"/>
      <c r="L106" s="33"/>
      <c r="M106" s="33"/>
      <c r="N106" s="33"/>
      <c r="O106" s="33"/>
      <c r="P106" s="33"/>
      <c r="Q106" s="33"/>
      <c r="R106" s="114"/>
    </row>
    <row r="107" spans="1:18" s="92" customFormat="1" x14ac:dyDescent="0.2">
      <c r="A107" s="751">
        <f>A81-A105</f>
        <v>-2063000</v>
      </c>
      <c r="B107" s="64">
        <f>B81-B105</f>
        <v>-1745100</v>
      </c>
      <c r="C107" s="193">
        <f>C81-C105</f>
        <v>-2183300</v>
      </c>
      <c r="D107" s="193">
        <f>D81-D105</f>
        <v>-2367500</v>
      </c>
      <c r="E107" s="237"/>
      <c r="F107" s="516" t="s">
        <v>1019</v>
      </c>
      <c r="G107" s="197">
        <f t="shared" ref="G107:P107" si="220">G81-G105</f>
        <v>-2380900</v>
      </c>
      <c r="H107" s="179">
        <f>IF(D107=G107,0,IF(D107=0,100,(G107-D107)/D107*100))</f>
        <v>0.56599788806758178</v>
      </c>
      <c r="I107" s="64">
        <f t="shared" si="220"/>
        <v>-2434500</v>
      </c>
      <c r="J107" s="64">
        <f t="shared" si="220"/>
        <v>-2495300</v>
      </c>
      <c r="K107" s="64">
        <f t="shared" si="220"/>
        <v>-2557500</v>
      </c>
      <c r="L107" s="64">
        <f t="shared" si="220"/>
        <v>-2621400</v>
      </c>
      <c r="M107" s="64">
        <f t="shared" si="220"/>
        <v>-2686400</v>
      </c>
      <c r="N107" s="64">
        <f t="shared" si="220"/>
        <v>-2753000</v>
      </c>
      <c r="O107" s="64">
        <f t="shared" si="220"/>
        <v>-2821100</v>
      </c>
      <c r="P107" s="64">
        <f t="shared" si="220"/>
        <v>-2890800</v>
      </c>
      <c r="Q107" s="64">
        <f t="shared" ref="Q107" si="221">Q81-Q105</f>
        <v>-2962100</v>
      </c>
      <c r="R107" s="115">
        <f t="shared" ref="R107" si="222">R81-R105</f>
        <v>-3035500</v>
      </c>
    </row>
    <row r="108" spans="1:18" x14ac:dyDescent="0.2">
      <c r="A108" s="98">
        <f>ROUND(SUM(A102:A103),-3)</f>
        <v>191000</v>
      </c>
      <c r="B108" s="33">
        <f>SUM(B102:B103)</f>
        <v>700</v>
      </c>
      <c r="C108" s="189">
        <f>SUM(C102:C103)</f>
        <v>99900</v>
      </c>
      <c r="D108" s="189">
        <f>SUM(D102:D103)</f>
        <v>101500</v>
      </c>
      <c r="E108" s="1955"/>
      <c r="F108" s="604" t="s">
        <v>1976</v>
      </c>
      <c r="G108" s="198">
        <f t="shared" ref="G108:O108" si="223">SUM(G102:G103)</f>
        <v>100000</v>
      </c>
      <c r="H108" s="138">
        <f>IF(D108=G108,0,IF(D108=0,100,(G108-D108)/D108*100))</f>
        <v>-1.4778325123152709</v>
      </c>
      <c r="I108" s="33">
        <f t="shared" si="223"/>
        <v>102000</v>
      </c>
      <c r="J108" s="33">
        <f t="shared" si="223"/>
        <v>104100</v>
      </c>
      <c r="K108" s="33">
        <f t="shared" si="223"/>
        <v>106200</v>
      </c>
      <c r="L108" s="33">
        <f t="shared" si="223"/>
        <v>108400</v>
      </c>
      <c r="M108" s="33">
        <f t="shared" si="223"/>
        <v>110600</v>
      </c>
      <c r="N108" s="33">
        <f t="shared" si="223"/>
        <v>112900</v>
      </c>
      <c r="O108" s="33">
        <f t="shared" si="223"/>
        <v>115200</v>
      </c>
      <c r="P108" s="33">
        <f t="shared" ref="P108:Q108" si="224">SUM(P102:P103)</f>
        <v>117600</v>
      </c>
      <c r="Q108" s="33">
        <f t="shared" si="224"/>
        <v>120000</v>
      </c>
      <c r="R108" s="114">
        <f t="shared" ref="R108" si="225">SUM(R102:R103)</f>
        <v>122400</v>
      </c>
    </row>
    <row r="109" spans="1:18" s="92" customFormat="1" x14ac:dyDescent="0.2">
      <c r="A109" s="750">
        <f>A107+A108</f>
        <v>-1872000</v>
      </c>
      <c r="B109" s="397">
        <f>B107+B108</f>
        <v>-1744400</v>
      </c>
      <c r="C109" s="397">
        <f>C107+C108</f>
        <v>-2083400</v>
      </c>
      <c r="D109" s="397">
        <f>D107+D108</f>
        <v>-2266000</v>
      </c>
      <c r="E109" s="523"/>
      <c r="F109" s="515" t="s">
        <v>1687</v>
      </c>
      <c r="G109" s="709">
        <f t="shared" ref="G109:O109" si="226">G107+G108</f>
        <v>-2280900</v>
      </c>
      <c r="H109" s="395">
        <f>IF(D109=G109,0,IF(D109=0,100,(G109-D109)/D109*100))</f>
        <v>0.6575463371579876</v>
      </c>
      <c r="I109" s="397">
        <f t="shared" si="226"/>
        <v>-2332500</v>
      </c>
      <c r="J109" s="397">
        <f t="shared" si="226"/>
        <v>-2391200</v>
      </c>
      <c r="K109" s="397">
        <f t="shared" si="226"/>
        <v>-2451300</v>
      </c>
      <c r="L109" s="397">
        <f t="shared" si="226"/>
        <v>-2513000</v>
      </c>
      <c r="M109" s="397">
        <f t="shared" si="226"/>
        <v>-2575800</v>
      </c>
      <c r="N109" s="397">
        <f t="shared" si="226"/>
        <v>-2640100</v>
      </c>
      <c r="O109" s="397">
        <f t="shared" si="226"/>
        <v>-2705900</v>
      </c>
      <c r="P109" s="397">
        <f t="shared" ref="P109:Q109" si="227">P107+P108</f>
        <v>-2773200</v>
      </c>
      <c r="Q109" s="397">
        <f t="shared" si="227"/>
        <v>-2842100</v>
      </c>
      <c r="R109" s="399">
        <f t="shared" ref="R109" si="228">R107+R108</f>
        <v>-2913100</v>
      </c>
    </row>
    <row r="110" spans="1:18" ht="13.5" thickBot="1" x14ac:dyDescent="0.25">
      <c r="A110" s="751"/>
      <c r="B110" s="64"/>
      <c r="C110" s="192"/>
      <c r="D110" s="192"/>
      <c r="E110" s="1954"/>
      <c r="F110" s="371"/>
      <c r="G110" s="197"/>
      <c r="H110" s="179"/>
      <c r="I110" s="33"/>
      <c r="J110" s="33"/>
      <c r="K110" s="33"/>
      <c r="L110" s="33"/>
      <c r="M110" s="33"/>
      <c r="N110" s="33"/>
      <c r="O110" s="33"/>
      <c r="P110" s="33"/>
      <c r="Q110" s="33"/>
      <c r="R110" s="114"/>
    </row>
    <row r="111" spans="1:18" ht="13.5" thickTop="1" x14ac:dyDescent="0.2">
      <c r="A111" s="2498"/>
      <c r="B111" s="162"/>
      <c r="C111" s="194"/>
      <c r="D111" s="194"/>
      <c r="E111" s="541"/>
      <c r="F111" s="367"/>
      <c r="G111" s="196"/>
      <c r="H111" s="505"/>
      <c r="I111" s="127"/>
      <c r="J111" s="127"/>
      <c r="K111" s="127"/>
      <c r="L111" s="127"/>
      <c r="M111" s="127"/>
      <c r="N111" s="127"/>
      <c r="O111" s="127"/>
      <c r="P111" s="127"/>
      <c r="Q111" s="127"/>
      <c r="R111" s="163"/>
    </row>
    <row r="112" spans="1:18" x14ac:dyDescent="0.2">
      <c r="A112" s="751"/>
      <c r="B112" s="64"/>
      <c r="C112" s="193"/>
      <c r="D112" s="193"/>
      <c r="E112" s="238"/>
      <c r="F112" s="516" t="s">
        <v>196</v>
      </c>
      <c r="G112" s="197"/>
      <c r="H112" s="179"/>
      <c r="I112" s="33"/>
      <c r="J112" s="33"/>
      <c r="K112" s="33"/>
      <c r="L112" s="33"/>
      <c r="M112" s="33"/>
      <c r="N112" s="33"/>
      <c r="O112" s="33"/>
      <c r="P112" s="33"/>
      <c r="Q112" s="33"/>
      <c r="R112" s="114"/>
    </row>
    <row r="113" spans="1:18" x14ac:dyDescent="0.2">
      <c r="A113" s="751"/>
      <c r="B113" s="64"/>
      <c r="C113" s="193"/>
      <c r="D113" s="193"/>
      <c r="E113" s="238"/>
      <c r="F113" s="371"/>
      <c r="G113" s="197"/>
      <c r="H113" s="179"/>
      <c r="I113" s="33"/>
      <c r="J113" s="33"/>
      <c r="K113" s="33"/>
      <c r="L113" s="33"/>
      <c r="M113" s="33"/>
      <c r="N113" s="33"/>
      <c r="O113" s="33"/>
      <c r="P113" s="33"/>
      <c r="Q113" s="33"/>
      <c r="R113" s="114"/>
    </row>
    <row r="114" spans="1:18" x14ac:dyDescent="0.2">
      <c r="A114" s="98">
        <f t="shared" ref="A114:A118" si="229">ROUND(A807,-3)</f>
        <v>0</v>
      </c>
      <c r="B114" s="33">
        <f t="shared" ref="B114:C118" si="230">B807</f>
        <v>0</v>
      </c>
      <c r="C114" s="189">
        <f t="shared" si="230"/>
        <v>0</v>
      </c>
      <c r="D114" s="189">
        <f>D807</f>
        <v>0</v>
      </c>
      <c r="E114" s="238"/>
      <c r="F114" s="366" t="s">
        <v>2900</v>
      </c>
      <c r="G114" s="198">
        <f t="shared" ref="G114:O114" si="231">G807</f>
        <v>0</v>
      </c>
      <c r="H114" s="138"/>
      <c r="I114" s="33">
        <f t="shared" si="231"/>
        <v>0</v>
      </c>
      <c r="J114" s="33">
        <f t="shared" si="231"/>
        <v>0</v>
      </c>
      <c r="K114" s="33">
        <f t="shared" si="231"/>
        <v>0</v>
      </c>
      <c r="L114" s="33">
        <f t="shared" si="231"/>
        <v>0</v>
      </c>
      <c r="M114" s="33">
        <f t="shared" si="231"/>
        <v>0</v>
      </c>
      <c r="N114" s="33">
        <f t="shared" si="231"/>
        <v>0</v>
      </c>
      <c r="O114" s="33">
        <f t="shared" si="231"/>
        <v>0</v>
      </c>
      <c r="P114" s="33">
        <f t="shared" ref="P114:Q114" si="232">P807</f>
        <v>0</v>
      </c>
      <c r="Q114" s="33">
        <f t="shared" si="232"/>
        <v>0</v>
      </c>
      <c r="R114" s="114">
        <f t="shared" ref="R114" si="233">R807</f>
        <v>0</v>
      </c>
    </row>
    <row r="115" spans="1:18" x14ac:dyDescent="0.2">
      <c r="A115" s="98">
        <f t="shared" si="229"/>
        <v>0</v>
      </c>
      <c r="B115" s="33">
        <f t="shared" si="230"/>
        <v>74500</v>
      </c>
      <c r="C115" s="189">
        <f t="shared" si="230"/>
        <v>27700</v>
      </c>
      <c r="D115" s="189">
        <f>D808</f>
        <v>27000</v>
      </c>
      <c r="E115" s="238"/>
      <c r="F115" s="366" t="s">
        <v>1942</v>
      </c>
      <c r="G115" s="198">
        <f t="shared" ref="G115:O115" si="234">G808</f>
        <v>10000</v>
      </c>
      <c r="H115" s="138"/>
      <c r="I115" s="33">
        <f t="shared" si="234"/>
        <v>10000</v>
      </c>
      <c r="J115" s="33">
        <f t="shared" si="234"/>
        <v>10000</v>
      </c>
      <c r="K115" s="33">
        <f t="shared" si="234"/>
        <v>10000</v>
      </c>
      <c r="L115" s="33">
        <f t="shared" si="234"/>
        <v>10000</v>
      </c>
      <c r="M115" s="33">
        <f t="shared" si="234"/>
        <v>10000</v>
      </c>
      <c r="N115" s="33">
        <f t="shared" si="234"/>
        <v>10000</v>
      </c>
      <c r="O115" s="33">
        <f t="shared" si="234"/>
        <v>10000</v>
      </c>
      <c r="P115" s="33">
        <f t="shared" ref="P115:Q115" si="235">P808</f>
        <v>10000</v>
      </c>
      <c r="Q115" s="33">
        <f t="shared" si="235"/>
        <v>10000</v>
      </c>
      <c r="R115" s="114">
        <f t="shared" ref="R115" si="236">R808</f>
        <v>10000</v>
      </c>
    </row>
    <row r="116" spans="1:18" x14ac:dyDescent="0.2">
      <c r="A116" s="98">
        <f t="shared" si="229"/>
        <v>0</v>
      </c>
      <c r="B116" s="33">
        <f t="shared" si="230"/>
        <v>133000</v>
      </c>
      <c r="C116" s="189">
        <f t="shared" si="230"/>
        <v>12100</v>
      </c>
      <c r="D116" s="189">
        <f>D809</f>
        <v>0</v>
      </c>
      <c r="E116" s="238"/>
      <c r="F116" s="366" t="s">
        <v>2348</v>
      </c>
      <c r="G116" s="198">
        <f t="shared" ref="G116:O116" si="237">G809</f>
        <v>0</v>
      </c>
      <c r="H116" s="138"/>
      <c r="I116" s="33">
        <f t="shared" si="237"/>
        <v>0</v>
      </c>
      <c r="J116" s="33">
        <f t="shared" si="237"/>
        <v>0</v>
      </c>
      <c r="K116" s="33">
        <f t="shared" si="237"/>
        <v>0</v>
      </c>
      <c r="L116" s="33">
        <f t="shared" si="237"/>
        <v>0</v>
      </c>
      <c r="M116" s="33">
        <f t="shared" si="237"/>
        <v>60000</v>
      </c>
      <c r="N116" s="33">
        <f t="shared" si="237"/>
        <v>0</v>
      </c>
      <c r="O116" s="33">
        <f t="shared" si="237"/>
        <v>0</v>
      </c>
      <c r="P116" s="33">
        <f t="shared" ref="P116:Q116" si="238">P809</f>
        <v>0</v>
      </c>
      <c r="Q116" s="33">
        <f t="shared" si="238"/>
        <v>0</v>
      </c>
      <c r="R116" s="114">
        <f t="shared" ref="R116" si="239">R809</f>
        <v>0</v>
      </c>
    </row>
    <row r="117" spans="1:18" x14ac:dyDescent="0.2">
      <c r="A117" s="98">
        <f t="shared" si="229"/>
        <v>0</v>
      </c>
      <c r="B117" s="33">
        <f t="shared" si="230"/>
        <v>0</v>
      </c>
      <c r="C117" s="189">
        <f t="shared" si="230"/>
        <v>0</v>
      </c>
      <c r="D117" s="189">
        <f>D810</f>
        <v>0</v>
      </c>
      <c r="E117" s="238"/>
      <c r="F117" s="366" t="s">
        <v>5984</v>
      </c>
      <c r="G117" s="198">
        <f t="shared" ref="G117:O117" si="240">G810</f>
        <v>0</v>
      </c>
      <c r="H117" s="138"/>
      <c r="I117" s="33">
        <f t="shared" si="240"/>
        <v>0</v>
      </c>
      <c r="J117" s="33">
        <f t="shared" si="240"/>
        <v>0</v>
      </c>
      <c r="K117" s="33">
        <f t="shared" si="240"/>
        <v>0</v>
      </c>
      <c r="L117" s="33">
        <f t="shared" si="240"/>
        <v>0</v>
      </c>
      <c r="M117" s="33">
        <f t="shared" si="240"/>
        <v>0</v>
      </c>
      <c r="N117" s="33">
        <f t="shared" si="240"/>
        <v>0</v>
      </c>
      <c r="O117" s="33">
        <f t="shared" si="240"/>
        <v>0</v>
      </c>
      <c r="P117" s="33">
        <f t="shared" ref="P117:Q117" si="241">P810</f>
        <v>0</v>
      </c>
      <c r="Q117" s="33">
        <f t="shared" si="241"/>
        <v>0</v>
      </c>
      <c r="R117" s="114">
        <f t="shared" ref="R117" si="242">R810</f>
        <v>0</v>
      </c>
    </row>
    <row r="118" spans="1:18" x14ac:dyDescent="0.2">
      <c r="A118" s="98">
        <f t="shared" si="229"/>
        <v>0</v>
      </c>
      <c r="B118" s="33">
        <f t="shared" si="230"/>
        <v>0</v>
      </c>
      <c r="C118" s="189">
        <f t="shared" si="230"/>
        <v>0</v>
      </c>
      <c r="D118" s="189">
        <f>D811</f>
        <v>121100</v>
      </c>
      <c r="E118" s="238"/>
      <c r="F118" s="366" t="s">
        <v>972</v>
      </c>
      <c r="G118" s="198">
        <f t="shared" ref="G118:O118" si="243">G811</f>
        <v>0</v>
      </c>
      <c r="H118" s="138"/>
      <c r="I118" s="33">
        <f t="shared" si="243"/>
        <v>0</v>
      </c>
      <c r="J118" s="33">
        <f t="shared" si="243"/>
        <v>0</v>
      </c>
      <c r="K118" s="33">
        <f t="shared" si="243"/>
        <v>0</v>
      </c>
      <c r="L118" s="33">
        <f t="shared" si="243"/>
        <v>60000</v>
      </c>
      <c r="M118" s="33">
        <f t="shared" si="243"/>
        <v>0</v>
      </c>
      <c r="N118" s="33">
        <f t="shared" si="243"/>
        <v>0</v>
      </c>
      <c r="O118" s="33">
        <f t="shared" si="243"/>
        <v>0</v>
      </c>
      <c r="P118" s="33">
        <f t="shared" ref="P118:Q118" si="244">P811</f>
        <v>0</v>
      </c>
      <c r="Q118" s="33">
        <f t="shared" si="244"/>
        <v>70000</v>
      </c>
      <c r="R118" s="114">
        <f t="shared" ref="R118" si="245">R811</f>
        <v>0</v>
      </c>
    </row>
    <row r="119" spans="1:18" x14ac:dyDescent="0.2">
      <c r="A119" s="98"/>
      <c r="B119" s="33"/>
      <c r="E119" s="238"/>
      <c r="F119" s="516"/>
      <c r="G119" s="198"/>
      <c r="H119" s="138"/>
      <c r="I119" s="33"/>
      <c r="J119" s="33"/>
      <c r="K119" s="33"/>
      <c r="L119" s="33"/>
      <c r="M119" s="33"/>
      <c r="N119" s="33"/>
      <c r="O119" s="33"/>
      <c r="P119" s="33"/>
      <c r="Q119" s="33"/>
      <c r="R119" s="114"/>
    </row>
    <row r="120" spans="1:18" s="92" customFormat="1" x14ac:dyDescent="0.2">
      <c r="A120" s="750">
        <f>A109-A114-A115+A116+A117-A118</f>
        <v>-1872000</v>
      </c>
      <c r="B120" s="397">
        <f>B109-B114-B115+B116+B117-B118</f>
        <v>-1685900</v>
      </c>
      <c r="C120" s="398">
        <f>C109-C114-C115+C116+C117-C118</f>
        <v>-2099000</v>
      </c>
      <c r="D120" s="398">
        <f>D109-D114-D115+D116+D117-D118</f>
        <v>-2414100</v>
      </c>
      <c r="E120" s="526"/>
      <c r="F120" s="518" t="s">
        <v>2490</v>
      </c>
      <c r="G120" s="2605">
        <f t="shared" ref="G120:O120" si="246">G109-G114-G115+G116+G117-G118</f>
        <v>-2290900</v>
      </c>
      <c r="H120" s="395">
        <f>IF(D120=G120,0,IF(D120=0,100,(G120-D120)/D120*100))</f>
        <v>-5.1033511453543765</v>
      </c>
      <c r="I120" s="397">
        <f t="shared" si="246"/>
        <v>-2342500</v>
      </c>
      <c r="J120" s="397">
        <f t="shared" si="246"/>
        <v>-2401200</v>
      </c>
      <c r="K120" s="397">
        <f t="shared" si="246"/>
        <v>-2461300</v>
      </c>
      <c r="L120" s="397">
        <f t="shared" si="246"/>
        <v>-2583000</v>
      </c>
      <c r="M120" s="397">
        <f t="shared" si="246"/>
        <v>-2525800</v>
      </c>
      <c r="N120" s="397">
        <f t="shared" si="246"/>
        <v>-2650100</v>
      </c>
      <c r="O120" s="397">
        <f t="shared" si="246"/>
        <v>-2715900</v>
      </c>
      <c r="P120" s="397">
        <f t="shared" ref="P120:Q120" si="247">P109-P114-P115+P116+P117-P118</f>
        <v>-2783200</v>
      </c>
      <c r="Q120" s="397">
        <f t="shared" si="247"/>
        <v>-2922100</v>
      </c>
      <c r="R120" s="399">
        <f t="shared" ref="R120" si="248">R109-R114-R115+R116+R117-R118</f>
        <v>-2923100</v>
      </c>
    </row>
    <row r="121" spans="1:18" ht="13.5" thickBot="1" x14ac:dyDescent="0.25">
      <c r="A121" s="614"/>
      <c r="B121" s="90"/>
      <c r="C121" s="195"/>
      <c r="D121" s="195"/>
      <c r="E121" s="239"/>
      <c r="F121" s="368"/>
      <c r="G121" s="2502"/>
      <c r="H121" s="392"/>
      <c r="I121" s="66"/>
      <c r="J121" s="66"/>
      <c r="K121" s="66"/>
      <c r="L121" s="66"/>
      <c r="M121" s="66"/>
      <c r="N121" s="66"/>
      <c r="O121" s="66"/>
      <c r="P121" s="66"/>
      <c r="Q121" s="66"/>
      <c r="R121" s="165"/>
    </row>
    <row r="122" spans="1:18" ht="14.25" thickTop="1" thickBot="1" x14ac:dyDescent="0.25">
      <c r="A122" s="74"/>
      <c r="B122" s="74"/>
      <c r="C122" s="74"/>
      <c r="D122" s="74"/>
      <c r="E122" s="279"/>
      <c r="F122" s="74"/>
      <c r="G122" s="74"/>
      <c r="H122" s="2507"/>
      <c r="I122" s="74"/>
      <c r="J122" s="74"/>
      <c r="K122" s="99"/>
      <c r="L122" s="99"/>
      <c r="M122" s="99"/>
      <c r="N122" s="99"/>
      <c r="O122" s="99"/>
      <c r="P122" s="99"/>
      <c r="Q122" s="99"/>
      <c r="R122" s="99"/>
    </row>
    <row r="123" spans="1:18" s="91" customFormat="1" ht="18.75" customHeight="1" thickTop="1" thickBot="1" x14ac:dyDescent="0.3">
      <c r="A123" s="2865" t="s">
        <v>3869</v>
      </c>
      <c r="B123" s="2866"/>
      <c r="C123" s="2866"/>
      <c r="D123" s="2866"/>
      <c r="E123" s="2866"/>
      <c r="F123" s="2866"/>
      <c r="G123" s="2866"/>
      <c r="H123" s="2866"/>
      <c r="I123" s="2866"/>
      <c r="J123" s="2866"/>
      <c r="K123" s="2866"/>
      <c r="L123" s="2866"/>
      <c r="M123" s="2866"/>
      <c r="N123" s="2866"/>
      <c r="O123" s="2866"/>
      <c r="P123" s="2866"/>
      <c r="Q123" s="2866"/>
      <c r="R123" s="2867"/>
    </row>
    <row r="124" spans="1:18" s="44" customFormat="1" x14ac:dyDescent="0.2">
      <c r="A124" s="2848" t="s">
        <v>1856</v>
      </c>
      <c r="B124" s="2840"/>
      <c r="C124" s="2840"/>
      <c r="D124" s="2849"/>
      <c r="E124" s="369" t="s">
        <v>2663</v>
      </c>
      <c r="F124" s="2649" t="s">
        <v>2251</v>
      </c>
      <c r="G124" s="2885" t="s">
        <v>2253</v>
      </c>
      <c r="H124" s="2886"/>
      <c r="I124" s="2886"/>
      <c r="J124" s="2886"/>
      <c r="K124" s="2886"/>
      <c r="L124" s="2886"/>
      <c r="M124" s="2886"/>
      <c r="N124" s="2886"/>
      <c r="O124" s="2886"/>
      <c r="P124" s="2886"/>
      <c r="Q124" s="2886"/>
      <c r="R124" s="2887"/>
    </row>
    <row r="125" spans="1:18" s="23" customFormat="1" ht="12.75" customHeight="1" thickBot="1" x14ac:dyDescent="0.25">
      <c r="A125" s="208" t="str">
        <f t="shared" ref="A125:E125" si="249">A72</f>
        <v>2012/13</v>
      </c>
      <c r="B125" s="75" t="str">
        <f t="shared" si="249"/>
        <v>2013/14</v>
      </c>
      <c r="C125" s="370" t="str">
        <f t="shared" si="249"/>
        <v>2014/15</v>
      </c>
      <c r="D125" s="93" t="str">
        <f>D72</f>
        <v>2015/16</v>
      </c>
      <c r="E125" s="370" t="str">
        <f t="shared" si="249"/>
        <v>ACCOUNT</v>
      </c>
      <c r="F125" s="42"/>
      <c r="G125" s="93" t="str">
        <f t="shared" ref="G125:P125" si="250">G72</f>
        <v>2016/17</v>
      </c>
      <c r="H125" s="2193" t="str">
        <f t="shared" ref="H125" si="251">H72</f>
        <v xml:space="preserve">% </v>
      </c>
      <c r="I125" s="370" t="str">
        <f t="shared" si="250"/>
        <v>2017/18</v>
      </c>
      <c r="J125" s="370" t="str">
        <f t="shared" si="250"/>
        <v>2018/19</v>
      </c>
      <c r="K125" s="370" t="str">
        <f t="shared" si="250"/>
        <v>2019/20</v>
      </c>
      <c r="L125" s="370" t="str">
        <f t="shared" si="250"/>
        <v>2020/21</v>
      </c>
      <c r="M125" s="370" t="str">
        <f t="shared" si="250"/>
        <v>2021/22</v>
      </c>
      <c r="N125" s="370" t="str">
        <f t="shared" si="250"/>
        <v>2022/23</v>
      </c>
      <c r="O125" s="370" t="str">
        <f t="shared" si="250"/>
        <v>2023/24</v>
      </c>
      <c r="P125" s="381" t="str">
        <f t="shared" si="250"/>
        <v>2024/25</v>
      </c>
      <c r="Q125" s="218" t="str">
        <f t="shared" ref="Q125" si="252">Q72</f>
        <v>2025/26</v>
      </c>
      <c r="R125" s="549" t="str">
        <f t="shared" ref="R125" si="253">R72</f>
        <v>2026/27</v>
      </c>
    </row>
    <row r="126" spans="1:18" s="23" customFormat="1" x14ac:dyDescent="0.2">
      <c r="A126" s="2645"/>
      <c r="B126" s="529"/>
      <c r="C126" s="529"/>
      <c r="D126" s="204"/>
      <c r="E126" s="391"/>
      <c r="F126" s="22"/>
      <c r="G126" s="204"/>
      <c r="H126" s="2416"/>
      <c r="I126" s="529"/>
      <c r="J126" s="529"/>
      <c r="K126" s="529"/>
      <c r="L126" s="529"/>
      <c r="M126" s="529"/>
      <c r="N126" s="529"/>
      <c r="O126" s="513"/>
      <c r="P126" s="2212"/>
      <c r="Q126" s="513"/>
      <c r="R126" s="1710"/>
    </row>
    <row r="127" spans="1:18" x14ac:dyDescent="0.2">
      <c r="A127" s="98"/>
      <c r="B127" s="33"/>
      <c r="C127" s="187"/>
      <c r="D127" s="187"/>
      <c r="E127" s="240"/>
      <c r="F127" s="144" t="s">
        <v>1073</v>
      </c>
      <c r="G127" s="187"/>
      <c r="H127" s="138"/>
      <c r="I127" s="33"/>
      <c r="J127" s="33"/>
      <c r="K127" s="33"/>
      <c r="L127" s="33"/>
      <c r="M127" s="33"/>
      <c r="N127" s="33"/>
      <c r="O127" s="33"/>
      <c r="P127" s="142"/>
      <c r="Q127" s="33"/>
      <c r="R127" s="114"/>
    </row>
    <row r="128" spans="1:18" x14ac:dyDescent="0.2">
      <c r="A128" s="98"/>
      <c r="B128" s="33"/>
      <c r="C128" s="187"/>
      <c r="D128" s="187"/>
      <c r="E128" s="240"/>
      <c r="F128" s="144"/>
      <c r="G128" s="187"/>
      <c r="H128" s="138"/>
      <c r="I128" s="33"/>
      <c r="J128" s="33"/>
      <c r="K128" s="33"/>
      <c r="L128" s="33"/>
      <c r="M128" s="33"/>
      <c r="N128" s="33"/>
      <c r="O128" s="33"/>
      <c r="P128" s="142"/>
      <c r="Q128" s="33"/>
      <c r="R128" s="114"/>
    </row>
    <row r="129" spans="1:18" x14ac:dyDescent="0.2">
      <c r="A129" s="98"/>
      <c r="B129" s="33"/>
      <c r="C129" s="187"/>
      <c r="D129" s="187"/>
      <c r="E129" s="240"/>
      <c r="F129" s="145" t="s">
        <v>3732</v>
      </c>
      <c r="G129" s="187"/>
      <c r="H129" s="138"/>
      <c r="I129" s="33"/>
      <c r="J129" s="33"/>
      <c r="K129" s="33"/>
      <c r="L129" s="33"/>
      <c r="M129" s="33"/>
      <c r="N129" s="33"/>
      <c r="O129" s="33"/>
      <c r="P129" s="142"/>
      <c r="Q129" s="33"/>
      <c r="R129" s="114"/>
    </row>
    <row r="130" spans="1:18" x14ac:dyDescent="0.2">
      <c r="A130" s="98">
        <f>ROUND(SUM(A819:A821),-3)</f>
        <v>5000</v>
      </c>
      <c r="B130" s="33">
        <f>SUM(B819:B821)</f>
        <v>180100</v>
      </c>
      <c r="C130" s="187">
        <f>SUM(C819:C821)</f>
        <v>178300</v>
      </c>
      <c r="D130" s="187">
        <f>SUM(D819:D821)</f>
        <v>0</v>
      </c>
      <c r="E130" s="240"/>
      <c r="F130" s="78" t="s">
        <v>3731</v>
      </c>
      <c r="G130" s="187">
        <f t="shared" ref="G130:P130" si="254">SUM(G819:G821)</f>
        <v>0</v>
      </c>
      <c r="H130" s="138">
        <f>IF(D130=G130,0,IF(D130=0,100,(G130-D130)/D130*100))</f>
        <v>0</v>
      </c>
      <c r="I130" s="33">
        <f t="shared" si="254"/>
        <v>0</v>
      </c>
      <c r="J130" s="33">
        <f t="shared" si="254"/>
        <v>0</v>
      </c>
      <c r="K130" s="33">
        <f t="shared" si="254"/>
        <v>0</v>
      </c>
      <c r="L130" s="33">
        <f t="shared" si="254"/>
        <v>0</v>
      </c>
      <c r="M130" s="33">
        <f t="shared" si="254"/>
        <v>0</v>
      </c>
      <c r="N130" s="33">
        <f t="shared" si="254"/>
        <v>0</v>
      </c>
      <c r="O130" s="33">
        <f t="shared" si="254"/>
        <v>0</v>
      </c>
      <c r="P130" s="142">
        <f t="shared" si="254"/>
        <v>0</v>
      </c>
      <c r="Q130" s="33">
        <f t="shared" ref="Q130" si="255">SUM(Q819:Q821)</f>
        <v>0</v>
      </c>
      <c r="R130" s="114">
        <f t="shared" ref="R130" si="256">SUM(R819:R821)</f>
        <v>0</v>
      </c>
    </row>
    <row r="131" spans="1:18" ht="13.5" thickBot="1" x14ac:dyDescent="0.25">
      <c r="A131" s="98"/>
      <c r="B131" s="33"/>
      <c r="C131" s="187"/>
      <c r="D131" s="187"/>
      <c r="E131" s="240"/>
      <c r="F131" s="99"/>
      <c r="G131" s="187"/>
      <c r="H131" s="138"/>
      <c r="I131" s="33"/>
      <c r="J131" s="33"/>
      <c r="K131" s="33"/>
      <c r="L131" s="33"/>
      <c r="M131" s="33"/>
      <c r="N131" s="33"/>
      <c r="O131" s="33"/>
      <c r="P131" s="142"/>
      <c r="Q131" s="33"/>
      <c r="R131" s="114"/>
    </row>
    <row r="132" spans="1:18" s="92" customFormat="1" x14ac:dyDescent="0.2">
      <c r="A132" s="752">
        <f>SUM(A130:A131)</f>
        <v>5000</v>
      </c>
      <c r="B132" s="53">
        <f>SUM(B130:B131)</f>
        <v>180100</v>
      </c>
      <c r="C132" s="199">
        <f>SUM(C131:C131)</f>
        <v>0</v>
      </c>
      <c r="D132" s="199">
        <f>SUM(D131:D131)</f>
        <v>0</v>
      </c>
      <c r="E132" s="236"/>
      <c r="F132" s="1960" t="s">
        <v>2605</v>
      </c>
      <c r="G132" s="199">
        <f t="shared" ref="G132:O132" si="257">SUM(G131:G131)</f>
        <v>0</v>
      </c>
      <c r="H132" s="180">
        <f>IF(D132=G132,0,IF(D132=0,100,(G132-D132)/D132*100))</f>
        <v>0</v>
      </c>
      <c r="I132" s="53">
        <f t="shared" si="257"/>
        <v>0</v>
      </c>
      <c r="J132" s="53">
        <f t="shared" si="257"/>
        <v>0</v>
      </c>
      <c r="K132" s="53">
        <f t="shared" si="257"/>
        <v>0</v>
      </c>
      <c r="L132" s="53">
        <f t="shared" si="257"/>
        <v>0</v>
      </c>
      <c r="M132" s="53">
        <f t="shared" si="257"/>
        <v>0</v>
      </c>
      <c r="N132" s="53">
        <f t="shared" si="257"/>
        <v>0</v>
      </c>
      <c r="O132" s="53">
        <f t="shared" si="257"/>
        <v>0</v>
      </c>
      <c r="P132" s="155">
        <f t="shared" ref="P132:Q132" si="258">SUM(P131:P131)</f>
        <v>0</v>
      </c>
      <c r="Q132" s="53">
        <f t="shared" si="258"/>
        <v>0</v>
      </c>
      <c r="R132" s="113">
        <f t="shared" ref="R132" si="259">SUM(R131:R131)</f>
        <v>0</v>
      </c>
    </row>
    <row r="133" spans="1:18" x14ac:dyDescent="0.2">
      <c r="A133" s="98"/>
      <c r="B133" s="33"/>
      <c r="C133" s="187"/>
      <c r="D133" s="187"/>
      <c r="E133" s="1954"/>
      <c r="F133" s="79"/>
      <c r="G133" s="187"/>
      <c r="H133" s="138"/>
      <c r="I133" s="33"/>
      <c r="J133" s="33"/>
      <c r="K133" s="33"/>
      <c r="L133" s="33"/>
      <c r="M133" s="33"/>
      <c r="N133" s="33"/>
      <c r="O133" s="33"/>
      <c r="P133" s="142"/>
      <c r="Q133" s="33"/>
      <c r="R133" s="114"/>
    </row>
    <row r="134" spans="1:18" x14ac:dyDescent="0.2">
      <c r="A134" s="98"/>
      <c r="B134" s="33"/>
      <c r="C134" s="187"/>
      <c r="D134" s="187"/>
      <c r="E134" s="240"/>
      <c r="F134" s="144" t="s">
        <v>2205</v>
      </c>
      <c r="G134" s="187"/>
      <c r="H134" s="138"/>
      <c r="I134" s="33"/>
      <c r="J134" s="33"/>
      <c r="K134" s="33"/>
      <c r="L134" s="33"/>
      <c r="M134" s="33"/>
      <c r="N134" s="33"/>
      <c r="O134" s="33"/>
      <c r="P134" s="142"/>
      <c r="Q134" s="33"/>
      <c r="R134" s="114"/>
    </row>
    <row r="135" spans="1:18" x14ac:dyDescent="0.2">
      <c r="A135" s="98"/>
      <c r="B135" s="33"/>
      <c r="E135" s="238"/>
      <c r="F135" s="1981"/>
      <c r="G135" s="187"/>
      <c r="H135" s="138"/>
      <c r="I135" s="33"/>
      <c r="J135" s="33"/>
      <c r="K135" s="33"/>
      <c r="L135" s="33"/>
      <c r="M135" s="33"/>
      <c r="N135" s="33"/>
      <c r="O135" s="33"/>
      <c r="P135" s="142"/>
      <c r="Q135" s="33"/>
      <c r="R135" s="114"/>
    </row>
    <row r="136" spans="1:18" x14ac:dyDescent="0.2">
      <c r="A136" s="98"/>
      <c r="B136" s="33"/>
      <c r="E136" s="238"/>
      <c r="F136" s="1308" t="s">
        <v>3721</v>
      </c>
      <c r="G136" s="187"/>
      <c r="H136" s="138"/>
      <c r="I136" s="33"/>
      <c r="J136" s="33"/>
      <c r="K136" s="33"/>
      <c r="L136" s="33"/>
      <c r="M136" s="33"/>
      <c r="N136" s="33"/>
      <c r="O136" s="33"/>
      <c r="P136" s="142"/>
      <c r="Q136" s="33"/>
      <c r="R136" s="114"/>
    </row>
    <row r="137" spans="1:18" x14ac:dyDescent="0.2">
      <c r="A137" s="98">
        <f>ROUND(SUM(A825:A835),-3)</f>
        <v>322000</v>
      </c>
      <c r="B137" s="33">
        <f>SUM(B825:B835)</f>
        <v>319900</v>
      </c>
      <c r="C137" s="189">
        <f>SUM(C825:C835)</f>
        <v>317300</v>
      </c>
      <c r="D137" s="189">
        <f>SUM(D825:D835)</f>
        <v>315400</v>
      </c>
      <c r="E137" s="238">
        <v>32000</v>
      </c>
      <c r="F137" s="346" t="s">
        <v>219</v>
      </c>
      <c r="G137" s="187">
        <f t="shared" ref="G137:O137" si="260">SUM(G825:G835)</f>
        <v>331500</v>
      </c>
      <c r="H137" s="138">
        <f>IF(D137=G137,0,IF(D137=0,100,(G137-D137)/D137*100))</f>
        <v>5.1046290424857323</v>
      </c>
      <c r="I137" s="33">
        <f t="shared" si="260"/>
        <v>337000</v>
      </c>
      <c r="J137" s="33">
        <f t="shared" si="260"/>
        <v>345800</v>
      </c>
      <c r="K137" s="33">
        <f t="shared" si="260"/>
        <v>354800</v>
      </c>
      <c r="L137" s="33">
        <f t="shared" si="260"/>
        <v>364200</v>
      </c>
      <c r="M137" s="33">
        <f t="shared" si="260"/>
        <v>372000</v>
      </c>
      <c r="N137" s="33">
        <f t="shared" si="260"/>
        <v>379900</v>
      </c>
      <c r="O137" s="33">
        <f t="shared" si="260"/>
        <v>387900</v>
      </c>
      <c r="P137" s="142">
        <f t="shared" ref="P137:Q137" si="261">SUM(P825:P835)</f>
        <v>395900</v>
      </c>
      <c r="Q137" s="33">
        <f t="shared" si="261"/>
        <v>404200</v>
      </c>
      <c r="R137" s="114">
        <f t="shared" ref="R137" si="262">SUM(R825:R835)</f>
        <v>412600</v>
      </c>
    </row>
    <row r="138" spans="1:18" x14ac:dyDescent="0.2">
      <c r="A138" s="98">
        <f>ROUND(SUM(A836:A839),-3)</f>
        <v>194000</v>
      </c>
      <c r="B138" s="33">
        <f>SUM(B836:B839)</f>
        <v>336300</v>
      </c>
      <c r="C138" s="189">
        <f>SUM(C836:C839)</f>
        <v>376300</v>
      </c>
      <c r="D138" s="189">
        <f>SUM(D836:D839)</f>
        <v>393400</v>
      </c>
      <c r="E138" s="238">
        <v>32001</v>
      </c>
      <c r="F138" s="1956" t="s">
        <v>3105</v>
      </c>
      <c r="G138" s="187">
        <f t="shared" ref="G138:O138" si="263">SUM(G836:G839)</f>
        <v>425000</v>
      </c>
      <c r="H138" s="138">
        <f>IF(D138=G138,0,IF(D138=0,100,(G138-D138)/D138*100))</f>
        <v>8.0325368581596344</v>
      </c>
      <c r="I138" s="33">
        <f t="shared" si="263"/>
        <v>435600</v>
      </c>
      <c r="J138" s="33">
        <f t="shared" si="263"/>
        <v>446400</v>
      </c>
      <c r="K138" s="33">
        <f t="shared" si="263"/>
        <v>457600</v>
      </c>
      <c r="L138" s="33">
        <f t="shared" si="263"/>
        <v>469000</v>
      </c>
      <c r="M138" s="33">
        <f t="shared" si="263"/>
        <v>480700</v>
      </c>
      <c r="N138" s="33">
        <f t="shared" si="263"/>
        <v>492600</v>
      </c>
      <c r="O138" s="33">
        <f t="shared" si="263"/>
        <v>504900</v>
      </c>
      <c r="P138" s="142">
        <f t="shared" ref="P138:Q138" si="264">SUM(P836:P839)</f>
        <v>517500</v>
      </c>
      <c r="Q138" s="33">
        <f t="shared" si="264"/>
        <v>517500</v>
      </c>
      <c r="R138" s="114">
        <f t="shared" ref="R138" si="265">SUM(R836:R839)</f>
        <v>517500</v>
      </c>
    </row>
    <row r="139" spans="1:18" x14ac:dyDescent="0.2">
      <c r="A139" s="98">
        <f>ROUND(SUM(A840:A857),-3)</f>
        <v>361000</v>
      </c>
      <c r="B139" s="33">
        <f>SUM(B840:B857)</f>
        <v>397300</v>
      </c>
      <c r="C139" s="189">
        <f>SUM(C840:C857)</f>
        <v>351100</v>
      </c>
      <c r="D139" s="189">
        <f>SUM(D840:D857)</f>
        <v>308900</v>
      </c>
      <c r="E139" s="238">
        <v>32001</v>
      </c>
      <c r="F139" s="1956" t="s">
        <v>3106</v>
      </c>
      <c r="G139" s="187">
        <f>SUM(G840:G857)</f>
        <v>352800</v>
      </c>
      <c r="H139" s="138">
        <f>IF(D139=G139,0,IF(D139=0,100,(G139-D139)/D139*100))</f>
        <v>14.211719002913565</v>
      </c>
      <c r="I139" s="33">
        <f t="shared" ref="I139:Q139" si="266">SUM(I840:I857)</f>
        <v>358800</v>
      </c>
      <c r="J139" s="33">
        <f t="shared" si="266"/>
        <v>368400</v>
      </c>
      <c r="K139" s="33">
        <f t="shared" si="266"/>
        <v>378400</v>
      </c>
      <c r="L139" s="33">
        <f t="shared" si="266"/>
        <v>388800</v>
      </c>
      <c r="M139" s="33">
        <f t="shared" si="266"/>
        <v>397200</v>
      </c>
      <c r="N139" s="33">
        <f t="shared" si="266"/>
        <v>405600</v>
      </c>
      <c r="O139" s="33">
        <f t="shared" si="266"/>
        <v>414300</v>
      </c>
      <c r="P139" s="142">
        <f t="shared" si="266"/>
        <v>423100</v>
      </c>
      <c r="Q139" s="33">
        <f t="shared" si="266"/>
        <v>432100</v>
      </c>
      <c r="R139" s="114">
        <f t="shared" ref="R139" si="267">SUM(R840:R857)</f>
        <v>441300</v>
      </c>
    </row>
    <row r="140" spans="1:18" x14ac:dyDescent="0.2">
      <c r="A140" s="98">
        <f>ROUND(SUM(A857:A860),-3)</f>
        <v>-26000</v>
      </c>
      <c r="B140" s="33">
        <f>SUM(B857:B860)</f>
        <v>17900</v>
      </c>
      <c r="C140" s="189">
        <f>SUM(C857:C860)</f>
        <v>16600</v>
      </c>
      <c r="D140" s="189">
        <f>SUM(D857:D860)</f>
        <v>28800</v>
      </c>
      <c r="E140" s="238">
        <v>32001</v>
      </c>
      <c r="F140" s="1956" t="s">
        <v>3311</v>
      </c>
      <c r="G140" s="187">
        <f t="shared" ref="G140:O140" si="268">SUM(G857:G860)</f>
        <v>7000</v>
      </c>
      <c r="H140" s="138">
        <f>IF(D140=G140,0,IF(D140=0,100,(G140-D140)/D140*100))</f>
        <v>-75.694444444444443</v>
      </c>
      <c r="I140" s="33">
        <f t="shared" si="268"/>
        <v>7200</v>
      </c>
      <c r="J140" s="33">
        <f t="shared" si="268"/>
        <v>7500</v>
      </c>
      <c r="K140" s="33">
        <f t="shared" si="268"/>
        <v>7800</v>
      </c>
      <c r="L140" s="33">
        <f t="shared" si="268"/>
        <v>8100</v>
      </c>
      <c r="M140" s="33">
        <f t="shared" si="268"/>
        <v>8400</v>
      </c>
      <c r="N140" s="33">
        <f t="shared" si="268"/>
        <v>8700</v>
      </c>
      <c r="O140" s="33">
        <f t="shared" si="268"/>
        <v>9000</v>
      </c>
      <c r="P140" s="142">
        <f t="shared" ref="P140:Q140" si="269">SUM(P857:P860)</f>
        <v>9300</v>
      </c>
      <c r="Q140" s="33">
        <f t="shared" si="269"/>
        <v>9600</v>
      </c>
      <c r="R140" s="114">
        <f t="shared" ref="R140" si="270">SUM(R857:R860)</f>
        <v>9900</v>
      </c>
    </row>
    <row r="141" spans="1:18" x14ac:dyDescent="0.2">
      <c r="A141" s="98"/>
      <c r="B141" s="33"/>
      <c r="E141" s="238"/>
      <c r="F141" s="346"/>
      <c r="G141" s="187"/>
      <c r="H141" s="138"/>
      <c r="I141" s="33"/>
      <c r="J141" s="33"/>
      <c r="K141" s="33"/>
      <c r="L141" s="33"/>
      <c r="M141" s="33"/>
      <c r="N141" s="33"/>
      <c r="O141" s="33"/>
      <c r="P141" s="142"/>
      <c r="Q141" s="33"/>
      <c r="R141" s="114"/>
    </row>
    <row r="142" spans="1:18" x14ac:dyDescent="0.2">
      <c r="A142" s="98"/>
      <c r="B142" s="33"/>
      <c r="E142" s="238"/>
      <c r="F142" s="1305" t="s">
        <v>6984</v>
      </c>
      <c r="G142" s="187"/>
      <c r="H142" s="138"/>
      <c r="I142" s="33"/>
      <c r="J142" s="33"/>
      <c r="K142" s="33"/>
      <c r="L142" s="33"/>
      <c r="M142" s="33"/>
      <c r="N142" s="33"/>
      <c r="O142" s="33"/>
      <c r="P142" s="142"/>
      <c r="Q142" s="33"/>
      <c r="R142" s="114"/>
    </row>
    <row r="143" spans="1:18" x14ac:dyDescent="0.2">
      <c r="A143" s="98">
        <f>ROUND(SUM(A893:A893),-3)</f>
        <v>8000</v>
      </c>
      <c r="B143" s="33">
        <f t="shared" ref="B143:C143" si="271">SUM(B893:B893)</f>
        <v>10300</v>
      </c>
      <c r="C143" s="189">
        <f t="shared" si="271"/>
        <v>3300</v>
      </c>
      <c r="D143" s="189">
        <f>SUM(D893:D893)</f>
        <v>13000</v>
      </c>
      <c r="E143" s="238">
        <v>32022</v>
      </c>
      <c r="F143" s="1956" t="s">
        <v>4807</v>
      </c>
      <c r="G143" s="187">
        <f t="shared" ref="G143:P143" si="272">SUM(G893:G893)</f>
        <v>9000</v>
      </c>
      <c r="H143" s="138">
        <f t="shared" ref="H143:H149" si="273">IF(D143=G143,0,IF(D143=0,100,(G143-D143)/D143*100))</f>
        <v>-30.76923076923077</v>
      </c>
      <c r="I143" s="33">
        <f t="shared" si="272"/>
        <v>10000</v>
      </c>
      <c r="J143" s="33">
        <f t="shared" si="272"/>
        <v>10300</v>
      </c>
      <c r="K143" s="33">
        <f t="shared" si="272"/>
        <v>10600</v>
      </c>
      <c r="L143" s="33">
        <f t="shared" si="272"/>
        <v>10900</v>
      </c>
      <c r="M143" s="33">
        <f t="shared" si="272"/>
        <v>11200</v>
      </c>
      <c r="N143" s="33">
        <f t="shared" si="272"/>
        <v>11500</v>
      </c>
      <c r="O143" s="33">
        <f t="shared" si="272"/>
        <v>11800</v>
      </c>
      <c r="P143" s="142">
        <f t="shared" si="272"/>
        <v>12100</v>
      </c>
      <c r="Q143" s="33">
        <f t="shared" ref="Q143" si="274">SUM(Q893:Q893)</f>
        <v>12400</v>
      </c>
      <c r="R143" s="114">
        <f t="shared" ref="R143" si="275">SUM(R893:R893)</f>
        <v>12700</v>
      </c>
    </row>
    <row r="144" spans="1:18" x14ac:dyDescent="0.2">
      <c r="A144" s="98">
        <f>ROUND(A894+A895+A896+A900+A889,-3)</f>
        <v>100000</v>
      </c>
      <c r="B144" s="33">
        <f t="shared" ref="B144:C144" si="276">B894+B895+B896+B900+B889</f>
        <v>86700</v>
      </c>
      <c r="C144" s="189">
        <f t="shared" si="276"/>
        <v>108100</v>
      </c>
      <c r="D144" s="189">
        <f>D894+D895+D896+D900+D889</f>
        <v>98700</v>
      </c>
      <c r="E144" s="238">
        <v>32022</v>
      </c>
      <c r="F144" s="1956" t="s">
        <v>3562</v>
      </c>
      <c r="G144" s="33">
        <f t="shared" ref="G144:P144" si="277">G894+G895+G896+G900+G889</f>
        <v>96300</v>
      </c>
      <c r="H144" s="138">
        <f t="shared" si="273"/>
        <v>-2.43161094224924</v>
      </c>
      <c r="I144" s="33">
        <f t="shared" si="277"/>
        <v>92000</v>
      </c>
      <c r="J144" s="33">
        <f t="shared" si="277"/>
        <v>94600</v>
      </c>
      <c r="K144" s="33">
        <f t="shared" si="277"/>
        <v>97200</v>
      </c>
      <c r="L144" s="33">
        <f t="shared" si="277"/>
        <v>99800</v>
      </c>
      <c r="M144" s="33">
        <f t="shared" si="277"/>
        <v>102100</v>
      </c>
      <c r="N144" s="33">
        <f t="shared" si="277"/>
        <v>104400</v>
      </c>
      <c r="O144" s="33">
        <f t="shared" si="277"/>
        <v>106800</v>
      </c>
      <c r="P144" s="33">
        <f t="shared" si="277"/>
        <v>109200</v>
      </c>
      <c r="Q144" s="33">
        <f t="shared" ref="Q144" si="278">Q894+Q895+Q896+Q900+Q889</f>
        <v>111700</v>
      </c>
      <c r="R144" s="114">
        <f t="shared" ref="R144" si="279">R894+R895+R896+R900+R889</f>
        <v>114300</v>
      </c>
    </row>
    <row r="145" spans="1:18" x14ac:dyDescent="0.2">
      <c r="A145" s="98">
        <f>ROUND(A901+A902+A897,-3)</f>
        <v>13000</v>
      </c>
      <c r="B145" s="33">
        <f t="shared" ref="B145:C145" si="280">B901+B902+B897</f>
        <v>17200</v>
      </c>
      <c r="C145" s="189">
        <f t="shared" si="280"/>
        <v>31900</v>
      </c>
      <c r="D145" s="189">
        <f>D901+D902+D897</f>
        <v>79500</v>
      </c>
      <c r="E145" s="238">
        <v>32022</v>
      </c>
      <c r="F145" s="1956" t="s">
        <v>3785</v>
      </c>
      <c r="G145" s="33">
        <f t="shared" ref="G145:P145" si="281">G901+G902+G897</f>
        <v>49000</v>
      </c>
      <c r="H145" s="138">
        <f t="shared" si="273"/>
        <v>-38.364779874213838</v>
      </c>
      <c r="I145" s="33">
        <f t="shared" si="281"/>
        <v>39000</v>
      </c>
      <c r="J145" s="33">
        <f t="shared" si="281"/>
        <v>40100</v>
      </c>
      <c r="K145" s="33">
        <f t="shared" si="281"/>
        <v>41300</v>
      </c>
      <c r="L145" s="33">
        <f t="shared" si="281"/>
        <v>42500</v>
      </c>
      <c r="M145" s="33">
        <f t="shared" si="281"/>
        <v>43500</v>
      </c>
      <c r="N145" s="33">
        <f t="shared" si="281"/>
        <v>44500</v>
      </c>
      <c r="O145" s="33">
        <f t="shared" si="281"/>
        <v>45500</v>
      </c>
      <c r="P145" s="33">
        <f t="shared" si="281"/>
        <v>46500</v>
      </c>
      <c r="Q145" s="33">
        <f t="shared" ref="Q145" si="282">Q901+Q902+Q897</f>
        <v>47600</v>
      </c>
      <c r="R145" s="114">
        <f t="shared" ref="R145" si="283">R901+R902+R897</f>
        <v>48700</v>
      </c>
    </row>
    <row r="146" spans="1:18" x14ac:dyDescent="0.2">
      <c r="A146" s="98">
        <f>ROUND(A898+A892,-3)</f>
        <v>18000</v>
      </c>
      <c r="B146" s="33">
        <f t="shared" ref="B146:C146" si="284">B898+B892</f>
        <v>14600</v>
      </c>
      <c r="C146" s="189">
        <f t="shared" si="284"/>
        <v>20700</v>
      </c>
      <c r="D146" s="189">
        <f>D898+D892</f>
        <v>17300</v>
      </c>
      <c r="E146" s="238">
        <v>32022</v>
      </c>
      <c r="F146" s="1956" t="s">
        <v>3786</v>
      </c>
      <c r="G146" s="33">
        <f t="shared" ref="G146:P146" si="285">G898+G892</f>
        <v>16000</v>
      </c>
      <c r="H146" s="138">
        <f t="shared" si="273"/>
        <v>-7.5144508670520231</v>
      </c>
      <c r="I146" s="33">
        <f t="shared" si="285"/>
        <v>17000</v>
      </c>
      <c r="J146" s="33">
        <f t="shared" si="285"/>
        <v>17500</v>
      </c>
      <c r="K146" s="33">
        <f t="shared" si="285"/>
        <v>18000</v>
      </c>
      <c r="L146" s="33">
        <f t="shared" si="285"/>
        <v>18500</v>
      </c>
      <c r="M146" s="33">
        <f t="shared" si="285"/>
        <v>19000</v>
      </c>
      <c r="N146" s="33">
        <f t="shared" si="285"/>
        <v>19500</v>
      </c>
      <c r="O146" s="33">
        <f t="shared" si="285"/>
        <v>20000</v>
      </c>
      <c r="P146" s="33">
        <f t="shared" si="285"/>
        <v>20500</v>
      </c>
      <c r="Q146" s="33">
        <f t="shared" ref="Q146" si="286">Q898+Q892</f>
        <v>21000</v>
      </c>
      <c r="R146" s="114">
        <f t="shared" ref="R146" si="287">R898+R892</f>
        <v>21500</v>
      </c>
    </row>
    <row r="147" spans="1:18" x14ac:dyDescent="0.2">
      <c r="A147" s="98">
        <f>ROUND(A899,-3)</f>
        <v>16000</v>
      </c>
      <c r="B147" s="33">
        <f t="shared" ref="B147:C147" si="288">B899</f>
        <v>11000</v>
      </c>
      <c r="C147" s="189">
        <f t="shared" si="288"/>
        <v>14200</v>
      </c>
      <c r="D147" s="189">
        <f>D899</f>
        <v>16600</v>
      </c>
      <c r="E147" s="238">
        <v>32022</v>
      </c>
      <c r="F147" s="1956" t="s">
        <v>3787</v>
      </c>
      <c r="G147" s="33">
        <f t="shared" ref="G147:P147" si="289">G899</f>
        <v>18000</v>
      </c>
      <c r="H147" s="138">
        <f t="shared" si="273"/>
        <v>8.4337349397590362</v>
      </c>
      <c r="I147" s="33">
        <f t="shared" si="289"/>
        <v>15000</v>
      </c>
      <c r="J147" s="33">
        <f t="shared" si="289"/>
        <v>15400</v>
      </c>
      <c r="K147" s="33">
        <f t="shared" si="289"/>
        <v>15800</v>
      </c>
      <c r="L147" s="33">
        <f t="shared" si="289"/>
        <v>16200</v>
      </c>
      <c r="M147" s="33">
        <f t="shared" si="289"/>
        <v>16600</v>
      </c>
      <c r="N147" s="33">
        <f t="shared" si="289"/>
        <v>17000</v>
      </c>
      <c r="O147" s="33">
        <f t="shared" si="289"/>
        <v>17400</v>
      </c>
      <c r="P147" s="33">
        <f t="shared" si="289"/>
        <v>17800</v>
      </c>
      <c r="Q147" s="33">
        <f t="shared" ref="Q147" si="290">Q899</f>
        <v>18200</v>
      </c>
      <c r="R147" s="114">
        <f t="shared" ref="R147" si="291">R899</f>
        <v>18600</v>
      </c>
    </row>
    <row r="148" spans="1:18" x14ac:dyDescent="0.2">
      <c r="A148" s="98">
        <f>ROUND(A888+A904,-3)</f>
        <v>2000</v>
      </c>
      <c r="B148" s="33">
        <f t="shared" ref="B148:C148" si="292">B888+B904</f>
        <v>3900</v>
      </c>
      <c r="C148" s="189">
        <f t="shared" si="292"/>
        <v>8600</v>
      </c>
      <c r="D148" s="189">
        <f>D888+D904+D903</f>
        <v>11600</v>
      </c>
      <c r="E148" s="238">
        <v>32022</v>
      </c>
      <c r="F148" s="1956" t="s">
        <v>3784</v>
      </c>
      <c r="G148" s="33">
        <f>G888+G904+G903</f>
        <v>14000</v>
      </c>
      <c r="H148" s="138">
        <f t="shared" si="273"/>
        <v>20.689655172413794</v>
      </c>
      <c r="I148" s="33">
        <f t="shared" ref="I148:P148" si="293">I888+I904+I903</f>
        <v>13000</v>
      </c>
      <c r="J148" s="33">
        <f t="shared" si="293"/>
        <v>13500</v>
      </c>
      <c r="K148" s="33">
        <f t="shared" si="293"/>
        <v>14000</v>
      </c>
      <c r="L148" s="33">
        <f t="shared" si="293"/>
        <v>14500</v>
      </c>
      <c r="M148" s="33">
        <f t="shared" si="293"/>
        <v>15000</v>
      </c>
      <c r="N148" s="33">
        <f t="shared" si="293"/>
        <v>15500</v>
      </c>
      <c r="O148" s="33">
        <f t="shared" si="293"/>
        <v>16000</v>
      </c>
      <c r="P148" s="33">
        <f t="shared" si="293"/>
        <v>16500</v>
      </c>
      <c r="Q148" s="187">
        <f t="shared" ref="Q148" si="294">Q888+Q904+Q903</f>
        <v>17000</v>
      </c>
      <c r="R148" s="188">
        <f t="shared" ref="R148" si="295">R888+R904+R903</f>
        <v>17500</v>
      </c>
    </row>
    <row r="149" spans="1:18" x14ac:dyDescent="0.2">
      <c r="A149" s="98">
        <f>ROUND(SUM(A890:A891),-3)</f>
        <v>0</v>
      </c>
      <c r="B149" s="33">
        <f t="shared" ref="B149:C149" si="296">SUM(B890:B891)</f>
        <v>0</v>
      </c>
      <c r="C149" s="189">
        <f t="shared" si="296"/>
        <v>0</v>
      </c>
      <c r="D149" s="189">
        <f>SUM(D890:D891)</f>
        <v>87100</v>
      </c>
      <c r="E149" s="238">
        <v>32022</v>
      </c>
      <c r="F149" s="1956" t="s">
        <v>389</v>
      </c>
      <c r="G149" s="33">
        <f t="shared" ref="G149:P149" si="297">SUM(G890:G891)</f>
        <v>90000</v>
      </c>
      <c r="H149" s="138">
        <f t="shared" si="273"/>
        <v>3.3295063145809412</v>
      </c>
      <c r="I149" s="33">
        <f t="shared" si="297"/>
        <v>90000</v>
      </c>
      <c r="J149" s="33">
        <f t="shared" si="297"/>
        <v>92400</v>
      </c>
      <c r="K149" s="33">
        <f t="shared" si="297"/>
        <v>94800</v>
      </c>
      <c r="L149" s="33">
        <f t="shared" si="297"/>
        <v>97200</v>
      </c>
      <c r="M149" s="33">
        <f t="shared" si="297"/>
        <v>99200</v>
      </c>
      <c r="N149" s="33">
        <f t="shared" si="297"/>
        <v>101200</v>
      </c>
      <c r="O149" s="33">
        <f t="shared" si="297"/>
        <v>103400</v>
      </c>
      <c r="P149" s="33">
        <f t="shared" si="297"/>
        <v>105600</v>
      </c>
      <c r="Q149" s="33">
        <f t="shared" ref="Q149" si="298">SUM(Q890:Q891)</f>
        <v>107800</v>
      </c>
      <c r="R149" s="114">
        <f t="shared" ref="R149" si="299">SUM(R890:R891)</f>
        <v>110000</v>
      </c>
    </row>
    <row r="150" spans="1:18" x14ac:dyDescent="0.2">
      <c r="A150" s="98"/>
      <c r="B150" s="33"/>
      <c r="E150" s="238"/>
      <c r="F150" s="1956"/>
      <c r="G150" s="187"/>
      <c r="H150" s="138"/>
      <c r="I150" s="33"/>
      <c r="J150" s="33"/>
      <c r="K150" s="33"/>
      <c r="L150" s="33"/>
      <c r="M150" s="33"/>
      <c r="N150" s="33"/>
      <c r="O150" s="33"/>
      <c r="P150" s="142"/>
      <c r="Q150" s="33"/>
      <c r="R150" s="114"/>
    </row>
    <row r="151" spans="1:18" x14ac:dyDescent="0.2">
      <c r="A151" s="98"/>
      <c r="B151" s="33"/>
      <c r="E151" s="238"/>
      <c r="F151" s="1305" t="s">
        <v>6983</v>
      </c>
      <c r="G151" s="187"/>
      <c r="H151" s="138"/>
      <c r="I151" s="33"/>
      <c r="J151" s="33"/>
      <c r="K151" s="33"/>
      <c r="L151" s="33"/>
      <c r="M151" s="33"/>
      <c r="N151" s="33"/>
      <c r="O151" s="33"/>
      <c r="P151" s="142"/>
      <c r="Q151" s="33"/>
      <c r="R151" s="114"/>
    </row>
    <row r="152" spans="1:18" x14ac:dyDescent="0.2">
      <c r="A152" s="98">
        <f>ROUND(SUM(A905:A910),-3)</f>
        <v>113000</v>
      </c>
      <c r="B152" s="33">
        <f>SUM(B905:B910)</f>
        <v>139300</v>
      </c>
      <c r="C152" s="189">
        <f>SUM(C905:C910)</f>
        <v>126300</v>
      </c>
      <c r="D152" s="189">
        <f>SUM(D905:D910)</f>
        <v>162300</v>
      </c>
      <c r="E152" s="238">
        <v>32261</v>
      </c>
      <c r="F152" s="1956" t="s">
        <v>3411</v>
      </c>
      <c r="G152" s="187">
        <f t="shared" ref="G152:P152" si="300">SUM(G905:G910)</f>
        <v>161300</v>
      </c>
      <c r="H152" s="138">
        <f>IF(D152=G152,0,IF(D152=0,100,(G152-D152)/D152*100))</f>
        <v>-0.61614294516327783</v>
      </c>
      <c r="I152" s="33">
        <f t="shared" si="300"/>
        <v>162700</v>
      </c>
      <c r="J152" s="33">
        <f t="shared" si="300"/>
        <v>167000</v>
      </c>
      <c r="K152" s="33">
        <f t="shared" si="300"/>
        <v>171500</v>
      </c>
      <c r="L152" s="33">
        <f t="shared" si="300"/>
        <v>176100</v>
      </c>
      <c r="M152" s="33">
        <f t="shared" si="300"/>
        <v>179900</v>
      </c>
      <c r="N152" s="33">
        <f t="shared" si="300"/>
        <v>183700</v>
      </c>
      <c r="O152" s="33">
        <f t="shared" si="300"/>
        <v>187600</v>
      </c>
      <c r="P152" s="142">
        <f t="shared" si="300"/>
        <v>191600</v>
      </c>
      <c r="Q152" s="33">
        <f t="shared" ref="Q152" si="301">SUM(Q905:Q910)</f>
        <v>195600</v>
      </c>
      <c r="R152" s="114">
        <f t="shared" ref="R152" si="302">SUM(R905:R910)</f>
        <v>199800</v>
      </c>
    </row>
    <row r="153" spans="1:18" x14ac:dyDescent="0.2">
      <c r="A153" s="98">
        <f>ROUND(SUM(A912:A915),-3)</f>
        <v>80000</v>
      </c>
      <c r="B153" s="33">
        <f>(SUM(B912:B915))</f>
        <v>86200</v>
      </c>
      <c r="C153" s="189">
        <f>(SUM(C912:C915))</f>
        <v>87300</v>
      </c>
      <c r="D153" s="189">
        <f>(SUM(D912:D915))</f>
        <v>89200</v>
      </c>
      <c r="E153" s="238">
        <v>32310</v>
      </c>
      <c r="F153" s="1956" t="s">
        <v>3750</v>
      </c>
      <c r="G153" s="187">
        <f t="shared" ref="G153:P153" si="303">(SUM(G912:G915))</f>
        <v>100300</v>
      </c>
      <c r="H153" s="138">
        <f>IF(D153=G153,0,IF(D153=0,100,(G153-D153)/D153*100))</f>
        <v>12.443946188340806</v>
      </c>
      <c r="I153" s="33">
        <f t="shared" si="303"/>
        <v>103000</v>
      </c>
      <c r="J153" s="33">
        <f t="shared" si="303"/>
        <v>105700</v>
      </c>
      <c r="K153" s="33">
        <f t="shared" si="303"/>
        <v>108500</v>
      </c>
      <c r="L153" s="33">
        <f t="shared" si="303"/>
        <v>111400</v>
      </c>
      <c r="M153" s="33">
        <f t="shared" si="303"/>
        <v>113900</v>
      </c>
      <c r="N153" s="33">
        <f t="shared" si="303"/>
        <v>116400</v>
      </c>
      <c r="O153" s="33">
        <f t="shared" si="303"/>
        <v>118900</v>
      </c>
      <c r="P153" s="142">
        <f t="shared" si="303"/>
        <v>121400</v>
      </c>
      <c r="Q153" s="33">
        <f t="shared" ref="Q153" si="304">(SUM(Q912:Q915))</f>
        <v>123900</v>
      </c>
      <c r="R153" s="114">
        <f t="shared" ref="R153" si="305">(SUM(R912:R915))</f>
        <v>126600</v>
      </c>
    </row>
    <row r="154" spans="1:18" x14ac:dyDescent="0.2">
      <c r="A154" s="98">
        <f>ROUND(SUM(A916:A923),-3)</f>
        <v>257000</v>
      </c>
      <c r="B154" s="33">
        <f>SUM(B916:B923)</f>
        <v>304300</v>
      </c>
      <c r="C154" s="189">
        <f>SUM(C916:C923)</f>
        <v>334600</v>
      </c>
      <c r="D154" s="189">
        <f>SUM(D916:D923)</f>
        <v>311300</v>
      </c>
      <c r="E154" s="238">
        <v>32285</v>
      </c>
      <c r="F154" s="1956" t="s">
        <v>3141</v>
      </c>
      <c r="G154" s="187">
        <f t="shared" ref="G154:P154" si="306">SUM(G916:G923)</f>
        <v>333500</v>
      </c>
      <c r="H154" s="138">
        <f>IF(D154=G154,0,IF(D154=0,100,(G154-D154)/D154*100))</f>
        <v>7.1313845165435277</v>
      </c>
      <c r="I154" s="33">
        <f t="shared" si="306"/>
        <v>339900</v>
      </c>
      <c r="J154" s="33">
        <f t="shared" si="306"/>
        <v>348800</v>
      </c>
      <c r="K154" s="33">
        <f t="shared" si="306"/>
        <v>357800</v>
      </c>
      <c r="L154" s="33">
        <f t="shared" si="306"/>
        <v>367200</v>
      </c>
      <c r="M154" s="33">
        <f t="shared" si="306"/>
        <v>374900</v>
      </c>
      <c r="N154" s="33">
        <f t="shared" si="306"/>
        <v>382700</v>
      </c>
      <c r="O154" s="33">
        <f t="shared" si="306"/>
        <v>390600</v>
      </c>
      <c r="P154" s="142">
        <f t="shared" si="306"/>
        <v>398800</v>
      </c>
      <c r="Q154" s="33">
        <f t="shared" ref="Q154" si="307">SUM(Q916:Q923)</f>
        <v>407100</v>
      </c>
      <c r="R154" s="114">
        <f t="shared" ref="R154" si="308">SUM(R916:R923)</f>
        <v>415500</v>
      </c>
    </row>
    <row r="155" spans="1:18" x14ac:dyDescent="0.2">
      <c r="A155" s="98">
        <f>ROUND(SUM(A924:A929),-3)</f>
        <v>64000</v>
      </c>
      <c r="B155" s="33">
        <f>SUM(B924:B929)</f>
        <v>68100</v>
      </c>
      <c r="C155" s="189">
        <f>SUM(C924:C929)</f>
        <v>82700</v>
      </c>
      <c r="D155" s="189">
        <f>SUM(D924:D929)</f>
        <v>101000</v>
      </c>
      <c r="E155" s="238">
        <v>32286</v>
      </c>
      <c r="F155" s="1956" t="s">
        <v>3414</v>
      </c>
      <c r="G155" s="187">
        <f t="shared" ref="G155:P155" si="309">SUM(G924:G929)</f>
        <v>78000</v>
      </c>
      <c r="H155" s="138">
        <f>IF(D155=G155,0,IF(D155=0,100,(G155-D155)/D155*100))</f>
        <v>-22.772277227722775</v>
      </c>
      <c r="I155" s="33">
        <f t="shared" si="309"/>
        <v>82100</v>
      </c>
      <c r="J155" s="33">
        <f t="shared" si="309"/>
        <v>84400</v>
      </c>
      <c r="K155" s="33">
        <f t="shared" si="309"/>
        <v>86700</v>
      </c>
      <c r="L155" s="33">
        <f t="shared" si="309"/>
        <v>89100</v>
      </c>
      <c r="M155" s="33">
        <f t="shared" si="309"/>
        <v>91200</v>
      </c>
      <c r="N155" s="33">
        <f t="shared" si="309"/>
        <v>93300</v>
      </c>
      <c r="O155" s="33">
        <f t="shared" si="309"/>
        <v>95400</v>
      </c>
      <c r="P155" s="142">
        <f t="shared" si="309"/>
        <v>97600</v>
      </c>
      <c r="Q155" s="33">
        <f t="shared" ref="Q155" si="310">SUM(Q924:Q929)</f>
        <v>99800</v>
      </c>
      <c r="R155" s="114">
        <f t="shared" ref="R155" si="311">SUM(R924:R929)</f>
        <v>102000</v>
      </c>
    </row>
    <row r="156" spans="1:18" x14ac:dyDescent="0.2">
      <c r="A156" s="98"/>
      <c r="B156" s="33"/>
      <c r="E156" s="238"/>
      <c r="F156" s="601"/>
      <c r="G156" s="198"/>
      <c r="H156" s="138"/>
      <c r="I156" s="33"/>
      <c r="J156" s="33"/>
      <c r="K156" s="33"/>
      <c r="L156" s="33"/>
      <c r="M156" s="33"/>
      <c r="N156" s="33"/>
      <c r="O156" s="33"/>
      <c r="P156" s="142"/>
      <c r="Q156" s="33"/>
      <c r="R156" s="114"/>
    </row>
    <row r="157" spans="1:18" x14ac:dyDescent="0.2">
      <c r="A157" s="98"/>
      <c r="B157" s="33"/>
      <c r="E157" s="240"/>
      <c r="F157" s="602" t="s">
        <v>2685</v>
      </c>
      <c r="G157" s="198"/>
      <c r="H157" s="138"/>
      <c r="I157" s="33"/>
      <c r="J157" s="33"/>
      <c r="K157" s="33"/>
      <c r="L157" s="33"/>
      <c r="M157" s="33"/>
      <c r="N157" s="33"/>
      <c r="O157" s="33"/>
      <c r="P157" s="142"/>
      <c r="Q157" s="33"/>
      <c r="R157" s="114"/>
    </row>
    <row r="158" spans="1:18" x14ac:dyDescent="0.2">
      <c r="A158" s="98">
        <f>ROUND(SUM(A862:A862),-3)</f>
        <v>455000</v>
      </c>
      <c r="B158" s="33">
        <f>ROUND(SUM(B862:B862),)</f>
        <v>648800</v>
      </c>
      <c r="C158" s="189">
        <f>ROUND(SUM(C862:C862),)</f>
        <v>688700</v>
      </c>
      <c r="D158" s="189">
        <f>ROUND(SUM(D862:D862),)</f>
        <v>711600</v>
      </c>
      <c r="E158" s="240">
        <v>32000</v>
      </c>
      <c r="F158" s="1111" t="s">
        <v>6985</v>
      </c>
      <c r="G158" s="198">
        <f>ROUND(SUM(G862:G862),)</f>
        <v>700000</v>
      </c>
      <c r="H158" s="138">
        <f>IF(D158=G158,0,IF(D158=0,100,(G158-D158)/D158*100))</f>
        <v>-1.6301292861157952</v>
      </c>
      <c r="I158" s="33">
        <f t="shared" ref="I158:Q158" si="312">ROUND(SUM(I862:I862),)</f>
        <v>714000</v>
      </c>
      <c r="J158" s="33">
        <f t="shared" si="312"/>
        <v>728300</v>
      </c>
      <c r="K158" s="33">
        <f t="shared" si="312"/>
        <v>742900</v>
      </c>
      <c r="L158" s="33">
        <f t="shared" si="312"/>
        <v>757800</v>
      </c>
      <c r="M158" s="33">
        <f t="shared" si="312"/>
        <v>773000</v>
      </c>
      <c r="N158" s="33">
        <f t="shared" si="312"/>
        <v>788500</v>
      </c>
      <c r="O158" s="33">
        <f t="shared" si="312"/>
        <v>804300</v>
      </c>
      <c r="P158" s="142">
        <f t="shared" si="312"/>
        <v>820400</v>
      </c>
      <c r="Q158" s="33">
        <f t="shared" si="312"/>
        <v>836900</v>
      </c>
      <c r="R158" s="114">
        <f t="shared" ref="R158" si="313">ROUND(SUM(R862:R862),)</f>
        <v>853700</v>
      </c>
    </row>
    <row r="159" spans="1:18" x14ac:dyDescent="0.2">
      <c r="A159" s="98">
        <f t="shared" ref="A159:A161" si="314">ROUND(A931,-3)</f>
        <v>49000</v>
      </c>
      <c r="B159" s="33">
        <f>ROUND(B931,)</f>
        <v>42600</v>
      </c>
      <c r="C159" s="189">
        <f t="shared" ref="C159:D161" si="315">C931</f>
        <v>46200</v>
      </c>
      <c r="D159" s="189">
        <f t="shared" si="315"/>
        <v>48900</v>
      </c>
      <c r="E159" s="240">
        <v>32286</v>
      </c>
      <c r="F159" s="1111" t="s">
        <v>3408</v>
      </c>
      <c r="G159" s="198">
        <f t="shared" ref="G159:O159" si="316">G931</f>
        <v>46000</v>
      </c>
      <c r="H159" s="138">
        <f>IF(D159=G159,0,IF(D159=0,100,(G159-D159)/D159*100))</f>
        <v>-5.9304703476482619</v>
      </c>
      <c r="I159" s="33">
        <f t="shared" si="316"/>
        <v>47000</v>
      </c>
      <c r="J159" s="33">
        <f t="shared" si="316"/>
        <v>48000</v>
      </c>
      <c r="K159" s="33">
        <f t="shared" si="316"/>
        <v>49000</v>
      </c>
      <c r="L159" s="33">
        <f t="shared" si="316"/>
        <v>50000</v>
      </c>
      <c r="M159" s="33">
        <f t="shared" si="316"/>
        <v>51000</v>
      </c>
      <c r="N159" s="33">
        <f t="shared" si="316"/>
        <v>52100</v>
      </c>
      <c r="O159" s="33">
        <f t="shared" si="316"/>
        <v>53200</v>
      </c>
      <c r="P159" s="142">
        <f t="shared" ref="P159:Q159" si="317">P931</f>
        <v>54300</v>
      </c>
      <c r="Q159" s="33">
        <f t="shared" si="317"/>
        <v>55400</v>
      </c>
      <c r="R159" s="114">
        <f t="shared" ref="R159" si="318">R931</f>
        <v>56600</v>
      </c>
    </row>
    <row r="160" spans="1:18" x14ac:dyDescent="0.2">
      <c r="A160" s="98">
        <f t="shared" si="314"/>
        <v>330000</v>
      </c>
      <c r="B160" s="33">
        <f>ROUND(B932,)</f>
        <v>565600</v>
      </c>
      <c r="C160" s="189">
        <f t="shared" si="315"/>
        <v>291500</v>
      </c>
      <c r="D160" s="189">
        <f t="shared" si="315"/>
        <v>312500</v>
      </c>
      <c r="E160" s="238">
        <v>32261</v>
      </c>
      <c r="F160" s="1111" t="s">
        <v>3413</v>
      </c>
      <c r="G160" s="198">
        <f t="shared" ref="G160:O160" si="319">G932</f>
        <v>290000</v>
      </c>
      <c r="H160" s="138">
        <f>IF(D160=G160,0,IF(D160=0,100,(G160-D160)/D160*100))</f>
        <v>-7.1999999999999993</v>
      </c>
      <c r="I160" s="33">
        <f t="shared" si="319"/>
        <v>295800</v>
      </c>
      <c r="J160" s="33">
        <f t="shared" si="319"/>
        <v>301800</v>
      </c>
      <c r="K160" s="33">
        <f t="shared" si="319"/>
        <v>307900</v>
      </c>
      <c r="L160" s="33">
        <f t="shared" si="319"/>
        <v>314100</v>
      </c>
      <c r="M160" s="33">
        <f t="shared" si="319"/>
        <v>320400</v>
      </c>
      <c r="N160" s="33">
        <f t="shared" si="319"/>
        <v>326900</v>
      </c>
      <c r="O160" s="33">
        <f t="shared" si="319"/>
        <v>333500</v>
      </c>
      <c r="P160" s="142">
        <f t="shared" ref="P160:Q160" si="320">P932</f>
        <v>340200</v>
      </c>
      <c r="Q160" s="33">
        <f t="shared" si="320"/>
        <v>347100</v>
      </c>
      <c r="R160" s="114">
        <f t="shared" ref="R160" si="321">R932</f>
        <v>354100</v>
      </c>
    </row>
    <row r="161" spans="1:18" x14ac:dyDescent="0.2">
      <c r="A161" s="98">
        <f t="shared" si="314"/>
        <v>648000</v>
      </c>
      <c r="B161" s="33">
        <f>ROUND(B933,)</f>
        <v>424700</v>
      </c>
      <c r="C161" s="189">
        <f t="shared" si="315"/>
        <v>569000</v>
      </c>
      <c r="D161" s="189">
        <f t="shared" si="315"/>
        <v>606100</v>
      </c>
      <c r="E161" s="238">
        <v>32310</v>
      </c>
      <c r="F161" s="1111" t="s">
        <v>3412</v>
      </c>
      <c r="G161" s="198">
        <f t="shared" ref="G161:O161" si="322">G933</f>
        <v>569000</v>
      </c>
      <c r="H161" s="138">
        <f>IF(D161=G161,0,IF(D161=0,100,(G161-D161)/D161*100))</f>
        <v>-6.1211021283616569</v>
      </c>
      <c r="I161" s="33">
        <f t="shared" si="322"/>
        <v>580400</v>
      </c>
      <c r="J161" s="33">
        <f t="shared" si="322"/>
        <v>592100</v>
      </c>
      <c r="K161" s="33">
        <f t="shared" si="322"/>
        <v>604000</v>
      </c>
      <c r="L161" s="33">
        <f t="shared" si="322"/>
        <v>616100</v>
      </c>
      <c r="M161" s="33">
        <f t="shared" si="322"/>
        <v>628500</v>
      </c>
      <c r="N161" s="33">
        <f t="shared" si="322"/>
        <v>641100</v>
      </c>
      <c r="O161" s="33">
        <f t="shared" si="322"/>
        <v>654000</v>
      </c>
      <c r="P161" s="142">
        <f t="shared" ref="P161:Q161" si="323">P933</f>
        <v>667100</v>
      </c>
      <c r="Q161" s="33">
        <f t="shared" si="323"/>
        <v>680500</v>
      </c>
      <c r="R161" s="114">
        <f t="shared" ref="R161" si="324">R933</f>
        <v>694200</v>
      </c>
    </row>
    <row r="162" spans="1:18" x14ac:dyDescent="0.2">
      <c r="A162" s="98">
        <f>ROUND(SUM(A863:A863),-3)</f>
        <v>0</v>
      </c>
      <c r="B162" s="33">
        <f>ROUND(SUM(B863:B863),)</f>
        <v>140200</v>
      </c>
      <c r="C162" s="189">
        <f>ROUND(SUM(C863:C863),)</f>
        <v>252000</v>
      </c>
      <c r="D162" s="189">
        <f>ROUND(SUM(D863:D863),)</f>
        <v>0</v>
      </c>
      <c r="E162" s="240">
        <v>32000</v>
      </c>
      <c r="F162" s="1111" t="s">
        <v>4520</v>
      </c>
      <c r="G162" s="198">
        <f>ROUND(SUM(G863:G863),)</f>
        <v>0</v>
      </c>
      <c r="H162" s="138">
        <f>IF(D162=G162,0,IF(D162=0,100,(G162-D162)/D162*100))</f>
        <v>0</v>
      </c>
      <c r="I162" s="33">
        <f t="shared" ref="I162:Q162" si="325">ROUND(SUM(I863:I863),)</f>
        <v>0</v>
      </c>
      <c r="J162" s="33">
        <f t="shared" si="325"/>
        <v>0</v>
      </c>
      <c r="K162" s="33">
        <f t="shared" si="325"/>
        <v>0</v>
      </c>
      <c r="L162" s="33">
        <f t="shared" si="325"/>
        <v>0</v>
      </c>
      <c r="M162" s="33">
        <f t="shared" si="325"/>
        <v>0</v>
      </c>
      <c r="N162" s="33">
        <f t="shared" si="325"/>
        <v>0</v>
      </c>
      <c r="O162" s="33">
        <f t="shared" si="325"/>
        <v>0</v>
      </c>
      <c r="P162" s="142">
        <f t="shared" si="325"/>
        <v>0</v>
      </c>
      <c r="Q162" s="33">
        <f t="shared" si="325"/>
        <v>0</v>
      </c>
      <c r="R162" s="114">
        <f t="shared" ref="R162" si="326">ROUND(SUM(R863:R863),)</f>
        <v>0</v>
      </c>
    </row>
    <row r="163" spans="1:18" ht="13.5" thickBot="1" x14ac:dyDescent="0.25">
      <c r="A163" s="98"/>
      <c r="B163" s="33"/>
      <c r="E163" s="240"/>
      <c r="F163" s="366"/>
      <c r="G163" s="2606"/>
      <c r="H163" s="138"/>
      <c r="I163" s="33"/>
      <c r="J163" s="33"/>
      <c r="K163" s="33"/>
      <c r="L163" s="33"/>
      <c r="M163" s="33"/>
      <c r="N163" s="33"/>
      <c r="O163" s="33"/>
      <c r="P163" s="142"/>
      <c r="Q163" s="33"/>
      <c r="R163" s="114"/>
    </row>
    <row r="164" spans="1:18" s="92" customFormat="1" x14ac:dyDescent="0.2">
      <c r="A164" s="752">
        <f>SUM(A135:A163)</f>
        <v>3004000</v>
      </c>
      <c r="B164" s="53">
        <f>SUM(B135:B163)</f>
        <v>3634900</v>
      </c>
      <c r="C164" s="53">
        <f>SUM(C135:C163)</f>
        <v>3726400</v>
      </c>
      <c r="D164" s="53">
        <f>SUM(D135:D163)</f>
        <v>3713200</v>
      </c>
      <c r="E164" s="1990"/>
      <c r="F164" s="112" t="s">
        <v>565</v>
      </c>
      <c r="G164" s="460">
        <f t="shared" ref="G164:O164" si="327">SUM(G135:G163)</f>
        <v>3686700</v>
      </c>
      <c r="H164" s="180">
        <f>IF(D164=G164,0,IF(D164=0,100,(G164-D164)/D164*100))</f>
        <v>-0.71367014973607668</v>
      </c>
      <c r="I164" s="53">
        <f t="shared" si="327"/>
        <v>3739500</v>
      </c>
      <c r="J164" s="53">
        <f t="shared" si="327"/>
        <v>3828000</v>
      </c>
      <c r="K164" s="53">
        <f t="shared" si="327"/>
        <v>3918600</v>
      </c>
      <c r="L164" s="53">
        <f t="shared" si="327"/>
        <v>4011500</v>
      </c>
      <c r="M164" s="53">
        <f t="shared" si="327"/>
        <v>4097700</v>
      </c>
      <c r="N164" s="53">
        <f t="shared" si="327"/>
        <v>4185100</v>
      </c>
      <c r="O164" s="53">
        <f t="shared" si="327"/>
        <v>4274500</v>
      </c>
      <c r="P164" s="155">
        <f t="shared" ref="P164:Q164" si="328">SUM(P135:P163)</f>
        <v>4365400</v>
      </c>
      <c r="Q164" s="53">
        <f t="shared" si="328"/>
        <v>4445400</v>
      </c>
      <c r="R164" s="113">
        <f t="shared" ref="R164" si="329">SUM(R135:R163)</f>
        <v>4527100</v>
      </c>
    </row>
    <row r="165" spans="1:18" x14ac:dyDescent="0.2">
      <c r="A165" s="98"/>
      <c r="B165" s="33"/>
      <c r="E165" s="1955"/>
      <c r="F165" s="366"/>
      <c r="G165" s="198"/>
      <c r="H165" s="138"/>
      <c r="I165" s="33"/>
      <c r="J165" s="33"/>
      <c r="K165" s="33"/>
      <c r="L165" s="33"/>
      <c r="M165" s="33"/>
      <c r="N165" s="33"/>
      <c r="O165" s="33"/>
      <c r="P165" s="142"/>
      <c r="Q165" s="33"/>
      <c r="R165" s="114"/>
    </row>
    <row r="166" spans="1:18" s="92" customFormat="1" x14ac:dyDescent="0.2">
      <c r="A166" s="751">
        <f>A132-A164</f>
        <v>-2999000</v>
      </c>
      <c r="B166" s="64">
        <f>B132-B164</f>
        <v>-3454800</v>
      </c>
      <c r="C166" s="193">
        <f>C132-C164</f>
        <v>-3726400</v>
      </c>
      <c r="D166" s="193">
        <f>D132-D164</f>
        <v>-3713200</v>
      </c>
      <c r="E166" s="237"/>
      <c r="F166" s="516" t="s">
        <v>1019</v>
      </c>
      <c r="G166" s="197">
        <f t="shared" ref="G166:O166" si="330">G132-G164</f>
        <v>-3686700</v>
      </c>
      <c r="H166" s="179">
        <f>IF(D166=G166,0,IF(D166=0,100,(G166-D166)/D166*100))</f>
        <v>-0.71367014973607668</v>
      </c>
      <c r="I166" s="64">
        <f t="shared" si="330"/>
        <v>-3739500</v>
      </c>
      <c r="J166" s="64">
        <f t="shared" si="330"/>
        <v>-3828000</v>
      </c>
      <c r="K166" s="64">
        <f t="shared" si="330"/>
        <v>-3918600</v>
      </c>
      <c r="L166" s="64">
        <f t="shared" si="330"/>
        <v>-4011500</v>
      </c>
      <c r="M166" s="64">
        <f t="shared" si="330"/>
        <v>-4097700</v>
      </c>
      <c r="N166" s="64">
        <f t="shared" si="330"/>
        <v>-4185100</v>
      </c>
      <c r="O166" s="64">
        <f t="shared" si="330"/>
        <v>-4274500</v>
      </c>
      <c r="P166" s="128">
        <f t="shared" ref="P166:Q166" si="331">P132-P164</f>
        <v>-4365400</v>
      </c>
      <c r="Q166" s="64">
        <f t="shared" si="331"/>
        <v>-4445400</v>
      </c>
      <c r="R166" s="115">
        <f t="shared" ref="R166" si="332">R132-R164</f>
        <v>-4527100</v>
      </c>
    </row>
    <row r="167" spans="1:18" x14ac:dyDescent="0.2">
      <c r="A167" s="98">
        <f>ROUND(SUM(A157:A161),-3)</f>
        <v>1482000</v>
      </c>
      <c r="B167" s="33">
        <f>SUM(B157:B161)</f>
        <v>1681700</v>
      </c>
      <c r="C167" s="189">
        <f>SUM(C157:C161)</f>
        <v>1595400</v>
      </c>
      <c r="D167" s="189">
        <f>SUM(D157:D161)</f>
        <v>1679100</v>
      </c>
      <c r="E167" s="1955"/>
      <c r="F167" s="372" t="s">
        <v>1976</v>
      </c>
      <c r="G167" s="198">
        <f t="shared" ref="G167:O167" si="333">SUM(G157:G161)</f>
        <v>1605000</v>
      </c>
      <c r="H167" s="138">
        <f>IF(D167=G167,0,IF(D167=0,100,(G167-D167)/D167*100))</f>
        <v>-4.4130784348758265</v>
      </c>
      <c r="I167" s="33">
        <f t="shared" si="333"/>
        <v>1637200</v>
      </c>
      <c r="J167" s="33">
        <f t="shared" si="333"/>
        <v>1670200</v>
      </c>
      <c r="K167" s="33">
        <f t="shared" si="333"/>
        <v>1703800</v>
      </c>
      <c r="L167" s="33">
        <f t="shared" si="333"/>
        <v>1738000</v>
      </c>
      <c r="M167" s="33">
        <f t="shared" si="333"/>
        <v>1772900</v>
      </c>
      <c r="N167" s="33">
        <f t="shared" si="333"/>
        <v>1808600</v>
      </c>
      <c r="O167" s="33">
        <f t="shared" si="333"/>
        <v>1845000</v>
      </c>
      <c r="P167" s="142">
        <f t="shared" ref="P167:Q167" si="334">SUM(P157:P161)</f>
        <v>1882000</v>
      </c>
      <c r="Q167" s="33">
        <f t="shared" si="334"/>
        <v>1919900</v>
      </c>
      <c r="R167" s="114">
        <f t="shared" ref="R167" si="335">SUM(R157:R161)</f>
        <v>1958600</v>
      </c>
    </row>
    <row r="168" spans="1:18" x14ac:dyDescent="0.2">
      <c r="A168" s="98">
        <f>A162</f>
        <v>0</v>
      </c>
      <c r="B168" s="33">
        <f>B162</f>
        <v>140200</v>
      </c>
      <c r="C168" s="189">
        <f>C162</f>
        <v>252000</v>
      </c>
      <c r="D168" s="189">
        <f>D162</f>
        <v>0</v>
      </c>
      <c r="E168" s="1955"/>
      <c r="F168" s="604" t="s">
        <v>4618</v>
      </c>
      <c r="G168" s="198">
        <f t="shared" ref="G168:O168" si="336">G162</f>
        <v>0</v>
      </c>
      <c r="H168" s="138">
        <f>IF(D168=G168,0,IF(D168=0,100,(G168-D168)/D168*100))</f>
        <v>0</v>
      </c>
      <c r="I168" s="33">
        <f t="shared" si="336"/>
        <v>0</v>
      </c>
      <c r="J168" s="33">
        <f t="shared" si="336"/>
        <v>0</v>
      </c>
      <c r="K168" s="33">
        <f t="shared" si="336"/>
        <v>0</v>
      </c>
      <c r="L168" s="33">
        <f t="shared" si="336"/>
        <v>0</v>
      </c>
      <c r="M168" s="33">
        <f t="shared" si="336"/>
        <v>0</v>
      </c>
      <c r="N168" s="33">
        <f t="shared" si="336"/>
        <v>0</v>
      </c>
      <c r="O168" s="33">
        <f t="shared" si="336"/>
        <v>0</v>
      </c>
      <c r="P168" s="142">
        <f t="shared" ref="P168:Q168" si="337">P162</f>
        <v>0</v>
      </c>
      <c r="Q168" s="33">
        <f t="shared" si="337"/>
        <v>0</v>
      </c>
      <c r="R168" s="114">
        <f t="shared" ref="R168" si="338">R162</f>
        <v>0</v>
      </c>
    </row>
    <row r="169" spans="1:18" s="92" customFormat="1" x14ac:dyDescent="0.2">
      <c r="A169" s="750">
        <f>A166+A167+A168</f>
        <v>-1517000</v>
      </c>
      <c r="B169" s="397">
        <f>B166+B167+B168</f>
        <v>-1632900</v>
      </c>
      <c r="C169" s="397">
        <f>C166+C167+C168</f>
        <v>-1879000</v>
      </c>
      <c r="D169" s="397">
        <f>D166+D167+D168</f>
        <v>-2034100</v>
      </c>
      <c r="E169" s="523"/>
      <c r="F169" s="515" t="s">
        <v>1687</v>
      </c>
      <c r="G169" s="709">
        <f t="shared" ref="G169:O169" si="339">G166+G167+G168</f>
        <v>-2081700</v>
      </c>
      <c r="H169" s="395">
        <f>IF(D169=G169,0,IF(D169=0,100,(G169-D169)/D169*100))</f>
        <v>2.3401012732903985</v>
      </c>
      <c r="I169" s="397">
        <f t="shared" si="339"/>
        <v>-2102300</v>
      </c>
      <c r="J169" s="397">
        <f t="shared" si="339"/>
        <v>-2157800</v>
      </c>
      <c r="K169" s="397">
        <f t="shared" si="339"/>
        <v>-2214800</v>
      </c>
      <c r="L169" s="397">
        <f t="shared" si="339"/>
        <v>-2273500</v>
      </c>
      <c r="M169" s="397">
        <f t="shared" si="339"/>
        <v>-2324800</v>
      </c>
      <c r="N169" s="397">
        <f t="shared" si="339"/>
        <v>-2376500</v>
      </c>
      <c r="O169" s="397">
        <f t="shared" si="339"/>
        <v>-2429500</v>
      </c>
      <c r="P169" s="377">
        <f t="shared" ref="P169:Q169" si="340">P166+P167+P168</f>
        <v>-2483400</v>
      </c>
      <c r="Q169" s="397">
        <f t="shared" si="340"/>
        <v>-2525500</v>
      </c>
      <c r="R169" s="399">
        <f t="shared" ref="R169" si="341">R166+R167+R168</f>
        <v>-2568500</v>
      </c>
    </row>
    <row r="170" spans="1:18" ht="13.5" thickBot="1" x14ac:dyDescent="0.25">
      <c r="A170" s="751"/>
      <c r="B170" s="64"/>
      <c r="C170" s="192"/>
      <c r="D170" s="192"/>
      <c r="E170" s="1954"/>
      <c r="F170" s="371"/>
      <c r="G170" s="197"/>
      <c r="H170" s="179"/>
      <c r="I170" s="33"/>
      <c r="J170" s="33"/>
      <c r="K170" s="33"/>
      <c r="L170" s="33"/>
      <c r="M170" s="33"/>
      <c r="N170" s="33"/>
      <c r="O170" s="33"/>
      <c r="P170" s="142"/>
      <c r="Q170" s="33"/>
      <c r="R170" s="114"/>
    </row>
    <row r="171" spans="1:18" ht="13.5" thickTop="1" x14ac:dyDescent="0.2">
      <c r="A171" s="2498"/>
      <c r="B171" s="162"/>
      <c r="C171" s="194"/>
      <c r="D171" s="194"/>
      <c r="E171" s="541"/>
      <c r="F171" s="367"/>
      <c r="G171" s="196"/>
      <c r="H171" s="505"/>
      <c r="I171" s="127"/>
      <c r="J171" s="127"/>
      <c r="K171" s="127"/>
      <c r="L171" s="127"/>
      <c r="M171" s="127"/>
      <c r="N171" s="127"/>
      <c r="O171" s="127"/>
      <c r="P171" s="164"/>
      <c r="Q171" s="127"/>
      <c r="R171" s="163"/>
    </row>
    <row r="172" spans="1:18" x14ac:dyDescent="0.2">
      <c r="A172" s="751"/>
      <c r="B172" s="64"/>
      <c r="C172" s="193"/>
      <c r="D172" s="193"/>
      <c r="E172" s="238"/>
      <c r="F172" s="516" t="s">
        <v>196</v>
      </c>
      <c r="G172" s="197"/>
      <c r="H172" s="179"/>
      <c r="I172" s="33"/>
      <c r="J172" s="33"/>
      <c r="K172" s="33"/>
      <c r="L172" s="33"/>
      <c r="M172" s="33"/>
      <c r="N172" s="33"/>
      <c r="O172" s="33"/>
      <c r="P172" s="142"/>
      <c r="Q172" s="33"/>
      <c r="R172" s="114"/>
    </row>
    <row r="173" spans="1:18" x14ac:dyDescent="0.2">
      <c r="A173" s="751"/>
      <c r="B173" s="64"/>
      <c r="C173" s="193"/>
      <c r="D173" s="193"/>
      <c r="E173" s="238"/>
      <c r="F173" s="371"/>
      <c r="G173" s="197"/>
      <c r="H173" s="179"/>
      <c r="I173" s="33"/>
      <c r="J173" s="33"/>
      <c r="K173" s="33"/>
      <c r="L173" s="33"/>
      <c r="M173" s="33"/>
      <c r="N173" s="33"/>
      <c r="O173" s="33"/>
      <c r="P173" s="142"/>
      <c r="Q173" s="33"/>
      <c r="R173" s="114"/>
    </row>
    <row r="174" spans="1:18" x14ac:dyDescent="0.2">
      <c r="A174" s="98">
        <f>ROUND(A873+A942,-3)</f>
        <v>0</v>
      </c>
      <c r="B174" s="33">
        <f t="shared" ref="B174:D178" si="342">B873+B942</f>
        <v>0</v>
      </c>
      <c r="C174" s="189">
        <f t="shared" si="342"/>
        <v>0</v>
      </c>
      <c r="D174" s="189">
        <f t="shared" si="342"/>
        <v>0</v>
      </c>
      <c r="E174" s="238"/>
      <c r="F174" s="366" t="s">
        <v>2900</v>
      </c>
      <c r="G174" s="198">
        <f>G873+G942</f>
        <v>0</v>
      </c>
      <c r="H174" s="138"/>
      <c r="I174" s="33">
        <f t="shared" ref="I174:Q174" si="343">I873+I942</f>
        <v>0</v>
      </c>
      <c r="J174" s="33">
        <f t="shared" si="343"/>
        <v>0</v>
      </c>
      <c r="K174" s="33">
        <f t="shared" si="343"/>
        <v>0</v>
      </c>
      <c r="L174" s="33">
        <f t="shared" si="343"/>
        <v>0</v>
      </c>
      <c r="M174" s="33">
        <f t="shared" si="343"/>
        <v>0</v>
      </c>
      <c r="N174" s="33">
        <f t="shared" si="343"/>
        <v>0</v>
      </c>
      <c r="O174" s="33">
        <f t="shared" si="343"/>
        <v>0</v>
      </c>
      <c r="P174" s="142">
        <f t="shared" si="343"/>
        <v>0</v>
      </c>
      <c r="Q174" s="33">
        <f t="shared" si="343"/>
        <v>0</v>
      </c>
      <c r="R174" s="114">
        <f t="shared" ref="R174" si="344">R873+R942</f>
        <v>0</v>
      </c>
    </row>
    <row r="175" spans="1:18" x14ac:dyDescent="0.2">
      <c r="A175" s="98">
        <f>ROUND(A874+A943,-3)</f>
        <v>1727000</v>
      </c>
      <c r="B175" s="33">
        <f t="shared" si="342"/>
        <v>454000</v>
      </c>
      <c r="C175" s="189">
        <f t="shared" si="342"/>
        <v>1698800</v>
      </c>
      <c r="D175" s="189">
        <f t="shared" si="342"/>
        <v>1419200</v>
      </c>
      <c r="E175" s="238"/>
      <c r="F175" s="366" t="s">
        <v>1942</v>
      </c>
      <c r="G175" s="198">
        <f>G874+G943</f>
        <v>0</v>
      </c>
      <c r="H175" s="138"/>
      <c r="I175" s="33">
        <f t="shared" ref="I175:Q175" si="345">I874+I943</f>
        <v>0</v>
      </c>
      <c r="J175" s="33">
        <f t="shared" si="345"/>
        <v>0</v>
      </c>
      <c r="K175" s="33">
        <f t="shared" si="345"/>
        <v>0</v>
      </c>
      <c r="L175" s="33">
        <f t="shared" si="345"/>
        <v>0</v>
      </c>
      <c r="M175" s="33">
        <f t="shared" si="345"/>
        <v>0</v>
      </c>
      <c r="N175" s="33">
        <f t="shared" si="345"/>
        <v>0</v>
      </c>
      <c r="O175" s="33">
        <f t="shared" si="345"/>
        <v>0</v>
      </c>
      <c r="P175" s="142">
        <f t="shared" si="345"/>
        <v>0</v>
      </c>
      <c r="Q175" s="33">
        <f t="shared" si="345"/>
        <v>0</v>
      </c>
      <c r="R175" s="114">
        <f t="shared" ref="R175" si="346">R874+R943</f>
        <v>0</v>
      </c>
    </row>
    <row r="176" spans="1:18" x14ac:dyDescent="0.2">
      <c r="A176" s="98">
        <f>ROUND(A875+A944,-3)</f>
        <v>200000</v>
      </c>
      <c r="B176" s="33">
        <f t="shared" si="342"/>
        <v>464700</v>
      </c>
      <c r="C176" s="189">
        <f t="shared" si="342"/>
        <v>1335900</v>
      </c>
      <c r="D176" s="189">
        <f t="shared" si="342"/>
        <v>1882500</v>
      </c>
      <c r="E176" s="238"/>
      <c r="F176" s="366" t="s">
        <v>2348</v>
      </c>
      <c r="G176" s="198">
        <f>G875+G944</f>
        <v>2653700</v>
      </c>
      <c r="H176" s="138"/>
      <c r="I176" s="33">
        <f t="shared" ref="I176:Q176" si="347">I875+I944</f>
        <v>0</v>
      </c>
      <c r="J176" s="33">
        <f t="shared" si="347"/>
        <v>0</v>
      </c>
      <c r="K176" s="33">
        <f t="shared" si="347"/>
        <v>0</v>
      </c>
      <c r="L176" s="33">
        <f t="shared" si="347"/>
        <v>1200000</v>
      </c>
      <c r="M176" s="33">
        <f t="shared" si="347"/>
        <v>2100000</v>
      </c>
      <c r="N176" s="33">
        <f t="shared" si="347"/>
        <v>1500000</v>
      </c>
      <c r="O176" s="33">
        <f t="shared" si="347"/>
        <v>1000000</v>
      </c>
      <c r="P176" s="142">
        <f t="shared" si="347"/>
        <v>1700000</v>
      </c>
      <c r="Q176" s="33">
        <f t="shared" si="347"/>
        <v>1700000</v>
      </c>
      <c r="R176" s="114">
        <f t="shared" ref="R176" si="348">R875+R944</f>
        <v>1700000</v>
      </c>
    </row>
    <row r="177" spans="1:18" x14ac:dyDescent="0.2">
      <c r="A177" s="98">
        <f>ROUND(A876+A945,-3)</f>
        <v>204000</v>
      </c>
      <c r="B177" s="33">
        <f t="shared" si="342"/>
        <v>755100</v>
      </c>
      <c r="C177" s="189">
        <f t="shared" si="342"/>
        <v>659600</v>
      </c>
      <c r="D177" s="189">
        <f t="shared" si="342"/>
        <v>777700</v>
      </c>
      <c r="E177" s="238"/>
      <c r="F177" s="366" t="s">
        <v>5984</v>
      </c>
      <c r="G177" s="198">
        <f>G876+G945</f>
        <v>1581000</v>
      </c>
      <c r="H177" s="138"/>
      <c r="I177" s="33">
        <f t="shared" ref="I177:Q177" si="349">I876+I945</f>
        <v>107900</v>
      </c>
      <c r="J177" s="33">
        <f t="shared" si="349"/>
        <v>110100</v>
      </c>
      <c r="K177" s="33">
        <f t="shared" si="349"/>
        <v>112300</v>
      </c>
      <c r="L177" s="33">
        <f t="shared" si="349"/>
        <v>114700</v>
      </c>
      <c r="M177" s="33">
        <f t="shared" si="349"/>
        <v>116700</v>
      </c>
      <c r="N177" s="33">
        <f t="shared" si="349"/>
        <v>118700</v>
      </c>
      <c r="O177" s="33">
        <f t="shared" si="349"/>
        <v>120700</v>
      </c>
      <c r="P177" s="142">
        <f t="shared" si="349"/>
        <v>122700</v>
      </c>
      <c r="Q177" s="33">
        <f t="shared" si="349"/>
        <v>124700</v>
      </c>
      <c r="R177" s="114">
        <f t="shared" ref="R177" si="350">R876+R945</f>
        <v>126900</v>
      </c>
    </row>
    <row r="178" spans="1:18" x14ac:dyDescent="0.2">
      <c r="A178" s="98">
        <f>ROUND(A877+A946,-3)</f>
        <v>298000</v>
      </c>
      <c r="B178" s="33">
        <f t="shared" si="342"/>
        <v>1178300</v>
      </c>
      <c r="C178" s="189">
        <f t="shared" si="342"/>
        <v>761200</v>
      </c>
      <c r="D178" s="189">
        <f t="shared" si="342"/>
        <v>1599800</v>
      </c>
      <c r="E178" s="238"/>
      <c r="F178" s="366" t="s">
        <v>972</v>
      </c>
      <c r="G178" s="198">
        <f>G877+G946</f>
        <v>4719000</v>
      </c>
      <c r="H178" s="138"/>
      <c r="I178" s="33">
        <f t="shared" ref="I178:Q178" si="351">I877+I946</f>
        <v>515400</v>
      </c>
      <c r="J178" s="33">
        <f t="shared" si="351"/>
        <v>671000</v>
      </c>
      <c r="K178" s="33">
        <f t="shared" si="351"/>
        <v>822000</v>
      </c>
      <c r="L178" s="33">
        <f t="shared" si="351"/>
        <v>2293000</v>
      </c>
      <c r="M178" s="33">
        <f t="shared" si="351"/>
        <v>3214000</v>
      </c>
      <c r="N178" s="33">
        <f t="shared" si="351"/>
        <v>2636000</v>
      </c>
      <c r="O178" s="33">
        <f t="shared" si="351"/>
        <v>2159000</v>
      </c>
      <c r="P178" s="142">
        <f t="shared" si="351"/>
        <v>2882000</v>
      </c>
      <c r="Q178" s="33">
        <f t="shared" si="351"/>
        <v>2905000</v>
      </c>
      <c r="R178" s="114">
        <f t="shared" ref="R178" si="352">R877+R946</f>
        <v>2928000</v>
      </c>
    </row>
    <row r="179" spans="1:18" x14ac:dyDescent="0.2">
      <c r="A179" s="98"/>
      <c r="B179" s="33"/>
      <c r="E179" s="238"/>
      <c r="F179" s="516"/>
      <c r="G179" s="198"/>
      <c r="H179" s="138"/>
      <c r="I179" s="33"/>
      <c r="J179" s="33"/>
      <c r="K179" s="33"/>
      <c r="L179" s="33"/>
      <c r="M179" s="33"/>
      <c r="N179" s="33"/>
      <c r="O179" s="33"/>
      <c r="P179" s="142"/>
      <c r="Q179" s="33"/>
      <c r="R179" s="114"/>
    </row>
    <row r="180" spans="1:18" s="92" customFormat="1" x14ac:dyDescent="0.2">
      <c r="A180" s="750">
        <f>A169-A174-A175+A176+A177-A178</f>
        <v>-3138000</v>
      </c>
      <c r="B180" s="397">
        <f>B169-B174-B175+B176+B177-B178</f>
        <v>-2045400</v>
      </c>
      <c r="C180" s="398">
        <f>C169-C174-C175+C176+C177-C178</f>
        <v>-2343500</v>
      </c>
      <c r="D180" s="398">
        <f>D169-D174-D175+D176+D177-D178</f>
        <v>-2392900</v>
      </c>
      <c r="E180" s="526"/>
      <c r="F180" s="518" t="s">
        <v>2490</v>
      </c>
      <c r="G180" s="2605">
        <f t="shared" ref="G180:O180" si="353">G169-G174-G175+G176+G177-G178</f>
        <v>-2566000</v>
      </c>
      <c r="H180" s="395">
        <f>IF(D180=G180,0,IF(D180=0,100,(G180-D180)/D180*100))</f>
        <v>7.2339002883530439</v>
      </c>
      <c r="I180" s="397">
        <f t="shared" si="353"/>
        <v>-2509800</v>
      </c>
      <c r="J180" s="397">
        <f t="shared" si="353"/>
        <v>-2718700</v>
      </c>
      <c r="K180" s="397">
        <f t="shared" si="353"/>
        <v>-2924500</v>
      </c>
      <c r="L180" s="397">
        <f t="shared" si="353"/>
        <v>-3251800</v>
      </c>
      <c r="M180" s="397">
        <f t="shared" si="353"/>
        <v>-3322100</v>
      </c>
      <c r="N180" s="397">
        <f t="shared" si="353"/>
        <v>-3393800</v>
      </c>
      <c r="O180" s="397">
        <f t="shared" si="353"/>
        <v>-3467800</v>
      </c>
      <c r="P180" s="377">
        <f t="shared" ref="P180:Q180" si="354">P169-P174-P175+P176+P177-P178</f>
        <v>-3542700</v>
      </c>
      <c r="Q180" s="397">
        <f t="shared" si="354"/>
        <v>-3605800</v>
      </c>
      <c r="R180" s="399">
        <f t="shared" ref="R180" si="355">R169-R174-R175+R176+R177-R178</f>
        <v>-3669600</v>
      </c>
    </row>
    <row r="181" spans="1:18" ht="13.5" thickBot="1" x14ac:dyDescent="0.25">
      <c r="A181" s="614"/>
      <c r="B181" s="90"/>
      <c r="C181" s="195"/>
      <c r="D181" s="195"/>
      <c r="E181" s="239"/>
      <c r="F181" s="368"/>
      <c r="G181" s="2502"/>
      <c r="H181" s="392"/>
      <c r="I181" s="66"/>
      <c r="J181" s="66"/>
      <c r="K181" s="66"/>
      <c r="L181" s="66"/>
      <c r="M181" s="66"/>
      <c r="N181" s="66"/>
      <c r="O181" s="66"/>
      <c r="P181" s="166"/>
      <c r="Q181" s="66"/>
      <c r="R181" s="165"/>
    </row>
    <row r="182" spans="1:18" ht="14.25" thickTop="1" thickBot="1" x14ac:dyDescent="0.25">
      <c r="B182" s="176"/>
      <c r="C182" s="201"/>
      <c r="D182" s="201"/>
      <c r="E182" s="245"/>
      <c r="G182" s="201"/>
      <c r="H182" s="396"/>
    </row>
    <row r="183" spans="1:18" s="91" customFormat="1" ht="18.75" customHeight="1" thickTop="1" thickBot="1" x14ac:dyDescent="0.3">
      <c r="A183" s="2865" t="s">
        <v>459</v>
      </c>
      <c r="B183" s="2866"/>
      <c r="C183" s="2866"/>
      <c r="D183" s="2866"/>
      <c r="E183" s="2866"/>
      <c r="F183" s="2866"/>
      <c r="G183" s="2866"/>
      <c r="H183" s="2866"/>
      <c r="I183" s="2866"/>
      <c r="J183" s="2866"/>
      <c r="K183" s="2866"/>
      <c r="L183" s="2866"/>
      <c r="M183" s="2866"/>
      <c r="N183" s="2866"/>
      <c r="O183" s="2866"/>
      <c r="P183" s="2866"/>
      <c r="Q183" s="2866"/>
      <c r="R183" s="2867"/>
    </row>
    <row r="184" spans="1:18" s="44" customFormat="1" x14ac:dyDescent="0.2">
      <c r="A184" s="2848" t="s">
        <v>1856</v>
      </c>
      <c r="B184" s="2840"/>
      <c r="C184" s="2840"/>
      <c r="D184" s="2849"/>
      <c r="E184" s="369" t="s">
        <v>2663</v>
      </c>
      <c r="F184" s="2649" t="s">
        <v>2251</v>
      </c>
      <c r="G184" s="2885" t="s">
        <v>2253</v>
      </c>
      <c r="H184" s="2886"/>
      <c r="I184" s="2886"/>
      <c r="J184" s="2886"/>
      <c r="K184" s="2886"/>
      <c r="L184" s="2886"/>
      <c r="M184" s="2886"/>
      <c r="N184" s="2886"/>
      <c r="O184" s="2886"/>
      <c r="P184" s="2886"/>
      <c r="Q184" s="2886"/>
      <c r="R184" s="2887"/>
    </row>
    <row r="185" spans="1:18" s="23" customFormat="1" ht="12.75" customHeight="1" thickBot="1" x14ac:dyDescent="0.25">
      <c r="A185" s="208" t="str">
        <f t="shared" ref="A185:B185" si="356">A3</f>
        <v>2012/13</v>
      </c>
      <c r="B185" s="75" t="str">
        <f t="shared" si="356"/>
        <v>2013/14</v>
      </c>
      <c r="C185" s="370" t="str">
        <f>C3</f>
        <v>2014/15</v>
      </c>
      <c r="D185" s="93" t="str">
        <f>D3</f>
        <v>2015/16</v>
      </c>
      <c r="E185" s="370" t="s">
        <v>2664</v>
      </c>
      <c r="F185" s="42"/>
      <c r="G185" s="93" t="str">
        <f t="shared" ref="G185:P185" si="357">G3</f>
        <v>2016/17</v>
      </c>
      <c r="H185" s="2193" t="str">
        <f>H72</f>
        <v xml:space="preserve">% </v>
      </c>
      <c r="I185" s="370" t="str">
        <f t="shared" si="357"/>
        <v>2017/18</v>
      </c>
      <c r="J185" s="370" t="str">
        <f t="shared" si="357"/>
        <v>2018/19</v>
      </c>
      <c r="K185" s="370" t="str">
        <f t="shared" si="357"/>
        <v>2019/20</v>
      </c>
      <c r="L185" s="370" t="str">
        <f t="shared" si="357"/>
        <v>2020/21</v>
      </c>
      <c r="M185" s="370" t="str">
        <f t="shared" si="357"/>
        <v>2021/22</v>
      </c>
      <c r="N185" s="370" t="str">
        <f t="shared" si="357"/>
        <v>2022/23</v>
      </c>
      <c r="O185" s="370" t="str">
        <f t="shared" si="357"/>
        <v>2023/24</v>
      </c>
      <c r="P185" s="370" t="str">
        <f t="shared" si="357"/>
        <v>2024/25</v>
      </c>
      <c r="Q185" s="218" t="str">
        <f t="shared" ref="Q185" si="358">Q3</f>
        <v>2025/26</v>
      </c>
      <c r="R185" s="549" t="str">
        <f t="shared" ref="R185" si="359">R3</f>
        <v>2026/27</v>
      </c>
    </row>
    <row r="186" spans="1:18" x14ac:dyDescent="0.2">
      <c r="A186" s="98"/>
      <c r="B186" s="33"/>
      <c r="C186" s="187"/>
      <c r="D186" s="187"/>
      <c r="E186" s="1954"/>
      <c r="F186" s="76"/>
      <c r="G186" s="187"/>
      <c r="H186" s="138"/>
      <c r="I186" s="33"/>
      <c r="J186" s="33"/>
      <c r="K186" s="33"/>
      <c r="L186" s="33"/>
      <c r="M186" s="33"/>
      <c r="N186" s="33"/>
      <c r="O186" s="33"/>
      <c r="P186" s="33"/>
      <c r="Q186" s="33"/>
      <c r="R186" s="114"/>
    </row>
    <row r="187" spans="1:18" x14ac:dyDescent="0.2">
      <c r="A187" s="98"/>
      <c r="B187" s="33"/>
      <c r="C187" s="187"/>
      <c r="E187" s="1954"/>
      <c r="F187" s="103" t="s">
        <v>1073</v>
      </c>
      <c r="G187" s="187"/>
      <c r="H187" s="138"/>
      <c r="I187" s="33"/>
      <c r="J187" s="33"/>
      <c r="K187" s="33"/>
      <c r="L187" s="33"/>
      <c r="M187" s="33"/>
      <c r="N187" s="33"/>
      <c r="O187" s="33"/>
      <c r="P187" s="33"/>
      <c r="Q187" s="33"/>
      <c r="R187" s="114"/>
    </row>
    <row r="188" spans="1:18" x14ac:dyDescent="0.2">
      <c r="A188" s="98"/>
      <c r="B188" s="33"/>
      <c r="C188" s="187"/>
      <c r="E188" s="1954"/>
      <c r="F188" s="103"/>
      <c r="G188" s="187"/>
      <c r="H188" s="138"/>
      <c r="I188" s="33"/>
      <c r="J188" s="33"/>
      <c r="K188" s="33"/>
      <c r="L188" s="33"/>
      <c r="M188" s="33"/>
      <c r="N188" s="33"/>
      <c r="O188" s="33"/>
      <c r="P188" s="33"/>
      <c r="Q188" s="33"/>
      <c r="R188" s="114"/>
    </row>
    <row r="189" spans="1:18" x14ac:dyDescent="0.2">
      <c r="A189" s="98"/>
      <c r="B189" s="33"/>
      <c r="C189" s="187"/>
      <c r="E189" s="1954"/>
      <c r="F189" s="79" t="s">
        <v>2553</v>
      </c>
      <c r="G189" s="187"/>
      <c r="H189" s="138"/>
      <c r="I189" s="33"/>
      <c r="J189" s="33"/>
      <c r="K189" s="33"/>
      <c r="L189" s="33"/>
      <c r="M189" s="33"/>
      <c r="N189" s="33"/>
      <c r="O189" s="33"/>
      <c r="P189" s="33"/>
      <c r="Q189" s="33"/>
      <c r="R189" s="114"/>
    </row>
    <row r="190" spans="1:18" x14ac:dyDescent="0.2">
      <c r="A190" s="107">
        <f>SUM(A955:A956)</f>
        <v>279500</v>
      </c>
      <c r="B190" s="33">
        <f>SUM(B955:B956)</f>
        <v>282100</v>
      </c>
      <c r="C190" s="189">
        <f>SUM(C955:C956)</f>
        <v>284000</v>
      </c>
      <c r="D190" s="189">
        <f>SUM(D955:D956)</f>
        <v>369500</v>
      </c>
      <c r="E190" s="238">
        <v>22100</v>
      </c>
      <c r="F190" s="76" t="s">
        <v>60</v>
      </c>
      <c r="G190" s="187">
        <f t="shared" ref="G190:P190" si="360">SUM(G955:G956)</f>
        <v>375000</v>
      </c>
      <c r="H190" s="138">
        <f>IF(D190=G190,0,IF(D190=0,100,(G190-D190)/D190*100))</f>
        <v>1.4884979702300407</v>
      </c>
      <c r="I190" s="33">
        <f t="shared" si="360"/>
        <v>376900</v>
      </c>
      <c r="J190" s="33">
        <f t="shared" si="360"/>
        <v>378800</v>
      </c>
      <c r="K190" s="33">
        <f t="shared" si="360"/>
        <v>380700</v>
      </c>
      <c r="L190" s="33">
        <f t="shared" si="360"/>
        <v>382700</v>
      </c>
      <c r="M190" s="33">
        <f t="shared" si="360"/>
        <v>384700</v>
      </c>
      <c r="N190" s="33">
        <f t="shared" si="360"/>
        <v>386700</v>
      </c>
      <c r="O190" s="33">
        <f t="shared" si="360"/>
        <v>388700</v>
      </c>
      <c r="P190" s="33">
        <f t="shared" si="360"/>
        <v>390700</v>
      </c>
      <c r="Q190" s="33">
        <f t="shared" ref="Q190" si="361">SUM(Q955:Q956)</f>
        <v>392700</v>
      </c>
      <c r="R190" s="114">
        <f t="shared" ref="R190" si="362">SUM(R955:R956)</f>
        <v>394700</v>
      </c>
    </row>
    <row r="191" spans="1:18" x14ac:dyDescent="0.2">
      <c r="A191" s="107"/>
      <c r="B191" s="33"/>
      <c r="E191" s="1955"/>
      <c r="F191" s="76"/>
      <c r="G191" s="187"/>
      <c r="H191" s="138"/>
      <c r="I191" s="33"/>
      <c r="J191" s="33"/>
      <c r="K191" s="33"/>
      <c r="L191" s="33"/>
      <c r="M191" s="33"/>
      <c r="N191" s="33"/>
      <c r="O191" s="33"/>
      <c r="P191" s="33"/>
      <c r="Q191" s="33"/>
      <c r="R191" s="114"/>
    </row>
    <row r="192" spans="1:18" x14ac:dyDescent="0.2">
      <c r="A192" s="107"/>
      <c r="B192" s="33"/>
      <c r="E192" s="1955"/>
      <c r="F192" s="79" t="s">
        <v>1899</v>
      </c>
      <c r="G192" s="187"/>
      <c r="H192" s="138"/>
      <c r="I192" s="33"/>
      <c r="J192" s="33"/>
      <c r="K192" s="33"/>
      <c r="L192" s="33"/>
      <c r="M192" s="33"/>
      <c r="N192" s="33"/>
      <c r="O192" s="33"/>
      <c r="P192" s="33"/>
      <c r="Q192" s="33"/>
      <c r="R192" s="114"/>
    </row>
    <row r="193" spans="1:18" x14ac:dyDescent="0.2">
      <c r="A193" s="107">
        <f>SUM(A957:A958)</f>
        <v>8000</v>
      </c>
      <c r="B193" s="33">
        <f>SUM(B957:B958)</f>
        <v>21500</v>
      </c>
      <c r="C193" s="189">
        <f>SUM(C957:C958)</f>
        <v>7700</v>
      </c>
      <c r="D193" s="189">
        <f>SUM(D957:D958)</f>
        <v>0</v>
      </c>
      <c r="E193" s="356">
        <v>22101</v>
      </c>
      <c r="F193" s="1952" t="s">
        <v>4536</v>
      </c>
      <c r="G193" s="187">
        <f>SUM(G957:G958)</f>
        <v>43000</v>
      </c>
      <c r="H193" s="138">
        <f>IF(D193=G193,0,IF(D193=0,100,(G193-D193)/D193*100))</f>
        <v>100</v>
      </c>
      <c r="I193" s="33">
        <f t="shared" ref="I193:Q193" si="363">SUM(I957:I958)</f>
        <v>0</v>
      </c>
      <c r="J193" s="33">
        <f t="shared" si="363"/>
        <v>0</v>
      </c>
      <c r="K193" s="33">
        <f t="shared" si="363"/>
        <v>0</v>
      </c>
      <c r="L193" s="33">
        <f t="shared" si="363"/>
        <v>0</v>
      </c>
      <c r="M193" s="33">
        <f t="shared" si="363"/>
        <v>0</v>
      </c>
      <c r="N193" s="33">
        <f t="shared" si="363"/>
        <v>0</v>
      </c>
      <c r="O193" s="33">
        <f t="shared" si="363"/>
        <v>0</v>
      </c>
      <c r="P193" s="33">
        <f t="shared" si="363"/>
        <v>0</v>
      </c>
      <c r="Q193" s="33">
        <f t="shared" si="363"/>
        <v>0</v>
      </c>
      <c r="R193" s="114">
        <f t="shared" ref="R193" si="364">SUM(R957:R958)</f>
        <v>0</v>
      </c>
    </row>
    <row r="194" spans="1:18" x14ac:dyDescent="0.2">
      <c r="A194" s="107">
        <f>SUM(A959:A964)</f>
        <v>41800</v>
      </c>
      <c r="B194" s="33">
        <f>SUM(B959:B964)</f>
        <v>43800</v>
      </c>
      <c r="C194" s="189">
        <f>SUM(C959:C964)</f>
        <v>0</v>
      </c>
      <c r="D194" s="189">
        <f>SUM(D959:D964)</f>
        <v>5100</v>
      </c>
      <c r="E194" s="356">
        <v>22101</v>
      </c>
      <c r="F194" s="1952" t="s">
        <v>687</v>
      </c>
      <c r="G194" s="187">
        <f>SUM(G959:G964)</f>
        <v>161000</v>
      </c>
      <c r="H194" s="138">
        <f>IF(D194=G194,0,IF(D194=0,100,(G194-D194)/D194*100))</f>
        <v>3056.8627450980393</v>
      </c>
      <c r="I194" s="33">
        <f t="shared" ref="I194:Q194" si="365">SUM(I959:I964)</f>
        <v>0</v>
      </c>
      <c r="J194" s="33">
        <f t="shared" si="365"/>
        <v>0</v>
      </c>
      <c r="K194" s="33">
        <f t="shared" si="365"/>
        <v>0</v>
      </c>
      <c r="L194" s="33">
        <f t="shared" si="365"/>
        <v>0</v>
      </c>
      <c r="M194" s="33">
        <f t="shared" si="365"/>
        <v>0</v>
      </c>
      <c r="N194" s="33">
        <f t="shared" si="365"/>
        <v>0</v>
      </c>
      <c r="O194" s="33">
        <f t="shared" si="365"/>
        <v>0</v>
      </c>
      <c r="P194" s="33">
        <f t="shared" si="365"/>
        <v>0</v>
      </c>
      <c r="Q194" s="33">
        <f t="shared" si="365"/>
        <v>0</v>
      </c>
      <c r="R194" s="114">
        <f t="shared" ref="R194" si="366">SUM(R959:R964)</f>
        <v>0</v>
      </c>
    </row>
    <row r="195" spans="1:18" ht="13.5" thickBot="1" x14ac:dyDescent="0.25">
      <c r="A195" s="107"/>
      <c r="B195" s="33"/>
      <c r="C195" s="187"/>
      <c r="E195" s="357"/>
      <c r="F195" s="76"/>
      <c r="G195" s="187"/>
      <c r="H195" s="138"/>
      <c r="I195" s="33"/>
      <c r="J195" s="33"/>
      <c r="K195" s="33"/>
      <c r="L195" s="33"/>
      <c r="M195" s="33"/>
      <c r="N195" s="33"/>
      <c r="O195" s="33"/>
      <c r="P195" s="33"/>
      <c r="Q195" s="33"/>
      <c r="R195" s="114"/>
    </row>
    <row r="196" spans="1:18" s="92" customFormat="1" x14ac:dyDescent="0.2">
      <c r="A196" s="105">
        <f>SUM(A189:A195)</f>
        <v>329300</v>
      </c>
      <c r="B196" s="53">
        <f>SUM(B189:B195)</f>
        <v>347400</v>
      </c>
      <c r="C196" s="199">
        <f>SUM(C189:C195)</f>
        <v>291700</v>
      </c>
      <c r="D196" s="190">
        <f>SUM(D189:D195)</f>
        <v>374600</v>
      </c>
      <c r="E196" s="236"/>
      <c r="F196" s="1960" t="s">
        <v>2605</v>
      </c>
      <c r="G196" s="199">
        <f t="shared" ref="G196:O196" si="367">SUM(G189:G195)</f>
        <v>579000</v>
      </c>
      <c r="H196" s="180">
        <f>IF(D196=G196,0,IF(D196=0,100,(G196-D196)/D196*100))</f>
        <v>54.564869193806729</v>
      </c>
      <c r="I196" s="53">
        <f t="shared" si="367"/>
        <v>376900</v>
      </c>
      <c r="J196" s="53">
        <f t="shared" si="367"/>
        <v>378800</v>
      </c>
      <c r="K196" s="53">
        <f t="shared" si="367"/>
        <v>380700</v>
      </c>
      <c r="L196" s="53">
        <f t="shared" si="367"/>
        <v>382700</v>
      </c>
      <c r="M196" s="53">
        <f t="shared" si="367"/>
        <v>384700</v>
      </c>
      <c r="N196" s="53">
        <f t="shared" si="367"/>
        <v>386700</v>
      </c>
      <c r="O196" s="53">
        <f t="shared" si="367"/>
        <v>388700</v>
      </c>
      <c r="P196" s="53">
        <f t="shared" ref="P196:Q196" si="368">SUM(P189:P195)</f>
        <v>390700</v>
      </c>
      <c r="Q196" s="53">
        <f t="shared" si="368"/>
        <v>392700</v>
      </c>
      <c r="R196" s="113">
        <f t="shared" ref="R196" si="369">SUM(R189:R195)</f>
        <v>394700</v>
      </c>
    </row>
    <row r="197" spans="1:18" x14ac:dyDescent="0.2">
      <c r="A197" s="98"/>
      <c r="B197" s="33"/>
      <c r="C197" s="187"/>
      <c r="E197" s="1954"/>
      <c r="F197" s="79"/>
      <c r="G197" s="187"/>
      <c r="H197" s="138"/>
      <c r="I197" s="33"/>
      <c r="J197" s="33"/>
      <c r="K197" s="33"/>
      <c r="L197" s="33"/>
      <c r="M197" s="33"/>
      <c r="N197" s="33"/>
      <c r="O197" s="33"/>
      <c r="P197" s="33"/>
      <c r="Q197" s="33"/>
      <c r="R197" s="114"/>
    </row>
    <row r="198" spans="1:18" x14ac:dyDescent="0.2">
      <c r="A198" s="98"/>
      <c r="B198" s="33"/>
      <c r="C198" s="187"/>
      <c r="E198" s="1954"/>
      <c r="F198" s="103" t="s">
        <v>2205</v>
      </c>
      <c r="G198" s="187"/>
      <c r="H198" s="138"/>
      <c r="I198" s="33"/>
      <c r="J198" s="33"/>
      <c r="K198" s="33"/>
      <c r="L198" s="33"/>
      <c r="M198" s="33"/>
      <c r="N198" s="33"/>
      <c r="O198" s="33"/>
      <c r="P198" s="33"/>
      <c r="Q198" s="33"/>
      <c r="R198" s="114"/>
    </row>
    <row r="199" spans="1:18" x14ac:dyDescent="0.2">
      <c r="A199" s="98"/>
      <c r="B199" s="33"/>
      <c r="E199" s="1954"/>
      <c r="F199" s="103"/>
      <c r="G199" s="187"/>
      <c r="H199" s="138"/>
      <c r="I199" s="33"/>
      <c r="J199" s="33"/>
      <c r="K199" s="33"/>
      <c r="L199" s="33"/>
      <c r="M199" s="33"/>
      <c r="N199" s="33"/>
      <c r="O199" s="33"/>
      <c r="P199" s="33"/>
      <c r="Q199" s="33"/>
      <c r="R199" s="114"/>
    </row>
    <row r="200" spans="1:18" x14ac:dyDescent="0.2">
      <c r="A200" s="107"/>
      <c r="B200" s="33"/>
      <c r="E200" s="238"/>
      <c r="F200" s="1960" t="s">
        <v>410</v>
      </c>
      <c r="G200" s="187"/>
      <c r="H200" s="138"/>
      <c r="I200" s="33"/>
      <c r="J200" s="33"/>
      <c r="K200" s="33"/>
      <c r="L200" s="33"/>
      <c r="M200" s="33"/>
      <c r="N200" s="33"/>
      <c r="O200" s="33"/>
      <c r="P200" s="33"/>
      <c r="Q200" s="33"/>
      <c r="R200" s="114"/>
    </row>
    <row r="201" spans="1:18" x14ac:dyDescent="0.2">
      <c r="A201" s="107">
        <f>ROUND(SUM(A968:A976),-3)</f>
        <v>343000</v>
      </c>
      <c r="B201" s="33">
        <f>SUM(B968:B976)</f>
        <v>247600</v>
      </c>
      <c r="C201" s="142">
        <f>SUM(C968:C976)</f>
        <v>289100</v>
      </c>
      <c r="D201" s="33">
        <f>SUM(D968:D976)</f>
        <v>272900</v>
      </c>
      <c r="E201" s="1955">
        <v>32100</v>
      </c>
      <c r="F201" s="76" t="s">
        <v>1932</v>
      </c>
      <c r="G201" s="33">
        <f>SUM(G968:G976)</f>
        <v>244000</v>
      </c>
      <c r="H201" s="138">
        <f>IF(D201=G201,0,IF(D201=0,100,(G201-D201)/D201*100))</f>
        <v>-10.589959692194943</v>
      </c>
      <c r="I201" s="33">
        <f t="shared" ref="I201:Q201" si="370">SUM(I968:I976)</f>
        <v>248400</v>
      </c>
      <c r="J201" s="33">
        <f t="shared" si="370"/>
        <v>255000</v>
      </c>
      <c r="K201" s="33">
        <f t="shared" si="370"/>
        <v>261800</v>
      </c>
      <c r="L201" s="33">
        <f t="shared" si="370"/>
        <v>268700</v>
      </c>
      <c r="M201" s="33">
        <f t="shared" si="370"/>
        <v>274400</v>
      </c>
      <c r="N201" s="33">
        <f t="shared" si="370"/>
        <v>280300</v>
      </c>
      <c r="O201" s="33">
        <f t="shared" si="370"/>
        <v>286200</v>
      </c>
      <c r="P201" s="33">
        <f t="shared" si="370"/>
        <v>292300</v>
      </c>
      <c r="Q201" s="33">
        <f t="shared" si="370"/>
        <v>298500</v>
      </c>
      <c r="R201" s="114">
        <f t="shared" ref="R201" si="371">SUM(R968:R976)</f>
        <v>304900</v>
      </c>
    </row>
    <row r="202" spans="1:18" x14ac:dyDescent="0.2">
      <c r="A202" s="107"/>
      <c r="B202" s="33"/>
      <c r="C202" s="142"/>
      <c r="D202" s="142"/>
      <c r="E202" s="1955"/>
      <c r="F202" s="76"/>
      <c r="G202" s="33"/>
      <c r="H202" s="138"/>
      <c r="I202" s="33"/>
      <c r="J202" s="33"/>
      <c r="K202" s="33"/>
      <c r="L202" s="33"/>
      <c r="M202" s="33"/>
      <c r="N202" s="33"/>
      <c r="O202" s="33"/>
      <c r="P202" s="33"/>
      <c r="Q202" s="33"/>
      <c r="R202" s="114"/>
    </row>
    <row r="203" spans="1:18" x14ac:dyDescent="0.2">
      <c r="A203" s="107"/>
      <c r="B203" s="33"/>
      <c r="C203" s="142"/>
      <c r="D203" s="142"/>
      <c r="E203" s="1955"/>
      <c r="F203" s="79" t="s">
        <v>1899</v>
      </c>
      <c r="G203" s="33"/>
      <c r="H203" s="138"/>
      <c r="I203" s="33"/>
      <c r="J203" s="33"/>
      <c r="K203" s="33"/>
      <c r="L203" s="33"/>
      <c r="M203" s="33"/>
      <c r="N203" s="33"/>
      <c r="O203" s="33"/>
      <c r="P203" s="33"/>
      <c r="Q203" s="33"/>
      <c r="R203" s="114"/>
    </row>
    <row r="204" spans="1:18" x14ac:dyDescent="0.2">
      <c r="A204" s="107">
        <f>ROUND(SUM(A978),-3)</f>
        <v>183000</v>
      </c>
      <c r="B204" s="33">
        <f t="shared" ref="B204:D205" si="372">SUM(B978)</f>
        <v>187700</v>
      </c>
      <c r="C204" s="189">
        <f t="shared" si="372"/>
        <v>192000</v>
      </c>
      <c r="D204" s="189">
        <f t="shared" si="372"/>
        <v>196600</v>
      </c>
      <c r="E204" s="1955">
        <v>32101</v>
      </c>
      <c r="F204" s="1952" t="s">
        <v>6987</v>
      </c>
      <c r="G204" s="187">
        <f t="shared" ref="G204:O204" si="373">SUM(G978)</f>
        <v>203000</v>
      </c>
      <c r="H204" s="138">
        <f t="shared" ref="H204:H210" si="374">IF(D204=G204,0,IF(D204=0,100,(G204-D204)/D204*100))</f>
        <v>3.2553407934893182</v>
      </c>
      <c r="I204" s="187">
        <f t="shared" si="373"/>
        <v>206100</v>
      </c>
      <c r="J204" s="187">
        <f t="shared" si="373"/>
        <v>211300</v>
      </c>
      <c r="K204" s="187">
        <f t="shared" si="373"/>
        <v>216600</v>
      </c>
      <c r="L204" s="187">
        <f t="shared" si="373"/>
        <v>222100</v>
      </c>
      <c r="M204" s="187">
        <f t="shared" si="373"/>
        <v>226600</v>
      </c>
      <c r="N204" s="187">
        <f t="shared" si="373"/>
        <v>231200</v>
      </c>
      <c r="O204" s="33">
        <f t="shared" si="373"/>
        <v>235900</v>
      </c>
      <c r="P204" s="33">
        <f t="shared" ref="P204:Q204" si="375">SUM(P978)</f>
        <v>240700</v>
      </c>
      <c r="Q204" s="33">
        <f t="shared" si="375"/>
        <v>245600</v>
      </c>
      <c r="R204" s="114">
        <f t="shared" ref="R204" si="376">SUM(R978)</f>
        <v>250600</v>
      </c>
    </row>
    <row r="205" spans="1:18" x14ac:dyDescent="0.2">
      <c r="A205" s="107">
        <f>ROUND(SUM(A979),-3)</f>
        <v>33000</v>
      </c>
      <c r="B205" s="33">
        <f t="shared" si="372"/>
        <v>33700</v>
      </c>
      <c r="C205" s="189">
        <f t="shared" si="372"/>
        <v>34400</v>
      </c>
      <c r="D205" s="189">
        <f t="shared" si="372"/>
        <v>35200</v>
      </c>
      <c r="E205" s="1955">
        <v>32101</v>
      </c>
      <c r="F205" s="1952" t="s">
        <v>6986</v>
      </c>
      <c r="G205" s="187">
        <f t="shared" ref="G205:O206" si="377">SUM(G979)</f>
        <v>36800</v>
      </c>
      <c r="H205" s="138">
        <f t="shared" si="374"/>
        <v>4.5454545454545459</v>
      </c>
      <c r="I205" s="187">
        <f t="shared" si="377"/>
        <v>37400</v>
      </c>
      <c r="J205" s="187">
        <f t="shared" si="377"/>
        <v>38400</v>
      </c>
      <c r="K205" s="187">
        <f t="shared" si="377"/>
        <v>39400</v>
      </c>
      <c r="L205" s="187">
        <f t="shared" si="377"/>
        <v>40400</v>
      </c>
      <c r="M205" s="187">
        <f t="shared" si="377"/>
        <v>41300</v>
      </c>
      <c r="N205" s="187">
        <f t="shared" si="377"/>
        <v>42200</v>
      </c>
      <c r="O205" s="33">
        <f t="shared" si="377"/>
        <v>43100</v>
      </c>
      <c r="P205" s="33">
        <f t="shared" ref="P205:Q205" si="378">SUM(P979)</f>
        <v>44000</v>
      </c>
      <c r="Q205" s="33">
        <f t="shared" si="378"/>
        <v>44900</v>
      </c>
      <c r="R205" s="114">
        <f t="shared" ref="R205" si="379">SUM(R979)</f>
        <v>45800</v>
      </c>
    </row>
    <row r="206" spans="1:18" x14ac:dyDescent="0.2">
      <c r="A206" s="107">
        <v>0</v>
      </c>
      <c r="B206" s="33">
        <v>0</v>
      </c>
      <c r="C206" s="189">
        <f>C980</f>
        <v>0</v>
      </c>
      <c r="D206" s="189">
        <f>SUM(D980)</f>
        <v>0</v>
      </c>
      <c r="E206" s="1955">
        <v>32101</v>
      </c>
      <c r="F206" s="1952" t="s">
        <v>6988</v>
      </c>
      <c r="G206" s="187">
        <f t="shared" si="377"/>
        <v>70000</v>
      </c>
      <c r="H206" s="138">
        <f t="shared" si="374"/>
        <v>100</v>
      </c>
      <c r="I206" s="187">
        <f t="shared" si="377"/>
        <v>35000</v>
      </c>
      <c r="J206" s="187">
        <f t="shared" si="377"/>
        <v>35900</v>
      </c>
      <c r="K206" s="187">
        <f t="shared" si="377"/>
        <v>36800</v>
      </c>
      <c r="L206" s="187">
        <f t="shared" si="377"/>
        <v>37800</v>
      </c>
      <c r="M206" s="187">
        <f t="shared" si="377"/>
        <v>38600</v>
      </c>
      <c r="N206" s="187">
        <f t="shared" si="377"/>
        <v>39400</v>
      </c>
      <c r="O206" s="33">
        <f t="shared" si="377"/>
        <v>40200</v>
      </c>
      <c r="P206" s="33">
        <f t="shared" ref="P206:Q206" si="380">SUM(P980)</f>
        <v>41100</v>
      </c>
      <c r="Q206" s="33">
        <f t="shared" si="380"/>
        <v>42000</v>
      </c>
      <c r="R206" s="114">
        <f t="shared" ref="R206" si="381">SUM(R980)</f>
        <v>42900</v>
      </c>
    </row>
    <row r="207" spans="1:18" x14ac:dyDescent="0.2">
      <c r="A207" s="107">
        <f>ROUND(SUM(A981:A985),-3)</f>
        <v>46000</v>
      </c>
      <c r="B207" s="33">
        <f>SUM(B981:B985)</f>
        <v>164300</v>
      </c>
      <c r="C207" s="189">
        <f>SUM(C981:C985)</f>
        <v>100500</v>
      </c>
      <c r="D207" s="189">
        <f>SUM(D981:D985)</f>
        <v>78700</v>
      </c>
      <c r="E207" s="1955">
        <v>32101</v>
      </c>
      <c r="F207" s="1952" t="s">
        <v>220</v>
      </c>
      <c r="G207" s="187">
        <f t="shared" ref="G207:P207" si="382">SUM(G981:G985)</f>
        <v>197600</v>
      </c>
      <c r="H207" s="138">
        <f t="shared" si="374"/>
        <v>151.08005082592121</v>
      </c>
      <c r="I207" s="33">
        <f t="shared" si="382"/>
        <v>40000</v>
      </c>
      <c r="J207" s="33">
        <f t="shared" si="382"/>
        <v>41000</v>
      </c>
      <c r="K207" s="33">
        <f t="shared" si="382"/>
        <v>42100</v>
      </c>
      <c r="L207" s="33">
        <f t="shared" si="382"/>
        <v>43200</v>
      </c>
      <c r="M207" s="33">
        <f t="shared" si="382"/>
        <v>44100</v>
      </c>
      <c r="N207" s="33">
        <f t="shared" si="382"/>
        <v>45000</v>
      </c>
      <c r="O207" s="33">
        <f t="shared" si="382"/>
        <v>45900</v>
      </c>
      <c r="P207" s="33">
        <f t="shared" si="382"/>
        <v>46900</v>
      </c>
      <c r="Q207" s="33">
        <f t="shared" ref="Q207" si="383">SUM(Q981:Q985)</f>
        <v>47900</v>
      </c>
      <c r="R207" s="114">
        <f t="shared" ref="R207" si="384">SUM(R981:R985)</f>
        <v>48900</v>
      </c>
    </row>
    <row r="208" spans="1:18" x14ac:dyDescent="0.2">
      <c r="A208" s="107">
        <f>ROUND(SUM(A988:A988),-3)</f>
        <v>10000</v>
      </c>
      <c r="B208" s="33">
        <f>SUM(B988:B988)</f>
        <v>55600</v>
      </c>
      <c r="C208" s="189">
        <f>SUM(C988:C988)</f>
        <v>6100</v>
      </c>
      <c r="D208" s="189">
        <f t="shared" ref="D208" si="385">SUM(D988:D988)</f>
        <v>26600</v>
      </c>
      <c r="E208" s="1955">
        <v>32101</v>
      </c>
      <c r="F208" s="1952" t="s">
        <v>5360</v>
      </c>
      <c r="G208" s="187">
        <f>SUM(G988:G989)</f>
        <v>50500</v>
      </c>
      <c r="H208" s="138">
        <f t="shared" si="374"/>
        <v>89.849624060150376</v>
      </c>
      <c r="I208" s="33">
        <f t="shared" ref="I208:Q208" si="386">SUM(I988:I989)</f>
        <v>40000</v>
      </c>
      <c r="J208" s="33">
        <f t="shared" si="386"/>
        <v>41000</v>
      </c>
      <c r="K208" s="33">
        <f t="shared" si="386"/>
        <v>42100</v>
      </c>
      <c r="L208" s="33">
        <f t="shared" si="386"/>
        <v>43200</v>
      </c>
      <c r="M208" s="33">
        <f t="shared" si="386"/>
        <v>44100</v>
      </c>
      <c r="N208" s="33">
        <f t="shared" si="386"/>
        <v>45000</v>
      </c>
      <c r="O208" s="33">
        <f t="shared" si="386"/>
        <v>45900</v>
      </c>
      <c r="P208" s="33">
        <f t="shared" si="386"/>
        <v>46900</v>
      </c>
      <c r="Q208" s="33">
        <f t="shared" si="386"/>
        <v>47900</v>
      </c>
      <c r="R208" s="114">
        <f t="shared" ref="R208" si="387">SUM(R988:R989)</f>
        <v>48900</v>
      </c>
    </row>
    <row r="209" spans="1:18" x14ac:dyDescent="0.2">
      <c r="A209" s="107">
        <f>ROUND(SUM(A986:A987),-3)</f>
        <v>40000</v>
      </c>
      <c r="B209" s="33">
        <f>SUM(B986:B987)</f>
        <v>35000</v>
      </c>
      <c r="C209" s="189">
        <f>SUM(C986:C987)</f>
        <v>107600</v>
      </c>
      <c r="D209" s="189">
        <f>SUM(D986:D987)</f>
        <v>55200</v>
      </c>
      <c r="E209" s="1955">
        <v>32101</v>
      </c>
      <c r="F209" s="1952" t="s">
        <v>6989</v>
      </c>
      <c r="G209" s="187">
        <f t="shared" ref="G209:O209" si="388">SUM(G986:G987)</f>
        <v>66000</v>
      </c>
      <c r="H209" s="138">
        <f t="shared" si="374"/>
        <v>19.565217391304348</v>
      </c>
      <c r="I209" s="33">
        <f t="shared" si="388"/>
        <v>78000</v>
      </c>
      <c r="J209" s="33">
        <f t="shared" si="388"/>
        <v>80000</v>
      </c>
      <c r="K209" s="33">
        <f t="shared" si="388"/>
        <v>82000</v>
      </c>
      <c r="L209" s="33">
        <f t="shared" si="388"/>
        <v>84100</v>
      </c>
      <c r="M209" s="33">
        <f t="shared" si="388"/>
        <v>85800</v>
      </c>
      <c r="N209" s="33">
        <f t="shared" si="388"/>
        <v>87600</v>
      </c>
      <c r="O209" s="33">
        <f t="shared" si="388"/>
        <v>89400</v>
      </c>
      <c r="P209" s="33">
        <f t="shared" ref="P209:Q209" si="389">SUM(P986:P987)</f>
        <v>91200</v>
      </c>
      <c r="Q209" s="33">
        <f t="shared" si="389"/>
        <v>93100</v>
      </c>
      <c r="R209" s="114">
        <f t="shared" ref="R209" si="390">SUM(R986:R987)</f>
        <v>95000</v>
      </c>
    </row>
    <row r="210" spans="1:18" x14ac:dyDescent="0.2">
      <c r="A210" s="107">
        <f>ROUND(SUM(A990:A991),-3)</f>
        <v>1000</v>
      </c>
      <c r="B210" s="33">
        <f>SUM(B990:B991)</f>
        <v>12500</v>
      </c>
      <c r="C210" s="189">
        <f>SUM(C990:C991)</f>
        <v>147300</v>
      </c>
      <c r="D210" s="189">
        <f>SUM(D990:D991)</f>
        <v>44900</v>
      </c>
      <c r="E210" s="1955">
        <v>32101</v>
      </c>
      <c r="F210" s="1952" t="s">
        <v>296</v>
      </c>
      <c r="G210" s="187">
        <f t="shared" ref="G210:P210" si="391">SUM(G990:G991)</f>
        <v>22000</v>
      </c>
      <c r="H210" s="138">
        <f t="shared" si="374"/>
        <v>-51.002227171492208</v>
      </c>
      <c r="I210" s="33">
        <f t="shared" si="391"/>
        <v>22400</v>
      </c>
      <c r="J210" s="33">
        <f t="shared" si="391"/>
        <v>23000</v>
      </c>
      <c r="K210" s="33">
        <f t="shared" si="391"/>
        <v>23600</v>
      </c>
      <c r="L210" s="33">
        <f t="shared" si="391"/>
        <v>24200</v>
      </c>
      <c r="M210" s="33">
        <f t="shared" si="391"/>
        <v>24700</v>
      </c>
      <c r="N210" s="33">
        <f t="shared" si="391"/>
        <v>25200</v>
      </c>
      <c r="O210" s="33">
        <f t="shared" si="391"/>
        <v>25800</v>
      </c>
      <c r="P210" s="33">
        <f t="shared" si="391"/>
        <v>26400</v>
      </c>
      <c r="Q210" s="33">
        <f t="shared" ref="Q210" si="392">SUM(Q990:Q991)</f>
        <v>27000</v>
      </c>
      <c r="R210" s="114">
        <f t="shared" ref="R210" si="393">SUM(R990:R991)</f>
        <v>27600</v>
      </c>
    </row>
    <row r="211" spans="1:18" x14ac:dyDescent="0.2">
      <c r="A211" s="107">
        <f>ROUND(SUM(A992:A994),-3)</f>
        <v>29000</v>
      </c>
      <c r="B211" s="33">
        <f>SUM(B992:B994)</f>
        <v>37200</v>
      </c>
      <c r="C211" s="189">
        <f>SUM(C992:C994)</f>
        <v>45700</v>
      </c>
      <c r="D211" s="189">
        <f>SUM(D992:D994)</f>
        <v>45000</v>
      </c>
      <c r="E211" s="1955">
        <v>32101</v>
      </c>
      <c r="F211" s="1952" t="s">
        <v>3107</v>
      </c>
      <c r="G211" s="187">
        <f t="shared" ref="G211:O211" si="394">SUM(G992:G994)</f>
        <v>38400</v>
      </c>
      <c r="H211" s="138">
        <f>IF(E211=G211,0,IF(E211=0,100,(G211-E211)/E211*100))</f>
        <v>19.622441668483848</v>
      </c>
      <c r="I211" s="33">
        <f t="shared" si="394"/>
        <v>39000</v>
      </c>
      <c r="J211" s="33">
        <f t="shared" si="394"/>
        <v>40100</v>
      </c>
      <c r="K211" s="33">
        <f t="shared" si="394"/>
        <v>41200</v>
      </c>
      <c r="L211" s="33">
        <f t="shared" si="394"/>
        <v>42300</v>
      </c>
      <c r="M211" s="33">
        <f t="shared" si="394"/>
        <v>43300</v>
      </c>
      <c r="N211" s="33">
        <f t="shared" si="394"/>
        <v>44300</v>
      </c>
      <c r="O211" s="33">
        <f t="shared" si="394"/>
        <v>45300</v>
      </c>
      <c r="P211" s="33">
        <f t="shared" ref="P211:Q211" si="395">SUM(P992:P994)</f>
        <v>46300</v>
      </c>
      <c r="Q211" s="33">
        <f t="shared" si="395"/>
        <v>47300</v>
      </c>
      <c r="R211" s="114">
        <f t="shared" ref="R211" si="396">SUM(R992:R994)</f>
        <v>48300</v>
      </c>
    </row>
    <row r="212" spans="1:18" x14ac:dyDescent="0.2">
      <c r="A212" s="107"/>
      <c r="B212" s="33"/>
      <c r="E212" s="1955"/>
      <c r="F212" s="1981"/>
      <c r="G212" s="187"/>
      <c r="H212" s="138"/>
      <c r="I212" s="33"/>
      <c r="J212" s="33"/>
      <c r="K212" s="33"/>
      <c r="L212" s="33"/>
      <c r="M212" s="33"/>
      <c r="N212" s="33"/>
      <c r="O212" s="33"/>
      <c r="P212" s="33"/>
      <c r="Q212" s="33"/>
      <c r="R212" s="114"/>
    </row>
    <row r="213" spans="1:18" x14ac:dyDescent="0.2">
      <c r="A213" s="107"/>
      <c r="B213" s="33"/>
      <c r="C213" s="142"/>
      <c r="D213" s="142"/>
      <c r="E213" s="1955"/>
      <c r="F213" s="79" t="str">
        <f>F101</f>
        <v>Non-Cash Expenses</v>
      </c>
      <c r="G213" s="33"/>
      <c r="H213" s="138"/>
      <c r="I213" s="33"/>
      <c r="J213" s="33"/>
      <c r="K213" s="33"/>
      <c r="L213" s="33"/>
      <c r="M213" s="33"/>
      <c r="N213" s="33"/>
      <c r="O213" s="33"/>
      <c r="P213" s="33"/>
      <c r="Q213" s="33"/>
      <c r="R213" s="114"/>
    </row>
    <row r="214" spans="1:18" x14ac:dyDescent="0.2">
      <c r="A214" s="107">
        <f t="shared" ref="A214:A216" si="397">ROUND(A996,-3)</f>
        <v>17000</v>
      </c>
      <c r="B214" s="33">
        <f t="shared" ref="B214:C216" si="398">B996</f>
        <v>1600</v>
      </c>
      <c r="C214" s="189">
        <f t="shared" si="398"/>
        <v>1600</v>
      </c>
      <c r="D214" s="189">
        <f>D996</f>
        <v>2000</v>
      </c>
      <c r="E214" s="1955">
        <v>32103</v>
      </c>
      <c r="F214" s="1981" t="s">
        <v>59</v>
      </c>
      <c r="G214" s="187">
        <f t="shared" ref="G214:O214" si="399">G996</f>
        <v>2000</v>
      </c>
      <c r="H214" s="138">
        <f>IF(D214=G214,0,IF(D214=0,100,(G214-D214)/D214*100))</f>
        <v>0</v>
      </c>
      <c r="I214" s="33">
        <f t="shared" si="399"/>
        <v>2100</v>
      </c>
      <c r="J214" s="33">
        <f t="shared" si="399"/>
        <v>2200</v>
      </c>
      <c r="K214" s="33">
        <f t="shared" si="399"/>
        <v>2300</v>
      </c>
      <c r="L214" s="33">
        <f t="shared" si="399"/>
        <v>2400</v>
      </c>
      <c r="M214" s="33">
        <f t="shared" si="399"/>
        <v>2500</v>
      </c>
      <c r="N214" s="33">
        <f t="shared" si="399"/>
        <v>2600</v>
      </c>
      <c r="O214" s="33">
        <f t="shared" si="399"/>
        <v>2700</v>
      </c>
      <c r="P214" s="33">
        <f t="shared" ref="P214:Q214" si="400">P996</f>
        <v>2800</v>
      </c>
      <c r="Q214" s="33">
        <f t="shared" si="400"/>
        <v>2900</v>
      </c>
      <c r="R214" s="114">
        <f t="shared" ref="R214" si="401">R996</f>
        <v>3000</v>
      </c>
    </row>
    <row r="215" spans="1:18" x14ac:dyDescent="0.2">
      <c r="A215" s="107">
        <f t="shared" si="397"/>
        <v>1646000</v>
      </c>
      <c r="B215" s="33">
        <f t="shared" si="398"/>
        <v>1654300</v>
      </c>
      <c r="C215" s="189">
        <f t="shared" si="398"/>
        <v>1417700</v>
      </c>
      <c r="D215" s="189">
        <f>D997</f>
        <v>1456800</v>
      </c>
      <c r="E215" s="1955">
        <v>32103</v>
      </c>
      <c r="F215" s="76" t="s">
        <v>2451</v>
      </c>
      <c r="G215" s="187">
        <f t="shared" ref="G215:O216" si="402">G997</f>
        <v>1443000</v>
      </c>
      <c r="H215" s="138">
        <f>IF(D215=G215,0,IF(D215=0,100,(G215-D215)/D215*100))</f>
        <v>-0.94728171334431621</v>
      </c>
      <c r="I215" s="33">
        <f t="shared" si="402"/>
        <v>1471900</v>
      </c>
      <c r="J215" s="33">
        <f t="shared" si="402"/>
        <v>1501400</v>
      </c>
      <c r="K215" s="33">
        <f t="shared" si="402"/>
        <v>1531500</v>
      </c>
      <c r="L215" s="33">
        <f t="shared" si="402"/>
        <v>1562200</v>
      </c>
      <c r="M215" s="33">
        <f t="shared" si="402"/>
        <v>1593500</v>
      </c>
      <c r="N215" s="33">
        <f t="shared" si="402"/>
        <v>1625400</v>
      </c>
      <c r="O215" s="33">
        <f t="shared" si="402"/>
        <v>1658000</v>
      </c>
      <c r="P215" s="33">
        <f t="shared" ref="P215:Q215" si="403">P997</f>
        <v>1691200</v>
      </c>
      <c r="Q215" s="33">
        <f t="shared" si="403"/>
        <v>1725100</v>
      </c>
      <c r="R215" s="114">
        <f t="shared" ref="R215" si="404">R997</f>
        <v>1759700</v>
      </c>
    </row>
    <row r="216" spans="1:18" x14ac:dyDescent="0.2">
      <c r="A216" s="107">
        <f t="shared" si="397"/>
        <v>98000</v>
      </c>
      <c r="B216" s="33">
        <f t="shared" si="398"/>
        <v>78300</v>
      </c>
      <c r="C216" s="189">
        <f t="shared" si="398"/>
        <v>1200</v>
      </c>
      <c r="D216" s="189">
        <f>D998</f>
        <v>0</v>
      </c>
      <c r="E216" s="1955">
        <v>32100</v>
      </c>
      <c r="F216" s="77" t="s">
        <v>4542</v>
      </c>
      <c r="G216" s="187">
        <f t="shared" si="402"/>
        <v>0</v>
      </c>
      <c r="H216" s="138">
        <f>IF(D216=G216,0,IF(D216=0,100,(G216-D216)/D216*100))</f>
        <v>0</v>
      </c>
      <c r="I216" s="33">
        <f t="shared" si="402"/>
        <v>0</v>
      </c>
      <c r="J216" s="33">
        <f t="shared" si="402"/>
        <v>0</v>
      </c>
      <c r="K216" s="33">
        <f t="shared" si="402"/>
        <v>0</v>
      </c>
      <c r="L216" s="33">
        <f t="shared" si="402"/>
        <v>0</v>
      </c>
      <c r="M216" s="33">
        <f t="shared" si="402"/>
        <v>0</v>
      </c>
      <c r="N216" s="33">
        <f t="shared" si="402"/>
        <v>0</v>
      </c>
      <c r="O216" s="33">
        <f t="shared" si="402"/>
        <v>0</v>
      </c>
      <c r="P216" s="33">
        <f t="shared" ref="P216:Q216" si="405">P998</f>
        <v>0</v>
      </c>
      <c r="Q216" s="33">
        <f t="shared" si="405"/>
        <v>0</v>
      </c>
      <c r="R216" s="114">
        <f t="shared" ref="R216" si="406">R998</f>
        <v>0</v>
      </c>
    </row>
    <row r="217" spans="1:18" ht="13.5" thickBot="1" x14ac:dyDescent="0.25">
      <c r="A217" s="107"/>
      <c r="B217" s="33"/>
      <c r="C217" s="187"/>
      <c r="D217" s="187"/>
      <c r="E217" s="1954"/>
      <c r="F217" s="1981"/>
      <c r="G217" s="187"/>
      <c r="H217" s="138"/>
      <c r="I217" s="33"/>
      <c r="J217" s="33"/>
      <c r="K217" s="33"/>
      <c r="L217" s="33"/>
      <c r="M217" s="33"/>
      <c r="N217" s="33"/>
      <c r="O217" s="33"/>
      <c r="P217" s="33"/>
      <c r="Q217" s="33"/>
      <c r="R217" s="114"/>
    </row>
    <row r="218" spans="1:18" s="92" customFormat="1" x14ac:dyDescent="0.2">
      <c r="A218" s="105">
        <f>SUM(A198:A217)</f>
        <v>2446000</v>
      </c>
      <c r="B218" s="53">
        <f>SUM(B198:B217)</f>
        <v>2507800</v>
      </c>
      <c r="C218" s="190">
        <f>SUM(C198:C217)</f>
        <v>2343200</v>
      </c>
      <c r="D218" s="190">
        <f>SUM(D198:D217)</f>
        <v>2213900</v>
      </c>
      <c r="E218" s="237"/>
      <c r="F218" s="1960" t="s">
        <v>565</v>
      </c>
      <c r="G218" s="199">
        <f t="shared" ref="G218:O218" si="407">SUM(G198:G217)</f>
        <v>2373300</v>
      </c>
      <c r="H218" s="180">
        <f>IF(D218=G218,0,IF(D218=0,100,(G218-D218)/D218*100))</f>
        <v>7.1999638646732009</v>
      </c>
      <c r="I218" s="53">
        <f t="shared" si="407"/>
        <v>2220300</v>
      </c>
      <c r="J218" s="53">
        <f t="shared" si="407"/>
        <v>2269300</v>
      </c>
      <c r="K218" s="53">
        <f t="shared" si="407"/>
        <v>2319400</v>
      </c>
      <c r="L218" s="53">
        <f t="shared" si="407"/>
        <v>2370600</v>
      </c>
      <c r="M218" s="53">
        <f t="shared" si="407"/>
        <v>2418900</v>
      </c>
      <c r="N218" s="53">
        <f t="shared" si="407"/>
        <v>2468200</v>
      </c>
      <c r="O218" s="53">
        <f t="shared" si="407"/>
        <v>2518400</v>
      </c>
      <c r="P218" s="53">
        <f t="shared" ref="P218:Q218" si="408">SUM(P198:P217)</f>
        <v>2569800</v>
      </c>
      <c r="Q218" s="53">
        <f t="shared" si="408"/>
        <v>2622200</v>
      </c>
      <c r="R218" s="113">
        <f t="shared" ref="R218" si="409">SUM(R198:R217)</f>
        <v>2675600</v>
      </c>
    </row>
    <row r="219" spans="1:18" x14ac:dyDescent="0.2">
      <c r="A219" s="107"/>
      <c r="B219" s="33"/>
      <c r="E219" s="1955"/>
      <c r="F219" s="1981"/>
      <c r="G219" s="187"/>
      <c r="H219" s="138"/>
      <c r="I219" s="33"/>
      <c r="J219" s="33"/>
      <c r="K219" s="33"/>
      <c r="L219" s="33"/>
      <c r="M219" s="33"/>
      <c r="N219" s="33"/>
      <c r="O219" s="33"/>
      <c r="P219" s="33"/>
      <c r="Q219" s="33"/>
      <c r="R219" s="114"/>
    </row>
    <row r="220" spans="1:18" s="92" customFormat="1" x14ac:dyDescent="0.2">
      <c r="A220" s="70">
        <f>A196-A218</f>
        <v>-2116700</v>
      </c>
      <c r="B220" s="64">
        <f>B196-B218</f>
        <v>-2160400</v>
      </c>
      <c r="C220" s="193">
        <f>C196-C218</f>
        <v>-2051500</v>
      </c>
      <c r="D220" s="193">
        <f>D196-D218</f>
        <v>-1839300</v>
      </c>
      <c r="E220" s="237"/>
      <c r="F220" s="522" t="s">
        <v>1019</v>
      </c>
      <c r="G220" s="192">
        <f t="shared" ref="G220:O220" si="410">G196-G218</f>
        <v>-1794300</v>
      </c>
      <c r="H220" s="179">
        <f>IF(D220=G220,0,IF(D220=0,100,(G220-D220)/D220*100))</f>
        <v>-2.4465829391616376</v>
      </c>
      <c r="I220" s="64">
        <f t="shared" si="410"/>
        <v>-1843400</v>
      </c>
      <c r="J220" s="64">
        <f t="shared" si="410"/>
        <v>-1890500</v>
      </c>
      <c r="K220" s="64">
        <f t="shared" si="410"/>
        <v>-1938700</v>
      </c>
      <c r="L220" s="64">
        <f t="shared" si="410"/>
        <v>-1987900</v>
      </c>
      <c r="M220" s="64">
        <f t="shared" si="410"/>
        <v>-2034200</v>
      </c>
      <c r="N220" s="64">
        <f t="shared" si="410"/>
        <v>-2081500</v>
      </c>
      <c r="O220" s="64">
        <f t="shared" si="410"/>
        <v>-2129700</v>
      </c>
      <c r="P220" s="64">
        <f t="shared" ref="P220:Q220" si="411">P196-P218</f>
        <v>-2179100</v>
      </c>
      <c r="Q220" s="64">
        <f t="shared" si="411"/>
        <v>-2229500</v>
      </c>
      <c r="R220" s="115">
        <f t="shared" ref="R220" si="412">R196-R218</f>
        <v>-2280900</v>
      </c>
    </row>
    <row r="221" spans="1:18" x14ac:dyDescent="0.2">
      <c r="A221" s="107">
        <f>ROUND(SUM(A214:A215),-3)</f>
        <v>1663000</v>
      </c>
      <c r="B221" s="33">
        <f>SUM(B214:B215)</f>
        <v>1655900</v>
      </c>
      <c r="C221" s="33">
        <f>SUM(C214:C215)</f>
        <v>1419300</v>
      </c>
      <c r="D221" s="33">
        <f>SUM(D214:D215)</f>
        <v>1458800</v>
      </c>
      <c r="E221" s="1955"/>
      <c r="F221" s="320" t="s">
        <v>1976</v>
      </c>
      <c r="G221" s="187">
        <f t="shared" ref="G221:O221" si="413">SUM(G214:G215)</f>
        <v>1445000</v>
      </c>
      <c r="H221" s="138">
        <f>IF(D221=G221,0,IF(D221=0,100,(G221-D221)/D221*100))</f>
        <v>-0.94598299972580202</v>
      </c>
      <c r="I221" s="187">
        <f t="shared" si="413"/>
        <v>1474000</v>
      </c>
      <c r="J221" s="187">
        <f t="shared" si="413"/>
        <v>1503600</v>
      </c>
      <c r="K221" s="187">
        <f t="shared" si="413"/>
        <v>1533800</v>
      </c>
      <c r="L221" s="187">
        <f t="shared" si="413"/>
        <v>1564600</v>
      </c>
      <c r="M221" s="187">
        <f t="shared" si="413"/>
        <v>1596000</v>
      </c>
      <c r="N221" s="187">
        <f t="shared" si="413"/>
        <v>1628000</v>
      </c>
      <c r="O221" s="187">
        <f t="shared" si="413"/>
        <v>1660700</v>
      </c>
      <c r="P221" s="187">
        <f t="shared" ref="P221:Q221" si="414">SUM(P214:P215)</f>
        <v>1694000</v>
      </c>
      <c r="Q221" s="187">
        <f t="shared" si="414"/>
        <v>1728000</v>
      </c>
      <c r="R221" s="188">
        <f t="shared" ref="R221" si="415">SUM(R214:R215)</f>
        <v>1762700</v>
      </c>
    </row>
    <row r="222" spans="1:18" x14ac:dyDescent="0.2">
      <c r="A222" s="107">
        <f>ROUND(SUM(A216:A216),-3)</f>
        <v>98000</v>
      </c>
      <c r="B222" s="33">
        <f>SUM(B216:B216)</f>
        <v>78300</v>
      </c>
      <c r="C222" s="33">
        <f>SUM(C216:C216)</f>
        <v>1200</v>
      </c>
      <c r="D222" s="33">
        <f>SUM(D216:D216)</f>
        <v>0</v>
      </c>
      <c r="E222" s="1955"/>
      <c r="F222" s="320" t="s">
        <v>4618</v>
      </c>
      <c r="G222" s="187">
        <f t="shared" ref="G222:O222" si="416">SUM(G216:G216)</f>
        <v>0</v>
      </c>
      <c r="H222" s="138">
        <f>IF(D222=G222,0,IF(D222=0,100,(G222-D222)/D222*100))</f>
        <v>0</v>
      </c>
      <c r="I222" s="187">
        <f t="shared" si="416"/>
        <v>0</v>
      </c>
      <c r="J222" s="187">
        <f t="shared" si="416"/>
        <v>0</v>
      </c>
      <c r="K222" s="187">
        <f t="shared" si="416"/>
        <v>0</v>
      </c>
      <c r="L222" s="187">
        <f t="shared" si="416"/>
        <v>0</v>
      </c>
      <c r="M222" s="187">
        <f t="shared" si="416"/>
        <v>0</v>
      </c>
      <c r="N222" s="187">
        <f t="shared" si="416"/>
        <v>0</v>
      </c>
      <c r="O222" s="187">
        <f t="shared" si="416"/>
        <v>0</v>
      </c>
      <c r="P222" s="187">
        <f t="shared" ref="P222:Q222" si="417">SUM(P216:P216)</f>
        <v>0</v>
      </c>
      <c r="Q222" s="187">
        <f t="shared" si="417"/>
        <v>0</v>
      </c>
      <c r="R222" s="188">
        <f t="shared" ref="R222" si="418">SUM(R216:R216)</f>
        <v>0</v>
      </c>
    </row>
    <row r="223" spans="1:18" s="92" customFormat="1" x14ac:dyDescent="0.2">
      <c r="A223" s="181">
        <f>A220+A221+A222</f>
        <v>-355700</v>
      </c>
      <c r="B223" s="397">
        <f>B220+B221+B222</f>
        <v>-426200</v>
      </c>
      <c r="C223" s="397">
        <f>C220+C221+C222</f>
        <v>-631000</v>
      </c>
      <c r="D223" s="397">
        <f>D220+D221+D222</f>
        <v>-380500</v>
      </c>
      <c r="E223" s="523"/>
      <c r="F223" s="515" t="s">
        <v>1687</v>
      </c>
      <c r="G223" s="728">
        <f t="shared" ref="G223:O223" si="419">G220+G221+G222</f>
        <v>-349300</v>
      </c>
      <c r="H223" s="395">
        <f>IF(D223=G223,0,IF(D223=0,100,(G223-D223)/D223*100))</f>
        <v>-8.1997371879106442</v>
      </c>
      <c r="I223" s="728">
        <f t="shared" si="419"/>
        <v>-369400</v>
      </c>
      <c r="J223" s="728">
        <f t="shared" si="419"/>
        <v>-386900</v>
      </c>
      <c r="K223" s="728">
        <f t="shared" si="419"/>
        <v>-404900</v>
      </c>
      <c r="L223" s="728">
        <f t="shared" si="419"/>
        <v>-423300</v>
      </c>
      <c r="M223" s="728">
        <f t="shared" si="419"/>
        <v>-438200</v>
      </c>
      <c r="N223" s="728">
        <f t="shared" si="419"/>
        <v>-453500</v>
      </c>
      <c r="O223" s="728">
        <f t="shared" si="419"/>
        <v>-469000</v>
      </c>
      <c r="P223" s="728">
        <f t="shared" ref="P223:Q223" si="420">P220+P221+P222</f>
        <v>-485100</v>
      </c>
      <c r="Q223" s="728">
        <f t="shared" si="420"/>
        <v>-501500</v>
      </c>
      <c r="R223" s="1716">
        <f t="shared" ref="R223" si="421">R220+R221+R222</f>
        <v>-518200</v>
      </c>
    </row>
    <row r="224" spans="1:18" ht="13.5" thickBot="1" x14ac:dyDescent="0.25">
      <c r="A224" s="751"/>
      <c r="B224" s="64"/>
      <c r="C224" s="192"/>
      <c r="D224" s="192"/>
      <c r="E224" s="1954"/>
      <c r="F224" s="175"/>
      <c r="G224" s="192"/>
      <c r="H224" s="179"/>
      <c r="I224" s="33"/>
      <c r="J224" s="33"/>
      <c r="K224" s="33"/>
      <c r="L224" s="33"/>
      <c r="M224" s="33"/>
      <c r="N224" s="33"/>
      <c r="O224" s="33"/>
      <c r="P224" s="33"/>
      <c r="Q224" s="33"/>
      <c r="R224" s="114"/>
    </row>
    <row r="225" spans="1:18" ht="13.5" thickTop="1" x14ac:dyDescent="0.2">
      <c r="A225" s="383"/>
      <c r="B225" s="162"/>
      <c r="C225" s="194"/>
      <c r="D225" s="194"/>
      <c r="E225" s="541"/>
      <c r="F225" s="640"/>
      <c r="G225" s="730"/>
      <c r="H225" s="505"/>
      <c r="I225" s="127"/>
      <c r="J225" s="127"/>
      <c r="K225" s="127"/>
      <c r="L225" s="127"/>
      <c r="M225" s="127"/>
      <c r="N225" s="127"/>
      <c r="O225" s="127"/>
      <c r="P225" s="127"/>
      <c r="Q225" s="127"/>
      <c r="R225" s="163"/>
    </row>
    <row r="226" spans="1:18" x14ac:dyDescent="0.2">
      <c r="A226" s="70"/>
      <c r="B226" s="64"/>
      <c r="C226" s="193"/>
      <c r="D226" s="193"/>
      <c r="E226" s="238"/>
      <c r="F226" s="1962" t="s">
        <v>196</v>
      </c>
      <c r="G226" s="192"/>
      <c r="H226" s="179"/>
      <c r="I226" s="33"/>
      <c r="J226" s="33"/>
      <c r="K226" s="33"/>
      <c r="L226" s="33"/>
      <c r="M226" s="33"/>
      <c r="N226" s="33"/>
      <c r="O226" s="33"/>
      <c r="P226" s="33"/>
      <c r="Q226" s="33"/>
      <c r="R226" s="114"/>
    </row>
    <row r="227" spans="1:18" x14ac:dyDescent="0.2">
      <c r="A227" s="70"/>
      <c r="B227" s="64"/>
      <c r="C227" s="193"/>
      <c r="D227" s="193"/>
      <c r="E227" s="238"/>
      <c r="F227" s="175"/>
      <c r="G227" s="192"/>
      <c r="H227" s="179"/>
      <c r="I227" s="33"/>
      <c r="J227" s="33"/>
      <c r="K227" s="33"/>
      <c r="L227" s="33"/>
      <c r="M227" s="33"/>
      <c r="N227" s="33"/>
      <c r="O227" s="33"/>
      <c r="P227" s="33"/>
      <c r="Q227" s="33"/>
      <c r="R227" s="114"/>
    </row>
    <row r="228" spans="1:18" x14ac:dyDescent="0.2">
      <c r="A228" s="107">
        <f t="shared" ref="A228:A232" si="422">ROUND(A1009,-3)</f>
        <v>0</v>
      </c>
      <c r="B228" s="33">
        <f t="shared" ref="B228:C232" si="423">B1009</f>
        <v>0</v>
      </c>
      <c r="C228" s="189">
        <f t="shared" si="423"/>
        <v>0</v>
      </c>
      <c r="D228" s="189">
        <f>D1009</f>
        <v>0</v>
      </c>
      <c r="E228" s="238"/>
      <c r="F228" s="1981" t="s">
        <v>2900</v>
      </c>
      <c r="G228" s="187">
        <f t="shared" ref="G228:O228" si="424">G1009</f>
        <v>0</v>
      </c>
      <c r="H228" s="138"/>
      <c r="I228" s="33">
        <f t="shared" si="424"/>
        <v>0</v>
      </c>
      <c r="J228" s="33">
        <f t="shared" si="424"/>
        <v>0</v>
      </c>
      <c r="K228" s="33">
        <f t="shared" si="424"/>
        <v>0</v>
      </c>
      <c r="L228" s="33">
        <f t="shared" si="424"/>
        <v>0</v>
      </c>
      <c r="M228" s="33">
        <f t="shared" si="424"/>
        <v>0</v>
      </c>
      <c r="N228" s="33">
        <f t="shared" si="424"/>
        <v>0</v>
      </c>
      <c r="O228" s="33">
        <f t="shared" si="424"/>
        <v>0</v>
      </c>
      <c r="P228" s="33">
        <f t="shared" ref="P228:Q228" si="425">P1009</f>
        <v>0</v>
      </c>
      <c r="Q228" s="33">
        <f t="shared" si="425"/>
        <v>0</v>
      </c>
      <c r="R228" s="114">
        <f t="shared" ref="R228" si="426">R1009</f>
        <v>0</v>
      </c>
    </row>
    <row r="229" spans="1:18" x14ac:dyDescent="0.2">
      <c r="A229" s="107">
        <f t="shared" si="422"/>
        <v>886000</v>
      </c>
      <c r="B229" s="33">
        <f t="shared" si="423"/>
        <v>643900</v>
      </c>
      <c r="C229" s="189">
        <f t="shared" si="423"/>
        <v>612300</v>
      </c>
      <c r="D229" s="189">
        <f>D1010</f>
        <v>507000</v>
      </c>
      <c r="E229" s="238"/>
      <c r="F229" s="366" t="s">
        <v>1942</v>
      </c>
      <c r="G229" s="198">
        <f t="shared" ref="G229:O229" si="427">G1010</f>
        <v>301600</v>
      </c>
      <c r="H229" s="138"/>
      <c r="I229" s="33">
        <f t="shared" si="427"/>
        <v>0</v>
      </c>
      <c r="J229" s="33">
        <f t="shared" si="427"/>
        <v>0</v>
      </c>
      <c r="K229" s="33">
        <f t="shared" si="427"/>
        <v>0</v>
      </c>
      <c r="L229" s="33">
        <f t="shared" si="427"/>
        <v>0</v>
      </c>
      <c r="M229" s="33">
        <f t="shared" si="427"/>
        <v>0</v>
      </c>
      <c r="N229" s="33">
        <f t="shared" si="427"/>
        <v>0</v>
      </c>
      <c r="O229" s="33">
        <f t="shared" si="427"/>
        <v>0</v>
      </c>
      <c r="P229" s="33">
        <f t="shared" ref="P229:Q229" si="428">P1010</f>
        <v>0</v>
      </c>
      <c r="Q229" s="33">
        <f t="shared" si="428"/>
        <v>0</v>
      </c>
      <c r="R229" s="114">
        <f t="shared" ref="R229" si="429">R1010</f>
        <v>0</v>
      </c>
    </row>
    <row r="230" spans="1:18" x14ac:dyDescent="0.2">
      <c r="A230" s="107">
        <f t="shared" si="422"/>
        <v>680000</v>
      </c>
      <c r="B230" s="33">
        <f t="shared" si="423"/>
        <v>852100</v>
      </c>
      <c r="C230" s="189">
        <f t="shared" si="423"/>
        <v>872000</v>
      </c>
      <c r="D230" s="189">
        <f>D1011</f>
        <v>567000</v>
      </c>
      <c r="E230" s="238"/>
      <c r="F230" s="366" t="s">
        <v>2348</v>
      </c>
      <c r="G230" s="198">
        <f t="shared" ref="G230:O230" si="430">G1011</f>
        <v>522500</v>
      </c>
      <c r="H230" s="138"/>
      <c r="I230" s="33">
        <f t="shared" si="430"/>
        <v>0</v>
      </c>
      <c r="J230" s="33">
        <f t="shared" si="430"/>
        <v>0</v>
      </c>
      <c r="K230" s="33">
        <f t="shared" si="430"/>
        <v>0</v>
      </c>
      <c r="L230" s="33">
        <f t="shared" si="430"/>
        <v>0</v>
      </c>
      <c r="M230" s="33">
        <f t="shared" si="430"/>
        <v>0</v>
      </c>
      <c r="N230" s="33">
        <f t="shared" si="430"/>
        <v>0</v>
      </c>
      <c r="O230" s="33">
        <f t="shared" si="430"/>
        <v>0</v>
      </c>
      <c r="P230" s="33">
        <f t="shared" ref="P230:Q230" si="431">P1011</f>
        <v>0</v>
      </c>
      <c r="Q230" s="33">
        <f t="shared" si="431"/>
        <v>0</v>
      </c>
      <c r="R230" s="114">
        <f t="shared" ref="R230" si="432">R1011</f>
        <v>0</v>
      </c>
    </row>
    <row r="231" spans="1:18" x14ac:dyDescent="0.2">
      <c r="A231" s="107">
        <f t="shared" si="422"/>
        <v>0</v>
      </c>
      <c r="B231" s="33">
        <f t="shared" si="423"/>
        <v>0</v>
      </c>
      <c r="C231" s="189">
        <f t="shared" si="423"/>
        <v>0</v>
      </c>
      <c r="D231" s="189">
        <f>D1012</f>
        <v>0</v>
      </c>
      <c r="E231" s="238"/>
      <c r="F231" s="366" t="s">
        <v>5984</v>
      </c>
      <c r="G231" s="198">
        <f t="shared" ref="G231:O231" si="433">G1012</f>
        <v>0</v>
      </c>
      <c r="H231" s="138"/>
      <c r="I231" s="33">
        <f t="shared" si="433"/>
        <v>0</v>
      </c>
      <c r="J231" s="33">
        <f t="shared" si="433"/>
        <v>0</v>
      </c>
      <c r="K231" s="33">
        <f t="shared" si="433"/>
        <v>0</v>
      </c>
      <c r="L231" s="33">
        <f t="shared" si="433"/>
        <v>0</v>
      </c>
      <c r="M231" s="33">
        <f t="shared" si="433"/>
        <v>0</v>
      </c>
      <c r="N231" s="33">
        <f t="shared" si="433"/>
        <v>0</v>
      </c>
      <c r="O231" s="33">
        <f t="shared" si="433"/>
        <v>0</v>
      </c>
      <c r="P231" s="33">
        <f t="shared" ref="P231:Q231" si="434">P1012</f>
        <v>0</v>
      </c>
      <c r="Q231" s="33">
        <f t="shared" si="434"/>
        <v>0</v>
      </c>
      <c r="R231" s="114">
        <f t="shared" ref="R231" si="435">R1012</f>
        <v>0</v>
      </c>
    </row>
    <row r="232" spans="1:18" x14ac:dyDescent="0.2">
      <c r="A232" s="107">
        <f t="shared" si="422"/>
        <v>162000</v>
      </c>
      <c r="B232" s="33">
        <f t="shared" si="423"/>
        <v>441800</v>
      </c>
      <c r="C232" s="189">
        <f t="shared" si="423"/>
        <v>221100</v>
      </c>
      <c r="D232" s="189">
        <f>D1013</f>
        <v>302700</v>
      </c>
      <c r="E232" s="238"/>
      <c r="F232" s="366" t="s">
        <v>972</v>
      </c>
      <c r="G232" s="198">
        <f t="shared" ref="G232:O232" si="436">G1013</f>
        <v>427400</v>
      </c>
      <c r="H232" s="138"/>
      <c r="I232" s="33">
        <f t="shared" si="436"/>
        <v>456000</v>
      </c>
      <c r="J232" s="33">
        <f t="shared" si="436"/>
        <v>474000</v>
      </c>
      <c r="K232" s="33">
        <f t="shared" si="436"/>
        <v>493000</v>
      </c>
      <c r="L232" s="33">
        <f t="shared" si="436"/>
        <v>506000</v>
      </c>
      <c r="M232" s="33">
        <f t="shared" si="436"/>
        <v>519000</v>
      </c>
      <c r="N232" s="33">
        <f t="shared" si="436"/>
        <v>532000</v>
      </c>
      <c r="O232" s="33">
        <f t="shared" si="436"/>
        <v>546000</v>
      </c>
      <c r="P232" s="33">
        <f t="shared" ref="P232:Q232" si="437">P1013</f>
        <v>560000</v>
      </c>
      <c r="Q232" s="33">
        <f t="shared" si="437"/>
        <v>574000</v>
      </c>
      <c r="R232" s="114">
        <f t="shared" ref="R232" si="438">R1013</f>
        <v>589000</v>
      </c>
    </row>
    <row r="233" spans="1:18" x14ac:dyDescent="0.2">
      <c r="A233" s="107"/>
      <c r="B233" s="33"/>
      <c r="E233" s="238"/>
      <c r="F233" s="516"/>
      <c r="G233" s="198"/>
      <c r="H233" s="138"/>
      <c r="I233" s="33"/>
      <c r="J233" s="33"/>
      <c r="K233" s="33"/>
      <c r="L233" s="33"/>
      <c r="M233" s="33"/>
      <c r="N233" s="33"/>
      <c r="O233" s="33"/>
      <c r="P233" s="33"/>
      <c r="Q233" s="33"/>
      <c r="R233" s="114"/>
    </row>
    <row r="234" spans="1:18" s="92" customFormat="1" x14ac:dyDescent="0.2">
      <c r="A234" s="181">
        <f>A223-A228-A229+A230++A231-A232</f>
        <v>-723700</v>
      </c>
      <c r="B234" s="397">
        <f>B223-B228-B229+B230++B231-B232</f>
        <v>-659800</v>
      </c>
      <c r="C234" s="398">
        <f>C223-C228-C229+C230++C231-C232</f>
        <v>-592400</v>
      </c>
      <c r="D234" s="398">
        <f>D223-D228-D229+D230++D231-D232</f>
        <v>-623200</v>
      </c>
      <c r="E234" s="526"/>
      <c r="F234" s="518" t="s">
        <v>2490</v>
      </c>
      <c r="G234" s="2605">
        <f t="shared" ref="G234:O234" si="439">G223-G228-G229+G230++G231-G232</f>
        <v>-555800</v>
      </c>
      <c r="H234" s="395">
        <f>IF(D234=G234,0,IF(D234=0,100,(G234-D234)/D234*100))</f>
        <v>-10.815147625160462</v>
      </c>
      <c r="I234" s="397">
        <f t="shared" si="439"/>
        <v>-825400</v>
      </c>
      <c r="J234" s="397">
        <f t="shared" si="439"/>
        <v>-860900</v>
      </c>
      <c r="K234" s="397">
        <f t="shared" si="439"/>
        <v>-897900</v>
      </c>
      <c r="L234" s="397">
        <f t="shared" si="439"/>
        <v>-929300</v>
      </c>
      <c r="M234" s="397">
        <f t="shared" si="439"/>
        <v>-957200</v>
      </c>
      <c r="N234" s="397">
        <f t="shared" si="439"/>
        <v>-985500</v>
      </c>
      <c r="O234" s="397">
        <f t="shared" si="439"/>
        <v>-1015000</v>
      </c>
      <c r="P234" s="397">
        <f t="shared" ref="P234:Q234" si="440">P223-P228-P229+P230++P231-P232</f>
        <v>-1045100</v>
      </c>
      <c r="Q234" s="397">
        <f t="shared" si="440"/>
        <v>-1075500</v>
      </c>
      <c r="R234" s="399">
        <f t="shared" ref="R234" si="441">R223-R228-R229+R230++R231-R232</f>
        <v>-1107200</v>
      </c>
    </row>
    <row r="235" spans="1:18" ht="13.5" thickBot="1" x14ac:dyDescent="0.25">
      <c r="A235" s="73"/>
      <c r="B235" s="90"/>
      <c r="C235" s="195"/>
      <c r="D235" s="195"/>
      <c r="E235" s="239"/>
      <c r="F235" s="368"/>
      <c r="G235" s="2502"/>
      <c r="H235" s="392"/>
      <c r="I235" s="66"/>
      <c r="J235" s="66"/>
      <c r="K235" s="66"/>
      <c r="L235" s="66"/>
      <c r="M235" s="66"/>
      <c r="N235" s="66"/>
      <c r="O235" s="66"/>
      <c r="P235" s="66"/>
      <c r="Q235" s="66"/>
      <c r="R235" s="165"/>
    </row>
    <row r="236" spans="1:18" ht="14.25" thickTop="1" thickBot="1" x14ac:dyDescent="0.25">
      <c r="A236" s="74"/>
      <c r="B236" s="74"/>
      <c r="C236" s="74"/>
      <c r="D236" s="74"/>
      <c r="E236" s="242"/>
      <c r="F236" s="137"/>
      <c r="G236" s="197"/>
      <c r="H236" s="2507"/>
      <c r="I236" s="99"/>
      <c r="J236" s="99"/>
      <c r="K236" s="99"/>
      <c r="L236" s="99"/>
      <c r="M236" s="99"/>
      <c r="N236" s="99"/>
      <c r="O236" s="99"/>
      <c r="P236" s="99"/>
      <c r="Q236" s="99"/>
      <c r="R236" s="99"/>
    </row>
    <row r="237" spans="1:18" ht="13.5" hidden="1" customHeight="1" thickBot="1" x14ac:dyDescent="0.25">
      <c r="A237" s="74"/>
      <c r="B237" s="74"/>
      <c r="C237" s="74"/>
      <c r="D237" s="74"/>
      <c r="E237" s="242"/>
      <c r="F237" s="137"/>
      <c r="G237" s="197"/>
      <c r="H237" s="2507"/>
      <c r="I237" s="99"/>
      <c r="J237" s="99"/>
      <c r="K237" s="99"/>
      <c r="L237" s="99"/>
      <c r="M237" s="99"/>
      <c r="N237" s="99"/>
      <c r="O237" s="99"/>
      <c r="P237" s="99"/>
      <c r="Q237" s="99"/>
      <c r="R237" s="99"/>
    </row>
    <row r="238" spans="1:18" ht="13.5" hidden="1" customHeight="1" thickBot="1" x14ac:dyDescent="0.25">
      <c r="A238" s="74"/>
      <c r="B238" s="74"/>
      <c r="C238" s="197"/>
      <c r="D238" s="197"/>
      <c r="E238" s="242"/>
      <c r="F238" s="137"/>
      <c r="G238" s="197"/>
      <c r="H238" s="2507"/>
      <c r="I238" s="99"/>
      <c r="J238" s="99"/>
      <c r="K238" s="99"/>
      <c r="L238" s="99"/>
      <c r="M238" s="99"/>
      <c r="N238" s="99"/>
      <c r="O238" s="99"/>
      <c r="P238" s="99"/>
      <c r="Q238" s="99"/>
      <c r="R238" s="99"/>
    </row>
    <row r="239" spans="1:18" s="91" customFormat="1" ht="18.75" customHeight="1" thickTop="1" thickBot="1" x14ac:dyDescent="0.3">
      <c r="A239" s="2865" t="s">
        <v>1889</v>
      </c>
      <c r="B239" s="2866"/>
      <c r="C239" s="2866"/>
      <c r="D239" s="2866"/>
      <c r="E239" s="2866"/>
      <c r="F239" s="2866"/>
      <c r="G239" s="2866"/>
      <c r="H239" s="2866"/>
      <c r="I239" s="2866"/>
      <c r="J239" s="2866"/>
      <c r="K239" s="2866"/>
      <c r="L239" s="2866"/>
      <c r="M239" s="2866"/>
      <c r="N239" s="2866"/>
      <c r="O239" s="2866"/>
      <c r="P239" s="2866"/>
      <c r="Q239" s="2866"/>
      <c r="R239" s="2867"/>
    </row>
    <row r="240" spans="1:18" s="44" customFormat="1" x14ac:dyDescent="0.2">
      <c r="A240" s="2848" t="s">
        <v>1856</v>
      </c>
      <c r="B240" s="2840"/>
      <c r="C240" s="2840"/>
      <c r="D240" s="2849"/>
      <c r="E240" s="369" t="s">
        <v>2663</v>
      </c>
      <c r="F240" s="2649" t="s">
        <v>2251</v>
      </c>
      <c r="G240" s="2885" t="s">
        <v>2253</v>
      </c>
      <c r="H240" s="2886"/>
      <c r="I240" s="2886"/>
      <c r="J240" s="2886"/>
      <c r="K240" s="2886"/>
      <c r="L240" s="2886"/>
      <c r="M240" s="2886"/>
      <c r="N240" s="2886"/>
      <c r="O240" s="2886"/>
      <c r="P240" s="2886"/>
      <c r="Q240" s="2886"/>
      <c r="R240" s="2887"/>
    </row>
    <row r="241" spans="1:18" s="23" customFormat="1" ht="13.5" thickBot="1" x14ac:dyDescent="0.25">
      <c r="A241" s="208" t="str">
        <f t="shared" ref="A241:B241" si="442">A3</f>
        <v>2012/13</v>
      </c>
      <c r="B241" s="75" t="str">
        <f t="shared" si="442"/>
        <v>2013/14</v>
      </c>
      <c r="C241" s="370" t="str">
        <f>C3</f>
        <v>2014/15</v>
      </c>
      <c r="D241" s="93" t="str">
        <f>D3</f>
        <v>2015/16</v>
      </c>
      <c r="E241" s="370" t="s">
        <v>2664</v>
      </c>
      <c r="F241" s="42"/>
      <c r="G241" s="2513" t="str">
        <f t="shared" ref="G241:P241" si="443">G3</f>
        <v>2016/17</v>
      </c>
      <c r="H241" s="2193" t="str">
        <f>H471</f>
        <v xml:space="preserve">% </v>
      </c>
      <c r="I241" s="370" t="str">
        <f t="shared" si="443"/>
        <v>2017/18</v>
      </c>
      <c r="J241" s="370" t="str">
        <f t="shared" si="443"/>
        <v>2018/19</v>
      </c>
      <c r="K241" s="370" t="str">
        <f t="shared" si="443"/>
        <v>2019/20</v>
      </c>
      <c r="L241" s="370" t="str">
        <f t="shared" si="443"/>
        <v>2020/21</v>
      </c>
      <c r="M241" s="370" t="str">
        <f t="shared" si="443"/>
        <v>2021/22</v>
      </c>
      <c r="N241" s="370" t="str">
        <f t="shared" si="443"/>
        <v>2022/23</v>
      </c>
      <c r="O241" s="370" t="str">
        <f t="shared" si="443"/>
        <v>2023/24</v>
      </c>
      <c r="P241" s="370" t="str">
        <f t="shared" si="443"/>
        <v>2024/25</v>
      </c>
      <c r="Q241" s="218" t="str">
        <f t="shared" ref="Q241" si="444">Q3</f>
        <v>2025/26</v>
      </c>
      <c r="R241" s="549" t="str">
        <f t="shared" ref="R241" si="445">R3</f>
        <v>2026/27</v>
      </c>
    </row>
    <row r="242" spans="1:18" x14ac:dyDescent="0.2">
      <c r="A242" s="107"/>
      <c r="B242" s="33"/>
      <c r="E242" s="1955"/>
      <c r="F242" s="169"/>
      <c r="G242" s="198"/>
      <c r="H242" s="138"/>
      <c r="I242" s="33"/>
      <c r="J242" s="33"/>
      <c r="K242" s="33"/>
      <c r="L242" s="33"/>
      <c r="M242" s="33"/>
      <c r="N242" s="33"/>
      <c r="O242" s="33"/>
      <c r="P242" s="33"/>
      <c r="Q242" s="33"/>
      <c r="R242" s="114"/>
    </row>
    <row r="243" spans="1:18" x14ac:dyDescent="0.2">
      <c r="A243" s="107"/>
      <c r="B243" s="33"/>
      <c r="D243" s="187"/>
      <c r="E243" s="1955"/>
      <c r="F243" s="365" t="s">
        <v>1073</v>
      </c>
      <c r="G243" s="198"/>
      <c r="H243" s="138"/>
      <c r="I243" s="33"/>
      <c r="J243" s="33"/>
      <c r="K243" s="33"/>
      <c r="L243" s="33"/>
      <c r="M243" s="33"/>
      <c r="N243" s="33"/>
      <c r="O243" s="33"/>
      <c r="P243" s="33"/>
      <c r="Q243" s="33"/>
      <c r="R243" s="114"/>
    </row>
    <row r="244" spans="1:18" x14ac:dyDescent="0.2">
      <c r="A244" s="107"/>
      <c r="B244" s="33"/>
      <c r="D244" s="187"/>
      <c r="E244" s="1955"/>
      <c r="F244" s="33"/>
      <c r="G244" s="198"/>
      <c r="H244" s="138"/>
      <c r="I244" s="33"/>
      <c r="J244" s="33"/>
      <c r="K244" s="33"/>
      <c r="L244" s="33"/>
      <c r="M244" s="33"/>
      <c r="N244" s="33"/>
      <c r="O244" s="33"/>
      <c r="P244" s="33"/>
      <c r="Q244" s="33"/>
      <c r="R244" s="114"/>
    </row>
    <row r="245" spans="1:18" x14ac:dyDescent="0.2">
      <c r="A245" s="107"/>
      <c r="B245" s="33"/>
      <c r="E245" s="1955"/>
      <c r="F245" s="116" t="s">
        <v>687</v>
      </c>
      <c r="G245" s="198"/>
      <c r="H245" s="138"/>
      <c r="I245" s="33"/>
      <c r="J245" s="33"/>
      <c r="K245" s="33"/>
      <c r="L245" s="33"/>
      <c r="M245" s="33"/>
      <c r="N245" s="33"/>
      <c r="O245" s="33"/>
      <c r="P245" s="33"/>
      <c r="Q245" s="33"/>
      <c r="R245" s="114"/>
    </row>
    <row r="246" spans="1:18" x14ac:dyDescent="0.2">
      <c r="A246" s="107">
        <f t="shared" ref="A246" si="446">SUM(A1022:A1024)</f>
        <v>47000</v>
      </c>
      <c r="B246" s="33">
        <f>SUM(B1022:B1024)</f>
        <v>1500</v>
      </c>
      <c r="C246" s="189">
        <f>SUM(C1022:C1024)</f>
        <v>12000</v>
      </c>
      <c r="D246" s="189">
        <f>SUM(D1022:D1024)</f>
        <v>0</v>
      </c>
      <c r="E246" s="1955">
        <v>22110</v>
      </c>
      <c r="F246" s="132" t="s">
        <v>3108</v>
      </c>
      <c r="G246" s="189">
        <f>SUM(G1022:G1024)</f>
        <v>0</v>
      </c>
      <c r="H246" s="138">
        <f>IF(D246=G246,0,IF(D246=0,100,(G246-D246)/D246*100))</f>
        <v>0</v>
      </c>
      <c r="I246" s="33">
        <f t="shared" ref="I246:Q246" si="447">SUM(I1022:I1024)</f>
        <v>0</v>
      </c>
      <c r="J246" s="33">
        <f t="shared" si="447"/>
        <v>0</v>
      </c>
      <c r="K246" s="33">
        <f t="shared" si="447"/>
        <v>0</v>
      </c>
      <c r="L246" s="33">
        <f t="shared" si="447"/>
        <v>0</v>
      </c>
      <c r="M246" s="33">
        <f t="shared" si="447"/>
        <v>0</v>
      </c>
      <c r="N246" s="33">
        <f t="shared" si="447"/>
        <v>0</v>
      </c>
      <c r="O246" s="33">
        <f t="shared" si="447"/>
        <v>0</v>
      </c>
      <c r="P246" s="33">
        <f t="shared" si="447"/>
        <v>0</v>
      </c>
      <c r="Q246" s="33">
        <f t="shared" si="447"/>
        <v>0</v>
      </c>
      <c r="R246" s="114">
        <f t="shared" ref="R246" si="448">SUM(R1022:R1024)</f>
        <v>0</v>
      </c>
    </row>
    <row r="247" spans="1:18" x14ac:dyDescent="0.2">
      <c r="A247" s="107">
        <f t="shared" ref="A247" si="449">A1025</f>
        <v>19800</v>
      </c>
      <c r="B247" s="33">
        <f t="shared" ref="B247" si="450">B1025</f>
        <v>37100</v>
      </c>
      <c r="C247" s="189">
        <f t="shared" ref="C247" si="451">C1025</f>
        <v>69300</v>
      </c>
      <c r="D247" s="189">
        <f t="shared" ref="D247" si="452">D1025</f>
        <v>62700</v>
      </c>
      <c r="E247" s="1955">
        <v>22110</v>
      </c>
      <c r="F247" s="132" t="s">
        <v>4560</v>
      </c>
      <c r="G247" s="189">
        <f t="shared" ref="G247" si="453">G1025</f>
        <v>54700</v>
      </c>
      <c r="H247" s="138">
        <f>IF(D247=G247,0,IF(D247=0,100,(G247-D247)/D247*100))</f>
        <v>-12.759170653907494</v>
      </c>
      <c r="I247" s="33">
        <f t="shared" ref="I247:Q247" si="454">I1025</f>
        <v>47500</v>
      </c>
      <c r="J247" s="33">
        <f t="shared" si="454"/>
        <v>40000</v>
      </c>
      <c r="K247" s="33">
        <f t="shared" si="454"/>
        <v>32200</v>
      </c>
      <c r="L247" s="33">
        <f t="shared" si="454"/>
        <v>24200</v>
      </c>
      <c r="M247" s="33">
        <f t="shared" si="454"/>
        <v>15800</v>
      </c>
      <c r="N247" s="33">
        <f t="shared" si="454"/>
        <v>7500</v>
      </c>
      <c r="O247" s="33">
        <f t="shared" si="454"/>
        <v>2600</v>
      </c>
      <c r="P247" s="33">
        <f t="shared" si="454"/>
        <v>0</v>
      </c>
      <c r="Q247" s="33">
        <f t="shared" si="454"/>
        <v>0</v>
      </c>
      <c r="R247" s="114">
        <f t="shared" ref="R247" si="455">R1025</f>
        <v>0</v>
      </c>
    </row>
    <row r="248" spans="1:18" x14ac:dyDescent="0.2">
      <c r="A248" s="107">
        <f t="shared" ref="A248" si="456">A1026</f>
        <v>608300</v>
      </c>
      <c r="B248" s="33">
        <f t="shared" ref="B248:D248" si="457">B1026</f>
        <v>228000</v>
      </c>
      <c r="C248" s="189">
        <f t="shared" si="457"/>
        <v>0</v>
      </c>
      <c r="D248" s="189">
        <f t="shared" si="457"/>
        <v>214000</v>
      </c>
      <c r="E248" s="1955">
        <v>22110</v>
      </c>
      <c r="F248" s="132" t="s">
        <v>6100</v>
      </c>
      <c r="G248" s="189">
        <f>G1026</f>
        <v>0</v>
      </c>
      <c r="H248" s="138">
        <f>IF(D248=G248,0,IF(D248=0,100,(G248-D248)/D248*100))</f>
        <v>-100</v>
      </c>
      <c r="I248" s="33">
        <f t="shared" ref="I248:Q248" si="458">I1026</f>
        <v>0</v>
      </c>
      <c r="J248" s="33">
        <f t="shared" si="458"/>
        <v>0</v>
      </c>
      <c r="K248" s="33">
        <f t="shared" si="458"/>
        <v>0</v>
      </c>
      <c r="L248" s="33">
        <f t="shared" si="458"/>
        <v>0</v>
      </c>
      <c r="M248" s="33">
        <f t="shared" si="458"/>
        <v>0</v>
      </c>
      <c r="N248" s="33">
        <f t="shared" si="458"/>
        <v>0</v>
      </c>
      <c r="O248" s="33">
        <f t="shared" si="458"/>
        <v>0</v>
      </c>
      <c r="P248" s="33">
        <f t="shared" si="458"/>
        <v>0</v>
      </c>
      <c r="Q248" s="33">
        <f t="shared" si="458"/>
        <v>0</v>
      </c>
      <c r="R248" s="114">
        <f t="shared" ref="R248" si="459">R1026</f>
        <v>0</v>
      </c>
    </row>
    <row r="249" spans="1:18" x14ac:dyDescent="0.2">
      <c r="A249" s="107">
        <f t="shared" ref="A249" si="460">A1028</f>
        <v>0</v>
      </c>
      <c r="B249" s="33">
        <f>B1028</f>
        <v>0</v>
      </c>
      <c r="C249" s="189">
        <f>C1028</f>
        <v>238800</v>
      </c>
      <c r="D249" s="189">
        <f>D1028</f>
        <v>0</v>
      </c>
      <c r="E249" s="1955">
        <v>22110</v>
      </c>
      <c r="F249" s="132" t="s">
        <v>3651</v>
      </c>
      <c r="G249" s="189">
        <f>G1028</f>
        <v>2495000</v>
      </c>
      <c r="H249" s="138">
        <f>IF(D249=G249,0,IF(D249=0,100,(G249-D249)/D249*100))</f>
        <v>100</v>
      </c>
      <c r="I249" s="33">
        <f t="shared" ref="I249:Q249" si="461">I1028</f>
        <v>935000</v>
      </c>
      <c r="J249" s="33">
        <f t="shared" si="461"/>
        <v>734000</v>
      </c>
      <c r="K249" s="33">
        <f t="shared" si="461"/>
        <v>634000</v>
      </c>
      <c r="L249" s="33">
        <f t="shared" si="461"/>
        <v>646700</v>
      </c>
      <c r="M249" s="33">
        <f t="shared" si="461"/>
        <v>659700</v>
      </c>
      <c r="N249" s="33">
        <f t="shared" si="461"/>
        <v>672900</v>
      </c>
      <c r="O249" s="33">
        <f t="shared" si="461"/>
        <v>686400</v>
      </c>
      <c r="P249" s="33">
        <f t="shared" si="461"/>
        <v>700200</v>
      </c>
      <c r="Q249" s="33">
        <f t="shared" si="461"/>
        <v>714300</v>
      </c>
      <c r="R249" s="114">
        <f t="shared" ref="R249" si="462">R1028</f>
        <v>728600</v>
      </c>
    </row>
    <row r="250" spans="1:18" x14ac:dyDescent="0.2">
      <c r="A250" s="107"/>
      <c r="B250" s="33"/>
      <c r="E250" s="1955">
        <v>22110</v>
      </c>
      <c r="F250" s="132" t="s">
        <v>1771</v>
      </c>
      <c r="G250" s="198">
        <f>G1027</f>
        <v>9600</v>
      </c>
      <c r="H250" s="138"/>
      <c r="I250" s="33">
        <f>I1027</f>
        <v>0</v>
      </c>
      <c r="J250" s="33">
        <f t="shared" ref="J250:R250" si="463">J1027</f>
        <v>0</v>
      </c>
      <c r="K250" s="33">
        <f t="shared" si="463"/>
        <v>0</v>
      </c>
      <c r="L250" s="33">
        <f t="shared" si="463"/>
        <v>0</v>
      </c>
      <c r="M250" s="33">
        <f t="shared" si="463"/>
        <v>0</v>
      </c>
      <c r="N250" s="33">
        <f t="shared" si="463"/>
        <v>0</v>
      </c>
      <c r="O250" s="33">
        <f t="shared" si="463"/>
        <v>0</v>
      </c>
      <c r="P250" s="33">
        <f t="shared" si="463"/>
        <v>0</v>
      </c>
      <c r="Q250" s="33">
        <f t="shared" si="463"/>
        <v>0</v>
      </c>
      <c r="R250" s="114">
        <f t="shared" si="463"/>
        <v>0</v>
      </c>
    </row>
    <row r="251" spans="1:18" x14ac:dyDescent="0.2">
      <c r="A251" s="107"/>
      <c r="B251" s="33"/>
      <c r="E251" s="1955"/>
      <c r="F251" s="33"/>
      <c r="G251" s="198"/>
      <c r="H251" s="138"/>
      <c r="I251" s="33"/>
      <c r="J251" s="33"/>
      <c r="K251" s="33"/>
      <c r="L251" s="33"/>
      <c r="M251" s="33"/>
      <c r="N251" s="33"/>
      <c r="O251" s="33"/>
      <c r="P251" s="33"/>
      <c r="Q251" s="33"/>
      <c r="R251" s="114"/>
    </row>
    <row r="252" spans="1:18" x14ac:dyDescent="0.2">
      <c r="A252" s="107"/>
      <c r="B252" s="33"/>
      <c r="E252" s="1955"/>
      <c r="F252" s="64" t="s">
        <v>2671</v>
      </c>
      <c r="G252" s="198"/>
      <c r="H252" s="138"/>
      <c r="I252" s="33"/>
      <c r="J252" s="33"/>
      <c r="K252" s="33"/>
      <c r="L252" s="33"/>
      <c r="M252" s="33"/>
      <c r="N252" s="33"/>
      <c r="O252" s="33"/>
      <c r="P252" s="33"/>
      <c r="Q252" s="33"/>
      <c r="R252" s="114"/>
    </row>
    <row r="253" spans="1:18" x14ac:dyDescent="0.2">
      <c r="A253" s="107">
        <f>SUM(A1029:A1032)</f>
        <v>12800</v>
      </c>
      <c r="B253" s="33">
        <f>SUM(B1029:B1032)</f>
        <v>233100</v>
      </c>
      <c r="C253" s="189">
        <f>SUM(C1029:C1032)</f>
        <v>93700</v>
      </c>
      <c r="D253" s="189">
        <f>SUM(D1029:D1032)</f>
        <v>73800</v>
      </c>
      <c r="E253" s="1955"/>
      <c r="F253" s="132" t="s">
        <v>4534</v>
      </c>
      <c r="G253" s="198">
        <f t="shared" ref="G253:O253" si="464">SUM(G1029:G1032)</f>
        <v>0</v>
      </c>
      <c r="H253" s="138">
        <f>IF(D253=G253,0,IF(D253=0,100,(G253-D253)/D253*100))</f>
        <v>-100</v>
      </c>
      <c r="I253" s="33">
        <f t="shared" si="464"/>
        <v>0</v>
      </c>
      <c r="J253" s="33">
        <f t="shared" si="464"/>
        <v>0</v>
      </c>
      <c r="K253" s="33">
        <f t="shared" si="464"/>
        <v>0</v>
      </c>
      <c r="L253" s="33">
        <f t="shared" si="464"/>
        <v>0</v>
      </c>
      <c r="M253" s="33">
        <f t="shared" si="464"/>
        <v>0</v>
      </c>
      <c r="N253" s="33">
        <f t="shared" si="464"/>
        <v>0</v>
      </c>
      <c r="O253" s="33">
        <f t="shared" si="464"/>
        <v>0</v>
      </c>
      <c r="P253" s="33">
        <f t="shared" ref="P253:Q253" si="465">SUM(P1029:P1032)</f>
        <v>0</v>
      </c>
      <c r="Q253" s="33">
        <f t="shared" si="465"/>
        <v>0</v>
      </c>
      <c r="R253" s="114">
        <f t="shared" ref="R253" si="466">SUM(R1029:R1032)</f>
        <v>0</v>
      </c>
    </row>
    <row r="254" spans="1:18" ht="13.5" thickBot="1" x14ac:dyDescent="0.25">
      <c r="A254" s="107"/>
      <c r="B254" s="33"/>
      <c r="E254" s="1955"/>
      <c r="F254" s="33"/>
      <c r="G254" s="198"/>
      <c r="H254" s="138"/>
      <c r="I254" s="33"/>
      <c r="J254" s="33"/>
      <c r="K254" s="33"/>
      <c r="L254" s="33"/>
      <c r="M254" s="33"/>
      <c r="N254" s="33"/>
      <c r="O254" s="33"/>
      <c r="P254" s="33"/>
      <c r="Q254" s="33"/>
      <c r="R254" s="114"/>
    </row>
    <row r="255" spans="1:18" s="92" customFormat="1" x14ac:dyDescent="0.2">
      <c r="A255" s="105">
        <f>SUM(A243:A254)</f>
        <v>687900</v>
      </c>
      <c r="B255" s="53">
        <f>SUM(B243:B254)</f>
        <v>499700</v>
      </c>
      <c r="C255" s="190">
        <f>SUM(C243:C254)</f>
        <v>413800</v>
      </c>
      <c r="D255" s="190">
        <f>SUM(D243:D254)</f>
        <v>350500</v>
      </c>
      <c r="E255" s="237"/>
      <c r="F255" s="378" t="s">
        <v>2605</v>
      </c>
      <c r="G255" s="2550">
        <f>SUM(G243:G254)</f>
        <v>2559300</v>
      </c>
      <c r="H255" s="180">
        <f>IF(D255=G255,0,IF(D255=0,100,(G255-D255)/D255*100))</f>
        <v>630.18544935805994</v>
      </c>
      <c r="I255" s="53">
        <f t="shared" ref="I255:Q255" si="467">SUM(I243:I254)</f>
        <v>982500</v>
      </c>
      <c r="J255" s="53">
        <f t="shared" si="467"/>
        <v>774000</v>
      </c>
      <c r="K255" s="53">
        <f t="shared" si="467"/>
        <v>666200</v>
      </c>
      <c r="L255" s="53">
        <f t="shared" si="467"/>
        <v>670900</v>
      </c>
      <c r="M255" s="53">
        <f t="shared" si="467"/>
        <v>675500</v>
      </c>
      <c r="N255" s="53">
        <f t="shared" si="467"/>
        <v>680400</v>
      </c>
      <c r="O255" s="53">
        <f t="shared" si="467"/>
        <v>689000</v>
      </c>
      <c r="P255" s="53">
        <f t="shared" si="467"/>
        <v>700200</v>
      </c>
      <c r="Q255" s="53">
        <f t="shared" si="467"/>
        <v>714300</v>
      </c>
      <c r="R255" s="113">
        <f t="shared" ref="R255" si="468">SUM(R243:R254)</f>
        <v>728600</v>
      </c>
    </row>
    <row r="256" spans="1:18" x14ac:dyDescent="0.2">
      <c r="A256" s="107"/>
      <c r="B256" s="33"/>
      <c r="E256" s="1955"/>
      <c r="F256" s="33"/>
      <c r="G256" s="198"/>
      <c r="H256" s="138"/>
      <c r="I256" s="33"/>
      <c r="J256" s="33"/>
      <c r="K256" s="33"/>
      <c r="L256" s="33"/>
      <c r="M256" s="33"/>
      <c r="N256" s="33"/>
      <c r="O256" s="33"/>
      <c r="P256" s="33"/>
      <c r="Q256" s="33"/>
      <c r="R256" s="114"/>
    </row>
    <row r="257" spans="1:18" x14ac:dyDescent="0.2">
      <c r="A257" s="107"/>
      <c r="B257" s="33"/>
      <c r="E257" s="1955"/>
      <c r="F257" s="365" t="s">
        <v>2205</v>
      </c>
      <c r="G257" s="198"/>
      <c r="H257" s="138"/>
      <c r="I257" s="33"/>
      <c r="J257" s="33"/>
      <c r="K257" s="33"/>
      <c r="L257" s="33"/>
      <c r="M257" s="33"/>
      <c r="N257" s="33"/>
      <c r="O257" s="33"/>
      <c r="P257" s="33"/>
      <c r="Q257" s="33"/>
      <c r="R257" s="114"/>
    </row>
    <row r="258" spans="1:18" x14ac:dyDescent="0.2">
      <c r="A258" s="107"/>
      <c r="B258" s="33"/>
      <c r="E258" s="1955"/>
      <c r="F258" s="365"/>
      <c r="G258" s="198"/>
      <c r="H258" s="138"/>
      <c r="I258" s="33"/>
      <c r="J258" s="33"/>
      <c r="K258" s="33"/>
      <c r="L258" s="33"/>
      <c r="M258" s="33"/>
      <c r="N258" s="33"/>
      <c r="O258" s="33"/>
      <c r="P258" s="33"/>
      <c r="Q258" s="33"/>
      <c r="R258" s="114"/>
    </row>
    <row r="259" spans="1:18" x14ac:dyDescent="0.2">
      <c r="A259" s="107"/>
      <c r="B259" s="33"/>
      <c r="E259" s="1955"/>
      <c r="F259" s="64" t="s">
        <v>2378</v>
      </c>
      <c r="G259" s="198"/>
      <c r="H259" s="138"/>
      <c r="I259" s="33"/>
      <c r="J259" s="33"/>
      <c r="K259" s="33"/>
      <c r="L259" s="33"/>
      <c r="M259" s="33"/>
      <c r="N259" s="33"/>
      <c r="O259" s="33"/>
      <c r="P259" s="33"/>
      <c r="Q259" s="33"/>
      <c r="R259" s="114"/>
    </row>
    <row r="260" spans="1:18" x14ac:dyDescent="0.2">
      <c r="A260" s="107">
        <f>(SUM(A1036:A1043))</f>
        <v>776500</v>
      </c>
      <c r="B260" s="33">
        <f>(SUM(B1036:B1043))</f>
        <v>628700</v>
      </c>
      <c r="C260" s="189">
        <f>(SUM(C1036:C1043))</f>
        <v>786800</v>
      </c>
      <c r="D260" s="189">
        <f>(SUM(D1036:D1043))</f>
        <v>666600</v>
      </c>
      <c r="E260" s="1955">
        <v>32110</v>
      </c>
      <c r="F260" s="33" t="s">
        <v>826</v>
      </c>
      <c r="G260" s="198">
        <f>(SUM(G1036:G1043))</f>
        <v>734000</v>
      </c>
      <c r="H260" s="138">
        <f t="shared" ref="H260:H264" si="469">IF(D260=G260,0,IF(D260=0,100,(G260-D260)/D260*100))</f>
        <v>10.11101110111011</v>
      </c>
      <c r="I260" s="33">
        <f t="shared" ref="I260:Q260" si="470">(SUM(I1036:I1043))</f>
        <v>771000</v>
      </c>
      <c r="J260" s="33">
        <f t="shared" si="470"/>
        <v>790500</v>
      </c>
      <c r="K260" s="33">
        <f t="shared" si="470"/>
        <v>810500</v>
      </c>
      <c r="L260" s="33">
        <f t="shared" si="470"/>
        <v>830900</v>
      </c>
      <c r="M260" s="33">
        <f t="shared" si="470"/>
        <v>847800</v>
      </c>
      <c r="N260" s="33">
        <f t="shared" si="470"/>
        <v>865000</v>
      </c>
      <c r="O260" s="33">
        <f t="shared" si="470"/>
        <v>882500</v>
      </c>
      <c r="P260" s="33">
        <f t="shared" si="470"/>
        <v>900400</v>
      </c>
      <c r="Q260" s="33">
        <f t="shared" si="470"/>
        <v>918700</v>
      </c>
      <c r="R260" s="114">
        <f t="shared" ref="R260" si="471">(SUM(R1036:R1043))</f>
        <v>937400</v>
      </c>
    </row>
    <row r="261" spans="1:18" ht="13.5" customHeight="1" x14ac:dyDescent="0.2">
      <c r="A261" s="107">
        <f t="shared" ref="A261:B261" si="472">(SUM(A1044:A1048))</f>
        <v>1263200</v>
      </c>
      <c r="B261" s="33">
        <f t="shared" si="472"/>
        <v>1293800</v>
      </c>
      <c r="C261" s="189">
        <f>(SUM(C1044:C1048))</f>
        <v>1261700</v>
      </c>
      <c r="D261" s="189">
        <f>(SUM(D1044:D1048))</f>
        <v>1379200</v>
      </c>
      <c r="E261" s="1955">
        <v>32117</v>
      </c>
      <c r="F261" s="33" t="s">
        <v>876</v>
      </c>
      <c r="G261" s="198">
        <f t="shared" ref="G261:P261" si="473">(SUM(G1044:G1048))</f>
        <v>1186300</v>
      </c>
      <c r="H261" s="138">
        <f t="shared" si="469"/>
        <v>-13.986368909512761</v>
      </c>
      <c r="I261" s="33">
        <f t="shared" si="473"/>
        <v>1246000</v>
      </c>
      <c r="J261" s="33">
        <f t="shared" si="473"/>
        <v>1277300</v>
      </c>
      <c r="K261" s="33">
        <f t="shared" si="473"/>
        <v>1309400</v>
      </c>
      <c r="L261" s="33">
        <f t="shared" si="473"/>
        <v>1342300</v>
      </c>
      <c r="M261" s="33">
        <f t="shared" si="473"/>
        <v>1369400</v>
      </c>
      <c r="N261" s="33">
        <f t="shared" si="473"/>
        <v>1397000</v>
      </c>
      <c r="O261" s="33">
        <f t="shared" si="473"/>
        <v>1425100</v>
      </c>
      <c r="P261" s="33">
        <f t="shared" si="473"/>
        <v>1453800</v>
      </c>
      <c r="Q261" s="33">
        <f t="shared" ref="Q261" si="474">(SUM(Q1044:Q1048))</f>
        <v>1483100</v>
      </c>
      <c r="R261" s="114">
        <f t="shared" ref="R261" si="475">(SUM(R1044:R1048))</f>
        <v>1512900</v>
      </c>
    </row>
    <row r="262" spans="1:18" x14ac:dyDescent="0.2">
      <c r="A262" s="107">
        <f>ROUND(SUM(A1051:A1053),-3)</f>
        <v>602000</v>
      </c>
      <c r="B262" s="33">
        <f>SUM(B1051:B1053)</f>
        <v>585900</v>
      </c>
      <c r="C262" s="189">
        <f>SUM(C1051:C1053)</f>
        <v>662800</v>
      </c>
      <c r="D262" s="189">
        <f>SUM(D1051:D1053)</f>
        <v>672300</v>
      </c>
      <c r="E262" s="1955">
        <v>32117</v>
      </c>
      <c r="F262" s="366" t="s">
        <v>233</v>
      </c>
      <c r="G262" s="198">
        <f t="shared" ref="G262:P262" si="476">SUM(G1051:G1053)</f>
        <v>654000</v>
      </c>
      <c r="H262" s="138">
        <f t="shared" si="469"/>
        <v>-2.7219991075412762</v>
      </c>
      <c r="I262" s="33">
        <f t="shared" si="476"/>
        <v>686000</v>
      </c>
      <c r="J262" s="33">
        <f t="shared" si="476"/>
        <v>703200</v>
      </c>
      <c r="K262" s="33">
        <f t="shared" si="476"/>
        <v>720900</v>
      </c>
      <c r="L262" s="33">
        <f t="shared" si="476"/>
        <v>739000</v>
      </c>
      <c r="M262" s="33">
        <f t="shared" si="476"/>
        <v>753900</v>
      </c>
      <c r="N262" s="33">
        <f t="shared" si="476"/>
        <v>769100</v>
      </c>
      <c r="O262" s="33">
        <f t="shared" si="476"/>
        <v>784600</v>
      </c>
      <c r="P262" s="33">
        <f t="shared" si="476"/>
        <v>800400</v>
      </c>
      <c r="Q262" s="33">
        <f t="shared" ref="Q262" si="477">SUM(Q1051:Q1053)</f>
        <v>816600</v>
      </c>
      <c r="R262" s="114">
        <f t="shared" ref="R262" si="478">SUM(R1051:R1053)</f>
        <v>833100</v>
      </c>
    </row>
    <row r="263" spans="1:18" x14ac:dyDescent="0.2">
      <c r="A263" s="107">
        <f>ROUND(SUM(A1054:A1055),-3)</f>
        <v>37000</v>
      </c>
      <c r="B263" s="33">
        <f>SUM(B1054:B1055)</f>
        <v>14800</v>
      </c>
      <c r="C263" s="189">
        <f>SUM(C1054:C1055)</f>
        <v>10400</v>
      </c>
      <c r="D263" s="189">
        <f>SUM(D1054:D1055)</f>
        <v>13100</v>
      </c>
      <c r="E263" s="1955">
        <v>32120</v>
      </c>
      <c r="F263" s="33" t="s">
        <v>1024</v>
      </c>
      <c r="G263" s="198">
        <f t="shared" ref="G263:P263" si="479">SUM(G1054:G1055)</f>
        <v>21000</v>
      </c>
      <c r="H263" s="138">
        <f t="shared" si="469"/>
        <v>60.305343511450381</v>
      </c>
      <c r="I263" s="33">
        <f t="shared" si="479"/>
        <v>22000</v>
      </c>
      <c r="J263" s="33">
        <f t="shared" si="479"/>
        <v>22600</v>
      </c>
      <c r="K263" s="33">
        <f t="shared" si="479"/>
        <v>23200</v>
      </c>
      <c r="L263" s="33">
        <f t="shared" si="479"/>
        <v>23800</v>
      </c>
      <c r="M263" s="33">
        <f t="shared" si="479"/>
        <v>24300</v>
      </c>
      <c r="N263" s="33">
        <f t="shared" si="479"/>
        <v>24800</v>
      </c>
      <c r="O263" s="33">
        <f t="shared" si="479"/>
        <v>25300</v>
      </c>
      <c r="P263" s="33">
        <f t="shared" si="479"/>
        <v>25900</v>
      </c>
      <c r="Q263" s="33">
        <f t="shared" ref="Q263" si="480">SUM(Q1054:Q1055)</f>
        <v>26500</v>
      </c>
      <c r="R263" s="114">
        <f t="shared" ref="R263" si="481">SUM(R1054:R1055)</f>
        <v>27100</v>
      </c>
    </row>
    <row r="264" spans="1:18" x14ac:dyDescent="0.2">
      <c r="A264" s="107">
        <f>ROUND(SUM(A1056:A1059),-3)</f>
        <v>363000</v>
      </c>
      <c r="B264" s="33">
        <f>SUM(B1056:B1059)</f>
        <v>335300</v>
      </c>
      <c r="C264" s="189">
        <f>SUM(C1056:C1059)</f>
        <v>380200</v>
      </c>
      <c r="D264" s="189">
        <f>SUM(D1056:D1059)</f>
        <v>397700</v>
      </c>
      <c r="E264" s="1955">
        <v>32110</v>
      </c>
      <c r="F264" s="33" t="s">
        <v>1870</v>
      </c>
      <c r="G264" s="198">
        <f>SUM(G1056:G1059)</f>
        <v>376000</v>
      </c>
      <c r="H264" s="138">
        <f t="shared" si="469"/>
        <v>-5.4563741513703796</v>
      </c>
      <c r="I264" s="33">
        <f t="shared" ref="I264:Q264" si="482">SUM(I1056:I1059)</f>
        <v>405000</v>
      </c>
      <c r="J264" s="33">
        <f t="shared" si="482"/>
        <v>415200</v>
      </c>
      <c r="K264" s="33">
        <f t="shared" si="482"/>
        <v>425700</v>
      </c>
      <c r="L264" s="33">
        <f t="shared" si="482"/>
        <v>436400</v>
      </c>
      <c r="M264" s="33">
        <f t="shared" si="482"/>
        <v>445200</v>
      </c>
      <c r="N264" s="33">
        <f t="shared" si="482"/>
        <v>454300</v>
      </c>
      <c r="O264" s="33">
        <f t="shared" si="482"/>
        <v>463600</v>
      </c>
      <c r="P264" s="33">
        <f t="shared" si="482"/>
        <v>473000</v>
      </c>
      <c r="Q264" s="33">
        <f t="shared" si="482"/>
        <v>482600</v>
      </c>
      <c r="R264" s="114">
        <f t="shared" ref="R264" si="483">SUM(R1056:R1059)</f>
        <v>492400</v>
      </c>
    </row>
    <row r="265" spans="1:18" x14ac:dyDescent="0.2">
      <c r="A265" s="107">
        <f>ROUND(SUM(A1050:A1050),-3)</f>
        <v>740000</v>
      </c>
      <c r="B265" s="33">
        <f>SUM(B1050:B1050)</f>
        <v>133600</v>
      </c>
      <c r="C265" s="189">
        <f>SUM(C1050:C1050)</f>
        <v>2000</v>
      </c>
      <c r="D265" s="189">
        <f>SUM(D1050:D1050)</f>
        <v>277400</v>
      </c>
      <c r="E265" s="1955">
        <v>32110</v>
      </c>
      <c r="F265" s="132" t="s">
        <v>7005</v>
      </c>
      <c r="G265" s="198">
        <f>SUM(G1050:G1050)</f>
        <v>0</v>
      </c>
      <c r="H265" s="138">
        <f t="shared" ref="H265" si="484">IF(D265=G265,0,IF(D265=0,100,(G265-D265)/D265*100))</f>
        <v>-100</v>
      </c>
      <c r="I265" s="33">
        <f t="shared" ref="I265:Q265" si="485">SUM(I1050:I1050)</f>
        <v>0</v>
      </c>
      <c r="J265" s="33">
        <f t="shared" si="485"/>
        <v>0</v>
      </c>
      <c r="K265" s="33">
        <f t="shared" si="485"/>
        <v>0</v>
      </c>
      <c r="L265" s="33">
        <f t="shared" si="485"/>
        <v>0</v>
      </c>
      <c r="M265" s="33">
        <f t="shared" si="485"/>
        <v>0</v>
      </c>
      <c r="N265" s="33">
        <f t="shared" si="485"/>
        <v>0</v>
      </c>
      <c r="O265" s="33">
        <f t="shared" si="485"/>
        <v>0</v>
      </c>
      <c r="P265" s="33">
        <f t="shared" si="485"/>
        <v>0</v>
      </c>
      <c r="Q265" s="33">
        <f t="shared" si="485"/>
        <v>0</v>
      </c>
      <c r="R265" s="114">
        <f t="shared" ref="R265" si="486">SUM(R1050:R1050)</f>
        <v>0</v>
      </c>
    </row>
    <row r="266" spans="1:18" x14ac:dyDescent="0.2">
      <c r="A266" s="107"/>
      <c r="B266" s="33"/>
      <c r="E266" s="1955"/>
      <c r="F266" s="33"/>
      <c r="G266" s="198"/>
      <c r="H266" s="138"/>
      <c r="I266" s="33"/>
      <c r="J266" s="33"/>
      <c r="K266" s="33"/>
      <c r="L266" s="33"/>
      <c r="M266" s="33"/>
      <c r="N266" s="33"/>
      <c r="O266" s="33"/>
      <c r="P266" s="33"/>
      <c r="Q266" s="33"/>
      <c r="R266" s="114"/>
    </row>
    <row r="267" spans="1:18" x14ac:dyDescent="0.2">
      <c r="A267" s="107"/>
      <c r="B267" s="33"/>
      <c r="E267" s="1955"/>
      <c r="F267" s="64" t="s">
        <v>1130</v>
      </c>
      <c r="G267" s="198"/>
      <c r="H267" s="138"/>
      <c r="I267" s="33"/>
      <c r="J267" s="33"/>
      <c r="K267" s="33"/>
      <c r="L267" s="33"/>
      <c r="M267" s="33"/>
      <c r="N267" s="33"/>
      <c r="O267" s="33"/>
      <c r="P267" s="33"/>
      <c r="Q267" s="33"/>
      <c r="R267" s="114"/>
    </row>
    <row r="268" spans="1:18" x14ac:dyDescent="0.2">
      <c r="A268" s="107">
        <f>ROUND(SUM(A1060:A1062),-3)</f>
        <v>298000</v>
      </c>
      <c r="B268" s="33">
        <f>SUM(B1060:B1062)</f>
        <v>427700</v>
      </c>
      <c r="C268" s="189">
        <f>SUM(C1060:C1062)</f>
        <v>430300</v>
      </c>
      <c r="D268" s="189">
        <f>SUM(D1060:D1062)</f>
        <v>360900</v>
      </c>
      <c r="E268" s="1955">
        <v>32120</v>
      </c>
      <c r="F268" s="33" t="s">
        <v>224</v>
      </c>
      <c r="G268" s="198">
        <f t="shared" ref="G268:P268" si="487">SUM(G1060:G1062)</f>
        <v>328600</v>
      </c>
      <c r="H268" s="138">
        <f>IF(D268=G268,0,IF(D268=0,100,(G268-D268)/D268*100))</f>
        <v>-8.9498476032141863</v>
      </c>
      <c r="I268" s="33">
        <f t="shared" si="487"/>
        <v>294300</v>
      </c>
      <c r="J268" s="33">
        <f t="shared" si="487"/>
        <v>259200</v>
      </c>
      <c r="K268" s="33">
        <f t="shared" si="487"/>
        <v>222600</v>
      </c>
      <c r="L268" s="33">
        <f t="shared" si="487"/>
        <v>184700</v>
      </c>
      <c r="M268" s="33">
        <f t="shared" si="487"/>
        <v>477000</v>
      </c>
      <c r="N268" s="33">
        <f t="shared" si="487"/>
        <v>418000</v>
      </c>
      <c r="O268" s="33">
        <f t="shared" si="487"/>
        <v>361300</v>
      </c>
      <c r="P268" s="33">
        <f t="shared" si="487"/>
        <v>306600</v>
      </c>
      <c r="Q268" s="33">
        <f t="shared" ref="Q268" si="488">SUM(Q1060:Q1062)</f>
        <v>263000</v>
      </c>
      <c r="R268" s="114">
        <f t="shared" ref="R268" si="489">SUM(R1060:R1062)</f>
        <v>243000</v>
      </c>
    </row>
    <row r="269" spans="1:18" x14ac:dyDescent="0.2">
      <c r="A269" s="107"/>
      <c r="B269" s="33"/>
      <c r="E269" s="1955"/>
      <c r="F269" s="33"/>
      <c r="G269" s="198"/>
      <c r="H269" s="138"/>
      <c r="I269" s="33"/>
      <c r="J269" s="33"/>
      <c r="K269" s="33"/>
      <c r="L269" s="33"/>
      <c r="M269" s="33"/>
      <c r="N269" s="33"/>
      <c r="O269" s="33"/>
      <c r="P269" s="33"/>
      <c r="Q269" s="33"/>
      <c r="R269" s="114"/>
    </row>
    <row r="270" spans="1:18" x14ac:dyDescent="0.2">
      <c r="A270" s="107"/>
      <c r="B270" s="33"/>
      <c r="E270" s="1955"/>
      <c r="F270" s="64" t="str">
        <f>F101</f>
        <v>Non-Cash Expenses</v>
      </c>
      <c r="G270" s="198"/>
      <c r="H270" s="138"/>
      <c r="I270" s="33"/>
      <c r="J270" s="33"/>
      <c r="K270" s="33"/>
      <c r="L270" s="33"/>
      <c r="M270" s="33"/>
      <c r="N270" s="33"/>
      <c r="O270" s="33"/>
      <c r="P270" s="33"/>
      <c r="Q270" s="33"/>
      <c r="R270" s="114"/>
    </row>
    <row r="271" spans="1:18" x14ac:dyDescent="0.2">
      <c r="A271" s="107">
        <f>ROUND(A1064,-3)</f>
        <v>6916000</v>
      </c>
      <c r="B271" s="33">
        <f t="shared" ref="B271:C273" si="490">B1064</f>
        <v>7228600</v>
      </c>
      <c r="C271" s="189">
        <f t="shared" si="490"/>
        <v>6163400</v>
      </c>
      <c r="D271" s="189">
        <f>D1064</f>
        <v>5853500</v>
      </c>
      <c r="E271" s="1955">
        <v>32120</v>
      </c>
      <c r="F271" s="132" t="s">
        <v>4223</v>
      </c>
      <c r="G271" s="198">
        <f t="shared" ref="G271:O271" si="491">G1064</f>
        <v>4819000</v>
      </c>
      <c r="H271" s="138">
        <f>IF(D271=G271,0,IF(D271=0,100,(G271-D271)/D271*100))</f>
        <v>-17.673186982147431</v>
      </c>
      <c r="I271" s="33">
        <f t="shared" si="491"/>
        <v>4915400</v>
      </c>
      <c r="J271" s="33">
        <f t="shared" si="491"/>
        <v>5013800</v>
      </c>
      <c r="K271" s="33">
        <f t="shared" si="491"/>
        <v>5114100</v>
      </c>
      <c r="L271" s="33">
        <f t="shared" si="491"/>
        <v>5216400</v>
      </c>
      <c r="M271" s="33">
        <f t="shared" si="491"/>
        <v>5320800</v>
      </c>
      <c r="N271" s="33">
        <f t="shared" si="491"/>
        <v>5427300</v>
      </c>
      <c r="O271" s="33">
        <f t="shared" si="491"/>
        <v>5535900</v>
      </c>
      <c r="P271" s="33">
        <f t="shared" ref="P271:Q271" si="492">P1064</f>
        <v>5646700</v>
      </c>
      <c r="Q271" s="33">
        <f t="shared" si="492"/>
        <v>5759700</v>
      </c>
      <c r="R271" s="114">
        <f t="shared" ref="R271" si="493">R1064</f>
        <v>5874900</v>
      </c>
    </row>
    <row r="272" spans="1:18" x14ac:dyDescent="0.2">
      <c r="A272" s="107">
        <f t="shared" ref="A272:A273" si="494">ROUND(A1065,-3)</f>
        <v>147000</v>
      </c>
      <c r="B272" s="33">
        <f t="shared" si="490"/>
        <v>135500</v>
      </c>
      <c r="C272" s="189">
        <f t="shared" si="490"/>
        <v>123000</v>
      </c>
      <c r="D272" s="189">
        <f>D1065</f>
        <v>109600</v>
      </c>
      <c r="E272" s="1955">
        <v>32120</v>
      </c>
      <c r="F272" s="33" t="s">
        <v>2782</v>
      </c>
      <c r="G272" s="198">
        <f t="shared" ref="G272:O273" si="495">G1065</f>
        <v>91400</v>
      </c>
      <c r="H272" s="138">
        <f>IF(D272=G272,0,IF(D272=0,100,(G272-D272)/D272*100))</f>
        <v>-16.605839416058394</v>
      </c>
      <c r="I272" s="33">
        <f t="shared" si="495"/>
        <v>71900</v>
      </c>
      <c r="J272" s="33">
        <f t="shared" si="495"/>
        <v>51000</v>
      </c>
      <c r="K272" s="33">
        <f t="shared" si="495"/>
        <v>28100</v>
      </c>
      <c r="L272" s="33">
        <f t="shared" si="495"/>
        <v>0</v>
      </c>
      <c r="M272" s="33">
        <f t="shared" si="495"/>
        <v>0</v>
      </c>
      <c r="N272" s="33">
        <f t="shared" si="495"/>
        <v>0</v>
      </c>
      <c r="O272" s="33">
        <f t="shared" si="495"/>
        <v>0</v>
      </c>
      <c r="P272" s="33">
        <f t="shared" ref="P272:Q272" si="496">P1065</f>
        <v>0</v>
      </c>
      <c r="Q272" s="33">
        <f t="shared" si="496"/>
        <v>0</v>
      </c>
      <c r="R272" s="114">
        <f t="shared" ref="R272" si="497">R1065</f>
        <v>0</v>
      </c>
    </row>
    <row r="273" spans="1:18" x14ac:dyDescent="0.2">
      <c r="A273" s="107">
        <f t="shared" si="494"/>
        <v>4636000</v>
      </c>
      <c r="B273" s="33">
        <f t="shared" si="490"/>
        <v>1634800</v>
      </c>
      <c r="C273" s="189">
        <f t="shared" si="490"/>
        <v>3009500</v>
      </c>
      <c r="D273" s="189">
        <f>D1066</f>
        <v>0</v>
      </c>
      <c r="E273" s="1955">
        <v>32120</v>
      </c>
      <c r="F273" s="132" t="s">
        <v>4520</v>
      </c>
      <c r="G273" s="198">
        <f t="shared" si="495"/>
        <v>0</v>
      </c>
      <c r="H273" s="138">
        <f>IF(D273=G273,0,IF(D273=0,100,(G273-D273)/D273*100))</f>
        <v>0</v>
      </c>
      <c r="I273" s="33">
        <f t="shared" si="495"/>
        <v>0</v>
      </c>
      <c r="J273" s="33">
        <f t="shared" si="495"/>
        <v>0</v>
      </c>
      <c r="K273" s="33">
        <f t="shared" si="495"/>
        <v>0</v>
      </c>
      <c r="L273" s="33">
        <f t="shared" si="495"/>
        <v>0</v>
      </c>
      <c r="M273" s="33">
        <f t="shared" si="495"/>
        <v>0</v>
      </c>
      <c r="N273" s="33">
        <f t="shared" si="495"/>
        <v>0</v>
      </c>
      <c r="O273" s="33">
        <f t="shared" si="495"/>
        <v>0</v>
      </c>
      <c r="P273" s="33">
        <f t="shared" ref="P273:Q273" si="498">P1066</f>
        <v>0</v>
      </c>
      <c r="Q273" s="33">
        <f t="shared" si="498"/>
        <v>0</v>
      </c>
      <c r="R273" s="114">
        <f t="shared" ref="R273" si="499">R1066</f>
        <v>0</v>
      </c>
    </row>
    <row r="274" spans="1:18" ht="13.5" thickBot="1" x14ac:dyDescent="0.25">
      <c r="A274" s="107"/>
      <c r="B274" s="33"/>
      <c r="E274" s="1955"/>
      <c r="F274" s="366"/>
      <c r="G274" s="198"/>
      <c r="H274" s="138"/>
      <c r="I274" s="33"/>
      <c r="J274" s="33"/>
      <c r="K274" s="33"/>
      <c r="L274" s="33"/>
      <c r="M274" s="33"/>
      <c r="N274" s="33"/>
      <c r="O274" s="33"/>
      <c r="P274" s="33"/>
      <c r="Q274" s="33"/>
      <c r="R274" s="114"/>
    </row>
    <row r="275" spans="1:18" s="92" customFormat="1" x14ac:dyDescent="0.2">
      <c r="A275" s="105">
        <f>SUM(A257:A274)</f>
        <v>15778700</v>
      </c>
      <c r="B275" s="53">
        <f>SUM(B257:B274)</f>
        <v>12418700</v>
      </c>
      <c r="C275" s="190">
        <f>SUM(C257:C274)</f>
        <v>12830100</v>
      </c>
      <c r="D275" s="190">
        <f>SUM(D257:D274)</f>
        <v>9730300</v>
      </c>
      <c r="E275" s="237"/>
      <c r="F275" s="378" t="s">
        <v>565</v>
      </c>
      <c r="G275" s="2550">
        <f>SUM(G257:G274)</f>
        <v>8210300</v>
      </c>
      <c r="H275" s="180">
        <f>IF(D275=G275,0,IF(D275=0,100,(G275-D275)/D275*100))</f>
        <v>-15.621306640083041</v>
      </c>
      <c r="I275" s="53">
        <f t="shared" ref="I275:Q275" si="500">SUM(I257:I274)</f>
        <v>8411600</v>
      </c>
      <c r="J275" s="53">
        <f t="shared" si="500"/>
        <v>8532800</v>
      </c>
      <c r="K275" s="53">
        <f t="shared" si="500"/>
        <v>8654500</v>
      </c>
      <c r="L275" s="53">
        <f t="shared" si="500"/>
        <v>8773500</v>
      </c>
      <c r="M275" s="53">
        <f t="shared" si="500"/>
        <v>9238400</v>
      </c>
      <c r="N275" s="53">
        <f t="shared" si="500"/>
        <v>9355500</v>
      </c>
      <c r="O275" s="53">
        <f t="shared" si="500"/>
        <v>9478300</v>
      </c>
      <c r="P275" s="53">
        <f t="shared" si="500"/>
        <v>9606800</v>
      </c>
      <c r="Q275" s="53">
        <f t="shared" si="500"/>
        <v>9750200</v>
      </c>
      <c r="R275" s="113">
        <f t="shared" ref="R275" si="501">SUM(R257:R274)</f>
        <v>9920800</v>
      </c>
    </row>
    <row r="276" spans="1:18" x14ac:dyDescent="0.2">
      <c r="A276" s="107"/>
      <c r="B276" s="33"/>
      <c r="E276" s="1955"/>
      <c r="F276" s="366"/>
      <c r="G276" s="2509"/>
      <c r="H276" s="138"/>
      <c r="I276" s="33"/>
      <c r="J276" s="33"/>
      <c r="K276" s="33"/>
      <c r="L276" s="33"/>
      <c r="M276" s="33"/>
      <c r="N276" s="33"/>
      <c r="O276" s="33"/>
      <c r="P276" s="33"/>
      <c r="Q276" s="33"/>
      <c r="R276" s="114"/>
    </row>
    <row r="277" spans="1:18" s="92" customFormat="1" x14ac:dyDescent="0.2">
      <c r="A277" s="70">
        <f>A255-A275</f>
        <v>-15090800</v>
      </c>
      <c r="B277" s="64">
        <f>B255-B275</f>
        <v>-11919000</v>
      </c>
      <c r="C277" s="193">
        <f>C255-C275</f>
        <v>-12416300</v>
      </c>
      <c r="D277" s="193">
        <f>D255-D275</f>
        <v>-9379800</v>
      </c>
      <c r="E277" s="237"/>
      <c r="F277" s="516" t="s">
        <v>1019</v>
      </c>
      <c r="G277" s="2511">
        <f>G255-G275</f>
        <v>-5651000</v>
      </c>
      <c r="H277" s="179">
        <f>IF(D277=G277,0,IF(D277=0,100,(G277-D277)/D277*100))</f>
        <v>-39.753512868078211</v>
      </c>
      <c r="I277" s="64">
        <f t="shared" ref="I277:Q277" si="502">I255-I275</f>
        <v>-7429100</v>
      </c>
      <c r="J277" s="64">
        <f t="shared" si="502"/>
        <v>-7758800</v>
      </c>
      <c r="K277" s="64">
        <f t="shared" si="502"/>
        <v>-7988300</v>
      </c>
      <c r="L277" s="64">
        <f t="shared" si="502"/>
        <v>-8102600</v>
      </c>
      <c r="M277" s="64">
        <f t="shared" si="502"/>
        <v>-8562900</v>
      </c>
      <c r="N277" s="64">
        <f t="shared" si="502"/>
        <v>-8675100</v>
      </c>
      <c r="O277" s="64">
        <f t="shared" si="502"/>
        <v>-8789300</v>
      </c>
      <c r="P277" s="64">
        <f t="shared" si="502"/>
        <v>-8906600</v>
      </c>
      <c r="Q277" s="64">
        <f t="shared" si="502"/>
        <v>-9035900</v>
      </c>
      <c r="R277" s="115">
        <f t="shared" ref="R277" si="503">R255-R275</f>
        <v>-9192200</v>
      </c>
    </row>
    <row r="278" spans="1:18" x14ac:dyDescent="0.2">
      <c r="A278" s="107">
        <f>ROUND(SUM(A270:A271),-3)</f>
        <v>6916000</v>
      </c>
      <c r="B278" s="33">
        <f>SUM(B270:B271)</f>
        <v>7228600</v>
      </c>
      <c r="C278" s="189">
        <f>SUM(C270:C271)</f>
        <v>6163400</v>
      </c>
      <c r="D278" s="189">
        <f>SUM(D270:D271)</f>
        <v>5853500</v>
      </c>
      <c r="E278" s="1955"/>
      <c r="F278" s="372" t="s">
        <v>1976</v>
      </c>
      <c r="G278" s="2509">
        <f t="shared" ref="G278:O278" si="504">SUM(G270:G271)</f>
        <v>4819000</v>
      </c>
      <c r="H278" s="138">
        <f>IF(D278=G278,0,IF(D278=0,100,(G278-D278)/D278*100))</f>
        <v>-17.673186982147431</v>
      </c>
      <c r="I278" s="187">
        <f t="shared" si="504"/>
        <v>4915400</v>
      </c>
      <c r="J278" s="187">
        <f t="shared" si="504"/>
        <v>5013800</v>
      </c>
      <c r="K278" s="187">
        <f t="shared" si="504"/>
        <v>5114100</v>
      </c>
      <c r="L278" s="187">
        <f t="shared" si="504"/>
        <v>5216400</v>
      </c>
      <c r="M278" s="187">
        <f t="shared" si="504"/>
        <v>5320800</v>
      </c>
      <c r="N278" s="187">
        <f t="shared" si="504"/>
        <v>5427300</v>
      </c>
      <c r="O278" s="187">
        <f t="shared" si="504"/>
        <v>5535900</v>
      </c>
      <c r="P278" s="187">
        <f t="shared" ref="P278:Q278" si="505">SUM(P270:P271)</f>
        <v>5646700</v>
      </c>
      <c r="Q278" s="187">
        <f t="shared" si="505"/>
        <v>5759700</v>
      </c>
      <c r="R278" s="188">
        <f t="shared" ref="R278" si="506">SUM(R270:R271)</f>
        <v>5874900</v>
      </c>
    </row>
    <row r="279" spans="1:18" x14ac:dyDescent="0.2">
      <c r="A279" s="107">
        <f>ROUND(SUM(A272:A272),-3)</f>
        <v>147000</v>
      </c>
      <c r="B279" s="33">
        <f t="shared" ref="B279:D280" si="507">SUM(B272:B272)</f>
        <v>135500</v>
      </c>
      <c r="C279" s="189">
        <f t="shared" si="507"/>
        <v>123000</v>
      </c>
      <c r="D279" s="189">
        <f t="shared" si="507"/>
        <v>109600</v>
      </c>
      <c r="E279" s="1955"/>
      <c r="F279" s="742" t="s">
        <v>4543</v>
      </c>
      <c r="G279" s="2509">
        <f t="shared" ref="G279:O279" si="508">SUM(G272:G272)</f>
        <v>91400</v>
      </c>
      <c r="H279" s="138">
        <f>IF(D279=G279,0,IF(D279=0,100,(G279-D279)/D279*100))</f>
        <v>-16.605839416058394</v>
      </c>
      <c r="I279" s="187">
        <f t="shared" si="508"/>
        <v>71900</v>
      </c>
      <c r="J279" s="187">
        <f t="shared" si="508"/>
        <v>51000</v>
      </c>
      <c r="K279" s="187">
        <f t="shared" si="508"/>
        <v>28100</v>
      </c>
      <c r="L279" s="187">
        <f t="shared" si="508"/>
        <v>0</v>
      </c>
      <c r="M279" s="187">
        <f t="shared" si="508"/>
        <v>0</v>
      </c>
      <c r="N279" s="187">
        <f t="shared" si="508"/>
        <v>0</v>
      </c>
      <c r="O279" s="187">
        <f t="shared" si="508"/>
        <v>0</v>
      </c>
      <c r="P279" s="187">
        <f t="shared" ref="P279:Q279" si="509">SUM(P272:P272)</f>
        <v>0</v>
      </c>
      <c r="Q279" s="187">
        <f t="shared" si="509"/>
        <v>0</v>
      </c>
      <c r="R279" s="188">
        <f t="shared" ref="R279" si="510">SUM(R272:R272)</f>
        <v>0</v>
      </c>
    </row>
    <row r="280" spans="1:18" x14ac:dyDescent="0.2">
      <c r="A280" s="107">
        <f>ROUND(SUM(A273:A273),-3)</f>
        <v>4636000</v>
      </c>
      <c r="B280" s="33">
        <f t="shared" si="507"/>
        <v>1634800</v>
      </c>
      <c r="C280" s="189">
        <f t="shared" si="507"/>
        <v>3009500</v>
      </c>
      <c r="D280" s="189">
        <f t="shared" si="507"/>
        <v>0</v>
      </c>
      <c r="E280" s="1955"/>
      <c r="F280" s="742" t="s">
        <v>4620</v>
      </c>
      <c r="G280" s="2509">
        <f t="shared" ref="G280:O280" si="511">SUM(G273:G273)</f>
        <v>0</v>
      </c>
      <c r="H280" s="138">
        <f>IF(D280=G280,0,IF(D280=0,100,(G280-D280)/D280*100))</f>
        <v>0</v>
      </c>
      <c r="I280" s="187">
        <f t="shared" si="511"/>
        <v>0</v>
      </c>
      <c r="J280" s="187">
        <f t="shared" si="511"/>
        <v>0</v>
      </c>
      <c r="K280" s="187">
        <f t="shared" si="511"/>
        <v>0</v>
      </c>
      <c r="L280" s="187">
        <f t="shared" si="511"/>
        <v>0</v>
      </c>
      <c r="M280" s="187">
        <f t="shared" si="511"/>
        <v>0</v>
      </c>
      <c r="N280" s="187">
        <f t="shared" si="511"/>
        <v>0</v>
      </c>
      <c r="O280" s="187">
        <f t="shared" si="511"/>
        <v>0</v>
      </c>
      <c r="P280" s="187">
        <f t="shared" ref="P280:Q280" si="512">SUM(P273:P273)</f>
        <v>0</v>
      </c>
      <c r="Q280" s="187">
        <f t="shared" si="512"/>
        <v>0</v>
      </c>
      <c r="R280" s="188">
        <f t="shared" ref="R280" si="513">SUM(R273:R273)</f>
        <v>0</v>
      </c>
    </row>
    <row r="281" spans="1:18" s="92" customFormat="1" x14ac:dyDescent="0.2">
      <c r="A281" s="181">
        <f>SUM(A277:A280)</f>
        <v>-3391800</v>
      </c>
      <c r="B281" s="397">
        <f>SUM(B277:B280)</f>
        <v>-2920100</v>
      </c>
      <c r="C281" s="398">
        <f>SUM(C277:C280)</f>
        <v>-3120400</v>
      </c>
      <c r="D281" s="398">
        <f>SUM(D277:D280)</f>
        <v>-3416700</v>
      </c>
      <c r="E281" s="523"/>
      <c r="F281" s="518" t="s">
        <v>1687</v>
      </c>
      <c r="G281" s="2607">
        <f>SUM(G277:G280)</f>
        <v>-740600</v>
      </c>
      <c r="H281" s="395">
        <f>IF(D281=G281,0,IF(D281=0,100,(G281-D281)/D281*100))</f>
        <v>-78.324113911083799</v>
      </c>
      <c r="I281" s="728">
        <f t="shared" ref="I281:O281" si="514">SUM(I277:I280)</f>
        <v>-2441800</v>
      </c>
      <c r="J281" s="728">
        <f t="shared" si="514"/>
        <v>-2694000</v>
      </c>
      <c r="K281" s="728">
        <f t="shared" si="514"/>
        <v>-2846100</v>
      </c>
      <c r="L281" s="728">
        <f t="shared" si="514"/>
        <v>-2886200</v>
      </c>
      <c r="M281" s="728">
        <f t="shared" si="514"/>
        <v>-3242100</v>
      </c>
      <c r="N281" s="728">
        <f t="shared" si="514"/>
        <v>-3247800</v>
      </c>
      <c r="O281" s="728">
        <f t="shared" si="514"/>
        <v>-3253400</v>
      </c>
      <c r="P281" s="728">
        <f t="shared" ref="P281:Q281" si="515">SUM(P277:P280)</f>
        <v>-3259900</v>
      </c>
      <c r="Q281" s="728">
        <f t="shared" si="515"/>
        <v>-3276200</v>
      </c>
      <c r="R281" s="1716">
        <f t="shared" ref="R281" si="516">SUM(R277:R280)</f>
        <v>-3317300</v>
      </c>
    </row>
    <row r="282" spans="1:18" ht="13.5" thickBot="1" x14ac:dyDescent="0.25">
      <c r="A282" s="107"/>
      <c r="B282" s="33"/>
      <c r="E282" s="1955"/>
      <c r="F282" s="366"/>
      <c r="G282" s="2509"/>
      <c r="H282" s="138"/>
      <c r="I282" s="33"/>
      <c r="J282" s="33"/>
      <c r="K282" s="33"/>
      <c r="L282" s="33"/>
      <c r="M282" s="33"/>
      <c r="N282" s="33"/>
      <c r="O282" s="33"/>
      <c r="P282" s="33"/>
      <c r="Q282" s="33"/>
      <c r="R282" s="114"/>
    </row>
    <row r="283" spans="1:18" ht="13.5" thickTop="1" x14ac:dyDescent="0.2">
      <c r="A283" s="383"/>
      <c r="B283" s="162"/>
      <c r="C283" s="194"/>
      <c r="D283" s="194"/>
      <c r="E283" s="541"/>
      <c r="F283" s="367"/>
      <c r="G283" s="2608"/>
      <c r="H283" s="505"/>
      <c r="I283" s="127"/>
      <c r="J283" s="127"/>
      <c r="K283" s="127"/>
      <c r="L283" s="127"/>
      <c r="M283" s="127"/>
      <c r="N283" s="127"/>
      <c r="O283" s="127"/>
      <c r="P283" s="127"/>
      <c r="Q283" s="127"/>
      <c r="R283" s="163"/>
    </row>
    <row r="284" spans="1:18" x14ac:dyDescent="0.2">
      <c r="A284" s="70"/>
      <c r="B284" s="64"/>
      <c r="C284" s="193"/>
      <c r="D284" s="193"/>
      <c r="E284" s="238"/>
      <c r="F284" s="516" t="s">
        <v>196</v>
      </c>
      <c r="G284" s="2511"/>
      <c r="H284" s="179"/>
      <c r="I284" s="33"/>
      <c r="J284" s="33"/>
      <c r="K284" s="33"/>
      <c r="L284" s="33"/>
      <c r="M284" s="33"/>
      <c r="N284" s="33"/>
      <c r="O284" s="33"/>
      <c r="P284" s="33"/>
      <c r="Q284" s="33"/>
      <c r="R284" s="114"/>
    </row>
    <row r="285" spans="1:18" x14ac:dyDescent="0.2">
      <c r="A285" s="70"/>
      <c r="B285" s="64"/>
      <c r="C285" s="193"/>
      <c r="D285" s="193"/>
      <c r="E285" s="238"/>
      <c r="F285" s="516"/>
      <c r="G285" s="197"/>
      <c r="H285" s="179"/>
      <c r="I285" s="33"/>
      <c r="J285" s="33"/>
      <c r="K285" s="33"/>
      <c r="L285" s="33"/>
      <c r="M285" s="33"/>
      <c r="N285" s="33"/>
      <c r="O285" s="33"/>
      <c r="P285" s="33"/>
      <c r="Q285" s="33"/>
      <c r="R285" s="114"/>
    </row>
    <row r="286" spans="1:18" x14ac:dyDescent="0.2">
      <c r="A286" s="107">
        <f t="shared" ref="A286:A290" si="517">ROUND(A1076,-3)</f>
        <v>423000</v>
      </c>
      <c r="B286" s="33">
        <f t="shared" ref="B286:C290" si="518">B1076</f>
        <v>702600</v>
      </c>
      <c r="C286" s="189">
        <f t="shared" si="518"/>
        <v>822000</v>
      </c>
      <c r="D286" s="189">
        <f>D1076</f>
        <v>982800</v>
      </c>
      <c r="E286" s="238"/>
      <c r="F286" s="366" t="s">
        <v>2900</v>
      </c>
      <c r="G286" s="198">
        <f t="shared" ref="G286:O286" si="519">G1076</f>
        <v>1015100</v>
      </c>
      <c r="H286" s="138"/>
      <c r="I286" s="33">
        <f t="shared" si="519"/>
        <v>1049300</v>
      </c>
      <c r="J286" s="33">
        <f t="shared" si="519"/>
        <v>1084400</v>
      </c>
      <c r="K286" s="33">
        <f t="shared" si="519"/>
        <v>1170300</v>
      </c>
      <c r="L286" s="33">
        <f t="shared" si="519"/>
        <v>804600</v>
      </c>
      <c r="M286" s="33">
        <f t="shared" si="519"/>
        <v>1262300</v>
      </c>
      <c r="N286" s="33">
        <f t="shared" si="519"/>
        <v>1255900</v>
      </c>
      <c r="O286" s="33">
        <f t="shared" si="519"/>
        <v>1247800</v>
      </c>
      <c r="P286" s="33">
        <f t="shared" ref="P286:Q286" si="520">P1076</f>
        <v>1148900</v>
      </c>
      <c r="Q286" s="33">
        <f t="shared" si="520"/>
        <v>487000</v>
      </c>
      <c r="R286" s="114">
        <f t="shared" ref="R286" si="521">R1076</f>
        <v>507000</v>
      </c>
    </row>
    <row r="287" spans="1:18" x14ac:dyDescent="0.2">
      <c r="A287" s="107">
        <f t="shared" si="517"/>
        <v>9488000</v>
      </c>
      <c r="B287" s="33">
        <f t="shared" si="518"/>
        <v>2467900</v>
      </c>
      <c r="C287" s="189">
        <f t="shared" si="518"/>
        <v>1640400</v>
      </c>
      <c r="D287" s="189">
        <f>D1077</f>
        <v>1802200</v>
      </c>
      <c r="E287" s="238"/>
      <c r="F287" s="366" t="s">
        <v>1942</v>
      </c>
      <c r="G287" s="198">
        <f t="shared" ref="G287:O287" si="522">G1077</f>
        <v>25100</v>
      </c>
      <c r="H287" s="138"/>
      <c r="I287" s="33">
        <f t="shared" si="522"/>
        <v>0</v>
      </c>
      <c r="J287" s="33">
        <f t="shared" si="522"/>
        <v>0</v>
      </c>
      <c r="K287" s="33">
        <f t="shared" si="522"/>
        <v>0</v>
      </c>
      <c r="L287" s="33">
        <f t="shared" si="522"/>
        <v>0</v>
      </c>
      <c r="M287" s="33">
        <f t="shared" si="522"/>
        <v>0</v>
      </c>
      <c r="N287" s="33">
        <f t="shared" si="522"/>
        <v>0</v>
      </c>
      <c r="O287" s="33">
        <f t="shared" si="522"/>
        <v>0</v>
      </c>
      <c r="P287" s="33">
        <f t="shared" ref="P287:Q287" si="523">P1077</f>
        <v>0</v>
      </c>
      <c r="Q287" s="33">
        <f t="shared" si="523"/>
        <v>0</v>
      </c>
      <c r="R287" s="114">
        <f t="shared" ref="R287" si="524">R1077</f>
        <v>0</v>
      </c>
    </row>
    <row r="288" spans="1:18" x14ac:dyDescent="0.2">
      <c r="A288" s="107">
        <f t="shared" si="517"/>
        <v>2779000</v>
      </c>
      <c r="B288" s="33">
        <f t="shared" si="518"/>
        <v>9546500</v>
      </c>
      <c r="C288" s="189">
        <f t="shared" si="518"/>
        <v>5526800</v>
      </c>
      <c r="D288" s="189">
        <f>D1078</f>
        <v>2916200</v>
      </c>
      <c r="E288" s="238"/>
      <c r="F288" s="366" t="s">
        <v>2348</v>
      </c>
      <c r="G288" s="198">
        <f t="shared" ref="G288:O288" si="525">G1078</f>
        <v>2679400</v>
      </c>
      <c r="H288" s="138"/>
      <c r="I288" s="33">
        <f t="shared" si="525"/>
        <v>4641000</v>
      </c>
      <c r="J288" s="33">
        <f t="shared" si="525"/>
        <v>17171000</v>
      </c>
      <c r="K288" s="33">
        <f t="shared" si="525"/>
        <v>402000</v>
      </c>
      <c r="L288" s="33">
        <f t="shared" si="525"/>
        <v>13980000</v>
      </c>
      <c r="M288" s="33">
        <f t="shared" si="525"/>
        <v>13515000</v>
      </c>
      <c r="N288" s="33">
        <f t="shared" si="525"/>
        <v>370000</v>
      </c>
      <c r="O288" s="33">
        <f t="shared" si="525"/>
        <v>377000</v>
      </c>
      <c r="P288" s="33">
        <f t="shared" ref="P288:Q288" si="526">P1078</f>
        <v>385000</v>
      </c>
      <c r="Q288" s="33">
        <f t="shared" si="526"/>
        <v>393000</v>
      </c>
      <c r="R288" s="114">
        <f t="shared" ref="R288" si="527">R1078</f>
        <v>401000</v>
      </c>
    </row>
    <row r="289" spans="1:18" x14ac:dyDescent="0.2">
      <c r="A289" s="107">
        <f t="shared" si="517"/>
        <v>10074000</v>
      </c>
      <c r="B289" s="33">
        <f t="shared" si="518"/>
        <v>4803700</v>
      </c>
      <c r="C289" s="189">
        <f t="shared" si="518"/>
        <v>1540000</v>
      </c>
      <c r="D289" s="189">
        <f>D1079</f>
        <v>4718700</v>
      </c>
      <c r="E289" s="238"/>
      <c r="F289" s="366" t="s">
        <v>5984</v>
      </c>
      <c r="G289" s="198">
        <f t="shared" ref="G289:O289" si="528">G1079</f>
        <v>4888700</v>
      </c>
      <c r="H289" s="138"/>
      <c r="I289" s="33">
        <f t="shared" si="528"/>
        <v>4201000</v>
      </c>
      <c r="J289" s="33">
        <f t="shared" si="528"/>
        <v>2674000</v>
      </c>
      <c r="K289" s="33">
        <f t="shared" si="528"/>
        <v>174000</v>
      </c>
      <c r="L289" s="33">
        <f t="shared" si="528"/>
        <v>8340000</v>
      </c>
      <c r="M289" s="33">
        <f t="shared" si="528"/>
        <v>0</v>
      </c>
      <c r="N289" s="33">
        <f t="shared" si="528"/>
        <v>0</v>
      </c>
      <c r="O289" s="33">
        <f t="shared" si="528"/>
        <v>0</v>
      </c>
      <c r="P289" s="33">
        <f t="shared" ref="P289:Q289" si="529">P1079</f>
        <v>0</v>
      </c>
      <c r="Q289" s="33">
        <f t="shared" si="529"/>
        <v>0</v>
      </c>
      <c r="R289" s="114">
        <f t="shared" ref="R289" si="530">R1079</f>
        <v>0</v>
      </c>
    </row>
    <row r="290" spans="1:18" x14ac:dyDescent="0.2">
      <c r="A290" s="107">
        <f t="shared" si="517"/>
        <v>10230000</v>
      </c>
      <c r="B290" s="33">
        <f t="shared" si="518"/>
        <v>14424200</v>
      </c>
      <c r="C290" s="189">
        <f t="shared" si="518"/>
        <v>6975000</v>
      </c>
      <c r="D290" s="189">
        <f>D1080</f>
        <v>8501900</v>
      </c>
      <c r="E290" s="238"/>
      <c r="F290" s="366" t="s">
        <v>972</v>
      </c>
      <c r="G290" s="198">
        <f t="shared" ref="G290:O290" si="531">G1080</f>
        <v>13235200</v>
      </c>
      <c r="H290" s="138"/>
      <c r="I290" s="33">
        <f t="shared" si="531"/>
        <v>13118700</v>
      </c>
      <c r="J290" s="33">
        <f t="shared" si="531"/>
        <v>24385100</v>
      </c>
      <c r="K290" s="33">
        <f t="shared" si="531"/>
        <v>5620300</v>
      </c>
      <c r="L290" s="33">
        <f t="shared" si="531"/>
        <v>28487300</v>
      </c>
      <c r="M290" s="33">
        <f t="shared" si="531"/>
        <v>19167900</v>
      </c>
      <c r="N290" s="33">
        <f t="shared" si="531"/>
        <v>6264900</v>
      </c>
      <c r="O290" s="33">
        <f t="shared" si="531"/>
        <v>6522500</v>
      </c>
      <c r="P290" s="33">
        <f t="shared" ref="P290:Q290" si="532">P1080</f>
        <v>6944700</v>
      </c>
      <c r="Q290" s="33">
        <f t="shared" si="532"/>
        <v>7927500</v>
      </c>
      <c r="R290" s="114">
        <f t="shared" ref="R290" si="533">R1080</f>
        <v>8214900</v>
      </c>
    </row>
    <row r="291" spans="1:18" x14ac:dyDescent="0.2">
      <c r="A291" s="107"/>
      <c r="B291" s="33"/>
      <c r="E291" s="238"/>
      <c r="F291" s="516"/>
      <c r="G291" s="198"/>
      <c r="H291" s="138"/>
      <c r="I291" s="33"/>
      <c r="J291" s="33"/>
      <c r="K291" s="33"/>
      <c r="L291" s="33"/>
      <c r="M291" s="33"/>
      <c r="N291" s="33"/>
      <c r="O291" s="33"/>
      <c r="P291" s="33"/>
      <c r="Q291" s="33"/>
      <c r="R291" s="114"/>
    </row>
    <row r="292" spans="1:18" s="92" customFormat="1" x14ac:dyDescent="0.2">
      <c r="A292" s="181">
        <f>A281-A286-A287+A288++A289-A290</f>
        <v>-10679800</v>
      </c>
      <c r="B292" s="397">
        <f>B281-B286-B287+B288++B289-B290</f>
        <v>-6164600</v>
      </c>
      <c r="C292" s="398">
        <f>C281-C286-C287+C288++C289-C290</f>
        <v>-5491000</v>
      </c>
      <c r="D292" s="398">
        <f>D281-D286-D287+D288++D289-D290</f>
        <v>-7068700</v>
      </c>
      <c r="E292" s="526"/>
      <c r="F292" s="518" t="s">
        <v>2490</v>
      </c>
      <c r="G292" s="2605">
        <f t="shared" ref="G292:O292" si="534">G281-G286-G287+G288++G289-G290</f>
        <v>-7447900</v>
      </c>
      <c r="H292" s="395">
        <f>IF(D292=G292,0,IF(D292=0,100,(G292-D292)/D292*100))</f>
        <v>5.364494178561829</v>
      </c>
      <c r="I292" s="397">
        <f t="shared" si="534"/>
        <v>-7767800</v>
      </c>
      <c r="J292" s="397">
        <f t="shared" si="534"/>
        <v>-8318500</v>
      </c>
      <c r="K292" s="397">
        <f t="shared" si="534"/>
        <v>-9060700</v>
      </c>
      <c r="L292" s="397">
        <f t="shared" si="534"/>
        <v>-9858100</v>
      </c>
      <c r="M292" s="397">
        <f t="shared" si="534"/>
        <v>-10157300</v>
      </c>
      <c r="N292" s="397">
        <f t="shared" si="534"/>
        <v>-10398600</v>
      </c>
      <c r="O292" s="397">
        <f t="shared" si="534"/>
        <v>-10646700</v>
      </c>
      <c r="P292" s="397">
        <f t="shared" ref="P292:Q292" si="535">P281-P286-P287+P288++P289-P290</f>
        <v>-10968500</v>
      </c>
      <c r="Q292" s="397">
        <f t="shared" si="535"/>
        <v>-11297700</v>
      </c>
      <c r="R292" s="399">
        <f t="shared" ref="R292" si="536">R281-R286-R287+R288++R289-R290</f>
        <v>-11638200</v>
      </c>
    </row>
    <row r="293" spans="1:18" ht="13.5" thickBot="1" x14ac:dyDescent="0.25">
      <c r="A293" s="73"/>
      <c r="B293" s="90"/>
      <c r="C293" s="195"/>
      <c r="D293" s="195"/>
      <c r="E293" s="239"/>
      <c r="F293" s="368"/>
      <c r="G293" s="2502"/>
      <c r="H293" s="392"/>
      <c r="I293" s="66"/>
      <c r="J293" s="66"/>
      <c r="K293" s="66"/>
      <c r="L293" s="66"/>
      <c r="M293" s="66"/>
      <c r="N293" s="66"/>
      <c r="O293" s="66"/>
      <c r="P293" s="66"/>
      <c r="Q293" s="66"/>
      <c r="R293" s="165"/>
    </row>
    <row r="294" spans="1:18" s="99" customFormat="1" ht="14.25" thickTop="1" thickBot="1" x14ac:dyDescent="0.25">
      <c r="A294" s="74"/>
      <c r="B294" s="74"/>
      <c r="C294" s="196"/>
      <c r="D294" s="196"/>
      <c r="E294" s="242"/>
      <c r="F294" s="137"/>
      <c r="G294" s="196"/>
      <c r="H294" s="2483"/>
      <c r="I294" s="176"/>
    </row>
    <row r="295" spans="1:18" s="91" customFormat="1" ht="18.75" customHeight="1" thickTop="1" thickBot="1" x14ac:dyDescent="0.3">
      <c r="A295" s="2865" t="s">
        <v>659</v>
      </c>
      <c r="B295" s="2866"/>
      <c r="C295" s="2866"/>
      <c r="D295" s="2866"/>
      <c r="E295" s="2866"/>
      <c r="F295" s="2866"/>
      <c r="G295" s="2866"/>
      <c r="H295" s="2866"/>
      <c r="I295" s="2866"/>
      <c r="J295" s="2866"/>
      <c r="K295" s="2866"/>
      <c r="L295" s="2866"/>
      <c r="M295" s="2866"/>
      <c r="N295" s="2866"/>
      <c r="O295" s="2866"/>
      <c r="P295" s="2866"/>
      <c r="Q295" s="2866"/>
      <c r="R295" s="2867"/>
    </row>
    <row r="296" spans="1:18" s="44" customFormat="1" x14ac:dyDescent="0.2">
      <c r="A296" s="2848" t="s">
        <v>1856</v>
      </c>
      <c r="B296" s="2840"/>
      <c r="C296" s="2840"/>
      <c r="D296" s="2849"/>
      <c r="E296" s="369" t="s">
        <v>2663</v>
      </c>
      <c r="F296" s="2649" t="s">
        <v>2251</v>
      </c>
      <c r="G296" s="2885" t="s">
        <v>2253</v>
      </c>
      <c r="H296" s="2886"/>
      <c r="I296" s="2886"/>
      <c r="J296" s="2886"/>
      <c r="K296" s="2886"/>
      <c r="L296" s="2886"/>
      <c r="M296" s="2886"/>
      <c r="N296" s="2886"/>
      <c r="O296" s="2886"/>
      <c r="P296" s="2886"/>
      <c r="Q296" s="2886"/>
      <c r="R296" s="2887"/>
    </row>
    <row r="297" spans="1:18" s="23" customFormat="1" ht="12.75" customHeight="1" thickBot="1" x14ac:dyDescent="0.25">
      <c r="A297" s="208" t="str">
        <f>A3</f>
        <v>2012/13</v>
      </c>
      <c r="B297" s="75" t="str">
        <f>B3</f>
        <v>2013/14</v>
      </c>
      <c r="C297" s="370" t="str">
        <f>C3</f>
        <v>2014/15</v>
      </c>
      <c r="D297" s="93" t="str">
        <f>D3</f>
        <v>2015/16</v>
      </c>
      <c r="E297" s="370" t="s">
        <v>2664</v>
      </c>
      <c r="F297" s="42"/>
      <c r="G297" s="2513" t="str">
        <f>G3</f>
        <v>2016/17</v>
      </c>
      <c r="H297" s="2193" t="str">
        <f>H471</f>
        <v xml:space="preserve">% </v>
      </c>
      <c r="I297" s="370" t="str">
        <f t="shared" ref="I297:Q297" si="537">I3</f>
        <v>2017/18</v>
      </c>
      <c r="J297" s="370" t="str">
        <f t="shared" si="537"/>
        <v>2018/19</v>
      </c>
      <c r="K297" s="370" t="str">
        <f t="shared" si="537"/>
        <v>2019/20</v>
      </c>
      <c r="L297" s="370" t="str">
        <f t="shared" si="537"/>
        <v>2020/21</v>
      </c>
      <c r="M297" s="370" t="str">
        <f t="shared" si="537"/>
        <v>2021/22</v>
      </c>
      <c r="N297" s="370" t="str">
        <f t="shared" si="537"/>
        <v>2022/23</v>
      </c>
      <c r="O297" s="370" t="str">
        <f t="shared" si="537"/>
        <v>2023/24</v>
      </c>
      <c r="P297" s="381" t="str">
        <f t="shared" si="537"/>
        <v>2024/25</v>
      </c>
      <c r="Q297" s="218" t="str">
        <f t="shared" si="537"/>
        <v>2025/26</v>
      </c>
      <c r="R297" s="549" t="str">
        <f t="shared" ref="R297" si="538">R3</f>
        <v>2026/27</v>
      </c>
    </row>
    <row r="298" spans="1:18" x14ac:dyDescent="0.2">
      <c r="A298" s="107"/>
      <c r="B298" s="33"/>
      <c r="E298" s="1955"/>
      <c r="F298" s="169"/>
      <c r="G298" s="198"/>
      <c r="H298" s="138"/>
      <c r="I298" s="33"/>
      <c r="J298" s="33"/>
      <c r="K298" s="33"/>
      <c r="L298" s="33"/>
      <c r="M298" s="33"/>
      <c r="N298" s="33"/>
      <c r="O298" s="33"/>
      <c r="P298" s="142"/>
      <c r="Q298" s="33"/>
      <c r="R298" s="114"/>
    </row>
    <row r="299" spans="1:18" x14ac:dyDescent="0.2">
      <c r="A299" s="107"/>
      <c r="B299" s="33"/>
      <c r="D299" s="187"/>
      <c r="E299" s="1955"/>
      <c r="F299" s="365" t="s">
        <v>1073</v>
      </c>
      <c r="G299" s="198"/>
      <c r="H299" s="138"/>
      <c r="I299" s="33"/>
      <c r="J299" s="33"/>
      <c r="K299" s="33"/>
      <c r="L299" s="33"/>
      <c r="M299" s="33"/>
      <c r="N299" s="33"/>
      <c r="O299" s="33"/>
      <c r="P299" s="142"/>
      <c r="Q299" s="33"/>
      <c r="R299" s="114"/>
    </row>
    <row r="300" spans="1:18" x14ac:dyDescent="0.2">
      <c r="A300" s="107"/>
      <c r="B300" s="33"/>
      <c r="E300" s="1955"/>
      <c r="F300" s="365"/>
      <c r="G300" s="198"/>
      <c r="H300" s="138"/>
      <c r="I300" s="33"/>
      <c r="J300" s="33"/>
      <c r="K300" s="33"/>
      <c r="L300" s="33"/>
      <c r="M300" s="33"/>
      <c r="N300" s="33"/>
      <c r="O300" s="33"/>
      <c r="P300" s="142"/>
      <c r="Q300" s="33"/>
      <c r="R300" s="114"/>
    </row>
    <row r="301" spans="1:18" x14ac:dyDescent="0.2">
      <c r="A301" s="107"/>
      <c r="B301" s="33"/>
      <c r="E301" s="1955"/>
      <c r="F301" s="64" t="s">
        <v>2881</v>
      </c>
      <c r="G301" s="198"/>
      <c r="H301" s="138"/>
      <c r="I301" s="33"/>
      <c r="J301" s="33"/>
      <c r="K301" s="33"/>
      <c r="L301" s="33"/>
      <c r="M301" s="33"/>
      <c r="N301" s="33"/>
      <c r="O301" s="33"/>
      <c r="P301" s="142"/>
      <c r="Q301" s="33"/>
      <c r="R301" s="114"/>
    </row>
    <row r="302" spans="1:18" x14ac:dyDescent="0.2">
      <c r="A302" s="107">
        <f>ROUND(SUM(A1089:A1089),-3)</f>
        <v>55000</v>
      </c>
      <c r="B302" s="33">
        <f>SUM(B1089:B1089)</f>
        <v>248400</v>
      </c>
      <c r="C302" s="189">
        <f>SUM(C1089:C1090)</f>
        <v>190100</v>
      </c>
      <c r="D302" s="189">
        <f>SUM(D1089:D1090)</f>
        <v>728000</v>
      </c>
      <c r="E302" s="1955">
        <v>22151</v>
      </c>
      <c r="F302" s="33" t="s">
        <v>889</v>
      </c>
      <c r="G302" s="198">
        <f t="shared" ref="G302:O302" si="539">SUM(G1089:G1090)</f>
        <v>255000</v>
      </c>
      <c r="H302" s="138">
        <f>IF(D302=G302,0,IF(D302=0,100,(G302-D302)/D302*100))</f>
        <v>-64.972527472527474</v>
      </c>
      <c r="I302" s="33">
        <f t="shared" si="539"/>
        <v>258900</v>
      </c>
      <c r="J302" s="33">
        <f t="shared" si="539"/>
        <v>265500</v>
      </c>
      <c r="K302" s="33">
        <f t="shared" si="539"/>
        <v>272200</v>
      </c>
      <c r="L302" s="33">
        <f t="shared" si="539"/>
        <v>279100</v>
      </c>
      <c r="M302" s="33">
        <f t="shared" si="539"/>
        <v>284800</v>
      </c>
      <c r="N302" s="33">
        <f t="shared" si="539"/>
        <v>290600</v>
      </c>
      <c r="O302" s="33">
        <f t="shared" si="539"/>
        <v>296500</v>
      </c>
      <c r="P302" s="142">
        <f t="shared" ref="P302:Q302" si="540">SUM(P1089:P1090)</f>
        <v>302500</v>
      </c>
      <c r="Q302" s="33">
        <f t="shared" si="540"/>
        <v>308600</v>
      </c>
      <c r="R302" s="114">
        <f t="shared" ref="R302" si="541">SUM(R1089:R1090)</f>
        <v>314900</v>
      </c>
    </row>
    <row r="303" spans="1:18" x14ac:dyDescent="0.2">
      <c r="A303" s="107">
        <f>ROUND(SUM(A1096:A1099),-3)</f>
        <v>6000</v>
      </c>
      <c r="B303" s="33">
        <f>SUM(B1096:B1099)</f>
        <v>56500</v>
      </c>
      <c r="C303" s="189">
        <f>SUM(C1096:C1099)</f>
        <v>55400</v>
      </c>
      <c r="D303" s="189">
        <f>SUM(D1096:D1099)</f>
        <v>41100</v>
      </c>
      <c r="E303" s="1955">
        <v>22151</v>
      </c>
      <c r="F303" s="132" t="s">
        <v>962</v>
      </c>
      <c r="G303" s="198">
        <f>SUM(G1096:G1099)</f>
        <v>7200</v>
      </c>
      <c r="H303" s="138">
        <f>IF(D303=G303,0,IF(D303=0,100,(G303-D303)/D303*100))</f>
        <v>-82.481751824817522</v>
      </c>
      <c r="I303" s="33">
        <f t="shared" ref="I303:Q303" si="542">SUM(I1096:I1099)</f>
        <v>6300</v>
      </c>
      <c r="J303" s="33">
        <f t="shared" si="542"/>
        <v>6500</v>
      </c>
      <c r="K303" s="33">
        <f t="shared" si="542"/>
        <v>6700</v>
      </c>
      <c r="L303" s="33">
        <f t="shared" si="542"/>
        <v>6900</v>
      </c>
      <c r="M303" s="33">
        <f t="shared" si="542"/>
        <v>7100</v>
      </c>
      <c r="N303" s="33">
        <f t="shared" si="542"/>
        <v>7300</v>
      </c>
      <c r="O303" s="33">
        <f t="shared" si="542"/>
        <v>7500</v>
      </c>
      <c r="P303" s="142">
        <f t="shared" si="542"/>
        <v>7700</v>
      </c>
      <c r="Q303" s="33">
        <f t="shared" si="542"/>
        <v>7900</v>
      </c>
      <c r="R303" s="114">
        <f t="shared" ref="R303" si="543">SUM(R1096:R1099)</f>
        <v>8100</v>
      </c>
    </row>
    <row r="304" spans="1:18" x14ac:dyDescent="0.2">
      <c r="A304" s="107">
        <f>ROUND(SUM(A1162:A1164),-3)</f>
        <v>293000</v>
      </c>
      <c r="B304" s="33">
        <f>SUM(B1162:B1164)</f>
        <v>357400</v>
      </c>
      <c r="C304" s="189">
        <f t="shared" ref="C304:D304" si="544">SUM(C1162:C1164)</f>
        <v>363500</v>
      </c>
      <c r="D304" s="189">
        <f t="shared" si="544"/>
        <v>350700</v>
      </c>
      <c r="E304" s="1955">
        <v>22200</v>
      </c>
      <c r="F304" s="132" t="s">
        <v>7006</v>
      </c>
      <c r="G304" s="198">
        <f>SUM(G1162:G1164)</f>
        <v>369000</v>
      </c>
      <c r="H304" s="138">
        <f>IF(D304=G304,0,IF(D304=0,100,(G304-D304)/D304*100))</f>
        <v>5.2181351582549187</v>
      </c>
      <c r="I304" s="33">
        <f t="shared" ref="I304:Q304" si="545">SUM(I1162:I1164)</f>
        <v>374000</v>
      </c>
      <c r="J304" s="33">
        <f t="shared" si="545"/>
        <v>383500</v>
      </c>
      <c r="K304" s="33">
        <f t="shared" si="545"/>
        <v>393200</v>
      </c>
      <c r="L304" s="33">
        <f t="shared" si="545"/>
        <v>403100</v>
      </c>
      <c r="M304" s="33">
        <f t="shared" si="545"/>
        <v>411200</v>
      </c>
      <c r="N304" s="33">
        <f t="shared" si="545"/>
        <v>419600</v>
      </c>
      <c r="O304" s="33">
        <f t="shared" si="545"/>
        <v>428100</v>
      </c>
      <c r="P304" s="142">
        <f t="shared" si="545"/>
        <v>436800</v>
      </c>
      <c r="Q304" s="33">
        <f t="shared" si="545"/>
        <v>445700</v>
      </c>
      <c r="R304" s="114">
        <f t="shared" ref="R304" si="546">SUM(R1162:R1164)</f>
        <v>454700</v>
      </c>
    </row>
    <row r="305" spans="1:18" x14ac:dyDescent="0.2">
      <c r="A305" s="107">
        <f>ROUND(SUM(A1165:A1165),-3)</f>
        <v>76000</v>
      </c>
      <c r="B305" s="33">
        <f>SUM(B1165:B1165)</f>
        <v>82100</v>
      </c>
      <c r="C305" s="189">
        <f t="shared" ref="C305:D305" si="547">SUM(C1165:C1165)</f>
        <v>80500</v>
      </c>
      <c r="D305" s="189">
        <f t="shared" si="547"/>
        <v>99500</v>
      </c>
      <c r="E305" s="1955">
        <v>22200</v>
      </c>
      <c r="F305" s="132" t="s">
        <v>7007</v>
      </c>
      <c r="G305" s="198">
        <f>SUM(G1165:G1165)</f>
        <v>110000</v>
      </c>
      <c r="H305" s="138">
        <f>IF(D305=G305,0,IF(D305=0,100,(G305-D305)/D305*100))</f>
        <v>10.552763819095476</v>
      </c>
      <c r="I305" s="33">
        <f t="shared" ref="I305:Q305" si="548">SUM(I1165:I1165)</f>
        <v>110000</v>
      </c>
      <c r="J305" s="33">
        <f t="shared" si="548"/>
        <v>112800</v>
      </c>
      <c r="K305" s="33">
        <f t="shared" si="548"/>
        <v>115700</v>
      </c>
      <c r="L305" s="33">
        <f t="shared" si="548"/>
        <v>118600</v>
      </c>
      <c r="M305" s="33">
        <f t="shared" si="548"/>
        <v>121000</v>
      </c>
      <c r="N305" s="33">
        <f t="shared" si="548"/>
        <v>123500</v>
      </c>
      <c r="O305" s="33">
        <f t="shared" si="548"/>
        <v>126000</v>
      </c>
      <c r="P305" s="142">
        <f t="shared" si="548"/>
        <v>128600</v>
      </c>
      <c r="Q305" s="33">
        <f t="shared" si="548"/>
        <v>131200</v>
      </c>
      <c r="R305" s="114">
        <f t="shared" ref="R305" si="549">SUM(R1165:R1165)</f>
        <v>133900</v>
      </c>
    </row>
    <row r="306" spans="1:18" x14ac:dyDescent="0.2">
      <c r="A306" s="107">
        <f>ROUND(SUM(A1166:A1166),-3)</f>
        <v>5000</v>
      </c>
      <c r="B306" s="33">
        <f>SUM(B1166:B1166)</f>
        <v>8000</v>
      </c>
      <c r="C306" s="189">
        <f t="shared" ref="C306:D306" si="550">SUM(C1166:C1166)</f>
        <v>8000</v>
      </c>
      <c r="D306" s="189">
        <f t="shared" si="550"/>
        <v>11100</v>
      </c>
      <c r="E306" s="1955">
        <v>22200</v>
      </c>
      <c r="F306" s="132" t="s">
        <v>7008</v>
      </c>
      <c r="G306" s="198">
        <f>SUM(G1166:G1166)</f>
        <v>10000</v>
      </c>
      <c r="H306" s="138">
        <f>IF(D306=G306,0,IF(D306=0,100,(G306-D306)/D306*100))</f>
        <v>-9.9099099099099099</v>
      </c>
      <c r="I306" s="33">
        <f t="shared" ref="I306:Q306" si="551">SUM(I1166:I1166)</f>
        <v>11000</v>
      </c>
      <c r="J306" s="33">
        <f t="shared" si="551"/>
        <v>11300</v>
      </c>
      <c r="K306" s="33">
        <f t="shared" si="551"/>
        <v>11600</v>
      </c>
      <c r="L306" s="33">
        <f t="shared" si="551"/>
        <v>11900</v>
      </c>
      <c r="M306" s="33">
        <f t="shared" si="551"/>
        <v>12200</v>
      </c>
      <c r="N306" s="33">
        <f t="shared" si="551"/>
        <v>12500</v>
      </c>
      <c r="O306" s="33">
        <f t="shared" si="551"/>
        <v>12800</v>
      </c>
      <c r="P306" s="142">
        <f t="shared" si="551"/>
        <v>13100</v>
      </c>
      <c r="Q306" s="33">
        <f t="shared" si="551"/>
        <v>13400</v>
      </c>
      <c r="R306" s="114">
        <f t="shared" ref="R306" si="552">SUM(R1166:R1166)</f>
        <v>13700</v>
      </c>
    </row>
    <row r="307" spans="1:18" x14ac:dyDescent="0.2">
      <c r="A307" s="107"/>
      <c r="B307" s="33"/>
      <c r="E307" s="1955"/>
      <c r="F307" s="33"/>
      <c r="G307" s="198"/>
      <c r="H307" s="138"/>
      <c r="I307" s="33"/>
      <c r="J307" s="33"/>
      <c r="K307" s="33"/>
      <c r="L307" s="33"/>
      <c r="M307" s="33"/>
      <c r="N307" s="33"/>
      <c r="O307" s="33"/>
      <c r="P307" s="142"/>
      <c r="Q307" s="33"/>
      <c r="R307" s="114"/>
    </row>
    <row r="308" spans="1:18" x14ac:dyDescent="0.2">
      <c r="A308" s="107"/>
      <c r="B308" s="33"/>
      <c r="E308" s="1955"/>
      <c r="F308" s="116" t="s">
        <v>157</v>
      </c>
      <c r="G308" s="198"/>
      <c r="H308" s="138"/>
      <c r="I308" s="33"/>
      <c r="J308" s="33"/>
      <c r="K308" s="33"/>
      <c r="L308" s="33"/>
      <c r="M308" s="33"/>
      <c r="N308" s="33"/>
      <c r="O308" s="33"/>
      <c r="P308" s="142"/>
      <c r="Q308" s="33"/>
      <c r="R308" s="114"/>
    </row>
    <row r="309" spans="1:18" x14ac:dyDescent="0.2">
      <c r="A309" s="107">
        <f>ROUND(A1092,-3)</f>
        <v>98000</v>
      </c>
      <c r="B309" s="33">
        <f t="shared" ref="B309:D310" si="553">B1092</f>
        <v>98000</v>
      </c>
      <c r="C309" s="189">
        <f t="shared" si="553"/>
        <v>98000</v>
      </c>
      <c r="D309" s="189">
        <f t="shared" si="553"/>
        <v>98000</v>
      </c>
      <c r="E309" s="1955">
        <v>22150</v>
      </c>
      <c r="F309" s="33" t="s">
        <v>724</v>
      </c>
      <c r="G309" s="198">
        <f t="shared" ref="G309:O309" si="554">G1092</f>
        <v>103000</v>
      </c>
      <c r="H309" s="138">
        <f>IF(D309=G309,0,IF(D309=0,100,(G309-D309)/D309*100))</f>
        <v>5.1020408163265305</v>
      </c>
      <c r="I309" s="33">
        <f t="shared" si="554"/>
        <v>104600</v>
      </c>
      <c r="J309" s="33">
        <f t="shared" si="554"/>
        <v>107300</v>
      </c>
      <c r="K309" s="33">
        <f t="shared" si="554"/>
        <v>110000</v>
      </c>
      <c r="L309" s="33">
        <f t="shared" si="554"/>
        <v>112800</v>
      </c>
      <c r="M309" s="33">
        <f t="shared" si="554"/>
        <v>115100</v>
      </c>
      <c r="N309" s="33">
        <f t="shared" si="554"/>
        <v>117500</v>
      </c>
      <c r="O309" s="33">
        <f t="shared" si="554"/>
        <v>119900</v>
      </c>
      <c r="P309" s="142">
        <f t="shared" ref="P309:Q309" si="555">P1092</f>
        <v>122300</v>
      </c>
      <c r="Q309" s="33">
        <f t="shared" si="555"/>
        <v>124800</v>
      </c>
      <c r="R309" s="114">
        <f t="shared" ref="R309" si="556">R1092</f>
        <v>127300</v>
      </c>
    </row>
    <row r="310" spans="1:18" x14ac:dyDescent="0.2">
      <c r="A310" s="107">
        <f>A1093</f>
        <v>25700</v>
      </c>
      <c r="B310" s="33">
        <f t="shared" si="553"/>
        <v>48200</v>
      </c>
      <c r="C310" s="189">
        <f t="shared" si="553"/>
        <v>44600</v>
      </c>
      <c r="D310" s="189">
        <f t="shared" si="553"/>
        <v>40000</v>
      </c>
      <c r="E310" s="1955">
        <v>22150</v>
      </c>
      <c r="F310" s="132" t="s">
        <v>4560</v>
      </c>
      <c r="G310" s="198">
        <f t="shared" ref="G310:O310" si="557">G1093</f>
        <v>34200</v>
      </c>
      <c r="H310" s="138">
        <f>IF(D310=G310,0,IF(D310=0,100,(G310-D310)/D310*100))</f>
        <v>-14.499999999999998</v>
      </c>
      <c r="I310" s="33">
        <f t="shared" si="557"/>
        <v>29200</v>
      </c>
      <c r="J310" s="33">
        <f t="shared" si="557"/>
        <v>24000</v>
      </c>
      <c r="K310" s="33">
        <f t="shared" si="557"/>
        <v>18500</v>
      </c>
      <c r="L310" s="33">
        <f t="shared" si="557"/>
        <v>12800</v>
      </c>
      <c r="M310" s="33">
        <f t="shared" si="557"/>
        <v>6900</v>
      </c>
      <c r="N310" s="33">
        <f t="shared" si="557"/>
        <v>1100</v>
      </c>
      <c r="O310" s="33">
        <f t="shared" si="557"/>
        <v>0</v>
      </c>
      <c r="P310" s="142">
        <f t="shared" ref="P310:Q310" si="558">P1093</f>
        <v>0</v>
      </c>
      <c r="Q310" s="33">
        <f t="shared" si="558"/>
        <v>0</v>
      </c>
      <c r="R310" s="114">
        <f t="shared" ref="R310" si="559">R1093</f>
        <v>0</v>
      </c>
    </row>
    <row r="311" spans="1:18" x14ac:dyDescent="0.2">
      <c r="A311" s="107">
        <f>ROUND(SUM(A1156:A1160),-3)</f>
        <v>0</v>
      </c>
      <c r="B311" s="33">
        <f>ROUND(SUM(B1156:B1160),-2)</f>
        <v>0</v>
      </c>
      <c r="C311" s="189">
        <f>ROUND(SUM(C1156:C1160),-2)</f>
        <v>27400</v>
      </c>
      <c r="D311" s="189">
        <f>ROUND(SUM(D1156:D1160),-2)</f>
        <v>6800</v>
      </c>
      <c r="E311" s="1955">
        <v>22150</v>
      </c>
      <c r="F311" s="132" t="s">
        <v>6990</v>
      </c>
      <c r="G311" s="76">
        <f>ROUND(SUM(G1156:G1160),-2)</f>
        <v>42000</v>
      </c>
      <c r="H311" s="138">
        <f>IF(D311=G311,0,IF(D311=0,100,(G311-D311)/D311*100))</f>
        <v>517.64705882352939</v>
      </c>
      <c r="I311" s="33">
        <f>ROUND(SUM(I1156:I1160),-2)</f>
        <v>0</v>
      </c>
      <c r="J311" s="33">
        <f t="shared" ref="J311:Q311" si="560">ROUND(SUM(J1156:J1160),-2)</f>
        <v>0</v>
      </c>
      <c r="K311" s="33">
        <f t="shared" si="560"/>
        <v>0</v>
      </c>
      <c r="L311" s="33">
        <f t="shared" si="560"/>
        <v>0</v>
      </c>
      <c r="M311" s="33">
        <f t="shared" si="560"/>
        <v>0</v>
      </c>
      <c r="N311" s="33">
        <f t="shared" si="560"/>
        <v>0</v>
      </c>
      <c r="O311" s="33">
        <f t="shared" si="560"/>
        <v>0</v>
      </c>
      <c r="P311" s="142">
        <f t="shared" si="560"/>
        <v>0</v>
      </c>
      <c r="Q311" s="33">
        <f t="shared" si="560"/>
        <v>0</v>
      </c>
      <c r="R311" s="114">
        <f t="shared" ref="R311" si="561">ROUND(SUM(R1156:R1160),-2)</f>
        <v>0</v>
      </c>
    </row>
    <row r="312" spans="1:18" x14ac:dyDescent="0.2">
      <c r="A312" s="107">
        <f>ROUND(SUM(A1094:A1094),-3)</f>
        <v>40000</v>
      </c>
      <c r="B312" s="33">
        <f>SUM(B1094:B1094)</f>
        <v>7300</v>
      </c>
      <c r="C312" s="189">
        <f>SUM(C1094:C1094)</f>
        <v>19000</v>
      </c>
      <c r="D312" s="189">
        <f>SUM(D1094:D1094)</f>
        <v>0</v>
      </c>
      <c r="E312" s="1955">
        <v>22150</v>
      </c>
      <c r="F312" s="132" t="s">
        <v>4532</v>
      </c>
      <c r="G312" s="198">
        <f t="shared" ref="G312:P312" si="562">SUM(G1094:G1094)</f>
        <v>0</v>
      </c>
      <c r="H312" s="138">
        <f>IF(D312=G312,0,IF(D312=0,100,(G312-D312)/D312*100))</f>
        <v>0</v>
      </c>
      <c r="I312" s="33">
        <f t="shared" si="562"/>
        <v>0</v>
      </c>
      <c r="J312" s="33">
        <f t="shared" si="562"/>
        <v>0</v>
      </c>
      <c r="K312" s="33">
        <f t="shared" si="562"/>
        <v>0</v>
      </c>
      <c r="L312" s="33">
        <f t="shared" si="562"/>
        <v>0</v>
      </c>
      <c r="M312" s="33">
        <f t="shared" si="562"/>
        <v>0</v>
      </c>
      <c r="N312" s="33">
        <f t="shared" si="562"/>
        <v>0</v>
      </c>
      <c r="O312" s="33">
        <f t="shared" si="562"/>
        <v>0</v>
      </c>
      <c r="P312" s="142">
        <f t="shared" si="562"/>
        <v>0</v>
      </c>
      <c r="Q312" s="33">
        <f t="shared" ref="Q312" si="563">SUM(Q1094:Q1094)</f>
        <v>0</v>
      </c>
      <c r="R312" s="114">
        <f t="shared" ref="R312" si="564">SUM(R1094:R1094)</f>
        <v>0</v>
      </c>
    </row>
    <row r="313" spans="1:18" x14ac:dyDescent="0.2">
      <c r="A313" s="107">
        <f t="shared" ref="A313:D313" si="565">A1095</f>
        <v>0</v>
      </c>
      <c r="B313" s="33">
        <f t="shared" si="565"/>
        <v>0</v>
      </c>
      <c r="C313" s="189">
        <f t="shared" si="565"/>
        <v>10000</v>
      </c>
      <c r="D313" s="189">
        <f t="shared" si="565"/>
        <v>0</v>
      </c>
      <c r="E313" s="1955">
        <v>22150</v>
      </c>
      <c r="F313" s="132" t="s">
        <v>6588</v>
      </c>
      <c r="G313" s="198">
        <f>G1095</f>
        <v>30000</v>
      </c>
      <c r="H313" s="138">
        <f>IF(D313=G313,0,IF(D313=0,100,(G313-D313)/D313*100))</f>
        <v>100</v>
      </c>
      <c r="I313" s="33">
        <f>I1095</f>
        <v>0</v>
      </c>
      <c r="J313" s="33">
        <f t="shared" ref="J313:Q313" si="566">J1095</f>
        <v>0</v>
      </c>
      <c r="K313" s="33">
        <f t="shared" si="566"/>
        <v>0</v>
      </c>
      <c r="L313" s="33">
        <f t="shared" si="566"/>
        <v>0</v>
      </c>
      <c r="M313" s="33">
        <f t="shared" si="566"/>
        <v>0</v>
      </c>
      <c r="N313" s="33">
        <f t="shared" si="566"/>
        <v>0</v>
      </c>
      <c r="O313" s="33">
        <f t="shared" si="566"/>
        <v>0</v>
      </c>
      <c r="P313" s="33">
        <f t="shared" si="566"/>
        <v>0</v>
      </c>
      <c r="Q313" s="33">
        <f t="shared" si="566"/>
        <v>0</v>
      </c>
      <c r="R313" s="114">
        <f t="shared" ref="R313" si="567">R1095</f>
        <v>0</v>
      </c>
    </row>
    <row r="314" spans="1:18" ht="13.5" thickBot="1" x14ac:dyDescent="0.25">
      <c r="A314" s="107"/>
      <c r="B314" s="33"/>
      <c r="E314" s="1955"/>
      <c r="F314" s="33"/>
      <c r="G314" s="198"/>
      <c r="H314" s="138"/>
      <c r="I314" s="33"/>
      <c r="J314" s="33"/>
      <c r="K314" s="33"/>
      <c r="L314" s="33"/>
      <c r="M314" s="33"/>
      <c r="N314" s="33"/>
      <c r="O314" s="33"/>
      <c r="P314" s="142"/>
      <c r="Q314" s="33"/>
      <c r="R314" s="114"/>
    </row>
    <row r="315" spans="1:18" s="92" customFormat="1" x14ac:dyDescent="0.2">
      <c r="A315" s="105">
        <f>SUM(A299:A314)</f>
        <v>598700</v>
      </c>
      <c r="B315" s="53">
        <f>SUM(B299:B314)</f>
        <v>905900</v>
      </c>
      <c r="C315" s="190">
        <f>SUM(C299:C314)</f>
        <v>896500</v>
      </c>
      <c r="D315" s="190">
        <f>SUM(D299:D314)</f>
        <v>1375200</v>
      </c>
      <c r="E315" s="237"/>
      <c r="F315" s="378" t="s">
        <v>2605</v>
      </c>
      <c r="G315" s="2550">
        <f>SUM(G299:G314)</f>
        <v>960400</v>
      </c>
      <c r="H315" s="180">
        <f>IF(D315=G315,0,IF(D315=0,100,(G315-D315)/D315*100))</f>
        <v>-30.162885398487493</v>
      </c>
      <c r="I315" s="53">
        <f t="shared" ref="I315:Q315" si="568">SUM(I299:I314)</f>
        <v>894000</v>
      </c>
      <c r="J315" s="53">
        <f t="shared" si="568"/>
        <v>910900</v>
      </c>
      <c r="K315" s="53">
        <f t="shared" si="568"/>
        <v>927900</v>
      </c>
      <c r="L315" s="53">
        <f t="shared" si="568"/>
        <v>945200</v>
      </c>
      <c r="M315" s="53">
        <f t="shared" si="568"/>
        <v>958300</v>
      </c>
      <c r="N315" s="53">
        <f t="shared" si="568"/>
        <v>972100</v>
      </c>
      <c r="O315" s="53">
        <f t="shared" si="568"/>
        <v>990800</v>
      </c>
      <c r="P315" s="155">
        <f t="shared" si="568"/>
        <v>1011000</v>
      </c>
      <c r="Q315" s="53">
        <f t="shared" si="568"/>
        <v>1031600</v>
      </c>
      <c r="R315" s="113">
        <f t="shared" ref="R315" si="569">SUM(R299:R314)</f>
        <v>1052600</v>
      </c>
    </row>
    <row r="316" spans="1:18" x14ac:dyDescent="0.2">
      <c r="A316" s="107"/>
      <c r="B316" s="33"/>
      <c r="E316" s="1955"/>
      <c r="F316" s="33"/>
      <c r="G316" s="198"/>
      <c r="H316" s="138"/>
      <c r="I316" s="33"/>
      <c r="J316" s="33"/>
      <c r="K316" s="33"/>
      <c r="L316" s="33"/>
      <c r="M316" s="33"/>
      <c r="N316" s="33"/>
      <c r="O316" s="33"/>
      <c r="P316" s="142"/>
      <c r="Q316" s="33"/>
      <c r="R316" s="114"/>
    </row>
    <row r="317" spans="1:18" x14ac:dyDescent="0.2">
      <c r="A317" s="107"/>
      <c r="B317" s="33"/>
      <c r="E317" s="1955"/>
      <c r="F317" s="365" t="s">
        <v>2205</v>
      </c>
      <c r="G317" s="198"/>
      <c r="H317" s="138"/>
      <c r="I317" s="33"/>
      <c r="J317" s="33"/>
      <c r="K317" s="33"/>
      <c r="L317" s="33"/>
      <c r="M317" s="33"/>
      <c r="N317" s="33"/>
      <c r="O317" s="33"/>
      <c r="P317" s="142"/>
      <c r="Q317" s="33"/>
      <c r="R317" s="114"/>
    </row>
    <row r="318" spans="1:18" x14ac:dyDescent="0.2">
      <c r="A318" s="107"/>
      <c r="B318" s="33"/>
      <c r="E318" s="1955"/>
      <c r="F318" s="365"/>
      <c r="G318" s="198"/>
      <c r="H318" s="138"/>
      <c r="I318" s="33"/>
      <c r="J318" s="33"/>
      <c r="K318" s="33"/>
      <c r="L318" s="33"/>
      <c r="M318" s="33"/>
      <c r="N318" s="33"/>
      <c r="O318" s="33"/>
      <c r="P318" s="142"/>
      <c r="Q318" s="33"/>
      <c r="R318" s="114"/>
    </row>
    <row r="319" spans="1:18" x14ac:dyDescent="0.2">
      <c r="A319" s="107"/>
      <c r="B319" s="33"/>
      <c r="E319" s="1955"/>
      <c r="F319" s="64" t="s">
        <v>279</v>
      </c>
      <c r="G319" s="198"/>
      <c r="H319" s="138"/>
      <c r="I319" s="33"/>
      <c r="J319" s="33"/>
      <c r="K319" s="33"/>
      <c r="L319" s="33"/>
      <c r="M319" s="33"/>
      <c r="N319" s="33"/>
      <c r="O319" s="33"/>
      <c r="P319" s="142"/>
      <c r="Q319" s="33"/>
      <c r="R319" s="114"/>
    </row>
    <row r="320" spans="1:18" x14ac:dyDescent="0.2">
      <c r="A320" s="107">
        <f>ROUND(SUM(A1104:A1109),-3)</f>
        <v>139000</v>
      </c>
      <c r="B320" s="33">
        <f>SUM(B1104:B1109)</f>
        <v>113300</v>
      </c>
      <c r="C320" s="189">
        <f>SUM(C1104:C1109)</f>
        <v>100200</v>
      </c>
      <c r="D320" s="189">
        <f>SUM(D1104:D1109)</f>
        <v>65300</v>
      </c>
      <c r="E320" s="1955">
        <v>32132</v>
      </c>
      <c r="F320" s="33" t="s">
        <v>2514</v>
      </c>
      <c r="G320" s="198">
        <f>SUM(G1104:G1109)</f>
        <v>106200</v>
      </c>
      <c r="H320" s="138">
        <f t="shared" ref="H320:H327" si="570">IF(D320=G320,0,IF(D320=0,100,(G320-D320)/D320*100))</f>
        <v>62.633996937212864</v>
      </c>
      <c r="I320" s="33">
        <f t="shared" ref="I320:Q320" si="571">SUM(I1104:I1109)</f>
        <v>108000</v>
      </c>
      <c r="J320" s="33">
        <f t="shared" si="571"/>
        <v>111000</v>
      </c>
      <c r="K320" s="33">
        <f t="shared" si="571"/>
        <v>114000</v>
      </c>
      <c r="L320" s="33">
        <f t="shared" si="571"/>
        <v>117100</v>
      </c>
      <c r="M320" s="33">
        <f t="shared" si="571"/>
        <v>119800</v>
      </c>
      <c r="N320" s="33">
        <f t="shared" si="571"/>
        <v>122500</v>
      </c>
      <c r="O320" s="33">
        <f t="shared" si="571"/>
        <v>125200</v>
      </c>
      <c r="P320" s="142">
        <f t="shared" si="571"/>
        <v>128000</v>
      </c>
      <c r="Q320" s="33">
        <f t="shared" si="571"/>
        <v>130800</v>
      </c>
      <c r="R320" s="114">
        <f t="shared" ref="R320" si="572">SUM(R1104:R1109)</f>
        <v>133600</v>
      </c>
    </row>
    <row r="321" spans="1:18" x14ac:dyDescent="0.2">
      <c r="A321" s="107">
        <f>ROUND(SUM(A1102:A1103),-3)</f>
        <v>407000</v>
      </c>
      <c r="B321" s="33">
        <f>SUM(B1102:B1103)</f>
        <v>450300</v>
      </c>
      <c r="C321" s="189">
        <f>SUM(C1102:C1103)</f>
        <v>505800</v>
      </c>
      <c r="D321" s="189">
        <f>SUM(D1102:D1103)</f>
        <v>469400</v>
      </c>
      <c r="E321" s="1955">
        <v>32130</v>
      </c>
      <c r="F321" s="33" t="s">
        <v>724</v>
      </c>
      <c r="G321" s="198">
        <f>SUM(G1102:G1103)</f>
        <v>550000</v>
      </c>
      <c r="H321" s="138">
        <f t="shared" si="570"/>
        <v>17.170856412441417</v>
      </c>
      <c r="I321" s="33">
        <f t="shared" ref="I321:Q321" si="573">SUM(I1102:I1103)</f>
        <v>558300</v>
      </c>
      <c r="J321" s="33">
        <f t="shared" si="573"/>
        <v>572300</v>
      </c>
      <c r="K321" s="33">
        <f t="shared" si="573"/>
        <v>586700</v>
      </c>
      <c r="L321" s="33">
        <f t="shared" si="573"/>
        <v>601400</v>
      </c>
      <c r="M321" s="33">
        <f t="shared" si="573"/>
        <v>613500</v>
      </c>
      <c r="N321" s="33">
        <f t="shared" si="573"/>
        <v>625800</v>
      </c>
      <c r="O321" s="33">
        <f t="shared" si="573"/>
        <v>638400</v>
      </c>
      <c r="P321" s="142">
        <f t="shared" si="573"/>
        <v>651200</v>
      </c>
      <c r="Q321" s="33">
        <f t="shared" si="573"/>
        <v>664300</v>
      </c>
      <c r="R321" s="114">
        <f t="shared" ref="R321" si="574">SUM(R1102:R1103)</f>
        <v>677600</v>
      </c>
    </row>
    <row r="322" spans="1:18" x14ac:dyDescent="0.2">
      <c r="A322" s="107">
        <f>ROUND(SUM(A1110:A1118),-3)</f>
        <v>119000</v>
      </c>
      <c r="B322" s="33">
        <f>SUM(B1110:B1118)</f>
        <v>190800</v>
      </c>
      <c r="C322" s="189">
        <f>SUM(C1110:C1118)</f>
        <v>150700</v>
      </c>
      <c r="D322" s="189">
        <f>SUM(D1110:D1118)</f>
        <v>152400</v>
      </c>
      <c r="E322" s="1955">
        <v>32135</v>
      </c>
      <c r="F322" s="33" t="s">
        <v>725</v>
      </c>
      <c r="G322" s="198">
        <f>SUM(G1110:G1118)</f>
        <v>224700</v>
      </c>
      <c r="H322" s="138">
        <f t="shared" si="570"/>
        <v>47.440944881889763</v>
      </c>
      <c r="I322" s="33">
        <f t="shared" ref="I322:Q322" si="575">SUM(I1110:I1118)</f>
        <v>189500</v>
      </c>
      <c r="J322" s="33">
        <f t="shared" si="575"/>
        <v>194600</v>
      </c>
      <c r="K322" s="33">
        <f t="shared" si="575"/>
        <v>199800</v>
      </c>
      <c r="L322" s="33">
        <f t="shared" si="575"/>
        <v>205200</v>
      </c>
      <c r="M322" s="33">
        <f t="shared" si="575"/>
        <v>209600</v>
      </c>
      <c r="N322" s="33">
        <f t="shared" si="575"/>
        <v>214100</v>
      </c>
      <c r="O322" s="33">
        <f t="shared" si="575"/>
        <v>218800</v>
      </c>
      <c r="P322" s="33">
        <f t="shared" si="575"/>
        <v>223500</v>
      </c>
      <c r="Q322" s="33">
        <f t="shared" si="575"/>
        <v>228300</v>
      </c>
      <c r="R322" s="114">
        <f t="shared" ref="R322" si="576">SUM(R1110:R1118)</f>
        <v>233300</v>
      </c>
    </row>
    <row r="323" spans="1:18" x14ac:dyDescent="0.2">
      <c r="A323" s="107">
        <f>ROUND(SUM(A1119:A1120),-3)</f>
        <v>14000</v>
      </c>
      <c r="B323" s="33">
        <f>SUM(B1119:B1120)</f>
        <v>37400</v>
      </c>
      <c r="C323" s="189">
        <f>SUM(C1119:C1120)</f>
        <v>19300</v>
      </c>
      <c r="D323" s="189">
        <f>SUM(D1119:D1120)</f>
        <v>58400</v>
      </c>
      <c r="E323" s="1955">
        <v>32137</v>
      </c>
      <c r="F323" s="132" t="s">
        <v>4662</v>
      </c>
      <c r="G323" s="198">
        <f t="shared" ref="G323:O323" si="577">SUM(G1119:G1120)</f>
        <v>40200</v>
      </c>
      <c r="H323" s="138">
        <f t="shared" si="570"/>
        <v>-31.164383561643838</v>
      </c>
      <c r="I323" s="33">
        <f t="shared" si="577"/>
        <v>40900</v>
      </c>
      <c r="J323" s="33">
        <f t="shared" si="577"/>
        <v>42000</v>
      </c>
      <c r="K323" s="33">
        <f t="shared" si="577"/>
        <v>43100</v>
      </c>
      <c r="L323" s="33">
        <f t="shared" si="577"/>
        <v>44200</v>
      </c>
      <c r="M323" s="33">
        <f t="shared" si="577"/>
        <v>45100</v>
      </c>
      <c r="N323" s="33">
        <f t="shared" si="577"/>
        <v>46100</v>
      </c>
      <c r="O323" s="33">
        <f t="shared" si="577"/>
        <v>47100</v>
      </c>
      <c r="P323" s="142">
        <f t="shared" ref="P323:Q323" si="578">SUM(P1119:P1120)</f>
        <v>48100</v>
      </c>
      <c r="Q323" s="33">
        <f t="shared" si="578"/>
        <v>49100</v>
      </c>
      <c r="R323" s="114">
        <f t="shared" ref="R323" si="579">SUM(R1119:R1120)</f>
        <v>50100</v>
      </c>
    </row>
    <row r="324" spans="1:18" x14ac:dyDescent="0.2">
      <c r="A324" s="107">
        <f>ROUND(SUM(A1121:A1121),-3)</f>
        <v>8000</v>
      </c>
      <c r="B324" s="33">
        <f>SUM(B1121:B1121)</f>
        <v>5900</v>
      </c>
      <c r="C324" s="189">
        <f>SUM(C1121:C1121)</f>
        <v>6300</v>
      </c>
      <c r="D324" s="189">
        <f>SUM(D1121:D1121)</f>
        <v>6600</v>
      </c>
      <c r="E324" s="1955">
        <v>32137</v>
      </c>
      <c r="F324" s="132" t="s">
        <v>4663</v>
      </c>
      <c r="G324" s="198">
        <f>SUM(G1121:G1121)</f>
        <v>7200</v>
      </c>
      <c r="H324" s="138">
        <f t="shared" si="570"/>
        <v>9.0909090909090917</v>
      </c>
      <c r="I324" s="33">
        <f t="shared" ref="I324:Q324" si="580">SUM(I1121:I1121)</f>
        <v>7400</v>
      </c>
      <c r="J324" s="33">
        <f t="shared" si="580"/>
        <v>7600</v>
      </c>
      <c r="K324" s="33">
        <f t="shared" si="580"/>
        <v>7800</v>
      </c>
      <c r="L324" s="33">
        <f t="shared" si="580"/>
        <v>8000</v>
      </c>
      <c r="M324" s="33">
        <f t="shared" si="580"/>
        <v>8200</v>
      </c>
      <c r="N324" s="33">
        <f t="shared" si="580"/>
        <v>8400</v>
      </c>
      <c r="O324" s="33">
        <f t="shared" si="580"/>
        <v>8600</v>
      </c>
      <c r="P324" s="142">
        <f t="shared" si="580"/>
        <v>8800</v>
      </c>
      <c r="Q324" s="33">
        <f t="shared" si="580"/>
        <v>9000</v>
      </c>
      <c r="R324" s="114">
        <f t="shared" ref="R324" si="581">SUM(R1121:R1121)</f>
        <v>9200</v>
      </c>
    </row>
    <row r="325" spans="1:18" x14ac:dyDescent="0.2">
      <c r="A325" s="107">
        <f>ROUND(SUM(A1122:A1124),-3)</f>
        <v>13000</v>
      </c>
      <c r="B325" s="33">
        <f>SUM(B1122:B1124)</f>
        <v>19100</v>
      </c>
      <c r="C325" s="189">
        <f>SUM(C1122:C1124)</f>
        <v>5500</v>
      </c>
      <c r="D325" s="189">
        <f>SUM(D1122:D1124)</f>
        <v>2700</v>
      </c>
      <c r="E325" s="1955">
        <v>32138</v>
      </c>
      <c r="F325" s="132" t="s">
        <v>4598</v>
      </c>
      <c r="G325" s="198">
        <f t="shared" ref="G325:P325" si="582">SUM(G1122:G1124)</f>
        <v>12000</v>
      </c>
      <c r="H325" s="138">
        <f t="shared" si="570"/>
        <v>344.44444444444446</v>
      </c>
      <c r="I325" s="33">
        <f t="shared" si="582"/>
        <v>12300</v>
      </c>
      <c r="J325" s="33">
        <f t="shared" si="582"/>
        <v>12700</v>
      </c>
      <c r="K325" s="33">
        <f t="shared" si="582"/>
        <v>13100</v>
      </c>
      <c r="L325" s="33">
        <f t="shared" si="582"/>
        <v>13500</v>
      </c>
      <c r="M325" s="33">
        <f t="shared" si="582"/>
        <v>13900</v>
      </c>
      <c r="N325" s="33">
        <f t="shared" si="582"/>
        <v>14300</v>
      </c>
      <c r="O325" s="33">
        <f t="shared" si="582"/>
        <v>14700</v>
      </c>
      <c r="P325" s="142">
        <f t="shared" si="582"/>
        <v>15100</v>
      </c>
      <c r="Q325" s="33">
        <f t="shared" ref="Q325" si="583">SUM(Q1122:Q1124)</f>
        <v>15500</v>
      </c>
      <c r="R325" s="114">
        <f t="shared" ref="R325" si="584">SUM(R1122:R1124)</f>
        <v>15900</v>
      </c>
    </row>
    <row r="326" spans="1:18" x14ac:dyDescent="0.2">
      <c r="A326" s="107">
        <f>ROUND(SUM(A1125:A1126),-3)</f>
        <v>99000</v>
      </c>
      <c r="B326" s="33">
        <f>SUM(B1125:B1126)</f>
        <v>222500</v>
      </c>
      <c r="C326" s="189">
        <f>SUM(C1125:C1127)</f>
        <v>173200</v>
      </c>
      <c r="D326" s="189">
        <f>SUM(D1125:D1127)</f>
        <v>636700</v>
      </c>
      <c r="E326" s="1955">
        <v>32496</v>
      </c>
      <c r="F326" s="33" t="s">
        <v>889</v>
      </c>
      <c r="G326" s="198">
        <f t="shared" ref="G326:O326" si="585">SUM(G1125:G1127)</f>
        <v>225000</v>
      </c>
      <c r="H326" s="138">
        <f t="shared" si="570"/>
        <v>-64.661536045233234</v>
      </c>
      <c r="I326" s="33">
        <f t="shared" si="585"/>
        <v>228400</v>
      </c>
      <c r="J326" s="33">
        <f t="shared" si="585"/>
        <v>234200</v>
      </c>
      <c r="K326" s="33">
        <f t="shared" si="585"/>
        <v>240200</v>
      </c>
      <c r="L326" s="33">
        <f t="shared" si="585"/>
        <v>246300</v>
      </c>
      <c r="M326" s="33">
        <f t="shared" si="585"/>
        <v>251300</v>
      </c>
      <c r="N326" s="33">
        <f t="shared" si="585"/>
        <v>256400</v>
      </c>
      <c r="O326" s="33">
        <f t="shared" si="585"/>
        <v>261600</v>
      </c>
      <c r="P326" s="142">
        <f t="shared" ref="P326:Q326" si="586">SUM(P1125:P1127)</f>
        <v>266900</v>
      </c>
      <c r="Q326" s="33">
        <f t="shared" si="586"/>
        <v>272300</v>
      </c>
      <c r="R326" s="114">
        <f t="shared" ref="R326" si="587">SUM(R1125:R1127)</f>
        <v>277900</v>
      </c>
    </row>
    <row r="327" spans="1:18" x14ac:dyDescent="0.2">
      <c r="A327" s="107">
        <f>ROUND(SUM(A1172:A1179),-3)</f>
        <v>17000</v>
      </c>
      <c r="B327" s="33">
        <f>SUM(B1172:B1179)</f>
        <v>20900</v>
      </c>
      <c r="C327" s="189">
        <f>SUM(C1172:C1179)</f>
        <v>80600</v>
      </c>
      <c r="D327" s="189">
        <f>SUM(D1172:D1179)</f>
        <v>78400</v>
      </c>
      <c r="E327" s="1955">
        <v>32201</v>
      </c>
      <c r="F327" s="132" t="s">
        <v>1196</v>
      </c>
      <c r="G327" s="198">
        <f t="shared" ref="G327:O327" si="588">SUM(G1172:G1179)</f>
        <v>91800</v>
      </c>
      <c r="H327" s="138">
        <f t="shared" si="570"/>
        <v>17.091836734693878</v>
      </c>
      <c r="I327" s="33">
        <f t="shared" si="588"/>
        <v>32500</v>
      </c>
      <c r="J327" s="33">
        <f t="shared" si="588"/>
        <v>33500</v>
      </c>
      <c r="K327" s="33">
        <f t="shared" si="588"/>
        <v>34500</v>
      </c>
      <c r="L327" s="33">
        <f t="shared" si="588"/>
        <v>35500</v>
      </c>
      <c r="M327" s="33">
        <f t="shared" si="588"/>
        <v>36400</v>
      </c>
      <c r="N327" s="33">
        <f t="shared" si="588"/>
        <v>37300</v>
      </c>
      <c r="O327" s="33">
        <f t="shared" si="588"/>
        <v>38200</v>
      </c>
      <c r="P327" s="142">
        <f t="shared" ref="P327:Q327" si="589">SUM(P1172:P1179)</f>
        <v>39100</v>
      </c>
      <c r="Q327" s="33">
        <f t="shared" si="589"/>
        <v>40000</v>
      </c>
      <c r="R327" s="114">
        <f t="shared" ref="R327" si="590">SUM(R1172:R1179)</f>
        <v>40900</v>
      </c>
    </row>
    <row r="328" spans="1:18" x14ac:dyDescent="0.2">
      <c r="A328" s="107"/>
      <c r="B328" s="33"/>
      <c r="E328" s="1955"/>
      <c r="F328" s="33"/>
      <c r="G328" s="198"/>
      <c r="H328" s="138"/>
      <c r="I328" s="33"/>
      <c r="J328" s="33"/>
      <c r="K328" s="33"/>
      <c r="L328" s="33"/>
      <c r="M328" s="33"/>
      <c r="N328" s="33"/>
      <c r="O328" s="33"/>
      <c r="P328" s="142"/>
      <c r="Q328" s="33"/>
      <c r="R328" s="114"/>
    </row>
    <row r="329" spans="1:18" x14ac:dyDescent="0.2">
      <c r="A329" s="107"/>
      <c r="B329" s="33"/>
      <c r="E329" s="1955"/>
      <c r="F329" s="64" t="s">
        <v>2303</v>
      </c>
      <c r="G329" s="198"/>
      <c r="H329" s="138"/>
      <c r="I329" s="33"/>
      <c r="J329" s="33"/>
      <c r="K329" s="33"/>
      <c r="L329" s="33"/>
      <c r="M329" s="33"/>
      <c r="N329" s="33"/>
      <c r="O329" s="33"/>
      <c r="P329" s="142"/>
      <c r="Q329" s="33"/>
      <c r="R329" s="114"/>
    </row>
    <row r="330" spans="1:18" x14ac:dyDescent="0.2">
      <c r="A330" s="107">
        <f>ROUND(SUM(A1180:A1190)-A331,-3)</f>
        <v>304000</v>
      </c>
      <c r="B330" s="33">
        <f>SUM(B1180:B1190)-B331</f>
        <v>341600</v>
      </c>
      <c r="C330" s="189">
        <f>SUM(C1180:C1190)-C331</f>
        <v>358800</v>
      </c>
      <c r="D330" s="189">
        <f>SUM(D1180:D1190)-D331</f>
        <v>318700</v>
      </c>
      <c r="E330" s="1955">
        <v>32200</v>
      </c>
      <c r="F330" s="33" t="s">
        <v>605</v>
      </c>
      <c r="G330" s="198">
        <f>SUM(G1180:G1190)-G331</f>
        <v>235000</v>
      </c>
      <c r="H330" s="138">
        <f>IF(D330=G330,0,IF(D330=0,100,(G330-D330)/D330*100))</f>
        <v>-26.262943206777535</v>
      </c>
      <c r="I330" s="33">
        <f t="shared" ref="I330:Q330" si="591">SUM(I1180:I1190)-I331</f>
        <v>340500</v>
      </c>
      <c r="J330" s="33">
        <f t="shared" si="591"/>
        <v>247900</v>
      </c>
      <c r="K330" s="33">
        <f t="shared" si="591"/>
        <v>355300</v>
      </c>
      <c r="L330" s="33">
        <f t="shared" si="591"/>
        <v>262900</v>
      </c>
      <c r="M330" s="33">
        <f t="shared" si="591"/>
        <v>371600</v>
      </c>
      <c r="N330" s="33">
        <f t="shared" si="591"/>
        <v>276400</v>
      </c>
      <c r="O330" s="33">
        <f t="shared" si="591"/>
        <v>387300</v>
      </c>
      <c r="P330" s="142">
        <f t="shared" si="591"/>
        <v>290300</v>
      </c>
      <c r="Q330" s="33">
        <f t="shared" si="591"/>
        <v>403400</v>
      </c>
      <c r="R330" s="114">
        <f t="shared" ref="R330" si="592">SUM(R1180:R1190)-R331</f>
        <v>304600</v>
      </c>
    </row>
    <row r="331" spans="1:18" x14ac:dyDescent="0.2">
      <c r="A331" s="107">
        <f>ROUND(A1181,-3)</f>
        <v>309000</v>
      </c>
      <c r="B331" s="33">
        <f>B1181</f>
        <v>305600</v>
      </c>
      <c r="C331" s="189">
        <f>C1181</f>
        <v>305500</v>
      </c>
      <c r="D331" s="189">
        <f>D1181</f>
        <v>336300</v>
      </c>
      <c r="E331" s="1955">
        <v>32200</v>
      </c>
      <c r="F331" s="33" t="s">
        <v>1341</v>
      </c>
      <c r="G331" s="198">
        <f t="shared" ref="G331:O331" si="593">G1181</f>
        <v>332000</v>
      </c>
      <c r="H331" s="138">
        <f>IF(D331=G331,0,IF(D331=0,100,(G331-D331)/D331*100))</f>
        <v>-1.27862027951234</v>
      </c>
      <c r="I331" s="33">
        <f t="shared" si="593"/>
        <v>337000</v>
      </c>
      <c r="J331" s="33">
        <f t="shared" si="593"/>
        <v>345500</v>
      </c>
      <c r="K331" s="33">
        <f t="shared" si="593"/>
        <v>354200</v>
      </c>
      <c r="L331" s="33">
        <f t="shared" si="593"/>
        <v>363100</v>
      </c>
      <c r="M331" s="33">
        <f t="shared" si="593"/>
        <v>370400</v>
      </c>
      <c r="N331" s="33">
        <f t="shared" si="593"/>
        <v>377900</v>
      </c>
      <c r="O331" s="33">
        <f t="shared" si="593"/>
        <v>385500</v>
      </c>
      <c r="P331" s="142">
        <f t="shared" ref="P331:Q331" si="594">P1181</f>
        <v>393300</v>
      </c>
      <c r="Q331" s="33">
        <f t="shared" si="594"/>
        <v>401200</v>
      </c>
      <c r="R331" s="114">
        <f t="shared" ref="R331" si="595">R1181</f>
        <v>409300</v>
      </c>
    </row>
    <row r="332" spans="1:18" x14ac:dyDescent="0.2">
      <c r="A332" s="107"/>
      <c r="B332" s="33"/>
      <c r="E332" s="1955"/>
      <c r="F332" s="33"/>
      <c r="G332" s="198"/>
      <c r="H332" s="138"/>
      <c r="I332" s="33"/>
      <c r="J332" s="33"/>
      <c r="K332" s="33"/>
      <c r="L332" s="33"/>
      <c r="M332" s="33"/>
      <c r="N332" s="33"/>
      <c r="O332" s="33"/>
      <c r="P332" s="142"/>
      <c r="Q332" s="33"/>
      <c r="R332" s="114"/>
    </row>
    <row r="333" spans="1:18" x14ac:dyDescent="0.2">
      <c r="A333" s="107"/>
      <c r="B333" s="33"/>
      <c r="E333" s="1955"/>
      <c r="F333" s="64" t="s">
        <v>1130</v>
      </c>
      <c r="G333" s="198"/>
      <c r="H333" s="138"/>
      <c r="I333" s="33"/>
      <c r="J333" s="33"/>
      <c r="K333" s="33"/>
      <c r="L333" s="33"/>
      <c r="M333" s="33"/>
      <c r="N333" s="33"/>
      <c r="O333" s="33"/>
      <c r="P333" s="142"/>
      <c r="Q333" s="33"/>
      <c r="R333" s="114"/>
    </row>
    <row r="334" spans="1:18" x14ac:dyDescent="0.2">
      <c r="A334" s="107">
        <f>ROUND(A1129,-3)</f>
        <v>179000</v>
      </c>
      <c r="B334" s="33">
        <f>B1129</f>
        <v>183800</v>
      </c>
      <c r="C334" s="189">
        <f>C1129</f>
        <v>159600</v>
      </c>
      <c r="D334" s="189">
        <f>D1129</f>
        <v>134300</v>
      </c>
      <c r="E334" s="1955">
        <v>32140</v>
      </c>
      <c r="F334" s="33" t="s">
        <v>1366</v>
      </c>
      <c r="G334" s="198">
        <f t="shared" ref="G334:O334" si="596">G1129</f>
        <v>107100</v>
      </c>
      <c r="H334" s="138">
        <f>IF(D334=G334,0,IF(D334=0,100,(G334-D334)/D334*100))</f>
        <v>-20.253164556962027</v>
      </c>
      <c r="I334" s="33">
        <f t="shared" si="596"/>
        <v>78300</v>
      </c>
      <c r="J334" s="33">
        <f t="shared" si="596"/>
        <v>48600</v>
      </c>
      <c r="K334" s="33">
        <f t="shared" si="596"/>
        <v>126200</v>
      </c>
      <c r="L334" s="33">
        <f t="shared" si="596"/>
        <v>110100</v>
      </c>
      <c r="M334" s="33">
        <f t="shared" si="596"/>
        <v>92900</v>
      </c>
      <c r="N334" s="33">
        <f t="shared" si="596"/>
        <v>75700</v>
      </c>
      <c r="O334" s="33">
        <f t="shared" si="596"/>
        <v>65000</v>
      </c>
      <c r="P334" s="142">
        <f t="shared" ref="P334:Q334" si="597">P1129</f>
        <v>55000</v>
      </c>
      <c r="Q334" s="33">
        <f t="shared" si="597"/>
        <v>45000</v>
      </c>
      <c r="R334" s="114">
        <f t="shared" ref="R334" si="598">R1129</f>
        <v>34000</v>
      </c>
    </row>
    <row r="335" spans="1:18" x14ac:dyDescent="0.2">
      <c r="A335" s="107"/>
      <c r="B335" s="33"/>
      <c r="E335" s="1955"/>
      <c r="F335" s="33"/>
      <c r="G335" s="198"/>
      <c r="H335" s="138"/>
      <c r="I335" s="33"/>
      <c r="J335" s="33"/>
      <c r="K335" s="33"/>
      <c r="L335" s="33"/>
      <c r="M335" s="33"/>
      <c r="N335" s="33"/>
      <c r="O335" s="33"/>
      <c r="P335" s="142"/>
      <c r="Q335" s="33"/>
      <c r="R335" s="114"/>
    </row>
    <row r="336" spans="1:18" x14ac:dyDescent="0.2">
      <c r="A336" s="107"/>
      <c r="B336" s="33"/>
      <c r="E336" s="1955"/>
      <c r="F336" s="64" t="str">
        <f>F101</f>
        <v>Non-Cash Expenses</v>
      </c>
      <c r="G336" s="198"/>
      <c r="H336" s="138"/>
      <c r="I336" s="33"/>
      <c r="J336" s="33"/>
      <c r="K336" s="33"/>
      <c r="L336" s="33"/>
      <c r="M336" s="33"/>
      <c r="N336" s="33"/>
      <c r="O336" s="33"/>
      <c r="P336" s="142"/>
      <c r="Q336" s="33"/>
      <c r="R336" s="114"/>
    </row>
    <row r="337" spans="1:18" x14ac:dyDescent="0.2">
      <c r="A337" s="107">
        <f>ROUND(A1131,-3)</f>
        <v>152000</v>
      </c>
      <c r="B337" s="33">
        <f t="shared" ref="B337:D338" si="599">B1131</f>
        <v>24800</v>
      </c>
      <c r="C337" s="189">
        <f t="shared" si="599"/>
        <v>102000</v>
      </c>
      <c r="D337" s="189">
        <f t="shared" si="599"/>
        <v>165300</v>
      </c>
      <c r="E337" s="1955">
        <v>32132</v>
      </c>
      <c r="F337" s="33" t="s">
        <v>163</v>
      </c>
      <c r="G337" s="198">
        <f t="shared" ref="G337:O337" si="600">G1131</f>
        <v>110000</v>
      </c>
      <c r="H337" s="138">
        <f>IF(D337=G337,0,IF(D337=0,100,(G337-D337)/D337*100))</f>
        <v>-33.454325468844523</v>
      </c>
      <c r="I337" s="33">
        <f t="shared" si="600"/>
        <v>112200</v>
      </c>
      <c r="J337" s="33">
        <f t="shared" si="600"/>
        <v>114500</v>
      </c>
      <c r="K337" s="33">
        <f t="shared" si="600"/>
        <v>116800</v>
      </c>
      <c r="L337" s="33">
        <f t="shared" si="600"/>
        <v>119200</v>
      </c>
      <c r="M337" s="33">
        <f t="shared" si="600"/>
        <v>121600</v>
      </c>
      <c r="N337" s="33">
        <f t="shared" si="600"/>
        <v>124100</v>
      </c>
      <c r="O337" s="33">
        <f t="shared" si="600"/>
        <v>126600</v>
      </c>
      <c r="P337" s="142">
        <f t="shared" ref="P337:Q337" si="601">P1131</f>
        <v>129200</v>
      </c>
      <c r="Q337" s="33">
        <f t="shared" si="601"/>
        <v>131800</v>
      </c>
      <c r="R337" s="114">
        <f t="shared" ref="R337" si="602">R1131</f>
        <v>134500</v>
      </c>
    </row>
    <row r="338" spans="1:18" x14ac:dyDescent="0.2">
      <c r="A338" s="107">
        <f>ROUND(A1132,-3)</f>
        <v>478000</v>
      </c>
      <c r="B338" s="33">
        <f t="shared" si="599"/>
        <v>0</v>
      </c>
      <c r="C338" s="189">
        <f t="shared" si="599"/>
        <v>280600</v>
      </c>
      <c r="D338" s="189">
        <f t="shared" si="599"/>
        <v>413400</v>
      </c>
      <c r="E338" s="1955">
        <v>32132</v>
      </c>
      <c r="F338" s="33" t="s">
        <v>2092</v>
      </c>
      <c r="G338" s="198">
        <f t="shared" ref="G338:O338" si="603">G1132</f>
        <v>300000</v>
      </c>
      <c r="H338" s="138">
        <f>IF(D338=G338,0,IF(D338=0,100,(G338-D338)/D338*100))</f>
        <v>-27.431059506531202</v>
      </c>
      <c r="I338" s="33">
        <f t="shared" si="603"/>
        <v>306000</v>
      </c>
      <c r="J338" s="33">
        <f t="shared" si="603"/>
        <v>312200</v>
      </c>
      <c r="K338" s="33">
        <f t="shared" si="603"/>
        <v>318500</v>
      </c>
      <c r="L338" s="33">
        <f t="shared" si="603"/>
        <v>324900</v>
      </c>
      <c r="M338" s="33">
        <f t="shared" si="603"/>
        <v>331400</v>
      </c>
      <c r="N338" s="33">
        <f t="shared" si="603"/>
        <v>338100</v>
      </c>
      <c r="O338" s="33">
        <f t="shared" si="603"/>
        <v>344900</v>
      </c>
      <c r="P338" s="142">
        <f t="shared" ref="P338:Q338" si="604">P1132</f>
        <v>351800</v>
      </c>
      <c r="Q338" s="33">
        <f t="shared" si="604"/>
        <v>358900</v>
      </c>
      <c r="R338" s="114">
        <f t="shared" ref="R338" si="605">R1132</f>
        <v>366100</v>
      </c>
    </row>
    <row r="339" spans="1:18" x14ac:dyDescent="0.2">
      <c r="A339" s="107">
        <f>ROUND(A1193,-3)</f>
        <v>26000</v>
      </c>
      <c r="B339" s="33">
        <f>B1193</f>
        <v>44000</v>
      </c>
      <c r="C339" s="189">
        <f>C1193</f>
        <v>38700</v>
      </c>
      <c r="D339" s="189">
        <f>D1193</f>
        <v>33500</v>
      </c>
      <c r="E339" s="1955">
        <v>32132</v>
      </c>
      <c r="F339" s="132" t="s">
        <v>4919</v>
      </c>
      <c r="G339" s="198">
        <f t="shared" ref="G339:O339" si="606">G1193</f>
        <v>40000</v>
      </c>
      <c r="H339" s="138">
        <f>IF(D339=G339,0,IF(D339=0,100,(G339-D339)/D339*100))</f>
        <v>19.402985074626866</v>
      </c>
      <c r="I339" s="33">
        <f t="shared" si="606"/>
        <v>40800</v>
      </c>
      <c r="J339" s="33">
        <f t="shared" si="606"/>
        <v>41700</v>
      </c>
      <c r="K339" s="33">
        <f t="shared" si="606"/>
        <v>42600</v>
      </c>
      <c r="L339" s="33">
        <f t="shared" si="606"/>
        <v>43500</v>
      </c>
      <c r="M339" s="33">
        <f t="shared" si="606"/>
        <v>44400</v>
      </c>
      <c r="N339" s="33">
        <f t="shared" si="606"/>
        <v>45300</v>
      </c>
      <c r="O339" s="33">
        <f t="shared" si="606"/>
        <v>46300</v>
      </c>
      <c r="P339" s="142">
        <f t="shared" ref="P339:Q339" si="607">P1193</f>
        <v>47300</v>
      </c>
      <c r="Q339" s="33">
        <f t="shared" si="607"/>
        <v>48300</v>
      </c>
      <c r="R339" s="114">
        <f t="shared" ref="R339" si="608">R1193</f>
        <v>49300</v>
      </c>
    </row>
    <row r="340" spans="1:18" ht="13.5" thickBot="1" x14ac:dyDescent="0.25">
      <c r="A340" s="107"/>
      <c r="B340" s="33"/>
      <c r="E340" s="1955"/>
      <c r="F340" s="366"/>
      <c r="G340" s="2509"/>
      <c r="H340" s="138"/>
      <c r="I340" s="33"/>
      <c r="J340" s="33"/>
      <c r="K340" s="33"/>
      <c r="L340" s="33"/>
      <c r="M340" s="33"/>
      <c r="N340" s="33"/>
      <c r="O340" s="33"/>
      <c r="P340" s="142"/>
      <c r="Q340" s="33"/>
      <c r="R340" s="114"/>
    </row>
    <row r="341" spans="1:18" s="92" customFormat="1" x14ac:dyDescent="0.2">
      <c r="A341" s="105">
        <f>SUM(A317:A340)</f>
        <v>2264000</v>
      </c>
      <c r="B341" s="53">
        <f>SUM(B317:B340)</f>
        <v>1960000</v>
      </c>
      <c r="C341" s="190">
        <f>SUM(C317:C340)</f>
        <v>2286800</v>
      </c>
      <c r="D341" s="190">
        <f>SUM(D317:D340)</f>
        <v>2871400</v>
      </c>
      <c r="E341" s="237"/>
      <c r="F341" s="378" t="s">
        <v>565</v>
      </c>
      <c r="G341" s="2510">
        <f t="shared" ref="G341:O341" si="609">SUM(G317:G340)</f>
        <v>2381200</v>
      </c>
      <c r="H341" s="180">
        <f>IF(D341=G341,0,IF(D341=0,100,(G341-D341)/D341*100))</f>
        <v>-17.071811659817509</v>
      </c>
      <c r="I341" s="53">
        <f t="shared" si="609"/>
        <v>2392100</v>
      </c>
      <c r="J341" s="53">
        <f t="shared" si="609"/>
        <v>2318300</v>
      </c>
      <c r="K341" s="53">
        <f t="shared" si="609"/>
        <v>2552800</v>
      </c>
      <c r="L341" s="53">
        <f t="shared" si="609"/>
        <v>2494900</v>
      </c>
      <c r="M341" s="53">
        <f t="shared" si="609"/>
        <v>2630100</v>
      </c>
      <c r="N341" s="53">
        <f t="shared" si="609"/>
        <v>2562400</v>
      </c>
      <c r="O341" s="53">
        <f t="shared" si="609"/>
        <v>2708200</v>
      </c>
      <c r="P341" s="155">
        <f t="shared" ref="P341:Q341" si="610">SUM(P317:P340)</f>
        <v>2647600</v>
      </c>
      <c r="Q341" s="53">
        <f t="shared" si="610"/>
        <v>2797900</v>
      </c>
      <c r="R341" s="113">
        <f t="shared" ref="R341" si="611">SUM(R317:R340)</f>
        <v>2736300</v>
      </c>
    </row>
    <row r="342" spans="1:18" x14ac:dyDescent="0.2">
      <c r="A342" s="107"/>
      <c r="B342" s="33"/>
      <c r="E342" s="1955"/>
      <c r="F342" s="366"/>
      <c r="G342" s="2509"/>
      <c r="H342" s="138"/>
      <c r="I342" s="33"/>
      <c r="J342" s="33"/>
      <c r="K342" s="33"/>
      <c r="L342" s="33"/>
      <c r="M342" s="33"/>
      <c r="N342" s="33"/>
      <c r="O342" s="33"/>
      <c r="P342" s="142"/>
      <c r="Q342" s="33"/>
      <c r="R342" s="114"/>
    </row>
    <row r="343" spans="1:18" s="92" customFormat="1" x14ac:dyDescent="0.2">
      <c r="A343" s="70">
        <f>A315-A341</f>
        <v>-1665300</v>
      </c>
      <c r="B343" s="64">
        <f>B315-B341</f>
        <v>-1054100</v>
      </c>
      <c r="C343" s="193">
        <f>C315-C341</f>
        <v>-1390300</v>
      </c>
      <c r="D343" s="193">
        <f>D315-D341</f>
        <v>-1496200</v>
      </c>
      <c r="E343" s="237"/>
      <c r="F343" s="516" t="s">
        <v>1019</v>
      </c>
      <c r="G343" s="2511">
        <f t="shared" ref="G343:O343" si="612">G315-G341</f>
        <v>-1420800</v>
      </c>
      <c r="H343" s="179">
        <f>IF(D343=G343,0,IF(D343=0,100,(G343-D343)/D343*100))</f>
        <v>-5.0394332308514898</v>
      </c>
      <c r="I343" s="64">
        <f t="shared" si="612"/>
        <v>-1498100</v>
      </c>
      <c r="J343" s="64">
        <f t="shared" si="612"/>
        <v>-1407400</v>
      </c>
      <c r="K343" s="64">
        <f t="shared" si="612"/>
        <v>-1624900</v>
      </c>
      <c r="L343" s="64">
        <f t="shared" si="612"/>
        <v>-1549700</v>
      </c>
      <c r="M343" s="64">
        <f t="shared" si="612"/>
        <v>-1671800</v>
      </c>
      <c r="N343" s="64">
        <f t="shared" si="612"/>
        <v>-1590300</v>
      </c>
      <c r="O343" s="64">
        <f t="shared" si="612"/>
        <v>-1717400</v>
      </c>
      <c r="P343" s="128">
        <f t="shared" ref="P343:Q343" si="613">P315-P341</f>
        <v>-1636600</v>
      </c>
      <c r="Q343" s="64">
        <f t="shared" si="613"/>
        <v>-1766300</v>
      </c>
      <c r="R343" s="115">
        <f t="shared" ref="R343" si="614">R315-R341</f>
        <v>-1683700</v>
      </c>
    </row>
    <row r="344" spans="1:18" x14ac:dyDescent="0.2">
      <c r="A344" s="107">
        <f>ROUND(SUM(A336:A339),-3)</f>
        <v>656000</v>
      </c>
      <c r="B344" s="33">
        <f>SUM(B336:B339)</f>
        <v>68800</v>
      </c>
      <c r="C344" s="189">
        <f>SUM(C336:C339)</f>
        <v>421300</v>
      </c>
      <c r="D344" s="189">
        <f>SUM(D336:D339)</f>
        <v>612200</v>
      </c>
      <c r="E344" s="1955"/>
      <c r="F344" s="372" t="s">
        <v>1976</v>
      </c>
      <c r="G344" s="2509">
        <f t="shared" ref="G344:O344" si="615">SUM(G336:G339)</f>
        <v>450000</v>
      </c>
      <c r="H344" s="179">
        <f>IF(D344=G344,0,IF(D344=0,100,(G344-D344)/D344*100))</f>
        <v>-26.494609604704344</v>
      </c>
      <c r="I344" s="187">
        <f t="shared" si="615"/>
        <v>459000</v>
      </c>
      <c r="J344" s="187">
        <f t="shared" si="615"/>
        <v>468400</v>
      </c>
      <c r="K344" s="187">
        <f t="shared" si="615"/>
        <v>477900</v>
      </c>
      <c r="L344" s="187">
        <f t="shared" si="615"/>
        <v>487600</v>
      </c>
      <c r="M344" s="187">
        <f t="shared" si="615"/>
        <v>497400</v>
      </c>
      <c r="N344" s="187">
        <f t="shared" si="615"/>
        <v>507500</v>
      </c>
      <c r="O344" s="187">
        <f t="shared" si="615"/>
        <v>517800</v>
      </c>
      <c r="P344" s="189">
        <f t="shared" ref="P344:Q344" si="616">SUM(P336:P339)</f>
        <v>528300</v>
      </c>
      <c r="Q344" s="187">
        <f t="shared" si="616"/>
        <v>539000</v>
      </c>
      <c r="R344" s="188">
        <f t="shared" ref="R344" si="617">SUM(R336:R339)</f>
        <v>549900</v>
      </c>
    </row>
    <row r="345" spans="1:18" s="92" customFormat="1" x14ac:dyDescent="0.2">
      <c r="A345" s="181">
        <f>A343+A344</f>
        <v>-1009300</v>
      </c>
      <c r="B345" s="397">
        <f>B343+B344</f>
        <v>-985300</v>
      </c>
      <c r="C345" s="398">
        <f>C343+C344</f>
        <v>-969000</v>
      </c>
      <c r="D345" s="398">
        <f>D343+D344</f>
        <v>-884000</v>
      </c>
      <c r="E345" s="523"/>
      <c r="F345" s="518" t="s">
        <v>1687</v>
      </c>
      <c r="G345" s="2607">
        <f t="shared" ref="G345:O345" si="618">G343+G344</f>
        <v>-970800</v>
      </c>
      <c r="H345" s="395">
        <f>IF(D345=G345,0,IF(D345=0,100,(G345-D345)/D345*100))</f>
        <v>9.8190045248868785</v>
      </c>
      <c r="I345" s="728">
        <f t="shared" si="618"/>
        <v>-1039100</v>
      </c>
      <c r="J345" s="728">
        <f t="shared" si="618"/>
        <v>-939000</v>
      </c>
      <c r="K345" s="728">
        <f t="shared" si="618"/>
        <v>-1147000</v>
      </c>
      <c r="L345" s="728">
        <f t="shared" si="618"/>
        <v>-1062100</v>
      </c>
      <c r="M345" s="728">
        <f t="shared" si="618"/>
        <v>-1174400</v>
      </c>
      <c r="N345" s="728">
        <f t="shared" si="618"/>
        <v>-1082800</v>
      </c>
      <c r="O345" s="728">
        <f t="shared" si="618"/>
        <v>-1199600</v>
      </c>
      <c r="P345" s="398">
        <f t="shared" ref="P345:Q345" si="619">P343+P344</f>
        <v>-1108300</v>
      </c>
      <c r="Q345" s="728">
        <f t="shared" si="619"/>
        <v>-1227300</v>
      </c>
      <c r="R345" s="1716">
        <f t="shared" ref="R345" si="620">R343+R344</f>
        <v>-1133800</v>
      </c>
    </row>
    <row r="346" spans="1:18" ht="13.5" thickBot="1" x14ac:dyDescent="0.25">
      <c r="A346" s="107"/>
      <c r="B346" s="33"/>
      <c r="E346" s="1955"/>
      <c r="F346" s="366"/>
      <c r="G346" s="2509"/>
      <c r="H346" s="138"/>
      <c r="I346" s="33"/>
      <c r="J346" s="33"/>
      <c r="K346" s="33"/>
      <c r="L346" s="33"/>
      <c r="M346" s="33"/>
      <c r="N346" s="33"/>
      <c r="O346" s="33"/>
      <c r="P346" s="142"/>
      <c r="Q346" s="33"/>
      <c r="R346" s="114"/>
    </row>
    <row r="347" spans="1:18" ht="13.5" thickTop="1" x14ac:dyDescent="0.2">
      <c r="A347" s="383"/>
      <c r="B347" s="162"/>
      <c r="C347" s="194"/>
      <c r="D347" s="194"/>
      <c r="E347" s="541"/>
      <c r="F347" s="367"/>
      <c r="G347" s="2608"/>
      <c r="H347" s="505"/>
      <c r="I347" s="127"/>
      <c r="J347" s="127"/>
      <c r="K347" s="127"/>
      <c r="L347" s="127"/>
      <c r="M347" s="127"/>
      <c r="N347" s="127"/>
      <c r="O347" s="127"/>
      <c r="P347" s="164"/>
      <c r="Q347" s="127"/>
      <c r="R347" s="163"/>
    </row>
    <row r="348" spans="1:18" x14ac:dyDescent="0.2">
      <c r="A348" s="70"/>
      <c r="B348" s="64"/>
      <c r="C348" s="193"/>
      <c r="D348" s="193"/>
      <c r="E348" s="238"/>
      <c r="F348" s="516" t="s">
        <v>196</v>
      </c>
      <c r="G348" s="197"/>
      <c r="H348" s="179"/>
      <c r="I348" s="33"/>
      <c r="J348" s="33"/>
      <c r="K348" s="33"/>
      <c r="L348" s="33"/>
      <c r="M348" s="33"/>
      <c r="N348" s="33"/>
      <c r="O348" s="33"/>
      <c r="P348" s="142"/>
      <c r="Q348" s="33"/>
      <c r="R348" s="114"/>
    </row>
    <row r="349" spans="1:18" x14ac:dyDescent="0.2">
      <c r="A349" s="70"/>
      <c r="B349" s="64"/>
      <c r="C349" s="193"/>
      <c r="D349" s="193"/>
      <c r="E349" s="238"/>
      <c r="F349" s="516"/>
      <c r="G349" s="197"/>
      <c r="H349" s="179"/>
      <c r="I349" s="33"/>
      <c r="J349" s="33"/>
      <c r="K349" s="33"/>
      <c r="L349" s="33"/>
      <c r="M349" s="33"/>
      <c r="N349" s="33"/>
      <c r="O349" s="33"/>
      <c r="P349" s="142"/>
      <c r="Q349" s="33"/>
      <c r="R349" s="114"/>
    </row>
    <row r="350" spans="1:18" x14ac:dyDescent="0.2">
      <c r="A350" s="107">
        <f t="shared" ref="A350:A354" si="621">ROUND(A1142+A1204,-3)</f>
        <v>375000</v>
      </c>
      <c r="B350" s="33">
        <f t="shared" ref="B350:C354" si="622">B1142+B1204</f>
        <v>448700</v>
      </c>
      <c r="C350" s="189">
        <f t="shared" si="622"/>
        <v>416500</v>
      </c>
      <c r="D350" s="189">
        <f>D1142+D1204</f>
        <v>441900</v>
      </c>
      <c r="E350" s="238"/>
      <c r="F350" s="366" t="s">
        <v>2900</v>
      </c>
      <c r="G350" s="198">
        <f>G1142+G1204</f>
        <v>469100</v>
      </c>
      <c r="H350" s="138"/>
      <c r="I350" s="33">
        <f t="shared" ref="I350:Q350" si="623">I1142+I1204</f>
        <v>498000</v>
      </c>
      <c r="J350" s="33">
        <f t="shared" si="623"/>
        <v>444800</v>
      </c>
      <c r="K350" s="33">
        <f t="shared" si="623"/>
        <v>350800</v>
      </c>
      <c r="L350" s="33">
        <f t="shared" si="623"/>
        <v>366900</v>
      </c>
      <c r="M350" s="33">
        <f t="shared" si="623"/>
        <v>384200</v>
      </c>
      <c r="N350" s="33">
        <f t="shared" si="623"/>
        <v>317000</v>
      </c>
      <c r="O350" s="33">
        <f t="shared" si="623"/>
        <v>243000</v>
      </c>
      <c r="P350" s="142">
        <f t="shared" si="623"/>
        <v>253000</v>
      </c>
      <c r="Q350" s="33">
        <f t="shared" si="623"/>
        <v>263000</v>
      </c>
      <c r="R350" s="114">
        <f t="shared" ref="R350" si="624">R1142+R1204</f>
        <v>274000</v>
      </c>
    </row>
    <row r="351" spans="1:18" x14ac:dyDescent="0.2">
      <c r="A351" s="107">
        <f t="shared" si="621"/>
        <v>1085000</v>
      </c>
      <c r="B351" s="33">
        <f t="shared" si="622"/>
        <v>512300</v>
      </c>
      <c r="C351" s="189">
        <f t="shared" si="622"/>
        <v>2168800</v>
      </c>
      <c r="D351" s="189">
        <f>D1143+D1205</f>
        <v>2707300</v>
      </c>
      <c r="E351" s="238"/>
      <c r="F351" s="366" t="s">
        <v>1942</v>
      </c>
      <c r="G351" s="198">
        <f>G1143+G1205</f>
        <v>11600</v>
      </c>
      <c r="H351" s="138"/>
      <c r="I351" s="33">
        <f t="shared" ref="I351:Q351" si="625">I1143+I1205</f>
        <v>0</v>
      </c>
      <c r="J351" s="33">
        <f t="shared" si="625"/>
        <v>50000</v>
      </c>
      <c r="K351" s="33">
        <f t="shared" si="625"/>
        <v>50000</v>
      </c>
      <c r="L351" s="33">
        <f t="shared" si="625"/>
        <v>50000</v>
      </c>
      <c r="M351" s="33">
        <f t="shared" si="625"/>
        <v>50000</v>
      </c>
      <c r="N351" s="33">
        <f t="shared" si="625"/>
        <v>50000</v>
      </c>
      <c r="O351" s="33">
        <f t="shared" si="625"/>
        <v>50000</v>
      </c>
      <c r="P351" s="142">
        <f t="shared" si="625"/>
        <v>50000</v>
      </c>
      <c r="Q351" s="33">
        <f t="shared" si="625"/>
        <v>50000</v>
      </c>
      <c r="R351" s="114">
        <f t="shared" ref="R351" si="626">R1143+R1205</f>
        <v>50000</v>
      </c>
    </row>
    <row r="352" spans="1:18" x14ac:dyDescent="0.2">
      <c r="A352" s="107">
        <f t="shared" si="621"/>
        <v>3019000</v>
      </c>
      <c r="B352" s="33">
        <f t="shared" si="622"/>
        <v>2484000</v>
      </c>
      <c r="C352" s="189">
        <f t="shared" si="622"/>
        <v>1382400</v>
      </c>
      <c r="D352" s="189">
        <f>D1144+D1206</f>
        <v>4818700</v>
      </c>
      <c r="E352" s="238"/>
      <c r="F352" s="366" t="s">
        <v>2348</v>
      </c>
      <c r="G352" s="198">
        <f>G1144+G1206</f>
        <v>2312400</v>
      </c>
      <c r="H352" s="138"/>
      <c r="I352" s="33">
        <f t="shared" ref="I352:Q352" si="627">I1144+I1206</f>
        <v>803100</v>
      </c>
      <c r="J352" s="33">
        <f t="shared" si="627"/>
        <v>725400</v>
      </c>
      <c r="K352" s="33">
        <f t="shared" si="627"/>
        <v>389500</v>
      </c>
      <c r="L352" s="33">
        <f t="shared" si="627"/>
        <v>295200</v>
      </c>
      <c r="M352" s="33">
        <f t="shared" si="627"/>
        <v>401100</v>
      </c>
      <c r="N352" s="33">
        <f t="shared" si="627"/>
        <v>306900</v>
      </c>
      <c r="O352" s="33">
        <f t="shared" si="627"/>
        <v>409100</v>
      </c>
      <c r="P352" s="142">
        <f t="shared" si="627"/>
        <v>308000</v>
      </c>
      <c r="Q352" s="33">
        <f t="shared" si="627"/>
        <v>408000</v>
      </c>
      <c r="R352" s="114">
        <f t="shared" ref="R352" si="628">R1144+R1206</f>
        <v>308000</v>
      </c>
    </row>
    <row r="353" spans="1:18" x14ac:dyDescent="0.2">
      <c r="A353" s="107">
        <f t="shared" si="621"/>
        <v>1537000</v>
      </c>
      <c r="B353" s="33">
        <f t="shared" si="622"/>
        <v>608100</v>
      </c>
      <c r="C353" s="189">
        <f t="shared" si="622"/>
        <v>1817800</v>
      </c>
      <c r="D353" s="189">
        <f>D1145+D1207</f>
        <v>450200</v>
      </c>
      <c r="E353" s="238"/>
      <c r="F353" s="366" t="s">
        <v>5984</v>
      </c>
      <c r="G353" s="198">
        <f>G1145+G1207</f>
        <v>820000</v>
      </c>
      <c r="H353" s="138"/>
      <c r="I353" s="33">
        <f t="shared" ref="I353:Q353" si="629">I1145+I1207</f>
        <v>550000</v>
      </c>
      <c r="J353" s="33">
        <f t="shared" si="629"/>
        <v>425000</v>
      </c>
      <c r="K353" s="33">
        <f t="shared" si="629"/>
        <v>0</v>
      </c>
      <c r="L353" s="33">
        <f t="shared" si="629"/>
        <v>0</v>
      </c>
      <c r="M353" s="33">
        <f t="shared" si="629"/>
        <v>0</v>
      </c>
      <c r="N353" s="33">
        <f t="shared" si="629"/>
        <v>0</v>
      </c>
      <c r="O353" s="33">
        <f t="shared" si="629"/>
        <v>0</v>
      </c>
      <c r="P353" s="142">
        <f t="shared" si="629"/>
        <v>0</v>
      </c>
      <c r="Q353" s="33">
        <f t="shared" si="629"/>
        <v>0</v>
      </c>
      <c r="R353" s="114">
        <f t="shared" ref="R353" si="630">R1145+R1207</f>
        <v>0</v>
      </c>
    </row>
    <row r="354" spans="1:18" x14ac:dyDescent="0.2">
      <c r="A354" s="107">
        <f t="shared" si="621"/>
        <v>3948000</v>
      </c>
      <c r="B354" s="33">
        <f t="shared" si="622"/>
        <v>2270500</v>
      </c>
      <c r="C354" s="189">
        <f t="shared" si="622"/>
        <v>2463700</v>
      </c>
      <c r="D354" s="189">
        <f>D1146+D1208</f>
        <v>2538500</v>
      </c>
      <c r="E354" s="238"/>
      <c r="F354" s="366" t="s">
        <v>972</v>
      </c>
      <c r="G354" s="198">
        <f>G1146+G1208</f>
        <v>3136900</v>
      </c>
      <c r="H354" s="138"/>
      <c r="I354" s="33">
        <f t="shared" ref="I354:Q354" si="631">I1146+I1208</f>
        <v>1465000</v>
      </c>
      <c r="J354" s="33">
        <f t="shared" si="631"/>
        <v>1360000</v>
      </c>
      <c r="K354" s="33">
        <f t="shared" si="631"/>
        <v>530000</v>
      </c>
      <c r="L354" s="33">
        <f t="shared" si="631"/>
        <v>543000</v>
      </c>
      <c r="M354" s="33">
        <f t="shared" si="631"/>
        <v>556000</v>
      </c>
      <c r="N354" s="33">
        <f t="shared" si="631"/>
        <v>570000</v>
      </c>
      <c r="O354" s="33">
        <f t="shared" si="631"/>
        <v>584000</v>
      </c>
      <c r="P354" s="142">
        <f t="shared" si="631"/>
        <v>598000</v>
      </c>
      <c r="Q354" s="33">
        <f t="shared" si="631"/>
        <v>613000</v>
      </c>
      <c r="R354" s="114">
        <f t="shared" ref="R354" si="632">R1146+R1208</f>
        <v>628000</v>
      </c>
    </row>
    <row r="355" spans="1:18" x14ac:dyDescent="0.2">
      <c r="A355" s="107"/>
      <c r="B355" s="33"/>
      <c r="E355" s="238"/>
      <c r="F355" s="516"/>
      <c r="G355" s="198"/>
      <c r="H355" s="138"/>
      <c r="I355" s="33"/>
      <c r="J355" s="33"/>
      <c r="K355" s="33"/>
      <c r="L355" s="33"/>
      <c r="M355" s="33"/>
      <c r="N355" s="33"/>
      <c r="O355" s="33"/>
      <c r="P355" s="142"/>
      <c r="Q355" s="33"/>
      <c r="R355" s="114"/>
    </row>
    <row r="356" spans="1:18" s="92" customFormat="1" x14ac:dyDescent="0.2">
      <c r="A356" s="181">
        <f>A345-A350-A351+A352++A353-A354</f>
        <v>-1861300</v>
      </c>
      <c r="B356" s="397">
        <f>B345-B350-B351+B352++B353-B354</f>
        <v>-1124700</v>
      </c>
      <c r="C356" s="398">
        <f>C345-C350-C351+C352++C353-C354</f>
        <v>-2817800</v>
      </c>
      <c r="D356" s="398">
        <f>D345-D350-D351+D352++D353-D354</f>
        <v>-1302800</v>
      </c>
      <c r="E356" s="526"/>
      <c r="F356" s="518" t="s">
        <v>2490</v>
      </c>
      <c r="G356" s="2605">
        <f t="shared" ref="G356:O356" si="633">G345-G350-G351+G352++G353-G354</f>
        <v>-1456000</v>
      </c>
      <c r="H356" s="395">
        <f>IF(D356=G356,0,IF(D356=0,100,(G356-D356)/D356*100))</f>
        <v>11.759287688056494</v>
      </c>
      <c r="I356" s="397">
        <f t="shared" si="633"/>
        <v>-1649000</v>
      </c>
      <c r="J356" s="397">
        <f t="shared" si="633"/>
        <v>-1643400</v>
      </c>
      <c r="K356" s="397">
        <f t="shared" si="633"/>
        <v>-1688300</v>
      </c>
      <c r="L356" s="397">
        <f t="shared" si="633"/>
        <v>-1726800</v>
      </c>
      <c r="M356" s="397">
        <f t="shared" si="633"/>
        <v>-1763500</v>
      </c>
      <c r="N356" s="397">
        <f t="shared" si="633"/>
        <v>-1712900</v>
      </c>
      <c r="O356" s="397">
        <f t="shared" si="633"/>
        <v>-1667500</v>
      </c>
      <c r="P356" s="377">
        <f t="shared" ref="P356:Q356" si="634">P345-P350-P351+P352++P353-P354</f>
        <v>-1701300</v>
      </c>
      <c r="Q356" s="397">
        <f t="shared" si="634"/>
        <v>-1745300</v>
      </c>
      <c r="R356" s="399">
        <f t="shared" ref="R356" si="635">R345-R350-R351+R352++R353-R354</f>
        <v>-1777800</v>
      </c>
    </row>
    <row r="357" spans="1:18" ht="13.5" thickBot="1" x14ac:dyDescent="0.25">
      <c r="A357" s="73"/>
      <c r="B357" s="90"/>
      <c r="C357" s="195"/>
      <c r="D357" s="195"/>
      <c r="E357" s="239"/>
      <c r="F357" s="368"/>
      <c r="G357" s="2502"/>
      <c r="H357" s="392"/>
      <c r="I357" s="66"/>
      <c r="J357" s="66"/>
      <c r="K357" s="66"/>
      <c r="L357" s="66"/>
      <c r="M357" s="66"/>
      <c r="N357" s="66"/>
      <c r="O357" s="66"/>
      <c r="P357" s="166"/>
      <c r="Q357" s="66"/>
      <c r="R357" s="165"/>
    </row>
    <row r="358" spans="1:18" s="99" customFormat="1" ht="14.25" customHeight="1" thickTop="1" thickBot="1" x14ac:dyDescent="0.25">
      <c r="C358" s="198"/>
      <c r="D358" s="198"/>
      <c r="E358" s="238"/>
      <c r="G358" s="198"/>
      <c r="H358" s="123"/>
    </row>
    <row r="359" spans="1:18" s="91" customFormat="1" ht="18.75" customHeight="1" thickTop="1" thickBot="1" x14ac:dyDescent="0.3">
      <c r="A359" s="2865" t="s">
        <v>305</v>
      </c>
      <c r="B359" s="2866"/>
      <c r="C359" s="2866"/>
      <c r="D359" s="2866"/>
      <c r="E359" s="2866"/>
      <c r="F359" s="2866"/>
      <c r="G359" s="2866"/>
      <c r="H359" s="2866"/>
      <c r="I359" s="2866"/>
      <c r="J359" s="2866"/>
      <c r="K359" s="2866"/>
      <c r="L359" s="2866"/>
      <c r="M359" s="2866"/>
      <c r="N359" s="2866"/>
      <c r="O359" s="2866"/>
      <c r="P359" s="2866"/>
      <c r="Q359" s="2866"/>
      <c r="R359" s="2867"/>
    </row>
    <row r="360" spans="1:18" s="44" customFormat="1" x14ac:dyDescent="0.2">
      <c r="A360" s="2848" t="s">
        <v>1856</v>
      </c>
      <c r="B360" s="2840"/>
      <c r="C360" s="2840"/>
      <c r="D360" s="2849"/>
      <c r="E360" s="369" t="s">
        <v>2663</v>
      </c>
      <c r="F360" s="2649" t="s">
        <v>2251</v>
      </c>
      <c r="G360" s="2885" t="s">
        <v>2253</v>
      </c>
      <c r="H360" s="2886"/>
      <c r="I360" s="2886"/>
      <c r="J360" s="2886"/>
      <c r="K360" s="2886"/>
      <c r="L360" s="2886"/>
      <c r="M360" s="2886"/>
      <c r="N360" s="2886"/>
      <c r="O360" s="2886"/>
      <c r="P360" s="2886"/>
      <c r="Q360" s="2886"/>
      <c r="R360" s="2887"/>
    </row>
    <row r="361" spans="1:18" s="23" customFormat="1" ht="12.75" customHeight="1" thickBot="1" x14ac:dyDescent="0.25">
      <c r="A361" s="208" t="str">
        <f>A3</f>
        <v>2012/13</v>
      </c>
      <c r="B361" s="75" t="str">
        <f>B3</f>
        <v>2013/14</v>
      </c>
      <c r="C361" s="370" t="str">
        <f>C3</f>
        <v>2014/15</v>
      </c>
      <c r="D361" s="93" t="str">
        <f>D3</f>
        <v>2015/16</v>
      </c>
      <c r="E361" s="370" t="s">
        <v>2664</v>
      </c>
      <c r="F361" s="42"/>
      <c r="G361" s="93" t="str">
        <f>G3</f>
        <v>2016/17</v>
      </c>
      <c r="H361" s="2193" t="str">
        <f>H241</f>
        <v xml:space="preserve">% </v>
      </c>
      <c r="I361" s="370" t="str">
        <f t="shared" ref="I361:Q361" si="636">I3</f>
        <v>2017/18</v>
      </c>
      <c r="J361" s="370" t="str">
        <f t="shared" si="636"/>
        <v>2018/19</v>
      </c>
      <c r="K361" s="370" t="str">
        <f t="shared" si="636"/>
        <v>2019/20</v>
      </c>
      <c r="L361" s="370" t="str">
        <f t="shared" si="636"/>
        <v>2020/21</v>
      </c>
      <c r="M361" s="370" t="str">
        <f t="shared" si="636"/>
        <v>2021/22</v>
      </c>
      <c r="N361" s="370" t="str">
        <f t="shared" si="636"/>
        <v>2022/23</v>
      </c>
      <c r="O361" s="370" t="str">
        <f t="shared" si="636"/>
        <v>2023/24</v>
      </c>
      <c r="P361" s="370" t="str">
        <f t="shared" si="636"/>
        <v>2024/25</v>
      </c>
      <c r="Q361" s="218" t="str">
        <f t="shared" si="636"/>
        <v>2025/26</v>
      </c>
      <c r="R361" s="549" t="str">
        <f t="shared" ref="R361" si="637">R3</f>
        <v>2026/27</v>
      </c>
    </row>
    <row r="362" spans="1:18" x14ac:dyDescent="0.2">
      <c r="A362" s="98"/>
      <c r="B362" s="33"/>
      <c r="C362" s="187"/>
      <c r="D362" s="187"/>
      <c r="E362" s="1954"/>
      <c r="F362" s="76"/>
      <c r="G362" s="187"/>
      <c r="H362" s="138"/>
      <c r="I362" s="33"/>
      <c r="J362" s="33"/>
      <c r="K362" s="33"/>
      <c r="L362" s="33"/>
      <c r="M362" s="33"/>
      <c r="N362" s="33"/>
      <c r="O362" s="33"/>
      <c r="P362" s="33"/>
      <c r="Q362" s="33"/>
      <c r="R362" s="114"/>
    </row>
    <row r="363" spans="1:18" x14ac:dyDescent="0.2">
      <c r="A363" s="98"/>
      <c r="B363" s="33"/>
      <c r="C363" s="187"/>
      <c r="D363" s="187"/>
      <c r="E363" s="1954"/>
      <c r="F363" s="103" t="s">
        <v>1073</v>
      </c>
      <c r="G363" s="187"/>
      <c r="H363" s="138"/>
      <c r="I363" s="33"/>
      <c r="J363" s="33"/>
      <c r="K363" s="33"/>
      <c r="L363" s="33"/>
      <c r="M363" s="33"/>
      <c r="N363" s="33"/>
      <c r="O363" s="33"/>
      <c r="P363" s="33"/>
      <c r="Q363" s="33"/>
      <c r="R363" s="114"/>
    </row>
    <row r="364" spans="1:18" x14ac:dyDescent="0.2">
      <c r="A364" s="98"/>
      <c r="B364" s="33"/>
      <c r="C364" s="187"/>
      <c r="D364" s="187"/>
      <c r="E364" s="1954"/>
      <c r="F364" s="76"/>
      <c r="G364" s="187"/>
      <c r="H364" s="138"/>
      <c r="I364" s="33"/>
      <c r="J364" s="33"/>
      <c r="K364" s="33"/>
      <c r="L364" s="33"/>
      <c r="M364" s="33"/>
      <c r="N364" s="33"/>
      <c r="O364" s="33"/>
      <c r="P364" s="33"/>
      <c r="Q364" s="33"/>
      <c r="R364" s="114"/>
    </row>
    <row r="365" spans="1:18" x14ac:dyDescent="0.2">
      <c r="A365" s="98"/>
      <c r="B365" s="33"/>
      <c r="C365" s="187"/>
      <c r="D365" s="187"/>
      <c r="E365" s="1954"/>
      <c r="F365" s="79" t="s">
        <v>2881</v>
      </c>
      <c r="G365" s="187"/>
      <c r="H365" s="138"/>
      <c r="I365" s="33"/>
      <c r="J365" s="33"/>
      <c r="K365" s="33"/>
      <c r="L365" s="33"/>
      <c r="M365" s="33"/>
      <c r="N365" s="33"/>
      <c r="O365" s="33"/>
      <c r="P365" s="33"/>
      <c r="Q365" s="33"/>
      <c r="R365" s="114"/>
    </row>
    <row r="366" spans="1:18" x14ac:dyDescent="0.2">
      <c r="A366" s="107">
        <f>ROUND(SUM(A1221),-3)</f>
        <v>47000</v>
      </c>
      <c r="B366" s="33">
        <f>SUM(B1221)</f>
        <v>0</v>
      </c>
      <c r="C366" s="189">
        <f>SUM(C1221)</f>
        <v>0</v>
      </c>
      <c r="D366" s="189">
        <f>SUM(D1221)</f>
        <v>0</v>
      </c>
      <c r="E366" s="1954">
        <v>22220</v>
      </c>
      <c r="F366" s="1981" t="s">
        <v>961</v>
      </c>
      <c r="G366" s="187">
        <f t="shared" ref="G366:O366" si="638">SUM(G1221)</f>
        <v>0</v>
      </c>
      <c r="H366" s="138">
        <f>IF(D366=G366,0,IF(D366=0,100,(G366-D366)/D366*100))</f>
        <v>0</v>
      </c>
      <c r="I366" s="33">
        <f t="shared" si="638"/>
        <v>0</v>
      </c>
      <c r="J366" s="33">
        <f t="shared" si="638"/>
        <v>0</v>
      </c>
      <c r="K366" s="33">
        <f t="shared" si="638"/>
        <v>0</v>
      </c>
      <c r="L366" s="33">
        <f t="shared" si="638"/>
        <v>0</v>
      </c>
      <c r="M366" s="33">
        <f t="shared" si="638"/>
        <v>0</v>
      </c>
      <c r="N366" s="33">
        <f t="shared" si="638"/>
        <v>0</v>
      </c>
      <c r="O366" s="33">
        <f t="shared" si="638"/>
        <v>0</v>
      </c>
      <c r="P366" s="33">
        <f t="shared" ref="P366:Q366" si="639">SUM(P1221)</f>
        <v>0</v>
      </c>
      <c r="Q366" s="33">
        <f t="shared" si="639"/>
        <v>0</v>
      </c>
      <c r="R366" s="114">
        <f t="shared" ref="R366" si="640">SUM(R1221)</f>
        <v>0</v>
      </c>
    </row>
    <row r="367" spans="1:18" x14ac:dyDescent="0.2">
      <c r="A367" s="107">
        <f>ROUND(SUM(A1222:A1222)+A1220,-3)-1000</f>
        <v>68000</v>
      </c>
      <c r="B367" s="33">
        <f>SUM(B1222:B1222)+B1220</f>
        <v>0</v>
      </c>
      <c r="C367" s="189">
        <f>SUM(C1222:C1222)+C1220</f>
        <v>0</v>
      </c>
      <c r="D367" s="189">
        <f>SUM(D1222:D1222)+D1220</f>
        <v>0</v>
      </c>
      <c r="E367" s="1954">
        <v>22220</v>
      </c>
      <c r="F367" s="1981" t="s">
        <v>1925</v>
      </c>
      <c r="G367" s="187">
        <f t="shared" ref="G367:O367" si="641">SUM(G1222:G1222)+G1220</f>
        <v>0</v>
      </c>
      <c r="H367" s="138">
        <f>IF(D367=G367,0,IF(D367=0,100,(G367-D367)/D367*100))</f>
        <v>0</v>
      </c>
      <c r="I367" s="33">
        <f t="shared" si="641"/>
        <v>0</v>
      </c>
      <c r="J367" s="33">
        <f t="shared" si="641"/>
        <v>0</v>
      </c>
      <c r="K367" s="33">
        <f t="shared" si="641"/>
        <v>0</v>
      </c>
      <c r="L367" s="33">
        <f t="shared" si="641"/>
        <v>0</v>
      </c>
      <c r="M367" s="33">
        <f t="shared" si="641"/>
        <v>0</v>
      </c>
      <c r="N367" s="33">
        <f t="shared" si="641"/>
        <v>0</v>
      </c>
      <c r="O367" s="33">
        <f t="shared" si="641"/>
        <v>0</v>
      </c>
      <c r="P367" s="33">
        <f t="shared" ref="P367:Q367" si="642">SUM(P1222:P1222)+P1220</f>
        <v>0</v>
      </c>
      <c r="Q367" s="33">
        <f t="shared" si="642"/>
        <v>0</v>
      </c>
      <c r="R367" s="114">
        <f t="shared" ref="R367" si="643">SUM(R1222:R1222)+R1220</f>
        <v>0</v>
      </c>
    </row>
    <row r="368" spans="1:18" x14ac:dyDescent="0.2">
      <c r="A368" s="107"/>
      <c r="B368" s="33"/>
      <c r="E368" s="1954"/>
      <c r="F368" s="1981"/>
      <c r="G368" s="187"/>
      <c r="H368" s="138"/>
      <c r="I368" s="33"/>
      <c r="J368" s="33"/>
      <c r="K368" s="33"/>
      <c r="L368" s="33"/>
      <c r="M368" s="33"/>
      <c r="N368" s="33"/>
      <c r="O368" s="33"/>
      <c r="P368" s="33"/>
      <c r="Q368" s="33"/>
      <c r="R368" s="114"/>
    </row>
    <row r="369" spans="1:18" x14ac:dyDescent="0.2">
      <c r="A369" s="107"/>
      <c r="B369" s="33"/>
      <c r="E369" s="1954"/>
      <c r="F369" s="175" t="s">
        <v>209</v>
      </c>
      <c r="G369" s="187"/>
      <c r="H369" s="138"/>
      <c r="I369" s="33"/>
      <c r="J369" s="33"/>
      <c r="K369" s="33"/>
      <c r="L369" s="33"/>
      <c r="M369" s="33"/>
      <c r="N369" s="33"/>
      <c r="O369" s="33"/>
      <c r="P369" s="33"/>
      <c r="Q369" s="33"/>
      <c r="R369" s="114"/>
    </row>
    <row r="370" spans="1:18" ht="12" customHeight="1" x14ac:dyDescent="0.2">
      <c r="A370" s="107">
        <f>ROUND(SUM(A1223:A1226),-3)</f>
        <v>562000</v>
      </c>
      <c r="B370" s="33">
        <f>SUM(B1223:B1226)</f>
        <v>926000</v>
      </c>
      <c r="C370" s="189">
        <f>SUM(C1223:C1226)</f>
        <v>866500</v>
      </c>
      <c r="D370" s="189">
        <f>SUM(D1223:D1226)</f>
        <v>876000</v>
      </c>
      <c r="E370" s="1954">
        <v>22220</v>
      </c>
      <c r="F370" s="2532" t="s">
        <v>2709</v>
      </c>
      <c r="G370" s="187">
        <f>SUM(G1223:G1226)</f>
        <v>970000</v>
      </c>
      <c r="H370" s="138">
        <f>IF(D370=G370,0,IF(D370=0,100,(G370-D370)/D370*100))</f>
        <v>10.730593607305936</v>
      </c>
      <c r="I370" s="33">
        <f t="shared" ref="I370:R370" si="644">SUM(I1223:I1226)</f>
        <v>744600</v>
      </c>
      <c r="J370" s="33">
        <f t="shared" si="644"/>
        <v>763500</v>
      </c>
      <c r="K370" s="33">
        <f t="shared" si="644"/>
        <v>783100</v>
      </c>
      <c r="L370" s="33">
        <f t="shared" si="644"/>
        <v>803100</v>
      </c>
      <c r="M370" s="33">
        <f t="shared" si="644"/>
        <v>819600</v>
      </c>
      <c r="N370" s="33">
        <f t="shared" si="644"/>
        <v>836500</v>
      </c>
      <c r="O370" s="33">
        <f t="shared" si="644"/>
        <v>853800</v>
      </c>
      <c r="P370" s="33">
        <f t="shared" si="644"/>
        <v>871300</v>
      </c>
      <c r="Q370" s="33">
        <f t="shared" si="644"/>
        <v>889200</v>
      </c>
      <c r="R370" s="114">
        <f t="shared" si="644"/>
        <v>907400</v>
      </c>
    </row>
    <row r="371" spans="1:18" ht="13.5" thickBot="1" x14ac:dyDescent="0.25">
      <c r="A371" s="107"/>
      <c r="B371" s="33"/>
      <c r="C371" s="187"/>
      <c r="D371" s="187"/>
      <c r="E371" s="1954"/>
      <c r="F371" s="76"/>
      <c r="G371" s="187"/>
      <c r="H371" s="138"/>
      <c r="I371" s="33"/>
      <c r="J371" s="33"/>
      <c r="K371" s="33"/>
      <c r="L371" s="33"/>
      <c r="M371" s="33"/>
      <c r="N371" s="33"/>
      <c r="O371" s="33"/>
      <c r="P371" s="33"/>
      <c r="Q371" s="33"/>
      <c r="R371" s="114"/>
    </row>
    <row r="372" spans="1:18" s="92" customFormat="1" x14ac:dyDescent="0.2">
      <c r="A372" s="105">
        <f>SUM(A363:A371)</f>
        <v>677000</v>
      </c>
      <c r="B372" s="53">
        <f>SUM(B363:B371)</f>
        <v>926000</v>
      </c>
      <c r="C372" s="199">
        <f>SUM(C363:C371)</f>
        <v>866500</v>
      </c>
      <c r="D372" s="199">
        <f>SUM(D363:D371)</f>
        <v>876000</v>
      </c>
      <c r="E372" s="236"/>
      <c r="F372" s="1960" t="s">
        <v>2605</v>
      </c>
      <c r="G372" s="199">
        <f t="shared" ref="G372:O372" si="645">SUM(G363:G371)</f>
        <v>970000</v>
      </c>
      <c r="H372" s="180">
        <f>IF(E372=G372,0,IF(E372=0,100,(G372-E372)/E372*100))</f>
        <v>100</v>
      </c>
      <c r="I372" s="53">
        <f t="shared" si="645"/>
        <v>744600</v>
      </c>
      <c r="J372" s="53">
        <f t="shared" si="645"/>
        <v>763500</v>
      </c>
      <c r="K372" s="53">
        <f t="shared" si="645"/>
        <v>783100</v>
      </c>
      <c r="L372" s="53">
        <f t="shared" si="645"/>
        <v>803100</v>
      </c>
      <c r="M372" s="53">
        <f t="shared" si="645"/>
        <v>819600</v>
      </c>
      <c r="N372" s="53">
        <f t="shared" si="645"/>
        <v>836500</v>
      </c>
      <c r="O372" s="53">
        <f t="shared" si="645"/>
        <v>853800</v>
      </c>
      <c r="P372" s="53">
        <f t="shared" ref="P372:Q372" si="646">SUM(P363:P371)</f>
        <v>871300</v>
      </c>
      <c r="Q372" s="53">
        <f t="shared" si="646"/>
        <v>889200</v>
      </c>
      <c r="R372" s="113">
        <f t="shared" ref="R372" si="647">SUM(R363:R371)</f>
        <v>907400</v>
      </c>
    </row>
    <row r="373" spans="1:18" x14ac:dyDescent="0.2">
      <c r="A373" s="98"/>
      <c r="B373" s="33"/>
      <c r="C373" s="187"/>
      <c r="D373" s="187"/>
      <c r="E373" s="1954"/>
      <c r="F373" s="79"/>
      <c r="G373" s="187"/>
      <c r="H373" s="138"/>
      <c r="I373" s="33"/>
      <c r="J373" s="33"/>
      <c r="K373" s="33"/>
      <c r="L373" s="33"/>
      <c r="M373" s="33"/>
      <c r="N373" s="33"/>
      <c r="O373" s="33"/>
      <c r="P373" s="33"/>
      <c r="Q373" s="33"/>
      <c r="R373" s="114"/>
    </row>
    <row r="374" spans="1:18" ht="12.75" customHeight="1" x14ac:dyDescent="0.2">
      <c r="A374" s="98"/>
      <c r="B374" s="33"/>
      <c r="C374" s="187"/>
      <c r="D374" s="187"/>
      <c r="E374" s="1954"/>
      <c r="F374" s="103" t="s">
        <v>2205</v>
      </c>
      <c r="G374" s="187"/>
      <c r="H374" s="138"/>
      <c r="I374" s="33"/>
      <c r="J374" s="33"/>
      <c r="K374" s="33"/>
      <c r="L374" s="33"/>
      <c r="M374" s="33"/>
      <c r="N374" s="33"/>
      <c r="O374" s="33"/>
      <c r="P374" s="33"/>
      <c r="Q374" s="33"/>
      <c r="R374" s="114"/>
    </row>
    <row r="375" spans="1:18" ht="12.75" customHeight="1" x14ac:dyDescent="0.2">
      <c r="A375" s="98"/>
      <c r="B375" s="33"/>
      <c r="C375" s="187"/>
      <c r="D375" s="187"/>
      <c r="E375" s="1954"/>
      <c r="F375" s="103"/>
      <c r="G375" s="187"/>
      <c r="H375" s="138"/>
      <c r="I375" s="33"/>
      <c r="J375" s="33"/>
      <c r="K375" s="33"/>
      <c r="L375" s="33"/>
      <c r="M375" s="33"/>
      <c r="N375" s="33"/>
      <c r="O375" s="33"/>
      <c r="P375" s="33"/>
      <c r="Q375" s="33"/>
      <c r="R375" s="114"/>
    </row>
    <row r="376" spans="1:18" ht="12.75" customHeight="1" x14ac:dyDescent="0.2">
      <c r="A376" s="107">
        <f>ROUND(SUM(A1231:A1232),-3)</f>
        <v>98000</v>
      </c>
      <c r="B376" s="33">
        <f>SUM(B1231:B1232)</f>
        <v>0</v>
      </c>
      <c r="C376" s="189">
        <f>SUM(C1231:C1232)</f>
        <v>0</v>
      </c>
      <c r="D376" s="189">
        <f>SUM(D1231:D1232)</f>
        <v>0</v>
      </c>
      <c r="E376" s="1954">
        <v>32255</v>
      </c>
      <c r="F376" s="76" t="s">
        <v>2187</v>
      </c>
      <c r="G376" s="187">
        <f>SUM(G1231:G1232)</f>
        <v>0</v>
      </c>
      <c r="H376" s="138">
        <f>IF(D376=G376,0,IF(D376=0,100,(G376-D376)/D376*100))</f>
        <v>0</v>
      </c>
      <c r="I376" s="33">
        <f t="shared" ref="I376:Q376" si="648">SUM(I1231:I1232)</f>
        <v>0</v>
      </c>
      <c r="J376" s="33">
        <f t="shared" si="648"/>
        <v>0</v>
      </c>
      <c r="K376" s="33">
        <f t="shared" si="648"/>
        <v>0</v>
      </c>
      <c r="L376" s="33">
        <f t="shared" si="648"/>
        <v>0</v>
      </c>
      <c r="M376" s="33">
        <f t="shared" si="648"/>
        <v>0</v>
      </c>
      <c r="N376" s="33">
        <f t="shared" si="648"/>
        <v>0</v>
      </c>
      <c r="O376" s="33">
        <f t="shared" si="648"/>
        <v>0</v>
      </c>
      <c r="P376" s="33">
        <f t="shared" si="648"/>
        <v>0</v>
      </c>
      <c r="Q376" s="33">
        <f t="shared" si="648"/>
        <v>0</v>
      </c>
      <c r="R376" s="114">
        <f t="shared" ref="R376" si="649">SUM(R1231:R1232)</f>
        <v>0</v>
      </c>
    </row>
    <row r="377" spans="1:18" ht="12.75" customHeight="1" x14ac:dyDescent="0.2">
      <c r="A377" s="107">
        <f>ROUND(SUM(A1234:A1236),-3)</f>
        <v>21000</v>
      </c>
      <c r="B377" s="33">
        <f>SUM(B1234:B1236)</f>
        <v>0</v>
      </c>
      <c r="C377" s="189">
        <f>SUM(C1234:C1236)</f>
        <v>0</v>
      </c>
      <c r="D377" s="189">
        <f>SUM(D1234:D1236)</f>
        <v>0</v>
      </c>
      <c r="E377" s="1954">
        <v>32220</v>
      </c>
      <c r="F377" s="76" t="s">
        <v>2769</v>
      </c>
      <c r="G377" s="187">
        <f t="shared" ref="G377:O377" si="650">SUM(G1234:G1236)</f>
        <v>0</v>
      </c>
      <c r="H377" s="138">
        <f>IF(D377=G377,0,IF(D377=0,100,(G377-D377)/D377*100))</f>
        <v>0</v>
      </c>
      <c r="I377" s="33">
        <f t="shared" si="650"/>
        <v>0</v>
      </c>
      <c r="J377" s="33">
        <f t="shared" si="650"/>
        <v>0</v>
      </c>
      <c r="K377" s="33">
        <f t="shared" si="650"/>
        <v>0</v>
      </c>
      <c r="L377" s="33">
        <f t="shared" si="650"/>
        <v>0</v>
      </c>
      <c r="M377" s="33">
        <f t="shared" si="650"/>
        <v>0</v>
      </c>
      <c r="N377" s="33">
        <f t="shared" si="650"/>
        <v>0</v>
      </c>
      <c r="O377" s="33">
        <f t="shared" si="650"/>
        <v>0</v>
      </c>
      <c r="P377" s="33">
        <f t="shared" ref="P377:Q377" si="651">SUM(P1234:P1236)</f>
        <v>0</v>
      </c>
      <c r="Q377" s="33">
        <f t="shared" si="651"/>
        <v>0</v>
      </c>
      <c r="R377" s="114">
        <f t="shared" ref="R377" si="652">SUM(R1234:R1236)</f>
        <v>0</v>
      </c>
    </row>
    <row r="378" spans="1:18" x14ac:dyDescent="0.2">
      <c r="A378" s="712">
        <f>ROUND(SUM(A1237:A1250),-3)</f>
        <v>611000</v>
      </c>
      <c r="B378" s="364">
        <f>SUM(B1237:B1250)</f>
        <v>749800</v>
      </c>
      <c r="C378" s="189">
        <f>SUM(C1237:C1250)</f>
        <v>669200</v>
      </c>
      <c r="D378" s="189">
        <f>SUM(D1237:D1250)</f>
        <v>770000</v>
      </c>
      <c r="E378" s="1954">
        <v>32250</v>
      </c>
      <c r="F378" s="76" t="s">
        <v>2330</v>
      </c>
      <c r="G378" s="187">
        <f>SUM(G1237:G1250)</f>
        <v>908800</v>
      </c>
      <c r="H378" s="138">
        <f>IF(D378=G378,0,IF(D378=0,100,(G378-D378)/D378*100))</f>
        <v>18.025974025974026</v>
      </c>
      <c r="I378" s="33">
        <f t="shared" ref="I378:Q378" si="653">SUM(I1237:I1250)</f>
        <v>744600</v>
      </c>
      <c r="J378" s="33">
        <f t="shared" si="653"/>
        <v>763500</v>
      </c>
      <c r="K378" s="33">
        <f t="shared" si="653"/>
        <v>783100</v>
      </c>
      <c r="L378" s="33">
        <f t="shared" si="653"/>
        <v>803100</v>
      </c>
      <c r="M378" s="33">
        <f t="shared" si="653"/>
        <v>819600</v>
      </c>
      <c r="N378" s="33">
        <f t="shared" si="653"/>
        <v>836500</v>
      </c>
      <c r="O378" s="33">
        <f t="shared" si="653"/>
        <v>853800</v>
      </c>
      <c r="P378" s="33">
        <f t="shared" si="653"/>
        <v>871300</v>
      </c>
      <c r="Q378" s="33">
        <f t="shared" si="653"/>
        <v>889200</v>
      </c>
      <c r="R378" s="114">
        <f t="shared" ref="R378" si="654">SUM(R1237:R1250)</f>
        <v>907400</v>
      </c>
    </row>
    <row r="379" spans="1:18" ht="13.5" thickBot="1" x14ac:dyDescent="0.25">
      <c r="A379" s="107"/>
      <c r="B379" s="33"/>
      <c r="C379" s="187"/>
      <c r="D379" s="187"/>
      <c r="E379" s="1954"/>
      <c r="F379" s="76"/>
      <c r="G379" s="187"/>
      <c r="H379" s="138"/>
      <c r="I379" s="33"/>
      <c r="J379" s="33"/>
      <c r="K379" s="33"/>
      <c r="L379" s="33"/>
      <c r="M379" s="33"/>
      <c r="N379" s="33"/>
      <c r="O379" s="33"/>
      <c r="P379" s="33"/>
      <c r="Q379" s="33"/>
      <c r="R379" s="114"/>
    </row>
    <row r="380" spans="1:18" s="92" customFormat="1" x14ac:dyDescent="0.2">
      <c r="A380" s="105">
        <f>SUM(A375:A378)</f>
        <v>730000</v>
      </c>
      <c r="B380" s="53">
        <f>SUM(B375:B378)</f>
        <v>749800</v>
      </c>
      <c r="C380" s="190">
        <f>SUM(C375:C378)</f>
        <v>669200</v>
      </c>
      <c r="D380" s="190">
        <f>SUM(D375:D378)</f>
        <v>770000</v>
      </c>
      <c r="E380" s="237"/>
      <c r="F380" s="1960" t="s">
        <v>565</v>
      </c>
      <c r="G380" s="199">
        <f>SUM(G375:G378)</f>
        <v>908800</v>
      </c>
      <c r="H380" s="180">
        <f>IF(D380=G380,0,IF(D380=0,100,(G380-D380)/D380*100))</f>
        <v>18.025974025974026</v>
      </c>
      <c r="I380" s="53">
        <f t="shared" ref="I380:Q380" si="655">SUM(I375:I378)</f>
        <v>744600</v>
      </c>
      <c r="J380" s="53">
        <f t="shared" si="655"/>
        <v>763500</v>
      </c>
      <c r="K380" s="53">
        <f t="shared" si="655"/>
        <v>783100</v>
      </c>
      <c r="L380" s="53">
        <f t="shared" si="655"/>
        <v>803100</v>
      </c>
      <c r="M380" s="53">
        <f t="shared" si="655"/>
        <v>819600</v>
      </c>
      <c r="N380" s="53">
        <f t="shared" si="655"/>
        <v>836500</v>
      </c>
      <c r="O380" s="53">
        <f t="shared" si="655"/>
        <v>853800</v>
      </c>
      <c r="P380" s="53">
        <f t="shared" si="655"/>
        <v>871300</v>
      </c>
      <c r="Q380" s="53">
        <f t="shared" si="655"/>
        <v>889200</v>
      </c>
      <c r="R380" s="113">
        <f t="shared" ref="R380" si="656">SUM(R375:R378)</f>
        <v>907400</v>
      </c>
    </row>
    <row r="381" spans="1:18" x14ac:dyDescent="0.2">
      <c r="A381" s="107"/>
      <c r="B381" s="33"/>
      <c r="E381" s="1955"/>
      <c r="F381" s="1981"/>
      <c r="G381" s="187"/>
      <c r="H381" s="138"/>
      <c r="I381" s="33"/>
      <c r="J381" s="33"/>
      <c r="K381" s="33"/>
      <c r="L381" s="33"/>
      <c r="M381" s="33"/>
      <c r="N381" s="33"/>
      <c r="O381" s="33"/>
      <c r="P381" s="33"/>
      <c r="Q381" s="33"/>
      <c r="R381" s="114"/>
    </row>
    <row r="382" spans="1:18" s="92" customFormat="1" x14ac:dyDescent="0.2">
      <c r="A382" s="70">
        <f>A372-A380</f>
        <v>-53000</v>
      </c>
      <c r="B382" s="64">
        <f>B372-B380</f>
        <v>176200</v>
      </c>
      <c r="C382" s="193">
        <f>C372-C380</f>
        <v>197300</v>
      </c>
      <c r="D382" s="193">
        <f>D372-D380</f>
        <v>106000</v>
      </c>
      <c r="E382" s="237"/>
      <c r="F382" s="1962" t="s">
        <v>1019</v>
      </c>
      <c r="G382" s="192">
        <f>G372-G380</f>
        <v>61200</v>
      </c>
      <c r="H382" s="179">
        <f>IF(D382=G382,0,IF(D382=0,100,(G382-D382)/D382*100))</f>
        <v>-42.264150943396231</v>
      </c>
      <c r="I382" s="64">
        <f t="shared" ref="I382:Q382" si="657">I372-I380</f>
        <v>0</v>
      </c>
      <c r="J382" s="64">
        <f t="shared" si="657"/>
        <v>0</v>
      </c>
      <c r="K382" s="64">
        <f t="shared" si="657"/>
        <v>0</v>
      </c>
      <c r="L382" s="64">
        <f t="shared" si="657"/>
        <v>0</v>
      </c>
      <c r="M382" s="64">
        <f t="shared" si="657"/>
        <v>0</v>
      </c>
      <c r="N382" s="64">
        <f t="shared" si="657"/>
        <v>0</v>
      </c>
      <c r="O382" s="64">
        <f t="shared" si="657"/>
        <v>0</v>
      </c>
      <c r="P382" s="64">
        <f t="shared" si="657"/>
        <v>0</v>
      </c>
      <c r="Q382" s="64">
        <f t="shared" si="657"/>
        <v>0</v>
      </c>
      <c r="R382" s="115">
        <f t="shared" ref="R382" si="658">R372-R380</f>
        <v>0</v>
      </c>
    </row>
    <row r="383" spans="1:18" x14ac:dyDescent="0.2">
      <c r="A383" s="107">
        <v>0</v>
      </c>
      <c r="B383" s="33">
        <v>0</v>
      </c>
      <c r="C383" s="189">
        <v>0</v>
      </c>
      <c r="D383" s="189">
        <v>0</v>
      </c>
      <c r="E383" s="1955"/>
      <c r="F383" s="2531" t="str">
        <f>F344</f>
        <v>Add Back Depreciation</v>
      </c>
      <c r="G383" s="187">
        <v>0</v>
      </c>
      <c r="H383" s="138">
        <f>IF(D383=G383,0,IF(D383=0,100,(G383-D383)/D383*100))</f>
        <v>0</v>
      </c>
      <c r="I383" s="33">
        <v>0</v>
      </c>
      <c r="J383" s="33">
        <v>0</v>
      </c>
      <c r="K383" s="33">
        <v>0</v>
      </c>
      <c r="L383" s="33">
        <v>0</v>
      </c>
      <c r="M383" s="33">
        <v>0</v>
      </c>
      <c r="N383" s="33">
        <v>0</v>
      </c>
      <c r="O383" s="33">
        <v>0</v>
      </c>
      <c r="P383" s="33">
        <v>0</v>
      </c>
      <c r="Q383" s="33">
        <v>0</v>
      </c>
      <c r="R383" s="114">
        <v>0</v>
      </c>
    </row>
    <row r="384" spans="1:18" s="92" customFormat="1" x14ac:dyDescent="0.2">
      <c r="A384" s="181">
        <f>A382</f>
        <v>-53000</v>
      </c>
      <c r="B384" s="397">
        <f>B382</f>
        <v>176200</v>
      </c>
      <c r="C384" s="398">
        <f>C382</f>
        <v>197300</v>
      </c>
      <c r="D384" s="398">
        <f>D382</f>
        <v>106000</v>
      </c>
      <c r="E384" s="523"/>
      <c r="F384" s="1972" t="s">
        <v>1687</v>
      </c>
      <c r="G384" s="728">
        <f t="shared" ref="G384:O384" si="659">G382</f>
        <v>61200</v>
      </c>
      <c r="H384" s="395">
        <f>IF(D384=G384,0,IF(D384=0,100,(G384-D384)/D384*100))</f>
        <v>-42.264150943396231</v>
      </c>
      <c r="I384" s="397">
        <f t="shared" si="659"/>
        <v>0</v>
      </c>
      <c r="J384" s="397">
        <f t="shared" si="659"/>
        <v>0</v>
      </c>
      <c r="K384" s="397">
        <f t="shared" si="659"/>
        <v>0</v>
      </c>
      <c r="L384" s="397">
        <f t="shared" si="659"/>
        <v>0</v>
      </c>
      <c r="M384" s="397">
        <f t="shared" si="659"/>
        <v>0</v>
      </c>
      <c r="N384" s="397">
        <f t="shared" si="659"/>
        <v>0</v>
      </c>
      <c r="O384" s="397">
        <f t="shared" si="659"/>
        <v>0</v>
      </c>
      <c r="P384" s="397">
        <f t="shared" ref="P384:Q384" si="660">P382</f>
        <v>0</v>
      </c>
      <c r="Q384" s="397">
        <f t="shared" si="660"/>
        <v>0</v>
      </c>
      <c r="R384" s="399">
        <f t="shared" ref="R384" si="661">R382</f>
        <v>0</v>
      </c>
    </row>
    <row r="385" spans="1:18" ht="13.5" thickBot="1" x14ac:dyDescent="0.25">
      <c r="A385" s="751"/>
      <c r="B385" s="64"/>
      <c r="C385" s="192"/>
      <c r="D385" s="192"/>
      <c r="E385" s="1954"/>
      <c r="F385" s="175"/>
      <c r="G385" s="200"/>
      <c r="H385" s="179"/>
      <c r="I385" s="33"/>
      <c r="J385" s="33"/>
      <c r="K385" s="33"/>
      <c r="L385" s="33"/>
      <c r="M385" s="33"/>
      <c r="N385" s="33"/>
      <c r="O385" s="33"/>
      <c r="P385" s="33"/>
      <c r="Q385" s="33"/>
      <c r="R385" s="114"/>
    </row>
    <row r="386" spans="1:18" ht="13.5" thickTop="1" x14ac:dyDescent="0.2">
      <c r="A386" s="383"/>
      <c r="B386" s="162"/>
      <c r="C386" s="194"/>
      <c r="D386" s="194"/>
      <c r="E386" s="541"/>
      <c r="F386" s="367"/>
      <c r="G386" s="196"/>
      <c r="H386" s="505"/>
      <c r="I386" s="127"/>
      <c r="J386" s="127"/>
      <c r="K386" s="127"/>
      <c r="L386" s="127"/>
      <c r="M386" s="127"/>
      <c r="N386" s="127"/>
      <c r="O386" s="127"/>
      <c r="P386" s="127"/>
      <c r="Q386" s="127"/>
      <c r="R386" s="163"/>
    </row>
    <row r="387" spans="1:18" x14ac:dyDescent="0.2">
      <c r="A387" s="70"/>
      <c r="B387" s="64"/>
      <c r="C387" s="193"/>
      <c r="D387" s="193"/>
      <c r="E387" s="238"/>
      <c r="F387" s="516" t="s">
        <v>196</v>
      </c>
      <c r="G387" s="197"/>
      <c r="H387" s="179"/>
      <c r="I387" s="33"/>
      <c r="J387" s="33"/>
      <c r="K387" s="33"/>
      <c r="L387" s="33"/>
      <c r="M387" s="33"/>
      <c r="N387" s="33"/>
      <c r="O387" s="33"/>
      <c r="P387" s="33"/>
      <c r="Q387" s="33"/>
      <c r="R387" s="114"/>
    </row>
    <row r="388" spans="1:18" x14ac:dyDescent="0.2">
      <c r="A388" s="70"/>
      <c r="B388" s="64"/>
      <c r="C388" s="193"/>
      <c r="D388" s="193"/>
      <c r="E388" s="238"/>
      <c r="F388" s="516"/>
      <c r="G388" s="197"/>
      <c r="H388" s="179"/>
      <c r="I388" s="33"/>
      <c r="J388" s="33"/>
      <c r="K388" s="33"/>
      <c r="L388" s="33"/>
      <c r="M388" s="33"/>
      <c r="N388" s="33"/>
      <c r="O388" s="33"/>
      <c r="P388" s="33"/>
      <c r="Q388" s="33"/>
      <c r="R388" s="114"/>
    </row>
    <row r="389" spans="1:18" x14ac:dyDescent="0.2">
      <c r="A389" s="107">
        <f>ROUND(A1260,-3)</f>
        <v>0</v>
      </c>
      <c r="B389" s="33">
        <f t="shared" ref="B389:C393" si="662">B1260</f>
        <v>0</v>
      </c>
      <c r="C389" s="189">
        <f t="shared" si="662"/>
        <v>0</v>
      </c>
      <c r="D389" s="189">
        <f>D1260</f>
        <v>0</v>
      </c>
      <c r="E389" s="238"/>
      <c r="F389" s="366" t="s">
        <v>2900</v>
      </c>
      <c r="G389" s="198">
        <f t="shared" ref="G389:O389" si="663">G1260</f>
        <v>0</v>
      </c>
      <c r="H389" s="138"/>
      <c r="I389" s="33">
        <f t="shared" si="663"/>
        <v>0</v>
      </c>
      <c r="J389" s="33">
        <f t="shared" si="663"/>
        <v>0</v>
      </c>
      <c r="K389" s="33">
        <f t="shared" si="663"/>
        <v>0</v>
      </c>
      <c r="L389" s="33">
        <f t="shared" si="663"/>
        <v>0</v>
      </c>
      <c r="M389" s="33">
        <f t="shared" si="663"/>
        <v>0</v>
      </c>
      <c r="N389" s="33">
        <f t="shared" si="663"/>
        <v>0</v>
      </c>
      <c r="O389" s="33">
        <f t="shared" si="663"/>
        <v>0</v>
      </c>
      <c r="P389" s="33">
        <f t="shared" ref="P389:Q389" si="664">P1260</f>
        <v>0</v>
      </c>
      <c r="Q389" s="33">
        <f t="shared" si="664"/>
        <v>0</v>
      </c>
      <c r="R389" s="114">
        <f t="shared" ref="R389" si="665">R1260</f>
        <v>0</v>
      </c>
    </row>
    <row r="390" spans="1:18" x14ac:dyDescent="0.2">
      <c r="A390" s="107">
        <f>ROUND(A1261,-3)</f>
        <v>24000</v>
      </c>
      <c r="B390" s="33">
        <f t="shared" si="662"/>
        <v>73000</v>
      </c>
      <c r="C390" s="189">
        <f t="shared" si="662"/>
        <v>146900</v>
      </c>
      <c r="D390" s="189">
        <f>D1261</f>
        <v>103100</v>
      </c>
      <c r="E390" s="238"/>
      <c r="F390" s="366" t="s">
        <v>1942</v>
      </c>
      <c r="G390" s="198">
        <f t="shared" ref="G390:O390" si="666">G1261</f>
        <v>0</v>
      </c>
      <c r="H390" s="138"/>
      <c r="I390" s="33">
        <f t="shared" si="666"/>
        <v>0</v>
      </c>
      <c r="J390" s="33">
        <f t="shared" si="666"/>
        <v>0</v>
      </c>
      <c r="K390" s="33">
        <f t="shared" si="666"/>
        <v>0</v>
      </c>
      <c r="L390" s="33">
        <f t="shared" si="666"/>
        <v>0</v>
      </c>
      <c r="M390" s="33">
        <f t="shared" si="666"/>
        <v>0</v>
      </c>
      <c r="N390" s="33">
        <f t="shared" si="666"/>
        <v>0</v>
      </c>
      <c r="O390" s="33">
        <f t="shared" si="666"/>
        <v>0</v>
      </c>
      <c r="P390" s="33">
        <f t="shared" ref="P390:Q390" si="667">P1261</f>
        <v>0</v>
      </c>
      <c r="Q390" s="33">
        <f t="shared" si="667"/>
        <v>0</v>
      </c>
      <c r="R390" s="114">
        <f t="shared" ref="R390" si="668">R1261</f>
        <v>0</v>
      </c>
    </row>
    <row r="391" spans="1:18" x14ac:dyDescent="0.2">
      <c r="A391" s="107">
        <f>ROUND(A1262,-3)</f>
        <v>77000</v>
      </c>
      <c r="B391" s="33">
        <f t="shared" si="662"/>
        <v>0</v>
      </c>
      <c r="C391" s="189">
        <f t="shared" si="662"/>
        <v>125900</v>
      </c>
      <c r="D391" s="189">
        <f>D1262</f>
        <v>146900</v>
      </c>
      <c r="E391" s="238"/>
      <c r="F391" s="366" t="s">
        <v>2348</v>
      </c>
      <c r="G391" s="198">
        <f t="shared" ref="G391:O391" si="669">G1262</f>
        <v>103100</v>
      </c>
      <c r="H391" s="138"/>
      <c r="I391" s="33">
        <f t="shared" si="669"/>
        <v>0</v>
      </c>
      <c r="J391" s="33">
        <f t="shared" si="669"/>
        <v>0</v>
      </c>
      <c r="K391" s="33">
        <f t="shared" si="669"/>
        <v>0</v>
      </c>
      <c r="L391" s="33">
        <f t="shared" si="669"/>
        <v>0</v>
      </c>
      <c r="M391" s="33">
        <f t="shared" si="669"/>
        <v>0</v>
      </c>
      <c r="N391" s="33">
        <f t="shared" si="669"/>
        <v>0</v>
      </c>
      <c r="O391" s="33">
        <f t="shared" si="669"/>
        <v>0</v>
      </c>
      <c r="P391" s="33">
        <f t="shared" ref="P391:Q391" si="670">P1262</f>
        <v>0</v>
      </c>
      <c r="Q391" s="33">
        <f t="shared" si="670"/>
        <v>0</v>
      </c>
      <c r="R391" s="114">
        <f t="shared" ref="R391" si="671">R1262</f>
        <v>0</v>
      </c>
    </row>
    <row r="392" spans="1:18" x14ac:dyDescent="0.2">
      <c r="A392" s="107">
        <f>ROUND(A1263,-3)</f>
        <v>0</v>
      </c>
      <c r="B392" s="33">
        <f t="shared" si="662"/>
        <v>0</v>
      </c>
      <c r="C392" s="189">
        <f t="shared" si="662"/>
        <v>0</v>
      </c>
      <c r="D392" s="189">
        <f>D1263</f>
        <v>0</v>
      </c>
      <c r="E392" s="238"/>
      <c r="F392" s="366" t="s">
        <v>5984</v>
      </c>
      <c r="G392" s="198">
        <f t="shared" ref="G392:O392" si="672">G1263</f>
        <v>0</v>
      </c>
      <c r="H392" s="138"/>
      <c r="I392" s="33">
        <f t="shared" si="672"/>
        <v>0</v>
      </c>
      <c r="J392" s="33">
        <f t="shared" si="672"/>
        <v>0</v>
      </c>
      <c r="K392" s="33">
        <f t="shared" si="672"/>
        <v>0</v>
      </c>
      <c r="L392" s="33">
        <f t="shared" si="672"/>
        <v>0</v>
      </c>
      <c r="M392" s="33">
        <f t="shared" si="672"/>
        <v>0</v>
      </c>
      <c r="N392" s="33">
        <f t="shared" si="672"/>
        <v>0</v>
      </c>
      <c r="O392" s="33">
        <f t="shared" si="672"/>
        <v>0</v>
      </c>
      <c r="P392" s="33">
        <f t="shared" ref="P392:Q392" si="673">P1263</f>
        <v>0</v>
      </c>
      <c r="Q392" s="33">
        <f t="shared" si="673"/>
        <v>0</v>
      </c>
      <c r="R392" s="114">
        <f t="shared" ref="R392" si="674">R1263</f>
        <v>0</v>
      </c>
    </row>
    <row r="393" spans="1:18" x14ac:dyDescent="0.2">
      <c r="A393" s="107">
        <f>ROUND(A1264,-3)</f>
        <v>0</v>
      </c>
      <c r="B393" s="33">
        <f t="shared" si="662"/>
        <v>103200</v>
      </c>
      <c r="C393" s="189">
        <f t="shared" si="662"/>
        <v>176300</v>
      </c>
      <c r="D393" s="189">
        <f>D1264</f>
        <v>149800</v>
      </c>
      <c r="E393" s="238"/>
      <c r="F393" s="366" t="s">
        <v>972</v>
      </c>
      <c r="G393" s="198">
        <f t="shared" ref="G393:O393" si="675">G1264</f>
        <v>164300</v>
      </c>
      <c r="H393" s="138"/>
      <c r="I393" s="33">
        <f t="shared" si="675"/>
        <v>0</v>
      </c>
      <c r="J393" s="33">
        <f t="shared" si="675"/>
        <v>0</v>
      </c>
      <c r="K393" s="33">
        <f t="shared" si="675"/>
        <v>0</v>
      </c>
      <c r="L393" s="33">
        <f t="shared" si="675"/>
        <v>0</v>
      </c>
      <c r="M393" s="33">
        <f t="shared" si="675"/>
        <v>0</v>
      </c>
      <c r="N393" s="33">
        <f t="shared" si="675"/>
        <v>0</v>
      </c>
      <c r="O393" s="33">
        <f t="shared" si="675"/>
        <v>0</v>
      </c>
      <c r="P393" s="33">
        <f t="shared" ref="P393:Q393" si="676">P1264</f>
        <v>0</v>
      </c>
      <c r="Q393" s="33">
        <f t="shared" si="676"/>
        <v>0</v>
      </c>
      <c r="R393" s="114">
        <f t="shared" ref="R393" si="677">R1264</f>
        <v>0</v>
      </c>
    </row>
    <row r="394" spans="1:18" x14ac:dyDescent="0.2">
      <c r="A394" s="107"/>
      <c r="B394" s="33"/>
      <c r="E394" s="238"/>
      <c r="F394" s="516"/>
      <c r="G394" s="198"/>
      <c r="H394" s="138"/>
      <c r="I394" s="33"/>
      <c r="J394" s="33"/>
      <c r="K394" s="33"/>
      <c r="L394" s="33"/>
      <c r="M394" s="33"/>
      <c r="N394" s="33"/>
      <c r="O394" s="33"/>
      <c r="P394" s="33"/>
      <c r="Q394" s="33"/>
      <c r="R394" s="114"/>
    </row>
    <row r="395" spans="1:18" s="92" customFormat="1" x14ac:dyDescent="0.2">
      <c r="A395" s="181">
        <f>A384-A389-A390+A391++A392-A393</f>
        <v>0</v>
      </c>
      <c r="B395" s="397">
        <f>B384-B389-B390+B391++B392-B393</f>
        <v>0</v>
      </c>
      <c r="C395" s="398">
        <f>C384-C389-C390+C391++C392-C393</f>
        <v>0</v>
      </c>
      <c r="D395" s="398">
        <f>D384-D389-D390+D391++D392-D393</f>
        <v>0</v>
      </c>
      <c r="E395" s="526"/>
      <c r="F395" s="518" t="s">
        <v>2490</v>
      </c>
      <c r="G395" s="2605">
        <f t="shared" ref="G395:O395" si="678">G384-G389-G390+G391++G392-G393</f>
        <v>0</v>
      </c>
      <c r="H395" s="395">
        <f>IF(D395=G395,0,IF(D395=0,100,(G395-D395)/D395*100))</f>
        <v>0</v>
      </c>
      <c r="I395" s="397">
        <f t="shared" si="678"/>
        <v>0</v>
      </c>
      <c r="J395" s="397">
        <f t="shared" si="678"/>
        <v>0</v>
      </c>
      <c r="K395" s="397">
        <f t="shared" si="678"/>
        <v>0</v>
      </c>
      <c r="L395" s="397">
        <f t="shared" si="678"/>
        <v>0</v>
      </c>
      <c r="M395" s="397">
        <f t="shared" si="678"/>
        <v>0</v>
      </c>
      <c r="N395" s="397">
        <f t="shared" si="678"/>
        <v>0</v>
      </c>
      <c r="O395" s="397">
        <f t="shared" si="678"/>
        <v>0</v>
      </c>
      <c r="P395" s="397">
        <f t="shared" ref="P395:Q395" si="679">P384-P389-P390+P391++P392-P393</f>
        <v>0</v>
      </c>
      <c r="Q395" s="397">
        <f t="shared" si="679"/>
        <v>0</v>
      </c>
      <c r="R395" s="399">
        <f t="shared" ref="R395" si="680">R384-R389-R390+R391++R392-R393</f>
        <v>0</v>
      </c>
    </row>
    <row r="396" spans="1:18" ht="13.5" thickBot="1" x14ac:dyDescent="0.25">
      <c r="A396" s="73"/>
      <c r="B396" s="90"/>
      <c r="C396" s="195"/>
      <c r="D396" s="195"/>
      <c r="E396" s="239"/>
      <c r="F396" s="368"/>
      <c r="G396" s="2502"/>
      <c r="H396" s="392"/>
      <c r="I396" s="66"/>
      <c r="J396" s="66"/>
      <c r="K396" s="66"/>
      <c r="L396" s="66"/>
      <c r="M396" s="66"/>
      <c r="N396" s="66"/>
      <c r="O396" s="66"/>
      <c r="P396" s="66"/>
      <c r="Q396" s="66"/>
      <c r="R396" s="165"/>
    </row>
    <row r="397" spans="1:18" ht="14.25" thickTop="1" thickBot="1" x14ac:dyDescent="0.25">
      <c r="A397" s="74"/>
      <c r="B397" s="74"/>
      <c r="C397" s="197"/>
      <c r="D397" s="197"/>
      <c r="E397" s="238"/>
      <c r="F397" s="137"/>
      <c r="G397" s="197"/>
      <c r="H397" s="2507"/>
    </row>
    <row r="398" spans="1:18" s="91" customFormat="1" ht="18.75" customHeight="1" thickTop="1" thickBot="1" x14ac:dyDescent="0.3">
      <c r="A398" s="2865" t="s">
        <v>2681</v>
      </c>
      <c r="B398" s="2866"/>
      <c r="C398" s="2866"/>
      <c r="D398" s="2866"/>
      <c r="E398" s="2866"/>
      <c r="F398" s="2866"/>
      <c r="G398" s="2866"/>
      <c r="H398" s="2866"/>
      <c r="I398" s="2866"/>
      <c r="J398" s="2866"/>
      <c r="K398" s="2866"/>
      <c r="L398" s="2866"/>
      <c r="M398" s="2866"/>
      <c r="N398" s="2866"/>
      <c r="O398" s="2866"/>
      <c r="P398" s="2866"/>
      <c r="Q398" s="2866"/>
      <c r="R398" s="2867"/>
    </row>
    <row r="399" spans="1:18" s="44" customFormat="1" x14ac:dyDescent="0.2">
      <c r="A399" s="2848" t="s">
        <v>1856</v>
      </c>
      <c r="B399" s="2840"/>
      <c r="C399" s="2840"/>
      <c r="D399" s="2849"/>
      <c r="E399" s="369" t="s">
        <v>2663</v>
      </c>
      <c r="F399" s="2649" t="s">
        <v>2251</v>
      </c>
      <c r="G399" s="2885" t="s">
        <v>2253</v>
      </c>
      <c r="H399" s="2886"/>
      <c r="I399" s="2886"/>
      <c r="J399" s="2886"/>
      <c r="K399" s="2886"/>
      <c r="L399" s="2886"/>
      <c r="M399" s="2886"/>
      <c r="N399" s="2886"/>
      <c r="O399" s="2886"/>
      <c r="P399" s="2886"/>
      <c r="Q399" s="2886"/>
      <c r="R399" s="2887"/>
    </row>
    <row r="400" spans="1:18" s="23" customFormat="1" ht="12.75" customHeight="1" thickBot="1" x14ac:dyDescent="0.25">
      <c r="A400" s="208" t="str">
        <f>A3</f>
        <v>2012/13</v>
      </c>
      <c r="B400" s="75" t="str">
        <f>B3</f>
        <v>2013/14</v>
      </c>
      <c r="C400" s="370" t="str">
        <f>C3</f>
        <v>2014/15</v>
      </c>
      <c r="D400" s="93" t="str">
        <f>D3</f>
        <v>2015/16</v>
      </c>
      <c r="E400" s="370" t="s">
        <v>2664</v>
      </c>
      <c r="F400" s="42"/>
      <c r="G400" s="93" t="str">
        <f>G3</f>
        <v>2016/17</v>
      </c>
      <c r="H400" s="2193" t="str">
        <f>H241</f>
        <v xml:space="preserve">% </v>
      </c>
      <c r="I400" s="370" t="str">
        <f t="shared" ref="I400:Q400" si="681">I3</f>
        <v>2017/18</v>
      </c>
      <c r="J400" s="370" t="str">
        <f t="shared" si="681"/>
        <v>2018/19</v>
      </c>
      <c r="K400" s="370" t="str">
        <f t="shared" si="681"/>
        <v>2019/20</v>
      </c>
      <c r="L400" s="370" t="str">
        <f t="shared" si="681"/>
        <v>2020/21</v>
      </c>
      <c r="M400" s="370" t="str">
        <f t="shared" si="681"/>
        <v>2021/22</v>
      </c>
      <c r="N400" s="370" t="str">
        <f t="shared" si="681"/>
        <v>2022/23</v>
      </c>
      <c r="O400" s="370" t="str">
        <f t="shared" si="681"/>
        <v>2023/24</v>
      </c>
      <c r="P400" s="370" t="str">
        <f t="shared" si="681"/>
        <v>2024/25</v>
      </c>
      <c r="Q400" s="218" t="str">
        <f t="shared" si="681"/>
        <v>2025/26</v>
      </c>
      <c r="R400" s="549" t="str">
        <f t="shared" ref="R400" si="682">R3</f>
        <v>2026/27</v>
      </c>
    </row>
    <row r="401" spans="1:18" x14ac:dyDescent="0.2">
      <c r="A401" s="98"/>
      <c r="B401" s="33"/>
      <c r="C401" s="187"/>
      <c r="D401" s="187"/>
      <c r="E401" s="1954"/>
      <c r="F401" s="76"/>
      <c r="G401" s="187"/>
      <c r="H401" s="138"/>
      <c r="I401" s="33"/>
      <c r="J401" s="33"/>
      <c r="K401" s="33"/>
      <c r="L401" s="33"/>
      <c r="M401" s="33"/>
      <c r="N401" s="33"/>
      <c r="O401" s="33"/>
      <c r="P401" s="33"/>
      <c r="Q401" s="33"/>
      <c r="R401" s="114"/>
    </row>
    <row r="402" spans="1:18" x14ac:dyDescent="0.2">
      <c r="A402" s="98"/>
      <c r="B402" s="33"/>
      <c r="C402" s="187"/>
      <c r="D402" s="187"/>
      <c r="E402" s="1954"/>
      <c r="F402" s="103" t="s">
        <v>1073</v>
      </c>
      <c r="G402" s="187"/>
      <c r="H402" s="138"/>
      <c r="I402" s="33"/>
      <c r="J402" s="33"/>
      <c r="K402" s="33"/>
      <c r="L402" s="33"/>
      <c r="M402" s="33"/>
      <c r="N402" s="33"/>
      <c r="O402" s="33"/>
      <c r="P402" s="33"/>
      <c r="Q402" s="33"/>
      <c r="R402" s="114"/>
    </row>
    <row r="403" spans="1:18" x14ac:dyDescent="0.2">
      <c r="A403" s="107"/>
      <c r="B403" s="33"/>
      <c r="C403" s="187"/>
      <c r="D403" s="187"/>
      <c r="E403" s="1954"/>
      <c r="F403" s="116" t="s">
        <v>2881</v>
      </c>
      <c r="G403" s="187"/>
      <c r="H403" s="138"/>
      <c r="I403" s="33"/>
      <c r="J403" s="33"/>
      <c r="K403" s="33"/>
      <c r="L403" s="33"/>
      <c r="M403" s="33"/>
      <c r="N403" s="33"/>
      <c r="O403" s="33"/>
      <c r="P403" s="33"/>
      <c r="Q403" s="33"/>
      <c r="R403" s="114"/>
    </row>
    <row r="404" spans="1:18" x14ac:dyDescent="0.2">
      <c r="A404" s="107">
        <f>SUM(A1277:A1278)</f>
        <v>39600</v>
      </c>
      <c r="B404" s="33">
        <f t="shared" ref="B404:D404" si="683">SUM(B1277:B1278)</f>
        <v>42100</v>
      </c>
      <c r="C404" s="187">
        <f t="shared" si="683"/>
        <v>45000</v>
      </c>
      <c r="D404" s="187">
        <f t="shared" si="683"/>
        <v>46100</v>
      </c>
      <c r="E404" s="1954">
        <v>22230</v>
      </c>
      <c r="F404" s="132" t="s">
        <v>6992</v>
      </c>
      <c r="G404" s="187">
        <f>SUM(G1277:G1278)</f>
        <v>31000</v>
      </c>
      <c r="H404" s="138">
        <f>IF(D404=G404,0,IF(D404=0,100,(G404-D404)/D404*100))</f>
        <v>-32.754880694143168</v>
      </c>
      <c r="I404" s="33">
        <f t="shared" ref="I404:Q404" si="684">SUM(I1277:I1278)</f>
        <v>43000</v>
      </c>
      <c r="J404" s="33">
        <f t="shared" si="684"/>
        <v>44100</v>
      </c>
      <c r="K404" s="33">
        <f t="shared" si="684"/>
        <v>45300</v>
      </c>
      <c r="L404" s="33">
        <f t="shared" si="684"/>
        <v>46500</v>
      </c>
      <c r="M404" s="33">
        <f t="shared" si="684"/>
        <v>47500</v>
      </c>
      <c r="N404" s="33">
        <f t="shared" si="684"/>
        <v>48500</v>
      </c>
      <c r="O404" s="33">
        <f t="shared" si="684"/>
        <v>49500</v>
      </c>
      <c r="P404" s="33">
        <f t="shared" si="684"/>
        <v>50500</v>
      </c>
      <c r="Q404" s="33">
        <f t="shared" si="684"/>
        <v>51600</v>
      </c>
      <c r="R404" s="114">
        <f t="shared" ref="R404" si="685">SUM(R1277:R1278)</f>
        <v>52700</v>
      </c>
    </row>
    <row r="405" spans="1:18" x14ac:dyDescent="0.2">
      <c r="A405" s="107">
        <f>(A1279)</f>
        <v>13700</v>
      </c>
      <c r="B405" s="33">
        <f>(B1279)</f>
        <v>24900</v>
      </c>
      <c r="C405" s="187">
        <f t="shared" ref="C405" si="686">(C1279)</f>
        <v>25300</v>
      </c>
      <c r="D405" s="187">
        <f t="shared" ref="D405" si="687">(D1279)</f>
        <v>34800</v>
      </c>
      <c r="E405" s="1954">
        <v>22230</v>
      </c>
      <c r="F405" s="132" t="s">
        <v>3110</v>
      </c>
      <c r="G405" s="187">
        <f t="shared" ref="G405:P405" si="688">(G1279)</f>
        <v>32000</v>
      </c>
      <c r="H405" s="138">
        <f>IF(D405=G405,0,IF(D405=0,100,(G405-D405)/D405*100))</f>
        <v>-8.0459770114942533</v>
      </c>
      <c r="I405" s="33">
        <f t="shared" si="688"/>
        <v>35000</v>
      </c>
      <c r="J405" s="33">
        <f t="shared" si="688"/>
        <v>35900</v>
      </c>
      <c r="K405" s="33">
        <f t="shared" si="688"/>
        <v>36800</v>
      </c>
      <c r="L405" s="33">
        <f t="shared" si="688"/>
        <v>37800</v>
      </c>
      <c r="M405" s="33">
        <f t="shared" si="688"/>
        <v>38600</v>
      </c>
      <c r="N405" s="33">
        <f t="shared" si="688"/>
        <v>39400</v>
      </c>
      <c r="O405" s="33">
        <f t="shared" si="688"/>
        <v>40200</v>
      </c>
      <c r="P405" s="33">
        <f t="shared" si="688"/>
        <v>41100</v>
      </c>
      <c r="Q405" s="33">
        <f t="shared" ref="Q405" si="689">(Q1279)</f>
        <v>42000</v>
      </c>
      <c r="R405" s="114">
        <f t="shared" ref="R405" si="690">(R1279)</f>
        <v>42900</v>
      </c>
    </row>
    <row r="406" spans="1:18" x14ac:dyDescent="0.2">
      <c r="A406" s="107">
        <f t="shared" ref="A406:B406" si="691">A1281+A1280</f>
        <v>29600</v>
      </c>
      <c r="B406" s="33">
        <f t="shared" si="691"/>
        <v>23000</v>
      </c>
      <c r="C406" s="187">
        <f>C1281+C1280</f>
        <v>37300</v>
      </c>
      <c r="D406" s="187">
        <f>D1281+D1280</f>
        <v>21200</v>
      </c>
      <c r="E406" s="1954">
        <v>22230</v>
      </c>
      <c r="F406" s="132" t="s">
        <v>3109</v>
      </c>
      <c r="G406" s="187">
        <f t="shared" ref="G406:P406" si="692">G1281+G1280</f>
        <v>30500</v>
      </c>
      <c r="H406" s="138">
        <f>IF(D406=G406,0,IF(D406=0,100,(G406-D406)/D406*100))</f>
        <v>43.867924528301891</v>
      </c>
      <c r="I406" s="33">
        <f t="shared" si="692"/>
        <v>29000</v>
      </c>
      <c r="J406" s="33">
        <f t="shared" si="692"/>
        <v>29900</v>
      </c>
      <c r="K406" s="33">
        <f t="shared" si="692"/>
        <v>30800</v>
      </c>
      <c r="L406" s="33">
        <f t="shared" si="692"/>
        <v>31700</v>
      </c>
      <c r="M406" s="33">
        <f t="shared" si="692"/>
        <v>32500</v>
      </c>
      <c r="N406" s="33">
        <f t="shared" si="692"/>
        <v>33300</v>
      </c>
      <c r="O406" s="33">
        <f t="shared" si="692"/>
        <v>34100</v>
      </c>
      <c r="P406" s="33">
        <f t="shared" si="692"/>
        <v>34900</v>
      </c>
      <c r="Q406" s="33">
        <f t="shared" ref="Q406" si="693">Q1281+Q1280</f>
        <v>35700</v>
      </c>
      <c r="R406" s="114">
        <f t="shared" ref="R406" si="694">R1281+R1280</f>
        <v>36500</v>
      </c>
    </row>
    <row r="407" spans="1:18" x14ac:dyDescent="0.2">
      <c r="A407" s="107">
        <f t="shared" ref="A407:B407" si="695">A1282</f>
        <v>300</v>
      </c>
      <c r="B407" s="33">
        <f t="shared" si="695"/>
        <v>100</v>
      </c>
      <c r="C407" s="187">
        <f>C1282</f>
        <v>300</v>
      </c>
      <c r="D407" s="187">
        <f>D1282</f>
        <v>900</v>
      </c>
      <c r="E407" s="1954">
        <v>22230</v>
      </c>
      <c r="F407" s="132" t="s">
        <v>3111</v>
      </c>
      <c r="G407" s="187">
        <f>G1282+G1283</f>
        <v>8500</v>
      </c>
      <c r="H407" s="138">
        <f>IF(D407=G407,0,IF(D407=0,100,(G407-D407)/D407*100))</f>
        <v>844.44444444444446</v>
      </c>
      <c r="I407" s="33">
        <f>I1282+I1283</f>
        <v>3500</v>
      </c>
      <c r="J407" s="33">
        <f t="shared" ref="J407:Q407" si="696">J1282+J1283</f>
        <v>3700</v>
      </c>
      <c r="K407" s="33">
        <f t="shared" si="696"/>
        <v>3900</v>
      </c>
      <c r="L407" s="33">
        <f t="shared" si="696"/>
        <v>4100</v>
      </c>
      <c r="M407" s="33">
        <f t="shared" si="696"/>
        <v>4300</v>
      </c>
      <c r="N407" s="33">
        <f t="shared" si="696"/>
        <v>4500</v>
      </c>
      <c r="O407" s="33">
        <f t="shared" si="696"/>
        <v>4700</v>
      </c>
      <c r="P407" s="33">
        <f t="shared" si="696"/>
        <v>4900</v>
      </c>
      <c r="Q407" s="33">
        <f t="shared" si="696"/>
        <v>5100</v>
      </c>
      <c r="R407" s="114">
        <f t="shared" ref="R407" si="697">R1282+R1283</f>
        <v>5300</v>
      </c>
    </row>
    <row r="408" spans="1:18" x14ac:dyDescent="0.2">
      <c r="A408" s="98"/>
      <c r="B408" s="33"/>
      <c r="C408" s="187"/>
      <c r="D408" s="187"/>
      <c r="E408" s="1954"/>
      <c r="F408" s="116" t="s">
        <v>4485</v>
      </c>
      <c r="G408" s="187"/>
      <c r="H408" s="138"/>
      <c r="I408" s="33"/>
      <c r="J408" s="33"/>
      <c r="K408" s="33"/>
      <c r="L408" s="33"/>
      <c r="M408" s="33"/>
      <c r="N408" s="33"/>
      <c r="O408" s="33"/>
      <c r="P408" s="33"/>
      <c r="Q408" s="33"/>
      <c r="R408" s="114"/>
    </row>
    <row r="409" spans="1:18" x14ac:dyDescent="0.2">
      <c r="A409" s="107">
        <f>ROUND(SUM(A1285:A1288),-3)</f>
        <v>130000</v>
      </c>
      <c r="B409" s="33">
        <f>SUM(B1285:B1288)</f>
        <v>192100</v>
      </c>
      <c r="C409" s="187">
        <f>SUM(C1285:C1288)</f>
        <v>120900</v>
      </c>
      <c r="D409" s="187">
        <f>SUM(D1285:D1288)</f>
        <v>120900</v>
      </c>
      <c r="E409" s="1954">
        <v>22230</v>
      </c>
      <c r="F409" s="132" t="s">
        <v>4827</v>
      </c>
      <c r="G409" s="187">
        <f t="shared" ref="G409:O409" si="698">SUM(G1285:G1288)</f>
        <v>78000</v>
      </c>
      <c r="H409" s="138">
        <f>IF(D409=G409,0,IF(D409=0,100,(G409-D409)/D409*100))</f>
        <v>-35.483870967741936</v>
      </c>
      <c r="I409" s="33">
        <f t="shared" si="698"/>
        <v>72200</v>
      </c>
      <c r="J409" s="33">
        <f t="shared" si="698"/>
        <v>74200</v>
      </c>
      <c r="K409" s="33">
        <f t="shared" si="698"/>
        <v>76200</v>
      </c>
      <c r="L409" s="33">
        <f t="shared" si="698"/>
        <v>78200</v>
      </c>
      <c r="M409" s="33">
        <f t="shared" si="698"/>
        <v>79900</v>
      </c>
      <c r="N409" s="33">
        <f t="shared" si="698"/>
        <v>81600</v>
      </c>
      <c r="O409" s="33">
        <f t="shared" si="698"/>
        <v>83400</v>
      </c>
      <c r="P409" s="33">
        <f t="shared" ref="P409:Q409" si="699">SUM(P1285:P1288)</f>
        <v>85200</v>
      </c>
      <c r="Q409" s="33">
        <f t="shared" si="699"/>
        <v>87000</v>
      </c>
      <c r="R409" s="114">
        <f t="shared" ref="R409" si="700">SUM(R1285:R1288)</f>
        <v>88900</v>
      </c>
    </row>
    <row r="410" spans="1:18" x14ac:dyDescent="0.2">
      <c r="A410" s="107">
        <f>ROUND(SUM(A1521:A1523),-3)</f>
        <v>6000</v>
      </c>
      <c r="B410" s="33">
        <f>SUM(B1521:B1523)</f>
        <v>0</v>
      </c>
      <c r="C410" s="187">
        <f>SUM(C1521:C1523)</f>
        <v>7200</v>
      </c>
      <c r="D410" s="187">
        <f>SUM(D1519:D1523)</f>
        <v>61900</v>
      </c>
      <c r="E410" s="1954">
        <v>22256</v>
      </c>
      <c r="F410" s="132" t="s">
        <v>5364</v>
      </c>
      <c r="G410" s="187">
        <f>SUM(G1519:G1523)</f>
        <v>0</v>
      </c>
      <c r="H410" s="138">
        <f>IF(D410=G410,0,IF(D410=0,100,(G410-D410)/D410*100))</f>
        <v>-100</v>
      </c>
      <c r="I410" s="187">
        <f t="shared" ref="I410:Q410" si="701">SUM(I1519:I1523)</f>
        <v>0</v>
      </c>
      <c r="J410" s="187">
        <f t="shared" si="701"/>
        <v>0</v>
      </c>
      <c r="K410" s="187">
        <f t="shared" si="701"/>
        <v>0</v>
      </c>
      <c r="L410" s="187">
        <f t="shared" si="701"/>
        <v>0</v>
      </c>
      <c r="M410" s="187">
        <f t="shared" si="701"/>
        <v>0</v>
      </c>
      <c r="N410" s="187">
        <f t="shared" si="701"/>
        <v>0</v>
      </c>
      <c r="O410" s="187">
        <f t="shared" si="701"/>
        <v>0</v>
      </c>
      <c r="P410" s="33">
        <f t="shared" si="701"/>
        <v>0</v>
      </c>
      <c r="Q410" s="33">
        <f t="shared" si="701"/>
        <v>0</v>
      </c>
      <c r="R410" s="114">
        <f t="shared" ref="R410" si="702">SUM(R1519:R1523)</f>
        <v>0</v>
      </c>
    </row>
    <row r="411" spans="1:18" x14ac:dyDescent="0.2">
      <c r="A411" s="107">
        <f>ROUND(SUM(A1289:A1290),-3)</f>
        <v>175000</v>
      </c>
      <c r="B411" s="33">
        <f>SUM(B1289:B1290)</f>
        <v>145500</v>
      </c>
      <c r="C411" s="187">
        <f>SUM(C1289:C1290)</f>
        <v>149600</v>
      </c>
      <c r="D411" s="187">
        <f>SUM(D1289:D1290)</f>
        <v>152100</v>
      </c>
      <c r="E411" s="1954">
        <v>26114</v>
      </c>
      <c r="F411" s="132" t="s">
        <v>6993</v>
      </c>
      <c r="G411" s="187">
        <f>SUM(G1289:G1290)</f>
        <v>154000</v>
      </c>
      <c r="H411" s="138">
        <f>IF(D411=G411,0,IF(D411=0,100,(G411-D411)/D411*100))</f>
        <v>1.2491781722550954</v>
      </c>
      <c r="I411" s="33">
        <f t="shared" ref="I411:Q411" si="703">SUM(I1289:I1290)</f>
        <v>156400</v>
      </c>
      <c r="J411" s="33">
        <f t="shared" si="703"/>
        <v>160400</v>
      </c>
      <c r="K411" s="33">
        <f t="shared" si="703"/>
        <v>164500</v>
      </c>
      <c r="L411" s="33">
        <f t="shared" si="703"/>
        <v>168700</v>
      </c>
      <c r="M411" s="33">
        <f t="shared" si="703"/>
        <v>172200</v>
      </c>
      <c r="N411" s="33">
        <f t="shared" si="703"/>
        <v>175800</v>
      </c>
      <c r="O411" s="33">
        <f t="shared" si="703"/>
        <v>179400</v>
      </c>
      <c r="P411" s="33">
        <f t="shared" si="703"/>
        <v>183100</v>
      </c>
      <c r="Q411" s="33">
        <f t="shared" si="703"/>
        <v>186800</v>
      </c>
      <c r="R411" s="114">
        <f t="shared" ref="R411" si="704">SUM(R1289:R1290)</f>
        <v>190600</v>
      </c>
    </row>
    <row r="412" spans="1:18" x14ac:dyDescent="0.2">
      <c r="A412" s="107"/>
      <c r="B412" s="33"/>
      <c r="C412" s="187"/>
      <c r="D412" s="187"/>
      <c r="E412" s="1954"/>
      <c r="F412" s="64" t="s">
        <v>167</v>
      </c>
      <c r="G412" s="187"/>
      <c r="H412" s="138"/>
      <c r="I412" s="33"/>
      <c r="J412" s="33"/>
      <c r="K412" s="33"/>
      <c r="L412" s="33"/>
      <c r="M412" s="33"/>
      <c r="N412" s="33"/>
      <c r="O412" s="33"/>
      <c r="P412" s="33"/>
      <c r="Q412" s="33"/>
      <c r="R412" s="114"/>
    </row>
    <row r="413" spans="1:18" x14ac:dyDescent="0.2">
      <c r="A413" s="107">
        <f>ROUND(SUM(A1382:A1391),-3)</f>
        <v>152000</v>
      </c>
      <c r="B413" s="33">
        <f>SUM(B1382:B1391)</f>
        <v>136500</v>
      </c>
      <c r="C413" s="187">
        <f>SUM(C1382:C1391)</f>
        <v>95100</v>
      </c>
      <c r="D413" s="187">
        <f>SUM(D1382:D1391)</f>
        <v>158700</v>
      </c>
      <c r="E413" s="1954">
        <v>22241</v>
      </c>
      <c r="F413" s="33" t="s">
        <v>2880</v>
      </c>
      <c r="G413" s="187">
        <f>SUM(G1382:G1391)</f>
        <v>30000</v>
      </c>
      <c r="H413" s="138">
        <f>IF(D413=G413,0,IF(D413=0,100,(G413-D413)/D413*100))</f>
        <v>-81.096408317580341</v>
      </c>
      <c r="I413" s="33">
        <f t="shared" ref="I413:Q413" si="705">SUM(I1382:I1391)</f>
        <v>5100</v>
      </c>
      <c r="J413" s="33">
        <f t="shared" si="705"/>
        <v>5300</v>
      </c>
      <c r="K413" s="33">
        <f t="shared" si="705"/>
        <v>5500</v>
      </c>
      <c r="L413" s="33">
        <f t="shared" si="705"/>
        <v>5700</v>
      </c>
      <c r="M413" s="33">
        <f t="shared" si="705"/>
        <v>5900</v>
      </c>
      <c r="N413" s="33">
        <f t="shared" si="705"/>
        <v>6100</v>
      </c>
      <c r="O413" s="33">
        <f t="shared" si="705"/>
        <v>6300</v>
      </c>
      <c r="P413" s="33">
        <f t="shared" si="705"/>
        <v>6500</v>
      </c>
      <c r="Q413" s="33">
        <f t="shared" si="705"/>
        <v>6700</v>
      </c>
      <c r="R413" s="114">
        <f t="shared" ref="R413" si="706">SUM(R1382:R1391)</f>
        <v>6900</v>
      </c>
    </row>
    <row r="414" spans="1:18" x14ac:dyDescent="0.2">
      <c r="A414" s="107"/>
      <c r="B414" s="33"/>
      <c r="C414" s="187"/>
      <c r="D414" s="187"/>
      <c r="E414" s="1954"/>
      <c r="F414" s="116" t="s">
        <v>4623</v>
      </c>
      <c r="G414" s="187"/>
      <c r="H414" s="138"/>
      <c r="I414" s="33"/>
      <c r="J414" s="33"/>
      <c r="K414" s="33"/>
      <c r="L414" s="33"/>
      <c r="M414" s="33"/>
      <c r="N414" s="33"/>
      <c r="O414" s="33"/>
      <c r="P414" s="33"/>
      <c r="Q414" s="33"/>
      <c r="R414" s="114"/>
    </row>
    <row r="415" spans="1:18" x14ac:dyDescent="0.2">
      <c r="A415" s="107">
        <f>ROUND(SUM(A1472:A1472),-3)</f>
        <v>360000</v>
      </c>
      <c r="B415" s="33">
        <f>SUM(B1472:B1472)</f>
        <v>339600</v>
      </c>
      <c r="C415" s="187">
        <f>SUM(C1472:C1472)</f>
        <v>403200</v>
      </c>
      <c r="D415" s="187">
        <f>SUM(D1472:D1472)</f>
        <v>398300</v>
      </c>
      <c r="E415" s="1954">
        <v>22250</v>
      </c>
      <c r="F415" s="132" t="s">
        <v>4625</v>
      </c>
      <c r="G415" s="187">
        <f t="shared" ref="G415:O415" si="707">SUM(G1472:G1472)</f>
        <v>400000</v>
      </c>
      <c r="H415" s="138">
        <f>IF(D415=G415,0,IF(D415=0,100,(G415-D415)/D415*100))</f>
        <v>0.42681395932714034</v>
      </c>
      <c r="I415" s="33">
        <f t="shared" si="707"/>
        <v>406000</v>
      </c>
      <c r="J415" s="33">
        <f t="shared" si="707"/>
        <v>416200</v>
      </c>
      <c r="K415" s="33">
        <f t="shared" si="707"/>
        <v>426700</v>
      </c>
      <c r="L415" s="33">
        <f t="shared" si="707"/>
        <v>437400</v>
      </c>
      <c r="M415" s="33">
        <f t="shared" si="707"/>
        <v>446200</v>
      </c>
      <c r="N415" s="33">
        <f t="shared" si="707"/>
        <v>455200</v>
      </c>
      <c r="O415" s="33">
        <f t="shared" si="707"/>
        <v>464400</v>
      </c>
      <c r="P415" s="33">
        <f t="shared" ref="P415:Q415" si="708">SUM(P1472:P1472)</f>
        <v>473700</v>
      </c>
      <c r="Q415" s="33">
        <f t="shared" si="708"/>
        <v>483200</v>
      </c>
      <c r="R415" s="114">
        <f t="shared" ref="R415" si="709">SUM(R1472:R1472)</f>
        <v>492900</v>
      </c>
    </row>
    <row r="416" spans="1:18" x14ac:dyDescent="0.2">
      <c r="A416" s="107"/>
      <c r="B416" s="33"/>
      <c r="C416" s="187"/>
      <c r="D416" s="187"/>
      <c r="E416" s="1954"/>
      <c r="F416" s="116" t="s">
        <v>609</v>
      </c>
      <c r="G416" s="187"/>
      <c r="H416" s="138"/>
      <c r="I416" s="33"/>
      <c r="J416" s="33"/>
      <c r="K416" s="33"/>
      <c r="L416" s="33"/>
      <c r="M416" s="33"/>
      <c r="N416" s="33"/>
      <c r="O416" s="33"/>
      <c r="P416" s="33"/>
      <c r="Q416" s="33"/>
      <c r="R416" s="114"/>
    </row>
    <row r="417" spans="1:18" x14ac:dyDescent="0.2">
      <c r="A417" s="107">
        <f>ROUND(SUM(A1524:A1525),-3)</f>
        <v>0</v>
      </c>
      <c r="B417" s="33">
        <f>SUM(B1524:B1525)</f>
        <v>82700</v>
      </c>
      <c r="C417" s="187">
        <f>SUM(C1524:C1525)</f>
        <v>79200</v>
      </c>
      <c r="D417" s="187">
        <f>SUM(D1524:D1525)</f>
        <v>51400</v>
      </c>
      <c r="E417" s="1954">
        <v>22256</v>
      </c>
      <c r="F417" s="132" t="s">
        <v>5365</v>
      </c>
      <c r="G417" s="187">
        <f t="shared" ref="G417:P417" si="710">SUM(G1524:G1525)</f>
        <v>0</v>
      </c>
      <c r="H417" s="138">
        <f>IF(D417=G417,0,IF(D417=0,100,(G417-D417)/D417*100))</f>
        <v>-100</v>
      </c>
      <c r="I417" s="33">
        <f t="shared" si="710"/>
        <v>0</v>
      </c>
      <c r="J417" s="33">
        <f t="shared" si="710"/>
        <v>0</v>
      </c>
      <c r="K417" s="33">
        <f t="shared" si="710"/>
        <v>0</v>
      </c>
      <c r="L417" s="33">
        <f t="shared" si="710"/>
        <v>0</v>
      </c>
      <c r="M417" s="33">
        <f t="shared" si="710"/>
        <v>0</v>
      </c>
      <c r="N417" s="33">
        <f t="shared" si="710"/>
        <v>0</v>
      </c>
      <c r="O417" s="33">
        <f t="shared" si="710"/>
        <v>0</v>
      </c>
      <c r="P417" s="33">
        <f t="shared" si="710"/>
        <v>0</v>
      </c>
      <c r="Q417" s="33">
        <f t="shared" ref="Q417" si="711">SUM(Q1524:Q1525)</f>
        <v>0</v>
      </c>
      <c r="R417" s="114">
        <f t="shared" ref="R417" si="712">SUM(R1524:R1525)</f>
        <v>0</v>
      </c>
    </row>
    <row r="418" spans="1:18" ht="13.5" thickBot="1" x14ac:dyDescent="0.25">
      <c r="A418" s="107"/>
      <c r="B418" s="33"/>
      <c r="C418" s="187"/>
      <c r="D418" s="187"/>
      <c r="E418" s="1954"/>
      <c r="F418" s="33"/>
      <c r="G418" s="187"/>
      <c r="H418" s="138"/>
      <c r="I418" s="33"/>
      <c r="J418" s="33"/>
      <c r="K418" s="33"/>
      <c r="L418" s="33"/>
      <c r="M418" s="33"/>
      <c r="N418" s="33"/>
      <c r="O418" s="33"/>
      <c r="P418" s="33"/>
      <c r="Q418" s="33"/>
      <c r="R418" s="114"/>
    </row>
    <row r="419" spans="1:18" s="92" customFormat="1" x14ac:dyDescent="0.2">
      <c r="A419" s="105">
        <f>SUM(A402:A418)</f>
        <v>906200</v>
      </c>
      <c r="B419" s="53">
        <f>SUM(B402:B418)</f>
        <v>986500</v>
      </c>
      <c r="C419" s="199">
        <f>SUM(C402:C418)</f>
        <v>963100</v>
      </c>
      <c r="D419" s="199">
        <f>SUM(D402:D418)</f>
        <v>1046300</v>
      </c>
      <c r="E419" s="236"/>
      <c r="F419" s="378" t="s">
        <v>2605</v>
      </c>
      <c r="G419" s="199">
        <f>SUM(G402:G418)</f>
        <v>764000</v>
      </c>
      <c r="H419" s="180">
        <f>IF(D419=G419,0,IF(D419=0,100,(G419-D419)/D419*100))</f>
        <v>-26.980789448532928</v>
      </c>
      <c r="I419" s="53">
        <f t="shared" ref="I419:Q419" si="713">SUM(I402:I418)</f>
        <v>750200</v>
      </c>
      <c r="J419" s="53">
        <f t="shared" si="713"/>
        <v>769700</v>
      </c>
      <c r="K419" s="53">
        <f t="shared" si="713"/>
        <v>789700</v>
      </c>
      <c r="L419" s="53">
        <f t="shared" si="713"/>
        <v>810100</v>
      </c>
      <c r="M419" s="53">
        <f t="shared" si="713"/>
        <v>827100</v>
      </c>
      <c r="N419" s="53">
        <f t="shared" si="713"/>
        <v>844400</v>
      </c>
      <c r="O419" s="53">
        <f t="shared" si="713"/>
        <v>862000</v>
      </c>
      <c r="P419" s="53">
        <f t="shared" si="713"/>
        <v>879900</v>
      </c>
      <c r="Q419" s="53">
        <f t="shared" si="713"/>
        <v>898100</v>
      </c>
      <c r="R419" s="113">
        <f t="shared" ref="R419" si="714">SUM(R402:R418)</f>
        <v>916700</v>
      </c>
    </row>
    <row r="420" spans="1:18" x14ac:dyDescent="0.2">
      <c r="A420" s="98"/>
      <c r="B420" s="33"/>
      <c r="C420" s="187"/>
      <c r="D420" s="187"/>
      <c r="E420" s="1954"/>
      <c r="F420" s="64"/>
      <c r="G420" s="187"/>
      <c r="H420" s="138"/>
      <c r="I420" s="33"/>
      <c r="J420" s="33"/>
      <c r="K420" s="33"/>
      <c r="L420" s="33"/>
      <c r="M420" s="33"/>
      <c r="N420" s="33"/>
      <c r="O420" s="33"/>
      <c r="P420" s="33"/>
      <c r="Q420" s="33"/>
      <c r="R420" s="114"/>
    </row>
    <row r="421" spans="1:18" x14ac:dyDescent="0.2">
      <c r="A421" s="107"/>
      <c r="B421" s="33"/>
      <c r="C421" s="187"/>
      <c r="D421" s="187"/>
      <c r="E421" s="240"/>
      <c r="F421" s="365" t="s">
        <v>2205</v>
      </c>
      <c r="G421" s="187"/>
      <c r="H421" s="138"/>
      <c r="I421" s="33"/>
      <c r="J421" s="33"/>
      <c r="K421" s="33"/>
      <c r="L421" s="33"/>
      <c r="M421" s="33"/>
      <c r="N421" s="33"/>
      <c r="O421" s="33"/>
      <c r="P421" s="33"/>
      <c r="Q421" s="33"/>
      <c r="R421" s="114"/>
    </row>
    <row r="422" spans="1:18" x14ac:dyDescent="0.2">
      <c r="A422" s="98"/>
      <c r="B422" s="33"/>
      <c r="C422" s="187"/>
      <c r="D422" s="187"/>
      <c r="E422" s="1954"/>
      <c r="F422" s="64" t="s">
        <v>9</v>
      </c>
      <c r="G422" s="187"/>
      <c r="H422" s="138"/>
      <c r="I422" s="33"/>
      <c r="J422" s="33"/>
      <c r="K422" s="33"/>
      <c r="L422" s="33"/>
      <c r="M422" s="33"/>
      <c r="N422" s="33"/>
      <c r="O422" s="33"/>
      <c r="P422" s="33"/>
      <c r="Q422" s="33"/>
      <c r="R422" s="114"/>
    </row>
    <row r="423" spans="1:18" x14ac:dyDescent="0.2">
      <c r="A423" s="107">
        <f>ROUND(SUM(A1296:A1300),-3)</f>
        <v>229000</v>
      </c>
      <c r="B423" s="33">
        <f>SUM(B1296:B1300)</f>
        <v>158300</v>
      </c>
      <c r="C423" s="187">
        <f>SUM(C1296:C1300)</f>
        <v>179900</v>
      </c>
      <c r="D423" s="187">
        <f>SUM(D1296:D1300)</f>
        <v>188500</v>
      </c>
      <c r="E423" s="1954">
        <v>32260</v>
      </c>
      <c r="F423" s="33" t="s">
        <v>1249</v>
      </c>
      <c r="G423" s="187">
        <f t="shared" ref="G423:O423" si="715">SUM(G1296:G1300)</f>
        <v>288000</v>
      </c>
      <c r="H423" s="138">
        <f>IF(D423=G423,0,IF(D423=0,100,(G423-D423)/D423*100))</f>
        <v>52.785145888594165</v>
      </c>
      <c r="I423" s="33">
        <f t="shared" si="715"/>
        <v>295100</v>
      </c>
      <c r="J423" s="33">
        <f t="shared" si="715"/>
        <v>302600</v>
      </c>
      <c r="K423" s="33">
        <f t="shared" si="715"/>
        <v>310200</v>
      </c>
      <c r="L423" s="33">
        <f t="shared" si="715"/>
        <v>318000</v>
      </c>
      <c r="M423" s="33">
        <f t="shared" si="715"/>
        <v>326000</v>
      </c>
      <c r="N423" s="33">
        <f t="shared" si="715"/>
        <v>334200</v>
      </c>
      <c r="O423" s="33">
        <f t="shared" si="715"/>
        <v>342600</v>
      </c>
      <c r="P423" s="33">
        <f t="shared" ref="P423:Q423" si="716">SUM(P1296:P1300)</f>
        <v>351200</v>
      </c>
      <c r="Q423" s="33">
        <f t="shared" si="716"/>
        <v>351500</v>
      </c>
      <c r="R423" s="114">
        <f t="shared" ref="R423" si="717">SUM(R1296:R1300)</f>
        <v>351800</v>
      </c>
    </row>
    <row r="424" spans="1:18" x14ac:dyDescent="0.2">
      <c r="A424" s="107"/>
      <c r="B424" s="33"/>
      <c r="C424" s="187"/>
      <c r="D424" s="187"/>
      <c r="E424" s="238"/>
      <c r="F424" s="33"/>
      <c r="G424" s="187"/>
      <c r="H424" s="138"/>
      <c r="I424" s="33"/>
      <c r="J424" s="33"/>
      <c r="K424" s="33"/>
      <c r="L424" s="33"/>
      <c r="M424" s="33"/>
      <c r="N424" s="33"/>
      <c r="O424" s="33"/>
      <c r="P424" s="33"/>
      <c r="Q424" s="33"/>
      <c r="R424" s="114"/>
    </row>
    <row r="425" spans="1:18" x14ac:dyDescent="0.2">
      <c r="A425" s="107"/>
      <c r="B425" s="33"/>
      <c r="C425" s="187"/>
      <c r="D425" s="187"/>
      <c r="E425" s="1955"/>
      <c r="F425" s="371" t="s">
        <v>500</v>
      </c>
      <c r="G425" s="187"/>
      <c r="H425" s="138"/>
      <c r="I425" s="33"/>
      <c r="J425" s="33"/>
      <c r="K425" s="33"/>
      <c r="L425" s="33"/>
      <c r="M425" s="33"/>
      <c r="N425" s="33"/>
      <c r="O425" s="33"/>
      <c r="P425" s="33"/>
      <c r="Q425" s="33"/>
      <c r="R425" s="114"/>
    </row>
    <row r="426" spans="1:18" x14ac:dyDescent="0.2">
      <c r="A426" s="107">
        <f>ROUND(SUM(A1301:A1317),-3)</f>
        <v>1530000</v>
      </c>
      <c r="B426" s="33">
        <f>SUM(B1301:B1317)</f>
        <v>1633500</v>
      </c>
      <c r="C426" s="187">
        <f>SUM(C1301:C1317)</f>
        <v>1470000</v>
      </c>
      <c r="D426" s="187">
        <f>SUM(D1301:D1317)</f>
        <v>1561600</v>
      </c>
      <c r="E426" s="1955">
        <v>32262</v>
      </c>
      <c r="F426" s="891" t="s">
        <v>2052</v>
      </c>
      <c r="G426" s="187">
        <f>SUM(G1301:G1317)</f>
        <v>1739000</v>
      </c>
      <c r="H426" s="138">
        <f t="shared" ref="H426:H436" si="718">IF(D426=G426,0,IF(D426=0,100,(G426-D426)/D426*100))</f>
        <v>11.360143442622951</v>
      </c>
      <c r="I426" s="33">
        <f t="shared" ref="I426:Q426" si="719">SUM(I1301:I1317)</f>
        <v>1706000</v>
      </c>
      <c r="J426" s="33">
        <f t="shared" si="719"/>
        <v>1749200</v>
      </c>
      <c r="K426" s="33">
        <f t="shared" si="719"/>
        <v>1793500</v>
      </c>
      <c r="L426" s="33">
        <f t="shared" si="719"/>
        <v>1839000</v>
      </c>
      <c r="M426" s="33">
        <f t="shared" si="719"/>
        <v>1876400</v>
      </c>
      <c r="N426" s="33">
        <f t="shared" si="719"/>
        <v>1914600</v>
      </c>
      <c r="O426" s="33">
        <f t="shared" si="719"/>
        <v>1953400</v>
      </c>
      <c r="P426" s="33">
        <f t="shared" si="719"/>
        <v>1993000</v>
      </c>
      <c r="Q426" s="33">
        <f t="shared" si="719"/>
        <v>2033500</v>
      </c>
      <c r="R426" s="114">
        <f t="shared" ref="R426" si="720">SUM(R1301:R1317)</f>
        <v>2074700</v>
      </c>
    </row>
    <row r="427" spans="1:18" x14ac:dyDescent="0.2">
      <c r="A427" s="107">
        <f>ROUND(SUM(A1318:A1319),-3)</f>
        <v>5000</v>
      </c>
      <c r="B427" s="33">
        <f>SUM(B1318:B1319)</f>
        <v>6100</v>
      </c>
      <c r="C427" s="187">
        <f>SUM(C1318:C1319)</f>
        <v>5300</v>
      </c>
      <c r="D427" s="187">
        <f>SUM(D1318:D1319)</f>
        <v>5400</v>
      </c>
      <c r="E427" s="1955">
        <v>32262</v>
      </c>
      <c r="F427" s="891" t="s">
        <v>3065</v>
      </c>
      <c r="G427" s="187">
        <f t="shared" ref="G427:O427" si="721">SUM(G1318:G1319)</f>
        <v>7500</v>
      </c>
      <c r="H427" s="138">
        <f t="shared" si="718"/>
        <v>38.888888888888893</v>
      </c>
      <c r="I427" s="33">
        <f t="shared" si="721"/>
        <v>7700</v>
      </c>
      <c r="J427" s="33">
        <f t="shared" si="721"/>
        <v>7900</v>
      </c>
      <c r="K427" s="33">
        <f t="shared" si="721"/>
        <v>8100</v>
      </c>
      <c r="L427" s="33">
        <f t="shared" si="721"/>
        <v>8400</v>
      </c>
      <c r="M427" s="33">
        <f t="shared" si="721"/>
        <v>8600</v>
      </c>
      <c r="N427" s="33">
        <f t="shared" si="721"/>
        <v>8800</v>
      </c>
      <c r="O427" s="33">
        <f t="shared" si="721"/>
        <v>9000</v>
      </c>
      <c r="P427" s="33">
        <f t="shared" ref="P427:Q427" si="722">SUM(P1318:P1319)</f>
        <v>9200</v>
      </c>
      <c r="Q427" s="33">
        <f t="shared" si="722"/>
        <v>9400</v>
      </c>
      <c r="R427" s="114">
        <f t="shared" ref="R427" si="723">SUM(R1318:R1319)</f>
        <v>9600</v>
      </c>
    </row>
    <row r="428" spans="1:18" x14ac:dyDescent="0.2">
      <c r="A428" s="107">
        <f>ROUND(SUM(A1321:A1323),-3)</f>
        <v>63000</v>
      </c>
      <c r="B428" s="33">
        <f>SUM(B1321:B1323)</f>
        <v>68100</v>
      </c>
      <c r="C428" s="187">
        <f>SUM(C1321:C1323)</f>
        <v>62000</v>
      </c>
      <c r="D428" s="187">
        <f>SUM(D1321:D1323)</f>
        <v>98700</v>
      </c>
      <c r="E428" s="1955">
        <v>32265</v>
      </c>
      <c r="F428" s="891" t="s">
        <v>4891</v>
      </c>
      <c r="G428" s="187">
        <f>SUM(G1321:G1323)</f>
        <v>79000</v>
      </c>
      <c r="H428" s="138">
        <f t="shared" si="718"/>
        <v>-19.959473150962513</v>
      </c>
      <c r="I428" s="33">
        <f t="shared" ref="I428:P428" si="724">SUM(I1321:I1323)</f>
        <v>80000</v>
      </c>
      <c r="J428" s="33">
        <f t="shared" si="724"/>
        <v>82100</v>
      </c>
      <c r="K428" s="33">
        <f t="shared" si="724"/>
        <v>84200</v>
      </c>
      <c r="L428" s="33">
        <f t="shared" si="724"/>
        <v>86400</v>
      </c>
      <c r="M428" s="33">
        <f t="shared" si="724"/>
        <v>88200</v>
      </c>
      <c r="N428" s="33">
        <f t="shared" si="724"/>
        <v>90000</v>
      </c>
      <c r="O428" s="33">
        <f t="shared" si="724"/>
        <v>91900</v>
      </c>
      <c r="P428" s="33">
        <f t="shared" si="724"/>
        <v>93800</v>
      </c>
      <c r="Q428" s="33">
        <f t="shared" ref="Q428" si="725">SUM(Q1321:Q1323)</f>
        <v>95800</v>
      </c>
      <c r="R428" s="114">
        <f t="shared" ref="R428" si="726">SUM(R1321:R1323)</f>
        <v>97800</v>
      </c>
    </row>
    <row r="429" spans="1:18" x14ac:dyDescent="0.2">
      <c r="A429" s="107">
        <f t="shared" ref="A429:A430" si="727">ROUND(SUM(A1324:A1324),-3)</f>
        <v>2000</v>
      </c>
      <c r="B429" s="33">
        <f t="shared" ref="B429:B430" si="728">SUM(B1324:B1324)</f>
        <v>20000</v>
      </c>
      <c r="C429" s="187">
        <f t="shared" ref="C429:D431" si="729">SUM(C1324:C1324)</f>
        <v>17900</v>
      </c>
      <c r="D429" s="187">
        <f t="shared" si="729"/>
        <v>3600</v>
      </c>
      <c r="E429" s="1955">
        <v>32265</v>
      </c>
      <c r="F429" s="132" t="s">
        <v>3066</v>
      </c>
      <c r="G429" s="187">
        <f t="shared" ref="G429:O431" si="730">SUM(G1324:G1324)</f>
        <v>40000</v>
      </c>
      <c r="H429" s="138">
        <f t="shared" si="718"/>
        <v>1011.1111111111111</v>
      </c>
      <c r="I429" s="33">
        <f t="shared" si="730"/>
        <v>20000</v>
      </c>
      <c r="J429" s="33">
        <f t="shared" si="730"/>
        <v>20500</v>
      </c>
      <c r="K429" s="33">
        <f t="shared" si="730"/>
        <v>21100</v>
      </c>
      <c r="L429" s="33">
        <f t="shared" si="730"/>
        <v>21700</v>
      </c>
      <c r="M429" s="33">
        <f t="shared" si="730"/>
        <v>22200</v>
      </c>
      <c r="N429" s="33">
        <f t="shared" si="730"/>
        <v>22700</v>
      </c>
      <c r="O429" s="33">
        <f t="shared" si="730"/>
        <v>23200</v>
      </c>
      <c r="P429" s="33">
        <f t="shared" ref="P429:Q431" si="731">SUM(P1324:P1324)</f>
        <v>23700</v>
      </c>
      <c r="Q429" s="33">
        <f t="shared" si="731"/>
        <v>24200</v>
      </c>
      <c r="R429" s="114">
        <f t="shared" ref="R429" si="732">SUM(R1324:R1324)</f>
        <v>24700</v>
      </c>
    </row>
    <row r="430" spans="1:18" x14ac:dyDescent="0.2">
      <c r="A430" s="107">
        <f t="shared" si="727"/>
        <v>0</v>
      </c>
      <c r="B430" s="33">
        <f t="shared" si="728"/>
        <v>0</v>
      </c>
      <c r="C430" s="187">
        <f t="shared" si="729"/>
        <v>0</v>
      </c>
      <c r="D430" s="187">
        <f t="shared" si="729"/>
        <v>9100</v>
      </c>
      <c r="E430" s="1955">
        <v>32265</v>
      </c>
      <c r="F430" s="132" t="s">
        <v>4889</v>
      </c>
      <c r="G430" s="187">
        <f t="shared" si="730"/>
        <v>15000</v>
      </c>
      <c r="H430" s="138">
        <f t="shared" si="718"/>
        <v>64.835164835164832</v>
      </c>
      <c r="I430" s="33">
        <f t="shared" si="730"/>
        <v>15000</v>
      </c>
      <c r="J430" s="33">
        <f t="shared" si="730"/>
        <v>15400</v>
      </c>
      <c r="K430" s="33">
        <f t="shared" si="730"/>
        <v>15800</v>
      </c>
      <c r="L430" s="33">
        <f t="shared" si="730"/>
        <v>16200</v>
      </c>
      <c r="M430" s="33">
        <f t="shared" si="730"/>
        <v>16600</v>
      </c>
      <c r="N430" s="33">
        <f t="shared" si="730"/>
        <v>17000</v>
      </c>
      <c r="O430" s="33">
        <f t="shared" si="730"/>
        <v>17400</v>
      </c>
      <c r="P430" s="33">
        <f t="shared" si="731"/>
        <v>17800</v>
      </c>
      <c r="Q430" s="33">
        <f t="shared" si="731"/>
        <v>18200</v>
      </c>
      <c r="R430" s="114">
        <f t="shared" ref="R430" si="733">SUM(R1325:R1325)</f>
        <v>18600</v>
      </c>
    </row>
    <row r="431" spans="1:18" x14ac:dyDescent="0.2">
      <c r="A431" s="107">
        <f>ROUND(SUM(A1326:A1326),-3)</f>
        <v>10000</v>
      </c>
      <c r="B431" s="33">
        <f>SUM(B1326:B1326)</f>
        <v>2000</v>
      </c>
      <c r="C431" s="187">
        <f t="shared" si="729"/>
        <v>87300</v>
      </c>
      <c r="D431" s="187">
        <f t="shared" si="729"/>
        <v>2200</v>
      </c>
      <c r="E431" s="1955">
        <v>32265</v>
      </c>
      <c r="F431" s="891" t="s">
        <v>4624</v>
      </c>
      <c r="G431" s="187">
        <f t="shared" si="730"/>
        <v>48500</v>
      </c>
      <c r="H431" s="138">
        <f t="shared" si="718"/>
        <v>2104.5454545454545</v>
      </c>
      <c r="I431" s="33">
        <f t="shared" si="730"/>
        <v>0</v>
      </c>
      <c r="J431" s="33">
        <f t="shared" si="730"/>
        <v>0</v>
      </c>
      <c r="K431" s="33">
        <f t="shared" si="730"/>
        <v>0</v>
      </c>
      <c r="L431" s="33">
        <f t="shared" si="730"/>
        <v>0</v>
      </c>
      <c r="M431" s="33">
        <f t="shared" si="730"/>
        <v>0</v>
      </c>
      <c r="N431" s="33">
        <f t="shared" si="730"/>
        <v>0</v>
      </c>
      <c r="O431" s="33">
        <f t="shared" si="730"/>
        <v>0</v>
      </c>
      <c r="P431" s="33">
        <f t="shared" si="731"/>
        <v>0</v>
      </c>
      <c r="Q431" s="33">
        <f t="shared" si="731"/>
        <v>0</v>
      </c>
      <c r="R431" s="114">
        <f t="shared" ref="R431" si="734">SUM(R1326:R1326)</f>
        <v>0</v>
      </c>
    </row>
    <row r="432" spans="1:18" x14ac:dyDescent="0.2">
      <c r="A432" s="107">
        <f>ROUND(SUM(A1328:A1334),-3)</f>
        <v>184000</v>
      </c>
      <c r="B432" s="33">
        <f>SUM(B1328:B1334)</f>
        <v>178300</v>
      </c>
      <c r="C432" s="187">
        <f>SUM(C1328:C1334)</f>
        <v>207700</v>
      </c>
      <c r="D432" s="187">
        <f>SUM(D1328:D1334)</f>
        <v>219700</v>
      </c>
      <c r="E432" s="1955">
        <v>32266</v>
      </c>
      <c r="F432" s="891" t="s">
        <v>1186</v>
      </c>
      <c r="G432" s="187">
        <f>SUM(G1328:G1334)</f>
        <v>245900</v>
      </c>
      <c r="H432" s="138">
        <f t="shared" si="718"/>
        <v>11.925352753755121</v>
      </c>
      <c r="I432" s="187">
        <f t="shared" ref="I432:Q432" si="735">SUM(I1328:I1334)</f>
        <v>249900</v>
      </c>
      <c r="J432" s="187">
        <f t="shared" si="735"/>
        <v>256400</v>
      </c>
      <c r="K432" s="187">
        <f t="shared" si="735"/>
        <v>263100</v>
      </c>
      <c r="L432" s="187">
        <f t="shared" si="735"/>
        <v>269900</v>
      </c>
      <c r="M432" s="187">
        <f t="shared" si="735"/>
        <v>275500</v>
      </c>
      <c r="N432" s="187">
        <f t="shared" si="735"/>
        <v>281200</v>
      </c>
      <c r="O432" s="187">
        <f t="shared" si="735"/>
        <v>287100</v>
      </c>
      <c r="P432" s="187">
        <f t="shared" si="735"/>
        <v>293000</v>
      </c>
      <c r="Q432" s="187">
        <f t="shared" si="735"/>
        <v>299100</v>
      </c>
      <c r="R432" s="188">
        <f t="shared" ref="R432" si="736">SUM(R1328:R1334)</f>
        <v>305400</v>
      </c>
    </row>
    <row r="433" spans="1:18" x14ac:dyDescent="0.2">
      <c r="A433" s="107">
        <f>ROUND(SUM(A1341:A1348),-3)</f>
        <v>25000</v>
      </c>
      <c r="B433" s="33">
        <f>SUM(B1341:B1348)</f>
        <v>22400</v>
      </c>
      <c r="C433" s="187">
        <f>SUM(C1341:C1348)</f>
        <v>26400</v>
      </c>
      <c r="D433" s="187">
        <f>SUM(D1341:D1348)</f>
        <v>31300</v>
      </c>
      <c r="E433" s="1955">
        <v>32267</v>
      </c>
      <c r="F433" s="132" t="s">
        <v>6997</v>
      </c>
      <c r="G433" s="187">
        <f t="shared" ref="G433:O433" si="737">SUM(G1341:G1348)</f>
        <v>37400</v>
      </c>
      <c r="H433" s="138">
        <f t="shared" si="718"/>
        <v>19.488817891373802</v>
      </c>
      <c r="I433" s="33">
        <f t="shared" si="737"/>
        <v>41300</v>
      </c>
      <c r="J433" s="33">
        <f t="shared" si="737"/>
        <v>42700</v>
      </c>
      <c r="K433" s="33">
        <f t="shared" si="737"/>
        <v>44100</v>
      </c>
      <c r="L433" s="33">
        <f t="shared" si="737"/>
        <v>45500</v>
      </c>
      <c r="M433" s="33">
        <f t="shared" si="737"/>
        <v>46800</v>
      </c>
      <c r="N433" s="33">
        <f t="shared" si="737"/>
        <v>48100</v>
      </c>
      <c r="O433" s="33">
        <f t="shared" si="737"/>
        <v>49400</v>
      </c>
      <c r="P433" s="33">
        <f t="shared" ref="P433:Q433" si="738">SUM(P1341:P1348)</f>
        <v>50800</v>
      </c>
      <c r="Q433" s="33">
        <f t="shared" si="738"/>
        <v>52200</v>
      </c>
      <c r="R433" s="114">
        <f t="shared" ref="R433" si="739">SUM(R1341:R1348)</f>
        <v>53600</v>
      </c>
    </row>
    <row r="434" spans="1:18" x14ac:dyDescent="0.2">
      <c r="A434" s="107">
        <f>ROUND(A1352,-3)</f>
        <v>2000</v>
      </c>
      <c r="B434" s="33">
        <f>B1352</f>
        <v>1500</v>
      </c>
      <c r="C434" s="187">
        <f>C1352</f>
        <v>4100</v>
      </c>
      <c r="D434" s="187">
        <f>D1352</f>
        <v>1200</v>
      </c>
      <c r="E434" s="1955">
        <v>32270</v>
      </c>
      <c r="F434" s="366" t="s">
        <v>1919</v>
      </c>
      <c r="G434" s="187">
        <f t="shared" ref="G434:O434" si="740">G1352</f>
        <v>12500</v>
      </c>
      <c r="H434" s="138">
        <f t="shared" si="718"/>
        <v>941.66666666666663</v>
      </c>
      <c r="I434" s="33">
        <f t="shared" si="740"/>
        <v>12700</v>
      </c>
      <c r="J434" s="33">
        <f t="shared" si="740"/>
        <v>13100</v>
      </c>
      <c r="K434" s="33">
        <f t="shared" si="740"/>
        <v>13500</v>
      </c>
      <c r="L434" s="33">
        <f t="shared" si="740"/>
        <v>13900</v>
      </c>
      <c r="M434" s="33">
        <f t="shared" si="740"/>
        <v>14200</v>
      </c>
      <c r="N434" s="33">
        <f t="shared" si="740"/>
        <v>14500</v>
      </c>
      <c r="O434" s="33">
        <f t="shared" si="740"/>
        <v>14800</v>
      </c>
      <c r="P434" s="33">
        <f t="shared" ref="P434:Q434" si="741">P1352</f>
        <v>15100</v>
      </c>
      <c r="Q434" s="33">
        <f t="shared" si="741"/>
        <v>15500</v>
      </c>
      <c r="R434" s="114">
        <f t="shared" ref="R434" si="742">R1352</f>
        <v>15900</v>
      </c>
    </row>
    <row r="435" spans="1:18" x14ac:dyDescent="0.2">
      <c r="A435" s="107">
        <f>ROUND(A1354,-3)</f>
        <v>229000</v>
      </c>
      <c r="B435" s="33">
        <f>B1354</f>
        <v>232300</v>
      </c>
      <c r="C435" s="187">
        <f>C1354</f>
        <v>261400</v>
      </c>
      <c r="D435" s="187">
        <f>D1354</f>
        <v>279400</v>
      </c>
      <c r="E435" s="1955">
        <v>32270</v>
      </c>
      <c r="F435" s="891" t="s">
        <v>3112</v>
      </c>
      <c r="G435" s="187">
        <f t="shared" ref="G435:O435" si="743">G1354</f>
        <v>270000</v>
      </c>
      <c r="H435" s="138">
        <f t="shared" si="718"/>
        <v>-3.3643521832498213</v>
      </c>
      <c r="I435" s="33">
        <f t="shared" si="743"/>
        <v>274100</v>
      </c>
      <c r="J435" s="33">
        <f t="shared" si="743"/>
        <v>281000</v>
      </c>
      <c r="K435" s="33">
        <f t="shared" si="743"/>
        <v>288100</v>
      </c>
      <c r="L435" s="33">
        <f t="shared" si="743"/>
        <v>295400</v>
      </c>
      <c r="M435" s="33">
        <f t="shared" si="743"/>
        <v>301400</v>
      </c>
      <c r="N435" s="33">
        <f t="shared" si="743"/>
        <v>307500</v>
      </c>
      <c r="O435" s="33">
        <f t="shared" si="743"/>
        <v>313700</v>
      </c>
      <c r="P435" s="33">
        <f t="shared" ref="P435:Q435" si="744">P1354</f>
        <v>320000</v>
      </c>
      <c r="Q435" s="33">
        <f t="shared" si="744"/>
        <v>326400</v>
      </c>
      <c r="R435" s="114">
        <f t="shared" ref="R435" si="745">R1354</f>
        <v>333000</v>
      </c>
    </row>
    <row r="436" spans="1:18" x14ac:dyDescent="0.2">
      <c r="A436" s="107">
        <f>ROUND(SUM(A1350:A1356)-A435-A434,-3)</f>
        <v>9000</v>
      </c>
      <c r="B436" s="33">
        <f>SUM(B1350:B1356)-B435-B434</f>
        <v>8500</v>
      </c>
      <c r="C436" s="187">
        <f>SUM(C1350:C1356)-C435-C434</f>
        <v>7600</v>
      </c>
      <c r="D436" s="187">
        <f>SUM(D1350:D1356)-D435-D434</f>
        <v>66500</v>
      </c>
      <c r="E436" s="1955">
        <v>32270</v>
      </c>
      <c r="F436" s="891" t="s">
        <v>4664</v>
      </c>
      <c r="G436" s="187">
        <f>SUM(G1350:G1356)-G435-G434</f>
        <v>8800</v>
      </c>
      <c r="H436" s="138">
        <f t="shared" si="718"/>
        <v>-86.766917293233078</v>
      </c>
      <c r="I436" s="33">
        <f t="shared" ref="I436:R436" si="746">SUM(I1350:I1356)-I435-I434</f>
        <v>9000</v>
      </c>
      <c r="J436" s="33">
        <f t="shared" si="746"/>
        <v>9300</v>
      </c>
      <c r="K436" s="33">
        <f t="shared" si="746"/>
        <v>9600</v>
      </c>
      <c r="L436" s="33">
        <f t="shared" si="746"/>
        <v>9900</v>
      </c>
      <c r="M436" s="33">
        <f t="shared" si="746"/>
        <v>10200</v>
      </c>
      <c r="N436" s="33">
        <f t="shared" si="746"/>
        <v>10500</v>
      </c>
      <c r="O436" s="33">
        <f t="shared" si="746"/>
        <v>10800</v>
      </c>
      <c r="P436" s="33">
        <f t="shared" si="746"/>
        <v>11100</v>
      </c>
      <c r="Q436" s="33">
        <f t="shared" si="746"/>
        <v>11400</v>
      </c>
      <c r="R436" s="114">
        <f t="shared" si="746"/>
        <v>11700</v>
      </c>
    </row>
    <row r="437" spans="1:18" x14ac:dyDescent="0.2">
      <c r="A437" s="107"/>
      <c r="B437" s="33"/>
      <c r="C437" s="187"/>
      <c r="D437" s="187"/>
      <c r="E437" s="1955"/>
      <c r="F437" s="366"/>
      <c r="G437" s="187"/>
      <c r="H437" s="138"/>
      <c r="I437" s="33"/>
      <c r="J437" s="33"/>
      <c r="K437" s="33"/>
      <c r="L437" s="33"/>
      <c r="M437" s="33"/>
      <c r="N437" s="33"/>
      <c r="O437" s="33"/>
      <c r="P437" s="33"/>
      <c r="Q437" s="33"/>
      <c r="R437" s="114"/>
    </row>
    <row r="438" spans="1:18" x14ac:dyDescent="0.2">
      <c r="A438" s="107"/>
      <c r="B438" s="33"/>
      <c r="C438" s="187"/>
      <c r="D438" s="187"/>
      <c r="E438" s="1955"/>
      <c r="F438" s="371" t="s">
        <v>167</v>
      </c>
      <c r="G438" s="187"/>
      <c r="H438" s="138"/>
      <c r="I438" s="33"/>
      <c r="J438" s="33"/>
      <c r="K438" s="33"/>
      <c r="L438" s="33"/>
      <c r="M438" s="33"/>
      <c r="N438" s="33"/>
      <c r="O438" s="33"/>
      <c r="P438" s="33"/>
      <c r="Q438" s="33"/>
      <c r="R438" s="114"/>
    </row>
    <row r="439" spans="1:18" x14ac:dyDescent="0.2">
      <c r="A439" s="107">
        <f>ROUND(SUM(A1395:A1405),-3)</f>
        <v>61000</v>
      </c>
      <c r="B439" s="33">
        <f>SUM(B1395:B1405)</f>
        <v>65200</v>
      </c>
      <c r="C439" s="187">
        <f>SUM(C1395:C1405)</f>
        <v>73100</v>
      </c>
      <c r="D439" s="187">
        <f>SUM(D1395:D1405)</f>
        <v>70400</v>
      </c>
      <c r="E439" s="1955">
        <v>32275</v>
      </c>
      <c r="F439" s="891" t="s">
        <v>4835</v>
      </c>
      <c r="G439" s="187">
        <f t="shared" ref="G439:P439" si="747">SUM(G1395:G1405)</f>
        <v>69500</v>
      </c>
      <c r="H439" s="138">
        <f>IF(D439=G439,0,IF(D439=0,100,(G439-D439)/D439*100))</f>
        <v>-1.2784090909090911</v>
      </c>
      <c r="I439" s="187">
        <f t="shared" si="747"/>
        <v>70900</v>
      </c>
      <c r="J439" s="187">
        <f t="shared" si="747"/>
        <v>73300</v>
      </c>
      <c r="K439" s="187">
        <f t="shared" si="747"/>
        <v>75700</v>
      </c>
      <c r="L439" s="187">
        <f t="shared" si="747"/>
        <v>78100</v>
      </c>
      <c r="M439" s="187">
        <f t="shared" si="747"/>
        <v>80300</v>
      </c>
      <c r="N439" s="187">
        <f t="shared" si="747"/>
        <v>82500</v>
      </c>
      <c r="O439" s="187">
        <f t="shared" si="747"/>
        <v>84700</v>
      </c>
      <c r="P439" s="33">
        <f t="shared" si="747"/>
        <v>86900</v>
      </c>
      <c r="Q439" s="33">
        <f t="shared" ref="Q439" si="748">SUM(Q1395:Q1405)</f>
        <v>89200</v>
      </c>
      <c r="R439" s="114">
        <f t="shared" ref="R439" si="749">SUM(R1395:R1405)</f>
        <v>91500</v>
      </c>
    </row>
    <row r="440" spans="1:18" x14ac:dyDescent="0.2">
      <c r="A440" s="107">
        <f>ROUND(SUM(A1406:A1407),-3)</f>
        <v>56000</v>
      </c>
      <c r="B440" s="33">
        <f>SUM(B1406:B1407)</f>
        <v>98700</v>
      </c>
      <c r="C440" s="187">
        <f>SUM(C1406:C1407)</f>
        <v>101000</v>
      </c>
      <c r="D440" s="187">
        <f>SUM(D1406:D1407)</f>
        <v>103400</v>
      </c>
      <c r="E440" s="1955">
        <v>32277</v>
      </c>
      <c r="F440" s="891" t="s">
        <v>6999</v>
      </c>
      <c r="G440" s="187">
        <f>SUM(G1406:G1407)</f>
        <v>108000</v>
      </c>
      <c r="H440" s="138">
        <f>IF(D440=G440,0,IF(D440=0,100,(G440-D440)/D440*100))</f>
        <v>4.4487427466150873</v>
      </c>
      <c r="I440" s="33">
        <f t="shared" ref="I440:Q440" si="750">SUM(I1406:I1407)</f>
        <v>109700</v>
      </c>
      <c r="J440" s="33">
        <f t="shared" si="750"/>
        <v>112500</v>
      </c>
      <c r="K440" s="33">
        <f t="shared" si="750"/>
        <v>115400</v>
      </c>
      <c r="L440" s="33">
        <f t="shared" si="750"/>
        <v>118300</v>
      </c>
      <c r="M440" s="33">
        <f t="shared" si="750"/>
        <v>120700</v>
      </c>
      <c r="N440" s="33">
        <f t="shared" si="750"/>
        <v>123200</v>
      </c>
      <c r="O440" s="33">
        <f t="shared" si="750"/>
        <v>125700</v>
      </c>
      <c r="P440" s="33">
        <f t="shared" si="750"/>
        <v>128300</v>
      </c>
      <c r="Q440" s="33">
        <f t="shared" si="750"/>
        <v>130900</v>
      </c>
      <c r="R440" s="114">
        <f t="shared" ref="R440" si="751">SUM(R1406:R1407)</f>
        <v>133600</v>
      </c>
    </row>
    <row r="441" spans="1:18" x14ac:dyDescent="0.2">
      <c r="A441" s="107">
        <f>ROUND(SUM(A1408:A1409),-3)</f>
        <v>10000</v>
      </c>
      <c r="B441" s="33">
        <f>SUM(B1408:B1409)</f>
        <v>5500</v>
      </c>
      <c r="C441" s="187">
        <f>SUM(C1408:C1409)</f>
        <v>9500</v>
      </c>
      <c r="D441" s="187">
        <f>SUM(D1408:D1409)</f>
        <v>12600</v>
      </c>
      <c r="E441" s="1955">
        <v>32277</v>
      </c>
      <c r="F441" s="366" t="s">
        <v>1730</v>
      </c>
      <c r="G441" s="187">
        <f>SUM(G1408:G1409)</f>
        <v>14000</v>
      </c>
      <c r="H441" s="138">
        <f>IF(D441=G441,0,IF(D441=0,100,(G441-D441)/D441*100))</f>
        <v>11.111111111111111</v>
      </c>
      <c r="I441" s="33">
        <f t="shared" ref="I441:Q441" si="752">SUM(I1408:I1409)</f>
        <v>14300</v>
      </c>
      <c r="J441" s="33">
        <f t="shared" si="752"/>
        <v>14800</v>
      </c>
      <c r="K441" s="33">
        <f t="shared" si="752"/>
        <v>15300</v>
      </c>
      <c r="L441" s="33">
        <f t="shared" si="752"/>
        <v>15800</v>
      </c>
      <c r="M441" s="33">
        <f t="shared" si="752"/>
        <v>16200</v>
      </c>
      <c r="N441" s="33">
        <f t="shared" si="752"/>
        <v>16600</v>
      </c>
      <c r="O441" s="33">
        <f t="shared" si="752"/>
        <v>17000</v>
      </c>
      <c r="P441" s="33">
        <f t="shared" si="752"/>
        <v>17400</v>
      </c>
      <c r="Q441" s="33">
        <f t="shared" si="752"/>
        <v>17900</v>
      </c>
      <c r="R441" s="114">
        <f t="shared" ref="R441" si="753">SUM(R1408:R1409)</f>
        <v>18400</v>
      </c>
    </row>
    <row r="442" spans="1:18" x14ac:dyDescent="0.2">
      <c r="A442" s="107">
        <f>ROUND(SUM(A1410:A1448),-3)</f>
        <v>144000</v>
      </c>
      <c r="B442" s="33">
        <f>SUM(B1410:B1448)</f>
        <v>233100</v>
      </c>
      <c r="C442" s="187">
        <f>SUM(C1410:C1448)</f>
        <v>173800</v>
      </c>
      <c r="D442" s="187">
        <f>SUM(D1410:D1448)</f>
        <v>322900</v>
      </c>
      <c r="E442" s="1955">
        <v>32279</v>
      </c>
      <c r="F442" s="891" t="s">
        <v>5989</v>
      </c>
      <c r="G442" s="187">
        <f>SUM(G1410:G1448)</f>
        <v>234500</v>
      </c>
      <c r="H442" s="138">
        <f>IF(D442=G442,0,IF(D442=0,100,(G442-D442)/D442*100))</f>
        <v>-27.376896872096623</v>
      </c>
      <c r="I442" s="33">
        <f t="shared" ref="I442:Q442" si="754">SUM(I1410:I1448)</f>
        <v>53400</v>
      </c>
      <c r="J442" s="33">
        <f t="shared" si="754"/>
        <v>55400</v>
      </c>
      <c r="K442" s="33">
        <f t="shared" si="754"/>
        <v>57400</v>
      </c>
      <c r="L442" s="33">
        <f t="shared" si="754"/>
        <v>59400</v>
      </c>
      <c r="M442" s="33">
        <f t="shared" si="754"/>
        <v>61300</v>
      </c>
      <c r="N442" s="33">
        <f t="shared" si="754"/>
        <v>63200</v>
      </c>
      <c r="O442" s="33">
        <f t="shared" si="754"/>
        <v>65100</v>
      </c>
      <c r="P442" s="33">
        <f t="shared" si="754"/>
        <v>67000</v>
      </c>
      <c r="Q442" s="33">
        <f t="shared" si="754"/>
        <v>68900</v>
      </c>
      <c r="R442" s="114">
        <f t="shared" ref="R442" si="755">SUM(R1410:R1448)</f>
        <v>70900</v>
      </c>
    </row>
    <row r="443" spans="1:18" x14ac:dyDescent="0.2">
      <c r="A443" s="107"/>
      <c r="B443" s="33"/>
      <c r="C443" s="187"/>
      <c r="D443" s="187"/>
      <c r="E443" s="1955"/>
      <c r="F443" s="366"/>
      <c r="G443" s="187"/>
      <c r="H443" s="138"/>
      <c r="I443" s="33"/>
      <c r="J443" s="33"/>
      <c r="K443" s="33"/>
      <c r="L443" s="33"/>
      <c r="M443" s="33"/>
      <c r="N443" s="33"/>
      <c r="O443" s="33"/>
      <c r="P443" s="33"/>
      <c r="Q443" s="33"/>
      <c r="R443" s="114"/>
    </row>
    <row r="444" spans="1:18" x14ac:dyDescent="0.2">
      <c r="A444" s="107"/>
      <c r="B444" s="33"/>
      <c r="C444" s="187"/>
      <c r="D444" s="187"/>
      <c r="E444" s="1955"/>
      <c r="F444" s="1110" t="s">
        <v>4623</v>
      </c>
      <c r="G444" s="187"/>
      <c r="H444" s="138"/>
      <c r="I444" s="33"/>
      <c r="J444" s="33"/>
      <c r="K444" s="33"/>
      <c r="L444" s="33"/>
      <c r="M444" s="33"/>
      <c r="N444" s="33"/>
      <c r="O444" s="33"/>
      <c r="P444" s="33"/>
      <c r="Q444" s="33"/>
      <c r="R444" s="114"/>
    </row>
    <row r="445" spans="1:18" x14ac:dyDescent="0.2">
      <c r="A445" s="107">
        <f>ROUND(SUM(A1531:A1555),-3)</f>
        <v>313000</v>
      </c>
      <c r="B445" s="33">
        <f>SUM(B1531:B1555)</f>
        <v>302200</v>
      </c>
      <c r="C445" s="187">
        <f>SUM(C1531:C1555)</f>
        <v>368400</v>
      </c>
      <c r="D445" s="187">
        <f>SUM(D1532:D1556)</f>
        <v>410400</v>
      </c>
      <c r="E445" s="1955">
        <v>32310</v>
      </c>
      <c r="F445" s="891" t="s">
        <v>4836</v>
      </c>
      <c r="G445" s="187">
        <f>SUM(G1532:G1556)</f>
        <v>387700</v>
      </c>
      <c r="H445" s="138">
        <f>IF(D445=G445,0,IF(D445=0,100,(G445-D445)/D445*100))</f>
        <v>-5.5311890838206628</v>
      </c>
      <c r="I445" s="33">
        <f t="shared" ref="I445:Q445" si="756">SUM(I1532:I1556)</f>
        <v>422200</v>
      </c>
      <c r="J445" s="33">
        <f t="shared" si="756"/>
        <v>440900</v>
      </c>
      <c r="K445" s="33">
        <f t="shared" si="756"/>
        <v>453100</v>
      </c>
      <c r="L445" s="33">
        <f t="shared" si="756"/>
        <v>465700</v>
      </c>
      <c r="M445" s="33">
        <f t="shared" si="756"/>
        <v>476600</v>
      </c>
      <c r="N445" s="33">
        <f t="shared" si="756"/>
        <v>487500</v>
      </c>
      <c r="O445" s="33">
        <f t="shared" si="756"/>
        <v>498500</v>
      </c>
      <c r="P445" s="33">
        <f t="shared" si="756"/>
        <v>509700</v>
      </c>
      <c r="Q445" s="33">
        <f t="shared" si="756"/>
        <v>521100</v>
      </c>
      <c r="R445" s="114">
        <f t="shared" ref="R445" si="757">SUM(R1532:R1556)</f>
        <v>532700</v>
      </c>
    </row>
    <row r="446" spans="1:18" x14ac:dyDescent="0.2">
      <c r="A446" s="107">
        <f>ROUND(SUM(A1477:A1487),-3)</f>
        <v>257000</v>
      </c>
      <c r="B446" s="33">
        <f>SUM(B1477:B1487)</f>
        <v>219500</v>
      </c>
      <c r="C446" s="187">
        <f>SUM(C1477:C1487)</f>
        <v>275000</v>
      </c>
      <c r="D446" s="187">
        <f>SUM(D1477:D1487)</f>
        <v>289200</v>
      </c>
      <c r="E446" s="1955">
        <v>32300</v>
      </c>
      <c r="F446" s="132" t="s">
        <v>4622</v>
      </c>
      <c r="G446" s="187">
        <f t="shared" ref="G446:O446" si="758">SUM(G1477:G1487)</f>
        <v>286400</v>
      </c>
      <c r="H446" s="138">
        <f>IF(D446=G446,0,IF(D446=0,100,(G446-D446)/D446*100))</f>
        <v>-0.9681881051175657</v>
      </c>
      <c r="I446" s="33">
        <f t="shared" si="758"/>
        <v>291000</v>
      </c>
      <c r="J446" s="33">
        <f t="shared" si="758"/>
        <v>298600</v>
      </c>
      <c r="K446" s="33">
        <f t="shared" si="758"/>
        <v>306500</v>
      </c>
      <c r="L446" s="33">
        <f t="shared" si="758"/>
        <v>314500</v>
      </c>
      <c r="M446" s="33">
        <f t="shared" si="758"/>
        <v>321200</v>
      </c>
      <c r="N446" s="33">
        <f t="shared" si="758"/>
        <v>327900</v>
      </c>
      <c r="O446" s="33">
        <f t="shared" si="758"/>
        <v>334800</v>
      </c>
      <c r="P446" s="33">
        <f t="shared" ref="P446:Q446" si="759">SUM(P1477:P1487)</f>
        <v>341800</v>
      </c>
      <c r="Q446" s="33">
        <f t="shared" si="759"/>
        <v>349000</v>
      </c>
      <c r="R446" s="114">
        <f t="shared" ref="R446" si="760">SUM(R1477:R1487)</f>
        <v>356300</v>
      </c>
    </row>
    <row r="447" spans="1:18" x14ac:dyDescent="0.2">
      <c r="A447" s="107"/>
      <c r="B447" s="33"/>
      <c r="C447" s="187"/>
      <c r="D447" s="187"/>
      <c r="E447" s="1955"/>
      <c r="F447" s="33"/>
      <c r="G447" s="187"/>
      <c r="H447" s="138"/>
      <c r="I447" s="33"/>
      <c r="J447" s="33"/>
      <c r="K447" s="33"/>
      <c r="L447" s="33"/>
      <c r="M447" s="33"/>
      <c r="N447" s="33"/>
      <c r="O447" s="33"/>
      <c r="P447" s="33"/>
      <c r="Q447" s="33"/>
      <c r="R447" s="114"/>
    </row>
    <row r="448" spans="1:18" x14ac:dyDescent="0.2">
      <c r="A448" s="107"/>
      <c r="B448" s="33"/>
      <c r="C448" s="187"/>
      <c r="D448" s="187"/>
      <c r="E448" s="1955"/>
      <c r="F448" s="64" t="str">
        <f>F101</f>
        <v>Non-Cash Expenses</v>
      </c>
      <c r="G448" s="187"/>
      <c r="H448" s="138"/>
      <c r="I448" s="33"/>
      <c r="J448" s="33"/>
      <c r="K448" s="33"/>
      <c r="L448" s="33"/>
      <c r="M448" s="33"/>
      <c r="N448" s="33"/>
      <c r="O448" s="33"/>
      <c r="P448" s="33"/>
      <c r="Q448" s="33"/>
      <c r="R448" s="114"/>
    </row>
    <row r="449" spans="1:18" x14ac:dyDescent="0.2">
      <c r="A449" s="107">
        <f>ROUND(A1492,-3)</f>
        <v>5000</v>
      </c>
      <c r="B449" s="33">
        <f>B1492</f>
        <v>7200</v>
      </c>
      <c r="C449" s="187">
        <f>C1492</f>
        <v>21300</v>
      </c>
      <c r="D449" s="187">
        <f>D1492</f>
        <v>19600</v>
      </c>
      <c r="E449" s="240">
        <v>32261</v>
      </c>
      <c r="F449" s="1111" t="s">
        <v>1664</v>
      </c>
      <c r="G449" s="187">
        <f t="shared" ref="G449:O449" si="761">G1492</f>
        <v>22000</v>
      </c>
      <c r="H449" s="138">
        <f>IF(D449=G449,0,IF(D449=0,100,(G449-D449)/D449*100))</f>
        <v>12.244897959183673</v>
      </c>
      <c r="I449" s="33">
        <f t="shared" si="761"/>
        <v>22500</v>
      </c>
      <c r="J449" s="33">
        <f t="shared" si="761"/>
        <v>23000</v>
      </c>
      <c r="K449" s="33">
        <f t="shared" si="761"/>
        <v>23500</v>
      </c>
      <c r="L449" s="33">
        <f t="shared" si="761"/>
        <v>24000</v>
      </c>
      <c r="M449" s="33">
        <f t="shared" si="761"/>
        <v>24500</v>
      </c>
      <c r="N449" s="33">
        <f t="shared" si="761"/>
        <v>25000</v>
      </c>
      <c r="O449" s="33">
        <f t="shared" si="761"/>
        <v>25500</v>
      </c>
      <c r="P449" s="33">
        <f t="shared" ref="P449:Q449" si="762">P1492</f>
        <v>26100</v>
      </c>
      <c r="Q449" s="33">
        <f t="shared" si="762"/>
        <v>26700</v>
      </c>
      <c r="R449" s="114">
        <f t="shared" ref="R449" si="763">R1492</f>
        <v>27300</v>
      </c>
    </row>
    <row r="450" spans="1:18" x14ac:dyDescent="0.2">
      <c r="A450" s="107">
        <f t="shared" ref="A450:B450" si="764">A1358</f>
        <v>0</v>
      </c>
      <c r="B450" s="33">
        <f t="shared" si="764"/>
        <v>0</v>
      </c>
      <c r="C450" s="187">
        <f>C1358</f>
        <v>0</v>
      </c>
      <c r="D450" s="187">
        <f>D1358</f>
        <v>0</v>
      </c>
      <c r="E450" s="1954"/>
      <c r="F450" s="1111" t="s">
        <v>4621</v>
      </c>
      <c r="G450" s="187">
        <f t="shared" ref="G450:O450" si="765">G1358</f>
        <v>0</v>
      </c>
      <c r="H450" s="138">
        <f>IF(D450=G450,0,IF(D450=0,100,(G450-D450)/D450*100))</f>
        <v>0</v>
      </c>
      <c r="I450" s="33">
        <f t="shared" si="765"/>
        <v>0</v>
      </c>
      <c r="J450" s="33">
        <f t="shared" si="765"/>
        <v>0</v>
      </c>
      <c r="K450" s="33">
        <f t="shared" si="765"/>
        <v>0</v>
      </c>
      <c r="L450" s="33">
        <f t="shared" si="765"/>
        <v>0</v>
      </c>
      <c r="M450" s="33">
        <f t="shared" si="765"/>
        <v>0</v>
      </c>
      <c r="N450" s="33">
        <f t="shared" si="765"/>
        <v>0</v>
      </c>
      <c r="O450" s="33">
        <f t="shared" si="765"/>
        <v>0</v>
      </c>
      <c r="P450" s="33">
        <f t="shared" ref="P450:Q450" si="766">P1358</f>
        <v>0</v>
      </c>
      <c r="Q450" s="33">
        <f t="shared" si="766"/>
        <v>0</v>
      </c>
      <c r="R450" s="114">
        <f t="shared" ref="R450" si="767">R1358</f>
        <v>0</v>
      </c>
    </row>
    <row r="451" spans="1:18" ht="13.5" thickBot="1" x14ac:dyDescent="0.25">
      <c r="A451" s="107">
        <f t="shared" ref="A451:B451" si="768">A1359</f>
        <v>0</v>
      </c>
      <c r="B451" s="33">
        <f t="shared" si="768"/>
        <v>38700</v>
      </c>
      <c r="C451" s="187">
        <f>C1359</f>
        <v>85000</v>
      </c>
      <c r="D451" s="187">
        <f>D1359</f>
        <v>0</v>
      </c>
      <c r="E451" s="1954"/>
      <c r="F451" s="601" t="s">
        <v>4542</v>
      </c>
      <c r="G451" s="187">
        <f t="shared" ref="G451:O451" si="769">G1359</f>
        <v>0</v>
      </c>
      <c r="H451" s="138">
        <f>IF(D451=G451,0,IF(D451=0,100,(G451-D451)/D451*100))</f>
        <v>0</v>
      </c>
      <c r="I451" s="33">
        <f t="shared" si="769"/>
        <v>0</v>
      </c>
      <c r="J451" s="33">
        <f t="shared" si="769"/>
        <v>0</v>
      </c>
      <c r="K451" s="33">
        <f t="shared" si="769"/>
        <v>0</v>
      </c>
      <c r="L451" s="33">
        <f t="shared" si="769"/>
        <v>0</v>
      </c>
      <c r="M451" s="33">
        <f t="shared" si="769"/>
        <v>0</v>
      </c>
      <c r="N451" s="33">
        <f t="shared" si="769"/>
        <v>0</v>
      </c>
      <c r="O451" s="33">
        <f t="shared" si="769"/>
        <v>0</v>
      </c>
      <c r="P451" s="33">
        <f t="shared" ref="P451:Q451" si="770">P1359</f>
        <v>0</v>
      </c>
      <c r="Q451" s="33">
        <f t="shared" si="770"/>
        <v>0</v>
      </c>
      <c r="R451" s="114">
        <f t="shared" ref="R451" si="771">R1359</f>
        <v>0</v>
      </c>
    </row>
    <row r="452" spans="1:18" s="92" customFormat="1" x14ac:dyDescent="0.2">
      <c r="A452" s="105">
        <f>SUM(A421:A451)</f>
        <v>3134000</v>
      </c>
      <c r="B452" s="53">
        <f>SUM(B421:B451)</f>
        <v>3301100</v>
      </c>
      <c r="C452" s="199">
        <f>SUM(C421:C451)</f>
        <v>3436700</v>
      </c>
      <c r="D452" s="199">
        <f>SUM(D421:D451)</f>
        <v>3695700</v>
      </c>
      <c r="E452" s="237"/>
      <c r="F452" s="378" t="s">
        <v>565</v>
      </c>
      <c r="G452" s="199">
        <f t="shared" ref="G452:P452" si="772">SUM(G421:G451)</f>
        <v>3913700</v>
      </c>
      <c r="H452" s="180">
        <f>IF(D452=G452,0,IF(D452=0,100,(G452-D452)/D452*100))</f>
        <v>5.8987471926833885</v>
      </c>
      <c r="I452" s="53">
        <f t="shared" si="772"/>
        <v>3694800</v>
      </c>
      <c r="J452" s="53">
        <f t="shared" si="772"/>
        <v>3798700</v>
      </c>
      <c r="K452" s="53">
        <f t="shared" si="772"/>
        <v>3898200</v>
      </c>
      <c r="L452" s="53">
        <f t="shared" si="772"/>
        <v>4000100</v>
      </c>
      <c r="M452" s="53">
        <f t="shared" si="772"/>
        <v>4086900</v>
      </c>
      <c r="N452" s="53">
        <f t="shared" si="772"/>
        <v>4175000</v>
      </c>
      <c r="O452" s="53">
        <f t="shared" si="772"/>
        <v>4264600</v>
      </c>
      <c r="P452" s="53">
        <f t="shared" si="772"/>
        <v>4355900</v>
      </c>
      <c r="Q452" s="53">
        <f t="shared" ref="Q452" si="773">SUM(Q421:Q451)</f>
        <v>4440900</v>
      </c>
      <c r="R452" s="113">
        <f t="shared" ref="R452" si="774">SUM(R421:R451)</f>
        <v>4527500</v>
      </c>
    </row>
    <row r="453" spans="1:18" x14ac:dyDescent="0.2">
      <c r="A453" s="107"/>
      <c r="B453" s="33"/>
      <c r="C453" s="187"/>
      <c r="D453" s="187"/>
      <c r="E453" s="1955"/>
      <c r="F453" s="366"/>
      <c r="G453" s="187"/>
      <c r="H453" s="138"/>
      <c r="I453" s="33"/>
      <c r="J453" s="33"/>
      <c r="K453" s="33"/>
      <c r="L453" s="33"/>
      <c r="M453" s="33"/>
      <c r="N453" s="33"/>
      <c r="O453" s="33"/>
      <c r="P453" s="33"/>
      <c r="Q453" s="33"/>
      <c r="R453" s="114"/>
    </row>
    <row r="454" spans="1:18" s="92" customFormat="1" x14ac:dyDescent="0.2">
      <c r="A454" s="70">
        <f>A419-A452</f>
        <v>-2227800</v>
      </c>
      <c r="B454" s="64">
        <f>B419-B452</f>
        <v>-2314600</v>
      </c>
      <c r="C454" s="192">
        <f>C419-C452</f>
        <v>-2473600</v>
      </c>
      <c r="D454" s="192">
        <f>D419-D452</f>
        <v>-2649400</v>
      </c>
      <c r="E454" s="237"/>
      <c r="F454" s="371" t="s">
        <v>1019</v>
      </c>
      <c r="G454" s="192">
        <f t="shared" ref="G454:P454" si="775">G419-G452</f>
        <v>-3149700</v>
      </c>
      <c r="H454" s="179">
        <f>IF(D454=G454,0,IF(D454=0,100,(G454-D454)/D454*100))</f>
        <v>18.883520797161619</v>
      </c>
      <c r="I454" s="64">
        <f t="shared" si="775"/>
        <v>-2944600</v>
      </c>
      <c r="J454" s="64">
        <f t="shared" si="775"/>
        <v>-3029000</v>
      </c>
      <c r="K454" s="64">
        <f t="shared" si="775"/>
        <v>-3108500</v>
      </c>
      <c r="L454" s="64">
        <f t="shared" si="775"/>
        <v>-3190000</v>
      </c>
      <c r="M454" s="64">
        <f t="shared" si="775"/>
        <v>-3259800</v>
      </c>
      <c r="N454" s="64">
        <f t="shared" si="775"/>
        <v>-3330600</v>
      </c>
      <c r="O454" s="64">
        <f t="shared" si="775"/>
        <v>-3402600</v>
      </c>
      <c r="P454" s="64">
        <f t="shared" si="775"/>
        <v>-3476000</v>
      </c>
      <c r="Q454" s="64">
        <f t="shared" ref="Q454" si="776">Q419-Q452</f>
        <v>-3542800</v>
      </c>
      <c r="R454" s="115">
        <f t="shared" ref="R454" si="777">R419-R452</f>
        <v>-3610800</v>
      </c>
    </row>
    <row r="455" spans="1:18" x14ac:dyDescent="0.2">
      <c r="A455" s="107">
        <f>A450+A449</f>
        <v>5000</v>
      </c>
      <c r="B455" s="33">
        <f>B450+B449</f>
        <v>7200</v>
      </c>
      <c r="C455" s="187">
        <f>C450+C449</f>
        <v>21300</v>
      </c>
      <c r="D455" s="187">
        <f>D450+D449</f>
        <v>19600</v>
      </c>
      <c r="E455" s="1955"/>
      <c r="F455" s="372" t="s">
        <v>1976</v>
      </c>
      <c r="G455" s="187">
        <f t="shared" ref="G455:P455" si="778">G450+G449</f>
        <v>22000</v>
      </c>
      <c r="H455" s="138">
        <f>IF(D455=G455,0,IF(D455=0,100,(G455-D455)/D455*100))</f>
        <v>12.244897959183673</v>
      </c>
      <c r="I455" s="187">
        <f t="shared" si="778"/>
        <v>22500</v>
      </c>
      <c r="J455" s="187">
        <f t="shared" si="778"/>
        <v>23000</v>
      </c>
      <c r="K455" s="187">
        <f t="shared" si="778"/>
        <v>23500</v>
      </c>
      <c r="L455" s="187">
        <f t="shared" si="778"/>
        <v>24000</v>
      </c>
      <c r="M455" s="187">
        <f t="shared" si="778"/>
        <v>24500</v>
      </c>
      <c r="N455" s="187">
        <f t="shared" si="778"/>
        <v>25000</v>
      </c>
      <c r="O455" s="187">
        <f t="shared" si="778"/>
        <v>25500</v>
      </c>
      <c r="P455" s="187">
        <f t="shared" si="778"/>
        <v>26100</v>
      </c>
      <c r="Q455" s="187">
        <f t="shared" ref="Q455" si="779">Q450+Q449</f>
        <v>26700</v>
      </c>
      <c r="R455" s="188">
        <f t="shared" ref="R455" si="780">R450+R449</f>
        <v>27300</v>
      </c>
    </row>
    <row r="456" spans="1:18" x14ac:dyDescent="0.2">
      <c r="A456" s="107">
        <f>A451</f>
        <v>0</v>
      </c>
      <c r="B456" s="33">
        <f>B451</f>
        <v>38700</v>
      </c>
      <c r="C456" s="187">
        <f>C451</f>
        <v>85000</v>
      </c>
      <c r="D456" s="187">
        <f>D451</f>
        <v>0</v>
      </c>
      <c r="E456" s="1955"/>
      <c r="F456" s="372" t="s">
        <v>4619</v>
      </c>
      <c r="G456" s="187">
        <f t="shared" ref="G456:P456" si="781">G451</f>
        <v>0</v>
      </c>
      <c r="H456" s="138">
        <f>IF(D456=G456,0,IF(D456=0,100,(G456-D456)/D456*100))</f>
        <v>0</v>
      </c>
      <c r="I456" s="187">
        <f t="shared" si="781"/>
        <v>0</v>
      </c>
      <c r="J456" s="187">
        <f t="shared" si="781"/>
        <v>0</v>
      </c>
      <c r="K456" s="187">
        <f t="shared" si="781"/>
        <v>0</v>
      </c>
      <c r="L456" s="187">
        <f t="shared" si="781"/>
        <v>0</v>
      </c>
      <c r="M456" s="187">
        <f t="shared" si="781"/>
        <v>0</v>
      </c>
      <c r="N456" s="187">
        <f t="shared" si="781"/>
        <v>0</v>
      </c>
      <c r="O456" s="187">
        <f t="shared" si="781"/>
        <v>0</v>
      </c>
      <c r="P456" s="187">
        <f t="shared" si="781"/>
        <v>0</v>
      </c>
      <c r="Q456" s="187">
        <f t="shared" ref="Q456" si="782">Q451</f>
        <v>0</v>
      </c>
      <c r="R456" s="188">
        <f t="shared" ref="R456" si="783">R451</f>
        <v>0</v>
      </c>
    </row>
    <row r="457" spans="1:18" s="92" customFormat="1" x14ac:dyDescent="0.2">
      <c r="A457" s="181">
        <f t="shared" ref="A457:B457" si="784">A454+A455+A456</f>
        <v>-2222800</v>
      </c>
      <c r="B457" s="397">
        <f t="shared" si="784"/>
        <v>-2268700</v>
      </c>
      <c r="C457" s="728">
        <f>C454+C455+C456</f>
        <v>-2367300</v>
      </c>
      <c r="D457" s="728">
        <f>D454+D455+D456</f>
        <v>-2629800</v>
      </c>
      <c r="E457" s="523"/>
      <c r="F457" s="518" t="s">
        <v>1687</v>
      </c>
      <c r="G457" s="728">
        <f t="shared" ref="G457:O457" si="785">G454+G455+G456</f>
        <v>-3127700</v>
      </c>
      <c r="H457" s="395">
        <f>IF(D457=G457,0,IF(D457=0,100,(G457-D457)/D457*100))</f>
        <v>18.932998707126018</v>
      </c>
      <c r="I457" s="728">
        <f t="shared" si="785"/>
        <v>-2922100</v>
      </c>
      <c r="J457" s="728">
        <f t="shared" si="785"/>
        <v>-3006000</v>
      </c>
      <c r="K457" s="728">
        <f t="shared" si="785"/>
        <v>-3085000</v>
      </c>
      <c r="L457" s="728">
        <f t="shared" si="785"/>
        <v>-3166000</v>
      </c>
      <c r="M457" s="728">
        <f t="shared" si="785"/>
        <v>-3235300</v>
      </c>
      <c r="N457" s="728">
        <f t="shared" si="785"/>
        <v>-3305600</v>
      </c>
      <c r="O457" s="728">
        <f t="shared" si="785"/>
        <v>-3377100</v>
      </c>
      <c r="P457" s="728">
        <f t="shared" ref="P457:Q457" si="786">P454+P455+P456</f>
        <v>-3449900</v>
      </c>
      <c r="Q457" s="728">
        <f t="shared" si="786"/>
        <v>-3516100</v>
      </c>
      <c r="R457" s="1716">
        <f t="shared" ref="R457" si="787">R454+R455+R456</f>
        <v>-3583500</v>
      </c>
    </row>
    <row r="458" spans="1:18" ht="13.5" thickBot="1" x14ac:dyDescent="0.25">
      <c r="A458" s="751"/>
      <c r="B458" s="64"/>
      <c r="C458" s="192"/>
      <c r="D458" s="192"/>
      <c r="E458" s="1954"/>
      <c r="F458" s="175"/>
      <c r="G458" s="192"/>
      <c r="H458" s="179"/>
      <c r="I458" s="33"/>
      <c r="J458" s="33"/>
      <c r="K458" s="33"/>
      <c r="L458" s="33"/>
      <c r="M458" s="33"/>
      <c r="N458" s="33"/>
      <c r="O458" s="33"/>
      <c r="P458" s="33"/>
      <c r="Q458" s="33"/>
      <c r="R458" s="114"/>
    </row>
    <row r="459" spans="1:18" ht="13.5" thickTop="1" x14ac:dyDescent="0.2">
      <c r="A459" s="383"/>
      <c r="B459" s="162"/>
      <c r="C459" s="730"/>
      <c r="D459" s="730"/>
      <c r="E459" s="541"/>
      <c r="F459" s="367"/>
      <c r="G459" s="730"/>
      <c r="H459" s="505"/>
      <c r="I459" s="127"/>
      <c r="J459" s="127"/>
      <c r="K459" s="127"/>
      <c r="L459" s="127"/>
      <c r="M459" s="127"/>
      <c r="N459" s="127"/>
      <c r="O459" s="127"/>
      <c r="P459" s="127"/>
      <c r="Q459" s="127"/>
      <c r="R459" s="163"/>
    </row>
    <row r="460" spans="1:18" x14ac:dyDescent="0.2">
      <c r="A460" s="70"/>
      <c r="B460" s="64"/>
      <c r="C460" s="192"/>
      <c r="D460" s="192"/>
      <c r="E460" s="238"/>
      <c r="F460" s="516" t="s">
        <v>196</v>
      </c>
      <c r="G460" s="192"/>
      <c r="H460" s="179"/>
      <c r="I460" s="33"/>
      <c r="J460" s="33"/>
      <c r="K460" s="33"/>
      <c r="L460" s="33"/>
      <c r="M460" s="33"/>
      <c r="N460" s="33"/>
      <c r="O460" s="33"/>
      <c r="P460" s="33"/>
      <c r="Q460" s="33"/>
      <c r="R460" s="114"/>
    </row>
    <row r="461" spans="1:18" x14ac:dyDescent="0.2">
      <c r="A461" s="107">
        <f>ROUND(A1369+A1567+A1503+A1457,-3)</f>
        <v>0</v>
      </c>
      <c r="B461" s="33">
        <f t="shared" ref="B461:D465" si="788">B1369+B1567+B1503+B1457</f>
        <v>0</v>
      </c>
      <c r="C461" s="187">
        <f t="shared" si="788"/>
        <v>0</v>
      </c>
      <c r="D461" s="187">
        <f t="shared" si="788"/>
        <v>0</v>
      </c>
      <c r="E461" s="238"/>
      <c r="F461" s="366" t="s">
        <v>2900</v>
      </c>
      <c r="G461" s="187">
        <f>G1369+G1567+G1503+G1457</f>
        <v>0</v>
      </c>
      <c r="H461" s="138"/>
      <c r="I461" s="33">
        <f t="shared" ref="I461:Q461" si="789">I1369+I1567+I1503+I1457</f>
        <v>0</v>
      </c>
      <c r="J461" s="33">
        <f t="shared" si="789"/>
        <v>0</v>
      </c>
      <c r="K461" s="33">
        <f t="shared" si="789"/>
        <v>0</v>
      </c>
      <c r="L461" s="33">
        <f t="shared" si="789"/>
        <v>0</v>
      </c>
      <c r="M461" s="33">
        <f t="shared" si="789"/>
        <v>0</v>
      </c>
      <c r="N461" s="33">
        <f t="shared" si="789"/>
        <v>0</v>
      </c>
      <c r="O461" s="33">
        <f t="shared" si="789"/>
        <v>0</v>
      </c>
      <c r="P461" s="33">
        <f t="shared" si="789"/>
        <v>0</v>
      </c>
      <c r="Q461" s="33">
        <f t="shared" si="789"/>
        <v>0</v>
      </c>
      <c r="R461" s="114">
        <f t="shared" ref="R461" si="790">R1369+R1567+R1503+R1457</f>
        <v>0</v>
      </c>
    </row>
    <row r="462" spans="1:18" x14ac:dyDescent="0.2">
      <c r="A462" s="107">
        <f>ROUND(A1370+A1568+A1504+A1458,-3)</f>
        <v>734000</v>
      </c>
      <c r="B462" s="33">
        <f t="shared" si="788"/>
        <v>2182900</v>
      </c>
      <c r="C462" s="187">
        <f t="shared" si="788"/>
        <v>5876900</v>
      </c>
      <c r="D462" s="187">
        <f t="shared" si="788"/>
        <v>2174000</v>
      </c>
      <c r="E462" s="238"/>
      <c r="F462" s="366" t="s">
        <v>1942</v>
      </c>
      <c r="G462" s="187">
        <f>G1370+G1568+G1504+G1458</f>
        <v>113600</v>
      </c>
      <c r="H462" s="138"/>
      <c r="I462" s="33">
        <f t="shared" ref="I462:Q462" si="791">I1370+I1568+I1504+I1458</f>
        <v>115000</v>
      </c>
      <c r="J462" s="33">
        <f t="shared" si="791"/>
        <v>117600</v>
      </c>
      <c r="K462" s="33">
        <f t="shared" si="791"/>
        <v>120200</v>
      </c>
      <c r="L462" s="33">
        <f t="shared" si="791"/>
        <v>122900</v>
      </c>
      <c r="M462" s="33">
        <f t="shared" si="791"/>
        <v>125000</v>
      </c>
      <c r="N462" s="33">
        <f t="shared" si="791"/>
        <v>127300</v>
      </c>
      <c r="O462" s="33">
        <f t="shared" si="791"/>
        <v>129600</v>
      </c>
      <c r="P462" s="33">
        <f t="shared" si="791"/>
        <v>131900</v>
      </c>
      <c r="Q462" s="33">
        <f t="shared" si="791"/>
        <v>134200</v>
      </c>
      <c r="R462" s="114">
        <f t="shared" ref="R462" si="792">R1370+R1568+R1504+R1458</f>
        <v>136600</v>
      </c>
    </row>
    <row r="463" spans="1:18" x14ac:dyDescent="0.2">
      <c r="A463" s="107">
        <f>ROUND(A1371+A1569+A1505+A1459,-3)</f>
        <v>1578000</v>
      </c>
      <c r="B463" s="33">
        <f t="shared" si="788"/>
        <v>818300</v>
      </c>
      <c r="C463" s="187">
        <f t="shared" si="788"/>
        <v>5807100</v>
      </c>
      <c r="D463" s="187">
        <f t="shared" si="788"/>
        <v>4743300</v>
      </c>
      <c r="E463" s="238"/>
      <c r="F463" s="366" t="s">
        <v>2348</v>
      </c>
      <c r="G463" s="187">
        <f>G1371+G1569+G1505+G1459</f>
        <v>4588000</v>
      </c>
      <c r="H463" s="138"/>
      <c r="I463" s="33">
        <f t="shared" ref="I463:Q463" si="793">I1371+I1569+I1505+I1459</f>
        <v>1350000</v>
      </c>
      <c r="J463" s="33">
        <f t="shared" si="793"/>
        <v>850000</v>
      </c>
      <c r="K463" s="33">
        <f t="shared" si="793"/>
        <v>800000</v>
      </c>
      <c r="L463" s="33">
        <f t="shared" si="793"/>
        <v>950000</v>
      </c>
      <c r="M463" s="33">
        <f t="shared" si="793"/>
        <v>50000</v>
      </c>
      <c r="N463" s="33">
        <f t="shared" si="793"/>
        <v>50000</v>
      </c>
      <c r="O463" s="33">
        <f t="shared" si="793"/>
        <v>50000</v>
      </c>
      <c r="P463" s="33">
        <f t="shared" si="793"/>
        <v>50000</v>
      </c>
      <c r="Q463" s="33">
        <f t="shared" si="793"/>
        <v>50000</v>
      </c>
      <c r="R463" s="114">
        <f t="shared" ref="R463" si="794">R1371+R1569+R1505+R1459</f>
        <v>50000</v>
      </c>
    </row>
    <row r="464" spans="1:18" x14ac:dyDescent="0.2">
      <c r="A464" s="107">
        <f>ROUND(A1372+A1570+A1506+A1460,-3)</f>
        <v>1000000</v>
      </c>
      <c r="B464" s="33">
        <f t="shared" si="788"/>
        <v>1521000</v>
      </c>
      <c r="C464" s="187">
        <f t="shared" si="788"/>
        <v>25000</v>
      </c>
      <c r="D464" s="187">
        <f t="shared" si="788"/>
        <v>0</v>
      </c>
      <c r="E464" s="238"/>
      <c r="F464" s="366" t="s">
        <v>5984</v>
      </c>
      <c r="G464" s="187">
        <f>G1372+G1570+G1506+G1460</f>
        <v>80000</v>
      </c>
      <c r="H464" s="138"/>
      <c r="I464" s="33">
        <f t="shared" ref="I464:Q464" si="795">I1372+I1570+I1506+I1460</f>
        <v>0</v>
      </c>
      <c r="J464" s="33">
        <f t="shared" si="795"/>
        <v>0</v>
      </c>
      <c r="K464" s="33">
        <f t="shared" si="795"/>
        <v>0</v>
      </c>
      <c r="L464" s="33">
        <f t="shared" si="795"/>
        <v>0</v>
      </c>
      <c r="M464" s="33">
        <f t="shared" si="795"/>
        <v>0</v>
      </c>
      <c r="N464" s="33">
        <f t="shared" si="795"/>
        <v>0</v>
      </c>
      <c r="O464" s="33">
        <f t="shared" si="795"/>
        <v>0</v>
      </c>
      <c r="P464" s="33">
        <f t="shared" si="795"/>
        <v>0</v>
      </c>
      <c r="Q464" s="33">
        <f t="shared" si="795"/>
        <v>0</v>
      </c>
      <c r="R464" s="114">
        <f t="shared" ref="R464" si="796">R1372+R1570+R1506+R1460</f>
        <v>0</v>
      </c>
    </row>
    <row r="465" spans="1:18" x14ac:dyDescent="0.2">
      <c r="A465" s="107">
        <f>ROUND(A1373+A1571+A1507+A1461,-3)</f>
        <v>2315000</v>
      </c>
      <c r="B465" s="33">
        <f t="shared" si="788"/>
        <v>609000</v>
      </c>
      <c r="C465" s="187">
        <f t="shared" si="788"/>
        <v>606600</v>
      </c>
      <c r="D465" s="187">
        <f t="shared" si="788"/>
        <v>3156200</v>
      </c>
      <c r="E465" s="238"/>
      <c r="F465" s="366" t="s">
        <v>972</v>
      </c>
      <c r="G465" s="187">
        <f>G1373+G1571+G1507+G1461</f>
        <v>4697500</v>
      </c>
      <c r="H465" s="138"/>
      <c r="I465" s="33">
        <f t="shared" ref="I465:Q465" si="797">I1373+I1571+I1507+I1461</f>
        <v>1661000</v>
      </c>
      <c r="J465" s="33">
        <f t="shared" si="797"/>
        <v>1446000</v>
      </c>
      <c r="K465" s="33">
        <f t="shared" si="797"/>
        <v>1621000</v>
      </c>
      <c r="L465" s="33">
        <f t="shared" si="797"/>
        <v>2044000</v>
      </c>
      <c r="M465" s="33">
        <f t="shared" si="797"/>
        <v>1167000</v>
      </c>
      <c r="N465" s="33">
        <f t="shared" si="797"/>
        <v>1191000</v>
      </c>
      <c r="O465" s="33">
        <f t="shared" si="797"/>
        <v>1215000</v>
      </c>
      <c r="P465" s="33">
        <f t="shared" si="797"/>
        <v>1239000</v>
      </c>
      <c r="Q465" s="33">
        <f t="shared" si="797"/>
        <v>1264000</v>
      </c>
      <c r="R465" s="114">
        <f t="shared" ref="R465" si="798">R1373+R1571+R1507+R1461</f>
        <v>1289000</v>
      </c>
    </row>
    <row r="466" spans="1:18" s="92" customFormat="1" x14ac:dyDescent="0.2">
      <c r="A466" s="181">
        <f>A457-A461-A462+A463++A464-A465</f>
        <v>-2693800</v>
      </c>
      <c r="B466" s="397">
        <f>B457-B461-B462+B463++B464-B465</f>
        <v>-2721300</v>
      </c>
      <c r="C466" s="728">
        <f>C457-C461-C462+C463++C464-C465</f>
        <v>-3018700</v>
      </c>
      <c r="D466" s="728">
        <f>D457-D461-D462+D463++D464-D465</f>
        <v>-3216700</v>
      </c>
      <c r="E466" s="526"/>
      <c r="F466" s="518" t="s">
        <v>2490</v>
      </c>
      <c r="G466" s="728">
        <f t="shared" ref="G466:P466" si="799">G457-G461-G462+G463++G464-G465</f>
        <v>-3270800</v>
      </c>
      <c r="H466" s="395">
        <f>IF(D466=G466,0,IF(D466=0,100,(G466-D466)/D466*100))</f>
        <v>1.6818478564988963</v>
      </c>
      <c r="I466" s="397">
        <f t="shared" si="799"/>
        <v>-3348100</v>
      </c>
      <c r="J466" s="397">
        <f t="shared" si="799"/>
        <v>-3719600</v>
      </c>
      <c r="K466" s="397">
        <f t="shared" si="799"/>
        <v>-4026200</v>
      </c>
      <c r="L466" s="397">
        <f t="shared" si="799"/>
        <v>-4382900</v>
      </c>
      <c r="M466" s="397">
        <f t="shared" si="799"/>
        <v>-4477300</v>
      </c>
      <c r="N466" s="397">
        <f t="shared" si="799"/>
        <v>-4573900</v>
      </c>
      <c r="O466" s="397">
        <f t="shared" si="799"/>
        <v>-4671700</v>
      </c>
      <c r="P466" s="397">
        <f t="shared" si="799"/>
        <v>-4770800</v>
      </c>
      <c r="Q466" s="397">
        <f t="shared" ref="Q466" si="800">Q457-Q461-Q462+Q463++Q464-Q465</f>
        <v>-4864300</v>
      </c>
      <c r="R466" s="399">
        <f t="shared" ref="R466" si="801">R457-R461-R462+R463++R464-R465</f>
        <v>-4959100</v>
      </c>
    </row>
    <row r="467" spans="1:18" ht="13.5" thickBot="1" x14ac:dyDescent="0.25">
      <c r="A467" s="73"/>
      <c r="B467" s="90"/>
      <c r="C467" s="200"/>
      <c r="D467" s="200"/>
      <c r="E467" s="575"/>
      <c r="F467" s="368"/>
      <c r="G467" s="200"/>
      <c r="H467" s="392"/>
      <c r="I467" s="66"/>
      <c r="J467" s="66"/>
      <c r="K467" s="66"/>
      <c r="L467" s="66"/>
      <c r="M467" s="66"/>
      <c r="N467" s="66"/>
      <c r="O467" s="66"/>
      <c r="P467" s="66"/>
      <c r="Q467" s="66"/>
      <c r="R467" s="165"/>
    </row>
    <row r="468" spans="1:18" ht="14.25" thickTop="1" thickBot="1" x14ac:dyDescent="0.25">
      <c r="A468" s="74"/>
      <c r="B468" s="74"/>
      <c r="C468" s="197"/>
      <c r="D468" s="197"/>
      <c r="E468" s="238"/>
      <c r="F468" s="137"/>
      <c r="G468" s="197"/>
      <c r="H468" s="2507"/>
    </row>
    <row r="469" spans="1:18" s="91" customFormat="1" ht="18.75" customHeight="1" thickTop="1" thickBot="1" x14ac:dyDescent="0.3">
      <c r="A469" s="2865" t="s">
        <v>2682</v>
      </c>
      <c r="B469" s="2866"/>
      <c r="C469" s="2866"/>
      <c r="D469" s="2866"/>
      <c r="E469" s="2866"/>
      <c r="F469" s="2866"/>
      <c r="G469" s="2866"/>
      <c r="H469" s="2866"/>
      <c r="I469" s="2866"/>
      <c r="J469" s="2866"/>
      <c r="K469" s="2866"/>
      <c r="L469" s="2866"/>
      <c r="M469" s="2866"/>
      <c r="N469" s="2866"/>
      <c r="O469" s="2866"/>
      <c r="P469" s="2866"/>
      <c r="Q469" s="2866"/>
      <c r="R469" s="2867"/>
    </row>
    <row r="470" spans="1:18" s="44" customFormat="1" x14ac:dyDescent="0.2">
      <c r="A470" s="2848" t="s">
        <v>1856</v>
      </c>
      <c r="B470" s="2840"/>
      <c r="C470" s="2840"/>
      <c r="D470" s="2849"/>
      <c r="E470" s="369" t="s">
        <v>2663</v>
      </c>
      <c r="F470" s="2649" t="s">
        <v>2251</v>
      </c>
      <c r="G470" s="2885" t="s">
        <v>2253</v>
      </c>
      <c r="H470" s="2886"/>
      <c r="I470" s="2886"/>
      <c r="J470" s="2886"/>
      <c r="K470" s="2886"/>
      <c r="L470" s="2886"/>
      <c r="M470" s="2886"/>
      <c r="N470" s="2886"/>
      <c r="O470" s="2886"/>
      <c r="P470" s="2886"/>
      <c r="Q470" s="2886"/>
      <c r="R470" s="2887"/>
    </row>
    <row r="471" spans="1:18" s="23" customFormat="1" ht="12.75" customHeight="1" thickBot="1" x14ac:dyDescent="0.25">
      <c r="A471" s="208" t="str">
        <f>A3</f>
        <v>2012/13</v>
      </c>
      <c r="B471" s="75" t="str">
        <f>B3</f>
        <v>2013/14</v>
      </c>
      <c r="C471" s="370" t="str">
        <f>C3</f>
        <v>2014/15</v>
      </c>
      <c r="D471" s="93" t="str">
        <f>D3</f>
        <v>2015/16</v>
      </c>
      <c r="E471" s="370" t="s">
        <v>2664</v>
      </c>
      <c r="F471" s="42"/>
      <c r="G471" s="2513" t="str">
        <f>G3</f>
        <v>2016/17</v>
      </c>
      <c r="H471" s="2193" t="str">
        <f>H185</f>
        <v xml:space="preserve">% </v>
      </c>
      <c r="I471" s="370" t="str">
        <f t="shared" ref="I471:Q471" si="802">I3</f>
        <v>2017/18</v>
      </c>
      <c r="J471" s="370" t="str">
        <f t="shared" si="802"/>
        <v>2018/19</v>
      </c>
      <c r="K471" s="370" t="str">
        <f t="shared" si="802"/>
        <v>2019/20</v>
      </c>
      <c r="L471" s="370" t="str">
        <f t="shared" si="802"/>
        <v>2020/21</v>
      </c>
      <c r="M471" s="370" t="str">
        <f t="shared" si="802"/>
        <v>2021/22</v>
      </c>
      <c r="N471" s="370" t="str">
        <f t="shared" si="802"/>
        <v>2022/23</v>
      </c>
      <c r="O471" s="370" t="str">
        <f t="shared" si="802"/>
        <v>2023/24</v>
      </c>
      <c r="P471" s="370" t="str">
        <f t="shared" si="802"/>
        <v>2024/25</v>
      </c>
      <c r="Q471" s="218" t="str">
        <f t="shared" si="802"/>
        <v>2025/26</v>
      </c>
      <c r="R471" s="549" t="str">
        <f t="shared" ref="R471" si="803">R3</f>
        <v>2026/27</v>
      </c>
    </row>
    <row r="472" spans="1:18" x14ac:dyDescent="0.2">
      <c r="A472" s="612"/>
      <c r="B472" s="179"/>
      <c r="C472" s="1990"/>
      <c r="D472" s="1990"/>
      <c r="E472" s="237"/>
      <c r="F472" s="169"/>
      <c r="G472" s="2646"/>
      <c r="H472" s="179"/>
      <c r="I472" s="33"/>
      <c r="J472" s="33"/>
      <c r="K472" s="33"/>
      <c r="L472" s="33"/>
      <c r="M472" s="33"/>
      <c r="N472" s="33"/>
      <c r="O472" s="33"/>
      <c r="P472" s="33"/>
      <c r="Q472" s="33"/>
      <c r="R472" s="114"/>
    </row>
    <row r="473" spans="1:18" x14ac:dyDescent="0.2">
      <c r="A473" s="98"/>
      <c r="B473" s="33"/>
      <c r="D473" s="187"/>
      <c r="E473" s="1954"/>
      <c r="F473" s="365" t="s">
        <v>1073</v>
      </c>
      <c r="G473" s="198"/>
      <c r="H473" s="138"/>
      <c r="I473" s="33"/>
      <c r="J473" s="33"/>
      <c r="K473" s="33"/>
      <c r="L473" s="33"/>
      <c r="M473" s="33"/>
      <c r="N473" s="33"/>
      <c r="O473" s="33"/>
      <c r="P473" s="33"/>
      <c r="Q473" s="33"/>
      <c r="R473" s="114"/>
    </row>
    <row r="474" spans="1:18" x14ac:dyDescent="0.2">
      <c r="A474" s="98"/>
      <c r="B474" s="33"/>
      <c r="D474" s="187"/>
      <c r="E474" s="1954"/>
      <c r="F474" s="365"/>
      <c r="G474" s="198"/>
      <c r="H474" s="138"/>
      <c r="I474" s="33"/>
      <c r="J474" s="33"/>
      <c r="K474" s="33"/>
      <c r="L474" s="33"/>
      <c r="M474" s="33"/>
      <c r="N474" s="33"/>
      <c r="O474" s="33"/>
      <c r="P474" s="33"/>
      <c r="Q474" s="33"/>
      <c r="R474" s="114"/>
    </row>
    <row r="475" spans="1:18" x14ac:dyDescent="0.2">
      <c r="A475" s="98"/>
      <c r="B475" s="33"/>
      <c r="E475" s="1954"/>
      <c r="F475" s="64" t="s">
        <v>2308</v>
      </c>
      <c r="G475" s="198"/>
      <c r="H475" s="138"/>
      <c r="I475" s="33"/>
      <c r="J475" s="33"/>
      <c r="K475" s="33"/>
      <c r="L475" s="33"/>
      <c r="M475" s="33"/>
      <c r="N475" s="33"/>
      <c r="O475" s="33"/>
      <c r="P475" s="33"/>
      <c r="Q475" s="33"/>
      <c r="R475" s="114"/>
    </row>
    <row r="476" spans="1:18" x14ac:dyDescent="0.2">
      <c r="A476" s="107">
        <f t="shared" ref="A476:B476" si="804">A1585</f>
        <v>141300</v>
      </c>
      <c r="B476" s="33">
        <f t="shared" si="804"/>
        <v>145700</v>
      </c>
      <c r="C476" s="189">
        <f>C1585</f>
        <v>156200</v>
      </c>
      <c r="D476" s="189">
        <f>D1585</f>
        <v>164500</v>
      </c>
      <c r="E476" s="1954">
        <v>22260</v>
      </c>
      <c r="F476" s="891" t="s">
        <v>4489</v>
      </c>
      <c r="G476" s="198">
        <f t="shared" ref="G476:O476" si="805">G1585</f>
        <v>178000</v>
      </c>
      <c r="H476" s="138">
        <f>IF(D476=G476,0,IF(D476=0,100,(G476-D476)/D476*100))</f>
        <v>8.2066869300911858</v>
      </c>
      <c r="I476" s="33">
        <f t="shared" si="805"/>
        <v>180700</v>
      </c>
      <c r="J476" s="33">
        <f t="shared" si="805"/>
        <v>185300</v>
      </c>
      <c r="K476" s="33">
        <f t="shared" si="805"/>
        <v>190000</v>
      </c>
      <c r="L476" s="33">
        <f t="shared" si="805"/>
        <v>194800</v>
      </c>
      <c r="M476" s="33">
        <f t="shared" si="805"/>
        <v>198700</v>
      </c>
      <c r="N476" s="33">
        <f t="shared" si="805"/>
        <v>202700</v>
      </c>
      <c r="O476" s="33">
        <f t="shared" si="805"/>
        <v>206800</v>
      </c>
      <c r="P476" s="33">
        <f t="shared" ref="P476:Q476" si="806">P1585</f>
        <v>211000</v>
      </c>
      <c r="Q476" s="33">
        <f t="shared" si="806"/>
        <v>215300</v>
      </c>
      <c r="R476" s="114">
        <f t="shared" ref="R476" si="807">R1585</f>
        <v>219700</v>
      </c>
    </row>
    <row r="477" spans="1:18" x14ac:dyDescent="0.2">
      <c r="A477" s="107"/>
      <c r="B477" s="33"/>
      <c r="E477" s="1954"/>
      <c r="F477" s="891"/>
      <c r="G477" s="198"/>
      <c r="H477" s="138"/>
      <c r="I477" s="33"/>
      <c r="J477" s="33"/>
      <c r="K477" s="33"/>
      <c r="L477" s="33"/>
      <c r="M477" s="33"/>
      <c r="N477" s="33"/>
      <c r="O477" s="33"/>
      <c r="P477" s="33"/>
      <c r="Q477" s="33"/>
      <c r="R477" s="114"/>
    </row>
    <row r="478" spans="1:18" x14ac:dyDescent="0.2">
      <c r="A478" s="107"/>
      <c r="B478" s="33"/>
      <c r="E478" s="1954"/>
      <c r="F478" s="116" t="s">
        <v>687</v>
      </c>
      <c r="G478" s="198"/>
      <c r="H478" s="138"/>
      <c r="I478" s="33"/>
      <c r="J478" s="33"/>
      <c r="K478" s="33"/>
      <c r="L478" s="33"/>
      <c r="M478" s="33"/>
      <c r="N478" s="33"/>
      <c r="O478" s="33"/>
      <c r="P478" s="33"/>
      <c r="Q478" s="33"/>
      <c r="R478" s="114"/>
    </row>
    <row r="479" spans="1:18" x14ac:dyDescent="0.2">
      <c r="A479" s="107">
        <f>A1583</f>
        <v>43800</v>
      </c>
      <c r="B479" s="33">
        <f>B1583</f>
        <v>48300</v>
      </c>
      <c r="C479" s="189">
        <f t="shared" ref="C479" si="808">C1583</f>
        <v>44000</v>
      </c>
      <c r="D479" s="189">
        <f>D1583</f>
        <v>46100</v>
      </c>
      <c r="E479" s="1954">
        <v>22260</v>
      </c>
      <c r="F479" s="891" t="s">
        <v>4537</v>
      </c>
      <c r="G479" s="198">
        <f t="shared" ref="G479:O479" si="809">G1583</f>
        <v>55000</v>
      </c>
      <c r="H479" s="138">
        <f>IF(D479=G479,0,IF(D479=0,100,(G479-D479)/D479*100))</f>
        <v>19.305856832971802</v>
      </c>
      <c r="I479" s="33">
        <f t="shared" si="809"/>
        <v>55900</v>
      </c>
      <c r="J479" s="33">
        <f t="shared" si="809"/>
        <v>57300</v>
      </c>
      <c r="K479" s="33">
        <f t="shared" si="809"/>
        <v>58800</v>
      </c>
      <c r="L479" s="33">
        <f t="shared" si="809"/>
        <v>60300</v>
      </c>
      <c r="M479" s="33">
        <f t="shared" si="809"/>
        <v>61600</v>
      </c>
      <c r="N479" s="33">
        <f t="shared" si="809"/>
        <v>62900</v>
      </c>
      <c r="O479" s="33">
        <f t="shared" si="809"/>
        <v>64200</v>
      </c>
      <c r="P479" s="33">
        <f t="shared" ref="P479:Q479" si="810">P1583</f>
        <v>65500</v>
      </c>
      <c r="Q479" s="33">
        <f t="shared" si="810"/>
        <v>66900</v>
      </c>
      <c r="R479" s="114">
        <f t="shared" ref="R479" si="811">R1583</f>
        <v>68300</v>
      </c>
    </row>
    <row r="480" spans="1:18" x14ac:dyDescent="0.2">
      <c r="A480" s="107"/>
      <c r="B480" s="33"/>
      <c r="E480" s="1954"/>
      <c r="F480" s="891"/>
      <c r="G480" s="198"/>
      <c r="H480" s="138"/>
      <c r="I480" s="33"/>
      <c r="J480" s="33"/>
      <c r="K480" s="33"/>
      <c r="L480" s="33"/>
      <c r="M480" s="33"/>
      <c r="N480" s="33"/>
      <c r="O480" s="33"/>
      <c r="P480" s="33"/>
      <c r="Q480" s="33"/>
      <c r="R480" s="114"/>
    </row>
    <row r="481" spans="1:18" x14ac:dyDescent="0.2">
      <c r="A481" s="107"/>
      <c r="B481" s="33"/>
      <c r="E481" s="1954"/>
      <c r="F481" s="116" t="s">
        <v>345</v>
      </c>
      <c r="G481" s="198"/>
      <c r="H481" s="138"/>
      <c r="I481" s="33"/>
      <c r="J481" s="33"/>
      <c r="K481" s="33"/>
      <c r="L481" s="33"/>
      <c r="M481" s="33"/>
      <c r="N481" s="33"/>
      <c r="O481" s="33"/>
      <c r="P481" s="33"/>
      <c r="Q481" s="33"/>
      <c r="R481" s="114"/>
    </row>
    <row r="482" spans="1:18" x14ac:dyDescent="0.2">
      <c r="A482" s="107">
        <f>A1587</f>
        <v>20300</v>
      </c>
      <c r="B482" s="33">
        <f>B1587</f>
        <v>19600</v>
      </c>
      <c r="C482" s="189">
        <f>C1587</f>
        <v>20300</v>
      </c>
      <c r="D482" s="189">
        <f>D1587</f>
        <v>17000</v>
      </c>
      <c r="E482" s="1954">
        <v>22260</v>
      </c>
      <c r="F482" s="132" t="s">
        <v>345</v>
      </c>
      <c r="G482" s="198">
        <f t="shared" ref="G482:O482" si="812">G1587</f>
        <v>3000</v>
      </c>
      <c r="H482" s="138">
        <f>IF(D482=G482,0,IF(D482=0,100,(G482-D482)/D482*100))</f>
        <v>-82.35294117647058</v>
      </c>
      <c r="I482" s="33">
        <f t="shared" si="812"/>
        <v>1000</v>
      </c>
      <c r="J482" s="33">
        <f t="shared" si="812"/>
        <v>7000</v>
      </c>
      <c r="K482" s="33">
        <f t="shared" si="812"/>
        <v>8000</v>
      </c>
      <c r="L482" s="33">
        <f t="shared" si="812"/>
        <v>23000</v>
      </c>
      <c r="M482" s="33">
        <f t="shared" si="812"/>
        <v>18000</v>
      </c>
      <c r="N482" s="33">
        <f t="shared" si="812"/>
        <v>24000</v>
      </c>
      <c r="O482" s="33">
        <f t="shared" si="812"/>
        <v>21000</v>
      </c>
      <c r="P482" s="33">
        <f t="shared" ref="P482:Q482" si="813">P1587</f>
        <v>21000</v>
      </c>
      <c r="Q482" s="33">
        <f t="shared" si="813"/>
        <v>-8000</v>
      </c>
      <c r="R482" s="114">
        <f t="shared" ref="R482" si="814">R1587</f>
        <v>13000</v>
      </c>
    </row>
    <row r="483" spans="1:18" x14ac:dyDescent="0.2">
      <c r="A483" s="107"/>
      <c r="B483" s="33"/>
      <c r="E483" s="1954"/>
      <c r="F483" s="132"/>
      <c r="G483" s="198"/>
      <c r="H483" s="138"/>
      <c r="I483" s="33"/>
      <c r="J483" s="33"/>
      <c r="K483" s="33"/>
      <c r="L483" s="33"/>
      <c r="M483" s="33"/>
      <c r="N483" s="33"/>
      <c r="O483" s="33"/>
      <c r="P483" s="33"/>
      <c r="Q483" s="33"/>
      <c r="R483" s="114"/>
    </row>
    <row r="484" spans="1:18" x14ac:dyDescent="0.2">
      <c r="A484" s="107"/>
      <c r="B484" s="33"/>
      <c r="E484" s="1954"/>
      <c r="F484" s="2529" t="s">
        <v>4538</v>
      </c>
      <c r="G484" s="187"/>
      <c r="H484" s="138"/>
      <c r="I484" s="33"/>
      <c r="J484" s="33"/>
      <c r="K484" s="33"/>
      <c r="L484" s="33"/>
      <c r="M484" s="33"/>
      <c r="N484" s="33"/>
      <c r="O484" s="33"/>
      <c r="P484" s="33"/>
      <c r="Q484" s="33"/>
      <c r="R484" s="114"/>
    </row>
    <row r="485" spans="1:18" x14ac:dyDescent="0.2">
      <c r="A485" s="107">
        <f>A1589</f>
        <v>55100</v>
      </c>
      <c r="B485" s="33">
        <f>B1589</f>
        <v>30800</v>
      </c>
      <c r="C485" s="189">
        <f>C1589</f>
        <v>26600</v>
      </c>
      <c r="D485" s="189">
        <f>D1589+D1590</f>
        <v>56400</v>
      </c>
      <c r="E485" s="1954">
        <v>22260</v>
      </c>
      <c r="F485" s="77" t="s">
        <v>4539</v>
      </c>
      <c r="G485" s="187">
        <f>G1589+G1590</f>
        <v>18000</v>
      </c>
      <c r="H485" s="138">
        <f>IF(D485=G485,0,IF(D485=0,100,(G485-D485)/D485*100))</f>
        <v>-68.085106382978722</v>
      </c>
      <c r="I485" s="33">
        <f t="shared" ref="I485:Q485" si="815">I1589+I1590</f>
        <v>18300</v>
      </c>
      <c r="J485" s="33">
        <f t="shared" si="815"/>
        <v>18800</v>
      </c>
      <c r="K485" s="33">
        <f t="shared" si="815"/>
        <v>19300</v>
      </c>
      <c r="L485" s="33">
        <f t="shared" si="815"/>
        <v>19800</v>
      </c>
      <c r="M485" s="33">
        <f t="shared" si="815"/>
        <v>20200</v>
      </c>
      <c r="N485" s="33">
        <f t="shared" si="815"/>
        <v>20700</v>
      </c>
      <c r="O485" s="33">
        <f t="shared" si="815"/>
        <v>21200</v>
      </c>
      <c r="P485" s="33">
        <f t="shared" si="815"/>
        <v>21700</v>
      </c>
      <c r="Q485" s="33">
        <f t="shared" si="815"/>
        <v>22200</v>
      </c>
      <c r="R485" s="114">
        <f t="shared" ref="R485" si="816">R1589+R1590</f>
        <v>22700</v>
      </c>
    </row>
    <row r="486" spans="1:18" x14ac:dyDescent="0.2">
      <c r="A486" s="107"/>
      <c r="B486" s="33"/>
      <c r="E486" s="1954"/>
      <c r="F486" s="76"/>
      <c r="G486" s="187"/>
      <c r="H486" s="138"/>
      <c r="I486" s="33"/>
      <c r="J486" s="33"/>
      <c r="K486" s="33"/>
      <c r="L486" s="33"/>
      <c r="M486" s="33"/>
      <c r="N486" s="33"/>
      <c r="O486" s="33"/>
      <c r="P486" s="33"/>
      <c r="Q486" s="33"/>
      <c r="R486" s="114"/>
    </row>
    <row r="487" spans="1:18" x14ac:dyDescent="0.2">
      <c r="A487" s="107"/>
      <c r="B487" s="33"/>
      <c r="E487" s="1954"/>
      <c r="F487" s="79" t="s">
        <v>2186</v>
      </c>
      <c r="G487" s="187"/>
      <c r="H487" s="138"/>
      <c r="I487" s="33"/>
      <c r="J487" s="33"/>
      <c r="K487" s="33"/>
      <c r="L487" s="33"/>
      <c r="M487" s="33"/>
      <c r="N487" s="33"/>
      <c r="O487" s="33"/>
      <c r="P487" s="33"/>
      <c r="Q487" s="33"/>
      <c r="R487" s="114"/>
    </row>
    <row r="488" spans="1:18" x14ac:dyDescent="0.2">
      <c r="A488" s="107">
        <f>SUM(A1591:A1592)</f>
        <v>48000</v>
      </c>
      <c r="B488" s="33">
        <f>SUM(B1591:B1592)</f>
        <v>57600</v>
      </c>
      <c r="C488" s="189">
        <f>SUM(C1591:C1592)</f>
        <v>79800</v>
      </c>
      <c r="D488" s="189">
        <f>SUM(D1591:D1592)</f>
        <v>0</v>
      </c>
      <c r="E488" s="1954">
        <v>22260</v>
      </c>
      <c r="F488" s="77" t="s">
        <v>7000</v>
      </c>
      <c r="G488" s="187">
        <f t="shared" ref="G488:O488" si="817">SUM(G1591:G1592)</f>
        <v>0</v>
      </c>
      <c r="H488" s="138">
        <f>IF(D488=G488,0,IF(D488=0,100,(G488-D488)/D488*100))</f>
        <v>0</v>
      </c>
      <c r="I488" s="33">
        <f t="shared" si="817"/>
        <v>0</v>
      </c>
      <c r="J488" s="33">
        <f t="shared" si="817"/>
        <v>0</v>
      </c>
      <c r="K488" s="33">
        <f t="shared" si="817"/>
        <v>0</v>
      </c>
      <c r="L488" s="33">
        <f t="shared" si="817"/>
        <v>0</v>
      </c>
      <c r="M488" s="33">
        <f t="shared" si="817"/>
        <v>0</v>
      </c>
      <c r="N488" s="33">
        <f t="shared" si="817"/>
        <v>0</v>
      </c>
      <c r="O488" s="33">
        <f t="shared" si="817"/>
        <v>0</v>
      </c>
      <c r="P488" s="33">
        <f t="shared" ref="P488:Q488" si="818">SUM(P1591:P1592)</f>
        <v>0</v>
      </c>
      <c r="Q488" s="33">
        <f t="shared" si="818"/>
        <v>0</v>
      </c>
      <c r="R488" s="114">
        <f t="shared" ref="R488" si="819">SUM(R1591:R1592)</f>
        <v>0</v>
      </c>
    </row>
    <row r="489" spans="1:18" ht="13.5" thickBot="1" x14ac:dyDescent="0.25">
      <c r="A489" s="107"/>
      <c r="B489" s="33"/>
      <c r="C489" s="187"/>
      <c r="D489" s="187"/>
      <c r="E489" s="1954"/>
      <c r="F489" s="76"/>
      <c r="G489" s="187"/>
      <c r="H489" s="138"/>
      <c r="I489" s="33"/>
      <c r="J489" s="33"/>
      <c r="K489" s="33"/>
      <c r="L489" s="33"/>
      <c r="M489" s="33"/>
      <c r="N489" s="33"/>
      <c r="O489" s="33"/>
      <c r="P489" s="33"/>
      <c r="Q489" s="33"/>
      <c r="R489" s="114"/>
    </row>
    <row r="490" spans="1:18" s="92" customFormat="1" x14ac:dyDescent="0.2">
      <c r="A490" s="105">
        <f>SUM(A473:A489)</f>
        <v>308500</v>
      </c>
      <c r="B490" s="53">
        <f>SUM(B473:B489)</f>
        <v>302000</v>
      </c>
      <c r="C490" s="199">
        <f>SUM(C473:C489)</f>
        <v>326900</v>
      </c>
      <c r="D490" s="199">
        <f>SUM(D473:D489)</f>
        <v>284000</v>
      </c>
      <c r="E490" s="236"/>
      <c r="F490" s="1960" t="s">
        <v>2605</v>
      </c>
      <c r="G490" s="199">
        <f t="shared" ref="G490:O490" si="820">SUM(G473:G489)</f>
        <v>254000</v>
      </c>
      <c r="H490" s="180">
        <f>IF(D490=G490,0,IF(D490=0,100,(G490-D490)/D490*100))</f>
        <v>-10.56338028169014</v>
      </c>
      <c r="I490" s="53">
        <f t="shared" si="820"/>
        <v>255900</v>
      </c>
      <c r="J490" s="53">
        <f t="shared" si="820"/>
        <v>268400</v>
      </c>
      <c r="K490" s="53">
        <f t="shared" si="820"/>
        <v>276100</v>
      </c>
      <c r="L490" s="53">
        <f t="shared" si="820"/>
        <v>297900</v>
      </c>
      <c r="M490" s="53">
        <f t="shared" si="820"/>
        <v>298500</v>
      </c>
      <c r="N490" s="53">
        <f t="shared" si="820"/>
        <v>310300</v>
      </c>
      <c r="O490" s="53">
        <f t="shared" si="820"/>
        <v>313200</v>
      </c>
      <c r="P490" s="53">
        <f t="shared" ref="P490:Q490" si="821">SUM(P473:P489)</f>
        <v>319200</v>
      </c>
      <c r="Q490" s="53">
        <f t="shared" si="821"/>
        <v>296400</v>
      </c>
      <c r="R490" s="113">
        <f t="shared" ref="R490" si="822">SUM(R473:R489)</f>
        <v>323700</v>
      </c>
    </row>
    <row r="491" spans="1:18" x14ac:dyDescent="0.2">
      <c r="A491" s="107"/>
      <c r="B491" s="33"/>
      <c r="E491" s="1955"/>
      <c r="F491" s="76"/>
      <c r="G491" s="187"/>
      <c r="H491" s="138"/>
      <c r="I491" s="33"/>
      <c r="J491" s="33"/>
      <c r="K491" s="33"/>
      <c r="L491" s="33"/>
      <c r="M491" s="33"/>
      <c r="N491" s="33"/>
      <c r="O491" s="33"/>
      <c r="P491" s="33"/>
      <c r="Q491" s="33"/>
      <c r="R491" s="114"/>
    </row>
    <row r="492" spans="1:18" x14ac:dyDescent="0.2">
      <c r="A492" s="107"/>
      <c r="B492" s="33"/>
      <c r="E492" s="1955"/>
      <c r="F492" s="103" t="s">
        <v>2205</v>
      </c>
      <c r="G492" s="187"/>
      <c r="H492" s="138"/>
      <c r="I492" s="33"/>
      <c r="J492" s="33"/>
      <c r="K492" s="33"/>
      <c r="L492" s="33"/>
      <c r="M492" s="33"/>
      <c r="N492" s="33"/>
      <c r="O492" s="33"/>
      <c r="P492" s="33"/>
      <c r="Q492" s="33"/>
      <c r="R492" s="114"/>
    </row>
    <row r="493" spans="1:18" x14ac:dyDescent="0.2">
      <c r="A493" s="98"/>
      <c r="B493" s="33"/>
      <c r="E493" s="1954"/>
      <c r="F493" s="76"/>
      <c r="G493" s="187"/>
      <c r="H493" s="138"/>
      <c r="I493" s="33"/>
      <c r="J493" s="33"/>
      <c r="K493" s="33"/>
      <c r="L493" s="33"/>
      <c r="M493" s="33"/>
      <c r="N493" s="33"/>
      <c r="O493" s="33"/>
      <c r="P493" s="33"/>
      <c r="Q493" s="33"/>
      <c r="R493" s="114"/>
    </row>
    <row r="494" spans="1:18" x14ac:dyDescent="0.2">
      <c r="A494" s="98"/>
      <c r="B494" s="33"/>
      <c r="E494" s="1954"/>
      <c r="F494" s="79" t="s">
        <v>2052</v>
      </c>
      <c r="G494" s="187"/>
      <c r="H494" s="138"/>
      <c r="I494" s="33"/>
      <c r="J494" s="33"/>
      <c r="K494" s="33"/>
      <c r="L494" s="33"/>
      <c r="M494" s="33"/>
      <c r="N494" s="33"/>
      <c r="O494" s="33"/>
      <c r="P494" s="33"/>
      <c r="Q494" s="33"/>
      <c r="R494" s="114"/>
    </row>
    <row r="495" spans="1:18" x14ac:dyDescent="0.2">
      <c r="A495" s="107">
        <f>ROUND(SUM(A1597:A1606),-2)</f>
        <v>2148900</v>
      </c>
      <c r="B495" s="33">
        <f>SUM(B1597:B1606)</f>
        <v>2238800</v>
      </c>
      <c r="C495" s="189">
        <f>SUM(C1597:C1606)</f>
        <v>2165500</v>
      </c>
      <c r="D495" s="189">
        <f>SUM(D1597:D1606)</f>
        <v>2141700</v>
      </c>
      <c r="E495" s="240">
        <v>32320</v>
      </c>
      <c r="F495" s="1981" t="s">
        <v>92</v>
      </c>
      <c r="G495" s="187">
        <f>SUM(G1597:G1606)</f>
        <v>2603500</v>
      </c>
      <c r="H495" s="138">
        <f>IF(D495=G495,0,IF(D495=0,100,(G495-D495)/D495*100))</f>
        <v>21.562310314236356</v>
      </c>
      <c r="I495" s="33">
        <f t="shared" ref="I495:Q495" si="823">SUM(I1597:I1606)</f>
        <v>2476900</v>
      </c>
      <c r="J495" s="33">
        <f t="shared" si="823"/>
        <v>2539300</v>
      </c>
      <c r="K495" s="33">
        <f t="shared" si="823"/>
        <v>2603400</v>
      </c>
      <c r="L495" s="33">
        <f t="shared" si="823"/>
        <v>2668900</v>
      </c>
      <c r="M495" s="33">
        <f t="shared" si="823"/>
        <v>2722700</v>
      </c>
      <c r="N495" s="33">
        <f t="shared" si="823"/>
        <v>2777500</v>
      </c>
      <c r="O495" s="33">
        <f t="shared" si="823"/>
        <v>2833500</v>
      </c>
      <c r="P495" s="33">
        <f t="shared" si="823"/>
        <v>2890500</v>
      </c>
      <c r="Q495" s="33">
        <f t="shared" si="823"/>
        <v>2948700</v>
      </c>
      <c r="R495" s="114">
        <f t="shared" ref="R495" si="824">SUM(R1597:R1606)</f>
        <v>3008300</v>
      </c>
    </row>
    <row r="496" spans="1:18" x14ac:dyDescent="0.2">
      <c r="A496" s="107">
        <f>ROUND(SUM(A1607:A1609),-2)</f>
        <v>-3420900</v>
      </c>
      <c r="B496" s="33">
        <f>SUM(B1607:B1609)</f>
        <v>-3551100</v>
      </c>
      <c r="C496" s="189">
        <f>SUM(C1607:C1609)</f>
        <v>-3612200</v>
      </c>
      <c r="D496" s="189">
        <f>SUM(D1607:D1609)</f>
        <v>-3780600</v>
      </c>
      <c r="E496" s="240">
        <v>22260</v>
      </c>
      <c r="F496" s="1952" t="s">
        <v>4411</v>
      </c>
      <c r="G496" s="187">
        <f t="shared" ref="G496:P496" si="825">SUM(G1607:G1609)</f>
        <v>-4000900</v>
      </c>
      <c r="H496" s="138">
        <f>IF(D496=G496,0,IF(D496=0,100,(G496-D496)/D496*100))</f>
        <v>5.8271173887742691</v>
      </c>
      <c r="I496" s="33">
        <f t="shared" si="825"/>
        <v>-4071000</v>
      </c>
      <c r="J496" s="33">
        <f t="shared" si="825"/>
        <v>-4173700</v>
      </c>
      <c r="K496" s="33">
        <f t="shared" si="825"/>
        <v>-4279000</v>
      </c>
      <c r="L496" s="33">
        <f t="shared" si="825"/>
        <v>-4386700</v>
      </c>
      <c r="M496" s="33">
        <f t="shared" si="825"/>
        <v>-4475100</v>
      </c>
      <c r="N496" s="33">
        <f t="shared" si="825"/>
        <v>-4565400</v>
      </c>
      <c r="O496" s="33">
        <f t="shared" si="825"/>
        <v>-4657300</v>
      </c>
      <c r="P496" s="33">
        <f t="shared" si="825"/>
        <v>-4751300</v>
      </c>
      <c r="Q496" s="33">
        <f t="shared" ref="Q496" si="826">SUM(Q1607:Q1609)</f>
        <v>-4847200</v>
      </c>
      <c r="R496" s="114">
        <f t="shared" ref="R496" si="827">SUM(R1607:R1609)</f>
        <v>-4945200</v>
      </c>
    </row>
    <row r="497" spans="1:18" x14ac:dyDescent="0.2">
      <c r="A497" s="107">
        <f>ROUND(SUM(A1610:A1617),-2)</f>
        <v>159800</v>
      </c>
      <c r="B497" s="33">
        <f>SUM(B1610:B1617)</f>
        <v>158300</v>
      </c>
      <c r="C497" s="189">
        <f>SUM(C1610:C1617)</f>
        <v>150600</v>
      </c>
      <c r="D497" s="189">
        <f>SUM(D1610:D1617)</f>
        <v>157100</v>
      </c>
      <c r="E497" s="240">
        <v>32322</v>
      </c>
      <c r="F497" s="1981" t="s">
        <v>1761</v>
      </c>
      <c r="G497" s="187">
        <f t="shared" ref="G497:P497" si="828">SUM(G1610:G1617)</f>
        <v>174700</v>
      </c>
      <c r="H497" s="138">
        <f>IF(D497=G497,0,IF(D497=0,100,(G497-D497)/D497*100))</f>
        <v>11.203055378739657</v>
      </c>
      <c r="I497" s="33">
        <f t="shared" si="828"/>
        <v>177700</v>
      </c>
      <c r="J497" s="33">
        <f t="shared" si="828"/>
        <v>182500</v>
      </c>
      <c r="K497" s="33">
        <f t="shared" si="828"/>
        <v>187300</v>
      </c>
      <c r="L497" s="33">
        <f t="shared" si="828"/>
        <v>192300</v>
      </c>
      <c r="M497" s="33">
        <f t="shared" si="828"/>
        <v>196500</v>
      </c>
      <c r="N497" s="33">
        <f t="shared" si="828"/>
        <v>200700</v>
      </c>
      <c r="O497" s="33">
        <f t="shared" si="828"/>
        <v>205000</v>
      </c>
      <c r="P497" s="33">
        <f t="shared" si="828"/>
        <v>209400</v>
      </c>
      <c r="Q497" s="33">
        <f t="shared" ref="Q497" si="829">SUM(Q1610:Q1617)</f>
        <v>213900</v>
      </c>
      <c r="R497" s="114">
        <f t="shared" ref="R497" si="830">SUM(R1610:R1617)</f>
        <v>218500</v>
      </c>
    </row>
    <row r="498" spans="1:18" x14ac:dyDescent="0.2">
      <c r="A498" s="107">
        <f>ROUND(A1619,-2)</f>
        <v>169000</v>
      </c>
      <c r="B498" s="33">
        <f>B1619</f>
        <v>221000</v>
      </c>
      <c r="C498" s="189">
        <f>C1619</f>
        <v>337000</v>
      </c>
      <c r="D498" s="189">
        <f>D1619</f>
        <v>342000</v>
      </c>
      <c r="E498" s="240">
        <v>32320</v>
      </c>
      <c r="F498" s="1981" t="s">
        <v>1427</v>
      </c>
      <c r="G498" s="187">
        <f t="shared" ref="G498:O498" si="831">G1619</f>
        <v>344000</v>
      </c>
      <c r="H498" s="138">
        <f>IF(D498=G498,0,IF(D498=0,100,(G498-D498)/D498*100))</f>
        <v>0.58479532163742687</v>
      </c>
      <c r="I498" s="33">
        <f t="shared" si="831"/>
        <v>355000</v>
      </c>
      <c r="J498" s="33">
        <f t="shared" si="831"/>
        <v>363900</v>
      </c>
      <c r="K498" s="33">
        <f t="shared" si="831"/>
        <v>373000</v>
      </c>
      <c r="L498" s="33">
        <f t="shared" si="831"/>
        <v>382400</v>
      </c>
      <c r="M498" s="33">
        <f t="shared" si="831"/>
        <v>390100</v>
      </c>
      <c r="N498" s="33">
        <f t="shared" si="831"/>
        <v>398000</v>
      </c>
      <c r="O498" s="33">
        <f t="shared" si="831"/>
        <v>406000</v>
      </c>
      <c r="P498" s="33">
        <f t="shared" ref="P498:Q498" si="832">P1619</f>
        <v>414200</v>
      </c>
      <c r="Q498" s="33">
        <f t="shared" si="832"/>
        <v>422500</v>
      </c>
      <c r="R498" s="114">
        <f t="shared" ref="R498" si="833">R1619</f>
        <v>431000</v>
      </c>
    </row>
    <row r="499" spans="1:18" x14ac:dyDescent="0.2">
      <c r="A499" s="107"/>
      <c r="B499" s="33"/>
      <c r="E499" s="240"/>
      <c r="F499" s="1981"/>
      <c r="G499" s="187"/>
      <c r="H499" s="138"/>
      <c r="I499" s="33"/>
      <c r="J499" s="33"/>
      <c r="K499" s="33"/>
      <c r="L499" s="33"/>
      <c r="M499" s="33"/>
      <c r="N499" s="33"/>
      <c r="O499" s="33"/>
      <c r="P499" s="33"/>
      <c r="Q499" s="33"/>
      <c r="R499" s="114"/>
    </row>
    <row r="500" spans="1:18" x14ac:dyDescent="0.2">
      <c r="A500" s="107"/>
      <c r="B500" s="33"/>
      <c r="E500" s="240"/>
      <c r="F500" s="175" t="s">
        <v>1130</v>
      </c>
      <c r="G500" s="187"/>
      <c r="H500" s="138"/>
      <c r="I500" s="33"/>
      <c r="J500" s="33"/>
      <c r="K500" s="33"/>
      <c r="L500" s="33"/>
      <c r="M500" s="33"/>
      <c r="N500" s="33"/>
      <c r="O500" s="33"/>
      <c r="P500" s="33"/>
      <c r="Q500" s="33"/>
      <c r="R500" s="114"/>
    </row>
    <row r="501" spans="1:18" x14ac:dyDescent="0.2">
      <c r="A501" s="107">
        <f>ROUND(A1621,-2)</f>
        <v>1900</v>
      </c>
      <c r="B501" s="33">
        <f>B1621</f>
        <v>0</v>
      </c>
      <c r="C501" s="189">
        <f>C1621</f>
        <v>0</v>
      </c>
      <c r="D501" s="189">
        <f>D1621</f>
        <v>0</v>
      </c>
      <c r="E501" s="240">
        <v>32320</v>
      </c>
      <c r="F501" s="1981" t="s">
        <v>1366</v>
      </c>
      <c r="G501" s="187">
        <f t="shared" ref="G501:O501" si="834">G1621</f>
        <v>0</v>
      </c>
      <c r="H501" s="138">
        <f>IF(D501=G501,0,IF(D501=0,100,(G501-D501)/D501*100))</f>
        <v>0</v>
      </c>
      <c r="I501" s="33">
        <f t="shared" si="834"/>
        <v>0</v>
      </c>
      <c r="J501" s="33">
        <f t="shared" si="834"/>
        <v>0</v>
      </c>
      <c r="K501" s="33">
        <f t="shared" si="834"/>
        <v>0</v>
      </c>
      <c r="L501" s="33">
        <f t="shared" si="834"/>
        <v>0</v>
      </c>
      <c r="M501" s="33">
        <f t="shared" si="834"/>
        <v>0</v>
      </c>
      <c r="N501" s="33">
        <f t="shared" si="834"/>
        <v>0</v>
      </c>
      <c r="O501" s="33">
        <f t="shared" si="834"/>
        <v>0</v>
      </c>
      <c r="P501" s="33">
        <f t="shared" ref="P501:Q501" si="835">P1621</f>
        <v>0</v>
      </c>
      <c r="Q501" s="33">
        <f t="shared" si="835"/>
        <v>0</v>
      </c>
      <c r="R501" s="114">
        <f t="shared" ref="R501" si="836">R1621</f>
        <v>0</v>
      </c>
    </row>
    <row r="502" spans="1:18" x14ac:dyDescent="0.2">
      <c r="A502" s="107"/>
      <c r="B502" s="33"/>
      <c r="E502" s="1954"/>
      <c r="F502" s="1981"/>
      <c r="G502" s="187"/>
      <c r="H502" s="138"/>
      <c r="I502" s="33"/>
      <c r="J502" s="33"/>
      <c r="K502" s="33"/>
      <c r="L502" s="33"/>
      <c r="M502" s="33"/>
      <c r="N502" s="33"/>
      <c r="O502" s="33"/>
      <c r="P502" s="33"/>
      <c r="Q502" s="33"/>
      <c r="R502" s="114"/>
    </row>
    <row r="503" spans="1:18" x14ac:dyDescent="0.2">
      <c r="A503" s="107"/>
      <c r="B503" s="33"/>
      <c r="E503" s="1954"/>
      <c r="F503" s="2529" t="s">
        <v>1246</v>
      </c>
      <c r="G503" s="187"/>
      <c r="H503" s="138"/>
      <c r="I503" s="33"/>
      <c r="J503" s="33"/>
      <c r="K503" s="33"/>
      <c r="L503" s="33"/>
      <c r="M503" s="33"/>
      <c r="N503" s="33"/>
      <c r="O503" s="33"/>
      <c r="P503" s="33"/>
      <c r="Q503" s="33"/>
      <c r="R503" s="114"/>
    </row>
    <row r="504" spans="1:18" x14ac:dyDescent="0.2">
      <c r="A504" s="107">
        <f>ROUND(A1623,-2)</f>
        <v>76600</v>
      </c>
      <c r="B504" s="33">
        <f>B1623</f>
        <v>14200</v>
      </c>
      <c r="C504" s="189">
        <f>C1623</f>
        <v>19200</v>
      </c>
      <c r="D504" s="189">
        <f>D1623</f>
        <v>0</v>
      </c>
      <c r="E504" s="1954">
        <v>22260</v>
      </c>
      <c r="F504" s="77" t="s">
        <v>1246</v>
      </c>
      <c r="G504" s="187">
        <f t="shared" ref="G504:O504" si="837">G1623</f>
        <v>0</v>
      </c>
      <c r="H504" s="138">
        <f>IF(D504=G504,0,IF(D504=0,100,(G504-D504)/D504*100))</f>
        <v>0</v>
      </c>
      <c r="I504" s="33">
        <f t="shared" si="837"/>
        <v>0</v>
      </c>
      <c r="J504" s="33">
        <f t="shared" si="837"/>
        <v>0</v>
      </c>
      <c r="K504" s="33">
        <f t="shared" si="837"/>
        <v>0</v>
      </c>
      <c r="L504" s="33">
        <f t="shared" si="837"/>
        <v>0</v>
      </c>
      <c r="M504" s="33">
        <f t="shared" si="837"/>
        <v>0</v>
      </c>
      <c r="N504" s="33">
        <f t="shared" si="837"/>
        <v>0</v>
      </c>
      <c r="O504" s="33">
        <f t="shared" si="837"/>
        <v>0</v>
      </c>
      <c r="P504" s="33">
        <f t="shared" ref="P504:Q504" si="838">P1623</f>
        <v>0</v>
      </c>
      <c r="Q504" s="33">
        <f t="shared" si="838"/>
        <v>0</v>
      </c>
      <c r="R504" s="114">
        <f t="shared" ref="R504" si="839">R1623</f>
        <v>0</v>
      </c>
    </row>
    <row r="505" spans="1:18" x14ac:dyDescent="0.2">
      <c r="A505" s="107"/>
      <c r="B505" s="33"/>
      <c r="E505" s="240"/>
      <c r="F505" s="1981"/>
      <c r="G505" s="187"/>
      <c r="H505" s="138"/>
      <c r="I505" s="33"/>
      <c r="J505" s="33"/>
      <c r="K505" s="33"/>
      <c r="L505" s="33"/>
      <c r="M505" s="33"/>
      <c r="N505" s="33"/>
      <c r="O505" s="33"/>
      <c r="P505" s="33"/>
      <c r="Q505" s="33"/>
      <c r="R505" s="114"/>
    </row>
    <row r="506" spans="1:18" x14ac:dyDescent="0.2">
      <c r="A506" s="107"/>
      <c r="B506" s="33"/>
      <c r="E506" s="240"/>
      <c r="F506" s="175" t="str">
        <f>F101</f>
        <v>Non-Cash Expenses</v>
      </c>
      <c r="G506" s="187"/>
      <c r="H506" s="138"/>
      <c r="I506" s="33"/>
      <c r="J506" s="33"/>
      <c r="K506" s="33"/>
      <c r="L506" s="33"/>
      <c r="M506" s="33"/>
      <c r="N506" s="33"/>
      <c r="O506" s="33"/>
      <c r="P506" s="33"/>
      <c r="Q506" s="33"/>
      <c r="R506" s="114"/>
    </row>
    <row r="507" spans="1:18" x14ac:dyDescent="0.2">
      <c r="A507" s="107">
        <f>ROUND(A1625,-2)</f>
        <v>1128900</v>
      </c>
      <c r="B507" s="33">
        <f>B1625</f>
        <v>1154800</v>
      </c>
      <c r="C507" s="189">
        <f>C1625</f>
        <v>980800</v>
      </c>
      <c r="D507" s="189">
        <f>D1625</f>
        <v>925300</v>
      </c>
      <c r="E507" s="240">
        <v>32320</v>
      </c>
      <c r="F507" s="1981" t="s">
        <v>2070</v>
      </c>
      <c r="G507" s="187">
        <f t="shared" ref="G507:O507" si="840">G1625</f>
        <v>920000</v>
      </c>
      <c r="H507" s="138">
        <f>IF(D507=G507,0,IF(D507=0,100,(G507-D507)/D507*100))</f>
        <v>-0.57278720415000539</v>
      </c>
      <c r="I507" s="33">
        <f t="shared" si="840"/>
        <v>938400</v>
      </c>
      <c r="J507" s="33">
        <f t="shared" si="840"/>
        <v>957200</v>
      </c>
      <c r="K507" s="33">
        <f t="shared" si="840"/>
        <v>976400</v>
      </c>
      <c r="L507" s="33">
        <f t="shared" si="840"/>
        <v>996000</v>
      </c>
      <c r="M507" s="33">
        <f t="shared" si="840"/>
        <v>1016000</v>
      </c>
      <c r="N507" s="33">
        <f t="shared" si="840"/>
        <v>1036400</v>
      </c>
      <c r="O507" s="33">
        <f t="shared" si="840"/>
        <v>1057200</v>
      </c>
      <c r="P507" s="33">
        <f t="shared" ref="P507:Q507" si="841">P1625</f>
        <v>1078400</v>
      </c>
      <c r="Q507" s="33">
        <f t="shared" si="841"/>
        <v>1100000</v>
      </c>
      <c r="R507" s="114">
        <f t="shared" ref="R507" si="842">R1625</f>
        <v>1122000</v>
      </c>
    </row>
    <row r="508" spans="1:18" ht="13.5" thickBot="1" x14ac:dyDescent="0.25">
      <c r="A508" s="107"/>
      <c r="B508" s="33"/>
      <c r="E508" s="240"/>
      <c r="F508" s="366"/>
      <c r="G508" s="198"/>
      <c r="H508" s="138"/>
      <c r="I508" s="33"/>
      <c r="J508" s="33"/>
      <c r="K508" s="33"/>
      <c r="L508" s="33"/>
      <c r="M508" s="33"/>
      <c r="N508" s="33"/>
      <c r="O508" s="33"/>
      <c r="P508" s="33"/>
      <c r="Q508" s="33"/>
      <c r="R508" s="114"/>
    </row>
    <row r="509" spans="1:18" s="92" customFormat="1" x14ac:dyDescent="0.2">
      <c r="A509" s="105">
        <f>SUM(A493:A508)</f>
        <v>264200</v>
      </c>
      <c r="B509" s="53">
        <f>SUM(B493:B508)</f>
        <v>236000</v>
      </c>
      <c r="C509" s="190">
        <f>SUM(C493:C508)</f>
        <v>40900</v>
      </c>
      <c r="D509" s="190">
        <f>SUM(D493:D508)</f>
        <v>-214500</v>
      </c>
      <c r="E509" s="237"/>
      <c r="F509" s="378" t="s">
        <v>565</v>
      </c>
      <c r="G509" s="2550">
        <f t="shared" ref="G509:O509" si="843">SUM(G493:G508)</f>
        <v>41300</v>
      </c>
      <c r="H509" s="180">
        <f>IF(D509=G509,0,IF(D509=0,100,(G509-D509)/D509*100))</f>
        <v>-119.25407925407924</v>
      </c>
      <c r="I509" s="53">
        <f t="shared" si="843"/>
        <v>-123000</v>
      </c>
      <c r="J509" s="53">
        <f t="shared" si="843"/>
        <v>-130800</v>
      </c>
      <c r="K509" s="53">
        <f t="shared" si="843"/>
        <v>-138900</v>
      </c>
      <c r="L509" s="53">
        <f t="shared" si="843"/>
        <v>-147100</v>
      </c>
      <c r="M509" s="53">
        <f t="shared" si="843"/>
        <v>-149800</v>
      </c>
      <c r="N509" s="53">
        <f t="shared" si="843"/>
        <v>-152800</v>
      </c>
      <c r="O509" s="53">
        <f t="shared" si="843"/>
        <v>-155600</v>
      </c>
      <c r="P509" s="53">
        <f t="shared" ref="P509:Q509" si="844">SUM(P493:P508)</f>
        <v>-158800</v>
      </c>
      <c r="Q509" s="53">
        <f t="shared" si="844"/>
        <v>-162100</v>
      </c>
      <c r="R509" s="113">
        <f t="shared" ref="R509" si="845">SUM(R493:R508)</f>
        <v>-165400</v>
      </c>
    </row>
    <row r="510" spans="1:18" x14ac:dyDescent="0.2">
      <c r="A510" s="107"/>
      <c r="B510" s="33"/>
      <c r="E510" s="1955"/>
      <c r="F510" s="366"/>
      <c r="G510" s="198"/>
      <c r="H510" s="138"/>
      <c r="I510" s="33"/>
      <c r="J510" s="33"/>
      <c r="K510" s="33"/>
      <c r="L510" s="33"/>
      <c r="M510" s="33"/>
      <c r="N510" s="33"/>
      <c r="O510" s="33"/>
      <c r="P510" s="33"/>
      <c r="Q510" s="33"/>
      <c r="R510" s="114"/>
    </row>
    <row r="511" spans="1:18" s="92" customFormat="1" x14ac:dyDescent="0.2">
      <c r="A511" s="70">
        <f>A490-A509</f>
        <v>44300</v>
      </c>
      <c r="B511" s="64">
        <f>B490-B509</f>
        <v>66000</v>
      </c>
      <c r="C511" s="193">
        <f>C490-C509</f>
        <v>286000</v>
      </c>
      <c r="D511" s="193">
        <f>D490-D509</f>
        <v>498500</v>
      </c>
      <c r="E511" s="237"/>
      <c r="F511" s="516" t="s">
        <v>1019</v>
      </c>
      <c r="G511" s="197">
        <f t="shared" ref="G511:O511" si="846">G490-G509</f>
        <v>212700</v>
      </c>
      <c r="H511" s="179">
        <f>IF(D511=G511,0,IF(D511=0,100,(G511-D511)/D511*100))</f>
        <v>-57.331995987963893</v>
      </c>
      <c r="I511" s="64">
        <f t="shared" si="846"/>
        <v>378900</v>
      </c>
      <c r="J511" s="64">
        <f t="shared" si="846"/>
        <v>399200</v>
      </c>
      <c r="K511" s="64">
        <f t="shared" si="846"/>
        <v>415000</v>
      </c>
      <c r="L511" s="64">
        <f t="shared" si="846"/>
        <v>445000</v>
      </c>
      <c r="M511" s="64">
        <f t="shared" si="846"/>
        <v>448300</v>
      </c>
      <c r="N511" s="64">
        <f t="shared" si="846"/>
        <v>463100</v>
      </c>
      <c r="O511" s="64">
        <f t="shared" si="846"/>
        <v>468800</v>
      </c>
      <c r="P511" s="64">
        <f t="shared" ref="P511:Q511" si="847">P490-P509</f>
        <v>478000</v>
      </c>
      <c r="Q511" s="64">
        <f t="shared" si="847"/>
        <v>458500</v>
      </c>
      <c r="R511" s="115">
        <f t="shared" ref="R511" si="848">R490-R509</f>
        <v>489100</v>
      </c>
    </row>
    <row r="512" spans="1:18" x14ac:dyDescent="0.2">
      <c r="A512" s="107">
        <f>ROUND(A507,-3)</f>
        <v>1129000</v>
      </c>
      <c r="B512" s="33">
        <f>B507</f>
        <v>1154800</v>
      </c>
      <c r="C512" s="189">
        <f>C507</f>
        <v>980800</v>
      </c>
      <c r="D512" s="189">
        <f>D507</f>
        <v>925300</v>
      </c>
      <c r="E512" s="1955"/>
      <c r="F512" s="372" t="str">
        <f>F221</f>
        <v>Add Back Depreciation</v>
      </c>
      <c r="G512" s="198">
        <f t="shared" ref="G512:O512" si="849">G507</f>
        <v>920000</v>
      </c>
      <c r="H512" s="138">
        <f>IF(D512=G512,0,IF(D512=0,100,(G512-D512)/D512*100))</f>
        <v>-0.57278720415000539</v>
      </c>
      <c r="I512" s="33">
        <f t="shared" si="849"/>
        <v>938400</v>
      </c>
      <c r="J512" s="33">
        <f t="shared" si="849"/>
        <v>957200</v>
      </c>
      <c r="K512" s="33">
        <f t="shared" si="849"/>
        <v>976400</v>
      </c>
      <c r="L512" s="33">
        <f t="shared" si="849"/>
        <v>996000</v>
      </c>
      <c r="M512" s="33">
        <f t="shared" si="849"/>
        <v>1016000</v>
      </c>
      <c r="N512" s="33">
        <f t="shared" si="849"/>
        <v>1036400</v>
      </c>
      <c r="O512" s="33">
        <f t="shared" si="849"/>
        <v>1057200</v>
      </c>
      <c r="P512" s="33">
        <f t="shared" ref="P512:Q512" si="850">P507</f>
        <v>1078400</v>
      </c>
      <c r="Q512" s="33">
        <f t="shared" si="850"/>
        <v>1100000</v>
      </c>
      <c r="R512" s="114">
        <f t="shared" ref="R512" si="851">R507</f>
        <v>1122000</v>
      </c>
    </row>
    <row r="513" spans="1:18" s="92" customFormat="1" x14ac:dyDescent="0.2">
      <c r="A513" s="181">
        <f>A511+A512</f>
        <v>1173300</v>
      </c>
      <c r="B513" s="397">
        <f>B511+B512</f>
        <v>1220800</v>
      </c>
      <c r="C513" s="398">
        <f>C511+C512</f>
        <v>1266800</v>
      </c>
      <c r="D513" s="398">
        <f>D511+D512</f>
        <v>1423800</v>
      </c>
      <c r="E513" s="523"/>
      <c r="F513" s="518" t="s">
        <v>1687</v>
      </c>
      <c r="G513" s="2605">
        <f t="shared" ref="G513:O513" si="852">G511+G512</f>
        <v>1132700</v>
      </c>
      <c r="H513" s="395">
        <f>IF(D513=G513,0,IF(D513=0,100,(G513-D513)/D513*100))</f>
        <v>-20.445287259446552</v>
      </c>
      <c r="I513" s="397">
        <f t="shared" si="852"/>
        <v>1317300</v>
      </c>
      <c r="J513" s="397">
        <f t="shared" si="852"/>
        <v>1356400</v>
      </c>
      <c r="K513" s="397">
        <f t="shared" si="852"/>
        <v>1391400</v>
      </c>
      <c r="L513" s="397">
        <f t="shared" si="852"/>
        <v>1441000</v>
      </c>
      <c r="M513" s="397">
        <f t="shared" si="852"/>
        <v>1464300</v>
      </c>
      <c r="N513" s="397">
        <f t="shared" si="852"/>
        <v>1499500</v>
      </c>
      <c r="O513" s="397">
        <f t="shared" si="852"/>
        <v>1526000</v>
      </c>
      <c r="P513" s="397">
        <f t="shared" ref="P513:Q513" si="853">P511+P512</f>
        <v>1556400</v>
      </c>
      <c r="Q513" s="397">
        <f t="shared" si="853"/>
        <v>1558500</v>
      </c>
      <c r="R513" s="399">
        <f t="shared" ref="R513" si="854">R511+R512</f>
        <v>1611100</v>
      </c>
    </row>
    <row r="514" spans="1:18" ht="13.5" thickBot="1" x14ac:dyDescent="0.25">
      <c r="A514" s="70"/>
      <c r="B514" s="64"/>
      <c r="C514" s="192"/>
      <c r="D514" s="192"/>
      <c r="E514" s="1954"/>
      <c r="F514" s="371"/>
      <c r="G514" s="197"/>
      <c r="H514" s="179"/>
      <c r="I514" s="33"/>
      <c r="J514" s="33"/>
      <c r="K514" s="33"/>
      <c r="L514" s="33"/>
      <c r="M514" s="33"/>
      <c r="N514" s="33"/>
      <c r="O514" s="33"/>
      <c r="P514" s="33"/>
      <c r="Q514" s="33"/>
      <c r="R514" s="114"/>
    </row>
    <row r="515" spans="1:18" ht="13.5" thickTop="1" x14ac:dyDescent="0.2">
      <c r="A515" s="383"/>
      <c r="B515" s="162"/>
      <c r="C515" s="194"/>
      <c r="D515" s="194"/>
      <c r="E515" s="541"/>
      <c r="F515" s="367"/>
      <c r="G515" s="196"/>
      <c r="H515" s="505"/>
      <c r="I515" s="127"/>
      <c r="J515" s="127"/>
      <c r="K515" s="127"/>
      <c r="L515" s="127"/>
      <c r="M515" s="127"/>
      <c r="N515" s="127"/>
      <c r="O515" s="127"/>
      <c r="P515" s="127"/>
      <c r="Q515" s="127"/>
      <c r="R515" s="163"/>
    </row>
    <row r="516" spans="1:18" x14ac:dyDescent="0.2">
      <c r="A516" s="70"/>
      <c r="B516" s="64"/>
      <c r="C516" s="193"/>
      <c r="D516" s="193"/>
      <c r="E516" s="238"/>
      <c r="F516" s="516" t="s">
        <v>196</v>
      </c>
      <c r="G516" s="197"/>
      <c r="H516" s="179"/>
      <c r="I516" s="33"/>
      <c r="J516" s="33"/>
      <c r="K516" s="33"/>
      <c r="L516" s="33"/>
      <c r="M516" s="33"/>
      <c r="N516" s="33"/>
      <c r="O516" s="33"/>
      <c r="P516" s="33"/>
      <c r="Q516" s="33"/>
      <c r="R516" s="114"/>
    </row>
    <row r="517" spans="1:18" x14ac:dyDescent="0.2">
      <c r="A517" s="70"/>
      <c r="B517" s="64"/>
      <c r="C517" s="193"/>
      <c r="D517" s="193"/>
      <c r="E517" s="238"/>
      <c r="F517" s="371"/>
      <c r="G517" s="197"/>
      <c r="H517" s="179"/>
      <c r="I517" s="33"/>
      <c r="J517" s="33"/>
      <c r="K517" s="33"/>
      <c r="L517" s="33"/>
      <c r="M517" s="33"/>
      <c r="N517" s="33"/>
      <c r="O517" s="33"/>
      <c r="P517" s="33"/>
      <c r="Q517" s="33"/>
      <c r="R517" s="114"/>
    </row>
    <row r="518" spans="1:18" x14ac:dyDescent="0.2">
      <c r="A518" s="107">
        <f>ROUND(A1636,-2)+100</f>
        <v>32000</v>
      </c>
      <c r="B518" s="33">
        <f t="shared" ref="B518:C522" si="855">B1636</f>
        <v>0</v>
      </c>
      <c r="C518" s="189">
        <f t="shared" si="855"/>
        <v>0</v>
      </c>
      <c r="D518" s="189">
        <f>D1636</f>
        <v>0</v>
      </c>
      <c r="E518" s="238"/>
      <c r="F518" s="366" t="s">
        <v>2900</v>
      </c>
      <c r="G518" s="198">
        <f t="shared" ref="G518:O518" si="856">G1636</f>
        <v>0</v>
      </c>
      <c r="H518" s="138"/>
      <c r="I518" s="33">
        <f t="shared" si="856"/>
        <v>0</v>
      </c>
      <c r="J518" s="33">
        <f t="shared" si="856"/>
        <v>0</v>
      </c>
      <c r="K518" s="33">
        <f t="shared" si="856"/>
        <v>0</v>
      </c>
      <c r="L518" s="33">
        <f t="shared" si="856"/>
        <v>0</v>
      </c>
      <c r="M518" s="33">
        <f t="shared" si="856"/>
        <v>0</v>
      </c>
      <c r="N518" s="33">
        <f t="shared" si="856"/>
        <v>0</v>
      </c>
      <c r="O518" s="33">
        <f t="shared" si="856"/>
        <v>0</v>
      </c>
      <c r="P518" s="33">
        <f t="shared" ref="P518:Q518" si="857">P1636</f>
        <v>0</v>
      </c>
      <c r="Q518" s="33">
        <f t="shared" si="857"/>
        <v>0</v>
      </c>
      <c r="R518" s="114">
        <f t="shared" ref="R518" si="858">R1636</f>
        <v>0</v>
      </c>
    </row>
    <row r="519" spans="1:18" x14ac:dyDescent="0.2">
      <c r="A519" s="107">
        <f>ROUND(A1637,-2)</f>
        <v>1201300</v>
      </c>
      <c r="B519" s="33">
        <f t="shared" si="855"/>
        <v>1169400</v>
      </c>
      <c r="C519" s="142">
        <f t="shared" si="855"/>
        <v>1266800</v>
      </c>
      <c r="D519" s="142">
        <f>D1637</f>
        <v>1423800</v>
      </c>
      <c r="E519" s="238"/>
      <c r="F519" s="366" t="s">
        <v>1942</v>
      </c>
      <c r="G519" s="76">
        <f t="shared" ref="G519:O519" si="859">G1637</f>
        <v>1132700</v>
      </c>
      <c r="H519" s="138"/>
      <c r="I519" s="33">
        <f t="shared" si="859"/>
        <v>1317300</v>
      </c>
      <c r="J519" s="33">
        <f t="shared" si="859"/>
        <v>1356400</v>
      </c>
      <c r="K519" s="33">
        <f t="shared" si="859"/>
        <v>1391400</v>
      </c>
      <c r="L519" s="33">
        <f t="shared" si="859"/>
        <v>1441000</v>
      </c>
      <c r="M519" s="33">
        <f t="shared" si="859"/>
        <v>1464300</v>
      </c>
      <c r="N519" s="33">
        <f t="shared" si="859"/>
        <v>1499500</v>
      </c>
      <c r="O519" s="33">
        <f t="shared" si="859"/>
        <v>1526000</v>
      </c>
      <c r="P519" s="33">
        <f t="shared" ref="P519:Q519" si="860">P1637</f>
        <v>1556400</v>
      </c>
      <c r="Q519" s="33">
        <f t="shared" si="860"/>
        <v>1558500</v>
      </c>
      <c r="R519" s="114">
        <f t="shared" ref="R519" si="861">R1637</f>
        <v>1611100</v>
      </c>
    </row>
    <row r="520" spans="1:18" x14ac:dyDescent="0.2">
      <c r="A520" s="107">
        <f>ROUND(A1638,-2)</f>
        <v>1196000</v>
      </c>
      <c r="B520" s="33">
        <f t="shared" si="855"/>
        <v>1113500</v>
      </c>
      <c r="C520" s="142">
        <f t="shared" si="855"/>
        <v>1223200</v>
      </c>
      <c r="D520" s="142">
        <f>D1638</f>
        <v>1385100</v>
      </c>
      <c r="E520" s="238"/>
      <c r="F520" s="366" t="s">
        <v>2348</v>
      </c>
      <c r="G520" s="198">
        <f t="shared" ref="G520:O520" si="862">G1638</f>
        <v>2070000</v>
      </c>
      <c r="H520" s="138"/>
      <c r="I520" s="33">
        <f t="shared" si="862"/>
        <v>1094000</v>
      </c>
      <c r="J520" s="33">
        <f t="shared" si="862"/>
        <v>1270000</v>
      </c>
      <c r="K520" s="33">
        <f t="shared" si="862"/>
        <v>744000</v>
      </c>
      <c r="L520" s="33">
        <f t="shared" si="862"/>
        <v>1649000</v>
      </c>
      <c r="M520" s="33">
        <f t="shared" si="862"/>
        <v>1202000</v>
      </c>
      <c r="N520" s="33">
        <f t="shared" si="862"/>
        <v>1623000</v>
      </c>
      <c r="O520" s="33">
        <f t="shared" si="862"/>
        <v>1890000</v>
      </c>
      <c r="P520" s="33">
        <f t="shared" ref="P520:Q520" si="863">P1638</f>
        <v>1392000</v>
      </c>
      <c r="Q520" s="33">
        <f t="shared" si="863"/>
        <v>1300000</v>
      </c>
      <c r="R520" s="114">
        <f t="shared" ref="R520" si="864">R1638</f>
        <v>1350000</v>
      </c>
    </row>
    <row r="521" spans="1:18" x14ac:dyDescent="0.2">
      <c r="A521" s="107">
        <f>ROUND(A1639,-3)</f>
        <v>0</v>
      </c>
      <c r="B521" s="33">
        <f t="shared" si="855"/>
        <v>0</v>
      </c>
      <c r="C521" s="189">
        <f t="shared" si="855"/>
        <v>0</v>
      </c>
      <c r="D521" s="189">
        <f>D1639</f>
        <v>0</v>
      </c>
      <c r="E521" s="238"/>
      <c r="F521" s="366" t="s">
        <v>5984</v>
      </c>
      <c r="G521" s="198">
        <f t="shared" ref="G521:O521" si="865">G1639</f>
        <v>0</v>
      </c>
      <c r="H521" s="138"/>
      <c r="I521" s="33">
        <f t="shared" si="865"/>
        <v>0</v>
      </c>
      <c r="J521" s="33">
        <f t="shared" si="865"/>
        <v>0</v>
      </c>
      <c r="K521" s="33">
        <f t="shared" si="865"/>
        <v>0</v>
      </c>
      <c r="L521" s="33">
        <f t="shared" si="865"/>
        <v>0</v>
      </c>
      <c r="M521" s="33">
        <f t="shared" si="865"/>
        <v>0</v>
      </c>
      <c r="N521" s="33">
        <f t="shared" si="865"/>
        <v>0</v>
      </c>
      <c r="O521" s="33">
        <f t="shared" si="865"/>
        <v>0</v>
      </c>
      <c r="P521" s="33">
        <f t="shared" ref="P521:Q521" si="866">P1639</f>
        <v>0</v>
      </c>
      <c r="Q521" s="33">
        <f t="shared" si="866"/>
        <v>0</v>
      </c>
      <c r="R521" s="114">
        <f t="shared" ref="R521" si="867">R1639</f>
        <v>0</v>
      </c>
    </row>
    <row r="522" spans="1:18" x14ac:dyDescent="0.2">
      <c r="A522" s="107">
        <f>ROUND(A1640,-2)</f>
        <v>1136000</v>
      </c>
      <c r="B522" s="33">
        <f t="shared" si="855"/>
        <v>1164900</v>
      </c>
      <c r="C522" s="142">
        <f t="shared" si="855"/>
        <v>1223200</v>
      </c>
      <c r="D522" s="142">
        <f>D1640</f>
        <v>1385100</v>
      </c>
      <c r="E522" s="238"/>
      <c r="F522" s="366" t="s">
        <v>972</v>
      </c>
      <c r="G522" s="198">
        <f t="shared" ref="G522:O522" si="868">G1640</f>
        <v>2070000</v>
      </c>
      <c r="H522" s="138"/>
      <c r="I522" s="33">
        <f t="shared" si="868"/>
        <v>1094000</v>
      </c>
      <c r="J522" s="33">
        <f t="shared" si="868"/>
        <v>1270000</v>
      </c>
      <c r="K522" s="33">
        <f t="shared" si="868"/>
        <v>744000</v>
      </c>
      <c r="L522" s="33">
        <f t="shared" si="868"/>
        <v>1649000</v>
      </c>
      <c r="M522" s="33">
        <f t="shared" si="868"/>
        <v>1202000</v>
      </c>
      <c r="N522" s="33">
        <f t="shared" si="868"/>
        <v>1623000</v>
      </c>
      <c r="O522" s="33">
        <f t="shared" si="868"/>
        <v>1890000</v>
      </c>
      <c r="P522" s="33">
        <f t="shared" ref="P522:Q522" si="869">P1640</f>
        <v>1392000</v>
      </c>
      <c r="Q522" s="33">
        <f t="shared" si="869"/>
        <v>1300000</v>
      </c>
      <c r="R522" s="114">
        <f t="shared" ref="R522" si="870">R1640</f>
        <v>1350000</v>
      </c>
    </row>
    <row r="523" spans="1:18" x14ac:dyDescent="0.2">
      <c r="A523" s="107"/>
      <c r="B523" s="33"/>
      <c r="E523" s="238"/>
      <c r="F523" s="516"/>
      <c r="G523" s="198"/>
      <c r="H523" s="138"/>
      <c r="I523" s="33"/>
      <c r="J523" s="33"/>
      <c r="K523" s="33"/>
      <c r="L523" s="33"/>
      <c r="M523" s="33"/>
      <c r="N523" s="33"/>
      <c r="O523" s="33"/>
      <c r="P523" s="33"/>
      <c r="Q523" s="33"/>
      <c r="R523" s="114"/>
    </row>
    <row r="524" spans="1:18" s="92" customFormat="1" x14ac:dyDescent="0.2">
      <c r="A524" s="181">
        <f>A513-A518-A519+A520++A521-A522</f>
        <v>0</v>
      </c>
      <c r="B524" s="397">
        <f>B513-B518-B519+B520++B521-B522</f>
        <v>0</v>
      </c>
      <c r="C524" s="398">
        <f>C513-C518-C519+C520++C521-C522</f>
        <v>0</v>
      </c>
      <c r="D524" s="398">
        <f>D513-D518-D519+D520++D521-D522</f>
        <v>0</v>
      </c>
      <c r="E524" s="526"/>
      <c r="F524" s="518" t="s">
        <v>2490</v>
      </c>
      <c r="G524" s="2605">
        <f t="shared" ref="G524:O524" si="871">G513-G518-G519+G520++G521-G522</f>
        <v>0</v>
      </c>
      <c r="H524" s="395">
        <f>IF(D524=G524,0,IF(D524=0,100,(G524-D524)/D524*100))</f>
        <v>0</v>
      </c>
      <c r="I524" s="397">
        <f t="shared" si="871"/>
        <v>0</v>
      </c>
      <c r="J524" s="397">
        <f t="shared" si="871"/>
        <v>0</v>
      </c>
      <c r="K524" s="397">
        <f t="shared" si="871"/>
        <v>0</v>
      </c>
      <c r="L524" s="397">
        <f t="shared" si="871"/>
        <v>0</v>
      </c>
      <c r="M524" s="397">
        <f t="shared" si="871"/>
        <v>0</v>
      </c>
      <c r="N524" s="397">
        <f t="shared" si="871"/>
        <v>0</v>
      </c>
      <c r="O524" s="397">
        <f t="shared" si="871"/>
        <v>0</v>
      </c>
      <c r="P524" s="397">
        <f t="shared" ref="P524:Q524" si="872">P513-P518-P519+P520++P521-P522</f>
        <v>0</v>
      </c>
      <c r="Q524" s="397">
        <f t="shared" si="872"/>
        <v>0</v>
      </c>
      <c r="R524" s="399">
        <f t="shared" ref="R524" si="873">R513-R518-R519+R520++R521-R522</f>
        <v>0</v>
      </c>
    </row>
    <row r="525" spans="1:18" ht="13.5" thickBot="1" x14ac:dyDescent="0.25">
      <c r="A525" s="73"/>
      <c r="B525" s="90"/>
      <c r="C525" s="195"/>
      <c r="D525" s="195"/>
      <c r="E525" s="239"/>
      <c r="F525" s="368"/>
      <c r="G525" s="2502"/>
      <c r="H525" s="392"/>
      <c r="I525" s="66"/>
      <c r="J525" s="66"/>
      <c r="K525" s="66"/>
      <c r="L525" s="66"/>
      <c r="M525" s="66"/>
      <c r="N525" s="66"/>
      <c r="O525" s="66"/>
      <c r="P525" s="66"/>
      <c r="Q525" s="66"/>
      <c r="R525" s="165"/>
    </row>
    <row r="526" spans="1:18" s="99" customFormat="1" ht="13.5" thickTop="1" x14ac:dyDescent="0.2">
      <c r="A526" s="74"/>
      <c r="B526" s="74"/>
      <c r="C526" s="197"/>
      <c r="D526" s="197"/>
      <c r="E526" s="238"/>
      <c r="F526" s="137"/>
      <c r="G526" s="197"/>
      <c r="H526" s="2507"/>
    </row>
    <row r="527" spans="1:18" s="99" customFormat="1" ht="13.5" thickBot="1" x14ac:dyDescent="0.25">
      <c r="A527" s="74"/>
      <c r="B527" s="74"/>
      <c r="C527" s="74"/>
      <c r="D527" s="74"/>
      <c r="E527" s="660"/>
      <c r="F527" s="137"/>
      <c r="G527" s="74"/>
      <c r="H527" s="2507"/>
    </row>
    <row r="528" spans="1:18" s="91" customFormat="1" ht="18.75" customHeight="1" thickTop="1" thickBot="1" x14ac:dyDescent="0.3">
      <c r="A528" s="2865" t="s">
        <v>1245</v>
      </c>
      <c r="B528" s="2866"/>
      <c r="C528" s="2866"/>
      <c r="D528" s="2866"/>
      <c r="E528" s="2866"/>
      <c r="F528" s="2866"/>
      <c r="G528" s="2866"/>
      <c r="H528" s="2866"/>
      <c r="I528" s="2866"/>
      <c r="J528" s="2866"/>
      <c r="K528" s="2866"/>
      <c r="L528" s="2866"/>
      <c r="M528" s="2866"/>
      <c r="N528" s="2866"/>
      <c r="O528" s="2866"/>
      <c r="P528" s="2866"/>
      <c r="Q528" s="2866"/>
      <c r="R528" s="2867"/>
    </row>
    <row r="529" spans="1:22" s="44" customFormat="1" x14ac:dyDescent="0.2">
      <c r="A529" s="2848" t="s">
        <v>1856</v>
      </c>
      <c r="B529" s="2840"/>
      <c r="C529" s="2840"/>
      <c r="D529" s="2849"/>
      <c r="E529" s="369" t="s">
        <v>2663</v>
      </c>
      <c r="F529" s="2649" t="s">
        <v>2251</v>
      </c>
      <c r="G529" s="2885" t="s">
        <v>2253</v>
      </c>
      <c r="H529" s="2886"/>
      <c r="I529" s="2886"/>
      <c r="J529" s="2886"/>
      <c r="K529" s="2886"/>
      <c r="L529" s="2886"/>
      <c r="M529" s="2886"/>
      <c r="N529" s="2886"/>
      <c r="O529" s="2886"/>
      <c r="P529" s="2886"/>
      <c r="Q529" s="2886"/>
      <c r="R529" s="2887"/>
    </row>
    <row r="530" spans="1:22" s="23" customFormat="1" ht="13.5" thickBot="1" x14ac:dyDescent="0.25">
      <c r="A530" s="208" t="str">
        <f>DEH!A3</f>
        <v>2012/13</v>
      </c>
      <c r="B530" s="75" t="str">
        <f>DEH!B3</f>
        <v>2013/14</v>
      </c>
      <c r="C530" s="370" t="str">
        <f>DEH!C3</f>
        <v>2014/15</v>
      </c>
      <c r="D530" s="93" t="str">
        <f>DEH!D3</f>
        <v>2015/16</v>
      </c>
      <c r="E530" s="672" t="s">
        <v>2664</v>
      </c>
      <c r="F530" s="42"/>
      <c r="G530" s="93" t="str">
        <f>DEH!G3</f>
        <v>2016/17</v>
      </c>
      <c r="H530" s="2527" t="s">
        <v>501</v>
      </c>
      <c r="I530" s="370" t="str">
        <f>DEH!I3</f>
        <v>2017/18</v>
      </c>
      <c r="J530" s="370" t="str">
        <f>DEH!J3</f>
        <v>2018/19</v>
      </c>
      <c r="K530" s="370" t="str">
        <f>DEH!K3</f>
        <v>2019/20</v>
      </c>
      <c r="L530" s="370" t="str">
        <f>DEH!L3</f>
        <v>2020/21</v>
      </c>
      <c r="M530" s="370" t="str">
        <f>DEH!M3</f>
        <v>2021/22</v>
      </c>
      <c r="N530" s="370" t="str">
        <f>DEH!N3</f>
        <v>2022/23</v>
      </c>
      <c r="O530" s="370" t="str">
        <f>DEH!O3</f>
        <v>2023/24</v>
      </c>
      <c r="P530" s="370" t="str">
        <f>DEH!P3</f>
        <v>2024/25</v>
      </c>
      <c r="Q530" s="218" t="str">
        <f>DEH!Q3</f>
        <v>2025/26</v>
      </c>
      <c r="R530" s="549" t="str">
        <f>DEH!R3</f>
        <v>2026/27</v>
      </c>
    </row>
    <row r="531" spans="1:22" x14ac:dyDescent="0.2">
      <c r="A531" s="107"/>
      <c r="B531" s="33"/>
      <c r="C531" s="33"/>
      <c r="D531" s="33"/>
      <c r="E531" s="658"/>
      <c r="F531" s="74"/>
      <c r="G531" s="33"/>
      <c r="H531" s="138"/>
      <c r="I531" s="33"/>
      <c r="J531" s="33"/>
      <c r="K531" s="33"/>
      <c r="L531" s="33"/>
      <c r="M531" s="33"/>
      <c r="N531" s="33"/>
      <c r="O531" s="33"/>
      <c r="P531" s="33"/>
      <c r="Q531" s="33"/>
      <c r="R531" s="114"/>
    </row>
    <row r="532" spans="1:22" x14ac:dyDescent="0.2">
      <c r="A532" s="107"/>
      <c r="B532" s="33"/>
      <c r="C532" s="33"/>
      <c r="D532" s="33"/>
      <c r="E532" s="658"/>
      <c r="F532" s="144" t="s">
        <v>1073</v>
      </c>
      <c r="G532" s="33"/>
      <c r="H532" s="138"/>
      <c r="I532" s="33"/>
      <c r="J532" s="33"/>
      <c r="K532" s="33"/>
      <c r="L532" s="33"/>
      <c r="M532" s="33"/>
      <c r="N532" s="33"/>
      <c r="O532" s="33"/>
      <c r="P532" s="33"/>
      <c r="Q532" s="33"/>
      <c r="R532" s="114"/>
    </row>
    <row r="533" spans="1:22" x14ac:dyDescent="0.2">
      <c r="A533" s="107"/>
      <c r="B533" s="33"/>
      <c r="C533" s="33"/>
      <c r="D533" s="33"/>
      <c r="E533" s="240"/>
      <c r="F533" s="112"/>
      <c r="G533" s="33"/>
      <c r="H533" s="138"/>
      <c r="I533" s="33"/>
      <c r="J533" s="33"/>
      <c r="K533" s="33"/>
      <c r="L533" s="33"/>
      <c r="M533" s="33"/>
      <c r="N533" s="33"/>
      <c r="O533" s="33"/>
      <c r="P533" s="33"/>
      <c r="Q533" s="33"/>
      <c r="R533" s="114"/>
    </row>
    <row r="534" spans="1:22" x14ac:dyDescent="0.2">
      <c r="A534" s="107">
        <f>ROUND(SUM(CIV!A1652:A1656),-3)</f>
        <v>249000</v>
      </c>
      <c r="B534" s="33">
        <f>SUM(CIV!B1652:B1656)</f>
        <v>161500</v>
      </c>
      <c r="C534" s="33">
        <f>SUM(CIV!C1652:C1656)</f>
        <v>181900</v>
      </c>
      <c r="D534" s="33">
        <f>SUM(CIV!D1652:D1656)</f>
        <v>172300</v>
      </c>
      <c r="E534" s="240">
        <v>21060</v>
      </c>
      <c r="F534" s="76" t="s">
        <v>2880</v>
      </c>
      <c r="G534" s="33">
        <f>SUM(CIV!G1652:G1656)</f>
        <v>219000</v>
      </c>
      <c r="H534" s="138">
        <f>IF(D534=G534,0,IF(D534=0,100,(G534-D534)/D534*100))</f>
        <v>27.103888566453861</v>
      </c>
      <c r="I534" s="33">
        <f>SUM(CIV!I1652:I1656)</f>
        <v>167500</v>
      </c>
      <c r="J534" s="33">
        <f>SUM(CIV!J1652:J1656)</f>
        <v>171800</v>
      </c>
      <c r="K534" s="33">
        <f>SUM(CIV!K1652:K1656)</f>
        <v>176200</v>
      </c>
      <c r="L534" s="33">
        <f>SUM(CIV!L1652:L1656)</f>
        <v>180700</v>
      </c>
      <c r="M534" s="33">
        <f>SUM(CIV!M1652:M1656)</f>
        <v>184500</v>
      </c>
      <c r="N534" s="33">
        <f>SUM(CIV!N1652:N1656)</f>
        <v>188300</v>
      </c>
      <c r="O534" s="33">
        <f>SUM(CIV!O1652:O1656)</f>
        <v>192100</v>
      </c>
      <c r="P534" s="33">
        <f>SUM(CIV!P1652:P1656)</f>
        <v>196100</v>
      </c>
      <c r="Q534" s="33">
        <f>SUM(CIV!Q1652:Q1656)</f>
        <v>200200</v>
      </c>
      <c r="R534" s="114">
        <f>SUM(CIV!R1652:R1656)</f>
        <v>204400</v>
      </c>
      <c r="U534" s="92"/>
      <c r="V534" s="92"/>
    </row>
    <row r="535" spans="1:22" ht="13.5" thickBot="1" x14ac:dyDescent="0.25">
      <c r="A535" s="70"/>
      <c r="B535" s="64"/>
      <c r="C535" s="64"/>
      <c r="D535" s="64"/>
      <c r="E535" s="240"/>
      <c r="F535" s="74"/>
      <c r="G535" s="64"/>
      <c r="H535" s="179"/>
      <c r="I535" s="33"/>
      <c r="J535" s="33"/>
      <c r="K535" s="33"/>
      <c r="L535" s="33"/>
      <c r="M535" s="33"/>
      <c r="N535" s="33"/>
      <c r="O535" s="33"/>
      <c r="P535" s="33"/>
      <c r="Q535" s="33"/>
      <c r="R535" s="114"/>
    </row>
    <row r="536" spans="1:22" x14ac:dyDescent="0.2">
      <c r="A536" s="105">
        <f>SUM(A533:A535)</f>
        <v>249000</v>
      </c>
      <c r="B536" s="53">
        <f>SUM(B533:B535)</f>
        <v>161500</v>
      </c>
      <c r="C536" s="53">
        <f>SUM(C533:C535)</f>
        <v>181900</v>
      </c>
      <c r="D536" s="53">
        <f>SUM(D533:D535)</f>
        <v>172300</v>
      </c>
      <c r="E536" s="240"/>
      <c r="F536" s="112" t="s">
        <v>2605</v>
      </c>
      <c r="G536" s="53">
        <f t="shared" ref="G536:O536" si="874">SUM(G533:G535)</f>
        <v>219000</v>
      </c>
      <c r="H536" s="180">
        <f>IF(D536=G536,0,IF(D536=0,100,(G536-D536)/D536*100))</f>
        <v>27.103888566453861</v>
      </c>
      <c r="I536" s="53">
        <f t="shared" si="874"/>
        <v>167500</v>
      </c>
      <c r="J536" s="53">
        <f t="shared" si="874"/>
        <v>171800</v>
      </c>
      <c r="K536" s="53">
        <f t="shared" si="874"/>
        <v>176200</v>
      </c>
      <c r="L536" s="53">
        <f t="shared" si="874"/>
        <v>180700</v>
      </c>
      <c r="M536" s="53">
        <f t="shared" si="874"/>
        <v>184500</v>
      </c>
      <c r="N536" s="53">
        <f t="shared" si="874"/>
        <v>188300</v>
      </c>
      <c r="O536" s="53">
        <f t="shared" si="874"/>
        <v>192100</v>
      </c>
      <c r="P536" s="53">
        <f t="shared" ref="P536:Q536" si="875">SUM(P533:P535)</f>
        <v>196100</v>
      </c>
      <c r="Q536" s="53">
        <f t="shared" si="875"/>
        <v>200200</v>
      </c>
      <c r="R536" s="113">
        <f t="shared" ref="R536" si="876">SUM(R533:R535)</f>
        <v>204400</v>
      </c>
    </row>
    <row r="537" spans="1:22" x14ac:dyDescent="0.2">
      <c r="A537" s="107"/>
      <c r="B537" s="33"/>
      <c r="C537" s="33"/>
      <c r="D537" s="33"/>
      <c r="E537" s="240"/>
      <c r="F537" s="112"/>
      <c r="G537" s="33"/>
      <c r="H537" s="138"/>
      <c r="I537" s="33"/>
      <c r="J537" s="33"/>
      <c r="K537" s="33"/>
      <c r="L537" s="33"/>
      <c r="M537" s="33"/>
      <c r="N537" s="33"/>
      <c r="O537" s="33"/>
      <c r="P537" s="33"/>
      <c r="Q537" s="33"/>
      <c r="R537" s="114"/>
    </row>
    <row r="538" spans="1:22" x14ac:dyDescent="0.2">
      <c r="A538" s="107"/>
      <c r="B538" s="33"/>
      <c r="C538" s="33"/>
      <c r="D538" s="33"/>
      <c r="E538" s="240"/>
      <c r="F538" s="144" t="s">
        <v>2205</v>
      </c>
      <c r="G538" s="33"/>
      <c r="H538" s="138"/>
      <c r="I538" s="33"/>
      <c r="J538" s="33"/>
      <c r="K538" s="33"/>
      <c r="L538" s="33"/>
      <c r="M538" s="33"/>
      <c r="N538" s="33"/>
      <c r="O538" s="33"/>
      <c r="P538" s="33"/>
      <c r="Q538" s="33"/>
      <c r="R538" s="114"/>
    </row>
    <row r="539" spans="1:22" x14ac:dyDescent="0.2">
      <c r="A539" s="107"/>
      <c r="B539" s="33"/>
      <c r="C539" s="33"/>
      <c r="D539" s="33"/>
      <c r="E539" s="240"/>
      <c r="F539" s="144"/>
      <c r="G539" s="33"/>
      <c r="H539" s="138"/>
      <c r="I539" s="33"/>
      <c r="J539" s="33"/>
      <c r="K539" s="33"/>
      <c r="L539" s="33"/>
      <c r="M539" s="33"/>
      <c r="N539" s="33"/>
      <c r="O539" s="33"/>
      <c r="P539" s="33"/>
      <c r="Q539" s="33"/>
      <c r="R539" s="114"/>
    </row>
    <row r="540" spans="1:22" s="92" customFormat="1" x14ac:dyDescent="0.2">
      <c r="A540" s="107">
        <f>ROUND(SUM(CIV!A1662:A1662),-3)</f>
        <v>50000</v>
      </c>
      <c r="B540" s="33">
        <f>SUM(CIV!B1662:B1662)</f>
        <v>50700</v>
      </c>
      <c r="C540" s="33">
        <f>SUM(CIV!C1662:C1662)</f>
        <v>50600</v>
      </c>
      <c r="D540" s="33">
        <f>SUM(CIV!D1662:D1662)</f>
        <v>52500</v>
      </c>
      <c r="E540" s="240">
        <v>31060</v>
      </c>
      <c r="F540" s="99" t="s">
        <v>1359</v>
      </c>
      <c r="G540" s="33">
        <f>SUM(CIV!G1662:G1662)</f>
        <v>53500</v>
      </c>
      <c r="H540" s="138">
        <f t="shared" ref="H540:H541" si="877">IF(D540=G540,0,IF(D540=0,100,(G540-D540)/D540*100))</f>
        <v>1.9047619047619049</v>
      </c>
      <c r="I540" s="33">
        <f>SUM(CIV!I1662:I1662)</f>
        <v>54400</v>
      </c>
      <c r="J540" s="33">
        <f>SUM(CIV!J1662:J1662)</f>
        <v>55800</v>
      </c>
      <c r="K540" s="33">
        <f>SUM(CIV!K1662:K1662)</f>
        <v>57200</v>
      </c>
      <c r="L540" s="33">
        <f>SUM(CIV!L1662:L1662)</f>
        <v>58700</v>
      </c>
      <c r="M540" s="33">
        <f>SUM(CIV!M1662:M1662)</f>
        <v>59900</v>
      </c>
      <c r="N540" s="33">
        <f>SUM(CIV!N1662:N1662)</f>
        <v>61100</v>
      </c>
      <c r="O540" s="33">
        <f>SUM(CIV!O1662:O1662)</f>
        <v>62400</v>
      </c>
      <c r="P540" s="33">
        <f>SUM(CIV!P1662:P1662)</f>
        <v>63700</v>
      </c>
      <c r="Q540" s="33">
        <f>SUM(CIV!Q1662:Q1662)</f>
        <v>65000</v>
      </c>
      <c r="R540" s="114">
        <f>SUM(CIV!R1662:R1662)</f>
        <v>66300</v>
      </c>
      <c r="S540" s="84"/>
      <c r="T540" s="99"/>
    </row>
    <row r="541" spans="1:22" s="92" customFormat="1" ht="11.25" customHeight="1" x14ac:dyDescent="0.2">
      <c r="A541" s="107">
        <f>ROUND(SUM(CIV!A1663:A1663),-3)</f>
        <v>138000</v>
      </c>
      <c r="B541" s="33">
        <f>SUM(CIV!B1663:B1663)</f>
        <v>194100</v>
      </c>
      <c r="C541" s="33">
        <f>SUM(CIV!C1663:C1663)</f>
        <v>111800</v>
      </c>
      <c r="D541" s="33">
        <f>SUM(CIV!D1663:D1663)</f>
        <v>120000</v>
      </c>
      <c r="E541" s="240">
        <v>31060</v>
      </c>
      <c r="F541" s="99" t="s">
        <v>319</v>
      </c>
      <c r="G541" s="33">
        <f>SUM(CIV!G1663:G1663)</f>
        <v>154600</v>
      </c>
      <c r="H541" s="138">
        <f t="shared" si="877"/>
        <v>28.833333333333332</v>
      </c>
      <c r="I541" s="33">
        <f>SUM(CIV!I1663:I1663)</f>
        <v>157000</v>
      </c>
      <c r="J541" s="33">
        <f>SUM(CIV!J1663:J1663)</f>
        <v>161000</v>
      </c>
      <c r="K541" s="33">
        <f>SUM(CIV!K1663:K1663)</f>
        <v>165100</v>
      </c>
      <c r="L541" s="33">
        <f>SUM(CIV!L1663:L1663)</f>
        <v>169300</v>
      </c>
      <c r="M541" s="33">
        <f>SUM(CIV!M1663:M1663)</f>
        <v>172700</v>
      </c>
      <c r="N541" s="33">
        <f>SUM(CIV!N1663:N1663)</f>
        <v>176200</v>
      </c>
      <c r="O541" s="33">
        <f>SUM(CIV!O1663:O1663)</f>
        <v>179800</v>
      </c>
      <c r="P541" s="33">
        <f>SUM(CIV!P1663:P1663)</f>
        <v>183400</v>
      </c>
      <c r="Q541" s="33">
        <f>SUM(CIV!Q1663:Q1663)</f>
        <v>187100</v>
      </c>
      <c r="R541" s="114">
        <f>SUM(CIV!R1663:R1663)</f>
        <v>190900</v>
      </c>
      <c r="S541" s="84"/>
      <c r="T541" s="99"/>
    </row>
    <row r="542" spans="1:22" x14ac:dyDescent="0.2">
      <c r="A542" s="107">
        <f>ROUND(SUM(CIV!A1665:A1675),-3)</f>
        <v>95000</v>
      </c>
      <c r="B542" s="33">
        <f>SUM(CIV!B1665:B1675)</f>
        <v>79300</v>
      </c>
      <c r="C542" s="33">
        <f>SUM(CIV!C1665:C1675)</f>
        <v>83000</v>
      </c>
      <c r="D542" s="33">
        <f>SUM(CIV!D1665:D1675)</f>
        <v>80500</v>
      </c>
      <c r="E542" s="240">
        <v>31061</v>
      </c>
      <c r="F542" s="99" t="s">
        <v>706</v>
      </c>
      <c r="G542" s="33">
        <f>SUM(CIV!G1665:G1675)</f>
        <v>107000</v>
      </c>
      <c r="H542" s="138">
        <f>IF(D542=G542,0,IF(D542=0,100,(G542-D542)/D542*100))</f>
        <v>32.919254658385093</v>
      </c>
      <c r="I542" s="33">
        <f>SUM(CIV!I1665:I1675)</f>
        <v>109100</v>
      </c>
      <c r="J542" s="33">
        <f>SUM(CIV!J1665:J1675)</f>
        <v>112400</v>
      </c>
      <c r="K542" s="33">
        <f>SUM(CIV!K1665:K1675)</f>
        <v>115700</v>
      </c>
      <c r="L542" s="33">
        <f>SUM(CIV!L1665:L1675)</f>
        <v>119000</v>
      </c>
      <c r="M542" s="33">
        <f>SUM(CIV!M1665:M1675)</f>
        <v>121700</v>
      </c>
      <c r="N542" s="33">
        <f>SUM(CIV!N1665:N1675)</f>
        <v>124700</v>
      </c>
      <c r="O542" s="33">
        <f>SUM(CIV!O1665:O1675)</f>
        <v>127700</v>
      </c>
      <c r="P542" s="33">
        <f>SUM(CIV!P1665:P1675)</f>
        <v>130800</v>
      </c>
      <c r="Q542" s="33">
        <f>SUM(CIV!Q1665:Q1675)</f>
        <v>133900</v>
      </c>
      <c r="R542" s="114">
        <f>SUM(CIV!R1665:R1675)</f>
        <v>137100</v>
      </c>
      <c r="T542" s="99"/>
    </row>
    <row r="543" spans="1:22" x14ac:dyDescent="0.2">
      <c r="A543" s="107">
        <f>ROUND(SUM(CIV!A1676:A1680),-3)</f>
        <v>115000</v>
      </c>
      <c r="B543" s="33">
        <f>SUM(CIV!B1676:B1680)</f>
        <v>40800</v>
      </c>
      <c r="C543" s="33">
        <f>SUM(CIV!C1676:C1680)</f>
        <v>31600</v>
      </c>
      <c r="D543" s="33">
        <f>SUM(CIV!D1676:D1680)</f>
        <v>77000</v>
      </c>
      <c r="E543" s="240">
        <v>31062</v>
      </c>
      <c r="F543" s="78" t="s">
        <v>4672</v>
      </c>
      <c r="G543" s="33">
        <f>SUM(CIV!G1676:G1680)</f>
        <v>78700</v>
      </c>
      <c r="H543" s="138">
        <f>IF(D543=G543,0,IF(D543=0,100,(G543-D543)/D543*100))</f>
        <v>2.2077922077922079</v>
      </c>
      <c r="I543" s="33">
        <f>SUM(CIV!I1676:I1680)</f>
        <v>61200</v>
      </c>
      <c r="J543" s="33">
        <f>SUM(CIV!J1676:J1680)</f>
        <v>62900</v>
      </c>
      <c r="K543" s="33">
        <f>SUM(CIV!K1676:K1680)</f>
        <v>64700</v>
      </c>
      <c r="L543" s="33">
        <f>SUM(CIV!L1676:L1680)</f>
        <v>66500</v>
      </c>
      <c r="M543" s="33">
        <f>SUM(CIV!M1676:M1680)</f>
        <v>68000</v>
      </c>
      <c r="N543" s="33">
        <f>SUM(CIV!N1676:N1680)</f>
        <v>69500</v>
      </c>
      <c r="O543" s="33">
        <f>SUM(CIV!O1676:O1680)</f>
        <v>71000</v>
      </c>
      <c r="P543" s="33">
        <f>SUM(CIV!P1676:P1680)</f>
        <v>72600</v>
      </c>
      <c r="Q543" s="33">
        <f>SUM(CIV!Q1676:Q1680)</f>
        <v>74200</v>
      </c>
      <c r="R543" s="114">
        <f>SUM(CIV!R1676:R1680)</f>
        <v>75900</v>
      </c>
    </row>
    <row r="544" spans="1:22" x14ac:dyDescent="0.2">
      <c r="A544" s="107"/>
      <c r="B544" s="33"/>
      <c r="C544" s="33"/>
      <c r="D544" s="33"/>
      <c r="E544" s="240"/>
      <c r="F544" s="99"/>
      <c r="G544" s="33"/>
      <c r="H544" s="138"/>
      <c r="I544" s="33"/>
      <c r="J544" s="33"/>
      <c r="K544" s="33"/>
      <c r="L544" s="33"/>
      <c r="M544" s="33"/>
      <c r="N544" s="33"/>
      <c r="O544" s="33"/>
      <c r="P544" s="33"/>
      <c r="Q544" s="33"/>
      <c r="R544" s="114"/>
    </row>
    <row r="545" spans="1:18" x14ac:dyDescent="0.2">
      <c r="A545" s="107"/>
      <c r="B545" s="33"/>
      <c r="C545" s="33"/>
      <c r="D545" s="33"/>
      <c r="E545" s="240"/>
      <c r="F545" s="145" t="s">
        <v>2685</v>
      </c>
      <c r="G545" s="33"/>
      <c r="H545" s="138"/>
      <c r="I545" s="33"/>
      <c r="J545" s="33"/>
      <c r="K545" s="33"/>
      <c r="L545" s="33"/>
      <c r="M545" s="33"/>
      <c r="N545" s="33"/>
      <c r="O545" s="33"/>
      <c r="P545" s="33"/>
      <c r="Q545" s="33"/>
      <c r="R545" s="114"/>
    </row>
    <row r="546" spans="1:18" x14ac:dyDescent="0.2">
      <c r="A546" s="107">
        <f>ROUND(SUM(CIV!A1682:A1683),-3)</f>
        <v>9000</v>
      </c>
      <c r="B546" s="33">
        <f>SUM(CIV!B1682:B1683)</f>
        <v>0</v>
      </c>
      <c r="C546" s="33">
        <f>SUM(CIV!C1682:C1683)</f>
        <v>0</v>
      </c>
      <c r="D546" s="33">
        <f>SUM(CIV!D1682:D1683)</f>
        <v>0</v>
      </c>
      <c r="E546" s="240">
        <v>31062</v>
      </c>
      <c r="F546" s="99" t="s">
        <v>2070</v>
      </c>
      <c r="G546" s="33">
        <f>SUM(CIV!G1682:G1683)</f>
        <v>0</v>
      </c>
      <c r="H546" s="138">
        <f>IF(D546=G546,0,IF(D546=0,100,(G546-D546)/D546*100))</f>
        <v>0</v>
      </c>
      <c r="I546" s="33">
        <f>SUM(CIV!I1682:I1683)</f>
        <v>0</v>
      </c>
      <c r="J546" s="33">
        <f>SUM(CIV!J1682:J1683)</f>
        <v>0</v>
      </c>
      <c r="K546" s="33">
        <f>SUM(CIV!K1682:K1683)</f>
        <v>0</v>
      </c>
      <c r="L546" s="33">
        <f>SUM(CIV!L1682:L1683)</f>
        <v>0</v>
      </c>
      <c r="M546" s="33">
        <f>SUM(CIV!M1682:M1683)</f>
        <v>0</v>
      </c>
      <c r="N546" s="33">
        <f>SUM(CIV!N1682:N1683)</f>
        <v>0</v>
      </c>
      <c r="O546" s="33">
        <f>SUM(CIV!O1682:O1683)</f>
        <v>0</v>
      </c>
      <c r="P546" s="33">
        <f>SUM(CIV!P1682:P1683)</f>
        <v>0</v>
      </c>
      <c r="Q546" s="33">
        <f>SUM(CIV!Q1682:Q1683)</f>
        <v>0</v>
      </c>
      <c r="R546" s="114">
        <f>SUM(CIV!R1682:R1683)</f>
        <v>0</v>
      </c>
    </row>
    <row r="547" spans="1:18" ht="13.5" thickBot="1" x14ac:dyDescent="0.25">
      <c r="A547" s="70"/>
      <c r="B547" s="64"/>
      <c r="C547" s="64"/>
      <c r="D547" s="64"/>
      <c r="E547" s="240"/>
      <c r="F547" s="74"/>
      <c r="G547" s="64"/>
      <c r="H547" s="179"/>
      <c r="I547" s="33"/>
      <c r="J547" s="33"/>
      <c r="K547" s="33"/>
      <c r="L547" s="33"/>
      <c r="M547" s="33"/>
      <c r="N547" s="33"/>
      <c r="O547" s="33"/>
      <c r="P547" s="33"/>
      <c r="Q547" s="33"/>
      <c r="R547" s="114"/>
    </row>
    <row r="548" spans="1:18" s="92" customFormat="1" x14ac:dyDescent="0.2">
      <c r="A548" s="105">
        <f>SUM(A540:A547)</f>
        <v>407000</v>
      </c>
      <c r="B548" s="53">
        <f>SUM(B540:B547)</f>
        <v>364900</v>
      </c>
      <c r="C548" s="53">
        <f>SUM(C540:C547)</f>
        <v>277000</v>
      </c>
      <c r="D548" s="53">
        <f>SUM(D540:D547)</f>
        <v>330000</v>
      </c>
      <c r="E548" s="674"/>
      <c r="F548" s="112" t="s">
        <v>565</v>
      </c>
      <c r="G548" s="53">
        <f t="shared" ref="G548:O548" si="878">SUM(G540:G547)</f>
        <v>393800</v>
      </c>
      <c r="H548" s="180">
        <f>IF(D548=G548,0,IF(D548=0,100,(G548-D548)/D548*100))</f>
        <v>19.333333333333332</v>
      </c>
      <c r="I548" s="53">
        <f t="shared" si="878"/>
        <v>381700</v>
      </c>
      <c r="J548" s="53">
        <f t="shared" si="878"/>
        <v>392100</v>
      </c>
      <c r="K548" s="53">
        <f t="shared" si="878"/>
        <v>402700</v>
      </c>
      <c r="L548" s="53">
        <f t="shared" si="878"/>
        <v>413500</v>
      </c>
      <c r="M548" s="53">
        <f t="shared" si="878"/>
        <v>422300</v>
      </c>
      <c r="N548" s="53">
        <f t="shared" si="878"/>
        <v>431500</v>
      </c>
      <c r="O548" s="53">
        <f t="shared" si="878"/>
        <v>440900</v>
      </c>
      <c r="P548" s="53">
        <f t="shared" ref="P548:Q548" si="879">SUM(P540:P547)</f>
        <v>450500</v>
      </c>
      <c r="Q548" s="53">
        <f t="shared" si="879"/>
        <v>460200</v>
      </c>
      <c r="R548" s="113">
        <f t="shared" ref="R548" si="880">SUM(R540:R547)</f>
        <v>470200</v>
      </c>
    </row>
    <row r="549" spans="1:18" x14ac:dyDescent="0.2">
      <c r="A549" s="107"/>
      <c r="B549" s="33"/>
      <c r="C549" s="33"/>
      <c r="D549" s="33"/>
      <c r="E549" s="673"/>
      <c r="F549" s="108"/>
      <c r="G549" s="33"/>
      <c r="H549" s="138"/>
      <c r="I549" s="33"/>
      <c r="J549" s="33"/>
      <c r="K549" s="33"/>
      <c r="L549" s="33"/>
      <c r="M549" s="33"/>
      <c r="N549" s="33"/>
      <c r="O549" s="33"/>
      <c r="P549" s="33"/>
      <c r="Q549" s="33"/>
      <c r="R549" s="114"/>
    </row>
    <row r="550" spans="1:18" s="92" customFormat="1" x14ac:dyDescent="0.2">
      <c r="A550" s="70">
        <f>A536-A548</f>
        <v>-158000</v>
      </c>
      <c r="B550" s="64">
        <f>B536-B548</f>
        <v>-203400</v>
      </c>
      <c r="C550" s="64">
        <f>C536-C548</f>
        <v>-95100</v>
      </c>
      <c r="D550" s="64">
        <f>D536-D548</f>
        <v>-157700</v>
      </c>
      <c r="E550" s="674"/>
      <c r="F550" s="522" t="s">
        <v>1019</v>
      </c>
      <c r="G550" s="64">
        <f t="shared" ref="G550:O550" si="881">G536-G548</f>
        <v>-174800</v>
      </c>
      <c r="H550" s="179">
        <f>IF(D550=G550,0,IF(D550=0,100,(G550-D550)/D550*100))</f>
        <v>10.843373493975903</v>
      </c>
      <c r="I550" s="64">
        <f t="shared" si="881"/>
        <v>-214200</v>
      </c>
      <c r="J550" s="64">
        <f t="shared" si="881"/>
        <v>-220300</v>
      </c>
      <c r="K550" s="64">
        <f t="shared" si="881"/>
        <v>-226500</v>
      </c>
      <c r="L550" s="64">
        <f t="shared" si="881"/>
        <v>-232800</v>
      </c>
      <c r="M550" s="64">
        <f t="shared" si="881"/>
        <v>-237800</v>
      </c>
      <c r="N550" s="64">
        <f t="shared" si="881"/>
        <v>-243200</v>
      </c>
      <c r="O550" s="64">
        <f t="shared" si="881"/>
        <v>-248800</v>
      </c>
      <c r="P550" s="64">
        <f t="shared" ref="P550:Q550" si="882">P536-P548</f>
        <v>-254400</v>
      </c>
      <c r="Q550" s="64">
        <f t="shared" si="882"/>
        <v>-260000</v>
      </c>
      <c r="R550" s="115">
        <f t="shared" ref="R550" si="883">R536-R548</f>
        <v>-265800</v>
      </c>
    </row>
    <row r="551" spans="1:18" x14ac:dyDescent="0.2">
      <c r="A551" s="107">
        <f>ROUND(A546,-3)</f>
        <v>9000</v>
      </c>
      <c r="B551" s="33">
        <f>B546</f>
        <v>0</v>
      </c>
      <c r="C551" s="33">
        <f>C546</f>
        <v>0</v>
      </c>
      <c r="D551" s="33">
        <f>D546</f>
        <v>0</v>
      </c>
      <c r="E551" s="673"/>
      <c r="F551" s="320" t="s">
        <v>1976</v>
      </c>
      <c r="G551" s="33">
        <f t="shared" ref="G551:O551" si="884">G546</f>
        <v>0</v>
      </c>
      <c r="H551" s="138">
        <f>IF(D551=G551,0,IF(D551=0,100,(G551-D551)/D551*100))</f>
        <v>0</v>
      </c>
      <c r="I551" s="33">
        <f t="shared" si="884"/>
        <v>0</v>
      </c>
      <c r="J551" s="33">
        <f t="shared" si="884"/>
        <v>0</v>
      </c>
      <c r="K551" s="33">
        <f t="shared" si="884"/>
        <v>0</v>
      </c>
      <c r="L551" s="33">
        <f t="shared" si="884"/>
        <v>0</v>
      </c>
      <c r="M551" s="33">
        <f t="shared" si="884"/>
        <v>0</v>
      </c>
      <c r="N551" s="33">
        <f t="shared" si="884"/>
        <v>0</v>
      </c>
      <c r="O551" s="33">
        <f t="shared" si="884"/>
        <v>0</v>
      </c>
      <c r="P551" s="33">
        <f t="shared" ref="P551:Q551" si="885">P546</f>
        <v>0</v>
      </c>
      <c r="Q551" s="33">
        <f t="shared" si="885"/>
        <v>0</v>
      </c>
      <c r="R551" s="114">
        <f t="shared" ref="R551" si="886">R546</f>
        <v>0</v>
      </c>
    </row>
    <row r="552" spans="1:18" s="92" customFormat="1" x14ac:dyDescent="0.2">
      <c r="A552" s="181">
        <f>A551+A550</f>
        <v>-149000</v>
      </c>
      <c r="B552" s="397">
        <f>B551+B550</f>
        <v>-203400</v>
      </c>
      <c r="C552" s="397">
        <f>C551+C550</f>
        <v>-95100</v>
      </c>
      <c r="D552" s="397">
        <f>D551+D550</f>
        <v>-157700</v>
      </c>
      <c r="E552" s="675"/>
      <c r="F552" s="515" t="s">
        <v>1687</v>
      </c>
      <c r="G552" s="397">
        <f t="shared" ref="G552:O552" si="887">G551+G550</f>
        <v>-174800</v>
      </c>
      <c r="H552" s="395">
        <f>IF(D552=G552,0,IF(D552=0,100,(G552-D552)/D552*100))</f>
        <v>10.843373493975903</v>
      </c>
      <c r="I552" s="397">
        <f t="shared" si="887"/>
        <v>-214200</v>
      </c>
      <c r="J552" s="397">
        <f t="shared" si="887"/>
        <v>-220300</v>
      </c>
      <c r="K552" s="397">
        <f t="shared" si="887"/>
        <v>-226500</v>
      </c>
      <c r="L552" s="397">
        <f t="shared" si="887"/>
        <v>-232800</v>
      </c>
      <c r="M552" s="397">
        <f t="shared" si="887"/>
        <v>-237800</v>
      </c>
      <c r="N552" s="397">
        <f t="shared" si="887"/>
        <v>-243200</v>
      </c>
      <c r="O552" s="397">
        <f t="shared" si="887"/>
        <v>-248800</v>
      </c>
      <c r="P552" s="397">
        <f t="shared" ref="P552:Q552" si="888">P551+P550</f>
        <v>-254400</v>
      </c>
      <c r="Q552" s="397">
        <f t="shared" si="888"/>
        <v>-260000</v>
      </c>
      <c r="R552" s="399">
        <f t="shared" ref="R552" si="889">R551+R550</f>
        <v>-265800</v>
      </c>
    </row>
    <row r="553" spans="1:18" ht="13.5" thickBot="1" x14ac:dyDescent="0.25">
      <c r="A553" s="70"/>
      <c r="B553" s="64"/>
      <c r="C553" s="64"/>
      <c r="D553" s="64"/>
      <c r="E553" s="658"/>
      <c r="F553" s="137"/>
      <c r="G553" s="64"/>
      <c r="H553" s="179"/>
      <c r="I553" s="33"/>
      <c r="J553" s="33"/>
      <c r="K553" s="33"/>
      <c r="L553" s="33"/>
      <c r="M553" s="33"/>
      <c r="N553" s="33"/>
      <c r="O553" s="33"/>
      <c r="P553" s="33"/>
      <c r="Q553" s="33"/>
      <c r="R553" s="114"/>
    </row>
    <row r="554" spans="1:18" ht="13.5" thickTop="1" x14ac:dyDescent="0.2">
      <c r="A554" s="383"/>
      <c r="B554" s="162"/>
      <c r="C554" s="162"/>
      <c r="D554" s="162"/>
      <c r="E554" s="677"/>
      <c r="F554" s="640"/>
      <c r="G554" s="162"/>
      <c r="H554" s="505"/>
      <c r="I554" s="127"/>
      <c r="J554" s="127"/>
      <c r="K554" s="127"/>
      <c r="L554" s="127"/>
      <c r="M554" s="127"/>
      <c r="N554" s="127"/>
      <c r="O554" s="127"/>
      <c r="P554" s="127"/>
      <c r="Q554" s="127"/>
      <c r="R554" s="163"/>
    </row>
    <row r="555" spans="1:18" x14ac:dyDescent="0.2">
      <c r="A555" s="70"/>
      <c r="B555" s="64"/>
      <c r="C555" s="64"/>
      <c r="D555" s="64"/>
      <c r="E555" s="657"/>
      <c r="F555" s="1962" t="s">
        <v>196</v>
      </c>
      <c r="G555" s="64"/>
      <c r="H555" s="179"/>
      <c r="I555" s="33"/>
      <c r="J555" s="33"/>
      <c r="K555" s="33"/>
      <c r="L555" s="33"/>
      <c r="M555" s="33"/>
      <c r="N555" s="33"/>
      <c r="O555" s="33"/>
      <c r="P555" s="33"/>
      <c r="Q555" s="33"/>
      <c r="R555" s="114"/>
    </row>
    <row r="556" spans="1:18" x14ac:dyDescent="0.2">
      <c r="A556" s="70"/>
      <c r="B556" s="64"/>
      <c r="C556" s="64"/>
      <c r="D556" s="64"/>
      <c r="E556" s="657"/>
      <c r="F556" s="175"/>
      <c r="G556" s="64"/>
      <c r="H556" s="179"/>
      <c r="I556" s="33"/>
      <c r="J556" s="33"/>
      <c r="K556" s="33"/>
      <c r="L556" s="33"/>
      <c r="M556" s="33"/>
      <c r="N556" s="33"/>
      <c r="O556" s="33"/>
      <c r="P556" s="33"/>
      <c r="Q556" s="33"/>
      <c r="R556" s="114"/>
    </row>
    <row r="557" spans="1:18" x14ac:dyDescent="0.2">
      <c r="A557" s="107">
        <f>ROUND(CIV!A1694,-3)</f>
        <v>0</v>
      </c>
      <c r="B557" s="33">
        <f>CIV!B1694</f>
        <v>0</v>
      </c>
      <c r="C557" s="33">
        <f>CIV!C1694</f>
        <v>0</v>
      </c>
      <c r="D557" s="33">
        <f>CIV!D1694</f>
        <v>0</v>
      </c>
      <c r="E557" s="657"/>
      <c r="F557" s="1979" t="s">
        <v>1791</v>
      </c>
      <c r="G557" s="33">
        <f>CIV!G1694</f>
        <v>0</v>
      </c>
      <c r="H557" s="138"/>
      <c r="I557" s="33">
        <f>CIV!I1694</f>
        <v>0</v>
      </c>
      <c r="J557" s="33">
        <f>CIV!J1694</f>
        <v>0</v>
      </c>
      <c r="K557" s="33">
        <f>CIV!K1694</f>
        <v>0</v>
      </c>
      <c r="L557" s="33">
        <f>CIV!L1694</f>
        <v>0</v>
      </c>
      <c r="M557" s="33">
        <f>CIV!M1694</f>
        <v>0</v>
      </c>
      <c r="N557" s="33">
        <f>CIV!N1694</f>
        <v>0</v>
      </c>
      <c r="O557" s="33">
        <f>CIV!O1694</f>
        <v>0</v>
      </c>
      <c r="P557" s="33">
        <f>CIV!P1694</f>
        <v>0</v>
      </c>
      <c r="Q557" s="33">
        <f>CIV!Q1694</f>
        <v>0</v>
      </c>
      <c r="R557" s="114">
        <f>CIV!R1694</f>
        <v>0</v>
      </c>
    </row>
    <row r="558" spans="1:18" x14ac:dyDescent="0.2">
      <c r="A558" s="107">
        <f>ROUND(CIV!A1695,-3)</f>
        <v>26000</v>
      </c>
      <c r="B558" s="33">
        <f>CIV!B1695</f>
        <v>21600</v>
      </c>
      <c r="C558" s="33">
        <f>CIV!C1695</f>
        <v>31000</v>
      </c>
      <c r="D558" s="33">
        <f>CIV!D1695</f>
        <v>0</v>
      </c>
      <c r="E558" s="657"/>
      <c r="F558" s="1981" t="s">
        <v>1942</v>
      </c>
      <c r="G558" s="33">
        <f>CIV!G1695</f>
        <v>0</v>
      </c>
      <c r="H558" s="138"/>
      <c r="I558" s="33">
        <f>CIV!I1695</f>
        <v>0</v>
      </c>
      <c r="J558" s="33">
        <f>CIV!J1695</f>
        <v>0</v>
      </c>
      <c r="K558" s="33">
        <f>CIV!K1695</f>
        <v>0</v>
      </c>
      <c r="L558" s="33">
        <f>CIV!L1695</f>
        <v>0</v>
      </c>
      <c r="M558" s="33">
        <f>CIV!M1695</f>
        <v>0</v>
      </c>
      <c r="N558" s="33">
        <f>CIV!N1695</f>
        <v>0</v>
      </c>
      <c r="O558" s="33">
        <f>CIV!O1695</f>
        <v>0</v>
      </c>
      <c r="P558" s="33">
        <f>CIV!P1695</f>
        <v>0</v>
      </c>
      <c r="Q558" s="33">
        <f>CIV!Q1695</f>
        <v>0</v>
      </c>
      <c r="R558" s="114">
        <f>CIV!R1695</f>
        <v>0</v>
      </c>
    </row>
    <row r="559" spans="1:18" x14ac:dyDescent="0.2">
      <c r="A559" s="107">
        <f>ROUND(CIV!A1696,-3)</f>
        <v>31000</v>
      </c>
      <c r="B559" s="33">
        <f>CIV!B1696</f>
        <v>25900</v>
      </c>
      <c r="C559" s="33">
        <f>CIV!C1696</f>
        <v>21600</v>
      </c>
      <c r="D559" s="33">
        <f>CIV!D1696</f>
        <v>19000</v>
      </c>
      <c r="E559" s="657"/>
      <c r="F559" s="1981" t="s">
        <v>2348</v>
      </c>
      <c r="G559" s="33">
        <f>CIV!G1696</f>
        <v>0</v>
      </c>
      <c r="H559" s="138"/>
      <c r="I559" s="33">
        <f>CIV!I1696</f>
        <v>0</v>
      </c>
      <c r="J559" s="33">
        <f>CIV!J1696</f>
        <v>0</v>
      </c>
      <c r="K559" s="33">
        <f>CIV!K1696</f>
        <v>0</v>
      </c>
      <c r="L559" s="33">
        <f>CIV!L1696</f>
        <v>0</v>
      </c>
      <c r="M559" s="33">
        <f>CIV!M1696</f>
        <v>0</v>
      </c>
      <c r="N559" s="33">
        <f>CIV!N1696</f>
        <v>0</v>
      </c>
      <c r="O559" s="33">
        <f>CIV!O1696</f>
        <v>0</v>
      </c>
      <c r="P559" s="33">
        <f>CIV!P1696</f>
        <v>0</v>
      </c>
      <c r="Q559" s="33">
        <f>CIV!Q1696</f>
        <v>0</v>
      </c>
      <c r="R559" s="114">
        <f>CIV!R1696</f>
        <v>0</v>
      </c>
    </row>
    <row r="560" spans="1:18" x14ac:dyDescent="0.2">
      <c r="A560" s="107">
        <f>ROUND(CIV!A1697,-3)</f>
        <v>0</v>
      </c>
      <c r="B560" s="33">
        <f>CIV!B1697</f>
        <v>183100</v>
      </c>
      <c r="C560" s="33">
        <f>CIV!C1697</f>
        <v>-500</v>
      </c>
      <c r="D560" s="33">
        <f>CIV!D1697</f>
        <v>0</v>
      </c>
      <c r="E560" s="657"/>
      <c r="F560" s="366" t="s">
        <v>5984</v>
      </c>
      <c r="G560" s="99">
        <f>CIV!G1697</f>
        <v>0</v>
      </c>
      <c r="H560" s="138"/>
      <c r="I560" s="33">
        <f>CIV!I1697</f>
        <v>0</v>
      </c>
      <c r="J560" s="33">
        <f>CIV!J1697</f>
        <v>0</v>
      </c>
      <c r="K560" s="33">
        <f>CIV!K1697</f>
        <v>0</v>
      </c>
      <c r="L560" s="33">
        <f>CIV!L1697</f>
        <v>0</v>
      </c>
      <c r="M560" s="33">
        <f>CIV!M1697</f>
        <v>0</v>
      </c>
      <c r="N560" s="33">
        <f>CIV!N1697</f>
        <v>0</v>
      </c>
      <c r="O560" s="33">
        <f>CIV!O1697</f>
        <v>0</v>
      </c>
      <c r="P560" s="33">
        <f>CIV!P1697</f>
        <v>0</v>
      </c>
      <c r="Q560" s="33">
        <f>CIV!Q1697</f>
        <v>0</v>
      </c>
      <c r="R560" s="114">
        <f>CIV!R1697</f>
        <v>0</v>
      </c>
    </row>
    <row r="561" spans="1:18" x14ac:dyDescent="0.2">
      <c r="A561" s="107">
        <f>ROUND(CIV!A1698,-3)</f>
        <v>11000</v>
      </c>
      <c r="B561" s="33">
        <f>CIV!B1698</f>
        <v>199700</v>
      </c>
      <c r="C561" s="33">
        <f>CIV!C1698</f>
        <v>0</v>
      </c>
      <c r="D561" s="33">
        <f>CIV!D1698</f>
        <v>0</v>
      </c>
      <c r="E561" s="657"/>
      <c r="F561" s="366" t="s">
        <v>972</v>
      </c>
      <c r="G561" s="99">
        <f>CIV!G1698</f>
        <v>0</v>
      </c>
      <c r="H561" s="138"/>
      <c r="I561" s="33">
        <f>CIV!I1698</f>
        <v>0</v>
      </c>
      <c r="J561" s="33">
        <f>CIV!J1698</f>
        <v>0</v>
      </c>
      <c r="K561" s="33">
        <f>CIV!K1698</f>
        <v>0</v>
      </c>
      <c r="L561" s="33">
        <f>CIV!L1698</f>
        <v>0</v>
      </c>
      <c r="M561" s="33">
        <f>CIV!M1698</f>
        <v>0</v>
      </c>
      <c r="N561" s="33">
        <f>CIV!N1698</f>
        <v>0</v>
      </c>
      <c r="O561" s="33">
        <f>CIV!O1698</f>
        <v>0</v>
      </c>
      <c r="P561" s="33">
        <f>CIV!P1698</f>
        <v>0</v>
      </c>
      <c r="Q561" s="33">
        <f>CIV!Q1698</f>
        <v>0</v>
      </c>
      <c r="R561" s="114">
        <f>CIV!R1698</f>
        <v>0</v>
      </c>
    </row>
    <row r="562" spans="1:18" x14ac:dyDescent="0.2">
      <c r="A562" s="107"/>
      <c r="B562" s="33"/>
      <c r="C562" s="33"/>
      <c r="D562" s="33"/>
      <c r="E562" s="657"/>
      <c r="F562" s="516"/>
      <c r="G562" s="99"/>
      <c r="H562" s="138"/>
      <c r="I562" s="33"/>
      <c r="J562" s="33"/>
      <c r="K562" s="33"/>
      <c r="L562" s="33"/>
      <c r="M562" s="33"/>
      <c r="N562" s="33"/>
      <c r="O562" s="33"/>
      <c r="P562" s="33"/>
      <c r="Q562" s="33"/>
      <c r="R562" s="114"/>
    </row>
    <row r="563" spans="1:18" s="92" customFormat="1" x14ac:dyDescent="0.2">
      <c r="A563" s="181">
        <f>A552-A557-A558+A559++A560-A561</f>
        <v>-155000</v>
      </c>
      <c r="B563" s="397">
        <f>B552-B557-B558+B559++B560-B561</f>
        <v>-215700</v>
      </c>
      <c r="C563" s="397">
        <f>C552-C557-C558+C559++C560-C561</f>
        <v>-105000</v>
      </c>
      <c r="D563" s="397">
        <f>D552-D557-D558+D559++D560-D561</f>
        <v>-138700</v>
      </c>
      <c r="E563" s="678"/>
      <c r="F563" s="518" t="s">
        <v>2490</v>
      </c>
      <c r="G563" s="704">
        <f t="shared" ref="G563:O563" si="890">G552-G557-G558+G559++G560-G561</f>
        <v>-174800</v>
      </c>
      <c r="H563" s="395">
        <f>IF(D563=G563,0,IF(D563=0,100,(G563-D563)/D563*100))</f>
        <v>26.027397260273972</v>
      </c>
      <c r="I563" s="397">
        <f t="shared" si="890"/>
        <v>-214200</v>
      </c>
      <c r="J563" s="397">
        <f t="shared" si="890"/>
        <v>-220300</v>
      </c>
      <c r="K563" s="397">
        <f t="shared" si="890"/>
        <v>-226500</v>
      </c>
      <c r="L563" s="397">
        <f t="shared" si="890"/>
        <v>-232800</v>
      </c>
      <c r="M563" s="397">
        <f t="shared" si="890"/>
        <v>-237800</v>
      </c>
      <c r="N563" s="397">
        <f t="shared" si="890"/>
        <v>-243200</v>
      </c>
      <c r="O563" s="397">
        <f t="shared" si="890"/>
        <v>-248800</v>
      </c>
      <c r="P563" s="397">
        <f t="shared" ref="P563:Q563" si="891">P552-P557-P558+P559++P560-P561</f>
        <v>-254400</v>
      </c>
      <c r="Q563" s="397">
        <f t="shared" si="891"/>
        <v>-260000</v>
      </c>
      <c r="R563" s="399">
        <f t="shared" ref="R563" si="892">R552-R557-R558+R559++R560-R561</f>
        <v>-265800</v>
      </c>
    </row>
    <row r="564" spans="1:18" ht="13.5" thickBot="1" x14ac:dyDescent="0.25">
      <c r="A564" s="73"/>
      <c r="B564" s="90"/>
      <c r="C564" s="90"/>
      <c r="D564" s="90"/>
      <c r="E564" s="683"/>
      <c r="F564" s="368"/>
      <c r="G564" s="120"/>
      <c r="H564" s="392"/>
      <c r="I564" s="66"/>
      <c r="J564" s="66"/>
      <c r="K564" s="66"/>
      <c r="L564" s="66"/>
      <c r="M564" s="66"/>
      <c r="N564" s="66"/>
      <c r="O564" s="66"/>
      <c r="P564" s="66"/>
      <c r="Q564" s="66"/>
      <c r="R564" s="165"/>
    </row>
    <row r="565" spans="1:18" ht="14.25" thickTop="1" thickBot="1" x14ac:dyDescent="0.25">
      <c r="A565" s="74"/>
      <c r="B565" s="74"/>
      <c r="C565" s="74"/>
      <c r="D565" s="74"/>
      <c r="E565" s="660"/>
      <c r="F565" s="137"/>
      <c r="G565" s="74"/>
      <c r="H565" s="2507"/>
      <c r="I565" s="99"/>
      <c r="J565" s="99"/>
      <c r="K565" s="99"/>
      <c r="L565" s="99"/>
      <c r="M565" s="99"/>
      <c r="N565" s="99"/>
      <c r="O565" s="99"/>
      <c r="P565" s="99"/>
      <c r="Q565" s="99"/>
      <c r="R565" s="99"/>
    </row>
    <row r="566" spans="1:18" s="91" customFormat="1" ht="18.75" customHeight="1" thickTop="1" thickBot="1" x14ac:dyDescent="0.3">
      <c r="A566" s="2865" t="s">
        <v>3391</v>
      </c>
      <c r="B566" s="2866"/>
      <c r="C566" s="2866"/>
      <c r="D566" s="2866"/>
      <c r="E566" s="2866"/>
      <c r="F566" s="2866"/>
      <c r="G566" s="2866"/>
      <c r="H566" s="2866"/>
      <c r="I566" s="2866"/>
      <c r="J566" s="2866"/>
      <c r="K566" s="2866"/>
      <c r="L566" s="2866"/>
      <c r="M566" s="2866"/>
      <c r="N566" s="2866"/>
      <c r="O566" s="2866"/>
      <c r="P566" s="2866"/>
      <c r="Q566" s="2866"/>
      <c r="R566" s="2867"/>
    </row>
    <row r="567" spans="1:18" s="44" customFormat="1" x14ac:dyDescent="0.2">
      <c r="A567" s="2848" t="s">
        <v>1856</v>
      </c>
      <c r="B567" s="2840"/>
      <c r="C567" s="2840"/>
      <c r="D567" s="2849"/>
      <c r="E567" s="369" t="s">
        <v>2663</v>
      </c>
      <c r="F567" s="2649" t="s">
        <v>2251</v>
      </c>
      <c r="G567" s="2885" t="s">
        <v>2253</v>
      </c>
      <c r="H567" s="2886"/>
      <c r="I567" s="2886"/>
      <c r="J567" s="2886"/>
      <c r="K567" s="2886"/>
      <c r="L567" s="2886"/>
      <c r="M567" s="2886"/>
      <c r="N567" s="2886"/>
      <c r="O567" s="2886"/>
      <c r="P567" s="2886"/>
      <c r="Q567" s="2886"/>
      <c r="R567" s="2887"/>
    </row>
    <row r="568" spans="1:18" s="23" customFormat="1" ht="12.75" customHeight="1" thickBot="1" x14ac:dyDescent="0.25">
      <c r="A568" s="208" t="str">
        <f>A3</f>
        <v>2012/13</v>
      </c>
      <c r="B568" s="75" t="str">
        <f>B3</f>
        <v>2013/14</v>
      </c>
      <c r="C568" s="370" t="str">
        <f>C3</f>
        <v>2014/15</v>
      </c>
      <c r="D568" s="93" t="str">
        <f>D3</f>
        <v>2015/16</v>
      </c>
      <c r="E568" s="370" t="s">
        <v>2664</v>
      </c>
      <c r="F568" s="42"/>
      <c r="G568" s="2513" t="str">
        <f>G3</f>
        <v>2016/17</v>
      </c>
      <c r="H568" s="2193" t="str">
        <f>H400</f>
        <v xml:space="preserve">% </v>
      </c>
      <c r="I568" s="370" t="str">
        <f t="shared" ref="I568:Q568" si="893">I3</f>
        <v>2017/18</v>
      </c>
      <c r="J568" s="370" t="str">
        <f t="shared" si="893"/>
        <v>2018/19</v>
      </c>
      <c r="K568" s="370" t="str">
        <f t="shared" si="893"/>
        <v>2019/20</v>
      </c>
      <c r="L568" s="370" t="str">
        <f t="shared" si="893"/>
        <v>2020/21</v>
      </c>
      <c r="M568" s="370" t="str">
        <f t="shared" si="893"/>
        <v>2021/22</v>
      </c>
      <c r="N568" s="370" t="str">
        <f t="shared" si="893"/>
        <v>2022/23</v>
      </c>
      <c r="O568" s="370" t="str">
        <f t="shared" si="893"/>
        <v>2023/24</v>
      </c>
      <c r="P568" s="370" t="str">
        <f t="shared" si="893"/>
        <v>2024/25</v>
      </c>
      <c r="Q568" s="218" t="str">
        <f t="shared" si="893"/>
        <v>2025/26</v>
      </c>
      <c r="R568" s="549" t="str">
        <f t="shared" ref="R568" si="894">R3</f>
        <v>2026/27</v>
      </c>
    </row>
    <row r="569" spans="1:18" x14ac:dyDescent="0.2">
      <c r="A569" s="98"/>
      <c r="B569" s="33"/>
      <c r="C569" s="187"/>
      <c r="D569" s="187"/>
      <c r="E569" s="1954"/>
      <c r="F569" s="76"/>
      <c r="G569" s="2509"/>
      <c r="H569" s="138"/>
      <c r="I569" s="33"/>
      <c r="J569" s="33"/>
      <c r="K569" s="33"/>
      <c r="L569" s="33"/>
      <c r="M569" s="33"/>
      <c r="N569" s="33"/>
      <c r="O569" s="33"/>
      <c r="P569" s="33"/>
      <c r="Q569" s="33"/>
      <c r="R569" s="114"/>
    </row>
    <row r="570" spans="1:18" x14ac:dyDescent="0.2">
      <c r="A570" s="98"/>
      <c r="B570" s="33"/>
      <c r="C570" s="187"/>
      <c r="D570" s="187"/>
      <c r="E570" s="1954"/>
      <c r="F570" s="103" t="s">
        <v>1073</v>
      </c>
      <c r="G570" s="2509"/>
      <c r="H570" s="138"/>
      <c r="I570" s="33"/>
      <c r="J570" s="33"/>
      <c r="K570" s="33"/>
      <c r="L570" s="33"/>
      <c r="M570" s="33"/>
      <c r="N570" s="33"/>
      <c r="O570" s="33"/>
      <c r="P570" s="33"/>
      <c r="Q570" s="33"/>
      <c r="R570" s="114"/>
    </row>
    <row r="571" spans="1:18" ht="12" customHeight="1" x14ac:dyDescent="0.2">
      <c r="A571" s="98"/>
      <c r="B571" s="33"/>
      <c r="E571" s="1954"/>
      <c r="F571" s="76"/>
      <c r="G571" s="2509"/>
      <c r="H571" s="138"/>
      <c r="I571" s="33"/>
      <c r="J571" s="33"/>
      <c r="K571" s="33"/>
      <c r="L571" s="33"/>
      <c r="M571" s="33"/>
      <c r="N571" s="33"/>
      <c r="O571" s="33"/>
      <c r="P571" s="33"/>
      <c r="Q571" s="33"/>
      <c r="R571" s="114"/>
    </row>
    <row r="572" spans="1:18" x14ac:dyDescent="0.2">
      <c r="A572" s="98"/>
      <c r="B572" s="33"/>
      <c r="E572" s="1954"/>
      <c r="F572" s="79" t="s">
        <v>2881</v>
      </c>
      <c r="G572" s="2509"/>
      <c r="H572" s="138"/>
      <c r="I572" s="33"/>
      <c r="J572" s="33"/>
      <c r="K572" s="33"/>
      <c r="L572" s="33"/>
      <c r="M572" s="33"/>
      <c r="N572" s="33"/>
      <c r="O572" s="33"/>
      <c r="P572" s="33"/>
      <c r="Q572" s="33"/>
      <c r="R572" s="114"/>
    </row>
    <row r="573" spans="1:18" x14ac:dyDescent="0.2">
      <c r="A573" s="107">
        <f>ROUND(SUM(A1709:A1713),-3)</f>
        <v>411000</v>
      </c>
      <c r="B573" s="33">
        <f>SUM(B1709:B1713)</f>
        <v>349700</v>
      </c>
      <c r="C573" s="189">
        <f>SUM(C1709:C1713)</f>
        <v>251800</v>
      </c>
      <c r="D573" s="189">
        <f>SUM(D1709:D1713)</f>
        <v>324100</v>
      </c>
      <c r="E573" s="1954">
        <v>22265</v>
      </c>
      <c r="F573" s="77" t="s">
        <v>7056</v>
      </c>
      <c r="G573" s="2509">
        <f>SUM(G1709:G1713)</f>
        <v>64800</v>
      </c>
      <c r="H573" s="138">
        <f>IF(D573=G573,0,IF(D573=0,100,(G573-D573)/D573*100))</f>
        <v>-80.00617093489663</v>
      </c>
      <c r="I573" s="33">
        <f t="shared" ref="I573:Q573" si="895">SUM(I1709:I1713)</f>
        <v>48800</v>
      </c>
      <c r="J573" s="33">
        <f t="shared" si="895"/>
        <v>50100</v>
      </c>
      <c r="K573" s="33">
        <f t="shared" si="895"/>
        <v>51500</v>
      </c>
      <c r="L573" s="33">
        <f t="shared" si="895"/>
        <v>52900</v>
      </c>
      <c r="M573" s="33">
        <f t="shared" si="895"/>
        <v>54100</v>
      </c>
      <c r="N573" s="33">
        <f t="shared" si="895"/>
        <v>55300</v>
      </c>
      <c r="O573" s="33">
        <f t="shared" si="895"/>
        <v>56500</v>
      </c>
      <c r="P573" s="33">
        <f t="shared" si="895"/>
        <v>57800</v>
      </c>
      <c r="Q573" s="33">
        <f t="shared" si="895"/>
        <v>59100</v>
      </c>
      <c r="R573" s="114">
        <f t="shared" ref="R573" si="896">SUM(R1709:R1713)</f>
        <v>60400</v>
      </c>
    </row>
    <row r="574" spans="1:18" x14ac:dyDescent="0.2">
      <c r="A574" s="107">
        <f>ROUND(A1716,-3)</f>
        <v>0</v>
      </c>
      <c r="B574" s="33">
        <f>B1716</f>
        <v>0</v>
      </c>
      <c r="C574" s="189">
        <f>C1716</f>
        <v>0</v>
      </c>
      <c r="D574" s="189">
        <f>D1716</f>
        <v>0</v>
      </c>
      <c r="E574" s="1954">
        <v>22265</v>
      </c>
      <c r="F574" s="76" t="s">
        <v>2217</v>
      </c>
      <c r="G574" s="2509">
        <f t="shared" ref="G574:P574" si="897">G1716</f>
        <v>0</v>
      </c>
      <c r="H574" s="138">
        <f>IF(D574=G574,0,IF(D574=0,100,(G574-D574)/D574*100))</f>
        <v>0</v>
      </c>
      <c r="I574" s="33">
        <f t="shared" si="897"/>
        <v>0</v>
      </c>
      <c r="J574" s="33">
        <f t="shared" si="897"/>
        <v>0</v>
      </c>
      <c r="K574" s="33">
        <f t="shared" si="897"/>
        <v>0</v>
      </c>
      <c r="L574" s="33">
        <f t="shared" si="897"/>
        <v>0</v>
      </c>
      <c r="M574" s="33">
        <f t="shared" si="897"/>
        <v>0</v>
      </c>
      <c r="N574" s="33">
        <f t="shared" si="897"/>
        <v>0</v>
      </c>
      <c r="O574" s="33">
        <f t="shared" si="897"/>
        <v>0</v>
      </c>
      <c r="P574" s="33">
        <f t="shared" si="897"/>
        <v>0</v>
      </c>
      <c r="Q574" s="33">
        <f t="shared" ref="Q574" si="898">Q1716</f>
        <v>0</v>
      </c>
      <c r="R574" s="114">
        <f t="shared" ref="R574" si="899">R1716</f>
        <v>0</v>
      </c>
    </row>
    <row r="575" spans="1:18" x14ac:dyDescent="0.2">
      <c r="A575" s="107"/>
      <c r="B575" s="33"/>
      <c r="E575" s="1954"/>
      <c r="F575" s="77"/>
      <c r="G575" s="2509"/>
      <c r="H575" s="138"/>
      <c r="I575" s="33"/>
      <c r="J575" s="33"/>
      <c r="K575" s="33"/>
      <c r="L575" s="33"/>
      <c r="M575" s="33"/>
      <c r="N575" s="33"/>
      <c r="O575" s="33"/>
      <c r="P575" s="33"/>
      <c r="Q575" s="33"/>
      <c r="R575" s="114"/>
    </row>
    <row r="576" spans="1:18" x14ac:dyDescent="0.2">
      <c r="A576" s="107"/>
      <c r="B576" s="33"/>
      <c r="E576" s="1954"/>
      <c r="F576" s="2529" t="s">
        <v>5467</v>
      </c>
      <c r="G576" s="2509"/>
      <c r="H576" s="138"/>
      <c r="I576" s="33"/>
      <c r="J576" s="33"/>
      <c r="K576" s="33"/>
      <c r="L576" s="33"/>
      <c r="M576" s="33"/>
      <c r="N576" s="33"/>
      <c r="O576" s="33"/>
      <c r="P576" s="33"/>
      <c r="Q576" s="33"/>
      <c r="R576" s="114"/>
    </row>
    <row r="577" spans="1:18" x14ac:dyDescent="0.2">
      <c r="A577" s="107">
        <f>A1719</f>
        <v>0</v>
      </c>
      <c r="B577" s="33">
        <f>B1719</f>
        <v>0</v>
      </c>
      <c r="C577" s="189">
        <f>C1719</f>
        <v>223900</v>
      </c>
      <c r="D577" s="189">
        <f>D1719</f>
        <v>53100</v>
      </c>
      <c r="E577" s="1954">
        <v>22265</v>
      </c>
      <c r="F577" s="77" t="s">
        <v>7001</v>
      </c>
      <c r="G577" s="2509">
        <f t="shared" ref="G577:P577" si="900">G1719</f>
        <v>0</v>
      </c>
      <c r="H577" s="138">
        <f>IF(D577=G577,0,IF(D577=0,100,(G577-D577)/D577*100))</f>
        <v>-100</v>
      </c>
      <c r="I577" s="33">
        <f t="shared" si="900"/>
        <v>0</v>
      </c>
      <c r="J577" s="33">
        <f t="shared" si="900"/>
        <v>0</v>
      </c>
      <c r="K577" s="33">
        <f t="shared" si="900"/>
        <v>0</v>
      </c>
      <c r="L577" s="33">
        <f t="shared" si="900"/>
        <v>0</v>
      </c>
      <c r="M577" s="33">
        <f t="shared" si="900"/>
        <v>0</v>
      </c>
      <c r="N577" s="33">
        <f t="shared" si="900"/>
        <v>0</v>
      </c>
      <c r="O577" s="33">
        <f t="shared" si="900"/>
        <v>0</v>
      </c>
      <c r="P577" s="33">
        <f t="shared" si="900"/>
        <v>0</v>
      </c>
      <c r="Q577" s="33">
        <f t="shared" ref="Q577" si="901">Q1719</f>
        <v>0</v>
      </c>
      <c r="R577" s="114">
        <f t="shared" ref="R577" si="902">R1719</f>
        <v>0</v>
      </c>
    </row>
    <row r="578" spans="1:18" ht="13.5" thickBot="1" x14ac:dyDescent="0.25">
      <c r="A578" s="107"/>
      <c r="B578" s="33"/>
      <c r="C578" s="187"/>
      <c r="D578" s="187"/>
      <c r="E578" s="1954"/>
      <c r="F578" s="76"/>
      <c r="G578" s="2509"/>
      <c r="H578" s="138"/>
      <c r="I578" s="33"/>
      <c r="J578" s="33"/>
      <c r="K578" s="33"/>
      <c r="L578" s="33"/>
      <c r="M578" s="33"/>
      <c r="N578" s="33"/>
      <c r="O578" s="33"/>
      <c r="P578" s="33"/>
      <c r="Q578" s="33"/>
      <c r="R578" s="114"/>
    </row>
    <row r="579" spans="1:18" s="92" customFormat="1" x14ac:dyDescent="0.2">
      <c r="A579" s="105">
        <f>SUM(A570:A578)</f>
        <v>411000</v>
      </c>
      <c r="B579" s="53">
        <f>SUM(B570:B578)</f>
        <v>349700</v>
      </c>
      <c r="C579" s="199">
        <f>SUM(C570:C578)</f>
        <v>475700</v>
      </c>
      <c r="D579" s="199">
        <f>SUM(D570:D578)</f>
        <v>377200</v>
      </c>
      <c r="E579" s="236"/>
      <c r="F579" s="1960" t="s">
        <v>2605</v>
      </c>
      <c r="G579" s="2510">
        <f>SUM(G570:G578)</f>
        <v>64800</v>
      </c>
      <c r="H579" s="180">
        <f>IF(D579=G579,0,IF(D579=0,100,(G579-D579)/D579*100))</f>
        <v>-82.820784729586421</v>
      </c>
      <c r="I579" s="53">
        <f t="shared" ref="I579:Q579" si="903">SUM(I570:I578)</f>
        <v>48800</v>
      </c>
      <c r="J579" s="53">
        <f t="shared" si="903"/>
        <v>50100</v>
      </c>
      <c r="K579" s="53">
        <f t="shared" si="903"/>
        <v>51500</v>
      </c>
      <c r="L579" s="53">
        <f t="shared" si="903"/>
        <v>52900</v>
      </c>
      <c r="M579" s="53">
        <f t="shared" si="903"/>
        <v>54100</v>
      </c>
      <c r="N579" s="53">
        <f t="shared" si="903"/>
        <v>55300</v>
      </c>
      <c r="O579" s="53">
        <f t="shared" si="903"/>
        <v>56500</v>
      </c>
      <c r="P579" s="53">
        <f t="shared" si="903"/>
        <v>57800</v>
      </c>
      <c r="Q579" s="53">
        <f t="shared" si="903"/>
        <v>59100</v>
      </c>
      <c r="R579" s="113">
        <f t="shared" ref="R579" si="904">SUM(R570:R578)</f>
        <v>60400</v>
      </c>
    </row>
    <row r="580" spans="1:18" x14ac:dyDescent="0.2">
      <c r="A580" s="98"/>
      <c r="B580" s="33"/>
      <c r="C580" s="187"/>
      <c r="D580" s="187"/>
      <c r="E580" s="1954"/>
      <c r="F580" s="79"/>
      <c r="G580" s="2509"/>
      <c r="H580" s="138"/>
      <c r="I580" s="33"/>
      <c r="J580" s="33"/>
      <c r="K580" s="33"/>
      <c r="L580" s="33"/>
      <c r="M580" s="33"/>
      <c r="N580" s="33"/>
      <c r="O580" s="33"/>
      <c r="P580" s="33"/>
      <c r="Q580" s="33"/>
      <c r="R580" s="114"/>
    </row>
    <row r="581" spans="1:18" x14ac:dyDescent="0.2">
      <c r="A581" s="98"/>
      <c r="B581" s="33"/>
      <c r="C581" s="187"/>
      <c r="D581" s="187"/>
      <c r="E581" s="1954"/>
      <c r="F581" s="103" t="s">
        <v>2205</v>
      </c>
      <c r="G581" s="2509"/>
      <c r="H581" s="138"/>
      <c r="I581" s="33"/>
      <c r="J581" s="33"/>
      <c r="K581" s="33"/>
      <c r="L581" s="33"/>
      <c r="M581" s="33"/>
      <c r="N581" s="33"/>
      <c r="O581" s="33"/>
      <c r="P581" s="33"/>
      <c r="Q581" s="33"/>
      <c r="R581" s="114"/>
    </row>
    <row r="582" spans="1:18" x14ac:dyDescent="0.2">
      <c r="A582" s="98"/>
      <c r="B582" s="33"/>
      <c r="C582" s="187"/>
      <c r="D582" s="187"/>
      <c r="E582" s="1954"/>
      <c r="F582" s="103"/>
      <c r="G582" s="2509"/>
      <c r="H582" s="138"/>
      <c r="I582" s="33"/>
      <c r="J582" s="33"/>
      <c r="K582" s="33"/>
      <c r="L582" s="33"/>
      <c r="M582" s="33"/>
      <c r="N582" s="33"/>
      <c r="O582" s="33"/>
      <c r="P582" s="33"/>
      <c r="Q582" s="33"/>
      <c r="R582" s="114"/>
    </row>
    <row r="583" spans="1:18" x14ac:dyDescent="0.2">
      <c r="A583" s="98"/>
      <c r="B583" s="33"/>
      <c r="E583" s="1954"/>
      <c r="F583" s="175" t="s">
        <v>241</v>
      </c>
      <c r="G583" s="2509"/>
      <c r="H583" s="138"/>
      <c r="I583" s="33"/>
      <c r="J583" s="33"/>
      <c r="K583" s="33"/>
      <c r="L583" s="33"/>
      <c r="M583" s="33"/>
      <c r="N583" s="33"/>
      <c r="O583" s="33"/>
      <c r="P583" s="33"/>
      <c r="Q583" s="33"/>
      <c r="R583" s="114"/>
    </row>
    <row r="584" spans="1:18" x14ac:dyDescent="0.2">
      <c r="A584" s="107">
        <f>ROUND(SUM(A1726:A1726),-3)-1000</f>
        <v>2000</v>
      </c>
      <c r="B584" s="33">
        <f t="shared" ref="B584:D585" si="905">SUM(B1726:B1726)</f>
        <v>1500</v>
      </c>
      <c r="C584" s="189">
        <f t="shared" si="905"/>
        <v>4300</v>
      </c>
      <c r="D584" s="189">
        <f t="shared" si="905"/>
        <v>300</v>
      </c>
      <c r="E584" s="1954">
        <v>32325</v>
      </c>
      <c r="F584" s="1981" t="s">
        <v>1154</v>
      </c>
      <c r="G584" s="2509">
        <f t="shared" ref="G584:O584" si="906">SUM(G1726:G1726)</f>
        <v>4200</v>
      </c>
      <c r="H584" s="138">
        <f>IF(D584=G584,0,IF(D584=0,100,(G584-D584)/D584*100))</f>
        <v>1300</v>
      </c>
      <c r="I584" s="33">
        <f t="shared" si="906"/>
        <v>4300</v>
      </c>
      <c r="J584" s="33">
        <f t="shared" si="906"/>
        <v>4500</v>
      </c>
      <c r="K584" s="33">
        <f t="shared" si="906"/>
        <v>4700</v>
      </c>
      <c r="L584" s="33">
        <f t="shared" si="906"/>
        <v>4900</v>
      </c>
      <c r="M584" s="33">
        <f t="shared" si="906"/>
        <v>5000</v>
      </c>
      <c r="N584" s="33">
        <f t="shared" si="906"/>
        <v>5100</v>
      </c>
      <c r="O584" s="33">
        <f t="shared" si="906"/>
        <v>5300</v>
      </c>
      <c r="P584" s="33">
        <f t="shared" ref="P584:Q584" si="907">SUM(P1726:P1726)</f>
        <v>5500</v>
      </c>
      <c r="Q584" s="33">
        <f t="shared" si="907"/>
        <v>5700</v>
      </c>
      <c r="R584" s="114">
        <f t="shared" ref="R584" si="908">SUM(R1726:R1726)</f>
        <v>5900</v>
      </c>
    </row>
    <row r="585" spans="1:18" x14ac:dyDescent="0.2">
      <c r="A585" s="107">
        <f>ROUND(SUM(A1727:A1727),-3)</f>
        <v>10000</v>
      </c>
      <c r="B585" s="33">
        <f t="shared" si="905"/>
        <v>1300</v>
      </c>
      <c r="C585" s="189">
        <f t="shared" si="905"/>
        <v>1700</v>
      </c>
      <c r="D585" s="189">
        <f t="shared" si="905"/>
        <v>800</v>
      </c>
      <c r="E585" s="1954">
        <v>32325</v>
      </c>
      <c r="F585" s="1981" t="s">
        <v>2173</v>
      </c>
      <c r="G585" s="2509">
        <f>SUM(G1727:G1727)</f>
        <v>2000</v>
      </c>
      <c r="H585" s="138">
        <f>IF(D585=G585,0,IF(D585=0,100,(G585-D585)/D585*100))</f>
        <v>150</v>
      </c>
      <c r="I585" s="33">
        <f t="shared" ref="I585:Q585" si="909">SUM(I1727:I1727)</f>
        <v>2100</v>
      </c>
      <c r="J585" s="33">
        <f t="shared" si="909"/>
        <v>2200</v>
      </c>
      <c r="K585" s="33">
        <f t="shared" si="909"/>
        <v>2300</v>
      </c>
      <c r="L585" s="33">
        <f t="shared" si="909"/>
        <v>2400</v>
      </c>
      <c r="M585" s="33">
        <f t="shared" si="909"/>
        <v>2500</v>
      </c>
      <c r="N585" s="33">
        <f t="shared" si="909"/>
        <v>2600</v>
      </c>
      <c r="O585" s="33">
        <f t="shared" si="909"/>
        <v>2700</v>
      </c>
      <c r="P585" s="33">
        <f t="shared" si="909"/>
        <v>2800</v>
      </c>
      <c r="Q585" s="33">
        <f t="shared" si="909"/>
        <v>2900</v>
      </c>
      <c r="R585" s="114">
        <f t="shared" ref="R585" si="910">SUM(R1727:R1727)</f>
        <v>3000</v>
      </c>
    </row>
    <row r="586" spans="1:18" x14ac:dyDescent="0.2">
      <c r="A586" s="107">
        <f>ROUND(SUM(A1728:A1733),-3)</f>
        <v>28000</v>
      </c>
      <c r="B586" s="33">
        <f>SUM(B1728:B1733)</f>
        <v>5400</v>
      </c>
      <c r="C586" s="189">
        <f>SUM(C1728:C1733)</f>
        <v>121900</v>
      </c>
      <c r="D586" s="189">
        <f>SUM(D1728:D1733)</f>
        <v>32600</v>
      </c>
      <c r="E586" s="1954">
        <v>32325</v>
      </c>
      <c r="F586" s="1952" t="s">
        <v>3763</v>
      </c>
      <c r="G586" s="2509">
        <f>SUM(G1728:G1730)</f>
        <v>260000</v>
      </c>
      <c r="H586" s="138">
        <f>IF(D586=G586,0,IF(D586=0,100,(G586-D586)/D586*100))</f>
        <v>697.54601226993861</v>
      </c>
      <c r="I586" s="33">
        <f t="shared" ref="I586:Q586" si="911">SUM(I1728:I1730)</f>
        <v>0</v>
      </c>
      <c r="J586" s="33">
        <f t="shared" si="911"/>
        <v>0</v>
      </c>
      <c r="K586" s="33">
        <f t="shared" si="911"/>
        <v>0</v>
      </c>
      <c r="L586" s="33">
        <f t="shared" si="911"/>
        <v>0</v>
      </c>
      <c r="M586" s="33">
        <f t="shared" si="911"/>
        <v>0</v>
      </c>
      <c r="N586" s="33">
        <f t="shared" si="911"/>
        <v>0</v>
      </c>
      <c r="O586" s="33">
        <f t="shared" si="911"/>
        <v>0</v>
      </c>
      <c r="P586" s="33">
        <f t="shared" si="911"/>
        <v>0</v>
      </c>
      <c r="Q586" s="33">
        <f t="shared" si="911"/>
        <v>0</v>
      </c>
      <c r="R586" s="114">
        <f t="shared" ref="R586" si="912">SUM(R1728:R1730)</f>
        <v>0</v>
      </c>
    </row>
    <row r="587" spans="1:18" x14ac:dyDescent="0.2">
      <c r="A587" s="107">
        <f>ROUND(SUM(A1734:A1735),-3)</f>
        <v>10000</v>
      </c>
      <c r="B587" s="33">
        <f>SUM(B1734:B1735)</f>
        <v>23000</v>
      </c>
      <c r="C587" s="189">
        <f>SUM(C1734:C1735)</f>
        <v>36000</v>
      </c>
      <c r="D587" s="189">
        <f>SUM(D1734:D1735)</f>
        <v>51000</v>
      </c>
      <c r="E587" s="1954">
        <v>32325</v>
      </c>
      <c r="F587" s="1981" t="s">
        <v>1663</v>
      </c>
      <c r="G587" s="2509">
        <f t="shared" ref="G587:O587" si="913">SUM(G1734:G1735)</f>
        <v>34000</v>
      </c>
      <c r="H587" s="138">
        <f>IF(D587=G587,0,IF(D587=0,100,(G587-D587)/D587*100))</f>
        <v>-33.333333333333329</v>
      </c>
      <c r="I587" s="33">
        <f t="shared" si="913"/>
        <v>0</v>
      </c>
      <c r="J587" s="33">
        <f t="shared" si="913"/>
        <v>0</v>
      </c>
      <c r="K587" s="33">
        <f t="shared" si="913"/>
        <v>0</v>
      </c>
      <c r="L587" s="33">
        <f t="shared" si="913"/>
        <v>0</v>
      </c>
      <c r="M587" s="33">
        <f t="shared" si="913"/>
        <v>0</v>
      </c>
      <c r="N587" s="33">
        <f t="shared" si="913"/>
        <v>0</v>
      </c>
      <c r="O587" s="33">
        <f t="shared" si="913"/>
        <v>0</v>
      </c>
      <c r="P587" s="33">
        <f t="shared" ref="P587:Q587" si="914">SUM(P1734:P1735)</f>
        <v>0</v>
      </c>
      <c r="Q587" s="33">
        <f t="shared" si="914"/>
        <v>0</v>
      </c>
      <c r="R587" s="114">
        <f t="shared" ref="R587" si="915">SUM(R1734:R1735)</f>
        <v>0</v>
      </c>
    </row>
    <row r="588" spans="1:18" x14ac:dyDescent="0.2">
      <c r="A588" s="107"/>
      <c r="B588" s="33"/>
      <c r="E588" s="1954"/>
      <c r="F588" s="1981"/>
      <c r="G588" s="2509"/>
      <c r="H588" s="138"/>
      <c r="I588" s="33"/>
      <c r="J588" s="33"/>
      <c r="K588" s="33"/>
      <c r="L588" s="33"/>
      <c r="M588" s="33"/>
      <c r="N588" s="33"/>
      <c r="O588" s="33"/>
      <c r="P588" s="33"/>
      <c r="Q588" s="33"/>
      <c r="R588" s="114"/>
    </row>
    <row r="589" spans="1:18" x14ac:dyDescent="0.2">
      <c r="A589" s="107"/>
      <c r="B589" s="33"/>
      <c r="E589" s="1954"/>
      <c r="F589" s="1308" t="s">
        <v>6872</v>
      </c>
      <c r="G589" s="2509"/>
      <c r="H589" s="138"/>
      <c r="I589" s="33"/>
      <c r="J589" s="33"/>
      <c r="K589" s="33"/>
      <c r="L589" s="33"/>
      <c r="M589" s="33"/>
      <c r="N589" s="33"/>
      <c r="O589" s="33"/>
      <c r="P589" s="33"/>
      <c r="Q589" s="33"/>
      <c r="R589" s="114"/>
    </row>
    <row r="590" spans="1:18" x14ac:dyDescent="0.2">
      <c r="A590" s="107">
        <f>A1732</f>
        <v>0</v>
      </c>
      <c r="B590" s="33">
        <f>B1732</f>
        <v>0</v>
      </c>
      <c r="C590" s="189">
        <f>C1732</f>
        <v>0</v>
      </c>
      <c r="D590" s="189">
        <v>0</v>
      </c>
      <c r="E590" s="1954">
        <v>32325</v>
      </c>
      <c r="F590" s="1952" t="s">
        <v>6873</v>
      </c>
      <c r="G590" s="2509">
        <f>G1732</f>
        <v>250000</v>
      </c>
      <c r="H590" s="138">
        <f>IF(D590=G590,0,IF(D590=0,100,(G590-D590)/D590*100))</f>
        <v>100</v>
      </c>
      <c r="I590" s="33">
        <f t="shared" ref="I590:Q590" si="916">I1732</f>
        <v>0</v>
      </c>
      <c r="J590" s="33">
        <f t="shared" si="916"/>
        <v>0</v>
      </c>
      <c r="K590" s="33">
        <f t="shared" si="916"/>
        <v>0</v>
      </c>
      <c r="L590" s="33">
        <f t="shared" si="916"/>
        <v>0</v>
      </c>
      <c r="M590" s="33">
        <f t="shared" si="916"/>
        <v>0</v>
      </c>
      <c r="N590" s="33">
        <f t="shared" si="916"/>
        <v>0</v>
      </c>
      <c r="O590" s="33">
        <f t="shared" si="916"/>
        <v>0</v>
      </c>
      <c r="P590" s="33">
        <f t="shared" si="916"/>
        <v>0</v>
      </c>
      <c r="Q590" s="33">
        <f t="shared" si="916"/>
        <v>0</v>
      </c>
      <c r="R590" s="114">
        <f t="shared" ref="R590" si="917">R1732</f>
        <v>0</v>
      </c>
    </row>
    <row r="591" spans="1:18" x14ac:dyDescent="0.2">
      <c r="A591" s="107"/>
      <c r="B591" s="33"/>
      <c r="E591" s="1954"/>
      <c r="F591" s="1981"/>
      <c r="G591" s="2509"/>
      <c r="H591" s="138"/>
      <c r="I591" s="33"/>
      <c r="J591" s="33"/>
      <c r="K591" s="33"/>
      <c r="L591" s="33"/>
      <c r="M591" s="33"/>
      <c r="N591" s="33"/>
      <c r="O591" s="33"/>
      <c r="P591" s="33"/>
      <c r="Q591" s="33"/>
      <c r="R591" s="114"/>
    </row>
    <row r="592" spans="1:18" ht="13.5" customHeight="1" x14ac:dyDescent="0.2">
      <c r="A592" s="107"/>
      <c r="B592" s="33"/>
      <c r="E592" s="1954"/>
      <c r="F592" s="175" t="s">
        <v>1793</v>
      </c>
      <c r="G592" s="2509"/>
      <c r="H592" s="138"/>
      <c r="I592" s="33"/>
      <c r="J592" s="33"/>
      <c r="K592" s="33"/>
      <c r="L592" s="33"/>
      <c r="M592" s="33"/>
      <c r="N592" s="33"/>
      <c r="O592" s="33"/>
      <c r="P592" s="33"/>
      <c r="Q592" s="33"/>
      <c r="R592" s="114"/>
    </row>
    <row r="593" spans="1:18" ht="13.5" customHeight="1" x14ac:dyDescent="0.2">
      <c r="A593" s="107">
        <f>ROUND(SUM(A1737:A1740),-3)</f>
        <v>21000</v>
      </c>
      <c r="B593" s="189">
        <f>SUM(B1737:B1740)</f>
        <v>11600</v>
      </c>
      <c r="C593" s="189">
        <f>SUM(C1737:C1740)</f>
        <v>11500</v>
      </c>
      <c r="D593" s="189">
        <f>SUM(D1737:D1740)</f>
        <v>5900</v>
      </c>
      <c r="E593" s="1954">
        <v>32326</v>
      </c>
      <c r="F593" s="1981" t="s">
        <v>2217</v>
      </c>
      <c r="G593" s="2509">
        <f t="shared" ref="G593:P593" si="918">SUM(G1737:G1740)</f>
        <v>13000</v>
      </c>
      <c r="H593" s="138">
        <f>IF(D593=G593,0,IF(D593=0,100,(G593-D593)/D593*100))</f>
        <v>120.33898305084745</v>
      </c>
      <c r="I593" s="33">
        <f t="shared" si="918"/>
        <v>13400</v>
      </c>
      <c r="J593" s="33">
        <f t="shared" si="918"/>
        <v>13900</v>
      </c>
      <c r="K593" s="33">
        <f t="shared" si="918"/>
        <v>14400</v>
      </c>
      <c r="L593" s="33">
        <f t="shared" si="918"/>
        <v>14900</v>
      </c>
      <c r="M593" s="33">
        <f t="shared" si="918"/>
        <v>15400</v>
      </c>
      <c r="N593" s="33">
        <f t="shared" si="918"/>
        <v>15900</v>
      </c>
      <c r="O593" s="33">
        <f t="shared" si="918"/>
        <v>16400</v>
      </c>
      <c r="P593" s="33">
        <f t="shared" si="918"/>
        <v>16900</v>
      </c>
      <c r="Q593" s="33">
        <f t="shared" ref="Q593" si="919">SUM(Q1737:Q1740)</f>
        <v>17400</v>
      </c>
      <c r="R593" s="114">
        <f t="shared" ref="R593" si="920">SUM(R1737:R1740)</f>
        <v>17900</v>
      </c>
    </row>
    <row r="594" spans="1:18" ht="13.5" customHeight="1" x14ac:dyDescent="0.2">
      <c r="A594" s="107">
        <f t="shared" ref="A594:D595" si="921">SUM(A1743:A1743)</f>
        <v>0</v>
      </c>
      <c r="B594" s="189">
        <f t="shared" si="921"/>
        <v>0</v>
      </c>
      <c r="C594" s="189">
        <f t="shared" si="921"/>
        <v>0</v>
      </c>
      <c r="D594" s="189">
        <f t="shared" si="921"/>
        <v>60300</v>
      </c>
      <c r="E594" s="1954">
        <v>32326</v>
      </c>
      <c r="F594" s="1952" t="s">
        <v>6682</v>
      </c>
      <c r="G594" s="2509">
        <f>SUM(G1743:G1743)</f>
        <v>90000</v>
      </c>
      <c r="H594" s="138">
        <f>IF(D594=G594,0,IF(D594=0,100,(G594-D594)/D594*100))</f>
        <v>49.253731343283583</v>
      </c>
      <c r="I594" s="33">
        <f t="shared" ref="I594:Q594" si="922">SUM(I1743:I1743)</f>
        <v>0</v>
      </c>
      <c r="J594" s="33">
        <f t="shared" si="922"/>
        <v>0</v>
      </c>
      <c r="K594" s="33">
        <f t="shared" si="922"/>
        <v>0</v>
      </c>
      <c r="L594" s="33">
        <f t="shared" si="922"/>
        <v>0</v>
      </c>
      <c r="M594" s="33">
        <f t="shared" si="922"/>
        <v>0</v>
      </c>
      <c r="N594" s="33">
        <f t="shared" si="922"/>
        <v>0</v>
      </c>
      <c r="O594" s="33">
        <f t="shared" si="922"/>
        <v>0</v>
      </c>
      <c r="P594" s="33">
        <f t="shared" si="922"/>
        <v>0</v>
      </c>
      <c r="Q594" s="33">
        <f t="shared" si="922"/>
        <v>0</v>
      </c>
      <c r="R594" s="114">
        <f t="shared" ref="R594" si="923">SUM(R1743:R1743)</f>
        <v>0</v>
      </c>
    </row>
    <row r="595" spans="1:18" x14ac:dyDescent="0.2">
      <c r="A595" s="107">
        <f t="shared" si="921"/>
        <v>0</v>
      </c>
      <c r="B595" s="189">
        <f t="shared" si="921"/>
        <v>0</v>
      </c>
      <c r="C595" s="189">
        <f t="shared" si="921"/>
        <v>0</v>
      </c>
      <c r="D595" s="189">
        <f t="shared" si="921"/>
        <v>0</v>
      </c>
      <c r="E595" s="1954">
        <v>32326</v>
      </c>
      <c r="F595" s="891" t="s">
        <v>6683</v>
      </c>
      <c r="G595" s="198">
        <f>SUM(G1744:G1744)</f>
        <v>30000</v>
      </c>
      <c r="H595" s="138">
        <f>IF(D595=G595,0,IF(D595=0,100,(G595-D595)/D595*100))</f>
        <v>100</v>
      </c>
      <c r="I595" s="33">
        <f t="shared" ref="I595:Q595" si="924">SUM(I1744:I1744)</f>
        <v>0</v>
      </c>
      <c r="J595" s="33">
        <f t="shared" si="924"/>
        <v>0</v>
      </c>
      <c r="K595" s="33">
        <f t="shared" si="924"/>
        <v>0</v>
      </c>
      <c r="L595" s="33">
        <f t="shared" si="924"/>
        <v>0</v>
      </c>
      <c r="M595" s="33">
        <f t="shared" si="924"/>
        <v>0</v>
      </c>
      <c r="N595" s="33">
        <f t="shared" si="924"/>
        <v>0</v>
      </c>
      <c r="O595" s="33">
        <f t="shared" si="924"/>
        <v>0</v>
      </c>
      <c r="P595" s="33">
        <f t="shared" si="924"/>
        <v>0</v>
      </c>
      <c r="Q595" s="33">
        <f t="shared" si="924"/>
        <v>0</v>
      </c>
      <c r="R595" s="114">
        <f t="shared" ref="R595" si="925">SUM(R1744:R1744)</f>
        <v>0</v>
      </c>
    </row>
    <row r="596" spans="1:18" x14ac:dyDescent="0.2">
      <c r="A596" s="107"/>
      <c r="B596" s="189"/>
      <c r="E596" s="1954"/>
      <c r="F596" s="891"/>
      <c r="G596" s="198"/>
      <c r="H596" s="138"/>
      <c r="I596" s="33"/>
      <c r="J596" s="33"/>
      <c r="K596" s="33"/>
      <c r="L596" s="33"/>
      <c r="M596" s="33"/>
      <c r="N596" s="33"/>
      <c r="O596" s="33"/>
      <c r="P596" s="33"/>
      <c r="Q596" s="33"/>
      <c r="R596" s="114"/>
    </row>
    <row r="597" spans="1:18" x14ac:dyDescent="0.2">
      <c r="A597" s="107"/>
      <c r="B597" s="33"/>
      <c r="E597" s="1954"/>
      <c r="F597" s="371" t="str">
        <f>F101</f>
        <v>Non-Cash Expenses</v>
      </c>
      <c r="G597" s="198"/>
      <c r="H597" s="138"/>
      <c r="I597" s="33"/>
      <c r="J597" s="33"/>
      <c r="K597" s="33"/>
      <c r="L597" s="33"/>
      <c r="M597" s="33"/>
      <c r="N597" s="33"/>
      <c r="O597" s="33"/>
      <c r="P597" s="33"/>
      <c r="Q597" s="33"/>
      <c r="R597" s="114"/>
    </row>
    <row r="598" spans="1:18" x14ac:dyDescent="0.2">
      <c r="A598" s="107">
        <f>ROUND(SUM(A1749:A1749),-3)</f>
        <v>55000</v>
      </c>
      <c r="B598" s="33">
        <f>ROUND(SUM(B1749:B1749),)</f>
        <v>33800</v>
      </c>
      <c r="C598" s="189">
        <f>ROUND(SUM(C1749:C1749),)</f>
        <v>43000</v>
      </c>
      <c r="D598" s="189">
        <f>ROUND(SUM(D1749:D1749),)</f>
        <v>28000</v>
      </c>
      <c r="E598" s="1954">
        <v>32325</v>
      </c>
      <c r="F598" s="33" t="s">
        <v>2782</v>
      </c>
      <c r="G598" s="198">
        <f t="shared" ref="G598:O598" si="926">ROUND(SUM(G1749:G1749),)</f>
        <v>45700</v>
      </c>
      <c r="H598" s="138">
        <f>IF(D598=G598,0,IF(D598=0,100,(G598-D598)/D598*100))</f>
        <v>63.214285714285708</v>
      </c>
      <c r="I598" s="33">
        <f t="shared" si="926"/>
        <v>47200</v>
      </c>
      <c r="J598" s="33">
        <f t="shared" si="926"/>
        <v>19200</v>
      </c>
      <c r="K598" s="33">
        <f t="shared" si="926"/>
        <v>19900</v>
      </c>
      <c r="L598" s="33">
        <f t="shared" si="926"/>
        <v>20600</v>
      </c>
      <c r="M598" s="33">
        <f t="shared" si="926"/>
        <v>21400</v>
      </c>
      <c r="N598" s="33">
        <f t="shared" si="926"/>
        <v>22100</v>
      </c>
      <c r="O598" s="33">
        <f t="shared" si="926"/>
        <v>22900</v>
      </c>
      <c r="P598" s="33">
        <f t="shared" ref="P598:Q598" si="927">ROUND(SUM(P1749:P1749),)</f>
        <v>23800</v>
      </c>
      <c r="Q598" s="33">
        <f t="shared" si="927"/>
        <v>24700</v>
      </c>
      <c r="R598" s="114">
        <f t="shared" ref="R598" si="928">ROUND(SUM(R1749:R1749),)</f>
        <v>25600</v>
      </c>
    </row>
    <row r="599" spans="1:18" x14ac:dyDescent="0.2">
      <c r="A599" s="107">
        <f>ROUND(SUM(A1747:A1748),-3)</f>
        <v>92000</v>
      </c>
      <c r="B599" s="33">
        <f>ROUND(SUM(B1747:B1748),)</f>
        <v>96000</v>
      </c>
      <c r="C599" s="189">
        <f>ROUND(SUM(C1747:C1748),)</f>
        <v>9400</v>
      </c>
      <c r="D599" s="189">
        <f>ROUND(SUM(D1747:D1748),)</f>
        <v>9500</v>
      </c>
      <c r="E599" s="1954">
        <v>32325</v>
      </c>
      <c r="F599" s="132" t="s">
        <v>1760</v>
      </c>
      <c r="G599" s="198">
        <f t="shared" ref="G599:O599" si="929">ROUND(SUM(G1747:G1748),)</f>
        <v>10000</v>
      </c>
      <c r="H599" s="138">
        <f>IF(D599=G599,0,IF(D599=0,100,(G599-D599)/D599*100))</f>
        <v>5.2631578947368416</v>
      </c>
      <c r="I599" s="33">
        <f t="shared" si="929"/>
        <v>10300</v>
      </c>
      <c r="J599" s="33">
        <f t="shared" si="929"/>
        <v>10600</v>
      </c>
      <c r="K599" s="33">
        <f t="shared" si="929"/>
        <v>10900</v>
      </c>
      <c r="L599" s="33">
        <f t="shared" si="929"/>
        <v>11200</v>
      </c>
      <c r="M599" s="33">
        <f t="shared" si="929"/>
        <v>11500</v>
      </c>
      <c r="N599" s="33">
        <f t="shared" si="929"/>
        <v>11800</v>
      </c>
      <c r="O599" s="33">
        <f t="shared" si="929"/>
        <v>12100</v>
      </c>
      <c r="P599" s="33">
        <f t="shared" ref="P599:Q599" si="930">ROUND(SUM(P1747:P1748),)</f>
        <v>12400</v>
      </c>
      <c r="Q599" s="33">
        <f t="shared" si="930"/>
        <v>12700</v>
      </c>
      <c r="R599" s="114">
        <f t="shared" ref="R599" si="931">ROUND(SUM(R1747:R1748),)</f>
        <v>13000</v>
      </c>
    </row>
    <row r="600" spans="1:18" ht="13.5" thickBot="1" x14ac:dyDescent="0.25">
      <c r="A600" s="107"/>
      <c r="B600" s="33"/>
      <c r="D600" s="187"/>
      <c r="E600" s="1954"/>
      <c r="F600" s="33"/>
      <c r="G600" s="198"/>
      <c r="H600" s="138"/>
      <c r="I600" s="33"/>
      <c r="J600" s="33"/>
      <c r="K600" s="33"/>
      <c r="L600" s="33"/>
      <c r="M600" s="33"/>
      <c r="N600" s="33"/>
      <c r="O600" s="33"/>
      <c r="P600" s="33"/>
      <c r="Q600" s="33"/>
      <c r="R600" s="114"/>
    </row>
    <row r="601" spans="1:18" s="92" customFormat="1" x14ac:dyDescent="0.2">
      <c r="A601" s="105">
        <f>SUBTOTAL(9,A583:A599)</f>
        <v>218000</v>
      </c>
      <c r="B601" s="53">
        <f>SUBTOTAL(9,B583:B599)</f>
        <v>172600</v>
      </c>
      <c r="C601" s="190">
        <f>SUBTOTAL(9,C583:C599)</f>
        <v>227800</v>
      </c>
      <c r="D601" s="190">
        <f>SUBTOTAL(9,D583:D599)</f>
        <v>188400</v>
      </c>
      <c r="E601" s="237"/>
      <c r="F601" s="378" t="s">
        <v>565</v>
      </c>
      <c r="G601" s="2550">
        <f>SUBTOTAL(9,G583:G599)</f>
        <v>738900</v>
      </c>
      <c r="H601" s="180">
        <f>IF(D601=G601,0,IF(D601=0,100,(G601-D601)/D601*100))</f>
        <v>292.19745222929936</v>
      </c>
      <c r="I601" s="53">
        <f t="shared" ref="I601:P601" si="932">SUBTOTAL(9,I583:I599)</f>
        <v>77300</v>
      </c>
      <c r="J601" s="53">
        <f t="shared" si="932"/>
        <v>50400</v>
      </c>
      <c r="K601" s="53">
        <f t="shared" si="932"/>
        <v>52200</v>
      </c>
      <c r="L601" s="53">
        <f t="shared" si="932"/>
        <v>54000</v>
      </c>
      <c r="M601" s="53">
        <f t="shared" si="932"/>
        <v>55800</v>
      </c>
      <c r="N601" s="53">
        <f t="shared" si="932"/>
        <v>57500</v>
      </c>
      <c r="O601" s="53">
        <f t="shared" si="932"/>
        <v>59400</v>
      </c>
      <c r="P601" s="53">
        <f t="shared" si="932"/>
        <v>61400</v>
      </c>
      <c r="Q601" s="53">
        <f t="shared" ref="Q601" si="933">SUBTOTAL(9,Q583:Q599)</f>
        <v>63400</v>
      </c>
      <c r="R601" s="113">
        <f t="shared" ref="R601" si="934">SUBTOTAL(9,R583:R599)</f>
        <v>65400</v>
      </c>
    </row>
    <row r="602" spans="1:18" x14ac:dyDescent="0.2">
      <c r="A602" s="107"/>
      <c r="B602" s="33"/>
      <c r="E602" s="1955"/>
      <c r="F602" s="1981"/>
      <c r="G602" s="187"/>
      <c r="H602" s="138"/>
      <c r="I602" s="33"/>
      <c r="J602" s="33"/>
      <c r="K602" s="33"/>
      <c r="L602" s="33"/>
      <c r="M602" s="33"/>
      <c r="N602" s="33"/>
      <c r="O602" s="33"/>
      <c r="P602" s="33"/>
      <c r="Q602" s="33"/>
      <c r="R602" s="114"/>
    </row>
    <row r="603" spans="1:18" s="92" customFormat="1" x14ac:dyDescent="0.2">
      <c r="A603" s="70">
        <f t="shared" ref="A603:B603" si="935">A579-A601</f>
        <v>193000</v>
      </c>
      <c r="B603" s="64">
        <f t="shared" si="935"/>
        <v>177100</v>
      </c>
      <c r="C603" s="193">
        <f>C579-C601</f>
        <v>247900</v>
      </c>
      <c r="D603" s="193">
        <f>D579-D601</f>
        <v>188800</v>
      </c>
      <c r="E603" s="237"/>
      <c r="F603" s="1962" t="s">
        <v>1019</v>
      </c>
      <c r="G603" s="192">
        <f t="shared" ref="G603:P603" si="936">G579-G601</f>
        <v>-674100</v>
      </c>
      <c r="H603" s="179">
        <f>IF(D603=G603,0,IF(D603=0,100,(G603-D603)/D603*100))</f>
        <v>-457.04449152542372</v>
      </c>
      <c r="I603" s="64">
        <f t="shared" si="936"/>
        <v>-28500</v>
      </c>
      <c r="J603" s="64">
        <f t="shared" si="936"/>
        <v>-300</v>
      </c>
      <c r="K603" s="64">
        <f t="shared" si="936"/>
        <v>-700</v>
      </c>
      <c r="L603" s="64">
        <f t="shared" si="936"/>
        <v>-1100</v>
      </c>
      <c r="M603" s="64">
        <f t="shared" si="936"/>
        <v>-1700</v>
      </c>
      <c r="N603" s="64">
        <f t="shared" si="936"/>
        <v>-2200</v>
      </c>
      <c r="O603" s="64">
        <f t="shared" si="936"/>
        <v>-2900</v>
      </c>
      <c r="P603" s="64">
        <f t="shared" si="936"/>
        <v>-3600</v>
      </c>
      <c r="Q603" s="64">
        <f t="shared" ref="Q603" si="937">Q579-Q601</f>
        <v>-4300</v>
      </c>
      <c r="R603" s="115">
        <f t="shared" ref="R603" si="938">R579-R601</f>
        <v>-5000</v>
      </c>
    </row>
    <row r="604" spans="1:18" x14ac:dyDescent="0.2">
      <c r="A604" s="107">
        <f t="shared" ref="A604:B604" si="939">-A577</f>
        <v>0</v>
      </c>
      <c r="B604" s="33">
        <f t="shared" si="939"/>
        <v>0</v>
      </c>
      <c r="C604" s="189">
        <f>-C577</f>
        <v>-223900</v>
      </c>
      <c r="D604" s="189">
        <f>-D577</f>
        <v>-53100</v>
      </c>
      <c r="E604" s="1955"/>
      <c r="F604" s="2531" t="s">
        <v>5472</v>
      </c>
      <c r="G604" s="187">
        <f t="shared" ref="G604:P604" si="940">-G577</f>
        <v>0</v>
      </c>
      <c r="H604" s="138">
        <f>IF(D604=G604,0,IF(D604=0,100,(G604-D604)/D604*100))</f>
        <v>-100</v>
      </c>
      <c r="I604" s="33">
        <f t="shared" si="940"/>
        <v>0</v>
      </c>
      <c r="J604" s="33">
        <f t="shared" si="940"/>
        <v>0</v>
      </c>
      <c r="K604" s="33">
        <f t="shared" si="940"/>
        <v>0</v>
      </c>
      <c r="L604" s="33">
        <f t="shared" si="940"/>
        <v>0</v>
      </c>
      <c r="M604" s="33">
        <f t="shared" si="940"/>
        <v>0</v>
      </c>
      <c r="N604" s="33">
        <f t="shared" si="940"/>
        <v>0</v>
      </c>
      <c r="O604" s="33">
        <f t="shared" si="940"/>
        <v>0</v>
      </c>
      <c r="P604" s="33">
        <f t="shared" si="940"/>
        <v>0</v>
      </c>
      <c r="Q604" s="33">
        <f t="shared" ref="Q604" si="941">-Q577</f>
        <v>0</v>
      </c>
      <c r="R604" s="114">
        <f t="shared" ref="R604" si="942">-R577</f>
        <v>0</v>
      </c>
    </row>
    <row r="605" spans="1:18" x14ac:dyDescent="0.2">
      <c r="A605" s="107">
        <f t="shared" ref="A605:B605" si="943">A598</f>
        <v>55000</v>
      </c>
      <c r="B605" s="33">
        <f t="shared" si="943"/>
        <v>33800</v>
      </c>
      <c r="C605" s="189">
        <f>C598</f>
        <v>43000</v>
      </c>
      <c r="D605" s="189">
        <f>D598</f>
        <v>28000</v>
      </c>
      <c r="E605" s="1955"/>
      <c r="F605" s="2531" t="s">
        <v>5474</v>
      </c>
      <c r="G605" s="187">
        <f t="shared" ref="G605:P605" si="944">G598</f>
        <v>45700</v>
      </c>
      <c r="H605" s="138">
        <f>IF(D605=G605,0,IF(D605=0,100,(G605-D605)/D605*100))</f>
        <v>63.214285714285708</v>
      </c>
      <c r="I605" s="33">
        <f t="shared" si="944"/>
        <v>47200</v>
      </c>
      <c r="J605" s="33">
        <f t="shared" si="944"/>
        <v>19200</v>
      </c>
      <c r="K605" s="33">
        <f t="shared" si="944"/>
        <v>19900</v>
      </c>
      <c r="L605" s="33">
        <f t="shared" si="944"/>
        <v>20600</v>
      </c>
      <c r="M605" s="33">
        <f t="shared" si="944"/>
        <v>21400</v>
      </c>
      <c r="N605" s="33">
        <f t="shared" si="944"/>
        <v>22100</v>
      </c>
      <c r="O605" s="33">
        <f t="shared" si="944"/>
        <v>22900</v>
      </c>
      <c r="P605" s="33">
        <f t="shared" si="944"/>
        <v>23800</v>
      </c>
      <c r="Q605" s="33">
        <f t="shared" ref="Q605" si="945">Q598</f>
        <v>24700</v>
      </c>
      <c r="R605" s="114">
        <f t="shared" ref="R605" si="946">R598</f>
        <v>25600</v>
      </c>
    </row>
    <row r="606" spans="1:18" x14ac:dyDescent="0.2">
      <c r="A606" s="107">
        <f t="shared" ref="A606:B606" si="947">A599</f>
        <v>92000</v>
      </c>
      <c r="B606" s="33">
        <f t="shared" si="947"/>
        <v>96000</v>
      </c>
      <c r="C606" s="189">
        <f>C599</f>
        <v>9400</v>
      </c>
      <c r="D606" s="189">
        <f>D599</f>
        <v>9500</v>
      </c>
      <c r="E606" s="1955"/>
      <c r="F606" s="2531" t="s">
        <v>1976</v>
      </c>
      <c r="G606" s="187">
        <f t="shared" ref="G606:P606" si="948">G599</f>
        <v>10000</v>
      </c>
      <c r="H606" s="138">
        <f>IF(D606=G606,0,IF(D606=0,100,(G606-D606)/D606*100))</f>
        <v>5.2631578947368416</v>
      </c>
      <c r="I606" s="33">
        <f t="shared" si="948"/>
        <v>10300</v>
      </c>
      <c r="J606" s="33">
        <f t="shared" si="948"/>
        <v>10600</v>
      </c>
      <c r="K606" s="33">
        <f t="shared" si="948"/>
        <v>10900</v>
      </c>
      <c r="L606" s="33">
        <f t="shared" si="948"/>
        <v>11200</v>
      </c>
      <c r="M606" s="33">
        <f t="shared" si="948"/>
        <v>11500</v>
      </c>
      <c r="N606" s="33">
        <f t="shared" si="948"/>
        <v>11800</v>
      </c>
      <c r="O606" s="33">
        <f t="shared" si="948"/>
        <v>12100</v>
      </c>
      <c r="P606" s="33">
        <f t="shared" si="948"/>
        <v>12400</v>
      </c>
      <c r="Q606" s="33">
        <f t="shared" ref="Q606" si="949">Q599</f>
        <v>12700</v>
      </c>
      <c r="R606" s="114">
        <f t="shared" ref="R606" si="950">R599</f>
        <v>13000</v>
      </c>
    </row>
    <row r="607" spans="1:18" s="92" customFormat="1" x14ac:dyDescent="0.2">
      <c r="A607" s="181">
        <f t="shared" ref="A607:B607" si="951">SUM(A603:A606)</f>
        <v>340000</v>
      </c>
      <c r="B607" s="397">
        <f t="shared" si="951"/>
        <v>306900</v>
      </c>
      <c r="C607" s="398">
        <f>SUM(C603:C606)</f>
        <v>76400</v>
      </c>
      <c r="D607" s="398">
        <f>SUM(D603:D606)</f>
        <v>173200</v>
      </c>
      <c r="E607" s="523"/>
      <c r="F607" s="1972" t="s">
        <v>1687</v>
      </c>
      <c r="G607" s="728">
        <f t="shared" ref="G607:P607" si="952">SUM(G603:G606)</f>
        <v>-618400</v>
      </c>
      <c r="H607" s="395">
        <f>IF(D607=G607,0,IF(D607=0,100,(G607-D607)/D607*100))</f>
        <v>-457.04387990762126</v>
      </c>
      <c r="I607" s="397">
        <f>SUM(I603:I606)</f>
        <v>29000</v>
      </c>
      <c r="J607" s="397">
        <f t="shared" si="952"/>
        <v>29500</v>
      </c>
      <c r="K607" s="397">
        <f t="shared" si="952"/>
        <v>30100</v>
      </c>
      <c r="L607" s="397">
        <f t="shared" si="952"/>
        <v>30700</v>
      </c>
      <c r="M607" s="397">
        <f t="shared" si="952"/>
        <v>31200</v>
      </c>
      <c r="N607" s="397">
        <f t="shared" si="952"/>
        <v>31700</v>
      </c>
      <c r="O607" s="397">
        <f t="shared" si="952"/>
        <v>32100</v>
      </c>
      <c r="P607" s="397">
        <f t="shared" si="952"/>
        <v>32600</v>
      </c>
      <c r="Q607" s="397">
        <f t="shared" ref="Q607" si="953">SUM(Q603:Q606)</f>
        <v>33100</v>
      </c>
      <c r="R607" s="399">
        <f t="shared" ref="R607" si="954">SUM(R603:R606)</f>
        <v>33600</v>
      </c>
    </row>
    <row r="608" spans="1:18" ht="13.5" thickBot="1" x14ac:dyDescent="0.25">
      <c r="A608" s="751"/>
      <c r="B608" s="64"/>
      <c r="C608" s="192"/>
      <c r="D608" s="192"/>
      <c r="E608" s="1954"/>
      <c r="F608" s="175"/>
      <c r="G608" s="192"/>
      <c r="H608" s="179"/>
      <c r="I608" s="33"/>
      <c r="J608" s="33"/>
      <c r="K608" s="33"/>
      <c r="L608" s="33"/>
      <c r="M608" s="33"/>
      <c r="N608" s="33"/>
      <c r="O608" s="33"/>
      <c r="P608" s="33"/>
      <c r="Q608" s="33"/>
      <c r="R608" s="114"/>
    </row>
    <row r="609" spans="1:18" ht="13.5" thickTop="1" x14ac:dyDescent="0.2">
      <c r="A609" s="383"/>
      <c r="B609" s="162"/>
      <c r="C609" s="194"/>
      <c r="D609" s="194"/>
      <c r="E609" s="541"/>
      <c r="F609" s="640"/>
      <c r="G609" s="730"/>
      <c r="H609" s="505"/>
      <c r="I609" s="127"/>
      <c r="J609" s="127"/>
      <c r="K609" s="127"/>
      <c r="L609" s="127"/>
      <c r="M609" s="127"/>
      <c r="N609" s="127"/>
      <c r="O609" s="127"/>
      <c r="P609" s="127"/>
      <c r="Q609" s="127"/>
      <c r="R609" s="163"/>
    </row>
    <row r="610" spans="1:18" x14ac:dyDescent="0.2">
      <c r="A610" s="70"/>
      <c r="B610" s="64"/>
      <c r="C610" s="193"/>
      <c r="D610" s="193"/>
      <c r="E610" s="238"/>
      <c r="F610" s="1962" t="s">
        <v>196</v>
      </c>
      <c r="G610" s="192"/>
      <c r="H610" s="179"/>
      <c r="I610" s="33"/>
      <c r="J610" s="33"/>
      <c r="K610" s="33"/>
      <c r="L610" s="33"/>
      <c r="M610" s="33"/>
      <c r="N610" s="33"/>
      <c r="O610" s="33"/>
      <c r="P610" s="33"/>
      <c r="Q610" s="33"/>
      <c r="R610" s="114"/>
    </row>
    <row r="611" spans="1:18" x14ac:dyDescent="0.2">
      <c r="A611" s="70"/>
      <c r="B611" s="64"/>
      <c r="C611" s="193"/>
      <c r="D611" s="193"/>
      <c r="E611" s="238"/>
      <c r="F611" s="175"/>
      <c r="G611" s="192"/>
      <c r="H611" s="179"/>
      <c r="I611" s="33"/>
      <c r="J611" s="33"/>
      <c r="K611" s="33"/>
      <c r="L611" s="33"/>
      <c r="M611" s="33"/>
      <c r="N611" s="33"/>
      <c r="O611" s="33"/>
      <c r="P611" s="33"/>
      <c r="Q611" s="33"/>
      <c r="R611" s="114"/>
    </row>
    <row r="612" spans="1:18" x14ac:dyDescent="0.2">
      <c r="A612" s="107">
        <f>ROUND(A1761,-3)</f>
        <v>0</v>
      </c>
      <c r="B612" s="33">
        <f t="shared" ref="B612:C616" si="955">B1761</f>
        <v>0</v>
      </c>
      <c r="C612" s="189">
        <f t="shared" si="955"/>
        <v>0</v>
      </c>
      <c r="D612" s="189">
        <f>D1761</f>
        <v>0</v>
      </c>
      <c r="E612" s="238"/>
      <c r="F612" s="1981" t="s">
        <v>2900</v>
      </c>
      <c r="G612" s="187">
        <f t="shared" ref="G612:O612" si="956">G1761</f>
        <v>0</v>
      </c>
      <c r="H612" s="138"/>
      <c r="I612" s="33">
        <f t="shared" si="956"/>
        <v>0</v>
      </c>
      <c r="J612" s="33">
        <f t="shared" si="956"/>
        <v>0</v>
      </c>
      <c r="K612" s="33">
        <f t="shared" si="956"/>
        <v>0</v>
      </c>
      <c r="L612" s="33">
        <f t="shared" si="956"/>
        <v>0</v>
      </c>
      <c r="M612" s="33">
        <f t="shared" si="956"/>
        <v>0</v>
      </c>
      <c r="N612" s="33">
        <f t="shared" si="956"/>
        <v>0</v>
      </c>
      <c r="O612" s="33">
        <f t="shared" si="956"/>
        <v>0</v>
      </c>
      <c r="P612" s="33">
        <f t="shared" ref="P612:Q612" si="957">P1761</f>
        <v>0</v>
      </c>
      <c r="Q612" s="33">
        <f t="shared" si="957"/>
        <v>0</v>
      </c>
      <c r="R612" s="114">
        <f t="shared" ref="R612" si="958">R1761</f>
        <v>0</v>
      </c>
    </row>
    <row r="613" spans="1:18" x14ac:dyDescent="0.2">
      <c r="A613" s="107">
        <f>ROUND(A1762,-3)</f>
        <v>378000</v>
      </c>
      <c r="B613" s="33">
        <f t="shared" si="955"/>
        <v>306900</v>
      </c>
      <c r="C613" s="189">
        <f t="shared" si="955"/>
        <v>76400</v>
      </c>
      <c r="D613" s="189">
        <f>D1762</f>
        <v>265900</v>
      </c>
      <c r="E613" s="238"/>
      <c r="F613" s="1981" t="s">
        <v>1942</v>
      </c>
      <c r="G613" s="187">
        <f t="shared" ref="G613:O613" si="959">G1762</f>
        <v>0</v>
      </c>
      <c r="H613" s="138"/>
      <c r="I613" s="33">
        <f t="shared" si="959"/>
        <v>29000</v>
      </c>
      <c r="J613" s="33">
        <f t="shared" si="959"/>
        <v>29500</v>
      </c>
      <c r="K613" s="33">
        <f t="shared" si="959"/>
        <v>30100</v>
      </c>
      <c r="L613" s="33">
        <f t="shared" si="959"/>
        <v>30700</v>
      </c>
      <c r="M613" s="33">
        <f t="shared" si="959"/>
        <v>31200</v>
      </c>
      <c r="N613" s="33">
        <f t="shared" si="959"/>
        <v>31700</v>
      </c>
      <c r="O613" s="33">
        <f t="shared" si="959"/>
        <v>32100</v>
      </c>
      <c r="P613" s="33">
        <f t="shared" ref="P613:Q613" si="960">P1762</f>
        <v>32600</v>
      </c>
      <c r="Q613" s="33">
        <f t="shared" si="960"/>
        <v>33100</v>
      </c>
      <c r="R613" s="114">
        <f t="shared" ref="R613" si="961">R1762</f>
        <v>33600</v>
      </c>
    </row>
    <row r="614" spans="1:18" x14ac:dyDescent="0.2">
      <c r="A614" s="107">
        <f>ROUND(A1763,-3)</f>
        <v>139000</v>
      </c>
      <c r="B614" s="33">
        <f t="shared" si="955"/>
        <v>210000</v>
      </c>
      <c r="C614" s="189">
        <f t="shared" si="955"/>
        <v>250000</v>
      </c>
      <c r="D614" s="189">
        <f>D1763</f>
        <v>192700</v>
      </c>
      <c r="E614" s="238"/>
      <c r="F614" s="1981" t="s">
        <v>2348</v>
      </c>
      <c r="G614" s="187">
        <f t="shared" ref="G614:O614" si="962">G1763</f>
        <v>901400</v>
      </c>
      <c r="H614" s="138"/>
      <c r="I614" s="33">
        <f t="shared" si="962"/>
        <v>0</v>
      </c>
      <c r="J614" s="33">
        <f t="shared" si="962"/>
        <v>0</v>
      </c>
      <c r="K614" s="33">
        <f t="shared" si="962"/>
        <v>0</v>
      </c>
      <c r="L614" s="33">
        <f t="shared" si="962"/>
        <v>0</v>
      </c>
      <c r="M614" s="33">
        <f t="shared" si="962"/>
        <v>0</v>
      </c>
      <c r="N614" s="33">
        <f t="shared" si="962"/>
        <v>0</v>
      </c>
      <c r="O614" s="33">
        <f t="shared" si="962"/>
        <v>0</v>
      </c>
      <c r="P614" s="33">
        <f t="shared" ref="P614:Q614" si="963">P1763</f>
        <v>0</v>
      </c>
      <c r="Q614" s="33">
        <f t="shared" si="963"/>
        <v>0</v>
      </c>
      <c r="R614" s="114">
        <f t="shared" ref="R614" si="964">R1763</f>
        <v>0</v>
      </c>
    </row>
    <row r="615" spans="1:18" x14ac:dyDescent="0.2">
      <c r="A615" s="107">
        <f>ROUND(A1764,-3)</f>
        <v>0</v>
      </c>
      <c r="B615" s="33">
        <f t="shared" si="955"/>
        <v>0</v>
      </c>
      <c r="C615" s="189">
        <f t="shared" si="955"/>
        <v>0</v>
      </c>
      <c r="D615" s="189">
        <f>D1764</f>
        <v>0</v>
      </c>
      <c r="E615" s="238"/>
      <c r="F615" s="1981" t="s">
        <v>5984</v>
      </c>
      <c r="G615" s="187">
        <f t="shared" ref="G615:O615" si="965">G1764</f>
        <v>0</v>
      </c>
      <c r="H615" s="138"/>
      <c r="I615" s="33">
        <f t="shared" si="965"/>
        <v>0</v>
      </c>
      <c r="J615" s="33">
        <f t="shared" si="965"/>
        <v>0</v>
      </c>
      <c r="K615" s="33">
        <f t="shared" si="965"/>
        <v>0</v>
      </c>
      <c r="L615" s="33">
        <f t="shared" si="965"/>
        <v>0</v>
      </c>
      <c r="M615" s="33">
        <f t="shared" si="965"/>
        <v>0</v>
      </c>
      <c r="N615" s="33">
        <f t="shared" si="965"/>
        <v>0</v>
      </c>
      <c r="O615" s="33">
        <f t="shared" si="965"/>
        <v>0</v>
      </c>
      <c r="P615" s="33">
        <f t="shared" ref="P615:Q615" si="966">P1764</f>
        <v>0</v>
      </c>
      <c r="Q615" s="33">
        <f t="shared" si="966"/>
        <v>0</v>
      </c>
      <c r="R615" s="114">
        <f t="shared" ref="R615" si="967">R1764</f>
        <v>0</v>
      </c>
    </row>
    <row r="616" spans="1:18" x14ac:dyDescent="0.2">
      <c r="A616" s="107">
        <f>ROUND(A1765,-3)</f>
        <v>0</v>
      </c>
      <c r="B616" s="33">
        <f t="shared" si="955"/>
        <v>0</v>
      </c>
      <c r="C616" s="189">
        <f t="shared" si="955"/>
        <v>0</v>
      </c>
      <c r="D616" s="189">
        <f>D1765</f>
        <v>0</v>
      </c>
      <c r="E616" s="238"/>
      <c r="F616" s="366" t="s">
        <v>972</v>
      </c>
      <c r="G616" s="2509">
        <f t="shared" ref="G616:O616" si="968">G1765</f>
        <v>83000</v>
      </c>
      <c r="H616" s="138"/>
      <c r="I616" s="33">
        <f t="shared" si="968"/>
        <v>0</v>
      </c>
      <c r="J616" s="33">
        <f t="shared" si="968"/>
        <v>0</v>
      </c>
      <c r="K616" s="33">
        <f t="shared" si="968"/>
        <v>0</v>
      </c>
      <c r="L616" s="33">
        <f t="shared" si="968"/>
        <v>0</v>
      </c>
      <c r="M616" s="33">
        <f t="shared" si="968"/>
        <v>0</v>
      </c>
      <c r="N616" s="33">
        <f t="shared" si="968"/>
        <v>0</v>
      </c>
      <c r="O616" s="33">
        <f t="shared" si="968"/>
        <v>0</v>
      </c>
      <c r="P616" s="33">
        <f t="shared" ref="P616:Q616" si="969">P1765</f>
        <v>0</v>
      </c>
      <c r="Q616" s="33">
        <f t="shared" si="969"/>
        <v>0</v>
      </c>
      <c r="R616" s="114">
        <f t="shared" ref="R616" si="970">R1765</f>
        <v>0</v>
      </c>
    </row>
    <row r="617" spans="1:18" x14ac:dyDescent="0.2">
      <c r="A617" s="107"/>
      <c r="B617" s="33"/>
      <c r="E617" s="238"/>
      <c r="F617" s="516"/>
      <c r="G617" s="198"/>
      <c r="H617" s="138"/>
      <c r="I617" s="33"/>
      <c r="J617" s="33"/>
      <c r="K617" s="33"/>
      <c r="L617" s="33"/>
      <c r="M617" s="33"/>
      <c r="N617" s="33"/>
      <c r="O617" s="33"/>
      <c r="P617" s="33"/>
      <c r="Q617" s="33"/>
      <c r="R617" s="114"/>
    </row>
    <row r="618" spans="1:18" s="92" customFormat="1" x14ac:dyDescent="0.2">
      <c r="A618" s="181">
        <f>A607-A612-A613+A614++A615-A616</f>
        <v>101000</v>
      </c>
      <c r="B618" s="397">
        <f>B607-B612-B613+B614++B615-B616</f>
        <v>210000</v>
      </c>
      <c r="C618" s="398">
        <f>C607-C612-C613+C614++C615-C616</f>
        <v>250000</v>
      </c>
      <c r="D618" s="398">
        <f>D607-D612-D613+D614++D615-D616</f>
        <v>100000</v>
      </c>
      <c r="E618" s="526"/>
      <c r="F618" s="518" t="s">
        <v>2490</v>
      </c>
      <c r="G618" s="2605">
        <f t="shared" ref="G618:O618" si="971">G607-G612-G613+G614++G615-G616</f>
        <v>200000</v>
      </c>
      <c r="H618" s="395">
        <f>IF(D618=G618,0,IF(D618=0,100,(G618-D618)/D618*100))</f>
        <v>100</v>
      </c>
      <c r="I618" s="397">
        <f t="shared" si="971"/>
        <v>0</v>
      </c>
      <c r="J618" s="397">
        <f t="shared" si="971"/>
        <v>0</v>
      </c>
      <c r="K618" s="397">
        <f t="shared" si="971"/>
        <v>0</v>
      </c>
      <c r="L618" s="397">
        <f t="shared" si="971"/>
        <v>0</v>
      </c>
      <c r="M618" s="397">
        <f t="shared" si="971"/>
        <v>0</v>
      </c>
      <c r="N618" s="397">
        <f t="shared" si="971"/>
        <v>0</v>
      </c>
      <c r="O618" s="397">
        <f t="shared" si="971"/>
        <v>0</v>
      </c>
      <c r="P618" s="397">
        <f t="shared" ref="P618:Q618" si="972">P607-P612-P613+P614++P615-P616</f>
        <v>0</v>
      </c>
      <c r="Q618" s="397">
        <f t="shared" si="972"/>
        <v>0</v>
      </c>
      <c r="R618" s="399">
        <f t="shared" ref="R618" si="973">R607-R612-R613+R614++R615-R616</f>
        <v>0</v>
      </c>
    </row>
    <row r="619" spans="1:18" ht="13.5" thickBot="1" x14ac:dyDescent="0.25">
      <c r="A619" s="73"/>
      <c r="B619" s="90"/>
      <c r="C619" s="195"/>
      <c r="D619" s="195"/>
      <c r="E619" s="575"/>
      <c r="F619" s="368"/>
      <c r="G619" s="2502"/>
      <c r="H619" s="392"/>
      <c r="I619" s="66"/>
      <c r="J619" s="66"/>
      <c r="K619" s="66"/>
      <c r="L619" s="66"/>
      <c r="M619" s="66"/>
      <c r="N619" s="66"/>
      <c r="O619" s="66"/>
      <c r="P619" s="66"/>
      <c r="Q619" s="66"/>
      <c r="R619" s="165"/>
    </row>
    <row r="620" spans="1:18" s="99" customFormat="1" ht="14.25" thickTop="1" thickBot="1" x14ac:dyDescent="0.25">
      <c r="A620" s="74"/>
      <c r="B620" s="74"/>
      <c r="C620" s="242"/>
      <c r="D620" s="242"/>
      <c r="E620" s="242"/>
      <c r="F620" s="242"/>
      <c r="G620" s="242"/>
      <c r="H620" s="242"/>
      <c r="I620" s="242"/>
      <c r="J620" s="242"/>
      <c r="K620" s="242"/>
      <c r="L620" s="242"/>
      <c r="M620" s="242"/>
      <c r="N620" s="242"/>
      <c r="O620" s="242"/>
      <c r="P620" s="242"/>
      <c r="Q620" s="242"/>
      <c r="R620" s="242"/>
    </row>
    <row r="621" spans="1:18" s="91" customFormat="1" ht="18.75" customHeight="1" thickTop="1" thickBot="1" x14ac:dyDescent="0.3">
      <c r="A621" s="2865" t="s">
        <v>3127</v>
      </c>
      <c r="B621" s="2866"/>
      <c r="C621" s="2866"/>
      <c r="D621" s="2866"/>
      <c r="E621" s="2866"/>
      <c r="F621" s="2866"/>
      <c r="G621" s="2866"/>
      <c r="H621" s="2866"/>
      <c r="I621" s="2866"/>
      <c r="J621" s="2866"/>
      <c r="K621" s="2866"/>
      <c r="L621" s="2866"/>
      <c r="M621" s="2866"/>
      <c r="N621" s="2866"/>
      <c r="O621" s="2866"/>
      <c r="P621" s="2866"/>
      <c r="Q621" s="2866"/>
      <c r="R621" s="2867"/>
    </row>
    <row r="622" spans="1:18" s="44" customFormat="1" x14ac:dyDescent="0.2">
      <c r="A622" s="2848" t="s">
        <v>1856</v>
      </c>
      <c r="B622" s="2840"/>
      <c r="C622" s="2840"/>
      <c r="D622" s="2849"/>
      <c r="E622" s="369" t="s">
        <v>2663</v>
      </c>
      <c r="F622" s="2649" t="s">
        <v>2251</v>
      </c>
      <c r="G622" s="2885" t="s">
        <v>2253</v>
      </c>
      <c r="H622" s="2886"/>
      <c r="I622" s="2886"/>
      <c r="J622" s="2886"/>
      <c r="K622" s="2886"/>
      <c r="L622" s="2886"/>
      <c r="M622" s="2886"/>
      <c r="N622" s="2886"/>
      <c r="O622" s="2886"/>
      <c r="P622" s="2886"/>
      <c r="Q622" s="2886"/>
      <c r="R622" s="2887"/>
    </row>
    <row r="623" spans="1:18" s="23" customFormat="1" ht="12.75" customHeight="1" thickBot="1" x14ac:dyDescent="0.25">
      <c r="A623" s="208" t="str">
        <f>A3</f>
        <v>2012/13</v>
      </c>
      <c r="B623" s="75" t="str">
        <f>B3</f>
        <v>2013/14</v>
      </c>
      <c r="C623" s="370" t="str">
        <f>C3</f>
        <v>2014/15</v>
      </c>
      <c r="D623" s="93" t="str">
        <f>D3</f>
        <v>2015/16</v>
      </c>
      <c r="E623" s="370" t="s">
        <v>2664</v>
      </c>
      <c r="F623" s="361"/>
      <c r="G623" s="2513" t="str">
        <f>G3</f>
        <v>2016/17</v>
      </c>
      <c r="H623" s="2193" t="str">
        <f>H568</f>
        <v xml:space="preserve">% </v>
      </c>
      <c r="I623" s="370" t="str">
        <f t="shared" ref="I623:Q623" si="974">I3</f>
        <v>2017/18</v>
      </c>
      <c r="J623" s="370" t="str">
        <f t="shared" si="974"/>
        <v>2018/19</v>
      </c>
      <c r="K623" s="370" t="str">
        <f t="shared" si="974"/>
        <v>2019/20</v>
      </c>
      <c r="L623" s="370" t="str">
        <f t="shared" si="974"/>
        <v>2020/21</v>
      </c>
      <c r="M623" s="370" t="str">
        <f t="shared" si="974"/>
        <v>2021/22</v>
      </c>
      <c r="N623" s="703" t="str">
        <f t="shared" si="974"/>
        <v>2022/23</v>
      </c>
      <c r="O623" s="370" t="str">
        <f t="shared" si="974"/>
        <v>2023/24</v>
      </c>
      <c r="P623" s="381" t="str">
        <f t="shared" si="974"/>
        <v>2024/25</v>
      </c>
      <c r="Q623" s="218" t="str">
        <f t="shared" si="974"/>
        <v>2025/26</v>
      </c>
      <c r="R623" s="549" t="str">
        <f t="shared" ref="R623" si="975">R3</f>
        <v>2026/27</v>
      </c>
    </row>
    <row r="624" spans="1:18" x14ac:dyDescent="0.2">
      <c r="A624" s="98"/>
      <c r="B624" s="33"/>
      <c r="C624" s="187"/>
      <c r="D624" s="187"/>
      <c r="E624" s="1954"/>
      <c r="F624" s="362"/>
      <c r="G624" s="2509"/>
      <c r="H624" s="138"/>
      <c r="I624" s="33"/>
      <c r="J624" s="33"/>
      <c r="K624" s="33"/>
      <c r="L624" s="33"/>
      <c r="M624" s="33"/>
      <c r="N624" s="76"/>
      <c r="O624" s="33"/>
      <c r="P624" s="142"/>
      <c r="Q624" s="33"/>
      <c r="R624" s="114"/>
    </row>
    <row r="625" spans="1:18" x14ac:dyDescent="0.2">
      <c r="A625" s="98"/>
      <c r="B625" s="33"/>
      <c r="C625" s="187"/>
      <c r="D625" s="187"/>
      <c r="E625" s="1954"/>
      <c r="F625" s="103" t="s">
        <v>1073</v>
      </c>
      <c r="G625" s="2509"/>
      <c r="H625" s="138"/>
      <c r="I625" s="33"/>
      <c r="J625" s="33"/>
      <c r="K625" s="33"/>
      <c r="L625" s="33"/>
      <c r="M625" s="33"/>
      <c r="N625" s="76"/>
      <c r="O625" s="33"/>
      <c r="P625" s="142"/>
      <c r="Q625" s="33"/>
      <c r="R625" s="114"/>
    </row>
    <row r="626" spans="1:18" x14ac:dyDescent="0.2">
      <c r="A626" s="98"/>
      <c r="B626" s="33"/>
      <c r="C626" s="187"/>
      <c r="E626" s="1954"/>
      <c r="F626" s="79" t="s">
        <v>2881</v>
      </c>
      <c r="G626" s="2509"/>
      <c r="H626" s="138"/>
      <c r="I626" s="33"/>
      <c r="J626" s="33"/>
      <c r="K626" s="33"/>
      <c r="L626" s="33"/>
      <c r="M626" s="33"/>
      <c r="N626" s="76"/>
      <c r="O626" s="33"/>
      <c r="P626" s="142"/>
      <c r="Q626" s="33"/>
      <c r="R626" s="114"/>
    </row>
    <row r="627" spans="1:18" x14ac:dyDescent="0.2">
      <c r="A627" s="107">
        <f>ROUND(SUM(A1775:A1777),-3)</f>
        <v>443000</v>
      </c>
      <c r="B627" s="33">
        <f>SUM(B1775:B1777)</f>
        <v>464300</v>
      </c>
      <c r="C627" s="189">
        <f>SUM(C1775:C1777)</f>
        <v>501900</v>
      </c>
      <c r="D627" s="189">
        <f>SUM(D1775:D1777)</f>
        <v>515600</v>
      </c>
      <c r="E627" s="1954">
        <v>22280</v>
      </c>
      <c r="F627" s="1952" t="s">
        <v>3755</v>
      </c>
      <c r="G627" s="2509">
        <f t="shared" ref="G627:O627" si="976">SUM(G1775:G1777)</f>
        <v>540000</v>
      </c>
      <c r="H627" s="138">
        <f t="shared" ref="H627:H635" si="977">IF(D627=G627,0,IF(D627=0,100,(G627-D627)/D627*100))</f>
        <v>4.7323506594259115</v>
      </c>
      <c r="I627" s="33">
        <f t="shared" si="976"/>
        <v>551000</v>
      </c>
      <c r="J627" s="33">
        <f t="shared" si="976"/>
        <v>564000</v>
      </c>
      <c r="K627" s="33">
        <f t="shared" si="976"/>
        <v>578000</v>
      </c>
      <c r="L627" s="33">
        <f t="shared" si="976"/>
        <v>592000</v>
      </c>
      <c r="M627" s="33">
        <f t="shared" si="976"/>
        <v>606000</v>
      </c>
      <c r="N627" s="76">
        <f t="shared" si="976"/>
        <v>622000</v>
      </c>
      <c r="O627" s="33">
        <f t="shared" si="976"/>
        <v>638000</v>
      </c>
      <c r="P627" s="142">
        <f t="shared" ref="P627:Q627" si="978">SUM(P1775:P1777)</f>
        <v>654000</v>
      </c>
      <c r="Q627" s="33">
        <f t="shared" si="978"/>
        <v>671000</v>
      </c>
      <c r="R627" s="114">
        <f t="shared" ref="R627" si="979">SUM(R1775:R1777)</f>
        <v>688000</v>
      </c>
    </row>
    <row r="628" spans="1:18" x14ac:dyDescent="0.2">
      <c r="A628" s="107">
        <f>ROUND(SUM(A1778:A1778),-3)</f>
        <v>0</v>
      </c>
      <c r="B628" s="33">
        <f>SUM(B1778)</f>
        <v>0</v>
      </c>
      <c r="C628" s="189">
        <f>SUM(C1778)</f>
        <v>1199900</v>
      </c>
      <c r="D628" s="189">
        <f>SUM(D1778)</f>
        <v>1267600</v>
      </c>
      <c r="E628" s="1954"/>
      <c r="F628" s="1952" t="s">
        <v>3846</v>
      </c>
      <c r="G628" s="2509">
        <f t="shared" ref="G628:O628" si="980">SUM(G1778)</f>
        <v>1284000</v>
      </c>
      <c r="H628" s="138">
        <f t="shared" si="977"/>
        <v>1.2937835279267906</v>
      </c>
      <c r="I628" s="33">
        <f t="shared" si="980"/>
        <v>0</v>
      </c>
      <c r="J628" s="33">
        <f t="shared" si="980"/>
        <v>0</v>
      </c>
      <c r="K628" s="33">
        <f t="shared" si="980"/>
        <v>0</v>
      </c>
      <c r="L628" s="33">
        <f t="shared" si="980"/>
        <v>0</v>
      </c>
      <c r="M628" s="33">
        <f t="shared" si="980"/>
        <v>0</v>
      </c>
      <c r="N628" s="76">
        <f t="shared" si="980"/>
        <v>0</v>
      </c>
      <c r="O628" s="33">
        <f t="shared" si="980"/>
        <v>0</v>
      </c>
      <c r="P628" s="142">
        <f t="shared" ref="P628:Q628" si="981">SUM(P1778)</f>
        <v>0</v>
      </c>
      <c r="Q628" s="33">
        <f t="shared" si="981"/>
        <v>0</v>
      </c>
      <c r="R628" s="114">
        <f t="shared" ref="R628" si="982">SUM(R1778)</f>
        <v>0</v>
      </c>
    </row>
    <row r="629" spans="1:18" x14ac:dyDescent="0.2">
      <c r="A629" s="107">
        <f>ROUND(SUM(A1779:A1780),-3)</f>
        <v>2000</v>
      </c>
      <c r="B629" s="33">
        <f>SUM(B1779:B1780)</f>
        <v>4600</v>
      </c>
      <c r="C629" s="189">
        <f>SUM(C1779:C1780)</f>
        <v>10000</v>
      </c>
      <c r="D629" s="189">
        <f>SUM(D1779:D1780)</f>
        <v>15100</v>
      </c>
      <c r="E629" s="1954">
        <v>22281</v>
      </c>
      <c r="F629" s="1956" t="s">
        <v>3758</v>
      </c>
      <c r="G629" s="187">
        <f t="shared" ref="G629:O629" si="983">SUM(G1779:G1780)</f>
        <v>15000</v>
      </c>
      <c r="H629" s="138">
        <f t="shared" si="977"/>
        <v>-0.66225165562913912</v>
      </c>
      <c r="I629" s="33">
        <f t="shared" si="983"/>
        <v>15000</v>
      </c>
      <c r="J629" s="33">
        <f t="shared" si="983"/>
        <v>15400</v>
      </c>
      <c r="K629" s="33">
        <f t="shared" si="983"/>
        <v>15800</v>
      </c>
      <c r="L629" s="33">
        <f t="shared" si="983"/>
        <v>16200</v>
      </c>
      <c r="M629" s="33">
        <f t="shared" si="983"/>
        <v>16600</v>
      </c>
      <c r="N629" s="76">
        <f t="shared" si="983"/>
        <v>17000</v>
      </c>
      <c r="O629" s="33">
        <f t="shared" si="983"/>
        <v>17400</v>
      </c>
      <c r="P629" s="142">
        <f t="shared" ref="P629:Q629" si="984">SUM(P1779:P1780)</f>
        <v>17800</v>
      </c>
      <c r="Q629" s="33">
        <f t="shared" si="984"/>
        <v>18200</v>
      </c>
      <c r="R629" s="114">
        <f t="shared" ref="R629" si="985">SUM(R1779:R1780)</f>
        <v>18600</v>
      </c>
    </row>
    <row r="630" spans="1:18" x14ac:dyDescent="0.2">
      <c r="A630" s="107">
        <f>ROUND(SUM(A1781),-3)</f>
        <v>1250000</v>
      </c>
      <c r="B630" s="33">
        <f t="shared" ref="B630:D631" si="986">SUM(B1781)</f>
        <v>1281800</v>
      </c>
      <c r="C630" s="189">
        <f t="shared" si="986"/>
        <v>1262500</v>
      </c>
      <c r="D630" s="189">
        <f t="shared" si="986"/>
        <v>774300</v>
      </c>
      <c r="E630" s="1954">
        <v>22283</v>
      </c>
      <c r="F630" s="1956" t="s">
        <v>3773</v>
      </c>
      <c r="G630" s="187">
        <f t="shared" ref="G630:O630" si="987">SUM(G1781)</f>
        <v>726000</v>
      </c>
      <c r="H630" s="138">
        <f t="shared" si="977"/>
        <v>-6.2378922898101514</v>
      </c>
      <c r="I630" s="33">
        <f t="shared" si="987"/>
        <v>741000</v>
      </c>
      <c r="J630" s="33">
        <f t="shared" si="987"/>
        <v>760000</v>
      </c>
      <c r="K630" s="33">
        <f t="shared" si="987"/>
        <v>779000</v>
      </c>
      <c r="L630" s="33">
        <f t="shared" si="987"/>
        <v>798000</v>
      </c>
      <c r="M630" s="33">
        <f t="shared" si="987"/>
        <v>818000</v>
      </c>
      <c r="N630" s="33">
        <f t="shared" si="987"/>
        <v>838000</v>
      </c>
      <c r="O630" s="33">
        <f t="shared" si="987"/>
        <v>859000</v>
      </c>
      <c r="P630" s="142">
        <f t="shared" ref="P630:Q630" si="988">SUM(P1781)</f>
        <v>880000</v>
      </c>
      <c r="Q630" s="33">
        <f t="shared" si="988"/>
        <v>902000</v>
      </c>
      <c r="R630" s="114">
        <f t="shared" ref="R630" si="989">SUM(R1781)</f>
        <v>925000</v>
      </c>
    </row>
    <row r="631" spans="1:18" x14ac:dyDescent="0.2">
      <c r="A631" s="107">
        <f>ROUND(SUM(A1782),-3)</f>
        <v>329000</v>
      </c>
      <c r="B631" s="33">
        <f t="shared" si="986"/>
        <v>633600</v>
      </c>
      <c r="C631" s="189">
        <f t="shared" si="986"/>
        <v>683600</v>
      </c>
      <c r="D631" s="189">
        <f t="shared" si="986"/>
        <v>714900</v>
      </c>
      <c r="E631" s="1954">
        <v>22283</v>
      </c>
      <c r="F631" s="1956" t="s">
        <v>3772</v>
      </c>
      <c r="G631" s="187">
        <f t="shared" ref="G631:O631" si="990">SUM(G1782)</f>
        <v>727000</v>
      </c>
      <c r="H631" s="138">
        <f t="shared" si="977"/>
        <v>1.692544411805847</v>
      </c>
      <c r="I631" s="33">
        <f t="shared" si="990"/>
        <v>742000</v>
      </c>
      <c r="J631" s="33">
        <f t="shared" si="990"/>
        <v>761000</v>
      </c>
      <c r="K631" s="33">
        <f t="shared" si="990"/>
        <v>780000</v>
      </c>
      <c r="L631" s="33">
        <f t="shared" si="990"/>
        <v>800000</v>
      </c>
      <c r="M631" s="33">
        <f t="shared" si="990"/>
        <v>820000</v>
      </c>
      <c r="N631" s="33">
        <f t="shared" si="990"/>
        <v>841000</v>
      </c>
      <c r="O631" s="33">
        <f t="shared" si="990"/>
        <v>862000</v>
      </c>
      <c r="P631" s="142">
        <f t="shared" ref="P631:Q631" si="991">SUM(P1782)</f>
        <v>884000</v>
      </c>
      <c r="Q631" s="33">
        <f t="shared" si="991"/>
        <v>906000</v>
      </c>
      <c r="R631" s="114">
        <f t="shared" ref="R631" si="992">SUM(R1782)</f>
        <v>929000</v>
      </c>
    </row>
    <row r="632" spans="1:18" x14ac:dyDescent="0.2">
      <c r="A632" s="107">
        <f>ROUND(SUM(A1783:A1784),-3)</f>
        <v>254000</v>
      </c>
      <c r="B632" s="33">
        <f>SUM(B1783:B1784)</f>
        <v>150300</v>
      </c>
      <c r="C632" s="189">
        <f>SUM(C1783:C1784)</f>
        <v>125400</v>
      </c>
      <c r="D632" s="189">
        <f>SUM(D1783:D1786)</f>
        <v>326200</v>
      </c>
      <c r="E632" s="1954">
        <v>22284</v>
      </c>
      <c r="F632" s="1956" t="s">
        <v>3450</v>
      </c>
      <c r="G632" s="187">
        <f>SUM(G1783:G1786)</f>
        <v>125000</v>
      </c>
      <c r="H632" s="138">
        <f t="shared" si="977"/>
        <v>-61.679950950337215</v>
      </c>
      <c r="I632" s="198">
        <f t="shared" ref="I632:P632" si="993">SUM(I1783:I1786)</f>
        <v>21000</v>
      </c>
      <c r="J632" s="33">
        <f t="shared" si="993"/>
        <v>22000</v>
      </c>
      <c r="K632" s="33">
        <f t="shared" si="993"/>
        <v>23000</v>
      </c>
      <c r="L632" s="33">
        <f t="shared" si="993"/>
        <v>24000</v>
      </c>
      <c r="M632" s="33">
        <f t="shared" si="993"/>
        <v>24000</v>
      </c>
      <c r="N632" s="33">
        <f t="shared" si="993"/>
        <v>24000</v>
      </c>
      <c r="O632" s="33">
        <f t="shared" si="993"/>
        <v>24000</v>
      </c>
      <c r="P632" s="189">
        <f t="shared" si="993"/>
        <v>24000</v>
      </c>
      <c r="Q632" s="187">
        <f t="shared" ref="Q632" si="994">SUM(Q1783:Q1786)</f>
        <v>24000</v>
      </c>
      <c r="R632" s="188">
        <f t="shared" ref="R632" si="995">SUM(R1783:R1786)</f>
        <v>24000</v>
      </c>
    </row>
    <row r="633" spans="1:18" x14ac:dyDescent="0.2">
      <c r="A633" s="107">
        <f>ROUND(A1788,-3)</f>
        <v>79000</v>
      </c>
      <c r="B633" s="33">
        <f>B1788</f>
        <v>54200</v>
      </c>
      <c r="C633" s="189">
        <f>C1788</f>
        <v>85400</v>
      </c>
      <c r="D633" s="189">
        <f>D1788</f>
        <v>106100</v>
      </c>
      <c r="E633" s="1954">
        <v>22281</v>
      </c>
      <c r="F633" s="1956" t="s">
        <v>345</v>
      </c>
      <c r="G633" s="187">
        <f t="shared" ref="G633:O633" si="996">G1788</f>
        <v>97000</v>
      </c>
      <c r="H633" s="138">
        <f t="shared" si="977"/>
        <v>-8.5768143261074457</v>
      </c>
      <c r="I633" s="33">
        <f t="shared" si="996"/>
        <v>92000</v>
      </c>
      <c r="J633" s="33">
        <f t="shared" si="996"/>
        <v>135000</v>
      </c>
      <c r="K633" s="33">
        <f t="shared" si="996"/>
        <v>183000</v>
      </c>
      <c r="L633" s="33">
        <f t="shared" si="996"/>
        <v>178000</v>
      </c>
      <c r="M633" s="33">
        <f t="shared" si="996"/>
        <v>172000</v>
      </c>
      <c r="N633" s="33">
        <f t="shared" si="996"/>
        <v>164000</v>
      </c>
      <c r="O633" s="33">
        <f t="shared" si="996"/>
        <v>154000</v>
      </c>
      <c r="P633" s="142">
        <f t="shared" ref="P633:Q633" si="997">P1788</f>
        <v>154000</v>
      </c>
      <c r="Q633" s="33">
        <f t="shared" si="997"/>
        <v>154000</v>
      </c>
      <c r="R633" s="114">
        <f t="shared" ref="R633" si="998">R1788</f>
        <v>154000</v>
      </c>
    </row>
    <row r="634" spans="1:18" ht="13.5" thickBot="1" x14ac:dyDescent="0.25">
      <c r="A634" s="107">
        <f>ROUND(SUM(A1789:A1798),-3)-1000</f>
        <v>140000</v>
      </c>
      <c r="B634" s="33">
        <f>SUM(B1789:B1798)</f>
        <v>131400</v>
      </c>
      <c r="C634" s="189">
        <f>SUM(C1789:C1798)</f>
        <v>89600</v>
      </c>
      <c r="D634" s="189">
        <f>SUM(D1789:D1798)</f>
        <v>124700</v>
      </c>
      <c r="E634" s="1954">
        <v>22281</v>
      </c>
      <c r="F634" s="1981" t="s">
        <v>2684</v>
      </c>
      <c r="G634" s="2604">
        <f>SUM(G1789:G1798)</f>
        <v>53000</v>
      </c>
      <c r="H634" s="2614">
        <f t="shared" si="977"/>
        <v>-57.497995188452286</v>
      </c>
      <c r="I634" s="121">
        <f t="shared" ref="I634:Q634" si="999">SUM(I1789:I1798)</f>
        <v>53000</v>
      </c>
      <c r="J634" s="121">
        <f t="shared" si="999"/>
        <v>55000</v>
      </c>
      <c r="K634" s="121">
        <f t="shared" si="999"/>
        <v>57000</v>
      </c>
      <c r="L634" s="121">
        <f t="shared" si="999"/>
        <v>59000</v>
      </c>
      <c r="M634" s="121">
        <f t="shared" si="999"/>
        <v>61000</v>
      </c>
      <c r="N634" s="184">
        <f t="shared" si="999"/>
        <v>63000</v>
      </c>
      <c r="O634" s="121">
        <f t="shared" si="999"/>
        <v>65000</v>
      </c>
      <c r="P634" s="95">
        <f t="shared" si="999"/>
        <v>67000</v>
      </c>
      <c r="Q634" s="121">
        <f t="shared" si="999"/>
        <v>69000</v>
      </c>
      <c r="R634" s="161">
        <f t="shared" ref="R634" si="1000">SUM(R1789:R1798)</f>
        <v>71000</v>
      </c>
    </row>
    <row r="635" spans="1:18" x14ac:dyDescent="0.2">
      <c r="A635" s="105">
        <f>SUM(A625:A634)</f>
        <v>2497000</v>
      </c>
      <c r="B635" s="53">
        <f>SUM(B625:B634)</f>
        <v>2720200</v>
      </c>
      <c r="C635" s="199">
        <f>SUM(C625:C634)</f>
        <v>3958300</v>
      </c>
      <c r="D635" s="199">
        <f>SUM(D625:D634)</f>
        <v>3844500</v>
      </c>
      <c r="E635" s="246"/>
      <c r="F635" s="1305" t="s">
        <v>2605</v>
      </c>
      <c r="G635" s="199">
        <f t="shared" ref="G635:P635" si="1001">SUM(G625:G634)</f>
        <v>3567000</v>
      </c>
      <c r="H635" s="180">
        <f t="shared" si="977"/>
        <v>-7.2181037846273899</v>
      </c>
      <c r="I635" s="53">
        <f t="shared" si="1001"/>
        <v>2215000</v>
      </c>
      <c r="J635" s="53">
        <f t="shared" si="1001"/>
        <v>2312400</v>
      </c>
      <c r="K635" s="53">
        <f t="shared" si="1001"/>
        <v>2415800</v>
      </c>
      <c r="L635" s="53">
        <f t="shared" si="1001"/>
        <v>2467200</v>
      </c>
      <c r="M635" s="53">
        <f t="shared" si="1001"/>
        <v>2517600</v>
      </c>
      <c r="N635" s="460">
        <f t="shared" si="1001"/>
        <v>2569000</v>
      </c>
      <c r="O635" s="53">
        <f t="shared" si="1001"/>
        <v>2619400</v>
      </c>
      <c r="P635" s="155">
        <f t="shared" si="1001"/>
        <v>2680800</v>
      </c>
      <c r="Q635" s="53">
        <f t="shared" ref="Q635" si="1002">SUM(Q625:Q634)</f>
        <v>2744200</v>
      </c>
      <c r="R635" s="113">
        <f t="shared" ref="R635" si="1003">SUM(R625:R634)</f>
        <v>2809600</v>
      </c>
    </row>
    <row r="636" spans="1:18" x14ac:dyDescent="0.2">
      <c r="A636" s="107"/>
      <c r="B636" s="33"/>
      <c r="C636" s="187"/>
      <c r="D636" s="187"/>
      <c r="E636" s="240"/>
      <c r="F636" s="1954"/>
      <c r="G636" s="187"/>
      <c r="H636" s="138"/>
      <c r="I636" s="33"/>
      <c r="J636" s="33"/>
      <c r="K636" s="33"/>
      <c r="L636" s="33"/>
      <c r="M636" s="33"/>
      <c r="N636" s="76"/>
      <c r="O636" s="33"/>
      <c r="P636" s="142"/>
      <c r="Q636" s="33"/>
      <c r="R636" s="114"/>
    </row>
    <row r="637" spans="1:18" x14ac:dyDescent="0.2">
      <c r="A637" s="107"/>
      <c r="B637" s="33"/>
      <c r="C637" s="187"/>
      <c r="D637" s="187"/>
      <c r="E637" s="240"/>
      <c r="F637" s="103" t="s">
        <v>2205</v>
      </c>
      <c r="G637" s="187"/>
      <c r="H637" s="138"/>
      <c r="I637" s="33"/>
      <c r="J637" s="33"/>
      <c r="K637" s="33"/>
      <c r="L637" s="33"/>
      <c r="M637" s="33"/>
      <c r="N637" s="76"/>
      <c r="O637" s="33"/>
      <c r="P637" s="142"/>
      <c r="Q637" s="33"/>
      <c r="R637" s="114"/>
    </row>
    <row r="638" spans="1:18" x14ac:dyDescent="0.2">
      <c r="A638" s="107"/>
      <c r="B638" s="33"/>
      <c r="C638" s="187"/>
      <c r="D638" s="187"/>
      <c r="E638" s="240"/>
      <c r="F638" s="243" t="s">
        <v>2192</v>
      </c>
      <c r="G638" s="187"/>
      <c r="H638" s="138"/>
      <c r="I638" s="33"/>
      <c r="J638" s="33"/>
      <c r="K638" s="33"/>
      <c r="L638" s="33"/>
      <c r="M638" s="33"/>
      <c r="N638" s="76"/>
      <c r="O638" s="33"/>
      <c r="P638" s="142"/>
      <c r="Q638" s="33"/>
      <c r="R638" s="114"/>
    </row>
    <row r="639" spans="1:18" x14ac:dyDescent="0.2">
      <c r="A639" s="107">
        <f>ROUND(SUM(A1802:A1826),-3)</f>
        <v>340000</v>
      </c>
      <c r="B639" s="189">
        <f>SUM(B1802:B1826)</f>
        <v>421500</v>
      </c>
      <c r="C639" s="189">
        <f>SUM(C1802:C1826)</f>
        <v>439900</v>
      </c>
      <c r="D639" s="189">
        <f>SUM(D1802:D1826)</f>
        <v>475100</v>
      </c>
      <c r="E639" s="240">
        <v>32340</v>
      </c>
      <c r="F639" s="346" t="s">
        <v>473</v>
      </c>
      <c r="G639" s="187">
        <f>SUM(G1802:G1826)</f>
        <v>553000</v>
      </c>
      <c r="H639" s="138">
        <v>-16.364791865268511</v>
      </c>
      <c r="I639" s="33">
        <f t="shared" ref="I639:Q639" si="1004">SUM(I1802:I1826)</f>
        <v>446000</v>
      </c>
      <c r="J639" s="33">
        <f t="shared" si="1004"/>
        <v>421000</v>
      </c>
      <c r="K639" s="33">
        <f t="shared" si="1004"/>
        <v>430000</v>
      </c>
      <c r="L639" s="33">
        <f t="shared" si="1004"/>
        <v>440000</v>
      </c>
      <c r="M639" s="33">
        <f t="shared" si="1004"/>
        <v>449000</v>
      </c>
      <c r="N639" s="76">
        <f t="shared" si="1004"/>
        <v>458000</v>
      </c>
      <c r="O639" s="33">
        <f t="shared" si="1004"/>
        <v>467000</v>
      </c>
      <c r="P639" s="142">
        <f t="shared" si="1004"/>
        <v>476000</v>
      </c>
      <c r="Q639" s="33">
        <f t="shared" si="1004"/>
        <v>485000</v>
      </c>
      <c r="R639" s="114">
        <f t="shared" ref="R639" si="1005">SUM(R1802:R1826)</f>
        <v>494000</v>
      </c>
    </row>
    <row r="640" spans="1:18" x14ac:dyDescent="0.2">
      <c r="A640" s="107">
        <f>ROUND(A1827,-3)</f>
        <v>505000</v>
      </c>
      <c r="B640" s="189">
        <f>B1827</f>
        <v>525000</v>
      </c>
      <c r="C640" s="189">
        <f>C1827</f>
        <v>562000</v>
      </c>
      <c r="D640" s="189">
        <f>D1827</f>
        <v>555000</v>
      </c>
      <c r="E640" s="240">
        <v>32340</v>
      </c>
      <c r="F640" s="1956" t="s">
        <v>1330</v>
      </c>
      <c r="G640" s="187">
        <f t="shared" ref="G640:O640" si="1006">G1827</f>
        <v>644000</v>
      </c>
      <c r="H640" s="138">
        <v>-16.364791865268511</v>
      </c>
      <c r="I640" s="33">
        <f t="shared" si="1006"/>
        <v>528000</v>
      </c>
      <c r="J640" s="33">
        <f t="shared" si="1006"/>
        <v>541000</v>
      </c>
      <c r="K640" s="33">
        <f t="shared" si="1006"/>
        <v>555000</v>
      </c>
      <c r="L640" s="33">
        <f t="shared" si="1006"/>
        <v>569000</v>
      </c>
      <c r="M640" s="33">
        <f t="shared" si="1006"/>
        <v>580000</v>
      </c>
      <c r="N640" s="76">
        <f t="shared" si="1006"/>
        <v>592000</v>
      </c>
      <c r="O640" s="33">
        <f t="shared" si="1006"/>
        <v>604000</v>
      </c>
      <c r="P640" s="142">
        <f t="shared" ref="P640:Q640" si="1007">P1827</f>
        <v>616000</v>
      </c>
      <c r="Q640" s="33">
        <f t="shared" si="1007"/>
        <v>628000</v>
      </c>
      <c r="R640" s="114">
        <f t="shared" ref="R640" si="1008">R1827</f>
        <v>641000</v>
      </c>
    </row>
    <row r="641" spans="1:18" x14ac:dyDescent="0.2">
      <c r="A641" s="107">
        <f>ROUND(SUM(A1828:A1830),-3)</f>
        <v>369000</v>
      </c>
      <c r="B641" s="189">
        <f>ROUND(SUM(B1828:B1830),-2)</f>
        <v>299600</v>
      </c>
      <c r="C641" s="187">
        <f>ROUND(SUM(C1828:C1830),-2)</f>
        <v>208300</v>
      </c>
      <c r="D641" s="189">
        <f>ROUND(SUM(D1828:D1830),-2)</f>
        <v>154000</v>
      </c>
      <c r="E641" s="1955">
        <v>32340</v>
      </c>
      <c r="F641" s="77" t="s">
        <v>1366</v>
      </c>
      <c r="G641" s="187">
        <f t="shared" ref="G641:P641" si="1009">ROUND(SUM(G1828:G1830),-2)</f>
        <v>74200</v>
      </c>
      <c r="H641" s="138">
        <v>-16.364791865268511</v>
      </c>
      <c r="I641" s="33">
        <f t="shared" si="1009"/>
        <v>10400</v>
      </c>
      <c r="J641" s="33">
        <f t="shared" si="1009"/>
        <v>0</v>
      </c>
      <c r="K641" s="33">
        <f t="shared" si="1009"/>
        <v>0</v>
      </c>
      <c r="L641" s="33">
        <f t="shared" si="1009"/>
        <v>0</v>
      </c>
      <c r="M641" s="33">
        <f t="shared" si="1009"/>
        <v>0</v>
      </c>
      <c r="N641" s="76">
        <f t="shared" si="1009"/>
        <v>0</v>
      </c>
      <c r="O641" s="33">
        <f t="shared" si="1009"/>
        <v>0</v>
      </c>
      <c r="P641" s="142">
        <f t="shared" si="1009"/>
        <v>0</v>
      </c>
      <c r="Q641" s="33">
        <f t="shared" ref="Q641" si="1010">ROUND(SUM(Q1828:Q1830),-2)</f>
        <v>0</v>
      </c>
      <c r="R641" s="114">
        <f t="shared" ref="R641" si="1011">ROUND(SUM(R1828:R1830),-2)</f>
        <v>0</v>
      </c>
    </row>
    <row r="642" spans="1:18" x14ac:dyDescent="0.2">
      <c r="A642" s="107"/>
      <c r="B642" s="189"/>
      <c r="C642" s="187"/>
      <c r="E642" s="1955"/>
      <c r="F642" s="77"/>
      <c r="G642" s="187"/>
      <c r="H642" s="138"/>
      <c r="I642" s="33"/>
      <c r="J642" s="33"/>
      <c r="K642" s="33"/>
      <c r="L642" s="33"/>
      <c r="M642" s="33"/>
      <c r="N642" s="76"/>
      <c r="O642" s="33"/>
      <c r="P642" s="142"/>
      <c r="Q642" s="33"/>
      <c r="R642" s="114"/>
    </row>
    <row r="643" spans="1:18" x14ac:dyDescent="0.2">
      <c r="A643" s="107"/>
      <c r="B643" s="33"/>
      <c r="C643" s="187"/>
      <c r="E643" s="240"/>
      <c r="F643" s="1305" t="s">
        <v>4414</v>
      </c>
      <c r="G643" s="187"/>
      <c r="H643" s="138"/>
      <c r="I643" s="33"/>
      <c r="J643" s="33"/>
      <c r="K643" s="33"/>
      <c r="L643" s="33"/>
      <c r="M643" s="33"/>
      <c r="N643" s="76"/>
      <c r="O643" s="33"/>
      <c r="P643" s="142"/>
      <c r="Q643" s="33"/>
      <c r="R643" s="114"/>
    </row>
    <row r="644" spans="1:18" x14ac:dyDescent="0.2">
      <c r="A644" s="107">
        <f>ROUND(SUM(A1833),-3)</f>
        <v>-842000</v>
      </c>
      <c r="B644" s="33">
        <f>SUM(B1833)</f>
        <v>-892500</v>
      </c>
      <c r="C644" s="187">
        <f>SUM(C1833)</f>
        <v>-982400</v>
      </c>
      <c r="D644" s="189">
        <f>SUM(D1833)</f>
        <v>-957400</v>
      </c>
      <c r="E644" s="1954">
        <v>22283</v>
      </c>
      <c r="F644" s="1956" t="s">
        <v>7002</v>
      </c>
      <c r="G644" s="187">
        <f t="shared" ref="G644:P644" si="1012">SUM(G1833)</f>
        <v>-983000</v>
      </c>
      <c r="H644" s="138">
        <f>IF(D644=G644,0,IF(D644=0,100,(G644-D644)/D644*100))</f>
        <v>2.6739085021934406</v>
      </c>
      <c r="I644" s="33">
        <f t="shared" si="1012"/>
        <v>-1003000</v>
      </c>
      <c r="J644" s="33">
        <f t="shared" si="1012"/>
        <v>-1028000</v>
      </c>
      <c r="K644" s="33">
        <f t="shared" si="1012"/>
        <v>-1054000</v>
      </c>
      <c r="L644" s="33">
        <f t="shared" si="1012"/>
        <v>-1080000</v>
      </c>
      <c r="M644" s="33">
        <f t="shared" si="1012"/>
        <v>-1107000</v>
      </c>
      <c r="N644" s="76">
        <f t="shared" si="1012"/>
        <v>-1135000</v>
      </c>
      <c r="O644" s="33">
        <f t="shared" si="1012"/>
        <v>-1163000</v>
      </c>
      <c r="P644" s="142">
        <f t="shared" si="1012"/>
        <v>-1192000</v>
      </c>
      <c r="Q644" s="33">
        <f t="shared" ref="Q644" si="1013">SUM(Q1833)</f>
        <v>-1222000</v>
      </c>
      <c r="R644" s="114">
        <f t="shared" ref="R644" si="1014">SUM(R1833)</f>
        <v>-1253000</v>
      </c>
    </row>
    <row r="645" spans="1:18" x14ac:dyDescent="0.2">
      <c r="A645" s="107">
        <f>ROUND(SUM(A1835),-3)</f>
        <v>-505000</v>
      </c>
      <c r="B645" s="33">
        <f>SUM(B1835)</f>
        <v>-318900</v>
      </c>
      <c r="C645" s="187">
        <f>SUM(C1835)</f>
        <v>-314900</v>
      </c>
      <c r="D645" s="189">
        <f>SUM(D1835)</f>
        <v>-465700</v>
      </c>
      <c r="E645" s="1954">
        <v>22283</v>
      </c>
      <c r="F645" s="1956" t="s">
        <v>3756</v>
      </c>
      <c r="G645" s="187">
        <f t="shared" ref="G645:P645" si="1015">SUM(G1835)</f>
        <v>-422000</v>
      </c>
      <c r="H645" s="138">
        <f>IF(D645=G645,0,IF(D645=0,100,(G645-D645)/D645*100))</f>
        <v>-9.3837234270989907</v>
      </c>
      <c r="I645" s="33">
        <f t="shared" si="1015"/>
        <v>-430000</v>
      </c>
      <c r="J645" s="33">
        <f t="shared" si="1015"/>
        <v>-441000</v>
      </c>
      <c r="K645" s="33">
        <f t="shared" si="1015"/>
        <v>-452000</v>
      </c>
      <c r="L645" s="33">
        <f t="shared" si="1015"/>
        <v>-463000</v>
      </c>
      <c r="M645" s="33">
        <f t="shared" si="1015"/>
        <v>-475000</v>
      </c>
      <c r="N645" s="76">
        <f t="shared" si="1015"/>
        <v>-487000</v>
      </c>
      <c r="O645" s="33">
        <f t="shared" si="1015"/>
        <v>-499000</v>
      </c>
      <c r="P645" s="142">
        <f t="shared" si="1015"/>
        <v>-511000</v>
      </c>
      <c r="Q645" s="33">
        <f t="shared" ref="Q645" si="1016">SUM(Q1835)</f>
        <v>-524000</v>
      </c>
      <c r="R645" s="114">
        <f t="shared" ref="R645" si="1017">SUM(R1835)</f>
        <v>-537000</v>
      </c>
    </row>
    <row r="646" spans="1:18" x14ac:dyDescent="0.2">
      <c r="A646" s="107">
        <f>ROUND(SUM(A1834:A1834),-3)</f>
        <v>-3024000</v>
      </c>
      <c r="B646" s="33">
        <f>SUM(B1834:B1834)</f>
        <v>-2919400</v>
      </c>
      <c r="C646" s="187">
        <f>SUM(C1834:C1834)</f>
        <v>-1992400</v>
      </c>
      <c r="D646" s="189">
        <f>SUM(D1834:D1834)</f>
        <v>-1831900</v>
      </c>
      <c r="E646" s="1954">
        <v>22283</v>
      </c>
      <c r="F646" s="1956" t="s">
        <v>3757</v>
      </c>
      <c r="G646" s="187">
        <f t="shared" ref="G646:P646" si="1018">SUM(G1834:G1834)</f>
        <v>-1852000</v>
      </c>
      <c r="H646" s="138">
        <f>IF(D646=G646,0,IF(D646=0,100,(G646-D646)/D646*100))</f>
        <v>1.0972214640537148</v>
      </c>
      <c r="I646" s="33">
        <f t="shared" si="1018"/>
        <v>-1889000</v>
      </c>
      <c r="J646" s="33">
        <f t="shared" si="1018"/>
        <v>-1936000</v>
      </c>
      <c r="K646" s="33">
        <f t="shared" si="1018"/>
        <v>-1984000</v>
      </c>
      <c r="L646" s="33">
        <f t="shared" si="1018"/>
        <v>-2034000</v>
      </c>
      <c r="M646" s="33">
        <f t="shared" si="1018"/>
        <v>-2085000</v>
      </c>
      <c r="N646" s="76">
        <f t="shared" si="1018"/>
        <v>-2137000</v>
      </c>
      <c r="O646" s="33">
        <f t="shared" si="1018"/>
        <v>-2190000</v>
      </c>
      <c r="P646" s="142">
        <f t="shared" si="1018"/>
        <v>-2245000</v>
      </c>
      <c r="Q646" s="33">
        <f t="shared" ref="Q646" si="1019">SUM(Q1834:Q1834)</f>
        <v>-2301000</v>
      </c>
      <c r="R646" s="114">
        <f t="shared" ref="R646" si="1020">SUM(R1834:R1834)</f>
        <v>-2359000</v>
      </c>
    </row>
    <row r="647" spans="1:18" x14ac:dyDescent="0.2">
      <c r="A647" s="107"/>
      <c r="B647" s="33"/>
      <c r="E647" s="238"/>
      <c r="F647" s="1956"/>
      <c r="G647" s="187"/>
      <c r="H647" s="138"/>
      <c r="I647" s="33"/>
      <c r="J647" s="33"/>
      <c r="K647" s="33"/>
      <c r="L647" s="33"/>
      <c r="M647" s="33"/>
      <c r="N647" s="76"/>
      <c r="O647" s="33"/>
      <c r="P647" s="142"/>
      <c r="Q647" s="33"/>
      <c r="R647" s="114"/>
    </row>
    <row r="648" spans="1:18" x14ac:dyDescent="0.2">
      <c r="A648" s="107"/>
      <c r="B648" s="33"/>
      <c r="E648" s="1955"/>
      <c r="F648" s="1305" t="s">
        <v>3696</v>
      </c>
      <c r="G648" s="187"/>
      <c r="H648" s="138"/>
      <c r="I648" s="33"/>
      <c r="J648" s="33"/>
      <c r="K648" s="33"/>
      <c r="L648" s="33"/>
      <c r="M648" s="33"/>
      <c r="N648" s="76"/>
      <c r="O648" s="33"/>
      <c r="P648" s="142"/>
      <c r="Q648" s="33"/>
      <c r="R648" s="114"/>
    </row>
    <row r="649" spans="1:18" x14ac:dyDescent="0.2">
      <c r="A649" s="107">
        <f>ROUND(SUM(A1843:A1849),-3)</f>
        <v>194000</v>
      </c>
      <c r="B649" s="189">
        <f>SUM(B1843:B1849)</f>
        <v>216100</v>
      </c>
      <c r="C649" s="189">
        <f>SUM(C1843:C1849)</f>
        <v>206600</v>
      </c>
      <c r="D649" s="189">
        <f>SUM(D1843:D1849)</f>
        <v>172600</v>
      </c>
      <c r="E649" s="1955">
        <v>32342</v>
      </c>
      <c r="F649" s="1956" t="s">
        <v>3771</v>
      </c>
      <c r="G649" s="187">
        <f t="shared" ref="G649:O649" si="1021">SUM(G1843:G1849)</f>
        <v>208000</v>
      </c>
      <c r="H649" s="138">
        <f>IF(D649=G649,0,IF(D649=0,100,(G649-D649)/D649*100))</f>
        <v>20.509849362688296</v>
      </c>
      <c r="I649" s="33">
        <f t="shared" si="1021"/>
        <v>210000</v>
      </c>
      <c r="J649" s="33">
        <f t="shared" si="1021"/>
        <v>215000</v>
      </c>
      <c r="K649" s="33">
        <f t="shared" si="1021"/>
        <v>220000</v>
      </c>
      <c r="L649" s="33">
        <f t="shared" si="1021"/>
        <v>225000</v>
      </c>
      <c r="M649" s="33">
        <f t="shared" si="1021"/>
        <v>229000</v>
      </c>
      <c r="N649" s="76">
        <f t="shared" si="1021"/>
        <v>233000</v>
      </c>
      <c r="O649" s="33">
        <f t="shared" si="1021"/>
        <v>237000</v>
      </c>
      <c r="P649" s="142">
        <f t="shared" ref="P649:Q649" si="1022">SUM(P1843:P1849)</f>
        <v>241000</v>
      </c>
      <c r="Q649" s="33">
        <f t="shared" si="1022"/>
        <v>245000</v>
      </c>
      <c r="R649" s="114">
        <f t="shared" ref="R649" si="1023">SUM(R1843:R1849)</f>
        <v>249000</v>
      </c>
    </row>
    <row r="650" spans="1:18" x14ac:dyDescent="0.2">
      <c r="A650" s="107">
        <f>ROUND(SUM(A1850:A1853),-3)</f>
        <v>186000</v>
      </c>
      <c r="B650" s="189">
        <f>SUM(B1850:B1853)</f>
        <v>186800</v>
      </c>
      <c r="C650" s="189">
        <f>SUM(C1850:C1853)</f>
        <v>189800</v>
      </c>
      <c r="D650" s="189">
        <f>SUM(D1850:D1853)</f>
        <v>199700</v>
      </c>
      <c r="E650" s="1955">
        <v>32342</v>
      </c>
      <c r="F650" s="1956" t="s">
        <v>3770</v>
      </c>
      <c r="G650" s="187">
        <f t="shared" ref="G650:O650" si="1024">SUM(G1850:G1853)</f>
        <v>203000</v>
      </c>
      <c r="H650" s="138">
        <f>IF(D650=G650,0,IF(D650=0,100,(G650-D650)/D650*100))</f>
        <v>1.6524787180771157</v>
      </c>
      <c r="I650" s="33">
        <f t="shared" si="1024"/>
        <v>206000</v>
      </c>
      <c r="J650" s="33">
        <f t="shared" si="1024"/>
        <v>211000</v>
      </c>
      <c r="K650" s="33">
        <f t="shared" si="1024"/>
        <v>216000</v>
      </c>
      <c r="L650" s="33">
        <f t="shared" si="1024"/>
        <v>221000</v>
      </c>
      <c r="M650" s="33">
        <f t="shared" si="1024"/>
        <v>226000</v>
      </c>
      <c r="N650" s="76">
        <f t="shared" si="1024"/>
        <v>231000</v>
      </c>
      <c r="O650" s="33">
        <f t="shared" si="1024"/>
        <v>236000</v>
      </c>
      <c r="P650" s="142">
        <f t="shared" ref="P650:Q650" si="1025">SUM(P1850:P1853)</f>
        <v>241000</v>
      </c>
      <c r="Q650" s="33">
        <f t="shared" si="1025"/>
        <v>246000</v>
      </c>
      <c r="R650" s="114">
        <f t="shared" ref="R650" si="1026">SUM(R1850:R1853)</f>
        <v>251000</v>
      </c>
    </row>
    <row r="651" spans="1:18" x14ac:dyDescent="0.2">
      <c r="A651" s="107"/>
      <c r="B651" s="189"/>
      <c r="E651" s="1955"/>
      <c r="F651" s="346"/>
      <c r="G651" s="187"/>
      <c r="H651" s="138"/>
      <c r="I651" s="33"/>
      <c r="J651" s="33"/>
      <c r="K651" s="33"/>
      <c r="L651" s="33"/>
      <c r="M651" s="33"/>
      <c r="N651" s="76"/>
      <c r="O651" s="33"/>
      <c r="P651" s="142"/>
      <c r="Q651" s="33"/>
      <c r="R651" s="114"/>
    </row>
    <row r="652" spans="1:18" x14ac:dyDescent="0.2">
      <c r="A652" s="107"/>
      <c r="B652" s="189"/>
      <c r="E652" s="1955"/>
      <c r="F652" s="1305" t="s">
        <v>4626</v>
      </c>
      <c r="G652" s="187"/>
      <c r="H652" s="138"/>
      <c r="I652" s="33"/>
      <c r="J652" s="33"/>
      <c r="K652" s="33"/>
      <c r="L652" s="33"/>
      <c r="M652" s="33"/>
      <c r="N652" s="76"/>
      <c r="O652" s="33"/>
      <c r="P652" s="142"/>
      <c r="Q652" s="33"/>
      <c r="R652" s="114"/>
    </row>
    <row r="653" spans="1:18" x14ac:dyDescent="0.2">
      <c r="A653" s="107">
        <f>ROUND(SUM(A1856:A1860),-3)</f>
        <v>148000</v>
      </c>
      <c r="B653" s="189">
        <f>SUM(B1856:B1860)</f>
        <v>194500</v>
      </c>
      <c r="C653" s="189">
        <f>SUM(C1856:C1860)</f>
        <v>173800</v>
      </c>
      <c r="D653" s="189">
        <f>SUM(D1856:D1860)</f>
        <v>191800</v>
      </c>
      <c r="E653" s="1955">
        <v>32344</v>
      </c>
      <c r="F653" s="346" t="s">
        <v>344</v>
      </c>
      <c r="G653" s="187">
        <f>SUM(G1856:G1860)</f>
        <v>195000</v>
      </c>
      <c r="H653" s="138">
        <f>IF(D653=G653,0,IF(D653=0,100,(G653-D653)/D653*100))</f>
        <v>1.6684045881126173</v>
      </c>
      <c r="I653" s="33">
        <f t="shared" ref="I653:Q653" si="1027">SUM(I1856:I1860)</f>
        <v>198000</v>
      </c>
      <c r="J653" s="33">
        <f t="shared" si="1027"/>
        <v>203000</v>
      </c>
      <c r="K653" s="33">
        <f t="shared" si="1027"/>
        <v>208000</v>
      </c>
      <c r="L653" s="33">
        <f t="shared" si="1027"/>
        <v>214000</v>
      </c>
      <c r="M653" s="33">
        <f t="shared" si="1027"/>
        <v>218000</v>
      </c>
      <c r="N653" s="76">
        <f t="shared" si="1027"/>
        <v>222000</v>
      </c>
      <c r="O653" s="33">
        <f t="shared" si="1027"/>
        <v>226000</v>
      </c>
      <c r="P653" s="142">
        <f t="shared" si="1027"/>
        <v>230000</v>
      </c>
      <c r="Q653" s="33">
        <f t="shared" si="1027"/>
        <v>234000</v>
      </c>
      <c r="R653" s="114">
        <f t="shared" ref="R653" si="1028">SUM(R1856:R1860)</f>
        <v>239000</v>
      </c>
    </row>
    <row r="654" spans="1:18" x14ac:dyDescent="0.2">
      <c r="A654" s="107">
        <f>SUM(A1861:A1867)</f>
        <v>67900</v>
      </c>
      <c r="B654" s="189">
        <f>SUM(B1861:B1867)</f>
        <v>81500</v>
      </c>
      <c r="C654" s="189">
        <f>SUM(C1861:C1867)</f>
        <v>81600</v>
      </c>
      <c r="D654" s="189">
        <f>SUM(D1861:D1867)</f>
        <v>91200</v>
      </c>
      <c r="E654" s="1955">
        <v>32344</v>
      </c>
      <c r="F654" s="346" t="s">
        <v>2470</v>
      </c>
      <c r="G654" s="187">
        <f t="shared" ref="G654:P654" si="1029">SUM(G1861:G1867)</f>
        <v>94000</v>
      </c>
      <c r="H654" s="138">
        <f>IF(D654=G654,0,IF(D654=0,100,(G654-D654)/D654*100))</f>
        <v>3.070175438596491</v>
      </c>
      <c r="I654" s="33">
        <f t="shared" si="1029"/>
        <v>95000</v>
      </c>
      <c r="J654" s="33">
        <f t="shared" si="1029"/>
        <v>97000</v>
      </c>
      <c r="K654" s="33">
        <f t="shared" si="1029"/>
        <v>99000</v>
      </c>
      <c r="L654" s="33">
        <f t="shared" si="1029"/>
        <v>101000</v>
      </c>
      <c r="M654" s="33">
        <f t="shared" si="1029"/>
        <v>103000</v>
      </c>
      <c r="N654" s="76">
        <f t="shared" si="1029"/>
        <v>105000</v>
      </c>
      <c r="O654" s="33">
        <f t="shared" si="1029"/>
        <v>107000</v>
      </c>
      <c r="P654" s="142">
        <f t="shared" si="1029"/>
        <v>109000</v>
      </c>
      <c r="Q654" s="33">
        <f t="shared" ref="Q654" si="1030">SUM(Q1861:Q1867)</f>
        <v>111000</v>
      </c>
      <c r="R654" s="114">
        <f t="shared" ref="R654" si="1031">SUM(R1861:R1867)</f>
        <v>113000</v>
      </c>
    </row>
    <row r="655" spans="1:18" x14ac:dyDescent="0.2">
      <c r="A655" s="107">
        <f>ROUND(SUM(A1868:A1875),-3)</f>
        <v>181000</v>
      </c>
      <c r="B655" s="189">
        <f>SUM(B1868:B1875)</f>
        <v>82000</v>
      </c>
      <c r="C655" s="189">
        <f>SUM(C1868:C1875)</f>
        <v>123500</v>
      </c>
      <c r="D655" s="189">
        <f>SUM(D1868:D1875)</f>
        <v>61500</v>
      </c>
      <c r="E655" s="1955">
        <v>32345</v>
      </c>
      <c r="F655" s="1956" t="s">
        <v>4831</v>
      </c>
      <c r="G655" s="187">
        <f t="shared" ref="G655:P655" si="1032">SUM(G1868:G1875)</f>
        <v>71000</v>
      </c>
      <c r="H655" s="138">
        <f>IF(D655=G655,0,IF(D655=0,100,(G655-D655)/D655*100))</f>
        <v>15.447154471544716</v>
      </c>
      <c r="I655" s="33">
        <f t="shared" si="1032"/>
        <v>71000</v>
      </c>
      <c r="J655" s="33">
        <f t="shared" si="1032"/>
        <v>74000</v>
      </c>
      <c r="K655" s="33">
        <f t="shared" si="1032"/>
        <v>77000</v>
      </c>
      <c r="L655" s="33">
        <f t="shared" si="1032"/>
        <v>80000</v>
      </c>
      <c r="M655" s="33">
        <f t="shared" si="1032"/>
        <v>82000</v>
      </c>
      <c r="N655" s="76">
        <f t="shared" si="1032"/>
        <v>84000</v>
      </c>
      <c r="O655" s="33">
        <f t="shared" si="1032"/>
        <v>86000</v>
      </c>
      <c r="P655" s="142">
        <f t="shared" si="1032"/>
        <v>88000</v>
      </c>
      <c r="Q655" s="33">
        <f t="shared" ref="Q655" si="1033">SUM(Q1868:Q1875)</f>
        <v>90000</v>
      </c>
      <c r="R655" s="114">
        <f t="shared" ref="R655" si="1034">SUM(R1868:R1875)</f>
        <v>92000</v>
      </c>
    </row>
    <row r="656" spans="1:18" x14ac:dyDescent="0.2">
      <c r="A656" s="107"/>
      <c r="B656" s="33"/>
      <c r="E656" s="1955"/>
      <c r="F656" s="33"/>
      <c r="G656" s="198"/>
      <c r="H656" s="138"/>
      <c r="I656" s="33"/>
      <c r="J656" s="33"/>
      <c r="K656" s="33"/>
      <c r="L656" s="33"/>
      <c r="M656" s="33"/>
      <c r="N656" s="76"/>
      <c r="O656" s="33"/>
      <c r="P656" s="142"/>
      <c r="Q656" s="33"/>
      <c r="R656" s="114"/>
    </row>
    <row r="657" spans="1:18" x14ac:dyDescent="0.2">
      <c r="A657" s="107"/>
      <c r="B657" s="33"/>
      <c r="E657" s="1955"/>
      <c r="F657" s="64" t="s">
        <v>587</v>
      </c>
      <c r="G657" s="198"/>
      <c r="H657" s="138"/>
      <c r="I657" s="33"/>
      <c r="J657" s="33"/>
      <c r="K657" s="33"/>
      <c r="L657" s="33"/>
      <c r="M657" s="33"/>
      <c r="N657" s="76"/>
      <c r="O657" s="33"/>
      <c r="P657" s="142"/>
      <c r="Q657" s="33"/>
      <c r="R657" s="114"/>
    </row>
    <row r="658" spans="1:18" x14ac:dyDescent="0.2">
      <c r="A658" s="107">
        <f>ROUND(SUM(A1877:A1904),-3)</f>
        <v>1316000</v>
      </c>
      <c r="B658" s="189">
        <f>SUM(B1877:B1904)</f>
        <v>432700</v>
      </c>
      <c r="C658" s="189">
        <f>SUM(C1877:C1904)</f>
        <v>320700</v>
      </c>
      <c r="D658" s="189">
        <f>SUM(D1877:D1904)</f>
        <v>308000</v>
      </c>
      <c r="E658" s="1955">
        <v>32348</v>
      </c>
      <c r="F658" s="132" t="s">
        <v>3314</v>
      </c>
      <c r="G658" s="198">
        <f>SUM(G1877:G1904)</f>
        <v>663800</v>
      </c>
      <c r="H658" s="138">
        <f t="shared" ref="H658:H671" si="1035">IF(D658=G658,0,IF(D658=0,100,(G658-D658)/D658*100))</f>
        <v>115.51948051948051</v>
      </c>
      <c r="I658" s="33">
        <f t="shared" ref="I658:Q658" si="1036">SUM(I1877:I1904)</f>
        <v>453000</v>
      </c>
      <c r="J658" s="33">
        <f t="shared" si="1036"/>
        <v>464000</v>
      </c>
      <c r="K658" s="33">
        <f t="shared" si="1036"/>
        <v>475000</v>
      </c>
      <c r="L658" s="33">
        <f t="shared" si="1036"/>
        <v>486000</v>
      </c>
      <c r="M658" s="33">
        <f t="shared" si="1036"/>
        <v>494000</v>
      </c>
      <c r="N658" s="76">
        <f t="shared" si="1036"/>
        <v>502000</v>
      </c>
      <c r="O658" s="33">
        <f t="shared" si="1036"/>
        <v>510000</v>
      </c>
      <c r="P658" s="142">
        <f t="shared" si="1036"/>
        <v>518000</v>
      </c>
      <c r="Q658" s="33">
        <f t="shared" si="1036"/>
        <v>526000</v>
      </c>
      <c r="R658" s="114">
        <f t="shared" ref="R658" si="1037">SUM(R1877:R1904)</f>
        <v>535000</v>
      </c>
    </row>
    <row r="659" spans="1:18" x14ac:dyDescent="0.2">
      <c r="A659" s="107">
        <f t="shared" ref="A659:A665" si="1038">ROUND(SUM(A1906:A1906),-3)</f>
        <v>411000</v>
      </c>
      <c r="B659" s="189">
        <f t="shared" ref="B659:B665" si="1039">SUM(B1906:B1906)</f>
        <v>293500</v>
      </c>
      <c r="C659" s="189">
        <f t="shared" ref="C659:C665" si="1040">SUM(C1906:C1906)</f>
        <v>7600</v>
      </c>
      <c r="D659" s="189">
        <f t="shared" ref="D659:D665" si="1041">SUM(D1906:D1906)</f>
        <v>1400</v>
      </c>
      <c r="E659" s="1955">
        <v>32348</v>
      </c>
      <c r="F659" s="132" t="s">
        <v>3796</v>
      </c>
      <c r="G659" s="198">
        <f t="shared" ref="G659:O659" si="1042">SUM(G1906:G1906)</f>
        <v>24000</v>
      </c>
      <c r="H659" s="138">
        <f t="shared" si="1035"/>
        <v>1614.2857142857142</v>
      </c>
      <c r="I659" s="33">
        <f t="shared" si="1042"/>
        <v>24000</v>
      </c>
      <c r="J659" s="33">
        <f t="shared" si="1042"/>
        <v>25000</v>
      </c>
      <c r="K659" s="33">
        <f t="shared" si="1042"/>
        <v>26000</v>
      </c>
      <c r="L659" s="33">
        <f t="shared" si="1042"/>
        <v>27000</v>
      </c>
      <c r="M659" s="33">
        <f t="shared" si="1042"/>
        <v>28000</v>
      </c>
      <c r="N659" s="76">
        <f t="shared" si="1042"/>
        <v>29000</v>
      </c>
      <c r="O659" s="33">
        <f t="shared" si="1042"/>
        <v>30000</v>
      </c>
      <c r="P659" s="142">
        <f t="shared" ref="P659:Q659" si="1043">SUM(P1906:P1906)</f>
        <v>31000</v>
      </c>
      <c r="Q659" s="33">
        <f t="shared" si="1043"/>
        <v>32000</v>
      </c>
      <c r="R659" s="114">
        <f t="shared" ref="R659" si="1044">SUM(R1906:R1906)</f>
        <v>33000</v>
      </c>
    </row>
    <row r="660" spans="1:18" x14ac:dyDescent="0.2">
      <c r="A660" s="107">
        <f t="shared" si="1038"/>
        <v>0</v>
      </c>
      <c r="B660" s="189">
        <f t="shared" si="1039"/>
        <v>1155800</v>
      </c>
      <c r="C660" s="189">
        <f t="shared" si="1040"/>
        <v>1021300</v>
      </c>
      <c r="D660" s="189">
        <f t="shared" si="1041"/>
        <v>856100</v>
      </c>
      <c r="E660" s="1955">
        <v>32348</v>
      </c>
      <c r="F660" s="132" t="s">
        <v>3793</v>
      </c>
      <c r="G660" s="198">
        <f t="shared" ref="G660:O660" si="1045">SUM(G1907:G1907)</f>
        <v>909000</v>
      </c>
      <c r="H660" s="138">
        <f t="shared" si="1035"/>
        <v>6.1791846746875363</v>
      </c>
      <c r="I660" s="33">
        <f t="shared" si="1045"/>
        <v>923000</v>
      </c>
      <c r="J660" s="33">
        <f t="shared" si="1045"/>
        <v>946000</v>
      </c>
      <c r="K660" s="33">
        <f t="shared" si="1045"/>
        <v>970000</v>
      </c>
      <c r="L660" s="33">
        <f t="shared" si="1045"/>
        <v>994000</v>
      </c>
      <c r="M660" s="33">
        <f t="shared" si="1045"/>
        <v>1014000</v>
      </c>
      <c r="N660" s="76">
        <f t="shared" si="1045"/>
        <v>1034000</v>
      </c>
      <c r="O660" s="33">
        <f t="shared" si="1045"/>
        <v>1055000</v>
      </c>
      <c r="P660" s="142">
        <f t="shared" ref="P660:Q660" si="1046">SUM(P1907:P1907)</f>
        <v>1076000</v>
      </c>
      <c r="Q660" s="33">
        <f t="shared" si="1046"/>
        <v>1098000</v>
      </c>
      <c r="R660" s="114">
        <f t="shared" ref="R660" si="1047">SUM(R1907:R1907)</f>
        <v>1120000</v>
      </c>
    </row>
    <row r="661" spans="1:18" x14ac:dyDescent="0.2">
      <c r="A661" s="107">
        <f t="shared" si="1038"/>
        <v>393000</v>
      </c>
      <c r="B661" s="189">
        <f t="shared" si="1039"/>
        <v>385000</v>
      </c>
      <c r="C661" s="189">
        <f t="shared" si="1040"/>
        <v>301500</v>
      </c>
      <c r="D661" s="189">
        <f t="shared" si="1041"/>
        <v>316000</v>
      </c>
      <c r="E661" s="1955">
        <v>32348</v>
      </c>
      <c r="F661" s="132" t="s">
        <v>3794</v>
      </c>
      <c r="G661" s="198">
        <f t="shared" ref="G661:O662" si="1048">SUM(G1908:G1908)</f>
        <v>358000</v>
      </c>
      <c r="H661" s="138">
        <f t="shared" si="1035"/>
        <v>13.291139240506327</v>
      </c>
      <c r="I661" s="33">
        <f t="shared" si="1048"/>
        <v>363000</v>
      </c>
      <c r="J661" s="33">
        <f t="shared" si="1048"/>
        <v>372000</v>
      </c>
      <c r="K661" s="33">
        <f t="shared" si="1048"/>
        <v>381000</v>
      </c>
      <c r="L661" s="33">
        <f t="shared" si="1048"/>
        <v>391000</v>
      </c>
      <c r="M661" s="33">
        <f t="shared" si="1048"/>
        <v>399000</v>
      </c>
      <c r="N661" s="76">
        <f t="shared" si="1048"/>
        <v>407000</v>
      </c>
      <c r="O661" s="33">
        <f t="shared" si="1048"/>
        <v>415000</v>
      </c>
      <c r="P661" s="142">
        <f t="shared" ref="P661:Q661" si="1049">SUM(P1908:P1908)</f>
        <v>423000</v>
      </c>
      <c r="Q661" s="33">
        <f t="shared" si="1049"/>
        <v>431000</v>
      </c>
      <c r="R661" s="114">
        <f t="shared" ref="R661" si="1050">SUM(R1908:R1908)</f>
        <v>440000</v>
      </c>
    </row>
    <row r="662" spans="1:18" x14ac:dyDescent="0.2">
      <c r="A662" s="107">
        <f t="shared" si="1038"/>
        <v>344000</v>
      </c>
      <c r="B662" s="189">
        <f t="shared" si="1039"/>
        <v>295600</v>
      </c>
      <c r="C662" s="189">
        <f t="shared" si="1040"/>
        <v>277800</v>
      </c>
      <c r="D662" s="189">
        <f t="shared" si="1041"/>
        <v>137200</v>
      </c>
      <c r="E662" s="1955">
        <v>32348</v>
      </c>
      <c r="F662" s="132" t="s">
        <v>3795</v>
      </c>
      <c r="G662" s="198">
        <f t="shared" si="1048"/>
        <v>131000</v>
      </c>
      <c r="H662" s="138">
        <f t="shared" si="1035"/>
        <v>-4.518950437317784</v>
      </c>
      <c r="I662" s="33">
        <f t="shared" si="1048"/>
        <v>133000</v>
      </c>
      <c r="J662" s="33">
        <f t="shared" si="1048"/>
        <v>136000</v>
      </c>
      <c r="K662" s="33">
        <f t="shared" si="1048"/>
        <v>139000</v>
      </c>
      <c r="L662" s="33">
        <f t="shared" si="1048"/>
        <v>142000</v>
      </c>
      <c r="M662" s="33">
        <f t="shared" si="1048"/>
        <v>145000</v>
      </c>
      <c r="N662" s="76">
        <f t="shared" si="1048"/>
        <v>148000</v>
      </c>
      <c r="O662" s="33">
        <f t="shared" si="1048"/>
        <v>151000</v>
      </c>
      <c r="P662" s="142">
        <f t="shared" ref="P662:Q662" si="1051">SUM(P1909:P1909)</f>
        <v>154000</v>
      </c>
      <c r="Q662" s="33">
        <f t="shared" si="1051"/>
        <v>157000</v>
      </c>
      <c r="R662" s="114">
        <f t="shared" ref="R662" si="1052">SUM(R1909:R1909)</f>
        <v>160000</v>
      </c>
    </row>
    <row r="663" spans="1:18" x14ac:dyDescent="0.2">
      <c r="A663" s="107">
        <f t="shared" si="1038"/>
        <v>0</v>
      </c>
      <c r="B663" s="189">
        <f t="shared" si="1039"/>
        <v>219000</v>
      </c>
      <c r="C663" s="189">
        <f t="shared" si="1040"/>
        <v>146500</v>
      </c>
      <c r="D663" s="189">
        <f t="shared" si="1041"/>
        <v>120000</v>
      </c>
      <c r="E663" s="1955">
        <v>32348</v>
      </c>
      <c r="F663" s="132" t="s">
        <v>3790</v>
      </c>
      <c r="G663" s="198">
        <f t="shared" ref="G663:O665" si="1053">SUM(G1910:G1910)</f>
        <v>160000</v>
      </c>
      <c r="H663" s="138">
        <f t="shared" si="1035"/>
        <v>33.333333333333329</v>
      </c>
      <c r="I663" s="33">
        <f t="shared" si="1053"/>
        <v>162000</v>
      </c>
      <c r="J663" s="33">
        <f t="shared" si="1053"/>
        <v>166000</v>
      </c>
      <c r="K663" s="33">
        <f t="shared" si="1053"/>
        <v>170000</v>
      </c>
      <c r="L663" s="33">
        <f t="shared" si="1053"/>
        <v>174000</v>
      </c>
      <c r="M663" s="33">
        <f t="shared" si="1053"/>
        <v>177000</v>
      </c>
      <c r="N663" s="76">
        <f t="shared" si="1053"/>
        <v>181000</v>
      </c>
      <c r="O663" s="33">
        <f t="shared" si="1053"/>
        <v>185000</v>
      </c>
      <c r="P663" s="142">
        <f t="shared" ref="P663:Q663" si="1054">SUM(P1910:P1910)</f>
        <v>189000</v>
      </c>
      <c r="Q663" s="33">
        <f t="shared" si="1054"/>
        <v>193000</v>
      </c>
      <c r="R663" s="114">
        <f t="shared" ref="R663" si="1055">SUM(R1910:R1910)</f>
        <v>197000</v>
      </c>
    </row>
    <row r="664" spans="1:18" x14ac:dyDescent="0.2">
      <c r="A664" s="107">
        <f t="shared" si="1038"/>
        <v>0</v>
      </c>
      <c r="B664" s="189">
        <f t="shared" si="1039"/>
        <v>149000</v>
      </c>
      <c r="C664" s="189">
        <f t="shared" si="1040"/>
        <v>61400</v>
      </c>
      <c r="D664" s="189">
        <f t="shared" si="1041"/>
        <v>63600</v>
      </c>
      <c r="E664" s="1955">
        <v>32348</v>
      </c>
      <c r="F664" s="132" t="s">
        <v>3791</v>
      </c>
      <c r="G664" s="198">
        <f t="shared" si="1053"/>
        <v>81000</v>
      </c>
      <c r="H664" s="138">
        <f t="shared" si="1035"/>
        <v>27.358490566037734</v>
      </c>
      <c r="I664" s="33">
        <f t="shared" si="1053"/>
        <v>82000</v>
      </c>
      <c r="J664" s="33">
        <f t="shared" si="1053"/>
        <v>84000</v>
      </c>
      <c r="K664" s="33">
        <f t="shared" si="1053"/>
        <v>86000</v>
      </c>
      <c r="L664" s="33">
        <f t="shared" si="1053"/>
        <v>88000</v>
      </c>
      <c r="M664" s="33">
        <f t="shared" si="1053"/>
        <v>90000</v>
      </c>
      <c r="N664" s="76">
        <f t="shared" si="1053"/>
        <v>92000</v>
      </c>
      <c r="O664" s="33">
        <f t="shared" si="1053"/>
        <v>94000</v>
      </c>
      <c r="P664" s="142">
        <f t="shared" ref="P664:Q664" si="1056">SUM(P1911:P1911)</f>
        <v>96000</v>
      </c>
      <c r="Q664" s="33">
        <f t="shared" si="1056"/>
        <v>98000</v>
      </c>
      <c r="R664" s="114">
        <f t="shared" ref="R664" si="1057">SUM(R1911:R1911)</f>
        <v>100000</v>
      </c>
    </row>
    <row r="665" spans="1:18" x14ac:dyDescent="0.2">
      <c r="A665" s="107">
        <f t="shared" si="1038"/>
        <v>0</v>
      </c>
      <c r="B665" s="189">
        <f t="shared" si="1039"/>
        <v>98100</v>
      </c>
      <c r="C665" s="189">
        <f t="shared" si="1040"/>
        <v>55800</v>
      </c>
      <c r="D665" s="189">
        <f t="shared" si="1041"/>
        <v>54300</v>
      </c>
      <c r="E665" s="1955">
        <v>32348</v>
      </c>
      <c r="F665" s="132" t="s">
        <v>3792</v>
      </c>
      <c r="G665" s="198">
        <f t="shared" si="1053"/>
        <v>69000</v>
      </c>
      <c r="H665" s="138">
        <f t="shared" si="1035"/>
        <v>27.071823204419886</v>
      </c>
      <c r="I665" s="33">
        <f t="shared" si="1053"/>
        <v>70000</v>
      </c>
      <c r="J665" s="33">
        <f t="shared" si="1053"/>
        <v>72000</v>
      </c>
      <c r="K665" s="33">
        <f t="shared" si="1053"/>
        <v>74000</v>
      </c>
      <c r="L665" s="33">
        <f t="shared" si="1053"/>
        <v>76000</v>
      </c>
      <c r="M665" s="33">
        <f t="shared" si="1053"/>
        <v>78000</v>
      </c>
      <c r="N665" s="76">
        <f t="shared" si="1053"/>
        <v>80000</v>
      </c>
      <c r="O665" s="33">
        <f t="shared" si="1053"/>
        <v>82000</v>
      </c>
      <c r="P665" s="142">
        <f t="shared" ref="P665:Q665" si="1058">SUM(P1912:P1912)</f>
        <v>84000</v>
      </c>
      <c r="Q665" s="33">
        <f t="shared" si="1058"/>
        <v>86000</v>
      </c>
      <c r="R665" s="114">
        <f t="shared" ref="R665" si="1059">SUM(R1912:R1912)</f>
        <v>88000</v>
      </c>
    </row>
    <row r="666" spans="1:18" x14ac:dyDescent="0.2">
      <c r="A666" s="107">
        <f>ROUND(SUM(A1915:A1915),-3)</f>
        <v>812000</v>
      </c>
      <c r="B666" s="189">
        <f>SUM(B1915:B1915)</f>
        <v>125200</v>
      </c>
      <c r="C666" s="189">
        <f>SUM(C1915:C1915)</f>
        <v>174600</v>
      </c>
      <c r="D666" s="189">
        <f>SUM(D1915:D1915)</f>
        <v>375200</v>
      </c>
      <c r="E666" s="1955">
        <v>32348</v>
      </c>
      <c r="F666" s="132" t="s">
        <v>992</v>
      </c>
      <c r="G666" s="198">
        <f t="shared" ref="G666:O666" si="1060">SUM(G1915:G1915)</f>
        <v>206000</v>
      </c>
      <c r="H666" s="138">
        <f t="shared" si="1035"/>
        <v>-45.095948827292112</v>
      </c>
      <c r="I666" s="33">
        <f t="shared" si="1060"/>
        <v>209000</v>
      </c>
      <c r="J666" s="33">
        <f t="shared" si="1060"/>
        <v>214000</v>
      </c>
      <c r="K666" s="33">
        <f t="shared" si="1060"/>
        <v>219000</v>
      </c>
      <c r="L666" s="33">
        <f t="shared" si="1060"/>
        <v>224000</v>
      </c>
      <c r="M666" s="33">
        <f t="shared" si="1060"/>
        <v>228000</v>
      </c>
      <c r="N666" s="76">
        <f t="shared" si="1060"/>
        <v>233000</v>
      </c>
      <c r="O666" s="33">
        <f t="shared" si="1060"/>
        <v>238000</v>
      </c>
      <c r="P666" s="142">
        <f t="shared" ref="P666:Q666" si="1061">SUM(P1915:P1915)</f>
        <v>243000</v>
      </c>
      <c r="Q666" s="33">
        <f t="shared" si="1061"/>
        <v>248000</v>
      </c>
      <c r="R666" s="114">
        <f t="shared" ref="R666" si="1062">SUM(R1915:R1915)</f>
        <v>253000</v>
      </c>
    </row>
    <row r="667" spans="1:18" x14ac:dyDescent="0.2">
      <c r="A667" s="107">
        <f>ROUND(SUM(A1917:A1924),-3)</f>
        <v>15000</v>
      </c>
      <c r="B667" s="189">
        <f>SUM(B1917:B1924)</f>
        <v>17800</v>
      </c>
      <c r="C667" s="189">
        <f>SUM(C1917:C1924)</f>
        <v>21700</v>
      </c>
      <c r="D667" s="189">
        <f>SUM(D1917:D1924)</f>
        <v>19600</v>
      </c>
      <c r="E667" s="1955">
        <v>32348</v>
      </c>
      <c r="F667" s="601" t="s">
        <v>1873</v>
      </c>
      <c r="G667" s="198">
        <f t="shared" ref="G667:O667" si="1063">SUM(G1917:G1924)</f>
        <v>17000</v>
      </c>
      <c r="H667" s="138">
        <f t="shared" si="1035"/>
        <v>-13.26530612244898</v>
      </c>
      <c r="I667" s="33">
        <f t="shared" si="1063"/>
        <v>17000</v>
      </c>
      <c r="J667" s="33">
        <f t="shared" si="1063"/>
        <v>17000</v>
      </c>
      <c r="K667" s="33">
        <f t="shared" si="1063"/>
        <v>17000</v>
      </c>
      <c r="L667" s="33">
        <f t="shared" si="1063"/>
        <v>17000</v>
      </c>
      <c r="M667" s="33">
        <f t="shared" si="1063"/>
        <v>17000</v>
      </c>
      <c r="N667" s="76">
        <f t="shared" si="1063"/>
        <v>17000</v>
      </c>
      <c r="O667" s="33">
        <f t="shared" si="1063"/>
        <v>17000</v>
      </c>
      <c r="P667" s="142">
        <f t="shared" ref="P667:Q667" si="1064">SUM(P1917:P1924)</f>
        <v>17000</v>
      </c>
      <c r="Q667" s="33">
        <f t="shared" si="1064"/>
        <v>17000</v>
      </c>
      <c r="R667" s="114">
        <f t="shared" ref="R667" si="1065">SUM(R1917:R1924)</f>
        <v>17000</v>
      </c>
    </row>
    <row r="668" spans="1:18" x14ac:dyDescent="0.2">
      <c r="A668" s="107">
        <f>ROUND(SUM(A1925:A1928),-3)</f>
        <v>1000</v>
      </c>
      <c r="B668" s="189">
        <f>SUM(B1925:B1928)</f>
        <v>2700</v>
      </c>
      <c r="C668" s="189">
        <f>SUM(C1925:C1928)</f>
        <v>1100</v>
      </c>
      <c r="D668" s="189">
        <f>SUM(D1925:D1928)</f>
        <v>1700</v>
      </c>
      <c r="E668" s="1955">
        <v>32348</v>
      </c>
      <c r="F668" s="601" t="s">
        <v>287</v>
      </c>
      <c r="G668" s="198">
        <f t="shared" ref="G668:O668" si="1066">SUM(G1925:G1928)</f>
        <v>3000</v>
      </c>
      <c r="H668" s="138">
        <f t="shared" si="1035"/>
        <v>76.470588235294116</v>
      </c>
      <c r="I668" s="33">
        <f t="shared" si="1066"/>
        <v>3000</v>
      </c>
      <c r="J668" s="33">
        <f t="shared" si="1066"/>
        <v>3000</v>
      </c>
      <c r="K668" s="33">
        <f t="shared" si="1066"/>
        <v>3000</v>
      </c>
      <c r="L668" s="33">
        <f t="shared" si="1066"/>
        <v>3000</v>
      </c>
      <c r="M668" s="33">
        <f t="shared" si="1066"/>
        <v>3000</v>
      </c>
      <c r="N668" s="76">
        <f t="shared" si="1066"/>
        <v>3000</v>
      </c>
      <c r="O668" s="33">
        <f t="shared" si="1066"/>
        <v>3000</v>
      </c>
      <c r="P668" s="142">
        <f t="shared" ref="P668:Q668" si="1067">SUM(P1925:P1928)</f>
        <v>3000</v>
      </c>
      <c r="Q668" s="33">
        <f t="shared" si="1067"/>
        <v>3000</v>
      </c>
      <c r="R668" s="114">
        <f t="shared" ref="R668" si="1068">SUM(R1925:R1928)</f>
        <v>3000</v>
      </c>
    </row>
    <row r="669" spans="1:18" x14ac:dyDescent="0.2">
      <c r="A669" s="107">
        <f>ROUND(SUM(A1929:A1933),-3)</f>
        <v>238000</v>
      </c>
      <c r="B669" s="189">
        <f>SUM(B1929:B1933)</f>
        <v>131300</v>
      </c>
      <c r="C669" s="189">
        <f>SUM(C1929:C1933)</f>
        <v>173600</v>
      </c>
      <c r="D669" s="189">
        <f>SUM(D1929:D1933)</f>
        <v>586200</v>
      </c>
      <c r="E669" s="1955">
        <v>32348</v>
      </c>
      <c r="F669" s="1111" t="s">
        <v>3797</v>
      </c>
      <c r="G669" s="198">
        <f>SUM(G1929:G1933)</f>
        <v>232000</v>
      </c>
      <c r="H669" s="138">
        <f t="shared" si="1035"/>
        <v>-60.423063800750597</v>
      </c>
      <c r="I669" s="33">
        <f t="shared" ref="I669:Q669" si="1069">SUM(I1929:I1933)</f>
        <v>235000</v>
      </c>
      <c r="J669" s="33">
        <f t="shared" si="1069"/>
        <v>241000</v>
      </c>
      <c r="K669" s="33">
        <f t="shared" si="1069"/>
        <v>247000</v>
      </c>
      <c r="L669" s="33">
        <f t="shared" si="1069"/>
        <v>253000</v>
      </c>
      <c r="M669" s="33">
        <f t="shared" si="1069"/>
        <v>258000</v>
      </c>
      <c r="N669" s="76">
        <f t="shared" si="1069"/>
        <v>263000</v>
      </c>
      <c r="O669" s="33">
        <f t="shared" si="1069"/>
        <v>268000</v>
      </c>
      <c r="P669" s="142">
        <f t="shared" si="1069"/>
        <v>273000</v>
      </c>
      <c r="Q669" s="33">
        <f t="shared" si="1069"/>
        <v>278000</v>
      </c>
      <c r="R669" s="114">
        <f t="shared" ref="R669" si="1070">SUM(R1929:R1933)</f>
        <v>284000</v>
      </c>
    </row>
    <row r="670" spans="1:18" x14ac:dyDescent="0.2">
      <c r="A670" s="107">
        <f>ROUND(SUM(A1934:A1937),-3)+100</f>
        <v>64100</v>
      </c>
      <c r="B670" s="189">
        <f>SUM(B1934:B1937)</f>
        <v>17300</v>
      </c>
      <c r="C670" s="189">
        <f>SUM(C1934:C1937)</f>
        <v>74800</v>
      </c>
      <c r="D670" s="189">
        <f>SUM(D1934:D1937)</f>
        <v>19900</v>
      </c>
      <c r="E670" s="1955">
        <v>32348</v>
      </c>
      <c r="F670" s="1111" t="s">
        <v>3769</v>
      </c>
      <c r="G670" s="198">
        <f t="shared" ref="G670:P670" si="1071">SUM(G1934:G1937)</f>
        <v>37000</v>
      </c>
      <c r="H670" s="138">
        <f t="shared" si="1035"/>
        <v>85.929648241206024</v>
      </c>
      <c r="I670" s="33">
        <f t="shared" si="1071"/>
        <v>37000</v>
      </c>
      <c r="J670" s="33">
        <f t="shared" si="1071"/>
        <v>38000</v>
      </c>
      <c r="K670" s="33">
        <f t="shared" si="1071"/>
        <v>39000</v>
      </c>
      <c r="L670" s="33">
        <f t="shared" si="1071"/>
        <v>40000</v>
      </c>
      <c r="M670" s="33">
        <f t="shared" si="1071"/>
        <v>41000</v>
      </c>
      <c r="N670" s="76">
        <f t="shared" si="1071"/>
        <v>42000</v>
      </c>
      <c r="O670" s="33">
        <f t="shared" si="1071"/>
        <v>43000</v>
      </c>
      <c r="P670" s="142">
        <f t="shared" si="1071"/>
        <v>44000</v>
      </c>
      <c r="Q670" s="33">
        <f t="shared" ref="Q670" si="1072">SUM(Q1934:Q1937)</f>
        <v>45000</v>
      </c>
      <c r="R670" s="114">
        <f t="shared" ref="R670" si="1073">SUM(R1934:R1937)</f>
        <v>46000</v>
      </c>
    </row>
    <row r="671" spans="1:18" x14ac:dyDescent="0.2">
      <c r="A671" s="107"/>
      <c r="B671" s="189"/>
      <c r="D671" s="189">
        <f>D1938+D1939</f>
        <v>791700</v>
      </c>
      <c r="E671" s="1955">
        <v>32348</v>
      </c>
      <c r="F671" s="1111" t="s">
        <v>1771</v>
      </c>
      <c r="G671" s="198">
        <f>G1938+G1939</f>
        <v>0</v>
      </c>
      <c r="H671" s="138">
        <f t="shared" si="1035"/>
        <v>-100</v>
      </c>
      <c r="I671" s="33">
        <f>I1938+I1939</f>
        <v>0</v>
      </c>
      <c r="J671" s="33">
        <f t="shared" ref="J671:Q671" si="1074">J1938+J1939</f>
        <v>0</v>
      </c>
      <c r="K671" s="33">
        <f t="shared" si="1074"/>
        <v>0</v>
      </c>
      <c r="L671" s="33">
        <f t="shared" si="1074"/>
        <v>0</v>
      </c>
      <c r="M671" s="33">
        <f t="shared" si="1074"/>
        <v>0</v>
      </c>
      <c r="N671" s="33">
        <f t="shared" si="1074"/>
        <v>0</v>
      </c>
      <c r="O671" s="33">
        <f t="shared" si="1074"/>
        <v>0</v>
      </c>
      <c r="P671" s="33">
        <f t="shared" si="1074"/>
        <v>0</v>
      </c>
      <c r="Q671" s="33">
        <f t="shared" si="1074"/>
        <v>0</v>
      </c>
      <c r="R671" s="114">
        <f t="shared" ref="R671" si="1075">R1938+R1939</f>
        <v>0</v>
      </c>
    </row>
    <row r="672" spans="1:18" x14ac:dyDescent="0.2">
      <c r="A672" s="107"/>
      <c r="B672" s="33"/>
      <c r="E672" s="1955"/>
      <c r="F672" s="601"/>
      <c r="G672" s="198"/>
      <c r="H672" s="138"/>
      <c r="I672" s="33"/>
      <c r="J672" s="33"/>
      <c r="K672" s="33"/>
      <c r="L672" s="33"/>
      <c r="M672" s="33"/>
      <c r="N672" s="76"/>
      <c r="O672" s="33"/>
      <c r="P672" s="142"/>
      <c r="Q672" s="33"/>
      <c r="R672" s="114"/>
    </row>
    <row r="673" spans="1:18" x14ac:dyDescent="0.2">
      <c r="A673" s="107"/>
      <c r="B673" s="33"/>
      <c r="E673" s="1955"/>
      <c r="F673" s="64" t="str">
        <f>F101</f>
        <v>Non-Cash Expenses</v>
      </c>
      <c r="G673" s="198"/>
      <c r="H673" s="138"/>
      <c r="I673" s="33"/>
      <c r="J673" s="33"/>
      <c r="K673" s="33"/>
      <c r="L673" s="33"/>
      <c r="M673" s="33"/>
      <c r="N673" s="76"/>
      <c r="O673" s="33"/>
      <c r="P673" s="142"/>
      <c r="Q673" s="33"/>
      <c r="R673" s="114"/>
    </row>
    <row r="674" spans="1:18" x14ac:dyDescent="0.2">
      <c r="A674" s="107">
        <f>ROUND(SUM(A1941:A1942),)</f>
        <v>1086400</v>
      </c>
      <c r="B674" s="33">
        <f>ROUND(SUM(B1941:B1942),)</f>
        <v>1073600</v>
      </c>
      <c r="C674" s="189">
        <f>ROUND(SUM(C1941:C1942),)</f>
        <v>1081300</v>
      </c>
      <c r="D674" s="189">
        <f>ROUND(SUM(D1941:D1942),)</f>
        <v>1071900</v>
      </c>
      <c r="E674" s="240">
        <v>32340</v>
      </c>
      <c r="F674" s="601" t="s">
        <v>2070</v>
      </c>
      <c r="G674" s="198">
        <f t="shared" ref="G674:P674" si="1076">ROUND(SUM(G1941:G1942),)</f>
        <v>1104000</v>
      </c>
      <c r="H674" s="138">
        <f>IF(D674=G674,0,IF(D674=0,100,(G674-D674)/D674*100))</f>
        <v>2.9946823397705007</v>
      </c>
      <c r="I674" s="33">
        <f t="shared" si="1076"/>
        <v>1126100</v>
      </c>
      <c r="J674" s="33">
        <f t="shared" si="1076"/>
        <v>1148700</v>
      </c>
      <c r="K674" s="33">
        <f t="shared" si="1076"/>
        <v>1171700</v>
      </c>
      <c r="L674" s="33">
        <f t="shared" si="1076"/>
        <v>1195200</v>
      </c>
      <c r="M674" s="33">
        <f t="shared" si="1076"/>
        <v>1219200</v>
      </c>
      <c r="N674" s="76">
        <f t="shared" si="1076"/>
        <v>1243600</v>
      </c>
      <c r="O674" s="33">
        <f t="shared" si="1076"/>
        <v>1268500</v>
      </c>
      <c r="P674" s="142">
        <f t="shared" si="1076"/>
        <v>1293900</v>
      </c>
      <c r="Q674" s="33">
        <f t="shared" ref="Q674" si="1077">ROUND(SUM(Q1941:Q1942),)</f>
        <v>1319800</v>
      </c>
      <c r="R674" s="114">
        <f t="shared" ref="R674" si="1078">ROUND(SUM(R1941:R1942),)</f>
        <v>1346200</v>
      </c>
    </row>
    <row r="675" spans="1:18" x14ac:dyDescent="0.2">
      <c r="A675" s="107">
        <f>ROUND(SUM(A1944:A1944),)</f>
        <v>191200</v>
      </c>
      <c r="B675" s="33">
        <f>ROUND(SUM(B1944:B1944),)</f>
        <v>67300</v>
      </c>
      <c r="C675" s="189">
        <f>ROUND(SUM(C1944:C1944),)</f>
        <v>65300</v>
      </c>
      <c r="D675" s="189">
        <f>ROUND(SUM(D1944:D1944),)</f>
        <v>53200</v>
      </c>
      <c r="E675" s="240">
        <v>32340</v>
      </c>
      <c r="F675" s="1111" t="s">
        <v>5037</v>
      </c>
      <c r="G675" s="198">
        <f t="shared" ref="G675:P675" si="1079">ROUND(SUM(G1944:G1944),)</f>
        <v>68800</v>
      </c>
      <c r="H675" s="138">
        <f>IF(D675=G675,0,IF(D675=0,100,(G675-D675)/D675*100))</f>
        <v>29.323308270676691</v>
      </c>
      <c r="I675" s="33">
        <f t="shared" si="1079"/>
        <v>0</v>
      </c>
      <c r="J675" s="33">
        <f t="shared" si="1079"/>
        <v>0</v>
      </c>
      <c r="K675" s="33">
        <f t="shared" si="1079"/>
        <v>0</v>
      </c>
      <c r="L675" s="33">
        <f t="shared" si="1079"/>
        <v>0</v>
      </c>
      <c r="M675" s="33">
        <f t="shared" si="1079"/>
        <v>0</v>
      </c>
      <c r="N675" s="76">
        <f t="shared" si="1079"/>
        <v>0</v>
      </c>
      <c r="O675" s="33">
        <f t="shared" si="1079"/>
        <v>0</v>
      </c>
      <c r="P675" s="142">
        <f t="shared" si="1079"/>
        <v>0</v>
      </c>
      <c r="Q675" s="33">
        <f t="shared" ref="Q675" si="1080">ROUND(SUM(Q1944:Q1944),)</f>
        <v>0</v>
      </c>
      <c r="R675" s="114">
        <f t="shared" ref="R675" si="1081">ROUND(SUM(R1944:R1944),)</f>
        <v>0</v>
      </c>
    </row>
    <row r="676" spans="1:18" x14ac:dyDescent="0.2">
      <c r="A676" s="107">
        <f>ROUND(SUM(A1943:A1943),)</f>
        <v>260000</v>
      </c>
      <c r="B676" s="33">
        <f>ROUND(SUM(B1943:B1943),)</f>
        <v>153700</v>
      </c>
      <c r="C676" s="189">
        <f>ROUND(SUM(C1943:C1943),)</f>
        <v>131200</v>
      </c>
      <c r="D676" s="189">
        <f>ROUND(SUM(D1943:D1943),)</f>
        <v>122400</v>
      </c>
      <c r="E676" s="240">
        <v>32340</v>
      </c>
      <c r="F676" s="1111" t="s">
        <v>2145</v>
      </c>
      <c r="G676" s="198">
        <f t="shared" ref="G676:P676" si="1082">ROUND(SUM(G1943:G1943),)</f>
        <v>135000</v>
      </c>
      <c r="H676" s="138">
        <f>IF(D676=G676,0,IF(D676=0,100,(G676-D676)/D676*100))</f>
        <v>10.294117647058822</v>
      </c>
      <c r="I676" s="33">
        <f t="shared" si="1082"/>
        <v>137700</v>
      </c>
      <c r="J676" s="33">
        <f t="shared" si="1082"/>
        <v>140500</v>
      </c>
      <c r="K676" s="33">
        <f t="shared" si="1082"/>
        <v>143400</v>
      </c>
      <c r="L676" s="33">
        <f t="shared" si="1082"/>
        <v>146300</v>
      </c>
      <c r="M676" s="33">
        <f t="shared" si="1082"/>
        <v>149300</v>
      </c>
      <c r="N676" s="76">
        <f t="shared" si="1082"/>
        <v>152300</v>
      </c>
      <c r="O676" s="33">
        <f t="shared" si="1082"/>
        <v>155400</v>
      </c>
      <c r="P676" s="142">
        <f t="shared" si="1082"/>
        <v>158600</v>
      </c>
      <c r="Q676" s="33">
        <f t="shared" ref="Q676" si="1083">ROUND(SUM(Q1943:Q1943),)</f>
        <v>161800</v>
      </c>
      <c r="R676" s="114">
        <f t="shared" ref="R676" si="1084">ROUND(SUM(R1943:R1943),)</f>
        <v>165100</v>
      </c>
    </row>
    <row r="677" spans="1:18" ht="13.5" thickBot="1" x14ac:dyDescent="0.25">
      <c r="A677" s="107"/>
      <c r="B677" s="33"/>
      <c r="E677" s="1955"/>
      <c r="F677" s="601"/>
      <c r="G677" s="198"/>
      <c r="H677" s="138"/>
      <c r="I677" s="33"/>
      <c r="J677" s="33"/>
      <c r="K677" s="33"/>
      <c r="L677" s="33"/>
      <c r="M677" s="33"/>
      <c r="N677" s="76"/>
      <c r="O677" s="33"/>
      <c r="P677" s="142"/>
      <c r="Q677" s="33"/>
      <c r="R677" s="114"/>
    </row>
    <row r="678" spans="1:18" x14ac:dyDescent="0.2">
      <c r="A678" s="105">
        <f>SUM(A637:A676)</f>
        <v>2751600</v>
      </c>
      <c r="B678" s="53">
        <f>SUM(B637:B676)</f>
        <v>2493800</v>
      </c>
      <c r="C678" s="190">
        <f>SUM(C637:C676)</f>
        <v>2612000</v>
      </c>
      <c r="D678" s="190">
        <f>SUM(D637:D676)</f>
        <v>3544300</v>
      </c>
      <c r="E678" s="237"/>
      <c r="F678" s="378" t="s">
        <v>565</v>
      </c>
      <c r="G678" s="2550">
        <f t="shared" ref="G678:P678" si="1085">SUM(G637:G676)</f>
        <v>2983800</v>
      </c>
      <c r="H678" s="180">
        <f>IF(D678=G678,0,IF(D678=0,100,(G678-D678)/D678*100))</f>
        <v>-15.81412408656152</v>
      </c>
      <c r="I678" s="53">
        <f t="shared" si="1085"/>
        <v>2417200</v>
      </c>
      <c r="J678" s="53">
        <f t="shared" si="1085"/>
        <v>2424200</v>
      </c>
      <c r="K678" s="53">
        <f t="shared" si="1085"/>
        <v>2476100</v>
      </c>
      <c r="L678" s="53">
        <f t="shared" si="1085"/>
        <v>2529500</v>
      </c>
      <c r="M678" s="53">
        <f t="shared" si="1085"/>
        <v>2560500</v>
      </c>
      <c r="N678" s="460">
        <f t="shared" si="1085"/>
        <v>2592900</v>
      </c>
      <c r="O678" s="53">
        <f t="shared" si="1085"/>
        <v>2625900</v>
      </c>
      <c r="P678" s="155">
        <f t="shared" si="1085"/>
        <v>2656500</v>
      </c>
      <c r="Q678" s="53">
        <f t="shared" ref="Q678" si="1086">SUM(Q637:Q676)</f>
        <v>2685600</v>
      </c>
      <c r="R678" s="113">
        <f t="shared" ref="R678" si="1087">SUM(R637:R676)</f>
        <v>2717300</v>
      </c>
    </row>
    <row r="679" spans="1:18" x14ac:dyDescent="0.2">
      <c r="A679" s="107"/>
      <c r="B679" s="33"/>
      <c r="E679" s="1959"/>
      <c r="F679" s="366"/>
      <c r="G679" s="198"/>
      <c r="H679" s="138"/>
      <c r="I679" s="64"/>
      <c r="J679" s="64"/>
      <c r="K679" s="64"/>
      <c r="L679" s="64"/>
      <c r="M679" s="64"/>
      <c r="N679" s="79"/>
      <c r="O679" s="64"/>
      <c r="P679" s="128"/>
      <c r="Q679" s="64"/>
      <c r="R679" s="115"/>
    </row>
    <row r="680" spans="1:18" x14ac:dyDescent="0.2">
      <c r="A680" s="70">
        <f>A635-A678</f>
        <v>-254600</v>
      </c>
      <c r="B680" s="64">
        <f>B635-B678</f>
        <v>226400</v>
      </c>
      <c r="C680" s="193">
        <f>C635-C678</f>
        <v>1346300</v>
      </c>
      <c r="D680" s="193">
        <f>D635-D678</f>
        <v>300200</v>
      </c>
      <c r="E680" s="237"/>
      <c r="F680" s="516" t="s">
        <v>1019</v>
      </c>
      <c r="G680" s="197">
        <f t="shared" ref="G680:P680" si="1088">G635-G678</f>
        <v>583200</v>
      </c>
      <c r="H680" s="179">
        <f>IF(D680=G680,0,IF(D680=0,100,(G680-D680)/D680*100))</f>
        <v>94.270486342438375</v>
      </c>
      <c r="I680" s="64">
        <f t="shared" si="1088"/>
        <v>-202200</v>
      </c>
      <c r="J680" s="64">
        <f t="shared" si="1088"/>
        <v>-111800</v>
      </c>
      <c r="K680" s="64">
        <f t="shared" si="1088"/>
        <v>-60300</v>
      </c>
      <c r="L680" s="64">
        <f t="shared" si="1088"/>
        <v>-62300</v>
      </c>
      <c r="M680" s="64">
        <f t="shared" si="1088"/>
        <v>-42900</v>
      </c>
      <c r="N680" s="79">
        <f t="shared" si="1088"/>
        <v>-23900</v>
      </c>
      <c r="O680" s="64">
        <f t="shared" si="1088"/>
        <v>-6500</v>
      </c>
      <c r="P680" s="128">
        <f t="shared" si="1088"/>
        <v>24300</v>
      </c>
      <c r="Q680" s="64">
        <f t="shared" ref="Q680" si="1089">Q635-Q678</f>
        <v>58600</v>
      </c>
      <c r="R680" s="115">
        <f t="shared" ref="R680" si="1090">R635-R678</f>
        <v>92300</v>
      </c>
    </row>
    <row r="681" spans="1:18" x14ac:dyDescent="0.2">
      <c r="A681" s="107">
        <f>SUM(A674:A676)</f>
        <v>1537600</v>
      </c>
      <c r="B681" s="33">
        <f>SUM(B674:B676)</f>
        <v>1294600</v>
      </c>
      <c r="C681" s="189">
        <f>SUM(C674:C676)</f>
        <v>1277800</v>
      </c>
      <c r="D681" s="189">
        <f>SUM(D674:D676)</f>
        <v>1247500</v>
      </c>
      <c r="E681" s="1955"/>
      <c r="F681" s="372" t="s">
        <v>1976</v>
      </c>
      <c r="G681" s="198">
        <f t="shared" ref="G681:P681" si="1091">SUM(G674:G676)</f>
        <v>1307800</v>
      </c>
      <c r="H681" s="138">
        <f>IF(D681=G681,0,IF(D681=0,100,(G681-D681)/D681*100))</f>
        <v>4.8336673346693386</v>
      </c>
      <c r="I681" s="33">
        <f t="shared" si="1091"/>
        <v>1263800</v>
      </c>
      <c r="J681" s="33">
        <f t="shared" si="1091"/>
        <v>1289200</v>
      </c>
      <c r="K681" s="33">
        <f t="shared" si="1091"/>
        <v>1315100</v>
      </c>
      <c r="L681" s="33">
        <f t="shared" si="1091"/>
        <v>1341500</v>
      </c>
      <c r="M681" s="33">
        <f t="shared" si="1091"/>
        <v>1368500</v>
      </c>
      <c r="N681" s="76">
        <f t="shared" si="1091"/>
        <v>1395900</v>
      </c>
      <c r="O681" s="33">
        <f t="shared" si="1091"/>
        <v>1423900</v>
      </c>
      <c r="P681" s="142">
        <f t="shared" si="1091"/>
        <v>1452500</v>
      </c>
      <c r="Q681" s="33">
        <f t="shared" ref="Q681" si="1092">SUM(Q674:Q676)</f>
        <v>1481600</v>
      </c>
      <c r="R681" s="114">
        <f t="shared" ref="R681" si="1093">SUM(R674:R676)</f>
        <v>1511300</v>
      </c>
    </row>
    <row r="682" spans="1:18" s="92" customFormat="1" x14ac:dyDescent="0.2">
      <c r="A682" s="181">
        <f>A680+A681</f>
        <v>1283000</v>
      </c>
      <c r="B682" s="397">
        <f>B680+B681</f>
        <v>1521000</v>
      </c>
      <c r="C682" s="398">
        <f>C680+C681</f>
        <v>2624100</v>
      </c>
      <c r="D682" s="398">
        <f>D680+D681</f>
        <v>1547700</v>
      </c>
      <c r="E682" s="523"/>
      <c r="F682" s="518" t="s">
        <v>1687</v>
      </c>
      <c r="G682" s="2605">
        <f t="shared" ref="G682:O682" si="1094">G680+G681</f>
        <v>1891000</v>
      </c>
      <c r="H682" s="395">
        <f>IF(D682=G682,0,IF(D682=0,100,(G682-D682)/D682*100))</f>
        <v>22.181301285778897</v>
      </c>
      <c r="I682" s="397">
        <f t="shared" si="1094"/>
        <v>1061600</v>
      </c>
      <c r="J682" s="397">
        <f t="shared" si="1094"/>
        <v>1177400</v>
      </c>
      <c r="K682" s="397">
        <f t="shared" si="1094"/>
        <v>1254800</v>
      </c>
      <c r="L682" s="397">
        <f t="shared" si="1094"/>
        <v>1279200</v>
      </c>
      <c r="M682" s="397">
        <f t="shared" si="1094"/>
        <v>1325600</v>
      </c>
      <c r="N682" s="709">
        <f t="shared" si="1094"/>
        <v>1372000</v>
      </c>
      <c r="O682" s="397">
        <f t="shared" si="1094"/>
        <v>1417400</v>
      </c>
      <c r="P682" s="377">
        <f t="shared" ref="P682:Q682" si="1095">P680+P681</f>
        <v>1476800</v>
      </c>
      <c r="Q682" s="397">
        <f t="shared" si="1095"/>
        <v>1540200</v>
      </c>
      <c r="R682" s="399">
        <f t="shared" ref="R682" si="1096">R680+R681</f>
        <v>1603600</v>
      </c>
    </row>
    <row r="683" spans="1:18" x14ac:dyDescent="0.2">
      <c r="A683" s="751"/>
      <c r="B683" s="64"/>
      <c r="C683" s="193"/>
      <c r="D683" s="192"/>
      <c r="E683" s="1954"/>
      <c r="F683" s="240"/>
      <c r="G683" s="197"/>
      <c r="H683" s="179"/>
      <c r="I683" s="33"/>
      <c r="J683" s="33"/>
      <c r="K683" s="33"/>
      <c r="L683" s="33"/>
      <c r="M683" s="33"/>
      <c r="N683" s="76"/>
      <c r="O683" s="33"/>
      <c r="P683" s="142"/>
      <c r="Q683" s="33"/>
      <c r="R683" s="114"/>
    </row>
    <row r="684" spans="1:18" x14ac:dyDescent="0.2">
      <c r="A684" s="70"/>
      <c r="B684" s="64"/>
      <c r="C684" s="193"/>
      <c r="D684" s="193"/>
      <c r="E684" s="240"/>
      <c r="F684" s="516" t="s">
        <v>196</v>
      </c>
      <c r="G684" s="197"/>
      <c r="H684" s="179"/>
      <c r="I684" s="33"/>
      <c r="J684" s="33"/>
      <c r="K684" s="33"/>
      <c r="L684" s="33"/>
      <c r="M684" s="33"/>
      <c r="N684" s="76"/>
      <c r="O684" s="33"/>
      <c r="P684" s="142"/>
      <c r="Q684" s="33"/>
      <c r="R684" s="114"/>
    </row>
    <row r="685" spans="1:18" x14ac:dyDescent="0.2">
      <c r="A685" s="107">
        <f>ROUND(A1954,-3)</f>
        <v>982000</v>
      </c>
      <c r="B685" s="33">
        <f t="shared" ref="B685:C689" si="1097">B1954</f>
        <v>1053000</v>
      </c>
      <c r="C685" s="189">
        <f t="shared" si="1097"/>
        <v>1135100</v>
      </c>
      <c r="D685" s="189">
        <f>D1954</f>
        <v>1205600</v>
      </c>
      <c r="E685" s="240"/>
      <c r="F685" s="366" t="str">
        <f>F612</f>
        <v>Less Loan Principal Repayments</v>
      </c>
      <c r="G685" s="198">
        <f t="shared" ref="G685:N685" si="1098">G1954</f>
        <v>1111500</v>
      </c>
      <c r="H685" s="138"/>
      <c r="I685" s="187">
        <f t="shared" si="1098"/>
        <v>193900</v>
      </c>
      <c r="J685" s="33">
        <f t="shared" si="1098"/>
        <v>0</v>
      </c>
      <c r="K685" s="33">
        <f t="shared" si="1098"/>
        <v>0</v>
      </c>
      <c r="L685" s="33">
        <f t="shared" si="1098"/>
        <v>0</v>
      </c>
      <c r="M685" s="33">
        <f t="shared" si="1098"/>
        <v>0</v>
      </c>
      <c r="N685" s="76">
        <f t="shared" si="1098"/>
        <v>0</v>
      </c>
      <c r="O685" s="187">
        <f t="shared" ref="O685:P689" si="1099">O1954</f>
        <v>0</v>
      </c>
      <c r="P685" s="189">
        <f t="shared" si="1099"/>
        <v>0</v>
      </c>
      <c r="Q685" s="187">
        <f t="shared" ref="Q685" si="1100">Q1954</f>
        <v>0</v>
      </c>
      <c r="R685" s="188">
        <f t="shared" ref="R685" si="1101">R1954</f>
        <v>0</v>
      </c>
    </row>
    <row r="686" spans="1:18" x14ac:dyDescent="0.2">
      <c r="A686" s="107">
        <f>ROUND(A1955,-3)</f>
        <v>1496000</v>
      </c>
      <c r="B686" s="33">
        <f t="shared" si="1097"/>
        <v>1626700</v>
      </c>
      <c r="C686" s="189">
        <f t="shared" si="1097"/>
        <v>1489000</v>
      </c>
      <c r="D686" s="189">
        <f>D1955</f>
        <v>2065900</v>
      </c>
      <c r="E686" s="240"/>
      <c r="F686" s="366" t="str">
        <f>F613</f>
        <v>Less Transfer to Reserves</v>
      </c>
      <c r="G686" s="198">
        <f t="shared" ref="G686:N686" si="1102">G1955</f>
        <v>966300</v>
      </c>
      <c r="H686" s="138"/>
      <c r="I686" s="33">
        <f t="shared" si="1102"/>
        <v>867700</v>
      </c>
      <c r="J686" s="33">
        <f t="shared" si="1102"/>
        <v>1177400</v>
      </c>
      <c r="K686" s="33">
        <f t="shared" si="1102"/>
        <v>1254800</v>
      </c>
      <c r="L686" s="33">
        <f t="shared" si="1102"/>
        <v>1279200</v>
      </c>
      <c r="M686" s="33">
        <f t="shared" si="1102"/>
        <v>1325600</v>
      </c>
      <c r="N686" s="76">
        <f t="shared" si="1102"/>
        <v>1372000</v>
      </c>
      <c r="O686" s="33">
        <f t="shared" si="1099"/>
        <v>1417400</v>
      </c>
      <c r="P686" s="142">
        <f t="shared" si="1099"/>
        <v>1476800</v>
      </c>
      <c r="Q686" s="33">
        <f t="shared" ref="Q686" si="1103">Q1955</f>
        <v>1540200</v>
      </c>
      <c r="R686" s="114">
        <f t="shared" ref="R686" si="1104">R1955</f>
        <v>1603600</v>
      </c>
    </row>
    <row r="687" spans="1:18" x14ac:dyDescent="0.2">
      <c r="A687" s="107">
        <f>ROUND(A1956,-3)</f>
        <v>1412000</v>
      </c>
      <c r="B687" s="33">
        <f t="shared" si="1097"/>
        <v>1361200</v>
      </c>
      <c r="C687" s="189">
        <f t="shared" si="1097"/>
        <v>257300</v>
      </c>
      <c r="D687" s="189">
        <f>D1956</f>
        <v>1459400</v>
      </c>
      <c r="E687" s="240"/>
      <c r="F687" s="366" t="str">
        <f>F614</f>
        <v>Add Transfer from Reserves</v>
      </c>
      <c r="G687" s="198">
        <f t="shared" ref="G687:N687" si="1105">G1956</f>
        <v>723800</v>
      </c>
      <c r="H687" s="138"/>
      <c r="I687" s="33">
        <f t="shared" si="1105"/>
        <v>109000</v>
      </c>
      <c r="J687" s="33">
        <f t="shared" si="1105"/>
        <v>113000</v>
      </c>
      <c r="K687" s="33">
        <f t="shared" si="1105"/>
        <v>118000</v>
      </c>
      <c r="L687" s="33">
        <f t="shared" si="1105"/>
        <v>1121000</v>
      </c>
      <c r="M687" s="33">
        <f t="shared" si="1105"/>
        <v>1124000</v>
      </c>
      <c r="N687" s="76">
        <f t="shared" si="1105"/>
        <v>1127000</v>
      </c>
      <c r="O687" s="33">
        <f t="shared" si="1099"/>
        <v>1130000</v>
      </c>
      <c r="P687" s="142">
        <f t="shared" si="1099"/>
        <v>1133000</v>
      </c>
      <c r="Q687" s="33">
        <f t="shared" ref="Q687" si="1106">Q1956</f>
        <v>1136000</v>
      </c>
      <c r="R687" s="114">
        <f t="shared" ref="R687" si="1107">R1956</f>
        <v>1139000</v>
      </c>
    </row>
    <row r="688" spans="1:18" x14ac:dyDescent="0.2">
      <c r="A688" s="107">
        <f>ROUND(A1957,-3)</f>
        <v>213000</v>
      </c>
      <c r="B688" s="33">
        <f t="shared" si="1097"/>
        <v>0</v>
      </c>
      <c r="C688" s="189">
        <f t="shared" si="1097"/>
        <v>0</v>
      </c>
      <c r="D688" s="189">
        <f>D1957</f>
        <v>0</v>
      </c>
      <c r="E688" s="240"/>
      <c r="F688" s="366" t="str">
        <f>F615</f>
        <v>Add Capital Income Applied</v>
      </c>
      <c r="G688" s="198">
        <f t="shared" ref="G688:N688" si="1108">G1957</f>
        <v>0</v>
      </c>
      <c r="H688" s="138"/>
      <c r="I688" s="33">
        <f t="shared" si="1108"/>
        <v>0</v>
      </c>
      <c r="J688" s="33">
        <f t="shared" si="1108"/>
        <v>0</v>
      </c>
      <c r="K688" s="33">
        <f t="shared" si="1108"/>
        <v>0</v>
      </c>
      <c r="L688" s="33">
        <f t="shared" si="1108"/>
        <v>0</v>
      </c>
      <c r="M688" s="33">
        <f t="shared" si="1108"/>
        <v>0</v>
      </c>
      <c r="N688" s="76">
        <f t="shared" si="1108"/>
        <v>0</v>
      </c>
      <c r="O688" s="33">
        <f t="shared" si="1099"/>
        <v>0</v>
      </c>
      <c r="P688" s="142">
        <f t="shared" si="1099"/>
        <v>0</v>
      </c>
      <c r="Q688" s="33">
        <f t="shared" ref="Q688" si="1109">Q1957</f>
        <v>0</v>
      </c>
      <c r="R688" s="114">
        <f t="shared" ref="R688" si="1110">R1957</f>
        <v>0</v>
      </c>
    </row>
    <row r="689" spans="1:18" x14ac:dyDescent="0.2">
      <c r="A689" s="107">
        <f>ROUND(A1958,-3)</f>
        <v>430000</v>
      </c>
      <c r="B689" s="33">
        <f t="shared" si="1097"/>
        <v>152500</v>
      </c>
      <c r="C689" s="189">
        <f t="shared" si="1097"/>
        <v>95300</v>
      </c>
      <c r="D689" s="189">
        <f>D1958</f>
        <v>476500</v>
      </c>
      <c r="E689" s="240"/>
      <c r="F689" s="366" t="str">
        <f>F616</f>
        <v>Less Capital Expenditure</v>
      </c>
      <c r="G689" s="198">
        <f t="shared" ref="G689:N689" si="1111">G1958</f>
        <v>537000</v>
      </c>
      <c r="H689" s="138"/>
      <c r="I689" s="33">
        <f t="shared" si="1111"/>
        <v>109000</v>
      </c>
      <c r="J689" s="33">
        <f t="shared" si="1111"/>
        <v>113000</v>
      </c>
      <c r="K689" s="33">
        <f t="shared" si="1111"/>
        <v>118000</v>
      </c>
      <c r="L689" s="33">
        <f t="shared" si="1111"/>
        <v>121000</v>
      </c>
      <c r="M689" s="33">
        <f t="shared" si="1111"/>
        <v>124000</v>
      </c>
      <c r="N689" s="76">
        <f t="shared" si="1111"/>
        <v>127000</v>
      </c>
      <c r="O689" s="33">
        <f t="shared" si="1099"/>
        <v>130000</v>
      </c>
      <c r="P689" s="142">
        <f t="shared" si="1099"/>
        <v>133000</v>
      </c>
      <c r="Q689" s="33">
        <f t="shared" ref="Q689" si="1112">Q1958</f>
        <v>136000</v>
      </c>
      <c r="R689" s="114">
        <f t="shared" ref="R689" si="1113">R1958</f>
        <v>139000</v>
      </c>
    </row>
    <row r="690" spans="1:18" s="92" customFormat="1" ht="13.5" thickBot="1" x14ac:dyDescent="0.25">
      <c r="A690" s="1719">
        <f>A682-A685-A686+A687++A688-A689</f>
        <v>0</v>
      </c>
      <c r="B690" s="1720">
        <f>B682-B685-B686+B687++B688-B689</f>
        <v>50000</v>
      </c>
      <c r="C690" s="1723">
        <f>C682-C685-C686+C687++C688-C689</f>
        <v>162000</v>
      </c>
      <c r="D690" s="1723">
        <f>D682-D685-D686+D687++D688-D689</f>
        <v>-740900</v>
      </c>
      <c r="E690" s="1721"/>
      <c r="F690" s="1722" t="s">
        <v>2490</v>
      </c>
      <c r="G690" s="2609">
        <f t="shared" ref="G690:P690" si="1114">G682-G685-G686+G687++G688-G689</f>
        <v>0</v>
      </c>
      <c r="H690" s="1724">
        <f>IF(D690=G690,0,IF(D690=0,100,(G690-D690)/D690*100))</f>
        <v>-100</v>
      </c>
      <c r="I690" s="1720">
        <f t="shared" si="1114"/>
        <v>0</v>
      </c>
      <c r="J690" s="1720">
        <f t="shared" si="1114"/>
        <v>0</v>
      </c>
      <c r="K690" s="1720">
        <f t="shared" si="1114"/>
        <v>0</v>
      </c>
      <c r="L690" s="1720">
        <f t="shared" si="1114"/>
        <v>1000000</v>
      </c>
      <c r="M690" s="1720">
        <f t="shared" si="1114"/>
        <v>1000000</v>
      </c>
      <c r="N690" s="2213">
        <f t="shared" si="1114"/>
        <v>1000000</v>
      </c>
      <c r="O690" s="1720">
        <f t="shared" si="1114"/>
        <v>1000000</v>
      </c>
      <c r="P690" s="1728">
        <f t="shared" si="1114"/>
        <v>1000000</v>
      </c>
      <c r="Q690" s="1720">
        <f t="shared" ref="Q690" si="1115">Q682-Q685-Q686+Q687++Q688-Q689</f>
        <v>1000000</v>
      </c>
      <c r="R690" s="1725">
        <f t="shared" ref="R690" si="1116">R682-R685-R686+R687++R688-R689</f>
        <v>1000000</v>
      </c>
    </row>
    <row r="691" spans="1:18" s="99" customFormat="1" ht="14.25" thickTop="1" thickBot="1" x14ac:dyDescent="0.25">
      <c r="A691" s="74"/>
      <c r="B691" s="74"/>
      <c r="C691" s="74"/>
      <c r="D691" s="74"/>
      <c r="E691" s="242"/>
      <c r="F691" s="242"/>
      <c r="G691" s="74"/>
      <c r="H691" s="2507"/>
    </row>
    <row r="692" spans="1:18" s="91" customFormat="1" ht="18.75" customHeight="1" thickTop="1" thickBot="1" x14ac:dyDescent="0.3">
      <c r="A692" s="2865" t="s">
        <v>2462</v>
      </c>
      <c r="B692" s="2866"/>
      <c r="C692" s="2866"/>
      <c r="D692" s="2866"/>
      <c r="E692" s="2866"/>
      <c r="F692" s="2866"/>
      <c r="G692" s="2866"/>
      <c r="H692" s="2866"/>
      <c r="I692" s="2866"/>
      <c r="J692" s="2866"/>
      <c r="K692" s="2866"/>
      <c r="L692" s="2866"/>
      <c r="M692" s="2866"/>
      <c r="N692" s="2866"/>
      <c r="O692" s="2866"/>
      <c r="P692" s="2866"/>
      <c r="Q692" s="2866"/>
      <c r="R692" s="2867"/>
    </row>
    <row r="693" spans="1:18" s="44" customFormat="1" x14ac:dyDescent="0.2">
      <c r="A693" s="2848" t="s">
        <v>1856</v>
      </c>
      <c r="B693" s="2840"/>
      <c r="C693" s="2840"/>
      <c r="D693" s="2849"/>
      <c r="E693" s="369" t="s">
        <v>2663</v>
      </c>
      <c r="F693" s="2649" t="s">
        <v>2251</v>
      </c>
      <c r="G693" s="2885" t="s">
        <v>2253</v>
      </c>
      <c r="H693" s="2886"/>
      <c r="I693" s="2886"/>
      <c r="J693" s="2886"/>
      <c r="K693" s="2886"/>
      <c r="L693" s="2886"/>
      <c r="M693" s="2886"/>
      <c r="N693" s="2886"/>
      <c r="O693" s="2886"/>
      <c r="P693" s="2886"/>
      <c r="Q693" s="2886"/>
      <c r="R693" s="2887"/>
    </row>
    <row r="694" spans="1:18" s="23" customFormat="1" ht="13.5" thickBot="1" x14ac:dyDescent="0.25">
      <c r="A694" s="208" t="str">
        <f>A3</f>
        <v>2012/13</v>
      </c>
      <c r="B694" s="75" t="str">
        <f>B3</f>
        <v>2013/14</v>
      </c>
      <c r="C694" s="370" t="str">
        <f>C3</f>
        <v>2014/15</v>
      </c>
      <c r="D694" s="93" t="str">
        <f>D3</f>
        <v>2015/16</v>
      </c>
      <c r="E694" s="370" t="s">
        <v>2664</v>
      </c>
      <c r="F694" s="361"/>
      <c r="G694" s="93" t="str">
        <f>G3</f>
        <v>2016/17</v>
      </c>
      <c r="H694" s="2193" t="s">
        <v>1307</v>
      </c>
      <c r="I694" s="370" t="str">
        <f t="shared" ref="I694:Q694" si="1117">I3</f>
        <v>2017/18</v>
      </c>
      <c r="J694" s="370" t="str">
        <f t="shared" si="1117"/>
        <v>2018/19</v>
      </c>
      <c r="K694" s="370" t="str">
        <f t="shared" si="1117"/>
        <v>2019/20</v>
      </c>
      <c r="L694" s="370" t="str">
        <f t="shared" si="1117"/>
        <v>2020/21</v>
      </c>
      <c r="M694" s="370" t="str">
        <f t="shared" si="1117"/>
        <v>2021/22</v>
      </c>
      <c r="N694" s="370" t="str">
        <f t="shared" si="1117"/>
        <v>2022/23</v>
      </c>
      <c r="O694" s="370" t="str">
        <f t="shared" si="1117"/>
        <v>2023/24</v>
      </c>
      <c r="P694" s="370" t="str">
        <f t="shared" si="1117"/>
        <v>2024/25</v>
      </c>
      <c r="Q694" s="218" t="str">
        <f t="shared" si="1117"/>
        <v>2025/26</v>
      </c>
      <c r="R694" s="549" t="str">
        <f t="shared" ref="R694" si="1118">R3</f>
        <v>2026/27</v>
      </c>
    </row>
    <row r="695" spans="1:18" x14ac:dyDescent="0.2">
      <c r="A695" s="98"/>
      <c r="B695" s="33"/>
      <c r="C695" s="33"/>
      <c r="D695" s="33"/>
      <c r="E695" s="1954"/>
      <c r="F695" s="1954"/>
      <c r="G695" s="33"/>
      <c r="H695" s="138"/>
      <c r="I695" s="33"/>
      <c r="J695" s="33"/>
      <c r="K695" s="33"/>
      <c r="L695" s="33"/>
      <c r="M695" s="33"/>
      <c r="N695" s="33"/>
      <c r="O695" s="33"/>
      <c r="P695" s="33"/>
      <c r="Q695" s="33"/>
      <c r="R695" s="114"/>
    </row>
    <row r="696" spans="1:18" x14ac:dyDescent="0.2">
      <c r="A696" s="98"/>
      <c r="B696" s="33"/>
      <c r="C696" s="33"/>
      <c r="D696" s="33"/>
      <c r="E696" s="1954"/>
      <c r="F696" s="103" t="s">
        <v>1073</v>
      </c>
      <c r="G696" s="580"/>
      <c r="H696" s="138"/>
      <c r="I696" s="33"/>
      <c r="J696" s="33"/>
      <c r="K696" s="33"/>
      <c r="L696" s="33"/>
      <c r="M696" s="33"/>
      <c r="N696" s="33"/>
      <c r="O696" s="33"/>
      <c r="P696" s="33"/>
      <c r="Q696" s="33"/>
      <c r="R696" s="114"/>
    </row>
    <row r="697" spans="1:18" x14ac:dyDescent="0.2">
      <c r="A697" s="98"/>
      <c r="B697" s="33"/>
      <c r="C697" s="33"/>
      <c r="D697" s="33"/>
      <c r="E697" s="1954"/>
      <c r="F697" s="103"/>
      <c r="G697" s="33"/>
      <c r="H697" s="138"/>
      <c r="I697" s="33"/>
      <c r="J697" s="33"/>
      <c r="K697" s="33"/>
      <c r="L697" s="33"/>
      <c r="M697" s="33"/>
      <c r="N697" s="33"/>
      <c r="O697" s="33"/>
      <c r="P697" s="33"/>
      <c r="Q697" s="33"/>
      <c r="R697" s="114"/>
    </row>
    <row r="698" spans="1:18" x14ac:dyDescent="0.2">
      <c r="A698" s="107">
        <f>ROUND(A1969,-2)</f>
        <v>6497100</v>
      </c>
      <c r="B698" s="33">
        <f>B1969</f>
        <v>6810300</v>
      </c>
      <c r="C698" s="189">
        <f>SUM(C1969)</f>
        <v>5919100</v>
      </c>
      <c r="D698" s="187">
        <f>SUM(D1969)</f>
        <v>6134600</v>
      </c>
      <c r="E698" s="1954">
        <v>22290</v>
      </c>
      <c r="F698" s="132" t="s">
        <v>4599</v>
      </c>
      <c r="G698" s="187">
        <f t="shared" ref="G698:O698" si="1119">SUM(G1969)</f>
        <v>6354000</v>
      </c>
      <c r="H698" s="138">
        <f t="shared" ref="H698:H703" si="1120">IF(D698=G698,0,IF(D698=0,100,(G698-D698)/D698*100))</f>
        <v>3.5764353014051444</v>
      </c>
      <c r="I698" s="33">
        <f t="shared" si="1119"/>
        <v>6481100</v>
      </c>
      <c r="J698" s="33">
        <f t="shared" si="1119"/>
        <v>6643100</v>
      </c>
      <c r="K698" s="33">
        <f t="shared" si="1119"/>
        <v>6809200</v>
      </c>
      <c r="L698" s="33">
        <f t="shared" si="1119"/>
        <v>6979400</v>
      </c>
      <c r="M698" s="33">
        <f t="shared" si="1119"/>
        <v>7153900</v>
      </c>
      <c r="N698" s="33">
        <f t="shared" si="1119"/>
        <v>7332700</v>
      </c>
      <c r="O698" s="33">
        <f t="shared" si="1119"/>
        <v>7516000</v>
      </c>
      <c r="P698" s="33">
        <f t="shared" ref="P698:Q698" si="1121">SUM(P1969)</f>
        <v>7703900</v>
      </c>
      <c r="Q698" s="33">
        <f t="shared" si="1121"/>
        <v>7896500</v>
      </c>
      <c r="R698" s="114">
        <f t="shared" ref="R698" si="1122">SUM(R1969)</f>
        <v>8093900</v>
      </c>
    </row>
    <row r="699" spans="1:18" x14ac:dyDescent="0.2">
      <c r="A699" s="107">
        <f>ROUND(SUM(A1971:A1972),-2)</f>
        <v>-309300</v>
      </c>
      <c r="B699" s="33">
        <f>SUM(B1971:B1972)</f>
        <v>-307500</v>
      </c>
      <c r="C699" s="189">
        <f>SUM(C1971:C1972)</f>
        <v>-276000</v>
      </c>
      <c r="D699" s="187">
        <f>SUM(D1971:D1972)</f>
        <v>-276500</v>
      </c>
      <c r="E699" s="1954">
        <v>22290</v>
      </c>
      <c r="F699" s="33" t="s">
        <v>255</v>
      </c>
      <c r="G699" s="187">
        <f t="shared" ref="G699:O699" si="1123">SUM(G1971:G1972)</f>
        <v>-273000</v>
      </c>
      <c r="H699" s="138">
        <f t="shared" si="1120"/>
        <v>-1.2658227848101267</v>
      </c>
      <c r="I699" s="33">
        <f t="shared" si="1123"/>
        <v>-275000</v>
      </c>
      <c r="J699" s="33">
        <f t="shared" si="1123"/>
        <v>-277000</v>
      </c>
      <c r="K699" s="33">
        <f t="shared" si="1123"/>
        <v>-279000</v>
      </c>
      <c r="L699" s="33">
        <f t="shared" si="1123"/>
        <v>-281000</v>
      </c>
      <c r="M699" s="33">
        <f t="shared" si="1123"/>
        <v>-283000</v>
      </c>
      <c r="N699" s="33">
        <f t="shared" si="1123"/>
        <v>-285000</v>
      </c>
      <c r="O699" s="33">
        <f t="shared" si="1123"/>
        <v>-287000</v>
      </c>
      <c r="P699" s="33">
        <f t="shared" ref="P699:Q699" si="1124">SUM(P1971:P1972)</f>
        <v>-289000</v>
      </c>
      <c r="Q699" s="33">
        <f t="shared" si="1124"/>
        <v>-291000</v>
      </c>
      <c r="R699" s="114">
        <f t="shared" ref="R699" si="1125">SUM(R1971:R1972)</f>
        <v>-293000</v>
      </c>
    </row>
    <row r="700" spans="1:18" x14ac:dyDescent="0.2">
      <c r="A700" s="107">
        <f>ROUND(A1970,-2)</f>
        <v>18300</v>
      </c>
      <c r="B700" s="33">
        <f>B1970</f>
        <v>20300</v>
      </c>
      <c r="C700" s="189">
        <f>C1970</f>
        <v>21100</v>
      </c>
      <c r="D700" s="187">
        <f>D1970</f>
        <v>21700</v>
      </c>
      <c r="E700" s="1954">
        <v>22290</v>
      </c>
      <c r="F700" s="132" t="s">
        <v>4410</v>
      </c>
      <c r="G700" s="187">
        <f>G1970</f>
        <v>24000</v>
      </c>
      <c r="H700" s="138">
        <f t="shared" si="1120"/>
        <v>10.599078341013826</v>
      </c>
      <c r="I700" s="33">
        <f t="shared" ref="I700:Q700" si="1126">I1970</f>
        <v>24500</v>
      </c>
      <c r="J700" s="33">
        <f t="shared" si="1126"/>
        <v>25100</v>
      </c>
      <c r="K700" s="33">
        <f t="shared" si="1126"/>
        <v>25700</v>
      </c>
      <c r="L700" s="33">
        <f t="shared" si="1126"/>
        <v>26300</v>
      </c>
      <c r="M700" s="33">
        <f t="shared" si="1126"/>
        <v>27000</v>
      </c>
      <c r="N700" s="33">
        <f t="shared" si="1126"/>
        <v>27700</v>
      </c>
      <c r="O700" s="33">
        <f t="shared" si="1126"/>
        <v>28400</v>
      </c>
      <c r="P700" s="33">
        <f t="shared" si="1126"/>
        <v>29100</v>
      </c>
      <c r="Q700" s="33">
        <f t="shared" si="1126"/>
        <v>29800</v>
      </c>
      <c r="R700" s="114">
        <f t="shared" ref="R700" si="1127">R1970</f>
        <v>30500</v>
      </c>
    </row>
    <row r="701" spans="1:18" x14ac:dyDescent="0.2">
      <c r="A701" s="107">
        <f>ROUND(A1974,-2)</f>
        <v>170100</v>
      </c>
      <c r="B701" s="33">
        <f>B1974</f>
        <v>169100</v>
      </c>
      <c r="C701" s="189">
        <f>C1974</f>
        <v>151800</v>
      </c>
      <c r="D701" s="187">
        <f>D1974</f>
        <v>152100</v>
      </c>
      <c r="E701" s="1954">
        <v>22291</v>
      </c>
      <c r="F701" s="132" t="s">
        <v>4600</v>
      </c>
      <c r="G701" s="187">
        <f t="shared" ref="G701:L701" si="1128">G1974</f>
        <v>146500</v>
      </c>
      <c r="H701" s="138">
        <f t="shared" si="1120"/>
        <v>-3.6817882971729126</v>
      </c>
      <c r="I701" s="33">
        <f t="shared" si="1128"/>
        <v>137300</v>
      </c>
      <c r="J701" s="33">
        <f t="shared" si="1128"/>
        <v>138200</v>
      </c>
      <c r="K701" s="33">
        <f t="shared" si="1128"/>
        <v>139100</v>
      </c>
      <c r="L701" s="33">
        <f t="shared" si="1128"/>
        <v>140000</v>
      </c>
      <c r="M701" s="33">
        <f t="shared" ref="M701:R701" si="1129">M1974</f>
        <v>140900</v>
      </c>
      <c r="N701" s="33">
        <f t="shared" si="1129"/>
        <v>141800</v>
      </c>
      <c r="O701" s="33">
        <f t="shared" si="1129"/>
        <v>142700</v>
      </c>
      <c r="P701" s="33">
        <f t="shared" si="1129"/>
        <v>143600</v>
      </c>
      <c r="Q701" s="33">
        <f t="shared" si="1129"/>
        <v>144500</v>
      </c>
      <c r="R701" s="114">
        <f t="shared" si="1129"/>
        <v>145500</v>
      </c>
    </row>
    <row r="702" spans="1:18" x14ac:dyDescent="0.2">
      <c r="A702" s="107">
        <f>ROUND(A1976,-2)</f>
        <v>25200</v>
      </c>
      <c r="B702" s="33">
        <f>B1976</f>
        <v>44300</v>
      </c>
      <c r="C702" s="189">
        <f>C1976</f>
        <v>49100</v>
      </c>
      <c r="D702" s="187">
        <f>D1976</f>
        <v>47600</v>
      </c>
      <c r="E702" s="1954">
        <v>22292</v>
      </c>
      <c r="F702" s="366" t="s">
        <v>609</v>
      </c>
      <c r="G702" s="187">
        <f t="shared" ref="G702:L702" si="1130">G1976</f>
        <v>43000</v>
      </c>
      <c r="H702" s="138">
        <f t="shared" si="1120"/>
        <v>-9.6638655462184886</v>
      </c>
      <c r="I702" s="33">
        <f t="shared" si="1130"/>
        <v>50000</v>
      </c>
      <c r="J702" s="33">
        <f t="shared" si="1130"/>
        <v>28000</v>
      </c>
      <c r="K702" s="33">
        <f t="shared" si="1130"/>
        <v>42000</v>
      </c>
      <c r="L702" s="33">
        <f t="shared" si="1130"/>
        <v>58000</v>
      </c>
      <c r="M702" s="33">
        <f t="shared" ref="M702:R702" si="1131">M1976</f>
        <v>34000</v>
      </c>
      <c r="N702" s="33">
        <f t="shared" si="1131"/>
        <v>51000</v>
      </c>
      <c r="O702" s="33">
        <f t="shared" si="1131"/>
        <v>69000</v>
      </c>
      <c r="P702" s="33">
        <f t="shared" si="1131"/>
        <v>46000</v>
      </c>
      <c r="Q702" s="33">
        <f t="shared" si="1131"/>
        <v>65000</v>
      </c>
      <c r="R702" s="114">
        <f t="shared" si="1131"/>
        <v>65000</v>
      </c>
    </row>
    <row r="703" spans="1:18" x14ac:dyDescent="0.2">
      <c r="A703" s="107">
        <f>A1978</f>
        <v>177800</v>
      </c>
      <c r="B703" s="33">
        <f t="shared" ref="B703" si="1132">B1978</f>
        <v>0</v>
      </c>
      <c r="C703" s="189">
        <f>C1978</f>
        <v>0</v>
      </c>
      <c r="D703" s="187">
        <f>D1978</f>
        <v>0</v>
      </c>
      <c r="E703" s="1954">
        <v>22292</v>
      </c>
      <c r="F703" s="33" t="s">
        <v>804</v>
      </c>
      <c r="G703" s="187">
        <f t="shared" ref="G703:O703" si="1133">G1978</f>
        <v>0</v>
      </c>
      <c r="H703" s="138">
        <f t="shared" si="1120"/>
        <v>0</v>
      </c>
      <c r="I703" s="33">
        <f t="shared" si="1133"/>
        <v>0</v>
      </c>
      <c r="J703" s="33">
        <f t="shared" si="1133"/>
        <v>0</v>
      </c>
      <c r="K703" s="33">
        <f t="shared" si="1133"/>
        <v>0</v>
      </c>
      <c r="L703" s="33">
        <f t="shared" si="1133"/>
        <v>0</v>
      </c>
      <c r="M703" s="33">
        <f t="shared" si="1133"/>
        <v>0</v>
      </c>
      <c r="N703" s="33">
        <f t="shared" si="1133"/>
        <v>0</v>
      </c>
      <c r="O703" s="33">
        <f t="shared" si="1133"/>
        <v>0</v>
      </c>
      <c r="P703" s="33">
        <f t="shared" ref="P703:Q703" si="1134">P1978</f>
        <v>0</v>
      </c>
      <c r="Q703" s="33">
        <f t="shared" si="1134"/>
        <v>0</v>
      </c>
      <c r="R703" s="114">
        <f t="shared" ref="R703" si="1135">R1978</f>
        <v>0</v>
      </c>
    </row>
    <row r="704" spans="1:18" ht="13.5" thickBot="1" x14ac:dyDescent="0.25">
      <c r="A704" s="107"/>
      <c r="B704" s="33"/>
      <c r="C704" s="142"/>
      <c r="D704" s="33"/>
      <c r="E704" s="1954"/>
      <c r="F704" s="240"/>
      <c r="G704" s="33"/>
      <c r="H704" s="138"/>
      <c r="I704" s="33"/>
      <c r="J704" s="33"/>
      <c r="K704" s="33"/>
      <c r="L704" s="33"/>
      <c r="M704" s="33"/>
      <c r="N704" s="33"/>
      <c r="O704" s="33"/>
      <c r="P704" s="33"/>
      <c r="Q704" s="33"/>
      <c r="R704" s="114"/>
    </row>
    <row r="705" spans="1:18" s="92" customFormat="1" x14ac:dyDescent="0.2">
      <c r="A705" s="105">
        <f>SUM(A696:A704)</f>
        <v>6579200</v>
      </c>
      <c r="B705" s="53">
        <f>SUM(B696:B704)</f>
        <v>6736500</v>
      </c>
      <c r="C705" s="53">
        <f>SUM(C696:C704)</f>
        <v>5865100</v>
      </c>
      <c r="D705" s="53">
        <f>SUM(D696:D704)</f>
        <v>6079500</v>
      </c>
      <c r="E705" s="236"/>
      <c r="F705" s="236"/>
      <c r="G705" s="53">
        <f t="shared" ref="G705:O705" si="1136">SUM(G696:G704)</f>
        <v>6294500</v>
      </c>
      <c r="H705" s="180">
        <f>IF(D705=G705,0,IF(D705=0,100,(G705-D705)/D705*100))</f>
        <v>3.5364750390657127</v>
      </c>
      <c r="I705" s="53">
        <f t="shared" si="1136"/>
        <v>6417900</v>
      </c>
      <c r="J705" s="53">
        <f t="shared" si="1136"/>
        <v>6557400</v>
      </c>
      <c r="K705" s="53">
        <f t="shared" si="1136"/>
        <v>6737000</v>
      </c>
      <c r="L705" s="53">
        <f t="shared" si="1136"/>
        <v>6922700</v>
      </c>
      <c r="M705" s="53">
        <f t="shared" si="1136"/>
        <v>7072800</v>
      </c>
      <c r="N705" s="53">
        <f t="shared" si="1136"/>
        <v>7268200</v>
      </c>
      <c r="O705" s="53">
        <f t="shared" si="1136"/>
        <v>7469100</v>
      </c>
      <c r="P705" s="53">
        <f t="shared" ref="P705:Q705" si="1137">SUM(P696:P704)</f>
        <v>7633600</v>
      </c>
      <c r="Q705" s="53">
        <f t="shared" si="1137"/>
        <v>7844800</v>
      </c>
      <c r="R705" s="113">
        <f t="shared" ref="R705" si="1138">SUM(R696:R704)</f>
        <v>8041900</v>
      </c>
    </row>
    <row r="706" spans="1:18" x14ac:dyDescent="0.2">
      <c r="A706" s="98"/>
      <c r="B706" s="33"/>
      <c r="C706" s="33"/>
      <c r="D706" s="33"/>
      <c r="E706" s="1954"/>
      <c r="F706" s="1954"/>
      <c r="G706" s="33"/>
      <c r="H706" s="138"/>
      <c r="I706" s="33"/>
      <c r="J706" s="33"/>
      <c r="K706" s="33"/>
      <c r="L706" s="33"/>
      <c r="M706" s="33"/>
      <c r="N706" s="33"/>
      <c r="O706" s="33"/>
      <c r="P706" s="33"/>
      <c r="Q706" s="33"/>
      <c r="R706" s="114"/>
    </row>
    <row r="707" spans="1:18" x14ac:dyDescent="0.2">
      <c r="A707" s="98"/>
      <c r="B707" s="33"/>
      <c r="C707" s="33"/>
      <c r="D707" s="33"/>
      <c r="E707" s="1954"/>
      <c r="F707" s="103" t="s">
        <v>2205</v>
      </c>
      <c r="G707" s="33"/>
      <c r="H707" s="138"/>
      <c r="I707" s="33"/>
      <c r="J707" s="33"/>
      <c r="K707" s="33"/>
      <c r="L707" s="33"/>
      <c r="M707" s="33"/>
      <c r="N707" s="33"/>
      <c r="O707" s="33"/>
      <c r="P707" s="33"/>
      <c r="Q707" s="33"/>
      <c r="R707" s="114"/>
    </row>
    <row r="708" spans="1:18" x14ac:dyDescent="0.2">
      <c r="A708" s="107"/>
      <c r="B708" s="33"/>
      <c r="C708" s="33"/>
      <c r="D708" s="33"/>
      <c r="E708" s="240"/>
      <c r="F708" s="1954"/>
      <c r="G708" s="33"/>
      <c r="H708" s="138"/>
      <c r="I708" s="33"/>
      <c r="J708" s="33"/>
      <c r="K708" s="33"/>
      <c r="L708" s="33"/>
      <c r="M708" s="33"/>
      <c r="N708" s="33"/>
      <c r="O708" s="33"/>
      <c r="P708" s="33"/>
      <c r="Q708" s="33"/>
      <c r="R708" s="114"/>
    </row>
    <row r="709" spans="1:18" x14ac:dyDescent="0.2">
      <c r="A709" s="107"/>
      <c r="B709" s="33"/>
      <c r="C709" s="33"/>
      <c r="D709" s="33"/>
      <c r="E709" s="1955"/>
      <c r="F709" s="359" t="s">
        <v>473</v>
      </c>
      <c r="G709" s="33"/>
      <c r="H709" s="138"/>
      <c r="I709" s="33"/>
      <c r="J709" s="33"/>
      <c r="K709" s="33"/>
      <c r="L709" s="33"/>
      <c r="M709" s="33"/>
      <c r="N709" s="33"/>
      <c r="O709" s="33"/>
      <c r="P709" s="33"/>
      <c r="Q709" s="33"/>
      <c r="R709" s="114"/>
    </row>
    <row r="710" spans="1:18" x14ac:dyDescent="0.2">
      <c r="A710" s="107">
        <f>ROUND(SUM(A1982:A1989),-2)</f>
        <v>142500</v>
      </c>
      <c r="B710" s="33">
        <f>SUM(B1982:B1989)</f>
        <v>188500</v>
      </c>
      <c r="C710" s="189">
        <f>SUM(C1982:C1989)</f>
        <v>181500</v>
      </c>
      <c r="D710" s="187">
        <f>SUM(D1982:D1989)</f>
        <v>204900</v>
      </c>
      <c r="E710" s="1955">
        <v>32360</v>
      </c>
      <c r="F710" s="1111" t="s">
        <v>1341</v>
      </c>
      <c r="G710" s="187">
        <f t="shared" ref="G710:O710" si="1139">SUM(G1982:G1989)</f>
        <v>180000</v>
      </c>
      <c r="H710" s="138">
        <f>IF(D710=G710,0,IF(D710=0,100,(G710-D710)/D710*100))</f>
        <v>-12.152269399707174</v>
      </c>
      <c r="I710" s="33">
        <f t="shared" si="1139"/>
        <v>212000</v>
      </c>
      <c r="J710" s="33">
        <f t="shared" si="1139"/>
        <v>216000</v>
      </c>
      <c r="K710" s="33">
        <f t="shared" si="1139"/>
        <v>220000</v>
      </c>
      <c r="L710" s="33">
        <f t="shared" si="1139"/>
        <v>225000</v>
      </c>
      <c r="M710" s="33">
        <f t="shared" si="1139"/>
        <v>229000</v>
      </c>
      <c r="N710" s="33">
        <f t="shared" si="1139"/>
        <v>233000</v>
      </c>
      <c r="O710" s="33">
        <f t="shared" si="1139"/>
        <v>237000</v>
      </c>
      <c r="P710" s="33">
        <f t="shared" ref="P710:Q710" si="1140">SUM(P1982:P1989)</f>
        <v>241000</v>
      </c>
      <c r="Q710" s="33">
        <f t="shared" si="1140"/>
        <v>245000</v>
      </c>
      <c r="R710" s="114">
        <f t="shared" ref="R710" si="1141">SUM(R1982:R1989)</f>
        <v>249000</v>
      </c>
    </row>
    <row r="711" spans="1:18" x14ac:dyDescent="0.2">
      <c r="A711" s="107">
        <f>ROUND(SUM(A1990:A1990),-2)</f>
        <v>43300</v>
      </c>
      <c r="B711" s="33">
        <f>SUM(B1990:B1990)</f>
        <v>39700</v>
      </c>
      <c r="C711" s="189">
        <f>SUM(C1990:C1990)</f>
        <v>45400</v>
      </c>
      <c r="D711" s="187">
        <f>SUM(D1990:D1990)</f>
        <v>38100</v>
      </c>
      <c r="E711" s="1955">
        <v>32360</v>
      </c>
      <c r="F711" s="1111" t="s">
        <v>3315</v>
      </c>
      <c r="G711" s="187">
        <f t="shared" ref="G711:O711" si="1142">SUM(G1990:G1990)</f>
        <v>38000</v>
      </c>
      <c r="H711" s="138">
        <f>IF(D711=G711,0,IF(D711=0,100,(G711-D711)/D711*100))</f>
        <v>-0.26246719160104987</v>
      </c>
      <c r="I711" s="33">
        <f t="shared" si="1142"/>
        <v>39000</v>
      </c>
      <c r="J711" s="33">
        <f t="shared" si="1142"/>
        <v>40000</v>
      </c>
      <c r="K711" s="33">
        <f t="shared" si="1142"/>
        <v>41000</v>
      </c>
      <c r="L711" s="33">
        <f t="shared" si="1142"/>
        <v>42000</v>
      </c>
      <c r="M711" s="33">
        <f t="shared" si="1142"/>
        <v>43000</v>
      </c>
      <c r="N711" s="33">
        <f t="shared" si="1142"/>
        <v>44000</v>
      </c>
      <c r="O711" s="33">
        <f t="shared" si="1142"/>
        <v>45000</v>
      </c>
      <c r="P711" s="33">
        <f t="shared" ref="P711:Q711" si="1143">SUM(P1990:P1990)</f>
        <v>46000</v>
      </c>
      <c r="Q711" s="33">
        <f t="shared" si="1143"/>
        <v>47000</v>
      </c>
      <c r="R711" s="114">
        <f t="shared" ref="R711" si="1144">SUM(R1990:R1990)</f>
        <v>48000</v>
      </c>
    </row>
    <row r="712" spans="1:18" x14ac:dyDescent="0.2">
      <c r="A712" s="107">
        <f>ROUND(SUM(A1992),-2)</f>
        <v>387000</v>
      </c>
      <c r="B712" s="33">
        <f>SUM(B1992)</f>
        <v>406000</v>
      </c>
      <c r="C712" s="189">
        <f>SUM(C1992)</f>
        <v>619000</v>
      </c>
      <c r="D712" s="187">
        <f>SUM(D1992)</f>
        <v>630000</v>
      </c>
      <c r="E712" s="1954">
        <v>32360</v>
      </c>
      <c r="F712" s="366" t="s">
        <v>1663</v>
      </c>
      <c r="G712" s="187">
        <f t="shared" ref="G712:O712" si="1145">SUM(G1992)</f>
        <v>637000</v>
      </c>
      <c r="H712" s="138">
        <f>IF(D712=G712,0,IF(D712=0,100,(G712-D712)/D712*100))</f>
        <v>1.1111111111111112</v>
      </c>
      <c r="I712" s="33">
        <f t="shared" si="1145"/>
        <v>677000</v>
      </c>
      <c r="J712" s="33">
        <f t="shared" si="1145"/>
        <v>694000</v>
      </c>
      <c r="K712" s="33">
        <f t="shared" si="1145"/>
        <v>711000</v>
      </c>
      <c r="L712" s="33">
        <f t="shared" si="1145"/>
        <v>729000</v>
      </c>
      <c r="M712" s="33">
        <f t="shared" si="1145"/>
        <v>744000</v>
      </c>
      <c r="N712" s="33">
        <f t="shared" si="1145"/>
        <v>759000</v>
      </c>
      <c r="O712" s="33">
        <f t="shared" si="1145"/>
        <v>774000</v>
      </c>
      <c r="P712" s="33">
        <f t="shared" ref="P712:Q712" si="1146">SUM(P1992)</f>
        <v>789000</v>
      </c>
      <c r="Q712" s="33">
        <f t="shared" si="1146"/>
        <v>805000</v>
      </c>
      <c r="R712" s="114">
        <f t="shared" ref="R712" si="1147">SUM(R1992)</f>
        <v>821000</v>
      </c>
    </row>
    <row r="713" spans="1:18" x14ac:dyDescent="0.2">
      <c r="A713" s="107">
        <f>SUM(A1993:A1994)</f>
        <v>-521200</v>
      </c>
      <c r="B713" s="33">
        <f>SUM(B1993:B1994)</f>
        <v>-563500</v>
      </c>
      <c r="C713" s="189">
        <f>SUM(C1993:C1994)</f>
        <v>-530500</v>
      </c>
      <c r="D713" s="187">
        <f>SUM(D1993:D1994)</f>
        <v>-618900</v>
      </c>
      <c r="E713" s="1954">
        <v>22292</v>
      </c>
      <c r="F713" s="132" t="s">
        <v>4540</v>
      </c>
      <c r="G713" s="187">
        <f t="shared" ref="G713:P713" si="1148">SUM(G1993:G1994)</f>
        <v>-621000</v>
      </c>
      <c r="H713" s="138">
        <f>IF(D713=G713,0,IF(D713=0,100,(G713-D713)/D713*100))</f>
        <v>0.33931168201648088</v>
      </c>
      <c r="I713" s="33">
        <f t="shared" si="1148"/>
        <v>-630000</v>
      </c>
      <c r="J713" s="33">
        <f t="shared" si="1148"/>
        <v>-646000</v>
      </c>
      <c r="K713" s="33">
        <f t="shared" si="1148"/>
        <v>-662000</v>
      </c>
      <c r="L713" s="33">
        <f t="shared" si="1148"/>
        <v>-679000</v>
      </c>
      <c r="M713" s="33">
        <f t="shared" si="1148"/>
        <v>-693000</v>
      </c>
      <c r="N713" s="33">
        <f t="shared" si="1148"/>
        <v>-707000</v>
      </c>
      <c r="O713" s="33">
        <f t="shared" si="1148"/>
        <v>-721000</v>
      </c>
      <c r="P713" s="33">
        <f t="shared" si="1148"/>
        <v>-735000</v>
      </c>
      <c r="Q713" s="33">
        <f t="shared" ref="Q713" si="1149">SUM(Q1993:Q1994)</f>
        <v>-750000</v>
      </c>
      <c r="R713" s="114">
        <f t="shared" ref="R713" si="1150">SUM(R1993:R1994)</f>
        <v>-765000</v>
      </c>
    </row>
    <row r="714" spans="1:18" x14ac:dyDescent="0.2">
      <c r="A714" s="107">
        <f>ROUND(SUM(A1995:A1997),-2)</f>
        <v>2600</v>
      </c>
      <c r="B714" s="33">
        <f>SUM(B1995:B1997)</f>
        <v>5100</v>
      </c>
      <c r="C714" s="189">
        <f>SUM(C1995:C1997)</f>
        <v>10300</v>
      </c>
      <c r="D714" s="187">
        <f>SUM(D1995:D1997)</f>
        <v>2900</v>
      </c>
      <c r="E714" s="1955">
        <v>32361</v>
      </c>
      <c r="F714" s="1111" t="s">
        <v>4834</v>
      </c>
      <c r="G714" s="187">
        <f t="shared" ref="G714:P714" si="1151">SUM(G1995:G1997)</f>
        <v>3000</v>
      </c>
      <c r="H714" s="138">
        <f>IF(D714=G714,0,IF(D714=0,100,(G714-D714)/D714*100))</f>
        <v>3.4482758620689653</v>
      </c>
      <c r="I714" s="33">
        <f t="shared" si="1151"/>
        <v>3000</v>
      </c>
      <c r="J714" s="33">
        <f t="shared" si="1151"/>
        <v>3000</v>
      </c>
      <c r="K714" s="33">
        <f t="shared" si="1151"/>
        <v>3000</v>
      </c>
      <c r="L714" s="33">
        <f t="shared" si="1151"/>
        <v>3000</v>
      </c>
      <c r="M714" s="33">
        <f t="shared" si="1151"/>
        <v>3000</v>
      </c>
      <c r="N714" s="33">
        <f t="shared" si="1151"/>
        <v>3000</v>
      </c>
      <c r="O714" s="33">
        <f t="shared" si="1151"/>
        <v>3000</v>
      </c>
      <c r="P714" s="33">
        <f t="shared" si="1151"/>
        <v>3000</v>
      </c>
      <c r="Q714" s="33">
        <f t="shared" ref="Q714" si="1152">SUM(Q1995:Q1997)</f>
        <v>3000</v>
      </c>
      <c r="R714" s="114">
        <f t="shared" ref="R714" si="1153">SUM(R1995:R1997)</f>
        <v>3000</v>
      </c>
    </row>
    <row r="715" spans="1:18" x14ac:dyDescent="0.2">
      <c r="A715" s="107"/>
      <c r="B715" s="33"/>
      <c r="D715" s="187"/>
      <c r="E715" s="1955"/>
      <c r="F715" s="601"/>
      <c r="G715" s="187"/>
      <c r="H715" s="138"/>
      <c r="I715" s="33"/>
      <c r="J715" s="33"/>
      <c r="K715" s="33"/>
      <c r="L715" s="33"/>
      <c r="M715" s="33"/>
      <c r="N715" s="33"/>
      <c r="O715" s="33"/>
      <c r="P715" s="33"/>
      <c r="Q715" s="33"/>
      <c r="R715" s="114"/>
    </row>
    <row r="716" spans="1:18" x14ac:dyDescent="0.2">
      <c r="A716" s="107"/>
      <c r="B716" s="33"/>
      <c r="D716" s="187"/>
      <c r="E716" s="1955"/>
      <c r="F716" s="602" t="s">
        <v>1130</v>
      </c>
      <c r="G716" s="187"/>
      <c r="H716" s="138"/>
      <c r="I716" s="33"/>
      <c r="J716" s="33"/>
      <c r="K716" s="33"/>
      <c r="L716" s="33"/>
      <c r="M716" s="33"/>
      <c r="N716" s="33"/>
      <c r="O716" s="33"/>
      <c r="P716" s="33"/>
      <c r="Q716" s="33"/>
      <c r="R716" s="114"/>
    </row>
    <row r="717" spans="1:18" x14ac:dyDescent="0.2">
      <c r="A717" s="107">
        <f>ROUND(SUM(A1998:A1999),-2)</f>
        <v>36500</v>
      </c>
      <c r="B717" s="33">
        <f>ROUND(SUM(B1998:B1999),-2)</f>
        <v>27800</v>
      </c>
      <c r="C717" s="189">
        <f>SUM(C1998:C1999)</f>
        <v>18200</v>
      </c>
      <c r="D717" s="187">
        <f>SUM(D1998:D1999)</f>
        <v>8000</v>
      </c>
      <c r="E717" s="1955">
        <v>32361</v>
      </c>
      <c r="F717" s="601" t="s">
        <v>1366</v>
      </c>
      <c r="G717" s="187">
        <f t="shared" ref="G717:P717" si="1154">SUM(G1998:G1999)</f>
        <v>0</v>
      </c>
      <c r="H717" s="138">
        <f>IF(D717=G717,0,IF(D717=0,100,(G717-D717)/D717*100))</f>
        <v>-100</v>
      </c>
      <c r="I717" s="33">
        <f t="shared" si="1154"/>
        <v>0</v>
      </c>
      <c r="J717" s="33">
        <f t="shared" si="1154"/>
        <v>0</v>
      </c>
      <c r="K717" s="33">
        <f t="shared" si="1154"/>
        <v>0</v>
      </c>
      <c r="L717" s="33">
        <f t="shared" si="1154"/>
        <v>0</v>
      </c>
      <c r="M717" s="33">
        <f t="shared" si="1154"/>
        <v>0</v>
      </c>
      <c r="N717" s="33">
        <f t="shared" si="1154"/>
        <v>0</v>
      </c>
      <c r="O717" s="33">
        <f t="shared" si="1154"/>
        <v>0</v>
      </c>
      <c r="P717" s="33">
        <f t="shared" si="1154"/>
        <v>0</v>
      </c>
      <c r="Q717" s="33">
        <f t="shared" ref="Q717" si="1155">SUM(Q1998:Q1999)</f>
        <v>0</v>
      </c>
      <c r="R717" s="114">
        <f t="shared" ref="R717" si="1156">SUM(R1998:R1999)</f>
        <v>0</v>
      </c>
    </row>
    <row r="718" spans="1:18" x14ac:dyDescent="0.2">
      <c r="A718" s="107"/>
      <c r="B718" s="33"/>
      <c r="C718" s="142"/>
      <c r="D718" s="33"/>
      <c r="E718" s="1955"/>
      <c r="F718" s="601"/>
      <c r="G718" s="33"/>
      <c r="H718" s="138"/>
      <c r="I718" s="33"/>
      <c r="J718" s="33"/>
      <c r="K718" s="33"/>
      <c r="L718" s="33"/>
      <c r="M718" s="33"/>
      <c r="N718" s="33"/>
      <c r="O718" s="33"/>
      <c r="P718" s="33"/>
      <c r="Q718" s="33"/>
      <c r="R718" s="114"/>
    </row>
    <row r="719" spans="1:18" x14ac:dyDescent="0.2">
      <c r="A719" s="107"/>
      <c r="B719" s="33"/>
      <c r="C719" s="142"/>
      <c r="D719" s="33"/>
      <c r="E719" s="1955"/>
      <c r="F719" s="602" t="s">
        <v>48</v>
      </c>
      <c r="G719" s="33"/>
      <c r="H719" s="138"/>
      <c r="I719" s="33"/>
      <c r="J719" s="33"/>
      <c r="K719" s="33"/>
      <c r="L719" s="33"/>
      <c r="M719" s="33"/>
      <c r="N719" s="33"/>
      <c r="O719" s="33"/>
      <c r="P719" s="33"/>
      <c r="Q719" s="33"/>
      <c r="R719" s="114"/>
    </row>
    <row r="720" spans="1:18" x14ac:dyDescent="0.2">
      <c r="A720" s="107">
        <f>ROUND(SUM(A2001:A2001),-2)</f>
        <v>15200</v>
      </c>
      <c r="B720" s="33">
        <f>SUM(B2001:B2001)</f>
        <v>0</v>
      </c>
      <c r="C720" s="189">
        <f>SUM(C2001:C2001)</f>
        <v>0</v>
      </c>
      <c r="D720" s="187">
        <f>SUM(D2001:D2001)</f>
        <v>0</v>
      </c>
      <c r="E720" s="1955">
        <v>32364</v>
      </c>
      <c r="F720" s="1111" t="s">
        <v>7003</v>
      </c>
      <c r="G720" s="187">
        <f t="shared" ref="G720:O720" si="1157">SUM(G2001:G2001)</f>
        <v>0</v>
      </c>
      <c r="H720" s="138">
        <f t="shared" ref="H720:H727" si="1158">IF(D720=G720,0,IF(D720=0,100,(G720-D720)/D720*100))</f>
        <v>0</v>
      </c>
      <c r="I720" s="33">
        <f t="shared" si="1157"/>
        <v>0</v>
      </c>
      <c r="J720" s="33">
        <f t="shared" si="1157"/>
        <v>0</v>
      </c>
      <c r="K720" s="33">
        <f t="shared" si="1157"/>
        <v>0</v>
      </c>
      <c r="L720" s="33">
        <f t="shared" si="1157"/>
        <v>0</v>
      </c>
      <c r="M720" s="33">
        <f t="shared" si="1157"/>
        <v>0</v>
      </c>
      <c r="N720" s="33">
        <f t="shared" si="1157"/>
        <v>0</v>
      </c>
      <c r="O720" s="33">
        <f t="shared" si="1157"/>
        <v>0</v>
      </c>
      <c r="P720" s="33">
        <f t="shared" ref="P720:Q720" si="1159">SUM(P2001:P2001)</f>
        <v>0</v>
      </c>
      <c r="Q720" s="33">
        <f t="shared" si="1159"/>
        <v>0</v>
      </c>
      <c r="R720" s="114">
        <f t="shared" ref="R720" si="1160">SUM(R2001:R2001)</f>
        <v>0</v>
      </c>
    </row>
    <row r="721" spans="1:18" x14ac:dyDescent="0.2">
      <c r="A721" s="107">
        <f>ROUND(SUM(A2002:A2003),-2)</f>
        <v>496700</v>
      </c>
      <c r="B721" s="33">
        <f>SUM(B2002:B2003)</f>
        <v>519700</v>
      </c>
      <c r="C721" s="189">
        <f>SUM(C2002:C2003)</f>
        <v>451100</v>
      </c>
      <c r="D721" s="187">
        <f>SUM(D2002:D2003)</f>
        <v>514700</v>
      </c>
      <c r="E721" s="1955">
        <v>32364</v>
      </c>
      <c r="F721" s="1111" t="s">
        <v>3088</v>
      </c>
      <c r="G721" s="187">
        <f t="shared" ref="G721:O721" si="1161">SUM(G2002:G2003)</f>
        <v>534000</v>
      </c>
      <c r="H721" s="138">
        <f t="shared" si="1158"/>
        <v>3.7497571400816012</v>
      </c>
      <c r="I721" s="33">
        <f t="shared" si="1161"/>
        <v>542000</v>
      </c>
      <c r="J721" s="33">
        <f t="shared" si="1161"/>
        <v>555000</v>
      </c>
      <c r="K721" s="33">
        <f t="shared" si="1161"/>
        <v>569000</v>
      </c>
      <c r="L721" s="33">
        <f t="shared" si="1161"/>
        <v>583000</v>
      </c>
      <c r="M721" s="33">
        <f t="shared" si="1161"/>
        <v>594000</v>
      </c>
      <c r="N721" s="33">
        <f t="shared" si="1161"/>
        <v>606000</v>
      </c>
      <c r="O721" s="33">
        <f t="shared" si="1161"/>
        <v>618000</v>
      </c>
      <c r="P721" s="33">
        <f t="shared" ref="P721:Q721" si="1162">SUM(P2002:P2003)</f>
        <v>631000</v>
      </c>
      <c r="Q721" s="33">
        <f t="shared" si="1162"/>
        <v>644000</v>
      </c>
      <c r="R721" s="114">
        <f t="shared" ref="R721" si="1163">SUM(R2002:R2003)</f>
        <v>657000</v>
      </c>
    </row>
    <row r="722" spans="1:18" x14ac:dyDescent="0.2">
      <c r="A722" s="107">
        <f>ROUND(SUM(A2004:A2005),-2)</f>
        <v>771000</v>
      </c>
      <c r="B722" s="33">
        <f>SUM(B2004:B2005)</f>
        <v>775700</v>
      </c>
      <c r="C722" s="189">
        <f>SUM(C2004:C2005)</f>
        <v>1146300</v>
      </c>
      <c r="D722" s="187">
        <f>SUM(D2004:D2005)</f>
        <v>1244400</v>
      </c>
      <c r="E722" s="1955">
        <v>32364</v>
      </c>
      <c r="F722" s="1111" t="s">
        <v>3798</v>
      </c>
      <c r="G722" s="187">
        <f>SUM(G2004:G2005)</f>
        <v>1158000</v>
      </c>
      <c r="H722" s="138">
        <f t="shared" si="1158"/>
        <v>-6.9431051108968171</v>
      </c>
      <c r="I722" s="33">
        <f t="shared" ref="I722:O722" si="1164">SUM(I2004:I2005)</f>
        <v>1175000</v>
      </c>
      <c r="J722" s="33">
        <f t="shared" si="1164"/>
        <v>1204000</v>
      </c>
      <c r="K722" s="33">
        <f t="shared" si="1164"/>
        <v>1234000</v>
      </c>
      <c r="L722" s="33">
        <f t="shared" si="1164"/>
        <v>1265000</v>
      </c>
      <c r="M722" s="33">
        <f t="shared" si="1164"/>
        <v>1290000</v>
      </c>
      <c r="N722" s="33">
        <f t="shared" si="1164"/>
        <v>1316000</v>
      </c>
      <c r="O722" s="33">
        <f t="shared" si="1164"/>
        <v>1342000</v>
      </c>
      <c r="P722" s="33">
        <f t="shared" ref="P722:Q722" si="1165">SUM(P2004:P2005)</f>
        <v>1369000</v>
      </c>
      <c r="Q722" s="33">
        <f t="shared" si="1165"/>
        <v>1396000</v>
      </c>
      <c r="R722" s="114">
        <f t="shared" ref="R722" si="1166">SUM(R2004:R2005)</f>
        <v>1424000</v>
      </c>
    </row>
    <row r="723" spans="1:18" x14ac:dyDescent="0.2">
      <c r="A723" s="107">
        <f>ROUND(SUM(A2006:A2006),-2)</f>
        <v>3023700</v>
      </c>
      <c r="B723" s="33">
        <f>SUM(B2006:B2006)</f>
        <v>2919400</v>
      </c>
      <c r="C723" s="189">
        <f>SUM(C2006:C2006)</f>
        <v>1992400</v>
      </c>
      <c r="D723" s="187">
        <f>SUM(D2006:D2006)</f>
        <v>1832300</v>
      </c>
      <c r="E723" s="1955">
        <v>32364</v>
      </c>
      <c r="F723" s="1111" t="s">
        <v>3086</v>
      </c>
      <c r="G723" s="187">
        <f t="shared" ref="G723:O723" si="1167">SUM(G2006:G2006)</f>
        <v>1852000</v>
      </c>
      <c r="H723" s="138">
        <f t="shared" si="1158"/>
        <v>1.0751514489985263</v>
      </c>
      <c r="I723" s="33">
        <f t="shared" si="1167"/>
        <v>1889000</v>
      </c>
      <c r="J723" s="33">
        <f t="shared" si="1167"/>
        <v>1936000</v>
      </c>
      <c r="K723" s="33">
        <f t="shared" si="1167"/>
        <v>1984000</v>
      </c>
      <c r="L723" s="33">
        <f t="shared" si="1167"/>
        <v>2034000</v>
      </c>
      <c r="M723" s="33">
        <f t="shared" si="1167"/>
        <v>2085000</v>
      </c>
      <c r="N723" s="33">
        <f t="shared" si="1167"/>
        <v>2137000</v>
      </c>
      <c r="O723" s="33">
        <f t="shared" si="1167"/>
        <v>2190000</v>
      </c>
      <c r="P723" s="33">
        <f t="shared" ref="P723:Q723" si="1168">SUM(P2006:P2006)</f>
        <v>2245000</v>
      </c>
      <c r="Q723" s="33">
        <f t="shared" si="1168"/>
        <v>2301000</v>
      </c>
      <c r="R723" s="114">
        <f t="shared" ref="R723" si="1169">SUM(R2006:R2006)</f>
        <v>2359000</v>
      </c>
    </row>
    <row r="724" spans="1:18" x14ac:dyDescent="0.2">
      <c r="A724" s="107">
        <f>ROUND(SUM(A2008:A2009),-2)</f>
        <v>350100</v>
      </c>
      <c r="B724" s="33">
        <f>SUM(B2008:B2009)</f>
        <v>341000</v>
      </c>
      <c r="C724" s="189">
        <f>SUM(C2008:C2009)</f>
        <v>334500</v>
      </c>
      <c r="D724" s="187">
        <f>SUM(D2008:D2009)</f>
        <v>497700</v>
      </c>
      <c r="E724" s="1955">
        <v>32364</v>
      </c>
      <c r="F724" s="1111" t="s">
        <v>3087</v>
      </c>
      <c r="G724" s="187">
        <f t="shared" ref="G724:O724" si="1170">SUM(G2008:G2009)</f>
        <v>465000</v>
      </c>
      <c r="H724" s="138">
        <f t="shared" si="1158"/>
        <v>-6.570223025919228</v>
      </c>
      <c r="I724" s="33">
        <f t="shared" si="1170"/>
        <v>472000</v>
      </c>
      <c r="J724" s="33">
        <f t="shared" si="1170"/>
        <v>484000</v>
      </c>
      <c r="K724" s="33">
        <f t="shared" si="1170"/>
        <v>496000</v>
      </c>
      <c r="L724" s="33">
        <f t="shared" si="1170"/>
        <v>508000</v>
      </c>
      <c r="M724" s="33">
        <f t="shared" si="1170"/>
        <v>518000</v>
      </c>
      <c r="N724" s="33">
        <f t="shared" si="1170"/>
        <v>528000</v>
      </c>
      <c r="O724" s="33">
        <f t="shared" si="1170"/>
        <v>539000</v>
      </c>
      <c r="P724" s="33">
        <f t="shared" ref="P724:Q724" si="1171">SUM(P2008:P2009)</f>
        <v>550000</v>
      </c>
      <c r="Q724" s="33">
        <f t="shared" si="1171"/>
        <v>561000</v>
      </c>
      <c r="R724" s="114">
        <f t="shared" ref="R724" si="1172">SUM(R2008:R2009)</f>
        <v>572000</v>
      </c>
    </row>
    <row r="725" spans="1:18" x14ac:dyDescent="0.2">
      <c r="A725" s="107">
        <f>ROUND(SUM(A2010:A2010),-2)</f>
        <v>841500</v>
      </c>
      <c r="B725" s="33">
        <f t="shared" ref="B725:D726" si="1173">SUM(B2010:B2010)</f>
        <v>892500</v>
      </c>
      <c r="C725" s="189">
        <f t="shared" si="1173"/>
        <v>982400</v>
      </c>
      <c r="D725" s="187">
        <f t="shared" si="1173"/>
        <v>960800</v>
      </c>
      <c r="E725" s="1955">
        <v>32364</v>
      </c>
      <c r="F725" s="1111" t="s">
        <v>4601</v>
      </c>
      <c r="G725" s="187">
        <f t="shared" ref="G725:O725" si="1174">SUM(G2010:G2010)</f>
        <v>983000</v>
      </c>
      <c r="H725" s="138">
        <f t="shared" si="1158"/>
        <v>2.3105745212323066</v>
      </c>
      <c r="I725" s="33">
        <f t="shared" si="1174"/>
        <v>1003000</v>
      </c>
      <c r="J725" s="33">
        <f t="shared" si="1174"/>
        <v>1028000</v>
      </c>
      <c r="K725" s="33">
        <f t="shared" si="1174"/>
        <v>1054000</v>
      </c>
      <c r="L725" s="33">
        <f t="shared" si="1174"/>
        <v>1080000</v>
      </c>
      <c r="M725" s="33">
        <f t="shared" si="1174"/>
        <v>1107000</v>
      </c>
      <c r="N725" s="33">
        <f t="shared" si="1174"/>
        <v>1135000</v>
      </c>
      <c r="O725" s="33">
        <f t="shared" si="1174"/>
        <v>1163000</v>
      </c>
      <c r="P725" s="33">
        <f t="shared" ref="P725:Q725" si="1175">SUM(P2010:P2010)</f>
        <v>1192000</v>
      </c>
      <c r="Q725" s="33">
        <f t="shared" si="1175"/>
        <v>1222000</v>
      </c>
      <c r="R725" s="114">
        <f t="shared" ref="R725" si="1176">SUM(R2010:R2010)</f>
        <v>1253000</v>
      </c>
    </row>
    <row r="726" spans="1:18" x14ac:dyDescent="0.2">
      <c r="A726" s="107">
        <f>ROUND(SUM(A2011:A2011),-2)</f>
        <v>18500</v>
      </c>
      <c r="B726" s="33">
        <f t="shared" si="1173"/>
        <v>37300</v>
      </c>
      <c r="C726" s="189">
        <f t="shared" si="1173"/>
        <v>47600</v>
      </c>
      <c r="D726" s="187">
        <f t="shared" si="1173"/>
        <v>48800</v>
      </c>
      <c r="E726" s="1955">
        <v>32364</v>
      </c>
      <c r="F726" s="1111" t="s">
        <v>7004</v>
      </c>
      <c r="G726" s="187">
        <f t="shared" ref="G726:O726" si="1177">SUM(G2011:G2011)</f>
        <v>42000</v>
      </c>
      <c r="H726" s="138">
        <f t="shared" si="1158"/>
        <v>-13.934426229508196</v>
      </c>
      <c r="I726" s="33">
        <f t="shared" si="1177"/>
        <v>43000</v>
      </c>
      <c r="J726" s="33">
        <f t="shared" si="1177"/>
        <v>44000</v>
      </c>
      <c r="K726" s="33">
        <f t="shared" si="1177"/>
        <v>45000</v>
      </c>
      <c r="L726" s="33">
        <f t="shared" si="1177"/>
        <v>46000</v>
      </c>
      <c r="M726" s="33">
        <f t="shared" si="1177"/>
        <v>47000</v>
      </c>
      <c r="N726" s="33">
        <f t="shared" si="1177"/>
        <v>48000</v>
      </c>
      <c r="O726" s="33">
        <f t="shared" si="1177"/>
        <v>49000</v>
      </c>
      <c r="P726" s="33">
        <f t="shared" ref="P726:Q726" si="1178">SUM(P2011:P2011)</f>
        <v>50000</v>
      </c>
      <c r="Q726" s="33">
        <f t="shared" si="1178"/>
        <v>51000</v>
      </c>
      <c r="R726" s="114">
        <f t="shared" ref="R726" si="1179">SUM(R2011:R2011)</f>
        <v>52000</v>
      </c>
    </row>
    <row r="727" spans="1:18" x14ac:dyDescent="0.2">
      <c r="A727" s="107">
        <f>ROUND(SUM(A2012:A2013),-2)+100</f>
        <v>304800</v>
      </c>
      <c r="B727" s="33">
        <f>SUM(B2012:B2013)</f>
        <v>314300</v>
      </c>
      <c r="C727" s="189">
        <f>SUM(C2012:C2013)</f>
        <v>389700</v>
      </c>
      <c r="D727" s="187">
        <f>SUM(D2012:D2013)</f>
        <v>375900</v>
      </c>
      <c r="E727" s="1955">
        <v>32364</v>
      </c>
      <c r="F727" s="1111" t="s">
        <v>3089</v>
      </c>
      <c r="G727" s="187">
        <f t="shared" ref="G727:O727" si="1180">SUM(G2012:G2013)</f>
        <v>395000</v>
      </c>
      <c r="H727" s="138">
        <f t="shared" si="1158"/>
        <v>5.0811386006916734</v>
      </c>
      <c r="I727" s="33">
        <f t="shared" si="1180"/>
        <v>401000</v>
      </c>
      <c r="J727" s="33">
        <f t="shared" si="1180"/>
        <v>411000</v>
      </c>
      <c r="K727" s="33">
        <f t="shared" si="1180"/>
        <v>421000</v>
      </c>
      <c r="L727" s="33">
        <f t="shared" si="1180"/>
        <v>432000</v>
      </c>
      <c r="M727" s="33">
        <f t="shared" si="1180"/>
        <v>441000</v>
      </c>
      <c r="N727" s="33">
        <f t="shared" si="1180"/>
        <v>450000</v>
      </c>
      <c r="O727" s="33">
        <f t="shared" si="1180"/>
        <v>459000</v>
      </c>
      <c r="P727" s="33">
        <f t="shared" ref="P727:Q727" si="1181">SUM(P2012:P2013)</f>
        <v>468000</v>
      </c>
      <c r="Q727" s="33">
        <f t="shared" si="1181"/>
        <v>477000</v>
      </c>
      <c r="R727" s="114">
        <f t="shared" ref="R727" si="1182">SUM(R2012:R2013)</f>
        <v>487000</v>
      </c>
    </row>
    <row r="728" spans="1:18" x14ac:dyDescent="0.2">
      <c r="A728" s="71"/>
      <c r="B728" s="33"/>
      <c r="C728" s="142"/>
      <c r="D728" s="33"/>
      <c r="E728" s="1955"/>
      <c r="F728" s="601"/>
      <c r="G728" s="33"/>
      <c r="H728" s="138"/>
      <c r="I728" s="33"/>
      <c r="J728" s="33"/>
      <c r="K728" s="33"/>
      <c r="L728" s="33"/>
      <c r="M728" s="33"/>
      <c r="N728" s="33"/>
      <c r="O728" s="33"/>
      <c r="P728" s="33"/>
      <c r="Q728" s="33"/>
      <c r="R728" s="114"/>
    </row>
    <row r="729" spans="1:18" x14ac:dyDescent="0.2">
      <c r="A729" s="107"/>
      <c r="B729" s="33"/>
      <c r="D729" s="187"/>
      <c r="E729" s="1955"/>
      <c r="F729" s="64" t="str">
        <f>F101</f>
        <v>Non-Cash Expenses</v>
      </c>
      <c r="G729" s="187"/>
      <c r="H729" s="138"/>
      <c r="I729" s="33"/>
      <c r="J729" s="33"/>
      <c r="K729" s="33"/>
      <c r="L729" s="33"/>
      <c r="M729" s="33"/>
      <c r="N729" s="33"/>
      <c r="O729" s="33"/>
      <c r="P729" s="33"/>
      <c r="Q729" s="33"/>
      <c r="R729" s="114"/>
    </row>
    <row r="730" spans="1:18" x14ac:dyDescent="0.2">
      <c r="A730" s="107">
        <f>ROUND(SUM(A2014:A2016),-2)</f>
        <v>250900</v>
      </c>
      <c r="B730" s="33">
        <f>SUM(B2014:B2016)</f>
        <v>179100</v>
      </c>
      <c r="C730" s="189">
        <f>SUM(C2014:C2016)</f>
        <v>177200</v>
      </c>
      <c r="D730" s="187">
        <f>SUM(D2014:D2016)</f>
        <v>177200</v>
      </c>
      <c r="E730" s="240">
        <v>32360</v>
      </c>
      <c r="F730" s="601" t="s">
        <v>2070</v>
      </c>
      <c r="G730" s="187">
        <f t="shared" ref="G730:L730" si="1183">SUM(G2014:G2016)</f>
        <v>177000</v>
      </c>
      <c r="H730" s="138">
        <f>IF(D730=G730,0,IF(D730=0,100,(G730-D730)/D730*100))</f>
        <v>-0.11286681715575619</v>
      </c>
      <c r="I730" s="33">
        <f t="shared" si="1183"/>
        <v>180600</v>
      </c>
      <c r="J730" s="33">
        <f t="shared" si="1183"/>
        <v>184300</v>
      </c>
      <c r="K730" s="33">
        <f t="shared" si="1183"/>
        <v>188000</v>
      </c>
      <c r="L730" s="33">
        <f t="shared" si="1183"/>
        <v>191800</v>
      </c>
      <c r="M730" s="33">
        <f t="shared" ref="M730:R730" si="1184">SUM(M2014:M2016)</f>
        <v>195700</v>
      </c>
      <c r="N730" s="33">
        <f t="shared" si="1184"/>
        <v>199700</v>
      </c>
      <c r="O730" s="33">
        <f t="shared" si="1184"/>
        <v>203700</v>
      </c>
      <c r="P730" s="33">
        <f t="shared" si="1184"/>
        <v>207800</v>
      </c>
      <c r="Q730" s="33">
        <f t="shared" si="1184"/>
        <v>212000</v>
      </c>
      <c r="R730" s="114">
        <f t="shared" si="1184"/>
        <v>216300</v>
      </c>
    </row>
    <row r="731" spans="1:18" ht="13.5" thickBot="1" x14ac:dyDescent="0.25">
      <c r="A731" s="107"/>
      <c r="B731" s="33"/>
      <c r="C731" s="33"/>
      <c r="D731" s="33"/>
      <c r="E731" s="1955"/>
      <c r="F731" s="238"/>
      <c r="G731" s="33"/>
      <c r="H731" s="138"/>
      <c r="I731" s="33"/>
      <c r="J731" s="33"/>
      <c r="K731" s="33"/>
      <c r="L731" s="33"/>
      <c r="M731" s="33"/>
      <c r="N731" s="33"/>
      <c r="O731" s="33"/>
      <c r="P731" s="33"/>
      <c r="Q731" s="33"/>
      <c r="R731" s="114"/>
    </row>
    <row r="732" spans="1:18" s="92" customFormat="1" x14ac:dyDescent="0.2">
      <c r="A732" s="105">
        <f>SUM(A707:A731)</f>
        <v>6163100</v>
      </c>
      <c r="B732" s="53">
        <f>SUM(B707:B731)</f>
        <v>6082600</v>
      </c>
      <c r="C732" s="53">
        <f>SUM(C707:C731)</f>
        <v>5865100</v>
      </c>
      <c r="D732" s="53">
        <f>SUM(D707:D731)</f>
        <v>5916800</v>
      </c>
      <c r="E732" s="237"/>
      <c r="F732" s="112" t="s">
        <v>565</v>
      </c>
      <c r="G732" s="53">
        <f t="shared" ref="G732:O732" si="1185">SUM(G707:G731)</f>
        <v>5843000</v>
      </c>
      <c r="H732" s="180">
        <f>IF(D732=G732,0,IF(D732=0,100,(G732-D732)/D732*100))</f>
        <v>-1.2472958355868038</v>
      </c>
      <c r="I732" s="53">
        <f t="shared" si="1185"/>
        <v>6006600</v>
      </c>
      <c r="J732" s="53">
        <f t="shared" si="1185"/>
        <v>6153300</v>
      </c>
      <c r="K732" s="53">
        <f t="shared" si="1185"/>
        <v>6304000</v>
      </c>
      <c r="L732" s="53">
        <f t="shared" si="1185"/>
        <v>6459800</v>
      </c>
      <c r="M732" s="53">
        <f t="shared" si="1185"/>
        <v>6603700</v>
      </c>
      <c r="N732" s="53">
        <f t="shared" si="1185"/>
        <v>6751700</v>
      </c>
      <c r="O732" s="53">
        <f t="shared" si="1185"/>
        <v>6901700</v>
      </c>
      <c r="P732" s="53">
        <f t="shared" ref="P732:Q732" si="1186">SUM(P707:P731)</f>
        <v>7056800</v>
      </c>
      <c r="Q732" s="53">
        <f t="shared" si="1186"/>
        <v>7214000</v>
      </c>
      <c r="R732" s="113">
        <f t="shared" ref="R732" si="1187">SUM(R707:R731)</f>
        <v>7376300</v>
      </c>
    </row>
    <row r="733" spans="1:18" x14ac:dyDescent="0.2">
      <c r="A733" s="107"/>
      <c r="B733" s="33"/>
      <c r="C733" s="33"/>
      <c r="D733" s="33"/>
      <c r="E733" s="1955"/>
      <c r="F733" s="108"/>
      <c r="G733" s="33"/>
      <c r="H733" s="138"/>
      <c r="I733" s="33"/>
      <c r="J733" s="33"/>
      <c r="K733" s="33"/>
      <c r="L733" s="33"/>
      <c r="M733" s="33"/>
      <c r="N733" s="33"/>
      <c r="O733" s="33"/>
      <c r="P733" s="33"/>
      <c r="Q733" s="33"/>
      <c r="R733" s="114"/>
    </row>
    <row r="734" spans="1:18" s="92" customFormat="1" x14ac:dyDescent="0.2">
      <c r="A734" s="70">
        <f>A705-A732</f>
        <v>416100</v>
      </c>
      <c r="B734" s="64">
        <f>B705-B732</f>
        <v>653900</v>
      </c>
      <c r="C734" s="64">
        <f>C705-C732</f>
        <v>0</v>
      </c>
      <c r="D734" s="64">
        <f>D705-D732</f>
        <v>162700</v>
      </c>
      <c r="E734" s="237"/>
      <c r="F734" s="1963" t="s">
        <v>1019</v>
      </c>
      <c r="G734" s="64">
        <f t="shared" ref="G734:O734" si="1188">G705-G732</f>
        <v>451500</v>
      </c>
      <c r="H734" s="179">
        <f>IF(D734=G734,0,IF(D734=0,100,(G734-D734)/D734*100))</f>
        <v>177.50460971112477</v>
      </c>
      <c r="I734" s="64">
        <f t="shared" si="1188"/>
        <v>411300</v>
      </c>
      <c r="J734" s="64">
        <f t="shared" si="1188"/>
        <v>404100</v>
      </c>
      <c r="K734" s="64">
        <f t="shared" si="1188"/>
        <v>433000</v>
      </c>
      <c r="L734" s="64">
        <f t="shared" si="1188"/>
        <v>462900</v>
      </c>
      <c r="M734" s="64">
        <f t="shared" si="1188"/>
        <v>469100</v>
      </c>
      <c r="N734" s="64">
        <f t="shared" si="1188"/>
        <v>516500</v>
      </c>
      <c r="O734" s="64">
        <f t="shared" si="1188"/>
        <v>567400</v>
      </c>
      <c r="P734" s="64">
        <f t="shared" ref="P734:Q734" si="1189">P705-P732</f>
        <v>576800</v>
      </c>
      <c r="Q734" s="64">
        <f t="shared" si="1189"/>
        <v>630800</v>
      </c>
      <c r="R734" s="115">
        <f t="shared" ref="R734" si="1190">R705-R732</f>
        <v>665600</v>
      </c>
    </row>
    <row r="735" spans="1:18" x14ac:dyDescent="0.2">
      <c r="A735" s="107">
        <f>ROUND(A730,-3)</f>
        <v>251000</v>
      </c>
      <c r="B735" s="33">
        <f>B730</f>
        <v>179100</v>
      </c>
      <c r="C735" s="33">
        <f>C730</f>
        <v>177200</v>
      </c>
      <c r="D735" s="33">
        <f>D730</f>
        <v>177200</v>
      </c>
      <c r="E735" s="1955"/>
      <c r="F735" s="320" t="s">
        <v>1976</v>
      </c>
      <c r="G735" s="33">
        <f t="shared" ref="G735:O735" si="1191">G730</f>
        <v>177000</v>
      </c>
      <c r="H735" s="138">
        <f>IF(D735=G735,0,IF(D735=0,100,(G735-D735)/D735*100))</f>
        <v>-0.11286681715575619</v>
      </c>
      <c r="I735" s="33">
        <f t="shared" si="1191"/>
        <v>180600</v>
      </c>
      <c r="J735" s="33">
        <f t="shared" si="1191"/>
        <v>184300</v>
      </c>
      <c r="K735" s="33">
        <f t="shared" si="1191"/>
        <v>188000</v>
      </c>
      <c r="L735" s="33">
        <f t="shared" si="1191"/>
        <v>191800</v>
      </c>
      <c r="M735" s="33">
        <f t="shared" si="1191"/>
        <v>195700</v>
      </c>
      <c r="N735" s="33">
        <f t="shared" si="1191"/>
        <v>199700</v>
      </c>
      <c r="O735" s="33">
        <f t="shared" si="1191"/>
        <v>203700</v>
      </c>
      <c r="P735" s="33">
        <f t="shared" ref="P735:Q735" si="1192">P730</f>
        <v>207800</v>
      </c>
      <c r="Q735" s="33">
        <f t="shared" si="1192"/>
        <v>212000</v>
      </c>
      <c r="R735" s="114">
        <f t="shared" ref="R735" si="1193">R730</f>
        <v>216300</v>
      </c>
    </row>
    <row r="736" spans="1:18" s="92" customFormat="1" x14ac:dyDescent="0.2">
      <c r="A736" s="181">
        <f>A734+A735</f>
        <v>667100</v>
      </c>
      <c r="B736" s="397">
        <f>B734+B735</f>
        <v>833000</v>
      </c>
      <c r="C736" s="397">
        <f>C734+C735</f>
        <v>177200</v>
      </c>
      <c r="D736" s="397">
        <f>D734+D735</f>
        <v>339900</v>
      </c>
      <c r="E736" s="523"/>
      <c r="F736" s="515" t="s">
        <v>1687</v>
      </c>
      <c r="G736" s="397">
        <f t="shared" ref="G736:O736" si="1194">G734+G735</f>
        <v>628500</v>
      </c>
      <c r="H736" s="395">
        <f>IF(D736=G736,0,IF(D736=0,100,(G736-D736)/D736*100))</f>
        <v>84.907325684024713</v>
      </c>
      <c r="I736" s="397">
        <f t="shared" si="1194"/>
        <v>591900</v>
      </c>
      <c r="J736" s="397">
        <f t="shared" si="1194"/>
        <v>588400</v>
      </c>
      <c r="K736" s="397">
        <f t="shared" si="1194"/>
        <v>621000</v>
      </c>
      <c r="L736" s="397">
        <f t="shared" si="1194"/>
        <v>654700</v>
      </c>
      <c r="M736" s="397">
        <f t="shared" si="1194"/>
        <v>664800</v>
      </c>
      <c r="N736" s="397">
        <f t="shared" si="1194"/>
        <v>716200</v>
      </c>
      <c r="O736" s="397">
        <f t="shared" si="1194"/>
        <v>771100</v>
      </c>
      <c r="P736" s="397">
        <f t="shared" ref="P736:Q736" si="1195">P734+P735</f>
        <v>784600</v>
      </c>
      <c r="Q736" s="397">
        <f t="shared" si="1195"/>
        <v>842800</v>
      </c>
      <c r="R736" s="399">
        <f t="shared" ref="R736" si="1196">R734+R735</f>
        <v>881900</v>
      </c>
    </row>
    <row r="737" spans="1:18" s="99" customFormat="1" ht="13.5" thickBot="1" x14ac:dyDescent="0.25">
      <c r="A737" s="70"/>
      <c r="B737" s="64"/>
      <c r="C737" s="64"/>
      <c r="D737" s="64"/>
      <c r="E737" s="240"/>
      <c r="F737" s="238"/>
      <c r="G737" s="64"/>
      <c r="H737" s="179"/>
      <c r="I737" s="33"/>
      <c r="J737" s="33"/>
      <c r="K737" s="33"/>
      <c r="L737" s="33"/>
      <c r="M737" s="33"/>
      <c r="N737" s="33"/>
      <c r="O737" s="33"/>
      <c r="P737" s="33"/>
      <c r="Q737" s="33"/>
      <c r="R737" s="114"/>
    </row>
    <row r="738" spans="1:18" ht="13.5" thickTop="1" x14ac:dyDescent="0.2">
      <c r="A738" s="383"/>
      <c r="B738" s="162"/>
      <c r="C738" s="162"/>
      <c r="D738" s="162"/>
      <c r="E738" s="363"/>
      <c r="F738" s="363"/>
      <c r="G738" s="162"/>
      <c r="H738" s="505"/>
      <c r="I738" s="127"/>
      <c r="J738" s="127"/>
      <c r="K738" s="127"/>
      <c r="L738" s="127"/>
      <c r="M738" s="127"/>
      <c r="N738" s="127"/>
      <c r="O738" s="127"/>
      <c r="P738" s="127"/>
      <c r="Q738" s="127"/>
      <c r="R738" s="163"/>
    </row>
    <row r="739" spans="1:18" x14ac:dyDescent="0.2">
      <c r="A739" s="70"/>
      <c r="B739" s="64"/>
      <c r="C739" s="64"/>
      <c r="D739" s="64"/>
      <c r="E739" s="240"/>
      <c r="F739" s="516" t="s">
        <v>196</v>
      </c>
      <c r="G739" s="64"/>
      <c r="H739" s="179"/>
      <c r="I739" s="33"/>
      <c r="J739" s="33"/>
      <c r="K739" s="33"/>
      <c r="L739" s="33"/>
      <c r="M739" s="33"/>
      <c r="N739" s="33"/>
      <c r="O739" s="33"/>
      <c r="P739" s="33"/>
      <c r="Q739" s="33"/>
      <c r="R739" s="114"/>
    </row>
    <row r="740" spans="1:18" x14ac:dyDescent="0.2">
      <c r="A740" s="70"/>
      <c r="B740" s="64"/>
      <c r="C740" s="64"/>
      <c r="D740" s="64"/>
      <c r="E740" s="240"/>
      <c r="F740" s="240"/>
      <c r="G740" s="33"/>
      <c r="H740" s="179"/>
      <c r="I740" s="33"/>
      <c r="J740" s="33"/>
      <c r="K740" s="33"/>
      <c r="L740" s="33"/>
      <c r="M740" s="33"/>
      <c r="N740" s="33"/>
      <c r="O740" s="33"/>
      <c r="P740" s="33"/>
      <c r="Q740" s="33"/>
      <c r="R740" s="114"/>
    </row>
    <row r="741" spans="1:18" x14ac:dyDescent="0.2">
      <c r="A741" s="107">
        <f>ROUND(A2025,-2)</f>
        <v>134000</v>
      </c>
      <c r="B741" s="33">
        <f>ROUND(B2025,-2)</f>
        <v>142800</v>
      </c>
      <c r="C741" s="33">
        <f t="shared" ref="C741:D745" si="1197">C2025</f>
        <v>152500</v>
      </c>
      <c r="D741" s="33">
        <f t="shared" si="1197"/>
        <v>162600</v>
      </c>
      <c r="E741" s="240"/>
      <c r="F741" s="366" t="str">
        <f>F685</f>
        <v>Less Loan Principal Repayments</v>
      </c>
      <c r="G741" s="33">
        <f t="shared" ref="G741:N741" si="1198">G2025</f>
        <v>0</v>
      </c>
      <c r="H741" s="138"/>
      <c r="I741" s="33">
        <f t="shared" si="1198"/>
        <v>0</v>
      </c>
      <c r="J741" s="33">
        <f t="shared" si="1198"/>
        <v>0</v>
      </c>
      <c r="K741" s="33">
        <f t="shared" si="1198"/>
        <v>0</v>
      </c>
      <c r="L741" s="33">
        <f t="shared" si="1198"/>
        <v>0</v>
      </c>
      <c r="M741" s="33">
        <f t="shared" si="1198"/>
        <v>0</v>
      </c>
      <c r="N741" s="33">
        <f t="shared" si="1198"/>
        <v>0</v>
      </c>
      <c r="O741" s="33">
        <f t="shared" ref="O741:P745" si="1199">O2025</f>
        <v>0</v>
      </c>
      <c r="P741" s="33">
        <f t="shared" si="1199"/>
        <v>0</v>
      </c>
      <c r="Q741" s="33">
        <f t="shared" ref="Q741" si="1200">Q2025</f>
        <v>0</v>
      </c>
      <c r="R741" s="114">
        <f t="shared" ref="R741" si="1201">R2025</f>
        <v>0</v>
      </c>
    </row>
    <row r="742" spans="1:18" x14ac:dyDescent="0.2">
      <c r="A742" s="107">
        <f>ROUND(A2026,-2)</f>
        <v>533100</v>
      </c>
      <c r="B742" s="33">
        <f>B2026</f>
        <v>690200</v>
      </c>
      <c r="C742" s="33">
        <f t="shared" si="1197"/>
        <v>25600</v>
      </c>
      <c r="D742" s="33">
        <f t="shared" si="1197"/>
        <v>339900</v>
      </c>
      <c r="E742" s="240"/>
      <c r="F742" s="366" t="str">
        <f>F686</f>
        <v>Less Transfer to Reserves</v>
      </c>
      <c r="G742" s="33">
        <f t="shared" ref="G742:N742" si="1202">G2026</f>
        <v>628500</v>
      </c>
      <c r="H742" s="138"/>
      <c r="I742" s="33">
        <f t="shared" si="1202"/>
        <v>591900</v>
      </c>
      <c r="J742" s="33">
        <f t="shared" si="1202"/>
        <v>588400</v>
      </c>
      <c r="K742" s="33">
        <f t="shared" si="1202"/>
        <v>621000</v>
      </c>
      <c r="L742" s="33">
        <f t="shared" si="1202"/>
        <v>654700</v>
      </c>
      <c r="M742" s="33">
        <f t="shared" si="1202"/>
        <v>664800</v>
      </c>
      <c r="N742" s="33">
        <f t="shared" si="1202"/>
        <v>716200</v>
      </c>
      <c r="O742" s="33">
        <f t="shared" si="1199"/>
        <v>771100</v>
      </c>
      <c r="P742" s="33">
        <f t="shared" si="1199"/>
        <v>784600</v>
      </c>
      <c r="Q742" s="33">
        <f t="shared" ref="Q742" si="1203">Q2026</f>
        <v>842800</v>
      </c>
      <c r="R742" s="114">
        <f t="shared" ref="R742" si="1204">R2026</f>
        <v>881900</v>
      </c>
    </row>
    <row r="743" spans="1:18" x14ac:dyDescent="0.2">
      <c r="A743" s="107">
        <f t="shared" ref="A743:A745" si="1205">ROUND(A2027,-2)</f>
        <v>0</v>
      </c>
      <c r="B743" s="33">
        <f>B2027</f>
        <v>0</v>
      </c>
      <c r="C743" s="33">
        <f t="shared" si="1197"/>
        <v>900</v>
      </c>
      <c r="D743" s="33">
        <f t="shared" si="1197"/>
        <v>541900</v>
      </c>
      <c r="E743" s="240"/>
      <c r="F743" s="366" t="str">
        <f>F687</f>
        <v>Add Transfer from Reserves</v>
      </c>
      <c r="G743" s="33">
        <f t="shared" ref="G743:N743" si="1206">G2027</f>
        <v>0</v>
      </c>
      <c r="H743" s="138"/>
      <c r="I743" s="33">
        <f t="shared" si="1206"/>
        <v>1500000</v>
      </c>
      <c r="J743" s="33">
        <f t="shared" si="1206"/>
        <v>0</v>
      </c>
      <c r="K743" s="33">
        <f t="shared" si="1206"/>
        <v>0</v>
      </c>
      <c r="L743" s="33">
        <f t="shared" si="1206"/>
        <v>1600000</v>
      </c>
      <c r="M743" s="33">
        <f t="shared" si="1206"/>
        <v>0</v>
      </c>
      <c r="N743" s="33">
        <f t="shared" si="1206"/>
        <v>0</v>
      </c>
      <c r="O743" s="33">
        <f t="shared" si="1199"/>
        <v>1700000</v>
      </c>
      <c r="P743" s="33">
        <f t="shared" si="1199"/>
        <v>0</v>
      </c>
      <c r="Q743" s="33">
        <f t="shared" ref="Q743" si="1207">Q2027</f>
        <v>0</v>
      </c>
      <c r="R743" s="114">
        <f t="shared" ref="R743" si="1208">R2027</f>
        <v>1800000</v>
      </c>
    </row>
    <row r="744" spans="1:18" x14ac:dyDescent="0.2">
      <c r="A744" s="107">
        <f t="shared" si="1205"/>
        <v>0</v>
      </c>
      <c r="B744" s="33">
        <f>B2028</f>
        <v>0</v>
      </c>
      <c r="C744" s="33">
        <f t="shared" si="1197"/>
        <v>0</v>
      </c>
      <c r="D744" s="33">
        <f t="shared" si="1197"/>
        <v>0</v>
      </c>
      <c r="E744" s="240"/>
      <c r="F744" s="366" t="str">
        <f>F688</f>
        <v>Add Capital Income Applied</v>
      </c>
      <c r="G744" s="33">
        <f t="shared" ref="G744:N744" si="1209">G2028</f>
        <v>0</v>
      </c>
      <c r="H744" s="138"/>
      <c r="I744" s="33">
        <f t="shared" si="1209"/>
        <v>0</v>
      </c>
      <c r="J744" s="33">
        <f t="shared" si="1209"/>
        <v>0</v>
      </c>
      <c r="K744" s="33">
        <f t="shared" si="1209"/>
        <v>0</v>
      </c>
      <c r="L744" s="33">
        <f t="shared" si="1209"/>
        <v>0</v>
      </c>
      <c r="M744" s="33">
        <f t="shared" si="1209"/>
        <v>0</v>
      </c>
      <c r="N744" s="33">
        <f t="shared" si="1209"/>
        <v>0</v>
      </c>
      <c r="O744" s="33">
        <f t="shared" si="1199"/>
        <v>0</v>
      </c>
      <c r="P744" s="33">
        <f t="shared" si="1199"/>
        <v>0</v>
      </c>
      <c r="Q744" s="33">
        <f t="shared" ref="Q744" si="1210">Q2028</f>
        <v>0</v>
      </c>
      <c r="R744" s="114">
        <f t="shared" ref="R744" si="1211">R2028</f>
        <v>0</v>
      </c>
    </row>
    <row r="745" spans="1:18" x14ac:dyDescent="0.2">
      <c r="A745" s="107">
        <f t="shared" si="1205"/>
        <v>0</v>
      </c>
      <c r="B745" s="33">
        <f>B2029</f>
        <v>0</v>
      </c>
      <c r="C745" s="33">
        <f t="shared" si="1197"/>
        <v>0</v>
      </c>
      <c r="D745" s="33">
        <f t="shared" si="1197"/>
        <v>379300</v>
      </c>
      <c r="E745" s="240"/>
      <c r="F745" s="366" t="str">
        <f>F689</f>
        <v>Less Capital Expenditure</v>
      </c>
      <c r="G745" s="33">
        <f t="shared" ref="G745:N745" si="1212">G2029</f>
        <v>0</v>
      </c>
      <c r="H745" s="138"/>
      <c r="I745" s="33">
        <f t="shared" si="1212"/>
        <v>1500000</v>
      </c>
      <c r="J745" s="33">
        <f t="shared" si="1212"/>
        <v>0</v>
      </c>
      <c r="K745" s="33">
        <f t="shared" si="1212"/>
        <v>0</v>
      </c>
      <c r="L745" s="33">
        <f t="shared" si="1212"/>
        <v>1600000</v>
      </c>
      <c r="M745" s="33">
        <f t="shared" si="1212"/>
        <v>0</v>
      </c>
      <c r="N745" s="33">
        <f t="shared" si="1212"/>
        <v>0</v>
      </c>
      <c r="O745" s="33">
        <f t="shared" si="1199"/>
        <v>1700000</v>
      </c>
      <c r="P745" s="33">
        <f t="shared" si="1199"/>
        <v>0</v>
      </c>
      <c r="Q745" s="33">
        <f t="shared" ref="Q745" si="1213">Q2029</f>
        <v>0</v>
      </c>
      <c r="R745" s="114">
        <f t="shared" ref="R745" si="1214">R2029</f>
        <v>1800000</v>
      </c>
    </row>
    <row r="746" spans="1:18" x14ac:dyDescent="0.2">
      <c r="A746" s="107"/>
      <c r="B746" s="33"/>
      <c r="C746" s="33"/>
      <c r="D746" s="33"/>
      <c r="E746" s="240"/>
      <c r="F746" s="240"/>
      <c r="G746" s="33"/>
      <c r="H746" s="138"/>
      <c r="I746" s="33"/>
      <c r="J746" s="33"/>
      <c r="K746" s="33"/>
      <c r="L746" s="33"/>
      <c r="M746" s="33"/>
      <c r="N746" s="33"/>
      <c r="O746" s="33"/>
      <c r="P746" s="33"/>
      <c r="Q746" s="33"/>
      <c r="R746" s="114"/>
    </row>
    <row r="747" spans="1:18" s="92" customFormat="1" x14ac:dyDescent="0.2">
      <c r="A747" s="181">
        <f>A736-A741-A742+A743++A744-A745</f>
        <v>0</v>
      </c>
      <c r="B747" s="397">
        <f>B736-B741-B742+B743++B744-B745</f>
        <v>0</v>
      </c>
      <c r="C747" s="397">
        <f>C736-C741-C742+C743++C744-C745</f>
        <v>0</v>
      </c>
      <c r="D747" s="397">
        <f>D736-D741-D742+D743++D744-D745</f>
        <v>0</v>
      </c>
      <c r="E747" s="532"/>
      <c r="F747" s="518" t="s">
        <v>2490</v>
      </c>
      <c r="G747" s="397">
        <f t="shared" ref="G747:O747" si="1215">G736-G741-G742+G743++G744-G745</f>
        <v>0</v>
      </c>
      <c r="H747" s="395">
        <f>IF(D747=G747,0,IF(D747=0,100,(G747-D747)/D747*100))</f>
        <v>0</v>
      </c>
      <c r="I747" s="397">
        <f t="shared" si="1215"/>
        <v>0</v>
      </c>
      <c r="J747" s="397">
        <f t="shared" si="1215"/>
        <v>0</v>
      </c>
      <c r="K747" s="397">
        <f t="shared" si="1215"/>
        <v>0</v>
      </c>
      <c r="L747" s="397">
        <f t="shared" si="1215"/>
        <v>0</v>
      </c>
      <c r="M747" s="397">
        <f t="shared" si="1215"/>
        <v>0</v>
      </c>
      <c r="N747" s="397">
        <f t="shared" si="1215"/>
        <v>0</v>
      </c>
      <c r="O747" s="397">
        <f t="shared" si="1215"/>
        <v>0</v>
      </c>
      <c r="P747" s="397">
        <f t="shared" ref="P747:Q747" si="1216">P736-P741-P742+P743++P744-P745</f>
        <v>0</v>
      </c>
      <c r="Q747" s="397">
        <f t="shared" si="1216"/>
        <v>0</v>
      </c>
      <c r="R747" s="399">
        <f t="shared" ref="R747" si="1217">R736-R741-R742+R743++R744-R745</f>
        <v>0</v>
      </c>
    </row>
    <row r="748" spans="1:18" s="99" customFormat="1" ht="13.5" thickBot="1" x14ac:dyDescent="0.25">
      <c r="A748" s="73"/>
      <c r="B748" s="90"/>
      <c r="C748" s="90"/>
      <c r="D748" s="90"/>
      <c r="E748" s="239"/>
      <c r="F748" s="239"/>
      <c r="G748" s="90"/>
      <c r="H748" s="392"/>
      <c r="I748" s="66"/>
      <c r="J748" s="66"/>
      <c r="K748" s="66"/>
      <c r="L748" s="66"/>
      <c r="M748" s="66"/>
      <c r="N748" s="66"/>
      <c r="O748" s="66"/>
      <c r="P748" s="66"/>
      <c r="Q748" s="66"/>
      <c r="R748" s="165"/>
    </row>
    <row r="749" spans="1:18" s="99" customFormat="1" ht="14.25" thickTop="1" thickBot="1" x14ac:dyDescent="0.25">
      <c r="A749" s="74"/>
      <c r="B749" s="74"/>
      <c r="C749" s="74"/>
      <c r="D749" s="74"/>
      <c r="E749" s="242"/>
      <c r="F749" s="242"/>
      <c r="G749" s="74"/>
      <c r="H749" s="2507"/>
    </row>
    <row r="750" spans="1:18" s="91" customFormat="1" ht="18.75" customHeight="1" thickTop="1" thickBot="1" x14ac:dyDescent="0.3">
      <c r="A750" s="2865" t="s">
        <v>3730</v>
      </c>
      <c r="B750" s="2866"/>
      <c r="C750" s="2866"/>
      <c r="D750" s="2866"/>
      <c r="E750" s="2866"/>
      <c r="F750" s="2866"/>
      <c r="G750" s="2866"/>
      <c r="H750" s="2866"/>
      <c r="I750" s="2866"/>
      <c r="J750" s="2866"/>
      <c r="K750" s="2866"/>
      <c r="L750" s="2866"/>
      <c r="M750" s="2866"/>
      <c r="N750" s="2866"/>
      <c r="O750" s="2866"/>
      <c r="P750" s="2866"/>
      <c r="Q750" s="2866"/>
      <c r="R750" s="2867"/>
    </row>
    <row r="751" spans="1:18" s="44" customFormat="1" x14ac:dyDescent="0.2">
      <c r="A751" s="2848" t="s">
        <v>1856</v>
      </c>
      <c r="B751" s="2840"/>
      <c r="C751" s="2840"/>
      <c r="D751" s="2849"/>
      <c r="E751" s="369" t="s">
        <v>2663</v>
      </c>
      <c r="F751" s="2649" t="s">
        <v>2251</v>
      </c>
      <c r="G751" s="2885" t="s">
        <v>2253</v>
      </c>
      <c r="H751" s="2886"/>
      <c r="I751" s="2886"/>
      <c r="J751" s="2886"/>
      <c r="K751" s="2886"/>
      <c r="L751" s="2886"/>
      <c r="M751" s="2886"/>
      <c r="N751" s="2886"/>
      <c r="O751" s="2886"/>
      <c r="P751" s="2886"/>
      <c r="Q751" s="2886"/>
      <c r="R751" s="2887"/>
    </row>
    <row r="752" spans="1:18" s="23" customFormat="1" ht="12.75" customHeight="1" thickBot="1" x14ac:dyDescent="0.25">
      <c r="A752" s="208" t="str">
        <f>A3</f>
        <v>2012/13</v>
      </c>
      <c r="B752" s="75" t="str">
        <f>B3</f>
        <v>2013/14</v>
      </c>
      <c r="C752" s="370" t="str">
        <f>C3</f>
        <v>2014/15</v>
      </c>
      <c r="D752" s="93" t="str">
        <f>D3</f>
        <v>2015/16</v>
      </c>
      <c r="E752" s="370" t="str">
        <f>E72</f>
        <v>ACCOUNT</v>
      </c>
      <c r="F752" s="42"/>
      <c r="G752" s="93" t="str">
        <f t="shared" ref="G752:Q752" si="1218">G3</f>
        <v>2016/17</v>
      </c>
      <c r="H752" s="2193" t="str">
        <f t="shared" si="1218"/>
        <v>%</v>
      </c>
      <c r="I752" s="370" t="str">
        <f t="shared" si="1218"/>
        <v>2017/18</v>
      </c>
      <c r="J752" s="370" t="str">
        <f t="shared" si="1218"/>
        <v>2018/19</v>
      </c>
      <c r="K752" s="370" t="str">
        <f t="shared" si="1218"/>
        <v>2019/20</v>
      </c>
      <c r="L752" s="370" t="str">
        <f t="shared" si="1218"/>
        <v>2020/21</v>
      </c>
      <c r="M752" s="370" t="str">
        <f t="shared" si="1218"/>
        <v>2021/22</v>
      </c>
      <c r="N752" s="370" t="str">
        <f t="shared" si="1218"/>
        <v>2022/23</v>
      </c>
      <c r="O752" s="370" t="str">
        <f t="shared" si="1218"/>
        <v>2023/24</v>
      </c>
      <c r="P752" s="370" t="str">
        <f t="shared" si="1218"/>
        <v>2024/25</v>
      </c>
      <c r="Q752" s="218" t="str">
        <f t="shared" si="1218"/>
        <v>2025/26</v>
      </c>
      <c r="R752" s="549" t="str">
        <f t="shared" ref="R752" si="1219">R3</f>
        <v>2026/27</v>
      </c>
    </row>
    <row r="753" spans="1:18" x14ac:dyDescent="0.2">
      <c r="A753" s="107"/>
      <c r="B753" s="33"/>
      <c r="C753" s="187"/>
      <c r="D753" s="187"/>
      <c r="E753" s="240"/>
      <c r="F753" s="144" t="s">
        <v>1073</v>
      </c>
      <c r="G753" s="187"/>
      <c r="H753" s="138"/>
      <c r="I753" s="33"/>
      <c r="J753" s="33"/>
      <c r="K753" s="33"/>
      <c r="L753" s="33"/>
      <c r="M753" s="33"/>
      <c r="N753" s="33"/>
      <c r="O753" s="33"/>
      <c r="P753" s="33"/>
      <c r="Q753" s="33"/>
      <c r="R753" s="114"/>
    </row>
    <row r="754" spans="1:18" x14ac:dyDescent="0.2">
      <c r="A754" s="107"/>
      <c r="B754" s="33"/>
      <c r="E754" s="240"/>
      <c r="F754" s="1308" t="s">
        <v>3242</v>
      </c>
      <c r="G754" s="187"/>
      <c r="H754" s="138"/>
      <c r="I754" s="33"/>
      <c r="J754" s="33"/>
      <c r="K754" s="33"/>
      <c r="L754" s="33"/>
      <c r="M754" s="33"/>
      <c r="N754" s="33"/>
      <c r="O754" s="33"/>
      <c r="P754" s="33"/>
      <c r="Q754" s="33"/>
      <c r="R754" s="114"/>
    </row>
    <row r="755" spans="1:18" x14ac:dyDescent="0.2">
      <c r="A755" s="107">
        <v>103300</v>
      </c>
      <c r="B755" s="33">
        <v>135500</v>
      </c>
      <c r="C755" s="189">
        <f>110000+110000+5000</f>
        <v>225000</v>
      </c>
      <c r="D755" s="189">
        <v>176000</v>
      </c>
      <c r="E755" s="658" t="s">
        <v>2725</v>
      </c>
      <c r="F755" s="271" t="s">
        <v>1362</v>
      </c>
      <c r="G755" s="187">
        <f>160000+20000</f>
        <v>180000</v>
      </c>
      <c r="H755" s="138">
        <f>IF(D755=G755,0,IF(D755=0,100,(G755-D755)/D755*100))</f>
        <v>2.2727272727272729</v>
      </c>
      <c r="I755" s="33">
        <v>165000</v>
      </c>
      <c r="J755" s="33">
        <f>ROUNDUP(I755+(I755*Assumptions!I$5),-2)</f>
        <v>169200</v>
      </c>
      <c r="K755" s="33">
        <f>ROUNDUP(J755+(J755*Assumptions!J$5),-2)</f>
        <v>173500</v>
      </c>
      <c r="L755" s="33">
        <f>ROUNDUP(K755+(K755*Assumptions!K$5),-2)</f>
        <v>177900</v>
      </c>
      <c r="M755" s="33">
        <f>ROUNDUP(L755+(L755*Assumptions!L$5),-2)</f>
        <v>181500</v>
      </c>
      <c r="N755" s="33">
        <f>ROUNDUP(M755+(M755*Assumptions!M$5),-2)</f>
        <v>185200</v>
      </c>
      <c r="O755" s="33">
        <f>ROUNDUP(N755+(N755*Assumptions!N$5),-2)</f>
        <v>189000</v>
      </c>
      <c r="P755" s="33">
        <f>ROUNDUP(O755+(O755*Assumptions!O$5),-2)</f>
        <v>192800</v>
      </c>
      <c r="Q755" s="33">
        <f>ROUNDUP(P755+(P755*Assumptions!P$5),-2)</f>
        <v>196700</v>
      </c>
      <c r="R755" s="114">
        <f>ROUNDUP(Q755+(Q755*Assumptions!Q$5),-2)</f>
        <v>200700</v>
      </c>
    </row>
    <row r="756" spans="1:18" x14ac:dyDescent="0.2">
      <c r="A756" s="107">
        <v>162600</v>
      </c>
      <c r="B756" s="33">
        <v>94600</v>
      </c>
      <c r="C756" s="189">
        <v>20000</v>
      </c>
      <c r="D756" s="189">
        <v>12500</v>
      </c>
      <c r="E756" s="1092" t="s">
        <v>3286</v>
      </c>
      <c r="F756" s="1981" t="s">
        <v>120</v>
      </c>
      <c r="G756" s="187">
        <v>40000</v>
      </c>
      <c r="H756" s="138">
        <f>IF(D756=G756,0,IF(D756=0,100,(G756-D756)/D756*100))</f>
        <v>220.00000000000003</v>
      </c>
      <c r="I756" s="33">
        <v>40000</v>
      </c>
      <c r="J756" s="33">
        <f>ROUNDUP(I756+(I756*Assumptions!I$5),-2)</f>
        <v>41000</v>
      </c>
      <c r="K756" s="33">
        <f>ROUNDUP(J756+(J756*Assumptions!J$5),-2)</f>
        <v>42100</v>
      </c>
      <c r="L756" s="33">
        <f>ROUNDUP(K756+(K756*Assumptions!K$5),-2)</f>
        <v>43200</v>
      </c>
      <c r="M756" s="33">
        <f>ROUNDUP(L756+(L756*Assumptions!L$5),-2)</f>
        <v>44100</v>
      </c>
      <c r="N756" s="33">
        <f>ROUNDUP(M756+(M756*Assumptions!M$5),-2)</f>
        <v>45000</v>
      </c>
      <c r="O756" s="33">
        <f>ROUNDUP(N756+(N756*Assumptions!N$5),-2)</f>
        <v>45900</v>
      </c>
      <c r="P756" s="33">
        <f>ROUNDUP(O756+(O756*Assumptions!O$5),-2)</f>
        <v>46900</v>
      </c>
      <c r="Q756" s="33">
        <f>ROUNDUP(P756+(P756*Assumptions!P$5),-2)</f>
        <v>47900</v>
      </c>
      <c r="R756" s="114">
        <f>ROUNDUP(Q756+(Q756*Assumptions!Q$5),-2)</f>
        <v>48900</v>
      </c>
    </row>
    <row r="757" spans="1:18" x14ac:dyDescent="0.2">
      <c r="A757" s="107">
        <v>0</v>
      </c>
      <c r="B757" s="33">
        <v>0</v>
      </c>
      <c r="C757" s="189">
        <v>0</v>
      </c>
      <c r="D757" s="189">
        <v>1000</v>
      </c>
      <c r="E757" s="1092" t="s">
        <v>6694</v>
      </c>
      <c r="F757" s="1952" t="s">
        <v>6695</v>
      </c>
      <c r="G757" s="187">
        <v>0</v>
      </c>
      <c r="H757" s="138">
        <f>IF(D757=G757,0,IF(D757=0,100,(G757-D757)/D757*100))</f>
        <v>-100</v>
      </c>
      <c r="I757" s="33">
        <v>500</v>
      </c>
      <c r="J757" s="33">
        <f>ROUNDUP(I757+(I757*Assumptions!I$5),-2)</f>
        <v>600</v>
      </c>
      <c r="K757" s="33">
        <f>ROUNDUP(J757+(J757*Assumptions!J$5),-2)</f>
        <v>700</v>
      </c>
      <c r="L757" s="33">
        <f>ROUNDUP(K757+(K757*Assumptions!K$5),-2)</f>
        <v>800</v>
      </c>
      <c r="M757" s="33">
        <f>ROUNDUP(L757+(L757*Assumptions!L$5),-2)</f>
        <v>900</v>
      </c>
      <c r="N757" s="33">
        <f>ROUNDUP(M757+(M757*Assumptions!M$5),-2)</f>
        <v>1000</v>
      </c>
      <c r="O757" s="33">
        <f>ROUNDUP(N757+(N757*Assumptions!N$5),-2)</f>
        <v>1100</v>
      </c>
      <c r="P757" s="33">
        <f>ROUNDUP(O757+(O757*Assumptions!O$5),-2)</f>
        <v>1200</v>
      </c>
      <c r="Q757" s="33">
        <f>ROUNDUP(P757+(P757*Assumptions!P$5),-2)</f>
        <v>1300</v>
      </c>
      <c r="R757" s="114">
        <f>ROUNDUP(Q757+(Q757*Assumptions!Q$5),-2)</f>
        <v>1400</v>
      </c>
    </row>
    <row r="758" spans="1:18" x14ac:dyDescent="0.2">
      <c r="A758" s="107">
        <v>200</v>
      </c>
      <c r="B758" s="33">
        <v>400</v>
      </c>
      <c r="C758" s="189">
        <f>1000+1000</f>
        <v>2000</v>
      </c>
      <c r="D758" s="189">
        <v>8400</v>
      </c>
      <c r="E758" s="658" t="s">
        <v>2726</v>
      </c>
      <c r="F758" s="271" t="s">
        <v>1349</v>
      </c>
      <c r="G758" s="187">
        <v>7000</v>
      </c>
      <c r="H758" s="138">
        <f>IF(D758=G758,0,IF(D758=0,100,(G758-D758)/D758*100))</f>
        <v>-16.666666666666664</v>
      </c>
      <c r="I758" s="33">
        <v>5000</v>
      </c>
      <c r="J758" s="33">
        <f>ROUNDUP(I758+(I758*Assumptions!I$5),-2)</f>
        <v>5200</v>
      </c>
      <c r="K758" s="33">
        <f>ROUNDUP(J758+(J758*Assumptions!J$5),-2)</f>
        <v>5400</v>
      </c>
      <c r="L758" s="33">
        <f>ROUNDUP(K758+(K758*Assumptions!K$5),-2)</f>
        <v>5600</v>
      </c>
      <c r="M758" s="33">
        <f>ROUNDUP(L758+(L758*Assumptions!L$5),-2)</f>
        <v>5800</v>
      </c>
      <c r="N758" s="33">
        <f>ROUNDUP(M758+(M758*Assumptions!M$5),-2)</f>
        <v>6000</v>
      </c>
      <c r="O758" s="33">
        <f>ROUNDUP(N758+(N758*Assumptions!N$5),-2)</f>
        <v>6200</v>
      </c>
      <c r="P758" s="33">
        <f>ROUNDUP(O758+(O758*Assumptions!O$5),-2)</f>
        <v>6400</v>
      </c>
      <c r="Q758" s="33">
        <f>ROUNDUP(P758+(P758*Assumptions!P$5),-2)</f>
        <v>6600</v>
      </c>
      <c r="R758" s="114">
        <f>ROUNDUP(Q758+(Q758*Assumptions!Q$5),-2)</f>
        <v>6800</v>
      </c>
    </row>
    <row r="759" spans="1:18" x14ac:dyDescent="0.2">
      <c r="A759" s="107">
        <f>9600+1200</f>
        <v>10800</v>
      </c>
      <c r="B759" s="33">
        <f>900+400+4000</f>
        <v>5300</v>
      </c>
      <c r="C759" s="189">
        <f>2000-1000+2800</f>
        <v>3800</v>
      </c>
      <c r="D759" s="189">
        <f>5700+1400</f>
        <v>7100</v>
      </c>
      <c r="E759" s="658" t="s">
        <v>2727</v>
      </c>
      <c r="F759" s="271" t="s">
        <v>1609</v>
      </c>
      <c r="G759" s="187">
        <v>7000</v>
      </c>
      <c r="H759" s="138">
        <f>IF(D759=G759,0,IF(D759=0,100,(G759-D759)/D759*100))</f>
        <v>-1.4084507042253522</v>
      </c>
      <c r="I759" s="33">
        <v>5000</v>
      </c>
      <c r="J759" s="33">
        <f>ROUNDUP(I759+(I759*Assumptions!I$5),-2)</f>
        <v>5200</v>
      </c>
      <c r="K759" s="33">
        <f>ROUNDUP(J759+(J759*Assumptions!J$5),-2)</f>
        <v>5400</v>
      </c>
      <c r="L759" s="33">
        <f>ROUNDUP(K759+(K759*Assumptions!K$5),-2)</f>
        <v>5600</v>
      </c>
      <c r="M759" s="33">
        <f>ROUNDUP(L759+(L759*Assumptions!L$5),-2)</f>
        <v>5800</v>
      </c>
      <c r="N759" s="33">
        <f>ROUNDUP(M759+(M759*Assumptions!M$5),-2)</f>
        <v>6000</v>
      </c>
      <c r="O759" s="33">
        <f>ROUNDUP(N759+(N759*Assumptions!N$5),-2)</f>
        <v>6200</v>
      </c>
      <c r="P759" s="33">
        <f>ROUNDUP(O759+(O759*Assumptions!O$5),-2)</f>
        <v>6400</v>
      </c>
      <c r="Q759" s="33">
        <f>ROUNDUP(P759+(P759*Assumptions!P$5),-2)</f>
        <v>6600</v>
      </c>
      <c r="R759" s="114">
        <f>ROUNDUP(Q759+(Q759*Assumptions!Q$5),-2)</f>
        <v>6800</v>
      </c>
    </row>
    <row r="760" spans="1:18" x14ac:dyDescent="0.2">
      <c r="A760" s="107"/>
      <c r="B760" s="33"/>
      <c r="E760" s="658"/>
      <c r="F760" s="271"/>
      <c r="G760" s="187"/>
      <c r="H760" s="138"/>
      <c r="I760" s="33"/>
      <c r="J760" s="33"/>
      <c r="K760" s="33"/>
      <c r="L760" s="33"/>
      <c r="M760" s="33"/>
      <c r="N760" s="33"/>
      <c r="O760" s="33"/>
      <c r="P760" s="33"/>
      <c r="Q760" s="33"/>
      <c r="R760" s="114"/>
    </row>
    <row r="761" spans="1:18" x14ac:dyDescent="0.2">
      <c r="A761" s="107"/>
      <c r="B761" s="33"/>
      <c r="E761" s="658"/>
      <c r="F761" s="349" t="s">
        <v>1263</v>
      </c>
      <c r="G761" s="187"/>
      <c r="H761" s="138"/>
      <c r="I761" s="33"/>
      <c r="J761" s="33"/>
      <c r="K761" s="33"/>
      <c r="L761" s="33"/>
      <c r="M761" s="33"/>
      <c r="N761" s="33"/>
      <c r="O761" s="33"/>
      <c r="P761" s="33"/>
      <c r="Q761" s="33"/>
      <c r="R761" s="114"/>
    </row>
    <row r="762" spans="1:18" x14ac:dyDescent="0.2">
      <c r="A762" s="107">
        <v>19100</v>
      </c>
      <c r="B762" s="33">
        <v>21000</v>
      </c>
      <c r="C762" s="189">
        <f>14000+4000+2000</f>
        <v>20000</v>
      </c>
      <c r="D762" s="189">
        <v>18900</v>
      </c>
      <c r="E762" s="1092" t="s">
        <v>3213</v>
      </c>
      <c r="F762" s="813" t="s">
        <v>4602</v>
      </c>
      <c r="G762" s="187">
        <v>20000</v>
      </c>
      <c r="H762" s="138">
        <f t="shared" ref="H762:H765" si="1220">IF(D762=G762,0,IF(D762=0,100,(G762-D762)/D762*100))</f>
        <v>5.8201058201058196</v>
      </c>
      <c r="I762" s="33">
        <v>20000</v>
      </c>
      <c r="J762" s="33">
        <f>ROUNDUP(I762+(I762*Assumptions!I$5),-2)</f>
        <v>20500</v>
      </c>
      <c r="K762" s="33">
        <f>ROUNDUP(J762+(J762*Assumptions!J$5),-2)</f>
        <v>21100</v>
      </c>
      <c r="L762" s="33">
        <f>ROUNDUP(K762+(K762*Assumptions!K$5),-2)</f>
        <v>21700</v>
      </c>
      <c r="M762" s="33">
        <f>ROUNDUP(L762+(L762*Assumptions!L$5),-2)</f>
        <v>22200</v>
      </c>
      <c r="N762" s="33">
        <f>ROUNDUP(M762+(M762*Assumptions!M$5),-2)</f>
        <v>22700</v>
      </c>
      <c r="O762" s="33">
        <f>ROUNDUP(N762+(N762*Assumptions!N$5),-2)</f>
        <v>23200</v>
      </c>
      <c r="P762" s="33">
        <f>ROUNDUP(O762+(O762*Assumptions!O$5),-2)</f>
        <v>23700</v>
      </c>
      <c r="Q762" s="33">
        <f>ROUNDUP(P762+(P762*Assumptions!P$5),-2)</f>
        <v>24200</v>
      </c>
      <c r="R762" s="114">
        <f>ROUNDUP(Q762+(Q762*Assumptions!Q$5),-2)</f>
        <v>24700</v>
      </c>
    </row>
    <row r="763" spans="1:18" x14ac:dyDescent="0.2">
      <c r="A763" s="107">
        <v>19000</v>
      </c>
      <c r="B763" s="33">
        <v>18400</v>
      </c>
      <c r="C763" s="189">
        <v>22500</v>
      </c>
      <c r="D763" s="189">
        <v>23700</v>
      </c>
      <c r="E763" s="658" t="s">
        <v>2728</v>
      </c>
      <c r="F763" s="271" t="s">
        <v>306</v>
      </c>
      <c r="G763" s="187">
        <f>22000-3000</f>
        <v>19000</v>
      </c>
      <c r="H763" s="138">
        <f t="shared" si="1220"/>
        <v>-19.831223628691983</v>
      </c>
      <c r="I763" s="33">
        <f>ROUNDUP(G763+(G763*Assumptions!H$5),-2)</f>
        <v>19300</v>
      </c>
      <c r="J763" s="33">
        <f>ROUNDUP(I763+(I763*Assumptions!I$5),-2)</f>
        <v>19800</v>
      </c>
      <c r="K763" s="33">
        <f>ROUNDUP(J763+(J763*Assumptions!J$5),-2)</f>
        <v>20300</v>
      </c>
      <c r="L763" s="33">
        <f>ROUNDUP(K763+(K763*Assumptions!K$5),-2)</f>
        <v>20900</v>
      </c>
      <c r="M763" s="33">
        <f>ROUNDUP(L763+(L763*Assumptions!L$5),-2)</f>
        <v>21400</v>
      </c>
      <c r="N763" s="33">
        <f>ROUNDUP(M763+(M763*Assumptions!M$5),-2)</f>
        <v>21900</v>
      </c>
      <c r="O763" s="33">
        <f>ROUNDUP(N763+(N763*Assumptions!N$5),-2)</f>
        <v>22400</v>
      </c>
      <c r="P763" s="33">
        <f>ROUNDUP(O763+(O763*Assumptions!O$5),-2)</f>
        <v>22900</v>
      </c>
      <c r="Q763" s="33">
        <f>ROUNDUP(P763+(P763*Assumptions!P$5),-2)</f>
        <v>23400</v>
      </c>
      <c r="R763" s="114">
        <f>ROUNDUP(Q763+(Q763*Assumptions!Q$5),-2)</f>
        <v>23900</v>
      </c>
    </row>
    <row r="764" spans="1:18" x14ac:dyDescent="0.2">
      <c r="A764" s="107">
        <v>2900</v>
      </c>
      <c r="B764" s="33">
        <v>3400</v>
      </c>
      <c r="C764" s="189">
        <v>3500</v>
      </c>
      <c r="D764" s="189">
        <v>0</v>
      </c>
      <c r="E764" s="658" t="s">
        <v>18</v>
      </c>
      <c r="F764" s="271" t="s">
        <v>334</v>
      </c>
      <c r="G764" s="187">
        <v>3500</v>
      </c>
      <c r="H764" s="138">
        <f t="shared" si="1220"/>
        <v>100</v>
      </c>
      <c r="I764" s="33">
        <f>ROUNDUP(G764+(G764*Assumptions!H$5),-2)</f>
        <v>3600</v>
      </c>
      <c r="J764" s="33">
        <f>ROUNDUP(I764+(I764*Assumptions!I$5),-2)</f>
        <v>3700</v>
      </c>
      <c r="K764" s="33">
        <f>ROUNDUP(J764+(J764*Assumptions!J$5),-2)</f>
        <v>3800</v>
      </c>
      <c r="L764" s="33">
        <f>ROUNDUP(K764+(K764*Assumptions!K$5),-2)</f>
        <v>3900</v>
      </c>
      <c r="M764" s="33">
        <f>ROUNDUP(L764+(L764*Assumptions!L$5),-2)</f>
        <v>4000</v>
      </c>
      <c r="N764" s="33">
        <f>ROUNDUP(M764+(M764*Assumptions!M$5),-2)</f>
        <v>4100</v>
      </c>
      <c r="O764" s="33">
        <f>ROUNDUP(N764+(N764*Assumptions!N$5),-2)</f>
        <v>4200</v>
      </c>
      <c r="P764" s="33">
        <f>ROUNDUP(O764+(O764*Assumptions!O$5),-2)</f>
        <v>4300</v>
      </c>
      <c r="Q764" s="33">
        <f>ROUNDUP(P764+(P764*Assumptions!P$5),-2)</f>
        <v>4400</v>
      </c>
      <c r="R764" s="114">
        <f>ROUNDUP(Q764+(Q764*Assumptions!Q$5),-2)</f>
        <v>4500</v>
      </c>
    </row>
    <row r="765" spans="1:18" x14ac:dyDescent="0.2">
      <c r="A765" s="107">
        <v>42000</v>
      </c>
      <c r="B765" s="33">
        <f>24800+4900</f>
        <v>29700</v>
      </c>
      <c r="C765" s="189">
        <v>25000</v>
      </c>
      <c r="D765" s="189">
        <v>6800</v>
      </c>
      <c r="E765" s="658" t="s">
        <v>19</v>
      </c>
      <c r="F765" s="2533" t="s">
        <v>1788</v>
      </c>
      <c r="G765" s="187">
        <f>25000-15000+2000</f>
        <v>12000</v>
      </c>
      <c r="H765" s="138">
        <f t="shared" si="1220"/>
        <v>76.470588235294116</v>
      </c>
      <c r="I765" s="33">
        <f>ROUNDUP(G765+(G765*Assumptions!H$5),-2)</f>
        <v>12200</v>
      </c>
      <c r="J765" s="33">
        <f>ROUNDUP(I765+(I765*Assumptions!I$5),-2)</f>
        <v>12600</v>
      </c>
      <c r="K765" s="33">
        <f>ROUNDUP(J765+(J765*Assumptions!J$5),-2)</f>
        <v>13000</v>
      </c>
      <c r="L765" s="33">
        <f>ROUNDUP(K765+(K765*Assumptions!K$5),-2)</f>
        <v>13400</v>
      </c>
      <c r="M765" s="33">
        <f>ROUNDUP(L765+(L765*Assumptions!L$5),-2)</f>
        <v>13700</v>
      </c>
      <c r="N765" s="33">
        <f>ROUNDUP(M765+(M765*Assumptions!M$5),-2)</f>
        <v>14000</v>
      </c>
      <c r="O765" s="33">
        <f>ROUNDUP(N765+(N765*Assumptions!N$5),-2)</f>
        <v>14300</v>
      </c>
      <c r="P765" s="33">
        <f>ROUNDUP(O765+(O765*Assumptions!O$5),-2)</f>
        <v>14600</v>
      </c>
      <c r="Q765" s="33">
        <f>ROUNDUP(P765+(P765*Assumptions!P$5),-2)</f>
        <v>14900</v>
      </c>
      <c r="R765" s="114">
        <f>ROUNDUP(Q765+(Q765*Assumptions!Q$5),-2)</f>
        <v>15200</v>
      </c>
    </row>
    <row r="766" spans="1:18" ht="13.5" thickBot="1" x14ac:dyDescent="0.25">
      <c r="A766" s="107"/>
      <c r="B766" s="33"/>
      <c r="C766" s="187"/>
      <c r="D766" s="187"/>
      <c r="E766" s="658"/>
      <c r="F766" s="108"/>
      <c r="G766" s="187"/>
      <c r="H766" s="138"/>
      <c r="I766" s="33"/>
      <c r="J766" s="33"/>
      <c r="K766" s="33"/>
      <c r="L766" s="33"/>
      <c r="M766" s="33"/>
      <c r="N766" s="33"/>
      <c r="O766" s="33"/>
      <c r="P766" s="33"/>
      <c r="Q766" s="33"/>
      <c r="R766" s="114"/>
    </row>
    <row r="767" spans="1:18" s="92" customFormat="1" x14ac:dyDescent="0.2">
      <c r="A767" s="105">
        <f>SUM(A754:A766)</f>
        <v>359900</v>
      </c>
      <c r="B767" s="53">
        <f>SUM(B754:B766)</f>
        <v>308300</v>
      </c>
      <c r="C767" s="199">
        <f>SUM(C754:C766)</f>
        <v>321800</v>
      </c>
      <c r="D767" s="199">
        <f>SUM(D754:D766)</f>
        <v>254400</v>
      </c>
      <c r="E767" s="658"/>
      <c r="F767" s="1960" t="s">
        <v>2605</v>
      </c>
      <c r="G767" s="199">
        <f>SUM(G754:G766)</f>
        <v>288500</v>
      </c>
      <c r="H767" s="180">
        <f>IF(D767=G767,0,IF(D767=0,100,(G767-D767)/D767*100))</f>
        <v>13.404088050314467</v>
      </c>
      <c r="I767" s="199">
        <f t="shared" ref="I767:Q767" si="1221">SUM(I754:I766)</f>
        <v>270600</v>
      </c>
      <c r="J767" s="199">
        <f t="shared" si="1221"/>
        <v>277800</v>
      </c>
      <c r="K767" s="199">
        <f t="shared" si="1221"/>
        <v>285300</v>
      </c>
      <c r="L767" s="199">
        <f t="shared" si="1221"/>
        <v>293000</v>
      </c>
      <c r="M767" s="199">
        <f t="shared" si="1221"/>
        <v>299400</v>
      </c>
      <c r="N767" s="199">
        <f t="shared" si="1221"/>
        <v>305900</v>
      </c>
      <c r="O767" s="199">
        <f t="shared" si="1221"/>
        <v>312500</v>
      </c>
      <c r="P767" s="199">
        <f t="shared" si="1221"/>
        <v>319200</v>
      </c>
      <c r="Q767" s="199">
        <f t="shared" si="1221"/>
        <v>326000</v>
      </c>
      <c r="R767" s="191">
        <f t="shared" ref="R767" si="1222">SUM(R754:R766)</f>
        <v>332900</v>
      </c>
    </row>
    <row r="768" spans="1:18" x14ac:dyDescent="0.2">
      <c r="A768" s="107"/>
      <c r="B768" s="33"/>
      <c r="C768" s="187"/>
      <c r="D768" s="187"/>
      <c r="E768" s="658"/>
      <c r="F768" s="144" t="s">
        <v>2205</v>
      </c>
      <c r="G768" s="187"/>
      <c r="H768" s="138"/>
      <c r="I768" s="33"/>
      <c r="J768" s="33"/>
      <c r="K768" s="33"/>
      <c r="L768" s="33"/>
      <c r="M768" s="33"/>
      <c r="N768" s="33"/>
      <c r="O768" s="33"/>
      <c r="P768" s="33"/>
      <c r="Q768" s="33"/>
      <c r="R768" s="114"/>
    </row>
    <row r="769" spans="1:18" x14ac:dyDescent="0.2">
      <c r="A769" s="107"/>
      <c r="B769" s="33"/>
      <c r="E769" s="658"/>
      <c r="F769" s="175" t="s">
        <v>1341</v>
      </c>
      <c r="G769" s="187"/>
      <c r="H769" s="138"/>
      <c r="I769" s="33"/>
      <c r="J769" s="33"/>
      <c r="K769" s="33"/>
      <c r="L769" s="33"/>
      <c r="M769" s="33"/>
      <c r="N769" s="33"/>
      <c r="O769" s="33"/>
      <c r="P769" s="33"/>
      <c r="Q769" s="33"/>
      <c r="R769" s="114"/>
    </row>
    <row r="770" spans="1:18" x14ac:dyDescent="0.2">
      <c r="A770" s="107">
        <v>588800</v>
      </c>
      <c r="B770" s="33">
        <v>601600</v>
      </c>
      <c r="C770" s="189">
        <f>770000-1000</f>
        <v>769000</v>
      </c>
      <c r="D770" s="189">
        <v>790400</v>
      </c>
      <c r="E770" s="658" t="s">
        <v>161</v>
      </c>
      <c r="F770" s="1981" t="s">
        <v>1610</v>
      </c>
      <c r="G770" s="187">
        <v>830000</v>
      </c>
      <c r="H770" s="138">
        <f t="shared" ref="H770:H775" si="1223">IF(D770=G770,0,IF(D770=0,100,(G770-D770)/D770*100))</f>
        <v>5.0101214574898787</v>
      </c>
      <c r="I770" s="33">
        <f>ROUND(G770*Assumptions!H$13+CIV!G770,-2)</f>
        <v>846600</v>
      </c>
      <c r="J770" s="33">
        <f>ROUND(I770*Assumptions!I$13+CIV!I770,-2)</f>
        <v>867800</v>
      </c>
      <c r="K770" s="33">
        <f>ROUND(J770*Assumptions!J$13+CIV!J770,-2)</f>
        <v>889500</v>
      </c>
      <c r="L770" s="33">
        <f>ROUND(K770*Assumptions!K$13+CIV!K770,-2)</f>
        <v>911700</v>
      </c>
      <c r="M770" s="33">
        <f>ROUND(L770*Assumptions!L$13+CIV!L770,-2)</f>
        <v>934500</v>
      </c>
      <c r="N770" s="33">
        <f>ROUND(M770*Assumptions!M$13+CIV!M770,-2)</f>
        <v>957900</v>
      </c>
      <c r="O770" s="33">
        <f>ROUND(N770*Assumptions!N$13+CIV!N770,-2)</f>
        <v>981800</v>
      </c>
      <c r="P770" s="33">
        <f>ROUND(O770*Assumptions!O$13+CIV!O770,-2)</f>
        <v>1006300</v>
      </c>
      <c r="Q770" s="33">
        <f>ROUND(P770*Assumptions!P$13+CIV!P770,-2)</f>
        <v>1031500</v>
      </c>
      <c r="R770" s="114">
        <f>ROUND(Q770*Assumptions!Q$13+CIV!Q770,-2)</f>
        <v>1057300</v>
      </c>
    </row>
    <row r="771" spans="1:18" x14ac:dyDescent="0.2">
      <c r="A771" s="107">
        <v>685200</v>
      </c>
      <c r="B771" s="33">
        <v>661300</v>
      </c>
      <c r="C771" s="189">
        <f>743000-1000-10000</f>
        <v>732000</v>
      </c>
      <c r="D771" s="189">
        <v>763300</v>
      </c>
      <c r="E771" s="658" t="s">
        <v>162</v>
      </c>
      <c r="F771" s="1981" t="s">
        <v>2779</v>
      </c>
      <c r="G771" s="187">
        <v>789000</v>
      </c>
      <c r="H771" s="138">
        <f t="shared" si="1223"/>
        <v>3.3669592558627013</v>
      </c>
      <c r="I771" s="33">
        <f>ROUND(G771*Assumptions!H$13+CIV!G771,-2)</f>
        <v>804800</v>
      </c>
      <c r="J771" s="33">
        <f>ROUND(I771*Assumptions!I$13+CIV!I771,-2)</f>
        <v>824900</v>
      </c>
      <c r="K771" s="33">
        <f>ROUND(J771*Assumptions!J$13+CIV!J771,-2)</f>
        <v>845500</v>
      </c>
      <c r="L771" s="33">
        <f>ROUND(K771*Assumptions!K$13+CIV!K771,-2)</f>
        <v>866600</v>
      </c>
      <c r="M771" s="33">
        <f>ROUND(L771*Assumptions!L$13+CIV!L771,-2)</f>
        <v>888300</v>
      </c>
      <c r="N771" s="33">
        <f>ROUND(M771*Assumptions!M$13+CIV!M771,-2)</f>
        <v>910500</v>
      </c>
      <c r="O771" s="33">
        <f>ROUND(N771*Assumptions!N$13+CIV!N771,-2)</f>
        <v>933300</v>
      </c>
      <c r="P771" s="33">
        <f>ROUND(O771*Assumptions!O$13+CIV!O771,-2)</f>
        <v>956600</v>
      </c>
      <c r="Q771" s="33">
        <f>ROUND(P771*Assumptions!P$13+CIV!P771,-2)</f>
        <v>980500</v>
      </c>
      <c r="R771" s="114">
        <f>ROUND(Q771*Assumptions!Q$13+CIV!Q771,-2)</f>
        <v>1005000</v>
      </c>
    </row>
    <row r="772" spans="1:18" x14ac:dyDescent="0.2">
      <c r="A772" s="107">
        <v>398300</v>
      </c>
      <c r="B772" s="33">
        <v>440700</v>
      </c>
      <c r="C772" s="189">
        <f>572000-11000-15000</f>
        <v>546000</v>
      </c>
      <c r="D772" s="189">
        <v>600600</v>
      </c>
      <c r="E772" s="658" t="s">
        <v>1723</v>
      </c>
      <c r="F772" s="1981" t="s">
        <v>2780</v>
      </c>
      <c r="G772" s="187">
        <v>585000</v>
      </c>
      <c r="H772" s="138">
        <f t="shared" si="1223"/>
        <v>-2.5974025974025974</v>
      </c>
      <c r="I772" s="33">
        <f>ROUND(G772*Assumptions!H$13+CIV!G772,-2)</f>
        <v>596700</v>
      </c>
      <c r="J772" s="33">
        <f>ROUND(I772*Assumptions!I$13+CIV!I772,-2)</f>
        <v>611600</v>
      </c>
      <c r="K772" s="33">
        <f>ROUND(J772*Assumptions!J$13+CIV!J772,-2)</f>
        <v>626900</v>
      </c>
      <c r="L772" s="33">
        <f>ROUND(K772*Assumptions!K$13+CIV!K772,-2)</f>
        <v>642600</v>
      </c>
      <c r="M772" s="33">
        <f>ROUND(L772*Assumptions!L$13+CIV!L772,-2)</f>
        <v>658700</v>
      </c>
      <c r="N772" s="33">
        <f>ROUND(M772*Assumptions!M$13+CIV!M772,-2)</f>
        <v>675200</v>
      </c>
      <c r="O772" s="33">
        <f>ROUND(N772*Assumptions!N$13+CIV!N772,-2)</f>
        <v>692100</v>
      </c>
      <c r="P772" s="33">
        <f>ROUND(O772*Assumptions!O$13+CIV!O772,-2)</f>
        <v>709400</v>
      </c>
      <c r="Q772" s="33">
        <f>ROUND(P772*Assumptions!P$13+CIV!P772,-2)</f>
        <v>727100</v>
      </c>
      <c r="R772" s="114">
        <f>ROUND(Q772*Assumptions!Q$13+CIV!Q772,-2)</f>
        <v>745300</v>
      </c>
    </row>
    <row r="773" spans="1:18" x14ac:dyDescent="0.2">
      <c r="A773" s="107">
        <v>183100</v>
      </c>
      <c r="B773" s="33">
        <v>0</v>
      </c>
      <c r="C773" s="189">
        <v>0</v>
      </c>
      <c r="D773" s="189">
        <v>0</v>
      </c>
      <c r="E773" s="658" t="s">
        <v>1724</v>
      </c>
      <c r="F773" s="1981" t="s">
        <v>1529</v>
      </c>
      <c r="G773" s="187">
        <v>0</v>
      </c>
      <c r="H773" s="138">
        <f t="shared" si="1223"/>
        <v>0</v>
      </c>
      <c r="I773" s="33">
        <f>ROUND(G773*Assumptions!H$13+CIV!G773,-2)</f>
        <v>0</v>
      </c>
      <c r="J773" s="33">
        <f>ROUND(I773*Assumptions!I$13+CIV!I773,-2)</f>
        <v>0</v>
      </c>
      <c r="K773" s="33">
        <f>ROUND(J773*Assumptions!J$13+CIV!J773,-2)</f>
        <v>0</v>
      </c>
      <c r="L773" s="33">
        <f>ROUND(K773*Assumptions!K$13+CIV!K773,-2)</f>
        <v>0</v>
      </c>
      <c r="M773" s="33">
        <f>ROUND(L773*Assumptions!L$13+CIV!L773,-2)</f>
        <v>0</v>
      </c>
      <c r="N773" s="33">
        <f>ROUND(M773*Assumptions!M$13+CIV!M773,-2)</f>
        <v>0</v>
      </c>
      <c r="O773" s="33">
        <f>ROUND(N773*Assumptions!N$13+CIV!N773,-2)</f>
        <v>0</v>
      </c>
      <c r="P773" s="33">
        <f>ROUND(O773*Assumptions!O$13+CIV!O773,-2)</f>
        <v>0</v>
      </c>
      <c r="Q773" s="33">
        <f>ROUND(P773*Assumptions!P$13+CIV!P773,-2)</f>
        <v>0</v>
      </c>
      <c r="R773" s="114">
        <f>ROUND(Q773*Assumptions!Q$13+CIV!Q773,-2)</f>
        <v>0</v>
      </c>
    </row>
    <row r="774" spans="1:18" x14ac:dyDescent="0.2">
      <c r="A774" s="107">
        <v>10700</v>
      </c>
      <c r="B774" s="33">
        <v>8300</v>
      </c>
      <c r="C774" s="189">
        <f>8000+5000</f>
        <v>13000</v>
      </c>
      <c r="D774" s="189">
        <v>10800</v>
      </c>
      <c r="E774" s="658" t="s">
        <v>2642</v>
      </c>
      <c r="F774" s="1981" t="s">
        <v>1921</v>
      </c>
      <c r="G774" s="187">
        <v>8000</v>
      </c>
      <c r="H774" s="138">
        <f t="shared" si="1223"/>
        <v>-25.925925925925924</v>
      </c>
      <c r="I774" s="33">
        <f>ROUNDUP(G774+(G774*Assumptions!H$5),-2)</f>
        <v>8200</v>
      </c>
      <c r="J774" s="33">
        <f>ROUNDUP(I774+(I774*Assumptions!I$5),-2)</f>
        <v>8500</v>
      </c>
      <c r="K774" s="33">
        <f>ROUNDUP(J774+(J774*Assumptions!J$5),-2)</f>
        <v>8800</v>
      </c>
      <c r="L774" s="33">
        <f>ROUNDUP(K774+(K774*Assumptions!K$5),-2)</f>
        <v>9100</v>
      </c>
      <c r="M774" s="33">
        <f>ROUNDUP(L774+(L774*Assumptions!L$5),-2)</f>
        <v>9300</v>
      </c>
      <c r="N774" s="33">
        <f>ROUNDUP(M774+(M774*Assumptions!M$5),-2)</f>
        <v>9500</v>
      </c>
      <c r="O774" s="33">
        <f>ROUNDUP(N774+(N774*Assumptions!N$5),-2)</f>
        <v>9700</v>
      </c>
      <c r="P774" s="33">
        <f>ROUNDUP(O774+(O774*Assumptions!O$5),-2)</f>
        <v>9900</v>
      </c>
      <c r="Q774" s="33">
        <f>ROUNDUP(P774+(P774*Assumptions!P$5),-2)</f>
        <v>10100</v>
      </c>
      <c r="R774" s="114">
        <f>ROUNDUP(Q774+(Q774*Assumptions!Q$5),-2)</f>
        <v>10400</v>
      </c>
    </row>
    <row r="775" spans="1:18" x14ac:dyDescent="0.2">
      <c r="A775" s="107">
        <v>92300</v>
      </c>
      <c r="B775" s="33">
        <v>103500</v>
      </c>
      <c r="C775" s="189">
        <v>106700</v>
      </c>
      <c r="D775" s="189">
        <v>106700</v>
      </c>
      <c r="E775" s="658" t="s">
        <v>1969</v>
      </c>
      <c r="F775" s="1981" t="s">
        <v>534</v>
      </c>
      <c r="G775" s="187">
        <v>108900</v>
      </c>
      <c r="H775" s="138">
        <f t="shared" si="1223"/>
        <v>2.0618556701030926</v>
      </c>
      <c r="I775" s="33">
        <f>ROUNDUP(G775+(G775*Assumptions!H$5),-2)</f>
        <v>110600</v>
      </c>
      <c r="J775" s="33">
        <f>ROUNDUP(I775+(I775*Assumptions!I$5),-2)</f>
        <v>113400</v>
      </c>
      <c r="K775" s="33">
        <f>ROUNDUP(J775+(J775*Assumptions!J$5),-2)</f>
        <v>116300</v>
      </c>
      <c r="L775" s="33">
        <f>ROUNDUP(K775+(K775*Assumptions!K$5),-2)</f>
        <v>119300</v>
      </c>
      <c r="M775" s="33">
        <f>ROUNDUP(L775+(L775*Assumptions!L$5),-2)</f>
        <v>121700</v>
      </c>
      <c r="N775" s="33">
        <f>ROUNDUP(M775+(M775*Assumptions!M$5),-2)</f>
        <v>124200</v>
      </c>
      <c r="O775" s="33">
        <f>ROUNDUP(N775+(N775*Assumptions!N$5),-2)</f>
        <v>126700</v>
      </c>
      <c r="P775" s="33">
        <f>ROUNDUP(O775+(O775*Assumptions!O$5),-2)</f>
        <v>129300</v>
      </c>
      <c r="Q775" s="33">
        <f>ROUNDUP(P775+(P775*Assumptions!P$5),-2)</f>
        <v>131900</v>
      </c>
      <c r="R775" s="114">
        <f>ROUNDUP(Q775+(Q775*Assumptions!Q$5),-2)</f>
        <v>134600</v>
      </c>
    </row>
    <row r="776" spans="1:18" x14ac:dyDescent="0.2">
      <c r="A776" s="107"/>
      <c r="B776" s="33"/>
      <c r="E776" s="658"/>
      <c r="F776" s="175" t="s">
        <v>2558</v>
      </c>
      <c r="G776" s="187"/>
      <c r="H776" s="138"/>
      <c r="I776" s="33"/>
      <c r="J776" s="33"/>
      <c r="K776" s="33"/>
      <c r="L776" s="33"/>
      <c r="M776" s="33"/>
      <c r="N776" s="33"/>
      <c r="O776" s="33"/>
      <c r="P776" s="33"/>
      <c r="Q776" s="33"/>
      <c r="R776" s="114"/>
    </row>
    <row r="777" spans="1:18" x14ac:dyDescent="0.2">
      <c r="A777" s="107">
        <v>35600</v>
      </c>
      <c r="B777" s="33">
        <f>23800+500</f>
        <v>24300</v>
      </c>
      <c r="C777" s="189">
        <f>24000-500</f>
        <v>23500</v>
      </c>
      <c r="D777" s="189">
        <v>32400</v>
      </c>
      <c r="E777" s="658" t="s">
        <v>918</v>
      </c>
      <c r="F777" s="1981" t="s">
        <v>505</v>
      </c>
      <c r="G777" s="187">
        <v>20000</v>
      </c>
      <c r="H777" s="138">
        <f>IF(D777=G777,0,IF(D777=0,100,(G777-D777)/D777*100))</f>
        <v>-38.271604938271601</v>
      </c>
      <c r="I777" s="33">
        <v>25000</v>
      </c>
      <c r="J777" s="33">
        <f>ROUNDUP(I777+(I777*Assumptions!I$5),-2)</f>
        <v>25700</v>
      </c>
      <c r="K777" s="33">
        <f>ROUNDUP(J777+(J777*Assumptions!J$5),-2)</f>
        <v>26400</v>
      </c>
      <c r="L777" s="33">
        <f>ROUNDUP(K777+(K777*Assumptions!K$5),-2)</f>
        <v>27100</v>
      </c>
      <c r="M777" s="33">
        <f>ROUNDUP(L777+(L777*Assumptions!L$5),-2)</f>
        <v>27700</v>
      </c>
      <c r="N777" s="33">
        <f>ROUNDUP(M777+(M777*Assumptions!M$5),-2)</f>
        <v>28300</v>
      </c>
      <c r="O777" s="33">
        <f>ROUNDUP(N777+(N777*Assumptions!N$5),-2)</f>
        <v>28900</v>
      </c>
      <c r="P777" s="33">
        <f>ROUNDUP(O777+(O777*Assumptions!O$5),-2)</f>
        <v>29500</v>
      </c>
      <c r="Q777" s="33">
        <f>ROUNDUP(P777+(P777*Assumptions!P$5),-2)</f>
        <v>30100</v>
      </c>
      <c r="R777" s="114">
        <f>ROUNDUP(Q777+(Q777*Assumptions!Q$5),-2)</f>
        <v>30800</v>
      </c>
    </row>
    <row r="778" spans="1:18" x14ac:dyDescent="0.2">
      <c r="A778" s="107">
        <v>1000</v>
      </c>
      <c r="B778" s="33">
        <v>0</v>
      </c>
      <c r="C778" s="189">
        <v>2000</v>
      </c>
      <c r="D778" s="189">
        <v>1600</v>
      </c>
      <c r="E778" s="658" t="s">
        <v>2920</v>
      </c>
      <c r="F778" s="1981" t="s">
        <v>535</v>
      </c>
      <c r="G778" s="187">
        <v>2000</v>
      </c>
      <c r="H778" s="138">
        <f>IF(D778=G778,0,IF(D778=0,100,(G778-D778)/D778*100))</f>
        <v>25</v>
      </c>
      <c r="I778" s="33">
        <v>2000</v>
      </c>
      <c r="J778" s="33">
        <f>ROUNDUP(I778+(I778*Assumptions!I$5),-2)</f>
        <v>2100</v>
      </c>
      <c r="K778" s="33">
        <f>ROUNDUP(J778+(J778*Assumptions!J$5),-2)</f>
        <v>2200</v>
      </c>
      <c r="L778" s="33">
        <f>ROUNDUP(K778+(K778*Assumptions!K$5),-2)</f>
        <v>2300</v>
      </c>
      <c r="M778" s="33">
        <f>ROUNDUP(L778+(L778*Assumptions!L$5),-2)</f>
        <v>2400</v>
      </c>
      <c r="N778" s="33">
        <f>ROUNDUP(M778+(M778*Assumptions!M$5),-2)</f>
        <v>2500</v>
      </c>
      <c r="O778" s="33">
        <f>ROUNDUP(N778+(N778*Assumptions!N$5),-2)</f>
        <v>2600</v>
      </c>
      <c r="P778" s="33">
        <f>ROUNDUP(O778+(O778*Assumptions!O$5),-2)</f>
        <v>2700</v>
      </c>
      <c r="Q778" s="33">
        <f>ROUNDUP(P778+(P778*Assumptions!P$5),-2)</f>
        <v>2800</v>
      </c>
      <c r="R778" s="114">
        <f>ROUNDUP(Q778+(Q778*Assumptions!Q$5),-2)</f>
        <v>2900</v>
      </c>
    </row>
    <row r="779" spans="1:18" x14ac:dyDescent="0.2">
      <c r="A779" s="107">
        <v>400</v>
      </c>
      <c r="B779" s="33">
        <v>4300</v>
      </c>
      <c r="C779" s="189">
        <f>500+8000</f>
        <v>8500</v>
      </c>
      <c r="D779" s="189">
        <v>10400</v>
      </c>
      <c r="E779" s="658" t="s">
        <v>1954</v>
      </c>
      <c r="F779" s="1981" t="s">
        <v>719</v>
      </c>
      <c r="G779" s="187">
        <v>8500</v>
      </c>
      <c r="H779" s="138">
        <f>IF(D779=G779,0,IF(D779=0,100,(G779-D779)/D779*100))</f>
        <v>-18.269230769230766</v>
      </c>
      <c r="I779" s="33">
        <v>12000</v>
      </c>
      <c r="J779" s="33">
        <f>ROUNDUP(I779+(I779*Assumptions!I$5),-2)</f>
        <v>12300</v>
      </c>
      <c r="K779" s="33">
        <f>ROUNDUP(J779+(J779*Assumptions!J$5),-2)</f>
        <v>12700</v>
      </c>
      <c r="L779" s="33">
        <f>ROUNDUP(K779+(K779*Assumptions!K$5),-2)</f>
        <v>13100</v>
      </c>
      <c r="M779" s="33">
        <f>ROUNDUP(L779+(L779*Assumptions!L$5),-2)</f>
        <v>13400</v>
      </c>
      <c r="N779" s="33">
        <f>ROUNDUP(M779+(M779*Assumptions!M$5),-2)</f>
        <v>13700</v>
      </c>
      <c r="O779" s="33">
        <f>ROUNDUP(N779+(N779*Assumptions!N$5),-2)</f>
        <v>14000</v>
      </c>
      <c r="P779" s="33">
        <f>ROUNDUP(O779+(O779*Assumptions!O$5),-2)</f>
        <v>14300</v>
      </c>
      <c r="Q779" s="33">
        <f>ROUNDUP(P779+(P779*Assumptions!P$5),-2)</f>
        <v>14600</v>
      </c>
      <c r="R779" s="114">
        <f>ROUNDUP(Q779+(Q779*Assumptions!Q$5),-2)</f>
        <v>14900</v>
      </c>
    </row>
    <row r="780" spans="1:18" x14ac:dyDescent="0.2">
      <c r="A780" s="107">
        <v>7000</v>
      </c>
      <c r="B780" s="33">
        <v>700</v>
      </c>
      <c r="C780" s="189">
        <f>3000+6000</f>
        <v>9000</v>
      </c>
      <c r="D780" s="189">
        <v>3600</v>
      </c>
      <c r="E780" s="658" t="s">
        <v>2608</v>
      </c>
      <c r="F780" s="1981" t="s">
        <v>1611</v>
      </c>
      <c r="G780" s="1011">
        <f>3000+2000</f>
        <v>5000</v>
      </c>
      <c r="H780" s="138">
        <f>IF(D780=G780,0,IF(D780=0,100,(G780-D780)/D780*100))</f>
        <v>38.888888888888893</v>
      </c>
      <c r="I780" s="33">
        <v>8000</v>
      </c>
      <c r="J780" s="33">
        <f>ROUNDUP(I780+(I780*Assumptions!I$5),-2)</f>
        <v>8200</v>
      </c>
      <c r="K780" s="33">
        <f>ROUNDUP(J780+(J780*Assumptions!J$5),-2)</f>
        <v>8500</v>
      </c>
      <c r="L780" s="33">
        <f>ROUNDUP(K780+(K780*Assumptions!K$5),-2)</f>
        <v>8800</v>
      </c>
      <c r="M780" s="33">
        <f>ROUNDUP(L780+(L780*Assumptions!L$5),-2)</f>
        <v>9000</v>
      </c>
      <c r="N780" s="33">
        <f>ROUNDUP(M780+(M780*Assumptions!M$5),-2)</f>
        <v>9200</v>
      </c>
      <c r="O780" s="33">
        <f>ROUNDUP(N780+(N780*Assumptions!N$5),-2)</f>
        <v>9400</v>
      </c>
      <c r="P780" s="33">
        <f>ROUNDUP(O780+(O780*Assumptions!O$5),-2)</f>
        <v>9600</v>
      </c>
      <c r="Q780" s="33">
        <f>ROUNDUP(P780+(P780*Assumptions!P$5),-2)</f>
        <v>9800</v>
      </c>
      <c r="R780" s="114">
        <f>ROUNDUP(Q780+(Q780*Assumptions!Q$5),-2)</f>
        <v>10000</v>
      </c>
    </row>
    <row r="781" spans="1:18" x14ac:dyDescent="0.2">
      <c r="A781" s="107"/>
      <c r="B781" s="33"/>
      <c r="E781" s="658"/>
      <c r="F781" s="1308" t="s">
        <v>3834</v>
      </c>
      <c r="G781" s="187"/>
      <c r="H781" s="138"/>
      <c r="I781" s="33"/>
      <c r="J781" s="33"/>
      <c r="K781" s="33"/>
      <c r="L781" s="33"/>
      <c r="M781" s="33"/>
      <c r="N781" s="33"/>
      <c r="O781" s="33"/>
      <c r="P781" s="33"/>
      <c r="Q781" s="33"/>
      <c r="R781" s="114"/>
    </row>
    <row r="782" spans="1:18" x14ac:dyDescent="0.2">
      <c r="A782" s="107">
        <v>42100</v>
      </c>
      <c r="B782" s="33">
        <v>41400</v>
      </c>
      <c r="C782" s="189">
        <v>42000</v>
      </c>
      <c r="D782" s="189">
        <v>35300</v>
      </c>
      <c r="E782" s="658" t="s">
        <v>1240</v>
      </c>
      <c r="F782" s="3" t="s">
        <v>617</v>
      </c>
      <c r="G782" s="187">
        <f>G763*2</f>
        <v>38000</v>
      </c>
      <c r="H782" s="138">
        <f>IF(D782=G782,0,IF(D782=0,100,(G782-D782)/D782*100))</f>
        <v>7.6487252124645897</v>
      </c>
      <c r="I782" s="33">
        <f t="shared" ref="I782:Q782" si="1224">I763*2</f>
        <v>38600</v>
      </c>
      <c r="J782" s="33">
        <f t="shared" si="1224"/>
        <v>39600</v>
      </c>
      <c r="K782" s="33">
        <f t="shared" si="1224"/>
        <v>40600</v>
      </c>
      <c r="L782" s="33">
        <f t="shared" si="1224"/>
        <v>41800</v>
      </c>
      <c r="M782" s="33">
        <f t="shared" si="1224"/>
        <v>42800</v>
      </c>
      <c r="N782" s="33">
        <f t="shared" si="1224"/>
        <v>43800</v>
      </c>
      <c r="O782" s="33">
        <f t="shared" si="1224"/>
        <v>44800</v>
      </c>
      <c r="P782" s="33">
        <f t="shared" si="1224"/>
        <v>45800</v>
      </c>
      <c r="Q782" s="33">
        <f t="shared" si="1224"/>
        <v>46800</v>
      </c>
      <c r="R782" s="114">
        <f t="shared" ref="R782" si="1225">R763*2</f>
        <v>47800</v>
      </c>
    </row>
    <row r="783" spans="1:18" x14ac:dyDescent="0.2">
      <c r="A783" s="107">
        <v>7200</v>
      </c>
      <c r="B783" s="33">
        <v>5700</v>
      </c>
      <c r="C783" s="189">
        <f>C764*2</f>
        <v>7000</v>
      </c>
      <c r="D783" s="189">
        <v>5700</v>
      </c>
      <c r="E783" s="658" t="s">
        <v>1241</v>
      </c>
      <c r="F783" s="3" t="s">
        <v>334</v>
      </c>
      <c r="G783" s="187">
        <f>G764*2</f>
        <v>7000</v>
      </c>
      <c r="H783" s="138">
        <f>IF(D783=G783,0,IF(D783=0,100,(G783-D783)/D783*100))</f>
        <v>22.807017543859647</v>
      </c>
      <c r="I783" s="33">
        <f t="shared" ref="I783:Q783" si="1226">I764*2</f>
        <v>7200</v>
      </c>
      <c r="J783" s="33">
        <f t="shared" si="1226"/>
        <v>7400</v>
      </c>
      <c r="K783" s="33">
        <f t="shared" si="1226"/>
        <v>7600</v>
      </c>
      <c r="L783" s="33">
        <f t="shared" si="1226"/>
        <v>7800</v>
      </c>
      <c r="M783" s="33">
        <f t="shared" si="1226"/>
        <v>8000</v>
      </c>
      <c r="N783" s="33">
        <f t="shared" si="1226"/>
        <v>8200</v>
      </c>
      <c r="O783" s="33">
        <f t="shared" si="1226"/>
        <v>8400</v>
      </c>
      <c r="P783" s="33">
        <f t="shared" si="1226"/>
        <v>8600</v>
      </c>
      <c r="Q783" s="33">
        <f t="shared" si="1226"/>
        <v>8800</v>
      </c>
      <c r="R783" s="114">
        <f t="shared" ref="R783" si="1227">R764*2</f>
        <v>9000</v>
      </c>
    </row>
    <row r="784" spans="1:18" x14ac:dyDescent="0.2">
      <c r="A784" s="107">
        <v>38800</v>
      </c>
      <c r="B784" s="33">
        <f>81600-47100</f>
        <v>34500</v>
      </c>
      <c r="C784" s="189">
        <f>C765</f>
        <v>25000</v>
      </c>
      <c r="D784" s="189">
        <v>14600</v>
      </c>
      <c r="E784" s="1092" t="s">
        <v>6569</v>
      </c>
      <c r="F784" s="1099" t="s">
        <v>1788</v>
      </c>
      <c r="G784" s="187">
        <f>G765</f>
        <v>12000</v>
      </c>
      <c r="H784" s="138">
        <f>IF(D784=G784,0,IF(D784=0,100,(G784-D784)/D784*100))</f>
        <v>-17.80821917808219</v>
      </c>
      <c r="I784" s="33">
        <f t="shared" ref="I784:Q784" si="1228">I765</f>
        <v>12200</v>
      </c>
      <c r="J784" s="33">
        <f t="shared" si="1228"/>
        <v>12600</v>
      </c>
      <c r="K784" s="33">
        <f t="shared" si="1228"/>
        <v>13000</v>
      </c>
      <c r="L784" s="33">
        <f t="shared" si="1228"/>
        <v>13400</v>
      </c>
      <c r="M784" s="33">
        <f t="shared" si="1228"/>
        <v>13700</v>
      </c>
      <c r="N784" s="33">
        <f t="shared" si="1228"/>
        <v>14000</v>
      </c>
      <c r="O784" s="33">
        <f t="shared" si="1228"/>
        <v>14300</v>
      </c>
      <c r="P784" s="33">
        <f t="shared" si="1228"/>
        <v>14600</v>
      </c>
      <c r="Q784" s="33">
        <f t="shared" si="1228"/>
        <v>14900</v>
      </c>
      <c r="R784" s="114">
        <f t="shared" ref="R784" si="1229">R765</f>
        <v>15200</v>
      </c>
    </row>
    <row r="785" spans="1:18" x14ac:dyDescent="0.2">
      <c r="A785" s="107"/>
      <c r="B785" s="33"/>
      <c r="E785" s="658"/>
      <c r="F785" s="8" t="s">
        <v>416</v>
      </c>
      <c r="G785" s="187"/>
      <c r="H785" s="138"/>
      <c r="I785" s="33"/>
      <c r="J785" s="33"/>
      <c r="K785" s="33"/>
      <c r="L785" s="33"/>
      <c r="M785" s="33"/>
      <c r="N785" s="33"/>
      <c r="O785" s="33"/>
      <c r="P785" s="33"/>
      <c r="Q785" s="33"/>
      <c r="R785" s="114"/>
    </row>
    <row r="786" spans="1:18" x14ac:dyDescent="0.2">
      <c r="A786" s="107">
        <f>43000+22000</f>
        <v>65000</v>
      </c>
      <c r="B786" s="33">
        <v>5800</v>
      </c>
      <c r="C786" s="189">
        <v>10000</v>
      </c>
      <c r="D786" s="189">
        <v>2600</v>
      </c>
      <c r="E786" s="1092" t="s">
        <v>3023</v>
      </c>
      <c r="F786" s="890" t="s">
        <v>3061</v>
      </c>
      <c r="G786" s="187">
        <v>10000</v>
      </c>
      <c r="H786" s="138">
        <f>IF(D786=G786,0,IF(D786=0,100,(G786-D786)/D786*100))</f>
        <v>284.61538461538464</v>
      </c>
      <c r="I786" s="33">
        <v>10000</v>
      </c>
      <c r="J786" s="33">
        <f>ROUNDUP(I786+(I786*Assumptions!I$5),-2)</f>
        <v>10300</v>
      </c>
      <c r="K786" s="33">
        <f>ROUNDUP(J786+(J786*Assumptions!J$5),-2)</f>
        <v>10600</v>
      </c>
      <c r="L786" s="33">
        <f>ROUNDUP(K786+(K786*Assumptions!K$5),-2)</f>
        <v>10900</v>
      </c>
      <c r="M786" s="33">
        <f>ROUNDUP(L786+(L786*Assumptions!L$5),-2)</f>
        <v>11200</v>
      </c>
      <c r="N786" s="33">
        <f>ROUNDUP(M786+(M786*Assumptions!M$5),-2)</f>
        <v>11500</v>
      </c>
      <c r="O786" s="33">
        <f>ROUNDUP(N786+(N786*Assumptions!N$5),-2)</f>
        <v>11800</v>
      </c>
      <c r="P786" s="33">
        <f>ROUNDUP(O786+(O786*Assumptions!O$5),-2)</f>
        <v>12100</v>
      </c>
      <c r="Q786" s="33">
        <f>ROUNDUP(P786+(P786*Assumptions!P$5),-2)</f>
        <v>12400</v>
      </c>
      <c r="R786" s="114">
        <f>ROUNDUP(Q786+(Q786*Assumptions!Q$5),-2)</f>
        <v>12700</v>
      </c>
    </row>
    <row r="787" spans="1:18" x14ac:dyDescent="0.2">
      <c r="A787" s="107">
        <v>0</v>
      </c>
      <c r="B787" s="33">
        <v>0</v>
      </c>
      <c r="C787" s="189">
        <v>0</v>
      </c>
      <c r="D787" s="189">
        <v>0</v>
      </c>
      <c r="E787" s="1092" t="s">
        <v>6546</v>
      </c>
      <c r="F787" s="890" t="s">
        <v>5344</v>
      </c>
      <c r="G787" s="187">
        <v>26600</v>
      </c>
      <c r="H787" s="138">
        <f>IF(D787=G787,0,IF(D787=0,100,(G787-D787)/D787*100))</f>
        <v>100</v>
      </c>
      <c r="I787" s="33">
        <v>0</v>
      </c>
      <c r="J787" s="33">
        <v>0</v>
      </c>
      <c r="K787" s="33">
        <v>0</v>
      </c>
      <c r="L787" s="33">
        <v>0</v>
      </c>
      <c r="M787" s="33">
        <v>0</v>
      </c>
      <c r="N787" s="33">
        <v>0</v>
      </c>
      <c r="O787" s="33">
        <v>0</v>
      </c>
      <c r="P787" s="33">
        <v>0</v>
      </c>
      <c r="Q787" s="33">
        <v>0</v>
      </c>
      <c r="R787" s="114">
        <v>0</v>
      </c>
    </row>
    <row r="788" spans="1:18" x14ac:dyDescent="0.2">
      <c r="A788" s="107"/>
      <c r="B788" s="33"/>
      <c r="E788" s="658"/>
      <c r="F788" s="6" t="s">
        <v>1486</v>
      </c>
      <c r="G788" s="187"/>
      <c r="H788" s="138"/>
      <c r="I788" s="33"/>
      <c r="J788" s="33"/>
      <c r="K788" s="33"/>
      <c r="L788" s="33"/>
      <c r="M788" s="33"/>
      <c r="N788" s="33"/>
      <c r="O788" s="33"/>
      <c r="P788" s="33"/>
      <c r="Q788" s="33"/>
      <c r="R788" s="114"/>
    </row>
    <row r="789" spans="1:18" x14ac:dyDescent="0.2">
      <c r="A789" s="107">
        <v>22500</v>
      </c>
      <c r="B789" s="33">
        <v>64700</v>
      </c>
      <c r="C789" s="189">
        <f>24000+3500</f>
        <v>27500</v>
      </c>
      <c r="D789" s="189">
        <v>61800</v>
      </c>
      <c r="E789" s="658" t="s">
        <v>1386</v>
      </c>
      <c r="F789" s="1981" t="s">
        <v>964</v>
      </c>
      <c r="G789" s="187">
        <v>29000</v>
      </c>
      <c r="H789" s="138">
        <f>IF(D789=G789,0,IF(D789=0,100,(G789-D789)/D789*100))</f>
        <v>-53.074433656957929</v>
      </c>
      <c r="I789" s="33">
        <f>ROUNDUP(G789+(G789*Assumptions!H$5),-2)</f>
        <v>29500</v>
      </c>
      <c r="J789" s="33">
        <f>ROUNDUP(I789+(I789*Assumptions!I$5),-2)</f>
        <v>30300</v>
      </c>
      <c r="K789" s="33">
        <f>ROUNDUP(J789+(J789*Assumptions!J$5),-2)</f>
        <v>31100</v>
      </c>
      <c r="L789" s="33">
        <f>ROUNDUP(K789+(K789*Assumptions!K$5),-2)</f>
        <v>31900</v>
      </c>
      <c r="M789" s="33">
        <f>ROUNDUP(L789+(L789*Assumptions!L$5),-2)</f>
        <v>32600</v>
      </c>
      <c r="N789" s="33">
        <f>ROUNDUP(M789+(M789*Assumptions!M$5),-2)</f>
        <v>33300</v>
      </c>
      <c r="O789" s="33">
        <f>ROUNDUP(N789+(N789*Assumptions!N$5),-2)</f>
        <v>34000</v>
      </c>
      <c r="P789" s="33">
        <f>ROUNDUP(O789+(O789*Assumptions!O$5),-2)</f>
        <v>34700</v>
      </c>
      <c r="Q789" s="33">
        <f>ROUNDUP(P789+(P789*Assumptions!P$5),-2)</f>
        <v>35400</v>
      </c>
      <c r="R789" s="114">
        <f>ROUNDUP(Q789+(Q789*Assumptions!Q$5),-2)</f>
        <v>36200</v>
      </c>
    </row>
    <row r="790" spans="1:18" x14ac:dyDescent="0.2">
      <c r="A790" s="107"/>
      <c r="B790" s="33"/>
      <c r="E790" s="658"/>
      <c r="F790" s="439" t="s">
        <v>2161</v>
      </c>
      <c r="G790" s="198"/>
      <c r="H790" s="138"/>
      <c r="I790" s="33"/>
      <c r="J790" s="33"/>
      <c r="K790" s="33"/>
      <c r="L790" s="33"/>
      <c r="M790" s="33"/>
      <c r="N790" s="33"/>
      <c r="O790" s="33"/>
      <c r="P790" s="33"/>
      <c r="Q790" s="33"/>
      <c r="R790" s="114"/>
    </row>
    <row r="791" spans="1:18" x14ac:dyDescent="0.2">
      <c r="A791" s="107">
        <v>8100</v>
      </c>
      <c r="B791" s="33">
        <v>4800</v>
      </c>
      <c r="C791" s="189">
        <f>5000+11000</f>
        <v>16000</v>
      </c>
      <c r="D791" s="189">
        <v>6100</v>
      </c>
      <c r="E791" s="658" t="s">
        <v>283</v>
      </c>
      <c r="F791" s="443" t="s">
        <v>676</v>
      </c>
      <c r="G791" s="198">
        <v>5000</v>
      </c>
      <c r="H791" s="138">
        <f>IF(D791=G791,0,IF(D791=0,100,(G791-D791)/D791*100))</f>
        <v>-18.032786885245901</v>
      </c>
      <c r="I791" s="33">
        <v>5000</v>
      </c>
      <c r="J791" s="33">
        <f>ROUNDUP(I791+(I791*Assumptions!I$5),-2)</f>
        <v>5200</v>
      </c>
      <c r="K791" s="33">
        <f>ROUNDUP(J791+(J791*Assumptions!J$5),-2)</f>
        <v>5400</v>
      </c>
      <c r="L791" s="33">
        <f>ROUNDUP(K791+(K791*Assumptions!K$5),-2)</f>
        <v>5600</v>
      </c>
      <c r="M791" s="33">
        <f>ROUNDUP(L791+(L791*Assumptions!L$5),-2)</f>
        <v>5800</v>
      </c>
      <c r="N791" s="33">
        <f>ROUNDUP(M791+(M791*Assumptions!M$5),-2)</f>
        <v>6000</v>
      </c>
      <c r="O791" s="33">
        <f>ROUNDUP(N791+(N791*Assumptions!N$5),-2)</f>
        <v>6200</v>
      </c>
      <c r="P791" s="33">
        <f>ROUNDUP(O791+(O791*Assumptions!O$5),-2)</f>
        <v>6400</v>
      </c>
      <c r="Q791" s="33">
        <f>ROUNDUP(P791+(P791*Assumptions!P$5),-2)</f>
        <v>6600</v>
      </c>
      <c r="R791" s="114">
        <f>ROUNDUP(Q791+(Q791*Assumptions!Q$5),-2)</f>
        <v>6800</v>
      </c>
    </row>
    <row r="792" spans="1:18" x14ac:dyDescent="0.2">
      <c r="A792" s="107">
        <v>4600</v>
      </c>
      <c r="B792" s="33">
        <v>0</v>
      </c>
      <c r="C792" s="189">
        <v>5000</v>
      </c>
      <c r="D792" s="189">
        <v>800</v>
      </c>
      <c r="E792" s="658" t="s">
        <v>284</v>
      </c>
      <c r="F792" s="443" t="s">
        <v>2774</v>
      </c>
      <c r="G792" s="198">
        <v>5400</v>
      </c>
      <c r="H792" s="138">
        <f>IF(D792=G792,0,IF(D792=0,100,(G792-D792)/D792*100))</f>
        <v>575</v>
      </c>
      <c r="I792" s="33">
        <f>ROUNDUP(G792+(G792*Assumptions!H$5),-2)</f>
        <v>5500</v>
      </c>
      <c r="J792" s="33">
        <f>ROUNDUP(I792+(I792*Assumptions!I$5),-2)</f>
        <v>5700</v>
      </c>
      <c r="K792" s="33">
        <f>ROUNDUP(J792+(J792*Assumptions!J$5),-2)</f>
        <v>5900</v>
      </c>
      <c r="L792" s="33">
        <f>ROUNDUP(K792+(K792*Assumptions!K$5),-2)</f>
        <v>6100</v>
      </c>
      <c r="M792" s="33">
        <f>ROUNDUP(L792+(L792*Assumptions!L$5),-2)</f>
        <v>6300</v>
      </c>
      <c r="N792" s="33">
        <f>ROUNDUP(M792+(M792*Assumptions!M$5),-2)</f>
        <v>6500</v>
      </c>
      <c r="O792" s="33">
        <f>ROUNDUP(N792+(N792*Assumptions!N$5),-2)</f>
        <v>6700</v>
      </c>
      <c r="P792" s="33">
        <f>ROUNDUP(O792+(O792*Assumptions!O$5),-2)</f>
        <v>6900</v>
      </c>
      <c r="Q792" s="33">
        <f>ROUNDUP(P792+(P792*Assumptions!P$5),-2)</f>
        <v>7100</v>
      </c>
      <c r="R792" s="114">
        <f>ROUNDUP(Q792+(Q792*Assumptions!Q$5),-2)</f>
        <v>7300</v>
      </c>
    </row>
    <row r="793" spans="1:18" x14ac:dyDescent="0.2">
      <c r="A793" s="107">
        <v>400</v>
      </c>
      <c r="B793" s="33">
        <v>500</v>
      </c>
      <c r="C793" s="189">
        <v>1000</v>
      </c>
      <c r="D793" s="189">
        <v>900</v>
      </c>
      <c r="E793" s="658" t="s">
        <v>350</v>
      </c>
      <c r="F793" s="443" t="s">
        <v>480</v>
      </c>
      <c r="G793" s="198">
        <v>1000</v>
      </c>
      <c r="H793" s="138">
        <f>IF(D793=G793,0,IF(D793=0,100,(G793-D793)/D793*100))</f>
        <v>11.111111111111111</v>
      </c>
      <c r="I793" s="33">
        <v>1000</v>
      </c>
      <c r="J793" s="33">
        <f>ROUNDUP(I793+(I793*Assumptions!I$5),-2)</f>
        <v>1100</v>
      </c>
      <c r="K793" s="33">
        <f>ROUNDUP(J793+(J793*Assumptions!J$5),-2)</f>
        <v>1200</v>
      </c>
      <c r="L793" s="33">
        <f>ROUNDUP(K793+(K793*Assumptions!K$5),-2)</f>
        <v>1300</v>
      </c>
      <c r="M793" s="33">
        <f>ROUNDUP(L793+(L793*Assumptions!L$5),-2)</f>
        <v>1400</v>
      </c>
      <c r="N793" s="33">
        <f>ROUNDUP(M793+(M793*Assumptions!M$5),-2)</f>
        <v>1500</v>
      </c>
      <c r="O793" s="33">
        <f>ROUNDUP(N793+(N793*Assumptions!N$5),-2)</f>
        <v>1600</v>
      </c>
      <c r="P793" s="33">
        <f>ROUNDUP(O793+(O793*Assumptions!O$5),-2)</f>
        <v>1700</v>
      </c>
      <c r="Q793" s="33">
        <f>ROUNDUP(P793+(P793*Assumptions!P$5),-2)</f>
        <v>1800</v>
      </c>
      <c r="R793" s="114">
        <f>ROUNDUP(Q793+(Q793*Assumptions!Q$5),-2)</f>
        <v>1900</v>
      </c>
    </row>
    <row r="794" spans="1:18" x14ac:dyDescent="0.2">
      <c r="A794" s="107">
        <v>40700</v>
      </c>
      <c r="B794" s="33">
        <v>50600</v>
      </c>
      <c r="C794" s="189">
        <f>62000-10000+10000</f>
        <v>62000</v>
      </c>
      <c r="D794" s="189">
        <v>72800</v>
      </c>
      <c r="E794" s="658" t="s">
        <v>1016</v>
      </c>
      <c r="F794" s="443" t="s">
        <v>365</v>
      </c>
      <c r="G794" s="198">
        <f>74000+5000</f>
        <v>79000</v>
      </c>
      <c r="H794" s="138">
        <f>IF(D794=G794,0,IF(D794=0,100,(G794-D794)/D794*100))</f>
        <v>8.5164835164835164</v>
      </c>
      <c r="I794" s="33">
        <f>ROUNDUP(G794+(G794*Assumptions!H$5),-2)</f>
        <v>80200</v>
      </c>
      <c r="J794" s="33">
        <f>ROUNDUP(I794+(I794*Assumptions!I$5),-2)</f>
        <v>82300</v>
      </c>
      <c r="K794" s="33">
        <f>ROUNDUP(J794+(J794*Assumptions!J$5),-2)</f>
        <v>84400</v>
      </c>
      <c r="L794" s="33">
        <f>ROUNDUP(K794+(K794*Assumptions!K$5),-2)</f>
        <v>86600</v>
      </c>
      <c r="M794" s="33">
        <f>ROUNDUP(L794+(L794*Assumptions!L$5),-2)</f>
        <v>88400</v>
      </c>
      <c r="N794" s="33">
        <f>ROUNDUP(M794+(M794*Assumptions!M$5),-2)</f>
        <v>90200</v>
      </c>
      <c r="O794" s="33">
        <f>ROUNDUP(N794+(N794*Assumptions!N$5),-2)</f>
        <v>92100</v>
      </c>
      <c r="P794" s="33">
        <f>ROUNDUP(O794+(O794*Assumptions!O$5),-2)</f>
        <v>94000</v>
      </c>
      <c r="Q794" s="33">
        <f>ROUNDUP(P794+(P794*Assumptions!P$5),-2)</f>
        <v>95900</v>
      </c>
      <c r="R794" s="114">
        <f>ROUNDUP(Q794+(Q794*Assumptions!Q$5),-2)</f>
        <v>97900</v>
      </c>
    </row>
    <row r="795" spans="1:18" x14ac:dyDescent="0.2">
      <c r="A795" s="107"/>
      <c r="B795" s="33"/>
      <c r="E795" s="658"/>
      <c r="F795" s="602" t="str">
        <f>F101</f>
        <v>Non-Cash Expenses</v>
      </c>
      <c r="G795" s="198"/>
      <c r="H795" s="138"/>
      <c r="I795" s="33"/>
      <c r="J795" s="33"/>
      <c r="K795" s="33"/>
      <c r="L795" s="33"/>
      <c r="M795" s="33"/>
      <c r="N795" s="33"/>
      <c r="O795" s="33"/>
      <c r="P795" s="33"/>
      <c r="Q795" s="33"/>
      <c r="R795" s="114"/>
    </row>
    <row r="796" spans="1:18" x14ac:dyDescent="0.2">
      <c r="A796" s="107">
        <v>17800</v>
      </c>
      <c r="B796" s="33">
        <v>0</v>
      </c>
      <c r="C796" s="189">
        <v>99900</v>
      </c>
      <c r="D796" s="189">
        <v>101500</v>
      </c>
      <c r="E796" s="658" t="s">
        <v>109</v>
      </c>
      <c r="F796" s="366" t="s">
        <v>763</v>
      </c>
      <c r="G796" s="198">
        <v>100000</v>
      </c>
      <c r="H796" s="138">
        <f>IF(D796=G796,0,IF(D796=0,100,(G796-D796)/D796*100))</f>
        <v>-1.4778325123152709</v>
      </c>
      <c r="I796" s="33">
        <f>ROUNDUP(G796+(G796*Assumptions!H$18),-2)</f>
        <v>102000</v>
      </c>
      <c r="J796" s="33">
        <f>ROUNDUP(I796+(I796*Assumptions!I$18),-2)</f>
        <v>104100</v>
      </c>
      <c r="K796" s="33">
        <f>ROUNDUP(J796+(J796*Assumptions!J$18),-2)</f>
        <v>106200</v>
      </c>
      <c r="L796" s="33">
        <f>ROUNDUP(K796+(K796*Assumptions!K$18),-2)</f>
        <v>108400</v>
      </c>
      <c r="M796" s="33">
        <f>ROUNDUP(L796+(L796*Assumptions!L$18),-2)</f>
        <v>110600</v>
      </c>
      <c r="N796" s="33">
        <f>ROUNDUP(M796+(M796*Assumptions!M$18),-2)</f>
        <v>112900</v>
      </c>
      <c r="O796" s="33">
        <f>ROUNDUP(N796+(N796*Assumptions!N$18),-2)</f>
        <v>115200</v>
      </c>
      <c r="P796" s="33">
        <f>ROUNDUP(O796+(O796*Assumptions!O$18),-2)</f>
        <v>117600</v>
      </c>
      <c r="Q796" s="33">
        <f>ROUNDUP(P796+(P796*Assumptions!P$18),-2)</f>
        <v>120000</v>
      </c>
      <c r="R796" s="114">
        <f>ROUNDUP(Q796+(Q796*Assumptions!Q$18),-2)</f>
        <v>122400</v>
      </c>
    </row>
    <row r="797" spans="1:18" x14ac:dyDescent="0.2">
      <c r="A797" s="107">
        <v>173200</v>
      </c>
      <c r="B797" s="33">
        <v>700</v>
      </c>
      <c r="C797" s="189">
        <v>0</v>
      </c>
      <c r="D797" s="189">
        <v>0</v>
      </c>
      <c r="E797" s="658" t="s">
        <v>374</v>
      </c>
      <c r="F797" s="601" t="s">
        <v>2787</v>
      </c>
      <c r="G797" s="198">
        <v>0</v>
      </c>
      <c r="H797" s="138">
        <f>IF(D797=G797,0,IF(D797=0,100,(G797-D797)/D797*100))</f>
        <v>0</v>
      </c>
      <c r="I797" s="33">
        <f>ROUNDUP(G797+(G797*Assumptions!H$18),-2)</f>
        <v>0</v>
      </c>
      <c r="J797" s="33">
        <f>ROUNDUP(I797+(I797*Assumptions!I$18),-2)</f>
        <v>0</v>
      </c>
      <c r="K797" s="33">
        <f>ROUNDUP(J797+(J797*Assumptions!J$18),-2)</f>
        <v>0</v>
      </c>
      <c r="L797" s="33">
        <f>ROUNDUP(K797+(K797*Assumptions!K$18),-2)</f>
        <v>0</v>
      </c>
      <c r="M797" s="33">
        <f>ROUNDUP(L797+(L797*Assumptions!L$18),-2)</f>
        <v>0</v>
      </c>
      <c r="N797" s="33">
        <f>ROUNDUP(M797+(M797*Assumptions!M$18),-2)</f>
        <v>0</v>
      </c>
      <c r="O797" s="33">
        <f>ROUNDUP(N797+(N797*Assumptions!N$18),-2)</f>
        <v>0</v>
      </c>
      <c r="P797" s="33">
        <f>ROUNDUP(O797+(O797*Assumptions!O$18),-2)</f>
        <v>0</v>
      </c>
      <c r="Q797" s="33">
        <f>ROUNDUP(P797+(P797*Assumptions!P$18),-2)</f>
        <v>0</v>
      </c>
      <c r="R797" s="114">
        <f>ROUNDUP(Q797+(Q797*Assumptions!Q$18),-2)</f>
        <v>0</v>
      </c>
    </row>
    <row r="798" spans="1:18" ht="13.5" thickBot="1" x14ac:dyDescent="0.25">
      <c r="A798" s="107"/>
      <c r="B798" s="33"/>
      <c r="E798" s="240"/>
      <c r="F798" s="366"/>
      <c r="G798" s="2606"/>
      <c r="H798" s="138"/>
      <c r="I798" s="33"/>
      <c r="J798" s="33"/>
      <c r="K798" s="33"/>
      <c r="L798" s="33"/>
      <c r="M798" s="33"/>
      <c r="N798" s="33"/>
      <c r="O798" s="33"/>
      <c r="P798" s="33"/>
      <c r="Q798" s="33"/>
      <c r="R798" s="114"/>
    </row>
    <row r="799" spans="1:18" s="92" customFormat="1" x14ac:dyDescent="0.2">
      <c r="A799" s="105">
        <f>SUM(A769:A797)</f>
        <v>2422800</v>
      </c>
      <c r="B799" s="53">
        <f>SUM(B769:B797)</f>
        <v>2053400</v>
      </c>
      <c r="C799" s="155">
        <f>SUM(C769:C797)</f>
        <v>2505100</v>
      </c>
      <c r="D799" s="53">
        <f>SUM(D769:D797)</f>
        <v>2621900</v>
      </c>
      <c r="E799" s="1990"/>
      <c r="F799" s="378" t="s">
        <v>565</v>
      </c>
      <c r="G799" s="460">
        <f>SUM(G769:G797)</f>
        <v>2669400</v>
      </c>
      <c r="H799" s="180">
        <f>IF(D799=G799,0,IF(D799=0,100,(G799-D799)/D799*100))</f>
        <v>1.8116632976086047</v>
      </c>
      <c r="I799" s="53">
        <f t="shared" ref="I799:Q799" si="1230">SUM(I769:I797)</f>
        <v>2705100</v>
      </c>
      <c r="J799" s="53">
        <f t="shared" si="1230"/>
        <v>2773100</v>
      </c>
      <c r="K799" s="53">
        <f t="shared" si="1230"/>
        <v>2842800</v>
      </c>
      <c r="L799" s="53">
        <f t="shared" si="1230"/>
        <v>2914400</v>
      </c>
      <c r="M799" s="53">
        <f t="shared" si="1230"/>
        <v>2985800</v>
      </c>
      <c r="N799" s="53">
        <f t="shared" si="1230"/>
        <v>3058900</v>
      </c>
      <c r="O799" s="53">
        <f t="shared" si="1230"/>
        <v>3133600</v>
      </c>
      <c r="P799" s="53">
        <f t="shared" si="1230"/>
        <v>3210000</v>
      </c>
      <c r="Q799" s="53">
        <f t="shared" si="1230"/>
        <v>3288100</v>
      </c>
      <c r="R799" s="113">
        <f t="shared" ref="R799" si="1231">SUM(R769:R797)</f>
        <v>3368400</v>
      </c>
    </row>
    <row r="800" spans="1:18" x14ac:dyDescent="0.2">
      <c r="A800" s="107"/>
      <c r="B800" s="33"/>
      <c r="E800" s="1955"/>
      <c r="F800" s="366"/>
      <c r="G800" s="198"/>
      <c r="H800" s="138"/>
      <c r="I800" s="33"/>
      <c r="J800" s="33"/>
      <c r="K800" s="33"/>
      <c r="L800" s="33"/>
      <c r="M800" s="33"/>
      <c r="N800" s="33"/>
      <c r="O800" s="33"/>
      <c r="P800" s="33"/>
      <c r="Q800" s="33"/>
      <c r="R800" s="114"/>
    </row>
    <row r="801" spans="1:18" s="92" customFormat="1" x14ac:dyDescent="0.2">
      <c r="A801" s="70">
        <f>A767-A799</f>
        <v>-2062900</v>
      </c>
      <c r="B801" s="64">
        <f>B767-B799</f>
        <v>-1745100</v>
      </c>
      <c r="C801" s="193">
        <f>C767-C799</f>
        <v>-2183300</v>
      </c>
      <c r="D801" s="193">
        <f>D767-D799</f>
        <v>-2367500</v>
      </c>
      <c r="E801" s="237"/>
      <c r="F801" s="516" t="s">
        <v>1019</v>
      </c>
      <c r="G801" s="197">
        <f>G767-G799</f>
        <v>-2380900</v>
      </c>
      <c r="H801" s="179">
        <f>IF(D801=G801,0,IF(D801=0,100,(G801-D801)/D801*100))</f>
        <v>0.56599788806758178</v>
      </c>
      <c r="I801" s="64">
        <f t="shared" ref="I801:Q801" si="1232">I767-I799</f>
        <v>-2434500</v>
      </c>
      <c r="J801" s="64">
        <f t="shared" si="1232"/>
        <v>-2495300</v>
      </c>
      <c r="K801" s="64">
        <f t="shared" si="1232"/>
        <v>-2557500</v>
      </c>
      <c r="L801" s="64">
        <f t="shared" si="1232"/>
        <v>-2621400</v>
      </c>
      <c r="M801" s="64">
        <f t="shared" si="1232"/>
        <v>-2686400</v>
      </c>
      <c r="N801" s="64">
        <f t="shared" si="1232"/>
        <v>-2753000</v>
      </c>
      <c r="O801" s="64">
        <f t="shared" si="1232"/>
        <v>-2821100</v>
      </c>
      <c r="P801" s="64">
        <f t="shared" si="1232"/>
        <v>-2890800</v>
      </c>
      <c r="Q801" s="64">
        <f t="shared" si="1232"/>
        <v>-2962100</v>
      </c>
      <c r="R801" s="115">
        <f t="shared" ref="R801" si="1233">R767-R799</f>
        <v>-3035500</v>
      </c>
    </row>
    <row r="802" spans="1:18" x14ac:dyDescent="0.2">
      <c r="A802" s="107">
        <f>ROUND(A797+A796,-3)</f>
        <v>191000</v>
      </c>
      <c r="B802" s="33">
        <f>B797+B796</f>
        <v>700</v>
      </c>
      <c r="C802" s="189">
        <f>C797+C796</f>
        <v>99900</v>
      </c>
      <c r="D802" s="189">
        <f>D797+D796</f>
        <v>101500</v>
      </c>
      <c r="E802" s="1955"/>
      <c r="F802" s="604" t="s">
        <v>1976</v>
      </c>
      <c r="G802" s="198">
        <f t="shared" ref="G802:O802" si="1234">G797+G796</f>
        <v>100000</v>
      </c>
      <c r="H802" s="138">
        <f>IF(D802=G802,0,IF(D802=0,100,(G802-D802)/D802*100))</f>
        <v>-1.4778325123152709</v>
      </c>
      <c r="I802" s="33">
        <f t="shared" si="1234"/>
        <v>102000</v>
      </c>
      <c r="J802" s="33">
        <f t="shared" si="1234"/>
        <v>104100</v>
      </c>
      <c r="K802" s="33">
        <f t="shared" si="1234"/>
        <v>106200</v>
      </c>
      <c r="L802" s="33">
        <f t="shared" si="1234"/>
        <v>108400</v>
      </c>
      <c r="M802" s="33">
        <f t="shared" si="1234"/>
        <v>110600</v>
      </c>
      <c r="N802" s="33">
        <f t="shared" si="1234"/>
        <v>112900</v>
      </c>
      <c r="O802" s="33">
        <f t="shared" si="1234"/>
        <v>115200</v>
      </c>
      <c r="P802" s="33">
        <f t="shared" ref="P802:Q802" si="1235">P797+P796</f>
        <v>117600</v>
      </c>
      <c r="Q802" s="33">
        <f t="shared" si="1235"/>
        <v>120000</v>
      </c>
      <c r="R802" s="114">
        <f t="shared" ref="R802" si="1236">R797+R796</f>
        <v>122400</v>
      </c>
    </row>
    <row r="803" spans="1:18" s="92" customFormat="1" x14ac:dyDescent="0.2">
      <c r="A803" s="181">
        <f>A801+A802</f>
        <v>-1871900</v>
      </c>
      <c r="B803" s="397">
        <f>B801+B802</f>
        <v>-1744400</v>
      </c>
      <c r="C803" s="397">
        <f>C801+C802</f>
        <v>-2083400</v>
      </c>
      <c r="D803" s="397">
        <f>D801+D802</f>
        <v>-2266000</v>
      </c>
      <c r="E803" s="523"/>
      <c r="F803" s="515" t="s">
        <v>1687</v>
      </c>
      <c r="G803" s="709">
        <f t="shared" ref="G803:O803" si="1237">G801+G802</f>
        <v>-2280900</v>
      </c>
      <c r="H803" s="395">
        <f>IF(D803=G803,0,IF(D803=0,100,(G803-D803)/D803*100))</f>
        <v>0.6575463371579876</v>
      </c>
      <c r="I803" s="397">
        <f t="shared" si="1237"/>
        <v>-2332500</v>
      </c>
      <c r="J803" s="397">
        <f t="shared" si="1237"/>
        <v>-2391200</v>
      </c>
      <c r="K803" s="397">
        <f t="shared" si="1237"/>
        <v>-2451300</v>
      </c>
      <c r="L803" s="397">
        <f t="shared" si="1237"/>
        <v>-2513000</v>
      </c>
      <c r="M803" s="397">
        <f t="shared" si="1237"/>
        <v>-2575800</v>
      </c>
      <c r="N803" s="397">
        <f t="shared" si="1237"/>
        <v>-2640100</v>
      </c>
      <c r="O803" s="397">
        <f t="shared" si="1237"/>
        <v>-2705900</v>
      </c>
      <c r="P803" s="397">
        <f t="shared" ref="P803:Q803" si="1238">P801+P802</f>
        <v>-2773200</v>
      </c>
      <c r="Q803" s="397">
        <f t="shared" si="1238"/>
        <v>-2842100</v>
      </c>
      <c r="R803" s="399">
        <f t="shared" ref="R803" si="1239">R801+R802</f>
        <v>-2913100</v>
      </c>
    </row>
    <row r="804" spans="1:18" ht="13.5" thickBot="1" x14ac:dyDescent="0.25">
      <c r="A804" s="70"/>
      <c r="B804" s="64"/>
      <c r="C804" s="192"/>
      <c r="D804" s="192"/>
      <c r="E804" s="1954"/>
      <c r="F804" s="371"/>
      <c r="G804" s="197"/>
      <c r="H804" s="179"/>
      <c r="I804" s="121"/>
      <c r="J804" s="121"/>
      <c r="K804" s="121"/>
      <c r="L804" s="121"/>
      <c r="M804" s="121"/>
      <c r="N804" s="121"/>
      <c r="O804" s="121"/>
      <c r="P804" s="121"/>
      <c r="Q804" s="121"/>
      <c r="R804" s="161"/>
    </row>
    <row r="805" spans="1:18" ht="13.5" thickTop="1" x14ac:dyDescent="0.2">
      <c r="A805" s="383"/>
      <c r="B805" s="122"/>
      <c r="C805" s="194"/>
      <c r="D805" s="194"/>
      <c r="E805" s="541"/>
      <c r="F805" s="367"/>
      <c r="G805" s="196"/>
      <c r="H805" s="505"/>
      <c r="I805" s="127"/>
      <c r="J805" s="127"/>
      <c r="K805" s="127"/>
      <c r="L805" s="127"/>
      <c r="M805" s="127"/>
      <c r="N805" s="127"/>
      <c r="O805" s="127"/>
      <c r="P805" s="127"/>
      <c r="Q805" s="127"/>
      <c r="R805" s="163"/>
    </row>
    <row r="806" spans="1:18" x14ac:dyDescent="0.2">
      <c r="A806" s="70"/>
      <c r="B806" s="128"/>
      <c r="C806" s="193"/>
      <c r="D806" s="193"/>
      <c r="E806" s="238"/>
      <c r="F806" s="516" t="s">
        <v>196</v>
      </c>
      <c r="G806" s="197"/>
      <c r="H806" s="179"/>
      <c r="I806" s="33"/>
      <c r="J806" s="33"/>
      <c r="K806" s="33"/>
      <c r="L806" s="33"/>
      <c r="M806" s="33"/>
      <c r="N806" s="33"/>
      <c r="O806" s="33"/>
      <c r="P806" s="33"/>
      <c r="Q806" s="33"/>
      <c r="R806" s="114"/>
    </row>
    <row r="807" spans="1:18" x14ac:dyDescent="0.2">
      <c r="A807" s="107">
        <v>0</v>
      </c>
      <c r="B807" s="142">
        <v>0</v>
      </c>
      <c r="C807" s="142">
        <v>0</v>
      </c>
      <c r="D807" s="142">
        <v>0</v>
      </c>
      <c r="E807" s="238"/>
      <c r="F807" s="366" t="s">
        <v>2900</v>
      </c>
      <c r="G807" s="198">
        <v>0</v>
      </c>
      <c r="H807" s="33"/>
      <c r="I807" s="33">
        <v>0</v>
      </c>
      <c r="J807" s="33">
        <v>0</v>
      </c>
      <c r="K807" s="33">
        <v>0</v>
      </c>
      <c r="L807" s="33">
        <v>0</v>
      </c>
      <c r="M807" s="33">
        <v>0</v>
      </c>
      <c r="N807" s="33">
        <v>0</v>
      </c>
      <c r="O807" s="33">
        <v>0</v>
      </c>
      <c r="P807" s="33">
        <v>0</v>
      </c>
      <c r="Q807" s="33">
        <v>0</v>
      </c>
      <c r="R807" s="114">
        <v>0</v>
      </c>
    </row>
    <row r="808" spans="1:18" x14ac:dyDescent="0.2">
      <c r="A808" s="107">
        <v>0</v>
      </c>
      <c r="B808" s="142">
        <v>74500</v>
      </c>
      <c r="C808" s="189">
        <v>27700</v>
      </c>
      <c r="D808" s="189">
        <f>SUM('Res-Gen'!B138:'Res-Gen'!B140)</f>
        <v>27000</v>
      </c>
      <c r="E808" s="238"/>
      <c r="F808" s="366" t="s">
        <v>1942</v>
      </c>
      <c r="G808" s="198">
        <f>SUM('Res-Gen'!E138:'Res-Gen'!E140)</f>
        <v>10000</v>
      </c>
      <c r="H808" s="138"/>
      <c r="I808" s="33">
        <f>SUM('Res-Gen'!H138:'Res-Gen'!H140)</f>
        <v>10000</v>
      </c>
      <c r="J808" s="33">
        <f>SUM('Res-Gen'!K138:'Res-Gen'!K140)</f>
        <v>10000</v>
      </c>
      <c r="K808" s="33">
        <f>'Res-Gen'!N138+'Res-Gen'!N140</f>
        <v>10000</v>
      </c>
      <c r="L808" s="33">
        <f>'Res-Gen'!Q138+'Res-Gen'!Q140</f>
        <v>10000</v>
      </c>
      <c r="M808" s="33">
        <f>'Res-Gen'!T138+'Res-Gen'!T140</f>
        <v>10000</v>
      </c>
      <c r="N808" s="33">
        <f>'Res-Gen'!W138+'Res-Gen'!W140</f>
        <v>10000</v>
      </c>
      <c r="O808" s="33">
        <f>'Res-Gen'!Z138+'Res-Gen'!Z140</f>
        <v>10000</v>
      </c>
      <c r="P808" s="33">
        <f>'Res-Gen'!AC138+'Res-Gen'!AC140</f>
        <v>10000</v>
      </c>
      <c r="Q808" s="33">
        <f>'Res-Gen'!AF138+'Res-Gen'!AF140</f>
        <v>10000</v>
      </c>
      <c r="R808" s="114">
        <f>'Res-Gen'!AI138+'Res-Gen'!AI140</f>
        <v>10000</v>
      </c>
    </row>
    <row r="809" spans="1:18" x14ac:dyDescent="0.2">
      <c r="A809" s="107">
        <v>0</v>
      </c>
      <c r="B809" s="142">
        <v>133000</v>
      </c>
      <c r="C809" s="189">
        <v>12100</v>
      </c>
      <c r="D809" s="189">
        <v>0</v>
      </c>
      <c r="E809" s="238"/>
      <c r="F809" s="366" t="s">
        <v>2348</v>
      </c>
      <c r="G809" s="198">
        <f>'Res-Gen'!F138+'Res-Gen'!F140</f>
        <v>0</v>
      </c>
      <c r="H809" s="138"/>
      <c r="I809" s="33">
        <f>'Res-Gen'!I138+'Res-Gen'!I140</f>
        <v>0</v>
      </c>
      <c r="J809" s="33">
        <f>'Res-Gen'!L138+'Res-Gen'!L140</f>
        <v>0</v>
      </c>
      <c r="K809" s="33">
        <f>'Res-Gen'!O138+'Res-Gen'!O140</f>
        <v>0</v>
      </c>
      <c r="L809" s="33">
        <f>'Res-Gen'!R138+'Res-Gen'!R140</f>
        <v>0</v>
      </c>
      <c r="M809" s="33">
        <f>'Res-Gen'!U138+'Res-Gen'!U140</f>
        <v>60000</v>
      </c>
      <c r="N809" s="33">
        <f>'Res-Gen'!X138+'Res-Gen'!X140</f>
        <v>0</v>
      </c>
      <c r="O809" s="33">
        <f>'Res-Gen'!AA138+'Res-Gen'!AA140</f>
        <v>0</v>
      </c>
      <c r="P809" s="33">
        <f>'Res-Gen'!AD138+'Res-Gen'!AD140</f>
        <v>0</v>
      </c>
      <c r="Q809" s="33">
        <f>'Res-Gen'!AG138+'Res-Gen'!AG140</f>
        <v>0</v>
      </c>
      <c r="R809" s="114">
        <f>'Res-Gen'!AJ138+'Res-Gen'!AJ140</f>
        <v>0</v>
      </c>
    </row>
    <row r="810" spans="1:18" x14ac:dyDescent="0.2">
      <c r="A810" s="107">
        <v>0</v>
      </c>
      <c r="B810" s="142">
        <v>0</v>
      </c>
      <c r="C810" s="142">
        <v>0</v>
      </c>
      <c r="D810" s="142">
        <v>0</v>
      </c>
      <c r="E810" s="238"/>
      <c r="F810" s="366" t="s">
        <v>5984</v>
      </c>
      <c r="G810" s="198">
        <v>0</v>
      </c>
      <c r="H810" s="33"/>
      <c r="I810" s="33">
        <v>0</v>
      </c>
      <c r="J810" s="33">
        <v>0</v>
      </c>
      <c r="K810" s="33">
        <v>0</v>
      </c>
      <c r="L810" s="33">
        <v>0</v>
      </c>
      <c r="M810" s="33">
        <v>0</v>
      </c>
      <c r="N810" s="33">
        <v>0</v>
      </c>
      <c r="O810" s="33">
        <v>0</v>
      </c>
      <c r="P810" s="33">
        <v>0</v>
      </c>
      <c r="Q810" s="33">
        <v>0</v>
      </c>
      <c r="R810" s="114">
        <v>0</v>
      </c>
    </row>
    <row r="811" spans="1:18" x14ac:dyDescent="0.2">
      <c r="A811" s="107">
        <v>0</v>
      </c>
      <c r="B811" s="142">
        <v>0</v>
      </c>
      <c r="C811" s="189">
        <v>0</v>
      </c>
      <c r="D811" s="189">
        <f>'Cap-Gen'!E78</f>
        <v>121100</v>
      </c>
      <c r="E811" s="238"/>
      <c r="F811" s="366" t="s">
        <v>972</v>
      </c>
      <c r="G811" s="198">
        <f>'Cap-Gen'!F78</f>
        <v>0</v>
      </c>
      <c r="H811" s="138"/>
      <c r="I811" s="33">
        <f>'Cap-Gen'!G78</f>
        <v>0</v>
      </c>
      <c r="J811" s="33">
        <f>'Cap-Gen'!H78</f>
        <v>0</v>
      </c>
      <c r="K811" s="33">
        <f>'Cap-Gen'!I78</f>
        <v>0</v>
      </c>
      <c r="L811" s="33">
        <f>'Cap-Gen'!J78</f>
        <v>60000</v>
      </c>
      <c r="M811" s="33">
        <f>'Cap-Gen'!K78</f>
        <v>0</v>
      </c>
      <c r="N811" s="33">
        <f>'Cap-Gen'!L78</f>
        <v>0</v>
      </c>
      <c r="O811" s="33">
        <f>'Cap-Gen'!M78</f>
        <v>0</v>
      </c>
      <c r="P811" s="33">
        <f>'Cap-Gen'!N78</f>
        <v>0</v>
      </c>
      <c r="Q811" s="33">
        <f>'Cap-Gen'!O78</f>
        <v>70000</v>
      </c>
      <c r="R811" s="114">
        <f>'Cap-Gen'!P78</f>
        <v>0</v>
      </c>
    </row>
    <row r="812" spans="1:18" s="92" customFormat="1" x14ac:dyDescent="0.2">
      <c r="A812" s="181">
        <f>A803-A807-A808+A809+A810-A811</f>
        <v>-1871900</v>
      </c>
      <c r="B812" s="377">
        <f>B803-B807-B808+B809+B810-B811</f>
        <v>-1685900</v>
      </c>
      <c r="C812" s="398">
        <f>C803-C807-C808+C809+C810-C811</f>
        <v>-2099000</v>
      </c>
      <c r="D812" s="398">
        <f>D803-D807-D808+D809+D810-D811</f>
        <v>-2414100</v>
      </c>
      <c r="E812" s="526"/>
      <c r="F812" s="518" t="s">
        <v>2490</v>
      </c>
      <c r="G812" s="2605">
        <f t="shared" ref="G812:O812" si="1240">G803-G807-G808+G809+G810-G811</f>
        <v>-2290900</v>
      </c>
      <c r="H812" s="395">
        <f>IF(D812=G812,0,IF(D812=0,100,(G812-D812)/D812*100))</f>
        <v>-5.1033511453543765</v>
      </c>
      <c r="I812" s="397">
        <f t="shared" si="1240"/>
        <v>-2342500</v>
      </c>
      <c r="J812" s="397">
        <f t="shared" si="1240"/>
        <v>-2401200</v>
      </c>
      <c r="K812" s="397">
        <f t="shared" si="1240"/>
        <v>-2461300</v>
      </c>
      <c r="L812" s="397">
        <f t="shared" si="1240"/>
        <v>-2583000</v>
      </c>
      <c r="M812" s="397">
        <f t="shared" si="1240"/>
        <v>-2525800</v>
      </c>
      <c r="N812" s="397">
        <f t="shared" si="1240"/>
        <v>-2650100</v>
      </c>
      <c r="O812" s="397">
        <f t="shared" si="1240"/>
        <v>-2715900</v>
      </c>
      <c r="P812" s="397">
        <f t="shared" ref="P812:Q812" si="1241">P803-P807-P808+P809+P810-P811</f>
        <v>-2783200</v>
      </c>
      <c r="Q812" s="397">
        <f t="shared" si="1241"/>
        <v>-2922100</v>
      </c>
      <c r="R812" s="399">
        <f t="shared" ref="R812" si="1242">R803-R807-R808+R809+R810-R811</f>
        <v>-2923100</v>
      </c>
    </row>
    <row r="813" spans="1:18" ht="13.5" thickBot="1" x14ac:dyDescent="0.25">
      <c r="A813" s="73"/>
      <c r="B813" s="134"/>
      <c r="C813" s="195"/>
      <c r="D813" s="195"/>
      <c r="E813" s="239"/>
      <c r="F813" s="368"/>
      <c r="G813" s="2502"/>
      <c r="H813" s="392"/>
      <c r="I813" s="66"/>
      <c r="J813" s="66"/>
      <c r="K813" s="66"/>
      <c r="L813" s="66"/>
      <c r="M813" s="66"/>
      <c r="N813" s="66"/>
      <c r="O813" s="66"/>
      <c r="P813" s="66"/>
      <c r="Q813" s="66"/>
      <c r="R813" s="165"/>
    </row>
    <row r="814" spans="1:18" s="99" customFormat="1" ht="14.25" thickTop="1" thickBot="1" x14ac:dyDescent="0.25">
      <c r="C814" s="198"/>
      <c r="D814" s="198"/>
      <c r="E814" s="238"/>
      <c r="G814" s="198"/>
      <c r="H814" s="123"/>
    </row>
    <row r="815" spans="1:18" s="91" customFormat="1" ht="18.75" customHeight="1" thickTop="1" thickBot="1" x14ac:dyDescent="0.3">
      <c r="A815" s="2865" t="s">
        <v>4167</v>
      </c>
      <c r="B815" s="2866"/>
      <c r="C815" s="2866"/>
      <c r="D815" s="2866"/>
      <c r="E815" s="2866"/>
      <c r="F815" s="2866"/>
      <c r="G815" s="2866"/>
      <c r="H815" s="2866"/>
      <c r="I815" s="2866"/>
      <c r="J815" s="2866"/>
      <c r="K815" s="2866"/>
      <c r="L815" s="2866"/>
      <c r="M815" s="2866"/>
      <c r="N815" s="2866"/>
      <c r="O815" s="2866"/>
      <c r="P815" s="2866"/>
      <c r="Q815" s="2866"/>
      <c r="R815" s="2867"/>
    </row>
    <row r="816" spans="1:18" s="44" customFormat="1" x14ac:dyDescent="0.2">
      <c r="A816" s="2848" t="s">
        <v>1856</v>
      </c>
      <c r="B816" s="2840"/>
      <c r="C816" s="2840"/>
      <c r="D816" s="2849"/>
      <c r="E816" s="369" t="s">
        <v>2663</v>
      </c>
      <c r="F816" s="2649" t="s">
        <v>2251</v>
      </c>
      <c r="G816" s="2885" t="s">
        <v>2253</v>
      </c>
      <c r="H816" s="2886"/>
      <c r="I816" s="2886"/>
      <c r="J816" s="2886"/>
      <c r="K816" s="2886"/>
      <c r="L816" s="2886"/>
      <c r="M816" s="2886"/>
      <c r="N816" s="2886"/>
      <c r="O816" s="2886"/>
      <c r="P816" s="2886"/>
      <c r="Q816" s="2886"/>
      <c r="R816" s="2887"/>
    </row>
    <row r="817" spans="1:18" s="23" customFormat="1" ht="12.75" customHeight="1" thickBot="1" x14ac:dyDescent="0.25">
      <c r="A817" s="208" t="str">
        <f>A3</f>
        <v>2012/13</v>
      </c>
      <c r="B817" s="75" t="str">
        <f>B3</f>
        <v>2013/14</v>
      </c>
      <c r="C817" s="370" t="str">
        <f>C3</f>
        <v>2014/15</v>
      </c>
      <c r="D817" s="93" t="str">
        <f>D3</f>
        <v>2015/16</v>
      </c>
      <c r="E817" s="370" t="str">
        <f>E752</f>
        <v>ACCOUNT</v>
      </c>
      <c r="F817" s="42"/>
      <c r="G817" s="93" t="str">
        <f>G3</f>
        <v>2016/17</v>
      </c>
      <c r="H817" s="2193" t="str">
        <f>H752</f>
        <v>%</v>
      </c>
      <c r="I817" s="370" t="str">
        <f t="shared" ref="I817:Q817" si="1243">I3</f>
        <v>2017/18</v>
      </c>
      <c r="J817" s="370" t="str">
        <f t="shared" si="1243"/>
        <v>2018/19</v>
      </c>
      <c r="K817" s="370" t="str">
        <f t="shared" si="1243"/>
        <v>2019/20</v>
      </c>
      <c r="L817" s="370" t="str">
        <f t="shared" si="1243"/>
        <v>2020/21</v>
      </c>
      <c r="M817" s="370" t="str">
        <f t="shared" si="1243"/>
        <v>2021/22</v>
      </c>
      <c r="N817" s="370" t="str">
        <f t="shared" si="1243"/>
        <v>2022/23</v>
      </c>
      <c r="O817" s="370" t="str">
        <f t="shared" si="1243"/>
        <v>2023/24</v>
      </c>
      <c r="P817" s="370" t="str">
        <f t="shared" si="1243"/>
        <v>2024/25</v>
      </c>
      <c r="Q817" s="381" t="str">
        <f t="shared" si="1243"/>
        <v>2025/26</v>
      </c>
      <c r="R817" s="549" t="str">
        <f t="shared" ref="R817" si="1244">R3</f>
        <v>2026/27</v>
      </c>
    </row>
    <row r="818" spans="1:18" x14ac:dyDescent="0.2">
      <c r="A818" s="107"/>
      <c r="B818" s="33"/>
      <c r="C818" s="187"/>
      <c r="D818" s="187"/>
      <c r="E818" s="240"/>
      <c r="F818" s="144" t="s">
        <v>1073</v>
      </c>
      <c r="G818" s="187"/>
      <c r="H818" s="138"/>
      <c r="I818" s="33"/>
      <c r="J818" s="33"/>
      <c r="K818" s="33"/>
      <c r="L818" s="33"/>
      <c r="M818" s="33"/>
      <c r="N818" s="33"/>
      <c r="O818" s="33"/>
      <c r="P818" s="33"/>
      <c r="Q818" s="142"/>
      <c r="R818" s="114"/>
    </row>
    <row r="819" spans="1:18" x14ac:dyDescent="0.2">
      <c r="A819" s="107"/>
      <c r="B819" s="33"/>
      <c r="C819" s="187"/>
      <c r="D819" s="187"/>
      <c r="E819" s="240"/>
      <c r="F819" s="145" t="s">
        <v>428</v>
      </c>
      <c r="G819" s="187"/>
      <c r="H819" s="138"/>
      <c r="I819" s="33"/>
      <c r="J819" s="33"/>
      <c r="K819" s="33"/>
      <c r="L819" s="33"/>
      <c r="M819" s="33"/>
      <c r="N819" s="33"/>
      <c r="O819" s="33"/>
      <c r="P819" s="33"/>
      <c r="Q819" s="142"/>
      <c r="R819" s="114"/>
    </row>
    <row r="820" spans="1:18" x14ac:dyDescent="0.2">
      <c r="A820" s="107">
        <v>4600</v>
      </c>
      <c r="B820" s="33">
        <f>51200+17500</f>
        <v>68700</v>
      </c>
      <c r="C820" s="187">
        <v>178300</v>
      </c>
      <c r="D820" s="33">
        <v>0</v>
      </c>
      <c r="E820" s="658" t="s">
        <v>2935</v>
      </c>
      <c r="F820" s="78" t="s">
        <v>3729</v>
      </c>
      <c r="G820" s="33">
        <v>0</v>
      </c>
      <c r="H820" s="138">
        <f>IF(D820=G820,0,IF(D820=0,100,(G820-D820)/D820*100))</f>
        <v>0</v>
      </c>
      <c r="I820" s="33">
        <f>ROUNDUP(G820+(G820*Assumptions!H$5),-2)</f>
        <v>0</v>
      </c>
      <c r="J820" s="33">
        <f>ROUNDUP(I820+(I820*Assumptions!I$5),-2)</f>
        <v>0</v>
      </c>
      <c r="K820" s="33">
        <f>ROUNDUP(J820+(J820*Assumptions!J$5),-2)</f>
        <v>0</v>
      </c>
      <c r="L820" s="33">
        <f>ROUNDUP(K820+(K820*Assumptions!K$5),-2)</f>
        <v>0</v>
      </c>
      <c r="M820" s="33">
        <f>ROUNDUP(L820+(L820*Assumptions!L$5),-2)</f>
        <v>0</v>
      </c>
      <c r="N820" s="33">
        <f>ROUNDUP(M820+(M820*Assumptions!M$5),-2)</f>
        <v>0</v>
      </c>
      <c r="O820" s="33">
        <f>ROUNDUP(N820+(N820*Assumptions!N$5),-2)</f>
        <v>0</v>
      </c>
      <c r="P820" s="33">
        <f>ROUNDUP(O820+(O820*Assumptions!O$5),-2)</f>
        <v>0</v>
      </c>
      <c r="Q820" s="142">
        <f>ROUNDUP(P820+(P820*Assumptions!P$5),-2)</f>
        <v>0</v>
      </c>
      <c r="R820" s="114">
        <f>ROUNDUP(Q820+(Q820*Assumptions!Q$5),-2)</f>
        <v>0</v>
      </c>
    </row>
    <row r="821" spans="1:18" x14ac:dyDescent="0.2">
      <c r="A821" s="107">
        <v>0</v>
      </c>
      <c r="B821" s="33">
        <f>100000+11400</f>
        <v>111400</v>
      </c>
      <c r="C821" s="187">
        <v>0</v>
      </c>
      <c r="D821" s="33">
        <v>0</v>
      </c>
      <c r="E821" s="1092" t="s">
        <v>3524</v>
      </c>
      <c r="F821" s="78" t="s">
        <v>3728</v>
      </c>
      <c r="G821" s="33">
        <v>0</v>
      </c>
      <c r="H821" s="138">
        <f>IF(D821=G821,0,IF(D821=0,100,(G821-D821)/D821*100))</f>
        <v>0</v>
      </c>
      <c r="I821" s="33">
        <f>ROUNDUP(G821+(G821*Assumptions!H$5),-2)</f>
        <v>0</v>
      </c>
      <c r="J821" s="33">
        <f>ROUNDUP(I821+(I821*Assumptions!I$5),-2)</f>
        <v>0</v>
      </c>
      <c r="K821" s="33">
        <f>ROUNDUP(J821+(J821*Assumptions!J$5),-2)</f>
        <v>0</v>
      </c>
      <c r="L821" s="33">
        <f>ROUNDUP(K821+(K821*Assumptions!K$5),-2)</f>
        <v>0</v>
      </c>
      <c r="M821" s="33">
        <f>ROUNDUP(L821+(L821*Assumptions!L$5),-2)</f>
        <v>0</v>
      </c>
      <c r="N821" s="33">
        <f>ROUNDUP(M821+(M821*Assumptions!M$5),-2)</f>
        <v>0</v>
      </c>
      <c r="O821" s="33">
        <f>ROUNDUP(N821+(N821*Assumptions!N$5),-2)</f>
        <v>0</v>
      </c>
      <c r="P821" s="33">
        <f>ROUNDUP(O821+(O821*Assumptions!O$5),-2)</f>
        <v>0</v>
      </c>
      <c r="Q821" s="142">
        <f>ROUNDUP(P821+(P821*Assumptions!P$5),-2)</f>
        <v>0</v>
      </c>
      <c r="R821" s="114">
        <f>ROUNDUP(Q821+(Q821*Assumptions!Q$5),-2)</f>
        <v>0</v>
      </c>
    </row>
    <row r="822" spans="1:18" ht="13.5" thickBot="1" x14ac:dyDescent="0.25">
      <c r="A822" s="107"/>
      <c r="B822" s="33"/>
      <c r="C822" s="187"/>
      <c r="D822" s="33"/>
      <c r="E822" s="1304"/>
      <c r="F822" s="77"/>
      <c r="G822" s="33"/>
      <c r="H822" s="138"/>
      <c r="I822" s="33"/>
      <c r="J822" s="33"/>
      <c r="K822" s="33"/>
      <c r="L822" s="33"/>
      <c r="M822" s="33"/>
      <c r="N822" s="33"/>
      <c r="O822" s="33"/>
      <c r="P822" s="33"/>
      <c r="Q822" s="142"/>
      <c r="R822" s="114"/>
    </row>
    <row r="823" spans="1:18" s="92" customFormat="1" x14ac:dyDescent="0.2">
      <c r="A823" s="105">
        <f>SUM(A820:A822)</f>
        <v>4600</v>
      </c>
      <c r="B823" s="53">
        <f>SUM(B820:B822)</f>
        <v>180100</v>
      </c>
      <c r="C823" s="199">
        <f>SUM(C820:C822)</f>
        <v>178300</v>
      </c>
      <c r="D823" s="199">
        <f>SUM(D820:D822)</f>
        <v>0</v>
      </c>
      <c r="E823" s="236"/>
      <c r="F823" s="1960" t="s">
        <v>2605</v>
      </c>
      <c r="G823" s="199">
        <f t="shared" ref="G823:P823" si="1245">SUM(G820:G822)</f>
        <v>0</v>
      </c>
      <c r="H823" s="180">
        <f>IF(D823=G823,0,IF(D823=0,100,(G823-D823)/D823*100))</f>
        <v>0</v>
      </c>
      <c r="I823" s="53">
        <f t="shared" si="1245"/>
        <v>0</v>
      </c>
      <c r="J823" s="53">
        <f t="shared" si="1245"/>
        <v>0</v>
      </c>
      <c r="K823" s="53">
        <f t="shared" si="1245"/>
        <v>0</v>
      </c>
      <c r="L823" s="53">
        <f t="shared" si="1245"/>
        <v>0</v>
      </c>
      <c r="M823" s="53">
        <f t="shared" si="1245"/>
        <v>0</v>
      </c>
      <c r="N823" s="53">
        <f t="shared" si="1245"/>
        <v>0</v>
      </c>
      <c r="O823" s="53">
        <f t="shared" si="1245"/>
        <v>0</v>
      </c>
      <c r="P823" s="53">
        <f t="shared" si="1245"/>
        <v>0</v>
      </c>
      <c r="Q823" s="155">
        <f t="shared" ref="Q823" si="1246">SUM(Q820:Q822)</f>
        <v>0</v>
      </c>
      <c r="R823" s="113">
        <f t="shared" ref="R823" si="1247">SUM(R820:R822)</f>
        <v>0</v>
      </c>
    </row>
    <row r="824" spans="1:18" x14ac:dyDescent="0.2">
      <c r="A824" s="107"/>
      <c r="B824" s="33"/>
      <c r="C824" s="187"/>
      <c r="D824" s="187"/>
      <c r="E824" s="236"/>
      <c r="F824" s="103" t="s">
        <v>2205</v>
      </c>
      <c r="G824" s="187"/>
      <c r="H824" s="138"/>
      <c r="I824" s="33"/>
      <c r="J824" s="33"/>
      <c r="K824" s="33"/>
      <c r="L824" s="33"/>
      <c r="M824" s="33"/>
      <c r="N824" s="33"/>
      <c r="O824" s="33"/>
      <c r="P824" s="33"/>
      <c r="Q824" s="142"/>
      <c r="R824" s="114"/>
    </row>
    <row r="825" spans="1:18" x14ac:dyDescent="0.2">
      <c r="A825" s="107"/>
      <c r="B825" s="33"/>
      <c r="E825" s="688"/>
      <c r="F825" s="2529" t="s">
        <v>1409</v>
      </c>
      <c r="G825" s="187"/>
      <c r="H825" s="138"/>
      <c r="I825" s="33"/>
      <c r="J825" s="33"/>
      <c r="K825" s="33"/>
      <c r="L825" s="33"/>
      <c r="M825" s="33"/>
      <c r="N825" s="33"/>
      <c r="O825" s="33"/>
      <c r="P825" s="33"/>
      <c r="Q825" s="142"/>
      <c r="R825" s="114"/>
    </row>
    <row r="826" spans="1:18" x14ac:dyDescent="0.2">
      <c r="A826" s="107"/>
      <c r="B826" s="33"/>
      <c r="D826" s="189">
        <v>400</v>
      </c>
      <c r="E826" s="1304" t="s">
        <v>6696</v>
      </c>
      <c r="F826" s="77" t="s">
        <v>944</v>
      </c>
      <c r="G826" s="187">
        <v>0</v>
      </c>
      <c r="H826" s="138"/>
      <c r="I826" s="33">
        <f>ROUNDUP(G826+(G826*Assumptions!H$5),-2)</f>
        <v>0</v>
      </c>
      <c r="J826" s="33">
        <f>ROUNDUP(H826+(H826*Assumptions!I$5),-2)</f>
        <v>0</v>
      </c>
      <c r="K826" s="33">
        <f>ROUNDUP(I826+(I826*Assumptions!J$5),-2)</f>
        <v>0</v>
      </c>
      <c r="L826" s="33">
        <f>ROUNDUP(J826+(J826*Assumptions!K$5),-2)</f>
        <v>0</v>
      </c>
      <c r="M826" s="33">
        <f>ROUNDUP(K826+(K826*Assumptions!L$5),-2)</f>
        <v>0</v>
      </c>
      <c r="N826" s="33">
        <f>ROUNDUP(L826+(L826*Assumptions!M$5),-2)</f>
        <v>0</v>
      </c>
      <c r="O826" s="33">
        <f>ROUNDUP(M826+(M826*Assumptions!N$5),-2)</f>
        <v>0</v>
      </c>
      <c r="P826" s="33">
        <f>ROUNDUP(N826+(N826*Assumptions!O$5),-2)</f>
        <v>0</v>
      </c>
      <c r="Q826" s="142">
        <f>ROUNDUP(O826+(O826*Assumptions!P$5),-2)</f>
        <v>0</v>
      </c>
      <c r="R826" s="114">
        <f>ROUNDUP(P826+(P826*Assumptions!Q$5),-2)</f>
        <v>0</v>
      </c>
    </row>
    <row r="827" spans="1:18" x14ac:dyDescent="0.2">
      <c r="A827" s="107">
        <v>35400</v>
      </c>
      <c r="B827" s="33">
        <v>39400</v>
      </c>
      <c r="C827" s="33">
        <v>32200</v>
      </c>
      <c r="D827" s="33">
        <v>29900</v>
      </c>
      <c r="E827" s="688" t="s">
        <v>1553</v>
      </c>
      <c r="F827" s="1981" t="s">
        <v>2774</v>
      </c>
      <c r="G827" s="33">
        <v>34000</v>
      </c>
      <c r="H827" s="138">
        <f t="shared" ref="H827:H835" si="1248">IF(D827=G827,0,IF(D827=0,100,(G827-D827)/D827*100))</f>
        <v>13.712374581939798</v>
      </c>
      <c r="I827" s="33">
        <f>ROUNDUP(G827+(G827*Assumptions!H$5),-2)</f>
        <v>34600</v>
      </c>
      <c r="J827" s="33">
        <f>ROUNDUP(I827+(I827*Assumptions!I$5),-2)</f>
        <v>35500</v>
      </c>
      <c r="K827" s="33">
        <f>ROUNDUP(J827+(J827*Assumptions!J$5),-2)</f>
        <v>36400</v>
      </c>
      <c r="L827" s="33">
        <f>ROUNDUP(K827+(K827*Assumptions!K$5),-2)</f>
        <v>37400</v>
      </c>
      <c r="M827" s="33">
        <f>ROUNDUP(L827+(L827*Assumptions!L$5),-2)</f>
        <v>38200</v>
      </c>
      <c r="N827" s="33">
        <f>ROUNDUP(M827+(M827*Assumptions!M$5),-2)</f>
        <v>39000</v>
      </c>
      <c r="O827" s="33">
        <f>ROUNDUP(N827+(N827*Assumptions!N$5),-2)</f>
        <v>39800</v>
      </c>
      <c r="P827" s="33">
        <f>ROUNDUP(O827+(O827*Assumptions!O$5),-2)</f>
        <v>40600</v>
      </c>
      <c r="Q827" s="142">
        <f>ROUNDUP(P827+(P827*Assumptions!P$5),-2)</f>
        <v>41500</v>
      </c>
      <c r="R827" s="114">
        <f>ROUNDUP(Q827+(Q827*Assumptions!Q$5),-2)</f>
        <v>42400</v>
      </c>
    </row>
    <row r="828" spans="1:18" x14ac:dyDescent="0.2">
      <c r="A828" s="107">
        <v>25400</v>
      </c>
      <c r="B828" s="33">
        <v>27600</v>
      </c>
      <c r="C828" s="33">
        <v>29100</v>
      </c>
      <c r="D828" s="33">
        <v>29100</v>
      </c>
      <c r="E828" s="688" t="s">
        <v>1554</v>
      </c>
      <c r="F828" s="1981" t="s">
        <v>1317</v>
      </c>
      <c r="G828" s="33">
        <v>32000</v>
      </c>
      <c r="H828" s="138">
        <f t="shared" si="1248"/>
        <v>9.9656357388316152</v>
      </c>
      <c r="I828" s="33">
        <f>ROUNDUP(G828+(G828*Assumptions!H$5),-2)</f>
        <v>32500</v>
      </c>
      <c r="J828" s="33">
        <f>ROUNDUP(I828+(I828*Assumptions!I$5),-2)</f>
        <v>33400</v>
      </c>
      <c r="K828" s="33">
        <f>ROUNDUP(J828+(J828*Assumptions!J$5),-2)</f>
        <v>34300</v>
      </c>
      <c r="L828" s="33">
        <f>ROUNDUP(K828+(K828*Assumptions!K$5),-2)</f>
        <v>35200</v>
      </c>
      <c r="M828" s="33">
        <f>ROUNDUP(L828+(L828*Assumptions!L$5),-2)</f>
        <v>36000</v>
      </c>
      <c r="N828" s="33">
        <f>ROUNDUP(M828+(M828*Assumptions!M$5),-2)</f>
        <v>36800</v>
      </c>
      <c r="O828" s="33">
        <f>ROUNDUP(N828+(N828*Assumptions!N$5),-2)</f>
        <v>37600</v>
      </c>
      <c r="P828" s="33">
        <f>ROUNDUP(O828+(O828*Assumptions!O$5),-2)</f>
        <v>38400</v>
      </c>
      <c r="Q828" s="142">
        <f>ROUNDUP(P828+(P828*Assumptions!P$5),-2)</f>
        <v>39200</v>
      </c>
      <c r="R828" s="114">
        <f>ROUNDUP(Q828+(Q828*Assumptions!Q$5),-2)</f>
        <v>40000</v>
      </c>
    </row>
    <row r="829" spans="1:18" x14ac:dyDescent="0.2">
      <c r="A829" s="107">
        <v>16600</v>
      </c>
      <c r="B829" s="33">
        <v>15700</v>
      </c>
      <c r="C829" s="189">
        <v>9800</v>
      </c>
      <c r="D829" s="33">
        <v>10900</v>
      </c>
      <c r="E829" s="688" t="s">
        <v>2318</v>
      </c>
      <c r="F829" s="1981" t="s">
        <v>2193</v>
      </c>
      <c r="G829" s="187">
        <v>15500</v>
      </c>
      <c r="H829" s="138">
        <f t="shared" si="1248"/>
        <v>42.201834862385326</v>
      </c>
      <c r="I829" s="33">
        <f>ROUNDUP(G829+(G829*Assumptions!H$5),-2)</f>
        <v>15800</v>
      </c>
      <c r="J829" s="33">
        <f>ROUNDUP(I829+(I829*Assumptions!I$5),-2)</f>
        <v>16200</v>
      </c>
      <c r="K829" s="33">
        <f>ROUNDUP(J829+(J829*Assumptions!J$5),-2)</f>
        <v>16700</v>
      </c>
      <c r="L829" s="33">
        <f>ROUNDUP(K829+(K829*Assumptions!K$5),-2)</f>
        <v>17200</v>
      </c>
      <c r="M829" s="33">
        <f>ROUNDUP(L829+(L829*Assumptions!L$5),-2)</f>
        <v>17600</v>
      </c>
      <c r="N829" s="33">
        <f>ROUNDUP(M829+(M829*Assumptions!M$5),-2)</f>
        <v>18000</v>
      </c>
      <c r="O829" s="33">
        <f>ROUNDUP(N829+(N829*Assumptions!N$5),-2)</f>
        <v>18400</v>
      </c>
      <c r="P829" s="33">
        <f>ROUNDUP(O829+(O829*Assumptions!O$5),-2)</f>
        <v>18800</v>
      </c>
      <c r="Q829" s="142">
        <f>ROUNDUP(P829+(P829*Assumptions!P$5),-2)</f>
        <v>19200</v>
      </c>
      <c r="R829" s="114">
        <f>ROUNDUP(Q829+(Q829*Assumptions!Q$5),-2)</f>
        <v>19600</v>
      </c>
    </row>
    <row r="830" spans="1:18" x14ac:dyDescent="0.2">
      <c r="A830" s="107">
        <v>59300</v>
      </c>
      <c r="B830" s="33">
        <v>60700</v>
      </c>
      <c r="C830" s="189">
        <v>62300</v>
      </c>
      <c r="D830" s="1012">
        <v>65200</v>
      </c>
      <c r="E830" s="688" t="s">
        <v>2317</v>
      </c>
      <c r="F830" s="1981" t="s">
        <v>1526</v>
      </c>
      <c r="G830" s="187">
        <v>71000</v>
      </c>
      <c r="H830" s="138">
        <f t="shared" si="1248"/>
        <v>8.8957055214723919</v>
      </c>
      <c r="I830" s="33">
        <f>ROUNDUP(G830+(G830*Assumptions!H$5),-2)</f>
        <v>72100</v>
      </c>
      <c r="J830" s="33">
        <f>ROUNDUP(I830+(I830*Assumptions!I$5),-2)</f>
        <v>74000</v>
      </c>
      <c r="K830" s="33">
        <f>ROUNDUP(J830+(J830*Assumptions!J$5),-2)</f>
        <v>75900</v>
      </c>
      <c r="L830" s="33">
        <f>ROUNDUP(K830+(K830*Assumptions!K$5),-2)</f>
        <v>77800</v>
      </c>
      <c r="M830" s="33">
        <f>ROUNDUP(L830+(L830*Assumptions!L$5),-2)</f>
        <v>79400</v>
      </c>
      <c r="N830" s="33">
        <f>ROUNDUP(M830+(M830*Assumptions!M$5),-2)</f>
        <v>81000</v>
      </c>
      <c r="O830" s="33">
        <f>ROUNDUP(N830+(N830*Assumptions!N$5),-2)</f>
        <v>82700</v>
      </c>
      <c r="P830" s="33">
        <f>ROUNDUP(O830+(O830*Assumptions!O$5),-2)</f>
        <v>84400</v>
      </c>
      <c r="Q830" s="142">
        <f>ROUNDUP(P830+(P830*Assumptions!P$5),-2)</f>
        <v>86100</v>
      </c>
      <c r="R830" s="114">
        <f>ROUNDUP(Q830+(Q830*Assumptions!Q$5),-2)</f>
        <v>87900</v>
      </c>
    </row>
    <row r="831" spans="1:18" x14ac:dyDescent="0.2">
      <c r="A831" s="107">
        <v>5100</v>
      </c>
      <c r="B831" s="33">
        <v>6100</v>
      </c>
      <c r="C831" s="189">
        <v>6600</v>
      </c>
      <c r="D831" s="189">
        <v>5700</v>
      </c>
      <c r="E831" s="688" t="s">
        <v>1509</v>
      </c>
      <c r="F831" s="1981" t="s">
        <v>935</v>
      </c>
      <c r="G831" s="187">
        <v>7000</v>
      </c>
      <c r="H831" s="138">
        <f t="shared" si="1248"/>
        <v>22.807017543859647</v>
      </c>
      <c r="I831" s="33">
        <f>ROUNDUP(G831+(G831*Assumptions!H$5),-2)</f>
        <v>7200</v>
      </c>
      <c r="J831" s="33">
        <f>ROUNDUP(I831+(I831*Assumptions!I$5),-2)</f>
        <v>7400</v>
      </c>
      <c r="K831" s="33">
        <f>ROUNDUP(J831+(J831*Assumptions!J$5),-2)</f>
        <v>7600</v>
      </c>
      <c r="L831" s="33">
        <f>ROUNDUP(K831+(K831*Assumptions!K$5),-2)</f>
        <v>7800</v>
      </c>
      <c r="M831" s="33">
        <f>ROUNDUP(L831+(L831*Assumptions!L$5),-2)</f>
        <v>8000</v>
      </c>
      <c r="N831" s="33">
        <f>ROUNDUP(M831+(M831*Assumptions!M$5),-2)</f>
        <v>8200</v>
      </c>
      <c r="O831" s="33">
        <f>ROUNDUP(N831+(N831*Assumptions!N$5),-2)</f>
        <v>8400</v>
      </c>
      <c r="P831" s="33">
        <f>ROUNDUP(O831+(O831*Assumptions!O$5),-2)</f>
        <v>8600</v>
      </c>
      <c r="Q831" s="142">
        <f>ROUNDUP(P831+(P831*Assumptions!P$5),-2)</f>
        <v>8800</v>
      </c>
      <c r="R831" s="114">
        <f>ROUNDUP(Q831+(Q831*Assumptions!Q$5),-2)</f>
        <v>9000</v>
      </c>
    </row>
    <row r="832" spans="1:18" x14ac:dyDescent="0.2">
      <c r="A832" s="107">
        <v>62700</v>
      </c>
      <c r="B832" s="33">
        <v>75600</v>
      </c>
      <c r="C832" s="189">
        <v>68500</v>
      </c>
      <c r="D832" s="189">
        <v>77100</v>
      </c>
      <c r="E832" s="1092" t="s">
        <v>5328</v>
      </c>
      <c r="F832" s="1952" t="s">
        <v>4603</v>
      </c>
      <c r="G832" s="187">
        <v>60000</v>
      </c>
      <c r="H832" s="138">
        <f t="shared" si="1248"/>
        <v>-22.178988326848248</v>
      </c>
      <c r="I832" s="33">
        <f>ROUNDUP(G832+(G832*Assumptions!H$5),-2)</f>
        <v>60900</v>
      </c>
      <c r="J832" s="33">
        <f>ROUNDUP(I832+(I832*Assumptions!I$5),-2)</f>
        <v>62500</v>
      </c>
      <c r="K832" s="33">
        <f>ROUNDUP(J832+(J832*Assumptions!J$5),-2)</f>
        <v>64100</v>
      </c>
      <c r="L832" s="33">
        <f>ROUNDUP(K832+(K832*Assumptions!K$5),-2)</f>
        <v>65800</v>
      </c>
      <c r="M832" s="33">
        <f>ROUNDUP(L832+(L832*Assumptions!L$5),-2)</f>
        <v>67200</v>
      </c>
      <c r="N832" s="33">
        <f>ROUNDUP(M832+(M832*Assumptions!M$5),-2)</f>
        <v>68600</v>
      </c>
      <c r="O832" s="33">
        <f>ROUNDUP(N832+(N832*Assumptions!N$5),-2)</f>
        <v>70000</v>
      </c>
      <c r="P832" s="33">
        <f>ROUNDUP(O832+(O832*Assumptions!O$5),-2)</f>
        <v>71400</v>
      </c>
      <c r="Q832" s="142">
        <f>ROUNDUP(P832+(P832*Assumptions!P$5),-2)</f>
        <v>72900</v>
      </c>
      <c r="R832" s="114">
        <f>ROUNDUP(Q832+(Q832*Assumptions!Q$5),-2)</f>
        <v>74400</v>
      </c>
    </row>
    <row r="833" spans="1:18" x14ac:dyDescent="0.2">
      <c r="A833" s="107">
        <v>12100</v>
      </c>
      <c r="B833" s="33">
        <v>4000</v>
      </c>
      <c r="C833" s="189">
        <v>14000</v>
      </c>
      <c r="D833" s="189">
        <v>22600</v>
      </c>
      <c r="E833" s="658" t="s">
        <v>1510</v>
      </c>
      <c r="F833" s="1981" t="s">
        <v>1686</v>
      </c>
      <c r="G833" s="187">
        <v>15000</v>
      </c>
      <c r="H833" s="138">
        <f t="shared" si="1248"/>
        <v>-33.628318584070797</v>
      </c>
      <c r="I833" s="33">
        <f>ROUNDUP(G833+(G833*Assumptions!H$5),-2)</f>
        <v>15300</v>
      </c>
      <c r="J833" s="33">
        <f>ROUNDUP(I833+(I833*Assumptions!I$5),-2)</f>
        <v>15700</v>
      </c>
      <c r="K833" s="33">
        <f>ROUNDUP(J833+(J833*Assumptions!J$5),-2)</f>
        <v>16100</v>
      </c>
      <c r="L833" s="33">
        <f>ROUNDUP(K833+(K833*Assumptions!K$5),-2)</f>
        <v>16600</v>
      </c>
      <c r="M833" s="33">
        <f>ROUNDUP(L833+(L833*Assumptions!L$5),-2)</f>
        <v>17000</v>
      </c>
      <c r="N833" s="33">
        <f>ROUNDUP(M833+(M833*Assumptions!M$5),-2)</f>
        <v>17400</v>
      </c>
      <c r="O833" s="33">
        <f>ROUNDUP(N833+(N833*Assumptions!N$5),-2)</f>
        <v>17800</v>
      </c>
      <c r="P833" s="33">
        <f>ROUNDUP(O833+(O833*Assumptions!O$5),-2)</f>
        <v>18200</v>
      </c>
      <c r="Q833" s="142">
        <f>ROUNDUP(P833+(P833*Assumptions!P$5),-2)</f>
        <v>18600</v>
      </c>
      <c r="R833" s="114">
        <f>ROUNDUP(Q833+(Q833*Assumptions!Q$5),-2)</f>
        <v>19000</v>
      </c>
    </row>
    <row r="834" spans="1:18" x14ac:dyDescent="0.2">
      <c r="A834" s="107">
        <v>4200</v>
      </c>
      <c r="B834" s="33">
        <v>5200</v>
      </c>
      <c r="C834" s="189">
        <v>4500</v>
      </c>
      <c r="D834" s="189">
        <v>6000</v>
      </c>
      <c r="E834" s="658" t="s">
        <v>2023</v>
      </c>
      <c r="F834" s="1981" t="s">
        <v>2717</v>
      </c>
      <c r="G834" s="187">
        <v>7000</v>
      </c>
      <c r="H834" s="138">
        <f t="shared" si="1248"/>
        <v>16.666666666666664</v>
      </c>
      <c r="I834" s="33">
        <f>ROUNDUP(G834+(G834*Assumptions!H$5),-2)</f>
        <v>7200</v>
      </c>
      <c r="J834" s="33">
        <f>ROUNDUP(I834+(I834*Assumptions!I$5),-2)</f>
        <v>7400</v>
      </c>
      <c r="K834" s="33">
        <f>ROUNDUP(J834+(J834*Assumptions!J$5),-2)</f>
        <v>7600</v>
      </c>
      <c r="L834" s="33">
        <f>ROUNDUP(K834+(K834*Assumptions!K$5),-2)</f>
        <v>7800</v>
      </c>
      <c r="M834" s="33">
        <f>ROUNDUP(L834+(L834*Assumptions!L$5),-2)</f>
        <v>8000</v>
      </c>
      <c r="N834" s="33">
        <f>ROUNDUP(M834+(M834*Assumptions!M$5),-2)</f>
        <v>8200</v>
      </c>
      <c r="O834" s="33">
        <f>ROUNDUP(N834+(N834*Assumptions!N$5),-2)</f>
        <v>8400</v>
      </c>
      <c r="P834" s="33">
        <f>ROUNDUP(O834+(O834*Assumptions!O$5),-2)</f>
        <v>8600</v>
      </c>
      <c r="Q834" s="142">
        <f>ROUNDUP(P834+(P834*Assumptions!P$5),-2)</f>
        <v>8800</v>
      </c>
      <c r="R834" s="114">
        <f>ROUNDUP(Q834+(Q834*Assumptions!Q$5),-2)</f>
        <v>9000</v>
      </c>
    </row>
    <row r="835" spans="1:18" x14ac:dyDescent="0.2">
      <c r="A835" s="107">
        <v>101300</v>
      </c>
      <c r="B835" s="33">
        <v>85600</v>
      </c>
      <c r="C835" s="33">
        <v>90300</v>
      </c>
      <c r="D835" s="33">
        <v>68500</v>
      </c>
      <c r="E835" s="658" t="s">
        <v>1282</v>
      </c>
      <c r="F835" s="108" t="s">
        <v>720</v>
      </c>
      <c r="G835" s="33">
        <v>90000</v>
      </c>
      <c r="H835" s="138">
        <f t="shared" si="1248"/>
        <v>31.386861313868614</v>
      </c>
      <c r="I835" s="33">
        <f>ROUNDUP(G835+(G835*Assumptions!H$5),-2)</f>
        <v>91400</v>
      </c>
      <c r="J835" s="33">
        <f>ROUNDUP(I835+(I835*Assumptions!I$5),-2)</f>
        <v>93700</v>
      </c>
      <c r="K835" s="33">
        <f>ROUNDUP(J835+(J835*Assumptions!J$5),-2)</f>
        <v>96100</v>
      </c>
      <c r="L835" s="33">
        <f>ROUNDUP(K835+(K835*Assumptions!K$5),-2)</f>
        <v>98600</v>
      </c>
      <c r="M835" s="33">
        <f>ROUNDUP(L835+(L835*Assumptions!L$5),-2)</f>
        <v>100600</v>
      </c>
      <c r="N835" s="33">
        <f>ROUNDUP(M835+(M835*Assumptions!M$5),-2)</f>
        <v>102700</v>
      </c>
      <c r="O835" s="33">
        <f>ROUNDUP(N835+(N835*Assumptions!N$5),-2)</f>
        <v>104800</v>
      </c>
      <c r="P835" s="33">
        <f>ROUNDUP(O835+(O835*Assumptions!O$5),-2)</f>
        <v>106900</v>
      </c>
      <c r="Q835" s="142">
        <f>ROUNDUP(P835+(P835*Assumptions!P$5),-2)</f>
        <v>109100</v>
      </c>
      <c r="R835" s="114">
        <f>ROUNDUP(Q835+(Q835*Assumptions!Q$5),-2)</f>
        <v>111300</v>
      </c>
    </row>
    <row r="836" spans="1:18" x14ac:dyDescent="0.2">
      <c r="A836" s="107"/>
      <c r="B836" s="33"/>
      <c r="E836" s="658"/>
      <c r="F836" s="175" t="s">
        <v>906</v>
      </c>
      <c r="G836" s="187"/>
      <c r="H836" s="138"/>
      <c r="I836" s="33"/>
      <c r="J836" s="33"/>
      <c r="K836" s="33"/>
      <c r="L836" s="33"/>
      <c r="M836" s="33"/>
      <c r="N836" s="33"/>
      <c r="O836" s="33"/>
      <c r="P836" s="33"/>
      <c r="Q836" s="142"/>
      <c r="R836" s="114"/>
    </row>
    <row r="837" spans="1:18" x14ac:dyDescent="0.2">
      <c r="A837" s="107">
        <v>118800</v>
      </c>
      <c r="B837" s="33">
        <v>191900</v>
      </c>
      <c r="C837" s="189">
        <v>169300</v>
      </c>
      <c r="D837" s="189">
        <v>160300</v>
      </c>
      <c r="E837" s="658" t="s">
        <v>1508</v>
      </c>
      <c r="F837" s="1952" t="s">
        <v>1341</v>
      </c>
      <c r="G837" s="187">
        <v>189000</v>
      </c>
      <c r="H837" s="138">
        <f t="shared" ref="H837:H856" si="1249">IF(D837=G837,0,IF(D837=0,100,(G837-D837)/D837*100))</f>
        <v>17.903930131004365</v>
      </c>
      <c r="I837" s="33">
        <f>ROUND(G837*Assumptions!I$13+CIV!G837,-2)</f>
        <v>193700</v>
      </c>
      <c r="J837" s="33">
        <f>ROUND(I837*Assumptions!J$13+CIV!I837,-2)</f>
        <v>198500</v>
      </c>
      <c r="K837" s="33">
        <f>ROUND(J837*Assumptions!K$13+CIV!J837,-2)</f>
        <v>203500</v>
      </c>
      <c r="L837" s="33">
        <f>ROUND(K837*Assumptions!L$13+CIV!K837,-2)</f>
        <v>208600</v>
      </c>
      <c r="M837" s="33">
        <f>ROUND(L837*Assumptions!M$13+CIV!L837,-2)</f>
        <v>213800</v>
      </c>
      <c r="N837" s="33">
        <f>ROUND(M837*Assumptions!N$13+CIV!M837,-2)</f>
        <v>219100</v>
      </c>
      <c r="O837" s="33">
        <f>ROUND(N837*Assumptions!P$13+CIV!N837,-2)</f>
        <v>224600</v>
      </c>
      <c r="P837" s="33">
        <f>ROUND(O837*Assumptions!Q$13+CIV!O837,-2)</f>
        <v>230200</v>
      </c>
      <c r="Q837" s="142">
        <f>ROUND(P837*Assumptions!R$13+CIV!P837,-2)</f>
        <v>230200</v>
      </c>
      <c r="R837" s="114">
        <f>ROUND(Q837*Assumptions!S$13+CIV!Q837,-2)</f>
        <v>230200</v>
      </c>
    </row>
    <row r="838" spans="1:18" x14ac:dyDescent="0.2">
      <c r="A838" s="107">
        <v>0</v>
      </c>
      <c r="B838" s="33">
        <v>0</v>
      </c>
      <c r="C838" s="189">
        <v>5600</v>
      </c>
      <c r="D838" s="189">
        <v>8000</v>
      </c>
      <c r="E838" s="1092" t="s">
        <v>5547</v>
      </c>
      <c r="F838" s="1952" t="s">
        <v>4884</v>
      </c>
      <c r="G838" s="187">
        <f>5000+10000-10000</f>
        <v>5000</v>
      </c>
      <c r="H838" s="138">
        <f t="shared" si="1249"/>
        <v>-37.5</v>
      </c>
      <c r="I838" s="33">
        <v>5100</v>
      </c>
      <c r="J838" s="33">
        <f>ROUND(I838*Assumptions!J$13+CIV!I838,-2)</f>
        <v>5200</v>
      </c>
      <c r="K838" s="33">
        <f>ROUND(J838*Assumptions!K$13+CIV!J838,-2)</f>
        <v>5300</v>
      </c>
      <c r="L838" s="33">
        <f>ROUND(K838*Assumptions!L$13+CIV!K838,-2)</f>
        <v>5400</v>
      </c>
      <c r="M838" s="33">
        <f>ROUND(L838*Assumptions!M$13+CIV!L838,-2)</f>
        <v>5500</v>
      </c>
      <c r="N838" s="33">
        <f>ROUND(M838*Assumptions!N$13+CIV!M838,-2)</f>
        <v>5600</v>
      </c>
      <c r="O838" s="33">
        <f>ROUND(N838*Assumptions!P$13+CIV!N838,-2)</f>
        <v>5700</v>
      </c>
      <c r="P838" s="33">
        <f>ROUND(O838*Assumptions!Q$13+CIV!O838,-2)</f>
        <v>5800</v>
      </c>
      <c r="Q838" s="142">
        <f>ROUND(P838*Assumptions!R$13+CIV!P838,-2)</f>
        <v>5800</v>
      </c>
      <c r="R838" s="114">
        <f>ROUND(Q838*Assumptions!S$13+CIV!Q838,-2)</f>
        <v>5800</v>
      </c>
    </row>
    <row r="839" spans="1:18" x14ac:dyDescent="0.2">
      <c r="A839" s="107">
        <v>74700</v>
      </c>
      <c r="B839" s="33">
        <v>144400</v>
      </c>
      <c r="C839" s="33">
        <v>201400</v>
      </c>
      <c r="D839" s="189">
        <v>225100</v>
      </c>
      <c r="E839" s="658" t="s">
        <v>228</v>
      </c>
      <c r="F839" s="1952" t="s">
        <v>3969</v>
      </c>
      <c r="G839" s="187">
        <v>231000</v>
      </c>
      <c r="H839" s="138">
        <f t="shared" si="1249"/>
        <v>2.6210573078631718</v>
      </c>
      <c r="I839" s="33">
        <f>ROUND(G839*Assumptions!I$13+CIV!G839,-2)</f>
        <v>236800</v>
      </c>
      <c r="J839" s="33">
        <f>ROUND(I839*Assumptions!J$13+CIV!I839,-2)</f>
        <v>242700</v>
      </c>
      <c r="K839" s="33">
        <f>ROUND(J839*Assumptions!K$13+CIV!J839,-2)</f>
        <v>248800</v>
      </c>
      <c r="L839" s="33">
        <f>ROUND(K839*Assumptions!L$13+CIV!K839,-2)</f>
        <v>255000</v>
      </c>
      <c r="M839" s="33">
        <f>ROUND(L839*Assumptions!M$13+CIV!L839,-2)</f>
        <v>261400</v>
      </c>
      <c r="N839" s="33">
        <f>ROUND(M839*Assumptions!N$13+CIV!M839,-2)</f>
        <v>267900</v>
      </c>
      <c r="O839" s="33">
        <f>ROUND(N839*Assumptions!P$13+CIV!N839,-2)</f>
        <v>274600</v>
      </c>
      <c r="P839" s="33">
        <f>ROUND(O839*Assumptions!Q$13+CIV!O839,-2)</f>
        <v>281500</v>
      </c>
      <c r="Q839" s="142">
        <f>ROUND(P839*Assumptions!R$13+CIV!P839,-2)</f>
        <v>281500</v>
      </c>
      <c r="R839" s="114">
        <f>ROUND(Q839*Assumptions!S$13+CIV!Q839,-2)</f>
        <v>281500</v>
      </c>
    </row>
    <row r="840" spans="1:18" x14ac:dyDescent="0.2">
      <c r="A840" s="107">
        <v>2300</v>
      </c>
      <c r="B840" s="33">
        <v>1000</v>
      </c>
      <c r="C840" s="189">
        <v>500</v>
      </c>
      <c r="D840" s="189">
        <v>15800</v>
      </c>
      <c r="E840" s="658" t="s">
        <v>1953</v>
      </c>
      <c r="F840" s="1952" t="s">
        <v>648</v>
      </c>
      <c r="G840" s="187">
        <v>10000</v>
      </c>
      <c r="H840" s="138">
        <f t="shared" si="1249"/>
        <v>-36.708860759493675</v>
      </c>
      <c r="I840" s="33">
        <f>ROUNDUP(G840+(G840*Assumptions!H$5),-2)</f>
        <v>10200</v>
      </c>
      <c r="J840" s="33">
        <f>ROUNDUP(I840+(I840*Assumptions!I$5),-2)</f>
        <v>10500</v>
      </c>
      <c r="K840" s="33">
        <f>ROUNDUP(J840+(J840*Assumptions!J$5),-2)</f>
        <v>10800</v>
      </c>
      <c r="L840" s="33">
        <f>ROUNDUP(K840+(K840*Assumptions!K$5),-2)</f>
        <v>11100</v>
      </c>
      <c r="M840" s="33">
        <f>ROUNDUP(L840+(L840*Assumptions!L$5),-2)</f>
        <v>11400</v>
      </c>
      <c r="N840" s="33">
        <f>ROUNDUP(M840+(M840*Assumptions!M$5),-2)</f>
        <v>11700</v>
      </c>
      <c r="O840" s="33">
        <f>ROUNDUP(N840+(N840*Assumptions!N$5),-2)</f>
        <v>12000</v>
      </c>
      <c r="P840" s="33">
        <f>ROUNDUP(O840+(O840*Assumptions!O$5),-2)</f>
        <v>12300</v>
      </c>
      <c r="Q840" s="142">
        <f>ROUNDUP(P840+(P840*Assumptions!P$5),-2)</f>
        <v>12600</v>
      </c>
      <c r="R840" s="114">
        <f>ROUNDUP(Q840+(Q840*Assumptions!Q$5),-2)</f>
        <v>12900</v>
      </c>
    </row>
    <row r="841" spans="1:18" x14ac:dyDescent="0.2">
      <c r="A841" s="107">
        <v>7200</v>
      </c>
      <c r="B841" s="33">
        <v>7000</v>
      </c>
      <c r="C841" s="189">
        <v>7000</v>
      </c>
      <c r="D841" s="189">
        <v>7000</v>
      </c>
      <c r="E841" s="658" t="s">
        <v>1737</v>
      </c>
      <c r="F841" s="1952" t="s">
        <v>944</v>
      </c>
      <c r="G841" s="187">
        <v>7800</v>
      </c>
      <c r="H841" s="138">
        <f t="shared" si="1249"/>
        <v>11.428571428571429</v>
      </c>
      <c r="I841" s="33">
        <f>ROUNDUP(G841+(G841*Assumptions!H$5),-2)</f>
        <v>8000</v>
      </c>
      <c r="J841" s="33">
        <f>ROUNDUP(I841+(I841*Assumptions!I$5),-2)</f>
        <v>8200</v>
      </c>
      <c r="K841" s="33">
        <f>ROUNDUP(J841+(J841*Assumptions!J$5),-2)</f>
        <v>8500</v>
      </c>
      <c r="L841" s="33">
        <f>ROUNDUP(K841+(K841*Assumptions!K$5),-2)</f>
        <v>8800</v>
      </c>
      <c r="M841" s="33">
        <f>ROUNDUP(L841+(L841*Assumptions!L$5),-2)</f>
        <v>9000</v>
      </c>
      <c r="N841" s="33">
        <f>ROUNDUP(M841+(M841*Assumptions!M$5),-2)</f>
        <v>9200</v>
      </c>
      <c r="O841" s="33">
        <f>ROUNDUP(N841+(N841*Assumptions!N$5),-2)</f>
        <v>9400</v>
      </c>
      <c r="P841" s="33">
        <f>ROUNDUP(O841+(O841*Assumptions!O$5),-2)</f>
        <v>9600</v>
      </c>
      <c r="Q841" s="142">
        <f>ROUNDUP(P841+(P841*Assumptions!P$5),-2)</f>
        <v>9800</v>
      </c>
      <c r="R841" s="114">
        <f>ROUNDUP(Q841+(Q841*Assumptions!Q$5),-2)</f>
        <v>10000</v>
      </c>
    </row>
    <row r="842" spans="1:18" x14ac:dyDescent="0.2">
      <c r="A842" s="107">
        <v>12300</v>
      </c>
      <c r="B842" s="33">
        <v>13700</v>
      </c>
      <c r="C842" s="189">
        <v>15300</v>
      </c>
      <c r="D842" s="189">
        <v>14600</v>
      </c>
      <c r="E842" s="658" t="s">
        <v>1735</v>
      </c>
      <c r="F842" s="1952" t="s">
        <v>2774</v>
      </c>
      <c r="G842" s="187">
        <v>16000</v>
      </c>
      <c r="H842" s="138">
        <f t="shared" si="1249"/>
        <v>9.5890410958904102</v>
      </c>
      <c r="I842" s="33">
        <f>ROUNDUP(G842+(G842*Assumptions!H$5),-2)</f>
        <v>16300</v>
      </c>
      <c r="J842" s="33">
        <f>ROUNDUP(I842+(I842*Assumptions!I$5),-2)</f>
        <v>16800</v>
      </c>
      <c r="K842" s="33">
        <f>ROUNDUP(J842+(J842*Assumptions!J$5),-2)</f>
        <v>17300</v>
      </c>
      <c r="L842" s="33">
        <f>ROUNDUP(K842+(K842*Assumptions!K$5),-2)</f>
        <v>17800</v>
      </c>
      <c r="M842" s="33">
        <f>ROUNDUP(L842+(L842*Assumptions!L$5),-2)</f>
        <v>18200</v>
      </c>
      <c r="N842" s="33">
        <f>ROUNDUP(M842+(M842*Assumptions!M$5),-2)</f>
        <v>18600</v>
      </c>
      <c r="O842" s="33">
        <f>ROUNDUP(N842+(N842*Assumptions!N$5),-2)</f>
        <v>19000</v>
      </c>
      <c r="P842" s="33">
        <f>ROUNDUP(O842+(O842*Assumptions!O$5),-2)</f>
        <v>19400</v>
      </c>
      <c r="Q842" s="142">
        <f>ROUNDUP(P842+(P842*Assumptions!P$5),-2)</f>
        <v>19800</v>
      </c>
      <c r="R842" s="114">
        <f>ROUNDUP(Q842+(Q842*Assumptions!Q$5),-2)</f>
        <v>20200</v>
      </c>
    </row>
    <row r="843" spans="1:18" x14ac:dyDescent="0.2">
      <c r="A843" s="107">
        <v>46600</v>
      </c>
      <c r="B843" s="33">
        <v>49300</v>
      </c>
      <c r="C843" s="189">
        <v>51900</v>
      </c>
      <c r="D843" s="189">
        <v>55600</v>
      </c>
      <c r="E843" s="658" t="s">
        <v>2874</v>
      </c>
      <c r="F843" s="1981" t="s">
        <v>1317</v>
      </c>
      <c r="G843" s="187">
        <v>58000</v>
      </c>
      <c r="H843" s="138">
        <f t="shared" si="1249"/>
        <v>4.3165467625899279</v>
      </c>
      <c r="I843" s="33">
        <f>ROUNDUP(G843+(G843*Assumptions!H$5),-2)</f>
        <v>58900</v>
      </c>
      <c r="J843" s="33">
        <f>ROUNDUP(I843+(I843*Assumptions!I$5),-2)</f>
        <v>60400</v>
      </c>
      <c r="K843" s="33">
        <f>ROUNDUP(J843+(J843*Assumptions!J$5),-2)</f>
        <v>62000</v>
      </c>
      <c r="L843" s="33">
        <f>ROUNDUP(K843+(K843*Assumptions!K$5),-2)</f>
        <v>63600</v>
      </c>
      <c r="M843" s="33">
        <f>ROUNDUP(L843+(L843*Assumptions!L$5),-2)</f>
        <v>64900</v>
      </c>
      <c r="N843" s="33">
        <f>ROUNDUP(M843+(M843*Assumptions!M$5),-2)</f>
        <v>66200</v>
      </c>
      <c r="O843" s="33">
        <f>ROUNDUP(N843+(N843*Assumptions!N$5),-2)</f>
        <v>67600</v>
      </c>
      <c r="P843" s="33">
        <f>ROUNDUP(O843+(O843*Assumptions!O$5),-2)</f>
        <v>69000</v>
      </c>
      <c r="Q843" s="142">
        <f>ROUNDUP(P843+(P843*Assumptions!P$5),-2)</f>
        <v>70400</v>
      </c>
      <c r="R843" s="114">
        <f>ROUNDUP(Q843+(Q843*Assumptions!Q$5),-2)</f>
        <v>71900</v>
      </c>
    </row>
    <row r="844" spans="1:18" x14ac:dyDescent="0.2">
      <c r="A844" s="107">
        <v>400</v>
      </c>
      <c r="B844" s="33">
        <v>1200</v>
      </c>
      <c r="C844" s="189">
        <v>600</v>
      </c>
      <c r="D844" s="189">
        <v>13700</v>
      </c>
      <c r="E844" s="1092" t="s">
        <v>5312</v>
      </c>
      <c r="F844" s="1952" t="s">
        <v>1526</v>
      </c>
      <c r="G844" s="187">
        <v>15500</v>
      </c>
      <c r="H844" s="138">
        <f t="shared" si="1249"/>
        <v>13.138686131386862</v>
      </c>
      <c r="I844" s="33">
        <f>ROUNDUP(G844+(G844*Assumptions!H$5),-2)</f>
        <v>15800</v>
      </c>
      <c r="J844" s="33">
        <f>ROUNDUP(I844+(I844*Assumptions!I$5),-2)</f>
        <v>16200</v>
      </c>
      <c r="K844" s="33">
        <f>ROUNDUP(J844+(J844*Assumptions!J$5),-2)</f>
        <v>16700</v>
      </c>
      <c r="L844" s="33">
        <f>ROUNDUP(K844+(K844*Assumptions!K$5),-2)</f>
        <v>17200</v>
      </c>
      <c r="M844" s="33">
        <f>ROUNDUP(L844+(L844*Assumptions!L$5),-2)</f>
        <v>17600</v>
      </c>
      <c r="N844" s="33">
        <f>ROUNDUP(M844+(M844*Assumptions!M$5),-2)</f>
        <v>18000</v>
      </c>
      <c r="O844" s="33">
        <f>ROUNDUP(N844+(N844*Assumptions!N$5),-2)</f>
        <v>18400</v>
      </c>
      <c r="P844" s="33">
        <f>ROUNDUP(O844+(O844*Assumptions!O$5),-2)</f>
        <v>18800</v>
      </c>
      <c r="Q844" s="142">
        <f>ROUNDUP(P844+(P844*Assumptions!P$5),-2)</f>
        <v>19200</v>
      </c>
      <c r="R844" s="114">
        <f>ROUNDUP(Q844+(Q844*Assumptions!Q$5),-2)</f>
        <v>19600</v>
      </c>
    </row>
    <row r="845" spans="1:18" x14ac:dyDescent="0.2">
      <c r="A845" s="107">
        <v>0</v>
      </c>
      <c r="B845" s="33">
        <v>0</v>
      </c>
      <c r="C845" s="189">
        <v>0</v>
      </c>
      <c r="D845" s="189">
        <v>15000</v>
      </c>
      <c r="E845" s="1092" t="s">
        <v>5313</v>
      </c>
      <c r="F845" s="891" t="s">
        <v>2193</v>
      </c>
      <c r="G845" s="2509">
        <v>19000</v>
      </c>
      <c r="H845" s="138">
        <f t="shared" si="1249"/>
        <v>26.666666666666668</v>
      </c>
      <c r="I845" s="33">
        <f>ROUNDUP(G845+(G845*Assumptions!H$5),-2)</f>
        <v>19300</v>
      </c>
      <c r="J845" s="33">
        <f>ROUNDUP(I845+(I845*Assumptions!I$5),-2)</f>
        <v>19800</v>
      </c>
      <c r="K845" s="33">
        <f>ROUNDUP(J845+(J845*Assumptions!J$5),-2)</f>
        <v>20300</v>
      </c>
      <c r="L845" s="33">
        <f>ROUNDUP(K845+(K845*Assumptions!K$5),-2)</f>
        <v>20900</v>
      </c>
      <c r="M845" s="33">
        <f>ROUNDUP(L845+(L845*Assumptions!L$5),-2)</f>
        <v>21400</v>
      </c>
      <c r="N845" s="33">
        <f>ROUNDUP(M845+(M845*Assumptions!M$5),-2)</f>
        <v>21900</v>
      </c>
      <c r="O845" s="33">
        <f>ROUNDUP(N845+(N845*Assumptions!N$5),-2)</f>
        <v>22400</v>
      </c>
      <c r="P845" s="33">
        <f>ROUNDUP(O845+(O845*Assumptions!O$5),-2)</f>
        <v>22900</v>
      </c>
      <c r="Q845" s="142">
        <f>ROUNDUP(P845+(P845*Assumptions!P$5),-2)</f>
        <v>23400</v>
      </c>
      <c r="R845" s="114">
        <f>ROUNDUP(Q845+(Q845*Assumptions!Q$5),-2)</f>
        <v>23900</v>
      </c>
    </row>
    <row r="846" spans="1:18" x14ac:dyDescent="0.2">
      <c r="A846" s="107">
        <v>0</v>
      </c>
      <c r="B846" s="33">
        <v>0</v>
      </c>
      <c r="C846" s="189">
        <v>0</v>
      </c>
      <c r="D846" s="189">
        <v>3000</v>
      </c>
      <c r="E846" s="1092" t="s">
        <v>5314</v>
      </c>
      <c r="F846" s="891" t="s">
        <v>5258</v>
      </c>
      <c r="G846" s="2509">
        <v>4000</v>
      </c>
      <c r="H846" s="138">
        <f t="shared" si="1249"/>
        <v>33.333333333333329</v>
      </c>
      <c r="I846" s="33">
        <f>ROUNDUP(G846+(G846*Assumptions!H$5),-2)</f>
        <v>4100</v>
      </c>
      <c r="J846" s="33">
        <f>ROUNDUP(I846+(I846*Assumptions!I$5),-2)</f>
        <v>4300</v>
      </c>
      <c r="K846" s="33">
        <f>ROUNDUP(J846+(J846*Assumptions!J$5),-2)</f>
        <v>4500</v>
      </c>
      <c r="L846" s="33">
        <f>ROUNDUP(K846+(K846*Assumptions!K$5),-2)</f>
        <v>4700</v>
      </c>
      <c r="M846" s="33">
        <f>ROUNDUP(L846+(L846*Assumptions!L$5),-2)</f>
        <v>4800</v>
      </c>
      <c r="N846" s="33">
        <f>ROUNDUP(M846+(M846*Assumptions!M$5),-2)</f>
        <v>4900</v>
      </c>
      <c r="O846" s="33">
        <f>ROUNDUP(N846+(N846*Assumptions!N$5),-2)</f>
        <v>5000</v>
      </c>
      <c r="P846" s="33">
        <f>ROUNDUP(O846+(O846*Assumptions!O$5),-2)</f>
        <v>5100</v>
      </c>
      <c r="Q846" s="142">
        <f>ROUNDUP(P846+(P846*Assumptions!P$5),-2)</f>
        <v>5300</v>
      </c>
      <c r="R846" s="114">
        <f>ROUNDUP(Q846+(Q846*Assumptions!Q$5),-2)</f>
        <v>5500</v>
      </c>
    </row>
    <row r="847" spans="1:18" x14ac:dyDescent="0.2">
      <c r="A847" s="107">
        <v>52200</v>
      </c>
      <c r="B847" s="33">
        <v>50400</v>
      </c>
      <c r="C847" s="189">
        <v>52100</v>
      </c>
      <c r="D847" s="189">
        <f>46400-46400</f>
        <v>0</v>
      </c>
      <c r="E847" s="658" t="s">
        <v>2381</v>
      </c>
      <c r="F847" s="891" t="s">
        <v>3836</v>
      </c>
      <c r="G847" s="2509">
        <v>0</v>
      </c>
      <c r="H847" s="138">
        <f t="shared" si="1249"/>
        <v>0</v>
      </c>
      <c r="I847" s="33">
        <f>ROUNDUP(G847+(G847*Assumptions!H$5),-2)</f>
        <v>0</v>
      </c>
      <c r="J847" s="33">
        <f>ROUNDUP(I847+(I847*Assumptions!I$5),-2)</f>
        <v>0</v>
      </c>
      <c r="K847" s="33">
        <f>ROUNDUP(J847+(J847*Assumptions!J$5),-2)</f>
        <v>0</v>
      </c>
      <c r="L847" s="33">
        <f>ROUNDUP(K847+(K847*Assumptions!K$5),-2)</f>
        <v>0</v>
      </c>
      <c r="M847" s="33">
        <f>ROUNDUP(L847+(L847*Assumptions!L$5),-2)</f>
        <v>0</v>
      </c>
      <c r="N847" s="33">
        <f>ROUNDUP(M847+(M847*Assumptions!M$5),-2)</f>
        <v>0</v>
      </c>
      <c r="O847" s="33">
        <f>ROUNDUP(N847+(N847*Assumptions!N$5),-2)</f>
        <v>0</v>
      </c>
      <c r="P847" s="33">
        <f>ROUNDUP(O847+(O847*Assumptions!O$5),-2)</f>
        <v>0</v>
      </c>
      <c r="Q847" s="142">
        <f>ROUNDUP(P847+(P847*Assumptions!P$5),-2)</f>
        <v>0</v>
      </c>
      <c r="R847" s="114">
        <f>ROUNDUP(Q847+(Q847*Assumptions!Q$5),-2)</f>
        <v>0</v>
      </c>
    </row>
    <row r="848" spans="1:18" x14ac:dyDescent="0.2">
      <c r="A848" s="107">
        <v>20200</v>
      </c>
      <c r="B848" s="33">
        <v>35800</v>
      </c>
      <c r="C848" s="189">
        <v>25100</v>
      </c>
      <c r="D848" s="189">
        <v>19500</v>
      </c>
      <c r="E848" s="658" t="s">
        <v>2382</v>
      </c>
      <c r="F848" s="366" t="s">
        <v>1665</v>
      </c>
      <c r="G848" s="2509">
        <v>15000</v>
      </c>
      <c r="H848" s="138">
        <f t="shared" si="1249"/>
        <v>-23.076923076923077</v>
      </c>
      <c r="I848" s="33">
        <f>ROUNDUP(G848+(G848*Assumptions!H$5),-2)</f>
        <v>15300</v>
      </c>
      <c r="J848" s="33">
        <f>ROUNDUP(I848+(I848*Assumptions!I$5),-2)</f>
        <v>15700</v>
      </c>
      <c r="K848" s="33">
        <f>ROUNDUP(J848+(J848*Assumptions!J$5),-2)</f>
        <v>16100</v>
      </c>
      <c r="L848" s="33">
        <f>ROUNDUP(K848+(K848*Assumptions!K$5),-2)</f>
        <v>16600</v>
      </c>
      <c r="M848" s="33">
        <f>ROUNDUP(L848+(L848*Assumptions!L$5),-2)</f>
        <v>17000</v>
      </c>
      <c r="N848" s="33">
        <f>ROUNDUP(M848+(M848*Assumptions!M$5),-2)</f>
        <v>17400</v>
      </c>
      <c r="O848" s="33">
        <f>ROUNDUP(N848+(N848*Assumptions!N$5),-2)</f>
        <v>17800</v>
      </c>
      <c r="P848" s="33">
        <f>ROUNDUP(O848+(O848*Assumptions!O$5),-2)</f>
        <v>18200</v>
      </c>
      <c r="Q848" s="142">
        <f>ROUNDUP(P848+(P848*Assumptions!P$5),-2)</f>
        <v>18600</v>
      </c>
      <c r="R848" s="114">
        <f>ROUNDUP(Q848+(Q848*Assumptions!Q$5),-2)</f>
        <v>19000</v>
      </c>
    </row>
    <row r="849" spans="1:18" x14ac:dyDescent="0.2">
      <c r="A849" s="107">
        <v>70500</v>
      </c>
      <c r="B849" s="33">
        <f>80000+1500-8800</f>
        <v>72700</v>
      </c>
      <c r="C849" s="189">
        <v>72200</v>
      </c>
      <c r="D849" s="189">
        <v>58600</v>
      </c>
      <c r="E849" s="1092" t="s">
        <v>5315</v>
      </c>
      <c r="F849" s="891" t="s">
        <v>3835</v>
      </c>
      <c r="G849" s="2509">
        <f>60000+14000</f>
        <v>74000</v>
      </c>
      <c r="H849" s="138">
        <f t="shared" si="1249"/>
        <v>26.27986348122867</v>
      </c>
      <c r="I849" s="33">
        <f>ROUNDUP(G849+(G849*Assumptions!H$5),-2)</f>
        <v>75200</v>
      </c>
      <c r="J849" s="33">
        <f>ROUNDUP(I849+(I849*Assumptions!I$5),-2)</f>
        <v>77100</v>
      </c>
      <c r="K849" s="33">
        <f>ROUNDUP(J849+(J849*Assumptions!J$5),-2)</f>
        <v>79100</v>
      </c>
      <c r="L849" s="33">
        <f>ROUNDUP(K849+(K849*Assumptions!K$5),-2)</f>
        <v>81100</v>
      </c>
      <c r="M849" s="33">
        <f>ROUNDUP(L849+(L849*Assumptions!L$5),-2)</f>
        <v>82800</v>
      </c>
      <c r="N849" s="33">
        <f>ROUNDUP(M849+(M849*Assumptions!M$5),-2)</f>
        <v>84500</v>
      </c>
      <c r="O849" s="33">
        <f>ROUNDUP(N849+(N849*Assumptions!N$5),-2)</f>
        <v>86200</v>
      </c>
      <c r="P849" s="33">
        <f>ROUNDUP(O849+(O849*Assumptions!O$5),-2)</f>
        <v>88000</v>
      </c>
      <c r="Q849" s="142">
        <f>ROUNDUP(P849+(P849*Assumptions!P$5),-2)</f>
        <v>89800</v>
      </c>
      <c r="R849" s="114">
        <f>ROUNDUP(Q849+(Q849*Assumptions!Q$5),-2)</f>
        <v>91600</v>
      </c>
    </row>
    <row r="850" spans="1:18" x14ac:dyDescent="0.2">
      <c r="A850" s="107">
        <v>3800</v>
      </c>
      <c r="B850" s="33">
        <v>51700</v>
      </c>
      <c r="C850" s="189">
        <v>0</v>
      </c>
      <c r="D850" s="189">
        <v>0</v>
      </c>
      <c r="E850" s="1092" t="s">
        <v>3435</v>
      </c>
      <c r="F850" s="891" t="s">
        <v>3436</v>
      </c>
      <c r="G850" s="2509">
        <v>0</v>
      </c>
      <c r="H850" s="138">
        <f t="shared" si="1249"/>
        <v>0</v>
      </c>
      <c r="I850" s="33">
        <f>ROUNDUP(G850+(G850*Assumptions!H$5),-2)</f>
        <v>0</v>
      </c>
      <c r="J850" s="33">
        <f>ROUNDUP(I850+(I850*Assumptions!I$5),-2)</f>
        <v>0</v>
      </c>
      <c r="K850" s="33">
        <f>ROUNDUP(J850+(J850*Assumptions!J$5),-2)</f>
        <v>0</v>
      </c>
      <c r="L850" s="33">
        <f>ROUNDUP(K850+(K850*Assumptions!K$5),-2)</f>
        <v>0</v>
      </c>
      <c r="M850" s="33">
        <f>ROUNDUP(L850+(L850*Assumptions!L$5),-2)</f>
        <v>0</v>
      </c>
      <c r="N850" s="33">
        <f>ROUNDUP(M850+(M850*Assumptions!M$5),-2)</f>
        <v>0</v>
      </c>
      <c r="O850" s="33">
        <f>ROUNDUP(N850+(N850*Assumptions!N$5),-2)</f>
        <v>0</v>
      </c>
      <c r="P850" s="33">
        <f>ROUNDUP(O850+(O850*Assumptions!O$5),-2)</f>
        <v>0</v>
      </c>
      <c r="Q850" s="142">
        <f>ROUNDUP(P850+(P850*Assumptions!P$5),-2)</f>
        <v>0</v>
      </c>
      <c r="R850" s="114">
        <f>ROUNDUP(Q850+(Q850*Assumptions!Q$5),-2)</f>
        <v>0</v>
      </c>
    </row>
    <row r="851" spans="1:18" x14ac:dyDescent="0.2">
      <c r="A851" s="107">
        <v>600</v>
      </c>
      <c r="B851" s="33">
        <v>0</v>
      </c>
      <c r="C851" s="189">
        <v>1600</v>
      </c>
      <c r="D851" s="189">
        <v>0</v>
      </c>
      <c r="E851" s="1092" t="s">
        <v>3259</v>
      </c>
      <c r="F851" s="366" t="s">
        <v>2639</v>
      </c>
      <c r="G851" s="2509">
        <v>0</v>
      </c>
      <c r="H851" s="138">
        <f t="shared" si="1249"/>
        <v>0</v>
      </c>
      <c r="I851" s="33">
        <f>ROUNDUP(G851+(G851*Assumptions!H$5),-2)</f>
        <v>0</v>
      </c>
      <c r="J851" s="33">
        <f>ROUNDUP(I851+(I851*Assumptions!I$5),-2)</f>
        <v>0</v>
      </c>
      <c r="K851" s="33">
        <f>ROUNDUP(J851+(J851*Assumptions!J$5),-2)</f>
        <v>0</v>
      </c>
      <c r="L851" s="33">
        <f>ROUNDUP(K851+(K851*Assumptions!K$5),-2)</f>
        <v>0</v>
      </c>
      <c r="M851" s="33">
        <f>ROUNDUP(L851+(L851*Assumptions!L$5),-2)</f>
        <v>0</v>
      </c>
      <c r="N851" s="33">
        <f>ROUNDUP(M851+(M851*Assumptions!M$5),-2)</f>
        <v>0</v>
      </c>
      <c r="O851" s="33">
        <f>ROUNDUP(N851+(N851*Assumptions!N$5),-2)</f>
        <v>0</v>
      </c>
      <c r="P851" s="33">
        <f>ROUNDUP(O851+(O851*Assumptions!O$5),-2)</f>
        <v>0</v>
      </c>
      <c r="Q851" s="142">
        <f>ROUNDUP(P851+(P851*Assumptions!P$5),-2)</f>
        <v>0</v>
      </c>
      <c r="R851" s="114">
        <f>ROUNDUP(Q851+(Q851*Assumptions!Q$5),-2)</f>
        <v>0</v>
      </c>
    </row>
    <row r="852" spans="1:18" x14ac:dyDescent="0.2">
      <c r="A852" s="107">
        <v>3300</v>
      </c>
      <c r="B852" s="33">
        <v>900</v>
      </c>
      <c r="C852" s="189">
        <v>0</v>
      </c>
      <c r="D852" s="189">
        <v>2400</v>
      </c>
      <c r="E852" s="658" t="s">
        <v>457</v>
      </c>
      <c r="F852" s="891" t="s">
        <v>3316</v>
      </c>
      <c r="G852" s="2509">
        <v>4000</v>
      </c>
      <c r="H852" s="138">
        <f t="shared" si="1249"/>
        <v>66.666666666666657</v>
      </c>
      <c r="I852" s="33">
        <f>ROUNDUP(G852+(G852*Assumptions!H$5),-2)</f>
        <v>4100</v>
      </c>
      <c r="J852" s="33">
        <f>ROUNDUP(I852+(I852*Assumptions!I$5),-2)</f>
        <v>4300</v>
      </c>
      <c r="K852" s="33">
        <f>ROUNDUP(J852+(J852*Assumptions!J$5),-2)</f>
        <v>4500</v>
      </c>
      <c r="L852" s="33">
        <f>ROUNDUP(K852+(K852*Assumptions!K$5),-2)</f>
        <v>4700</v>
      </c>
      <c r="M852" s="33">
        <f>ROUNDUP(L852+(L852*Assumptions!L$5),-2)</f>
        <v>4800</v>
      </c>
      <c r="N852" s="33">
        <f>ROUNDUP(M852+(M852*Assumptions!M$5),-2)</f>
        <v>4900</v>
      </c>
      <c r="O852" s="33">
        <f>ROUNDUP(N852+(N852*Assumptions!N$5),-2)</f>
        <v>5000</v>
      </c>
      <c r="P852" s="33">
        <f>ROUNDUP(O852+(O852*Assumptions!O$5),-2)</f>
        <v>5100</v>
      </c>
      <c r="Q852" s="142">
        <f>ROUNDUP(P852+(P852*Assumptions!P$5),-2)</f>
        <v>5300</v>
      </c>
      <c r="R852" s="114">
        <f>ROUNDUP(Q852+(Q852*Assumptions!Q$5),-2)</f>
        <v>5500</v>
      </c>
    </row>
    <row r="853" spans="1:18" x14ac:dyDescent="0.2">
      <c r="A853" s="107">
        <v>76700</v>
      </c>
      <c r="B853" s="33">
        <v>71400</v>
      </c>
      <c r="C853" s="189">
        <v>76200</v>
      </c>
      <c r="D853" s="33">
        <v>72000</v>
      </c>
      <c r="E853" s="658" t="s">
        <v>2323</v>
      </c>
      <c r="F853" s="891" t="s">
        <v>3566</v>
      </c>
      <c r="G853" s="2509">
        <f>84000-4000</f>
        <v>80000</v>
      </c>
      <c r="H853" s="138">
        <f t="shared" si="1249"/>
        <v>11.111111111111111</v>
      </c>
      <c r="I853" s="33">
        <f>ROUNDUP(G853+(G853*Assumptions!H$5),-2)</f>
        <v>81200</v>
      </c>
      <c r="J853" s="33">
        <f>ROUNDUP(I853+(I853*Assumptions!I$5),-2)</f>
        <v>83300</v>
      </c>
      <c r="K853" s="33">
        <f>ROUNDUP(J853+(J853*Assumptions!J$5),-2)</f>
        <v>85400</v>
      </c>
      <c r="L853" s="33">
        <f>ROUNDUP(K853+(K853*Assumptions!K$5),-2)</f>
        <v>87600</v>
      </c>
      <c r="M853" s="33">
        <f>ROUNDUP(L853+(L853*Assumptions!L$5),-2)</f>
        <v>89400</v>
      </c>
      <c r="N853" s="33">
        <f>ROUNDUP(M853+(M853*Assumptions!M$5),-2)</f>
        <v>91200</v>
      </c>
      <c r="O853" s="33">
        <f>ROUNDUP(N853+(N853*Assumptions!N$5),-2)</f>
        <v>93100</v>
      </c>
      <c r="P853" s="33">
        <f>ROUNDUP(O853+(O853*Assumptions!O$5),-2)</f>
        <v>95000</v>
      </c>
      <c r="Q853" s="142">
        <f>ROUNDUP(P853+(P853*Assumptions!P$5),-2)</f>
        <v>96900</v>
      </c>
      <c r="R853" s="114">
        <f>ROUNDUP(Q853+(Q853*Assumptions!Q$5),-2)</f>
        <v>98900</v>
      </c>
    </row>
    <row r="854" spans="1:18" x14ac:dyDescent="0.2">
      <c r="A854" s="107">
        <v>9300</v>
      </c>
      <c r="B854" s="33">
        <v>3200</v>
      </c>
      <c r="C854" s="189">
        <v>800</v>
      </c>
      <c r="D854" s="189">
        <v>0</v>
      </c>
      <c r="E854" s="658" t="s">
        <v>1211</v>
      </c>
      <c r="F854" s="366" t="s">
        <v>1212</v>
      </c>
      <c r="G854" s="2509">
        <v>0</v>
      </c>
      <c r="H854" s="138">
        <f t="shared" si="1249"/>
        <v>0</v>
      </c>
      <c r="I854" s="33">
        <f>ROUNDUP(G854+(G854*Assumptions!H$5),-2)</f>
        <v>0</v>
      </c>
      <c r="J854" s="33">
        <f>ROUNDUP(I854+(I854*Assumptions!I$5),-2)</f>
        <v>0</v>
      </c>
      <c r="K854" s="33">
        <f>ROUNDUP(J854+(J854*Assumptions!J$5),-2)</f>
        <v>0</v>
      </c>
      <c r="L854" s="33">
        <f>ROUNDUP(K854+(K854*Assumptions!K$5),-2)</f>
        <v>0</v>
      </c>
      <c r="M854" s="33">
        <f>ROUNDUP(L854+(L854*Assumptions!L$5),-2)</f>
        <v>0</v>
      </c>
      <c r="N854" s="33">
        <f>ROUNDUP(M854+(M854*Assumptions!M$5),-2)</f>
        <v>0</v>
      </c>
      <c r="O854" s="33">
        <f>ROUNDUP(N854+(N854*Assumptions!N$5),-2)</f>
        <v>0</v>
      </c>
      <c r="P854" s="33">
        <f>ROUNDUP(O854+(O854*Assumptions!O$5),-2)</f>
        <v>0</v>
      </c>
      <c r="Q854" s="142">
        <f>ROUNDUP(P854+(P854*Assumptions!P$5),-2)</f>
        <v>0</v>
      </c>
      <c r="R854" s="114">
        <f>ROUNDUP(Q854+(Q854*Assumptions!Q$5),-2)</f>
        <v>0</v>
      </c>
    </row>
    <row r="855" spans="1:18" x14ac:dyDescent="0.2">
      <c r="A855" s="107">
        <v>1300</v>
      </c>
      <c r="B855" s="33">
        <v>-6800</v>
      </c>
      <c r="C855" s="189">
        <v>-2900</v>
      </c>
      <c r="D855" s="189">
        <v>-3300</v>
      </c>
      <c r="E855" s="658" t="s">
        <v>2609</v>
      </c>
      <c r="F855" s="366" t="s">
        <v>2142</v>
      </c>
      <c r="G855" s="2509">
        <v>500</v>
      </c>
      <c r="H855" s="138">
        <f t="shared" si="1249"/>
        <v>-115.15151515151516</v>
      </c>
      <c r="I855" s="33">
        <f>ROUNDUP(G855+(G855*Assumptions!H$5),-2)</f>
        <v>600</v>
      </c>
      <c r="J855" s="33">
        <f>ROUNDUP(I855+(I855*Assumptions!I$5),-2)</f>
        <v>700</v>
      </c>
      <c r="K855" s="33">
        <f>ROUNDUP(J855+(J855*Assumptions!J$5),-2)</f>
        <v>800</v>
      </c>
      <c r="L855" s="33">
        <f>ROUNDUP(K855+(K855*Assumptions!K$5),-2)</f>
        <v>900</v>
      </c>
      <c r="M855" s="33">
        <f>ROUNDUP(L855+(L855*Assumptions!L$5),-2)</f>
        <v>1000</v>
      </c>
      <c r="N855" s="33">
        <f>ROUNDUP(M855+(M855*Assumptions!M$5),-2)</f>
        <v>1100</v>
      </c>
      <c r="O855" s="33">
        <f>ROUNDUP(N855+(N855*Assumptions!N$5),-2)</f>
        <v>1200</v>
      </c>
      <c r="P855" s="33">
        <f>ROUNDUP(O855+(O855*Assumptions!O$5),-2)</f>
        <v>1300</v>
      </c>
      <c r="Q855" s="142">
        <f>ROUNDUP(P855+(P855*Assumptions!P$5),-2)</f>
        <v>1400</v>
      </c>
      <c r="R855" s="114">
        <f>ROUNDUP(Q855+(Q855*Assumptions!Q$5),-2)</f>
        <v>1500</v>
      </c>
    </row>
    <row r="856" spans="1:18" x14ac:dyDescent="0.2">
      <c r="A856" s="107">
        <v>54000</v>
      </c>
      <c r="B856" s="33">
        <v>45800</v>
      </c>
      <c r="C856" s="189">
        <v>50700</v>
      </c>
      <c r="D856" s="189">
        <v>35000</v>
      </c>
      <c r="E856" s="658" t="s">
        <v>1736</v>
      </c>
      <c r="F856" s="366" t="s">
        <v>720</v>
      </c>
      <c r="G856" s="2509">
        <v>49000</v>
      </c>
      <c r="H856" s="138">
        <f t="shared" si="1249"/>
        <v>40</v>
      </c>
      <c r="I856" s="33">
        <f>ROUNDUP(G856+(G856*Assumptions!H$5),-2)</f>
        <v>49800</v>
      </c>
      <c r="J856" s="33">
        <f>ROUNDUP(I856+(I856*Assumptions!I$5),-2)</f>
        <v>51100</v>
      </c>
      <c r="K856" s="33">
        <f>ROUNDUP(J856+(J856*Assumptions!J$5),-2)</f>
        <v>52400</v>
      </c>
      <c r="L856" s="33">
        <f>ROUNDUP(K856+(K856*Assumptions!K$5),-2)</f>
        <v>53800</v>
      </c>
      <c r="M856" s="33">
        <f>ROUNDUP(L856+(L856*Assumptions!L$5),-2)</f>
        <v>54900</v>
      </c>
      <c r="N856" s="33">
        <f>ROUNDUP(M856+(M856*Assumptions!M$5),-2)</f>
        <v>56000</v>
      </c>
      <c r="O856" s="33">
        <f>ROUNDUP(N856+(N856*Assumptions!N$5),-2)</f>
        <v>57200</v>
      </c>
      <c r="P856" s="33">
        <f>ROUNDUP(O856+(O856*Assumptions!O$5),-2)</f>
        <v>58400</v>
      </c>
      <c r="Q856" s="142">
        <f>ROUNDUP(P856+(P856*Assumptions!P$5),-2)</f>
        <v>59600</v>
      </c>
      <c r="R856" s="114">
        <f>ROUNDUP(Q856+(Q856*Assumptions!Q$5),-2)</f>
        <v>60800</v>
      </c>
    </row>
    <row r="857" spans="1:18" x14ac:dyDescent="0.2">
      <c r="A857" s="107"/>
      <c r="B857" s="33"/>
      <c r="E857" s="658"/>
      <c r="F857" s="371" t="s">
        <v>905</v>
      </c>
      <c r="G857" s="2509"/>
      <c r="H857" s="138"/>
      <c r="I857" s="33"/>
      <c r="J857" s="33"/>
      <c r="K857" s="33"/>
      <c r="L857" s="33"/>
      <c r="M857" s="33"/>
      <c r="N857" s="33"/>
      <c r="O857" s="33"/>
      <c r="P857" s="33"/>
      <c r="Q857" s="142"/>
      <c r="R857" s="114"/>
    </row>
    <row r="858" spans="1:18" x14ac:dyDescent="0.2">
      <c r="A858" s="107">
        <v>1500</v>
      </c>
      <c r="B858" s="33">
        <v>2100</v>
      </c>
      <c r="C858" s="189">
        <v>1700</v>
      </c>
      <c r="D858" s="189">
        <v>2100</v>
      </c>
      <c r="E858" s="1092" t="s">
        <v>2936</v>
      </c>
      <c r="F858" s="891" t="s">
        <v>3212</v>
      </c>
      <c r="G858" s="2509">
        <v>1000</v>
      </c>
      <c r="H858" s="138">
        <f>IF(D858=G858,0,IF(D858=0,100,(G858-D858)/D858*100))</f>
        <v>-52.380952380952387</v>
      </c>
      <c r="I858" s="33">
        <f>ROUNDUP(G858+(G858*Assumptions!H$5),-2)</f>
        <v>1100</v>
      </c>
      <c r="J858" s="33">
        <f>ROUNDUP(I858+(I858*Assumptions!I$5),-2)</f>
        <v>1200</v>
      </c>
      <c r="K858" s="33">
        <f>ROUNDUP(J858+(J858*Assumptions!J$5),-2)</f>
        <v>1300</v>
      </c>
      <c r="L858" s="33">
        <f>ROUNDUP(K858+(K858*Assumptions!K$5),-2)</f>
        <v>1400</v>
      </c>
      <c r="M858" s="33">
        <f>ROUNDUP(L858+(L858*Assumptions!L$5),-2)</f>
        <v>1500</v>
      </c>
      <c r="N858" s="33">
        <f>ROUNDUP(M858+(M858*Assumptions!M$5),-2)</f>
        <v>1600</v>
      </c>
      <c r="O858" s="33">
        <f>ROUNDUP(N858+(N858*Assumptions!N$5),-2)</f>
        <v>1700</v>
      </c>
      <c r="P858" s="33">
        <f>ROUNDUP(O858+(O858*Assumptions!O$5),-2)</f>
        <v>1800</v>
      </c>
      <c r="Q858" s="142">
        <f>ROUNDUP(P858+(P858*Assumptions!P$5),-2)</f>
        <v>1900</v>
      </c>
      <c r="R858" s="114">
        <f>ROUNDUP(Q858+(Q858*Assumptions!Q$5),-2)</f>
        <v>2000</v>
      </c>
    </row>
    <row r="859" spans="1:18" x14ac:dyDescent="0.2">
      <c r="A859" s="107">
        <v>1900</v>
      </c>
      <c r="B859" s="33">
        <v>6800</v>
      </c>
      <c r="C859" s="189">
        <v>14200</v>
      </c>
      <c r="D859" s="189">
        <v>7000</v>
      </c>
      <c r="E859" s="1092" t="s">
        <v>3258</v>
      </c>
      <c r="F859" s="891" t="s">
        <v>3060</v>
      </c>
      <c r="G859" s="2509">
        <v>6000</v>
      </c>
      <c r="H859" s="138">
        <f>IF(D859=G859,0,IF(D859=0,100,(G859-D859)/D859*100))</f>
        <v>-14.285714285714285</v>
      </c>
      <c r="I859" s="33">
        <f>ROUNDUP(G859+(G859*Assumptions!H$5),-2)</f>
        <v>6100</v>
      </c>
      <c r="J859" s="33">
        <f>ROUNDUP(I859+(I859*Assumptions!I$5),-2)</f>
        <v>6300</v>
      </c>
      <c r="K859" s="33">
        <f>ROUNDUP(J859+(J859*Assumptions!J$5),-2)</f>
        <v>6500</v>
      </c>
      <c r="L859" s="33">
        <f>ROUNDUP(K859+(K859*Assumptions!K$5),-2)</f>
        <v>6700</v>
      </c>
      <c r="M859" s="33">
        <f>ROUNDUP(L859+(L859*Assumptions!L$5),-2)</f>
        <v>6900</v>
      </c>
      <c r="N859" s="33">
        <f>ROUNDUP(M859+(M859*Assumptions!M$5),-2)</f>
        <v>7100</v>
      </c>
      <c r="O859" s="33">
        <f>ROUNDUP(N859+(N859*Assumptions!N$5),-2)</f>
        <v>7300</v>
      </c>
      <c r="P859" s="33">
        <f>ROUNDUP(O859+(O859*Assumptions!O$5),-2)</f>
        <v>7500</v>
      </c>
      <c r="Q859" s="142">
        <f>ROUNDUP(P859+(P859*Assumptions!P$5),-2)</f>
        <v>7700</v>
      </c>
      <c r="R859" s="114">
        <f>ROUNDUP(Q859+(Q859*Assumptions!Q$5),-2)</f>
        <v>7900</v>
      </c>
    </row>
    <row r="860" spans="1:18" x14ac:dyDescent="0.2">
      <c r="A860" s="107">
        <v>-29600</v>
      </c>
      <c r="B860" s="33">
        <v>9000</v>
      </c>
      <c r="C860" s="189">
        <v>700</v>
      </c>
      <c r="D860" s="189">
        <v>19700</v>
      </c>
      <c r="E860" s="658" t="s">
        <v>213</v>
      </c>
      <c r="F860" s="891" t="s">
        <v>2239</v>
      </c>
      <c r="G860" s="2509">
        <v>0</v>
      </c>
      <c r="H860" s="138">
        <f>IF(D860=G860,0,IF(D860=0,100,(G860-D860)/D860*100))</f>
        <v>-100</v>
      </c>
      <c r="I860" s="33">
        <f>ROUNDUP(G860+(G860*Assumptions!H$5),-2)</f>
        <v>0</v>
      </c>
      <c r="J860" s="33">
        <f>ROUNDUP(I860+(I860*Assumptions!I$5),-2)</f>
        <v>0</v>
      </c>
      <c r="K860" s="33">
        <f>ROUNDUP(J860+(J860*Assumptions!J$5),-2)</f>
        <v>0</v>
      </c>
      <c r="L860" s="33">
        <f>ROUNDUP(K860+(K860*Assumptions!K$5),-2)</f>
        <v>0</v>
      </c>
      <c r="M860" s="33">
        <f>ROUNDUP(L860+(L860*Assumptions!L$5),-2)</f>
        <v>0</v>
      </c>
      <c r="N860" s="33">
        <f>ROUNDUP(M860+(M860*Assumptions!M$5),-2)</f>
        <v>0</v>
      </c>
      <c r="O860" s="33">
        <f>ROUNDUP(N860+(N860*Assumptions!N$5),-2)</f>
        <v>0</v>
      </c>
      <c r="P860" s="33">
        <f>ROUNDUP(O860+(O860*Assumptions!O$5),-2)</f>
        <v>0</v>
      </c>
      <c r="Q860" s="142">
        <f>ROUNDUP(P860+(P860*Assumptions!P$5),-2)</f>
        <v>0</v>
      </c>
      <c r="R860" s="114">
        <f>ROUNDUP(Q860+(Q860*Assumptions!Q$5),-2)</f>
        <v>0</v>
      </c>
    </row>
    <row r="861" spans="1:18" x14ac:dyDescent="0.2">
      <c r="A861" s="107"/>
      <c r="B861" s="33"/>
      <c r="E861" s="658"/>
      <c r="F861" s="116" t="s">
        <v>265</v>
      </c>
      <c r="G861" s="2509"/>
      <c r="H861" s="138"/>
      <c r="I861" s="33"/>
      <c r="J861" s="33"/>
      <c r="K861" s="33"/>
      <c r="L861" s="33"/>
      <c r="M861" s="33"/>
      <c r="N861" s="33"/>
      <c r="O861" s="33"/>
      <c r="P861" s="33"/>
      <c r="Q861" s="142"/>
      <c r="R861" s="114"/>
    </row>
    <row r="862" spans="1:18" ht="12" customHeight="1" x14ac:dyDescent="0.2">
      <c r="A862" s="107">
        <v>455200</v>
      </c>
      <c r="B862" s="33">
        <f>648800</f>
        <v>648800</v>
      </c>
      <c r="C862" s="33">
        <v>688700</v>
      </c>
      <c r="D862" s="189">
        <v>711600</v>
      </c>
      <c r="E862" s="344" t="s">
        <v>2379</v>
      </c>
      <c r="F862" s="891" t="s">
        <v>4222</v>
      </c>
      <c r="G862" s="2509">
        <v>700000</v>
      </c>
      <c r="H862" s="138">
        <f>IF(D862=G862,0,IF(D862=0,100,(G862-D862)/D862*100))</f>
        <v>-1.6301292861157952</v>
      </c>
      <c r="I862" s="33">
        <f>ROUNDUP(G862+(G862*Assumptions!H$18),-2)</f>
        <v>714000</v>
      </c>
      <c r="J862" s="33">
        <f>ROUNDUP(I862+(I862*Assumptions!I$18),-2)</f>
        <v>728300</v>
      </c>
      <c r="K862" s="33">
        <f>ROUNDUP(J862+(J862*Assumptions!J$18),-2)</f>
        <v>742900</v>
      </c>
      <c r="L862" s="33">
        <f>ROUNDUP(K862+(K862*Assumptions!K$18),-2)</f>
        <v>757800</v>
      </c>
      <c r="M862" s="33">
        <f>ROUNDUP(L862+(L862*Assumptions!L$18),-2)</f>
        <v>773000</v>
      </c>
      <c r="N862" s="33">
        <f>ROUNDUP(M862+(M862*Assumptions!M$18),-2)</f>
        <v>788500</v>
      </c>
      <c r="O862" s="33">
        <f>ROUNDUP(N862+(N862*Assumptions!N$18),-2)</f>
        <v>804300</v>
      </c>
      <c r="P862" s="33">
        <f>ROUNDUP(O862+(O862*Assumptions!O$18),-2)</f>
        <v>820400</v>
      </c>
      <c r="Q862" s="142">
        <f>ROUNDUP(P862+(P862*Assumptions!P$18),-2)</f>
        <v>836900</v>
      </c>
      <c r="R862" s="114">
        <f>ROUNDUP(Q862+(Q862*Assumptions!Q$18),-2)</f>
        <v>853700</v>
      </c>
    </row>
    <row r="863" spans="1:18" ht="12" customHeight="1" x14ac:dyDescent="0.2">
      <c r="A863" s="107">
        <v>0</v>
      </c>
      <c r="B863" s="33">
        <v>140200</v>
      </c>
      <c r="C863" s="33">
        <v>252000</v>
      </c>
      <c r="D863" s="189">
        <v>0</v>
      </c>
      <c r="E863" s="811" t="s">
        <v>4555</v>
      </c>
      <c r="F863" s="891" t="s">
        <v>4520</v>
      </c>
      <c r="G863" s="2509">
        <v>0</v>
      </c>
      <c r="H863" s="138">
        <f>IF(D863=G863,0,IF(D863=0,100,(G863-D863)/D863*100))</f>
        <v>0</v>
      </c>
      <c r="I863" s="33">
        <f>ROUNDUP(G863+(G863*Assumptions!H$18),-2)</f>
        <v>0</v>
      </c>
      <c r="J863" s="33">
        <f>ROUNDUP(I863+(I863*Assumptions!I$18),-2)</f>
        <v>0</v>
      </c>
      <c r="K863" s="33">
        <f>ROUNDUP(J863+(J863*Assumptions!J$18),-2)</f>
        <v>0</v>
      </c>
      <c r="L863" s="33">
        <f>ROUNDUP(K863+(K863*Assumptions!K$18),-2)</f>
        <v>0</v>
      </c>
      <c r="M863" s="33">
        <f>ROUNDUP(L863+(L863*Assumptions!L$18),-2)</f>
        <v>0</v>
      </c>
      <c r="N863" s="33">
        <f>ROUNDUP(M863+(M863*Assumptions!M$18),-2)</f>
        <v>0</v>
      </c>
      <c r="O863" s="33">
        <f>ROUNDUP(N863+(N863*Assumptions!N$18),-2)</f>
        <v>0</v>
      </c>
      <c r="P863" s="33">
        <f>ROUNDUP(O863+(O863*Assumptions!O$18),-2)</f>
        <v>0</v>
      </c>
      <c r="Q863" s="142">
        <f>ROUNDUP(P863+(P863*Assumptions!P$18),-2)</f>
        <v>0</v>
      </c>
      <c r="R863" s="114">
        <f>ROUNDUP(Q863+(Q863*Assumptions!Q$18),-2)</f>
        <v>0</v>
      </c>
    </row>
    <row r="864" spans="1:18" ht="12" customHeight="1" thickBot="1" x14ac:dyDescent="0.25">
      <c r="A864" s="107"/>
      <c r="B864" s="33"/>
      <c r="C864" s="33"/>
      <c r="D864" s="142"/>
      <c r="E864" s="344"/>
      <c r="F864" s="366"/>
      <c r="G864" s="76"/>
      <c r="H864" s="138"/>
      <c r="I864" s="33"/>
      <c r="J864" s="33"/>
      <c r="K864" s="33"/>
      <c r="L864" s="33"/>
      <c r="M864" s="33"/>
      <c r="N864" s="33"/>
      <c r="O864" s="33"/>
      <c r="P864" s="33"/>
      <c r="Q864" s="142"/>
      <c r="R864" s="114"/>
    </row>
    <row r="865" spans="1:18" s="92" customFormat="1" x14ac:dyDescent="0.2">
      <c r="A865" s="105">
        <f>SUM(A825:A864)</f>
        <v>1305300</v>
      </c>
      <c r="B865" s="53">
        <f>SUM(B825:B864)</f>
        <v>1860400</v>
      </c>
      <c r="C865" s="155">
        <f>SUM(C825:C864)</f>
        <v>2002000</v>
      </c>
      <c r="D865" s="155">
        <f>SUM(D825:D864)</f>
        <v>1758100</v>
      </c>
      <c r="E865" s="237"/>
      <c r="F865" s="378" t="s">
        <v>565</v>
      </c>
      <c r="G865" s="460">
        <f>SUM(G825:G864)</f>
        <v>1816300</v>
      </c>
      <c r="H865" s="180">
        <f>IF(D865=G865,0,IF(D865=0,100,(G865-D865)/D865*100))</f>
        <v>3.310391900346966</v>
      </c>
      <c r="I865" s="53">
        <f t="shared" ref="I865:Q865" si="1250">SUM(I825:I864)</f>
        <v>1852600</v>
      </c>
      <c r="J865" s="53">
        <f t="shared" si="1250"/>
        <v>1896400</v>
      </c>
      <c r="K865" s="53">
        <f t="shared" si="1250"/>
        <v>1941500</v>
      </c>
      <c r="L865" s="53">
        <f t="shared" si="1250"/>
        <v>1987900</v>
      </c>
      <c r="M865" s="53">
        <f t="shared" si="1250"/>
        <v>2031300</v>
      </c>
      <c r="N865" s="53">
        <f t="shared" si="1250"/>
        <v>2075300</v>
      </c>
      <c r="O865" s="53">
        <f t="shared" si="1250"/>
        <v>2120400</v>
      </c>
      <c r="P865" s="53">
        <f t="shared" si="1250"/>
        <v>2166200</v>
      </c>
      <c r="Q865" s="155">
        <f t="shared" si="1250"/>
        <v>2200300</v>
      </c>
      <c r="R865" s="113">
        <f t="shared" ref="R865" si="1251">SUM(R825:R864)</f>
        <v>2235000</v>
      </c>
    </row>
    <row r="866" spans="1:18" x14ac:dyDescent="0.2">
      <c r="A866" s="107"/>
      <c r="B866" s="33"/>
      <c r="E866" s="1955"/>
      <c r="F866" s="366"/>
      <c r="G866" s="2509"/>
      <c r="H866" s="138"/>
      <c r="I866" s="33"/>
      <c r="J866" s="33"/>
      <c r="K866" s="33"/>
      <c r="L866" s="33"/>
      <c r="M866" s="33"/>
      <c r="N866" s="33"/>
      <c r="O866" s="33"/>
      <c r="P866" s="33"/>
      <c r="Q866" s="142"/>
      <c r="R866" s="114"/>
    </row>
    <row r="867" spans="1:18" s="92" customFormat="1" x14ac:dyDescent="0.2">
      <c r="A867" s="70">
        <f>A823-A865</f>
        <v>-1300700</v>
      </c>
      <c r="B867" s="64">
        <f>B823-B865</f>
        <v>-1680300</v>
      </c>
      <c r="C867" s="193">
        <f>C823-C865</f>
        <v>-1823700</v>
      </c>
      <c r="D867" s="193">
        <f>D823-D865</f>
        <v>-1758100</v>
      </c>
      <c r="E867" s="237"/>
      <c r="F867" s="516" t="s">
        <v>1019</v>
      </c>
      <c r="G867" s="2511">
        <f>G823-G865</f>
        <v>-1816300</v>
      </c>
      <c r="H867" s="179">
        <f>IF(D867=G867,0,IF(D867=0,100,(G867-D867)/D867*100))</f>
        <v>3.310391900346966</v>
      </c>
      <c r="I867" s="64">
        <f t="shared" ref="I867:Q867" si="1252">I823-I865</f>
        <v>-1852600</v>
      </c>
      <c r="J867" s="64">
        <f t="shared" si="1252"/>
        <v>-1896400</v>
      </c>
      <c r="K867" s="64">
        <f t="shared" si="1252"/>
        <v>-1941500</v>
      </c>
      <c r="L867" s="64">
        <f t="shared" si="1252"/>
        <v>-1987900</v>
      </c>
      <c r="M867" s="64">
        <f t="shared" si="1252"/>
        <v>-2031300</v>
      </c>
      <c r="N867" s="64">
        <f t="shared" si="1252"/>
        <v>-2075300</v>
      </c>
      <c r="O867" s="64">
        <f t="shared" si="1252"/>
        <v>-2120400</v>
      </c>
      <c r="P867" s="64">
        <f t="shared" si="1252"/>
        <v>-2166200</v>
      </c>
      <c r="Q867" s="128">
        <f t="shared" si="1252"/>
        <v>-2200300</v>
      </c>
      <c r="R867" s="115">
        <f t="shared" ref="R867" si="1253">R823-R865</f>
        <v>-2235000</v>
      </c>
    </row>
    <row r="868" spans="1:18" x14ac:dyDescent="0.2">
      <c r="A868" s="107">
        <f>SUM(A861:A862)</f>
        <v>455200</v>
      </c>
      <c r="B868" s="142">
        <f>SUM(B861:B862)</f>
        <v>648800</v>
      </c>
      <c r="C868" s="189">
        <f>SUM(C861:C862)</f>
        <v>688700</v>
      </c>
      <c r="D868" s="189">
        <f>SUM(D861:D862)</f>
        <v>711600</v>
      </c>
      <c r="E868" s="1955"/>
      <c r="F868" s="372" t="s">
        <v>1976</v>
      </c>
      <c r="G868" s="2509">
        <f>SUM(G861:G862)</f>
        <v>700000</v>
      </c>
      <c r="H868" s="138">
        <f>IF(D868=G868,0,IF(D868=0,100,(G868-D868)/D868*100))</f>
        <v>-1.6301292861157952</v>
      </c>
      <c r="I868" s="33">
        <f t="shared" ref="I868:Q868" si="1254">SUM(I861:I862)</f>
        <v>714000</v>
      </c>
      <c r="J868" s="33">
        <f t="shared" si="1254"/>
        <v>728300</v>
      </c>
      <c r="K868" s="33">
        <f t="shared" si="1254"/>
        <v>742900</v>
      </c>
      <c r="L868" s="33">
        <f t="shared" si="1254"/>
        <v>757800</v>
      </c>
      <c r="M868" s="33">
        <f t="shared" si="1254"/>
        <v>773000</v>
      </c>
      <c r="N868" s="33">
        <f t="shared" si="1254"/>
        <v>788500</v>
      </c>
      <c r="O868" s="33">
        <f t="shared" si="1254"/>
        <v>804300</v>
      </c>
      <c r="P868" s="33">
        <f t="shared" si="1254"/>
        <v>820400</v>
      </c>
      <c r="Q868" s="142">
        <f t="shared" si="1254"/>
        <v>836900</v>
      </c>
      <c r="R868" s="114">
        <f t="shared" ref="R868" si="1255">SUM(R861:R862)</f>
        <v>853700</v>
      </c>
    </row>
    <row r="869" spans="1:18" x14ac:dyDescent="0.2">
      <c r="A869" s="592">
        <f t="shared" ref="A869:B869" si="1256">A863</f>
        <v>0</v>
      </c>
      <c r="B869" s="142">
        <f t="shared" si="1256"/>
        <v>140200</v>
      </c>
      <c r="C869" s="189">
        <f>C863</f>
        <v>252000</v>
      </c>
      <c r="D869" s="189">
        <f>D863</f>
        <v>0</v>
      </c>
      <c r="E869" s="1955"/>
      <c r="F869" s="604" t="s">
        <v>4549</v>
      </c>
      <c r="G869" s="2509">
        <f t="shared" ref="G869:O869" si="1257">G863</f>
        <v>0</v>
      </c>
      <c r="H869" s="138">
        <f>IF(D869=G869,0,IF(D869=0,100,(G869-D869)/D869*100))</f>
        <v>0</v>
      </c>
      <c r="I869" s="33">
        <f t="shared" si="1257"/>
        <v>0</v>
      </c>
      <c r="J869" s="33">
        <f t="shared" si="1257"/>
        <v>0</v>
      </c>
      <c r="K869" s="33">
        <f t="shared" si="1257"/>
        <v>0</v>
      </c>
      <c r="L869" s="33">
        <f t="shared" si="1257"/>
        <v>0</v>
      </c>
      <c r="M869" s="33">
        <f t="shared" si="1257"/>
        <v>0</v>
      </c>
      <c r="N869" s="33">
        <f t="shared" si="1257"/>
        <v>0</v>
      </c>
      <c r="O869" s="33">
        <f t="shared" si="1257"/>
        <v>0</v>
      </c>
      <c r="P869" s="33">
        <f t="shared" ref="P869:Q869" si="1258">P863</f>
        <v>0</v>
      </c>
      <c r="Q869" s="142">
        <f t="shared" si="1258"/>
        <v>0</v>
      </c>
      <c r="R869" s="114">
        <f t="shared" ref="R869" si="1259">R863</f>
        <v>0</v>
      </c>
    </row>
    <row r="870" spans="1:18" s="92" customFormat="1" x14ac:dyDescent="0.2">
      <c r="A870" s="181">
        <f t="shared" ref="A870:B870" si="1260">A867+A868+A869</f>
        <v>-845500</v>
      </c>
      <c r="B870" s="397">
        <f t="shared" si="1260"/>
        <v>-891300</v>
      </c>
      <c r="C870" s="397">
        <f>C867+C868+C869</f>
        <v>-883000</v>
      </c>
      <c r="D870" s="397">
        <f>D867+D868+D869</f>
        <v>-1046500</v>
      </c>
      <c r="E870" s="523"/>
      <c r="F870" s="515" t="s">
        <v>1687</v>
      </c>
      <c r="G870" s="709">
        <f t="shared" ref="G870:O870" si="1261">G867+G868+G869</f>
        <v>-1116300</v>
      </c>
      <c r="H870" s="395">
        <f>IF(D870=G870,0,IF(D870=0,100,(G870-D870)/D870*100))</f>
        <v>6.6698518872431913</v>
      </c>
      <c r="I870" s="397">
        <f t="shared" si="1261"/>
        <v>-1138600</v>
      </c>
      <c r="J870" s="397">
        <f t="shared" si="1261"/>
        <v>-1168100</v>
      </c>
      <c r="K870" s="397">
        <f t="shared" si="1261"/>
        <v>-1198600</v>
      </c>
      <c r="L870" s="397">
        <f t="shared" si="1261"/>
        <v>-1230100</v>
      </c>
      <c r="M870" s="397">
        <f t="shared" si="1261"/>
        <v>-1258300</v>
      </c>
      <c r="N870" s="397">
        <f t="shared" si="1261"/>
        <v>-1286800</v>
      </c>
      <c r="O870" s="397">
        <f t="shared" si="1261"/>
        <v>-1316100</v>
      </c>
      <c r="P870" s="397">
        <f t="shared" ref="P870:Q870" si="1262">P867+P868+P869</f>
        <v>-1345800</v>
      </c>
      <c r="Q870" s="377">
        <f t="shared" si="1262"/>
        <v>-1363400</v>
      </c>
      <c r="R870" s="399">
        <f t="shared" ref="R870" si="1263">R867+R868+R869</f>
        <v>-1381300</v>
      </c>
    </row>
    <row r="871" spans="1:18" ht="13.5" thickBot="1" x14ac:dyDescent="0.25">
      <c r="A871" s="73"/>
      <c r="B871" s="90"/>
      <c r="C871" s="200"/>
      <c r="D871" s="200"/>
      <c r="E871" s="1975"/>
      <c r="F871" s="368"/>
      <c r="G871" s="2612"/>
      <c r="H871" s="392"/>
      <c r="I871" s="121"/>
      <c r="J871" s="121"/>
      <c r="K871" s="121"/>
      <c r="L871" s="121"/>
      <c r="M871" s="121"/>
      <c r="N871" s="121"/>
      <c r="O871" s="121"/>
      <c r="P871" s="121"/>
      <c r="Q871" s="95"/>
      <c r="R871" s="161"/>
    </row>
    <row r="872" spans="1:18" ht="13.5" thickTop="1" x14ac:dyDescent="0.2">
      <c r="A872" s="70"/>
      <c r="B872" s="128"/>
      <c r="C872" s="193"/>
      <c r="D872" s="193"/>
      <c r="E872" s="238"/>
      <c r="F872" s="516" t="s">
        <v>196</v>
      </c>
      <c r="G872" s="2511"/>
      <c r="H872" s="179"/>
      <c r="I872" s="33"/>
      <c r="J872" s="33"/>
      <c r="K872" s="33"/>
      <c r="L872" s="33"/>
      <c r="M872" s="33"/>
      <c r="N872" s="33"/>
      <c r="O872" s="33"/>
      <c r="P872" s="33"/>
      <c r="Q872" s="142"/>
      <c r="R872" s="114"/>
    </row>
    <row r="873" spans="1:18" x14ac:dyDescent="0.2">
      <c r="A873" s="107">
        <v>0</v>
      </c>
      <c r="B873" s="142">
        <v>0</v>
      </c>
      <c r="C873" s="189">
        <v>0</v>
      </c>
      <c r="D873" s="189">
        <v>0</v>
      </c>
      <c r="E873" s="238"/>
      <c r="F873" s="366" t="s">
        <v>2900</v>
      </c>
      <c r="G873" s="2509">
        <v>0</v>
      </c>
      <c r="H873" s="138"/>
      <c r="I873" s="33">
        <v>0</v>
      </c>
      <c r="J873" s="33">
        <v>0</v>
      </c>
      <c r="K873" s="33">
        <v>0</v>
      </c>
      <c r="L873" s="33">
        <v>0</v>
      </c>
      <c r="M873" s="33">
        <v>0</v>
      </c>
      <c r="N873" s="33">
        <v>0</v>
      </c>
      <c r="O873" s="33">
        <v>0</v>
      </c>
      <c r="P873" s="33">
        <v>0</v>
      </c>
      <c r="Q873" s="142">
        <v>0</v>
      </c>
      <c r="R873" s="114">
        <v>0</v>
      </c>
    </row>
    <row r="874" spans="1:18" x14ac:dyDescent="0.2">
      <c r="A874" s="107">
        <v>144300</v>
      </c>
      <c r="B874" s="142">
        <v>99000</v>
      </c>
      <c r="C874" s="189">
        <v>200500</v>
      </c>
      <c r="D874" s="189">
        <f>SUM('Res-Gen'!B142:B146)</f>
        <v>517200</v>
      </c>
      <c r="E874" s="238"/>
      <c r="F874" s="366" t="s">
        <v>1942</v>
      </c>
      <c r="G874" s="2509">
        <f>SUM('Res-Gen'!E142:E146)</f>
        <v>0</v>
      </c>
      <c r="H874" s="138"/>
      <c r="I874" s="33">
        <v>0</v>
      </c>
      <c r="J874" s="33">
        <v>0</v>
      </c>
      <c r="K874" s="33">
        <v>0</v>
      </c>
      <c r="L874" s="33">
        <v>0</v>
      </c>
      <c r="M874" s="33">
        <v>0</v>
      </c>
      <c r="N874" s="33">
        <v>0</v>
      </c>
      <c r="O874" s="33">
        <v>0</v>
      </c>
      <c r="P874" s="33">
        <v>0</v>
      </c>
      <c r="Q874" s="142">
        <v>0</v>
      </c>
      <c r="R874" s="114">
        <v>0</v>
      </c>
    </row>
    <row r="875" spans="1:18" x14ac:dyDescent="0.2">
      <c r="A875" s="107">
        <v>127100</v>
      </c>
      <c r="B875" s="142">
        <v>134300</v>
      </c>
      <c r="C875" s="189">
        <v>99900</v>
      </c>
      <c r="D875" s="189">
        <f>SUM('Res-Gen'!C143:C146)+7000</f>
        <v>197500</v>
      </c>
      <c r="E875" s="238"/>
      <c r="F875" s="366" t="s">
        <v>2348</v>
      </c>
      <c r="G875" s="2509">
        <f>'Res-Gen'!F62+'Res-Gen'!F232+'Res-Gen'!F143+'Res-Gen'!F145</f>
        <v>1089200</v>
      </c>
      <c r="H875" s="138"/>
      <c r="I875" s="33">
        <f>'Res-Gen'!I62+'Res-Gen'!I232</f>
        <v>0</v>
      </c>
      <c r="J875" s="33">
        <v>0</v>
      </c>
      <c r="K875" s="33">
        <v>0</v>
      </c>
      <c r="L875" s="33">
        <v>0</v>
      </c>
      <c r="M875" s="33">
        <v>0</v>
      </c>
      <c r="N875" s="33">
        <v>0</v>
      </c>
      <c r="O875" s="33">
        <v>0</v>
      </c>
      <c r="P875" s="33">
        <v>0</v>
      </c>
      <c r="Q875" s="142">
        <v>0</v>
      </c>
      <c r="R875" s="114">
        <v>0</v>
      </c>
    </row>
    <row r="876" spans="1:18" x14ac:dyDescent="0.2">
      <c r="A876" s="107">
        <v>113500</v>
      </c>
      <c r="B876" s="189">
        <v>71000</v>
      </c>
      <c r="C876" s="189">
        <f>SUM('Cap Inc'!A20:'Cap Inc'!A21)</f>
        <v>103800</v>
      </c>
      <c r="D876" s="189">
        <f>SUM('Cap Inc'!B20:'Cap Inc'!B22)</f>
        <v>330000</v>
      </c>
      <c r="E876" s="238"/>
      <c r="F876" s="366" t="s">
        <v>5984</v>
      </c>
      <c r="G876" s="2509">
        <f>SUM('Cap Inc'!E20:'Cap Inc'!E22)</f>
        <v>557000</v>
      </c>
      <c r="H876" s="187"/>
      <c r="I876" s="33">
        <f>SUM('Cap Inc'!F20:'Cap Inc'!F22)</f>
        <v>107900</v>
      </c>
      <c r="J876" s="189">
        <f>SUM('Cap Inc'!G20:'Cap Inc'!G22)</f>
        <v>110100</v>
      </c>
      <c r="K876" s="189">
        <f>SUM('Cap Inc'!H20:'Cap Inc'!H22)</f>
        <v>112300</v>
      </c>
      <c r="L876" s="189">
        <f>SUM('Cap Inc'!I20:'Cap Inc'!I22)</f>
        <v>114700</v>
      </c>
      <c r="M876" s="189">
        <f>SUM('Cap Inc'!J20:'Cap Inc'!J22)</f>
        <v>116700</v>
      </c>
      <c r="N876" s="189">
        <f>SUM('Cap Inc'!K20:'Cap Inc'!K22)</f>
        <v>118700</v>
      </c>
      <c r="O876" s="189">
        <f>SUM('Cap Inc'!L20:'Cap Inc'!L21)</f>
        <v>120700</v>
      </c>
      <c r="P876" s="33">
        <f>SUM('Cap Inc'!M20:'Cap Inc'!M22)</f>
        <v>122700</v>
      </c>
      <c r="Q876" s="142">
        <f>SUM('Cap Inc'!N20:'Cap Inc'!N22)</f>
        <v>124700</v>
      </c>
      <c r="R876" s="114">
        <f>SUM('Cap Inc'!O20:'Cap Inc'!O22)</f>
        <v>126900</v>
      </c>
    </row>
    <row r="877" spans="1:18" x14ac:dyDescent="0.2">
      <c r="A877" s="107">
        <v>226735</v>
      </c>
      <c r="B877" s="142">
        <v>287800</v>
      </c>
      <c r="C877" s="189">
        <v>238100</v>
      </c>
      <c r="D877" s="189">
        <f>SUM('Cap-Gen'!E80:E83)</f>
        <v>119100</v>
      </c>
      <c r="E877" s="238"/>
      <c r="F877" s="366" t="s">
        <v>972</v>
      </c>
      <c r="G877" s="2509">
        <f>SUM('Cap-Gen'!F80:F83)</f>
        <v>1716800</v>
      </c>
      <c r="H877" s="138"/>
      <c r="I877" s="33">
        <f>SUM('Cap-Gen'!G80:G83)</f>
        <v>207400</v>
      </c>
      <c r="J877" s="33">
        <f>SUM('Cap-Gen'!H80:H83)</f>
        <v>175000</v>
      </c>
      <c r="K877" s="33">
        <f>SUM('Cap-Gen'!I80:I83)</f>
        <v>182000</v>
      </c>
      <c r="L877" s="33">
        <f>SUM('Cap-Gen'!J80:J83)</f>
        <v>187000</v>
      </c>
      <c r="M877" s="33">
        <f>SUM('Cap-Gen'!K80:K83)</f>
        <v>192000</v>
      </c>
      <c r="N877" s="33">
        <f>SUM('Cap-Gen'!L80:L83)</f>
        <v>197000</v>
      </c>
      <c r="O877" s="33">
        <f>SUM('Cap-Gen'!M80:M83)</f>
        <v>202000</v>
      </c>
      <c r="P877" s="33">
        <f>SUM('Cap-Gen'!N80:N83)</f>
        <v>207000</v>
      </c>
      <c r="Q877" s="142">
        <f>SUM('Cap-Gen'!O80:O83)</f>
        <v>212000</v>
      </c>
      <c r="R877" s="114">
        <f>SUM('Cap-Gen'!P80:P83)</f>
        <v>217000</v>
      </c>
    </row>
    <row r="878" spans="1:18" s="92" customFormat="1" x14ac:dyDescent="0.2">
      <c r="A878" s="181">
        <f>A870-A873-A874+A875+A876-A877</f>
        <v>-975935</v>
      </c>
      <c r="B878" s="377">
        <f>B870-B873-B874+B875+B876-B877</f>
        <v>-1072800</v>
      </c>
      <c r="C878" s="398">
        <f>C870-C873-C874+C875+C876-C877</f>
        <v>-1117900</v>
      </c>
      <c r="D878" s="398">
        <f>D870-D873-D874+D875+D876-D877</f>
        <v>-1155300</v>
      </c>
      <c r="E878" s="526"/>
      <c r="F878" s="518" t="s">
        <v>2490</v>
      </c>
      <c r="G878" s="2607">
        <f t="shared" ref="G878:P878" si="1264">G870-G873-G874+G875+G876-G877</f>
        <v>-1186900</v>
      </c>
      <c r="H878" s="395">
        <f>IF(D878=G878,0,IF(D878=0,100,(G878-D878)/D878*100))</f>
        <v>2.7352202891023976</v>
      </c>
      <c r="I878" s="397">
        <f t="shared" si="1264"/>
        <v>-1238100</v>
      </c>
      <c r="J878" s="397">
        <f t="shared" si="1264"/>
        <v>-1233000</v>
      </c>
      <c r="K878" s="397">
        <f t="shared" si="1264"/>
        <v>-1268300</v>
      </c>
      <c r="L878" s="397">
        <f t="shared" si="1264"/>
        <v>-1302400</v>
      </c>
      <c r="M878" s="397">
        <f t="shared" si="1264"/>
        <v>-1333600</v>
      </c>
      <c r="N878" s="397">
        <f t="shared" si="1264"/>
        <v>-1365100</v>
      </c>
      <c r="O878" s="397">
        <f t="shared" si="1264"/>
        <v>-1397400</v>
      </c>
      <c r="P878" s="397">
        <f t="shared" si="1264"/>
        <v>-1430100</v>
      </c>
      <c r="Q878" s="377">
        <f t="shared" ref="Q878" si="1265">Q870-Q873-Q874+Q875+Q876-Q877</f>
        <v>-1450700</v>
      </c>
      <c r="R878" s="399">
        <f t="shared" ref="R878" si="1266">R870-R873-R874+R875+R876-R877</f>
        <v>-1471400</v>
      </c>
    </row>
    <row r="879" spans="1:18" ht="13.5" thickBot="1" x14ac:dyDescent="0.25">
      <c r="A879" s="73"/>
      <c r="B879" s="134"/>
      <c r="C879" s="195"/>
      <c r="D879" s="195"/>
      <c r="E879" s="239"/>
      <c r="F879" s="368"/>
      <c r="G879" s="2612"/>
      <c r="H879" s="392"/>
      <c r="I879" s="66"/>
      <c r="J879" s="66"/>
      <c r="K879" s="66"/>
      <c r="L879" s="66"/>
      <c r="M879" s="66"/>
      <c r="N879" s="66"/>
      <c r="O879" s="66"/>
      <c r="P879" s="66"/>
      <c r="Q879" s="166"/>
      <c r="R879" s="165"/>
    </row>
    <row r="880" spans="1:18" s="99" customFormat="1" ht="14.25" thickTop="1" thickBot="1" x14ac:dyDescent="0.25">
      <c r="A880" s="74"/>
      <c r="B880" s="74"/>
      <c r="C880" s="74"/>
      <c r="D880" s="74"/>
      <c r="E880" s="242"/>
      <c r="F880" s="242"/>
      <c r="G880" s="74"/>
      <c r="H880" s="2799"/>
    </row>
    <row r="881" spans="1:18" s="91" customFormat="1" ht="18.75" customHeight="1" thickTop="1" thickBot="1" x14ac:dyDescent="0.3">
      <c r="A881" s="2865" t="s">
        <v>3869</v>
      </c>
      <c r="B881" s="2866"/>
      <c r="C881" s="2866"/>
      <c r="D881" s="2866"/>
      <c r="E881" s="2866"/>
      <c r="F881" s="2866"/>
      <c r="G881" s="2866"/>
      <c r="H881" s="2866"/>
      <c r="I881" s="2866"/>
      <c r="J881" s="2866"/>
      <c r="K881" s="2866"/>
      <c r="L881" s="2866"/>
      <c r="M881" s="2866"/>
      <c r="N881" s="2866"/>
      <c r="O881" s="2866"/>
      <c r="P881" s="2866"/>
      <c r="Q881" s="2866"/>
      <c r="R881" s="2867"/>
    </row>
    <row r="882" spans="1:18" s="44" customFormat="1" ht="12.75" customHeight="1" x14ac:dyDescent="0.2">
      <c r="A882" s="2848" t="s">
        <v>1856</v>
      </c>
      <c r="B882" s="2840"/>
      <c r="C882" s="2840"/>
      <c r="D882" s="2849"/>
      <c r="E882" s="369" t="s">
        <v>2663</v>
      </c>
      <c r="F882" s="2649" t="s">
        <v>2251</v>
      </c>
      <c r="G882" s="2885" t="s">
        <v>2253</v>
      </c>
      <c r="H882" s="2886"/>
      <c r="I882" s="2886"/>
      <c r="J882" s="2886"/>
      <c r="K882" s="2886"/>
      <c r="L882" s="2886"/>
      <c r="M882" s="2886"/>
      <c r="N882" s="2886"/>
      <c r="O882" s="2886"/>
      <c r="P882" s="2886"/>
      <c r="Q882" s="2886"/>
      <c r="R882" s="2887"/>
    </row>
    <row r="883" spans="1:18" s="23" customFormat="1" ht="12.75" customHeight="1" thickBot="1" x14ac:dyDescent="0.25">
      <c r="A883" s="208" t="str">
        <f t="shared" ref="A883:E883" si="1267">A817</f>
        <v>2012/13</v>
      </c>
      <c r="B883" s="75" t="str">
        <f t="shared" si="1267"/>
        <v>2013/14</v>
      </c>
      <c r="C883" s="370" t="str">
        <f t="shared" si="1267"/>
        <v>2014/15</v>
      </c>
      <c r="D883" s="93" t="str">
        <f>D817</f>
        <v>2015/16</v>
      </c>
      <c r="E883" s="370" t="str">
        <f t="shared" si="1267"/>
        <v>ACCOUNT</v>
      </c>
      <c r="F883" s="42"/>
      <c r="G883" s="2513" t="str">
        <f t="shared" ref="G883:Q883" si="1268">G817</f>
        <v>2016/17</v>
      </c>
      <c r="H883" s="2193" t="str">
        <f t="shared" si="1268"/>
        <v>%</v>
      </c>
      <c r="I883" s="370" t="str">
        <f t="shared" si="1268"/>
        <v>2017/18</v>
      </c>
      <c r="J883" s="370" t="str">
        <f t="shared" si="1268"/>
        <v>2018/19</v>
      </c>
      <c r="K883" s="370" t="str">
        <f t="shared" si="1268"/>
        <v>2019/20</v>
      </c>
      <c r="L883" s="370" t="str">
        <f t="shared" si="1268"/>
        <v>2020/21</v>
      </c>
      <c r="M883" s="370" t="str">
        <f t="shared" si="1268"/>
        <v>2021/22</v>
      </c>
      <c r="N883" s="370" t="str">
        <f t="shared" si="1268"/>
        <v>2022/23</v>
      </c>
      <c r="O883" s="370" t="str">
        <f t="shared" si="1268"/>
        <v>2023/24</v>
      </c>
      <c r="P883" s="370" t="str">
        <f t="shared" si="1268"/>
        <v>2024/25</v>
      </c>
      <c r="Q883" s="218" t="str">
        <f t="shared" si="1268"/>
        <v>2025/26</v>
      </c>
      <c r="R883" s="549" t="str">
        <f t="shared" ref="R883" si="1269">R817</f>
        <v>2026/27</v>
      </c>
    </row>
    <row r="884" spans="1:18" x14ac:dyDescent="0.2">
      <c r="A884" s="107"/>
      <c r="B884" s="33"/>
      <c r="C884" s="187"/>
      <c r="D884" s="33"/>
      <c r="E884" s="1304"/>
      <c r="F884" s="2020"/>
      <c r="G884" s="99"/>
      <c r="H884" s="138"/>
      <c r="I884" s="33"/>
      <c r="J884" s="33"/>
      <c r="K884" s="33"/>
      <c r="L884" s="33"/>
      <c r="M884" s="33"/>
      <c r="N884" s="33"/>
      <c r="O884" s="33"/>
      <c r="P884" s="33"/>
      <c r="Q884" s="33"/>
      <c r="R884" s="114"/>
    </row>
    <row r="885" spans="1:18" x14ac:dyDescent="0.2">
      <c r="A885" s="107"/>
      <c r="B885" s="33"/>
      <c r="C885" s="187"/>
      <c r="D885" s="187"/>
      <c r="E885" s="236"/>
      <c r="F885" s="365" t="s">
        <v>2205</v>
      </c>
      <c r="G885" s="198"/>
      <c r="H885" s="138"/>
      <c r="I885" s="33"/>
      <c r="J885" s="33"/>
      <c r="K885" s="33"/>
      <c r="L885" s="33"/>
      <c r="M885" s="33"/>
      <c r="N885" s="33"/>
      <c r="O885" s="33"/>
      <c r="P885" s="33"/>
      <c r="Q885" s="33"/>
      <c r="R885" s="114"/>
    </row>
    <row r="886" spans="1:18" x14ac:dyDescent="0.2">
      <c r="A886" s="107"/>
      <c r="B886" s="33"/>
      <c r="E886" s="658"/>
      <c r="F886" s="1110" t="s">
        <v>3734</v>
      </c>
      <c r="G886" s="198"/>
      <c r="H886" s="138"/>
      <c r="I886" s="187"/>
      <c r="J886" s="187"/>
      <c r="K886" s="187"/>
      <c r="L886" s="187"/>
      <c r="M886" s="187"/>
      <c r="N886" s="187"/>
      <c r="O886" s="187"/>
      <c r="P886" s="187"/>
      <c r="Q886" s="187"/>
      <c r="R886" s="188"/>
    </row>
    <row r="887" spans="1:18" x14ac:dyDescent="0.2">
      <c r="A887" s="107">
        <v>108800</v>
      </c>
      <c r="B887" s="33">
        <v>34100</v>
      </c>
      <c r="C887" s="189">
        <v>0</v>
      </c>
      <c r="D887" s="189">
        <v>0</v>
      </c>
      <c r="E887" s="1092" t="s">
        <v>3416</v>
      </c>
      <c r="F887" s="814" t="s">
        <v>3478</v>
      </c>
      <c r="G887" s="198">
        <v>0</v>
      </c>
      <c r="H887" s="138">
        <f t="shared" ref="H887:H904" si="1270">IF(D887=G887,0,IF(D887=0,100,(G887-D887)/D887*100))</f>
        <v>0</v>
      </c>
      <c r="I887" s="33">
        <f>ROUNDUP(G887+(G887*Assumptions!H$5),-2)</f>
        <v>0</v>
      </c>
      <c r="J887" s="33">
        <f>ROUNDUP(I887+(I887*Assumptions!I$5),-2)</f>
        <v>0</v>
      </c>
      <c r="K887" s="33">
        <f>ROUNDUP(J887+(J887*Assumptions!J$5),-2)</f>
        <v>0</v>
      </c>
      <c r="L887" s="33">
        <f>ROUNDUP(K887+(K887*Assumptions!K$5),-2)</f>
        <v>0</v>
      </c>
      <c r="M887" s="33">
        <f>ROUNDUP(L887+(L887*Assumptions!L$5),-2)</f>
        <v>0</v>
      </c>
      <c r="N887" s="33">
        <f>ROUNDUP(M887+(M887*Assumptions!M$5),-2)</f>
        <v>0</v>
      </c>
      <c r="O887" s="33">
        <f>ROUNDUP(N887+(N887*Assumptions!N$5),-2)</f>
        <v>0</v>
      </c>
      <c r="P887" s="33">
        <f>ROUNDUP(O887+(O887*Assumptions!O$5),-2)</f>
        <v>0</v>
      </c>
      <c r="Q887" s="33">
        <f>ROUNDUP(P887+(P887*Assumptions!P$5),-2)</f>
        <v>0</v>
      </c>
      <c r="R887" s="114">
        <f>ROUNDUP(Q887+(Q887*Assumptions!Q$5),-2)</f>
        <v>0</v>
      </c>
    </row>
    <row r="888" spans="1:18" x14ac:dyDescent="0.2">
      <c r="A888" s="107">
        <v>2400</v>
      </c>
      <c r="B888" s="33">
        <v>3900</v>
      </c>
      <c r="C888" s="33">
        <v>8600</v>
      </c>
      <c r="D888" s="33">
        <v>9700</v>
      </c>
      <c r="E888" s="1092" t="s">
        <v>3960</v>
      </c>
      <c r="F888" s="814" t="s">
        <v>3738</v>
      </c>
      <c r="G888" s="198">
        <f>5000+1000</f>
        <v>6000</v>
      </c>
      <c r="H888" s="138">
        <f t="shared" si="1270"/>
        <v>-38.144329896907216</v>
      </c>
      <c r="I888" s="33">
        <v>5000</v>
      </c>
      <c r="J888" s="33">
        <f>ROUNDUP(I888+(I888*Assumptions!I$5),-2)</f>
        <v>5200</v>
      </c>
      <c r="K888" s="33">
        <f>ROUNDUP(J888+(J888*Assumptions!J$5),-2)</f>
        <v>5400</v>
      </c>
      <c r="L888" s="33">
        <f>ROUNDUP(K888+(K888*Assumptions!K$5),-2)</f>
        <v>5600</v>
      </c>
      <c r="M888" s="33">
        <f>ROUNDUP(L888+(L888*Assumptions!L$5),-2)</f>
        <v>5800</v>
      </c>
      <c r="N888" s="33">
        <f>ROUNDUP(M888+(M888*Assumptions!M$5),-2)</f>
        <v>6000</v>
      </c>
      <c r="O888" s="33">
        <f>ROUNDUP(N888+(N888*Assumptions!N$5),-2)</f>
        <v>6200</v>
      </c>
      <c r="P888" s="33">
        <f>ROUNDUP(O888+(O888*Assumptions!O$5),-2)</f>
        <v>6400</v>
      </c>
      <c r="Q888" s="33">
        <f>ROUNDUP(P888+(P888*Assumptions!P$5),-2)</f>
        <v>6600</v>
      </c>
      <c r="R888" s="114">
        <f>ROUNDUP(Q888+(Q888*Assumptions!Q$5),-2)</f>
        <v>6800</v>
      </c>
    </row>
    <row r="889" spans="1:18" x14ac:dyDescent="0.2">
      <c r="A889" s="107">
        <v>33400</v>
      </c>
      <c r="B889" s="33">
        <v>21700</v>
      </c>
      <c r="C889" s="189">
        <v>17900</v>
      </c>
      <c r="D889" s="33">
        <v>21100</v>
      </c>
      <c r="E889" s="1097" t="s">
        <v>3956</v>
      </c>
      <c r="F889" s="814" t="s">
        <v>3735</v>
      </c>
      <c r="G889" s="198">
        <v>21500</v>
      </c>
      <c r="H889" s="138">
        <f t="shared" si="1270"/>
        <v>1.8957345971563981</v>
      </c>
      <c r="I889" s="33">
        <v>21500</v>
      </c>
      <c r="J889" s="33">
        <f>ROUNDUP(I889+(I889*Assumptions!I$5),-2)</f>
        <v>22100</v>
      </c>
      <c r="K889" s="33">
        <f>ROUNDUP(J889+(J889*Assumptions!J$5),-2)</f>
        <v>22700</v>
      </c>
      <c r="L889" s="33">
        <f>ROUNDUP(K889+(K889*Assumptions!K$5),-2)</f>
        <v>23300</v>
      </c>
      <c r="M889" s="33">
        <f>ROUNDUP(L889+(L889*Assumptions!L$5),-2)</f>
        <v>23800</v>
      </c>
      <c r="N889" s="33">
        <f>ROUNDUP(M889+(M889*Assumptions!M$5),-2)</f>
        <v>24300</v>
      </c>
      <c r="O889" s="33">
        <f>ROUNDUP(N889+(N889*Assumptions!N$5),-2)</f>
        <v>24800</v>
      </c>
      <c r="P889" s="33">
        <f>ROUNDUP(O889+(O889*Assumptions!O$5),-2)</f>
        <v>25300</v>
      </c>
      <c r="Q889" s="33">
        <f>ROUNDUP(P889+(P889*Assumptions!P$5),-2)</f>
        <v>25900</v>
      </c>
      <c r="R889" s="114">
        <f>ROUNDUP(Q889+(Q889*Assumptions!Q$5),-2)</f>
        <v>26500</v>
      </c>
    </row>
    <row r="890" spans="1:18" x14ac:dyDescent="0.2">
      <c r="A890" s="107">
        <v>0</v>
      </c>
      <c r="B890" s="33">
        <v>0</v>
      </c>
      <c r="C890" s="33">
        <v>0</v>
      </c>
      <c r="D890" s="33">
        <v>56400</v>
      </c>
      <c r="E890" s="1092" t="s">
        <v>5317</v>
      </c>
      <c r="F890" s="814" t="s">
        <v>4887</v>
      </c>
      <c r="G890" s="198">
        <v>45000</v>
      </c>
      <c r="H890" s="138">
        <f t="shared" si="1270"/>
        <v>-20.212765957446805</v>
      </c>
      <c r="I890" s="33">
        <v>45000</v>
      </c>
      <c r="J890" s="33">
        <f>ROUNDUP(I890+(I890*Assumptions!I$5),-2)</f>
        <v>46200</v>
      </c>
      <c r="K890" s="33">
        <f>ROUNDUP(J890+(J890*Assumptions!J$5),-2)</f>
        <v>47400</v>
      </c>
      <c r="L890" s="33">
        <f>ROUNDUP(K890+(K890*Assumptions!K$5),-2)</f>
        <v>48600</v>
      </c>
      <c r="M890" s="33">
        <f>ROUNDUP(L890+(L890*Assumptions!L$5),-2)</f>
        <v>49600</v>
      </c>
      <c r="N890" s="33">
        <f>ROUNDUP(M890+(M890*Assumptions!M$5),-2)</f>
        <v>50600</v>
      </c>
      <c r="O890" s="33">
        <f>ROUNDUP(N890+(N890*Assumptions!N$5),-2)</f>
        <v>51700</v>
      </c>
      <c r="P890" s="33">
        <f>ROUNDUP(O890+(O890*Assumptions!O$5),-2)</f>
        <v>52800</v>
      </c>
      <c r="Q890" s="33">
        <f>ROUNDUP(P890+(P890*Assumptions!P$5),-2)</f>
        <v>53900</v>
      </c>
      <c r="R890" s="114">
        <f>ROUNDUP(Q890+(Q890*Assumptions!Q$5),-2)</f>
        <v>55000</v>
      </c>
    </row>
    <row r="891" spans="1:18" x14ac:dyDescent="0.2">
      <c r="A891" s="107">
        <v>0</v>
      </c>
      <c r="B891" s="33">
        <v>0</v>
      </c>
      <c r="C891" s="33">
        <v>0</v>
      </c>
      <c r="D891" s="33">
        <v>30700</v>
      </c>
      <c r="E891" s="1092" t="s">
        <v>5318</v>
      </c>
      <c r="F891" s="814" t="s">
        <v>4886</v>
      </c>
      <c r="G891" s="198">
        <v>45000</v>
      </c>
      <c r="H891" s="138">
        <f t="shared" si="1270"/>
        <v>46.579804560260584</v>
      </c>
      <c r="I891" s="33">
        <v>45000</v>
      </c>
      <c r="J891" s="33">
        <f>ROUNDUP(I891+(I891*Assumptions!I$5),-2)</f>
        <v>46200</v>
      </c>
      <c r="K891" s="33">
        <f>ROUNDUP(J891+(J891*Assumptions!J$5),-2)</f>
        <v>47400</v>
      </c>
      <c r="L891" s="33">
        <f>ROUNDUP(K891+(K891*Assumptions!K$5),-2)</f>
        <v>48600</v>
      </c>
      <c r="M891" s="33">
        <f>ROUNDUP(L891+(L891*Assumptions!L$5),-2)</f>
        <v>49600</v>
      </c>
      <c r="N891" s="33">
        <f>ROUNDUP(M891+(M891*Assumptions!M$5),-2)</f>
        <v>50600</v>
      </c>
      <c r="O891" s="33">
        <f>ROUNDUP(N891+(N891*Assumptions!N$5),-2)</f>
        <v>51700</v>
      </c>
      <c r="P891" s="33">
        <f>ROUNDUP(O891+(O891*Assumptions!O$5),-2)</f>
        <v>52800</v>
      </c>
      <c r="Q891" s="33">
        <f>ROUNDUP(P891+(P891*Assumptions!P$5),-2)</f>
        <v>53900</v>
      </c>
      <c r="R891" s="114">
        <f>ROUNDUP(Q891+(Q891*Assumptions!Q$5),-2)</f>
        <v>55000</v>
      </c>
    </row>
    <row r="892" spans="1:18" x14ac:dyDescent="0.2">
      <c r="A892" s="107">
        <v>12500</v>
      </c>
      <c r="B892" s="33">
        <v>10100</v>
      </c>
      <c r="C892" s="33">
        <v>17700</v>
      </c>
      <c r="D892" s="99">
        <v>14500</v>
      </c>
      <c r="E892" s="811" t="s">
        <v>3957</v>
      </c>
      <c r="F892" s="814" t="s">
        <v>2902</v>
      </c>
      <c r="G892" s="198">
        <v>13000</v>
      </c>
      <c r="H892" s="138">
        <f t="shared" si="1270"/>
        <v>-10.344827586206897</v>
      </c>
      <c r="I892" s="33">
        <v>14000</v>
      </c>
      <c r="J892" s="33">
        <f>ROUNDUP(I892+(I892*Assumptions!I$5),-2)</f>
        <v>14400</v>
      </c>
      <c r="K892" s="33">
        <f>ROUNDUP(J892+(J892*Assumptions!J$5),-2)</f>
        <v>14800</v>
      </c>
      <c r="L892" s="33">
        <f>ROUNDUP(K892+(K892*Assumptions!K$5),-2)</f>
        <v>15200</v>
      </c>
      <c r="M892" s="33">
        <f>ROUNDUP(L892+(L892*Assumptions!L$5),-2)</f>
        <v>15600</v>
      </c>
      <c r="N892" s="33">
        <f>ROUNDUP(M892+(M892*Assumptions!M$5),-2)</f>
        <v>16000</v>
      </c>
      <c r="O892" s="33">
        <f>ROUNDUP(N892+(N892*Assumptions!N$5),-2)</f>
        <v>16400</v>
      </c>
      <c r="P892" s="33">
        <f>ROUNDUP(O892+(O892*Assumptions!O$5),-2)</f>
        <v>16800</v>
      </c>
      <c r="Q892" s="33">
        <f>ROUNDUP(P892+(P892*Assumptions!P$5),-2)</f>
        <v>17200</v>
      </c>
      <c r="R892" s="114">
        <f>ROUNDUP(Q892+(Q892*Assumptions!Q$5),-2)</f>
        <v>17600</v>
      </c>
    </row>
    <row r="893" spans="1:18" x14ac:dyDescent="0.2">
      <c r="A893" s="107">
        <v>7900</v>
      </c>
      <c r="B893" s="33">
        <v>10300</v>
      </c>
      <c r="C893" s="33">
        <v>3300</v>
      </c>
      <c r="D893" s="33">
        <v>13000</v>
      </c>
      <c r="E893" s="811" t="s">
        <v>3976</v>
      </c>
      <c r="F893" s="814" t="s">
        <v>3249</v>
      </c>
      <c r="G893" s="198">
        <v>9000</v>
      </c>
      <c r="H893" s="138">
        <f t="shared" si="1270"/>
        <v>-30.76923076923077</v>
      </c>
      <c r="I893" s="33">
        <v>10000</v>
      </c>
      <c r="J893" s="33">
        <f>ROUNDUP(I893+(I893*Assumptions!I$5),-2)</f>
        <v>10300</v>
      </c>
      <c r="K893" s="33">
        <f>ROUNDUP(J893+(J893*Assumptions!J$5),-2)</f>
        <v>10600</v>
      </c>
      <c r="L893" s="33">
        <f>ROUNDUP(K893+(K893*Assumptions!K$5),-2)</f>
        <v>10900</v>
      </c>
      <c r="M893" s="33">
        <f>ROUNDUP(L893+(L893*Assumptions!L$5),-2)</f>
        <v>11200</v>
      </c>
      <c r="N893" s="33">
        <f>ROUNDUP(M893+(M893*Assumptions!M$5),-2)</f>
        <v>11500</v>
      </c>
      <c r="O893" s="33">
        <f>ROUNDUP(N893+(N893*Assumptions!N$5),-2)</f>
        <v>11800</v>
      </c>
      <c r="P893" s="33">
        <f>ROUNDUP(O893+(O893*Assumptions!O$5),-2)</f>
        <v>12100</v>
      </c>
      <c r="Q893" s="33">
        <f>ROUNDUP(P893+(P893*Assumptions!P$5),-2)</f>
        <v>12400</v>
      </c>
      <c r="R893" s="114">
        <f>ROUNDUP(Q893+(Q893*Assumptions!Q$5),-2)</f>
        <v>12700</v>
      </c>
    </row>
    <row r="894" spans="1:18" x14ac:dyDescent="0.2">
      <c r="A894" s="107">
        <v>19200</v>
      </c>
      <c r="B894" s="33">
        <v>30000</v>
      </c>
      <c r="C894" s="189">
        <v>48500</v>
      </c>
      <c r="D894" s="33">
        <v>49000</v>
      </c>
      <c r="E894" s="1097" t="s">
        <v>3978</v>
      </c>
      <c r="F894" s="814" t="s">
        <v>4578</v>
      </c>
      <c r="G894" s="198">
        <f>3000+30000+3000</f>
        <v>36000</v>
      </c>
      <c r="H894" s="138">
        <f t="shared" si="1270"/>
        <v>-26.530612244897959</v>
      </c>
      <c r="I894" s="33">
        <v>38000</v>
      </c>
      <c r="J894" s="33">
        <f>ROUNDUP(I894+(I894*Assumptions!I$5),-2)</f>
        <v>39000</v>
      </c>
      <c r="K894" s="33">
        <f>ROUNDUP(J894+(J894*Assumptions!J$5),-2)</f>
        <v>40000</v>
      </c>
      <c r="L894" s="33">
        <f>ROUNDUP(K894+(K894*Assumptions!K$5),-2)</f>
        <v>41000</v>
      </c>
      <c r="M894" s="33">
        <f>ROUNDUP(L894+(L894*Assumptions!L$5),-2)</f>
        <v>41900</v>
      </c>
      <c r="N894" s="33">
        <f>ROUNDUP(M894+(M894*Assumptions!M$5),-2)</f>
        <v>42800</v>
      </c>
      <c r="O894" s="33">
        <f>ROUNDUP(N894+(N894*Assumptions!N$5),-2)</f>
        <v>43700</v>
      </c>
      <c r="P894" s="33">
        <f>ROUNDUP(O894+(O894*Assumptions!O$5),-2)</f>
        <v>44600</v>
      </c>
      <c r="Q894" s="33">
        <f>ROUNDUP(P894+(P894*Assumptions!P$5),-2)</f>
        <v>45500</v>
      </c>
      <c r="R894" s="114">
        <f>ROUNDUP(Q894+(Q894*Assumptions!Q$5),-2)</f>
        <v>46500</v>
      </c>
    </row>
    <row r="895" spans="1:18" x14ac:dyDescent="0.2">
      <c r="A895" s="107">
        <v>6300</v>
      </c>
      <c r="B895" s="33">
        <v>5200</v>
      </c>
      <c r="C895" s="189">
        <v>2600</v>
      </c>
      <c r="D895" s="33">
        <v>6300</v>
      </c>
      <c r="E895" s="1097" t="s">
        <v>3979</v>
      </c>
      <c r="F895" s="814" t="s">
        <v>1174</v>
      </c>
      <c r="G895" s="198">
        <v>4500</v>
      </c>
      <c r="H895" s="138">
        <f t="shared" si="1270"/>
        <v>-28.571428571428569</v>
      </c>
      <c r="I895" s="33">
        <v>4500</v>
      </c>
      <c r="J895" s="33">
        <f>ROUNDUP(I895+(I895*Assumptions!I$5),-2)</f>
        <v>4700</v>
      </c>
      <c r="K895" s="33">
        <f>ROUNDUP(J895+(J895*Assumptions!J$5),-2)</f>
        <v>4900</v>
      </c>
      <c r="L895" s="33">
        <f>ROUNDUP(K895+(K895*Assumptions!K$5),-2)</f>
        <v>5100</v>
      </c>
      <c r="M895" s="33">
        <f>ROUNDUP(L895+(L895*Assumptions!L$5),-2)</f>
        <v>5300</v>
      </c>
      <c r="N895" s="33">
        <f>ROUNDUP(M895+(M895*Assumptions!M$5),-2)</f>
        <v>5500</v>
      </c>
      <c r="O895" s="33">
        <f>ROUNDUP(N895+(N895*Assumptions!N$5),-2)</f>
        <v>5700</v>
      </c>
      <c r="P895" s="33">
        <f>ROUNDUP(O895+(O895*Assumptions!O$5),-2)</f>
        <v>5900</v>
      </c>
      <c r="Q895" s="33">
        <f>ROUNDUP(P895+(P895*Assumptions!P$5),-2)</f>
        <v>6100</v>
      </c>
      <c r="R895" s="114">
        <f>ROUNDUP(Q895+(Q895*Assumptions!Q$5),-2)</f>
        <v>6300</v>
      </c>
    </row>
    <row r="896" spans="1:18" x14ac:dyDescent="0.2">
      <c r="A896" s="107">
        <v>26400</v>
      </c>
      <c r="B896" s="33">
        <v>13900</v>
      </c>
      <c r="C896" s="189">
        <v>22900</v>
      </c>
      <c r="D896" s="33">
        <v>5800</v>
      </c>
      <c r="E896" s="1097" t="s">
        <v>3980</v>
      </c>
      <c r="F896" s="814" t="s">
        <v>2904</v>
      </c>
      <c r="G896" s="198">
        <f>10000+2300</f>
        <v>12300</v>
      </c>
      <c r="H896" s="138">
        <f t="shared" si="1270"/>
        <v>112.06896551724137</v>
      </c>
      <c r="I896" s="33">
        <v>10000</v>
      </c>
      <c r="J896" s="33">
        <f>ROUNDUP(I896+(I896*Assumptions!I$5),-2)</f>
        <v>10300</v>
      </c>
      <c r="K896" s="33">
        <f>ROUNDUP(J896+(J896*Assumptions!J$5),-2)</f>
        <v>10600</v>
      </c>
      <c r="L896" s="33">
        <f>ROUNDUP(K896+(K896*Assumptions!K$5),-2)</f>
        <v>10900</v>
      </c>
      <c r="M896" s="33">
        <f>ROUNDUP(L896+(L896*Assumptions!L$5),-2)</f>
        <v>11200</v>
      </c>
      <c r="N896" s="33">
        <f>ROUNDUP(M896+(M896*Assumptions!M$5),-2)</f>
        <v>11500</v>
      </c>
      <c r="O896" s="33">
        <f>ROUNDUP(N896+(N896*Assumptions!N$5),-2)</f>
        <v>11800</v>
      </c>
      <c r="P896" s="33">
        <f>ROUNDUP(O896+(O896*Assumptions!O$5),-2)</f>
        <v>12100</v>
      </c>
      <c r="Q896" s="33">
        <f>ROUNDUP(P896+(P896*Assumptions!P$5),-2)</f>
        <v>12400</v>
      </c>
      <c r="R896" s="114">
        <f>ROUNDUP(Q896+(Q896*Assumptions!Q$5),-2)</f>
        <v>12700</v>
      </c>
    </row>
    <row r="897" spans="1:18" x14ac:dyDescent="0.2">
      <c r="A897" s="107">
        <v>0</v>
      </c>
      <c r="B897" s="33">
        <v>9300</v>
      </c>
      <c r="C897" s="33">
        <v>27600</v>
      </c>
      <c r="D897" s="33">
        <v>75700</v>
      </c>
      <c r="E897" s="1097" t="s">
        <v>3981</v>
      </c>
      <c r="F897" s="814" t="s">
        <v>2299</v>
      </c>
      <c r="G897" s="198">
        <f>30000+10000</f>
        <v>40000</v>
      </c>
      <c r="H897" s="138">
        <f t="shared" si="1270"/>
        <v>-47.159841479524438</v>
      </c>
      <c r="I897" s="33">
        <v>30000</v>
      </c>
      <c r="J897" s="33">
        <f>ROUNDUP(I897+(I897*Assumptions!I$5),-2)</f>
        <v>30800</v>
      </c>
      <c r="K897" s="33">
        <f>ROUNDUP(J897+(J897*Assumptions!J$5),-2)</f>
        <v>31600</v>
      </c>
      <c r="L897" s="33">
        <f>ROUNDUP(K897+(K897*Assumptions!K$5),-2)</f>
        <v>32400</v>
      </c>
      <c r="M897" s="33">
        <f>ROUNDUP(L897+(L897*Assumptions!L$5),-2)</f>
        <v>33100</v>
      </c>
      <c r="N897" s="33">
        <f>ROUNDUP(M897+(M897*Assumptions!M$5),-2)</f>
        <v>33800</v>
      </c>
      <c r="O897" s="33">
        <f>ROUNDUP(N897+(N897*Assumptions!N$5),-2)</f>
        <v>34500</v>
      </c>
      <c r="P897" s="33">
        <f>ROUNDUP(O897+(O897*Assumptions!O$5),-2)</f>
        <v>35200</v>
      </c>
      <c r="Q897" s="33">
        <f>ROUNDUP(P897+(P897*Assumptions!P$5),-2)</f>
        <v>36000</v>
      </c>
      <c r="R897" s="114">
        <f>ROUNDUP(Q897+(Q897*Assumptions!Q$5),-2)</f>
        <v>36800</v>
      </c>
    </row>
    <row r="898" spans="1:18" x14ac:dyDescent="0.2">
      <c r="A898" s="107">
        <v>5400</v>
      </c>
      <c r="B898" s="33">
        <v>4500</v>
      </c>
      <c r="C898" s="189">
        <v>3000</v>
      </c>
      <c r="D898" s="33">
        <v>2800</v>
      </c>
      <c r="E898" s="1097" t="s">
        <v>3982</v>
      </c>
      <c r="F898" s="814" t="s">
        <v>3736</v>
      </c>
      <c r="G898" s="198">
        <v>3000</v>
      </c>
      <c r="H898" s="138">
        <f t="shared" si="1270"/>
        <v>7.1428571428571423</v>
      </c>
      <c r="I898" s="33">
        <v>3000</v>
      </c>
      <c r="J898" s="33">
        <f>ROUNDUP(I898+(I898*Assumptions!I$5),-2)</f>
        <v>3100</v>
      </c>
      <c r="K898" s="33">
        <f>ROUNDUP(J898+(J898*Assumptions!J$5),-2)</f>
        <v>3200</v>
      </c>
      <c r="L898" s="33">
        <f>ROUNDUP(K898+(K898*Assumptions!K$5),-2)</f>
        <v>3300</v>
      </c>
      <c r="M898" s="33">
        <f>ROUNDUP(L898+(L898*Assumptions!L$5),-2)</f>
        <v>3400</v>
      </c>
      <c r="N898" s="33">
        <f>ROUNDUP(M898+(M898*Assumptions!M$5),-2)</f>
        <v>3500</v>
      </c>
      <c r="O898" s="33">
        <f>ROUNDUP(N898+(N898*Assumptions!N$5),-2)</f>
        <v>3600</v>
      </c>
      <c r="P898" s="33">
        <f>ROUNDUP(O898+(O898*Assumptions!O$5),-2)</f>
        <v>3700</v>
      </c>
      <c r="Q898" s="33">
        <f>ROUNDUP(P898+(P898*Assumptions!P$5),-2)</f>
        <v>3800</v>
      </c>
      <c r="R898" s="114">
        <f>ROUNDUP(Q898+(Q898*Assumptions!Q$5),-2)</f>
        <v>3900</v>
      </c>
    </row>
    <row r="899" spans="1:18" x14ac:dyDescent="0.2">
      <c r="A899" s="107">
        <v>16000</v>
      </c>
      <c r="B899" s="33">
        <v>11000</v>
      </c>
      <c r="C899" s="33">
        <v>14200</v>
      </c>
      <c r="D899" s="33">
        <v>16600</v>
      </c>
      <c r="E899" s="811" t="s">
        <v>3983</v>
      </c>
      <c r="F899" s="814" t="s">
        <v>3737</v>
      </c>
      <c r="G899" s="198">
        <f>14000+4000</f>
        <v>18000</v>
      </c>
      <c r="H899" s="138">
        <f t="shared" si="1270"/>
        <v>8.4337349397590362</v>
      </c>
      <c r="I899" s="33">
        <v>15000</v>
      </c>
      <c r="J899" s="33">
        <f>ROUNDUP(I899+(I899*Assumptions!I$5),-2)</f>
        <v>15400</v>
      </c>
      <c r="K899" s="33">
        <f>ROUNDUP(J899+(J899*Assumptions!J$5),-2)</f>
        <v>15800</v>
      </c>
      <c r="L899" s="33">
        <f>ROUNDUP(K899+(K899*Assumptions!K$5),-2)</f>
        <v>16200</v>
      </c>
      <c r="M899" s="33">
        <f>ROUNDUP(L899+(L899*Assumptions!L$5),-2)</f>
        <v>16600</v>
      </c>
      <c r="N899" s="33">
        <f>ROUNDUP(M899+(M899*Assumptions!M$5),-2)</f>
        <v>17000</v>
      </c>
      <c r="O899" s="33">
        <f>ROUNDUP(N899+(N899*Assumptions!N$5),-2)</f>
        <v>17400</v>
      </c>
      <c r="P899" s="33">
        <f>ROUNDUP(O899+(O899*Assumptions!O$5),-2)</f>
        <v>17800</v>
      </c>
      <c r="Q899" s="33">
        <f>ROUNDUP(P899+(P899*Assumptions!P$5),-2)</f>
        <v>18200</v>
      </c>
      <c r="R899" s="114">
        <f>ROUNDUP(Q899+(Q899*Assumptions!Q$5),-2)</f>
        <v>18600</v>
      </c>
    </row>
    <row r="900" spans="1:18" x14ac:dyDescent="0.2">
      <c r="A900" s="107">
        <v>14500</v>
      </c>
      <c r="B900" s="33">
        <v>15900</v>
      </c>
      <c r="C900" s="33">
        <v>16200</v>
      </c>
      <c r="D900" s="33">
        <v>16500</v>
      </c>
      <c r="E900" s="1097" t="s">
        <v>3977</v>
      </c>
      <c r="F900" s="814" t="s">
        <v>3695</v>
      </c>
      <c r="G900" s="198">
        <f>18000+4000</f>
        <v>22000</v>
      </c>
      <c r="H900" s="138">
        <f t="shared" si="1270"/>
        <v>33.333333333333329</v>
      </c>
      <c r="I900" s="33">
        <v>18000</v>
      </c>
      <c r="J900" s="33">
        <f>ROUNDUP(I900+(I900*Assumptions!I$5),-2)</f>
        <v>18500</v>
      </c>
      <c r="K900" s="33">
        <f>ROUNDUP(J900+(J900*Assumptions!J$5),-2)</f>
        <v>19000</v>
      </c>
      <c r="L900" s="33">
        <f>ROUNDUP(K900+(K900*Assumptions!K$5),-2)</f>
        <v>19500</v>
      </c>
      <c r="M900" s="33">
        <f>ROUNDUP(L900+(L900*Assumptions!L$5),-2)</f>
        <v>19900</v>
      </c>
      <c r="N900" s="33">
        <f>ROUNDUP(M900+(M900*Assumptions!M$5),-2)</f>
        <v>20300</v>
      </c>
      <c r="O900" s="33">
        <f>ROUNDUP(N900+(N900*Assumptions!N$5),-2)</f>
        <v>20800</v>
      </c>
      <c r="P900" s="33">
        <f>ROUNDUP(O900+(O900*Assumptions!O$5),-2)</f>
        <v>21300</v>
      </c>
      <c r="Q900" s="33">
        <f>ROUNDUP(P900+(P900*Assumptions!P$5),-2)</f>
        <v>21800</v>
      </c>
      <c r="R900" s="114">
        <f>ROUNDUP(Q900+(Q900*Assumptions!Q$5),-2)</f>
        <v>22300</v>
      </c>
    </row>
    <row r="901" spans="1:18" x14ac:dyDescent="0.2">
      <c r="A901" s="107">
        <v>7400</v>
      </c>
      <c r="B901" s="33">
        <v>3700</v>
      </c>
      <c r="C901" s="189">
        <v>3100</v>
      </c>
      <c r="D901" s="189">
        <v>2900</v>
      </c>
      <c r="E901" s="1092" t="s">
        <v>3958</v>
      </c>
      <c r="F901" s="814" t="s">
        <v>518</v>
      </c>
      <c r="G901" s="198">
        <v>5000</v>
      </c>
      <c r="H901" s="138">
        <f t="shared" si="1270"/>
        <v>72.41379310344827</v>
      </c>
      <c r="I901" s="33">
        <v>5000</v>
      </c>
      <c r="J901" s="33">
        <f>ROUNDUP(I901+(I901*Assumptions!I$5),-2)</f>
        <v>5200</v>
      </c>
      <c r="K901" s="33">
        <f>ROUNDUP(J901+(J901*Assumptions!J$5),-2)</f>
        <v>5400</v>
      </c>
      <c r="L901" s="33">
        <f>ROUNDUP(K901+(K901*Assumptions!K$5),-2)</f>
        <v>5600</v>
      </c>
      <c r="M901" s="33">
        <f>ROUNDUP(L901+(L901*Assumptions!L$5),-2)</f>
        <v>5800</v>
      </c>
      <c r="N901" s="33">
        <f>ROUNDUP(M901+(M901*Assumptions!M$5),-2)</f>
        <v>6000</v>
      </c>
      <c r="O901" s="33">
        <f>ROUNDUP(N901+(N901*Assumptions!N$5),-2)</f>
        <v>6200</v>
      </c>
      <c r="P901" s="33">
        <f>ROUNDUP(O901+(O901*Assumptions!O$5),-2)</f>
        <v>6400</v>
      </c>
      <c r="Q901" s="33">
        <f>ROUNDUP(P901+(P901*Assumptions!P$5),-2)</f>
        <v>6600</v>
      </c>
      <c r="R901" s="114">
        <f>ROUNDUP(Q901+(Q901*Assumptions!Q$5),-2)</f>
        <v>6800</v>
      </c>
    </row>
    <row r="902" spans="1:18" x14ac:dyDescent="0.2">
      <c r="A902" s="107">
        <v>5500</v>
      </c>
      <c r="B902" s="33">
        <v>4200</v>
      </c>
      <c r="C902" s="189">
        <v>1200</v>
      </c>
      <c r="D902" s="189">
        <v>900</v>
      </c>
      <c r="E902" s="1092" t="s">
        <v>3959</v>
      </c>
      <c r="F902" s="814" t="s">
        <v>3749</v>
      </c>
      <c r="G902" s="198">
        <v>4000</v>
      </c>
      <c r="H902" s="138">
        <f t="shared" si="1270"/>
        <v>344.44444444444446</v>
      </c>
      <c r="I902" s="33">
        <v>4000</v>
      </c>
      <c r="J902" s="33">
        <f>ROUNDUP(I902+(I902*Assumptions!I$5),-2)</f>
        <v>4100</v>
      </c>
      <c r="K902" s="33">
        <f>ROUNDUP(J902+(J902*Assumptions!J$5),-2)</f>
        <v>4300</v>
      </c>
      <c r="L902" s="33">
        <f>ROUNDUP(K902+(K902*Assumptions!K$5),-2)</f>
        <v>4500</v>
      </c>
      <c r="M902" s="33">
        <f>ROUNDUP(L902+(L902*Assumptions!L$5),-2)</f>
        <v>4600</v>
      </c>
      <c r="N902" s="33">
        <f>ROUNDUP(M902+(M902*Assumptions!M$5),-2)</f>
        <v>4700</v>
      </c>
      <c r="O902" s="33">
        <f>ROUNDUP(N902+(N902*Assumptions!N$5),-2)</f>
        <v>4800</v>
      </c>
      <c r="P902" s="33">
        <f>ROUNDUP(O902+(O902*Assumptions!O$5),-2)</f>
        <v>4900</v>
      </c>
      <c r="Q902" s="33">
        <f>ROUNDUP(P902+(P902*Assumptions!P$5),-2)</f>
        <v>5000</v>
      </c>
      <c r="R902" s="114">
        <f>ROUNDUP(Q902+(Q902*Assumptions!Q$5),-2)</f>
        <v>5100</v>
      </c>
    </row>
    <row r="903" spans="1:18" x14ac:dyDescent="0.2">
      <c r="A903" s="107">
        <v>0</v>
      </c>
      <c r="B903" s="33">
        <v>0</v>
      </c>
      <c r="C903" s="189">
        <v>0</v>
      </c>
      <c r="D903" s="189">
        <v>0</v>
      </c>
      <c r="E903" s="1092" t="s">
        <v>6045</v>
      </c>
      <c r="F903" s="814" t="s">
        <v>6046</v>
      </c>
      <c r="G903" s="198">
        <v>2000</v>
      </c>
      <c r="H903" s="138">
        <f t="shared" si="1270"/>
        <v>100</v>
      </c>
      <c r="I903" s="33">
        <v>2000</v>
      </c>
      <c r="J903" s="33">
        <f>ROUNDUP(I903+(I903*Assumptions!I$5),-2)</f>
        <v>2100</v>
      </c>
      <c r="K903" s="33">
        <f>ROUNDUP(J903+(J903*Assumptions!J$5),-2)</f>
        <v>2200</v>
      </c>
      <c r="L903" s="33">
        <f>ROUNDUP(K903+(K903*Assumptions!K$5),-2)</f>
        <v>2300</v>
      </c>
      <c r="M903" s="33">
        <f>ROUNDUP(L903+(L903*Assumptions!L$5),-2)</f>
        <v>2400</v>
      </c>
      <c r="N903" s="33">
        <f>ROUNDUP(M903+(M903*Assumptions!M$5),-2)</f>
        <v>2500</v>
      </c>
      <c r="O903" s="33">
        <f>ROUNDUP(N903+(N903*Assumptions!N$5),-2)</f>
        <v>2600</v>
      </c>
      <c r="P903" s="33">
        <f>ROUNDUP(O903+(O903*Assumptions!O$5),-2)</f>
        <v>2700</v>
      </c>
      <c r="Q903" s="33">
        <f>ROUNDUP(P903+(P903*Assumptions!P$5),-2)</f>
        <v>2800</v>
      </c>
      <c r="R903" s="114">
        <f>ROUNDUP(Q903+(Q903*Assumptions!Q$5),-2)</f>
        <v>2900</v>
      </c>
    </row>
    <row r="904" spans="1:18" x14ac:dyDescent="0.2">
      <c r="A904" s="107">
        <v>0</v>
      </c>
      <c r="B904" s="33">
        <v>0</v>
      </c>
      <c r="C904" s="33">
        <v>0</v>
      </c>
      <c r="D904" s="33">
        <v>1900</v>
      </c>
      <c r="E904" s="1092" t="s">
        <v>5316</v>
      </c>
      <c r="F904" s="814" t="s">
        <v>4885</v>
      </c>
      <c r="G904" s="198">
        <f>4000+2000</f>
        <v>6000</v>
      </c>
      <c r="H904" s="138">
        <f t="shared" si="1270"/>
        <v>215.78947368421052</v>
      </c>
      <c r="I904" s="33">
        <v>6000</v>
      </c>
      <c r="J904" s="33">
        <f>ROUNDUP(I904+(I904*Assumptions!I$5),-2)</f>
        <v>6200</v>
      </c>
      <c r="K904" s="33">
        <f>ROUNDUP(J904+(J904*Assumptions!J$5),-2)</f>
        <v>6400</v>
      </c>
      <c r="L904" s="33">
        <f>ROUNDUP(K904+(K904*Assumptions!K$5),-2)</f>
        <v>6600</v>
      </c>
      <c r="M904" s="33">
        <f>ROUNDUP(L904+(L904*Assumptions!L$5),-2)</f>
        <v>6800</v>
      </c>
      <c r="N904" s="33">
        <f>ROUNDUP(M904+(M904*Assumptions!M$5),-2)</f>
        <v>7000</v>
      </c>
      <c r="O904" s="33">
        <f>ROUNDUP(N904+(N904*Assumptions!N$5),-2)</f>
        <v>7200</v>
      </c>
      <c r="P904" s="33">
        <f>ROUNDUP(O904+(O904*Assumptions!O$5),-2)</f>
        <v>7400</v>
      </c>
      <c r="Q904" s="33">
        <f>ROUNDUP(P904+(P904*Assumptions!P$5),-2)</f>
        <v>7600</v>
      </c>
      <c r="R904" s="114">
        <f>ROUNDUP(Q904+(Q904*Assumptions!Q$5),-2)</f>
        <v>7800</v>
      </c>
    </row>
    <row r="905" spans="1:18" x14ac:dyDescent="0.2">
      <c r="A905" s="107"/>
      <c r="B905" s="33"/>
      <c r="E905" s="658"/>
      <c r="F905" s="1103" t="s">
        <v>500</v>
      </c>
      <c r="G905" s="198"/>
      <c r="H905" s="138"/>
      <c r="I905" s="33"/>
      <c r="J905" s="33"/>
      <c r="K905" s="33"/>
      <c r="L905" s="33"/>
      <c r="M905" s="33"/>
      <c r="N905" s="33"/>
      <c r="O905" s="33"/>
      <c r="P905" s="33"/>
      <c r="Q905" s="33"/>
      <c r="R905" s="114"/>
    </row>
    <row r="906" spans="1:18" x14ac:dyDescent="0.2">
      <c r="A906" s="107">
        <v>8700</v>
      </c>
      <c r="B906" s="33">
        <v>10600</v>
      </c>
      <c r="C906" s="189">
        <v>8600</v>
      </c>
      <c r="D906" s="189">
        <f>9000-1000</f>
        <v>8000</v>
      </c>
      <c r="E906" s="658" t="s">
        <v>1289</v>
      </c>
      <c r="F906" s="814" t="s">
        <v>3837</v>
      </c>
      <c r="G906" s="198">
        <v>9000</v>
      </c>
      <c r="H906" s="138">
        <f>IF(D906=G906,0,IF(D906=0,100,(G906-D906)/D906*100))</f>
        <v>12.5</v>
      </c>
      <c r="I906" s="33">
        <v>9200</v>
      </c>
      <c r="J906" s="33">
        <f>ROUNDUP(I906+(I906*Assumptions!I$5),-2)</f>
        <v>9500</v>
      </c>
      <c r="K906" s="33">
        <f>ROUNDUP(J906+(J906*Assumptions!J$5),-2)</f>
        <v>9800</v>
      </c>
      <c r="L906" s="33">
        <f>ROUNDUP(K906+(K906*Assumptions!K$5),-2)</f>
        <v>10100</v>
      </c>
      <c r="M906" s="33">
        <f>ROUNDUP(L906+(L906*Assumptions!L$5),-2)</f>
        <v>10400</v>
      </c>
      <c r="N906" s="33">
        <f>ROUNDUP(M906+(M906*Assumptions!M$5),-2)</f>
        <v>10700</v>
      </c>
      <c r="O906" s="33">
        <f>ROUNDUP(N906+(N906*Assumptions!N$5),-2)</f>
        <v>11000</v>
      </c>
      <c r="P906" s="33">
        <f>ROUNDUP(O906+(O906*Assumptions!O$5),-2)</f>
        <v>11300</v>
      </c>
      <c r="Q906" s="33">
        <f>ROUNDUP(P906+(P906*Assumptions!P$5),-2)</f>
        <v>11600</v>
      </c>
      <c r="R906" s="114">
        <f>ROUNDUP(Q906+(Q906*Assumptions!Q$5),-2)</f>
        <v>11900</v>
      </c>
    </row>
    <row r="907" spans="1:18" x14ac:dyDescent="0.2">
      <c r="A907" s="107">
        <v>55300</v>
      </c>
      <c r="B907" s="33">
        <v>74500</v>
      </c>
      <c r="C907" s="189">
        <v>78700</v>
      </c>
      <c r="D907" s="189">
        <v>75500</v>
      </c>
      <c r="E907" s="658" t="s">
        <v>1659</v>
      </c>
      <c r="F907" s="814" t="s">
        <v>3839</v>
      </c>
      <c r="G907" s="198">
        <v>87000</v>
      </c>
      <c r="H907" s="138">
        <f>IF(D907=G907,0,IF(D907=0,100,(G907-D907)/D907*100))</f>
        <v>15.231788079470199</v>
      </c>
      <c r="I907" s="33">
        <v>89000</v>
      </c>
      <c r="J907" s="33">
        <f>ROUNDUP(I907+(I907*Assumptions!I$5),-2)</f>
        <v>91300</v>
      </c>
      <c r="K907" s="33">
        <f>ROUNDUP(J907+(J907*Assumptions!J$5),-2)</f>
        <v>93600</v>
      </c>
      <c r="L907" s="33">
        <f>ROUNDUP(K907+(K907*Assumptions!K$5),-2)</f>
        <v>96000</v>
      </c>
      <c r="M907" s="33">
        <f>ROUNDUP(L907+(L907*Assumptions!L$5),-2)</f>
        <v>98000</v>
      </c>
      <c r="N907" s="33">
        <f>ROUNDUP(M907+(M907*Assumptions!M$5),-2)</f>
        <v>100000</v>
      </c>
      <c r="O907" s="33">
        <f>ROUNDUP(N907+(N907*Assumptions!N$5),-2)</f>
        <v>102000</v>
      </c>
      <c r="P907" s="33">
        <f>ROUNDUP(O907+(O907*Assumptions!O$5),-2)</f>
        <v>104100</v>
      </c>
      <c r="Q907" s="33">
        <f>ROUNDUP(P907+(P907*Assumptions!P$5),-2)</f>
        <v>106200</v>
      </c>
      <c r="R907" s="114">
        <f>ROUNDUP(Q907+(Q907*Assumptions!Q$5),-2)</f>
        <v>108400</v>
      </c>
    </row>
    <row r="908" spans="1:18" x14ac:dyDescent="0.2">
      <c r="A908" s="107">
        <v>27100</v>
      </c>
      <c r="B908" s="33">
        <v>28400</v>
      </c>
      <c r="C908" s="189">
        <v>11000</v>
      </c>
      <c r="D908" s="189">
        <v>24700</v>
      </c>
      <c r="E908" s="658" t="s">
        <v>1449</v>
      </c>
      <c r="F908" s="814" t="s">
        <v>3747</v>
      </c>
      <c r="G908" s="198">
        <v>31000</v>
      </c>
      <c r="H908" s="138">
        <f>IF(D908=G908,0,IF(D908=0,100,(G908-D908)/D908*100))</f>
        <v>25.506072874493928</v>
      </c>
      <c r="I908" s="33">
        <v>31500</v>
      </c>
      <c r="J908" s="33">
        <f>ROUNDUP(I908+(I908*Assumptions!I$5),-2)</f>
        <v>32300</v>
      </c>
      <c r="K908" s="33">
        <f>ROUNDUP(J908+(J908*Assumptions!J$5),-2)</f>
        <v>33200</v>
      </c>
      <c r="L908" s="33">
        <f>ROUNDUP(K908+(K908*Assumptions!K$5),-2)</f>
        <v>34100</v>
      </c>
      <c r="M908" s="33">
        <f>ROUNDUP(L908+(L908*Assumptions!L$5),-2)</f>
        <v>34800</v>
      </c>
      <c r="N908" s="33">
        <f>ROUNDUP(M908+(M908*Assumptions!M$5),-2)</f>
        <v>35500</v>
      </c>
      <c r="O908" s="33">
        <f>ROUNDUP(N908+(N908*Assumptions!N$5),-2)</f>
        <v>36300</v>
      </c>
      <c r="P908" s="33">
        <f>ROUNDUP(O908+(O908*Assumptions!O$5),-2)</f>
        <v>37100</v>
      </c>
      <c r="Q908" s="33">
        <f>ROUNDUP(P908+(P908*Assumptions!P$5),-2)</f>
        <v>37900</v>
      </c>
      <c r="R908" s="114">
        <f>ROUNDUP(Q908+(Q908*Assumptions!Q$5),-2)</f>
        <v>38700</v>
      </c>
    </row>
    <row r="909" spans="1:18" x14ac:dyDescent="0.2">
      <c r="A909" s="107">
        <v>7000</v>
      </c>
      <c r="B909" s="33">
        <v>6500</v>
      </c>
      <c r="C909" s="189">
        <v>7100</v>
      </c>
      <c r="D909" s="189">
        <v>7600</v>
      </c>
      <c r="E909" s="658" t="s">
        <v>1290</v>
      </c>
      <c r="F909" s="814" t="s">
        <v>3838</v>
      </c>
      <c r="G909" s="198">
        <v>9300</v>
      </c>
      <c r="H909" s="138">
        <f>IF(D909=G909,0,IF(D909=0,100,(G909-D909)/D909*100))</f>
        <v>22.368421052631579</v>
      </c>
      <c r="I909" s="33">
        <v>8000</v>
      </c>
      <c r="J909" s="33">
        <f>ROUNDUP(I909+(I909*Assumptions!I$5),-2)</f>
        <v>8200</v>
      </c>
      <c r="K909" s="33">
        <f>ROUNDUP(J909+(J909*Assumptions!J$5),-2)</f>
        <v>8500</v>
      </c>
      <c r="L909" s="33">
        <f>ROUNDUP(K909+(K909*Assumptions!K$5),-2)</f>
        <v>8800</v>
      </c>
      <c r="M909" s="33">
        <f>ROUNDUP(L909+(L909*Assumptions!L$5),-2)</f>
        <v>9000</v>
      </c>
      <c r="N909" s="33">
        <f>ROUNDUP(M909+(M909*Assumptions!M$5),-2)</f>
        <v>9200</v>
      </c>
      <c r="O909" s="33">
        <f>ROUNDUP(N909+(N909*Assumptions!N$5),-2)</f>
        <v>9400</v>
      </c>
      <c r="P909" s="33">
        <f>ROUNDUP(O909+(O909*Assumptions!O$5),-2)</f>
        <v>9600</v>
      </c>
      <c r="Q909" s="33">
        <f>ROUNDUP(P909+(P909*Assumptions!P$5),-2)</f>
        <v>9800</v>
      </c>
      <c r="R909" s="114">
        <f>ROUNDUP(Q909+(Q909*Assumptions!Q$5),-2)</f>
        <v>10000</v>
      </c>
    </row>
    <row r="910" spans="1:18" x14ac:dyDescent="0.2">
      <c r="A910" s="107">
        <v>14400</v>
      </c>
      <c r="B910" s="33">
        <v>19300</v>
      </c>
      <c r="C910" s="189">
        <v>20900</v>
      </c>
      <c r="D910" s="189">
        <v>46500</v>
      </c>
      <c r="E910" s="658" t="s">
        <v>1654</v>
      </c>
      <c r="F910" s="814" t="s">
        <v>3746</v>
      </c>
      <c r="G910" s="198">
        <v>25000</v>
      </c>
      <c r="H910" s="138">
        <f>IF(D910=G910,0,IF(D910=0,100,(G910-D910)/D910*100))</f>
        <v>-46.236559139784944</v>
      </c>
      <c r="I910" s="33">
        <v>25000</v>
      </c>
      <c r="J910" s="33">
        <f>ROUNDUP(I910+(I910*Assumptions!I$5),-2)</f>
        <v>25700</v>
      </c>
      <c r="K910" s="33">
        <f>ROUNDUP(J910+(J910*Assumptions!J$5),-2)</f>
        <v>26400</v>
      </c>
      <c r="L910" s="33">
        <f>ROUNDUP(K910+(K910*Assumptions!K$5),-2)</f>
        <v>27100</v>
      </c>
      <c r="M910" s="33">
        <f>ROUNDUP(L910+(L910*Assumptions!L$5),-2)</f>
        <v>27700</v>
      </c>
      <c r="N910" s="33">
        <f>ROUNDUP(M910+(M910*Assumptions!M$5),-2)</f>
        <v>28300</v>
      </c>
      <c r="O910" s="33">
        <f>ROUNDUP(N910+(N910*Assumptions!N$5),-2)</f>
        <v>28900</v>
      </c>
      <c r="P910" s="33">
        <f>ROUNDUP(O910+(O910*Assumptions!O$5),-2)</f>
        <v>29500</v>
      </c>
      <c r="Q910" s="33">
        <f>ROUNDUP(P910+(P910*Assumptions!P$5),-2)</f>
        <v>30100</v>
      </c>
      <c r="R910" s="114">
        <f>ROUNDUP(Q910+(Q910*Assumptions!Q$5),-2)</f>
        <v>30800</v>
      </c>
    </row>
    <row r="911" spans="1:18" x14ac:dyDescent="0.2">
      <c r="A911" s="107"/>
      <c r="B911" s="33"/>
      <c r="E911" s="658"/>
      <c r="F911" s="1103" t="s">
        <v>3687</v>
      </c>
      <c r="G911" s="198"/>
      <c r="H911" s="138"/>
      <c r="I911" s="33"/>
      <c r="J911" s="33"/>
      <c r="K911" s="33"/>
      <c r="L911" s="33"/>
      <c r="M911" s="33"/>
      <c r="N911" s="33"/>
      <c r="O911" s="33"/>
      <c r="P911" s="33"/>
      <c r="Q911" s="33"/>
      <c r="R911" s="114"/>
    </row>
    <row r="912" spans="1:18" x14ac:dyDescent="0.2">
      <c r="A912" s="107">
        <v>37200</v>
      </c>
      <c r="B912" s="33">
        <v>41800</v>
      </c>
      <c r="C912" s="189">
        <v>39300</v>
      </c>
      <c r="D912" s="189">
        <v>38300</v>
      </c>
      <c r="E912" s="1092" t="s">
        <v>3042</v>
      </c>
      <c r="F912" s="814" t="s">
        <v>3840</v>
      </c>
      <c r="G912" s="198">
        <v>42000</v>
      </c>
      <c r="H912" s="138">
        <f>IF(D912=G912,0,IF(D912=0,100,(G912-D912)/D912*100))</f>
        <v>9.660574412532636</v>
      </c>
      <c r="I912" s="33">
        <v>42000</v>
      </c>
      <c r="J912" s="33">
        <f>ROUNDUP(I912+(I912*Assumptions!I$5),-2)</f>
        <v>43100</v>
      </c>
      <c r="K912" s="33">
        <f>ROUNDUP(J912+(J912*Assumptions!J$5),-2)</f>
        <v>44200</v>
      </c>
      <c r="L912" s="33">
        <f>ROUNDUP(K912+(K912*Assumptions!K$5),-2)</f>
        <v>45400</v>
      </c>
      <c r="M912" s="33">
        <f>ROUNDUP(L912+(L912*Assumptions!L$5),-2)</f>
        <v>46400</v>
      </c>
      <c r="N912" s="33">
        <f>ROUNDUP(M912+(M912*Assumptions!M$5),-2)</f>
        <v>47400</v>
      </c>
      <c r="O912" s="33">
        <f>ROUNDUP(N912+(N912*Assumptions!N$5),-2)</f>
        <v>48400</v>
      </c>
      <c r="P912" s="33">
        <f>ROUNDUP(O912+(O912*Assumptions!O$5),-2)</f>
        <v>49400</v>
      </c>
      <c r="Q912" s="33">
        <f>ROUNDUP(P912+(P912*Assumptions!P$5),-2)</f>
        <v>50400</v>
      </c>
      <c r="R912" s="114">
        <f>ROUNDUP(Q912+(Q912*Assumptions!Q$5),-2)</f>
        <v>51500</v>
      </c>
    </row>
    <row r="913" spans="1:18" x14ac:dyDescent="0.2">
      <c r="A913" s="107">
        <v>21400</v>
      </c>
      <c r="B913" s="33">
        <v>27200</v>
      </c>
      <c r="C913" s="189">
        <v>29000</v>
      </c>
      <c r="D913" s="189">
        <v>27500</v>
      </c>
      <c r="E913" s="658" t="s">
        <v>2149</v>
      </c>
      <c r="F913" s="814" t="s">
        <v>3841</v>
      </c>
      <c r="G913" s="198">
        <v>33000</v>
      </c>
      <c r="H913" s="138">
        <f>IF(D913=G913,0,IF(D913=0,100,(G913-D913)/D913*100))</f>
        <v>20</v>
      </c>
      <c r="I913" s="33">
        <v>34000</v>
      </c>
      <c r="J913" s="33">
        <f>ROUNDUP(I913+(I913*Assumptions!I$5),-2)</f>
        <v>34900</v>
      </c>
      <c r="K913" s="33">
        <f>ROUNDUP(J913+(J913*Assumptions!J$5),-2)</f>
        <v>35800</v>
      </c>
      <c r="L913" s="33">
        <f>ROUNDUP(K913+(K913*Assumptions!K$5),-2)</f>
        <v>36700</v>
      </c>
      <c r="M913" s="33">
        <f>ROUNDUP(L913+(L913*Assumptions!L$5),-2)</f>
        <v>37500</v>
      </c>
      <c r="N913" s="33">
        <f>ROUNDUP(M913+(M913*Assumptions!M$5),-2)</f>
        <v>38300</v>
      </c>
      <c r="O913" s="33">
        <f>ROUNDUP(N913+(N913*Assumptions!N$5),-2)</f>
        <v>39100</v>
      </c>
      <c r="P913" s="33">
        <f>ROUNDUP(O913+(O913*Assumptions!O$5),-2)</f>
        <v>39900</v>
      </c>
      <c r="Q913" s="33">
        <f>ROUNDUP(P913+(P913*Assumptions!P$5),-2)</f>
        <v>40700</v>
      </c>
      <c r="R913" s="114">
        <f>ROUNDUP(Q913+(Q913*Assumptions!Q$5),-2)</f>
        <v>41600</v>
      </c>
    </row>
    <row r="914" spans="1:18" x14ac:dyDescent="0.2">
      <c r="A914" s="107">
        <v>14000</v>
      </c>
      <c r="B914" s="33">
        <v>10000</v>
      </c>
      <c r="C914" s="189">
        <f>87300-79400</f>
        <v>7900</v>
      </c>
      <c r="D914" s="189">
        <v>12900</v>
      </c>
      <c r="E914" s="658" t="s">
        <v>1023</v>
      </c>
      <c r="F914" s="814" t="s">
        <v>3748</v>
      </c>
      <c r="G914" s="198">
        <v>16000</v>
      </c>
      <c r="H914" s="138">
        <f>IF(D914=G914,0,IF(D914=0,100,(G914-D914)/D914*100))</f>
        <v>24.031007751937985</v>
      </c>
      <c r="I914" s="33">
        <v>16000</v>
      </c>
      <c r="J914" s="33">
        <f>ROUNDUP(I914+(I914*Assumptions!I$5),-2)</f>
        <v>16400</v>
      </c>
      <c r="K914" s="33">
        <f>ROUNDUP(J914+(J914*Assumptions!J$5),-2)</f>
        <v>16900</v>
      </c>
      <c r="L914" s="33">
        <f>ROUNDUP(K914+(K914*Assumptions!K$5),-2)</f>
        <v>17400</v>
      </c>
      <c r="M914" s="33">
        <f>ROUNDUP(L914+(L914*Assumptions!L$5),-2)</f>
        <v>17800</v>
      </c>
      <c r="N914" s="33">
        <f>ROUNDUP(M914+(M914*Assumptions!M$5),-2)</f>
        <v>18200</v>
      </c>
      <c r="O914" s="33">
        <f>ROUNDUP(N914+(N914*Assumptions!N$5),-2)</f>
        <v>18600</v>
      </c>
      <c r="P914" s="33">
        <f>ROUNDUP(O914+(O914*Assumptions!O$5),-2)</f>
        <v>19000</v>
      </c>
      <c r="Q914" s="33">
        <f>ROUNDUP(P914+(P914*Assumptions!P$5),-2)</f>
        <v>19400</v>
      </c>
      <c r="R914" s="114">
        <f>ROUNDUP(Q914+(Q914*Assumptions!Q$5),-2)</f>
        <v>19800</v>
      </c>
    </row>
    <row r="915" spans="1:18" x14ac:dyDescent="0.2">
      <c r="A915" s="107">
        <v>7300</v>
      </c>
      <c r="B915" s="33">
        <v>7200</v>
      </c>
      <c r="C915" s="189">
        <v>11100</v>
      </c>
      <c r="D915" s="189">
        <v>10500</v>
      </c>
      <c r="E915" s="1092" t="s">
        <v>3043</v>
      </c>
      <c r="F915" s="814" t="s">
        <v>3842</v>
      </c>
      <c r="G915" s="198">
        <v>9300</v>
      </c>
      <c r="H915" s="138">
        <f>IF(D915=G915,0,IF(D915=0,100,(G915-D915)/D915*100))</f>
        <v>-11.428571428571429</v>
      </c>
      <c r="I915" s="33">
        <v>11000</v>
      </c>
      <c r="J915" s="33">
        <f>ROUNDUP(I915+(I915*Assumptions!I$5),-2)</f>
        <v>11300</v>
      </c>
      <c r="K915" s="33">
        <f>ROUNDUP(J915+(J915*Assumptions!J$5),-2)</f>
        <v>11600</v>
      </c>
      <c r="L915" s="33">
        <f>ROUNDUP(K915+(K915*Assumptions!K$5),-2)</f>
        <v>11900</v>
      </c>
      <c r="M915" s="33">
        <f>ROUNDUP(L915+(L915*Assumptions!L$5),-2)</f>
        <v>12200</v>
      </c>
      <c r="N915" s="33">
        <f>ROUNDUP(M915+(M915*Assumptions!M$5),-2)</f>
        <v>12500</v>
      </c>
      <c r="O915" s="33">
        <f>ROUNDUP(N915+(N915*Assumptions!N$5),-2)</f>
        <v>12800</v>
      </c>
      <c r="P915" s="33">
        <f>ROUNDUP(O915+(O915*Assumptions!O$5),-2)</f>
        <v>13100</v>
      </c>
      <c r="Q915" s="33">
        <f>ROUNDUP(P915+(P915*Assumptions!P$5),-2)</f>
        <v>13400</v>
      </c>
      <c r="R915" s="114">
        <f>ROUNDUP(Q915+(Q915*Assumptions!Q$5),-2)</f>
        <v>13700</v>
      </c>
    </row>
    <row r="916" spans="1:18" x14ac:dyDescent="0.2">
      <c r="A916" s="107"/>
      <c r="B916" s="33"/>
      <c r="E916" s="658"/>
      <c r="F916" s="371" t="s">
        <v>1060</v>
      </c>
      <c r="G916" s="198"/>
      <c r="H916" s="138"/>
      <c r="I916" s="33"/>
      <c r="J916" s="33"/>
      <c r="K916" s="33"/>
      <c r="L916" s="33"/>
      <c r="M916" s="33"/>
      <c r="N916" s="33"/>
      <c r="O916" s="33"/>
      <c r="P916" s="33"/>
      <c r="Q916" s="33"/>
      <c r="R916" s="114"/>
    </row>
    <row r="917" spans="1:18" x14ac:dyDescent="0.2">
      <c r="A917" s="107">
        <v>8200</v>
      </c>
      <c r="B917" s="33">
        <v>9400</v>
      </c>
      <c r="C917" s="189">
        <v>8300</v>
      </c>
      <c r="D917" s="189">
        <v>7800</v>
      </c>
      <c r="E917" s="1092" t="s">
        <v>5489</v>
      </c>
      <c r="F917" s="814" t="s">
        <v>5488</v>
      </c>
      <c r="G917" s="198">
        <v>9500</v>
      </c>
      <c r="H917" s="138">
        <f t="shared" ref="H917:H923" si="1271">IF(D917=G917,0,IF(D917=0,100,(G917-D917)/D917*100))</f>
        <v>21.794871794871796</v>
      </c>
      <c r="I917" s="33">
        <f>ROUNDUP(G917+(G917*Assumptions!H$5),-2)</f>
        <v>9700</v>
      </c>
      <c r="J917" s="33">
        <f>ROUNDUP(I917+(I917*Assumptions!I$5),-2)</f>
        <v>10000</v>
      </c>
      <c r="K917" s="33">
        <f>ROUNDUP(J917+(J917*Assumptions!J$5),-2)</f>
        <v>10300</v>
      </c>
      <c r="L917" s="33">
        <f>ROUNDUP(K917+(K917*Assumptions!K$5),-2)</f>
        <v>10600</v>
      </c>
      <c r="M917" s="33">
        <f>ROUNDUP(L917+(L917*Assumptions!L$5),-2)</f>
        <v>10900</v>
      </c>
      <c r="N917" s="33">
        <f>ROUNDUP(M917+(M917*Assumptions!M$5),-2)</f>
        <v>11200</v>
      </c>
      <c r="O917" s="33">
        <f>ROUNDUP(N917+(N917*Assumptions!N$5),-2)</f>
        <v>11500</v>
      </c>
      <c r="P917" s="33">
        <f>ROUNDUP(O917+(O917*Assumptions!O$5),-2)</f>
        <v>11800</v>
      </c>
      <c r="Q917" s="33">
        <f>ROUNDUP(P917+(P917*Assumptions!P$5),-2)</f>
        <v>12100</v>
      </c>
      <c r="R917" s="114">
        <f>ROUNDUP(Q917+(Q917*Assumptions!Q$5),-2)</f>
        <v>12400</v>
      </c>
    </row>
    <row r="918" spans="1:18" x14ac:dyDescent="0.2">
      <c r="A918" s="107">
        <v>19800</v>
      </c>
      <c r="B918" s="33">
        <v>22300</v>
      </c>
      <c r="C918" s="189">
        <v>22300</v>
      </c>
      <c r="D918" s="189">
        <v>22300</v>
      </c>
      <c r="E918" s="658" t="s">
        <v>47</v>
      </c>
      <c r="F918" s="814" t="s">
        <v>3322</v>
      </c>
      <c r="G918" s="198">
        <v>24000</v>
      </c>
      <c r="H918" s="138">
        <f t="shared" si="1271"/>
        <v>7.623318385650224</v>
      </c>
      <c r="I918" s="33">
        <f>ROUNDUP(G918+(G918*Assumptions!H$5),-2)</f>
        <v>24400</v>
      </c>
      <c r="J918" s="33">
        <f>ROUNDUP(I918+(I918*Assumptions!I$5),-2)</f>
        <v>25100</v>
      </c>
      <c r="K918" s="33">
        <f>ROUNDUP(J918+(J918*Assumptions!J$5),-2)</f>
        <v>25800</v>
      </c>
      <c r="L918" s="33">
        <f>ROUNDUP(K918+(K918*Assumptions!K$5),-2)</f>
        <v>26500</v>
      </c>
      <c r="M918" s="33">
        <f>ROUNDUP(L918+(L918*Assumptions!L$5),-2)</f>
        <v>27100</v>
      </c>
      <c r="N918" s="33">
        <f>ROUNDUP(M918+(M918*Assumptions!M$5),-2)</f>
        <v>27700</v>
      </c>
      <c r="O918" s="33">
        <f>ROUNDUP(N918+(N918*Assumptions!N$5),-2)</f>
        <v>28300</v>
      </c>
      <c r="P918" s="33">
        <f>ROUNDUP(O918+(O918*Assumptions!O$5),-2)</f>
        <v>28900</v>
      </c>
      <c r="Q918" s="33">
        <f>ROUNDUP(P918+(P918*Assumptions!P$5),-2)</f>
        <v>29500</v>
      </c>
      <c r="R918" s="114">
        <f>ROUNDUP(Q918+(Q918*Assumptions!Q$5),-2)</f>
        <v>30100</v>
      </c>
    </row>
    <row r="919" spans="1:18" x14ac:dyDescent="0.2">
      <c r="A919" s="107">
        <v>134800</v>
      </c>
      <c r="B919" s="33">
        <v>139400</v>
      </c>
      <c r="C919" s="189">
        <v>154800</v>
      </c>
      <c r="D919" s="189">
        <v>151600</v>
      </c>
      <c r="E919" s="658" t="s">
        <v>1172</v>
      </c>
      <c r="F919" s="443" t="s">
        <v>892</v>
      </c>
      <c r="G919" s="198">
        <v>160000</v>
      </c>
      <c r="H919" s="138">
        <f t="shared" si="1271"/>
        <v>5.5408970976253293</v>
      </c>
      <c r="I919" s="33">
        <f>ROUNDUP(G919+(G919*Assumptions!H$5),-2)</f>
        <v>162400</v>
      </c>
      <c r="J919" s="33">
        <f>ROUNDUP(I919+(I919*Assumptions!I$5),-2)</f>
        <v>166500</v>
      </c>
      <c r="K919" s="33">
        <f>ROUNDUP(J919+(J919*Assumptions!J$5),-2)</f>
        <v>170700</v>
      </c>
      <c r="L919" s="33">
        <f>ROUNDUP(K919+(K919*Assumptions!K$5),-2)</f>
        <v>175000</v>
      </c>
      <c r="M919" s="33">
        <f>ROUNDUP(L919+(L919*Assumptions!L$5),-2)</f>
        <v>178500</v>
      </c>
      <c r="N919" s="33">
        <f>ROUNDUP(M919+(M919*Assumptions!M$5),-2)</f>
        <v>182100</v>
      </c>
      <c r="O919" s="33">
        <f>ROUNDUP(N919+(N919*Assumptions!N$5),-2)</f>
        <v>185800</v>
      </c>
      <c r="P919" s="33">
        <f>ROUNDUP(O919+(O919*Assumptions!O$5),-2)</f>
        <v>189600</v>
      </c>
      <c r="Q919" s="33">
        <f>ROUNDUP(P919+(P919*Assumptions!P$5),-2)</f>
        <v>193400</v>
      </c>
      <c r="R919" s="114">
        <f>ROUNDUP(Q919+(Q919*Assumptions!Q$5),-2)</f>
        <v>197300</v>
      </c>
    </row>
    <row r="920" spans="1:18" x14ac:dyDescent="0.2">
      <c r="A920" s="107">
        <v>31000</v>
      </c>
      <c r="B920" s="33">
        <f>85800-9400-B921</f>
        <v>47500</v>
      </c>
      <c r="C920" s="189">
        <f>104800-8300-29400</f>
        <v>67100</v>
      </c>
      <c r="D920" s="189">
        <v>44700</v>
      </c>
      <c r="E920" s="658" t="s">
        <v>45</v>
      </c>
      <c r="F920" s="443" t="s">
        <v>893</v>
      </c>
      <c r="G920" s="198">
        <v>60000</v>
      </c>
      <c r="H920" s="138">
        <f t="shared" si="1271"/>
        <v>34.228187919463089</v>
      </c>
      <c r="I920" s="33">
        <v>62000</v>
      </c>
      <c r="J920" s="33">
        <f>ROUNDUP(I920+(I920*Assumptions!I$5),-2)</f>
        <v>63600</v>
      </c>
      <c r="K920" s="33">
        <f>ROUNDUP(J920+(J920*Assumptions!J$5),-2)</f>
        <v>65200</v>
      </c>
      <c r="L920" s="33">
        <f>ROUNDUP(K920+(K920*Assumptions!K$5),-2)</f>
        <v>66900</v>
      </c>
      <c r="M920" s="33">
        <f>ROUNDUP(L920+(L920*Assumptions!L$5),-2)</f>
        <v>68300</v>
      </c>
      <c r="N920" s="33">
        <f>ROUNDUP(M920+(M920*Assumptions!M$5),-2)</f>
        <v>69700</v>
      </c>
      <c r="O920" s="33">
        <f>ROUNDUP(N920+(N920*Assumptions!N$5),-2)</f>
        <v>71100</v>
      </c>
      <c r="P920" s="33">
        <f>ROUNDUP(O920+(O920*Assumptions!O$5),-2)</f>
        <v>72600</v>
      </c>
      <c r="Q920" s="33">
        <f>ROUNDUP(P920+(P920*Assumptions!P$5),-2)</f>
        <v>74100</v>
      </c>
      <c r="R920" s="114">
        <f>ROUNDUP(Q920+(Q920*Assumptions!Q$5),-2)</f>
        <v>75600</v>
      </c>
    </row>
    <row r="921" spans="1:18" x14ac:dyDescent="0.2">
      <c r="A921" s="107">
        <v>30600</v>
      </c>
      <c r="B921" s="33">
        <v>28900</v>
      </c>
      <c r="C921" s="189">
        <v>29400</v>
      </c>
      <c r="D921" s="189">
        <v>26200</v>
      </c>
      <c r="E921" s="658" t="s">
        <v>2285</v>
      </c>
      <c r="F921" s="443" t="s">
        <v>2079</v>
      </c>
      <c r="G921" s="198">
        <v>34000</v>
      </c>
      <c r="H921" s="138">
        <f t="shared" si="1271"/>
        <v>29.770992366412212</v>
      </c>
      <c r="I921" s="33">
        <f>ROUNDUP(G921+(G921*Assumptions!H$5),-2)</f>
        <v>34600</v>
      </c>
      <c r="J921" s="33">
        <f>ROUNDUP(I921+(I921*Assumptions!I$5),-2)</f>
        <v>35500</v>
      </c>
      <c r="K921" s="33">
        <f>ROUNDUP(J921+(J921*Assumptions!J$5),-2)</f>
        <v>36400</v>
      </c>
      <c r="L921" s="33">
        <f>ROUNDUP(K921+(K921*Assumptions!K$5),-2)</f>
        <v>37400</v>
      </c>
      <c r="M921" s="33">
        <f>ROUNDUP(L921+(L921*Assumptions!L$5),-2)</f>
        <v>38200</v>
      </c>
      <c r="N921" s="33">
        <f>ROUNDUP(M921+(M921*Assumptions!M$5),-2)</f>
        <v>39000</v>
      </c>
      <c r="O921" s="33">
        <f>ROUNDUP(N921+(N921*Assumptions!N$5),-2)</f>
        <v>39800</v>
      </c>
      <c r="P921" s="33">
        <f>ROUNDUP(O921+(O921*Assumptions!O$5),-2)</f>
        <v>40600</v>
      </c>
      <c r="Q921" s="33">
        <f>ROUNDUP(P921+(P921*Assumptions!P$5),-2)</f>
        <v>41500</v>
      </c>
      <c r="R921" s="114">
        <f>ROUNDUP(Q921+(Q921*Assumptions!Q$5),-2)</f>
        <v>42400</v>
      </c>
    </row>
    <row r="922" spans="1:18" x14ac:dyDescent="0.2">
      <c r="A922" s="107">
        <v>23600</v>
      </c>
      <c r="B922" s="33">
        <v>45500</v>
      </c>
      <c r="C922" s="189">
        <v>36800</v>
      </c>
      <c r="D922" s="189">
        <v>36100</v>
      </c>
      <c r="E922" s="658" t="s">
        <v>46</v>
      </c>
      <c r="F922" s="814" t="s">
        <v>3961</v>
      </c>
      <c r="G922" s="198">
        <v>30000</v>
      </c>
      <c r="H922" s="138">
        <f t="shared" si="1271"/>
        <v>-16.897506925207757</v>
      </c>
      <c r="I922" s="33">
        <f>ROUNDUP(G922+(G922*Assumptions!H$5),-2)</f>
        <v>30500</v>
      </c>
      <c r="J922" s="33">
        <f>ROUNDUP(I922+(I922*Assumptions!I$5),-2)</f>
        <v>31300</v>
      </c>
      <c r="K922" s="33">
        <f>ROUNDUP(J922+(J922*Assumptions!J$5),-2)</f>
        <v>32100</v>
      </c>
      <c r="L922" s="33">
        <f>ROUNDUP(K922+(K922*Assumptions!K$5),-2)</f>
        <v>33000</v>
      </c>
      <c r="M922" s="33">
        <f>ROUNDUP(L922+(L922*Assumptions!L$5),-2)</f>
        <v>33700</v>
      </c>
      <c r="N922" s="33">
        <f>ROUNDUP(M922+(M922*Assumptions!M$5),-2)</f>
        <v>34400</v>
      </c>
      <c r="O922" s="33">
        <f>ROUNDUP(N922+(N922*Assumptions!N$5),-2)</f>
        <v>35100</v>
      </c>
      <c r="P922" s="33">
        <f>ROUNDUP(O922+(O922*Assumptions!O$5),-2)</f>
        <v>35900</v>
      </c>
      <c r="Q922" s="33">
        <f>ROUNDUP(P922+(P922*Assumptions!P$5),-2)</f>
        <v>36700</v>
      </c>
      <c r="R922" s="114">
        <f>ROUNDUP(Q922+(Q922*Assumptions!Q$5),-2)</f>
        <v>37500</v>
      </c>
    </row>
    <row r="923" spans="1:18" x14ac:dyDescent="0.2">
      <c r="A923" s="107">
        <v>8600</v>
      </c>
      <c r="B923" s="33">
        <v>11300</v>
      </c>
      <c r="C923" s="189">
        <v>15900</v>
      </c>
      <c r="D923" s="189">
        <v>22600</v>
      </c>
      <c r="E923" s="658" t="s">
        <v>1908</v>
      </c>
      <c r="F923" s="443" t="s">
        <v>2078</v>
      </c>
      <c r="G923" s="198">
        <v>16000</v>
      </c>
      <c r="H923" s="138">
        <f t="shared" si="1271"/>
        <v>-29.20353982300885</v>
      </c>
      <c r="I923" s="33">
        <f>ROUNDUP(G923+(G923*Assumptions!H$5),-2)</f>
        <v>16300</v>
      </c>
      <c r="J923" s="33">
        <f>ROUNDUP(I923+(I923*Assumptions!I$5),-2)</f>
        <v>16800</v>
      </c>
      <c r="K923" s="33">
        <f>ROUNDUP(J923+(J923*Assumptions!J$5),-2)</f>
        <v>17300</v>
      </c>
      <c r="L923" s="33">
        <f>ROUNDUP(K923+(K923*Assumptions!K$5),-2)</f>
        <v>17800</v>
      </c>
      <c r="M923" s="33">
        <f>ROUNDUP(L923+(L923*Assumptions!L$5),-2)</f>
        <v>18200</v>
      </c>
      <c r="N923" s="33">
        <f>ROUNDUP(M923+(M923*Assumptions!M$5),-2)</f>
        <v>18600</v>
      </c>
      <c r="O923" s="33">
        <f>ROUNDUP(N923+(N923*Assumptions!N$5),-2)</f>
        <v>19000</v>
      </c>
      <c r="P923" s="33">
        <f>ROUNDUP(O923+(O923*Assumptions!O$5),-2)</f>
        <v>19400</v>
      </c>
      <c r="Q923" s="33">
        <f>ROUNDUP(P923+(P923*Assumptions!P$5),-2)</f>
        <v>19800</v>
      </c>
      <c r="R923" s="114">
        <f>ROUNDUP(Q923+(Q923*Assumptions!Q$5),-2)</f>
        <v>20200</v>
      </c>
    </row>
    <row r="924" spans="1:18" x14ac:dyDescent="0.2">
      <c r="A924" s="107"/>
      <c r="B924" s="33"/>
      <c r="E924" s="1955"/>
      <c r="F924" s="1110" t="s">
        <v>3783</v>
      </c>
      <c r="G924" s="198"/>
      <c r="H924" s="138"/>
      <c r="I924" s="33"/>
      <c r="J924" s="33"/>
      <c r="K924" s="33"/>
      <c r="L924" s="33"/>
      <c r="M924" s="33"/>
      <c r="N924" s="33"/>
      <c r="O924" s="33"/>
      <c r="P924" s="33"/>
      <c r="Q924" s="33"/>
      <c r="R924" s="114"/>
    </row>
    <row r="925" spans="1:18" x14ac:dyDescent="0.2">
      <c r="A925" s="107">
        <v>7100</v>
      </c>
      <c r="B925" s="33">
        <v>0</v>
      </c>
      <c r="C925" s="189">
        <v>10400</v>
      </c>
      <c r="D925" s="189">
        <v>500</v>
      </c>
      <c r="E925" s="1092" t="s">
        <v>3246</v>
      </c>
      <c r="F925" s="814" t="s">
        <v>4604</v>
      </c>
      <c r="G925" s="198">
        <v>7000</v>
      </c>
      <c r="H925" s="138">
        <f>IF(D925=G925,0,IF(D925=0,100,(G925-D925)/D925*100))</f>
        <v>1300</v>
      </c>
      <c r="I925" s="33">
        <f>ROUNDUP(G925+(G925*Assumptions!H$5),-2)</f>
        <v>7200</v>
      </c>
      <c r="J925" s="33">
        <f>ROUNDUP(I925+(I925*Assumptions!I$5),-2)</f>
        <v>7400</v>
      </c>
      <c r="K925" s="33">
        <f>ROUNDUP(J925+(J925*Assumptions!J$5),-2)</f>
        <v>7600</v>
      </c>
      <c r="L925" s="33">
        <f>ROUNDUP(K925+(K925*Assumptions!K$5),-2)</f>
        <v>7800</v>
      </c>
      <c r="M925" s="33">
        <f>ROUNDUP(L925+(L925*Assumptions!L$5),-2)</f>
        <v>8000</v>
      </c>
      <c r="N925" s="33">
        <f>ROUNDUP(M925+(M925*Assumptions!M$5),-2)</f>
        <v>8200</v>
      </c>
      <c r="O925" s="33">
        <f>ROUNDUP(N925+(N925*Assumptions!N$5),-2)</f>
        <v>8400</v>
      </c>
      <c r="P925" s="33">
        <f>ROUNDUP(O925+(O925*Assumptions!O$5),-2)</f>
        <v>8600</v>
      </c>
      <c r="Q925" s="33">
        <f>ROUNDUP(P925+(P925*Assumptions!P$5),-2)</f>
        <v>8800</v>
      </c>
      <c r="R925" s="114">
        <f>ROUNDUP(Q925+(Q925*Assumptions!Q$5),-2)</f>
        <v>9000</v>
      </c>
    </row>
    <row r="926" spans="1:18" x14ac:dyDescent="0.2">
      <c r="A926" s="107">
        <v>21900</v>
      </c>
      <c r="B926" s="33">
        <v>34300</v>
      </c>
      <c r="C926" s="189">
        <v>31400</v>
      </c>
      <c r="D926" s="189">
        <v>41300</v>
      </c>
      <c r="E926" s="658" t="s">
        <v>1171</v>
      </c>
      <c r="F926" s="443" t="s">
        <v>1335</v>
      </c>
      <c r="G926" s="198">
        <v>30000</v>
      </c>
      <c r="H926" s="138">
        <f>IF(D926=G926,0,IF(D926=0,100,(G926-D926)/D926*100))</f>
        <v>-27.360774818401939</v>
      </c>
      <c r="I926" s="33">
        <f>ROUNDUP(G926+(G926*Assumptions!H$5),-2)</f>
        <v>30500</v>
      </c>
      <c r="J926" s="33">
        <f>ROUNDUP(I926+(I926*Assumptions!I$5),-2)</f>
        <v>31300</v>
      </c>
      <c r="K926" s="33">
        <f>ROUNDUP(J926+(J926*Assumptions!J$5),-2)</f>
        <v>32100</v>
      </c>
      <c r="L926" s="33">
        <f>ROUNDUP(K926+(K926*Assumptions!K$5),-2)</f>
        <v>33000</v>
      </c>
      <c r="M926" s="33">
        <f>ROUNDUP(L926+(L926*Assumptions!L$5),-2)</f>
        <v>33700</v>
      </c>
      <c r="N926" s="33">
        <f>ROUNDUP(M926+(M926*Assumptions!M$5),-2)</f>
        <v>34400</v>
      </c>
      <c r="O926" s="33">
        <f>ROUNDUP(N926+(N926*Assumptions!N$5),-2)</f>
        <v>35100</v>
      </c>
      <c r="P926" s="33">
        <f>ROUNDUP(O926+(O926*Assumptions!O$5),-2)</f>
        <v>35900</v>
      </c>
      <c r="Q926" s="33">
        <f>ROUNDUP(P926+(P926*Assumptions!P$5),-2)</f>
        <v>36700</v>
      </c>
      <c r="R926" s="114">
        <f>ROUNDUP(Q926+(Q926*Assumptions!Q$5),-2)</f>
        <v>37500</v>
      </c>
    </row>
    <row r="927" spans="1:18" x14ac:dyDescent="0.2">
      <c r="A927" s="107">
        <v>23500</v>
      </c>
      <c r="B927" s="33">
        <v>21200</v>
      </c>
      <c r="C927" s="189">
        <v>24300</v>
      </c>
      <c r="D927" s="189">
        <v>33200</v>
      </c>
      <c r="E927" s="658" t="s">
        <v>2888</v>
      </c>
      <c r="F927" s="443" t="s">
        <v>2366</v>
      </c>
      <c r="G927" s="198">
        <v>24000</v>
      </c>
      <c r="H927" s="138">
        <f>IF(D927=G927,0,IF(D927=0,100,(G927-D927)/D927*100))</f>
        <v>-27.710843373493976</v>
      </c>
      <c r="I927" s="33">
        <f>ROUNDUP(G927+(G927*Assumptions!H$5),-2)</f>
        <v>24400</v>
      </c>
      <c r="J927" s="33">
        <f>ROUNDUP(I927+(I927*Assumptions!I$5),-2)</f>
        <v>25100</v>
      </c>
      <c r="K927" s="33">
        <f>ROUNDUP(J927+(J927*Assumptions!J$5),-2)</f>
        <v>25800</v>
      </c>
      <c r="L927" s="33">
        <f>ROUNDUP(K927+(K927*Assumptions!K$5),-2)</f>
        <v>26500</v>
      </c>
      <c r="M927" s="33">
        <f>ROUNDUP(L927+(L927*Assumptions!L$5),-2)</f>
        <v>27100</v>
      </c>
      <c r="N927" s="33">
        <f>ROUNDUP(M927+(M927*Assumptions!M$5),-2)</f>
        <v>27700</v>
      </c>
      <c r="O927" s="33">
        <f>ROUNDUP(N927+(N927*Assumptions!N$5),-2)</f>
        <v>28300</v>
      </c>
      <c r="P927" s="33">
        <f>ROUNDUP(O927+(O927*Assumptions!O$5),-2)</f>
        <v>28900</v>
      </c>
      <c r="Q927" s="33">
        <f>ROUNDUP(P927+(P927*Assumptions!P$5),-2)</f>
        <v>29500</v>
      </c>
      <c r="R927" s="114">
        <f>ROUNDUP(Q927+(Q927*Assumptions!Q$5),-2)</f>
        <v>30100</v>
      </c>
    </row>
    <row r="928" spans="1:18" x14ac:dyDescent="0.2">
      <c r="A928" s="107">
        <v>8400</v>
      </c>
      <c r="B928" s="33">
        <v>4700</v>
      </c>
      <c r="C928" s="189">
        <v>6100</v>
      </c>
      <c r="D928" s="189">
        <v>6100</v>
      </c>
      <c r="E928" s="658" t="s">
        <v>2404</v>
      </c>
      <c r="F928" s="366" t="s">
        <v>484</v>
      </c>
      <c r="G928" s="198">
        <v>8000</v>
      </c>
      <c r="H928" s="138">
        <f>IF(D928=G928,0,IF(D928=0,100,(G928-D928)/D928*100))</f>
        <v>31.147540983606557</v>
      </c>
      <c r="I928" s="187">
        <v>10000</v>
      </c>
      <c r="J928" s="187">
        <f>ROUNDUP(I928+(I928*Assumptions!I$5),-2)</f>
        <v>10300</v>
      </c>
      <c r="K928" s="187">
        <f>ROUNDUP(J928+(J928*Assumptions!J$5),-2)</f>
        <v>10600</v>
      </c>
      <c r="L928" s="187">
        <f>ROUNDUP(K928+(K928*Assumptions!K$5),-2)</f>
        <v>10900</v>
      </c>
      <c r="M928" s="187">
        <f>ROUNDUP(L928+(L928*Assumptions!L$5),-2)</f>
        <v>11200</v>
      </c>
      <c r="N928" s="187">
        <f>ROUNDUP(M928+(M928*Assumptions!M$5),-2)</f>
        <v>11500</v>
      </c>
      <c r="O928" s="187">
        <f>ROUNDUP(N928+(N928*Assumptions!N$5),-2)</f>
        <v>11800</v>
      </c>
      <c r="P928" s="187">
        <f>ROUNDUP(O928+(O928*Assumptions!O$5),-2)</f>
        <v>12100</v>
      </c>
      <c r="Q928" s="187">
        <f>ROUNDUP(P928+(P928*Assumptions!P$5),-2)</f>
        <v>12400</v>
      </c>
      <c r="R928" s="188">
        <f>ROUNDUP(Q928+(Q928*Assumptions!Q$5),-2)</f>
        <v>12700</v>
      </c>
    </row>
    <row r="929" spans="1:18" x14ac:dyDescent="0.2">
      <c r="A929" s="107">
        <v>2600</v>
      </c>
      <c r="B929" s="33">
        <v>7900</v>
      </c>
      <c r="C929" s="189">
        <v>10500</v>
      </c>
      <c r="D929" s="189">
        <v>19900</v>
      </c>
      <c r="E929" s="658" t="s">
        <v>1206</v>
      </c>
      <c r="F929" s="366" t="s">
        <v>2017</v>
      </c>
      <c r="G929" s="198">
        <v>9000</v>
      </c>
      <c r="H929" s="138">
        <f>IF(D929=G929,0,IF(D929=0,100,(G929-D929)/D929*100))</f>
        <v>-54.773869346733676</v>
      </c>
      <c r="I929" s="187">
        <v>10000</v>
      </c>
      <c r="J929" s="187">
        <f>ROUNDUP(I929+(I929*Assumptions!I$5),-2)</f>
        <v>10300</v>
      </c>
      <c r="K929" s="187">
        <f>ROUNDUP(J929+(J929*Assumptions!J$5),-2)</f>
        <v>10600</v>
      </c>
      <c r="L929" s="187">
        <f>ROUNDUP(K929+(K929*Assumptions!K$5),-2)</f>
        <v>10900</v>
      </c>
      <c r="M929" s="187">
        <f>ROUNDUP(L929+(L929*Assumptions!L$5),-2)</f>
        <v>11200</v>
      </c>
      <c r="N929" s="187">
        <f>ROUNDUP(M929+(M929*Assumptions!M$5),-2)</f>
        <v>11500</v>
      </c>
      <c r="O929" s="187">
        <f>ROUNDUP(N929+(N929*Assumptions!N$5),-2)</f>
        <v>11800</v>
      </c>
      <c r="P929" s="187">
        <f>ROUNDUP(O929+(O929*Assumptions!O$5),-2)</f>
        <v>12100</v>
      </c>
      <c r="Q929" s="187">
        <f>ROUNDUP(P929+(P929*Assumptions!P$5),-2)</f>
        <v>12400</v>
      </c>
      <c r="R929" s="188">
        <f>ROUNDUP(Q929+(Q929*Assumptions!Q$5),-2)</f>
        <v>12700</v>
      </c>
    </row>
    <row r="930" spans="1:18" x14ac:dyDescent="0.2">
      <c r="A930" s="107"/>
      <c r="B930" s="33"/>
      <c r="E930" s="658"/>
      <c r="F930" s="116" t="s">
        <v>265</v>
      </c>
      <c r="G930" s="198"/>
      <c r="H930" s="138"/>
      <c r="I930" s="33"/>
      <c r="J930" s="33"/>
      <c r="K930" s="33"/>
      <c r="L930" s="33"/>
      <c r="M930" s="33"/>
      <c r="N930" s="33"/>
      <c r="O930" s="33"/>
      <c r="P930" s="33"/>
      <c r="Q930" s="33"/>
      <c r="R930" s="114"/>
    </row>
    <row r="931" spans="1:18" x14ac:dyDescent="0.2">
      <c r="A931" s="107">
        <v>49400</v>
      </c>
      <c r="B931" s="33">
        <v>42600</v>
      </c>
      <c r="C931" s="189">
        <v>46200</v>
      </c>
      <c r="D931" s="189">
        <v>48900</v>
      </c>
      <c r="E931" s="658" t="s">
        <v>2286</v>
      </c>
      <c r="F931" s="601" t="s">
        <v>495</v>
      </c>
      <c r="G931" s="198">
        <v>46000</v>
      </c>
      <c r="H931" s="138">
        <f>IF(D931=G931,0,IF(D931=0,100,(G931-D931)/D931*100))</f>
        <v>-5.9304703476482619</v>
      </c>
      <c r="I931" s="33">
        <f>ROUNDUP(G931+(G931*Assumptions!H$18),-2)</f>
        <v>47000</v>
      </c>
      <c r="J931" s="33">
        <f>ROUNDUP(I931+(I931*Assumptions!I$18),-2)</f>
        <v>48000</v>
      </c>
      <c r="K931" s="33">
        <f>ROUNDUP(J931+(J931*Assumptions!J$18),-2)</f>
        <v>49000</v>
      </c>
      <c r="L931" s="33">
        <f>ROUNDUP(K931+(K931*Assumptions!K$18),-2)</f>
        <v>50000</v>
      </c>
      <c r="M931" s="33">
        <f>ROUNDUP(L931+(L931*Assumptions!L$18),-2)</f>
        <v>51000</v>
      </c>
      <c r="N931" s="33">
        <f>ROUNDUP(M931+(M931*Assumptions!M$18),-2)</f>
        <v>52100</v>
      </c>
      <c r="O931" s="33">
        <f>ROUNDUP(N931+(N931*Assumptions!N$18),-2)</f>
        <v>53200</v>
      </c>
      <c r="P931" s="33">
        <f>ROUNDUP(O931+(O931*Assumptions!O$18),-2)</f>
        <v>54300</v>
      </c>
      <c r="Q931" s="33">
        <f>ROUNDUP(P931+(P931*Assumptions!P$18),-2)</f>
        <v>55400</v>
      </c>
      <c r="R931" s="114">
        <f>ROUNDUP(Q931+(Q931*Assumptions!Q$18),-2)</f>
        <v>56600</v>
      </c>
    </row>
    <row r="932" spans="1:18" x14ac:dyDescent="0.2">
      <c r="A932" s="107">
        <v>330000</v>
      </c>
      <c r="B932" s="33">
        <v>565600</v>
      </c>
      <c r="C932" s="189">
        <v>291500</v>
      </c>
      <c r="D932" s="189">
        <v>312500</v>
      </c>
      <c r="E932" s="658" t="s">
        <v>183</v>
      </c>
      <c r="F932" s="132" t="s">
        <v>3409</v>
      </c>
      <c r="G932" s="198">
        <v>290000</v>
      </c>
      <c r="H932" s="138">
        <f>IF(D932=G932,0,IF(D932=0,100,(G932-D932)/D932*100))</f>
        <v>-7.1999999999999993</v>
      </c>
      <c r="I932" s="33">
        <f>ROUNDUP(G932+(G932*Assumptions!H$18),-2)</f>
        <v>295800</v>
      </c>
      <c r="J932" s="33">
        <f>ROUNDUP(I932+(I932*Assumptions!I$18),-2)</f>
        <v>301800</v>
      </c>
      <c r="K932" s="33">
        <f>ROUNDUP(J932+(J932*Assumptions!J$18),-2)</f>
        <v>307900</v>
      </c>
      <c r="L932" s="33">
        <f>ROUNDUP(K932+(K932*Assumptions!K$18),-2)</f>
        <v>314100</v>
      </c>
      <c r="M932" s="33">
        <f>ROUNDUP(L932+(L932*Assumptions!L$18),-2)</f>
        <v>320400</v>
      </c>
      <c r="N932" s="33">
        <f>ROUNDUP(M932+(M932*Assumptions!M$18),-2)</f>
        <v>326900</v>
      </c>
      <c r="O932" s="33">
        <f>ROUNDUP(N932+(N932*Assumptions!N$18),-2)</f>
        <v>333500</v>
      </c>
      <c r="P932" s="33">
        <f>ROUNDUP(O932+(O932*Assumptions!O$18),-2)</f>
        <v>340200</v>
      </c>
      <c r="Q932" s="33">
        <f>ROUNDUP(P932+(P932*Assumptions!P$18),-2)</f>
        <v>347100</v>
      </c>
      <c r="R932" s="114">
        <f>ROUNDUP(Q932+(Q932*Assumptions!Q$18),-2)</f>
        <v>354100</v>
      </c>
    </row>
    <row r="933" spans="1:18" x14ac:dyDescent="0.2">
      <c r="A933" s="107">
        <v>648000</v>
      </c>
      <c r="B933" s="33">
        <v>424700</v>
      </c>
      <c r="C933" s="189">
        <v>569000</v>
      </c>
      <c r="D933" s="189">
        <v>606100</v>
      </c>
      <c r="E933" s="658" t="s">
        <v>1616</v>
      </c>
      <c r="F933" s="1111" t="s">
        <v>3410</v>
      </c>
      <c r="G933" s="198">
        <v>569000</v>
      </c>
      <c r="H933" s="138">
        <f>IF(D933=G933,0,IF(D933=0,100,(G933-D933)/D933*100))</f>
        <v>-6.1211021283616569</v>
      </c>
      <c r="I933" s="33">
        <f>ROUNDUP(G933+(G933*Assumptions!H$18),-2)</f>
        <v>580400</v>
      </c>
      <c r="J933" s="33">
        <f>ROUNDUP(I933+(I933*Assumptions!I$18),-2)</f>
        <v>592100</v>
      </c>
      <c r="K933" s="33">
        <f>ROUNDUP(J933+(J933*Assumptions!J$18),-2)</f>
        <v>604000</v>
      </c>
      <c r="L933" s="33">
        <f>ROUNDUP(K933+(K933*Assumptions!K$18),-2)</f>
        <v>616100</v>
      </c>
      <c r="M933" s="33">
        <f>ROUNDUP(L933+(L933*Assumptions!L$18),-2)</f>
        <v>628500</v>
      </c>
      <c r="N933" s="33">
        <f>ROUNDUP(M933+(M933*Assumptions!M$18),-2)</f>
        <v>641100</v>
      </c>
      <c r="O933" s="33">
        <f>ROUNDUP(N933+(N933*Assumptions!N$18),-2)</f>
        <v>654000</v>
      </c>
      <c r="P933" s="33">
        <f>ROUNDUP(O933+(O933*Assumptions!O$18),-2)</f>
        <v>667100</v>
      </c>
      <c r="Q933" s="33">
        <f>ROUNDUP(P933+(P933*Assumptions!P$18),-2)</f>
        <v>680500</v>
      </c>
      <c r="R933" s="114">
        <f>ROUNDUP(Q933+(Q933*Assumptions!Q$18),-2)</f>
        <v>694200</v>
      </c>
    </row>
    <row r="934" spans="1:18" ht="13.5" thickBot="1" x14ac:dyDescent="0.25">
      <c r="A934" s="107"/>
      <c r="B934" s="33"/>
      <c r="E934" s="673"/>
      <c r="F934" s="1111"/>
      <c r="G934" s="198"/>
      <c r="H934" s="138"/>
      <c r="I934" s="33"/>
      <c r="J934" s="33"/>
      <c r="K934" s="33"/>
      <c r="L934" s="33"/>
      <c r="M934" s="33"/>
      <c r="N934" s="33"/>
      <c r="O934" s="33"/>
      <c r="P934" s="33"/>
      <c r="Q934" s="33"/>
      <c r="R934" s="114"/>
    </row>
    <row r="935" spans="1:18" s="92" customFormat="1" x14ac:dyDescent="0.2">
      <c r="A935" s="105">
        <f>SUM(A886:A933)</f>
        <v>1805600</v>
      </c>
      <c r="B935" s="53">
        <f>SUM(B886:B933)</f>
        <v>1808600</v>
      </c>
      <c r="C935" s="155">
        <f>SUM(C886:C933)</f>
        <v>1724400</v>
      </c>
      <c r="D935" s="53">
        <f>SUM(D886:D933)</f>
        <v>1955100</v>
      </c>
      <c r="E935" s="237"/>
      <c r="F935" s="378" t="s">
        <v>565</v>
      </c>
      <c r="G935" s="460">
        <f t="shared" ref="G935:P935" si="1272">SUM(G886:G933)</f>
        <v>1870400</v>
      </c>
      <c r="H935" s="180">
        <f>IF(D935=G935,0,IF(D935=0,100,(G935-D935)/D935*100))</f>
        <v>-4.3322592194772644</v>
      </c>
      <c r="I935" s="53">
        <f t="shared" si="1272"/>
        <v>1886900</v>
      </c>
      <c r="J935" s="53">
        <f t="shared" si="1272"/>
        <v>1931600</v>
      </c>
      <c r="K935" s="53">
        <f t="shared" si="1272"/>
        <v>1977100</v>
      </c>
      <c r="L935" s="53">
        <f t="shared" si="1272"/>
        <v>2023600</v>
      </c>
      <c r="M935" s="53">
        <f t="shared" si="1272"/>
        <v>2066400</v>
      </c>
      <c r="N935" s="53">
        <f t="shared" si="1272"/>
        <v>2109800</v>
      </c>
      <c r="O935" s="53">
        <f t="shared" si="1272"/>
        <v>2154100</v>
      </c>
      <c r="P935" s="53">
        <f t="shared" si="1272"/>
        <v>2199200</v>
      </c>
      <c r="Q935" s="53">
        <f t="shared" ref="Q935" si="1273">SUM(Q886:Q933)</f>
        <v>2245100</v>
      </c>
      <c r="R935" s="113">
        <f t="shared" ref="R935" si="1274">SUM(R886:R933)</f>
        <v>2292100</v>
      </c>
    </row>
    <row r="936" spans="1:18" x14ac:dyDescent="0.2">
      <c r="A936" s="107"/>
      <c r="B936" s="33"/>
      <c r="E936" s="1955"/>
      <c r="F936" s="366"/>
      <c r="G936" s="198"/>
      <c r="H936" s="138"/>
      <c r="I936" s="33"/>
      <c r="J936" s="33"/>
      <c r="K936" s="33"/>
      <c r="L936" s="33"/>
      <c r="M936" s="33"/>
      <c r="N936" s="33"/>
      <c r="O936" s="33"/>
      <c r="P936" s="33"/>
      <c r="Q936" s="33"/>
      <c r="R936" s="114"/>
    </row>
    <row r="937" spans="1:18" s="92" customFormat="1" x14ac:dyDescent="0.2">
      <c r="A937" s="70">
        <f>-A935</f>
        <v>-1805600</v>
      </c>
      <c r="B937" s="64">
        <f>-B935</f>
        <v>-1808600</v>
      </c>
      <c r="C937" s="193">
        <f>-C935</f>
        <v>-1724400</v>
      </c>
      <c r="D937" s="193">
        <f>-D935</f>
        <v>-1955100</v>
      </c>
      <c r="E937" s="237"/>
      <c r="F937" s="516" t="s">
        <v>1019</v>
      </c>
      <c r="G937" s="197">
        <f>-G935</f>
        <v>-1870400</v>
      </c>
      <c r="H937" s="179">
        <f>IF(D937=G937,0,IF(D937=0,100,(G937-D937)/D937*100))</f>
        <v>-4.3322592194772644</v>
      </c>
      <c r="I937" s="64">
        <f t="shared" ref="I937:Q937" si="1275">-I935</f>
        <v>-1886900</v>
      </c>
      <c r="J937" s="64">
        <f t="shared" si="1275"/>
        <v>-1931600</v>
      </c>
      <c r="K937" s="64">
        <f t="shared" si="1275"/>
        <v>-1977100</v>
      </c>
      <c r="L937" s="64">
        <f t="shared" si="1275"/>
        <v>-2023600</v>
      </c>
      <c r="M937" s="64">
        <f t="shared" si="1275"/>
        <v>-2066400</v>
      </c>
      <c r="N937" s="64">
        <f t="shared" si="1275"/>
        <v>-2109800</v>
      </c>
      <c r="O937" s="64">
        <f t="shared" si="1275"/>
        <v>-2154100</v>
      </c>
      <c r="P937" s="64">
        <f t="shared" si="1275"/>
        <v>-2199200</v>
      </c>
      <c r="Q937" s="64">
        <f t="shared" si="1275"/>
        <v>-2245100</v>
      </c>
      <c r="R937" s="115">
        <f t="shared" ref="R937" si="1276">-R935</f>
        <v>-2292100</v>
      </c>
    </row>
    <row r="938" spans="1:18" x14ac:dyDescent="0.2">
      <c r="A938" s="592">
        <f>SUM(A930:A933)</f>
        <v>1027400</v>
      </c>
      <c r="B938" s="142">
        <f>SUM(B930:B933)</f>
        <v>1032900</v>
      </c>
      <c r="C938" s="189">
        <f>SUM(C930:C933)</f>
        <v>906700</v>
      </c>
      <c r="D938" s="189">
        <f>SUM(D930:D933)</f>
        <v>967500</v>
      </c>
      <c r="E938" s="1955"/>
      <c r="F938" s="604" t="s">
        <v>1976</v>
      </c>
      <c r="G938" s="198">
        <f t="shared" ref="G938:O938" si="1277">SUM(G930:G933)</f>
        <v>905000</v>
      </c>
      <c r="H938" s="138">
        <f>IF(D938=G938,0,IF(D938=0,100,(G938-D938)/D938*100))</f>
        <v>-6.459948320413436</v>
      </c>
      <c r="I938" s="33">
        <f t="shared" si="1277"/>
        <v>923200</v>
      </c>
      <c r="J938" s="33">
        <f t="shared" si="1277"/>
        <v>941900</v>
      </c>
      <c r="K938" s="33">
        <f t="shared" si="1277"/>
        <v>960900</v>
      </c>
      <c r="L938" s="33">
        <f t="shared" si="1277"/>
        <v>980200</v>
      </c>
      <c r="M938" s="33">
        <f t="shared" si="1277"/>
        <v>999900</v>
      </c>
      <c r="N938" s="33">
        <f t="shared" si="1277"/>
        <v>1020100</v>
      </c>
      <c r="O938" s="33">
        <f t="shared" si="1277"/>
        <v>1040700</v>
      </c>
      <c r="P938" s="33">
        <f t="shared" ref="P938:Q938" si="1278">SUM(P930:P933)</f>
        <v>1061600</v>
      </c>
      <c r="Q938" s="33">
        <f t="shared" si="1278"/>
        <v>1083000</v>
      </c>
      <c r="R938" s="114">
        <f t="shared" ref="R938" si="1279">SUM(R930:R933)</f>
        <v>1104900</v>
      </c>
    </row>
    <row r="939" spans="1:18" s="92" customFormat="1" x14ac:dyDescent="0.2">
      <c r="A939" s="181">
        <f>A937+A938</f>
        <v>-778200</v>
      </c>
      <c r="B939" s="397">
        <f>B937+B938</f>
        <v>-775700</v>
      </c>
      <c r="C939" s="397">
        <f>C937+C938</f>
        <v>-817700</v>
      </c>
      <c r="D939" s="397">
        <f>D937+D938</f>
        <v>-987600</v>
      </c>
      <c r="E939" s="523"/>
      <c r="F939" s="515" t="s">
        <v>1687</v>
      </c>
      <c r="G939" s="709">
        <f t="shared" ref="G939:O939" si="1280">G937+G938</f>
        <v>-965400</v>
      </c>
      <c r="H939" s="395">
        <f>IF(D939=G939,0,IF(D939=0,100,(G939-D939)/D939*100))</f>
        <v>-2.2478736330498177</v>
      </c>
      <c r="I939" s="397">
        <f t="shared" si="1280"/>
        <v>-963700</v>
      </c>
      <c r="J939" s="397">
        <f t="shared" si="1280"/>
        <v>-989700</v>
      </c>
      <c r="K939" s="397">
        <f t="shared" si="1280"/>
        <v>-1016200</v>
      </c>
      <c r="L939" s="397">
        <f t="shared" si="1280"/>
        <v>-1043400</v>
      </c>
      <c r="M939" s="397">
        <f t="shared" si="1280"/>
        <v>-1066500</v>
      </c>
      <c r="N939" s="397">
        <f t="shared" si="1280"/>
        <v>-1089700</v>
      </c>
      <c r="O939" s="397">
        <f t="shared" si="1280"/>
        <v>-1113400</v>
      </c>
      <c r="P939" s="397">
        <f t="shared" ref="P939:Q939" si="1281">P937+P938</f>
        <v>-1137600</v>
      </c>
      <c r="Q939" s="397">
        <f t="shared" si="1281"/>
        <v>-1162100</v>
      </c>
      <c r="R939" s="399">
        <f t="shared" ref="R939" si="1282">R937+R938</f>
        <v>-1187200</v>
      </c>
    </row>
    <row r="940" spans="1:18" ht="13.5" thickBot="1" x14ac:dyDescent="0.25">
      <c r="A940" s="73"/>
      <c r="B940" s="90"/>
      <c r="C940" s="200"/>
      <c r="D940" s="200"/>
      <c r="E940" s="1975"/>
      <c r="F940" s="368"/>
      <c r="G940" s="2502"/>
      <c r="H940" s="392"/>
      <c r="I940" s="121"/>
      <c r="J940" s="121"/>
      <c r="K940" s="121"/>
      <c r="L940" s="121"/>
      <c r="M940" s="121"/>
      <c r="N940" s="121"/>
      <c r="O940" s="121"/>
      <c r="P940" s="121"/>
      <c r="Q940" s="121"/>
      <c r="R940" s="161"/>
    </row>
    <row r="941" spans="1:18" ht="13.5" thickTop="1" x14ac:dyDescent="0.2">
      <c r="A941" s="70"/>
      <c r="B941" s="128"/>
      <c r="C941" s="193"/>
      <c r="D941" s="193"/>
      <c r="E941" s="238"/>
      <c r="F941" s="516" t="s">
        <v>196</v>
      </c>
      <c r="G941" s="197"/>
      <c r="H941" s="179"/>
      <c r="I941" s="33"/>
      <c r="J941" s="33"/>
      <c r="K941" s="33"/>
      <c r="L941" s="33"/>
      <c r="M941" s="33"/>
      <c r="N941" s="33"/>
      <c r="O941" s="33"/>
      <c r="P941" s="33"/>
      <c r="Q941" s="33"/>
      <c r="R941" s="114"/>
    </row>
    <row r="942" spans="1:18" x14ac:dyDescent="0.2">
      <c r="A942" s="107">
        <v>0</v>
      </c>
      <c r="B942" s="142">
        <v>0</v>
      </c>
      <c r="C942" s="189">
        <v>0</v>
      </c>
      <c r="D942" s="189">
        <v>0</v>
      </c>
      <c r="E942" s="238"/>
      <c r="F942" s="366" t="s">
        <v>2900</v>
      </c>
      <c r="G942" s="198">
        <v>0</v>
      </c>
      <c r="H942" s="138"/>
      <c r="I942" s="33">
        <v>0</v>
      </c>
      <c r="J942" s="33">
        <v>0</v>
      </c>
      <c r="K942" s="33">
        <v>0</v>
      </c>
      <c r="L942" s="33">
        <v>0</v>
      </c>
      <c r="M942" s="33">
        <v>0</v>
      </c>
      <c r="N942" s="33">
        <v>0</v>
      </c>
      <c r="O942" s="33">
        <v>0</v>
      </c>
      <c r="P942" s="33">
        <v>0</v>
      </c>
      <c r="Q942" s="33">
        <v>0</v>
      </c>
      <c r="R942" s="114">
        <v>0</v>
      </c>
    </row>
    <row r="943" spans="1:18" x14ac:dyDescent="0.2">
      <c r="A943" s="107">
        <v>1582700</v>
      </c>
      <c r="B943" s="142">
        <v>355000</v>
      </c>
      <c r="C943" s="189">
        <v>1498300</v>
      </c>
      <c r="D943" s="189">
        <f>SUM('Res-Gen'!B148:B152)+'Res-Gen'!B216+50000+30000+15000</f>
        <v>902000</v>
      </c>
      <c r="E943" s="238"/>
      <c r="F943" s="366" t="s">
        <v>1942</v>
      </c>
      <c r="G943" s="198">
        <f>SUM('Res-Gen'!E146:E152)</f>
        <v>0</v>
      </c>
      <c r="H943" s="138"/>
      <c r="I943" s="33">
        <f>SUM('Res-Gen'!H146:H152)</f>
        <v>0</v>
      </c>
      <c r="J943" s="33">
        <f>SUM('Res-Gen'!K146:K152)</f>
        <v>0</v>
      </c>
      <c r="K943" s="33">
        <f>SUM('Res-Gen'!N146:N152)</f>
        <v>0</v>
      </c>
      <c r="L943" s="33">
        <f>SUM('Res-Gen'!Q146:Q152)</f>
        <v>0</v>
      </c>
      <c r="M943" s="33">
        <f>SUM('Res-Gen'!T146:T152)</f>
        <v>0</v>
      </c>
      <c r="N943" s="33">
        <f>SUM('Res-Gen'!W146:W152)</f>
        <v>0</v>
      </c>
      <c r="O943" s="33">
        <f>SUM('Res-Gen'!Z146:Z152)</f>
        <v>0</v>
      </c>
      <c r="P943" s="33">
        <f>SUM('Res-Gen'!AC146:AC152)</f>
        <v>0</v>
      </c>
      <c r="Q943" s="33">
        <f>SUM('Res-Gen'!AF146:AF152)</f>
        <v>0</v>
      </c>
      <c r="R943" s="114">
        <f>SUM('Res-Gen'!AG146:AG152)</f>
        <v>0</v>
      </c>
    </row>
    <row r="944" spans="1:18" x14ac:dyDescent="0.2">
      <c r="A944" s="107">
        <f>72400</f>
        <v>72400</v>
      </c>
      <c r="B944" s="142">
        <v>330400</v>
      </c>
      <c r="C944" s="189">
        <v>1236000</v>
      </c>
      <c r="D944" s="189">
        <f>SUM('Res-Gen'!C148:C154)+'Res-Gen'!C66+'Res-Gen'!C67+119800+25000</f>
        <v>1685000</v>
      </c>
      <c r="E944" s="238"/>
      <c r="F944" s="366" t="s">
        <v>2348</v>
      </c>
      <c r="G944" s="198">
        <f>+SUM('Res-Gen'!F146:F154)++'Res-Gen'!F33+'Res-Gen'!F70+'Res-Gen'!F71+'Res-Gen'!F75</f>
        <v>1564500</v>
      </c>
      <c r="H944" s="138"/>
      <c r="I944" s="33">
        <f>+SUM('Res-Gen'!I146:I154)</f>
        <v>0</v>
      </c>
      <c r="J944" s="33">
        <f>+SUM('Res-Gen'!L146:L154)</f>
        <v>0</v>
      </c>
      <c r="K944" s="33">
        <f>SUM('Res-Gen'!O146:O154)</f>
        <v>0</v>
      </c>
      <c r="L944" s="33">
        <f>+SUM('Res-Gen'!R146:R154)</f>
        <v>1200000</v>
      </c>
      <c r="M944" s="33">
        <f>+SUM('Res-Gen'!U146:U154)</f>
        <v>2100000</v>
      </c>
      <c r="N944" s="33">
        <f>SUM('Res-Gen'!X146:X154)</f>
        <v>1500000</v>
      </c>
      <c r="O944" s="33">
        <f>SUM('Res-Gen'!AA146:AA154)</f>
        <v>1000000</v>
      </c>
      <c r="P944" s="33">
        <f>SUM('Res-Gen'!AD146:AD154)</f>
        <v>1700000</v>
      </c>
      <c r="Q944" s="33">
        <f>SUM('Res-Gen'!AG146:AG154)</f>
        <v>1700000</v>
      </c>
      <c r="R944" s="114">
        <f>SUM('Res-Gen'!AJ146:AJ154)</f>
        <v>1700000</v>
      </c>
    </row>
    <row r="945" spans="1:18" x14ac:dyDescent="0.2">
      <c r="A945" s="107">
        <v>90000</v>
      </c>
      <c r="B945" s="142">
        <v>684100</v>
      </c>
      <c r="C945" s="189">
        <v>555800</v>
      </c>
      <c r="D945" s="189">
        <v>447700</v>
      </c>
      <c r="E945" s="238"/>
      <c r="F945" s="366" t="s">
        <v>5984</v>
      </c>
      <c r="G945" s="198">
        <f>SUM('Cap Inc'!E25:E31)</f>
        <v>1024000</v>
      </c>
      <c r="H945" s="138"/>
      <c r="I945" s="33">
        <f>SUM('Cap Inc'!F25:F30)</f>
        <v>0</v>
      </c>
      <c r="J945" s="33">
        <f>SUM('Cap Inc'!G25:G30)</f>
        <v>0</v>
      </c>
      <c r="K945" s="33">
        <f>SUM('Cap Inc'!H25:H30)</f>
        <v>0</v>
      </c>
      <c r="L945" s="33">
        <f>SUM('Cap Inc'!I25:I30)</f>
        <v>0</v>
      </c>
      <c r="M945" s="33">
        <f>SUM('Cap Inc'!J25:J30)</f>
        <v>0</v>
      </c>
      <c r="N945" s="33">
        <f>SUM('Cap Inc'!K25:K30)</f>
        <v>0</v>
      </c>
      <c r="O945" s="33">
        <f>SUM('Cap Inc'!L25:L30)</f>
        <v>0</v>
      </c>
      <c r="P945" s="33">
        <f>SUM('Cap Inc'!M25:M30)</f>
        <v>0</v>
      </c>
      <c r="Q945" s="33">
        <f>SUM('Cap Inc'!N25:N30)</f>
        <v>0</v>
      </c>
      <c r="R945" s="114">
        <f>SUM('Cap Inc'!O25:O30)</f>
        <v>0</v>
      </c>
    </row>
    <row r="946" spans="1:18" x14ac:dyDescent="0.2">
      <c r="A946" s="107">
        <v>70869</v>
      </c>
      <c r="B946" s="142">
        <v>890500</v>
      </c>
      <c r="C946" s="189">
        <v>523100</v>
      </c>
      <c r="D946" s="189">
        <f>SUM('Cap-Gen'!E92:E109)+'Cap-Gen'!E11</f>
        <v>1480700</v>
      </c>
      <c r="E946" s="238"/>
      <c r="F946" s="366" t="s">
        <v>972</v>
      </c>
      <c r="G946" s="198">
        <f>SUM('Cap-Gen'!F92:F109)</f>
        <v>3002200</v>
      </c>
      <c r="H946" s="138"/>
      <c r="I946" s="33">
        <f>SUM('Cap-Gen'!G92:G109)</f>
        <v>308000</v>
      </c>
      <c r="J946" s="33">
        <f>SUM('Cap-Gen'!H92:H109)</f>
        <v>496000</v>
      </c>
      <c r="K946" s="33">
        <f>SUM('Cap-Gen'!I92:I109)</f>
        <v>640000</v>
      </c>
      <c r="L946" s="33">
        <f>SUM('Cap-Gen'!J92:J109)</f>
        <v>2106000</v>
      </c>
      <c r="M946" s="33">
        <f>SUM('Cap-Gen'!K92:K109)</f>
        <v>3022000</v>
      </c>
      <c r="N946" s="33">
        <f>SUM('Cap-Gen'!L92:L109)</f>
        <v>2439000</v>
      </c>
      <c r="O946" s="33">
        <f>SUM('Cap-Gen'!M92:M109)</f>
        <v>1957000</v>
      </c>
      <c r="P946" s="33">
        <f>SUM('Cap-Gen'!N92:N109)</f>
        <v>2675000</v>
      </c>
      <c r="Q946" s="33">
        <f>SUM('Cap-Gen'!O92:O109)</f>
        <v>2693000</v>
      </c>
      <c r="R946" s="114">
        <f>SUM('Cap-Gen'!P92:P109)</f>
        <v>2711000</v>
      </c>
    </row>
    <row r="947" spans="1:18" s="92" customFormat="1" x14ac:dyDescent="0.2">
      <c r="A947" s="181">
        <f>A939-A942-A943+A944+A945-A946</f>
        <v>-2269369</v>
      </c>
      <c r="B947" s="377">
        <f>B939-B942-B943+B944+B945-B946</f>
        <v>-1006700</v>
      </c>
      <c r="C947" s="398">
        <f>C939-C942-C943+C944+C945-C946</f>
        <v>-1047300</v>
      </c>
      <c r="D947" s="398">
        <f>D939-D942-D943+D944+D945-D946</f>
        <v>-1237600</v>
      </c>
      <c r="E947" s="526"/>
      <c r="F947" s="518" t="s">
        <v>2490</v>
      </c>
      <c r="G947" s="2605">
        <f t="shared" ref="G947:P947" si="1283">G939-G942-G943+G944+G945-G946</f>
        <v>-1379100</v>
      </c>
      <c r="H947" s="395">
        <f>IF(D947=G947,0,IF(D947=0,100,(G947-D947)/D947*100))</f>
        <v>11.433419521654816</v>
      </c>
      <c r="I947" s="397">
        <f t="shared" si="1283"/>
        <v>-1271700</v>
      </c>
      <c r="J947" s="397">
        <f t="shared" si="1283"/>
        <v>-1485700</v>
      </c>
      <c r="K947" s="397">
        <f t="shared" si="1283"/>
        <v>-1656200</v>
      </c>
      <c r="L947" s="397">
        <f t="shared" si="1283"/>
        <v>-1949400</v>
      </c>
      <c r="M947" s="397">
        <f t="shared" si="1283"/>
        <v>-1988500</v>
      </c>
      <c r="N947" s="397">
        <f t="shared" si="1283"/>
        <v>-2028700</v>
      </c>
      <c r="O947" s="397">
        <f t="shared" si="1283"/>
        <v>-2070400</v>
      </c>
      <c r="P947" s="397">
        <f t="shared" si="1283"/>
        <v>-2112600</v>
      </c>
      <c r="Q947" s="397">
        <f t="shared" ref="Q947" si="1284">Q939-Q942-Q943+Q944+Q945-Q946</f>
        <v>-2155100</v>
      </c>
      <c r="R947" s="399">
        <f t="shared" ref="R947" si="1285">R939-R942-R943+R944+R945-R946</f>
        <v>-2198200</v>
      </c>
    </row>
    <row r="948" spans="1:18" ht="13.5" thickBot="1" x14ac:dyDescent="0.25">
      <c r="A948" s="73"/>
      <c r="B948" s="134"/>
      <c r="C948" s="195"/>
      <c r="D948" s="195"/>
      <c r="E948" s="239"/>
      <c r="F948" s="368"/>
      <c r="G948" s="2502"/>
      <c r="H948" s="392"/>
      <c r="I948" s="66"/>
      <c r="J948" s="66"/>
      <c r="K948" s="66"/>
      <c r="L948" s="66"/>
      <c r="M948" s="66"/>
      <c r="N948" s="66"/>
      <c r="O948" s="66"/>
      <c r="P948" s="66"/>
      <c r="Q948" s="66"/>
      <c r="R948" s="165"/>
    </row>
    <row r="949" spans="1:18" s="99" customFormat="1" ht="14.25" thickTop="1" thickBot="1" x14ac:dyDescent="0.25">
      <c r="C949" s="198"/>
      <c r="D949" s="198"/>
      <c r="E949" s="537"/>
      <c r="G949" s="198"/>
      <c r="H949" s="123"/>
    </row>
    <row r="950" spans="1:18" s="91" customFormat="1" ht="18.75" customHeight="1" thickTop="1" thickBot="1" x14ac:dyDescent="0.3">
      <c r="A950" s="2865" t="s">
        <v>459</v>
      </c>
      <c r="B950" s="2866"/>
      <c r="C950" s="2866"/>
      <c r="D950" s="2866"/>
      <c r="E950" s="2866"/>
      <c r="F950" s="2866"/>
      <c r="G950" s="2866"/>
      <c r="H950" s="2866"/>
      <c r="I950" s="2866"/>
      <c r="J950" s="2866"/>
      <c r="K950" s="2866"/>
      <c r="L950" s="2866"/>
      <c r="M950" s="2866"/>
      <c r="N950" s="2866"/>
      <c r="O950" s="2866"/>
      <c r="P950" s="2866"/>
      <c r="Q950" s="2866"/>
      <c r="R950" s="2867"/>
    </row>
    <row r="951" spans="1:18" s="44" customFormat="1" x14ac:dyDescent="0.2">
      <c r="A951" s="2848" t="s">
        <v>1856</v>
      </c>
      <c r="B951" s="2840"/>
      <c r="C951" s="2840"/>
      <c r="D951" s="2849"/>
      <c r="E951" s="369" t="s">
        <v>2663</v>
      </c>
      <c r="F951" s="2649" t="s">
        <v>2251</v>
      </c>
      <c r="G951" s="2885" t="s">
        <v>2253</v>
      </c>
      <c r="H951" s="2886"/>
      <c r="I951" s="2886"/>
      <c r="J951" s="2886"/>
      <c r="K951" s="2886"/>
      <c r="L951" s="2886"/>
      <c r="M951" s="2886"/>
      <c r="N951" s="2886"/>
      <c r="O951" s="2886"/>
      <c r="P951" s="2886"/>
      <c r="Q951" s="2886"/>
      <c r="R951" s="2887"/>
    </row>
    <row r="952" spans="1:18" s="23" customFormat="1" ht="12.75" customHeight="1" thickBot="1" x14ac:dyDescent="0.25">
      <c r="A952" s="208" t="str">
        <f>A3</f>
        <v>2012/13</v>
      </c>
      <c r="B952" s="75" t="str">
        <f>B3</f>
        <v>2013/14</v>
      </c>
      <c r="C952" s="370" t="str">
        <f>C3</f>
        <v>2014/15</v>
      </c>
      <c r="D952" s="93" t="str">
        <f>D3</f>
        <v>2015/16</v>
      </c>
      <c r="E952" s="370" t="s">
        <v>2664</v>
      </c>
      <c r="F952" s="42"/>
      <c r="G952" s="93" t="str">
        <f>G3</f>
        <v>2016/17</v>
      </c>
      <c r="H952" s="2193" t="str">
        <f>H752</f>
        <v>%</v>
      </c>
      <c r="I952" s="370" t="str">
        <f t="shared" ref="I952:Q952" si="1286">I3</f>
        <v>2017/18</v>
      </c>
      <c r="J952" s="370" t="str">
        <f t="shared" si="1286"/>
        <v>2018/19</v>
      </c>
      <c r="K952" s="370" t="str">
        <f t="shared" si="1286"/>
        <v>2019/20</v>
      </c>
      <c r="L952" s="370" t="str">
        <f t="shared" si="1286"/>
        <v>2020/21</v>
      </c>
      <c r="M952" s="370" t="str">
        <f t="shared" si="1286"/>
        <v>2021/22</v>
      </c>
      <c r="N952" s="370" t="str">
        <f t="shared" si="1286"/>
        <v>2022/23</v>
      </c>
      <c r="O952" s="370" t="str">
        <f t="shared" si="1286"/>
        <v>2023/24</v>
      </c>
      <c r="P952" s="370" t="str">
        <f t="shared" si="1286"/>
        <v>2024/25</v>
      </c>
      <c r="Q952" s="218" t="str">
        <f t="shared" si="1286"/>
        <v>2025/26</v>
      </c>
      <c r="R952" s="549" t="str">
        <f t="shared" ref="R952" si="1287">R3</f>
        <v>2026/27</v>
      </c>
    </row>
    <row r="953" spans="1:18" x14ac:dyDescent="0.2">
      <c r="A953" s="98"/>
      <c r="B953" s="33"/>
      <c r="C953" s="187"/>
      <c r="D953" s="187"/>
      <c r="E953" s="1954"/>
      <c r="F953" s="76"/>
      <c r="G953" s="187"/>
      <c r="H953" s="138"/>
      <c r="I953" s="33"/>
      <c r="J953" s="33"/>
      <c r="K953" s="33"/>
      <c r="L953" s="33"/>
      <c r="M953" s="33"/>
      <c r="N953" s="33"/>
      <c r="O953" s="33"/>
      <c r="P953" s="33"/>
      <c r="Q953" s="33"/>
      <c r="R953" s="114"/>
    </row>
    <row r="954" spans="1:18" x14ac:dyDescent="0.2">
      <c r="A954" s="98"/>
      <c r="B954" s="33"/>
      <c r="C954" s="187"/>
      <c r="D954" s="187"/>
      <c r="E954" s="1954"/>
      <c r="F954" s="103" t="s">
        <v>1073</v>
      </c>
      <c r="G954" s="187"/>
      <c r="H954" s="138"/>
      <c r="I954" s="33"/>
      <c r="J954" s="33"/>
      <c r="K954" s="33"/>
      <c r="L954" s="33"/>
      <c r="M954" s="33"/>
      <c r="N954" s="33"/>
      <c r="O954" s="33"/>
      <c r="P954" s="33"/>
      <c r="Q954" s="33"/>
      <c r="R954" s="114"/>
    </row>
    <row r="955" spans="1:18" x14ac:dyDescent="0.2">
      <c r="A955" s="98"/>
      <c r="B955" s="33"/>
      <c r="C955" s="187"/>
      <c r="E955" s="1954"/>
      <c r="F955" s="79" t="s">
        <v>60</v>
      </c>
      <c r="G955" s="187"/>
      <c r="H955" s="138"/>
      <c r="I955" s="33"/>
      <c r="J955" s="33"/>
      <c r="K955" s="33"/>
      <c r="L955" s="33"/>
      <c r="M955" s="33"/>
      <c r="N955" s="33"/>
      <c r="O955" s="33"/>
      <c r="P955" s="33"/>
      <c r="Q955" s="33"/>
      <c r="R955" s="114"/>
    </row>
    <row r="956" spans="1:18" x14ac:dyDescent="0.2">
      <c r="A956" s="107">
        <v>279500</v>
      </c>
      <c r="B956" s="33">
        <v>282100</v>
      </c>
      <c r="C956" s="187">
        <v>284000</v>
      </c>
      <c r="D956" s="189">
        <v>369500</v>
      </c>
      <c r="E956" s="658" t="s">
        <v>2548</v>
      </c>
      <c r="F956" s="76" t="s">
        <v>1332</v>
      </c>
      <c r="G956" s="187">
        <f>370000+3000+2000</f>
        <v>375000</v>
      </c>
      <c r="H956" s="138">
        <f>IF(D956=G956,0,IF(D956=0,100,(G956-D956)/D956*100))</f>
        <v>1.4884979702300407</v>
      </c>
      <c r="I956" s="33">
        <f>ROUNDUP(G956+(G956*Assumptions!H$8),-2)</f>
        <v>376900</v>
      </c>
      <c r="J956" s="33">
        <f>ROUNDUP(I956+(I956*Assumptions!I$8),-2)</f>
        <v>378800</v>
      </c>
      <c r="K956" s="33">
        <f>ROUNDUP(J956+(J956*Assumptions!J$8),-2)</f>
        <v>380700</v>
      </c>
      <c r="L956" s="33">
        <f>ROUNDUP(K956+(K956*Assumptions!K$8),-2)</f>
        <v>382700</v>
      </c>
      <c r="M956" s="33">
        <f>ROUNDUP(L956+(L956*Assumptions!L$8),-2)</f>
        <v>384700</v>
      </c>
      <c r="N956" s="33">
        <f>ROUNDUP(M956+(M956*Assumptions!M$8),-2)</f>
        <v>386700</v>
      </c>
      <c r="O956" s="33">
        <f>ROUNDUP(N956+(N956*Assumptions!N$8),-2)</f>
        <v>388700</v>
      </c>
      <c r="P956" s="33">
        <f>ROUNDUP(O956+(O956*Assumptions!O$8),-2)</f>
        <v>390700</v>
      </c>
      <c r="Q956" s="33">
        <f>ROUNDUP(P956+(P956*Assumptions!P$8),-2)</f>
        <v>392700</v>
      </c>
      <c r="R956" s="114">
        <f>ROUNDUP(Q956+(Q956*Assumptions!Q$8),-2)</f>
        <v>394700</v>
      </c>
    </row>
    <row r="957" spans="1:18" x14ac:dyDescent="0.2">
      <c r="A957" s="107"/>
      <c r="B957" s="33"/>
      <c r="C957" s="187"/>
      <c r="E957" s="658"/>
      <c r="F957" s="2033" t="s">
        <v>836</v>
      </c>
      <c r="G957" s="187"/>
      <c r="H957" s="138"/>
      <c r="I957" s="33"/>
      <c r="J957" s="33"/>
      <c r="K957" s="33"/>
      <c r="L957" s="33"/>
      <c r="M957" s="33"/>
      <c r="N957" s="33"/>
      <c r="O957" s="33"/>
      <c r="P957" s="33"/>
      <c r="Q957" s="33"/>
      <c r="R957" s="114"/>
    </row>
    <row r="958" spans="1:18" x14ac:dyDescent="0.2">
      <c r="A958" s="107">
        <v>8000</v>
      </c>
      <c r="B958" s="33">
        <v>21500</v>
      </c>
      <c r="C958" s="187">
        <v>7700</v>
      </c>
      <c r="D958" s="189">
        <v>0</v>
      </c>
      <c r="E958" s="658" t="s">
        <v>2549</v>
      </c>
      <c r="F958" s="813" t="s">
        <v>5358</v>
      </c>
      <c r="G958" s="187">
        <f>23000+20000</f>
        <v>43000</v>
      </c>
      <c r="H958" s="138">
        <f>IF(D958=G958,0,IF(D958=0,100,(G958-D958)/D958*100))</f>
        <v>100</v>
      </c>
      <c r="I958" s="33">
        <v>0</v>
      </c>
      <c r="J958" s="33">
        <f>ROUNDUP(I958+(I958*Assumptions!I$5),-2)</f>
        <v>0</v>
      </c>
      <c r="K958" s="33">
        <f>ROUNDUP(J958+(J958*Assumptions!J$5),-2)</f>
        <v>0</v>
      </c>
      <c r="L958" s="33">
        <f>ROUNDUP(K958+(K958*Assumptions!K$5),-2)</f>
        <v>0</v>
      </c>
      <c r="M958" s="33">
        <f>ROUNDUP(L958+(L958*Assumptions!L$5),-2)</f>
        <v>0</v>
      </c>
      <c r="N958" s="33">
        <f>ROUNDUP(M958+(M958*Assumptions!M$5),-2)</f>
        <v>0</v>
      </c>
      <c r="O958" s="33">
        <f>ROUNDUP(N958+(N958*Assumptions!N$5),-2)</f>
        <v>0</v>
      </c>
      <c r="P958" s="33">
        <f>ROUNDUP(O958+(O958*Assumptions!O$5),-2)</f>
        <v>0</v>
      </c>
      <c r="Q958" s="33">
        <f>ROUNDUP(P958+(P958*Assumptions!P$5),-2)</f>
        <v>0</v>
      </c>
      <c r="R958" s="114">
        <f>ROUNDUP(Q958+(Q958*Assumptions!Q$5),-2)</f>
        <v>0</v>
      </c>
    </row>
    <row r="959" spans="1:18" x14ac:dyDescent="0.2">
      <c r="A959" s="107"/>
      <c r="B959" s="33"/>
      <c r="E959" s="658"/>
      <c r="F959" s="349" t="s">
        <v>1263</v>
      </c>
      <c r="G959" s="187"/>
      <c r="H959" s="138"/>
      <c r="I959" s="33"/>
      <c r="J959" s="33"/>
      <c r="K959" s="33"/>
      <c r="L959" s="33"/>
      <c r="M959" s="33"/>
      <c r="N959" s="33"/>
      <c r="O959" s="33"/>
      <c r="P959" s="33"/>
      <c r="Q959" s="33"/>
      <c r="R959" s="114"/>
    </row>
    <row r="960" spans="1:18" x14ac:dyDescent="0.2">
      <c r="A960" s="107">
        <v>20900</v>
      </c>
      <c r="B960" s="33">
        <f>19100+2800</f>
        <v>21900</v>
      </c>
      <c r="C960" s="189">
        <v>0</v>
      </c>
      <c r="D960" s="189">
        <v>5100</v>
      </c>
      <c r="E960" s="658" t="s">
        <v>180</v>
      </c>
      <c r="F960" s="271" t="s">
        <v>2626</v>
      </c>
      <c r="G960" s="187">
        <v>0</v>
      </c>
      <c r="H960" s="138">
        <f>IF(D960=G960,0,IF(D960=0,100,(G960-D960)/D960*100))</f>
        <v>-100</v>
      </c>
      <c r="I960" s="33">
        <v>0</v>
      </c>
      <c r="J960" s="33">
        <v>0</v>
      </c>
      <c r="K960" s="33">
        <v>0</v>
      </c>
      <c r="L960" s="33">
        <v>0</v>
      </c>
      <c r="M960" s="33">
        <v>0</v>
      </c>
      <c r="N960" s="33">
        <v>0</v>
      </c>
      <c r="O960" s="33">
        <v>0</v>
      </c>
      <c r="P960" s="33">
        <v>0</v>
      </c>
      <c r="Q960" s="33">
        <v>0</v>
      </c>
      <c r="R960" s="114">
        <v>0</v>
      </c>
    </row>
    <row r="961" spans="1:18" x14ac:dyDescent="0.2">
      <c r="A961" s="107">
        <v>0</v>
      </c>
      <c r="B961" s="33">
        <v>0</v>
      </c>
      <c r="C961" s="189">
        <v>0</v>
      </c>
      <c r="D961" s="189">
        <v>0</v>
      </c>
      <c r="E961" s="1304" t="s">
        <v>7092</v>
      </c>
      <c r="F961" s="813" t="s">
        <v>5360</v>
      </c>
      <c r="G961" s="187">
        <v>41600</v>
      </c>
      <c r="H961" s="138">
        <f>IF(D961=G961,0,IF(D961=0,100,(G961-D961)/D961*100))</f>
        <v>100</v>
      </c>
      <c r="I961" s="33">
        <v>0</v>
      </c>
      <c r="J961" s="33">
        <v>0</v>
      </c>
      <c r="K961" s="33">
        <v>0</v>
      </c>
      <c r="L961" s="33">
        <v>0</v>
      </c>
      <c r="M961" s="33">
        <v>0</v>
      </c>
      <c r="N961" s="33">
        <v>0</v>
      </c>
      <c r="O961" s="33">
        <v>0</v>
      </c>
      <c r="P961" s="33">
        <v>0</v>
      </c>
      <c r="Q961" s="33">
        <v>0</v>
      </c>
      <c r="R961" s="114">
        <v>0</v>
      </c>
    </row>
    <row r="962" spans="1:18" x14ac:dyDescent="0.2">
      <c r="A962" s="107">
        <v>20900</v>
      </c>
      <c r="B962" s="33">
        <f>19100+2800</f>
        <v>21900</v>
      </c>
      <c r="C962" s="189">
        <v>0</v>
      </c>
      <c r="D962" s="189">
        <v>0</v>
      </c>
      <c r="E962" s="1304" t="s">
        <v>6861</v>
      </c>
      <c r="F962" s="813" t="s">
        <v>6862</v>
      </c>
      <c r="G962" s="187">
        <v>95000</v>
      </c>
      <c r="H962" s="138">
        <f>IF(D962=G962,0,IF(D962=0,100,(G962-D962)/D962*100))</f>
        <v>100</v>
      </c>
      <c r="I962" s="33">
        <v>0</v>
      </c>
      <c r="J962" s="33">
        <v>0</v>
      </c>
      <c r="K962" s="33">
        <v>0</v>
      </c>
      <c r="L962" s="33">
        <v>0</v>
      </c>
      <c r="M962" s="33">
        <v>0</v>
      </c>
      <c r="N962" s="33">
        <v>0</v>
      </c>
      <c r="O962" s="33">
        <v>0</v>
      </c>
      <c r="P962" s="33">
        <v>0</v>
      </c>
      <c r="Q962" s="33">
        <v>0</v>
      </c>
      <c r="R962" s="114">
        <v>0</v>
      </c>
    </row>
    <row r="963" spans="1:18" x14ac:dyDescent="0.2">
      <c r="A963" s="107">
        <v>0</v>
      </c>
      <c r="B963" s="33">
        <v>0</v>
      </c>
      <c r="C963" s="189">
        <v>0</v>
      </c>
      <c r="D963" s="189">
        <v>0</v>
      </c>
      <c r="E963" s="1304" t="s">
        <v>7093</v>
      </c>
      <c r="F963" s="813" t="s">
        <v>7094</v>
      </c>
      <c r="G963" s="187">
        <v>24400</v>
      </c>
      <c r="H963" s="138">
        <f>IF(D963=G963,0,IF(D963=0,100,(G963-D963)/D963*100))</f>
        <v>100</v>
      </c>
      <c r="I963" s="33">
        <v>0</v>
      </c>
      <c r="J963" s="33">
        <v>0</v>
      </c>
      <c r="K963" s="33">
        <v>0</v>
      </c>
      <c r="L963" s="33">
        <v>0</v>
      </c>
      <c r="M963" s="33">
        <v>0</v>
      </c>
      <c r="N963" s="33">
        <v>0</v>
      </c>
      <c r="O963" s="33">
        <v>0</v>
      </c>
      <c r="P963" s="33">
        <v>0</v>
      </c>
      <c r="Q963" s="33">
        <v>0</v>
      </c>
      <c r="R963" s="114">
        <v>0</v>
      </c>
    </row>
    <row r="964" spans="1:18" ht="13.5" thickBot="1" x14ac:dyDescent="0.25">
      <c r="A964" s="107"/>
      <c r="B964" s="99"/>
      <c r="C964" s="187"/>
      <c r="E964" s="357"/>
      <c r="F964" s="76"/>
      <c r="G964" s="187"/>
      <c r="H964" s="138"/>
      <c r="I964" s="33"/>
      <c r="J964" s="33"/>
      <c r="K964" s="33"/>
      <c r="L964" s="33"/>
      <c r="M964" s="33"/>
      <c r="N964" s="33"/>
      <c r="O964" s="33"/>
      <c r="P964" s="33"/>
      <c r="Q964" s="33"/>
      <c r="R964" s="114"/>
    </row>
    <row r="965" spans="1:18" s="92" customFormat="1" x14ac:dyDescent="0.2">
      <c r="A965" s="105">
        <f>SUM(A954:A964)</f>
        <v>329300</v>
      </c>
      <c r="B965" s="53">
        <f>SUM(B954:B964)</f>
        <v>347400</v>
      </c>
      <c r="C965" s="199">
        <f>SUM(C954:C964)</f>
        <v>291700</v>
      </c>
      <c r="D965" s="190">
        <f>SUM(D954:D964)</f>
        <v>374600</v>
      </c>
      <c r="E965" s="236"/>
      <c r="F965" s="1960" t="s">
        <v>2605</v>
      </c>
      <c r="G965" s="199">
        <f>SUM(G954:G964)</f>
        <v>579000</v>
      </c>
      <c r="H965" s="180">
        <f>IF(D965=G965,0,IF(D965=0,100,(G965-D965)/D965*100))</f>
        <v>54.564869193806729</v>
      </c>
      <c r="I965" s="53">
        <f t="shared" ref="I965:Q965" si="1288">SUM(I954:I964)</f>
        <v>376900</v>
      </c>
      <c r="J965" s="53">
        <f t="shared" si="1288"/>
        <v>378800</v>
      </c>
      <c r="K965" s="53">
        <f t="shared" si="1288"/>
        <v>380700</v>
      </c>
      <c r="L965" s="53">
        <f t="shared" si="1288"/>
        <v>382700</v>
      </c>
      <c r="M965" s="53">
        <f t="shared" si="1288"/>
        <v>384700</v>
      </c>
      <c r="N965" s="53">
        <f t="shared" si="1288"/>
        <v>386700</v>
      </c>
      <c r="O965" s="53">
        <f t="shared" si="1288"/>
        <v>388700</v>
      </c>
      <c r="P965" s="53">
        <f t="shared" si="1288"/>
        <v>390700</v>
      </c>
      <c r="Q965" s="53">
        <f t="shared" si="1288"/>
        <v>392700</v>
      </c>
      <c r="R965" s="113">
        <f t="shared" ref="R965" si="1289">SUM(R954:R964)</f>
        <v>394700</v>
      </c>
    </row>
    <row r="966" spans="1:18" x14ac:dyDescent="0.2">
      <c r="A966" s="98"/>
      <c r="B966" s="33"/>
      <c r="C966" s="187"/>
      <c r="E966" s="1954"/>
      <c r="F966" s="79"/>
      <c r="G966" s="187"/>
      <c r="H966" s="138"/>
      <c r="I966" s="33"/>
      <c r="J966" s="33"/>
      <c r="K966" s="33"/>
      <c r="L966" s="33"/>
      <c r="M966" s="33"/>
      <c r="N966" s="33"/>
      <c r="O966" s="33"/>
      <c r="P966" s="33"/>
      <c r="Q966" s="33"/>
      <c r="R966" s="114"/>
    </row>
    <row r="967" spans="1:18" x14ac:dyDescent="0.2">
      <c r="A967" s="98"/>
      <c r="B967" s="33"/>
      <c r="C967" s="187"/>
      <c r="E967" s="1954"/>
      <c r="F967" s="103" t="s">
        <v>2205</v>
      </c>
      <c r="G967" s="187"/>
      <c r="H967" s="138"/>
      <c r="I967" s="33"/>
      <c r="J967" s="33"/>
      <c r="K967" s="33"/>
      <c r="L967" s="33"/>
      <c r="M967" s="33"/>
      <c r="N967" s="33"/>
      <c r="O967" s="33"/>
      <c r="P967" s="33"/>
      <c r="Q967" s="33"/>
      <c r="R967" s="114"/>
    </row>
    <row r="968" spans="1:18" x14ac:dyDescent="0.2">
      <c r="A968" s="107"/>
      <c r="B968" s="33"/>
      <c r="E968" s="238"/>
      <c r="F968" s="1960" t="s">
        <v>410</v>
      </c>
      <c r="G968" s="187"/>
      <c r="H968" s="138"/>
      <c r="I968" s="33"/>
      <c r="J968" s="33"/>
      <c r="K968" s="33"/>
      <c r="L968" s="33"/>
      <c r="M968" s="33"/>
      <c r="N968" s="33"/>
      <c r="O968" s="33"/>
      <c r="P968" s="33"/>
      <c r="Q968" s="33"/>
      <c r="R968" s="114"/>
    </row>
    <row r="969" spans="1:18" x14ac:dyDescent="0.2">
      <c r="A969" s="107">
        <v>1400</v>
      </c>
      <c r="B969" s="33">
        <v>1500</v>
      </c>
      <c r="C969" s="189">
        <v>1400</v>
      </c>
      <c r="D969" s="189">
        <v>1500</v>
      </c>
      <c r="E969" s="1092" t="s">
        <v>3260</v>
      </c>
      <c r="F969" s="1952" t="s">
        <v>136</v>
      </c>
      <c r="G969" s="187">
        <v>1500</v>
      </c>
      <c r="H969" s="138">
        <f t="shared" ref="H969:H976" si="1290">IF(D969=G969,0,IF(D969=0,100,(G969-D969)/D969*100))</f>
        <v>0</v>
      </c>
      <c r="I969" s="33">
        <f>ROUNDUP(G969+(G969*Assumptions!H$5),-2)</f>
        <v>1600</v>
      </c>
      <c r="J969" s="33">
        <f>ROUNDUP(I969+(I969*Assumptions!I$5),-2)</f>
        <v>1700</v>
      </c>
      <c r="K969" s="33">
        <f>ROUNDUP(J969+(J969*Assumptions!J$5),-2)</f>
        <v>1800</v>
      </c>
      <c r="L969" s="33">
        <f>ROUNDUP(K969+(K969*Assumptions!K$5),-2)</f>
        <v>1900</v>
      </c>
      <c r="M969" s="33">
        <f>ROUNDUP(L969+(L969*Assumptions!L$5),-2)</f>
        <v>2000</v>
      </c>
      <c r="N969" s="33">
        <f>ROUNDUP(M969+(M969*Assumptions!M$5),-2)</f>
        <v>2100</v>
      </c>
      <c r="O969" s="33">
        <f>ROUNDUP(N969+(N969*Assumptions!N$5),-2)</f>
        <v>2200</v>
      </c>
      <c r="P969" s="33">
        <f>ROUNDUP(O969+(O969*Assumptions!O$5),-2)</f>
        <v>2300</v>
      </c>
      <c r="Q969" s="33">
        <f>ROUNDUP(P969+(P969*Assumptions!P$5),-2)</f>
        <v>2400</v>
      </c>
      <c r="R969" s="114">
        <f>ROUNDUP(Q969+(Q969*Assumptions!Q$5),-2)</f>
        <v>2500</v>
      </c>
    </row>
    <row r="970" spans="1:18" x14ac:dyDescent="0.2">
      <c r="A970" s="107">
        <v>105400</v>
      </c>
      <c r="B970" s="33">
        <v>46400</v>
      </c>
      <c r="C970" s="189">
        <v>78300</v>
      </c>
      <c r="D970" s="189">
        <v>82300</v>
      </c>
      <c r="E970" s="658" t="s">
        <v>2073</v>
      </c>
      <c r="F970" s="271" t="s">
        <v>1090</v>
      </c>
      <c r="G970" s="187">
        <f>110000+3000</f>
        <v>113000</v>
      </c>
      <c r="H970" s="138">
        <f t="shared" si="1290"/>
        <v>37.302551640340219</v>
      </c>
      <c r="I970" s="33">
        <f>ROUNDUP(G970+(G970*Assumptions!H$5),-2)</f>
        <v>114700</v>
      </c>
      <c r="J970" s="33">
        <f>ROUNDUP(I970+(I970*Assumptions!I$5),-2)</f>
        <v>117600</v>
      </c>
      <c r="K970" s="33">
        <f>ROUNDUP(J970+(J970*Assumptions!J$5),-2)</f>
        <v>120600</v>
      </c>
      <c r="L970" s="33">
        <f>ROUNDUP(K970+(K970*Assumptions!K$5),-2)</f>
        <v>123700</v>
      </c>
      <c r="M970" s="33">
        <f>ROUNDUP(L970+(L970*Assumptions!L$5),-2)</f>
        <v>126200</v>
      </c>
      <c r="N970" s="33">
        <f>ROUNDUP(M970+(M970*Assumptions!M$5),-2)</f>
        <v>128800</v>
      </c>
      <c r="O970" s="33">
        <f>ROUNDUP(N970+(N970*Assumptions!N$5),-2)</f>
        <v>131400</v>
      </c>
      <c r="P970" s="33">
        <f>ROUNDUP(O970+(O970*Assumptions!O$5),-2)</f>
        <v>134100</v>
      </c>
      <c r="Q970" s="33">
        <f>ROUNDUP(P970+(P970*Assumptions!P$5),-2)</f>
        <v>136800</v>
      </c>
      <c r="R970" s="114">
        <f>ROUNDUP(Q970+(Q970*Assumptions!Q$5),-2)</f>
        <v>139600</v>
      </c>
    </row>
    <row r="971" spans="1:18" x14ac:dyDescent="0.2">
      <c r="A971" s="107">
        <f>204900+7700</f>
        <v>212600</v>
      </c>
      <c r="B971" s="33">
        <v>155500</v>
      </c>
      <c r="C971" s="189">
        <v>170300</v>
      </c>
      <c r="D971" s="189">
        <f>168500+600</f>
        <v>169100</v>
      </c>
      <c r="E971" s="658" t="s">
        <v>2074</v>
      </c>
      <c r="F971" s="271" t="s">
        <v>1365</v>
      </c>
      <c r="G971" s="187">
        <v>104000</v>
      </c>
      <c r="H971" s="138">
        <f t="shared" si="1290"/>
        <v>-38.497930218805443</v>
      </c>
      <c r="I971" s="33">
        <v>106000</v>
      </c>
      <c r="J971" s="33">
        <f>ROUNDUP(I971+(I971*Assumptions!I$5),-2)</f>
        <v>108700</v>
      </c>
      <c r="K971" s="33">
        <f>ROUNDUP(J971+(J971*Assumptions!J$5),-2)</f>
        <v>111500</v>
      </c>
      <c r="L971" s="33">
        <f>ROUNDUP(K971+(K971*Assumptions!K$5),-2)</f>
        <v>114300</v>
      </c>
      <c r="M971" s="33">
        <f>ROUNDUP(L971+(L971*Assumptions!L$5),-2)</f>
        <v>116600</v>
      </c>
      <c r="N971" s="33">
        <f>ROUNDUP(M971+(M971*Assumptions!M$5),-2)</f>
        <v>119000</v>
      </c>
      <c r="O971" s="33">
        <f>ROUNDUP(N971+(N971*Assumptions!N$5),-2)</f>
        <v>121400</v>
      </c>
      <c r="P971" s="33">
        <f>ROUNDUP(O971+(O971*Assumptions!O$5),-2)</f>
        <v>123900</v>
      </c>
      <c r="Q971" s="33">
        <f>ROUNDUP(P971+(P971*Assumptions!P$5),-2)</f>
        <v>126400</v>
      </c>
      <c r="R971" s="114">
        <f>ROUNDUP(Q971+(Q971*Assumptions!Q$5),-2)</f>
        <v>129000</v>
      </c>
    </row>
    <row r="972" spans="1:18" x14ac:dyDescent="0.2">
      <c r="A972" s="107">
        <v>100</v>
      </c>
      <c r="B972" s="33">
        <v>400</v>
      </c>
      <c r="C972" s="189">
        <v>1300</v>
      </c>
      <c r="D972" s="189">
        <v>0</v>
      </c>
      <c r="E972" s="1092" t="s">
        <v>353</v>
      </c>
      <c r="F972" s="271" t="s">
        <v>354</v>
      </c>
      <c r="G972" s="187">
        <v>1000</v>
      </c>
      <c r="H972" s="138">
        <f t="shared" si="1290"/>
        <v>100</v>
      </c>
      <c r="I972" s="33">
        <f>ROUNDUP(G972+(G972*Assumptions!H$5),-2)</f>
        <v>1100</v>
      </c>
      <c r="J972" s="33">
        <f>ROUNDUP(I972+(I972*Assumptions!I$5),-2)</f>
        <v>1200</v>
      </c>
      <c r="K972" s="33">
        <f>ROUNDUP(J972+(J972*Assumptions!J$5),-2)</f>
        <v>1300</v>
      </c>
      <c r="L972" s="33">
        <f>ROUNDUP(K972+(K972*Assumptions!K$5),-2)</f>
        <v>1400</v>
      </c>
      <c r="M972" s="33">
        <f>ROUNDUP(L972+(L972*Assumptions!L$5),-2)</f>
        <v>1500</v>
      </c>
      <c r="N972" s="33">
        <f>ROUNDUP(M972+(M972*Assumptions!M$5),-2)</f>
        <v>1600</v>
      </c>
      <c r="O972" s="33">
        <f>ROUNDUP(N972+(N972*Assumptions!N$5),-2)</f>
        <v>1700</v>
      </c>
      <c r="P972" s="33">
        <f>ROUNDUP(O972+(O972*Assumptions!O$5),-2)</f>
        <v>1800</v>
      </c>
      <c r="Q972" s="33">
        <f>ROUNDUP(P972+(P972*Assumptions!P$5),-2)</f>
        <v>1900</v>
      </c>
      <c r="R972" s="114">
        <f>ROUNDUP(Q972+(Q972*Assumptions!Q$5),-2)</f>
        <v>2000</v>
      </c>
    </row>
    <row r="973" spans="1:18" x14ac:dyDescent="0.2">
      <c r="A973" s="107">
        <v>10000</v>
      </c>
      <c r="B973" s="33">
        <v>10400</v>
      </c>
      <c r="C973" s="189">
        <v>9200</v>
      </c>
      <c r="D973" s="189">
        <v>6300</v>
      </c>
      <c r="E973" s="658" t="s">
        <v>1956</v>
      </c>
      <c r="F973" s="271" t="s">
        <v>1957</v>
      </c>
      <c r="G973" s="187">
        <f>6500-2500</f>
        <v>4000</v>
      </c>
      <c r="H973" s="138">
        <f t="shared" si="1290"/>
        <v>-36.507936507936506</v>
      </c>
      <c r="I973" s="33">
        <f>ROUNDUP(G973+(G973*Assumptions!H$5),-2)</f>
        <v>4100</v>
      </c>
      <c r="J973" s="33">
        <f>ROUNDUP(I973+(I973*Assumptions!I$5),-2)</f>
        <v>4300</v>
      </c>
      <c r="K973" s="33">
        <f>ROUNDUP(J973+(J973*Assumptions!J$5),-2)</f>
        <v>4500</v>
      </c>
      <c r="L973" s="33">
        <f>ROUNDUP(K973+(K973*Assumptions!K$5),-2)</f>
        <v>4700</v>
      </c>
      <c r="M973" s="33">
        <f>ROUNDUP(L973+(L973*Assumptions!L$5),-2)</f>
        <v>4800</v>
      </c>
      <c r="N973" s="33">
        <f>ROUNDUP(M973+(M973*Assumptions!M$5),-2)</f>
        <v>4900</v>
      </c>
      <c r="O973" s="33">
        <f>ROUNDUP(N973+(N973*Assumptions!N$5),-2)</f>
        <v>5000</v>
      </c>
      <c r="P973" s="33">
        <f>ROUNDUP(O973+(O973*Assumptions!O$5),-2)</f>
        <v>5100</v>
      </c>
      <c r="Q973" s="33">
        <f>ROUNDUP(P973+(P973*Assumptions!P$5),-2)</f>
        <v>5300</v>
      </c>
      <c r="R973" s="114">
        <f>ROUNDUP(Q973+(Q973*Assumptions!Q$5),-2)</f>
        <v>5500</v>
      </c>
    </row>
    <row r="974" spans="1:18" x14ac:dyDescent="0.2">
      <c r="A974" s="107">
        <v>1800</v>
      </c>
      <c r="B974" s="33">
        <v>1400</v>
      </c>
      <c r="C974" s="189">
        <v>9900</v>
      </c>
      <c r="D974" s="189">
        <v>6300</v>
      </c>
      <c r="E974" s="658" t="s">
        <v>355</v>
      </c>
      <c r="F974" s="351" t="s">
        <v>356</v>
      </c>
      <c r="G974" s="198">
        <f>6000-2500</f>
        <v>3500</v>
      </c>
      <c r="H974" s="138">
        <f t="shared" si="1290"/>
        <v>-44.444444444444443</v>
      </c>
      <c r="I974" s="33">
        <f>ROUNDUP(G974+(G974*Assumptions!H$5),-2)</f>
        <v>3600</v>
      </c>
      <c r="J974" s="33">
        <f>ROUNDUP(I974+(I974*Assumptions!I$5),-2)</f>
        <v>3700</v>
      </c>
      <c r="K974" s="33">
        <f>ROUNDUP(J974+(J974*Assumptions!J$5),-2)</f>
        <v>3800</v>
      </c>
      <c r="L974" s="33">
        <f>ROUNDUP(K974+(K974*Assumptions!K$5),-2)</f>
        <v>3900</v>
      </c>
      <c r="M974" s="33">
        <f>ROUNDUP(L974+(L974*Assumptions!L$5),-2)</f>
        <v>4000</v>
      </c>
      <c r="N974" s="33">
        <f>ROUNDUP(M974+(M974*Assumptions!M$5),-2)</f>
        <v>4100</v>
      </c>
      <c r="O974" s="33">
        <f>ROUNDUP(N974+(N974*Assumptions!N$5),-2)</f>
        <v>4200</v>
      </c>
      <c r="P974" s="33">
        <f>ROUNDUP(O974+(O974*Assumptions!O$5),-2)</f>
        <v>4300</v>
      </c>
      <c r="Q974" s="33">
        <f>ROUNDUP(P974+(P974*Assumptions!P$5),-2)</f>
        <v>4400</v>
      </c>
      <c r="R974" s="114">
        <f>ROUNDUP(Q974+(Q974*Assumptions!Q$5),-2)</f>
        <v>4500</v>
      </c>
    </row>
    <row r="975" spans="1:18" x14ac:dyDescent="0.2">
      <c r="A975" s="107">
        <v>7600</v>
      </c>
      <c r="B975" s="33">
        <v>13000</v>
      </c>
      <c r="C975" s="189">
        <v>13800</v>
      </c>
      <c r="D975" s="189">
        <v>5300</v>
      </c>
      <c r="E975" s="658" t="s">
        <v>1025</v>
      </c>
      <c r="F975" s="916" t="s">
        <v>3022</v>
      </c>
      <c r="G975" s="198">
        <v>11000</v>
      </c>
      <c r="H975" s="138">
        <f t="shared" si="1290"/>
        <v>107.54716981132076</v>
      </c>
      <c r="I975" s="33">
        <f>ROUNDUP(G975+(G975*Assumptions!H$5),-2)</f>
        <v>11200</v>
      </c>
      <c r="J975" s="33">
        <f>ROUNDUP(I975+(I975*Assumptions!I$5),-2)</f>
        <v>11500</v>
      </c>
      <c r="K975" s="33">
        <f>ROUNDUP(J975+(J975*Assumptions!J$5),-2)</f>
        <v>11800</v>
      </c>
      <c r="L975" s="33">
        <f>ROUNDUP(K975+(K975*Assumptions!K$5),-2)</f>
        <v>12100</v>
      </c>
      <c r="M975" s="33">
        <f>ROUNDUP(L975+(L975*Assumptions!L$5),-2)</f>
        <v>12400</v>
      </c>
      <c r="N975" s="33">
        <f>ROUNDUP(M975+(M975*Assumptions!M$5),-2)</f>
        <v>12700</v>
      </c>
      <c r="O975" s="33">
        <f>ROUNDUP(N975+(N975*Assumptions!N$5),-2)</f>
        <v>13000</v>
      </c>
      <c r="P975" s="33">
        <f>ROUNDUP(O975+(O975*Assumptions!O$5),-2)</f>
        <v>13300</v>
      </c>
      <c r="Q975" s="33">
        <f>ROUNDUP(P975+(P975*Assumptions!P$5),-2)</f>
        <v>13600</v>
      </c>
      <c r="R975" s="114">
        <f>ROUNDUP(Q975+(Q975*Assumptions!Q$5),-2)</f>
        <v>13900</v>
      </c>
    </row>
    <row r="976" spans="1:18" x14ac:dyDescent="0.2">
      <c r="A976" s="107">
        <v>4500</v>
      </c>
      <c r="B976" s="33">
        <v>19000</v>
      </c>
      <c r="C976" s="189">
        <v>4900</v>
      </c>
      <c r="D976" s="189">
        <v>2100</v>
      </c>
      <c r="E976" s="658" t="s">
        <v>351</v>
      </c>
      <c r="F976" s="351" t="s">
        <v>352</v>
      </c>
      <c r="G976" s="198">
        <f>11000-5000</f>
        <v>6000</v>
      </c>
      <c r="H976" s="138">
        <f t="shared" si="1290"/>
        <v>185.71428571428572</v>
      </c>
      <c r="I976" s="33">
        <f>ROUNDUP(G976+(G976*Assumptions!H$5),-2)</f>
        <v>6100</v>
      </c>
      <c r="J976" s="33">
        <f>ROUNDUP(I976+(I976*Assumptions!I$5),-2)</f>
        <v>6300</v>
      </c>
      <c r="K976" s="33">
        <f>ROUNDUP(J976+(J976*Assumptions!J$5),-2)</f>
        <v>6500</v>
      </c>
      <c r="L976" s="33">
        <f>ROUNDUP(K976+(K976*Assumptions!K$5),-2)</f>
        <v>6700</v>
      </c>
      <c r="M976" s="33">
        <f>ROUNDUP(L976+(L976*Assumptions!L$5),-2)</f>
        <v>6900</v>
      </c>
      <c r="N976" s="33">
        <f>ROUNDUP(M976+(M976*Assumptions!M$5),-2)</f>
        <v>7100</v>
      </c>
      <c r="O976" s="33">
        <f>ROUNDUP(N976+(N976*Assumptions!N$5),-2)</f>
        <v>7300</v>
      </c>
      <c r="P976" s="33">
        <f>ROUNDUP(O976+(O976*Assumptions!O$5),-2)</f>
        <v>7500</v>
      </c>
      <c r="Q976" s="33">
        <f>ROUNDUP(P976+(P976*Assumptions!P$5),-2)</f>
        <v>7700</v>
      </c>
      <c r="R976" s="114">
        <f>ROUNDUP(Q976+(Q976*Assumptions!Q$5),-2)</f>
        <v>7900</v>
      </c>
    </row>
    <row r="977" spans="1:18" x14ac:dyDescent="0.2">
      <c r="A977" s="107"/>
      <c r="B977" s="33"/>
      <c r="C977" s="142"/>
      <c r="E977" s="658"/>
      <c r="F977" s="64" t="s">
        <v>1899</v>
      </c>
      <c r="G977" s="99"/>
      <c r="H977" s="138"/>
      <c r="I977" s="33"/>
      <c r="J977" s="33"/>
      <c r="K977" s="33"/>
      <c r="L977" s="33"/>
      <c r="M977" s="33"/>
      <c r="N977" s="33"/>
      <c r="O977" s="33"/>
      <c r="P977" s="33"/>
      <c r="Q977" s="33"/>
      <c r="R977" s="114"/>
    </row>
    <row r="978" spans="1:18" x14ac:dyDescent="0.2">
      <c r="A978" s="107">
        <v>182500</v>
      </c>
      <c r="B978" s="33">
        <v>187700</v>
      </c>
      <c r="C978" s="189">
        <v>192000</v>
      </c>
      <c r="D978" s="189">
        <v>196600</v>
      </c>
      <c r="E978" s="658" t="s">
        <v>2075</v>
      </c>
      <c r="F978" s="916" t="s">
        <v>3727</v>
      </c>
      <c r="G978" s="198">
        <v>203000</v>
      </c>
      <c r="H978" s="138">
        <f t="shared" ref="H978:H985" si="1291">IF(D978=G978,0,IF(D978=0,100,(G978-D978)/D978*100))</f>
        <v>3.2553407934893182</v>
      </c>
      <c r="I978" s="33">
        <f>ROUNDUP(G978+(G978*Assumptions!H$5),-2)</f>
        <v>206100</v>
      </c>
      <c r="J978" s="33">
        <f>ROUNDUP(I978+(I978*Assumptions!I$5),-2)</f>
        <v>211300</v>
      </c>
      <c r="K978" s="33">
        <f>ROUNDUP(J978+(J978*Assumptions!J$5),-2)</f>
        <v>216600</v>
      </c>
      <c r="L978" s="33">
        <f>ROUNDUP(K978+(K978*Assumptions!K$5),-2)</f>
        <v>222100</v>
      </c>
      <c r="M978" s="33">
        <f>ROUNDUP(L978+(L978*Assumptions!L$5),-2)</f>
        <v>226600</v>
      </c>
      <c r="N978" s="33">
        <f>ROUNDUP(M978+(M978*Assumptions!M$5),-2)</f>
        <v>231200</v>
      </c>
      <c r="O978" s="33">
        <f>ROUNDUP(N978+(N978*Assumptions!N$5),-2)</f>
        <v>235900</v>
      </c>
      <c r="P978" s="33">
        <f>ROUNDUP(O978+(O978*Assumptions!O$5),-2)</f>
        <v>240700</v>
      </c>
      <c r="Q978" s="33">
        <f>ROUNDUP(P978+(P978*Assumptions!P$5),-2)</f>
        <v>245600</v>
      </c>
      <c r="R978" s="114">
        <f>ROUNDUP(Q978+(Q978*Assumptions!Q$5),-2)</f>
        <v>250600</v>
      </c>
    </row>
    <row r="979" spans="1:18" x14ac:dyDescent="0.2">
      <c r="A979" s="107">
        <v>32500</v>
      </c>
      <c r="B979" s="33">
        <v>33700</v>
      </c>
      <c r="C979" s="189">
        <v>34400</v>
      </c>
      <c r="D979" s="189">
        <v>35200</v>
      </c>
      <c r="E979" s="658" t="s">
        <v>1324</v>
      </c>
      <c r="F979" s="916" t="s">
        <v>4605</v>
      </c>
      <c r="G979" s="198">
        <v>36800</v>
      </c>
      <c r="H979" s="138">
        <f t="shared" si="1291"/>
        <v>4.5454545454545459</v>
      </c>
      <c r="I979" s="33">
        <f>ROUNDUP(G979+(G979*Assumptions!H$5),-2)</f>
        <v>37400</v>
      </c>
      <c r="J979" s="33">
        <f>ROUNDUP(I979+(I979*Assumptions!I$5),-2)</f>
        <v>38400</v>
      </c>
      <c r="K979" s="33">
        <f>ROUNDUP(J979+(J979*Assumptions!J$5),-2)</f>
        <v>39400</v>
      </c>
      <c r="L979" s="33">
        <f>ROUNDUP(K979+(K979*Assumptions!K$5),-2)</f>
        <v>40400</v>
      </c>
      <c r="M979" s="33">
        <f>ROUNDUP(L979+(L979*Assumptions!L$5),-2)</f>
        <v>41300</v>
      </c>
      <c r="N979" s="33">
        <f>ROUNDUP(M979+(M979*Assumptions!M$5),-2)</f>
        <v>42200</v>
      </c>
      <c r="O979" s="33">
        <f>ROUNDUP(N979+(N979*Assumptions!N$5),-2)</f>
        <v>43100</v>
      </c>
      <c r="P979" s="33">
        <f>ROUNDUP(O979+(O979*Assumptions!O$5),-2)</f>
        <v>44000</v>
      </c>
      <c r="Q979" s="33">
        <f>ROUNDUP(P979+(P979*Assumptions!P$5),-2)</f>
        <v>44900</v>
      </c>
      <c r="R979" s="114">
        <f>ROUNDUP(Q979+(Q979*Assumptions!Q$5),-2)</f>
        <v>45800</v>
      </c>
    </row>
    <row r="980" spans="1:18" x14ac:dyDescent="0.2">
      <c r="A980" s="107">
        <v>0</v>
      </c>
      <c r="B980" s="33">
        <v>0</v>
      </c>
      <c r="C980" s="189">
        <f>35000-35000</f>
        <v>0</v>
      </c>
      <c r="D980" s="189">
        <v>0</v>
      </c>
      <c r="E980" s="1092" t="s">
        <v>4161</v>
      </c>
      <c r="F980" s="916" t="s">
        <v>4606</v>
      </c>
      <c r="G980" s="198">
        <f>35000+35000</f>
        <v>70000</v>
      </c>
      <c r="H980" s="138">
        <f t="shared" si="1291"/>
        <v>100</v>
      </c>
      <c r="I980" s="33">
        <v>35000</v>
      </c>
      <c r="J980" s="33">
        <f>ROUNDUP(I980+(I980*Assumptions!I$5),-2)</f>
        <v>35900</v>
      </c>
      <c r="K980" s="33">
        <f>ROUNDUP(J980+(J980*Assumptions!J$5),-2)</f>
        <v>36800</v>
      </c>
      <c r="L980" s="33">
        <f>ROUNDUP(K980+(K980*Assumptions!K$5),-2)</f>
        <v>37800</v>
      </c>
      <c r="M980" s="33">
        <f>ROUNDUP(L980+(L980*Assumptions!L$5),-2)</f>
        <v>38600</v>
      </c>
      <c r="N980" s="33">
        <f>ROUNDUP(M980+(M980*Assumptions!M$5),-2)</f>
        <v>39400</v>
      </c>
      <c r="O980" s="33">
        <f>ROUNDUP(N980+(N980*Assumptions!N$5),-2)</f>
        <v>40200</v>
      </c>
      <c r="P980" s="33">
        <f>ROUNDUP(O980+(O980*Assumptions!O$5),-2)</f>
        <v>41100</v>
      </c>
      <c r="Q980" s="33">
        <f>ROUNDUP(P980+(P980*Assumptions!P$5),-2)</f>
        <v>42000</v>
      </c>
      <c r="R980" s="114">
        <f>ROUNDUP(Q980+(Q980*Assumptions!Q$5),-2)</f>
        <v>42900</v>
      </c>
    </row>
    <row r="981" spans="1:18" x14ac:dyDescent="0.2">
      <c r="A981" s="107">
        <v>40000</v>
      </c>
      <c r="B981" s="33">
        <v>38300</v>
      </c>
      <c r="C981" s="189">
        <v>28100</v>
      </c>
      <c r="D981" s="189">
        <v>22600</v>
      </c>
      <c r="E981" s="658" t="s">
        <v>1053</v>
      </c>
      <c r="F981" s="814" t="s">
        <v>5359</v>
      </c>
      <c r="G981" s="198">
        <f>40000+123400-120000</f>
        <v>43400</v>
      </c>
      <c r="H981" s="138">
        <f t="shared" si="1291"/>
        <v>92.035398230088489</v>
      </c>
      <c r="I981" s="33">
        <v>40000</v>
      </c>
      <c r="J981" s="33">
        <f>ROUNDUP(I981+(I981*Assumptions!I$5),-2)</f>
        <v>41000</v>
      </c>
      <c r="K981" s="33">
        <f>ROUNDUP(J981+(J981*Assumptions!J$5),-2)</f>
        <v>42100</v>
      </c>
      <c r="L981" s="33">
        <f>ROUNDUP(K981+(K981*Assumptions!K$5),-2)</f>
        <v>43200</v>
      </c>
      <c r="M981" s="33">
        <f>ROUNDUP(L981+(L981*Assumptions!L$5),-2)</f>
        <v>44100</v>
      </c>
      <c r="N981" s="33">
        <f>ROUNDUP(M981+(M981*Assumptions!M$5),-2)</f>
        <v>45000</v>
      </c>
      <c r="O981" s="33">
        <f>ROUNDUP(N981+(N981*Assumptions!N$5),-2)</f>
        <v>45900</v>
      </c>
      <c r="P981" s="33">
        <f>ROUNDUP(O981+(O981*Assumptions!O$5),-2)</f>
        <v>46900</v>
      </c>
      <c r="Q981" s="33">
        <f>ROUNDUP(P981+(P981*Assumptions!P$5),-2)</f>
        <v>47900</v>
      </c>
      <c r="R981" s="114">
        <f>ROUNDUP(Q981+(Q981*Assumptions!Q$5),-2)</f>
        <v>48900</v>
      </c>
    </row>
    <row r="982" spans="1:18" x14ac:dyDescent="0.2">
      <c r="A982" s="107">
        <v>6000</v>
      </c>
      <c r="B982" s="33">
        <v>6000</v>
      </c>
      <c r="C982" s="189">
        <v>17400</v>
      </c>
      <c r="D982" s="189">
        <v>3000</v>
      </c>
      <c r="E982" s="658" t="s">
        <v>1054</v>
      </c>
      <c r="F982" s="814" t="s">
        <v>5358</v>
      </c>
      <c r="G982" s="198">
        <v>23000</v>
      </c>
      <c r="H982" s="138">
        <f t="shared" si="1291"/>
        <v>666.66666666666674</v>
      </c>
      <c r="I982" s="33">
        <v>0</v>
      </c>
      <c r="J982" s="33">
        <f>ROUNDUP(I982+(I982*Assumptions!I$5),-2)</f>
        <v>0</v>
      </c>
      <c r="K982" s="33">
        <f>ROUNDUP(J982+(J982*Assumptions!J$5),-2)</f>
        <v>0</v>
      </c>
      <c r="L982" s="33">
        <f>ROUNDUP(K982+(K982*Assumptions!K$5),-2)</f>
        <v>0</v>
      </c>
      <c r="M982" s="33">
        <f>ROUNDUP(L982+(L982*Assumptions!L$5),-2)</f>
        <v>0</v>
      </c>
      <c r="N982" s="33">
        <f>ROUNDUP(M982+(M982*Assumptions!M$5),-2)</f>
        <v>0</v>
      </c>
      <c r="O982" s="33">
        <f>ROUNDUP(N982+(N982*Assumptions!N$5),-2)</f>
        <v>0</v>
      </c>
      <c r="P982" s="33">
        <f>ROUNDUP(O982+(O982*Assumptions!O$5),-2)</f>
        <v>0</v>
      </c>
      <c r="Q982" s="33">
        <f>ROUNDUP(P982+(P982*Assumptions!P$5),-2)</f>
        <v>0</v>
      </c>
      <c r="R982" s="114">
        <f>ROUNDUP(Q982+(Q982*Assumptions!Q$5),-2)</f>
        <v>0</v>
      </c>
    </row>
    <row r="983" spans="1:18" x14ac:dyDescent="0.2">
      <c r="A983" s="107">
        <v>0</v>
      </c>
      <c r="B983" s="33">
        <v>120000</v>
      </c>
      <c r="C983" s="189">
        <v>40000</v>
      </c>
      <c r="D983" s="189">
        <v>40000</v>
      </c>
      <c r="E983" s="1092" t="s">
        <v>3024</v>
      </c>
      <c r="F983" s="814" t="s">
        <v>7023</v>
      </c>
      <c r="G983" s="198">
        <v>0</v>
      </c>
      <c r="H983" s="138">
        <f t="shared" si="1291"/>
        <v>-100</v>
      </c>
      <c r="I983" s="33">
        <v>0</v>
      </c>
      <c r="J983" s="33">
        <v>0</v>
      </c>
      <c r="K983" s="33">
        <v>0</v>
      </c>
      <c r="L983" s="33">
        <f>ROUNDUP(K983+(K983*Assumptions!K$5),-2)</f>
        <v>0</v>
      </c>
      <c r="M983" s="33">
        <f>ROUNDUP(L983+(L983*Assumptions!L$5),-2)</f>
        <v>0</v>
      </c>
      <c r="N983" s="33">
        <f>ROUNDUP(M983+(M983*Assumptions!M$5),-2)</f>
        <v>0</v>
      </c>
      <c r="O983" s="33">
        <f>ROUNDUP(N983+(N983*Assumptions!N$5),-2)</f>
        <v>0</v>
      </c>
      <c r="P983" s="33">
        <f>ROUNDUP(O983+(O983*Assumptions!O$5),-2)</f>
        <v>0</v>
      </c>
      <c r="Q983" s="33">
        <f>ROUNDUP(P983+(P983*Assumptions!P$5),-2)</f>
        <v>0</v>
      </c>
      <c r="R983" s="114">
        <f>ROUNDUP(Q983+(Q983*Assumptions!Q$5),-2)</f>
        <v>0</v>
      </c>
    </row>
    <row r="984" spans="1:18" x14ac:dyDescent="0.2">
      <c r="A984" s="107">
        <v>0</v>
      </c>
      <c r="B984" s="33">
        <v>0</v>
      </c>
      <c r="C984" s="189">
        <v>0</v>
      </c>
      <c r="D984" s="189">
        <v>0</v>
      </c>
      <c r="E984" s="1092" t="s">
        <v>6863</v>
      </c>
      <c r="F984" s="916" t="s">
        <v>6862</v>
      </c>
      <c r="G984" s="198">
        <v>95000</v>
      </c>
      <c r="H984" s="138">
        <f t="shared" si="1291"/>
        <v>100</v>
      </c>
      <c r="I984" s="33">
        <v>0</v>
      </c>
      <c r="J984" s="33">
        <f>ROUNDUP(I984+(I984*Assumptions!I$5),-2)</f>
        <v>0</v>
      </c>
      <c r="K984" s="33">
        <f>ROUNDUP(J984+(J984*Assumptions!J$5),-2)</f>
        <v>0</v>
      </c>
      <c r="L984" s="33">
        <f>ROUNDUP(K984+(K984*Assumptions!K$5),-2)</f>
        <v>0</v>
      </c>
      <c r="M984" s="33">
        <f>ROUNDUP(L984+(L984*Assumptions!L$5),-2)</f>
        <v>0</v>
      </c>
      <c r="N984" s="33">
        <f>ROUNDUP(M984+(M984*Assumptions!M$5),-2)</f>
        <v>0</v>
      </c>
      <c r="O984" s="33">
        <f>ROUNDUP(N984+(N984*Assumptions!N$5),-2)</f>
        <v>0</v>
      </c>
      <c r="P984" s="33">
        <f>ROUNDUP(O984+(O984*Assumptions!O$5),-2)</f>
        <v>0</v>
      </c>
      <c r="Q984" s="33">
        <f>ROUNDUP(P984+(P984*Assumptions!P$5),-2)</f>
        <v>0</v>
      </c>
      <c r="R984" s="114">
        <f>ROUNDUP(Q984+(Q984*Assumptions!Q$5),-2)</f>
        <v>0</v>
      </c>
    </row>
    <row r="985" spans="1:18" x14ac:dyDescent="0.2">
      <c r="A985" s="107">
        <v>0</v>
      </c>
      <c r="B985" s="33">
        <v>0</v>
      </c>
      <c r="C985" s="189">
        <v>15000</v>
      </c>
      <c r="D985" s="189">
        <v>13100</v>
      </c>
      <c r="E985" s="1092" t="s">
        <v>3535</v>
      </c>
      <c r="F985" s="814" t="s">
        <v>3604</v>
      </c>
      <c r="G985" s="198">
        <f>11800+24400</f>
        <v>36200</v>
      </c>
      <c r="H985" s="138">
        <f t="shared" si="1291"/>
        <v>176.33587786259542</v>
      </c>
      <c r="I985" s="33">
        <v>0</v>
      </c>
      <c r="J985" s="33">
        <f>ROUNDUP(I985+(I985*Assumptions!I$5),-2)</f>
        <v>0</v>
      </c>
      <c r="K985" s="33">
        <f>ROUNDUP(J985+(J985*Assumptions!J$5),-2)</f>
        <v>0</v>
      </c>
      <c r="L985" s="33">
        <f>ROUNDUP(K985+(K985*Assumptions!K$5),-2)</f>
        <v>0</v>
      </c>
      <c r="M985" s="33">
        <f>ROUNDUP(L985+(L985*Assumptions!L$5),-2)</f>
        <v>0</v>
      </c>
      <c r="N985" s="33">
        <f>ROUNDUP(M985+(M985*Assumptions!M$5),-2)</f>
        <v>0</v>
      </c>
      <c r="O985" s="33">
        <f>ROUNDUP(N985+(N985*Assumptions!N$5),-2)</f>
        <v>0</v>
      </c>
      <c r="P985" s="33">
        <f>ROUNDUP(O985+(O985*Assumptions!O$5),-2)</f>
        <v>0</v>
      </c>
      <c r="Q985" s="33">
        <f>ROUNDUP(P985+(P985*Assumptions!P$5),-2)</f>
        <v>0</v>
      </c>
      <c r="R985" s="114">
        <f>ROUNDUP(Q985+(Q985*Assumptions!Q$5),-2)</f>
        <v>0</v>
      </c>
    </row>
    <row r="986" spans="1:18" x14ac:dyDescent="0.2">
      <c r="A986" s="107"/>
      <c r="B986" s="33"/>
      <c r="C986" s="142"/>
      <c r="E986" s="658"/>
      <c r="F986" s="439" t="s">
        <v>1777</v>
      </c>
      <c r="G986" s="99"/>
      <c r="H986" s="138"/>
      <c r="I986" s="33"/>
      <c r="J986" s="33"/>
      <c r="K986" s="33"/>
      <c r="L986" s="33"/>
      <c r="M986" s="33"/>
      <c r="N986" s="33"/>
      <c r="O986" s="33"/>
      <c r="P986" s="33"/>
      <c r="Q986" s="33"/>
      <c r="R986" s="114"/>
    </row>
    <row r="987" spans="1:18" x14ac:dyDescent="0.2">
      <c r="A987" s="107">
        <v>40300</v>
      </c>
      <c r="B987" s="33">
        <v>35000</v>
      </c>
      <c r="C987" s="189">
        <v>107600</v>
      </c>
      <c r="D987" s="189">
        <v>55200</v>
      </c>
      <c r="E987" s="658" t="s">
        <v>1467</v>
      </c>
      <c r="F987" s="443" t="s">
        <v>1548</v>
      </c>
      <c r="G987" s="198">
        <f>76000-10000</f>
        <v>66000</v>
      </c>
      <c r="H987" s="138">
        <f>IF(D987=G987,0,IF(D987=0,100,(G987-D987)/D987*100))</f>
        <v>19.565217391304348</v>
      </c>
      <c r="I987" s="33">
        <v>78000</v>
      </c>
      <c r="J987" s="33">
        <f>ROUNDUP(I987+(I987*Assumptions!I$5),-2)</f>
        <v>80000</v>
      </c>
      <c r="K987" s="33">
        <f>ROUNDUP(J987+(J987*Assumptions!J$5),-2)</f>
        <v>82000</v>
      </c>
      <c r="L987" s="33">
        <f>ROUNDUP(K987+(K987*Assumptions!K$5),-2)</f>
        <v>84100</v>
      </c>
      <c r="M987" s="33">
        <f>ROUNDUP(L987+(L987*Assumptions!L$5),-2)</f>
        <v>85800</v>
      </c>
      <c r="N987" s="33">
        <f>ROUNDUP(M987+(M987*Assumptions!M$5),-2)</f>
        <v>87600</v>
      </c>
      <c r="O987" s="33">
        <f>ROUNDUP(N987+(N987*Assumptions!N$5),-2)</f>
        <v>89400</v>
      </c>
      <c r="P987" s="33">
        <f>ROUNDUP(O987+(O987*Assumptions!O$5),-2)</f>
        <v>91200</v>
      </c>
      <c r="Q987" s="33">
        <f>ROUNDUP(P987+(P987*Assumptions!P$5),-2)</f>
        <v>93100</v>
      </c>
      <c r="R987" s="114">
        <f>ROUNDUP(Q987+(Q987*Assumptions!Q$5),-2)</f>
        <v>95000</v>
      </c>
    </row>
    <row r="988" spans="1:18" x14ac:dyDescent="0.2">
      <c r="A988" s="107">
        <v>10300</v>
      </c>
      <c r="B988" s="33">
        <v>55600</v>
      </c>
      <c r="C988" s="189">
        <v>6100</v>
      </c>
      <c r="D988" s="189">
        <v>26600</v>
      </c>
      <c r="E988" s="658" t="s">
        <v>181</v>
      </c>
      <c r="F988" s="814" t="s">
        <v>5360</v>
      </c>
      <c r="G988" s="198">
        <f>40000+130500-140000</f>
        <v>30500</v>
      </c>
      <c r="H988" s="138">
        <f>IF(D988=G988,0,IF(D988=0,100,(G988-D988)/D988*100))</f>
        <v>14.661654135338345</v>
      </c>
      <c r="I988" s="33">
        <v>40000</v>
      </c>
      <c r="J988" s="33">
        <f>ROUNDUP(I988+(I988*Assumptions!I$5),-2)</f>
        <v>41000</v>
      </c>
      <c r="K988" s="33">
        <f>ROUNDUP(J988+(J988*Assumptions!J$5),-2)</f>
        <v>42100</v>
      </c>
      <c r="L988" s="33">
        <f>ROUNDUP(K988+(K988*Assumptions!K$5),-2)</f>
        <v>43200</v>
      </c>
      <c r="M988" s="33">
        <f>ROUNDUP(L988+(L988*Assumptions!L$5),-2)</f>
        <v>44100</v>
      </c>
      <c r="N988" s="33">
        <f>ROUNDUP(M988+(M988*Assumptions!M$5),-2)</f>
        <v>45000</v>
      </c>
      <c r="O988" s="33">
        <f>ROUNDUP(N988+(N988*Assumptions!N$5),-2)</f>
        <v>45900</v>
      </c>
      <c r="P988" s="33">
        <f>ROUNDUP(O988+(O988*Assumptions!O$5),-2)</f>
        <v>46900</v>
      </c>
      <c r="Q988" s="33">
        <f>ROUNDUP(P988+(P988*Assumptions!P$5),-2)</f>
        <v>47900</v>
      </c>
      <c r="R988" s="114">
        <f>ROUNDUP(Q988+(Q988*Assumptions!Q$5),-2)</f>
        <v>48900</v>
      </c>
    </row>
    <row r="989" spans="1:18" x14ac:dyDescent="0.2">
      <c r="A989" s="107">
        <v>0</v>
      </c>
      <c r="B989" s="33">
        <v>0</v>
      </c>
      <c r="C989" s="189">
        <v>0</v>
      </c>
      <c r="D989" s="189">
        <v>0</v>
      </c>
      <c r="E989" s="1092" t="s">
        <v>6618</v>
      </c>
      <c r="F989" s="814" t="s">
        <v>6619</v>
      </c>
      <c r="G989" s="198">
        <v>20000</v>
      </c>
      <c r="H989" s="138">
        <f>IF(D989=G989,0,IF(D989=0,100,(G989-D989)/D989*100))</f>
        <v>100</v>
      </c>
      <c r="I989" s="33">
        <v>0</v>
      </c>
      <c r="J989" s="33">
        <v>0</v>
      </c>
      <c r="K989" s="33">
        <v>0</v>
      </c>
      <c r="L989" s="33">
        <v>0</v>
      </c>
      <c r="M989" s="33">
        <v>0</v>
      </c>
      <c r="N989" s="33">
        <v>0</v>
      </c>
      <c r="O989" s="33">
        <v>0</v>
      </c>
      <c r="P989" s="33">
        <v>0</v>
      </c>
      <c r="Q989" s="33">
        <v>0</v>
      </c>
      <c r="R989" s="114">
        <v>0</v>
      </c>
    </row>
    <row r="990" spans="1:18" x14ac:dyDescent="0.2">
      <c r="A990" s="107"/>
      <c r="B990" s="33"/>
      <c r="C990" s="142"/>
      <c r="E990" s="658"/>
      <c r="F990" s="1103" t="s">
        <v>4465</v>
      </c>
      <c r="G990" s="198"/>
      <c r="H990" s="138"/>
      <c r="I990" s="33"/>
      <c r="J990" s="33"/>
      <c r="K990" s="33"/>
      <c r="L990" s="33"/>
      <c r="M990" s="33"/>
      <c r="N990" s="33"/>
      <c r="O990" s="33"/>
      <c r="P990" s="33"/>
      <c r="Q990" s="33"/>
      <c r="R990" s="114"/>
    </row>
    <row r="991" spans="1:18" x14ac:dyDescent="0.2">
      <c r="A991" s="107">
        <v>600</v>
      </c>
      <c r="B991" s="33">
        <v>12500</v>
      </c>
      <c r="C991" s="189">
        <v>147300</v>
      </c>
      <c r="D991" s="189">
        <v>44900</v>
      </c>
      <c r="E991" s="658" t="s">
        <v>1690</v>
      </c>
      <c r="F991" s="443" t="s">
        <v>296</v>
      </c>
      <c r="G991" s="2509">
        <v>22000</v>
      </c>
      <c r="H991" s="138">
        <f>IF(D991=G991,0,IF(D991=0,100,(G991-D991)/D991*100))</f>
        <v>-51.002227171492208</v>
      </c>
      <c r="I991" s="187">
        <f>ROUNDUP(G991+(G991*Assumptions!H$5),-2)</f>
        <v>22400</v>
      </c>
      <c r="J991" s="33">
        <f>ROUNDUP(I991+(I991*Assumptions!I$5),-2)</f>
        <v>23000</v>
      </c>
      <c r="K991" s="33">
        <f>ROUNDUP(J991+(J991*Assumptions!J$5),-2)</f>
        <v>23600</v>
      </c>
      <c r="L991" s="33">
        <f>ROUNDUP(K991+(K991*Assumptions!K$5),-2)</f>
        <v>24200</v>
      </c>
      <c r="M991" s="33">
        <f>ROUNDUP(L991+(L991*Assumptions!L$5),-2)</f>
        <v>24700</v>
      </c>
      <c r="N991" s="33">
        <f>ROUNDUP(M991+(M991*Assumptions!M$5),-2)</f>
        <v>25200</v>
      </c>
      <c r="O991" s="33">
        <f>ROUNDUP(N991+(N991*Assumptions!N$5),-2)</f>
        <v>25800</v>
      </c>
      <c r="P991" s="33">
        <f>ROUNDUP(O991+(O991*Assumptions!O$5),-2)</f>
        <v>26400</v>
      </c>
      <c r="Q991" s="33">
        <f>ROUNDUP(P991+(P991*Assumptions!P$5),-2)</f>
        <v>27000</v>
      </c>
      <c r="R991" s="114">
        <f>ROUNDUP(Q991+(Q991*Assumptions!Q$5),-2)</f>
        <v>27600</v>
      </c>
    </row>
    <row r="992" spans="1:18" x14ac:dyDescent="0.2">
      <c r="A992" s="107"/>
      <c r="B992" s="33"/>
      <c r="E992" s="437"/>
      <c r="F992" s="439" t="s">
        <v>1072</v>
      </c>
      <c r="G992" s="198"/>
      <c r="H992" s="138"/>
      <c r="I992" s="33"/>
      <c r="J992" s="33"/>
      <c r="K992" s="33"/>
      <c r="L992" s="33"/>
      <c r="M992" s="33"/>
      <c r="N992" s="33"/>
      <c r="O992" s="33"/>
      <c r="P992" s="33"/>
      <c r="Q992" s="33"/>
      <c r="R992" s="114"/>
    </row>
    <row r="993" spans="1:18" x14ac:dyDescent="0.2">
      <c r="A993" s="107">
        <v>10500</v>
      </c>
      <c r="B993" s="33">
        <v>7600</v>
      </c>
      <c r="C993" s="189">
        <v>4800</v>
      </c>
      <c r="D993" s="189">
        <v>8000</v>
      </c>
      <c r="E993" s="658" t="s">
        <v>1357</v>
      </c>
      <c r="F993" s="443" t="s">
        <v>483</v>
      </c>
      <c r="G993" s="198">
        <v>6400</v>
      </c>
      <c r="H993" s="138">
        <f>IF(D993=G993,0,IF(D993=0,100,(G993-D993)/D993*100))</f>
        <v>-20</v>
      </c>
      <c r="I993" s="33">
        <f>ROUNDUP(G993+(G993*Assumptions!H$5),-2)</f>
        <v>6500</v>
      </c>
      <c r="J993" s="33">
        <f>ROUNDUP(I993+(I993*Assumptions!I$5),-2)</f>
        <v>6700</v>
      </c>
      <c r="K993" s="33">
        <f>ROUNDUP(J993+(J993*Assumptions!J$5),-2)</f>
        <v>6900</v>
      </c>
      <c r="L993" s="33">
        <f>ROUNDUP(K993+(K993*Assumptions!K$5),-2)</f>
        <v>7100</v>
      </c>
      <c r="M993" s="33">
        <f>ROUNDUP(L993+(L993*Assumptions!L$5),-2)</f>
        <v>7300</v>
      </c>
      <c r="N993" s="33">
        <f>ROUNDUP(M993+(M993*Assumptions!M$5),-2)</f>
        <v>7500</v>
      </c>
      <c r="O993" s="33">
        <f>ROUNDUP(N993+(N993*Assumptions!N$5),-2)</f>
        <v>7700</v>
      </c>
      <c r="P993" s="33">
        <f>ROUNDUP(O993+(O993*Assumptions!O$5),-2)</f>
        <v>7900</v>
      </c>
      <c r="Q993" s="33">
        <f>ROUNDUP(P993+(P993*Assumptions!P$5),-2)</f>
        <v>8100</v>
      </c>
      <c r="R993" s="114">
        <f>ROUNDUP(Q993+(Q993*Assumptions!Q$5),-2)</f>
        <v>8300</v>
      </c>
    </row>
    <row r="994" spans="1:18" x14ac:dyDescent="0.2">
      <c r="A994" s="107">
        <v>18400</v>
      </c>
      <c r="B994" s="33">
        <v>29600</v>
      </c>
      <c r="C994" s="189">
        <v>40900</v>
      </c>
      <c r="D994" s="189">
        <v>37000</v>
      </c>
      <c r="E994" s="658" t="s">
        <v>1358</v>
      </c>
      <c r="F994" s="443" t="s">
        <v>481</v>
      </c>
      <c r="G994" s="198">
        <v>32000</v>
      </c>
      <c r="H994" s="138">
        <f>IF(D994=G994,0,IF(D994=0,100,(G994-D994)/D994*100))</f>
        <v>-13.513513513513514</v>
      </c>
      <c r="I994" s="33">
        <f>ROUNDUP(G994+(G994*Assumptions!H$5),-2)</f>
        <v>32500</v>
      </c>
      <c r="J994" s="33">
        <f>ROUNDUP(I994+(I994*Assumptions!I$5),-2)</f>
        <v>33400</v>
      </c>
      <c r="K994" s="33">
        <f>ROUNDUP(J994+(J994*Assumptions!J$5),-2)</f>
        <v>34300</v>
      </c>
      <c r="L994" s="33">
        <f>ROUNDUP(K994+(K994*Assumptions!K$5),-2)</f>
        <v>35200</v>
      </c>
      <c r="M994" s="33">
        <f>ROUNDUP(L994+(L994*Assumptions!L$5),-2)</f>
        <v>36000</v>
      </c>
      <c r="N994" s="33">
        <f>ROUNDUP(M994+(M994*Assumptions!M$5),-2)</f>
        <v>36800</v>
      </c>
      <c r="O994" s="33">
        <f>ROUNDUP(N994+(N994*Assumptions!N$5),-2)</f>
        <v>37600</v>
      </c>
      <c r="P994" s="33">
        <f>ROUNDUP(O994+(O994*Assumptions!O$5),-2)</f>
        <v>38400</v>
      </c>
      <c r="Q994" s="33">
        <f>ROUNDUP(P994+(P994*Assumptions!P$5),-2)</f>
        <v>39200</v>
      </c>
      <c r="R994" s="114">
        <f>ROUNDUP(Q994+(Q994*Assumptions!Q$5),-2)</f>
        <v>40000</v>
      </c>
    </row>
    <row r="995" spans="1:18" x14ac:dyDescent="0.2">
      <c r="A995" s="107"/>
      <c r="B995" s="33"/>
      <c r="C995" s="142"/>
      <c r="D995" s="142"/>
      <c r="E995" s="658"/>
      <c r="F995" s="64" t="str">
        <f>F101</f>
        <v>Non-Cash Expenses</v>
      </c>
      <c r="G995" s="99"/>
      <c r="H995" s="138"/>
      <c r="I995" s="33"/>
      <c r="J995" s="33"/>
      <c r="K995" s="33"/>
      <c r="L995" s="33"/>
      <c r="M995" s="33"/>
      <c r="N995" s="33"/>
      <c r="O995" s="33"/>
      <c r="P995" s="33"/>
      <c r="Q995" s="33"/>
      <c r="R995" s="114"/>
    </row>
    <row r="996" spans="1:18" x14ac:dyDescent="0.2">
      <c r="A996" s="107">
        <v>17200</v>
      </c>
      <c r="B996" s="33">
        <v>1600</v>
      </c>
      <c r="C996" s="189">
        <v>1600</v>
      </c>
      <c r="D996" s="189">
        <v>2000</v>
      </c>
      <c r="E996" s="1092" t="s">
        <v>6809</v>
      </c>
      <c r="F996" s="366" t="s">
        <v>59</v>
      </c>
      <c r="G996" s="198">
        <v>2000</v>
      </c>
      <c r="H996" s="138">
        <f>IF(D996=G996,0,IF(D996=0,100,(G996-D996)/D996*100))</f>
        <v>0</v>
      </c>
      <c r="I996" s="33">
        <f>ROUNDUP(G996+(G996*Assumptions!H$18),-2)</f>
        <v>2100</v>
      </c>
      <c r="J996" s="33">
        <f>ROUNDUP(I996+(I996*Assumptions!I$18),-2)</f>
        <v>2200</v>
      </c>
      <c r="K996" s="33">
        <f>ROUNDUP(J996+(J996*Assumptions!J$18),-2)</f>
        <v>2300</v>
      </c>
      <c r="L996" s="33">
        <f>ROUNDUP(K996+(K996*Assumptions!K$18),-2)</f>
        <v>2400</v>
      </c>
      <c r="M996" s="33">
        <f>ROUNDUP(L996+(L996*Assumptions!L$18),-2)</f>
        <v>2500</v>
      </c>
      <c r="N996" s="33">
        <f>ROUNDUP(M996+(M996*Assumptions!M$18),-2)</f>
        <v>2600</v>
      </c>
      <c r="O996" s="33">
        <f>ROUNDUP(N996+(N996*Assumptions!N$18),-2)</f>
        <v>2700</v>
      </c>
      <c r="P996" s="33">
        <f>ROUNDUP(O996+(O996*Assumptions!O$18),-2)</f>
        <v>2800</v>
      </c>
      <c r="Q996" s="33">
        <f>ROUNDUP(P996+(P996*Assumptions!P$18),-2)</f>
        <v>2900</v>
      </c>
      <c r="R996" s="114">
        <f>ROUNDUP(Q996+(Q996*Assumptions!Q$18),-2)</f>
        <v>3000</v>
      </c>
    </row>
    <row r="997" spans="1:18" x14ac:dyDescent="0.2">
      <c r="A997" s="107">
        <v>1646000</v>
      </c>
      <c r="B997" s="33">
        <v>1654300</v>
      </c>
      <c r="C997" s="189">
        <v>1417700</v>
      </c>
      <c r="D997" s="189">
        <v>1456800</v>
      </c>
      <c r="E997" s="658" t="s">
        <v>2478</v>
      </c>
      <c r="F997" s="33" t="s">
        <v>2451</v>
      </c>
      <c r="G997" s="198">
        <v>1443000</v>
      </c>
      <c r="H997" s="138">
        <f>IF(D997=G997,0,IF(D997=0,100,(G997-D997)/D997*100))</f>
        <v>-0.94728171334431621</v>
      </c>
      <c r="I997" s="33">
        <f>ROUNDUP(G997+(G997*Assumptions!H$18),-2)</f>
        <v>1471900</v>
      </c>
      <c r="J997" s="33">
        <f>ROUNDUP(I997+(I997*Assumptions!I$18),-2)</f>
        <v>1501400</v>
      </c>
      <c r="K997" s="33">
        <f>ROUNDUP(J997+(J997*Assumptions!J$18),-2)</f>
        <v>1531500</v>
      </c>
      <c r="L997" s="33">
        <f>ROUNDUP(K997+(K997*Assumptions!K$18),-2)</f>
        <v>1562200</v>
      </c>
      <c r="M997" s="33">
        <f>ROUNDUP(L997+(L997*Assumptions!L$18),-2)</f>
        <v>1593500</v>
      </c>
      <c r="N997" s="33">
        <f>ROUNDUP(M997+(M997*Assumptions!M$18),-2)</f>
        <v>1625400</v>
      </c>
      <c r="O997" s="33">
        <f>ROUNDUP(N997+(N997*Assumptions!N$18),-2)</f>
        <v>1658000</v>
      </c>
      <c r="P997" s="33">
        <f>ROUNDUP(O997+(O997*Assumptions!O$18),-2)</f>
        <v>1691200</v>
      </c>
      <c r="Q997" s="33">
        <f>ROUNDUP(P997+(P997*Assumptions!P$18),-2)</f>
        <v>1725100</v>
      </c>
      <c r="R997" s="114">
        <f>ROUNDUP(Q997+(Q997*Assumptions!Q$18),-2)</f>
        <v>1759700</v>
      </c>
    </row>
    <row r="998" spans="1:18" x14ac:dyDescent="0.2">
      <c r="A998" s="107">
        <v>97700</v>
      </c>
      <c r="B998" s="33">
        <v>78300</v>
      </c>
      <c r="C998" s="189">
        <v>1200</v>
      </c>
      <c r="D998" s="189">
        <v>0</v>
      </c>
      <c r="E998" s="1092" t="s">
        <v>4548</v>
      </c>
      <c r="F998" s="132" t="s">
        <v>5390</v>
      </c>
      <c r="G998" s="198">
        <v>0</v>
      </c>
      <c r="H998" s="138">
        <f>IF(D998=G998,0,IF(D998=0,100,(G998-D998)/D998*100))</f>
        <v>0</v>
      </c>
      <c r="I998" s="33">
        <f>ROUNDUP(G998+(G998*Assumptions!H$5),-2)</f>
        <v>0</v>
      </c>
      <c r="J998" s="33">
        <f>ROUNDUP(I998+(I998*Assumptions!I$5),-2)</f>
        <v>0</v>
      </c>
      <c r="K998" s="33">
        <f>ROUNDUP(J998+(J998*Assumptions!J$5),-2)</f>
        <v>0</v>
      </c>
      <c r="L998" s="33">
        <f>ROUNDUP(K998+(K998*Assumptions!K$5),-2)</f>
        <v>0</v>
      </c>
      <c r="M998" s="33">
        <f>ROUNDUP(L998+(L998*Assumptions!L$5),-2)</f>
        <v>0</v>
      </c>
      <c r="N998" s="33">
        <f>ROUNDUP(M998+(M998*Assumptions!M$5),-2)</f>
        <v>0</v>
      </c>
      <c r="O998" s="33">
        <f>ROUNDUP(N998+(N998*Assumptions!N$5),-2)</f>
        <v>0</v>
      </c>
      <c r="P998" s="33">
        <f>ROUNDUP(O998+(O998*Assumptions!O$5),-2)</f>
        <v>0</v>
      </c>
      <c r="Q998" s="33">
        <f>ROUNDUP(P998+(P998*Assumptions!P$5),-2)</f>
        <v>0</v>
      </c>
      <c r="R998" s="114">
        <f>ROUNDUP(Q998+(Q998*Assumptions!Q$5),-2)</f>
        <v>0</v>
      </c>
    </row>
    <row r="999" spans="1:18" ht="13.5" thickBot="1" x14ac:dyDescent="0.25">
      <c r="A999" s="107"/>
      <c r="B999" s="33"/>
      <c r="D999" s="187"/>
      <c r="E999" s="1954"/>
      <c r="F999" s="1981"/>
      <c r="G999" s="187"/>
      <c r="H999" s="138"/>
      <c r="I999" s="33"/>
      <c r="J999" s="33"/>
      <c r="K999" s="33"/>
      <c r="L999" s="33"/>
      <c r="M999" s="33"/>
      <c r="N999" s="33"/>
      <c r="O999" s="33"/>
      <c r="P999" s="33"/>
      <c r="Q999" s="33"/>
      <c r="R999" s="114"/>
    </row>
    <row r="1000" spans="1:18" s="92" customFormat="1" x14ac:dyDescent="0.2">
      <c r="A1000" s="105">
        <f>SUM(A967:A999)</f>
        <v>2445400</v>
      </c>
      <c r="B1000" s="53">
        <f>SUM(B967:B999)</f>
        <v>2507800</v>
      </c>
      <c r="C1000" s="190">
        <f>SUM(C967:C999)</f>
        <v>2343200</v>
      </c>
      <c r="D1000" s="190">
        <f>SUM(D967:D999)</f>
        <v>2213900</v>
      </c>
      <c r="E1000" s="237"/>
      <c r="F1000" s="1960" t="s">
        <v>565</v>
      </c>
      <c r="G1000" s="199">
        <f>SUM(G967:G999)</f>
        <v>2373300</v>
      </c>
      <c r="H1000" s="180">
        <f>IF(D1000=G1000,0,IF(D1000=0,100,(G1000-D1000)/D1000*100))</f>
        <v>7.1999638646732009</v>
      </c>
      <c r="I1000" s="53">
        <f t="shared" ref="I1000:Q1000" si="1292">SUM(I967:I999)</f>
        <v>2220300</v>
      </c>
      <c r="J1000" s="53">
        <f t="shared" si="1292"/>
        <v>2269300</v>
      </c>
      <c r="K1000" s="53">
        <f t="shared" si="1292"/>
        <v>2319400</v>
      </c>
      <c r="L1000" s="53">
        <f t="shared" si="1292"/>
        <v>2370600</v>
      </c>
      <c r="M1000" s="53">
        <f t="shared" si="1292"/>
        <v>2418900</v>
      </c>
      <c r="N1000" s="53">
        <f t="shared" si="1292"/>
        <v>2468200</v>
      </c>
      <c r="O1000" s="53">
        <f t="shared" si="1292"/>
        <v>2518400</v>
      </c>
      <c r="P1000" s="53">
        <f t="shared" si="1292"/>
        <v>2569800</v>
      </c>
      <c r="Q1000" s="53">
        <f t="shared" si="1292"/>
        <v>2622200</v>
      </c>
      <c r="R1000" s="113">
        <f t="shared" ref="R1000" si="1293">SUM(R967:R999)</f>
        <v>2675600</v>
      </c>
    </row>
    <row r="1001" spans="1:18" x14ac:dyDescent="0.2">
      <c r="A1001" s="107"/>
      <c r="B1001" s="33"/>
      <c r="E1001" s="1955"/>
      <c r="F1001" s="1981"/>
      <c r="G1001" s="187"/>
      <c r="H1001" s="138"/>
      <c r="I1001" s="33"/>
      <c r="J1001" s="33"/>
      <c r="K1001" s="33"/>
      <c r="L1001" s="33"/>
      <c r="M1001" s="33"/>
      <c r="N1001" s="33"/>
      <c r="O1001" s="33"/>
      <c r="P1001" s="33"/>
      <c r="Q1001" s="33"/>
      <c r="R1001" s="114"/>
    </row>
    <row r="1002" spans="1:18" s="92" customFormat="1" x14ac:dyDescent="0.2">
      <c r="A1002" s="70">
        <f>A965-A1000</f>
        <v>-2116100</v>
      </c>
      <c r="B1002" s="64">
        <f>B965-B1000</f>
        <v>-2160400</v>
      </c>
      <c r="C1002" s="193">
        <f>C965-C1000</f>
        <v>-2051500</v>
      </c>
      <c r="D1002" s="193">
        <f>D965-D1000</f>
        <v>-1839300</v>
      </c>
      <c r="E1002" s="237"/>
      <c r="F1002" s="522" t="s">
        <v>1019</v>
      </c>
      <c r="G1002" s="192">
        <f>G965-G1000</f>
        <v>-1794300</v>
      </c>
      <c r="H1002" s="179">
        <f>IF(D1002=G1002,0,IF(D1002=0,100,(G1002-D1002)/D1002*100))</f>
        <v>-2.4465829391616376</v>
      </c>
      <c r="I1002" s="64">
        <f t="shared" ref="I1002:Q1002" si="1294">I965-I1000</f>
        <v>-1843400</v>
      </c>
      <c r="J1002" s="64">
        <f t="shared" si="1294"/>
        <v>-1890500</v>
      </c>
      <c r="K1002" s="64">
        <f t="shared" si="1294"/>
        <v>-1938700</v>
      </c>
      <c r="L1002" s="64">
        <f t="shared" si="1294"/>
        <v>-1987900</v>
      </c>
      <c r="M1002" s="64">
        <f t="shared" si="1294"/>
        <v>-2034200</v>
      </c>
      <c r="N1002" s="64">
        <f t="shared" si="1294"/>
        <v>-2081500</v>
      </c>
      <c r="O1002" s="64">
        <f t="shared" si="1294"/>
        <v>-2129700</v>
      </c>
      <c r="P1002" s="64">
        <f t="shared" si="1294"/>
        <v>-2179100</v>
      </c>
      <c r="Q1002" s="64">
        <f t="shared" si="1294"/>
        <v>-2229500</v>
      </c>
      <c r="R1002" s="115">
        <f t="shared" ref="R1002" si="1295">R965-R1000</f>
        <v>-2280900</v>
      </c>
    </row>
    <row r="1003" spans="1:18" x14ac:dyDescent="0.2">
      <c r="A1003" s="107">
        <f>SUM(A996:A997)</f>
        <v>1663200</v>
      </c>
      <c r="B1003" s="33">
        <f>SUM(B996:B997)</f>
        <v>1655900</v>
      </c>
      <c r="C1003" s="33">
        <f>SUM(C996:C997)</f>
        <v>1419300</v>
      </c>
      <c r="D1003" s="33">
        <f>SUM(D996:D997)</f>
        <v>1458800</v>
      </c>
      <c r="E1003" s="1955"/>
      <c r="F1003" s="320" t="s">
        <v>1976</v>
      </c>
      <c r="G1003" s="187">
        <f t="shared" ref="G1003:O1003" si="1296">SUM(G996:G997)</f>
        <v>1445000</v>
      </c>
      <c r="H1003" s="138">
        <f>IF(D1003=G1003,0,IF(D1003=0,100,(G1003-D1003)/D1003*100))</f>
        <v>-0.94598299972580202</v>
      </c>
      <c r="I1003" s="187">
        <f t="shared" si="1296"/>
        <v>1474000</v>
      </c>
      <c r="J1003" s="187">
        <f t="shared" si="1296"/>
        <v>1503600</v>
      </c>
      <c r="K1003" s="187">
        <f t="shared" si="1296"/>
        <v>1533800</v>
      </c>
      <c r="L1003" s="187">
        <f t="shared" si="1296"/>
        <v>1564600</v>
      </c>
      <c r="M1003" s="187">
        <f t="shared" si="1296"/>
        <v>1596000</v>
      </c>
      <c r="N1003" s="187">
        <f t="shared" si="1296"/>
        <v>1628000</v>
      </c>
      <c r="O1003" s="187">
        <f t="shared" si="1296"/>
        <v>1660700</v>
      </c>
      <c r="P1003" s="187">
        <f t="shared" ref="P1003:Q1003" si="1297">SUM(P996:P997)</f>
        <v>1694000</v>
      </c>
      <c r="Q1003" s="187">
        <f t="shared" si="1297"/>
        <v>1728000</v>
      </c>
      <c r="R1003" s="188">
        <f t="shared" ref="R1003" si="1298">SUM(R996:R997)</f>
        <v>1762700</v>
      </c>
    </row>
    <row r="1004" spans="1:18" x14ac:dyDescent="0.2">
      <c r="A1004" s="107">
        <f t="shared" ref="A1004:B1004" si="1299">A998</f>
        <v>97700</v>
      </c>
      <c r="B1004" s="33">
        <f t="shared" si="1299"/>
        <v>78300</v>
      </c>
      <c r="C1004" s="33">
        <f>C998</f>
        <v>1200</v>
      </c>
      <c r="D1004" s="33">
        <f>D998</f>
        <v>0</v>
      </c>
      <c r="E1004" s="1955"/>
      <c r="F1004" s="320" t="s">
        <v>4658</v>
      </c>
      <c r="G1004" s="187">
        <f t="shared" ref="G1004:O1004" si="1300">G998</f>
        <v>0</v>
      </c>
      <c r="H1004" s="138">
        <f>IF(D1004=G1004,0,IF(D1004=0,100,(G1004-D1004)/D1004*100))</f>
        <v>0</v>
      </c>
      <c r="I1004" s="187">
        <f t="shared" si="1300"/>
        <v>0</v>
      </c>
      <c r="J1004" s="187">
        <f t="shared" si="1300"/>
        <v>0</v>
      </c>
      <c r="K1004" s="187">
        <f t="shared" si="1300"/>
        <v>0</v>
      </c>
      <c r="L1004" s="187">
        <f t="shared" si="1300"/>
        <v>0</v>
      </c>
      <c r="M1004" s="187">
        <f t="shared" si="1300"/>
        <v>0</v>
      </c>
      <c r="N1004" s="187">
        <f t="shared" si="1300"/>
        <v>0</v>
      </c>
      <c r="O1004" s="187">
        <f t="shared" si="1300"/>
        <v>0</v>
      </c>
      <c r="P1004" s="187">
        <f t="shared" ref="P1004:Q1004" si="1301">P998</f>
        <v>0</v>
      </c>
      <c r="Q1004" s="187">
        <f t="shared" si="1301"/>
        <v>0</v>
      </c>
      <c r="R1004" s="188">
        <f t="shared" ref="R1004" si="1302">R998</f>
        <v>0</v>
      </c>
    </row>
    <row r="1005" spans="1:18" s="92" customFormat="1" x14ac:dyDescent="0.2">
      <c r="A1005" s="181">
        <f t="shared" ref="A1005:B1005" si="1303">A1002+A1003+A1004</f>
        <v>-355200</v>
      </c>
      <c r="B1005" s="397">
        <f t="shared" si="1303"/>
        <v>-426200</v>
      </c>
      <c r="C1005" s="397">
        <f>C1002+C1003+C1004</f>
        <v>-631000</v>
      </c>
      <c r="D1005" s="397">
        <f>D1002+D1003+D1004</f>
        <v>-380500</v>
      </c>
      <c r="E1005" s="523"/>
      <c r="F1005" s="515" t="s">
        <v>1687</v>
      </c>
      <c r="G1005" s="728">
        <f t="shared" ref="G1005:O1005" si="1304">G1002+G1003+G1004</f>
        <v>-349300</v>
      </c>
      <c r="H1005" s="395">
        <f>IF(D1005=G1005,0,IF(D1005=0,100,(G1005-D1005)/D1005*100))</f>
        <v>-8.1997371879106442</v>
      </c>
      <c r="I1005" s="728">
        <f t="shared" si="1304"/>
        <v>-369400</v>
      </c>
      <c r="J1005" s="728">
        <f t="shared" si="1304"/>
        <v>-386900</v>
      </c>
      <c r="K1005" s="728">
        <f t="shared" si="1304"/>
        <v>-404900</v>
      </c>
      <c r="L1005" s="728">
        <f t="shared" si="1304"/>
        <v>-423300</v>
      </c>
      <c r="M1005" s="728">
        <f t="shared" si="1304"/>
        <v>-438200</v>
      </c>
      <c r="N1005" s="728">
        <f t="shared" si="1304"/>
        <v>-453500</v>
      </c>
      <c r="O1005" s="728">
        <f t="shared" si="1304"/>
        <v>-469000</v>
      </c>
      <c r="P1005" s="728">
        <f t="shared" ref="P1005:Q1005" si="1305">P1002+P1003+P1004</f>
        <v>-485100</v>
      </c>
      <c r="Q1005" s="728">
        <f t="shared" si="1305"/>
        <v>-501500</v>
      </c>
      <c r="R1005" s="1716">
        <f t="shared" ref="R1005" si="1306">R1002+R1003+R1004</f>
        <v>-518200</v>
      </c>
    </row>
    <row r="1006" spans="1:18" ht="13.5" thickBot="1" x14ac:dyDescent="0.25">
      <c r="A1006" s="751"/>
      <c r="B1006" s="64"/>
      <c r="C1006" s="192"/>
      <c r="D1006" s="192"/>
      <c r="E1006" s="1954"/>
      <c r="F1006" s="175"/>
      <c r="G1006" s="192"/>
      <c r="H1006" s="179"/>
      <c r="I1006" s="121"/>
      <c r="J1006" s="121"/>
      <c r="K1006" s="121"/>
      <c r="L1006" s="121"/>
      <c r="M1006" s="121"/>
      <c r="N1006" s="121"/>
      <c r="O1006" s="121"/>
      <c r="P1006" s="121"/>
      <c r="Q1006" s="121"/>
      <c r="R1006" s="161"/>
    </row>
    <row r="1007" spans="1:18" ht="13.5" thickTop="1" x14ac:dyDescent="0.2">
      <c r="A1007" s="383"/>
      <c r="B1007" s="122"/>
      <c r="C1007" s="194"/>
      <c r="D1007" s="194"/>
      <c r="E1007" s="541"/>
      <c r="F1007" s="640"/>
      <c r="G1007" s="730"/>
      <c r="H1007" s="505"/>
      <c r="I1007" s="127"/>
      <c r="J1007" s="127"/>
      <c r="K1007" s="127"/>
      <c r="L1007" s="127"/>
      <c r="M1007" s="127"/>
      <c r="N1007" s="127"/>
      <c r="O1007" s="127"/>
      <c r="P1007" s="127"/>
      <c r="Q1007" s="127"/>
      <c r="R1007" s="163"/>
    </row>
    <row r="1008" spans="1:18" x14ac:dyDescent="0.2">
      <c r="A1008" s="70"/>
      <c r="B1008" s="128"/>
      <c r="C1008" s="193"/>
      <c r="D1008" s="193"/>
      <c r="E1008" s="238"/>
      <c r="F1008" s="1962" t="s">
        <v>196</v>
      </c>
      <c r="G1008" s="192"/>
      <c r="H1008" s="179"/>
      <c r="I1008" s="33"/>
      <c r="J1008" s="33"/>
      <c r="K1008" s="33"/>
      <c r="L1008" s="33"/>
      <c r="M1008" s="33"/>
      <c r="N1008" s="33"/>
      <c r="O1008" s="33"/>
      <c r="P1008" s="33"/>
      <c r="Q1008" s="33"/>
      <c r="R1008" s="114"/>
    </row>
    <row r="1009" spans="1:18" x14ac:dyDescent="0.2">
      <c r="A1009" s="107">
        <v>0</v>
      </c>
      <c r="B1009" s="142">
        <v>0</v>
      </c>
      <c r="C1009" s="189">
        <v>0</v>
      </c>
      <c r="D1009" s="189">
        <v>0</v>
      </c>
      <c r="E1009" s="238"/>
      <c r="F1009" s="1981" t="s">
        <v>2900</v>
      </c>
      <c r="G1009" s="187">
        <v>0</v>
      </c>
      <c r="H1009" s="138"/>
      <c r="I1009" s="33">
        <v>0</v>
      </c>
      <c r="J1009" s="33">
        <v>0</v>
      </c>
      <c r="K1009" s="33">
        <v>0</v>
      </c>
      <c r="L1009" s="33">
        <v>0</v>
      </c>
      <c r="M1009" s="33">
        <v>0</v>
      </c>
      <c r="N1009" s="33">
        <v>0</v>
      </c>
      <c r="O1009" s="33">
        <v>0</v>
      </c>
      <c r="P1009" s="33">
        <v>0</v>
      </c>
      <c r="Q1009" s="33">
        <v>0</v>
      </c>
      <c r="R1009" s="114">
        <v>0</v>
      </c>
    </row>
    <row r="1010" spans="1:18" x14ac:dyDescent="0.2">
      <c r="A1010" s="107">
        <v>886300</v>
      </c>
      <c r="B1010" s="142">
        <v>643900</v>
      </c>
      <c r="C1010" s="189">
        <v>612300</v>
      </c>
      <c r="D1010" s="189">
        <f>SUM('Res-Gen'!B156:B162)</f>
        <v>507000</v>
      </c>
      <c r="E1010" s="238"/>
      <c r="F1010" s="1981" t="s">
        <v>1942</v>
      </c>
      <c r="G1010" s="187">
        <f>SUM('Res-Gen'!E156:E162)</f>
        <v>301600</v>
      </c>
      <c r="H1010" s="138"/>
      <c r="I1010" s="33">
        <f>SUM('Res-Gen'!H156:H162)</f>
        <v>0</v>
      </c>
      <c r="J1010" s="33">
        <f>SUM('Res-Gen'!K156:K162)</f>
        <v>0</v>
      </c>
      <c r="K1010" s="33">
        <f>SUM('Res-Gen'!N156:N162)</f>
        <v>0</v>
      </c>
      <c r="L1010" s="33">
        <f>SUM('Res-Gen'!Q156:Q162)</f>
        <v>0</v>
      </c>
      <c r="M1010" s="33">
        <f>SUM('Res-Gen'!T156:T162)</f>
        <v>0</v>
      </c>
      <c r="N1010" s="33">
        <f>SUM('Res-Gen'!W156:W162)</f>
        <v>0</v>
      </c>
      <c r="O1010" s="33">
        <f>SUM('Res-Gen'!Z156:Z162)</f>
        <v>0</v>
      </c>
      <c r="P1010" s="33">
        <f>SUM('Res-Gen'!AC156:AC162)</f>
        <v>0</v>
      </c>
      <c r="Q1010" s="33">
        <f>SUM('Res-Gen'!AF156:AF162)</f>
        <v>0</v>
      </c>
      <c r="R1010" s="114">
        <f>SUM('Res-Gen'!AI156:AI162)</f>
        <v>0</v>
      </c>
    </row>
    <row r="1011" spans="1:18" x14ac:dyDescent="0.2">
      <c r="A1011" s="107">
        <v>679700</v>
      </c>
      <c r="B1011" s="142">
        <v>852100</v>
      </c>
      <c r="C1011" s="189">
        <v>872000</v>
      </c>
      <c r="D1011" s="189">
        <f>SUM('Res-Gen'!C156:C162)+14900</f>
        <v>567000</v>
      </c>
      <c r="E1011" s="238"/>
      <c r="F1011" s="366" t="s">
        <v>2348</v>
      </c>
      <c r="G1011" s="198">
        <f>SUM('Res-Gen'!F156:F162)</f>
        <v>522500</v>
      </c>
      <c r="H1011" s="138"/>
      <c r="I1011" s="33">
        <f>SUM('Res-Gen'!I156:I162)</f>
        <v>0</v>
      </c>
      <c r="J1011" s="33">
        <f>SUM('Res-Gen'!L156:L162)</f>
        <v>0</v>
      </c>
      <c r="K1011" s="33">
        <f>SUM('Res-Gen'!O156:O162)</f>
        <v>0</v>
      </c>
      <c r="L1011" s="33">
        <f>SUM('Res-Gen'!R156:R162)</f>
        <v>0</v>
      </c>
      <c r="M1011" s="33">
        <f>SUM('Res-Gen'!U156:U162)</f>
        <v>0</v>
      </c>
      <c r="N1011" s="33">
        <f>SUM('Res-Gen'!X156:X162)</f>
        <v>0</v>
      </c>
      <c r="O1011" s="33">
        <f>SUM('Res-Gen'!AA156:AA162)</f>
        <v>0</v>
      </c>
      <c r="P1011" s="33">
        <f>SUM('Res-Gen'!AD156:AD162)</f>
        <v>0</v>
      </c>
      <c r="Q1011" s="33">
        <f>SUM('Res-Gen'!AG156:AG162)</f>
        <v>0</v>
      </c>
      <c r="R1011" s="114">
        <f>SUM('Res-Gen'!AJ156:AJ162)</f>
        <v>0</v>
      </c>
    </row>
    <row r="1012" spans="1:18" x14ac:dyDescent="0.2">
      <c r="A1012" s="107">
        <v>0</v>
      </c>
      <c r="B1012" s="142">
        <v>0</v>
      </c>
      <c r="C1012" s="189">
        <v>0</v>
      </c>
      <c r="D1012" s="189">
        <f>SUM('Cap-Gen'!Q109:S113)</f>
        <v>0</v>
      </c>
      <c r="E1012" s="238"/>
      <c r="F1012" s="366" t="s">
        <v>5984</v>
      </c>
      <c r="G1012" s="198">
        <f>SUM('Cap-Gen'!V109:X113)</f>
        <v>0</v>
      </c>
      <c r="H1012" s="138"/>
      <c r="I1012" s="33">
        <v>0</v>
      </c>
      <c r="J1012" s="33">
        <v>0</v>
      </c>
      <c r="K1012" s="33">
        <v>0</v>
      </c>
      <c r="L1012" s="33">
        <v>0</v>
      </c>
      <c r="M1012" s="33">
        <v>0</v>
      </c>
      <c r="N1012" s="33">
        <v>0</v>
      </c>
      <c r="O1012" s="33">
        <v>0</v>
      </c>
      <c r="P1012" s="33">
        <v>0</v>
      </c>
      <c r="Q1012" s="33">
        <v>0</v>
      </c>
      <c r="R1012" s="114">
        <v>0</v>
      </c>
    </row>
    <row r="1013" spans="1:18" x14ac:dyDescent="0.2">
      <c r="A1013" s="107">
        <v>161730</v>
      </c>
      <c r="B1013" s="142">
        <v>441800</v>
      </c>
      <c r="C1013" s="189">
        <v>221100</v>
      </c>
      <c r="D1013" s="189">
        <f>SUM('Cap-Gen'!E109:E113)</f>
        <v>302700</v>
      </c>
      <c r="E1013" s="238"/>
      <c r="F1013" s="366" t="s">
        <v>972</v>
      </c>
      <c r="G1013" s="198">
        <f>SUM('Cap-Gen'!F109:F113)</f>
        <v>427400</v>
      </c>
      <c r="H1013" s="138"/>
      <c r="I1013" s="33">
        <f>SUM('Cap-Gen'!G109:G113)</f>
        <v>456000</v>
      </c>
      <c r="J1013" s="33">
        <f>SUM('Cap-Gen'!H109:H113)</f>
        <v>474000</v>
      </c>
      <c r="K1013" s="33">
        <f>SUM('Cap-Gen'!I109:I113)</f>
        <v>493000</v>
      </c>
      <c r="L1013" s="33">
        <f>SUM('Cap-Gen'!J109:J113)</f>
        <v>506000</v>
      </c>
      <c r="M1013" s="33">
        <f>SUM('Cap-Gen'!K109:K113)</f>
        <v>519000</v>
      </c>
      <c r="N1013" s="33">
        <f>SUM('Cap-Gen'!L109:L113)</f>
        <v>532000</v>
      </c>
      <c r="O1013" s="33">
        <f>SUM('Cap-Gen'!M109:M113)</f>
        <v>546000</v>
      </c>
      <c r="P1013" s="33">
        <f>SUM('Cap-Gen'!N109:N113)</f>
        <v>560000</v>
      </c>
      <c r="Q1013" s="33">
        <f>SUM('Cap-Gen'!O109:O113)</f>
        <v>574000</v>
      </c>
      <c r="R1013" s="114">
        <f>SUM('Cap-Gen'!P109:P113)</f>
        <v>589000</v>
      </c>
    </row>
    <row r="1014" spans="1:18" s="92" customFormat="1" x14ac:dyDescent="0.2">
      <c r="A1014" s="181">
        <f>A1005-A1009-A1010+A1011++A1012-A1013</f>
        <v>-723530</v>
      </c>
      <c r="B1014" s="377">
        <f>B1005-B1009-B1010+B1011++B1012-B1013</f>
        <v>-659800</v>
      </c>
      <c r="C1014" s="398">
        <f>C1005-C1009-C1010+C1011++C1012-C1013</f>
        <v>-592400</v>
      </c>
      <c r="D1014" s="398">
        <f>D1005-D1009-D1010+D1011++D1012-D1013</f>
        <v>-623200</v>
      </c>
      <c r="E1014" s="526"/>
      <c r="F1014" s="518" t="s">
        <v>2490</v>
      </c>
      <c r="G1014" s="2605">
        <f t="shared" ref="G1014:P1014" si="1307">G1005-G1009-G1010+G1011++G1012-G1013</f>
        <v>-555800</v>
      </c>
      <c r="H1014" s="395">
        <f>IF(D1014=G1014,0,IF(D1014=0,100,(G1014-D1014)/D1014*100))</f>
        <v>-10.815147625160462</v>
      </c>
      <c r="I1014" s="397">
        <f t="shared" si="1307"/>
        <v>-825400</v>
      </c>
      <c r="J1014" s="397">
        <f t="shared" si="1307"/>
        <v>-860900</v>
      </c>
      <c r="K1014" s="397">
        <f t="shared" si="1307"/>
        <v>-897900</v>
      </c>
      <c r="L1014" s="397">
        <f t="shared" si="1307"/>
        <v>-929300</v>
      </c>
      <c r="M1014" s="397">
        <f t="shared" si="1307"/>
        <v>-957200</v>
      </c>
      <c r="N1014" s="397">
        <f t="shared" si="1307"/>
        <v>-985500</v>
      </c>
      <c r="O1014" s="397">
        <f t="shared" si="1307"/>
        <v>-1015000</v>
      </c>
      <c r="P1014" s="397">
        <f t="shared" si="1307"/>
        <v>-1045100</v>
      </c>
      <c r="Q1014" s="397">
        <f t="shared" ref="Q1014" si="1308">Q1005-Q1009-Q1010+Q1011++Q1012-Q1013</f>
        <v>-1075500</v>
      </c>
      <c r="R1014" s="399">
        <f t="shared" ref="R1014" si="1309">R1005-R1009-R1010+R1011++R1012-R1013</f>
        <v>-1107200</v>
      </c>
    </row>
    <row r="1015" spans="1:18" ht="13.5" thickBot="1" x14ac:dyDescent="0.25">
      <c r="A1015" s="73"/>
      <c r="B1015" s="134"/>
      <c r="C1015" s="195"/>
      <c r="D1015" s="195"/>
      <c r="E1015" s="239"/>
      <c r="F1015" s="368"/>
      <c r="G1015" s="2502"/>
      <c r="H1015" s="392"/>
      <c r="I1015" s="66"/>
      <c r="J1015" s="66"/>
      <c r="K1015" s="66"/>
      <c r="L1015" s="66"/>
      <c r="M1015" s="66"/>
      <c r="N1015" s="66"/>
      <c r="O1015" s="66"/>
      <c r="P1015" s="66"/>
      <c r="Q1015" s="66"/>
      <c r="R1015" s="165"/>
    </row>
    <row r="1016" spans="1:18" ht="14.25" thickTop="1" thickBot="1" x14ac:dyDescent="0.25">
      <c r="A1016" s="74"/>
      <c r="B1016" s="74"/>
      <c r="C1016" s="74"/>
      <c r="D1016" s="74"/>
      <c r="E1016" s="242"/>
      <c r="F1016" s="137"/>
      <c r="G1016" s="197"/>
      <c r="H1016" s="2507"/>
      <c r="I1016" s="99"/>
      <c r="J1016" s="99"/>
      <c r="K1016" s="99"/>
      <c r="L1016" s="99"/>
      <c r="M1016" s="99"/>
      <c r="N1016" s="99"/>
      <c r="O1016" s="99"/>
      <c r="P1016" s="99"/>
      <c r="Q1016" s="99"/>
      <c r="R1016" s="99"/>
    </row>
    <row r="1017" spans="1:18" s="91" customFormat="1" ht="18.75" customHeight="1" thickTop="1" thickBot="1" x14ac:dyDescent="0.3">
      <c r="A1017" s="2865" t="s">
        <v>1889</v>
      </c>
      <c r="B1017" s="2866"/>
      <c r="C1017" s="2866"/>
      <c r="D1017" s="2866"/>
      <c r="E1017" s="2866"/>
      <c r="F1017" s="2866"/>
      <c r="G1017" s="2866"/>
      <c r="H1017" s="2866"/>
      <c r="I1017" s="2866"/>
      <c r="J1017" s="2866"/>
      <c r="K1017" s="2866"/>
      <c r="L1017" s="2866"/>
      <c r="M1017" s="2866"/>
      <c r="N1017" s="2866"/>
      <c r="O1017" s="2866"/>
      <c r="P1017" s="2866"/>
      <c r="Q1017" s="2866"/>
      <c r="R1017" s="2867"/>
    </row>
    <row r="1018" spans="1:18" s="44" customFormat="1" x14ac:dyDescent="0.2">
      <c r="A1018" s="2848" t="s">
        <v>1856</v>
      </c>
      <c r="B1018" s="2840"/>
      <c r="C1018" s="2840"/>
      <c r="D1018" s="2849"/>
      <c r="E1018" s="369" t="s">
        <v>2663</v>
      </c>
      <c r="F1018" s="2649" t="s">
        <v>2251</v>
      </c>
      <c r="G1018" s="2885" t="s">
        <v>2253</v>
      </c>
      <c r="H1018" s="2886"/>
      <c r="I1018" s="2886"/>
      <c r="J1018" s="2886"/>
      <c r="K1018" s="2886"/>
      <c r="L1018" s="2886"/>
      <c r="M1018" s="2886"/>
      <c r="N1018" s="2886"/>
      <c r="O1018" s="2886"/>
      <c r="P1018" s="2886"/>
      <c r="Q1018" s="2886"/>
      <c r="R1018" s="2887"/>
    </row>
    <row r="1019" spans="1:18" s="23" customFormat="1" ht="13.5" thickBot="1" x14ac:dyDescent="0.25">
      <c r="A1019" s="208" t="str">
        <f>A3</f>
        <v>2012/13</v>
      </c>
      <c r="B1019" s="75" t="str">
        <f>B3</f>
        <v>2013/14</v>
      </c>
      <c r="C1019" s="370" t="str">
        <f>C3</f>
        <v>2014/15</v>
      </c>
      <c r="D1019" s="93" t="str">
        <f>D3</f>
        <v>2015/16</v>
      </c>
      <c r="E1019" s="1965" t="s">
        <v>2664</v>
      </c>
      <c r="F1019" s="42"/>
      <c r="G1019" s="93" t="str">
        <f>G3</f>
        <v>2016/17</v>
      </c>
      <c r="H1019" s="2193" t="str">
        <f>H1578</f>
        <v>%</v>
      </c>
      <c r="I1019" s="370" t="str">
        <f t="shared" ref="I1019:Q1019" si="1310">I3</f>
        <v>2017/18</v>
      </c>
      <c r="J1019" s="370" t="str">
        <f t="shared" si="1310"/>
        <v>2018/19</v>
      </c>
      <c r="K1019" s="370" t="str">
        <f t="shared" si="1310"/>
        <v>2019/20</v>
      </c>
      <c r="L1019" s="370" t="str">
        <f t="shared" si="1310"/>
        <v>2020/21</v>
      </c>
      <c r="M1019" s="370" t="str">
        <f t="shared" si="1310"/>
        <v>2021/22</v>
      </c>
      <c r="N1019" s="370" t="str">
        <f t="shared" si="1310"/>
        <v>2022/23</v>
      </c>
      <c r="O1019" s="370" t="str">
        <f t="shared" si="1310"/>
        <v>2023/24</v>
      </c>
      <c r="P1019" s="370" t="str">
        <f t="shared" si="1310"/>
        <v>2024/25</v>
      </c>
      <c r="Q1019" s="218" t="str">
        <f t="shared" si="1310"/>
        <v>2025/26</v>
      </c>
      <c r="R1019" s="549" t="str">
        <f t="shared" ref="R1019" si="1311">R3</f>
        <v>2026/27</v>
      </c>
    </row>
    <row r="1020" spans="1:18" x14ac:dyDescent="0.2">
      <c r="A1020" s="107"/>
      <c r="B1020" s="33"/>
      <c r="E1020" s="1955"/>
      <c r="F1020" s="2528"/>
      <c r="G1020" s="187"/>
      <c r="H1020" s="138"/>
      <c r="I1020" s="33"/>
      <c r="J1020" s="33"/>
      <c r="K1020" s="33"/>
      <c r="L1020" s="33"/>
      <c r="M1020" s="33"/>
      <c r="N1020" s="33"/>
      <c r="O1020" s="33"/>
      <c r="P1020" s="33"/>
      <c r="Q1020" s="33"/>
      <c r="R1020" s="114"/>
    </row>
    <row r="1021" spans="1:18" x14ac:dyDescent="0.2">
      <c r="A1021" s="107"/>
      <c r="B1021" s="33"/>
      <c r="C1021" s="187"/>
      <c r="D1021" s="187"/>
      <c r="E1021" s="1955"/>
      <c r="F1021" s="144" t="s">
        <v>1073</v>
      </c>
      <c r="G1021" s="187"/>
      <c r="H1021" s="138"/>
      <c r="I1021" s="33"/>
      <c r="J1021" s="33"/>
      <c r="K1021" s="33"/>
      <c r="L1021" s="33"/>
      <c r="M1021" s="33"/>
      <c r="N1021" s="33"/>
      <c r="O1021" s="33"/>
      <c r="P1021" s="33"/>
      <c r="Q1021" s="33"/>
      <c r="R1021" s="114"/>
    </row>
    <row r="1022" spans="1:18" x14ac:dyDescent="0.2">
      <c r="A1022" s="107"/>
      <c r="B1022" s="33"/>
      <c r="E1022" s="1955"/>
      <c r="F1022" s="79" t="s">
        <v>687</v>
      </c>
      <c r="G1022" s="187"/>
      <c r="H1022" s="138"/>
      <c r="I1022" s="33"/>
      <c r="J1022" s="33"/>
      <c r="K1022" s="33"/>
      <c r="L1022" s="33"/>
      <c r="M1022" s="33"/>
      <c r="N1022" s="33"/>
      <c r="O1022" s="33"/>
      <c r="P1022" s="33"/>
      <c r="Q1022" s="33"/>
      <c r="R1022" s="114"/>
    </row>
    <row r="1023" spans="1:18" x14ac:dyDescent="0.2">
      <c r="A1023" s="107">
        <v>0</v>
      </c>
      <c r="B1023" s="142">
        <v>0</v>
      </c>
      <c r="C1023" s="189">
        <v>12000</v>
      </c>
      <c r="D1023" s="189">
        <v>0</v>
      </c>
      <c r="E1023" s="1097" t="s">
        <v>4263</v>
      </c>
      <c r="F1023" s="77" t="s">
        <v>4419</v>
      </c>
      <c r="G1023" s="33">
        <v>0</v>
      </c>
      <c r="H1023" s="138">
        <f t="shared" ref="H1023:H1028" si="1312">IF(D1023=G1023,0,IF(D1023=0,100,(G1023-D1023)/D1023*100))</f>
        <v>0</v>
      </c>
      <c r="I1023" s="33">
        <f>ROUNDUP(G1023+(G1023*Assumptions!H$12),-2)</f>
        <v>0</v>
      </c>
      <c r="J1023" s="33">
        <f>ROUNDUP(I1023+(I1023*Assumptions!I$12),-2)</f>
        <v>0</v>
      </c>
      <c r="K1023" s="33">
        <f>ROUNDUP(J1023+(J1023*Assumptions!J$12),-2)</f>
        <v>0</v>
      </c>
      <c r="L1023" s="33">
        <f>ROUNDUP(K1023+(K1023*Assumptions!K$12),-2)</f>
        <v>0</v>
      </c>
      <c r="M1023" s="33">
        <f>ROUNDUP(L1023+(L1023*Assumptions!L$12),-2)</f>
        <v>0</v>
      </c>
      <c r="N1023" s="33">
        <f>ROUNDUP(M1023+(M1023*Assumptions!M$12),-2)</f>
        <v>0</v>
      </c>
      <c r="O1023" s="33">
        <f>ROUNDUP(N1023+(N1023*Assumptions!N$12),-2)</f>
        <v>0</v>
      </c>
      <c r="P1023" s="33">
        <f>ROUNDUP(O1023+(O1023*Assumptions!O$12),-2)</f>
        <v>0</v>
      </c>
      <c r="Q1023" s="33">
        <f>ROUNDUP(P1023+(P1023*Assumptions!P$12),-2)</f>
        <v>0</v>
      </c>
      <c r="R1023" s="114">
        <f>ROUNDUP(Q1023+(Q1023*Assumptions!Q$12),-2)</f>
        <v>0</v>
      </c>
    </row>
    <row r="1024" spans="1:18" x14ac:dyDescent="0.2">
      <c r="A1024" s="107">
        <v>47000</v>
      </c>
      <c r="B1024" s="142">
        <v>1500</v>
      </c>
      <c r="C1024" s="189">
        <v>0</v>
      </c>
      <c r="D1024" s="189">
        <v>0</v>
      </c>
      <c r="E1024" s="658" t="s">
        <v>2937</v>
      </c>
      <c r="F1024" s="77" t="s">
        <v>4487</v>
      </c>
      <c r="G1024" s="33">
        <v>0</v>
      </c>
      <c r="H1024" s="138">
        <f t="shared" si="1312"/>
        <v>0</v>
      </c>
      <c r="I1024" s="33">
        <f>ROUNDUP(G1024+(G1024*Assumptions!H$12),-2)</f>
        <v>0</v>
      </c>
      <c r="J1024" s="33">
        <f>ROUNDUP(I1024+(I1024*Assumptions!I$12),-2)</f>
        <v>0</v>
      </c>
      <c r="K1024" s="33">
        <f>ROUNDUP(J1024+(J1024*Assumptions!J$12),-2)</f>
        <v>0</v>
      </c>
      <c r="L1024" s="33">
        <f>ROUNDUP(K1024+(K1024*Assumptions!K$12),-2)</f>
        <v>0</v>
      </c>
      <c r="M1024" s="33">
        <f>ROUNDUP(L1024+(L1024*Assumptions!L$12),-2)</f>
        <v>0</v>
      </c>
      <c r="N1024" s="33">
        <f>ROUNDUP(M1024+(M1024*Assumptions!M$12),-2)</f>
        <v>0</v>
      </c>
      <c r="O1024" s="33">
        <f>ROUNDUP(N1024+(N1024*Assumptions!N$12),-2)</f>
        <v>0</v>
      </c>
      <c r="P1024" s="33">
        <f>ROUNDUP(O1024+(O1024*Assumptions!O$12),-2)</f>
        <v>0</v>
      </c>
      <c r="Q1024" s="33">
        <f>ROUNDUP(P1024+(P1024*Assumptions!P$12),-2)</f>
        <v>0</v>
      </c>
      <c r="R1024" s="114">
        <f>ROUNDUP(Q1024+(Q1024*Assumptions!Q$12),-2)</f>
        <v>0</v>
      </c>
    </row>
    <row r="1025" spans="1:18" x14ac:dyDescent="0.2">
      <c r="A1025" s="107">
        <v>19800</v>
      </c>
      <c r="B1025" s="189">
        <v>37100</v>
      </c>
      <c r="C1025" s="189">
        <v>69300</v>
      </c>
      <c r="D1025" s="189">
        <v>62700</v>
      </c>
      <c r="E1025" s="1092" t="s">
        <v>2944</v>
      </c>
      <c r="F1025" s="77" t="s">
        <v>2942</v>
      </c>
      <c r="G1025" s="33">
        <f>26300+28400</f>
        <v>54700</v>
      </c>
      <c r="H1025" s="138">
        <f t="shared" si="1312"/>
        <v>-12.759170653907494</v>
      </c>
      <c r="I1025" s="33">
        <f>22500+25000</f>
        <v>47500</v>
      </c>
      <c r="J1025" s="33">
        <f>18400+21600</f>
        <v>40000</v>
      </c>
      <c r="K1025" s="33">
        <f>14200+18000</f>
        <v>32200</v>
      </c>
      <c r="L1025" s="33">
        <f>9900+14300</f>
        <v>24200</v>
      </c>
      <c r="M1025" s="33">
        <f>5300+10500</f>
        <v>15800</v>
      </c>
      <c r="N1025" s="33">
        <f>900+6600</f>
        <v>7500</v>
      </c>
      <c r="O1025" s="33">
        <v>2600</v>
      </c>
      <c r="P1025" s="33">
        <v>0</v>
      </c>
      <c r="Q1025" s="33">
        <v>0</v>
      </c>
      <c r="R1025" s="114">
        <v>0</v>
      </c>
    </row>
    <row r="1026" spans="1:18" x14ac:dyDescent="0.2">
      <c r="A1026" s="107">
        <f>53600+554700</f>
        <v>608300</v>
      </c>
      <c r="B1026" s="189">
        <v>228000</v>
      </c>
      <c r="C1026" s="189">
        <v>0</v>
      </c>
      <c r="D1026" s="189">
        <v>214000</v>
      </c>
      <c r="E1026" s="658" t="s">
        <v>2474</v>
      </c>
      <c r="F1026" s="77" t="s">
        <v>6404</v>
      </c>
      <c r="G1026" s="187">
        <v>0</v>
      </c>
      <c r="H1026" s="138">
        <f t="shared" si="1312"/>
        <v>-100</v>
      </c>
      <c r="I1026" s="33">
        <f>ROUNDUP(G1026+(G1026*Assumptions!H$12),-2)</f>
        <v>0</v>
      </c>
      <c r="J1026" s="33">
        <f>ROUNDUP(I1026+(I1026*Assumptions!I$12),-2)</f>
        <v>0</v>
      </c>
      <c r="K1026" s="33">
        <f>ROUNDUP(J1026+(J1026*Assumptions!J$12),-2)</f>
        <v>0</v>
      </c>
      <c r="L1026" s="33">
        <f>ROUNDUP(K1026+(K1026*Assumptions!K$12),-2)</f>
        <v>0</v>
      </c>
      <c r="M1026" s="33">
        <f>ROUNDUP(L1026+(L1026*Assumptions!L$12),-2)</f>
        <v>0</v>
      </c>
      <c r="N1026" s="33">
        <f>ROUNDUP(M1026+(M1026*Assumptions!M$12),-2)</f>
        <v>0</v>
      </c>
      <c r="O1026" s="33">
        <f>ROUNDUP(N1026+(N1026*Assumptions!N$12),-2)</f>
        <v>0</v>
      </c>
      <c r="P1026" s="33">
        <f>ROUNDUP(O1026+(O1026*Assumptions!O$12),-2)</f>
        <v>0</v>
      </c>
      <c r="Q1026" s="33">
        <f>ROUNDUP(P1026+(P1026*Assumptions!P$12),-2)</f>
        <v>0</v>
      </c>
      <c r="R1026" s="114">
        <f>ROUNDUP(Q1026+(Q1026*Assumptions!Q$12),-2)</f>
        <v>0</v>
      </c>
    </row>
    <row r="1027" spans="1:18" x14ac:dyDescent="0.2">
      <c r="A1027" s="107"/>
      <c r="B1027" s="189"/>
      <c r="E1027" s="1092" t="s">
        <v>7095</v>
      </c>
      <c r="F1027" s="77" t="s">
        <v>7096</v>
      </c>
      <c r="G1027" s="187">
        <v>9600</v>
      </c>
      <c r="H1027" s="138">
        <f t="shared" si="1312"/>
        <v>100</v>
      </c>
      <c r="I1027" s="33">
        <v>0</v>
      </c>
      <c r="J1027" s="33">
        <f>ROUNDUP(I1027+(I1027*Assumptions!I$12),-2)</f>
        <v>0</v>
      </c>
      <c r="K1027" s="33">
        <f>ROUNDUP(J1027+(J1027*Assumptions!J$12),-2)</f>
        <v>0</v>
      </c>
      <c r="L1027" s="33">
        <f>ROUNDUP(K1027+(K1027*Assumptions!K$12),-2)</f>
        <v>0</v>
      </c>
      <c r="M1027" s="33">
        <f>ROUNDUP(L1027+(L1027*Assumptions!L$12),-2)</f>
        <v>0</v>
      </c>
      <c r="N1027" s="33">
        <f>ROUNDUP(M1027+(M1027*Assumptions!M$12),-2)</f>
        <v>0</v>
      </c>
      <c r="O1027" s="33">
        <f>ROUNDUP(N1027+(N1027*Assumptions!N$12),-2)</f>
        <v>0</v>
      </c>
      <c r="P1027" s="33">
        <f>ROUNDUP(O1027+(O1027*Assumptions!O$12),-2)</f>
        <v>0</v>
      </c>
      <c r="Q1027" s="33">
        <f>ROUNDUP(P1027+(P1027*Assumptions!P$12),-2)</f>
        <v>0</v>
      </c>
      <c r="R1027" s="114">
        <f>ROUNDUP(Q1027+(Q1027*Assumptions!Q$12),-2)</f>
        <v>0</v>
      </c>
    </row>
    <row r="1028" spans="1:18" x14ac:dyDescent="0.2">
      <c r="A1028" s="107">
        <v>0</v>
      </c>
      <c r="B1028" s="189">
        <v>0</v>
      </c>
      <c r="C1028" s="189">
        <f>4000+104800+130000</f>
        <v>238800</v>
      </c>
      <c r="D1028" s="189">
        <v>0</v>
      </c>
      <c r="E1028" s="1092" t="s">
        <v>6578</v>
      </c>
      <c r="F1028" s="77" t="s">
        <v>5334</v>
      </c>
      <c r="G1028" s="187">
        <f>1484000+468000+543000</f>
        <v>2495000</v>
      </c>
      <c r="H1028" s="138">
        <f t="shared" si="1312"/>
        <v>100</v>
      </c>
      <c r="I1028" s="33">
        <v>935000</v>
      </c>
      <c r="J1028" s="33">
        <v>734000</v>
      </c>
      <c r="K1028" s="33">
        <v>634000</v>
      </c>
      <c r="L1028" s="33">
        <f>ROUNDUP(K1028+(K1028*Assumptions!K$12),-2)</f>
        <v>646700</v>
      </c>
      <c r="M1028" s="33">
        <f>ROUNDUP(L1028+(L1028*Assumptions!L$12),-2)</f>
        <v>659700</v>
      </c>
      <c r="N1028" s="33">
        <f>ROUNDUP(M1028+(M1028*Assumptions!M$12),-2)</f>
        <v>672900</v>
      </c>
      <c r="O1028" s="33">
        <f>ROUNDUP(N1028+(N1028*Assumptions!N$12),-2)</f>
        <v>686400</v>
      </c>
      <c r="P1028" s="33">
        <f>ROUNDUP(O1028+(O1028*Assumptions!O$12),-2)</f>
        <v>700200</v>
      </c>
      <c r="Q1028" s="33">
        <f>ROUNDUP(P1028+(P1028*Assumptions!P$12),-2)</f>
        <v>714300</v>
      </c>
      <c r="R1028" s="114">
        <f>ROUNDUP(Q1028+(Q1028*Assumptions!Q$12),-2)</f>
        <v>728600</v>
      </c>
    </row>
    <row r="1029" spans="1:18" x14ac:dyDescent="0.2">
      <c r="A1029" s="107"/>
      <c r="B1029" s="189"/>
      <c r="E1029" s="1092"/>
      <c r="F1029" s="2529" t="s">
        <v>3243</v>
      </c>
      <c r="G1029" s="187"/>
      <c r="H1029" s="138"/>
      <c r="I1029" s="33"/>
      <c r="J1029" s="33"/>
      <c r="K1029" s="33"/>
      <c r="L1029" s="33"/>
      <c r="M1029" s="33"/>
      <c r="N1029" s="33"/>
      <c r="O1029" s="33"/>
      <c r="P1029" s="33"/>
      <c r="Q1029" s="33"/>
      <c r="R1029" s="114"/>
    </row>
    <row r="1030" spans="1:18" x14ac:dyDescent="0.2">
      <c r="A1030" s="107">
        <v>12800</v>
      </c>
      <c r="B1030" s="189">
        <f>47800+35400+149900</f>
        <v>233100</v>
      </c>
      <c r="C1030" s="189">
        <v>0</v>
      </c>
      <c r="D1030" s="189">
        <v>0</v>
      </c>
      <c r="E1030" s="658" t="s">
        <v>214</v>
      </c>
      <c r="F1030" s="77" t="s">
        <v>4488</v>
      </c>
      <c r="G1030" s="187">
        <v>0</v>
      </c>
      <c r="H1030" s="138">
        <f>IF(D1030=G1030,0,IF(D1030=0,100,(G1030-D1030)/D1030*100))</f>
        <v>0</v>
      </c>
      <c r="I1030" s="33">
        <f>ROUNDUP(G1030+(G1030*Assumptions!H$12),-2)</f>
        <v>0</v>
      </c>
      <c r="J1030" s="33">
        <f>ROUNDUP(I1030+(I1030*Assumptions!I$12),-2)</f>
        <v>0</v>
      </c>
      <c r="K1030" s="33">
        <f>ROUNDUP(J1030+(J1030*Assumptions!J$12),-2)</f>
        <v>0</v>
      </c>
      <c r="L1030" s="33">
        <f>ROUNDUP(K1030+(K1030*Assumptions!K$12),-2)</f>
        <v>0</v>
      </c>
      <c r="M1030" s="33">
        <f>ROUNDUP(L1030+(L1030*Assumptions!L$12),-2)</f>
        <v>0</v>
      </c>
      <c r="N1030" s="33">
        <f>ROUNDUP(M1030+(M1030*Assumptions!M$12),-2)</f>
        <v>0</v>
      </c>
      <c r="O1030" s="33">
        <f>ROUNDUP(N1030+(N1030*Assumptions!N$12),-2)</f>
        <v>0</v>
      </c>
      <c r="P1030" s="33">
        <f>ROUNDUP(O1030+(O1030*Assumptions!O$12),-2)</f>
        <v>0</v>
      </c>
      <c r="Q1030" s="33">
        <f>ROUNDUP(P1030+(P1030*Assumptions!P$12),-2)</f>
        <v>0</v>
      </c>
      <c r="R1030" s="114">
        <f>ROUNDUP(Q1030+(Q1030*Assumptions!Q$12),-2)</f>
        <v>0</v>
      </c>
    </row>
    <row r="1031" spans="1:18" x14ac:dyDescent="0.2">
      <c r="A1031" s="107">
        <v>0</v>
      </c>
      <c r="B1031" s="189">
        <v>0</v>
      </c>
      <c r="C1031" s="189">
        <v>28600</v>
      </c>
      <c r="D1031" s="189">
        <v>26700</v>
      </c>
      <c r="E1031" s="1092" t="s">
        <v>2937</v>
      </c>
      <c r="F1031" s="77" t="s">
        <v>3425</v>
      </c>
      <c r="G1031" s="187">
        <v>0</v>
      </c>
      <c r="H1031" s="138">
        <f>IF(D1031=G1031,0,IF(D1031=0,100,(G1031-D1031)/D1031*100))</f>
        <v>-100</v>
      </c>
      <c r="I1031" s="33">
        <v>0</v>
      </c>
      <c r="J1031" s="33">
        <v>0</v>
      </c>
      <c r="K1031" s="33">
        <v>0</v>
      </c>
      <c r="L1031" s="33">
        <v>0</v>
      </c>
      <c r="M1031" s="33">
        <v>0</v>
      </c>
      <c r="N1031" s="33">
        <v>0</v>
      </c>
      <c r="O1031" s="33">
        <v>0</v>
      </c>
      <c r="P1031" s="33">
        <v>0</v>
      </c>
      <c r="Q1031" s="33">
        <v>0</v>
      </c>
      <c r="R1031" s="114">
        <v>0</v>
      </c>
    </row>
    <row r="1032" spans="1:18" ht="13.5" thickBot="1" x14ac:dyDescent="0.25">
      <c r="A1032" s="107">
        <v>0</v>
      </c>
      <c r="B1032" s="189">
        <v>0</v>
      </c>
      <c r="C1032" s="189">
        <v>65100</v>
      </c>
      <c r="D1032" s="189">
        <v>47100</v>
      </c>
      <c r="E1032" s="1092" t="s">
        <v>3215</v>
      </c>
      <c r="F1032" s="77" t="s">
        <v>3216</v>
      </c>
      <c r="G1032" s="187">
        <v>0</v>
      </c>
      <c r="H1032" s="138">
        <f>IF(D1032=G1032,0,IF(D1032=0,100,(G1032-D1032)/D1032*100))</f>
        <v>-100</v>
      </c>
      <c r="I1032" s="33">
        <v>0</v>
      </c>
      <c r="J1032" s="33">
        <v>0</v>
      </c>
      <c r="K1032" s="33">
        <v>0</v>
      </c>
      <c r="L1032" s="33">
        <v>0</v>
      </c>
      <c r="M1032" s="33">
        <v>0</v>
      </c>
      <c r="N1032" s="33">
        <v>0</v>
      </c>
      <c r="O1032" s="33">
        <v>0</v>
      </c>
      <c r="P1032" s="33">
        <v>0</v>
      </c>
      <c r="Q1032" s="33">
        <v>0</v>
      </c>
      <c r="R1032" s="114">
        <v>0</v>
      </c>
    </row>
    <row r="1033" spans="1:18" s="92" customFormat="1" x14ac:dyDescent="0.2">
      <c r="A1033" s="105">
        <f>SUM(A1021:A1032)</f>
        <v>687900</v>
      </c>
      <c r="B1033" s="53">
        <f>SUM(B1021:B1032)</f>
        <v>499700</v>
      </c>
      <c r="C1033" s="190">
        <f>SUM(C1020:C1032)</f>
        <v>413800</v>
      </c>
      <c r="D1033" s="190">
        <f>SUM(D1020:D1032)</f>
        <v>350500</v>
      </c>
      <c r="E1033" s="237"/>
      <c r="F1033" s="1960" t="s">
        <v>2605</v>
      </c>
      <c r="G1033" s="199">
        <f>SUM(G1020:G1032)</f>
        <v>2559300</v>
      </c>
      <c r="H1033" s="180">
        <f>IF(D1033=G1033,0,IF(D1033=0,100,(G1033-D1033)/D1033*100))</f>
        <v>630.18544935805994</v>
      </c>
      <c r="I1033" s="199">
        <f t="shared" ref="I1033:Q1033" si="1313">SUM(I1020:I1032)</f>
        <v>982500</v>
      </c>
      <c r="J1033" s="199">
        <f t="shared" si="1313"/>
        <v>774000</v>
      </c>
      <c r="K1033" s="199">
        <f t="shared" si="1313"/>
        <v>666200</v>
      </c>
      <c r="L1033" s="199">
        <f t="shared" si="1313"/>
        <v>670900</v>
      </c>
      <c r="M1033" s="199">
        <f t="shared" si="1313"/>
        <v>675500</v>
      </c>
      <c r="N1033" s="199">
        <f t="shared" si="1313"/>
        <v>680400</v>
      </c>
      <c r="O1033" s="199">
        <f t="shared" si="1313"/>
        <v>689000</v>
      </c>
      <c r="P1033" s="199">
        <f t="shared" si="1313"/>
        <v>700200</v>
      </c>
      <c r="Q1033" s="199">
        <f t="shared" si="1313"/>
        <v>714300</v>
      </c>
      <c r="R1033" s="191">
        <f t="shared" ref="R1033" si="1314">SUM(R1020:R1032)</f>
        <v>728600</v>
      </c>
    </row>
    <row r="1034" spans="1:18" x14ac:dyDescent="0.2">
      <c r="A1034" s="107"/>
      <c r="B1034" s="33"/>
      <c r="E1034" s="1955"/>
      <c r="F1034" s="76"/>
      <c r="G1034" s="187"/>
      <c r="H1034" s="138"/>
      <c r="I1034" s="33"/>
      <c r="J1034" s="33"/>
      <c r="K1034" s="33"/>
      <c r="L1034" s="33"/>
      <c r="M1034" s="33"/>
      <c r="N1034" s="33"/>
      <c r="O1034" s="33"/>
      <c r="P1034" s="33"/>
      <c r="Q1034" s="33"/>
      <c r="R1034" s="114"/>
    </row>
    <row r="1035" spans="1:18" x14ac:dyDescent="0.2">
      <c r="A1035" s="107"/>
      <c r="B1035" s="33"/>
      <c r="C1035" s="187"/>
      <c r="E1035" s="1955"/>
      <c r="F1035" s="103" t="s">
        <v>2205</v>
      </c>
      <c r="G1035" s="187"/>
      <c r="H1035" s="138"/>
      <c r="I1035" s="33"/>
      <c r="J1035" s="33"/>
      <c r="K1035" s="33"/>
      <c r="L1035" s="33"/>
      <c r="M1035" s="33"/>
      <c r="N1035" s="33"/>
      <c r="O1035" s="33"/>
      <c r="P1035" s="33"/>
      <c r="Q1035" s="33"/>
      <c r="R1035" s="114"/>
    </row>
    <row r="1036" spans="1:18" x14ac:dyDescent="0.2">
      <c r="A1036" s="107"/>
      <c r="B1036" s="33"/>
      <c r="C1036" s="187"/>
      <c r="E1036" s="1955"/>
      <c r="F1036" s="64" t="s">
        <v>299</v>
      </c>
      <c r="G1036" s="198"/>
      <c r="H1036" s="138"/>
      <c r="I1036" s="33"/>
      <c r="J1036" s="33"/>
      <c r="K1036" s="33"/>
      <c r="L1036" s="33"/>
      <c r="M1036" s="33"/>
      <c r="N1036" s="33"/>
      <c r="O1036" s="33"/>
      <c r="P1036" s="33"/>
      <c r="Q1036" s="33"/>
      <c r="R1036" s="114"/>
    </row>
    <row r="1037" spans="1:18" x14ac:dyDescent="0.2">
      <c r="A1037" s="107">
        <v>51400</v>
      </c>
      <c r="B1037" s="33">
        <v>100800</v>
      </c>
      <c r="C1037" s="187">
        <v>66500</v>
      </c>
      <c r="D1037" s="189">
        <v>29800</v>
      </c>
      <c r="E1037" s="658" t="s">
        <v>1355</v>
      </c>
      <c r="F1037" s="351" t="s">
        <v>1352</v>
      </c>
      <c r="G1037" s="198">
        <v>61000</v>
      </c>
      <c r="H1037" s="138">
        <f t="shared" ref="H1037:H1043" si="1315">IF(D1037=G1037,0,IF(D1037=0,100,(G1037-D1037)/D1037*100))</f>
        <v>104.69798657718121</v>
      </c>
      <c r="I1037" s="33">
        <v>64000</v>
      </c>
      <c r="J1037" s="33">
        <f>ROUNDUP(I1037+(I1037*Assumptions!I$5),-2)</f>
        <v>65600</v>
      </c>
      <c r="K1037" s="33">
        <f>ROUNDUP(J1037+(J1037*Assumptions!J$5),-2)</f>
        <v>67300</v>
      </c>
      <c r="L1037" s="33">
        <f>ROUNDUP(K1037+(K1037*Assumptions!K$5),-2)</f>
        <v>69000</v>
      </c>
      <c r="M1037" s="33">
        <f>ROUNDUP(L1037+(L1037*Assumptions!L$5),-2)</f>
        <v>70400</v>
      </c>
      <c r="N1037" s="33">
        <f>ROUNDUP(M1037+(M1037*Assumptions!M$5),-2)</f>
        <v>71900</v>
      </c>
      <c r="O1037" s="33">
        <f>ROUNDUP(N1037+(N1037*Assumptions!N$5),-2)</f>
        <v>73400</v>
      </c>
      <c r="P1037" s="33">
        <f>ROUNDUP(O1037+(O1037*Assumptions!O$5),-2)</f>
        <v>74900</v>
      </c>
      <c r="Q1037" s="33">
        <f>ROUNDUP(P1037+(P1037*Assumptions!P$5),-2)</f>
        <v>76400</v>
      </c>
      <c r="R1037" s="114">
        <f>ROUNDUP(Q1037+(Q1037*Assumptions!Q$5),-2)</f>
        <v>78000</v>
      </c>
    </row>
    <row r="1038" spans="1:18" x14ac:dyDescent="0.2">
      <c r="A1038" s="107">
        <v>27100</v>
      </c>
      <c r="B1038" s="33">
        <v>5900</v>
      </c>
      <c r="C1038" s="187">
        <v>4700</v>
      </c>
      <c r="D1038" s="189">
        <v>3400</v>
      </c>
      <c r="E1038" s="658" t="s">
        <v>1356</v>
      </c>
      <c r="F1038" s="351" t="s">
        <v>1353</v>
      </c>
      <c r="G1038" s="198">
        <v>32000</v>
      </c>
      <c r="H1038" s="138">
        <f t="shared" si="1315"/>
        <v>841.17647058823536</v>
      </c>
      <c r="I1038" s="33">
        <v>34000</v>
      </c>
      <c r="J1038" s="33">
        <f>ROUNDUP(I1038+(I1038*Assumptions!I$5),-2)</f>
        <v>34900</v>
      </c>
      <c r="K1038" s="33">
        <f>ROUNDUP(J1038+(J1038*Assumptions!J$5),-2)</f>
        <v>35800</v>
      </c>
      <c r="L1038" s="33">
        <f>ROUNDUP(K1038+(K1038*Assumptions!K$5),-2)</f>
        <v>36700</v>
      </c>
      <c r="M1038" s="33">
        <f>ROUNDUP(L1038+(L1038*Assumptions!L$5),-2)</f>
        <v>37500</v>
      </c>
      <c r="N1038" s="33">
        <f>ROUNDUP(M1038+(M1038*Assumptions!M$5),-2)</f>
        <v>38300</v>
      </c>
      <c r="O1038" s="33">
        <f>ROUNDUP(N1038+(N1038*Assumptions!N$5),-2)</f>
        <v>39100</v>
      </c>
      <c r="P1038" s="33">
        <f>ROUNDUP(O1038+(O1038*Assumptions!O$5),-2)</f>
        <v>39900</v>
      </c>
      <c r="Q1038" s="33">
        <f>ROUNDUP(P1038+(P1038*Assumptions!P$5),-2)</f>
        <v>40700</v>
      </c>
      <c r="R1038" s="114">
        <f>ROUNDUP(Q1038+(Q1038*Assumptions!Q$5),-2)</f>
        <v>41600</v>
      </c>
    </row>
    <row r="1039" spans="1:18" x14ac:dyDescent="0.2">
      <c r="A1039" s="107">
        <v>0</v>
      </c>
      <c r="B1039" s="33">
        <v>0</v>
      </c>
      <c r="C1039" s="187">
        <v>0</v>
      </c>
      <c r="D1039" s="189">
        <v>16700</v>
      </c>
      <c r="E1039" s="1092" t="s">
        <v>3708</v>
      </c>
      <c r="F1039" s="916" t="s">
        <v>3845</v>
      </c>
      <c r="G1039" s="198">
        <v>21000</v>
      </c>
      <c r="H1039" s="138">
        <f t="shared" si="1315"/>
        <v>25.748502994011975</v>
      </c>
      <c r="I1039" s="33">
        <v>22000</v>
      </c>
      <c r="J1039" s="33">
        <f>ROUNDUP(I1039+(I1039*Assumptions!I$5),-2)</f>
        <v>22600</v>
      </c>
      <c r="K1039" s="33">
        <f>ROUNDUP(J1039+(J1039*Assumptions!J$5),-2)</f>
        <v>23200</v>
      </c>
      <c r="L1039" s="33">
        <f>ROUNDUP(K1039+(K1039*Assumptions!K$5),-2)</f>
        <v>23800</v>
      </c>
      <c r="M1039" s="33">
        <f>ROUNDUP(L1039+(L1039*Assumptions!L$5),-2)</f>
        <v>24300</v>
      </c>
      <c r="N1039" s="33">
        <f>ROUNDUP(M1039+(M1039*Assumptions!M$5),-2)</f>
        <v>24800</v>
      </c>
      <c r="O1039" s="33">
        <f>ROUNDUP(N1039+(N1039*Assumptions!N$5),-2)</f>
        <v>25300</v>
      </c>
      <c r="P1039" s="33">
        <f>ROUNDUP(O1039+(O1039*Assumptions!O$5),-2)</f>
        <v>25900</v>
      </c>
      <c r="Q1039" s="33">
        <f>ROUNDUP(P1039+(P1039*Assumptions!P$5),-2)</f>
        <v>26500</v>
      </c>
      <c r="R1039" s="114">
        <f>ROUNDUP(Q1039+(Q1039*Assumptions!Q$5),-2)</f>
        <v>27100</v>
      </c>
    </row>
    <row r="1040" spans="1:18" x14ac:dyDescent="0.2">
      <c r="A1040" s="107">
        <v>150400</v>
      </c>
      <c r="B1040" s="33">
        <f>797100-5000-261700-250500</f>
        <v>279900</v>
      </c>
      <c r="C1040" s="187">
        <f>683300-38900-298900</f>
        <v>345500</v>
      </c>
      <c r="D1040" s="189">
        <f>216432+16421+78180+1721+2089-43+7400</f>
        <v>322200</v>
      </c>
      <c r="E1040" s="658" t="s">
        <v>215</v>
      </c>
      <c r="F1040" s="351" t="s">
        <v>1351</v>
      </c>
      <c r="G1040" s="198">
        <v>308000</v>
      </c>
      <c r="H1040" s="138">
        <f t="shared" si="1315"/>
        <v>-4.4072004965859719</v>
      </c>
      <c r="I1040" s="33">
        <v>323000</v>
      </c>
      <c r="J1040" s="33">
        <f>ROUNDUP(I1040+(I1040*Assumptions!I$5),-2)</f>
        <v>331100</v>
      </c>
      <c r="K1040" s="33">
        <f>ROUNDUP(J1040+(J1040*Assumptions!J$5),-2)</f>
        <v>339400</v>
      </c>
      <c r="L1040" s="33">
        <f>ROUNDUP(K1040+(K1040*Assumptions!K$5),-2)</f>
        <v>347900</v>
      </c>
      <c r="M1040" s="33">
        <f>ROUNDUP(L1040+(L1040*Assumptions!L$5),-2)</f>
        <v>354900</v>
      </c>
      <c r="N1040" s="33">
        <f>ROUNDUP(M1040+(M1040*Assumptions!M$5),-2)</f>
        <v>362000</v>
      </c>
      <c r="O1040" s="33">
        <f>ROUNDUP(N1040+(N1040*Assumptions!N$5),-2)</f>
        <v>369300</v>
      </c>
      <c r="P1040" s="33">
        <f>ROUNDUP(O1040+(O1040*Assumptions!O$5),-2)</f>
        <v>376700</v>
      </c>
      <c r="Q1040" s="33">
        <f>ROUNDUP(P1040+(P1040*Assumptions!P$5),-2)</f>
        <v>384300</v>
      </c>
      <c r="R1040" s="114">
        <f>ROUNDUP(Q1040+(Q1040*Assumptions!Q$5),-2)</f>
        <v>392000</v>
      </c>
    </row>
    <row r="1041" spans="1:18" x14ac:dyDescent="0.2">
      <c r="A1041" s="107">
        <v>18900</v>
      </c>
      <c r="B1041" s="33">
        <v>5000</v>
      </c>
      <c r="C1041" s="187">
        <v>38900</v>
      </c>
      <c r="D1041" s="189">
        <f>2700+28400</f>
        <v>31100</v>
      </c>
      <c r="E1041" s="658" t="s">
        <v>2148</v>
      </c>
      <c r="F1041" s="351" t="s">
        <v>273</v>
      </c>
      <c r="G1041" s="198">
        <v>37000</v>
      </c>
      <c r="H1041" s="138">
        <f t="shared" si="1315"/>
        <v>18.971061093247588</v>
      </c>
      <c r="I1041" s="33">
        <v>39000</v>
      </c>
      <c r="J1041" s="33">
        <f>ROUNDUP(I1041+(I1041*Assumptions!I$5),-2)</f>
        <v>40000</v>
      </c>
      <c r="K1041" s="33">
        <f>ROUNDUP(J1041+(J1041*Assumptions!J$5),-2)</f>
        <v>41000</v>
      </c>
      <c r="L1041" s="33">
        <f>ROUNDUP(K1041+(K1041*Assumptions!K$5),-2)</f>
        <v>42100</v>
      </c>
      <c r="M1041" s="33">
        <f>ROUNDUP(L1041+(L1041*Assumptions!L$5),-2)</f>
        <v>43000</v>
      </c>
      <c r="N1041" s="33">
        <f>ROUNDUP(M1041+(M1041*Assumptions!M$5),-2)</f>
        <v>43900</v>
      </c>
      <c r="O1041" s="33">
        <f>ROUNDUP(N1041+(N1041*Assumptions!N$5),-2)</f>
        <v>44800</v>
      </c>
      <c r="P1041" s="33">
        <f>ROUNDUP(O1041+(O1041*Assumptions!O$5),-2)</f>
        <v>45700</v>
      </c>
      <c r="Q1041" s="33">
        <f>ROUNDUP(P1041+(P1041*Assumptions!P$5),-2)</f>
        <v>46700</v>
      </c>
      <c r="R1041" s="114">
        <f>ROUNDUP(Q1041+(Q1041*Assumptions!Q$5),-2)</f>
        <v>47700</v>
      </c>
    </row>
    <row r="1042" spans="1:18" x14ac:dyDescent="0.2">
      <c r="A1042" s="107">
        <v>286800</v>
      </c>
      <c r="B1042" s="33">
        <v>222700</v>
      </c>
      <c r="C1042" s="187">
        <v>331200</v>
      </c>
      <c r="D1042" s="189">
        <v>263400</v>
      </c>
      <c r="E1042" s="658" t="s">
        <v>358</v>
      </c>
      <c r="F1042" s="351" t="s">
        <v>1354</v>
      </c>
      <c r="G1042" s="198">
        <v>275000</v>
      </c>
      <c r="H1042" s="138">
        <f t="shared" si="1315"/>
        <v>4.403948367501898</v>
      </c>
      <c r="I1042" s="33">
        <v>289000</v>
      </c>
      <c r="J1042" s="33">
        <f>ROUNDUP(I1042+(I1042*Assumptions!I$5),-2)</f>
        <v>296300</v>
      </c>
      <c r="K1042" s="33">
        <f>ROUNDUP(J1042+(J1042*Assumptions!J$5),-2)</f>
        <v>303800</v>
      </c>
      <c r="L1042" s="33">
        <f>ROUNDUP(K1042+(K1042*Assumptions!K$5),-2)</f>
        <v>311400</v>
      </c>
      <c r="M1042" s="33">
        <f>ROUNDUP(L1042+(L1042*Assumptions!L$5),-2)</f>
        <v>317700</v>
      </c>
      <c r="N1042" s="33">
        <f>ROUNDUP(M1042+(M1042*Assumptions!M$5),-2)</f>
        <v>324100</v>
      </c>
      <c r="O1042" s="33">
        <f>ROUNDUP(N1042+(N1042*Assumptions!N$5),-2)</f>
        <v>330600</v>
      </c>
      <c r="P1042" s="33">
        <f>ROUNDUP(O1042+(O1042*Assumptions!O$5),-2)</f>
        <v>337300</v>
      </c>
      <c r="Q1042" s="33">
        <f>ROUNDUP(P1042+(P1042*Assumptions!P$5),-2)</f>
        <v>344100</v>
      </c>
      <c r="R1042" s="114">
        <f>ROUNDUP(Q1042+(Q1042*Assumptions!Q$5),-2)</f>
        <v>351000</v>
      </c>
    </row>
    <row r="1043" spans="1:18" x14ac:dyDescent="0.2">
      <c r="A1043" s="107">
        <v>241900</v>
      </c>
      <c r="B1043" s="33">
        <v>14400</v>
      </c>
      <c r="C1043" s="189">
        <v>0</v>
      </c>
      <c r="D1043" s="189">
        <v>0</v>
      </c>
      <c r="E1043" s="1098" t="s">
        <v>3424</v>
      </c>
      <c r="F1043" s="916" t="s">
        <v>3567</v>
      </c>
      <c r="G1043" s="198">
        <v>0</v>
      </c>
      <c r="H1043" s="138">
        <f t="shared" si="1315"/>
        <v>0</v>
      </c>
      <c r="I1043" s="33">
        <v>0</v>
      </c>
      <c r="J1043" s="33">
        <f>ROUNDUP(I1043+(I1043*Assumptions!I$5),-2)</f>
        <v>0</v>
      </c>
      <c r="K1043" s="33">
        <f>ROUNDUP(J1043+(J1043*Assumptions!J$5),-2)</f>
        <v>0</v>
      </c>
      <c r="L1043" s="33">
        <f>ROUNDUP(K1043+(K1043*Assumptions!K$5),-2)</f>
        <v>0</v>
      </c>
      <c r="M1043" s="33">
        <f>ROUNDUP(L1043+(L1043*Assumptions!L$5),-2)</f>
        <v>0</v>
      </c>
      <c r="N1043" s="33">
        <f>ROUNDUP(M1043+(M1043*Assumptions!M$5),-2)</f>
        <v>0</v>
      </c>
      <c r="O1043" s="33">
        <f>ROUNDUP(N1043+(N1043*Assumptions!N$5),-2)</f>
        <v>0</v>
      </c>
      <c r="P1043" s="33">
        <f>ROUNDUP(O1043+(O1043*Assumptions!O$5),-2)</f>
        <v>0</v>
      </c>
      <c r="Q1043" s="33">
        <f>ROUNDUP(P1043+(P1043*Assumptions!P$5),-2)</f>
        <v>0</v>
      </c>
      <c r="R1043" s="114">
        <f>ROUNDUP(Q1043+(Q1043*Assumptions!Q$5),-2)</f>
        <v>0</v>
      </c>
    </row>
    <row r="1044" spans="1:18" x14ac:dyDescent="0.2">
      <c r="A1044" s="107"/>
      <c r="B1044" s="33"/>
      <c r="E1044" s="1955"/>
      <c r="F1044" s="64" t="s">
        <v>236</v>
      </c>
      <c r="G1044" s="198"/>
      <c r="H1044" s="138"/>
      <c r="I1044" s="33"/>
      <c r="J1044" s="33"/>
      <c r="K1044" s="33"/>
      <c r="L1044" s="33"/>
      <c r="M1044" s="33"/>
      <c r="N1044" s="33"/>
      <c r="O1044" s="33"/>
      <c r="P1044" s="33"/>
      <c r="Q1044" s="33"/>
      <c r="R1044" s="114"/>
    </row>
    <row r="1045" spans="1:18" x14ac:dyDescent="0.2">
      <c r="A1045" s="107">
        <v>514700</v>
      </c>
      <c r="B1045" s="33">
        <v>474100</v>
      </c>
      <c r="C1045" s="189">
        <v>481200</v>
      </c>
      <c r="D1045" s="189">
        <v>492300</v>
      </c>
      <c r="E1045" s="658" t="s">
        <v>1608</v>
      </c>
      <c r="F1045" s="351" t="s">
        <v>1606</v>
      </c>
      <c r="G1045" s="198">
        <v>398000</v>
      </c>
      <c r="H1045" s="138">
        <f t="shared" ref="H1045:H1048" si="1316">IF(D1045=G1045,0,IF(D1045=0,100,(G1045-D1045)/D1045*100))</f>
        <v>-19.154986796668698</v>
      </c>
      <c r="I1045" s="33">
        <v>418000</v>
      </c>
      <c r="J1045" s="33">
        <f>ROUNDUP(I1045+(I1045*Assumptions!I$5),-2)</f>
        <v>428500</v>
      </c>
      <c r="K1045" s="33">
        <f>ROUNDUP(J1045+(J1045*Assumptions!J$5),-2)</f>
        <v>439300</v>
      </c>
      <c r="L1045" s="33">
        <f>ROUNDUP(K1045+(K1045*Assumptions!K$5),-2)</f>
        <v>450300</v>
      </c>
      <c r="M1045" s="33">
        <f>ROUNDUP(L1045+(L1045*Assumptions!L$5),-2)</f>
        <v>459400</v>
      </c>
      <c r="N1045" s="33">
        <f>ROUNDUP(M1045+(M1045*Assumptions!M$5),-2)</f>
        <v>468600</v>
      </c>
      <c r="O1045" s="33">
        <f>ROUNDUP(N1045+(N1045*Assumptions!N$5),-2)</f>
        <v>478000</v>
      </c>
      <c r="P1045" s="33">
        <f>ROUNDUP(O1045+(O1045*Assumptions!O$5),-2)</f>
        <v>487600</v>
      </c>
      <c r="Q1045" s="33">
        <f>ROUNDUP(P1045+(P1045*Assumptions!P$5),-2)</f>
        <v>497400</v>
      </c>
      <c r="R1045" s="114">
        <f>ROUNDUP(Q1045+(Q1045*Assumptions!Q$5),-2)</f>
        <v>507400</v>
      </c>
    </row>
    <row r="1046" spans="1:18" x14ac:dyDescent="0.2">
      <c r="A1046" s="107">
        <v>92600</v>
      </c>
      <c r="B1046" s="33">
        <v>114700</v>
      </c>
      <c r="C1046" s="189">
        <v>133400</v>
      </c>
      <c r="D1046" s="189">
        <v>67200</v>
      </c>
      <c r="E1046" s="658" t="s">
        <v>216</v>
      </c>
      <c r="F1046" s="351" t="s">
        <v>1607</v>
      </c>
      <c r="G1046" s="198">
        <v>88000</v>
      </c>
      <c r="H1046" s="138">
        <f t="shared" si="1316"/>
        <v>30.952380952380953</v>
      </c>
      <c r="I1046" s="33">
        <v>92000</v>
      </c>
      <c r="J1046" s="33">
        <f>ROUNDUP(I1046+(I1046*Assumptions!I$5),-2)</f>
        <v>94300</v>
      </c>
      <c r="K1046" s="33">
        <f>ROUNDUP(J1046+(J1046*Assumptions!J$5),-2)</f>
        <v>96700</v>
      </c>
      <c r="L1046" s="33">
        <f>ROUNDUP(K1046+(K1046*Assumptions!K$5),-2)</f>
        <v>99200</v>
      </c>
      <c r="M1046" s="33">
        <f>ROUNDUP(L1046+(L1046*Assumptions!L$5),-2)</f>
        <v>101200</v>
      </c>
      <c r="N1046" s="33">
        <f>ROUNDUP(M1046+(M1046*Assumptions!M$5),-2)</f>
        <v>103300</v>
      </c>
      <c r="O1046" s="33">
        <f>ROUNDUP(N1046+(N1046*Assumptions!N$5),-2)</f>
        <v>105400</v>
      </c>
      <c r="P1046" s="33">
        <f>ROUNDUP(O1046+(O1046*Assumptions!O$5),-2)</f>
        <v>107600</v>
      </c>
      <c r="Q1046" s="33">
        <f>ROUNDUP(P1046+(P1046*Assumptions!P$5),-2)</f>
        <v>109800</v>
      </c>
      <c r="R1046" s="114">
        <f>ROUNDUP(Q1046+(Q1046*Assumptions!Q$5),-2)</f>
        <v>112000</v>
      </c>
    </row>
    <row r="1047" spans="1:18" x14ac:dyDescent="0.2">
      <c r="A1047" s="107">
        <v>82700</v>
      </c>
      <c r="B1047" s="33">
        <v>135000</v>
      </c>
      <c r="C1047" s="189">
        <v>125500</v>
      </c>
      <c r="D1047" s="189">
        <v>122300</v>
      </c>
      <c r="E1047" s="658" t="s">
        <v>742</v>
      </c>
      <c r="F1047" s="351" t="s">
        <v>743</v>
      </c>
      <c r="G1047" s="198">
        <v>111000</v>
      </c>
      <c r="H1047" s="138">
        <f t="shared" si="1316"/>
        <v>-9.239574816026165</v>
      </c>
      <c r="I1047" s="33">
        <v>117000</v>
      </c>
      <c r="J1047" s="33">
        <f>ROUNDUP(I1047+(I1047*Assumptions!I$5),-2)</f>
        <v>120000</v>
      </c>
      <c r="K1047" s="33">
        <f>ROUNDUP(J1047+(J1047*Assumptions!J$5),-2)</f>
        <v>123000</v>
      </c>
      <c r="L1047" s="33">
        <f>ROUNDUP(K1047+(K1047*Assumptions!K$5),-2)</f>
        <v>126100</v>
      </c>
      <c r="M1047" s="33">
        <f>ROUNDUP(L1047+(L1047*Assumptions!L$5),-2)</f>
        <v>128700</v>
      </c>
      <c r="N1047" s="33">
        <f>ROUNDUP(M1047+(M1047*Assumptions!M$5),-2)</f>
        <v>131300</v>
      </c>
      <c r="O1047" s="33">
        <f>ROUNDUP(N1047+(N1047*Assumptions!N$5),-2)</f>
        <v>134000</v>
      </c>
      <c r="P1047" s="33">
        <f>ROUNDUP(O1047+(O1047*Assumptions!O$5),-2)</f>
        <v>136700</v>
      </c>
      <c r="Q1047" s="33">
        <f>ROUNDUP(P1047+(P1047*Assumptions!P$5),-2)</f>
        <v>139500</v>
      </c>
      <c r="R1047" s="114">
        <f>ROUNDUP(Q1047+(Q1047*Assumptions!Q$5),-2)</f>
        <v>142300</v>
      </c>
    </row>
    <row r="1048" spans="1:18" x14ac:dyDescent="0.2">
      <c r="A1048" s="107">
        <v>573200</v>
      </c>
      <c r="B1048" s="33">
        <v>570000</v>
      </c>
      <c r="C1048" s="189">
        <v>521600</v>
      </c>
      <c r="D1048" s="189">
        <v>697400</v>
      </c>
      <c r="E1048" s="658" t="s">
        <v>701</v>
      </c>
      <c r="F1048" s="351" t="s">
        <v>744</v>
      </c>
      <c r="G1048" s="198">
        <f>569300+20000</f>
        <v>589300</v>
      </c>
      <c r="H1048" s="138">
        <f t="shared" si="1316"/>
        <v>-15.500430169199886</v>
      </c>
      <c r="I1048" s="33">
        <v>619000</v>
      </c>
      <c r="J1048" s="33">
        <f>ROUNDUP(I1048+(I1048*Assumptions!I$5),-2)</f>
        <v>634500</v>
      </c>
      <c r="K1048" s="33">
        <f>ROUNDUP(J1048+(J1048*Assumptions!J$5),-2)</f>
        <v>650400</v>
      </c>
      <c r="L1048" s="33">
        <f>ROUNDUP(K1048+(K1048*Assumptions!K$5),-2)</f>
        <v>666700</v>
      </c>
      <c r="M1048" s="33">
        <f>ROUNDUP(L1048+(L1048*Assumptions!L$5),-2)</f>
        <v>680100</v>
      </c>
      <c r="N1048" s="33">
        <f>ROUNDUP(M1048+(M1048*Assumptions!M$5),-2)</f>
        <v>693800</v>
      </c>
      <c r="O1048" s="33">
        <f>ROUNDUP(N1048+(N1048*Assumptions!N$5),-2)</f>
        <v>707700</v>
      </c>
      <c r="P1048" s="33">
        <f>ROUNDUP(O1048+(O1048*Assumptions!O$5),-2)</f>
        <v>721900</v>
      </c>
      <c r="Q1048" s="33">
        <f>ROUNDUP(P1048+(P1048*Assumptions!P$5),-2)</f>
        <v>736400</v>
      </c>
      <c r="R1048" s="114">
        <f>ROUNDUP(Q1048+(Q1048*Assumptions!Q$5),-2)</f>
        <v>751200</v>
      </c>
    </row>
    <row r="1049" spans="1:18" x14ac:dyDescent="0.2">
      <c r="A1049" s="107"/>
      <c r="B1049" s="33"/>
      <c r="E1049" s="1092"/>
      <c r="F1049" s="1133" t="s">
        <v>2476</v>
      </c>
      <c r="G1049" s="198"/>
      <c r="H1049" s="138"/>
      <c r="I1049" s="33"/>
      <c r="J1049" s="33"/>
      <c r="K1049" s="33"/>
      <c r="L1049" s="33"/>
      <c r="M1049" s="33"/>
      <c r="N1049" s="33"/>
      <c r="O1049" s="33"/>
      <c r="P1049" s="33"/>
      <c r="Q1049" s="33"/>
      <c r="R1049" s="114"/>
    </row>
    <row r="1050" spans="1:18" x14ac:dyDescent="0.2">
      <c r="A1050" s="107">
        <v>740200</v>
      </c>
      <c r="B1050" s="33">
        <v>133600</v>
      </c>
      <c r="C1050" s="189">
        <v>2000</v>
      </c>
      <c r="D1050" s="189">
        <f>224351+53060-11</f>
        <v>277400</v>
      </c>
      <c r="E1050" s="1092" t="s">
        <v>5956</v>
      </c>
      <c r="F1050" s="916" t="s">
        <v>6898</v>
      </c>
      <c r="G1050" s="198">
        <v>0</v>
      </c>
      <c r="H1050" s="138">
        <f>IF(D1050=G1050,0,IF(D1050=0,100,(G1050-D1050)/D1050*100))</f>
        <v>-100</v>
      </c>
      <c r="I1050" s="33">
        <v>0</v>
      </c>
      <c r="J1050" s="33">
        <f>ROUNDUP(I1050+(I1050*Assumptions!I$5),-2)</f>
        <v>0</v>
      </c>
      <c r="K1050" s="33">
        <f>ROUNDUP(J1050+(J1050*Assumptions!J$5),-2)</f>
        <v>0</v>
      </c>
      <c r="L1050" s="33">
        <f>ROUNDUP(K1050+(K1050*Assumptions!K$5),-2)</f>
        <v>0</v>
      </c>
      <c r="M1050" s="33">
        <f>ROUNDUP(L1050+(L1050*Assumptions!L$5),-2)</f>
        <v>0</v>
      </c>
      <c r="N1050" s="33">
        <f>ROUNDUP(M1050+(M1050*Assumptions!M$5),-2)</f>
        <v>0</v>
      </c>
      <c r="O1050" s="33">
        <f>ROUNDUP(N1050+(N1050*Assumptions!N$5),-2)</f>
        <v>0</v>
      </c>
      <c r="P1050" s="33">
        <f>ROUNDUP(O1050+(O1050*Assumptions!O$5),-2)</f>
        <v>0</v>
      </c>
      <c r="Q1050" s="33">
        <f>ROUNDUP(P1050+(P1050*Assumptions!P$5),-2)</f>
        <v>0</v>
      </c>
      <c r="R1050" s="114">
        <f>ROUNDUP(Q1050+(Q1050*Assumptions!Q$5),-2)</f>
        <v>0</v>
      </c>
    </row>
    <row r="1051" spans="1:18" x14ac:dyDescent="0.2">
      <c r="A1051" s="107"/>
      <c r="B1051" s="33"/>
      <c r="E1051" s="658"/>
      <c r="F1051" s="64" t="s">
        <v>2659</v>
      </c>
      <c r="G1051" s="198"/>
      <c r="H1051" s="138"/>
      <c r="I1051" s="33"/>
      <c r="J1051" s="33"/>
      <c r="K1051" s="33"/>
      <c r="L1051" s="33"/>
      <c r="M1051" s="33"/>
      <c r="N1051" s="33"/>
      <c r="O1051" s="33"/>
      <c r="P1051" s="33"/>
      <c r="Q1051" s="33"/>
      <c r="R1051" s="114"/>
    </row>
    <row r="1052" spans="1:18" x14ac:dyDescent="0.2">
      <c r="A1052" s="107">
        <v>13100</v>
      </c>
      <c r="B1052" s="33">
        <v>14500</v>
      </c>
      <c r="C1052" s="189">
        <v>17000</v>
      </c>
      <c r="D1052" s="189">
        <v>15400</v>
      </c>
      <c r="E1052" s="658" t="s">
        <v>2355</v>
      </c>
      <c r="F1052" s="351" t="s">
        <v>745</v>
      </c>
      <c r="G1052" s="198">
        <v>29000</v>
      </c>
      <c r="H1052" s="138">
        <f>IF(D1052=G1052,0,IF(D1052=0,100,(G1052-D1052)/D1052*100))</f>
        <v>88.311688311688314</v>
      </c>
      <c r="I1052" s="33">
        <v>30000</v>
      </c>
      <c r="J1052" s="33">
        <f>ROUNDUP(I1052+(I1052*Assumptions!I$5),-2)</f>
        <v>30800</v>
      </c>
      <c r="K1052" s="33">
        <f>ROUNDUP(J1052+(J1052*Assumptions!J$5),-2)</f>
        <v>31600</v>
      </c>
      <c r="L1052" s="33">
        <f>ROUNDUP(K1052+(K1052*Assumptions!K$5),-2)</f>
        <v>32400</v>
      </c>
      <c r="M1052" s="33">
        <f>ROUNDUP(L1052+(L1052*Assumptions!L$5),-2)</f>
        <v>33100</v>
      </c>
      <c r="N1052" s="33">
        <f>ROUNDUP(M1052+(M1052*Assumptions!M$5),-2)</f>
        <v>33800</v>
      </c>
      <c r="O1052" s="33">
        <f>ROUNDUP(N1052+(N1052*Assumptions!N$5),-2)</f>
        <v>34500</v>
      </c>
      <c r="P1052" s="33">
        <f>ROUNDUP(O1052+(O1052*Assumptions!O$5),-2)</f>
        <v>35200</v>
      </c>
      <c r="Q1052" s="33">
        <f>ROUNDUP(P1052+(P1052*Assumptions!P$5),-2)</f>
        <v>36000</v>
      </c>
      <c r="R1052" s="114">
        <f>ROUNDUP(Q1052+(Q1052*Assumptions!Q$5),-2)</f>
        <v>36800</v>
      </c>
    </row>
    <row r="1053" spans="1:18" x14ac:dyDescent="0.2">
      <c r="A1053" s="107">
        <v>589300</v>
      </c>
      <c r="B1053" s="33">
        <v>571400</v>
      </c>
      <c r="C1053" s="189">
        <v>645800</v>
      </c>
      <c r="D1053" s="189">
        <v>656900</v>
      </c>
      <c r="E1053" s="658" t="s">
        <v>747</v>
      </c>
      <c r="F1053" s="351" t="s">
        <v>746</v>
      </c>
      <c r="G1053" s="198">
        <v>625000</v>
      </c>
      <c r="H1053" s="138">
        <f>IF(D1053=G1053,0,IF(D1053=0,100,(G1053-D1053)/D1053*100))</f>
        <v>-4.8561424874410104</v>
      </c>
      <c r="I1053" s="33">
        <v>656000</v>
      </c>
      <c r="J1053" s="33">
        <f>ROUNDUP(I1053+(I1053*Assumptions!I$5),-2)</f>
        <v>672400</v>
      </c>
      <c r="K1053" s="33">
        <f>ROUNDUP(J1053+(J1053*Assumptions!J$5),-2)</f>
        <v>689300</v>
      </c>
      <c r="L1053" s="33">
        <f>ROUNDUP(K1053+(K1053*Assumptions!K$5),-2)</f>
        <v>706600</v>
      </c>
      <c r="M1053" s="33">
        <f>ROUNDUP(L1053+(L1053*Assumptions!L$5),-2)</f>
        <v>720800</v>
      </c>
      <c r="N1053" s="33">
        <f>ROUNDUP(M1053+(M1053*Assumptions!M$5),-2)</f>
        <v>735300</v>
      </c>
      <c r="O1053" s="33">
        <f>ROUNDUP(N1053+(N1053*Assumptions!N$5),-2)</f>
        <v>750100</v>
      </c>
      <c r="P1053" s="33">
        <f>ROUNDUP(O1053+(O1053*Assumptions!O$5),-2)</f>
        <v>765200</v>
      </c>
      <c r="Q1053" s="33">
        <f>ROUNDUP(P1053+(P1053*Assumptions!P$5),-2)</f>
        <v>780600</v>
      </c>
      <c r="R1053" s="114">
        <f>ROUNDUP(Q1053+(Q1053*Assumptions!Q$5),-2)</f>
        <v>796300</v>
      </c>
    </row>
    <row r="1054" spans="1:18" x14ac:dyDescent="0.2">
      <c r="A1054" s="107"/>
      <c r="B1054" s="33"/>
      <c r="E1054" s="658"/>
      <c r="F1054" s="64" t="s">
        <v>1024</v>
      </c>
      <c r="G1054" s="198"/>
      <c r="H1054" s="138"/>
      <c r="I1054" s="33"/>
      <c r="J1054" s="33"/>
      <c r="K1054" s="33"/>
      <c r="L1054" s="33"/>
      <c r="M1054" s="33"/>
      <c r="N1054" s="33"/>
      <c r="O1054" s="33"/>
      <c r="P1054" s="33"/>
      <c r="Q1054" s="33"/>
      <c r="R1054" s="114"/>
    </row>
    <row r="1055" spans="1:18" x14ac:dyDescent="0.2">
      <c r="A1055" s="107">
        <v>36700</v>
      </c>
      <c r="B1055" s="33">
        <f>180800-166000</f>
        <v>14800</v>
      </c>
      <c r="C1055" s="189">
        <v>10400</v>
      </c>
      <c r="D1055" s="189">
        <f>7800+1870+779+2617+34</f>
        <v>13100</v>
      </c>
      <c r="E1055" s="658" t="s">
        <v>2094</v>
      </c>
      <c r="F1055" s="351" t="s">
        <v>2572</v>
      </c>
      <c r="G1055" s="198">
        <v>21000</v>
      </c>
      <c r="H1055" s="138">
        <f>IF(D1055=G1055,0,IF(D1055=0,100,(G1055-D1055)/D1055*100))</f>
        <v>60.305343511450381</v>
      </c>
      <c r="I1055" s="33">
        <v>22000</v>
      </c>
      <c r="J1055" s="33">
        <f>ROUNDUP(I1055+(I1055*Assumptions!I$5),-2)</f>
        <v>22600</v>
      </c>
      <c r="K1055" s="33">
        <f>ROUNDUP(J1055+(J1055*Assumptions!J$5),-2)</f>
        <v>23200</v>
      </c>
      <c r="L1055" s="33">
        <f>ROUNDUP(K1055+(K1055*Assumptions!K$5),-2)</f>
        <v>23800</v>
      </c>
      <c r="M1055" s="33">
        <f>ROUNDUP(L1055+(L1055*Assumptions!L$5),-2)</f>
        <v>24300</v>
      </c>
      <c r="N1055" s="33">
        <f>ROUNDUP(M1055+(M1055*Assumptions!M$5),-2)</f>
        <v>24800</v>
      </c>
      <c r="O1055" s="33">
        <f>ROUNDUP(N1055+(N1055*Assumptions!N$5),-2)</f>
        <v>25300</v>
      </c>
      <c r="P1055" s="33">
        <f>ROUNDUP(O1055+(O1055*Assumptions!O$5),-2)</f>
        <v>25900</v>
      </c>
      <c r="Q1055" s="33">
        <f>ROUNDUP(P1055+(P1055*Assumptions!P$5),-2)</f>
        <v>26500</v>
      </c>
      <c r="R1055" s="114">
        <f>ROUNDUP(Q1055+(Q1055*Assumptions!Q$5),-2)</f>
        <v>27100</v>
      </c>
    </row>
    <row r="1056" spans="1:18" x14ac:dyDescent="0.2">
      <c r="A1056" s="107"/>
      <c r="B1056" s="33"/>
      <c r="E1056" s="658"/>
      <c r="F1056" s="64" t="s">
        <v>1870</v>
      </c>
      <c r="G1056" s="198"/>
      <c r="H1056" s="138"/>
      <c r="I1056" s="33"/>
      <c r="J1056" s="33"/>
      <c r="K1056" s="33"/>
      <c r="L1056" s="33"/>
      <c r="M1056" s="33"/>
      <c r="N1056" s="33"/>
      <c r="O1056" s="33"/>
      <c r="P1056" s="33"/>
      <c r="Q1056" s="33"/>
      <c r="R1056" s="114"/>
    </row>
    <row r="1057" spans="1:18" x14ac:dyDescent="0.2">
      <c r="A1057" s="107">
        <v>299100</v>
      </c>
      <c r="B1057" s="33">
        <v>258200</v>
      </c>
      <c r="C1057" s="189">
        <v>296700</v>
      </c>
      <c r="D1057" s="189">
        <f>287800-500</f>
        <v>287300</v>
      </c>
      <c r="E1057" s="658" t="s">
        <v>1688</v>
      </c>
      <c r="F1057" s="916" t="s">
        <v>1333</v>
      </c>
      <c r="G1057" s="198">
        <v>298000</v>
      </c>
      <c r="H1057" s="138">
        <f>IF(D1057=G1057,0,IF(D1057=0,100,(G1057-D1057)/D1057*100))</f>
        <v>3.7243299686738602</v>
      </c>
      <c r="I1057" s="33">
        <v>304000</v>
      </c>
      <c r="J1057" s="33">
        <f>ROUNDUP(I1057+(I1057*Assumptions!I$5),-2)</f>
        <v>311600</v>
      </c>
      <c r="K1057" s="33">
        <f>ROUNDUP(J1057+(J1057*Assumptions!J$5),-2)</f>
        <v>319400</v>
      </c>
      <c r="L1057" s="33">
        <f>ROUNDUP(K1057+(K1057*Assumptions!K$5),-2)</f>
        <v>327400</v>
      </c>
      <c r="M1057" s="33">
        <f>ROUNDUP(L1057+(L1057*Assumptions!L$5),-2)</f>
        <v>334000</v>
      </c>
      <c r="N1057" s="33">
        <f>ROUNDUP(M1057+(M1057*Assumptions!M$5),-2)</f>
        <v>340700</v>
      </c>
      <c r="O1057" s="33">
        <f>ROUNDUP(N1057+(N1057*Assumptions!N$5),-2)</f>
        <v>347600</v>
      </c>
      <c r="P1057" s="33">
        <f>ROUNDUP(O1057+(O1057*Assumptions!O$5),-2)</f>
        <v>354600</v>
      </c>
      <c r="Q1057" s="33">
        <f>ROUNDUP(P1057+(P1057*Assumptions!P$5),-2)</f>
        <v>361700</v>
      </c>
      <c r="R1057" s="114">
        <f>ROUNDUP(Q1057+(Q1057*Assumptions!Q$5),-2)</f>
        <v>369000</v>
      </c>
    </row>
    <row r="1058" spans="1:18" x14ac:dyDescent="0.2">
      <c r="A1058" s="107">
        <v>31300</v>
      </c>
      <c r="B1058" s="33">
        <v>39000</v>
      </c>
      <c r="C1058" s="189">
        <v>38400</v>
      </c>
      <c r="D1058" s="189">
        <v>43200</v>
      </c>
      <c r="E1058" s="658" t="s">
        <v>583</v>
      </c>
      <c r="F1058" s="916" t="s">
        <v>4607</v>
      </c>
      <c r="G1058" s="198">
        <v>39000</v>
      </c>
      <c r="H1058" s="138">
        <f>IF(D1058=G1058,0,IF(D1058=0,100,(G1058-D1058)/D1058*100))</f>
        <v>-9.7222222222222232</v>
      </c>
      <c r="I1058" s="33">
        <v>41000</v>
      </c>
      <c r="J1058" s="33">
        <f>ROUNDUP(I1058+(I1058*Assumptions!I$5),-2)</f>
        <v>42100</v>
      </c>
      <c r="K1058" s="33">
        <f>ROUNDUP(J1058+(J1058*Assumptions!J$5),-2)</f>
        <v>43200</v>
      </c>
      <c r="L1058" s="33">
        <f>ROUNDUP(K1058+(K1058*Assumptions!K$5),-2)</f>
        <v>44300</v>
      </c>
      <c r="M1058" s="33">
        <f>ROUNDUP(L1058+(L1058*Assumptions!L$5),-2)</f>
        <v>45200</v>
      </c>
      <c r="N1058" s="33">
        <f>ROUNDUP(M1058+(M1058*Assumptions!M$5),-2)</f>
        <v>46200</v>
      </c>
      <c r="O1058" s="33">
        <f>ROUNDUP(N1058+(N1058*Assumptions!N$5),-2)</f>
        <v>47200</v>
      </c>
      <c r="P1058" s="33">
        <f>ROUNDUP(O1058+(O1058*Assumptions!O$5),-2)</f>
        <v>48200</v>
      </c>
      <c r="Q1058" s="33">
        <f>ROUNDUP(P1058+(P1058*Assumptions!P$5),-2)</f>
        <v>49200</v>
      </c>
      <c r="R1058" s="114">
        <f>ROUNDUP(Q1058+(Q1058*Assumptions!Q$5),-2)</f>
        <v>50200</v>
      </c>
    </row>
    <row r="1059" spans="1:18" x14ac:dyDescent="0.2">
      <c r="A1059" s="107">
        <v>32400</v>
      </c>
      <c r="B1059" s="33">
        <v>38100</v>
      </c>
      <c r="C1059" s="189">
        <v>45100</v>
      </c>
      <c r="D1059" s="189">
        <v>67200</v>
      </c>
      <c r="E1059" s="658" t="s">
        <v>211</v>
      </c>
      <c r="F1059" s="916" t="s">
        <v>4608</v>
      </c>
      <c r="G1059" s="198">
        <v>39000</v>
      </c>
      <c r="H1059" s="138">
        <f>IF(D1059=G1059,0,IF(D1059=0,100,(G1059-D1059)/D1059*100))</f>
        <v>-41.964285714285715</v>
      </c>
      <c r="I1059" s="33">
        <v>60000</v>
      </c>
      <c r="J1059" s="33">
        <f>ROUNDUP(I1059+(I1059*Assumptions!I$5),-2)</f>
        <v>61500</v>
      </c>
      <c r="K1059" s="33">
        <f>ROUNDUP(J1059+(J1059*Assumptions!J$5),-2)</f>
        <v>63100</v>
      </c>
      <c r="L1059" s="33">
        <f>ROUNDUP(K1059+(K1059*Assumptions!K$5),-2)</f>
        <v>64700</v>
      </c>
      <c r="M1059" s="33">
        <f>ROUNDUP(L1059+(L1059*Assumptions!L$5),-2)</f>
        <v>66000</v>
      </c>
      <c r="N1059" s="33">
        <f>ROUNDUP(M1059+(M1059*Assumptions!M$5),-2)</f>
        <v>67400</v>
      </c>
      <c r="O1059" s="33">
        <f>ROUNDUP(N1059+(N1059*Assumptions!N$5),-2)</f>
        <v>68800</v>
      </c>
      <c r="P1059" s="33">
        <f>ROUNDUP(O1059+(O1059*Assumptions!O$5),-2)</f>
        <v>70200</v>
      </c>
      <c r="Q1059" s="33">
        <f>ROUNDUP(P1059+(P1059*Assumptions!P$5),-2)</f>
        <v>71700</v>
      </c>
      <c r="R1059" s="114">
        <f>ROUNDUP(Q1059+(Q1059*Assumptions!Q$5),-2)</f>
        <v>73200</v>
      </c>
    </row>
    <row r="1060" spans="1:18" x14ac:dyDescent="0.2">
      <c r="A1060" s="107"/>
      <c r="B1060" s="33"/>
      <c r="E1060" s="658"/>
      <c r="F1060" s="64" t="s">
        <v>1130</v>
      </c>
      <c r="G1060" s="198"/>
      <c r="H1060" s="138"/>
      <c r="I1060" s="33"/>
      <c r="J1060" s="33"/>
      <c r="K1060" s="33"/>
      <c r="L1060" s="33"/>
      <c r="M1060" s="33"/>
      <c r="N1060" s="33"/>
      <c r="O1060" s="33"/>
      <c r="P1060" s="33"/>
      <c r="Q1060" s="33"/>
      <c r="R1060" s="114"/>
    </row>
    <row r="1061" spans="1:18" x14ac:dyDescent="0.2">
      <c r="A1061" s="107">
        <v>127200</v>
      </c>
      <c r="B1061" s="33">
        <v>261700</v>
      </c>
      <c r="C1061" s="142">
        <v>298900</v>
      </c>
      <c r="D1061" s="33">
        <f>ROUND('Debt-Gen'!J49,-2)</f>
        <v>283000</v>
      </c>
      <c r="E1061" s="658" t="s">
        <v>2097</v>
      </c>
      <c r="F1061" s="132" t="s">
        <v>2706</v>
      </c>
      <c r="G1061" s="198">
        <f>ROUND('Debt-Gen'!L49,-2)</f>
        <v>256900</v>
      </c>
      <c r="H1061" s="138">
        <f>IF(D1061=G1061,0,IF(D1061=0,100,(G1061-D1061)/D1061*100))</f>
        <v>-9.2226148409893991</v>
      </c>
      <c r="I1061" s="33">
        <f>ROUND('Debt-Gen'!N49,-2)</f>
        <v>230400</v>
      </c>
      <c r="J1061" s="33">
        <f>ROUND('Debt-Gen'!P49,-2)</f>
        <v>202600</v>
      </c>
      <c r="K1061" s="33">
        <f>ROUND('Debt-Gen'!R49,-2)</f>
        <v>173400</v>
      </c>
      <c r="L1061" s="33">
        <f>ROUND('Debt-Gen'!T49,-2)</f>
        <v>143200</v>
      </c>
      <c r="M1061" s="33">
        <f>ROUND('Debt-Gen'!V49,-2)</f>
        <v>443700</v>
      </c>
      <c r="N1061" s="33">
        <f>ROUND('Debt-Gen'!X49,-2)</f>
        <v>393000</v>
      </c>
      <c r="O1061" s="33">
        <f>ROUND('Debt-Gen'!Z49,-2)</f>
        <v>345700</v>
      </c>
      <c r="P1061" s="33">
        <f>ROUND('Debt-Gen'!AB49,-2)</f>
        <v>300100</v>
      </c>
      <c r="Q1061" s="33">
        <f>ROUND('Debt-Gen'!AD49,-2)</f>
        <v>263000</v>
      </c>
      <c r="R1061" s="114">
        <f>ROUND('Debt-Gen'!AF49,-2)</f>
        <v>243000</v>
      </c>
    </row>
    <row r="1062" spans="1:18" x14ac:dyDescent="0.2">
      <c r="A1062" s="107">
        <v>171200</v>
      </c>
      <c r="B1062" s="33">
        <v>166000</v>
      </c>
      <c r="C1062" s="142">
        <v>131400</v>
      </c>
      <c r="D1062" s="33">
        <f>ROUND(SUM('Debt-Gen'!J51:J51),-2)</f>
        <v>77900</v>
      </c>
      <c r="E1062" s="658" t="s">
        <v>2096</v>
      </c>
      <c r="F1062" s="33" t="s">
        <v>464</v>
      </c>
      <c r="G1062" s="198">
        <f>ROUND(SUM('Debt-Gen'!L51:L51),-2)</f>
        <v>71700</v>
      </c>
      <c r="H1062" s="138">
        <f>IF(D1062=G1062,0,IF(D1062=0,100,(G1062-D1062)/D1062*100))</f>
        <v>-7.9589216944801038</v>
      </c>
      <c r="I1062" s="33">
        <f>ROUND(SUM('Debt-Gen'!N51:N51),-2)</f>
        <v>63900</v>
      </c>
      <c r="J1062" s="33">
        <f>ROUND(SUM('Debt-Gen'!P51:P51),-2)</f>
        <v>56600</v>
      </c>
      <c r="K1062" s="33">
        <f>ROUND(SUM('Debt-Gen'!R51:R51),-2)</f>
        <v>49200</v>
      </c>
      <c r="L1062" s="33">
        <f>ROUND(SUM('Debt-Gen'!T51:T51),-2)</f>
        <v>41500</v>
      </c>
      <c r="M1062" s="33">
        <f>ROUND(SUM('Debt-Gen'!V51:V51),-2)</f>
        <v>33300</v>
      </c>
      <c r="N1062" s="33">
        <f>ROUND(SUM('Debt-Gen'!X51:X51),-2)</f>
        <v>25000</v>
      </c>
      <c r="O1062" s="33">
        <f>ROUND(SUM('Debt-Gen'!Z51:Z51),-2)</f>
        <v>15600</v>
      </c>
      <c r="P1062" s="33">
        <f>ROUND(SUM('Debt-Gen'!AB51:AB51),-2)</f>
        <v>6500</v>
      </c>
      <c r="Q1062" s="33">
        <f>ROUND(SUM('Debt-Gen'!AD51:AD51),-2)</f>
        <v>0</v>
      </c>
      <c r="R1062" s="114">
        <f>ROUND(SUM('Debt-Gen'!AF51:AF51),-2)</f>
        <v>0</v>
      </c>
    </row>
    <row r="1063" spans="1:18" x14ac:dyDescent="0.2">
      <c r="A1063" s="107"/>
      <c r="B1063" s="33"/>
      <c r="E1063" s="658"/>
      <c r="F1063" s="64" t="str">
        <f>F101</f>
        <v>Non-Cash Expenses</v>
      </c>
      <c r="G1063" s="198"/>
      <c r="H1063" s="138"/>
      <c r="I1063" s="33"/>
      <c r="J1063" s="33"/>
      <c r="K1063" s="33"/>
      <c r="L1063" s="33"/>
      <c r="M1063" s="33"/>
      <c r="N1063" s="33"/>
      <c r="O1063" s="33"/>
      <c r="P1063" s="33"/>
      <c r="Q1063" s="33"/>
      <c r="R1063" s="114"/>
    </row>
    <row r="1064" spans="1:18" x14ac:dyDescent="0.2">
      <c r="A1064" s="107">
        <f>6464400+451600</f>
        <v>6916000</v>
      </c>
      <c r="B1064" s="33">
        <v>7228600</v>
      </c>
      <c r="C1064" s="189">
        <v>6163400</v>
      </c>
      <c r="D1064" s="189">
        <v>5853500</v>
      </c>
      <c r="E1064" s="658" t="s">
        <v>2095</v>
      </c>
      <c r="F1064" s="132" t="s">
        <v>4223</v>
      </c>
      <c r="G1064" s="198">
        <v>4819000</v>
      </c>
      <c r="H1064" s="138">
        <f>IF(D1064=G1064,0,IF(D1064=0,100,(G1064-D1064)/D1064*100))</f>
        <v>-17.673186982147431</v>
      </c>
      <c r="I1064" s="33">
        <f>ROUNDUP(G1064+(G1064*Assumptions!H$18),-2)</f>
        <v>4915400</v>
      </c>
      <c r="J1064" s="33">
        <f>ROUNDUP(I1064+(I1064*Assumptions!I$18),-2)</f>
        <v>5013800</v>
      </c>
      <c r="K1064" s="33">
        <f>ROUNDUP(J1064+(J1064*Assumptions!J$18),-2)</f>
        <v>5114100</v>
      </c>
      <c r="L1064" s="33">
        <f>ROUNDUP(K1064+(K1064*Assumptions!K$18),-2)</f>
        <v>5216400</v>
      </c>
      <c r="M1064" s="33">
        <f>ROUNDUP(L1064+(L1064*Assumptions!L$18),-2)</f>
        <v>5320800</v>
      </c>
      <c r="N1064" s="33">
        <f>ROUNDUP(M1064+(M1064*Assumptions!M$18),-2)</f>
        <v>5427300</v>
      </c>
      <c r="O1064" s="33">
        <f>ROUNDUP(N1064+(N1064*Assumptions!N$18),-2)</f>
        <v>5535900</v>
      </c>
      <c r="P1064" s="33">
        <f>ROUNDUP(O1064+(O1064*Assumptions!O$18),-2)</f>
        <v>5646700</v>
      </c>
      <c r="Q1064" s="33">
        <f>ROUNDUP(P1064+(P1064*Assumptions!P$18),-2)</f>
        <v>5759700</v>
      </c>
      <c r="R1064" s="114">
        <f>ROUNDUP(Q1064+(Q1064*Assumptions!Q$18),-2)</f>
        <v>5874900</v>
      </c>
    </row>
    <row r="1065" spans="1:18" x14ac:dyDescent="0.2">
      <c r="A1065" s="107">
        <v>147100</v>
      </c>
      <c r="B1065" s="33">
        <v>135500</v>
      </c>
      <c r="C1065" s="142">
        <v>123000</v>
      </c>
      <c r="D1065" s="142">
        <v>109600</v>
      </c>
      <c r="E1065" s="658" t="s">
        <v>2783</v>
      </c>
      <c r="F1065" s="132" t="s">
        <v>1267</v>
      </c>
      <c r="G1065" s="198">
        <v>91400</v>
      </c>
      <c r="H1065" s="138">
        <f>IF(D1065=G1065,0,IF(D1065=0,100,(G1065-D1065)/D1065*100))</f>
        <v>-16.605839416058394</v>
      </c>
      <c r="I1065" s="33">
        <v>71900</v>
      </c>
      <c r="J1065" s="33">
        <v>51000</v>
      </c>
      <c r="K1065" s="33">
        <v>28100</v>
      </c>
      <c r="L1065" s="33">
        <v>0</v>
      </c>
      <c r="M1065" s="33">
        <v>0</v>
      </c>
      <c r="N1065" s="33">
        <v>0</v>
      </c>
      <c r="O1065" s="33">
        <v>0</v>
      </c>
      <c r="P1065" s="33">
        <v>0</v>
      </c>
      <c r="Q1065" s="33">
        <v>0</v>
      </c>
      <c r="R1065" s="114">
        <v>0</v>
      </c>
    </row>
    <row r="1066" spans="1:18" x14ac:dyDescent="0.2">
      <c r="A1066" s="107">
        <v>4636000</v>
      </c>
      <c r="B1066" s="33">
        <v>1634800</v>
      </c>
      <c r="C1066" s="189">
        <v>3009500</v>
      </c>
      <c r="D1066" s="189">
        <v>0</v>
      </c>
      <c r="E1066" s="1092" t="s">
        <v>4541</v>
      </c>
      <c r="F1066" s="132" t="s">
        <v>4542</v>
      </c>
      <c r="G1066" s="198">
        <v>0</v>
      </c>
      <c r="H1066" s="138">
        <f>IF(D1066=G1066,0,IF(D1066=0,100,(G1066-D1066)/D1066*100))</f>
        <v>0</v>
      </c>
      <c r="I1066" s="33">
        <f>ROUNDUP(G1066+(G1066*Assumptions!H$5),-2)</f>
        <v>0</v>
      </c>
      <c r="J1066" s="33">
        <f>ROUNDUP(I1066+(I1066*Assumptions!I$5),-2)</f>
        <v>0</v>
      </c>
      <c r="K1066" s="33">
        <f>ROUNDUP(J1066+(J1066*Assumptions!J$5),-2)</f>
        <v>0</v>
      </c>
      <c r="L1066" s="33">
        <f>ROUNDUP(K1066+(K1066*Assumptions!K$5),-2)</f>
        <v>0</v>
      </c>
      <c r="M1066" s="33">
        <f>ROUNDUP(L1066+(L1066*Assumptions!L$5),-2)</f>
        <v>0</v>
      </c>
      <c r="N1066" s="33">
        <f>ROUNDUP(M1066+(M1066*Assumptions!M$5),-2)</f>
        <v>0</v>
      </c>
      <c r="O1066" s="33">
        <f>ROUNDUP(N1066+(N1066*Assumptions!N$5),-2)</f>
        <v>0</v>
      </c>
      <c r="P1066" s="33">
        <f>ROUNDUP(O1066+(O1066*Assumptions!O$5),-2)</f>
        <v>0</v>
      </c>
      <c r="Q1066" s="33">
        <f>ROUNDUP(P1066+(P1066*Assumptions!P$5),-2)</f>
        <v>0</v>
      </c>
      <c r="R1066" s="114">
        <f>ROUNDUP(Q1066+(Q1066*Assumptions!Q$5),-2)</f>
        <v>0</v>
      </c>
    </row>
    <row r="1067" spans="1:18" ht="13.5" thickBot="1" x14ac:dyDescent="0.25">
      <c r="A1067" s="107"/>
      <c r="B1067" s="33"/>
      <c r="E1067" s="1955"/>
      <c r="F1067" s="366"/>
      <c r="G1067" s="198"/>
      <c r="H1067" s="138"/>
      <c r="I1067" s="33"/>
      <c r="J1067" s="33"/>
      <c r="K1067" s="33"/>
      <c r="L1067" s="33"/>
      <c r="M1067" s="33"/>
      <c r="N1067" s="33"/>
      <c r="O1067" s="33"/>
      <c r="P1067" s="33"/>
      <c r="Q1067" s="33"/>
      <c r="R1067" s="114"/>
    </row>
    <row r="1068" spans="1:18" s="92" customFormat="1" x14ac:dyDescent="0.2">
      <c r="A1068" s="105">
        <f>SUM(A1035:A1067)</f>
        <v>15779300</v>
      </c>
      <c r="B1068" s="53">
        <f>SUM(B1035:B1067)</f>
        <v>12418700</v>
      </c>
      <c r="C1068" s="190">
        <f>SUM(C1035:C1067)</f>
        <v>12830100</v>
      </c>
      <c r="D1068" s="190">
        <f>SUM(D1035:D1067)</f>
        <v>9730300</v>
      </c>
      <c r="E1068" s="237"/>
      <c r="F1068" s="378" t="s">
        <v>565</v>
      </c>
      <c r="G1068" s="2550">
        <f>SUM(G1035:G1067)</f>
        <v>8210300</v>
      </c>
      <c r="H1068" s="180">
        <f t="shared" ref="H1068:H1073" si="1317">IF(D1068=G1068,0,IF(D1068=0,100,(G1068-D1068)/D1068*100))</f>
        <v>-15.621306640083041</v>
      </c>
      <c r="I1068" s="53">
        <f t="shared" ref="I1068:Q1068" si="1318">SUM(I1035:I1067)</f>
        <v>8411600</v>
      </c>
      <c r="J1068" s="53">
        <f t="shared" si="1318"/>
        <v>8532800</v>
      </c>
      <c r="K1068" s="53">
        <f t="shared" si="1318"/>
        <v>8654500</v>
      </c>
      <c r="L1068" s="53">
        <f t="shared" si="1318"/>
        <v>8773500</v>
      </c>
      <c r="M1068" s="53">
        <f t="shared" si="1318"/>
        <v>9238400</v>
      </c>
      <c r="N1068" s="53">
        <f t="shared" si="1318"/>
        <v>9355500</v>
      </c>
      <c r="O1068" s="53">
        <f t="shared" si="1318"/>
        <v>9478300</v>
      </c>
      <c r="P1068" s="53">
        <f t="shared" si="1318"/>
        <v>9606800</v>
      </c>
      <c r="Q1068" s="53">
        <f t="shared" si="1318"/>
        <v>9750200</v>
      </c>
      <c r="R1068" s="113">
        <f t="shared" ref="R1068" si="1319">SUM(R1035:R1067)</f>
        <v>9920800</v>
      </c>
    </row>
    <row r="1069" spans="1:18" s="92" customFormat="1" x14ac:dyDescent="0.2">
      <c r="A1069" s="70">
        <f>A1033-A1068</f>
        <v>-15091400</v>
      </c>
      <c r="B1069" s="64">
        <f>B1033-B1068</f>
        <v>-11919000</v>
      </c>
      <c r="C1069" s="193">
        <f>C1033-C1068</f>
        <v>-12416300</v>
      </c>
      <c r="D1069" s="193">
        <f>D1033-D1068</f>
        <v>-9379800</v>
      </c>
      <c r="E1069" s="237"/>
      <c r="F1069" s="516" t="s">
        <v>1019</v>
      </c>
      <c r="G1069" s="2511">
        <f>G1033-G1068</f>
        <v>-5651000</v>
      </c>
      <c r="H1069" s="179">
        <f t="shared" si="1317"/>
        <v>-39.753512868078211</v>
      </c>
      <c r="I1069" s="64">
        <f t="shared" ref="I1069:Q1069" si="1320">I1033-I1068</f>
        <v>-7429100</v>
      </c>
      <c r="J1069" s="64">
        <f t="shared" si="1320"/>
        <v>-7758800</v>
      </c>
      <c r="K1069" s="64">
        <f t="shared" si="1320"/>
        <v>-7988300</v>
      </c>
      <c r="L1069" s="64">
        <f t="shared" si="1320"/>
        <v>-8102600</v>
      </c>
      <c r="M1069" s="64">
        <f t="shared" si="1320"/>
        <v>-8562900</v>
      </c>
      <c r="N1069" s="64">
        <f t="shared" si="1320"/>
        <v>-8675100</v>
      </c>
      <c r="O1069" s="64">
        <f t="shared" si="1320"/>
        <v>-8789300</v>
      </c>
      <c r="P1069" s="64">
        <f t="shared" si="1320"/>
        <v>-8906600</v>
      </c>
      <c r="Q1069" s="64">
        <f t="shared" si="1320"/>
        <v>-9035900</v>
      </c>
      <c r="R1069" s="115">
        <f t="shared" ref="R1069" si="1321">R1033-R1068</f>
        <v>-9192200</v>
      </c>
    </row>
    <row r="1070" spans="1:18" x14ac:dyDescent="0.2">
      <c r="A1070" s="107">
        <f>A1064</f>
        <v>6916000</v>
      </c>
      <c r="B1070" s="33">
        <f>B1064</f>
        <v>7228600</v>
      </c>
      <c r="C1070" s="189">
        <f>C1064</f>
        <v>6163400</v>
      </c>
      <c r="D1070" s="189">
        <f>D1064</f>
        <v>5853500</v>
      </c>
      <c r="E1070" s="1955"/>
      <c r="F1070" s="372" t="s">
        <v>1976</v>
      </c>
      <c r="G1070" s="2509">
        <f t="shared" ref="G1070:O1070" si="1322">G1064</f>
        <v>4819000</v>
      </c>
      <c r="H1070" s="138">
        <f t="shared" si="1317"/>
        <v>-17.673186982147431</v>
      </c>
      <c r="I1070" s="187">
        <f t="shared" si="1322"/>
        <v>4915400</v>
      </c>
      <c r="J1070" s="187">
        <f t="shared" si="1322"/>
        <v>5013800</v>
      </c>
      <c r="K1070" s="187">
        <f t="shared" si="1322"/>
        <v>5114100</v>
      </c>
      <c r="L1070" s="187">
        <f t="shared" si="1322"/>
        <v>5216400</v>
      </c>
      <c r="M1070" s="187">
        <f t="shared" si="1322"/>
        <v>5320800</v>
      </c>
      <c r="N1070" s="187">
        <f t="shared" si="1322"/>
        <v>5427300</v>
      </c>
      <c r="O1070" s="187">
        <f t="shared" si="1322"/>
        <v>5535900</v>
      </c>
      <c r="P1070" s="187">
        <f t="shared" ref="P1070:Q1070" si="1323">P1064</f>
        <v>5646700</v>
      </c>
      <c r="Q1070" s="187">
        <f t="shared" si="1323"/>
        <v>5759700</v>
      </c>
      <c r="R1070" s="188">
        <f t="shared" ref="R1070" si="1324">R1064</f>
        <v>5874900</v>
      </c>
    </row>
    <row r="1071" spans="1:18" x14ac:dyDescent="0.2">
      <c r="A1071" s="107">
        <f t="shared" ref="A1071:B1071" si="1325">A1065</f>
        <v>147100</v>
      </c>
      <c r="B1071" s="33">
        <f t="shared" si="1325"/>
        <v>135500</v>
      </c>
      <c r="C1071" s="189">
        <f>C1065</f>
        <v>123000</v>
      </c>
      <c r="D1071" s="189">
        <f>D1065</f>
        <v>109600</v>
      </c>
      <c r="E1071" s="1955"/>
      <c r="F1071" s="742" t="s">
        <v>4545</v>
      </c>
      <c r="G1071" s="2509">
        <f t="shared" ref="G1071:O1071" si="1326">G1065</f>
        <v>91400</v>
      </c>
      <c r="H1071" s="138">
        <f t="shared" si="1317"/>
        <v>-16.605839416058394</v>
      </c>
      <c r="I1071" s="187">
        <f t="shared" si="1326"/>
        <v>71900</v>
      </c>
      <c r="J1071" s="187">
        <f t="shared" si="1326"/>
        <v>51000</v>
      </c>
      <c r="K1071" s="187">
        <f t="shared" si="1326"/>
        <v>28100</v>
      </c>
      <c r="L1071" s="187">
        <f t="shared" si="1326"/>
        <v>0</v>
      </c>
      <c r="M1071" s="187">
        <f t="shared" si="1326"/>
        <v>0</v>
      </c>
      <c r="N1071" s="187">
        <f t="shared" si="1326"/>
        <v>0</v>
      </c>
      <c r="O1071" s="187">
        <f t="shared" si="1326"/>
        <v>0</v>
      </c>
      <c r="P1071" s="187">
        <f t="shared" ref="P1071:Q1071" si="1327">P1065</f>
        <v>0</v>
      </c>
      <c r="Q1071" s="187">
        <f t="shared" si="1327"/>
        <v>0</v>
      </c>
      <c r="R1071" s="188">
        <f t="shared" ref="R1071" si="1328">R1065</f>
        <v>0</v>
      </c>
    </row>
    <row r="1072" spans="1:18" x14ac:dyDescent="0.2">
      <c r="A1072" s="107">
        <f>A1066</f>
        <v>4636000</v>
      </c>
      <c r="B1072" s="33">
        <f>B1066</f>
        <v>1634800</v>
      </c>
      <c r="C1072" s="189">
        <f>C1066</f>
        <v>3009500</v>
      </c>
      <c r="D1072" s="189">
        <f>D1066</f>
        <v>0</v>
      </c>
      <c r="E1072" s="1955"/>
      <c r="F1072" s="372" t="s">
        <v>4546</v>
      </c>
      <c r="G1072" s="2509">
        <f t="shared" ref="G1072:O1072" si="1329">G1066</f>
        <v>0</v>
      </c>
      <c r="H1072" s="138">
        <f t="shared" si="1317"/>
        <v>0</v>
      </c>
      <c r="I1072" s="187">
        <f t="shared" si="1329"/>
        <v>0</v>
      </c>
      <c r="J1072" s="187">
        <f t="shared" si="1329"/>
        <v>0</v>
      </c>
      <c r="K1072" s="187">
        <f t="shared" si="1329"/>
        <v>0</v>
      </c>
      <c r="L1072" s="187">
        <f t="shared" si="1329"/>
        <v>0</v>
      </c>
      <c r="M1072" s="187">
        <f t="shared" si="1329"/>
        <v>0</v>
      </c>
      <c r="N1072" s="187">
        <f t="shared" si="1329"/>
        <v>0</v>
      </c>
      <c r="O1072" s="187">
        <f t="shared" si="1329"/>
        <v>0</v>
      </c>
      <c r="P1072" s="187">
        <f t="shared" ref="P1072:Q1072" si="1330">P1066</f>
        <v>0</v>
      </c>
      <c r="Q1072" s="187">
        <f t="shared" si="1330"/>
        <v>0</v>
      </c>
      <c r="R1072" s="188">
        <f t="shared" ref="R1072" si="1331">R1066</f>
        <v>0</v>
      </c>
    </row>
    <row r="1073" spans="1:18" s="92" customFormat="1" x14ac:dyDescent="0.2">
      <c r="A1073" s="181">
        <f t="shared" ref="A1073:B1073" si="1332">SUM(A1069:A1072)</f>
        <v>-3392300</v>
      </c>
      <c r="B1073" s="397">
        <f t="shared" si="1332"/>
        <v>-2920100</v>
      </c>
      <c r="C1073" s="398">
        <f>SUM(C1069:C1072)</f>
        <v>-3120400</v>
      </c>
      <c r="D1073" s="398">
        <f>SUM(D1069:D1072)</f>
        <v>-3416700</v>
      </c>
      <c r="E1073" s="523"/>
      <c r="F1073" s="518" t="s">
        <v>1687</v>
      </c>
      <c r="G1073" s="2607">
        <f>SUM(G1069:G1072)</f>
        <v>-740600</v>
      </c>
      <c r="H1073" s="395">
        <f t="shared" si="1317"/>
        <v>-78.324113911083799</v>
      </c>
      <c r="I1073" s="728">
        <f t="shared" ref="I1073:O1073" si="1333">SUM(I1069:I1072)</f>
        <v>-2441800</v>
      </c>
      <c r="J1073" s="728">
        <f t="shared" si="1333"/>
        <v>-2694000</v>
      </c>
      <c r="K1073" s="728">
        <f t="shared" si="1333"/>
        <v>-2846100</v>
      </c>
      <c r="L1073" s="728">
        <f t="shared" si="1333"/>
        <v>-2886200</v>
      </c>
      <c r="M1073" s="728">
        <f t="shared" si="1333"/>
        <v>-3242100</v>
      </c>
      <c r="N1073" s="728">
        <f t="shared" si="1333"/>
        <v>-3247800</v>
      </c>
      <c r="O1073" s="728">
        <f t="shared" si="1333"/>
        <v>-3253400</v>
      </c>
      <c r="P1073" s="728">
        <f t="shared" ref="P1073:Q1073" si="1334">SUM(P1069:P1072)</f>
        <v>-3259900</v>
      </c>
      <c r="Q1073" s="728">
        <f t="shared" si="1334"/>
        <v>-3276200</v>
      </c>
      <c r="R1073" s="1716">
        <f t="shared" ref="R1073" si="1335">SUM(R1069:R1072)</f>
        <v>-3317300</v>
      </c>
    </row>
    <row r="1074" spans="1:18" ht="13.5" thickBot="1" x14ac:dyDescent="0.25">
      <c r="A1074" s="107"/>
      <c r="B1074" s="142"/>
      <c r="E1074" s="1955"/>
      <c r="F1074" s="366"/>
      <c r="G1074" s="2509"/>
      <c r="H1074" s="138"/>
      <c r="I1074" s="33"/>
      <c r="J1074" s="33"/>
      <c r="K1074" s="33"/>
      <c r="L1074" s="33"/>
      <c r="M1074" s="33"/>
      <c r="N1074" s="33"/>
      <c r="O1074" s="33"/>
      <c r="P1074" s="33"/>
      <c r="Q1074" s="33"/>
      <c r="R1074" s="114"/>
    </row>
    <row r="1075" spans="1:18" x14ac:dyDescent="0.2">
      <c r="A1075" s="105"/>
      <c r="B1075" s="155"/>
      <c r="C1075" s="190"/>
      <c r="D1075" s="190"/>
      <c r="E1075" s="1819"/>
      <c r="F1075" s="1820" t="s">
        <v>196</v>
      </c>
      <c r="G1075" s="2510"/>
      <c r="H1075" s="180"/>
      <c r="I1075" s="169"/>
      <c r="J1075" s="169"/>
      <c r="K1075" s="169"/>
      <c r="L1075" s="169"/>
      <c r="M1075" s="169"/>
      <c r="N1075" s="169"/>
      <c r="O1075" s="169"/>
      <c r="P1075" s="169"/>
      <c r="Q1075" s="169"/>
      <c r="R1075" s="1717"/>
    </row>
    <row r="1076" spans="1:18" x14ac:dyDescent="0.2">
      <c r="A1076" s="107">
        <v>423200</v>
      </c>
      <c r="B1076" s="142">
        <f>ROUND(SUM('Debt-Gen'!E49:E51),-2)</f>
        <v>702600</v>
      </c>
      <c r="C1076" s="142">
        <f>ROUND(SUM('Debt-Gen'!G49:G51),-2)</f>
        <v>822000</v>
      </c>
      <c r="D1076" s="142">
        <f>ROUND(SUM('Debt-Gen'!I49:I51),-2)</f>
        <v>982800</v>
      </c>
      <c r="E1076" s="238"/>
      <c r="F1076" s="366" t="s">
        <v>2900</v>
      </c>
      <c r="G1076" s="198">
        <f>ROUND(SUM('Debt-Gen'!K49:K51),-2)</f>
        <v>1015100</v>
      </c>
      <c r="H1076" s="138"/>
      <c r="I1076" s="33">
        <f>ROUND(SUM('Debt-Gen'!M49:M51),-2)</f>
        <v>1049300</v>
      </c>
      <c r="J1076" s="33">
        <f>ROUND(SUM('Debt-Gen'!O49:O51),-2)</f>
        <v>1084400</v>
      </c>
      <c r="K1076" s="33">
        <f>ROUND(SUM('Debt-Gen'!Q49:Q51),-2)</f>
        <v>1170300</v>
      </c>
      <c r="L1076" s="33">
        <f>ROUND(SUM('Debt-Gen'!S49:S51),-2)</f>
        <v>804600</v>
      </c>
      <c r="M1076" s="33">
        <f>ROUND(SUM('Debt-Gen'!U49:U51),-2)</f>
        <v>1262300</v>
      </c>
      <c r="N1076" s="33">
        <f>ROUND(SUM('Debt-Gen'!W49:W51),-2)</f>
        <v>1255900</v>
      </c>
      <c r="O1076" s="33">
        <f>ROUND(SUM('Debt-Gen'!Y49:Y51),-2)</f>
        <v>1247800</v>
      </c>
      <c r="P1076" s="33">
        <f>ROUND(SUM('Debt-Gen'!AA49:AA51),-2)</f>
        <v>1148900</v>
      </c>
      <c r="Q1076" s="33">
        <f>ROUND(SUM('Debt-Gen'!AC49:AC51),-2)</f>
        <v>487000</v>
      </c>
      <c r="R1076" s="114">
        <f>ROUND(SUM('Debt-Gen'!AE49:AE51),-2)</f>
        <v>507000</v>
      </c>
    </row>
    <row r="1077" spans="1:18" x14ac:dyDescent="0.2">
      <c r="A1077" s="107">
        <v>9487800</v>
      </c>
      <c r="B1077" s="142">
        <v>2467900</v>
      </c>
      <c r="C1077" s="189">
        <v>1640400</v>
      </c>
      <c r="D1077" s="189">
        <f>SUM('Res-Gen'!B163:B170)+'Sec 94'!E69-'Res-Gen'!B165+850900</f>
        <v>1802200</v>
      </c>
      <c r="E1077" s="238"/>
      <c r="F1077" s="366" t="s">
        <v>1942</v>
      </c>
      <c r="G1077" s="198">
        <f>SUM('Res-Gen'!E163:E170)</f>
        <v>25100</v>
      </c>
      <c r="H1077" s="138"/>
      <c r="I1077" s="33">
        <f>SUM('Res-Gen'!H163:H170)</f>
        <v>0</v>
      </c>
      <c r="J1077" s="33">
        <f>SUM('Res-Gen'!K163:K170)</f>
        <v>0</v>
      </c>
      <c r="K1077" s="33">
        <f>SUM('Res-Gen'!N163:N170)</f>
        <v>0</v>
      </c>
      <c r="L1077" s="33">
        <f>SUM('Res-Gen'!Q163:Q170)</f>
        <v>0</v>
      </c>
      <c r="M1077" s="33">
        <f>SUM('Res-Gen'!T163:T170)</f>
        <v>0</v>
      </c>
      <c r="N1077" s="33">
        <f>SUM('Res-Gen'!W163:W170)</f>
        <v>0</v>
      </c>
      <c r="O1077" s="33">
        <f>SUM('Res-Gen'!Z163:Z170)</f>
        <v>0</v>
      </c>
      <c r="P1077" s="33">
        <f>SUM('Res-Gen'!AC163:AC170)</f>
        <v>0</v>
      </c>
      <c r="Q1077" s="33">
        <f>SUM('Res-Gen'!AF163:AF170)</f>
        <v>0</v>
      </c>
      <c r="R1077" s="114">
        <f>SUM('Res-Gen'!AG163:AG170)</f>
        <v>0</v>
      </c>
    </row>
    <row r="1078" spans="1:18" x14ac:dyDescent="0.2">
      <c r="A1078" s="107">
        <v>2778700</v>
      </c>
      <c r="B1078" s="142">
        <v>9546500</v>
      </c>
      <c r="C1078" s="189">
        <v>5526800</v>
      </c>
      <c r="D1078" s="189">
        <f>SUM('Res-Gen'!C163:C170)+'Sec 94'!E77+'Sec 94'!E57+'Sec 94'!E64+'Res-Gen'!C99+'Sec 94'!E94-270000-135000-49700+'Res-Gen'!C175+861100</f>
        <v>2916200</v>
      </c>
      <c r="E1078" s="123"/>
      <c r="F1078" s="366" t="s">
        <v>2348</v>
      </c>
      <c r="G1078" s="198">
        <f>SUM('Res-Gen'!F163:F170)+'Sec 94'!F57+'Sec 94'!F64+'Sec 94'!F77+'Sec 94'!F94-30000</f>
        <v>2679400</v>
      </c>
      <c r="H1078" s="138"/>
      <c r="I1078" s="33">
        <f>SUM('Res-Gen'!I163:I170)+'Sec 94'!G77+'Sec 94'!G64+'Sec 94'!G57+'Res-Gen'!I99</f>
        <v>4641000</v>
      </c>
      <c r="J1078" s="33">
        <f>SUM('Res-Gen'!L163:L170)+'Sec 94'!H57+'Sec 94'!H64+'Sec 94'!H77</f>
        <v>17171000</v>
      </c>
      <c r="K1078" s="33">
        <f>SUM('Res-Gen'!O163:O170)+'Sec 94'!I64+'Sec 94'!I77+'Sec 94'!I57</f>
        <v>402000</v>
      </c>
      <c r="L1078" s="33">
        <f>SUM('Res-Gen'!R163:R170)+'Sec 94'!J57+'Sec 94'!J64+'Sec 94'!J77</f>
        <v>13980000</v>
      </c>
      <c r="M1078" s="33">
        <f>SUM('Res-Gen'!U163:U170)+'Sec 94'!K77+'Sec 94'!K64+'Sec 94'!K57</f>
        <v>13515000</v>
      </c>
      <c r="N1078" s="33">
        <f>SUM('Res-Gen'!X163:X170)+'Sec 94'!L57+'Sec 94'!L64+'Sec 94'!L77</f>
        <v>370000</v>
      </c>
      <c r="O1078" s="33">
        <f>SUM('Res-Gen'!AA163:AA170)+'Sec 94'!M77+'Sec 94'!M64+'Sec 94'!M57</f>
        <v>377000</v>
      </c>
      <c r="P1078" s="33">
        <f>SUM('Res-Gen'!AD163:AD170)+'Sec 94'!N77+'Sec 94'!N64+'Sec 94'!N57</f>
        <v>385000</v>
      </c>
      <c r="Q1078" s="33">
        <f>SUM('Res-Gen'!AG163:AG170)+'Sec 94'!O77+'Sec 94'!O64+'Sec 94'!O57</f>
        <v>393000</v>
      </c>
      <c r="R1078" s="114">
        <f>SUM('Res-Gen'!AJ163:AJ170)+'Sec 94'!P77+'Sec 94'!P64+'Sec 94'!P57</f>
        <v>401000</v>
      </c>
    </row>
    <row r="1079" spans="1:18" x14ac:dyDescent="0.2">
      <c r="A1079" s="107">
        <v>10074100</v>
      </c>
      <c r="B1079" s="142">
        <v>4803700</v>
      </c>
      <c r="C1079" s="189">
        <v>1540000</v>
      </c>
      <c r="D1079" s="189">
        <f>SUM('Cap-Gen'!Q138)+SUM('Cap-Gen'!S138)</f>
        <v>4718700</v>
      </c>
      <c r="E1079" s="238"/>
      <c r="F1079" s="366" t="s">
        <v>5984</v>
      </c>
      <c r="G1079" s="198">
        <f>SUM('Cap-Gen'!V138)+SUM('Cap-Gen'!X138)-G1028</f>
        <v>4888700</v>
      </c>
      <c r="H1079" s="138"/>
      <c r="I1079" s="33">
        <f>SUM('Cap-Gen'!AA138)+SUM('Cap-Gen'!AC138)-I1028</f>
        <v>4201000</v>
      </c>
      <c r="J1079" s="33">
        <f>SUM('Cap-Gen'!AF138)+SUM('Cap-Gen'!AH138)-J1028</f>
        <v>2674000</v>
      </c>
      <c r="K1079" s="33">
        <f>SUM('Cap-Gen'!AK138)+SUM('Cap-Gen'!AM138)-K1028</f>
        <v>174000</v>
      </c>
      <c r="L1079" s="33">
        <f>SUM('Cap-Gen'!AP138)+SUM('Cap-Gen'!AR138)-L1028</f>
        <v>8340000</v>
      </c>
      <c r="M1079" s="33">
        <f>SUM('Cap-Gen'!AU138)+SUM('Cap-Gen'!AW138)-M1028</f>
        <v>0</v>
      </c>
      <c r="N1079" s="33">
        <f>SUM('Cap-Gen'!AZ138)+SUM('Cap-Gen'!BB138)-N1028</f>
        <v>0</v>
      </c>
      <c r="O1079" s="33">
        <f>SUM('Cap-Gen'!BE138)+SUM('Cap-Gen'!BG138)-O1028</f>
        <v>0</v>
      </c>
      <c r="P1079" s="33">
        <f>SUM('Cap-Gen'!BJ138)+SUM('Cap-Gen'!BL138)-P1028</f>
        <v>0</v>
      </c>
      <c r="Q1079" s="33">
        <f>SUM('Cap-Gen'!BO138)+SUM('Cap-Gen'!BQ138)-Q1028</f>
        <v>0</v>
      </c>
      <c r="R1079" s="114">
        <f>SUM('Cap-Gen'!BT138)+SUM('Cap-Gen'!BV138)-R1028</f>
        <v>0</v>
      </c>
    </row>
    <row r="1080" spans="1:18" x14ac:dyDescent="0.2">
      <c r="A1080" s="107">
        <v>10230000</v>
      </c>
      <c r="B1080" s="142">
        <f>13536300+887900</f>
        <v>14424200</v>
      </c>
      <c r="C1080" s="189">
        <v>6975000</v>
      </c>
      <c r="D1080" s="189">
        <f>'Cap-Gen'!E138</f>
        <v>8501900</v>
      </c>
      <c r="E1080" s="123"/>
      <c r="F1080" s="366" t="s">
        <v>972</v>
      </c>
      <c r="G1080" s="198">
        <f>'Cap-Gen'!F138</f>
        <v>13235200</v>
      </c>
      <c r="H1080" s="138"/>
      <c r="I1080" s="187">
        <f>'Cap-Gen'!G138</f>
        <v>13118700</v>
      </c>
      <c r="J1080" s="187">
        <f>'Cap-Gen'!H138</f>
        <v>24385100</v>
      </c>
      <c r="K1080" s="187">
        <f>'Cap-Gen'!I138</f>
        <v>5620300</v>
      </c>
      <c r="L1080" s="187">
        <f>'Cap-Gen'!J138</f>
        <v>28487300</v>
      </c>
      <c r="M1080" s="187">
        <f>'Cap-Gen'!K138</f>
        <v>19167900</v>
      </c>
      <c r="N1080" s="187">
        <f>'Cap-Gen'!L138</f>
        <v>6264900</v>
      </c>
      <c r="O1080" s="33">
        <f>'Cap-Gen'!M138</f>
        <v>6522500</v>
      </c>
      <c r="P1080" s="33">
        <f>'Cap-Gen'!N138</f>
        <v>6944700</v>
      </c>
      <c r="Q1080" s="33">
        <f>'Cap-Gen'!O138</f>
        <v>7927500</v>
      </c>
      <c r="R1080" s="114">
        <f>'Cap-Gen'!P138</f>
        <v>8214900</v>
      </c>
    </row>
    <row r="1081" spans="1:18" s="92" customFormat="1" x14ac:dyDescent="0.2">
      <c r="A1081" s="181">
        <f>A1073-A1076-A1077+A1078++A1079-A1080</f>
        <v>-10680500</v>
      </c>
      <c r="B1081" s="377">
        <f>B1073-B1076-B1077+B1078++B1079-B1080</f>
        <v>-6164600</v>
      </c>
      <c r="C1081" s="398">
        <f>C1073-C1076-C1077+C1078++C1079-C1080</f>
        <v>-5491000</v>
      </c>
      <c r="D1081" s="398">
        <f>D1073-D1076-D1077+D1078++D1079-D1080</f>
        <v>-7068700</v>
      </c>
      <c r="E1081" s="526"/>
      <c r="F1081" s="518" t="s">
        <v>2490</v>
      </c>
      <c r="G1081" s="2605">
        <f t="shared" ref="G1081:P1081" si="1336">G1073-G1076-G1077+G1078++G1079-G1080</f>
        <v>-7447900</v>
      </c>
      <c r="H1081" s="395">
        <f>IF(D1081=G1081,0,IF(D1081=0,100,(G1081-D1081)/D1081*100))</f>
        <v>5.364494178561829</v>
      </c>
      <c r="I1081" s="397">
        <f t="shared" si="1336"/>
        <v>-7767800</v>
      </c>
      <c r="J1081" s="397">
        <f t="shared" si="1336"/>
        <v>-8318500</v>
      </c>
      <c r="K1081" s="397">
        <f t="shared" si="1336"/>
        <v>-9060700</v>
      </c>
      <c r="L1081" s="397">
        <f t="shared" si="1336"/>
        <v>-9858100</v>
      </c>
      <c r="M1081" s="397">
        <f t="shared" si="1336"/>
        <v>-10157300</v>
      </c>
      <c r="N1081" s="397">
        <f t="shared" si="1336"/>
        <v>-10398600</v>
      </c>
      <c r="O1081" s="397">
        <f t="shared" si="1336"/>
        <v>-10646700</v>
      </c>
      <c r="P1081" s="397">
        <f t="shared" si="1336"/>
        <v>-10968500</v>
      </c>
      <c r="Q1081" s="397">
        <f t="shared" ref="Q1081" si="1337">Q1073-Q1076-Q1077+Q1078++Q1079-Q1080</f>
        <v>-11297700</v>
      </c>
      <c r="R1081" s="399">
        <f t="shared" ref="R1081" si="1338">R1073-R1076-R1077+R1078++R1079-R1080</f>
        <v>-11638200</v>
      </c>
    </row>
    <row r="1082" spans="1:18" ht="13.5" thickBot="1" x14ac:dyDescent="0.25">
      <c r="A1082" s="716"/>
      <c r="B1082" s="134"/>
      <c r="C1082" s="195"/>
      <c r="D1082" s="195"/>
      <c r="E1082" s="239"/>
      <c r="F1082" s="368"/>
      <c r="G1082" s="2502"/>
      <c r="H1082" s="392"/>
      <c r="I1082" s="66"/>
      <c r="J1082" s="66"/>
      <c r="K1082" s="66"/>
      <c r="L1082" s="66"/>
      <c r="M1082" s="66"/>
      <c r="N1082" s="66"/>
      <c r="O1082" s="66"/>
      <c r="P1082" s="66"/>
      <c r="Q1082" s="66"/>
      <c r="R1082" s="165"/>
    </row>
    <row r="1083" spans="1:18" s="99" customFormat="1" ht="14.25" thickTop="1" thickBot="1" x14ac:dyDescent="0.25">
      <c r="A1083" s="74"/>
      <c r="B1083" s="74"/>
      <c r="C1083" s="197"/>
      <c r="D1083" s="197"/>
      <c r="E1083" s="242"/>
      <c r="F1083" s="137"/>
      <c r="G1083" s="197"/>
      <c r="H1083" s="2507"/>
    </row>
    <row r="1084" spans="1:18" s="91" customFormat="1" ht="18.75" customHeight="1" thickTop="1" thickBot="1" x14ac:dyDescent="0.3">
      <c r="A1084" s="2865" t="s">
        <v>659</v>
      </c>
      <c r="B1084" s="2866"/>
      <c r="C1084" s="2866"/>
      <c r="D1084" s="2866"/>
      <c r="E1084" s="2866"/>
      <c r="F1084" s="2866"/>
      <c r="G1084" s="2866"/>
      <c r="H1084" s="2866"/>
      <c r="I1084" s="2866"/>
      <c r="J1084" s="2866"/>
      <c r="K1084" s="2866"/>
      <c r="L1084" s="2866"/>
      <c r="M1084" s="2866"/>
      <c r="N1084" s="2866"/>
      <c r="O1084" s="2866"/>
      <c r="P1084" s="2866"/>
      <c r="Q1084" s="2866"/>
      <c r="R1084" s="2867"/>
    </row>
    <row r="1085" spans="1:18" s="44" customFormat="1" x14ac:dyDescent="0.2">
      <c r="A1085" s="2848" t="s">
        <v>1856</v>
      </c>
      <c r="B1085" s="2840"/>
      <c r="C1085" s="2840"/>
      <c r="D1085" s="2849"/>
      <c r="E1085" s="369" t="s">
        <v>2663</v>
      </c>
      <c r="F1085" s="2649" t="s">
        <v>2251</v>
      </c>
      <c r="G1085" s="2885" t="s">
        <v>2253</v>
      </c>
      <c r="H1085" s="2886"/>
      <c r="I1085" s="2886"/>
      <c r="J1085" s="2886"/>
      <c r="K1085" s="2886"/>
      <c r="L1085" s="2886"/>
      <c r="M1085" s="2886"/>
      <c r="N1085" s="2886"/>
      <c r="O1085" s="2886"/>
      <c r="P1085" s="2886"/>
      <c r="Q1085" s="2886"/>
      <c r="R1085" s="2887"/>
    </row>
    <row r="1086" spans="1:18" s="23" customFormat="1" ht="12.75" customHeight="1" thickBot="1" x14ac:dyDescent="0.25">
      <c r="A1086" s="208" t="str">
        <f>A3</f>
        <v>2012/13</v>
      </c>
      <c r="B1086" s="75" t="str">
        <f>B3</f>
        <v>2013/14</v>
      </c>
      <c r="C1086" s="370" t="str">
        <f>C3</f>
        <v>2014/15</v>
      </c>
      <c r="D1086" s="93" t="str">
        <f>D3</f>
        <v>2015/16</v>
      </c>
      <c r="E1086" s="370" t="s">
        <v>2664</v>
      </c>
      <c r="F1086" s="42"/>
      <c r="G1086" s="93" t="str">
        <f>G3</f>
        <v>2016/17</v>
      </c>
      <c r="H1086" s="2193" t="str">
        <f>H1578</f>
        <v>%</v>
      </c>
      <c r="I1086" s="370" t="str">
        <f t="shared" ref="I1086:Q1086" si="1339">I3</f>
        <v>2017/18</v>
      </c>
      <c r="J1086" s="370" t="str">
        <f t="shared" si="1339"/>
        <v>2018/19</v>
      </c>
      <c r="K1086" s="370" t="str">
        <f t="shared" si="1339"/>
        <v>2019/20</v>
      </c>
      <c r="L1086" s="370" t="str">
        <f t="shared" si="1339"/>
        <v>2020/21</v>
      </c>
      <c r="M1086" s="370" t="str">
        <f t="shared" si="1339"/>
        <v>2021/22</v>
      </c>
      <c r="N1086" s="370" t="str">
        <f t="shared" si="1339"/>
        <v>2022/23</v>
      </c>
      <c r="O1086" s="370" t="str">
        <f t="shared" si="1339"/>
        <v>2023/24</v>
      </c>
      <c r="P1086" s="370" t="str">
        <f t="shared" si="1339"/>
        <v>2024/25</v>
      </c>
      <c r="Q1086" s="218" t="str">
        <f t="shared" si="1339"/>
        <v>2025/26</v>
      </c>
      <c r="R1086" s="549" t="str">
        <f t="shared" ref="R1086" si="1340">R3</f>
        <v>2026/27</v>
      </c>
    </row>
    <row r="1087" spans="1:18" x14ac:dyDescent="0.2">
      <c r="A1087" s="107"/>
      <c r="B1087" s="33"/>
      <c r="C1087" s="187"/>
      <c r="D1087" s="187"/>
      <c r="E1087" s="1955"/>
      <c r="F1087" s="144" t="s">
        <v>1073</v>
      </c>
      <c r="G1087" s="187"/>
      <c r="H1087" s="138"/>
      <c r="I1087" s="33"/>
      <c r="J1087" s="33"/>
      <c r="K1087" s="33"/>
      <c r="L1087" s="33"/>
      <c r="M1087" s="33"/>
      <c r="N1087" s="33"/>
      <c r="O1087" s="33"/>
      <c r="P1087" s="33"/>
      <c r="Q1087" s="33"/>
      <c r="R1087" s="114"/>
    </row>
    <row r="1088" spans="1:18" x14ac:dyDescent="0.2">
      <c r="A1088" s="107"/>
      <c r="B1088" s="33"/>
      <c r="E1088" s="658"/>
      <c r="F1088" s="2529" t="s">
        <v>3242</v>
      </c>
      <c r="G1088" s="187"/>
      <c r="H1088" s="138"/>
      <c r="I1088" s="33"/>
      <c r="J1088" s="33"/>
      <c r="K1088" s="33"/>
      <c r="L1088" s="33"/>
      <c r="M1088" s="33"/>
      <c r="N1088" s="33"/>
      <c r="O1088" s="33"/>
      <c r="P1088" s="33"/>
      <c r="Q1088" s="33"/>
      <c r="R1088" s="114"/>
    </row>
    <row r="1089" spans="1:18" x14ac:dyDescent="0.2">
      <c r="A1089" s="107">
        <v>55300</v>
      </c>
      <c r="B1089" s="33">
        <v>248400</v>
      </c>
      <c r="C1089" s="189">
        <v>168600</v>
      </c>
      <c r="D1089" s="189">
        <v>724000</v>
      </c>
      <c r="E1089" s="1092" t="s">
        <v>3039</v>
      </c>
      <c r="F1089" s="76" t="s">
        <v>889</v>
      </c>
      <c r="G1089" s="187">
        <f>100000+130000</f>
        <v>230000</v>
      </c>
      <c r="H1089" s="138">
        <f>IF(D1089=G1089,0,IF(D1089=0,100,(G1089-D1089)/D1089*100))</f>
        <v>-68.232044198895025</v>
      </c>
      <c r="I1089" s="33">
        <f>ROUNDUP(G1089+(G1089*Assumptions!H$5),-2)</f>
        <v>233500</v>
      </c>
      <c r="J1089" s="33">
        <f>ROUNDUP(I1089+(I1089*Assumptions!I$5),-2)</f>
        <v>239400</v>
      </c>
      <c r="K1089" s="33">
        <f>ROUNDUP(J1089+(J1089*Assumptions!J$5),-2)</f>
        <v>245400</v>
      </c>
      <c r="L1089" s="33">
        <f>ROUNDUP(K1089+(K1089*Assumptions!K$5),-2)</f>
        <v>251600</v>
      </c>
      <c r="M1089" s="33">
        <f>ROUNDUP(L1089+(L1089*Assumptions!L$5),-2)</f>
        <v>256700</v>
      </c>
      <c r="N1089" s="33">
        <f>ROUNDUP(M1089+(M1089*Assumptions!M$5),-2)</f>
        <v>261900</v>
      </c>
      <c r="O1089" s="33">
        <f>ROUNDUP(N1089+(N1089*Assumptions!N$5),-2)</f>
        <v>267200</v>
      </c>
      <c r="P1089" s="33">
        <f>ROUNDUP(O1089+(O1089*Assumptions!O$5),-2)</f>
        <v>272600</v>
      </c>
      <c r="Q1089" s="33">
        <f>ROUNDUP(P1089+(P1089*Assumptions!P$5),-2)</f>
        <v>278100</v>
      </c>
      <c r="R1089" s="114">
        <f>ROUNDUP(Q1089+(Q1089*Assumptions!Q$5),-2)</f>
        <v>283700</v>
      </c>
    </row>
    <row r="1090" spans="1:18" x14ac:dyDescent="0.2">
      <c r="A1090" s="107">
        <v>0</v>
      </c>
      <c r="B1090" s="33">
        <v>0</v>
      </c>
      <c r="C1090" s="189">
        <v>21500</v>
      </c>
      <c r="D1090" s="189">
        <v>4000</v>
      </c>
      <c r="E1090" s="1098" t="s">
        <v>4266</v>
      </c>
      <c r="F1090" s="77" t="s">
        <v>4265</v>
      </c>
      <c r="G1090" s="187">
        <f>50000-25000</f>
        <v>25000</v>
      </c>
      <c r="H1090" s="138">
        <f>IF(D1090=G1090,0,IF(D1090=0,100,(G1090-D1090)/D1090*100))</f>
        <v>525</v>
      </c>
      <c r="I1090" s="33">
        <f>ROUNDUP(G1090+(G1090*Assumptions!H$5),-2)</f>
        <v>25400</v>
      </c>
      <c r="J1090" s="33">
        <f>ROUNDUP(I1090+(I1090*Assumptions!I$5),-2)</f>
        <v>26100</v>
      </c>
      <c r="K1090" s="33">
        <f>ROUNDUP(J1090+(J1090*Assumptions!J$5),-2)</f>
        <v>26800</v>
      </c>
      <c r="L1090" s="33">
        <f>ROUNDUP(K1090+(K1090*Assumptions!K$5),-2)</f>
        <v>27500</v>
      </c>
      <c r="M1090" s="33">
        <f>ROUNDUP(L1090+(L1090*Assumptions!L$5),-2)</f>
        <v>28100</v>
      </c>
      <c r="N1090" s="33">
        <f>ROUNDUP(M1090+(M1090*Assumptions!M$5),-2)</f>
        <v>28700</v>
      </c>
      <c r="O1090" s="33">
        <f>ROUNDUP(N1090+(N1090*Assumptions!N$5),-2)</f>
        <v>29300</v>
      </c>
      <c r="P1090" s="33">
        <f>ROUNDUP(O1090+(O1090*Assumptions!O$5),-2)</f>
        <v>29900</v>
      </c>
      <c r="Q1090" s="33">
        <f>ROUNDUP(P1090+(P1090*Assumptions!P$5),-2)</f>
        <v>30500</v>
      </c>
      <c r="R1090" s="114">
        <f>ROUNDUP(Q1090+(Q1090*Assumptions!Q$5),-2)</f>
        <v>31200</v>
      </c>
    </row>
    <row r="1091" spans="1:18" x14ac:dyDescent="0.2">
      <c r="A1091" s="107"/>
      <c r="B1091" s="33"/>
      <c r="E1091" s="1955"/>
      <c r="F1091" s="2529" t="s">
        <v>687</v>
      </c>
      <c r="G1091" s="187"/>
      <c r="H1091" s="138"/>
      <c r="I1091" s="33"/>
      <c r="J1091" s="33"/>
      <c r="K1091" s="33"/>
      <c r="L1091" s="33"/>
      <c r="M1091" s="33"/>
      <c r="N1091" s="33"/>
      <c r="O1091" s="33"/>
      <c r="P1091" s="33"/>
      <c r="Q1091" s="33"/>
      <c r="R1091" s="114"/>
    </row>
    <row r="1092" spans="1:18" x14ac:dyDescent="0.2">
      <c r="A1092" s="107">
        <v>98000</v>
      </c>
      <c r="B1092" s="33">
        <v>98000</v>
      </c>
      <c r="C1092" s="189">
        <v>98000</v>
      </c>
      <c r="D1092" s="189">
        <v>98000</v>
      </c>
      <c r="E1092" s="658" t="s">
        <v>1880</v>
      </c>
      <c r="F1092" s="3" t="s">
        <v>724</v>
      </c>
      <c r="G1092" s="187">
        <v>103000</v>
      </c>
      <c r="H1092" s="138">
        <f>IF(D1092=G1092,0,IF(D1092=0,100,(G1092-D1092)/D1092*100))</f>
        <v>5.1020408163265305</v>
      </c>
      <c r="I1092" s="33">
        <f>ROUNDUP(G1092+(G1092*Assumptions!H$5),-2)</f>
        <v>104600</v>
      </c>
      <c r="J1092" s="33">
        <f>ROUNDUP(I1092+(I1092*Assumptions!I$5),-2)</f>
        <v>107300</v>
      </c>
      <c r="K1092" s="33">
        <f>ROUNDUP(J1092+(J1092*Assumptions!J$5),-2)</f>
        <v>110000</v>
      </c>
      <c r="L1092" s="33">
        <f>ROUNDUP(K1092+(K1092*Assumptions!K$5),-2)</f>
        <v>112800</v>
      </c>
      <c r="M1092" s="33">
        <f>ROUNDUP(L1092+(L1092*Assumptions!L$5),-2)</f>
        <v>115100</v>
      </c>
      <c r="N1092" s="33">
        <f>ROUNDUP(M1092+(M1092*Assumptions!M$5),-2)</f>
        <v>117500</v>
      </c>
      <c r="O1092" s="33">
        <f>ROUNDUP(N1092+(N1092*Assumptions!N$5),-2)</f>
        <v>119900</v>
      </c>
      <c r="P1092" s="33">
        <f>ROUNDUP(O1092+(O1092*Assumptions!O$5),-2)</f>
        <v>122300</v>
      </c>
      <c r="Q1092" s="33">
        <f>ROUNDUP(P1092+(P1092*Assumptions!P$5),-2)</f>
        <v>124800</v>
      </c>
      <c r="R1092" s="114">
        <f>ROUNDUP(Q1092+(Q1092*Assumptions!Q$5),-2)</f>
        <v>127300</v>
      </c>
    </row>
    <row r="1093" spans="1:18" x14ac:dyDescent="0.2">
      <c r="A1093" s="107">
        <v>25700</v>
      </c>
      <c r="B1093" s="33">
        <v>48200</v>
      </c>
      <c r="C1093" s="189">
        <v>44600</v>
      </c>
      <c r="D1093" s="189">
        <v>40000</v>
      </c>
      <c r="E1093" s="1092" t="s">
        <v>2943</v>
      </c>
      <c r="F1093" s="77" t="s">
        <v>2942</v>
      </c>
      <c r="G1093" s="187">
        <v>34200</v>
      </c>
      <c r="H1093" s="138">
        <f>IF(D1093=G1093,0,IF(D1093=0,100,(G1093-D1093)/D1093*100))</f>
        <v>-14.499999999999998</v>
      </c>
      <c r="I1093" s="33">
        <v>29200</v>
      </c>
      <c r="J1093" s="33">
        <v>24000</v>
      </c>
      <c r="K1093" s="33">
        <v>18500</v>
      </c>
      <c r="L1093" s="33">
        <v>12800</v>
      </c>
      <c r="M1093" s="33">
        <v>6900</v>
      </c>
      <c r="N1093" s="33">
        <v>1100</v>
      </c>
      <c r="O1093" s="33">
        <v>0</v>
      </c>
      <c r="P1093" s="33">
        <v>0</v>
      </c>
      <c r="Q1093" s="33">
        <v>0</v>
      </c>
      <c r="R1093" s="114">
        <v>0</v>
      </c>
    </row>
    <row r="1094" spans="1:18" x14ac:dyDescent="0.2">
      <c r="A1094" s="107">
        <v>39600</v>
      </c>
      <c r="B1094" s="33">
        <f>55500-B1093</f>
        <v>7300</v>
      </c>
      <c r="C1094" s="189">
        <f>2600+6300+1000+300+8800</f>
        <v>19000</v>
      </c>
      <c r="D1094" s="189">
        <v>0</v>
      </c>
      <c r="E1094" s="1092" t="s">
        <v>4149</v>
      </c>
      <c r="F1094" s="271" t="s">
        <v>1486</v>
      </c>
      <c r="G1094" s="187">
        <f>5000-5000</f>
        <v>0</v>
      </c>
      <c r="H1094" s="138">
        <f>IF(D1094=G1094,0,IF(D1094=0,100,(G1094-D1094)/D1094*100))</f>
        <v>0</v>
      </c>
      <c r="I1094" s="33">
        <f>ROUNDUP(G1094+(G1094*Assumptions!H$5),-2)</f>
        <v>0</v>
      </c>
      <c r="J1094" s="33">
        <f>ROUNDUP(I1094+(I1094*Assumptions!I$5),-2)</f>
        <v>0</v>
      </c>
      <c r="K1094" s="33">
        <f>ROUNDUP(J1094+(J1094*Assumptions!J$5),-2)</f>
        <v>0</v>
      </c>
      <c r="L1094" s="33">
        <f>ROUNDUP(K1094+(K1094*Assumptions!K$5),-2)</f>
        <v>0</v>
      </c>
      <c r="M1094" s="33">
        <f>ROUNDUP(L1094+(L1094*Assumptions!L$5),-2)</f>
        <v>0</v>
      </c>
      <c r="N1094" s="33">
        <f>ROUNDUP(M1094+(M1094*Assumptions!M$5),-2)</f>
        <v>0</v>
      </c>
      <c r="O1094" s="33">
        <f>ROUNDUP(N1094+(N1094*Assumptions!N$5),-2)</f>
        <v>0</v>
      </c>
      <c r="P1094" s="33">
        <f>ROUNDUP(O1094+(O1094*Assumptions!O$5),-2)</f>
        <v>0</v>
      </c>
      <c r="Q1094" s="33">
        <f>ROUNDUP(P1094+(P1094*Assumptions!P$5),-2)</f>
        <v>0</v>
      </c>
      <c r="R1094" s="114">
        <f>ROUNDUP(Q1094+(Q1094*Assumptions!Q$5),-2)</f>
        <v>0</v>
      </c>
    </row>
    <row r="1095" spans="1:18" x14ac:dyDescent="0.2">
      <c r="A1095" s="107">
        <v>0</v>
      </c>
      <c r="B1095" s="33">
        <v>0</v>
      </c>
      <c r="C1095" s="189">
        <v>10000</v>
      </c>
      <c r="D1095" s="189">
        <v>0</v>
      </c>
      <c r="E1095" s="1098" t="s">
        <v>6589</v>
      </c>
      <c r="F1095" s="813" t="s">
        <v>6588</v>
      </c>
      <c r="G1095" s="187">
        <f>4000+26000</f>
        <v>30000</v>
      </c>
      <c r="H1095" s="138">
        <f>IF(D1095=G1095,0,IF(D1095=0,100,(G1095-D1095)/D1095*100))</f>
        <v>100</v>
      </c>
      <c r="I1095" s="33">
        <v>0</v>
      </c>
      <c r="J1095" s="33">
        <f>ROUNDUP(I1095+(I1095*Assumptions!I$5),-2)</f>
        <v>0</v>
      </c>
      <c r="K1095" s="33">
        <f>ROUNDUP(J1095+(J1095*Assumptions!J$5),-2)</f>
        <v>0</v>
      </c>
      <c r="L1095" s="33">
        <f>ROUNDUP(K1095+(K1095*Assumptions!K$5),-2)</f>
        <v>0</v>
      </c>
      <c r="M1095" s="33">
        <f>ROUNDUP(L1095+(L1095*Assumptions!L$5),-2)</f>
        <v>0</v>
      </c>
      <c r="N1095" s="33">
        <f>ROUNDUP(M1095+(M1095*Assumptions!M$5),-2)</f>
        <v>0</v>
      </c>
      <c r="O1095" s="33">
        <f>ROUNDUP(N1095+(N1095*Assumptions!N$5),-2)</f>
        <v>0</v>
      </c>
      <c r="P1095" s="33">
        <f>ROUNDUP(O1095+(O1095*Assumptions!O$5),-2)</f>
        <v>0</v>
      </c>
      <c r="Q1095" s="33">
        <f>ROUNDUP(P1095+(P1095*Assumptions!P$5),-2)</f>
        <v>0</v>
      </c>
      <c r="R1095" s="114">
        <f>ROUNDUP(Q1095+(Q1095*Assumptions!Q$5),-2)</f>
        <v>0</v>
      </c>
    </row>
    <row r="1096" spans="1:18" x14ac:dyDescent="0.2">
      <c r="A1096" s="107"/>
      <c r="B1096" s="33"/>
      <c r="E1096" s="1098"/>
      <c r="F1096" s="2529" t="s">
        <v>428</v>
      </c>
      <c r="G1096" s="187"/>
      <c r="H1096" s="138"/>
      <c r="I1096" s="33"/>
      <c r="J1096" s="33"/>
      <c r="K1096" s="33"/>
      <c r="L1096" s="33"/>
      <c r="M1096" s="33"/>
      <c r="N1096" s="33"/>
      <c r="O1096" s="33"/>
      <c r="P1096" s="33"/>
      <c r="Q1096" s="33"/>
      <c r="R1096" s="114"/>
    </row>
    <row r="1097" spans="1:18" x14ac:dyDescent="0.2">
      <c r="A1097" s="107">
        <v>0</v>
      </c>
      <c r="B1097" s="33">
        <v>0</v>
      </c>
      <c r="C1097" s="189">
        <v>0</v>
      </c>
      <c r="D1097" s="189">
        <v>8000</v>
      </c>
      <c r="E1097" s="1098" t="s">
        <v>6793</v>
      </c>
      <c r="F1097" s="77" t="s">
        <v>6794</v>
      </c>
      <c r="G1097" s="187">
        <v>0</v>
      </c>
      <c r="H1097" s="138">
        <f>IF(D1097=G1097,0,IF(D1097=0,100,(G1097-D1097)/D1097*100))</f>
        <v>-100</v>
      </c>
      <c r="I1097" s="33">
        <v>0</v>
      </c>
      <c r="J1097" s="33">
        <f>ROUNDUP(I1097+(I1097*Assumptions!I$5),-2)</f>
        <v>0</v>
      </c>
      <c r="K1097" s="33">
        <f>ROUNDUP(J1097+(J1097*Assumptions!J$5),-2)</f>
        <v>0</v>
      </c>
      <c r="L1097" s="33">
        <f>ROUNDUP(K1097+(K1097*Assumptions!K$5),-2)</f>
        <v>0</v>
      </c>
      <c r="M1097" s="33">
        <f>ROUNDUP(L1097+(L1097*Assumptions!L$5),-2)</f>
        <v>0</v>
      </c>
      <c r="N1097" s="33">
        <f>ROUNDUP(M1097+(M1097*Assumptions!M$5),-2)</f>
        <v>0</v>
      </c>
      <c r="O1097" s="33">
        <f>ROUNDUP(N1097+(N1097*Assumptions!N$5),-2)</f>
        <v>0</v>
      </c>
      <c r="P1097" s="33">
        <f>ROUNDUP(O1097+(O1097*Assumptions!O$5),-2)</f>
        <v>0</v>
      </c>
      <c r="Q1097" s="33">
        <f>ROUNDUP(P1097+(P1097*Assumptions!P$5),-2)</f>
        <v>0</v>
      </c>
      <c r="R1097" s="114">
        <f>ROUNDUP(Q1097+(Q1097*Assumptions!Q$5),-2)</f>
        <v>0</v>
      </c>
    </row>
    <row r="1098" spans="1:18" x14ac:dyDescent="0.2">
      <c r="A1098" s="107">
        <v>5500</v>
      </c>
      <c r="B1098" s="33">
        <v>5600</v>
      </c>
      <c r="C1098" s="189">
        <v>5800</v>
      </c>
      <c r="D1098" s="189">
        <v>0</v>
      </c>
      <c r="E1098" s="658" t="s">
        <v>2387</v>
      </c>
      <c r="F1098" s="76" t="s">
        <v>1792</v>
      </c>
      <c r="G1098" s="187">
        <v>6200</v>
      </c>
      <c r="H1098" s="138">
        <f>IF(D1098=G1098,0,IF(D1098=0,100,(G1098-D1098)/D1098*100))</f>
        <v>100</v>
      </c>
      <c r="I1098" s="33">
        <f>ROUNDUP(G1098+(G1098*Assumptions!H$5),-2)</f>
        <v>6300</v>
      </c>
      <c r="J1098" s="33">
        <f>ROUNDUP(I1098+(I1098*Assumptions!I$5),-2)</f>
        <v>6500</v>
      </c>
      <c r="K1098" s="33">
        <f>ROUNDUP(J1098+(J1098*Assumptions!J$5),-2)</f>
        <v>6700</v>
      </c>
      <c r="L1098" s="33">
        <f>ROUNDUP(K1098+(K1098*Assumptions!K$5),-2)</f>
        <v>6900</v>
      </c>
      <c r="M1098" s="33">
        <f>ROUNDUP(L1098+(L1098*Assumptions!L$5),-2)</f>
        <v>7100</v>
      </c>
      <c r="N1098" s="33">
        <f>ROUNDUP(M1098+(M1098*Assumptions!M$5),-2)</f>
        <v>7300</v>
      </c>
      <c r="O1098" s="33">
        <f>ROUNDUP(N1098+(N1098*Assumptions!N$5),-2)</f>
        <v>7500</v>
      </c>
      <c r="P1098" s="33">
        <f>ROUNDUP(O1098+(O1098*Assumptions!O$5),-2)</f>
        <v>7700</v>
      </c>
      <c r="Q1098" s="33">
        <f>ROUNDUP(P1098+(P1098*Assumptions!P$5),-2)</f>
        <v>7900</v>
      </c>
      <c r="R1098" s="114">
        <f>ROUNDUP(Q1098+(Q1098*Assumptions!Q$5),-2)</f>
        <v>8100</v>
      </c>
    </row>
    <row r="1099" spans="1:18" ht="13.5" thickBot="1" x14ac:dyDescent="0.25">
      <c r="A1099" s="107">
        <v>0</v>
      </c>
      <c r="B1099" s="33">
        <f>56500-B1098</f>
        <v>50900</v>
      </c>
      <c r="C1099" s="189">
        <f>55400-5800</f>
        <v>49600</v>
      </c>
      <c r="D1099" s="189">
        <v>33100</v>
      </c>
      <c r="E1099" s="658">
        <v>22151</v>
      </c>
      <c r="F1099" s="77" t="s">
        <v>428</v>
      </c>
      <c r="G1099" s="187">
        <v>1000</v>
      </c>
      <c r="H1099" s="138">
        <f>IF(D1099=G1099,0,IF(D1099=0,100,(G1099-D1099)/D1099*100))</f>
        <v>-96.978851963746223</v>
      </c>
      <c r="I1099" s="33">
        <v>0</v>
      </c>
      <c r="J1099" s="33">
        <f>ROUNDUP(I1099+(I1099*Assumptions!I$5),-2)</f>
        <v>0</v>
      </c>
      <c r="K1099" s="33">
        <f>ROUNDUP(J1099+(J1099*Assumptions!J$5),-2)</f>
        <v>0</v>
      </c>
      <c r="L1099" s="33">
        <f>ROUNDUP(K1099+(K1099*Assumptions!K$5),-2)</f>
        <v>0</v>
      </c>
      <c r="M1099" s="33">
        <f>ROUNDUP(L1099+(L1099*Assumptions!L$5),-2)</f>
        <v>0</v>
      </c>
      <c r="N1099" s="33">
        <f>ROUNDUP(M1099+(M1099*Assumptions!M$5),-2)</f>
        <v>0</v>
      </c>
      <c r="O1099" s="33">
        <f>ROUNDUP(N1099+(N1099*Assumptions!N$5),-2)</f>
        <v>0</v>
      </c>
      <c r="P1099" s="33">
        <f>ROUNDUP(O1099+(O1099*Assumptions!O$5),-2)</f>
        <v>0</v>
      </c>
      <c r="Q1099" s="33">
        <f>ROUNDUP(P1099+(P1099*Assumptions!P$5),-2)</f>
        <v>0</v>
      </c>
      <c r="R1099" s="114">
        <f>ROUNDUP(Q1099+(Q1099*Assumptions!Q$5),-2)</f>
        <v>0</v>
      </c>
    </row>
    <row r="1100" spans="1:18" s="92" customFormat="1" x14ac:dyDescent="0.2">
      <c r="A1100" s="105">
        <f>SUM(A1087:A1099)</f>
        <v>224100</v>
      </c>
      <c r="B1100" s="53">
        <f>SUM(B1087:B1099)</f>
        <v>458400</v>
      </c>
      <c r="C1100" s="190">
        <f>SUM(C1087:C1099)</f>
        <v>417100</v>
      </c>
      <c r="D1100" s="190">
        <f>SUM(D1087:D1099)</f>
        <v>907100</v>
      </c>
      <c r="E1100" s="237"/>
      <c r="F1100" s="1960" t="s">
        <v>2605</v>
      </c>
      <c r="G1100" s="199">
        <f>SUM(G1087:G1099)</f>
        <v>429400</v>
      </c>
      <c r="H1100" s="180">
        <f>IF(D1100=G1100,0,IF(D1100=0,100,(G1100-D1100)/D1100*100))</f>
        <v>-52.662330503803332</v>
      </c>
      <c r="I1100" s="53">
        <f t="shared" ref="I1100:Q1100" si="1341">SUM(I1087:I1099)</f>
        <v>399000</v>
      </c>
      <c r="J1100" s="53">
        <f t="shared" si="1341"/>
        <v>403300</v>
      </c>
      <c r="K1100" s="53">
        <f t="shared" si="1341"/>
        <v>407400</v>
      </c>
      <c r="L1100" s="53">
        <f t="shared" si="1341"/>
        <v>411600</v>
      </c>
      <c r="M1100" s="53">
        <f t="shared" si="1341"/>
        <v>413900</v>
      </c>
      <c r="N1100" s="53">
        <f t="shared" si="1341"/>
        <v>416500</v>
      </c>
      <c r="O1100" s="53">
        <f t="shared" si="1341"/>
        <v>423900</v>
      </c>
      <c r="P1100" s="53">
        <f t="shared" si="1341"/>
        <v>432500</v>
      </c>
      <c r="Q1100" s="53">
        <f t="shared" si="1341"/>
        <v>441300</v>
      </c>
      <c r="R1100" s="113">
        <f t="shared" ref="R1100" si="1342">SUM(R1087:R1099)</f>
        <v>450300</v>
      </c>
    </row>
    <row r="1101" spans="1:18" x14ac:dyDescent="0.2">
      <c r="A1101" s="107"/>
      <c r="B1101" s="33"/>
      <c r="E1101" s="1955"/>
      <c r="F1101" s="103" t="s">
        <v>2205</v>
      </c>
      <c r="G1101" s="187"/>
      <c r="H1101" s="138"/>
      <c r="I1101" s="33"/>
      <c r="J1101" s="33"/>
      <c r="K1101" s="33"/>
      <c r="L1101" s="33"/>
      <c r="M1101" s="33"/>
      <c r="N1101" s="33"/>
      <c r="O1101" s="33"/>
      <c r="P1101" s="33"/>
      <c r="Q1101" s="33"/>
      <c r="R1101" s="114"/>
    </row>
    <row r="1102" spans="1:18" x14ac:dyDescent="0.2">
      <c r="A1102" s="107"/>
      <c r="B1102" s="33"/>
      <c r="E1102" s="437"/>
      <c r="F1102" s="349" t="s">
        <v>724</v>
      </c>
      <c r="G1102" s="187"/>
      <c r="H1102" s="138"/>
      <c r="I1102" s="33"/>
      <c r="J1102" s="33"/>
      <c r="K1102" s="33"/>
      <c r="L1102" s="33"/>
      <c r="M1102" s="33"/>
      <c r="N1102" s="33"/>
      <c r="O1102" s="33"/>
      <c r="P1102" s="33"/>
      <c r="Q1102" s="33"/>
      <c r="R1102" s="114"/>
    </row>
    <row r="1103" spans="1:18" x14ac:dyDescent="0.2">
      <c r="A1103" s="107">
        <v>406700</v>
      </c>
      <c r="B1103" s="33">
        <v>450300</v>
      </c>
      <c r="C1103" s="189">
        <v>505800</v>
      </c>
      <c r="D1103" s="189">
        <v>469400</v>
      </c>
      <c r="E1103" s="658" t="s">
        <v>896</v>
      </c>
      <c r="F1103" s="77" t="s">
        <v>3008</v>
      </c>
      <c r="G1103" s="187">
        <f>490000+60000</f>
        <v>550000</v>
      </c>
      <c r="H1103" s="138">
        <f>IF(D1103=G1103,0,IF(D1103=0,100,(G1103-D1103)/D1103*100))</f>
        <v>17.170856412441417</v>
      </c>
      <c r="I1103" s="33">
        <f>ROUNDUP(G1103+(G1103*Assumptions!H$5),-2)</f>
        <v>558300</v>
      </c>
      <c r="J1103" s="33">
        <f>ROUNDUP(I1103+(I1103*Assumptions!I$5),-2)</f>
        <v>572300</v>
      </c>
      <c r="K1103" s="33">
        <f>ROUNDUP(J1103+(J1103*Assumptions!J$5),-2)</f>
        <v>586700</v>
      </c>
      <c r="L1103" s="33">
        <f>ROUNDUP(K1103+(K1103*Assumptions!K$5),-2)</f>
        <v>601400</v>
      </c>
      <c r="M1103" s="33">
        <f>ROUNDUP(L1103+(L1103*Assumptions!L$5),-2)</f>
        <v>613500</v>
      </c>
      <c r="N1103" s="33">
        <f>ROUNDUP(M1103+(M1103*Assumptions!M$5),-2)</f>
        <v>625800</v>
      </c>
      <c r="O1103" s="33">
        <f>ROUNDUP(N1103+(N1103*Assumptions!N$5),-2)</f>
        <v>638400</v>
      </c>
      <c r="P1103" s="33">
        <f>ROUNDUP(O1103+(O1103*Assumptions!O$5),-2)</f>
        <v>651200</v>
      </c>
      <c r="Q1103" s="33">
        <f>ROUNDUP(P1103+(P1103*Assumptions!P$5),-2)</f>
        <v>664300</v>
      </c>
      <c r="R1103" s="114">
        <f>ROUNDUP(Q1103+(Q1103*Assumptions!Q$5),-2)</f>
        <v>677600</v>
      </c>
    </row>
    <row r="1104" spans="1:18" x14ac:dyDescent="0.2">
      <c r="A1104" s="107"/>
      <c r="B1104" s="33"/>
      <c r="E1104" s="658"/>
      <c r="F1104" s="349" t="s">
        <v>2514</v>
      </c>
      <c r="G1104" s="187"/>
      <c r="H1104" s="138"/>
      <c r="I1104" s="33"/>
      <c r="J1104" s="33"/>
      <c r="K1104" s="33"/>
      <c r="L1104" s="33"/>
      <c r="M1104" s="33"/>
      <c r="N1104" s="33"/>
      <c r="O1104" s="33"/>
      <c r="P1104" s="33"/>
      <c r="Q1104" s="33"/>
      <c r="R1104" s="114"/>
    </row>
    <row r="1105" spans="1:18" x14ac:dyDescent="0.2">
      <c r="A1105" s="107">
        <v>84600</v>
      </c>
      <c r="B1105" s="33">
        <v>78500</v>
      </c>
      <c r="C1105" s="189">
        <v>40400</v>
      </c>
      <c r="D1105" s="189">
        <f>-4000+200+12400</f>
        <v>8600</v>
      </c>
      <c r="E1105" s="658" t="s">
        <v>1213</v>
      </c>
      <c r="F1105" s="3" t="s">
        <v>1214</v>
      </c>
      <c r="G1105" s="187">
        <v>64400</v>
      </c>
      <c r="H1105" s="138">
        <f t="shared" ref="H1105:H1109" si="1343">IF(D1105=G1105,0,IF(D1105=0,100,(G1105-D1105)/D1105*100))</f>
        <v>648.83720930232562</v>
      </c>
      <c r="I1105" s="33">
        <f>ROUNDUP(G1105+(G1105*Assumptions!H$5),-2)</f>
        <v>65400</v>
      </c>
      <c r="J1105" s="33">
        <f>ROUNDUP(I1105+(I1105*Assumptions!I$5),-2)</f>
        <v>67100</v>
      </c>
      <c r="K1105" s="33">
        <f>ROUNDUP(J1105+(J1105*Assumptions!J$5),-2)</f>
        <v>68800</v>
      </c>
      <c r="L1105" s="33">
        <f>ROUNDUP(K1105+(K1105*Assumptions!K$5),-2)</f>
        <v>70600</v>
      </c>
      <c r="M1105" s="33">
        <f>ROUNDUP(L1105+(L1105*Assumptions!L$5),-2)</f>
        <v>72100</v>
      </c>
      <c r="N1105" s="33">
        <f>ROUNDUP(M1105+(M1105*Assumptions!M$5),-2)</f>
        <v>73600</v>
      </c>
      <c r="O1105" s="33">
        <f>ROUNDUP(N1105+(N1105*Assumptions!N$5),-2)</f>
        <v>75100</v>
      </c>
      <c r="P1105" s="33">
        <f>ROUNDUP(O1105+(O1105*Assumptions!O$5),-2)</f>
        <v>76700</v>
      </c>
      <c r="Q1105" s="33">
        <f>ROUNDUP(P1105+(P1105*Assumptions!P$5),-2)</f>
        <v>78300</v>
      </c>
      <c r="R1105" s="114">
        <f>ROUNDUP(Q1105+(Q1105*Assumptions!Q$5),-2)</f>
        <v>79900</v>
      </c>
    </row>
    <row r="1106" spans="1:18" x14ac:dyDescent="0.2">
      <c r="A1106" s="107">
        <v>7900</v>
      </c>
      <c r="B1106" s="33">
        <v>18700</v>
      </c>
      <c r="C1106" s="189">
        <v>46500</v>
      </c>
      <c r="D1106" s="189">
        <v>53300</v>
      </c>
      <c r="E1106" s="658" t="s">
        <v>1215</v>
      </c>
      <c r="F1106" s="3" t="s">
        <v>1216</v>
      </c>
      <c r="G1106" s="187">
        <v>31900</v>
      </c>
      <c r="H1106" s="138">
        <f t="shared" si="1343"/>
        <v>-40.150093808630395</v>
      </c>
      <c r="I1106" s="33">
        <f>ROUNDUP(G1106+(G1106*Assumptions!H$5),-2)</f>
        <v>32400</v>
      </c>
      <c r="J1106" s="33">
        <f>ROUNDUP(I1106+(I1106*Assumptions!I$5),-2)</f>
        <v>33300</v>
      </c>
      <c r="K1106" s="33">
        <f>ROUNDUP(J1106+(J1106*Assumptions!J$5),-2)</f>
        <v>34200</v>
      </c>
      <c r="L1106" s="33">
        <f>ROUNDUP(K1106+(K1106*Assumptions!K$5),-2)</f>
        <v>35100</v>
      </c>
      <c r="M1106" s="33">
        <f>ROUNDUP(L1106+(L1106*Assumptions!L$5),-2)</f>
        <v>35900</v>
      </c>
      <c r="N1106" s="33">
        <f>ROUNDUP(M1106+(M1106*Assumptions!M$5),-2)</f>
        <v>36700</v>
      </c>
      <c r="O1106" s="33">
        <f>ROUNDUP(N1106+(N1106*Assumptions!N$5),-2)</f>
        <v>37500</v>
      </c>
      <c r="P1106" s="33">
        <f>ROUNDUP(O1106+(O1106*Assumptions!O$5),-2)</f>
        <v>38300</v>
      </c>
      <c r="Q1106" s="33">
        <f>ROUNDUP(P1106+(P1106*Assumptions!P$5),-2)</f>
        <v>39100</v>
      </c>
      <c r="R1106" s="114">
        <f>ROUNDUP(Q1106+(Q1106*Assumptions!Q$5),-2)</f>
        <v>39900</v>
      </c>
    </row>
    <row r="1107" spans="1:18" x14ac:dyDescent="0.2">
      <c r="A1107" s="107">
        <v>2700</v>
      </c>
      <c r="B1107" s="33">
        <v>1000</v>
      </c>
      <c r="C1107" s="189">
        <v>100</v>
      </c>
      <c r="D1107" s="189">
        <v>1400</v>
      </c>
      <c r="E1107" s="658" t="s">
        <v>41</v>
      </c>
      <c r="F1107" s="3" t="s">
        <v>2573</v>
      </c>
      <c r="G1107" s="187">
        <v>5100</v>
      </c>
      <c r="H1107" s="138">
        <f t="shared" si="1343"/>
        <v>264.28571428571428</v>
      </c>
      <c r="I1107" s="33">
        <f>ROUNDUP(G1107+(G1107*Assumptions!H$5),-2)</f>
        <v>5200</v>
      </c>
      <c r="J1107" s="33">
        <f>ROUNDUP(I1107+(I1107*Assumptions!I$5),-2)</f>
        <v>5400</v>
      </c>
      <c r="K1107" s="33">
        <f>ROUNDUP(J1107+(J1107*Assumptions!J$5),-2)</f>
        <v>5600</v>
      </c>
      <c r="L1107" s="33">
        <f>ROUNDUP(K1107+(K1107*Assumptions!K$5),-2)</f>
        <v>5800</v>
      </c>
      <c r="M1107" s="33">
        <f>ROUNDUP(L1107+(L1107*Assumptions!L$5),-2)</f>
        <v>6000</v>
      </c>
      <c r="N1107" s="33">
        <f>ROUNDUP(M1107+(M1107*Assumptions!M$5),-2)</f>
        <v>6200</v>
      </c>
      <c r="O1107" s="33">
        <f>ROUNDUP(N1107+(N1107*Assumptions!N$5),-2)</f>
        <v>6400</v>
      </c>
      <c r="P1107" s="33">
        <f>ROUNDUP(O1107+(O1107*Assumptions!O$5),-2)</f>
        <v>6600</v>
      </c>
      <c r="Q1107" s="33">
        <f>ROUNDUP(P1107+(P1107*Assumptions!P$5),-2)</f>
        <v>6800</v>
      </c>
      <c r="R1107" s="114">
        <f>ROUNDUP(Q1107+(Q1107*Assumptions!Q$5),-2)</f>
        <v>7000</v>
      </c>
    </row>
    <row r="1108" spans="1:18" x14ac:dyDescent="0.2">
      <c r="A1108" s="107">
        <v>1100</v>
      </c>
      <c r="B1108" s="33">
        <v>0</v>
      </c>
      <c r="C1108" s="189">
        <v>300</v>
      </c>
      <c r="D1108" s="189">
        <v>1400</v>
      </c>
      <c r="E1108" s="658" t="s">
        <v>42</v>
      </c>
      <c r="F1108" s="443" t="s">
        <v>755</v>
      </c>
      <c r="G1108" s="198">
        <v>1100</v>
      </c>
      <c r="H1108" s="138">
        <f t="shared" si="1343"/>
        <v>-21.428571428571427</v>
      </c>
      <c r="I1108" s="33">
        <f>ROUNDUP(G1108+(G1108*Assumptions!H$5),-2)</f>
        <v>1200</v>
      </c>
      <c r="J1108" s="33">
        <f>ROUNDUP(I1108+(I1108*Assumptions!I$5),-2)</f>
        <v>1300</v>
      </c>
      <c r="K1108" s="33">
        <f>ROUNDUP(J1108+(J1108*Assumptions!J$5),-2)</f>
        <v>1400</v>
      </c>
      <c r="L1108" s="33">
        <f>ROUNDUP(K1108+(K1108*Assumptions!K$5),-2)</f>
        <v>1500</v>
      </c>
      <c r="M1108" s="33">
        <f>ROUNDUP(L1108+(L1108*Assumptions!L$5),-2)</f>
        <v>1600</v>
      </c>
      <c r="N1108" s="33">
        <f>ROUNDUP(M1108+(M1108*Assumptions!M$5),-2)</f>
        <v>1700</v>
      </c>
      <c r="O1108" s="33">
        <f>ROUNDUP(N1108+(N1108*Assumptions!N$5),-2)</f>
        <v>1800</v>
      </c>
      <c r="P1108" s="33">
        <f>ROUNDUP(O1108+(O1108*Assumptions!O$5),-2)</f>
        <v>1900</v>
      </c>
      <c r="Q1108" s="33">
        <f>ROUNDUP(P1108+(P1108*Assumptions!P$5),-2)</f>
        <v>2000</v>
      </c>
      <c r="R1108" s="114">
        <f>ROUNDUP(Q1108+(Q1108*Assumptions!Q$5),-2)</f>
        <v>2100</v>
      </c>
    </row>
    <row r="1109" spans="1:18" x14ac:dyDescent="0.2">
      <c r="A1109" s="107">
        <v>43000</v>
      </c>
      <c r="B1109" s="33">
        <v>15100</v>
      </c>
      <c r="C1109" s="189">
        <f>5100+6600+1200</f>
        <v>12900</v>
      </c>
      <c r="D1109" s="189">
        <v>600</v>
      </c>
      <c r="E1109" s="658" t="s">
        <v>43</v>
      </c>
      <c r="F1109" s="443" t="s">
        <v>692</v>
      </c>
      <c r="G1109" s="198">
        <v>3700</v>
      </c>
      <c r="H1109" s="138">
        <f t="shared" si="1343"/>
        <v>516.66666666666674</v>
      </c>
      <c r="I1109" s="33">
        <f>ROUNDUP(G1109+(G1109*Assumptions!H$5),-2)</f>
        <v>3800</v>
      </c>
      <c r="J1109" s="33">
        <f>ROUNDUP(I1109+(I1109*Assumptions!I$5),-2)</f>
        <v>3900</v>
      </c>
      <c r="K1109" s="33">
        <f>ROUNDUP(J1109+(J1109*Assumptions!J$5),-2)</f>
        <v>4000</v>
      </c>
      <c r="L1109" s="33">
        <f>ROUNDUP(K1109+(K1109*Assumptions!K$5),-2)</f>
        <v>4100</v>
      </c>
      <c r="M1109" s="33">
        <f>ROUNDUP(L1109+(L1109*Assumptions!L$5),-2)</f>
        <v>4200</v>
      </c>
      <c r="N1109" s="33">
        <f>ROUNDUP(M1109+(M1109*Assumptions!M$5),-2)</f>
        <v>4300</v>
      </c>
      <c r="O1109" s="33">
        <f>ROUNDUP(N1109+(N1109*Assumptions!N$5),-2)</f>
        <v>4400</v>
      </c>
      <c r="P1109" s="33">
        <f>ROUNDUP(O1109+(O1109*Assumptions!O$5),-2)</f>
        <v>4500</v>
      </c>
      <c r="Q1109" s="33">
        <f>ROUNDUP(P1109+(P1109*Assumptions!P$5),-2)</f>
        <v>4600</v>
      </c>
      <c r="R1109" s="114">
        <f>ROUNDUP(Q1109+(Q1109*Assumptions!Q$5),-2)</f>
        <v>4700</v>
      </c>
    </row>
    <row r="1110" spans="1:18" x14ac:dyDescent="0.2">
      <c r="A1110" s="107"/>
      <c r="B1110" s="33"/>
      <c r="E1110" s="658"/>
      <c r="F1110" s="439" t="s">
        <v>164</v>
      </c>
      <c r="G1110" s="198"/>
      <c r="H1110" s="138"/>
      <c r="I1110" s="33"/>
      <c r="J1110" s="33"/>
      <c r="K1110" s="33"/>
      <c r="L1110" s="33"/>
      <c r="M1110" s="33"/>
      <c r="N1110" s="33"/>
      <c r="O1110" s="33"/>
      <c r="P1110" s="33"/>
      <c r="Q1110" s="33"/>
      <c r="R1110" s="114"/>
    </row>
    <row r="1111" spans="1:18" x14ac:dyDescent="0.2">
      <c r="A1111" s="107">
        <v>22100</v>
      </c>
      <c r="B1111" s="33">
        <v>22100</v>
      </c>
      <c r="C1111" s="189">
        <v>25800</v>
      </c>
      <c r="D1111" s="189">
        <v>50300</v>
      </c>
      <c r="E1111" s="658" t="s">
        <v>44</v>
      </c>
      <c r="F1111" s="814" t="s">
        <v>7058</v>
      </c>
      <c r="G1111" s="198">
        <v>27700</v>
      </c>
      <c r="H1111" s="138">
        <f t="shared" ref="H1111:H1118" si="1344">IF(D1111=G1111,0,IF(D1111=0,100,(G1111-D1111)/D1111*100))</f>
        <v>-44.930417495029822</v>
      </c>
      <c r="I1111" s="33">
        <v>50000</v>
      </c>
      <c r="J1111" s="33">
        <f>ROUNDUP(I1111+(I1111*Assumptions!I$5),-2)</f>
        <v>51300</v>
      </c>
      <c r="K1111" s="33">
        <f>ROUNDUP(J1111+(J1111*Assumptions!J$5),-2)</f>
        <v>52600</v>
      </c>
      <c r="L1111" s="33">
        <f>ROUNDUP(K1111+(K1111*Assumptions!K$5),-2)</f>
        <v>54000</v>
      </c>
      <c r="M1111" s="33">
        <f>ROUNDUP(L1111+(L1111*Assumptions!L$5),-2)</f>
        <v>55100</v>
      </c>
      <c r="N1111" s="33">
        <f>ROUNDUP(M1111+(M1111*Assumptions!M$5),-2)</f>
        <v>56300</v>
      </c>
      <c r="O1111" s="33">
        <f>ROUNDUP(N1111+(N1111*Assumptions!N$5),-2)</f>
        <v>57500</v>
      </c>
      <c r="P1111" s="33">
        <f>ROUNDUP(O1111+(O1111*Assumptions!O$5),-2)</f>
        <v>58700</v>
      </c>
      <c r="Q1111" s="33">
        <f>ROUNDUP(P1111+(P1111*Assumptions!P$5),-2)</f>
        <v>59900</v>
      </c>
      <c r="R1111" s="114">
        <f>ROUNDUP(Q1111+(Q1111*Assumptions!Q$5),-2)</f>
        <v>61100</v>
      </c>
    </row>
    <row r="1112" spans="1:18" x14ac:dyDescent="0.2">
      <c r="A1112" s="107">
        <v>49800</v>
      </c>
      <c r="B1112" s="33">
        <v>75800</v>
      </c>
      <c r="C1112" s="189">
        <v>42400</v>
      </c>
      <c r="D1112" s="189">
        <f>37800+10400</f>
        <v>48200</v>
      </c>
      <c r="E1112" s="658" t="s">
        <v>431</v>
      </c>
      <c r="F1112" s="814" t="s">
        <v>7059</v>
      </c>
      <c r="G1112" s="198">
        <v>66900</v>
      </c>
      <c r="H1112" s="138">
        <f t="shared" si="1344"/>
        <v>38.796680497925315</v>
      </c>
      <c r="I1112" s="33">
        <f>ROUNDUP(G1112+(G1112*Assumptions!H$5),-2)</f>
        <v>68000</v>
      </c>
      <c r="J1112" s="33">
        <f>ROUNDUP(I1112+(I1112*Assumptions!I$5),-2)</f>
        <v>69700</v>
      </c>
      <c r="K1112" s="33">
        <f>ROUNDUP(J1112+(J1112*Assumptions!J$5),-2)</f>
        <v>71500</v>
      </c>
      <c r="L1112" s="33">
        <f>ROUNDUP(K1112+(K1112*Assumptions!K$5),-2)</f>
        <v>73300</v>
      </c>
      <c r="M1112" s="33">
        <f>ROUNDUP(L1112+(L1112*Assumptions!L$5),-2)</f>
        <v>74800</v>
      </c>
      <c r="N1112" s="33">
        <f>ROUNDUP(M1112+(M1112*Assumptions!M$5),-2)</f>
        <v>76300</v>
      </c>
      <c r="O1112" s="33">
        <f>ROUNDUP(N1112+(N1112*Assumptions!N$5),-2)</f>
        <v>77900</v>
      </c>
      <c r="P1112" s="33">
        <f>ROUNDUP(O1112+(O1112*Assumptions!O$5),-2)</f>
        <v>79500</v>
      </c>
      <c r="Q1112" s="33">
        <f>ROUNDUP(P1112+(P1112*Assumptions!P$5),-2)</f>
        <v>81100</v>
      </c>
      <c r="R1112" s="114">
        <f>ROUNDUP(Q1112+(Q1112*Assumptions!Q$5),-2)</f>
        <v>82800</v>
      </c>
    </row>
    <row r="1113" spans="1:18" x14ac:dyDescent="0.2">
      <c r="A1113" s="107">
        <v>2400</v>
      </c>
      <c r="B1113" s="33">
        <v>18300</v>
      </c>
      <c r="C1113" s="189">
        <v>1400</v>
      </c>
      <c r="D1113" s="189">
        <v>2500</v>
      </c>
      <c r="E1113" s="658" t="s">
        <v>432</v>
      </c>
      <c r="F1113" s="814" t="s">
        <v>7060</v>
      </c>
      <c r="G1113" s="198">
        <v>8300</v>
      </c>
      <c r="H1113" s="138">
        <f t="shared" si="1344"/>
        <v>231.99999999999997</v>
      </c>
      <c r="I1113" s="33">
        <f>ROUNDUP(G1113+(G1113*Assumptions!H$5),-2)</f>
        <v>8500</v>
      </c>
      <c r="J1113" s="33">
        <f>ROUNDUP(I1113+(I1113*Assumptions!I$5),-2)</f>
        <v>8800</v>
      </c>
      <c r="K1113" s="33">
        <f>ROUNDUP(J1113+(J1113*Assumptions!J$5),-2)</f>
        <v>9100</v>
      </c>
      <c r="L1113" s="33">
        <f>ROUNDUP(K1113+(K1113*Assumptions!K$5),-2)</f>
        <v>9400</v>
      </c>
      <c r="M1113" s="33">
        <f>ROUNDUP(L1113+(L1113*Assumptions!L$5),-2)</f>
        <v>9600</v>
      </c>
      <c r="N1113" s="33">
        <f>ROUNDUP(M1113+(M1113*Assumptions!M$5),-2)</f>
        <v>9800</v>
      </c>
      <c r="O1113" s="33">
        <f>ROUNDUP(N1113+(N1113*Assumptions!N$5),-2)</f>
        <v>10000</v>
      </c>
      <c r="P1113" s="33">
        <f>ROUNDUP(O1113+(O1113*Assumptions!O$5),-2)</f>
        <v>10200</v>
      </c>
      <c r="Q1113" s="33">
        <f>ROUNDUP(P1113+(P1113*Assumptions!P$5),-2)</f>
        <v>10500</v>
      </c>
      <c r="R1113" s="114">
        <f>ROUNDUP(Q1113+(Q1113*Assumptions!Q$5),-2)</f>
        <v>10800</v>
      </c>
    </row>
    <row r="1114" spans="1:18" x14ac:dyDescent="0.2">
      <c r="A1114" s="107">
        <v>42400</v>
      </c>
      <c r="B1114" s="33">
        <v>73200</v>
      </c>
      <c r="C1114" s="189">
        <v>56700</v>
      </c>
      <c r="D1114" s="189">
        <v>49300</v>
      </c>
      <c r="E1114" s="658" t="s">
        <v>433</v>
      </c>
      <c r="F1114" s="814" t="s">
        <v>7061</v>
      </c>
      <c r="G1114" s="198">
        <v>53600</v>
      </c>
      <c r="H1114" s="138">
        <f t="shared" si="1344"/>
        <v>8.7221095334685597</v>
      </c>
      <c r="I1114" s="33">
        <f>ROUNDUP(G1114+(G1114*Assumptions!H$5),-2)</f>
        <v>54500</v>
      </c>
      <c r="J1114" s="33">
        <f>ROUNDUP(I1114+(I1114*Assumptions!I$5),-2)</f>
        <v>55900</v>
      </c>
      <c r="K1114" s="33">
        <f>ROUNDUP(J1114+(J1114*Assumptions!J$5),-2)</f>
        <v>57300</v>
      </c>
      <c r="L1114" s="33">
        <f>ROUNDUP(K1114+(K1114*Assumptions!K$5),-2)</f>
        <v>58800</v>
      </c>
      <c r="M1114" s="33">
        <f>ROUNDUP(L1114+(L1114*Assumptions!L$5),-2)</f>
        <v>60000</v>
      </c>
      <c r="N1114" s="33">
        <f>ROUNDUP(M1114+(M1114*Assumptions!M$5),-2)</f>
        <v>61200</v>
      </c>
      <c r="O1114" s="33">
        <f>ROUNDUP(N1114+(N1114*Assumptions!N$5),-2)</f>
        <v>62500</v>
      </c>
      <c r="P1114" s="33">
        <f>ROUNDUP(O1114+(O1114*Assumptions!O$5),-2)</f>
        <v>63800</v>
      </c>
      <c r="Q1114" s="33">
        <f>ROUNDUP(P1114+(P1114*Assumptions!P$5),-2)</f>
        <v>65100</v>
      </c>
      <c r="R1114" s="114">
        <f>ROUNDUP(Q1114+(Q1114*Assumptions!Q$5),-2)</f>
        <v>66500</v>
      </c>
    </row>
    <row r="1115" spans="1:18" x14ac:dyDescent="0.2">
      <c r="A1115" s="107">
        <v>1500</v>
      </c>
      <c r="B1115" s="33">
        <v>800</v>
      </c>
      <c r="C1115" s="189">
        <v>2100</v>
      </c>
      <c r="D1115" s="189">
        <v>800</v>
      </c>
      <c r="E1115" s="658" t="s">
        <v>434</v>
      </c>
      <c r="F1115" s="443" t="s">
        <v>2282</v>
      </c>
      <c r="G1115" s="198">
        <v>2100</v>
      </c>
      <c r="H1115" s="138">
        <f t="shared" si="1344"/>
        <v>162.5</v>
      </c>
      <c r="I1115" s="33">
        <f>ROUNDUP(G1115+(G1115*Assumptions!H$5),-2)</f>
        <v>2200</v>
      </c>
      <c r="J1115" s="33">
        <f>ROUNDUP(I1115+(I1115*Assumptions!I$5),-2)</f>
        <v>2300</v>
      </c>
      <c r="K1115" s="33">
        <f>ROUNDUP(J1115+(J1115*Assumptions!J$5),-2)</f>
        <v>2400</v>
      </c>
      <c r="L1115" s="33">
        <f>ROUNDUP(K1115+(K1115*Assumptions!K$5),-2)</f>
        <v>2500</v>
      </c>
      <c r="M1115" s="33">
        <f>ROUNDUP(L1115+(L1115*Assumptions!L$5),-2)</f>
        <v>2600</v>
      </c>
      <c r="N1115" s="33">
        <f>ROUNDUP(M1115+(M1115*Assumptions!M$5),-2)</f>
        <v>2700</v>
      </c>
      <c r="O1115" s="33">
        <f>ROUNDUP(N1115+(N1115*Assumptions!N$5),-2)</f>
        <v>2800</v>
      </c>
      <c r="P1115" s="33">
        <f>ROUNDUP(O1115+(O1115*Assumptions!O$5),-2)</f>
        <v>2900</v>
      </c>
      <c r="Q1115" s="33">
        <f>ROUNDUP(P1115+(P1115*Assumptions!P$5),-2)</f>
        <v>3000</v>
      </c>
      <c r="R1115" s="114">
        <f>ROUNDUP(Q1115+(Q1115*Assumptions!Q$5),-2)</f>
        <v>3100</v>
      </c>
    </row>
    <row r="1116" spans="1:18" x14ac:dyDescent="0.2">
      <c r="A1116" s="107">
        <v>300</v>
      </c>
      <c r="B1116" s="33">
        <v>600</v>
      </c>
      <c r="C1116" s="189">
        <v>2300</v>
      </c>
      <c r="D1116" s="189">
        <v>1300</v>
      </c>
      <c r="E1116" s="1092" t="s">
        <v>2886</v>
      </c>
      <c r="F1116" s="814" t="s">
        <v>7063</v>
      </c>
      <c r="G1116" s="198">
        <v>1100</v>
      </c>
      <c r="H1116" s="138">
        <f t="shared" si="1344"/>
        <v>-15.384615384615385</v>
      </c>
      <c r="I1116" s="33">
        <f>ROUNDUP(G1116+(G1116*Assumptions!H$5),-2)</f>
        <v>1200</v>
      </c>
      <c r="J1116" s="33">
        <f>ROUNDUP(I1116+(I1116*Assumptions!I$5),-2)</f>
        <v>1300</v>
      </c>
      <c r="K1116" s="33">
        <f>ROUNDUP(J1116+(J1116*Assumptions!J$5),-2)</f>
        <v>1400</v>
      </c>
      <c r="L1116" s="33">
        <f>ROUNDUP(K1116+(K1116*Assumptions!K$5),-2)</f>
        <v>1500</v>
      </c>
      <c r="M1116" s="33">
        <f>ROUNDUP(L1116+(L1116*Assumptions!L$5),-2)</f>
        <v>1600</v>
      </c>
      <c r="N1116" s="33">
        <f>ROUNDUP(M1116+(M1116*Assumptions!M$5),-2)</f>
        <v>1700</v>
      </c>
      <c r="O1116" s="33">
        <f>ROUNDUP(N1116+(N1116*Assumptions!N$5),-2)</f>
        <v>1800</v>
      </c>
      <c r="P1116" s="33">
        <f>ROUNDUP(O1116+(O1116*Assumptions!O$5),-2)</f>
        <v>1900</v>
      </c>
      <c r="Q1116" s="33">
        <f>ROUNDUP(P1116+(P1116*Assumptions!P$5),-2)</f>
        <v>2000</v>
      </c>
      <c r="R1116" s="114">
        <f>ROUNDUP(Q1116+(Q1116*Assumptions!Q$5),-2)</f>
        <v>2100</v>
      </c>
    </row>
    <row r="1117" spans="1:18" x14ac:dyDescent="0.2">
      <c r="A1117" s="107">
        <v>0</v>
      </c>
      <c r="B1117" s="33">
        <v>0</v>
      </c>
      <c r="C1117" s="189">
        <v>20000</v>
      </c>
      <c r="D1117" s="189">
        <v>0</v>
      </c>
      <c r="E1117" s="1092" t="s">
        <v>6587</v>
      </c>
      <c r="F1117" s="814" t="s">
        <v>7062</v>
      </c>
      <c r="G1117" s="198">
        <v>60000</v>
      </c>
      <c r="H1117" s="138">
        <f t="shared" si="1344"/>
        <v>100</v>
      </c>
      <c r="I1117" s="33">
        <v>0</v>
      </c>
      <c r="J1117" s="33">
        <f>ROUNDUP(I1117+(I1117*Assumptions!I$5),-2)</f>
        <v>0</v>
      </c>
      <c r="K1117" s="33">
        <f>ROUNDUP(J1117+(J1117*Assumptions!J$5),-2)</f>
        <v>0</v>
      </c>
      <c r="L1117" s="33">
        <f>ROUNDUP(K1117+(K1117*Assumptions!K$5),-2)</f>
        <v>0</v>
      </c>
      <c r="M1117" s="33">
        <f>ROUNDUP(L1117+(L1117*Assumptions!L$5),-2)</f>
        <v>0</v>
      </c>
      <c r="N1117" s="33">
        <f>ROUNDUP(M1117+(M1117*Assumptions!M$5),-2)</f>
        <v>0</v>
      </c>
      <c r="O1117" s="33">
        <f>ROUNDUP(N1117+(N1117*Assumptions!N$5),-2)</f>
        <v>0</v>
      </c>
      <c r="P1117" s="33">
        <f>ROUNDUP(O1117+(O1117*Assumptions!O$5),-2)</f>
        <v>0</v>
      </c>
      <c r="Q1117" s="33">
        <f>ROUNDUP(P1117+(P1117*Assumptions!P$5),-2)</f>
        <v>0</v>
      </c>
      <c r="R1117" s="114">
        <f>ROUNDUP(Q1117+(Q1117*Assumptions!Q$5),-2)</f>
        <v>0</v>
      </c>
    </row>
    <row r="1118" spans="1:18" x14ac:dyDescent="0.2">
      <c r="A1118" s="107">
        <v>0</v>
      </c>
      <c r="B1118" s="33">
        <v>0</v>
      </c>
      <c r="C1118" s="189">
        <v>0</v>
      </c>
      <c r="D1118" s="189">
        <v>0</v>
      </c>
      <c r="E1118" s="1092" t="s">
        <v>6688</v>
      </c>
      <c r="F1118" s="953" t="s">
        <v>7064</v>
      </c>
      <c r="G1118" s="198">
        <v>5000</v>
      </c>
      <c r="H1118" s="138">
        <f t="shared" si="1344"/>
        <v>100</v>
      </c>
      <c r="I1118" s="33">
        <f>ROUNDUP(G1118+(G1118*Assumptions!H$5),-2)</f>
        <v>5100</v>
      </c>
      <c r="J1118" s="33">
        <f>ROUNDUP(I1118+(I1118*Assumptions!I$5),-2)</f>
        <v>5300</v>
      </c>
      <c r="K1118" s="33">
        <f>ROUNDUP(J1118+(J1118*Assumptions!J$5),-2)</f>
        <v>5500</v>
      </c>
      <c r="L1118" s="33">
        <f>ROUNDUP(K1118+(K1118*Assumptions!K$5),-2)</f>
        <v>5700</v>
      </c>
      <c r="M1118" s="33">
        <f>ROUNDUP(L1118+(L1118*Assumptions!L$5),-2)</f>
        <v>5900</v>
      </c>
      <c r="N1118" s="33">
        <f>ROUNDUP(M1118+(M1118*Assumptions!M$5),-2)</f>
        <v>6100</v>
      </c>
      <c r="O1118" s="33">
        <f>ROUNDUP(N1118+(N1118*Assumptions!N$5),-2)</f>
        <v>6300</v>
      </c>
      <c r="P1118" s="33">
        <f>ROUNDUP(O1118+(O1118*Assumptions!O$5),-2)</f>
        <v>6500</v>
      </c>
      <c r="Q1118" s="33">
        <f>ROUNDUP(P1118+(P1118*Assumptions!P$5),-2)</f>
        <v>6700</v>
      </c>
      <c r="R1118" s="114">
        <f>ROUNDUP(Q1118+(Q1118*Assumptions!Q$5),-2)</f>
        <v>6900</v>
      </c>
    </row>
    <row r="1119" spans="1:18" x14ac:dyDescent="0.2">
      <c r="A1119" s="107"/>
      <c r="B1119" s="33"/>
      <c r="E1119" s="658"/>
      <c r="F1119" s="600" t="s">
        <v>1318</v>
      </c>
      <c r="G1119" s="198"/>
      <c r="H1119" s="138"/>
      <c r="I1119" s="33"/>
      <c r="J1119" s="33"/>
      <c r="K1119" s="33"/>
      <c r="L1119" s="33"/>
      <c r="M1119" s="33"/>
      <c r="N1119" s="33"/>
      <c r="O1119" s="33"/>
      <c r="P1119" s="33"/>
      <c r="Q1119" s="33"/>
      <c r="R1119" s="114"/>
    </row>
    <row r="1120" spans="1:18" x14ac:dyDescent="0.2">
      <c r="A1120" s="107">
        <v>13500</v>
      </c>
      <c r="B1120" s="33">
        <v>37400</v>
      </c>
      <c r="C1120" s="189">
        <v>19300</v>
      </c>
      <c r="D1120" s="189">
        <v>58400</v>
      </c>
      <c r="E1120" s="658" t="s">
        <v>1405</v>
      </c>
      <c r="F1120" s="814" t="s">
        <v>7065</v>
      </c>
      <c r="G1120" s="198">
        <v>40200</v>
      </c>
      <c r="H1120" s="138">
        <f>IF(D1120=G1120,0,IF(D1120=0,100,(G1120-D1120)/D1120*100))</f>
        <v>-31.164383561643838</v>
      </c>
      <c r="I1120" s="33">
        <f>ROUNDUP(G1120+(G1120*Assumptions!H$5),-2)</f>
        <v>40900</v>
      </c>
      <c r="J1120" s="33">
        <f>ROUNDUP(I1120+(I1120*Assumptions!I$5),-2)</f>
        <v>42000</v>
      </c>
      <c r="K1120" s="33">
        <f>ROUNDUP(J1120+(J1120*Assumptions!J$5),-2)</f>
        <v>43100</v>
      </c>
      <c r="L1120" s="33">
        <f>ROUNDUP(K1120+(K1120*Assumptions!K$5),-2)</f>
        <v>44200</v>
      </c>
      <c r="M1120" s="33">
        <f>ROUNDUP(L1120+(L1120*Assumptions!L$5),-2)</f>
        <v>45100</v>
      </c>
      <c r="N1120" s="33">
        <f>ROUNDUP(M1120+(M1120*Assumptions!M$5),-2)</f>
        <v>46100</v>
      </c>
      <c r="O1120" s="33">
        <f>ROUNDUP(N1120+(N1120*Assumptions!N$5),-2)</f>
        <v>47100</v>
      </c>
      <c r="P1120" s="33">
        <f>ROUNDUP(O1120+(O1120*Assumptions!O$5),-2)</f>
        <v>48100</v>
      </c>
      <c r="Q1120" s="33">
        <f>ROUNDUP(P1120+(P1120*Assumptions!P$5),-2)</f>
        <v>49100</v>
      </c>
      <c r="R1120" s="114">
        <f>ROUNDUP(Q1120+(Q1120*Assumptions!Q$5),-2)</f>
        <v>50100</v>
      </c>
    </row>
    <row r="1121" spans="1:18" x14ac:dyDescent="0.2">
      <c r="A1121" s="107">
        <v>7900</v>
      </c>
      <c r="B1121" s="33">
        <v>5900</v>
      </c>
      <c r="C1121" s="189">
        <v>6300</v>
      </c>
      <c r="D1121" s="189">
        <v>6600</v>
      </c>
      <c r="E1121" s="658" t="s">
        <v>2150</v>
      </c>
      <c r="F1121" s="814" t="s">
        <v>7066</v>
      </c>
      <c r="G1121" s="198">
        <v>7200</v>
      </c>
      <c r="H1121" s="138">
        <f>IF(D1121=G1121,0,IF(D1121=0,100,(G1121-D1121)/D1121*100))</f>
        <v>9.0909090909090917</v>
      </c>
      <c r="I1121" s="33">
        <f>ROUNDUP(G1121+(G1121*Assumptions!H$5),-2)</f>
        <v>7400</v>
      </c>
      <c r="J1121" s="33">
        <f>ROUNDUP(I1121+(I1121*Assumptions!I$5),-2)</f>
        <v>7600</v>
      </c>
      <c r="K1121" s="33">
        <f>ROUNDUP(J1121+(J1121*Assumptions!J$5),-2)</f>
        <v>7800</v>
      </c>
      <c r="L1121" s="33">
        <f>ROUNDUP(K1121+(K1121*Assumptions!K$5),-2)</f>
        <v>8000</v>
      </c>
      <c r="M1121" s="33">
        <f>ROUNDUP(L1121+(L1121*Assumptions!L$5),-2)</f>
        <v>8200</v>
      </c>
      <c r="N1121" s="33">
        <f>ROUNDUP(M1121+(M1121*Assumptions!M$5),-2)</f>
        <v>8400</v>
      </c>
      <c r="O1121" s="33">
        <f>ROUNDUP(N1121+(N1121*Assumptions!N$5),-2)</f>
        <v>8600</v>
      </c>
      <c r="P1121" s="33">
        <f>ROUNDUP(O1121+(O1121*Assumptions!O$5),-2)</f>
        <v>8800</v>
      </c>
      <c r="Q1121" s="33">
        <f>ROUNDUP(P1121+(P1121*Assumptions!P$5),-2)</f>
        <v>9000</v>
      </c>
      <c r="R1121" s="114">
        <f>ROUNDUP(Q1121+(Q1121*Assumptions!Q$5),-2)</f>
        <v>9200</v>
      </c>
    </row>
    <row r="1122" spans="1:18" x14ac:dyDescent="0.2">
      <c r="A1122" s="107"/>
      <c r="B1122" s="33"/>
      <c r="E1122" s="658"/>
      <c r="F1122" s="439" t="s">
        <v>1319</v>
      </c>
      <c r="G1122" s="198"/>
      <c r="H1122" s="138"/>
      <c r="I1122" s="33"/>
      <c r="J1122" s="33"/>
      <c r="K1122" s="33"/>
      <c r="L1122" s="33"/>
      <c r="M1122" s="33"/>
      <c r="N1122" s="33"/>
      <c r="O1122" s="33"/>
      <c r="P1122" s="33"/>
      <c r="Q1122" s="33"/>
      <c r="R1122" s="114"/>
    </row>
    <row r="1123" spans="1:18" x14ac:dyDescent="0.2">
      <c r="A1123" s="107">
        <v>12800</v>
      </c>
      <c r="B1123" s="33">
        <v>19100</v>
      </c>
      <c r="C1123" s="189">
        <v>5500</v>
      </c>
      <c r="D1123" s="189">
        <v>2700</v>
      </c>
      <c r="E1123" s="658" t="s">
        <v>1406</v>
      </c>
      <c r="F1123" s="443" t="s">
        <v>2093</v>
      </c>
      <c r="G1123" s="198">
        <v>10000</v>
      </c>
      <c r="H1123" s="138">
        <f>IF(D1123=G1123,0,IF(D1123=0,100,(G1123-D1123)/D1123*100))</f>
        <v>270.37037037037038</v>
      </c>
      <c r="I1123" s="33">
        <f>ROUNDUP(G1123+(G1123*Assumptions!H$5),-2)</f>
        <v>10200</v>
      </c>
      <c r="J1123" s="33">
        <f>ROUNDUP(I1123+(I1123*Assumptions!I$5),-2)</f>
        <v>10500</v>
      </c>
      <c r="K1123" s="33">
        <f>ROUNDUP(J1123+(J1123*Assumptions!J$5),-2)</f>
        <v>10800</v>
      </c>
      <c r="L1123" s="33">
        <f>ROUNDUP(K1123+(K1123*Assumptions!K$5),-2)</f>
        <v>11100</v>
      </c>
      <c r="M1123" s="33">
        <f>ROUNDUP(L1123+(L1123*Assumptions!L$5),-2)</f>
        <v>11400</v>
      </c>
      <c r="N1123" s="33">
        <f>ROUNDUP(M1123+(M1123*Assumptions!M$5),-2)</f>
        <v>11700</v>
      </c>
      <c r="O1123" s="33">
        <f>ROUNDUP(N1123+(N1123*Assumptions!N$5),-2)</f>
        <v>12000</v>
      </c>
      <c r="P1123" s="33">
        <f>ROUNDUP(O1123+(O1123*Assumptions!O$5),-2)</f>
        <v>12300</v>
      </c>
      <c r="Q1123" s="33">
        <f>ROUNDUP(P1123+(P1123*Assumptions!P$5),-2)</f>
        <v>12600</v>
      </c>
      <c r="R1123" s="114">
        <f>ROUNDUP(Q1123+(Q1123*Assumptions!Q$5),-2)</f>
        <v>12900</v>
      </c>
    </row>
    <row r="1124" spans="1:18" x14ac:dyDescent="0.2">
      <c r="A1124" s="107">
        <v>0</v>
      </c>
      <c r="B1124" s="33">
        <v>0</v>
      </c>
      <c r="C1124" s="189">
        <v>0</v>
      </c>
      <c r="D1124" s="189">
        <v>0</v>
      </c>
      <c r="E1124" s="658" t="s">
        <v>1281</v>
      </c>
      <c r="F1124" s="814" t="s">
        <v>4759</v>
      </c>
      <c r="G1124" s="198">
        <v>2000</v>
      </c>
      <c r="H1124" s="138">
        <f>IF(D1124=G1124,0,IF(D1124=0,100,(G1124-D1124)/D1124*100))</f>
        <v>100</v>
      </c>
      <c r="I1124" s="33">
        <f>ROUNDUP(G1124+(G1124*Assumptions!H$5),-2)</f>
        <v>2100</v>
      </c>
      <c r="J1124" s="33">
        <f>ROUNDUP(I1124+(I1124*Assumptions!I$5),-2)</f>
        <v>2200</v>
      </c>
      <c r="K1124" s="33">
        <f>ROUNDUP(J1124+(J1124*Assumptions!J$5),-2)</f>
        <v>2300</v>
      </c>
      <c r="L1124" s="33">
        <f>ROUNDUP(K1124+(K1124*Assumptions!K$5),-2)</f>
        <v>2400</v>
      </c>
      <c r="M1124" s="33">
        <f>ROUNDUP(L1124+(L1124*Assumptions!L$5),-2)</f>
        <v>2500</v>
      </c>
      <c r="N1124" s="33">
        <f>ROUNDUP(M1124+(M1124*Assumptions!M$5),-2)</f>
        <v>2600</v>
      </c>
      <c r="O1124" s="33">
        <f>ROUNDUP(N1124+(N1124*Assumptions!N$5),-2)</f>
        <v>2700</v>
      </c>
      <c r="P1124" s="33">
        <f>ROUNDUP(O1124+(O1124*Assumptions!O$5),-2)</f>
        <v>2800</v>
      </c>
      <c r="Q1124" s="33">
        <f>ROUNDUP(P1124+(P1124*Assumptions!P$5),-2)</f>
        <v>2900</v>
      </c>
      <c r="R1124" s="114">
        <f>ROUNDUP(Q1124+(Q1124*Assumptions!Q$5),-2)</f>
        <v>3000</v>
      </c>
    </row>
    <row r="1125" spans="1:18" x14ac:dyDescent="0.2">
      <c r="A1125" s="107"/>
      <c r="B1125" s="33"/>
      <c r="E1125" s="658"/>
      <c r="F1125" s="446" t="s">
        <v>889</v>
      </c>
      <c r="G1125" s="198"/>
      <c r="H1125" s="138"/>
      <c r="I1125" s="33"/>
      <c r="J1125" s="33"/>
      <c r="K1125" s="33"/>
      <c r="L1125" s="33"/>
      <c r="M1125" s="33"/>
      <c r="N1125" s="33"/>
      <c r="O1125" s="33"/>
      <c r="P1125" s="33"/>
      <c r="Q1125" s="33"/>
      <c r="R1125" s="114"/>
    </row>
    <row r="1126" spans="1:18" x14ac:dyDescent="0.2">
      <c r="A1126" s="107">
        <v>98500</v>
      </c>
      <c r="B1126" s="33">
        <f>34200+188300</f>
        <v>222500</v>
      </c>
      <c r="C1126" s="189">
        <v>25900</v>
      </c>
      <c r="D1126" s="189">
        <v>3200</v>
      </c>
      <c r="E1126" s="658" t="s">
        <v>2088</v>
      </c>
      <c r="F1126" s="33" t="s">
        <v>889</v>
      </c>
      <c r="G1126" s="198">
        <v>25000</v>
      </c>
      <c r="H1126" s="138">
        <f>IF(D1126=G1126,0,IF(D1126=0,100,(G1126-D1126)/D1126*100))</f>
        <v>681.25</v>
      </c>
      <c r="I1126" s="33">
        <f>ROUNDUP(G1126+(G1126*Assumptions!H$5),-2)</f>
        <v>25400</v>
      </c>
      <c r="J1126" s="33">
        <f>ROUNDUP(I1126+(I1126*Assumptions!I$5),-2)</f>
        <v>26100</v>
      </c>
      <c r="K1126" s="33">
        <f>ROUNDUP(J1126+(J1126*Assumptions!J$5),-2)</f>
        <v>26800</v>
      </c>
      <c r="L1126" s="33">
        <f>ROUNDUP(K1126+(K1126*Assumptions!K$5),-2)</f>
        <v>27500</v>
      </c>
      <c r="M1126" s="33">
        <f>ROUNDUP(L1126+(L1126*Assumptions!L$5),-2)</f>
        <v>28100</v>
      </c>
      <c r="N1126" s="33">
        <f>ROUNDUP(M1126+(M1126*Assumptions!M$5),-2)</f>
        <v>28700</v>
      </c>
      <c r="O1126" s="33">
        <f>ROUNDUP(N1126+(N1126*Assumptions!N$5),-2)</f>
        <v>29300</v>
      </c>
      <c r="P1126" s="33">
        <f>ROUNDUP(O1126+(O1126*Assumptions!O$5),-2)</f>
        <v>29900</v>
      </c>
      <c r="Q1126" s="33">
        <f>ROUNDUP(P1126+(P1126*Assumptions!P$5),-2)</f>
        <v>30500</v>
      </c>
      <c r="R1126" s="114">
        <f>ROUNDUP(Q1126+(Q1126*Assumptions!Q$5),-2)</f>
        <v>31200</v>
      </c>
    </row>
    <row r="1127" spans="1:18" x14ac:dyDescent="0.2">
      <c r="A1127" s="107">
        <v>0</v>
      </c>
      <c r="B1127" s="33">
        <v>0</v>
      </c>
      <c r="C1127" s="189">
        <v>147300</v>
      </c>
      <c r="D1127" s="189">
        <v>633500</v>
      </c>
      <c r="E1127" s="1092" t="s">
        <v>4267</v>
      </c>
      <c r="F1127" s="132" t="s">
        <v>5362</v>
      </c>
      <c r="G1127" s="198">
        <v>200000</v>
      </c>
      <c r="H1127" s="138">
        <f>IF(D1127=G1127,0,IF(D1127=0,100,(G1127-D1127)/D1127*100))</f>
        <v>-68.429360694554063</v>
      </c>
      <c r="I1127" s="33">
        <f>ROUNDUP(G1127+(G1127*Assumptions!H$5),-2)</f>
        <v>203000</v>
      </c>
      <c r="J1127" s="33">
        <f>ROUNDUP(I1127+(I1127*Assumptions!I$5),-2)</f>
        <v>208100</v>
      </c>
      <c r="K1127" s="33">
        <f>ROUNDUP(J1127+(J1127*Assumptions!J$5),-2)</f>
        <v>213400</v>
      </c>
      <c r="L1127" s="33">
        <f>ROUNDUP(K1127+(K1127*Assumptions!K$5),-2)</f>
        <v>218800</v>
      </c>
      <c r="M1127" s="33">
        <f>ROUNDUP(L1127+(L1127*Assumptions!L$5),-2)</f>
        <v>223200</v>
      </c>
      <c r="N1127" s="33">
        <f>ROUNDUP(M1127+(M1127*Assumptions!M$5),-2)</f>
        <v>227700</v>
      </c>
      <c r="O1127" s="33">
        <f>ROUNDUP(N1127+(N1127*Assumptions!N$5),-2)</f>
        <v>232300</v>
      </c>
      <c r="P1127" s="33">
        <f>ROUNDUP(O1127+(O1127*Assumptions!O$5),-2)</f>
        <v>237000</v>
      </c>
      <c r="Q1127" s="33">
        <f>ROUNDUP(P1127+(P1127*Assumptions!P$5),-2)</f>
        <v>241800</v>
      </c>
      <c r="R1127" s="114">
        <f>ROUNDUP(Q1127+(Q1127*Assumptions!Q$5),-2)</f>
        <v>246700</v>
      </c>
    </row>
    <row r="1128" spans="1:18" x14ac:dyDescent="0.2">
      <c r="A1128" s="107"/>
      <c r="B1128" s="33"/>
      <c r="E1128" s="658"/>
      <c r="F1128" s="64" t="s">
        <v>1130</v>
      </c>
      <c r="G1128" s="198"/>
      <c r="H1128" s="138"/>
      <c r="I1128" s="33"/>
      <c r="J1128" s="33"/>
      <c r="K1128" s="33"/>
      <c r="L1128" s="33"/>
      <c r="M1128" s="33"/>
      <c r="N1128" s="33"/>
      <c r="O1128" s="33"/>
      <c r="P1128" s="33"/>
      <c r="Q1128" s="33"/>
      <c r="R1128" s="114"/>
    </row>
    <row r="1129" spans="1:18" x14ac:dyDescent="0.2">
      <c r="A1129" s="107">
        <v>178700</v>
      </c>
      <c r="B1129" s="33">
        <f>ROUND('Debt-Gen'!F37,-2)-500</f>
        <v>183800</v>
      </c>
      <c r="C1129" s="142">
        <v>159600</v>
      </c>
      <c r="D1129" s="33">
        <f>ROUND('Debt-Gen'!J37,-2)</f>
        <v>134300</v>
      </c>
      <c r="E1129" s="658" t="s">
        <v>2089</v>
      </c>
      <c r="F1129" s="33" t="s">
        <v>840</v>
      </c>
      <c r="G1129" s="198">
        <f>ROUND('Debt-Gen'!L37,-2)</f>
        <v>107100</v>
      </c>
      <c r="H1129" s="138">
        <f>IF(D1129=G1129,0,IF(D1129=0,100,(G1129-D1129)/D1129*100))</f>
        <v>-20.253164556962027</v>
      </c>
      <c r="I1129" s="33">
        <f>ROUND('Debt-Gen'!N37,-2)</f>
        <v>78300</v>
      </c>
      <c r="J1129" s="33">
        <f>ROUND('Debt-Gen'!P37,-2)</f>
        <v>48600</v>
      </c>
      <c r="K1129" s="33">
        <f>ROUND('Debt-Gen'!R37,-2)</f>
        <v>126200</v>
      </c>
      <c r="L1129" s="33">
        <f>ROUND('Debt-Gen'!T37,-2)</f>
        <v>110100</v>
      </c>
      <c r="M1129" s="33">
        <f>ROUND('Debt-Gen'!V37,-2)</f>
        <v>92900</v>
      </c>
      <c r="N1129" s="33">
        <f>ROUND('Debt-Gen'!X37,-2)</f>
        <v>75700</v>
      </c>
      <c r="O1129" s="33">
        <f>ROUND('Debt-Gen'!Z37,-2)</f>
        <v>65000</v>
      </c>
      <c r="P1129" s="33">
        <f>ROUND('Debt-Gen'!AB37,-2)</f>
        <v>55000</v>
      </c>
      <c r="Q1129" s="33">
        <f>ROUND('Debt-Gen'!AD37,-2)</f>
        <v>45000</v>
      </c>
      <c r="R1129" s="114">
        <f>ROUND('Debt-Gen'!AF37,-2)</f>
        <v>34000</v>
      </c>
    </row>
    <row r="1130" spans="1:18" x14ac:dyDescent="0.2">
      <c r="A1130" s="107"/>
      <c r="B1130" s="33"/>
      <c r="E1130" s="658"/>
      <c r="F1130" s="64" t="str">
        <f>F101</f>
        <v>Non-Cash Expenses</v>
      </c>
      <c r="G1130" s="198"/>
      <c r="H1130" s="138"/>
      <c r="I1130" s="33"/>
      <c r="J1130" s="33"/>
      <c r="K1130" s="33"/>
      <c r="L1130" s="33"/>
      <c r="M1130" s="33"/>
      <c r="N1130" s="33"/>
      <c r="O1130" s="33"/>
      <c r="P1130" s="33"/>
      <c r="Q1130" s="33"/>
      <c r="R1130" s="114"/>
    </row>
    <row r="1131" spans="1:18" x14ac:dyDescent="0.2">
      <c r="A1131" s="107">
        <v>152000</v>
      </c>
      <c r="B1131" s="33">
        <v>24800</v>
      </c>
      <c r="C1131" s="189">
        <v>102000</v>
      </c>
      <c r="D1131" s="189">
        <v>165300</v>
      </c>
      <c r="E1131" s="658" t="s">
        <v>2090</v>
      </c>
      <c r="F1131" s="33" t="s">
        <v>163</v>
      </c>
      <c r="G1131" s="198">
        <v>110000</v>
      </c>
      <c r="H1131" s="138">
        <f>IF(D1131=G1131,0,IF(D1131=0,100,(G1131-D1131)/D1131*100))</f>
        <v>-33.454325468844523</v>
      </c>
      <c r="I1131" s="33">
        <f>ROUNDUP(G1131+(G1131*Assumptions!H$18),-2)</f>
        <v>112200</v>
      </c>
      <c r="J1131" s="33">
        <f>ROUNDUP(I1131+(I1131*Assumptions!I$18),-2)</f>
        <v>114500</v>
      </c>
      <c r="K1131" s="33">
        <f>ROUNDUP(J1131+(J1131*Assumptions!J$18),-2)</f>
        <v>116800</v>
      </c>
      <c r="L1131" s="33">
        <f>ROUNDUP(K1131+(K1131*Assumptions!K$18),-2)</f>
        <v>119200</v>
      </c>
      <c r="M1131" s="33">
        <f>ROUNDUP(L1131+(L1131*Assumptions!L$18),-2)</f>
        <v>121600</v>
      </c>
      <c r="N1131" s="33">
        <f>ROUNDUP(M1131+(M1131*Assumptions!M$18),-2)</f>
        <v>124100</v>
      </c>
      <c r="O1131" s="33">
        <f>ROUNDUP(N1131+(N1131*Assumptions!N$18),-2)</f>
        <v>126600</v>
      </c>
      <c r="P1131" s="33">
        <f>ROUNDUP(O1131+(O1131*Assumptions!O$18),-2)</f>
        <v>129200</v>
      </c>
      <c r="Q1131" s="33">
        <f>ROUNDUP(P1131+(P1131*Assumptions!P$18),-2)</f>
        <v>131800</v>
      </c>
      <c r="R1131" s="114">
        <f>ROUNDUP(Q1131+(Q1131*Assumptions!Q$18),-2)</f>
        <v>134500</v>
      </c>
    </row>
    <row r="1132" spans="1:18" x14ac:dyDescent="0.2">
      <c r="A1132" s="107">
        <v>477500</v>
      </c>
      <c r="B1132" s="33">
        <v>0</v>
      </c>
      <c r="C1132" s="189">
        <v>280600</v>
      </c>
      <c r="D1132" s="189">
        <v>413400</v>
      </c>
      <c r="E1132" s="658" t="s">
        <v>2091</v>
      </c>
      <c r="F1132" s="33" t="s">
        <v>2092</v>
      </c>
      <c r="G1132" s="198">
        <v>300000</v>
      </c>
      <c r="H1132" s="138">
        <f>IF(D1132=G1132,0,IF(D1132=0,100,(G1132-D1132)/D1132*100))</f>
        <v>-27.431059506531202</v>
      </c>
      <c r="I1132" s="33">
        <f>ROUNDUP(G1132+(G1132*Assumptions!H$18),-2)</f>
        <v>306000</v>
      </c>
      <c r="J1132" s="33">
        <f>ROUNDUP(I1132+(I1132*Assumptions!I$18),-2)</f>
        <v>312200</v>
      </c>
      <c r="K1132" s="33">
        <f>ROUNDUP(J1132+(J1132*Assumptions!J$18),-2)</f>
        <v>318500</v>
      </c>
      <c r="L1132" s="33">
        <f>ROUNDUP(K1132+(K1132*Assumptions!K$18),-2)</f>
        <v>324900</v>
      </c>
      <c r="M1132" s="33">
        <f>ROUNDUP(L1132+(L1132*Assumptions!L$18),-2)</f>
        <v>331400</v>
      </c>
      <c r="N1132" s="33">
        <f>ROUNDUP(M1132+(M1132*Assumptions!M$18),-2)</f>
        <v>338100</v>
      </c>
      <c r="O1132" s="33">
        <f>ROUNDUP(N1132+(N1132*Assumptions!N$18),-2)</f>
        <v>344900</v>
      </c>
      <c r="P1132" s="33">
        <f>ROUNDUP(O1132+(O1132*Assumptions!O$18),-2)</f>
        <v>351800</v>
      </c>
      <c r="Q1132" s="33">
        <f>ROUNDUP(P1132+(P1132*Assumptions!P$18),-2)</f>
        <v>358900</v>
      </c>
      <c r="R1132" s="114">
        <f>ROUNDUP(Q1132+(Q1132*Assumptions!Q$18),-2)</f>
        <v>366100</v>
      </c>
    </row>
    <row r="1133" spans="1:18" ht="13.5" thickBot="1" x14ac:dyDescent="0.25">
      <c r="A1133" s="107"/>
      <c r="B1133" s="33"/>
      <c r="E1133" s="1955"/>
      <c r="F1133" s="366"/>
      <c r="G1133" s="2509"/>
      <c r="H1133" s="138"/>
      <c r="I1133" s="33"/>
      <c r="J1133" s="33"/>
      <c r="K1133" s="33"/>
      <c r="L1133" s="33"/>
      <c r="M1133" s="33"/>
      <c r="N1133" s="33"/>
      <c r="O1133" s="33"/>
      <c r="P1133" s="33"/>
      <c r="Q1133" s="33"/>
      <c r="R1133" s="114"/>
    </row>
    <row r="1134" spans="1:18" s="92" customFormat="1" x14ac:dyDescent="0.2">
      <c r="A1134" s="105">
        <f>SUM(A1101:A1133)</f>
        <v>1605400</v>
      </c>
      <c r="B1134" s="53">
        <f>SUM(B1101:B1133)</f>
        <v>1247900</v>
      </c>
      <c r="C1134" s="190">
        <f>SUM(C1101:C1133)</f>
        <v>1503200</v>
      </c>
      <c r="D1134" s="190">
        <f>SUM(D1101:D1133)</f>
        <v>2104500</v>
      </c>
      <c r="E1134" s="237"/>
      <c r="F1134" s="378" t="s">
        <v>565</v>
      </c>
      <c r="G1134" s="2510">
        <f>SUM(G1101:G1133)</f>
        <v>1682400</v>
      </c>
      <c r="H1134" s="180">
        <f>IF(D1134=G1134,0,IF(D1134=0,100,(G1134-D1134)/D1134*100))</f>
        <v>-20.057020669992873</v>
      </c>
      <c r="I1134" s="53">
        <f t="shared" ref="I1134:Q1134" si="1345">SUM(I1101:I1133)</f>
        <v>1641300</v>
      </c>
      <c r="J1134" s="53">
        <f t="shared" si="1345"/>
        <v>1649700</v>
      </c>
      <c r="K1134" s="53">
        <f t="shared" si="1345"/>
        <v>1766200</v>
      </c>
      <c r="L1134" s="53">
        <f t="shared" si="1345"/>
        <v>1789900</v>
      </c>
      <c r="M1134" s="53">
        <f t="shared" si="1345"/>
        <v>1807300</v>
      </c>
      <c r="N1134" s="53">
        <f t="shared" si="1345"/>
        <v>1825500</v>
      </c>
      <c r="O1134" s="53">
        <f t="shared" si="1345"/>
        <v>1850900</v>
      </c>
      <c r="P1134" s="53">
        <f t="shared" si="1345"/>
        <v>1877600</v>
      </c>
      <c r="Q1134" s="53">
        <f t="shared" si="1345"/>
        <v>1905000</v>
      </c>
      <c r="R1134" s="113">
        <f t="shared" ref="R1134" si="1346">SUM(R1101:R1133)</f>
        <v>1932200</v>
      </c>
    </row>
    <row r="1135" spans="1:18" x14ac:dyDescent="0.2">
      <c r="A1135" s="107"/>
      <c r="B1135" s="33"/>
      <c r="E1135" s="1955"/>
      <c r="F1135" s="366"/>
      <c r="G1135" s="2509"/>
      <c r="H1135" s="138"/>
      <c r="I1135" s="33"/>
      <c r="J1135" s="33"/>
      <c r="K1135" s="33"/>
      <c r="L1135" s="33"/>
      <c r="M1135" s="33"/>
      <c r="N1135" s="33"/>
      <c r="O1135" s="33"/>
      <c r="P1135" s="33"/>
      <c r="Q1135" s="33"/>
      <c r="R1135" s="114"/>
    </row>
    <row r="1136" spans="1:18" s="92" customFormat="1" x14ac:dyDescent="0.2">
      <c r="A1136" s="70">
        <f>A1100-A1134</f>
        <v>-1381300</v>
      </c>
      <c r="B1136" s="64">
        <f>B1100-B1134</f>
        <v>-789500</v>
      </c>
      <c r="C1136" s="193">
        <f>C1100-C1134</f>
        <v>-1086100</v>
      </c>
      <c r="D1136" s="193">
        <f>D1100-D1134</f>
        <v>-1197400</v>
      </c>
      <c r="E1136" s="237"/>
      <c r="F1136" s="516" t="s">
        <v>1019</v>
      </c>
      <c r="G1136" s="2511">
        <f>G1100-G1134</f>
        <v>-1253000</v>
      </c>
      <c r="H1136" s="179">
        <f>IF(D1136=G1136,0,IF(D1136=0,100,(G1136-D1136)/D1136*100))</f>
        <v>4.6433940203774844</v>
      </c>
      <c r="I1136" s="64">
        <f t="shared" ref="I1136:Q1136" si="1347">I1100-I1134</f>
        <v>-1242300</v>
      </c>
      <c r="J1136" s="64">
        <f t="shared" si="1347"/>
        <v>-1246400</v>
      </c>
      <c r="K1136" s="64">
        <f t="shared" si="1347"/>
        <v>-1358800</v>
      </c>
      <c r="L1136" s="64">
        <f t="shared" si="1347"/>
        <v>-1378300</v>
      </c>
      <c r="M1136" s="64">
        <f t="shared" si="1347"/>
        <v>-1393400</v>
      </c>
      <c r="N1136" s="64">
        <f t="shared" si="1347"/>
        <v>-1409000</v>
      </c>
      <c r="O1136" s="64">
        <f t="shared" si="1347"/>
        <v>-1427000</v>
      </c>
      <c r="P1136" s="64">
        <f t="shared" si="1347"/>
        <v>-1445100</v>
      </c>
      <c r="Q1136" s="64">
        <f t="shared" si="1347"/>
        <v>-1463700</v>
      </c>
      <c r="R1136" s="115">
        <f t="shared" ref="R1136" si="1348">R1100-R1134</f>
        <v>-1481900</v>
      </c>
    </row>
    <row r="1137" spans="1:18" x14ac:dyDescent="0.2">
      <c r="A1137" s="107">
        <f>SUM(A1130:A1133)</f>
        <v>629500</v>
      </c>
      <c r="B1137" s="33">
        <f>SUM(B1130:B1133)</f>
        <v>24800</v>
      </c>
      <c r="C1137" s="189">
        <f>SUM(C1130:C1133)</f>
        <v>382600</v>
      </c>
      <c r="D1137" s="189">
        <f>SUM(D1130:D1133)</f>
        <v>578700</v>
      </c>
      <c r="E1137" s="1955"/>
      <c r="F1137" s="372" t="s">
        <v>1976</v>
      </c>
      <c r="G1137" s="2509">
        <f t="shared" ref="G1137:O1137" si="1349">SUM(G1130:G1133)</f>
        <v>410000</v>
      </c>
      <c r="H1137" s="179">
        <f>IF(D1137=G1137,0,IF(D1137=0,100,(G1137-D1137)/D1137*100))</f>
        <v>-29.151546569898045</v>
      </c>
      <c r="I1137" s="187">
        <f t="shared" si="1349"/>
        <v>418200</v>
      </c>
      <c r="J1137" s="187">
        <f t="shared" si="1349"/>
        <v>426700</v>
      </c>
      <c r="K1137" s="187">
        <f t="shared" si="1349"/>
        <v>435300</v>
      </c>
      <c r="L1137" s="187">
        <f t="shared" si="1349"/>
        <v>444100</v>
      </c>
      <c r="M1137" s="187">
        <f t="shared" si="1349"/>
        <v>453000</v>
      </c>
      <c r="N1137" s="187">
        <f t="shared" si="1349"/>
        <v>462200</v>
      </c>
      <c r="O1137" s="1120">
        <f t="shared" si="1349"/>
        <v>471500</v>
      </c>
      <c r="P1137" s="1120">
        <f t="shared" ref="P1137:Q1137" si="1350">SUM(P1130:P1133)</f>
        <v>481000</v>
      </c>
      <c r="Q1137" s="1120">
        <f t="shared" si="1350"/>
        <v>490700</v>
      </c>
      <c r="R1137" s="1718">
        <f t="shared" ref="R1137" si="1351">SUM(R1130:R1133)</f>
        <v>500600</v>
      </c>
    </row>
    <row r="1138" spans="1:18" s="92" customFormat="1" x14ac:dyDescent="0.2">
      <c r="A1138" s="181">
        <f>A1136+A1137</f>
        <v>-751800</v>
      </c>
      <c r="B1138" s="397">
        <f>B1136+B1137</f>
        <v>-764700</v>
      </c>
      <c r="C1138" s="398">
        <f>C1136+C1137</f>
        <v>-703500</v>
      </c>
      <c r="D1138" s="398">
        <f>D1136+D1137</f>
        <v>-618700</v>
      </c>
      <c r="E1138" s="523"/>
      <c r="F1138" s="518" t="s">
        <v>1687</v>
      </c>
      <c r="G1138" s="2607">
        <f t="shared" ref="G1138:O1138" si="1352">G1136+G1137</f>
        <v>-843000</v>
      </c>
      <c r="H1138" s="395">
        <f>IF(D1138=G1138,0,IF(D1138=0,100,(G1138-D1138)/D1138*100))</f>
        <v>36.253434620979476</v>
      </c>
      <c r="I1138" s="728">
        <f t="shared" si="1352"/>
        <v>-824100</v>
      </c>
      <c r="J1138" s="728">
        <f t="shared" si="1352"/>
        <v>-819700</v>
      </c>
      <c r="K1138" s="728">
        <f t="shared" si="1352"/>
        <v>-923500</v>
      </c>
      <c r="L1138" s="728">
        <f t="shared" si="1352"/>
        <v>-934200</v>
      </c>
      <c r="M1138" s="728">
        <f t="shared" si="1352"/>
        <v>-940400</v>
      </c>
      <c r="N1138" s="728">
        <f t="shared" si="1352"/>
        <v>-946800</v>
      </c>
      <c r="O1138" s="64">
        <f t="shared" si="1352"/>
        <v>-955500</v>
      </c>
      <c r="P1138" s="64">
        <f t="shared" ref="P1138:Q1138" si="1353">P1136+P1137</f>
        <v>-964100</v>
      </c>
      <c r="Q1138" s="64">
        <f t="shared" si="1353"/>
        <v>-973000</v>
      </c>
      <c r="R1138" s="115">
        <f t="shared" ref="R1138" si="1354">R1136+R1137</f>
        <v>-981300</v>
      </c>
    </row>
    <row r="1139" spans="1:18" ht="13.5" thickBot="1" x14ac:dyDescent="0.25">
      <c r="A1139" s="171"/>
      <c r="B1139" s="166"/>
      <c r="C1139" s="202"/>
      <c r="D1139" s="202"/>
      <c r="E1139" s="1976"/>
      <c r="F1139" s="380"/>
      <c r="G1139" s="2509"/>
      <c r="H1139" s="140"/>
      <c r="I1139" s="33"/>
      <c r="J1139" s="33"/>
      <c r="K1139" s="33"/>
      <c r="L1139" s="33"/>
      <c r="M1139" s="33"/>
      <c r="N1139" s="33"/>
      <c r="O1139" s="33"/>
      <c r="P1139" s="33"/>
      <c r="Q1139" s="33"/>
      <c r="R1139" s="114"/>
    </row>
    <row r="1140" spans="1:18" ht="13.5" thickTop="1" x14ac:dyDescent="0.2">
      <c r="A1140" s="383"/>
      <c r="B1140" s="122"/>
      <c r="C1140" s="194"/>
      <c r="D1140" s="194"/>
      <c r="E1140" s="541"/>
      <c r="F1140" s="367"/>
      <c r="G1140" s="2608"/>
      <c r="H1140" s="505"/>
      <c r="I1140" s="127"/>
      <c r="J1140" s="127"/>
      <c r="K1140" s="127"/>
      <c r="L1140" s="127"/>
      <c r="M1140" s="127"/>
      <c r="N1140" s="127"/>
      <c r="O1140" s="127"/>
      <c r="P1140" s="127"/>
      <c r="Q1140" s="127"/>
      <c r="R1140" s="163"/>
    </row>
    <row r="1141" spans="1:18" x14ac:dyDescent="0.2">
      <c r="A1141" s="70"/>
      <c r="B1141" s="128"/>
      <c r="C1141" s="193"/>
      <c r="D1141" s="193"/>
      <c r="E1141" s="238"/>
      <c r="F1141" s="516" t="s">
        <v>196</v>
      </c>
      <c r="G1141" s="197"/>
      <c r="H1141" s="179"/>
      <c r="I1141" s="33"/>
      <c r="J1141" s="33"/>
      <c r="K1141" s="33"/>
      <c r="L1141" s="33"/>
      <c r="M1141" s="33"/>
      <c r="N1141" s="33"/>
      <c r="O1141" s="33"/>
      <c r="P1141" s="33"/>
      <c r="Q1141" s="33"/>
      <c r="R1141" s="114"/>
    </row>
    <row r="1142" spans="1:18" x14ac:dyDescent="0.2">
      <c r="A1142" s="107">
        <v>375200</v>
      </c>
      <c r="B1142" s="142">
        <f>ROUND('Debt-Gen'!E37,-2)</f>
        <v>448700</v>
      </c>
      <c r="C1142" s="142">
        <f>ROUND('Debt-Gen'!G37,-2)</f>
        <v>416500</v>
      </c>
      <c r="D1142" s="142">
        <f>ROUND('Debt-Gen'!I37,-2)</f>
        <v>441900</v>
      </c>
      <c r="E1142" s="238"/>
      <c r="F1142" s="366" t="s">
        <v>2900</v>
      </c>
      <c r="G1142" s="198">
        <f>ROUND('Debt-Gen'!K37,-2)</f>
        <v>469100</v>
      </c>
      <c r="H1142" s="138"/>
      <c r="I1142" s="33">
        <f>ROUND('Debt-Gen'!M37,-2)</f>
        <v>498000</v>
      </c>
      <c r="J1142" s="33">
        <f>ROUND('Debt-Gen'!O37,-2)</f>
        <v>444800</v>
      </c>
      <c r="K1142" s="33">
        <f>ROUND('Debt-Gen'!Q37,-2)</f>
        <v>350800</v>
      </c>
      <c r="L1142" s="33">
        <f>ROUND('Debt-Gen'!S37,-2)</f>
        <v>366900</v>
      </c>
      <c r="M1142" s="33">
        <f>ROUND('Debt-Gen'!U37,-2)</f>
        <v>384200</v>
      </c>
      <c r="N1142" s="33">
        <f>ROUND('Debt-Gen'!W37,-2)</f>
        <v>317000</v>
      </c>
      <c r="O1142" s="33">
        <f>ROUND('Debt-Gen'!Y37,-2)</f>
        <v>243000</v>
      </c>
      <c r="P1142" s="33">
        <f>ROUND('Debt-Gen'!AA37,-2)</f>
        <v>253000</v>
      </c>
      <c r="Q1142" s="33">
        <f>ROUND('Debt-Gen'!AC37,-2)</f>
        <v>263000</v>
      </c>
      <c r="R1142" s="114">
        <f>ROUND('Debt-Gen'!AE37,-2)</f>
        <v>274000</v>
      </c>
    </row>
    <row r="1143" spans="1:18" x14ac:dyDescent="0.2">
      <c r="A1143" s="107">
        <v>1084900</v>
      </c>
      <c r="B1143" s="142">
        <v>487000</v>
      </c>
      <c r="C1143" s="189">
        <v>2024700</v>
      </c>
      <c r="D1143" s="189">
        <f>SUM('Res-Gen'!B171:B178)+23300</f>
        <v>2588300</v>
      </c>
      <c r="E1143" s="238"/>
      <c r="F1143" s="366" t="s">
        <v>1942</v>
      </c>
      <c r="G1143" s="198">
        <f>SUM('Res-Gen'!E171:E178)</f>
        <v>0</v>
      </c>
      <c r="H1143" s="138"/>
      <c r="I1143" s="33">
        <f>SUM('Res-Gen'!H171:H178)</f>
        <v>0</v>
      </c>
      <c r="J1143" s="33">
        <f>SUM('Res-Gen'!K171:K178)</f>
        <v>0</v>
      </c>
      <c r="K1143" s="33">
        <f>SUM('Res-Gen'!N171:N178)</f>
        <v>0</v>
      </c>
      <c r="L1143" s="33">
        <f>SUM('Res-Gen'!Q171:Q178)</f>
        <v>0</v>
      </c>
      <c r="M1143" s="33">
        <f>SUM('Res-Gen'!T171:T178)</f>
        <v>0</v>
      </c>
      <c r="N1143" s="33">
        <f>SUM('Res-Gen'!W171:W178)</f>
        <v>0</v>
      </c>
      <c r="O1143" s="33">
        <f>SUM('Res-Gen'!Z171:Z178)</f>
        <v>0</v>
      </c>
      <c r="P1143" s="33">
        <f>SUM('Res-Gen'!AC171:AC178)</f>
        <v>0</v>
      </c>
      <c r="Q1143" s="33">
        <f>SUM('Res-Gen'!AF171:AF178)</f>
        <v>0</v>
      </c>
      <c r="R1143" s="114">
        <f>SUM('Res-Gen'!AI171:AI178)</f>
        <v>0</v>
      </c>
    </row>
    <row r="1144" spans="1:18" x14ac:dyDescent="0.2">
      <c r="A1144" s="107">
        <v>2985800</v>
      </c>
      <c r="B1144" s="142">
        <v>2484000</v>
      </c>
      <c r="C1144" s="189">
        <v>1186000</v>
      </c>
      <c r="D1144" s="189">
        <f>SUM('Res-Gen'!C171:C177)-'Res-Gen'!C175+SUM('Res-Gen'!C82:C82)+'Res-Gen'!C65+'Sec 94'!E52+'Sec 94'!E47+270000+135000+49700+7000</f>
        <v>4652700</v>
      </c>
      <c r="E1144" s="238"/>
      <c r="F1144" s="366" t="s">
        <v>2348</v>
      </c>
      <c r="G1144" s="198">
        <f>SUM('Res-Gen'!F171:F177)+SUM('Res-Gen'!F82:F82)+'Res-Gen'!F65+'Res-Gen'!F76+'Sec 94'!F46+'Sec 94'!F52+30000</f>
        <v>2068400</v>
      </c>
      <c r="H1144" s="138"/>
      <c r="I1144" s="33">
        <f>SUM('Res-Gen'!I171:I178)+SUM('Res-Gen'!I82:I82)</f>
        <v>803100</v>
      </c>
      <c r="J1144" s="33">
        <f>SUM('Res-Gen'!L171:L178)+SUM('Res-Gen'!L82:L82)</f>
        <v>725400</v>
      </c>
      <c r="K1144" s="33">
        <f>SUM('Res-Gen'!O171:O178)+SUM('Res-Gen'!O82:O82)</f>
        <v>289500</v>
      </c>
      <c r="L1144" s="33">
        <f>SUM('Res-Gen'!R171:R178)+SUM('Res-Gen'!R82:R82)</f>
        <v>295200</v>
      </c>
      <c r="M1144" s="33">
        <f>SUM('Res-Gen'!U171:U178)+SUM('Res-Gen'!U82:U82)</f>
        <v>301100</v>
      </c>
      <c r="N1144" s="33">
        <f>SUM('Res-Gen'!X171:X178)+SUM('Res-Gen'!X82:X82)</f>
        <v>306900</v>
      </c>
      <c r="O1144" s="33">
        <f>SUM('Res-Gen'!AA171:AA178)+SUM('Res-Gen'!AA82:AA82)</f>
        <v>309100</v>
      </c>
      <c r="P1144" s="33">
        <f>SUM('Res-Gen'!AD171:AD178)+SUM('Res-Gen'!AD82:AD82)</f>
        <v>308000</v>
      </c>
      <c r="Q1144" s="33">
        <f>SUM('Res-Gen'!AG171:AG178)+SUM('Res-Gen'!AG82:AG82)</f>
        <v>308000</v>
      </c>
      <c r="R1144" s="114">
        <f>SUM('Res-Gen'!AJ171:AJ178)+SUM('Res-Gen'!AJ82:AJ82)</f>
        <v>308000</v>
      </c>
    </row>
    <row r="1145" spans="1:18" x14ac:dyDescent="0.2">
      <c r="A1145" s="107">
        <v>1384100</v>
      </c>
      <c r="B1145" s="142">
        <v>574300</v>
      </c>
      <c r="C1145" s="189">
        <v>1619800</v>
      </c>
      <c r="D1145" s="189">
        <f>SUM('Cap-Gen'!Q140:Q152)+SUM('Cap-Gen'!S140:S152)</f>
        <v>450200</v>
      </c>
      <c r="E1145" s="238"/>
      <c r="F1145" s="366" t="s">
        <v>5984</v>
      </c>
      <c r="G1145" s="198">
        <f>SUM('Cap-Gen'!V140:V152)+SUM('Cap-Gen'!X147:X152)</f>
        <v>0</v>
      </c>
      <c r="H1145" s="138"/>
      <c r="I1145" s="33">
        <f>SUM('Cap-Gen'!AA140:AA152)+SUM('Cap-Gen'!AC147:AC152)</f>
        <v>425000</v>
      </c>
      <c r="J1145" s="33">
        <f>SUM('Cap-Gen'!AF140:AF146)+SUM('Cap-Gen'!AH147:AH152)</f>
        <v>425000</v>
      </c>
      <c r="K1145" s="33">
        <f>SUM('Cap-Gen'!AK140:AK146)+SUM('Cap-Gen'!AM147:AM152)</f>
        <v>0</v>
      </c>
      <c r="L1145" s="33">
        <v>0</v>
      </c>
      <c r="M1145" s="33">
        <v>0</v>
      </c>
      <c r="N1145" s="33">
        <v>0</v>
      </c>
      <c r="O1145" s="33">
        <v>0</v>
      </c>
      <c r="P1145" s="33">
        <v>0</v>
      </c>
      <c r="Q1145" s="33">
        <v>0</v>
      </c>
      <c r="R1145" s="114">
        <v>0</v>
      </c>
    </row>
    <row r="1146" spans="1:18" x14ac:dyDescent="0.2">
      <c r="A1146" s="107">
        <v>3687900</v>
      </c>
      <c r="B1146" s="142">
        <v>2270500</v>
      </c>
      <c r="C1146" s="189">
        <v>2065600</v>
      </c>
      <c r="D1146" s="189">
        <f>SUM('Cap-Gen'!E140:E152)</f>
        <v>2439000</v>
      </c>
      <c r="E1146" s="238"/>
      <c r="F1146" s="366" t="s">
        <v>972</v>
      </c>
      <c r="G1146" s="198">
        <f>SUM('Cap-Gen'!F140:F152)</f>
        <v>2002300</v>
      </c>
      <c r="H1146" s="138"/>
      <c r="I1146" s="33">
        <f>SUM('Cap-Gen'!G140:G152)</f>
        <v>1265000</v>
      </c>
      <c r="J1146" s="33">
        <f>SUM('Cap-Gen'!H140:H152)</f>
        <v>1360000</v>
      </c>
      <c r="K1146" s="33">
        <f>SUM('Cap-Gen'!I140:I152)</f>
        <v>530000</v>
      </c>
      <c r="L1146" s="33">
        <f>SUM('Cap-Gen'!J140:J152)</f>
        <v>543000</v>
      </c>
      <c r="M1146" s="33">
        <f>SUM('Cap-Gen'!K140:K152)</f>
        <v>556000</v>
      </c>
      <c r="N1146" s="33">
        <f>SUM('Cap-Gen'!L140:L152)</f>
        <v>570000</v>
      </c>
      <c r="O1146" s="33">
        <f>SUM('Cap-Gen'!M140:M152)</f>
        <v>584000</v>
      </c>
      <c r="P1146" s="33">
        <f>SUM('Cap-Gen'!N140:N152)</f>
        <v>598000</v>
      </c>
      <c r="Q1146" s="33">
        <f>SUM('Cap-Gen'!O140:O152)</f>
        <v>613000</v>
      </c>
      <c r="R1146" s="114">
        <f>SUM('Cap-Gen'!P140:P152)</f>
        <v>628000</v>
      </c>
    </row>
    <row r="1147" spans="1:18" s="92" customFormat="1" x14ac:dyDescent="0.2">
      <c r="A1147" s="181">
        <f>A1138-A1142-A1143+A1144++A1145-A1146</f>
        <v>-1529900</v>
      </c>
      <c r="B1147" s="377">
        <f>B1138-B1142-B1143+B1144++B1145-B1146</f>
        <v>-912600</v>
      </c>
      <c r="C1147" s="398">
        <f>C1138-C1142-C1143+C1144++C1145-C1146</f>
        <v>-2404500</v>
      </c>
      <c r="D1147" s="398">
        <f>D1138-D1142-D1143+D1144++D1145-D1146</f>
        <v>-985000</v>
      </c>
      <c r="E1147" s="526"/>
      <c r="F1147" s="518" t="s">
        <v>2490</v>
      </c>
      <c r="G1147" s="2605">
        <f t="shared" ref="G1147:P1147" si="1355">G1138-G1142-G1143+G1144++G1145-G1146</f>
        <v>-1246000</v>
      </c>
      <c r="H1147" s="395">
        <f>IF(D1147=G1147,0,IF(D1147=0,100,(G1147-D1147)/D1147*100))</f>
        <v>26.497461928934008</v>
      </c>
      <c r="I1147" s="397">
        <f t="shared" si="1355"/>
        <v>-1359000</v>
      </c>
      <c r="J1147" s="397">
        <f t="shared" si="1355"/>
        <v>-1474100</v>
      </c>
      <c r="K1147" s="397">
        <f t="shared" si="1355"/>
        <v>-1514800</v>
      </c>
      <c r="L1147" s="397">
        <f t="shared" si="1355"/>
        <v>-1548900</v>
      </c>
      <c r="M1147" s="397">
        <f t="shared" si="1355"/>
        <v>-1579500</v>
      </c>
      <c r="N1147" s="397">
        <f t="shared" si="1355"/>
        <v>-1526900</v>
      </c>
      <c r="O1147" s="397">
        <f t="shared" si="1355"/>
        <v>-1473400</v>
      </c>
      <c r="P1147" s="397">
        <f t="shared" si="1355"/>
        <v>-1507100</v>
      </c>
      <c r="Q1147" s="397">
        <f t="shared" ref="Q1147" si="1356">Q1138-Q1142-Q1143+Q1144++Q1145-Q1146</f>
        <v>-1541000</v>
      </c>
      <c r="R1147" s="399">
        <f t="shared" ref="R1147" si="1357">R1138-R1142-R1143+R1144++R1145-R1146</f>
        <v>-1575300</v>
      </c>
    </row>
    <row r="1148" spans="1:18" ht="13.5" thickBot="1" x14ac:dyDescent="0.25">
      <c r="A1148" s="73"/>
      <c r="B1148" s="134"/>
      <c r="C1148" s="195"/>
      <c r="D1148" s="195"/>
      <c r="E1148" s="239"/>
      <c r="F1148" s="368"/>
      <c r="G1148" s="2502"/>
      <c r="H1148" s="392"/>
      <c r="I1148" s="66"/>
      <c r="J1148" s="66"/>
      <c r="K1148" s="66"/>
      <c r="L1148" s="66"/>
      <c r="M1148" s="66"/>
      <c r="N1148" s="66"/>
      <c r="O1148" s="66"/>
      <c r="P1148" s="66"/>
      <c r="Q1148" s="66"/>
      <c r="R1148" s="165"/>
    </row>
    <row r="1149" spans="1:18" s="99" customFormat="1" ht="13.5" thickTop="1" x14ac:dyDescent="0.2">
      <c r="C1149" s="198"/>
      <c r="D1149" s="198"/>
      <c r="E1149" s="238"/>
      <c r="G1149" s="198"/>
      <c r="H1149" s="123"/>
    </row>
    <row r="1150" spans="1:18" s="99" customFormat="1" ht="13.5" thickBot="1" x14ac:dyDescent="0.25">
      <c r="A1150" s="74"/>
      <c r="B1150" s="74"/>
      <c r="C1150" s="197"/>
      <c r="D1150" s="197"/>
      <c r="E1150" s="242"/>
      <c r="F1150" s="137"/>
      <c r="G1150" s="197"/>
      <c r="H1150" s="2507"/>
    </row>
    <row r="1151" spans="1:18" s="91" customFormat="1" ht="18.75" customHeight="1" thickTop="1" thickBot="1" x14ac:dyDescent="0.3">
      <c r="A1151" s="2865" t="s">
        <v>3297</v>
      </c>
      <c r="B1151" s="2866"/>
      <c r="C1151" s="2866"/>
      <c r="D1151" s="2866"/>
      <c r="E1151" s="2866"/>
      <c r="F1151" s="2866"/>
      <c r="G1151" s="2866"/>
      <c r="H1151" s="2866"/>
      <c r="I1151" s="2866"/>
      <c r="J1151" s="2866"/>
      <c r="K1151" s="2866"/>
      <c r="L1151" s="2866"/>
      <c r="M1151" s="2866"/>
      <c r="N1151" s="2866"/>
      <c r="O1151" s="2866"/>
      <c r="P1151" s="2866"/>
      <c r="Q1151" s="2866"/>
      <c r="R1151" s="2867"/>
    </row>
    <row r="1152" spans="1:18" s="44" customFormat="1" x14ac:dyDescent="0.2">
      <c r="A1152" s="2848" t="s">
        <v>1856</v>
      </c>
      <c r="B1152" s="2840"/>
      <c r="C1152" s="2840"/>
      <c r="D1152" s="2849"/>
      <c r="E1152" s="369" t="s">
        <v>2663</v>
      </c>
      <c r="F1152" s="2649" t="s">
        <v>2251</v>
      </c>
      <c r="G1152" s="2885" t="s">
        <v>2253</v>
      </c>
      <c r="H1152" s="2886"/>
      <c r="I1152" s="2886"/>
      <c r="J1152" s="2886"/>
      <c r="K1152" s="2886"/>
      <c r="L1152" s="2886"/>
      <c r="M1152" s="2886"/>
      <c r="N1152" s="2886"/>
      <c r="O1152" s="2886"/>
      <c r="P1152" s="2886"/>
      <c r="Q1152" s="2886"/>
      <c r="R1152" s="2887"/>
    </row>
    <row r="1153" spans="1:18" s="23" customFormat="1" ht="12.75" customHeight="1" thickBot="1" x14ac:dyDescent="0.25">
      <c r="A1153" s="208" t="str">
        <f>A3</f>
        <v>2012/13</v>
      </c>
      <c r="B1153" s="75" t="str">
        <f>B3</f>
        <v>2013/14</v>
      </c>
      <c r="C1153" s="370" t="str">
        <f>C3</f>
        <v>2014/15</v>
      </c>
      <c r="D1153" s="93" t="str">
        <f>D3</f>
        <v>2015/16</v>
      </c>
      <c r="E1153" s="370" t="str">
        <f>E1086</f>
        <v>ACCOUNT</v>
      </c>
      <c r="F1153" s="42"/>
      <c r="G1153" s="93" t="str">
        <f>G3</f>
        <v>2016/17</v>
      </c>
      <c r="H1153" s="2193" t="str">
        <f>H1086</f>
        <v>%</v>
      </c>
      <c r="I1153" s="370" t="str">
        <f t="shared" ref="I1153:Q1153" si="1358">I3</f>
        <v>2017/18</v>
      </c>
      <c r="J1153" s="370" t="str">
        <f t="shared" si="1358"/>
        <v>2018/19</v>
      </c>
      <c r="K1153" s="370" t="str">
        <f t="shared" si="1358"/>
        <v>2019/20</v>
      </c>
      <c r="L1153" s="370" t="str">
        <f t="shared" si="1358"/>
        <v>2020/21</v>
      </c>
      <c r="M1153" s="370" t="str">
        <f t="shared" si="1358"/>
        <v>2021/22</v>
      </c>
      <c r="N1153" s="370" t="str">
        <f t="shared" si="1358"/>
        <v>2022/23</v>
      </c>
      <c r="O1153" s="370" t="str">
        <f t="shared" si="1358"/>
        <v>2023/24</v>
      </c>
      <c r="P1153" s="370" t="str">
        <f t="shared" si="1358"/>
        <v>2024/25</v>
      </c>
      <c r="Q1153" s="218" t="str">
        <f t="shared" si="1358"/>
        <v>2025/26</v>
      </c>
      <c r="R1153" s="549" t="str">
        <f t="shared" ref="R1153" si="1359">R3</f>
        <v>2026/27</v>
      </c>
    </row>
    <row r="1154" spans="1:18" x14ac:dyDescent="0.2">
      <c r="A1154" s="107"/>
      <c r="B1154" s="33"/>
      <c r="E1154" s="1955"/>
      <c r="F1154" s="2528"/>
      <c r="G1154" s="187"/>
      <c r="H1154" s="138"/>
      <c r="I1154" s="33"/>
      <c r="J1154" s="33"/>
      <c r="K1154" s="33"/>
      <c r="L1154" s="33"/>
      <c r="M1154" s="33"/>
      <c r="N1154" s="33"/>
      <c r="O1154" s="33"/>
      <c r="P1154" s="33"/>
      <c r="Q1154" s="33"/>
      <c r="R1154" s="114"/>
    </row>
    <row r="1155" spans="1:18" x14ac:dyDescent="0.2">
      <c r="A1155" s="107"/>
      <c r="B1155" s="33"/>
      <c r="C1155" s="187"/>
      <c r="D1155" s="187"/>
      <c r="E1155" s="1955"/>
      <c r="F1155" s="144" t="s">
        <v>1073</v>
      </c>
      <c r="G1155" s="187"/>
      <c r="H1155" s="138"/>
      <c r="I1155" s="33"/>
      <c r="J1155" s="33"/>
      <c r="K1155" s="33"/>
      <c r="L1155" s="33"/>
      <c r="M1155" s="33"/>
      <c r="N1155" s="33"/>
      <c r="O1155" s="33"/>
      <c r="P1155" s="33"/>
      <c r="Q1155" s="33"/>
      <c r="R1155" s="114"/>
    </row>
    <row r="1156" spans="1:18" x14ac:dyDescent="0.2">
      <c r="A1156" s="107"/>
      <c r="B1156" s="33"/>
      <c r="E1156" s="1098"/>
      <c r="F1156" s="76"/>
      <c r="G1156" s="187"/>
      <c r="H1156" s="138"/>
      <c r="I1156" s="33"/>
      <c r="J1156" s="33"/>
      <c r="K1156" s="33"/>
      <c r="L1156" s="33"/>
      <c r="M1156" s="33"/>
      <c r="N1156" s="33"/>
      <c r="O1156" s="33"/>
      <c r="P1156" s="33"/>
      <c r="Q1156" s="33"/>
      <c r="R1156" s="114"/>
    </row>
    <row r="1157" spans="1:18" x14ac:dyDescent="0.2">
      <c r="A1157" s="107"/>
      <c r="B1157" s="33"/>
      <c r="E1157" s="1955"/>
      <c r="F1157" s="2529" t="s">
        <v>687</v>
      </c>
      <c r="G1157" s="187"/>
      <c r="H1157" s="138"/>
      <c r="I1157" s="33"/>
      <c r="J1157" s="33"/>
      <c r="K1157" s="33"/>
      <c r="L1157" s="33"/>
      <c r="M1157" s="33"/>
      <c r="N1157" s="33"/>
      <c r="O1157" s="33"/>
      <c r="P1157" s="33"/>
      <c r="Q1157" s="33"/>
      <c r="R1157" s="114"/>
    </row>
    <row r="1158" spans="1:18" x14ac:dyDescent="0.2">
      <c r="A1158" s="107">
        <v>0</v>
      </c>
      <c r="B1158" s="33">
        <v>0</v>
      </c>
      <c r="C1158" s="189">
        <v>16800</v>
      </c>
      <c r="D1158" s="189">
        <v>0</v>
      </c>
      <c r="E1158" s="1092" t="s">
        <v>4034</v>
      </c>
      <c r="F1158" s="890" t="s">
        <v>3648</v>
      </c>
      <c r="G1158" s="187">
        <v>0</v>
      </c>
      <c r="H1158" s="138">
        <f>IF(D1158=G1158,0,IF(D1158=0,100,(G1158-D1158)/D1158*100))</f>
        <v>0</v>
      </c>
      <c r="I1158" s="33">
        <f>ROUNDUP(G1158+(G1158*Assumptions!H$5),-2)</f>
        <v>0</v>
      </c>
      <c r="J1158" s="33">
        <f>ROUNDUP(I1158+(I1158*Assumptions!I$5),-2)</f>
        <v>0</v>
      </c>
      <c r="K1158" s="33">
        <f>ROUNDUP(J1158+(J1158*Assumptions!J$5),-2)</f>
        <v>0</v>
      </c>
      <c r="L1158" s="33">
        <f>ROUNDUP(K1158+(K1158*Assumptions!K$5),-2)</f>
        <v>0</v>
      </c>
      <c r="M1158" s="33">
        <f>ROUNDUP(L1158+(L1158*Assumptions!L$5),-2)</f>
        <v>0</v>
      </c>
      <c r="N1158" s="33">
        <f>ROUNDUP(M1158+(M1158*Assumptions!M$5),-2)</f>
        <v>0</v>
      </c>
      <c r="O1158" s="33">
        <f>ROUNDUP(N1158+(N1158*Assumptions!N$5),-2)</f>
        <v>0</v>
      </c>
      <c r="P1158" s="33">
        <f>ROUNDUP(O1158+(O1158*Assumptions!O$5),-2)</f>
        <v>0</v>
      </c>
      <c r="Q1158" s="33">
        <f>ROUNDUP(P1158+(P1158*Assumptions!P$5),-2)</f>
        <v>0</v>
      </c>
      <c r="R1158" s="114">
        <f>ROUNDUP(Q1158+(Q1158*Assumptions!Q$5),-2)</f>
        <v>0</v>
      </c>
    </row>
    <row r="1159" spans="1:18" x14ac:dyDescent="0.2">
      <c r="A1159" s="107">
        <v>0</v>
      </c>
      <c r="B1159" s="33">
        <v>0</v>
      </c>
      <c r="C1159" s="189">
        <v>0</v>
      </c>
      <c r="D1159" s="189">
        <v>0</v>
      </c>
      <c r="E1159" s="1098" t="s">
        <v>6637</v>
      </c>
      <c r="F1159" s="890" t="s">
        <v>6638</v>
      </c>
      <c r="G1159" s="187">
        <v>40000</v>
      </c>
      <c r="H1159" s="138">
        <f>IF(D1159=G1159,0,IF(D1159=0,100,(G1159-D1159)/D1159*100))</f>
        <v>100</v>
      </c>
      <c r="I1159" s="33">
        <v>0</v>
      </c>
      <c r="J1159" s="33">
        <f>ROUNDUP(I1159+(I1159*Assumptions!I$5),-2)</f>
        <v>0</v>
      </c>
      <c r="K1159" s="33">
        <f>ROUNDUP(J1159+(J1159*Assumptions!J$5),-2)</f>
        <v>0</v>
      </c>
      <c r="L1159" s="33">
        <f>ROUNDUP(K1159+(K1159*Assumptions!K$5),-2)</f>
        <v>0</v>
      </c>
      <c r="M1159" s="33">
        <f>ROUNDUP(L1159+(L1159*Assumptions!L$5),-2)</f>
        <v>0</v>
      </c>
      <c r="N1159" s="33">
        <f>ROUNDUP(M1159+(M1159*Assumptions!M$5),-2)</f>
        <v>0</v>
      </c>
      <c r="O1159" s="33">
        <f>ROUNDUP(N1159+(N1159*Assumptions!N$5),-2)</f>
        <v>0</v>
      </c>
      <c r="P1159" s="33">
        <f>ROUNDUP(O1159+(O1159*Assumptions!O$5),-2)</f>
        <v>0</v>
      </c>
      <c r="Q1159" s="33">
        <f>ROUNDUP(P1159+(P1159*Assumptions!P$5),-2)</f>
        <v>0</v>
      </c>
      <c r="R1159" s="114">
        <f>ROUNDUP(Q1159+(Q1159*Assumptions!Q$5),-2)</f>
        <v>0</v>
      </c>
    </row>
    <row r="1160" spans="1:18" x14ac:dyDescent="0.2">
      <c r="A1160" s="107">
        <v>0</v>
      </c>
      <c r="B1160" s="33">
        <v>0</v>
      </c>
      <c r="C1160" s="189">
        <v>10600</v>
      </c>
      <c r="D1160" s="189">
        <v>6800</v>
      </c>
      <c r="E1160" s="1098" t="s">
        <v>5551</v>
      </c>
      <c r="F1160" s="890" t="s">
        <v>6991</v>
      </c>
      <c r="G1160" s="187">
        <v>2000</v>
      </c>
      <c r="H1160" s="138">
        <f>IF(D1160=G1160,0,IF(D1160=0,100,(G1160-D1160)/D1160*100))</f>
        <v>-70.588235294117652</v>
      </c>
      <c r="I1160" s="33">
        <v>0</v>
      </c>
      <c r="J1160" s="33">
        <f>ROUNDUP(I1160+(I1160*Assumptions!I$5),-2)</f>
        <v>0</v>
      </c>
      <c r="K1160" s="33">
        <f>ROUNDUP(J1160+(J1160*Assumptions!J$5),-2)</f>
        <v>0</v>
      </c>
      <c r="L1160" s="33">
        <f>ROUNDUP(K1160+(K1160*Assumptions!K$5),-2)</f>
        <v>0</v>
      </c>
      <c r="M1160" s="33">
        <f>ROUNDUP(L1160+(L1160*Assumptions!L$5),-2)</f>
        <v>0</v>
      </c>
      <c r="N1160" s="33">
        <f>ROUNDUP(M1160+(M1160*Assumptions!M$5),-2)</f>
        <v>0</v>
      </c>
      <c r="O1160" s="33">
        <f>ROUNDUP(N1160+(N1160*Assumptions!N$5),-2)</f>
        <v>0</v>
      </c>
      <c r="P1160" s="33">
        <f>ROUNDUP(O1160+(O1160*Assumptions!O$5),-2)</f>
        <v>0</v>
      </c>
      <c r="Q1160" s="33">
        <f>ROUNDUP(P1160+(P1160*Assumptions!P$5),-2)</f>
        <v>0</v>
      </c>
      <c r="R1160" s="114">
        <f>ROUNDUP(Q1160+(Q1160*Assumptions!Q$5),-2)</f>
        <v>0</v>
      </c>
    </row>
    <row r="1161" spans="1:18" x14ac:dyDescent="0.2">
      <c r="A1161" s="107"/>
      <c r="B1161" s="33"/>
      <c r="E1161" s="1955"/>
      <c r="F1161" s="76"/>
      <c r="G1161" s="187"/>
      <c r="H1161" s="138"/>
      <c r="I1161" s="33"/>
      <c r="J1161" s="33"/>
      <c r="K1161" s="33"/>
      <c r="L1161" s="33"/>
      <c r="M1161" s="33"/>
      <c r="N1161" s="33"/>
      <c r="O1161" s="33"/>
      <c r="P1161" s="33"/>
      <c r="Q1161" s="33"/>
      <c r="R1161" s="114"/>
    </row>
    <row r="1162" spans="1:18" x14ac:dyDescent="0.2">
      <c r="A1162" s="107"/>
      <c r="B1162" s="33"/>
      <c r="E1162" s="1955"/>
      <c r="F1162" s="79" t="s">
        <v>2303</v>
      </c>
      <c r="G1162" s="187"/>
      <c r="H1162" s="138"/>
      <c r="I1162" s="33"/>
      <c r="J1162" s="33"/>
      <c r="K1162" s="33"/>
      <c r="L1162" s="33"/>
      <c r="M1162" s="33"/>
      <c r="N1162" s="33"/>
      <c r="O1162" s="33"/>
      <c r="P1162" s="33"/>
      <c r="Q1162" s="33"/>
      <c r="R1162" s="114"/>
    </row>
    <row r="1163" spans="1:18" x14ac:dyDescent="0.2">
      <c r="A1163" s="107">
        <v>287100</v>
      </c>
      <c r="B1163" s="33">
        <v>345400</v>
      </c>
      <c r="C1163" s="189">
        <v>354500</v>
      </c>
      <c r="D1163" s="189">
        <v>342700</v>
      </c>
      <c r="E1163" s="658" t="s">
        <v>908</v>
      </c>
      <c r="F1163" s="3" t="s">
        <v>1336</v>
      </c>
      <c r="G1163" s="187">
        <v>360000</v>
      </c>
      <c r="H1163" s="138">
        <f>IF(D1163=G1163,0,IF(D1163=0,100,(G1163-D1163)/D1163*100))</f>
        <v>5.0481470674058944</v>
      </c>
      <c r="I1163" s="33">
        <v>365000</v>
      </c>
      <c r="J1163" s="33">
        <f>ROUNDUP(I1163+(I1163*Assumptions!I$5),-2)</f>
        <v>374200</v>
      </c>
      <c r="K1163" s="33">
        <f>ROUNDUP(J1163+(J1163*Assumptions!J$5),-2)</f>
        <v>383600</v>
      </c>
      <c r="L1163" s="33">
        <f>ROUNDUP(K1163+(K1163*Assumptions!K$5),-2)</f>
        <v>393200</v>
      </c>
      <c r="M1163" s="33">
        <f>ROUNDUP(L1163+(L1163*Assumptions!L$5),-2)</f>
        <v>401100</v>
      </c>
      <c r="N1163" s="33">
        <f>ROUNDUP(M1163+(M1163*Assumptions!M$5),-2)</f>
        <v>409200</v>
      </c>
      <c r="O1163" s="33">
        <f>ROUNDUP(N1163+(N1163*Assumptions!N$5),-2)</f>
        <v>417400</v>
      </c>
      <c r="P1163" s="33">
        <f>ROUNDUP(O1163+(O1163*Assumptions!O$5),-2)</f>
        <v>425800</v>
      </c>
      <c r="Q1163" s="33">
        <f>ROUNDUP(P1163+(P1163*Assumptions!P$5),-2)</f>
        <v>434400</v>
      </c>
      <c r="R1163" s="114">
        <f>ROUNDUP(Q1163+(Q1163*Assumptions!Q$5),-2)</f>
        <v>443100</v>
      </c>
    </row>
    <row r="1164" spans="1:18" x14ac:dyDescent="0.2">
      <c r="A1164" s="107">
        <v>5800</v>
      </c>
      <c r="B1164" s="33">
        <v>12000</v>
      </c>
      <c r="C1164" s="189">
        <v>9000</v>
      </c>
      <c r="D1164" s="189">
        <v>8000</v>
      </c>
      <c r="E1164" s="658" t="s">
        <v>1926</v>
      </c>
      <c r="F1164" s="3" t="s">
        <v>1092</v>
      </c>
      <c r="G1164" s="187">
        <v>9000</v>
      </c>
      <c r="H1164" s="138">
        <f>IF(D1164=G1164,0,IF(D1164=0,100,(G1164-D1164)/D1164*100))</f>
        <v>12.5</v>
      </c>
      <c r="I1164" s="33">
        <v>9000</v>
      </c>
      <c r="J1164" s="33">
        <f>ROUNDUP(I1164+(I1164*Assumptions!I$5),-2)</f>
        <v>9300</v>
      </c>
      <c r="K1164" s="33">
        <f>ROUNDUP(J1164+(J1164*Assumptions!J$5),-2)</f>
        <v>9600</v>
      </c>
      <c r="L1164" s="33">
        <f>ROUNDUP(K1164+(K1164*Assumptions!K$5),-2)</f>
        <v>9900</v>
      </c>
      <c r="M1164" s="33">
        <f>ROUNDUP(L1164+(L1164*Assumptions!L$5),-2)</f>
        <v>10100</v>
      </c>
      <c r="N1164" s="33">
        <f>ROUNDUP(M1164+(M1164*Assumptions!M$5),-2)</f>
        <v>10400</v>
      </c>
      <c r="O1164" s="33">
        <f>ROUNDUP(N1164+(N1164*Assumptions!N$5),-2)</f>
        <v>10700</v>
      </c>
      <c r="P1164" s="33">
        <f>ROUNDUP(O1164+(O1164*Assumptions!O$5),-2)</f>
        <v>11000</v>
      </c>
      <c r="Q1164" s="33">
        <f>ROUNDUP(P1164+(P1164*Assumptions!P$5),-2)</f>
        <v>11300</v>
      </c>
      <c r="R1164" s="114">
        <f>ROUNDUP(Q1164+(Q1164*Assumptions!Q$5),-2)</f>
        <v>11600</v>
      </c>
    </row>
    <row r="1165" spans="1:18" x14ac:dyDescent="0.2">
      <c r="A1165" s="107">
        <v>76400</v>
      </c>
      <c r="B1165" s="33">
        <v>82100</v>
      </c>
      <c r="C1165" s="189">
        <v>80500</v>
      </c>
      <c r="D1165" s="189">
        <v>99500</v>
      </c>
      <c r="E1165" s="658" t="s">
        <v>1927</v>
      </c>
      <c r="F1165" s="3" t="s">
        <v>946</v>
      </c>
      <c r="G1165" s="187">
        <v>110000</v>
      </c>
      <c r="H1165" s="138">
        <f>IF(D1165=G1165,0,IF(D1165=0,100,(G1165-D1165)/D1165*100))</f>
        <v>10.552763819095476</v>
      </c>
      <c r="I1165" s="33">
        <v>110000</v>
      </c>
      <c r="J1165" s="33">
        <f>ROUNDUP(I1165+(I1165*Assumptions!I$5),-2)</f>
        <v>112800</v>
      </c>
      <c r="K1165" s="33">
        <f>ROUNDUP(J1165+(J1165*Assumptions!J$5),-2)</f>
        <v>115700</v>
      </c>
      <c r="L1165" s="33">
        <f>ROUNDUP(K1165+(K1165*Assumptions!K$5),-2)</f>
        <v>118600</v>
      </c>
      <c r="M1165" s="33">
        <f>ROUNDUP(L1165+(L1165*Assumptions!L$5),-2)</f>
        <v>121000</v>
      </c>
      <c r="N1165" s="33">
        <f>ROUNDUP(M1165+(M1165*Assumptions!M$5),-2)</f>
        <v>123500</v>
      </c>
      <c r="O1165" s="33">
        <f>ROUNDUP(N1165+(N1165*Assumptions!N$5),-2)</f>
        <v>126000</v>
      </c>
      <c r="P1165" s="33">
        <f>ROUNDUP(O1165+(O1165*Assumptions!O$5),-2)</f>
        <v>128600</v>
      </c>
      <c r="Q1165" s="33">
        <f>ROUNDUP(P1165+(P1165*Assumptions!P$5),-2)</f>
        <v>131200</v>
      </c>
      <c r="R1165" s="114">
        <f>ROUNDUP(Q1165+(Q1165*Assumptions!Q$5),-2)</f>
        <v>133900</v>
      </c>
    </row>
    <row r="1166" spans="1:18" x14ac:dyDescent="0.2">
      <c r="A1166" s="107">
        <v>4700</v>
      </c>
      <c r="B1166" s="33">
        <v>8000</v>
      </c>
      <c r="C1166" s="189">
        <v>8000</v>
      </c>
      <c r="D1166" s="189">
        <v>11100</v>
      </c>
      <c r="E1166" s="658" t="s">
        <v>1928</v>
      </c>
      <c r="F1166" s="3" t="s">
        <v>2714</v>
      </c>
      <c r="G1166" s="187">
        <v>10000</v>
      </c>
      <c r="H1166" s="138">
        <f>IF(D1166=G1166,0,IF(D1166=0,100,(G1166-D1166)/D1166*100))</f>
        <v>-9.9099099099099099</v>
      </c>
      <c r="I1166" s="33">
        <v>11000</v>
      </c>
      <c r="J1166" s="33">
        <f>ROUNDUP(I1166+(I1166*Assumptions!I$5),-2)</f>
        <v>11300</v>
      </c>
      <c r="K1166" s="33">
        <f>ROUNDUP(J1166+(J1166*Assumptions!J$5),-2)</f>
        <v>11600</v>
      </c>
      <c r="L1166" s="33">
        <f>ROUNDUP(K1166+(K1166*Assumptions!K$5),-2)</f>
        <v>11900</v>
      </c>
      <c r="M1166" s="33">
        <f>ROUNDUP(L1166+(L1166*Assumptions!L$5),-2)</f>
        <v>12200</v>
      </c>
      <c r="N1166" s="33">
        <f>ROUNDUP(M1166+(M1166*Assumptions!M$5),-2)</f>
        <v>12500</v>
      </c>
      <c r="O1166" s="33">
        <f>ROUNDUP(N1166+(N1166*Assumptions!N$5),-2)</f>
        <v>12800</v>
      </c>
      <c r="P1166" s="33">
        <f>ROUNDUP(O1166+(O1166*Assumptions!O$5),-2)</f>
        <v>13100</v>
      </c>
      <c r="Q1166" s="33">
        <f>ROUNDUP(P1166+(P1166*Assumptions!P$5),-2)</f>
        <v>13400</v>
      </c>
      <c r="R1166" s="114">
        <f>ROUNDUP(Q1166+(Q1166*Assumptions!Q$5),-2)</f>
        <v>13700</v>
      </c>
    </row>
    <row r="1167" spans="1:18" ht="13.5" thickBot="1" x14ac:dyDescent="0.25">
      <c r="A1167" s="107"/>
      <c r="B1167" s="33"/>
      <c r="E1167" s="1955"/>
      <c r="F1167" s="76"/>
      <c r="G1167" s="187"/>
      <c r="H1167" s="138"/>
      <c r="I1167" s="33"/>
      <c r="J1167" s="33"/>
      <c r="K1167" s="33"/>
      <c r="L1167" s="33"/>
      <c r="M1167" s="33"/>
      <c r="N1167" s="33"/>
      <c r="O1167" s="33"/>
      <c r="P1167" s="33"/>
      <c r="Q1167" s="33"/>
      <c r="R1167" s="114"/>
    </row>
    <row r="1168" spans="1:18" s="92" customFormat="1" x14ac:dyDescent="0.2">
      <c r="A1168" s="105">
        <f>SUM(A1155:A1167)</f>
        <v>374000</v>
      </c>
      <c r="B1168" s="53">
        <f>SUM(B1155:B1167)</f>
        <v>447500</v>
      </c>
      <c r="C1168" s="190">
        <f>SUM(C1155:C1167)</f>
        <v>479400</v>
      </c>
      <c r="D1168" s="190">
        <f>SUM(D1155:D1167)</f>
        <v>468100</v>
      </c>
      <c r="E1168" s="237"/>
      <c r="F1168" s="1960" t="s">
        <v>2605</v>
      </c>
      <c r="G1168" s="199">
        <f>SUM(G1155:G1167)</f>
        <v>531000</v>
      </c>
      <c r="H1168" s="180">
        <f>IF(D1168=G1168,0,IF(D1168=0,100,(G1168-D1168)/D1168*100))</f>
        <v>13.437299722281566</v>
      </c>
      <c r="I1168" s="53">
        <f t="shared" ref="I1168:Q1168" si="1360">SUM(I1155:I1167)</f>
        <v>495000</v>
      </c>
      <c r="J1168" s="53">
        <f t="shared" si="1360"/>
        <v>507600</v>
      </c>
      <c r="K1168" s="53">
        <f t="shared" si="1360"/>
        <v>520500</v>
      </c>
      <c r="L1168" s="53">
        <f t="shared" si="1360"/>
        <v>533600</v>
      </c>
      <c r="M1168" s="53">
        <f t="shared" si="1360"/>
        <v>544400</v>
      </c>
      <c r="N1168" s="53">
        <f t="shared" si="1360"/>
        <v>555600</v>
      </c>
      <c r="O1168" s="53">
        <f t="shared" si="1360"/>
        <v>566900</v>
      </c>
      <c r="P1168" s="53">
        <f t="shared" si="1360"/>
        <v>578500</v>
      </c>
      <c r="Q1168" s="53">
        <f t="shared" si="1360"/>
        <v>590300</v>
      </c>
      <c r="R1168" s="113">
        <f t="shared" ref="R1168" si="1361">SUM(R1155:R1167)</f>
        <v>602300</v>
      </c>
    </row>
    <row r="1169" spans="1:18" x14ac:dyDescent="0.2">
      <c r="A1169" s="107"/>
      <c r="B1169" s="33"/>
      <c r="E1169" s="1955"/>
      <c r="F1169" s="76"/>
      <c r="G1169" s="187"/>
      <c r="H1169" s="138"/>
      <c r="I1169" s="33"/>
      <c r="J1169" s="33"/>
      <c r="K1169" s="33"/>
      <c r="L1169" s="33"/>
      <c r="M1169" s="33"/>
      <c r="N1169" s="33"/>
      <c r="O1169" s="33"/>
      <c r="P1169" s="33"/>
      <c r="Q1169" s="33"/>
      <c r="R1169" s="114"/>
    </row>
    <row r="1170" spans="1:18" x14ac:dyDescent="0.2">
      <c r="A1170" s="107"/>
      <c r="B1170" s="33"/>
      <c r="E1170" s="1955"/>
      <c r="F1170" s="103" t="s">
        <v>2205</v>
      </c>
      <c r="G1170" s="187"/>
      <c r="H1170" s="138"/>
      <c r="I1170" s="33"/>
      <c r="J1170" s="33"/>
      <c r="K1170" s="33"/>
      <c r="L1170" s="33"/>
      <c r="M1170" s="33"/>
      <c r="N1170" s="33"/>
      <c r="O1170" s="33"/>
      <c r="P1170" s="33"/>
      <c r="Q1170" s="33"/>
      <c r="R1170" s="114"/>
    </row>
    <row r="1171" spans="1:18" x14ac:dyDescent="0.2">
      <c r="A1171" s="107"/>
      <c r="B1171" s="33"/>
      <c r="E1171" s="1955"/>
      <c r="F1171" s="76"/>
      <c r="G1171" s="187"/>
      <c r="H1171" s="138"/>
      <c r="I1171" s="33"/>
      <c r="J1171" s="33"/>
      <c r="K1171" s="33"/>
      <c r="L1171" s="33"/>
      <c r="M1171" s="33"/>
      <c r="N1171" s="33"/>
      <c r="O1171" s="33"/>
      <c r="P1171" s="33"/>
      <c r="Q1171" s="33"/>
      <c r="R1171" s="114"/>
    </row>
    <row r="1172" spans="1:18" x14ac:dyDescent="0.2">
      <c r="A1172" s="107"/>
      <c r="B1172" s="33"/>
      <c r="E1172" s="1955"/>
      <c r="F1172" s="2529" t="s">
        <v>4769</v>
      </c>
      <c r="G1172" s="187"/>
      <c r="H1172" s="138"/>
      <c r="I1172" s="33"/>
      <c r="J1172" s="33"/>
      <c r="K1172" s="33"/>
      <c r="L1172" s="33"/>
      <c r="M1172" s="33"/>
      <c r="N1172" s="33"/>
      <c r="O1172" s="33"/>
      <c r="P1172" s="33"/>
      <c r="Q1172" s="33"/>
      <c r="R1172" s="114"/>
    </row>
    <row r="1173" spans="1:18" x14ac:dyDescent="0.2">
      <c r="A1173" s="107">
        <v>9700</v>
      </c>
      <c r="B1173" s="33">
        <f>20900-4800-5700</f>
        <v>10400</v>
      </c>
      <c r="C1173" s="189">
        <f>18800-5300</f>
        <v>13500</v>
      </c>
      <c r="D1173" s="189">
        <v>22800</v>
      </c>
      <c r="E1173" s="658" t="s">
        <v>238</v>
      </c>
      <c r="F1173" s="76" t="s">
        <v>2277</v>
      </c>
      <c r="G1173" s="187">
        <v>20000</v>
      </c>
      <c r="H1173" s="138">
        <f t="shared" ref="H1173:H1178" si="1362">IF(D1173=G1173,0,IF(D1173=0,100,(G1173-D1173)/D1173*100))</f>
        <v>-12.280701754385964</v>
      </c>
      <c r="I1173" s="33">
        <f>ROUNDUP(G1173+(G1173*Assumptions!H$5),-2)</f>
        <v>20300</v>
      </c>
      <c r="J1173" s="33">
        <f>ROUNDUP(I1173+(I1173*Assumptions!I$5),-2)</f>
        <v>20900</v>
      </c>
      <c r="K1173" s="33">
        <f>ROUNDUP(J1173+(J1173*Assumptions!J$5),-2)</f>
        <v>21500</v>
      </c>
      <c r="L1173" s="33">
        <f>ROUNDUP(K1173+(K1173*Assumptions!K$5),-2)</f>
        <v>22100</v>
      </c>
      <c r="M1173" s="33">
        <f>ROUNDUP(L1173+(L1173*Assumptions!L$5),-2)</f>
        <v>22600</v>
      </c>
      <c r="N1173" s="33">
        <f>ROUNDUP(M1173+(M1173*Assumptions!M$5),-2)</f>
        <v>23100</v>
      </c>
      <c r="O1173" s="33">
        <f>ROUNDUP(N1173+(N1173*Assumptions!N$5),-2)</f>
        <v>23600</v>
      </c>
      <c r="P1173" s="33">
        <f>ROUNDUP(O1173+(O1173*Assumptions!O$5),-2)</f>
        <v>24100</v>
      </c>
      <c r="Q1173" s="33">
        <f>ROUNDUP(P1173+(P1173*Assumptions!P$5),-2)</f>
        <v>24600</v>
      </c>
      <c r="R1173" s="114">
        <f>ROUNDUP(Q1173+(Q1173*Assumptions!Q$5),-2)</f>
        <v>25100</v>
      </c>
    </row>
    <row r="1174" spans="1:18" x14ac:dyDescent="0.2">
      <c r="A1174" s="107">
        <v>0</v>
      </c>
      <c r="B1174" s="33">
        <v>0</v>
      </c>
      <c r="C1174" s="189">
        <v>33400</v>
      </c>
      <c r="D1174" s="189">
        <v>20400</v>
      </c>
      <c r="E1174" s="1092" t="s">
        <v>4027</v>
      </c>
      <c r="F1174" s="77" t="s">
        <v>5556</v>
      </c>
      <c r="G1174" s="187">
        <v>4000</v>
      </c>
      <c r="H1174" s="138">
        <f t="shared" si="1362"/>
        <v>-80.392156862745097</v>
      </c>
      <c r="I1174" s="33">
        <v>0</v>
      </c>
      <c r="J1174" s="33">
        <f>ROUNDUP(I1174+(I1174*Assumptions!I$5),-2)</f>
        <v>0</v>
      </c>
      <c r="K1174" s="33">
        <f>ROUNDUP(J1174+(J1174*Assumptions!J$5),-2)</f>
        <v>0</v>
      </c>
      <c r="L1174" s="33">
        <f>ROUNDUP(K1174+(K1174*Assumptions!K$5),-2)</f>
        <v>0</v>
      </c>
      <c r="M1174" s="33">
        <f>ROUNDUP(L1174+(L1174*Assumptions!L$5),-2)</f>
        <v>0</v>
      </c>
      <c r="N1174" s="33">
        <f>ROUNDUP(M1174+(M1174*Assumptions!M$5),-2)</f>
        <v>0</v>
      </c>
      <c r="O1174" s="33">
        <f>ROUNDUP(N1174+(N1174*Assumptions!N$5),-2)</f>
        <v>0</v>
      </c>
      <c r="P1174" s="33">
        <f>ROUNDUP(O1174+(O1174*Assumptions!O$5),-2)</f>
        <v>0</v>
      </c>
      <c r="Q1174" s="33">
        <f>ROUNDUP(P1174+(P1174*Assumptions!P$5),-2)</f>
        <v>0</v>
      </c>
      <c r="R1174" s="114">
        <f>ROUNDUP(Q1174+(Q1174*Assumptions!Q$5),-2)</f>
        <v>0</v>
      </c>
    </row>
    <row r="1175" spans="1:18" x14ac:dyDescent="0.2">
      <c r="A1175" s="107">
        <v>0</v>
      </c>
      <c r="B1175" s="33">
        <v>0</v>
      </c>
      <c r="C1175" s="189">
        <v>0</v>
      </c>
      <c r="D1175" s="189">
        <v>24200</v>
      </c>
      <c r="E1175" s="1092" t="s">
        <v>5552</v>
      </c>
      <c r="F1175" s="77" t="s">
        <v>5557</v>
      </c>
      <c r="G1175" s="187">
        <v>55800</v>
      </c>
      <c r="H1175" s="138">
        <f t="shared" si="1362"/>
        <v>130.57851239669424</v>
      </c>
      <c r="I1175" s="33">
        <v>0</v>
      </c>
      <c r="J1175" s="33">
        <f>ROUNDUP(I1175+(I1175*Assumptions!I$5),-2)</f>
        <v>0</v>
      </c>
      <c r="K1175" s="33">
        <f>ROUNDUP(J1175+(J1175*Assumptions!J$5),-2)</f>
        <v>0</v>
      </c>
      <c r="L1175" s="33">
        <f>ROUNDUP(K1175+(K1175*Assumptions!K$5),-2)</f>
        <v>0</v>
      </c>
      <c r="M1175" s="33">
        <f>ROUNDUP(L1175+(L1175*Assumptions!L$5),-2)</f>
        <v>0</v>
      </c>
      <c r="N1175" s="33">
        <f>ROUNDUP(M1175+(M1175*Assumptions!M$5),-2)</f>
        <v>0</v>
      </c>
      <c r="O1175" s="33">
        <f>ROUNDUP(N1175+(N1175*Assumptions!N$5),-2)</f>
        <v>0</v>
      </c>
      <c r="P1175" s="33">
        <f>ROUNDUP(O1175+(O1175*Assumptions!O$5),-2)</f>
        <v>0</v>
      </c>
      <c r="Q1175" s="33">
        <f>ROUNDUP(P1175+(P1175*Assumptions!P$5),-2)</f>
        <v>0</v>
      </c>
      <c r="R1175" s="114">
        <f>ROUNDUP(Q1175+(Q1175*Assumptions!Q$5),-2)</f>
        <v>0</v>
      </c>
    </row>
    <row r="1176" spans="1:18" x14ac:dyDescent="0.2">
      <c r="A1176" s="107">
        <v>0</v>
      </c>
      <c r="B1176" s="33">
        <v>0</v>
      </c>
      <c r="C1176" s="189">
        <v>22400</v>
      </c>
      <c r="D1176" s="189">
        <f>46200-46200</f>
        <v>0</v>
      </c>
      <c r="E1176" s="1092" t="s">
        <v>4420</v>
      </c>
      <c r="F1176" s="77" t="s">
        <v>7009</v>
      </c>
      <c r="G1176" s="187">
        <v>0</v>
      </c>
      <c r="H1176" s="138">
        <f t="shared" si="1362"/>
        <v>0</v>
      </c>
      <c r="I1176" s="33">
        <v>0</v>
      </c>
      <c r="J1176" s="33">
        <f>ROUNDUP(I1176+(I1176*Assumptions!I$5),-2)</f>
        <v>0</v>
      </c>
      <c r="K1176" s="33">
        <f>ROUNDUP(J1176+(J1176*Assumptions!J$5),-2)</f>
        <v>0</v>
      </c>
      <c r="L1176" s="33">
        <f>ROUNDUP(K1176+(K1176*Assumptions!K$5),-2)</f>
        <v>0</v>
      </c>
      <c r="M1176" s="33">
        <f>ROUNDUP(L1176+(L1176*Assumptions!L$5),-2)</f>
        <v>0</v>
      </c>
      <c r="N1176" s="33">
        <f>ROUNDUP(M1176+(M1176*Assumptions!M$5),-2)</f>
        <v>0</v>
      </c>
      <c r="O1176" s="33">
        <f>ROUNDUP(N1176+(N1176*Assumptions!N$5),-2)</f>
        <v>0</v>
      </c>
      <c r="P1176" s="33">
        <f>ROUNDUP(O1176+(O1176*Assumptions!O$5),-2)</f>
        <v>0</v>
      </c>
      <c r="Q1176" s="33">
        <f>ROUNDUP(P1176+(P1176*Assumptions!P$5),-2)</f>
        <v>0</v>
      </c>
      <c r="R1176" s="114">
        <f>ROUNDUP(Q1176+(Q1176*Assumptions!Q$5),-2)</f>
        <v>0</v>
      </c>
    </row>
    <row r="1177" spans="1:18" x14ac:dyDescent="0.2">
      <c r="A1177" s="107">
        <v>3000</v>
      </c>
      <c r="B1177" s="33">
        <v>4800</v>
      </c>
      <c r="C1177" s="189">
        <v>5300</v>
      </c>
      <c r="D1177" s="189">
        <v>4900</v>
      </c>
      <c r="E1177" s="658" t="s">
        <v>239</v>
      </c>
      <c r="F1177" s="76" t="s">
        <v>2774</v>
      </c>
      <c r="G1177" s="187">
        <v>5500</v>
      </c>
      <c r="H1177" s="138">
        <f t="shared" si="1362"/>
        <v>12.244897959183673</v>
      </c>
      <c r="I1177" s="33">
        <f>ROUNDUP(G1177+(G1177*Assumptions!H$5),-2)</f>
        <v>5600</v>
      </c>
      <c r="J1177" s="33">
        <f>ROUNDUP(I1177+(I1177*Assumptions!I$5),-2)</f>
        <v>5800</v>
      </c>
      <c r="K1177" s="33">
        <f>ROUNDUP(J1177+(J1177*Assumptions!J$5),-2)</f>
        <v>6000</v>
      </c>
      <c r="L1177" s="33">
        <f>ROUNDUP(K1177+(K1177*Assumptions!K$5),-2)</f>
        <v>6200</v>
      </c>
      <c r="M1177" s="33">
        <f>ROUNDUP(L1177+(L1177*Assumptions!L$5),-2)</f>
        <v>6400</v>
      </c>
      <c r="N1177" s="33">
        <f>ROUNDUP(M1177+(M1177*Assumptions!M$5),-2)</f>
        <v>6600</v>
      </c>
      <c r="O1177" s="33">
        <f>ROUNDUP(N1177+(N1177*Assumptions!N$5),-2)</f>
        <v>6800</v>
      </c>
      <c r="P1177" s="33">
        <f>ROUNDUP(O1177+(O1177*Assumptions!O$5),-2)</f>
        <v>7000</v>
      </c>
      <c r="Q1177" s="33">
        <f>ROUNDUP(P1177+(P1177*Assumptions!P$5),-2)</f>
        <v>7200</v>
      </c>
      <c r="R1177" s="114">
        <f>ROUNDUP(Q1177+(Q1177*Assumptions!Q$5),-2)</f>
        <v>7400</v>
      </c>
    </row>
    <row r="1178" spans="1:18" x14ac:dyDescent="0.2">
      <c r="A1178" s="107">
        <v>4500</v>
      </c>
      <c r="B1178" s="33">
        <v>5700</v>
      </c>
      <c r="C1178" s="189">
        <v>6000</v>
      </c>
      <c r="D1178" s="189">
        <v>6100</v>
      </c>
      <c r="E1178" s="658" t="s">
        <v>1828</v>
      </c>
      <c r="F1178" s="76" t="s">
        <v>1317</v>
      </c>
      <c r="G1178" s="187">
        <v>6500</v>
      </c>
      <c r="H1178" s="138">
        <f t="shared" si="1362"/>
        <v>6.557377049180328</v>
      </c>
      <c r="I1178" s="33">
        <f>ROUNDUP(G1178+(G1178*Assumptions!H$5),-2)</f>
        <v>6600</v>
      </c>
      <c r="J1178" s="33">
        <f>ROUNDUP(I1178+(I1178*Assumptions!I$5),-2)</f>
        <v>6800</v>
      </c>
      <c r="K1178" s="33">
        <f>ROUNDUP(J1178+(J1178*Assumptions!J$5),-2)</f>
        <v>7000</v>
      </c>
      <c r="L1178" s="33">
        <f>ROUNDUP(K1178+(K1178*Assumptions!K$5),-2)</f>
        <v>7200</v>
      </c>
      <c r="M1178" s="33">
        <f>ROUNDUP(L1178+(L1178*Assumptions!L$5),-2)</f>
        <v>7400</v>
      </c>
      <c r="N1178" s="33">
        <f>ROUNDUP(M1178+(M1178*Assumptions!M$5),-2)</f>
        <v>7600</v>
      </c>
      <c r="O1178" s="33">
        <f>ROUNDUP(N1178+(N1178*Assumptions!N$5),-2)</f>
        <v>7800</v>
      </c>
      <c r="P1178" s="33">
        <f>ROUNDUP(O1178+(O1178*Assumptions!O$5),-2)</f>
        <v>8000</v>
      </c>
      <c r="Q1178" s="33">
        <f>ROUNDUP(P1178+(P1178*Assumptions!P$5),-2)</f>
        <v>8200</v>
      </c>
      <c r="R1178" s="114">
        <f>ROUNDUP(Q1178+(Q1178*Assumptions!Q$5),-2)</f>
        <v>8400</v>
      </c>
    </row>
    <row r="1179" spans="1:18" x14ac:dyDescent="0.2">
      <c r="A1179" s="107"/>
      <c r="B1179" s="33"/>
      <c r="E1179" s="445"/>
      <c r="F1179" s="351"/>
      <c r="G1179" s="198"/>
      <c r="H1179" s="138"/>
      <c r="I1179" s="33"/>
      <c r="J1179" s="33"/>
      <c r="K1179" s="33"/>
      <c r="L1179" s="33"/>
      <c r="M1179" s="33"/>
      <c r="N1179" s="33"/>
      <c r="O1179" s="33"/>
      <c r="P1179" s="33"/>
      <c r="Q1179" s="33"/>
      <c r="R1179" s="114"/>
    </row>
    <row r="1180" spans="1:18" x14ac:dyDescent="0.2">
      <c r="A1180" s="107"/>
      <c r="B1180" s="33"/>
      <c r="E1180" s="1955"/>
      <c r="F1180" s="64" t="s">
        <v>2303</v>
      </c>
      <c r="G1180" s="198"/>
      <c r="H1180" s="138"/>
      <c r="I1180" s="33"/>
      <c r="J1180" s="33"/>
      <c r="K1180" s="33"/>
      <c r="L1180" s="33"/>
      <c r="M1180" s="33"/>
      <c r="N1180" s="33"/>
      <c r="O1180" s="33"/>
      <c r="P1180" s="33"/>
      <c r="Q1180" s="33"/>
      <c r="R1180" s="114"/>
    </row>
    <row r="1181" spans="1:18" x14ac:dyDescent="0.2">
      <c r="A1181" s="107">
        <v>308500</v>
      </c>
      <c r="B1181" s="33">
        <f>308100-B1182</f>
        <v>305600</v>
      </c>
      <c r="C1181" s="189">
        <f>308100-2600</f>
        <v>305500</v>
      </c>
      <c r="D1181" s="189">
        <v>336300</v>
      </c>
      <c r="E1181" s="658" t="s">
        <v>1937</v>
      </c>
      <c r="F1181" s="443" t="s">
        <v>2260</v>
      </c>
      <c r="G1181" s="198">
        <v>332000</v>
      </c>
      <c r="H1181" s="138">
        <f t="shared" ref="H1181:H1190" si="1363">IF(D1181=G1181,0,IF(D1181=0,100,(G1181-D1181)/D1181*100))</f>
        <v>-1.27862027951234</v>
      </c>
      <c r="I1181" s="33">
        <f>ROUNDUP(G1181+(G1181*Assumptions!H$5),-2)</f>
        <v>337000</v>
      </c>
      <c r="J1181" s="33">
        <f>ROUNDUP(I1181+(I1181*Assumptions!I$5),-2)</f>
        <v>345500</v>
      </c>
      <c r="K1181" s="33">
        <f>ROUNDUP(J1181+(J1181*Assumptions!J$5),-2)</f>
        <v>354200</v>
      </c>
      <c r="L1181" s="33">
        <f>ROUNDUP(K1181+(K1181*Assumptions!K$5),-2)</f>
        <v>363100</v>
      </c>
      <c r="M1181" s="33">
        <f>ROUNDUP(L1181+(L1181*Assumptions!L$5),-2)</f>
        <v>370400</v>
      </c>
      <c r="N1181" s="33">
        <f>ROUNDUP(M1181+(M1181*Assumptions!M$5),-2)</f>
        <v>377900</v>
      </c>
      <c r="O1181" s="33">
        <f>ROUNDUP(N1181+(N1181*Assumptions!N$5),-2)</f>
        <v>385500</v>
      </c>
      <c r="P1181" s="33">
        <f>ROUNDUP(O1181+(O1181*Assumptions!O$5),-2)</f>
        <v>393300</v>
      </c>
      <c r="Q1181" s="33">
        <f>ROUNDUP(P1181+(P1181*Assumptions!P$5),-2)</f>
        <v>401200</v>
      </c>
      <c r="R1181" s="114">
        <f>ROUNDUP(Q1181+(Q1181*Assumptions!Q$5),-2)</f>
        <v>409300</v>
      </c>
    </row>
    <row r="1182" spans="1:18" x14ac:dyDescent="0.2">
      <c r="A1182" s="107">
        <v>2600</v>
      </c>
      <c r="B1182" s="33">
        <v>2500</v>
      </c>
      <c r="C1182" s="189">
        <v>2600</v>
      </c>
      <c r="D1182" s="189">
        <v>2800</v>
      </c>
      <c r="E1182" s="658" t="s">
        <v>1718</v>
      </c>
      <c r="F1182" s="443" t="s">
        <v>1811</v>
      </c>
      <c r="G1182" s="198">
        <v>3000</v>
      </c>
      <c r="H1182" s="138">
        <f t="shared" si="1363"/>
        <v>7.1428571428571423</v>
      </c>
      <c r="I1182" s="33">
        <f>ROUNDUP(G1182+(G1182*Assumptions!H$5),-2)</f>
        <v>3100</v>
      </c>
      <c r="J1182" s="33">
        <f>ROUNDUP(I1182+(I1182*Assumptions!I$5),-2)</f>
        <v>3200</v>
      </c>
      <c r="K1182" s="33">
        <f>ROUNDUP(J1182+(J1182*Assumptions!J$5),-2)</f>
        <v>3300</v>
      </c>
      <c r="L1182" s="33">
        <f>ROUNDUP(K1182+(K1182*Assumptions!K$5),-2)</f>
        <v>3400</v>
      </c>
      <c r="M1182" s="33">
        <f>ROUNDUP(L1182+(L1182*Assumptions!L$5),-2)</f>
        <v>3500</v>
      </c>
      <c r="N1182" s="33">
        <f>ROUNDUP(M1182+(M1182*Assumptions!M$5),-2)</f>
        <v>3600</v>
      </c>
      <c r="O1182" s="33">
        <f>ROUNDUP(N1182+(N1182*Assumptions!N$5),-2)</f>
        <v>3700</v>
      </c>
      <c r="P1182" s="33">
        <f>ROUNDUP(O1182+(O1182*Assumptions!O$5),-2)</f>
        <v>3800</v>
      </c>
      <c r="Q1182" s="33">
        <f>ROUNDUP(P1182+(P1182*Assumptions!P$5),-2)</f>
        <v>3900</v>
      </c>
      <c r="R1182" s="114">
        <f>ROUNDUP(Q1182+(Q1182*Assumptions!Q$5),-2)</f>
        <v>4000</v>
      </c>
    </row>
    <row r="1183" spans="1:18" x14ac:dyDescent="0.2">
      <c r="A1183" s="107">
        <v>600</v>
      </c>
      <c r="B1183" s="33">
        <v>600</v>
      </c>
      <c r="C1183" s="189">
        <v>1200</v>
      </c>
      <c r="D1183" s="189">
        <v>1300</v>
      </c>
      <c r="E1183" s="658" t="s">
        <v>2756</v>
      </c>
      <c r="F1183" s="443" t="s">
        <v>1317</v>
      </c>
      <c r="G1183" s="198">
        <v>1500</v>
      </c>
      <c r="H1183" s="138">
        <f t="shared" si="1363"/>
        <v>15.384615384615385</v>
      </c>
      <c r="I1183" s="33">
        <f>ROUNDUP(G1183+(G1183*Assumptions!H$5),-2)</f>
        <v>1600</v>
      </c>
      <c r="J1183" s="33">
        <f>ROUNDUP(I1183+(I1183*Assumptions!I$5),-2)</f>
        <v>1700</v>
      </c>
      <c r="K1183" s="33">
        <f>ROUNDUP(J1183+(J1183*Assumptions!J$5),-2)</f>
        <v>1800</v>
      </c>
      <c r="L1183" s="33">
        <f>ROUNDUP(K1183+(K1183*Assumptions!K$5),-2)</f>
        <v>1900</v>
      </c>
      <c r="M1183" s="33">
        <f>ROUNDUP(L1183+(L1183*Assumptions!L$5),-2)</f>
        <v>2000</v>
      </c>
      <c r="N1183" s="33">
        <f>ROUNDUP(M1183+(M1183*Assumptions!M$5),-2)</f>
        <v>2100</v>
      </c>
      <c r="O1183" s="33">
        <f>ROUNDUP(N1183+(N1183*Assumptions!N$5),-2)</f>
        <v>2200</v>
      </c>
      <c r="P1183" s="33">
        <f>ROUNDUP(O1183+(O1183*Assumptions!O$5),-2)</f>
        <v>2300</v>
      </c>
      <c r="Q1183" s="33">
        <f>ROUNDUP(P1183+(P1183*Assumptions!P$5),-2)</f>
        <v>2400</v>
      </c>
      <c r="R1183" s="114">
        <f>ROUNDUP(Q1183+(Q1183*Assumptions!Q$5),-2)</f>
        <v>2500</v>
      </c>
    </row>
    <row r="1184" spans="1:18" x14ac:dyDescent="0.2">
      <c r="A1184" s="107">
        <v>5400</v>
      </c>
      <c r="B1184" s="33">
        <v>4200</v>
      </c>
      <c r="C1184" s="189">
        <v>2000</v>
      </c>
      <c r="D1184" s="189">
        <v>1700</v>
      </c>
      <c r="E1184" s="658" t="s">
        <v>1717</v>
      </c>
      <c r="F1184" s="443" t="s">
        <v>2193</v>
      </c>
      <c r="G1184" s="198">
        <v>3000</v>
      </c>
      <c r="H1184" s="138">
        <f t="shared" si="1363"/>
        <v>76.470588235294116</v>
      </c>
      <c r="I1184" s="33">
        <f>ROUNDUP(G1184+(G1184*Assumptions!H$5),-2)</f>
        <v>3100</v>
      </c>
      <c r="J1184" s="33">
        <f>ROUNDUP(I1184+(I1184*Assumptions!I$5),-2)</f>
        <v>3200</v>
      </c>
      <c r="K1184" s="33">
        <f>ROUNDUP(J1184+(J1184*Assumptions!J$5),-2)</f>
        <v>3300</v>
      </c>
      <c r="L1184" s="33">
        <f>ROUNDUP(K1184+(K1184*Assumptions!K$5),-2)</f>
        <v>3400</v>
      </c>
      <c r="M1184" s="33">
        <f>ROUNDUP(L1184+(L1184*Assumptions!L$5),-2)</f>
        <v>3500</v>
      </c>
      <c r="N1184" s="33">
        <f>ROUNDUP(M1184+(M1184*Assumptions!M$5),-2)</f>
        <v>3600</v>
      </c>
      <c r="O1184" s="33">
        <f>ROUNDUP(N1184+(N1184*Assumptions!N$5),-2)</f>
        <v>3700</v>
      </c>
      <c r="P1184" s="33">
        <f>ROUNDUP(O1184+(O1184*Assumptions!O$5),-2)</f>
        <v>3800</v>
      </c>
      <c r="Q1184" s="33">
        <f>ROUNDUP(P1184+(P1184*Assumptions!P$5),-2)</f>
        <v>3900</v>
      </c>
      <c r="R1184" s="114">
        <f>ROUNDUP(Q1184+(Q1184*Assumptions!Q$5),-2)</f>
        <v>4000</v>
      </c>
    </row>
    <row r="1185" spans="1:18" x14ac:dyDescent="0.2">
      <c r="A1185" s="107">
        <v>133700</v>
      </c>
      <c r="B1185" s="33">
        <v>129200</v>
      </c>
      <c r="C1185" s="189">
        <v>160000</v>
      </c>
      <c r="D1185" s="189">
        <v>138500</v>
      </c>
      <c r="E1185" s="658" t="s">
        <v>222</v>
      </c>
      <c r="F1185" s="443" t="s">
        <v>1361</v>
      </c>
      <c r="G1185" s="198">
        <v>134000</v>
      </c>
      <c r="H1185" s="138">
        <f t="shared" si="1363"/>
        <v>-3.2490974729241873</v>
      </c>
      <c r="I1185" s="33">
        <f>ROUNDUP(G1185+(G1185*Assumptions!H$5),-2)</f>
        <v>136100</v>
      </c>
      <c r="J1185" s="33">
        <f>ROUNDUP(I1185+(I1185*Assumptions!I$5),-2)</f>
        <v>139600</v>
      </c>
      <c r="K1185" s="33">
        <f>ROUNDUP(J1185+(J1185*Assumptions!J$5),-2)</f>
        <v>143100</v>
      </c>
      <c r="L1185" s="33">
        <f>ROUNDUP(K1185+(K1185*Assumptions!K$5),-2)</f>
        <v>146700</v>
      </c>
      <c r="M1185" s="33">
        <f>ROUNDUP(L1185+(L1185*Assumptions!L$5),-2)</f>
        <v>149700</v>
      </c>
      <c r="N1185" s="33">
        <f>ROUNDUP(M1185+(M1185*Assumptions!M$5),-2)</f>
        <v>152700</v>
      </c>
      <c r="O1185" s="33">
        <f>ROUNDUP(N1185+(N1185*Assumptions!N$5),-2)</f>
        <v>155800</v>
      </c>
      <c r="P1185" s="33">
        <f>ROUNDUP(O1185+(O1185*Assumptions!O$5),-2)</f>
        <v>159000</v>
      </c>
      <c r="Q1185" s="33">
        <f>ROUNDUP(P1185+(P1185*Assumptions!P$5),-2)</f>
        <v>162200</v>
      </c>
      <c r="R1185" s="114">
        <f>ROUNDUP(Q1185+(Q1185*Assumptions!Q$5),-2)</f>
        <v>165500</v>
      </c>
    </row>
    <row r="1186" spans="1:18" x14ac:dyDescent="0.2">
      <c r="A1186" s="107">
        <v>17200</v>
      </c>
      <c r="B1186" s="33">
        <v>19000</v>
      </c>
      <c r="C1186" s="189">
        <v>15900</v>
      </c>
      <c r="D1186" s="189">
        <v>15500</v>
      </c>
      <c r="E1186" s="1092" t="s">
        <v>3261</v>
      </c>
      <c r="F1186" s="443" t="s">
        <v>2774</v>
      </c>
      <c r="G1186" s="198">
        <v>18000</v>
      </c>
      <c r="H1186" s="138">
        <f t="shared" si="1363"/>
        <v>16.129032258064516</v>
      </c>
      <c r="I1186" s="33">
        <f>ROUNDUP(G1186+(G1186*Assumptions!H$5),-2)</f>
        <v>18300</v>
      </c>
      <c r="J1186" s="33">
        <f>ROUNDUP(I1186+(I1186*Assumptions!I$5),-2)</f>
        <v>18800</v>
      </c>
      <c r="K1186" s="33">
        <f>ROUNDUP(J1186+(J1186*Assumptions!J$5),-2)</f>
        <v>19300</v>
      </c>
      <c r="L1186" s="33">
        <f>ROUNDUP(K1186+(K1186*Assumptions!K$5),-2)</f>
        <v>19800</v>
      </c>
      <c r="M1186" s="33">
        <f>ROUNDUP(L1186+(L1186*Assumptions!L$5),-2)</f>
        <v>20200</v>
      </c>
      <c r="N1186" s="33">
        <f>ROUNDUP(M1186+(M1186*Assumptions!M$5),-2)</f>
        <v>20700</v>
      </c>
      <c r="O1186" s="33">
        <f>ROUNDUP(N1186+(N1186*Assumptions!N$5),-2)</f>
        <v>21200</v>
      </c>
      <c r="P1186" s="33">
        <f>ROUNDUP(O1186+(O1186*Assumptions!O$5),-2)</f>
        <v>21700</v>
      </c>
      <c r="Q1186" s="33">
        <f>ROUNDUP(P1186+(P1186*Assumptions!P$5),-2)</f>
        <v>22200</v>
      </c>
      <c r="R1186" s="114">
        <f>ROUNDUP(Q1186+(Q1186*Assumptions!Q$5),-2)</f>
        <v>22700</v>
      </c>
    </row>
    <row r="1187" spans="1:18" x14ac:dyDescent="0.2">
      <c r="A1187" s="107">
        <v>2200</v>
      </c>
      <c r="B1187" s="33">
        <v>0</v>
      </c>
      <c r="C1187" s="189">
        <v>0</v>
      </c>
      <c r="D1187" s="189">
        <v>0</v>
      </c>
      <c r="E1187" s="658" t="s">
        <v>1829</v>
      </c>
      <c r="F1187" s="443" t="s">
        <v>557</v>
      </c>
      <c r="G1187" s="198">
        <v>2500</v>
      </c>
      <c r="H1187" s="138">
        <f t="shared" si="1363"/>
        <v>100</v>
      </c>
      <c r="I1187" s="33">
        <f>ROUNDUP(G1187+(G1187*Assumptions!H$5),-2)</f>
        <v>2600</v>
      </c>
      <c r="J1187" s="33">
        <f>ROUNDUP(I1187+(I1187*Assumptions!I$5),-2)</f>
        <v>2700</v>
      </c>
      <c r="K1187" s="33">
        <f>ROUNDUP(J1187+(J1187*Assumptions!J$5),-2)</f>
        <v>2800</v>
      </c>
      <c r="L1187" s="33">
        <f>ROUNDUP(K1187+(K1187*Assumptions!K$5),-2)</f>
        <v>2900</v>
      </c>
      <c r="M1187" s="33">
        <f>ROUNDUP(L1187+(L1187*Assumptions!L$5),-2)</f>
        <v>3000</v>
      </c>
      <c r="N1187" s="33">
        <f>ROUNDUP(M1187+(M1187*Assumptions!M$5),-2)</f>
        <v>3100</v>
      </c>
      <c r="O1187" s="33">
        <f>ROUNDUP(N1187+(N1187*Assumptions!N$5),-2)</f>
        <v>3200</v>
      </c>
      <c r="P1187" s="33">
        <f>ROUNDUP(O1187+(O1187*Assumptions!O$5),-2)</f>
        <v>3300</v>
      </c>
      <c r="Q1187" s="33">
        <f>ROUNDUP(P1187+(P1187*Assumptions!P$5),-2)</f>
        <v>3400</v>
      </c>
      <c r="R1187" s="114">
        <f>ROUNDUP(Q1187+(Q1187*Assumptions!Q$5),-2)</f>
        <v>3500</v>
      </c>
    </row>
    <row r="1188" spans="1:18" x14ac:dyDescent="0.2">
      <c r="A1188" s="107">
        <v>2300</v>
      </c>
      <c r="B1188" s="33">
        <v>3300</v>
      </c>
      <c r="C1188" s="189">
        <v>3000</v>
      </c>
      <c r="D1188" s="189">
        <f>2500+2000</f>
        <v>4500</v>
      </c>
      <c r="E1188" s="658" t="s">
        <v>2757</v>
      </c>
      <c r="F1188" s="443" t="s">
        <v>493</v>
      </c>
      <c r="G1188" s="198">
        <v>3000</v>
      </c>
      <c r="H1188" s="138">
        <f t="shared" si="1363"/>
        <v>-33.333333333333329</v>
      </c>
      <c r="I1188" s="33">
        <f>ROUNDUP(G1188+(G1188*Assumptions!H$5),-2)</f>
        <v>3100</v>
      </c>
      <c r="J1188" s="33">
        <f>ROUNDUP(I1188+(I1188*Assumptions!I$5),-2)</f>
        <v>3200</v>
      </c>
      <c r="K1188" s="33">
        <f>ROUNDUP(J1188+(J1188*Assumptions!J$5),-2)</f>
        <v>3300</v>
      </c>
      <c r="L1188" s="33">
        <f>ROUNDUP(K1188+(K1188*Assumptions!K$5),-2)</f>
        <v>3400</v>
      </c>
      <c r="M1188" s="33">
        <f>ROUNDUP(L1188+(L1188*Assumptions!L$5),-2)</f>
        <v>3500</v>
      </c>
      <c r="N1188" s="33">
        <f>ROUNDUP(M1188+(M1188*Assumptions!M$5),-2)</f>
        <v>3600</v>
      </c>
      <c r="O1188" s="33">
        <f>ROUNDUP(N1188+(N1188*Assumptions!N$5),-2)</f>
        <v>3700</v>
      </c>
      <c r="P1188" s="33">
        <f>ROUNDUP(O1188+(O1188*Assumptions!O$5),-2)</f>
        <v>3800</v>
      </c>
      <c r="Q1188" s="33">
        <f>ROUNDUP(P1188+(P1188*Assumptions!P$5),-2)</f>
        <v>3900</v>
      </c>
      <c r="R1188" s="114">
        <f>ROUNDUP(Q1188+(Q1188*Assumptions!Q$5),-2)</f>
        <v>4000</v>
      </c>
    </row>
    <row r="1189" spans="1:18" x14ac:dyDescent="0.2">
      <c r="A1189" s="107">
        <v>30500</v>
      </c>
      <c r="B1189" s="33">
        <v>31400</v>
      </c>
      <c r="C1189" s="189">
        <v>27300</v>
      </c>
      <c r="D1189" s="189">
        <v>21700</v>
      </c>
      <c r="E1189" s="658" t="s">
        <v>678</v>
      </c>
      <c r="F1189" s="443" t="s">
        <v>558</v>
      </c>
      <c r="G1189" s="198">
        <v>34000</v>
      </c>
      <c r="H1189" s="138">
        <f t="shared" si="1363"/>
        <v>56.682027649769587</v>
      </c>
      <c r="I1189" s="33">
        <f>ROUNDUP(G1189+(G1189*Assumptions!H$5),-2)</f>
        <v>34600</v>
      </c>
      <c r="J1189" s="33">
        <f>ROUNDUP(I1189+(I1189*Assumptions!I$5),-2)</f>
        <v>35500</v>
      </c>
      <c r="K1189" s="33">
        <f>ROUNDUP(J1189+(J1189*Assumptions!J$5),-2)</f>
        <v>36400</v>
      </c>
      <c r="L1189" s="33">
        <f>ROUNDUP(K1189+(K1189*Assumptions!K$5),-2)</f>
        <v>37400</v>
      </c>
      <c r="M1189" s="33">
        <f>ROUNDUP(L1189+(L1189*Assumptions!L$5),-2)</f>
        <v>38200</v>
      </c>
      <c r="N1189" s="33">
        <f>ROUNDUP(M1189+(M1189*Assumptions!M$5),-2)</f>
        <v>39000</v>
      </c>
      <c r="O1189" s="33">
        <f>ROUNDUP(N1189+(N1189*Assumptions!N$5),-2)</f>
        <v>39800</v>
      </c>
      <c r="P1189" s="33">
        <f>ROUNDUP(O1189+(O1189*Assumptions!O$5),-2)</f>
        <v>40600</v>
      </c>
      <c r="Q1189" s="33">
        <f>ROUNDUP(P1189+(P1189*Assumptions!P$5),-2)</f>
        <v>41500</v>
      </c>
      <c r="R1189" s="114">
        <f>ROUNDUP(Q1189+(Q1189*Assumptions!Q$5),-2)</f>
        <v>42400</v>
      </c>
    </row>
    <row r="1190" spans="1:18" x14ac:dyDescent="0.2">
      <c r="A1190" s="107">
        <v>110000</v>
      </c>
      <c r="B1190" s="33">
        <v>151400</v>
      </c>
      <c r="C1190" s="189">
        <v>146800</v>
      </c>
      <c r="D1190" s="189">
        <v>132700</v>
      </c>
      <c r="E1190" s="658" t="s">
        <v>1719</v>
      </c>
      <c r="F1190" s="443" t="s">
        <v>923</v>
      </c>
      <c r="G1190" s="198">
        <v>36000</v>
      </c>
      <c r="H1190" s="138">
        <f t="shared" si="1363"/>
        <v>-72.871137905048982</v>
      </c>
      <c r="I1190" s="33">
        <v>138000</v>
      </c>
      <c r="J1190" s="33">
        <v>40000</v>
      </c>
      <c r="K1190" s="33">
        <v>142000</v>
      </c>
      <c r="L1190" s="33">
        <v>44000</v>
      </c>
      <c r="M1190" s="33">
        <v>148000</v>
      </c>
      <c r="N1190" s="33">
        <v>48000</v>
      </c>
      <c r="O1190" s="33">
        <v>154000</v>
      </c>
      <c r="P1190" s="33">
        <v>52000</v>
      </c>
      <c r="Q1190" s="33">
        <v>160000</v>
      </c>
      <c r="R1190" s="114">
        <v>56000</v>
      </c>
    </row>
    <row r="1191" spans="1:18" x14ac:dyDescent="0.2">
      <c r="A1191" s="107"/>
      <c r="B1191" s="33"/>
      <c r="E1191" s="658"/>
      <c r="F1191" s="33"/>
      <c r="G1191" s="198"/>
      <c r="H1191" s="138"/>
      <c r="I1191" s="33"/>
      <c r="J1191" s="33"/>
      <c r="K1191" s="33"/>
      <c r="L1191" s="33"/>
      <c r="M1191" s="33"/>
      <c r="N1191" s="33"/>
      <c r="O1191" s="33"/>
      <c r="P1191" s="33"/>
      <c r="Q1191" s="33"/>
      <c r="R1191" s="114"/>
    </row>
    <row r="1192" spans="1:18" x14ac:dyDescent="0.2">
      <c r="A1192" s="107"/>
      <c r="B1192" s="33"/>
      <c r="E1192" s="658"/>
      <c r="F1192" s="64" t="str">
        <f>F1130</f>
        <v>Non-Cash Expenses</v>
      </c>
      <c r="G1192" s="198"/>
      <c r="H1192" s="138"/>
      <c r="I1192" s="33"/>
      <c r="J1192" s="33"/>
      <c r="K1192" s="33"/>
      <c r="L1192" s="33"/>
      <c r="M1192" s="33"/>
      <c r="N1192" s="33"/>
      <c r="O1192" s="33"/>
      <c r="P1192" s="33"/>
      <c r="Q1192" s="33"/>
      <c r="R1192" s="114"/>
    </row>
    <row r="1193" spans="1:18" x14ac:dyDescent="0.2">
      <c r="A1193" s="107">
        <v>25700</v>
      </c>
      <c r="B1193" s="33">
        <v>44000</v>
      </c>
      <c r="C1193" s="189">
        <v>38700</v>
      </c>
      <c r="D1193" s="189">
        <v>33500</v>
      </c>
      <c r="E1193" s="658" t="s">
        <v>1938</v>
      </c>
      <c r="F1193" s="132" t="s">
        <v>4918</v>
      </c>
      <c r="G1193" s="198">
        <v>40000</v>
      </c>
      <c r="H1193" s="138">
        <f>IF(D1193=G1193,0,IF(D1193=0,100,(G1193-D1193)/D1193*100))</f>
        <v>19.402985074626866</v>
      </c>
      <c r="I1193" s="33">
        <f>ROUNDUP(G1193+(G1193*Assumptions!H$18),-2)</f>
        <v>40800</v>
      </c>
      <c r="J1193" s="33">
        <f>ROUNDUP(I1193+(I1193*Assumptions!I$18),-2)</f>
        <v>41700</v>
      </c>
      <c r="K1193" s="33">
        <f>ROUNDUP(J1193+(J1193*Assumptions!J$18),-2)</f>
        <v>42600</v>
      </c>
      <c r="L1193" s="33">
        <f>ROUNDUP(K1193+(K1193*Assumptions!K$18),-2)</f>
        <v>43500</v>
      </c>
      <c r="M1193" s="33">
        <f>ROUNDUP(L1193+(L1193*Assumptions!L$18),-2)</f>
        <v>44400</v>
      </c>
      <c r="N1193" s="33">
        <f>ROUNDUP(M1193+(M1193*Assumptions!M$18),-2)</f>
        <v>45300</v>
      </c>
      <c r="O1193" s="33">
        <f>ROUNDUP(N1193+(N1193*Assumptions!N$18),-2)</f>
        <v>46300</v>
      </c>
      <c r="P1193" s="33">
        <f>ROUNDUP(O1193+(O1193*Assumptions!O$18),-2)</f>
        <v>47300</v>
      </c>
      <c r="Q1193" s="33">
        <f>ROUNDUP(P1193+(P1193*Assumptions!P$18),-2)</f>
        <v>48300</v>
      </c>
      <c r="R1193" s="114">
        <f>ROUNDUP(Q1193+(Q1193*Assumptions!Q$18),-2)</f>
        <v>49300</v>
      </c>
    </row>
    <row r="1194" spans="1:18" ht="13.5" thickBot="1" x14ac:dyDescent="0.25">
      <c r="A1194" s="107"/>
      <c r="B1194" s="33"/>
      <c r="E1194" s="1955"/>
      <c r="F1194" s="366"/>
      <c r="G1194" s="2509"/>
      <c r="H1194" s="138"/>
      <c r="I1194" s="33"/>
      <c r="J1194" s="33"/>
      <c r="K1194" s="33"/>
      <c r="L1194" s="33"/>
      <c r="M1194" s="33"/>
      <c r="N1194" s="33"/>
      <c r="O1194" s="33"/>
      <c r="P1194" s="33"/>
      <c r="Q1194" s="33"/>
      <c r="R1194" s="114"/>
    </row>
    <row r="1195" spans="1:18" s="92" customFormat="1" x14ac:dyDescent="0.2">
      <c r="A1195" s="105">
        <f>SUM(A1170:A1194)</f>
        <v>655900</v>
      </c>
      <c r="B1195" s="53">
        <f>SUM(B1170:B1194)</f>
        <v>712100</v>
      </c>
      <c r="C1195" s="190">
        <f>SUM(C1170:C1194)</f>
        <v>783600</v>
      </c>
      <c r="D1195" s="190">
        <f>SUM(D1170:D1194)</f>
        <v>766900</v>
      </c>
      <c r="E1195" s="237"/>
      <c r="F1195" s="378" t="s">
        <v>565</v>
      </c>
      <c r="G1195" s="2510">
        <f t="shared" ref="G1195:O1195" si="1364">SUM(G1170:G1194)</f>
        <v>698800</v>
      </c>
      <c r="H1195" s="180">
        <f>IF(D1195=G1195,0,IF(D1195=0,100,(G1195-D1195)/D1195*100))</f>
        <v>-8.8799061155300567</v>
      </c>
      <c r="I1195" s="53">
        <f t="shared" si="1364"/>
        <v>750800</v>
      </c>
      <c r="J1195" s="53">
        <f t="shared" si="1364"/>
        <v>668600</v>
      </c>
      <c r="K1195" s="53">
        <f t="shared" si="1364"/>
        <v>786600</v>
      </c>
      <c r="L1195" s="53">
        <f t="shared" si="1364"/>
        <v>705000</v>
      </c>
      <c r="M1195" s="53">
        <f t="shared" si="1364"/>
        <v>822800</v>
      </c>
      <c r="N1195" s="53">
        <f t="shared" si="1364"/>
        <v>736900</v>
      </c>
      <c r="O1195" s="53">
        <f t="shared" si="1364"/>
        <v>857300</v>
      </c>
      <c r="P1195" s="53">
        <f t="shared" ref="P1195:Q1195" si="1365">SUM(P1170:P1194)</f>
        <v>770000</v>
      </c>
      <c r="Q1195" s="53">
        <f t="shared" si="1365"/>
        <v>892900</v>
      </c>
      <c r="R1195" s="113">
        <f t="shared" ref="R1195" si="1366">SUM(R1170:R1194)</f>
        <v>804100</v>
      </c>
    </row>
    <row r="1196" spans="1:18" x14ac:dyDescent="0.2">
      <c r="A1196" s="107"/>
      <c r="B1196" s="33"/>
      <c r="E1196" s="1955"/>
      <c r="F1196" s="366"/>
      <c r="G1196" s="2509"/>
      <c r="H1196" s="138"/>
      <c r="I1196" s="33"/>
      <c r="J1196" s="33"/>
      <c r="K1196" s="33"/>
      <c r="L1196" s="33"/>
      <c r="M1196" s="33"/>
      <c r="N1196" s="33"/>
      <c r="O1196" s="33"/>
      <c r="P1196" s="33"/>
      <c r="Q1196" s="33"/>
      <c r="R1196" s="114"/>
    </row>
    <row r="1197" spans="1:18" s="92" customFormat="1" x14ac:dyDescent="0.2">
      <c r="A1197" s="70">
        <f>A1168-A1195</f>
        <v>-281900</v>
      </c>
      <c r="B1197" s="64">
        <f>B1168-B1195</f>
        <v>-264600</v>
      </c>
      <c r="C1197" s="193">
        <f>C1168-C1195</f>
        <v>-304200</v>
      </c>
      <c r="D1197" s="193">
        <f>D1168-D1195</f>
        <v>-298800</v>
      </c>
      <c r="E1197" s="237"/>
      <c r="F1197" s="516" t="s">
        <v>1019</v>
      </c>
      <c r="G1197" s="2511">
        <f t="shared" ref="G1197:O1197" si="1367">G1168-G1195</f>
        <v>-167800</v>
      </c>
      <c r="H1197" s="179">
        <f>IF(D1197=G1197,0,IF(D1197=0,100,(G1197-D1197)/D1197*100))</f>
        <v>-43.842034805890229</v>
      </c>
      <c r="I1197" s="64">
        <f t="shared" si="1367"/>
        <v>-255800</v>
      </c>
      <c r="J1197" s="64">
        <f t="shared" si="1367"/>
        <v>-161000</v>
      </c>
      <c r="K1197" s="64">
        <f t="shared" si="1367"/>
        <v>-266100</v>
      </c>
      <c r="L1197" s="64">
        <f t="shared" si="1367"/>
        <v>-171400</v>
      </c>
      <c r="M1197" s="64">
        <f t="shared" si="1367"/>
        <v>-278400</v>
      </c>
      <c r="N1197" s="64">
        <f t="shared" si="1367"/>
        <v>-181300</v>
      </c>
      <c r="O1197" s="64">
        <f t="shared" si="1367"/>
        <v>-290400</v>
      </c>
      <c r="P1197" s="64">
        <f t="shared" ref="P1197:Q1197" si="1368">P1168-P1195</f>
        <v>-191500</v>
      </c>
      <c r="Q1197" s="64">
        <f t="shared" si="1368"/>
        <v>-302600</v>
      </c>
      <c r="R1197" s="115">
        <f t="shared" ref="R1197" si="1369">R1168-R1195</f>
        <v>-201800</v>
      </c>
    </row>
    <row r="1198" spans="1:18" x14ac:dyDescent="0.2">
      <c r="A1198" s="107">
        <f>SUM(A1192:A1194)</f>
        <v>25700</v>
      </c>
      <c r="B1198" s="33">
        <f>SUM(B1192:B1194)</f>
        <v>44000</v>
      </c>
      <c r="C1198" s="189">
        <f>SUM(C1192:C1194)</f>
        <v>38700</v>
      </c>
      <c r="D1198" s="189">
        <f>SUM(D1192:D1194)</f>
        <v>33500</v>
      </c>
      <c r="E1198" s="1955"/>
      <c r="F1198" s="372" t="s">
        <v>1976</v>
      </c>
      <c r="G1198" s="2509">
        <f t="shared" ref="G1198:O1198" si="1370">SUM(G1192:G1194)</f>
        <v>40000</v>
      </c>
      <c r="H1198" s="179">
        <f>IF(D1198=G1198,0,IF(D1198=0,100,(G1198-D1198)/D1198*100))</f>
        <v>19.402985074626866</v>
      </c>
      <c r="I1198" s="187">
        <f t="shared" si="1370"/>
        <v>40800</v>
      </c>
      <c r="J1198" s="187">
        <f t="shared" si="1370"/>
        <v>41700</v>
      </c>
      <c r="K1198" s="187">
        <f t="shared" si="1370"/>
        <v>42600</v>
      </c>
      <c r="L1198" s="187">
        <f t="shared" si="1370"/>
        <v>43500</v>
      </c>
      <c r="M1198" s="187">
        <f t="shared" si="1370"/>
        <v>44400</v>
      </c>
      <c r="N1198" s="187">
        <f t="shared" si="1370"/>
        <v>45300</v>
      </c>
      <c r="O1198" s="187">
        <f t="shared" si="1370"/>
        <v>46300</v>
      </c>
      <c r="P1198" s="187">
        <f t="shared" ref="P1198:Q1198" si="1371">SUM(P1192:P1194)</f>
        <v>47300</v>
      </c>
      <c r="Q1198" s="187">
        <f t="shared" si="1371"/>
        <v>48300</v>
      </c>
      <c r="R1198" s="188">
        <f t="shared" ref="R1198" si="1372">SUM(R1192:R1194)</f>
        <v>49300</v>
      </c>
    </row>
    <row r="1199" spans="1:18" s="92" customFormat="1" x14ac:dyDescent="0.2">
      <c r="A1199" s="181">
        <f>A1197+A1198</f>
        <v>-256200</v>
      </c>
      <c r="B1199" s="397">
        <f>B1197+B1198</f>
        <v>-220600</v>
      </c>
      <c r="C1199" s="398">
        <f>C1197+C1198</f>
        <v>-265500</v>
      </c>
      <c r="D1199" s="398">
        <f>D1197+D1198</f>
        <v>-265300</v>
      </c>
      <c r="E1199" s="523"/>
      <c r="F1199" s="518" t="s">
        <v>1687</v>
      </c>
      <c r="G1199" s="2607">
        <f t="shared" ref="G1199:O1199" si="1373">G1197+G1198</f>
        <v>-127800</v>
      </c>
      <c r="H1199" s="395">
        <f>IF(D1199=G1199,0,IF(D1199=0,100,(G1199-D1199)/D1199*100))</f>
        <v>-51.828119110441008</v>
      </c>
      <c r="I1199" s="728">
        <f t="shared" si="1373"/>
        <v>-215000</v>
      </c>
      <c r="J1199" s="728">
        <f t="shared" si="1373"/>
        <v>-119300</v>
      </c>
      <c r="K1199" s="728">
        <f t="shared" si="1373"/>
        <v>-223500</v>
      </c>
      <c r="L1199" s="728">
        <f t="shared" si="1373"/>
        <v>-127900</v>
      </c>
      <c r="M1199" s="728">
        <f t="shared" si="1373"/>
        <v>-234000</v>
      </c>
      <c r="N1199" s="728">
        <f t="shared" si="1373"/>
        <v>-136000</v>
      </c>
      <c r="O1199" s="728">
        <f t="shared" si="1373"/>
        <v>-244100</v>
      </c>
      <c r="P1199" s="728">
        <f t="shared" ref="P1199:Q1199" si="1374">P1197+P1198</f>
        <v>-144200</v>
      </c>
      <c r="Q1199" s="728">
        <f t="shared" si="1374"/>
        <v>-254300</v>
      </c>
      <c r="R1199" s="1716">
        <f t="shared" ref="R1199" si="1375">R1197+R1198</f>
        <v>-152500</v>
      </c>
    </row>
    <row r="1200" spans="1:18" ht="13.5" thickBot="1" x14ac:dyDescent="0.25">
      <c r="A1200" s="107"/>
      <c r="B1200" s="142"/>
      <c r="E1200" s="1955"/>
      <c r="F1200" s="366"/>
      <c r="G1200" s="2509"/>
      <c r="H1200" s="138"/>
      <c r="I1200" s="33"/>
      <c r="J1200" s="33"/>
      <c r="K1200" s="33"/>
      <c r="L1200" s="33"/>
      <c r="M1200" s="33"/>
      <c r="N1200" s="33"/>
      <c r="O1200" s="33"/>
      <c r="P1200" s="33"/>
      <c r="Q1200" s="33"/>
      <c r="R1200" s="114"/>
    </row>
    <row r="1201" spans="1:18" x14ac:dyDescent="0.2">
      <c r="A1201" s="105"/>
      <c r="B1201" s="155"/>
      <c r="C1201" s="190"/>
      <c r="D1201" s="190"/>
      <c r="E1201" s="1819"/>
      <c r="F1201" s="373"/>
      <c r="G1201" s="2510"/>
      <c r="H1201" s="180"/>
      <c r="I1201" s="169"/>
      <c r="J1201" s="169"/>
      <c r="K1201" s="169"/>
      <c r="L1201" s="169"/>
      <c r="M1201" s="169"/>
      <c r="N1201" s="169"/>
      <c r="O1201" s="169"/>
      <c r="P1201" s="169"/>
      <c r="Q1201" s="169"/>
      <c r="R1201" s="1717"/>
    </row>
    <row r="1202" spans="1:18" x14ac:dyDescent="0.2">
      <c r="A1202" s="70"/>
      <c r="B1202" s="128"/>
      <c r="C1202" s="193"/>
      <c r="D1202" s="193"/>
      <c r="E1202" s="238"/>
      <c r="F1202" s="516" t="s">
        <v>196</v>
      </c>
      <c r="G1202" s="197"/>
      <c r="H1202" s="179"/>
      <c r="I1202" s="33"/>
      <c r="J1202" s="33"/>
      <c r="K1202" s="33"/>
      <c r="L1202" s="33"/>
      <c r="M1202" s="33"/>
      <c r="N1202" s="33"/>
      <c r="O1202" s="33"/>
      <c r="P1202" s="33"/>
      <c r="Q1202" s="33"/>
      <c r="R1202" s="114"/>
    </row>
    <row r="1203" spans="1:18" x14ac:dyDescent="0.2">
      <c r="A1203" s="70"/>
      <c r="B1203" s="128"/>
      <c r="C1203" s="193"/>
      <c r="D1203" s="193"/>
      <c r="E1203" s="238"/>
      <c r="F1203" s="516"/>
      <c r="G1203" s="197"/>
      <c r="H1203" s="179"/>
      <c r="I1203" s="33"/>
      <c r="J1203" s="33"/>
      <c r="K1203" s="33"/>
      <c r="L1203" s="33"/>
      <c r="M1203" s="33"/>
      <c r="N1203" s="33"/>
      <c r="O1203" s="33"/>
      <c r="P1203" s="33"/>
      <c r="Q1203" s="33"/>
      <c r="R1203" s="114"/>
    </row>
    <row r="1204" spans="1:18" x14ac:dyDescent="0.2">
      <c r="A1204" s="107">
        <v>0</v>
      </c>
      <c r="B1204" s="142">
        <v>0</v>
      </c>
      <c r="C1204" s="189">
        <v>0</v>
      </c>
      <c r="D1204" s="189">
        <v>0</v>
      </c>
      <c r="E1204" s="238"/>
      <c r="F1204" s="366" t="s">
        <v>2900</v>
      </c>
      <c r="G1204" s="198">
        <v>0</v>
      </c>
      <c r="H1204" s="138"/>
      <c r="I1204" s="33">
        <v>0</v>
      </c>
      <c r="J1204" s="33">
        <v>0</v>
      </c>
      <c r="K1204" s="33">
        <v>0</v>
      </c>
      <c r="L1204" s="33">
        <v>0</v>
      </c>
      <c r="M1204" s="33">
        <v>0</v>
      </c>
      <c r="N1204" s="33">
        <v>0</v>
      </c>
      <c r="O1204" s="33">
        <v>0</v>
      </c>
      <c r="P1204" s="33">
        <v>0</v>
      </c>
      <c r="Q1204" s="33">
        <v>0</v>
      </c>
      <c r="R1204" s="114">
        <v>0</v>
      </c>
    </row>
    <row r="1205" spans="1:18" x14ac:dyDescent="0.2">
      <c r="A1205" s="107">
        <v>0</v>
      </c>
      <c r="B1205" s="142">
        <v>25300</v>
      </c>
      <c r="C1205" s="189">
        <v>144100</v>
      </c>
      <c r="D1205" s="189">
        <v>119000</v>
      </c>
      <c r="E1205" s="238"/>
      <c r="F1205" s="366" t="s">
        <v>1942</v>
      </c>
      <c r="G1205" s="198">
        <f>SUM('Res-Gen'!E180:E191)</f>
        <v>11600</v>
      </c>
      <c r="H1205" s="138"/>
      <c r="I1205" s="33">
        <f>'Res-Gen'!H192</f>
        <v>0</v>
      </c>
      <c r="J1205" s="33">
        <f>'Res-Gen'!K192</f>
        <v>50000</v>
      </c>
      <c r="K1205" s="33">
        <f>'Res-Gen'!N192</f>
        <v>50000</v>
      </c>
      <c r="L1205" s="33">
        <f>'Res-Gen'!Q192</f>
        <v>50000</v>
      </c>
      <c r="M1205" s="33">
        <f>'Res-Gen'!T192</f>
        <v>50000</v>
      </c>
      <c r="N1205" s="33">
        <f>'Res-Gen'!W192</f>
        <v>50000</v>
      </c>
      <c r="O1205" s="33">
        <f>'Res-Gen'!Z192</f>
        <v>50000</v>
      </c>
      <c r="P1205" s="33">
        <f>'Res-Gen'!AC192</f>
        <v>50000</v>
      </c>
      <c r="Q1205" s="33">
        <f>'Res-Gen'!AF192</f>
        <v>50000</v>
      </c>
      <c r="R1205" s="114">
        <f>'Res-Gen'!AI192</f>
        <v>50000</v>
      </c>
    </row>
    <row r="1206" spans="1:18" x14ac:dyDescent="0.2">
      <c r="A1206" s="107">
        <v>32800</v>
      </c>
      <c r="B1206" s="142">
        <v>0</v>
      </c>
      <c r="C1206" s="189">
        <v>196400</v>
      </c>
      <c r="D1206" s="189">
        <v>166000</v>
      </c>
      <c r="E1206" s="238"/>
      <c r="F1206" s="366" t="s">
        <v>2348</v>
      </c>
      <c r="G1206" s="198">
        <f>SUM('Cap-Gen'!Y153:Y163)</f>
        <v>244000</v>
      </c>
      <c r="H1206" s="138"/>
      <c r="I1206" s="189">
        <f>'Res-Gen'!I192</f>
        <v>0</v>
      </c>
      <c r="J1206" s="33">
        <f>'Res-Gen'!L192</f>
        <v>0</v>
      </c>
      <c r="K1206" s="33">
        <f>'Res-Gen'!O192</f>
        <v>100000</v>
      </c>
      <c r="L1206" s="33">
        <f>'Res-Gen'!R192</f>
        <v>0</v>
      </c>
      <c r="M1206" s="33">
        <f>'Res-Gen'!U192</f>
        <v>100000</v>
      </c>
      <c r="N1206" s="33">
        <f>'Res-Gen'!X192</f>
        <v>0</v>
      </c>
      <c r="O1206" s="33">
        <f>'Res-Gen'!AA192</f>
        <v>100000</v>
      </c>
      <c r="P1206" s="33">
        <f>'Res-Gen'!AD192</f>
        <v>0</v>
      </c>
      <c r="Q1206" s="33">
        <f>'Res-Gen'!AG192</f>
        <v>100000</v>
      </c>
      <c r="R1206" s="114">
        <f>'Res-Gen'!AJ192</f>
        <v>0</v>
      </c>
    </row>
    <row r="1207" spans="1:18" x14ac:dyDescent="0.2">
      <c r="A1207" s="107">
        <v>152900</v>
      </c>
      <c r="B1207" s="142">
        <v>33800</v>
      </c>
      <c r="C1207" s="189">
        <v>198000</v>
      </c>
      <c r="D1207" s="189">
        <f>SUM('Cap-Gen'!Q153:S163)</f>
        <v>0</v>
      </c>
      <c r="E1207" s="238"/>
      <c r="F1207" s="366" t="s">
        <v>5984</v>
      </c>
      <c r="G1207" s="198">
        <f>SUM('Cap-Gen'!V153:X163)</f>
        <v>820000</v>
      </c>
      <c r="H1207" s="138"/>
      <c r="I1207" s="189">
        <f>SUM('Cap-Gen'!AA153:AC163)</f>
        <v>125000</v>
      </c>
      <c r="J1207" s="33">
        <v>0</v>
      </c>
      <c r="K1207" s="33">
        <v>0</v>
      </c>
      <c r="L1207" s="33">
        <v>0</v>
      </c>
      <c r="M1207" s="33">
        <v>0</v>
      </c>
      <c r="N1207" s="33">
        <v>0</v>
      </c>
      <c r="O1207" s="33">
        <v>0</v>
      </c>
      <c r="P1207" s="33">
        <v>0</v>
      </c>
      <c r="Q1207" s="33">
        <v>0</v>
      </c>
      <c r="R1207" s="114">
        <v>0</v>
      </c>
    </row>
    <row r="1208" spans="1:18" x14ac:dyDescent="0.2">
      <c r="A1208" s="107">
        <v>260500</v>
      </c>
      <c r="B1208" s="142">
        <v>0</v>
      </c>
      <c r="C1208" s="189">
        <v>398100</v>
      </c>
      <c r="D1208" s="189">
        <f>SUM('Cap-Gen'!E153:E163)</f>
        <v>99500</v>
      </c>
      <c r="E1208" s="238"/>
      <c r="F1208" s="366" t="s">
        <v>972</v>
      </c>
      <c r="G1208" s="198">
        <f>SUM('Cap-Gen'!F153:F163)</f>
        <v>1134600</v>
      </c>
      <c r="H1208" s="138"/>
      <c r="I1208" s="33">
        <f>SUM('Cap-Gen'!G153:G163)</f>
        <v>200000</v>
      </c>
      <c r="J1208" s="33">
        <f>SUM('Cap-Gen'!H153:H163)</f>
        <v>0</v>
      </c>
      <c r="K1208" s="33">
        <f>SUM('Cap-Gen'!I153:I163)</f>
        <v>0</v>
      </c>
      <c r="L1208" s="33">
        <f>SUM('Cap-Gen'!J153:J163)</f>
        <v>0</v>
      </c>
      <c r="M1208" s="33">
        <f>SUM('Cap-Gen'!K153:K163)</f>
        <v>0</v>
      </c>
      <c r="N1208" s="33">
        <f>SUM('Cap-Gen'!L153:L163)</f>
        <v>0</v>
      </c>
      <c r="O1208" s="33">
        <f>SUM('Cap-Gen'!M153:M163)</f>
        <v>0</v>
      </c>
      <c r="P1208" s="33">
        <f>SUM('Cap-Gen'!N153:N163)</f>
        <v>0</v>
      </c>
      <c r="Q1208" s="33">
        <f>SUM('Cap-Gen'!O153:O163)</f>
        <v>0</v>
      </c>
      <c r="R1208" s="114">
        <f>SUM('Cap-Gen'!Q153:Q163)</f>
        <v>0</v>
      </c>
    </row>
    <row r="1209" spans="1:18" x14ac:dyDescent="0.2">
      <c r="A1209" s="107"/>
      <c r="B1209" s="142"/>
      <c r="E1209" s="238"/>
      <c r="F1209" s="516"/>
      <c r="G1209" s="198"/>
      <c r="H1209" s="138"/>
      <c r="I1209" s="33"/>
      <c r="J1209" s="33"/>
      <c r="K1209" s="33"/>
      <c r="L1209" s="33"/>
      <c r="M1209" s="33"/>
      <c r="N1209" s="33"/>
      <c r="O1209" s="33"/>
      <c r="P1209" s="33"/>
      <c r="Q1209" s="33"/>
      <c r="R1209" s="114"/>
    </row>
    <row r="1210" spans="1:18" s="92" customFormat="1" x14ac:dyDescent="0.2">
      <c r="A1210" s="181">
        <f>A1199-A1204-A1205+A1206++A1207-A1208</f>
        <v>-331000</v>
      </c>
      <c r="B1210" s="377">
        <f>B1199-B1204-B1205+B1206++B1207-B1208</f>
        <v>-212100</v>
      </c>
      <c r="C1210" s="398">
        <f>C1199-C1204-C1205+C1206++C1207-C1208</f>
        <v>-413300</v>
      </c>
      <c r="D1210" s="398">
        <f>D1199-D1204-D1205+D1206++D1207-D1208</f>
        <v>-317800</v>
      </c>
      <c r="E1210" s="526"/>
      <c r="F1210" s="518" t="s">
        <v>2490</v>
      </c>
      <c r="G1210" s="2605">
        <f t="shared" ref="G1210:O1210" si="1376">G1199-G1204-G1205+G1206++G1207-G1208</f>
        <v>-210000</v>
      </c>
      <c r="H1210" s="395">
        <f>IF(D1210=G1210,0,IF(D1210=0,100,(G1210-D1210)/D1210*100))</f>
        <v>-33.920704845814981</v>
      </c>
      <c r="I1210" s="397">
        <f t="shared" si="1376"/>
        <v>-290000</v>
      </c>
      <c r="J1210" s="397">
        <f t="shared" si="1376"/>
        <v>-169300</v>
      </c>
      <c r="K1210" s="397">
        <f t="shared" si="1376"/>
        <v>-173500</v>
      </c>
      <c r="L1210" s="397">
        <f t="shared" si="1376"/>
        <v>-177900</v>
      </c>
      <c r="M1210" s="397">
        <f t="shared" si="1376"/>
        <v>-184000</v>
      </c>
      <c r="N1210" s="397">
        <f t="shared" si="1376"/>
        <v>-186000</v>
      </c>
      <c r="O1210" s="397">
        <f t="shared" si="1376"/>
        <v>-194100</v>
      </c>
      <c r="P1210" s="397">
        <f t="shared" ref="P1210:Q1210" si="1377">P1199-P1204-P1205+P1206++P1207-P1208</f>
        <v>-194200</v>
      </c>
      <c r="Q1210" s="397">
        <f t="shared" si="1377"/>
        <v>-204300</v>
      </c>
      <c r="R1210" s="399">
        <f t="shared" ref="R1210" si="1378">R1199-R1204-R1205+R1206++R1207-R1208</f>
        <v>-202500</v>
      </c>
    </row>
    <row r="1211" spans="1:18" ht="13.5" thickBot="1" x14ac:dyDescent="0.25">
      <c r="A1211" s="73"/>
      <c r="B1211" s="134"/>
      <c r="C1211" s="195"/>
      <c r="D1211" s="195"/>
      <c r="E1211" s="239"/>
      <c r="F1211" s="368"/>
      <c r="G1211" s="2502"/>
      <c r="H1211" s="392"/>
      <c r="I1211" s="66"/>
      <c r="J1211" s="66"/>
      <c r="K1211" s="66"/>
      <c r="L1211" s="66"/>
      <c r="M1211" s="66"/>
      <c r="N1211" s="66"/>
      <c r="O1211" s="66"/>
      <c r="P1211" s="66"/>
      <c r="Q1211" s="66"/>
      <c r="R1211" s="165"/>
    </row>
    <row r="1212" spans="1:18" s="99" customFormat="1" ht="14.25" thickTop="1" thickBot="1" x14ac:dyDescent="0.25">
      <c r="C1212" s="198"/>
      <c r="D1212" s="198"/>
      <c r="E1212" s="238"/>
      <c r="G1212" s="198"/>
      <c r="H1212" s="123"/>
    </row>
    <row r="1213" spans="1:18" s="91" customFormat="1" ht="18.75" customHeight="1" thickTop="1" thickBot="1" x14ac:dyDescent="0.3">
      <c r="A1213" s="2873" t="s">
        <v>305</v>
      </c>
      <c r="B1213" s="2874"/>
      <c r="C1213" s="2874"/>
      <c r="D1213" s="2874"/>
      <c r="E1213" s="2874"/>
      <c r="F1213" s="2874"/>
      <c r="G1213" s="2874"/>
      <c r="H1213" s="2874"/>
      <c r="I1213" s="2874"/>
      <c r="J1213" s="2874"/>
      <c r="K1213" s="2874"/>
      <c r="L1213" s="2874"/>
      <c r="M1213" s="2874"/>
      <c r="N1213" s="2874"/>
      <c r="O1213" s="2874"/>
      <c r="P1213" s="2874"/>
      <c r="Q1213" s="2874"/>
      <c r="R1213" s="2875"/>
    </row>
    <row r="1214" spans="1:18" s="44" customFormat="1" x14ac:dyDescent="0.2">
      <c r="A1214" s="2848" t="s">
        <v>1856</v>
      </c>
      <c r="B1214" s="2840"/>
      <c r="C1214" s="2840"/>
      <c r="D1214" s="2849"/>
      <c r="E1214" s="369" t="s">
        <v>2663</v>
      </c>
      <c r="F1214" s="2649" t="s">
        <v>2251</v>
      </c>
      <c r="G1214" s="2885" t="s">
        <v>2253</v>
      </c>
      <c r="H1214" s="2886"/>
      <c r="I1214" s="2886"/>
      <c r="J1214" s="2886"/>
      <c r="K1214" s="2886"/>
      <c r="L1214" s="2886"/>
      <c r="M1214" s="2886"/>
      <c r="N1214" s="2886"/>
      <c r="O1214" s="2886"/>
      <c r="P1214" s="2886"/>
      <c r="Q1214" s="2886"/>
      <c r="R1214" s="2887"/>
    </row>
    <row r="1215" spans="1:18" s="23" customFormat="1" ht="12.75" customHeight="1" thickBot="1" x14ac:dyDescent="0.25">
      <c r="A1215" s="208" t="str">
        <f>A3</f>
        <v>2012/13</v>
      </c>
      <c r="B1215" s="75" t="str">
        <f>B3</f>
        <v>2013/14</v>
      </c>
      <c r="C1215" s="370" t="str">
        <f>C3</f>
        <v>2014/15</v>
      </c>
      <c r="D1215" s="93" t="str">
        <f>D3</f>
        <v>2015/16</v>
      </c>
      <c r="E1215" s="370" t="s">
        <v>2664</v>
      </c>
      <c r="F1215" s="42"/>
      <c r="G1215" s="93" t="str">
        <f>G3</f>
        <v>2016/17</v>
      </c>
      <c r="H1215" s="2193" t="str">
        <f>H1019</f>
        <v>%</v>
      </c>
      <c r="I1215" s="370" t="str">
        <f t="shared" ref="I1215:Q1215" si="1379">I3</f>
        <v>2017/18</v>
      </c>
      <c r="J1215" s="370" t="str">
        <f t="shared" si="1379"/>
        <v>2018/19</v>
      </c>
      <c r="K1215" s="370" t="str">
        <f t="shared" si="1379"/>
        <v>2019/20</v>
      </c>
      <c r="L1215" s="370" t="str">
        <f t="shared" si="1379"/>
        <v>2020/21</v>
      </c>
      <c r="M1215" s="370" t="str">
        <f t="shared" si="1379"/>
        <v>2021/22</v>
      </c>
      <c r="N1215" s="370" t="str">
        <f t="shared" si="1379"/>
        <v>2022/23</v>
      </c>
      <c r="O1215" s="370" t="str">
        <f t="shared" si="1379"/>
        <v>2023/24</v>
      </c>
      <c r="P1215" s="370" t="str">
        <f t="shared" si="1379"/>
        <v>2024/25</v>
      </c>
      <c r="Q1215" s="218" t="str">
        <f t="shared" si="1379"/>
        <v>2025/26</v>
      </c>
      <c r="R1215" s="549" t="str">
        <f t="shared" ref="R1215" si="1380">R3</f>
        <v>2026/27</v>
      </c>
    </row>
    <row r="1216" spans="1:18" x14ac:dyDescent="0.2">
      <c r="A1216" s="98"/>
      <c r="B1216" s="33"/>
      <c r="C1216" s="187"/>
      <c r="D1216" s="187"/>
      <c r="E1216" s="1954"/>
      <c r="F1216" s="76"/>
      <c r="G1216" s="187"/>
      <c r="H1216" s="138"/>
      <c r="I1216" s="33"/>
      <c r="J1216" s="33"/>
      <c r="K1216" s="33"/>
      <c r="L1216" s="33"/>
      <c r="M1216" s="33"/>
      <c r="N1216" s="33"/>
      <c r="O1216" s="33"/>
      <c r="P1216" s="33"/>
      <c r="Q1216" s="33"/>
      <c r="R1216" s="114"/>
    </row>
    <row r="1217" spans="1:18" x14ac:dyDescent="0.2">
      <c r="A1217" s="98"/>
      <c r="B1217" s="33"/>
      <c r="C1217" s="187"/>
      <c r="D1217" s="187"/>
      <c r="E1217" s="1954"/>
      <c r="F1217" s="103" t="s">
        <v>1073</v>
      </c>
      <c r="G1217" s="187"/>
      <c r="H1217" s="138"/>
      <c r="I1217" s="33"/>
      <c r="J1217" s="33"/>
      <c r="K1217" s="33"/>
      <c r="L1217" s="33"/>
      <c r="M1217" s="33"/>
      <c r="N1217" s="33"/>
      <c r="O1217" s="33"/>
      <c r="P1217" s="33"/>
      <c r="Q1217" s="33"/>
      <c r="R1217" s="114"/>
    </row>
    <row r="1218" spans="1:18" ht="12" customHeight="1" x14ac:dyDescent="0.2">
      <c r="A1218" s="98"/>
      <c r="B1218" s="33"/>
      <c r="E1218" s="1954"/>
      <c r="F1218" s="2532"/>
      <c r="G1218" s="187"/>
      <c r="H1218" s="138"/>
      <c r="I1218" s="33"/>
      <c r="J1218" s="33"/>
      <c r="K1218" s="33"/>
      <c r="L1218" s="33"/>
      <c r="M1218" s="33"/>
      <c r="N1218" s="33"/>
      <c r="O1218" s="33"/>
      <c r="P1218" s="33"/>
      <c r="Q1218" s="33"/>
      <c r="R1218" s="114"/>
    </row>
    <row r="1219" spans="1:18" ht="12.6" customHeight="1" x14ac:dyDescent="0.2">
      <c r="A1219" s="107"/>
      <c r="B1219" s="33"/>
      <c r="E1219" s="440"/>
      <c r="F1219" s="6" t="s">
        <v>307</v>
      </c>
      <c r="G1219" s="187"/>
      <c r="H1219" s="138"/>
      <c r="I1219" s="33"/>
      <c r="J1219" s="33"/>
      <c r="K1219" s="33"/>
      <c r="L1219" s="33"/>
      <c r="M1219" s="33"/>
      <c r="N1219" s="33"/>
      <c r="O1219" s="33"/>
      <c r="P1219" s="33"/>
      <c r="Q1219" s="33"/>
      <c r="R1219" s="114"/>
    </row>
    <row r="1220" spans="1:18" ht="12.6" customHeight="1" x14ac:dyDescent="0.2">
      <c r="A1220" s="107">
        <v>68500</v>
      </c>
      <c r="B1220" s="33">
        <v>0</v>
      </c>
      <c r="C1220" s="189">
        <v>0</v>
      </c>
      <c r="D1220" s="189">
        <f>D1235</f>
        <v>0</v>
      </c>
      <c r="E1220" s="658" t="s">
        <v>1883</v>
      </c>
      <c r="F1220" s="3" t="s">
        <v>780</v>
      </c>
      <c r="G1220" s="187">
        <f t="shared" ref="G1220:O1220" si="1381">G1235</f>
        <v>0</v>
      </c>
      <c r="H1220" s="138">
        <f>IF(D1220=G1220,0,IF(D1220=0,100,(G1220-D1220)/D1220*100))</f>
        <v>0</v>
      </c>
      <c r="I1220" s="33">
        <f t="shared" si="1381"/>
        <v>0</v>
      </c>
      <c r="J1220" s="33">
        <f t="shared" si="1381"/>
        <v>0</v>
      </c>
      <c r="K1220" s="33">
        <f t="shared" si="1381"/>
        <v>0</v>
      </c>
      <c r="L1220" s="33">
        <f t="shared" si="1381"/>
        <v>0</v>
      </c>
      <c r="M1220" s="33">
        <f t="shared" si="1381"/>
        <v>0</v>
      </c>
      <c r="N1220" s="33">
        <f t="shared" si="1381"/>
        <v>0</v>
      </c>
      <c r="O1220" s="33">
        <f t="shared" si="1381"/>
        <v>0</v>
      </c>
      <c r="P1220" s="33">
        <f t="shared" ref="P1220:Q1220" si="1382">P1235</f>
        <v>0</v>
      </c>
      <c r="Q1220" s="33">
        <f t="shared" si="1382"/>
        <v>0</v>
      </c>
      <c r="R1220" s="114">
        <f t="shared" ref="R1220" si="1383">R1235</f>
        <v>0</v>
      </c>
    </row>
    <row r="1221" spans="1:18" ht="12.6" customHeight="1" x14ac:dyDescent="0.2">
      <c r="A1221" s="107">
        <v>46900</v>
      </c>
      <c r="B1221" s="33">
        <v>0</v>
      </c>
      <c r="C1221" s="189">
        <v>0</v>
      </c>
      <c r="D1221" s="189">
        <f>D1232</f>
        <v>0</v>
      </c>
      <c r="E1221" s="658" t="s">
        <v>1879</v>
      </c>
      <c r="F1221" s="3" t="s">
        <v>2175</v>
      </c>
      <c r="G1221" s="187">
        <f t="shared" ref="G1221:O1221" si="1384">G1232</f>
        <v>0</v>
      </c>
      <c r="H1221" s="138">
        <f>IF(D1221=G1221,0,IF(D1221=0,100,(G1221-D1221)/D1221*100))</f>
        <v>0</v>
      </c>
      <c r="I1221" s="33">
        <f t="shared" si="1384"/>
        <v>0</v>
      </c>
      <c r="J1221" s="33">
        <f t="shared" si="1384"/>
        <v>0</v>
      </c>
      <c r="K1221" s="33">
        <f t="shared" si="1384"/>
        <v>0</v>
      </c>
      <c r="L1221" s="33">
        <f t="shared" si="1384"/>
        <v>0</v>
      </c>
      <c r="M1221" s="33">
        <f t="shared" si="1384"/>
        <v>0</v>
      </c>
      <c r="N1221" s="33">
        <f t="shared" si="1384"/>
        <v>0</v>
      </c>
      <c r="O1221" s="33">
        <f t="shared" si="1384"/>
        <v>0</v>
      </c>
      <c r="P1221" s="33">
        <f t="shared" ref="P1221:Q1221" si="1385">P1232</f>
        <v>0</v>
      </c>
      <c r="Q1221" s="33">
        <f t="shared" si="1385"/>
        <v>0</v>
      </c>
      <c r="R1221" s="114">
        <f t="shared" ref="R1221" si="1386">R1232</f>
        <v>0</v>
      </c>
    </row>
    <row r="1222" spans="1:18" ht="12.6" customHeight="1" x14ac:dyDescent="0.2">
      <c r="A1222" s="107"/>
      <c r="B1222" s="33"/>
      <c r="E1222" s="658"/>
      <c r="F1222" s="3"/>
      <c r="G1222" s="187"/>
      <c r="H1222" s="138"/>
      <c r="I1222" s="33"/>
      <c r="J1222" s="33"/>
      <c r="K1222" s="33"/>
      <c r="L1222" s="33"/>
      <c r="M1222" s="33"/>
      <c r="N1222" s="33"/>
      <c r="O1222" s="33"/>
      <c r="P1222" s="33"/>
      <c r="Q1222" s="33"/>
      <c r="R1222" s="114"/>
    </row>
    <row r="1223" spans="1:18" ht="12.6" customHeight="1" x14ac:dyDescent="0.2">
      <c r="A1223" s="107"/>
      <c r="B1223" s="33"/>
      <c r="E1223" s="658"/>
      <c r="F1223" s="6" t="s">
        <v>2055</v>
      </c>
      <c r="G1223" s="187"/>
      <c r="H1223" s="138"/>
      <c r="I1223" s="33"/>
      <c r="J1223" s="33"/>
      <c r="K1223" s="33"/>
      <c r="L1223" s="33"/>
      <c r="M1223" s="33"/>
      <c r="N1223" s="33"/>
      <c r="O1223" s="33"/>
      <c r="P1223" s="33"/>
      <c r="Q1223" s="33"/>
      <c r="R1223" s="114"/>
    </row>
    <row r="1224" spans="1:18" ht="12.6" customHeight="1" x14ac:dyDescent="0.2">
      <c r="A1224" s="107">
        <v>562000</v>
      </c>
      <c r="B1224" s="33">
        <v>926000</v>
      </c>
      <c r="C1224" s="189">
        <f>861000-2000+7500</f>
        <v>866500</v>
      </c>
      <c r="D1224" s="189">
        <v>876000</v>
      </c>
      <c r="E1224" s="658" t="s">
        <v>649</v>
      </c>
      <c r="F1224" s="3" t="s">
        <v>1878</v>
      </c>
      <c r="G1224" s="187">
        <f>SUM(G1238:G1250)-103100+40000+120000-72700</f>
        <v>893000</v>
      </c>
      <c r="H1224" s="138">
        <f>IF(D1224=G1224,0,IF(D1224=0,100,(G1224-D1224)/D1224*100))</f>
        <v>1.9406392694063925</v>
      </c>
      <c r="I1224" s="33">
        <f t="shared" ref="I1224:Q1224" si="1387">SUM(I1238:I1250)</f>
        <v>744600</v>
      </c>
      <c r="J1224" s="33">
        <f t="shared" si="1387"/>
        <v>763500</v>
      </c>
      <c r="K1224" s="33">
        <f t="shared" si="1387"/>
        <v>783100</v>
      </c>
      <c r="L1224" s="33">
        <f t="shared" si="1387"/>
        <v>803100</v>
      </c>
      <c r="M1224" s="33">
        <f t="shared" si="1387"/>
        <v>819600</v>
      </c>
      <c r="N1224" s="33">
        <f t="shared" si="1387"/>
        <v>836500</v>
      </c>
      <c r="O1224" s="33">
        <f t="shared" si="1387"/>
        <v>853800</v>
      </c>
      <c r="P1224" s="33">
        <f t="shared" si="1387"/>
        <v>871300</v>
      </c>
      <c r="Q1224" s="33">
        <f t="shared" si="1387"/>
        <v>889200</v>
      </c>
      <c r="R1224" s="114">
        <f t="shared" ref="R1224" si="1388">SUM(R1238:R1250)</f>
        <v>907400</v>
      </c>
    </row>
    <row r="1225" spans="1:18" ht="12.6" customHeight="1" x14ac:dyDescent="0.2">
      <c r="A1225" s="107"/>
      <c r="B1225" s="33"/>
      <c r="E1225" s="658"/>
      <c r="F1225" s="1099" t="s">
        <v>7150</v>
      </c>
      <c r="G1225" s="187">
        <v>77000</v>
      </c>
      <c r="H1225" s="138"/>
      <c r="I1225" s="33"/>
      <c r="J1225" s="33"/>
      <c r="K1225" s="33"/>
      <c r="L1225" s="33"/>
      <c r="M1225" s="33"/>
      <c r="N1225" s="33"/>
      <c r="O1225" s="33"/>
      <c r="P1225" s="33"/>
      <c r="Q1225" s="33"/>
      <c r="R1225" s="114"/>
    </row>
    <row r="1226" spans="1:18" ht="13.5" thickBot="1" x14ac:dyDescent="0.25">
      <c r="A1226" s="107"/>
      <c r="B1226" s="33"/>
      <c r="C1226" s="187"/>
      <c r="D1226" s="187"/>
      <c r="E1226" s="658"/>
      <c r="F1226" s="76"/>
      <c r="G1226" s="187"/>
      <c r="H1226" s="138"/>
      <c r="I1226" s="33"/>
      <c r="J1226" s="33"/>
      <c r="K1226" s="33"/>
      <c r="L1226" s="33"/>
      <c r="M1226" s="33"/>
      <c r="N1226" s="33"/>
      <c r="O1226" s="33"/>
      <c r="P1226" s="33"/>
      <c r="Q1226" s="33"/>
      <c r="R1226" s="114"/>
    </row>
    <row r="1227" spans="1:18" s="92" customFormat="1" x14ac:dyDescent="0.2">
      <c r="A1227" s="105">
        <f>SUM(A1217:A1226)</f>
        <v>677400</v>
      </c>
      <c r="B1227" s="53">
        <f>SUM(B1217:B1226)</f>
        <v>926000</v>
      </c>
      <c r="C1227" s="199">
        <f>SUM(C1217:C1226)</f>
        <v>866500</v>
      </c>
      <c r="D1227" s="199">
        <f>SUM(D1217:D1226)</f>
        <v>876000</v>
      </c>
      <c r="E1227" s="658"/>
      <c r="F1227" s="1960" t="s">
        <v>2605</v>
      </c>
      <c r="G1227" s="199">
        <f>SUM(G1217:G1226)</f>
        <v>970000</v>
      </c>
      <c r="H1227" s="180">
        <f>IF(D1227=G1227,0,IF(D1227=0,100,(G1227-D1227)/D1227*100))</f>
        <v>10.730593607305936</v>
      </c>
      <c r="I1227" s="53">
        <f t="shared" ref="I1227:R1227" si="1389">SUM(I1217:I1226)</f>
        <v>744600</v>
      </c>
      <c r="J1227" s="53">
        <f t="shared" si="1389"/>
        <v>763500</v>
      </c>
      <c r="K1227" s="53">
        <f t="shared" si="1389"/>
        <v>783100</v>
      </c>
      <c r="L1227" s="53">
        <f t="shared" si="1389"/>
        <v>803100</v>
      </c>
      <c r="M1227" s="53">
        <f t="shared" si="1389"/>
        <v>819600</v>
      </c>
      <c r="N1227" s="53">
        <f t="shared" si="1389"/>
        <v>836500</v>
      </c>
      <c r="O1227" s="53">
        <f t="shared" si="1389"/>
        <v>853800</v>
      </c>
      <c r="P1227" s="53">
        <f t="shared" si="1389"/>
        <v>871300</v>
      </c>
      <c r="Q1227" s="53">
        <f t="shared" si="1389"/>
        <v>889200</v>
      </c>
      <c r="R1227" s="113">
        <f t="shared" si="1389"/>
        <v>907400</v>
      </c>
    </row>
    <row r="1228" spans="1:18" x14ac:dyDescent="0.2">
      <c r="A1228" s="98"/>
      <c r="B1228" s="33"/>
      <c r="C1228" s="187"/>
      <c r="D1228" s="187"/>
      <c r="E1228" s="1954"/>
      <c r="F1228" s="79"/>
      <c r="G1228" s="187"/>
      <c r="H1228" s="138"/>
      <c r="I1228" s="33"/>
      <c r="J1228" s="33"/>
      <c r="K1228" s="33"/>
      <c r="L1228" s="33"/>
      <c r="M1228" s="33"/>
      <c r="N1228" s="33"/>
      <c r="O1228" s="33"/>
      <c r="P1228" s="33"/>
      <c r="Q1228" s="33"/>
      <c r="R1228" s="114"/>
    </row>
    <row r="1229" spans="1:18" ht="12.75" customHeight="1" x14ac:dyDescent="0.2">
      <c r="A1229" s="98"/>
      <c r="B1229" s="33"/>
      <c r="C1229" s="187"/>
      <c r="D1229" s="187"/>
      <c r="E1229" s="1954"/>
      <c r="F1229" s="103" t="s">
        <v>2205</v>
      </c>
      <c r="G1229" s="187"/>
      <c r="H1229" s="138"/>
      <c r="I1229" s="33"/>
      <c r="J1229" s="33"/>
      <c r="K1229" s="33"/>
      <c r="L1229" s="33"/>
      <c r="M1229" s="33"/>
      <c r="N1229" s="33"/>
      <c r="O1229" s="33"/>
      <c r="P1229" s="33"/>
      <c r="Q1229" s="33"/>
      <c r="R1229" s="114"/>
    </row>
    <row r="1230" spans="1:18" ht="12.75" customHeight="1" x14ac:dyDescent="0.2">
      <c r="A1230" s="98"/>
      <c r="B1230" s="33"/>
      <c r="C1230" s="187"/>
      <c r="D1230" s="187"/>
      <c r="E1230" s="1954"/>
      <c r="F1230" s="103"/>
      <c r="G1230" s="187"/>
      <c r="H1230" s="138"/>
      <c r="I1230" s="33"/>
      <c r="J1230" s="33"/>
      <c r="K1230" s="33"/>
      <c r="L1230" s="33"/>
      <c r="M1230" s="33"/>
      <c r="N1230" s="33"/>
      <c r="O1230" s="33"/>
      <c r="P1230" s="33"/>
      <c r="Q1230" s="33"/>
      <c r="R1230" s="114"/>
    </row>
    <row r="1231" spans="1:18" ht="12.75" customHeight="1" x14ac:dyDescent="0.2">
      <c r="A1231" s="107"/>
      <c r="B1231" s="33"/>
      <c r="E1231" s="437"/>
      <c r="F1231" s="6" t="s">
        <v>2591</v>
      </c>
      <c r="G1231" s="187"/>
      <c r="H1231" s="138"/>
      <c r="I1231" s="33"/>
      <c r="J1231" s="33"/>
      <c r="K1231" s="33"/>
      <c r="L1231" s="33"/>
      <c r="M1231" s="33"/>
      <c r="N1231" s="33"/>
      <c r="O1231" s="33"/>
      <c r="P1231" s="33"/>
      <c r="Q1231" s="33"/>
      <c r="R1231" s="114"/>
    </row>
    <row r="1232" spans="1:18" ht="12.75" customHeight="1" x14ac:dyDescent="0.2">
      <c r="A1232" s="107">
        <v>98300</v>
      </c>
      <c r="B1232" s="33">
        <v>0</v>
      </c>
      <c r="C1232" s="189">
        <v>0</v>
      </c>
      <c r="D1232" s="189">
        <v>0</v>
      </c>
      <c r="E1232" s="658" t="s">
        <v>716</v>
      </c>
      <c r="F1232" s="3" t="s">
        <v>2591</v>
      </c>
      <c r="G1232" s="187">
        <v>0</v>
      </c>
      <c r="H1232" s="138">
        <f>IF(D1232=G1232,0,IF(D1232=0,100,(G1232-D1232)/D1232*100))</f>
        <v>0</v>
      </c>
      <c r="I1232" s="33">
        <f>ROUNDUP(G1232+(G1232*Assumptions!H$5),-2)</f>
        <v>0</v>
      </c>
      <c r="J1232" s="33">
        <f>ROUNDUP(I1232+(I1232*Assumptions!I$5),-2)</f>
        <v>0</v>
      </c>
      <c r="K1232" s="33">
        <f>ROUNDUP(J1232+(J1232*Assumptions!J$5),-2)</f>
        <v>0</v>
      </c>
      <c r="L1232" s="33">
        <f>ROUNDUP(K1232+(K1232*Assumptions!K$5),-2)</f>
        <v>0</v>
      </c>
      <c r="M1232" s="33">
        <f>ROUNDUP(L1232+(L1232*Assumptions!L$5),-2)</f>
        <v>0</v>
      </c>
      <c r="N1232" s="33">
        <f>ROUNDUP(M1232+(M1232*Assumptions!M$5),-2)</f>
        <v>0</v>
      </c>
      <c r="O1232" s="33">
        <f>ROUNDUP(N1232+(N1232*Assumptions!N$5),-2)</f>
        <v>0</v>
      </c>
      <c r="P1232" s="33">
        <f>ROUNDUP(O1232+(O1232*Assumptions!O$5),-2)</f>
        <v>0</v>
      </c>
      <c r="Q1232" s="33">
        <f>ROUNDUP(P1232+(P1232*Assumptions!P$5),-2)</f>
        <v>0</v>
      </c>
      <c r="R1232" s="114">
        <f>ROUNDUP(Q1232+(Q1232*Assumptions!Q$5),-2)</f>
        <v>0</v>
      </c>
    </row>
    <row r="1233" spans="1:18" ht="12.75" customHeight="1" x14ac:dyDescent="0.2">
      <c r="A1233" s="107"/>
      <c r="B1233" s="33"/>
      <c r="E1233" s="445"/>
      <c r="F1233" s="3"/>
      <c r="G1233" s="187"/>
      <c r="H1233" s="138"/>
      <c r="I1233" s="33"/>
      <c r="J1233" s="33"/>
      <c r="K1233" s="33"/>
      <c r="L1233" s="33"/>
      <c r="M1233" s="33"/>
      <c r="N1233" s="33"/>
      <c r="O1233" s="33"/>
      <c r="P1233" s="33"/>
      <c r="Q1233" s="33"/>
      <c r="R1233" s="114"/>
    </row>
    <row r="1234" spans="1:18" ht="12.75" customHeight="1" x14ac:dyDescent="0.2">
      <c r="A1234" s="107"/>
      <c r="B1234" s="33"/>
      <c r="E1234" s="437"/>
      <c r="F1234" s="6" t="s">
        <v>113</v>
      </c>
      <c r="G1234" s="187"/>
      <c r="H1234" s="138"/>
      <c r="I1234" s="33"/>
      <c r="J1234" s="33"/>
      <c r="K1234" s="33"/>
      <c r="L1234" s="33"/>
      <c r="M1234" s="33"/>
      <c r="N1234" s="33"/>
      <c r="O1234" s="33"/>
      <c r="P1234" s="33"/>
      <c r="Q1234" s="33"/>
      <c r="R1234" s="114"/>
    </row>
    <row r="1235" spans="1:18" ht="12.75" customHeight="1" x14ac:dyDescent="0.2">
      <c r="A1235" s="107">
        <v>21000</v>
      </c>
      <c r="B1235" s="33">
        <v>0</v>
      </c>
      <c r="C1235" s="189">
        <v>0</v>
      </c>
      <c r="D1235" s="189">
        <v>0</v>
      </c>
      <c r="E1235" s="658" t="s">
        <v>1347</v>
      </c>
      <c r="F1235" s="443" t="s">
        <v>304</v>
      </c>
      <c r="G1235" s="198">
        <v>0</v>
      </c>
      <c r="H1235" s="138">
        <f>IF(D1235=G1235,0,IF(D1235=0,100,(G1235-D1235)/D1235*100))</f>
        <v>0</v>
      </c>
      <c r="I1235" s="33">
        <f>ROUNDUP(G1235+(G1235*Assumptions!H$5),-2)</f>
        <v>0</v>
      </c>
      <c r="J1235" s="33">
        <f>ROUNDUP(I1235+(I1235*Assumptions!I$5),-2)</f>
        <v>0</v>
      </c>
      <c r="K1235" s="33">
        <f>ROUNDUP(J1235+(J1235*Assumptions!J$5),-2)</f>
        <v>0</v>
      </c>
      <c r="L1235" s="33">
        <f>ROUNDUP(K1235+(K1235*Assumptions!K$5),-2)</f>
        <v>0</v>
      </c>
      <c r="M1235" s="33">
        <f>ROUNDUP(L1235+(L1235*Assumptions!L$5),-2)</f>
        <v>0</v>
      </c>
      <c r="N1235" s="33">
        <f>ROUNDUP(M1235+(M1235*Assumptions!M$5),-2)</f>
        <v>0</v>
      </c>
      <c r="O1235" s="33">
        <f>ROUNDUP(N1235+(N1235*Assumptions!N$5),-2)</f>
        <v>0</v>
      </c>
      <c r="P1235" s="33">
        <f>ROUNDUP(O1235+(O1235*Assumptions!O$5),-2)</f>
        <v>0</v>
      </c>
      <c r="Q1235" s="33">
        <f>ROUNDUP(P1235+(P1235*Assumptions!P$5),-2)</f>
        <v>0</v>
      </c>
      <c r="R1235" s="114">
        <f>ROUNDUP(Q1235+(Q1235*Assumptions!Q$5),-2)</f>
        <v>0</v>
      </c>
    </row>
    <row r="1236" spans="1:18" ht="12.75" customHeight="1" x14ac:dyDescent="0.2">
      <c r="A1236" s="107"/>
      <c r="B1236" s="33"/>
      <c r="E1236" s="658"/>
      <c r="F1236" s="443"/>
      <c r="G1236" s="198"/>
      <c r="H1236" s="138"/>
      <c r="I1236" s="33"/>
      <c r="J1236" s="33"/>
      <c r="K1236" s="33"/>
      <c r="L1236" s="33"/>
      <c r="M1236" s="33"/>
      <c r="N1236" s="33"/>
      <c r="O1236" s="33"/>
      <c r="P1236" s="33"/>
      <c r="Q1236" s="33"/>
      <c r="R1236" s="114"/>
    </row>
    <row r="1237" spans="1:18" ht="12.75" customHeight="1" x14ac:dyDescent="0.2">
      <c r="A1237" s="107"/>
      <c r="B1237" s="33"/>
      <c r="E1237" s="658"/>
      <c r="F1237" s="439" t="s">
        <v>894</v>
      </c>
      <c r="G1237" s="198"/>
      <c r="H1237" s="138"/>
      <c r="I1237" s="33"/>
      <c r="J1237" s="33"/>
      <c r="K1237" s="33"/>
      <c r="L1237" s="33"/>
      <c r="M1237" s="33"/>
      <c r="N1237" s="33"/>
      <c r="O1237" s="33"/>
      <c r="P1237" s="33"/>
      <c r="Q1237" s="33"/>
      <c r="R1237" s="114"/>
    </row>
    <row r="1238" spans="1:18" ht="12.75" customHeight="1" x14ac:dyDescent="0.2">
      <c r="A1238" s="107">
        <v>48300</v>
      </c>
      <c r="B1238" s="33">
        <f>128400-108100</f>
        <v>20300</v>
      </c>
      <c r="C1238" s="189">
        <v>0</v>
      </c>
      <c r="D1238" s="189">
        <v>0</v>
      </c>
      <c r="E1238" s="658" t="s">
        <v>774</v>
      </c>
      <c r="F1238" s="443" t="s">
        <v>773</v>
      </c>
      <c r="G1238" s="198">
        <v>0</v>
      </c>
      <c r="H1238" s="138">
        <f t="shared" ref="H1238:H1248" si="1390">IF(D1238=G1238,0,IF(D1238=0,100,(G1238-D1238)/D1238*100))</f>
        <v>0</v>
      </c>
      <c r="I1238" s="33">
        <f>ROUNDUP(G1238+(G1238*Assumptions!H$5),-2)</f>
        <v>0</v>
      </c>
      <c r="J1238" s="33">
        <f>ROUNDUP(I1238+(I1238*Assumptions!I$5),-2)</f>
        <v>0</v>
      </c>
      <c r="K1238" s="33">
        <f>ROUNDUP(J1238+(J1238*Assumptions!J$5),-2)</f>
        <v>0</v>
      </c>
      <c r="L1238" s="33">
        <f>ROUNDUP(K1238+(K1238*Assumptions!K$5),-2)</f>
        <v>0</v>
      </c>
      <c r="M1238" s="33">
        <f>ROUNDUP(L1238+(L1238*Assumptions!L$5),-2)</f>
        <v>0</v>
      </c>
      <c r="N1238" s="33">
        <f>ROUNDUP(M1238+(M1238*Assumptions!M$5),-2)</f>
        <v>0</v>
      </c>
      <c r="O1238" s="33">
        <f>ROUNDUP(N1238+(N1238*Assumptions!N$5),-2)</f>
        <v>0</v>
      </c>
      <c r="P1238" s="33">
        <f>ROUNDUP(O1238+(O1238*Assumptions!O$5),-2)</f>
        <v>0</v>
      </c>
      <c r="Q1238" s="33">
        <f>ROUNDUP(P1238+(P1238*Assumptions!P$5),-2)</f>
        <v>0</v>
      </c>
      <c r="R1238" s="114">
        <f>ROUNDUP(Q1238+(Q1238*Assumptions!Q$5),-2)</f>
        <v>0</v>
      </c>
    </row>
    <row r="1239" spans="1:18" ht="12.75" customHeight="1" x14ac:dyDescent="0.2">
      <c r="A1239" s="107">
        <v>51200</v>
      </c>
      <c r="B1239" s="33">
        <v>88400</v>
      </c>
      <c r="C1239" s="189">
        <v>114500</v>
      </c>
      <c r="D1239" s="189">
        <v>104100</v>
      </c>
      <c r="E1239" s="658" t="s">
        <v>748</v>
      </c>
      <c r="F1239" s="443" t="s">
        <v>2673</v>
      </c>
      <c r="G1239" s="198">
        <v>102000</v>
      </c>
      <c r="H1239" s="138">
        <f t="shared" si="1390"/>
        <v>-2.0172910662824206</v>
      </c>
      <c r="I1239" s="33">
        <f>ROUNDUP(G1239+(G1239*Assumptions!H$5),-2)</f>
        <v>103600</v>
      </c>
      <c r="J1239" s="33">
        <f>ROUNDUP(I1239+(I1239*Assumptions!I$5),-2)</f>
        <v>106200</v>
      </c>
      <c r="K1239" s="33">
        <f>ROUNDUP(J1239+(J1239*Assumptions!J$5),-2)</f>
        <v>108900</v>
      </c>
      <c r="L1239" s="33">
        <f>ROUNDUP(K1239+(K1239*Assumptions!K$5),-2)</f>
        <v>111700</v>
      </c>
      <c r="M1239" s="33">
        <f>ROUNDUP(L1239+(L1239*Assumptions!L$5),-2)</f>
        <v>114000</v>
      </c>
      <c r="N1239" s="33">
        <f>ROUNDUP(M1239+(M1239*Assumptions!M$5),-2)</f>
        <v>116300</v>
      </c>
      <c r="O1239" s="33">
        <f>ROUNDUP(N1239+(N1239*Assumptions!N$5),-2)</f>
        <v>118700</v>
      </c>
      <c r="P1239" s="33">
        <f>ROUNDUP(O1239+(O1239*Assumptions!O$5),-2)</f>
        <v>121100</v>
      </c>
      <c r="Q1239" s="33">
        <f>ROUNDUP(P1239+(P1239*Assumptions!P$5),-2)</f>
        <v>123600</v>
      </c>
      <c r="R1239" s="114">
        <f>ROUNDUP(Q1239+(Q1239*Assumptions!Q$5),-2)</f>
        <v>126100</v>
      </c>
    </row>
    <row r="1240" spans="1:18" ht="12.75" customHeight="1" x14ac:dyDescent="0.2">
      <c r="A1240" s="107">
        <v>0</v>
      </c>
      <c r="B1240" s="33">
        <v>0</v>
      </c>
      <c r="C1240" s="189">
        <v>0</v>
      </c>
      <c r="D1240" s="189">
        <v>0</v>
      </c>
      <c r="E1240" s="1092" t="s">
        <v>5553</v>
      </c>
      <c r="F1240" s="890" t="s">
        <v>2673</v>
      </c>
      <c r="G1240" s="187">
        <v>103100</v>
      </c>
      <c r="H1240" s="138">
        <f t="shared" si="1390"/>
        <v>100</v>
      </c>
      <c r="I1240" s="33">
        <v>0</v>
      </c>
      <c r="J1240" s="33">
        <f>ROUNDUP(I1240+(I1240*Assumptions!I$5),-2)</f>
        <v>0</v>
      </c>
      <c r="K1240" s="33">
        <f>ROUNDUP(J1240+(J1240*Assumptions!J$5),-2)</f>
        <v>0</v>
      </c>
      <c r="L1240" s="33">
        <f>ROUNDUP(K1240+(K1240*Assumptions!K$5),-2)</f>
        <v>0</v>
      </c>
      <c r="M1240" s="33">
        <f>ROUNDUP(L1240+(L1240*Assumptions!L$5),-2)</f>
        <v>0</v>
      </c>
      <c r="N1240" s="33">
        <f>ROUNDUP(M1240+(M1240*Assumptions!M$5),-2)</f>
        <v>0</v>
      </c>
      <c r="O1240" s="33">
        <f>ROUNDUP(N1240+(N1240*Assumptions!N$5),-2)</f>
        <v>0</v>
      </c>
      <c r="P1240" s="33">
        <f>ROUNDUP(O1240+(O1240*Assumptions!O$5),-2)</f>
        <v>0</v>
      </c>
      <c r="Q1240" s="33">
        <f>ROUNDUP(P1240+(P1240*Assumptions!P$5),-2)</f>
        <v>0</v>
      </c>
      <c r="R1240" s="114">
        <f>ROUNDUP(Q1240+(Q1240*Assumptions!Q$5),-2)</f>
        <v>0</v>
      </c>
    </row>
    <row r="1241" spans="1:18" ht="12.75" customHeight="1" x14ac:dyDescent="0.2">
      <c r="A1241" s="107">
        <v>285700</v>
      </c>
      <c r="B1241" s="33">
        <v>226200</v>
      </c>
      <c r="C1241" s="189">
        <v>174100</v>
      </c>
      <c r="D1241" s="189">
        <v>137500</v>
      </c>
      <c r="E1241" s="658" t="s">
        <v>2870</v>
      </c>
      <c r="F1241" s="3" t="s">
        <v>2674</v>
      </c>
      <c r="G1241" s="1011">
        <f>181000-70000-10000</f>
        <v>101000</v>
      </c>
      <c r="H1241" s="138">
        <f t="shared" si="1390"/>
        <v>-26.545454545454543</v>
      </c>
      <c r="I1241" s="33">
        <f>ROUNDUP(G1241+(G1241*Assumptions!H$5),-2)</f>
        <v>102600</v>
      </c>
      <c r="J1241" s="33">
        <f>ROUNDUP(I1241+(I1241*Assumptions!I$5),-2)</f>
        <v>105200</v>
      </c>
      <c r="K1241" s="33">
        <f>ROUNDUP(J1241+(J1241*Assumptions!J$5),-2)</f>
        <v>107900</v>
      </c>
      <c r="L1241" s="33">
        <f>ROUNDUP(K1241+(K1241*Assumptions!K$5),-2)</f>
        <v>110600</v>
      </c>
      <c r="M1241" s="33">
        <f>ROUNDUP(L1241+(L1241*Assumptions!L$5),-2)</f>
        <v>112900</v>
      </c>
      <c r="N1241" s="33">
        <f>ROUNDUP(M1241+(M1241*Assumptions!M$5),-2)</f>
        <v>115200</v>
      </c>
      <c r="O1241" s="33">
        <f>ROUNDUP(N1241+(N1241*Assumptions!N$5),-2)</f>
        <v>117600</v>
      </c>
      <c r="P1241" s="33">
        <f>ROUNDUP(O1241+(O1241*Assumptions!O$5),-2)</f>
        <v>120000</v>
      </c>
      <c r="Q1241" s="33">
        <f>ROUNDUP(P1241+(P1241*Assumptions!P$5),-2)</f>
        <v>122400</v>
      </c>
      <c r="R1241" s="114">
        <f>ROUNDUP(Q1241+(Q1241*Assumptions!Q$5),-2)</f>
        <v>124900</v>
      </c>
    </row>
    <row r="1242" spans="1:18" ht="12.75" customHeight="1" x14ac:dyDescent="0.2">
      <c r="A1242" s="107">
        <v>50000</v>
      </c>
      <c r="B1242" s="33">
        <v>92200</v>
      </c>
      <c r="C1242" s="189">
        <v>72000</v>
      </c>
      <c r="D1242" s="189">
        <v>96900</v>
      </c>
      <c r="E1242" s="658" t="s">
        <v>808</v>
      </c>
      <c r="F1242" s="3" t="s">
        <v>2676</v>
      </c>
      <c r="G1242" s="187">
        <v>77000</v>
      </c>
      <c r="H1242" s="138">
        <f t="shared" si="1390"/>
        <v>-20.536635706914343</v>
      </c>
      <c r="I1242" s="33">
        <f>ROUNDUP(G1242+(G1242*Assumptions!H$5),-2)</f>
        <v>78200</v>
      </c>
      <c r="J1242" s="33">
        <f>ROUNDUP(I1242+(I1242*Assumptions!I$5),-2)</f>
        <v>80200</v>
      </c>
      <c r="K1242" s="33">
        <f>ROUNDUP(J1242+(J1242*Assumptions!J$5),-2)</f>
        <v>82300</v>
      </c>
      <c r="L1242" s="33">
        <f>ROUNDUP(K1242+(K1242*Assumptions!K$5),-2)</f>
        <v>84400</v>
      </c>
      <c r="M1242" s="33">
        <f>ROUNDUP(L1242+(L1242*Assumptions!L$5),-2)</f>
        <v>86100</v>
      </c>
      <c r="N1242" s="33">
        <f>ROUNDUP(M1242+(M1242*Assumptions!M$5),-2)</f>
        <v>87900</v>
      </c>
      <c r="O1242" s="33">
        <f>ROUNDUP(N1242+(N1242*Assumptions!N$5),-2)</f>
        <v>89700</v>
      </c>
      <c r="P1242" s="33">
        <f>ROUNDUP(O1242+(O1242*Assumptions!O$5),-2)</f>
        <v>91500</v>
      </c>
      <c r="Q1242" s="33">
        <f>ROUNDUP(P1242+(P1242*Assumptions!P$5),-2)</f>
        <v>93400</v>
      </c>
      <c r="R1242" s="114">
        <f>ROUNDUP(Q1242+(Q1242*Assumptions!Q$5),-2)</f>
        <v>95300</v>
      </c>
    </row>
    <row r="1243" spans="1:18" ht="12.75" customHeight="1" x14ac:dyDescent="0.2">
      <c r="A1243" s="107">
        <v>21000</v>
      </c>
      <c r="B1243" s="33">
        <v>24700</v>
      </c>
      <c r="C1243" s="189">
        <v>26300</v>
      </c>
      <c r="D1243" s="189">
        <v>48300</v>
      </c>
      <c r="E1243" s="1092" t="s">
        <v>2675</v>
      </c>
      <c r="F1243" s="3" t="s">
        <v>710</v>
      </c>
      <c r="G1243" s="187">
        <f>32000+10000</f>
        <v>42000</v>
      </c>
      <c r="H1243" s="138">
        <f t="shared" si="1390"/>
        <v>-13.043478260869565</v>
      </c>
      <c r="I1243" s="33">
        <f>ROUNDUP(G1243+(G1243*Assumptions!H$5),-2)</f>
        <v>42700</v>
      </c>
      <c r="J1243" s="33">
        <f>ROUNDUP(I1243+(I1243*Assumptions!I$5),-2)</f>
        <v>43800</v>
      </c>
      <c r="K1243" s="33">
        <f>ROUNDUP(J1243+(J1243*Assumptions!J$5),-2)</f>
        <v>44900</v>
      </c>
      <c r="L1243" s="33">
        <f>ROUNDUP(K1243+(K1243*Assumptions!K$5),-2)</f>
        <v>46100</v>
      </c>
      <c r="M1243" s="33">
        <f>ROUNDUP(L1243+(L1243*Assumptions!L$5),-2)</f>
        <v>47100</v>
      </c>
      <c r="N1243" s="33">
        <f>ROUNDUP(M1243+(M1243*Assumptions!M$5),-2)</f>
        <v>48100</v>
      </c>
      <c r="O1243" s="33">
        <f>ROUNDUP(N1243+(N1243*Assumptions!N$5),-2)</f>
        <v>49100</v>
      </c>
      <c r="P1243" s="33">
        <f>ROUNDUP(O1243+(O1243*Assumptions!O$5),-2)</f>
        <v>50100</v>
      </c>
      <c r="Q1243" s="33">
        <f>ROUNDUP(P1243+(P1243*Assumptions!P$5),-2)</f>
        <v>51200</v>
      </c>
      <c r="R1243" s="114">
        <f>ROUNDUP(Q1243+(Q1243*Assumptions!Q$5),-2)</f>
        <v>52300</v>
      </c>
    </row>
    <row r="1244" spans="1:18" ht="12.75" customHeight="1" x14ac:dyDescent="0.2">
      <c r="A1244" s="107">
        <v>32000</v>
      </c>
      <c r="B1244" s="33">
        <v>35100</v>
      </c>
      <c r="C1244" s="189">
        <v>36500</v>
      </c>
      <c r="D1244" s="189">
        <v>26800</v>
      </c>
      <c r="E1244" s="1092" t="s">
        <v>809</v>
      </c>
      <c r="F1244" s="3" t="s">
        <v>429</v>
      </c>
      <c r="G1244" s="187">
        <v>27000</v>
      </c>
      <c r="H1244" s="138">
        <f t="shared" si="1390"/>
        <v>0.74626865671641784</v>
      </c>
      <c r="I1244" s="33">
        <f>ROUNDUP(G1244+(G1244*Assumptions!H$5),-2)</f>
        <v>27500</v>
      </c>
      <c r="J1244" s="33">
        <f>ROUNDUP(I1244+(I1244*Assumptions!I$5),-2)</f>
        <v>28200</v>
      </c>
      <c r="K1244" s="33">
        <f>ROUNDUP(J1244+(J1244*Assumptions!J$5),-2)</f>
        <v>29000</v>
      </c>
      <c r="L1244" s="33">
        <f>ROUNDUP(K1244+(K1244*Assumptions!K$5),-2)</f>
        <v>29800</v>
      </c>
      <c r="M1244" s="33">
        <f>ROUNDUP(L1244+(L1244*Assumptions!L$5),-2)</f>
        <v>30400</v>
      </c>
      <c r="N1244" s="33">
        <f>ROUNDUP(M1244+(M1244*Assumptions!M$5),-2)</f>
        <v>31100</v>
      </c>
      <c r="O1244" s="33">
        <f>ROUNDUP(N1244+(N1244*Assumptions!N$5),-2)</f>
        <v>31800</v>
      </c>
      <c r="P1244" s="33">
        <f>ROUNDUP(O1244+(O1244*Assumptions!O$5),-2)</f>
        <v>32500</v>
      </c>
      <c r="Q1244" s="33">
        <f>ROUNDUP(P1244+(P1244*Assumptions!P$5),-2)</f>
        <v>33200</v>
      </c>
      <c r="R1244" s="114">
        <f>ROUNDUP(Q1244+(Q1244*Assumptions!Q$5),-2)</f>
        <v>33900</v>
      </c>
    </row>
    <row r="1245" spans="1:18" ht="12.75" customHeight="1" x14ac:dyDescent="0.2">
      <c r="A1245" s="107">
        <v>1000</v>
      </c>
      <c r="B1245" s="33">
        <v>51400</v>
      </c>
      <c r="C1245" s="189">
        <v>24700</v>
      </c>
      <c r="D1245" s="189">
        <v>18800</v>
      </c>
      <c r="E1245" s="1092" t="s">
        <v>35</v>
      </c>
      <c r="F1245" s="3" t="s">
        <v>711</v>
      </c>
      <c r="G1245" s="187">
        <f>173000-63000</f>
        <v>110000</v>
      </c>
      <c r="H1245" s="138">
        <f t="shared" si="1390"/>
        <v>485.10638297872345</v>
      </c>
      <c r="I1245" s="33">
        <f>ROUNDUP(G1245+(G1245*Assumptions!H$5),-2)</f>
        <v>111700</v>
      </c>
      <c r="J1245" s="33">
        <f>ROUNDUP(I1245+(I1245*Assumptions!I$5),-2)</f>
        <v>114500</v>
      </c>
      <c r="K1245" s="33">
        <f>ROUNDUP(J1245+(J1245*Assumptions!J$5),-2)</f>
        <v>117400</v>
      </c>
      <c r="L1245" s="33">
        <f>ROUNDUP(K1245+(K1245*Assumptions!K$5),-2)</f>
        <v>120400</v>
      </c>
      <c r="M1245" s="33">
        <f>ROUNDUP(L1245+(L1245*Assumptions!L$5),-2)</f>
        <v>122900</v>
      </c>
      <c r="N1245" s="33">
        <f>ROUNDUP(M1245+(M1245*Assumptions!M$5),-2)</f>
        <v>125400</v>
      </c>
      <c r="O1245" s="33">
        <f>ROUNDUP(N1245+(N1245*Assumptions!N$5),-2)</f>
        <v>128000</v>
      </c>
      <c r="P1245" s="33">
        <f>ROUNDUP(O1245+(O1245*Assumptions!O$5),-2)</f>
        <v>130600</v>
      </c>
      <c r="Q1245" s="33">
        <f>ROUNDUP(P1245+(P1245*Assumptions!P$5),-2)</f>
        <v>133300</v>
      </c>
      <c r="R1245" s="114">
        <f>ROUNDUP(Q1245+(Q1245*Assumptions!Q$5),-2)</f>
        <v>136000</v>
      </c>
    </row>
    <row r="1246" spans="1:18" ht="12.75" customHeight="1" x14ac:dyDescent="0.2">
      <c r="A1246" s="107">
        <v>31600</v>
      </c>
      <c r="B1246" s="33">
        <v>76700</v>
      </c>
      <c r="C1246" s="189">
        <v>94800</v>
      </c>
      <c r="D1246" s="189">
        <v>140500</v>
      </c>
      <c r="E1246" s="1092" t="s">
        <v>3262</v>
      </c>
      <c r="F1246" s="890" t="s">
        <v>3040</v>
      </c>
      <c r="G1246" s="187">
        <v>108000</v>
      </c>
      <c r="H1246" s="138">
        <f t="shared" si="1390"/>
        <v>-23.131672597864767</v>
      </c>
      <c r="I1246" s="33">
        <f>ROUNDUP(G1246+(G1246*Assumptions!H$5),-2)</f>
        <v>109700</v>
      </c>
      <c r="J1246" s="33">
        <f>ROUNDUP(I1246+(I1246*Assumptions!I$5),-2)</f>
        <v>112500</v>
      </c>
      <c r="K1246" s="33">
        <f>ROUNDUP(J1246+(J1246*Assumptions!J$5),-2)</f>
        <v>115400</v>
      </c>
      <c r="L1246" s="33">
        <f>ROUNDUP(K1246+(K1246*Assumptions!K$5),-2)</f>
        <v>118300</v>
      </c>
      <c r="M1246" s="33">
        <f>ROUNDUP(L1246+(L1246*Assumptions!L$5),-2)</f>
        <v>120700</v>
      </c>
      <c r="N1246" s="33">
        <f>ROUNDUP(M1246+(M1246*Assumptions!M$5),-2)</f>
        <v>123200</v>
      </c>
      <c r="O1246" s="33">
        <f>ROUNDUP(N1246+(N1246*Assumptions!N$5),-2)</f>
        <v>125700</v>
      </c>
      <c r="P1246" s="33">
        <f>ROUNDUP(O1246+(O1246*Assumptions!O$5),-2)</f>
        <v>128300</v>
      </c>
      <c r="Q1246" s="33">
        <f>ROUNDUP(P1246+(P1246*Assumptions!P$5),-2)</f>
        <v>130900</v>
      </c>
      <c r="R1246" s="114">
        <f>ROUNDUP(Q1246+(Q1246*Assumptions!Q$5),-2)</f>
        <v>133600</v>
      </c>
    </row>
    <row r="1247" spans="1:18" ht="12.75" customHeight="1" x14ac:dyDescent="0.2">
      <c r="A1247" s="107">
        <v>11600</v>
      </c>
      <c r="B1247" s="33">
        <v>26700</v>
      </c>
      <c r="C1247" s="189">
        <f>8900+600</f>
        <v>9500</v>
      </c>
      <c r="D1247" s="189">
        <v>30500</v>
      </c>
      <c r="E1247" s="1092" t="s">
        <v>3263</v>
      </c>
      <c r="F1247" s="3" t="s">
        <v>3041</v>
      </c>
      <c r="G1247" s="187">
        <v>44000</v>
      </c>
      <c r="H1247" s="138">
        <f t="shared" si="1390"/>
        <v>44.26229508196721</v>
      </c>
      <c r="I1247" s="33">
        <f>ROUNDUP(G1247+(G1247*Assumptions!H$5),-2)</f>
        <v>44700</v>
      </c>
      <c r="J1247" s="33">
        <f>ROUNDUP(I1247+(I1247*Assumptions!I$5),-2)</f>
        <v>45900</v>
      </c>
      <c r="K1247" s="33">
        <f>ROUNDUP(J1247+(J1247*Assumptions!J$5),-2)</f>
        <v>47100</v>
      </c>
      <c r="L1247" s="33">
        <f>ROUNDUP(K1247+(K1247*Assumptions!K$5),-2)</f>
        <v>48300</v>
      </c>
      <c r="M1247" s="33">
        <f>ROUNDUP(L1247+(L1247*Assumptions!L$5),-2)</f>
        <v>49300</v>
      </c>
      <c r="N1247" s="33">
        <f>ROUNDUP(M1247+(M1247*Assumptions!M$5),-2)</f>
        <v>50300</v>
      </c>
      <c r="O1247" s="33">
        <f>ROUNDUP(N1247+(N1247*Assumptions!N$5),-2)</f>
        <v>51400</v>
      </c>
      <c r="P1247" s="33">
        <f>ROUNDUP(O1247+(O1247*Assumptions!O$5),-2)</f>
        <v>52500</v>
      </c>
      <c r="Q1247" s="33">
        <f>ROUNDUP(P1247+(P1247*Assumptions!P$5),-2)</f>
        <v>53600</v>
      </c>
      <c r="R1247" s="114">
        <f>ROUNDUP(Q1247+(Q1247*Assumptions!Q$5),-2)</f>
        <v>54700</v>
      </c>
    </row>
    <row r="1248" spans="1:18" ht="12.75" customHeight="1" x14ac:dyDescent="0.2">
      <c r="A1248" s="107">
        <v>79000</v>
      </c>
      <c r="B1248" s="33">
        <v>108100</v>
      </c>
      <c r="C1248" s="189">
        <v>116800</v>
      </c>
      <c r="D1248" s="189">
        <v>165900</v>
      </c>
      <c r="E1248" s="1092" t="s">
        <v>1445</v>
      </c>
      <c r="F1248" s="3" t="s">
        <v>2790</v>
      </c>
      <c r="G1248" s="187">
        <f>123000-1000+72700</f>
        <v>194700</v>
      </c>
      <c r="H1248" s="138">
        <f t="shared" si="1390"/>
        <v>17.359855334538878</v>
      </c>
      <c r="I1248" s="33">
        <v>123900</v>
      </c>
      <c r="J1248" s="33">
        <f>ROUNDUP(I1248+(I1248*Assumptions!I$5),-2)</f>
        <v>127000</v>
      </c>
      <c r="K1248" s="33">
        <f>ROUNDUP(J1248+(J1248*Assumptions!J$5),-2)</f>
        <v>130200</v>
      </c>
      <c r="L1248" s="33">
        <f>ROUNDUP(K1248+(K1248*Assumptions!K$5),-2)</f>
        <v>133500</v>
      </c>
      <c r="M1248" s="33">
        <f>ROUNDUP(L1248+(L1248*Assumptions!L$5),-2)</f>
        <v>136200</v>
      </c>
      <c r="N1248" s="33">
        <f>ROUNDUP(M1248+(M1248*Assumptions!M$5),-2)</f>
        <v>139000</v>
      </c>
      <c r="O1248" s="33">
        <f>ROUNDUP(N1248+(N1248*Assumptions!N$5),-2)</f>
        <v>141800</v>
      </c>
      <c r="P1248" s="33">
        <f>ROUNDUP(O1248+(O1248*Assumptions!O$5),-2)</f>
        <v>144700</v>
      </c>
      <c r="Q1248" s="33">
        <f>ROUNDUP(P1248+(P1248*Assumptions!P$5),-2)</f>
        <v>147600</v>
      </c>
      <c r="R1248" s="114">
        <f>ROUNDUP(Q1248+(Q1248*Assumptions!Q$5),-2)</f>
        <v>150600</v>
      </c>
    </row>
    <row r="1249" spans="1:18" ht="12.75" customHeight="1" x14ac:dyDescent="0.2">
      <c r="A1249" s="107"/>
      <c r="B1249" s="33"/>
      <c r="D1249" s="189">
        <v>700</v>
      </c>
      <c r="E1249" s="1092" t="s">
        <v>6795</v>
      </c>
      <c r="F1249" s="3" t="s">
        <v>6796</v>
      </c>
      <c r="G1249" s="187">
        <v>0</v>
      </c>
      <c r="H1249" s="138"/>
      <c r="I1249" s="33">
        <f>ROUNDUP(G1249+(G1249*Assumptions!H$5),-2)</f>
        <v>0</v>
      </c>
      <c r="J1249" s="33">
        <f>ROUNDUP(I1249+(I1249*Assumptions!I$5),-2)</f>
        <v>0</v>
      </c>
      <c r="K1249" s="33">
        <f>ROUNDUP(J1249+(J1249*Assumptions!J$5),-2)</f>
        <v>0</v>
      </c>
      <c r="L1249" s="33">
        <f>ROUNDUP(K1249+(K1249*Assumptions!K$5),-2)</f>
        <v>0</v>
      </c>
      <c r="M1249" s="33">
        <f>ROUNDUP(L1249+(L1249*Assumptions!L$5),-2)</f>
        <v>0</v>
      </c>
      <c r="N1249" s="33">
        <f>ROUNDUP(M1249+(M1249*Assumptions!M$5),-2)</f>
        <v>0</v>
      </c>
      <c r="O1249" s="33">
        <f>ROUNDUP(N1249+(N1249*Assumptions!N$5),-2)</f>
        <v>0</v>
      </c>
      <c r="P1249" s="33">
        <f>ROUNDUP(O1249+(O1249*Assumptions!O$5),-2)</f>
        <v>0</v>
      </c>
      <c r="Q1249" s="33">
        <f>ROUNDUP(P1249+(P1249*Assumptions!P$5),-2)</f>
        <v>0</v>
      </c>
      <c r="R1249" s="114">
        <f>ROUNDUP(Q1249+(Q1249*Assumptions!Q$5),-2)</f>
        <v>0</v>
      </c>
    </row>
    <row r="1250" spans="1:18" ht="13.5" thickBot="1" x14ac:dyDescent="0.25">
      <c r="A1250" s="107"/>
      <c r="B1250" s="33"/>
      <c r="C1250" s="187"/>
      <c r="D1250" s="187"/>
      <c r="E1250" s="1954"/>
      <c r="F1250" s="76"/>
      <c r="G1250" s="187"/>
      <c r="H1250" s="138"/>
      <c r="I1250" s="33"/>
      <c r="J1250" s="33"/>
      <c r="K1250" s="33"/>
      <c r="L1250" s="33"/>
      <c r="M1250" s="33"/>
      <c r="N1250" s="33"/>
      <c r="O1250" s="33"/>
      <c r="P1250" s="33"/>
      <c r="Q1250" s="33"/>
      <c r="R1250" s="114"/>
    </row>
    <row r="1251" spans="1:18" s="92" customFormat="1" x14ac:dyDescent="0.2">
      <c r="A1251" s="105">
        <f>SUM(A1230:A1250)</f>
        <v>730700</v>
      </c>
      <c r="B1251" s="53">
        <f>SUM(B1230:B1250)</f>
        <v>749800</v>
      </c>
      <c r="C1251" s="190">
        <f>SUM(C1230:C1250)</f>
        <v>669200</v>
      </c>
      <c r="D1251" s="190">
        <f>SUM(D1230:D1249)</f>
        <v>770000</v>
      </c>
      <c r="E1251" s="237"/>
      <c r="F1251" s="1960" t="s">
        <v>565</v>
      </c>
      <c r="G1251" s="199">
        <f>SUM(G1230:G1249)</f>
        <v>908800</v>
      </c>
      <c r="H1251" s="180">
        <f>IF(D1251=G1251,0,IF(D1251=0,100,(G1251-D1251)/D1251*100))</f>
        <v>18.025974025974026</v>
      </c>
      <c r="I1251" s="53">
        <f t="shared" ref="I1251:Q1251" si="1391">SUM(I1230:I1248)</f>
        <v>744600</v>
      </c>
      <c r="J1251" s="53">
        <f t="shared" si="1391"/>
        <v>763500</v>
      </c>
      <c r="K1251" s="53">
        <f t="shared" si="1391"/>
        <v>783100</v>
      </c>
      <c r="L1251" s="53">
        <f t="shared" si="1391"/>
        <v>803100</v>
      </c>
      <c r="M1251" s="53">
        <f t="shared" si="1391"/>
        <v>819600</v>
      </c>
      <c r="N1251" s="53">
        <f t="shared" si="1391"/>
        <v>836500</v>
      </c>
      <c r="O1251" s="53">
        <f t="shared" si="1391"/>
        <v>853800</v>
      </c>
      <c r="P1251" s="53">
        <f t="shared" si="1391"/>
        <v>871300</v>
      </c>
      <c r="Q1251" s="53">
        <f t="shared" si="1391"/>
        <v>889200</v>
      </c>
      <c r="R1251" s="113">
        <f t="shared" ref="R1251" si="1392">SUM(R1230:R1248)</f>
        <v>907400</v>
      </c>
    </row>
    <row r="1252" spans="1:18" x14ac:dyDescent="0.2">
      <c r="A1252" s="107"/>
      <c r="B1252" s="33"/>
      <c r="E1252" s="1955"/>
      <c r="F1252" s="1981"/>
      <c r="G1252" s="187"/>
      <c r="H1252" s="138"/>
      <c r="I1252" s="33"/>
      <c r="J1252" s="33"/>
      <c r="K1252" s="33"/>
      <c r="L1252" s="33"/>
      <c r="M1252" s="33"/>
      <c r="N1252" s="33"/>
      <c r="O1252" s="33"/>
      <c r="P1252" s="33"/>
      <c r="Q1252" s="33"/>
      <c r="R1252" s="114"/>
    </row>
    <row r="1253" spans="1:18" s="92" customFormat="1" x14ac:dyDescent="0.2">
      <c r="A1253" s="70">
        <f>A1227-A1251</f>
        <v>-53300</v>
      </c>
      <c r="B1253" s="64">
        <f>B1227-B1251</f>
        <v>176200</v>
      </c>
      <c r="C1253" s="193">
        <f>C1227-C1251</f>
        <v>197300</v>
      </c>
      <c r="D1253" s="193">
        <f>D1227-D1251</f>
        <v>106000</v>
      </c>
      <c r="E1253" s="237"/>
      <c r="F1253" s="1962" t="s">
        <v>1019</v>
      </c>
      <c r="G1253" s="192">
        <f>G1227-G1251</f>
        <v>61200</v>
      </c>
      <c r="H1253" s="179">
        <f>IF(D1253=G1253,0,IF(D1253=0,100,(G1253-D1253)/D1253*100))</f>
        <v>-42.264150943396231</v>
      </c>
      <c r="I1253" s="64">
        <f t="shared" ref="I1253:Q1253" si="1393">I1227-I1251</f>
        <v>0</v>
      </c>
      <c r="J1253" s="64">
        <f t="shared" si="1393"/>
        <v>0</v>
      </c>
      <c r="K1253" s="64">
        <f t="shared" si="1393"/>
        <v>0</v>
      </c>
      <c r="L1253" s="64">
        <f t="shared" si="1393"/>
        <v>0</v>
      </c>
      <c r="M1253" s="64">
        <f t="shared" si="1393"/>
        <v>0</v>
      </c>
      <c r="N1253" s="64">
        <f t="shared" si="1393"/>
        <v>0</v>
      </c>
      <c r="O1253" s="64">
        <f t="shared" si="1393"/>
        <v>0</v>
      </c>
      <c r="P1253" s="64">
        <f t="shared" si="1393"/>
        <v>0</v>
      </c>
      <c r="Q1253" s="64">
        <f t="shared" si="1393"/>
        <v>0</v>
      </c>
      <c r="R1253" s="115">
        <f t="shared" ref="R1253" si="1394">R1227-R1251</f>
        <v>0</v>
      </c>
    </row>
    <row r="1254" spans="1:18" s="92" customFormat="1" x14ac:dyDescent="0.2">
      <c r="A1254" s="70"/>
      <c r="B1254" s="64"/>
      <c r="C1254" s="193"/>
      <c r="D1254" s="193"/>
      <c r="E1254" s="237"/>
      <c r="F1254" s="1962"/>
      <c r="G1254" s="192"/>
      <c r="H1254" s="179"/>
      <c r="I1254" s="64"/>
      <c r="J1254" s="64"/>
      <c r="K1254" s="64"/>
      <c r="L1254" s="64"/>
      <c r="M1254" s="64"/>
      <c r="N1254" s="64"/>
      <c r="O1254" s="64"/>
      <c r="P1254" s="64"/>
      <c r="Q1254" s="64"/>
      <c r="R1254" s="115"/>
    </row>
    <row r="1255" spans="1:18" s="92" customFormat="1" x14ac:dyDescent="0.2">
      <c r="A1255" s="181">
        <f>A1253</f>
        <v>-53300</v>
      </c>
      <c r="B1255" s="397">
        <f>B1253</f>
        <v>176200</v>
      </c>
      <c r="C1255" s="398">
        <f>C1253</f>
        <v>197300</v>
      </c>
      <c r="D1255" s="398">
        <f>D1253</f>
        <v>106000</v>
      </c>
      <c r="E1255" s="523"/>
      <c r="F1255" s="1972" t="s">
        <v>1687</v>
      </c>
      <c r="G1255" s="728">
        <f t="shared" ref="G1255:O1255" si="1395">G1253</f>
        <v>61200</v>
      </c>
      <c r="H1255" s="395">
        <f>IF(D1255=G1255,0,IF(D1255=0,100,(G1255-D1255)/D1255*100))</f>
        <v>-42.264150943396231</v>
      </c>
      <c r="I1255" s="397">
        <f t="shared" si="1395"/>
        <v>0</v>
      </c>
      <c r="J1255" s="397">
        <f t="shared" si="1395"/>
        <v>0</v>
      </c>
      <c r="K1255" s="397">
        <f t="shared" si="1395"/>
        <v>0</v>
      </c>
      <c r="L1255" s="397">
        <f t="shared" si="1395"/>
        <v>0</v>
      </c>
      <c r="M1255" s="397">
        <f t="shared" si="1395"/>
        <v>0</v>
      </c>
      <c r="N1255" s="397">
        <f t="shared" si="1395"/>
        <v>0</v>
      </c>
      <c r="O1255" s="397">
        <f t="shared" si="1395"/>
        <v>0</v>
      </c>
      <c r="P1255" s="397">
        <f t="shared" ref="P1255:Q1255" si="1396">P1253</f>
        <v>0</v>
      </c>
      <c r="Q1255" s="397">
        <f t="shared" si="1396"/>
        <v>0</v>
      </c>
      <c r="R1255" s="399">
        <f t="shared" ref="R1255" si="1397">R1253</f>
        <v>0</v>
      </c>
    </row>
    <row r="1256" spans="1:18" ht="13.5" thickBot="1" x14ac:dyDescent="0.25">
      <c r="A1256" s="751"/>
      <c r="B1256" s="64"/>
      <c r="C1256" s="193"/>
      <c r="D1256" s="192"/>
      <c r="E1256" s="1954"/>
      <c r="F1256" s="175"/>
      <c r="G1256" s="192"/>
      <c r="H1256" s="179"/>
      <c r="I1256" s="33"/>
      <c r="J1256" s="33"/>
      <c r="K1256" s="33"/>
      <c r="L1256" s="33"/>
      <c r="M1256" s="33"/>
      <c r="N1256" s="33"/>
      <c r="O1256" s="33"/>
      <c r="P1256" s="33"/>
      <c r="Q1256" s="33"/>
      <c r="R1256" s="114"/>
    </row>
    <row r="1257" spans="1:18" x14ac:dyDescent="0.2">
      <c r="A1257" s="105"/>
      <c r="B1257" s="155"/>
      <c r="C1257" s="190"/>
      <c r="D1257" s="190"/>
      <c r="E1257" s="1819"/>
      <c r="F1257" s="124"/>
      <c r="G1257" s="199"/>
      <c r="H1257" s="180"/>
      <c r="I1257" s="169"/>
      <c r="J1257" s="169"/>
      <c r="K1257" s="169"/>
      <c r="L1257" s="169"/>
      <c r="M1257" s="169"/>
      <c r="N1257" s="169"/>
      <c r="O1257" s="169"/>
      <c r="P1257" s="169"/>
      <c r="Q1257" s="169"/>
      <c r="R1257" s="1717"/>
    </row>
    <row r="1258" spans="1:18" x14ac:dyDescent="0.2">
      <c r="A1258" s="70"/>
      <c r="B1258" s="128"/>
      <c r="C1258" s="193"/>
      <c r="D1258" s="193"/>
      <c r="E1258" s="238"/>
      <c r="F1258" s="1962" t="s">
        <v>196</v>
      </c>
      <c r="G1258" s="192"/>
      <c r="H1258" s="179"/>
      <c r="I1258" s="33"/>
      <c r="J1258" s="33"/>
      <c r="K1258" s="33"/>
      <c r="L1258" s="33"/>
      <c r="M1258" s="33"/>
      <c r="N1258" s="33"/>
      <c r="O1258" s="33"/>
      <c r="P1258" s="33"/>
      <c r="Q1258" s="33"/>
      <c r="R1258" s="114"/>
    </row>
    <row r="1259" spans="1:18" x14ac:dyDescent="0.2">
      <c r="A1259" s="70"/>
      <c r="B1259" s="128"/>
      <c r="C1259" s="193"/>
      <c r="D1259" s="193"/>
      <c r="E1259" s="238"/>
      <c r="F1259" s="1962"/>
      <c r="G1259" s="192"/>
      <c r="H1259" s="179"/>
      <c r="I1259" s="33"/>
      <c r="J1259" s="33"/>
      <c r="K1259" s="33"/>
      <c r="L1259" s="33"/>
      <c r="M1259" s="33"/>
      <c r="N1259" s="33"/>
      <c r="O1259" s="33"/>
      <c r="P1259" s="33"/>
      <c r="Q1259" s="33"/>
      <c r="R1259" s="114"/>
    </row>
    <row r="1260" spans="1:18" x14ac:dyDescent="0.2">
      <c r="A1260" s="107">
        <v>0</v>
      </c>
      <c r="B1260" s="142">
        <v>0</v>
      </c>
      <c r="C1260" s="189">
        <v>0</v>
      </c>
      <c r="D1260" s="189">
        <v>0</v>
      </c>
      <c r="E1260" s="238"/>
      <c r="F1260" s="1981" t="s">
        <v>2900</v>
      </c>
      <c r="G1260" s="187">
        <v>0</v>
      </c>
      <c r="H1260" s="138"/>
      <c r="I1260" s="33">
        <v>0</v>
      </c>
      <c r="J1260" s="33">
        <v>0</v>
      </c>
      <c r="K1260" s="33">
        <v>0</v>
      </c>
      <c r="L1260" s="33">
        <v>0</v>
      </c>
      <c r="M1260" s="33">
        <v>0</v>
      </c>
      <c r="N1260" s="33">
        <v>0</v>
      </c>
      <c r="O1260" s="33">
        <v>0</v>
      </c>
      <c r="P1260" s="33">
        <v>0</v>
      </c>
      <c r="Q1260" s="33">
        <v>0</v>
      </c>
      <c r="R1260" s="114">
        <v>0</v>
      </c>
    </row>
    <row r="1261" spans="1:18" x14ac:dyDescent="0.2">
      <c r="A1261" s="107">
        <v>24000</v>
      </c>
      <c r="B1261" s="142">
        <v>73000</v>
      </c>
      <c r="C1261" s="189">
        <v>146900</v>
      </c>
      <c r="D1261" s="189">
        <f>'Res-Gen'!B195</f>
        <v>103100</v>
      </c>
      <c r="E1261" s="238"/>
      <c r="F1261" s="366" t="s">
        <v>1942</v>
      </c>
      <c r="G1261" s="198">
        <v>0</v>
      </c>
      <c r="H1261" s="138"/>
      <c r="I1261" s="33">
        <v>0</v>
      </c>
      <c r="J1261" s="33">
        <v>0</v>
      </c>
      <c r="K1261" s="33">
        <v>0</v>
      </c>
      <c r="L1261" s="33">
        <v>0</v>
      </c>
      <c r="M1261" s="33">
        <v>0</v>
      </c>
      <c r="N1261" s="33">
        <v>0</v>
      </c>
      <c r="O1261" s="33">
        <v>0</v>
      </c>
      <c r="P1261" s="33">
        <v>0</v>
      </c>
      <c r="Q1261" s="33">
        <v>0</v>
      </c>
      <c r="R1261" s="114">
        <v>0</v>
      </c>
    </row>
    <row r="1262" spans="1:18" x14ac:dyDescent="0.2">
      <c r="A1262" s="107">
        <v>77300</v>
      </c>
      <c r="B1262" s="142">
        <v>0</v>
      </c>
      <c r="C1262" s="189">
        <v>125900</v>
      </c>
      <c r="D1262" s="189">
        <f>'Res-Gen'!C195</f>
        <v>146900</v>
      </c>
      <c r="E1262" s="238"/>
      <c r="F1262" s="366" t="s">
        <v>2348</v>
      </c>
      <c r="G1262" s="198">
        <f>'Res-Gen'!F195</f>
        <v>103100</v>
      </c>
      <c r="H1262" s="138"/>
      <c r="I1262" s="33">
        <v>0</v>
      </c>
      <c r="J1262" s="33">
        <v>0</v>
      </c>
      <c r="K1262" s="33">
        <v>0</v>
      </c>
      <c r="L1262" s="33">
        <v>0</v>
      </c>
      <c r="M1262" s="33">
        <v>0</v>
      </c>
      <c r="N1262" s="33">
        <v>0</v>
      </c>
      <c r="O1262" s="33">
        <v>0</v>
      </c>
      <c r="P1262" s="33">
        <v>0</v>
      </c>
      <c r="Q1262" s="33">
        <v>0</v>
      </c>
      <c r="R1262" s="114">
        <v>0</v>
      </c>
    </row>
    <row r="1263" spans="1:18" x14ac:dyDescent="0.2">
      <c r="A1263" s="107">
        <v>0</v>
      </c>
      <c r="B1263" s="142">
        <v>0</v>
      </c>
      <c r="C1263" s="189">
        <v>0</v>
      </c>
      <c r="D1263" s="189">
        <v>0</v>
      </c>
      <c r="E1263" s="238"/>
      <c r="F1263" s="366" t="s">
        <v>5984</v>
      </c>
      <c r="G1263" s="198">
        <v>0</v>
      </c>
      <c r="H1263" s="138"/>
      <c r="I1263" s="33">
        <v>0</v>
      </c>
      <c r="J1263" s="33">
        <v>0</v>
      </c>
      <c r="K1263" s="33">
        <v>0</v>
      </c>
      <c r="L1263" s="33">
        <v>0</v>
      </c>
      <c r="M1263" s="33">
        <v>0</v>
      </c>
      <c r="N1263" s="33">
        <v>0</v>
      </c>
      <c r="O1263" s="33">
        <v>0</v>
      </c>
      <c r="P1263" s="33">
        <v>0</v>
      </c>
      <c r="Q1263" s="33">
        <v>0</v>
      </c>
      <c r="R1263" s="114">
        <v>0</v>
      </c>
    </row>
    <row r="1264" spans="1:18" x14ac:dyDescent="0.2">
      <c r="A1264" s="107">
        <v>0</v>
      </c>
      <c r="B1264" s="142">
        <v>103200</v>
      </c>
      <c r="C1264" s="189">
        <v>176300</v>
      </c>
      <c r="D1264" s="189">
        <f>'Cap-Gen'!E164-9000</f>
        <v>149800</v>
      </c>
      <c r="E1264" s="238"/>
      <c r="F1264" s="366" t="s">
        <v>972</v>
      </c>
      <c r="G1264" s="198">
        <f>'Cap-Gen'!F164</f>
        <v>164300</v>
      </c>
      <c r="H1264" s="138"/>
      <c r="I1264" s="33">
        <v>0</v>
      </c>
      <c r="J1264" s="33">
        <v>0</v>
      </c>
      <c r="K1264" s="33">
        <v>0</v>
      </c>
      <c r="L1264" s="33">
        <v>0</v>
      </c>
      <c r="M1264" s="33">
        <v>0</v>
      </c>
      <c r="N1264" s="33">
        <v>0</v>
      </c>
      <c r="O1264" s="33">
        <v>0</v>
      </c>
      <c r="P1264" s="33">
        <v>0</v>
      </c>
      <c r="Q1264" s="33">
        <v>0</v>
      </c>
      <c r="R1264" s="114">
        <v>0</v>
      </c>
    </row>
    <row r="1265" spans="1:18" x14ac:dyDescent="0.2">
      <c r="A1265" s="107"/>
      <c r="B1265" s="142"/>
      <c r="E1265" s="238"/>
      <c r="F1265" s="516"/>
      <c r="G1265" s="198"/>
      <c r="H1265" s="138"/>
      <c r="I1265" s="33"/>
      <c r="J1265" s="33"/>
      <c r="K1265" s="33"/>
      <c r="L1265" s="33"/>
      <c r="M1265" s="33"/>
      <c r="N1265" s="33"/>
      <c r="O1265" s="33"/>
      <c r="P1265" s="33"/>
      <c r="Q1265" s="33"/>
      <c r="R1265" s="114"/>
    </row>
    <row r="1266" spans="1:18" s="92" customFormat="1" x14ac:dyDescent="0.2">
      <c r="A1266" s="181">
        <f>A1255-A1260-A1261+A1262++A1263-A1264</f>
        <v>0</v>
      </c>
      <c r="B1266" s="377">
        <f>B1255-B1260-B1261+B1262++B1263-B1264</f>
        <v>0</v>
      </c>
      <c r="C1266" s="398">
        <f>C1255-C1260-C1261+C1262++C1263-C1264</f>
        <v>0</v>
      </c>
      <c r="D1266" s="398">
        <f>D1255-D1260-D1261+D1262++D1263-D1264</f>
        <v>0</v>
      </c>
      <c r="E1266" s="526"/>
      <c r="F1266" s="518" t="s">
        <v>2490</v>
      </c>
      <c r="G1266" s="2605">
        <f t="shared" ref="G1266:O1266" si="1398">G1255-G1260-G1261+G1262++G1263-G1264</f>
        <v>0</v>
      </c>
      <c r="H1266" s="395">
        <f>IF(D1266=G1266,0,IF(D1266=0,100,(G1266-D1266)/D1266*100))</f>
        <v>0</v>
      </c>
      <c r="I1266" s="397">
        <f t="shared" si="1398"/>
        <v>0</v>
      </c>
      <c r="J1266" s="397">
        <f t="shared" si="1398"/>
        <v>0</v>
      </c>
      <c r="K1266" s="397">
        <f t="shared" si="1398"/>
        <v>0</v>
      </c>
      <c r="L1266" s="397">
        <f t="shared" si="1398"/>
        <v>0</v>
      </c>
      <c r="M1266" s="397">
        <f t="shared" si="1398"/>
        <v>0</v>
      </c>
      <c r="N1266" s="397">
        <f t="shared" si="1398"/>
        <v>0</v>
      </c>
      <c r="O1266" s="397">
        <f t="shared" si="1398"/>
        <v>0</v>
      </c>
      <c r="P1266" s="397">
        <f t="shared" ref="P1266:Q1266" si="1399">P1255-P1260-P1261+P1262++P1263-P1264</f>
        <v>0</v>
      </c>
      <c r="Q1266" s="397">
        <f t="shared" si="1399"/>
        <v>0</v>
      </c>
      <c r="R1266" s="399">
        <f t="shared" ref="R1266" si="1400">R1255-R1260-R1261+R1262++R1263-R1264</f>
        <v>0</v>
      </c>
    </row>
    <row r="1267" spans="1:18" ht="13.5" thickBot="1" x14ac:dyDescent="0.25">
      <c r="A1267" s="73"/>
      <c r="B1267" s="134"/>
      <c r="C1267" s="195"/>
      <c r="D1267" s="195"/>
      <c r="E1267" s="239"/>
      <c r="F1267" s="368"/>
      <c r="G1267" s="2502"/>
      <c r="H1267" s="392"/>
      <c r="I1267" s="66"/>
      <c r="J1267" s="66"/>
      <c r="K1267" s="66"/>
      <c r="L1267" s="66"/>
      <c r="M1267" s="66"/>
      <c r="N1267" s="66"/>
      <c r="O1267" s="66"/>
      <c r="P1267" s="66"/>
      <c r="Q1267" s="66"/>
      <c r="R1267" s="165"/>
    </row>
    <row r="1268" spans="1:18" s="99" customFormat="1" ht="13.5" thickTop="1" x14ac:dyDescent="0.2">
      <c r="C1268" s="198"/>
      <c r="D1268" s="198"/>
      <c r="E1268" s="238"/>
      <c r="G1268" s="198"/>
      <c r="H1268" s="123"/>
    </row>
    <row r="1269" spans="1:18" s="99" customFormat="1" ht="13.5" thickBot="1" x14ac:dyDescent="0.25">
      <c r="C1269" s="198"/>
      <c r="D1269" s="198"/>
      <c r="E1269" s="238"/>
      <c r="G1269" s="198"/>
      <c r="H1269" s="123"/>
    </row>
    <row r="1270" spans="1:18" s="91" customFormat="1" ht="18.75" customHeight="1" thickTop="1" thickBot="1" x14ac:dyDescent="0.3">
      <c r="A1270" s="2865" t="s">
        <v>2681</v>
      </c>
      <c r="B1270" s="2866"/>
      <c r="C1270" s="2866"/>
      <c r="D1270" s="2866"/>
      <c r="E1270" s="2866"/>
      <c r="F1270" s="2866"/>
      <c r="G1270" s="2866"/>
      <c r="H1270" s="2866"/>
      <c r="I1270" s="2866"/>
      <c r="J1270" s="2866"/>
      <c r="K1270" s="2866"/>
      <c r="L1270" s="2866"/>
      <c r="M1270" s="2866"/>
      <c r="N1270" s="2866"/>
      <c r="O1270" s="2866"/>
      <c r="P1270" s="2866"/>
      <c r="Q1270" s="2866"/>
      <c r="R1270" s="2867"/>
    </row>
    <row r="1271" spans="1:18" s="44" customFormat="1" x14ac:dyDescent="0.2">
      <c r="A1271" s="2848" t="s">
        <v>1856</v>
      </c>
      <c r="B1271" s="2840"/>
      <c r="C1271" s="2840"/>
      <c r="D1271" s="2849"/>
      <c r="E1271" s="369" t="s">
        <v>2663</v>
      </c>
      <c r="F1271" s="2649" t="s">
        <v>2251</v>
      </c>
      <c r="G1271" s="2885" t="s">
        <v>2253</v>
      </c>
      <c r="H1271" s="2886"/>
      <c r="I1271" s="2886"/>
      <c r="J1271" s="2886"/>
      <c r="K1271" s="2886"/>
      <c r="L1271" s="2886"/>
      <c r="M1271" s="2886"/>
      <c r="N1271" s="2886"/>
      <c r="O1271" s="2886"/>
      <c r="P1271" s="2886"/>
      <c r="Q1271" s="2886"/>
      <c r="R1271" s="2887"/>
    </row>
    <row r="1272" spans="1:18" s="23" customFormat="1" ht="12.75" customHeight="1" thickBot="1" x14ac:dyDescent="0.25">
      <c r="A1272" s="208" t="str">
        <f>A3</f>
        <v>2012/13</v>
      </c>
      <c r="B1272" s="75" t="str">
        <f>B3</f>
        <v>2013/14</v>
      </c>
      <c r="C1272" s="370" t="str">
        <f>C3</f>
        <v>2014/15</v>
      </c>
      <c r="D1272" s="93" t="str">
        <f>D3</f>
        <v>2015/16</v>
      </c>
      <c r="E1272" s="370" t="s">
        <v>2664</v>
      </c>
      <c r="F1272" s="42"/>
      <c r="G1272" s="93" t="str">
        <f>G3</f>
        <v>2016/17</v>
      </c>
      <c r="H1272" s="2193" t="str">
        <f>H1019</f>
        <v>%</v>
      </c>
      <c r="I1272" s="370" t="str">
        <f t="shared" ref="I1272:R1272" si="1401">I3</f>
        <v>2017/18</v>
      </c>
      <c r="J1272" s="370" t="str">
        <f t="shared" si="1401"/>
        <v>2018/19</v>
      </c>
      <c r="K1272" s="370" t="str">
        <f t="shared" si="1401"/>
        <v>2019/20</v>
      </c>
      <c r="L1272" s="370" t="str">
        <f t="shared" si="1401"/>
        <v>2020/21</v>
      </c>
      <c r="M1272" s="370" t="str">
        <f t="shared" si="1401"/>
        <v>2021/22</v>
      </c>
      <c r="N1272" s="370" t="str">
        <f t="shared" si="1401"/>
        <v>2022/23</v>
      </c>
      <c r="O1272" s="370" t="str">
        <f t="shared" si="1401"/>
        <v>2023/24</v>
      </c>
      <c r="P1272" s="370" t="str">
        <f t="shared" si="1401"/>
        <v>2024/25</v>
      </c>
      <c r="Q1272" s="218" t="str">
        <f t="shared" si="1401"/>
        <v>2025/26</v>
      </c>
      <c r="R1272" s="549" t="str">
        <f t="shared" si="1401"/>
        <v>2026/27</v>
      </c>
    </row>
    <row r="1273" spans="1:18" s="23" customFormat="1" ht="12.75" customHeight="1" x14ac:dyDescent="0.2">
      <c r="A1273" s="705"/>
      <c r="B1273" s="529"/>
      <c r="C1273" s="529"/>
      <c r="D1273" s="204"/>
      <c r="E1273" s="513"/>
      <c r="F1273" s="22"/>
      <c r="G1273" s="204"/>
      <c r="H1273" s="2416"/>
      <c r="I1273" s="529"/>
      <c r="J1273" s="529"/>
      <c r="K1273" s="529"/>
      <c r="L1273" s="529"/>
      <c r="M1273" s="529"/>
      <c r="N1273" s="529"/>
      <c r="O1273" s="529"/>
      <c r="P1273" s="529"/>
      <c r="Q1273" s="529"/>
      <c r="R1273" s="530"/>
    </row>
    <row r="1274" spans="1:18" x14ac:dyDescent="0.2">
      <c r="A1274" s="98"/>
      <c r="B1274" s="33"/>
      <c r="C1274" s="187"/>
      <c r="D1274" s="187"/>
      <c r="E1274" s="1954"/>
      <c r="F1274" s="103" t="s">
        <v>1073</v>
      </c>
      <c r="G1274" s="187"/>
      <c r="H1274" s="138"/>
      <c r="I1274" s="33"/>
      <c r="J1274" s="33"/>
      <c r="K1274" s="33"/>
      <c r="L1274" s="33"/>
      <c r="M1274" s="33"/>
      <c r="N1274" s="33"/>
      <c r="O1274" s="33"/>
      <c r="P1274" s="33"/>
      <c r="Q1274" s="33"/>
      <c r="R1274" s="114"/>
    </row>
    <row r="1275" spans="1:18" x14ac:dyDescent="0.2">
      <c r="A1275" s="98"/>
      <c r="B1275" s="33"/>
      <c r="E1275" s="1954"/>
      <c r="F1275" s="103"/>
      <c r="G1275" s="187"/>
      <c r="H1275" s="138"/>
      <c r="I1275" s="33"/>
      <c r="J1275" s="33"/>
      <c r="K1275" s="33"/>
      <c r="L1275" s="33"/>
      <c r="M1275" s="33"/>
      <c r="N1275" s="33"/>
      <c r="O1275" s="33"/>
      <c r="P1275" s="33"/>
      <c r="Q1275" s="33"/>
      <c r="R1275" s="114"/>
    </row>
    <row r="1276" spans="1:18" x14ac:dyDescent="0.2">
      <c r="A1276" s="107"/>
      <c r="B1276" s="33"/>
      <c r="E1276" s="658"/>
      <c r="F1276" s="2529" t="s">
        <v>3242</v>
      </c>
      <c r="G1276" s="187"/>
      <c r="H1276" s="138"/>
      <c r="I1276" s="33"/>
      <c r="J1276" s="33"/>
      <c r="K1276" s="33"/>
      <c r="L1276" s="33"/>
      <c r="M1276" s="33"/>
      <c r="N1276" s="33"/>
      <c r="O1276" s="33"/>
      <c r="P1276" s="33"/>
      <c r="Q1276" s="33"/>
      <c r="R1276" s="114"/>
    </row>
    <row r="1277" spans="1:18" x14ac:dyDescent="0.2">
      <c r="A1277" s="107">
        <v>200</v>
      </c>
      <c r="B1277" s="33">
        <v>33100</v>
      </c>
      <c r="C1277" s="189">
        <v>38700</v>
      </c>
      <c r="D1277" s="189">
        <v>42000</v>
      </c>
      <c r="E1277" s="1092" t="s">
        <v>3589</v>
      </c>
      <c r="F1277" s="952" t="s">
        <v>4824</v>
      </c>
      <c r="G1277" s="198">
        <v>31000</v>
      </c>
      <c r="H1277" s="138">
        <f t="shared" ref="H1277:H1283" si="1402">IF(D1277=G1277,0,IF(D1277=0,100,(G1277-D1277)/D1277*100))</f>
        <v>-26.190476190476193</v>
      </c>
      <c r="I1277" s="33">
        <v>43000</v>
      </c>
      <c r="J1277" s="33">
        <f>ROUNDUP(I1277+(I1277*Assumptions!I$5),-2)</f>
        <v>44100</v>
      </c>
      <c r="K1277" s="33">
        <f>ROUNDUP(J1277+(J1277*Assumptions!J$5),-2)</f>
        <v>45300</v>
      </c>
      <c r="L1277" s="33">
        <f>ROUNDUP(K1277+(K1277*Assumptions!K$5),-2)</f>
        <v>46500</v>
      </c>
      <c r="M1277" s="33">
        <f>ROUNDUP(L1277+(L1277*Assumptions!L$5),-2)</f>
        <v>47500</v>
      </c>
      <c r="N1277" s="33">
        <f>ROUNDUP(M1277+(M1277*Assumptions!M$5),-2)</f>
        <v>48500</v>
      </c>
      <c r="O1277" s="33">
        <f>ROUNDUP(N1277+(N1277*Assumptions!N$5),-2)</f>
        <v>49500</v>
      </c>
      <c r="P1277" s="33">
        <f>ROUNDUP(O1277+(O1277*Assumptions!O$5),-2)</f>
        <v>50500</v>
      </c>
      <c r="Q1277" s="33">
        <f>ROUNDUP(P1277+(P1277*Assumptions!P$5),-2)</f>
        <v>51600</v>
      </c>
      <c r="R1277" s="114">
        <f>ROUNDUP(Q1277+(Q1277*Assumptions!Q$5),-2)</f>
        <v>52700</v>
      </c>
    </row>
    <row r="1278" spans="1:18" x14ac:dyDescent="0.2">
      <c r="A1278" s="107">
        <v>39400</v>
      </c>
      <c r="B1278" s="33">
        <v>9000</v>
      </c>
      <c r="C1278" s="189">
        <v>6300</v>
      </c>
      <c r="D1278" s="189">
        <v>4100</v>
      </c>
      <c r="E1278" s="658" t="s">
        <v>1779</v>
      </c>
      <c r="F1278" s="916" t="s">
        <v>4825</v>
      </c>
      <c r="G1278" s="198">
        <f>4000-4000</f>
        <v>0</v>
      </c>
      <c r="H1278" s="138">
        <f t="shared" si="1402"/>
        <v>-100</v>
      </c>
      <c r="I1278" s="33">
        <f>ROUNDUP(G1278+(G1278*Assumptions!H$5),-2)</f>
        <v>0</v>
      </c>
      <c r="J1278" s="33">
        <f>ROUNDUP(I1278+(I1278*Assumptions!I$5),-2)</f>
        <v>0</v>
      </c>
      <c r="K1278" s="33">
        <f>ROUNDUP(J1278+(J1278*Assumptions!J$5),-2)</f>
        <v>0</v>
      </c>
      <c r="L1278" s="33">
        <f>ROUNDUP(K1278+(K1278*Assumptions!K$5),-2)</f>
        <v>0</v>
      </c>
      <c r="M1278" s="33">
        <f>ROUNDUP(L1278+(L1278*Assumptions!L$5),-2)</f>
        <v>0</v>
      </c>
      <c r="N1278" s="33">
        <f>ROUNDUP(M1278+(M1278*Assumptions!M$5),-2)</f>
        <v>0</v>
      </c>
      <c r="O1278" s="33">
        <f>ROUNDUP(N1278+(N1278*Assumptions!N$5),-2)</f>
        <v>0</v>
      </c>
      <c r="P1278" s="33">
        <f>ROUNDUP(O1278+(O1278*Assumptions!O$5),-2)</f>
        <v>0</v>
      </c>
      <c r="Q1278" s="33">
        <f>ROUNDUP(P1278+(P1278*Assumptions!P$5),-2)</f>
        <v>0</v>
      </c>
      <c r="R1278" s="114">
        <f>ROUNDUP(Q1278+(Q1278*Assumptions!Q$5),-2)</f>
        <v>0</v>
      </c>
    </row>
    <row r="1279" spans="1:18" x14ac:dyDescent="0.2">
      <c r="A1279" s="107">
        <v>13700</v>
      </c>
      <c r="B1279" s="33">
        <v>24900</v>
      </c>
      <c r="C1279" s="189">
        <v>25300</v>
      </c>
      <c r="D1279" s="189">
        <v>34800</v>
      </c>
      <c r="E1279" s="658" t="s">
        <v>2297</v>
      </c>
      <c r="F1279" s="952" t="s">
        <v>1268</v>
      </c>
      <c r="G1279" s="198">
        <f>25000+7000</f>
        <v>32000</v>
      </c>
      <c r="H1279" s="138">
        <f t="shared" si="1402"/>
        <v>-8.0459770114942533</v>
      </c>
      <c r="I1279" s="33">
        <v>35000</v>
      </c>
      <c r="J1279" s="33">
        <f>ROUNDUP(I1279+(I1279*Assumptions!I$5),-2)</f>
        <v>35900</v>
      </c>
      <c r="K1279" s="33">
        <f>ROUNDUP(J1279+(J1279*Assumptions!J$5),-2)</f>
        <v>36800</v>
      </c>
      <c r="L1279" s="33">
        <f>ROUNDUP(K1279+(K1279*Assumptions!K$5),-2)</f>
        <v>37800</v>
      </c>
      <c r="M1279" s="33">
        <f>ROUNDUP(L1279+(L1279*Assumptions!L$5),-2)</f>
        <v>38600</v>
      </c>
      <c r="N1279" s="33">
        <f>ROUNDUP(M1279+(M1279*Assumptions!M$5),-2)</f>
        <v>39400</v>
      </c>
      <c r="O1279" s="33">
        <f>ROUNDUP(N1279+(N1279*Assumptions!N$5),-2)</f>
        <v>40200</v>
      </c>
      <c r="P1279" s="33">
        <f>ROUNDUP(O1279+(O1279*Assumptions!O$5),-2)</f>
        <v>41100</v>
      </c>
      <c r="Q1279" s="33">
        <f>ROUNDUP(P1279+(P1279*Assumptions!P$5),-2)</f>
        <v>42000</v>
      </c>
      <c r="R1279" s="114">
        <f>ROUNDUP(Q1279+(Q1279*Assumptions!Q$5),-2)</f>
        <v>42900</v>
      </c>
    </row>
    <row r="1280" spans="1:18" x14ac:dyDescent="0.2">
      <c r="A1280" s="107">
        <v>0</v>
      </c>
      <c r="B1280" s="33">
        <v>0</v>
      </c>
      <c r="C1280" s="189">
        <v>3000</v>
      </c>
      <c r="D1280" s="189">
        <v>100</v>
      </c>
      <c r="E1280" s="1092" t="s">
        <v>4268</v>
      </c>
      <c r="F1280" s="916" t="s">
        <v>4760</v>
      </c>
      <c r="G1280" s="198">
        <f>500+2000</f>
        <v>2500</v>
      </c>
      <c r="H1280" s="138">
        <f t="shared" si="1402"/>
        <v>2400</v>
      </c>
      <c r="I1280" s="33">
        <v>500</v>
      </c>
      <c r="J1280" s="33">
        <f>ROUNDUP(I1280+(I1280*Assumptions!I$5),-2)</f>
        <v>600</v>
      </c>
      <c r="K1280" s="33">
        <f>ROUNDUP(J1280+(J1280*Assumptions!J$5),-2)</f>
        <v>700</v>
      </c>
      <c r="L1280" s="33">
        <f>ROUNDUP(K1280+(K1280*Assumptions!K$5),-2)</f>
        <v>800</v>
      </c>
      <c r="M1280" s="33">
        <f>ROUNDUP(L1280+(L1280*Assumptions!L$5),-2)</f>
        <v>900</v>
      </c>
      <c r="N1280" s="33">
        <f>ROUNDUP(M1280+(M1280*Assumptions!M$5),-2)</f>
        <v>1000</v>
      </c>
      <c r="O1280" s="33">
        <f>ROUNDUP(N1280+(N1280*Assumptions!N$5),-2)</f>
        <v>1100</v>
      </c>
      <c r="P1280" s="33">
        <f>ROUNDUP(O1280+(O1280*Assumptions!O$5),-2)</f>
        <v>1200</v>
      </c>
      <c r="Q1280" s="33">
        <f>ROUNDUP(P1280+(P1280*Assumptions!P$5),-2)</f>
        <v>1300</v>
      </c>
      <c r="R1280" s="114">
        <f>ROUNDUP(Q1280+(Q1280*Assumptions!Q$5),-2)</f>
        <v>1400</v>
      </c>
    </row>
    <row r="1281" spans="1:18" x14ac:dyDescent="0.2">
      <c r="A1281" s="107">
        <v>29600</v>
      </c>
      <c r="B1281" s="33">
        <v>23000</v>
      </c>
      <c r="C1281" s="189">
        <v>34300</v>
      </c>
      <c r="D1281" s="189">
        <v>21100</v>
      </c>
      <c r="E1281" s="658" t="s">
        <v>2242</v>
      </c>
      <c r="F1281" s="952" t="s">
        <v>4761</v>
      </c>
      <c r="G1281" s="198">
        <v>28000</v>
      </c>
      <c r="H1281" s="138">
        <f t="shared" si="1402"/>
        <v>32.70142180094787</v>
      </c>
      <c r="I1281" s="33">
        <f>ROUNDUP(G1281+(G1281*Assumptions!H$5),-2)</f>
        <v>28500</v>
      </c>
      <c r="J1281" s="33">
        <f>ROUNDUP(I1281+(I1281*Assumptions!I$5),-2)</f>
        <v>29300</v>
      </c>
      <c r="K1281" s="33">
        <f>ROUNDUP(J1281+(J1281*Assumptions!J$5),-2)</f>
        <v>30100</v>
      </c>
      <c r="L1281" s="33">
        <f>ROUNDUP(K1281+(K1281*Assumptions!K$5),-2)</f>
        <v>30900</v>
      </c>
      <c r="M1281" s="33">
        <f>ROUNDUP(L1281+(L1281*Assumptions!L$5),-2)</f>
        <v>31600</v>
      </c>
      <c r="N1281" s="33">
        <f>ROUNDUP(M1281+(M1281*Assumptions!M$5),-2)</f>
        <v>32300</v>
      </c>
      <c r="O1281" s="33">
        <f>ROUNDUP(N1281+(N1281*Assumptions!N$5),-2)</f>
        <v>33000</v>
      </c>
      <c r="P1281" s="33">
        <f>ROUNDUP(O1281+(O1281*Assumptions!O$5),-2)</f>
        <v>33700</v>
      </c>
      <c r="Q1281" s="33">
        <f>ROUNDUP(P1281+(P1281*Assumptions!P$5),-2)</f>
        <v>34400</v>
      </c>
      <c r="R1281" s="114">
        <f>ROUNDUP(Q1281+(Q1281*Assumptions!Q$5),-2)</f>
        <v>35100</v>
      </c>
    </row>
    <row r="1282" spans="1:18" x14ac:dyDescent="0.2">
      <c r="A1282" s="107">
        <v>300</v>
      </c>
      <c r="B1282" s="33">
        <v>100</v>
      </c>
      <c r="C1282" s="189">
        <v>300</v>
      </c>
      <c r="D1282" s="189">
        <v>900</v>
      </c>
      <c r="E1282" s="658" t="s">
        <v>2547</v>
      </c>
      <c r="F1282" s="916" t="s">
        <v>4826</v>
      </c>
      <c r="G1282" s="198">
        <v>400</v>
      </c>
      <c r="H1282" s="138">
        <f t="shared" si="1402"/>
        <v>-55.555555555555557</v>
      </c>
      <c r="I1282" s="33">
        <f>ROUNDUP(G1282+(G1282*Assumptions!H$5),-2)</f>
        <v>500</v>
      </c>
      <c r="J1282" s="33">
        <f>ROUNDUP(I1282+(I1282*Assumptions!I$5),-2)</f>
        <v>600</v>
      </c>
      <c r="K1282" s="33">
        <f>ROUNDUP(J1282+(J1282*Assumptions!J$5),-2)</f>
        <v>700</v>
      </c>
      <c r="L1282" s="33">
        <f>ROUNDUP(K1282+(K1282*Assumptions!K$5),-2)</f>
        <v>800</v>
      </c>
      <c r="M1282" s="33">
        <f>ROUNDUP(L1282+(L1282*Assumptions!L$5),-2)</f>
        <v>900</v>
      </c>
      <c r="N1282" s="33">
        <f>ROUNDUP(M1282+(M1282*Assumptions!M$5),-2)</f>
        <v>1000</v>
      </c>
      <c r="O1282" s="33">
        <f>ROUNDUP(N1282+(N1282*Assumptions!N$5),-2)</f>
        <v>1100</v>
      </c>
      <c r="P1282" s="33">
        <f>ROUNDUP(O1282+(O1282*Assumptions!O$5),-2)</f>
        <v>1200</v>
      </c>
      <c r="Q1282" s="33">
        <f>ROUNDUP(P1282+(P1282*Assumptions!P$5),-2)</f>
        <v>1300</v>
      </c>
      <c r="R1282" s="114">
        <f>ROUNDUP(Q1282+(Q1282*Assumptions!Q$5),-2)</f>
        <v>1400</v>
      </c>
    </row>
    <row r="1283" spans="1:18" x14ac:dyDescent="0.2">
      <c r="A1283" s="107">
        <v>0</v>
      </c>
      <c r="B1283" s="33">
        <v>0</v>
      </c>
      <c r="C1283" s="189">
        <v>0</v>
      </c>
      <c r="D1283" s="189">
        <v>0</v>
      </c>
      <c r="E1283" s="1098" t="s">
        <v>6510</v>
      </c>
      <c r="F1283" s="916" t="s">
        <v>6900</v>
      </c>
      <c r="G1283" s="198">
        <f>3100+5000</f>
        <v>8100</v>
      </c>
      <c r="H1283" s="138">
        <f t="shared" si="1402"/>
        <v>100</v>
      </c>
      <c r="I1283" s="33">
        <v>3000</v>
      </c>
      <c r="J1283" s="33">
        <f>ROUNDUP(I1283+(I1283*Assumptions!I$5),-2)</f>
        <v>3100</v>
      </c>
      <c r="K1283" s="33">
        <f>ROUNDUP(J1283+(J1283*Assumptions!J$5),-2)</f>
        <v>3200</v>
      </c>
      <c r="L1283" s="33">
        <f>ROUNDUP(K1283+(K1283*Assumptions!K$5),-2)</f>
        <v>3300</v>
      </c>
      <c r="M1283" s="33">
        <f>ROUNDUP(L1283+(L1283*Assumptions!L$5),-2)</f>
        <v>3400</v>
      </c>
      <c r="N1283" s="33">
        <f>ROUNDUP(M1283+(M1283*Assumptions!M$5),-2)</f>
        <v>3500</v>
      </c>
      <c r="O1283" s="33">
        <f>ROUNDUP(N1283+(N1283*Assumptions!N$5),-2)</f>
        <v>3600</v>
      </c>
      <c r="P1283" s="33">
        <f>ROUNDUP(O1283+(O1283*Assumptions!O$5),-2)</f>
        <v>3700</v>
      </c>
      <c r="Q1283" s="33">
        <f>ROUNDUP(P1283+(P1283*Assumptions!P$5),-2)</f>
        <v>3800</v>
      </c>
      <c r="R1283" s="114">
        <f>ROUNDUP(Q1283+(Q1283*Assumptions!Q$5),-2)</f>
        <v>3900</v>
      </c>
    </row>
    <row r="1284" spans="1:18" x14ac:dyDescent="0.2">
      <c r="A1284" s="107"/>
      <c r="B1284" s="33"/>
      <c r="E1284" s="673"/>
      <c r="F1284" s="952"/>
      <c r="G1284" s="198"/>
      <c r="H1284" s="138"/>
      <c r="I1284" s="33"/>
      <c r="J1284" s="33"/>
      <c r="K1284" s="33"/>
      <c r="L1284" s="33"/>
      <c r="M1284" s="33"/>
      <c r="N1284" s="33"/>
      <c r="O1284" s="33"/>
      <c r="P1284" s="33"/>
      <c r="Q1284" s="33"/>
      <c r="R1284" s="114"/>
    </row>
    <row r="1285" spans="1:18" x14ac:dyDescent="0.2">
      <c r="A1285" s="107"/>
      <c r="B1285" s="33"/>
      <c r="E1285" s="445"/>
      <c r="F1285" s="562" t="s">
        <v>687</v>
      </c>
      <c r="G1285" s="198"/>
      <c r="H1285" s="138"/>
      <c r="I1285" s="33"/>
      <c r="J1285" s="33"/>
      <c r="K1285" s="33"/>
      <c r="L1285" s="33"/>
      <c r="M1285" s="33"/>
      <c r="N1285" s="33"/>
      <c r="O1285" s="33"/>
      <c r="P1285" s="33"/>
      <c r="Q1285" s="33"/>
      <c r="R1285" s="114"/>
    </row>
    <row r="1286" spans="1:18" x14ac:dyDescent="0.2">
      <c r="A1286" s="107">
        <v>89400</v>
      </c>
      <c r="B1286" s="33">
        <v>59300</v>
      </c>
      <c r="C1286" s="189">
        <v>51500</v>
      </c>
      <c r="D1286" s="189">
        <v>50900</v>
      </c>
      <c r="E1286" s="658" t="s">
        <v>2197</v>
      </c>
      <c r="F1286" s="351" t="s">
        <v>1488</v>
      </c>
      <c r="G1286" s="198">
        <f>70000-10000-20000</f>
        <v>40000</v>
      </c>
      <c r="H1286" s="138">
        <f t="shared" ref="H1286:H1290" si="1403">IF(D1286=G1286,0,IF(D1286=0,100,(G1286-D1286)/D1286*100))</f>
        <v>-21.414538310412574</v>
      </c>
      <c r="I1286" s="33">
        <f>ROUNDUP(G1286+(G1286*Assumptions!H$5),-2)</f>
        <v>40600</v>
      </c>
      <c r="J1286" s="33">
        <f>ROUNDUP(I1286+(I1286*Assumptions!I$5),-2)</f>
        <v>41700</v>
      </c>
      <c r="K1286" s="33">
        <f>ROUNDUP(J1286+(J1286*Assumptions!J$5),-2)</f>
        <v>42800</v>
      </c>
      <c r="L1286" s="33">
        <f>ROUNDUP(K1286+(K1286*Assumptions!K$5),-2)</f>
        <v>43900</v>
      </c>
      <c r="M1286" s="33">
        <f>ROUNDUP(L1286+(L1286*Assumptions!L$5),-2)</f>
        <v>44800</v>
      </c>
      <c r="N1286" s="33">
        <f>ROUNDUP(M1286+(M1286*Assumptions!M$5),-2)</f>
        <v>45700</v>
      </c>
      <c r="O1286" s="33">
        <f>ROUNDUP(N1286+(N1286*Assumptions!N$5),-2)</f>
        <v>46700</v>
      </c>
      <c r="P1286" s="33">
        <f>ROUNDUP(O1286+(O1286*Assumptions!O$5),-2)</f>
        <v>47700</v>
      </c>
      <c r="Q1286" s="33">
        <f>ROUNDUP(P1286+(P1286*Assumptions!P$5),-2)</f>
        <v>48700</v>
      </c>
      <c r="R1286" s="114">
        <f>ROUNDUP(Q1286+(Q1286*Assumptions!Q$5),-2)</f>
        <v>49700</v>
      </c>
    </row>
    <row r="1287" spans="1:18" x14ac:dyDescent="0.2">
      <c r="A1287" s="107">
        <v>35400</v>
      </c>
      <c r="B1287" s="33">
        <v>33200</v>
      </c>
      <c r="C1287" s="187">
        <v>34500</v>
      </c>
      <c r="D1287" s="189">
        <v>30000</v>
      </c>
      <c r="E1287" s="658" t="s">
        <v>1074</v>
      </c>
      <c r="F1287" s="351" t="s">
        <v>2567</v>
      </c>
      <c r="G1287" s="198">
        <f>38000-9000</f>
        <v>29000</v>
      </c>
      <c r="H1287" s="138">
        <f t="shared" si="1403"/>
        <v>-3.3333333333333335</v>
      </c>
      <c r="I1287" s="33">
        <f>ROUNDUP(G1287+(G1287*Assumptions!H$5),-2)</f>
        <v>29500</v>
      </c>
      <c r="J1287" s="33">
        <f>ROUNDUP(I1287+(I1287*Assumptions!I$5),-2)</f>
        <v>30300</v>
      </c>
      <c r="K1287" s="33">
        <f>ROUNDUP(J1287+(J1287*Assumptions!J$5),-2)</f>
        <v>31100</v>
      </c>
      <c r="L1287" s="33">
        <f>ROUNDUP(K1287+(K1287*Assumptions!K$5),-2)</f>
        <v>31900</v>
      </c>
      <c r="M1287" s="33">
        <f>ROUNDUP(L1287+(L1287*Assumptions!L$5),-2)</f>
        <v>32600</v>
      </c>
      <c r="N1287" s="33">
        <f>ROUNDUP(M1287+(M1287*Assumptions!M$5),-2)</f>
        <v>33300</v>
      </c>
      <c r="O1287" s="33">
        <f>ROUNDUP(N1287+(N1287*Assumptions!N$5),-2)</f>
        <v>34000</v>
      </c>
      <c r="P1287" s="33">
        <f>ROUNDUP(O1287+(O1287*Assumptions!O$5),-2)</f>
        <v>34700</v>
      </c>
      <c r="Q1287" s="33">
        <f>ROUNDUP(P1287+(P1287*Assumptions!P$5),-2)</f>
        <v>35400</v>
      </c>
      <c r="R1287" s="114">
        <f>ROUNDUP(Q1287+(Q1287*Assumptions!Q$5),-2)</f>
        <v>36200</v>
      </c>
    </row>
    <row r="1288" spans="1:18" x14ac:dyDescent="0.2">
      <c r="A1288" s="107">
        <v>5400</v>
      </c>
      <c r="B1288" s="33">
        <f>7200+92400</f>
        <v>99600</v>
      </c>
      <c r="C1288" s="187">
        <f>1800+8100+25000</f>
        <v>34900</v>
      </c>
      <c r="D1288" s="189">
        <v>40000</v>
      </c>
      <c r="E1288" s="1092" t="s">
        <v>3063</v>
      </c>
      <c r="F1288" s="952" t="s">
        <v>79</v>
      </c>
      <c r="G1288" s="198">
        <f>2000+7000</f>
        <v>9000</v>
      </c>
      <c r="H1288" s="138">
        <f t="shared" si="1403"/>
        <v>-77.5</v>
      </c>
      <c r="I1288" s="33">
        <v>2100</v>
      </c>
      <c r="J1288" s="33">
        <f>ROUNDUP(I1288+(I1288*Assumptions!I$5),-2)</f>
        <v>2200</v>
      </c>
      <c r="K1288" s="33">
        <f>ROUNDUP(J1288+(J1288*Assumptions!J$5),-2)</f>
        <v>2300</v>
      </c>
      <c r="L1288" s="33">
        <f>ROUNDUP(K1288+(K1288*Assumptions!K$5),-2)</f>
        <v>2400</v>
      </c>
      <c r="M1288" s="33">
        <f>ROUNDUP(L1288+(L1288*Assumptions!L$5),-2)</f>
        <v>2500</v>
      </c>
      <c r="N1288" s="33">
        <f>ROUNDUP(M1288+(M1288*Assumptions!M$5),-2)</f>
        <v>2600</v>
      </c>
      <c r="O1288" s="33">
        <f>ROUNDUP(N1288+(N1288*Assumptions!N$5),-2)</f>
        <v>2700</v>
      </c>
      <c r="P1288" s="33">
        <f>ROUNDUP(O1288+(O1288*Assumptions!O$5),-2)</f>
        <v>2800</v>
      </c>
      <c r="Q1288" s="33">
        <f>ROUNDUP(P1288+(P1288*Assumptions!P$5),-2)</f>
        <v>2900</v>
      </c>
      <c r="R1288" s="114">
        <f>ROUNDUP(Q1288+(Q1288*Assumptions!Q$5),-2)</f>
        <v>3000</v>
      </c>
    </row>
    <row r="1289" spans="1:18" x14ac:dyDescent="0.2">
      <c r="A1289" s="107">
        <f>121100+33500</f>
        <v>154600</v>
      </c>
      <c r="B1289" s="33">
        <v>123500</v>
      </c>
      <c r="C1289" s="33">
        <f>149600-22500</f>
        <v>127100</v>
      </c>
      <c r="D1289" s="189">
        <v>129000</v>
      </c>
      <c r="E1289" s="658" t="s">
        <v>1645</v>
      </c>
      <c r="F1289" s="351" t="s">
        <v>626</v>
      </c>
      <c r="G1289" s="78">
        <f>134000-4000</f>
        <v>130000</v>
      </c>
      <c r="H1289" s="138">
        <f t="shared" si="1403"/>
        <v>0.77519379844961245</v>
      </c>
      <c r="I1289" s="33">
        <f>ROUNDUP(G1289+(G1289*Assumptions!H$5),-2)</f>
        <v>132000</v>
      </c>
      <c r="J1289" s="33">
        <f>ROUNDUP(I1289+(I1289*Assumptions!I$5),-2)</f>
        <v>135300</v>
      </c>
      <c r="K1289" s="33">
        <f>ROUNDUP(J1289+(J1289*Assumptions!J$5),-2)</f>
        <v>138700</v>
      </c>
      <c r="L1289" s="33">
        <f>ROUNDUP(K1289+(K1289*Assumptions!K$5),-2)</f>
        <v>142200</v>
      </c>
      <c r="M1289" s="33">
        <f>ROUNDUP(L1289+(L1289*Assumptions!L$5),-2)</f>
        <v>145100</v>
      </c>
      <c r="N1289" s="33">
        <f>ROUNDUP(M1289+(M1289*Assumptions!M$5),-2)</f>
        <v>148100</v>
      </c>
      <c r="O1289" s="33">
        <f>ROUNDUP(N1289+(N1289*Assumptions!N$5),-2)</f>
        <v>151100</v>
      </c>
      <c r="P1289" s="33">
        <f>ROUNDUP(O1289+(O1289*Assumptions!O$5),-2)</f>
        <v>154200</v>
      </c>
      <c r="Q1289" s="33">
        <f>ROUNDUP(P1289+(P1289*Assumptions!P$5),-2)</f>
        <v>157300</v>
      </c>
      <c r="R1289" s="114">
        <f>ROUNDUP(Q1289+(Q1289*Assumptions!Q$5),-2)</f>
        <v>160500</v>
      </c>
    </row>
    <row r="1290" spans="1:18" x14ac:dyDescent="0.2">
      <c r="A1290" s="107">
        <v>20500</v>
      </c>
      <c r="B1290" s="33">
        <v>22000</v>
      </c>
      <c r="C1290" s="33">
        <v>22500</v>
      </c>
      <c r="D1290" s="189">
        <v>23100</v>
      </c>
      <c r="E1290" s="658" t="s">
        <v>1645</v>
      </c>
      <c r="F1290" s="916" t="s">
        <v>627</v>
      </c>
      <c r="G1290" s="99">
        <v>24000</v>
      </c>
      <c r="H1290" s="138">
        <f t="shared" si="1403"/>
        <v>3.8961038961038961</v>
      </c>
      <c r="I1290" s="33">
        <f>ROUNDUP(G1290+(G1290*Assumptions!H$5),-2)</f>
        <v>24400</v>
      </c>
      <c r="J1290" s="33">
        <f>ROUNDUP(I1290+(I1290*Assumptions!I$5),-2)</f>
        <v>25100</v>
      </c>
      <c r="K1290" s="33">
        <f>ROUNDUP(J1290+(J1290*Assumptions!J$5),-2)</f>
        <v>25800</v>
      </c>
      <c r="L1290" s="33">
        <f>ROUNDUP(K1290+(K1290*Assumptions!K$5),-2)</f>
        <v>26500</v>
      </c>
      <c r="M1290" s="33">
        <f>ROUNDUP(L1290+(L1290*Assumptions!L$5),-2)</f>
        <v>27100</v>
      </c>
      <c r="N1290" s="33">
        <f>ROUNDUP(M1290+(M1290*Assumptions!M$5),-2)</f>
        <v>27700</v>
      </c>
      <c r="O1290" s="33">
        <f>ROUNDUP(N1290+(N1290*Assumptions!N$5),-2)</f>
        <v>28300</v>
      </c>
      <c r="P1290" s="33">
        <f>ROUNDUP(O1290+(O1290*Assumptions!O$5),-2)</f>
        <v>28900</v>
      </c>
      <c r="Q1290" s="33">
        <f>ROUNDUP(P1290+(P1290*Assumptions!P$5),-2)</f>
        <v>29500</v>
      </c>
      <c r="R1290" s="114">
        <f>ROUNDUP(Q1290+(Q1290*Assumptions!Q$5),-2)</f>
        <v>30100</v>
      </c>
    </row>
    <row r="1291" spans="1:18" ht="13.5" thickBot="1" x14ac:dyDescent="0.25">
      <c r="A1291" s="107"/>
      <c r="B1291" s="33"/>
      <c r="E1291" s="1954"/>
      <c r="F1291" s="33"/>
      <c r="G1291" s="198"/>
      <c r="H1291" s="138"/>
      <c r="I1291" s="33"/>
      <c r="J1291" s="33"/>
      <c r="K1291" s="33"/>
      <c r="L1291" s="33"/>
      <c r="M1291" s="33"/>
      <c r="N1291" s="33"/>
      <c r="O1291" s="33"/>
      <c r="P1291" s="33"/>
      <c r="Q1291" s="33"/>
      <c r="R1291" s="114"/>
    </row>
    <row r="1292" spans="1:18" s="92" customFormat="1" x14ac:dyDescent="0.2">
      <c r="A1292" s="105">
        <f>SUM(A1274:A1291)</f>
        <v>388500</v>
      </c>
      <c r="B1292" s="53">
        <f>SUM(B1274:B1291)</f>
        <v>427700</v>
      </c>
      <c r="C1292" s="199">
        <f>SUM(C1274:C1291)</f>
        <v>378400</v>
      </c>
      <c r="D1292" s="190">
        <f>SUM(D1274:D1291)</f>
        <v>376000</v>
      </c>
      <c r="E1292" s="236"/>
      <c r="F1292" s="378" t="s">
        <v>2605</v>
      </c>
      <c r="G1292" s="2550">
        <f>SUM(G1274:G1291)</f>
        <v>334000</v>
      </c>
      <c r="H1292" s="180">
        <f>IF(D1292=G1292,0,IF(D1292=0,100,(G1292-D1292)/D1292*100))</f>
        <v>-11.170212765957446</v>
      </c>
      <c r="I1292" s="53">
        <f t="shared" ref="I1292:Q1292" si="1404">SUM(I1274:I1291)</f>
        <v>339100</v>
      </c>
      <c r="J1292" s="53">
        <f t="shared" si="1404"/>
        <v>348200</v>
      </c>
      <c r="K1292" s="53">
        <f t="shared" si="1404"/>
        <v>357500</v>
      </c>
      <c r="L1292" s="53">
        <f t="shared" si="1404"/>
        <v>367000</v>
      </c>
      <c r="M1292" s="53">
        <f t="shared" si="1404"/>
        <v>375000</v>
      </c>
      <c r="N1292" s="53">
        <f t="shared" si="1404"/>
        <v>383100</v>
      </c>
      <c r="O1292" s="53">
        <f t="shared" si="1404"/>
        <v>391300</v>
      </c>
      <c r="P1292" s="53">
        <f t="shared" si="1404"/>
        <v>399700</v>
      </c>
      <c r="Q1292" s="53">
        <f t="shared" si="1404"/>
        <v>408200</v>
      </c>
      <c r="R1292" s="113">
        <f t="shared" ref="R1292" si="1405">SUM(R1274:R1291)</f>
        <v>416900</v>
      </c>
    </row>
    <row r="1293" spans="1:18" s="92" customFormat="1" x14ac:dyDescent="0.2">
      <c r="A1293" s="70"/>
      <c r="B1293" s="64"/>
      <c r="C1293" s="192"/>
      <c r="D1293" s="193"/>
      <c r="E1293" s="236"/>
      <c r="F1293" s="378"/>
      <c r="G1293" s="197"/>
      <c r="H1293" s="179"/>
      <c r="I1293" s="64"/>
      <c r="J1293" s="64"/>
      <c r="K1293" s="64"/>
      <c r="L1293" s="64"/>
      <c r="M1293" s="64"/>
      <c r="N1293" s="64"/>
      <c r="O1293" s="64"/>
      <c r="P1293" s="64"/>
      <c r="Q1293" s="64"/>
      <c r="R1293" s="115"/>
    </row>
    <row r="1294" spans="1:18" x14ac:dyDescent="0.2">
      <c r="A1294" s="107"/>
      <c r="B1294" s="33"/>
      <c r="C1294" s="187"/>
      <c r="E1294" s="240"/>
      <c r="F1294" s="365" t="s">
        <v>2205</v>
      </c>
      <c r="G1294" s="198"/>
      <c r="H1294" s="138"/>
      <c r="I1294" s="33"/>
      <c r="J1294" s="33"/>
      <c r="K1294" s="33"/>
      <c r="L1294" s="33"/>
      <c r="M1294" s="33"/>
      <c r="N1294" s="33"/>
      <c r="O1294" s="33"/>
      <c r="P1294" s="33"/>
      <c r="Q1294" s="33"/>
      <c r="R1294" s="114"/>
    </row>
    <row r="1295" spans="1:18" x14ac:dyDescent="0.2">
      <c r="A1295" s="107"/>
      <c r="B1295" s="33"/>
      <c r="C1295" s="187"/>
      <c r="E1295" s="238"/>
      <c r="F1295" s="365"/>
      <c r="G1295" s="198"/>
      <c r="H1295" s="138"/>
      <c r="I1295" s="33"/>
      <c r="J1295" s="33"/>
      <c r="K1295" s="33"/>
      <c r="L1295" s="33"/>
      <c r="M1295" s="33"/>
      <c r="N1295" s="33"/>
      <c r="O1295" s="33"/>
      <c r="P1295" s="33"/>
      <c r="Q1295" s="33"/>
      <c r="R1295" s="114"/>
    </row>
    <row r="1296" spans="1:18" x14ac:dyDescent="0.2">
      <c r="A1296" s="107"/>
      <c r="B1296" s="33"/>
      <c r="E1296" s="238"/>
      <c r="F1296" s="371" t="s">
        <v>107</v>
      </c>
      <c r="G1296" s="198"/>
      <c r="H1296" s="138"/>
      <c r="I1296" s="33"/>
      <c r="J1296" s="33"/>
      <c r="K1296" s="33"/>
      <c r="L1296" s="33"/>
      <c r="M1296" s="33"/>
      <c r="N1296" s="33"/>
      <c r="O1296" s="33"/>
      <c r="P1296" s="33"/>
      <c r="Q1296" s="33"/>
      <c r="R1296" s="114"/>
    </row>
    <row r="1297" spans="1:18" x14ac:dyDescent="0.2">
      <c r="A1297" s="107">
        <v>217300</v>
      </c>
      <c r="B1297" s="33">
        <v>148400</v>
      </c>
      <c r="C1297" s="189">
        <v>170000</v>
      </c>
      <c r="D1297" s="189">
        <v>179700</v>
      </c>
      <c r="E1297" s="658" t="s">
        <v>2574</v>
      </c>
      <c r="F1297" s="366" t="s">
        <v>1341</v>
      </c>
      <c r="G1297" s="198">
        <v>279000</v>
      </c>
      <c r="H1297" s="138">
        <f>IF(D1297=G1297,0,IF(D1297=0,100,(G1297-D1297)/D1297*100))</f>
        <v>55.258764607679467</v>
      </c>
      <c r="I1297" s="33">
        <f>ROUND(G1297*Assumptions!I$13+CIV!G1297,-2)</f>
        <v>286000</v>
      </c>
      <c r="J1297" s="33">
        <f>ROUND(I1297*Assumptions!J$13+CIV!I1297,-2)</f>
        <v>293200</v>
      </c>
      <c r="K1297" s="33">
        <f>ROUND(J1297*Assumptions!K$13+CIV!J1297,-2)</f>
        <v>300500</v>
      </c>
      <c r="L1297" s="33">
        <f>ROUND(K1297*Assumptions!L$13+CIV!K1297,-2)</f>
        <v>308000</v>
      </c>
      <c r="M1297" s="33">
        <f>ROUND(L1297*Assumptions!M$13+CIV!L1297,-2)</f>
        <v>315700</v>
      </c>
      <c r="N1297" s="33">
        <f>ROUND(M1297*Assumptions!N$13+CIV!M1297,-2)</f>
        <v>323600</v>
      </c>
      <c r="O1297" s="33">
        <f>ROUND(N1297*Assumptions!P$13+CIV!N1297,-2)</f>
        <v>331700</v>
      </c>
      <c r="P1297" s="33">
        <f>ROUND(O1297*Assumptions!Q$13+CIV!O1297,-2)</f>
        <v>340000</v>
      </c>
      <c r="Q1297" s="33">
        <f>ROUND(P1297*Assumptions!R$13+CIV!P1297,-2)</f>
        <v>340000</v>
      </c>
      <c r="R1297" s="114">
        <f>ROUND(Q1297*Assumptions!S$13+CIV!Q1297,-2)</f>
        <v>340000</v>
      </c>
    </row>
    <row r="1298" spans="1:18" x14ac:dyDescent="0.2">
      <c r="A1298" s="107">
        <v>1700</v>
      </c>
      <c r="B1298" s="33">
        <v>1900</v>
      </c>
      <c r="C1298" s="189">
        <v>1600</v>
      </c>
      <c r="D1298" s="189">
        <v>500</v>
      </c>
      <c r="E1298" s="658" t="s">
        <v>190</v>
      </c>
      <c r="F1298" s="366" t="s">
        <v>1921</v>
      </c>
      <c r="G1298" s="198">
        <v>3000</v>
      </c>
      <c r="H1298" s="138">
        <f>IF(D1298=G1298,0,IF(D1298=0,100,(G1298-D1298)/D1298*100))</f>
        <v>500</v>
      </c>
      <c r="I1298" s="33">
        <v>3000</v>
      </c>
      <c r="J1298" s="33">
        <f>ROUNDUP(I1298+(I1298*Assumptions!I$5),-2)</f>
        <v>3100</v>
      </c>
      <c r="K1298" s="33">
        <f>ROUNDUP(J1298+(J1298*Assumptions!J$5),-2)</f>
        <v>3200</v>
      </c>
      <c r="L1298" s="33">
        <f>ROUNDUP(K1298+(K1298*Assumptions!K$5),-2)</f>
        <v>3300</v>
      </c>
      <c r="M1298" s="33">
        <f>ROUNDUP(L1298+(L1298*Assumptions!L$5),-2)</f>
        <v>3400</v>
      </c>
      <c r="N1298" s="33">
        <f>ROUNDUP(M1298+(M1298*Assumptions!M$5),-2)</f>
        <v>3500</v>
      </c>
      <c r="O1298" s="33">
        <f>ROUNDUP(N1298+(N1298*Assumptions!N$5),-2)</f>
        <v>3600</v>
      </c>
      <c r="P1298" s="33">
        <f>ROUNDUP(O1298+(O1298*Assumptions!O$5),-2)</f>
        <v>3700</v>
      </c>
      <c r="Q1298" s="33">
        <f>ROUNDUP(P1298+(P1298*Assumptions!P$5),-2)</f>
        <v>3800</v>
      </c>
      <c r="R1298" s="114">
        <f>ROUNDUP(Q1298+(Q1298*Assumptions!Q$5),-2)</f>
        <v>3900</v>
      </c>
    </row>
    <row r="1299" spans="1:18" x14ac:dyDescent="0.2">
      <c r="A1299" s="107">
        <v>9600</v>
      </c>
      <c r="B1299" s="33">
        <v>8000</v>
      </c>
      <c r="C1299" s="189">
        <v>8300</v>
      </c>
      <c r="D1299" s="189">
        <v>8300</v>
      </c>
      <c r="E1299" s="658" t="s">
        <v>1970</v>
      </c>
      <c r="F1299" s="366" t="s">
        <v>608</v>
      </c>
      <c r="G1299" s="198">
        <v>6000</v>
      </c>
      <c r="H1299" s="138">
        <f>IF(D1299=G1299,0,IF(D1299=0,100,(G1299-D1299)/D1299*100))</f>
        <v>-27.710843373493976</v>
      </c>
      <c r="I1299" s="33">
        <f>ROUNDUP(G1299+(G1299*Assumptions!H$5),-2)</f>
        <v>6100</v>
      </c>
      <c r="J1299" s="33">
        <f>ROUNDUP(I1299+(I1299*Assumptions!I$5),-2)</f>
        <v>6300</v>
      </c>
      <c r="K1299" s="33">
        <f>ROUNDUP(J1299+(J1299*Assumptions!J$5),-2)</f>
        <v>6500</v>
      </c>
      <c r="L1299" s="33">
        <f>ROUNDUP(K1299+(K1299*Assumptions!K$5),-2)</f>
        <v>6700</v>
      </c>
      <c r="M1299" s="33">
        <f>ROUNDUP(L1299+(L1299*Assumptions!L$5),-2)</f>
        <v>6900</v>
      </c>
      <c r="N1299" s="33">
        <f>ROUNDUP(M1299+(M1299*Assumptions!M$5),-2)</f>
        <v>7100</v>
      </c>
      <c r="O1299" s="33">
        <f>ROUNDUP(N1299+(N1299*Assumptions!N$5),-2)</f>
        <v>7300</v>
      </c>
      <c r="P1299" s="33">
        <f>ROUNDUP(O1299+(O1299*Assumptions!O$5),-2)</f>
        <v>7500</v>
      </c>
      <c r="Q1299" s="33">
        <f>ROUNDUP(P1299+(P1299*Assumptions!P$5),-2)</f>
        <v>7700</v>
      </c>
      <c r="R1299" s="114">
        <f>ROUNDUP(Q1299+(Q1299*Assumptions!Q$5),-2)</f>
        <v>7900</v>
      </c>
    </row>
    <row r="1300" spans="1:18" x14ac:dyDescent="0.2">
      <c r="A1300" s="107"/>
      <c r="B1300" s="33"/>
      <c r="E1300" s="658"/>
      <c r="F1300" s="366"/>
      <c r="G1300" s="198"/>
      <c r="H1300" s="138"/>
      <c r="I1300" s="33"/>
      <c r="J1300" s="33"/>
      <c r="K1300" s="33"/>
      <c r="L1300" s="33"/>
      <c r="M1300" s="33"/>
      <c r="N1300" s="33"/>
      <c r="O1300" s="33"/>
      <c r="P1300" s="33"/>
      <c r="Q1300" s="33"/>
      <c r="R1300" s="114"/>
    </row>
    <row r="1301" spans="1:18" x14ac:dyDescent="0.2">
      <c r="A1301" s="107"/>
      <c r="B1301" s="33"/>
      <c r="E1301" s="658"/>
      <c r="F1301" s="562" t="s">
        <v>1531</v>
      </c>
      <c r="G1301" s="198"/>
      <c r="H1301" s="138"/>
      <c r="I1301" s="33"/>
      <c r="J1301" s="33"/>
      <c r="K1301" s="33"/>
      <c r="L1301" s="33"/>
      <c r="M1301" s="33"/>
      <c r="N1301" s="33"/>
      <c r="O1301" s="33"/>
      <c r="P1301" s="33"/>
      <c r="Q1301" s="33"/>
      <c r="R1301" s="114"/>
    </row>
    <row r="1302" spans="1:18" x14ac:dyDescent="0.2">
      <c r="A1302" s="107">
        <v>0</v>
      </c>
      <c r="B1302" s="33">
        <v>0</v>
      </c>
      <c r="C1302" s="189">
        <v>0</v>
      </c>
      <c r="D1302" s="189">
        <v>0</v>
      </c>
      <c r="E1302" s="1092" t="s">
        <v>5554</v>
      </c>
      <c r="F1302" s="916" t="s">
        <v>6994</v>
      </c>
      <c r="G1302" s="198">
        <v>8100</v>
      </c>
      <c r="H1302" s="138">
        <f t="shared" ref="H1302:H1316" si="1406">IF(D1302=G1302,0,IF(D1302=0,100,(G1302-D1302)/D1302*100))</f>
        <v>100</v>
      </c>
      <c r="I1302" s="33">
        <v>0</v>
      </c>
      <c r="J1302" s="33">
        <f>ROUNDUP(I1302+(I1302*Assumptions!I$5),-2)</f>
        <v>0</v>
      </c>
      <c r="K1302" s="33">
        <f>ROUNDUP(J1302+(J1302*Assumptions!J$5),-2)</f>
        <v>0</v>
      </c>
      <c r="L1302" s="33">
        <f>ROUNDUP(K1302+(K1302*Assumptions!K$5),-2)</f>
        <v>0</v>
      </c>
      <c r="M1302" s="33">
        <f>ROUNDUP(L1302+(L1302*Assumptions!L$5),-2)</f>
        <v>0</v>
      </c>
      <c r="N1302" s="33">
        <f>ROUNDUP(M1302+(M1302*Assumptions!M$5),-2)</f>
        <v>0</v>
      </c>
      <c r="O1302" s="33">
        <f>ROUNDUP(N1302+(N1302*Assumptions!N$5),-2)</f>
        <v>0</v>
      </c>
      <c r="P1302" s="33">
        <f>ROUNDUP(O1302+(O1302*Assumptions!O$5),-2)</f>
        <v>0</v>
      </c>
      <c r="Q1302" s="33">
        <f>ROUNDUP(P1302+(P1302*Assumptions!P$5),-2)</f>
        <v>0</v>
      </c>
      <c r="R1302" s="114">
        <f>ROUNDUP(Q1302+(Q1302*Assumptions!Q$5),-2)</f>
        <v>0</v>
      </c>
    </row>
    <row r="1303" spans="1:18" x14ac:dyDescent="0.2">
      <c r="A1303" s="107">
        <v>0</v>
      </c>
      <c r="B1303" s="33">
        <v>0</v>
      </c>
      <c r="C1303" s="189">
        <v>0</v>
      </c>
      <c r="D1303" s="189">
        <v>2000</v>
      </c>
      <c r="E1303" s="1092" t="s">
        <v>6104</v>
      </c>
      <c r="F1303" s="916" t="s">
        <v>6105</v>
      </c>
      <c r="G1303" s="198">
        <f>43000+3000</f>
        <v>46000</v>
      </c>
      <c r="H1303" s="138">
        <f t="shared" si="1406"/>
        <v>2200</v>
      </c>
      <c r="I1303" s="33">
        <v>0</v>
      </c>
      <c r="J1303" s="33">
        <f>ROUNDUP(I1303+(I1303*Assumptions!I$5),-2)</f>
        <v>0</v>
      </c>
      <c r="K1303" s="33">
        <f>ROUNDUP(J1303+(J1303*Assumptions!J$5),-2)</f>
        <v>0</v>
      </c>
      <c r="L1303" s="33">
        <f>ROUNDUP(K1303+(K1303*Assumptions!K$5),-2)</f>
        <v>0</v>
      </c>
      <c r="M1303" s="33">
        <f>ROUNDUP(L1303+(L1303*Assumptions!L$5),-2)</f>
        <v>0</v>
      </c>
      <c r="N1303" s="33">
        <f>ROUNDUP(M1303+(M1303*Assumptions!M$5),-2)</f>
        <v>0</v>
      </c>
      <c r="O1303" s="33">
        <f>ROUNDUP(N1303+(N1303*Assumptions!N$5),-2)</f>
        <v>0</v>
      </c>
      <c r="P1303" s="33">
        <f>ROUNDUP(O1303+(O1303*Assumptions!O$5),-2)</f>
        <v>0</v>
      </c>
      <c r="Q1303" s="33">
        <f>ROUNDUP(P1303+(P1303*Assumptions!P$5),-2)</f>
        <v>0</v>
      </c>
      <c r="R1303" s="114">
        <f>ROUNDUP(Q1303+(Q1303*Assumptions!Q$5),-2)</f>
        <v>0</v>
      </c>
    </row>
    <row r="1304" spans="1:18" x14ac:dyDescent="0.2">
      <c r="A1304" s="107">
        <v>0</v>
      </c>
      <c r="B1304" s="33">
        <v>0</v>
      </c>
      <c r="C1304" s="189">
        <v>0</v>
      </c>
      <c r="D1304" s="189">
        <v>54000</v>
      </c>
      <c r="E1304" s="1092" t="s">
        <v>6797</v>
      </c>
      <c r="F1304" s="916" t="s">
        <v>6798</v>
      </c>
      <c r="G1304" s="198">
        <v>0</v>
      </c>
      <c r="H1304" s="138">
        <f t="shared" si="1406"/>
        <v>-100</v>
      </c>
      <c r="I1304" s="33">
        <f>ROUNDUP(G1304+(G1304*Assumptions!H$5),-2)</f>
        <v>0</v>
      </c>
      <c r="J1304" s="33">
        <f>ROUNDUP(I1304+(I1304*Assumptions!I$5),-2)</f>
        <v>0</v>
      </c>
      <c r="K1304" s="33">
        <f>ROUNDUP(J1304+(J1304*Assumptions!J$5),-2)</f>
        <v>0</v>
      </c>
      <c r="L1304" s="33">
        <f>ROUNDUP(K1304+(K1304*Assumptions!K$5),-2)</f>
        <v>0</v>
      </c>
      <c r="M1304" s="33">
        <f>ROUNDUP(L1304+(L1304*Assumptions!L$5),-2)</f>
        <v>0</v>
      </c>
      <c r="N1304" s="33">
        <f>ROUNDUP(M1304+(M1304*Assumptions!M$5),-2)</f>
        <v>0</v>
      </c>
      <c r="O1304" s="33">
        <f>ROUNDUP(N1304+(N1304*Assumptions!N$5),-2)</f>
        <v>0</v>
      </c>
      <c r="P1304" s="33">
        <f>ROUNDUP(O1304+(O1304*Assumptions!O$5),-2)</f>
        <v>0</v>
      </c>
      <c r="Q1304" s="33">
        <f>ROUNDUP(P1304+(P1304*Assumptions!P$5),-2)</f>
        <v>0</v>
      </c>
      <c r="R1304" s="114">
        <f>ROUNDUP(Q1304+(Q1304*Assumptions!Q$5),-2)</f>
        <v>0</v>
      </c>
    </row>
    <row r="1305" spans="1:18" x14ac:dyDescent="0.2">
      <c r="A1305" s="107">
        <v>16300</v>
      </c>
      <c r="B1305" s="33">
        <v>11100</v>
      </c>
      <c r="C1305" s="189">
        <v>12500</v>
      </c>
      <c r="D1305" s="189">
        <v>13700</v>
      </c>
      <c r="E1305" s="658" t="s">
        <v>2554</v>
      </c>
      <c r="F1305" s="351" t="s">
        <v>339</v>
      </c>
      <c r="G1305" s="198">
        <v>17000</v>
      </c>
      <c r="H1305" s="138">
        <f t="shared" si="1406"/>
        <v>24.087591240875913</v>
      </c>
      <c r="I1305" s="33">
        <v>15000</v>
      </c>
      <c r="J1305" s="33">
        <f>ROUNDUP(I1305+(I1305*Assumptions!I$5),-2)</f>
        <v>15400</v>
      </c>
      <c r="K1305" s="33">
        <f>ROUNDUP(J1305+(J1305*Assumptions!J$5),-2)</f>
        <v>15800</v>
      </c>
      <c r="L1305" s="33">
        <f>ROUNDUP(K1305+(K1305*Assumptions!K$5),-2)</f>
        <v>16200</v>
      </c>
      <c r="M1305" s="33">
        <f>ROUNDUP(L1305+(L1305*Assumptions!L$5),-2)</f>
        <v>16600</v>
      </c>
      <c r="N1305" s="33">
        <f>ROUNDUP(M1305+(M1305*Assumptions!M$5),-2)</f>
        <v>17000</v>
      </c>
      <c r="O1305" s="33">
        <f>ROUNDUP(N1305+(N1305*Assumptions!N$5),-2)</f>
        <v>17400</v>
      </c>
      <c r="P1305" s="33">
        <f>ROUNDUP(O1305+(O1305*Assumptions!O$5),-2)</f>
        <v>17800</v>
      </c>
      <c r="Q1305" s="33">
        <f>ROUNDUP(P1305+(P1305*Assumptions!P$5),-2)</f>
        <v>18200</v>
      </c>
      <c r="R1305" s="114">
        <f>ROUNDUP(Q1305+(Q1305*Assumptions!Q$5),-2)</f>
        <v>18600</v>
      </c>
    </row>
    <row r="1306" spans="1:18" x14ac:dyDescent="0.2">
      <c r="A1306" s="107">
        <v>142000</v>
      </c>
      <c r="B1306" s="33">
        <v>123800</v>
      </c>
      <c r="C1306" s="189">
        <v>114100</v>
      </c>
      <c r="D1306" s="189">
        <v>141000</v>
      </c>
      <c r="E1306" s="658" t="s">
        <v>2657</v>
      </c>
      <c r="F1306" s="916" t="s">
        <v>3321</v>
      </c>
      <c r="G1306" s="198">
        <v>146000</v>
      </c>
      <c r="H1306" s="138">
        <f t="shared" si="1406"/>
        <v>3.5460992907801421</v>
      </c>
      <c r="I1306" s="33">
        <f>ROUNDUP(G1306+(G1306*Assumptions!H$5),-2)</f>
        <v>148200</v>
      </c>
      <c r="J1306" s="33">
        <f>ROUNDUP(I1306+(I1306*Assumptions!I$5),-2)</f>
        <v>152000</v>
      </c>
      <c r="K1306" s="33">
        <f>ROUNDUP(J1306+(J1306*Assumptions!J$5),-2)</f>
        <v>155800</v>
      </c>
      <c r="L1306" s="33">
        <f>ROUNDUP(K1306+(K1306*Assumptions!K$5),-2)</f>
        <v>159700</v>
      </c>
      <c r="M1306" s="33">
        <f>ROUNDUP(L1306+(L1306*Assumptions!L$5),-2)</f>
        <v>162900</v>
      </c>
      <c r="N1306" s="33">
        <f>ROUNDUP(M1306+(M1306*Assumptions!M$5),-2)</f>
        <v>166200</v>
      </c>
      <c r="O1306" s="33">
        <f>ROUNDUP(N1306+(N1306*Assumptions!N$5),-2)</f>
        <v>169600</v>
      </c>
      <c r="P1306" s="33">
        <f>ROUNDUP(O1306+(O1306*Assumptions!O$5),-2)</f>
        <v>173000</v>
      </c>
      <c r="Q1306" s="33">
        <f>ROUNDUP(P1306+(P1306*Assumptions!P$5),-2)</f>
        <v>176500</v>
      </c>
      <c r="R1306" s="114">
        <f>ROUNDUP(Q1306+(Q1306*Assumptions!Q$5),-2)</f>
        <v>180100</v>
      </c>
    </row>
    <row r="1307" spans="1:18" x14ac:dyDescent="0.2">
      <c r="A1307" s="107">
        <v>141700</v>
      </c>
      <c r="B1307" s="33">
        <v>156000</v>
      </c>
      <c r="C1307" s="189">
        <v>141900</v>
      </c>
      <c r="D1307" s="189">
        <v>117800</v>
      </c>
      <c r="E1307" s="658" t="s">
        <v>1532</v>
      </c>
      <c r="F1307" s="952" t="s">
        <v>3054</v>
      </c>
      <c r="G1307" s="198">
        <v>157000</v>
      </c>
      <c r="H1307" s="138">
        <f t="shared" si="1406"/>
        <v>33.276740237691001</v>
      </c>
      <c r="I1307" s="33">
        <f>ROUNDUP(G1307+(G1307*Assumptions!H$5),-2)</f>
        <v>159400</v>
      </c>
      <c r="J1307" s="33">
        <f>ROUNDUP(I1307+(I1307*Assumptions!I$5),-2)</f>
        <v>163400</v>
      </c>
      <c r="K1307" s="33">
        <f>ROUNDUP(J1307+(J1307*Assumptions!J$5),-2)</f>
        <v>167500</v>
      </c>
      <c r="L1307" s="33">
        <f>ROUNDUP(K1307+(K1307*Assumptions!K$5),-2)</f>
        <v>171700</v>
      </c>
      <c r="M1307" s="33">
        <f>ROUNDUP(L1307+(L1307*Assumptions!L$5),-2)</f>
        <v>175200</v>
      </c>
      <c r="N1307" s="33">
        <f>ROUNDUP(M1307+(M1307*Assumptions!M$5),-2)</f>
        <v>178800</v>
      </c>
      <c r="O1307" s="33">
        <f>ROUNDUP(N1307+(N1307*Assumptions!N$5),-2)</f>
        <v>182400</v>
      </c>
      <c r="P1307" s="33">
        <f>ROUNDUP(O1307+(O1307*Assumptions!O$5),-2)</f>
        <v>186100</v>
      </c>
      <c r="Q1307" s="33">
        <f>ROUNDUP(P1307+(P1307*Assumptions!P$5),-2)</f>
        <v>189900</v>
      </c>
      <c r="R1307" s="114">
        <f>ROUNDUP(Q1307+(Q1307*Assumptions!Q$5),-2)</f>
        <v>193700</v>
      </c>
    </row>
    <row r="1308" spans="1:18" x14ac:dyDescent="0.2">
      <c r="A1308" s="107">
        <v>1187600</v>
      </c>
      <c r="B1308" s="33">
        <f>1244400+10500</f>
        <v>1254900</v>
      </c>
      <c r="C1308" s="189">
        <f>1470000-393300+8900</f>
        <v>1085600</v>
      </c>
      <c r="D1308" s="189">
        <f>1164400+9500</f>
        <v>1173900</v>
      </c>
      <c r="E1308" s="658" t="s">
        <v>421</v>
      </c>
      <c r="F1308" s="916" t="s">
        <v>4609</v>
      </c>
      <c r="G1308" s="198">
        <f>1264800-5000-3000</f>
        <v>1256800</v>
      </c>
      <c r="H1308" s="138">
        <f t="shared" si="1406"/>
        <v>7.0619303177442712</v>
      </c>
      <c r="I1308" s="33">
        <f>ROUNDUP(G1308+(G1308*Assumptions!H$5),-2)</f>
        <v>1275700</v>
      </c>
      <c r="J1308" s="33">
        <f>ROUNDUP(I1308+(I1308*Assumptions!I$5),-2)</f>
        <v>1307600</v>
      </c>
      <c r="K1308" s="33">
        <f>ROUNDUP(J1308+(J1308*Assumptions!J$5),-2)</f>
        <v>1340300</v>
      </c>
      <c r="L1308" s="33">
        <f>ROUNDUP(K1308+(K1308*Assumptions!K$5),-2)</f>
        <v>1373900</v>
      </c>
      <c r="M1308" s="33">
        <f>ROUNDUP(L1308+(L1308*Assumptions!L$5),-2)</f>
        <v>1401400</v>
      </c>
      <c r="N1308" s="33">
        <f>ROUNDUP(M1308+(M1308*Assumptions!M$5),-2)</f>
        <v>1429500</v>
      </c>
      <c r="O1308" s="33">
        <f>ROUNDUP(N1308+(N1308*Assumptions!N$5),-2)</f>
        <v>1458100</v>
      </c>
      <c r="P1308" s="33">
        <f>ROUNDUP(O1308+(O1308*Assumptions!O$5),-2)</f>
        <v>1487300</v>
      </c>
      <c r="Q1308" s="33">
        <f>ROUNDUP(P1308+(P1308*Assumptions!P$5),-2)</f>
        <v>1517100</v>
      </c>
      <c r="R1308" s="114">
        <f>ROUNDUP(Q1308+(Q1308*Assumptions!Q$5),-2)</f>
        <v>1547500</v>
      </c>
    </row>
    <row r="1309" spans="1:18" x14ac:dyDescent="0.2">
      <c r="A1309" s="107">
        <v>0</v>
      </c>
      <c r="B1309" s="33">
        <v>0</v>
      </c>
      <c r="C1309" s="189">
        <v>0</v>
      </c>
      <c r="D1309" s="189">
        <f>20000-20000</f>
        <v>0</v>
      </c>
      <c r="E1309" s="1092" t="s">
        <v>5566</v>
      </c>
      <c r="F1309" s="916" t="s">
        <v>5567</v>
      </c>
      <c r="G1309" s="198">
        <v>5000</v>
      </c>
      <c r="H1309" s="138">
        <f t="shared" si="1406"/>
        <v>100</v>
      </c>
      <c r="I1309" s="33">
        <v>5000</v>
      </c>
      <c r="J1309" s="33">
        <f>ROUNDUP(I1309+(I1309*Assumptions!I$5),-2)</f>
        <v>5200</v>
      </c>
      <c r="K1309" s="33">
        <f>ROUNDUP(J1309+(J1309*Assumptions!J$5),-2)</f>
        <v>5400</v>
      </c>
      <c r="L1309" s="33">
        <f>ROUNDUP(K1309+(K1309*Assumptions!K$5),-2)</f>
        <v>5600</v>
      </c>
      <c r="M1309" s="33">
        <f>ROUNDUP(L1309+(L1309*Assumptions!L$5),-2)</f>
        <v>5800</v>
      </c>
      <c r="N1309" s="33">
        <f>ROUNDUP(M1309+(M1309*Assumptions!M$5),-2)</f>
        <v>6000</v>
      </c>
      <c r="O1309" s="33">
        <f>ROUNDUP(N1309+(N1309*Assumptions!N$5),-2)</f>
        <v>6200</v>
      </c>
      <c r="P1309" s="33">
        <f>ROUNDUP(O1309+(O1309*Assumptions!O$5),-2)</f>
        <v>6400</v>
      </c>
      <c r="Q1309" s="33">
        <f>ROUNDUP(P1309+(P1309*Assumptions!P$5),-2)</f>
        <v>6600</v>
      </c>
      <c r="R1309" s="114">
        <f>ROUNDUP(Q1309+(Q1309*Assumptions!Q$5),-2)</f>
        <v>6800</v>
      </c>
    </row>
    <row r="1310" spans="1:18" x14ac:dyDescent="0.2">
      <c r="A1310" s="107">
        <v>2900</v>
      </c>
      <c r="B1310" s="33">
        <v>0</v>
      </c>
      <c r="C1310" s="189">
        <v>1100</v>
      </c>
      <c r="D1310" s="189">
        <v>0</v>
      </c>
      <c r="E1310" s="658" t="s">
        <v>785</v>
      </c>
      <c r="F1310" s="351" t="s">
        <v>786</v>
      </c>
      <c r="G1310" s="198">
        <v>7600</v>
      </c>
      <c r="H1310" s="138">
        <f t="shared" si="1406"/>
        <v>100</v>
      </c>
      <c r="I1310" s="33">
        <f>ROUNDUP(G1310+(G1310*Assumptions!H$5),-2)</f>
        <v>7800</v>
      </c>
      <c r="J1310" s="33">
        <f>ROUNDUP(I1310+(I1310*Assumptions!I$5),-2)</f>
        <v>8000</v>
      </c>
      <c r="K1310" s="33">
        <f>ROUNDUP(J1310+(J1310*Assumptions!J$5),-2)</f>
        <v>8200</v>
      </c>
      <c r="L1310" s="33">
        <f>ROUNDUP(K1310+(K1310*Assumptions!K$5),-2)</f>
        <v>8500</v>
      </c>
      <c r="M1310" s="33">
        <f>ROUNDUP(L1310+(L1310*Assumptions!L$5),-2)</f>
        <v>8700</v>
      </c>
      <c r="N1310" s="33">
        <f>ROUNDUP(M1310+(M1310*Assumptions!M$5),-2)</f>
        <v>8900</v>
      </c>
      <c r="O1310" s="33">
        <f>ROUNDUP(N1310+(N1310*Assumptions!N$5),-2)</f>
        <v>9100</v>
      </c>
      <c r="P1310" s="33">
        <f>ROUNDUP(O1310+(O1310*Assumptions!O$5),-2)</f>
        <v>9300</v>
      </c>
      <c r="Q1310" s="33">
        <f>ROUNDUP(P1310+(P1310*Assumptions!P$5),-2)</f>
        <v>9500</v>
      </c>
      <c r="R1310" s="114">
        <f>ROUNDUP(Q1310+(Q1310*Assumptions!Q$5),-2)</f>
        <v>9700</v>
      </c>
    </row>
    <row r="1311" spans="1:18" x14ac:dyDescent="0.2">
      <c r="A1311" s="107">
        <v>2100</v>
      </c>
      <c r="B1311" s="33">
        <v>6300</v>
      </c>
      <c r="C1311" s="189">
        <v>5600</v>
      </c>
      <c r="D1311" s="189">
        <v>8400</v>
      </c>
      <c r="E1311" s="658" t="s">
        <v>2475</v>
      </c>
      <c r="F1311" s="916" t="s">
        <v>3569</v>
      </c>
      <c r="G1311" s="198">
        <v>4000</v>
      </c>
      <c r="H1311" s="138">
        <f t="shared" si="1406"/>
        <v>-52.380952380952387</v>
      </c>
      <c r="I1311" s="33">
        <v>4000</v>
      </c>
      <c r="J1311" s="33">
        <f>ROUNDUP(I1311+(I1311*Assumptions!I$5),-2)</f>
        <v>4100</v>
      </c>
      <c r="K1311" s="33">
        <f>ROUNDUP(J1311+(J1311*Assumptions!J$5),-2)</f>
        <v>4300</v>
      </c>
      <c r="L1311" s="33">
        <f>ROUNDUP(K1311+(K1311*Assumptions!K$5),-2)</f>
        <v>4500</v>
      </c>
      <c r="M1311" s="33">
        <f>ROUNDUP(L1311+(L1311*Assumptions!L$5),-2)</f>
        <v>4600</v>
      </c>
      <c r="N1311" s="33">
        <f>ROUNDUP(M1311+(M1311*Assumptions!M$5),-2)</f>
        <v>4700</v>
      </c>
      <c r="O1311" s="33">
        <f>ROUNDUP(N1311+(N1311*Assumptions!N$5),-2)</f>
        <v>4800</v>
      </c>
      <c r="P1311" s="33">
        <f>ROUNDUP(O1311+(O1311*Assumptions!O$5),-2)</f>
        <v>4900</v>
      </c>
      <c r="Q1311" s="33">
        <f>ROUNDUP(P1311+(P1311*Assumptions!P$5),-2)</f>
        <v>5000</v>
      </c>
      <c r="R1311" s="114">
        <f>ROUNDUP(Q1311+(Q1311*Assumptions!Q$5),-2)</f>
        <v>5100</v>
      </c>
    </row>
    <row r="1312" spans="1:18" x14ac:dyDescent="0.2">
      <c r="A1312" s="107">
        <v>32900</v>
      </c>
      <c r="B1312" s="33">
        <v>81200</v>
      </c>
      <c r="C1312" s="189">
        <v>80500</v>
      </c>
      <c r="D1312" s="189">
        <v>34900</v>
      </c>
      <c r="E1312" s="1092" t="s">
        <v>2939</v>
      </c>
      <c r="F1312" s="916" t="s">
        <v>3320</v>
      </c>
      <c r="G1312" s="198">
        <v>74000</v>
      </c>
      <c r="H1312" s="138">
        <f t="shared" si="1406"/>
        <v>112.03438395415472</v>
      </c>
      <c r="I1312" s="33">
        <f>ROUNDUP(G1312+(G1312*Assumptions!H$5),-2)</f>
        <v>75200</v>
      </c>
      <c r="J1312" s="33">
        <f>ROUNDUP(I1312+(I1312*Assumptions!I$5),-2)</f>
        <v>77100</v>
      </c>
      <c r="K1312" s="33">
        <f>ROUNDUP(J1312+(J1312*Assumptions!J$5),-2)</f>
        <v>79100</v>
      </c>
      <c r="L1312" s="33">
        <f>ROUNDUP(K1312+(K1312*Assumptions!K$5),-2)</f>
        <v>81100</v>
      </c>
      <c r="M1312" s="33">
        <f>ROUNDUP(L1312+(L1312*Assumptions!L$5),-2)</f>
        <v>82800</v>
      </c>
      <c r="N1312" s="33">
        <f>ROUNDUP(M1312+(M1312*Assumptions!M$5),-2)</f>
        <v>84500</v>
      </c>
      <c r="O1312" s="33">
        <f>ROUNDUP(N1312+(N1312*Assumptions!N$5),-2)</f>
        <v>86200</v>
      </c>
      <c r="P1312" s="33">
        <f>ROUNDUP(O1312+(O1312*Assumptions!O$5),-2)</f>
        <v>88000</v>
      </c>
      <c r="Q1312" s="33">
        <f>ROUNDUP(P1312+(P1312*Assumptions!P$5),-2)</f>
        <v>89800</v>
      </c>
      <c r="R1312" s="114">
        <f>ROUNDUP(Q1312+(Q1312*Assumptions!Q$5),-2)</f>
        <v>91600</v>
      </c>
    </row>
    <row r="1313" spans="1:18" x14ac:dyDescent="0.2">
      <c r="A1313" s="107">
        <v>4200</v>
      </c>
      <c r="B1313" s="1489">
        <v>0</v>
      </c>
      <c r="C1313" s="189">
        <v>28000</v>
      </c>
      <c r="D1313" s="189">
        <v>15500</v>
      </c>
      <c r="E1313" s="1092" t="s">
        <v>2940</v>
      </c>
      <c r="F1313" s="916" t="s">
        <v>2941</v>
      </c>
      <c r="G1313" s="198">
        <v>4000</v>
      </c>
      <c r="H1313" s="138">
        <f t="shared" si="1406"/>
        <v>-74.193548387096769</v>
      </c>
      <c r="I1313" s="33">
        <f>ROUNDUP(G1313+(G1313*Assumptions!H$5),-2)</f>
        <v>4100</v>
      </c>
      <c r="J1313" s="33">
        <f>ROUNDUP(I1313+(I1313*Assumptions!I$5),-2)</f>
        <v>4300</v>
      </c>
      <c r="K1313" s="33">
        <f>ROUNDUP(J1313+(J1313*Assumptions!J$5),-2)</f>
        <v>4500</v>
      </c>
      <c r="L1313" s="33">
        <f>ROUNDUP(K1313+(K1313*Assumptions!K$5),-2)</f>
        <v>4700</v>
      </c>
      <c r="M1313" s="33">
        <f>ROUNDUP(L1313+(L1313*Assumptions!L$5),-2)</f>
        <v>4800</v>
      </c>
      <c r="N1313" s="33">
        <f>ROUNDUP(M1313+(M1313*Assumptions!M$5),-2)</f>
        <v>4900</v>
      </c>
      <c r="O1313" s="33">
        <f>ROUNDUP(N1313+(N1313*Assumptions!N$5),-2)</f>
        <v>5000</v>
      </c>
      <c r="P1313" s="33">
        <f>ROUNDUP(O1313+(O1313*Assumptions!O$5),-2)</f>
        <v>5100</v>
      </c>
      <c r="Q1313" s="33">
        <f>ROUNDUP(P1313+(P1313*Assumptions!P$5),-2)</f>
        <v>5300</v>
      </c>
      <c r="R1313" s="114">
        <f>ROUNDUP(Q1313+(Q1313*Assumptions!Q$5),-2)</f>
        <v>5500</v>
      </c>
    </row>
    <row r="1314" spans="1:18" x14ac:dyDescent="0.2">
      <c r="A1314" s="107">
        <v>0</v>
      </c>
      <c r="B1314" s="33">
        <v>200</v>
      </c>
      <c r="C1314" s="189">
        <v>700</v>
      </c>
      <c r="D1314" s="189">
        <v>400</v>
      </c>
      <c r="E1314" s="1092" t="s">
        <v>3577</v>
      </c>
      <c r="F1314" s="916" t="s">
        <v>3568</v>
      </c>
      <c r="G1314" s="198">
        <v>4000</v>
      </c>
      <c r="H1314" s="138">
        <f t="shared" si="1406"/>
        <v>900</v>
      </c>
      <c r="I1314" s="33">
        <v>2000</v>
      </c>
      <c r="J1314" s="33">
        <f>ROUNDUP(I1314+(I1314*Assumptions!I$5),-2)</f>
        <v>2100</v>
      </c>
      <c r="K1314" s="33">
        <f>ROUNDUP(J1314+(J1314*Assumptions!J$5),-2)</f>
        <v>2200</v>
      </c>
      <c r="L1314" s="33">
        <f>ROUNDUP(K1314+(K1314*Assumptions!K$5),-2)</f>
        <v>2300</v>
      </c>
      <c r="M1314" s="33">
        <f>ROUNDUP(L1314+(L1314*Assumptions!L$5),-2)</f>
        <v>2400</v>
      </c>
      <c r="N1314" s="33">
        <f>ROUNDUP(M1314+(M1314*Assumptions!M$5),-2)</f>
        <v>2500</v>
      </c>
      <c r="O1314" s="33">
        <f>ROUNDUP(N1314+(N1314*Assumptions!N$5),-2)</f>
        <v>2600</v>
      </c>
      <c r="P1314" s="33">
        <f>ROUNDUP(O1314+(O1314*Assumptions!O$5),-2)</f>
        <v>2700</v>
      </c>
      <c r="Q1314" s="33">
        <f>ROUNDUP(P1314+(P1314*Assumptions!P$5),-2)</f>
        <v>2800</v>
      </c>
      <c r="R1314" s="114">
        <f>ROUNDUP(Q1314+(Q1314*Assumptions!Q$5),-2)</f>
        <v>2900</v>
      </c>
    </row>
    <row r="1315" spans="1:18" x14ac:dyDescent="0.2">
      <c r="A1315" s="107">
        <v>0</v>
      </c>
      <c r="B1315" s="33">
        <v>0</v>
      </c>
      <c r="C1315" s="189">
        <v>0</v>
      </c>
      <c r="D1315" s="189">
        <v>0</v>
      </c>
      <c r="E1315" s="1092" t="s">
        <v>6511</v>
      </c>
      <c r="F1315" s="953" t="s">
        <v>5485</v>
      </c>
      <c r="G1315" s="198">
        <v>4500</v>
      </c>
      <c r="H1315" s="138">
        <f t="shared" si="1406"/>
        <v>100</v>
      </c>
      <c r="I1315" s="33">
        <v>4500</v>
      </c>
      <c r="J1315" s="33">
        <f>ROUNDUP(I1315+(I1315*Assumptions!I$5),-2)</f>
        <v>4700</v>
      </c>
      <c r="K1315" s="33">
        <f>ROUNDUP(J1315+(J1315*Assumptions!J$5),-2)</f>
        <v>4900</v>
      </c>
      <c r="L1315" s="33">
        <f>ROUNDUP(K1315+(K1315*Assumptions!K$5),-2)</f>
        <v>5100</v>
      </c>
      <c r="M1315" s="33">
        <f>ROUNDUP(L1315+(L1315*Assumptions!L$5),-2)</f>
        <v>5300</v>
      </c>
      <c r="N1315" s="33">
        <f>ROUNDUP(M1315+(M1315*Assumptions!M$5),-2)</f>
        <v>5500</v>
      </c>
      <c r="O1315" s="33">
        <f>ROUNDUP(N1315+(N1315*Assumptions!N$5),-2)</f>
        <v>5700</v>
      </c>
      <c r="P1315" s="33">
        <f>ROUNDUP(O1315+(O1315*Assumptions!O$5),-2)</f>
        <v>5900</v>
      </c>
      <c r="Q1315" s="33">
        <f>ROUNDUP(P1315+(P1315*Assumptions!P$5),-2)</f>
        <v>6100</v>
      </c>
      <c r="R1315" s="114">
        <f>ROUNDUP(Q1315+(Q1315*Assumptions!Q$5),-2)</f>
        <v>6300</v>
      </c>
    </row>
    <row r="1316" spans="1:18" x14ac:dyDescent="0.2">
      <c r="A1316" s="107">
        <v>0</v>
      </c>
      <c r="B1316" s="33">
        <v>0</v>
      </c>
      <c r="C1316" s="189">
        <v>0</v>
      </c>
      <c r="D1316" s="189">
        <v>0</v>
      </c>
      <c r="E1316" s="1092" t="s">
        <v>6865</v>
      </c>
      <c r="F1316" s="953" t="s">
        <v>6866</v>
      </c>
      <c r="G1316" s="198">
        <v>5000</v>
      </c>
      <c r="H1316" s="138">
        <f t="shared" si="1406"/>
        <v>100</v>
      </c>
      <c r="I1316" s="33">
        <f>ROUNDUP(G1316+(G1316*Assumptions!H$5),-2)</f>
        <v>5100</v>
      </c>
      <c r="J1316" s="33">
        <f>ROUNDUP(I1316+(I1316*Assumptions!I$5),-2)</f>
        <v>5300</v>
      </c>
      <c r="K1316" s="33">
        <f>ROUNDUP(J1316+(J1316*Assumptions!J$5),-2)</f>
        <v>5500</v>
      </c>
      <c r="L1316" s="33">
        <f>ROUNDUP(K1316+(K1316*Assumptions!K$5),-2)</f>
        <v>5700</v>
      </c>
      <c r="M1316" s="33">
        <f>ROUNDUP(L1316+(L1316*Assumptions!L$5),-2)</f>
        <v>5900</v>
      </c>
      <c r="N1316" s="33">
        <f>ROUNDUP(M1316+(M1316*Assumptions!M$5),-2)</f>
        <v>6100</v>
      </c>
      <c r="O1316" s="33">
        <f>ROUNDUP(N1316+(N1316*Assumptions!N$5),-2)</f>
        <v>6300</v>
      </c>
      <c r="P1316" s="33">
        <f>ROUNDUP(O1316+(O1316*Assumptions!O$5),-2)</f>
        <v>6500</v>
      </c>
      <c r="Q1316" s="33">
        <f>ROUNDUP(P1316+(P1316*Assumptions!P$5),-2)</f>
        <v>6700</v>
      </c>
      <c r="R1316" s="114">
        <f>ROUNDUP(Q1316+(Q1316*Assumptions!Q$5),-2)</f>
        <v>6900</v>
      </c>
    </row>
    <row r="1317" spans="1:18" x14ac:dyDescent="0.2">
      <c r="A1317" s="107"/>
      <c r="B1317" s="33"/>
      <c r="E1317" s="1092"/>
      <c r="F1317" s="814"/>
      <c r="G1317" s="198"/>
      <c r="H1317" s="138"/>
      <c r="I1317" s="33"/>
      <c r="J1317" s="33"/>
      <c r="K1317" s="33"/>
      <c r="L1317" s="33"/>
      <c r="M1317" s="33"/>
      <c r="N1317" s="33"/>
      <c r="O1317" s="33"/>
      <c r="P1317" s="33"/>
      <c r="Q1317" s="33"/>
      <c r="R1317" s="114"/>
    </row>
    <row r="1318" spans="1:18" x14ac:dyDescent="0.2">
      <c r="A1318" s="107"/>
      <c r="B1318" s="33"/>
      <c r="E1318" s="658"/>
      <c r="F1318" s="1103" t="s">
        <v>3064</v>
      </c>
      <c r="G1318" s="198"/>
      <c r="H1318" s="138"/>
      <c r="I1318" s="33"/>
      <c r="J1318" s="33"/>
      <c r="K1318" s="33"/>
      <c r="L1318" s="33"/>
      <c r="M1318" s="33"/>
      <c r="N1318" s="33"/>
      <c r="O1318" s="33"/>
      <c r="P1318" s="33"/>
      <c r="Q1318" s="33"/>
      <c r="R1318" s="114"/>
    </row>
    <row r="1319" spans="1:18" x14ac:dyDescent="0.2">
      <c r="A1319" s="107">
        <v>5000</v>
      </c>
      <c r="B1319" s="33">
        <v>6100</v>
      </c>
      <c r="C1319" s="189">
        <v>5300</v>
      </c>
      <c r="D1319" s="189">
        <v>5400</v>
      </c>
      <c r="E1319" s="658" t="s">
        <v>1549</v>
      </c>
      <c r="F1319" s="814" t="s">
        <v>4610</v>
      </c>
      <c r="G1319" s="198">
        <v>7500</v>
      </c>
      <c r="H1319" s="138">
        <f>IF(D1319=G1319,0,IF(D1319=0,100,(G1319-D1319)/D1319*100))</f>
        <v>38.888888888888893</v>
      </c>
      <c r="I1319" s="33">
        <f>ROUNDUP(G1319+(G1319*Assumptions!H$5),-2)</f>
        <v>7700</v>
      </c>
      <c r="J1319" s="33">
        <f>ROUNDUP(I1319+(I1319*Assumptions!I$5),-2)</f>
        <v>7900</v>
      </c>
      <c r="K1319" s="33">
        <f>ROUNDUP(J1319+(J1319*Assumptions!J$5),-2)</f>
        <v>8100</v>
      </c>
      <c r="L1319" s="33">
        <f>ROUNDUP(K1319+(K1319*Assumptions!K$5),-2)</f>
        <v>8400</v>
      </c>
      <c r="M1319" s="33">
        <f>ROUNDUP(L1319+(L1319*Assumptions!L$5),-2)</f>
        <v>8600</v>
      </c>
      <c r="N1319" s="33">
        <f>ROUNDUP(M1319+(M1319*Assumptions!M$5),-2)</f>
        <v>8800</v>
      </c>
      <c r="O1319" s="33">
        <f>ROUNDUP(N1319+(N1319*Assumptions!N$5),-2)</f>
        <v>9000</v>
      </c>
      <c r="P1319" s="33">
        <f>ROUNDUP(O1319+(O1319*Assumptions!O$5),-2)</f>
        <v>9200</v>
      </c>
      <c r="Q1319" s="33">
        <f>ROUNDUP(P1319+(P1319*Assumptions!P$5),-2)</f>
        <v>9400</v>
      </c>
      <c r="R1319" s="114">
        <f>ROUNDUP(Q1319+(Q1319*Assumptions!Q$5),-2)</f>
        <v>9600</v>
      </c>
    </row>
    <row r="1320" spans="1:18" x14ac:dyDescent="0.2">
      <c r="A1320" s="107"/>
      <c r="B1320" s="33"/>
      <c r="E1320" s="658"/>
      <c r="F1320" s="443"/>
      <c r="G1320" s="198"/>
      <c r="H1320" s="138"/>
      <c r="I1320" s="33"/>
      <c r="J1320" s="33"/>
      <c r="K1320" s="33"/>
      <c r="L1320" s="33"/>
      <c r="M1320" s="33"/>
      <c r="N1320" s="33"/>
      <c r="O1320" s="33"/>
      <c r="P1320" s="33"/>
      <c r="Q1320" s="33"/>
      <c r="R1320" s="114"/>
    </row>
    <row r="1321" spans="1:18" x14ac:dyDescent="0.2">
      <c r="A1321" s="107"/>
      <c r="B1321" s="33"/>
      <c r="E1321" s="658"/>
      <c r="F1321" s="1103" t="s">
        <v>4890</v>
      </c>
      <c r="G1321" s="198"/>
      <c r="H1321" s="138"/>
      <c r="I1321" s="33"/>
      <c r="J1321" s="33"/>
      <c r="K1321" s="33"/>
      <c r="L1321" s="33"/>
      <c r="M1321" s="33"/>
      <c r="N1321" s="33"/>
      <c r="O1321" s="33"/>
      <c r="P1321" s="33"/>
      <c r="Q1321" s="33"/>
      <c r="R1321" s="114"/>
    </row>
    <row r="1322" spans="1:18" x14ac:dyDescent="0.2">
      <c r="A1322" s="107">
        <v>700</v>
      </c>
      <c r="B1322" s="33">
        <v>1300</v>
      </c>
      <c r="C1322" s="189">
        <v>1900</v>
      </c>
      <c r="D1322" s="189">
        <v>1000</v>
      </c>
      <c r="E1322" s="658" t="s">
        <v>2085</v>
      </c>
      <c r="F1322" s="443" t="s">
        <v>2140</v>
      </c>
      <c r="G1322" s="198">
        <v>3000</v>
      </c>
      <c r="H1322" s="138">
        <f>IF(D1322=G1322,0,IF(D1322=0,100,(G1322-D1322)/D1322*100))</f>
        <v>200</v>
      </c>
      <c r="I1322" s="33">
        <v>3000</v>
      </c>
      <c r="J1322" s="33">
        <f>ROUNDUP(I1322+(I1322*Assumptions!I$5),-2)</f>
        <v>3100</v>
      </c>
      <c r="K1322" s="33">
        <f>ROUNDUP(J1322+(J1322*Assumptions!J$5),-2)</f>
        <v>3200</v>
      </c>
      <c r="L1322" s="33">
        <f>ROUNDUP(K1322+(K1322*Assumptions!K$5),-2)</f>
        <v>3300</v>
      </c>
      <c r="M1322" s="33">
        <f>ROUNDUP(L1322+(L1322*Assumptions!L$5),-2)</f>
        <v>3400</v>
      </c>
      <c r="N1322" s="33">
        <f>ROUNDUP(M1322+(M1322*Assumptions!M$5),-2)</f>
        <v>3500</v>
      </c>
      <c r="O1322" s="33">
        <f>ROUNDUP(N1322+(N1322*Assumptions!N$5),-2)</f>
        <v>3600</v>
      </c>
      <c r="P1322" s="33">
        <f>ROUNDUP(O1322+(O1322*Assumptions!O$5),-2)</f>
        <v>3700</v>
      </c>
      <c r="Q1322" s="33">
        <f>ROUNDUP(P1322+(P1322*Assumptions!P$5),-2)</f>
        <v>3800</v>
      </c>
      <c r="R1322" s="114">
        <f>ROUNDUP(Q1322+(Q1322*Assumptions!Q$5),-2)</f>
        <v>3900</v>
      </c>
    </row>
    <row r="1323" spans="1:18" x14ac:dyDescent="0.2">
      <c r="A1323" s="107">
        <v>62000</v>
      </c>
      <c r="B1323" s="33">
        <v>66800</v>
      </c>
      <c r="C1323" s="189">
        <v>60100</v>
      </c>
      <c r="D1323" s="189">
        <v>97700</v>
      </c>
      <c r="E1323" s="658" t="s">
        <v>2086</v>
      </c>
      <c r="F1323" s="443" t="s">
        <v>2385</v>
      </c>
      <c r="G1323" s="198">
        <v>76000</v>
      </c>
      <c r="H1323" s="138">
        <f>IF(D1323=G1323,0,IF(D1323=0,100,(G1323-D1323)/D1323*100))</f>
        <v>-22.210849539406347</v>
      </c>
      <c r="I1323" s="33">
        <v>77000</v>
      </c>
      <c r="J1323" s="33">
        <f>ROUNDUP(I1323+(I1323*Assumptions!I$5),-2)</f>
        <v>79000</v>
      </c>
      <c r="K1323" s="33">
        <f>ROUNDUP(J1323+(J1323*Assumptions!J$5),-2)</f>
        <v>81000</v>
      </c>
      <c r="L1323" s="33">
        <f>ROUNDUP(K1323+(K1323*Assumptions!K$5),-2)</f>
        <v>83100</v>
      </c>
      <c r="M1323" s="33">
        <f>ROUNDUP(L1323+(L1323*Assumptions!L$5),-2)</f>
        <v>84800</v>
      </c>
      <c r="N1323" s="33">
        <f>ROUNDUP(M1323+(M1323*Assumptions!M$5),-2)</f>
        <v>86500</v>
      </c>
      <c r="O1323" s="33">
        <f>ROUNDUP(N1323+(N1323*Assumptions!N$5),-2)</f>
        <v>88300</v>
      </c>
      <c r="P1323" s="33">
        <f>ROUNDUP(O1323+(O1323*Assumptions!O$5),-2)</f>
        <v>90100</v>
      </c>
      <c r="Q1323" s="33">
        <f>ROUNDUP(P1323+(P1323*Assumptions!P$5),-2)</f>
        <v>92000</v>
      </c>
      <c r="R1323" s="114">
        <f>ROUNDUP(Q1323+(Q1323*Assumptions!Q$5),-2)</f>
        <v>93900</v>
      </c>
    </row>
    <row r="1324" spans="1:18" x14ac:dyDescent="0.2">
      <c r="A1324" s="107">
        <v>2400</v>
      </c>
      <c r="B1324" s="33">
        <v>20000</v>
      </c>
      <c r="C1324" s="142">
        <v>17900</v>
      </c>
      <c r="D1324" s="189">
        <v>3600</v>
      </c>
      <c r="E1324" s="1092" t="s">
        <v>848</v>
      </c>
      <c r="F1324" s="132" t="s">
        <v>3066</v>
      </c>
      <c r="G1324" s="33">
        <f>30000+10000</f>
        <v>40000</v>
      </c>
      <c r="H1324" s="138">
        <f>IF(D1324=G1324,0,IF(D1324=0,100,(G1324-D1324)/D1324*100))</f>
        <v>1011.1111111111111</v>
      </c>
      <c r="I1324" s="33">
        <v>20000</v>
      </c>
      <c r="J1324" s="33">
        <f>ROUNDUP(I1324+(I1324*Assumptions!I$5),-2)</f>
        <v>20500</v>
      </c>
      <c r="K1324" s="33">
        <f>ROUNDUP(J1324+(J1324*Assumptions!J$5),-2)</f>
        <v>21100</v>
      </c>
      <c r="L1324" s="33">
        <f>ROUNDUP(K1324+(K1324*Assumptions!K$5),-2)</f>
        <v>21700</v>
      </c>
      <c r="M1324" s="33">
        <f>ROUNDUP(L1324+(L1324*Assumptions!L$5),-2)</f>
        <v>22200</v>
      </c>
      <c r="N1324" s="33">
        <f>ROUNDUP(M1324+(M1324*Assumptions!M$5),-2)</f>
        <v>22700</v>
      </c>
      <c r="O1324" s="33">
        <f>ROUNDUP(N1324+(N1324*Assumptions!N$5),-2)</f>
        <v>23200</v>
      </c>
      <c r="P1324" s="33">
        <f>ROUNDUP(O1324+(O1324*Assumptions!O$5),-2)</f>
        <v>23700</v>
      </c>
      <c r="Q1324" s="33">
        <f>ROUNDUP(P1324+(P1324*Assumptions!P$5),-2)</f>
        <v>24200</v>
      </c>
      <c r="R1324" s="114">
        <f>ROUNDUP(Q1324+(Q1324*Assumptions!Q$5),-2)</f>
        <v>24700</v>
      </c>
    </row>
    <row r="1325" spans="1:18" x14ac:dyDescent="0.2">
      <c r="A1325" s="107">
        <v>0</v>
      </c>
      <c r="B1325" s="33">
        <v>0</v>
      </c>
      <c r="C1325" s="142">
        <v>0</v>
      </c>
      <c r="D1325" s="189">
        <v>9100</v>
      </c>
      <c r="E1325" s="1092" t="s">
        <v>5319</v>
      </c>
      <c r="F1325" s="132" t="s">
        <v>4889</v>
      </c>
      <c r="G1325" s="33">
        <v>15000</v>
      </c>
      <c r="H1325" s="138">
        <f>IF(D1325=G1325,0,IF(D1325=0,100,(G1325-D1325)/D1325*100))</f>
        <v>64.835164835164832</v>
      </c>
      <c r="I1325" s="33">
        <v>15000</v>
      </c>
      <c r="J1325" s="33">
        <f>ROUNDUP(I1325+(I1325*Assumptions!I$5),-2)</f>
        <v>15400</v>
      </c>
      <c r="K1325" s="33">
        <f>ROUNDUP(J1325+(J1325*Assumptions!J$5),-2)</f>
        <v>15800</v>
      </c>
      <c r="L1325" s="33">
        <f>ROUNDUP(K1325+(K1325*Assumptions!K$5),-2)</f>
        <v>16200</v>
      </c>
      <c r="M1325" s="33">
        <f>ROUNDUP(L1325+(L1325*Assumptions!L$5),-2)</f>
        <v>16600</v>
      </c>
      <c r="N1325" s="33">
        <f>ROUNDUP(M1325+(M1325*Assumptions!M$5),-2)</f>
        <v>17000</v>
      </c>
      <c r="O1325" s="33">
        <f>ROUNDUP(N1325+(N1325*Assumptions!N$5),-2)</f>
        <v>17400</v>
      </c>
      <c r="P1325" s="33">
        <f>ROUNDUP(O1325+(O1325*Assumptions!O$5),-2)</f>
        <v>17800</v>
      </c>
      <c r="Q1325" s="33">
        <f>ROUNDUP(P1325+(P1325*Assumptions!P$5),-2)</f>
        <v>18200</v>
      </c>
      <c r="R1325" s="114">
        <f>ROUNDUP(Q1325+(Q1325*Assumptions!Q$5),-2)</f>
        <v>18600</v>
      </c>
    </row>
    <row r="1326" spans="1:18" x14ac:dyDescent="0.2">
      <c r="A1326" s="107">
        <v>10000</v>
      </c>
      <c r="B1326" s="33">
        <v>2000</v>
      </c>
      <c r="C1326" s="142">
        <v>87300</v>
      </c>
      <c r="D1326" s="189">
        <v>2200</v>
      </c>
      <c r="E1326" s="658" t="s">
        <v>1677</v>
      </c>
      <c r="F1326" s="132" t="s">
        <v>4873</v>
      </c>
      <c r="G1326" s="33">
        <v>48500</v>
      </c>
      <c r="H1326" s="138">
        <f>IF(D1326=G1326,0,IF(D1326=0,100,(G1326-D1326)/D1326*100))</f>
        <v>2104.5454545454545</v>
      </c>
      <c r="I1326" s="33">
        <v>0</v>
      </c>
      <c r="J1326" s="33">
        <v>0</v>
      </c>
      <c r="K1326" s="33">
        <v>0</v>
      </c>
      <c r="L1326" s="33">
        <f>ROUNDUP(K1326+(K1326*Assumptions!K$5),-2)</f>
        <v>0</v>
      </c>
      <c r="M1326" s="33">
        <f>ROUNDUP(L1326+(L1326*Assumptions!L$5),-2)</f>
        <v>0</v>
      </c>
      <c r="N1326" s="33">
        <f>ROUNDUP(M1326+(M1326*Assumptions!M$5),-2)</f>
        <v>0</v>
      </c>
      <c r="O1326" s="33">
        <f>ROUNDUP(N1326+(N1326*Assumptions!N$5),-2)</f>
        <v>0</v>
      </c>
      <c r="P1326" s="33">
        <f>ROUNDUP(O1326+(O1326*Assumptions!O$5),-2)</f>
        <v>0</v>
      </c>
      <c r="Q1326" s="33">
        <f>ROUNDUP(P1326+(P1326*Assumptions!P$5),-2)</f>
        <v>0</v>
      </c>
      <c r="R1326" s="114">
        <f>ROUNDUP(Q1326+(Q1326*Assumptions!Q$5),-2)</f>
        <v>0</v>
      </c>
    </row>
    <row r="1327" spans="1:18" x14ac:dyDescent="0.2">
      <c r="A1327" s="107"/>
      <c r="B1327" s="33"/>
      <c r="E1327" s="658"/>
      <c r="F1327" s="443"/>
      <c r="G1327" s="198"/>
      <c r="H1327" s="138"/>
      <c r="I1327" s="33"/>
      <c r="J1327" s="33"/>
      <c r="K1327" s="33"/>
      <c r="L1327" s="33"/>
      <c r="M1327" s="33"/>
      <c r="N1327" s="33"/>
      <c r="O1327" s="33"/>
      <c r="P1327" s="33"/>
      <c r="Q1327" s="33"/>
      <c r="R1327" s="114"/>
    </row>
    <row r="1328" spans="1:18" x14ac:dyDescent="0.2">
      <c r="A1328" s="107"/>
      <c r="B1328" s="33"/>
      <c r="E1328" s="658"/>
      <c r="F1328" s="439" t="s">
        <v>1186</v>
      </c>
      <c r="G1328" s="198"/>
      <c r="H1328" s="138"/>
      <c r="I1328" s="33"/>
      <c r="J1328" s="33"/>
      <c r="K1328" s="33"/>
      <c r="L1328" s="33"/>
      <c r="M1328" s="33"/>
      <c r="N1328" s="33"/>
      <c r="O1328" s="33"/>
      <c r="P1328" s="33"/>
      <c r="Q1328" s="33"/>
      <c r="R1328" s="114"/>
    </row>
    <row r="1329" spans="1:18" x14ac:dyDescent="0.2">
      <c r="A1329" s="107">
        <v>0</v>
      </c>
      <c r="B1329" s="33">
        <v>0</v>
      </c>
      <c r="C1329" s="189">
        <v>0</v>
      </c>
      <c r="D1329" s="189">
        <v>100</v>
      </c>
      <c r="E1329" s="658" t="s">
        <v>1436</v>
      </c>
      <c r="F1329" s="814" t="s">
        <v>3317</v>
      </c>
      <c r="G1329" s="198">
        <v>0</v>
      </c>
      <c r="H1329" s="138">
        <f t="shared" ref="H1329:H1334" si="1407">IF(D1329=G1329,0,IF(D1329=0,100,(G1329-D1329)/D1329*100))</f>
        <v>-100</v>
      </c>
      <c r="I1329" s="33">
        <f>ROUNDUP(G1329+(G1329*Assumptions!H$5),-2)</f>
        <v>0</v>
      </c>
      <c r="J1329" s="33">
        <f>ROUNDUP(I1329+(I1329*Assumptions!I$5),-2)</f>
        <v>0</v>
      </c>
      <c r="K1329" s="33">
        <f>ROUNDUP(J1329+(J1329*Assumptions!J$5),-2)</f>
        <v>0</v>
      </c>
      <c r="L1329" s="33">
        <f>ROUNDUP(K1329+(K1329*Assumptions!K$5),-2)</f>
        <v>0</v>
      </c>
      <c r="M1329" s="33">
        <f>ROUNDUP(L1329+(L1329*Assumptions!L$5),-2)</f>
        <v>0</v>
      </c>
      <c r="N1329" s="33">
        <f>ROUNDUP(M1329+(M1329*Assumptions!M$5),-2)</f>
        <v>0</v>
      </c>
      <c r="O1329" s="33">
        <f>ROUNDUP(N1329+(N1329*Assumptions!N$5),-2)</f>
        <v>0</v>
      </c>
      <c r="P1329" s="33">
        <f>ROUNDUP(O1329+(O1329*Assumptions!O$5),-2)</f>
        <v>0</v>
      </c>
      <c r="Q1329" s="33">
        <f>ROUNDUP(P1329+(P1329*Assumptions!P$5),-2)</f>
        <v>0</v>
      </c>
      <c r="R1329" s="114">
        <f>ROUNDUP(Q1329+(Q1329*Assumptions!Q$5),-2)</f>
        <v>0</v>
      </c>
    </row>
    <row r="1330" spans="1:18" x14ac:dyDescent="0.2">
      <c r="A1330" s="107">
        <v>2000</v>
      </c>
      <c r="B1330" s="33">
        <f>5300-4400</f>
        <v>900</v>
      </c>
      <c r="C1330" s="189">
        <f>13400-4600</f>
        <v>8800</v>
      </c>
      <c r="D1330" s="189">
        <v>400</v>
      </c>
      <c r="E1330" s="658" t="s">
        <v>1401</v>
      </c>
      <c r="F1330" s="814" t="s">
        <v>4611</v>
      </c>
      <c r="G1330" s="198">
        <v>4000</v>
      </c>
      <c r="H1330" s="138">
        <f t="shared" si="1407"/>
        <v>900</v>
      </c>
      <c r="I1330" s="33">
        <f>ROUNDUP(G1330+(G1330*Assumptions!H$5),-2)</f>
        <v>4100</v>
      </c>
      <c r="J1330" s="33">
        <f>ROUNDUP(I1330+(I1330*Assumptions!I$5),-2)</f>
        <v>4300</v>
      </c>
      <c r="K1330" s="33">
        <f>ROUNDUP(J1330+(J1330*Assumptions!J$5),-2)</f>
        <v>4500</v>
      </c>
      <c r="L1330" s="33">
        <f>ROUNDUP(K1330+(K1330*Assumptions!K$5),-2)</f>
        <v>4700</v>
      </c>
      <c r="M1330" s="33">
        <f>ROUNDUP(L1330+(L1330*Assumptions!L$5),-2)</f>
        <v>4800</v>
      </c>
      <c r="N1330" s="33">
        <f>ROUNDUP(M1330+(M1330*Assumptions!M$5),-2)</f>
        <v>4900</v>
      </c>
      <c r="O1330" s="33">
        <f>ROUNDUP(N1330+(N1330*Assumptions!N$5),-2)</f>
        <v>5000</v>
      </c>
      <c r="P1330" s="33">
        <f>ROUNDUP(O1330+(O1330*Assumptions!O$5),-2)</f>
        <v>5100</v>
      </c>
      <c r="Q1330" s="33">
        <f>ROUNDUP(P1330+(P1330*Assumptions!P$5),-2)</f>
        <v>5300</v>
      </c>
      <c r="R1330" s="114">
        <f>ROUNDUP(Q1330+(Q1330*Assumptions!Q$5),-2)</f>
        <v>5500</v>
      </c>
    </row>
    <row r="1331" spans="1:18" x14ac:dyDescent="0.2">
      <c r="A1331" s="107">
        <v>800</v>
      </c>
      <c r="B1331" s="33">
        <v>1000</v>
      </c>
      <c r="C1331" s="189">
        <v>900</v>
      </c>
      <c r="D1331" s="189">
        <v>800</v>
      </c>
      <c r="E1331" s="658" t="s">
        <v>1435</v>
      </c>
      <c r="F1331" s="814" t="s">
        <v>3318</v>
      </c>
      <c r="G1331" s="198">
        <v>1300</v>
      </c>
      <c r="H1331" s="138">
        <f t="shared" si="1407"/>
        <v>62.5</v>
      </c>
      <c r="I1331" s="33">
        <f>ROUNDUP(G1331+(G1331*Assumptions!H$5),-2)</f>
        <v>1400</v>
      </c>
      <c r="J1331" s="33">
        <f>ROUNDUP(I1331+(I1331*Assumptions!I$5),-2)</f>
        <v>1500</v>
      </c>
      <c r="K1331" s="33">
        <f>ROUNDUP(J1331+(J1331*Assumptions!J$5),-2)</f>
        <v>1600</v>
      </c>
      <c r="L1331" s="33">
        <f>ROUNDUP(K1331+(K1331*Assumptions!K$5),-2)</f>
        <v>1700</v>
      </c>
      <c r="M1331" s="33">
        <f>ROUNDUP(L1331+(L1331*Assumptions!L$5),-2)</f>
        <v>1800</v>
      </c>
      <c r="N1331" s="33">
        <f>ROUNDUP(M1331+(M1331*Assumptions!M$5),-2)</f>
        <v>1900</v>
      </c>
      <c r="O1331" s="33">
        <f>ROUNDUP(N1331+(N1331*Assumptions!N$5),-2)</f>
        <v>2000</v>
      </c>
      <c r="P1331" s="33">
        <f>ROUNDUP(O1331+(O1331*Assumptions!O$5),-2)</f>
        <v>2100</v>
      </c>
      <c r="Q1331" s="33">
        <f>ROUNDUP(P1331+(P1331*Assumptions!P$5),-2)</f>
        <v>2200</v>
      </c>
      <c r="R1331" s="114">
        <f>ROUNDUP(Q1331+(Q1331*Assumptions!Q$5),-2)</f>
        <v>2300</v>
      </c>
    </row>
    <row r="1332" spans="1:18" x14ac:dyDescent="0.2">
      <c r="A1332" s="107">
        <v>2000</v>
      </c>
      <c r="B1332" s="33">
        <v>3400</v>
      </c>
      <c r="C1332" s="189">
        <v>3700</v>
      </c>
      <c r="D1332" s="189">
        <v>3000</v>
      </c>
      <c r="E1332" s="658" t="s">
        <v>1437</v>
      </c>
      <c r="F1332" s="814" t="s">
        <v>3319</v>
      </c>
      <c r="G1332" s="198">
        <v>2600</v>
      </c>
      <c r="H1332" s="138">
        <f t="shared" si="1407"/>
        <v>-13.333333333333334</v>
      </c>
      <c r="I1332" s="33">
        <f>ROUNDUP(G1332+(G1332*Assumptions!H$5),-2)</f>
        <v>2700</v>
      </c>
      <c r="J1332" s="33">
        <f>ROUNDUP(I1332+(I1332*Assumptions!I$5),-2)</f>
        <v>2800</v>
      </c>
      <c r="K1332" s="33">
        <f>ROUNDUP(J1332+(J1332*Assumptions!J$5),-2)</f>
        <v>2900</v>
      </c>
      <c r="L1332" s="33">
        <f>ROUNDUP(K1332+(K1332*Assumptions!K$5),-2)</f>
        <v>3000</v>
      </c>
      <c r="M1332" s="33">
        <f>ROUNDUP(L1332+(L1332*Assumptions!L$5),-2)</f>
        <v>3100</v>
      </c>
      <c r="N1332" s="33">
        <f>ROUNDUP(M1332+(M1332*Assumptions!M$5),-2)</f>
        <v>3200</v>
      </c>
      <c r="O1332" s="33">
        <f>ROUNDUP(N1332+(N1332*Assumptions!N$5),-2)</f>
        <v>3300</v>
      </c>
      <c r="P1332" s="33">
        <f>ROUNDUP(O1332+(O1332*Assumptions!O$5),-2)</f>
        <v>3400</v>
      </c>
      <c r="Q1332" s="33">
        <f>ROUNDUP(P1332+(P1332*Assumptions!P$5),-2)</f>
        <v>3500</v>
      </c>
      <c r="R1332" s="114">
        <f>ROUNDUP(Q1332+(Q1332*Assumptions!Q$5),-2)</f>
        <v>3600</v>
      </c>
    </row>
    <row r="1333" spans="1:18" x14ac:dyDescent="0.2">
      <c r="A1333" s="107">
        <v>88400</v>
      </c>
      <c r="B1333" s="33">
        <v>82700</v>
      </c>
      <c r="C1333" s="189">
        <v>103300</v>
      </c>
      <c r="D1333" s="189">
        <v>115300</v>
      </c>
      <c r="E1333" s="658" t="s">
        <v>883</v>
      </c>
      <c r="F1333" s="443" t="s">
        <v>1814</v>
      </c>
      <c r="G1333" s="198">
        <f>97000+40000</f>
        <v>137000</v>
      </c>
      <c r="H1333" s="138">
        <f t="shared" si="1407"/>
        <v>18.820468343451864</v>
      </c>
      <c r="I1333" s="33">
        <f>ROUNDUP(G1333+(G1333*Assumptions!H$5),-2)</f>
        <v>139100</v>
      </c>
      <c r="J1333" s="33">
        <f>ROUNDUP(I1333+(I1333*Assumptions!I$5),-2)</f>
        <v>142600</v>
      </c>
      <c r="K1333" s="33">
        <f>ROUNDUP(J1333+(J1333*Assumptions!J$5),-2)</f>
        <v>146200</v>
      </c>
      <c r="L1333" s="33">
        <f>ROUNDUP(K1333+(K1333*Assumptions!K$5),-2)</f>
        <v>149900</v>
      </c>
      <c r="M1333" s="33">
        <f>ROUNDUP(L1333+(L1333*Assumptions!L$5),-2)</f>
        <v>152900</v>
      </c>
      <c r="N1333" s="33">
        <f>ROUNDUP(M1333+(M1333*Assumptions!M$5),-2)</f>
        <v>156000</v>
      </c>
      <c r="O1333" s="33">
        <f>ROUNDUP(N1333+(N1333*Assumptions!N$5),-2)</f>
        <v>159200</v>
      </c>
      <c r="P1333" s="33">
        <f>ROUNDUP(O1333+(O1333*Assumptions!O$5),-2)</f>
        <v>162400</v>
      </c>
      <c r="Q1333" s="33">
        <f>ROUNDUP(P1333+(P1333*Assumptions!P$5),-2)</f>
        <v>165700</v>
      </c>
      <c r="R1333" s="114">
        <f>ROUNDUP(Q1333+(Q1333*Assumptions!Q$5),-2)</f>
        <v>169100</v>
      </c>
    </row>
    <row r="1334" spans="1:18" x14ac:dyDescent="0.2">
      <c r="A1334" s="107">
        <v>90800</v>
      </c>
      <c r="B1334" s="33">
        <v>90300</v>
      </c>
      <c r="C1334" s="189">
        <v>91000</v>
      </c>
      <c r="D1334" s="189">
        <v>100100</v>
      </c>
      <c r="E1334" s="658" t="s">
        <v>884</v>
      </c>
      <c r="F1334" s="443" t="s">
        <v>129</v>
      </c>
      <c r="G1334" s="198">
        <v>101000</v>
      </c>
      <c r="H1334" s="138">
        <f t="shared" si="1407"/>
        <v>0.89910089910089919</v>
      </c>
      <c r="I1334" s="33">
        <f>ROUNDUP(G1334+(G1334*Assumptions!H$5),-2)</f>
        <v>102600</v>
      </c>
      <c r="J1334" s="33">
        <f>ROUNDUP(I1334+(I1334*Assumptions!I$5),-2)</f>
        <v>105200</v>
      </c>
      <c r="K1334" s="33">
        <f>ROUNDUP(J1334+(J1334*Assumptions!J$5),-2)</f>
        <v>107900</v>
      </c>
      <c r="L1334" s="33">
        <f>ROUNDUP(K1334+(K1334*Assumptions!K$5),-2)</f>
        <v>110600</v>
      </c>
      <c r="M1334" s="33">
        <f>ROUNDUP(L1334+(L1334*Assumptions!L$5),-2)</f>
        <v>112900</v>
      </c>
      <c r="N1334" s="33">
        <f>ROUNDUP(M1334+(M1334*Assumptions!M$5),-2)</f>
        <v>115200</v>
      </c>
      <c r="O1334" s="33">
        <f>ROUNDUP(N1334+(N1334*Assumptions!N$5),-2)</f>
        <v>117600</v>
      </c>
      <c r="P1334" s="33">
        <f>ROUNDUP(O1334+(O1334*Assumptions!O$5),-2)</f>
        <v>120000</v>
      </c>
      <c r="Q1334" s="33">
        <f>ROUNDUP(P1334+(P1334*Assumptions!P$5),-2)</f>
        <v>122400</v>
      </c>
      <c r="R1334" s="114">
        <f>ROUNDUP(Q1334+(Q1334*Assumptions!Q$5),-2)</f>
        <v>124900</v>
      </c>
    </row>
    <row r="1335" spans="1:18" ht="13.5" thickBot="1" x14ac:dyDescent="0.25">
      <c r="A1335" s="171"/>
      <c r="B1335" s="66"/>
      <c r="C1335" s="202"/>
      <c r="D1335" s="202"/>
      <c r="E1335" s="1976"/>
      <c r="F1335" s="605"/>
      <c r="G1335" s="2610"/>
      <c r="H1335" s="140"/>
      <c r="I1335" s="66"/>
      <c r="J1335" s="66"/>
      <c r="K1335" s="66"/>
      <c r="L1335" s="66"/>
      <c r="M1335" s="66"/>
      <c r="N1335" s="66"/>
      <c r="O1335" s="66"/>
      <c r="P1335" s="66"/>
      <c r="Q1335" s="66"/>
      <c r="R1335" s="165"/>
    </row>
    <row r="1336" spans="1:18" s="91" customFormat="1" ht="18.75" customHeight="1" thickTop="1" thickBot="1" x14ac:dyDescent="0.3">
      <c r="A1336" s="2865" t="s">
        <v>4627</v>
      </c>
      <c r="B1336" s="2866"/>
      <c r="C1336" s="2866"/>
      <c r="D1336" s="2866"/>
      <c r="E1336" s="2866"/>
      <c r="F1336" s="2866"/>
      <c r="G1336" s="2866"/>
      <c r="H1336" s="2866"/>
      <c r="I1336" s="2866"/>
      <c r="J1336" s="2866"/>
      <c r="K1336" s="2866"/>
      <c r="L1336" s="2866"/>
      <c r="M1336" s="2866"/>
      <c r="N1336" s="2866"/>
      <c r="O1336" s="2866"/>
      <c r="P1336" s="2866"/>
      <c r="Q1336" s="2866"/>
      <c r="R1336" s="2867"/>
    </row>
    <row r="1337" spans="1:18" s="44" customFormat="1" x14ac:dyDescent="0.2">
      <c r="A1337" s="2848" t="s">
        <v>1856</v>
      </c>
      <c r="B1337" s="2840"/>
      <c r="C1337" s="2840"/>
      <c r="D1337" s="2849"/>
      <c r="E1337" s="369" t="s">
        <v>2663</v>
      </c>
      <c r="F1337" s="2649" t="s">
        <v>2251</v>
      </c>
      <c r="G1337" s="2885" t="s">
        <v>2253</v>
      </c>
      <c r="H1337" s="2886"/>
      <c r="I1337" s="2886"/>
      <c r="J1337" s="2886"/>
      <c r="K1337" s="2886"/>
      <c r="L1337" s="2886"/>
      <c r="M1337" s="2886"/>
      <c r="N1337" s="2886"/>
      <c r="O1337" s="2886"/>
      <c r="P1337" s="2886"/>
      <c r="Q1337" s="2886"/>
      <c r="R1337" s="2887"/>
    </row>
    <row r="1338" spans="1:18" s="23" customFormat="1" ht="12.75" customHeight="1" thickBot="1" x14ac:dyDescent="0.25">
      <c r="A1338" s="208" t="str">
        <f>A3</f>
        <v>2012/13</v>
      </c>
      <c r="B1338" s="75" t="str">
        <f>B3</f>
        <v>2013/14</v>
      </c>
      <c r="C1338" s="370" t="str">
        <f>C3</f>
        <v>2014/15</v>
      </c>
      <c r="D1338" s="93" t="str">
        <f>D3</f>
        <v>2015/16</v>
      </c>
      <c r="E1338" s="370"/>
      <c r="F1338" s="361"/>
      <c r="G1338" s="2513" t="str">
        <f t="shared" ref="G1338:R1338" si="1408">G3</f>
        <v>2016/17</v>
      </c>
      <c r="H1338" s="2193" t="str">
        <f t="shared" si="1408"/>
        <v>%</v>
      </c>
      <c r="I1338" s="370" t="str">
        <f t="shared" si="1408"/>
        <v>2017/18</v>
      </c>
      <c r="J1338" s="370" t="str">
        <f t="shared" si="1408"/>
        <v>2018/19</v>
      </c>
      <c r="K1338" s="370" t="str">
        <f t="shared" si="1408"/>
        <v>2019/20</v>
      </c>
      <c r="L1338" s="370" t="str">
        <f t="shared" si="1408"/>
        <v>2020/21</v>
      </c>
      <c r="M1338" s="370" t="str">
        <f t="shared" si="1408"/>
        <v>2021/22</v>
      </c>
      <c r="N1338" s="370" t="str">
        <f t="shared" si="1408"/>
        <v>2022/23</v>
      </c>
      <c r="O1338" s="370" t="str">
        <f t="shared" si="1408"/>
        <v>2023/24</v>
      </c>
      <c r="P1338" s="370" t="str">
        <f t="shared" si="1408"/>
        <v>2024/25</v>
      </c>
      <c r="Q1338" s="218" t="str">
        <f t="shared" si="1408"/>
        <v>2025/26</v>
      </c>
      <c r="R1338" s="549" t="str">
        <f t="shared" si="1408"/>
        <v>2026/27</v>
      </c>
    </row>
    <row r="1339" spans="1:18" x14ac:dyDescent="0.2">
      <c r="A1339" s="107"/>
      <c r="B1339" s="33"/>
      <c r="E1339" s="673"/>
      <c r="F1339" s="443"/>
      <c r="G1339" s="198"/>
      <c r="H1339" s="138"/>
      <c r="I1339" s="33"/>
      <c r="J1339" s="33"/>
      <c r="K1339" s="33"/>
      <c r="L1339" s="33"/>
      <c r="M1339" s="33"/>
      <c r="N1339" s="33"/>
      <c r="O1339" s="33"/>
      <c r="P1339" s="33"/>
      <c r="Q1339" s="33"/>
      <c r="R1339" s="114"/>
    </row>
    <row r="1340" spans="1:18" x14ac:dyDescent="0.2">
      <c r="A1340" s="107"/>
      <c r="B1340" s="33"/>
      <c r="E1340" s="658"/>
      <c r="F1340" s="443"/>
      <c r="G1340" s="198"/>
      <c r="H1340" s="138"/>
      <c r="I1340" s="33"/>
      <c r="J1340" s="33"/>
      <c r="K1340" s="33"/>
      <c r="L1340" s="33"/>
      <c r="M1340" s="33"/>
      <c r="N1340" s="33"/>
      <c r="O1340" s="33"/>
      <c r="P1340" s="33"/>
      <c r="Q1340" s="33"/>
      <c r="R1340" s="114"/>
    </row>
    <row r="1341" spans="1:18" x14ac:dyDescent="0.2">
      <c r="A1341" s="107"/>
      <c r="B1341" s="33"/>
      <c r="E1341" s="658"/>
      <c r="F1341" s="439" t="s">
        <v>156</v>
      </c>
      <c r="G1341" s="198"/>
      <c r="H1341" s="138"/>
      <c r="I1341" s="33"/>
      <c r="J1341" s="33"/>
      <c r="K1341" s="33"/>
      <c r="L1341" s="33"/>
      <c r="M1341" s="33"/>
      <c r="N1341" s="33"/>
      <c r="O1341" s="33"/>
      <c r="P1341" s="33"/>
      <c r="Q1341" s="33"/>
      <c r="R1341" s="114"/>
    </row>
    <row r="1342" spans="1:18" x14ac:dyDescent="0.2">
      <c r="A1342" s="107">
        <v>8600</v>
      </c>
      <c r="B1342" s="33">
        <v>11500</v>
      </c>
      <c r="C1342" s="189">
        <v>3300</v>
      </c>
      <c r="D1342" s="189">
        <v>4700</v>
      </c>
      <c r="E1342" s="658" t="s">
        <v>885</v>
      </c>
      <c r="F1342" s="443" t="s">
        <v>1615</v>
      </c>
      <c r="G1342" s="198">
        <v>10000</v>
      </c>
      <c r="H1342" s="138">
        <f t="shared" ref="H1342:H1348" si="1409">IF(D1342=G1342,0,IF(D1342=0,100,(G1342-D1342)/D1342*100))</f>
        <v>112.7659574468085</v>
      </c>
      <c r="I1342" s="33">
        <f>ROUNDUP(G1342+(G1342*Assumptions!H$5),-2)</f>
        <v>10200</v>
      </c>
      <c r="J1342" s="33">
        <f>ROUNDUP(I1342+(I1342*Assumptions!I$5),-2)</f>
        <v>10500</v>
      </c>
      <c r="K1342" s="33">
        <f>ROUNDUP(J1342+(J1342*Assumptions!J$5),-2)</f>
        <v>10800</v>
      </c>
      <c r="L1342" s="33">
        <f>ROUNDUP(K1342+(K1342*Assumptions!K$5),-2)</f>
        <v>11100</v>
      </c>
      <c r="M1342" s="33">
        <f>ROUNDUP(L1342+(L1342*Assumptions!L$5),-2)</f>
        <v>11400</v>
      </c>
      <c r="N1342" s="33">
        <f>ROUNDUP(M1342+(M1342*Assumptions!M$5),-2)</f>
        <v>11700</v>
      </c>
      <c r="O1342" s="33">
        <f>ROUNDUP(N1342+(N1342*Assumptions!N$5),-2)</f>
        <v>12000</v>
      </c>
      <c r="P1342" s="33">
        <f>ROUNDUP(O1342+(O1342*Assumptions!O$5),-2)</f>
        <v>12300</v>
      </c>
      <c r="Q1342" s="33">
        <f>ROUNDUP(P1342+(P1342*Assumptions!P$5),-2)</f>
        <v>12600</v>
      </c>
      <c r="R1342" s="114">
        <f>ROUNDUP(Q1342+(Q1342*Assumptions!Q$5),-2)</f>
        <v>12900</v>
      </c>
    </row>
    <row r="1343" spans="1:18" x14ac:dyDescent="0.2">
      <c r="A1343" s="107">
        <v>500</v>
      </c>
      <c r="B1343" s="33">
        <v>300</v>
      </c>
      <c r="C1343" s="189">
        <v>500</v>
      </c>
      <c r="D1343" s="189">
        <v>0</v>
      </c>
      <c r="E1343" s="1092" t="s">
        <v>3067</v>
      </c>
      <c r="F1343" s="814" t="s">
        <v>3068</v>
      </c>
      <c r="G1343" s="198">
        <v>1000</v>
      </c>
      <c r="H1343" s="138">
        <f t="shared" si="1409"/>
        <v>100</v>
      </c>
      <c r="I1343" s="33">
        <f>ROUNDUP(G1343+(G1343*Assumptions!H$5),-2)</f>
        <v>1100</v>
      </c>
      <c r="J1343" s="33">
        <f>ROUNDUP(I1343+(I1343*Assumptions!I$5),-2)</f>
        <v>1200</v>
      </c>
      <c r="K1343" s="33">
        <f>ROUNDUP(J1343+(J1343*Assumptions!J$5),-2)</f>
        <v>1300</v>
      </c>
      <c r="L1343" s="33">
        <f>ROUNDUP(K1343+(K1343*Assumptions!K$5),-2)</f>
        <v>1400</v>
      </c>
      <c r="M1343" s="33">
        <f>ROUNDUP(L1343+(L1343*Assumptions!L$5),-2)</f>
        <v>1500</v>
      </c>
      <c r="N1343" s="33">
        <f>ROUNDUP(M1343+(M1343*Assumptions!M$5),-2)</f>
        <v>1600</v>
      </c>
      <c r="O1343" s="33">
        <f>ROUNDUP(N1343+(N1343*Assumptions!N$5),-2)</f>
        <v>1700</v>
      </c>
      <c r="P1343" s="33">
        <f>ROUNDUP(O1343+(O1343*Assumptions!O$5),-2)</f>
        <v>1800</v>
      </c>
      <c r="Q1343" s="33">
        <f>ROUNDUP(P1343+(P1343*Assumptions!P$5),-2)</f>
        <v>1900</v>
      </c>
      <c r="R1343" s="114">
        <f>ROUNDUP(Q1343+(Q1343*Assumptions!Q$5),-2)</f>
        <v>2000</v>
      </c>
    </row>
    <row r="1344" spans="1:18" x14ac:dyDescent="0.2">
      <c r="A1344" s="107">
        <v>10400</v>
      </c>
      <c r="B1344" s="33">
        <v>7500</v>
      </c>
      <c r="C1344" s="189">
        <v>17600</v>
      </c>
      <c r="D1344" s="189">
        <v>10600</v>
      </c>
      <c r="E1344" s="658" t="s">
        <v>886</v>
      </c>
      <c r="F1344" s="443" t="s">
        <v>810</v>
      </c>
      <c r="G1344" s="198">
        <v>13000</v>
      </c>
      <c r="H1344" s="138">
        <f t="shared" si="1409"/>
        <v>22.641509433962266</v>
      </c>
      <c r="I1344" s="33">
        <f>ROUNDUP(G1344+(G1344*Assumptions!H$5),-2)</f>
        <v>13200</v>
      </c>
      <c r="J1344" s="33">
        <f>ROUNDUP(I1344+(I1344*Assumptions!I$5),-2)</f>
        <v>13600</v>
      </c>
      <c r="K1344" s="33">
        <f>ROUNDUP(J1344+(J1344*Assumptions!J$5),-2)</f>
        <v>14000</v>
      </c>
      <c r="L1344" s="33">
        <f>ROUNDUP(K1344+(K1344*Assumptions!K$5),-2)</f>
        <v>14400</v>
      </c>
      <c r="M1344" s="33">
        <f>ROUNDUP(L1344+(L1344*Assumptions!L$5),-2)</f>
        <v>14700</v>
      </c>
      <c r="N1344" s="33">
        <f>ROUNDUP(M1344+(M1344*Assumptions!M$5),-2)</f>
        <v>15000</v>
      </c>
      <c r="O1344" s="33">
        <f>ROUNDUP(N1344+(N1344*Assumptions!N$5),-2)</f>
        <v>15300</v>
      </c>
      <c r="P1344" s="33">
        <f>ROUNDUP(O1344+(O1344*Assumptions!O$5),-2)</f>
        <v>15700</v>
      </c>
      <c r="Q1344" s="33">
        <f>ROUNDUP(P1344+(P1344*Assumptions!P$5),-2)</f>
        <v>16100</v>
      </c>
      <c r="R1344" s="114">
        <f>ROUNDUP(Q1344+(Q1344*Assumptions!Q$5),-2)</f>
        <v>16500</v>
      </c>
    </row>
    <row r="1345" spans="1:18" x14ac:dyDescent="0.2">
      <c r="A1345" s="107">
        <v>700</v>
      </c>
      <c r="B1345" s="33">
        <v>300</v>
      </c>
      <c r="C1345" s="189">
        <v>900</v>
      </c>
      <c r="D1345" s="189">
        <v>10000</v>
      </c>
      <c r="E1345" s="658" t="s">
        <v>591</v>
      </c>
      <c r="F1345" s="443" t="s">
        <v>1376</v>
      </c>
      <c r="G1345" s="198">
        <v>11000</v>
      </c>
      <c r="H1345" s="138">
        <f t="shared" si="1409"/>
        <v>10</v>
      </c>
      <c r="I1345" s="33">
        <f>ROUNDUP(G1345+(G1345*Assumptions!H$5),-2)</f>
        <v>11200</v>
      </c>
      <c r="J1345" s="33">
        <f>ROUNDUP(I1345+(I1345*Assumptions!I$5),-2)</f>
        <v>11500</v>
      </c>
      <c r="K1345" s="33">
        <f>ROUNDUP(J1345+(J1345*Assumptions!J$5),-2)</f>
        <v>11800</v>
      </c>
      <c r="L1345" s="33">
        <f>ROUNDUP(K1345+(K1345*Assumptions!K$5),-2)</f>
        <v>12100</v>
      </c>
      <c r="M1345" s="33">
        <f>ROUNDUP(L1345+(L1345*Assumptions!L$5),-2)</f>
        <v>12400</v>
      </c>
      <c r="N1345" s="33">
        <f>ROUNDUP(M1345+(M1345*Assumptions!M$5),-2)</f>
        <v>12700</v>
      </c>
      <c r="O1345" s="33">
        <f>ROUNDUP(N1345+(N1345*Assumptions!N$5),-2)</f>
        <v>13000</v>
      </c>
      <c r="P1345" s="33">
        <f>ROUNDUP(O1345+(O1345*Assumptions!O$5),-2)</f>
        <v>13300</v>
      </c>
      <c r="Q1345" s="33">
        <f>ROUNDUP(P1345+(P1345*Assumptions!P$5),-2)</f>
        <v>13600</v>
      </c>
      <c r="R1345" s="114">
        <f>ROUNDUP(Q1345+(Q1345*Assumptions!Q$5),-2)</f>
        <v>13900</v>
      </c>
    </row>
    <row r="1346" spans="1:18" x14ac:dyDescent="0.2">
      <c r="A1346" s="107">
        <v>3900</v>
      </c>
      <c r="B1346" s="33">
        <v>2700</v>
      </c>
      <c r="C1346" s="189">
        <v>3400</v>
      </c>
      <c r="D1346" s="189">
        <v>5300</v>
      </c>
      <c r="E1346" s="658" t="s">
        <v>40</v>
      </c>
      <c r="F1346" s="443" t="s">
        <v>39</v>
      </c>
      <c r="G1346" s="198">
        <v>1500</v>
      </c>
      <c r="H1346" s="138">
        <f t="shared" si="1409"/>
        <v>-71.698113207547166</v>
      </c>
      <c r="I1346" s="33">
        <f>ROUNDUP(G1346+(G1346*Assumptions!H$5),-2)</f>
        <v>1600</v>
      </c>
      <c r="J1346" s="33">
        <f>ROUNDUP(I1346+(I1346*Assumptions!I$5),-2)</f>
        <v>1700</v>
      </c>
      <c r="K1346" s="33">
        <f>ROUNDUP(J1346+(J1346*Assumptions!J$5),-2)</f>
        <v>1800</v>
      </c>
      <c r="L1346" s="33">
        <f>ROUNDUP(K1346+(K1346*Assumptions!K$5),-2)</f>
        <v>1900</v>
      </c>
      <c r="M1346" s="33">
        <f>ROUNDUP(L1346+(L1346*Assumptions!L$5),-2)</f>
        <v>2000</v>
      </c>
      <c r="N1346" s="33">
        <f>ROUNDUP(M1346+(M1346*Assumptions!M$5),-2)</f>
        <v>2100</v>
      </c>
      <c r="O1346" s="33">
        <f>ROUNDUP(N1346+(N1346*Assumptions!N$5),-2)</f>
        <v>2200</v>
      </c>
      <c r="P1346" s="33">
        <f>ROUNDUP(O1346+(O1346*Assumptions!O$5),-2)</f>
        <v>2300</v>
      </c>
      <c r="Q1346" s="33">
        <f>ROUNDUP(P1346+(P1346*Assumptions!P$5),-2)</f>
        <v>2400</v>
      </c>
      <c r="R1346" s="114">
        <f>ROUNDUP(Q1346+(Q1346*Assumptions!Q$5),-2)</f>
        <v>2500</v>
      </c>
    </row>
    <row r="1347" spans="1:18" x14ac:dyDescent="0.2">
      <c r="A1347" s="107">
        <v>0</v>
      </c>
      <c r="B1347" s="33">
        <v>0</v>
      </c>
      <c r="C1347" s="189">
        <v>0</v>
      </c>
      <c r="D1347" s="189">
        <v>0</v>
      </c>
      <c r="E1347" s="658"/>
      <c r="F1347" s="443" t="s">
        <v>6995</v>
      </c>
      <c r="G1347" s="198">
        <v>0</v>
      </c>
      <c r="H1347" s="138">
        <f t="shared" ref="H1347" si="1410">IF(D1347=G1347,0,IF(D1347=0,100,(G1347-D1347)/D1347*100))</f>
        <v>0</v>
      </c>
      <c r="I1347" s="33">
        <v>2000</v>
      </c>
      <c r="J1347" s="33">
        <f>ROUNDUP(I1347+(I1347*Assumptions!I$5),-2)</f>
        <v>2100</v>
      </c>
      <c r="K1347" s="33">
        <f>ROUNDUP(J1347+(J1347*Assumptions!J$5),-2)</f>
        <v>2200</v>
      </c>
      <c r="L1347" s="33">
        <f>ROUNDUP(K1347+(K1347*Assumptions!K$5),-2)</f>
        <v>2300</v>
      </c>
      <c r="M1347" s="33">
        <f>ROUNDUP(L1347+(L1347*Assumptions!L$5),-2)</f>
        <v>2400</v>
      </c>
      <c r="N1347" s="33">
        <f>ROUNDUP(M1347+(M1347*Assumptions!M$5),-2)</f>
        <v>2500</v>
      </c>
      <c r="O1347" s="33">
        <f>ROUNDUP(N1347+(N1347*Assumptions!N$5),-2)</f>
        <v>2600</v>
      </c>
      <c r="P1347" s="33">
        <f>ROUNDUP(O1347+(O1347*Assumptions!O$5),-2)</f>
        <v>2700</v>
      </c>
      <c r="Q1347" s="33">
        <f>ROUNDUP(P1347+(P1347*Assumptions!P$5),-2)</f>
        <v>2800</v>
      </c>
      <c r="R1347" s="114">
        <f>ROUNDUP(Q1347+(Q1347*Assumptions!Q$5),-2)</f>
        <v>2900</v>
      </c>
    </row>
    <row r="1348" spans="1:18" x14ac:dyDescent="0.2">
      <c r="A1348" s="107">
        <v>900</v>
      </c>
      <c r="B1348" s="33">
        <v>100</v>
      </c>
      <c r="C1348" s="189">
        <v>700</v>
      </c>
      <c r="D1348" s="189">
        <v>700</v>
      </c>
      <c r="E1348" s="658" t="s">
        <v>592</v>
      </c>
      <c r="F1348" s="443" t="s">
        <v>4893</v>
      </c>
      <c r="G1348" s="198">
        <v>900</v>
      </c>
      <c r="H1348" s="138">
        <f t="shared" si="1409"/>
        <v>28.571428571428569</v>
      </c>
      <c r="I1348" s="33">
        <v>2000</v>
      </c>
      <c r="J1348" s="33">
        <f>ROUNDUP(I1348+(I1348*Assumptions!I$5),-2)</f>
        <v>2100</v>
      </c>
      <c r="K1348" s="33">
        <f>ROUNDUP(J1348+(J1348*Assumptions!J$5),-2)</f>
        <v>2200</v>
      </c>
      <c r="L1348" s="33">
        <f>ROUNDUP(K1348+(K1348*Assumptions!K$5),-2)</f>
        <v>2300</v>
      </c>
      <c r="M1348" s="33">
        <f>ROUNDUP(L1348+(L1348*Assumptions!L$5),-2)</f>
        <v>2400</v>
      </c>
      <c r="N1348" s="33">
        <f>ROUNDUP(M1348+(M1348*Assumptions!M$5),-2)</f>
        <v>2500</v>
      </c>
      <c r="O1348" s="33">
        <f>ROUNDUP(N1348+(N1348*Assumptions!N$5),-2)</f>
        <v>2600</v>
      </c>
      <c r="P1348" s="33">
        <f>ROUNDUP(O1348+(O1348*Assumptions!O$5),-2)</f>
        <v>2700</v>
      </c>
      <c r="Q1348" s="33">
        <f>ROUNDUP(P1348+(P1348*Assumptions!P$5),-2)</f>
        <v>2800</v>
      </c>
      <c r="R1348" s="114">
        <f>ROUNDUP(Q1348+(Q1348*Assumptions!Q$5),-2)</f>
        <v>2900</v>
      </c>
    </row>
    <row r="1349" spans="1:18" s="23" customFormat="1" ht="12.75" customHeight="1" x14ac:dyDescent="0.2">
      <c r="A1349" s="705"/>
      <c r="B1349" s="529"/>
      <c r="C1349" s="529"/>
      <c r="D1349" s="204"/>
      <c r="E1349" s="529"/>
      <c r="F1349" s="443"/>
      <c r="G1349" s="198"/>
      <c r="H1349" s="2416"/>
      <c r="I1349" s="529"/>
      <c r="J1349" s="529"/>
      <c r="K1349" s="529"/>
      <c r="L1349" s="529"/>
      <c r="M1349" s="529"/>
      <c r="N1349" s="529"/>
      <c r="O1349" s="529"/>
      <c r="P1349" s="529"/>
      <c r="Q1349" s="529"/>
      <c r="R1349" s="530"/>
    </row>
    <row r="1350" spans="1:18" x14ac:dyDescent="0.2">
      <c r="A1350" s="107"/>
      <c r="B1350" s="33"/>
      <c r="E1350" s="2512"/>
      <c r="F1350" s="1103" t="s">
        <v>108</v>
      </c>
      <c r="G1350" s="198"/>
      <c r="H1350" s="138"/>
      <c r="I1350" s="33"/>
      <c r="J1350" s="33"/>
      <c r="K1350" s="33"/>
      <c r="L1350" s="33"/>
      <c r="M1350" s="33"/>
      <c r="N1350" s="33"/>
      <c r="O1350" s="33"/>
      <c r="P1350" s="33"/>
      <c r="Q1350" s="33"/>
      <c r="R1350" s="114"/>
    </row>
    <row r="1351" spans="1:18" x14ac:dyDescent="0.2">
      <c r="A1351" s="107">
        <v>6000</v>
      </c>
      <c r="B1351" s="33">
        <v>6700</v>
      </c>
      <c r="C1351" s="189">
        <v>5500</v>
      </c>
      <c r="D1351" s="189">
        <v>5200</v>
      </c>
      <c r="E1351" s="658" t="s">
        <v>1940</v>
      </c>
      <c r="F1351" s="443" t="s">
        <v>234</v>
      </c>
      <c r="G1351" s="198">
        <v>5800</v>
      </c>
      <c r="H1351" s="138">
        <f>IF(D1351=G1351,0,IF(D1351=0,100,(G1351-D1351)/D1351*100))</f>
        <v>11.538461538461538</v>
      </c>
      <c r="I1351" s="33">
        <f>ROUNDUP(G1351+(G1351*Assumptions!H$5),-2)</f>
        <v>5900</v>
      </c>
      <c r="J1351" s="33">
        <f>ROUNDUP(I1351+(I1351*Assumptions!I$5),-2)</f>
        <v>6100</v>
      </c>
      <c r="K1351" s="33">
        <f>ROUNDUP(J1351+(J1351*Assumptions!J$5),-2)</f>
        <v>6300</v>
      </c>
      <c r="L1351" s="33">
        <f>ROUNDUP(K1351+(K1351*Assumptions!K$5),-2)</f>
        <v>6500</v>
      </c>
      <c r="M1351" s="33">
        <f>ROUNDUP(L1351+(L1351*Assumptions!L$5),-2)</f>
        <v>6700</v>
      </c>
      <c r="N1351" s="33">
        <f>ROUNDUP(M1351+(M1351*Assumptions!M$5),-2)</f>
        <v>6900</v>
      </c>
      <c r="O1351" s="33">
        <f>ROUNDUP(N1351+(N1351*Assumptions!N$5),-2)</f>
        <v>7100</v>
      </c>
      <c r="P1351" s="33">
        <f>ROUNDUP(O1351+(O1351*Assumptions!O$5),-2)</f>
        <v>7300</v>
      </c>
      <c r="Q1351" s="33">
        <f>ROUNDUP(P1351+(P1351*Assumptions!P$5),-2)</f>
        <v>7500</v>
      </c>
      <c r="R1351" s="114">
        <f>ROUNDUP(Q1351+(Q1351*Assumptions!Q$5),-2)</f>
        <v>7700</v>
      </c>
    </row>
    <row r="1352" spans="1:18" x14ac:dyDescent="0.2">
      <c r="A1352" s="107">
        <v>2300</v>
      </c>
      <c r="B1352" s="33">
        <v>1500</v>
      </c>
      <c r="C1352" s="189">
        <v>4100</v>
      </c>
      <c r="D1352" s="189">
        <v>1200</v>
      </c>
      <c r="E1352" s="658" t="s">
        <v>1326</v>
      </c>
      <c r="F1352" s="443" t="s">
        <v>887</v>
      </c>
      <c r="G1352" s="198">
        <v>12500</v>
      </c>
      <c r="H1352" s="138">
        <f>IF(D1352=G1352,0,IF(D1352=0,100,(G1352-D1352)/D1352*100))</f>
        <v>941.66666666666663</v>
      </c>
      <c r="I1352" s="33">
        <f>ROUNDUP(G1352+(G1352*Assumptions!H$5),-2)</f>
        <v>12700</v>
      </c>
      <c r="J1352" s="33">
        <f>ROUNDUP(I1352+(I1352*Assumptions!I$5),-2)</f>
        <v>13100</v>
      </c>
      <c r="K1352" s="33">
        <f>ROUNDUP(J1352+(J1352*Assumptions!J$5),-2)</f>
        <v>13500</v>
      </c>
      <c r="L1352" s="33">
        <f>ROUNDUP(K1352+(K1352*Assumptions!K$5),-2)</f>
        <v>13900</v>
      </c>
      <c r="M1352" s="33">
        <f>ROUNDUP(L1352+(L1352*Assumptions!L$5),-2)</f>
        <v>14200</v>
      </c>
      <c r="N1352" s="33">
        <f>ROUNDUP(M1352+(M1352*Assumptions!M$5),-2)</f>
        <v>14500</v>
      </c>
      <c r="O1352" s="33">
        <f>ROUNDUP(N1352+(N1352*Assumptions!N$5),-2)</f>
        <v>14800</v>
      </c>
      <c r="P1352" s="33">
        <f>ROUNDUP(O1352+(O1352*Assumptions!O$5),-2)</f>
        <v>15100</v>
      </c>
      <c r="Q1352" s="33">
        <f>ROUNDUP(P1352+(P1352*Assumptions!P$5),-2)</f>
        <v>15500</v>
      </c>
      <c r="R1352" s="114">
        <f>ROUNDUP(Q1352+(Q1352*Assumptions!Q$5),-2)</f>
        <v>15900</v>
      </c>
    </row>
    <row r="1353" spans="1:18" x14ac:dyDescent="0.2">
      <c r="A1353" s="107">
        <v>0</v>
      </c>
      <c r="B1353" s="33">
        <v>0</v>
      </c>
      <c r="C1353" s="189">
        <v>0</v>
      </c>
      <c r="D1353" s="189">
        <v>18800</v>
      </c>
      <c r="E1353" s="1092" t="s">
        <v>5496</v>
      </c>
      <c r="F1353" s="443" t="s">
        <v>6901</v>
      </c>
      <c r="G1353" s="198">
        <v>0</v>
      </c>
      <c r="H1353" s="138">
        <f>IF(D1353=G1353,0,IF(D1353=0,100,(G1353-D1353)/D1353*100))</f>
        <v>-100</v>
      </c>
      <c r="I1353" s="33">
        <f>ROUNDUP(G1353+(G1353*Assumptions!H$5),-2)</f>
        <v>0</v>
      </c>
      <c r="J1353" s="33">
        <f>ROUNDUP(I1353+(I1353*Assumptions!I$5),-2)</f>
        <v>0</v>
      </c>
      <c r="K1353" s="33">
        <f>ROUNDUP(J1353+(J1353*Assumptions!J$5),-2)</f>
        <v>0</v>
      </c>
      <c r="L1353" s="33">
        <f>ROUNDUP(K1353+(K1353*Assumptions!K$5),-2)</f>
        <v>0</v>
      </c>
      <c r="M1353" s="33">
        <f>ROUNDUP(L1353+(L1353*Assumptions!L$5),-2)</f>
        <v>0</v>
      </c>
      <c r="N1353" s="33">
        <f>ROUNDUP(M1353+(M1353*Assumptions!M$5),-2)</f>
        <v>0</v>
      </c>
      <c r="O1353" s="33">
        <f>ROUNDUP(N1353+(N1353*Assumptions!N$5),-2)</f>
        <v>0</v>
      </c>
      <c r="P1353" s="33">
        <f>ROUNDUP(O1353+(O1353*Assumptions!O$5),-2)</f>
        <v>0</v>
      </c>
      <c r="Q1353" s="33">
        <f>ROUNDUP(P1353+(P1353*Assumptions!P$5),-2)</f>
        <v>0</v>
      </c>
      <c r="R1353" s="114">
        <f>ROUNDUP(Q1353+(Q1353*Assumptions!Q$5),-2)</f>
        <v>0</v>
      </c>
    </row>
    <row r="1354" spans="1:18" x14ac:dyDescent="0.2">
      <c r="A1354" s="107">
        <v>228900</v>
      </c>
      <c r="B1354" s="33">
        <v>232300</v>
      </c>
      <c r="C1354" s="189">
        <v>261400</v>
      </c>
      <c r="D1354" s="189">
        <v>279400</v>
      </c>
      <c r="E1354" s="658" t="s">
        <v>1327</v>
      </c>
      <c r="F1354" s="443" t="s">
        <v>801</v>
      </c>
      <c r="G1354" s="198">
        <v>270000</v>
      </c>
      <c r="H1354" s="138">
        <f>IF(D1354=G1354,0,IF(D1354=0,100,(G1354-D1354)/D1354*100))</f>
        <v>-3.3643521832498213</v>
      </c>
      <c r="I1354" s="33">
        <f>ROUNDUP(G1354+(G1354*Assumptions!H$5),-2)</f>
        <v>274100</v>
      </c>
      <c r="J1354" s="33">
        <f>ROUNDUP(I1354+(I1354*Assumptions!I$5),-2)</f>
        <v>281000</v>
      </c>
      <c r="K1354" s="33">
        <f>ROUNDUP(J1354+(J1354*Assumptions!J$5),-2)</f>
        <v>288100</v>
      </c>
      <c r="L1354" s="33">
        <f>ROUNDUP(K1354+(K1354*Assumptions!K$5),-2)</f>
        <v>295400</v>
      </c>
      <c r="M1354" s="33">
        <f>ROUNDUP(L1354+(L1354*Assumptions!L$5),-2)</f>
        <v>301400</v>
      </c>
      <c r="N1354" s="33">
        <f>ROUNDUP(M1354+(M1354*Assumptions!M$5),-2)</f>
        <v>307500</v>
      </c>
      <c r="O1354" s="33">
        <f>ROUNDUP(N1354+(N1354*Assumptions!N$5),-2)</f>
        <v>313700</v>
      </c>
      <c r="P1354" s="33">
        <f>ROUNDUP(O1354+(O1354*Assumptions!O$5),-2)</f>
        <v>320000</v>
      </c>
      <c r="Q1354" s="33">
        <f>ROUNDUP(P1354+(P1354*Assumptions!P$5),-2)</f>
        <v>326400</v>
      </c>
      <c r="R1354" s="114">
        <f>ROUNDUP(Q1354+(Q1354*Assumptions!Q$5),-2)</f>
        <v>333000</v>
      </c>
    </row>
    <row r="1355" spans="1:18" x14ac:dyDescent="0.2">
      <c r="A1355" s="107">
        <v>2500</v>
      </c>
      <c r="B1355" s="33">
        <v>1800</v>
      </c>
      <c r="C1355" s="189">
        <v>2100</v>
      </c>
      <c r="D1355" s="189">
        <v>42500</v>
      </c>
      <c r="E1355" s="658" t="s">
        <v>1069</v>
      </c>
      <c r="F1355" s="443" t="s">
        <v>1895</v>
      </c>
      <c r="G1355" s="198">
        <v>3000</v>
      </c>
      <c r="H1355" s="138">
        <f>IF(D1355=G1355,0,IF(D1355=0,100,(G1355-D1355)/D1355*100))</f>
        <v>-92.941176470588232</v>
      </c>
      <c r="I1355" s="33">
        <f>ROUNDUP(G1355+(G1355*Assumptions!H$5),-2)</f>
        <v>3100</v>
      </c>
      <c r="J1355" s="33">
        <f>ROUNDUP(I1355+(I1355*Assumptions!I$5),-2)</f>
        <v>3200</v>
      </c>
      <c r="K1355" s="33">
        <f>ROUNDUP(J1355+(J1355*Assumptions!J$5),-2)</f>
        <v>3300</v>
      </c>
      <c r="L1355" s="33">
        <f>ROUNDUP(K1355+(K1355*Assumptions!K$5),-2)</f>
        <v>3400</v>
      </c>
      <c r="M1355" s="33">
        <f>ROUNDUP(L1355+(L1355*Assumptions!L$5),-2)</f>
        <v>3500</v>
      </c>
      <c r="N1355" s="33">
        <f>ROUNDUP(M1355+(M1355*Assumptions!M$5),-2)</f>
        <v>3600</v>
      </c>
      <c r="O1355" s="33">
        <f>ROUNDUP(N1355+(N1355*Assumptions!N$5),-2)</f>
        <v>3700</v>
      </c>
      <c r="P1355" s="33">
        <f>ROUNDUP(O1355+(O1355*Assumptions!O$5),-2)</f>
        <v>3800</v>
      </c>
      <c r="Q1355" s="33">
        <f>ROUNDUP(P1355+(P1355*Assumptions!P$5),-2)</f>
        <v>3900</v>
      </c>
      <c r="R1355" s="114">
        <f>ROUNDUP(Q1355+(Q1355*Assumptions!Q$5),-2)</f>
        <v>4000</v>
      </c>
    </row>
    <row r="1356" spans="1:18" x14ac:dyDescent="0.2">
      <c r="A1356" s="107"/>
      <c r="B1356" s="33"/>
      <c r="E1356" s="658"/>
      <c r="F1356" s="443"/>
      <c r="G1356" s="198"/>
      <c r="H1356" s="138"/>
      <c r="I1356" s="33"/>
      <c r="J1356" s="33"/>
      <c r="K1356" s="33"/>
      <c r="L1356" s="33"/>
      <c r="M1356" s="33"/>
      <c r="N1356" s="33"/>
      <c r="O1356" s="33"/>
      <c r="P1356" s="33"/>
      <c r="Q1356" s="33"/>
      <c r="R1356" s="114"/>
    </row>
    <row r="1357" spans="1:18" x14ac:dyDescent="0.2">
      <c r="A1357" s="107"/>
      <c r="B1357" s="33"/>
      <c r="E1357" s="658"/>
      <c r="F1357" s="1103" t="str">
        <f>F101</f>
        <v>Non-Cash Expenses</v>
      </c>
      <c r="G1357" s="198"/>
      <c r="H1357" s="138"/>
      <c r="I1357" s="33"/>
      <c r="J1357" s="33"/>
      <c r="K1357" s="33"/>
      <c r="L1357" s="33"/>
      <c r="M1357" s="33"/>
      <c r="N1357" s="33"/>
      <c r="O1357" s="33"/>
      <c r="P1357" s="33"/>
      <c r="Q1357" s="33"/>
      <c r="R1357" s="114"/>
    </row>
    <row r="1358" spans="1:18" x14ac:dyDescent="0.2">
      <c r="A1358" s="107">
        <v>0</v>
      </c>
      <c r="B1358" s="33">
        <v>0</v>
      </c>
      <c r="C1358" s="189">
        <v>0</v>
      </c>
      <c r="D1358" s="189">
        <v>0</v>
      </c>
      <c r="E1358" s="658"/>
      <c r="F1358" s="443" t="s">
        <v>2070</v>
      </c>
      <c r="G1358" s="198">
        <v>0</v>
      </c>
      <c r="H1358" s="138">
        <f>IF(D1358=G1358,0,IF(D1358=0,100,(G1358-D1358)/D1358*100))</f>
        <v>0</v>
      </c>
      <c r="I1358" s="33">
        <f>ROUNDUP(G1358+(G1358*Assumptions!H$18),-2)</f>
        <v>0</v>
      </c>
      <c r="J1358" s="33">
        <f>ROUNDUP(I1358+(I1358*Assumptions!I$18),-2)</f>
        <v>0</v>
      </c>
      <c r="K1358" s="33">
        <f>ROUNDUP(J1358+(J1358*Assumptions!J$18),-2)</f>
        <v>0</v>
      </c>
      <c r="L1358" s="33">
        <f>ROUNDUP(K1358+(K1358*Assumptions!K$18),-2)</f>
        <v>0</v>
      </c>
      <c r="M1358" s="33">
        <f>ROUNDUP(L1358+(L1358*Assumptions!L$18),-2)</f>
        <v>0</v>
      </c>
      <c r="N1358" s="33">
        <f>ROUNDUP(M1358+(M1358*Assumptions!M$18),-2)</f>
        <v>0</v>
      </c>
      <c r="O1358" s="33">
        <f>ROUNDUP(N1358+(N1358*Assumptions!N$18),-2)</f>
        <v>0</v>
      </c>
      <c r="P1358" s="33">
        <f>ROUNDUP(O1358+(O1358*Assumptions!O$18),-2)</f>
        <v>0</v>
      </c>
      <c r="Q1358" s="33">
        <f>ROUNDUP(P1358+(P1358*Assumptions!P$18),-2)</f>
        <v>0</v>
      </c>
      <c r="R1358" s="114">
        <f>ROUNDUP(Q1358+(Q1358*Assumptions!Q$18),-2)</f>
        <v>0</v>
      </c>
    </row>
    <row r="1359" spans="1:18" x14ac:dyDescent="0.2">
      <c r="A1359" s="107">
        <v>0</v>
      </c>
      <c r="B1359" s="33">
        <v>38700</v>
      </c>
      <c r="C1359" s="189">
        <v>85000</v>
      </c>
      <c r="D1359" s="189">
        <v>0</v>
      </c>
      <c r="E1359" s="1092" t="s">
        <v>4554</v>
      </c>
      <c r="F1359" s="443" t="s">
        <v>5390</v>
      </c>
      <c r="G1359" s="198">
        <v>0</v>
      </c>
      <c r="H1359" s="138">
        <f>IF(D1359=G1359,0,IF(D1359=0,100,(G1359-D1359)/D1359*100))</f>
        <v>0</v>
      </c>
      <c r="I1359" s="33">
        <f>ROUNDUP(G1359+(G1359*Assumptions!H$5),-2)</f>
        <v>0</v>
      </c>
      <c r="J1359" s="33">
        <f>ROUNDUP(I1359+(I1359*Assumptions!I$5),-2)</f>
        <v>0</v>
      </c>
      <c r="K1359" s="33">
        <f>ROUNDUP(J1359+(J1359*Assumptions!J$5),-2)</f>
        <v>0</v>
      </c>
      <c r="L1359" s="33">
        <f>ROUNDUP(K1359+(K1359*Assumptions!K$5),-2)</f>
        <v>0</v>
      </c>
      <c r="M1359" s="33">
        <f>ROUNDUP(L1359+(L1359*Assumptions!L$5),-2)</f>
        <v>0</v>
      </c>
      <c r="N1359" s="33">
        <f>ROUNDUP(M1359+(M1359*Assumptions!M$5),-2)</f>
        <v>0</v>
      </c>
      <c r="O1359" s="33">
        <f>ROUNDUP(N1359+(N1359*Assumptions!N$5),-2)</f>
        <v>0</v>
      </c>
      <c r="P1359" s="33">
        <f>ROUNDUP(O1359+(O1359*Assumptions!O$5),-2)</f>
        <v>0</v>
      </c>
      <c r="Q1359" s="33">
        <f>ROUNDUP(P1359+(P1359*Assumptions!P$5),-2)</f>
        <v>0</v>
      </c>
      <c r="R1359" s="114">
        <f>ROUNDUP(Q1359+(Q1359*Assumptions!Q$5),-2)</f>
        <v>0</v>
      </c>
    </row>
    <row r="1360" spans="1:18" ht="13.5" thickBot="1" x14ac:dyDescent="0.25">
      <c r="A1360" s="107"/>
      <c r="B1360" s="33"/>
      <c r="C1360" s="187"/>
      <c r="D1360" s="187"/>
      <c r="E1360" s="240"/>
      <c r="F1360" s="99"/>
      <c r="G1360" s="187"/>
      <c r="H1360" s="138"/>
      <c r="I1360" s="33"/>
      <c r="J1360" s="33"/>
      <c r="K1360" s="33"/>
      <c r="L1360" s="33"/>
      <c r="M1360" s="33"/>
      <c r="N1360" s="33"/>
      <c r="O1360" s="33"/>
      <c r="P1360" s="33"/>
      <c r="Q1360" s="33"/>
      <c r="R1360" s="114"/>
    </row>
    <row r="1361" spans="1:18" s="92" customFormat="1" x14ac:dyDescent="0.2">
      <c r="A1361" s="105">
        <f>SUM(A1294:A1360)</f>
        <v>2287100</v>
      </c>
      <c r="B1361" s="53">
        <f>SUM(B1294:B1360)</f>
        <v>2369700</v>
      </c>
      <c r="C1361" s="190">
        <f>SUM(C1294:C1360)</f>
        <v>2414600</v>
      </c>
      <c r="D1361" s="190">
        <f>SUM(D1294:D1360)</f>
        <v>2467200</v>
      </c>
      <c r="E1361" s="246"/>
      <c r="F1361" s="112" t="s">
        <v>565</v>
      </c>
      <c r="G1361" s="199">
        <f>SUM(G1294:G1360)</f>
        <v>2791600</v>
      </c>
      <c r="H1361" s="180">
        <f>IF(D1361=G1361,0,IF(D1361=0,100,(G1361-D1361)/D1361*100))</f>
        <v>13.148508430609599</v>
      </c>
      <c r="I1361" s="53">
        <f t="shared" ref="I1361:Q1361" si="1411">SUM(I1294:I1360)</f>
        <v>2710800</v>
      </c>
      <c r="J1361" s="53">
        <f t="shared" si="1411"/>
        <v>2780200</v>
      </c>
      <c r="K1361" s="53">
        <f t="shared" si="1411"/>
        <v>2851300</v>
      </c>
      <c r="L1361" s="53">
        <f t="shared" si="1411"/>
        <v>2924300</v>
      </c>
      <c r="M1361" s="53">
        <f t="shared" si="1411"/>
        <v>2986100</v>
      </c>
      <c r="N1361" s="53">
        <f t="shared" si="1411"/>
        <v>3049100</v>
      </c>
      <c r="O1361" s="53">
        <f t="shared" si="1411"/>
        <v>3113300</v>
      </c>
      <c r="P1361" s="53">
        <f t="shared" si="1411"/>
        <v>3178700</v>
      </c>
      <c r="Q1361" s="53">
        <f t="shared" si="1411"/>
        <v>3237200</v>
      </c>
      <c r="R1361" s="113">
        <f t="shared" ref="R1361" si="1412">SUM(R1294:R1360)</f>
        <v>3296800</v>
      </c>
    </row>
    <row r="1362" spans="1:18" x14ac:dyDescent="0.2">
      <c r="A1362" s="107"/>
      <c r="B1362" s="33"/>
      <c r="E1362" s="1955"/>
      <c r="F1362" s="1981"/>
      <c r="G1362" s="187"/>
      <c r="H1362" s="138"/>
      <c r="I1362" s="33"/>
      <c r="J1362" s="33"/>
      <c r="K1362" s="33"/>
      <c r="L1362" s="33"/>
      <c r="M1362" s="33"/>
      <c r="N1362" s="33"/>
      <c r="O1362" s="33"/>
      <c r="P1362" s="33"/>
      <c r="Q1362" s="33"/>
      <c r="R1362" s="114"/>
    </row>
    <row r="1363" spans="1:18" s="92" customFormat="1" x14ac:dyDescent="0.2">
      <c r="A1363" s="70">
        <f>A1292-A1361</f>
        <v>-1898600</v>
      </c>
      <c r="B1363" s="64">
        <f>B1292-B1361</f>
        <v>-1942000</v>
      </c>
      <c r="C1363" s="193">
        <f>C1292-C1361</f>
        <v>-2036200</v>
      </c>
      <c r="D1363" s="193">
        <f>D1292-D1361</f>
        <v>-2091200</v>
      </c>
      <c r="E1363" s="237"/>
      <c r="F1363" s="175" t="s">
        <v>1019</v>
      </c>
      <c r="G1363" s="192">
        <f>G1292-G1361</f>
        <v>-2457600</v>
      </c>
      <c r="H1363" s="179">
        <f>IF(D1363=G1363,0,IF(D1363=0,100,(G1363-D1363)/D1363*100))</f>
        <v>17.521040550879878</v>
      </c>
      <c r="I1363" s="64">
        <f t="shared" ref="I1363:Q1363" si="1413">I1292-I1361</f>
        <v>-2371700</v>
      </c>
      <c r="J1363" s="64">
        <f t="shared" si="1413"/>
        <v>-2432000</v>
      </c>
      <c r="K1363" s="64">
        <f t="shared" si="1413"/>
        <v>-2493800</v>
      </c>
      <c r="L1363" s="64">
        <f t="shared" si="1413"/>
        <v>-2557300</v>
      </c>
      <c r="M1363" s="64">
        <f t="shared" si="1413"/>
        <v>-2611100</v>
      </c>
      <c r="N1363" s="64">
        <f t="shared" si="1413"/>
        <v>-2666000</v>
      </c>
      <c r="O1363" s="64">
        <f t="shared" si="1413"/>
        <v>-2722000</v>
      </c>
      <c r="P1363" s="64">
        <f t="shared" si="1413"/>
        <v>-2779000</v>
      </c>
      <c r="Q1363" s="64">
        <f t="shared" si="1413"/>
        <v>-2829000</v>
      </c>
      <c r="R1363" s="115">
        <f t="shared" ref="R1363" si="1414">R1292-R1361</f>
        <v>-2879900</v>
      </c>
    </row>
    <row r="1364" spans="1:18" x14ac:dyDescent="0.2">
      <c r="A1364" s="107">
        <f t="shared" ref="A1364:B1364" si="1415">A1358</f>
        <v>0</v>
      </c>
      <c r="B1364" s="33">
        <f t="shared" si="1415"/>
        <v>0</v>
      </c>
      <c r="C1364" s="189">
        <f>C1358</f>
        <v>0</v>
      </c>
      <c r="D1364" s="189">
        <f>D1358</f>
        <v>0</v>
      </c>
      <c r="E1364" s="1955"/>
      <c r="F1364" s="2531" t="s">
        <v>1976</v>
      </c>
      <c r="G1364" s="187">
        <f t="shared" ref="G1364:O1364" si="1416">G1358</f>
        <v>0</v>
      </c>
      <c r="H1364" s="138">
        <f>IF(D1364=G1364,0,IF(D1364=0,100,(G1364-D1364)/D1364*100))</f>
        <v>0</v>
      </c>
      <c r="I1364" s="187">
        <f t="shared" si="1416"/>
        <v>0</v>
      </c>
      <c r="J1364" s="187">
        <f t="shared" si="1416"/>
        <v>0</v>
      </c>
      <c r="K1364" s="187">
        <f t="shared" si="1416"/>
        <v>0</v>
      </c>
      <c r="L1364" s="187">
        <f t="shared" si="1416"/>
        <v>0</v>
      </c>
      <c r="M1364" s="187">
        <f t="shared" si="1416"/>
        <v>0</v>
      </c>
      <c r="N1364" s="187">
        <f t="shared" si="1416"/>
        <v>0</v>
      </c>
      <c r="O1364" s="187">
        <f t="shared" si="1416"/>
        <v>0</v>
      </c>
      <c r="P1364" s="187">
        <f t="shared" ref="P1364:Q1364" si="1417">P1358</f>
        <v>0</v>
      </c>
      <c r="Q1364" s="187">
        <f t="shared" si="1417"/>
        <v>0</v>
      </c>
      <c r="R1364" s="188">
        <f t="shared" ref="R1364" si="1418">R1358</f>
        <v>0</v>
      </c>
    </row>
    <row r="1365" spans="1:18" x14ac:dyDescent="0.2">
      <c r="A1365" s="107">
        <f t="shared" ref="A1365:B1365" si="1419">A1359</f>
        <v>0</v>
      </c>
      <c r="B1365" s="33">
        <f t="shared" si="1419"/>
        <v>38700</v>
      </c>
      <c r="C1365" s="189">
        <f>C1359</f>
        <v>85000</v>
      </c>
      <c r="D1365" s="189">
        <f>D1359</f>
        <v>0</v>
      </c>
      <c r="E1365" s="1955"/>
      <c r="F1365" s="372" t="s">
        <v>4549</v>
      </c>
      <c r="G1365" s="2509">
        <f t="shared" ref="G1365:O1365" si="1420">G1359</f>
        <v>0</v>
      </c>
      <c r="H1365" s="138">
        <f>IF(D1365=G1365,0,IF(D1365=0,100,(G1365-D1365)/D1365*100))</f>
        <v>0</v>
      </c>
      <c r="I1365" s="187">
        <f t="shared" si="1420"/>
        <v>0</v>
      </c>
      <c r="J1365" s="187">
        <f t="shared" si="1420"/>
        <v>0</v>
      </c>
      <c r="K1365" s="187">
        <f t="shared" si="1420"/>
        <v>0</v>
      </c>
      <c r="L1365" s="187">
        <f t="shared" si="1420"/>
        <v>0</v>
      </c>
      <c r="M1365" s="187">
        <f t="shared" si="1420"/>
        <v>0</v>
      </c>
      <c r="N1365" s="187">
        <f t="shared" si="1420"/>
        <v>0</v>
      </c>
      <c r="O1365" s="187">
        <f t="shared" si="1420"/>
        <v>0</v>
      </c>
      <c r="P1365" s="187">
        <f t="shared" ref="P1365:Q1365" si="1421">P1359</f>
        <v>0</v>
      </c>
      <c r="Q1365" s="187">
        <f t="shared" si="1421"/>
        <v>0</v>
      </c>
      <c r="R1365" s="188">
        <f t="shared" ref="R1365" si="1422">R1359</f>
        <v>0</v>
      </c>
    </row>
    <row r="1366" spans="1:18" s="92" customFormat="1" x14ac:dyDescent="0.2">
      <c r="A1366" s="181">
        <f t="shared" ref="A1366:B1366" si="1423">A1363+A1364+A1365</f>
        <v>-1898600</v>
      </c>
      <c r="B1366" s="397">
        <f t="shared" si="1423"/>
        <v>-1903300</v>
      </c>
      <c r="C1366" s="398">
        <f>C1363+C1364+C1365</f>
        <v>-1951200</v>
      </c>
      <c r="D1366" s="398">
        <f>D1363+D1364+D1365</f>
        <v>-2091200</v>
      </c>
      <c r="E1366" s="523"/>
      <c r="F1366" s="518" t="s">
        <v>1687</v>
      </c>
      <c r="G1366" s="2607">
        <f t="shared" ref="G1366:O1366" si="1424">G1363+G1364+G1365</f>
        <v>-2457600</v>
      </c>
      <c r="H1366" s="395">
        <f>IF(D1366=G1366,0,IF(D1366=0,100,(G1366-D1366)/D1366*100))</f>
        <v>17.521040550879878</v>
      </c>
      <c r="I1366" s="728">
        <f t="shared" si="1424"/>
        <v>-2371700</v>
      </c>
      <c r="J1366" s="728">
        <f t="shared" si="1424"/>
        <v>-2432000</v>
      </c>
      <c r="K1366" s="728">
        <f t="shared" si="1424"/>
        <v>-2493800</v>
      </c>
      <c r="L1366" s="728">
        <f t="shared" si="1424"/>
        <v>-2557300</v>
      </c>
      <c r="M1366" s="728">
        <f t="shared" si="1424"/>
        <v>-2611100</v>
      </c>
      <c r="N1366" s="728">
        <f t="shared" si="1424"/>
        <v>-2666000</v>
      </c>
      <c r="O1366" s="728">
        <f t="shared" si="1424"/>
        <v>-2722000</v>
      </c>
      <c r="P1366" s="728">
        <f t="shared" ref="P1366:Q1366" si="1425">P1363+P1364+P1365</f>
        <v>-2779000</v>
      </c>
      <c r="Q1366" s="728">
        <f t="shared" si="1425"/>
        <v>-2829000</v>
      </c>
      <c r="R1366" s="1716">
        <f t="shared" ref="R1366" si="1426">R1363+R1364+R1365</f>
        <v>-2879900</v>
      </c>
    </row>
    <row r="1367" spans="1:18" ht="13.5" thickBot="1" x14ac:dyDescent="0.25">
      <c r="A1367" s="751"/>
      <c r="B1367" s="64"/>
      <c r="C1367" s="192"/>
      <c r="D1367" s="192"/>
      <c r="E1367" s="1954"/>
      <c r="F1367" s="175"/>
      <c r="G1367" s="2511"/>
      <c r="H1367" s="179"/>
      <c r="I1367" s="33"/>
      <c r="J1367" s="33"/>
      <c r="K1367" s="33"/>
      <c r="L1367" s="33"/>
      <c r="M1367" s="33"/>
      <c r="N1367" s="33"/>
      <c r="O1367" s="33"/>
      <c r="P1367" s="33"/>
      <c r="Q1367" s="33"/>
      <c r="R1367" s="114"/>
    </row>
    <row r="1368" spans="1:18" x14ac:dyDescent="0.2">
      <c r="A1368" s="105"/>
      <c r="B1368" s="155"/>
      <c r="C1368" s="190"/>
      <c r="D1368" s="190"/>
      <c r="E1368" s="1819"/>
      <c r="F1368" s="1820" t="s">
        <v>196</v>
      </c>
      <c r="G1368" s="2550"/>
      <c r="H1368" s="180"/>
      <c r="I1368" s="169"/>
      <c r="J1368" s="169"/>
      <c r="K1368" s="169"/>
      <c r="L1368" s="169"/>
      <c r="M1368" s="169"/>
      <c r="N1368" s="169"/>
      <c r="O1368" s="169"/>
      <c r="P1368" s="169"/>
      <c r="Q1368" s="169"/>
      <c r="R1368" s="1717"/>
    </row>
    <row r="1369" spans="1:18" x14ac:dyDescent="0.2">
      <c r="A1369" s="107">
        <v>0</v>
      </c>
      <c r="B1369" s="142">
        <v>0</v>
      </c>
      <c r="C1369" s="189">
        <v>0</v>
      </c>
      <c r="D1369" s="189">
        <v>0</v>
      </c>
      <c r="E1369" s="238"/>
      <c r="F1369" s="366" t="s">
        <v>2900</v>
      </c>
      <c r="G1369" s="198">
        <v>0</v>
      </c>
      <c r="H1369" s="138"/>
      <c r="I1369" s="33">
        <v>0</v>
      </c>
      <c r="J1369" s="33">
        <v>0</v>
      </c>
      <c r="K1369" s="33">
        <v>0</v>
      </c>
      <c r="L1369" s="33">
        <v>0</v>
      </c>
      <c r="M1369" s="33">
        <v>0</v>
      </c>
      <c r="N1369" s="33">
        <v>0</v>
      </c>
      <c r="O1369" s="33">
        <v>0</v>
      </c>
      <c r="P1369" s="33">
        <v>0</v>
      </c>
      <c r="Q1369" s="33">
        <v>0</v>
      </c>
      <c r="R1369" s="114">
        <v>0</v>
      </c>
    </row>
    <row r="1370" spans="1:18" x14ac:dyDescent="0.2">
      <c r="A1370" s="107">
        <v>149500</v>
      </c>
      <c r="B1370" s="142">
        <v>359500</v>
      </c>
      <c r="C1370" s="189">
        <v>507700</v>
      </c>
      <c r="D1370" s="189">
        <f>485200+8100</f>
        <v>493300</v>
      </c>
      <c r="E1370" s="238"/>
      <c r="F1370" s="366" t="s">
        <v>1942</v>
      </c>
      <c r="G1370" s="198">
        <f>SUM('Res-Gen'!E204:E205)</f>
        <v>0</v>
      </c>
      <c r="H1370" s="138"/>
      <c r="I1370" s="33">
        <f>SUM('Res-Gen'!H204:H205)</f>
        <v>0</v>
      </c>
      <c r="J1370" s="33">
        <f>SUM('Res-Gen'!K204:K205)</f>
        <v>0</v>
      </c>
      <c r="K1370" s="33">
        <f>SUM('Res-Gen'!N204:N205)</f>
        <v>0</v>
      </c>
      <c r="L1370" s="33">
        <f>SUM('Res-Gen'!Q204:Q205)</f>
        <v>0</v>
      </c>
      <c r="M1370" s="33">
        <f>SUM('Res-Gen'!T204:T205)</f>
        <v>0</v>
      </c>
      <c r="N1370" s="33">
        <f>SUM('Res-Gen'!W204:W205)</f>
        <v>0</v>
      </c>
      <c r="O1370" s="33">
        <f>SUM('Res-Gen'!Z204:Z205)</f>
        <v>0</v>
      </c>
      <c r="P1370" s="33">
        <f>SUM('Res-Gen'!AC204:AC205)</f>
        <v>0</v>
      </c>
      <c r="Q1370" s="33">
        <f>SUM('Res-Gen'!AF204:AF205)</f>
        <v>0</v>
      </c>
      <c r="R1370" s="114">
        <f>SUM('Res-Gen'!AI204:AI205)</f>
        <v>0</v>
      </c>
    </row>
    <row r="1371" spans="1:18" x14ac:dyDescent="0.2">
      <c r="A1371" s="107">
        <v>274400</v>
      </c>
      <c r="B1371" s="142">
        <v>437700</v>
      </c>
      <c r="C1371" s="189">
        <v>286900</v>
      </c>
      <c r="D1371" s="189">
        <f>8100+705000</f>
        <v>713100</v>
      </c>
      <c r="E1371" s="238"/>
      <c r="F1371" s="366" t="s">
        <v>2348</v>
      </c>
      <c r="G1371" s="198">
        <f>SUM('Res-Gen'!F204:F205)+'Res-Gen'!F74+'Sec 94'!F38+'Res-Gen'!F77+'Res-Gen'!F206</f>
        <v>1093300</v>
      </c>
      <c r="H1371" s="138"/>
      <c r="I1371" s="33">
        <f>'Res-Gen'!I78</f>
        <v>0</v>
      </c>
      <c r="J1371" s="33">
        <f>'Res-Gen'!L78+'Res-Gen'!L77</f>
        <v>800000</v>
      </c>
      <c r="K1371" s="33">
        <f>'Res-Gen'!O77</f>
        <v>750000</v>
      </c>
      <c r="L1371" s="33">
        <f>'Res-Gen'!R77</f>
        <v>900000</v>
      </c>
      <c r="M1371" s="33">
        <f>SUM('Res-Gen'!U204:U205)</f>
        <v>0</v>
      </c>
      <c r="N1371" s="33">
        <f>SUM('Res-Gen'!X204:X205)</f>
        <v>0</v>
      </c>
      <c r="O1371" s="33">
        <f>SUM('Res-Gen'!AA204:AA205)</f>
        <v>0</v>
      </c>
      <c r="P1371" s="33">
        <f>SUM('Res-Gen'!AD204:AD205)</f>
        <v>0</v>
      </c>
      <c r="Q1371" s="33">
        <f>SUM('Res-Gen'!AG204:AG205)</f>
        <v>0</v>
      </c>
      <c r="R1371" s="114">
        <f>SUM('Res-Gen'!AJ204:AJ205)</f>
        <v>0</v>
      </c>
    </row>
    <row r="1372" spans="1:18" x14ac:dyDescent="0.2">
      <c r="A1372" s="107">
        <v>0</v>
      </c>
      <c r="B1372" s="142">
        <v>0</v>
      </c>
      <c r="C1372" s="142">
        <v>0</v>
      </c>
      <c r="D1372" s="142">
        <f>SUM('Cap-Gen'!Q173:Q183)+SUM('Cap-Gen'!S173:S183)</f>
        <v>0</v>
      </c>
      <c r="E1372" s="238"/>
      <c r="F1372" s="366" t="s">
        <v>5984</v>
      </c>
      <c r="G1372" s="198">
        <f>SUM('Cap-Gen'!V173:X183)</f>
        <v>60000</v>
      </c>
      <c r="H1372" s="138"/>
      <c r="I1372" s="33">
        <f>SUM('Cap-Gen'!AA173:AC183)</f>
        <v>0</v>
      </c>
      <c r="J1372" s="33">
        <f>SUM('Cap-Gen'!AF173:AH183)</f>
        <v>0</v>
      </c>
      <c r="K1372" s="33">
        <f>SUM('Cap-Gen'!AK173:AM183)</f>
        <v>0</v>
      </c>
      <c r="L1372" s="33">
        <f>SUM('Cap-Gen'!AP173:AR183)</f>
        <v>0</v>
      </c>
      <c r="M1372" s="33">
        <f>SUM('Cap-Gen'!AU173:AW183)</f>
        <v>0</v>
      </c>
      <c r="N1372" s="33">
        <f>SUM('Cap-Gen'!AZ173:BB183)</f>
        <v>0</v>
      </c>
      <c r="O1372" s="33">
        <f>SUM('Cap-Gen'!BE173:BG183)</f>
        <v>0</v>
      </c>
      <c r="P1372" s="33">
        <f>SUM('Cap-Gen'!BJ173:BL183)</f>
        <v>0</v>
      </c>
      <c r="Q1372" s="33">
        <f>SUM('Cap-Gen'!BO173:BQ183)</f>
        <v>0</v>
      </c>
      <c r="R1372" s="114">
        <f>SUM('Cap-Gen'!BT173:BV183)</f>
        <v>0</v>
      </c>
    </row>
    <row r="1373" spans="1:18" x14ac:dyDescent="0.2">
      <c r="A1373" s="107">
        <v>294800</v>
      </c>
      <c r="B1373" s="142">
        <v>237100</v>
      </c>
      <c r="C1373" s="189">
        <v>205200</v>
      </c>
      <c r="D1373" s="189">
        <f>SUM('Cap-Gen'!E173:E184)</f>
        <v>460300</v>
      </c>
      <c r="E1373" s="238"/>
      <c r="F1373" s="366" t="s">
        <v>972</v>
      </c>
      <c r="G1373" s="198">
        <f>SUM('Cap-Gen'!F173:F184)</f>
        <v>1229700</v>
      </c>
      <c r="H1373" s="138"/>
      <c r="I1373" s="33">
        <f>SUM('Cap-Gen'!G173:G184)</f>
        <v>193000</v>
      </c>
      <c r="J1373" s="33">
        <f>SUM('Cap-Gen'!H173:H184)</f>
        <v>1271000</v>
      </c>
      <c r="K1373" s="33">
        <f>SUM('Cap-Gen'!I173:I184)</f>
        <v>1439000</v>
      </c>
      <c r="L1373" s="33">
        <f>SUM('Cap-Gen'!J173:J184)</f>
        <v>1857000</v>
      </c>
      <c r="M1373" s="33">
        <f>SUM('Cap-Gen'!K173:K184)</f>
        <v>975000</v>
      </c>
      <c r="N1373" s="33">
        <f>SUM('Cap-Gen'!L173:L184)</f>
        <v>994000</v>
      </c>
      <c r="O1373" s="33">
        <f>SUM('Cap-Gen'!M173:M184)</f>
        <v>1013000</v>
      </c>
      <c r="P1373" s="33">
        <f>SUM('Cap-Gen'!N173:N184)</f>
        <v>1032000</v>
      </c>
      <c r="Q1373" s="33">
        <f>SUM('Cap-Gen'!O173:O184)</f>
        <v>1052000</v>
      </c>
      <c r="R1373" s="114">
        <f>SUM('Cap-Gen'!P173:P184)</f>
        <v>1072000</v>
      </c>
    </row>
    <row r="1374" spans="1:18" s="92" customFormat="1" x14ac:dyDescent="0.2">
      <c r="A1374" s="181">
        <f>A1366-A1369-A1370+A1371++A1372-A1373</f>
        <v>-2068500</v>
      </c>
      <c r="B1374" s="377">
        <f>B1366-B1369-B1370+B1371++B1372-B1373</f>
        <v>-2062200</v>
      </c>
      <c r="C1374" s="398">
        <f>C1366-C1369-C1370+C1371++C1372-C1373</f>
        <v>-2377200</v>
      </c>
      <c r="D1374" s="398">
        <f>D1366-D1369-D1370+D1371++D1372-D1373</f>
        <v>-2331700</v>
      </c>
      <c r="E1374" s="526"/>
      <c r="F1374" s="518" t="s">
        <v>2490</v>
      </c>
      <c r="G1374" s="2605">
        <f t="shared" ref="G1374:O1374" si="1427">G1366-G1369-G1370+G1371++G1372-G1373</f>
        <v>-2534000</v>
      </c>
      <c r="H1374" s="395">
        <f>IF(D1374=G1374,0,IF(D1374=0,100,(G1374-D1374)/D1374*100))</f>
        <v>8.6760732512758931</v>
      </c>
      <c r="I1374" s="397">
        <f t="shared" si="1427"/>
        <v>-2564700</v>
      </c>
      <c r="J1374" s="397">
        <f t="shared" si="1427"/>
        <v>-2903000</v>
      </c>
      <c r="K1374" s="397">
        <f t="shared" si="1427"/>
        <v>-3182800</v>
      </c>
      <c r="L1374" s="397">
        <f t="shared" si="1427"/>
        <v>-3514300</v>
      </c>
      <c r="M1374" s="397">
        <f t="shared" si="1427"/>
        <v>-3586100</v>
      </c>
      <c r="N1374" s="397">
        <f t="shared" si="1427"/>
        <v>-3660000</v>
      </c>
      <c r="O1374" s="397">
        <f t="shared" si="1427"/>
        <v>-3735000</v>
      </c>
      <c r="P1374" s="397">
        <f t="shared" ref="P1374:Q1374" si="1428">P1366-P1369-P1370+P1371++P1372-P1373</f>
        <v>-3811000</v>
      </c>
      <c r="Q1374" s="397">
        <f t="shared" si="1428"/>
        <v>-3881000</v>
      </c>
      <c r="R1374" s="399">
        <f t="shared" ref="R1374" si="1429">R1366-R1369-R1370+R1371++R1372-R1373</f>
        <v>-3951900</v>
      </c>
    </row>
    <row r="1375" spans="1:18" ht="13.5" thickBot="1" x14ac:dyDescent="0.25">
      <c r="A1375" s="73"/>
      <c r="B1375" s="134"/>
      <c r="C1375" s="195"/>
      <c r="D1375" s="195"/>
      <c r="E1375" s="239"/>
      <c r="F1375" s="368"/>
      <c r="G1375" s="2502"/>
      <c r="H1375" s="392"/>
      <c r="I1375" s="66"/>
      <c r="J1375" s="66"/>
      <c r="K1375" s="66"/>
      <c r="L1375" s="66"/>
      <c r="M1375" s="66"/>
      <c r="N1375" s="66"/>
      <c r="O1375" s="66"/>
      <c r="P1375" s="66"/>
      <c r="Q1375" s="66"/>
      <c r="R1375" s="165"/>
    </row>
    <row r="1376" spans="1:18" s="99" customFormat="1" ht="14.25" thickTop="1" thickBot="1" x14ac:dyDescent="0.25">
      <c r="C1376" s="198"/>
      <c r="D1376" s="198"/>
      <c r="E1376" s="238"/>
      <c r="G1376" s="198"/>
      <c r="H1376" s="123"/>
    </row>
    <row r="1377" spans="1:18" s="91" customFormat="1" ht="18.75" customHeight="1" thickTop="1" thickBot="1" x14ac:dyDescent="0.3">
      <c r="A1377" s="2865" t="s">
        <v>182</v>
      </c>
      <c r="B1377" s="2866"/>
      <c r="C1377" s="2866"/>
      <c r="D1377" s="2866"/>
      <c r="E1377" s="2866"/>
      <c r="F1377" s="2866"/>
      <c r="G1377" s="2866"/>
      <c r="H1377" s="2866"/>
      <c r="I1377" s="2866"/>
      <c r="J1377" s="2866"/>
      <c r="K1377" s="2866"/>
      <c r="L1377" s="2866"/>
      <c r="M1377" s="2866"/>
      <c r="N1377" s="2866"/>
      <c r="O1377" s="2866"/>
      <c r="P1377" s="2866"/>
      <c r="Q1377" s="2866"/>
      <c r="R1377" s="2867"/>
    </row>
    <row r="1378" spans="1:18" s="44" customFormat="1" x14ac:dyDescent="0.2">
      <c r="A1378" s="2848" t="s">
        <v>1856</v>
      </c>
      <c r="B1378" s="2840"/>
      <c r="C1378" s="2840"/>
      <c r="D1378" s="2849"/>
      <c r="E1378" s="369" t="s">
        <v>2663</v>
      </c>
      <c r="F1378" s="2649" t="s">
        <v>2251</v>
      </c>
      <c r="G1378" s="2885" t="s">
        <v>2253</v>
      </c>
      <c r="H1378" s="2886"/>
      <c r="I1378" s="2886"/>
      <c r="J1378" s="2886"/>
      <c r="K1378" s="2886"/>
      <c r="L1378" s="2886"/>
      <c r="M1378" s="2886"/>
      <c r="N1378" s="2886"/>
      <c r="O1378" s="2886"/>
      <c r="P1378" s="2886"/>
      <c r="Q1378" s="2886"/>
      <c r="R1378" s="2887"/>
    </row>
    <row r="1379" spans="1:18" s="23" customFormat="1" ht="12.75" customHeight="1" thickBot="1" x14ac:dyDescent="0.25">
      <c r="A1379" s="208" t="str">
        <f>A3</f>
        <v>2012/13</v>
      </c>
      <c r="B1379" s="75" t="str">
        <f>B3</f>
        <v>2013/14</v>
      </c>
      <c r="C1379" s="370" t="str">
        <f>C3</f>
        <v>2014/15</v>
      </c>
      <c r="D1379" s="93" t="str">
        <f>D3</f>
        <v>2015/16</v>
      </c>
      <c r="E1379" s="501" t="str">
        <f>E1272</f>
        <v>ACCOUNT</v>
      </c>
      <c r="F1379" s="42"/>
      <c r="G1379" s="2513" t="str">
        <f>G3</f>
        <v>2016/17</v>
      </c>
      <c r="H1379" s="2193" t="str">
        <f>H1272</f>
        <v>%</v>
      </c>
      <c r="I1379" s="370" t="str">
        <f t="shared" ref="I1379:R1379" si="1430">I3</f>
        <v>2017/18</v>
      </c>
      <c r="J1379" s="370" t="str">
        <f t="shared" si="1430"/>
        <v>2018/19</v>
      </c>
      <c r="K1379" s="370" t="str">
        <f t="shared" si="1430"/>
        <v>2019/20</v>
      </c>
      <c r="L1379" s="370" t="str">
        <f t="shared" si="1430"/>
        <v>2020/21</v>
      </c>
      <c r="M1379" s="370" t="str">
        <f t="shared" si="1430"/>
        <v>2021/22</v>
      </c>
      <c r="N1379" s="370" t="str">
        <f t="shared" si="1430"/>
        <v>2022/23</v>
      </c>
      <c r="O1379" s="370" t="str">
        <f t="shared" si="1430"/>
        <v>2023/24</v>
      </c>
      <c r="P1379" s="370" t="str">
        <f t="shared" si="1430"/>
        <v>2024/25</v>
      </c>
      <c r="Q1379" s="218" t="str">
        <f t="shared" si="1430"/>
        <v>2025/26</v>
      </c>
      <c r="R1379" s="549" t="str">
        <f t="shared" si="1430"/>
        <v>2026/27</v>
      </c>
    </row>
    <row r="1380" spans="1:18" x14ac:dyDescent="0.2">
      <c r="A1380" s="98"/>
      <c r="B1380" s="33"/>
      <c r="C1380" s="187"/>
      <c r="D1380" s="187"/>
      <c r="E1380" s="1954"/>
      <c r="F1380" s="76"/>
      <c r="G1380" s="2611"/>
      <c r="H1380" s="138"/>
      <c r="I1380" s="33"/>
      <c r="J1380" s="33"/>
      <c r="K1380" s="33"/>
      <c r="L1380" s="33"/>
      <c r="M1380" s="33"/>
      <c r="N1380" s="33"/>
      <c r="O1380" s="33"/>
      <c r="P1380" s="33"/>
      <c r="Q1380" s="33"/>
      <c r="R1380" s="114"/>
    </row>
    <row r="1381" spans="1:18" x14ac:dyDescent="0.2">
      <c r="A1381" s="98"/>
      <c r="B1381" s="33"/>
      <c r="C1381" s="187"/>
      <c r="D1381" s="187"/>
      <c r="E1381" s="1954"/>
      <c r="F1381" s="103" t="s">
        <v>1073</v>
      </c>
      <c r="G1381" s="187"/>
      <c r="H1381" s="138"/>
      <c r="I1381" s="33"/>
      <c r="J1381" s="33"/>
      <c r="K1381" s="33"/>
      <c r="L1381" s="33"/>
      <c r="M1381" s="33"/>
      <c r="N1381" s="33"/>
      <c r="O1381" s="33"/>
      <c r="P1381" s="33"/>
      <c r="Q1381" s="33"/>
      <c r="R1381" s="114"/>
    </row>
    <row r="1382" spans="1:18" x14ac:dyDescent="0.2">
      <c r="A1382" s="98"/>
      <c r="B1382" s="33"/>
      <c r="E1382" s="1954"/>
      <c r="F1382" s="2529" t="s">
        <v>687</v>
      </c>
      <c r="G1382" s="187"/>
      <c r="H1382" s="138"/>
      <c r="I1382" s="33"/>
      <c r="J1382" s="33"/>
      <c r="K1382" s="33"/>
      <c r="L1382" s="33"/>
      <c r="M1382" s="33"/>
      <c r="N1382" s="33"/>
      <c r="O1382" s="33"/>
      <c r="P1382" s="33"/>
      <c r="Q1382" s="33"/>
      <c r="R1382" s="114"/>
    </row>
    <row r="1383" spans="1:18" x14ac:dyDescent="0.2">
      <c r="A1383" s="107">
        <f>33500+20000+47100+47500</f>
        <v>148100</v>
      </c>
      <c r="B1383" s="33">
        <f>31600+22500+39000</f>
        <v>93100</v>
      </c>
      <c r="C1383" s="189">
        <v>18100</v>
      </c>
      <c r="D1383" s="189">
        <f>ROUNDUP(C1383+(C1383*Assumptions!F$5),-2)</f>
        <v>18600</v>
      </c>
      <c r="E1383" s="658" t="s">
        <v>1407</v>
      </c>
      <c r="F1383" s="77" t="s">
        <v>1308</v>
      </c>
      <c r="G1383" s="187">
        <v>0</v>
      </c>
      <c r="H1383" s="138">
        <f t="shared" ref="H1383:H1390" si="1431">IF(D1383=G1383,0,IF(D1383=0,100,(G1383-D1383)/D1383*100))</f>
        <v>-100</v>
      </c>
      <c r="I1383" s="33">
        <f>ROUNDUP(G1383+(G1383*Assumptions!H$5),-2)</f>
        <v>0</v>
      </c>
      <c r="J1383" s="33">
        <f>ROUNDUP(I1383+(I1383*Assumptions!I$5),-2)</f>
        <v>0</v>
      </c>
      <c r="K1383" s="33">
        <f>ROUNDUP(J1383+(J1383*Assumptions!J$5),-2)</f>
        <v>0</v>
      </c>
      <c r="L1383" s="33">
        <f>ROUNDUP(K1383+(K1383*Assumptions!K$5),-2)</f>
        <v>0</v>
      </c>
      <c r="M1383" s="33">
        <f>ROUNDUP(L1383+(L1383*Assumptions!L$5),-2)</f>
        <v>0</v>
      </c>
      <c r="N1383" s="33">
        <f>ROUNDUP(M1383+(M1383*Assumptions!M$5),-2)</f>
        <v>0</v>
      </c>
      <c r="O1383" s="33">
        <f>ROUNDUP(N1383+(N1383*Assumptions!N$5),-2)</f>
        <v>0</v>
      </c>
      <c r="P1383" s="33">
        <f>ROUNDUP(O1383+(O1383*Assumptions!O$5),-2)</f>
        <v>0</v>
      </c>
      <c r="Q1383" s="33">
        <f>ROUNDUP(P1383+(P1383*Assumptions!P$5),-2)</f>
        <v>0</v>
      </c>
      <c r="R1383" s="114">
        <f>ROUNDUP(Q1383+(Q1383*Assumptions!Q$5),-2)</f>
        <v>0</v>
      </c>
    </row>
    <row r="1384" spans="1:18" x14ac:dyDescent="0.2">
      <c r="A1384" s="107">
        <v>3600</v>
      </c>
      <c r="B1384" s="33">
        <v>43400</v>
      </c>
      <c r="C1384" s="189">
        <v>39000</v>
      </c>
      <c r="D1384" s="189">
        <v>33000</v>
      </c>
      <c r="E1384" s="658" t="s">
        <v>2785</v>
      </c>
      <c r="F1384" s="77" t="s">
        <v>3891</v>
      </c>
      <c r="G1384" s="187">
        <v>0</v>
      </c>
      <c r="H1384" s="138">
        <f t="shared" si="1431"/>
        <v>-100</v>
      </c>
      <c r="I1384" s="33">
        <f>ROUNDUP(G1384+(G1384*Assumptions!H$5),-2)</f>
        <v>0</v>
      </c>
      <c r="J1384" s="33">
        <f>ROUNDUP(I1384+(I1384*Assumptions!I$5),-2)</f>
        <v>0</v>
      </c>
      <c r="K1384" s="33">
        <f>ROUNDUP(J1384+(J1384*Assumptions!J$5),-2)</f>
        <v>0</v>
      </c>
      <c r="L1384" s="33">
        <f>ROUNDUP(K1384+(K1384*Assumptions!K$5),-2)</f>
        <v>0</v>
      </c>
      <c r="M1384" s="33">
        <f>ROUNDUP(L1384+(L1384*Assumptions!L$5),-2)</f>
        <v>0</v>
      </c>
      <c r="N1384" s="33">
        <f>ROUNDUP(M1384+(M1384*Assumptions!M$5),-2)</f>
        <v>0</v>
      </c>
      <c r="O1384" s="33">
        <f>ROUNDUP(N1384+(N1384*Assumptions!N$5),-2)</f>
        <v>0</v>
      </c>
      <c r="P1384" s="33">
        <f>ROUNDUP(O1384+(O1384*Assumptions!O$5),-2)</f>
        <v>0</v>
      </c>
      <c r="Q1384" s="33">
        <f>ROUNDUP(P1384+(P1384*Assumptions!P$5),-2)</f>
        <v>0</v>
      </c>
      <c r="R1384" s="114">
        <f>ROUNDUP(Q1384+(Q1384*Assumptions!Q$5),-2)</f>
        <v>0</v>
      </c>
    </row>
    <row r="1385" spans="1:18" x14ac:dyDescent="0.2">
      <c r="A1385" s="107">
        <v>0</v>
      </c>
      <c r="B1385" s="33">
        <v>0</v>
      </c>
      <c r="C1385" s="189">
        <v>38000</v>
      </c>
      <c r="D1385" s="189">
        <v>5000</v>
      </c>
      <c r="E1385" s="1092" t="s">
        <v>4269</v>
      </c>
      <c r="F1385" s="77" t="s">
        <v>4270</v>
      </c>
      <c r="G1385" s="187">
        <v>5000</v>
      </c>
      <c r="H1385" s="138">
        <f t="shared" si="1431"/>
        <v>0</v>
      </c>
      <c r="I1385" s="33">
        <f>ROUNDUP(G1385+(G1385*Assumptions!H$5),-2)</f>
        <v>5100</v>
      </c>
      <c r="J1385" s="33">
        <f>ROUNDUP(I1385+(I1385*Assumptions!I$5),-2)</f>
        <v>5300</v>
      </c>
      <c r="K1385" s="33">
        <f>ROUNDUP(J1385+(J1385*Assumptions!J$5),-2)</f>
        <v>5500</v>
      </c>
      <c r="L1385" s="33">
        <f>ROUNDUP(K1385+(K1385*Assumptions!K$5),-2)</f>
        <v>5700</v>
      </c>
      <c r="M1385" s="33">
        <f>ROUNDUP(L1385+(L1385*Assumptions!L$5),-2)</f>
        <v>5900</v>
      </c>
      <c r="N1385" s="33">
        <f>ROUNDUP(M1385+(M1385*Assumptions!M$5),-2)</f>
        <v>6100</v>
      </c>
      <c r="O1385" s="33">
        <f>ROUNDUP(N1385+(N1385*Assumptions!N$5),-2)</f>
        <v>6300</v>
      </c>
      <c r="P1385" s="33">
        <f>ROUNDUP(O1385+(O1385*Assumptions!O$5),-2)</f>
        <v>6500</v>
      </c>
      <c r="Q1385" s="33">
        <f>ROUNDUP(P1385+(P1385*Assumptions!P$5),-2)</f>
        <v>6700</v>
      </c>
      <c r="R1385" s="114">
        <f>ROUNDUP(Q1385+(Q1385*Assumptions!Q$5),-2)</f>
        <v>6900</v>
      </c>
    </row>
    <row r="1386" spans="1:18" x14ac:dyDescent="0.2">
      <c r="A1386" s="107">
        <v>0</v>
      </c>
      <c r="B1386" s="33">
        <v>0</v>
      </c>
      <c r="C1386" s="189">
        <v>0</v>
      </c>
      <c r="D1386" s="189">
        <v>49000</v>
      </c>
      <c r="E1386" s="1304" t="s">
        <v>5521</v>
      </c>
      <c r="F1386" s="77" t="s">
        <v>5522</v>
      </c>
      <c r="G1386" s="187">
        <v>0</v>
      </c>
      <c r="H1386" s="138">
        <f t="shared" si="1431"/>
        <v>-100</v>
      </c>
      <c r="I1386" s="33">
        <f>ROUNDUP(G1386+(G1386*Assumptions!H$5),-2)</f>
        <v>0</v>
      </c>
      <c r="J1386" s="33">
        <f>ROUNDUP(I1386+(I1386*Assumptions!I$5),-2)</f>
        <v>0</v>
      </c>
      <c r="K1386" s="33">
        <f>ROUNDUP(J1386+(J1386*Assumptions!J$5),-2)</f>
        <v>0</v>
      </c>
      <c r="L1386" s="33">
        <f>ROUNDUP(K1386+(K1386*Assumptions!K$5),-2)</f>
        <v>0</v>
      </c>
      <c r="M1386" s="33">
        <f>ROUNDUP(L1386+(L1386*Assumptions!L$5),-2)</f>
        <v>0</v>
      </c>
      <c r="N1386" s="33">
        <f>ROUNDUP(M1386+(M1386*Assumptions!M$5),-2)</f>
        <v>0</v>
      </c>
      <c r="O1386" s="33">
        <f>ROUNDUP(N1386+(N1386*Assumptions!N$5),-2)</f>
        <v>0</v>
      </c>
      <c r="P1386" s="33">
        <f>ROUNDUP(O1386+(O1386*Assumptions!O$5),-2)</f>
        <v>0</v>
      </c>
      <c r="Q1386" s="33">
        <f>ROUNDUP(P1386+(P1386*Assumptions!P$5),-2)</f>
        <v>0</v>
      </c>
      <c r="R1386" s="114">
        <f>ROUNDUP(Q1386+(Q1386*Assumptions!Q$5),-2)</f>
        <v>0</v>
      </c>
    </row>
    <row r="1387" spans="1:18" x14ac:dyDescent="0.2">
      <c r="A1387" s="107">
        <v>0</v>
      </c>
      <c r="B1387" s="33">
        <v>0</v>
      </c>
      <c r="C1387" s="189">
        <v>0</v>
      </c>
      <c r="D1387" s="189">
        <v>28800</v>
      </c>
      <c r="E1387" s="1304" t="s">
        <v>5935</v>
      </c>
      <c r="F1387" s="77" t="s">
        <v>5936</v>
      </c>
      <c r="G1387" s="187">
        <v>0</v>
      </c>
      <c r="H1387" s="138">
        <f t="shared" si="1431"/>
        <v>-100</v>
      </c>
      <c r="I1387" s="33">
        <f>ROUNDUP(G1387+(G1387*Assumptions!H$5),-2)</f>
        <v>0</v>
      </c>
      <c r="J1387" s="33">
        <f>ROUNDUP(I1387+(I1387*Assumptions!I$5),-2)</f>
        <v>0</v>
      </c>
      <c r="K1387" s="33">
        <f>ROUNDUP(J1387+(J1387*Assumptions!J$5),-2)</f>
        <v>0</v>
      </c>
      <c r="L1387" s="33">
        <f>ROUNDUP(K1387+(K1387*Assumptions!K$5),-2)</f>
        <v>0</v>
      </c>
      <c r="M1387" s="33">
        <f>ROUNDUP(L1387+(L1387*Assumptions!L$5),-2)</f>
        <v>0</v>
      </c>
      <c r="N1387" s="33">
        <f>ROUNDUP(M1387+(M1387*Assumptions!M$5),-2)</f>
        <v>0</v>
      </c>
      <c r="O1387" s="33">
        <f>ROUNDUP(N1387+(N1387*Assumptions!N$5),-2)</f>
        <v>0</v>
      </c>
      <c r="P1387" s="33">
        <f>ROUNDUP(O1387+(O1387*Assumptions!O$5),-2)</f>
        <v>0</v>
      </c>
      <c r="Q1387" s="33">
        <f>ROUNDUP(P1387+(P1387*Assumptions!P$5),-2)</f>
        <v>0</v>
      </c>
      <c r="R1387" s="114">
        <f>ROUNDUP(Q1387+(Q1387*Assumptions!Q$5),-2)</f>
        <v>0</v>
      </c>
    </row>
    <row r="1388" spans="1:18" x14ac:dyDescent="0.2">
      <c r="A1388" s="107">
        <v>0</v>
      </c>
      <c r="B1388" s="33">
        <v>0</v>
      </c>
      <c r="C1388" s="189">
        <v>0</v>
      </c>
      <c r="D1388" s="189">
        <v>24300</v>
      </c>
      <c r="E1388" s="1304" t="s">
        <v>5669</v>
      </c>
      <c r="F1388" s="77" t="s">
        <v>5670</v>
      </c>
      <c r="G1388" s="187">
        <v>0</v>
      </c>
      <c r="H1388" s="138">
        <f t="shared" si="1431"/>
        <v>-100</v>
      </c>
      <c r="I1388" s="33">
        <f>ROUNDUP(G1388+(G1388*Assumptions!H$5),-2)</f>
        <v>0</v>
      </c>
      <c r="J1388" s="33">
        <f>ROUNDUP(I1388+(I1388*Assumptions!I$5),-2)</f>
        <v>0</v>
      </c>
      <c r="K1388" s="33">
        <f>ROUNDUP(J1388+(J1388*Assumptions!J$5),-2)</f>
        <v>0</v>
      </c>
      <c r="L1388" s="33">
        <f>ROUNDUP(K1388+(K1388*Assumptions!K$5),-2)</f>
        <v>0</v>
      </c>
      <c r="M1388" s="33">
        <f>ROUNDUP(L1388+(L1388*Assumptions!L$5),-2)</f>
        <v>0</v>
      </c>
      <c r="N1388" s="33">
        <f>ROUNDUP(M1388+(M1388*Assumptions!M$5),-2)</f>
        <v>0</v>
      </c>
      <c r="O1388" s="33">
        <f>ROUNDUP(N1388+(N1388*Assumptions!N$5),-2)</f>
        <v>0</v>
      </c>
      <c r="P1388" s="33">
        <f>ROUNDUP(O1388+(O1388*Assumptions!O$5),-2)</f>
        <v>0</v>
      </c>
      <c r="Q1388" s="33">
        <f>ROUNDUP(P1388+(P1388*Assumptions!P$5),-2)</f>
        <v>0</v>
      </c>
      <c r="R1388" s="114">
        <f>ROUNDUP(Q1388+(Q1388*Assumptions!Q$5),-2)</f>
        <v>0</v>
      </c>
    </row>
    <row r="1389" spans="1:18" x14ac:dyDescent="0.2">
      <c r="A1389" s="107">
        <v>0</v>
      </c>
      <c r="B1389" s="33">
        <v>0</v>
      </c>
      <c r="C1389" s="189">
        <v>0</v>
      </c>
      <c r="D1389" s="189">
        <v>0</v>
      </c>
      <c r="E1389" s="1304" t="s">
        <v>6620</v>
      </c>
      <c r="F1389" s="77" t="s">
        <v>6839</v>
      </c>
      <c r="G1389" s="187">
        <f>7000+13000</f>
        <v>20000</v>
      </c>
      <c r="H1389" s="138">
        <f t="shared" si="1431"/>
        <v>100</v>
      </c>
      <c r="I1389" s="33">
        <v>0</v>
      </c>
      <c r="J1389" s="33">
        <v>0</v>
      </c>
      <c r="K1389" s="33">
        <v>0</v>
      </c>
      <c r="L1389" s="33">
        <v>0</v>
      </c>
      <c r="M1389" s="33">
        <v>0</v>
      </c>
      <c r="N1389" s="33">
        <v>0</v>
      </c>
      <c r="O1389" s="33">
        <v>0</v>
      </c>
      <c r="P1389" s="33">
        <v>0</v>
      </c>
      <c r="Q1389" s="33">
        <v>0</v>
      </c>
      <c r="R1389" s="114">
        <v>0</v>
      </c>
    </row>
    <row r="1390" spans="1:18" x14ac:dyDescent="0.2">
      <c r="A1390" s="107">
        <v>0</v>
      </c>
      <c r="B1390" s="33">
        <v>0</v>
      </c>
      <c r="C1390" s="189">
        <v>0</v>
      </c>
      <c r="D1390" s="189">
        <v>0</v>
      </c>
      <c r="E1390" s="1304" t="s">
        <v>6867</v>
      </c>
      <c r="F1390" s="132" t="s">
        <v>6868</v>
      </c>
      <c r="G1390" s="198">
        <v>5000</v>
      </c>
      <c r="H1390" s="138">
        <f t="shared" si="1431"/>
        <v>100</v>
      </c>
      <c r="I1390" s="33">
        <v>0</v>
      </c>
      <c r="J1390" s="33">
        <v>0</v>
      </c>
      <c r="K1390" s="33">
        <v>0</v>
      </c>
      <c r="L1390" s="33">
        <v>0</v>
      </c>
      <c r="M1390" s="33">
        <v>0</v>
      </c>
      <c r="N1390" s="33">
        <v>0</v>
      </c>
      <c r="O1390" s="33">
        <v>0</v>
      </c>
      <c r="P1390" s="33">
        <v>0</v>
      </c>
      <c r="Q1390" s="33">
        <v>0</v>
      </c>
      <c r="R1390" s="114">
        <v>0</v>
      </c>
    </row>
    <row r="1391" spans="1:18" ht="13.5" thickBot="1" x14ac:dyDescent="0.25">
      <c r="A1391" s="107"/>
      <c r="B1391" s="33"/>
      <c r="E1391" s="1954"/>
      <c r="F1391" s="33"/>
      <c r="G1391" s="198"/>
      <c r="H1391" s="138"/>
      <c r="I1391" s="33"/>
      <c r="J1391" s="33"/>
      <c r="K1391" s="33"/>
      <c r="L1391" s="33"/>
      <c r="M1391" s="33"/>
      <c r="N1391" s="33"/>
      <c r="O1391" s="33"/>
      <c r="P1391" s="33"/>
      <c r="Q1391" s="33"/>
      <c r="R1391" s="114"/>
    </row>
    <row r="1392" spans="1:18" s="92" customFormat="1" x14ac:dyDescent="0.2">
      <c r="A1392" s="105">
        <f>SUM(A1381:A1391)</f>
        <v>151700</v>
      </c>
      <c r="B1392" s="53">
        <f>SUM(B1381:B1391)</f>
        <v>136500</v>
      </c>
      <c r="C1392" s="190">
        <f>SUM(C1381:C1391)</f>
        <v>95100</v>
      </c>
      <c r="D1392" s="199">
        <f>SUM(D1381:D1391)</f>
        <v>158700</v>
      </c>
      <c r="E1392" s="236"/>
      <c r="F1392" s="378" t="s">
        <v>2605</v>
      </c>
      <c r="G1392" s="2550">
        <f>SUM(G1381:G1391)</f>
        <v>30000</v>
      </c>
      <c r="H1392" s="180">
        <f>IF(D1392=G1392,0,IF(D1392=0,100,(G1392-D1392)/D1392*100))</f>
        <v>-81.096408317580341</v>
      </c>
      <c r="I1392" s="53">
        <f t="shared" ref="I1392:Q1392" si="1432">SUM(I1381:I1391)</f>
        <v>5100</v>
      </c>
      <c r="J1392" s="53">
        <f t="shared" si="1432"/>
        <v>5300</v>
      </c>
      <c r="K1392" s="53">
        <f t="shared" si="1432"/>
        <v>5500</v>
      </c>
      <c r="L1392" s="53">
        <f t="shared" si="1432"/>
        <v>5700</v>
      </c>
      <c r="M1392" s="53">
        <f t="shared" si="1432"/>
        <v>5900</v>
      </c>
      <c r="N1392" s="53">
        <f t="shared" si="1432"/>
        <v>6100</v>
      </c>
      <c r="O1392" s="53">
        <f t="shared" si="1432"/>
        <v>6300</v>
      </c>
      <c r="P1392" s="53">
        <f t="shared" si="1432"/>
        <v>6500</v>
      </c>
      <c r="Q1392" s="53">
        <f t="shared" si="1432"/>
        <v>6700</v>
      </c>
      <c r="R1392" s="113">
        <f t="shared" ref="R1392" si="1433">SUM(R1381:R1391)</f>
        <v>6900</v>
      </c>
    </row>
    <row r="1393" spans="1:18" x14ac:dyDescent="0.2">
      <c r="A1393" s="98"/>
      <c r="B1393" s="33"/>
      <c r="D1393" s="187"/>
      <c r="E1393" s="1954"/>
      <c r="F1393" s="64"/>
      <c r="G1393" s="198"/>
      <c r="H1393" s="138"/>
      <c r="I1393" s="33"/>
      <c r="J1393" s="33"/>
      <c r="K1393" s="33"/>
      <c r="L1393" s="33"/>
      <c r="M1393" s="33"/>
      <c r="N1393" s="33"/>
      <c r="O1393" s="33"/>
      <c r="P1393" s="33"/>
      <c r="Q1393" s="33"/>
      <c r="R1393" s="114"/>
    </row>
    <row r="1394" spans="1:18" x14ac:dyDescent="0.2">
      <c r="A1394" s="107"/>
      <c r="B1394" s="33"/>
      <c r="D1394" s="187"/>
      <c r="E1394" s="240"/>
      <c r="F1394" s="365" t="s">
        <v>2205</v>
      </c>
      <c r="G1394" s="198"/>
      <c r="H1394" s="138"/>
      <c r="I1394" s="33"/>
      <c r="J1394" s="33"/>
      <c r="K1394" s="33"/>
      <c r="L1394" s="33"/>
      <c r="M1394" s="33"/>
      <c r="N1394" s="33"/>
      <c r="O1394" s="33"/>
      <c r="P1394" s="33"/>
      <c r="Q1394" s="33"/>
      <c r="R1394" s="114"/>
    </row>
    <row r="1395" spans="1:18" x14ac:dyDescent="0.2">
      <c r="A1395" s="107"/>
      <c r="B1395" s="33"/>
      <c r="E1395" s="437"/>
      <c r="F1395" s="562" t="s">
        <v>168</v>
      </c>
      <c r="G1395" s="198"/>
      <c r="H1395" s="138"/>
      <c r="I1395" s="33"/>
      <c r="J1395" s="33"/>
      <c r="K1395" s="33"/>
      <c r="L1395" s="33"/>
      <c r="M1395" s="33"/>
      <c r="N1395" s="33"/>
      <c r="O1395" s="33"/>
      <c r="P1395" s="33"/>
      <c r="Q1395" s="33"/>
      <c r="R1395" s="114"/>
    </row>
    <row r="1396" spans="1:18" x14ac:dyDescent="0.2">
      <c r="A1396" s="107">
        <v>2800</v>
      </c>
      <c r="B1396" s="33">
        <v>4000</v>
      </c>
      <c r="C1396" s="189">
        <v>3400</v>
      </c>
      <c r="D1396" s="189">
        <v>3000</v>
      </c>
      <c r="E1396" s="658" t="s">
        <v>2080</v>
      </c>
      <c r="F1396" s="443" t="s">
        <v>2660</v>
      </c>
      <c r="G1396" s="198">
        <v>4000</v>
      </c>
      <c r="H1396" s="138">
        <f>IF(D1396=G1396,0,IF(D1396=0,100,(G1396-D1396)/D1396*100))</f>
        <v>33.333333333333329</v>
      </c>
      <c r="I1396" s="33">
        <f>ROUNDUP(G1396+(G1396*Assumptions!H$5),-2)</f>
        <v>4100</v>
      </c>
      <c r="J1396" s="33">
        <f>ROUNDUP(I1396+(I1396*Assumptions!I$5),-2)</f>
        <v>4300</v>
      </c>
      <c r="K1396" s="33">
        <f>ROUNDUP(J1396+(J1396*Assumptions!J$5),-2)</f>
        <v>4500</v>
      </c>
      <c r="L1396" s="33">
        <f>ROUNDUP(K1396+(K1396*Assumptions!K$5),-2)</f>
        <v>4700</v>
      </c>
      <c r="M1396" s="33">
        <f>ROUNDUP(L1396+(L1396*Assumptions!L$5),-2)</f>
        <v>4800</v>
      </c>
      <c r="N1396" s="33">
        <f>ROUNDUP(M1396+(M1396*Assumptions!M$5),-2)</f>
        <v>4900</v>
      </c>
      <c r="O1396" s="33">
        <f>ROUNDUP(N1396+(N1396*Assumptions!N$5),-2)</f>
        <v>5000</v>
      </c>
      <c r="P1396" s="33">
        <f>ROUNDUP(O1396+(O1396*Assumptions!O$5),-2)</f>
        <v>5100</v>
      </c>
      <c r="Q1396" s="33">
        <f>ROUNDUP(P1396+(P1396*Assumptions!P$5),-2)</f>
        <v>5300</v>
      </c>
      <c r="R1396" s="114">
        <f>ROUNDUP(Q1396+(Q1396*Assumptions!Q$5),-2)</f>
        <v>5500</v>
      </c>
    </row>
    <row r="1397" spans="1:18" x14ac:dyDescent="0.2">
      <c r="A1397" s="107">
        <v>15600</v>
      </c>
      <c r="B1397" s="33">
        <v>23600</v>
      </c>
      <c r="C1397" s="189">
        <v>29900</v>
      </c>
      <c r="D1397" s="189">
        <v>9800</v>
      </c>
      <c r="E1397" s="658" t="s">
        <v>2081</v>
      </c>
      <c r="F1397" s="443" t="s">
        <v>765</v>
      </c>
      <c r="G1397" s="198">
        <v>20000</v>
      </c>
      <c r="H1397" s="138">
        <f>IF(D1397=G1397,0,IF(D1397=0,100,(G1397-D1397)/D1397*100))</f>
        <v>104.08163265306123</v>
      </c>
      <c r="I1397" s="33">
        <f>ROUNDUP(G1397+(G1397*Assumptions!H$5),-2)</f>
        <v>20300</v>
      </c>
      <c r="J1397" s="33">
        <f>ROUNDUP(I1397+(I1397*Assumptions!I$5),-2)</f>
        <v>20900</v>
      </c>
      <c r="K1397" s="33">
        <f>ROUNDUP(J1397+(J1397*Assumptions!J$5),-2)</f>
        <v>21500</v>
      </c>
      <c r="L1397" s="33">
        <f>ROUNDUP(K1397+(K1397*Assumptions!K$5),-2)</f>
        <v>22100</v>
      </c>
      <c r="M1397" s="33">
        <f>ROUNDUP(L1397+(L1397*Assumptions!L$5),-2)</f>
        <v>22600</v>
      </c>
      <c r="N1397" s="33">
        <f>ROUNDUP(M1397+(M1397*Assumptions!M$5),-2)</f>
        <v>23100</v>
      </c>
      <c r="O1397" s="33">
        <f>ROUNDUP(N1397+(N1397*Assumptions!N$5),-2)</f>
        <v>23600</v>
      </c>
      <c r="P1397" s="33">
        <f>ROUNDUP(O1397+(O1397*Assumptions!O$5),-2)</f>
        <v>24100</v>
      </c>
      <c r="Q1397" s="33">
        <f>ROUNDUP(P1397+(P1397*Assumptions!P$5),-2)</f>
        <v>24600</v>
      </c>
      <c r="R1397" s="114">
        <f>ROUNDUP(Q1397+(Q1397*Assumptions!Q$5),-2)</f>
        <v>25100</v>
      </c>
    </row>
    <row r="1398" spans="1:18" x14ac:dyDescent="0.2">
      <c r="A1398" s="107">
        <v>6300</v>
      </c>
      <c r="B1398" s="33">
        <v>400</v>
      </c>
      <c r="C1398" s="189">
        <v>900</v>
      </c>
      <c r="D1398" s="189">
        <v>1400</v>
      </c>
      <c r="E1398" s="658" t="s">
        <v>2844</v>
      </c>
      <c r="F1398" s="814" t="s">
        <v>4906</v>
      </c>
      <c r="G1398" s="198">
        <v>6000</v>
      </c>
      <c r="H1398" s="138">
        <f>IF(D1398=G1398,0,IF(D1398=0,100,(G1398-D1398)/D1398*100))</f>
        <v>328.57142857142856</v>
      </c>
      <c r="I1398" s="33">
        <f>ROUNDUP(G1398+(G1398*Assumptions!H$5),-2)</f>
        <v>6100</v>
      </c>
      <c r="J1398" s="33">
        <f>ROUNDUP(I1398+(I1398*Assumptions!I$5),-2)</f>
        <v>6300</v>
      </c>
      <c r="K1398" s="33">
        <f>ROUNDUP(J1398+(J1398*Assumptions!J$5),-2)</f>
        <v>6500</v>
      </c>
      <c r="L1398" s="33">
        <f>ROUNDUP(K1398+(K1398*Assumptions!K$5),-2)</f>
        <v>6700</v>
      </c>
      <c r="M1398" s="33">
        <f>ROUNDUP(L1398+(L1398*Assumptions!L$5),-2)</f>
        <v>6900</v>
      </c>
      <c r="N1398" s="33">
        <f>ROUNDUP(M1398+(M1398*Assumptions!M$5),-2)</f>
        <v>7100</v>
      </c>
      <c r="O1398" s="33">
        <f>ROUNDUP(N1398+(N1398*Assumptions!N$5),-2)</f>
        <v>7300</v>
      </c>
      <c r="P1398" s="33">
        <f>ROUNDUP(O1398+(O1398*Assumptions!O$5),-2)</f>
        <v>7500</v>
      </c>
      <c r="Q1398" s="33">
        <f>ROUNDUP(P1398+(P1398*Assumptions!P$5),-2)</f>
        <v>7700</v>
      </c>
      <c r="R1398" s="114">
        <f>ROUNDUP(Q1398+(Q1398*Assumptions!Q$5),-2)</f>
        <v>7900</v>
      </c>
    </row>
    <row r="1399" spans="1:18" x14ac:dyDescent="0.2">
      <c r="A1399" s="107">
        <v>6900</v>
      </c>
      <c r="B1399" s="33">
        <v>15900</v>
      </c>
      <c r="C1399" s="189">
        <v>11900</v>
      </c>
      <c r="D1399" s="189">
        <v>34300</v>
      </c>
      <c r="E1399" s="658" t="s">
        <v>276</v>
      </c>
      <c r="F1399" s="443" t="s">
        <v>2653</v>
      </c>
      <c r="G1399" s="198">
        <v>18500</v>
      </c>
      <c r="H1399" s="138">
        <f>IF(D1399=G1399,0,IF(D1399=0,100,(G1399-D1399)/D1399*100))</f>
        <v>-46.064139941690961</v>
      </c>
      <c r="I1399" s="33">
        <f>ROUNDUP(G1399+(G1399*Assumptions!H$5),-2)</f>
        <v>18800</v>
      </c>
      <c r="J1399" s="33">
        <f>ROUNDUP(I1399+(I1399*Assumptions!I$5),-2)</f>
        <v>19300</v>
      </c>
      <c r="K1399" s="33">
        <f>ROUNDUP(J1399+(J1399*Assumptions!J$5),-2)</f>
        <v>19800</v>
      </c>
      <c r="L1399" s="33">
        <f>ROUNDUP(K1399+(K1399*Assumptions!K$5),-2)</f>
        <v>20300</v>
      </c>
      <c r="M1399" s="33">
        <f>ROUNDUP(L1399+(L1399*Assumptions!L$5),-2)</f>
        <v>20800</v>
      </c>
      <c r="N1399" s="33">
        <f>ROUNDUP(M1399+(M1399*Assumptions!M$5),-2)</f>
        <v>21300</v>
      </c>
      <c r="O1399" s="33">
        <f>ROUNDUP(N1399+(N1399*Assumptions!N$5),-2)</f>
        <v>21800</v>
      </c>
      <c r="P1399" s="33">
        <f>ROUNDUP(O1399+(O1399*Assumptions!O$5),-2)</f>
        <v>22300</v>
      </c>
      <c r="Q1399" s="33">
        <f>ROUNDUP(P1399+(P1399*Assumptions!P$5),-2)</f>
        <v>22800</v>
      </c>
      <c r="R1399" s="114">
        <f>ROUNDUP(Q1399+(Q1399*Assumptions!Q$5),-2)</f>
        <v>23300</v>
      </c>
    </row>
    <row r="1400" spans="1:18" x14ac:dyDescent="0.2">
      <c r="A1400" s="107">
        <v>13700</v>
      </c>
      <c r="B1400" s="33">
        <v>15200</v>
      </c>
      <c r="C1400" s="189">
        <v>13900</v>
      </c>
      <c r="D1400" s="189">
        <v>10900</v>
      </c>
      <c r="E1400" s="658" t="s">
        <v>2458</v>
      </c>
      <c r="F1400" s="814" t="s">
        <v>4905</v>
      </c>
      <c r="G1400" s="198">
        <v>10000</v>
      </c>
      <c r="H1400" s="138">
        <f>IF(D1400=G1400,0,IF(D1400=0,100,(G1400-D1400)/D1400*100))</f>
        <v>-8.2568807339449553</v>
      </c>
      <c r="I1400" s="33">
        <f>ROUNDUP(G1400+(G1400*Assumptions!H$5),-2)</f>
        <v>10200</v>
      </c>
      <c r="J1400" s="33">
        <f>ROUNDUP(I1400+(I1400*Assumptions!I$5),-2)</f>
        <v>10500</v>
      </c>
      <c r="K1400" s="33">
        <f>ROUNDUP(J1400+(J1400*Assumptions!J$5),-2)</f>
        <v>10800</v>
      </c>
      <c r="L1400" s="33">
        <f>ROUNDUP(K1400+(K1400*Assumptions!K$5),-2)</f>
        <v>11100</v>
      </c>
      <c r="M1400" s="33">
        <f>ROUNDUP(L1400+(L1400*Assumptions!L$5),-2)</f>
        <v>11400</v>
      </c>
      <c r="N1400" s="33">
        <f>ROUNDUP(M1400+(M1400*Assumptions!M$5),-2)</f>
        <v>11700</v>
      </c>
      <c r="O1400" s="33">
        <f>ROUNDUP(N1400+(N1400*Assumptions!N$5),-2)</f>
        <v>12000</v>
      </c>
      <c r="P1400" s="33">
        <f>ROUNDUP(O1400+(O1400*Assumptions!O$5),-2)</f>
        <v>12300</v>
      </c>
      <c r="Q1400" s="33">
        <f>ROUNDUP(P1400+(P1400*Assumptions!P$5),-2)</f>
        <v>12600</v>
      </c>
      <c r="R1400" s="114">
        <f>ROUNDUP(Q1400+(Q1400*Assumptions!Q$5),-2)</f>
        <v>12900</v>
      </c>
    </row>
    <row r="1401" spans="1:18" x14ac:dyDescent="0.2">
      <c r="A1401" s="107"/>
      <c r="B1401" s="33"/>
      <c r="E1401" s="658"/>
      <c r="F1401" s="439" t="s">
        <v>278</v>
      </c>
      <c r="G1401" s="198"/>
      <c r="H1401" s="138"/>
      <c r="I1401" s="33"/>
      <c r="J1401" s="33"/>
      <c r="K1401" s="33"/>
      <c r="L1401" s="33"/>
      <c r="M1401" s="33"/>
      <c r="N1401" s="33"/>
      <c r="O1401" s="33"/>
      <c r="P1401" s="33"/>
      <c r="Q1401" s="33"/>
      <c r="R1401" s="114"/>
    </row>
    <row r="1402" spans="1:18" x14ac:dyDescent="0.2">
      <c r="A1402" s="107">
        <v>7400</v>
      </c>
      <c r="B1402" s="33">
        <v>200</v>
      </c>
      <c r="C1402" s="189">
        <v>2700</v>
      </c>
      <c r="D1402" s="189">
        <v>0</v>
      </c>
      <c r="E1402" s="658" t="s">
        <v>1575</v>
      </c>
      <c r="F1402" s="443" t="s">
        <v>402</v>
      </c>
      <c r="G1402" s="198">
        <v>5000</v>
      </c>
      <c r="H1402" s="138">
        <f>IF(D1402=G1402,0,IF(D1402=0,100,(G1402-D1402)/D1402*100))</f>
        <v>100</v>
      </c>
      <c r="I1402" s="33">
        <f>ROUNDUP(G1402+(G1402*Assumptions!H$5),-2)</f>
        <v>5100</v>
      </c>
      <c r="J1402" s="33">
        <f>ROUNDUP(I1402+(I1402*Assumptions!I$5),-2)</f>
        <v>5300</v>
      </c>
      <c r="K1402" s="33">
        <f>ROUNDUP(J1402+(J1402*Assumptions!J$5),-2)</f>
        <v>5500</v>
      </c>
      <c r="L1402" s="33">
        <f>ROUNDUP(K1402+(K1402*Assumptions!K$5),-2)</f>
        <v>5700</v>
      </c>
      <c r="M1402" s="33">
        <f>ROUNDUP(L1402+(L1402*Assumptions!L$5),-2)</f>
        <v>5900</v>
      </c>
      <c r="N1402" s="33">
        <f>ROUNDUP(M1402+(M1402*Assumptions!M$5),-2)</f>
        <v>6100</v>
      </c>
      <c r="O1402" s="33">
        <f>ROUNDUP(N1402+(N1402*Assumptions!N$5),-2)</f>
        <v>6300</v>
      </c>
      <c r="P1402" s="33">
        <f>ROUNDUP(O1402+(O1402*Assumptions!O$5),-2)</f>
        <v>6500</v>
      </c>
      <c r="Q1402" s="33">
        <f>ROUNDUP(P1402+(P1402*Assumptions!P$5),-2)</f>
        <v>6700</v>
      </c>
      <c r="R1402" s="114">
        <f>ROUNDUP(Q1402+(Q1402*Assumptions!Q$5),-2)</f>
        <v>6900</v>
      </c>
    </row>
    <row r="1403" spans="1:18" x14ac:dyDescent="0.2">
      <c r="A1403" s="107">
        <v>800</v>
      </c>
      <c r="B1403" s="33">
        <v>0</v>
      </c>
      <c r="C1403" s="189">
        <v>1700</v>
      </c>
      <c r="D1403" s="189">
        <v>800</v>
      </c>
      <c r="E1403" s="658" t="s">
        <v>1576</v>
      </c>
      <c r="F1403" s="443" t="s">
        <v>593</v>
      </c>
      <c r="G1403" s="198">
        <v>1000</v>
      </c>
      <c r="H1403" s="138">
        <f>IF(D1403=G1403,0,IF(D1403=0,100,(G1403-D1403)/D1403*100))</f>
        <v>25</v>
      </c>
      <c r="I1403" s="33">
        <f>ROUNDUP(G1403+(G1403*Assumptions!H$5),-2)</f>
        <v>1100</v>
      </c>
      <c r="J1403" s="33">
        <f>ROUNDUP(I1403+(I1403*Assumptions!I$5),-2)</f>
        <v>1200</v>
      </c>
      <c r="K1403" s="33">
        <f>ROUNDUP(J1403+(J1403*Assumptions!J$5),-2)</f>
        <v>1300</v>
      </c>
      <c r="L1403" s="33">
        <f>ROUNDUP(K1403+(K1403*Assumptions!K$5),-2)</f>
        <v>1400</v>
      </c>
      <c r="M1403" s="33">
        <f>ROUNDUP(L1403+(L1403*Assumptions!L$5),-2)</f>
        <v>1500</v>
      </c>
      <c r="N1403" s="33">
        <f>ROUNDUP(M1403+(M1403*Assumptions!M$5),-2)</f>
        <v>1600</v>
      </c>
      <c r="O1403" s="33">
        <f>ROUNDUP(N1403+(N1403*Assumptions!N$5),-2)</f>
        <v>1700</v>
      </c>
      <c r="P1403" s="33">
        <f>ROUNDUP(O1403+(O1403*Assumptions!O$5),-2)</f>
        <v>1800</v>
      </c>
      <c r="Q1403" s="33">
        <f>ROUNDUP(P1403+(P1403*Assumptions!P$5),-2)</f>
        <v>1900</v>
      </c>
      <c r="R1403" s="114">
        <f>ROUNDUP(Q1403+(Q1403*Assumptions!Q$5),-2)</f>
        <v>2000</v>
      </c>
    </row>
    <row r="1404" spans="1:18" x14ac:dyDescent="0.2">
      <c r="A1404" s="107">
        <v>700</v>
      </c>
      <c r="B1404" s="33">
        <v>2000</v>
      </c>
      <c r="C1404" s="189">
        <v>300</v>
      </c>
      <c r="D1404" s="189">
        <v>0</v>
      </c>
      <c r="E1404" s="658" t="s">
        <v>1544</v>
      </c>
      <c r="F1404" s="443" t="s">
        <v>2015</v>
      </c>
      <c r="G1404" s="198">
        <v>500</v>
      </c>
      <c r="H1404" s="138">
        <f>IF(D1404=G1404,0,IF(D1404=0,100,(G1404-D1404)/D1404*100))</f>
        <v>100</v>
      </c>
      <c r="I1404" s="33">
        <f>ROUNDUP(G1404+(G1404*Assumptions!H$5),-2)</f>
        <v>600</v>
      </c>
      <c r="J1404" s="33">
        <f>ROUNDUP(I1404+(I1404*Assumptions!I$5),-2)</f>
        <v>700</v>
      </c>
      <c r="K1404" s="33">
        <f>ROUNDUP(J1404+(J1404*Assumptions!J$5),-2)</f>
        <v>800</v>
      </c>
      <c r="L1404" s="33">
        <f>ROUNDUP(K1404+(K1404*Assumptions!K$5),-2)</f>
        <v>900</v>
      </c>
      <c r="M1404" s="33">
        <f>ROUNDUP(L1404+(L1404*Assumptions!L$5),-2)</f>
        <v>1000</v>
      </c>
      <c r="N1404" s="33">
        <f>ROUNDUP(M1404+(M1404*Assumptions!M$5),-2)</f>
        <v>1100</v>
      </c>
      <c r="O1404" s="33">
        <f>ROUNDUP(N1404+(N1404*Assumptions!N$5),-2)</f>
        <v>1200</v>
      </c>
      <c r="P1404" s="33">
        <f>ROUNDUP(O1404+(O1404*Assumptions!O$5),-2)</f>
        <v>1300</v>
      </c>
      <c r="Q1404" s="33">
        <f>ROUNDUP(P1404+(P1404*Assumptions!P$5),-2)</f>
        <v>1400</v>
      </c>
      <c r="R1404" s="114">
        <f>ROUNDUP(Q1404+(Q1404*Assumptions!Q$5),-2)</f>
        <v>1500</v>
      </c>
    </row>
    <row r="1405" spans="1:18" x14ac:dyDescent="0.2">
      <c r="A1405" s="107">
        <v>6900</v>
      </c>
      <c r="B1405" s="33">
        <v>3900</v>
      </c>
      <c r="C1405" s="189">
        <v>8400</v>
      </c>
      <c r="D1405" s="189">
        <v>10200</v>
      </c>
      <c r="E1405" s="658" t="s">
        <v>1545</v>
      </c>
      <c r="F1405" s="443" t="s">
        <v>2906</v>
      </c>
      <c r="G1405" s="198">
        <v>4500</v>
      </c>
      <c r="H1405" s="138">
        <f>IF(D1405=G1405,0,IF(D1405=0,100,(G1405-D1405)/D1405*100))</f>
        <v>-55.882352941176471</v>
      </c>
      <c r="I1405" s="33">
        <f>ROUNDUP(G1405+(G1405*Assumptions!H$5),-2)</f>
        <v>4600</v>
      </c>
      <c r="J1405" s="33">
        <f>ROUNDUP(I1405+(I1405*Assumptions!I$5),-2)</f>
        <v>4800</v>
      </c>
      <c r="K1405" s="33">
        <f>ROUNDUP(J1405+(J1405*Assumptions!J$5),-2)</f>
        <v>5000</v>
      </c>
      <c r="L1405" s="33">
        <f>ROUNDUP(K1405+(K1405*Assumptions!K$5),-2)</f>
        <v>5200</v>
      </c>
      <c r="M1405" s="33">
        <f>ROUNDUP(L1405+(L1405*Assumptions!L$5),-2)</f>
        <v>5400</v>
      </c>
      <c r="N1405" s="33">
        <f>ROUNDUP(M1405+(M1405*Assumptions!M$5),-2)</f>
        <v>5600</v>
      </c>
      <c r="O1405" s="33">
        <f>ROUNDUP(N1405+(N1405*Assumptions!N$5),-2)</f>
        <v>5800</v>
      </c>
      <c r="P1405" s="33">
        <f>ROUNDUP(O1405+(O1405*Assumptions!O$5),-2)</f>
        <v>6000</v>
      </c>
      <c r="Q1405" s="33">
        <f>ROUNDUP(P1405+(P1405*Assumptions!P$5),-2)</f>
        <v>6200</v>
      </c>
      <c r="R1405" s="114">
        <f>ROUNDUP(Q1405+(Q1405*Assumptions!Q$5),-2)</f>
        <v>6400</v>
      </c>
    </row>
    <row r="1406" spans="1:18" x14ac:dyDescent="0.2">
      <c r="A1406" s="107"/>
      <c r="B1406" s="33"/>
      <c r="E1406" s="658"/>
      <c r="F1406" s="439" t="s">
        <v>1730</v>
      </c>
      <c r="G1406" s="198"/>
      <c r="H1406" s="138"/>
      <c r="I1406" s="33"/>
      <c r="J1406" s="33"/>
      <c r="K1406" s="33"/>
      <c r="L1406" s="33"/>
      <c r="M1406" s="33"/>
      <c r="N1406" s="33"/>
      <c r="O1406" s="33"/>
      <c r="P1406" s="33"/>
      <c r="Q1406" s="33"/>
      <c r="R1406" s="114"/>
    </row>
    <row r="1407" spans="1:18" x14ac:dyDescent="0.2">
      <c r="A1407" s="107">
        <v>56000</v>
      </c>
      <c r="B1407" s="33">
        <v>98700</v>
      </c>
      <c r="C1407" s="189">
        <v>101000</v>
      </c>
      <c r="D1407" s="189">
        <v>103400</v>
      </c>
      <c r="E1407" s="658" t="s">
        <v>547</v>
      </c>
      <c r="F1407" s="814" t="s">
        <v>6998</v>
      </c>
      <c r="G1407" s="198">
        <v>108000</v>
      </c>
      <c r="H1407" s="138">
        <f>IF(D1407=G1407,0,IF(D1407=0,100,(G1407-D1407)/D1407*100))</f>
        <v>4.4487427466150873</v>
      </c>
      <c r="I1407" s="33">
        <f>ROUNDUP(G1407+(G1407*Assumptions!H$5),-2)</f>
        <v>109700</v>
      </c>
      <c r="J1407" s="33">
        <f>ROUNDUP(I1407+(I1407*Assumptions!I$5),-2)</f>
        <v>112500</v>
      </c>
      <c r="K1407" s="33">
        <f>ROUNDUP(J1407+(J1407*Assumptions!J$5),-2)</f>
        <v>115400</v>
      </c>
      <c r="L1407" s="33">
        <f>ROUNDUP(K1407+(K1407*Assumptions!K$5),-2)</f>
        <v>118300</v>
      </c>
      <c r="M1407" s="33">
        <f>ROUNDUP(L1407+(L1407*Assumptions!L$5),-2)</f>
        <v>120700</v>
      </c>
      <c r="N1407" s="33">
        <f>ROUNDUP(M1407+(M1407*Assumptions!M$5),-2)</f>
        <v>123200</v>
      </c>
      <c r="O1407" s="33">
        <f>ROUNDUP(N1407+(N1407*Assumptions!N$5),-2)</f>
        <v>125700</v>
      </c>
      <c r="P1407" s="33">
        <f>ROUNDUP(O1407+(O1407*Assumptions!O$5),-2)</f>
        <v>128300</v>
      </c>
      <c r="Q1407" s="33">
        <f>ROUNDUP(P1407+(P1407*Assumptions!P$5),-2)</f>
        <v>130900</v>
      </c>
      <c r="R1407" s="114">
        <f>ROUNDUP(Q1407+(Q1407*Assumptions!Q$5),-2)</f>
        <v>133600</v>
      </c>
    </row>
    <row r="1408" spans="1:18" x14ac:dyDescent="0.2">
      <c r="A1408" s="107">
        <v>10000</v>
      </c>
      <c r="B1408" s="33">
        <v>5500</v>
      </c>
      <c r="C1408" s="189">
        <v>9500</v>
      </c>
      <c r="D1408" s="189">
        <v>12600</v>
      </c>
      <c r="E1408" s="658" t="s">
        <v>546</v>
      </c>
      <c r="F1408" s="814" t="s">
        <v>3005</v>
      </c>
      <c r="G1408" s="198">
        <v>10000</v>
      </c>
      <c r="H1408" s="138">
        <f>IF(D1408=G1408,0,IF(D1408=0,100,(G1408-D1408)/D1408*100))</f>
        <v>-20.634920634920633</v>
      </c>
      <c r="I1408" s="33">
        <f>ROUNDUP(G1408+(G1408*Assumptions!H$5),-2)</f>
        <v>10200</v>
      </c>
      <c r="J1408" s="33">
        <f>ROUNDUP(I1408+(I1408*Assumptions!I$5),-2)</f>
        <v>10500</v>
      </c>
      <c r="K1408" s="33">
        <f>ROUNDUP(J1408+(J1408*Assumptions!J$5),-2)</f>
        <v>10800</v>
      </c>
      <c r="L1408" s="33">
        <f>ROUNDUP(K1408+(K1408*Assumptions!K$5),-2)</f>
        <v>11100</v>
      </c>
      <c r="M1408" s="33">
        <f>ROUNDUP(L1408+(L1408*Assumptions!L$5),-2)</f>
        <v>11400</v>
      </c>
      <c r="N1408" s="33">
        <f>ROUNDUP(M1408+(M1408*Assumptions!M$5),-2)</f>
        <v>11700</v>
      </c>
      <c r="O1408" s="33">
        <f>ROUNDUP(N1408+(N1408*Assumptions!N$5),-2)</f>
        <v>12000</v>
      </c>
      <c r="P1408" s="33">
        <f>ROUNDUP(O1408+(O1408*Assumptions!O$5),-2)</f>
        <v>12300</v>
      </c>
      <c r="Q1408" s="33">
        <f>ROUNDUP(P1408+(P1408*Assumptions!P$5),-2)</f>
        <v>12600</v>
      </c>
      <c r="R1408" s="114">
        <f>ROUNDUP(Q1408+(Q1408*Assumptions!Q$5),-2)</f>
        <v>12900</v>
      </c>
    </row>
    <row r="1409" spans="1:18" x14ac:dyDescent="0.2">
      <c r="A1409" s="107">
        <v>0</v>
      </c>
      <c r="B1409" s="33">
        <v>0</v>
      </c>
      <c r="C1409" s="189">
        <v>0</v>
      </c>
      <c r="D1409" s="189">
        <v>0</v>
      </c>
      <c r="E1409" s="658" t="s">
        <v>548</v>
      </c>
      <c r="F1409" s="953" t="s">
        <v>4763</v>
      </c>
      <c r="G1409" s="198">
        <v>4000</v>
      </c>
      <c r="H1409" s="138">
        <f>IF(D1409=G1409,0,IF(D1409=0,100,(G1409-D1409)/D1409*100))</f>
        <v>100</v>
      </c>
      <c r="I1409" s="33">
        <f>ROUNDUP(G1409+(G1409*Assumptions!H$5),-2)</f>
        <v>4100</v>
      </c>
      <c r="J1409" s="33">
        <f>ROUNDUP(I1409+(I1409*Assumptions!I$5),-2)</f>
        <v>4300</v>
      </c>
      <c r="K1409" s="33">
        <f>ROUNDUP(J1409+(J1409*Assumptions!J$5),-2)</f>
        <v>4500</v>
      </c>
      <c r="L1409" s="33">
        <f>ROUNDUP(K1409+(K1409*Assumptions!K$5),-2)</f>
        <v>4700</v>
      </c>
      <c r="M1409" s="33">
        <f>ROUNDUP(L1409+(L1409*Assumptions!L$5),-2)</f>
        <v>4800</v>
      </c>
      <c r="N1409" s="33">
        <f>ROUNDUP(M1409+(M1409*Assumptions!M$5),-2)</f>
        <v>4900</v>
      </c>
      <c r="O1409" s="33">
        <f>ROUNDUP(N1409+(N1409*Assumptions!N$5),-2)</f>
        <v>5000</v>
      </c>
      <c r="P1409" s="33">
        <f>ROUNDUP(O1409+(O1409*Assumptions!O$5),-2)</f>
        <v>5100</v>
      </c>
      <c r="Q1409" s="33">
        <f>ROUNDUP(P1409+(P1409*Assumptions!P$5),-2)</f>
        <v>5300</v>
      </c>
      <c r="R1409" s="114">
        <f>ROUNDUP(Q1409+(Q1409*Assumptions!Q$5),-2)</f>
        <v>5500</v>
      </c>
    </row>
    <row r="1410" spans="1:18" x14ac:dyDescent="0.2">
      <c r="A1410" s="107"/>
      <c r="B1410" s="33"/>
      <c r="E1410" s="658"/>
      <c r="F1410" s="439" t="s">
        <v>641</v>
      </c>
      <c r="G1410" s="198"/>
      <c r="H1410" s="138"/>
      <c r="I1410" s="33"/>
      <c r="J1410" s="33"/>
      <c r="K1410" s="33"/>
      <c r="L1410" s="33"/>
      <c r="M1410" s="33"/>
      <c r="N1410" s="33"/>
      <c r="O1410" s="33"/>
      <c r="P1410" s="33"/>
      <c r="Q1410" s="33"/>
      <c r="R1410" s="114"/>
    </row>
    <row r="1411" spans="1:18" x14ac:dyDescent="0.2">
      <c r="A1411" s="107">
        <v>41700</v>
      </c>
      <c r="B1411" s="132">
        <f>35300+2500</f>
        <v>37800</v>
      </c>
      <c r="C1411" s="189">
        <v>50600</v>
      </c>
      <c r="D1411" s="189">
        <v>2100</v>
      </c>
      <c r="E1411" s="658" t="s">
        <v>2403</v>
      </c>
      <c r="F1411" s="443" t="s">
        <v>641</v>
      </c>
      <c r="G1411" s="198">
        <v>2800</v>
      </c>
      <c r="H1411" s="138">
        <f t="shared" ref="H1411:H1422" si="1434">IF(D1411=G1411,0,IF(D1411=0,100,(G1411-D1411)/D1411*100))</f>
        <v>33.333333333333329</v>
      </c>
      <c r="I1411" s="33">
        <f>ROUNDUP(G1411+(G1411*Assumptions!H$5),-2)</f>
        <v>2900</v>
      </c>
      <c r="J1411" s="33">
        <f>ROUNDUP(I1411+(I1411*Assumptions!I$5),-2)</f>
        <v>3000</v>
      </c>
      <c r="K1411" s="33">
        <f>ROUNDUP(J1411+(J1411*Assumptions!J$5),-2)</f>
        <v>3100</v>
      </c>
      <c r="L1411" s="33">
        <f>ROUNDUP(K1411+(K1411*Assumptions!K$5),-2)</f>
        <v>3200</v>
      </c>
      <c r="M1411" s="33">
        <f>ROUNDUP(L1411+(L1411*Assumptions!L$5),-2)</f>
        <v>3300</v>
      </c>
      <c r="N1411" s="33">
        <f>ROUNDUP(M1411+(M1411*Assumptions!M$5),-2)</f>
        <v>3400</v>
      </c>
      <c r="O1411" s="33">
        <f>ROUNDUP(N1411+(N1411*Assumptions!N$5),-2)</f>
        <v>3500</v>
      </c>
      <c r="P1411" s="33">
        <f>ROUNDUP(O1411+(O1411*Assumptions!O$5),-2)</f>
        <v>3600</v>
      </c>
      <c r="Q1411" s="33">
        <f>ROUNDUP(P1411+(P1411*Assumptions!P$5),-2)</f>
        <v>3700</v>
      </c>
      <c r="R1411" s="114">
        <f>ROUNDUP(Q1411+(Q1411*Assumptions!Q$5),-2)</f>
        <v>3800</v>
      </c>
    </row>
    <row r="1412" spans="1:18" x14ac:dyDescent="0.2">
      <c r="A1412" s="107">
        <v>0</v>
      </c>
      <c r="B1412" s="33">
        <v>0</v>
      </c>
      <c r="C1412" s="189">
        <v>0</v>
      </c>
      <c r="D1412" s="189">
        <v>13800</v>
      </c>
      <c r="E1412" s="1092" t="s">
        <v>5497</v>
      </c>
      <c r="F1412" s="814" t="s">
        <v>5498</v>
      </c>
      <c r="G1412" s="198">
        <v>8000</v>
      </c>
      <c r="H1412" s="138">
        <f t="shared" si="1434"/>
        <v>-42.028985507246375</v>
      </c>
      <c r="I1412" s="33">
        <f>ROUNDUP(G1412+(G1412*Assumptions!H$5),-2)</f>
        <v>8200</v>
      </c>
      <c r="J1412" s="33">
        <f>ROUNDUP(I1412+(I1412*Assumptions!I$5),-2)</f>
        <v>8500</v>
      </c>
      <c r="K1412" s="33">
        <f>ROUNDUP(J1412+(J1412*Assumptions!J$5),-2)</f>
        <v>8800</v>
      </c>
      <c r="L1412" s="33">
        <f>ROUNDUP(K1412+(K1412*Assumptions!K$5),-2)</f>
        <v>9100</v>
      </c>
      <c r="M1412" s="33">
        <f>ROUNDUP(L1412+(L1412*Assumptions!L$5),-2)</f>
        <v>9300</v>
      </c>
      <c r="N1412" s="33">
        <f>ROUNDUP(M1412+(M1412*Assumptions!M$5),-2)</f>
        <v>9500</v>
      </c>
      <c r="O1412" s="33">
        <f>ROUNDUP(N1412+(N1412*Assumptions!N$5),-2)</f>
        <v>9700</v>
      </c>
      <c r="P1412" s="33">
        <f>ROUNDUP(O1412+(O1412*Assumptions!O$5),-2)</f>
        <v>9900</v>
      </c>
      <c r="Q1412" s="33">
        <f>ROUNDUP(P1412+(P1412*Assumptions!P$5),-2)</f>
        <v>10100</v>
      </c>
      <c r="R1412" s="114">
        <f>ROUNDUP(Q1412+(Q1412*Assumptions!Q$5),-2)</f>
        <v>10400</v>
      </c>
    </row>
    <row r="1413" spans="1:18" x14ac:dyDescent="0.2">
      <c r="A1413" s="107">
        <v>0</v>
      </c>
      <c r="B1413" s="33">
        <v>0</v>
      </c>
      <c r="C1413" s="189">
        <v>0</v>
      </c>
      <c r="D1413" s="189">
        <v>7900</v>
      </c>
      <c r="E1413" s="1092" t="s">
        <v>5499</v>
      </c>
      <c r="F1413" s="814" t="s">
        <v>5500</v>
      </c>
      <c r="G1413" s="198">
        <v>6200</v>
      </c>
      <c r="H1413" s="138">
        <f t="shared" si="1434"/>
        <v>-21.518987341772153</v>
      </c>
      <c r="I1413" s="33">
        <f>ROUNDUP(G1413+(G1413*Assumptions!H$5),-2)</f>
        <v>6300</v>
      </c>
      <c r="J1413" s="33">
        <f>ROUNDUP(I1413+(I1413*Assumptions!I$5),-2)</f>
        <v>6500</v>
      </c>
      <c r="K1413" s="33">
        <f>ROUNDUP(J1413+(J1413*Assumptions!J$5),-2)</f>
        <v>6700</v>
      </c>
      <c r="L1413" s="33">
        <f>ROUNDUP(K1413+(K1413*Assumptions!K$5),-2)</f>
        <v>6900</v>
      </c>
      <c r="M1413" s="33">
        <f>ROUNDUP(L1413+(L1413*Assumptions!L$5),-2)</f>
        <v>7100</v>
      </c>
      <c r="N1413" s="33">
        <f>ROUNDUP(M1413+(M1413*Assumptions!M$5),-2)</f>
        <v>7300</v>
      </c>
      <c r="O1413" s="33">
        <f>ROUNDUP(N1413+(N1413*Assumptions!N$5),-2)</f>
        <v>7500</v>
      </c>
      <c r="P1413" s="33">
        <f>ROUNDUP(O1413+(O1413*Assumptions!O$5),-2)</f>
        <v>7700</v>
      </c>
      <c r="Q1413" s="33">
        <f>ROUNDUP(P1413+(P1413*Assumptions!P$5),-2)</f>
        <v>7900</v>
      </c>
      <c r="R1413" s="114">
        <f>ROUNDUP(Q1413+(Q1413*Assumptions!Q$5),-2)</f>
        <v>8100</v>
      </c>
    </row>
    <row r="1414" spans="1:18" x14ac:dyDescent="0.2">
      <c r="A1414" s="107">
        <v>0</v>
      </c>
      <c r="B1414" s="33">
        <v>0</v>
      </c>
      <c r="C1414" s="189">
        <v>0</v>
      </c>
      <c r="D1414" s="189">
        <v>2200</v>
      </c>
      <c r="E1414" s="1092" t="s">
        <v>5501</v>
      </c>
      <c r="F1414" s="814" t="s">
        <v>5502</v>
      </c>
      <c r="G1414" s="198">
        <v>6000</v>
      </c>
      <c r="H1414" s="138">
        <f t="shared" si="1434"/>
        <v>172.72727272727272</v>
      </c>
      <c r="I1414" s="33">
        <f>ROUNDUP(G1414+(G1414*Assumptions!H$5),-2)</f>
        <v>6100</v>
      </c>
      <c r="J1414" s="33">
        <f>ROUNDUP(I1414+(I1414*Assumptions!I$5),-2)</f>
        <v>6300</v>
      </c>
      <c r="K1414" s="33">
        <f>ROUNDUP(J1414+(J1414*Assumptions!J$5),-2)</f>
        <v>6500</v>
      </c>
      <c r="L1414" s="33">
        <f>ROUNDUP(K1414+(K1414*Assumptions!K$5),-2)</f>
        <v>6700</v>
      </c>
      <c r="M1414" s="33">
        <f>ROUNDUP(L1414+(L1414*Assumptions!L$5),-2)</f>
        <v>6900</v>
      </c>
      <c r="N1414" s="33">
        <f>ROUNDUP(M1414+(M1414*Assumptions!M$5),-2)</f>
        <v>7100</v>
      </c>
      <c r="O1414" s="33">
        <f>ROUNDUP(N1414+(N1414*Assumptions!N$5),-2)</f>
        <v>7300</v>
      </c>
      <c r="P1414" s="33">
        <f>ROUNDUP(O1414+(O1414*Assumptions!O$5),-2)</f>
        <v>7500</v>
      </c>
      <c r="Q1414" s="33">
        <f>ROUNDUP(P1414+(P1414*Assumptions!P$5),-2)</f>
        <v>7700</v>
      </c>
      <c r="R1414" s="114">
        <f>ROUNDUP(Q1414+(Q1414*Assumptions!Q$5),-2)</f>
        <v>7900</v>
      </c>
    </row>
    <row r="1415" spans="1:18" x14ac:dyDescent="0.2">
      <c r="A1415" s="107">
        <v>0</v>
      </c>
      <c r="B1415" s="33">
        <v>0</v>
      </c>
      <c r="C1415" s="189">
        <v>0</v>
      </c>
      <c r="D1415" s="189">
        <v>3600</v>
      </c>
      <c r="E1415" s="1092" t="s">
        <v>5503</v>
      </c>
      <c r="F1415" s="814" t="s">
        <v>5504</v>
      </c>
      <c r="G1415" s="198">
        <f>1000+1000</f>
        <v>2000</v>
      </c>
      <c r="H1415" s="138">
        <f t="shared" si="1434"/>
        <v>-44.444444444444443</v>
      </c>
      <c r="I1415" s="33">
        <f>ROUNDUP(G1415+(G1415*Assumptions!H$5),-2)</f>
        <v>2100</v>
      </c>
      <c r="J1415" s="33">
        <f>ROUNDUP(I1415+(I1415*Assumptions!I$5),-2)</f>
        <v>2200</v>
      </c>
      <c r="K1415" s="33">
        <f>ROUNDUP(J1415+(J1415*Assumptions!J$5),-2)</f>
        <v>2300</v>
      </c>
      <c r="L1415" s="33">
        <f>ROUNDUP(K1415+(K1415*Assumptions!K$5),-2)</f>
        <v>2400</v>
      </c>
      <c r="M1415" s="33">
        <f>ROUNDUP(L1415+(L1415*Assumptions!L$5),-2)</f>
        <v>2500</v>
      </c>
      <c r="N1415" s="33">
        <f>ROUNDUP(M1415+(M1415*Assumptions!M$5),-2)</f>
        <v>2600</v>
      </c>
      <c r="O1415" s="33">
        <f>ROUNDUP(N1415+(N1415*Assumptions!N$5),-2)</f>
        <v>2700</v>
      </c>
      <c r="P1415" s="33">
        <f>ROUNDUP(O1415+(O1415*Assumptions!O$5),-2)</f>
        <v>2800</v>
      </c>
      <c r="Q1415" s="33">
        <f>ROUNDUP(P1415+(P1415*Assumptions!P$5),-2)</f>
        <v>2900</v>
      </c>
      <c r="R1415" s="114">
        <f>ROUNDUP(Q1415+(Q1415*Assumptions!Q$5),-2)</f>
        <v>3000</v>
      </c>
    </row>
    <row r="1416" spans="1:18" x14ac:dyDescent="0.2">
      <c r="A1416" s="107">
        <v>0</v>
      </c>
      <c r="B1416" s="33">
        <v>0</v>
      </c>
      <c r="C1416" s="189">
        <v>0</v>
      </c>
      <c r="D1416" s="189">
        <v>3500</v>
      </c>
      <c r="E1416" s="1092" t="s">
        <v>5505</v>
      </c>
      <c r="F1416" s="814" t="s">
        <v>5506</v>
      </c>
      <c r="G1416" s="198">
        <v>3000</v>
      </c>
      <c r="H1416" s="138">
        <f t="shared" si="1434"/>
        <v>-14.285714285714285</v>
      </c>
      <c r="I1416" s="33">
        <f>ROUNDUP(G1416+(G1416*Assumptions!H$5),-2)</f>
        <v>3100</v>
      </c>
      <c r="J1416" s="33">
        <f>ROUNDUP(I1416+(I1416*Assumptions!I$5),-2)</f>
        <v>3200</v>
      </c>
      <c r="K1416" s="33">
        <f>ROUNDUP(J1416+(J1416*Assumptions!J$5),-2)</f>
        <v>3300</v>
      </c>
      <c r="L1416" s="33">
        <f>ROUNDUP(K1416+(K1416*Assumptions!K$5),-2)</f>
        <v>3400</v>
      </c>
      <c r="M1416" s="33">
        <f>ROUNDUP(L1416+(L1416*Assumptions!L$5),-2)</f>
        <v>3500</v>
      </c>
      <c r="N1416" s="33">
        <f>ROUNDUP(M1416+(M1416*Assumptions!M$5),-2)</f>
        <v>3600</v>
      </c>
      <c r="O1416" s="33">
        <f>ROUNDUP(N1416+(N1416*Assumptions!N$5),-2)</f>
        <v>3700</v>
      </c>
      <c r="P1416" s="33">
        <f>ROUNDUP(O1416+(O1416*Assumptions!O$5),-2)</f>
        <v>3800</v>
      </c>
      <c r="Q1416" s="33">
        <f>ROUNDUP(P1416+(P1416*Assumptions!P$5),-2)</f>
        <v>3900</v>
      </c>
      <c r="R1416" s="114">
        <f>ROUNDUP(Q1416+(Q1416*Assumptions!Q$5),-2)</f>
        <v>4000</v>
      </c>
    </row>
    <row r="1417" spans="1:18" x14ac:dyDescent="0.2">
      <c r="A1417" s="107">
        <v>0</v>
      </c>
      <c r="B1417" s="33">
        <v>0</v>
      </c>
      <c r="C1417" s="189">
        <v>0</v>
      </c>
      <c r="D1417" s="189">
        <v>2000</v>
      </c>
      <c r="E1417" s="1092" t="s">
        <v>5507</v>
      </c>
      <c r="F1417" s="814" t="s">
        <v>5508</v>
      </c>
      <c r="G1417" s="198">
        <f>8000-1000</f>
        <v>7000</v>
      </c>
      <c r="H1417" s="138">
        <f t="shared" si="1434"/>
        <v>250</v>
      </c>
      <c r="I1417" s="33">
        <f>ROUNDUP(G1417+(G1417*Assumptions!H$5),-2)</f>
        <v>7200</v>
      </c>
      <c r="J1417" s="33">
        <f>ROUNDUP(I1417+(I1417*Assumptions!I$5),-2)</f>
        <v>7400</v>
      </c>
      <c r="K1417" s="33">
        <f>ROUNDUP(J1417+(J1417*Assumptions!J$5),-2)</f>
        <v>7600</v>
      </c>
      <c r="L1417" s="33">
        <f>ROUNDUP(K1417+(K1417*Assumptions!K$5),-2)</f>
        <v>7800</v>
      </c>
      <c r="M1417" s="33">
        <f>ROUNDUP(L1417+(L1417*Assumptions!L$5),-2)</f>
        <v>8000</v>
      </c>
      <c r="N1417" s="33">
        <f>ROUNDUP(M1417+(M1417*Assumptions!M$5),-2)</f>
        <v>8200</v>
      </c>
      <c r="O1417" s="33">
        <f>ROUNDUP(N1417+(N1417*Assumptions!N$5),-2)</f>
        <v>8400</v>
      </c>
      <c r="P1417" s="33">
        <f>ROUNDUP(O1417+(O1417*Assumptions!O$5),-2)</f>
        <v>8600</v>
      </c>
      <c r="Q1417" s="33">
        <f>ROUNDUP(P1417+(P1417*Assumptions!P$5),-2)</f>
        <v>8800</v>
      </c>
      <c r="R1417" s="114">
        <f>ROUNDUP(Q1417+(Q1417*Assumptions!Q$5),-2)</f>
        <v>9000</v>
      </c>
    </row>
    <row r="1418" spans="1:18" x14ac:dyDescent="0.2">
      <c r="A1418" s="107">
        <v>0</v>
      </c>
      <c r="B1418" s="33">
        <v>0</v>
      </c>
      <c r="C1418" s="189">
        <v>0</v>
      </c>
      <c r="D1418" s="189">
        <v>2700</v>
      </c>
      <c r="E1418" s="1092" t="s">
        <v>5509</v>
      </c>
      <c r="F1418" s="814" t="s">
        <v>5510</v>
      </c>
      <c r="G1418" s="198">
        <v>2000</v>
      </c>
      <c r="H1418" s="138">
        <f t="shared" si="1434"/>
        <v>-25.925925925925924</v>
      </c>
      <c r="I1418" s="33">
        <f>ROUNDUP(G1418+(G1418*Assumptions!H$5),-2)</f>
        <v>2100</v>
      </c>
      <c r="J1418" s="33">
        <f>ROUNDUP(I1418+(I1418*Assumptions!I$5),-2)</f>
        <v>2200</v>
      </c>
      <c r="K1418" s="33">
        <f>ROUNDUP(J1418+(J1418*Assumptions!J$5),-2)</f>
        <v>2300</v>
      </c>
      <c r="L1418" s="33">
        <f>ROUNDUP(K1418+(K1418*Assumptions!K$5),-2)</f>
        <v>2400</v>
      </c>
      <c r="M1418" s="33">
        <f>ROUNDUP(L1418+(L1418*Assumptions!L$5),-2)</f>
        <v>2500</v>
      </c>
      <c r="N1418" s="33">
        <f>ROUNDUP(M1418+(M1418*Assumptions!M$5),-2)</f>
        <v>2600</v>
      </c>
      <c r="O1418" s="33">
        <f>ROUNDUP(N1418+(N1418*Assumptions!N$5),-2)</f>
        <v>2700</v>
      </c>
      <c r="P1418" s="33">
        <f>ROUNDUP(O1418+(O1418*Assumptions!O$5),-2)</f>
        <v>2800</v>
      </c>
      <c r="Q1418" s="33">
        <f>ROUNDUP(P1418+(P1418*Assumptions!P$5),-2)</f>
        <v>2900</v>
      </c>
      <c r="R1418" s="114">
        <f>ROUNDUP(Q1418+(Q1418*Assumptions!Q$5),-2)</f>
        <v>3000</v>
      </c>
    </row>
    <row r="1419" spans="1:18" x14ac:dyDescent="0.2">
      <c r="A1419" s="107">
        <v>0</v>
      </c>
      <c r="B1419" s="33">
        <v>0</v>
      </c>
      <c r="C1419" s="189">
        <v>0</v>
      </c>
      <c r="D1419" s="189">
        <v>0</v>
      </c>
      <c r="E1419" s="1092" t="s">
        <v>5511</v>
      </c>
      <c r="F1419" s="814" t="s">
        <v>5512</v>
      </c>
      <c r="G1419" s="198">
        <v>2000</v>
      </c>
      <c r="H1419" s="138">
        <f t="shared" si="1434"/>
        <v>100</v>
      </c>
      <c r="I1419" s="33">
        <f>ROUNDUP(G1419+(G1419*Assumptions!H$5),-2)</f>
        <v>2100</v>
      </c>
      <c r="J1419" s="33">
        <f>ROUNDUP(I1419+(I1419*Assumptions!I$5),-2)</f>
        <v>2200</v>
      </c>
      <c r="K1419" s="33">
        <f>ROUNDUP(J1419+(J1419*Assumptions!J$5),-2)</f>
        <v>2300</v>
      </c>
      <c r="L1419" s="33">
        <f>ROUNDUP(K1419+(K1419*Assumptions!K$5),-2)</f>
        <v>2400</v>
      </c>
      <c r="M1419" s="33">
        <f>ROUNDUP(L1419+(L1419*Assumptions!L$5),-2)</f>
        <v>2500</v>
      </c>
      <c r="N1419" s="33">
        <f>ROUNDUP(M1419+(M1419*Assumptions!M$5),-2)</f>
        <v>2600</v>
      </c>
      <c r="O1419" s="33">
        <f>ROUNDUP(N1419+(N1419*Assumptions!N$5),-2)</f>
        <v>2700</v>
      </c>
      <c r="P1419" s="33">
        <f>ROUNDUP(O1419+(O1419*Assumptions!O$5),-2)</f>
        <v>2800</v>
      </c>
      <c r="Q1419" s="33">
        <f>ROUNDUP(P1419+(P1419*Assumptions!P$5),-2)</f>
        <v>2900</v>
      </c>
      <c r="R1419" s="114">
        <f>ROUNDUP(Q1419+(Q1419*Assumptions!Q$5),-2)</f>
        <v>3000</v>
      </c>
    </row>
    <row r="1420" spans="1:18" x14ac:dyDescent="0.2">
      <c r="A1420" s="107">
        <v>0</v>
      </c>
      <c r="B1420" s="33">
        <v>0</v>
      </c>
      <c r="C1420" s="189">
        <v>0</v>
      </c>
      <c r="D1420" s="189">
        <v>0</v>
      </c>
      <c r="E1420" s="1092" t="s">
        <v>5513</v>
      </c>
      <c r="F1420" s="814" t="s">
        <v>5514</v>
      </c>
      <c r="G1420" s="198">
        <v>1000</v>
      </c>
      <c r="H1420" s="138">
        <f t="shared" si="1434"/>
        <v>100</v>
      </c>
      <c r="I1420" s="33">
        <f>ROUNDUP(G1420+(G1420*Assumptions!H$5),-2)</f>
        <v>1100</v>
      </c>
      <c r="J1420" s="33">
        <f>ROUNDUP(I1420+(I1420*Assumptions!I$5),-2)</f>
        <v>1200</v>
      </c>
      <c r="K1420" s="33">
        <f>ROUNDUP(J1420+(J1420*Assumptions!J$5),-2)</f>
        <v>1300</v>
      </c>
      <c r="L1420" s="33">
        <f>ROUNDUP(K1420+(K1420*Assumptions!K$5),-2)</f>
        <v>1400</v>
      </c>
      <c r="M1420" s="33">
        <f>ROUNDUP(L1420+(L1420*Assumptions!L$5),-2)</f>
        <v>1500</v>
      </c>
      <c r="N1420" s="33">
        <f>ROUNDUP(M1420+(M1420*Assumptions!M$5),-2)</f>
        <v>1600</v>
      </c>
      <c r="O1420" s="33">
        <f>ROUNDUP(N1420+(N1420*Assumptions!N$5),-2)</f>
        <v>1700</v>
      </c>
      <c r="P1420" s="33">
        <f>ROUNDUP(O1420+(O1420*Assumptions!O$5),-2)</f>
        <v>1800</v>
      </c>
      <c r="Q1420" s="33">
        <f>ROUNDUP(P1420+(P1420*Assumptions!P$5),-2)</f>
        <v>1900</v>
      </c>
      <c r="R1420" s="114">
        <f>ROUNDUP(Q1420+(Q1420*Assumptions!Q$5),-2)</f>
        <v>2000</v>
      </c>
    </row>
    <row r="1421" spans="1:18" x14ac:dyDescent="0.2">
      <c r="A1421" s="107">
        <v>0</v>
      </c>
      <c r="B1421" s="33">
        <v>0</v>
      </c>
      <c r="C1421" s="189">
        <v>0</v>
      </c>
      <c r="D1421" s="189">
        <v>7700</v>
      </c>
      <c r="E1421" s="1092" t="s">
        <v>5515</v>
      </c>
      <c r="F1421" s="814" t="s">
        <v>5516</v>
      </c>
      <c r="G1421" s="198">
        <v>500</v>
      </c>
      <c r="H1421" s="138">
        <f t="shared" si="1434"/>
        <v>-93.506493506493499</v>
      </c>
      <c r="I1421" s="33">
        <f>ROUNDUP(G1421+(G1421*Assumptions!H$5),-2)</f>
        <v>600</v>
      </c>
      <c r="J1421" s="33">
        <f>ROUNDUP(I1421+(I1421*Assumptions!I$5),-2)</f>
        <v>700</v>
      </c>
      <c r="K1421" s="33">
        <f>ROUNDUP(J1421+(J1421*Assumptions!J$5),-2)</f>
        <v>800</v>
      </c>
      <c r="L1421" s="33">
        <f>ROUNDUP(K1421+(K1421*Assumptions!K$5),-2)</f>
        <v>900</v>
      </c>
      <c r="M1421" s="33">
        <f>ROUNDUP(L1421+(L1421*Assumptions!L$5),-2)</f>
        <v>1000</v>
      </c>
      <c r="N1421" s="33">
        <f>ROUNDUP(M1421+(M1421*Assumptions!M$5),-2)</f>
        <v>1100</v>
      </c>
      <c r="O1421" s="33">
        <f>ROUNDUP(N1421+(N1421*Assumptions!N$5),-2)</f>
        <v>1200</v>
      </c>
      <c r="P1421" s="33">
        <f>ROUNDUP(O1421+(O1421*Assumptions!O$5),-2)</f>
        <v>1300</v>
      </c>
      <c r="Q1421" s="33">
        <f>ROUNDUP(P1421+(P1421*Assumptions!P$5),-2)</f>
        <v>1400</v>
      </c>
      <c r="R1421" s="114">
        <f>ROUNDUP(Q1421+(Q1421*Assumptions!Q$5),-2)</f>
        <v>1500</v>
      </c>
    </row>
    <row r="1422" spans="1:18" x14ac:dyDescent="0.2">
      <c r="A1422" s="107">
        <v>0</v>
      </c>
      <c r="B1422" s="33">
        <v>0</v>
      </c>
      <c r="C1422" s="189">
        <v>0</v>
      </c>
      <c r="D1422" s="189">
        <v>0</v>
      </c>
      <c r="E1422" s="1092" t="s">
        <v>5517</v>
      </c>
      <c r="F1422" s="814" t="s">
        <v>5518</v>
      </c>
      <c r="G1422" s="198">
        <v>800</v>
      </c>
      <c r="H1422" s="138">
        <f t="shared" si="1434"/>
        <v>100</v>
      </c>
      <c r="I1422" s="33">
        <f>ROUNDUP(G1422+(G1422*Assumptions!H$5),-2)</f>
        <v>900</v>
      </c>
      <c r="J1422" s="33">
        <f>ROUNDUP(I1422+(I1422*Assumptions!I$5),-2)</f>
        <v>1000</v>
      </c>
      <c r="K1422" s="33">
        <f>ROUNDUP(J1422+(J1422*Assumptions!J$5),-2)</f>
        <v>1100</v>
      </c>
      <c r="L1422" s="33">
        <f>ROUNDUP(K1422+(K1422*Assumptions!K$5),-2)</f>
        <v>1200</v>
      </c>
      <c r="M1422" s="33">
        <f>ROUNDUP(L1422+(L1422*Assumptions!L$5),-2)</f>
        <v>1300</v>
      </c>
      <c r="N1422" s="33">
        <f>ROUNDUP(M1422+(M1422*Assumptions!M$5),-2)</f>
        <v>1400</v>
      </c>
      <c r="O1422" s="33">
        <f>ROUNDUP(N1422+(N1422*Assumptions!N$5),-2)</f>
        <v>1500</v>
      </c>
      <c r="P1422" s="33">
        <f>ROUNDUP(O1422+(O1422*Assumptions!O$5),-2)</f>
        <v>1600</v>
      </c>
      <c r="Q1422" s="33">
        <f>ROUNDUP(P1422+(P1422*Assumptions!P$5),-2)</f>
        <v>1700</v>
      </c>
      <c r="R1422" s="114">
        <f>ROUNDUP(Q1422+(Q1422*Assumptions!Q$5),-2)</f>
        <v>1800</v>
      </c>
    </row>
    <row r="1423" spans="1:18" x14ac:dyDescent="0.2">
      <c r="A1423" s="107"/>
      <c r="B1423" s="33"/>
      <c r="E1423" s="658"/>
      <c r="F1423" s="1103" t="s">
        <v>3844</v>
      </c>
      <c r="G1423" s="198"/>
      <c r="H1423" s="138"/>
      <c r="I1423" s="33"/>
      <c r="J1423" s="33"/>
      <c r="K1423" s="33"/>
      <c r="L1423" s="33"/>
      <c r="M1423" s="33"/>
      <c r="N1423" s="33"/>
      <c r="O1423" s="33"/>
      <c r="P1423" s="33"/>
      <c r="Q1423" s="33"/>
      <c r="R1423" s="114"/>
    </row>
    <row r="1424" spans="1:18" x14ac:dyDescent="0.2">
      <c r="A1424" s="107">
        <v>6100</v>
      </c>
      <c r="B1424" s="33">
        <v>3800</v>
      </c>
      <c r="C1424" s="189">
        <v>16700</v>
      </c>
      <c r="D1424" s="189">
        <v>10500</v>
      </c>
      <c r="E1424" s="658" t="s">
        <v>115</v>
      </c>
      <c r="F1424" s="953" t="s">
        <v>4762</v>
      </c>
      <c r="G1424" s="198">
        <v>10500</v>
      </c>
      <c r="H1424" s="138">
        <f>IF(D1424=G1424,0,IF(D1424=0,100,(G1424-D1424)/D1424*100))</f>
        <v>0</v>
      </c>
      <c r="I1424" s="33">
        <f>ROUNDUP(G1424+(G1424*Assumptions!H$5),-2)</f>
        <v>10700</v>
      </c>
      <c r="J1424" s="33">
        <f>ROUNDUP(I1424+(I1424*Assumptions!I$5),-2)</f>
        <v>11000</v>
      </c>
      <c r="K1424" s="33">
        <f>ROUNDUP(J1424+(J1424*Assumptions!J$5),-2)</f>
        <v>11300</v>
      </c>
      <c r="L1424" s="33">
        <f>ROUNDUP(K1424+(K1424*Assumptions!K$5),-2)</f>
        <v>11600</v>
      </c>
      <c r="M1424" s="33">
        <f>ROUNDUP(L1424+(L1424*Assumptions!L$5),-2)</f>
        <v>11900</v>
      </c>
      <c r="N1424" s="33">
        <f>ROUNDUP(M1424+(M1424*Assumptions!M$5),-2)</f>
        <v>12200</v>
      </c>
      <c r="O1424" s="33">
        <f>ROUNDUP(N1424+(N1424*Assumptions!N$5),-2)</f>
        <v>12500</v>
      </c>
      <c r="P1424" s="33">
        <f>ROUNDUP(O1424+(O1424*Assumptions!O$5),-2)</f>
        <v>12800</v>
      </c>
      <c r="Q1424" s="33">
        <f>ROUNDUP(P1424+(P1424*Assumptions!P$5),-2)</f>
        <v>13100</v>
      </c>
      <c r="R1424" s="114">
        <f>ROUNDUP(Q1424+(Q1424*Assumptions!Q$5),-2)</f>
        <v>13400</v>
      </c>
    </row>
    <row r="1425" spans="1:18" x14ac:dyDescent="0.2">
      <c r="A1425" s="107">
        <v>4500</v>
      </c>
      <c r="B1425" s="33">
        <v>5000</v>
      </c>
      <c r="C1425" s="189">
        <v>0</v>
      </c>
      <c r="D1425" s="189">
        <v>0</v>
      </c>
      <c r="E1425" s="658" t="s">
        <v>1187</v>
      </c>
      <c r="F1425" s="528" t="s">
        <v>1162</v>
      </c>
      <c r="G1425" s="198">
        <v>11400</v>
      </c>
      <c r="H1425" s="138">
        <f>IF(D1425=G1425,0,IF(D1425=0,100,(G1425-D1425)/D1425*100))</f>
        <v>100</v>
      </c>
      <c r="I1425" s="33">
        <v>0</v>
      </c>
      <c r="J1425" s="33">
        <f>ROUNDUP(I1425+(I1425*Assumptions!I$5),-2)</f>
        <v>0</v>
      </c>
      <c r="K1425" s="33">
        <f>ROUNDUP(J1425+(J1425*Assumptions!J$5),-2)</f>
        <v>0</v>
      </c>
      <c r="L1425" s="33">
        <f>ROUNDUP(K1425+(K1425*Assumptions!K$5),-2)</f>
        <v>0</v>
      </c>
      <c r="M1425" s="33">
        <f>ROUNDUP(L1425+(L1425*Assumptions!L$5),-2)</f>
        <v>0</v>
      </c>
      <c r="N1425" s="33">
        <f>ROUNDUP(M1425+(M1425*Assumptions!M$5),-2)</f>
        <v>0</v>
      </c>
      <c r="O1425" s="33">
        <f>ROUNDUP(N1425+(N1425*Assumptions!N$5),-2)</f>
        <v>0</v>
      </c>
      <c r="P1425" s="33">
        <f>ROUNDUP(O1425+(O1425*Assumptions!O$5),-2)</f>
        <v>0</v>
      </c>
      <c r="Q1425" s="33">
        <f>ROUNDUP(P1425+(P1425*Assumptions!P$5),-2)</f>
        <v>0</v>
      </c>
      <c r="R1425" s="114">
        <f>ROUNDUP(Q1425+(Q1425*Assumptions!Q$5),-2)</f>
        <v>0</v>
      </c>
    </row>
    <row r="1426" spans="1:18" x14ac:dyDescent="0.2">
      <c r="A1426" s="107">
        <v>13000</v>
      </c>
      <c r="B1426" s="33">
        <v>12800</v>
      </c>
      <c r="C1426" s="189">
        <v>2200</v>
      </c>
      <c r="D1426" s="189">
        <v>5600</v>
      </c>
      <c r="E1426" s="658" t="s">
        <v>790</v>
      </c>
      <c r="F1426" s="814" t="s">
        <v>4904</v>
      </c>
      <c r="G1426" s="198">
        <v>1400</v>
      </c>
      <c r="H1426" s="138">
        <f>IF(D1426=G1426,0,IF(D1426=0,100,(G1426-D1426)/D1426*100))</f>
        <v>-75</v>
      </c>
      <c r="I1426" s="33">
        <v>0</v>
      </c>
      <c r="J1426" s="33">
        <f>ROUNDUP(I1426+(I1426*Assumptions!I$5),-2)</f>
        <v>0</v>
      </c>
      <c r="K1426" s="33">
        <f>ROUNDUP(J1426+(J1426*Assumptions!J$5),-2)</f>
        <v>0</v>
      </c>
      <c r="L1426" s="33">
        <f>ROUNDUP(K1426+(K1426*Assumptions!K$5),-2)</f>
        <v>0</v>
      </c>
      <c r="M1426" s="33">
        <f>ROUNDUP(L1426+(L1426*Assumptions!L$5),-2)</f>
        <v>0</v>
      </c>
      <c r="N1426" s="33">
        <f>ROUNDUP(M1426+(M1426*Assumptions!M$5),-2)</f>
        <v>0</v>
      </c>
      <c r="O1426" s="33">
        <f>ROUNDUP(N1426+(N1426*Assumptions!N$5),-2)</f>
        <v>0</v>
      </c>
      <c r="P1426" s="33">
        <f>ROUNDUP(O1426+(O1426*Assumptions!O$5),-2)</f>
        <v>0</v>
      </c>
      <c r="Q1426" s="33">
        <f>ROUNDUP(P1426+(P1426*Assumptions!P$5),-2)</f>
        <v>0</v>
      </c>
      <c r="R1426" s="114">
        <f>ROUNDUP(Q1426+(Q1426*Assumptions!Q$5),-2)</f>
        <v>0</v>
      </c>
    </row>
    <row r="1427" spans="1:18" ht="13.5" thickBot="1" x14ac:dyDescent="0.25">
      <c r="A1427" s="171"/>
      <c r="B1427" s="66"/>
      <c r="C1427" s="202"/>
      <c r="D1427" s="202"/>
      <c r="E1427" s="1976"/>
      <c r="F1427" s="605"/>
      <c r="G1427" s="2610"/>
      <c r="H1427" s="140"/>
      <c r="I1427" s="66"/>
      <c r="J1427" s="66"/>
      <c r="K1427" s="66"/>
      <c r="L1427" s="66"/>
      <c r="M1427" s="66"/>
      <c r="N1427" s="66"/>
      <c r="O1427" s="66"/>
      <c r="P1427" s="66"/>
      <c r="Q1427" s="66"/>
      <c r="R1427" s="165"/>
    </row>
    <row r="1428" spans="1:18" s="99" customFormat="1" ht="14.25" thickTop="1" thickBot="1" x14ac:dyDescent="0.25">
      <c r="A1428" s="74"/>
      <c r="B1428" s="74"/>
      <c r="C1428" s="197"/>
      <c r="D1428" s="197"/>
      <c r="E1428" s="242"/>
      <c r="F1428" s="137"/>
      <c r="G1428" s="197"/>
      <c r="H1428" s="123"/>
    </row>
    <row r="1429" spans="1:18" s="91" customFormat="1" ht="18.75" customHeight="1" thickTop="1" thickBot="1" x14ac:dyDescent="0.3">
      <c r="A1429" s="2865" t="s">
        <v>6841</v>
      </c>
      <c r="B1429" s="2866"/>
      <c r="C1429" s="2866"/>
      <c r="D1429" s="2866"/>
      <c r="E1429" s="2866"/>
      <c r="F1429" s="2866"/>
      <c r="G1429" s="2866"/>
      <c r="H1429" s="2866"/>
      <c r="I1429" s="2866"/>
      <c r="J1429" s="2866"/>
      <c r="K1429" s="2866"/>
      <c r="L1429" s="2866"/>
      <c r="M1429" s="2866"/>
      <c r="N1429" s="2866"/>
      <c r="O1429" s="2866"/>
      <c r="P1429" s="2866"/>
      <c r="Q1429" s="2866"/>
      <c r="R1429" s="2867"/>
    </row>
    <row r="1430" spans="1:18" s="44" customFormat="1" x14ac:dyDescent="0.2">
      <c r="A1430" s="2848" t="s">
        <v>1856</v>
      </c>
      <c r="B1430" s="2840"/>
      <c r="C1430" s="2840"/>
      <c r="D1430" s="2849"/>
      <c r="E1430" s="369" t="s">
        <v>2663</v>
      </c>
      <c r="F1430" s="2649" t="s">
        <v>2251</v>
      </c>
      <c r="G1430" s="2885" t="s">
        <v>2253</v>
      </c>
      <c r="H1430" s="2886"/>
      <c r="I1430" s="2886"/>
      <c r="J1430" s="2886"/>
      <c r="K1430" s="2886"/>
      <c r="L1430" s="2886"/>
      <c r="M1430" s="2886"/>
      <c r="N1430" s="2886"/>
      <c r="O1430" s="2886"/>
      <c r="P1430" s="2886"/>
      <c r="Q1430" s="2886"/>
      <c r="R1430" s="2887"/>
    </row>
    <row r="1431" spans="1:18" s="23" customFormat="1" ht="12.75" customHeight="1" thickBot="1" x14ac:dyDescent="0.25">
      <c r="A1431" s="208" t="str">
        <f>A1379</f>
        <v>2012/13</v>
      </c>
      <c r="B1431" s="75" t="str">
        <f>B1379</f>
        <v>2013/14</v>
      </c>
      <c r="C1431" s="370" t="str">
        <f>C1379</f>
        <v>2014/15</v>
      </c>
      <c r="D1431" s="93" t="str">
        <f>D1379</f>
        <v>2015/16</v>
      </c>
      <c r="E1431" s="370"/>
      <c r="F1431" s="361"/>
      <c r="G1431" s="2513" t="str">
        <f t="shared" ref="G1431:Q1431" si="1435">G1379</f>
        <v>2016/17</v>
      </c>
      <c r="H1431" s="2193" t="str">
        <f t="shared" si="1435"/>
        <v>%</v>
      </c>
      <c r="I1431" s="370" t="str">
        <f t="shared" si="1435"/>
        <v>2017/18</v>
      </c>
      <c r="J1431" s="370" t="str">
        <f t="shared" si="1435"/>
        <v>2018/19</v>
      </c>
      <c r="K1431" s="370" t="str">
        <f t="shared" si="1435"/>
        <v>2019/20</v>
      </c>
      <c r="L1431" s="370" t="str">
        <f t="shared" si="1435"/>
        <v>2020/21</v>
      </c>
      <c r="M1431" s="370" t="str">
        <f t="shared" si="1435"/>
        <v>2021/22</v>
      </c>
      <c r="N1431" s="370" t="str">
        <f t="shared" si="1435"/>
        <v>2022/23</v>
      </c>
      <c r="O1431" s="370" t="str">
        <f t="shared" si="1435"/>
        <v>2023/24</v>
      </c>
      <c r="P1431" s="370" t="str">
        <f t="shared" si="1435"/>
        <v>2024/25</v>
      </c>
      <c r="Q1431" s="218" t="str">
        <f t="shared" si="1435"/>
        <v>2025/26</v>
      </c>
      <c r="R1431" s="549" t="str">
        <f t="shared" ref="R1431" si="1436">R1379</f>
        <v>2026/27</v>
      </c>
    </row>
    <row r="1432" spans="1:18" x14ac:dyDescent="0.2">
      <c r="A1432" s="107"/>
      <c r="B1432" s="33"/>
      <c r="E1432" s="673"/>
      <c r="F1432" s="443"/>
      <c r="G1432" s="198"/>
      <c r="H1432" s="138"/>
      <c r="I1432" s="33"/>
      <c r="J1432" s="33"/>
      <c r="K1432" s="33"/>
      <c r="L1432" s="33"/>
      <c r="M1432" s="33"/>
      <c r="N1432" s="33"/>
      <c r="O1432" s="33"/>
      <c r="P1432" s="33"/>
      <c r="Q1432" s="33"/>
      <c r="R1432" s="114"/>
    </row>
    <row r="1433" spans="1:18" x14ac:dyDescent="0.2">
      <c r="A1433" s="107"/>
      <c r="B1433" s="33"/>
      <c r="E1433" s="1092"/>
      <c r="F1433" s="1447" t="s">
        <v>1699</v>
      </c>
      <c r="G1433" s="198"/>
      <c r="H1433" s="138"/>
      <c r="I1433" s="33"/>
      <c r="J1433" s="33"/>
      <c r="K1433" s="33"/>
      <c r="L1433" s="33"/>
      <c r="M1433" s="33"/>
      <c r="N1433" s="33"/>
      <c r="O1433" s="33"/>
      <c r="P1433" s="33"/>
      <c r="Q1433" s="33"/>
      <c r="R1433" s="114"/>
    </row>
    <row r="1434" spans="1:18" x14ac:dyDescent="0.2">
      <c r="A1434" s="107">
        <v>0</v>
      </c>
      <c r="B1434" s="33">
        <v>0</v>
      </c>
      <c r="C1434" s="189">
        <v>27300</v>
      </c>
      <c r="D1434" s="189">
        <v>39000</v>
      </c>
      <c r="E1434" s="1092" t="s">
        <v>3448</v>
      </c>
      <c r="F1434" s="814" t="s">
        <v>3449</v>
      </c>
      <c r="G1434" s="1362">
        <f>20200+28800</f>
        <v>49000</v>
      </c>
      <c r="H1434" s="138">
        <f t="shared" ref="H1434:H1447" si="1437">IF(D1434=G1434,0,IF(D1434=0,100,(G1434-D1434)/D1434*100))</f>
        <v>25.641025641025639</v>
      </c>
      <c r="I1434" s="33">
        <v>0</v>
      </c>
      <c r="J1434" s="33">
        <f>ROUNDUP(I1434+(I1434*Assumptions!I$5),-2)</f>
        <v>0</v>
      </c>
      <c r="K1434" s="33">
        <f>ROUNDUP(J1434+(J1434*Assumptions!J$5),-2)</f>
        <v>0</v>
      </c>
      <c r="L1434" s="33">
        <f>ROUNDUP(K1434+(K1434*Assumptions!K$5),-2)</f>
        <v>0</v>
      </c>
      <c r="M1434" s="33">
        <f>ROUNDUP(L1434+(L1434*Assumptions!L$5),-2)</f>
        <v>0</v>
      </c>
      <c r="N1434" s="33">
        <f>ROUNDUP(M1434+(M1434*Assumptions!M$5),-2)</f>
        <v>0</v>
      </c>
      <c r="O1434" s="33">
        <f>ROUNDUP(N1434+(N1434*Assumptions!N$5),-2)</f>
        <v>0</v>
      </c>
      <c r="P1434" s="33">
        <f>ROUNDUP(O1434+(O1434*Assumptions!O$5),-2)</f>
        <v>0</v>
      </c>
      <c r="Q1434" s="33">
        <f>ROUNDUP(P1434+(P1434*Assumptions!P$5),-2)</f>
        <v>0</v>
      </c>
      <c r="R1434" s="114">
        <f>ROUNDUP(Q1434+(Q1434*Assumptions!Q$5),-2)</f>
        <v>0</v>
      </c>
    </row>
    <row r="1435" spans="1:18" x14ac:dyDescent="0.2">
      <c r="A1435" s="107">
        <v>0</v>
      </c>
      <c r="B1435" s="33">
        <v>31600</v>
      </c>
      <c r="C1435" s="189">
        <v>0</v>
      </c>
      <c r="D1435" s="189">
        <v>0</v>
      </c>
      <c r="E1435" s="1092" t="s">
        <v>3423</v>
      </c>
      <c r="F1435" s="953" t="s">
        <v>4212</v>
      </c>
      <c r="G1435" s="198">
        <v>21900</v>
      </c>
      <c r="H1435" s="138">
        <f t="shared" si="1437"/>
        <v>100</v>
      </c>
      <c r="I1435" s="33">
        <v>0</v>
      </c>
      <c r="J1435" s="33">
        <f>ROUNDUP(I1435+(I1435*Assumptions!I$5),-2)</f>
        <v>0</v>
      </c>
      <c r="K1435" s="33">
        <f>ROUNDUP(J1435+(J1435*Assumptions!J$5),-2)</f>
        <v>0</v>
      </c>
      <c r="L1435" s="33">
        <f>ROUNDUP(K1435+(K1435*Assumptions!K$5),-2)</f>
        <v>0</v>
      </c>
      <c r="M1435" s="33">
        <f>ROUNDUP(L1435+(L1435*Assumptions!L$5),-2)</f>
        <v>0</v>
      </c>
      <c r="N1435" s="33">
        <f>ROUNDUP(M1435+(M1435*Assumptions!M$5),-2)</f>
        <v>0</v>
      </c>
      <c r="O1435" s="33">
        <f>ROUNDUP(N1435+(N1435*Assumptions!N$5),-2)</f>
        <v>0</v>
      </c>
      <c r="P1435" s="33">
        <f>ROUNDUP(O1435+(O1435*Assumptions!O$5),-2)</f>
        <v>0</v>
      </c>
      <c r="Q1435" s="33">
        <f>ROUNDUP(P1435+(P1435*Assumptions!P$5),-2)</f>
        <v>0</v>
      </c>
      <c r="R1435" s="114">
        <f>ROUNDUP(Q1435+(Q1435*Assumptions!Q$5),-2)</f>
        <v>0</v>
      </c>
    </row>
    <row r="1436" spans="1:18" x14ac:dyDescent="0.2">
      <c r="A1436" s="107">
        <v>0</v>
      </c>
      <c r="B1436" s="33">
        <v>0</v>
      </c>
      <c r="C1436" s="189">
        <v>0</v>
      </c>
      <c r="D1436" s="189">
        <v>0</v>
      </c>
      <c r="E1436" s="1092" t="s">
        <v>548</v>
      </c>
      <c r="F1436" s="953" t="s">
        <v>5682</v>
      </c>
      <c r="G1436" s="198">
        <f>5800+25100</f>
        <v>30900</v>
      </c>
      <c r="H1436" s="138">
        <f t="shared" si="1437"/>
        <v>100</v>
      </c>
      <c r="I1436" s="33">
        <v>0</v>
      </c>
      <c r="J1436" s="33">
        <f>ROUNDUP(I1436+(I1436*Assumptions!I$5),-2)</f>
        <v>0</v>
      </c>
      <c r="K1436" s="33">
        <f>ROUNDUP(J1436+(J1436*Assumptions!J$5),-2)</f>
        <v>0</v>
      </c>
      <c r="L1436" s="33">
        <f>ROUNDUP(K1436+(K1436*Assumptions!K$5),-2)</f>
        <v>0</v>
      </c>
      <c r="M1436" s="33">
        <f>ROUNDUP(L1436+(L1436*Assumptions!L$5),-2)</f>
        <v>0</v>
      </c>
      <c r="N1436" s="33">
        <f>ROUNDUP(M1436+(M1436*Assumptions!M$5),-2)</f>
        <v>0</v>
      </c>
      <c r="O1436" s="33">
        <f>ROUNDUP(N1436+(N1436*Assumptions!N$5),-2)</f>
        <v>0</v>
      </c>
      <c r="P1436" s="33">
        <f>ROUNDUP(O1436+(O1436*Assumptions!O$5),-2)</f>
        <v>0</v>
      </c>
      <c r="Q1436" s="33">
        <f>ROUNDUP(P1436+(P1436*Assumptions!P$5),-2)</f>
        <v>0</v>
      </c>
      <c r="R1436" s="114">
        <f>ROUNDUP(Q1436+(Q1436*Assumptions!Q$5),-2)</f>
        <v>0</v>
      </c>
    </row>
    <row r="1437" spans="1:18" x14ac:dyDescent="0.2">
      <c r="A1437" s="107">
        <v>0</v>
      </c>
      <c r="B1437" s="33">
        <v>0</v>
      </c>
      <c r="C1437" s="189">
        <v>2400</v>
      </c>
      <c r="D1437" s="189">
        <v>0</v>
      </c>
      <c r="E1437" s="658" t="s">
        <v>65</v>
      </c>
      <c r="F1437" s="528" t="s">
        <v>1983</v>
      </c>
      <c r="G1437" s="198">
        <f>32100-30900</f>
        <v>1200</v>
      </c>
      <c r="H1437" s="138">
        <f t="shared" si="1437"/>
        <v>100</v>
      </c>
      <c r="I1437" s="33">
        <v>0</v>
      </c>
      <c r="J1437" s="33">
        <f>ROUNDUP(I1437+(I1437*Assumptions!I$5),-2)</f>
        <v>0</v>
      </c>
      <c r="K1437" s="33">
        <f>ROUNDUP(J1437+(J1437*Assumptions!J$5),-2)</f>
        <v>0</v>
      </c>
      <c r="L1437" s="33">
        <f>ROUNDUP(K1437+(K1437*Assumptions!K$5),-2)</f>
        <v>0</v>
      </c>
      <c r="M1437" s="33">
        <f>ROUNDUP(L1437+(L1437*Assumptions!L$5),-2)</f>
        <v>0</v>
      </c>
      <c r="N1437" s="33">
        <f>ROUNDUP(M1437+(M1437*Assumptions!M$5),-2)</f>
        <v>0</v>
      </c>
      <c r="O1437" s="33">
        <f>ROUNDUP(N1437+(N1437*Assumptions!N$5),-2)</f>
        <v>0</v>
      </c>
      <c r="P1437" s="33">
        <f>ROUNDUP(O1437+(O1437*Assumptions!O$5),-2)</f>
        <v>0</v>
      </c>
      <c r="Q1437" s="33">
        <f>ROUNDUP(P1437+(P1437*Assumptions!P$5),-2)</f>
        <v>0</v>
      </c>
      <c r="R1437" s="114">
        <f>ROUNDUP(Q1437+(Q1437*Assumptions!Q$5),-2)</f>
        <v>0</v>
      </c>
    </row>
    <row r="1438" spans="1:18" x14ac:dyDescent="0.2">
      <c r="A1438" s="107">
        <f>26000+4300</f>
        <v>30300</v>
      </c>
      <c r="B1438" s="33">
        <v>200</v>
      </c>
      <c r="C1438" s="189">
        <v>6600</v>
      </c>
      <c r="D1438" s="189">
        <f>10500+3500+10300+1200</f>
        <v>25500</v>
      </c>
      <c r="E1438" s="658" t="s">
        <v>787</v>
      </c>
      <c r="F1438" s="953" t="s">
        <v>6902</v>
      </c>
      <c r="G1438" s="198">
        <v>0</v>
      </c>
      <c r="H1438" s="138">
        <f t="shared" si="1437"/>
        <v>-100</v>
      </c>
      <c r="I1438" s="33">
        <f>ROUNDUP(G1438+(G1438*Assumptions!H$5),-2)</f>
        <v>0</v>
      </c>
      <c r="J1438" s="33">
        <f>ROUNDUP(I1438+(I1438*Assumptions!I$5),-2)</f>
        <v>0</v>
      </c>
      <c r="K1438" s="33">
        <f>ROUNDUP(J1438+(J1438*Assumptions!J$5),-2)</f>
        <v>0</v>
      </c>
      <c r="L1438" s="33">
        <f>ROUNDUP(K1438+(K1438*Assumptions!K$5),-2)</f>
        <v>0</v>
      </c>
      <c r="M1438" s="33">
        <f>ROUNDUP(L1438+(L1438*Assumptions!L$5),-2)</f>
        <v>0</v>
      </c>
      <c r="N1438" s="33">
        <f>ROUNDUP(M1438+(M1438*Assumptions!M$5),-2)</f>
        <v>0</v>
      </c>
      <c r="O1438" s="33">
        <f>ROUNDUP(N1438+(N1438*Assumptions!N$5),-2)</f>
        <v>0</v>
      </c>
      <c r="P1438" s="33">
        <f>ROUNDUP(O1438+(O1438*Assumptions!O$5),-2)</f>
        <v>0</v>
      </c>
      <c r="Q1438" s="33">
        <f>ROUNDUP(P1438+(P1438*Assumptions!P$5),-2)</f>
        <v>0</v>
      </c>
      <c r="R1438" s="114">
        <f>ROUNDUP(Q1438+(Q1438*Assumptions!Q$5),-2)</f>
        <v>0</v>
      </c>
    </row>
    <row r="1439" spans="1:18" x14ac:dyDescent="0.2">
      <c r="A1439" s="107">
        <v>42100</v>
      </c>
      <c r="B1439" s="33">
        <v>32100</v>
      </c>
      <c r="C1439" s="189">
        <v>-2200</v>
      </c>
      <c r="D1439" s="189">
        <v>0</v>
      </c>
      <c r="E1439" s="658" t="s">
        <v>2847</v>
      </c>
      <c r="F1439" s="528" t="s">
        <v>1163</v>
      </c>
      <c r="G1439" s="198">
        <v>0</v>
      </c>
      <c r="H1439" s="138">
        <f t="shared" si="1437"/>
        <v>0</v>
      </c>
      <c r="I1439" s="33">
        <f>ROUNDUP(G1439+(G1439*Assumptions!H$5),-2)</f>
        <v>0</v>
      </c>
      <c r="J1439" s="33">
        <f>ROUNDUP(I1439+(I1439*Assumptions!I$5),-2)</f>
        <v>0</v>
      </c>
      <c r="K1439" s="33">
        <f>ROUNDUP(J1439+(J1439*Assumptions!J$5),-2)</f>
        <v>0</v>
      </c>
      <c r="L1439" s="33">
        <f>ROUNDUP(K1439+(K1439*Assumptions!K$5),-2)</f>
        <v>0</v>
      </c>
      <c r="M1439" s="33">
        <f>ROUNDUP(L1439+(L1439*Assumptions!L$5),-2)</f>
        <v>0</v>
      </c>
      <c r="N1439" s="33">
        <f>ROUNDUP(M1439+(M1439*Assumptions!M$5),-2)</f>
        <v>0</v>
      </c>
      <c r="O1439" s="33">
        <f>ROUNDUP(N1439+(N1439*Assumptions!N$5),-2)</f>
        <v>0</v>
      </c>
      <c r="P1439" s="33">
        <f>ROUNDUP(O1439+(O1439*Assumptions!O$5),-2)</f>
        <v>0</v>
      </c>
      <c r="Q1439" s="33">
        <f>ROUNDUP(P1439+(P1439*Assumptions!P$5),-2)</f>
        <v>0</v>
      </c>
      <c r="R1439" s="114">
        <f>ROUNDUP(Q1439+(Q1439*Assumptions!Q$5),-2)</f>
        <v>0</v>
      </c>
    </row>
    <row r="1440" spans="1:18" x14ac:dyDescent="0.2">
      <c r="A1440" s="107">
        <v>0</v>
      </c>
      <c r="B1440" s="33">
        <v>71400</v>
      </c>
      <c r="C1440" s="189">
        <v>51700</v>
      </c>
      <c r="D1440" s="189">
        <v>0</v>
      </c>
      <c r="E1440" s="658" t="s">
        <v>788</v>
      </c>
      <c r="F1440" s="528" t="s">
        <v>789</v>
      </c>
      <c r="G1440" s="198">
        <v>0</v>
      </c>
      <c r="H1440" s="138">
        <f t="shared" si="1437"/>
        <v>0</v>
      </c>
      <c r="I1440" s="33">
        <f>ROUNDUP(G1440+(G1440*Assumptions!H$5),-2)</f>
        <v>0</v>
      </c>
      <c r="J1440" s="33">
        <f>ROUNDUP(I1440+(I1440*Assumptions!I$5),-2)</f>
        <v>0</v>
      </c>
      <c r="K1440" s="33">
        <f>ROUNDUP(J1440+(J1440*Assumptions!J$5),-2)</f>
        <v>0</v>
      </c>
      <c r="L1440" s="33">
        <f>ROUNDUP(K1440+(K1440*Assumptions!K$5),-2)</f>
        <v>0</v>
      </c>
      <c r="M1440" s="33">
        <f>ROUNDUP(L1440+(L1440*Assumptions!L$5),-2)</f>
        <v>0</v>
      </c>
      <c r="N1440" s="33">
        <f>ROUNDUP(M1440+(M1440*Assumptions!M$5),-2)</f>
        <v>0</v>
      </c>
      <c r="O1440" s="33">
        <f>ROUNDUP(N1440+(N1440*Assumptions!N$5),-2)</f>
        <v>0</v>
      </c>
      <c r="P1440" s="33">
        <f>ROUNDUP(O1440+(O1440*Assumptions!O$5),-2)</f>
        <v>0</v>
      </c>
      <c r="Q1440" s="33">
        <f>ROUNDUP(P1440+(P1440*Assumptions!P$5),-2)</f>
        <v>0</v>
      </c>
      <c r="R1440" s="114">
        <f>ROUNDUP(Q1440+(Q1440*Assumptions!Q$5),-2)</f>
        <v>0</v>
      </c>
    </row>
    <row r="1441" spans="1:18" x14ac:dyDescent="0.2">
      <c r="A1441" s="107">
        <v>6600</v>
      </c>
      <c r="B1441" s="33">
        <v>38400</v>
      </c>
      <c r="C1441" s="189">
        <v>1000</v>
      </c>
      <c r="D1441" s="189">
        <v>4600</v>
      </c>
      <c r="E1441" s="658" t="s">
        <v>3025</v>
      </c>
      <c r="F1441" s="528" t="s">
        <v>1874</v>
      </c>
      <c r="G1441" s="198">
        <v>15900</v>
      </c>
      <c r="H1441" s="138">
        <f t="shared" si="1437"/>
        <v>245.65217391304347</v>
      </c>
      <c r="I1441" s="33">
        <v>0</v>
      </c>
      <c r="J1441" s="33">
        <f>ROUNDUP(I1441+(I1441*Assumptions!I$5),-2)</f>
        <v>0</v>
      </c>
      <c r="K1441" s="33">
        <f>ROUNDUP(J1441+(J1441*Assumptions!J$5),-2)</f>
        <v>0</v>
      </c>
      <c r="L1441" s="33">
        <f>ROUNDUP(K1441+(K1441*Assumptions!K$5),-2)</f>
        <v>0</v>
      </c>
      <c r="M1441" s="33">
        <f>ROUNDUP(L1441+(L1441*Assumptions!L$5),-2)</f>
        <v>0</v>
      </c>
      <c r="N1441" s="33">
        <f>ROUNDUP(M1441+(M1441*Assumptions!M$5),-2)</f>
        <v>0</v>
      </c>
      <c r="O1441" s="33">
        <f>ROUNDUP(N1441+(N1441*Assumptions!N$5),-2)</f>
        <v>0</v>
      </c>
      <c r="P1441" s="33">
        <f>ROUNDUP(O1441+(O1441*Assumptions!O$5),-2)</f>
        <v>0</v>
      </c>
      <c r="Q1441" s="33">
        <f>ROUNDUP(P1441+(P1441*Assumptions!P$5),-2)</f>
        <v>0</v>
      </c>
      <c r="R1441" s="114">
        <f>ROUNDUP(Q1441+(Q1441*Assumptions!Q$5),-2)</f>
        <v>0</v>
      </c>
    </row>
    <row r="1442" spans="1:18" x14ac:dyDescent="0.2">
      <c r="A1442" s="107">
        <v>0</v>
      </c>
      <c r="B1442" s="33">
        <v>0</v>
      </c>
      <c r="C1442" s="189">
        <v>17500</v>
      </c>
      <c r="D1442" s="189">
        <f>20500+5000</f>
        <v>25500</v>
      </c>
      <c r="E1442" s="658" t="s">
        <v>4271</v>
      </c>
      <c r="F1442" s="528" t="s">
        <v>4270</v>
      </c>
      <c r="G1442" s="198">
        <v>0</v>
      </c>
      <c r="H1442" s="138">
        <f t="shared" si="1437"/>
        <v>-100</v>
      </c>
      <c r="I1442" s="33">
        <f>ROUNDUP(G1442+(G1442*Assumptions!H$5),-2)</f>
        <v>0</v>
      </c>
      <c r="J1442" s="33">
        <f>ROUNDUP(I1442+(I1442*Assumptions!I$5),-2)</f>
        <v>0</v>
      </c>
      <c r="K1442" s="33">
        <f>ROUNDUP(J1442+(J1442*Assumptions!J$5),-2)</f>
        <v>0</v>
      </c>
      <c r="L1442" s="33">
        <f>ROUNDUP(K1442+(K1442*Assumptions!K$5),-2)</f>
        <v>0</v>
      </c>
      <c r="M1442" s="33">
        <f>ROUNDUP(L1442+(L1442*Assumptions!L$5),-2)</f>
        <v>0</v>
      </c>
      <c r="N1442" s="33">
        <f>ROUNDUP(M1442+(M1442*Assumptions!M$5),-2)</f>
        <v>0</v>
      </c>
      <c r="O1442" s="33">
        <f>ROUNDUP(N1442+(N1442*Assumptions!N$5),-2)</f>
        <v>0</v>
      </c>
      <c r="P1442" s="33">
        <f>ROUNDUP(O1442+(O1442*Assumptions!O$5),-2)</f>
        <v>0</v>
      </c>
      <c r="Q1442" s="33">
        <f>ROUNDUP(P1442+(P1442*Assumptions!P$5),-2)</f>
        <v>0</v>
      </c>
      <c r="R1442" s="114">
        <f>ROUNDUP(Q1442+(Q1442*Assumptions!Q$5),-2)</f>
        <v>0</v>
      </c>
    </row>
    <row r="1443" spans="1:18" x14ac:dyDescent="0.2">
      <c r="A1443" s="107">
        <v>0</v>
      </c>
      <c r="B1443" s="33">
        <v>0</v>
      </c>
      <c r="C1443" s="189">
        <v>0</v>
      </c>
      <c r="D1443" s="189">
        <f>104000-52000+52000</f>
        <v>104000</v>
      </c>
      <c r="E1443" s="1092" t="s">
        <v>5519</v>
      </c>
      <c r="F1443" s="953" t="s">
        <v>5520</v>
      </c>
      <c r="G1443" s="198">
        <v>0</v>
      </c>
      <c r="H1443" s="138">
        <f t="shared" si="1437"/>
        <v>-100</v>
      </c>
      <c r="I1443" s="33">
        <f>ROUNDUP(G1443+(G1443*Assumptions!H$5),-2)</f>
        <v>0</v>
      </c>
      <c r="J1443" s="33">
        <f>ROUNDUP(I1443+(I1443*Assumptions!I$5),-2)</f>
        <v>0</v>
      </c>
      <c r="K1443" s="33">
        <f>ROUNDUP(J1443+(J1443*Assumptions!J$5),-2)</f>
        <v>0</v>
      </c>
      <c r="L1443" s="33">
        <f>ROUNDUP(K1443+(K1443*Assumptions!K$5),-2)</f>
        <v>0</v>
      </c>
      <c r="M1443" s="33">
        <f>ROUNDUP(L1443+(L1443*Assumptions!L$5),-2)</f>
        <v>0</v>
      </c>
      <c r="N1443" s="33">
        <f>ROUNDUP(M1443+(M1443*Assumptions!M$5),-2)</f>
        <v>0</v>
      </c>
      <c r="O1443" s="33">
        <f>ROUNDUP(N1443+(N1443*Assumptions!N$5),-2)</f>
        <v>0</v>
      </c>
      <c r="P1443" s="33">
        <f>ROUNDUP(O1443+(O1443*Assumptions!O$5),-2)</f>
        <v>0</v>
      </c>
      <c r="Q1443" s="33">
        <f>ROUNDUP(P1443+(P1443*Assumptions!P$5),-2)</f>
        <v>0</v>
      </c>
      <c r="R1443" s="114">
        <f>ROUNDUP(Q1443+(Q1443*Assumptions!Q$5),-2)</f>
        <v>0</v>
      </c>
    </row>
    <row r="1444" spans="1:18" x14ac:dyDescent="0.2">
      <c r="A1444" s="107">
        <v>0</v>
      </c>
      <c r="B1444" s="33">
        <v>0</v>
      </c>
      <c r="C1444" s="189">
        <v>0</v>
      </c>
      <c r="D1444" s="189">
        <v>58900</v>
      </c>
      <c r="E1444" s="1092" t="s">
        <v>6559</v>
      </c>
      <c r="F1444" s="953" t="s">
        <v>5595</v>
      </c>
      <c r="G1444" s="198">
        <f>49000-27100-16100</f>
        <v>5800</v>
      </c>
      <c r="H1444" s="138">
        <f t="shared" si="1437"/>
        <v>-90.152801358234285</v>
      </c>
      <c r="I1444" s="33">
        <v>0</v>
      </c>
      <c r="J1444" s="33">
        <f>ROUNDUP(I1444+(I1444*Assumptions!I$5),-2)</f>
        <v>0</v>
      </c>
      <c r="K1444" s="33">
        <f>ROUNDUP(J1444+(J1444*Assumptions!J$5),-2)</f>
        <v>0</v>
      </c>
      <c r="L1444" s="33">
        <f>ROUNDUP(K1444+(K1444*Assumptions!K$5),-2)</f>
        <v>0</v>
      </c>
      <c r="M1444" s="33">
        <f>ROUNDUP(L1444+(L1444*Assumptions!L$5),-2)</f>
        <v>0</v>
      </c>
      <c r="N1444" s="33">
        <f>ROUNDUP(M1444+(M1444*Assumptions!M$5),-2)</f>
        <v>0</v>
      </c>
      <c r="O1444" s="33">
        <f>ROUNDUP(N1444+(N1444*Assumptions!N$5),-2)</f>
        <v>0</v>
      </c>
      <c r="P1444" s="33">
        <f>ROUNDUP(O1444+(O1444*Assumptions!O$5),-2)</f>
        <v>0</v>
      </c>
      <c r="Q1444" s="33">
        <f>ROUNDUP(P1444+(P1444*Assumptions!P$5),-2)</f>
        <v>0</v>
      </c>
      <c r="R1444" s="114">
        <f>ROUNDUP(Q1444+(Q1444*Assumptions!Q$5),-2)</f>
        <v>0</v>
      </c>
    </row>
    <row r="1445" spans="1:18" x14ac:dyDescent="0.2">
      <c r="A1445" s="107">
        <v>0</v>
      </c>
      <c r="B1445" s="33">
        <v>0</v>
      </c>
      <c r="C1445" s="189">
        <v>0</v>
      </c>
      <c r="D1445" s="189">
        <v>3800</v>
      </c>
      <c r="E1445" s="1092" t="s">
        <v>5671</v>
      </c>
      <c r="F1445" s="953" t="s">
        <v>5670</v>
      </c>
      <c r="G1445" s="198">
        <v>20200</v>
      </c>
      <c r="H1445" s="138">
        <f t="shared" si="1437"/>
        <v>431.57894736842104</v>
      </c>
      <c r="I1445" s="33">
        <v>0</v>
      </c>
      <c r="J1445" s="33">
        <f>ROUNDUP(I1445+(I1445*Assumptions!I$5),-2)</f>
        <v>0</v>
      </c>
      <c r="K1445" s="33">
        <f>ROUNDUP(J1445+(J1445*Assumptions!J$5),-2)</f>
        <v>0</v>
      </c>
      <c r="L1445" s="33">
        <f>ROUNDUP(K1445+(K1445*Assumptions!K$5),-2)</f>
        <v>0</v>
      </c>
      <c r="M1445" s="33">
        <f>ROUNDUP(L1445+(L1445*Assumptions!L$5),-2)</f>
        <v>0</v>
      </c>
      <c r="N1445" s="33">
        <f>ROUNDUP(M1445+(M1445*Assumptions!M$5),-2)</f>
        <v>0</v>
      </c>
      <c r="O1445" s="33">
        <f>ROUNDUP(N1445+(N1445*Assumptions!N$5),-2)</f>
        <v>0</v>
      </c>
      <c r="P1445" s="33">
        <f>ROUNDUP(O1445+(O1445*Assumptions!O$5),-2)</f>
        <v>0</v>
      </c>
      <c r="Q1445" s="33">
        <f>ROUNDUP(P1445+(P1445*Assumptions!P$5),-2)</f>
        <v>0</v>
      </c>
      <c r="R1445" s="114">
        <f>ROUNDUP(Q1445+(Q1445*Assumptions!Q$5),-2)</f>
        <v>0</v>
      </c>
    </row>
    <row r="1446" spans="1:18" x14ac:dyDescent="0.2">
      <c r="A1446" s="107">
        <v>0</v>
      </c>
      <c r="B1446" s="33">
        <v>0</v>
      </c>
      <c r="C1446" s="189">
        <v>0</v>
      </c>
      <c r="D1446" s="189">
        <v>0</v>
      </c>
      <c r="E1446" s="1092" t="s">
        <v>6621</v>
      </c>
      <c r="F1446" s="132" t="s">
        <v>6839</v>
      </c>
      <c r="G1446" s="198">
        <f>7000+13000</f>
        <v>20000</v>
      </c>
      <c r="H1446" s="138">
        <f t="shared" si="1437"/>
        <v>100</v>
      </c>
      <c r="I1446" s="33">
        <v>0</v>
      </c>
      <c r="J1446" s="33">
        <v>0</v>
      </c>
      <c r="K1446" s="33">
        <v>0</v>
      </c>
      <c r="L1446" s="33">
        <v>0</v>
      </c>
      <c r="M1446" s="33">
        <v>0</v>
      </c>
      <c r="N1446" s="33">
        <v>0</v>
      </c>
      <c r="O1446" s="33">
        <v>0</v>
      </c>
      <c r="P1446" s="33">
        <v>0</v>
      </c>
      <c r="Q1446" s="33">
        <v>0</v>
      </c>
      <c r="R1446" s="114">
        <v>0</v>
      </c>
    </row>
    <row r="1447" spans="1:18" x14ac:dyDescent="0.2">
      <c r="A1447" s="107">
        <v>0</v>
      </c>
      <c r="B1447" s="33">
        <v>0</v>
      </c>
      <c r="C1447" s="189">
        <v>0</v>
      </c>
      <c r="D1447" s="189">
        <v>0</v>
      </c>
      <c r="E1447" s="1092" t="s">
        <v>6869</v>
      </c>
      <c r="F1447" s="132" t="s">
        <v>6868</v>
      </c>
      <c r="G1447" s="198">
        <v>5000</v>
      </c>
      <c r="H1447" s="138">
        <f t="shared" si="1437"/>
        <v>100</v>
      </c>
      <c r="I1447" s="33">
        <v>0</v>
      </c>
      <c r="J1447" s="33">
        <v>0</v>
      </c>
      <c r="K1447" s="33">
        <v>0</v>
      </c>
      <c r="L1447" s="33">
        <v>0</v>
      </c>
      <c r="M1447" s="33">
        <v>0</v>
      </c>
      <c r="N1447" s="33">
        <v>0</v>
      </c>
      <c r="O1447" s="33">
        <v>0</v>
      </c>
      <c r="P1447" s="33">
        <v>0</v>
      </c>
      <c r="Q1447" s="33">
        <v>0</v>
      </c>
      <c r="R1447" s="114">
        <v>0</v>
      </c>
    </row>
    <row r="1448" spans="1:18" ht="13.5" thickBot="1" x14ac:dyDescent="0.25">
      <c r="A1448" s="107"/>
      <c r="B1448" s="33"/>
      <c r="C1448" s="187"/>
      <c r="D1448" s="187"/>
      <c r="E1448" s="658"/>
      <c r="F1448" s="528"/>
      <c r="G1448" s="198"/>
      <c r="H1448" s="138"/>
      <c r="I1448" s="33"/>
      <c r="J1448" s="33"/>
      <c r="K1448" s="33"/>
      <c r="L1448" s="33"/>
      <c r="M1448" s="33"/>
      <c r="N1448" s="33"/>
      <c r="O1448" s="33"/>
      <c r="P1448" s="33"/>
      <c r="Q1448" s="33"/>
      <c r="R1448" s="114"/>
    </row>
    <row r="1449" spans="1:18" s="92" customFormat="1" x14ac:dyDescent="0.2">
      <c r="A1449" s="105">
        <f>SUM(A1394:A1448)</f>
        <v>271400</v>
      </c>
      <c r="B1449" s="53">
        <f>SUM(B1394:B1448)</f>
        <v>402500</v>
      </c>
      <c r="C1449" s="190">
        <f>SUM(C1394:C1448)</f>
        <v>357400</v>
      </c>
      <c r="D1449" s="190">
        <f>SUM(D1394:D1448)</f>
        <v>509300</v>
      </c>
      <c r="E1449" s="237"/>
      <c r="F1449" s="378" t="s">
        <v>565</v>
      </c>
      <c r="G1449" s="2550">
        <f>SUM(G1394:G1448)</f>
        <v>426000</v>
      </c>
      <c r="H1449" s="180">
        <f>IF(D1449=G1449,0,IF(D1449=0,100,(G1449-D1449)/D1449*100))</f>
        <v>-16.355782446495191</v>
      </c>
      <c r="I1449" s="53">
        <f t="shared" ref="I1449:Q1449" si="1438">SUM(I1394:I1448)</f>
        <v>248300</v>
      </c>
      <c r="J1449" s="53">
        <f t="shared" si="1438"/>
        <v>256000</v>
      </c>
      <c r="K1449" s="53">
        <f t="shared" si="1438"/>
        <v>263800</v>
      </c>
      <c r="L1449" s="53">
        <f t="shared" si="1438"/>
        <v>271600</v>
      </c>
      <c r="M1449" s="53">
        <f t="shared" si="1438"/>
        <v>278500</v>
      </c>
      <c r="N1449" s="53">
        <f t="shared" si="1438"/>
        <v>285500</v>
      </c>
      <c r="O1449" s="53">
        <f t="shared" si="1438"/>
        <v>292500</v>
      </c>
      <c r="P1449" s="53">
        <f t="shared" si="1438"/>
        <v>299600</v>
      </c>
      <c r="Q1449" s="53">
        <f t="shared" si="1438"/>
        <v>306900</v>
      </c>
      <c r="R1449" s="113">
        <f t="shared" ref="R1449" si="1439">SUM(R1394:R1448)</f>
        <v>314400</v>
      </c>
    </row>
    <row r="1450" spans="1:18" x14ac:dyDescent="0.2">
      <c r="A1450" s="107"/>
      <c r="B1450" s="33"/>
      <c r="E1450" s="1955"/>
      <c r="F1450" s="366"/>
      <c r="G1450" s="2509"/>
      <c r="H1450" s="138"/>
      <c r="I1450" s="33"/>
      <c r="J1450" s="33"/>
      <c r="K1450" s="33"/>
      <c r="L1450" s="33"/>
      <c r="M1450" s="33"/>
      <c r="N1450" s="33"/>
      <c r="O1450" s="33"/>
      <c r="P1450" s="33"/>
      <c r="Q1450" s="33"/>
      <c r="R1450" s="114"/>
    </row>
    <row r="1451" spans="1:18" s="92" customFormat="1" x14ac:dyDescent="0.2">
      <c r="A1451" s="70">
        <f>A1392-A1449</f>
        <v>-119700</v>
      </c>
      <c r="B1451" s="64">
        <f>B1392-B1449</f>
        <v>-266000</v>
      </c>
      <c r="C1451" s="193">
        <f>C1392-C1449</f>
        <v>-262300</v>
      </c>
      <c r="D1451" s="193">
        <f>D1392-D1449</f>
        <v>-350600</v>
      </c>
      <c r="E1451" s="237"/>
      <c r="F1451" s="371" t="s">
        <v>1019</v>
      </c>
      <c r="G1451" s="2511">
        <f>G1392-G1449</f>
        <v>-396000</v>
      </c>
      <c r="H1451" s="179">
        <f>IF(D1451=G1451,0,IF(D1451=0,100,(G1451-D1451)/D1451*100))</f>
        <v>12.949229891614374</v>
      </c>
      <c r="I1451" s="64">
        <f t="shared" ref="I1451:Q1451" si="1440">I1392-I1449</f>
        <v>-243200</v>
      </c>
      <c r="J1451" s="64">
        <f t="shared" si="1440"/>
        <v>-250700</v>
      </c>
      <c r="K1451" s="64">
        <f t="shared" si="1440"/>
        <v>-258300</v>
      </c>
      <c r="L1451" s="64">
        <f t="shared" si="1440"/>
        <v>-265900</v>
      </c>
      <c r="M1451" s="64">
        <f t="shared" si="1440"/>
        <v>-272600</v>
      </c>
      <c r="N1451" s="64">
        <f t="shared" si="1440"/>
        <v>-279400</v>
      </c>
      <c r="O1451" s="64">
        <f t="shared" si="1440"/>
        <v>-286200</v>
      </c>
      <c r="P1451" s="64">
        <f t="shared" si="1440"/>
        <v>-293100</v>
      </c>
      <c r="Q1451" s="64">
        <f t="shared" si="1440"/>
        <v>-300200</v>
      </c>
      <c r="R1451" s="115">
        <f t="shared" ref="R1451" si="1441">R1392-R1449</f>
        <v>-307500</v>
      </c>
    </row>
    <row r="1452" spans="1:18" x14ac:dyDescent="0.2">
      <c r="A1452" s="107">
        <v>0</v>
      </c>
      <c r="B1452" s="33">
        <v>0</v>
      </c>
      <c r="C1452" s="189">
        <v>0</v>
      </c>
      <c r="D1452" s="189">
        <v>0</v>
      </c>
      <c r="E1452" s="1955"/>
      <c r="F1452" s="372" t="s">
        <v>1976</v>
      </c>
      <c r="G1452" s="2509">
        <v>0</v>
      </c>
      <c r="H1452" s="138">
        <f>IF(D1452=G1452,0,IF(D1452=0,100,(G1452-D1452)/D1452*100))</f>
        <v>0</v>
      </c>
      <c r="I1452" s="187">
        <v>0</v>
      </c>
      <c r="J1452" s="187">
        <v>0</v>
      </c>
      <c r="K1452" s="187">
        <v>0</v>
      </c>
      <c r="L1452" s="187">
        <v>0</v>
      </c>
      <c r="M1452" s="187">
        <v>0</v>
      </c>
      <c r="N1452" s="187">
        <v>0</v>
      </c>
      <c r="O1452" s="455">
        <v>0</v>
      </c>
      <c r="P1452" s="455">
        <v>0</v>
      </c>
      <c r="Q1452" s="455">
        <v>0</v>
      </c>
      <c r="R1452" s="761">
        <v>0</v>
      </c>
    </row>
    <row r="1453" spans="1:18" s="92" customFormat="1" x14ac:dyDescent="0.2">
      <c r="A1453" s="181">
        <f>A1451+A1452</f>
        <v>-119700</v>
      </c>
      <c r="B1453" s="397">
        <f>B1451+B1452</f>
        <v>-266000</v>
      </c>
      <c r="C1453" s="398">
        <f>C1451+C1452</f>
        <v>-262300</v>
      </c>
      <c r="D1453" s="398">
        <f>D1451+D1452</f>
        <v>-350600</v>
      </c>
      <c r="E1453" s="523"/>
      <c r="F1453" s="518" t="s">
        <v>1687</v>
      </c>
      <c r="G1453" s="2607">
        <f t="shared" ref="G1453:O1453" si="1442">G1451+G1452</f>
        <v>-396000</v>
      </c>
      <c r="H1453" s="395">
        <f>IF(D1453=G1453,0,IF(D1453=0,100,(G1453-D1453)/D1453*100))</f>
        <v>12.949229891614374</v>
      </c>
      <c r="I1453" s="728">
        <f t="shared" si="1442"/>
        <v>-243200</v>
      </c>
      <c r="J1453" s="728">
        <f t="shared" si="1442"/>
        <v>-250700</v>
      </c>
      <c r="K1453" s="728">
        <f t="shared" si="1442"/>
        <v>-258300</v>
      </c>
      <c r="L1453" s="728">
        <f t="shared" si="1442"/>
        <v>-265900</v>
      </c>
      <c r="M1453" s="728">
        <f t="shared" si="1442"/>
        <v>-272600</v>
      </c>
      <c r="N1453" s="728">
        <f t="shared" si="1442"/>
        <v>-279400</v>
      </c>
      <c r="O1453" s="64">
        <f t="shared" si="1442"/>
        <v>-286200</v>
      </c>
      <c r="P1453" s="64">
        <f t="shared" ref="P1453:Q1453" si="1443">P1451+P1452</f>
        <v>-293100</v>
      </c>
      <c r="Q1453" s="64">
        <f t="shared" si="1443"/>
        <v>-300200</v>
      </c>
      <c r="R1453" s="115">
        <f t="shared" ref="R1453" si="1444">R1451+R1452</f>
        <v>-307500</v>
      </c>
    </row>
    <row r="1454" spans="1:18" ht="13.5" thickBot="1" x14ac:dyDescent="0.25">
      <c r="A1454" s="751"/>
      <c r="B1454" s="64"/>
      <c r="C1454" s="193"/>
      <c r="D1454" s="192"/>
      <c r="E1454" s="1954"/>
      <c r="F1454" s="371"/>
      <c r="G1454" s="2511"/>
      <c r="H1454" s="179"/>
      <c r="I1454" s="33"/>
      <c r="J1454" s="33"/>
      <c r="K1454" s="33"/>
      <c r="L1454" s="33"/>
      <c r="M1454" s="33"/>
      <c r="N1454" s="33"/>
      <c r="O1454" s="33"/>
      <c r="P1454" s="33"/>
      <c r="Q1454" s="33"/>
      <c r="R1454" s="114"/>
    </row>
    <row r="1455" spans="1:18" x14ac:dyDescent="0.2">
      <c r="A1455" s="105"/>
      <c r="B1455" s="155"/>
      <c r="C1455" s="190"/>
      <c r="D1455" s="190"/>
      <c r="E1455" s="1819"/>
      <c r="F1455" s="373"/>
      <c r="G1455" s="2550"/>
      <c r="H1455" s="180"/>
      <c r="I1455" s="169"/>
      <c r="J1455" s="169"/>
      <c r="K1455" s="169"/>
      <c r="L1455" s="169"/>
      <c r="M1455" s="169"/>
      <c r="N1455" s="169"/>
      <c r="O1455" s="169"/>
      <c r="P1455" s="169"/>
      <c r="Q1455" s="169"/>
      <c r="R1455" s="1717"/>
    </row>
    <row r="1456" spans="1:18" x14ac:dyDescent="0.2">
      <c r="A1456" s="70"/>
      <c r="B1456" s="128"/>
      <c r="C1456" s="193"/>
      <c r="D1456" s="193"/>
      <c r="E1456" s="238"/>
      <c r="F1456" s="516" t="s">
        <v>196</v>
      </c>
      <c r="G1456" s="197"/>
      <c r="H1456" s="179"/>
      <c r="I1456" s="33"/>
      <c r="J1456" s="33"/>
      <c r="K1456" s="33"/>
      <c r="L1456" s="33"/>
      <c r="M1456" s="33"/>
      <c r="N1456" s="33"/>
      <c r="O1456" s="33"/>
      <c r="P1456" s="33"/>
      <c r="Q1456" s="33"/>
      <c r="R1456" s="114"/>
    </row>
    <row r="1457" spans="1:18" x14ac:dyDescent="0.2">
      <c r="A1457" s="107">
        <v>0</v>
      </c>
      <c r="B1457" s="142">
        <v>0</v>
      </c>
      <c r="C1457" s="189">
        <v>0</v>
      </c>
      <c r="D1457" s="189">
        <v>0</v>
      </c>
      <c r="E1457" s="238"/>
      <c r="F1457" s="366" t="s">
        <v>2900</v>
      </c>
      <c r="G1457" s="198">
        <v>0</v>
      </c>
      <c r="H1457" s="138"/>
      <c r="I1457" s="33">
        <v>0</v>
      </c>
      <c r="J1457" s="33">
        <v>0</v>
      </c>
      <c r="K1457" s="33">
        <v>0</v>
      </c>
      <c r="L1457" s="33">
        <v>0</v>
      </c>
      <c r="M1457" s="33">
        <v>0</v>
      </c>
      <c r="N1457" s="33">
        <v>0</v>
      </c>
      <c r="O1457" s="33">
        <v>0</v>
      </c>
      <c r="P1457" s="33">
        <v>0</v>
      </c>
      <c r="Q1457" s="33">
        <v>0</v>
      </c>
      <c r="R1457" s="114">
        <v>0</v>
      </c>
    </row>
    <row r="1458" spans="1:18" x14ac:dyDescent="0.2">
      <c r="A1458" s="107">
        <v>254700</v>
      </c>
      <c r="B1458" s="142">
        <v>205700</v>
      </c>
      <c r="C1458" s="189">
        <v>178000</v>
      </c>
      <c r="D1458" s="189">
        <f>SUM('Res-Gen'!B209)</f>
        <v>158900</v>
      </c>
      <c r="E1458" s="238"/>
      <c r="F1458" s="366" t="s">
        <v>1942</v>
      </c>
      <c r="G1458" s="198">
        <f>SUM('Res-Gen'!E209)</f>
        <v>0</v>
      </c>
      <c r="H1458" s="138"/>
      <c r="I1458" s="33">
        <f>SUM('Res-Gen'!H209)</f>
        <v>0</v>
      </c>
      <c r="J1458" s="33">
        <f>SUM('Res-Gen'!K209)</f>
        <v>0</v>
      </c>
      <c r="K1458" s="33">
        <f>SUM('Res-Gen'!N209)</f>
        <v>0</v>
      </c>
      <c r="L1458" s="33">
        <f>SUM('Res-Gen'!Q209)</f>
        <v>0</v>
      </c>
      <c r="M1458" s="33">
        <f>SUM('Res-Gen'!T209)</f>
        <v>0</v>
      </c>
      <c r="N1458" s="33">
        <f>SUM('Res-Gen'!W209)</f>
        <v>0</v>
      </c>
      <c r="O1458" s="33">
        <f>SUM('Res-Gen'!Z209)</f>
        <v>0</v>
      </c>
      <c r="P1458" s="33">
        <f>SUM('Res-Gen'!AC209)</f>
        <v>0</v>
      </c>
      <c r="Q1458" s="33">
        <f>SUM('Res-Gen'!AF209)</f>
        <v>0</v>
      </c>
      <c r="R1458" s="114">
        <f>SUM('Res-Gen'!AI209)</f>
        <v>0</v>
      </c>
    </row>
    <row r="1459" spans="1:18" x14ac:dyDescent="0.2">
      <c r="A1459" s="107">
        <v>240700</v>
      </c>
      <c r="B1459" s="142">
        <v>254700</v>
      </c>
      <c r="C1459" s="189">
        <v>205700</v>
      </c>
      <c r="D1459" s="189">
        <f>SUM('Res-Gen'!C209)</f>
        <v>178000</v>
      </c>
      <c r="E1459" s="238"/>
      <c r="F1459" s="366" t="s">
        <v>2348</v>
      </c>
      <c r="G1459" s="198">
        <f>SUM('Res-Gen'!F209)</f>
        <v>158900</v>
      </c>
      <c r="H1459" s="138"/>
      <c r="I1459" s="33">
        <f>SUM('Res-Gen'!I209)</f>
        <v>0</v>
      </c>
      <c r="J1459" s="33">
        <f>SUM('Res-Gen'!L209)</f>
        <v>0</v>
      </c>
      <c r="K1459" s="33">
        <f>SUM('Res-Gen'!O209)</f>
        <v>0</v>
      </c>
      <c r="L1459" s="33">
        <f>SUM('Res-Gen'!R209)</f>
        <v>0</v>
      </c>
      <c r="M1459" s="33">
        <f>SUM('Res-Gen'!U209)</f>
        <v>0</v>
      </c>
      <c r="N1459" s="33">
        <f>SUM('Res-Gen'!X209)</f>
        <v>0</v>
      </c>
      <c r="O1459" s="33">
        <f>SUM('Res-Gen'!AA209)</f>
        <v>0</v>
      </c>
      <c r="P1459" s="33">
        <f>SUM('Res-Gen'!AD209)</f>
        <v>0</v>
      </c>
      <c r="Q1459" s="33">
        <f>SUM('Res-Gen'!AG209)</f>
        <v>0</v>
      </c>
      <c r="R1459" s="114">
        <f>SUM('Res-Gen'!AJ209)</f>
        <v>0</v>
      </c>
    </row>
    <row r="1460" spans="1:18" x14ac:dyDescent="0.2">
      <c r="A1460" s="107">
        <v>0</v>
      </c>
      <c r="B1460" s="142">
        <v>0</v>
      </c>
      <c r="C1460" s="189">
        <v>0</v>
      </c>
      <c r="D1460" s="189">
        <v>0</v>
      </c>
      <c r="E1460" s="238"/>
      <c r="F1460" s="366" t="s">
        <v>5984</v>
      </c>
      <c r="G1460" s="198">
        <v>0</v>
      </c>
      <c r="H1460" s="138"/>
      <c r="I1460" s="33">
        <v>0</v>
      </c>
      <c r="J1460" s="33">
        <v>0</v>
      </c>
      <c r="K1460" s="33">
        <v>0</v>
      </c>
      <c r="L1460" s="33">
        <v>0</v>
      </c>
      <c r="M1460" s="33">
        <v>0</v>
      </c>
      <c r="N1460" s="33">
        <v>0</v>
      </c>
      <c r="O1460" s="33">
        <v>0</v>
      </c>
      <c r="P1460" s="33">
        <v>0</v>
      </c>
      <c r="Q1460" s="33">
        <v>0</v>
      </c>
      <c r="R1460" s="114">
        <v>0</v>
      </c>
    </row>
    <row r="1461" spans="1:18" x14ac:dyDescent="0.2">
      <c r="A1461" s="107">
        <v>0</v>
      </c>
      <c r="B1461" s="142">
        <v>0</v>
      </c>
      <c r="C1461" s="189">
        <v>0</v>
      </c>
      <c r="D1461" s="189">
        <v>0</v>
      </c>
      <c r="E1461" s="238"/>
      <c r="F1461" s="366" t="s">
        <v>972</v>
      </c>
      <c r="G1461" s="198">
        <v>0</v>
      </c>
      <c r="H1461" s="138"/>
      <c r="I1461" s="33">
        <v>0</v>
      </c>
      <c r="J1461" s="33">
        <v>0</v>
      </c>
      <c r="K1461" s="33">
        <v>0</v>
      </c>
      <c r="L1461" s="33">
        <v>0</v>
      </c>
      <c r="M1461" s="33">
        <v>0</v>
      </c>
      <c r="N1461" s="33">
        <v>0</v>
      </c>
      <c r="O1461" s="33">
        <v>0</v>
      </c>
      <c r="P1461" s="33">
        <v>0</v>
      </c>
      <c r="Q1461" s="33">
        <v>0</v>
      </c>
      <c r="R1461" s="114">
        <v>0</v>
      </c>
    </row>
    <row r="1462" spans="1:18" s="92" customFormat="1" x14ac:dyDescent="0.2">
      <c r="A1462" s="181">
        <f>A1453-A1457-A1458+A1459++A1460-A1461</f>
        <v>-133700</v>
      </c>
      <c r="B1462" s="377">
        <f>B1453-B1457-B1458+B1459++B1460-B1461</f>
        <v>-217000</v>
      </c>
      <c r="C1462" s="398">
        <f>C1453-C1457-C1458+C1459++C1460-C1461</f>
        <v>-234600</v>
      </c>
      <c r="D1462" s="398">
        <f>D1453-D1457-D1458+D1459++D1460-D1461</f>
        <v>-331500</v>
      </c>
      <c r="E1462" s="526"/>
      <c r="F1462" s="518" t="s">
        <v>2490</v>
      </c>
      <c r="G1462" s="2605">
        <f t="shared" ref="G1462:P1462" si="1445">G1453-G1457-G1458+G1459++G1460-G1461</f>
        <v>-237100</v>
      </c>
      <c r="H1462" s="395">
        <f>IF(D1462=G1462,0,IF(D1462=0,100,(G1462-D1462)/D1462*100))</f>
        <v>-28.476621417797887</v>
      </c>
      <c r="I1462" s="397">
        <f t="shared" si="1445"/>
        <v>-243200</v>
      </c>
      <c r="J1462" s="397">
        <f t="shared" si="1445"/>
        <v>-250700</v>
      </c>
      <c r="K1462" s="397">
        <f t="shared" si="1445"/>
        <v>-258300</v>
      </c>
      <c r="L1462" s="397">
        <f t="shared" si="1445"/>
        <v>-265900</v>
      </c>
      <c r="M1462" s="397">
        <f t="shared" si="1445"/>
        <v>-272600</v>
      </c>
      <c r="N1462" s="397">
        <f t="shared" si="1445"/>
        <v>-279400</v>
      </c>
      <c r="O1462" s="397">
        <f t="shared" si="1445"/>
        <v>-286200</v>
      </c>
      <c r="P1462" s="397">
        <f t="shared" si="1445"/>
        <v>-293100</v>
      </c>
      <c r="Q1462" s="397">
        <f t="shared" ref="Q1462" si="1446">Q1453-Q1457-Q1458+Q1459++Q1460-Q1461</f>
        <v>-300200</v>
      </c>
      <c r="R1462" s="399">
        <f t="shared" ref="R1462" si="1447">R1453-R1457-R1458+R1459++R1460-R1461</f>
        <v>-307500</v>
      </c>
    </row>
    <row r="1463" spans="1:18" ht="13.5" thickBot="1" x14ac:dyDescent="0.25">
      <c r="A1463" s="73"/>
      <c r="B1463" s="134"/>
      <c r="C1463" s="195"/>
      <c r="D1463" s="195"/>
      <c r="E1463" s="239"/>
      <c r="F1463" s="368"/>
      <c r="G1463" s="2502"/>
      <c r="H1463" s="392"/>
      <c r="I1463" s="66"/>
      <c r="J1463" s="66"/>
      <c r="K1463" s="66"/>
      <c r="L1463" s="66"/>
      <c r="M1463" s="66"/>
      <c r="N1463" s="66"/>
      <c r="O1463" s="66"/>
      <c r="P1463" s="66"/>
      <c r="Q1463" s="66"/>
      <c r="R1463" s="165"/>
    </row>
    <row r="1464" spans="1:18" s="99" customFormat="1" ht="14.25" thickTop="1" thickBot="1" x14ac:dyDescent="0.25">
      <c r="C1464" s="198"/>
      <c r="D1464" s="198"/>
      <c r="E1464" s="537"/>
      <c r="G1464" s="198"/>
      <c r="H1464" s="123"/>
    </row>
    <row r="1465" spans="1:18" s="91" customFormat="1" ht="18.75" customHeight="1" thickTop="1" thickBot="1" x14ac:dyDescent="0.3">
      <c r="A1465" s="2865" t="s">
        <v>2708</v>
      </c>
      <c r="B1465" s="2866"/>
      <c r="C1465" s="2866"/>
      <c r="D1465" s="2866"/>
      <c r="E1465" s="2866"/>
      <c r="F1465" s="2866"/>
      <c r="G1465" s="2866"/>
      <c r="H1465" s="2866"/>
      <c r="I1465" s="2866"/>
      <c r="J1465" s="2866"/>
      <c r="K1465" s="2866"/>
      <c r="L1465" s="2866"/>
      <c r="M1465" s="2866"/>
      <c r="N1465" s="2866"/>
      <c r="O1465" s="2866"/>
      <c r="P1465" s="2866"/>
      <c r="Q1465" s="2866"/>
      <c r="R1465" s="2867"/>
    </row>
    <row r="1466" spans="1:18" s="44" customFormat="1" x14ac:dyDescent="0.2">
      <c r="A1466" s="2848" t="s">
        <v>1856</v>
      </c>
      <c r="B1466" s="2840"/>
      <c r="C1466" s="2840"/>
      <c r="D1466" s="2849"/>
      <c r="E1466" s="369" t="s">
        <v>2663</v>
      </c>
      <c r="F1466" s="2649" t="s">
        <v>2251</v>
      </c>
      <c r="G1466" s="2885" t="s">
        <v>2253</v>
      </c>
      <c r="H1466" s="2886"/>
      <c r="I1466" s="2886"/>
      <c r="J1466" s="2886"/>
      <c r="K1466" s="2886"/>
      <c r="L1466" s="2886"/>
      <c r="M1466" s="2886"/>
      <c r="N1466" s="2886"/>
      <c r="O1466" s="2886"/>
      <c r="P1466" s="2886"/>
      <c r="Q1466" s="2886"/>
      <c r="R1466" s="2887"/>
    </row>
    <row r="1467" spans="1:18" s="23" customFormat="1" ht="12.75" customHeight="1" thickBot="1" x14ac:dyDescent="0.25">
      <c r="A1467" s="208" t="str">
        <f>A3</f>
        <v>2012/13</v>
      </c>
      <c r="B1467" s="75" t="str">
        <f>B3</f>
        <v>2013/14</v>
      </c>
      <c r="C1467" s="370" t="str">
        <f>C3</f>
        <v>2014/15</v>
      </c>
      <c r="D1467" s="93" t="str">
        <f>D3</f>
        <v>2015/16</v>
      </c>
      <c r="E1467" s="370" t="str">
        <f>E1272</f>
        <v>ACCOUNT</v>
      </c>
      <c r="F1467" s="42"/>
      <c r="G1467" s="2513" t="str">
        <f>G3</f>
        <v>2016/17</v>
      </c>
      <c r="H1467" s="2193" t="str">
        <f>H1272</f>
        <v>%</v>
      </c>
      <c r="I1467" s="370" t="str">
        <f t="shared" ref="I1467:R1467" si="1448">I3</f>
        <v>2017/18</v>
      </c>
      <c r="J1467" s="370" t="str">
        <f t="shared" si="1448"/>
        <v>2018/19</v>
      </c>
      <c r="K1467" s="370" t="str">
        <f t="shared" si="1448"/>
        <v>2019/20</v>
      </c>
      <c r="L1467" s="370" t="str">
        <f t="shared" si="1448"/>
        <v>2020/21</v>
      </c>
      <c r="M1467" s="370" t="str">
        <f t="shared" si="1448"/>
        <v>2021/22</v>
      </c>
      <c r="N1467" s="370" t="str">
        <f t="shared" si="1448"/>
        <v>2022/23</v>
      </c>
      <c r="O1467" s="370" t="str">
        <f t="shared" si="1448"/>
        <v>2023/24</v>
      </c>
      <c r="P1467" s="370" t="str">
        <f t="shared" si="1448"/>
        <v>2024/25</v>
      </c>
      <c r="Q1467" s="218" t="str">
        <f t="shared" si="1448"/>
        <v>2025/26</v>
      </c>
      <c r="R1467" s="549" t="str">
        <f t="shared" si="1448"/>
        <v>2026/27</v>
      </c>
    </row>
    <row r="1468" spans="1:18" x14ac:dyDescent="0.2">
      <c r="A1468" s="98"/>
      <c r="B1468" s="33"/>
      <c r="C1468" s="187"/>
      <c r="D1468" s="187"/>
      <c r="E1468" s="1954"/>
      <c r="F1468" s="76"/>
      <c r="G1468" s="2611"/>
      <c r="H1468" s="1707"/>
      <c r="I1468" s="33"/>
      <c r="J1468" s="33"/>
      <c r="K1468" s="33"/>
      <c r="L1468" s="33"/>
      <c r="M1468" s="33"/>
      <c r="N1468" s="33"/>
      <c r="O1468" s="33"/>
      <c r="P1468" s="33"/>
      <c r="Q1468" s="33"/>
      <c r="R1468" s="114"/>
    </row>
    <row r="1469" spans="1:18" x14ac:dyDescent="0.2">
      <c r="A1469" s="98"/>
      <c r="B1469" s="33"/>
      <c r="C1469" s="187"/>
      <c r="D1469" s="187"/>
      <c r="E1469" s="1954"/>
      <c r="F1469" s="103" t="s">
        <v>1073</v>
      </c>
      <c r="G1469" s="187"/>
      <c r="H1469" s="138"/>
      <c r="I1469" s="33"/>
      <c r="J1469" s="33"/>
      <c r="K1469" s="33"/>
      <c r="L1469" s="33"/>
      <c r="M1469" s="33"/>
      <c r="N1469" s="33"/>
      <c r="O1469" s="33"/>
      <c r="P1469" s="33"/>
      <c r="Q1469" s="33"/>
      <c r="R1469" s="114"/>
    </row>
    <row r="1470" spans="1:18" x14ac:dyDescent="0.2">
      <c r="A1470" s="98"/>
      <c r="B1470" s="33"/>
      <c r="E1470" s="1954"/>
      <c r="F1470" s="76"/>
      <c r="G1470" s="187"/>
      <c r="H1470" s="138"/>
      <c r="I1470" s="33"/>
      <c r="J1470" s="33"/>
      <c r="K1470" s="33"/>
      <c r="L1470" s="33"/>
      <c r="M1470" s="33"/>
      <c r="N1470" s="33"/>
      <c r="O1470" s="33"/>
      <c r="P1470" s="33"/>
      <c r="Q1470" s="33"/>
      <c r="R1470" s="114"/>
    </row>
    <row r="1471" spans="1:18" x14ac:dyDescent="0.2">
      <c r="A1471" s="98"/>
      <c r="B1471" s="33"/>
      <c r="D1471" s="187"/>
      <c r="E1471" s="1954"/>
      <c r="F1471" s="2529" t="s">
        <v>3242</v>
      </c>
      <c r="G1471" s="187"/>
      <c r="H1471" s="138"/>
      <c r="I1471" s="33"/>
      <c r="J1471" s="33"/>
      <c r="K1471" s="33"/>
      <c r="L1471" s="33"/>
      <c r="M1471" s="33"/>
      <c r="N1471" s="33"/>
      <c r="O1471" s="33"/>
      <c r="P1471" s="33"/>
      <c r="Q1471" s="33"/>
      <c r="R1471" s="114"/>
    </row>
    <row r="1472" spans="1:18" x14ac:dyDescent="0.2">
      <c r="A1472" s="107">
        <v>360300</v>
      </c>
      <c r="B1472" s="33">
        <v>339600</v>
      </c>
      <c r="C1472" s="189">
        <v>403200</v>
      </c>
      <c r="D1472" s="189">
        <v>398300</v>
      </c>
      <c r="E1472" s="658" t="s">
        <v>2287</v>
      </c>
      <c r="F1472" s="76" t="s">
        <v>2800</v>
      </c>
      <c r="G1472" s="187">
        <v>400000</v>
      </c>
      <c r="H1472" s="138">
        <f>IF(D1472=G1472,0,IF(D1472=0,100,(G1472-D1472)/D1472*100))</f>
        <v>0.42681395932714034</v>
      </c>
      <c r="I1472" s="33">
        <f>ROUNDUP(G1472+(G1472*Assumptions!H$5),-2)</f>
        <v>406000</v>
      </c>
      <c r="J1472" s="33">
        <f>ROUNDUP(I1472+(I1472*Assumptions!I$5),-2)</f>
        <v>416200</v>
      </c>
      <c r="K1472" s="33">
        <f>ROUNDUP(J1472+(J1472*Assumptions!J$5),-2)</f>
        <v>426700</v>
      </c>
      <c r="L1472" s="33">
        <f>ROUNDUP(K1472+(K1472*Assumptions!K$5),-2)</f>
        <v>437400</v>
      </c>
      <c r="M1472" s="33">
        <f>ROUNDUP(L1472+(L1472*Assumptions!L$5),-2)</f>
        <v>446200</v>
      </c>
      <c r="N1472" s="33">
        <f>ROUNDUP(M1472+(M1472*Assumptions!M$5),-2)</f>
        <v>455200</v>
      </c>
      <c r="O1472" s="33">
        <f>ROUNDUP(N1472+(N1472*Assumptions!N$5),-2)</f>
        <v>464400</v>
      </c>
      <c r="P1472" s="33">
        <f>ROUNDUP(O1472+(O1472*Assumptions!O$5),-2)</f>
        <v>473700</v>
      </c>
      <c r="Q1472" s="33">
        <f>ROUNDUP(P1472+(P1472*Assumptions!P$5),-2)</f>
        <v>483200</v>
      </c>
      <c r="R1472" s="114">
        <f>ROUNDUP(Q1472+(Q1472*Assumptions!Q$5),-2)</f>
        <v>492900</v>
      </c>
    </row>
    <row r="1473" spans="1:18" ht="13.5" thickBot="1" x14ac:dyDescent="0.25">
      <c r="A1473" s="107"/>
      <c r="B1473" s="33"/>
      <c r="E1473" s="1954"/>
      <c r="F1473" s="76"/>
      <c r="G1473" s="187"/>
      <c r="H1473" s="138"/>
      <c r="I1473" s="33"/>
      <c r="J1473" s="33"/>
      <c r="K1473" s="33"/>
      <c r="L1473" s="33"/>
      <c r="M1473" s="33"/>
      <c r="N1473" s="33"/>
      <c r="O1473" s="33"/>
      <c r="P1473" s="33"/>
      <c r="Q1473" s="33"/>
      <c r="R1473" s="114"/>
    </row>
    <row r="1474" spans="1:18" s="92" customFormat="1" x14ac:dyDescent="0.2">
      <c r="A1474" s="105">
        <f>SUM(A1469:A1473)</f>
        <v>360300</v>
      </c>
      <c r="B1474" s="53">
        <f>SUM(B1469:B1473)</f>
        <v>339600</v>
      </c>
      <c r="C1474" s="199">
        <f>SUM(C1469:C1473)</f>
        <v>403200</v>
      </c>
      <c r="D1474" s="199">
        <f>SUM(D1469:D1473)</f>
        <v>398300</v>
      </c>
      <c r="E1474" s="236"/>
      <c r="F1474" s="1960" t="s">
        <v>2605</v>
      </c>
      <c r="G1474" s="199">
        <f t="shared" ref="G1474:O1474" si="1449">SUM(G1469:G1473)</f>
        <v>400000</v>
      </c>
      <c r="H1474" s="180">
        <f>IF(D1474=G1474,0,IF(D1474=0,100,(G1474-D1474)/D1474*100))</f>
        <v>0.42681395932714034</v>
      </c>
      <c r="I1474" s="53">
        <f t="shared" si="1449"/>
        <v>406000</v>
      </c>
      <c r="J1474" s="53">
        <f t="shared" si="1449"/>
        <v>416200</v>
      </c>
      <c r="K1474" s="53">
        <f t="shared" si="1449"/>
        <v>426700</v>
      </c>
      <c r="L1474" s="53">
        <f t="shared" si="1449"/>
        <v>437400</v>
      </c>
      <c r="M1474" s="53">
        <f t="shared" si="1449"/>
        <v>446200</v>
      </c>
      <c r="N1474" s="53">
        <f t="shared" si="1449"/>
        <v>455200</v>
      </c>
      <c r="O1474" s="53">
        <f t="shared" si="1449"/>
        <v>464400</v>
      </c>
      <c r="P1474" s="53">
        <f t="shared" ref="P1474:Q1474" si="1450">SUM(P1469:P1473)</f>
        <v>473700</v>
      </c>
      <c r="Q1474" s="53">
        <f t="shared" si="1450"/>
        <v>483200</v>
      </c>
      <c r="R1474" s="113">
        <f t="shared" ref="R1474" si="1451">SUM(R1469:R1473)</f>
        <v>492900</v>
      </c>
    </row>
    <row r="1475" spans="1:18" x14ac:dyDescent="0.2">
      <c r="A1475" s="98"/>
      <c r="B1475" s="33"/>
      <c r="C1475" s="187"/>
      <c r="D1475" s="187"/>
      <c r="E1475" s="1954"/>
      <c r="F1475" s="79"/>
      <c r="G1475" s="187"/>
      <c r="H1475" s="138"/>
      <c r="I1475" s="33"/>
      <c r="J1475" s="33"/>
      <c r="K1475" s="33"/>
      <c r="L1475" s="33"/>
      <c r="M1475" s="33"/>
      <c r="N1475" s="33"/>
      <c r="O1475" s="33"/>
      <c r="P1475" s="33"/>
      <c r="Q1475" s="33"/>
      <c r="R1475" s="114"/>
    </row>
    <row r="1476" spans="1:18" x14ac:dyDescent="0.2">
      <c r="A1476" s="107"/>
      <c r="B1476" s="33"/>
      <c r="C1476" s="187"/>
      <c r="D1476" s="187"/>
      <c r="E1476" s="240"/>
      <c r="F1476" s="103" t="s">
        <v>2205</v>
      </c>
      <c r="G1476" s="187"/>
      <c r="H1476" s="138"/>
      <c r="I1476" s="33"/>
      <c r="J1476" s="33"/>
      <c r="K1476" s="33"/>
      <c r="L1476" s="33"/>
      <c r="M1476" s="33"/>
      <c r="N1476" s="33"/>
      <c r="O1476" s="33"/>
      <c r="P1476" s="33"/>
      <c r="Q1476" s="33"/>
      <c r="R1476" s="114"/>
    </row>
    <row r="1477" spans="1:18" x14ac:dyDescent="0.2">
      <c r="A1477" s="107"/>
      <c r="B1477" s="33"/>
      <c r="E1477" s="445"/>
      <c r="F1477" s="3"/>
      <c r="G1477" s="187"/>
      <c r="H1477" s="138"/>
      <c r="I1477" s="33"/>
      <c r="J1477" s="33"/>
      <c r="K1477" s="33"/>
      <c r="L1477" s="33"/>
      <c r="M1477" s="33"/>
      <c r="N1477" s="33"/>
      <c r="O1477" s="33"/>
      <c r="P1477" s="33"/>
      <c r="Q1477" s="33"/>
      <c r="R1477" s="114"/>
    </row>
    <row r="1478" spans="1:18" x14ac:dyDescent="0.2">
      <c r="A1478" s="107"/>
      <c r="B1478" s="33"/>
      <c r="E1478" s="445"/>
      <c r="F1478" s="6" t="s">
        <v>2048</v>
      </c>
      <c r="G1478" s="187"/>
      <c r="H1478" s="138"/>
      <c r="I1478" s="33"/>
      <c r="J1478" s="33"/>
      <c r="K1478" s="33"/>
      <c r="L1478" s="33"/>
      <c r="M1478" s="33"/>
      <c r="N1478" s="33"/>
      <c r="O1478" s="33"/>
      <c r="P1478" s="33"/>
      <c r="Q1478" s="33"/>
      <c r="R1478" s="114"/>
    </row>
    <row r="1479" spans="1:18" x14ac:dyDescent="0.2">
      <c r="A1479" s="107">
        <v>17400</v>
      </c>
      <c r="B1479" s="33">
        <v>19100</v>
      </c>
      <c r="C1479" s="189">
        <v>18600</v>
      </c>
      <c r="D1479" s="189">
        <v>19500</v>
      </c>
      <c r="E1479" s="658" t="s">
        <v>2930</v>
      </c>
      <c r="F1479" s="890" t="s">
        <v>4211</v>
      </c>
      <c r="G1479" s="187">
        <v>19400</v>
      </c>
      <c r="H1479" s="138">
        <f t="shared" ref="H1479:H1485" si="1452">IF(D1479=G1479,0,IF(D1479=0,100,(G1479-D1479)/D1479*100))</f>
        <v>-0.51282051282051277</v>
      </c>
      <c r="I1479" s="33">
        <f>ROUNDUP(G1479+(G1479*Assumptions!H$5),-2)</f>
        <v>19700</v>
      </c>
      <c r="J1479" s="33">
        <f>ROUNDUP(I1479+(I1479*Assumptions!I$5),-2)</f>
        <v>20200</v>
      </c>
      <c r="K1479" s="33">
        <f>ROUNDUP(J1479+(J1479*Assumptions!J$5),-2)</f>
        <v>20800</v>
      </c>
      <c r="L1479" s="33">
        <f>ROUNDUP(K1479+(K1479*Assumptions!K$5),-2)</f>
        <v>21400</v>
      </c>
      <c r="M1479" s="33">
        <f>ROUNDUP(L1479+(L1479*Assumptions!L$5),-2)</f>
        <v>21900</v>
      </c>
      <c r="N1479" s="33">
        <f>ROUNDUP(M1479+(M1479*Assumptions!M$5),-2)</f>
        <v>22400</v>
      </c>
      <c r="O1479" s="33">
        <f>ROUNDUP(N1479+(N1479*Assumptions!N$5),-2)</f>
        <v>22900</v>
      </c>
      <c r="P1479" s="33">
        <f>ROUNDUP(O1479+(O1479*Assumptions!O$5),-2)</f>
        <v>23400</v>
      </c>
      <c r="Q1479" s="33">
        <f>ROUNDUP(P1479+(P1479*Assumptions!P$5),-2)</f>
        <v>23900</v>
      </c>
      <c r="R1479" s="114">
        <f>ROUNDUP(Q1479+(Q1479*Assumptions!Q$5),-2)</f>
        <v>24400</v>
      </c>
    </row>
    <row r="1480" spans="1:18" x14ac:dyDescent="0.2">
      <c r="A1480" s="107">
        <v>100500</v>
      </c>
      <c r="B1480" s="33">
        <v>59400</v>
      </c>
      <c r="C1480" s="189">
        <v>90000</v>
      </c>
      <c r="D1480" s="189">
        <v>90200</v>
      </c>
      <c r="E1480" s="658" t="s">
        <v>1177</v>
      </c>
      <c r="F1480" s="3" t="s">
        <v>1385</v>
      </c>
      <c r="G1480" s="187">
        <v>97000</v>
      </c>
      <c r="H1480" s="138">
        <f t="shared" si="1452"/>
        <v>7.5388026607538805</v>
      </c>
      <c r="I1480" s="33">
        <f>ROUNDUP(G1480+(G1480*Assumptions!H$5),-2)</f>
        <v>98500</v>
      </c>
      <c r="J1480" s="33">
        <f>ROUNDUP(I1480+(I1480*Assumptions!I$5),-2)</f>
        <v>101000</v>
      </c>
      <c r="K1480" s="33">
        <f>ROUNDUP(J1480+(J1480*Assumptions!J$5),-2)</f>
        <v>103600</v>
      </c>
      <c r="L1480" s="33">
        <f>ROUNDUP(K1480+(K1480*Assumptions!K$5),-2)</f>
        <v>106200</v>
      </c>
      <c r="M1480" s="33">
        <f>ROUNDUP(L1480+(L1480*Assumptions!L$5),-2)</f>
        <v>108400</v>
      </c>
      <c r="N1480" s="33">
        <f>ROUNDUP(M1480+(M1480*Assumptions!M$5),-2)</f>
        <v>110600</v>
      </c>
      <c r="O1480" s="33">
        <f>ROUNDUP(N1480+(N1480*Assumptions!N$5),-2)</f>
        <v>112900</v>
      </c>
      <c r="P1480" s="33">
        <f>ROUNDUP(O1480+(O1480*Assumptions!O$5),-2)</f>
        <v>115200</v>
      </c>
      <c r="Q1480" s="33">
        <f>ROUNDUP(P1480+(P1480*Assumptions!P$5),-2)</f>
        <v>117600</v>
      </c>
      <c r="R1480" s="114">
        <f>ROUNDUP(Q1480+(Q1480*Assumptions!Q$5),-2)</f>
        <v>120000</v>
      </c>
    </row>
    <row r="1481" spans="1:18" x14ac:dyDescent="0.2">
      <c r="A1481" s="107">
        <v>19900</v>
      </c>
      <c r="B1481" s="33">
        <v>18600</v>
      </c>
      <c r="C1481" s="189">
        <v>21100</v>
      </c>
      <c r="D1481" s="189">
        <v>17900</v>
      </c>
      <c r="E1481" s="658" t="s">
        <v>1178</v>
      </c>
      <c r="F1481" s="3" t="s">
        <v>1207</v>
      </c>
      <c r="G1481" s="187">
        <v>24500</v>
      </c>
      <c r="H1481" s="138">
        <f t="shared" si="1452"/>
        <v>36.871508379888269</v>
      </c>
      <c r="I1481" s="33">
        <f>ROUNDUP(G1481+(G1481*Assumptions!H$5),-2)</f>
        <v>24900</v>
      </c>
      <c r="J1481" s="33">
        <f>ROUNDUP(I1481+(I1481*Assumptions!I$5),-2)</f>
        <v>25600</v>
      </c>
      <c r="K1481" s="33">
        <f>ROUNDUP(J1481+(J1481*Assumptions!J$5),-2)</f>
        <v>26300</v>
      </c>
      <c r="L1481" s="33">
        <f>ROUNDUP(K1481+(K1481*Assumptions!K$5),-2)</f>
        <v>27000</v>
      </c>
      <c r="M1481" s="33">
        <f>ROUNDUP(L1481+(L1481*Assumptions!L$5),-2)</f>
        <v>27600</v>
      </c>
      <c r="N1481" s="33">
        <f>ROUNDUP(M1481+(M1481*Assumptions!M$5),-2)</f>
        <v>28200</v>
      </c>
      <c r="O1481" s="33">
        <f>ROUNDUP(N1481+(N1481*Assumptions!N$5),-2)</f>
        <v>28800</v>
      </c>
      <c r="P1481" s="33">
        <f>ROUNDUP(O1481+(O1481*Assumptions!O$5),-2)</f>
        <v>29400</v>
      </c>
      <c r="Q1481" s="33">
        <f>ROUNDUP(P1481+(P1481*Assumptions!P$5),-2)</f>
        <v>30000</v>
      </c>
      <c r="R1481" s="114">
        <f>ROUNDUP(Q1481+(Q1481*Assumptions!Q$5),-2)</f>
        <v>30600</v>
      </c>
    </row>
    <row r="1482" spans="1:18" x14ac:dyDescent="0.2">
      <c r="A1482" s="107">
        <v>8800</v>
      </c>
      <c r="B1482" s="33">
        <v>13200</v>
      </c>
      <c r="C1482" s="189">
        <v>13300</v>
      </c>
      <c r="D1482" s="189">
        <v>13700</v>
      </c>
      <c r="E1482" s="658" t="s">
        <v>1179</v>
      </c>
      <c r="F1482" s="3" t="s">
        <v>741</v>
      </c>
      <c r="G1482" s="187">
        <v>13000</v>
      </c>
      <c r="H1482" s="138">
        <f t="shared" si="1452"/>
        <v>-5.1094890510948909</v>
      </c>
      <c r="I1482" s="33">
        <f>ROUNDUP(G1482+(G1482*Assumptions!H$5),-2)</f>
        <v>13200</v>
      </c>
      <c r="J1482" s="33">
        <f>ROUNDUP(I1482+(I1482*Assumptions!I$5),-2)</f>
        <v>13600</v>
      </c>
      <c r="K1482" s="33">
        <f>ROUNDUP(J1482+(J1482*Assumptions!J$5),-2)</f>
        <v>14000</v>
      </c>
      <c r="L1482" s="33">
        <f>ROUNDUP(K1482+(K1482*Assumptions!K$5),-2)</f>
        <v>14400</v>
      </c>
      <c r="M1482" s="33">
        <f>ROUNDUP(L1482+(L1482*Assumptions!L$5),-2)</f>
        <v>14700</v>
      </c>
      <c r="N1482" s="33">
        <f>ROUNDUP(M1482+(M1482*Assumptions!M$5),-2)</f>
        <v>15000</v>
      </c>
      <c r="O1482" s="33">
        <f>ROUNDUP(N1482+(N1482*Assumptions!N$5),-2)</f>
        <v>15300</v>
      </c>
      <c r="P1482" s="33">
        <f>ROUNDUP(O1482+(O1482*Assumptions!O$5),-2)</f>
        <v>15700</v>
      </c>
      <c r="Q1482" s="33">
        <f>ROUNDUP(P1482+(P1482*Assumptions!P$5),-2)</f>
        <v>16100</v>
      </c>
      <c r="R1482" s="114">
        <f>ROUNDUP(Q1482+(Q1482*Assumptions!Q$5),-2)</f>
        <v>16500</v>
      </c>
    </row>
    <row r="1483" spans="1:18" x14ac:dyDescent="0.2">
      <c r="A1483" s="107">
        <v>83100</v>
      </c>
      <c r="B1483" s="33">
        <v>79300</v>
      </c>
      <c r="C1483" s="189">
        <v>97300</v>
      </c>
      <c r="D1483" s="189">
        <v>107000</v>
      </c>
      <c r="E1483" s="658" t="s">
        <v>2064</v>
      </c>
      <c r="F1483" s="3" t="s">
        <v>1144</v>
      </c>
      <c r="G1483" s="187">
        <v>97000</v>
      </c>
      <c r="H1483" s="138">
        <f t="shared" si="1452"/>
        <v>-9.3457943925233646</v>
      </c>
      <c r="I1483" s="33">
        <f>ROUNDUP(G1483+(G1483*Assumptions!H$5),-2)</f>
        <v>98500</v>
      </c>
      <c r="J1483" s="33">
        <f>ROUNDUP(I1483+(I1483*Assumptions!I$5),-2)</f>
        <v>101000</v>
      </c>
      <c r="K1483" s="33">
        <f>ROUNDUP(J1483+(J1483*Assumptions!J$5),-2)</f>
        <v>103600</v>
      </c>
      <c r="L1483" s="33">
        <f>ROUNDUP(K1483+(K1483*Assumptions!K$5),-2)</f>
        <v>106200</v>
      </c>
      <c r="M1483" s="33">
        <f>ROUNDUP(L1483+(L1483*Assumptions!L$5),-2)</f>
        <v>108400</v>
      </c>
      <c r="N1483" s="33">
        <f>ROUNDUP(M1483+(M1483*Assumptions!M$5),-2)</f>
        <v>110600</v>
      </c>
      <c r="O1483" s="33">
        <f>ROUNDUP(N1483+(N1483*Assumptions!N$5),-2)</f>
        <v>112900</v>
      </c>
      <c r="P1483" s="33">
        <f>ROUNDUP(O1483+(O1483*Assumptions!O$5),-2)</f>
        <v>115200</v>
      </c>
      <c r="Q1483" s="33">
        <f>ROUNDUP(P1483+(P1483*Assumptions!P$5),-2)</f>
        <v>117600</v>
      </c>
      <c r="R1483" s="114">
        <f>ROUNDUP(Q1483+(Q1483*Assumptions!Q$5),-2)</f>
        <v>120000</v>
      </c>
    </row>
    <row r="1484" spans="1:18" x14ac:dyDescent="0.2">
      <c r="A1484" s="107">
        <v>15700</v>
      </c>
      <c r="B1484" s="33">
        <v>19300</v>
      </c>
      <c r="C1484" s="189">
        <v>20500</v>
      </c>
      <c r="D1484" s="189">
        <v>23800</v>
      </c>
      <c r="E1484" s="658" t="s">
        <v>2928</v>
      </c>
      <c r="F1484" s="3" t="s">
        <v>1145</v>
      </c>
      <c r="G1484" s="187">
        <v>20500</v>
      </c>
      <c r="H1484" s="138">
        <f t="shared" si="1452"/>
        <v>-13.865546218487395</v>
      </c>
      <c r="I1484" s="33">
        <f>ROUNDUP(G1484+(G1484*Assumptions!H$5),-2)</f>
        <v>20900</v>
      </c>
      <c r="J1484" s="33">
        <f>ROUNDUP(I1484+(I1484*Assumptions!I$5),-2)</f>
        <v>21500</v>
      </c>
      <c r="K1484" s="33">
        <f>ROUNDUP(J1484+(J1484*Assumptions!J$5),-2)</f>
        <v>22100</v>
      </c>
      <c r="L1484" s="33">
        <f>ROUNDUP(K1484+(K1484*Assumptions!K$5),-2)</f>
        <v>22700</v>
      </c>
      <c r="M1484" s="33">
        <f>ROUNDUP(L1484+(L1484*Assumptions!L$5),-2)</f>
        <v>23200</v>
      </c>
      <c r="N1484" s="33">
        <f>ROUNDUP(M1484+(M1484*Assumptions!M$5),-2)</f>
        <v>23700</v>
      </c>
      <c r="O1484" s="33">
        <f>ROUNDUP(N1484+(N1484*Assumptions!N$5),-2)</f>
        <v>24200</v>
      </c>
      <c r="P1484" s="33">
        <f>ROUNDUP(O1484+(O1484*Assumptions!O$5),-2)</f>
        <v>24700</v>
      </c>
      <c r="Q1484" s="33">
        <f>ROUNDUP(P1484+(P1484*Assumptions!P$5),-2)</f>
        <v>25200</v>
      </c>
      <c r="R1484" s="114">
        <f>ROUNDUP(Q1484+(Q1484*Assumptions!Q$5),-2)</f>
        <v>25800</v>
      </c>
    </row>
    <row r="1485" spans="1:18" x14ac:dyDescent="0.2">
      <c r="A1485" s="107">
        <v>12000</v>
      </c>
      <c r="B1485" s="33">
        <v>10600</v>
      </c>
      <c r="C1485" s="189">
        <v>14200</v>
      </c>
      <c r="D1485" s="189">
        <v>17100</v>
      </c>
      <c r="E1485" s="658" t="s">
        <v>2929</v>
      </c>
      <c r="F1485" s="3" t="s">
        <v>1146</v>
      </c>
      <c r="G1485" s="187">
        <v>15000</v>
      </c>
      <c r="H1485" s="138">
        <f t="shared" si="1452"/>
        <v>-12.280701754385964</v>
      </c>
      <c r="I1485" s="33">
        <f>ROUNDUP(G1485+(G1485*Assumptions!H$5),-2)</f>
        <v>15300</v>
      </c>
      <c r="J1485" s="33">
        <f>ROUNDUP(I1485+(I1485*Assumptions!I$5),-2)</f>
        <v>15700</v>
      </c>
      <c r="K1485" s="33">
        <f>ROUNDUP(J1485+(J1485*Assumptions!J$5),-2)</f>
        <v>16100</v>
      </c>
      <c r="L1485" s="33">
        <f>ROUNDUP(K1485+(K1485*Assumptions!K$5),-2)</f>
        <v>16600</v>
      </c>
      <c r="M1485" s="33">
        <f>ROUNDUP(L1485+(L1485*Assumptions!L$5),-2)</f>
        <v>17000</v>
      </c>
      <c r="N1485" s="33">
        <f>ROUNDUP(M1485+(M1485*Assumptions!M$5),-2)</f>
        <v>17400</v>
      </c>
      <c r="O1485" s="33">
        <f>ROUNDUP(N1485+(N1485*Assumptions!N$5),-2)</f>
        <v>17800</v>
      </c>
      <c r="P1485" s="33">
        <f>ROUNDUP(O1485+(O1485*Assumptions!O$5),-2)</f>
        <v>18200</v>
      </c>
      <c r="Q1485" s="33">
        <f>ROUNDUP(P1485+(P1485*Assumptions!P$5),-2)</f>
        <v>18600</v>
      </c>
      <c r="R1485" s="114">
        <f>ROUNDUP(Q1485+(Q1485*Assumptions!Q$5),-2)</f>
        <v>19000</v>
      </c>
    </row>
    <row r="1486" spans="1:18" ht="12.75" hidden="1" customHeight="1" x14ac:dyDescent="0.2">
      <c r="A1486" s="107"/>
      <c r="B1486" s="33"/>
      <c r="E1486" s="658"/>
      <c r="F1486" s="3"/>
      <c r="G1486" s="187"/>
      <c r="H1486" s="138"/>
      <c r="I1486" s="33"/>
      <c r="J1486" s="33"/>
      <c r="K1486" s="33"/>
      <c r="L1486" s="33"/>
      <c r="M1486" s="33"/>
      <c r="N1486" s="33"/>
      <c r="O1486" s="33"/>
      <c r="P1486" s="33"/>
      <c r="Q1486" s="33"/>
      <c r="R1486" s="114"/>
    </row>
    <row r="1487" spans="1:18" ht="12.75" hidden="1" customHeight="1" x14ac:dyDescent="0.2">
      <c r="A1487" s="107"/>
      <c r="B1487" s="33"/>
      <c r="E1487" s="658"/>
      <c r="F1487" s="175" t="s">
        <v>2278</v>
      </c>
      <c r="G1487" s="187"/>
      <c r="H1487" s="138"/>
      <c r="I1487" s="33"/>
      <c r="J1487" s="33"/>
      <c r="K1487" s="33"/>
      <c r="L1487" s="33"/>
      <c r="M1487" s="33"/>
      <c r="N1487" s="33"/>
      <c r="O1487" s="33"/>
      <c r="P1487" s="33"/>
      <c r="Q1487" s="33"/>
      <c r="R1487" s="114"/>
    </row>
    <row r="1488" spans="1:18" ht="12.75" hidden="1" customHeight="1" x14ac:dyDescent="0.2">
      <c r="A1488" s="107">
        <v>0</v>
      </c>
      <c r="B1488" s="33"/>
      <c r="C1488" s="189">
        <v>0</v>
      </c>
      <c r="D1488" s="189">
        <f>ROUNDUP(C1488+(C1488*Assumptions!F$5),-2)</f>
        <v>0</v>
      </c>
      <c r="E1488" s="1092" t="s">
        <v>3048</v>
      </c>
      <c r="F1488" s="890" t="s">
        <v>3047</v>
      </c>
      <c r="G1488" s="187">
        <f>ROUNDUP(D1488+(D1488*Assumptions!G$5),-2)</f>
        <v>0</v>
      </c>
      <c r="H1488" s="138" t="e">
        <f>IF(E1488=G1488,0,IF(E1488=0,100,(G1488-E1488)/E1488*100))</f>
        <v>#VALUE!</v>
      </c>
      <c r="I1488" s="33">
        <f>ROUNDUP(G1488+(G1488*Assumptions!H$5),-2)</f>
        <v>0</v>
      </c>
      <c r="J1488" s="33">
        <f>ROUNDUP(I1488+(I1488*Assumptions!I$5),-2)</f>
        <v>0</v>
      </c>
      <c r="K1488" s="33">
        <f>ROUNDUP(J1488+(J1488*Assumptions!J$5),-2)</f>
        <v>0</v>
      </c>
      <c r="L1488" s="33">
        <f>ROUNDUP(K1488+(K1488*Assumptions!K$5),-2)</f>
        <v>0</v>
      </c>
      <c r="M1488" s="33">
        <f>ROUNDUP(L1488+(L1488*Assumptions!L$5),-2)</f>
        <v>0</v>
      </c>
      <c r="N1488" s="33">
        <f>ROUNDUP(M1488+(M1488*Assumptions!M$5),-2)</f>
        <v>0</v>
      </c>
      <c r="O1488" s="33">
        <f>ROUNDUP(N1488+(N1488*Assumptions!N$5),-2)</f>
        <v>0</v>
      </c>
      <c r="P1488" s="33">
        <f>ROUNDUP(O1488+(O1488*Assumptions!O$5),-2)</f>
        <v>0</v>
      </c>
      <c r="Q1488" s="33">
        <f>ROUNDUP(P1488+(P1488*Assumptions!P$5),-2)</f>
        <v>0</v>
      </c>
      <c r="R1488" s="114">
        <f>ROUNDUP(Q1488+(Q1488*Assumptions!Q$5),-2)</f>
        <v>0</v>
      </c>
    </row>
    <row r="1489" spans="1:18" ht="12.75" hidden="1" customHeight="1" x14ac:dyDescent="0.2">
      <c r="A1489" s="107"/>
      <c r="B1489" s="33">
        <v>0</v>
      </c>
      <c r="C1489" s="189">
        <v>0</v>
      </c>
      <c r="D1489" s="189">
        <f>-D1488</f>
        <v>0</v>
      </c>
      <c r="E1489" s="1092" t="s">
        <v>3056</v>
      </c>
      <c r="F1489" s="890" t="s">
        <v>3057</v>
      </c>
      <c r="G1489" s="187">
        <f t="shared" ref="G1489:O1489" si="1453">-G1488</f>
        <v>0</v>
      </c>
      <c r="H1489" s="138"/>
      <c r="I1489" s="187">
        <f t="shared" si="1453"/>
        <v>0</v>
      </c>
      <c r="J1489" s="187">
        <f t="shared" si="1453"/>
        <v>0</v>
      </c>
      <c r="K1489" s="187">
        <f t="shared" si="1453"/>
        <v>0</v>
      </c>
      <c r="L1489" s="187">
        <f t="shared" si="1453"/>
        <v>0</v>
      </c>
      <c r="M1489" s="187">
        <f t="shared" si="1453"/>
        <v>0</v>
      </c>
      <c r="N1489" s="187">
        <f t="shared" si="1453"/>
        <v>0</v>
      </c>
      <c r="O1489" s="187">
        <f t="shared" si="1453"/>
        <v>0</v>
      </c>
      <c r="P1489" s="187">
        <f t="shared" ref="P1489:Q1489" si="1454">-P1488</f>
        <v>0</v>
      </c>
      <c r="Q1489" s="187">
        <f t="shared" si="1454"/>
        <v>0</v>
      </c>
      <c r="R1489" s="188">
        <f t="shared" ref="R1489" si="1455">-R1488</f>
        <v>0</v>
      </c>
    </row>
    <row r="1490" spans="1:18" ht="12.75" customHeight="1" x14ac:dyDescent="0.2">
      <c r="A1490" s="107"/>
      <c r="B1490" s="33"/>
      <c r="E1490" s="658"/>
      <c r="F1490" s="76"/>
      <c r="G1490" s="187"/>
      <c r="H1490" s="138"/>
      <c r="I1490" s="33"/>
      <c r="J1490" s="33"/>
      <c r="K1490" s="33"/>
      <c r="L1490" s="33"/>
      <c r="M1490" s="33"/>
      <c r="N1490" s="33"/>
      <c r="O1490" s="33"/>
      <c r="P1490" s="33"/>
      <c r="Q1490" s="33"/>
      <c r="R1490" s="114"/>
    </row>
    <row r="1491" spans="1:18" x14ac:dyDescent="0.2">
      <c r="A1491" s="107"/>
      <c r="B1491" s="33"/>
      <c r="E1491" s="658"/>
      <c r="F1491" s="64" t="str">
        <f>F1192</f>
        <v>Non-Cash Expenses</v>
      </c>
      <c r="G1491" s="198"/>
      <c r="H1491" s="138"/>
      <c r="I1491" s="33"/>
      <c r="J1491" s="33"/>
      <c r="K1491" s="33"/>
      <c r="L1491" s="33"/>
      <c r="M1491" s="33"/>
      <c r="N1491" s="33"/>
      <c r="O1491" s="33"/>
      <c r="P1491" s="33"/>
      <c r="Q1491" s="33"/>
      <c r="R1491" s="114"/>
    </row>
    <row r="1492" spans="1:18" x14ac:dyDescent="0.2">
      <c r="A1492" s="107">
        <v>5000</v>
      </c>
      <c r="B1492" s="33">
        <v>7200</v>
      </c>
      <c r="C1492" s="189">
        <v>21300</v>
      </c>
      <c r="D1492" s="189">
        <v>19600</v>
      </c>
      <c r="E1492" s="658" t="s">
        <v>2931</v>
      </c>
      <c r="F1492" s="601" t="s">
        <v>1664</v>
      </c>
      <c r="G1492" s="198">
        <v>22000</v>
      </c>
      <c r="H1492" s="138">
        <f>IF(D1492=G1492,0,IF(D1492=0,100,(G1492-D1492)/D1492*100))</f>
        <v>12.244897959183673</v>
      </c>
      <c r="I1492" s="33">
        <f>ROUNDUP(G1492+(G1492*Assumptions!H$18),-2)</f>
        <v>22500</v>
      </c>
      <c r="J1492" s="33">
        <f>ROUNDUP(I1492+(I1492*Assumptions!I$18),-2)</f>
        <v>23000</v>
      </c>
      <c r="K1492" s="33">
        <f>ROUNDUP(J1492+(J1492*Assumptions!J$18),-2)</f>
        <v>23500</v>
      </c>
      <c r="L1492" s="33">
        <f>ROUNDUP(K1492+(K1492*Assumptions!K$18),-2)</f>
        <v>24000</v>
      </c>
      <c r="M1492" s="33">
        <f>ROUNDUP(L1492+(L1492*Assumptions!L$18),-2)</f>
        <v>24500</v>
      </c>
      <c r="N1492" s="33">
        <f>ROUNDUP(M1492+(M1492*Assumptions!M$18),-2)</f>
        <v>25000</v>
      </c>
      <c r="O1492" s="33">
        <f>ROUNDUP(N1492+(N1492*Assumptions!N$18),-2)</f>
        <v>25500</v>
      </c>
      <c r="P1492" s="33">
        <f>ROUNDUP(O1492+(O1492*Assumptions!O$18),-2)</f>
        <v>26100</v>
      </c>
      <c r="Q1492" s="33">
        <f>ROUNDUP(P1492+(P1492*Assumptions!P$18),-2)</f>
        <v>26700</v>
      </c>
      <c r="R1492" s="114">
        <f>ROUNDUP(Q1492+(Q1492*Assumptions!Q$18),-2)</f>
        <v>27300</v>
      </c>
    </row>
    <row r="1493" spans="1:18" ht="13.5" thickBot="1" x14ac:dyDescent="0.25">
      <c r="A1493" s="107"/>
      <c r="B1493" s="33"/>
      <c r="D1493" s="187"/>
      <c r="E1493" s="1954"/>
      <c r="F1493" s="33"/>
      <c r="G1493" s="198"/>
      <c r="H1493" s="138"/>
      <c r="I1493" s="33"/>
      <c r="J1493" s="33"/>
      <c r="K1493" s="33"/>
      <c r="L1493" s="33"/>
      <c r="M1493" s="33"/>
      <c r="N1493" s="33"/>
      <c r="O1493" s="33"/>
      <c r="P1493" s="33"/>
      <c r="Q1493" s="33"/>
      <c r="R1493" s="114"/>
    </row>
    <row r="1494" spans="1:18" s="92" customFormat="1" x14ac:dyDescent="0.2">
      <c r="A1494" s="105">
        <f>SUM(A1476:A1493)</f>
        <v>262400</v>
      </c>
      <c r="B1494" s="53">
        <f>SUM(B1476:B1493)</f>
        <v>226700</v>
      </c>
      <c r="C1494" s="190">
        <f>SUM(C1476:C1493)</f>
        <v>296300</v>
      </c>
      <c r="D1494" s="190">
        <f>SUM(D1476:D1493)</f>
        <v>308800</v>
      </c>
      <c r="E1494" s="237"/>
      <c r="F1494" s="378" t="s">
        <v>565</v>
      </c>
      <c r="G1494" s="2550">
        <f t="shared" ref="G1494:O1494" si="1456">SUM(G1476:G1493)</f>
        <v>308400</v>
      </c>
      <c r="H1494" s="180">
        <f>IF(D1494=G1494,0,IF(D1494=0,100,(G1494-D1494)/D1494*100))</f>
        <v>-0.1295336787564767</v>
      </c>
      <c r="I1494" s="53">
        <f t="shared" si="1456"/>
        <v>313500</v>
      </c>
      <c r="J1494" s="53">
        <f t="shared" si="1456"/>
        <v>321600</v>
      </c>
      <c r="K1494" s="53">
        <f t="shared" si="1456"/>
        <v>330000</v>
      </c>
      <c r="L1494" s="53">
        <f t="shared" si="1456"/>
        <v>338500</v>
      </c>
      <c r="M1494" s="53">
        <f t="shared" si="1456"/>
        <v>345700</v>
      </c>
      <c r="N1494" s="53">
        <f t="shared" si="1456"/>
        <v>352900</v>
      </c>
      <c r="O1494" s="53">
        <f t="shared" si="1456"/>
        <v>360300</v>
      </c>
      <c r="P1494" s="53">
        <f t="shared" ref="P1494:Q1494" si="1457">SUM(P1476:P1493)</f>
        <v>367900</v>
      </c>
      <c r="Q1494" s="53">
        <f t="shared" si="1457"/>
        <v>375700</v>
      </c>
      <c r="R1494" s="113">
        <f t="shared" ref="R1494" si="1458">SUM(R1476:R1493)</f>
        <v>383600</v>
      </c>
    </row>
    <row r="1495" spans="1:18" x14ac:dyDescent="0.2">
      <c r="A1495" s="107"/>
      <c r="B1495" s="33"/>
      <c r="E1495" s="1955"/>
      <c r="F1495" s="366"/>
      <c r="G1495" s="2509"/>
      <c r="H1495" s="138"/>
      <c r="I1495" s="33"/>
      <c r="J1495" s="33"/>
      <c r="K1495" s="33"/>
      <c r="L1495" s="33"/>
      <c r="M1495" s="33"/>
      <c r="N1495" s="33"/>
      <c r="O1495" s="33"/>
      <c r="P1495" s="33"/>
      <c r="Q1495" s="33"/>
      <c r="R1495" s="114"/>
    </row>
    <row r="1496" spans="1:18" s="92" customFormat="1" x14ac:dyDescent="0.2">
      <c r="A1496" s="70">
        <f>A1474-A1494</f>
        <v>97900</v>
      </c>
      <c r="B1496" s="64">
        <f>B1474-B1494</f>
        <v>112900</v>
      </c>
      <c r="C1496" s="193">
        <f>C1474-C1494</f>
        <v>106900</v>
      </c>
      <c r="D1496" s="193">
        <f>D1474-D1494</f>
        <v>89500</v>
      </c>
      <c r="E1496" s="237"/>
      <c r="F1496" s="371" t="s">
        <v>1019</v>
      </c>
      <c r="G1496" s="2511">
        <f t="shared" ref="G1496:O1496" si="1459">G1474-G1494</f>
        <v>91600</v>
      </c>
      <c r="H1496" s="179">
        <f>IF(D1496=G1496,0,IF(D1496=0,100,(G1496-D1496)/D1496*100))</f>
        <v>2.3463687150837989</v>
      </c>
      <c r="I1496" s="64">
        <f t="shared" si="1459"/>
        <v>92500</v>
      </c>
      <c r="J1496" s="64">
        <f t="shared" si="1459"/>
        <v>94600</v>
      </c>
      <c r="K1496" s="64">
        <f t="shared" si="1459"/>
        <v>96700</v>
      </c>
      <c r="L1496" s="64">
        <f t="shared" si="1459"/>
        <v>98900</v>
      </c>
      <c r="M1496" s="64">
        <f t="shared" si="1459"/>
        <v>100500</v>
      </c>
      <c r="N1496" s="64">
        <f t="shared" si="1459"/>
        <v>102300</v>
      </c>
      <c r="O1496" s="64">
        <f t="shared" si="1459"/>
        <v>104100</v>
      </c>
      <c r="P1496" s="64">
        <f t="shared" ref="P1496:Q1496" si="1460">P1474-P1494</f>
        <v>105800</v>
      </c>
      <c r="Q1496" s="64">
        <f t="shared" si="1460"/>
        <v>107500</v>
      </c>
      <c r="R1496" s="115">
        <f t="shared" ref="R1496" si="1461">R1474-R1494</f>
        <v>109300</v>
      </c>
    </row>
    <row r="1497" spans="1:18" x14ac:dyDescent="0.2">
      <c r="A1497" s="107">
        <f>SUM(A1492:A1492)</f>
        <v>5000</v>
      </c>
      <c r="B1497" s="33">
        <f>SUM(B1492:B1492)</f>
        <v>7200</v>
      </c>
      <c r="C1497" s="189">
        <f>SUM(C1492:C1492)</f>
        <v>21300</v>
      </c>
      <c r="D1497" s="189">
        <f>SUM(D1492:D1492)</f>
        <v>19600</v>
      </c>
      <c r="E1497" s="1955"/>
      <c r="F1497" s="372" t="s">
        <v>1976</v>
      </c>
      <c r="G1497" s="2509">
        <f t="shared" ref="G1497:O1497" si="1462">SUM(G1492:G1492)</f>
        <v>22000</v>
      </c>
      <c r="H1497" s="138">
        <f>IF(D1497=G1497,0,IF(D1497=0,100,(G1497-D1497)/D1497*100))</f>
        <v>12.244897959183673</v>
      </c>
      <c r="I1497" s="187">
        <f t="shared" si="1462"/>
        <v>22500</v>
      </c>
      <c r="J1497" s="187">
        <f t="shared" si="1462"/>
        <v>23000</v>
      </c>
      <c r="K1497" s="187">
        <f t="shared" si="1462"/>
        <v>23500</v>
      </c>
      <c r="L1497" s="187">
        <f t="shared" si="1462"/>
        <v>24000</v>
      </c>
      <c r="M1497" s="187">
        <f t="shared" si="1462"/>
        <v>24500</v>
      </c>
      <c r="N1497" s="187">
        <f t="shared" si="1462"/>
        <v>25000</v>
      </c>
      <c r="O1497" s="187">
        <f t="shared" si="1462"/>
        <v>25500</v>
      </c>
      <c r="P1497" s="187">
        <f t="shared" ref="P1497:Q1497" si="1463">SUM(P1492:P1492)</f>
        <v>26100</v>
      </c>
      <c r="Q1497" s="187">
        <f t="shared" si="1463"/>
        <v>26700</v>
      </c>
      <c r="R1497" s="188">
        <f t="shared" ref="R1497" si="1464">SUM(R1492:R1492)</f>
        <v>27300</v>
      </c>
    </row>
    <row r="1498" spans="1:18" s="92" customFormat="1" x14ac:dyDescent="0.2">
      <c r="A1498" s="181">
        <f>A1496+A1497</f>
        <v>102900</v>
      </c>
      <c r="B1498" s="397">
        <f>B1496+B1497</f>
        <v>120100</v>
      </c>
      <c r="C1498" s="398">
        <f>C1496+C1497</f>
        <v>128200</v>
      </c>
      <c r="D1498" s="398">
        <f>D1496+D1497</f>
        <v>109100</v>
      </c>
      <c r="E1498" s="523"/>
      <c r="F1498" s="518" t="s">
        <v>1687</v>
      </c>
      <c r="G1498" s="2607">
        <f t="shared" ref="G1498:O1498" si="1465">G1496+G1497</f>
        <v>113600</v>
      </c>
      <c r="H1498" s="395">
        <f>IF(D1498=G1498,0,IF(D1498=0,100,(G1498-D1498)/D1498*100))</f>
        <v>4.1246562786434469</v>
      </c>
      <c r="I1498" s="728">
        <f t="shared" si="1465"/>
        <v>115000</v>
      </c>
      <c r="J1498" s="728">
        <f t="shared" si="1465"/>
        <v>117600</v>
      </c>
      <c r="K1498" s="728">
        <f t="shared" si="1465"/>
        <v>120200</v>
      </c>
      <c r="L1498" s="728">
        <f t="shared" si="1465"/>
        <v>122900</v>
      </c>
      <c r="M1498" s="728">
        <f t="shared" si="1465"/>
        <v>125000</v>
      </c>
      <c r="N1498" s="728">
        <f t="shared" si="1465"/>
        <v>127300</v>
      </c>
      <c r="O1498" s="728">
        <f t="shared" si="1465"/>
        <v>129600</v>
      </c>
      <c r="P1498" s="728">
        <f t="shared" ref="P1498:Q1498" si="1466">P1496+P1497</f>
        <v>131900</v>
      </c>
      <c r="Q1498" s="728">
        <f t="shared" si="1466"/>
        <v>134200</v>
      </c>
      <c r="R1498" s="1716">
        <f t="shared" ref="R1498" si="1467">R1496+R1497</f>
        <v>136600</v>
      </c>
    </row>
    <row r="1499" spans="1:18" ht="13.5" thickBot="1" x14ac:dyDescent="0.25">
      <c r="A1499" s="751"/>
      <c r="B1499" s="64"/>
      <c r="C1499" s="192"/>
      <c r="D1499" s="192"/>
      <c r="E1499" s="1954"/>
      <c r="F1499" s="175"/>
      <c r="G1499" s="2511"/>
      <c r="H1499" s="179"/>
      <c r="I1499" s="33"/>
      <c r="J1499" s="33"/>
      <c r="K1499" s="33"/>
      <c r="L1499" s="33"/>
      <c r="M1499" s="33"/>
      <c r="N1499" s="33"/>
      <c r="O1499" s="33"/>
      <c r="P1499" s="33"/>
      <c r="Q1499" s="33"/>
      <c r="R1499" s="114"/>
    </row>
    <row r="1500" spans="1:18" x14ac:dyDescent="0.2">
      <c r="A1500" s="105"/>
      <c r="B1500" s="155"/>
      <c r="C1500" s="190"/>
      <c r="D1500" s="190"/>
      <c r="E1500" s="1819"/>
      <c r="F1500" s="373"/>
      <c r="G1500" s="2550"/>
      <c r="H1500" s="180"/>
      <c r="I1500" s="169"/>
      <c r="J1500" s="169"/>
      <c r="K1500" s="169"/>
      <c r="L1500" s="169"/>
      <c r="M1500" s="169"/>
      <c r="N1500" s="169"/>
      <c r="O1500" s="169"/>
      <c r="P1500" s="169"/>
      <c r="Q1500" s="169"/>
      <c r="R1500" s="1717"/>
    </row>
    <row r="1501" spans="1:18" x14ac:dyDescent="0.2">
      <c r="A1501" s="70"/>
      <c r="B1501" s="128"/>
      <c r="C1501" s="193"/>
      <c r="D1501" s="193"/>
      <c r="E1501" s="238"/>
      <c r="F1501" s="516" t="s">
        <v>196</v>
      </c>
      <c r="G1501" s="197"/>
      <c r="H1501" s="179"/>
      <c r="I1501" s="33"/>
      <c r="J1501" s="33"/>
      <c r="K1501" s="33"/>
      <c r="L1501" s="33"/>
      <c r="M1501" s="33"/>
      <c r="N1501" s="33"/>
      <c r="O1501" s="33"/>
      <c r="P1501" s="33"/>
      <c r="Q1501" s="33"/>
      <c r="R1501" s="114"/>
    </row>
    <row r="1502" spans="1:18" x14ac:dyDescent="0.2">
      <c r="A1502" s="70"/>
      <c r="B1502" s="128"/>
      <c r="C1502" s="193"/>
      <c r="D1502" s="193"/>
      <c r="E1502" s="238"/>
      <c r="F1502" s="371"/>
      <c r="G1502" s="197"/>
      <c r="H1502" s="179"/>
      <c r="I1502" s="33"/>
      <c r="J1502" s="33"/>
      <c r="K1502" s="33"/>
      <c r="L1502" s="33"/>
      <c r="M1502" s="33"/>
      <c r="N1502" s="33"/>
      <c r="O1502" s="33"/>
      <c r="P1502" s="33"/>
      <c r="Q1502" s="33"/>
      <c r="R1502" s="114"/>
    </row>
    <row r="1503" spans="1:18" x14ac:dyDescent="0.2">
      <c r="A1503" s="107">
        <v>0</v>
      </c>
      <c r="B1503" s="142">
        <v>0</v>
      </c>
      <c r="C1503" s="189">
        <v>0</v>
      </c>
      <c r="D1503" s="189">
        <v>0</v>
      </c>
      <c r="E1503" s="238"/>
      <c r="F1503" s="366" t="s">
        <v>2900</v>
      </c>
      <c r="G1503" s="198">
        <v>0</v>
      </c>
      <c r="H1503" s="138"/>
      <c r="I1503" s="33">
        <v>0</v>
      </c>
      <c r="J1503" s="33">
        <v>0</v>
      </c>
      <c r="K1503" s="33">
        <v>0</v>
      </c>
      <c r="L1503" s="33">
        <v>0</v>
      </c>
      <c r="M1503" s="33">
        <v>0</v>
      </c>
      <c r="N1503" s="33">
        <v>0</v>
      </c>
      <c r="O1503" s="33">
        <v>0</v>
      </c>
      <c r="P1503" s="33">
        <v>0</v>
      </c>
      <c r="Q1503" s="33">
        <v>0</v>
      </c>
      <c r="R1503" s="114">
        <v>0</v>
      </c>
    </row>
    <row r="1504" spans="1:18" x14ac:dyDescent="0.2">
      <c r="A1504" s="107">
        <v>102700</v>
      </c>
      <c r="B1504" s="142">
        <v>120100</v>
      </c>
      <c r="C1504" s="189">
        <v>128200</v>
      </c>
      <c r="D1504" s="189">
        <f>SUM('Res-Gen'!B220:B221)</f>
        <v>109100</v>
      </c>
      <c r="E1504" s="238"/>
      <c r="F1504" s="366" t="s">
        <v>1942</v>
      </c>
      <c r="G1504" s="198">
        <f>SUM('Res-Gen'!E220:E221)</f>
        <v>113600</v>
      </c>
      <c r="H1504" s="138"/>
      <c r="I1504" s="33">
        <f>SUM('Res-Gen'!H220:H221)</f>
        <v>115000</v>
      </c>
      <c r="J1504" s="33">
        <f>SUM('Res-Gen'!K220:K221)</f>
        <v>117600</v>
      </c>
      <c r="K1504" s="33">
        <f>SUM('Res-Gen'!N220:N221)</f>
        <v>120200</v>
      </c>
      <c r="L1504" s="33">
        <f>SUM('Res-Gen'!Q220:Q221)</f>
        <v>122900</v>
      </c>
      <c r="M1504" s="33">
        <f>SUM('Res-Gen'!T220:T221)</f>
        <v>125000</v>
      </c>
      <c r="N1504" s="33">
        <f>SUM('Res-Gen'!W220:W221)</f>
        <v>127300</v>
      </c>
      <c r="O1504" s="33">
        <f>SUM('Res-Gen'!Z220:Z221)</f>
        <v>129600</v>
      </c>
      <c r="P1504" s="33">
        <f>SUM('Res-Gen'!AC220:AC221)</f>
        <v>131900</v>
      </c>
      <c r="Q1504" s="33">
        <f>SUM('Res-Gen'!AF220:AF221)</f>
        <v>134200</v>
      </c>
      <c r="R1504" s="114">
        <f>SUM('Res-Gen'!AI220:AI221)</f>
        <v>136600</v>
      </c>
    </row>
    <row r="1505" spans="1:18" x14ac:dyDescent="0.2">
      <c r="A1505" s="107">
        <v>125000</v>
      </c>
      <c r="B1505" s="142">
        <v>84400</v>
      </c>
      <c r="C1505" s="189">
        <v>50000</v>
      </c>
      <c r="D1505" s="189">
        <f>SUM('Res-Gen'!C220)</f>
        <v>50000</v>
      </c>
      <c r="E1505" s="238"/>
      <c r="F1505" s="366" t="s">
        <v>2348</v>
      </c>
      <c r="G1505" s="198">
        <f>SUM('Res-Gen'!F220)</f>
        <v>50000</v>
      </c>
      <c r="H1505" s="138"/>
      <c r="I1505" s="33">
        <f>SUM('Res-Gen'!I220:I221)</f>
        <v>50000</v>
      </c>
      <c r="J1505" s="33">
        <f>SUM('Res-Gen'!L220:L221)</f>
        <v>50000</v>
      </c>
      <c r="K1505" s="33">
        <f>SUM('Res-Gen'!O220:O221)</f>
        <v>50000</v>
      </c>
      <c r="L1505" s="33">
        <f>SUM('Res-Gen'!R220:R221)</f>
        <v>50000</v>
      </c>
      <c r="M1505" s="33">
        <f>SUM('Res-Gen'!U220:U221)</f>
        <v>50000</v>
      </c>
      <c r="N1505" s="33">
        <f>SUM('Res-Gen'!X220:X221)</f>
        <v>50000</v>
      </c>
      <c r="O1505" s="33">
        <f>SUM('Res-Gen'!AA220:AA221)</f>
        <v>50000</v>
      </c>
      <c r="P1505" s="33">
        <f>SUM('Res-Gen'!AD220:AD221)</f>
        <v>50000</v>
      </c>
      <c r="Q1505" s="33">
        <f>SUM('Res-Gen'!AG220:AG221)</f>
        <v>50000</v>
      </c>
      <c r="R1505" s="114">
        <f>SUM('Res-Gen'!AJ220:AJ221)</f>
        <v>50000</v>
      </c>
    </row>
    <row r="1506" spans="1:18" x14ac:dyDescent="0.2">
      <c r="A1506" s="107">
        <v>0</v>
      </c>
      <c r="B1506" s="142">
        <v>0</v>
      </c>
      <c r="C1506" s="189">
        <v>0</v>
      </c>
      <c r="D1506" s="189">
        <v>0</v>
      </c>
      <c r="E1506" s="238"/>
      <c r="F1506" s="366" t="s">
        <v>5984</v>
      </c>
      <c r="G1506" s="198">
        <v>0</v>
      </c>
      <c r="H1506" s="138"/>
      <c r="I1506" s="33">
        <v>0</v>
      </c>
      <c r="J1506" s="33">
        <v>0</v>
      </c>
      <c r="K1506" s="33">
        <v>0</v>
      </c>
      <c r="L1506" s="33">
        <v>0</v>
      </c>
      <c r="M1506" s="33">
        <v>0</v>
      </c>
      <c r="N1506" s="33">
        <v>0</v>
      </c>
      <c r="O1506" s="33">
        <v>0</v>
      </c>
      <c r="P1506" s="33">
        <v>0</v>
      </c>
      <c r="Q1506" s="33">
        <v>0</v>
      </c>
      <c r="R1506" s="114">
        <v>0</v>
      </c>
    </row>
    <row r="1507" spans="1:18" x14ac:dyDescent="0.2">
      <c r="A1507" s="107">
        <v>25200</v>
      </c>
      <c r="B1507" s="142">
        <v>34400</v>
      </c>
      <c r="C1507" s="189">
        <v>0</v>
      </c>
      <c r="D1507" s="189">
        <v>0</v>
      </c>
      <c r="E1507" s="238"/>
      <c r="F1507" s="366" t="s">
        <v>972</v>
      </c>
      <c r="G1507" s="198">
        <v>0</v>
      </c>
      <c r="H1507" s="138"/>
      <c r="I1507" s="33">
        <v>0</v>
      </c>
      <c r="J1507" s="33">
        <v>0</v>
      </c>
      <c r="K1507" s="33">
        <v>0</v>
      </c>
      <c r="L1507" s="33">
        <v>0</v>
      </c>
      <c r="M1507" s="33">
        <v>0</v>
      </c>
      <c r="N1507" s="33">
        <v>0</v>
      </c>
      <c r="O1507" s="33">
        <v>0</v>
      </c>
      <c r="P1507" s="33">
        <v>0</v>
      </c>
      <c r="Q1507" s="33">
        <v>0</v>
      </c>
      <c r="R1507" s="114">
        <v>0</v>
      </c>
    </row>
    <row r="1508" spans="1:18" x14ac:dyDescent="0.2">
      <c r="A1508" s="107"/>
      <c r="B1508" s="142"/>
      <c r="E1508" s="238"/>
      <c r="F1508" s="516"/>
      <c r="G1508" s="198"/>
      <c r="H1508" s="138"/>
      <c r="I1508" s="33"/>
      <c r="J1508" s="33"/>
      <c r="K1508" s="33"/>
      <c r="L1508" s="33"/>
      <c r="M1508" s="33"/>
      <c r="N1508" s="33"/>
      <c r="O1508" s="33"/>
      <c r="P1508" s="33"/>
      <c r="Q1508" s="33"/>
      <c r="R1508" s="114"/>
    </row>
    <row r="1509" spans="1:18" s="92" customFormat="1" x14ac:dyDescent="0.2">
      <c r="A1509" s="181">
        <f>A1498-A1503-A1504+A1505++A1506-A1507</f>
        <v>100000</v>
      </c>
      <c r="B1509" s="377">
        <f>B1498-B1503-B1504+B1505++B1506-B1507</f>
        <v>50000</v>
      </c>
      <c r="C1509" s="398">
        <f>C1498-C1503-C1504+C1505++C1506-C1507</f>
        <v>50000</v>
      </c>
      <c r="D1509" s="398">
        <f>D1498-D1503-D1504+D1505++D1506-D1507</f>
        <v>50000</v>
      </c>
      <c r="E1509" s="526"/>
      <c r="F1509" s="518" t="s">
        <v>2490</v>
      </c>
      <c r="G1509" s="2605">
        <f t="shared" ref="G1509:O1509" si="1468">G1498-G1503-G1504+G1505++G1506-G1507</f>
        <v>50000</v>
      </c>
      <c r="H1509" s="395">
        <f>IF(D1509=G1509,0,IF(D1509=0,100,(G1509-D1509)/D1509*100))</f>
        <v>0</v>
      </c>
      <c r="I1509" s="397">
        <f t="shared" si="1468"/>
        <v>50000</v>
      </c>
      <c r="J1509" s="397">
        <f t="shared" si="1468"/>
        <v>50000</v>
      </c>
      <c r="K1509" s="397">
        <f t="shared" si="1468"/>
        <v>50000</v>
      </c>
      <c r="L1509" s="397">
        <f t="shared" si="1468"/>
        <v>50000</v>
      </c>
      <c r="M1509" s="397">
        <f t="shared" si="1468"/>
        <v>50000</v>
      </c>
      <c r="N1509" s="397">
        <f t="shared" si="1468"/>
        <v>50000</v>
      </c>
      <c r="O1509" s="397">
        <f t="shared" si="1468"/>
        <v>50000</v>
      </c>
      <c r="P1509" s="397">
        <f t="shared" ref="P1509:Q1509" si="1469">P1498-P1503-P1504+P1505++P1506-P1507</f>
        <v>50000</v>
      </c>
      <c r="Q1509" s="397">
        <f t="shared" si="1469"/>
        <v>50000</v>
      </c>
      <c r="R1509" s="399">
        <f t="shared" ref="R1509" si="1470">R1498-R1503-R1504+R1505++R1506-R1507</f>
        <v>50000</v>
      </c>
    </row>
    <row r="1510" spans="1:18" ht="13.5" thickBot="1" x14ac:dyDescent="0.25">
      <c r="A1510" s="73"/>
      <c r="B1510" s="134"/>
      <c r="C1510" s="195"/>
      <c r="D1510" s="195"/>
      <c r="E1510" s="239"/>
      <c r="F1510" s="368"/>
      <c r="G1510" s="2502"/>
      <c r="H1510" s="392"/>
      <c r="I1510" s="66"/>
      <c r="J1510" s="66"/>
      <c r="K1510" s="66"/>
      <c r="L1510" s="66"/>
      <c r="M1510" s="66"/>
      <c r="N1510" s="66"/>
      <c r="O1510" s="66"/>
      <c r="P1510" s="66"/>
      <c r="Q1510" s="66"/>
      <c r="R1510" s="165"/>
    </row>
    <row r="1511" spans="1:18" ht="14.25" thickTop="1" thickBot="1" x14ac:dyDescent="0.25">
      <c r="A1511" s="74"/>
      <c r="B1511" s="125"/>
      <c r="C1511" s="196"/>
      <c r="D1511" s="196"/>
      <c r="E1511" s="541"/>
      <c r="F1511" s="542"/>
      <c r="G1511" s="196"/>
      <c r="H1511" s="2483"/>
    </row>
    <row r="1512" spans="1:18" s="91" customFormat="1" ht="18.75" customHeight="1" thickTop="1" thickBot="1" x14ac:dyDescent="0.3">
      <c r="A1512" s="2865" t="s">
        <v>6964</v>
      </c>
      <c r="B1512" s="2866"/>
      <c r="C1512" s="2866"/>
      <c r="D1512" s="2866"/>
      <c r="E1512" s="2866"/>
      <c r="F1512" s="2866"/>
      <c r="G1512" s="2866"/>
      <c r="H1512" s="2866"/>
      <c r="I1512" s="2866"/>
      <c r="J1512" s="2866"/>
      <c r="K1512" s="2866"/>
      <c r="L1512" s="2866"/>
      <c r="M1512" s="2866"/>
      <c r="N1512" s="2866"/>
      <c r="O1512" s="2866"/>
      <c r="P1512" s="2866"/>
      <c r="Q1512" s="2866"/>
      <c r="R1512" s="2867"/>
    </row>
    <row r="1513" spans="1:18" s="44" customFormat="1" x14ac:dyDescent="0.2">
      <c r="A1513" s="2848" t="s">
        <v>1856</v>
      </c>
      <c r="B1513" s="2840"/>
      <c r="C1513" s="2840"/>
      <c r="D1513" s="2849"/>
      <c r="E1513" s="369" t="s">
        <v>2663</v>
      </c>
      <c r="F1513" s="2649" t="s">
        <v>2251</v>
      </c>
      <c r="G1513" s="2885" t="s">
        <v>2253</v>
      </c>
      <c r="H1513" s="2886"/>
      <c r="I1513" s="2886"/>
      <c r="J1513" s="2886"/>
      <c r="K1513" s="2886"/>
      <c r="L1513" s="2886"/>
      <c r="M1513" s="2886"/>
      <c r="N1513" s="2886"/>
      <c r="O1513" s="2886"/>
      <c r="P1513" s="2886"/>
      <c r="Q1513" s="2886"/>
      <c r="R1513" s="2887"/>
    </row>
    <row r="1514" spans="1:18" s="23" customFormat="1" ht="12.75" customHeight="1" thickBot="1" x14ac:dyDescent="0.25">
      <c r="A1514" s="208" t="str">
        <f>A3</f>
        <v>2012/13</v>
      </c>
      <c r="B1514" s="75" t="str">
        <f>B3</f>
        <v>2013/14</v>
      </c>
      <c r="C1514" s="370" t="str">
        <f>C3</f>
        <v>2014/15</v>
      </c>
      <c r="D1514" s="93" t="str">
        <f>D3</f>
        <v>2015/16</v>
      </c>
      <c r="E1514" s="370" t="str">
        <f>E1272</f>
        <v>ACCOUNT</v>
      </c>
      <c r="F1514" s="42"/>
      <c r="G1514" s="2513" t="str">
        <f>G3</f>
        <v>2016/17</v>
      </c>
      <c r="H1514" s="2193" t="str">
        <f>H1272</f>
        <v>%</v>
      </c>
      <c r="I1514" s="370" t="str">
        <f t="shared" ref="I1514:R1514" si="1471">I3</f>
        <v>2017/18</v>
      </c>
      <c r="J1514" s="370" t="str">
        <f t="shared" si="1471"/>
        <v>2018/19</v>
      </c>
      <c r="K1514" s="370" t="str">
        <f t="shared" si="1471"/>
        <v>2019/20</v>
      </c>
      <c r="L1514" s="370" t="str">
        <f t="shared" si="1471"/>
        <v>2020/21</v>
      </c>
      <c r="M1514" s="370" t="str">
        <f t="shared" si="1471"/>
        <v>2021/22</v>
      </c>
      <c r="N1514" s="370" t="str">
        <f t="shared" si="1471"/>
        <v>2022/23</v>
      </c>
      <c r="O1514" s="370" t="str">
        <f t="shared" si="1471"/>
        <v>2023/24</v>
      </c>
      <c r="P1514" s="370" t="str">
        <f t="shared" si="1471"/>
        <v>2024/25</v>
      </c>
      <c r="Q1514" s="218" t="str">
        <f t="shared" si="1471"/>
        <v>2025/26</v>
      </c>
      <c r="R1514" s="549" t="str">
        <f t="shared" si="1471"/>
        <v>2026/27</v>
      </c>
    </row>
    <row r="1515" spans="1:18" x14ac:dyDescent="0.2">
      <c r="A1515" s="98"/>
      <c r="B1515" s="33"/>
      <c r="C1515" s="187"/>
      <c r="D1515" s="187"/>
      <c r="E1515" s="1954"/>
      <c r="F1515" s="76"/>
      <c r="G1515" s="2611"/>
      <c r="H1515" s="1707"/>
      <c r="I1515" s="169"/>
      <c r="J1515" s="169"/>
      <c r="K1515" s="169"/>
      <c r="L1515" s="169"/>
      <c r="M1515" s="33"/>
      <c r="N1515" s="33"/>
      <c r="O1515" s="33"/>
      <c r="P1515" s="33"/>
      <c r="Q1515" s="33"/>
      <c r="R1515" s="114"/>
    </row>
    <row r="1516" spans="1:18" x14ac:dyDescent="0.2">
      <c r="A1516" s="98"/>
      <c r="B1516" s="33"/>
      <c r="C1516" s="187"/>
      <c r="D1516" s="187"/>
      <c r="E1516" s="1954"/>
      <c r="F1516" s="103" t="s">
        <v>1073</v>
      </c>
      <c r="G1516" s="187"/>
      <c r="H1516" s="138"/>
      <c r="I1516" s="33"/>
      <c r="J1516" s="33"/>
      <c r="K1516" s="33"/>
      <c r="L1516" s="33"/>
      <c r="M1516" s="33"/>
      <c r="N1516" s="33"/>
      <c r="O1516" s="33"/>
      <c r="P1516" s="33"/>
      <c r="Q1516" s="33"/>
      <c r="R1516" s="114"/>
    </row>
    <row r="1517" spans="1:18" x14ac:dyDescent="0.2">
      <c r="A1517" s="98"/>
      <c r="B1517" s="33"/>
      <c r="E1517" s="1954"/>
      <c r="F1517" s="103"/>
      <c r="G1517" s="187"/>
      <c r="H1517" s="138"/>
      <c r="I1517" s="33"/>
      <c r="J1517" s="33"/>
      <c r="K1517" s="33"/>
      <c r="L1517" s="33"/>
      <c r="M1517" s="33"/>
      <c r="N1517" s="33"/>
      <c r="O1517" s="33"/>
      <c r="P1517" s="33"/>
      <c r="Q1517" s="33"/>
      <c r="R1517" s="114"/>
    </row>
    <row r="1518" spans="1:18" x14ac:dyDescent="0.2">
      <c r="A1518" s="98"/>
      <c r="B1518" s="33"/>
      <c r="E1518" s="1954"/>
      <c r="F1518" s="2529" t="s">
        <v>2881</v>
      </c>
      <c r="G1518" s="187"/>
      <c r="H1518" s="138"/>
      <c r="I1518" s="33"/>
      <c r="J1518" s="33"/>
      <c r="K1518" s="33"/>
      <c r="L1518" s="33"/>
      <c r="M1518" s="33"/>
      <c r="N1518" s="33"/>
      <c r="O1518" s="33"/>
      <c r="P1518" s="33"/>
      <c r="Q1518" s="33"/>
      <c r="R1518" s="114"/>
    </row>
    <row r="1519" spans="1:18" x14ac:dyDescent="0.2">
      <c r="A1519" s="98">
        <v>0</v>
      </c>
      <c r="B1519" s="33">
        <v>0</v>
      </c>
      <c r="C1519" s="189">
        <v>0</v>
      </c>
      <c r="D1519" s="189">
        <v>17900</v>
      </c>
      <c r="E1519" s="1360" t="s">
        <v>5937</v>
      </c>
      <c r="F1519" s="77" t="s">
        <v>6075</v>
      </c>
      <c r="G1519" s="187">
        <v>0</v>
      </c>
      <c r="H1519" s="138">
        <f>IF(D1519=G1519,0,IF(D1519=0,100,(G1519-D1519)/D1519*100))</f>
        <v>-100</v>
      </c>
      <c r="I1519" s="33">
        <f>ROUNDUP(G1519+(G1519*Assumptions!H$5),-2)</f>
        <v>0</v>
      </c>
      <c r="J1519" s="33">
        <f>ROUNDUP(I1519+(I1519*Assumptions!I$5),-2)</f>
        <v>0</v>
      </c>
      <c r="K1519" s="33">
        <f>ROUNDUP(J1519+(J1519*Assumptions!J$5),-2)</f>
        <v>0</v>
      </c>
      <c r="L1519" s="33">
        <f>ROUNDUP(K1519+(K1519*Assumptions!K$5),-2)</f>
        <v>0</v>
      </c>
      <c r="M1519" s="33">
        <f>ROUNDUP(L1519+(L1519*Assumptions!L$5),-2)</f>
        <v>0</v>
      </c>
      <c r="N1519" s="33">
        <f>ROUNDUP(M1519+(M1519*Assumptions!M$5),-2)</f>
        <v>0</v>
      </c>
      <c r="O1519" s="33">
        <f>ROUNDUP(N1519+(N1519*Assumptions!N$5),-2)</f>
        <v>0</v>
      </c>
      <c r="P1519" s="33">
        <f>ROUNDUP(O1519+(O1519*Assumptions!O$5),-2)</f>
        <v>0</v>
      </c>
      <c r="Q1519" s="33">
        <f>ROUNDUP(P1519+(P1519*Assumptions!P$5),-2)</f>
        <v>0</v>
      </c>
      <c r="R1519" s="114">
        <f>ROUNDUP(Q1519+(Q1519*Assumptions!Q$5),-2)</f>
        <v>0</v>
      </c>
    </row>
    <row r="1520" spans="1:18" x14ac:dyDescent="0.2">
      <c r="A1520" s="98"/>
      <c r="B1520" s="33"/>
      <c r="E1520" s="1954"/>
      <c r="F1520" s="103"/>
      <c r="G1520" s="187"/>
      <c r="H1520" s="138"/>
      <c r="I1520" s="33"/>
      <c r="J1520" s="33"/>
      <c r="K1520" s="33"/>
      <c r="L1520" s="33"/>
      <c r="M1520" s="33"/>
      <c r="N1520" s="33"/>
      <c r="O1520" s="33"/>
      <c r="P1520" s="33"/>
      <c r="Q1520" s="33"/>
      <c r="R1520" s="114"/>
    </row>
    <row r="1521" spans="1:18" x14ac:dyDescent="0.2">
      <c r="A1521" s="98"/>
      <c r="B1521" s="33"/>
      <c r="E1521" s="1954"/>
      <c r="F1521" s="2529" t="s">
        <v>687</v>
      </c>
      <c r="G1521" s="187"/>
      <c r="H1521" s="138"/>
      <c r="I1521" s="33"/>
      <c r="J1521" s="33"/>
      <c r="K1521" s="33"/>
      <c r="L1521" s="33"/>
      <c r="M1521" s="33"/>
      <c r="N1521" s="33"/>
      <c r="O1521" s="33"/>
      <c r="P1521" s="33"/>
      <c r="Q1521" s="33"/>
      <c r="R1521" s="114"/>
    </row>
    <row r="1522" spans="1:18" x14ac:dyDescent="0.2">
      <c r="A1522" s="107">
        <v>5600</v>
      </c>
      <c r="B1522" s="33">
        <v>0</v>
      </c>
      <c r="C1522" s="189">
        <v>7200</v>
      </c>
      <c r="D1522" s="189">
        <v>44000</v>
      </c>
      <c r="E1522" s="1092">
        <v>22256</v>
      </c>
      <c r="F1522" s="76" t="s">
        <v>1486</v>
      </c>
      <c r="G1522" s="187">
        <v>0</v>
      </c>
      <c r="H1522" s="138">
        <f>IF(D1522=G1522,0,IF(D1522=0,100,(G1522-D1522)/D1522*100))</f>
        <v>-100</v>
      </c>
      <c r="I1522" s="33">
        <v>0</v>
      </c>
      <c r="J1522" s="33">
        <v>0</v>
      </c>
      <c r="K1522" s="33">
        <v>0</v>
      </c>
      <c r="L1522" s="33">
        <v>0</v>
      </c>
      <c r="M1522" s="33">
        <v>0</v>
      </c>
      <c r="N1522" s="33">
        <v>0</v>
      </c>
      <c r="O1522" s="33">
        <v>0</v>
      </c>
      <c r="P1522" s="33">
        <v>0</v>
      </c>
      <c r="Q1522" s="33">
        <v>0</v>
      </c>
      <c r="R1522" s="114">
        <v>0</v>
      </c>
    </row>
    <row r="1523" spans="1:18" x14ac:dyDescent="0.2">
      <c r="A1523" s="98"/>
      <c r="B1523" s="33"/>
      <c r="E1523" s="1954"/>
      <c r="F1523" s="103"/>
      <c r="G1523" s="187"/>
      <c r="H1523" s="138"/>
      <c r="I1523" s="33"/>
      <c r="J1523" s="33"/>
      <c r="K1523" s="33"/>
      <c r="L1523" s="33"/>
      <c r="M1523" s="33"/>
      <c r="N1523" s="33"/>
      <c r="O1523" s="33"/>
      <c r="P1523" s="33"/>
      <c r="Q1523" s="33"/>
      <c r="R1523" s="114"/>
    </row>
    <row r="1524" spans="1:18" x14ac:dyDescent="0.2">
      <c r="A1524" s="98"/>
      <c r="B1524" s="33"/>
      <c r="E1524" s="1954"/>
      <c r="F1524" s="2529" t="s">
        <v>5363</v>
      </c>
      <c r="G1524" s="187"/>
      <c r="H1524" s="138"/>
      <c r="I1524" s="33"/>
      <c r="J1524" s="33"/>
      <c r="K1524" s="33"/>
      <c r="L1524" s="33"/>
      <c r="M1524" s="33"/>
      <c r="N1524" s="33"/>
      <c r="O1524" s="33"/>
      <c r="P1524" s="33"/>
      <c r="Q1524" s="33"/>
      <c r="R1524" s="114"/>
    </row>
    <row r="1525" spans="1:18" x14ac:dyDescent="0.2">
      <c r="A1525" s="107">
        <v>0</v>
      </c>
      <c r="B1525" s="33">
        <v>82700</v>
      </c>
      <c r="C1525" s="189">
        <v>79200</v>
      </c>
      <c r="D1525" s="189">
        <v>51400</v>
      </c>
      <c r="E1525" s="1092" t="s">
        <v>3456</v>
      </c>
      <c r="F1525" s="77" t="s">
        <v>2671</v>
      </c>
      <c r="G1525" s="187">
        <v>0</v>
      </c>
      <c r="H1525" s="138">
        <f>IF(D1525=G1525,0,IF(D1525=0,100,(G1525-D1525)/D1525*100))</f>
        <v>-100</v>
      </c>
      <c r="I1525" s="33">
        <v>0</v>
      </c>
      <c r="J1525" s="33">
        <v>0</v>
      </c>
      <c r="K1525" s="33">
        <v>0</v>
      </c>
      <c r="L1525" s="33">
        <v>0</v>
      </c>
      <c r="M1525" s="33">
        <v>0</v>
      </c>
      <c r="N1525" s="33">
        <v>0</v>
      </c>
      <c r="O1525" s="33">
        <v>0</v>
      </c>
      <c r="P1525" s="33">
        <v>0</v>
      </c>
      <c r="Q1525" s="33">
        <v>0</v>
      </c>
      <c r="R1525" s="114">
        <v>0</v>
      </c>
    </row>
    <row r="1526" spans="1:18" ht="13.5" thickBot="1" x14ac:dyDescent="0.25">
      <c r="A1526" s="107"/>
      <c r="B1526" s="33"/>
      <c r="E1526" s="1954"/>
      <c r="F1526" s="76"/>
      <c r="G1526" s="187"/>
      <c r="H1526" s="138"/>
      <c r="I1526" s="33"/>
      <c r="J1526" s="33"/>
      <c r="K1526" s="33"/>
      <c r="L1526" s="33"/>
      <c r="M1526" s="33"/>
      <c r="N1526" s="33"/>
      <c r="O1526" s="33"/>
      <c r="P1526" s="33"/>
      <c r="Q1526" s="33"/>
      <c r="R1526" s="114"/>
    </row>
    <row r="1527" spans="1:18" s="92" customFormat="1" x14ac:dyDescent="0.2">
      <c r="A1527" s="105">
        <f>SUM(A1516:A1526)</f>
        <v>5600</v>
      </c>
      <c r="B1527" s="53">
        <f>SUM(B1516:B1526)</f>
        <v>82700</v>
      </c>
      <c r="C1527" s="199">
        <f>SUM(C1516:C1526)</f>
        <v>86400</v>
      </c>
      <c r="D1527" s="199">
        <f>SUM(D1516:D1526)</f>
        <v>113300</v>
      </c>
      <c r="E1527" s="236"/>
      <c r="F1527" s="1960" t="s">
        <v>2605</v>
      </c>
      <c r="G1527" s="199">
        <f>SUM(G1516:G1526)</f>
        <v>0</v>
      </c>
      <c r="H1527" s="180">
        <f>IF(D1527=G1527,0,IF(D1527=0,100,(G1527-D1527)/D1527*100))</f>
        <v>-100</v>
      </c>
      <c r="I1527" s="53">
        <f t="shared" ref="I1527:Q1527" si="1472">SUM(I1516:I1526)</f>
        <v>0</v>
      </c>
      <c r="J1527" s="53">
        <f t="shared" si="1472"/>
        <v>0</v>
      </c>
      <c r="K1527" s="53">
        <f t="shared" si="1472"/>
        <v>0</v>
      </c>
      <c r="L1527" s="53">
        <f t="shared" si="1472"/>
        <v>0</v>
      </c>
      <c r="M1527" s="53">
        <f t="shared" si="1472"/>
        <v>0</v>
      </c>
      <c r="N1527" s="53">
        <f t="shared" si="1472"/>
        <v>0</v>
      </c>
      <c r="O1527" s="53">
        <f t="shared" si="1472"/>
        <v>0</v>
      </c>
      <c r="P1527" s="53">
        <f t="shared" si="1472"/>
        <v>0</v>
      </c>
      <c r="Q1527" s="53">
        <f t="shared" si="1472"/>
        <v>0</v>
      </c>
      <c r="R1527" s="113">
        <f t="shared" ref="R1527" si="1473">SUM(R1516:R1526)</f>
        <v>0</v>
      </c>
    </row>
    <row r="1528" spans="1:18" x14ac:dyDescent="0.2">
      <c r="A1528" s="98"/>
      <c r="B1528" s="33"/>
      <c r="C1528" s="187"/>
      <c r="D1528" s="187"/>
      <c r="E1528" s="1954"/>
      <c r="F1528" s="79"/>
      <c r="G1528" s="187"/>
      <c r="H1528" s="138"/>
      <c r="I1528" s="33"/>
      <c r="J1528" s="33"/>
      <c r="K1528" s="33"/>
      <c r="L1528" s="33"/>
      <c r="M1528" s="33"/>
      <c r="N1528" s="33"/>
      <c r="O1528" s="33"/>
      <c r="P1528" s="33"/>
      <c r="Q1528" s="33"/>
      <c r="R1528" s="114"/>
    </row>
    <row r="1529" spans="1:18" x14ac:dyDescent="0.2">
      <c r="A1529" s="107"/>
      <c r="B1529" s="33"/>
      <c r="C1529" s="187"/>
      <c r="D1529" s="187"/>
      <c r="E1529" s="240"/>
      <c r="F1529" s="103" t="s">
        <v>2205</v>
      </c>
      <c r="G1529" s="187"/>
      <c r="H1529" s="138"/>
      <c r="I1529" s="33"/>
      <c r="J1529" s="33"/>
      <c r="K1529" s="33"/>
      <c r="L1529" s="33"/>
      <c r="M1529" s="33"/>
      <c r="N1529" s="33"/>
      <c r="O1529" s="33"/>
      <c r="P1529" s="33"/>
      <c r="Q1529" s="33"/>
      <c r="R1529" s="114"/>
    </row>
    <row r="1530" spans="1:18" x14ac:dyDescent="0.2">
      <c r="A1530" s="107"/>
      <c r="B1530" s="33"/>
      <c r="E1530" s="658"/>
      <c r="F1530" s="3"/>
      <c r="G1530" s="187"/>
      <c r="H1530" s="138"/>
      <c r="I1530" s="33"/>
      <c r="J1530" s="33"/>
      <c r="K1530" s="33"/>
      <c r="L1530" s="33"/>
      <c r="M1530" s="33"/>
      <c r="N1530" s="33"/>
      <c r="O1530" s="33"/>
      <c r="P1530" s="33"/>
      <c r="Q1530" s="33"/>
      <c r="R1530" s="114"/>
    </row>
    <row r="1531" spans="1:18" x14ac:dyDescent="0.2">
      <c r="A1531" s="107"/>
      <c r="B1531" s="33"/>
      <c r="E1531" s="658"/>
      <c r="F1531" s="6" t="s">
        <v>594</v>
      </c>
      <c r="G1531" s="187"/>
      <c r="H1531" s="138"/>
      <c r="I1531" s="33"/>
      <c r="J1531" s="33"/>
      <c r="K1531" s="33"/>
      <c r="L1531" s="33"/>
      <c r="M1531" s="33"/>
      <c r="N1531" s="33"/>
      <c r="O1531" s="33"/>
      <c r="P1531" s="33"/>
      <c r="Q1531" s="33"/>
      <c r="R1531" s="114"/>
    </row>
    <row r="1532" spans="1:18" x14ac:dyDescent="0.2">
      <c r="A1532" s="107">
        <v>11000</v>
      </c>
      <c r="B1532" s="33">
        <v>8000</v>
      </c>
      <c r="C1532" s="189">
        <f>2400+1100</f>
        <v>3500</v>
      </c>
      <c r="D1532" s="189">
        <v>700</v>
      </c>
      <c r="E1532" s="658" t="s">
        <v>1582</v>
      </c>
      <c r="F1532" s="3" t="s">
        <v>703</v>
      </c>
      <c r="G1532" s="187">
        <v>8000</v>
      </c>
      <c r="H1532" s="138">
        <f t="shared" ref="H1532:H1556" si="1474">IF(D1532=G1532,0,IF(D1532=0,100,(G1532-D1532)/D1532*100))</f>
        <v>1042.8571428571429</v>
      </c>
      <c r="I1532" s="33">
        <f>ROUNDUP(G1532+(G1532*Assumptions!H$5),-2)</f>
        <v>8200</v>
      </c>
      <c r="J1532" s="33">
        <f>ROUNDUP(I1532+(I1532*Assumptions!I$5),-2)</f>
        <v>8500</v>
      </c>
      <c r="K1532" s="33">
        <f>ROUNDUP(J1532+(J1532*Assumptions!J$5),-2)</f>
        <v>8800</v>
      </c>
      <c r="L1532" s="33">
        <f>ROUNDUP(K1532+(K1532*Assumptions!K$5),-2)</f>
        <v>9100</v>
      </c>
      <c r="M1532" s="33">
        <f>ROUNDUP(L1532+(L1532*Assumptions!L$5),-2)</f>
        <v>9300</v>
      </c>
      <c r="N1532" s="33">
        <f>ROUNDUP(M1532+(M1532*Assumptions!M$5),-2)</f>
        <v>9500</v>
      </c>
      <c r="O1532" s="33">
        <f>ROUNDUP(N1532+(N1532*Assumptions!N$5),-2)</f>
        <v>9700</v>
      </c>
      <c r="P1532" s="33">
        <f>ROUNDUP(O1532+(O1532*Assumptions!O$5),-2)</f>
        <v>9900</v>
      </c>
      <c r="Q1532" s="33">
        <f>ROUNDUP(P1532+(P1532*Assumptions!P$5),-2)</f>
        <v>10100</v>
      </c>
      <c r="R1532" s="114">
        <f>ROUNDUP(Q1532+(Q1532*Assumptions!Q$5),-2)</f>
        <v>10400</v>
      </c>
    </row>
    <row r="1533" spans="1:18" x14ac:dyDescent="0.2">
      <c r="A1533" s="107">
        <f>79400+9700</f>
        <v>89100</v>
      </c>
      <c r="B1533" s="33">
        <f>75500+7200</f>
        <v>82700</v>
      </c>
      <c r="C1533" s="189">
        <v>71800</v>
      </c>
      <c r="D1533" s="189">
        <v>72500</v>
      </c>
      <c r="E1533" s="658" t="s">
        <v>2235</v>
      </c>
      <c r="F1533" s="3" t="s">
        <v>2396</v>
      </c>
      <c r="G1533" s="187">
        <v>92000</v>
      </c>
      <c r="H1533" s="138">
        <f t="shared" si="1474"/>
        <v>26.896551724137929</v>
      </c>
      <c r="I1533" s="33">
        <f>ROUNDUP(G1533+(G1533*Assumptions!H$5),-2)</f>
        <v>93400</v>
      </c>
      <c r="J1533" s="33">
        <f>ROUNDUP(I1533+(I1533*Assumptions!I$5),-2)</f>
        <v>95800</v>
      </c>
      <c r="K1533" s="33">
        <f>ROUNDUP(J1533+(J1533*Assumptions!J$5),-2)</f>
        <v>98200</v>
      </c>
      <c r="L1533" s="33">
        <f>ROUNDUP(K1533+(K1533*Assumptions!K$5),-2)</f>
        <v>100700</v>
      </c>
      <c r="M1533" s="33">
        <f>ROUNDUP(L1533+(L1533*Assumptions!L$5),-2)</f>
        <v>102800</v>
      </c>
      <c r="N1533" s="33">
        <f>ROUNDUP(M1533+(M1533*Assumptions!M$5),-2)</f>
        <v>104900</v>
      </c>
      <c r="O1533" s="33">
        <f>ROUNDUP(N1533+(N1533*Assumptions!N$5),-2)</f>
        <v>107000</v>
      </c>
      <c r="P1533" s="33">
        <f>ROUNDUP(O1533+(O1533*Assumptions!O$5),-2)</f>
        <v>109200</v>
      </c>
      <c r="Q1533" s="33">
        <f>ROUNDUP(P1533+(P1533*Assumptions!P$5),-2)</f>
        <v>111400</v>
      </c>
      <c r="R1533" s="114">
        <f>ROUNDUP(Q1533+(Q1533*Assumptions!Q$5),-2)</f>
        <v>113700</v>
      </c>
    </row>
    <row r="1534" spans="1:18" x14ac:dyDescent="0.2">
      <c r="A1534" s="107">
        <v>27300</v>
      </c>
      <c r="B1534" s="33">
        <v>21800</v>
      </c>
      <c r="C1534" s="189">
        <v>37800</v>
      </c>
      <c r="D1534" s="189">
        <v>34300</v>
      </c>
      <c r="E1534" s="658" t="s">
        <v>2236</v>
      </c>
      <c r="F1534" s="3" t="s">
        <v>858</v>
      </c>
      <c r="G1534" s="187">
        <v>28000</v>
      </c>
      <c r="H1534" s="138">
        <f t="shared" si="1474"/>
        <v>-18.367346938775512</v>
      </c>
      <c r="I1534" s="33">
        <f>ROUNDUP(G1534+(G1534*Assumptions!H$5),-2)</f>
        <v>28500</v>
      </c>
      <c r="J1534" s="33">
        <f>ROUNDUP(I1534+(I1534*Assumptions!I$5),-2)</f>
        <v>29300</v>
      </c>
      <c r="K1534" s="33">
        <f>ROUNDUP(J1534+(J1534*Assumptions!J$5),-2)</f>
        <v>30100</v>
      </c>
      <c r="L1534" s="33">
        <f>ROUNDUP(K1534+(K1534*Assumptions!K$5),-2)</f>
        <v>30900</v>
      </c>
      <c r="M1534" s="33">
        <f>ROUNDUP(L1534+(L1534*Assumptions!L$5),-2)</f>
        <v>31600</v>
      </c>
      <c r="N1534" s="33">
        <f>ROUNDUP(M1534+(M1534*Assumptions!M$5),-2)</f>
        <v>32300</v>
      </c>
      <c r="O1534" s="33">
        <f>ROUNDUP(N1534+(N1534*Assumptions!N$5),-2)</f>
        <v>33000</v>
      </c>
      <c r="P1534" s="33">
        <f>ROUNDUP(O1534+(O1534*Assumptions!O$5),-2)</f>
        <v>33700</v>
      </c>
      <c r="Q1534" s="33">
        <f>ROUNDUP(P1534+(P1534*Assumptions!P$5),-2)</f>
        <v>34400</v>
      </c>
      <c r="R1534" s="114">
        <f>ROUNDUP(Q1534+(Q1534*Assumptions!Q$5),-2)</f>
        <v>35100</v>
      </c>
    </row>
    <row r="1535" spans="1:18" x14ac:dyDescent="0.2">
      <c r="A1535" s="107">
        <v>17100</v>
      </c>
      <c r="B1535" s="33">
        <v>13100</v>
      </c>
      <c r="C1535" s="189">
        <v>17700</v>
      </c>
      <c r="D1535" s="189">
        <v>18500</v>
      </c>
      <c r="E1535" s="658" t="s">
        <v>1081</v>
      </c>
      <c r="F1535" s="3" t="s">
        <v>1943</v>
      </c>
      <c r="G1535" s="187">
        <v>19000</v>
      </c>
      <c r="H1535" s="138">
        <f t="shared" si="1474"/>
        <v>2.7027027027027026</v>
      </c>
      <c r="I1535" s="33">
        <f>ROUNDUP(G1535+(G1535*Assumptions!H$5),-2)</f>
        <v>19300</v>
      </c>
      <c r="J1535" s="33">
        <f>ROUNDUP(I1535+(I1535*Assumptions!I$5),-2)</f>
        <v>19800</v>
      </c>
      <c r="K1535" s="33">
        <f>ROUNDUP(J1535+(J1535*Assumptions!J$5),-2)</f>
        <v>20300</v>
      </c>
      <c r="L1535" s="33">
        <f>ROUNDUP(K1535+(K1535*Assumptions!K$5),-2)</f>
        <v>20900</v>
      </c>
      <c r="M1535" s="33">
        <f>ROUNDUP(L1535+(L1535*Assumptions!L$5),-2)</f>
        <v>21400</v>
      </c>
      <c r="N1535" s="33">
        <f>ROUNDUP(M1535+(M1535*Assumptions!M$5),-2)</f>
        <v>21900</v>
      </c>
      <c r="O1535" s="33">
        <f>ROUNDUP(N1535+(N1535*Assumptions!N$5),-2)</f>
        <v>22400</v>
      </c>
      <c r="P1535" s="33">
        <f>ROUNDUP(O1535+(O1535*Assumptions!O$5),-2)</f>
        <v>22900</v>
      </c>
      <c r="Q1535" s="33">
        <f>ROUNDUP(P1535+(P1535*Assumptions!P$5),-2)</f>
        <v>23400</v>
      </c>
      <c r="R1535" s="114">
        <f>ROUNDUP(Q1535+(Q1535*Assumptions!Q$5),-2)</f>
        <v>23900</v>
      </c>
    </row>
    <row r="1536" spans="1:18" x14ac:dyDescent="0.2">
      <c r="A1536" s="107">
        <v>22100</v>
      </c>
      <c r="B1536" s="33">
        <v>27200</v>
      </c>
      <c r="C1536" s="189">
        <v>34200</v>
      </c>
      <c r="D1536" s="189">
        <v>32800</v>
      </c>
      <c r="E1536" s="658" t="s">
        <v>1082</v>
      </c>
      <c r="F1536" s="3" t="s">
        <v>2214</v>
      </c>
      <c r="G1536" s="187">
        <v>26000</v>
      </c>
      <c r="H1536" s="138">
        <f t="shared" si="1474"/>
        <v>-20.73170731707317</v>
      </c>
      <c r="I1536" s="33">
        <f>ROUNDUP(G1536+(G1536*Assumptions!H$5),-2)</f>
        <v>26400</v>
      </c>
      <c r="J1536" s="33">
        <f>ROUNDUP(I1536+(I1536*Assumptions!I$5),-2)</f>
        <v>27100</v>
      </c>
      <c r="K1536" s="33">
        <f>ROUNDUP(J1536+(J1536*Assumptions!J$5),-2)</f>
        <v>27800</v>
      </c>
      <c r="L1536" s="33">
        <f>ROUNDUP(K1536+(K1536*Assumptions!K$5),-2)</f>
        <v>28500</v>
      </c>
      <c r="M1536" s="33">
        <f>ROUNDUP(L1536+(L1536*Assumptions!L$5),-2)</f>
        <v>29100</v>
      </c>
      <c r="N1536" s="33">
        <f>ROUNDUP(M1536+(M1536*Assumptions!M$5),-2)</f>
        <v>29700</v>
      </c>
      <c r="O1536" s="33">
        <f>ROUNDUP(N1536+(N1536*Assumptions!N$5),-2)</f>
        <v>30300</v>
      </c>
      <c r="P1536" s="33">
        <f>ROUNDUP(O1536+(O1536*Assumptions!O$5),-2)</f>
        <v>31000</v>
      </c>
      <c r="Q1536" s="33">
        <f>ROUNDUP(P1536+(P1536*Assumptions!P$5),-2)</f>
        <v>31700</v>
      </c>
      <c r="R1536" s="114">
        <f>ROUNDUP(Q1536+(Q1536*Assumptions!Q$5),-2)</f>
        <v>32400</v>
      </c>
    </row>
    <row r="1537" spans="1:18" x14ac:dyDescent="0.2">
      <c r="A1537" s="107">
        <v>11700</v>
      </c>
      <c r="B1537" s="33">
        <v>9400</v>
      </c>
      <c r="C1537" s="189">
        <v>20900</v>
      </c>
      <c r="D1537" s="189">
        <v>27900</v>
      </c>
      <c r="E1537" s="658" t="s">
        <v>251</v>
      </c>
      <c r="F1537" s="3" t="s">
        <v>2215</v>
      </c>
      <c r="G1537" s="187">
        <v>11300</v>
      </c>
      <c r="H1537" s="138">
        <f t="shared" si="1474"/>
        <v>-59.498207885304652</v>
      </c>
      <c r="I1537" s="33">
        <f>ROUNDUP(G1537+(G1537*Assumptions!H$5),-2)</f>
        <v>11500</v>
      </c>
      <c r="J1537" s="33">
        <f>ROUNDUP(I1537+(I1537*Assumptions!I$5),-2)</f>
        <v>11800</v>
      </c>
      <c r="K1537" s="33">
        <f>ROUNDUP(J1537+(J1537*Assumptions!J$5),-2)</f>
        <v>12100</v>
      </c>
      <c r="L1537" s="33">
        <f>ROUNDUP(K1537+(K1537*Assumptions!K$5),-2)</f>
        <v>12500</v>
      </c>
      <c r="M1537" s="33">
        <f>ROUNDUP(L1537+(L1537*Assumptions!L$5),-2)</f>
        <v>12800</v>
      </c>
      <c r="N1537" s="33">
        <f>ROUNDUP(M1537+(M1537*Assumptions!M$5),-2)</f>
        <v>13100</v>
      </c>
      <c r="O1537" s="33">
        <f>ROUNDUP(N1537+(N1537*Assumptions!N$5),-2)</f>
        <v>13400</v>
      </c>
      <c r="P1537" s="33">
        <f>ROUNDUP(O1537+(O1537*Assumptions!O$5),-2)</f>
        <v>13700</v>
      </c>
      <c r="Q1537" s="33">
        <f>ROUNDUP(P1537+(P1537*Assumptions!P$5),-2)</f>
        <v>14000</v>
      </c>
      <c r="R1537" s="114">
        <f>ROUNDUP(Q1537+(Q1537*Assumptions!Q$5),-2)</f>
        <v>14300</v>
      </c>
    </row>
    <row r="1538" spans="1:18" x14ac:dyDescent="0.2">
      <c r="A1538" s="107">
        <v>21500</v>
      </c>
      <c r="B1538" s="33">
        <v>18300</v>
      </c>
      <c r="C1538" s="189">
        <f>22400+5400</f>
        <v>27800</v>
      </c>
      <c r="D1538" s="189">
        <f>24300+3500</f>
        <v>27800</v>
      </c>
      <c r="E1538" s="658" t="s">
        <v>252</v>
      </c>
      <c r="F1538" s="443" t="s">
        <v>2216</v>
      </c>
      <c r="G1538" s="198">
        <v>20000</v>
      </c>
      <c r="H1538" s="138">
        <f t="shared" si="1474"/>
        <v>-28.057553956834528</v>
      </c>
      <c r="I1538" s="33">
        <f>ROUNDUP(G1538+(G1538*Assumptions!H$5),-2)</f>
        <v>20300</v>
      </c>
      <c r="J1538" s="33">
        <f>ROUNDUP(I1538+(I1538*Assumptions!I$5),-2)</f>
        <v>20900</v>
      </c>
      <c r="K1538" s="33">
        <f>ROUNDUP(J1538+(J1538*Assumptions!J$5),-2)</f>
        <v>21500</v>
      </c>
      <c r="L1538" s="33">
        <f>ROUNDUP(K1538+(K1538*Assumptions!K$5),-2)</f>
        <v>22100</v>
      </c>
      <c r="M1538" s="33">
        <f>ROUNDUP(L1538+(L1538*Assumptions!L$5),-2)</f>
        <v>22600</v>
      </c>
      <c r="N1538" s="33">
        <f>ROUNDUP(M1538+(M1538*Assumptions!M$5),-2)</f>
        <v>23100</v>
      </c>
      <c r="O1538" s="33">
        <f>ROUNDUP(N1538+(N1538*Assumptions!N$5),-2)</f>
        <v>23600</v>
      </c>
      <c r="P1538" s="33">
        <f>ROUNDUP(O1538+(O1538*Assumptions!O$5),-2)</f>
        <v>24100</v>
      </c>
      <c r="Q1538" s="33">
        <f>ROUNDUP(P1538+(P1538*Assumptions!P$5),-2)</f>
        <v>24600</v>
      </c>
      <c r="R1538" s="114">
        <f>ROUNDUP(Q1538+(Q1538*Assumptions!Q$5),-2)</f>
        <v>25100</v>
      </c>
    </row>
    <row r="1539" spans="1:18" x14ac:dyDescent="0.2">
      <c r="A1539" s="107">
        <v>13400</v>
      </c>
      <c r="B1539" s="33">
        <v>11800</v>
      </c>
      <c r="C1539" s="189">
        <v>12600</v>
      </c>
      <c r="D1539" s="189">
        <v>17300</v>
      </c>
      <c r="E1539" s="658" t="s">
        <v>253</v>
      </c>
      <c r="F1539" s="443" t="s">
        <v>1184</v>
      </c>
      <c r="G1539" s="198">
        <v>13300</v>
      </c>
      <c r="H1539" s="138">
        <f t="shared" si="1474"/>
        <v>-23.121387283236995</v>
      </c>
      <c r="I1539" s="33">
        <f>ROUNDUP(G1539+(G1539*Assumptions!H$5),-2)</f>
        <v>13500</v>
      </c>
      <c r="J1539" s="33">
        <f>ROUNDUP(I1539+(I1539*Assumptions!I$5),-2)</f>
        <v>13900</v>
      </c>
      <c r="K1539" s="33">
        <f>ROUNDUP(J1539+(J1539*Assumptions!J$5),-2)</f>
        <v>14300</v>
      </c>
      <c r="L1539" s="33">
        <f>ROUNDUP(K1539+(K1539*Assumptions!K$5),-2)</f>
        <v>14700</v>
      </c>
      <c r="M1539" s="33">
        <f>ROUNDUP(L1539+(L1539*Assumptions!L$5),-2)</f>
        <v>15000</v>
      </c>
      <c r="N1539" s="33">
        <f>ROUNDUP(M1539+(M1539*Assumptions!M$5),-2)</f>
        <v>15300</v>
      </c>
      <c r="O1539" s="33">
        <f>ROUNDUP(N1539+(N1539*Assumptions!N$5),-2)</f>
        <v>15700</v>
      </c>
      <c r="P1539" s="33">
        <f>ROUNDUP(O1539+(O1539*Assumptions!O$5),-2)</f>
        <v>16100</v>
      </c>
      <c r="Q1539" s="33">
        <f>ROUNDUP(P1539+(P1539*Assumptions!P$5),-2)</f>
        <v>16500</v>
      </c>
      <c r="R1539" s="114">
        <f>ROUNDUP(Q1539+(Q1539*Assumptions!Q$5),-2)</f>
        <v>16900</v>
      </c>
    </row>
    <row r="1540" spans="1:18" x14ac:dyDescent="0.2">
      <c r="A1540" s="107">
        <v>7500</v>
      </c>
      <c r="B1540" s="33">
        <v>8100</v>
      </c>
      <c r="C1540" s="189">
        <v>7500</v>
      </c>
      <c r="D1540" s="189">
        <v>7400</v>
      </c>
      <c r="E1540" s="658" t="s">
        <v>254</v>
      </c>
      <c r="F1540" s="443" t="s">
        <v>2135</v>
      </c>
      <c r="G1540" s="198">
        <v>9200</v>
      </c>
      <c r="H1540" s="138">
        <f t="shared" si="1474"/>
        <v>24.324324324324326</v>
      </c>
      <c r="I1540" s="33">
        <f>ROUNDUP(G1540+(G1540*Assumptions!H$5),-2)</f>
        <v>9400</v>
      </c>
      <c r="J1540" s="33">
        <f>ROUNDUP(I1540+(I1540*Assumptions!I$5),-2)</f>
        <v>9700</v>
      </c>
      <c r="K1540" s="33">
        <f>ROUNDUP(J1540+(J1540*Assumptions!J$5),-2)</f>
        <v>10000</v>
      </c>
      <c r="L1540" s="33">
        <f>ROUNDUP(K1540+(K1540*Assumptions!K$5),-2)</f>
        <v>10300</v>
      </c>
      <c r="M1540" s="33">
        <f>ROUNDUP(L1540+(L1540*Assumptions!L$5),-2)</f>
        <v>10600</v>
      </c>
      <c r="N1540" s="33">
        <f>ROUNDUP(M1540+(M1540*Assumptions!M$5),-2)</f>
        <v>10900</v>
      </c>
      <c r="O1540" s="33">
        <f>ROUNDUP(N1540+(N1540*Assumptions!N$5),-2)</f>
        <v>11200</v>
      </c>
      <c r="P1540" s="33">
        <f>ROUNDUP(O1540+(O1540*Assumptions!O$5),-2)</f>
        <v>11500</v>
      </c>
      <c r="Q1540" s="33">
        <f>ROUNDUP(P1540+(P1540*Assumptions!P$5),-2)</f>
        <v>11800</v>
      </c>
      <c r="R1540" s="114">
        <f>ROUNDUP(Q1540+(Q1540*Assumptions!Q$5),-2)</f>
        <v>12100</v>
      </c>
    </row>
    <row r="1541" spans="1:18" x14ac:dyDescent="0.2">
      <c r="A1541" s="107">
        <v>13000</v>
      </c>
      <c r="B1541" s="33">
        <v>14300</v>
      </c>
      <c r="C1541" s="189">
        <v>17000</v>
      </c>
      <c r="D1541" s="189">
        <v>14300</v>
      </c>
      <c r="E1541" s="658" t="s">
        <v>2477</v>
      </c>
      <c r="F1541" s="443" t="s">
        <v>2719</v>
      </c>
      <c r="G1541" s="198">
        <v>15300</v>
      </c>
      <c r="H1541" s="138">
        <f t="shared" si="1474"/>
        <v>6.9930069930069934</v>
      </c>
      <c r="I1541" s="33">
        <f>ROUNDUP(G1541+(G1541*Assumptions!H$5),-2)</f>
        <v>15600</v>
      </c>
      <c r="J1541" s="33">
        <f>ROUNDUP(I1541+(I1541*Assumptions!I$5),-2)</f>
        <v>16000</v>
      </c>
      <c r="K1541" s="33">
        <f>ROUNDUP(J1541+(J1541*Assumptions!J$5),-2)</f>
        <v>16400</v>
      </c>
      <c r="L1541" s="33">
        <f>ROUNDUP(K1541+(K1541*Assumptions!K$5),-2)</f>
        <v>16900</v>
      </c>
      <c r="M1541" s="33">
        <f>ROUNDUP(L1541+(L1541*Assumptions!L$5),-2)</f>
        <v>17300</v>
      </c>
      <c r="N1541" s="33">
        <f>ROUNDUP(M1541+(M1541*Assumptions!M$5),-2)</f>
        <v>17700</v>
      </c>
      <c r="O1541" s="33">
        <f>ROUNDUP(N1541+(N1541*Assumptions!N$5),-2)</f>
        <v>18100</v>
      </c>
      <c r="P1541" s="33">
        <f>ROUNDUP(O1541+(O1541*Assumptions!O$5),-2)</f>
        <v>18500</v>
      </c>
      <c r="Q1541" s="33">
        <f>ROUNDUP(P1541+(P1541*Assumptions!P$5),-2)</f>
        <v>18900</v>
      </c>
      <c r="R1541" s="114">
        <f>ROUNDUP(Q1541+(Q1541*Assumptions!Q$5),-2)</f>
        <v>19300</v>
      </c>
    </row>
    <row r="1542" spans="1:18" x14ac:dyDescent="0.2">
      <c r="A1542" s="107">
        <v>3600</v>
      </c>
      <c r="B1542" s="33">
        <v>3300</v>
      </c>
      <c r="C1542" s="189">
        <v>5600</v>
      </c>
      <c r="D1542" s="189">
        <v>5900</v>
      </c>
      <c r="E1542" s="658" t="s">
        <v>2391</v>
      </c>
      <c r="F1542" s="443" t="s">
        <v>208</v>
      </c>
      <c r="G1542" s="198">
        <v>5100</v>
      </c>
      <c r="H1542" s="138">
        <f t="shared" si="1474"/>
        <v>-13.559322033898304</v>
      </c>
      <c r="I1542" s="33">
        <f>ROUNDUP(G1542+(G1542*Assumptions!H$5),-2)</f>
        <v>5200</v>
      </c>
      <c r="J1542" s="33">
        <f>ROUNDUP(I1542+(I1542*Assumptions!I$5),-2)</f>
        <v>5400</v>
      </c>
      <c r="K1542" s="33">
        <f>ROUNDUP(J1542+(J1542*Assumptions!J$5),-2)</f>
        <v>5600</v>
      </c>
      <c r="L1542" s="33">
        <f>ROUNDUP(K1542+(K1542*Assumptions!K$5),-2)</f>
        <v>5800</v>
      </c>
      <c r="M1542" s="33">
        <f>ROUNDUP(L1542+(L1542*Assumptions!L$5),-2)</f>
        <v>6000</v>
      </c>
      <c r="N1542" s="33">
        <f>ROUNDUP(M1542+(M1542*Assumptions!M$5),-2)</f>
        <v>6200</v>
      </c>
      <c r="O1542" s="33">
        <f>ROUNDUP(N1542+(N1542*Assumptions!N$5),-2)</f>
        <v>6400</v>
      </c>
      <c r="P1542" s="33">
        <f>ROUNDUP(O1542+(O1542*Assumptions!O$5),-2)</f>
        <v>6600</v>
      </c>
      <c r="Q1542" s="33">
        <f>ROUNDUP(P1542+(P1542*Assumptions!P$5),-2)</f>
        <v>6800</v>
      </c>
      <c r="R1542" s="114">
        <f>ROUNDUP(Q1542+(Q1542*Assumptions!Q$5),-2)</f>
        <v>7000</v>
      </c>
    </row>
    <row r="1543" spans="1:18" x14ac:dyDescent="0.2">
      <c r="A1543" s="107">
        <v>12700</v>
      </c>
      <c r="B1543" s="33">
        <v>17100</v>
      </c>
      <c r="C1543" s="189">
        <v>36200</v>
      </c>
      <c r="D1543" s="189">
        <v>15300</v>
      </c>
      <c r="E1543" s="658" t="s">
        <v>1098</v>
      </c>
      <c r="F1543" s="443" t="s">
        <v>2346</v>
      </c>
      <c r="G1543" s="198">
        <v>17400</v>
      </c>
      <c r="H1543" s="138">
        <f t="shared" si="1474"/>
        <v>13.725490196078432</v>
      </c>
      <c r="I1543" s="33">
        <f>ROUNDUP(G1543+(G1543*Assumptions!H$5),-2)</f>
        <v>17700</v>
      </c>
      <c r="J1543" s="33">
        <v>25000</v>
      </c>
      <c r="K1543" s="33">
        <f>ROUNDUP(J1543+(J1543*Assumptions!J$5),-2)</f>
        <v>25700</v>
      </c>
      <c r="L1543" s="33">
        <f>ROUNDUP(K1543+(K1543*Assumptions!K$5),-2)</f>
        <v>26400</v>
      </c>
      <c r="M1543" s="33">
        <f>ROUNDUP(L1543+(L1543*Assumptions!L$5),-2)</f>
        <v>27000</v>
      </c>
      <c r="N1543" s="33">
        <f>ROUNDUP(M1543+(M1543*Assumptions!M$5),-2)</f>
        <v>27600</v>
      </c>
      <c r="O1543" s="33">
        <f>ROUNDUP(N1543+(N1543*Assumptions!N$5),-2)</f>
        <v>28200</v>
      </c>
      <c r="P1543" s="33">
        <f>ROUNDUP(O1543+(O1543*Assumptions!O$5),-2)</f>
        <v>28800</v>
      </c>
      <c r="Q1543" s="33">
        <f>ROUNDUP(P1543+(P1543*Assumptions!P$5),-2)</f>
        <v>29400</v>
      </c>
      <c r="R1543" s="114">
        <f>ROUNDUP(Q1543+(Q1543*Assumptions!Q$5),-2)</f>
        <v>30000</v>
      </c>
    </row>
    <row r="1544" spans="1:18" x14ac:dyDescent="0.2">
      <c r="A1544" s="107">
        <v>7900</v>
      </c>
      <c r="B1544" s="33">
        <v>6400</v>
      </c>
      <c r="C1544" s="189">
        <v>6300</v>
      </c>
      <c r="D1544" s="189">
        <v>8100</v>
      </c>
      <c r="E1544" s="658" t="s">
        <v>1099</v>
      </c>
      <c r="F1544" s="443" t="s">
        <v>2347</v>
      </c>
      <c r="G1544" s="198">
        <v>7200</v>
      </c>
      <c r="H1544" s="138">
        <f t="shared" si="1474"/>
        <v>-11.111111111111111</v>
      </c>
      <c r="I1544" s="33">
        <f>ROUNDUP(G1544+(G1544*Assumptions!H$5),-2)</f>
        <v>7400</v>
      </c>
      <c r="J1544" s="33">
        <f>ROUNDUP(I1544+(I1544*Assumptions!I$5),-2)</f>
        <v>7600</v>
      </c>
      <c r="K1544" s="33">
        <f>ROUNDUP(J1544+(J1544*Assumptions!J$5),-2)</f>
        <v>7800</v>
      </c>
      <c r="L1544" s="33">
        <f>ROUNDUP(K1544+(K1544*Assumptions!K$5),-2)</f>
        <v>8000</v>
      </c>
      <c r="M1544" s="33">
        <f>ROUNDUP(L1544+(L1544*Assumptions!L$5),-2)</f>
        <v>8200</v>
      </c>
      <c r="N1544" s="33">
        <f>ROUNDUP(M1544+(M1544*Assumptions!M$5),-2)</f>
        <v>8400</v>
      </c>
      <c r="O1544" s="33">
        <f>ROUNDUP(N1544+(N1544*Assumptions!N$5),-2)</f>
        <v>8600</v>
      </c>
      <c r="P1544" s="33">
        <f>ROUNDUP(O1544+(O1544*Assumptions!O$5),-2)</f>
        <v>8800</v>
      </c>
      <c r="Q1544" s="33">
        <f>ROUNDUP(P1544+(P1544*Assumptions!P$5),-2)</f>
        <v>9000</v>
      </c>
      <c r="R1544" s="114">
        <f>ROUNDUP(Q1544+(Q1544*Assumptions!Q$5),-2)</f>
        <v>9200</v>
      </c>
    </row>
    <row r="1545" spans="1:18" x14ac:dyDescent="0.2">
      <c r="A1545" s="107">
        <v>5200</v>
      </c>
      <c r="B1545" s="33">
        <v>5500</v>
      </c>
      <c r="C1545" s="189">
        <v>5000</v>
      </c>
      <c r="D1545" s="189">
        <v>8800</v>
      </c>
      <c r="E1545" s="658" t="s">
        <v>1995</v>
      </c>
      <c r="F1545" s="443" t="s">
        <v>2786</v>
      </c>
      <c r="G1545" s="198">
        <v>6200</v>
      </c>
      <c r="H1545" s="138">
        <f t="shared" si="1474"/>
        <v>-29.545454545454547</v>
      </c>
      <c r="I1545" s="33">
        <f>ROUNDUP(G1545+(G1545*Assumptions!H$5),-2)</f>
        <v>6300</v>
      </c>
      <c r="J1545" s="33">
        <f>ROUNDUP(I1545+(I1545*Assumptions!I$5),-2)</f>
        <v>6500</v>
      </c>
      <c r="K1545" s="33">
        <f>ROUNDUP(J1545+(J1545*Assumptions!J$5),-2)</f>
        <v>6700</v>
      </c>
      <c r="L1545" s="33">
        <f>ROUNDUP(K1545+(K1545*Assumptions!K$5),-2)</f>
        <v>6900</v>
      </c>
      <c r="M1545" s="33">
        <f>ROUNDUP(L1545+(L1545*Assumptions!L$5),-2)</f>
        <v>7100</v>
      </c>
      <c r="N1545" s="33">
        <f>ROUNDUP(M1545+(M1545*Assumptions!M$5),-2)</f>
        <v>7300</v>
      </c>
      <c r="O1545" s="33">
        <f>ROUNDUP(N1545+(N1545*Assumptions!N$5),-2)</f>
        <v>7500</v>
      </c>
      <c r="P1545" s="33">
        <f>ROUNDUP(O1545+(O1545*Assumptions!O$5),-2)</f>
        <v>7700</v>
      </c>
      <c r="Q1545" s="33">
        <f>ROUNDUP(P1545+(P1545*Assumptions!P$5),-2)</f>
        <v>7900</v>
      </c>
      <c r="R1545" s="114">
        <f>ROUNDUP(Q1545+(Q1545*Assumptions!Q$5),-2)</f>
        <v>8100</v>
      </c>
    </row>
    <row r="1546" spans="1:18" x14ac:dyDescent="0.2">
      <c r="A1546" s="107">
        <v>12200</v>
      </c>
      <c r="B1546" s="33">
        <v>12000</v>
      </c>
      <c r="C1546" s="189">
        <v>13000</v>
      </c>
      <c r="D1546" s="189">
        <v>12600</v>
      </c>
      <c r="E1546" s="658" t="s">
        <v>1996</v>
      </c>
      <c r="F1546" s="443" t="s">
        <v>2484</v>
      </c>
      <c r="G1546" s="198">
        <v>14300</v>
      </c>
      <c r="H1546" s="138">
        <f t="shared" si="1474"/>
        <v>13.492063492063492</v>
      </c>
      <c r="I1546" s="33">
        <f>ROUNDUP(G1546+(G1546*Assumptions!H$5),-2)</f>
        <v>14600</v>
      </c>
      <c r="J1546" s="33">
        <f>ROUNDUP(I1546+(I1546*Assumptions!I$5),-2)</f>
        <v>15000</v>
      </c>
      <c r="K1546" s="33">
        <f>ROUNDUP(J1546+(J1546*Assumptions!J$5),-2)</f>
        <v>15400</v>
      </c>
      <c r="L1546" s="33">
        <f>ROUNDUP(K1546+(K1546*Assumptions!K$5),-2)</f>
        <v>15800</v>
      </c>
      <c r="M1546" s="33">
        <f>ROUNDUP(L1546+(L1546*Assumptions!L$5),-2)</f>
        <v>16200</v>
      </c>
      <c r="N1546" s="33">
        <f>ROUNDUP(M1546+(M1546*Assumptions!M$5),-2)</f>
        <v>16600</v>
      </c>
      <c r="O1546" s="33">
        <f>ROUNDUP(N1546+(N1546*Assumptions!N$5),-2)</f>
        <v>17000</v>
      </c>
      <c r="P1546" s="33">
        <f>ROUNDUP(O1546+(O1546*Assumptions!O$5),-2)</f>
        <v>17400</v>
      </c>
      <c r="Q1546" s="33">
        <f>ROUNDUP(P1546+(P1546*Assumptions!P$5),-2)</f>
        <v>17800</v>
      </c>
      <c r="R1546" s="114">
        <f>ROUNDUP(Q1546+(Q1546*Assumptions!Q$5),-2)</f>
        <v>18200</v>
      </c>
    </row>
    <row r="1547" spans="1:18" x14ac:dyDescent="0.2">
      <c r="A1547" s="107">
        <v>11500</v>
      </c>
      <c r="B1547" s="33">
        <v>20200</v>
      </c>
      <c r="C1547" s="189">
        <v>10400</v>
      </c>
      <c r="D1547" s="189">
        <v>9800</v>
      </c>
      <c r="E1547" s="658" t="s">
        <v>835</v>
      </c>
      <c r="F1547" s="443" t="s">
        <v>2485</v>
      </c>
      <c r="G1547" s="198">
        <v>14300</v>
      </c>
      <c r="H1547" s="138">
        <f t="shared" si="1474"/>
        <v>45.91836734693878</v>
      </c>
      <c r="I1547" s="33">
        <f>ROUNDUP(G1547+(G1547*Assumptions!H$5),-2)</f>
        <v>14600</v>
      </c>
      <c r="J1547" s="33">
        <f>ROUNDUP(I1547+(I1547*Assumptions!I$5),-2)</f>
        <v>15000</v>
      </c>
      <c r="K1547" s="33">
        <f>ROUNDUP(J1547+(J1547*Assumptions!J$5),-2)</f>
        <v>15400</v>
      </c>
      <c r="L1547" s="33">
        <f>ROUNDUP(K1547+(K1547*Assumptions!K$5),-2)</f>
        <v>15800</v>
      </c>
      <c r="M1547" s="33">
        <f>ROUNDUP(L1547+(L1547*Assumptions!L$5),-2)</f>
        <v>16200</v>
      </c>
      <c r="N1547" s="33">
        <f>ROUNDUP(M1547+(M1547*Assumptions!M$5),-2)</f>
        <v>16600</v>
      </c>
      <c r="O1547" s="33">
        <f>ROUNDUP(N1547+(N1547*Assumptions!N$5),-2)</f>
        <v>17000</v>
      </c>
      <c r="P1547" s="33">
        <f>ROUNDUP(O1547+(O1547*Assumptions!O$5),-2)</f>
        <v>17400</v>
      </c>
      <c r="Q1547" s="33">
        <f>ROUNDUP(P1547+(P1547*Assumptions!P$5),-2)</f>
        <v>17800</v>
      </c>
      <c r="R1547" s="114">
        <f>ROUNDUP(Q1547+(Q1547*Assumptions!Q$5),-2)</f>
        <v>18200</v>
      </c>
    </row>
    <row r="1548" spans="1:18" x14ac:dyDescent="0.2">
      <c r="A1548" s="107">
        <v>6800</v>
      </c>
      <c r="B1548" s="33">
        <v>7500</v>
      </c>
      <c r="C1548" s="189">
        <v>7200</v>
      </c>
      <c r="D1548" s="189">
        <v>8900</v>
      </c>
      <c r="E1548" s="658" t="s">
        <v>8</v>
      </c>
      <c r="F1548" s="443" t="s">
        <v>2405</v>
      </c>
      <c r="G1548" s="198">
        <v>8200</v>
      </c>
      <c r="H1548" s="138">
        <f t="shared" si="1474"/>
        <v>-7.8651685393258424</v>
      </c>
      <c r="I1548" s="33">
        <f>ROUNDUP(G1548+(G1548*Assumptions!H$5),-2)</f>
        <v>8400</v>
      </c>
      <c r="J1548" s="33">
        <f>ROUNDUP(I1548+(I1548*Assumptions!I$5),-2)</f>
        <v>8700</v>
      </c>
      <c r="K1548" s="33">
        <f>ROUNDUP(J1548+(J1548*Assumptions!J$5),-2)</f>
        <v>9000</v>
      </c>
      <c r="L1548" s="33">
        <f>ROUNDUP(K1548+(K1548*Assumptions!K$5),-2)</f>
        <v>9300</v>
      </c>
      <c r="M1548" s="33">
        <f>ROUNDUP(L1548+(L1548*Assumptions!L$5),-2)</f>
        <v>9500</v>
      </c>
      <c r="N1548" s="33">
        <f>ROUNDUP(M1548+(M1548*Assumptions!M$5),-2)</f>
        <v>9700</v>
      </c>
      <c r="O1548" s="33">
        <f>ROUNDUP(N1548+(N1548*Assumptions!N$5),-2)</f>
        <v>9900</v>
      </c>
      <c r="P1548" s="33">
        <f>ROUNDUP(O1548+(O1548*Assumptions!O$5),-2)</f>
        <v>10100</v>
      </c>
      <c r="Q1548" s="33">
        <f>ROUNDUP(P1548+(P1548*Assumptions!P$5),-2)</f>
        <v>10400</v>
      </c>
      <c r="R1548" s="114">
        <f>ROUNDUP(Q1548+(Q1548*Assumptions!Q$5),-2)</f>
        <v>10700</v>
      </c>
    </row>
    <row r="1549" spans="1:18" x14ac:dyDescent="0.2">
      <c r="A1549" s="107">
        <v>1600</v>
      </c>
      <c r="B1549" s="33">
        <v>300</v>
      </c>
      <c r="C1549" s="189">
        <v>900</v>
      </c>
      <c r="D1549" s="189">
        <v>1900</v>
      </c>
      <c r="E1549" s="658" t="s">
        <v>63</v>
      </c>
      <c r="F1549" s="443" t="s">
        <v>2406</v>
      </c>
      <c r="G1549" s="198">
        <v>2100</v>
      </c>
      <c r="H1549" s="138">
        <f t="shared" si="1474"/>
        <v>10.526315789473683</v>
      </c>
      <c r="I1549" s="33">
        <f>ROUNDUP(G1549+(G1549*Assumptions!H$5),-2)</f>
        <v>2200</v>
      </c>
      <c r="J1549" s="33">
        <f>ROUNDUP(I1549+(I1549*Assumptions!I$5),-2)</f>
        <v>2300</v>
      </c>
      <c r="K1549" s="33">
        <f>ROUNDUP(J1549+(J1549*Assumptions!J$5),-2)</f>
        <v>2400</v>
      </c>
      <c r="L1549" s="33">
        <f>ROUNDUP(K1549+(K1549*Assumptions!K$5),-2)</f>
        <v>2500</v>
      </c>
      <c r="M1549" s="33">
        <f>ROUNDUP(L1549+(L1549*Assumptions!L$5),-2)</f>
        <v>2600</v>
      </c>
      <c r="N1549" s="33">
        <f>ROUNDUP(M1549+(M1549*Assumptions!M$5),-2)</f>
        <v>2700</v>
      </c>
      <c r="O1549" s="33">
        <f>ROUNDUP(N1549+(N1549*Assumptions!N$5),-2)</f>
        <v>2800</v>
      </c>
      <c r="P1549" s="33">
        <f>ROUNDUP(O1549+(O1549*Assumptions!O$5),-2)</f>
        <v>2900</v>
      </c>
      <c r="Q1549" s="33">
        <f>ROUNDUP(P1549+(P1549*Assumptions!P$5),-2)</f>
        <v>3000</v>
      </c>
      <c r="R1549" s="114">
        <f>ROUNDUP(Q1549+(Q1549*Assumptions!Q$5),-2)</f>
        <v>3100</v>
      </c>
    </row>
    <row r="1550" spans="1:18" x14ac:dyDescent="0.2">
      <c r="A1550" s="107">
        <v>5900</v>
      </c>
      <c r="B1550" s="33">
        <v>8200</v>
      </c>
      <c r="C1550" s="189">
        <v>10100</v>
      </c>
      <c r="D1550" s="189">
        <v>9600</v>
      </c>
      <c r="E1550" s="658" t="s">
        <v>2292</v>
      </c>
      <c r="F1550" s="443" t="s">
        <v>2407</v>
      </c>
      <c r="G1550" s="198">
        <v>9200</v>
      </c>
      <c r="H1550" s="138">
        <f t="shared" si="1474"/>
        <v>-4.1666666666666661</v>
      </c>
      <c r="I1550" s="33">
        <f>ROUNDUP(G1550+(G1550*Assumptions!H$5),-2)</f>
        <v>9400</v>
      </c>
      <c r="J1550" s="33">
        <f>ROUNDUP(I1550+(I1550*Assumptions!I$5),-2)</f>
        <v>9700</v>
      </c>
      <c r="K1550" s="33">
        <f>ROUNDUP(J1550+(J1550*Assumptions!J$5),-2)</f>
        <v>10000</v>
      </c>
      <c r="L1550" s="33">
        <f>ROUNDUP(K1550+(K1550*Assumptions!K$5),-2)</f>
        <v>10300</v>
      </c>
      <c r="M1550" s="33">
        <f>ROUNDUP(L1550+(L1550*Assumptions!L$5),-2)</f>
        <v>10600</v>
      </c>
      <c r="N1550" s="33">
        <f>ROUNDUP(M1550+(M1550*Assumptions!M$5),-2)</f>
        <v>10900</v>
      </c>
      <c r="O1550" s="33">
        <f>ROUNDUP(N1550+(N1550*Assumptions!N$5),-2)</f>
        <v>11200</v>
      </c>
      <c r="P1550" s="33">
        <f>ROUNDUP(O1550+(O1550*Assumptions!O$5),-2)</f>
        <v>11500</v>
      </c>
      <c r="Q1550" s="33">
        <f>ROUNDUP(P1550+(P1550*Assumptions!P$5),-2)</f>
        <v>11800</v>
      </c>
      <c r="R1550" s="114">
        <f>ROUNDUP(Q1550+(Q1550*Assumptions!Q$5),-2)</f>
        <v>12100</v>
      </c>
    </row>
    <row r="1551" spans="1:18" x14ac:dyDescent="0.2">
      <c r="A1551" s="107">
        <v>100</v>
      </c>
      <c r="B1551" s="33">
        <v>100</v>
      </c>
      <c r="C1551" s="189">
        <v>300</v>
      </c>
      <c r="D1551" s="189">
        <v>300</v>
      </c>
      <c r="E1551" s="658" t="s">
        <v>2293</v>
      </c>
      <c r="F1551" s="443" t="s">
        <v>2106</v>
      </c>
      <c r="G1551" s="198">
        <v>300</v>
      </c>
      <c r="H1551" s="138">
        <f t="shared" si="1474"/>
        <v>0</v>
      </c>
      <c r="I1551" s="33">
        <f>ROUNDUP(G1551+(G1551*Assumptions!H$5),-2)</f>
        <v>400</v>
      </c>
      <c r="J1551" s="33">
        <f>ROUNDUP(I1551+(I1551*Assumptions!I$5),-2)</f>
        <v>500</v>
      </c>
      <c r="K1551" s="33">
        <f>ROUNDUP(J1551+(J1551*Assumptions!J$5),-2)</f>
        <v>600</v>
      </c>
      <c r="L1551" s="33">
        <f>ROUNDUP(K1551+(K1551*Assumptions!K$5),-2)</f>
        <v>700</v>
      </c>
      <c r="M1551" s="33">
        <f>ROUNDUP(L1551+(L1551*Assumptions!L$5),-2)</f>
        <v>800</v>
      </c>
      <c r="N1551" s="33">
        <f>ROUNDUP(M1551+(M1551*Assumptions!M$5),-2)</f>
        <v>900</v>
      </c>
      <c r="O1551" s="33">
        <f>ROUNDUP(N1551+(N1551*Assumptions!N$5),-2)</f>
        <v>1000</v>
      </c>
      <c r="P1551" s="33">
        <f>ROUNDUP(O1551+(O1551*Assumptions!O$5),-2)</f>
        <v>1100</v>
      </c>
      <c r="Q1551" s="33">
        <f>ROUNDUP(P1551+(P1551*Assumptions!P$5),-2)</f>
        <v>1200</v>
      </c>
      <c r="R1551" s="114">
        <f>ROUNDUP(Q1551+(Q1551*Assumptions!Q$5),-2)</f>
        <v>1300</v>
      </c>
    </row>
    <row r="1552" spans="1:18" x14ac:dyDescent="0.2">
      <c r="A1552" s="107">
        <v>9000</v>
      </c>
      <c r="B1552" s="33">
        <v>6500</v>
      </c>
      <c r="C1552" s="189">
        <v>7400</v>
      </c>
      <c r="D1552" s="189">
        <v>7400</v>
      </c>
      <c r="E1552" s="658" t="s">
        <v>2294</v>
      </c>
      <c r="F1552" s="814" t="s">
        <v>3660</v>
      </c>
      <c r="G1552" s="198">
        <v>9200</v>
      </c>
      <c r="H1552" s="138">
        <f t="shared" si="1474"/>
        <v>24.324324324324326</v>
      </c>
      <c r="I1552" s="33">
        <f>ROUNDUP(G1552+(G1552*Assumptions!H$5),-2)</f>
        <v>9400</v>
      </c>
      <c r="J1552" s="33">
        <f>ROUNDUP(I1552+(I1552*Assumptions!I$5),-2)</f>
        <v>9700</v>
      </c>
      <c r="K1552" s="33">
        <f>ROUNDUP(J1552+(J1552*Assumptions!J$5),-2)</f>
        <v>10000</v>
      </c>
      <c r="L1552" s="33">
        <f>ROUNDUP(K1552+(K1552*Assumptions!K$5),-2)</f>
        <v>10300</v>
      </c>
      <c r="M1552" s="33">
        <f>ROUNDUP(L1552+(L1552*Assumptions!L$5),-2)</f>
        <v>10600</v>
      </c>
      <c r="N1552" s="33">
        <f>ROUNDUP(M1552+(M1552*Assumptions!M$5),-2)</f>
        <v>10900</v>
      </c>
      <c r="O1552" s="33">
        <f>ROUNDUP(N1552+(N1552*Assumptions!N$5),-2)</f>
        <v>11200</v>
      </c>
      <c r="P1552" s="33">
        <f>ROUNDUP(O1552+(O1552*Assumptions!O$5),-2)</f>
        <v>11500</v>
      </c>
      <c r="Q1552" s="33">
        <f>ROUNDUP(P1552+(P1552*Assumptions!P$5),-2)</f>
        <v>11800</v>
      </c>
      <c r="R1552" s="114">
        <f>ROUNDUP(Q1552+(Q1552*Assumptions!Q$5),-2)</f>
        <v>12100</v>
      </c>
    </row>
    <row r="1553" spans="1:18" x14ac:dyDescent="0.2">
      <c r="A1553" s="107">
        <v>2300</v>
      </c>
      <c r="B1553" s="33">
        <v>400</v>
      </c>
      <c r="C1553" s="189">
        <v>0</v>
      </c>
      <c r="D1553" s="189">
        <v>2100</v>
      </c>
      <c r="E1553" s="658" t="s">
        <v>2295</v>
      </c>
      <c r="F1553" s="814" t="s">
        <v>4828</v>
      </c>
      <c r="G1553" s="198">
        <v>2100</v>
      </c>
      <c r="H1553" s="138">
        <f t="shared" si="1474"/>
        <v>0</v>
      </c>
      <c r="I1553" s="33">
        <v>20000</v>
      </c>
      <c r="J1553" s="33">
        <f>ROUNDUP(I1553+(I1553*Assumptions!I$5),-2)</f>
        <v>20500</v>
      </c>
      <c r="K1553" s="33">
        <f>ROUNDUP(J1553+(J1553*Assumptions!J$5),-2)</f>
        <v>21100</v>
      </c>
      <c r="L1553" s="33">
        <f>ROUNDUP(K1553+(K1553*Assumptions!K$5),-2)</f>
        <v>21700</v>
      </c>
      <c r="M1553" s="33">
        <f>ROUNDUP(L1553+(L1553*Assumptions!L$5),-2)</f>
        <v>22200</v>
      </c>
      <c r="N1553" s="33">
        <f>ROUNDUP(M1553+(M1553*Assumptions!M$5),-2)</f>
        <v>22700</v>
      </c>
      <c r="O1553" s="33">
        <f>ROUNDUP(N1553+(N1553*Assumptions!N$5),-2)</f>
        <v>23200</v>
      </c>
      <c r="P1553" s="33">
        <f>ROUNDUP(O1553+(O1553*Assumptions!O$5),-2)</f>
        <v>23700</v>
      </c>
      <c r="Q1553" s="33">
        <f>ROUNDUP(P1553+(P1553*Assumptions!P$5),-2)</f>
        <v>24200</v>
      </c>
      <c r="R1553" s="114">
        <f>ROUNDUP(Q1553+(Q1553*Assumptions!Q$5),-2)</f>
        <v>24700</v>
      </c>
    </row>
    <row r="1554" spans="1:18" x14ac:dyDescent="0.2">
      <c r="A1554" s="107">
        <v>0</v>
      </c>
      <c r="B1554" s="33">
        <v>0</v>
      </c>
      <c r="C1554" s="189">
        <v>15200</v>
      </c>
      <c r="D1554" s="189">
        <v>35100</v>
      </c>
      <c r="E1554" s="1092" t="s">
        <v>4148</v>
      </c>
      <c r="F1554" s="814" t="s">
        <v>3659</v>
      </c>
      <c r="G1554" s="198">
        <v>20000</v>
      </c>
      <c r="H1554" s="138">
        <f t="shared" si="1474"/>
        <v>-43.019943019943021</v>
      </c>
      <c r="I1554" s="33">
        <f>ROUNDUP(G1554+(G1554*Assumptions!H$5),-2)</f>
        <v>20300</v>
      </c>
      <c r="J1554" s="33">
        <f>ROUNDUP(I1554+(I1554*Assumptions!I$5),-2)</f>
        <v>20900</v>
      </c>
      <c r="K1554" s="33">
        <f>ROUNDUP(J1554+(J1554*Assumptions!J$5),-2)</f>
        <v>21500</v>
      </c>
      <c r="L1554" s="33">
        <f>ROUNDUP(K1554+(K1554*Assumptions!K$5),-2)</f>
        <v>22100</v>
      </c>
      <c r="M1554" s="33">
        <f>ROUNDUP(L1554+(L1554*Assumptions!L$5),-2)</f>
        <v>22600</v>
      </c>
      <c r="N1554" s="33">
        <f>ROUNDUP(M1554+(M1554*Assumptions!M$5),-2)</f>
        <v>23100</v>
      </c>
      <c r="O1554" s="33">
        <f>ROUNDUP(N1554+(N1554*Assumptions!N$5),-2)</f>
        <v>23600</v>
      </c>
      <c r="P1554" s="33">
        <f>ROUNDUP(O1554+(O1554*Assumptions!O$5),-2)</f>
        <v>24100</v>
      </c>
      <c r="Q1554" s="33">
        <f>ROUNDUP(P1554+(P1554*Assumptions!P$5),-2)</f>
        <v>24600</v>
      </c>
      <c r="R1554" s="114">
        <f>ROUNDUP(Q1554+(Q1554*Assumptions!Q$5),-2)</f>
        <v>25100</v>
      </c>
    </row>
    <row r="1555" spans="1:18" x14ac:dyDescent="0.2">
      <c r="A1555" s="107">
        <v>0</v>
      </c>
      <c r="B1555" s="33">
        <v>0</v>
      </c>
      <c r="C1555" s="189">
        <v>0</v>
      </c>
      <c r="D1555" s="189">
        <v>24000</v>
      </c>
      <c r="E1555" s="1092" t="s">
        <v>6799</v>
      </c>
      <c r="F1555" s="814" t="s">
        <v>3059</v>
      </c>
      <c r="G1555" s="198">
        <v>20000</v>
      </c>
      <c r="H1555" s="138">
        <f t="shared" si="1474"/>
        <v>-16.666666666666664</v>
      </c>
      <c r="I1555" s="33">
        <v>30000</v>
      </c>
      <c r="J1555" s="33">
        <f>ROUNDUP(I1555+(I1555*Assumptions!I$5),-2)</f>
        <v>30800</v>
      </c>
      <c r="K1555" s="33">
        <f>ROUNDUP(J1555+(J1555*Assumptions!J$5),-2)</f>
        <v>31600</v>
      </c>
      <c r="L1555" s="33">
        <f>ROUNDUP(K1555+(K1555*Assumptions!K$5),-2)</f>
        <v>32400</v>
      </c>
      <c r="M1555" s="33">
        <f>ROUNDUP(L1555+(L1555*Assumptions!L$5),-2)</f>
        <v>33100</v>
      </c>
      <c r="N1555" s="33">
        <f>ROUNDUP(M1555+(M1555*Assumptions!M$5),-2)</f>
        <v>33800</v>
      </c>
      <c r="O1555" s="33">
        <f>ROUNDUP(N1555+(N1555*Assumptions!N$5),-2)</f>
        <v>34500</v>
      </c>
      <c r="P1555" s="33">
        <f>ROUNDUP(O1555+(O1555*Assumptions!O$5),-2)</f>
        <v>35200</v>
      </c>
      <c r="Q1555" s="33">
        <f>ROUNDUP(P1555+(P1555*Assumptions!P$5),-2)</f>
        <v>36000</v>
      </c>
      <c r="R1555" s="114">
        <f>ROUNDUP(Q1555+(Q1555*Assumptions!Q$5),-2)</f>
        <v>36800</v>
      </c>
    </row>
    <row r="1556" spans="1:18" x14ac:dyDescent="0.2">
      <c r="A1556" s="107">
        <v>0</v>
      </c>
      <c r="B1556" s="33">
        <v>0</v>
      </c>
      <c r="C1556" s="189">
        <v>0</v>
      </c>
      <c r="D1556" s="189">
        <v>7100</v>
      </c>
      <c r="E1556" s="1092" t="s">
        <v>5939</v>
      </c>
      <c r="F1556" s="814" t="s">
        <v>5938</v>
      </c>
      <c r="G1556" s="198">
        <v>10000</v>
      </c>
      <c r="H1556" s="138">
        <f t="shared" si="1474"/>
        <v>40.845070422535215</v>
      </c>
      <c r="I1556" s="33">
        <f>ROUNDUP(G1556+(G1556*Assumptions!H$5),-2)</f>
        <v>10200</v>
      </c>
      <c r="J1556" s="33">
        <f>ROUNDUP(I1556+(I1556*Assumptions!I$5),-2)</f>
        <v>10500</v>
      </c>
      <c r="K1556" s="33">
        <f>ROUNDUP(J1556+(J1556*Assumptions!J$5),-2)</f>
        <v>10800</v>
      </c>
      <c r="L1556" s="33">
        <f>ROUNDUP(K1556+(K1556*Assumptions!K$5),-2)</f>
        <v>11100</v>
      </c>
      <c r="M1556" s="33">
        <f>ROUNDUP(L1556+(L1556*Assumptions!L$5),-2)</f>
        <v>11400</v>
      </c>
      <c r="N1556" s="33">
        <f>ROUNDUP(M1556+(M1556*Assumptions!M$5),-2)</f>
        <v>11700</v>
      </c>
      <c r="O1556" s="33">
        <f>ROUNDUP(N1556+(N1556*Assumptions!N$5),-2)</f>
        <v>12000</v>
      </c>
      <c r="P1556" s="33">
        <f>ROUNDUP(O1556+(O1556*Assumptions!O$5),-2)</f>
        <v>12300</v>
      </c>
      <c r="Q1556" s="33">
        <f>ROUNDUP(P1556+(P1556*Assumptions!P$5),-2)</f>
        <v>12600</v>
      </c>
      <c r="R1556" s="114">
        <f>ROUNDUP(Q1556+(Q1556*Assumptions!Q$5),-2)</f>
        <v>12900</v>
      </c>
    </row>
    <row r="1557" spans="1:18" ht="13.5" thickBot="1" x14ac:dyDescent="0.25">
      <c r="A1557" s="107"/>
      <c r="B1557" s="33"/>
      <c r="D1557" s="187"/>
      <c r="E1557" s="1954"/>
      <c r="F1557" s="33"/>
      <c r="G1557" s="198"/>
      <c r="H1557" s="138"/>
      <c r="I1557" s="33"/>
      <c r="J1557" s="33"/>
      <c r="K1557" s="33"/>
      <c r="L1557" s="33"/>
      <c r="M1557" s="33"/>
      <c r="N1557" s="33"/>
      <c r="O1557" s="33"/>
      <c r="P1557" s="33"/>
      <c r="Q1557" s="33"/>
      <c r="R1557" s="114"/>
    </row>
    <row r="1558" spans="1:18" s="92" customFormat="1" x14ac:dyDescent="0.2">
      <c r="A1558" s="105">
        <f>SUM(A1529:A1557)</f>
        <v>312500</v>
      </c>
      <c r="B1558" s="53">
        <f>SUM(B1529:B1557)</f>
        <v>302200</v>
      </c>
      <c r="C1558" s="190">
        <f>SUM(C1529:C1557)</f>
        <v>368400</v>
      </c>
      <c r="D1558" s="190">
        <f>SUM(D1529:D1557)</f>
        <v>410400</v>
      </c>
      <c r="E1558" s="237"/>
      <c r="F1558" s="378" t="s">
        <v>565</v>
      </c>
      <c r="G1558" s="2550">
        <f>SUM(G1529:G1557)</f>
        <v>387700</v>
      </c>
      <c r="H1558" s="180">
        <f>IF(D1558=G1558,0,IF(D1558=0,100,(G1558-D1558)/D1558*100))</f>
        <v>-5.5311890838206628</v>
      </c>
      <c r="I1558" s="53">
        <f t="shared" ref="I1558:Q1558" si="1475">SUM(I1529:I1557)</f>
        <v>422200</v>
      </c>
      <c r="J1558" s="53">
        <f t="shared" si="1475"/>
        <v>440900</v>
      </c>
      <c r="K1558" s="53">
        <f t="shared" si="1475"/>
        <v>453100</v>
      </c>
      <c r="L1558" s="53">
        <f t="shared" si="1475"/>
        <v>465700</v>
      </c>
      <c r="M1558" s="53">
        <f t="shared" si="1475"/>
        <v>476600</v>
      </c>
      <c r="N1558" s="53">
        <f t="shared" si="1475"/>
        <v>487500</v>
      </c>
      <c r="O1558" s="53">
        <f t="shared" si="1475"/>
        <v>498500</v>
      </c>
      <c r="P1558" s="53">
        <f t="shared" si="1475"/>
        <v>509700</v>
      </c>
      <c r="Q1558" s="53">
        <f t="shared" si="1475"/>
        <v>521100</v>
      </c>
      <c r="R1558" s="113">
        <f t="shared" ref="R1558" si="1476">SUM(R1529:R1557)</f>
        <v>532700</v>
      </c>
    </row>
    <row r="1559" spans="1:18" x14ac:dyDescent="0.2">
      <c r="A1559" s="107"/>
      <c r="B1559" s="33"/>
      <c r="E1559" s="1955"/>
      <c r="F1559" s="366"/>
      <c r="G1559" s="2509"/>
      <c r="H1559" s="138"/>
      <c r="I1559" s="33"/>
      <c r="J1559" s="33"/>
      <c r="K1559" s="33"/>
      <c r="L1559" s="33"/>
      <c r="M1559" s="33"/>
      <c r="N1559" s="33"/>
      <c r="O1559" s="33"/>
      <c r="P1559" s="33"/>
      <c r="Q1559" s="33"/>
      <c r="R1559" s="114"/>
    </row>
    <row r="1560" spans="1:18" s="92" customFormat="1" x14ac:dyDescent="0.2">
      <c r="A1560" s="70">
        <f>A1527-A1558</f>
        <v>-306900</v>
      </c>
      <c r="B1560" s="64">
        <f>B1527-B1558</f>
        <v>-219500</v>
      </c>
      <c r="C1560" s="193">
        <f>C1527-C1558</f>
        <v>-282000</v>
      </c>
      <c r="D1560" s="193">
        <f>D1527-D1558</f>
        <v>-297100</v>
      </c>
      <c r="E1560" s="237"/>
      <c r="F1560" s="371" t="s">
        <v>1019</v>
      </c>
      <c r="G1560" s="2511">
        <f>G1527-G1558</f>
        <v>-387700</v>
      </c>
      <c r="H1560" s="179">
        <f>IF(D1560=G1560,0,IF(D1560=0,100,(G1560-D1560)/D1560*100))</f>
        <v>30.494782901380006</v>
      </c>
      <c r="I1560" s="64">
        <f t="shared" ref="I1560:Q1560" si="1477">I1527-I1558</f>
        <v>-422200</v>
      </c>
      <c r="J1560" s="64">
        <f t="shared" si="1477"/>
        <v>-440900</v>
      </c>
      <c r="K1560" s="64">
        <f t="shared" si="1477"/>
        <v>-453100</v>
      </c>
      <c r="L1560" s="64">
        <f t="shared" si="1477"/>
        <v>-465700</v>
      </c>
      <c r="M1560" s="64">
        <f t="shared" si="1477"/>
        <v>-476600</v>
      </c>
      <c r="N1560" s="64">
        <f t="shared" si="1477"/>
        <v>-487500</v>
      </c>
      <c r="O1560" s="64">
        <f t="shared" si="1477"/>
        <v>-498500</v>
      </c>
      <c r="P1560" s="64">
        <f t="shared" si="1477"/>
        <v>-509700</v>
      </c>
      <c r="Q1560" s="64">
        <f t="shared" si="1477"/>
        <v>-521100</v>
      </c>
      <c r="R1560" s="115">
        <f t="shared" ref="R1560" si="1478">R1527-R1558</f>
        <v>-532700</v>
      </c>
    </row>
    <row r="1561" spans="1:18" x14ac:dyDescent="0.2">
      <c r="A1561" s="107">
        <v>0</v>
      </c>
      <c r="B1561" s="33">
        <v>0</v>
      </c>
      <c r="C1561" s="189">
        <v>0</v>
      </c>
      <c r="D1561" s="189">
        <v>0</v>
      </c>
      <c r="E1561" s="1955"/>
      <c r="F1561" s="372" t="s">
        <v>1976</v>
      </c>
      <c r="G1561" s="2509">
        <v>0</v>
      </c>
      <c r="H1561" s="138">
        <f>IF(D1561=G1561,0,IF(D1561=0,100,(G1561-D1561)/D1561*100))</f>
        <v>0</v>
      </c>
      <c r="I1561" s="187">
        <v>0</v>
      </c>
      <c r="J1561" s="187">
        <v>0</v>
      </c>
      <c r="K1561" s="187">
        <v>0</v>
      </c>
      <c r="L1561" s="187">
        <v>0</v>
      </c>
      <c r="M1561" s="187">
        <v>0</v>
      </c>
      <c r="N1561" s="187">
        <v>0</v>
      </c>
      <c r="O1561" s="187">
        <v>0</v>
      </c>
      <c r="P1561" s="187">
        <v>0</v>
      </c>
      <c r="Q1561" s="187">
        <v>0</v>
      </c>
      <c r="R1561" s="188">
        <v>0</v>
      </c>
    </row>
    <row r="1562" spans="1:18" s="92" customFormat="1" x14ac:dyDescent="0.2">
      <c r="A1562" s="181">
        <f>A1560+A1561</f>
        <v>-306900</v>
      </c>
      <c r="B1562" s="397">
        <f>B1560+B1561</f>
        <v>-219500</v>
      </c>
      <c r="C1562" s="398">
        <f>C1560+C1561</f>
        <v>-282000</v>
      </c>
      <c r="D1562" s="398">
        <f>D1560+D1561</f>
        <v>-297100</v>
      </c>
      <c r="E1562" s="523"/>
      <c r="F1562" s="518" t="s">
        <v>1687</v>
      </c>
      <c r="G1562" s="2607">
        <f t="shared" ref="G1562:O1562" si="1479">G1560+G1561</f>
        <v>-387700</v>
      </c>
      <c r="H1562" s="395">
        <f>IF(D1562=G1562,0,IF(D1562=0,100,(G1562-D1562)/D1562*100))</f>
        <v>30.494782901380006</v>
      </c>
      <c r="I1562" s="728">
        <f t="shared" si="1479"/>
        <v>-422200</v>
      </c>
      <c r="J1562" s="728">
        <f t="shared" si="1479"/>
        <v>-440900</v>
      </c>
      <c r="K1562" s="728">
        <f t="shared" si="1479"/>
        <v>-453100</v>
      </c>
      <c r="L1562" s="728">
        <f t="shared" si="1479"/>
        <v>-465700</v>
      </c>
      <c r="M1562" s="728">
        <f t="shared" si="1479"/>
        <v>-476600</v>
      </c>
      <c r="N1562" s="728">
        <f t="shared" si="1479"/>
        <v>-487500</v>
      </c>
      <c r="O1562" s="728">
        <f t="shared" si="1479"/>
        <v>-498500</v>
      </c>
      <c r="P1562" s="728">
        <f t="shared" ref="P1562:Q1562" si="1480">P1560+P1561</f>
        <v>-509700</v>
      </c>
      <c r="Q1562" s="728">
        <f t="shared" si="1480"/>
        <v>-521100</v>
      </c>
      <c r="R1562" s="1716">
        <f t="shared" ref="R1562" si="1481">R1560+R1561</f>
        <v>-532700</v>
      </c>
    </row>
    <row r="1563" spans="1:18" ht="13.5" thickBot="1" x14ac:dyDescent="0.25">
      <c r="A1563" s="751"/>
      <c r="B1563" s="64"/>
      <c r="C1563" s="192"/>
      <c r="D1563" s="192"/>
      <c r="E1563" s="1954"/>
      <c r="F1563" s="175"/>
      <c r="G1563" s="2511"/>
      <c r="H1563" s="179"/>
      <c r="I1563" s="33"/>
      <c r="J1563" s="33"/>
      <c r="K1563" s="33"/>
      <c r="L1563" s="33"/>
      <c r="M1563" s="33"/>
      <c r="N1563" s="33"/>
      <c r="O1563" s="33"/>
      <c r="P1563" s="33"/>
      <c r="Q1563" s="33"/>
      <c r="R1563" s="114"/>
    </row>
    <row r="1564" spans="1:18" x14ac:dyDescent="0.2">
      <c r="A1564" s="105"/>
      <c r="B1564" s="155"/>
      <c r="C1564" s="190"/>
      <c r="D1564" s="190"/>
      <c r="E1564" s="1819"/>
      <c r="F1564" s="373"/>
      <c r="G1564" s="2550"/>
      <c r="H1564" s="180"/>
      <c r="I1564" s="169"/>
      <c r="J1564" s="169"/>
      <c r="K1564" s="169"/>
      <c r="L1564" s="169"/>
      <c r="M1564" s="169"/>
      <c r="N1564" s="169"/>
      <c r="O1564" s="169"/>
      <c r="P1564" s="169"/>
      <c r="Q1564" s="169"/>
      <c r="R1564" s="1717"/>
    </row>
    <row r="1565" spans="1:18" x14ac:dyDescent="0.2">
      <c r="A1565" s="70"/>
      <c r="B1565" s="128"/>
      <c r="C1565" s="193"/>
      <c r="D1565" s="193"/>
      <c r="E1565" s="238"/>
      <c r="F1565" s="516" t="s">
        <v>196</v>
      </c>
      <c r="G1565" s="197"/>
      <c r="H1565" s="179"/>
      <c r="I1565" s="33"/>
      <c r="J1565" s="33"/>
      <c r="K1565" s="33"/>
      <c r="L1565" s="33"/>
      <c r="M1565" s="33"/>
      <c r="N1565" s="33"/>
      <c r="O1565" s="33"/>
      <c r="P1565" s="33"/>
      <c r="Q1565" s="33"/>
      <c r="R1565" s="114"/>
    </row>
    <row r="1566" spans="1:18" x14ac:dyDescent="0.2">
      <c r="A1566" s="70"/>
      <c r="B1566" s="128"/>
      <c r="C1566" s="193"/>
      <c r="D1566" s="193"/>
      <c r="E1566" s="238"/>
      <c r="F1566" s="371"/>
      <c r="G1566" s="198"/>
      <c r="H1566" s="179"/>
      <c r="I1566" s="33"/>
      <c r="J1566" s="33"/>
      <c r="K1566" s="33"/>
      <c r="L1566" s="33"/>
      <c r="M1566" s="33"/>
      <c r="N1566" s="33"/>
      <c r="O1566" s="33"/>
      <c r="P1566" s="33"/>
      <c r="Q1566" s="33"/>
      <c r="R1566" s="114"/>
    </row>
    <row r="1567" spans="1:18" x14ac:dyDescent="0.2">
      <c r="A1567" s="107">
        <v>0</v>
      </c>
      <c r="B1567" s="142">
        <v>0</v>
      </c>
      <c r="C1567" s="189">
        <v>0</v>
      </c>
      <c r="D1567" s="189">
        <v>0</v>
      </c>
      <c r="E1567" s="238"/>
      <c r="F1567" s="366" t="s">
        <v>2900</v>
      </c>
      <c r="G1567" s="198">
        <v>0</v>
      </c>
      <c r="H1567" s="138"/>
      <c r="I1567" s="187">
        <v>0</v>
      </c>
      <c r="J1567" s="187">
        <v>0</v>
      </c>
      <c r="K1567" s="187">
        <v>0</v>
      </c>
      <c r="L1567" s="187">
        <v>0</v>
      </c>
      <c r="M1567" s="187">
        <v>0</v>
      </c>
      <c r="N1567" s="187">
        <v>0</v>
      </c>
      <c r="O1567" s="187">
        <v>0</v>
      </c>
      <c r="P1567" s="187">
        <v>0</v>
      </c>
      <c r="Q1567" s="187">
        <v>0</v>
      </c>
      <c r="R1567" s="188">
        <v>0</v>
      </c>
    </row>
    <row r="1568" spans="1:18" x14ac:dyDescent="0.2">
      <c r="A1568" s="107">
        <v>226600</v>
      </c>
      <c r="B1568" s="142">
        <v>1497600</v>
      </c>
      <c r="C1568" s="189">
        <v>5063000</v>
      </c>
      <c r="D1568" s="189">
        <f>SUM('Res-Gen'!B211:B216)-'Res-Gen'!B216</f>
        <v>1412700</v>
      </c>
      <c r="E1568" s="238"/>
      <c r="F1568" s="366" t="s">
        <v>1942</v>
      </c>
      <c r="G1568" s="198">
        <v>0</v>
      </c>
      <c r="H1568" s="138"/>
      <c r="I1568" s="187">
        <v>0</v>
      </c>
      <c r="J1568" s="187">
        <v>0</v>
      </c>
      <c r="K1568" s="187">
        <v>0</v>
      </c>
      <c r="L1568" s="187">
        <v>0</v>
      </c>
      <c r="M1568" s="187">
        <v>0</v>
      </c>
      <c r="N1568" s="187">
        <v>0</v>
      </c>
      <c r="O1568" s="187">
        <v>0</v>
      </c>
      <c r="P1568" s="187">
        <v>0</v>
      </c>
      <c r="Q1568" s="187">
        <v>0</v>
      </c>
      <c r="R1568" s="188">
        <v>0</v>
      </c>
    </row>
    <row r="1569" spans="1:18" x14ac:dyDescent="0.2">
      <c r="A1569" s="107">
        <v>937400</v>
      </c>
      <c r="B1569" s="142">
        <v>41500</v>
      </c>
      <c r="C1569" s="189">
        <v>5264500</v>
      </c>
      <c r="D1569" s="189">
        <f>SUM('Res-Gen'!C211:C218)+80000</f>
        <v>3802200</v>
      </c>
      <c r="E1569" s="238"/>
      <c r="F1569" s="366" t="s">
        <v>2348</v>
      </c>
      <c r="G1569" s="198">
        <f>'Res-Gen'!F216+'Res-Gen'!F213+'Res-Gen'!F212+'Res-Gen'!F214+'Res-Gen'!F215</f>
        <v>3285800</v>
      </c>
      <c r="H1569" s="138"/>
      <c r="I1569" s="187">
        <f>'Res-Gen'!I68+150000</f>
        <v>1300000</v>
      </c>
      <c r="J1569" s="187">
        <v>0</v>
      </c>
      <c r="K1569" s="187">
        <v>0</v>
      </c>
      <c r="L1569" s="187">
        <v>0</v>
      </c>
      <c r="M1569" s="187">
        <v>0</v>
      </c>
      <c r="N1569" s="187">
        <v>0</v>
      </c>
      <c r="O1569" s="187">
        <v>0</v>
      </c>
      <c r="P1569" s="187">
        <v>0</v>
      </c>
      <c r="Q1569" s="187">
        <v>0</v>
      </c>
      <c r="R1569" s="188">
        <v>0</v>
      </c>
    </row>
    <row r="1570" spans="1:18" x14ac:dyDescent="0.2">
      <c r="A1570" s="107">
        <v>1000000</v>
      </c>
      <c r="B1570" s="142">
        <v>1521000</v>
      </c>
      <c r="C1570" s="189">
        <v>25000</v>
      </c>
      <c r="D1570" s="189">
        <f>SUM('Cap-Gen'!Q185:S191)</f>
        <v>0</v>
      </c>
      <c r="E1570" s="238"/>
      <c r="F1570" s="366" t="s">
        <v>5984</v>
      </c>
      <c r="G1570" s="198">
        <f>SUM('Cap-Gen'!V185:X191)</f>
        <v>20000</v>
      </c>
      <c r="H1570" s="138"/>
      <c r="I1570" s="187">
        <v>0</v>
      </c>
      <c r="J1570" s="187">
        <v>0</v>
      </c>
      <c r="K1570" s="187">
        <v>0</v>
      </c>
      <c r="L1570" s="187">
        <v>0</v>
      </c>
      <c r="M1570" s="187">
        <v>0</v>
      </c>
      <c r="N1570" s="187">
        <v>0</v>
      </c>
      <c r="O1570" s="187">
        <v>0</v>
      </c>
      <c r="P1570" s="187">
        <v>0</v>
      </c>
      <c r="Q1570" s="187">
        <v>0</v>
      </c>
      <c r="R1570" s="188">
        <v>0</v>
      </c>
    </row>
    <row r="1571" spans="1:18" x14ac:dyDescent="0.2">
      <c r="A1571" s="107">
        <v>1995200</v>
      </c>
      <c r="B1571" s="142">
        <v>337500</v>
      </c>
      <c r="C1571" s="189">
        <v>401400</v>
      </c>
      <c r="D1571" s="189">
        <f>SUM('Cap-Gen'!E185:E191)</f>
        <v>2695900</v>
      </c>
      <c r="E1571" s="238"/>
      <c r="F1571" s="366" t="s">
        <v>972</v>
      </c>
      <c r="G1571" s="198">
        <f>SUM('Cap-Gen'!F185:F191)</f>
        <v>3467800</v>
      </c>
      <c r="H1571" s="138"/>
      <c r="I1571" s="33">
        <f>SUM('Cap-Gen'!G185:G191)</f>
        <v>1468000</v>
      </c>
      <c r="J1571" s="33">
        <f>SUM('Cap-Gen'!H185:H191)</f>
        <v>175000</v>
      </c>
      <c r="K1571" s="33">
        <f>SUM('Cap-Gen'!I185:I191)</f>
        <v>182000</v>
      </c>
      <c r="L1571" s="33">
        <f>SUM('Cap-Gen'!J185:J191)</f>
        <v>187000</v>
      </c>
      <c r="M1571" s="33">
        <f>SUM('Cap-Gen'!K185:K191)</f>
        <v>192000</v>
      </c>
      <c r="N1571" s="33">
        <f>SUM('Cap-Gen'!L185:L191)</f>
        <v>197000</v>
      </c>
      <c r="O1571" s="33">
        <f>SUM('Cap-Gen'!M185:M191)</f>
        <v>202000</v>
      </c>
      <c r="P1571" s="33">
        <f>SUM('Cap-Gen'!N185:N191)</f>
        <v>207000</v>
      </c>
      <c r="Q1571" s="33">
        <f>SUM('Cap-Gen'!O185:O191)</f>
        <v>212000</v>
      </c>
      <c r="R1571" s="114">
        <f>SUM('Cap-Gen'!P185:P191)</f>
        <v>217000</v>
      </c>
    </row>
    <row r="1572" spans="1:18" x14ac:dyDescent="0.2">
      <c r="A1572" s="107"/>
      <c r="B1572" s="142"/>
      <c r="E1572" s="238"/>
      <c r="F1572" s="516"/>
      <c r="G1572" s="198"/>
      <c r="H1572" s="138"/>
      <c r="I1572" s="33"/>
      <c r="J1572" s="33"/>
      <c r="K1572" s="33"/>
      <c r="L1572" s="33"/>
      <c r="M1572" s="33"/>
      <c r="N1572" s="33"/>
      <c r="O1572" s="33"/>
      <c r="P1572" s="33"/>
      <c r="Q1572" s="33"/>
      <c r="R1572" s="114"/>
    </row>
    <row r="1573" spans="1:18" s="92" customFormat="1" x14ac:dyDescent="0.2">
      <c r="A1573" s="181">
        <f>A1562-A1567-A1568+A1569++A1570-A1571</f>
        <v>-591300</v>
      </c>
      <c r="B1573" s="377">
        <f>B1562-B1567-B1568+B1569++B1570-B1571</f>
        <v>-492100</v>
      </c>
      <c r="C1573" s="398">
        <f>C1562-C1567-C1568+C1569++C1570-C1571</f>
        <v>-456900</v>
      </c>
      <c r="D1573" s="398">
        <f>D1562-D1567-D1568+D1569++D1570-D1571</f>
        <v>-603500</v>
      </c>
      <c r="E1573" s="526"/>
      <c r="F1573" s="518" t="s">
        <v>2490</v>
      </c>
      <c r="G1573" s="2605">
        <f t="shared" ref="G1573:O1573" si="1482">G1562-G1567-G1568+G1569++G1570-G1571</f>
        <v>-549700</v>
      </c>
      <c r="H1573" s="395">
        <f>IF(D1573=G1573,0,IF(D1573=0,100,(G1573-D1573)/D1573*100))</f>
        <v>-8.9146644573322291</v>
      </c>
      <c r="I1573" s="397">
        <f t="shared" si="1482"/>
        <v>-590200</v>
      </c>
      <c r="J1573" s="397">
        <f t="shared" si="1482"/>
        <v>-615900</v>
      </c>
      <c r="K1573" s="397">
        <f t="shared" si="1482"/>
        <v>-635100</v>
      </c>
      <c r="L1573" s="397">
        <f t="shared" si="1482"/>
        <v>-652700</v>
      </c>
      <c r="M1573" s="397">
        <f t="shared" si="1482"/>
        <v>-668600</v>
      </c>
      <c r="N1573" s="397">
        <f t="shared" si="1482"/>
        <v>-684500</v>
      </c>
      <c r="O1573" s="397">
        <f t="shared" si="1482"/>
        <v>-700500</v>
      </c>
      <c r="P1573" s="397">
        <f t="shared" ref="P1573:Q1573" si="1483">P1562-P1567-P1568+P1569++P1570-P1571</f>
        <v>-716700</v>
      </c>
      <c r="Q1573" s="397">
        <f t="shared" si="1483"/>
        <v>-733100</v>
      </c>
      <c r="R1573" s="399">
        <f t="shared" ref="R1573" si="1484">R1562-R1567-R1568+R1569++R1570-R1571</f>
        <v>-749700</v>
      </c>
    </row>
    <row r="1574" spans="1:18" ht="13.5" thickBot="1" x14ac:dyDescent="0.25">
      <c r="A1574" s="73"/>
      <c r="B1574" s="134"/>
      <c r="C1574" s="195"/>
      <c r="D1574" s="195"/>
      <c r="E1574" s="239"/>
      <c r="F1574" s="368"/>
      <c r="G1574" s="2502"/>
      <c r="H1574" s="392"/>
      <c r="I1574" s="66"/>
      <c r="J1574" s="66"/>
      <c r="K1574" s="66"/>
      <c r="L1574" s="66"/>
      <c r="M1574" s="66"/>
      <c r="N1574" s="66"/>
      <c r="O1574" s="66"/>
      <c r="P1574" s="66"/>
      <c r="Q1574" s="66"/>
      <c r="R1574" s="165"/>
    </row>
    <row r="1575" spans="1:18" ht="14.25" thickTop="1" thickBot="1" x14ac:dyDescent="0.25">
      <c r="A1575" s="74"/>
      <c r="B1575" s="74"/>
      <c r="C1575" s="197"/>
      <c r="D1575" s="197"/>
      <c r="E1575" s="238"/>
      <c r="F1575" s="137"/>
      <c r="G1575" s="197"/>
      <c r="H1575" s="2507"/>
    </row>
    <row r="1576" spans="1:18" s="91" customFormat="1" ht="18.75" customHeight="1" thickTop="1" thickBot="1" x14ac:dyDescent="0.3">
      <c r="A1576" s="2865" t="s">
        <v>2682</v>
      </c>
      <c r="B1576" s="2866"/>
      <c r="C1576" s="2866"/>
      <c r="D1576" s="2866"/>
      <c r="E1576" s="2866"/>
      <c r="F1576" s="2866"/>
      <c r="G1576" s="2866"/>
      <c r="H1576" s="2866"/>
      <c r="I1576" s="2866"/>
      <c r="J1576" s="2866"/>
      <c r="K1576" s="2866"/>
      <c r="L1576" s="2866"/>
      <c r="M1576" s="2866"/>
      <c r="N1576" s="2866"/>
      <c r="O1576" s="2866"/>
      <c r="P1576" s="2866"/>
      <c r="Q1576" s="2866"/>
      <c r="R1576" s="2867"/>
    </row>
    <row r="1577" spans="1:18" s="44" customFormat="1" x14ac:dyDescent="0.2">
      <c r="A1577" s="2848" t="s">
        <v>1856</v>
      </c>
      <c r="B1577" s="2840"/>
      <c r="C1577" s="2840"/>
      <c r="D1577" s="2849"/>
      <c r="E1577" s="369" t="s">
        <v>2663</v>
      </c>
      <c r="F1577" s="2649" t="s">
        <v>2251</v>
      </c>
      <c r="G1577" s="2885" t="s">
        <v>2253</v>
      </c>
      <c r="H1577" s="2886"/>
      <c r="I1577" s="2886"/>
      <c r="J1577" s="2886"/>
      <c r="K1577" s="2886"/>
      <c r="L1577" s="2886"/>
      <c r="M1577" s="2886"/>
      <c r="N1577" s="2886"/>
      <c r="O1577" s="2886"/>
      <c r="P1577" s="2886"/>
      <c r="Q1577" s="2886"/>
      <c r="R1577" s="2887"/>
    </row>
    <row r="1578" spans="1:18" s="23" customFormat="1" ht="12.75" customHeight="1" thickBot="1" x14ac:dyDescent="0.25">
      <c r="A1578" s="208" t="str">
        <f>A3</f>
        <v>2012/13</v>
      </c>
      <c r="B1578" s="75" t="str">
        <f>B952</f>
        <v>2013/14</v>
      </c>
      <c r="C1578" s="370" t="str">
        <f>C3</f>
        <v>2014/15</v>
      </c>
      <c r="D1578" s="93" t="str">
        <f>D3</f>
        <v>2015/16</v>
      </c>
      <c r="E1578" s="370" t="s">
        <v>2664</v>
      </c>
      <c r="F1578" s="42"/>
      <c r="G1578" s="2513" t="str">
        <f>G3</f>
        <v>2016/17</v>
      </c>
      <c r="H1578" s="2193" t="str">
        <f>H952</f>
        <v>%</v>
      </c>
      <c r="I1578" s="370" t="str">
        <f t="shared" ref="I1578:R1578" si="1485">I3</f>
        <v>2017/18</v>
      </c>
      <c r="J1578" s="370" t="str">
        <f t="shared" si="1485"/>
        <v>2018/19</v>
      </c>
      <c r="K1578" s="370" t="str">
        <f t="shared" si="1485"/>
        <v>2019/20</v>
      </c>
      <c r="L1578" s="370" t="str">
        <f t="shared" si="1485"/>
        <v>2020/21</v>
      </c>
      <c r="M1578" s="370" t="str">
        <f t="shared" si="1485"/>
        <v>2021/22</v>
      </c>
      <c r="N1578" s="370" t="str">
        <f t="shared" si="1485"/>
        <v>2022/23</v>
      </c>
      <c r="O1578" s="370" t="str">
        <f t="shared" si="1485"/>
        <v>2023/24</v>
      </c>
      <c r="P1578" s="370" t="str">
        <f t="shared" si="1485"/>
        <v>2024/25</v>
      </c>
      <c r="Q1578" s="218" t="str">
        <f t="shared" si="1485"/>
        <v>2025/26</v>
      </c>
      <c r="R1578" s="549" t="str">
        <f t="shared" si="1485"/>
        <v>2026/27</v>
      </c>
    </row>
    <row r="1579" spans="1:18" x14ac:dyDescent="0.2">
      <c r="A1579" s="612"/>
      <c r="B1579" s="179"/>
      <c r="C1579" s="1990"/>
      <c r="D1579" s="1990"/>
      <c r="E1579" s="237"/>
      <c r="F1579" s="2528"/>
      <c r="G1579" s="180"/>
      <c r="H1579" s="179"/>
      <c r="I1579" s="33"/>
      <c r="J1579" s="33"/>
      <c r="K1579" s="33"/>
      <c r="L1579" s="33"/>
      <c r="M1579" s="33"/>
      <c r="N1579" s="33"/>
      <c r="O1579" s="33"/>
      <c r="P1579" s="33"/>
      <c r="Q1579" s="33"/>
      <c r="R1579" s="114"/>
    </row>
    <row r="1580" spans="1:18" x14ac:dyDescent="0.2">
      <c r="A1580" s="98"/>
      <c r="B1580" s="33"/>
      <c r="C1580" s="187"/>
      <c r="D1580" s="187"/>
      <c r="E1580" s="1954"/>
      <c r="F1580" s="103" t="s">
        <v>1073</v>
      </c>
      <c r="G1580" s="187"/>
      <c r="H1580" s="138"/>
      <c r="I1580" s="33"/>
      <c r="J1580" s="33"/>
      <c r="K1580" s="33"/>
      <c r="L1580" s="33"/>
      <c r="M1580" s="33"/>
      <c r="N1580" s="33"/>
      <c r="O1580" s="33"/>
      <c r="P1580" s="33"/>
      <c r="Q1580" s="33"/>
      <c r="R1580" s="114"/>
    </row>
    <row r="1581" spans="1:18" x14ac:dyDescent="0.2">
      <c r="A1581" s="98"/>
      <c r="B1581" s="33"/>
      <c r="C1581" s="187"/>
      <c r="D1581" s="187"/>
      <c r="E1581" s="1954"/>
      <c r="F1581" s="103"/>
      <c r="G1581" s="187"/>
      <c r="H1581" s="138"/>
      <c r="I1581" s="33"/>
      <c r="J1581" s="33"/>
      <c r="K1581" s="33"/>
      <c r="L1581" s="33"/>
      <c r="M1581" s="33"/>
      <c r="N1581" s="33"/>
      <c r="O1581" s="33"/>
      <c r="P1581" s="33"/>
      <c r="Q1581" s="33"/>
      <c r="R1581" s="114"/>
    </row>
    <row r="1582" spans="1:18" x14ac:dyDescent="0.2">
      <c r="A1582" s="98"/>
      <c r="B1582" s="33"/>
      <c r="C1582" s="187"/>
      <c r="D1582" s="187"/>
      <c r="E1582" s="1954"/>
      <c r="F1582" s="2529" t="s">
        <v>687</v>
      </c>
      <c r="G1582" s="187"/>
      <c r="H1582" s="138"/>
      <c r="I1582" s="33"/>
      <c r="J1582" s="33"/>
      <c r="K1582" s="33"/>
      <c r="L1582" s="33"/>
      <c r="M1582" s="33"/>
      <c r="N1582" s="33"/>
      <c r="O1582" s="33"/>
      <c r="P1582" s="33"/>
      <c r="Q1582" s="33"/>
      <c r="R1582" s="114"/>
    </row>
    <row r="1583" spans="1:18" x14ac:dyDescent="0.2">
      <c r="A1583" s="107">
        <v>43800</v>
      </c>
      <c r="B1583" s="33">
        <v>48300</v>
      </c>
      <c r="C1583" s="189">
        <v>44000</v>
      </c>
      <c r="D1583" s="189">
        <v>46100</v>
      </c>
      <c r="E1583" s="658" t="s">
        <v>1450</v>
      </c>
      <c r="F1583" s="76" t="s">
        <v>1032</v>
      </c>
      <c r="G1583" s="187">
        <v>55000</v>
      </c>
      <c r="H1583" s="138">
        <f>IF(D1583=G1583,0,IF(D1583=0,100,(G1583-D1583)/D1583*100))</f>
        <v>19.305856832971802</v>
      </c>
      <c r="I1583" s="33">
        <f>ROUNDUP(G1583+(G1583*Assumptions!H$5),-2)</f>
        <v>55900</v>
      </c>
      <c r="J1583" s="33">
        <f>ROUNDUP(I1583+(I1583*Assumptions!I$5),-2)</f>
        <v>57300</v>
      </c>
      <c r="K1583" s="33">
        <f>ROUNDUP(J1583+(J1583*Assumptions!J$5),-2)</f>
        <v>58800</v>
      </c>
      <c r="L1583" s="33">
        <f>ROUNDUP(K1583+(K1583*Assumptions!K$5),-2)</f>
        <v>60300</v>
      </c>
      <c r="M1583" s="33">
        <f>ROUNDUP(L1583+(L1583*Assumptions!L$5),-2)</f>
        <v>61600</v>
      </c>
      <c r="N1583" s="33">
        <f>ROUNDUP(M1583+(M1583*Assumptions!M$5),-2)</f>
        <v>62900</v>
      </c>
      <c r="O1583" s="33">
        <f>ROUNDUP(N1583+(N1583*Assumptions!N$5),-2)</f>
        <v>64200</v>
      </c>
      <c r="P1583" s="33">
        <f>ROUNDUP(O1583+(O1583*Assumptions!O$5),-2)</f>
        <v>65500</v>
      </c>
      <c r="Q1583" s="33">
        <f>ROUNDUP(P1583+(P1583*Assumptions!P$5),-2)</f>
        <v>66900</v>
      </c>
      <c r="R1583" s="114">
        <f>ROUNDUP(Q1583+(Q1583*Assumptions!Q$5),-2)</f>
        <v>68300</v>
      </c>
    </row>
    <row r="1584" spans="1:18" x14ac:dyDescent="0.2">
      <c r="A1584" s="107"/>
      <c r="B1584" s="33"/>
      <c r="E1584" s="658"/>
      <c r="F1584" s="2529" t="s">
        <v>3242</v>
      </c>
      <c r="G1584" s="187"/>
      <c r="H1584" s="138"/>
      <c r="I1584" s="33"/>
      <c r="J1584" s="33"/>
      <c r="K1584" s="33"/>
      <c r="L1584" s="33"/>
      <c r="M1584" s="33"/>
      <c r="N1584" s="33"/>
      <c r="O1584" s="33"/>
      <c r="P1584" s="33"/>
      <c r="Q1584" s="33"/>
      <c r="R1584" s="114"/>
    </row>
    <row r="1585" spans="1:18" x14ac:dyDescent="0.2">
      <c r="A1585" s="107">
        <v>141300</v>
      </c>
      <c r="B1585" s="33">
        <v>145700</v>
      </c>
      <c r="C1585" s="189">
        <v>156200</v>
      </c>
      <c r="D1585" s="189">
        <v>164500</v>
      </c>
      <c r="E1585" s="658" t="s">
        <v>733</v>
      </c>
      <c r="F1585" s="77" t="s">
        <v>4489</v>
      </c>
      <c r="G1585" s="187">
        <v>178000</v>
      </c>
      <c r="H1585" s="138">
        <f>IF(D1585=G1585,0,IF(D1585=0,100,(G1585-D1585)/D1585*100))</f>
        <v>8.2066869300911858</v>
      </c>
      <c r="I1585" s="33">
        <f>ROUNDUP(G1585+(G1585*Assumptions!H$5),-2)</f>
        <v>180700</v>
      </c>
      <c r="J1585" s="33">
        <f>ROUNDUP(I1585+(I1585*Assumptions!I$5),-2)</f>
        <v>185300</v>
      </c>
      <c r="K1585" s="33">
        <f>ROUNDUP(J1585+(J1585*Assumptions!J$5),-2)</f>
        <v>190000</v>
      </c>
      <c r="L1585" s="33">
        <f>ROUNDUP(K1585+(K1585*Assumptions!K$5),-2)</f>
        <v>194800</v>
      </c>
      <c r="M1585" s="33">
        <f>ROUNDUP(L1585+(L1585*Assumptions!L$5),-2)</f>
        <v>198700</v>
      </c>
      <c r="N1585" s="33">
        <f>ROUNDUP(M1585+(M1585*Assumptions!M$5),-2)</f>
        <v>202700</v>
      </c>
      <c r="O1585" s="33">
        <f>ROUNDUP(N1585+(N1585*Assumptions!N$5),-2)</f>
        <v>206800</v>
      </c>
      <c r="P1585" s="33">
        <f>ROUNDUP(O1585+(O1585*Assumptions!O$5),-2)</f>
        <v>211000</v>
      </c>
      <c r="Q1585" s="33">
        <f>ROUNDUP(P1585+(P1585*Assumptions!P$5),-2)</f>
        <v>215300</v>
      </c>
      <c r="R1585" s="114">
        <f>ROUNDUP(Q1585+(Q1585*Assumptions!Q$5),-2)</f>
        <v>219700</v>
      </c>
    </row>
    <row r="1586" spans="1:18" x14ac:dyDescent="0.2">
      <c r="A1586" s="2505"/>
      <c r="B1586" s="189"/>
      <c r="E1586" s="658"/>
      <c r="F1586" s="2529" t="s">
        <v>345</v>
      </c>
      <c r="G1586" s="187"/>
      <c r="H1586" s="138"/>
      <c r="I1586" s="33"/>
      <c r="J1586" s="33"/>
      <c r="K1586" s="33"/>
      <c r="L1586" s="33"/>
      <c r="M1586" s="33"/>
      <c r="N1586" s="33"/>
      <c r="O1586" s="33"/>
      <c r="P1586" s="33"/>
      <c r="Q1586" s="33"/>
      <c r="R1586" s="114"/>
    </row>
    <row r="1587" spans="1:18" x14ac:dyDescent="0.2">
      <c r="A1587" s="107">
        <v>20300</v>
      </c>
      <c r="B1587" s="33">
        <v>19600</v>
      </c>
      <c r="C1587" s="189">
        <v>20300</v>
      </c>
      <c r="D1587" s="189">
        <v>17000</v>
      </c>
      <c r="E1587" s="658" t="s">
        <v>314</v>
      </c>
      <c r="F1587" s="76" t="s">
        <v>2638</v>
      </c>
      <c r="G1587" s="187">
        <v>3000</v>
      </c>
      <c r="H1587" s="138">
        <f>IF(D1587=G1587,0,IF(D1587=0,100,(G1587-D1587)/D1587*100))</f>
        <v>-82.35294117647058</v>
      </c>
      <c r="I1587" s="33">
        <f>ROUND('Res-Bal'!G142/2*Assumptions!H14,-3)</f>
        <v>1000</v>
      </c>
      <c r="J1587" s="33">
        <f>ROUND('Res-Bal'!J142/2*Assumptions!I14,-3)</f>
        <v>7000</v>
      </c>
      <c r="K1587" s="33">
        <f>ROUND('Res-Bal'!M142/2*Assumptions!J14,-3)</f>
        <v>8000</v>
      </c>
      <c r="L1587" s="33">
        <f>ROUND('Res-Bal'!P142/2*Assumptions!K14,-3)</f>
        <v>23000</v>
      </c>
      <c r="M1587" s="33">
        <f>ROUND('Res-Bal'!S142/2*Assumptions!L14,-3)</f>
        <v>18000</v>
      </c>
      <c r="N1587" s="33">
        <f>ROUND('Res-Bal'!V142/2*Assumptions!M14,-3)</f>
        <v>24000</v>
      </c>
      <c r="O1587" s="33">
        <f>ROUND('Res-Bal'!Y142/2*Assumptions!N14,-3)</f>
        <v>21000</v>
      </c>
      <c r="P1587" s="33">
        <f>ROUND('Res-Bal'!Z142/2*Assumptions!O14,-3)</f>
        <v>21000</v>
      </c>
      <c r="Q1587" s="33">
        <f>ROUND('Res-Bal'!AA142/2*Assumptions!P14,-3)</f>
        <v>-8000</v>
      </c>
      <c r="R1587" s="114">
        <f>ROUND('Res-Bal'!AB142/2*Assumptions!Q14,-3)</f>
        <v>13000</v>
      </c>
    </row>
    <row r="1588" spans="1:18" x14ac:dyDescent="0.2">
      <c r="A1588" s="107"/>
      <c r="B1588" s="33"/>
      <c r="E1588" s="658"/>
      <c r="F1588" s="2529" t="s">
        <v>428</v>
      </c>
      <c r="G1588" s="187"/>
      <c r="H1588" s="138"/>
      <c r="I1588" s="33"/>
      <c r="J1588" s="33"/>
      <c r="K1588" s="33"/>
      <c r="L1588" s="33"/>
      <c r="M1588" s="33"/>
      <c r="N1588" s="33"/>
      <c r="O1588" s="33"/>
      <c r="P1588" s="33"/>
      <c r="Q1588" s="33"/>
      <c r="R1588" s="114"/>
    </row>
    <row r="1589" spans="1:18" x14ac:dyDescent="0.2">
      <c r="A1589" s="107">
        <v>55100</v>
      </c>
      <c r="B1589" s="142">
        <f>12000+18800</f>
        <v>30800</v>
      </c>
      <c r="C1589" s="189">
        <f>10800+15900-100</f>
        <v>26600</v>
      </c>
      <c r="D1589" s="189">
        <v>5200</v>
      </c>
      <c r="E1589" s="658" t="s">
        <v>911</v>
      </c>
      <c r="F1589" s="77" t="s">
        <v>3323</v>
      </c>
      <c r="G1589" s="187">
        <v>18000</v>
      </c>
      <c r="H1589" s="138">
        <f>IF(D1589=G1589,0,IF(D1589=0,100,(G1589-D1589)/D1589*100))</f>
        <v>246.15384615384616</v>
      </c>
      <c r="I1589" s="33">
        <f>ROUNDUP(G1589+(G1589*Assumptions!H$5),-2)</f>
        <v>18300</v>
      </c>
      <c r="J1589" s="33">
        <f>ROUNDUP(I1589+(I1589*Assumptions!I$5),-2)</f>
        <v>18800</v>
      </c>
      <c r="K1589" s="33">
        <f>ROUNDUP(J1589+(J1589*Assumptions!J$5),-2)</f>
        <v>19300</v>
      </c>
      <c r="L1589" s="33">
        <f>ROUNDUP(K1589+(K1589*Assumptions!K$5),-2)</f>
        <v>19800</v>
      </c>
      <c r="M1589" s="33">
        <f>ROUNDUP(L1589+(L1589*Assumptions!L$5),-2)</f>
        <v>20200</v>
      </c>
      <c r="N1589" s="33">
        <f>ROUNDUP(M1589+(M1589*Assumptions!M$5),-2)</f>
        <v>20700</v>
      </c>
      <c r="O1589" s="33">
        <f>ROUNDUP(N1589+(N1589*Assumptions!N$5),-2)</f>
        <v>21200</v>
      </c>
      <c r="P1589" s="33">
        <f>ROUNDUP(O1589+(O1589*Assumptions!O$5),-2)</f>
        <v>21700</v>
      </c>
      <c r="Q1589" s="33">
        <f>ROUNDUP(P1589+(P1589*Assumptions!P$5),-2)</f>
        <v>22200</v>
      </c>
      <c r="R1589" s="114">
        <f>ROUNDUP(Q1589+(Q1589*Assumptions!Q$5),-2)</f>
        <v>22700</v>
      </c>
    </row>
    <row r="1590" spans="1:18" x14ac:dyDescent="0.2">
      <c r="A1590" s="107">
        <v>0</v>
      </c>
      <c r="B1590" s="142">
        <v>0</v>
      </c>
      <c r="C1590" s="189">
        <v>0</v>
      </c>
      <c r="D1590" s="189">
        <v>51200</v>
      </c>
      <c r="E1590" s="1092" t="s">
        <v>6136</v>
      </c>
      <c r="F1590" s="77" t="s">
        <v>6137</v>
      </c>
      <c r="G1590" s="187">
        <v>0</v>
      </c>
      <c r="H1590" s="138">
        <f>IF(D1590=G1590,0,IF(D1590=0,100,(G1590-D1590)/D1590*100))</f>
        <v>-100</v>
      </c>
      <c r="I1590" s="33">
        <f>ROUNDUP(G1590+(G1590*Assumptions!H$5),-2)</f>
        <v>0</v>
      </c>
      <c r="J1590" s="33">
        <f>ROUNDUP(I1590+(I1590*Assumptions!I$5),-2)</f>
        <v>0</v>
      </c>
      <c r="K1590" s="33">
        <f>ROUNDUP(J1590+(J1590*Assumptions!J$5),-2)</f>
        <v>0</v>
      </c>
      <c r="L1590" s="33">
        <f>ROUNDUP(K1590+(K1590*Assumptions!K$5),-2)</f>
        <v>0</v>
      </c>
      <c r="M1590" s="33">
        <f>ROUNDUP(L1590+(L1590*Assumptions!L$5),-2)</f>
        <v>0</v>
      </c>
      <c r="N1590" s="33">
        <f>ROUNDUP(M1590+(M1590*Assumptions!M$5),-2)</f>
        <v>0</v>
      </c>
      <c r="O1590" s="33">
        <f>ROUNDUP(N1590+(N1590*Assumptions!N$5),-2)</f>
        <v>0</v>
      </c>
      <c r="P1590" s="33">
        <f>ROUNDUP(O1590+(O1590*Assumptions!O$5),-2)</f>
        <v>0</v>
      </c>
      <c r="Q1590" s="33">
        <f>ROUNDUP(P1590+(P1590*Assumptions!P$5),-2)</f>
        <v>0</v>
      </c>
      <c r="R1590" s="114">
        <f>ROUNDUP(Q1590+(Q1590*Assumptions!Q$5),-2)</f>
        <v>0</v>
      </c>
    </row>
    <row r="1591" spans="1:18" x14ac:dyDescent="0.2">
      <c r="A1591" s="107"/>
      <c r="B1591" s="33"/>
      <c r="E1591" s="658"/>
      <c r="F1591" s="2529" t="s">
        <v>5392</v>
      </c>
      <c r="G1591" s="187"/>
      <c r="H1591" s="138"/>
      <c r="I1591" s="33"/>
      <c r="J1591" s="33"/>
      <c r="K1591" s="33"/>
      <c r="L1591" s="33"/>
      <c r="M1591" s="33"/>
      <c r="N1591" s="33"/>
      <c r="O1591" s="33"/>
      <c r="P1591" s="33"/>
      <c r="Q1591" s="33"/>
      <c r="R1591" s="114"/>
    </row>
    <row r="1592" spans="1:18" x14ac:dyDescent="0.2">
      <c r="A1592" s="107">
        <v>48000</v>
      </c>
      <c r="B1592" s="33">
        <v>57600</v>
      </c>
      <c r="C1592" s="189">
        <v>79800</v>
      </c>
      <c r="D1592" s="189">
        <v>0</v>
      </c>
      <c r="E1592" s="658" t="s">
        <v>1007</v>
      </c>
      <c r="F1592" s="76" t="s">
        <v>983</v>
      </c>
      <c r="G1592" s="187">
        <v>0</v>
      </c>
      <c r="H1592" s="138">
        <f>IF(D1592=G1592,0,IF(D1592=0,100,(G1592-D1592)/D1592*100))</f>
        <v>0</v>
      </c>
      <c r="I1592" s="33">
        <f>ROUNDUP(G1592+(G1592*Assumptions!H$5),-2)</f>
        <v>0</v>
      </c>
      <c r="J1592" s="33">
        <f>ROUNDUP(I1592+(I1592*Assumptions!I$5),-2)</f>
        <v>0</v>
      </c>
      <c r="K1592" s="33">
        <f>ROUNDUP(J1592+(J1592*Assumptions!J$5),-2)</f>
        <v>0</v>
      </c>
      <c r="L1592" s="33">
        <f>ROUNDUP(K1592+(K1592*Assumptions!K$5),-2)</f>
        <v>0</v>
      </c>
      <c r="M1592" s="33">
        <f>ROUNDUP(L1592+(L1592*Assumptions!L$5),-2)</f>
        <v>0</v>
      </c>
      <c r="N1592" s="33">
        <f>ROUNDUP(M1592+(M1592*Assumptions!M$5),-2)</f>
        <v>0</v>
      </c>
      <c r="O1592" s="33">
        <f>ROUNDUP(N1592+(N1592*Assumptions!N$5),-2)</f>
        <v>0</v>
      </c>
      <c r="P1592" s="33">
        <f>ROUNDUP(O1592+(O1592*Assumptions!O$5),-2)</f>
        <v>0</v>
      </c>
      <c r="Q1592" s="33">
        <f>ROUNDUP(P1592+(P1592*Assumptions!P$5),-2)</f>
        <v>0</v>
      </c>
      <c r="R1592" s="114">
        <f>ROUNDUP(Q1592+(Q1592*Assumptions!Q$5),-2)</f>
        <v>0</v>
      </c>
    </row>
    <row r="1593" spans="1:18" ht="13.5" thickBot="1" x14ac:dyDescent="0.25">
      <c r="A1593" s="107"/>
      <c r="B1593" s="33"/>
      <c r="D1593" s="187"/>
      <c r="E1593" s="1954"/>
      <c r="F1593" s="76"/>
      <c r="G1593" s="187"/>
      <c r="H1593" s="138"/>
      <c r="I1593" s="33"/>
      <c r="J1593" s="33"/>
      <c r="K1593" s="33"/>
      <c r="L1593" s="33"/>
      <c r="M1593" s="33"/>
      <c r="N1593" s="33"/>
      <c r="O1593" s="33"/>
      <c r="P1593" s="33"/>
      <c r="Q1593" s="33"/>
      <c r="R1593" s="114"/>
    </row>
    <row r="1594" spans="1:18" s="92" customFormat="1" x14ac:dyDescent="0.2">
      <c r="A1594" s="105">
        <f>SUM(A1580:A1593)</f>
        <v>308500</v>
      </c>
      <c r="B1594" s="53">
        <f>SUM(B1580:B1593)</f>
        <v>302000</v>
      </c>
      <c r="C1594" s="199">
        <f>SUM(C1580:C1593)</f>
        <v>326900</v>
      </c>
      <c r="D1594" s="199">
        <f>SUM(D1580:D1593)</f>
        <v>284000</v>
      </c>
      <c r="E1594" s="236"/>
      <c r="F1594" s="1960" t="s">
        <v>2605</v>
      </c>
      <c r="G1594" s="199">
        <f t="shared" ref="G1594:P1594" si="1486">SUM(G1580:G1593)</f>
        <v>254000</v>
      </c>
      <c r="H1594" s="180">
        <f>IF(D1594=G1594,0,IF(D1594=0,100,(G1594-D1594)/D1594*100))</f>
        <v>-10.56338028169014</v>
      </c>
      <c r="I1594" s="53">
        <f t="shared" si="1486"/>
        <v>255900</v>
      </c>
      <c r="J1594" s="53">
        <f t="shared" si="1486"/>
        <v>268400</v>
      </c>
      <c r="K1594" s="53">
        <f t="shared" si="1486"/>
        <v>276100</v>
      </c>
      <c r="L1594" s="53">
        <f t="shared" si="1486"/>
        <v>297900</v>
      </c>
      <c r="M1594" s="53">
        <f t="shared" si="1486"/>
        <v>298500</v>
      </c>
      <c r="N1594" s="53">
        <f t="shared" si="1486"/>
        <v>310300</v>
      </c>
      <c r="O1594" s="53">
        <f t="shared" si="1486"/>
        <v>313200</v>
      </c>
      <c r="P1594" s="53">
        <f t="shared" si="1486"/>
        <v>319200</v>
      </c>
      <c r="Q1594" s="53">
        <f t="shared" ref="Q1594" si="1487">SUM(Q1580:Q1593)</f>
        <v>296400</v>
      </c>
      <c r="R1594" s="113">
        <f t="shared" ref="R1594" si="1488">SUM(R1580:R1593)</f>
        <v>323700</v>
      </c>
    </row>
    <row r="1595" spans="1:18" x14ac:dyDescent="0.2">
      <c r="A1595" s="107"/>
      <c r="B1595" s="33"/>
      <c r="E1595" s="1955"/>
      <c r="F1595" s="76"/>
      <c r="G1595" s="187"/>
      <c r="H1595" s="138"/>
      <c r="I1595" s="33"/>
      <c r="J1595" s="33"/>
      <c r="K1595" s="33"/>
      <c r="L1595" s="33"/>
      <c r="M1595" s="33"/>
      <c r="N1595" s="33"/>
      <c r="O1595" s="33"/>
      <c r="P1595" s="33"/>
      <c r="Q1595" s="33"/>
      <c r="R1595" s="114"/>
    </row>
    <row r="1596" spans="1:18" x14ac:dyDescent="0.2">
      <c r="A1596" s="107"/>
      <c r="B1596" s="33"/>
      <c r="E1596" s="1955"/>
      <c r="F1596" s="103" t="s">
        <v>2205</v>
      </c>
      <c r="G1596" s="187"/>
      <c r="H1596" s="138"/>
      <c r="I1596" s="33"/>
      <c r="J1596" s="33"/>
      <c r="K1596" s="33"/>
      <c r="L1596" s="33"/>
      <c r="M1596" s="33"/>
      <c r="N1596" s="33"/>
      <c r="O1596" s="33"/>
      <c r="P1596" s="33"/>
      <c r="Q1596" s="33"/>
      <c r="R1596" s="114"/>
    </row>
    <row r="1597" spans="1:18" x14ac:dyDescent="0.2">
      <c r="A1597" s="107"/>
      <c r="B1597" s="33"/>
      <c r="E1597" s="1955"/>
      <c r="F1597" s="79" t="s">
        <v>869</v>
      </c>
      <c r="G1597" s="187"/>
      <c r="H1597" s="138"/>
      <c r="I1597" s="33"/>
      <c r="J1597" s="33"/>
      <c r="K1597" s="33"/>
      <c r="L1597" s="33"/>
      <c r="M1597" s="33"/>
      <c r="N1597" s="33"/>
      <c r="O1597" s="33"/>
      <c r="P1597" s="33"/>
      <c r="Q1597" s="33"/>
      <c r="R1597" s="114"/>
    </row>
    <row r="1598" spans="1:18" x14ac:dyDescent="0.2">
      <c r="A1598" s="107">
        <v>10400</v>
      </c>
      <c r="B1598" s="33">
        <v>200</v>
      </c>
      <c r="C1598" s="189">
        <v>3800</v>
      </c>
      <c r="D1598" s="189">
        <v>2100</v>
      </c>
      <c r="E1598" s="1097" t="s">
        <v>3221</v>
      </c>
      <c r="F1598" s="76" t="s">
        <v>2466</v>
      </c>
      <c r="G1598" s="187">
        <v>4000</v>
      </c>
      <c r="H1598" s="138">
        <f t="shared" ref="H1598:H1606" si="1489">IF(D1598=G1598,0,IF(D1598=0,100,(G1598-D1598)/D1598*100))</f>
        <v>90.476190476190482</v>
      </c>
      <c r="I1598" s="33">
        <f>ROUNDUP(G1598+(G1598*Assumptions!H$5),-2)</f>
        <v>4100</v>
      </c>
      <c r="J1598" s="33">
        <f>ROUNDUP(I1598+(I1598*Assumptions!I$5),-2)</f>
        <v>4300</v>
      </c>
      <c r="K1598" s="33">
        <f>ROUNDUP(J1598+(J1598*Assumptions!J$5),-2)</f>
        <v>4500</v>
      </c>
      <c r="L1598" s="33">
        <f>ROUNDUP(K1598+(K1598*Assumptions!K$5),-2)</f>
        <v>4700</v>
      </c>
      <c r="M1598" s="33">
        <f>ROUNDUP(L1598+(L1598*Assumptions!L$5),-2)</f>
        <v>4800</v>
      </c>
      <c r="N1598" s="33">
        <f>ROUNDUP(M1598+(M1598*Assumptions!M$5),-2)</f>
        <v>4900</v>
      </c>
      <c r="O1598" s="33">
        <f>ROUNDUP(N1598+(N1598*Assumptions!N$5),-2)</f>
        <v>5000</v>
      </c>
      <c r="P1598" s="33">
        <f>ROUNDUP(O1598+(O1598*Assumptions!O$5),-2)</f>
        <v>5100</v>
      </c>
      <c r="Q1598" s="33">
        <f>ROUNDUP(P1598+(P1598*Assumptions!P$5),-2)</f>
        <v>5300</v>
      </c>
      <c r="R1598" s="114">
        <f>ROUNDUP(Q1598+(Q1598*Assumptions!Q$5),-2)</f>
        <v>5500</v>
      </c>
    </row>
    <row r="1599" spans="1:18" x14ac:dyDescent="0.2">
      <c r="A1599" s="107">
        <v>700</v>
      </c>
      <c r="B1599" s="33">
        <v>600</v>
      </c>
      <c r="C1599" s="189">
        <v>800</v>
      </c>
      <c r="D1599" s="189">
        <v>900</v>
      </c>
      <c r="E1599" s="1955" t="s">
        <v>2467</v>
      </c>
      <c r="F1599" s="76" t="s">
        <v>2468</v>
      </c>
      <c r="G1599" s="187">
        <v>2000</v>
      </c>
      <c r="H1599" s="138">
        <f t="shared" si="1489"/>
        <v>122.22222222222223</v>
      </c>
      <c r="I1599" s="33">
        <f>ROUNDUP(G1599+(G1599*Assumptions!H$5),-2)</f>
        <v>2100</v>
      </c>
      <c r="J1599" s="33">
        <f>ROUNDUP(I1599+(I1599*Assumptions!I$5),-2)</f>
        <v>2200</v>
      </c>
      <c r="K1599" s="33">
        <f>ROUNDUP(J1599+(J1599*Assumptions!J$5),-2)</f>
        <v>2300</v>
      </c>
      <c r="L1599" s="33">
        <f>ROUNDUP(K1599+(K1599*Assumptions!K$5),-2)</f>
        <v>2400</v>
      </c>
      <c r="M1599" s="33">
        <f>ROUNDUP(L1599+(L1599*Assumptions!L$5),-2)</f>
        <v>2500</v>
      </c>
      <c r="N1599" s="33">
        <f>ROUNDUP(M1599+(M1599*Assumptions!M$5),-2)</f>
        <v>2600</v>
      </c>
      <c r="O1599" s="33">
        <f>ROUNDUP(N1599+(N1599*Assumptions!N$5),-2)</f>
        <v>2700</v>
      </c>
      <c r="P1599" s="33">
        <f>ROUNDUP(O1599+(O1599*Assumptions!O$5),-2)</f>
        <v>2800</v>
      </c>
      <c r="Q1599" s="33">
        <f>ROUNDUP(P1599+(P1599*Assumptions!P$5),-2)</f>
        <v>2900</v>
      </c>
      <c r="R1599" s="114">
        <f>ROUNDUP(Q1599+(Q1599*Assumptions!Q$5),-2)</f>
        <v>3000</v>
      </c>
    </row>
    <row r="1600" spans="1:18" x14ac:dyDescent="0.2">
      <c r="A1600" s="107">
        <v>61700</v>
      </c>
      <c r="B1600" s="33">
        <v>68200</v>
      </c>
      <c r="C1600" s="189">
        <v>62900</v>
      </c>
      <c r="D1600" s="189">
        <v>64600</v>
      </c>
      <c r="E1600" s="1955" t="s">
        <v>411</v>
      </c>
      <c r="F1600" s="77" t="s">
        <v>1341</v>
      </c>
      <c r="G1600" s="187">
        <f>73500-3000</f>
        <v>70500</v>
      </c>
      <c r="H1600" s="138">
        <f t="shared" si="1489"/>
        <v>9.1331269349845208</v>
      </c>
      <c r="I1600" s="33">
        <f>ROUNDUP(G1600+(G1600*Assumptions!H$5),-2)</f>
        <v>71600</v>
      </c>
      <c r="J1600" s="33">
        <f>ROUNDUP(I1600+(I1600*Assumptions!I$5),-2)</f>
        <v>73400</v>
      </c>
      <c r="K1600" s="33">
        <f>ROUNDUP(J1600+(J1600*Assumptions!J$5),-2)</f>
        <v>75300</v>
      </c>
      <c r="L1600" s="33">
        <f>ROUNDUP(K1600+(K1600*Assumptions!K$5),-2)</f>
        <v>77200</v>
      </c>
      <c r="M1600" s="33">
        <f>ROUNDUP(L1600+(L1600*Assumptions!L$5),-2)</f>
        <v>78800</v>
      </c>
      <c r="N1600" s="33">
        <f>ROUNDUP(M1600+(M1600*Assumptions!M$5),-2)</f>
        <v>80400</v>
      </c>
      <c r="O1600" s="33">
        <f>ROUNDUP(N1600+(N1600*Assumptions!N$5),-2)</f>
        <v>82100</v>
      </c>
      <c r="P1600" s="33">
        <f>ROUNDUP(O1600+(O1600*Assumptions!O$5),-2)</f>
        <v>83800</v>
      </c>
      <c r="Q1600" s="33">
        <f>ROUNDUP(P1600+(P1600*Assumptions!P$5),-2)</f>
        <v>85500</v>
      </c>
      <c r="R1600" s="114">
        <f>ROUNDUP(Q1600+(Q1600*Assumptions!Q$5),-2)</f>
        <v>87300</v>
      </c>
    </row>
    <row r="1601" spans="1:18" x14ac:dyDescent="0.2">
      <c r="A1601" s="107">
        <v>15200</v>
      </c>
      <c r="B1601" s="33">
        <v>9500</v>
      </c>
      <c r="C1601" s="189">
        <v>14500</v>
      </c>
      <c r="D1601" s="189">
        <v>13400</v>
      </c>
      <c r="E1601" s="658" t="s">
        <v>1678</v>
      </c>
      <c r="F1601" s="1981" t="s">
        <v>1500</v>
      </c>
      <c r="G1601" s="187">
        <v>10000</v>
      </c>
      <c r="H1601" s="138">
        <f t="shared" si="1489"/>
        <v>-25.373134328358208</v>
      </c>
      <c r="I1601" s="187">
        <f>ROUNDUP(G1601+(D1601*Assumptions!H$5),-2)</f>
        <v>10300</v>
      </c>
      <c r="J1601" s="187">
        <f>ROUNDUP(I1601+(G1601*Assumptions!I$5),-2)</f>
        <v>10600</v>
      </c>
      <c r="K1601" s="187">
        <f>ROUNDUP(J1601+(I1601*Assumptions!J$5),-2)</f>
        <v>10900</v>
      </c>
      <c r="L1601" s="187">
        <f>ROUNDUP(K1601+(J1601*Assumptions!K$5),-2)</f>
        <v>11200</v>
      </c>
      <c r="M1601" s="187">
        <f>ROUNDUP(L1601+(K1601*Assumptions!L$5),-2)</f>
        <v>11500</v>
      </c>
      <c r="N1601" s="187">
        <f>ROUNDUP(M1601+(L1601*Assumptions!M$5),-2)</f>
        <v>11800</v>
      </c>
      <c r="O1601" s="187">
        <f>ROUNDUP(N1601+(M1601*Assumptions!N$5),-2)</f>
        <v>12100</v>
      </c>
      <c r="P1601" s="187">
        <f>ROUNDUP(O1601+(N1601*Assumptions!O$5),-2)</f>
        <v>12400</v>
      </c>
      <c r="Q1601" s="187">
        <f>ROUNDUP(P1601+(O1601*Assumptions!P$5),-2)</f>
        <v>12700</v>
      </c>
      <c r="R1601" s="188">
        <f>ROUNDUP(Q1601+(P1601*Assumptions!Q$5),-2)</f>
        <v>13000</v>
      </c>
    </row>
    <row r="1602" spans="1:18" x14ac:dyDescent="0.2">
      <c r="A1602" s="107">
        <v>20200</v>
      </c>
      <c r="B1602" s="33">
        <v>17500</v>
      </c>
      <c r="C1602" s="142">
        <v>15100</v>
      </c>
      <c r="D1602" s="189">
        <v>15800</v>
      </c>
      <c r="E1602" s="658" t="s">
        <v>2460</v>
      </c>
      <c r="F1602" s="1981" t="s">
        <v>851</v>
      </c>
      <c r="G1602" s="33">
        <v>20000</v>
      </c>
      <c r="H1602" s="138">
        <f t="shared" si="1489"/>
        <v>26.582278481012654</v>
      </c>
      <c r="I1602" s="33">
        <f>ROUNDUP(G1602+(G1602*Assumptions!H$5),-2)</f>
        <v>20300</v>
      </c>
      <c r="J1602" s="33">
        <f>ROUNDUP(I1602+(I1602*Assumptions!I$5),-2)</f>
        <v>20900</v>
      </c>
      <c r="K1602" s="33">
        <f>ROUNDUP(J1602+(J1602*Assumptions!J$5),-2)</f>
        <v>21500</v>
      </c>
      <c r="L1602" s="33">
        <f>ROUNDUP(K1602+(K1602*Assumptions!K$5),-2)</f>
        <v>22100</v>
      </c>
      <c r="M1602" s="33">
        <f>ROUNDUP(L1602+(L1602*Assumptions!L$5),-2)</f>
        <v>22600</v>
      </c>
      <c r="N1602" s="33">
        <f>ROUNDUP(M1602+(M1602*Assumptions!M$5),-2)</f>
        <v>23100</v>
      </c>
      <c r="O1602" s="33">
        <f>ROUNDUP(N1602+(N1602*Assumptions!N$5),-2)</f>
        <v>23600</v>
      </c>
      <c r="P1602" s="33">
        <f>ROUNDUP(O1602+(O1602*Assumptions!O$5),-2)</f>
        <v>24100</v>
      </c>
      <c r="Q1602" s="33">
        <f>ROUNDUP(P1602+(P1602*Assumptions!P$5),-2)</f>
        <v>24600</v>
      </c>
      <c r="R1602" s="114">
        <f>ROUNDUP(Q1602+(Q1602*Assumptions!Q$5),-2)</f>
        <v>25100</v>
      </c>
    </row>
    <row r="1603" spans="1:18" x14ac:dyDescent="0.2">
      <c r="A1603" s="107">
        <v>137600</v>
      </c>
      <c r="B1603" s="33">
        <v>169700</v>
      </c>
      <c r="C1603" s="189">
        <v>189400</v>
      </c>
      <c r="D1603" s="189">
        <v>258500</v>
      </c>
      <c r="E1603" s="658" t="s">
        <v>2459</v>
      </c>
      <c r="F1603" s="76" t="s">
        <v>368</v>
      </c>
      <c r="G1603" s="33">
        <f>254000+86000</f>
        <v>340000</v>
      </c>
      <c r="H1603" s="138">
        <f t="shared" si="1489"/>
        <v>31.52804642166344</v>
      </c>
      <c r="I1603" s="33">
        <f>ROUNDUP(G1603+(G1603*Assumptions!H$5),-2)</f>
        <v>345100</v>
      </c>
      <c r="J1603" s="33">
        <f>ROUNDUP(I1603+(I1603*Assumptions!I$5),-2)</f>
        <v>353800</v>
      </c>
      <c r="K1603" s="33">
        <f>ROUNDUP(J1603+(J1603*Assumptions!J$5),-2)</f>
        <v>362700</v>
      </c>
      <c r="L1603" s="33">
        <f>ROUNDUP(K1603+(K1603*Assumptions!K$5),-2)</f>
        <v>371800</v>
      </c>
      <c r="M1603" s="33">
        <f>ROUNDUP(L1603+(L1603*Assumptions!L$5),-2)</f>
        <v>379300</v>
      </c>
      <c r="N1603" s="33">
        <f>ROUNDUP(M1603+(M1603*Assumptions!M$5),-2)</f>
        <v>386900</v>
      </c>
      <c r="O1603" s="33">
        <f>ROUNDUP(N1603+(N1603*Assumptions!N$5),-2)</f>
        <v>394700</v>
      </c>
      <c r="P1603" s="33">
        <f>ROUNDUP(O1603+(O1603*Assumptions!O$5),-2)</f>
        <v>402600</v>
      </c>
      <c r="Q1603" s="33">
        <f>ROUNDUP(P1603+(P1603*Assumptions!P$5),-2)</f>
        <v>410700</v>
      </c>
      <c r="R1603" s="114">
        <f>ROUNDUP(Q1603+(Q1603*Assumptions!Q$5),-2)</f>
        <v>419000</v>
      </c>
    </row>
    <row r="1604" spans="1:18" x14ac:dyDescent="0.2">
      <c r="A1604" s="107">
        <v>115200</v>
      </c>
      <c r="B1604" s="33">
        <f>105700+4500</f>
        <v>110200</v>
      </c>
      <c r="C1604" s="189">
        <v>95200</v>
      </c>
      <c r="D1604" s="189">
        <v>124200</v>
      </c>
      <c r="E1604" s="658" t="s">
        <v>2146</v>
      </c>
      <c r="F1604" s="1981" t="s">
        <v>401</v>
      </c>
      <c r="G1604" s="187">
        <f>122000+48000</f>
        <v>170000</v>
      </c>
      <c r="H1604" s="138">
        <f t="shared" si="1489"/>
        <v>36.876006441223829</v>
      </c>
      <c r="I1604" s="33">
        <f>ROUNDUP(G1604+(G1604*Assumptions!H$5),-2)</f>
        <v>172600</v>
      </c>
      <c r="J1604" s="33">
        <f>ROUNDUP(I1604+(I1604*Assumptions!I$5),-2)</f>
        <v>177000</v>
      </c>
      <c r="K1604" s="33">
        <f>ROUNDUP(J1604+(J1604*Assumptions!J$5),-2)</f>
        <v>181500</v>
      </c>
      <c r="L1604" s="33">
        <f>ROUNDUP(K1604+(K1604*Assumptions!K$5),-2)</f>
        <v>186100</v>
      </c>
      <c r="M1604" s="33">
        <f>ROUNDUP(L1604+(L1604*Assumptions!L$5),-2)</f>
        <v>189900</v>
      </c>
      <c r="N1604" s="33">
        <f>ROUNDUP(M1604+(M1604*Assumptions!M$5),-2)</f>
        <v>193700</v>
      </c>
      <c r="O1604" s="33">
        <f>ROUNDUP(N1604+(N1604*Assumptions!N$5),-2)</f>
        <v>197600</v>
      </c>
      <c r="P1604" s="33">
        <f>ROUNDUP(O1604+(O1604*Assumptions!O$5),-2)</f>
        <v>201600</v>
      </c>
      <c r="Q1604" s="33">
        <f>ROUNDUP(P1604+(P1604*Assumptions!P$5),-2)</f>
        <v>205700</v>
      </c>
      <c r="R1604" s="114">
        <f>ROUNDUP(Q1604+(Q1604*Assumptions!Q$5),-2)</f>
        <v>209900</v>
      </c>
    </row>
    <row r="1605" spans="1:18" x14ac:dyDescent="0.2">
      <c r="A1605" s="107">
        <v>48700</v>
      </c>
      <c r="B1605" s="33">
        <v>38100</v>
      </c>
      <c r="C1605" s="189">
        <v>24300</v>
      </c>
      <c r="D1605" s="189">
        <v>48900</v>
      </c>
      <c r="E1605" s="658" t="s">
        <v>2147</v>
      </c>
      <c r="F1605" s="366" t="s">
        <v>1265</v>
      </c>
      <c r="G1605" s="198">
        <v>50000</v>
      </c>
      <c r="H1605" s="138">
        <f t="shared" si="1489"/>
        <v>2.2494887525562373</v>
      </c>
      <c r="I1605" s="33">
        <f>ROUNDUP(G1605+(G1605*Assumptions!H$5),-2)</f>
        <v>50800</v>
      </c>
      <c r="J1605" s="33">
        <f>ROUNDUP(I1605+(I1605*Assumptions!I$5),-2)</f>
        <v>52100</v>
      </c>
      <c r="K1605" s="33">
        <f>ROUNDUP(J1605+(J1605*Assumptions!J$5),-2)</f>
        <v>53500</v>
      </c>
      <c r="L1605" s="33">
        <f>ROUNDUP(K1605+(K1605*Assumptions!K$5),-2)</f>
        <v>54900</v>
      </c>
      <c r="M1605" s="33">
        <f>ROUNDUP(L1605+(L1605*Assumptions!L$5),-2)</f>
        <v>56000</v>
      </c>
      <c r="N1605" s="33">
        <f>ROUNDUP(M1605+(M1605*Assumptions!M$5),-2)</f>
        <v>57200</v>
      </c>
      <c r="O1605" s="33">
        <f>ROUNDUP(N1605+(N1605*Assumptions!N$5),-2)</f>
        <v>58400</v>
      </c>
      <c r="P1605" s="33">
        <f>ROUNDUP(O1605+(O1605*Assumptions!O$5),-2)</f>
        <v>59600</v>
      </c>
      <c r="Q1605" s="33">
        <f>ROUNDUP(P1605+(P1605*Assumptions!P$5),-2)</f>
        <v>60800</v>
      </c>
      <c r="R1605" s="114">
        <f>ROUNDUP(Q1605+(Q1605*Assumptions!Q$5),-2)</f>
        <v>62100</v>
      </c>
    </row>
    <row r="1606" spans="1:18" x14ac:dyDescent="0.2">
      <c r="A1606" s="107">
        <v>1739200</v>
      </c>
      <c r="B1606" s="33">
        <f>2061000-222000-14200</f>
        <v>1824800</v>
      </c>
      <c r="C1606" s="1012">
        <f>2502500-406000-337000</f>
        <v>1759500</v>
      </c>
      <c r="D1606" s="189">
        <v>1613300</v>
      </c>
      <c r="E1606" s="658" t="s">
        <v>2001</v>
      </c>
      <c r="F1606" s="33" t="s">
        <v>2672</v>
      </c>
      <c r="G1606" s="198">
        <f>2068000-131000</f>
        <v>1937000</v>
      </c>
      <c r="H1606" s="138">
        <f t="shared" si="1489"/>
        <v>20.064464141821112</v>
      </c>
      <c r="I1606" s="33">
        <v>1800000</v>
      </c>
      <c r="J1606" s="33">
        <f>ROUNDUP(I1606+(I1606*Assumptions!I$5),-2)</f>
        <v>1845000</v>
      </c>
      <c r="K1606" s="33">
        <f>ROUNDUP(J1606+(J1606*Assumptions!J$5),-2)</f>
        <v>1891200</v>
      </c>
      <c r="L1606" s="33">
        <f>ROUNDUP(K1606+(K1606*Assumptions!K$5),-2)</f>
        <v>1938500</v>
      </c>
      <c r="M1606" s="33">
        <f>ROUNDUP(L1606+(L1606*Assumptions!L$5),-2)</f>
        <v>1977300</v>
      </c>
      <c r="N1606" s="33">
        <f>ROUNDUP(M1606+(M1606*Assumptions!M$5),-2)</f>
        <v>2016900</v>
      </c>
      <c r="O1606" s="33">
        <f>ROUNDUP(N1606+(N1606*Assumptions!N$5),-2)</f>
        <v>2057300</v>
      </c>
      <c r="P1606" s="33">
        <f>ROUNDUP(O1606+(O1606*Assumptions!O$5),-2)</f>
        <v>2098500</v>
      </c>
      <c r="Q1606" s="33">
        <f>ROUNDUP(P1606+(P1606*Assumptions!P$5),-2)</f>
        <v>2140500</v>
      </c>
      <c r="R1606" s="114">
        <f>ROUNDUP(Q1606+(Q1606*Assumptions!Q$5),-2)</f>
        <v>2183400</v>
      </c>
    </row>
    <row r="1607" spans="1:18" x14ac:dyDescent="0.2">
      <c r="A1607" s="98"/>
      <c r="B1607" s="33"/>
      <c r="E1607" s="1954"/>
      <c r="F1607" s="116" t="s">
        <v>4411</v>
      </c>
      <c r="G1607" s="198"/>
      <c r="H1607" s="138"/>
      <c r="I1607" s="33"/>
      <c r="J1607" s="33"/>
      <c r="K1607" s="33"/>
      <c r="L1607" s="33"/>
      <c r="M1607" s="33"/>
      <c r="N1607" s="33"/>
      <c r="O1607" s="33"/>
      <c r="P1607" s="33"/>
      <c r="Q1607" s="33"/>
      <c r="R1607" s="114"/>
    </row>
    <row r="1608" spans="1:18" x14ac:dyDescent="0.2">
      <c r="A1608" s="107">
        <v>-2972700</v>
      </c>
      <c r="B1608" s="33">
        <v>-3139600</v>
      </c>
      <c r="C1608" s="189">
        <f>-3179500</f>
        <v>-3179500</v>
      </c>
      <c r="D1608" s="189">
        <v>-3347200</v>
      </c>
      <c r="E1608" s="658" t="s">
        <v>1617</v>
      </c>
      <c r="F1608" s="132" t="s">
        <v>4411</v>
      </c>
      <c r="G1608" s="198">
        <v>-3610000</v>
      </c>
      <c r="H1608" s="138">
        <f>IF(D1608=G1608,0,IF(D1608=0,100,(G1608-D1608)/D1608*100))</f>
        <v>7.8513384321223709</v>
      </c>
      <c r="I1608" s="33">
        <f>ROUNDUP(G1608+(G1608*Assumptions!H$5),-3)</f>
        <v>-3665000</v>
      </c>
      <c r="J1608" s="33">
        <f>ROUNDUP(I1608+(I1608*Assumptions!I$5),-2)</f>
        <v>-3756700</v>
      </c>
      <c r="K1608" s="33">
        <f>ROUNDUP(J1608+(J1608*Assumptions!J$5),-2)</f>
        <v>-3850700</v>
      </c>
      <c r="L1608" s="33">
        <f>ROUNDUP(K1608+(K1608*Assumptions!K$5),-2)</f>
        <v>-3947000</v>
      </c>
      <c r="M1608" s="33">
        <f>ROUNDUP(L1608+(L1608*Assumptions!L$5),-2)</f>
        <v>-4026000</v>
      </c>
      <c r="N1608" s="33">
        <f>ROUNDUP(M1608+(M1608*Assumptions!M$5),-2)</f>
        <v>-4106600</v>
      </c>
      <c r="O1608" s="33">
        <f>ROUNDUP(N1608+(N1608*Assumptions!N$5),-2)</f>
        <v>-4188800</v>
      </c>
      <c r="P1608" s="33">
        <f>ROUNDUP(O1608+(O1608*Assumptions!O$5),-2)</f>
        <v>-4272600</v>
      </c>
      <c r="Q1608" s="33">
        <f>ROUNDUP(P1608+(P1608*Assumptions!P$5),-2)</f>
        <v>-4358100</v>
      </c>
      <c r="R1608" s="114">
        <f>ROUNDUP(Q1608+(Q1608*Assumptions!Q$5),-2)</f>
        <v>-4445300</v>
      </c>
    </row>
    <row r="1609" spans="1:18" x14ac:dyDescent="0.2">
      <c r="A1609" s="2505">
        <v>-448200</v>
      </c>
      <c r="B1609" s="189">
        <v>-411500</v>
      </c>
      <c r="C1609" s="189">
        <v>-432700</v>
      </c>
      <c r="D1609" s="189">
        <f>-SUM(Checks!C111:C115)</f>
        <v>-433400</v>
      </c>
      <c r="E1609" s="658" t="s">
        <v>2481</v>
      </c>
      <c r="F1609" s="132" t="s">
        <v>4753</v>
      </c>
      <c r="G1609" s="198">
        <f>-SUM(Checks!F111:F115)</f>
        <v>-390900</v>
      </c>
      <c r="H1609" s="138">
        <f>IF(D1609=G1609,0,IF(D1609=0,100,(G1609-D1609)/D1609*100))</f>
        <v>-9.8061836640516855</v>
      </c>
      <c r="I1609" s="33">
        <f>-SUM(Checks!G111:G115)</f>
        <v>-406000</v>
      </c>
      <c r="J1609" s="33">
        <f>-SUM(Checks!H111:H115)</f>
        <v>-417000</v>
      </c>
      <c r="K1609" s="33">
        <f>-SUM(Checks!I111:I115)</f>
        <v>-428300</v>
      </c>
      <c r="L1609" s="33">
        <f>-SUM(Checks!J111:J115)</f>
        <v>-439700</v>
      </c>
      <c r="M1609" s="33">
        <f>-SUM(Checks!K111:K115)</f>
        <v>-449100</v>
      </c>
      <c r="N1609" s="33">
        <f>-SUM(Checks!L111:L115)</f>
        <v>-458800</v>
      </c>
      <c r="O1609" s="33">
        <f>-SUM(Checks!M111:M115)</f>
        <v>-468500</v>
      </c>
      <c r="P1609" s="33">
        <f>-SUM(Checks!N111:N115)</f>
        <v>-478700</v>
      </c>
      <c r="Q1609" s="33">
        <f>-SUM(Checks!O111:O115)</f>
        <v>-489100</v>
      </c>
      <c r="R1609" s="114">
        <f>-SUM(Checks!P111:P115)</f>
        <v>-499900</v>
      </c>
    </row>
    <row r="1610" spans="1:18" x14ac:dyDescent="0.2">
      <c r="A1610" s="107"/>
      <c r="B1610" s="33"/>
      <c r="E1610" s="240"/>
      <c r="F1610" s="371" t="s">
        <v>979</v>
      </c>
      <c r="G1610" s="198"/>
      <c r="H1610" s="138"/>
      <c r="I1610" s="33"/>
      <c r="J1610" s="33"/>
      <c r="K1610" s="33"/>
      <c r="L1610" s="33"/>
      <c r="M1610" s="33"/>
      <c r="N1610" s="33"/>
      <c r="O1610" s="33"/>
      <c r="P1610" s="33"/>
      <c r="Q1610" s="33"/>
      <c r="R1610" s="114"/>
    </row>
    <row r="1611" spans="1:18" x14ac:dyDescent="0.2">
      <c r="A1611" s="107">
        <v>101600</v>
      </c>
      <c r="B1611" s="33">
        <v>97300</v>
      </c>
      <c r="C1611" s="189">
        <v>103900</v>
      </c>
      <c r="D1611" s="189">
        <v>103200</v>
      </c>
      <c r="E1611" s="658" t="s">
        <v>1985</v>
      </c>
      <c r="F1611" s="891" t="s">
        <v>3324</v>
      </c>
      <c r="G1611" s="198">
        <v>107000</v>
      </c>
      <c r="H1611" s="138">
        <f t="shared" ref="H1611:H1617" si="1490">IF(D1611=G1611,0,IF(D1611=0,100,(G1611-D1611)/D1611*100))</f>
        <v>3.6821705426356592</v>
      </c>
      <c r="I1611" s="33">
        <f>ROUNDUP(G1611+(G1611*Assumptions!H$5),-2)</f>
        <v>108700</v>
      </c>
      <c r="J1611" s="33">
        <f>ROUNDUP(I1611+(I1611*Assumptions!I$5),-2)</f>
        <v>111500</v>
      </c>
      <c r="K1611" s="33">
        <f>ROUNDUP(J1611+(J1611*Assumptions!J$5),-2)</f>
        <v>114300</v>
      </c>
      <c r="L1611" s="33">
        <f>ROUNDUP(K1611+(K1611*Assumptions!K$5),-2)</f>
        <v>117200</v>
      </c>
      <c r="M1611" s="33">
        <f>ROUNDUP(L1611+(L1611*Assumptions!L$5),-2)</f>
        <v>119600</v>
      </c>
      <c r="N1611" s="33">
        <f>ROUNDUP(M1611+(M1611*Assumptions!M$5),-2)</f>
        <v>122000</v>
      </c>
      <c r="O1611" s="33">
        <f>ROUNDUP(N1611+(N1611*Assumptions!N$5),-2)</f>
        <v>124500</v>
      </c>
      <c r="P1611" s="33">
        <f>ROUNDUP(O1611+(O1611*Assumptions!O$5),-2)</f>
        <v>127000</v>
      </c>
      <c r="Q1611" s="33">
        <f>ROUNDUP(P1611+(P1611*Assumptions!P$5),-2)</f>
        <v>129600</v>
      </c>
      <c r="R1611" s="114">
        <f>ROUNDUP(Q1611+(Q1611*Assumptions!Q$5),-2)</f>
        <v>132200</v>
      </c>
    </row>
    <row r="1612" spans="1:18" x14ac:dyDescent="0.2">
      <c r="A1612" s="107">
        <v>1500</v>
      </c>
      <c r="B1612" s="33">
        <v>0</v>
      </c>
      <c r="C1612" s="189">
        <v>1200</v>
      </c>
      <c r="D1612" s="189">
        <v>2400</v>
      </c>
      <c r="E1612" s="658" t="s">
        <v>2550</v>
      </c>
      <c r="F1612" s="366" t="s">
        <v>1921</v>
      </c>
      <c r="G1612" s="198">
        <v>2000</v>
      </c>
      <c r="H1612" s="138">
        <f t="shared" si="1490"/>
        <v>-16.666666666666664</v>
      </c>
      <c r="I1612" s="33">
        <f>ROUNDUP(G1612+(G1612*Assumptions!H$5),-2)</f>
        <v>2100</v>
      </c>
      <c r="J1612" s="33">
        <f>ROUNDUP(I1612+(I1612*Assumptions!I$5),-2)</f>
        <v>2200</v>
      </c>
      <c r="K1612" s="33">
        <f>ROUNDUP(J1612+(J1612*Assumptions!J$5),-2)</f>
        <v>2300</v>
      </c>
      <c r="L1612" s="33">
        <f>ROUNDUP(K1612+(K1612*Assumptions!K$5),-2)</f>
        <v>2400</v>
      </c>
      <c r="M1612" s="33">
        <f>ROUNDUP(L1612+(L1612*Assumptions!L$5),-2)</f>
        <v>2500</v>
      </c>
      <c r="N1612" s="33">
        <f>ROUNDUP(M1612+(M1612*Assumptions!M$5),-2)</f>
        <v>2600</v>
      </c>
      <c r="O1612" s="33">
        <f>ROUNDUP(N1612+(N1612*Assumptions!N$5),-2)</f>
        <v>2700</v>
      </c>
      <c r="P1612" s="33">
        <f>ROUNDUP(O1612+(O1612*Assumptions!O$5),-2)</f>
        <v>2800</v>
      </c>
      <c r="Q1612" s="33">
        <f>ROUNDUP(P1612+(P1612*Assumptions!P$5),-2)</f>
        <v>2900</v>
      </c>
      <c r="R1612" s="114">
        <f>ROUNDUP(Q1612+(Q1612*Assumptions!Q$5),-2)</f>
        <v>3000</v>
      </c>
    </row>
    <row r="1613" spans="1:18" x14ac:dyDescent="0.2">
      <c r="A1613" s="107">
        <v>27200</v>
      </c>
      <c r="B1613" s="33">
        <v>22500</v>
      </c>
      <c r="C1613" s="1012">
        <f>30800-2200</f>
        <v>28600</v>
      </c>
      <c r="D1613" s="189">
        <v>16400</v>
      </c>
      <c r="E1613" s="658" t="s">
        <v>359</v>
      </c>
      <c r="F1613" s="132" t="s">
        <v>3069</v>
      </c>
      <c r="G1613" s="198">
        <v>30000</v>
      </c>
      <c r="H1613" s="138">
        <f t="shared" si="1490"/>
        <v>82.926829268292678</v>
      </c>
      <c r="I1613" s="33">
        <f>ROUNDUP(G1613+(G1613*Assumptions!H$5),-2)</f>
        <v>30500</v>
      </c>
      <c r="J1613" s="33">
        <f>ROUNDUP(I1613+(I1613*Assumptions!I$5),-2)</f>
        <v>31300</v>
      </c>
      <c r="K1613" s="33">
        <f>ROUNDUP(J1613+(J1613*Assumptions!J$5),-2)</f>
        <v>32100</v>
      </c>
      <c r="L1613" s="33">
        <f>ROUNDUP(K1613+(K1613*Assumptions!K$5),-2)</f>
        <v>33000</v>
      </c>
      <c r="M1613" s="33">
        <f>ROUNDUP(L1613+(L1613*Assumptions!L$5),-2)</f>
        <v>33700</v>
      </c>
      <c r="N1613" s="33">
        <f>ROUNDUP(M1613+(M1613*Assumptions!M$5),-2)</f>
        <v>34400</v>
      </c>
      <c r="O1613" s="33">
        <f>ROUNDUP(N1613+(N1613*Assumptions!N$5),-2)</f>
        <v>35100</v>
      </c>
      <c r="P1613" s="33">
        <f>ROUNDUP(O1613+(O1613*Assumptions!O$5),-2)</f>
        <v>35900</v>
      </c>
      <c r="Q1613" s="33">
        <f>ROUNDUP(P1613+(P1613*Assumptions!P$5),-2)</f>
        <v>36700</v>
      </c>
      <c r="R1613" s="114">
        <f>ROUNDUP(Q1613+(Q1613*Assumptions!Q$5),-2)</f>
        <v>37500</v>
      </c>
    </row>
    <row r="1614" spans="1:18" x14ac:dyDescent="0.2">
      <c r="A1614" s="107">
        <v>2400</v>
      </c>
      <c r="B1614" s="33">
        <v>2600</v>
      </c>
      <c r="C1614" s="189">
        <v>2200</v>
      </c>
      <c r="D1614" s="189">
        <v>2600</v>
      </c>
      <c r="E1614" s="658" t="s">
        <v>1423</v>
      </c>
      <c r="F1614" s="366" t="s">
        <v>2171</v>
      </c>
      <c r="G1614" s="198">
        <v>2500</v>
      </c>
      <c r="H1614" s="138">
        <f t="shared" si="1490"/>
        <v>-3.8461538461538463</v>
      </c>
      <c r="I1614" s="33">
        <f>ROUNDUP(G1614+(G1614*Assumptions!H$5),-2)</f>
        <v>2600</v>
      </c>
      <c r="J1614" s="33">
        <f>ROUNDUP(I1614+(I1614*Assumptions!I$5),-2)</f>
        <v>2700</v>
      </c>
      <c r="K1614" s="33">
        <f>ROUNDUP(J1614+(J1614*Assumptions!J$5),-2)</f>
        <v>2800</v>
      </c>
      <c r="L1614" s="33">
        <f>ROUNDUP(K1614+(K1614*Assumptions!K$5),-2)</f>
        <v>2900</v>
      </c>
      <c r="M1614" s="33">
        <f>ROUNDUP(L1614+(L1614*Assumptions!L$5),-2)</f>
        <v>3000</v>
      </c>
      <c r="N1614" s="33">
        <f>ROUNDUP(M1614+(M1614*Assumptions!M$5),-2)</f>
        <v>3100</v>
      </c>
      <c r="O1614" s="33">
        <f>ROUNDUP(N1614+(N1614*Assumptions!N$5),-2)</f>
        <v>3200</v>
      </c>
      <c r="P1614" s="33">
        <f>ROUNDUP(O1614+(O1614*Assumptions!O$5),-2)</f>
        <v>3300</v>
      </c>
      <c r="Q1614" s="33">
        <f>ROUNDUP(P1614+(P1614*Assumptions!P$5),-2)</f>
        <v>3400</v>
      </c>
      <c r="R1614" s="114">
        <f>ROUNDUP(Q1614+(Q1614*Assumptions!Q$5),-2)</f>
        <v>3500</v>
      </c>
    </row>
    <row r="1615" spans="1:18" x14ac:dyDescent="0.2">
      <c r="A1615" s="107">
        <v>27100</v>
      </c>
      <c r="B1615" s="33">
        <v>35900</v>
      </c>
      <c r="C1615" s="189">
        <v>14600</v>
      </c>
      <c r="D1615" s="189">
        <f>38300-8100</f>
        <v>30200</v>
      </c>
      <c r="E1615" s="658" t="s">
        <v>360</v>
      </c>
      <c r="F1615" s="366" t="s">
        <v>2213</v>
      </c>
      <c r="G1615" s="198">
        <v>33000</v>
      </c>
      <c r="H1615" s="138">
        <f t="shared" si="1490"/>
        <v>9.2715231788079464</v>
      </c>
      <c r="I1615" s="33">
        <f>ROUNDUP(G1615+(G1615*Assumptions!H$5),-2)</f>
        <v>33500</v>
      </c>
      <c r="J1615" s="33">
        <f>ROUNDUP(I1615+(I1615*Assumptions!I$5),-2)</f>
        <v>34400</v>
      </c>
      <c r="K1615" s="33">
        <f>ROUNDUP(J1615+(J1615*Assumptions!J$5),-2)</f>
        <v>35300</v>
      </c>
      <c r="L1615" s="33">
        <f>ROUNDUP(K1615+(K1615*Assumptions!K$5),-2)</f>
        <v>36200</v>
      </c>
      <c r="M1615" s="33">
        <f>ROUNDUP(L1615+(L1615*Assumptions!L$5),-2)</f>
        <v>37000</v>
      </c>
      <c r="N1615" s="33">
        <f>ROUNDUP(M1615+(M1615*Assumptions!M$5),-2)</f>
        <v>37800</v>
      </c>
      <c r="O1615" s="33">
        <f>ROUNDUP(N1615+(N1615*Assumptions!N$5),-2)</f>
        <v>38600</v>
      </c>
      <c r="P1615" s="33">
        <f>ROUNDUP(O1615+(O1615*Assumptions!O$5),-2)</f>
        <v>39400</v>
      </c>
      <c r="Q1615" s="33">
        <f>ROUNDUP(P1615+(P1615*Assumptions!P$5),-2)</f>
        <v>40200</v>
      </c>
      <c r="R1615" s="114">
        <f>ROUNDUP(Q1615+(Q1615*Assumptions!Q$5),-2)</f>
        <v>41100</v>
      </c>
    </row>
    <row r="1616" spans="1:18" x14ac:dyDescent="0.2">
      <c r="A1616" s="107">
        <v>0</v>
      </c>
      <c r="B1616" s="33">
        <v>0</v>
      </c>
      <c r="C1616" s="189">
        <v>100</v>
      </c>
      <c r="D1616" s="189">
        <v>100</v>
      </c>
      <c r="E1616" s="658" t="s">
        <v>1984</v>
      </c>
      <c r="F1616" s="366" t="s">
        <v>1266</v>
      </c>
      <c r="G1616" s="198">
        <v>200</v>
      </c>
      <c r="H1616" s="138">
        <f t="shared" si="1490"/>
        <v>100</v>
      </c>
      <c r="I1616" s="33">
        <f>ROUNDUP(G1616+(G1616*Assumptions!H$5),-2)</f>
        <v>300</v>
      </c>
      <c r="J1616" s="33">
        <f>ROUNDUP(I1616+(I1616*Assumptions!I$5),-2)</f>
        <v>400</v>
      </c>
      <c r="K1616" s="33">
        <f>ROUNDUP(J1616+(J1616*Assumptions!J$5),-2)</f>
        <v>500</v>
      </c>
      <c r="L1616" s="33">
        <f>ROUNDUP(K1616+(K1616*Assumptions!K$5),-2)</f>
        <v>600</v>
      </c>
      <c r="M1616" s="33">
        <f>ROUNDUP(L1616+(L1616*Assumptions!L$5),-2)</f>
        <v>700</v>
      </c>
      <c r="N1616" s="33">
        <f>ROUNDUP(M1616+(M1616*Assumptions!M$5),-2)</f>
        <v>800</v>
      </c>
      <c r="O1616" s="33">
        <f>ROUNDUP(N1616+(N1616*Assumptions!N$5),-2)</f>
        <v>900</v>
      </c>
      <c r="P1616" s="33">
        <f>ROUNDUP(O1616+(O1616*Assumptions!O$5),-2)</f>
        <v>1000</v>
      </c>
      <c r="Q1616" s="33">
        <f>ROUNDUP(P1616+(P1616*Assumptions!P$5),-2)</f>
        <v>1100</v>
      </c>
      <c r="R1616" s="114">
        <f>ROUNDUP(Q1616+(Q1616*Assumptions!Q$5),-2)</f>
        <v>1200</v>
      </c>
    </row>
    <row r="1617" spans="1:18" x14ac:dyDescent="0.2">
      <c r="A1617" s="107">
        <v>0</v>
      </c>
      <c r="B1617" s="33">
        <v>0</v>
      </c>
      <c r="C1617" s="189">
        <v>0</v>
      </c>
      <c r="D1617" s="189">
        <v>2200</v>
      </c>
      <c r="E1617" s="1092" t="s">
        <v>5320</v>
      </c>
      <c r="F1617" s="891" t="s">
        <v>4888</v>
      </c>
      <c r="G1617" s="198">
        <v>0</v>
      </c>
      <c r="H1617" s="138">
        <f t="shared" si="1490"/>
        <v>-100</v>
      </c>
      <c r="I1617" s="33">
        <f>ROUNDUP(G1617+(G1617*Assumptions!H$5),-2)</f>
        <v>0</v>
      </c>
      <c r="J1617" s="33">
        <f>ROUNDUP(I1617+(I1617*Assumptions!I$5),-2)</f>
        <v>0</v>
      </c>
      <c r="K1617" s="33">
        <f>ROUNDUP(J1617+(J1617*Assumptions!J$5),-2)</f>
        <v>0</v>
      </c>
      <c r="L1617" s="33">
        <f>ROUNDUP(K1617+(K1617*Assumptions!K$5),-2)</f>
        <v>0</v>
      </c>
      <c r="M1617" s="33">
        <f>ROUNDUP(L1617+(L1617*Assumptions!L$5),-2)</f>
        <v>0</v>
      </c>
      <c r="N1617" s="33">
        <f>ROUNDUP(M1617+(M1617*Assumptions!M$5),-2)</f>
        <v>0</v>
      </c>
      <c r="O1617" s="33">
        <f>ROUNDUP(N1617+(N1617*Assumptions!N$5),-2)</f>
        <v>0</v>
      </c>
      <c r="P1617" s="33">
        <f>ROUNDUP(O1617+(O1617*Assumptions!O$5),-2)</f>
        <v>0</v>
      </c>
      <c r="Q1617" s="33">
        <f>ROUNDUP(P1617+(P1617*Assumptions!P$5),-2)</f>
        <v>0</v>
      </c>
      <c r="R1617" s="114">
        <f>ROUNDUP(Q1617+(Q1617*Assumptions!Q$5),-2)</f>
        <v>0</v>
      </c>
    </row>
    <row r="1618" spans="1:18" x14ac:dyDescent="0.2">
      <c r="A1618" s="107"/>
      <c r="B1618" s="33"/>
      <c r="E1618" s="658"/>
      <c r="F1618" s="371" t="s">
        <v>2278</v>
      </c>
      <c r="G1618" s="198"/>
      <c r="H1618" s="138"/>
      <c r="I1618" s="33"/>
      <c r="J1618" s="33"/>
      <c r="K1618" s="33"/>
      <c r="L1618" s="33"/>
      <c r="M1618" s="33"/>
      <c r="N1618" s="33"/>
      <c r="O1618" s="33"/>
      <c r="P1618" s="33"/>
      <c r="Q1618" s="33"/>
      <c r="R1618" s="114"/>
    </row>
    <row r="1619" spans="1:18" x14ac:dyDescent="0.2">
      <c r="A1619" s="107">
        <v>169000</v>
      </c>
      <c r="B1619" s="33">
        <v>221000</v>
      </c>
      <c r="C1619" s="189">
        <v>337000</v>
      </c>
      <c r="D1619" s="189">
        <v>342000</v>
      </c>
      <c r="E1619" s="658" t="s">
        <v>989</v>
      </c>
      <c r="F1619" s="366" t="s">
        <v>479</v>
      </c>
      <c r="G1619" s="198">
        <v>344000</v>
      </c>
      <c r="H1619" s="138">
        <f>IF(D1619=G1619,0,IF(D1619=0,100,(G1619-D1619)/D1619*100))</f>
        <v>0.58479532163742687</v>
      </c>
      <c r="I1619" s="33">
        <f>Overheads!I283</f>
        <v>355000</v>
      </c>
      <c r="J1619" s="33">
        <f>ROUNDUP(I1619+(I1619*Assumptions!I$5),-2)</f>
        <v>363900</v>
      </c>
      <c r="K1619" s="33">
        <f>ROUNDUP(J1619+(J1619*Assumptions!J$5),-2)</f>
        <v>373000</v>
      </c>
      <c r="L1619" s="33">
        <f>ROUNDUP(K1619+(K1619*Assumptions!K$5),-2)</f>
        <v>382400</v>
      </c>
      <c r="M1619" s="33">
        <f>ROUNDUP(L1619+(L1619*Assumptions!L$5),-2)</f>
        <v>390100</v>
      </c>
      <c r="N1619" s="33">
        <f>ROUNDUP(M1619+(M1619*Assumptions!M$5),-2)</f>
        <v>398000</v>
      </c>
      <c r="O1619" s="33">
        <f>ROUNDUP(N1619+(N1619*Assumptions!N$5),-2)</f>
        <v>406000</v>
      </c>
      <c r="P1619" s="33">
        <f>ROUNDUP(O1619+(O1619*Assumptions!O$5),-2)</f>
        <v>414200</v>
      </c>
      <c r="Q1619" s="33">
        <f>ROUNDUP(P1619+(P1619*Assumptions!P$5),-2)</f>
        <v>422500</v>
      </c>
      <c r="R1619" s="114">
        <f>ROUNDUP(Q1619+(Q1619*Assumptions!Q$5),-2)</f>
        <v>431000</v>
      </c>
    </row>
    <row r="1620" spans="1:18" x14ac:dyDescent="0.2">
      <c r="A1620" s="107"/>
      <c r="B1620" s="33"/>
      <c r="E1620" s="658"/>
      <c r="F1620" s="562" t="s">
        <v>1130</v>
      </c>
      <c r="G1620" s="198"/>
      <c r="H1620" s="138"/>
      <c r="I1620" s="33"/>
      <c r="J1620" s="33"/>
      <c r="K1620" s="33"/>
      <c r="L1620" s="33"/>
      <c r="M1620" s="33"/>
      <c r="N1620" s="33"/>
      <c r="O1620" s="33"/>
      <c r="P1620" s="33"/>
      <c r="Q1620" s="33"/>
      <c r="R1620" s="114"/>
    </row>
    <row r="1621" spans="1:18" x14ac:dyDescent="0.2">
      <c r="A1621" s="107">
        <v>1900</v>
      </c>
      <c r="B1621" s="33">
        <v>0</v>
      </c>
      <c r="C1621" s="189">
        <v>0</v>
      </c>
      <c r="D1621" s="189">
        <v>0</v>
      </c>
      <c r="E1621" s="658" t="s">
        <v>990</v>
      </c>
      <c r="F1621" s="351" t="s">
        <v>2760</v>
      </c>
      <c r="G1621" s="198">
        <v>0</v>
      </c>
      <c r="H1621" s="138">
        <f>IF(D1621=G1621,0,IF(D1621=0,100,(G1621-D1621)/D1621*100))</f>
        <v>0</v>
      </c>
      <c r="I1621" s="33">
        <v>0</v>
      </c>
      <c r="J1621" s="33">
        <v>0</v>
      </c>
      <c r="K1621" s="33">
        <v>0</v>
      </c>
      <c r="L1621" s="33">
        <v>0</v>
      </c>
      <c r="M1621" s="33">
        <v>0</v>
      </c>
      <c r="N1621" s="33">
        <v>0</v>
      </c>
      <c r="O1621" s="33">
        <v>0</v>
      </c>
      <c r="P1621" s="33">
        <v>0</v>
      </c>
      <c r="Q1621" s="33">
        <v>0</v>
      </c>
      <c r="R1621" s="114">
        <v>0</v>
      </c>
    </row>
    <row r="1622" spans="1:18" x14ac:dyDescent="0.2">
      <c r="A1622" s="107"/>
      <c r="B1622" s="33"/>
      <c r="E1622" s="658"/>
      <c r="F1622" s="116" t="s">
        <v>4551</v>
      </c>
      <c r="G1622" s="198"/>
      <c r="H1622" s="138"/>
      <c r="I1622" s="33"/>
      <c r="J1622" s="33"/>
      <c r="K1622" s="33"/>
      <c r="L1622" s="33"/>
      <c r="M1622" s="33"/>
      <c r="N1622" s="33"/>
      <c r="O1622" s="33"/>
      <c r="P1622" s="33"/>
      <c r="Q1622" s="33"/>
      <c r="R1622" s="114"/>
    </row>
    <row r="1623" spans="1:18" x14ac:dyDescent="0.2">
      <c r="A1623" s="107">
        <v>76600</v>
      </c>
      <c r="B1623" s="33">
        <v>14200</v>
      </c>
      <c r="C1623" s="189">
        <v>19200</v>
      </c>
      <c r="D1623" s="189">
        <v>0</v>
      </c>
      <c r="E1623" s="1092" t="s">
        <v>4552</v>
      </c>
      <c r="F1623" s="33" t="s">
        <v>2206</v>
      </c>
      <c r="G1623" s="198">
        <v>0</v>
      </c>
      <c r="H1623" s="138">
        <f>IF(D1623=G1623,0,IF(D1623=0,100,(G1623-D1623)/D1623*100))</f>
        <v>0</v>
      </c>
      <c r="I1623" s="33">
        <f>ROUNDUP(G1623+(G1623*Assumptions!H$5),-2)</f>
        <v>0</v>
      </c>
      <c r="J1623" s="33">
        <f>ROUNDUP(I1623+(I1623*Assumptions!I$5),-2)</f>
        <v>0</v>
      </c>
      <c r="K1623" s="33">
        <f>ROUNDUP(J1623+(J1623*Assumptions!J$5),-2)</f>
        <v>0</v>
      </c>
      <c r="L1623" s="33">
        <f>ROUNDUP(K1623+(K1623*Assumptions!K$5),-2)</f>
        <v>0</v>
      </c>
      <c r="M1623" s="33">
        <f>ROUNDUP(L1623+(L1623*Assumptions!L$5),-2)</f>
        <v>0</v>
      </c>
      <c r="N1623" s="33">
        <f>ROUNDUP(M1623+(M1623*Assumptions!M$5),-2)</f>
        <v>0</v>
      </c>
      <c r="O1623" s="33">
        <f>ROUNDUP(N1623+(N1623*Assumptions!N$5),-2)</f>
        <v>0</v>
      </c>
      <c r="P1623" s="33">
        <f>ROUNDUP(O1623+(O1623*Assumptions!O$5),-2)</f>
        <v>0</v>
      </c>
      <c r="Q1623" s="33">
        <f>ROUNDUP(P1623+(P1623*Assumptions!P$5),-2)</f>
        <v>0</v>
      </c>
      <c r="R1623" s="114">
        <f>ROUNDUP(Q1623+(Q1623*Assumptions!Q$5),-2)</f>
        <v>0</v>
      </c>
    </row>
    <row r="1624" spans="1:18" x14ac:dyDescent="0.2">
      <c r="A1624" s="107"/>
      <c r="B1624" s="33"/>
      <c r="E1624" s="658"/>
      <c r="F1624" s="371" t="str">
        <f>F101</f>
        <v>Non-Cash Expenses</v>
      </c>
      <c r="G1624" s="198"/>
      <c r="H1624" s="138"/>
      <c r="I1624" s="33"/>
      <c r="J1624" s="33"/>
      <c r="K1624" s="33"/>
      <c r="L1624" s="33"/>
      <c r="M1624" s="33"/>
      <c r="N1624" s="33"/>
      <c r="O1624" s="33"/>
      <c r="P1624" s="33"/>
      <c r="Q1624" s="33"/>
      <c r="R1624" s="114"/>
    </row>
    <row r="1625" spans="1:18" x14ac:dyDescent="0.2">
      <c r="A1625" s="107">
        <v>1128900</v>
      </c>
      <c r="B1625" s="33">
        <v>1154800</v>
      </c>
      <c r="C1625" s="189">
        <v>980800</v>
      </c>
      <c r="D1625" s="189">
        <v>925300</v>
      </c>
      <c r="E1625" s="658" t="s">
        <v>2592</v>
      </c>
      <c r="F1625" s="366" t="s">
        <v>2070</v>
      </c>
      <c r="G1625" s="198">
        <v>920000</v>
      </c>
      <c r="H1625" s="138">
        <f>IF(D1625=G1625,0,IF(D1625=0,100,(G1625-D1625)/D1625*100))</f>
        <v>-0.57278720415000539</v>
      </c>
      <c r="I1625" s="33">
        <f>ROUNDUP(G1625+(G1625*Assumptions!H$18),-2)</f>
        <v>938400</v>
      </c>
      <c r="J1625" s="33">
        <f>ROUNDUP(I1625+(I1625*Assumptions!I$18),-2)</f>
        <v>957200</v>
      </c>
      <c r="K1625" s="33">
        <f>ROUNDUP(J1625+(J1625*Assumptions!J$18),-2)</f>
        <v>976400</v>
      </c>
      <c r="L1625" s="33">
        <f>ROUNDUP(K1625+(K1625*Assumptions!K$18),-2)</f>
        <v>996000</v>
      </c>
      <c r="M1625" s="33">
        <f>ROUNDUP(L1625+(L1625*Assumptions!L$18),-2)</f>
        <v>1016000</v>
      </c>
      <c r="N1625" s="33">
        <f>ROUNDUP(M1625+(M1625*Assumptions!M$18),-2)</f>
        <v>1036400</v>
      </c>
      <c r="O1625" s="33">
        <f>ROUNDUP(N1625+(N1625*Assumptions!N$18),-2)</f>
        <v>1057200</v>
      </c>
      <c r="P1625" s="33">
        <f>ROUNDUP(O1625+(O1625*Assumptions!O$18),-2)</f>
        <v>1078400</v>
      </c>
      <c r="Q1625" s="33">
        <f>ROUNDUP(P1625+(P1625*Assumptions!P$18),-2)</f>
        <v>1100000</v>
      </c>
      <c r="R1625" s="114">
        <f>ROUNDUP(Q1625+(Q1625*Assumptions!Q$18),-2)</f>
        <v>1122000</v>
      </c>
    </row>
    <row r="1626" spans="1:18" ht="13.5" thickBot="1" x14ac:dyDescent="0.25">
      <c r="A1626" s="107"/>
      <c r="B1626" s="33"/>
      <c r="E1626" s="240"/>
      <c r="F1626" s="366"/>
      <c r="G1626" s="198"/>
      <c r="H1626" s="138"/>
      <c r="I1626" s="33"/>
      <c r="J1626" s="33"/>
      <c r="K1626" s="33"/>
      <c r="L1626" s="33"/>
      <c r="M1626" s="33"/>
      <c r="N1626" s="33"/>
      <c r="O1626" s="33"/>
      <c r="P1626" s="33"/>
      <c r="Q1626" s="33"/>
      <c r="R1626" s="114"/>
    </row>
    <row r="1627" spans="1:18" s="92" customFormat="1" x14ac:dyDescent="0.2">
      <c r="A1627" s="105">
        <f>SUM(A1597:A1626)</f>
        <v>264200</v>
      </c>
      <c r="B1627" s="53">
        <f>SUM(B1597:B1626)</f>
        <v>236000</v>
      </c>
      <c r="C1627" s="190">
        <f>SUM(C1597:C1626)</f>
        <v>40900</v>
      </c>
      <c r="D1627" s="190">
        <f>SUM(D1597:D1626)</f>
        <v>-214500</v>
      </c>
      <c r="E1627" s="237"/>
      <c r="F1627" s="378" t="s">
        <v>565</v>
      </c>
      <c r="G1627" s="2550">
        <f>SUM(G1597:G1626)</f>
        <v>41300</v>
      </c>
      <c r="H1627" s="180">
        <f>IF(D1627=G1627,0,IF(D1627=0,100,(G1627-D1627)/D1627*100))</f>
        <v>-119.25407925407924</v>
      </c>
      <c r="I1627" s="53">
        <f t="shared" ref="I1627:Q1627" si="1491">SUM(I1597:I1626)</f>
        <v>-123000</v>
      </c>
      <c r="J1627" s="53">
        <f t="shared" si="1491"/>
        <v>-130800</v>
      </c>
      <c r="K1627" s="53">
        <f t="shared" si="1491"/>
        <v>-138900</v>
      </c>
      <c r="L1627" s="53">
        <f t="shared" si="1491"/>
        <v>-147100</v>
      </c>
      <c r="M1627" s="53">
        <f t="shared" si="1491"/>
        <v>-149800</v>
      </c>
      <c r="N1627" s="53">
        <f t="shared" si="1491"/>
        <v>-152800</v>
      </c>
      <c r="O1627" s="53">
        <f t="shared" si="1491"/>
        <v>-155600</v>
      </c>
      <c r="P1627" s="53">
        <f t="shared" si="1491"/>
        <v>-158800</v>
      </c>
      <c r="Q1627" s="53">
        <f t="shared" si="1491"/>
        <v>-162100</v>
      </c>
      <c r="R1627" s="113">
        <f t="shared" ref="R1627" si="1492">SUM(R1597:R1626)</f>
        <v>-165400</v>
      </c>
    </row>
    <row r="1628" spans="1:18" x14ac:dyDescent="0.2">
      <c r="A1628" s="107"/>
      <c r="B1628" s="33"/>
      <c r="E1628" s="1955"/>
      <c r="F1628" s="366"/>
      <c r="G1628" s="198"/>
      <c r="H1628" s="138"/>
      <c r="I1628" s="33"/>
      <c r="J1628" s="33"/>
      <c r="K1628" s="33"/>
      <c r="L1628" s="33"/>
      <c r="M1628" s="33"/>
      <c r="N1628" s="33"/>
      <c r="O1628" s="33"/>
      <c r="P1628" s="33"/>
      <c r="Q1628" s="33"/>
      <c r="R1628" s="114"/>
    </row>
    <row r="1629" spans="1:18" s="92" customFormat="1" x14ac:dyDescent="0.2">
      <c r="A1629" s="70">
        <f>A1594-A1627</f>
        <v>44300</v>
      </c>
      <c r="B1629" s="64">
        <f>B1594-B1627</f>
        <v>66000</v>
      </c>
      <c r="C1629" s="193">
        <f>C1594-C1627</f>
        <v>286000</v>
      </c>
      <c r="D1629" s="193">
        <f>D1594-D1627</f>
        <v>498500</v>
      </c>
      <c r="E1629" s="237"/>
      <c r="F1629" s="516" t="s">
        <v>1019</v>
      </c>
      <c r="G1629" s="197">
        <f>G1594-G1627</f>
        <v>212700</v>
      </c>
      <c r="H1629" s="179">
        <f>IF(D1629=G1629,0,IF(D1629=0,100,(G1629-D1629)/D1629*100))</f>
        <v>-57.331995987963893</v>
      </c>
      <c r="I1629" s="64">
        <f t="shared" ref="I1629:Q1629" si="1493">I1594-I1627</f>
        <v>378900</v>
      </c>
      <c r="J1629" s="64">
        <f t="shared" si="1493"/>
        <v>399200</v>
      </c>
      <c r="K1629" s="64">
        <f t="shared" si="1493"/>
        <v>415000</v>
      </c>
      <c r="L1629" s="64">
        <f t="shared" si="1493"/>
        <v>445000</v>
      </c>
      <c r="M1629" s="64">
        <f t="shared" si="1493"/>
        <v>448300</v>
      </c>
      <c r="N1629" s="64">
        <f t="shared" si="1493"/>
        <v>463100</v>
      </c>
      <c r="O1629" s="64">
        <f t="shared" si="1493"/>
        <v>468800</v>
      </c>
      <c r="P1629" s="64">
        <f t="shared" si="1493"/>
        <v>478000</v>
      </c>
      <c r="Q1629" s="64">
        <f t="shared" si="1493"/>
        <v>458500</v>
      </c>
      <c r="R1629" s="115">
        <f t="shared" ref="R1629" si="1494">R1594-R1627</f>
        <v>489100</v>
      </c>
    </row>
    <row r="1630" spans="1:18" x14ac:dyDescent="0.2">
      <c r="A1630" s="107">
        <f>A1625</f>
        <v>1128900</v>
      </c>
      <c r="B1630" s="33">
        <f>B1625</f>
        <v>1154800</v>
      </c>
      <c r="C1630" s="189">
        <f>C1625</f>
        <v>980800</v>
      </c>
      <c r="D1630" s="189">
        <f>D1625</f>
        <v>925300</v>
      </c>
      <c r="E1630" s="1955"/>
      <c r="F1630" s="372" t="str">
        <f>F1003</f>
        <v>Add Back Depreciation</v>
      </c>
      <c r="G1630" s="198">
        <f t="shared" ref="G1630:O1630" si="1495">G1625</f>
        <v>920000</v>
      </c>
      <c r="H1630" s="138">
        <f>IF(D1630=G1630,0,IF(D1630=0,100,(G1630-D1630)/D1630*100))</f>
        <v>-0.57278720415000539</v>
      </c>
      <c r="I1630" s="33">
        <f t="shared" si="1495"/>
        <v>938400</v>
      </c>
      <c r="J1630" s="33">
        <f t="shared" si="1495"/>
        <v>957200</v>
      </c>
      <c r="K1630" s="33">
        <f t="shared" si="1495"/>
        <v>976400</v>
      </c>
      <c r="L1630" s="33">
        <f t="shared" si="1495"/>
        <v>996000</v>
      </c>
      <c r="M1630" s="33">
        <f t="shared" si="1495"/>
        <v>1016000</v>
      </c>
      <c r="N1630" s="33">
        <f t="shared" si="1495"/>
        <v>1036400</v>
      </c>
      <c r="O1630" s="33">
        <f t="shared" si="1495"/>
        <v>1057200</v>
      </c>
      <c r="P1630" s="33">
        <f t="shared" ref="P1630:Q1630" si="1496">P1625</f>
        <v>1078400</v>
      </c>
      <c r="Q1630" s="33">
        <f t="shared" si="1496"/>
        <v>1100000</v>
      </c>
      <c r="R1630" s="114">
        <f t="shared" ref="R1630" si="1497">R1625</f>
        <v>1122000</v>
      </c>
    </row>
    <row r="1631" spans="1:18" s="92" customFormat="1" x14ac:dyDescent="0.2">
      <c r="A1631" s="181">
        <f>A1629+A1630</f>
        <v>1173200</v>
      </c>
      <c r="B1631" s="397">
        <f>B1629+B1630</f>
        <v>1220800</v>
      </c>
      <c r="C1631" s="398">
        <f>C1629+C1630</f>
        <v>1266800</v>
      </c>
      <c r="D1631" s="398">
        <f>D1629+D1630</f>
        <v>1423800</v>
      </c>
      <c r="E1631" s="523"/>
      <c r="F1631" s="518" t="s">
        <v>1687</v>
      </c>
      <c r="G1631" s="2605">
        <f t="shared" ref="G1631:O1631" si="1498">G1629+G1630</f>
        <v>1132700</v>
      </c>
      <c r="H1631" s="395">
        <f>IF(D1631=G1631,0,IF(D1631=0,100,(G1631-D1631)/D1631*100))</f>
        <v>-20.445287259446552</v>
      </c>
      <c r="I1631" s="397">
        <f t="shared" si="1498"/>
        <v>1317300</v>
      </c>
      <c r="J1631" s="397">
        <f t="shared" si="1498"/>
        <v>1356400</v>
      </c>
      <c r="K1631" s="397">
        <f t="shared" si="1498"/>
        <v>1391400</v>
      </c>
      <c r="L1631" s="397">
        <f t="shared" si="1498"/>
        <v>1441000</v>
      </c>
      <c r="M1631" s="397">
        <f t="shared" si="1498"/>
        <v>1464300</v>
      </c>
      <c r="N1631" s="397">
        <f t="shared" si="1498"/>
        <v>1499500</v>
      </c>
      <c r="O1631" s="397">
        <f t="shared" si="1498"/>
        <v>1526000</v>
      </c>
      <c r="P1631" s="397">
        <f t="shared" ref="P1631:Q1631" si="1499">P1629+P1630</f>
        <v>1556400</v>
      </c>
      <c r="Q1631" s="397">
        <f t="shared" si="1499"/>
        <v>1558500</v>
      </c>
      <c r="R1631" s="399">
        <f t="shared" ref="R1631" si="1500">R1629+R1630</f>
        <v>1611100</v>
      </c>
    </row>
    <row r="1632" spans="1:18" ht="13.5" thickBot="1" x14ac:dyDescent="0.25">
      <c r="A1632" s="70"/>
      <c r="B1632" s="128"/>
      <c r="C1632" s="192"/>
      <c r="D1632" s="192"/>
      <c r="E1632" s="1954"/>
      <c r="F1632" s="371"/>
      <c r="G1632" s="197"/>
      <c r="H1632" s="179"/>
      <c r="I1632" s="33"/>
      <c r="J1632" s="33"/>
      <c r="K1632" s="33"/>
      <c r="L1632" s="33"/>
      <c r="M1632" s="33"/>
      <c r="N1632" s="33"/>
      <c r="O1632" s="33"/>
      <c r="P1632" s="33"/>
      <c r="Q1632" s="33"/>
      <c r="R1632" s="114"/>
    </row>
    <row r="1633" spans="1:18" x14ac:dyDescent="0.2">
      <c r="A1633" s="105"/>
      <c r="B1633" s="155"/>
      <c r="C1633" s="190"/>
      <c r="D1633" s="190"/>
      <c r="E1633" s="1819"/>
      <c r="F1633" s="373"/>
      <c r="G1633" s="2550"/>
      <c r="H1633" s="180"/>
      <c r="I1633" s="169"/>
      <c r="J1633" s="169"/>
      <c r="K1633" s="169"/>
      <c r="L1633" s="169"/>
      <c r="M1633" s="169"/>
      <c r="N1633" s="169"/>
      <c r="O1633" s="169"/>
      <c r="P1633" s="169"/>
      <c r="Q1633" s="169"/>
      <c r="R1633" s="1717"/>
    </row>
    <row r="1634" spans="1:18" x14ac:dyDescent="0.2">
      <c r="A1634" s="70"/>
      <c r="B1634" s="128"/>
      <c r="C1634" s="193"/>
      <c r="D1634" s="193"/>
      <c r="E1634" s="238"/>
      <c r="F1634" s="516" t="s">
        <v>196</v>
      </c>
      <c r="G1634" s="197"/>
      <c r="H1634" s="179"/>
      <c r="I1634" s="33"/>
      <c r="J1634" s="33"/>
      <c r="K1634" s="33"/>
      <c r="L1634" s="33"/>
      <c r="M1634" s="33"/>
      <c r="N1634" s="33"/>
      <c r="O1634" s="33"/>
      <c r="P1634" s="33"/>
      <c r="Q1634" s="33"/>
      <c r="R1634" s="114"/>
    </row>
    <row r="1635" spans="1:18" x14ac:dyDescent="0.2">
      <c r="A1635" s="70"/>
      <c r="B1635" s="128"/>
      <c r="C1635" s="193"/>
      <c r="D1635" s="193"/>
      <c r="E1635" s="238"/>
      <c r="F1635" s="371"/>
      <c r="G1635" s="197"/>
      <c r="H1635" s="179"/>
      <c r="I1635" s="33"/>
      <c r="J1635" s="33"/>
      <c r="K1635" s="33"/>
      <c r="L1635" s="33"/>
      <c r="M1635" s="33"/>
      <c r="N1635" s="33"/>
      <c r="O1635" s="33"/>
      <c r="P1635" s="33"/>
      <c r="Q1635" s="33"/>
      <c r="R1635" s="114"/>
    </row>
    <row r="1636" spans="1:18" x14ac:dyDescent="0.2">
      <c r="A1636" s="107">
        <v>31900</v>
      </c>
      <c r="B1636" s="142">
        <v>0</v>
      </c>
      <c r="C1636" s="189">
        <v>0</v>
      </c>
      <c r="D1636" s="189">
        <v>0</v>
      </c>
      <c r="E1636" s="238"/>
      <c r="F1636" s="366" t="s">
        <v>2900</v>
      </c>
      <c r="G1636" s="198">
        <v>0</v>
      </c>
      <c r="H1636" s="138"/>
      <c r="I1636" s="33">
        <v>0</v>
      </c>
      <c r="J1636" s="33">
        <v>0</v>
      </c>
      <c r="K1636" s="33">
        <v>0</v>
      </c>
      <c r="L1636" s="33">
        <v>0</v>
      </c>
      <c r="M1636" s="33">
        <v>0</v>
      </c>
      <c r="N1636" s="33">
        <v>0</v>
      </c>
      <c r="O1636" s="33">
        <v>0</v>
      </c>
      <c r="P1636" s="33">
        <v>0</v>
      </c>
      <c r="Q1636" s="33">
        <v>0</v>
      </c>
      <c r="R1636" s="114">
        <v>0</v>
      </c>
    </row>
    <row r="1637" spans="1:18" x14ac:dyDescent="0.2">
      <c r="A1637" s="107">
        <v>1201300</v>
      </c>
      <c r="B1637" s="142">
        <v>1169400</v>
      </c>
      <c r="C1637" s="142">
        <v>1266800</v>
      </c>
      <c r="D1637" s="142">
        <f>SUM('Res-Gen'!B222:B223)</f>
        <v>1423800</v>
      </c>
      <c r="E1637" s="238"/>
      <c r="F1637" s="366" t="s">
        <v>1942</v>
      </c>
      <c r="G1637" s="76">
        <f>SUM('Res-Gen'!E222:E223)</f>
        <v>1132700</v>
      </c>
      <c r="H1637" s="138"/>
      <c r="I1637" s="33">
        <f>SUM('Res-Gen'!H222:H223)</f>
        <v>1317300</v>
      </c>
      <c r="J1637" s="33">
        <f>SUM('Res-Gen'!K222:K223)</f>
        <v>1356400</v>
      </c>
      <c r="K1637" s="33">
        <f>SUM('Res-Gen'!N222:N223)</f>
        <v>1391400</v>
      </c>
      <c r="L1637" s="33">
        <f>SUM('Res-Gen'!Q222:Q223)</f>
        <v>1441000</v>
      </c>
      <c r="M1637" s="33">
        <f>SUM('Res-Gen'!T222:T223)</f>
        <v>1464300</v>
      </c>
      <c r="N1637" s="33">
        <f>SUM('Res-Gen'!W222:W223)</f>
        <v>1499500</v>
      </c>
      <c r="O1637" s="33">
        <f>SUM('Res-Gen'!Z222:Z223)</f>
        <v>1526000</v>
      </c>
      <c r="P1637" s="33">
        <f>SUM('Res-Gen'!AC222:AC223)</f>
        <v>1556400</v>
      </c>
      <c r="Q1637" s="33">
        <f>SUM('Res-Gen'!AF222:AF223)</f>
        <v>1558500</v>
      </c>
      <c r="R1637" s="114">
        <f>SUM('Res-Gen'!AI222:AI223)</f>
        <v>1611100</v>
      </c>
    </row>
    <row r="1638" spans="1:18" x14ac:dyDescent="0.2">
      <c r="A1638" s="107">
        <v>1196000</v>
      </c>
      <c r="B1638" s="142">
        <v>1113500</v>
      </c>
      <c r="C1638" s="142">
        <v>1223200</v>
      </c>
      <c r="D1638" s="142">
        <f>SUM('Res-Gen'!C222:C223)</f>
        <v>1385100</v>
      </c>
      <c r="E1638" s="123"/>
      <c r="F1638" s="366" t="s">
        <v>2348</v>
      </c>
      <c r="G1638" s="198">
        <f>SUM('Res-Gen'!F222:F223)</f>
        <v>2070000</v>
      </c>
      <c r="H1638" s="138"/>
      <c r="I1638" s="33">
        <f>SUM('Res-Gen'!I222:I223)</f>
        <v>1094000</v>
      </c>
      <c r="J1638" s="33">
        <f>SUM('Res-Gen'!L222:L223)</f>
        <v>1270000</v>
      </c>
      <c r="K1638" s="33">
        <f>SUM('Res-Gen'!O222:O223)</f>
        <v>744000</v>
      </c>
      <c r="L1638" s="33">
        <f>SUM('Res-Gen'!R222:R223)</f>
        <v>1649000</v>
      </c>
      <c r="M1638" s="33">
        <f>SUM('Res-Gen'!U222:U223)</f>
        <v>1202000</v>
      </c>
      <c r="N1638" s="33">
        <f>SUM('Res-Gen'!X222:X223)</f>
        <v>1623000</v>
      </c>
      <c r="O1638" s="33">
        <f>SUM('Res-Gen'!AA222:AA223)</f>
        <v>1890000</v>
      </c>
      <c r="P1638" s="33">
        <f>SUM('Res-Gen'!AD222:AD223)</f>
        <v>1392000</v>
      </c>
      <c r="Q1638" s="33">
        <f>SUM('Res-Gen'!AG222:AG223)</f>
        <v>1300000</v>
      </c>
      <c r="R1638" s="114">
        <f>SUM('Res-Gen'!AJ222:AJ223)</f>
        <v>1350000</v>
      </c>
    </row>
    <row r="1639" spans="1:18" x14ac:dyDescent="0.2">
      <c r="A1639" s="107">
        <v>0</v>
      </c>
      <c r="B1639" s="142">
        <v>0</v>
      </c>
      <c r="C1639" s="189">
        <v>0</v>
      </c>
      <c r="D1639" s="189">
        <f>SUM('Cap-Gen'!Q193:S193)</f>
        <v>0</v>
      </c>
      <c r="E1639" s="238"/>
      <c r="F1639" s="366" t="s">
        <v>5984</v>
      </c>
      <c r="G1639" s="198">
        <f>SUM('Cap-Gen'!V193:X193)</f>
        <v>0</v>
      </c>
      <c r="H1639" s="138"/>
      <c r="I1639" s="33">
        <v>0</v>
      </c>
      <c r="J1639" s="33">
        <v>0</v>
      </c>
      <c r="K1639" s="33">
        <v>0</v>
      </c>
      <c r="L1639" s="33">
        <v>0</v>
      </c>
      <c r="M1639" s="33">
        <v>0</v>
      </c>
      <c r="N1639" s="33">
        <v>0</v>
      </c>
      <c r="O1639" s="33">
        <v>0</v>
      </c>
      <c r="P1639" s="33">
        <v>0</v>
      </c>
      <c r="Q1639" s="33">
        <v>0</v>
      </c>
      <c r="R1639" s="114">
        <v>0</v>
      </c>
    </row>
    <row r="1640" spans="1:18" x14ac:dyDescent="0.2">
      <c r="A1640" s="107">
        <f>1135613+600-200-13</f>
        <v>1136000</v>
      </c>
      <c r="B1640" s="142">
        <v>1164900</v>
      </c>
      <c r="C1640" s="142">
        <v>1223200</v>
      </c>
      <c r="D1640" s="142">
        <f>SUM('Cap-Gen'!E193:E193)</f>
        <v>1385100</v>
      </c>
      <c r="E1640" s="238"/>
      <c r="F1640" s="366" t="s">
        <v>972</v>
      </c>
      <c r="G1640" s="198">
        <f>SUM('Cap-Gen'!F193:F193)</f>
        <v>2070000</v>
      </c>
      <c r="H1640" s="138"/>
      <c r="I1640" s="33">
        <f>SUM('Cap-Gen'!G193:G193)</f>
        <v>1094000</v>
      </c>
      <c r="J1640" s="33">
        <f>SUM('Cap-Gen'!H193:H193)</f>
        <v>1270000</v>
      </c>
      <c r="K1640" s="33">
        <f>SUM('Cap-Gen'!I193:I193)</f>
        <v>744000</v>
      </c>
      <c r="L1640" s="33">
        <f>SUM('Cap-Gen'!J193:J193)</f>
        <v>1649000</v>
      </c>
      <c r="M1640" s="33">
        <f>SUM('Cap-Gen'!K193:K193)</f>
        <v>1202000</v>
      </c>
      <c r="N1640" s="33">
        <f>SUM('Cap-Gen'!L193:L193)</f>
        <v>1623000</v>
      </c>
      <c r="O1640" s="33">
        <f>SUM('Cap-Gen'!M193:M193)</f>
        <v>1890000</v>
      </c>
      <c r="P1640" s="33">
        <f>SUM('Cap-Gen'!N193:N193)</f>
        <v>1392000</v>
      </c>
      <c r="Q1640" s="33">
        <f>SUM('Cap-Gen'!O193:O193)</f>
        <v>1300000</v>
      </c>
      <c r="R1640" s="114">
        <f>SUM('Cap-Gen'!P193:P193)</f>
        <v>1350000</v>
      </c>
    </row>
    <row r="1641" spans="1:18" x14ac:dyDescent="0.2">
      <c r="A1641" s="107"/>
      <c r="B1641" s="142"/>
      <c r="E1641" s="238"/>
      <c r="F1641" s="516"/>
      <c r="G1641" s="198"/>
      <c r="H1641" s="138"/>
      <c r="I1641" s="33"/>
      <c r="J1641" s="33"/>
      <c r="K1641" s="33"/>
      <c r="L1641" s="33"/>
      <c r="M1641" s="33"/>
      <c r="N1641" s="33"/>
      <c r="O1641" s="33"/>
      <c r="P1641" s="33"/>
      <c r="Q1641" s="33"/>
      <c r="R1641" s="114"/>
    </row>
    <row r="1642" spans="1:18" s="92" customFormat="1" x14ac:dyDescent="0.2">
      <c r="A1642" s="181">
        <f>A1631-A1636-A1637+A1638++A1639-A1640</f>
        <v>0</v>
      </c>
      <c r="B1642" s="377">
        <f>B1631-B1636-B1637+B1638++B1639-B1640</f>
        <v>0</v>
      </c>
      <c r="C1642" s="398">
        <f>C1631-C1636-C1637+C1638++C1639-C1640</f>
        <v>0</v>
      </c>
      <c r="D1642" s="398">
        <f>D1631-D1636-D1637+D1638++D1639-D1640</f>
        <v>0</v>
      </c>
      <c r="E1642" s="526"/>
      <c r="F1642" s="518" t="s">
        <v>2490</v>
      </c>
      <c r="G1642" s="2605">
        <f t="shared" ref="G1642:O1642" si="1501">G1631-G1636-G1637+G1638++G1639-G1640</f>
        <v>0</v>
      </c>
      <c r="H1642" s="395">
        <f>IF(D1642=G1642,0,IF(D1642=0,100,(G1642-D1642)/D1642*100))</f>
        <v>0</v>
      </c>
      <c r="I1642" s="397">
        <f t="shared" si="1501"/>
        <v>0</v>
      </c>
      <c r="J1642" s="397">
        <f t="shared" si="1501"/>
        <v>0</v>
      </c>
      <c r="K1642" s="397">
        <f t="shared" si="1501"/>
        <v>0</v>
      </c>
      <c r="L1642" s="397">
        <f t="shared" si="1501"/>
        <v>0</v>
      </c>
      <c r="M1642" s="397">
        <f t="shared" si="1501"/>
        <v>0</v>
      </c>
      <c r="N1642" s="397">
        <f t="shared" si="1501"/>
        <v>0</v>
      </c>
      <c r="O1642" s="397">
        <f t="shared" si="1501"/>
        <v>0</v>
      </c>
      <c r="P1642" s="397">
        <f t="shared" ref="P1642:Q1642" si="1502">P1631-P1636-P1637+P1638++P1639-P1640</f>
        <v>0</v>
      </c>
      <c r="Q1642" s="397">
        <f t="shared" si="1502"/>
        <v>0</v>
      </c>
      <c r="R1642" s="399">
        <f t="shared" ref="R1642" si="1503">R1631-R1636-R1637+R1638++R1639-R1640</f>
        <v>0</v>
      </c>
    </row>
    <row r="1643" spans="1:18" ht="13.5" thickBot="1" x14ac:dyDescent="0.25">
      <c r="A1643" s="73"/>
      <c r="B1643" s="90"/>
      <c r="C1643" s="195"/>
      <c r="D1643" s="195"/>
      <c r="E1643" s="239"/>
      <c r="F1643" s="368"/>
      <c r="G1643" s="2502"/>
      <c r="H1643" s="392"/>
      <c r="I1643" s="66"/>
      <c r="J1643" s="66"/>
      <c r="K1643" s="66"/>
      <c r="L1643" s="66"/>
      <c r="M1643" s="66"/>
      <c r="N1643" s="66"/>
      <c r="O1643" s="66"/>
      <c r="P1643" s="66"/>
      <c r="Q1643" s="66"/>
      <c r="R1643" s="165"/>
    </row>
    <row r="1644" spans="1:18" ht="13.5" thickTop="1" x14ac:dyDescent="0.2">
      <c r="A1644" s="74"/>
      <c r="B1644" s="74"/>
      <c r="C1644" s="197"/>
      <c r="D1644" s="197"/>
      <c r="E1644" s="238"/>
      <c r="F1644" s="137"/>
      <c r="G1644" s="197"/>
      <c r="H1644" s="2507"/>
    </row>
    <row r="1645" spans="1:18" ht="13.5" thickBot="1" x14ac:dyDescent="0.25">
      <c r="A1645" s="74"/>
      <c r="B1645" s="74"/>
      <c r="C1645" s="74"/>
      <c r="D1645" s="74"/>
      <c r="E1645" s="660"/>
      <c r="F1645" s="137"/>
      <c r="G1645" s="74"/>
      <c r="H1645" s="2507"/>
      <c r="I1645" s="99"/>
      <c r="J1645" s="99"/>
      <c r="K1645" s="99"/>
      <c r="L1645" s="99"/>
      <c r="M1645" s="99"/>
      <c r="N1645" s="99"/>
      <c r="O1645" s="99"/>
      <c r="P1645" s="99"/>
      <c r="Q1645" s="99"/>
      <c r="R1645" s="99"/>
    </row>
    <row r="1646" spans="1:18" s="91" customFormat="1" ht="18.75" customHeight="1" thickTop="1" thickBot="1" x14ac:dyDescent="0.3">
      <c r="A1646" s="2865" t="str">
        <f>CIV!A528</f>
        <v>RURAL FIRE SERVICE</v>
      </c>
      <c r="B1646" s="2866"/>
      <c r="C1646" s="2866"/>
      <c r="D1646" s="2866"/>
      <c r="E1646" s="2866"/>
      <c r="F1646" s="2866"/>
      <c r="G1646" s="2866"/>
      <c r="H1646" s="2866"/>
      <c r="I1646" s="2866"/>
      <c r="J1646" s="2866"/>
      <c r="K1646" s="2866"/>
      <c r="L1646" s="2866"/>
      <c r="M1646" s="2866"/>
      <c r="N1646" s="2866"/>
      <c r="O1646" s="2866"/>
      <c r="P1646" s="2866"/>
      <c r="Q1646" s="2866"/>
      <c r="R1646" s="2867"/>
    </row>
    <row r="1647" spans="1:18" s="44" customFormat="1" x14ac:dyDescent="0.2">
      <c r="A1647" s="2848" t="s">
        <v>1856</v>
      </c>
      <c r="B1647" s="2840"/>
      <c r="C1647" s="2840"/>
      <c r="D1647" s="2849"/>
      <c r="E1647" s="369" t="s">
        <v>2663</v>
      </c>
      <c r="F1647" s="2649" t="s">
        <v>2251</v>
      </c>
      <c r="G1647" s="2885" t="s">
        <v>2253</v>
      </c>
      <c r="H1647" s="2886"/>
      <c r="I1647" s="2886"/>
      <c r="J1647" s="2886"/>
      <c r="K1647" s="2886"/>
      <c r="L1647" s="2886"/>
      <c r="M1647" s="2886"/>
      <c r="N1647" s="2886"/>
      <c r="O1647" s="2886"/>
      <c r="P1647" s="2886"/>
      <c r="Q1647" s="2886"/>
      <c r="R1647" s="2887"/>
    </row>
    <row r="1648" spans="1:18" s="23" customFormat="1" ht="13.5" thickBot="1" x14ac:dyDescent="0.25">
      <c r="A1648" s="208" t="str">
        <f>DEH!A3</f>
        <v>2012/13</v>
      </c>
      <c r="B1648" s="75" t="str">
        <f>DEH!B3</f>
        <v>2013/14</v>
      </c>
      <c r="C1648" s="370" t="str">
        <f>DEH!C3</f>
        <v>2014/15</v>
      </c>
      <c r="D1648" s="93" t="str">
        <f>DEH!D3</f>
        <v>2015/16</v>
      </c>
      <c r="E1648" s="687" t="s">
        <v>2664</v>
      </c>
      <c r="F1648" s="42"/>
      <c r="G1648" s="93" t="str">
        <f>DEH!G3</f>
        <v>2016/17</v>
      </c>
      <c r="H1648" s="2527" t="s">
        <v>501</v>
      </c>
      <c r="I1648" s="370" t="str">
        <f>DEH!I3</f>
        <v>2017/18</v>
      </c>
      <c r="J1648" s="370" t="str">
        <f>DEH!J3</f>
        <v>2018/19</v>
      </c>
      <c r="K1648" s="370" t="str">
        <f>DEH!K3</f>
        <v>2019/20</v>
      </c>
      <c r="L1648" s="370" t="str">
        <f>DEH!L3</f>
        <v>2020/21</v>
      </c>
      <c r="M1648" s="370" t="str">
        <f>DEH!M3</f>
        <v>2021/22</v>
      </c>
      <c r="N1648" s="370" t="str">
        <f>DEH!N3</f>
        <v>2022/23</v>
      </c>
      <c r="O1648" s="370" t="str">
        <f>DEH!O3</f>
        <v>2023/24</v>
      </c>
      <c r="P1648" s="370" t="str">
        <f>DEH!P3</f>
        <v>2024/25</v>
      </c>
      <c r="Q1648" s="218" t="str">
        <f>DEH!Q3</f>
        <v>2025/26</v>
      </c>
      <c r="R1648" s="549" t="str">
        <f>DEH!R3</f>
        <v>2026/27</v>
      </c>
    </row>
    <row r="1649" spans="1:27" x14ac:dyDescent="0.2">
      <c r="A1649" s="107"/>
      <c r="B1649" s="33"/>
      <c r="C1649" s="33"/>
      <c r="D1649" s="33"/>
      <c r="E1649" s="658"/>
      <c r="F1649" s="74"/>
      <c r="G1649" s="33"/>
      <c r="H1649" s="138"/>
      <c r="I1649" s="33"/>
      <c r="J1649" s="33"/>
      <c r="K1649" s="33"/>
      <c r="L1649" s="33"/>
      <c r="M1649" s="33"/>
      <c r="N1649" s="33"/>
      <c r="O1649" s="33"/>
      <c r="P1649" s="33"/>
      <c r="Q1649" s="33"/>
      <c r="R1649" s="114"/>
    </row>
    <row r="1650" spans="1:27" x14ac:dyDescent="0.2">
      <c r="A1650" s="107"/>
      <c r="B1650" s="33"/>
      <c r="C1650" s="33"/>
      <c r="D1650" s="33"/>
      <c r="E1650" s="658"/>
      <c r="F1650" s="144" t="s">
        <v>1073</v>
      </c>
      <c r="G1650" s="33"/>
      <c r="H1650" s="138"/>
      <c r="I1650" s="33"/>
      <c r="J1650" s="33"/>
      <c r="K1650" s="33"/>
      <c r="L1650" s="33"/>
      <c r="M1650" s="33"/>
      <c r="N1650" s="33"/>
      <c r="O1650" s="33"/>
      <c r="P1650" s="33"/>
      <c r="Q1650" s="33"/>
      <c r="R1650" s="114"/>
    </row>
    <row r="1651" spans="1:27" x14ac:dyDescent="0.2">
      <c r="A1651" s="107"/>
      <c r="B1651" s="33"/>
      <c r="C1651" s="33"/>
      <c r="D1651" s="33"/>
      <c r="E1651" s="658"/>
      <c r="F1651" s="112"/>
      <c r="G1651" s="33"/>
      <c r="H1651" s="138"/>
      <c r="I1651" s="33"/>
      <c r="J1651" s="33"/>
      <c r="K1651" s="33"/>
      <c r="L1651" s="33"/>
      <c r="M1651" s="33"/>
      <c r="N1651" s="33"/>
      <c r="O1651" s="33"/>
      <c r="P1651" s="33"/>
      <c r="Q1651" s="33"/>
      <c r="R1651" s="114"/>
    </row>
    <row r="1652" spans="1:27" x14ac:dyDescent="0.2">
      <c r="A1652" s="107"/>
      <c r="B1652" s="33"/>
      <c r="C1652" s="33"/>
      <c r="D1652" s="33"/>
      <c r="E1652" s="658"/>
      <c r="F1652" s="109" t="s">
        <v>157</v>
      </c>
      <c r="G1652" s="33"/>
      <c r="H1652" s="138"/>
      <c r="I1652" s="33"/>
      <c r="J1652" s="33"/>
      <c r="K1652" s="33"/>
      <c r="L1652" s="33"/>
      <c r="M1652" s="33"/>
      <c r="N1652" s="33"/>
      <c r="O1652" s="33"/>
      <c r="P1652" s="33"/>
      <c r="Q1652" s="33"/>
      <c r="R1652" s="114"/>
    </row>
    <row r="1653" spans="1:27" x14ac:dyDescent="0.2">
      <c r="A1653" s="107">
        <v>103000</v>
      </c>
      <c r="B1653" s="33">
        <v>94000</v>
      </c>
      <c r="C1653" s="33">
        <v>96900</v>
      </c>
      <c r="D1653" s="33">
        <v>106600</v>
      </c>
      <c r="E1653" s="658" t="s">
        <v>2037</v>
      </c>
      <c r="F1653" s="3" t="s">
        <v>932</v>
      </c>
      <c r="G1653" s="132">
        <f>108000-12000</f>
        <v>96000</v>
      </c>
      <c r="H1653" s="138">
        <f>IF(D1653=G1653,0,IF(D1653=0,100,(G1653-D1653)/D1653*100))</f>
        <v>-9.9437148217636029</v>
      </c>
      <c r="I1653" s="33">
        <f>ROUNDUP(G1653+(G1653*Assumptions!H$5),-2)</f>
        <v>97500</v>
      </c>
      <c r="J1653" s="33">
        <f>ROUNDUP(I1653+(I1653*Assumptions!I$5),-2)</f>
        <v>100000</v>
      </c>
      <c r="K1653" s="33">
        <f>ROUNDUP(J1653+(J1653*Assumptions!J$5),-2)</f>
        <v>102500</v>
      </c>
      <c r="L1653" s="33">
        <f>ROUNDUP(K1653+(K1653*Assumptions!K$5),-2)</f>
        <v>105100</v>
      </c>
      <c r="M1653" s="33">
        <f>ROUNDUP(L1653+(L1653*Assumptions!L$5),-2)</f>
        <v>107300</v>
      </c>
      <c r="N1653" s="33">
        <f>ROUNDUP(M1653+(M1653*Assumptions!M$5),-2)</f>
        <v>109500</v>
      </c>
      <c r="O1653" s="33">
        <f>ROUNDUP(N1653+(N1653*Assumptions!N$5),-2)</f>
        <v>111700</v>
      </c>
      <c r="P1653" s="33">
        <f>ROUNDUP(O1653+(O1653*Assumptions!O$5),-2)</f>
        <v>114000</v>
      </c>
      <c r="Q1653" s="33">
        <f>ROUNDUP(P1653+(P1653*Assumptions!P$5),-2)</f>
        <v>116300</v>
      </c>
      <c r="R1653" s="114">
        <f>ROUNDUP(Q1653+(Q1653*Assumptions!Q$5),-2)</f>
        <v>118700</v>
      </c>
      <c r="U1653" s="92"/>
      <c r="V1653" s="92"/>
    </row>
    <row r="1654" spans="1:27" x14ac:dyDescent="0.2">
      <c r="A1654" s="107">
        <v>52200</v>
      </c>
      <c r="B1654" s="33">
        <v>49500</v>
      </c>
      <c r="C1654" s="33">
        <v>63000</v>
      </c>
      <c r="D1654" s="33">
        <v>26700</v>
      </c>
      <c r="E1654" s="658" t="s">
        <v>1408</v>
      </c>
      <c r="F1654" s="890" t="s">
        <v>3325</v>
      </c>
      <c r="G1654" s="33">
        <f>28000+37000</f>
        <v>65000</v>
      </c>
      <c r="H1654" s="138">
        <f>IF(D1654=G1654,0,IF(D1654=0,100,(G1654-D1654)/D1654*100))</f>
        <v>143.44569288389513</v>
      </c>
      <c r="I1654" s="33">
        <v>30000</v>
      </c>
      <c r="J1654" s="33">
        <f>ROUNDUP(I1654+(I1654*Assumptions!I$5),-2)</f>
        <v>30800</v>
      </c>
      <c r="K1654" s="33">
        <f>ROUNDUP(J1654+(J1654*Assumptions!J$5),-2)</f>
        <v>31600</v>
      </c>
      <c r="L1654" s="33">
        <f>ROUNDUP(K1654+(K1654*Assumptions!K$5),-2)</f>
        <v>32400</v>
      </c>
      <c r="M1654" s="33">
        <f>ROUNDUP(L1654+(L1654*Assumptions!L$5),-2)</f>
        <v>33100</v>
      </c>
      <c r="N1654" s="33">
        <f>ROUNDUP(M1654+(M1654*Assumptions!M$5),-2)</f>
        <v>33800</v>
      </c>
      <c r="O1654" s="33">
        <f>ROUNDUP(N1654+(N1654*Assumptions!N$5),-2)</f>
        <v>34500</v>
      </c>
      <c r="P1654" s="33">
        <f>ROUNDUP(O1654+(O1654*Assumptions!O$5),-2)</f>
        <v>35200</v>
      </c>
      <c r="Q1654" s="33">
        <f>ROUNDUP(P1654+(P1654*Assumptions!P$5),-2)</f>
        <v>36000</v>
      </c>
      <c r="R1654" s="114">
        <f>ROUNDUP(Q1654+(Q1654*Assumptions!Q$5),-2)</f>
        <v>36800</v>
      </c>
      <c r="U1654" s="92"/>
      <c r="V1654" s="92"/>
    </row>
    <row r="1655" spans="1:27" x14ac:dyDescent="0.2">
      <c r="A1655" s="107">
        <v>93300</v>
      </c>
      <c r="B1655" s="33">
        <v>18000</v>
      </c>
      <c r="C1655" s="33">
        <v>22000</v>
      </c>
      <c r="D1655" s="33">
        <v>39000</v>
      </c>
      <c r="E1655" s="658" t="s">
        <v>1499</v>
      </c>
      <c r="F1655" s="1099" t="s">
        <v>4486</v>
      </c>
      <c r="G1655" s="33">
        <v>58000</v>
      </c>
      <c r="H1655" s="138">
        <f>IF(D1655=G1655,0,IF(D1655=0,100,(G1655-D1655)/D1655*100))</f>
        <v>48.717948717948715</v>
      </c>
      <c r="I1655" s="33">
        <v>40000</v>
      </c>
      <c r="J1655" s="33">
        <f>ROUNDUP(I1655+(I1655*Assumptions!I$5),-2)</f>
        <v>41000</v>
      </c>
      <c r="K1655" s="33">
        <f>ROUNDUP(J1655+(J1655*Assumptions!J$5),-2)</f>
        <v>42100</v>
      </c>
      <c r="L1655" s="33">
        <f>ROUNDUP(K1655+(K1655*Assumptions!K$5),-2)</f>
        <v>43200</v>
      </c>
      <c r="M1655" s="33">
        <f>ROUNDUP(L1655+(L1655*Assumptions!L$5),-2)</f>
        <v>44100</v>
      </c>
      <c r="N1655" s="33">
        <f>ROUNDUP(M1655+(M1655*Assumptions!M$5),-2)</f>
        <v>45000</v>
      </c>
      <c r="O1655" s="33">
        <f>ROUNDUP(N1655+(N1655*Assumptions!N$5),-2)</f>
        <v>45900</v>
      </c>
      <c r="P1655" s="33">
        <f>ROUNDUP(O1655+(O1655*Assumptions!O$5),-2)</f>
        <v>46900</v>
      </c>
      <c r="Q1655" s="33">
        <f>ROUNDUP(P1655+(P1655*Assumptions!P$5),-2)</f>
        <v>47900</v>
      </c>
      <c r="R1655" s="114">
        <f>ROUNDUP(Q1655+(Q1655*Assumptions!Q$5),-2)</f>
        <v>48900</v>
      </c>
      <c r="U1655" s="92"/>
      <c r="V1655" s="92"/>
    </row>
    <row r="1656" spans="1:27" ht="13.5" thickBot="1" x14ac:dyDescent="0.25">
      <c r="A1656" s="70"/>
      <c r="B1656" s="64"/>
      <c r="C1656" s="64"/>
      <c r="D1656" s="64"/>
      <c r="E1656" s="658"/>
      <c r="F1656" s="74"/>
      <c r="G1656" s="64"/>
      <c r="H1656" s="179"/>
      <c r="I1656" s="33"/>
      <c r="J1656" s="33"/>
      <c r="K1656" s="33"/>
      <c r="L1656" s="33"/>
      <c r="M1656" s="33"/>
      <c r="N1656" s="33"/>
      <c r="O1656" s="33"/>
      <c r="P1656" s="33"/>
      <c r="Q1656" s="33"/>
      <c r="R1656" s="114"/>
    </row>
    <row r="1657" spans="1:27" x14ac:dyDescent="0.2">
      <c r="A1657" s="105">
        <f>SUM(A1651:A1656)</f>
        <v>248500</v>
      </c>
      <c r="B1657" s="53">
        <f>SUM(B1651:B1656)</f>
        <v>161500</v>
      </c>
      <c r="C1657" s="53">
        <f>SUM(C1651:C1656)</f>
        <v>181900</v>
      </c>
      <c r="D1657" s="53">
        <f>SUM(D1651:D1656)</f>
        <v>172300</v>
      </c>
      <c r="E1657" s="658"/>
      <c r="F1657" s="112" t="s">
        <v>2605</v>
      </c>
      <c r="G1657" s="53">
        <f t="shared" ref="G1657:O1657" si="1504">SUM(G1651:G1656)</f>
        <v>219000</v>
      </c>
      <c r="H1657" s="180">
        <f>IF(D1657=G1657,0,IF(D1657=0,100,(G1657-D1657)/D1657*100))</f>
        <v>27.103888566453861</v>
      </c>
      <c r="I1657" s="53">
        <f t="shared" si="1504"/>
        <v>167500</v>
      </c>
      <c r="J1657" s="53">
        <f t="shared" si="1504"/>
        <v>171800</v>
      </c>
      <c r="K1657" s="53">
        <f t="shared" si="1504"/>
        <v>176200</v>
      </c>
      <c r="L1657" s="53">
        <f t="shared" si="1504"/>
        <v>180700</v>
      </c>
      <c r="M1657" s="53">
        <f t="shared" si="1504"/>
        <v>184500</v>
      </c>
      <c r="N1657" s="53">
        <f t="shared" si="1504"/>
        <v>188300</v>
      </c>
      <c r="O1657" s="53">
        <f t="shared" si="1504"/>
        <v>192100</v>
      </c>
      <c r="P1657" s="53">
        <f t="shared" ref="P1657:Q1657" si="1505">SUM(P1651:P1656)</f>
        <v>196100</v>
      </c>
      <c r="Q1657" s="53">
        <f t="shared" si="1505"/>
        <v>200200</v>
      </c>
      <c r="R1657" s="113">
        <f t="shared" ref="R1657" si="1506">SUM(R1651:R1656)</f>
        <v>204400</v>
      </c>
    </row>
    <row r="1658" spans="1:27" x14ac:dyDescent="0.2">
      <c r="A1658" s="107"/>
      <c r="B1658" s="33"/>
      <c r="C1658" s="33"/>
      <c r="D1658" s="33"/>
      <c r="E1658" s="658"/>
      <c r="F1658" s="112"/>
      <c r="G1658" s="33"/>
      <c r="H1658" s="138"/>
      <c r="I1658" s="33"/>
      <c r="J1658" s="33"/>
      <c r="K1658" s="33"/>
      <c r="L1658" s="33"/>
      <c r="M1658" s="33"/>
      <c r="N1658" s="33"/>
      <c r="O1658" s="33"/>
      <c r="P1658" s="33"/>
      <c r="Q1658" s="33"/>
      <c r="R1658" s="114"/>
    </row>
    <row r="1659" spans="1:27" x14ac:dyDescent="0.2">
      <c r="A1659" s="107"/>
      <c r="B1659" s="33"/>
      <c r="C1659" s="33"/>
      <c r="D1659" s="33"/>
      <c r="E1659" s="658"/>
      <c r="F1659" s="144" t="s">
        <v>2205</v>
      </c>
      <c r="G1659" s="33"/>
      <c r="H1659" s="138"/>
      <c r="I1659" s="33"/>
      <c r="J1659" s="33"/>
      <c r="K1659" s="33"/>
      <c r="L1659" s="33"/>
      <c r="M1659" s="33"/>
      <c r="N1659" s="33"/>
      <c r="O1659" s="33"/>
      <c r="P1659" s="33"/>
      <c r="Q1659" s="33"/>
      <c r="R1659" s="114"/>
    </row>
    <row r="1660" spans="1:27" x14ac:dyDescent="0.2">
      <c r="A1660" s="107"/>
      <c r="B1660" s="33"/>
      <c r="C1660" s="33"/>
      <c r="D1660" s="33"/>
      <c r="E1660" s="658"/>
      <c r="F1660" s="144"/>
      <c r="G1660" s="33"/>
      <c r="H1660" s="138"/>
      <c r="I1660" s="33"/>
      <c r="J1660" s="33"/>
      <c r="K1660" s="33"/>
      <c r="L1660" s="33"/>
      <c r="M1660" s="33"/>
      <c r="N1660" s="33"/>
      <c r="O1660" s="33"/>
      <c r="P1660" s="33"/>
      <c r="Q1660" s="33"/>
      <c r="R1660" s="114"/>
    </row>
    <row r="1661" spans="1:27" s="92" customFormat="1" x14ac:dyDescent="0.2">
      <c r="A1661" s="107"/>
      <c r="B1661" s="33"/>
      <c r="C1661" s="33"/>
      <c r="D1661" s="33"/>
      <c r="E1661" s="658"/>
      <c r="F1661" s="74" t="s">
        <v>1486</v>
      </c>
      <c r="G1661" s="33"/>
      <c r="H1661" s="138"/>
      <c r="I1661" s="33"/>
      <c r="J1661" s="33"/>
      <c r="K1661" s="33"/>
      <c r="L1661" s="33"/>
      <c r="M1661" s="33"/>
      <c r="N1661" s="33"/>
      <c r="O1661" s="33"/>
      <c r="P1661" s="33"/>
      <c r="Q1661" s="33"/>
      <c r="R1661" s="114"/>
      <c r="S1661" s="84"/>
      <c r="T1661" s="84"/>
    </row>
    <row r="1662" spans="1:27" s="92" customFormat="1" x14ac:dyDescent="0.2">
      <c r="A1662" s="107">
        <v>49600</v>
      </c>
      <c r="B1662" s="33">
        <v>50700</v>
      </c>
      <c r="C1662" s="33">
        <v>50600</v>
      </c>
      <c r="D1662" s="33">
        <v>52500</v>
      </c>
      <c r="E1662" s="658" t="s">
        <v>551</v>
      </c>
      <c r="F1662" s="99" t="s">
        <v>1359</v>
      </c>
      <c r="G1662" s="33">
        <f>54000-500</f>
        <v>53500</v>
      </c>
      <c r="H1662" s="138">
        <f>IF(D1662=G1662,0,IF(D1662=0,100,(G1662-D1662)/D1662*100))</f>
        <v>1.9047619047619049</v>
      </c>
      <c r="I1662" s="33">
        <f>ROUNDUP(G1662+(G1662*Assumptions!H$5),-2)</f>
        <v>54400</v>
      </c>
      <c r="J1662" s="33">
        <f>ROUNDUP(I1662+(I1662*Assumptions!I$5),-2)</f>
        <v>55800</v>
      </c>
      <c r="K1662" s="33">
        <f>ROUNDUP(J1662+(J1662*Assumptions!J$5),-2)</f>
        <v>57200</v>
      </c>
      <c r="L1662" s="33">
        <f>ROUNDUP(K1662+(K1662*Assumptions!K$5),-2)</f>
        <v>58700</v>
      </c>
      <c r="M1662" s="33">
        <f>ROUNDUP(L1662+(L1662*Assumptions!L$5),-2)</f>
        <v>59900</v>
      </c>
      <c r="N1662" s="33">
        <f>ROUNDUP(M1662+(M1662*Assumptions!M$5),-2)</f>
        <v>61100</v>
      </c>
      <c r="O1662" s="33">
        <f>ROUNDUP(N1662+(N1662*Assumptions!N$5),-2)</f>
        <v>62400</v>
      </c>
      <c r="P1662" s="33">
        <f>ROUNDUP(O1662+(O1662*Assumptions!O$5),-2)</f>
        <v>63700</v>
      </c>
      <c r="Q1662" s="33">
        <f>ROUNDUP(P1662+(P1662*Assumptions!P$5),-2)</f>
        <v>65000</v>
      </c>
      <c r="R1662" s="114">
        <f>ROUNDUP(Q1662+(Q1662*Assumptions!Q$5),-2)</f>
        <v>66300</v>
      </c>
      <c r="S1662" s="84"/>
      <c r="T1662" s="84"/>
      <c r="W1662" s="84"/>
      <c r="X1662" s="84"/>
      <c r="Y1662" s="84"/>
      <c r="Z1662" s="84"/>
      <c r="AA1662" s="84"/>
    </row>
    <row r="1663" spans="1:27" s="92" customFormat="1" x14ac:dyDescent="0.2">
      <c r="A1663" s="107">
        <v>137700</v>
      </c>
      <c r="B1663" s="33">
        <v>194100</v>
      </c>
      <c r="C1663" s="33">
        <v>111800</v>
      </c>
      <c r="D1663" s="33">
        <f>194000-74000</f>
        <v>120000</v>
      </c>
      <c r="E1663" s="658" t="s">
        <v>552</v>
      </c>
      <c r="F1663" s="99" t="s">
        <v>319</v>
      </c>
      <c r="G1663" s="33">
        <f>120000+40000-5400</f>
        <v>154600</v>
      </c>
      <c r="H1663" s="138">
        <f>IF(D1663=G1663,0,IF(D1663=0,100,(G1663-D1663)/D1663*100))</f>
        <v>28.833333333333332</v>
      </c>
      <c r="I1663" s="33">
        <f>ROUNDUP(G1663+(G1663*Assumptions!H$5),-2)</f>
        <v>157000</v>
      </c>
      <c r="J1663" s="33">
        <f>ROUNDUP(I1663+(I1663*Assumptions!I$5),-2)</f>
        <v>161000</v>
      </c>
      <c r="K1663" s="33">
        <f>ROUNDUP(J1663+(J1663*Assumptions!J$5),-2)</f>
        <v>165100</v>
      </c>
      <c r="L1663" s="33">
        <f>ROUNDUP(K1663+(K1663*Assumptions!K$5),-2)</f>
        <v>169300</v>
      </c>
      <c r="M1663" s="33">
        <f>ROUNDUP(L1663+(L1663*Assumptions!L$5),-2)</f>
        <v>172700</v>
      </c>
      <c r="N1663" s="33">
        <f>ROUNDUP(M1663+(M1663*Assumptions!M$5),-2)</f>
        <v>176200</v>
      </c>
      <c r="O1663" s="33">
        <f>ROUNDUP(N1663+(N1663*Assumptions!N$5),-2)</f>
        <v>179800</v>
      </c>
      <c r="P1663" s="33">
        <f>ROUNDUP(O1663+(O1663*Assumptions!O$5),-2)</f>
        <v>183400</v>
      </c>
      <c r="Q1663" s="33">
        <f>ROUNDUP(P1663+(P1663*Assumptions!P$5),-2)</f>
        <v>187100</v>
      </c>
      <c r="R1663" s="114">
        <f>ROUNDUP(Q1663+(Q1663*Assumptions!Q$5),-2)</f>
        <v>190900</v>
      </c>
      <c r="S1663" s="84"/>
      <c r="T1663" s="84"/>
      <c r="W1663" s="84"/>
      <c r="X1663" s="84"/>
      <c r="Y1663" s="84"/>
      <c r="Z1663" s="84"/>
      <c r="AA1663" s="84"/>
    </row>
    <row r="1664" spans="1:27" s="92" customFormat="1" x14ac:dyDescent="0.2">
      <c r="A1664" s="107"/>
      <c r="B1664" s="33"/>
      <c r="C1664" s="33"/>
      <c r="D1664" s="33"/>
      <c r="E1664" s="658"/>
      <c r="F1664" s="99"/>
      <c r="G1664" s="33"/>
      <c r="H1664" s="138"/>
      <c r="I1664" s="33"/>
      <c r="J1664" s="33"/>
      <c r="K1664" s="33"/>
      <c r="L1664" s="33"/>
      <c r="M1664" s="33"/>
      <c r="N1664" s="33"/>
      <c r="O1664" s="33"/>
      <c r="P1664" s="33"/>
      <c r="Q1664" s="33"/>
      <c r="R1664" s="114"/>
      <c r="S1664" s="84"/>
      <c r="T1664" s="84"/>
    </row>
    <row r="1665" spans="1:27" s="92" customFormat="1" x14ac:dyDescent="0.2">
      <c r="A1665" s="107"/>
      <c r="B1665" s="33"/>
      <c r="C1665" s="33"/>
      <c r="D1665" s="33"/>
      <c r="E1665" s="658"/>
      <c r="F1665" s="74" t="s">
        <v>1284</v>
      </c>
      <c r="G1665" s="33"/>
      <c r="H1665" s="138"/>
      <c r="I1665" s="33"/>
      <c r="J1665" s="33"/>
      <c r="K1665" s="33"/>
      <c r="L1665" s="33"/>
      <c r="M1665" s="33"/>
      <c r="N1665" s="33"/>
      <c r="O1665" s="33"/>
      <c r="P1665" s="33"/>
      <c r="Q1665" s="33"/>
      <c r="R1665" s="114"/>
      <c r="S1665" s="84"/>
      <c r="T1665" s="84"/>
    </row>
    <row r="1666" spans="1:27" s="92" customFormat="1" x14ac:dyDescent="0.2">
      <c r="A1666" s="107">
        <v>9100</v>
      </c>
      <c r="B1666" s="33">
        <v>6400</v>
      </c>
      <c r="C1666" s="33">
        <v>5400</v>
      </c>
      <c r="D1666" s="33">
        <v>2800</v>
      </c>
      <c r="E1666" s="658" t="s">
        <v>2899</v>
      </c>
      <c r="F1666" s="99" t="s">
        <v>719</v>
      </c>
      <c r="G1666" s="33">
        <v>10000</v>
      </c>
      <c r="H1666" s="138">
        <f t="shared" ref="H1666:H1674" si="1507">IF(D1666=G1666,0,IF(D1666=0,100,(G1666-D1666)/D1666*100))</f>
        <v>257.14285714285717</v>
      </c>
      <c r="I1666" s="33">
        <f>ROUNDUP(G1666+(G1666*Assumptions!H$5),-2)</f>
        <v>10200</v>
      </c>
      <c r="J1666" s="33">
        <f>ROUNDUP(I1666+(I1666*Assumptions!I$5),-2)</f>
        <v>10500</v>
      </c>
      <c r="K1666" s="33">
        <f>ROUNDUP(J1666+(J1666*Assumptions!J$5),-2)</f>
        <v>10800</v>
      </c>
      <c r="L1666" s="33">
        <f>ROUNDUP(K1666+(K1666*Assumptions!K$5),-2)</f>
        <v>11100</v>
      </c>
      <c r="M1666" s="33">
        <f>ROUNDUP(L1666+(L1666*Assumptions!L$5),-2)</f>
        <v>11400</v>
      </c>
      <c r="N1666" s="33">
        <f>ROUNDUP(M1666+(M1666*Assumptions!M$5),-2)</f>
        <v>11700</v>
      </c>
      <c r="O1666" s="33">
        <f>ROUNDUP(N1666+(N1666*Assumptions!N$5),-2)</f>
        <v>12000</v>
      </c>
      <c r="P1666" s="33">
        <f>ROUNDUP(O1666+(O1666*Assumptions!O$5),-2)</f>
        <v>12300</v>
      </c>
      <c r="Q1666" s="33">
        <f>ROUNDUP(P1666+(P1666*Assumptions!P$5),-2)</f>
        <v>12600</v>
      </c>
      <c r="R1666" s="114">
        <f>ROUNDUP(Q1666+(Q1666*Assumptions!Q$5),-2)</f>
        <v>12900</v>
      </c>
      <c r="S1666" s="84"/>
      <c r="T1666" s="84"/>
      <c r="W1666" s="84"/>
      <c r="X1666" s="84"/>
      <c r="Y1666" s="84"/>
      <c r="Z1666" s="84"/>
      <c r="AA1666" s="84"/>
    </row>
    <row r="1667" spans="1:27" s="92" customFormat="1" x14ac:dyDescent="0.2">
      <c r="A1667" s="107">
        <v>0</v>
      </c>
      <c r="B1667" s="33">
        <v>0</v>
      </c>
      <c r="C1667" s="33">
        <v>5000</v>
      </c>
      <c r="D1667" s="33">
        <v>4200</v>
      </c>
      <c r="E1667" s="1092" t="s">
        <v>4842</v>
      </c>
      <c r="F1667" s="78" t="s">
        <v>4843</v>
      </c>
      <c r="G1667" s="33">
        <v>10000</v>
      </c>
      <c r="H1667" s="138">
        <f t="shared" si="1507"/>
        <v>138.0952380952381</v>
      </c>
      <c r="I1667" s="33">
        <f>ROUNDUP(G1667+(G1667*Assumptions!H$5),-2)</f>
        <v>10200</v>
      </c>
      <c r="J1667" s="33">
        <f>ROUNDUP(I1667+(I1667*Assumptions!I$5),-2)</f>
        <v>10500</v>
      </c>
      <c r="K1667" s="33">
        <f>ROUNDUP(J1667+(J1667*Assumptions!J$5),-2)</f>
        <v>10800</v>
      </c>
      <c r="L1667" s="33">
        <f>ROUNDUP(K1667+(K1667*Assumptions!K$5),-2)</f>
        <v>11100</v>
      </c>
      <c r="M1667" s="33">
        <f>ROUNDUP(L1667+(L1667*Assumptions!L$5),-2)</f>
        <v>11400</v>
      </c>
      <c r="N1667" s="33">
        <f>ROUNDUP(M1667+(M1667*Assumptions!M$5),-2)</f>
        <v>11700</v>
      </c>
      <c r="O1667" s="33">
        <f>ROUNDUP(N1667+(N1667*Assumptions!N$5),-2)</f>
        <v>12000</v>
      </c>
      <c r="P1667" s="33">
        <f>ROUNDUP(O1667+(O1667*Assumptions!O$5),-2)</f>
        <v>12300</v>
      </c>
      <c r="Q1667" s="33">
        <f>ROUNDUP(P1667+(P1667*Assumptions!P$5),-2)</f>
        <v>12600</v>
      </c>
      <c r="R1667" s="114">
        <f>ROUNDUP(Q1667+(Q1667*Assumptions!Q$5),-2)</f>
        <v>12900</v>
      </c>
      <c r="S1667" s="84"/>
      <c r="T1667" s="84"/>
      <c r="W1667" s="84"/>
      <c r="X1667" s="84"/>
      <c r="Y1667" s="84"/>
      <c r="Z1667" s="84"/>
      <c r="AA1667" s="84"/>
    </row>
    <row r="1668" spans="1:27" s="92" customFormat="1" x14ac:dyDescent="0.2">
      <c r="A1668" s="107">
        <v>14000</v>
      </c>
      <c r="B1668" s="33">
        <v>26100</v>
      </c>
      <c r="C1668" s="33">
        <v>28700</v>
      </c>
      <c r="D1668" s="33">
        <v>18600</v>
      </c>
      <c r="E1668" s="658" t="s">
        <v>553</v>
      </c>
      <c r="F1668" s="99" t="s">
        <v>563</v>
      </c>
      <c r="G1668" s="33">
        <v>18000</v>
      </c>
      <c r="H1668" s="138">
        <f t="shared" si="1507"/>
        <v>-3.225806451612903</v>
      </c>
      <c r="I1668" s="33">
        <f>ROUNDUP(G1668+(G1668*Assumptions!H$5),-2)</f>
        <v>18300</v>
      </c>
      <c r="J1668" s="33">
        <f>ROUNDUP(I1668+(I1668*Assumptions!I$5),-2)</f>
        <v>18800</v>
      </c>
      <c r="K1668" s="33">
        <f>ROUNDUP(J1668+(J1668*Assumptions!J$5),-2)</f>
        <v>19300</v>
      </c>
      <c r="L1668" s="33">
        <f>ROUNDUP(K1668+(K1668*Assumptions!K$5),-2)</f>
        <v>19800</v>
      </c>
      <c r="M1668" s="33">
        <f>ROUNDUP(L1668+(L1668*Assumptions!L$5),-2)</f>
        <v>20200</v>
      </c>
      <c r="N1668" s="33">
        <f>ROUNDUP(M1668+(M1668*Assumptions!M$5),-2)</f>
        <v>20700</v>
      </c>
      <c r="O1668" s="33">
        <f>ROUNDUP(N1668+(N1668*Assumptions!N$5),-2)</f>
        <v>21200</v>
      </c>
      <c r="P1668" s="33">
        <f>ROUNDUP(O1668+(O1668*Assumptions!O$5),-2)</f>
        <v>21700</v>
      </c>
      <c r="Q1668" s="33">
        <f>ROUNDUP(P1668+(P1668*Assumptions!P$5),-2)</f>
        <v>22200</v>
      </c>
      <c r="R1668" s="114">
        <f>ROUNDUP(Q1668+(Q1668*Assumptions!Q$5),-2)</f>
        <v>22700</v>
      </c>
      <c r="S1668" s="84"/>
      <c r="T1668" s="84"/>
      <c r="W1668" s="84"/>
      <c r="X1668" s="84"/>
      <c r="Y1668" s="84"/>
      <c r="Z1668" s="84"/>
      <c r="AA1668" s="84"/>
    </row>
    <row r="1669" spans="1:27" s="92" customFormat="1" x14ac:dyDescent="0.2">
      <c r="A1669" s="107">
        <v>10700</v>
      </c>
      <c r="B1669" s="33">
        <v>11600</v>
      </c>
      <c r="C1669" s="33">
        <v>13600</v>
      </c>
      <c r="D1669" s="33">
        <v>12300</v>
      </c>
      <c r="E1669" s="658" t="s">
        <v>554</v>
      </c>
      <c r="F1669" s="99" t="s">
        <v>1360</v>
      </c>
      <c r="G1669" s="33">
        <v>18000</v>
      </c>
      <c r="H1669" s="138">
        <f t="shared" si="1507"/>
        <v>46.341463414634148</v>
      </c>
      <c r="I1669" s="33">
        <f>ROUNDUP(G1669+(G1669*Assumptions!H$5),-2)</f>
        <v>18300</v>
      </c>
      <c r="J1669" s="33">
        <f>ROUNDUP(I1669+(I1669*Assumptions!I$5),-2)</f>
        <v>18800</v>
      </c>
      <c r="K1669" s="33">
        <f>ROUNDUP(J1669+(J1669*Assumptions!J$5),-2)</f>
        <v>19300</v>
      </c>
      <c r="L1669" s="33">
        <f>ROUNDUP(K1669+(K1669*Assumptions!K$5),-2)</f>
        <v>19800</v>
      </c>
      <c r="M1669" s="33">
        <f>ROUNDUP(L1669+(L1669*Assumptions!L$5),-2)</f>
        <v>20200</v>
      </c>
      <c r="N1669" s="33">
        <f>ROUNDUP(M1669+(M1669*Assumptions!M$5),-2)</f>
        <v>20700</v>
      </c>
      <c r="O1669" s="33">
        <f>ROUNDUP(N1669+(N1669*Assumptions!N$5),-2)</f>
        <v>21200</v>
      </c>
      <c r="P1669" s="33">
        <f>ROUNDUP(O1669+(O1669*Assumptions!O$5),-2)</f>
        <v>21700</v>
      </c>
      <c r="Q1669" s="33">
        <f>ROUNDUP(P1669+(P1669*Assumptions!P$5),-2)</f>
        <v>22200</v>
      </c>
      <c r="R1669" s="114">
        <f>ROUNDUP(Q1669+(Q1669*Assumptions!Q$5),-2)</f>
        <v>22700</v>
      </c>
      <c r="S1669" s="84"/>
      <c r="T1669" s="84"/>
      <c r="W1669" s="84"/>
      <c r="X1669" s="84"/>
      <c r="Y1669" s="84"/>
      <c r="Z1669" s="84"/>
      <c r="AA1669" s="84"/>
    </row>
    <row r="1670" spans="1:27" s="92" customFormat="1" x14ac:dyDescent="0.2">
      <c r="A1670" s="107">
        <v>11800</v>
      </c>
      <c r="B1670" s="33">
        <v>11800</v>
      </c>
      <c r="C1670" s="33">
        <v>10400</v>
      </c>
      <c r="D1670" s="33">
        <v>7300</v>
      </c>
      <c r="E1670" s="658" t="s">
        <v>210</v>
      </c>
      <c r="F1670" s="99" t="s">
        <v>1302</v>
      </c>
      <c r="G1670" s="33">
        <v>13500</v>
      </c>
      <c r="H1670" s="138">
        <f t="shared" si="1507"/>
        <v>84.93150684931507</v>
      </c>
      <c r="I1670" s="33">
        <f>ROUNDUP(G1670+(G1670*Assumptions!H$5),-2)</f>
        <v>13800</v>
      </c>
      <c r="J1670" s="33">
        <f>ROUNDUP(I1670+(I1670*Assumptions!I$5),-2)</f>
        <v>14200</v>
      </c>
      <c r="K1670" s="33">
        <f>ROUNDUP(J1670+(J1670*Assumptions!J$5),-2)</f>
        <v>14600</v>
      </c>
      <c r="L1670" s="33">
        <f>ROUNDUP(K1670+(K1670*Assumptions!K$5),-2)</f>
        <v>15000</v>
      </c>
      <c r="M1670" s="33">
        <f>ROUNDUP(L1670+(L1670*Assumptions!L$5),-2)</f>
        <v>15300</v>
      </c>
      <c r="N1670" s="33">
        <f>ROUNDUP(M1670+(M1670*Assumptions!M$5),-2)</f>
        <v>15700</v>
      </c>
      <c r="O1670" s="33">
        <f>ROUNDUP(N1670+(N1670*Assumptions!N$5),-2)</f>
        <v>16100</v>
      </c>
      <c r="P1670" s="33">
        <f>ROUNDUP(O1670+(O1670*Assumptions!O$5),-2)</f>
        <v>16500</v>
      </c>
      <c r="Q1670" s="33">
        <f>ROUNDUP(P1670+(P1670*Assumptions!P$5),-2)</f>
        <v>16900</v>
      </c>
      <c r="R1670" s="114">
        <f>ROUNDUP(Q1670+(Q1670*Assumptions!Q$5),-2)</f>
        <v>17300</v>
      </c>
      <c r="S1670" s="84"/>
      <c r="T1670" s="84"/>
      <c r="W1670" s="84"/>
      <c r="X1670" s="84"/>
      <c r="Y1670" s="84"/>
      <c r="Z1670" s="84"/>
      <c r="AA1670" s="84"/>
    </row>
    <row r="1671" spans="1:27" s="92" customFormat="1" x14ac:dyDescent="0.2">
      <c r="A1671" s="107">
        <v>28300</v>
      </c>
      <c r="B1671" s="33">
        <v>17100</v>
      </c>
      <c r="C1671" s="33">
        <v>13200</v>
      </c>
      <c r="D1671" s="33">
        <v>23900</v>
      </c>
      <c r="E1671" s="658" t="s">
        <v>1831</v>
      </c>
      <c r="F1671" s="78" t="s">
        <v>3326</v>
      </c>
      <c r="G1671" s="33">
        <v>16000</v>
      </c>
      <c r="H1671" s="138">
        <f t="shared" si="1507"/>
        <v>-33.054393305439326</v>
      </c>
      <c r="I1671" s="33">
        <f>ROUNDUP(G1671+(G1671*Assumptions!H$5),-2)</f>
        <v>16300</v>
      </c>
      <c r="J1671" s="33">
        <f>ROUNDUP(I1671+(I1671*Assumptions!I$5),-2)</f>
        <v>16800</v>
      </c>
      <c r="K1671" s="33">
        <f>ROUNDUP(J1671+(J1671*Assumptions!J$5),-2)</f>
        <v>17300</v>
      </c>
      <c r="L1671" s="33">
        <f>ROUNDUP(K1671+(K1671*Assumptions!K$5),-2)</f>
        <v>17800</v>
      </c>
      <c r="M1671" s="33">
        <f>ROUNDUP(L1671+(L1671*Assumptions!L$5),-2)</f>
        <v>18200</v>
      </c>
      <c r="N1671" s="33">
        <f>ROUNDUP(M1671+(M1671*Assumptions!M$5),-2)</f>
        <v>18600</v>
      </c>
      <c r="O1671" s="33">
        <f>ROUNDUP(N1671+(N1671*Assumptions!N$5),-2)</f>
        <v>19000</v>
      </c>
      <c r="P1671" s="33">
        <f>ROUNDUP(O1671+(O1671*Assumptions!O$5),-2)</f>
        <v>19400</v>
      </c>
      <c r="Q1671" s="33">
        <f>ROUNDUP(P1671+(P1671*Assumptions!P$5),-2)</f>
        <v>19800</v>
      </c>
      <c r="R1671" s="114">
        <f>ROUNDUP(Q1671+(Q1671*Assumptions!Q$5),-2)</f>
        <v>20200</v>
      </c>
      <c r="S1671" s="84"/>
      <c r="T1671" s="84"/>
      <c r="W1671" s="84"/>
      <c r="X1671" s="84"/>
      <c r="Y1671" s="84"/>
      <c r="Z1671" s="84"/>
      <c r="AA1671" s="84"/>
    </row>
    <row r="1672" spans="1:27" s="92" customFormat="1" x14ac:dyDescent="0.2">
      <c r="A1672" s="107">
        <v>6400</v>
      </c>
      <c r="B1672" s="33">
        <v>1000</v>
      </c>
      <c r="C1672" s="33">
        <v>2000</v>
      </c>
      <c r="D1672" s="33">
        <v>1200</v>
      </c>
      <c r="E1672" s="658" t="s">
        <v>175</v>
      </c>
      <c r="F1672" s="99" t="s">
        <v>2181</v>
      </c>
      <c r="G1672" s="33">
        <v>8000</v>
      </c>
      <c r="H1672" s="138">
        <f t="shared" si="1507"/>
        <v>566.66666666666674</v>
      </c>
      <c r="I1672" s="33">
        <f>ROUNDUP(G1672+(G1672*Assumptions!H$5),-2)</f>
        <v>8200</v>
      </c>
      <c r="J1672" s="33">
        <f>ROUNDUP(I1672+(I1672*Assumptions!I$5),-2)</f>
        <v>8500</v>
      </c>
      <c r="K1672" s="33">
        <f>ROUNDUP(J1672+(J1672*Assumptions!J$5),-2)</f>
        <v>8800</v>
      </c>
      <c r="L1672" s="33">
        <f>ROUNDUP(K1672+(K1672*Assumptions!K$5),-2)</f>
        <v>9100</v>
      </c>
      <c r="M1672" s="33">
        <f>ROUNDUP(L1672+(L1672*Assumptions!L$5),-2)</f>
        <v>9300</v>
      </c>
      <c r="N1672" s="33">
        <f>ROUNDUP(M1672+(M1672*Assumptions!M$5),-2)</f>
        <v>9500</v>
      </c>
      <c r="O1672" s="33">
        <f>ROUNDUP(N1672+(N1672*Assumptions!N$5),-2)</f>
        <v>9700</v>
      </c>
      <c r="P1672" s="33">
        <f>ROUNDUP(O1672+(O1672*Assumptions!O$5),-2)</f>
        <v>9900</v>
      </c>
      <c r="Q1672" s="33">
        <f>ROUNDUP(P1672+(P1672*Assumptions!P$5),-2)</f>
        <v>10100</v>
      </c>
      <c r="R1672" s="114">
        <f>ROUNDUP(Q1672+(Q1672*Assumptions!Q$5),-2)</f>
        <v>10400</v>
      </c>
      <c r="S1672" s="84"/>
      <c r="T1672" s="84"/>
      <c r="W1672" s="84"/>
      <c r="X1672" s="84"/>
      <c r="Y1672" s="84"/>
      <c r="Z1672" s="84"/>
      <c r="AA1672" s="84"/>
    </row>
    <row r="1673" spans="1:27" s="92" customFormat="1" x14ac:dyDescent="0.2">
      <c r="A1673" s="107">
        <v>6200</v>
      </c>
      <c r="B1673" s="33">
        <v>400</v>
      </c>
      <c r="C1673" s="33">
        <v>0</v>
      </c>
      <c r="D1673" s="33">
        <v>5100</v>
      </c>
      <c r="E1673" s="658" t="s">
        <v>176</v>
      </c>
      <c r="F1673" s="99" t="s">
        <v>112</v>
      </c>
      <c r="G1673" s="33">
        <v>5000</v>
      </c>
      <c r="H1673" s="138">
        <f t="shared" si="1507"/>
        <v>-1.9607843137254901</v>
      </c>
      <c r="I1673" s="33">
        <f>ROUNDUP(G1673+(G1673*Assumptions!H$5),-2)</f>
        <v>5100</v>
      </c>
      <c r="J1673" s="33">
        <f>ROUNDUP(I1673+(I1673*Assumptions!I$5),-2)</f>
        <v>5300</v>
      </c>
      <c r="K1673" s="33">
        <f>ROUNDUP(J1673+(J1673*Assumptions!J$5),-2)</f>
        <v>5500</v>
      </c>
      <c r="L1673" s="33">
        <f>ROUNDUP(K1673+(K1673*Assumptions!K$5),-2)</f>
        <v>5700</v>
      </c>
      <c r="M1673" s="33">
        <f>ROUNDUP(L1673+(L1673*Assumptions!L$5),-2)</f>
        <v>5900</v>
      </c>
      <c r="N1673" s="33">
        <f>ROUNDUP(M1673+(M1673*Assumptions!M$5),-2)</f>
        <v>6100</v>
      </c>
      <c r="O1673" s="33">
        <f>ROUNDUP(N1673+(N1673*Assumptions!N$5),-2)</f>
        <v>6300</v>
      </c>
      <c r="P1673" s="33">
        <f>ROUNDUP(O1673+(O1673*Assumptions!O$5),-2)</f>
        <v>6500</v>
      </c>
      <c r="Q1673" s="33">
        <f>ROUNDUP(P1673+(P1673*Assumptions!P$5),-2)</f>
        <v>6700</v>
      </c>
      <c r="R1673" s="114">
        <f>ROUNDUP(Q1673+(Q1673*Assumptions!Q$5),-2)</f>
        <v>6900</v>
      </c>
      <c r="S1673" s="84"/>
      <c r="T1673" s="84"/>
      <c r="W1673" s="84"/>
      <c r="X1673" s="84"/>
      <c r="Y1673" s="84"/>
      <c r="Z1673" s="84"/>
      <c r="AA1673" s="84"/>
    </row>
    <row r="1674" spans="1:27" s="92" customFormat="1" x14ac:dyDescent="0.2">
      <c r="A1674" s="107">
        <v>8900</v>
      </c>
      <c r="B1674" s="33">
        <v>4900</v>
      </c>
      <c r="C1674" s="33">
        <v>4700</v>
      </c>
      <c r="D1674" s="33">
        <v>5100</v>
      </c>
      <c r="E1674" s="658" t="s">
        <v>2898</v>
      </c>
      <c r="F1674" s="99" t="s">
        <v>2182</v>
      </c>
      <c r="G1674" s="33">
        <v>8500</v>
      </c>
      <c r="H1674" s="138">
        <f t="shared" si="1507"/>
        <v>66.666666666666657</v>
      </c>
      <c r="I1674" s="33">
        <f>ROUNDUP(G1674+(G1674*Assumptions!H$5),-2)</f>
        <v>8700</v>
      </c>
      <c r="J1674" s="33">
        <f>ROUNDUP(I1674+(I1674*Assumptions!I$5),-2)</f>
        <v>9000</v>
      </c>
      <c r="K1674" s="33">
        <f>ROUNDUP(J1674+(J1674*Assumptions!J$5),-2)</f>
        <v>9300</v>
      </c>
      <c r="L1674" s="33">
        <f>ROUNDUP(K1674+(K1674*Assumptions!K$5),-2)</f>
        <v>9600</v>
      </c>
      <c r="M1674" s="33">
        <f>ROUNDUP(L1674+(L1674*Assumptions!L$5),-2)</f>
        <v>9800</v>
      </c>
      <c r="N1674" s="33">
        <f>ROUNDUP(M1674+(M1674*Assumptions!M$5),-2)</f>
        <v>10000</v>
      </c>
      <c r="O1674" s="33">
        <f>ROUNDUP(N1674+(N1674*Assumptions!N$5),-2)</f>
        <v>10200</v>
      </c>
      <c r="P1674" s="33">
        <f>ROUNDUP(O1674+(O1674*Assumptions!O$5),-2)</f>
        <v>10500</v>
      </c>
      <c r="Q1674" s="33">
        <f>ROUNDUP(P1674+(P1674*Assumptions!P$5),-2)</f>
        <v>10800</v>
      </c>
      <c r="R1674" s="114">
        <f>ROUNDUP(Q1674+(Q1674*Assumptions!Q$5),-2)</f>
        <v>11100</v>
      </c>
      <c r="S1674" s="84"/>
      <c r="T1674" s="84"/>
      <c r="W1674" s="84"/>
      <c r="X1674" s="84"/>
      <c r="Y1674" s="84"/>
      <c r="Z1674" s="84"/>
      <c r="AA1674" s="84"/>
    </row>
    <row r="1675" spans="1:27" s="92" customFormat="1" x14ac:dyDescent="0.2">
      <c r="A1675" s="107"/>
      <c r="B1675" s="33"/>
      <c r="C1675" s="33"/>
      <c r="D1675" s="33"/>
      <c r="E1675" s="658"/>
      <c r="F1675" s="99"/>
      <c r="G1675" s="33"/>
      <c r="H1675" s="138"/>
      <c r="I1675" s="33"/>
      <c r="J1675" s="33"/>
      <c r="K1675" s="33"/>
      <c r="L1675" s="33"/>
      <c r="M1675" s="33"/>
      <c r="N1675" s="33"/>
      <c r="O1675" s="33"/>
      <c r="P1675" s="33"/>
      <c r="Q1675" s="33"/>
      <c r="R1675" s="114"/>
      <c r="S1675" s="84"/>
      <c r="T1675" s="84"/>
      <c r="W1675" s="84"/>
      <c r="X1675" s="84"/>
      <c r="Y1675" s="84"/>
      <c r="Z1675" s="84"/>
      <c r="AA1675" s="84"/>
    </row>
    <row r="1676" spans="1:27" s="92" customFormat="1" x14ac:dyDescent="0.2">
      <c r="A1676" s="107"/>
      <c r="B1676" s="33"/>
      <c r="C1676" s="33"/>
      <c r="D1676" s="33"/>
      <c r="E1676" s="658"/>
      <c r="F1676" s="145" t="s">
        <v>4829</v>
      </c>
      <c r="G1676" s="33"/>
      <c r="H1676" s="138"/>
      <c r="I1676" s="33"/>
      <c r="J1676" s="33"/>
      <c r="K1676" s="33"/>
      <c r="L1676" s="33"/>
      <c r="M1676" s="33"/>
      <c r="N1676" s="33"/>
      <c r="O1676" s="33"/>
      <c r="P1676" s="33"/>
      <c r="Q1676" s="33"/>
      <c r="R1676" s="114"/>
      <c r="S1676" s="84"/>
      <c r="T1676" s="84"/>
      <c r="W1676" s="84"/>
      <c r="X1676" s="84"/>
      <c r="Y1676" s="84"/>
      <c r="Z1676" s="84"/>
      <c r="AA1676" s="84"/>
    </row>
    <row r="1677" spans="1:27" s="92" customFormat="1" x14ac:dyDescent="0.2">
      <c r="A1677" s="107">
        <v>1100</v>
      </c>
      <c r="B1677" s="33">
        <v>1300</v>
      </c>
      <c r="C1677" s="33">
        <v>1900</v>
      </c>
      <c r="D1677" s="33">
        <v>1700</v>
      </c>
      <c r="E1677" s="658" t="s">
        <v>177</v>
      </c>
      <c r="F1677" s="99" t="s">
        <v>2590</v>
      </c>
      <c r="G1677" s="33">
        <v>1700</v>
      </c>
      <c r="H1677" s="138">
        <f>IF(D1677=G1677,0,IF(D1677=0,100,(G1677-D1677)/D1677*100))</f>
        <v>0</v>
      </c>
      <c r="I1677" s="33">
        <f>ROUNDUP(G1677+(G1677*Assumptions!H$5),-2)</f>
        <v>1800</v>
      </c>
      <c r="J1677" s="33">
        <f>ROUNDUP(I1677+(I1677*Assumptions!I$5),-2)</f>
        <v>1900</v>
      </c>
      <c r="K1677" s="33">
        <f>ROUNDUP(J1677+(J1677*Assumptions!J$5),-2)</f>
        <v>2000</v>
      </c>
      <c r="L1677" s="33">
        <f>ROUNDUP(K1677+(K1677*Assumptions!K$5),-2)</f>
        <v>2100</v>
      </c>
      <c r="M1677" s="33">
        <f>ROUNDUP(L1677+(L1677*Assumptions!L$5),-2)</f>
        <v>2200</v>
      </c>
      <c r="N1677" s="33">
        <f>ROUNDUP(M1677+(M1677*Assumptions!M$5),-2)</f>
        <v>2300</v>
      </c>
      <c r="O1677" s="33">
        <f>ROUNDUP(N1677+(N1677*Assumptions!N$5),-2)</f>
        <v>2400</v>
      </c>
      <c r="P1677" s="33">
        <f>ROUNDUP(O1677+(O1677*Assumptions!O$5),-2)</f>
        <v>2500</v>
      </c>
      <c r="Q1677" s="33">
        <f>ROUNDUP(P1677+(P1677*Assumptions!P$5),-2)</f>
        <v>2600</v>
      </c>
      <c r="R1677" s="114">
        <f>ROUNDUP(Q1677+(Q1677*Assumptions!Q$5),-2)</f>
        <v>2700</v>
      </c>
      <c r="S1677" s="84"/>
      <c r="T1677" s="84"/>
      <c r="W1677" s="84"/>
      <c r="X1677" s="84"/>
      <c r="Y1677" s="84"/>
      <c r="Z1677" s="84"/>
      <c r="AA1677" s="84"/>
    </row>
    <row r="1678" spans="1:27" s="92" customFormat="1" x14ac:dyDescent="0.2">
      <c r="A1678" s="107">
        <v>5600</v>
      </c>
      <c r="B1678" s="33">
        <v>6600</v>
      </c>
      <c r="C1678" s="33">
        <v>6200</v>
      </c>
      <c r="D1678" s="33">
        <v>6600</v>
      </c>
      <c r="E1678" s="658" t="s">
        <v>702</v>
      </c>
      <c r="F1678" s="78" t="s">
        <v>1470</v>
      </c>
      <c r="G1678" s="33">
        <v>6700</v>
      </c>
      <c r="H1678" s="138">
        <f>IF(D1678=G1678,0,IF(D1678=0,100,(G1678-D1678)/D1678*100))</f>
        <v>1.5151515151515151</v>
      </c>
      <c r="I1678" s="33">
        <f>ROUNDUP(G1678+(G1678*Assumptions!H$5),-2)</f>
        <v>6900</v>
      </c>
      <c r="J1678" s="33">
        <f>ROUNDUP(I1678+(I1678*Assumptions!I$5),-2)</f>
        <v>7100</v>
      </c>
      <c r="K1678" s="33">
        <f>ROUNDUP(J1678+(J1678*Assumptions!J$5),-2)</f>
        <v>7300</v>
      </c>
      <c r="L1678" s="33">
        <f>ROUNDUP(K1678+(K1678*Assumptions!K$5),-2)</f>
        <v>7500</v>
      </c>
      <c r="M1678" s="33">
        <f>ROUNDUP(L1678+(L1678*Assumptions!L$5),-2)</f>
        <v>7700</v>
      </c>
      <c r="N1678" s="33">
        <f>ROUNDUP(M1678+(M1678*Assumptions!M$5),-2)</f>
        <v>7900</v>
      </c>
      <c r="O1678" s="33">
        <f>ROUNDUP(N1678+(N1678*Assumptions!N$5),-2)</f>
        <v>8100</v>
      </c>
      <c r="P1678" s="33">
        <f>ROUNDUP(O1678+(O1678*Assumptions!O$5),-2)</f>
        <v>8300</v>
      </c>
      <c r="Q1678" s="33">
        <f>ROUNDUP(P1678+(P1678*Assumptions!P$5),-2)</f>
        <v>8500</v>
      </c>
      <c r="R1678" s="114">
        <f>ROUNDUP(Q1678+(Q1678*Assumptions!Q$5),-2)</f>
        <v>8700</v>
      </c>
      <c r="S1678" s="84"/>
      <c r="T1678" s="84"/>
      <c r="W1678" s="84"/>
      <c r="X1678" s="84"/>
      <c r="Y1678" s="84"/>
      <c r="Z1678" s="84"/>
      <c r="AA1678" s="84"/>
    </row>
    <row r="1679" spans="1:27" s="92" customFormat="1" x14ac:dyDescent="0.2">
      <c r="A1679" s="107">
        <v>10400</v>
      </c>
      <c r="B1679" s="33">
        <v>10600</v>
      </c>
      <c r="C1679" s="33">
        <v>10900</v>
      </c>
      <c r="D1679" s="33">
        <v>0</v>
      </c>
      <c r="E1679" s="658" t="s">
        <v>178</v>
      </c>
      <c r="F1679" s="99" t="s">
        <v>415</v>
      </c>
      <c r="G1679" s="33">
        <v>12300</v>
      </c>
      <c r="H1679" s="138">
        <f>IF(D1679=G1679,0,IF(D1679=0,100,(G1679-D1679)/D1679*100))</f>
        <v>100</v>
      </c>
      <c r="I1679" s="33">
        <f>ROUNDUP(G1679+(G1679*Assumptions!H$5),-2)</f>
        <v>12500</v>
      </c>
      <c r="J1679" s="33">
        <f>ROUNDUP(I1679+(I1679*Assumptions!I$5),-2)</f>
        <v>12900</v>
      </c>
      <c r="K1679" s="33">
        <f>ROUNDUP(J1679+(J1679*Assumptions!J$5),-2)</f>
        <v>13300</v>
      </c>
      <c r="L1679" s="33">
        <f>ROUNDUP(K1679+(K1679*Assumptions!K$5),-2)</f>
        <v>13700</v>
      </c>
      <c r="M1679" s="33">
        <f>ROUNDUP(L1679+(L1679*Assumptions!L$5),-2)</f>
        <v>14000</v>
      </c>
      <c r="N1679" s="33">
        <f>ROUNDUP(M1679+(M1679*Assumptions!M$5),-2)</f>
        <v>14300</v>
      </c>
      <c r="O1679" s="33">
        <f>ROUNDUP(N1679+(N1679*Assumptions!N$5),-2)</f>
        <v>14600</v>
      </c>
      <c r="P1679" s="33">
        <f>ROUNDUP(O1679+(O1679*Assumptions!O$5),-2)</f>
        <v>14900</v>
      </c>
      <c r="Q1679" s="33">
        <f>ROUNDUP(P1679+(P1679*Assumptions!P$5),-2)</f>
        <v>15200</v>
      </c>
      <c r="R1679" s="114">
        <f>ROUNDUP(Q1679+(Q1679*Assumptions!Q$5),-2)</f>
        <v>15600</v>
      </c>
      <c r="S1679" s="84"/>
      <c r="T1679" s="84"/>
    </row>
    <row r="1680" spans="1:27" s="92" customFormat="1" x14ac:dyDescent="0.2">
      <c r="A1680" s="107">
        <v>97600</v>
      </c>
      <c r="B1680" s="33">
        <v>22300</v>
      </c>
      <c r="C1680" s="33">
        <v>12600</v>
      </c>
      <c r="D1680" s="33">
        <v>68700</v>
      </c>
      <c r="E1680" s="658" t="s">
        <v>739</v>
      </c>
      <c r="F1680" s="99" t="s">
        <v>740</v>
      </c>
      <c r="G1680" s="33">
        <v>58000</v>
      </c>
      <c r="H1680" s="138">
        <f>IF(D1680=G1680,0,IF(D1680=0,100,(G1680-D1680)/D1680*100))</f>
        <v>-15.574963609898107</v>
      </c>
      <c r="I1680" s="33">
        <f t="shared" ref="I1680:P1680" si="1508">I1655</f>
        <v>40000</v>
      </c>
      <c r="J1680" s="33">
        <f t="shared" si="1508"/>
        <v>41000</v>
      </c>
      <c r="K1680" s="33">
        <f t="shared" si="1508"/>
        <v>42100</v>
      </c>
      <c r="L1680" s="33">
        <f t="shared" si="1508"/>
        <v>43200</v>
      </c>
      <c r="M1680" s="33">
        <f t="shared" si="1508"/>
        <v>44100</v>
      </c>
      <c r="N1680" s="33">
        <f t="shared" si="1508"/>
        <v>45000</v>
      </c>
      <c r="O1680" s="33">
        <f t="shared" si="1508"/>
        <v>45900</v>
      </c>
      <c r="P1680" s="33">
        <f t="shared" si="1508"/>
        <v>46900</v>
      </c>
      <c r="Q1680" s="33">
        <f t="shared" ref="Q1680" si="1509">Q1655</f>
        <v>47900</v>
      </c>
      <c r="R1680" s="114">
        <f t="shared" ref="R1680" si="1510">R1655</f>
        <v>48900</v>
      </c>
      <c r="S1680" s="84"/>
      <c r="T1680" s="84"/>
    </row>
    <row r="1681" spans="1:20" s="92" customFormat="1" x14ac:dyDescent="0.2">
      <c r="A1681" s="107"/>
      <c r="B1681" s="33"/>
      <c r="C1681" s="33"/>
      <c r="D1681" s="33"/>
      <c r="E1681" s="658"/>
      <c r="F1681" s="99"/>
      <c r="G1681" s="33"/>
      <c r="H1681" s="138"/>
      <c r="I1681" s="33"/>
      <c r="J1681" s="33"/>
      <c r="K1681" s="33"/>
      <c r="L1681" s="33"/>
      <c r="M1681" s="33"/>
      <c r="N1681" s="33"/>
      <c r="O1681" s="33"/>
      <c r="P1681" s="33"/>
      <c r="Q1681" s="33"/>
      <c r="R1681" s="114"/>
      <c r="S1681" s="84"/>
      <c r="T1681" s="84"/>
    </row>
    <row r="1682" spans="1:20" x14ac:dyDescent="0.2">
      <c r="A1682" s="107"/>
      <c r="B1682" s="33"/>
      <c r="C1682" s="33"/>
      <c r="D1682" s="33"/>
      <c r="E1682" s="658"/>
      <c r="F1682" s="74" t="str">
        <f>DEH!F192</f>
        <v>Non-cash Expenses</v>
      </c>
      <c r="G1682" s="33"/>
      <c r="H1682" s="138"/>
      <c r="I1682" s="33"/>
      <c r="J1682" s="33"/>
      <c r="K1682" s="33"/>
      <c r="L1682" s="33"/>
      <c r="M1682" s="33"/>
      <c r="N1682" s="33"/>
      <c r="O1682" s="33"/>
      <c r="P1682" s="33"/>
      <c r="Q1682" s="33"/>
      <c r="R1682" s="114"/>
    </row>
    <row r="1683" spans="1:20" x14ac:dyDescent="0.2">
      <c r="A1683" s="107">
        <v>8700</v>
      </c>
      <c r="B1683" s="132">
        <v>0</v>
      </c>
      <c r="C1683" s="33">
        <v>0</v>
      </c>
      <c r="D1683" s="33">
        <v>0</v>
      </c>
      <c r="E1683" s="658" t="s">
        <v>1890</v>
      </c>
      <c r="F1683" s="99" t="s">
        <v>751</v>
      </c>
      <c r="G1683" s="33">
        <v>0</v>
      </c>
      <c r="H1683" s="138">
        <f>IF(D1683=G1683,0,IF(D1683=0,100,(G1683-D1683)/D1683*100))</f>
        <v>0</v>
      </c>
      <c r="I1683" s="33">
        <f>ROUNDUP(G1683+(G1683*Assumptions!H$18),-2)</f>
        <v>0</v>
      </c>
      <c r="J1683" s="33">
        <f>ROUNDUP(I1683+(I1683*Assumptions!I$18),-2)</f>
        <v>0</v>
      </c>
      <c r="K1683" s="33">
        <f>ROUNDUP(J1683+(J1683*Assumptions!J$18),-2)</f>
        <v>0</v>
      </c>
      <c r="L1683" s="33">
        <f>ROUNDUP(K1683+(K1683*Assumptions!K$18),-2)</f>
        <v>0</v>
      </c>
      <c r="M1683" s="33">
        <f>ROUNDUP(L1683+(L1683*Assumptions!L$18),-2)</f>
        <v>0</v>
      </c>
      <c r="N1683" s="33">
        <f>ROUNDUP(M1683+(M1683*Assumptions!M$18),-2)</f>
        <v>0</v>
      </c>
      <c r="O1683" s="33">
        <f>ROUNDUP(N1683+(N1683*Assumptions!N$18),-2)</f>
        <v>0</v>
      </c>
      <c r="P1683" s="33">
        <f>ROUNDUP(O1683+(O1683*Assumptions!O$18),-2)</f>
        <v>0</v>
      </c>
      <c r="Q1683" s="33">
        <f>ROUNDUP(P1683+(P1683*Assumptions!P$18),-2)</f>
        <v>0</v>
      </c>
      <c r="R1683" s="114">
        <f>ROUNDUP(Q1683+(Q1683*Assumptions!Q$18),-2)</f>
        <v>0</v>
      </c>
    </row>
    <row r="1684" spans="1:20" ht="13.5" thickBot="1" x14ac:dyDescent="0.25">
      <c r="A1684" s="70"/>
      <c r="B1684" s="64"/>
      <c r="C1684" s="64"/>
      <c r="D1684" s="64"/>
      <c r="E1684" s="658"/>
      <c r="F1684" s="74"/>
      <c r="G1684" s="64"/>
      <c r="H1684" s="179"/>
      <c r="I1684" s="33"/>
      <c r="J1684" s="33"/>
      <c r="K1684" s="33"/>
      <c r="L1684" s="33"/>
      <c r="M1684" s="33"/>
      <c r="N1684" s="33"/>
      <c r="O1684" s="33"/>
      <c r="P1684" s="33"/>
      <c r="Q1684" s="33"/>
      <c r="R1684" s="114"/>
    </row>
    <row r="1685" spans="1:20" s="92" customFormat="1" x14ac:dyDescent="0.2">
      <c r="A1685" s="105">
        <f>SUM(A1661:A1684)</f>
        <v>406100</v>
      </c>
      <c r="B1685" s="53">
        <f>SUM(B1661:B1684)</f>
        <v>364900</v>
      </c>
      <c r="C1685" s="53">
        <f>SUM(C1661:C1684)</f>
        <v>277000</v>
      </c>
      <c r="D1685" s="53">
        <f>SUM(D1661:D1684)</f>
        <v>330000</v>
      </c>
      <c r="E1685" s="674"/>
      <c r="F1685" s="112" t="s">
        <v>565</v>
      </c>
      <c r="G1685" s="53">
        <f t="shared" ref="G1685:P1685" si="1511">SUM(G1661:G1684)</f>
        <v>393800</v>
      </c>
      <c r="H1685" s="180">
        <f>IF(D1685=G1685,0,IF(D1685=0,100,(G1685-D1685)/D1685*100))</f>
        <v>19.333333333333332</v>
      </c>
      <c r="I1685" s="53">
        <f t="shared" si="1511"/>
        <v>381700</v>
      </c>
      <c r="J1685" s="53">
        <f t="shared" si="1511"/>
        <v>392100</v>
      </c>
      <c r="K1685" s="53">
        <f t="shared" si="1511"/>
        <v>402700</v>
      </c>
      <c r="L1685" s="53">
        <f t="shared" si="1511"/>
        <v>413500</v>
      </c>
      <c r="M1685" s="53">
        <f t="shared" si="1511"/>
        <v>422300</v>
      </c>
      <c r="N1685" s="53">
        <f t="shared" si="1511"/>
        <v>431500</v>
      </c>
      <c r="O1685" s="53">
        <f t="shared" si="1511"/>
        <v>440900</v>
      </c>
      <c r="P1685" s="53">
        <f t="shared" si="1511"/>
        <v>450500</v>
      </c>
      <c r="Q1685" s="53">
        <f t="shared" ref="Q1685" si="1512">SUM(Q1661:Q1684)</f>
        <v>460200</v>
      </c>
      <c r="R1685" s="113">
        <f t="shared" ref="R1685" si="1513">SUM(R1661:R1684)</f>
        <v>470200</v>
      </c>
    </row>
    <row r="1686" spans="1:20" x14ac:dyDescent="0.2">
      <c r="A1686" s="107"/>
      <c r="B1686" s="33"/>
      <c r="C1686" s="33"/>
      <c r="D1686" s="33"/>
      <c r="E1686" s="673"/>
      <c r="F1686" s="108"/>
      <c r="G1686" s="33"/>
      <c r="H1686" s="138"/>
      <c r="I1686" s="33"/>
      <c r="J1686" s="33"/>
      <c r="K1686" s="33"/>
      <c r="L1686" s="33"/>
      <c r="M1686" s="33"/>
      <c r="N1686" s="33"/>
      <c r="O1686" s="33"/>
      <c r="P1686" s="33"/>
      <c r="Q1686" s="33"/>
      <c r="R1686" s="114"/>
    </row>
    <row r="1687" spans="1:20" s="92" customFormat="1" x14ac:dyDescent="0.2">
      <c r="A1687" s="70">
        <f>A1657-A1685</f>
        <v>-157600</v>
      </c>
      <c r="B1687" s="64">
        <f>B1657-B1685</f>
        <v>-203400</v>
      </c>
      <c r="C1687" s="64">
        <f>C1657-C1685</f>
        <v>-95100</v>
      </c>
      <c r="D1687" s="64">
        <f>D1657-D1685</f>
        <v>-157700</v>
      </c>
      <c r="E1687" s="674"/>
      <c r="F1687" s="522" t="s">
        <v>1019</v>
      </c>
      <c r="G1687" s="64">
        <f t="shared" ref="G1687:P1687" si="1514">G1657-G1685</f>
        <v>-174800</v>
      </c>
      <c r="H1687" s="179">
        <f>IF(D1687=G1687,0,IF(D1687=0,100,(G1687-D1687)/D1687*100))</f>
        <v>10.843373493975903</v>
      </c>
      <c r="I1687" s="64">
        <f t="shared" si="1514"/>
        <v>-214200</v>
      </c>
      <c r="J1687" s="64">
        <f t="shared" si="1514"/>
        <v>-220300</v>
      </c>
      <c r="K1687" s="64">
        <f t="shared" si="1514"/>
        <v>-226500</v>
      </c>
      <c r="L1687" s="64">
        <f t="shared" si="1514"/>
        <v>-232800</v>
      </c>
      <c r="M1687" s="64">
        <f t="shared" si="1514"/>
        <v>-237800</v>
      </c>
      <c r="N1687" s="64">
        <f t="shared" si="1514"/>
        <v>-243200</v>
      </c>
      <c r="O1687" s="64">
        <f t="shared" si="1514"/>
        <v>-248800</v>
      </c>
      <c r="P1687" s="64">
        <f t="shared" si="1514"/>
        <v>-254400</v>
      </c>
      <c r="Q1687" s="64">
        <f t="shared" ref="Q1687" si="1515">Q1657-Q1685</f>
        <v>-260000</v>
      </c>
      <c r="R1687" s="115">
        <f t="shared" ref="R1687" si="1516">R1657-R1685</f>
        <v>-265800</v>
      </c>
    </row>
    <row r="1688" spans="1:20" x14ac:dyDescent="0.2">
      <c r="A1688" s="107">
        <f>A1683</f>
        <v>8700</v>
      </c>
      <c r="B1688" s="33">
        <f>B1683</f>
        <v>0</v>
      </c>
      <c r="C1688" s="33">
        <f>C1683</f>
        <v>0</v>
      </c>
      <c r="D1688" s="33">
        <f>D1683</f>
        <v>0</v>
      </c>
      <c r="E1688" s="673"/>
      <c r="F1688" s="320" t="s">
        <v>1976</v>
      </c>
      <c r="G1688" s="33">
        <f t="shared" ref="G1688:O1688" si="1517">G1683</f>
        <v>0</v>
      </c>
      <c r="H1688" s="138">
        <f>IF(D1688=G1688,0,IF(D1688=0,100,(G1688-D1688)/D1688*100))</f>
        <v>0</v>
      </c>
      <c r="I1688" s="33">
        <f t="shared" si="1517"/>
        <v>0</v>
      </c>
      <c r="J1688" s="33">
        <f t="shared" si="1517"/>
        <v>0</v>
      </c>
      <c r="K1688" s="33">
        <f t="shared" si="1517"/>
        <v>0</v>
      </c>
      <c r="L1688" s="33">
        <f t="shared" si="1517"/>
        <v>0</v>
      </c>
      <c r="M1688" s="33">
        <f t="shared" si="1517"/>
        <v>0</v>
      </c>
      <c r="N1688" s="33">
        <f t="shared" si="1517"/>
        <v>0</v>
      </c>
      <c r="O1688" s="33">
        <f t="shared" si="1517"/>
        <v>0</v>
      </c>
      <c r="P1688" s="33">
        <f t="shared" ref="P1688:Q1688" si="1518">P1683</f>
        <v>0</v>
      </c>
      <c r="Q1688" s="33">
        <f t="shared" si="1518"/>
        <v>0</v>
      </c>
      <c r="R1688" s="114">
        <f t="shared" ref="R1688" si="1519">R1683</f>
        <v>0</v>
      </c>
    </row>
    <row r="1689" spans="1:20" s="92" customFormat="1" x14ac:dyDescent="0.2">
      <c r="A1689" s="181">
        <f>A1688+A1687</f>
        <v>-148900</v>
      </c>
      <c r="B1689" s="397">
        <f>B1688+B1687</f>
        <v>-203400</v>
      </c>
      <c r="C1689" s="397">
        <f>C1688+C1687</f>
        <v>-95100</v>
      </c>
      <c r="D1689" s="397">
        <f>D1688+D1687</f>
        <v>-157700</v>
      </c>
      <c r="E1689" s="675"/>
      <c r="F1689" s="515" t="s">
        <v>1687</v>
      </c>
      <c r="G1689" s="397">
        <f t="shared" ref="G1689:O1689" si="1520">G1688+G1687</f>
        <v>-174800</v>
      </c>
      <c r="H1689" s="395">
        <f>IF(D1689=G1689,0,IF(D1689=0,100,(G1689-D1689)/D1689*100))</f>
        <v>10.843373493975903</v>
      </c>
      <c r="I1689" s="397">
        <f t="shared" si="1520"/>
        <v>-214200</v>
      </c>
      <c r="J1689" s="397">
        <f t="shared" si="1520"/>
        <v>-220300</v>
      </c>
      <c r="K1689" s="397">
        <f t="shared" si="1520"/>
        <v>-226500</v>
      </c>
      <c r="L1689" s="397">
        <f t="shared" si="1520"/>
        <v>-232800</v>
      </c>
      <c r="M1689" s="397">
        <f t="shared" si="1520"/>
        <v>-237800</v>
      </c>
      <c r="N1689" s="397">
        <f t="shared" si="1520"/>
        <v>-243200</v>
      </c>
      <c r="O1689" s="397">
        <f t="shared" si="1520"/>
        <v>-248800</v>
      </c>
      <c r="P1689" s="397">
        <f t="shared" ref="P1689:Q1689" si="1521">P1688+P1687</f>
        <v>-254400</v>
      </c>
      <c r="Q1689" s="397">
        <f t="shared" si="1521"/>
        <v>-260000</v>
      </c>
      <c r="R1689" s="399">
        <f t="shared" ref="R1689" si="1522">R1688+R1687</f>
        <v>-265800</v>
      </c>
    </row>
    <row r="1690" spans="1:20" ht="13.5" thickBot="1" x14ac:dyDescent="0.25">
      <c r="A1690" s="70"/>
      <c r="B1690" s="64"/>
      <c r="C1690" s="64"/>
      <c r="D1690" s="64"/>
      <c r="E1690" s="658"/>
      <c r="F1690" s="137"/>
      <c r="G1690" s="64"/>
      <c r="H1690" s="179"/>
      <c r="I1690" s="121"/>
      <c r="J1690" s="121"/>
      <c r="K1690" s="121"/>
      <c r="L1690" s="121"/>
      <c r="M1690" s="121"/>
      <c r="N1690" s="121"/>
      <c r="O1690" s="121"/>
      <c r="P1690" s="121"/>
      <c r="Q1690" s="121"/>
      <c r="R1690" s="161"/>
    </row>
    <row r="1691" spans="1:20" ht="13.5" thickTop="1" x14ac:dyDescent="0.2">
      <c r="A1691" s="383"/>
      <c r="B1691" s="122"/>
      <c r="C1691" s="162"/>
      <c r="D1691" s="162"/>
      <c r="E1691" s="677"/>
      <c r="F1691" s="640"/>
      <c r="G1691" s="162"/>
      <c r="H1691" s="505"/>
      <c r="I1691" s="127"/>
      <c r="J1691" s="127"/>
      <c r="K1691" s="127"/>
      <c r="L1691" s="127"/>
      <c r="M1691" s="127"/>
      <c r="N1691" s="127"/>
      <c r="O1691" s="127"/>
      <c r="P1691" s="127"/>
      <c r="Q1691" s="127"/>
      <c r="R1691" s="163"/>
    </row>
    <row r="1692" spans="1:20" x14ac:dyDescent="0.2">
      <c r="A1692" s="70"/>
      <c r="B1692" s="128"/>
      <c r="C1692" s="64"/>
      <c r="D1692" s="64"/>
      <c r="E1692" s="657"/>
      <c r="F1692" s="1962" t="s">
        <v>196</v>
      </c>
      <c r="G1692" s="64"/>
      <c r="H1692" s="179"/>
      <c r="I1692" s="33"/>
      <c r="J1692" s="33"/>
      <c r="K1692" s="33"/>
      <c r="L1692" s="33"/>
      <c r="M1692" s="33"/>
      <c r="N1692" s="33"/>
      <c r="O1692" s="33"/>
      <c r="P1692" s="33"/>
      <c r="Q1692" s="33"/>
      <c r="R1692" s="114"/>
    </row>
    <row r="1693" spans="1:20" x14ac:dyDescent="0.2">
      <c r="A1693" s="70"/>
      <c r="B1693" s="128"/>
      <c r="C1693" s="64"/>
      <c r="D1693" s="64"/>
      <c r="E1693" s="657"/>
      <c r="F1693" s="175"/>
      <c r="G1693" s="64"/>
      <c r="H1693" s="179"/>
      <c r="I1693" s="33"/>
      <c r="J1693" s="33"/>
      <c r="K1693" s="33"/>
      <c r="L1693" s="33"/>
      <c r="M1693" s="33"/>
      <c r="N1693" s="33"/>
      <c r="O1693" s="33"/>
      <c r="P1693" s="33"/>
      <c r="Q1693" s="33"/>
      <c r="R1693" s="114"/>
    </row>
    <row r="1694" spans="1:20" x14ac:dyDescent="0.2">
      <c r="A1694" s="107">
        <v>0</v>
      </c>
      <c r="B1694" s="142">
        <v>0</v>
      </c>
      <c r="C1694" s="33">
        <v>0</v>
      </c>
      <c r="D1694" s="33">
        <v>0</v>
      </c>
      <c r="E1694" s="657"/>
      <c r="F1694" s="1979" t="s">
        <v>1791</v>
      </c>
      <c r="G1694" s="33">
        <v>0</v>
      </c>
      <c r="H1694" s="138"/>
      <c r="I1694" s="33">
        <v>0</v>
      </c>
      <c r="J1694" s="33">
        <v>0</v>
      </c>
      <c r="K1694" s="33">
        <v>0</v>
      </c>
      <c r="L1694" s="33">
        <v>0</v>
      </c>
      <c r="M1694" s="33">
        <v>0</v>
      </c>
      <c r="N1694" s="33">
        <v>0</v>
      </c>
      <c r="O1694" s="33">
        <v>0</v>
      </c>
      <c r="P1694" s="33">
        <v>0</v>
      </c>
      <c r="Q1694" s="33">
        <v>0</v>
      </c>
      <c r="R1694" s="114">
        <v>0</v>
      </c>
    </row>
    <row r="1695" spans="1:20" x14ac:dyDescent="0.2">
      <c r="A1695" s="107">
        <v>25900</v>
      </c>
      <c r="B1695" s="142">
        <v>21600</v>
      </c>
      <c r="C1695" s="33">
        <v>31000</v>
      </c>
      <c r="D1695" s="33">
        <v>0</v>
      </c>
      <c r="E1695" s="657"/>
      <c r="F1695" s="1981" t="s">
        <v>1942</v>
      </c>
      <c r="G1695" s="33">
        <v>0</v>
      </c>
      <c r="H1695" s="138"/>
      <c r="I1695" s="33">
        <v>0</v>
      </c>
      <c r="J1695" s="33">
        <v>0</v>
      </c>
      <c r="K1695" s="33">
        <v>0</v>
      </c>
      <c r="L1695" s="33">
        <v>0</v>
      </c>
      <c r="M1695" s="33">
        <v>0</v>
      </c>
      <c r="N1695" s="33">
        <v>0</v>
      </c>
      <c r="O1695" s="33">
        <v>0</v>
      </c>
      <c r="P1695" s="33">
        <v>0</v>
      </c>
      <c r="Q1695" s="33">
        <v>0</v>
      </c>
      <c r="R1695" s="114">
        <v>0</v>
      </c>
    </row>
    <row r="1696" spans="1:20" x14ac:dyDescent="0.2">
      <c r="A1696" s="107">
        <v>30500</v>
      </c>
      <c r="B1696" s="142">
        <v>25900</v>
      </c>
      <c r="C1696" s="33">
        <v>21600</v>
      </c>
      <c r="D1696" s="33">
        <f>'Res-Gen'!C224</f>
        <v>19000</v>
      </c>
      <c r="E1696" s="657"/>
      <c r="F1696" s="366" t="s">
        <v>2348</v>
      </c>
      <c r="G1696" s="99">
        <v>0</v>
      </c>
      <c r="H1696" s="138"/>
      <c r="I1696" s="33">
        <v>0</v>
      </c>
      <c r="J1696" s="33">
        <v>0</v>
      </c>
      <c r="K1696" s="33">
        <v>0</v>
      </c>
      <c r="L1696" s="33">
        <v>0</v>
      </c>
      <c r="M1696" s="33">
        <v>0</v>
      </c>
      <c r="N1696" s="33">
        <v>0</v>
      </c>
      <c r="O1696" s="33">
        <v>0</v>
      </c>
      <c r="P1696" s="33">
        <v>0</v>
      </c>
      <c r="Q1696" s="33">
        <v>0</v>
      </c>
      <c r="R1696" s="114">
        <v>0</v>
      </c>
    </row>
    <row r="1697" spans="1:18" x14ac:dyDescent="0.2">
      <c r="A1697" s="107">
        <v>0</v>
      </c>
      <c r="B1697" s="142">
        <v>183100</v>
      </c>
      <c r="C1697" s="33">
        <f>'Cap Inc'!A98</f>
        <v>-500</v>
      </c>
      <c r="D1697" s="33">
        <v>0</v>
      </c>
      <c r="E1697" s="657"/>
      <c r="F1697" s="366" t="s">
        <v>5984</v>
      </c>
      <c r="G1697" s="99">
        <v>0</v>
      </c>
      <c r="H1697" s="138"/>
      <c r="I1697" s="33">
        <v>0</v>
      </c>
      <c r="J1697" s="33">
        <v>0</v>
      </c>
      <c r="K1697" s="33">
        <v>0</v>
      </c>
      <c r="L1697" s="33">
        <v>0</v>
      </c>
      <c r="M1697" s="33">
        <v>0</v>
      </c>
      <c r="N1697" s="33">
        <v>0</v>
      </c>
      <c r="O1697" s="33">
        <v>0</v>
      </c>
      <c r="P1697" s="33">
        <v>0</v>
      </c>
      <c r="Q1697" s="33">
        <v>0</v>
      </c>
      <c r="R1697" s="114">
        <v>0</v>
      </c>
    </row>
    <row r="1698" spans="1:18" x14ac:dyDescent="0.2">
      <c r="A1698" s="107">
        <v>11200</v>
      </c>
      <c r="B1698" s="142">
        <v>199700</v>
      </c>
      <c r="C1698" s="33">
        <v>0</v>
      </c>
      <c r="D1698" s="33">
        <v>0</v>
      </c>
      <c r="E1698" s="657"/>
      <c r="F1698" s="366" t="s">
        <v>972</v>
      </c>
      <c r="G1698" s="99">
        <v>0</v>
      </c>
      <c r="H1698" s="138"/>
      <c r="I1698" s="33">
        <v>0</v>
      </c>
      <c r="J1698" s="33">
        <v>0</v>
      </c>
      <c r="K1698" s="33">
        <v>0</v>
      </c>
      <c r="L1698" s="33">
        <v>0</v>
      </c>
      <c r="M1698" s="33">
        <v>0</v>
      </c>
      <c r="N1698" s="33">
        <v>0</v>
      </c>
      <c r="O1698" s="33">
        <v>0</v>
      </c>
      <c r="P1698" s="33">
        <v>0</v>
      </c>
      <c r="Q1698" s="33">
        <v>0</v>
      </c>
      <c r="R1698" s="114">
        <v>0</v>
      </c>
    </row>
    <row r="1699" spans="1:18" x14ac:dyDescent="0.2">
      <c r="A1699" s="107"/>
      <c r="B1699" s="142"/>
      <c r="C1699" s="33"/>
      <c r="D1699" s="33"/>
      <c r="E1699" s="657"/>
      <c r="F1699" s="516"/>
      <c r="G1699" s="99"/>
      <c r="H1699" s="138"/>
      <c r="I1699" s="33"/>
      <c r="J1699" s="33"/>
      <c r="K1699" s="33"/>
      <c r="L1699" s="33"/>
      <c r="M1699" s="33"/>
      <c r="N1699" s="33"/>
      <c r="O1699" s="33"/>
      <c r="P1699" s="33"/>
      <c r="Q1699" s="33"/>
      <c r="R1699" s="114"/>
    </row>
    <row r="1700" spans="1:18" s="92" customFormat="1" x14ac:dyDescent="0.2">
      <c r="A1700" s="181">
        <f>A1689-A1694-A1695+A1696++A1697-A1698</f>
        <v>-155500</v>
      </c>
      <c r="B1700" s="377">
        <f>B1689-B1694-B1695+B1696++B1697-B1698</f>
        <v>-215700</v>
      </c>
      <c r="C1700" s="397">
        <f>C1689-C1694-C1695+C1696++C1697-C1698</f>
        <v>-105000</v>
      </c>
      <c r="D1700" s="397">
        <f>D1689-D1694-D1695+D1696++D1697-D1698</f>
        <v>-138700</v>
      </c>
      <c r="E1700" s="678"/>
      <c r="F1700" s="518" t="s">
        <v>2490</v>
      </c>
      <c r="G1700" s="704">
        <f t="shared" ref="G1700:O1700" si="1523">G1689-G1694-G1695+G1696++G1697-G1698</f>
        <v>-174800</v>
      </c>
      <c r="H1700" s="395">
        <f>IF(D1700=G1700,0,IF(D1700=0,100,(G1700-D1700)/D1700*100))</f>
        <v>26.027397260273972</v>
      </c>
      <c r="I1700" s="397">
        <f t="shared" si="1523"/>
        <v>-214200</v>
      </c>
      <c r="J1700" s="397">
        <f t="shared" si="1523"/>
        <v>-220300</v>
      </c>
      <c r="K1700" s="397">
        <f t="shared" si="1523"/>
        <v>-226500</v>
      </c>
      <c r="L1700" s="397">
        <f t="shared" si="1523"/>
        <v>-232800</v>
      </c>
      <c r="M1700" s="397">
        <f t="shared" si="1523"/>
        <v>-237800</v>
      </c>
      <c r="N1700" s="397">
        <f t="shared" si="1523"/>
        <v>-243200</v>
      </c>
      <c r="O1700" s="397">
        <f t="shared" si="1523"/>
        <v>-248800</v>
      </c>
      <c r="P1700" s="397">
        <f t="shared" ref="P1700:Q1700" si="1524">P1689-P1694-P1695+P1696++P1697-P1698</f>
        <v>-254400</v>
      </c>
      <c r="Q1700" s="397">
        <f t="shared" si="1524"/>
        <v>-260000</v>
      </c>
      <c r="R1700" s="399">
        <f t="shared" ref="R1700" si="1525">R1689-R1694-R1695+R1696++R1697-R1698</f>
        <v>-265800</v>
      </c>
    </row>
    <row r="1701" spans="1:18" ht="13.5" thickBot="1" x14ac:dyDescent="0.25">
      <c r="A1701" s="73"/>
      <c r="B1701" s="134"/>
      <c r="C1701" s="90"/>
      <c r="D1701" s="90"/>
      <c r="E1701" s="679"/>
      <c r="F1701" s="368"/>
      <c r="G1701" s="120"/>
      <c r="H1701" s="392"/>
      <c r="I1701" s="66"/>
      <c r="J1701" s="66"/>
      <c r="K1701" s="66"/>
      <c r="L1701" s="66"/>
      <c r="M1701" s="66"/>
      <c r="N1701" s="66"/>
      <c r="O1701" s="66"/>
      <c r="P1701" s="66"/>
      <c r="Q1701" s="66"/>
      <c r="R1701" s="165"/>
    </row>
    <row r="1702" spans="1:18" ht="14.25" thickTop="1" thickBot="1" x14ac:dyDescent="0.25">
      <c r="A1702" s="74"/>
      <c r="B1702" s="74"/>
      <c r="C1702" s="74"/>
      <c r="D1702" s="74"/>
      <c r="E1702" s="660"/>
      <c r="F1702" s="137"/>
      <c r="G1702" s="74"/>
      <c r="H1702" s="2507"/>
      <c r="I1702" s="99"/>
      <c r="J1702" s="99"/>
      <c r="K1702" s="99"/>
      <c r="L1702" s="99"/>
      <c r="M1702" s="99"/>
      <c r="N1702" s="99"/>
      <c r="O1702" s="99"/>
      <c r="P1702" s="99"/>
      <c r="Q1702" s="99"/>
      <c r="R1702" s="99"/>
    </row>
    <row r="1703" spans="1:18" s="91" customFormat="1" ht="18.75" customHeight="1" thickTop="1" thickBot="1" x14ac:dyDescent="0.3">
      <c r="A1703" s="2865" t="s">
        <v>3312</v>
      </c>
      <c r="B1703" s="2866"/>
      <c r="C1703" s="2866"/>
      <c r="D1703" s="2866"/>
      <c r="E1703" s="2866"/>
      <c r="F1703" s="2866"/>
      <c r="G1703" s="2866"/>
      <c r="H1703" s="2866"/>
      <c r="I1703" s="2866"/>
      <c r="J1703" s="2866"/>
      <c r="K1703" s="2866"/>
      <c r="L1703" s="2866"/>
      <c r="M1703" s="2866"/>
      <c r="N1703" s="2866"/>
      <c r="O1703" s="2866"/>
      <c r="P1703" s="2866"/>
      <c r="Q1703" s="2866"/>
      <c r="R1703" s="2867"/>
    </row>
    <row r="1704" spans="1:18" s="44" customFormat="1" x14ac:dyDescent="0.2">
      <c r="A1704" s="2848" t="s">
        <v>1856</v>
      </c>
      <c r="B1704" s="2840"/>
      <c r="C1704" s="2840"/>
      <c r="D1704" s="2849"/>
      <c r="E1704" s="369" t="s">
        <v>2663</v>
      </c>
      <c r="F1704" s="2649" t="s">
        <v>2251</v>
      </c>
      <c r="G1704" s="2885" t="s">
        <v>2253</v>
      </c>
      <c r="H1704" s="2886"/>
      <c r="I1704" s="2886"/>
      <c r="J1704" s="2886"/>
      <c r="K1704" s="2886"/>
      <c r="L1704" s="2886"/>
      <c r="M1704" s="2886"/>
      <c r="N1704" s="2886"/>
      <c r="O1704" s="2886"/>
      <c r="P1704" s="2886"/>
      <c r="Q1704" s="2886"/>
      <c r="R1704" s="2887"/>
    </row>
    <row r="1705" spans="1:18" s="23" customFormat="1" ht="12.75" customHeight="1" thickBot="1" x14ac:dyDescent="0.25">
      <c r="A1705" s="208" t="str">
        <f>A3</f>
        <v>2012/13</v>
      </c>
      <c r="B1705" s="75" t="str">
        <f>B3</f>
        <v>2013/14</v>
      </c>
      <c r="C1705" s="370" t="str">
        <f>C3</f>
        <v>2014/15</v>
      </c>
      <c r="D1705" s="93" t="str">
        <f>D3</f>
        <v>2015/16</v>
      </c>
      <c r="E1705" s="370" t="s">
        <v>2664</v>
      </c>
      <c r="F1705" s="42"/>
      <c r="G1705" s="93" t="str">
        <f>G3</f>
        <v>2016/17</v>
      </c>
      <c r="H1705" s="2193" t="str">
        <f>H1272</f>
        <v>%</v>
      </c>
      <c r="I1705" s="370" t="str">
        <f t="shared" ref="I1705:R1705" si="1526">I3</f>
        <v>2017/18</v>
      </c>
      <c r="J1705" s="370" t="str">
        <f t="shared" si="1526"/>
        <v>2018/19</v>
      </c>
      <c r="K1705" s="370" t="str">
        <f t="shared" si="1526"/>
        <v>2019/20</v>
      </c>
      <c r="L1705" s="370" t="str">
        <f t="shared" si="1526"/>
        <v>2020/21</v>
      </c>
      <c r="M1705" s="370" t="str">
        <f t="shared" si="1526"/>
        <v>2021/22</v>
      </c>
      <c r="N1705" s="370" t="str">
        <f t="shared" si="1526"/>
        <v>2022/23</v>
      </c>
      <c r="O1705" s="370" t="str">
        <f t="shared" si="1526"/>
        <v>2023/24</v>
      </c>
      <c r="P1705" s="370" t="str">
        <f t="shared" si="1526"/>
        <v>2024/25</v>
      </c>
      <c r="Q1705" s="218" t="str">
        <f t="shared" si="1526"/>
        <v>2025/26</v>
      </c>
      <c r="R1705" s="549" t="str">
        <f t="shared" si="1526"/>
        <v>2026/27</v>
      </c>
    </row>
    <row r="1706" spans="1:18" x14ac:dyDescent="0.2">
      <c r="A1706" s="98"/>
      <c r="B1706" s="33"/>
      <c r="C1706" s="187"/>
      <c r="D1706" s="187"/>
      <c r="E1706" s="1954"/>
      <c r="F1706" s="76"/>
      <c r="G1706" s="187"/>
      <c r="H1706" s="138"/>
      <c r="I1706" s="33"/>
      <c r="J1706" s="33"/>
      <c r="K1706" s="33"/>
      <c r="L1706" s="33"/>
      <c r="M1706" s="33"/>
      <c r="N1706" s="33"/>
      <c r="O1706" s="33"/>
      <c r="P1706" s="33"/>
      <c r="Q1706" s="33"/>
      <c r="R1706" s="114"/>
    </row>
    <row r="1707" spans="1:18" x14ac:dyDescent="0.2">
      <c r="A1707" s="98"/>
      <c r="B1707" s="33"/>
      <c r="C1707" s="187"/>
      <c r="D1707" s="187"/>
      <c r="E1707" s="1954"/>
      <c r="F1707" s="103" t="s">
        <v>1073</v>
      </c>
      <c r="G1707" s="187"/>
      <c r="H1707" s="138"/>
      <c r="I1707" s="33"/>
      <c r="J1707" s="33"/>
      <c r="K1707" s="33"/>
      <c r="L1707" s="33"/>
      <c r="M1707" s="33"/>
      <c r="N1707" s="33"/>
      <c r="O1707" s="33"/>
      <c r="P1707" s="33"/>
      <c r="Q1707" s="33"/>
      <c r="R1707" s="114"/>
    </row>
    <row r="1708" spans="1:18" ht="12" customHeight="1" x14ac:dyDescent="0.2">
      <c r="A1708" s="98"/>
      <c r="B1708" s="33"/>
      <c r="E1708" s="1954"/>
      <c r="F1708" s="76"/>
      <c r="G1708" s="187"/>
      <c r="H1708" s="138"/>
      <c r="I1708" s="33"/>
      <c r="J1708" s="33"/>
      <c r="K1708" s="33"/>
      <c r="L1708" s="33"/>
      <c r="M1708" s="33"/>
      <c r="N1708" s="33"/>
      <c r="O1708" s="33"/>
      <c r="P1708" s="33"/>
      <c r="Q1708" s="33"/>
      <c r="R1708" s="114"/>
    </row>
    <row r="1709" spans="1:18" x14ac:dyDescent="0.2">
      <c r="A1709" s="98"/>
      <c r="B1709" s="33"/>
      <c r="E1709" s="1954"/>
      <c r="F1709" s="79" t="s">
        <v>1815</v>
      </c>
      <c r="G1709" s="187"/>
      <c r="H1709" s="138"/>
      <c r="I1709" s="33"/>
      <c r="J1709" s="33"/>
      <c r="K1709" s="33"/>
      <c r="L1709" s="33"/>
      <c r="M1709" s="33"/>
      <c r="N1709" s="33"/>
      <c r="O1709" s="33"/>
      <c r="P1709" s="33"/>
      <c r="Q1709" s="33"/>
      <c r="R1709" s="114"/>
    </row>
    <row r="1710" spans="1:18" x14ac:dyDescent="0.2">
      <c r="A1710" s="107">
        <v>29500</v>
      </c>
      <c r="B1710" s="33">
        <v>30000</v>
      </c>
      <c r="C1710" s="189">
        <v>33600</v>
      </c>
      <c r="D1710" s="189">
        <v>37400</v>
      </c>
      <c r="E1710" s="658" t="s">
        <v>651</v>
      </c>
      <c r="F1710" s="890" t="s">
        <v>7068</v>
      </c>
      <c r="G1710" s="1011">
        <f>31000+8000</f>
        <v>39000</v>
      </c>
      <c r="H1710" s="138">
        <f>IF(D1710=G1710,0,IF(D1710=0,100,(G1710-D1710)/D1710*100))</f>
        <v>4.2780748663101598</v>
      </c>
      <c r="I1710" s="33">
        <f>ROUNDUP(G1710+(G1710*Assumptions!H$5),-2)</f>
        <v>39600</v>
      </c>
      <c r="J1710" s="33">
        <f>ROUNDUP(I1710+(I1710*Assumptions!I$5),-2)</f>
        <v>40600</v>
      </c>
      <c r="K1710" s="33">
        <f>ROUNDUP(J1710+(J1710*Assumptions!J$5),-2)</f>
        <v>41700</v>
      </c>
      <c r="L1710" s="33">
        <f>ROUNDUP(K1710+(K1710*Assumptions!K$5),-2)</f>
        <v>42800</v>
      </c>
      <c r="M1710" s="33">
        <f>ROUNDUP(L1710+(L1710*Assumptions!L$5),-2)</f>
        <v>43700</v>
      </c>
      <c r="N1710" s="33">
        <f>ROUNDUP(M1710+(M1710*Assumptions!M$5),-2)</f>
        <v>44600</v>
      </c>
      <c r="O1710" s="33">
        <f>ROUNDUP(N1710+(N1710*Assumptions!N$5),-2)</f>
        <v>45500</v>
      </c>
      <c r="P1710" s="33">
        <f>ROUNDUP(O1710+(O1710*Assumptions!O$5),-2)</f>
        <v>46500</v>
      </c>
      <c r="Q1710" s="33">
        <f>ROUNDUP(P1710+(P1710*Assumptions!P$5),-2)</f>
        <v>47500</v>
      </c>
      <c r="R1710" s="114">
        <f>ROUNDUP(Q1710+(Q1710*Assumptions!Q$5),-2)</f>
        <v>48500</v>
      </c>
    </row>
    <row r="1711" spans="1:18" x14ac:dyDescent="0.2">
      <c r="A1711" s="107"/>
      <c r="B1711" s="33"/>
      <c r="E1711" s="1092" t="s">
        <v>7113</v>
      </c>
      <c r="F1711" s="890" t="s">
        <v>7114</v>
      </c>
      <c r="G1711" s="1011">
        <v>9000</v>
      </c>
      <c r="H1711" s="138"/>
      <c r="I1711" s="33">
        <f>ROUNDUP(G1711+(G1711*Assumptions!H$5),-2)</f>
        <v>9200</v>
      </c>
      <c r="J1711" s="33">
        <f>ROUNDUP(I1711+(I1711*Assumptions!I$5),-2)</f>
        <v>9500</v>
      </c>
      <c r="K1711" s="33">
        <f>ROUNDUP(J1711+(J1711*Assumptions!J$5),-2)</f>
        <v>9800</v>
      </c>
      <c r="L1711" s="33">
        <f>ROUNDUP(K1711+(K1711*Assumptions!K$5),-2)</f>
        <v>10100</v>
      </c>
      <c r="M1711" s="33">
        <f>ROUNDUP(L1711+(L1711*Assumptions!L$5),-2)</f>
        <v>10400</v>
      </c>
      <c r="N1711" s="33">
        <f>ROUNDUP(M1711+(M1711*Assumptions!M$5),-2)</f>
        <v>10700</v>
      </c>
      <c r="O1711" s="33">
        <f>ROUNDUP(N1711+(N1711*Assumptions!N$5),-2)</f>
        <v>11000</v>
      </c>
      <c r="P1711" s="33">
        <f>ROUNDUP(O1711+(O1711*Assumptions!O$5),-2)</f>
        <v>11300</v>
      </c>
      <c r="Q1711" s="33">
        <f>ROUNDUP(P1711+(P1711*Assumptions!P$5),-2)</f>
        <v>11600</v>
      </c>
      <c r="R1711" s="114">
        <f>ROUNDUP(Q1711+(Q1711*Assumptions!Q$5),-2)</f>
        <v>11900</v>
      </c>
    </row>
    <row r="1712" spans="1:18" x14ac:dyDescent="0.2">
      <c r="A1712" s="107">
        <v>381000</v>
      </c>
      <c r="B1712" s="33">
        <v>319700</v>
      </c>
      <c r="C1712" s="189">
        <v>218200</v>
      </c>
      <c r="D1712" s="189">
        <v>253700</v>
      </c>
      <c r="E1712" s="658" t="s">
        <v>652</v>
      </c>
      <c r="F1712" s="890" t="s">
        <v>7069</v>
      </c>
      <c r="G1712" s="187">
        <v>16800</v>
      </c>
      <c r="H1712" s="138">
        <f>IF(D1712=G1712,0,IF(D1712=0,100,(G1712-D1712)/D1712*100))</f>
        <v>-93.378005518328735</v>
      </c>
      <c r="I1712" s="33">
        <v>0</v>
      </c>
      <c r="J1712" s="33">
        <f>ROUNDUP(I1712+(I1712*Assumptions!I$5),-2)</f>
        <v>0</v>
      </c>
      <c r="K1712" s="33">
        <f>ROUNDUP(J1712+(J1712*Assumptions!J$5),-2)</f>
        <v>0</v>
      </c>
      <c r="L1712" s="33">
        <f>ROUNDUP(K1712+(K1712*Assumptions!K$5),-2)</f>
        <v>0</v>
      </c>
      <c r="M1712" s="33">
        <f>ROUNDUP(L1712+(L1712*Assumptions!L$5),-2)</f>
        <v>0</v>
      </c>
      <c r="N1712" s="33">
        <f>ROUNDUP(M1712+(M1712*Assumptions!M$5),-2)</f>
        <v>0</v>
      </c>
      <c r="O1712" s="33">
        <f>ROUNDUP(N1712+(N1712*Assumptions!N$5),-2)</f>
        <v>0</v>
      </c>
      <c r="P1712" s="33">
        <f>ROUNDUP(O1712+(O1712*Assumptions!O$5),-2)</f>
        <v>0</v>
      </c>
      <c r="Q1712" s="33">
        <f>ROUNDUP(P1712+(P1712*Assumptions!P$5),-2)</f>
        <v>0</v>
      </c>
      <c r="R1712" s="114">
        <f>ROUNDUP(Q1712+(Q1712*Assumptions!Q$5),-2)</f>
        <v>0</v>
      </c>
    </row>
    <row r="1713" spans="1:18" x14ac:dyDescent="0.2">
      <c r="A1713" s="107">
        <v>0</v>
      </c>
      <c r="B1713" s="33">
        <v>0</v>
      </c>
      <c r="C1713" s="189">
        <v>0</v>
      </c>
      <c r="D1713" s="189">
        <v>33000</v>
      </c>
      <c r="E1713" s="1092" t="s">
        <v>5932</v>
      </c>
      <c r="F1713" s="890" t="s">
        <v>7070</v>
      </c>
      <c r="G1713" s="187">
        <v>0</v>
      </c>
      <c r="H1713" s="138">
        <f>IF(D1713=G1713,0,IF(D1713=0,100,(G1713-D1713)/D1713*100))</f>
        <v>-100</v>
      </c>
      <c r="I1713" s="33">
        <v>0</v>
      </c>
      <c r="J1713" s="33">
        <f>ROUNDUP(I1713+(I1713*Assumptions!I$5),-2)</f>
        <v>0</v>
      </c>
      <c r="K1713" s="33">
        <f>ROUNDUP(J1713+(J1713*Assumptions!J$5),-2)</f>
        <v>0</v>
      </c>
      <c r="L1713" s="33">
        <f>ROUNDUP(K1713+(K1713*Assumptions!K$5),-2)</f>
        <v>0</v>
      </c>
      <c r="M1713" s="33">
        <f>ROUNDUP(L1713+(L1713*Assumptions!L$5),-2)</f>
        <v>0</v>
      </c>
      <c r="N1713" s="33">
        <f>ROUNDUP(M1713+(M1713*Assumptions!M$5),-2)</f>
        <v>0</v>
      </c>
      <c r="O1713" s="33">
        <f>ROUNDUP(N1713+(N1713*Assumptions!N$5),-2)</f>
        <v>0</v>
      </c>
      <c r="P1713" s="33">
        <f>ROUNDUP(O1713+(O1713*Assumptions!O$5),-2)</f>
        <v>0</v>
      </c>
      <c r="Q1713" s="33">
        <f>ROUNDUP(P1713+(P1713*Assumptions!P$5),-2)</f>
        <v>0</v>
      </c>
      <c r="R1713" s="114">
        <f>ROUNDUP(Q1713+(Q1713*Assumptions!Q$5),-2)</f>
        <v>0</v>
      </c>
    </row>
    <row r="1714" spans="1:18" x14ac:dyDescent="0.2">
      <c r="A1714" s="107"/>
      <c r="B1714" s="33"/>
      <c r="E1714" s="658"/>
      <c r="F1714" s="76"/>
      <c r="G1714" s="187"/>
      <c r="H1714" s="138"/>
      <c r="I1714" s="33"/>
      <c r="J1714" s="33"/>
      <c r="K1714" s="33"/>
      <c r="L1714" s="33"/>
      <c r="M1714" s="33"/>
      <c r="N1714" s="33"/>
      <c r="O1714" s="33"/>
      <c r="P1714" s="33"/>
      <c r="Q1714" s="33"/>
      <c r="R1714" s="114"/>
    </row>
    <row r="1715" spans="1:18" x14ac:dyDescent="0.2">
      <c r="A1715" s="107"/>
      <c r="B1715" s="33"/>
      <c r="E1715" s="688"/>
      <c r="F1715" s="79" t="s">
        <v>2217</v>
      </c>
      <c r="G1715" s="187"/>
      <c r="H1715" s="138"/>
      <c r="I1715" s="33"/>
      <c r="J1715" s="33"/>
      <c r="K1715" s="33"/>
      <c r="L1715" s="33"/>
      <c r="M1715" s="33"/>
      <c r="N1715" s="33"/>
      <c r="O1715" s="33"/>
      <c r="P1715" s="33"/>
      <c r="Q1715" s="33"/>
      <c r="R1715" s="114"/>
    </row>
    <row r="1716" spans="1:18" x14ac:dyDescent="0.2">
      <c r="A1716" s="107">
        <v>0</v>
      </c>
      <c r="B1716" s="33">
        <v>0</v>
      </c>
      <c r="C1716" s="189">
        <v>0</v>
      </c>
      <c r="D1716" s="189">
        <f>ROUNDUP(C1716+(C1716*Assumptions!F$5),-2)</f>
        <v>0</v>
      </c>
      <c r="E1716" s="688"/>
      <c r="F1716" s="77" t="s">
        <v>2883</v>
      </c>
      <c r="G1716" s="187">
        <v>0</v>
      </c>
      <c r="H1716" s="138">
        <f>IF(D1716=G1716,0,IF(D1716=0,100,(G1716-D1716)/D1716*100))</f>
        <v>0</v>
      </c>
      <c r="I1716" s="33">
        <f>ROUNDUP(G1716+(G1716*Assumptions!H$5),-2)</f>
        <v>0</v>
      </c>
      <c r="J1716" s="33">
        <f>ROUNDUP(I1716+(I1716*Assumptions!I$5),-2)</f>
        <v>0</v>
      </c>
      <c r="K1716" s="33">
        <f>ROUNDUP(J1716+(J1716*Assumptions!J$5),-2)</f>
        <v>0</v>
      </c>
      <c r="L1716" s="33">
        <f>ROUNDUP(K1716+(K1716*Assumptions!K$5),-2)</f>
        <v>0</v>
      </c>
      <c r="M1716" s="33">
        <f>ROUNDUP(L1716+(L1716*Assumptions!L$5),-2)</f>
        <v>0</v>
      </c>
      <c r="N1716" s="33">
        <f>ROUNDUP(M1716+(M1716*Assumptions!M$5),-2)</f>
        <v>0</v>
      </c>
      <c r="O1716" s="33">
        <f>ROUNDUP(N1716+(N1716*Assumptions!N$5),-2)</f>
        <v>0</v>
      </c>
      <c r="P1716" s="33">
        <f>ROUNDUP(O1716+(O1716*Assumptions!O$5),-2)</f>
        <v>0</v>
      </c>
      <c r="Q1716" s="33">
        <f>ROUNDUP(P1716+(P1716*Assumptions!P$5),-2)</f>
        <v>0</v>
      </c>
      <c r="R1716" s="114">
        <f>ROUNDUP(Q1716+(Q1716*Assumptions!Q$5),-2)</f>
        <v>0</v>
      </c>
    </row>
    <row r="1717" spans="1:18" x14ac:dyDescent="0.2">
      <c r="A1717" s="107"/>
      <c r="B1717" s="33"/>
      <c r="E1717" s="688"/>
      <c r="F1717" s="77"/>
      <c r="G1717" s="187"/>
      <c r="H1717" s="138"/>
      <c r="I1717" s="33"/>
      <c r="J1717" s="33"/>
      <c r="K1717" s="33"/>
      <c r="L1717" s="33"/>
      <c r="M1717" s="33"/>
      <c r="N1717" s="33"/>
      <c r="O1717" s="33"/>
      <c r="P1717" s="33"/>
      <c r="Q1717" s="33"/>
      <c r="R1717" s="114"/>
    </row>
    <row r="1718" spans="1:18" x14ac:dyDescent="0.2">
      <c r="A1718" s="107"/>
      <c r="B1718" s="33"/>
      <c r="E1718" s="688"/>
      <c r="F1718" s="2529" t="s">
        <v>5470</v>
      </c>
      <c r="G1718" s="187"/>
      <c r="H1718" s="138"/>
      <c r="I1718" s="33"/>
      <c r="J1718" s="33"/>
      <c r="K1718" s="33"/>
      <c r="L1718" s="33"/>
      <c r="M1718" s="33"/>
      <c r="N1718" s="33"/>
      <c r="O1718" s="33"/>
      <c r="P1718" s="33"/>
      <c r="Q1718" s="33"/>
      <c r="R1718" s="114"/>
    </row>
    <row r="1719" spans="1:18" x14ac:dyDescent="0.2">
      <c r="A1719" s="107">
        <v>0</v>
      </c>
      <c r="B1719" s="33">
        <v>0</v>
      </c>
      <c r="C1719" s="189">
        <v>223900</v>
      </c>
      <c r="D1719" s="189">
        <v>53100</v>
      </c>
      <c r="E1719" s="1304" t="s">
        <v>5469</v>
      </c>
      <c r="F1719" s="77" t="s">
        <v>5468</v>
      </c>
      <c r="G1719" s="187">
        <v>0</v>
      </c>
      <c r="H1719" s="138">
        <f>IF(D1719=G1719,0,IF(D1719=0,100,(G1719-D1719)/D1719*100))</f>
        <v>-100</v>
      </c>
      <c r="I1719" s="33">
        <f>ROUNDUP(G1719+(G1719*Assumptions!H$5),-2)</f>
        <v>0</v>
      </c>
      <c r="J1719" s="33">
        <f>ROUNDUP(I1719+(I1719*Assumptions!I$5),-2)</f>
        <v>0</v>
      </c>
      <c r="K1719" s="33">
        <f>ROUNDUP(J1719+(J1719*Assumptions!J$5),-2)</f>
        <v>0</v>
      </c>
      <c r="L1719" s="33">
        <f>ROUNDUP(K1719+(K1719*Assumptions!K$5),-2)</f>
        <v>0</v>
      </c>
      <c r="M1719" s="33">
        <f>ROUNDUP(L1719+(L1719*Assumptions!L$5),-2)</f>
        <v>0</v>
      </c>
      <c r="N1719" s="33">
        <f>ROUNDUP(M1719+(M1719*Assumptions!M$5),-2)</f>
        <v>0</v>
      </c>
      <c r="O1719" s="33">
        <f>ROUNDUP(N1719+(N1719*Assumptions!N$5),-2)</f>
        <v>0</v>
      </c>
      <c r="P1719" s="33">
        <f>ROUNDUP(O1719+(O1719*Assumptions!O$5),-2)</f>
        <v>0</v>
      </c>
      <c r="Q1719" s="33">
        <f>ROUNDUP(P1719+(P1719*Assumptions!P$5),-2)</f>
        <v>0</v>
      </c>
      <c r="R1719" s="114">
        <f>ROUNDUP(Q1719+(Q1719*Assumptions!Q$5),-2)</f>
        <v>0</v>
      </c>
    </row>
    <row r="1720" spans="1:18" ht="13.5" thickBot="1" x14ac:dyDescent="0.25">
      <c r="A1720" s="107"/>
      <c r="B1720" s="33"/>
      <c r="C1720" s="187"/>
      <c r="D1720" s="187"/>
      <c r="E1720" s="1954"/>
      <c r="F1720" s="76"/>
      <c r="G1720" s="2604"/>
      <c r="H1720" s="138"/>
      <c r="I1720" s="33"/>
      <c r="J1720" s="33"/>
      <c r="K1720" s="33"/>
      <c r="L1720" s="33"/>
      <c r="M1720" s="33"/>
      <c r="N1720" s="33"/>
      <c r="O1720" s="33"/>
      <c r="P1720" s="33"/>
      <c r="Q1720" s="33"/>
      <c r="R1720" s="114"/>
    </row>
    <row r="1721" spans="1:18" s="92" customFormat="1" x14ac:dyDescent="0.2">
      <c r="A1721" s="105">
        <f>SUM(A1707:A1720)</f>
        <v>410500</v>
      </c>
      <c r="B1721" s="53">
        <f>SUM(B1707:B1720)</f>
        <v>349700</v>
      </c>
      <c r="C1721" s="199">
        <f>SUM(C1707:C1720)</f>
        <v>475700</v>
      </c>
      <c r="D1721" s="199">
        <f>SUM(D1707:D1720)</f>
        <v>377200</v>
      </c>
      <c r="E1721" s="236"/>
      <c r="F1721" s="1960" t="s">
        <v>2605</v>
      </c>
      <c r="G1721" s="199">
        <f t="shared" ref="G1721:O1721" si="1527">SUM(G1707:G1720)</f>
        <v>64800</v>
      </c>
      <c r="H1721" s="180">
        <f>IF(D1721=G1721,0,IF(D1721=0,100,(G1721-D1721)/D1721*100))</f>
        <v>-82.820784729586421</v>
      </c>
      <c r="I1721" s="53">
        <f t="shared" si="1527"/>
        <v>48800</v>
      </c>
      <c r="J1721" s="53">
        <f t="shared" si="1527"/>
        <v>50100</v>
      </c>
      <c r="K1721" s="53">
        <f t="shared" si="1527"/>
        <v>51500</v>
      </c>
      <c r="L1721" s="53">
        <f t="shared" si="1527"/>
        <v>52900</v>
      </c>
      <c r="M1721" s="53">
        <f t="shared" si="1527"/>
        <v>54100</v>
      </c>
      <c r="N1721" s="53">
        <f t="shared" si="1527"/>
        <v>55300</v>
      </c>
      <c r="O1721" s="53">
        <f t="shared" si="1527"/>
        <v>56500</v>
      </c>
      <c r="P1721" s="53">
        <f t="shared" ref="P1721:Q1721" si="1528">SUM(P1707:P1720)</f>
        <v>57800</v>
      </c>
      <c r="Q1721" s="53">
        <f t="shared" si="1528"/>
        <v>59100</v>
      </c>
      <c r="R1721" s="113">
        <f t="shared" ref="R1721" si="1529">SUM(R1707:R1720)</f>
        <v>60400</v>
      </c>
    </row>
    <row r="1722" spans="1:18" x14ac:dyDescent="0.2">
      <c r="A1722" s="98"/>
      <c r="B1722" s="33"/>
      <c r="C1722" s="187"/>
      <c r="D1722" s="187"/>
      <c r="E1722" s="1954"/>
      <c r="F1722" s="79"/>
      <c r="G1722" s="187"/>
      <c r="H1722" s="138"/>
      <c r="I1722" s="33"/>
      <c r="J1722" s="33"/>
      <c r="K1722" s="33"/>
      <c r="L1722" s="33"/>
      <c r="M1722" s="33"/>
      <c r="N1722" s="33"/>
      <c r="O1722" s="33"/>
      <c r="P1722" s="33"/>
      <c r="Q1722" s="33"/>
      <c r="R1722" s="114"/>
    </row>
    <row r="1723" spans="1:18" x14ac:dyDescent="0.2">
      <c r="A1723" s="98"/>
      <c r="B1723" s="33"/>
      <c r="C1723" s="187"/>
      <c r="D1723" s="187"/>
      <c r="E1723" s="1954"/>
      <c r="F1723" s="103" t="s">
        <v>2205</v>
      </c>
      <c r="G1723" s="187"/>
      <c r="H1723" s="138"/>
      <c r="I1723" s="33"/>
      <c r="J1723" s="33"/>
      <c r="K1723" s="33"/>
      <c r="L1723" s="33"/>
      <c r="M1723" s="33"/>
      <c r="N1723" s="33"/>
      <c r="O1723" s="33"/>
      <c r="P1723" s="33"/>
      <c r="Q1723" s="33"/>
      <c r="R1723" s="114"/>
    </row>
    <row r="1724" spans="1:18" x14ac:dyDescent="0.2">
      <c r="A1724" s="98"/>
      <c r="B1724" s="33"/>
      <c r="C1724" s="187"/>
      <c r="D1724" s="187"/>
      <c r="E1724" s="1954"/>
      <c r="F1724" s="103"/>
      <c r="G1724" s="187"/>
      <c r="H1724" s="138"/>
      <c r="I1724" s="33"/>
      <c r="J1724" s="33"/>
      <c r="K1724" s="33"/>
      <c r="L1724" s="33"/>
      <c r="M1724" s="33"/>
      <c r="N1724" s="33"/>
      <c r="O1724" s="33"/>
      <c r="P1724" s="33"/>
      <c r="Q1724" s="33"/>
      <c r="R1724" s="114"/>
    </row>
    <row r="1725" spans="1:18" x14ac:dyDescent="0.2">
      <c r="A1725" s="98"/>
      <c r="B1725" s="33"/>
      <c r="E1725" s="1954"/>
      <c r="F1725" s="175" t="s">
        <v>241</v>
      </c>
      <c r="G1725" s="187"/>
      <c r="H1725" s="138"/>
      <c r="I1725" s="33"/>
      <c r="J1725" s="33"/>
      <c r="K1725" s="33"/>
      <c r="L1725" s="33"/>
      <c r="M1725" s="33"/>
      <c r="N1725" s="33"/>
      <c r="O1725" s="33"/>
      <c r="P1725" s="33"/>
      <c r="Q1725" s="33"/>
      <c r="R1725" s="114"/>
    </row>
    <row r="1726" spans="1:18" x14ac:dyDescent="0.2">
      <c r="A1726" s="107">
        <v>2500</v>
      </c>
      <c r="B1726" s="33">
        <v>1500</v>
      </c>
      <c r="C1726" s="189">
        <v>4300</v>
      </c>
      <c r="D1726" s="189">
        <v>300</v>
      </c>
      <c r="E1726" s="658" t="s">
        <v>653</v>
      </c>
      <c r="F1726" s="3" t="s">
        <v>235</v>
      </c>
      <c r="G1726" s="187">
        <v>4200</v>
      </c>
      <c r="H1726" s="138">
        <f>IF(D1726=G1726,0,IF(D1726=0,100,(G1726-D1726)/D1726*100))</f>
        <v>1300</v>
      </c>
      <c r="I1726" s="33">
        <f>ROUNDUP(G1726+(G1726*Assumptions!H$5),-2)</f>
        <v>4300</v>
      </c>
      <c r="J1726" s="33">
        <f>ROUNDUP(I1726+(I1726*Assumptions!I$5),-2)</f>
        <v>4500</v>
      </c>
      <c r="K1726" s="33">
        <f>ROUNDUP(J1726+(J1726*Assumptions!J$5),-2)</f>
        <v>4700</v>
      </c>
      <c r="L1726" s="33">
        <f>ROUNDUP(K1726+(K1726*Assumptions!K$5),-2)</f>
        <v>4900</v>
      </c>
      <c r="M1726" s="33">
        <f>ROUNDUP(L1726+(L1726*Assumptions!L$5),-2)</f>
        <v>5000</v>
      </c>
      <c r="N1726" s="33">
        <f>ROUNDUP(M1726+(M1726*Assumptions!M$5),-2)</f>
        <v>5100</v>
      </c>
      <c r="O1726" s="33">
        <f>ROUNDUP(N1726+(N1726*Assumptions!N$5),-2)</f>
        <v>5300</v>
      </c>
      <c r="P1726" s="33">
        <f>ROUNDUP(O1726+(O1726*Assumptions!O$5),-2)</f>
        <v>5500</v>
      </c>
      <c r="Q1726" s="33">
        <f>ROUNDUP(P1726+(P1726*Assumptions!P$5),-2)</f>
        <v>5700</v>
      </c>
      <c r="R1726" s="114">
        <f>ROUNDUP(Q1726+(Q1726*Assumptions!Q$5),-2)</f>
        <v>5900</v>
      </c>
    </row>
    <row r="1727" spans="1:18" x14ac:dyDescent="0.2">
      <c r="A1727" s="107">
        <v>9700</v>
      </c>
      <c r="B1727" s="33">
        <v>1300</v>
      </c>
      <c r="C1727" s="189">
        <v>1700</v>
      </c>
      <c r="D1727" s="189">
        <v>800</v>
      </c>
      <c r="E1727" s="658" t="s">
        <v>80</v>
      </c>
      <c r="F1727" s="890" t="s">
        <v>676</v>
      </c>
      <c r="G1727" s="187">
        <v>2000</v>
      </c>
      <c r="H1727" s="138">
        <f>IF(D1727=G1727,0,IF(D1727=0,100,(G1727-D1727)/D1727*100))</f>
        <v>150</v>
      </c>
      <c r="I1727" s="33">
        <f>ROUNDUP(G1727+(G1727*Assumptions!H$5),-2)</f>
        <v>2100</v>
      </c>
      <c r="J1727" s="33">
        <f>ROUNDUP(I1727+(I1727*Assumptions!I$5),-2)</f>
        <v>2200</v>
      </c>
      <c r="K1727" s="33">
        <f>ROUNDUP(J1727+(J1727*Assumptions!J$5),-2)</f>
        <v>2300</v>
      </c>
      <c r="L1727" s="33">
        <f>ROUNDUP(K1727+(K1727*Assumptions!K$5),-2)</f>
        <v>2400</v>
      </c>
      <c r="M1727" s="33">
        <f>ROUNDUP(L1727+(L1727*Assumptions!L$5),-2)</f>
        <v>2500</v>
      </c>
      <c r="N1727" s="33">
        <f>ROUNDUP(M1727+(M1727*Assumptions!M$5),-2)</f>
        <v>2600</v>
      </c>
      <c r="O1727" s="33">
        <f>ROUNDUP(N1727+(N1727*Assumptions!N$5),-2)</f>
        <v>2700</v>
      </c>
      <c r="P1727" s="33">
        <f>ROUNDUP(O1727+(O1727*Assumptions!O$5),-2)</f>
        <v>2800</v>
      </c>
      <c r="Q1727" s="33">
        <f>ROUNDUP(P1727+(P1727*Assumptions!P$5),-2)</f>
        <v>2900</v>
      </c>
      <c r="R1727" s="114">
        <f>ROUNDUP(Q1727+(Q1727*Assumptions!Q$5),-2)</f>
        <v>3000</v>
      </c>
    </row>
    <row r="1728" spans="1:18" x14ac:dyDescent="0.2">
      <c r="A1728" s="98">
        <v>28100</v>
      </c>
      <c r="B1728" s="33">
        <v>5400</v>
      </c>
      <c r="C1728" s="1012">
        <v>121900</v>
      </c>
      <c r="D1728" s="189">
        <v>32600</v>
      </c>
      <c r="E1728" s="1092" t="s">
        <v>3281</v>
      </c>
      <c r="F1728" s="890" t="s">
        <v>3282</v>
      </c>
      <c r="G1728" s="187">
        <f>140000+120000-16000</f>
        <v>244000</v>
      </c>
      <c r="H1728" s="138">
        <f>IF(D1728=G1728,0,IF(D1728=0,100,(G1728-D1728)/D1728*100))</f>
        <v>648.46625766871171</v>
      </c>
      <c r="I1728" s="33">
        <v>0</v>
      </c>
      <c r="J1728" s="33">
        <f>ROUNDUP(I1728+(I1728*Assumptions!I$5),-2)</f>
        <v>0</v>
      </c>
      <c r="K1728" s="33">
        <f>ROUNDUP(J1728+(J1728*Assumptions!J$5),-2)</f>
        <v>0</v>
      </c>
      <c r="L1728" s="33">
        <f>ROUNDUP(K1728+(K1728*Assumptions!K$5),-2)</f>
        <v>0</v>
      </c>
      <c r="M1728" s="33">
        <f>ROUNDUP(L1728+(L1728*Assumptions!L$5),-2)</f>
        <v>0</v>
      </c>
      <c r="N1728" s="33">
        <f>ROUNDUP(M1728+(M1728*Assumptions!M$5),-2)</f>
        <v>0</v>
      </c>
      <c r="O1728" s="33">
        <f>ROUNDUP(N1728+(N1728*Assumptions!N$5),-2)</f>
        <v>0</v>
      </c>
      <c r="P1728" s="33">
        <f>ROUNDUP(O1728+(O1728*Assumptions!O$5),-2)</f>
        <v>0</v>
      </c>
      <c r="Q1728" s="33">
        <f>ROUNDUP(P1728+(P1728*Assumptions!P$5),-2)</f>
        <v>0</v>
      </c>
      <c r="R1728" s="114">
        <f>ROUNDUP(Q1728+(Q1728*Assumptions!Q$5),-2)</f>
        <v>0</v>
      </c>
    </row>
    <row r="1729" spans="1:18" x14ac:dyDescent="0.2">
      <c r="A1729" s="98"/>
      <c r="B1729" s="33"/>
      <c r="C1729" s="1012"/>
      <c r="E1729" s="1092" t="s">
        <v>7111</v>
      </c>
      <c r="F1729" s="1099" t="s">
        <v>7112</v>
      </c>
      <c r="G1729" s="187">
        <v>16000</v>
      </c>
      <c r="H1729" s="138">
        <f>IF(D1729=G1729,0,IF(D1729=0,100,(G1729-D1729)/D1729*100))</f>
        <v>100</v>
      </c>
      <c r="I1729" s="33">
        <v>0</v>
      </c>
      <c r="J1729" s="33">
        <f>ROUNDUP(I1729+(I1729*Assumptions!I$5),-2)</f>
        <v>0</v>
      </c>
      <c r="K1729" s="33">
        <f>ROUNDUP(J1729+(J1729*Assumptions!J$5),-2)</f>
        <v>0</v>
      </c>
      <c r="L1729" s="33">
        <f>ROUNDUP(K1729+(K1729*Assumptions!K$5),-2)</f>
        <v>0</v>
      </c>
      <c r="M1729" s="33">
        <f>ROUNDUP(L1729+(L1729*Assumptions!L$5),-2)</f>
        <v>0</v>
      </c>
      <c r="N1729" s="33">
        <f>ROUNDUP(M1729+(M1729*Assumptions!M$5),-2)</f>
        <v>0</v>
      </c>
      <c r="O1729" s="33">
        <f>ROUNDUP(N1729+(N1729*Assumptions!N$5),-2)</f>
        <v>0</v>
      </c>
      <c r="P1729" s="33">
        <f>ROUNDUP(O1729+(O1729*Assumptions!O$5),-2)</f>
        <v>0</v>
      </c>
      <c r="Q1729" s="33">
        <f>ROUNDUP(P1729+(P1729*Assumptions!P$5),-2)</f>
        <v>0</v>
      </c>
      <c r="R1729" s="114">
        <f>ROUNDUP(Q1729+(Q1729*Assumptions!Q$5),-2)</f>
        <v>0</v>
      </c>
    </row>
    <row r="1730" spans="1:18" x14ac:dyDescent="0.2">
      <c r="A1730" s="98"/>
      <c r="B1730" s="33"/>
      <c r="E1730" s="658"/>
      <c r="F1730" s="3"/>
      <c r="G1730" s="187"/>
      <c r="H1730" s="138"/>
      <c r="I1730" s="33"/>
      <c r="J1730" s="33"/>
      <c r="K1730" s="33"/>
      <c r="L1730" s="33"/>
      <c r="M1730" s="33"/>
      <c r="N1730" s="33"/>
      <c r="O1730" s="33"/>
      <c r="P1730" s="33"/>
      <c r="Q1730" s="33"/>
      <c r="R1730" s="114"/>
    </row>
    <row r="1731" spans="1:18" x14ac:dyDescent="0.2">
      <c r="A1731" s="98"/>
      <c r="B1731" s="33"/>
      <c r="E1731" s="688"/>
      <c r="F1731" s="1308" t="s">
        <v>6872</v>
      </c>
      <c r="G1731" s="187"/>
      <c r="H1731" s="138"/>
      <c r="I1731" s="33"/>
      <c r="J1731" s="33"/>
      <c r="K1731" s="33"/>
      <c r="L1731" s="33"/>
      <c r="M1731" s="33"/>
      <c r="N1731" s="33"/>
      <c r="O1731" s="33"/>
      <c r="P1731" s="33"/>
      <c r="Q1731" s="33"/>
      <c r="R1731" s="114"/>
    </row>
    <row r="1732" spans="1:18" x14ac:dyDescent="0.2">
      <c r="A1732" s="98">
        <v>0</v>
      </c>
      <c r="B1732" s="33">
        <v>0</v>
      </c>
      <c r="C1732" s="189">
        <v>0</v>
      </c>
      <c r="D1732" s="189">
        <v>0</v>
      </c>
      <c r="E1732" s="658" t="s">
        <v>6874</v>
      </c>
      <c r="F1732" s="3" t="s">
        <v>6873</v>
      </c>
      <c r="G1732" s="187">
        <v>250000</v>
      </c>
      <c r="H1732" s="138">
        <f>IF(D1732=G1732,0,IF(D1732=0,100,(G1732-D1732)/D1732*100))</f>
        <v>100</v>
      </c>
      <c r="I1732" s="33">
        <v>0</v>
      </c>
      <c r="J1732" s="33">
        <f>ROUNDUP(I1732+(I1732*Assumptions!I$5),-2)</f>
        <v>0</v>
      </c>
      <c r="K1732" s="33">
        <f>ROUNDUP(J1732+(J1732*Assumptions!J$5),-2)</f>
        <v>0</v>
      </c>
      <c r="L1732" s="33">
        <f>ROUNDUP(K1732+(K1732*Assumptions!K$5),-2)</f>
        <v>0</v>
      </c>
      <c r="M1732" s="33">
        <f>ROUNDUP(L1732+(L1732*Assumptions!L$5),-2)</f>
        <v>0</v>
      </c>
      <c r="N1732" s="33">
        <f>ROUNDUP(M1732+(M1732*Assumptions!M$5),-2)</f>
        <v>0</v>
      </c>
      <c r="O1732" s="33">
        <f>ROUNDUP(N1732+(N1732*Assumptions!N$5),-2)</f>
        <v>0</v>
      </c>
      <c r="P1732" s="33">
        <f>ROUNDUP(O1732+(O1732*Assumptions!O$5),-2)</f>
        <v>0</v>
      </c>
      <c r="Q1732" s="33">
        <f>ROUNDUP(P1732+(P1732*Assumptions!P$5),-2)</f>
        <v>0</v>
      </c>
      <c r="R1732" s="114">
        <f>ROUNDUP(Q1732+(Q1732*Assumptions!Q$5),-2)</f>
        <v>0</v>
      </c>
    </row>
    <row r="1733" spans="1:18" s="92" customFormat="1" x14ac:dyDescent="0.2">
      <c r="A1733" s="751"/>
      <c r="B1733" s="64"/>
      <c r="C1733" s="193"/>
      <c r="D1733" s="193"/>
      <c r="E1733" s="236"/>
      <c r="F1733" s="366"/>
      <c r="G1733" s="197"/>
      <c r="H1733" s="138"/>
      <c r="I1733" s="64"/>
      <c r="J1733" s="64"/>
      <c r="K1733" s="64"/>
      <c r="L1733" s="64"/>
      <c r="M1733" s="64"/>
      <c r="N1733" s="64"/>
      <c r="O1733" s="64"/>
      <c r="P1733" s="64"/>
      <c r="Q1733" s="64"/>
      <c r="R1733" s="115"/>
    </row>
    <row r="1734" spans="1:18" s="92" customFormat="1" x14ac:dyDescent="0.2">
      <c r="A1734" s="751"/>
      <c r="B1734" s="64"/>
      <c r="C1734" s="193"/>
      <c r="D1734" s="193"/>
      <c r="E1734" s="236"/>
      <c r="F1734" s="371" t="s">
        <v>2278</v>
      </c>
      <c r="G1734" s="197"/>
      <c r="H1734" s="138"/>
      <c r="I1734" s="64"/>
      <c r="J1734" s="64"/>
      <c r="K1734" s="64"/>
      <c r="L1734" s="64"/>
      <c r="M1734" s="64"/>
      <c r="N1734" s="64"/>
      <c r="O1734" s="64"/>
      <c r="P1734" s="64"/>
      <c r="Q1734" s="64"/>
      <c r="R1734" s="115"/>
    </row>
    <row r="1735" spans="1:18" x14ac:dyDescent="0.2">
      <c r="A1735" s="107">
        <v>10000</v>
      </c>
      <c r="B1735" s="33">
        <v>23000</v>
      </c>
      <c r="C1735" s="189">
        <v>36000</v>
      </c>
      <c r="D1735" s="189">
        <v>51000</v>
      </c>
      <c r="E1735" s="658" t="s">
        <v>2527</v>
      </c>
      <c r="F1735" s="891" t="s">
        <v>3973</v>
      </c>
      <c r="G1735" s="198">
        <f>34000</f>
        <v>34000</v>
      </c>
      <c r="H1735" s="138">
        <f>IF(D1735=G1735,0,IF(D1735=0,100,(G1735-D1735)/D1735*100))</f>
        <v>-33.333333333333329</v>
      </c>
      <c r="I1735" s="33">
        <f>Overheads!I282</f>
        <v>0</v>
      </c>
      <c r="J1735" s="33">
        <f>ROUND(I1735*Assumptions!I$5+CIV!I1735,-2)</f>
        <v>0</v>
      </c>
      <c r="K1735" s="33">
        <f>ROUND(J1735*Assumptions!J$5+CIV!J1735,-2)</f>
        <v>0</v>
      </c>
      <c r="L1735" s="33">
        <f>ROUND(K1735*Assumptions!K$5+CIV!K1735,-2)</f>
        <v>0</v>
      </c>
      <c r="M1735" s="33">
        <f>ROUND(L1735*Assumptions!L$5+CIV!L1735,-2)</f>
        <v>0</v>
      </c>
      <c r="N1735" s="33">
        <f>ROUND(M1735*Assumptions!M$5+CIV!M1735,-2)</f>
        <v>0</v>
      </c>
      <c r="O1735" s="33">
        <f>ROUND(N1735*Assumptions!N$5+CIV!N1735,-2)</f>
        <v>0</v>
      </c>
      <c r="P1735" s="33">
        <f>ROUND(O1735*Assumptions!O$5+CIV!O1735,-2)</f>
        <v>0</v>
      </c>
      <c r="Q1735" s="33">
        <f>ROUND(P1735*Assumptions!P$5+CIV!P1735,-2)</f>
        <v>0</v>
      </c>
      <c r="R1735" s="114">
        <f>ROUND(Q1735*Assumptions!Q$5+CIV!Q1735,-2)</f>
        <v>0</v>
      </c>
    </row>
    <row r="1736" spans="1:18" ht="13.5" customHeight="1" x14ac:dyDescent="0.2">
      <c r="A1736" s="107"/>
      <c r="B1736" s="33"/>
      <c r="E1736" s="445"/>
      <c r="F1736" s="351"/>
      <c r="G1736" s="198"/>
      <c r="H1736" s="138"/>
      <c r="I1736" s="33"/>
      <c r="J1736" s="33"/>
      <c r="K1736" s="33"/>
      <c r="L1736" s="33"/>
      <c r="M1736" s="33"/>
      <c r="N1736" s="33"/>
      <c r="O1736" s="33"/>
      <c r="P1736" s="33"/>
      <c r="Q1736" s="33"/>
      <c r="R1736" s="114"/>
    </row>
    <row r="1737" spans="1:18" x14ac:dyDescent="0.2">
      <c r="A1737" s="98"/>
      <c r="B1737" s="33"/>
      <c r="E1737" s="1954"/>
      <c r="F1737" s="371" t="s">
        <v>2217</v>
      </c>
      <c r="G1737" s="198"/>
      <c r="H1737" s="138"/>
      <c r="I1737" s="33"/>
      <c r="J1737" s="33"/>
      <c r="K1737" s="33"/>
      <c r="L1737" s="33"/>
      <c r="M1737" s="33"/>
      <c r="N1737" s="33"/>
      <c r="O1737" s="33"/>
      <c r="P1737" s="33"/>
      <c r="Q1737" s="33"/>
      <c r="R1737" s="114"/>
    </row>
    <row r="1738" spans="1:18" x14ac:dyDescent="0.2">
      <c r="A1738" s="107">
        <v>13400</v>
      </c>
      <c r="B1738" s="33">
        <v>7300</v>
      </c>
      <c r="C1738" s="189">
        <v>1800</v>
      </c>
      <c r="D1738" s="189">
        <v>0</v>
      </c>
      <c r="E1738" s="658" t="s">
        <v>2529</v>
      </c>
      <c r="F1738" s="351" t="s">
        <v>676</v>
      </c>
      <c r="G1738" s="198">
        <v>2000</v>
      </c>
      <c r="H1738" s="138">
        <f>IF(D1738=G1738,0,IF(D1738=0,100,(G1738-D1738)/D1738*100))</f>
        <v>100</v>
      </c>
      <c r="I1738" s="33">
        <f>ROUNDUP(G1738+(G1738*Assumptions!H$5),-2)</f>
        <v>2100</v>
      </c>
      <c r="J1738" s="33">
        <f>ROUNDUP(I1738+(I1738*Assumptions!I$5),-2)</f>
        <v>2200</v>
      </c>
      <c r="K1738" s="33">
        <f>ROUNDUP(J1738+(J1738*Assumptions!J$5),-2)</f>
        <v>2300</v>
      </c>
      <c r="L1738" s="33">
        <f>ROUNDUP(K1738+(K1738*Assumptions!K$5),-2)</f>
        <v>2400</v>
      </c>
      <c r="M1738" s="33">
        <f>ROUNDUP(L1738+(L1738*Assumptions!L$5),-2)</f>
        <v>2500</v>
      </c>
      <c r="N1738" s="33">
        <f>ROUNDUP(M1738+(M1738*Assumptions!M$5),-2)</f>
        <v>2600</v>
      </c>
      <c r="O1738" s="33">
        <f>ROUNDUP(N1738+(N1738*Assumptions!N$5),-2)</f>
        <v>2700</v>
      </c>
      <c r="P1738" s="33">
        <f>ROUNDUP(O1738+(O1738*Assumptions!O$5),-2)</f>
        <v>2800</v>
      </c>
      <c r="Q1738" s="33">
        <f>ROUNDUP(P1738+(P1738*Assumptions!P$5),-2)</f>
        <v>2900</v>
      </c>
      <c r="R1738" s="114">
        <f>ROUNDUP(Q1738+(Q1738*Assumptions!Q$5),-2)</f>
        <v>3000</v>
      </c>
    </row>
    <row r="1739" spans="1:18" x14ac:dyDescent="0.2">
      <c r="A1739" s="107">
        <v>800</v>
      </c>
      <c r="B1739" s="33">
        <v>600</v>
      </c>
      <c r="C1739" s="189">
        <v>400</v>
      </c>
      <c r="D1739" s="189">
        <v>500</v>
      </c>
      <c r="E1739" s="658" t="s">
        <v>2530</v>
      </c>
      <c r="F1739" s="443" t="s">
        <v>2882</v>
      </c>
      <c r="G1739" s="198">
        <v>1000</v>
      </c>
      <c r="H1739" s="138">
        <f>IF(D1739=G1739,0,IF(D1739=0,100,(G1739-D1739)/D1739*100))</f>
        <v>100</v>
      </c>
      <c r="I1739" s="33">
        <f>ROUNDUP(G1739+(G1739*Assumptions!H$5),-2)</f>
        <v>1100</v>
      </c>
      <c r="J1739" s="33">
        <f>ROUNDUP(I1739+(I1739*Assumptions!I$5),-2)</f>
        <v>1200</v>
      </c>
      <c r="K1739" s="33">
        <f>ROUNDUP(J1739+(J1739*Assumptions!J$5),-2)</f>
        <v>1300</v>
      </c>
      <c r="L1739" s="33">
        <f>ROUNDUP(K1739+(K1739*Assumptions!K$5),-2)</f>
        <v>1400</v>
      </c>
      <c r="M1739" s="33">
        <f>ROUNDUP(L1739+(L1739*Assumptions!L$5),-2)</f>
        <v>1500</v>
      </c>
      <c r="N1739" s="33">
        <f>ROUNDUP(M1739+(M1739*Assumptions!M$5),-2)</f>
        <v>1600</v>
      </c>
      <c r="O1739" s="33">
        <f>ROUNDUP(N1739+(N1739*Assumptions!N$5),-2)</f>
        <v>1700</v>
      </c>
      <c r="P1739" s="33">
        <f>ROUNDUP(O1739+(O1739*Assumptions!O$5),-2)</f>
        <v>1800</v>
      </c>
      <c r="Q1739" s="33">
        <f>ROUNDUP(P1739+(P1739*Assumptions!P$5),-2)</f>
        <v>1900</v>
      </c>
      <c r="R1739" s="114">
        <f>ROUNDUP(Q1739+(Q1739*Assumptions!Q$5),-2)</f>
        <v>2000</v>
      </c>
    </row>
    <row r="1740" spans="1:18" x14ac:dyDescent="0.2">
      <c r="A1740" s="107">
        <v>6900</v>
      </c>
      <c r="B1740" s="33">
        <v>3700</v>
      </c>
      <c r="C1740" s="189">
        <v>9300</v>
      </c>
      <c r="D1740" s="189">
        <v>5400</v>
      </c>
      <c r="E1740" s="658" t="s">
        <v>2687</v>
      </c>
      <c r="F1740" s="814" t="s">
        <v>4830</v>
      </c>
      <c r="G1740" s="198">
        <v>10000</v>
      </c>
      <c r="H1740" s="138">
        <f>IF(D1740=G1740,0,IF(D1740=0,100,(G1740-D1740)/D1740*100))</f>
        <v>85.18518518518519</v>
      </c>
      <c r="I1740" s="33">
        <f>ROUNDUP(G1740+(G1740*Assumptions!H$5),-2)</f>
        <v>10200</v>
      </c>
      <c r="J1740" s="33">
        <f>ROUNDUP(I1740+(I1740*Assumptions!I$5),-2)</f>
        <v>10500</v>
      </c>
      <c r="K1740" s="33">
        <f>ROUNDUP(J1740+(J1740*Assumptions!J$5),-2)</f>
        <v>10800</v>
      </c>
      <c r="L1740" s="33">
        <f>ROUNDUP(K1740+(K1740*Assumptions!K$5),-2)</f>
        <v>11100</v>
      </c>
      <c r="M1740" s="33">
        <f>ROUNDUP(L1740+(L1740*Assumptions!L$5),-2)</f>
        <v>11400</v>
      </c>
      <c r="N1740" s="33">
        <f>ROUNDUP(M1740+(M1740*Assumptions!M$5),-2)</f>
        <v>11700</v>
      </c>
      <c r="O1740" s="33">
        <f>ROUNDUP(N1740+(N1740*Assumptions!N$5),-2)</f>
        <v>12000</v>
      </c>
      <c r="P1740" s="33">
        <f>ROUNDUP(O1740+(O1740*Assumptions!O$5),-2)</f>
        <v>12300</v>
      </c>
      <c r="Q1740" s="33">
        <f>ROUNDUP(P1740+(P1740*Assumptions!P$5),-2)</f>
        <v>12600</v>
      </c>
      <c r="R1740" s="114">
        <f>ROUNDUP(Q1740+(Q1740*Assumptions!Q$5),-2)</f>
        <v>12900</v>
      </c>
    </row>
    <row r="1741" spans="1:18" x14ac:dyDescent="0.2">
      <c r="A1741" s="107"/>
      <c r="B1741" s="33"/>
      <c r="E1741" s="673"/>
      <c r="F1741" s="443"/>
      <c r="G1741" s="198"/>
      <c r="H1741" s="138"/>
      <c r="I1741" s="33"/>
      <c r="J1741" s="33"/>
      <c r="K1741" s="33"/>
      <c r="L1741" s="33"/>
      <c r="M1741" s="33"/>
      <c r="N1741" s="33"/>
      <c r="O1741" s="33"/>
      <c r="P1741" s="33"/>
      <c r="Q1741" s="33"/>
      <c r="R1741" s="114"/>
    </row>
    <row r="1742" spans="1:18" x14ac:dyDescent="0.2">
      <c r="A1742" s="107"/>
      <c r="B1742" s="33"/>
      <c r="E1742" s="673"/>
      <c r="F1742" s="1103" t="s">
        <v>3843</v>
      </c>
      <c r="G1742" s="198"/>
      <c r="H1742" s="138"/>
      <c r="I1742" s="33"/>
      <c r="J1742" s="33"/>
      <c r="K1742" s="33"/>
      <c r="L1742" s="33"/>
      <c r="M1742" s="33"/>
      <c r="N1742" s="33"/>
      <c r="O1742" s="33"/>
      <c r="P1742" s="33"/>
      <c r="Q1742" s="33"/>
      <c r="R1742" s="114"/>
    </row>
    <row r="1743" spans="1:18" x14ac:dyDescent="0.2">
      <c r="A1743" s="107">
        <v>0</v>
      </c>
      <c r="B1743" s="33">
        <v>0</v>
      </c>
      <c r="C1743" s="189">
        <v>0</v>
      </c>
      <c r="D1743" s="189">
        <v>60300</v>
      </c>
      <c r="E1743" s="1098" t="s">
        <v>3280</v>
      </c>
      <c r="F1743" s="814" t="s">
        <v>3570</v>
      </c>
      <c r="G1743" s="198">
        <v>90000</v>
      </c>
      <c r="H1743" s="138">
        <f>IF(D1743=G1743,0,IF(D1743=0,100,(G1743-D1743)/D1743*100))</f>
        <v>49.253731343283583</v>
      </c>
      <c r="I1743" s="33">
        <v>0</v>
      </c>
      <c r="J1743" s="33">
        <f>ROUNDUP(I1743+(I1743*Assumptions!I$5),-2)</f>
        <v>0</v>
      </c>
      <c r="K1743" s="33">
        <f>ROUNDUP(J1743+(J1743*Assumptions!J$5),-2)</f>
        <v>0</v>
      </c>
      <c r="L1743" s="33">
        <f>ROUNDUP(K1743+(K1743*Assumptions!K$5),-2)</f>
        <v>0</v>
      </c>
      <c r="M1743" s="33">
        <f>ROUNDUP(L1743+(L1743*Assumptions!L$5),-2)</f>
        <v>0</v>
      </c>
      <c r="N1743" s="33">
        <f>ROUNDUP(M1743+(M1743*Assumptions!M$5),-2)</f>
        <v>0</v>
      </c>
      <c r="O1743" s="33">
        <f>ROUNDUP(N1743+(N1743*Assumptions!N$5),-2)</f>
        <v>0</v>
      </c>
      <c r="P1743" s="33">
        <f>ROUNDUP(O1743+(O1743*Assumptions!O$5),-2)</f>
        <v>0</v>
      </c>
      <c r="Q1743" s="33">
        <f>ROUNDUP(P1743+(P1743*Assumptions!P$5),-2)</f>
        <v>0</v>
      </c>
      <c r="R1743" s="114">
        <f>ROUNDUP(Q1743+(Q1743*Assumptions!Q$5),-2)</f>
        <v>0</v>
      </c>
    </row>
    <row r="1744" spans="1:18" x14ac:dyDescent="0.2">
      <c r="A1744" s="107">
        <v>0</v>
      </c>
      <c r="B1744" s="33">
        <v>0</v>
      </c>
      <c r="C1744" s="189">
        <v>0</v>
      </c>
      <c r="D1744" s="189">
        <v>0</v>
      </c>
      <c r="E1744" s="1098" t="s">
        <v>7110</v>
      </c>
      <c r="F1744" s="814" t="s">
        <v>6840</v>
      </c>
      <c r="G1744" s="198">
        <v>30000</v>
      </c>
      <c r="H1744" s="138">
        <f>IF(D1744=G1744,0,IF(D1744=0,100,(G1744-D1744)/D1744*100))</f>
        <v>100</v>
      </c>
      <c r="I1744" s="33">
        <v>0</v>
      </c>
      <c r="J1744" s="33">
        <f>ROUNDUP(I1744+(I1744*Assumptions!I$5),-2)</f>
        <v>0</v>
      </c>
      <c r="K1744" s="33">
        <f>ROUNDUP(J1744+(J1744*Assumptions!J$5),-2)</f>
        <v>0</v>
      </c>
      <c r="L1744" s="33">
        <f>ROUNDUP(K1744+(K1744*Assumptions!K$5),-2)</f>
        <v>0</v>
      </c>
      <c r="M1744" s="33">
        <f>ROUNDUP(L1744+(L1744*Assumptions!L$5),-2)</f>
        <v>0</v>
      </c>
      <c r="N1744" s="33">
        <f>ROUNDUP(M1744+(M1744*Assumptions!M$5),-2)</f>
        <v>0</v>
      </c>
      <c r="O1744" s="33">
        <f>ROUNDUP(N1744+(N1744*Assumptions!N$5),-2)</f>
        <v>0</v>
      </c>
      <c r="P1744" s="33">
        <f>ROUNDUP(O1744+(O1744*Assumptions!O$5),-2)</f>
        <v>0</v>
      </c>
      <c r="Q1744" s="33">
        <f>ROUNDUP(P1744+(P1744*Assumptions!P$5),-2)</f>
        <v>0</v>
      </c>
      <c r="R1744" s="114">
        <f>ROUNDUP(Q1744+(Q1744*Assumptions!Q$5),-2)</f>
        <v>0</v>
      </c>
    </row>
    <row r="1745" spans="1:18" x14ac:dyDescent="0.2">
      <c r="A1745" s="107"/>
      <c r="B1745" s="33"/>
      <c r="E1745" s="445"/>
      <c r="F1745" s="351"/>
      <c r="G1745" s="198"/>
      <c r="H1745" s="138"/>
      <c r="I1745" s="33"/>
      <c r="J1745" s="33"/>
      <c r="K1745" s="33"/>
      <c r="L1745" s="33"/>
      <c r="M1745" s="33"/>
      <c r="N1745" s="33"/>
      <c r="O1745" s="33"/>
      <c r="P1745" s="33"/>
      <c r="Q1745" s="33"/>
      <c r="R1745" s="114"/>
    </row>
    <row r="1746" spans="1:18" x14ac:dyDescent="0.2">
      <c r="A1746" s="107"/>
      <c r="B1746" s="33"/>
      <c r="E1746" s="1954"/>
      <c r="F1746" s="175" t="str">
        <f>F101</f>
        <v>Non-Cash Expenses</v>
      </c>
      <c r="G1746" s="2509"/>
      <c r="H1746" s="138"/>
      <c r="I1746" s="33"/>
      <c r="J1746" s="33"/>
      <c r="K1746" s="33"/>
      <c r="L1746" s="33"/>
      <c r="M1746" s="33"/>
      <c r="N1746" s="33"/>
      <c r="O1746" s="33"/>
      <c r="P1746" s="33"/>
      <c r="Q1746" s="33"/>
      <c r="R1746" s="114"/>
    </row>
    <row r="1747" spans="1:18" x14ac:dyDescent="0.2">
      <c r="A1747" s="107">
        <v>9500</v>
      </c>
      <c r="B1747" s="33">
        <f>10600+3500</f>
        <v>14100</v>
      </c>
      <c r="C1747" s="189">
        <f>2000+3500</f>
        <v>5500</v>
      </c>
      <c r="D1747" s="189">
        <v>5600</v>
      </c>
      <c r="E1747" s="658" t="s">
        <v>2528</v>
      </c>
      <c r="F1747" s="76" t="s">
        <v>1760</v>
      </c>
      <c r="G1747" s="2509">
        <v>6000</v>
      </c>
      <c r="H1747" s="138">
        <f>IF(D1747=G1747,0,IF(D1747=0,100,(G1747-D1747)/D1747*100))</f>
        <v>7.1428571428571423</v>
      </c>
      <c r="I1747" s="33">
        <f>ROUNDUP(G1747+(G1747*Assumptions!H$18),-2)</f>
        <v>6200</v>
      </c>
      <c r="J1747" s="33">
        <f>ROUNDUP(I1747+(I1747*Assumptions!I$18),-2)</f>
        <v>6400</v>
      </c>
      <c r="K1747" s="33">
        <f>ROUNDUP(J1747+(J1747*Assumptions!J$18),-2)</f>
        <v>6600</v>
      </c>
      <c r="L1747" s="33">
        <f>ROUNDUP(K1747+(K1747*Assumptions!K$18),-2)</f>
        <v>6800</v>
      </c>
      <c r="M1747" s="33">
        <f>ROUNDUP(L1747+(L1747*Assumptions!L$18),-2)</f>
        <v>7000</v>
      </c>
      <c r="N1747" s="33">
        <f>ROUNDUP(M1747+(M1747*Assumptions!M$18),-2)</f>
        <v>7200</v>
      </c>
      <c r="O1747" s="33">
        <f>ROUNDUP(N1747+(N1747*Assumptions!N$18),-2)</f>
        <v>7400</v>
      </c>
      <c r="P1747" s="33">
        <f>ROUNDUP(O1747+(O1747*Assumptions!O$18),-2)</f>
        <v>7600</v>
      </c>
      <c r="Q1747" s="33">
        <f>ROUNDUP(P1747+(P1747*Assumptions!P$18),-2)</f>
        <v>7800</v>
      </c>
      <c r="R1747" s="114">
        <f>ROUNDUP(Q1747+(Q1747*Assumptions!Q$18),-2)</f>
        <v>8000</v>
      </c>
    </row>
    <row r="1748" spans="1:18" x14ac:dyDescent="0.2">
      <c r="A1748" s="107">
        <v>82000</v>
      </c>
      <c r="B1748" s="33">
        <v>81900</v>
      </c>
      <c r="C1748" s="189">
        <v>3900</v>
      </c>
      <c r="D1748" s="189">
        <v>3900</v>
      </c>
      <c r="E1748" s="658" t="s">
        <v>2243</v>
      </c>
      <c r="F1748" s="77" t="s">
        <v>4238</v>
      </c>
      <c r="G1748" s="2509">
        <v>4000</v>
      </c>
      <c r="H1748" s="138">
        <f>IF(D1748=G1748,0,IF(D1748=0,100,(G1748-D1748)/D1748*100))</f>
        <v>2.5641025641025639</v>
      </c>
      <c r="I1748" s="33">
        <f>ROUNDUP(G1748+(G1748*Assumptions!H$18),-2)</f>
        <v>4100</v>
      </c>
      <c r="J1748" s="33">
        <f>ROUNDUP(I1748+(I1748*Assumptions!I$18),-2)</f>
        <v>4200</v>
      </c>
      <c r="K1748" s="33">
        <f>ROUNDUP(J1748+(J1748*Assumptions!J$18),-2)</f>
        <v>4300</v>
      </c>
      <c r="L1748" s="33">
        <f>ROUNDUP(K1748+(K1748*Assumptions!K$18),-2)</f>
        <v>4400</v>
      </c>
      <c r="M1748" s="33">
        <f>ROUNDUP(L1748+(L1748*Assumptions!L$18),-2)</f>
        <v>4500</v>
      </c>
      <c r="N1748" s="33">
        <f>ROUNDUP(M1748+(M1748*Assumptions!M$18),-2)</f>
        <v>4600</v>
      </c>
      <c r="O1748" s="33">
        <f>ROUNDUP(N1748+(N1748*Assumptions!N$18),-2)</f>
        <v>4700</v>
      </c>
      <c r="P1748" s="33">
        <f>ROUNDUP(O1748+(O1748*Assumptions!O$18),-2)</f>
        <v>4800</v>
      </c>
      <c r="Q1748" s="33">
        <f>ROUNDUP(P1748+(P1748*Assumptions!P$18),-2)</f>
        <v>4900</v>
      </c>
      <c r="R1748" s="114">
        <f>ROUNDUP(Q1748+(Q1748*Assumptions!Q$18),-2)</f>
        <v>5000</v>
      </c>
    </row>
    <row r="1749" spans="1:18" x14ac:dyDescent="0.2">
      <c r="A1749" s="107">
        <v>55000</v>
      </c>
      <c r="B1749" s="33">
        <f>33800</f>
        <v>33800</v>
      </c>
      <c r="C1749" s="189">
        <v>43000</v>
      </c>
      <c r="D1749" s="189">
        <v>28000</v>
      </c>
      <c r="E1749" s="658" t="s">
        <v>584</v>
      </c>
      <c r="F1749" s="76" t="s">
        <v>2035</v>
      </c>
      <c r="G1749" s="2509">
        <v>45700</v>
      </c>
      <c r="H1749" s="138">
        <f>IF(D1749=G1749,0,IF(D1749=0,100,(G1749-D1749)/D1749*100))</f>
        <v>63.214285714285708</v>
      </c>
      <c r="I1749" s="33">
        <v>47200</v>
      </c>
      <c r="J1749" s="33">
        <v>19200</v>
      </c>
      <c r="K1749" s="33">
        <v>19900</v>
      </c>
      <c r="L1749" s="33">
        <v>20600</v>
      </c>
      <c r="M1749" s="33">
        <v>21400</v>
      </c>
      <c r="N1749" s="33">
        <v>22100</v>
      </c>
      <c r="O1749" s="33">
        <v>22900</v>
      </c>
      <c r="P1749" s="33">
        <v>23800</v>
      </c>
      <c r="Q1749" s="33">
        <v>24700</v>
      </c>
      <c r="R1749" s="114">
        <v>25600</v>
      </c>
    </row>
    <row r="1750" spans="1:18" ht="13.5" thickBot="1" x14ac:dyDescent="0.25">
      <c r="A1750" s="107"/>
      <c r="B1750" s="33"/>
      <c r="C1750" s="187"/>
      <c r="D1750" s="187"/>
      <c r="E1750" s="1954"/>
      <c r="F1750" s="76"/>
      <c r="G1750" s="2509"/>
      <c r="H1750" s="138"/>
      <c r="I1750" s="33"/>
      <c r="J1750" s="33"/>
      <c r="K1750" s="33"/>
      <c r="L1750" s="33"/>
      <c r="M1750" s="33"/>
      <c r="N1750" s="33"/>
      <c r="O1750" s="33"/>
      <c r="P1750" s="33"/>
      <c r="Q1750" s="33"/>
      <c r="R1750" s="114"/>
    </row>
    <row r="1751" spans="1:18" s="92" customFormat="1" x14ac:dyDescent="0.2">
      <c r="A1751" s="105">
        <f>SUBTOTAL(9,A1725:A1750)</f>
        <v>217900</v>
      </c>
      <c r="B1751" s="53">
        <f>SUBTOTAL(9,B1725:B1750)</f>
        <v>172600</v>
      </c>
      <c r="C1751" s="190">
        <f>SUBTOTAL(9,C1725:C1750)</f>
        <v>227800</v>
      </c>
      <c r="D1751" s="190">
        <f>SUBTOTAL(9,D1725:D1750)</f>
        <v>188400</v>
      </c>
      <c r="E1751" s="237"/>
      <c r="F1751" s="1960" t="s">
        <v>565</v>
      </c>
      <c r="G1751" s="2510">
        <f>SUBTOTAL(9,G1725:G1750)</f>
        <v>738900</v>
      </c>
      <c r="H1751" s="180">
        <f>IF(D1751=G1751,0,IF(D1751=0,100,(G1751-D1751)/D1751*100))</f>
        <v>292.19745222929936</v>
      </c>
      <c r="I1751" s="53">
        <f t="shared" ref="I1751:Q1751" si="1530">SUBTOTAL(9,I1725:I1750)</f>
        <v>77300</v>
      </c>
      <c r="J1751" s="53">
        <f t="shared" si="1530"/>
        <v>50400</v>
      </c>
      <c r="K1751" s="53">
        <f t="shared" si="1530"/>
        <v>52200</v>
      </c>
      <c r="L1751" s="53">
        <f t="shared" si="1530"/>
        <v>54000</v>
      </c>
      <c r="M1751" s="53">
        <f t="shared" si="1530"/>
        <v>55800</v>
      </c>
      <c r="N1751" s="53">
        <f t="shared" si="1530"/>
        <v>57500</v>
      </c>
      <c r="O1751" s="53">
        <f t="shared" si="1530"/>
        <v>59400</v>
      </c>
      <c r="P1751" s="53">
        <f t="shared" si="1530"/>
        <v>61400</v>
      </c>
      <c r="Q1751" s="53">
        <f t="shared" si="1530"/>
        <v>63400</v>
      </c>
      <c r="R1751" s="113">
        <f t="shared" ref="R1751" si="1531">SUBTOTAL(9,R1725:R1750)</f>
        <v>65400</v>
      </c>
    </row>
    <row r="1752" spans="1:18" x14ac:dyDescent="0.2">
      <c r="A1752" s="107"/>
      <c r="B1752" s="33"/>
      <c r="E1752" s="1955"/>
      <c r="F1752" s="1981"/>
      <c r="G1752" s="2509"/>
      <c r="H1752" s="138"/>
      <c r="I1752" s="33"/>
      <c r="J1752" s="33"/>
      <c r="K1752" s="33"/>
      <c r="L1752" s="33"/>
      <c r="M1752" s="33"/>
      <c r="N1752" s="33"/>
      <c r="O1752" s="33"/>
      <c r="P1752" s="33"/>
      <c r="Q1752" s="33"/>
      <c r="R1752" s="114"/>
    </row>
    <row r="1753" spans="1:18" s="92" customFormat="1" x14ac:dyDescent="0.2">
      <c r="A1753" s="70">
        <f>A1721-A1751</f>
        <v>192600</v>
      </c>
      <c r="B1753" s="64">
        <f>B1721-B1751</f>
        <v>177100</v>
      </c>
      <c r="C1753" s="193">
        <f>C1721-C1751</f>
        <v>247900</v>
      </c>
      <c r="D1753" s="193">
        <f>D1721-D1751</f>
        <v>188800</v>
      </c>
      <c r="E1753" s="237"/>
      <c r="F1753" s="1962" t="s">
        <v>1019</v>
      </c>
      <c r="G1753" s="2511">
        <f>G1721-G1751</f>
        <v>-674100</v>
      </c>
      <c r="H1753" s="179">
        <f>IF(D1753=G1753,0,IF(D1753=0,100,(G1753-D1753)/D1753*100))</f>
        <v>-457.04449152542372</v>
      </c>
      <c r="I1753" s="64">
        <f t="shared" ref="I1753:Q1753" si="1532">I1721-I1751</f>
        <v>-28500</v>
      </c>
      <c r="J1753" s="64">
        <f t="shared" si="1532"/>
        <v>-300</v>
      </c>
      <c r="K1753" s="64">
        <f t="shared" si="1532"/>
        <v>-700</v>
      </c>
      <c r="L1753" s="64">
        <f t="shared" si="1532"/>
        <v>-1100</v>
      </c>
      <c r="M1753" s="64">
        <f t="shared" si="1532"/>
        <v>-1700</v>
      </c>
      <c r="N1753" s="64">
        <f t="shared" si="1532"/>
        <v>-2200</v>
      </c>
      <c r="O1753" s="64">
        <f t="shared" si="1532"/>
        <v>-2900</v>
      </c>
      <c r="P1753" s="64">
        <f t="shared" si="1532"/>
        <v>-3600</v>
      </c>
      <c r="Q1753" s="64">
        <f t="shared" si="1532"/>
        <v>-4300</v>
      </c>
      <c r="R1753" s="115">
        <f t="shared" ref="R1753" si="1533">R1721-R1751</f>
        <v>-5000</v>
      </c>
    </row>
    <row r="1754" spans="1:18" x14ac:dyDescent="0.2">
      <c r="A1754" s="107">
        <f>-A1719</f>
        <v>0</v>
      </c>
      <c r="B1754" s="33">
        <f>-B1719</f>
        <v>0</v>
      </c>
      <c r="C1754" s="189">
        <f>-C1719</f>
        <v>-223900</v>
      </c>
      <c r="D1754" s="189">
        <f>-D1719</f>
        <v>-53100</v>
      </c>
      <c r="E1754" s="1955"/>
      <c r="F1754" s="2531" t="s">
        <v>5471</v>
      </c>
      <c r="G1754" s="2509">
        <f>-G1719</f>
        <v>0</v>
      </c>
      <c r="H1754" s="138">
        <f>IF(D1754=G1754,0,IF(D1754=0,100,(G1754-D1754)/D1754*100))</f>
        <v>-100</v>
      </c>
      <c r="I1754" s="33">
        <f t="shared" ref="I1754:Q1754" si="1534">-I1719</f>
        <v>0</v>
      </c>
      <c r="J1754" s="33">
        <f t="shared" si="1534"/>
        <v>0</v>
      </c>
      <c r="K1754" s="33">
        <f t="shared" si="1534"/>
        <v>0</v>
      </c>
      <c r="L1754" s="33">
        <f t="shared" si="1534"/>
        <v>0</v>
      </c>
      <c r="M1754" s="33">
        <f t="shared" si="1534"/>
        <v>0</v>
      </c>
      <c r="N1754" s="33">
        <f t="shared" si="1534"/>
        <v>0</v>
      </c>
      <c r="O1754" s="33">
        <f t="shared" si="1534"/>
        <v>0</v>
      </c>
      <c r="P1754" s="33">
        <f t="shared" si="1534"/>
        <v>0</v>
      </c>
      <c r="Q1754" s="33">
        <f t="shared" si="1534"/>
        <v>0</v>
      </c>
      <c r="R1754" s="114">
        <f t="shared" ref="R1754" si="1535">-R1719</f>
        <v>0</v>
      </c>
    </row>
    <row r="1755" spans="1:18" x14ac:dyDescent="0.2">
      <c r="A1755" s="107">
        <f t="shared" ref="A1755:B1755" si="1536">A1749</f>
        <v>55000</v>
      </c>
      <c r="B1755" s="33">
        <f t="shared" si="1536"/>
        <v>33800</v>
      </c>
      <c r="C1755" s="189">
        <f>C1749</f>
        <v>43000</v>
      </c>
      <c r="D1755" s="189">
        <f>D1749</f>
        <v>28000</v>
      </c>
      <c r="E1755" s="1955"/>
      <c r="F1755" s="2531" t="s">
        <v>5474</v>
      </c>
      <c r="G1755" s="2509">
        <f t="shared" ref="G1755:P1755" si="1537">G1749</f>
        <v>45700</v>
      </c>
      <c r="H1755" s="138">
        <f>IF(D1755=G1755,0,IF(D1755=0,100,(G1755-D1755)/D1755*100))</f>
        <v>63.214285714285708</v>
      </c>
      <c r="I1755" s="33">
        <f t="shared" si="1537"/>
        <v>47200</v>
      </c>
      <c r="J1755" s="33">
        <f t="shared" si="1537"/>
        <v>19200</v>
      </c>
      <c r="K1755" s="33">
        <f t="shared" si="1537"/>
        <v>19900</v>
      </c>
      <c r="L1755" s="33">
        <f t="shared" si="1537"/>
        <v>20600</v>
      </c>
      <c r="M1755" s="33">
        <f t="shared" si="1537"/>
        <v>21400</v>
      </c>
      <c r="N1755" s="33">
        <f t="shared" si="1537"/>
        <v>22100</v>
      </c>
      <c r="O1755" s="33">
        <f t="shared" si="1537"/>
        <v>22900</v>
      </c>
      <c r="P1755" s="33">
        <f t="shared" si="1537"/>
        <v>23800</v>
      </c>
      <c r="Q1755" s="33">
        <f t="shared" ref="Q1755" si="1538">Q1749</f>
        <v>24700</v>
      </c>
      <c r="R1755" s="114">
        <f t="shared" ref="R1755" si="1539">R1749</f>
        <v>25600</v>
      </c>
    </row>
    <row r="1756" spans="1:18" x14ac:dyDescent="0.2">
      <c r="A1756" s="107">
        <f t="shared" ref="A1756:B1756" si="1540">A1748+A1747</f>
        <v>91500</v>
      </c>
      <c r="B1756" s="33">
        <f t="shared" si="1540"/>
        <v>96000</v>
      </c>
      <c r="C1756" s="189">
        <f>C1748+C1747</f>
        <v>9400</v>
      </c>
      <c r="D1756" s="189">
        <f>D1748+D1747</f>
        <v>9500</v>
      </c>
      <c r="E1756" s="1955"/>
      <c r="F1756" s="2531" t="s">
        <v>1976</v>
      </c>
      <c r="G1756" s="2509">
        <f t="shared" ref="G1756:P1756" si="1541">G1748+G1747</f>
        <v>10000</v>
      </c>
      <c r="H1756" s="138">
        <f>IF(D1756=G1756,0,IF(D1756=0,100,(G1756-D1756)/D1756*100))</f>
        <v>5.2631578947368416</v>
      </c>
      <c r="I1756" s="33">
        <f t="shared" si="1541"/>
        <v>10300</v>
      </c>
      <c r="J1756" s="33">
        <f t="shared" si="1541"/>
        <v>10600</v>
      </c>
      <c r="K1756" s="33">
        <f t="shared" si="1541"/>
        <v>10900</v>
      </c>
      <c r="L1756" s="33">
        <f t="shared" si="1541"/>
        <v>11200</v>
      </c>
      <c r="M1756" s="33">
        <f t="shared" si="1541"/>
        <v>11500</v>
      </c>
      <c r="N1756" s="33">
        <f t="shared" si="1541"/>
        <v>11800</v>
      </c>
      <c r="O1756" s="33">
        <f t="shared" si="1541"/>
        <v>12100</v>
      </c>
      <c r="P1756" s="33">
        <f t="shared" si="1541"/>
        <v>12400</v>
      </c>
      <c r="Q1756" s="33">
        <f t="shared" ref="Q1756" si="1542">Q1748+Q1747</f>
        <v>12700</v>
      </c>
      <c r="R1756" s="114">
        <f t="shared" ref="R1756" si="1543">R1748+R1747</f>
        <v>13000</v>
      </c>
    </row>
    <row r="1757" spans="1:18" s="92" customFormat="1" x14ac:dyDescent="0.2">
      <c r="A1757" s="181">
        <f t="shared" ref="A1757:B1757" si="1544">SUM(A1753:A1756)</f>
        <v>339100</v>
      </c>
      <c r="B1757" s="397">
        <f t="shared" si="1544"/>
        <v>306900</v>
      </c>
      <c r="C1757" s="398">
        <f>SUM(C1753:C1756)</f>
        <v>76400</v>
      </c>
      <c r="D1757" s="398">
        <f>SUM(D1753:D1756)</f>
        <v>173200</v>
      </c>
      <c r="E1757" s="523"/>
      <c r="F1757" s="1972" t="s">
        <v>1687</v>
      </c>
      <c r="G1757" s="2607">
        <f t="shared" ref="G1757:P1757" si="1545">SUM(G1753:G1756)</f>
        <v>-618400</v>
      </c>
      <c r="H1757" s="395">
        <f>IF(D1757=G1757,0,IF(D1757=0,100,(G1757-D1757)/D1757*100))</f>
        <v>-457.04387990762126</v>
      </c>
      <c r="I1757" s="397">
        <f t="shared" si="1545"/>
        <v>29000</v>
      </c>
      <c r="J1757" s="397">
        <f t="shared" si="1545"/>
        <v>29500</v>
      </c>
      <c r="K1757" s="397">
        <f t="shared" si="1545"/>
        <v>30100</v>
      </c>
      <c r="L1757" s="397">
        <f t="shared" si="1545"/>
        <v>30700</v>
      </c>
      <c r="M1757" s="397">
        <f t="shared" si="1545"/>
        <v>31200</v>
      </c>
      <c r="N1757" s="397">
        <f t="shared" si="1545"/>
        <v>31700</v>
      </c>
      <c r="O1757" s="397">
        <f t="shared" si="1545"/>
        <v>32100</v>
      </c>
      <c r="P1757" s="397">
        <f t="shared" si="1545"/>
        <v>32600</v>
      </c>
      <c r="Q1757" s="397">
        <f t="shared" ref="Q1757" si="1546">SUM(Q1753:Q1756)</f>
        <v>33100</v>
      </c>
      <c r="R1757" s="399">
        <f t="shared" ref="R1757" si="1547">SUM(R1753:R1756)</f>
        <v>33600</v>
      </c>
    </row>
    <row r="1758" spans="1:18" ht="13.5" thickBot="1" x14ac:dyDescent="0.25">
      <c r="A1758" s="614"/>
      <c r="B1758" s="90"/>
      <c r="C1758" s="200"/>
      <c r="D1758" s="200"/>
      <c r="E1758" s="1975"/>
      <c r="F1758" s="119"/>
      <c r="G1758" s="2612"/>
      <c r="H1758" s="392"/>
      <c r="I1758" s="121"/>
      <c r="J1758" s="121"/>
      <c r="K1758" s="121"/>
      <c r="L1758" s="121"/>
      <c r="M1758" s="121"/>
      <c r="N1758" s="121"/>
      <c r="O1758" s="121"/>
      <c r="P1758" s="121"/>
      <c r="Q1758" s="121"/>
      <c r="R1758" s="161"/>
    </row>
    <row r="1759" spans="1:18" ht="13.5" thickTop="1" x14ac:dyDescent="0.2">
      <c r="A1759" s="383"/>
      <c r="B1759" s="122"/>
      <c r="C1759" s="194"/>
      <c r="D1759" s="194"/>
      <c r="E1759" s="541"/>
      <c r="F1759" s="640"/>
      <c r="G1759" s="2608"/>
      <c r="H1759" s="505"/>
      <c r="I1759" s="127"/>
      <c r="J1759" s="127"/>
      <c r="K1759" s="127"/>
      <c r="L1759" s="127"/>
      <c r="M1759" s="127"/>
      <c r="N1759" s="127"/>
      <c r="O1759" s="127"/>
      <c r="P1759" s="127"/>
      <c r="Q1759" s="127"/>
      <c r="R1759" s="163"/>
    </row>
    <row r="1760" spans="1:18" x14ac:dyDescent="0.2">
      <c r="A1760" s="70"/>
      <c r="B1760" s="128"/>
      <c r="C1760" s="193"/>
      <c r="D1760" s="193"/>
      <c r="E1760" s="238"/>
      <c r="F1760" s="1962" t="s">
        <v>196</v>
      </c>
      <c r="G1760" s="2511"/>
      <c r="H1760" s="179"/>
      <c r="I1760" s="33"/>
      <c r="J1760" s="33"/>
      <c r="K1760" s="33"/>
      <c r="L1760" s="33"/>
      <c r="M1760" s="33"/>
      <c r="N1760" s="33"/>
      <c r="O1760" s="33"/>
      <c r="P1760" s="33"/>
      <c r="Q1760" s="33"/>
      <c r="R1760" s="114"/>
    </row>
    <row r="1761" spans="1:18" x14ac:dyDescent="0.2">
      <c r="A1761" s="107">
        <v>0</v>
      </c>
      <c r="B1761" s="142">
        <v>0</v>
      </c>
      <c r="C1761" s="189">
        <v>0</v>
      </c>
      <c r="D1761" s="189">
        <v>0</v>
      </c>
      <c r="E1761" s="238"/>
      <c r="F1761" s="1981" t="s">
        <v>2900</v>
      </c>
      <c r="G1761" s="2509">
        <v>0</v>
      </c>
      <c r="H1761" s="138"/>
      <c r="I1761" s="33">
        <v>0</v>
      </c>
      <c r="J1761" s="33">
        <v>0</v>
      </c>
      <c r="K1761" s="33">
        <v>0</v>
      </c>
      <c r="L1761" s="33">
        <v>0</v>
      </c>
      <c r="M1761" s="33">
        <v>0</v>
      </c>
      <c r="N1761" s="33">
        <v>0</v>
      </c>
      <c r="O1761" s="33">
        <v>0</v>
      </c>
      <c r="P1761" s="33">
        <v>0</v>
      </c>
      <c r="Q1761" s="33">
        <v>0</v>
      </c>
      <c r="R1761" s="114">
        <v>0</v>
      </c>
    </row>
    <row r="1762" spans="1:18" x14ac:dyDescent="0.2">
      <c r="A1762" s="107">
        <f>339000+39400</f>
        <v>378400</v>
      </c>
      <c r="B1762" s="142">
        <v>306900</v>
      </c>
      <c r="C1762" s="189">
        <v>76400</v>
      </c>
      <c r="D1762" s="189">
        <f>SUM('Res-Gen'!B226:B227)</f>
        <v>265900</v>
      </c>
      <c r="E1762" s="238"/>
      <c r="F1762" s="1981" t="s">
        <v>1942</v>
      </c>
      <c r="G1762" s="2509">
        <f>SUM('Res-Gen'!E226:E227)</f>
        <v>0</v>
      </c>
      <c r="H1762" s="138"/>
      <c r="I1762" s="33">
        <f>SUM('Res-Gen'!H226:H227)</f>
        <v>29000</v>
      </c>
      <c r="J1762" s="33">
        <f>SUM('Res-Gen'!K226:K227)</f>
        <v>29500</v>
      </c>
      <c r="K1762" s="33">
        <f>SUM('Res-Gen'!N226:N227)</f>
        <v>30100</v>
      </c>
      <c r="L1762" s="33">
        <f>SUM('Res-Gen'!Q226:Q227)</f>
        <v>30700</v>
      </c>
      <c r="M1762" s="33">
        <f>SUM('Res-Gen'!T226:T227)</f>
        <v>31200</v>
      </c>
      <c r="N1762" s="33">
        <f>SUM('Res-Gen'!W226:W227)</f>
        <v>31700</v>
      </c>
      <c r="O1762" s="33">
        <f>SUM('Res-Gen'!Z226:Z227)</f>
        <v>32100</v>
      </c>
      <c r="P1762" s="33">
        <f>SUM('Res-Gen'!AC226:AC227)</f>
        <v>32600</v>
      </c>
      <c r="Q1762" s="33">
        <f>SUM('Res-Gen'!AF226:AF227)</f>
        <v>33100</v>
      </c>
      <c r="R1762" s="114">
        <f>SUM('Res-Gen'!AI226:AI227)</f>
        <v>33600</v>
      </c>
    </row>
    <row r="1763" spans="1:18" x14ac:dyDescent="0.2">
      <c r="A1763" s="107">
        <v>139300</v>
      </c>
      <c r="B1763" s="142">
        <v>210000</v>
      </c>
      <c r="C1763" s="189">
        <v>250000</v>
      </c>
      <c r="D1763" s="189">
        <f>SUM('Res-Gen'!C226:C227)-200</f>
        <v>192700</v>
      </c>
      <c r="E1763" s="238"/>
      <c r="F1763" s="1981" t="s">
        <v>2348</v>
      </c>
      <c r="G1763" s="2509">
        <f>SUM('Res-Gen'!F226:F227)+'Res-Gen'!F235</f>
        <v>901400</v>
      </c>
      <c r="H1763" s="138"/>
      <c r="I1763" s="33">
        <f>SUM('Res-Gen'!I226:I227)</f>
        <v>0</v>
      </c>
      <c r="J1763" s="33">
        <f>SUM('Res-Gen'!L226:L227)</f>
        <v>0</v>
      </c>
      <c r="K1763" s="33">
        <f>SUM('Res-Gen'!O226:O227)</f>
        <v>0</v>
      </c>
      <c r="L1763" s="33">
        <f>SUM('Res-Gen'!R226:R227)</f>
        <v>0</v>
      </c>
      <c r="M1763" s="33">
        <f>SUM('Res-Gen'!U226:U227)</f>
        <v>0</v>
      </c>
      <c r="N1763" s="33">
        <f>SUM('Res-Gen'!X226:X227)</f>
        <v>0</v>
      </c>
      <c r="O1763" s="33">
        <f>SUM('Res-Gen'!AA226:AA227)</f>
        <v>0</v>
      </c>
      <c r="P1763" s="33">
        <f>SUM('Res-Gen'!AD226:AD227)</f>
        <v>0</v>
      </c>
      <c r="Q1763" s="33">
        <f>SUM('Res-Gen'!AG226:AG227)</f>
        <v>0</v>
      </c>
      <c r="R1763" s="114">
        <f>SUM('Res-Gen'!AJ226:AJ227)</f>
        <v>0</v>
      </c>
    </row>
    <row r="1764" spans="1:18" x14ac:dyDescent="0.2">
      <c r="A1764" s="107">
        <v>0</v>
      </c>
      <c r="B1764" s="142">
        <v>0</v>
      </c>
      <c r="C1764" s="189">
        <v>0</v>
      </c>
      <c r="D1764" s="189">
        <v>0</v>
      </c>
      <c r="E1764" s="238"/>
      <c r="F1764" s="1981" t="s">
        <v>5984</v>
      </c>
      <c r="G1764" s="2509">
        <v>0</v>
      </c>
      <c r="H1764" s="138"/>
      <c r="I1764" s="33">
        <v>0</v>
      </c>
      <c r="J1764" s="33">
        <v>0</v>
      </c>
      <c r="K1764" s="33">
        <v>0</v>
      </c>
      <c r="L1764" s="33">
        <v>0</v>
      </c>
      <c r="M1764" s="33">
        <v>0</v>
      </c>
      <c r="N1764" s="33">
        <v>0</v>
      </c>
      <c r="O1764" s="33">
        <v>0</v>
      </c>
      <c r="P1764" s="33">
        <v>0</v>
      </c>
      <c r="Q1764" s="33">
        <v>0</v>
      </c>
      <c r="R1764" s="114">
        <v>0</v>
      </c>
    </row>
    <row r="1765" spans="1:18" x14ac:dyDescent="0.2">
      <c r="A1765" s="107">
        <v>0</v>
      </c>
      <c r="B1765" s="142">
        <v>0</v>
      </c>
      <c r="C1765" s="189">
        <v>0</v>
      </c>
      <c r="D1765" s="189">
        <v>0</v>
      </c>
      <c r="E1765" s="238"/>
      <c r="F1765" s="366" t="s">
        <v>972</v>
      </c>
      <c r="G1765" s="2509">
        <f>'Cap-Gen'!F196</f>
        <v>83000</v>
      </c>
      <c r="H1765" s="138"/>
      <c r="I1765" s="33">
        <v>0</v>
      </c>
      <c r="J1765" s="33">
        <v>0</v>
      </c>
      <c r="K1765" s="33">
        <v>0</v>
      </c>
      <c r="L1765" s="33">
        <v>0</v>
      </c>
      <c r="M1765" s="33">
        <v>0</v>
      </c>
      <c r="N1765" s="33">
        <v>0</v>
      </c>
      <c r="O1765" s="33">
        <v>0</v>
      </c>
      <c r="P1765" s="33">
        <v>0</v>
      </c>
      <c r="Q1765" s="33">
        <v>0</v>
      </c>
      <c r="R1765" s="114">
        <v>0</v>
      </c>
    </row>
    <row r="1766" spans="1:18" x14ac:dyDescent="0.2">
      <c r="A1766" s="107"/>
      <c r="B1766" s="142"/>
      <c r="E1766" s="238"/>
      <c r="F1766" s="516"/>
      <c r="G1766" s="198"/>
      <c r="H1766" s="138"/>
      <c r="I1766" s="33"/>
      <c r="J1766" s="33"/>
      <c r="K1766" s="33"/>
      <c r="L1766" s="33"/>
      <c r="M1766" s="33"/>
      <c r="N1766" s="33"/>
      <c r="O1766" s="33"/>
      <c r="P1766" s="33"/>
      <c r="Q1766" s="33"/>
      <c r="R1766" s="114"/>
    </row>
    <row r="1767" spans="1:18" s="92" customFormat="1" x14ac:dyDescent="0.2">
      <c r="A1767" s="181">
        <f>A1757-A1761-A1762+A1763++A1764-A1765</f>
        <v>100000</v>
      </c>
      <c r="B1767" s="377">
        <f>B1757-B1761-B1762+B1763++B1764-B1765</f>
        <v>210000</v>
      </c>
      <c r="C1767" s="398">
        <f>C1757-C1761-C1762+C1763++C1764-C1765</f>
        <v>250000</v>
      </c>
      <c r="D1767" s="398">
        <f>D1757-D1761-D1762+D1763++D1764-D1765</f>
        <v>100000</v>
      </c>
      <c r="E1767" s="526"/>
      <c r="F1767" s="518" t="s">
        <v>2490</v>
      </c>
      <c r="G1767" s="2605">
        <f t="shared" ref="G1767:O1767" si="1548">G1757-G1761-G1762+G1763++G1764-G1765</f>
        <v>200000</v>
      </c>
      <c r="H1767" s="395">
        <f>IF(D1767=G1767,0,IF(D1767=0,100,(G1767-D1767)/D1767*100))</f>
        <v>100</v>
      </c>
      <c r="I1767" s="397">
        <f t="shared" si="1548"/>
        <v>0</v>
      </c>
      <c r="J1767" s="397">
        <f t="shared" si="1548"/>
        <v>0</v>
      </c>
      <c r="K1767" s="397">
        <f t="shared" si="1548"/>
        <v>0</v>
      </c>
      <c r="L1767" s="397">
        <f t="shared" si="1548"/>
        <v>0</v>
      </c>
      <c r="M1767" s="397">
        <f t="shared" si="1548"/>
        <v>0</v>
      </c>
      <c r="N1767" s="397">
        <f t="shared" si="1548"/>
        <v>0</v>
      </c>
      <c r="O1767" s="397">
        <f t="shared" si="1548"/>
        <v>0</v>
      </c>
      <c r="P1767" s="397">
        <f t="shared" ref="P1767:Q1767" si="1549">P1757-P1761-P1762+P1763++P1764-P1765</f>
        <v>0</v>
      </c>
      <c r="Q1767" s="397">
        <f t="shared" si="1549"/>
        <v>0</v>
      </c>
      <c r="R1767" s="399">
        <f t="shared" ref="R1767" si="1550">R1757-R1761-R1762+R1763++R1764-R1765</f>
        <v>0</v>
      </c>
    </row>
    <row r="1768" spans="1:18" ht="13.5" thickBot="1" x14ac:dyDescent="0.25">
      <c r="A1768" s="73"/>
      <c r="B1768" s="90"/>
      <c r="C1768" s="195"/>
      <c r="D1768" s="195"/>
      <c r="E1768" s="239"/>
      <c r="F1768" s="368"/>
      <c r="G1768" s="2502"/>
      <c r="H1768" s="392"/>
      <c r="I1768" s="66"/>
      <c r="J1768" s="66"/>
      <c r="K1768" s="66"/>
      <c r="L1768" s="66"/>
      <c r="M1768" s="66"/>
      <c r="N1768" s="66"/>
      <c r="O1768" s="66"/>
      <c r="P1768" s="66"/>
      <c r="Q1768" s="66"/>
      <c r="R1768" s="165"/>
    </row>
    <row r="1769" spans="1:18" s="99" customFormat="1" ht="14.25" thickTop="1" thickBot="1" x14ac:dyDescent="0.25">
      <c r="A1769" s="74"/>
      <c r="B1769" s="74"/>
      <c r="C1769" s="197"/>
      <c r="D1769" s="197"/>
      <c r="E1769" s="242"/>
      <c r="F1769" s="137"/>
      <c r="G1769" s="197"/>
      <c r="H1769" s="2507"/>
    </row>
    <row r="1770" spans="1:18" s="91" customFormat="1" ht="18.75" customHeight="1" thickTop="1" thickBot="1" x14ac:dyDescent="0.3">
      <c r="A1770" s="2865" t="str">
        <f>A621</f>
        <v>LANDFILL AND RESOURCE MANAGEMENT</v>
      </c>
      <c r="B1770" s="2866"/>
      <c r="C1770" s="2866"/>
      <c r="D1770" s="2866"/>
      <c r="E1770" s="2866"/>
      <c r="F1770" s="2866"/>
      <c r="G1770" s="2866"/>
      <c r="H1770" s="2866"/>
      <c r="I1770" s="2866"/>
      <c r="J1770" s="2866"/>
      <c r="K1770" s="2866"/>
      <c r="L1770" s="2866"/>
      <c r="M1770" s="2866"/>
      <c r="N1770" s="2866"/>
      <c r="O1770" s="2866"/>
      <c r="P1770" s="2866"/>
      <c r="Q1770" s="2866"/>
      <c r="R1770" s="2867"/>
    </row>
    <row r="1771" spans="1:18" s="44" customFormat="1" x14ac:dyDescent="0.2">
      <c r="A1771" s="2848" t="s">
        <v>1856</v>
      </c>
      <c r="B1771" s="2840"/>
      <c r="C1771" s="2840"/>
      <c r="D1771" s="2849"/>
      <c r="E1771" s="369" t="s">
        <v>2663</v>
      </c>
      <c r="F1771" s="2649" t="s">
        <v>2251</v>
      </c>
      <c r="G1771" s="2885" t="s">
        <v>2253</v>
      </c>
      <c r="H1771" s="2886"/>
      <c r="I1771" s="2886"/>
      <c r="J1771" s="2886"/>
      <c r="K1771" s="2886"/>
      <c r="L1771" s="2886"/>
      <c r="M1771" s="2886"/>
      <c r="N1771" s="2886"/>
      <c r="O1771" s="2886"/>
      <c r="P1771" s="2886"/>
      <c r="Q1771" s="2886"/>
      <c r="R1771" s="2887"/>
    </row>
    <row r="1772" spans="1:18" s="23" customFormat="1" ht="12.75" customHeight="1" thickBot="1" x14ac:dyDescent="0.25">
      <c r="A1772" s="208" t="str">
        <f>A3</f>
        <v>2012/13</v>
      </c>
      <c r="B1772" s="75" t="str">
        <f>B3</f>
        <v>2013/14</v>
      </c>
      <c r="C1772" s="370" t="str">
        <f>C3</f>
        <v>2014/15</v>
      </c>
      <c r="D1772" s="93" t="str">
        <f>D3</f>
        <v>2015/16</v>
      </c>
      <c r="E1772" s="370" t="s">
        <v>2664</v>
      </c>
      <c r="F1772" s="361"/>
      <c r="G1772" s="93" t="str">
        <f>G3</f>
        <v>2016/17</v>
      </c>
      <c r="H1772" s="2193" t="str">
        <f>H1705</f>
        <v>%</v>
      </c>
      <c r="I1772" s="370" t="str">
        <f t="shared" ref="I1772:R1772" si="1551">I3</f>
        <v>2017/18</v>
      </c>
      <c r="J1772" s="370" t="str">
        <f t="shared" si="1551"/>
        <v>2018/19</v>
      </c>
      <c r="K1772" s="370" t="str">
        <f t="shared" si="1551"/>
        <v>2019/20</v>
      </c>
      <c r="L1772" s="370" t="str">
        <f t="shared" si="1551"/>
        <v>2020/21</v>
      </c>
      <c r="M1772" s="370" t="str">
        <f t="shared" si="1551"/>
        <v>2021/22</v>
      </c>
      <c r="N1772" s="370" t="str">
        <f t="shared" si="1551"/>
        <v>2022/23</v>
      </c>
      <c r="O1772" s="370" t="str">
        <f t="shared" si="1551"/>
        <v>2023/24</v>
      </c>
      <c r="P1772" s="370" t="str">
        <f t="shared" si="1551"/>
        <v>2024/25</v>
      </c>
      <c r="Q1772" s="218" t="str">
        <f t="shared" si="1551"/>
        <v>2025/26</v>
      </c>
      <c r="R1772" s="549" t="str">
        <f t="shared" si="1551"/>
        <v>2026/27</v>
      </c>
    </row>
    <row r="1773" spans="1:18" x14ac:dyDescent="0.2">
      <c r="A1773" s="98"/>
      <c r="B1773" s="33"/>
      <c r="C1773" s="187"/>
      <c r="D1773" s="187"/>
      <c r="E1773" s="1954"/>
      <c r="F1773" s="362"/>
      <c r="G1773" s="187"/>
      <c r="H1773" s="138"/>
      <c r="I1773" s="33"/>
      <c r="J1773" s="33"/>
      <c r="K1773" s="33"/>
      <c r="L1773" s="33"/>
      <c r="M1773" s="33"/>
      <c r="N1773" s="33"/>
      <c r="O1773" s="33"/>
      <c r="P1773" s="33"/>
      <c r="Q1773" s="33"/>
      <c r="R1773" s="114"/>
    </row>
    <row r="1774" spans="1:18" x14ac:dyDescent="0.2">
      <c r="A1774" s="98"/>
      <c r="B1774" s="33"/>
      <c r="C1774" s="187"/>
      <c r="D1774" s="187"/>
      <c r="E1774" s="1954"/>
      <c r="F1774" s="103" t="s">
        <v>1073</v>
      </c>
      <c r="G1774" s="187"/>
      <c r="H1774" s="138"/>
      <c r="I1774" s="33"/>
      <c r="J1774" s="33"/>
      <c r="K1774" s="33"/>
      <c r="L1774" s="33"/>
      <c r="M1774" s="33"/>
      <c r="N1774" s="33"/>
      <c r="O1774" s="33"/>
      <c r="P1774" s="33"/>
      <c r="Q1774" s="33"/>
      <c r="R1774" s="114"/>
    </row>
    <row r="1775" spans="1:18" x14ac:dyDescent="0.2">
      <c r="A1775" s="107"/>
      <c r="B1775" s="33"/>
      <c r="E1775" s="440"/>
      <c r="F1775" s="6" t="s">
        <v>60</v>
      </c>
      <c r="G1775" s="187"/>
      <c r="H1775" s="138"/>
      <c r="I1775" s="33"/>
      <c r="J1775" s="33"/>
      <c r="K1775" s="33"/>
      <c r="L1775" s="33"/>
      <c r="M1775" s="33"/>
      <c r="N1775" s="33"/>
      <c r="O1775" s="33"/>
      <c r="P1775" s="33"/>
      <c r="Q1775" s="33"/>
      <c r="R1775" s="114"/>
    </row>
    <row r="1776" spans="1:18" x14ac:dyDescent="0.2">
      <c r="A1776" s="107">
        <v>379600</v>
      </c>
      <c r="B1776" s="132">
        <v>394300</v>
      </c>
      <c r="C1776" s="189">
        <v>422200</v>
      </c>
      <c r="D1776" s="1012">
        <v>430400</v>
      </c>
      <c r="E1776" s="658" t="s">
        <v>1397</v>
      </c>
      <c r="F1776" s="3" t="s">
        <v>1168</v>
      </c>
      <c r="G1776" s="187">
        <f>447000+3000</f>
        <v>450000</v>
      </c>
      <c r="H1776" s="138">
        <f>IF(D1776=G1776,0,IF(D1776=0,100,(G1776-D1776)/D1776*100))</f>
        <v>4.5539033457249074</v>
      </c>
      <c r="I1776" s="187">
        <f>ROUND(G1776+(G1776*Assumptions!H$21),-3)</f>
        <v>459000</v>
      </c>
      <c r="J1776" s="33">
        <f>ROUND(I1776+(I1776*Assumptions!I$21),-3)</f>
        <v>470000</v>
      </c>
      <c r="K1776" s="33">
        <f>ROUND(J1776+(J1776*Assumptions!J$21),-3)</f>
        <v>482000</v>
      </c>
      <c r="L1776" s="33">
        <f>ROUND(K1776+(K1776*Assumptions!K$21),-3)</f>
        <v>494000</v>
      </c>
      <c r="M1776" s="33">
        <f>ROUND(L1776+(L1776*Assumptions!L$21),-3)</f>
        <v>506000</v>
      </c>
      <c r="N1776" s="33">
        <f>ROUND(M1776+(M1776*Assumptions!M$21),-3)</f>
        <v>519000</v>
      </c>
      <c r="O1776" s="33">
        <f>ROUND(N1776+(N1776*Assumptions!N$21),-3)</f>
        <v>532000</v>
      </c>
      <c r="P1776" s="33">
        <f>ROUND(O1776+(O1776*Assumptions!O$21),-3)</f>
        <v>545000</v>
      </c>
      <c r="Q1776" s="33">
        <f>ROUND(P1776+(P1776*Assumptions!P$21),-3)</f>
        <v>559000</v>
      </c>
      <c r="R1776" s="114">
        <f>ROUND(Q1776+(Q1776*Assumptions!Q$21),-3)</f>
        <v>573000</v>
      </c>
    </row>
    <row r="1777" spans="1:18" x14ac:dyDescent="0.2">
      <c r="A1777" s="107">
        <v>62900</v>
      </c>
      <c r="B1777" s="33">
        <v>70000</v>
      </c>
      <c r="C1777" s="189">
        <v>79700</v>
      </c>
      <c r="D1777" s="1012">
        <v>85200</v>
      </c>
      <c r="E1777" s="658" t="s">
        <v>1398</v>
      </c>
      <c r="F1777" s="3" t="s">
        <v>2364</v>
      </c>
      <c r="G1777" s="187">
        <v>90000</v>
      </c>
      <c r="H1777" s="138">
        <f>IF(D1777=G1777,0,IF(D1777=0,100,(G1777-D1777)/D1777*100))</f>
        <v>5.6338028169014089</v>
      </c>
      <c r="I1777" s="187">
        <f>ROUND(G1777+(G1777*Assumptions!H$21),-3)</f>
        <v>92000</v>
      </c>
      <c r="J1777" s="33">
        <f>ROUND(I1777+(I1777*Assumptions!I$21),-3)</f>
        <v>94000</v>
      </c>
      <c r="K1777" s="33">
        <f>ROUND(J1777+(J1777*Assumptions!J$21),-3)</f>
        <v>96000</v>
      </c>
      <c r="L1777" s="33">
        <f>ROUND(K1777+(K1777*Assumptions!K$21),-3)</f>
        <v>98000</v>
      </c>
      <c r="M1777" s="33">
        <f>ROUND(L1777+(L1777*Assumptions!L$21),-3)</f>
        <v>100000</v>
      </c>
      <c r="N1777" s="33">
        <f>ROUND(M1777+(M1777*Assumptions!M$21),-3)</f>
        <v>103000</v>
      </c>
      <c r="O1777" s="33">
        <f>ROUND(N1777+(N1777*Assumptions!N$21),-3)</f>
        <v>106000</v>
      </c>
      <c r="P1777" s="33">
        <f>ROUND(O1777+(O1777*Assumptions!O$21),-3)</f>
        <v>109000</v>
      </c>
      <c r="Q1777" s="33">
        <f>ROUND(P1777+(P1777*Assumptions!P$21),-3)</f>
        <v>112000</v>
      </c>
      <c r="R1777" s="114">
        <f>ROUND(Q1777+(Q1777*Assumptions!Q$21),-3)</f>
        <v>115000</v>
      </c>
    </row>
    <row r="1778" spans="1:18" x14ac:dyDescent="0.2">
      <c r="A1778" s="107">
        <v>0</v>
      </c>
      <c r="B1778" s="33">
        <v>0</v>
      </c>
      <c r="C1778" s="189">
        <v>1199900</v>
      </c>
      <c r="D1778" s="1012">
        <v>1267600</v>
      </c>
      <c r="E1778" s="1092" t="s">
        <v>4844</v>
      </c>
      <c r="F1778" s="890" t="s">
        <v>3851</v>
      </c>
      <c r="G1778" s="187">
        <v>1284000</v>
      </c>
      <c r="H1778" s="138">
        <f>IF(D1778=G1778,0,IF(D1778=0,100,(G1778-D1778)/D1778*100))</f>
        <v>1.2937835279267906</v>
      </c>
      <c r="I1778" s="187">
        <v>0</v>
      </c>
      <c r="J1778" s="33">
        <v>0</v>
      </c>
      <c r="K1778" s="33">
        <v>0</v>
      </c>
      <c r="L1778" s="33">
        <f>ROUND(Assumptions!K24*(Assumptions!K28+Assumptions!K29),-3)</f>
        <v>0</v>
      </c>
      <c r="M1778" s="33">
        <v>0</v>
      </c>
      <c r="N1778" s="33">
        <v>0</v>
      </c>
      <c r="O1778" s="33">
        <v>0</v>
      </c>
      <c r="P1778" s="33">
        <v>0</v>
      </c>
      <c r="Q1778" s="33">
        <v>0</v>
      </c>
      <c r="R1778" s="114">
        <v>0</v>
      </c>
    </row>
    <row r="1779" spans="1:18" x14ac:dyDescent="0.2">
      <c r="A1779" s="107"/>
      <c r="B1779" s="33"/>
      <c r="D1779" s="1012"/>
      <c r="E1779" s="658"/>
      <c r="F1779" s="8" t="s">
        <v>4412</v>
      </c>
      <c r="G1779" s="187"/>
      <c r="H1779" s="138"/>
      <c r="I1779" s="187"/>
      <c r="J1779" s="33"/>
      <c r="K1779" s="33"/>
      <c r="L1779" s="33"/>
      <c r="M1779" s="33"/>
      <c r="N1779" s="33"/>
      <c r="O1779" s="33"/>
      <c r="P1779" s="33"/>
      <c r="Q1779" s="33"/>
      <c r="R1779" s="114"/>
    </row>
    <row r="1780" spans="1:18" x14ac:dyDescent="0.2">
      <c r="A1780" s="107">
        <v>2100</v>
      </c>
      <c r="B1780" s="33">
        <v>4600</v>
      </c>
      <c r="C1780" s="189">
        <v>10000</v>
      </c>
      <c r="D1780" s="1012">
        <v>15100</v>
      </c>
      <c r="E1780" s="658" t="s">
        <v>1399</v>
      </c>
      <c r="F1780" s="890" t="s">
        <v>6903</v>
      </c>
      <c r="G1780" s="187">
        <v>15000</v>
      </c>
      <c r="H1780" s="138">
        <f>IF(D1780=G1780,0,IF(D1780=0,100,(G1780-D1780)/D1780*100))</f>
        <v>-0.66225165562913912</v>
      </c>
      <c r="I1780" s="187">
        <f>ROUND(G1780+(G1780*Assumptions!H$5),-3)</f>
        <v>15000</v>
      </c>
      <c r="J1780" s="33">
        <f>ROUNDUP(I1780+(I1780*Assumptions!I$5),-2)</f>
        <v>15400</v>
      </c>
      <c r="K1780" s="33">
        <f>ROUNDUP(J1780+(J1780*Assumptions!J$5),-2)</f>
        <v>15800</v>
      </c>
      <c r="L1780" s="33">
        <f>ROUNDUP(K1780+(K1780*Assumptions!K$5),-2)</f>
        <v>16200</v>
      </c>
      <c r="M1780" s="33">
        <f>ROUNDUP(L1780+(L1780*Assumptions!L$5),-2)</f>
        <v>16600</v>
      </c>
      <c r="N1780" s="33">
        <f>ROUNDUP(M1780+(M1780*Assumptions!M$5),-2)</f>
        <v>17000</v>
      </c>
      <c r="O1780" s="33">
        <f>ROUNDUP(N1780+(N1780*Assumptions!N$5),-2)</f>
        <v>17400</v>
      </c>
      <c r="P1780" s="33">
        <f>ROUNDUP(O1780+(O1780*Assumptions!O$5),-2)</f>
        <v>17800</v>
      </c>
      <c r="Q1780" s="33">
        <f>ROUNDUP(P1780+(P1780*Assumptions!P$5),-2)</f>
        <v>18200</v>
      </c>
      <c r="R1780" s="114">
        <f>ROUNDUP(Q1780+(Q1780*Assumptions!Q$5),-2)</f>
        <v>18600</v>
      </c>
    </row>
    <row r="1781" spans="1:18" x14ac:dyDescent="0.2">
      <c r="A1781" s="107">
        <v>1250300</v>
      </c>
      <c r="B1781" s="33">
        <f>1284600-2800</f>
        <v>1281800</v>
      </c>
      <c r="C1781" s="189">
        <v>1262500</v>
      </c>
      <c r="D1781" s="1012">
        <v>774300</v>
      </c>
      <c r="E1781" s="658" t="s">
        <v>2887</v>
      </c>
      <c r="F1781" s="890" t="s">
        <v>3881</v>
      </c>
      <c r="G1781" s="187">
        <f>826000-100000</f>
        <v>726000</v>
      </c>
      <c r="H1781" s="138">
        <f>IF(D1781=G1781,0,IF(D1781=0,100,(G1781-D1781)/D1781*100))</f>
        <v>-6.2378922898101514</v>
      </c>
      <c r="I1781" s="187">
        <f>ROUND(G1781+(G1781*Assumptions!H$22),-3)</f>
        <v>741000</v>
      </c>
      <c r="J1781" s="33">
        <f>ROUND(I1781+(I1781*Assumptions!I$22),-3)</f>
        <v>760000</v>
      </c>
      <c r="K1781" s="33">
        <f>ROUND(J1781+(J1781*Assumptions!J$22),-3)</f>
        <v>779000</v>
      </c>
      <c r="L1781" s="33">
        <f>ROUND(K1781+(K1781*Assumptions!K$22),-3)</f>
        <v>798000</v>
      </c>
      <c r="M1781" s="33">
        <f>ROUND(L1781+(L1781*Assumptions!L$22),-3)</f>
        <v>818000</v>
      </c>
      <c r="N1781" s="33">
        <f>ROUND(M1781+(M1781*Assumptions!M$22),-3)</f>
        <v>838000</v>
      </c>
      <c r="O1781" s="187">
        <f>ROUND(N1781+(N1781*Assumptions!N$22),-3)</f>
        <v>859000</v>
      </c>
      <c r="P1781" s="187">
        <f>ROUND(O1781+(O1781*Assumptions!O$22),-3)</f>
        <v>880000</v>
      </c>
      <c r="Q1781" s="187">
        <f>ROUND(P1781+(P1781*Assumptions!P$22),-3)</f>
        <v>902000</v>
      </c>
      <c r="R1781" s="188">
        <f>ROUND(Q1781+(Q1781*Assumptions!Q$22),-3)</f>
        <v>925000</v>
      </c>
    </row>
    <row r="1782" spans="1:18" x14ac:dyDescent="0.2">
      <c r="A1782" s="107">
        <v>328500</v>
      </c>
      <c r="B1782" s="33">
        <v>633600</v>
      </c>
      <c r="C1782" s="1012">
        <v>683600</v>
      </c>
      <c r="D1782" s="1012">
        <v>714900</v>
      </c>
      <c r="E1782" s="658" t="s">
        <v>1442</v>
      </c>
      <c r="F1782" s="1099" t="s">
        <v>3882</v>
      </c>
      <c r="G1782" s="187">
        <v>727000</v>
      </c>
      <c r="H1782" s="138">
        <f>IF(D1782=G1782,0,IF(D1782=0,100,(G1782-D1782)/D1782*100))</f>
        <v>1.692544411805847</v>
      </c>
      <c r="I1782" s="187">
        <f>ROUND(G1782+(G1782*Assumptions!H$22),-3)</f>
        <v>742000</v>
      </c>
      <c r="J1782" s="33">
        <f>ROUND(I1782+(I1782*Assumptions!I$22),-3)</f>
        <v>761000</v>
      </c>
      <c r="K1782" s="33">
        <f>ROUND(J1782+(J1782*Assumptions!J$22),-3)</f>
        <v>780000</v>
      </c>
      <c r="L1782" s="33">
        <f>ROUND(K1782+(K1782*Assumptions!K$22),-3)</f>
        <v>800000</v>
      </c>
      <c r="M1782" s="33">
        <f>ROUND(L1782+(L1782*Assumptions!L$22),-3)</f>
        <v>820000</v>
      </c>
      <c r="N1782" s="33">
        <f>ROUND(M1782+(M1782*Assumptions!M$22),-3)</f>
        <v>841000</v>
      </c>
      <c r="O1782" s="187">
        <f>ROUND(N1782+(N1782*Assumptions!N$22),-3)</f>
        <v>862000</v>
      </c>
      <c r="P1782" s="187">
        <f>ROUND(O1782+(O1782*Assumptions!O$22),-3)</f>
        <v>884000</v>
      </c>
      <c r="Q1782" s="187">
        <f>ROUND(P1782+(P1782*Assumptions!P$22),-3)</f>
        <v>906000</v>
      </c>
      <c r="R1782" s="188">
        <f>ROUND(Q1782+(Q1782*Assumptions!Q$22),-3)</f>
        <v>929000</v>
      </c>
    </row>
    <row r="1783" spans="1:18" x14ac:dyDescent="0.2">
      <c r="A1783" s="107"/>
      <c r="B1783" s="33"/>
      <c r="D1783" s="1012"/>
      <c r="E1783" s="443"/>
      <c r="F1783" s="8" t="s">
        <v>687</v>
      </c>
      <c r="G1783" s="187"/>
      <c r="H1783" s="138"/>
      <c r="I1783" s="187"/>
      <c r="J1783" s="33"/>
      <c r="K1783" s="33"/>
      <c r="L1783" s="33"/>
      <c r="M1783" s="33"/>
      <c r="N1783" s="33"/>
      <c r="O1783" s="33"/>
      <c r="P1783" s="33"/>
      <c r="Q1783" s="33"/>
      <c r="R1783" s="114"/>
    </row>
    <row r="1784" spans="1:18" x14ac:dyDescent="0.2">
      <c r="A1784" s="107">
        <v>253500</v>
      </c>
      <c r="B1784" s="132">
        <f>145700+6200-1600</f>
        <v>150300</v>
      </c>
      <c r="C1784" s="189">
        <v>125400</v>
      </c>
      <c r="D1784" s="1012">
        <v>125500</v>
      </c>
      <c r="E1784" s="658" t="s">
        <v>2409</v>
      </c>
      <c r="F1784" s="890" t="s">
        <v>3592</v>
      </c>
      <c r="G1784" s="187">
        <f>21000+104000</f>
        <v>125000</v>
      </c>
      <c r="H1784" s="138">
        <f>IF(D1784=G1784,0,IF(D1784=0,100,(G1784-D1784)/D1784*100))</f>
        <v>-0.39840637450199201</v>
      </c>
      <c r="I1784" s="187">
        <v>21000</v>
      </c>
      <c r="J1784" s="33">
        <f>ROUND(I1784+(I1784*Assumptions!I$5),-3)</f>
        <v>22000</v>
      </c>
      <c r="K1784" s="33">
        <f>ROUND(J1784+(J1784*Assumptions!J$5),-3)</f>
        <v>23000</v>
      </c>
      <c r="L1784" s="33">
        <f>ROUND(K1784+(K1784*Assumptions!K$5),-3)</f>
        <v>24000</v>
      </c>
      <c r="M1784" s="33">
        <f>ROUND(L1784+(L1784*Assumptions!L$5),-3)</f>
        <v>24000</v>
      </c>
      <c r="N1784" s="33">
        <f>ROUND(M1784+(M1784*Assumptions!M$5),-3)</f>
        <v>24000</v>
      </c>
      <c r="O1784" s="33">
        <f>ROUND(N1784+(N1784*Assumptions!N$5),-3)</f>
        <v>24000</v>
      </c>
      <c r="P1784" s="33">
        <f>ROUND(O1784+(O1784*Assumptions!O$5),-3)</f>
        <v>24000</v>
      </c>
      <c r="Q1784" s="33">
        <f>ROUND(P1784+(P1784*Assumptions!P$5),-3)</f>
        <v>24000</v>
      </c>
      <c r="R1784" s="114">
        <f>ROUND(Q1784+(Q1784*Assumptions!Q$5),-3)</f>
        <v>24000</v>
      </c>
    </row>
    <row r="1785" spans="1:18" x14ac:dyDescent="0.2">
      <c r="A1785" s="107">
        <v>0</v>
      </c>
      <c r="B1785" s="132">
        <v>0</v>
      </c>
      <c r="C1785" s="189">
        <v>0</v>
      </c>
      <c r="D1785" s="1012">
        <v>130300</v>
      </c>
      <c r="E1785" s="1092" t="s">
        <v>5961</v>
      </c>
      <c r="F1785" s="890" t="s">
        <v>5962</v>
      </c>
      <c r="G1785" s="187">
        <v>0</v>
      </c>
      <c r="H1785" s="138">
        <f>IF(D1785=G1785,0,IF(D1785=0,100,(G1785-D1785)/D1785*100))</f>
        <v>-100</v>
      </c>
      <c r="I1785" s="187">
        <f>ROUND(G1785+(G1785*Assumptions!H$5),-3)</f>
        <v>0</v>
      </c>
      <c r="J1785" s="33">
        <f>ROUND(I1785+(I1785*Assumptions!I$5),-3)</f>
        <v>0</v>
      </c>
      <c r="K1785" s="33">
        <f>ROUND(J1785+(J1785*Assumptions!J$5),-3)</f>
        <v>0</v>
      </c>
      <c r="L1785" s="33">
        <f>ROUND(K1785+(K1785*Assumptions!K$5),-3)</f>
        <v>0</v>
      </c>
      <c r="M1785" s="33">
        <f>ROUND(L1785+(L1785*Assumptions!L$5),-3)</f>
        <v>0</v>
      </c>
      <c r="N1785" s="33">
        <f>ROUND(M1785+(M1785*Assumptions!M$5),-3)</f>
        <v>0</v>
      </c>
      <c r="O1785" s="33">
        <f>ROUND(N1785+(N1785*Assumptions!N$5),-3)</f>
        <v>0</v>
      </c>
      <c r="P1785" s="33">
        <f>ROUND(O1785+(O1785*Assumptions!O$5),-3)</f>
        <v>0</v>
      </c>
      <c r="Q1785" s="33">
        <f>ROUND(P1785+(P1785*Assumptions!P$5),-3)</f>
        <v>0</v>
      </c>
      <c r="R1785" s="114">
        <f>ROUND(Q1785+(Q1785*Assumptions!Q$5),-3)</f>
        <v>0</v>
      </c>
    </row>
    <row r="1786" spans="1:18" x14ac:dyDescent="0.2">
      <c r="A1786" s="107">
        <v>0</v>
      </c>
      <c r="B1786" s="132">
        <v>0</v>
      </c>
      <c r="C1786" s="189">
        <v>0</v>
      </c>
      <c r="D1786" s="1012">
        <v>70400</v>
      </c>
      <c r="E1786" s="1092" t="s">
        <v>5542</v>
      </c>
      <c r="F1786" s="890" t="s">
        <v>6063</v>
      </c>
      <c r="G1786" s="187">
        <v>0</v>
      </c>
      <c r="H1786" s="138">
        <f>IF(D1786=G1786,0,IF(D1786=0,100,(G1786-D1786)/D1786*100))</f>
        <v>-100</v>
      </c>
      <c r="I1786" s="187">
        <f>ROUND(G1786+(G1786*Assumptions!H$5),-3)</f>
        <v>0</v>
      </c>
      <c r="J1786" s="33">
        <f>ROUND(I1786+(I1786*Assumptions!I$5),-3)</f>
        <v>0</v>
      </c>
      <c r="K1786" s="33">
        <f>ROUND(J1786+(J1786*Assumptions!J$5),-3)</f>
        <v>0</v>
      </c>
      <c r="L1786" s="33">
        <f>ROUND(K1786+(K1786*Assumptions!K$5),-3)</f>
        <v>0</v>
      </c>
      <c r="M1786" s="33">
        <f>ROUND(L1786+(L1786*Assumptions!L$5),-3)</f>
        <v>0</v>
      </c>
      <c r="N1786" s="33">
        <f>ROUND(M1786+(M1786*Assumptions!M$5),-3)</f>
        <v>0</v>
      </c>
      <c r="O1786" s="33">
        <f>ROUND(N1786+(N1786*Assumptions!N$5),-3)</f>
        <v>0</v>
      </c>
      <c r="P1786" s="33">
        <f>ROUND(O1786+(O1786*Assumptions!O$5),-3)</f>
        <v>0</v>
      </c>
      <c r="Q1786" s="33">
        <f>ROUND(P1786+(P1786*Assumptions!P$5),-3)</f>
        <v>0</v>
      </c>
      <c r="R1786" s="114">
        <f>ROUND(Q1786+(Q1786*Assumptions!Q$5),-3)</f>
        <v>0</v>
      </c>
    </row>
    <row r="1787" spans="1:18" x14ac:dyDescent="0.2">
      <c r="A1787" s="107"/>
      <c r="B1787" s="33"/>
      <c r="D1787" s="1012"/>
      <c r="E1787" s="658"/>
      <c r="F1787" s="8" t="s">
        <v>1689</v>
      </c>
      <c r="G1787" s="187"/>
      <c r="H1787" s="138"/>
      <c r="I1787" s="33"/>
      <c r="J1787" s="33"/>
      <c r="K1787" s="33"/>
      <c r="L1787" s="33"/>
      <c r="M1787" s="33"/>
      <c r="N1787" s="33"/>
      <c r="O1787" s="33"/>
      <c r="P1787" s="33"/>
      <c r="Q1787" s="33"/>
      <c r="R1787" s="114"/>
    </row>
    <row r="1788" spans="1:18" x14ac:dyDescent="0.2">
      <c r="A1788" s="107">
        <v>79000</v>
      </c>
      <c r="B1788" s="33">
        <v>54200</v>
      </c>
      <c r="C1788" s="189">
        <v>85400</v>
      </c>
      <c r="D1788" s="1012">
        <v>106100</v>
      </c>
      <c r="E1788" s="658" t="s">
        <v>2261</v>
      </c>
      <c r="F1788" s="890" t="s">
        <v>609</v>
      </c>
      <c r="G1788" s="187">
        <f>57000+40000</f>
        <v>97000</v>
      </c>
      <c r="H1788" s="138">
        <f>IF(D1788=G1788,0,IF(D1788=0,100,(G1788-D1788)/D1788*100))</f>
        <v>-8.5768143261074457</v>
      </c>
      <c r="I1788" s="33">
        <v>92000</v>
      </c>
      <c r="J1788" s="33">
        <v>135000</v>
      </c>
      <c r="K1788" s="33">
        <v>183000</v>
      </c>
      <c r="L1788" s="33">
        <v>178000</v>
      </c>
      <c r="M1788" s="33">
        <v>172000</v>
      </c>
      <c r="N1788" s="33">
        <v>164000</v>
      </c>
      <c r="O1788" s="33">
        <v>154000</v>
      </c>
      <c r="P1788" s="33">
        <v>154000</v>
      </c>
      <c r="Q1788" s="33">
        <v>154000</v>
      </c>
      <c r="R1788" s="114">
        <v>154000</v>
      </c>
    </row>
    <row r="1789" spans="1:18" x14ac:dyDescent="0.2">
      <c r="A1789" s="107"/>
      <c r="B1789" s="33"/>
      <c r="D1789" s="1012"/>
      <c r="E1789" s="658"/>
      <c r="F1789" s="8" t="s">
        <v>428</v>
      </c>
      <c r="G1789" s="187"/>
      <c r="H1789" s="138"/>
      <c r="I1789" s="33"/>
      <c r="J1789" s="33"/>
      <c r="K1789" s="33"/>
      <c r="L1789" s="33"/>
      <c r="M1789" s="33"/>
      <c r="N1789" s="33"/>
      <c r="O1789" s="33"/>
      <c r="P1789" s="33"/>
      <c r="Q1789" s="33"/>
      <c r="R1789" s="114"/>
    </row>
    <row r="1790" spans="1:18" x14ac:dyDescent="0.2">
      <c r="A1790" s="107">
        <v>97000</v>
      </c>
      <c r="B1790" s="33">
        <v>103600</v>
      </c>
      <c r="C1790" s="189">
        <v>53700</v>
      </c>
      <c r="D1790" s="1012">
        <v>15900</v>
      </c>
      <c r="E1790" s="658" t="s">
        <v>2411</v>
      </c>
      <c r="F1790" s="890" t="s">
        <v>4846</v>
      </c>
      <c r="G1790" s="187">
        <v>26000</v>
      </c>
      <c r="H1790" s="138">
        <f t="shared" ref="H1790:H1797" si="1552">IF(D1790=G1790,0,IF(D1790=0,100,(G1790-D1790)/D1790*100))</f>
        <v>63.522012578616348</v>
      </c>
      <c r="I1790" s="33">
        <f>ROUND(G1790+(G1790*Assumptions!H$5),-3)</f>
        <v>26000</v>
      </c>
      <c r="J1790" s="33">
        <f>ROUND(I1790+(I1790*Assumptions!I$5),-3)</f>
        <v>27000</v>
      </c>
      <c r="K1790" s="33">
        <f>ROUND(J1790+(J1790*Assumptions!J$5),-3)</f>
        <v>28000</v>
      </c>
      <c r="L1790" s="33">
        <f>ROUND(K1790+(K1790*Assumptions!K$5),-3)</f>
        <v>29000</v>
      </c>
      <c r="M1790" s="33">
        <f>ROUND(L1790+(L1790*Assumptions!L$5),-3)</f>
        <v>30000</v>
      </c>
      <c r="N1790" s="33">
        <f>ROUND(M1790+(M1790*Assumptions!M$5),-3)</f>
        <v>31000</v>
      </c>
      <c r="O1790" s="33">
        <f>ROUND(N1790+(N1790*Assumptions!N$5),-3)</f>
        <v>32000</v>
      </c>
      <c r="P1790" s="33">
        <f>ROUND(O1790+(O1790*Assumptions!O$5),-3)</f>
        <v>33000</v>
      </c>
      <c r="Q1790" s="33">
        <f>ROUND(P1790+(P1790*Assumptions!P$5),-3)</f>
        <v>34000</v>
      </c>
      <c r="R1790" s="114">
        <f>ROUND(Q1790+(Q1790*Assumptions!Q$5),-3)</f>
        <v>35000</v>
      </c>
    </row>
    <row r="1791" spans="1:18" x14ac:dyDescent="0.2">
      <c r="A1791" s="107">
        <v>0</v>
      </c>
      <c r="B1791" s="33">
        <v>0</v>
      </c>
      <c r="C1791" s="189">
        <v>26000</v>
      </c>
      <c r="D1791" s="1012">
        <v>24300</v>
      </c>
      <c r="E1791" s="1092" t="s">
        <v>5071</v>
      </c>
      <c r="F1791" s="890" t="s">
        <v>4845</v>
      </c>
      <c r="G1791" s="187">
        <v>24000</v>
      </c>
      <c r="H1791" s="138">
        <f t="shared" si="1552"/>
        <v>-1.2345679012345678</v>
      </c>
      <c r="I1791" s="33">
        <f>ROUND(G1791+(G1791*Assumptions!H$5),-3)</f>
        <v>24000</v>
      </c>
      <c r="J1791" s="33">
        <f>ROUND(I1791+(I1791*Assumptions!I$5),-3)</f>
        <v>25000</v>
      </c>
      <c r="K1791" s="33">
        <f>ROUND(J1791+(J1791*Assumptions!J$5),-3)</f>
        <v>26000</v>
      </c>
      <c r="L1791" s="33">
        <f>ROUND(K1791+(K1791*Assumptions!K$5),-3)</f>
        <v>27000</v>
      </c>
      <c r="M1791" s="33">
        <f>ROUND(L1791+(L1791*Assumptions!L$5),-3)</f>
        <v>28000</v>
      </c>
      <c r="N1791" s="33">
        <f>ROUND(M1791+(M1791*Assumptions!M$5),-3)</f>
        <v>29000</v>
      </c>
      <c r="O1791" s="33">
        <f>ROUND(N1791+(N1791*Assumptions!N$5),-3)</f>
        <v>30000</v>
      </c>
      <c r="P1791" s="33">
        <f>ROUND(O1791+(O1791*Assumptions!O$5),-3)</f>
        <v>31000</v>
      </c>
      <c r="Q1791" s="33">
        <f>ROUND(P1791+(P1791*Assumptions!P$5),-3)</f>
        <v>32000</v>
      </c>
      <c r="R1791" s="114">
        <f>ROUND(Q1791+(Q1791*Assumptions!Q$5),-3)</f>
        <v>33000</v>
      </c>
    </row>
    <row r="1792" spans="1:18" x14ac:dyDescent="0.2">
      <c r="A1792" s="107">
        <v>22600</v>
      </c>
      <c r="B1792" s="33">
        <v>19600</v>
      </c>
      <c r="C1792" s="189">
        <v>4900</v>
      </c>
      <c r="D1792" s="1012">
        <v>0</v>
      </c>
      <c r="E1792" s="658" t="s">
        <v>1400</v>
      </c>
      <c r="F1792" s="3" t="s">
        <v>1474</v>
      </c>
      <c r="G1792" s="187">
        <v>0</v>
      </c>
      <c r="H1792" s="138">
        <f t="shared" si="1552"/>
        <v>0</v>
      </c>
      <c r="I1792" s="33">
        <f>ROUND(G1792+(G1792*Assumptions!H$5),-3)</f>
        <v>0</v>
      </c>
      <c r="J1792" s="33">
        <f>ROUND(I1792+(I1792*Assumptions!I$5),-3)</f>
        <v>0</v>
      </c>
      <c r="K1792" s="33">
        <f>ROUND(J1792+(J1792*Assumptions!J$5),-3)</f>
        <v>0</v>
      </c>
      <c r="L1792" s="33">
        <f>ROUND(K1792+(K1792*Assumptions!K$5),-3)</f>
        <v>0</v>
      </c>
      <c r="M1792" s="33">
        <f>ROUND(L1792+(L1792*Assumptions!L$5),-3)</f>
        <v>0</v>
      </c>
      <c r="N1792" s="33">
        <f>ROUND(M1792+(M1792*Assumptions!M$5),-3)</f>
        <v>0</v>
      </c>
      <c r="O1792" s="33">
        <f>ROUND(N1792+(N1792*Assumptions!N$5),-3)</f>
        <v>0</v>
      </c>
      <c r="P1792" s="33">
        <f>ROUND(O1792+(O1792*Assumptions!O$5),-3)</f>
        <v>0</v>
      </c>
      <c r="Q1792" s="33">
        <f>ROUND(P1792+(P1792*Assumptions!P$5),-3)</f>
        <v>0</v>
      </c>
      <c r="R1792" s="114">
        <f>ROUND(Q1792+(Q1792*Assumptions!Q$5),-3)</f>
        <v>0</v>
      </c>
    </row>
    <row r="1793" spans="1:18" x14ac:dyDescent="0.2">
      <c r="A1793" s="107">
        <v>5200</v>
      </c>
      <c r="B1793" s="33">
        <v>5200</v>
      </c>
      <c r="C1793" s="189">
        <v>5200</v>
      </c>
      <c r="D1793" s="1012">
        <v>700</v>
      </c>
      <c r="E1793" s="658" t="s">
        <v>2746</v>
      </c>
      <c r="F1793" s="3" t="s">
        <v>174</v>
      </c>
      <c r="G1793" s="187">
        <v>1000</v>
      </c>
      <c r="H1793" s="138">
        <f t="shared" si="1552"/>
        <v>42.857142857142854</v>
      </c>
      <c r="I1793" s="33">
        <f>ROUND(G1793+(G1793*Assumptions!H$5),-3)</f>
        <v>1000</v>
      </c>
      <c r="J1793" s="33">
        <f>ROUND(I1793+(I1793*Assumptions!I$5),-3)</f>
        <v>1000</v>
      </c>
      <c r="K1793" s="33">
        <f>ROUND(J1793+(J1793*Assumptions!J$5),-3)</f>
        <v>1000</v>
      </c>
      <c r="L1793" s="33">
        <f>ROUND(K1793+(K1793*Assumptions!K$5),-3)</f>
        <v>1000</v>
      </c>
      <c r="M1793" s="33">
        <f>ROUND(L1793+(L1793*Assumptions!L$5),-3)</f>
        <v>1000</v>
      </c>
      <c r="N1793" s="33">
        <f>ROUND(M1793+(M1793*Assumptions!M$5),-3)</f>
        <v>1000</v>
      </c>
      <c r="O1793" s="33">
        <f>ROUND(N1793+(N1793*Assumptions!N$5),-3)</f>
        <v>1000</v>
      </c>
      <c r="P1793" s="33">
        <f>ROUND(O1793+(O1793*Assumptions!O$5),-3)</f>
        <v>1000</v>
      </c>
      <c r="Q1793" s="33">
        <f>ROUND(P1793+(P1793*Assumptions!P$5),-3)</f>
        <v>1000</v>
      </c>
      <c r="R1793" s="114">
        <f>ROUND(Q1793+(Q1793*Assumptions!Q$5),-3)</f>
        <v>1000</v>
      </c>
    </row>
    <row r="1794" spans="1:18" x14ac:dyDescent="0.2">
      <c r="A1794" s="107">
        <v>0</v>
      </c>
      <c r="B1794" s="33">
        <v>1500</v>
      </c>
      <c r="C1794" s="189">
        <v>-200</v>
      </c>
      <c r="D1794" s="1012">
        <v>0</v>
      </c>
      <c r="E1794" s="658" t="s">
        <v>2747</v>
      </c>
      <c r="F1794" s="3" t="s">
        <v>952</v>
      </c>
      <c r="G1794" s="187">
        <v>1000</v>
      </c>
      <c r="H1794" s="138">
        <f t="shared" si="1552"/>
        <v>100</v>
      </c>
      <c r="I1794" s="33">
        <f>ROUND(G1794+(G1794*Assumptions!H$5),-3)</f>
        <v>1000</v>
      </c>
      <c r="J1794" s="33">
        <f>ROUND(I1794+(I1794*Assumptions!I$5),-3)</f>
        <v>1000</v>
      </c>
      <c r="K1794" s="33">
        <f>ROUND(J1794+(J1794*Assumptions!J$5),-3)</f>
        <v>1000</v>
      </c>
      <c r="L1794" s="33">
        <f>ROUND(K1794+(K1794*Assumptions!K$5),-3)</f>
        <v>1000</v>
      </c>
      <c r="M1794" s="33">
        <f>ROUND(L1794+(L1794*Assumptions!L$5),-3)</f>
        <v>1000</v>
      </c>
      <c r="N1794" s="33">
        <f>ROUND(M1794+(M1794*Assumptions!M$5),-3)</f>
        <v>1000</v>
      </c>
      <c r="O1794" s="33">
        <f>ROUND(N1794+(N1794*Assumptions!N$5),-3)</f>
        <v>1000</v>
      </c>
      <c r="P1794" s="33">
        <f>ROUND(O1794+(O1794*Assumptions!O$5),-3)</f>
        <v>1000</v>
      </c>
      <c r="Q1794" s="33">
        <f>ROUND(P1794+(P1794*Assumptions!P$5),-3)</f>
        <v>1000</v>
      </c>
      <c r="R1794" s="114">
        <f>ROUND(Q1794+(Q1794*Assumptions!Q$5),-3)</f>
        <v>1000</v>
      </c>
    </row>
    <row r="1795" spans="1:18" x14ac:dyDescent="0.2">
      <c r="A1795" s="107">
        <v>0</v>
      </c>
      <c r="B1795" s="33">
        <v>0</v>
      </c>
      <c r="C1795" s="189">
        <v>0</v>
      </c>
      <c r="D1795" s="1012">
        <v>800</v>
      </c>
      <c r="E1795" s="1092" t="s">
        <v>5933</v>
      </c>
      <c r="F1795" s="890" t="s">
        <v>5934</v>
      </c>
      <c r="G1795" s="2509">
        <v>1000</v>
      </c>
      <c r="H1795" s="138">
        <f t="shared" si="1552"/>
        <v>25</v>
      </c>
      <c r="I1795" s="33">
        <f>ROUND(G1795+(G1795*Assumptions!H$5),-3)</f>
        <v>1000</v>
      </c>
      <c r="J1795" s="33">
        <f>ROUND(I1795+(I1795*Assumptions!I$5),-3)</f>
        <v>1000</v>
      </c>
      <c r="K1795" s="33">
        <f>ROUND(J1795+(J1795*Assumptions!J$5),-3)</f>
        <v>1000</v>
      </c>
      <c r="L1795" s="33">
        <f>ROUND(K1795+(K1795*Assumptions!K$5),-3)</f>
        <v>1000</v>
      </c>
      <c r="M1795" s="33">
        <f>ROUND(L1795+(L1795*Assumptions!L$5),-3)</f>
        <v>1000</v>
      </c>
      <c r="N1795" s="33">
        <f>ROUND(M1795+(M1795*Assumptions!M$5),-3)</f>
        <v>1000</v>
      </c>
      <c r="O1795" s="33">
        <f>ROUND(N1795+(N1795*Assumptions!N$5),-3)</f>
        <v>1000</v>
      </c>
      <c r="P1795" s="33">
        <f>ROUND(O1795+(O1795*Assumptions!O$5),-3)</f>
        <v>1000</v>
      </c>
      <c r="Q1795" s="33">
        <f>ROUND(P1795+(P1795*Assumptions!P$5),-3)</f>
        <v>1000</v>
      </c>
      <c r="R1795" s="114">
        <f>ROUND(Q1795+(Q1795*Assumptions!Q$5),-3)</f>
        <v>1000</v>
      </c>
    </row>
    <row r="1796" spans="1:18" x14ac:dyDescent="0.2">
      <c r="A1796" s="107">
        <f>15200+300+300+100+200+200</f>
        <v>16300</v>
      </c>
      <c r="B1796" s="132">
        <f>500+1000</f>
        <v>1500</v>
      </c>
      <c r="C1796" s="189">
        <v>0</v>
      </c>
      <c r="D1796" s="1012">
        <v>15200</v>
      </c>
      <c r="E1796" s="1092" t="s">
        <v>6138</v>
      </c>
      <c r="F1796" s="1099" t="s">
        <v>1853</v>
      </c>
      <c r="G1796" s="2509">
        <v>0</v>
      </c>
      <c r="H1796" s="138">
        <f t="shared" si="1552"/>
        <v>-100</v>
      </c>
      <c r="I1796" s="33">
        <f>ROUND(G1796+(G1796*Assumptions!H$5),-3)</f>
        <v>0</v>
      </c>
      <c r="J1796" s="33">
        <f>ROUND(I1796+(I1796*Assumptions!I$5),-3)</f>
        <v>0</v>
      </c>
      <c r="K1796" s="33">
        <f>ROUND(J1796+(J1796*Assumptions!J$5),-3)</f>
        <v>0</v>
      </c>
      <c r="L1796" s="33">
        <f>ROUND(K1796+(K1796*Assumptions!K$5),-3)</f>
        <v>0</v>
      </c>
      <c r="M1796" s="33">
        <f>ROUND(L1796+(L1796*Assumptions!L$5),-3)</f>
        <v>0</v>
      </c>
      <c r="N1796" s="33">
        <f>ROUND(M1796+(M1796*Assumptions!M$5),-3)</f>
        <v>0</v>
      </c>
      <c r="O1796" s="33">
        <f>ROUND(N1796+(N1796*Assumptions!N$5),-3)</f>
        <v>0</v>
      </c>
      <c r="P1796" s="33">
        <f>ROUND(O1796+(O1796*Assumptions!O$5),-3)</f>
        <v>0</v>
      </c>
      <c r="Q1796" s="33">
        <f>ROUND(P1796+(P1796*Assumptions!P$5),-3)</f>
        <v>0</v>
      </c>
      <c r="R1796" s="114">
        <f>ROUND(Q1796+(Q1796*Assumptions!Q$5),-3)</f>
        <v>0</v>
      </c>
    </row>
    <row r="1797" spans="1:18" x14ac:dyDescent="0.2">
      <c r="A1797" s="107">
        <v>0</v>
      </c>
      <c r="B1797" s="33">
        <v>0</v>
      </c>
      <c r="C1797" s="189">
        <v>0</v>
      </c>
      <c r="D1797" s="1012">
        <v>67800</v>
      </c>
      <c r="E1797" s="1092" t="s">
        <v>6800</v>
      </c>
      <c r="F1797" s="1099" t="s">
        <v>6904</v>
      </c>
      <c r="G1797" s="2509">
        <v>0</v>
      </c>
      <c r="H1797" s="138">
        <f t="shared" si="1552"/>
        <v>-100</v>
      </c>
      <c r="I1797" s="33">
        <f>ROUND(G1797+(G1797*Assumptions!H$5),-3)</f>
        <v>0</v>
      </c>
      <c r="J1797" s="33">
        <f>ROUND(I1797+(I1797*Assumptions!I$5),-3)</f>
        <v>0</v>
      </c>
      <c r="K1797" s="33">
        <f>ROUND(J1797+(J1797*Assumptions!J$5),-3)</f>
        <v>0</v>
      </c>
      <c r="L1797" s="33">
        <f>ROUND(K1797+(K1797*Assumptions!K$5),-3)</f>
        <v>0</v>
      </c>
      <c r="M1797" s="33">
        <f>ROUND(L1797+(L1797*Assumptions!L$5),-3)</f>
        <v>0</v>
      </c>
      <c r="N1797" s="33">
        <f>ROUND(M1797+(M1797*Assumptions!M$5),-3)</f>
        <v>0</v>
      </c>
      <c r="O1797" s="33">
        <f>ROUND(N1797+(N1797*Assumptions!N$5),-3)</f>
        <v>0</v>
      </c>
      <c r="P1797" s="33">
        <f>ROUND(O1797+(O1797*Assumptions!O$5),-3)</f>
        <v>0</v>
      </c>
      <c r="Q1797" s="33">
        <f>ROUND(P1797+(P1797*Assumptions!P$5),-3)</f>
        <v>0</v>
      </c>
      <c r="R1797" s="114">
        <f>ROUND(Q1797+(Q1797*Assumptions!Q$5),-3)</f>
        <v>0</v>
      </c>
    </row>
    <row r="1798" spans="1:18" ht="13.5" thickBot="1" x14ac:dyDescent="0.25">
      <c r="A1798" s="107"/>
      <c r="B1798" s="33"/>
      <c r="C1798" s="187"/>
      <c r="D1798" s="187"/>
      <c r="E1798" s="240"/>
      <c r="F1798" s="346"/>
      <c r="G1798" s="2509"/>
      <c r="H1798" s="138"/>
      <c r="I1798" s="33"/>
      <c r="J1798" s="33"/>
      <c r="K1798" s="33"/>
      <c r="L1798" s="33"/>
      <c r="M1798" s="33"/>
      <c r="N1798" s="33"/>
      <c r="O1798" s="33"/>
      <c r="P1798" s="33"/>
      <c r="Q1798" s="33"/>
      <c r="R1798" s="114"/>
    </row>
    <row r="1799" spans="1:18" x14ac:dyDescent="0.2">
      <c r="A1799" s="105">
        <f>SUM(A1774:A1798)</f>
        <v>2497000</v>
      </c>
      <c r="B1799" s="53">
        <f>SUM(B1774:B1798)</f>
        <v>2720200</v>
      </c>
      <c r="C1799" s="199">
        <f>SUM(C1774:C1798)</f>
        <v>3958300</v>
      </c>
      <c r="D1799" s="199">
        <f>SUM(D1774:D1798)</f>
        <v>3844500</v>
      </c>
      <c r="E1799" s="246"/>
      <c r="F1799" s="243"/>
      <c r="G1799" s="2510">
        <f>SUM(G1774:G1798)</f>
        <v>3567000</v>
      </c>
      <c r="H1799" s="180">
        <f>IF(D1799=G1799,0,IF(D1799=0,100,(G1799-D1799)/D1799*100))</f>
        <v>-7.2181037846273899</v>
      </c>
      <c r="I1799" s="53">
        <f t="shared" ref="I1799:Q1799" si="1553">SUM(I1774:I1798)</f>
        <v>2215000</v>
      </c>
      <c r="J1799" s="53">
        <f t="shared" si="1553"/>
        <v>2312400</v>
      </c>
      <c r="K1799" s="53">
        <f t="shared" si="1553"/>
        <v>2415800</v>
      </c>
      <c r="L1799" s="53">
        <f t="shared" si="1553"/>
        <v>2467200</v>
      </c>
      <c r="M1799" s="53">
        <f t="shared" si="1553"/>
        <v>2517600</v>
      </c>
      <c r="N1799" s="53">
        <f t="shared" si="1553"/>
        <v>2569000</v>
      </c>
      <c r="O1799" s="53">
        <f t="shared" si="1553"/>
        <v>2619400</v>
      </c>
      <c r="P1799" s="53">
        <f t="shared" si="1553"/>
        <v>2680800</v>
      </c>
      <c r="Q1799" s="53">
        <f t="shared" si="1553"/>
        <v>2744200</v>
      </c>
      <c r="R1799" s="113">
        <f t="shared" ref="R1799" si="1554">SUM(R1774:R1798)</f>
        <v>2809600</v>
      </c>
    </row>
    <row r="1800" spans="1:18" x14ac:dyDescent="0.2">
      <c r="A1800" s="107"/>
      <c r="B1800" s="33"/>
      <c r="C1800" s="187"/>
      <c r="D1800" s="187"/>
      <c r="E1800" s="240"/>
      <c r="F1800" s="103" t="s">
        <v>2205</v>
      </c>
      <c r="G1800" s="2509"/>
      <c r="H1800" s="138"/>
      <c r="I1800" s="33"/>
      <c r="J1800" s="580"/>
      <c r="K1800" s="33"/>
      <c r="L1800" s="33"/>
      <c r="M1800" s="33"/>
      <c r="N1800" s="33"/>
      <c r="O1800" s="33"/>
      <c r="P1800" s="33"/>
      <c r="Q1800" s="33"/>
      <c r="R1800" s="114"/>
    </row>
    <row r="1801" spans="1:18" x14ac:dyDescent="0.2">
      <c r="A1801" s="107"/>
      <c r="B1801" s="33"/>
      <c r="E1801" s="1955"/>
      <c r="F1801" s="243" t="s">
        <v>2192</v>
      </c>
      <c r="G1801" s="2509"/>
      <c r="H1801" s="138"/>
      <c r="I1801" s="33"/>
      <c r="J1801" s="33"/>
      <c r="K1801" s="33"/>
      <c r="L1801" s="33"/>
      <c r="M1801" s="33"/>
      <c r="N1801" s="33"/>
      <c r="O1801" s="33"/>
      <c r="P1801" s="33"/>
      <c r="Q1801" s="33"/>
      <c r="R1801" s="114"/>
    </row>
    <row r="1802" spans="1:18" x14ac:dyDescent="0.2">
      <c r="A1802" s="107"/>
      <c r="B1802" s="33"/>
      <c r="E1802" s="437"/>
      <c r="F1802" s="6" t="s">
        <v>473</v>
      </c>
      <c r="G1802" s="2509"/>
      <c r="H1802" s="138"/>
      <c r="I1802" s="33"/>
      <c r="J1802" s="33"/>
      <c r="K1802" s="33"/>
      <c r="L1802" s="33"/>
      <c r="M1802" s="33"/>
      <c r="N1802" s="33"/>
      <c r="O1802" s="33"/>
      <c r="P1802" s="33"/>
      <c r="Q1802" s="33"/>
      <c r="R1802" s="114"/>
    </row>
    <row r="1803" spans="1:18" x14ac:dyDescent="0.2">
      <c r="A1803" s="107">
        <v>30300</v>
      </c>
      <c r="B1803" s="132">
        <f>26400+2500</f>
        <v>28900</v>
      </c>
      <c r="C1803" s="189">
        <v>17900</v>
      </c>
      <c r="D1803" s="189">
        <v>30800</v>
      </c>
      <c r="E1803" s="658" t="s">
        <v>1443</v>
      </c>
      <c r="F1803" s="3" t="s">
        <v>1731</v>
      </c>
      <c r="G1803" s="2509">
        <v>25000</v>
      </c>
      <c r="H1803" s="138">
        <f t="shared" ref="H1803:H1824" si="1555">IF(D1803=G1803,0,IF(D1803=0,100,(G1803-D1803)/D1803*100))</f>
        <v>-18.831168831168831</v>
      </c>
      <c r="I1803" s="33">
        <f>ROUND(G1803+(G1803*Assumptions!H$5),-3)</f>
        <v>25000</v>
      </c>
      <c r="J1803" s="33">
        <f>ROUND(I1803+(I1803*Assumptions!I$5),-3)</f>
        <v>26000</v>
      </c>
      <c r="K1803" s="33">
        <f>ROUND(J1803+(J1803*Assumptions!J$5),-3)</f>
        <v>27000</v>
      </c>
      <c r="L1803" s="33">
        <f>ROUND(K1803+(K1803*Assumptions!K$5),-3)</f>
        <v>28000</v>
      </c>
      <c r="M1803" s="33">
        <f>ROUND(L1803+(L1803*Assumptions!L$5),-3)</f>
        <v>29000</v>
      </c>
      <c r="N1803" s="33">
        <f>ROUND(M1803+(M1803*Assumptions!M$5),-3)</f>
        <v>30000</v>
      </c>
      <c r="O1803" s="33">
        <f>ROUND(N1803+(N1803*Assumptions!N$5),-3)</f>
        <v>31000</v>
      </c>
      <c r="P1803" s="33">
        <f>ROUND(O1803+(O1803*Assumptions!O$5),-3)</f>
        <v>32000</v>
      </c>
      <c r="Q1803" s="33">
        <f>ROUND(P1803+(P1803*Assumptions!P$5),-3)</f>
        <v>33000</v>
      </c>
      <c r="R1803" s="114">
        <f>ROUND(Q1803+(Q1803*Assumptions!Q$5),-3)</f>
        <v>34000</v>
      </c>
    </row>
    <row r="1804" spans="1:18" x14ac:dyDescent="0.2">
      <c r="A1804" s="107">
        <v>2800</v>
      </c>
      <c r="B1804" s="132">
        <v>3200</v>
      </c>
      <c r="C1804" s="189">
        <v>3400</v>
      </c>
      <c r="D1804" s="189">
        <v>3700</v>
      </c>
      <c r="E1804" s="658" t="s">
        <v>1657</v>
      </c>
      <c r="F1804" s="890" t="s">
        <v>2891</v>
      </c>
      <c r="G1804" s="2509">
        <v>3000</v>
      </c>
      <c r="H1804" s="138">
        <f t="shared" si="1555"/>
        <v>-18.918918918918919</v>
      </c>
      <c r="I1804" s="33">
        <f>ROUND(G1804+(G1804*Assumptions!H$5),-3)</f>
        <v>3000</v>
      </c>
      <c r="J1804" s="33">
        <f>ROUND(I1804+(I1804*Assumptions!I$5),-3)</f>
        <v>3000</v>
      </c>
      <c r="K1804" s="33">
        <f>ROUND(J1804+(J1804*Assumptions!J$5),-3)</f>
        <v>3000</v>
      </c>
      <c r="L1804" s="33">
        <f>ROUND(K1804+(K1804*Assumptions!K$5),-3)</f>
        <v>3000</v>
      </c>
      <c r="M1804" s="33">
        <f>ROUND(L1804+(L1804*Assumptions!L$5),-3)</f>
        <v>3000</v>
      </c>
      <c r="N1804" s="33">
        <f>ROUND(M1804+(M1804*Assumptions!M$5),-3)</f>
        <v>3000</v>
      </c>
      <c r="O1804" s="33">
        <f>ROUND(N1804+(N1804*Assumptions!N$5),-3)</f>
        <v>3000</v>
      </c>
      <c r="P1804" s="33">
        <f>ROUND(O1804+(O1804*Assumptions!O$5),-3)</f>
        <v>3000</v>
      </c>
      <c r="Q1804" s="33">
        <f>ROUND(P1804+(P1804*Assumptions!P$5),-3)</f>
        <v>3000</v>
      </c>
      <c r="R1804" s="114">
        <f>ROUND(Q1804+(Q1804*Assumptions!Q$5),-3)</f>
        <v>3000</v>
      </c>
    </row>
    <row r="1805" spans="1:18" x14ac:dyDescent="0.2">
      <c r="A1805" s="107">
        <v>0</v>
      </c>
      <c r="B1805" s="132">
        <v>4000</v>
      </c>
      <c r="C1805" s="189">
        <v>6000</v>
      </c>
      <c r="D1805" s="189">
        <v>1200</v>
      </c>
      <c r="E1805" s="1092" t="s">
        <v>6801</v>
      </c>
      <c r="F1805" s="890" t="s">
        <v>3603</v>
      </c>
      <c r="G1805" s="2509">
        <v>2000</v>
      </c>
      <c r="H1805" s="138">
        <f t="shared" si="1555"/>
        <v>66.666666666666657</v>
      </c>
      <c r="I1805" s="33">
        <f>ROUND(G1805+(G1805*Assumptions!H$5),-3)</f>
        <v>2000</v>
      </c>
      <c r="J1805" s="33">
        <f>ROUND(I1805+(I1805*Assumptions!I$5),-3)</f>
        <v>2000</v>
      </c>
      <c r="K1805" s="33">
        <f>ROUND(J1805+(J1805*Assumptions!J$5),-3)</f>
        <v>2000</v>
      </c>
      <c r="L1805" s="33">
        <f>ROUND(K1805+(K1805*Assumptions!K$5),-3)</f>
        <v>2000</v>
      </c>
      <c r="M1805" s="33">
        <f>ROUND(L1805+(L1805*Assumptions!L$5),-3)</f>
        <v>2000</v>
      </c>
      <c r="N1805" s="33">
        <f>ROUND(M1805+(M1805*Assumptions!M$5),-3)</f>
        <v>2000</v>
      </c>
      <c r="O1805" s="33">
        <f>ROUND(N1805+(N1805*Assumptions!N$5),-3)</f>
        <v>2000</v>
      </c>
      <c r="P1805" s="33">
        <f>ROUND(O1805+(O1805*Assumptions!O$5),-3)</f>
        <v>2000</v>
      </c>
      <c r="Q1805" s="33">
        <f>ROUND(P1805+(P1805*Assumptions!P$5),-3)</f>
        <v>2000</v>
      </c>
      <c r="R1805" s="114">
        <f>ROUND(Q1805+(Q1805*Assumptions!Q$5),-3)</f>
        <v>2000</v>
      </c>
    </row>
    <row r="1806" spans="1:18" x14ac:dyDescent="0.2">
      <c r="A1806" s="107">
        <v>12500</v>
      </c>
      <c r="B1806" s="132">
        <v>15600</v>
      </c>
      <c r="C1806" s="189">
        <v>11600</v>
      </c>
      <c r="D1806" s="189">
        <v>10700</v>
      </c>
      <c r="E1806" s="658" t="s">
        <v>1656</v>
      </c>
      <c r="F1806" s="3" t="s">
        <v>2774</v>
      </c>
      <c r="G1806" s="2509">
        <f>12000-2000</f>
        <v>10000</v>
      </c>
      <c r="H1806" s="138">
        <f t="shared" si="1555"/>
        <v>-6.5420560747663545</v>
      </c>
      <c r="I1806" s="33">
        <f>ROUND(G1806+(G1806*Assumptions!H$5),-3)</f>
        <v>10000</v>
      </c>
      <c r="J1806" s="33">
        <f>ROUND(I1806+(I1806*Assumptions!I$5),-3)</f>
        <v>10000</v>
      </c>
      <c r="K1806" s="33">
        <f>ROUND(J1806+(J1806*Assumptions!J$5),-3)</f>
        <v>10000</v>
      </c>
      <c r="L1806" s="33">
        <f>ROUND(K1806+(K1806*Assumptions!K$5),-3)</f>
        <v>10000</v>
      </c>
      <c r="M1806" s="33">
        <f>ROUND(L1806+(L1806*Assumptions!L$5),-3)</f>
        <v>10000</v>
      </c>
      <c r="N1806" s="33">
        <f>ROUND(M1806+(M1806*Assumptions!M$5),-3)</f>
        <v>10000</v>
      </c>
      <c r="O1806" s="33">
        <f>ROUND(N1806+(N1806*Assumptions!N$5),-3)</f>
        <v>10000</v>
      </c>
      <c r="P1806" s="33">
        <f>ROUND(O1806+(O1806*Assumptions!O$5),-3)</f>
        <v>10000</v>
      </c>
      <c r="Q1806" s="33">
        <f>ROUND(P1806+(P1806*Assumptions!P$5),-3)</f>
        <v>10000</v>
      </c>
      <c r="R1806" s="114">
        <f>ROUND(Q1806+(Q1806*Assumptions!Q$5),-3)</f>
        <v>10000</v>
      </c>
    </row>
    <row r="1807" spans="1:18" x14ac:dyDescent="0.2">
      <c r="A1807" s="107">
        <v>29000</v>
      </c>
      <c r="B1807" s="132">
        <v>29700</v>
      </c>
      <c r="C1807" s="189">
        <v>34800</v>
      </c>
      <c r="D1807" s="189">
        <v>33700</v>
      </c>
      <c r="E1807" s="658" t="s">
        <v>974</v>
      </c>
      <c r="F1807" s="3" t="s">
        <v>1317</v>
      </c>
      <c r="G1807" s="2509">
        <v>36000</v>
      </c>
      <c r="H1807" s="138">
        <f t="shared" si="1555"/>
        <v>6.8249258160237387</v>
      </c>
      <c r="I1807" s="33">
        <f>ROUND(G1807+(G1807*Assumptions!H$5),-3)</f>
        <v>37000</v>
      </c>
      <c r="J1807" s="33">
        <f>ROUND(I1807+(I1807*Assumptions!I$5),-3)</f>
        <v>38000</v>
      </c>
      <c r="K1807" s="33">
        <f>ROUND(J1807+(J1807*Assumptions!J$5),-3)</f>
        <v>39000</v>
      </c>
      <c r="L1807" s="33">
        <f>ROUND(K1807+(K1807*Assumptions!K$5),-3)</f>
        <v>40000</v>
      </c>
      <c r="M1807" s="33">
        <f>ROUND(L1807+(L1807*Assumptions!L$5),-3)</f>
        <v>41000</v>
      </c>
      <c r="N1807" s="33">
        <f>ROUND(M1807+(M1807*Assumptions!M$5),-3)</f>
        <v>42000</v>
      </c>
      <c r="O1807" s="33">
        <f>ROUND(N1807+(N1807*Assumptions!N$5),-3)</f>
        <v>43000</v>
      </c>
      <c r="P1807" s="33">
        <f>ROUND(O1807+(O1807*Assumptions!O$5),-3)</f>
        <v>44000</v>
      </c>
      <c r="Q1807" s="33">
        <f>ROUND(P1807+(P1807*Assumptions!P$5),-3)</f>
        <v>45000</v>
      </c>
      <c r="R1807" s="114">
        <f>ROUND(Q1807+(Q1807*Assumptions!Q$5),-3)</f>
        <v>46000</v>
      </c>
    </row>
    <row r="1808" spans="1:18" x14ac:dyDescent="0.2">
      <c r="A1808" s="107">
        <v>800</v>
      </c>
      <c r="B1808" s="132">
        <v>800</v>
      </c>
      <c r="C1808" s="189">
        <v>1500</v>
      </c>
      <c r="D1808" s="189">
        <v>1700</v>
      </c>
      <c r="E1808" s="658" t="s">
        <v>1783</v>
      </c>
      <c r="F1808" s="3" t="s">
        <v>286</v>
      </c>
      <c r="G1808" s="2509">
        <v>1500</v>
      </c>
      <c r="H1808" s="138">
        <f t="shared" si="1555"/>
        <v>-11.76470588235294</v>
      </c>
      <c r="I1808" s="33">
        <f>ROUND(G1808+(G1808*Assumptions!H$5),-3)</f>
        <v>2000</v>
      </c>
      <c r="J1808" s="33">
        <f>ROUND(I1808+(I1808*Assumptions!I$5),-3)</f>
        <v>2000</v>
      </c>
      <c r="K1808" s="33">
        <f>ROUND(J1808+(J1808*Assumptions!J$5),-3)</f>
        <v>2000</v>
      </c>
      <c r="L1808" s="33">
        <f>ROUND(K1808+(K1808*Assumptions!K$5),-3)</f>
        <v>2000</v>
      </c>
      <c r="M1808" s="33">
        <f>ROUND(L1808+(L1808*Assumptions!L$5),-3)</f>
        <v>2000</v>
      </c>
      <c r="N1808" s="33">
        <f>ROUND(M1808+(M1808*Assumptions!M$5),-3)</f>
        <v>2000</v>
      </c>
      <c r="O1808" s="33">
        <f>ROUND(N1808+(N1808*Assumptions!N$5),-3)</f>
        <v>2000</v>
      </c>
      <c r="P1808" s="33">
        <f>ROUND(O1808+(O1808*Assumptions!O$5),-3)</f>
        <v>2000</v>
      </c>
      <c r="Q1808" s="33">
        <f>ROUND(P1808+(P1808*Assumptions!P$5),-3)</f>
        <v>2000</v>
      </c>
      <c r="R1808" s="114">
        <f>ROUND(Q1808+(Q1808*Assumptions!Q$5),-3)</f>
        <v>2000</v>
      </c>
    </row>
    <row r="1809" spans="1:18" x14ac:dyDescent="0.2">
      <c r="A1809" s="107">
        <v>15800</v>
      </c>
      <c r="B1809" s="132">
        <v>12100</v>
      </c>
      <c r="C1809" s="189">
        <v>11600</v>
      </c>
      <c r="D1809" s="189">
        <v>9500</v>
      </c>
      <c r="E1809" s="658" t="s">
        <v>1782</v>
      </c>
      <c r="F1809" s="890" t="s">
        <v>3557</v>
      </c>
      <c r="G1809" s="2509">
        <f>15000-5000</f>
        <v>10000</v>
      </c>
      <c r="H1809" s="138">
        <f t="shared" si="1555"/>
        <v>5.2631578947368416</v>
      </c>
      <c r="I1809" s="33">
        <f>ROUND(G1809+(G1809*Assumptions!H$5),-3)</f>
        <v>10000</v>
      </c>
      <c r="J1809" s="33">
        <f>ROUND(I1809+(I1809*Assumptions!I$5),-3)</f>
        <v>10000</v>
      </c>
      <c r="K1809" s="33">
        <f>ROUND(J1809+(J1809*Assumptions!J$5),-3)</f>
        <v>10000</v>
      </c>
      <c r="L1809" s="33">
        <f>ROUND(K1809+(K1809*Assumptions!K$5),-3)</f>
        <v>10000</v>
      </c>
      <c r="M1809" s="33">
        <f>ROUND(L1809+(L1809*Assumptions!L$5),-3)</f>
        <v>10000</v>
      </c>
      <c r="N1809" s="33">
        <f>ROUND(M1809+(M1809*Assumptions!M$5),-3)</f>
        <v>10000</v>
      </c>
      <c r="O1809" s="33">
        <f>ROUND(N1809+(N1809*Assumptions!N$5),-3)</f>
        <v>10000</v>
      </c>
      <c r="P1809" s="33">
        <f>ROUND(O1809+(O1809*Assumptions!O$5),-3)</f>
        <v>10000</v>
      </c>
      <c r="Q1809" s="33">
        <f>ROUND(P1809+(P1809*Assumptions!P$5),-3)</f>
        <v>10000</v>
      </c>
      <c r="R1809" s="114">
        <f>ROUND(Q1809+(Q1809*Assumptions!Q$5),-3)</f>
        <v>10000</v>
      </c>
    </row>
    <row r="1810" spans="1:18" x14ac:dyDescent="0.2">
      <c r="A1810" s="107">
        <v>0</v>
      </c>
      <c r="B1810" s="132">
        <v>0</v>
      </c>
      <c r="C1810" s="189">
        <v>7800</v>
      </c>
      <c r="D1810" s="189">
        <v>5000</v>
      </c>
      <c r="E1810" s="1092" t="s">
        <v>4847</v>
      </c>
      <c r="F1810" s="890" t="s">
        <v>4848</v>
      </c>
      <c r="G1810" s="2509">
        <v>5000</v>
      </c>
      <c r="H1810" s="138">
        <f t="shared" si="1555"/>
        <v>0</v>
      </c>
      <c r="I1810" s="33">
        <f>ROUND(G1810+(G1810*Assumptions!H$5),-3)</f>
        <v>5000</v>
      </c>
      <c r="J1810" s="33">
        <f>ROUND(I1810+(I1810*Assumptions!I$5),-3)</f>
        <v>5000</v>
      </c>
      <c r="K1810" s="33">
        <f>ROUND(J1810+(J1810*Assumptions!J$5),-3)</f>
        <v>5000</v>
      </c>
      <c r="L1810" s="33">
        <f>ROUND(K1810+(K1810*Assumptions!K$5),-3)</f>
        <v>5000</v>
      </c>
      <c r="M1810" s="33">
        <f>ROUND(L1810+(L1810*Assumptions!L$5),-3)</f>
        <v>5000</v>
      </c>
      <c r="N1810" s="33">
        <f>ROUND(M1810+(M1810*Assumptions!M$5),-3)</f>
        <v>5000</v>
      </c>
      <c r="O1810" s="33">
        <f>ROUND(N1810+(N1810*Assumptions!N$5),-3)</f>
        <v>5000</v>
      </c>
      <c r="P1810" s="33">
        <f>ROUND(O1810+(O1810*Assumptions!O$5),-3)</f>
        <v>5000</v>
      </c>
      <c r="Q1810" s="33">
        <f>ROUND(P1810+(P1810*Assumptions!P$5),-3)</f>
        <v>5000</v>
      </c>
      <c r="R1810" s="114">
        <f>ROUND(Q1810+(Q1810*Assumptions!Q$5),-3)</f>
        <v>5000</v>
      </c>
    </row>
    <row r="1811" spans="1:18" x14ac:dyDescent="0.2">
      <c r="A1811" s="107">
        <v>137000</v>
      </c>
      <c r="B1811" s="132">
        <v>192700</v>
      </c>
      <c r="C1811" s="189">
        <v>215100</v>
      </c>
      <c r="D1811" s="189">
        <v>188200</v>
      </c>
      <c r="E1811" s="658" t="s">
        <v>1444</v>
      </c>
      <c r="F1811" s="890" t="s">
        <v>3602</v>
      </c>
      <c r="G1811" s="2509">
        <v>197000</v>
      </c>
      <c r="H1811" s="138">
        <f t="shared" si="1555"/>
        <v>4.6758767268862913</v>
      </c>
      <c r="I1811" s="33">
        <f>ROUND(G1811+(G1811*Assumptions!H$5),-3)-25000</f>
        <v>175000</v>
      </c>
      <c r="J1811" s="33">
        <f>ROUND(I1811+(I1811*Assumptions!I$5),-3)</f>
        <v>179000</v>
      </c>
      <c r="K1811" s="33">
        <f>ROUND(J1811+(J1811*Assumptions!J$5),-3)</f>
        <v>183000</v>
      </c>
      <c r="L1811" s="33">
        <f>ROUND(K1811+(K1811*Assumptions!K$5),-3)</f>
        <v>188000</v>
      </c>
      <c r="M1811" s="33">
        <f>ROUND(L1811+(L1811*Assumptions!L$5),-3)</f>
        <v>192000</v>
      </c>
      <c r="N1811" s="33">
        <f>ROUND(M1811+(M1811*Assumptions!M$5),-3)</f>
        <v>196000</v>
      </c>
      <c r="O1811" s="33">
        <f>ROUND(N1811+(N1811*Assumptions!N$5),-3)</f>
        <v>200000</v>
      </c>
      <c r="P1811" s="33">
        <f>ROUND(O1811+(O1811*Assumptions!O$5),-3)</f>
        <v>204000</v>
      </c>
      <c r="Q1811" s="33">
        <f>ROUND(P1811+(P1811*Assumptions!P$5),-3)</f>
        <v>208000</v>
      </c>
      <c r="R1811" s="114">
        <f>ROUND(Q1811+(Q1811*Assumptions!Q$5),-3)</f>
        <v>212000</v>
      </c>
    </row>
    <row r="1812" spans="1:18" x14ac:dyDescent="0.2">
      <c r="A1812" s="107">
        <v>4600</v>
      </c>
      <c r="B1812" s="132">
        <v>3800</v>
      </c>
      <c r="C1812" s="189">
        <v>3800</v>
      </c>
      <c r="D1812" s="189">
        <v>3700</v>
      </c>
      <c r="E1812" s="658" t="s">
        <v>75</v>
      </c>
      <c r="F1812" s="3" t="s">
        <v>1655</v>
      </c>
      <c r="G1812" s="2509">
        <v>5000</v>
      </c>
      <c r="H1812" s="138">
        <f t="shared" si="1555"/>
        <v>35.135135135135137</v>
      </c>
      <c r="I1812" s="33">
        <f>ROUND(G1812+(G1812*Assumptions!H$5),-3)</f>
        <v>5000</v>
      </c>
      <c r="J1812" s="33">
        <f>ROUND(I1812+(I1812*Assumptions!I$5),-3)</f>
        <v>5000</v>
      </c>
      <c r="K1812" s="33">
        <f>ROUND(J1812+(J1812*Assumptions!J$5),-3)</f>
        <v>5000</v>
      </c>
      <c r="L1812" s="33">
        <f>ROUND(K1812+(K1812*Assumptions!K$5),-3)</f>
        <v>5000</v>
      </c>
      <c r="M1812" s="33">
        <f>ROUND(L1812+(L1812*Assumptions!L$5),-3)</f>
        <v>5000</v>
      </c>
      <c r="N1812" s="33">
        <f>ROUND(M1812+(M1812*Assumptions!M$5),-3)</f>
        <v>5000</v>
      </c>
      <c r="O1812" s="33">
        <f>ROUND(N1812+(N1812*Assumptions!N$5),-3)</f>
        <v>5000</v>
      </c>
      <c r="P1812" s="33">
        <f>ROUND(O1812+(O1812*Assumptions!O$5),-3)</f>
        <v>5000</v>
      </c>
      <c r="Q1812" s="33">
        <f>ROUND(P1812+(P1812*Assumptions!P$5),-3)</f>
        <v>5000</v>
      </c>
      <c r="R1812" s="114">
        <f>ROUND(Q1812+(Q1812*Assumptions!Q$5),-3)</f>
        <v>5000</v>
      </c>
    </row>
    <row r="1813" spans="1:18" x14ac:dyDescent="0.2">
      <c r="A1813" s="107">
        <v>20200</v>
      </c>
      <c r="B1813" s="132">
        <f>10000+15000</f>
        <v>25000</v>
      </c>
      <c r="C1813" s="189">
        <v>12000</v>
      </c>
      <c r="D1813" s="189">
        <v>38000</v>
      </c>
      <c r="E1813" s="658" t="s">
        <v>1756</v>
      </c>
      <c r="F1813" s="814" t="s">
        <v>4931</v>
      </c>
      <c r="G1813" s="198">
        <v>12000</v>
      </c>
      <c r="H1813" s="138">
        <f t="shared" si="1555"/>
        <v>-68.421052631578945</v>
      </c>
      <c r="I1813" s="33">
        <f>ROUND(G1813+(G1813*Assumptions!H$5),-3)</f>
        <v>12000</v>
      </c>
      <c r="J1813" s="33">
        <f>ROUND(I1813+(I1813*Assumptions!I$5),-3)</f>
        <v>12000</v>
      </c>
      <c r="K1813" s="33">
        <f>ROUND(J1813+(J1813*Assumptions!J$5),-3)</f>
        <v>12000</v>
      </c>
      <c r="L1813" s="33">
        <f>ROUND(K1813+(K1813*Assumptions!K$5),-3)</f>
        <v>12000</v>
      </c>
      <c r="M1813" s="33">
        <f>ROUND(L1813+(L1813*Assumptions!L$5),-3)</f>
        <v>12000</v>
      </c>
      <c r="N1813" s="33">
        <f>ROUND(M1813+(M1813*Assumptions!M$5),-3)</f>
        <v>12000</v>
      </c>
      <c r="O1813" s="33">
        <f>ROUND(N1813+(N1813*Assumptions!N$5),-3)</f>
        <v>12000</v>
      </c>
      <c r="P1813" s="33">
        <f>ROUND(O1813+(O1813*Assumptions!O$5),-3)</f>
        <v>12000</v>
      </c>
      <c r="Q1813" s="33">
        <f>ROUND(P1813+(P1813*Assumptions!P$5),-3)</f>
        <v>12000</v>
      </c>
      <c r="R1813" s="114">
        <f>ROUND(Q1813+(Q1813*Assumptions!Q$5),-3)</f>
        <v>12000</v>
      </c>
    </row>
    <row r="1814" spans="1:18" x14ac:dyDescent="0.2">
      <c r="A1814" s="107">
        <v>0</v>
      </c>
      <c r="B1814" s="132">
        <v>0</v>
      </c>
      <c r="C1814" s="189">
        <v>0</v>
      </c>
      <c r="D1814" s="189">
        <v>0</v>
      </c>
      <c r="E1814" s="1092" t="s">
        <v>6470</v>
      </c>
      <c r="F1814" s="814" t="s">
        <v>6051</v>
      </c>
      <c r="G1814" s="198">
        <f>33000+34000</f>
        <v>67000</v>
      </c>
      <c r="H1814" s="138">
        <f t="shared" si="1555"/>
        <v>100</v>
      </c>
      <c r="I1814" s="33">
        <v>34000</v>
      </c>
      <c r="J1814" s="33">
        <v>0</v>
      </c>
      <c r="K1814" s="33">
        <f>ROUND(J1814+(J1814*Assumptions!J$5),-3)</f>
        <v>0</v>
      </c>
      <c r="L1814" s="33">
        <f>ROUND(K1814+(K1814*Assumptions!K$5),-3)</f>
        <v>0</v>
      </c>
      <c r="M1814" s="33">
        <f>ROUND(L1814+(L1814*Assumptions!L$5),-3)</f>
        <v>0</v>
      </c>
      <c r="N1814" s="33">
        <f>ROUND(M1814+(M1814*Assumptions!M$5),-3)</f>
        <v>0</v>
      </c>
      <c r="O1814" s="33">
        <f>ROUND(N1814+(N1814*Assumptions!N$5),-3)</f>
        <v>0</v>
      </c>
      <c r="P1814" s="33">
        <f>ROUND(O1814+(O1814*Assumptions!O$5),-3)</f>
        <v>0</v>
      </c>
      <c r="Q1814" s="33">
        <f>ROUND(P1814+(P1814*Assumptions!P$5),-3)</f>
        <v>0</v>
      </c>
      <c r="R1814" s="114">
        <f>ROUND(Q1814+(Q1814*Assumptions!Q$5),-3)</f>
        <v>0</v>
      </c>
    </row>
    <row r="1815" spans="1:18" x14ac:dyDescent="0.2">
      <c r="A1815" s="107">
        <v>1700</v>
      </c>
      <c r="B1815" s="132">
        <v>900</v>
      </c>
      <c r="C1815" s="189">
        <v>7500</v>
      </c>
      <c r="D1815" s="189">
        <v>10700</v>
      </c>
      <c r="E1815" s="658" t="s">
        <v>1757</v>
      </c>
      <c r="F1815" s="443" t="s">
        <v>2865</v>
      </c>
      <c r="G1815" s="198">
        <f>4000+2000+3000</f>
        <v>9000</v>
      </c>
      <c r="H1815" s="138">
        <f t="shared" si="1555"/>
        <v>-15.887850467289718</v>
      </c>
      <c r="I1815" s="33">
        <f>ROUND(G1815+(G1815*Assumptions!H$5),-3)</f>
        <v>9000</v>
      </c>
      <c r="J1815" s="33">
        <f>ROUND(I1815+(I1815*Assumptions!I$5),-3)</f>
        <v>9000</v>
      </c>
      <c r="K1815" s="33">
        <f>ROUND(J1815+(J1815*Assumptions!J$5),-3)</f>
        <v>9000</v>
      </c>
      <c r="L1815" s="33">
        <f>ROUND(K1815+(K1815*Assumptions!K$5),-3)</f>
        <v>9000</v>
      </c>
      <c r="M1815" s="33">
        <f>ROUND(L1815+(L1815*Assumptions!L$5),-3)</f>
        <v>9000</v>
      </c>
      <c r="N1815" s="33">
        <f>ROUND(M1815+(M1815*Assumptions!M$5),-3)</f>
        <v>9000</v>
      </c>
      <c r="O1815" s="33">
        <f>ROUND(N1815+(N1815*Assumptions!N$5),-3)</f>
        <v>9000</v>
      </c>
      <c r="P1815" s="33">
        <f>ROUND(O1815+(O1815*Assumptions!O$5),-3)</f>
        <v>9000</v>
      </c>
      <c r="Q1815" s="33">
        <f>ROUND(P1815+(P1815*Assumptions!P$5),-3)</f>
        <v>9000</v>
      </c>
      <c r="R1815" s="114">
        <f>ROUND(Q1815+(Q1815*Assumptions!Q$5),-3)</f>
        <v>9000</v>
      </c>
    </row>
    <row r="1816" spans="1:18" x14ac:dyDescent="0.2">
      <c r="A1816" s="107">
        <v>16300</v>
      </c>
      <c r="B1816" s="132">
        <v>2800</v>
      </c>
      <c r="C1816" s="189">
        <v>100</v>
      </c>
      <c r="D1816" s="189">
        <v>0</v>
      </c>
      <c r="E1816" s="658" t="s">
        <v>1758</v>
      </c>
      <c r="F1816" s="443" t="s">
        <v>2250</v>
      </c>
      <c r="G1816" s="198">
        <v>3000</v>
      </c>
      <c r="H1816" s="138">
        <f t="shared" si="1555"/>
        <v>100</v>
      </c>
      <c r="I1816" s="33">
        <f>ROUND(G1816+(G1816*Assumptions!H$5),-3)</f>
        <v>3000</v>
      </c>
      <c r="J1816" s="33">
        <f>ROUND(I1816+(I1816*Assumptions!I$5),-3)</f>
        <v>3000</v>
      </c>
      <c r="K1816" s="33">
        <f>ROUND(J1816+(J1816*Assumptions!J$5),-3)</f>
        <v>3000</v>
      </c>
      <c r="L1816" s="33">
        <f>ROUND(K1816+(K1816*Assumptions!K$5),-3)</f>
        <v>3000</v>
      </c>
      <c r="M1816" s="33">
        <f>ROUND(L1816+(L1816*Assumptions!L$5),-3)</f>
        <v>3000</v>
      </c>
      <c r="N1816" s="33">
        <f>ROUND(M1816+(M1816*Assumptions!M$5),-3)</f>
        <v>3000</v>
      </c>
      <c r="O1816" s="33">
        <f>ROUND(N1816+(N1816*Assumptions!N$5),-3)</f>
        <v>3000</v>
      </c>
      <c r="P1816" s="33">
        <f>ROUND(O1816+(O1816*Assumptions!O$5),-3)</f>
        <v>3000</v>
      </c>
      <c r="Q1816" s="33">
        <f>ROUND(P1816+(P1816*Assumptions!P$5),-3)</f>
        <v>3000</v>
      </c>
      <c r="R1816" s="114">
        <f>ROUND(Q1816+(Q1816*Assumptions!Q$5),-3)</f>
        <v>3000</v>
      </c>
    </row>
    <row r="1817" spans="1:18" x14ac:dyDescent="0.2">
      <c r="A1817" s="107">
        <v>33200</v>
      </c>
      <c r="B1817" s="132">
        <v>28000</v>
      </c>
      <c r="C1817" s="189">
        <v>39100</v>
      </c>
      <c r="D1817" s="189">
        <v>44600</v>
      </c>
      <c r="E1817" s="658" t="s">
        <v>446</v>
      </c>
      <c r="F1817" s="814" t="s">
        <v>3327</v>
      </c>
      <c r="G1817" s="198">
        <v>40000</v>
      </c>
      <c r="H1817" s="138">
        <f t="shared" si="1555"/>
        <v>-10.31390134529148</v>
      </c>
      <c r="I1817" s="33">
        <f>ROUND(G1817+(G1817*Assumptions!H$5),-3)</f>
        <v>41000</v>
      </c>
      <c r="J1817" s="33">
        <f>ROUND(I1817+(I1817*Assumptions!I$5),-3)</f>
        <v>42000</v>
      </c>
      <c r="K1817" s="33">
        <f>ROUND(J1817+(J1817*Assumptions!J$5),-3)</f>
        <v>43000</v>
      </c>
      <c r="L1817" s="33">
        <f>ROUND(K1817+(K1817*Assumptions!K$5),-3)</f>
        <v>44000</v>
      </c>
      <c r="M1817" s="33">
        <f>ROUND(L1817+(L1817*Assumptions!L$5),-3)</f>
        <v>45000</v>
      </c>
      <c r="N1817" s="33">
        <f>ROUND(M1817+(M1817*Assumptions!M$5),-3)</f>
        <v>46000</v>
      </c>
      <c r="O1817" s="33">
        <f>ROUND(N1817+(N1817*Assumptions!N$5),-3)</f>
        <v>47000</v>
      </c>
      <c r="P1817" s="33">
        <f>ROUND(O1817+(O1817*Assumptions!O$5),-3)</f>
        <v>48000</v>
      </c>
      <c r="Q1817" s="33">
        <f>ROUND(P1817+(P1817*Assumptions!P$5),-3)</f>
        <v>49000</v>
      </c>
      <c r="R1817" s="114">
        <f>ROUND(Q1817+(Q1817*Assumptions!Q$5),-3)</f>
        <v>50000</v>
      </c>
    </row>
    <row r="1818" spans="1:18" x14ac:dyDescent="0.2">
      <c r="A1818" s="107">
        <v>8700</v>
      </c>
      <c r="B1818" s="132">
        <v>10800</v>
      </c>
      <c r="C1818" s="189">
        <v>4000</v>
      </c>
      <c r="D1818" s="189">
        <v>1700</v>
      </c>
      <c r="E1818" s="658" t="s">
        <v>447</v>
      </c>
      <c r="F1818" s="814" t="s">
        <v>5374</v>
      </c>
      <c r="G1818" s="198">
        <v>5000</v>
      </c>
      <c r="H1818" s="138">
        <f t="shared" si="1555"/>
        <v>194.11764705882354</v>
      </c>
      <c r="I1818" s="33">
        <f>ROUND(G1818+(G1818*Assumptions!H$5),-3)</f>
        <v>5000</v>
      </c>
      <c r="J1818" s="33">
        <f>ROUND(I1818+(I1818*Assumptions!I$5),-3)</f>
        <v>5000</v>
      </c>
      <c r="K1818" s="33">
        <f>ROUND(J1818+(J1818*Assumptions!J$5),-3)</f>
        <v>5000</v>
      </c>
      <c r="L1818" s="33">
        <f>ROUND(K1818+(K1818*Assumptions!K$5),-3)</f>
        <v>5000</v>
      </c>
      <c r="M1818" s="33">
        <f>ROUND(L1818+(L1818*Assumptions!L$5),-3)</f>
        <v>5000</v>
      </c>
      <c r="N1818" s="33">
        <f>ROUND(M1818+(M1818*Assumptions!M$5),-3)</f>
        <v>5000</v>
      </c>
      <c r="O1818" s="33">
        <f>ROUND(N1818+(N1818*Assumptions!N$5),-3)</f>
        <v>5000</v>
      </c>
      <c r="P1818" s="33">
        <f>ROUND(O1818+(O1818*Assumptions!O$5),-3)</f>
        <v>5000</v>
      </c>
      <c r="Q1818" s="33">
        <f>ROUND(P1818+(P1818*Assumptions!P$5),-3)</f>
        <v>5000</v>
      </c>
      <c r="R1818" s="114">
        <f>ROUND(Q1818+(Q1818*Assumptions!Q$5),-3)</f>
        <v>5000</v>
      </c>
    </row>
    <row r="1819" spans="1:18" x14ac:dyDescent="0.2">
      <c r="A1819" s="107">
        <v>21600</v>
      </c>
      <c r="B1819" s="132">
        <v>57500</v>
      </c>
      <c r="C1819" s="189">
        <v>45200</v>
      </c>
      <c r="D1819" s="189">
        <v>32800</v>
      </c>
      <c r="E1819" s="658" t="s">
        <v>1750</v>
      </c>
      <c r="F1819" s="443" t="s">
        <v>1468</v>
      </c>
      <c r="G1819" s="198">
        <f>38000-20000+6000</f>
        <v>24000</v>
      </c>
      <c r="H1819" s="138">
        <f t="shared" si="1555"/>
        <v>-26.829268292682929</v>
      </c>
      <c r="I1819" s="33">
        <f>ROUND(G1819+(G1819*Assumptions!H$5),-3)</f>
        <v>24000</v>
      </c>
      <c r="J1819" s="33">
        <f>ROUND(I1819+(I1819*Assumptions!I$5),-3)</f>
        <v>25000</v>
      </c>
      <c r="K1819" s="33">
        <f>ROUND(J1819+(J1819*Assumptions!J$5),-3)</f>
        <v>26000</v>
      </c>
      <c r="L1819" s="33">
        <f>ROUND(K1819+(K1819*Assumptions!K$5),-3)</f>
        <v>27000</v>
      </c>
      <c r="M1819" s="33">
        <f>ROUND(L1819+(L1819*Assumptions!L$5),-3)</f>
        <v>28000</v>
      </c>
      <c r="N1819" s="33">
        <f>ROUND(M1819+(M1819*Assumptions!M$5),-3)</f>
        <v>29000</v>
      </c>
      <c r="O1819" s="33">
        <f>ROUND(N1819+(N1819*Assumptions!N$5),-3)</f>
        <v>30000</v>
      </c>
      <c r="P1819" s="33">
        <f>ROUND(O1819+(O1819*Assumptions!O$5),-3)</f>
        <v>31000</v>
      </c>
      <c r="Q1819" s="33">
        <f>ROUND(P1819+(P1819*Assumptions!P$5),-3)</f>
        <v>32000</v>
      </c>
      <c r="R1819" s="114">
        <f>ROUND(Q1819+(Q1819*Assumptions!Q$5),-3)</f>
        <v>33000</v>
      </c>
    </row>
    <row r="1820" spans="1:18" x14ac:dyDescent="0.2">
      <c r="A1820" s="107">
        <v>5100</v>
      </c>
      <c r="B1820" s="132">
        <v>5300</v>
      </c>
      <c r="C1820" s="189">
        <v>18500</v>
      </c>
      <c r="D1820" s="189">
        <v>57800</v>
      </c>
      <c r="E1820" s="658" t="s">
        <v>1751</v>
      </c>
      <c r="F1820" s="443" t="s">
        <v>2176</v>
      </c>
      <c r="G1820" s="198">
        <f>22000+20000</f>
        <v>42000</v>
      </c>
      <c r="H1820" s="138">
        <f t="shared" si="1555"/>
        <v>-27.335640138408309</v>
      </c>
      <c r="I1820" s="33">
        <f>ROUND(G1820+(G1820*Assumptions!H$5),-3)</f>
        <v>43000</v>
      </c>
      <c r="J1820" s="33">
        <f>ROUND(I1820+(I1820*Assumptions!I$5),-3)</f>
        <v>44000</v>
      </c>
      <c r="K1820" s="33">
        <f>ROUND(J1820+(J1820*Assumptions!J$5),-3)</f>
        <v>45000</v>
      </c>
      <c r="L1820" s="33">
        <f>ROUND(K1820+(K1820*Assumptions!K$5),-3)</f>
        <v>46000</v>
      </c>
      <c r="M1820" s="33">
        <f>ROUND(L1820+(L1820*Assumptions!L$5),-3)</f>
        <v>47000</v>
      </c>
      <c r="N1820" s="33">
        <f>ROUND(M1820+(M1820*Assumptions!M$5),-3)</f>
        <v>48000</v>
      </c>
      <c r="O1820" s="33">
        <f>ROUND(N1820+(N1820*Assumptions!N$5),-3)</f>
        <v>49000</v>
      </c>
      <c r="P1820" s="33">
        <f>ROUND(O1820+(O1820*Assumptions!O$5),-3)</f>
        <v>50000</v>
      </c>
      <c r="Q1820" s="33">
        <f>ROUND(P1820+(P1820*Assumptions!P$5),-3)</f>
        <v>51000</v>
      </c>
      <c r="R1820" s="114">
        <f>ROUND(Q1820+(Q1820*Assumptions!Q$5),-3)</f>
        <v>52000</v>
      </c>
    </row>
    <row r="1821" spans="1:18" x14ac:dyDescent="0.2">
      <c r="A1821" s="107">
        <v>600</v>
      </c>
      <c r="B1821" s="132">
        <v>400</v>
      </c>
      <c r="C1821" s="189">
        <v>0</v>
      </c>
      <c r="D1821" s="189">
        <v>1300</v>
      </c>
      <c r="E1821" s="658" t="s">
        <v>1752</v>
      </c>
      <c r="F1821" s="443" t="s">
        <v>917</v>
      </c>
      <c r="G1821" s="198">
        <v>1000</v>
      </c>
      <c r="H1821" s="138">
        <f t="shared" si="1555"/>
        <v>-23.076923076923077</v>
      </c>
      <c r="I1821" s="33">
        <f>ROUND(G1821+(G1821*Assumptions!H$5),-3)</f>
        <v>1000</v>
      </c>
      <c r="J1821" s="33">
        <f>ROUND(I1821+(I1821*Assumptions!I$5),-3)</f>
        <v>1000</v>
      </c>
      <c r="K1821" s="33">
        <f>ROUND(J1821+(J1821*Assumptions!J$5),-3)</f>
        <v>1000</v>
      </c>
      <c r="L1821" s="33">
        <f>ROUND(K1821+(K1821*Assumptions!K$5),-3)</f>
        <v>1000</v>
      </c>
      <c r="M1821" s="33">
        <f>ROUND(L1821+(L1821*Assumptions!L$5),-3)</f>
        <v>1000</v>
      </c>
      <c r="N1821" s="33">
        <f>ROUND(M1821+(M1821*Assumptions!M$5),-3)</f>
        <v>1000</v>
      </c>
      <c r="O1821" s="33">
        <f>ROUND(N1821+(N1821*Assumptions!N$5),-3)</f>
        <v>1000</v>
      </c>
      <c r="P1821" s="33">
        <f>ROUND(O1821+(O1821*Assumptions!O$5),-3)</f>
        <v>1000</v>
      </c>
      <c r="Q1821" s="33">
        <f>ROUND(P1821+(P1821*Assumptions!P$5),-3)</f>
        <v>1000</v>
      </c>
      <c r="R1821" s="114">
        <f>ROUND(Q1821+(Q1821*Assumptions!Q$5),-3)</f>
        <v>1000</v>
      </c>
    </row>
    <row r="1822" spans="1:18" x14ac:dyDescent="0.2">
      <c r="A1822" s="107">
        <v>0</v>
      </c>
      <c r="B1822" s="132">
        <v>0</v>
      </c>
      <c r="C1822" s="1012">
        <v>0</v>
      </c>
      <c r="D1822" s="1012">
        <v>0</v>
      </c>
      <c r="E1822" s="1092" t="s">
        <v>6870</v>
      </c>
      <c r="F1822" s="814" t="s">
        <v>6871</v>
      </c>
      <c r="G1822" s="1362">
        <f>62000-7000</f>
        <v>55000</v>
      </c>
      <c r="H1822" s="138">
        <f t="shared" si="1555"/>
        <v>100</v>
      </c>
      <c r="I1822" s="33">
        <v>0</v>
      </c>
      <c r="J1822" s="33">
        <f>ROUND(I1822+(I1822*Assumptions!I$5),-3)</f>
        <v>0</v>
      </c>
      <c r="K1822" s="33">
        <f>ROUND(J1822+(J1822*Assumptions!J$5),-3)</f>
        <v>0</v>
      </c>
      <c r="L1822" s="33">
        <f>ROUND(K1822+(K1822*Assumptions!K$5),-3)</f>
        <v>0</v>
      </c>
      <c r="M1822" s="33">
        <f>ROUND(L1822+(L1822*Assumptions!L$5),-3)</f>
        <v>0</v>
      </c>
      <c r="N1822" s="33">
        <f>ROUND(M1822+(M1822*Assumptions!M$5),-3)</f>
        <v>0</v>
      </c>
      <c r="O1822" s="33">
        <f>ROUND(N1822+(N1822*Assumptions!N$5),-3)</f>
        <v>0</v>
      </c>
      <c r="P1822" s="33">
        <f>ROUND(O1822+(O1822*Assumptions!O$5),-3)</f>
        <v>0</v>
      </c>
      <c r="Q1822" s="33">
        <f>ROUND(P1822+(P1822*Assumptions!P$5),-3)</f>
        <v>0</v>
      </c>
      <c r="R1822" s="114">
        <f>ROUND(Q1822+(Q1822*Assumptions!Q$5),-3)</f>
        <v>0</v>
      </c>
    </row>
    <row r="1823" spans="1:18" x14ac:dyDescent="0.2">
      <c r="A1823" s="107"/>
      <c r="B1823" s="132"/>
      <c r="C1823" s="1012"/>
      <c r="D1823" s="1012"/>
      <c r="E1823" s="1092" t="s">
        <v>7115</v>
      </c>
      <c r="F1823" s="814" t="s">
        <v>7116</v>
      </c>
      <c r="G1823" s="1362">
        <v>500</v>
      </c>
      <c r="H1823" s="138">
        <f t="shared" si="1555"/>
        <v>100</v>
      </c>
      <c r="I1823" s="33">
        <v>0</v>
      </c>
      <c r="J1823" s="33">
        <f>ROUND(I1823+(I1823*Assumptions!I$5),-3)</f>
        <v>0</v>
      </c>
      <c r="K1823" s="33">
        <f>ROUND(J1823+(J1823*Assumptions!J$5),-3)</f>
        <v>0</v>
      </c>
      <c r="L1823" s="33">
        <f>ROUND(K1823+(K1823*Assumptions!K$5),-3)</f>
        <v>0</v>
      </c>
      <c r="M1823" s="33">
        <f>ROUND(L1823+(L1823*Assumptions!L$5),-3)</f>
        <v>0</v>
      </c>
      <c r="N1823" s="33">
        <f>ROUND(M1823+(M1823*Assumptions!M$5),-3)</f>
        <v>0</v>
      </c>
      <c r="O1823" s="33">
        <f>ROUND(N1823+(N1823*Assumptions!N$5),-3)</f>
        <v>0</v>
      </c>
      <c r="P1823" s="33">
        <f>ROUND(O1823+(O1823*Assumptions!O$5),-3)</f>
        <v>0</v>
      </c>
      <c r="Q1823" s="33">
        <f>ROUND(P1823+(P1823*Assumptions!P$5),-3)</f>
        <v>0</v>
      </c>
      <c r="R1823" s="114">
        <f>ROUND(Q1823+(Q1823*Assumptions!Q$5),-3)</f>
        <v>0</v>
      </c>
    </row>
    <row r="1824" spans="1:18" x14ac:dyDescent="0.2">
      <c r="A1824" s="107">
        <v>0</v>
      </c>
      <c r="B1824" s="132">
        <v>0</v>
      </c>
      <c r="C1824" s="189">
        <v>0</v>
      </c>
      <c r="D1824" s="189">
        <v>0</v>
      </c>
      <c r="E1824" s="1092" t="s">
        <v>3452</v>
      </c>
      <c r="F1824" s="814" t="s">
        <v>3451</v>
      </c>
      <c r="G1824" s="198">
        <v>0</v>
      </c>
      <c r="H1824" s="138">
        <f t="shared" si="1555"/>
        <v>0</v>
      </c>
      <c r="I1824" s="33">
        <f>ROUND(G1824+(G1824*Assumptions!H$5),-3)</f>
        <v>0</v>
      </c>
      <c r="J1824" s="33">
        <f>ROUND(I1824+(I1824*Assumptions!I$5),-3)</f>
        <v>0</v>
      </c>
      <c r="K1824" s="33">
        <f>ROUND(J1824+(J1824*Assumptions!J$5),-3)</f>
        <v>0</v>
      </c>
      <c r="L1824" s="33">
        <f>ROUND(K1824+(K1824*Assumptions!K$5),-3)</f>
        <v>0</v>
      </c>
      <c r="M1824" s="33">
        <f>ROUND(L1824+(L1824*Assumptions!L$5),-3)</f>
        <v>0</v>
      </c>
      <c r="N1824" s="33">
        <f>ROUND(M1824+(M1824*Assumptions!M$5),-3)</f>
        <v>0</v>
      </c>
      <c r="O1824" s="33">
        <f>ROUND(N1824+(N1824*Assumptions!N$5),-3)</f>
        <v>0</v>
      </c>
      <c r="P1824" s="33">
        <f>ROUND(O1824+(O1824*Assumptions!O$5),-3)</f>
        <v>0</v>
      </c>
      <c r="Q1824" s="33">
        <f>ROUND(P1824+(P1824*Assumptions!P$5),-3)</f>
        <v>0</v>
      </c>
      <c r="R1824" s="114">
        <f>ROUND(Q1824+(Q1824*Assumptions!Q$5),-3)</f>
        <v>0</v>
      </c>
    </row>
    <row r="1825" spans="1:18" x14ac:dyDescent="0.2">
      <c r="A1825" s="107"/>
      <c r="B1825" s="132"/>
      <c r="E1825" s="658"/>
      <c r="F1825" s="443"/>
      <c r="G1825" s="198"/>
      <c r="H1825" s="138"/>
      <c r="I1825" s="33"/>
      <c r="J1825" s="33"/>
      <c r="K1825" s="33"/>
      <c r="L1825" s="33"/>
      <c r="M1825" s="33"/>
      <c r="N1825" s="33"/>
      <c r="O1825" s="33"/>
      <c r="P1825" s="33"/>
      <c r="Q1825" s="33"/>
      <c r="R1825" s="114"/>
    </row>
    <row r="1826" spans="1:18" x14ac:dyDescent="0.2">
      <c r="A1826" s="107"/>
      <c r="B1826" s="132"/>
      <c r="E1826" s="658"/>
      <c r="F1826" s="439" t="s">
        <v>1663</v>
      </c>
      <c r="G1826" s="2509"/>
      <c r="H1826" s="138"/>
      <c r="I1826" s="187"/>
      <c r="J1826" s="187"/>
      <c r="K1826" s="33"/>
      <c r="L1826" s="33"/>
      <c r="M1826" s="33"/>
      <c r="N1826" s="33"/>
      <c r="O1826" s="33"/>
      <c r="P1826" s="33"/>
      <c r="Q1826" s="33"/>
      <c r="R1826" s="114"/>
    </row>
    <row r="1827" spans="1:18" x14ac:dyDescent="0.2">
      <c r="A1827" s="107">
        <v>505000</v>
      </c>
      <c r="B1827" s="132">
        <v>525000</v>
      </c>
      <c r="C1827" s="189">
        <v>562000</v>
      </c>
      <c r="D1827" s="189">
        <v>555000</v>
      </c>
      <c r="E1827" s="658" t="s">
        <v>448</v>
      </c>
      <c r="F1827" s="443" t="s">
        <v>1087</v>
      </c>
      <c r="G1827" s="198">
        <v>644000</v>
      </c>
      <c r="H1827" s="138">
        <f>IF(D1827=G1827,0,IF(D1827=0,100,(G1827-D1827)/D1827*100))</f>
        <v>16.036036036036037</v>
      </c>
      <c r="I1827" s="33">
        <f>Overheads!I280</f>
        <v>528000</v>
      </c>
      <c r="J1827" s="33">
        <f>ROUND(I1827+(I1827*Assumptions!I$5),-3)</f>
        <v>541000</v>
      </c>
      <c r="K1827" s="33">
        <f>ROUND(J1827+(J1827*Assumptions!J$5),-3)</f>
        <v>555000</v>
      </c>
      <c r="L1827" s="33">
        <f>ROUND(K1827+(K1827*Assumptions!K$5),-3)</f>
        <v>569000</v>
      </c>
      <c r="M1827" s="33">
        <f>ROUND(L1827+(L1827*Assumptions!L$5),-3)</f>
        <v>580000</v>
      </c>
      <c r="N1827" s="33">
        <f>ROUND(M1827+(M1827*Assumptions!M$5),-3)</f>
        <v>592000</v>
      </c>
      <c r="O1827" s="33">
        <f>ROUND(N1827+(N1827*Assumptions!N$5),-3)</f>
        <v>604000</v>
      </c>
      <c r="P1827" s="33">
        <f>ROUND(O1827+(O1827*Assumptions!O$5),-3)</f>
        <v>616000</v>
      </c>
      <c r="Q1827" s="33">
        <f>ROUND(P1827+(P1827*Assumptions!P$5),-3)</f>
        <v>628000</v>
      </c>
      <c r="R1827" s="114">
        <f>ROUND(Q1827+(Q1827*Assumptions!Q$5),-3)</f>
        <v>641000</v>
      </c>
    </row>
    <row r="1828" spans="1:18" x14ac:dyDescent="0.2">
      <c r="A1828" s="107"/>
      <c r="B1828" s="33"/>
      <c r="E1828" s="658"/>
      <c r="F1828" s="562"/>
      <c r="G1828" s="1362" t="s">
        <v>6057</v>
      </c>
      <c r="H1828" s="138"/>
      <c r="I1828" s="33"/>
      <c r="J1828" s="33"/>
      <c r="K1828" s="33"/>
      <c r="L1828" s="33"/>
      <c r="M1828" s="33"/>
      <c r="N1828" s="33"/>
      <c r="O1828" s="33"/>
      <c r="P1828" s="33"/>
      <c r="Q1828" s="33"/>
      <c r="R1828" s="114"/>
    </row>
    <row r="1829" spans="1:18" x14ac:dyDescent="0.2">
      <c r="A1829" s="107"/>
      <c r="B1829" s="33"/>
      <c r="C1829" s="33"/>
      <c r="D1829" s="33"/>
      <c r="E1829" s="445"/>
      <c r="F1829" s="439" t="s">
        <v>1130</v>
      </c>
      <c r="G1829" s="198"/>
      <c r="H1829" s="138"/>
      <c r="I1829" s="33"/>
      <c r="J1829" s="33"/>
      <c r="K1829" s="33"/>
      <c r="L1829" s="33"/>
      <c r="M1829" s="33"/>
      <c r="N1829" s="33"/>
      <c r="O1829" s="33"/>
      <c r="P1829" s="33"/>
      <c r="Q1829" s="33"/>
      <c r="R1829" s="114"/>
    </row>
    <row r="1830" spans="1:18" x14ac:dyDescent="0.2">
      <c r="A1830" s="107">
        <v>369000</v>
      </c>
      <c r="B1830" s="33">
        <v>299600</v>
      </c>
      <c r="C1830" s="33">
        <v>208300</v>
      </c>
      <c r="D1830" s="198">
        <f>ROUND(SUM('Debt-Gen'!J22:'Debt-Gen'!J25),-2)</f>
        <v>154000</v>
      </c>
      <c r="E1830" s="658" t="s">
        <v>1753</v>
      </c>
      <c r="F1830" s="814" t="s">
        <v>1366</v>
      </c>
      <c r="G1830" s="198">
        <f>ROUND(SUM('Debt-Gen'!L22:'Debt-Gen'!L25),-2)</f>
        <v>74200</v>
      </c>
      <c r="H1830" s="138">
        <f>IF(D1830=G1830,0,IF(D1830=0,100,(G1830-D1830)/D1830*100))</f>
        <v>-51.81818181818182</v>
      </c>
      <c r="I1830" s="33">
        <f>ROUND(SUM('Debt-Gen'!N22:'Debt-Gen'!N25),-2)</f>
        <v>10400</v>
      </c>
      <c r="J1830" s="33">
        <f>ROUND(SUM('Debt-Gen'!P22:'Debt-Gen'!P25),-2)</f>
        <v>0</v>
      </c>
      <c r="K1830" s="33">
        <f>ROUND(SUM('Debt-Gen'!R22:'Debt-Gen'!R25),-2)</f>
        <v>0</v>
      </c>
      <c r="L1830" s="33">
        <f>ROUND(SUM('Debt-Gen'!T22:'Debt-Gen'!T25),-2)</f>
        <v>0</v>
      </c>
      <c r="M1830" s="33">
        <f>ROUND(SUM('Debt-Gen'!V22:'Debt-Gen'!V25),-2)</f>
        <v>0</v>
      </c>
      <c r="N1830" s="33">
        <f>ROUND(SUM('Debt-Gen'!X22:'Debt-Gen'!X25),-2)</f>
        <v>0</v>
      </c>
      <c r="O1830" s="33">
        <f>ROUND(SUM('Debt-Gen'!Z22:'Debt-Gen'!Z25),-2)</f>
        <v>0</v>
      </c>
      <c r="P1830" s="33">
        <f>ROUND(SUM('Debt-Gen'!AB22:'Debt-Gen'!AB25),-2)</f>
        <v>0</v>
      </c>
      <c r="Q1830" s="33">
        <f>ROUND(SUM('Debt-Gen'!AD22:'Debt-Gen'!AD25),-2)</f>
        <v>0</v>
      </c>
      <c r="R1830" s="114">
        <f>ROUND(SUM('Debt-Gen'!AE22:'Debt-Gen'!AE25),-2)</f>
        <v>0</v>
      </c>
    </row>
    <row r="1831" spans="1:18" x14ac:dyDescent="0.2">
      <c r="A1831" s="107"/>
      <c r="B1831" s="33"/>
      <c r="C1831" s="142"/>
      <c r="D1831" s="142"/>
      <c r="E1831" s="658"/>
      <c r="F1831" s="443"/>
      <c r="G1831" s="198"/>
      <c r="H1831" s="138"/>
      <c r="I1831" s="33"/>
      <c r="J1831" s="33"/>
      <c r="K1831" s="33"/>
      <c r="L1831" s="33"/>
      <c r="M1831" s="33"/>
      <c r="N1831" s="33"/>
      <c r="O1831" s="33"/>
      <c r="P1831" s="33"/>
      <c r="Q1831" s="33"/>
      <c r="R1831" s="114"/>
    </row>
    <row r="1832" spans="1:18" x14ac:dyDescent="0.2">
      <c r="A1832" s="107"/>
      <c r="B1832" s="33"/>
      <c r="E1832" s="658"/>
      <c r="F1832" s="1103" t="s">
        <v>4413</v>
      </c>
      <c r="G1832" s="2509"/>
      <c r="H1832" s="138"/>
      <c r="I1832" s="187"/>
      <c r="J1832" s="33"/>
      <c r="K1832" s="33"/>
      <c r="L1832" s="33"/>
      <c r="M1832" s="33"/>
      <c r="N1832" s="33"/>
      <c r="O1832" s="33"/>
      <c r="P1832" s="33"/>
      <c r="Q1832" s="33"/>
      <c r="R1832" s="114"/>
    </row>
    <row r="1833" spans="1:18" x14ac:dyDescent="0.2">
      <c r="A1833" s="107">
        <v>-841500</v>
      </c>
      <c r="B1833" s="33">
        <v>-892500</v>
      </c>
      <c r="C1833" s="198">
        <v>-982400</v>
      </c>
      <c r="D1833" s="189">
        <v>-957400</v>
      </c>
      <c r="E1833" s="658" t="s">
        <v>2410</v>
      </c>
      <c r="F1833" s="814" t="s">
        <v>5371</v>
      </c>
      <c r="G1833" s="2509">
        <v>-983000</v>
      </c>
      <c r="H1833" s="138">
        <f>IF(D1833=G1833,0,IF(D1833=0,100,(G1833-D1833)/D1833*100))</f>
        <v>2.6739085021934406</v>
      </c>
      <c r="I1833" s="187">
        <f>ROUND(G1833+(G1833*Assumptions!H$21),-3)</f>
        <v>-1003000</v>
      </c>
      <c r="J1833" s="33">
        <f>ROUND(I1833+(I1833*Assumptions!I$21),-3)</f>
        <v>-1028000</v>
      </c>
      <c r="K1833" s="33">
        <f>ROUND(J1833+(J1833*Assumptions!J$21),-3)</f>
        <v>-1054000</v>
      </c>
      <c r="L1833" s="33">
        <f>ROUND(K1833+(K1833*Assumptions!K$21),-3)</f>
        <v>-1080000</v>
      </c>
      <c r="M1833" s="33">
        <f>ROUND(L1833+(L1833*Assumptions!L$21),-3)</f>
        <v>-1107000</v>
      </c>
      <c r="N1833" s="33">
        <f>ROUND(M1833+(M1833*Assumptions!M$21),-3)</f>
        <v>-1135000</v>
      </c>
      <c r="O1833" s="187">
        <f>ROUND(N1833+(N1833*Assumptions!N$21),-3)</f>
        <v>-1163000</v>
      </c>
      <c r="P1833" s="187">
        <f>ROUND(O1833+(O1833*Assumptions!O$21),-3)</f>
        <v>-1192000</v>
      </c>
      <c r="Q1833" s="187">
        <f>ROUND(P1833+(P1833*Assumptions!P$21),-3)</f>
        <v>-1222000</v>
      </c>
      <c r="R1833" s="188">
        <f>ROUND(Q1833+(Q1833*Assumptions!Q$21),-3)</f>
        <v>-1253000</v>
      </c>
    </row>
    <row r="1834" spans="1:18" x14ac:dyDescent="0.2">
      <c r="A1834" s="107">
        <v>-3023700</v>
      </c>
      <c r="B1834" s="33">
        <v>-2919400</v>
      </c>
      <c r="C1834" s="1012">
        <v>-1992400</v>
      </c>
      <c r="D1834" s="189">
        <v>-1831900</v>
      </c>
      <c r="E1834" s="658" t="s">
        <v>1441</v>
      </c>
      <c r="F1834" s="814" t="s">
        <v>5372</v>
      </c>
      <c r="G1834" s="2509">
        <f>-1882000+30000</f>
        <v>-1852000</v>
      </c>
      <c r="H1834" s="138">
        <f>IF(D1834=G1834,0,IF(D1834=0,100,(G1834-D1834)/D1834*100))</f>
        <v>1.0972214640537148</v>
      </c>
      <c r="I1834" s="187">
        <f>ROUND(G1834+(G1834*Assumptions!H$21),-3)</f>
        <v>-1889000</v>
      </c>
      <c r="J1834" s="33">
        <f>ROUND(I1834+(I1834*Assumptions!I$21),-3)</f>
        <v>-1936000</v>
      </c>
      <c r="K1834" s="33">
        <f>ROUND(J1834+(J1834*Assumptions!J$21),-3)</f>
        <v>-1984000</v>
      </c>
      <c r="L1834" s="33">
        <f>ROUND(K1834+(K1834*Assumptions!K$21),-3)</f>
        <v>-2034000</v>
      </c>
      <c r="M1834" s="33">
        <f>ROUND(L1834+(L1834*Assumptions!L$21),-3)</f>
        <v>-2085000</v>
      </c>
      <c r="N1834" s="33">
        <f>ROUND(M1834+(M1834*Assumptions!M$21),-3)</f>
        <v>-2137000</v>
      </c>
      <c r="O1834" s="187">
        <f>ROUND(N1834+(N1834*Assumptions!N$21),-3)</f>
        <v>-2190000</v>
      </c>
      <c r="P1834" s="187">
        <f>ROUND(O1834+(O1834*Assumptions!O$21),-3)</f>
        <v>-2245000</v>
      </c>
      <c r="Q1834" s="187">
        <f>ROUND(P1834+(P1834*Assumptions!P$21),-3)</f>
        <v>-2301000</v>
      </c>
      <c r="R1834" s="188">
        <f>ROUND(Q1834+(Q1834*Assumptions!Q$21),-3)</f>
        <v>-2359000</v>
      </c>
    </row>
    <row r="1835" spans="1:18" x14ac:dyDescent="0.2">
      <c r="A1835" s="107">
        <v>-504700</v>
      </c>
      <c r="B1835" s="33">
        <v>-318900</v>
      </c>
      <c r="C1835" s="189">
        <v>-314900</v>
      </c>
      <c r="D1835" s="189">
        <v>-465700</v>
      </c>
      <c r="E1835" s="658" t="s">
        <v>91</v>
      </c>
      <c r="F1835" s="814" t="s">
        <v>5373</v>
      </c>
      <c r="G1835" s="2509">
        <v>-422000</v>
      </c>
      <c r="H1835" s="138">
        <f>IF(D1835=G1835,0,IF(D1835=0,100,(G1835-D1835)/D1835*100))</f>
        <v>-9.3837234270989907</v>
      </c>
      <c r="I1835" s="187">
        <f>ROUND(G1835+(G1835*Assumptions!H$22),-3)</f>
        <v>-430000</v>
      </c>
      <c r="J1835" s="33">
        <f>ROUND(I1835+(I1835*Assumptions!I$22),-3)</f>
        <v>-441000</v>
      </c>
      <c r="K1835" s="33">
        <f>ROUND(J1835+(J1835*Assumptions!J$22),-3)</f>
        <v>-452000</v>
      </c>
      <c r="L1835" s="33">
        <f>ROUND(K1835+(K1835*Assumptions!K$22),-3)</f>
        <v>-463000</v>
      </c>
      <c r="M1835" s="33">
        <f>ROUND(L1835+(L1835*Assumptions!L$22),-3)</f>
        <v>-475000</v>
      </c>
      <c r="N1835" s="33">
        <f>ROUND(M1835+(M1835*Assumptions!M$22),-3)</f>
        <v>-487000</v>
      </c>
      <c r="O1835" s="187">
        <f>ROUND(N1835+(N1835*Assumptions!N$22),-3)</f>
        <v>-499000</v>
      </c>
      <c r="P1835" s="187">
        <f>ROUND(O1835+(O1835*Assumptions!O$22),-3)</f>
        <v>-511000</v>
      </c>
      <c r="Q1835" s="187">
        <f>ROUND(P1835+(P1835*Assumptions!P$22),-3)</f>
        <v>-524000</v>
      </c>
      <c r="R1835" s="188">
        <f>ROUND(Q1835+(Q1835*Assumptions!Q$22),-3)</f>
        <v>-537000</v>
      </c>
    </row>
    <row r="1836" spans="1:18" ht="13.5" thickBot="1" x14ac:dyDescent="0.25">
      <c r="A1836" s="171"/>
      <c r="B1836" s="66"/>
      <c r="C1836" s="202"/>
      <c r="D1836" s="202"/>
      <c r="E1836" s="1976"/>
      <c r="F1836" s="605"/>
      <c r="G1836" s="2610"/>
      <c r="H1836" s="140"/>
      <c r="I1836" s="66"/>
      <c r="J1836" s="66"/>
      <c r="K1836" s="66"/>
      <c r="L1836" s="66"/>
      <c r="M1836" s="66"/>
      <c r="N1836" s="66"/>
      <c r="O1836" s="66"/>
      <c r="P1836" s="66"/>
      <c r="Q1836" s="66"/>
      <c r="R1836" s="165"/>
    </row>
    <row r="1837" spans="1:18" s="99" customFormat="1" ht="14.25" thickTop="1" thickBot="1" x14ac:dyDescent="0.25">
      <c r="A1837" s="74"/>
      <c r="B1837" s="74"/>
      <c r="C1837" s="197"/>
      <c r="D1837" s="197"/>
      <c r="E1837" s="242"/>
      <c r="F1837" s="137"/>
      <c r="G1837" s="197"/>
      <c r="H1837" s="123"/>
    </row>
    <row r="1838" spans="1:18" s="91" customFormat="1" ht="18.75" customHeight="1" thickTop="1" thickBot="1" x14ac:dyDescent="0.3">
      <c r="A1838" s="2865" t="s">
        <v>4596</v>
      </c>
      <c r="B1838" s="2866"/>
      <c r="C1838" s="2866"/>
      <c r="D1838" s="2866"/>
      <c r="E1838" s="2866"/>
      <c r="F1838" s="2866"/>
      <c r="G1838" s="2866"/>
      <c r="H1838" s="2866"/>
      <c r="I1838" s="2866"/>
      <c r="J1838" s="2866"/>
      <c r="K1838" s="2866"/>
      <c r="L1838" s="2866"/>
      <c r="M1838" s="2866"/>
      <c r="N1838" s="2866"/>
      <c r="O1838" s="2866"/>
      <c r="P1838" s="2866"/>
      <c r="Q1838" s="2866"/>
      <c r="R1838" s="2867"/>
    </row>
    <row r="1839" spans="1:18" s="44" customFormat="1" x14ac:dyDescent="0.2">
      <c r="A1839" s="2848" t="s">
        <v>1856</v>
      </c>
      <c r="B1839" s="2840"/>
      <c r="C1839" s="2840"/>
      <c r="D1839" s="2849"/>
      <c r="E1839" s="369" t="s">
        <v>2663</v>
      </c>
      <c r="F1839" s="2649" t="s">
        <v>2251</v>
      </c>
      <c r="G1839" s="2885" t="s">
        <v>2253</v>
      </c>
      <c r="H1839" s="2886"/>
      <c r="I1839" s="2886"/>
      <c r="J1839" s="2886"/>
      <c r="K1839" s="2886"/>
      <c r="L1839" s="2886"/>
      <c r="M1839" s="2886"/>
      <c r="N1839" s="2886"/>
      <c r="O1839" s="2886"/>
      <c r="P1839" s="2886"/>
      <c r="Q1839" s="2886"/>
      <c r="R1839" s="2887"/>
    </row>
    <row r="1840" spans="1:18" s="23" customFormat="1" ht="12.75" customHeight="1" thickBot="1" x14ac:dyDescent="0.25">
      <c r="A1840" s="208" t="str">
        <f>A3</f>
        <v>2012/13</v>
      </c>
      <c r="B1840" s="75" t="str">
        <f>B3</f>
        <v>2013/14</v>
      </c>
      <c r="C1840" s="370" t="str">
        <f>C3</f>
        <v>2014/15</v>
      </c>
      <c r="D1840" s="93" t="str">
        <f>D3</f>
        <v>2015/16</v>
      </c>
      <c r="E1840" s="370"/>
      <c r="F1840" s="361"/>
      <c r="G1840" s="2513" t="str">
        <f t="shared" ref="G1840:R1840" si="1556">G3</f>
        <v>2016/17</v>
      </c>
      <c r="H1840" s="2193" t="str">
        <f t="shared" si="1556"/>
        <v>%</v>
      </c>
      <c r="I1840" s="370" t="str">
        <f t="shared" si="1556"/>
        <v>2017/18</v>
      </c>
      <c r="J1840" s="370" t="str">
        <f t="shared" si="1556"/>
        <v>2018/19</v>
      </c>
      <c r="K1840" s="370" t="str">
        <f t="shared" si="1556"/>
        <v>2019/20</v>
      </c>
      <c r="L1840" s="370" t="str">
        <f t="shared" si="1556"/>
        <v>2020/21</v>
      </c>
      <c r="M1840" s="370" t="str">
        <f t="shared" si="1556"/>
        <v>2021/22</v>
      </c>
      <c r="N1840" s="370" t="str">
        <f t="shared" si="1556"/>
        <v>2022/23</v>
      </c>
      <c r="O1840" s="370" t="str">
        <f t="shared" si="1556"/>
        <v>2023/24</v>
      </c>
      <c r="P1840" s="381" t="str">
        <f t="shared" si="1556"/>
        <v>2024/25</v>
      </c>
      <c r="Q1840" s="218" t="str">
        <f t="shared" si="1556"/>
        <v>2025/26</v>
      </c>
      <c r="R1840" s="549" t="str">
        <f t="shared" si="1556"/>
        <v>2026/27</v>
      </c>
    </row>
    <row r="1841" spans="1:18" x14ac:dyDescent="0.2">
      <c r="A1841" s="107"/>
      <c r="B1841" s="33"/>
      <c r="E1841" s="673"/>
      <c r="F1841" s="443"/>
      <c r="G1841" s="198"/>
      <c r="H1841" s="138"/>
      <c r="I1841" s="33"/>
      <c r="J1841" s="33"/>
      <c r="K1841" s="33"/>
      <c r="L1841" s="33"/>
      <c r="M1841" s="33"/>
      <c r="N1841" s="33"/>
      <c r="O1841" s="33"/>
      <c r="P1841" s="142"/>
      <c r="Q1841" s="33"/>
      <c r="R1841" s="114"/>
    </row>
    <row r="1842" spans="1:18" x14ac:dyDescent="0.2">
      <c r="A1842" s="107"/>
      <c r="B1842" s="33"/>
      <c r="E1842" s="1955"/>
      <c r="F1842" s="602" t="s">
        <v>166</v>
      </c>
      <c r="G1842" s="198"/>
      <c r="H1842" s="138"/>
      <c r="I1842" s="33"/>
      <c r="J1842" s="33"/>
      <c r="K1842" s="33"/>
      <c r="L1842" s="33"/>
      <c r="M1842" s="33"/>
      <c r="N1842" s="33"/>
      <c r="O1842" s="33"/>
      <c r="P1842" s="142"/>
      <c r="Q1842" s="33"/>
      <c r="R1842" s="114"/>
    </row>
    <row r="1843" spans="1:18" x14ac:dyDescent="0.2">
      <c r="A1843" s="107"/>
      <c r="B1843" s="33"/>
      <c r="E1843" s="437"/>
      <c r="F1843" s="439" t="s">
        <v>2380</v>
      </c>
      <c r="G1843" s="198"/>
      <c r="H1843" s="138"/>
      <c r="I1843" s="33"/>
      <c r="J1843" s="33"/>
      <c r="K1843" s="33"/>
      <c r="L1843" s="33"/>
      <c r="M1843" s="33"/>
      <c r="N1843" s="33"/>
      <c r="O1843" s="33"/>
      <c r="P1843" s="142"/>
      <c r="Q1843" s="33"/>
      <c r="R1843" s="114"/>
    </row>
    <row r="1844" spans="1:18" x14ac:dyDescent="0.2">
      <c r="A1844" s="107">
        <v>1400</v>
      </c>
      <c r="B1844" s="132">
        <v>1400</v>
      </c>
      <c r="C1844" s="189">
        <v>1400</v>
      </c>
      <c r="D1844" s="189">
        <v>1600</v>
      </c>
      <c r="E1844" s="658" t="s">
        <v>1632</v>
      </c>
      <c r="F1844" s="443" t="s">
        <v>2678</v>
      </c>
      <c r="G1844" s="198">
        <v>2000</v>
      </c>
      <c r="H1844" s="138">
        <f>IF(D1844=G1844,0,IF(D1844=0,100,(G1844-D1844)/D1844*100))</f>
        <v>25</v>
      </c>
      <c r="I1844" s="33">
        <f>ROUND(G1844+(G1844*Assumptions!H$5),-3)</f>
        <v>2000</v>
      </c>
      <c r="J1844" s="33">
        <f>ROUND(I1844+(I1844*Assumptions!I$5),-3)</f>
        <v>2000</v>
      </c>
      <c r="K1844" s="33">
        <f>ROUND(J1844+(J1844*Assumptions!J$5),-3)</f>
        <v>2000</v>
      </c>
      <c r="L1844" s="33">
        <f>ROUND(K1844+(K1844*Assumptions!K$5),-3)</f>
        <v>2000</v>
      </c>
      <c r="M1844" s="33">
        <f>ROUND(L1844+(L1844*Assumptions!L$5),-3)</f>
        <v>2000</v>
      </c>
      <c r="N1844" s="33">
        <f>ROUND(M1844+(M1844*Assumptions!M$5),-3)</f>
        <v>2000</v>
      </c>
      <c r="O1844" s="33">
        <f>ROUND(N1844+(N1844*Assumptions!N$5),-3)</f>
        <v>2000</v>
      </c>
      <c r="P1844" s="142">
        <f>ROUND(O1844+(O1844*Assumptions!O$5),-3)</f>
        <v>2000</v>
      </c>
      <c r="Q1844" s="33">
        <f>ROUND(P1844+(P1844*Assumptions!P$5),-3)</f>
        <v>2000</v>
      </c>
      <c r="R1844" s="114">
        <f>ROUND(Q1844+(Q1844*Assumptions!Q$5),-3)</f>
        <v>2000</v>
      </c>
    </row>
    <row r="1845" spans="1:18" x14ac:dyDescent="0.2">
      <c r="A1845" s="107">
        <v>19700</v>
      </c>
      <c r="B1845" s="132">
        <v>18900</v>
      </c>
      <c r="C1845" s="189">
        <v>12200</v>
      </c>
      <c r="D1845" s="189">
        <v>12100</v>
      </c>
      <c r="E1845" s="658" t="s">
        <v>1633</v>
      </c>
      <c r="F1845" s="443" t="s">
        <v>274</v>
      </c>
      <c r="G1845" s="198">
        <v>20000</v>
      </c>
      <c r="H1845" s="138">
        <f>IF(D1845=G1845,0,IF(D1845=0,100,(G1845-D1845)/D1845*100))</f>
        <v>65.289256198347118</v>
      </c>
      <c r="I1845" s="33">
        <f>ROUND(G1845+(G1845*Assumptions!H$5),-3)</f>
        <v>20000</v>
      </c>
      <c r="J1845" s="33">
        <f>ROUND(I1845+(I1845*Assumptions!I$5),-3)</f>
        <v>21000</v>
      </c>
      <c r="K1845" s="33">
        <f>ROUND(J1845+(J1845*Assumptions!J$5),-3)</f>
        <v>22000</v>
      </c>
      <c r="L1845" s="33">
        <f>ROUND(K1845+(K1845*Assumptions!K$5),-3)</f>
        <v>23000</v>
      </c>
      <c r="M1845" s="33">
        <f>ROUND(L1845+(L1845*Assumptions!L$5),-3)</f>
        <v>23000</v>
      </c>
      <c r="N1845" s="33">
        <f>ROUND(M1845+(M1845*Assumptions!M$5),-3)</f>
        <v>23000</v>
      </c>
      <c r="O1845" s="33">
        <f>ROUND(N1845+(N1845*Assumptions!N$5),-3)</f>
        <v>23000</v>
      </c>
      <c r="P1845" s="142">
        <f>ROUND(O1845+(O1845*Assumptions!O$5),-3)</f>
        <v>23000</v>
      </c>
      <c r="Q1845" s="33">
        <f>ROUND(P1845+(P1845*Assumptions!P$5),-3)</f>
        <v>23000</v>
      </c>
      <c r="R1845" s="114">
        <f>ROUND(Q1845+(Q1845*Assumptions!Q$5),-3)</f>
        <v>23000</v>
      </c>
    </row>
    <row r="1846" spans="1:18" x14ac:dyDescent="0.2">
      <c r="A1846" s="107">
        <v>164500</v>
      </c>
      <c r="B1846" s="132">
        <v>178200</v>
      </c>
      <c r="C1846" s="189">
        <f>188400-13600</f>
        <v>174800</v>
      </c>
      <c r="D1846" s="189">
        <v>149600</v>
      </c>
      <c r="E1846" s="658" t="s">
        <v>1634</v>
      </c>
      <c r="F1846" s="443" t="s">
        <v>275</v>
      </c>
      <c r="G1846" s="198">
        <f>179000-15000</f>
        <v>164000</v>
      </c>
      <c r="H1846" s="138">
        <f>IF(D1846=G1846,0,IF(D1846=0,100,(G1846-D1846)/D1846*100))</f>
        <v>9.6256684491978604</v>
      </c>
      <c r="I1846" s="33">
        <f>ROUND(G1846+(G1846*Assumptions!H$5),-3)</f>
        <v>166000</v>
      </c>
      <c r="J1846" s="33">
        <f>ROUND(I1846+(I1846*Assumptions!I$5),-3)</f>
        <v>170000</v>
      </c>
      <c r="K1846" s="33">
        <f>ROUND(J1846+(J1846*Assumptions!J$5),-3)</f>
        <v>174000</v>
      </c>
      <c r="L1846" s="33">
        <f>ROUND(K1846+(K1846*Assumptions!K$5),-3)</f>
        <v>178000</v>
      </c>
      <c r="M1846" s="33">
        <f>ROUND(L1846+(L1846*Assumptions!L$5),-3)</f>
        <v>182000</v>
      </c>
      <c r="N1846" s="33">
        <f>ROUND(M1846+(M1846*Assumptions!M$5),-3)</f>
        <v>186000</v>
      </c>
      <c r="O1846" s="33">
        <f>ROUND(N1846+(N1846*Assumptions!N$5),-3)</f>
        <v>190000</v>
      </c>
      <c r="P1846" s="142">
        <f>ROUND(O1846+(O1846*Assumptions!O$5),-3)</f>
        <v>194000</v>
      </c>
      <c r="Q1846" s="33">
        <f>ROUND(P1846+(P1846*Assumptions!P$5),-3)</f>
        <v>198000</v>
      </c>
      <c r="R1846" s="114">
        <f>ROUND(Q1846+(Q1846*Assumptions!Q$5),-3)</f>
        <v>202000</v>
      </c>
    </row>
    <row r="1847" spans="1:18" x14ac:dyDescent="0.2">
      <c r="A1847" s="107">
        <v>5100</v>
      </c>
      <c r="B1847" s="132">
        <v>13600</v>
      </c>
      <c r="C1847" s="189">
        <v>5000</v>
      </c>
      <c r="D1847" s="189">
        <v>5200</v>
      </c>
      <c r="E1847" s="658" t="s">
        <v>939</v>
      </c>
      <c r="F1847" s="443" t="s">
        <v>461</v>
      </c>
      <c r="G1847" s="198">
        <v>6000</v>
      </c>
      <c r="H1847" s="138">
        <f>IF(D1847=G1847,0,IF(D1847=0,100,(G1847-D1847)/D1847*100))</f>
        <v>15.384615384615385</v>
      </c>
      <c r="I1847" s="33">
        <f>ROUND(G1847+(G1847*Assumptions!H$5),-3)</f>
        <v>6000</v>
      </c>
      <c r="J1847" s="33">
        <f>ROUND(I1847+(I1847*Assumptions!I$5),-3)</f>
        <v>6000</v>
      </c>
      <c r="K1847" s="33">
        <f>ROUND(J1847+(J1847*Assumptions!J$5),-3)</f>
        <v>6000</v>
      </c>
      <c r="L1847" s="33">
        <f>ROUND(K1847+(K1847*Assumptions!K$5),-3)</f>
        <v>6000</v>
      </c>
      <c r="M1847" s="33">
        <f>ROUND(L1847+(L1847*Assumptions!L$5),-3)</f>
        <v>6000</v>
      </c>
      <c r="N1847" s="33">
        <f>ROUND(M1847+(M1847*Assumptions!M$5),-3)</f>
        <v>6000</v>
      </c>
      <c r="O1847" s="33">
        <f>ROUND(N1847+(N1847*Assumptions!N$5),-3)</f>
        <v>6000</v>
      </c>
      <c r="P1847" s="142">
        <f>ROUND(O1847+(O1847*Assumptions!O$5),-3)</f>
        <v>6000</v>
      </c>
      <c r="Q1847" s="33">
        <f>ROUND(P1847+(P1847*Assumptions!P$5),-3)</f>
        <v>6000</v>
      </c>
      <c r="R1847" s="114">
        <f>ROUND(Q1847+(Q1847*Assumptions!Q$5),-3)</f>
        <v>6000</v>
      </c>
    </row>
    <row r="1848" spans="1:18" x14ac:dyDescent="0.2">
      <c r="A1848" s="107">
        <v>3400</v>
      </c>
      <c r="B1848" s="132">
        <v>4000</v>
      </c>
      <c r="C1848" s="189">
        <v>13200</v>
      </c>
      <c r="D1848" s="189">
        <v>4100</v>
      </c>
      <c r="E1848" s="658" t="s">
        <v>940</v>
      </c>
      <c r="F1848" s="443" t="s">
        <v>62</v>
      </c>
      <c r="G1848" s="198">
        <v>16000</v>
      </c>
      <c r="H1848" s="138">
        <f>IF(D1848=G1848,0,IF(D1848=0,100,(G1848-D1848)/D1848*100))</f>
        <v>290.2439024390244</v>
      </c>
      <c r="I1848" s="33">
        <f>ROUND(G1848+(G1848*Assumptions!H$5),-3)</f>
        <v>16000</v>
      </c>
      <c r="J1848" s="33">
        <f>ROUND(I1848+(I1848*Assumptions!I$5),-3)</f>
        <v>16000</v>
      </c>
      <c r="K1848" s="33">
        <f>ROUND(J1848+(J1848*Assumptions!J$5),-3)</f>
        <v>16000</v>
      </c>
      <c r="L1848" s="33">
        <f>ROUND(K1848+(K1848*Assumptions!K$5),-3)</f>
        <v>16000</v>
      </c>
      <c r="M1848" s="33">
        <f>ROUND(L1848+(L1848*Assumptions!L$5),-3)</f>
        <v>16000</v>
      </c>
      <c r="N1848" s="33">
        <f>ROUND(M1848+(M1848*Assumptions!M$5),-3)</f>
        <v>16000</v>
      </c>
      <c r="O1848" s="33">
        <f>ROUND(N1848+(N1848*Assumptions!N$5),-3)</f>
        <v>16000</v>
      </c>
      <c r="P1848" s="142">
        <f>ROUND(O1848+(O1848*Assumptions!O$5),-3)</f>
        <v>16000</v>
      </c>
      <c r="Q1848" s="33">
        <f>ROUND(P1848+(P1848*Assumptions!P$5),-3)</f>
        <v>16000</v>
      </c>
      <c r="R1848" s="114">
        <f>ROUND(Q1848+(Q1848*Assumptions!Q$5),-3)</f>
        <v>16000</v>
      </c>
    </row>
    <row r="1849" spans="1:18" x14ac:dyDescent="0.2">
      <c r="A1849" s="107"/>
      <c r="B1849" s="132"/>
      <c r="E1849" s="445"/>
      <c r="F1849" s="443"/>
      <c r="G1849" s="198"/>
      <c r="H1849" s="138"/>
      <c r="I1849" s="33"/>
      <c r="J1849" s="33"/>
      <c r="K1849" s="33"/>
      <c r="L1849" s="33"/>
      <c r="M1849" s="33"/>
      <c r="N1849" s="33"/>
      <c r="O1849" s="33"/>
      <c r="P1849" s="142"/>
      <c r="Q1849" s="33"/>
      <c r="R1849" s="114"/>
    </row>
    <row r="1850" spans="1:18" x14ac:dyDescent="0.2">
      <c r="A1850" s="107"/>
      <c r="B1850" s="132"/>
      <c r="E1850" s="437"/>
      <c r="F1850" s="439" t="s">
        <v>491</v>
      </c>
      <c r="G1850" s="198"/>
      <c r="H1850" s="138"/>
      <c r="I1850" s="33"/>
      <c r="J1850" s="33"/>
      <c r="K1850" s="33"/>
      <c r="L1850" s="33"/>
      <c r="M1850" s="33"/>
      <c r="N1850" s="33"/>
      <c r="O1850" s="33"/>
      <c r="P1850" s="142"/>
      <c r="Q1850" s="33"/>
      <c r="R1850" s="114"/>
    </row>
    <row r="1851" spans="1:18" x14ac:dyDescent="0.2">
      <c r="A1851" s="107">
        <v>94900</v>
      </c>
      <c r="B1851" s="132">
        <v>91400</v>
      </c>
      <c r="C1851" s="189">
        <v>92000</v>
      </c>
      <c r="D1851" s="189">
        <v>117500</v>
      </c>
      <c r="E1851" s="658" t="s">
        <v>928</v>
      </c>
      <c r="F1851" s="443" t="s">
        <v>2082</v>
      </c>
      <c r="G1851" s="198">
        <f>96000+10000+15000</f>
        <v>121000</v>
      </c>
      <c r="H1851" s="138">
        <f>IF(D1851=G1851,0,IF(D1851=0,100,(G1851-D1851)/D1851*100))</f>
        <v>2.9787234042553195</v>
      </c>
      <c r="I1851" s="33">
        <f>ROUND(G1851+(G1851*Assumptions!H$5),-3)</f>
        <v>123000</v>
      </c>
      <c r="J1851" s="33">
        <f>ROUND(I1851+(I1851*Assumptions!I$5),-3)</f>
        <v>126000</v>
      </c>
      <c r="K1851" s="33">
        <f>ROUND(J1851+(J1851*Assumptions!J$5),-3)</f>
        <v>129000</v>
      </c>
      <c r="L1851" s="33">
        <f>ROUND(K1851+(K1851*Assumptions!K$5),-3)</f>
        <v>132000</v>
      </c>
      <c r="M1851" s="33">
        <f>ROUND(L1851+(L1851*Assumptions!L$5),-3)</f>
        <v>135000</v>
      </c>
      <c r="N1851" s="33">
        <f>ROUND(M1851+(M1851*Assumptions!M$5),-3)</f>
        <v>138000</v>
      </c>
      <c r="O1851" s="33">
        <f>ROUND(N1851+(N1851*Assumptions!N$5),-3)</f>
        <v>141000</v>
      </c>
      <c r="P1851" s="142">
        <f>ROUND(O1851+(O1851*Assumptions!O$5),-3)</f>
        <v>144000</v>
      </c>
      <c r="Q1851" s="33">
        <f>ROUND(P1851+(P1851*Assumptions!P$5),-3)</f>
        <v>147000</v>
      </c>
      <c r="R1851" s="114">
        <f>ROUND(Q1851+(Q1851*Assumptions!Q$5),-3)</f>
        <v>150000</v>
      </c>
    </row>
    <row r="1852" spans="1:18" x14ac:dyDescent="0.2">
      <c r="A1852" s="107">
        <v>51000</v>
      </c>
      <c r="B1852" s="132">
        <v>51100</v>
      </c>
      <c r="C1852" s="189">
        <v>29300</v>
      </c>
      <c r="D1852" s="189">
        <v>47800</v>
      </c>
      <c r="E1852" s="658" t="s">
        <v>929</v>
      </c>
      <c r="F1852" s="443" t="s">
        <v>363</v>
      </c>
      <c r="G1852" s="198">
        <f>45000-15000</f>
        <v>30000</v>
      </c>
      <c r="H1852" s="138">
        <f>IF(D1852=G1852,0,IF(D1852=0,100,(G1852-D1852)/D1852*100))</f>
        <v>-37.238493723849366</v>
      </c>
      <c r="I1852" s="33">
        <f>ROUND(G1852+(G1852*Assumptions!H$5),-3)</f>
        <v>30000</v>
      </c>
      <c r="J1852" s="33">
        <f>ROUND(I1852+(I1852*Assumptions!I$5),-3)</f>
        <v>31000</v>
      </c>
      <c r="K1852" s="33">
        <f>ROUND(J1852+(J1852*Assumptions!J$5),-3)</f>
        <v>32000</v>
      </c>
      <c r="L1852" s="33">
        <f>ROUND(K1852+(K1852*Assumptions!K$5),-3)</f>
        <v>33000</v>
      </c>
      <c r="M1852" s="33">
        <f>ROUND(L1852+(L1852*Assumptions!L$5),-3)</f>
        <v>34000</v>
      </c>
      <c r="N1852" s="33">
        <f>ROUND(M1852+(M1852*Assumptions!M$5),-3)</f>
        <v>35000</v>
      </c>
      <c r="O1852" s="33">
        <f>ROUND(N1852+(N1852*Assumptions!N$5),-3)</f>
        <v>36000</v>
      </c>
      <c r="P1852" s="142">
        <f>ROUND(O1852+(O1852*Assumptions!O$5),-3)</f>
        <v>37000</v>
      </c>
      <c r="Q1852" s="33">
        <f>ROUND(P1852+(P1852*Assumptions!P$5),-3)</f>
        <v>38000</v>
      </c>
      <c r="R1852" s="114">
        <f>ROUND(Q1852+(Q1852*Assumptions!Q$5),-3)</f>
        <v>39000</v>
      </c>
    </row>
    <row r="1853" spans="1:18" x14ac:dyDescent="0.2">
      <c r="A1853" s="107">
        <v>39600</v>
      </c>
      <c r="B1853" s="132">
        <v>44300</v>
      </c>
      <c r="C1853" s="189">
        <v>68500</v>
      </c>
      <c r="D1853" s="189">
        <v>34400</v>
      </c>
      <c r="E1853" s="658" t="s">
        <v>930</v>
      </c>
      <c r="F1853" s="443" t="s">
        <v>364</v>
      </c>
      <c r="G1853" s="198">
        <f>82000-30000</f>
        <v>52000</v>
      </c>
      <c r="H1853" s="138">
        <f>IF(D1853=G1853,0,IF(D1853=0,100,(G1853-D1853)/D1853*100))</f>
        <v>51.162790697674424</v>
      </c>
      <c r="I1853" s="33">
        <f>ROUND(G1853+(G1853*Assumptions!H$5),-3)</f>
        <v>53000</v>
      </c>
      <c r="J1853" s="33">
        <f>ROUND(I1853+(I1853*Assumptions!I$5),-3)</f>
        <v>54000</v>
      </c>
      <c r="K1853" s="33">
        <f>ROUND(J1853+(J1853*Assumptions!J$5),-3)</f>
        <v>55000</v>
      </c>
      <c r="L1853" s="33">
        <f>ROUND(K1853+(K1853*Assumptions!K$5),-3)</f>
        <v>56000</v>
      </c>
      <c r="M1853" s="33">
        <f>ROUND(L1853+(L1853*Assumptions!L$5),-3)</f>
        <v>57000</v>
      </c>
      <c r="N1853" s="33">
        <f>ROUND(M1853+(M1853*Assumptions!M$5),-3)</f>
        <v>58000</v>
      </c>
      <c r="O1853" s="33">
        <f>ROUND(N1853+(N1853*Assumptions!N$5),-3)</f>
        <v>59000</v>
      </c>
      <c r="P1853" s="142">
        <f>ROUND(O1853+(O1853*Assumptions!O$5),-3)</f>
        <v>60000</v>
      </c>
      <c r="Q1853" s="33">
        <f>ROUND(P1853+(P1853*Assumptions!P$5),-3)</f>
        <v>61000</v>
      </c>
      <c r="R1853" s="114">
        <f>ROUND(Q1853+(Q1853*Assumptions!Q$5),-3)</f>
        <v>62000</v>
      </c>
    </row>
    <row r="1854" spans="1:18" x14ac:dyDescent="0.2">
      <c r="A1854" s="107"/>
      <c r="B1854" s="132"/>
      <c r="E1854" s="673"/>
      <c r="F1854" s="443"/>
      <c r="G1854" s="198"/>
      <c r="H1854" s="138"/>
      <c r="I1854" s="33"/>
      <c r="J1854" s="33"/>
      <c r="K1854" s="33"/>
      <c r="L1854" s="33"/>
      <c r="M1854" s="33"/>
      <c r="N1854" s="33"/>
      <c r="O1854" s="33"/>
      <c r="P1854" s="142"/>
      <c r="Q1854" s="33"/>
      <c r="R1854" s="114"/>
    </row>
    <row r="1855" spans="1:18" x14ac:dyDescent="0.2">
      <c r="A1855" s="107"/>
      <c r="B1855" s="132"/>
      <c r="E1855" s="1955"/>
      <c r="F1855" s="602" t="s">
        <v>2759</v>
      </c>
      <c r="G1855" s="198"/>
      <c r="H1855" s="138"/>
      <c r="I1855" s="33"/>
      <c r="J1855" s="33"/>
      <c r="K1855" s="33"/>
      <c r="L1855" s="33"/>
      <c r="M1855" s="33"/>
      <c r="N1855" s="33"/>
      <c r="O1855" s="33"/>
      <c r="P1855" s="142"/>
      <c r="Q1855" s="33"/>
      <c r="R1855" s="114"/>
    </row>
    <row r="1856" spans="1:18" x14ac:dyDescent="0.2">
      <c r="A1856" s="107"/>
      <c r="B1856" s="132"/>
      <c r="E1856" s="437"/>
      <c r="F1856" s="439" t="s">
        <v>414</v>
      </c>
      <c r="G1856" s="198"/>
      <c r="H1856" s="138"/>
      <c r="I1856" s="33"/>
      <c r="J1856" s="33"/>
      <c r="K1856" s="33"/>
      <c r="L1856" s="33"/>
      <c r="M1856" s="33"/>
      <c r="N1856" s="33"/>
      <c r="O1856" s="33"/>
      <c r="P1856" s="142"/>
      <c r="Q1856" s="33"/>
      <c r="R1856" s="114"/>
    </row>
    <row r="1857" spans="1:18" x14ac:dyDescent="0.2">
      <c r="A1857" s="107">
        <v>10700</v>
      </c>
      <c r="B1857" s="132">
        <v>28600</v>
      </c>
      <c r="C1857" s="189">
        <v>53800</v>
      </c>
      <c r="D1857" s="189">
        <v>61000</v>
      </c>
      <c r="E1857" s="658" t="s">
        <v>931</v>
      </c>
      <c r="F1857" s="814" t="s">
        <v>4612</v>
      </c>
      <c r="G1857" s="198">
        <f>53000+10000</f>
        <v>63000</v>
      </c>
      <c r="H1857" s="138">
        <f>IF(D1857=G1857,0,IF(D1857=0,100,(G1857-D1857)/D1857*100))</f>
        <v>3.278688524590164</v>
      </c>
      <c r="I1857" s="33">
        <f>ROUND(G1857+(G1857*Assumptions!H$5),-3)</f>
        <v>64000</v>
      </c>
      <c r="J1857" s="33">
        <f>ROUND(I1857+(I1857*Assumptions!I$5),-3)</f>
        <v>66000</v>
      </c>
      <c r="K1857" s="33">
        <f>ROUND(J1857+(J1857*Assumptions!J$5),-3)</f>
        <v>68000</v>
      </c>
      <c r="L1857" s="33">
        <f>ROUND(K1857+(K1857*Assumptions!K$5),-3)</f>
        <v>70000</v>
      </c>
      <c r="M1857" s="33">
        <f>ROUND(L1857+(L1857*Assumptions!L$5),-3)</f>
        <v>71000</v>
      </c>
      <c r="N1857" s="33">
        <f>ROUND(M1857+(M1857*Assumptions!M$5),-3)</f>
        <v>72000</v>
      </c>
      <c r="O1857" s="33">
        <f>ROUND(N1857+(N1857*Assumptions!N$5),-3)</f>
        <v>73000</v>
      </c>
      <c r="P1857" s="142">
        <f>ROUND(O1857+(O1857*Assumptions!O$5),-3)</f>
        <v>74000</v>
      </c>
      <c r="Q1857" s="33">
        <f>ROUND(P1857+(P1857*Assumptions!P$5),-3)</f>
        <v>75000</v>
      </c>
      <c r="R1857" s="114">
        <f>ROUND(Q1857+(Q1857*Assumptions!Q$5),-3)</f>
        <v>77000</v>
      </c>
    </row>
    <row r="1858" spans="1:18" x14ac:dyDescent="0.2">
      <c r="A1858" s="107">
        <v>132200</v>
      </c>
      <c r="B1858" s="132">
        <v>160900</v>
      </c>
      <c r="C1858" s="189">
        <f>117700+2300</f>
        <v>120000</v>
      </c>
      <c r="D1858" s="189">
        <v>130400</v>
      </c>
      <c r="E1858" s="658" t="s">
        <v>695</v>
      </c>
      <c r="F1858" s="443" t="s">
        <v>1755</v>
      </c>
      <c r="G1858" s="198">
        <f>152000-10000-10000</f>
        <v>132000</v>
      </c>
      <c r="H1858" s="138">
        <f>IF(D1858=G1858,0,IF(D1858=0,100,(G1858-D1858)/D1858*100))</f>
        <v>1.2269938650306749</v>
      </c>
      <c r="I1858" s="33">
        <f>ROUND(G1858+(G1858*Assumptions!H$5),-3)</f>
        <v>134000</v>
      </c>
      <c r="J1858" s="33">
        <f>ROUND(I1858+(I1858*Assumptions!I$5),-3)</f>
        <v>137000</v>
      </c>
      <c r="K1858" s="33">
        <f>ROUND(J1858+(J1858*Assumptions!J$5),-3)</f>
        <v>140000</v>
      </c>
      <c r="L1858" s="33">
        <f>ROUND(K1858+(K1858*Assumptions!K$5),-3)</f>
        <v>144000</v>
      </c>
      <c r="M1858" s="33">
        <f>ROUND(L1858+(L1858*Assumptions!L$5),-3)</f>
        <v>147000</v>
      </c>
      <c r="N1858" s="33">
        <f>ROUND(M1858+(M1858*Assumptions!M$5),-3)</f>
        <v>150000</v>
      </c>
      <c r="O1858" s="33">
        <f>ROUND(N1858+(N1858*Assumptions!N$5),-3)</f>
        <v>153000</v>
      </c>
      <c r="P1858" s="142">
        <f>ROUND(O1858+(O1858*Assumptions!O$5),-3)</f>
        <v>156000</v>
      </c>
      <c r="Q1858" s="33">
        <f>ROUND(P1858+(P1858*Assumptions!P$5),-3)</f>
        <v>159000</v>
      </c>
      <c r="R1858" s="114">
        <f>ROUND(Q1858+(Q1858*Assumptions!Q$5),-3)</f>
        <v>162000</v>
      </c>
    </row>
    <row r="1859" spans="1:18" x14ac:dyDescent="0.2">
      <c r="A1859" s="107">
        <v>4800</v>
      </c>
      <c r="B1859" s="132">
        <v>5000</v>
      </c>
      <c r="C1859" s="189">
        <v>0</v>
      </c>
      <c r="D1859" s="189">
        <v>400</v>
      </c>
      <c r="E1859" s="658" t="s">
        <v>696</v>
      </c>
      <c r="F1859" s="443" t="s">
        <v>538</v>
      </c>
      <c r="G1859" s="198">
        <v>0</v>
      </c>
      <c r="H1859" s="138">
        <f>IF(D1859=G1859,0,IF(D1859=0,100,(G1859-D1859)/D1859*100))</f>
        <v>-100</v>
      </c>
      <c r="I1859" s="33">
        <f>ROUND(G1859+(G1859*Assumptions!H$5),-3)</f>
        <v>0</v>
      </c>
      <c r="J1859" s="33">
        <f>ROUND(I1859+(I1859*Assumptions!I$5),-3)</f>
        <v>0</v>
      </c>
      <c r="K1859" s="33">
        <f>ROUND(J1859+(J1859*Assumptions!J$5),-3)</f>
        <v>0</v>
      </c>
      <c r="L1859" s="33">
        <f>ROUND(K1859+(K1859*Assumptions!K$5),-3)</f>
        <v>0</v>
      </c>
      <c r="M1859" s="33">
        <f>ROUND(L1859+(L1859*Assumptions!L$5),-3)</f>
        <v>0</v>
      </c>
      <c r="N1859" s="33">
        <f>ROUND(M1859+(M1859*Assumptions!M$5),-3)</f>
        <v>0</v>
      </c>
      <c r="O1859" s="33">
        <f>ROUND(N1859+(N1859*Assumptions!N$5),-3)</f>
        <v>0</v>
      </c>
      <c r="P1859" s="142">
        <f>ROUND(O1859+(O1859*Assumptions!O$5),-3)</f>
        <v>0</v>
      </c>
      <c r="Q1859" s="33">
        <f>ROUND(P1859+(P1859*Assumptions!P$5),-3)</f>
        <v>0</v>
      </c>
      <c r="R1859" s="114">
        <f>ROUND(Q1859+(Q1859*Assumptions!Q$5),-3)</f>
        <v>0</v>
      </c>
    </row>
    <row r="1860" spans="1:18" x14ac:dyDescent="0.2">
      <c r="A1860" s="107"/>
      <c r="B1860" s="132"/>
      <c r="E1860" s="445"/>
      <c r="F1860" s="443"/>
      <c r="G1860" s="198"/>
      <c r="H1860" s="138"/>
      <c r="I1860" s="33"/>
      <c r="J1860" s="33"/>
      <c r="K1860" s="33"/>
      <c r="L1860" s="33"/>
      <c r="M1860" s="33"/>
      <c r="N1860" s="33"/>
      <c r="O1860" s="33"/>
      <c r="P1860" s="142"/>
      <c r="Q1860" s="33"/>
      <c r="R1860" s="114"/>
    </row>
    <row r="1861" spans="1:18" x14ac:dyDescent="0.2">
      <c r="A1861" s="107"/>
      <c r="B1861" s="132"/>
      <c r="E1861" s="437"/>
      <c r="F1861" s="439" t="s">
        <v>2470</v>
      </c>
      <c r="G1861" s="198"/>
      <c r="H1861" s="138"/>
      <c r="I1861" s="33"/>
      <c r="J1861" s="33"/>
      <c r="K1861" s="33"/>
      <c r="L1861" s="33"/>
      <c r="M1861" s="33"/>
      <c r="N1861" s="33"/>
      <c r="O1861" s="33"/>
      <c r="P1861" s="142"/>
      <c r="Q1861" s="33"/>
      <c r="R1861" s="114"/>
    </row>
    <row r="1862" spans="1:18" x14ac:dyDescent="0.2">
      <c r="A1862" s="107">
        <v>6700</v>
      </c>
      <c r="B1862" s="132">
        <v>0</v>
      </c>
      <c r="C1862" s="189">
        <v>0</v>
      </c>
      <c r="D1862" s="189">
        <v>4100</v>
      </c>
      <c r="E1862" s="658" t="s">
        <v>317</v>
      </c>
      <c r="F1862" s="814" t="s">
        <v>6905</v>
      </c>
      <c r="G1862" s="198">
        <v>0</v>
      </c>
      <c r="H1862" s="138">
        <f>IF(D1862=G1862,0,IF(D1862=0,100,(G1862-D1862)/D1862*100))</f>
        <v>-100</v>
      </c>
      <c r="I1862" s="33">
        <f>ROUND(G1862+(G1862*Assumptions!H$5),-3)</f>
        <v>0</v>
      </c>
      <c r="J1862" s="33">
        <f>ROUND(I1862+(I1862*Assumptions!I$5),-3)</f>
        <v>0</v>
      </c>
      <c r="K1862" s="33">
        <f>ROUND(J1862+(J1862*Assumptions!J$5),-3)</f>
        <v>0</v>
      </c>
      <c r="L1862" s="33">
        <f>ROUND(K1862+(K1862*Assumptions!K$5),-3)</f>
        <v>0</v>
      </c>
      <c r="M1862" s="33">
        <f>ROUND(L1862+(L1862*Assumptions!L$5),-3)</f>
        <v>0</v>
      </c>
      <c r="N1862" s="33">
        <f>ROUND(M1862+(M1862*Assumptions!M$5),-3)</f>
        <v>0</v>
      </c>
      <c r="O1862" s="33">
        <f>ROUND(N1862+(N1862*Assumptions!N$5),-3)</f>
        <v>0</v>
      </c>
      <c r="P1862" s="142">
        <f>ROUND(O1862+(O1862*Assumptions!O$5),-3)</f>
        <v>0</v>
      </c>
      <c r="Q1862" s="33">
        <f>ROUND(P1862+(P1862*Assumptions!P$5),-3)</f>
        <v>0</v>
      </c>
      <c r="R1862" s="114">
        <f>ROUND(Q1862+(Q1862*Assumptions!Q$5),-3)</f>
        <v>0</v>
      </c>
    </row>
    <row r="1863" spans="1:18" x14ac:dyDescent="0.2">
      <c r="A1863" s="107">
        <v>56600</v>
      </c>
      <c r="B1863" s="132">
        <v>79300</v>
      </c>
      <c r="C1863" s="189">
        <v>78200</v>
      </c>
      <c r="D1863" s="189">
        <v>83900</v>
      </c>
      <c r="E1863" s="658" t="s">
        <v>2612</v>
      </c>
      <c r="F1863" s="814" t="s">
        <v>3593</v>
      </c>
      <c r="G1863" s="198">
        <v>88000</v>
      </c>
      <c r="H1863" s="138">
        <f>IF(D1863=G1863,0,IF(D1863=0,100,(G1863-D1863)/D1863*100))</f>
        <v>4.8867699642431459</v>
      </c>
      <c r="I1863" s="33">
        <f>ROUND(G1863+(G1863*Assumptions!H$5),-3)</f>
        <v>89000</v>
      </c>
      <c r="J1863" s="33">
        <f>ROUND(I1863+(I1863*Assumptions!I$5),-3)</f>
        <v>91000</v>
      </c>
      <c r="K1863" s="33">
        <f>ROUND(J1863+(J1863*Assumptions!J$5),-3)</f>
        <v>93000</v>
      </c>
      <c r="L1863" s="33">
        <f>ROUND(K1863+(K1863*Assumptions!K$5),-3)</f>
        <v>95000</v>
      </c>
      <c r="M1863" s="33">
        <f>ROUND(L1863+(L1863*Assumptions!L$5),-3)</f>
        <v>97000</v>
      </c>
      <c r="N1863" s="33">
        <f>ROUND(M1863+(M1863*Assumptions!M$5),-3)</f>
        <v>99000</v>
      </c>
      <c r="O1863" s="33">
        <f>ROUND(N1863+(N1863*Assumptions!N$5),-3)</f>
        <v>101000</v>
      </c>
      <c r="P1863" s="142">
        <f>ROUND(O1863+(O1863*Assumptions!O$5),-3)</f>
        <v>103000</v>
      </c>
      <c r="Q1863" s="33">
        <f>ROUND(P1863+(P1863*Assumptions!P$5),-3)</f>
        <v>105000</v>
      </c>
      <c r="R1863" s="114">
        <f>ROUND(Q1863+(Q1863*Assumptions!Q$5),-3)</f>
        <v>107000</v>
      </c>
    </row>
    <row r="1864" spans="1:18" x14ac:dyDescent="0.2">
      <c r="A1864" s="107">
        <v>2900</v>
      </c>
      <c r="B1864" s="132">
        <v>2200</v>
      </c>
      <c r="C1864" s="189">
        <v>3400</v>
      </c>
      <c r="D1864" s="189">
        <v>3200</v>
      </c>
      <c r="E1864" s="658" t="s">
        <v>2613</v>
      </c>
      <c r="F1864" s="443" t="s">
        <v>731</v>
      </c>
      <c r="G1864" s="198">
        <f>3000+3000</f>
        <v>6000</v>
      </c>
      <c r="H1864" s="138">
        <f>IF(D1864=G1864,0,IF(D1864=0,100,(G1864-D1864)/D1864*100))</f>
        <v>87.5</v>
      </c>
      <c r="I1864" s="33">
        <f>ROUND(G1864+(G1864*Assumptions!H$5),-3)</f>
        <v>6000</v>
      </c>
      <c r="J1864" s="33">
        <f>ROUND(I1864+(I1864*Assumptions!I$5),-3)</f>
        <v>6000</v>
      </c>
      <c r="K1864" s="33">
        <f>ROUND(J1864+(J1864*Assumptions!J$5),-3)</f>
        <v>6000</v>
      </c>
      <c r="L1864" s="33">
        <f>ROUND(K1864+(K1864*Assumptions!K$5),-3)</f>
        <v>6000</v>
      </c>
      <c r="M1864" s="33">
        <f>ROUND(L1864+(L1864*Assumptions!L$5),-3)</f>
        <v>6000</v>
      </c>
      <c r="N1864" s="33">
        <f>ROUND(M1864+(M1864*Assumptions!M$5),-3)</f>
        <v>6000</v>
      </c>
      <c r="O1864" s="33">
        <f>ROUND(N1864+(N1864*Assumptions!N$5),-3)</f>
        <v>6000</v>
      </c>
      <c r="P1864" s="142">
        <f>ROUND(O1864+(O1864*Assumptions!O$5),-3)</f>
        <v>6000</v>
      </c>
      <c r="Q1864" s="33">
        <f>ROUND(P1864+(P1864*Assumptions!P$5),-3)</f>
        <v>6000</v>
      </c>
      <c r="R1864" s="114">
        <f>ROUND(Q1864+(Q1864*Assumptions!Q$5),-3)</f>
        <v>6000</v>
      </c>
    </row>
    <row r="1865" spans="1:18" x14ac:dyDescent="0.2">
      <c r="A1865" s="107">
        <v>1700</v>
      </c>
      <c r="B1865" s="132">
        <v>0</v>
      </c>
      <c r="C1865" s="189">
        <v>0</v>
      </c>
      <c r="D1865" s="189">
        <v>0</v>
      </c>
      <c r="E1865" s="658" t="s">
        <v>1550</v>
      </c>
      <c r="F1865" s="443" t="s">
        <v>1551</v>
      </c>
      <c r="G1865" s="198">
        <v>0</v>
      </c>
      <c r="H1865" s="138">
        <f>IF(D1865=G1865,0,IF(D1865=0,100,(G1865-D1865)/D1865*100))</f>
        <v>0</v>
      </c>
      <c r="I1865" s="33">
        <f>ROUND(G1865+(G1865*Assumptions!H$5),-3)</f>
        <v>0</v>
      </c>
      <c r="J1865" s="33">
        <f>ROUND(I1865+(I1865*Assumptions!I$5),-3)</f>
        <v>0</v>
      </c>
      <c r="K1865" s="33">
        <f>ROUND(J1865+(J1865*Assumptions!J$5),-3)</f>
        <v>0</v>
      </c>
      <c r="L1865" s="33">
        <f>ROUND(K1865+(K1865*Assumptions!K$5),-3)</f>
        <v>0</v>
      </c>
      <c r="M1865" s="33">
        <f>ROUND(L1865+(L1865*Assumptions!L$5),-3)</f>
        <v>0</v>
      </c>
      <c r="N1865" s="33">
        <f>ROUND(M1865+(M1865*Assumptions!M$5),-3)</f>
        <v>0</v>
      </c>
      <c r="O1865" s="33">
        <f>ROUND(N1865+(N1865*Assumptions!N$5),-3)</f>
        <v>0</v>
      </c>
      <c r="P1865" s="142">
        <f>ROUND(O1865+(O1865*Assumptions!O$5),-3)</f>
        <v>0</v>
      </c>
      <c r="Q1865" s="33">
        <f>ROUND(P1865+(P1865*Assumptions!P$5),-3)</f>
        <v>0</v>
      </c>
      <c r="R1865" s="114">
        <f>ROUND(Q1865+(Q1865*Assumptions!Q$5),-3)</f>
        <v>0</v>
      </c>
    </row>
    <row r="1866" spans="1:18" x14ac:dyDescent="0.2">
      <c r="A1866" s="107">
        <v>0</v>
      </c>
      <c r="B1866" s="132">
        <v>0</v>
      </c>
      <c r="C1866" s="189">
        <v>0</v>
      </c>
      <c r="D1866" s="189">
        <v>0</v>
      </c>
      <c r="E1866" s="658" t="s">
        <v>2614</v>
      </c>
      <c r="F1866" s="814" t="s">
        <v>3007</v>
      </c>
      <c r="G1866" s="198">
        <v>0</v>
      </c>
      <c r="H1866" s="138">
        <f>IF(D1866=G1866,0,IF(D1866=0,100,(G1866-D1866)/D1866*100))</f>
        <v>0</v>
      </c>
      <c r="I1866" s="33">
        <f>ROUND(G1866+(G1866*Assumptions!H$5),-3)</f>
        <v>0</v>
      </c>
      <c r="J1866" s="33">
        <f>ROUND(I1866+(I1866*Assumptions!I$5),-3)</f>
        <v>0</v>
      </c>
      <c r="K1866" s="33">
        <f>ROUND(J1866+(J1866*Assumptions!J$5),-3)</f>
        <v>0</v>
      </c>
      <c r="L1866" s="33">
        <f>ROUND(K1866+(K1866*Assumptions!K$5),-3)</f>
        <v>0</v>
      </c>
      <c r="M1866" s="33">
        <f>ROUND(L1866+(L1866*Assumptions!L$5),-3)</f>
        <v>0</v>
      </c>
      <c r="N1866" s="33">
        <f>ROUND(M1866+(M1866*Assumptions!M$5),-3)</f>
        <v>0</v>
      </c>
      <c r="O1866" s="33">
        <f>ROUND(N1866+(N1866*Assumptions!N$5),-3)</f>
        <v>0</v>
      </c>
      <c r="P1866" s="142">
        <f>ROUND(O1866+(O1866*Assumptions!O$5),-3)</f>
        <v>0</v>
      </c>
      <c r="Q1866" s="33">
        <f>ROUND(P1866+(P1866*Assumptions!P$5),-3)</f>
        <v>0</v>
      </c>
      <c r="R1866" s="114">
        <f>ROUND(Q1866+(Q1866*Assumptions!Q$5),-3)</f>
        <v>0</v>
      </c>
    </row>
    <row r="1867" spans="1:18" x14ac:dyDescent="0.2">
      <c r="A1867" s="107"/>
      <c r="B1867" s="33"/>
      <c r="E1867" s="673"/>
      <c r="F1867" s="443"/>
      <c r="G1867" s="198"/>
      <c r="H1867" s="138"/>
      <c r="I1867" s="33"/>
      <c r="J1867" s="33"/>
      <c r="K1867" s="33"/>
      <c r="L1867" s="33"/>
      <c r="M1867" s="33"/>
      <c r="N1867" s="33"/>
      <c r="O1867" s="33"/>
      <c r="P1867" s="142"/>
      <c r="Q1867" s="33"/>
      <c r="R1867" s="114"/>
    </row>
    <row r="1868" spans="1:18" x14ac:dyDescent="0.2">
      <c r="A1868" s="107"/>
      <c r="B1868" s="33"/>
      <c r="E1868" s="437"/>
      <c r="F1868" s="1103" t="s">
        <v>4831</v>
      </c>
      <c r="G1868" s="198"/>
      <c r="H1868" s="138"/>
      <c r="I1868" s="33"/>
      <c r="J1868" s="33"/>
      <c r="K1868" s="33"/>
      <c r="L1868" s="33"/>
      <c r="M1868" s="33"/>
      <c r="N1868" s="33"/>
      <c r="O1868" s="33"/>
      <c r="P1868" s="142"/>
      <c r="Q1868" s="33"/>
      <c r="R1868" s="114"/>
    </row>
    <row r="1869" spans="1:18" x14ac:dyDescent="0.2">
      <c r="A1869" s="107">
        <v>48900</v>
      </c>
      <c r="B1869" s="132">
        <f>43400-21000</f>
        <v>22400</v>
      </c>
      <c r="C1869" s="189">
        <v>20400</v>
      </c>
      <c r="D1869" s="189">
        <v>11400</v>
      </c>
      <c r="E1869" s="658" t="s">
        <v>2615</v>
      </c>
      <c r="F1869" s="814" t="s">
        <v>4907</v>
      </c>
      <c r="G1869" s="198">
        <f>30000-10000</f>
        <v>20000</v>
      </c>
      <c r="H1869" s="138">
        <f t="shared" ref="H1869:H1875" si="1557">IF(D1869=G1869,0,IF(D1869=0,100,(G1869-D1869)/D1869*100))</f>
        <v>75.438596491228068</v>
      </c>
      <c r="I1869" s="33">
        <f>ROUND(G1869+(G1869*Assumptions!H$5),-3)</f>
        <v>20000</v>
      </c>
      <c r="J1869" s="33">
        <f>ROUND(I1869+(I1869*Assumptions!I$5),-3)</f>
        <v>21000</v>
      </c>
      <c r="K1869" s="33">
        <f>ROUND(J1869+(J1869*Assumptions!J$5),-3)</f>
        <v>22000</v>
      </c>
      <c r="L1869" s="33">
        <f>ROUND(K1869+(K1869*Assumptions!K$5),-3)</f>
        <v>23000</v>
      </c>
      <c r="M1869" s="33">
        <f>ROUND(L1869+(L1869*Assumptions!L$5),-3)</f>
        <v>23000</v>
      </c>
      <c r="N1869" s="33">
        <f>ROUND(M1869+(M1869*Assumptions!M$5),-3)</f>
        <v>23000</v>
      </c>
      <c r="O1869" s="33">
        <f>ROUND(N1869+(N1869*Assumptions!N$5),-3)</f>
        <v>23000</v>
      </c>
      <c r="P1869" s="142">
        <f>ROUND(O1869+(O1869*Assumptions!O$5),-3)</f>
        <v>23000</v>
      </c>
      <c r="Q1869" s="33">
        <f>ROUND(P1869+(P1869*Assumptions!P$5),-3)</f>
        <v>23000</v>
      </c>
      <c r="R1869" s="114">
        <f>ROUND(Q1869+(Q1869*Assumptions!Q$5),-3)</f>
        <v>23000</v>
      </c>
    </row>
    <row r="1870" spans="1:18" x14ac:dyDescent="0.2">
      <c r="A1870" s="107">
        <v>30700</v>
      </c>
      <c r="B1870" s="132">
        <v>21000</v>
      </c>
      <c r="C1870" s="189">
        <v>27000</v>
      </c>
      <c r="D1870" s="189">
        <v>26100</v>
      </c>
      <c r="E1870" s="658" t="s">
        <v>2618</v>
      </c>
      <c r="F1870" s="814" t="s">
        <v>4908</v>
      </c>
      <c r="G1870" s="198">
        <v>24000</v>
      </c>
      <c r="H1870" s="138">
        <f t="shared" si="1557"/>
        <v>-8.0459770114942533</v>
      </c>
      <c r="I1870" s="33">
        <f>ROUND(G1870+(G1870*Assumptions!H$5),-3)</f>
        <v>24000</v>
      </c>
      <c r="J1870" s="33">
        <f>ROUND(I1870+(I1870*Assumptions!I$5),-3)</f>
        <v>25000</v>
      </c>
      <c r="K1870" s="33">
        <f>ROUND(J1870+(J1870*Assumptions!J$5),-3)</f>
        <v>26000</v>
      </c>
      <c r="L1870" s="33">
        <f>ROUND(K1870+(K1870*Assumptions!K$5),-3)</f>
        <v>27000</v>
      </c>
      <c r="M1870" s="33">
        <f>ROUND(L1870+(L1870*Assumptions!L$5),-3)</f>
        <v>28000</v>
      </c>
      <c r="N1870" s="33">
        <f>ROUND(M1870+(M1870*Assumptions!M$5),-3)</f>
        <v>29000</v>
      </c>
      <c r="O1870" s="33">
        <f>ROUND(N1870+(N1870*Assumptions!N$5),-3)</f>
        <v>30000</v>
      </c>
      <c r="P1870" s="142">
        <f>ROUND(O1870+(O1870*Assumptions!O$5),-3)</f>
        <v>31000</v>
      </c>
      <c r="Q1870" s="33">
        <f>ROUND(P1870+(P1870*Assumptions!P$5),-3)</f>
        <v>32000</v>
      </c>
      <c r="R1870" s="114">
        <f>ROUND(Q1870+(Q1870*Assumptions!Q$5),-3)</f>
        <v>33000</v>
      </c>
    </row>
    <row r="1871" spans="1:18" x14ac:dyDescent="0.2">
      <c r="A1871" s="107">
        <v>600</v>
      </c>
      <c r="B1871" s="132">
        <v>100</v>
      </c>
      <c r="C1871" s="189">
        <v>0</v>
      </c>
      <c r="D1871" s="189">
        <v>0</v>
      </c>
      <c r="E1871" s="658" t="s">
        <v>2616</v>
      </c>
      <c r="F1871" s="443" t="s">
        <v>2715</v>
      </c>
      <c r="G1871" s="198">
        <v>0</v>
      </c>
      <c r="H1871" s="138">
        <f t="shared" si="1557"/>
        <v>0</v>
      </c>
      <c r="I1871" s="33">
        <f>ROUND(G1871+(G1871*Assumptions!H$5),-3)</f>
        <v>0</v>
      </c>
      <c r="J1871" s="33">
        <f>ROUND(I1871+(I1871*Assumptions!I$5),-3)</f>
        <v>0</v>
      </c>
      <c r="K1871" s="33">
        <f>ROUND(J1871+(J1871*Assumptions!J$5),-3)</f>
        <v>0</v>
      </c>
      <c r="L1871" s="33">
        <f>ROUND(K1871+(K1871*Assumptions!K$5),-3)</f>
        <v>0</v>
      </c>
      <c r="M1871" s="33">
        <f>ROUND(L1871+(L1871*Assumptions!L$5),-3)</f>
        <v>0</v>
      </c>
      <c r="N1871" s="33">
        <f>ROUND(M1871+(M1871*Assumptions!M$5),-3)</f>
        <v>0</v>
      </c>
      <c r="O1871" s="33">
        <f>ROUND(N1871+(N1871*Assumptions!N$5),-3)</f>
        <v>0</v>
      </c>
      <c r="P1871" s="142">
        <f>ROUND(O1871+(O1871*Assumptions!O$5),-3)</f>
        <v>0</v>
      </c>
      <c r="Q1871" s="33">
        <f>ROUND(P1871+(P1871*Assumptions!P$5),-3)</f>
        <v>0</v>
      </c>
      <c r="R1871" s="114">
        <f>ROUND(Q1871+(Q1871*Assumptions!Q$5),-3)</f>
        <v>0</v>
      </c>
    </row>
    <row r="1872" spans="1:18" x14ac:dyDescent="0.2">
      <c r="A1872" s="107">
        <v>0</v>
      </c>
      <c r="B1872" s="132">
        <v>2200</v>
      </c>
      <c r="C1872" s="189">
        <v>19200</v>
      </c>
      <c r="D1872" s="189">
        <v>13000</v>
      </c>
      <c r="E1872" s="658" t="s">
        <v>2617</v>
      </c>
      <c r="F1872" s="814" t="s">
        <v>4910</v>
      </c>
      <c r="G1872" s="198">
        <f>25000-3000</f>
        <v>22000</v>
      </c>
      <c r="H1872" s="138">
        <f t="shared" si="1557"/>
        <v>69.230769230769226</v>
      </c>
      <c r="I1872" s="33">
        <f>ROUND(G1872+(G1872*Assumptions!H$5),-3)</f>
        <v>22000</v>
      </c>
      <c r="J1872" s="33">
        <f>ROUND(I1872+(I1872*Assumptions!I$5),-3)</f>
        <v>23000</v>
      </c>
      <c r="K1872" s="33">
        <f>ROUND(J1872+(J1872*Assumptions!J$5),-3)</f>
        <v>24000</v>
      </c>
      <c r="L1872" s="33">
        <f>ROUND(K1872+(K1872*Assumptions!K$5),-3)</f>
        <v>25000</v>
      </c>
      <c r="M1872" s="33">
        <f>ROUND(L1872+(L1872*Assumptions!L$5),-3)</f>
        <v>26000</v>
      </c>
      <c r="N1872" s="33">
        <f>ROUND(M1872+(M1872*Assumptions!M$5),-3)</f>
        <v>27000</v>
      </c>
      <c r="O1872" s="33">
        <f>ROUND(N1872+(N1872*Assumptions!N$5),-3)</f>
        <v>28000</v>
      </c>
      <c r="P1872" s="142">
        <f>ROUND(O1872+(O1872*Assumptions!O$5),-3)</f>
        <v>29000</v>
      </c>
      <c r="Q1872" s="33">
        <f>ROUND(P1872+(P1872*Assumptions!P$5),-3)</f>
        <v>30000</v>
      </c>
      <c r="R1872" s="114">
        <f>ROUND(Q1872+(Q1872*Assumptions!Q$5),-3)</f>
        <v>31000</v>
      </c>
    </row>
    <row r="1873" spans="1:18" x14ac:dyDescent="0.2">
      <c r="A1873" s="107">
        <v>99900</v>
      </c>
      <c r="B1873" s="132">
        <v>36000</v>
      </c>
      <c r="C1873" s="189">
        <v>56100</v>
      </c>
      <c r="D1873" s="189">
        <v>10000</v>
      </c>
      <c r="E1873" s="658" t="s">
        <v>2619</v>
      </c>
      <c r="F1873" s="814" t="s">
        <v>4909</v>
      </c>
      <c r="G1873" s="198">
        <v>5000</v>
      </c>
      <c r="H1873" s="138">
        <f t="shared" si="1557"/>
        <v>-50</v>
      </c>
      <c r="I1873" s="33">
        <f>ROUND(G1873+(G1873*Assumptions!H$5),-3)</f>
        <v>5000</v>
      </c>
      <c r="J1873" s="33">
        <f>ROUND(I1873+(I1873*Assumptions!I$5),-3)</f>
        <v>5000</v>
      </c>
      <c r="K1873" s="33">
        <f>ROUND(J1873+(J1873*Assumptions!J$5),-3)</f>
        <v>5000</v>
      </c>
      <c r="L1873" s="33">
        <f>ROUND(K1873+(K1873*Assumptions!K$5),-3)</f>
        <v>5000</v>
      </c>
      <c r="M1873" s="33">
        <f>ROUND(L1873+(L1873*Assumptions!L$5),-3)</f>
        <v>5000</v>
      </c>
      <c r="N1873" s="33">
        <f>ROUND(M1873+(M1873*Assumptions!M$5),-3)</f>
        <v>5000</v>
      </c>
      <c r="O1873" s="33">
        <f>ROUND(N1873+(N1873*Assumptions!N$5),-3)</f>
        <v>5000</v>
      </c>
      <c r="P1873" s="142">
        <f>ROUND(O1873+(O1873*Assumptions!O$5),-3)</f>
        <v>5000</v>
      </c>
      <c r="Q1873" s="33">
        <f>ROUND(P1873+(P1873*Assumptions!P$5),-3)</f>
        <v>5000</v>
      </c>
      <c r="R1873" s="114">
        <f>ROUND(Q1873+(Q1873*Assumptions!Q$5),-3)</f>
        <v>5000</v>
      </c>
    </row>
    <row r="1874" spans="1:18" x14ac:dyDescent="0.2">
      <c r="A1874" s="107">
        <v>0</v>
      </c>
      <c r="B1874" s="132">
        <v>0</v>
      </c>
      <c r="C1874" s="189">
        <v>0</v>
      </c>
      <c r="D1874" s="189">
        <v>0</v>
      </c>
      <c r="E1874" s="658" t="s">
        <v>2620</v>
      </c>
      <c r="F1874" s="814" t="s">
        <v>4832</v>
      </c>
      <c r="G1874" s="198">
        <v>0</v>
      </c>
      <c r="H1874" s="138">
        <f t="shared" si="1557"/>
        <v>0</v>
      </c>
      <c r="I1874" s="33">
        <f>ROUND(G1874+(G1874*Assumptions!H$5),-3)</f>
        <v>0</v>
      </c>
      <c r="J1874" s="33">
        <f>ROUND(I1874+(I1874*Assumptions!I$5),-3)</f>
        <v>0</v>
      </c>
      <c r="K1874" s="33">
        <f>ROUND(J1874+(J1874*Assumptions!J$5),-3)</f>
        <v>0</v>
      </c>
      <c r="L1874" s="33">
        <f>ROUND(K1874+(K1874*Assumptions!K$5),-3)</f>
        <v>0</v>
      </c>
      <c r="M1874" s="33">
        <f>ROUND(L1874+(L1874*Assumptions!L$5),-3)</f>
        <v>0</v>
      </c>
      <c r="N1874" s="33">
        <f>ROUND(M1874+(M1874*Assumptions!M$5),-3)</f>
        <v>0</v>
      </c>
      <c r="O1874" s="33">
        <f>ROUND(N1874+(N1874*Assumptions!N$5),-3)</f>
        <v>0</v>
      </c>
      <c r="P1874" s="142">
        <f>ROUND(O1874+(O1874*Assumptions!O$5),-3)</f>
        <v>0</v>
      </c>
      <c r="Q1874" s="33">
        <f>ROUND(P1874+(P1874*Assumptions!P$5),-3)</f>
        <v>0</v>
      </c>
      <c r="R1874" s="114">
        <f>ROUND(Q1874+(Q1874*Assumptions!Q$5),-3)</f>
        <v>0</v>
      </c>
    </row>
    <row r="1875" spans="1:18" x14ac:dyDescent="0.2">
      <c r="A1875" s="107">
        <v>1000</v>
      </c>
      <c r="B1875" s="132">
        <v>300</v>
      </c>
      <c r="C1875" s="189">
        <v>800</v>
      </c>
      <c r="D1875" s="189">
        <v>1000</v>
      </c>
      <c r="E1875" s="658" t="s">
        <v>1306</v>
      </c>
      <c r="F1875" s="443" t="s">
        <v>201</v>
      </c>
      <c r="G1875" s="198">
        <v>0</v>
      </c>
      <c r="H1875" s="138">
        <f t="shared" si="1557"/>
        <v>-100</v>
      </c>
      <c r="I1875" s="33">
        <f>ROUND(G1875+(G1875*Assumptions!H$5),-3)</f>
        <v>0</v>
      </c>
      <c r="J1875" s="33">
        <f>ROUND(I1875+(I1875*Assumptions!I$5),-3)</f>
        <v>0</v>
      </c>
      <c r="K1875" s="33">
        <f>ROUND(J1875+(J1875*Assumptions!J$5),-3)</f>
        <v>0</v>
      </c>
      <c r="L1875" s="33">
        <f>ROUND(K1875+(K1875*Assumptions!K$5),-3)</f>
        <v>0</v>
      </c>
      <c r="M1875" s="33">
        <f>ROUND(L1875+(L1875*Assumptions!L$5),-3)</f>
        <v>0</v>
      </c>
      <c r="N1875" s="33">
        <f>ROUND(M1875+(M1875*Assumptions!M$5),-3)</f>
        <v>0</v>
      </c>
      <c r="O1875" s="33">
        <f>ROUND(N1875+(N1875*Assumptions!N$5),-3)</f>
        <v>0</v>
      </c>
      <c r="P1875" s="142">
        <f>ROUND(O1875+(O1875*Assumptions!O$5),-3)</f>
        <v>0</v>
      </c>
      <c r="Q1875" s="33">
        <f>ROUND(P1875+(P1875*Assumptions!P$5),-3)</f>
        <v>0</v>
      </c>
      <c r="R1875" s="114">
        <f>ROUND(Q1875+(Q1875*Assumptions!Q$5),-3)</f>
        <v>0</v>
      </c>
    </row>
    <row r="1876" spans="1:18" x14ac:dyDescent="0.2">
      <c r="A1876" s="98"/>
      <c r="B1876" s="33"/>
      <c r="C1876" s="187"/>
      <c r="D1876" s="187"/>
      <c r="E1876" s="1954"/>
      <c r="F1876" s="1954"/>
      <c r="G1876" s="198"/>
      <c r="H1876" s="138"/>
      <c r="I1876" s="33"/>
      <c r="J1876" s="33"/>
      <c r="K1876" s="33"/>
      <c r="L1876" s="33"/>
      <c r="M1876" s="33"/>
      <c r="N1876" s="33"/>
      <c r="O1876" s="33"/>
      <c r="P1876" s="142"/>
      <c r="Q1876" s="33"/>
      <c r="R1876" s="114"/>
    </row>
    <row r="1877" spans="1:18" x14ac:dyDescent="0.2">
      <c r="A1877" s="107"/>
      <c r="B1877" s="33"/>
      <c r="E1877" s="437"/>
      <c r="F1877" s="439" t="s">
        <v>465</v>
      </c>
      <c r="G1877" s="198"/>
      <c r="H1877" s="138"/>
      <c r="I1877" s="33"/>
      <c r="J1877" s="33"/>
      <c r="K1877" s="33"/>
      <c r="L1877" s="33"/>
      <c r="M1877" s="33"/>
      <c r="N1877" s="33"/>
      <c r="O1877" s="33"/>
      <c r="P1877" s="142"/>
      <c r="Q1877" s="33"/>
      <c r="R1877" s="114"/>
    </row>
    <row r="1878" spans="1:18" x14ac:dyDescent="0.2">
      <c r="A1878" s="107">
        <v>2400</v>
      </c>
      <c r="B1878" s="33">
        <v>3000</v>
      </c>
      <c r="C1878" s="189">
        <v>15200</v>
      </c>
      <c r="D1878" s="189">
        <v>47700</v>
      </c>
      <c r="E1878" s="1491" t="s">
        <v>6802</v>
      </c>
      <c r="F1878" s="814" t="s">
        <v>4628</v>
      </c>
      <c r="G1878" s="198">
        <v>15000</v>
      </c>
      <c r="H1878" s="138">
        <f t="shared" ref="H1878:H1898" si="1558">IF(D1878=G1878,0,IF(D1878=0,100,(G1878-D1878)/D1878*100))</f>
        <v>-68.55345911949685</v>
      </c>
      <c r="I1878" s="33">
        <f>ROUND(G1878+(G1878*Assumptions!H$5),-3)</f>
        <v>15000</v>
      </c>
      <c r="J1878" s="33">
        <f>ROUND(I1878+(I1878*Assumptions!I$5),-3)</f>
        <v>15000</v>
      </c>
      <c r="K1878" s="33">
        <f>ROUND(J1878+(J1878*Assumptions!J$5),-3)</f>
        <v>15000</v>
      </c>
      <c r="L1878" s="33">
        <f>ROUND(K1878+(K1878*Assumptions!K$5),-3)</f>
        <v>15000</v>
      </c>
      <c r="M1878" s="33">
        <f>ROUND(L1878+(L1878*Assumptions!L$5),-3)</f>
        <v>15000</v>
      </c>
      <c r="N1878" s="33">
        <f>ROUND(M1878+(M1878*Assumptions!M$5),-3)</f>
        <v>15000</v>
      </c>
      <c r="O1878" s="33">
        <f>ROUND(N1878+(N1878*Assumptions!N$5),-3)</f>
        <v>15000</v>
      </c>
      <c r="P1878" s="142">
        <f>ROUND(O1878+(O1878*Assumptions!O$5),-3)</f>
        <v>15000</v>
      </c>
      <c r="Q1878" s="33">
        <f>ROUND(P1878+(P1878*Assumptions!P$5),-3)</f>
        <v>15000</v>
      </c>
      <c r="R1878" s="114">
        <f>ROUND(Q1878+(Q1878*Assumptions!Q$5),-3)</f>
        <v>15000</v>
      </c>
    </row>
    <row r="1879" spans="1:18" x14ac:dyDescent="0.2">
      <c r="A1879" s="107">
        <v>0</v>
      </c>
      <c r="B1879" s="33">
        <v>0</v>
      </c>
      <c r="C1879" s="189">
        <v>3900</v>
      </c>
      <c r="D1879" s="189">
        <v>13000</v>
      </c>
      <c r="E1879" s="1491" t="s">
        <v>6803</v>
      </c>
      <c r="F1879" s="814" t="s">
        <v>4629</v>
      </c>
      <c r="G1879" s="198">
        <v>21000</v>
      </c>
      <c r="H1879" s="138">
        <f t="shared" si="1558"/>
        <v>61.53846153846154</v>
      </c>
      <c r="I1879" s="33">
        <f>ROUND(G1879+(G1879*Assumptions!H$5),-3)</f>
        <v>21000</v>
      </c>
      <c r="J1879" s="33">
        <f>ROUND(I1879+(I1879*Assumptions!I$5),-3)</f>
        <v>22000</v>
      </c>
      <c r="K1879" s="33">
        <f>ROUND(J1879+(J1879*Assumptions!J$5),-3)</f>
        <v>23000</v>
      </c>
      <c r="L1879" s="33">
        <f>ROUND(K1879+(K1879*Assumptions!K$5),-3)</f>
        <v>24000</v>
      </c>
      <c r="M1879" s="33">
        <f>ROUND(L1879+(L1879*Assumptions!L$5),-3)</f>
        <v>24000</v>
      </c>
      <c r="N1879" s="33">
        <f>ROUND(M1879+(M1879*Assumptions!M$5),-3)</f>
        <v>24000</v>
      </c>
      <c r="O1879" s="33">
        <f>ROUND(N1879+(N1879*Assumptions!N$5),-3)</f>
        <v>24000</v>
      </c>
      <c r="P1879" s="142">
        <f>ROUND(O1879+(O1879*Assumptions!O$5),-3)</f>
        <v>24000</v>
      </c>
      <c r="Q1879" s="33">
        <f>ROUND(P1879+(P1879*Assumptions!P$5),-3)</f>
        <v>24000</v>
      </c>
      <c r="R1879" s="114">
        <f>ROUND(Q1879+(Q1879*Assumptions!Q$5),-3)</f>
        <v>24000</v>
      </c>
    </row>
    <row r="1880" spans="1:18" x14ac:dyDescent="0.2">
      <c r="A1880" s="107">
        <v>0</v>
      </c>
      <c r="B1880" s="33">
        <v>0</v>
      </c>
      <c r="C1880" s="189">
        <v>0</v>
      </c>
      <c r="D1880" s="189">
        <v>500</v>
      </c>
      <c r="E1880" s="1491" t="s">
        <v>5957</v>
      </c>
      <c r="F1880" s="814" t="s">
        <v>5958</v>
      </c>
      <c r="G1880" s="198">
        <v>4000</v>
      </c>
      <c r="H1880" s="138">
        <f t="shared" si="1558"/>
        <v>700</v>
      </c>
      <c r="I1880" s="33">
        <f>ROUND(G1880+(G1880*Assumptions!H$5),-3)</f>
        <v>4000</v>
      </c>
      <c r="J1880" s="33">
        <f>ROUND(I1880+(I1880*Assumptions!I$5),-3)</f>
        <v>4000</v>
      </c>
      <c r="K1880" s="33">
        <f>ROUND(J1880+(J1880*Assumptions!J$5),-3)</f>
        <v>4000</v>
      </c>
      <c r="L1880" s="33">
        <f>ROUND(K1880+(K1880*Assumptions!K$5),-3)</f>
        <v>4000</v>
      </c>
      <c r="M1880" s="33">
        <f>ROUND(L1880+(L1880*Assumptions!L$5),-3)</f>
        <v>4000</v>
      </c>
      <c r="N1880" s="33">
        <f>ROUND(M1880+(M1880*Assumptions!M$5),-3)</f>
        <v>4000</v>
      </c>
      <c r="O1880" s="33">
        <f>ROUND(N1880+(N1880*Assumptions!N$5),-3)</f>
        <v>4000</v>
      </c>
      <c r="P1880" s="142">
        <f>ROUND(O1880+(O1880*Assumptions!O$5),-3)</f>
        <v>4000</v>
      </c>
      <c r="Q1880" s="33">
        <f>ROUND(P1880+(P1880*Assumptions!P$5),-3)</f>
        <v>4000</v>
      </c>
      <c r="R1880" s="114">
        <f>ROUND(Q1880+(Q1880*Assumptions!Q$5),-3)</f>
        <v>4000</v>
      </c>
    </row>
    <row r="1881" spans="1:18" x14ac:dyDescent="0.2">
      <c r="A1881" s="107">
        <v>0</v>
      </c>
      <c r="B1881" s="33">
        <v>0</v>
      </c>
      <c r="C1881" s="189">
        <v>0</v>
      </c>
      <c r="D1881" s="189">
        <v>0</v>
      </c>
      <c r="E1881" s="1491" t="s">
        <v>5914</v>
      </c>
      <c r="F1881" s="814" t="s">
        <v>5915</v>
      </c>
      <c r="G1881" s="198">
        <v>90000</v>
      </c>
      <c r="H1881" s="138">
        <f t="shared" si="1558"/>
        <v>100</v>
      </c>
      <c r="I1881" s="33">
        <v>0</v>
      </c>
      <c r="J1881" s="33">
        <f>ROUND(I1881+(I1881*Assumptions!I$5),-3)</f>
        <v>0</v>
      </c>
      <c r="K1881" s="33">
        <f>ROUND(J1881+(J1881*Assumptions!J$5),-3)</f>
        <v>0</v>
      </c>
      <c r="L1881" s="33">
        <f>ROUND(K1881+(K1881*Assumptions!K$5),-3)</f>
        <v>0</v>
      </c>
      <c r="M1881" s="33">
        <f>ROUND(L1881+(L1881*Assumptions!L$5),-3)</f>
        <v>0</v>
      </c>
      <c r="N1881" s="33">
        <f>ROUND(M1881+(M1881*Assumptions!M$5),-3)</f>
        <v>0</v>
      </c>
      <c r="O1881" s="33">
        <f>ROUND(N1881+(N1881*Assumptions!N$5),-3)</f>
        <v>0</v>
      </c>
      <c r="P1881" s="142">
        <f>ROUND(O1881+(O1881*Assumptions!O$5),-3)</f>
        <v>0</v>
      </c>
      <c r="Q1881" s="33">
        <f>ROUND(P1881+(P1881*Assumptions!P$5),-3)</f>
        <v>0</v>
      </c>
      <c r="R1881" s="114">
        <f>ROUND(Q1881+(Q1881*Assumptions!Q$5),-3)</f>
        <v>0</v>
      </c>
    </row>
    <row r="1882" spans="1:18" x14ac:dyDescent="0.2">
      <c r="A1882" s="107">
        <v>2900</v>
      </c>
      <c r="B1882" s="132">
        <v>0</v>
      </c>
      <c r="C1882" s="189">
        <v>1200</v>
      </c>
      <c r="D1882" s="189">
        <v>800</v>
      </c>
      <c r="E1882" s="658" t="s">
        <v>959</v>
      </c>
      <c r="F1882" s="443" t="s">
        <v>1006</v>
      </c>
      <c r="G1882" s="198">
        <v>1000</v>
      </c>
      <c r="H1882" s="138">
        <f t="shared" si="1558"/>
        <v>25</v>
      </c>
      <c r="I1882" s="33">
        <f>ROUND(G1882+(G1882*Assumptions!H$5),-3)</f>
        <v>1000</v>
      </c>
      <c r="J1882" s="33">
        <f>ROUND(I1882+(I1882*Assumptions!I$5),-3)</f>
        <v>1000</v>
      </c>
      <c r="K1882" s="33">
        <f>ROUND(J1882+(J1882*Assumptions!J$5),-3)</f>
        <v>1000</v>
      </c>
      <c r="L1882" s="33">
        <f>ROUND(K1882+(K1882*Assumptions!K$5),-3)</f>
        <v>1000</v>
      </c>
      <c r="M1882" s="33">
        <f>ROUND(L1882+(L1882*Assumptions!L$5),-3)</f>
        <v>1000</v>
      </c>
      <c r="N1882" s="33">
        <f>ROUND(M1882+(M1882*Assumptions!M$5),-3)</f>
        <v>1000</v>
      </c>
      <c r="O1882" s="33">
        <f>ROUND(N1882+(N1882*Assumptions!N$5),-3)</f>
        <v>1000</v>
      </c>
      <c r="P1882" s="142">
        <f>ROUND(O1882+(O1882*Assumptions!O$5),-3)</f>
        <v>1000</v>
      </c>
      <c r="Q1882" s="33">
        <f>ROUND(P1882+(P1882*Assumptions!P$5),-3)</f>
        <v>1000</v>
      </c>
      <c r="R1882" s="114">
        <f>ROUND(Q1882+(Q1882*Assumptions!Q$5),-3)</f>
        <v>1000</v>
      </c>
    </row>
    <row r="1883" spans="1:18" x14ac:dyDescent="0.2">
      <c r="A1883" s="107">
        <v>13200</v>
      </c>
      <c r="B1883" s="132">
        <v>7800</v>
      </c>
      <c r="C1883" s="189">
        <v>10100</v>
      </c>
      <c r="D1883" s="189">
        <v>7900</v>
      </c>
      <c r="E1883" s="658" t="s">
        <v>960</v>
      </c>
      <c r="F1883" s="443" t="s">
        <v>2885</v>
      </c>
      <c r="G1883" s="198">
        <v>10000</v>
      </c>
      <c r="H1883" s="138">
        <f t="shared" si="1558"/>
        <v>26.582278481012654</v>
      </c>
      <c r="I1883" s="33">
        <f>ROUND(G1883+(G1883*Assumptions!H$5),-3)</f>
        <v>10000</v>
      </c>
      <c r="J1883" s="33">
        <f>ROUND(I1883+(I1883*Assumptions!I$5),-3)</f>
        <v>10000</v>
      </c>
      <c r="K1883" s="33">
        <f>ROUND(J1883+(J1883*Assumptions!J$5),-3)</f>
        <v>10000</v>
      </c>
      <c r="L1883" s="33">
        <f>ROUND(K1883+(K1883*Assumptions!K$5),-3)</f>
        <v>10000</v>
      </c>
      <c r="M1883" s="33">
        <f>ROUND(L1883+(L1883*Assumptions!L$5),-3)</f>
        <v>10000</v>
      </c>
      <c r="N1883" s="33">
        <f>ROUND(M1883+(M1883*Assumptions!M$5),-3)</f>
        <v>10000</v>
      </c>
      <c r="O1883" s="33">
        <f>ROUND(N1883+(N1883*Assumptions!N$5),-3)</f>
        <v>10000</v>
      </c>
      <c r="P1883" s="142">
        <f>ROUND(O1883+(O1883*Assumptions!O$5),-3)</f>
        <v>10000</v>
      </c>
      <c r="Q1883" s="33">
        <f>ROUND(P1883+(P1883*Assumptions!P$5),-3)</f>
        <v>10000</v>
      </c>
      <c r="R1883" s="114">
        <f>ROUND(Q1883+(Q1883*Assumptions!Q$5),-3)</f>
        <v>10000</v>
      </c>
    </row>
    <row r="1884" spans="1:18" x14ac:dyDescent="0.2">
      <c r="A1884" s="107">
        <v>57600</v>
      </c>
      <c r="B1884" s="132">
        <v>15000</v>
      </c>
      <c r="C1884" s="189">
        <v>11500</v>
      </c>
      <c r="D1884" s="189">
        <v>12800</v>
      </c>
      <c r="E1884" s="658" t="s">
        <v>2296</v>
      </c>
      <c r="F1884" s="443" t="s">
        <v>1458</v>
      </c>
      <c r="G1884" s="198">
        <v>15000</v>
      </c>
      <c r="H1884" s="138">
        <f t="shared" si="1558"/>
        <v>17.1875</v>
      </c>
      <c r="I1884" s="33">
        <f>ROUND(G1884+(G1884*Assumptions!H$5),-3)</f>
        <v>15000</v>
      </c>
      <c r="J1884" s="187">
        <f>ROUND(I1884+(I1884*Assumptions!I$5),-3)</f>
        <v>15000</v>
      </c>
      <c r="K1884" s="187">
        <f>ROUND(J1884+(J1884*Assumptions!J$5),-3)</f>
        <v>15000</v>
      </c>
      <c r="L1884" s="187">
        <f>ROUND(K1884+(K1884*Assumptions!K$5),-3)</f>
        <v>15000</v>
      </c>
      <c r="M1884" s="33">
        <f>ROUND(L1884+(L1884*Assumptions!L$5),-3)</f>
        <v>15000</v>
      </c>
      <c r="N1884" s="187">
        <f>ROUND(M1884+(M1884*Assumptions!M$5),-3)</f>
        <v>15000</v>
      </c>
      <c r="O1884" s="187">
        <f>ROUND(N1884+(N1884*Assumptions!N$5),-3)</f>
        <v>15000</v>
      </c>
      <c r="P1884" s="189">
        <f>ROUND(O1884+(O1884*Assumptions!O$5),-3)</f>
        <v>15000</v>
      </c>
      <c r="Q1884" s="187">
        <f>ROUND(P1884+(P1884*Assumptions!P$5),-3)</f>
        <v>15000</v>
      </c>
      <c r="R1884" s="188">
        <f>ROUND(Q1884+(Q1884*Assumptions!Q$5),-3)</f>
        <v>15000</v>
      </c>
    </row>
    <row r="1885" spans="1:18" x14ac:dyDescent="0.2">
      <c r="A1885" s="107">
        <v>1065200</v>
      </c>
      <c r="B1885" s="132">
        <v>162800</v>
      </c>
      <c r="C1885" s="189">
        <v>26700</v>
      </c>
      <c r="D1885" s="189">
        <v>17100</v>
      </c>
      <c r="E1885" s="658" t="s">
        <v>578</v>
      </c>
      <c r="F1885" s="443" t="s">
        <v>1286</v>
      </c>
      <c r="G1885" s="198">
        <v>53000</v>
      </c>
      <c r="H1885" s="138">
        <f t="shared" si="1558"/>
        <v>209.94152046783628</v>
      </c>
      <c r="I1885" s="33">
        <f>ROUND(G1885+(G1885*Assumptions!H$5),-3)</f>
        <v>54000</v>
      </c>
      <c r="J1885" s="33">
        <f>ROUND(I1885+(I1885*Assumptions!I$5),-3)</f>
        <v>55000</v>
      </c>
      <c r="K1885" s="33">
        <f>ROUND(J1885+(J1885*Assumptions!J$5),-3)</f>
        <v>56000</v>
      </c>
      <c r="L1885" s="33">
        <f>ROUND(K1885+(K1885*Assumptions!K$5),-3)</f>
        <v>57000</v>
      </c>
      <c r="M1885" s="33">
        <f>ROUND(L1885+(L1885*Assumptions!L$5),-3)</f>
        <v>58000</v>
      </c>
      <c r="N1885" s="33">
        <f>ROUND(M1885+(M1885*Assumptions!M$5),-3)</f>
        <v>59000</v>
      </c>
      <c r="O1885" s="33">
        <f>ROUND(N1885+(N1885*Assumptions!N$5),-3)</f>
        <v>60000</v>
      </c>
      <c r="P1885" s="142">
        <f>ROUND(O1885+(O1885*Assumptions!O$5),-3)</f>
        <v>61000</v>
      </c>
      <c r="Q1885" s="33">
        <f>ROUND(P1885+(P1885*Assumptions!P$5),-3)</f>
        <v>62000</v>
      </c>
      <c r="R1885" s="114">
        <f>ROUND(Q1885+(Q1885*Assumptions!Q$5),-3)</f>
        <v>63000</v>
      </c>
    </row>
    <row r="1886" spans="1:18" x14ac:dyDescent="0.2">
      <c r="A1886" s="107">
        <v>119300</v>
      </c>
      <c r="B1886" s="132">
        <v>95500</v>
      </c>
      <c r="C1886" s="189">
        <v>129600</v>
      </c>
      <c r="D1886" s="189">
        <v>106100</v>
      </c>
      <c r="E1886" s="658" t="s">
        <v>336</v>
      </c>
      <c r="F1886" s="443" t="s">
        <v>539</v>
      </c>
      <c r="G1886" s="198">
        <v>147000</v>
      </c>
      <c r="H1886" s="138">
        <f t="shared" si="1558"/>
        <v>38.548539114043358</v>
      </c>
      <c r="I1886" s="33">
        <f>ROUND(G1886+(G1886*Assumptions!H$5),-3)</f>
        <v>149000</v>
      </c>
      <c r="J1886" s="33">
        <f>ROUND(I1886+(I1886*Assumptions!I$5),-3)</f>
        <v>153000</v>
      </c>
      <c r="K1886" s="33">
        <f>ROUND(J1886+(J1886*Assumptions!J$5),-3)</f>
        <v>157000</v>
      </c>
      <c r="L1886" s="33">
        <f>ROUND(K1886+(K1886*Assumptions!K$5),-3)</f>
        <v>161000</v>
      </c>
      <c r="M1886" s="33">
        <f>ROUND(L1886+(L1886*Assumptions!L$5),-3)</f>
        <v>164000</v>
      </c>
      <c r="N1886" s="33">
        <f>ROUND(M1886+(M1886*Assumptions!M$5),-3)</f>
        <v>167000</v>
      </c>
      <c r="O1886" s="33">
        <f>ROUND(N1886+(N1886*Assumptions!N$5),-3)</f>
        <v>170000</v>
      </c>
      <c r="P1886" s="142">
        <f>ROUND(O1886+(O1886*Assumptions!O$5),-3)</f>
        <v>173000</v>
      </c>
      <c r="Q1886" s="33">
        <f>ROUND(P1886+(P1886*Assumptions!P$5),-3)</f>
        <v>176000</v>
      </c>
      <c r="R1886" s="114">
        <f>ROUND(Q1886+(Q1886*Assumptions!Q$5),-3)</f>
        <v>180000</v>
      </c>
    </row>
    <row r="1887" spans="1:18" x14ac:dyDescent="0.2">
      <c r="A1887" s="107">
        <v>5700</v>
      </c>
      <c r="B1887" s="132">
        <v>19000</v>
      </c>
      <c r="C1887" s="189">
        <v>18900</v>
      </c>
      <c r="D1887" s="189">
        <v>29200</v>
      </c>
      <c r="E1887" s="658" t="s">
        <v>337</v>
      </c>
      <c r="F1887" s="443" t="s">
        <v>114</v>
      </c>
      <c r="G1887" s="198">
        <v>32000</v>
      </c>
      <c r="H1887" s="138">
        <f t="shared" si="1558"/>
        <v>9.5890410958904102</v>
      </c>
      <c r="I1887" s="33">
        <f>ROUND(G1887+(G1887*Assumptions!H$5),-3)</f>
        <v>32000</v>
      </c>
      <c r="J1887" s="33">
        <f>ROUND(I1887+(I1887*Assumptions!I$5),-3)</f>
        <v>33000</v>
      </c>
      <c r="K1887" s="33">
        <f>ROUND(J1887+(J1887*Assumptions!J$5),-3)</f>
        <v>34000</v>
      </c>
      <c r="L1887" s="33">
        <f>ROUND(K1887+(K1887*Assumptions!K$5),-3)</f>
        <v>35000</v>
      </c>
      <c r="M1887" s="33">
        <f>ROUND(L1887+(L1887*Assumptions!L$5),-3)</f>
        <v>36000</v>
      </c>
      <c r="N1887" s="33">
        <f>ROUND(M1887+(M1887*Assumptions!M$5),-3)</f>
        <v>37000</v>
      </c>
      <c r="O1887" s="33">
        <f>ROUND(N1887+(N1887*Assumptions!N$5),-3)</f>
        <v>38000</v>
      </c>
      <c r="P1887" s="142">
        <f>ROUND(O1887+(O1887*Assumptions!O$5),-3)</f>
        <v>39000</v>
      </c>
      <c r="Q1887" s="33">
        <f>ROUND(P1887+(P1887*Assumptions!P$5),-3)</f>
        <v>40000</v>
      </c>
      <c r="R1887" s="114">
        <f>ROUND(Q1887+(Q1887*Assumptions!Q$5),-3)</f>
        <v>41000</v>
      </c>
    </row>
    <row r="1888" spans="1:18" x14ac:dyDescent="0.2">
      <c r="A1888" s="107">
        <v>5500</v>
      </c>
      <c r="B1888" s="132">
        <v>19400</v>
      </c>
      <c r="C1888" s="189">
        <v>3400</v>
      </c>
      <c r="D1888" s="189">
        <v>4000</v>
      </c>
      <c r="E1888" s="658" t="s">
        <v>2647</v>
      </c>
      <c r="F1888" s="443" t="s">
        <v>646</v>
      </c>
      <c r="G1888" s="198">
        <v>10000</v>
      </c>
      <c r="H1888" s="138">
        <f t="shared" si="1558"/>
        <v>150</v>
      </c>
      <c r="I1888" s="33">
        <f>ROUND(G1888+(G1888*Assumptions!H$5),-3)</f>
        <v>10000</v>
      </c>
      <c r="J1888" s="33">
        <f>ROUND(I1888+(I1888*Assumptions!I$5),-3)</f>
        <v>10000</v>
      </c>
      <c r="K1888" s="33">
        <f>ROUND(J1888+(J1888*Assumptions!J$5),-3)</f>
        <v>10000</v>
      </c>
      <c r="L1888" s="33">
        <f>ROUND(K1888+(K1888*Assumptions!K$5),-3)</f>
        <v>10000</v>
      </c>
      <c r="M1888" s="33">
        <f>ROUND(L1888+(L1888*Assumptions!L$5),-3)</f>
        <v>10000</v>
      </c>
      <c r="N1888" s="33">
        <f>ROUND(M1888+(M1888*Assumptions!M$5),-3)</f>
        <v>10000</v>
      </c>
      <c r="O1888" s="33">
        <f>ROUND(N1888+(N1888*Assumptions!N$5),-3)</f>
        <v>10000</v>
      </c>
      <c r="P1888" s="142">
        <f>ROUND(O1888+(O1888*Assumptions!O$5),-3)</f>
        <v>10000</v>
      </c>
      <c r="Q1888" s="33">
        <f>ROUND(P1888+(P1888*Assumptions!P$5),-3)</f>
        <v>10000</v>
      </c>
      <c r="R1888" s="114">
        <f>ROUND(Q1888+(Q1888*Assumptions!Q$5),-3)</f>
        <v>10000</v>
      </c>
    </row>
    <row r="1889" spans="1:18" x14ac:dyDescent="0.2">
      <c r="A1889" s="107">
        <v>3500</v>
      </c>
      <c r="B1889" s="132">
        <v>16500</v>
      </c>
      <c r="C1889" s="189">
        <v>10800</v>
      </c>
      <c r="D1889" s="189">
        <v>21000</v>
      </c>
      <c r="E1889" s="658" t="s">
        <v>2648</v>
      </c>
      <c r="F1889" s="443" t="s">
        <v>2014</v>
      </c>
      <c r="G1889" s="198">
        <v>23000</v>
      </c>
      <c r="H1889" s="138">
        <f t="shared" si="1558"/>
        <v>9.5238095238095237</v>
      </c>
      <c r="I1889" s="33">
        <f>ROUND(G1889+(G1889*Assumptions!H$5),-3)</f>
        <v>23000</v>
      </c>
      <c r="J1889" s="33">
        <f>ROUND(I1889+(I1889*Assumptions!I$5),-3)</f>
        <v>24000</v>
      </c>
      <c r="K1889" s="33">
        <f>ROUND(J1889+(J1889*Assumptions!J$5),-3)</f>
        <v>25000</v>
      </c>
      <c r="L1889" s="33">
        <f>ROUND(K1889+(K1889*Assumptions!K$5),-3)</f>
        <v>26000</v>
      </c>
      <c r="M1889" s="33">
        <f>ROUND(L1889+(L1889*Assumptions!L$5),-3)</f>
        <v>27000</v>
      </c>
      <c r="N1889" s="33">
        <f>ROUND(M1889+(M1889*Assumptions!M$5),-3)</f>
        <v>28000</v>
      </c>
      <c r="O1889" s="33">
        <f>ROUND(N1889+(N1889*Assumptions!N$5),-3)</f>
        <v>29000</v>
      </c>
      <c r="P1889" s="142">
        <f>ROUND(O1889+(O1889*Assumptions!O$5),-3)</f>
        <v>30000</v>
      </c>
      <c r="Q1889" s="33">
        <f>ROUND(P1889+(P1889*Assumptions!P$5),-3)</f>
        <v>31000</v>
      </c>
      <c r="R1889" s="114">
        <f>ROUND(Q1889+(Q1889*Assumptions!Q$5),-3)</f>
        <v>32000</v>
      </c>
    </row>
    <row r="1890" spans="1:18" x14ac:dyDescent="0.2">
      <c r="A1890" s="107">
        <v>5900</v>
      </c>
      <c r="B1890" s="132">
        <v>48600</v>
      </c>
      <c r="C1890" s="189">
        <v>36900</v>
      </c>
      <c r="D1890" s="189">
        <f>27100-2600</f>
        <v>24500</v>
      </c>
      <c r="E1890" s="658" t="s">
        <v>2649</v>
      </c>
      <c r="F1890" s="814" t="s">
        <v>4613</v>
      </c>
      <c r="G1890" s="198">
        <f>60000-10000</f>
        <v>50000</v>
      </c>
      <c r="H1890" s="138">
        <f t="shared" si="1558"/>
        <v>104.08163265306123</v>
      </c>
      <c r="I1890" s="33">
        <f>ROUND(G1890+(G1890*Assumptions!H$5),-3)</f>
        <v>51000</v>
      </c>
      <c r="J1890" s="33">
        <f>ROUND(I1890+(I1890*Assumptions!I$5),-3)</f>
        <v>52000</v>
      </c>
      <c r="K1890" s="33">
        <f>ROUND(J1890+(J1890*Assumptions!J$5),-3)</f>
        <v>53000</v>
      </c>
      <c r="L1890" s="33">
        <f>ROUND(K1890+(K1890*Assumptions!K$5),-3)</f>
        <v>54000</v>
      </c>
      <c r="M1890" s="33">
        <f>ROUND(L1890+(L1890*Assumptions!L$5),-3)</f>
        <v>55000</v>
      </c>
      <c r="N1890" s="33">
        <f>ROUND(M1890+(M1890*Assumptions!M$5),-3)</f>
        <v>56000</v>
      </c>
      <c r="O1890" s="33">
        <f>ROUND(N1890+(N1890*Assumptions!N$5),-3)</f>
        <v>57000</v>
      </c>
      <c r="P1890" s="142">
        <f>ROUND(O1890+(O1890*Assumptions!O$5),-3)</f>
        <v>58000</v>
      </c>
      <c r="Q1890" s="33">
        <f>ROUND(P1890+(P1890*Assumptions!P$5),-3)</f>
        <v>59000</v>
      </c>
      <c r="R1890" s="114">
        <f>ROUND(Q1890+(Q1890*Assumptions!Q$5),-3)</f>
        <v>60000</v>
      </c>
    </row>
    <row r="1891" spans="1:18" x14ac:dyDescent="0.2">
      <c r="A1891" s="107">
        <v>0</v>
      </c>
      <c r="B1891" s="132">
        <v>2600</v>
      </c>
      <c r="C1891" s="189">
        <v>100</v>
      </c>
      <c r="D1891" s="189">
        <f>100+2600</f>
        <v>2700</v>
      </c>
      <c r="E1891" s="658" t="s">
        <v>2650</v>
      </c>
      <c r="F1891" s="443" t="s">
        <v>2219</v>
      </c>
      <c r="G1891" s="198">
        <v>5000</v>
      </c>
      <c r="H1891" s="138">
        <f t="shared" si="1558"/>
        <v>85.18518518518519</v>
      </c>
      <c r="I1891" s="33">
        <f>ROUND(G1891+(G1891*Assumptions!H$5),-3)</f>
        <v>5000</v>
      </c>
      <c r="J1891" s="33">
        <f>ROUND(I1891+(I1891*Assumptions!I$5),-3)</f>
        <v>5000</v>
      </c>
      <c r="K1891" s="33">
        <f>ROUND(J1891+(J1891*Assumptions!J$5),-3)</f>
        <v>5000</v>
      </c>
      <c r="L1891" s="33">
        <f>ROUND(K1891+(K1891*Assumptions!K$5),-3)</f>
        <v>5000</v>
      </c>
      <c r="M1891" s="33">
        <f>ROUND(L1891+(L1891*Assumptions!L$5),-3)</f>
        <v>5000</v>
      </c>
      <c r="N1891" s="33">
        <f>ROUND(M1891+(M1891*Assumptions!M$5),-3)</f>
        <v>5000</v>
      </c>
      <c r="O1891" s="33">
        <f>ROUND(N1891+(N1891*Assumptions!N$5),-3)</f>
        <v>5000</v>
      </c>
      <c r="P1891" s="142">
        <f>ROUND(O1891+(O1891*Assumptions!O$5),-3)</f>
        <v>5000</v>
      </c>
      <c r="Q1891" s="33">
        <f>ROUND(P1891+(P1891*Assumptions!P$5),-3)</f>
        <v>5000</v>
      </c>
      <c r="R1891" s="114">
        <f>ROUND(Q1891+(Q1891*Assumptions!Q$5),-3)</f>
        <v>5000</v>
      </c>
    </row>
    <row r="1892" spans="1:18" x14ac:dyDescent="0.2">
      <c r="A1892" s="107">
        <v>34900</v>
      </c>
      <c r="B1892" s="132">
        <v>22400</v>
      </c>
      <c r="C1892" s="189">
        <v>2600</v>
      </c>
      <c r="D1892" s="189">
        <v>7500</v>
      </c>
      <c r="E1892" s="658" t="s">
        <v>2651</v>
      </c>
      <c r="F1892" s="443" t="s">
        <v>1869</v>
      </c>
      <c r="G1892" s="198">
        <v>13000</v>
      </c>
      <c r="H1892" s="138">
        <f t="shared" si="1558"/>
        <v>73.333333333333329</v>
      </c>
      <c r="I1892" s="33">
        <f>ROUND(G1892+(G1892*Assumptions!H$5),-3)</f>
        <v>13000</v>
      </c>
      <c r="J1892" s="33">
        <f>ROUND(I1892+(I1892*Assumptions!I$5),-3)</f>
        <v>13000</v>
      </c>
      <c r="K1892" s="33">
        <f>ROUND(J1892+(J1892*Assumptions!J$5),-3)</f>
        <v>13000</v>
      </c>
      <c r="L1892" s="33">
        <f>ROUND(K1892+(K1892*Assumptions!K$5),-3)</f>
        <v>13000</v>
      </c>
      <c r="M1892" s="33">
        <f>ROUND(L1892+(L1892*Assumptions!L$5),-3)</f>
        <v>13000</v>
      </c>
      <c r="N1892" s="33">
        <f>ROUND(M1892+(M1892*Assumptions!M$5),-3)</f>
        <v>13000</v>
      </c>
      <c r="O1892" s="33">
        <f>ROUND(N1892+(N1892*Assumptions!N$5),-3)</f>
        <v>13000</v>
      </c>
      <c r="P1892" s="142">
        <f>ROUND(O1892+(O1892*Assumptions!O$5),-3)</f>
        <v>13000</v>
      </c>
      <c r="Q1892" s="33">
        <f>ROUND(P1892+(P1892*Assumptions!P$5),-3)</f>
        <v>13000</v>
      </c>
      <c r="R1892" s="114">
        <f>ROUND(Q1892+(Q1892*Assumptions!Q$5),-3)</f>
        <v>13000</v>
      </c>
    </row>
    <row r="1893" spans="1:18" x14ac:dyDescent="0.2">
      <c r="A1893" s="107">
        <v>0</v>
      </c>
      <c r="B1893" s="132">
        <v>0</v>
      </c>
      <c r="C1893" s="189">
        <v>0</v>
      </c>
      <c r="D1893" s="189">
        <v>0</v>
      </c>
      <c r="E1893" s="658" t="s">
        <v>1892</v>
      </c>
      <c r="F1893" s="814" t="s">
        <v>4614</v>
      </c>
      <c r="G1893" s="187">
        <v>0</v>
      </c>
      <c r="H1893" s="138">
        <f t="shared" si="1558"/>
        <v>0</v>
      </c>
      <c r="I1893" s="33">
        <f>ROUND(G1893+(G1893*Assumptions!H$5),-3)</f>
        <v>0</v>
      </c>
      <c r="J1893" s="33">
        <f>ROUND(I1893+(I1893*Assumptions!I$5),-3)</f>
        <v>0</v>
      </c>
      <c r="K1893" s="33">
        <f>ROUND(J1893+(J1893*Assumptions!J$5),-3)</f>
        <v>0</v>
      </c>
      <c r="L1893" s="33">
        <f>ROUND(K1893+(K1893*Assumptions!K$5),-3)</f>
        <v>0</v>
      </c>
      <c r="M1893" s="33">
        <f>ROUND(L1893+(L1893*Assumptions!L$5),-3)</f>
        <v>0</v>
      </c>
      <c r="N1893" s="33">
        <f>ROUND(M1893+(M1893*Assumptions!M$5),-3)</f>
        <v>0</v>
      </c>
      <c r="O1893" s="33">
        <f>ROUND(N1893+(N1893*Assumptions!N$5),-3)</f>
        <v>0</v>
      </c>
      <c r="P1893" s="142">
        <f>ROUND(O1893+(O1893*Assumptions!O$5),-3)</f>
        <v>0</v>
      </c>
      <c r="Q1893" s="33">
        <f>ROUND(P1893+(P1893*Assumptions!P$5),-3)</f>
        <v>0</v>
      </c>
      <c r="R1893" s="114">
        <f>ROUND(Q1893+(Q1893*Assumptions!Q$5),-3)</f>
        <v>0</v>
      </c>
    </row>
    <row r="1894" spans="1:18" x14ac:dyDescent="0.2">
      <c r="A1894" s="107">
        <v>0</v>
      </c>
      <c r="B1894" s="132">
        <v>0</v>
      </c>
      <c r="C1894" s="189">
        <v>0</v>
      </c>
      <c r="D1894" s="189">
        <v>0</v>
      </c>
      <c r="E1894" s="673" t="s">
        <v>1893</v>
      </c>
      <c r="F1894" s="443" t="s">
        <v>2056</v>
      </c>
      <c r="G1894" s="198">
        <v>0</v>
      </c>
      <c r="H1894" s="138">
        <f t="shared" si="1558"/>
        <v>0</v>
      </c>
      <c r="I1894" s="33">
        <f>ROUND(G1894+(G1894*Assumptions!H$5),-3)</f>
        <v>0</v>
      </c>
      <c r="J1894" s="33">
        <f>ROUND(I1894+(I1894*Assumptions!I$5),-3)</f>
        <v>0</v>
      </c>
      <c r="K1894" s="33">
        <f>ROUND(J1894+(J1894*Assumptions!J$5),-3)</f>
        <v>0</v>
      </c>
      <c r="L1894" s="33">
        <f>ROUND(K1894+(K1894*Assumptions!K$5),-3)</f>
        <v>0</v>
      </c>
      <c r="M1894" s="33">
        <f>ROUND(L1894+(L1894*Assumptions!L$5),-3)</f>
        <v>0</v>
      </c>
      <c r="N1894" s="33">
        <f>ROUND(M1894+(M1894*Assumptions!M$5),-3)</f>
        <v>0</v>
      </c>
      <c r="O1894" s="33">
        <f>ROUND(N1894+(N1894*Assumptions!N$5),-3)</f>
        <v>0</v>
      </c>
      <c r="P1894" s="142">
        <f>ROUND(O1894+(O1894*Assumptions!O$5),-3)</f>
        <v>0</v>
      </c>
      <c r="Q1894" s="33">
        <f>ROUND(P1894+(P1894*Assumptions!P$5),-3)</f>
        <v>0</v>
      </c>
      <c r="R1894" s="114">
        <f>ROUND(Q1894+(Q1894*Assumptions!Q$5),-3)</f>
        <v>0</v>
      </c>
    </row>
    <row r="1895" spans="1:18" x14ac:dyDescent="0.2">
      <c r="A1895" s="107">
        <v>0</v>
      </c>
      <c r="B1895" s="132">
        <v>20100</v>
      </c>
      <c r="C1895" s="189">
        <v>45600</v>
      </c>
      <c r="D1895" s="189">
        <v>100</v>
      </c>
      <c r="E1895" s="1092" t="s">
        <v>3453</v>
      </c>
      <c r="F1895" s="814" t="s">
        <v>3454</v>
      </c>
      <c r="G1895" s="198">
        <v>30000</v>
      </c>
      <c r="H1895" s="138">
        <f t="shared" si="1558"/>
        <v>29900</v>
      </c>
      <c r="I1895" s="33">
        <f>ROUND(G1895+(G1895*Assumptions!H$5),-3)</f>
        <v>30000</v>
      </c>
      <c r="J1895" s="33">
        <f>ROUND(I1895+(I1895*Assumptions!I$5),-3)</f>
        <v>31000</v>
      </c>
      <c r="K1895" s="33">
        <f>ROUND(J1895+(J1895*Assumptions!J$5),-3)</f>
        <v>32000</v>
      </c>
      <c r="L1895" s="33">
        <f>ROUND(K1895+(K1895*Assumptions!K$5),-3)</f>
        <v>33000</v>
      </c>
      <c r="M1895" s="33">
        <f>ROUND(L1895+(L1895*Assumptions!L$5),-3)</f>
        <v>34000</v>
      </c>
      <c r="N1895" s="33">
        <f>ROUND(M1895+(M1895*Assumptions!M$5),-3)</f>
        <v>35000</v>
      </c>
      <c r="O1895" s="33">
        <f>ROUND(N1895+(N1895*Assumptions!N$5),-3)</f>
        <v>36000</v>
      </c>
      <c r="P1895" s="142">
        <f>ROUND(O1895+(O1895*Assumptions!O$5),-3)</f>
        <v>37000</v>
      </c>
      <c r="Q1895" s="33">
        <f>ROUND(P1895+(P1895*Assumptions!P$5),-3)</f>
        <v>38000</v>
      </c>
      <c r="R1895" s="114">
        <f>ROUND(Q1895+(Q1895*Assumptions!Q$5),-3)</f>
        <v>39000</v>
      </c>
    </row>
    <row r="1896" spans="1:18" x14ac:dyDescent="0.2">
      <c r="A1896" s="107">
        <v>0</v>
      </c>
      <c r="B1896" s="132">
        <v>0</v>
      </c>
      <c r="C1896" s="189">
        <v>4200</v>
      </c>
      <c r="D1896" s="189">
        <v>13100</v>
      </c>
      <c r="E1896" s="1098" t="s">
        <v>4529</v>
      </c>
      <c r="F1896" s="814" t="s">
        <v>4837</v>
      </c>
      <c r="G1896" s="198">
        <v>20000</v>
      </c>
      <c r="H1896" s="138">
        <f t="shared" si="1558"/>
        <v>52.671755725190842</v>
      </c>
      <c r="I1896" s="33">
        <f>ROUND(G1896+(G1896*Assumptions!H$5),-3)</f>
        <v>20000</v>
      </c>
      <c r="J1896" s="33">
        <f>ROUND(I1896+(I1896*Assumptions!I$5),-3)</f>
        <v>21000</v>
      </c>
      <c r="K1896" s="33">
        <f>ROUND(J1896+(J1896*Assumptions!J$5),-3)</f>
        <v>22000</v>
      </c>
      <c r="L1896" s="33">
        <f>ROUND(K1896+(K1896*Assumptions!K$5),-3)</f>
        <v>23000</v>
      </c>
      <c r="M1896" s="33">
        <f>ROUND(L1896+(L1896*Assumptions!L$5),-3)</f>
        <v>23000</v>
      </c>
      <c r="N1896" s="33">
        <f>ROUND(M1896+(M1896*Assumptions!M$5),-3)</f>
        <v>23000</v>
      </c>
      <c r="O1896" s="33">
        <f>ROUND(N1896+(N1896*Assumptions!N$5),-3)</f>
        <v>23000</v>
      </c>
      <c r="P1896" s="142">
        <f>ROUND(O1896+(O1896*Assumptions!O$5),-3)</f>
        <v>23000</v>
      </c>
      <c r="Q1896" s="33">
        <f>ROUND(P1896+(P1896*Assumptions!P$5),-3)</f>
        <v>23000</v>
      </c>
      <c r="R1896" s="114">
        <f>ROUND(Q1896+(Q1896*Assumptions!Q$5),-3)</f>
        <v>23000</v>
      </c>
    </row>
    <row r="1897" spans="1:18" x14ac:dyDescent="0.2">
      <c r="A1897" s="107">
        <v>0</v>
      </c>
      <c r="B1897" s="132">
        <v>0</v>
      </c>
      <c r="C1897" s="189">
        <v>0</v>
      </c>
      <c r="D1897" s="189">
        <v>0</v>
      </c>
      <c r="E1897" s="1098" t="s">
        <v>6622</v>
      </c>
      <c r="F1897" s="814" t="s">
        <v>6906</v>
      </c>
      <c r="G1897" s="198">
        <v>62400</v>
      </c>
      <c r="H1897" s="138">
        <f t="shared" si="1558"/>
        <v>100</v>
      </c>
      <c r="I1897" s="33">
        <v>0</v>
      </c>
      <c r="J1897" s="33">
        <v>0</v>
      </c>
      <c r="K1897" s="33">
        <v>0</v>
      </c>
      <c r="L1897" s="33">
        <v>0</v>
      </c>
      <c r="M1897" s="33">
        <v>0</v>
      </c>
      <c r="N1897" s="33">
        <v>0</v>
      </c>
      <c r="O1897" s="33">
        <v>0</v>
      </c>
      <c r="P1897" s="33">
        <v>0</v>
      </c>
      <c r="Q1897" s="33">
        <v>0</v>
      </c>
      <c r="R1897" s="114">
        <v>0</v>
      </c>
    </row>
    <row r="1898" spans="1:18" x14ac:dyDescent="0.2">
      <c r="A1898" s="107">
        <v>0</v>
      </c>
      <c r="B1898" s="132">
        <v>0</v>
      </c>
      <c r="C1898" s="189">
        <v>0</v>
      </c>
      <c r="D1898" s="189">
        <v>0</v>
      </c>
      <c r="E1898" s="1098" t="s">
        <v>6623</v>
      </c>
      <c r="F1898" s="814" t="s">
        <v>6907</v>
      </c>
      <c r="G1898" s="198">
        <v>62400</v>
      </c>
      <c r="H1898" s="138">
        <f t="shared" si="1558"/>
        <v>100</v>
      </c>
      <c r="I1898" s="33">
        <v>0</v>
      </c>
      <c r="J1898" s="33">
        <v>0</v>
      </c>
      <c r="K1898" s="33">
        <v>0</v>
      </c>
      <c r="L1898" s="33">
        <v>0</v>
      </c>
      <c r="M1898" s="33">
        <v>0</v>
      </c>
      <c r="N1898" s="33">
        <v>0</v>
      </c>
      <c r="O1898" s="33">
        <v>0</v>
      </c>
      <c r="P1898" s="33">
        <v>0</v>
      </c>
      <c r="Q1898" s="33">
        <v>0</v>
      </c>
      <c r="R1898" s="114">
        <v>0</v>
      </c>
    </row>
    <row r="1899" spans="1:18" ht="13.5" thickBot="1" x14ac:dyDescent="0.25">
      <c r="A1899" s="171"/>
      <c r="B1899" s="66"/>
      <c r="C1899" s="202"/>
      <c r="D1899" s="202"/>
      <c r="E1899" s="1976"/>
      <c r="F1899" s="605"/>
      <c r="G1899" s="2610"/>
      <c r="H1899" s="140"/>
      <c r="I1899" s="66"/>
      <c r="J1899" s="66"/>
      <c r="K1899" s="66"/>
      <c r="L1899" s="66"/>
      <c r="M1899" s="66"/>
      <c r="N1899" s="66"/>
      <c r="O1899" s="66"/>
      <c r="P1899" s="166"/>
      <c r="Q1899" s="66"/>
      <c r="R1899" s="165"/>
    </row>
    <row r="1900" spans="1:18" s="99" customFormat="1" ht="14.25" thickTop="1" thickBot="1" x14ac:dyDescent="0.25">
      <c r="A1900" s="74"/>
      <c r="B1900" s="74"/>
      <c r="C1900" s="197"/>
      <c r="D1900" s="197"/>
      <c r="E1900" s="242"/>
      <c r="F1900" s="137"/>
      <c r="G1900" s="197"/>
      <c r="H1900" s="123"/>
    </row>
    <row r="1901" spans="1:18" s="91" customFormat="1" ht="18.75" customHeight="1" thickTop="1" thickBot="1" x14ac:dyDescent="0.3">
      <c r="A1901" s="2865" t="s">
        <v>4596</v>
      </c>
      <c r="B1901" s="2866"/>
      <c r="C1901" s="2866"/>
      <c r="D1901" s="2866"/>
      <c r="E1901" s="2866"/>
      <c r="F1901" s="2866"/>
      <c r="G1901" s="2866"/>
      <c r="H1901" s="2866"/>
      <c r="I1901" s="2866"/>
      <c r="J1901" s="2866"/>
      <c r="K1901" s="2866"/>
      <c r="L1901" s="2866"/>
      <c r="M1901" s="2866"/>
      <c r="N1901" s="2866"/>
      <c r="O1901" s="2866"/>
      <c r="P1901" s="2866"/>
      <c r="Q1901" s="2866"/>
      <c r="R1901" s="2867"/>
    </row>
    <row r="1902" spans="1:18" s="44" customFormat="1" x14ac:dyDescent="0.2">
      <c r="A1902" s="2848" t="s">
        <v>1856</v>
      </c>
      <c r="B1902" s="2840"/>
      <c r="C1902" s="2840"/>
      <c r="D1902" s="2849"/>
      <c r="E1902" s="369" t="s">
        <v>2663</v>
      </c>
      <c r="F1902" s="2649" t="s">
        <v>2251</v>
      </c>
      <c r="G1902" s="2885" t="s">
        <v>2253</v>
      </c>
      <c r="H1902" s="2886"/>
      <c r="I1902" s="2886"/>
      <c r="J1902" s="2886"/>
      <c r="K1902" s="2886"/>
      <c r="L1902" s="2886"/>
      <c r="M1902" s="2886"/>
      <c r="N1902" s="2886"/>
      <c r="O1902" s="2886"/>
      <c r="P1902" s="2886"/>
      <c r="Q1902" s="2886"/>
      <c r="R1902" s="2887"/>
    </row>
    <row r="1903" spans="1:18" s="23" customFormat="1" ht="12.75" customHeight="1" thickBot="1" x14ac:dyDescent="0.25">
      <c r="A1903" s="208" t="str">
        <f>A3</f>
        <v>2012/13</v>
      </c>
      <c r="B1903" s="75" t="str">
        <f>B3</f>
        <v>2013/14</v>
      </c>
      <c r="C1903" s="370" t="str">
        <f>C3</f>
        <v>2014/15</v>
      </c>
      <c r="D1903" s="93" t="str">
        <f>D3</f>
        <v>2015/16</v>
      </c>
      <c r="E1903" s="370" t="str">
        <f>E1772</f>
        <v>ACCOUNT</v>
      </c>
      <c r="F1903" s="361"/>
      <c r="G1903" s="2513" t="str">
        <f>G3</f>
        <v>2016/17</v>
      </c>
      <c r="H1903" s="2193" t="str">
        <f>H1840</f>
        <v>%</v>
      </c>
      <c r="I1903" s="370" t="str">
        <f t="shared" ref="I1903:R1903" si="1559">I3</f>
        <v>2017/18</v>
      </c>
      <c r="J1903" s="370" t="str">
        <f t="shared" si="1559"/>
        <v>2018/19</v>
      </c>
      <c r="K1903" s="370" t="str">
        <f t="shared" si="1559"/>
        <v>2019/20</v>
      </c>
      <c r="L1903" s="370" t="str">
        <f t="shared" si="1559"/>
        <v>2020/21</v>
      </c>
      <c r="M1903" s="370" t="str">
        <f t="shared" si="1559"/>
        <v>2021/22</v>
      </c>
      <c r="N1903" s="370" t="str">
        <f t="shared" si="1559"/>
        <v>2022/23</v>
      </c>
      <c r="O1903" s="370" t="str">
        <f t="shared" si="1559"/>
        <v>2023/24</v>
      </c>
      <c r="P1903" s="370" t="str">
        <f t="shared" si="1559"/>
        <v>2024/25</v>
      </c>
      <c r="Q1903" s="218" t="str">
        <f t="shared" si="1559"/>
        <v>2025/26</v>
      </c>
      <c r="R1903" s="549" t="str">
        <f t="shared" si="1559"/>
        <v>2026/27</v>
      </c>
    </row>
    <row r="1904" spans="1:18" x14ac:dyDescent="0.2">
      <c r="A1904" s="107"/>
      <c r="B1904" s="33"/>
      <c r="E1904" s="673"/>
      <c r="F1904" s="814"/>
      <c r="G1904" s="2509"/>
      <c r="H1904" s="138"/>
      <c r="I1904" s="187"/>
      <c r="J1904" s="187"/>
      <c r="K1904" s="33"/>
      <c r="L1904" s="33"/>
      <c r="M1904" s="33"/>
      <c r="N1904" s="187"/>
      <c r="O1904" s="187"/>
      <c r="P1904" s="187"/>
      <c r="Q1904" s="187"/>
      <c r="R1904" s="188"/>
    </row>
    <row r="1905" spans="1:18" x14ac:dyDescent="0.2">
      <c r="A1905" s="107"/>
      <c r="B1905" s="33"/>
      <c r="E1905" s="673"/>
      <c r="F1905" s="1103" t="s">
        <v>3766</v>
      </c>
      <c r="G1905" s="2509"/>
      <c r="H1905" s="138"/>
      <c r="I1905" s="187"/>
      <c r="J1905" s="187"/>
      <c r="K1905" s="33"/>
      <c r="L1905" s="33"/>
      <c r="M1905" s="33"/>
      <c r="N1905" s="187"/>
      <c r="O1905" s="187"/>
      <c r="P1905" s="187"/>
      <c r="Q1905" s="187"/>
      <c r="R1905" s="188"/>
    </row>
    <row r="1906" spans="1:18" x14ac:dyDescent="0.2">
      <c r="A1906" s="107">
        <v>410700</v>
      </c>
      <c r="B1906" s="132">
        <v>293500</v>
      </c>
      <c r="C1906" s="189">
        <v>7600</v>
      </c>
      <c r="D1906" s="189">
        <v>1400</v>
      </c>
      <c r="E1906" s="673" t="s">
        <v>2463</v>
      </c>
      <c r="F1906" s="814" t="s">
        <v>3875</v>
      </c>
      <c r="G1906" s="2509">
        <v>24000</v>
      </c>
      <c r="H1906" s="138">
        <f t="shared" ref="H1906:H1912" si="1560">IF(D1906=G1906,0,IF(D1906=0,100,(G1906-D1906)/D1906*100))</f>
        <v>1614.2857142857142</v>
      </c>
      <c r="I1906" s="187">
        <f>ROUND(G1906+(G1906*Assumptions!H$5),-3)</f>
        <v>24000</v>
      </c>
      <c r="J1906" s="187">
        <f>ROUND(I1906+(I1906*Assumptions!I$5),-3)</f>
        <v>25000</v>
      </c>
      <c r="K1906" s="33">
        <f>ROUND(J1906+(J1906*Assumptions!J$5),-3)</f>
        <v>26000</v>
      </c>
      <c r="L1906" s="33">
        <f>ROUND(K1906+(K1906*Assumptions!K$5),-3)</f>
        <v>27000</v>
      </c>
      <c r="M1906" s="33">
        <f>ROUND(L1906+(L1906*Assumptions!L$5),-3)</f>
        <v>28000</v>
      </c>
      <c r="N1906" s="187">
        <f>ROUND(M1906+(M1906*Assumptions!M$5),-3)</f>
        <v>29000</v>
      </c>
      <c r="O1906" s="187">
        <f>ROUND(N1906+(N1906*Assumptions!N$5),-3)</f>
        <v>30000</v>
      </c>
      <c r="P1906" s="187">
        <f>ROUND(O1906+(O1906*Assumptions!O$5),-3)</f>
        <v>31000</v>
      </c>
      <c r="Q1906" s="187">
        <f>ROUND(P1906+(P1906*Assumptions!P$5),-3)</f>
        <v>32000</v>
      </c>
      <c r="R1906" s="188">
        <f>ROUND(Q1906+(Q1906*Assumptions!Q$5),-3)</f>
        <v>33000</v>
      </c>
    </row>
    <row r="1907" spans="1:18" x14ac:dyDescent="0.2">
      <c r="A1907" s="107">
        <v>0</v>
      </c>
      <c r="B1907" s="132">
        <v>1155800</v>
      </c>
      <c r="C1907" s="189">
        <v>1021300</v>
      </c>
      <c r="D1907" s="189">
        <v>856100</v>
      </c>
      <c r="E1907" s="673" t="s">
        <v>3152</v>
      </c>
      <c r="F1907" s="814" t="s">
        <v>3876</v>
      </c>
      <c r="G1907" s="198">
        <f>1094000-45000-140000</f>
        <v>909000</v>
      </c>
      <c r="H1907" s="138">
        <f t="shared" si="1560"/>
        <v>6.1791846746875363</v>
      </c>
      <c r="I1907" s="33">
        <f>ROUND(G1907+(G1907*Assumptions!H$5),-3)</f>
        <v>923000</v>
      </c>
      <c r="J1907" s="33">
        <f>ROUND(I1907+(I1907*Assumptions!I$5),-3)</f>
        <v>946000</v>
      </c>
      <c r="K1907" s="33">
        <f>ROUND(J1907+(J1907*Assumptions!J$5),-3)</f>
        <v>970000</v>
      </c>
      <c r="L1907" s="33">
        <f>ROUND(K1907+(K1907*Assumptions!K$5),-3)</f>
        <v>994000</v>
      </c>
      <c r="M1907" s="33">
        <f>ROUND(L1907+(L1907*Assumptions!L$5),-3)</f>
        <v>1014000</v>
      </c>
      <c r="N1907" s="33">
        <f>ROUND(M1907+(M1907*Assumptions!M$5),-3)</f>
        <v>1034000</v>
      </c>
      <c r="O1907" s="33">
        <f>ROUND(N1907+(N1907*Assumptions!N$5),-3)</f>
        <v>1055000</v>
      </c>
      <c r="P1907" s="33">
        <f>ROUND(O1907+(O1907*Assumptions!O$5),-3)</f>
        <v>1076000</v>
      </c>
      <c r="Q1907" s="33">
        <f>ROUND(P1907+(P1907*Assumptions!P$5),-3)</f>
        <v>1098000</v>
      </c>
      <c r="R1907" s="114">
        <f>ROUND(Q1907+(Q1907*Assumptions!Q$5),-3)</f>
        <v>1120000</v>
      </c>
    </row>
    <row r="1908" spans="1:18" x14ac:dyDescent="0.2">
      <c r="A1908" s="107">
        <v>392700</v>
      </c>
      <c r="B1908" s="132">
        <v>385000</v>
      </c>
      <c r="C1908" s="33">
        <v>301500</v>
      </c>
      <c r="D1908" s="189">
        <v>316000</v>
      </c>
      <c r="E1908" s="658" t="s">
        <v>2066</v>
      </c>
      <c r="F1908" s="814" t="s">
        <v>3877</v>
      </c>
      <c r="G1908" s="198">
        <v>358000</v>
      </c>
      <c r="H1908" s="138">
        <f t="shared" si="1560"/>
        <v>13.291139240506327</v>
      </c>
      <c r="I1908" s="33">
        <f>ROUND(G1908+(G1908*Assumptions!H$5),-3)</f>
        <v>363000</v>
      </c>
      <c r="J1908" s="33">
        <f>ROUND(I1908+(I1908*Assumptions!I$5),-3)</f>
        <v>372000</v>
      </c>
      <c r="K1908" s="33">
        <f>ROUND(J1908+(J1908*Assumptions!J$5),-3)</f>
        <v>381000</v>
      </c>
      <c r="L1908" s="33">
        <f>ROUND(K1908+(K1908*Assumptions!K$5),-3)</f>
        <v>391000</v>
      </c>
      <c r="M1908" s="33">
        <f>ROUND(L1908+(L1908*Assumptions!L$5),-3)</f>
        <v>399000</v>
      </c>
      <c r="N1908" s="33">
        <f>ROUND(M1908+(M1908*Assumptions!M$5),-3)</f>
        <v>407000</v>
      </c>
      <c r="O1908" s="33">
        <f>ROUND(N1908+(N1908*Assumptions!N$5),-3)</f>
        <v>415000</v>
      </c>
      <c r="P1908" s="33">
        <f>ROUND(O1908+(O1908*Assumptions!O$5),-3)</f>
        <v>423000</v>
      </c>
      <c r="Q1908" s="33">
        <f>ROUND(P1908+(P1908*Assumptions!P$5),-3)</f>
        <v>431000</v>
      </c>
      <c r="R1908" s="114">
        <f>ROUND(Q1908+(Q1908*Assumptions!Q$5),-3)</f>
        <v>440000</v>
      </c>
    </row>
    <row r="1909" spans="1:18" x14ac:dyDescent="0.2">
      <c r="A1909" s="107">
        <v>344100</v>
      </c>
      <c r="B1909" s="132">
        <v>295600</v>
      </c>
      <c r="C1909" s="189">
        <v>277800</v>
      </c>
      <c r="D1909" s="189">
        <v>137200</v>
      </c>
      <c r="E1909" s="658" t="s">
        <v>2621</v>
      </c>
      <c r="F1909" s="814" t="s">
        <v>3878</v>
      </c>
      <c r="G1909" s="1362">
        <f>321000-30000-90000-70000</f>
        <v>131000</v>
      </c>
      <c r="H1909" s="138">
        <f t="shared" si="1560"/>
        <v>-4.518950437317784</v>
      </c>
      <c r="I1909" s="33">
        <f>ROUND(G1909+(G1909*Assumptions!H$5),-3)</f>
        <v>133000</v>
      </c>
      <c r="J1909" s="33">
        <f>ROUND(I1909+(I1909*Assumptions!I$5),-3)</f>
        <v>136000</v>
      </c>
      <c r="K1909" s="33">
        <f>ROUND(J1909+(J1909*Assumptions!J$5),-3)</f>
        <v>139000</v>
      </c>
      <c r="L1909" s="33">
        <f>ROUND(K1909+(K1909*Assumptions!K$5),-3)</f>
        <v>142000</v>
      </c>
      <c r="M1909" s="33">
        <f>ROUND(L1909+(L1909*Assumptions!L$5),-3)</f>
        <v>145000</v>
      </c>
      <c r="N1909" s="33">
        <f>ROUND(M1909+(M1909*Assumptions!M$5),-3)</f>
        <v>148000</v>
      </c>
      <c r="O1909" s="33">
        <f>ROUND(N1909+(N1909*Assumptions!N$5),-3)</f>
        <v>151000</v>
      </c>
      <c r="P1909" s="33">
        <f>ROUND(O1909+(O1909*Assumptions!O$5),-3)</f>
        <v>154000</v>
      </c>
      <c r="Q1909" s="33">
        <f>ROUND(P1909+(P1909*Assumptions!P$5),-3)</f>
        <v>157000</v>
      </c>
      <c r="R1909" s="114">
        <f>ROUND(Q1909+(Q1909*Assumptions!Q$5),-3)</f>
        <v>160000</v>
      </c>
    </row>
    <row r="1910" spans="1:18" x14ac:dyDescent="0.2">
      <c r="A1910" s="107">
        <v>0</v>
      </c>
      <c r="B1910" s="132">
        <v>219000</v>
      </c>
      <c r="C1910" s="189">
        <v>146500</v>
      </c>
      <c r="D1910" s="189">
        <v>120000</v>
      </c>
      <c r="E1910" s="1092" t="s">
        <v>4035</v>
      </c>
      <c r="F1910" s="814" t="s">
        <v>5368</v>
      </c>
      <c r="G1910" s="198">
        <f>184000-24000</f>
        <v>160000</v>
      </c>
      <c r="H1910" s="138">
        <f t="shared" si="1560"/>
        <v>33.333333333333329</v>
      </c>
      <c r="I1910" s="33">
        <f>ROUND(G1910+(G1910*Assumptions!H$5),-3)</f>
        <v>162000</v>
      </c>
      <c r="J1910" s="33">
        <f>ROUND(I1910+(I1910*Assumptions!I$5),-3)</f>
        <v>166000</v>
      </c>
      <c r="K1910" s="33">
        <f>ROUND(J1910+(J1910*Assumptions!J$5),-3)</f>
        <v>170000</v>
      </c>
      <c r="L1910" s="33">
        <f>ROUND(K1910+(K1910*Assumptions!K$5),-3)</f>
        <v>174000</v>
      </c>
      <c r="M1910" s="33">
        <f>ROUND(L1910+(L1910*Assumptions!L$5),-3)</f>
        <v>177000</v>
      </c>
      <c r="N1910" s="33">
        <f>ROUND(M1910+(M1910*Assumptions!M$5),-3)</f>
        <v>181000</v>
      </c>
      <c r="O1910" s="33">
        <f>ROUND(N1910+(N1910*Assumptions!N$5),-3)</f>
        <v>185000</v>
      </c>
      <c r="P1910" s="33">
        <f>ROUND(O1910+(O1910*Assumptions!O$5),-3)</f>
        <v>189000</v>
      </c>
      <c r="Q1910" s="33">
        <f>ROUND(P1910+(P1910*Assumptions!P$5),-3)</f>
        <v>193000</v>
      </c>
      <c r="R1910" s="114">
        <f>ROUND(Q1910+(Q1910*Assumptions!Q$5),-3)</f>
        <v>197000</v>
      </c>
    </row>
    <row r="1911" spans="1:18" x14ac:dyDescent="0.2">
      <c r="A1911" s="107">
        <v>0</v>
      </c>
      <c r="B1911" s="132">
        <v>149000</v>
      </c>
      <c r="C1911" s="189">
        <v>61400</v>
      </c>
      <c r="D1911" s="189">
        <v>63600</v>
      </c>
      <c r="E1911" s="1092" t="s">
        <v>4156</v>
      </c>
      <c r="F1911" s="814" t="s">
        <v>5369</v>
      </c>
      <c r="G1911" s="198">
        <f>111000-30000</f>
        <v>81000</v>
      </c>
      <c r="H1911" s="138">
        <f t="shared" si="1560"/>
        <v>27.358490566037734</v>
      </c>
      <c r="I1911" s="33">
        <f>ROUND(G1911+(G1911*Assumptions!H$5),-3)</f>
        <v>82000</v>
      </c>
      <c r="J1911" s="33">
        <f>ROUND(I1911+(I1911*Assumptions!I$5),-3)</f>
        <v>84000</v>
      </c>
      <c r="K1911" s="33">
        <f>ROUND(J1911+(J1911*Assumptions!J$5),-3)</f>
        <v>86000</v>
      </c>
      <c r="L1911" s="33">
        <f>ROUND(K1911+(K1911*Assumptions!K$5),-3)</f>
        <v>88000</v>
      </c>
      <c r="M1911" s="33">
        <f>ROUND(L1911+(L1911*Assumptions!L$5),-3)</f>
        <v>90000</v>
      </c>
      <c r="N1911" s="33">
        <f>ROUND(M1911+(M1911*Assumptions!M$5),-3)</f>
        <v>92000</v>
      </c>
      <c r="O1911" s="33">
        <f>ROUND(N1911+(N1911*Assumptions!N$5),-3)</f>
        <v>94000</v>
      </c>
      <c r="P1911" s="33">
        <f>ROUND(O1911+(O1911*Assumptions!O$5),-3)</f>
        <v>96000</v>
      </c>
      <c r="Q1911" s="33">
        <f>ROUND(P1911+(P1911*Assumptions!P$5),-3)</f>
        <v>98000</v>
      </c>
      <c r="R1911" s="114">
        <f>ROUND(Q1911+(Q1911*Assumptions!Q$5),-3)</f>
        <v>100000</v>
      </c>
    </row>
    <row r="1912" spans="1:18" x14ac:dyDescent="0.2">
      <c r="A1912" s="107">
        <v>0</v>
      </c>
      <c r="B1912" s="132">
        <f>466100-B1911-B1910</f>
        <v>98100</v>
      </c>
      <c r="C1912" s="189">
        <v>55800</v>
      </c>
      <c r="D1912" s="189">
        <v>54300</v>
      </c>
      <c r="E1912" s="1092" t="s">
        <v>4157</v>
      </c>
      <c r="F1912" s="814" t="s">
        <v>5370</v>
      </c>
      <c r="G1912" s="198">
        <f>79000-10000</f>
        <v>69000</v>
      </c>
      <c r="H1912" s="138">
        <f t="shared" si="1560"/>
        <v>27.071823204419886</v>
      </c>
      <c r="I1912" s="33">
        <f>ROUND(G1912+(G1912*Assumptions!H$5),-3)</f>
        <v>70000</v>
      </c>
      <c r="J1912" s="33">
        <f>ROUND(I1912+(I1912*Assumptions!I$5),-3)</f>
        <v>72000</v>
      </c>
      <c r="K1912" s="33">
        <f>ROUND(J1912+(J1912*Assumptions!J$5),-3)</f>
        <v>74000</v>
      </c>
      <c r="L1912" s="33">
        <f>ROUND(K1912+(K1912*Assumptions!K$5),-3)</f>
        <v>76000</v>
      </c>
      <c r="M1912" s="33">
        <f>ROUND(L1912+(L1912*Assumptions!L$5),-3)</f>
        <v>78000</v>
      </c>
      <c r="N1912" s="33">
        <f>ROUND(M1912+(M1912*Assumptions!M$5),-3)</f>
        <v>80000</v>
      </c>
      <c r="O1912" s="33">
        <f>ROUND(N1912+(N1912*Assumptions!N$5),-3)</f>
        <v>82000</v>
      </c>
      <c r="P1912" s="33">
        <f>ROUND(O1912+(O1912*Assumptions!O$5),-3)</f>
        <v>84000</v>
      </c>
      <c r="Q1912" s="33">
        <f>ROUND(P1912+(P1912*Assumptions!P$5),-3)</f>
        <v>86000</v>
      </c>
      <c r="R1912" s="114">
        <f>ROUND(Q1912+(Q1912*Assumptions!Q$5),-3)</f>
        <v>88000</v>
      </c>
    </row>
    <row r="1913" spans="1:18" x14ac:dyDescent="0.2">
      <c r="A1913" s="107"/>
      <c r="B1913" s="132"/>
      <c r="E1913" s="673"/>
      <c r="F1913" s="814"/>
      <c r="G1913" s="2509"/>
      <c r="H1913" s="138"/>
      <c r="I1913" s="187"/>
      <c r="J1913" s="187"/>
      <c r="K1913" s="33"/>
      <c r="L1913" s="33"/>
      <c r="M1913" s="33"/>
      <c r="N1913" s="187"/>
      <c r="O1913" s="187"/>
      <c r="P1913" s="187"/>
      <c r="Q1913" s="187"/>
      <c r="R1913" s="188"/>
    </row>
    <row r="1914" spans="1:18" x14ac:dyDescent="0.2">
      <c r="A1914" s="107"/>
      <c r="B1914" s="132"/>
      <c r="E1914" s="437"/>
      <c r="F1914" s="439" t="s">
        <v>992</v>
      </c>
      <c r="G1914" s="2509"/>
      <c r="H1914" s="138"/>
      <c r="I1914" s="33"/>
      <c r="J1914" s="33"/>
      <c r="K1914" s="33"/>
      <c r="L1914" s="33"/>
      <c r="M1914" s="33"/>
      <c r="N1914" s="33"/>
      <c r="O1914" s="33"/>
      <c r="P1914" s="33"/>
      <c r="Q1914" s="33"/>
      <c r="R1914" s="114"/>
    </row>
    <row r="1915" spans="1:18" x14ac:dyDescent="0.2">
      <c r="A1915" s="107">
        <v>811600</v>
      </c>
      <c r="B1915" s="132">
        <v>125200</v>
      </c>
      <c r="C1915" s="189">
        <v>174600</v>
      </c>
      <c r="D1915" s="189">
        <v>375200</v>
      </c>
      <c r="E1915" s="658" t="s">
        <v>95</v>
      </c>
      <c r="F1915" s="814" t="s">
        <v>3594</v>
      </c>
      <c r="G1915" s="2509">
        <v>206000</v>
      </c>
      <c r="H1915" s="138">
        <f>IF(D1915=G1915,0,IF(D1915=0,100,(G1915-D1915)/D1915*100))</f>
        <v>-45.095948827292112</v>
      </c>
      <c r="I1915" s="187">
        <f>ROUND(G1915+(G1915*Assumptions!H$5),-3)</f>
        <v>209000</v>
      </c>
      <c r="J1915" s="187">
        <f>ROUND(I1915+(I1915*Assumptions!I$5),-3)</f>
        <v>214000</v>
      </c>
      <c r="K1915" s="33">
        <f>ROUND(J1915+(J1915*Assumptions!J$5),-3)</f>
        <v>219000</v>
      </c>
      <c r="L1915" s="33">
        <f>ROUND(K1915+(K1915*Assumptions!K$5),-3)</f>
        <v>224000</v>
      </c>
      <c r="M1915" s="33">
        <f>ROUND(L1915+(L1915*Assumptions!L$5),-3)</f>
        <v>228000</v>
      </c>
      <c r="N1915" s="187">
        <f>ROUND(M1915+(M1915*Assumptions!M$5),-3)</f>
        <v>233000</v>
      </c>
      <c r="O1915" s="187">
        <f>ROUND(N1915+(N1915*Assumptions!N$5),-3)</f>
        <v>238000</v>
      </c>
      <c r="P1915" s="187">
        <f>ROUND(O1915+(O1915*Assumptions!O$5),-3)</f>
        <v>243000</v>
      </c>
      <c r="Q1915" s="187">
        <f>ROUND(P1915+(P1915*Assumptions!P$5),-3)</f>
        <v>248000</v>
      </c>
      <c r="R1915" s="188">
        <f>ROUND(Q1915+(Q1915*Assumptions!Q$5),-3)</f>
        <v>253000</v>
      </c>
    </row>
    <row r="1916" spans="1:18" x14ac:dyDescent="0.2">
      <c r="A1916" s="107"/>
      <c r="B1916" s="132"/>
      <c r="E1916" s="445"/>
      <c r="F1916" s="443"/>
      <c r="G1916" s="198"/>
      <c r="H1916" s="138"/>
      <c r="I1916" s="33"/>
      <c r="J1916" s="33"/>
      <c r="K1916" s="33"/>
      <c r="L1916" s="33"/>
      <c r="M1916" s="33"/>
      <c r="N1916" s="33"/>
      <c r="O1916" s="33"/>
      <c r="P1916" s="33"/>
      <c r="Q1916" s="33"/>
      <c r="R1916" s="114"/>
    </row>
    <row r="1917" spans="1:18" x14ac:dyDescent="0.2">
      <c r="A1917" s="107"/>
      <c r="B1917" s="132"/>
      <c r="E1917" s="437"/>
      <c r="F1917" s="439" t="s">
        <v>1873</v>
      </c>
      <c r="G1917" s="198"/>
      <c r="H1917" s="138"/>
      <c r="I1917" s="33"/>
      <c r="J1917" s="33"/>
      <c r="K1917" s="33"/>
      <c r="L1917" s="33"/>
      <c r="M1917" s="33"/>
      <c r="N1917" s="33"/>
      <c r="O1917" s="33"/>
      <c r="P1917" s="33"/>
      <c r="Q1917" s="33"/>
      <c r="R1917" s="114"/>
    </row>
    <row r="1918" spans="1:18" x14ac:dyDescent="0.2">
      <c r="A1918" s="107">
        <v>1600</v>
      </c>
      <c r="B1918" s="132">
        <v>4500</v>
      </c>
      <c r="C1918" s="189">
        <v>3900</v>
      </c>
      <c r="D1918" s="189">
        <v>3500</v>
      </c>
      <c r="E1918" s="658" t="s">
        <v>1894</v>
      </c>
      <c r="F1918" s="814" t="s">
        <v>3767</v>
      </c>
      <c r="G1918" s="198">
        <v>4000</v>
      </c>
      <c r="H1918" s="138">
        <f t="shared" ref="H1918:H1923" si="1561">IF(D1918=G1918,0,IF(D1918=0,100,(G1918-D1918)/D1918*100))</f>
        <v>14.285714285714285</v>
      </c>
      <c r="I1918" s="33">
        <f>ROUND(G1918+(G1918*Assumptions!H$5),-3)</f>
        <v>4000</v>
      </c>
      <c r="J1918" s="33">
        <f>ROUND(I1918+(I1918*Assumptions!I$5),-3)</f>
        <v>4000</v>
      </c>
      <c r="K1918" s="33">
        <f>ROUND(J1918+(J1918*Assumptions!J$5),-3)</f>
        <v>4000</v>
      </c>
      <c r="L1918" s="33">
        <f>ROUND(K1918+(K1918*Assumptions!K$5),-3)</f>
        <v>4000</v>
      </c>
      <c r="M1918" s="33">
        <f>ROUND(L1918+(L1918*Assumptions!L$5),-3)</f>
        <v>4000</v>
      </c>
      <c r="N1918" s="33">
        <f>ROUND(M1918+(M1918*Assumptions!M$5),-3)</f>
        <v>4000</v>
      </c>
      <c r="O1918" s="33">
        <f>ROUND(N1918+(N1918*Assumptions!N$5),-3)</f>
        <v>4000</v>
      </c>
      <c r="P1918" s="33">
        <f>ROUND(O1918+(O1918*Assumptions!O$5),-3)</f>
        <v>4000</v>
      </c>
      <c r="Q1918" s="33">
        <f>ROUND(P1918+(P1918*Assumptions!P$5),-3)</f>
        <v>4000</v>
      </c>
      <c r="R1918" s="114">
        <f>ROUND(Q1918+(Q1918*Assumptions!Q$5),-3)</f>
        <v>4000</v>
      </c>
    </row>
    <row r="1919" spans="1:18" x14ac:dyDescent="0.2">
      <c r="A1919" s="107">
        <v>0</v>
      </c>
      <c r="B1919" s="132">
        <v>0</v>
      </c>
      <c r="C1919" s="189">
        <v>0</v>
      </c>
      <c r="D1919" s="189">
        <v>0</v>
      </c>
      <c r="E1919" s="658" t="s">
        <v>1221</v>
      </c>
      <c r="F1919" s="814" t="s">
        <v>3768</v>
      </c>
      <c r="G1919" s="198">
        <v>0</v>
      </c>
      <c r="H1919" s="138">
        <f t="shared" si="1561"/>
        <v>0</v>
      </c>
      <c r="I1919" s="33">
        <f>ROUND(G1919+(G1919*Assumptions!H$5),-3)</f>
        <v>0</v>
      </c>
      <c r="J1919" s="33">
        <f>ROUND(I1919+(I1919*Assumptions!I$5),-3)</f>
        <v>0</v>
      </c>
      <c r="K1919" s="33">
        <f>ROUND(J1919+(J1919*Assumptions!J$5),-3)</f>
        <v>0</v>
      </c>
      <c r="L1919" s="33">
        <f>ROUND(K1919+(K1919*Assumptions!K$5),-3)</f>
        <v>0</v>
      </c>
      <c r="M1919" s="33">
        <f>ROUND(L1919+(L1919*Assumptions!L$5),-3)</f>
        <v>0</v>
      </c>
      <c r="N1919" s="33">
        <f>ROUND(M1919+(M1919*Assumptions!M$5),-3)</f>
        <v>0</v>
      </c>
      <c r="O1919" s="33">
        <f>ROUND(N1919+(N1919*Assumptions!N$5),-3)</f>
        <v>0</v>
      </c>
      <c r="P1919" s="33">
        <f>ROUND(O1919+(O1919*Assumptions!O$5),-3)</f>
        <v>0</v>
      </c>
      <c r="Q1919" s="33">
        <f>ROUND(P1919+(P1919*Assumptions!P$5),-3)</f>
        <v>0</v>
      </c>
      <c r="R1919" s="114">
        <f>ROUND(Q1919+(Q1919*Assumptions!Q$5),-3)</f>
        <v>0</v>
      </c>
    </row>
    <row r="1920" spans="1:18" x14ac:dyDescent="0.2">
      <c r="A1920" s="107">
        <v>3700</v>
      </c>
      <c r="B1920" s="132">
        <v>2900</v>
      </c>
      <c r="C1920" s="189">
        <v>3800</v>
      </c>
      <c r="D1920" s="189">
        <v>3800</v>
      </c>
      <c r="E1920" s="658" t="s">
        <v>1222</v>
      </c>
      <c r="F1920" s="443" t="s">
        <v>927</v>
      </c>
      <c r="G1920" s="198">
        <v>4000</v>
      </c>
      <c r="H1920" s="138">
        <f t="shared" si="1561"/>
        <v>5.2631578947368416</v>
      </c>
      <c r="I1920" s="33">
        <f>ROUND(G1920+(G1920*Assumptions!H$5),-3)</f>
        <v>4000</v>
      </c>
      <c r="J1920" s="33">
        <f>ROUND(I1920+(I1920*Assumptions!I$5),-3)</f>
        <v>4000</v>
      </c>
      <c r="K1920" s="33">
        <f>ROUND(J1920+(J1920*Assumptions!J$5),-3)</f>
        <v>4000</v>
      </c>
      <c r="L1920" s="33">
        <f>ROUND(K1920+(K1920*Assumptions!K$5),-3)</f>
        <v>4000</v>
      </c>
      <c r="M1920" s="33">
        <f>ROUND(L1920+(L1920*Assumptions!L$5),-3)</f>
        <v>4000</v>
      </c>
      <c r="N1920" s="33">
        <f>ROUND(M1920+(M1920*Assumptions!M$5),-3)</f>
        <v>4000</v>
      </c>
      <c r="O1920" s="33">
        <f>ROUND(N1920+(N1920*Assumptions!N$5),-3)</f>
        <v>4000</v>
      </c>
      <c r="P1920" s="33">
        <f>ROUND(O1920+(O1920*Assumptions!O$5),-3)</f>
        <v>4000</v>
      </c>
      <c r="Q1920" s="33">
        <f>ROUND(P1920+(P1920*Assumptions!P$5),-3)</f>
        <v>4000</v>
      </c>
      <c r="R1920" s="114">
        <f>ROUND(Q1920+(Q1920*Assumptions!Q$5),-3)</f>
        <v>4000</v>
      </c>
    </row>
    <row r="1921" spans="1:18" x14ac:dyDescent="0.2">
      <c r="A1921" s="107">
        <v>3800</v>
      </c>
      <c r="B1921" s="132">
        <v>3700</v>
      </c>
      <c r="C1921" s="189">
        <v>3000</v>
      </c>
      <c r="D1921" s="189">
        <v>1300</v>
      </c>
      <c r="E1921" s="658" t="s">
        <v>1223</v>
      </c>
      <c r="F1921" s="443" t="s">
        <v>1305</v>
      </c>
      <c r="G1921" s="198">
        <v>4000</v>
      </c>
      <c r="H1921" s="138">
        <f t="shared" si="1561"/>
        <v>207.69230769230771</v>
      </c>
      <c r="I1921" s="33">
        <f>ROUND(G1921+(G1921*Assumptions!H$5),-3)</f>
        <v>4000</v>
      </c>
      <c r="J1921" s="33">
        <f>ROUND(I1921+(I1921*Assumptions!I$5),-3)</f>
        <v>4000</v>
      </c>
      <c r="K1921" s="33">
        <f>ROUND(J1921+(J1921*Assumptions!J$5),-3)</f>
        <v>4000</v>
      </c>
      <c r="L1921" s="33">
        <f>ROUND(K1921+(K1921*Assumptions!K$5),-3)</f>
        <v>4000</v>
      </c>
      <c r="M1921" s="33">
        <f>ROUND(L1921+(L1921*Assumptions!L$5),-3)</f>
        <v>4000</v>
      </c>
      <c r="N1921" s="33">
        <f>ROUND(M1921+(M1921*Assumptions!M$5),-3)</f>
        <v>4000</v>
      </c>
      <c r="O1921" s="33">
        <f>ROUND(N1921+(N1921*Assumptions!N$5),-3)</f>
        <v>4000</v>
      </c>
      <c r="P1921" s="33">
        <f>ROUND(O1921+(O1921*Assumptions!O$5),-3)</f>
        <v>4000</v>
      </c>
      <c r="Q1921" s="33">
        <f>ROUND(P1921+(P1921*Assumptions!P$5),-3)</f>
        <v>4000</v>
      </c>
      <c r="R1921" s="114">
        <f>ROUND(Q1921+(Q1921*Assumptions!Q$5),-3)</f>
        <v>4000</v>
      </c>
    </row>
    <row r="1922" spans="1:18" x14ac:dyDescent="0.2">
      <c r="A1922" s="107">
        <v>6100</v>
      </c>
      <c r="B1922" s="132">
        <v>6700</v>
      </c>
      <c r="C1922" s="189">
        <f>7500+3500</f>
        <v>11000</v>
      </c>
      <c r="D1922" s="189">
        <v>3000</v>
      </c>
      <c r="E1922" s="658" t="s">
        <v>1224</v>
      </c>
      <c r="F1922" s="443" t="s">
        <v>64</v>
      </c>
      <c r="G1922" s="198">
        <v>5000</v>
      </c>
      <c r="H1922" s="138">
        <f t="shared" si="1561"/>
        <v>66.666666666666657</v>
      </c>
      <c r="I1922" s="33">
        <f>ROUND(G1922+(G1922*Assumptions!H$5),-3)</f>
        <v>5000</v>
      </c>
      <c r="J1922" s="33">
        <f>ROUND(I1922+(I1922*Assumptions!I$5),-3)</f>
        <v>5000</v>
      </c>
      <c r="K1922" s="33">
        <f>ROUND(J1922+(J1922*Assumptions!J$5),-3)</f>
        <v>5000</v>
      </c>
      <c r="L1922" s="33">
        <f>ROUND(K1922+(K1922*Assumptions!K$5),-3)</f>
        <v>5000</v>
      </c>
      <c r="M1922" s="33">
        <f>ROUND(L1922+(L1922*Assumptions!L$5),-3)</f>
        <v>5000</v>
      </c>
      <c r="N1922" s="33">
        <f>ROUND(M1922+(M1922*Assumptions!M$5),-3)</f>
        <v>5000</v>
      </c>
      <c r="O1922" s="33">
        <f>ROUND(N1922+(N1922*Assumptions!N$5),-3)</f>
        <v>5000</v>
      </c>
      <c r="P1922" s="33">
        <f>ROUND(O1922+(O1922*Assumptions!O$5),-3)</f>
        <v>5000</v>
      </c>
      <c r="Q1922" s="33">
        <f>ROUND(P1922+(P1922*Assumptions!P$5),-3)</f>
        <v>5000</v>
      </c>
      <c r="R1922" s="114">
        <f>ROUND(Q1922+(Q1922*Assumptions!Q$5),-3)</f>
        <v>5000</v>
      </c>
    </row>
    <row r="1923" spans="1:18" x14ac:dyDescent="0.2">
      <c r="A1923" s="107">
        <v>0</v>
      </c>
      <c r="B1923" s="132">
        <v>0</v>
      </c>
      <c r="C1923" s="189">
        <v>0</v>
      </c>
      <c r="D1923" s="189">
        <v>8000</v>
      </c>
      <c r="E1923" s="1098" t="s">
        <v>5959</v>
      </c>
      <c r="F1923" s="814" t="s">
        <v>5960</v>
      </c>
      <c r="G1923" s="198">
        <v>0</v>
      </c>
      <c r="H1923" s="138">
        <f t="shared" si="1561"/>
        <v>-100</v>
      </c>
      <c r="I1923" s="33">
        <f>ROUND(G1923+(G1923*Assumptions!H$5),-3)</f>
        <v>0</v>
      </c>
      <c r="J1923" s="33">
        <f>ROUND(I1923+(I1923*Assumptions!I$5),-3)</f>
        <v>0</v>
      </c>
      <c r="K1923" s="33">
        <f>ROUND(J1923+(J1923*Assumptions!J$5),-3)</f>
        <v>0</v>
      </c>
      <c r="L1923" s="33">
        <f>ROUND(K1923+(K1923*Assumptions!K$5),-3)</f>
        <v>0</v>
      </c>
      <c r="M1923" s="33">
        <f>ROUND(L1923+(L1923*Assumptions!L$5),-3)</f>
        <v>0</v>
      </c>
      <c r="N1923" s="33">
        <f>ROUND(M1923+(M1923*Assumptions!M$5),-3)</f>
        <v>0</v>
      </c>
      <c r="O1923" s="33">
        <f>ROUND(N1923+(N1923*Assumptions!N$5),-3)</f>
        <v>0</v>
      </c>
      <c r="P1923" s="33">
        <f>ROUND(O1923+(O1923*Assumptions!O$5),-3)</f>
        <v>0</v>
      </c>
      <c r="Q1923" s="33">
        <f>ROUND(P1923+(P1923*Assumptions!P$5),-3)</f>
        <v>0</v>
      </c>
      <c r="R1923" s="114">
        <f>ROUND(Q1923+(Q1923*Assumptions!Q$5),-3)</f>
        <v>0</v>
      </c>
    </row>
    <row r="1924" spans="1:18" x14ac:dyDescent="0.2">
      <c r="A1924" s="107"/>
      <c r="B1924" s="132"/>
      <c r="E1924" s="445"/>
      <c r="F1924" s="443"/>
      <c r="G1924" s="198"/>
      <c r="H1924" s="138"/>
      <c r="I1924" s="33"/>
      <c r="J1924" s="33"/>
      <c r="K1924" s="33"/>
      <c r="L1924" s="33"/>
      <c r="M1924" s="33"/>
      <c r="N1924" s="33"/>
      <c r="O1924" s="33"/>
      <c r="P1924" s="33"/>
      <c r="Q1924" s="33"/>
      <c r="R1924" s="114"/>
    </row>
    <row r="1925" spans="1:18" x14ac:dyDescent="0.2">
      <c r="A1925" s="107"/>
      <c r="B1925" s="132"/>
      <c r="E1925" s="437"/>
      <c r="F1925" s="439" t="s">
        <v>2677</v>
      </c>
      <c r="G1925" s="198"/>
      <c r="H1925" s="138"/>
      <c r="I1925" s="33"/>
      <c r="J1925" s="33"/>
      <c r="K1925" s="33"/>
      <c r="L1925" s="33"/>
      <c r="M1925" s="33"/>
      <c r="N1925" s="33"/>
      <c r="O1925" s="33"/>
      <c r="P1925" s="33"/>
      <c r="Q1925" s="33"/>
      <c r="R1925" s="114"/>
    </row>
    <row r="1926" spans="1:18" x14ac:dyDescent="0.2">
      <c r="A1926" s="107">
        <v>0</v>
      </c>
      <c r="B1926" s="132">
        <v>400</v>
      </c>
      <c r="C1926" s="189">
        <v>0</v>
      </c>
      <c r="D1926" s="189">
        <v>0</v>
      </c>
      <c r="E1926" s="658" t="s">
        <v>1225</v>
      </c>
      <c r="F1926" s="814" t="s">
        <v>910</v>
      </c>
      <c r="G1926" s="198">
        <v>1000</v>
      </c>
      <c r="H1926" s="138">
        <f>IF(D1926=G1926,0,IF(D1926=0,100,(G1926-D1926)/D1926*100))</f>
        <v>100</v>
      </c>
      <c r="I1926" s="33">
        <f>ROUND(G1926+(G1926*Assumptions!H$5),-3)</f>
        <v>1000</v>
      </c>
      <c r="J1926" s="33">
        <f>ROUND(I1926+(I1926*Assumptions!I$5),-3)</f>
        <v>1000</v>
      </c>
      <c r="K1926" s="33">
        <f>ROUND(J1926+(J1926*Assumptions!J$5),-3)</f>
        <v>1000</v>
      </c>
      <c r="L1926" s="33">
        <f>ROUND(K1926+(K1926*Assumptions!K$5),-3)</f>
        <v>1000</v>
      </c>
      <c r="M1926" s="33">
        <f>ROUND(L1926+(L1926*Assumptions!L$5),-3)</f>
        <v>1000</v>
      </c>
      <c r="N1926" s="33">
        <f>ROUND(M1926+(M1926*Assumptions!M$5),-3)</f>
        <v>1000</v>
      </c>
      <c r="O1926" s="33">
        <f>ROUND(N1926+(N1926*Assumptions!N$5),-3)</f>
        <v>1000</v>
      </c>
      <c r="P1926" s="33">
        <f>ROUND(O1926+(O1926*Assumptions!O$5),-3)</f>
        <v>1000</v>
      </c>
      <c r="Q1926" s="33">
        <f>ROUND(P1926+(P1926*Assumptions!P$5),-3)</f>
        <v>1000</v>
      </c>
      <c r="R1926" s="114">
        <f>ROUND(Q1926+(Q1926*Assumptions!Q$5),-3)</f>
        <v>1000</v>
      </c>
    </row>
    <row r="1927" spans="1:18" x14ac:dyDescent="0.2">
      <c r="A1927" s="107">
        <v>800</v>
      </c>
      <c r="B1927" s="132">
        <v>2300</v>
      </c>
      <c r="C1927" s="189">
        <v>1100</v>
      </c>
      <c r="D1927" s="189">
        <v>1700</v>
      </c>
      <c r="E1927" s="658" t="s">
        <v>1226</v>
      </c>
      <c r="F1927" s="814" t="s">
        <v>4226</v>
      </c>
      <c r="G1927" s="198">
        <v>2000</v>
      </c>
      <c r="H1927" s="138">
        <f>IF(D1927=G1927,0,IF(D1927=0,100,(G1927-D1927)/D1927*100))</f>
        <v>17.647058823529413</v>
      </c>
      <c r="I1927" s="33">
        <f>ROUND(G1927+(G1927*Assumptions!H$5),-3)</f>
        <v>2000</v>
      </c>
      <c r="J1927" s="33">
        <f>ROUND(I1927+(I1927*Assumptions!I$5),-3)</f>
        <v>2000</v>
      </c>
      <c r="K1927" s="33">
        <f>ROUND(J1927+(J1927*Assumptions!J$5),-3)</f>
        <v>2000</v>
      </c>
      <c r="L1927" s="33">
        <f>ROUND(K1927+(K1927*Assumptions!K$5),-3)</f>
        <v>2000</v>
      </c>
      <c r="M1927" s="33">
        <f>ROUND(L1927+(L1927*Assumptions!L$5),-3)</f>
        <v>2000</v>
      </c>
      <c r="N1927" s="33">
        <f>ROUND(M1927+(M1927*Assumptions!M$5),-3)</f>
        <v>2000</v>
      </c>
      <c r="O1927" s="33">
        <f>ROUND(N1927+(N1927*Assumptions!N$5),-3)</f>
        <v>2000</v>
      </c>
      <c r="P1927" s="33">
        <f>ROUND(O1927+(O1927*Assumptions!O$5),-3)</f>
        <v>2000</v>
      </c>
      <c r="Q1927" s="33">
        <f>ROUND(P1927+(P1927*Assumptions!P$5),-3)</f>
        <v>2000</v>
      </c>
      <c r="R1927" s="114">
        <f>ROUND(Q1927+(Q1927*Assumptions!Q$5),-3)</f>
        <v>2000</v>
      </c>
    </row>
    <row r="1928" spans="1:18" x14ac:dyDescent="0.2">
      <c r="A1928" s="107"/>
      <c r="B1928" s="132"/>
      <c r="E1928" s="445"/>
      <c r="F1928" s="443"/>
      <c r="G1928" s="198"/>
      <c r="H1928" s="138"/>
      <c r="I1928" s="33"/>
      <c r="J1928" s="33"/>
      <c r="K1928" s="33"/>
      <c r="L1928" s="33"/>
      <c r="M1928" s="33"/>
      <c r="N1928" s="33"/>
      <c r="O1928" s="33"/>
      <c r="P1928" s="33"/>
      <c r="Q1928" s="33"/>
      <c r="R1928" s="114"/>
    </row>
    <row r="1929" spans="1:18" x14ac:dyDescent="0.2">
      <c r="A1929" s="107"/>
      <c r="B1929" s="132"/>
      <c r="E1929" s="437"/>
      <c r="F1929" s="1103" t="s">
        <v>3764</v>
      </c>
      <c r="G1929" s="198"/>
      <c r="H1929" s="138"/>
      <c r="I1929" s="33"/>
      <c r="J1929" s="33"/>
      <c r="K1929" s="33"/>
      <c r="L1929" s="33"/>
      <c r="M1929" s="33"/>
      <c r="N1929" s="33"/>
      <c r="O1929" s="33"/>
      <c r="P1929" s="33"/>
      <c r="Q1929" s="33"/>
      <c r="R1929" s="114"/>
    </row>
    <row r="1930" spans="1:18" x14ac:dyDescent="0.2">
      <c r="A1930" s="107">
        <f>198100+30900</f>
        <v>229000</v>
      </c>
      <c r="B1930" s="132">
        <v>129300</v>
      </c>
      <c r="C1930" s="189">
        <v>135000</v>
      </c>
      <c r="D1930" s="189">
        <v>454600</v>
      </c>
      <c r="E1930" s="658" t="s">
        <v>1227</v>
      </c>
      <c r="F1930" s="443" t="s">
        <v>3799</v>
      </c>
      <c r="G1930" s="198">
        <v>147000</v>
      </c>
      <c r="H1930" s="138">
        <f>IF(D1930=G1930,0,IF(D1930=0,100,(G1930-D1930)/D1930*100))</f>
        <v>-67.663880334359874</v>
      </c>
      <c r="I1930" s="33">
        <f>ROUND(G1930+(G1930*Assumptions!H$5),-3)</f>
        <v>149000</v>
      </c>
      <c r="J1930" s="33">
        <f>ROUND(I1930+(I1930*Assumptions!I$5),-3)</f>
        <v>153000</v>
      </c>
      <c r="K1930" s="33">
        <f>ROUND(J1930+(J1930*Assumptions!J$5),-3)</f>
        <v>157000</v>
      </c>
      <c r="L1930" s="33">
        <f>ROUND(K1930+(K1930*Assumptions!K$5),-3)</f>
        <v>161000</v>
      </c>
      <c r="M1930" s="33">
        <f>ROUND(L1930+(L1930*Assumptions!L$5),-3)</f>
        <v>164000</v>
      </c>
      <c r="N1930" s="33">
        <f>ROUND(M1930+(M1930*Assumptions!M$5),-3)</f>
        <v>167000</v>
      </c>
      <c r="O1930" s="33">
        <f>ROUND(N1930+(N1930*Assumptions!N$5),-3)</f>
        <v>170000</v>
      </c>
      <c r="P1930" s="33">
        <f>ROUND(O1930+(O1930*Assumptions!O$5),-3)</f>
        <v>173000</v>
      </c>
      <c r="Q1930" s="33">
        <f>ROUND(P1930+(P1930*Assumptions!P$5),-3)</f>
        <v>176000</v>
      </c>
      <c r="R1930" s="114">
        <f>ROUND(Q1930+(Q1930*Assumptions!Q$5),-3)</f>
        <v>180000</v>
      </c>
    </row>
    <row r="1931" spans="1:18" x14ac:dyDescent="0.2">
      <c r="A1931" s="107">
        <v>1300</v>
      </c>
      <c r="B1931" s="132">
        <v>100</v>
      </c>
      <c r="C1931" s="189">
        <v>0</v>
      </c>
      <c r="D1931" s="189">
        <v>13800</v>
      </c>
      <c r="E1931" s="658" t="s">
        <v>1228</v>
      </c>
      <c r="F1931" s="443" t="s">
        <v>2764</v>
      </c>
      <c r="G1931" s="198">
        <f>1000+1000</f>
        <v>2000</v>
      </c>
      <c r="H1931" s="138">
        <f>IF(D1931=G1931,0,IF(D1931=0,100,(G1931-D1931)/D1931*100))</f>
        <v>-85.507246376811594</v>
      </c>
      <c r="I1931" s="33">
        <f>ROUND(G1931+(G1931*Assumptions!H$5),-3)</f>
        <v>2000</v>
      </c>
      <c r="J1931" s="33">
        <f>ROUND(I1931+(I1931*Assumptions!I$5),-3)</f>
        <v>2000</v>
      </c>
      <c r="K1931" s="33">
        <f>ROUND(J1931+(J1931*Assumptions!J$5),-3)</f>
        <v>2000</v>
      </c>
      <c r="L1931" s="33">
        <f>ROUND(K1931+(K1931*Assumptions!K$5),-3)</f>
        <v>2000</v>
      </c>
      <c r="M1931" s="33">
        <f>ROUND(L1931+(L1931*Assumptions!L$5),-3)</f>
        <v>2000</v>
      </c>
      <c r="N1931" s="33">
        <f>ROUND(M1931+(M1931*Assumptions!M$5),-3)</f>
        <v>2000</v>
      </c>
      <c r="O1931" s="33">
        <f>ROUND(N1931+(N1931*Assumptions!N$5),-3)</f>
        <v>2000</v>
      </c>
      <c r="P1931" s="33">
        <f>ROUND(O1931+(O1931*Assumptions!O$5),-3)</f>
        <v>2000</v>
      </c>
      <c r="Q1931" s="33">
        <f>ROUND(P1931+(P1931*Assumptions!P$5),-3)</f>
        <v>2000</v>
      </c>
      <c r="R1931" s="114">
        <f>ROUND(Q1931+(Q1931*Assumptions!Q$5),-3)</f>
        <v>2000</v>
      </c>
    </row>
    <row r="1932" spans="1:18" x14ac:dyDescent="0.2">
      <c r="A1932" s="107">
        <v>7500</v>
      </c>
      <c r="B1932" s="132">
        <v>1900</v>
      </c>
      <c r="C1932" s="189">
        <v>38600</v>
      </c>
      <c r="D1932" s="189">
        <v>117800</v>
      </c>
      <c r="E1932" s="658" t="s">
        <v>1229</v>
      </c>
      <c r="F1932" s="443" t="s">
        <v>2545</v>
      </c>
      <c r="G1932" s="198">
        <f>84000-1000</f>
        <v>83000</v>
      </c>
      <c r="H1932" s="138">
        <f>IF(D1932=G1932,0,IF(D1932=0,100,(G1932-D1932)/D1932*100))</f>
        <v>-29.541595925297116</v>
      </c>
      <c r="I1932" s="33">
        <f>ROUND(G1932+(G1932*Assumptions!H$5),-3)</f>
        <v>84000</v>
      </c>
      <c r="J1932" s="33">
        <f>ROUND(I1932+(I1932*Assumptions!I$5),-3)</f>
        <v>86000</v>
      </c>
      <c r="K1932" s="33">
        <f>ROUND(J1932+(J1932*Assumptions!J$5),-3)</f>
        <v>88000</v>
      </c>
      <c r="L1932" s="33">
        <f>ROUND(K1932+(K1932*Assumptions!K$5),-3)</f>
        <v>90000</v>
      </c>
      <c r="M1932" s="33">
        <f>ROUND(L1932+(L1932*Assumptions!L$5),-3)</f>
        <v>92000</v>
      </c>
      <c r="N1932" s="33">
        <f>ROUND(M1932+(M1932*Assumptions!M$5),-3)</f>
        <v>94000</v>
      </c>
      <c r="O1932" s="33">
        <f>ROUND(N1932+(N1932*Assumptions!N$5),-3)</f>
        <v>96000</v>
      </c>
      <c r="P1932" s="33">
        <f>ROUND(O1932+(O1932*Assumptions!O$5),-3)</f>
        <v>98000</v>
      </c>
      <c r="Q1932" s="33">
        <f>ROUND(P1932+(P1932*Assumptions!P$5),-3)</f>
        <v>100000</v>
      </c>
      <c r="R1932" s="114">
        <f>ROUND(Q1932+(Q1932*Assumptions!Q$5),-3)</f>
        <v>102000</v>
      </c>
    </row>
    <row r="1933" spans="1:18" x14ac:dyDescent="0.2">
      <c r="A1933" s="107"/>
      <c r="B1933" s="132"/>
      <c r="E1933" s="658"/>
      <c r="F1933" s="443"/>
      <c r="G1933" s="198"/>
      <c r="H1933" s="138"/>
      <c r="I1933" s="33"/>
      <c r="J1933" s="33"/>
      <c r="K1933" s="33"/>
      <c r="L1933" s="33"/>
      <c r="M1933" s="33"/>
      <c r="N1933" s="33"/>
      <c r="O1933" s="33"/>
      <c r="P1933" s="33"/>
      <c r="Q1933" s="33"/>
      <c r="R1933" s="114"/>
    </row>
    <row r="1934" spans="1:18" x14ac:dyDescent="0.2">
      <c r="A1934" s="107"/>
      <c r="B1934" s="132"/>
      <c r="E1934" s="658"/>
      <c r="F1934" s="1103" t="s">
        <v>3765</v>
      </c>
      <c r="G1934" s="198"/>
      <c r="H1934" s="138"/>
      <c r="I1934" s="33"/>
      <c r="J1934" s="33"/>
      <c r="K1934" s="33"/>
      <c r="L1934" s="33"/>
      <c r="M1934" s="33"/>
      <c r="N1934" s="33"/>
      <c r="O1934" s="33"/>
      <c r="P1934" s="33"/>
      <c r="Q1934" s="33"/>
      <c r="R1934" s="114"/>
    </row>
    <row r="1935" spans="1:18" x14ac:dyDescent="0.2">
      <c r="A1935" s="107">
        <v>40000</v>
      </c>
      <c r="B1935" s="132">
        <v>700</v>
      </c>
      <c r="C1935" s="189">
        <v>17400</v>
      </c>
      <c r="D1935" s="189">
        <v>0</v>
      </c>
      <c r="E1935" s="1092" t="s">
        <v>4158</v>
      </c>
      <c r="F1935" s="814" t="s">
        <v>3460</v>
      </c>
      <c r="G1935" s="198">
        <v>10000</v>
      </c>
      <c r="H1935" s="138">
        <f>IF(D1935=G1935,0,IF(D1935=0,100,(G1935-D1935)/D1935*100))</f>
        <v>100</v>
      </c>
      <c r="I1935" s="33">
        <f>ROUND(G1935+(G1935*Assumptions!H$5),-3)</f>
        <v>10000</v>
      </c>
      <c r="J1935" s="33">
        <f>ROUND(I1935+(I1935*Assumptions!I$5),-3)</f>
        <v>10000</v>
      </c>
      <c r="K1935" s="33">
        <f>ROUND(J1935+(J1935*Assumptions!J$5),-3)</f>
        <v>10000</v>
      </c>
      <c r="L1935" s="33">
        <f>ROUND(K1935+(K1935*Assumptions!K$5),-3)</f>
        <v>10000</v>
      </c>
      <c r="M1935" s="33">
        <f>ROUND(L1935+(L1935*Assumptions!L$5),-3)</f>
        <v>10000</v>
      </c>
      <c r="N1935" s="33">
        <f>ROUND(M1935+(M1935*Assumptions!M$5),-3)</f>
        <v>10000</v>
      </c>
      <c r="O1935" s="33">
        <f>ROUND(N1935+(N1935*Assumptions!N$5),-3)</f>
        <v>10000</v>
      </c>
      <c r="P1935" s="33">
        <f>ROUND(O1935+(O1935*Assumptions!O$5),-3)</f>
        <v>10000</v>
      </c>
      <c r="Q1935" s="33">
        <f>ROUND(P1935+(P1935*Assumptions!P$5),-3)</f>
        <v>10000</v>
      </c>
      <c r="R1935" s="114">
        <f>ROUND(Q1935+(Q1935*Assumptions!Q$5),-3)</f>
        <v>10000</v>
      </c>
    </row>
    <row r="1936" spans="1:18" x14ac:dyDescent="0.2">
      <c r="A1936" s="107">
        <v>0</v>
      </c>
      <c r="B1936" s="132">
        <v>0</v>
      </c>
      <c r="C1936" s="189">
        <v>18400</v>
      </c>
      <c r="D1936" s="189">
        <v>4000</v>
      </c>
      <c r="E1936" s="1092" t="s">
        <v>4523</v>
      </c>
      <c r="F1936" s="814" t="s">
        <v>5560</v>
      </c>
      <c r="G1936" s="198">
        <v>0</v>
      </c>
      <c r="H1936" s="138">
        <f>IF(D1936=G1936,0,IF(D1936=0,100,(G1936-D1936)/D1936*100))</f>
        <v>-100</v>
      </c>
      <c r="I1936" s="33">
        <f>ROUND(G1936+(G1936*Assumptions!H$5),-3)</f>
        <v>0</v>
      </c>
      <c r="J1936" s="33">
        <f>ROUND(I1936+(I1936*Assumptions!I$5),-3)</f>
        <v>0</v>
      </c>
      <c r="K1936" s="33">
        <f>ROUND(J1936+(J1936*Assumptions!J$5),-3)</f>
        <v>0</v>
      </c>
      <c r="L1936" s="33">
        <f>ROUND(K1936+(K1936*Assumptions!K$5),-3)</f>
        <v>0</v>
      </c>
      <c r="M1936" s="33">
        <f>ROUND(L1936+(L1936*Assumptions!L$5),-3)</f>
        <v>0</v>
      </c>
      <c r="N1936" s="33">
        <f>ROUND(M1936+(M1936*Assumptions!M$5),-3)</f>
        <v>0</v>
      </c>
      <c r="O1936" s="33">
        <f>ROUND(N1936+(N1936*Assumptions!N$5),-3)</f>
        <v>0</v>
      </c>
      <c r="P1936" s="33">
        <f>ROUND(O1936+(O1936*Assumptions!O$5),-3)</f>
        <v>0</v>
      </c>
      <c r="Q1936" s="33">
        <f>ROUND(P1936+(P1936*Assumptions!P$5),-3)</f>
        <v>0</v>
      </c>
      <c r="R1936" s="114">
        <f>ROUND(Q1936+(Q1936*Assumptions!Q$5),-3)</f>
        <v>0</v>
      </c>
    </row>
    <row r="1937" spans="1:18" x14ac:dyDescent="0.2">
      <c r="A1937" s="107">
        <v>23700</v>
      </c>
      <c r="B1937" s="132">
        <v>16600</v>
      </c>
      <c r="C1937" s="189">
        <v>39000</v>
      </c>
      <c r="D1937" s="189">
        <v>15900</v>
      </c>
      <c r="E1937" s="658" t="s">
        <v>2065</v>
      </c>
      <c r="F1937" s="814" t="s">
        <v>3313</v>
      </c>
      <c r="G1937" s="198">
        <v>27000</v>
      </c>
      <c r="H1937" s="138">
        <f>IF(D1937=G1937,0,IF(D1937=0,100,(G1937-D1937)/D1937*100))</f>
        <v>69.811320754716974</v>
      </c>
      <c r="I1937" s="33">
        <f>ROUND(G1937+(G1937*Assumptions!H$5),-3)</f>
        <v>27000</v>
      </c>
      <c r="J1937" s="33">
        <f>ROUND(I1937+(I1937*Assumptions!I$5),-3)</f>
        <v>28000</v>
      </c>
      <c r="K1937" s="33">
        <f>ROUND(J1937+(J1937*Assumptions!J$5),-3)</f>
        <v>29000</v>
      </c>
      <c r="L1937" s="33">
        <f>ROUND(K1937+(K1937*Assumptions!K$5),-3)</f>
        <v>30000</v>
      </c>
      <c r="M1937" s="33">
        <f>ROUND(L1937+(L1937*Assumptions!L$5),-3)</f>
        <v>31000</v>
      </c>
      <c r="N1937" s="33">
        <f>ROUND(M1937+(M1937*Assumptions!M$5),-3)</f>
        <v>32000</v>
      </c>
      <c r="O1937" s="33">
        <f>ROUND(N1937+(N1937*Assumptions!N$5),-3)</f>
        <v>33000</v>
      </c>
      <c r="P1937" s="33">
        <f>ROUND(O1937+(O1937*Assumptions!O$5),-3)</f>
        <v>34000</v>
      </c>
      <c r="Q1937" s="33">
        <f>ROUND(P1937+(P1937*Assumptions!P$5),-3)</f>
        <v>35000</v>
      </c>
      <c r="R1937" s="114">
        <f>ROUND(Q1937+(Q1937*Assumptions!Q$5),-3)</f>
        <v>36000</v>
      </c>
    </row>
    <row r="1938" spans="1:18" x14ac:dyDescent="0.2">
      <c r="A1938" s="107">
        <v>0</v>
      </c>
      <c r="B1938" s="132">
        <v>0</v>
      </c>
      <c r="C1938" s="189">
        <v>0</v>
      </c>
      <c r="D1938" s="189">
        <v>156300</v>
      </c>
      <c r="E1938" s="1098" t="s">
        <v>6804</v>
      </c>
      <c r="F1938" s="814" t="s">
        <v>6108</v>
      </c>
      <c r="G1938" s="198">
        <v>0</v>
      </c>
      <c r="H1938" s="138">
        <f>IF(D1938=G1938,0,IF(D1938=0,100,(G1938-D1938)/D1938*100))</f>
        <v>-100</v>
      </c>
      <c r="I1938" s="33">
        <v>0</v>
      </c>
      <c r="J1938" s="33">
        <v>0</v>
      </c>
      <c r="K1938" s="33">
        <v>0</v>
      </c>
      <c r="L1938" s="33">
        <v>0</v>
      </c>
      <c r="M1938" s="33">
        <v>0</v>
      </c>
      <c r="N1938" s="33">
        <v>0</v>
      </c>
      <c r="O1938" s="33">
        <v>0</v>
      </c>
      <c r="P1938" s="33">
        <v>0</v>
      </c>
      <c r="Q1938" s="33">
        <v>0</v>
      </c>
      <c r="R1938" s="114">
        <v>0</v>
      </c>
    </row>
    <row r="1939" spans="1:18" x14ac:dyDescent="0.2">
      <c r="A1939" s="107">
        <v>0</v>
      </c>
      <c r="B1939" s="132">
        <v>0</v>
      </c>
      <c r="C1939" s="189">
        <v>0</v>
      </c>
      <c r="D1939" s="189">
        <v>635400</v>
      </c>
      <c r="E1939" s="1098" t="s">
        <v>6805</v>
      </c>
      <c r="F1939" s="814" t="s">
        <v>6908</v>
      </c>
      <c r="G1939" s="198">
        <v>0</v>
      </c>
      <c r="H1939" s="138">
        <f>IF(D1939=G1939,0,IF(D1939=0,100,(G1939-D1939)/D1939*100))</f>
        <v>-100</v>
      </c>
      <c r="I1939" s="33">
        <v>0</v>
      </c>
      <c r="J1939" s="33">
        <v>0</v>
      </c>
      <c r="K1939" s="33">
        <v>0</v>
      </c>
      <c r="L1939" s="33">
        <v>0</v>
      </c>
      <c r="M1939" s="33">
        <v>0</v>
      </c>
      <c r="N1939" s="33">
        <v>0</v>
      </c>
      <c r="O1939" s="33">
        <v>0</v>
      </c>
      <c r="P1939" s="33">
        <v>0</v>
      </c>
      <c r="Q1939" s="33">
        <v>0</v>
      </c>
      <c r="R1939" s="114">
        <v>0</v>
      </c>
    </row>
    <row r="1940" spans="1:18" x14ac:dyDescent="0.2">
      <c r="A1940" s="107"/>
      <c r="B1940" s="33"/>
      <c r="E1940" s="445"/>
      <c r="F1940" s="443"/>
      <c r="G1940" s="198"/>
      <c r="H1940" s="138"/>
      <c r="I1940" s="33"/>
      <c r="J1940" s="33"/>
      <c r="K1940" s="33"/>
      <c r="L1940" s="33"/>
      <c r="M1940" s="33"/>
      <c r="N1940" s="33"/>
      <c r="O1940" s="33"/>
      <c r="P1940" s="33"/>
      <c r="Q1940" s="33"/>
      <c r="R1940" s="114"/>
    </row>
    <row r="1941" spans="1:18" x14ac:dyDescent="0.2">
      <c r="A1941" s="107"/>
      <c r="B1941" s="33"/>
      <c r="E1941" s="1955"/>
      <c r="F1941" s="64" t="str">
        <f>F101</f>
        <v>Non-Cash Expenses</v>
      </c>
      <c r="G1941" s="198"/>
      <c r="H1941" s="138"/>
      <c r="I1941" s="33"/>
      <c r="J1941" s="33"/>
      <c r="K1941" s="33"/>
      <c r="L1941" s="33"/>
      <c r="M1941" s="33"/>
      <c r="N1941" s="33"/>
      <c r="O1941" s="33"/>
      <c r="P1941" s="33"/>
      <c r="Q1941" s="33"/>
      <c r="R1941" s="114"/>
    </row>
    <row r="1942" spans="1:18" x14ac:dyDescent="0.2">
      <c r="A1942" s="107">
        <v>1086400</v>
      </c>
      <c r="B1942" s="33">
        <f>1227300-B1943</f>
        <v>1073600</v>
      </c>
      <c r="C1942" s="189">
        <v>1081300</v>
      </c>
      <c r="D1942" s="189">
        <v>1071900</v>
      </c>
      <c r="E1942" s="658" t="s">
        <v>2067</v>
      </c>
      <c r="F1942" s="601" t="s">
        <v>2070</v>
      </c>
      <c r="G1942" s="198">
        <v>1104000</v>
      </c>
      <c r="H1942" s="138">
        <f>IF(D1942=G1942,0,IF(D1942=0,100,(G1942-D1942)/D1942*100))</f>
        <v>2.9946823397705007</v>
      </c>
      <c r="I1942" s="33">
        <f>ROUNDUP(G1942+(G1942*Assumptions!H$18),-2)</f>
        <v>1126100</v>
      </c>
      <c r="J1942" s="33">
        <f>ROUNDUP(I1942+(I1942*Assumptions!I$18),-2)</f>
        <v>1148700</v>
      </c>
      <c r="K1942" s="33">
        <f>ROUNDUP(J1942+(J1942*Assumptions!J$18),-2)</f>
        <v>1171700</v>
      </c>
      <c r="L1942" s="33">
        <f>ROUNDUP(K1942+(K1942*Assumptions!K$18),-2)</f>
        <v>1195200</v>
      </c>
      <c r="M1942" s="33">
        <f>ROUNDUP(L1942+(L1942*Assumptions!L$18),-2)</f>
        <v>1219200</v>
      </c>
      <c r="N1942" s="33">
        <f>ROUNDUP(M1942+(M1942*Assumptions!M$18),-2)</f>
        <v>1243600</v>
      </c>
      <c r="O1942" s="33">
        <f>ROUNDUP(N1942+(N1942*Assumptions!N$18),-2)</f>
        <v>1268500</v>
      </c>
      <c r="P1942" s="33">
        <f>ROUNDUP(O1942+(O1942*Assumptions!O$18),-2)</f>
        <v>1293900</v>
      </c>
      <c r="Q1942" s="33">
        <f>ROUNDUP(P1942+(P1942*Assumptions!P$18),-2)</f>
        <v>1319800</v>
      </c>
      <c r="R1942" s="114">
        <f>ROUNDUP(Q1942+(Q1942*Assumptions!Q$18),-2)</f>
        <v>1346200</v>
      </c>
    </row>
    <row r="1943" spans="1:18" x14ac:dyDescent="0.2">
      <c r="A1943" s="107">
        <v>260000</v>
      </c>
      <c r="B1943" s="33">
        <v>153700</v>
      </c>
      <c r="C1943" s="189">
        <v>131200</v>
      </c>
      <c r="D1943" s="189">
        <v>122400</v>
      </c>
      <c r="E1943" s="658" t="s">
        <v>2636</v>
      </c>
      <c r="F1943" s="601" t="s">
        <v>2145</v>
      </c>
      <c r="G1943" s="198">
        <v>135000</v>
      </c>
      <c r="H1943" s="138">
        <f>IF(D1943=G1943,0,IF(D1943=0,100,(G1943-D1943)/D1943*100))</f>
        <v>10.294117647058822</v>
      </c>
      <c r="I1943" s="33">
        <f>ROUNDUP(G1943+(G1943*Assumptions!H$18),-2)</f>
        <v>137700</v>
      </c>
      <c r="J1943" s="33">
        <f>ROUNDUP(I1943+(I1943*Assumptions!I$18),-2)</f>
        <v>140500</v>
      </c>
      <c r="K1943" s="33">
        <f>ROUNDUP(J1943+(J1943*Assumptions!J$18),-2)</f>
        <v>143400</v>
      </c>
      <c r="L1943" s="33">
        <f>ROUNDUP(K1943+(K1943*Assumptions!K$18),-2)</f>
        <v>146300</v>
      </c>
      <c r="M1943" s="33">
        <f>ROUNDUP(L1943+(L1943*Assumptions!L$18),-2)</f>
        <v>149300</v>
      </c>
      <c r="N1943" s="33">
        <f>ROUNDUP(M1943+(M1943*Assumptions!M$18),-2)</f>
        <v>152300</v>
      </c>
      <c r="O1943" s="33">
        <f>ROUNDUP(N1943+(N1943*Assumptions!N$18),-2)</f>
        <v>155400</v>
      </c>
      <c r="P1943" s="33">
        <f>ROUNDUP(O1943+(O1943*Assumptions!O$18),-2)</f>
        <v>158600</v>
      </c>
      <c r="Q1943" s="33">
        <f>ROUNDUP(P1943+(P1943*Assumptions!P$18),-2)</f>
        <v>161800</v>
      </c>
      <c r="R1943" s="114">
        <f>ROUNDUP(Q1943+(Q1943*Assumptions!Q$18),-2)</f>
        <v>165100</v>
      </c>
    </row>
    <row r="1944" spans="1:18" x14ac:dyDescent="0.2">
      <c r="A1944" s="107">
        <v>191200</v>
      </c>
      <c r="B1944" s="33">
        <v>67300</v>
      </c>
      <c r="C1944" s="189">
        <v>65300</v>
      </c>
      <c r="D1944" s="189">
        <v>53200</v>
      </c>
      <c r="E1944" s="658" t="s">
        <v>2144</v>
      </c>
      <c r="F1944" s="1111" t="s">
        <v>5038</v>
      </c>
      <c r="G1944" s="198">
        <v>68800</v>
      </c>
      <c r="H1944" s="138">
        <f>IF(D1944=G1944,0,IF(D1944=0,100,(G1944-D1944)/D1944*100))</f>
        <v>29.323308270676691</v>
      </c>
      <c r="I1944" s="33">
        <v>0</v>
      </c>
      <c r="J1944" s="33">
        <v>0</v>
      </c>
      <c r="K1944" s="33">
        <v>0</v>
      </c>
      <c r="L1944" s="33">
        <v>0</v>
      </c>
      <c r="M1944" s="33">
        <v>0</v>
      </c>
      <c r="N1944" s="33">
        <v>0</v>
      </c>
      <c r="O1944" s="33">
        <v>0</v>
      </c>
      <c r="P1944" s="33">
        <v>0</v>
      </c>
      <c r="Q1944" s="33">
        <v>0</v>
      </c>
      <c r="R1944" s="114">
        <v>0</v>
      </c>
    </row>
    <row r="1945" spans="1:18" ht="13.5" thickBot="1" x14ac:dyDescent="0.25">
      <c r="A1945" s="107"/>
      <c r="B1945" s="33"/>
      <c r="D1945" s="187"/>
      <c r="E1945" s="240"/>
      <c r="F1945" s="240"/>
      <c r="G1945" s="198"/>
      <c r="H1945" s="138"/>
      <c r="I1945" s="33"/>
      <c r="J1945" s="33"/>
      <c r="K1945" s="33"/>
      <c r="L1945" s="33"/>
      <c r="M1945" s="33"/>
      <c r="N1945" s="33"/>
      <c r="O1945" s="33"/>
      <c r="P1945" s="33"/>
      <c r="Q1945" s="33"/>
      <c r="R1945" s="114"/>
    </row>
    <row r="1946" spans="1:18" x14ac:dyDescent="0.2">
      <c r="A1946" s="105">
        <f>SUM(A1800:A1945)</f>
        <v>2750900</v>
      </c>
      <c r="B1946" s="53">
        <f>SUM(B1800:B1945)</f>
        <v>2493800</v>
      </c>
      <c r="C1946" s="190">
        <f>SUM(C1800:C1945)</f>
        <v>2612000</v>
      </c>
      <c r="D1946" s="190">
        <f>SUM(D1800:D1945)</f>
        <v>3544300</v>
      </c>
      <c r="E1946" s="237"/>
      <c r="F1946" s="378" t="s">
        <v>565</v>
      </c>
      <c r="G1946" s="2550">
        <f>SUM(G1800:G1945)</f>
        <v>2983800</v>
      </c>
      <c r="H1946" s="180">
        <f>IF(D1946=G1946,0,IF(D1946=0,100,(G1946-D1946)/D1946*100))</f>
        <v>-15.81412408656152</v>
      </c>
      <c r="I1946" s="53">
        <f t="shared" ref="I1946:Q1946" si="1562">SUM(I1800:I1945)</f>
        <v>2417200</v>
      </c>
      <c r="J1946" s="53">
        <f t="shared" si="1562"/>
        <v>2424200</v>
      </c>
      <c r="K1946" s="53">
        <f t="shared" si="1562"/>
        <v>2476100</v>
      </c>
      <c r="L1946" s="53">
        <f t="shared" si="1562"/>
        <v>2529500</v>
      </c>
      <c r="M1946" s="53">
        <f t="shared" si="1562"/>
        <v>2560500</v>
      </c>
      <c r="N1946" s="53">
        <f t="shared" si="1562"/>
        <v>2592900</v>
      </c>
      <c r="O1946" s="53">
        <f t="shared" si="1562"/>
        <v>2625900</v>
      </c>
      <c r="P1946" s="53">
        <f t="shared" si="1562"/>
        <v>2656500</v>
      </c>
      <c r="Q1946" s="53">
        <f t="shared" si="1562"/>
        <v>2685600</v>
      </c>
      <c r="R1946" s="113">
        <f t="shared" ref="R1946" si="1563">SUM(R1800:R1945)</f>
        <v>2717300</v>
      </c>
    </row>
    <row r="1947" spans="1:18" x14ac:dyDescent="0.2">
      <c r="A1947" s="107"/>
      <c r="B1947" s="33"/>
      <c r="E1947" s="1959"/>
      <c r="F1947" s="366"/>
      <c r="G1947" s="198"/>
      <c r="H1947" s="138"/>
      <c r="I1947" s="64"/>
      <c r="J1947" s="64"/>
      <c r="K1947" s="64"/>
      <c r="L1947" s="64"/>
      <c r="M1947" s="64"/>
      <c r="N1947" s="64"/>
      <c r="O1947" s="64"/>
      <c r="P1947" s="64"/>
      <c r="Q1947" s="64"/>
      <c r="R1947" s="115"/>
    </row>
    <row r="1948" spans="1:18" x14ac:dyDescent="0.2">
      <c r="A1948" s="70">
        <f>A1799-A1946</f>
        <v>-253900</v>
      </c>
      <c r="B1948" s="64">
        <f>B1799-B1946</f>
        <v>226400</v>
      </c>
      <c r="C1948" s="193">
        <f>C1799-C1946</f>
        <v>1346300</v>
      </c>
      <c r="D1948" s="193">
        <f>D1799-D1946</f>
        <v>300200</v>
      </c>
      <c r="E1948" s="237"/>
      <c r="F1948" s="516" t="s">
        <v>1019</v>
      </c>
      <c r="G1948" s="197">
        <f>G1799-G1946</f>
        <v>583200</v>
      </c>
      <c r="H1948" s="179">
        <f>IF(D1948=G1948,0,IF(D1948=0,100,(G1948-D1948)/D1948*100))</f>
        <v>94.270486342438375</v>
      </c>
      <c r="I1948" s="64">
        <f t="shared" ref="I1948:Q1948" si="1564">I1799-I1946</f>
        <v>-202200</v>
      </c>
      <c r="J1948" s="64">
        <f t="shared" si="1564"/>
        <v>-111800</v>
      </c>
      <c r="K1948" s="64">
        <f t="shared" si="1564"/>
        <v>-60300</v>
      </c>
      <c r="L1948" s="64">
        <f t="shared" si="1564"/>
        <v>-62300</v>
      </c>
      <c r="M1948" s="64">
        <f t="shared" si="1564"/>
        <v>-42900</v>
      </c>
      <c r="N1948" s="64">
        <f t="shared" si="1564"/>
        <v>-23900</v>
      </c>
      <c r="O1948" s="64">
        <f t="shared" si="1564"/>
        <v>-6500</v>
      </c>
      <c r="P1948" s="64">
        <f t="shared" si="1564"/>
        <v>24300</v>
      </c>
      <c r="Q1948" s="64">
        <f t="shared" si="1564"/>
        <v>58600</v>
      </c>
      <c r="R1948" s="115">
        <f t="shared" ref="R1948" si="1565">R1799-R1946</f>
        <v>92300</v>
      </c>
    </row>
    <row r="1949" spans="1:18" x14ac:dyDescent="0.2">
      <c r="A1949" s="107">
        <f t="shared" ref="A1949:B1949" si="1566">SUM(A1942:A1944)</f>
        <v>1537600</v>
      </c>
      <c r="B1949" s="33">
        <f t="shared" si="1566"/>
        <v>1294600</v>
      </c>
      <c r="C1949" s="189">
        <f>SUM(C1942:C1944)</f>
        <v>1277800</v>
      </c>
      <c r="D1949" s="189">
        <f>SUM(D1942:D1944)</f>
        <v>1247500</v>
      </c>
      <c r="E1949" s="1955"/>
      <c r="F1949" s="372" t="s">
        <v>4615</v>
      </c>
      <c r="G1949" s="198">
        <f t="shared" ref="G1949:O1949" si="1567">SUM(G1942:G1944)</f>
        <v>1307800</v>
      </c>
      <c r="H1949" s="138">
        <f>IF(D1949=G1949,0,IF(D1949=0,100,(G1949-D1949)/D1949*100))</f>
        <v>4.8336673346693386</v>
      </c>
      <c r="I1949" s="33">
        <f t="shared" si="1567"/>
        <v>1263800</v>
      </c>
      <c r="J1949" s="33">
        <f t="shared" si="1567"/>
        <v>1289200</v>
      </c>
      <c r="K1949" s="33">
        <f t="shared" si="1567"/>
        <v>1315100</v>
      </c>
      <c r="L1949" s="33">
        <f t="shared" si="1567"/>
        <v>1341500</v>
      </c>
      <c r="M1949" s="33">
        <f t="shared" si="1567"/>
        <v>1368500</v>
      </c>
      <c r="N1949" s="33">
        <f t="shared" si="1567"/>
        <v>1395900</v>
      </c>
      <c r="O1949" s="33">
        <f t="shared" si="1567"/>
        <v>1423900</v>
      </c>
      <c r="P1949" s="33">
        <f t="shared" ref="P1949:Q1949" si="1568">SUM(P1942:P1944)</f>
        <v>1452500</v>
      </c>
      <c r="Q1949" s="33">
        <f t="shared" si="1568"/>
        <v>1481600</v>
      </c>
      <c r="R1949" s="114">
        <f t="shared" ref="R1949" si="1569">SUM(R1942:R1944)</f>
        <v>1511300</v>
      </c>
    </row>
    <row r="1950" spans="1:18" s="92" customFormat="1" x14ac:dyDescent="0.2">
      <c r="A1950" s="181">
        <f>A1948+A1949</f>
        <v>1283700</v>
      </c>
      <c r="B1950" s="397">
        <f>B1948+B1949</f>
        <v>1521000</v>
      </c>
      <c r="C1950" s="398">
        <f>C1948+C1949</f>
        <v>2624100</v>
      </c>
      <c r="D1950" s="398">
        <f>D1948+D1949</f>
        <v>1547700</v>
      </c>
      <c r="E1950" s="523"/>
      <c r="F1950" s="518" t="s">
        <v>1687</v>
      </c>
      <c r="G1950" s="2605">
        <f t="shared" ref="G1950:O1950" si="1570">G1948+G1949</f>
        <v>1891000</v>
      </c>
      <c r="H1950" s="395">
        <f>IF(D1950=G1950,0,IF(D1950=0,100,(G1950-D1950)/D1950*100))</f>
        <v>22.181301285778897</v>
      </c>
      <c r="I1950" s="397">
        <f t="shared" si="1570"/>
        <v>1061600</v>
      </c>
      <c r="J1950" s="397">
        <f t="shared" si="1570"/>
        <v>1177400</v>
      </c>
      <c r="K1950" s="397">
        <f t="shared" si="1570"/>
        <v>1254800</v>
      </c>
      <c r="L1950" s="397">
        <f t="shared" si="1570"/>
        <v>1279200</v>
      </c>
      <c r="M1950" s="397">
        <f t="shared" si="1570"/>
        <v>1325600</v>
      </c>
      <c r="N1950" s="397">
        <f t="shared" si="1570"/>
        <v>1372000</v>
      </c>
      <c r="O1950" s="397">
        <f t="shared" si="1570"/>
        <v>1417400</v>
      </c>
      <c r="P1950" s="397">
        <f t="shared" ref="P1950:Q1950" si="1571">P1948+P1949</f>
        <v>1476800</v>
      </c>
      <c r="Q1950" s="397">
        <f t="shared" si="1571"/>
        <v>1540200</v>
      </c>
      <c r="R1950" s="399">
        <f t="shared" ref="R1950" si="1572">R1948+R1949</f>
        <v>1603600</v>
      </c>
    </row>
    <row r="1951" spans="1:18" ht="13.5" thickBot="1" x14ac:dyDescent="0.25">
      <c r="A1951" s="614"/>
      <c r="B1951" s="90"/>
      <c r="C1951" s="195"/>
      <c r="D1951" s="200"/>
      <c r="E1951" s="1975"/>
      <c r="F1951" s="241"/>
      <c r="G1951" s="2502"/>
      <c r="H1951" s="392"/>
      <c r="I1951" s="121"/>
      <c r="J1951" s="121"/>
      <c r="K1951" s="121"/>
      <c r="L1951" s="121"/>
      <c r="M1951" s="121"/>
      <c r="N1951" s="121"/>
      <c r="O1951" s="121"/>
      <c r="P1951" s="121"/>
      <c r="Q1951" s="121"/>
      <c r="R1951" s="161"/>
    </row>
    <row r="1952" spans="1:18" ht="13.5" thickTop="1" x14ac:dyDescent="0.2">
      <c r="A1952" s="383"/>
      <c r="B1952" s="162"/>
      <c r="C1952" s="162"/>
      <c r="D1952" s="194"/>
      <c r="E1952" s="162"/>
      <c r="F1952" s="162"/>
      <c r="G1952" s="196"/>
      <c r="H1952" s="505"/>
      <c r="I1952" s="127"/>
      <c r="J1952" s="127"/>
      <c r="K1952" s="127"/>
      <c r="L1952" s="127"/>
      <c r="M1952" s="127"/>
      <c r="N1952" s="127"/>
      <c r="O1952" s="127"/>
      <c r="P1952" s="127"/>
      <c r="Q1952" s="127"/>
      <c r="R1952" s="163"/>
    </row>
    <row r="1953" spans="1:18" x14ac:dyDescent="0.2">
      <c r="A1953" s="70"/>
      <c r="B1953" s="1010"/>
      <c r="C1953" s="1009"/>
      <c r="D1953" s="193"/>
      <c r="E1953" s="240"/>
      <c r="F1953" s="516" t="s">
        <v>196</v>
      </c>
      <c r="G1953" s="197"/>
      <c r="H1953" s="179"/>
      <c r="I1953" s="33"/>
      <c r="J1953" s="33"/>
      <c r="K1953" s="33"/>
      <c r="L1953" s="33"/>
      <c r="M1953" s="33"/>
      <c r="N1953" s="33"/>
      <c r="O1953" s="33"/>
      <c r="P1953" s="33"/>
      <c r="Q1953" s="33"/>
      <c r="R1953" s="114"/>
    </row>
    <row r="1954" spans="1:18" x14ac:dyDescent="0.2">
      <c r="A1954" s="107">
        <v>982300</v>
      </c>
      <c r="B1954" s="33">
        <f>ROUND(SUM('Debt-Gen'!E21:'Debt-Gen'!E25),-2)</f>
        <v>1053000</v>
      </c>
      <c r="C1954" s="142">
        <f>ROUND(SUM('Debt-Gen'!G21:'Debt-Gen'!G25),-2)</f>
        <v>1135100</v>
      </c>
      <c r="D1954" s="33">
        <f>ROUND(SUM('Debt-Gen'!I21:'Debt-Gen'!I25),-2)</f>
        <v>1205600</v>
      </c>
      <c r="E1954" s="240"/>
      <c r="F1954" s="366" t="str">
        <f>F1761</f>
        <v>Less Loan Principal Repayments</v>
      </c>
      <c r="G1954" s="198">
        <f>ROUND(SUM('Debt-Gen'!K21:'Debt-Gen'!K25),-2)</f>
        <v>1111500</v>
      </c>
      <c r="H1954" s="179"/>
      <c r="I1954" s="33">
        <f>ROUND(SUM('Debt-Gen'!M21:'Debt-Gen'!M25),-2)</f>
        <v>193900</v>
      </c>
      <c r="J1954" s="33">
        <f>ROUND(SUM('Debt-Gen'!O21:'Debt-Gen'!O25),-2)</f>
        <v>0</v>
      </c>
      <c r="K1954" s="33">
        <f>ROUND(SUM('Debt-Gen'!Q21:'Debt-Gen'!Q25),-2)</f>
        <v>0</v>
      </c>
      <c r="L1954" s="33">
        <f>ROUND(SUM('Debt-Gen'!S21:'Debt-Gen'!S25),-2)</f>
        <v>0</v>
      </c>
      <c r="M1954" s="33">
        <f>ROUND(SUM('Debt-Gen'!U21:'Debt-Gen'!U25),-2)</f>
        <v>0</v>
      </c>
      <c r="N1954" s="33">
        <f>ROUND(SUM('Debt-Gen'!W21:'Debt-Gen'!W25),-2)</f>
        <v>0</v>
      </c>
      <c r="O1954" s="187">
        <f>ROUND(SUM('Debt-Gen'!Y21:'Debt-Gen'!Y25),-2)</f>
        <v>0</v>
      </c>
      <c r="P1954" s="187">
        <f>ROUND(SUM('Debt-Gen'!AA21:'Debt-Gen'!AA25),-2)</f>
        <v>0</v>
      </c>
      <c r="Q1954" s="187">
        <f>ROUND(SUM('Debt-Gen'!AC21:'Debt-Gen'!AC25),-2)</f>
        <v>0</v>
      </c>
      <c r="R1954" s="188">
        <f>ROUND(SUM('Debt-Gen'!AE21:'Debt-Gen'!AE25),-2)</f>
        <v>0</v>
      </c>
    </row>
    <row r="1955" spans="1:18" x14ac:dyDescent="0.2">
      <c r="A1955" s="107">
        <v>1496000</v>
      </c>
      <c r="B1955" s="33">
        <v>1626700</v>
      </c>
      <c r="C1955" s="189">
        <v>1489000</v>
      </c>
      <c r="D1955" s="189">
        <f>SUM('Res-Gen'!B231:B237)</f>
        <v>2065900</v>
      </c>
      <c r="E1955" s="240"/>
      <c r="F1955" s="366" t="str">
        <f>F1762</f>
        <v>Less Transfer to Reserves</v>
      </c>
      <c r="G1955" s="198">
        <f>SUM('Res-Gen'!E231:E237)</f>
        <v>966300</v>
      </c>
      <c r="H1955" s="179"/>
      <c r="I1955" s="33">
        <f>SUM('Res-Gen'!H231:H237)</f>
        <v>867700</v>
      </c>
      <c r="J1955" s="33">
        <f>SUM('Res-Gen'!K231:K237)</f>
        <v>1177400</v>
      </c>
      <c r="K1955" s="33">
        <f>SUM('Res-Gen'!N231:N237)</f>
        <v>1254800</v>
      </c>
      <c r="L1955" s="33">
        <f>SUM('Res-Gen'!Q231:Q237)</f>
        <v>1279200</v>
      </c>
      <c r="M1955" s="33">
        <f>SUM('Res-Gen'!T231:T237)</f>
        <v>1325600</v>
      </c>
      <c r="N1955" s="33">
        <f>SUM('Res-Gen'!W231:W237)</f>
        <v>1372000</v>
      </c>
      <c r="O1955" s="33">
        <f>SUM('Res-Gen'!Z231:Z237)</f>
        <v>1417400</v>
      </c>
      <c r="P1955" s="33">
        <f>SUM('Res-Gen'!AC231:AC237)</f>
        <v>1476800</v>
      </c>
      <c r="Q1955" s="33">
        <f>SUM('Res-Gen'!AF231:AF237)</f>
        <v>1540200</v>
      </c>
      <c r="R1955" s="114">
        <f>SUM('Res-Gen'!AI231:AI237)</f>
        <v>1603600</v>
      </c>
    </row>
    <row r="1956" spans="1:18" x14ac:dyDescent="0.2">
      <c r="A1956" s="107">
        <v>1411800</v>
      </c>
      <c r="B1956" s="33">
        <v>1361200</v>
      </c>
      <c r="C1956" s="189">
        <v>257300</v>
      </c>
      <c r="D1956" s="189">
        <f>SUM('Res-Gen'!C231:C237)</f>
        <v>1459400</v>
      </c>
      <c r="E1956" s="138"/>
      <c r="F1956" s="366" t="str">
        <f>F1763</f>
        <v>Add Transfer from Reserves</v>
      </c>
      <c r="G1956" s="198">
        <f>SUM('Res-Gen'!F231:F237)-'Res-Gen'!F233-'Res-Gen'!F232-'Res-Gen'!F235</f>
        <v>723800</v>
      </c>
      <c r="H1956" s="138"/>
      <c r="I1956" s="33">
        <f>SUM('Res-Gen'!I231:I237)-'Res-Gen'!I233-'Res-Gen'!I232</f>
        <v>109000</v>
      </c>
      <c r="J1956" s="33">
        <f>SUM('Res-Gen'!L231:L237)-'Res-Gen'!L233</f>
        <v>113000</v>
      </c>
      <c r="K1956" s="33">
        <f>SUM('Res-Gen'!O231:O237)-'Res-Gen'!O233</f>
        <v>118000</v>
      </c>
      <c r="L1956" s="33">
        <f>SUM('Res-Gen'!R231:R237)</f>
        <v>1121000</v>
      </c>
      <c r="M1956" s="33">
        <f>SUM('Res-Gen'!U231:U237)</f>
        <v>1124000</v>
      </c>
      <c r="N1956" s="33">
        <f>SUM('Res-Gen'!X231:X237)</f>
        <v>1127000</v>
      </c>
      <c r="O1956" s="33">
        <f>SUM('Res-Gen'!AA231:AA237)</f>
        <v>1130000</v>
      </c>
      <c r="P1956" s="33">
        <f>SUM('Res-Gen'!AD231:AD237)</f>
        <v>1133000</v>
      </c>
      <c r="Q1956" s="33">
        <f>SUM('Res-Gen'!AG231:AG237)</f>
        <v>1136000</v>
      </c>
      <c r="R1956" s="114">
        <f>SUM('Res-Gen'!AJ231:AJ237)</f>
        <v>1139000</v>
      </c>
    </row>
    <row r="1957" spans="1:18" x14ac:dyDescent="0.2">
      <c r="A1957" s="107">
        <v>212500</v>
      </c>
      <c r="B1957" s="33">
        <v>0</v>
      </c>
      <c r="C1957" s="189">
        <v>0</v>
      </c>
      <c r="D1957" s="189">
        <v>0</v>
      </c>
      <c r="E1957" s="240"/>
      <c r="F1957" s="366" t="str">
        <f>F1764</f>
        <v>Add Capital Income Applied</v>
      </c>
      <c r="G1957" s="198">
        <v>0</v>
      </c>
      <c r="H1957" s="138"/>
      <c r="I1957" s="33">
        <v>0</v>
      </c>
      <c r="J1957" s="33">
        <v>0</v>
      </c>
      <c r="K1957" s="33">
        <v>0</v>
      </c>
      <c r="L1957" s="33">
        <v>0</v>
      </c>
      <c r="M1957" s="33">
        <v>0</v>
      </c>
      <c r="N1957" s="33">
        <v>0</v>
      </c>
      <c r="O1957" s="33">
        <v>0</v>
      </c>
      <c r="P1957" s="33">
        <v>0</v>
      </c>
      <c r="Q1957" s="33">
        <v>0</v>
      </c>
      <c r="R1957" s="114">
        <v>0</v>
      </c>
    </row>
    <row r="1958" spans="1:18" x14ac:dyDescent="0.2">
      <c r="A1958" s="107">
        <v>429700</v>
      </c>
      <c r="B1958" s="33">
        <v>152500</v>
      </c>
      <c r="C1958" s="189">
        <v>95300</v>
      </c>
      <c r="D1958" s="189">
        <f>SUM('Cap-Gen'!E199:E200)+'Cap-Gen'!E204+'Cap-Gen'!E201+'Cap-Gen'!E202+'Cap-Gen'!E203+'Cap-Gen'!E205+'Cap-Gen'!E206</f>
        <v>476500</v>
      </c>
      <c r="E1958" s="240"/>
      <c r="F1958" s="366" t="str">
        <f>F1765</f>
        <v>Less Capital Expenditure</v>
      </c>
      <c r="G1958" s="198">
        <f>SUM('Cap-Gen'!F199:F200)+'Cap-Gen'!F206+'Cap-Gen'!F201+'Cap-Gen'!F204+'Cap-Gen'!F202</f>
        <v>537000</v>
      </c>
      <c r="H1958" s="138"/>
      <c r="I1958" s="33">
        <f>SUM('Cap-Gen'!G199:G200)</f>
        <v>109000</v>
      </c>
      <c r="J1958" s="33">
        <f>SUM('Cap-Gen'!H199:H200)</f>
        <v>113000</v>
      </c>
      <c r="K1958" s="33">
        <f>SUM('Cap-Gen'!I199:I200)</f>
        <v>118000</v>
      </c>
      <c r="L1958" s="33">
        <f>SUM('Cap-Gen'!J199:J200)</f>
        <v>121000</v>
      </c>
      <c r="M1958" s="33">
        <f>SUM('Cap-Gen'!K199:K200)</f>
        <v>124000</v>
      </c>
      <c r="N1958" s="33">
        <f>SUM('Cap-Gen'!L199:L200)</f>
        <v>127000</v>
      </c>
      <c r="O1958" s="33">
        <f>SUM('Cap-Gen'!M199:M200)</f>
        <v>130000</v>
      </c>
      <c r="P1958" s="33">
        <f>SUM('Cap-Gen'!N199:N200)</f>
        <v>133000</v>
      </c>
      <c r="Q1958" s="33">
        <f>SUM('Cap-Gen'!O199:O200)</f>
        <v>136000</v>
      </c>
      <c r="R1958" s="114">
        <f>SUM('Cap-Gen'!P199:P200)</f>
        <v>139000</v>
      </c>
    </row>
    <row r="1959" spans="1:18" x14ac:dyDescent="0.2">
      <c r="A1959" s="107"/>
      <c r="B1959" s="33"/>
      <c r="E1959" s="240"/>
      <c r="F1959" s="240"/>
      <c r="G1959" s="198"/>
      <c r="H1959" s="578"/>
      <c r="I1959" s="33"/>
      <c r="J1959" s="33"/>
      <c r="K1959" s="33"/>
      <c r="L1959" s="33"/>
      <c r="M1959" s="33"/>
      <c r="N1959" s="33"/>
      <c r="O1959" s="33"/>
      <c r="P1959" s="33"/>
      <c r="Q1959" s="33"/>
      <c r="R1959" s="114"/>
    </row>
    <row r="1960" spans="1:18" s="92" customFormat="1" x14ac:dyDescent="0.2">
      <c r="A1960" s="181">
        <f>A1950-A1954-A1955+A1956++A1957-A1958</f>
        <v>0</v>
      </c>
      <c r="B1960" s="397">
        <f>B1950-B1954-B1955+B1956++B1957-B1958</f>
        <v>50000</v>
      </c>
      <c r="C1960" s="398">
        <f>C1950-C1954-C1955+C1956++C1957-C1958</f>
        <v>162000</v>
      </c>
      <c r="D1960" s="398">
        <f>D1950-D1954-D1955+D1956++D1957-D1958</f>
        <v>-740900</v>
      </c>
      <c r="E1960" s="532"/>
      <c r="F1960" s="518" t="s">
        <v>2490</v>
      </c>
      <c r="G1960" s="2605">
        <f t="shared" ref="G1960:O1960" si="1573">G1950-G1954-G1955+G1956++G1957-G1958</f>
        <v>0</v>
      </c>
      <c r="H1960" s="323">
        <f>IF(D1960=G1960,0,IF(D1960=0,100,(G1960-D1960)/D1960*100))</f>
        <v>-100</v>
      </c>
      <c r="I1960" s="397">
        <f t="shared" si="1573"/>
        <v>0</v>
      </c>
      <c r="J1960" s="397">
        <f t="shared" si="1573"/>
        <v>0</v>
      </c>
      <c r="K1960" s="397">
        <f t="shared" si="1573"/>
        <v>0</v>
      </c>
      <c r="L1960" s="397">
        <f t="shared" si="1573"/>
        <v>1000000</v>
      </c>
      <c r="M1960" s="397">
        <f t="shared" si="1573"/>
        <v>1000000</v>
      </c>
      <c r="N1960" s="397">
        <f t="shared" si="1573"/>
        <v>1000000</v>
      </c>
      <c r="O1960" s="397">
        <f t="shared" si="1573"/>
        <v>1000000</v>
      </c>
      <c r="P1960" s="397">
        <f t="shared" ref="P1960:Q1960" si="1574">P1950-P1954-P1955+P1956++P1957-P1958</f>
        <v>1000000</v>
      </c>
      <c r="Q1960" s="397">
        <f t="shared" si="1574"/>
        <v>1000000</v>
      </c>
      <c r="R1960" s="399">
        <f t="shared" ref="R1960" si="1575">R1950-R1954-R1955+R1956++R1957-R1958</f>
        <v>1000000</v>
      </c>
    </row>
    <row r="1961" spans="1:18" ht="13.5" thickBot="1" x14ac:dyDescent="0.25">
      <c r="A1961" s="73"/>
      <c r="B1961" s="90"/>
      <c r="C1961" s="195"/>
      <c r="D1961" s="195"/>
      <c r="E1961" s="239"/>
      <c r="F1961" s="239"/>
      <c r="G1961" s="2612"/>
      <c r="H1961" s="200"/>
      <c r="I1961" s="66"/>
      <c r="J1961" s="66"/>
      <c r="K1961" s="66"/>
      <c r="L1961" s="66"/>
      <c r="M1961" s="66"/>
      <c r="N1961" s="66"/>
      <c r="O1961" s="66"/>
      <c r="P1961" s="66"/>
      <c r="Q1961" s="66"/>
      <c r="R1961" s="165"/>
    </row>
    <row r="1962" spans="1:18" s="99" customFormat="1" ht="14.25" thickTop="1" thickBot="1" x14ac:dyDescent="0.25">
      <c r="A1962" s="74"/>
      <c r="B1962" s="74"/>
      <c r="C1962" s="197"/>
      <c r="D1962" s="197"/>
      <c r="E1962" s="242"/>
      <c r="F1962" s="242"/>
      <c r="G1962" s="197"/>
      <c r="H1962" s="197"/>
      <c r="I1962" s="197"/>
    </row>
    <row r="1963" spans="1:18" s="91" customFormat="1" ht="18.75" customHeight="1" thickTop="1" thickBot="1" x14ac:dyDescent="0.3">
      <c r="A1963" s="2865" t="s">
        <v>497</v>
      </c>
      <c r="B1963" s="2866"/>
      <c r="C1963" s="2866"/>
      <c r="D1963" s="2866"/>
      <c r="E1963" s="2866"/>
      <c r="F1963" s="2866"/>
      <c r="G1963" s="2866"/>
      <c r="H1963" s="2866"/>
      <c r="I1963" s="2866"/>
      <c r="J1963" s="2866"/>
      <c r="K1963" s="2866"/>
      <c r="L1963" s="2866"/>
      <c r="M1963" s="2866"/>
      <c r="N1963" s="2866"/>
      <c r="O1963" s="2866"/>
      <c r="P1963" s="2866"/>
      <c r="Q1963" s="2866"/>
      <c r="R1963" s="2867"/>
    </row>
    <row r="1964" spans="1:18" s="44" customFormat="1" x14ac:dyDescent="0.2">
      <c r="A1964" s="2848" t="s">
        <v>1856</v>
      </c>
      <c r="B1964" s="2840"/>
      <c r="C1964" s="2840"/>
      <c r="D1964" s="2849"/>
      <c r="E1964" s="369" t="s">
        <v>2663</v>
      </c>
      <c r="F1964" s="2649" t="s">
        <v>2251</v>
      </c>
      <c r="G1964" s="2885" t="s">
        <v>2253</v>
      </c>
      <c r="H1964" s="2886"/>
      <c r="I1964" s="2886"/>
      <c r="J1964" s="2886"/>
      <c r="K1964" s="2886"/>
      <c r="L1964" s="2886"/>
      <c r="M1964" s="2886"/>
      <c r="N1964" s="2886"/>
      <c r="O1964" s="2886"/>
      <c r="P1964" s="2886"/>
      <c r="Q1964" s="2886"/>
      <c r="R1964" s="2887"/>
    </row>
    <row r="1965" spans="1:18" s="23" customFormat="1" ht="13.5" thickBot="1" x14ac:dyDescent="0.25">
      <c r="A1965" s="208" t="str">
        <f>A3</f>
        <v>2012/13</v>
      </c>
      <c r="B1965" s="75" t="str">
        <f>B3</f>
        <v>2013/14</v>
      </c>
      <c r="C1965" s="370" t="str">
        <f>C3</f>
        <v>2014/15</v>
      </c>
      <c r="D1965" s="93" t="str">
        <f>D3</f>
        <v>2015/16</v>
      </c>
      <c r="E1965" s="370" t="s">
        <v>2664</v>
      </c>
      <c r="F1965" s="361"/>
      <c r="G1965" s="2513" t="str">
        <f>G3</f>
        <v>2016/17</v>
      </c>
      <c r="H1965" s="2527" t="s">
        <v>501</v>
      </c>
      <c r="I1965" s="370" t="str">
        <f t="shared" ref="I1965:R1965" si="1576">I3</f>
        <v>2017/18</v>
      </c>
      <c r="J1965" s="370" t="str">
        <f t="shared" si="1576"/>
        <v>2018/19</v>
      </c>
      <c r="K1965" s="370" t="str">
        <f t="shared" si="1576"/>
        <v>2019/20</v>
      </c>
      <c r="L1965" s="370" t="str">
        <f t="shared" si="1576"/>
        <v>2020/21</v>
      </c>
      <c r="M1965" s="370" t="str">
        <f t="shared" si="1576"/>
        <v>2021/22</v>
      </c>
      <c r="N1965" s="370" t="str">
        <f t="shared" si="1576"/>
        <v>2022/23</v>
      </c>
      <c r="O1965" s="370" t="str">
        <f t="shared" si="1576"/>
        <v>2023/24</v>
      </c>
      <c r="P1965" s="370" t="str">
        <f t="shared" si="1576"/>
        <v>2024/25</v>
      </c>
      <c r="Q1965" s="370" t="str">
        <f t="shared" si="1576"/>
        <v>2025/26</v>
      </c>
      <c r="R1965" s="549" t="str">
        <f t="shared" si="1576"/>
        <v>2026/27</v>
      </c>
    </row>
    <row r="1966" spans="1:18" x14ac:dyDescent="0.2">
      <c r="A1966" s="98"/>
      <c r="B1966" s="33"/>
      <c r="C1966" s="33"/>
      <c r="D1966" s="33"/>
      <c r="E1966" s="1954"/>
      <c r="F1966" s="1954"/>
      <c r="G1966" s="76"/>
      <c r="H1966" s="138"/>
      <c r="I1966" s="33"/>
      <c r="J1966" s="33"/>
      <c r="K1966" s="33"/>
      <c r="L1966" s="33"/>
      <c r="M1966" s="33"/>
      <c r="N1966" s="33"/>
      <c r="O1966" s="33"/>
      <c r="P1966" s="33"/>
      <c r="Q1966" s="33"/>
      <c r="R1966" s="114"/>
    </row>
    <row r="1967" spans="1:18" x14ac:dyDescent="0.2">
      <c r="A1967" s="98"/>
      <c r="B1967" s="33"/>
      <c r="C1967" s="33"/>
      <c r="D1967" s="33"/>
      <c r="E1967" s="1954"/>
      <c r="F1967" s="103" t="s">
        <v>1073</v>
      </c>
      <c r="G1967" s="76"/>
      <c r="H1967" s="138"/>
      <c r="I1967" s="33"/>
      <c r="J1967" s="33"/>
      <c r="K1967" s="33"/>
      <c r="L1967" s="33"/>
      <c r="M1967" s="33"/>
      <c r="N1967" s="33"/>
      <c r="O1967" s="33"/>
      <c r="P1967" s="33"/>
      <c r="Q1967" s="33"/>
      <c r="R1967" s="114"/>
    </row>
    <row r="1968" spans="1:18" x14ac:dyDescent="0.2">
      <c r="A1968" s="98"/>
      <c r="B1968" s="33"/>
      <c r="E1968" s="1954"/>
      <c r="F1968" s="175" t="s">
        <v>60</v>
      </c>
      <c r="G1968" s="2509"/>
      <c r="H1968" s="138"/>
      <c r="I1968" s="33"/>
      <c r="J1968" s="33"/>
      <c r="K1968" s="33"/>
      <c r="L1968" s="33"/>
      <c r="M1968" s="33"/>
      <c r="N1968" s="33"/>
      <c r="O1968" s="33"/>
      <c r="P1968" s="33"/>
      <c r="Q1968" s="33"/>
      <c r="R1968" s="114"/>
    </row>
    <row r="1969" spans="1:18" x14ac:dyDescent="0.2">
      <c r="A1969" s="107">
        <v>6497100</v>
      </c>
      <c r="B1969" s="33">
        <v>6810300</v>
      </c>
      <c r="C1969" s="189">
        <v>5919100</v>
      </c>
      <c r="D1969" s="189">
        <v>6134600</v>
      </c>
      <c r="E1969" s="658" t="s">
        <v>2068</v>
      </c>
      <c r="F1969" s="3" t="s">
        <v>341</v>
      </c>
      <c r="G1969" s="2509">
        <f>6329000+25000</f>
        <v>6354000</v>
      </c>
      <c r="H1969" s="138">
        <f>IF(D1969=G1969,0,IF(D1969=0,100,(G1969-D1969)/D1969*100))</f>
        <v>3.5764353014051444</v>
      </c>
      <c r="I1969" s="187">
        <f>ROUND(G1969*Assumptions!H$23+G1969,-2)</f>
        <v>6481100</v>
      </c>
      <c r="J1969" s="187">
        <f>ROUND(I1969*Assumptions!I$23+I1969,-2)</f>
        <v>6643100</v>
      </c>
      <c r="K1969" s="187">
        <f>ROUND(J1969*Assumptions!J$23+J1969,-2)</f>
        <v>6809200</v>
      </c>
      <c r="L1969" s="187">
        <f>ROUND(K1969*Assumptions!K$23+K1969,-2)</f>
        <v>6979400</v>
      </c>
      <c r="M1969" s="187">
        <f>ROUND(L1969*Assumptions!L$23+L1969,-2)</f>
        <v>7153900</v>
      </c>
      <c r="N1969" s="187">
        <f>ROUND(M1969*Assumptions!M$23+M1969,-2)</f>
        <v>7332700</v>
      </c>
      <c r="O1969" s="187">
        <f>ROUND(N1969*Assumptions!N$23+N1969,-2)</f>
        <v>7516000</v>
      </c>
      <c r="P1969" s="187">
        <f>ROUND(O1969*Assumptions!O$23+O1969,-2)</f>
        <v>7703900</v>
      </c>
      <c r="Q1969" s="187">
        <f>ROUND(P1969*Assumptions!P$23+P1969,-2)</f>
        <v>7896500</v>
      </c>
      <c r="R1969" s="188">
        <f>ROUND(Q1969*Assumptions!Q$23+Q1969,-2)</f>
        <v>8093900</v>
      </c>
    </row>
    <row r="1970" spans="1:18" x14ac:dyDescent="0.2">
      <c r="A1970" s="107">
        <v>18300</v>
      </c>
      <c r="B1970" s="33">
        <v>20300</v>
      </c>
      <c r="C1970" s="189">
        <v>21100</v>
      </c>
      <c r="D1970" s="189">
        <v>21700</v>
      </c>
      <c r="E1970" s="658" t="s">
        <v>690</v>
      </c>
      <c r="F1970" s="3" t="s">
        <v>1059</v>
      </c>
      <c r="G1970" s="2509">
        <v>24000</v>
      </c>
      <c r="H1970" s="138">
        <f>IF(D1970=G1970,0,IF(D1970=0,100,(G1970-D1970)/D1970*100))</f>
        <v>10.599078341013826</v>
      </c>
      <c r="I1970" s="187">
        <f>ROUND(G1970*Assumptions!H$23+G1970,-2)</f>
        <v>24500</v>
      </c>
      <c r="J1970" s="187">
        <f>ROUND(I1970*Assumptions!I$23+I1970,-2)</f>
        <v>25100</v>
      </c>
      <c r="K1970" s="187">
        <f>ROUND(J1970*Assumptions!J$23+J1970,-2)</f>
        <v>25700</v>
      </c>
      <c r="L1970" s="187">
        <f>ROUND(K1970*Assumptions!K$23+K1970,-2)</f>
        <v>26300</v>
      </c>
      <c r="M1970" s="187">
        <f>ROUND(L1970*Assumptions!L$23+L1970,-2)</f>
        <v>27000</v>
      </c>
      <c r="N1970" s="187">
        <f>ROUND(M1970*Assumptions!M$23+M1970,-2)</f>
        <v>27700</v>
      </c>
      <c r="O1970" s="187">
        <f>ROUND(N1970*Assumptions!N$23+N1970,-2)</f>
        <v>28400</v>
      </c>
      <c r="P1970" s="187">
        <f>ROUND(O1970*Assumptions!O$23+O1970,-2)</f>
        <v>29100</v>
      </c>
      <c r="Q1970" s="187">
        <f>ROUND(P1970*Assumptions!P$23+P1970,-2)</f>
        <v>29800</v>
      </c>
      <c r="R1970" s="188">
        <f>ROUND(Q1970*Assumptions!Q$23+Q1970,-2)</f>
        <v>30500</v>
      </c>
    </row>
    <row r="1971" spans="1:18" x14ac:dyDescent="0.2">
      <c r="A1971" s="107">
        <v>-170100</v>
      </c>
      <c r="B1971" s="33">
        <v>-169100</v>
      </c>
      <c r="C1971" s="189">
        <v>-151800</v>
      </c>
      <c r="D1971" s="189">
        <v>-152100</v>
      </c>
      <c r="E1971" s="658" t="s">
        <v>689</v>
      </c>
      <c r="F1971" s="3" t="s">
        <v>240</v>
      </c>
      <c r="G1971" s="2509">
        <f>-171000+21000</f>
        <v>-150000</v>
      </c>
      <c r="H1971" s="138">
        <f>IF(D1971=G1971,0,IF(D1971=0,100,(G1971-D1971)/D1971*100))</f>
        <v>-1.3806706114398422</v>
      </c>
      <c r="I1971" s="187">
        <f>ROUND(G1971+(G1971*Assumptions!H$8),-3)</f>
        <v>-151000</v>
      </c>
      <c r="J1971" s="187">
        <f>ROUND(I1971+(I1971*Assumptions!I$8),-3)</f>
        <v>-152000</v>
      </c>
      <c r="K1971" s="187">
        <f>ROUND(J1971+(J1971*Assumptions!J$8),-3)</f>
        <v>-153000</v>
      </c>
      <c r="L1971" s="187">
        <f>ROUND(K1971+(K1971*Assumptions!K$8),-3)</f>
        <v>-154000</v>
      </c>
      <c r="M1971" s="187">
        <f>ROUND(L1971+(L1971*Assumptions!L$8),-3)</f>
        <v>-155000</v>
      </c>
      <c r="N1971" s="187">
        <f>ROUND(M1971+(M1971*Assumptions!M$8),-3)</f>
        <v>-156000</v>
      </c>
      <c r="O1971" s="187">
        <f>ROUND(N1971+(N1971*Assumptions!N$8),-3)</f>
        <v>-157000</v>
      </c>
      <c r="P1971" s="187">
        <f>ROUND(O1971+(O1971*Assumptions!O$8),-3)</f>
        <v>-158000</v>
      </c>
      <c r="Q1971" s="187">
        <f>ROUND(P1971+(P1971*Assumptions!P$8),-3)</f>
        <v>-159000</v>
      </c>
      <c r="R1971" s="188">
        <f>ROUND(Q1971+(Q1971*Assumptions!Q$8),-3)</f>
        <v>-160000</v>
      </c>
    </row>
    <row r="1972" spans="1:18" x14ac:dyDescent="0.2">
      <c r="A1972" s="107">
        <v>-139200</v>
      </c>
      <c r="B1972" s="33">
        <v>-138400</v>
      </c>
      <c r="C1972" s="189">
        <v>-124200</v>
      </c>
      <c r="D1972" s="189">
        <v>-124400</v>
      </c>
      <c r="E1972" s="658" t="s">
        <v>212</v>
      </c>
      <c r="F1972" s="890" t="s">
        <v>4833</v>
      </c>
      <c r="G1972" s="2509">
        <f>-141000+18000</f>
        <v>-123000</v>
      </c>
      <c r="H1972" s="138">
        <f>IF(D1972=G1972,0,IF(D1972=0,100,(G1972-D1972)/D1972*100))</f>
        <v>-1.1254019292604502</v>
      </c>
      <c r="I1972" s="33">
        <f>ROUND(G1972+(G1972*Assumptions!H$8),-3)</f>
        <v>-124000</v>
      </c>
      <c r="J1972" s="33">
        <f>ROUND(I1972+(I1972*Assumptions!I$8),-3)</f>
        <v>-125000</v>
      </c>
      <c r="K1972" s="33">
        <f>ROUND(J1972+(J1972*Assumptions!J$8),-3)</f>
        <v>-126000</v>
      </c>
      <c r="L1972" s="33">
        <f>ROUND(K1972+(K1972*Assumptions!K$8),-3)</f>
        <v>-127000</v>
      </c>
      <c r="M1972" s="33">
        <f>ROUND(L1972+(L1972*Assumptions!L$8),-3)</f>
        <v>-128000</v>
      </c>
      <c r="N1972" s="33">
        <f>ROUND(M1972+(M1972*Assumptions!M$8),-3)</f>
        <v>-129000</v>
      </c>
      <c r="O1972" s="33">
        <f>ROUND(N1972+(N1972*Assumptions!N$8),-3)</f>
        <v>-130000</v>
      </c>
      <c r="P1972" s="33">
        <f>ROUND(O1972+(O1972*Assumptions!O$8),-3)</f>
        <v>-131000</v>
      </c>
      <c r="Q1972" s="33">
        <f>ROUND(P1972+(P1972*Assumptions!P$8),-3)</f>
        <v>-132000</v>
      </c>
      <c r="R1972" s="114">
        <f>ROUND(Q1972+(Q1972*Assumptions!Q$8),-3)</f>
        <v>-133000</v>
      </c>
    </row>
    <row r="1973" spans="1:18" x14ac:dyDescent="0.2">
      <c r="A1973" s="107"/>
      <c r="B1973" s="33"/>
      <c r="E1973" s="658"/>
      <c r="F1973" s="6" t="s">
        <v>1303</v>
      </c>
      <c r="G1973" s="2509"/>
      <c r="H1973" s="138"/>
      <c r="I1973" s="33"/>
      <c r="J1973" s="33"/>
      <c r="K1973" s="33"/>
      <c r="L1973" s="33"/>
      <c r="M1973" s="33"/>
      <c r="N1973" s="33"/>
      <c r="O1973" s="33"/>
      <c r="P1973" s="33"/>
      <c r="Q1973" s="33"/>
      <c r="R1973" s="114"/>
    </row>
    <row r="1974" spans="1:18" x14ac:dyDescent="0.2">
      <c r="A1974" s="107">
        <v>170100</v>
      </c>
      <c r="B1974" s="33">
        <v>169100</v>
      </c>
      <c r="C1974" s="189">
        <v>151800</v>
      </c>
      <c r="D1974" s="189">
        <v>152100</v>
      </c>
      <c r="E1974" s="658" t="s">
        <v>2012</v>
      </c>
      <c r="F1974" s="3" t="s">
        <v>1337</v>
      </c>
      <c r="G1974" s="2509">
        <f>155500-9000</f>
        <v>146500</v>
      </c>
      <c r="H1974" s="138">
        <f>IF(D1974=G1974,0,IF(D1974=0,100,(G1974-D1974)/D1974*100))</f>
        <v>-3.6817882971729126</v>
      </c>
      <c r="I1974" s="33">
        <f t="shared" ref="I1974:Q1974" si="1577">ROUND(-I1971/11*10,-2)</f>
        <v>137300</v>
      </c>
      <c r="J1974" s="187">
        <f t="shared" si="1577"/>
        <v>138200</v>
      </c>
      <c r="K1974" s="187">
        <f t="shared" si="1577"/>
        <v>139100</v>
      </c>
      <c r="L1974" s="187">
        <f t="shared" si="1577"/>
        <v>140000</v>
      </c>
      <c r="M1974" s="187">
        <f t="shared" si="1577"/>
        <v>140900</v>
      </c>
      <c r="N1974" s="187">
        <f t="shared" si="1577"/>
        <v>141800</v>
      </c>
      <c r="O1974" s="33">
        <f t="shared" si="1577"/>
        <v>142700</v>
      </c>
      <c r="P1974" s="33">
        <f t="shared" si="1577"/>
        <v>143600</v>
      </c>
      <c r="Q1974" s="33">
        <f t="shared" si="1577"/>
        <v>144500</v>
      </c>
      <c r="R1974" s="114">
        <f t="shared" ref="R1974" si="1578">ROUND(-R1971/11*10,-2)</f>
        <v>145500</v>
      </c>
    </row>
    <row r="1975" spans="1:18" x14ac:dyDescent="0.2">
      <c r="A1975" s="107"/>
      <c r="B1975" s="33"/>
      <c r="E1975" s="658"/>
      <c r="F1975" s="175" t="s">
        <v>2671</v>
      </c>
      <c r="G1975" s="2509"/>
      <c r="H1975" s="138"/>
      <c r="I1975" s="33"/>
      <c r="J1975" s="33"/>
      <c r="K1975" s="33"/>
      <c r="L1975" s="33"/>
      <c r="M1975" s="33"/>
      <c r="N1975" s="33"/>
      <c r="O1975" s="33"/>
      <c r="P1975" s="33"/>
      <c r="Q1975" s="33"/>
      <c r="R1975" s="114"/>
    </row>
    <row r="1976" spans="1:18" x14ac:dyDescent="0.2">
      <c r="A1976" s="107">
        <v>25200</v>
      </c>
      <c r="B1976" s="33">
        <v>44300</v>
      </c>
      <c r="C1976" s="189">
        <v>49100</v>
      </c>
      <c r="D1976" s="189">
        <v>47600</v>
      </c>
      <c r="E1976" s="658" t="s">
        <v>2013</v>
      </c>
      <c r="F1976" s="271" t="s">
        <v>345</v>
      </c>
      <c r="G1976" s="2509">
        <f>38000+5000</f>
        <v>43000</v>
      </c>
      <c r="H1976" s="138">
        <f>IF(D1976=G1976,0,IF(D1976=0,100,(G1976-D1976)/D1976*100))</f>
        <v>-9.6638655462184886</v>
      </c>
      <c r="I1976" s="33">
        <f>ROUND(IF('Res-Bal'!G155&gt;0,'Res-Bal'!G155*0.05/2,0),-3)</f>
        <v>50000</v>
      </c>
      <c r="J1976" s="33">
        <f>ROUND(IF('Res-Bal'!J155&gt;0,'Res-Bal'!J155*0.05/2,0),-3)</f>
        <v>28000</v>
      </c>
      <c r="K1976" s="33">
        <f>ROUND(IF('Res-Bal'!M155&gt;0,'Res-Bal'!M155*0.05/2,0),-3)</f>
        <v>42000</v>
      </c>
      <c r="L1976" s="33">
        <f>ROUND(IF('Res-Bal'!P155&gt;0,'Res-Bal'!P155*0.05/2,0),-3)</f>
        <v>58000</v>
      </c>
      <c r="M1976" s="33">
        <f>ROUND(IF('Res-Bal'!S155&gt;0,'Res-Bal'!S155*0.05/2,0),-3)</f>
        <v>34000</v>
      </c>
      <c r="N1976" s="33">
        <f>ROUND(IF('Res-Bal'!V155&gt;0,'Res-Bal'!V155*0.05/2,0),-3)</f>
        <v>51000</v>
      </c>
      <c r="O1976" s="33">
        <f>ROUND(IF('Res-Bal'!Y155&gt;0,'Res-Bal'!Y155*0.05/2,0),-3)</f>
        <v>69000</v>
      </c>
      <c r="P1976" s="33">
        <f>ROUND(IF('Res-Bal'!AB155&gt;0,'Res-Bal'!AB155*0.05/2,0),-3)</f>
        <v>46000</v>
      </c>
      <c r="Q1976" s="33">
        <f>ROUND(IF('Res-Bal'!AE155&gt;0,'Res-Bal'!AE155*0.05/2,0),-3)</f>
        <v>65000</v>
      </c>
      <c r="R1976" s="114">
        <f>ROUND(IF('Res-Bal'!AF155&gt;0,'Res-Bal'!AF155*0.05/2,0),-3)</f>
        <v>65000</v>
      </c>
    </row>
    <row r="1977" spans="1:18" x14ac:dyDescent="0.2">
      <c r="A1977" s="107"/>
      <c r="B1977" s="33"/>
      <c r="E1977" s="658"/>
      <c r="F1977" s="8" t="s">
        <v>4248</v>
      </c>
      <c r="G1977" s="2509"/>
      <c r="H1977" s="138"/>
      <c r="I1977" s="33"/>
      <c r="J1977" s="33"/>
      <c r="K1977" s="33"/>
      <c r="L1977" s="33"/>
      <c r="M1977" s="33"/>
      <c r="N1977" s="33"/>
      <c r="O1977" s="33"/>
      <c r="P1977" s="33"/>
      <c r="Q1977" s="33"/>
      <c r="R1977" s="114"/>
    </row>
    <row r="1978" spans="1:18" x14ac:dyDescent="0.2">
      <c r="A1978" s="107">
        <v>177800</v>
      </c>
      <c r="B1978" s="33">
        <v>0</v>
      </c>
      <c r="C1978" s="189">
        <v>0</v>
      </c>
      <c r="D1978" s="189">
        <v>0</v>
      </c>
      <c r="E1978" s="658" t="s">
        <v>655</v>
      </c>
      <c r="F1978" s="3" t="s">
        <v>654</v>
      </c>
      <c r="G1978" s="2509">
        <v>0</v>
      </c>
      <c r="H1978" s="138">
        <f>IF(D1978=G1978,0,IF(D1978=0,100,(G1978-D1978)/D1978*100))</f>
        <v>0</v>
      </c>
      <c r="I1978" s="33">
        <f>ROUND(G1978+(G1978*Assumptions!H$5),-3)</f>
        <v>0</v>
      </c>
      <c r="J1978" s="33">
        <f>ROUND(I1978+(I1978*Assumptions!I$5),-3)</f>
        <v>0</v>
      </c>
      <c r="K1978" s="33">
        <f>ROUND(J1978+(J1978*Assumptions!J$5),-3)</f>
        <v>0</v>
      </c>
      <c r="L1978" s="33">
        <f>ROUND(K1978+(K1978*Assumptions!K$5),-3)</f>
        <v>0</v>
      </c>
      <c r="M1978" s="33">
        <f>ROUND(L1978+(L1978*Assumptions!L$5),-3)</f>
        <v>0</v>
      </c>
      <c r="N1978" s="33">
        <f>ROUND(M1978+(M1978*Assumptions!M$5),-3)</f>
        <v>0</v>
      </c>
      <c r="O1978" s="33">
        <f>ROUND(N1978+(N1978*Assumptions!N$5),-3)</f>
        <v>0</v>
      </c>
      <c r="P1978" s="33">
        <f>ROUND(O1978+(O1978*Assumptions!O$5),-3)</f>
        <v>0</v>
      </c>
      <c r="Q1978" s="33">
        <f>ROUND(P1978+(P1978*Assumptions!P$5),-3)</f>
        <v>0</v>
      </c>
      <c r="R1978" s="114">
        <f>ROUND(Q1978+(Q1978*Assumptions!Q$5),-3)</f>
        <v>0</v>
      </c>
    </row>
    <row r="1979" spans="1:18" ht="13.5" thickBot="1" x14ac:dyDescent="0.25">
      <c r="A1979" s="107"/>
      <c r="B1979" s="33"/>
      <c r="C1979" s="33"/>
      <c r="D1979" s="33"/>
      <c r="E1979" s="1954"/>
      <c r="F1979" s="1954"/>
      <c r="G1979" s="76"/>
      <c r="H1979" s="138"/>
      <c r="I1979" s="33"/>
      <c r="J1979" s="33"/>
      <c r="K1979" s="33"/>
      <c r="L1979" s="33"/>
      <c r="M1979" s="33"/>
      <c r="N1979" s="33"/>
      <c r="O1979" s="33"/>
      <c r="P1979" s="33"/>
      <c r="Q1979" s="33"/>
      <c r="R1979" s="114"/>
    </row>
    <row r="1980" spans="1:18" s="92" customFormat="1" x14ac:dyDescent="0.2">
      <c r="A1980" s="105">
        <f>SUM(A1967:A1979)</f>
        <v>6579200</v>
      </c>
      <c r="B1980" s="53">
        <f>SUM(B1967:B1979)</f>
        <v>6736500</v>
      </c>
      <c r="C1980" s="53">
        <f>SUM(C1967:C1979)</f>
        <v>5865100</v>
      </c>
      <c r="D1980" s="53">
        <f>SUM(D1967:D1979)</f>
        <v>6079500</v>
      </c>
      <c r="E1980" s="236"/>
      <c r="F1980" s="236"/>
      <c r="G1980" s="460">
        <f>SUM(G1967:G1979)</f>
        <v>6294500</v>
      </c>
      <c r="H1980" s="180">
        <f>IF(D1980=G1980,0,IF(D1980=0,100,(G1980-D1980)/D1980*100))</f>
        <v>3.5364750390657127</v>
      </c>
      <c r="I1980" s="53">
        <f t="shared" ref="I1980:Q1980" si="1579">SUM(I1967:I1979)</f>
        <v>6417900</v>
      </c>
      <c r="J1980" s="53">
        <f t="shared" si="1579"/>
        <v>6557400</v>
      </c>
      <c r="K1980" s="53">
        <f t="shared" si="1579"/>
        <v>6737000</v>
      </c>
      <c r="L1980" s="53">
        <f t="shared" si="1579"/>
        <v>6922700</v>
      </c>
      <c r="M1980" s="53">
        <f t="shared" si="1579"/>
        <v>7072800</v>
      </c>
      <c r="N1980" s="53">
        <f t="shared" si="1579"/>
        <v>7268200</v>
      </c>
      <c r="O1980" s="53">
        <f t="shared" si="1579"/>
        <v>7469100</v>
      </c>
      <c r="P1980" s="53">
        <f t="shared" si="1579"/>
        <v>7633600</v>
      </c>
      <c r="Q1980" s="53">
        <f t="shared" si="1579"/>
        <v>7844800</v>
      </c>
      <c r="R1980" s="113">
        <f t="shared" ref="R1980" si="1580">SUM(R1967:R1979)</f>
        <v>8041900</v>
      </c>
    </row>
    <row r="1981" spans="1:18" x14ac:dyDescent="0.2">
      <c r="A1981" s="98"/>
      <c r="B1981" s="33"/>
      <c r="C1981" s="33"/>
      <c r="D1981" s="33"/>
      <c r="E1981" s="1954"/>
      <c r="F1981" s="103" t="s">
        <v>2205</v>
      </c>
      <c r="G1981" s="76"/>
      <c r="H1981" s="138"/>
      <c r="I1981" s="33"/>
      <c r="J1981" s="33"/>
      <c r="K1981" s="33"/>
      <c r="L1981" s="33"/>
      <c r="M1981" s="33"/>
      <c r="N1981" s="33"/>
      <c r="O1981" s="33"/>
      <c r="P1981" s="33"/>
      <c r="Q1981" s="33"/>
      <c r="R1981" s="114"/>
    </row>
    <row r="1982" spans="1:18" x14ac:dyDescent="0.2">
      <c r="A1982" s="107"/>
      <c r="B1982" s="33"/>
      <c r="E1982" s="437"/>
      <c r="F1982" s="6" t="s">
        <v>473</v>
      </c>
      <c r="G1982" s="2509"/>
      <c r="H1982" s="138"/>
      <c r="I1982" s="33"/>
      <c r="J1982" s="33"/>
      <c r="K1982" s="33"/>
      <c r="L1982" s="33"/>
      <c r="M1982" s="33"/>
      <c r="N1982" s="33"/>
      <c r="O1982" s="33"/>
      <c r="P1982" s="33"/>
      <c r="Q1982" s="33"/>
      <c r="R1982" s="114"/>
    </row>
    <row r="1983" spans="1:18" x14ac:dyDescent="0.2">
      <c r="A1983" s="107">
        <v>11900</v>
      </c>
      <c r="B1983" s="33">
        <v>15300</v>
      </c>
      <c r="C1983" s="189">
        <v>13900</v>
      </c>
      <c r="D1983" s="189">
        <v>18600</v>
      </c>
      <c r="E1983" s="658" t="s">
        <v>1147</v>
      </c>
      <c r="F1983" s="3" t="s">
        <v>1731</v>
      </c>
      <c r="G1983" s="2509">
        <v>15000</v>
      </c>
      <c r="H1983" s="138">
        <f t="shared" ref="H1983:H1990" si="1581">IF(D1983=G1983,0,IF(D1983=0,100,(G1983-D1983)/D1983*100))</f>
        <v>-19.35483870967742</v>
      </c>
      <c r="I1983" s="33">
        <f>ROUND(G1983+(G1983*Assumptions!H$5),-3)</f>
        <v>15000</v>
      </c>
      <c r="J1983" s="33">
        <f>ROUND(I1983+(I1983*Assumptions!I$5),-3)</f>
        <v>15000</v>
      </c>
      <c r="K1983" s="33">
        <f>ROUND(J1983+(J1983*Assumptions!J$5),-3)</f>
        <v>15000</v>
      </c>
      <c r="L1983" s="33">
        <f>ROUND(K1983+(K1983*Assumptions!K$5),-3)</f>
        <v>15000</v>
      </c>
      <c r="M1983" s="33">
        <f>ROUND(L1983+(L1983*Assumptions!L$5),-3)</f>
        <v>15000</v>
      </c>
      <c r="N1983" s="33">
        <f>ROUND(M1983+(M1983*Assumptions!M$5),-3)</f>
        <v>15000</v>
      </c>
      <c r="O1983" s="33">
        <f>ROUND(N1983+(N1983*Assumptions!N$5),-3)</f>
        <v>15000</v>
      </c>
      <c r="P1983" s="33">
        <f>ROUND(O1983+(O1983*Assumptions!O$5),-3)</f>
        <v>15000</v>
      </c>
      <c r="Q1983" s="33">
        <f>ROUND(P1983+(P1983*Assumptions!P$5),-3)</f>
        <v>15000</v>
      </c>
      <c r="R1983" s="114">
        <f>ROUND(Q1983+(Q1983*Assumptions!Q$5),-3)</f>
        <v>15000</v>
      </c>
    </row>
    <row r="1984" spans="1:18" x14ac:dyDescent="0.2">
      <c r="A1984" s="107">
        <v>125500</v>
      </c>
      <c r="B1984" s="33">
        <v>151700</v>
      </c>
      <c r="C1984" s="189">
        <v>154600</v>
      </c>
      <c r="D1984" s="189">
        <v>138900</v>
      </c>
      <c r="E1984" s="658" t="s">
        <v>1148</v>
      </c>
      <c r="F1984" s="890" t="s">
        <v>3602</v>
      </c>
      <c r="G1984" s="2509">
        <v>143000</v>
      </c>
      <c r="H1984" s="138">
        <f t="shared" si="1581"/>
        <v>2.9517638588912885</v>
      </c>
      <c r="I1984" s="33">
        <f>ROUND(G1984+(G1984*Assumptions!H$5),-3)+30000</f>
        <v>175000</v>
      </c>
      <c r="J1984" s="33">
        <f>ROUND(I1984+(I1984*Assumptions!I$5),-3)</f>
        <v>179000</v>
      </c>
      <c r="K1984" s="33">
        <f>ROUND(J1984+(J1984*Assumptions!J$5),-3)</f>
        <v>183000</v>
      </c>
      <c r="L1984" s="33">
        <f>ROUND(K1984+(K1984*Assumptions!K$5),-3)</f>
        <v>188000</v>
      </c>
      <c r="M1984" s="33">
        <f>ROUND(L1984+(L1984*Assumptions!L$5),-3)</f>
        <v>192000</v>
      </c>
      <c r="N1984" s="33">
        <f>ROUND(M1984+(M1984*Assumptions!M$5),-3)</f>
        <v>196000</v>
      </c>
      <c r="O1984" s="33">
        <f>ROUND(N1984+(N1984*Assumptions!N$5),-3)</f>
        <v>200000</v>
      </c>
      <c r="P1984" s="33">
        <f>ROUND(O1984+(O1984*Assumptions!O$5),-3)</f>
        <v>204000</v>
      </c>
      <c r="Q1984" s="33">
        <f>ROUND(P1984+(P1984*Assumptions!P$5),-3)</f>
        <v>208000</v>
      </c>
      <c r="R1984" s="114">
        <f>ROUND(Q1984+(Q1984*Assumptions!Q$5),-3)</f>
        <v>212000</v>
      </c>
    </row>
    <row r="1985" spans="1:18" x14ac:dyDescent="0.2">
      <c r="A1985" s="107">
        <v>0</v>
      </c>
      <c r="B1985" s="33">
        <v>0</v>
      </c>
      <c r="C1985" s="189">
        <v>0</v>
      </c>
      <c r="D1985" s="189">
        <v>3000</v>
      </c>
      <c r="E1985" s="658" t="s">
        <v>1149</v>
      </c>
      <c r="F1985" s="3" t="s">
        <v>986</v>
      </c>
      <c r="G1985" s="2509">
        <v>3000</v>
      </c>
      <c r="H1985" s="138">
        <f t="shared" si="1581"/>
        <v>0</v>
      </c>
      <c r="I1985" s="33">
        <f>ROUND(G1985+(G1985*Assumptions!H$5),-3)</f>
        <v>3000</v>
      </c>
      <c r="J1985" s="33">
        <f>ROUND(I1985+(I1985*Assumptions!I$5),-3)</f>
        <v>3000</v>
      </c>
      <c r="K1985" s="33">
        <f>ROUND(J1985+(J1985*Assumptions!J$5),-3)</f>
        <v>3000</v>
      </c>
      <c r="L1985" s="33">
        <f>ROUND(K1985+(K1985*Assumptions!K$5),-3)</f>
        <v>3000</v>
      </c>
      <c r="M1985" s="33">
        <f>ROUND(L1985+(L1985*Assumptions!L$5),-3)</f>
        <v>3000</v>
      </c>
      <c r="N1985" s="33">
        <f>ROUND(M1985+(M1985*Assumptions!M$5),-3)</f>
        <v>3000</v>
      </c>
      <c r="O1985" s="33">
        <f>ROUND(N1985+(N1985*Assumptions!N$5),-3)</f>
        <v>3000</v>
      </c>
      <c r="P1985" s="33">
        <f>ROUND(O1985+(O1985*Assumptions!O$5),-3)</f>
        <v>3000</v>
      </c>
      <c r="Q1985" s="33">
        <f>ROUND(P1985+(P1985*Assumptions!P$5),-3)</f>
        <v>3000</v>
      </c>
      <c r="R1985" s="114">
        <f>ROUND(Q1985+(Q1985*Assumptions!Q$5),-3)</f>
        <v>3000</v>
      </c>
    </row>
    <row r="1986" spans="1:18" x14ac:dyDescent="0.2">
      <c r="A1986" s="107">
        <v>3300</v>
      </c>
      <c r="B1986" s="33">
        <v>1500</v>
      </c>
      <c r="C1986" s="189">
        <v>500</v>
      </c>
      <c r="D1986" s="189">
        <v>1100</v>
      </c>
      <c r="E1986" s="658" t="s">
        <v>1658</v>
      </c>
      <c r="F1986" s="890" t="s">
        <v>3264</v>
      </c>
      <c r="G1986" s="2509">
        <v>2000</v>
      </c>
      <c r="H1986" s="138">
        <f t="shared" si="1581"/>
        <v>81.818181818181827</v>
      </c>
      <c r="I1986" s="33">
        <f>ROUND(G1986+(G1986*Assumptions!H$5),-3)</f>
        <v>2000</v>
      </c>
      <c r="J1986" s="33">
        <f>ROUND(I1986+(I1986*Assumptions!I$5),-3)</f>
        <v>2000</v>
      </c>
      <c r="K1986" s="33">
        <f>ROUND(J1986+(J1986*Assumptions!J$5),-3)</f>
        <v>2000</v>
      </c>
      <c r="L1986" s="33">
        <f>ROUND(K1986+(K1986*Assumptions!K$5),-3)</f>
        <v>2000</v>
      </c>
      <c r="M1986" s="33">
        <f>ROUND(L1986+(L1986*Assumptions!L$5),-3)</f>
        <v>2000</v>
      </c>
      <c r="N1986" s="33">
        <f>ROUND(M1986+(M1986*Assumptions!M$5),-3)</f>
        <v>2000</v>
      </c>
      <c r="O1986" s="33">
        <f>ROUND(N1986+(N1986*Assumptions!N$5),-3)</f>
        <v>2000</v>
      </c>
      <c r="P1986" s="33">
        <f>ROUND(O1986+(O1986*Assumptions!O$5),-3)</f>
        <v>2000</v>
      </c>
      <c r="Q1986" s="33">
        <f>ROUND(P1986+(P1986*Assumptions!P$5),-3)</f>
        <v>2000</v>
      </c>
      <c r="R1986" s="114">
        <f>ROUND(Q1986+(Q1986*Assumptions!Q$5),-3)</f>
        <v>2000</v>
      </c>
    </row>
    <row r="1987" spans="1:18" x14ac:dyDescent="0.2">
      <c r="A1987" s="107">
        <v>200</v>
      </c>
      <c r="B1987" s="33">
        <v>2500</v>
      </c>
      <c r="C1987" s="189">
        <v>1700</v>
      </c>
      <c r="D1987" s="189">
        <v>5300</v>
      </c>
      <c r="E1987" s="658" t="s">
        <v>596</v>
      </c>
      <c r="F1987" s="890" t="s">
        <v>575</v>
      </c>
      <c r="G1987" s="2509">
        <v>5000</v>
      </c>
      <c r="H1987" s="138">
        <f t="shared" si="1581"/>
        <v>-5.6603773584905666</v>
      </c>
      <c r="I1987" s="33">
        <f>ROUND(G1987+(G1987*Assumptions!H$5),-3)</f>
        <v>5000</v>
      </c>
      <c r="J1987" s="33">
        <f>ROUND(I1987+(I1987*Assumptions!I$5),-3)</f>
        <v>5000</v>
      </c>
      <c r="K1987" s="33">
        <f>ROUND(J1987+(J1987*Assumptions!J$5),-3)</f>
        <v>5000</v>
      </c>
      <c r="L1987" s="33">
        <f>ROUND(K1987+(K1987*Assumptions!K$5),-3)</f>
        <v>5000</v>
      </c>
      <c r="M1987" s="33">
        <f>ROUND(L1987+(L1987*Assumptions!L$5),-3)</f>
        <v>5000</v>
      </c>
      <c r="N1987" s="33">
        <f>ROUND(M1987+(M1987*Assumptions!M$5),-3)</f>
        <v>5000</v>
      </c>
      <c r="O1987" s="33">
        <f>ROUND(N1987+(N1987*Assumptions!N$5),-3)</f>
        <v>5000</v>
      </c>
      <c r="P1987" s="33">
        <f>ROUND(O1987+(O1987*Assumptions!O$5),-3)</f>
        <v>5000</v>
      </c>
      <c r="Q1987" s="33">
        <f>ROUND(P1987+(P1987*Assumptions!P$5),-3)</f>
        <v>5000</v>
      </c>
      <c r="R1987" s="114">
        <f>ROUND(Q1987+(Q1987*Assumptions!Q$5),-3)</f>
        <v>5000</v>
      </c>
    </row>
    <row r="1988" spans="1:18" x14ac:dyDescent="0.2">
      <c r="A1988" s="107">
        <v>0</v>
      </c>
      <c r="B1988" s="33">
        <v>15000</v>
      </c>
      <c r="C1988" s="189">
        <v>0</v>
      </c>
      <c r="D1988" s="189">
        <v>0</v>
      </c>
      <c r="E1988" s="1092" t="s">
        <v>3539</v>
      </c>
      <c r="F1988" s="890" t="s">
        <v>3558</v>
      </c>
      <c r="G1988" s="2509">
        <v>0</v>
      </c>
      <c r="H1988" s="138">
        <f t="shared" si="1581"/>
        <v>0</v>
      </c>
      <c r="I1988" s="33">
        <f>ROUND(G1988+(G1988*Assumptions!H$5),-3)</f>
        <v>0</v>
      </c>
      <c r="J1988" s="33">
        <f>ROUND(I1988+(I1988*Assumptions!I$5),-3)</f>
        <v>0</v>
      </c>
      <c r="K1988" s="33">
        <f>ROUND(J1988+(J1988*Assumptions!J$5),-3)</f>
        <v>0</v>
      </c>
      <c r="L1988" s="33">
        <f>ROUND(K1988+(K1988*Assumptions!K$5),-3)</f>
        <v>0</v>
      </c>
      <c r="M1988" s="33">
        <f>ROUND(L1988+(L1988*Assumptions!L$5),-3)</f>
        <v>0</v>
      </c>
      <c r="N1988" s="33">
        <f>ROUND(M1988+(M1988*Assumptions!M$5),-3)</f>
        <v>0</v>
      </c>
      <c r="O1988" s="33">
        <f>ROUND(N1988+(N1988*Assumptions!N$5),-3)</f>
        <v>0</v>
      </c>
      <c r="P1988" s="33">
        <f>ROUND(O1988+(O1988*Assumptions!O$5),-3)</f>
        <v>0</v>
      </c>
      <c r="Q1988" s="33">
        <f>ROUND(P1988+(P1988*Assumptions!P$5),-3)</f>
        <v>0</v>
      </c>
      <c r="R1988" s="114">
        <f>ROUND(Q1988+(Q1988*Assumptions!Q$5),-3)</f>
        <v>0</v>
      </c>
    </row>
    <row r="1989" spans="1:18" x14ac:dyDescent="0.2">
      <c r="A1989" s="107">
        <v>1600</v>
      </c>
      <c r="B1989" s="33">
        <v>2500</v>
      </c>
      <c r="C1989" s="189">
        <v>10800</v>
      </c>
      <c r="D1989" s="189">
        <v>38000</v>
      </c>
      <c r="E1989" s="1092" t="s">
        <v>3426</v>
      </c>
      <c r="F1989" s="890" t="s">
        <v>4931</v>
      </c>
      <c r="G1989" s="2509">
        <v>12000</v>
      </c>
      <c r="H1989" s="138">
        <f t="shared" si="1581"/>
        <v>-68.421052631578945</v>
      </c>
      <c r="I1989" s="33">
        <f>ROUND(G1989+(G1989*Assumptions!H$5),-3)</f>
        <v>12000</v>
      </c>
      <c r="J1989" s="33">
        <f>ROUND(I1989+(I1989*Assumptions!I$5),-3)</f>
        <v>12000</v>
      </c>
      <c r="K1989" s="33">
        <f>ROUND(J1989+(J1989*Assumptions!J$5),-3)</f>
        <v>12000</v>
      </c>
      <c r="L1989" s="33">
        <f>ROUND(K1989+(K1989*Assumptions!K$5),-3)</f>
        <v>12000</v>
      </c>
      <c r="M1989" s="33">
        <f>ROUND(L1989+(L1989*Assumptions!L$5),-3)</f>
        <v>12000</v>
      </c>
      <c r="N1989" s="33">
        <f>ROUND(M1989+(M1989*Assumptions!M$5),-3)</f>
        <v>12000</v>
      </c>
      <c r="O1989" s="33">
        <f>ROUND(N1989+(N1989*Assumptions!N$5),-3)</f>
        <v>12000</v>
      </c>
      <c r="P1989" s="33">
        <f>ROUND(O1989+(O1989*Assumptions!O$5),-3)</f>
        <v>12000</v>
      </c>
      <c r="Q1989" s="33">
        <f>ROUND(P1989+(P1989*Assumptions!P$5),-3)</f>
        <v>12000</v>
      </c>
      <c r="R1989" s="114">
        <f>ROUND(Q1989+(Q1989*Assumptions!Q$5),-3)</f>
        <v>12000</v>
      </c>
    </row>
    <row r="1990" spans="1:18" x14ac:dyDescent="0.2">
      <c r="A1990" s="107">
        <v>43300</v>
      </c>
      <c r="B1990" s="33">
        <v>39700</v>
      </c>
      <c r="C1990" s="189">
        <v>45400</v>
      </c>
      <c r="D1990" s="189">
        <v>38100</v>
      </c>
      <c r="E1990" s="658" t="s">
        <v>1599</v>
      </c>
      <c r="F1990" s="890" t="s">
        <v>3315</v>
      </c>
      <c r="G1990" s="2509">
        <v>38000</v>
      </c>
      <c r="H1990" s="138">
        <f t="shared" si="1581"/>
        <v>-0.26246719160104987</v>
      </c>
      <c r="I1990" s="33">
        <f>ROUND(G1990+(G1990*Assumptions!H$5),-3)</f>
        <v>39000</v>
      </c>
      <c r="J1990" s="33">
        <f>ROUND(I1990+(I1990*Assumptions!I$5),-3)</f>
        <v>40000</v>
      </c>
      <c r="K1990" s="33">
        <f>ROUND(J1990+(J1990*Assumptions!J$5),-3)</f>
        <v>41000</v>
      </c>
      <c r="L1990" s="33">
        <f>ROUND(K1990+(K1990*Assumptions!K$5),-3)</f>
        <v>42000</v>
      </c>
      <c r="M1990" s="33">
        <f>ROUND(L1990+(L1990*Assumptions!L$5),-3)</f>
        <v>43000</v>
      </c>
      <c r="N1990" s="33">
        <f>ROUND(M1990+(M1990*Assumptions!M$5),-3)</f>
        <v>44000</v>
      </c>
      <c r="O1990" s="33">
        <f>ROUND(N1990+(N1990*Assumptions!N$5),-3)</f>
        <v>45000</v>
      </c>
      <c r="P1990" s="33">
        <f>ROUND(O1990+(O1990*Assumptions!O$5),-3)</f>
        <v>46000</v>
      </c>
      <c r="Q1990" s="33">
        <f>ROUND(P1990+(P1990*Assumptions!P$5),-3)</f>
        <v>47000</v>
      </c>
      <c r="R1990" s="114">
        <f>ROUND(Q1990+(Q1990*Assumptions!Q$5),-3)</f>
        <v>48000</v>
      </c>
    </row>
    <row r="1991" spans="1:18" x14ac:dyDescent="0.2">
      <c r="A1991" s="107"/>
      <c r="B1991" s="33"/>
      <c r="E1991" s="658"/>
      <c r="F1991" s="6" t="s">
        <v>1663</v>
      </c>
      <c r="G1991" s="2509"/>
      <c r="H1991" s="138"/>
      <c r="I1991" s="33"/>
      <c r="J1991" s="33"/>
      <c r="K1991" s="33"/>
      <c r="L1991" s="33"/>
      <c r="M1991" s="33"/>
      <c r="N1991" s="33"/>
      <c r="O1991" s="33"/>
      <c r="P1991" s="33"/>
      <c r="Q1991" s="33"/>
      <c r="R1991" s="114"/>
    </row>
    <row r="1992" spans="1:18" x14ac:dyDescent="0.2">
      <c r="A1992" s="107">
        <v>387000</v>
      </c>
      <c r="B1992" s="33">
        <v>406000</v>
      </c>
      <c r="C1992" s="189">
        <v>619000</v>
      </c>
      <c r="D1992" s="189">
        <v>630000</v>
      </c>
      <c r="E1992" s="658" t="s">
        <v>1434</v>
      </c>
      <c r="F1992" s="3" t="s">
        <v>1087</v>
      </c>
      <c r="G1992" s="2509">
        <v>637000</v>
      </c>
      <c r="H1992" s="138">
        <f>IF(D1992=G1992,0,IF(D1992=0,100,(G1992-D1992)/D1992*100))</f>
        <v>1.1111111111111112</v>
      </c>
      <c r="I1992" s="33">
        <f>Overheads!I281</f>
        <v>677000</v>
      </c>
      <c r="J1992" s="33">
        <f>ROUND(I1992+(I1992*Assumptions!I$5),-3)</f>
        <v>694000</v>
      </c>
      <c r="K1992" s="33">
        <f>ROUND(J1992+(J1992*Assumptions!J$5),-3)</f>
        <v>711000</v>
      </c>
      <c r="L1992" s="33">
        <f>ROUND(K1992+(K1992*Assumptions!K$5),-3)</f>
        <v>729000</v>
      </c>
      <c r="M1992" s="33">
        <f>ROUND(L1992+(L1992*Assumptions!L$5),-3)</f>
        <v>744000</v>
      </c>
      <c r="N1992" s="33">
        <f>ROUND(M1992+(M1992*Assumptions!M$5),-3)</f>
        <v>759000</v>
      </c>
      <c r="O1992" s="33">
        <f>ROUND(N1992+(N1992*Assumptions!N$5),-3)</f>
        <v>774000</v>
      </c>
      <c r="P1992" s="33">
        <f>ROUND(O1992+(O1992*Assumptions!O$5),-3)</f>
        <v>789000</v>
      </c>
      <c r="Q1992" s="33">
        <f>ROUND(P1992+(P1992*Assumptions!P$5),-3)</f>
        <v>805000</v>
      </c>
      <c r="R1992" s="114">
        <f>ROUND(Q1992+(Q1992*Assumptions!Q$5),-3)</f>
        <v>821000</v>
      </c>
    </row>
    <row r="1993" spans="1:18" x14ac:dyDescent="0.2">
      <c r="A1993" s="98"/>
      <c r="B1993" s="33"/>
      <c r="E1993" s="658"/>
      <c r="F1993" s="2529" t="s">
        <v>4411</v>
      </c>
      <c r="G1993" s="2509"/>
      <c r="H1993" s="138"/>
      <c r="I1993" s="33"/>
      <c r="J1993" s="33"/>
      <c r="K1993" s="33"/>
      <c r="L1993" s="33"/>
      <c r="M1993" s="33"/>
      <c r="N1993" s="33"/>
      <c r="O1993" s="33"/>
      <c r="P1993" s="33"/>
      <c r="Q1993" s="33"/>
      <c r="R1993" s="114"/>
    </row>
    <row r="1994" spans="1:18" x14ac:dyDescent="0.2">
      <c r="A1994" s="107">
        <v>-521200</v>
      </c>
      <c r="B1994" s="33">
        <f>-563200-300</f>
        <v>-563500</v>
      </c>
      <c r="C1994" s="1012">
        <v>-530500</v>
      </c>
      <c r="D1994" s="189">
        <v>-618900</v>
      </c>
      <c r="E1994" s="658" t="s">
        <v>691</v>
      </c>
      <c r="F1994" s="3" t="s">
        <v>1151</v>
      </c>
      <c r="G1994" s="2509">
        <v>-621000</v>
      </c>
      <c r="H1994" s="138">
        <f>IF(D1994=G1994,0,IF(D1994=0,100,(G1994-D1994)/D1994*100))</f>
        <v>0.33931168201648088</v>
      </c>
      <c r="I1994" s="33">
        <f>ROUND(G1994+(G1994*Assumptions!H$5),-3)</f>
        <v>-630000</v>
      </c>
      <c r="J1994" s="33">
        <f>ROUND(I1994+(I1994*Assumptions!I$5),-3)</f>
        <v>-646000</v>
      </c>
      <c r="K1994" s="33">
        <f>ROUND(J1994+(J1994*Assumptions!J$5),-3)</f>
        <v>-662000</v>
      </c>
      <c r="L1994" s="33">
        <f>ROUND(K1994+(K1994*Assumptions!K$5),-3)</f>
        <v>-679000</v>
      </c>
      <c r="M1994" s="33">
        <f>ROUND(L1994+(L1994*Assumptions!L$5),-3)</f>
        <v>-693000</v>
      </c>
      <c r="N1994" s="33">
        <f>ROUND(M1994+(M1994*Assumptions!M$5),-3)</f>
        <v>-707000</v>
      </c>
      <c r="O1994" s="33">
        <f>ROUND(N1994+(N1994*Assumptions!N$5),-3)</f>
        <v>-721000</v>
      </c>
      <c r="P1994" s="33">
        <f>ROUND(O1994+(O1994*Assumptions!O$5),-3)</f>
        <v>-735000</v>
      </c>
      <c r="Q1994" s="33">
        <f>ROUND(P1994+(P1994*Assumptions!P$5),-3)</f>
        <v>-750000</v>
      </c>
      <c r="R1994" s="114">
        <f>ROUND(Q1994+(Q1994*Assumptions!Q$5),-3)</f>
        <v>-765000</v>
      </c>
    </row>
    <row r="1995" spans="1:18" ht="12" customHeight="1" x14ac:dyDescent="0.2">
      <c r="A1995" s="107"/>
      <c r="B1995" s="33"/>
      <c r="E1995" s="437"/>
      <c r="F1995" s="8" t="s">
        <v>4834</v>
      </c>
      <c r="G1995" s="2509"/>
      <c r="H1995" s="138"/>
      <c r="I1995" s="33"/>
      <c r="J1995" s="33"/>
      <c r="K1995" s="33"/>
      <c r="L1995" s="33"/>
      <c r="M1995" s="33"/>
      <c r="N1995" s="33"/>
      <c r="O1995" s="33"/>
      <c r="P1995" s="33"/>
      <c r="Q1995" s="33"/>
      <c r="R1995" s="114"/>
    </row>
    <row r="1996" spans="1:18" ht="12" customHeight="1" x14ac:dyDescent="0.2">
      <c r="A1996" s="107">
        <v>1400</v>
      </c>
      <c r="B1996" s="33">
        <v>5100</v>
      </c>
      <c r="C1996" s="189">
        <f>6000+3000</f>
        <v>9000</v>
      </c>
      <c r="D1996" s="189">
        <v>2900</v>
      </c>
      <c r="E1996" s="658" t="s">
        <v>98</v>
      </c>
      <c r="F1996" s="3" t="s">
        <v>1644</v>
      </c>
      <c r="G1996" s="2509">
        <v>3000</v>
      </c>
      <c r="H1996" s="138">
        <f>IF(D1996=G1996,0,IF(D1996=0,100,(G1996-D1996)/D1996*100))</f>
        <v>3.4482758620689653</v>
      </c>
      <c r="I1996" s="33">
        <f>ROUND(G1996+(G1996*Assumptions!H$5),-3)</f>
        <v>3000</v>
      </c>
      <c r="J1996" s="33">
        <f>ROUND(I1996+(I1996*Assumptions!I$5),-3)</f>
        <v>3000</v>
      </c>
      <c r="K1996" s="33">
        <f>ROUND(J1996+(J1996*Assumptions!J$5),-3)</f>
        <v>3000</v>
      </c>
      <c r="L1996" s="33">
        <f>ROUND(K1996+(K1996*Assumptions!K$5),-3)</f>
        <v>3000</v>
      </c>
      <c r="M1996" s="33">
        <f>ROUND(L1996+(L1996*Assumptions!L$5),-3)</f>
        <v>3000</v>
      </c>
      <c r="N1996" s="33">
        <f>ROUND(M1996+(M1996*Assumptions!M$5),-3)</f>
        <v>3000</v>
      </c>
      <c r="O1996" s="33">
        <f>ROUND(N1996+(N1996*Assumptions!N$5),-3)</f>
        <v>3000</v>
      </c>
      <c r="P1996" s="33">
        <f>ROUND(O1996+(O1996*Assumptions!O$5),-3)</f>
        <v>3000</v>
      </c>
      <c r="Q1996" s="33">
        <f>ROUND(P1996+(P1996*Assumptions!P$5),-3)</f>
        <v>3000</v>
      </c>
      <c r="R1996" s="114">
        <f>ROUND(Q1996+(Q1996*Assumptions!Q$5),-3)</f>
        <v>3000</v>
      </c>
    </row>
    <row r="1997" spans="1:18" ht="12" customHeight="1" x14ac:dyDescent="0.2">
      <c r="A1997" s="107">
        <v>1200</v>
      </c>
      <c r="B1997" s="33">
        <v>0</v>
      </c>
      <c r="C1997" s="189">
        <v>1300</v>
      </c>
      <c r="D1997" s="189">
        <f>2000-2000</f>
        <v>0</v>
      </c>
      <c r="E1997" s="658" t="s">
        <v>1046</v>
      </c>
      <c r="F1997" s="443" t="s">
        <v>917</v>
      </c>
      <c r="G1997" s="198">
        <v>0</v>
      </c>
      <c r="H1997" s="138">
        <f>IF(D1997=G1997,0,IF(D1997=0,100,(G1997-D1997)/D1997*100))</f>
        <v>0</v>
      </c>
      <c r="I1997" s="33">
        <f>ROUND(G1997+(G1997*Assumptions!H$5),-3)</f>
        <v>0</v>
      </c>
      <c r="J1997" s="33">
        <f>ROUND(I1997+(I1997*Assumptions!I$5),-3)</f>
        <v>0</v>
      </c>
      <c r="K1997" s="33">
        <f>ROUND(J1997+(J1997*Assumptions!J$5),-3)</f>
        <v>0</v>
      </c>
      <c r="L1997" s="33">
        <f>ROUND(K1997+(K1997*Assumptions!K$5),-3)</f>
        <v>0</v>
      </c>
      <c r="M1997" s="33">
        <f>ROUND(L1997+(L1997*Assumptions!L$5),-3)</f>
        <v>0</v>
      </c>
      <c r="N1997" s="33">
        <f>ROUND(M1997+(M1997*Assumptions!M$5),-3)</f>
        <v>0</v>
      </c>
      <c r="O1997" s="33">
        <f>ROUND(N1997+(N1997*Assumptions!N$5),-3)</f>
        <v>0</v>
      </c>
      <c r="P1997" s="33">
        <f>ROUND(O1997+(O1997*Assumptions!O$5),-3)</f>
        <v>0</v>
      </c>
      <c r="Q1997" s="33">
        <f>ROUND(P1997+(P1997*Assumptions!P$5),-3)</f>
        <v>0</v>
      </c>
      <c r="R1997" s="114">
        <f>ROUND(Q1997+(Q1997*Assumptions!Q$5),-3)</f>
        <v>0</v>
      </c>
    </row>
    <row r="1998" spans="1:18" x14ac:dyDescent="0.2">
      <c r="A1998" s="107"/>
      <c r="B1998" s="33"/>
      <c r="E1998" s="437"/>
      <c r="F1998" s="439" t="s">
        <v>1130</v>
      </c>
      <c r="G1998" s="198"/>
      <c r="H1998" s="138"/>
      <c r="I1998" s="33"/>
      <c r="J1998" s="33"/>
      <c r="K1998" s="33"/>
      <c r="L1998" s="33"/>
      <c r="M1998" s="33"/>
      <c r="N1998" s="33"/>
      <c r="O1998" s="33"/>
      <c r="P1998" s="33"/>
      <c r="Q1998" s="33"/>
      <c r="R1998" s="114"/>
    </row>
    <row r="1999" spans="1:18" x14ac:dyDescent="0.2">
      <c r="A1999" s="107">
        <v>36500</v>
      </c>
      <c r="B1999" s="33">
        <f>ROUND(SUM('Debt-Gen'!F29:F29),-2)</f>
        <v>27800</v>
      </c>
      <c r="C1999" s="33">
        <v>18200</v>
      </c>
      <c r="D1999" s="33">
        <f>ROUND(SUM('Debt-Gen'!J29:J29),-2)</f>
        <v>8000</v>
      </c>
      <c r="E1999" s="658" t="s">
        <v>1047</v>
      </c>
      <c r="F1999" s="443" t="s">
        <v>224</v>
      </c>
      <c r="G1999" s="198">
        <v>0</v>
      </c>
      <c r="H1999" s="138">
        <f>IF(D1999=G1999,0,IF(D1999=0,100,(G1999-D1999)/D1999*100))</f>
        <v>-100</v>
      </c>
      <c r="I1999" s="33">
        <f>ROUND(SUM('Debt-Gen'!N29:N29),-2)</f>
        <v>0</v>
      </c>
      <c r="J1999" s="33">
        <f>ROUND(SUM('Debt-Gen'!P29:P29),-2)</f>
        <v>0</v>
      </c>
      <c r="K1999" s="33">
        <f>ROUND(SUM('Debt-Gen'!R29:R29),-2)</f>
        <v>0</v>
      </c>
      <c r="L1999" s="33">
        <f>ROUND(SUM('Debt-Gen'!T29:T29),-2)</f>
        <v>0</v>
      </c>
      <c r="M1999" s="33">
        <f>ROUND(SUM('Debt-Gen'!V29:V29),-2)</f>
        <v>0</v>
      </c>
      <c r="N1999" s="33">
        <f>ROUND(SUM('Debt-Gen'!X29:X29),-2)</f>
        <v>0</v>
      </c>
      <c r="O1999" s="33">
        <f>ROUND(SUM('Debt-Gen'!Z29:Z29),-2)</f>
        <v>0</v>
      </c>
      <c r="P1999" s="33">
        <f>ROUND(SUM('Debt-Gen'!AB29:AB29),-2)</f>
        <v>0</v>
      </c>
      <c r="Q1999" s="33">
        <f>ROUND(SUM('Debt-Gen'!AD29:AD29),-2)</f>
        <v>0</v>
      </c>
      <c r="R1999" s="114">
        <f>ROUND(SUM('Debt-Gen'!AF29:AF29),-2)</f>
        <v>0</v>
      </c>
    </row>
    <row r="2000" spans="1:18" x14ac:dyDescent="0.2">
      <c r="A2000" s="107"/>
      <c r="B2000" s="33"/>
      <c r="E2000" s="437"/>
      <c r="F2000" s="439" t="s">
        <v>414</v>
      </c>
      <c r="G2000" s="198"/>
      <c r="H2000" s="138"/>
      <c r="I2000" s="33"/>
      <c r="J2000" s="33"/>
      <c r="K2000" s="33"/>
      <c r="L2000" s="33"/>
      <c r="M2000" s="33"/>
      <c r="N2000" s="33"/>
      <c r="O2000" s="33"/>
      <c r="P2000" s="33"/>
      <c r="Q2000" s="33"/>
      <c r="R2000" s="114"/>
    </row>
    <row r="2001" spans="1:18" x14ac:dyDescent="0.2">
      <c r="A2001" s="107">
        <v>15200</v>
      </c>
      <c r="B2001" s="33">
        <v>0</v>
      </c>
      <c r="C2001" s="189">
        <v>0</v>
      </c>
      <c r="D2001" s="189">
        <v>0</v>
      </c>
      <c r="E2001" s="658" t="s">
        <v>1048</v>
      </c>
      <c r="F2001" s="443" t="s">
        <v>2436</v>
      </c>
      <c r="G2001" s="198">
        <v>0</v>
      </c>
      <c r="H2001" s="138">
        <f t="shared" ref="H2001:H2006" si="1582">IF(D2001=G2001,0,IF(D2001=0,100,(G2001-D2001)/D2001*100))</f>
        <v>0</v>
      </c>
      <c r="I2001" s="33">
        <v>0</v>
      </c>
      <c r="J2001" s="33">
        <v>0</v>
      </c>
      <c r="K2001" s="33">
        <v>0</v>
      </c>
      <c r="L2001" s="33">
        <v>0</v>
      </c>
      <c r="M2001" s="33">
        <v>0</v>
      </c>
      <c r="N2001" s="33">
        <v>0</v>
      </c>
      <c r="O2001" s="33">
        <v>0</v>
      </c>
      <c r="P2001" s="33">
        <v>0</v>
      </c>
      <c r="Q2001" s="33">
        <v>0</v>
      </c>
      <c r="R2001" s="114">
        <v>0</v>
      </c>
    </row>
    <row r="2002" spans="1:18" x14ac:dyDescent="0.2">
      <c r="A2002" s="107">
        <v>307900</v>
      </c>
      <c r="B2002" s="33">
        <v>355100</v>
      </c>
      <c r="C2002" s="189">
        <v>279400</v>
      </c>
      <c r="D2002" s="189">
        <v>330700</v>
      </c>
      <c r="E2002" s="658" t="s">
        <v>1049</v>
      </c>
      <c r="F2002" s="814" t="s">
        <v>3879</v>
      </c>
      <c r="G2002" s="198">
        <v>329000</v>
      </c>
      <c r="H2002" s="138">
        <f t="shared" si="1582"/>
        <v>-0.5140610825521621</v>
      </c>
      <c r="I2002" s="33">
        <f>ROUND(G2002+(G2002*Assumptions!H$5),-3)</f>
        <v>334000</v>
      </c>
      <c r="J2002" s="33">
        <f>ROUND(I2002+(I2002*Assumptions!I$5),-3)</f>
        <v>342000</v>
      </c>
      <c r="K2002" s="33">
        <f>ROUND(J2002+(J2002*Assumptions!J$5),-3)</f>
        <v>351000</v>
      </c>
      <c r="L2002" s="33">
        <f>ROUND(K2002+(K2002*Assumptions!K$5),-3)</f>
        <v>360000</v>
      </c>
      <c r="M2002" s="33">
        <f>ROUND(L2002+(L2002*Assumptions!L$5),-3)</f>
        <v>367000</v>
      </c>
      <c r="N2002" s="33">
        <f>ROUND(M2002+(M2002*Assumptions!M$5),-3)</f>
        <v>374000</v>
      </c>
      <c r="O2002" s="33">
        <f>ROUND(N2002+(N2002*Assumptions!N$5),-3)</f>
        <v>381000</v>
      </c>
      <c r="P2002" s="33">
        <f>ROUND(O2002+(O2002*Assumptions!O$5),-3)</f>
        <v>389000</v>
      </c>
      <c r="Q2002" s="33">
        <f>ROUND(P2002+(P2002*Assumptions!P$5),-3)</f>
        <v>397000</v>
      </c>
      <c r="R2002" s="114">
        <f>ROUND(Q2002+(Q2002*Assumptions!Q$5),-3)</f>
        <v>405000</v>
      </c>
    </row>
    <row r="2003" spans="1:18" x14ac:dyDescent="0.2">
      <c r="A2003" s="107">
        <v>188800</v>
      </c>
      <c r="B2003" s="33">
        <v>164600</v>
      </c>
      <c r="C2003" s="189">
        <v>171700</v>
      </c>
      <c r="D2003" s="189">
        <v>184000</v>
      </c>
      <c r="E2003" s="658" t="s">
        <v>116</v>
      </c>
      <c r="F2003" s="443" t="s">
        <v>2713</v>
      </c>
      <c r="G2003" s="198">
        <v>205000</v>
      </c>
      <c r="H2003" s="138">
        <f t="shared" si="1582"/>
        <v>11.413043478260869</v>
      </c>
      <c r="I2003" s="33">
        <f>ROUND(G2003+(G2003*Assumptions!H$5),-3)</f>
        <v>208000</v>
      </c>
      <c r="J2003" s="33">
        <f>ROUND(I2003+(I2003*Assumptions!I$5),-3)</f>
        <v>213000</v>
      </c>
      <c r="K2003" s="33">
        <f>ROUND(J2003+(J2003*Assumptions!J$5),-3)</f>
        <v>218000</v>
      </c>
      <c r="L2003" s="33">
        <f>ROUND(K2003+(K2003*Assumptions!K$5),-3)</f>
        <v>223000</v>
      </c>
      <c r="M2003" s="33">
        <f>ROUND(L2003+(L2003*Assumptions!L$5),-3)</f>
        <v>227000</v>
      </c>
      <c r="N2003" s="33">
        <f>ROUND(M2003+(M2003*Assumptions!M$5),-3)</f>
        <v>232000</v>
      </c>
      <c r="O2003" s="33">
        <f>ROUND(N2003+(N2003*Assumptions!N$5),-3)</f>
        <v>237000</v>
      </c>
      <c r="P2003" s="33">
        <f>ROUND(O2003+(O2003*Assumptions!O$5),-3)</f>
        <v>242000</v>
      </c>
      <c r="Q2003" s="33">
        <f>ROUND(P2003+(P2003*Assumptions!P$5),-3)</f>
        <v>247000</v>
      </c>
      <c r="R2003" s="114">
        <f>ROUND(Q2003+(Q2003*Assumptions!Q$5),-3)</f>
        <v>252000</v>
      </c>
    </row>
    <row r="2004" spans="1:18" x14ac:dyDescent="0.2">
      <c r="A2004" s="107">
        <v>762100</v>
      </c>
      <c r="B2004" s="142">
        <v>773200</v>
      </c>
      <c r="C2004" s="189">
        <v>1144900</v>
      </c>
      <c r="D2004" s="189">
        <v>1242300</v>
      </c>
      <c r="E2004" s="658" t="s">
        <v>585</v>
      </c>
      <c r="F2004" s="814" t="s">
        <v>5367</v>
      </c>
      <c r="G2004" s="198">
        <v>1157000</v>
      </c>
      <c r="H2004" s="138">
        <f t="shared" si="1582"/>
        <v>-6.8662963857361339</v>
      </c>
      <c r="I2004" s="33">
        <f>ROUND(G2004+(G2004*Assumptions!H$5),-3)</f>
        <v>1174000</v>
      </c>
      <c r="J2004" s="187">
        <f>ROUND(I2004+(I2004*Assumptions!I$5),-3)</f>
        <v>1203000</v>
      </c>
      <c r="K2004" s="187">
        <f>ROUND(J2004+(J2004*Assumptions!J$5),-3)</f>
        <v>1233000</v>
      </c>
      <c r="L2004" s="187">
        <f>ROUND(K2004+(K2004*Assumptions!K$5),-3)</f>
        <v>1264000</v>
      </c>
      <c r="M2004" s="187">
        <f>ROUND(L2004+(L2004*Assumptions!L$5),-3)</f>
        <v>1289000</v>
      </c>
      <c r="N2004" s="187">
        <f>ROUND(M2004+(M2004*Assumptions!M$5),-3)</f>
        <v>1315000</v>
      </c>
      <c r="O2004" s="33">
        <f>ROUND(N2004+(N2004*Assumptions!N$5),-3)</f>
        <v>1341000</v>
      </c>
      <c r="P2004" s="33">
        <f>ROUND(O2004+(O2004*Assumptions!O$5),-3)</f>
        <v>1368000</v>
      </c>
      <c r="Q2004" s="33">
        <f>ROUND(P2004+(P2004*Assumptions!P$5),-3)</f>
        <v>1395000</v>
      </c>
      <c r="R2004" s="114">
        <f>ROUND(Q2004+(Q2004*Assumptions!Q$5),-3)</f>
        <v>1423000</v>
      </c>
    </row>
    <row r="2005" spans="1:18" x14ac:dyDescent="0.2">
      <c r="A2005" s="107">
        <v>8900</v>
      </c>
      <c r="B2005" s="142">
        <v>2500</v>
      </c>
      <c r="C2005" s="189">
        <f>600+800</f>
        <v>1400</v>
      </c>
      <c r="D2005" s="189">
        <v>2100</v>
      </c>
      <c r="E2005" s="658" t="s">
        <v>586</v>
      </c>
      <c r="F2005" s="814" t="s">
        <v>5366</v>
      </c>
      <c r="G2005" s="198">
        <v>1000</v>
      </c>
      <c r="H2005" s="138">
        <f t="shared" si="1582"/>
        <v>-52.380952380952387</v>
      </c>
      <c r="I2005" s="33">
        <f>ROUND(G2005+(G2005*Assumptions!H$5),-3)</f>
        <v>1000</v>
      </c>
      <c r="J2005" s="187">
        <f>ROUND(I2005+(I2005*Assumptions!I$5),-3)</f>
        <v>1000</v>
      </c>
      <c r="K2005" s="187">
        <f>ROUND(J2005+(J2005*Assumptions!J$5),-3)</f>
        <v>1000</v>
      </c>
      <c r="L2005" s="187">
        <f>ROUND(K2005+(K2005*Assumptions!K$5),-3)</f>
        <v>1000</v>
      </c>
      <c r="M2005" s="187">
        <f>ROUND(L2005+(L2005*Assumptions!L$5),-3)</f>
        <v>1000</v>
      </c>
      <c r="N2005" s="187">
        <f>ROUND(M2005+(M2005*Assumptions!M$5),-3)</f>
        <v>1000</v>
      </c>
      <c r="O2005" s="33">
        <f>ROUND(N2005+(N2005*Assumptions!N$5),-3)</f>
        <v>1000</v>
      </c>
      <c r="P2005" s="33">
        <f>ROUND(O2005+(O2005*Assumptions!O$5),-3)</f>
        <v>1000</v>
      </c>
      <c r="Q2005" s="33">
        <f>ROUND(P2005+(P2005*Assumptions!P$5),-3)</f>
        <v>1000</v>
      </c>
      <c r="R2005" s="114">
        <f>ROUND(Q2005+(Q2005*Assumptions!Q$5),-3)</f>
        <v>1000</v>
      </c>
    </row>
    <row r="2006" spans="1:18" x14ac:dyDescent="0.2">
      <c r="A2006" s="107">
        <v>3023700</v>
      </c>
      <c r="B2006" s="189">
        <v>2919400</v>
      </c>
      <c r="C2006" s="189">
        <f>1993200-800</f>
        <v>1992400</v>
      </c>
      <c r="D2006" s="189">
        <v>1832300</v>
      </c>
      <c r="E2006" s="658" t="s">
        <v>921</v>
      </c>
      <c r="F2006" s="814" t="s">
        <v>3880</v>
      </c>
      <c r="G2006" s="198">
        <f>-G1834</f>
        <v>1852000</v>
      </c>
      <c r="H2006" s="138">
        <f t="shared" si="1582"/>
        <v>1.0751514489985263</v>
      </c>
      <c r="I2006" s="33">
        <f t="shared" ref="I2006:Q2006" si="1583">-I1834</f>
        <v>1889000</v>
      </c>
      <c r="J2006" s="33">
        <f t="shared" si="1583"/>
        <v>1936000</v>
      </c>
      <c r="K2006" s="33">
        <f t="shared" si="1583"/>
        <v>1984000</v>
      </c>
      <c r="L2006" s="33">
        <f t="shared" si="1583"/>
        <v>2034000</v>
      </c>
      <c r="M2006" s="33">
        <f t="shared" si="1583"/>
        <v>2085000</v>
      </c>
      <c r="N2006" s="33">
        <f t="shared" si="1583"/>
        <v>2137000</v>
      </c>
      <c r="O2006" s="33">
        <f t="shared" si="1583"/>
        <v>2190000</v>
      </c>
      <c r="P2006" s="33">
        <f t="shared" si="1583"/>
        <v>2245000</v>
      </c>
      <c r="Q2006" s="33">
        <f t="shared" si="1583"/>
        <v>2301000</v>
      </c>
      <c r="R2006" s="114">
        <f t="shared" ref="R2006" si="1584">-R1834</f>
        <v>2359000</v>
      </c>
    </row>
    <row r="2007" spans="1:18" x14ac:dyDescent="0.2">
      <c r="A2007" s="107"/>
      <c r="B2007" s="33"/>
      <c r="E2007" s="658"/>
      <c r="F2007" s="439" t="s">
        <v>2422</v>
      </c>
      <c r="G2007" s="198"/>
      <c r="H2007" s="138"/>
      <c r="I2007" s="33"/>
      <c r="J2007" s="33"/>
      <c r="K2007" s="33"/>
      <c r="L2007" s="33"/>
      <c r="M2007" s="33"/>
      <c r="N2007" s="33"/>
      <c r="O2007" s="33"/>
      <c r="P2007" s="33"/>
      <c r="Q2007" s="33"/>
      <c r="R2007" s="114"/>
    </row>
    <row r="2008" spans="1:18" x14ac:dyDescent="0.2">
      <c r="A2008" s="107">
        <v>350100</v>
      </c>
      <c r="B2008" s="33">
        <v>341000</v>
      </c>
      <c r="C2008" s="189">
        <v>334500</v>
      </c>
      <c r="D2008" s="189">
        <v>497700</v>
      </c>
      <c r="E2008" s="658" t="s">
        <v>709</v>
      </c>
      <c r="F2008" s="443" t="s">
        <v>1185</v>
      </c>
      <c r="G2008" s="198">
        <v>463000</v>
      </c>
      <c r="H2008" s="138">
        <f>IF(D2008=G2008,0,IF(D2008=0,100,(G2008-D2008)/D2008*100))</f>
        <v>-6.9720715290335553</v>
      </c>
      <c r="I2008" s="33">
        <f>ROUND(G2008+(G2008*Assumptions!H$5),-3)</f>
        <v>470000</v>
      </c>
      <c r="J2008" s="33">
        <f>ROUND(I2008+(I2008*Assumptions!I$5),-3)</f>
        <v>482000</v>
      </c>
      <c r="K2008" s="33">
        <f>ROUND(J2008+(J2008*Assumptions!J$5),-3)</f>
        <v>494000</v>
      </c>
      <c r="L2008" s="33">
        <f>ROUND(K2008+(K2008*Assumptions!K$5),-3)</f>
        <v>506000</v>
      </c>
      <c r="M2008" s="33">
        <f>ROUND(L2008+(L2008*Assumptions!L$5),-3)</f>
        <v>516000</v>
      </c>
      <c r="N2008" s="33">
        <f>ROUND(M2008+(M2008*Assumptions!M$5),-3)</f>
        <v>526000</v>
      </c>
      <c r="O2008" s="33">
        <f>ROUND(N2008+(N2008*Assumptions!N$5),-3)</f>
        <v>537000</v>
      </c>
      <c r="P2008" s="33">
        <f>ROUND(O2008+(O2008*Assumptions!O$5),-3)</f>
        <v>548000</v>
      </c>
      <c r="Q2008" s="33">
        <f>ROUND(P2008+(P2008*Assumptions!P$5),-3)</f>
        <v>559000</v>
      </c>
      <c r="R2008" s="114">
        <f>ROUND(Q2008+(Q2008*Assumptions!Q$5),-3)</f>
        <v>570000</v>
      </c>
    </row>
    <row r="2009" spans="1:18" x14ac:dyDescent="0.2">
      <c r="A2009" s="107">
        <v>0</v>
      </c>
      <c r="B2009" s="33">
        <v>0</v>
      </c>
      <c r="C2009" s="189">
        <v>0</v>
      </c>
      <c r="D2009" s="189">
        <v>0</v>
      </c>
      <c r="E2009" s="658" t="s">
        <v>1502</v>
      </c>
      <c r="F2009" s="443" t="s">
        <v>1202</v>
      </c>
      <c r="G2009" s="198">
        <v>2000</v>
      </c>
      <c r="H2009" s="138">
        <f>IF(D2009=G2009,0,IF(D2009=0,100,(G2009-D2009)/D2009*100))</f>
        <v>100</v>
      </c>
      <c r="I2009" s="33">
        <f>ROUND(G2009+(G2009*Assumptions!H$5),-3)</f>
        <v>2000</v>
      </c>
      <c r="J2009" s="33">
        <f>ROUND(I2009+(I2009*Assumptions!I$5),-3)</f>
        <v>2000</v>
      </c>
      <c r="K2009" s="33">
        <f>ROUND(J2009+(J2009*Assumptions!J$5),-3)</f>
        <v>2000</v>
      </c>
      <c r="L2009" s="33">
        <f>ROUND(K2009+(K2009*Assumptions!K$5),-3)</f>
        <v>2000</v>
      </c>
      <c r="M2009" s="33">
        <f>ROUND(L2009+(L2009*Assumptions!L$5),-3)</f>
        <v>2000</v>
      </c>
      <c r="N2009" s="33">
        <f>ROUND(M2009+(M2009*Assumptions!M$5),-3)</f>
        <v>2000</v>
      </c>
      <c r="O2009" s="33">
        <f>ROUND(N2009+(N2009*Assumptions!N$5),-3)</f>
        <v>2000</v>
      </c>
      <c r="P2009" s="33">
        <f>ROUND(O2009+(O2009*Assumptions!O$5),-3)</f>
        <v>2000</v>
      </c>
      <c r="Q2009" s="33">
        <f>ROUND(P2009+(P2009*Assumptions!P$5),-3)</f>
        <v>2000</v>
      </c>
      <c r="R2009" s="114">
        <f>ROUND(Q2009+(Q2009*Assumptions!Q$5),-3)</f>
        <v>2000</v>
      </c>
    </row>
    <row r="2010" spans="1:18" x14ac:dyDescent="0.2">
      <c r="A2010" s="107">
        <v>841500</v>
      </c>
      <c r="B2010" s="33">
        <v>892500</v>
      </c>
      <c r="C2010" s="189">
        <f>984900-600-1900</f>
        <v>982400</v>
      </c>
      <c r="D2010" s="189">
        <v>960800</v>
      </c>
      <c r="E2010" s="658" t="s">
        <v>2897</v>
      </c>
      <c r="F2010" s="443" t="s">
        <v>1203</v>
      </c>
      <c r="G2010" s="198">
        <f>-G1833</f>
        <v>983000</v>
      </c>
      <c r="H2010" s="138">
        <f>IF(D2010=G2010,0,IF(D2010=0,100,(G2010-D2010)/D2010*100))</f>
        <v>2.3105745212323066</v>
      </c>
      <c r="I2010" s="33">
        <f t="shared" ref="I2010:Q2010" si="1585">-I1833</f>
        <v>1003000</v>
      </c>
      <c r="J2010" s="33">
        <f t="shared" si="1585"/>
        <v>1028000</v>
      </c>
      <c r="K2010" s="33">
        <f t="shared" si="1585"/>
        <v>1054000</v>
      </c>
      <c r="L2010" s="33">
        <f t="shared" si="1585"/>
        <v>1080000</v>
      </c>
      <c r="M2010" s="33">
        <f t="shared" si="1585"/>
        <v>1107000</v>
      </c>
      <c r="N2010" s="33">
        <f t="shared" si="1585"/>
        <v>1135000</v>
      </c>
      <c r="O2010" s="33">
        <f t="shared" si="1585"/>
        <v>1163000</v>
      </c>
      <c r="P2010" s="33">
        <f t="shared" si="1585"/>
        <v>1192000</v>
      </c>
      <c r="Q2010" s="33">
        <f t="shared" si="1585"/>
        <v>1222000</v>
      </c>
      <c r="R2010" s="114">
        <f t="shared" ref="R2010" si="1586">-R1833</f>
        <v>1253000</v>
      </c>
    </row>
    <row r="2011" spans="1:18" x14ac:dyDescent="0.2">
      <c r="A2011" s="107">
        <v>18500</v>
      </c>
      <c r="B2011" s="33">
        <v>37300</v>
      </c>
      <c r="C2011" s="189">
        <f>45700+1900</f>
        <v>47600</v>
      </c>
      <c r="D2011" s="189">
        <v>48800</v>
      </c>
      <c r="E2011" s="658" t="s">
        <v>916</v>
      </c>
      <c r="F2011" s="890" t="s">
        <v>3072</v>
      </c>
      <c r="G2011" s="187">
        <v>42000</v>
      </c>
      <c r="H2011" s="138">
        <f>IF(D2011=G2011,0,IF(D2011=0,100,(G2011-D2011)/D2011*100))</f>
        <v>-13.934426229508196</v>
      </c>
      <c r="I2011" s="33">
        <f>ROUND(G2011+(G2011*Assumptions!H$5),-3)</f>
        <v>43000</v>
      </c>
      <c r="J2011" s="33">
        <f>ROUND(I2011+(I2011*Assumptions!I$5),-3)</f>
        <v>44000</v>
      </c>
      <c r="K2011" s="33">
        <f>ROUND(J2011+(J2011*Assumptions!J$5),-3)</f>
        <v>45000</v>
      </c>
      <c r="L2011" s="33">
        <f>ROUND(K2011+(K2011*Assumptions!K$5),-3)</f>
        <v>46000</v>
      </c>
      <c r="M2011" s="33">
        <f>ROUND(L2011+(L2011*Assumptions!L$5),-3)</f>
        <v>47000</v>
      </c>
      <c r="N2011" s="33">
        <f>ROUND(M2011+(M2011*Assumptions!M$5),-3)</f>
        <v>48000</v>
      </c>
      <c r="O2011" s="33">
        <f>ROUND(N2011+(N2011*Assumptions!N$5),-3)</f>
        <v>49000</v>
      </c>
      <c r="P2011" s="33">
        <f>ROUND(O2011+(O2011*Assumptions!O$5),-3)</f>
        <v>50000</v>
      </c>
      <c r="Q2011" s="33">
        <f>ROUND(P2011+(P2011*Assumptions!P$5),-3)</f>
        <v>51000</v>
      </c>
      <c r="R2011" s="114">
        <f>ROUND(Q2011+(Q2011*Assumptions!Q$5),-3)</f>
        <v>52000</v>
      </c>
    </row>
    <row r="2012" spans="1:18" x14ac:dyDescent="0.2">
      <c r="A2012" s="107"/>
      <c r="B2012" s="33"/>
      <c r="E2012" s="658"/>
      <c r="F2012" s="6" t="s">
        <v>508</v>
      </c>
      <c r="G2012" s="187"/>
      <c r="H2012" s="138"/>
      <c r="I2012" s="33"/>
      <c r="J2012" s="33"/>
      <c r="K2012" s="33"/>
      <c r="L2012" s="33"/>
      <c r="M2012" s="33"/>
      <c r="N2012" s="33"/>
      <c r="O2012" s="33"/>
      <c r="P2012" s="33"/>
      <c r="Q2012" s="33"/>
      <c r="R2012" s="114"/>
    </row>
    <row r="2013" spans="1:18" x14ac:dyDescent="0.2">
      <c r="A2013" s="107">
        <v>304700</v>
      </c>
      <c r="B2013" s="33">
        <f>753200-27800-5100-406000</f>
        <v>314300</v>
      </c>
      <c r="C2013" s="189">
        <f>389700</f>
        <v>389700</v>
      </c>
      <c r="D2013" s="189">
        <f>378600-2700</f>
        <v>375900</v>
      </c>
      <c r="E2013" s="658" t="s">
        <v>1028</v>
      </c>
      <c r="F2013" s="3" t="s">
        <v>102</v>
      </c>
      <c r="G2013" s="187">
        <v>395000</v>
      </c>
      <c r="H2013" s="138">
        <f>IF(D2013=G2013,0,IF(D2013=0,100,(G2013-D2013)/D2013*100))</f>
        <v>5.0811386006916734</v>
      </c>
      <c r="I2013" s="33">
        <f>ROUND(G2013+(G2013*Assumptions!H$5),-3)</f>
        <v>401000</v>
      </c>
      <c r="J2013" s="33">
        <f>ROUND(I2013+(I2013*Assumptions!I$5),-3)</f>
        <v>411000</v>
      </c>
      <c r="K2013" s="33">
        <f>ROUND(J2013+(J2013*Assumptions!J$5),-3)</f>
        <v>421000</v>
      </c>
      <c r="L2013" s="33">
        <f>ROUND(K2013+(K2013*Assumptions!K$5),-3)</f>
        <v>432000</v>
      </c>
      <c r="M2013" s="33">
        <f>ROUND(L2013+(L2013*Assumptions!L$5),-3)</f>
        <v>441000</v>
      </c>
      <c r="N2013" s="33">
        <f>ROUND(M2013+(M2013*Assumptions!M$5),-3)</f>
        <v>450000</v>
      </c>
      <c r="O2013" s="33">
        <f>ROUND(N2013+(N2013*Assumptions!N$5),-3)</f>
        <v>459000</v>
      </c>
      <c r="P2013" s="33">
        <f>ROUND(O2013+(O2013*Assumptions!O$5),-3)</f>
        <v>468000</v>
      </c>
      <c r="Q2013" s="33">
        <f>ROUND(P2013+(P2013*Assumptions!P$5),-3)</f>
        <v>477000</v>
      </c>
      <c r="R2013" s="114">
        <f>ROUND(Q2013+(Q2013*Assumptions!Q$5),-3)</f>
        <v>487000</v>
      </c>
    </row>
    <row r="2014" spans="1:18" x14ac:dyDescent="0.2">
      <c r="A2014" s="107"/>
      <c r="B2014" s="33"/>
      <c r="E2014" s="658"/>
      <c r="F2014" s="79" t="str">
        <f>F101</f>
        <v>Non-Cash Expenses</v>
      </c>
      <c r="G2014" s="187"/>
      <c r="H2014" s="138"/>
      <c r="I2014" s="33"/>
      <c r="J2014" s="33"/>
      <c r="K2014" s="33"/>
      <c r="L2014" s="33"/>
      <c r="M2014" s="33"/>
      <c r="N2014" s="33"/>
      <c r="O2014" s="33"/>
      <c r="P2014" s="33"/>
      <c r="Q2014" s="33"/>
      <c r="R2014" s="114"/>
    </row>
    <row r="2015" spans="1:18" x14ac:dyDescent="0.2">
      <c r="A2015" s="107">
        <v>250900</v>
      </c>
      <c r="B2015" s="33">
        <v>179100</v>
      </c>
      <c r="C2015" s="189">
        <v>177200</v>
      </c>
      <c r="D2015" s="189">
        <v>177200</v>
      </c>
      <c r="E2015" s="658" t="s">
        <v>2429</v>
      </c>
      <c r="F2015" s="346" t="s">
        <v>223</v>
      </c>
      <c r="G2015" s="187">
        <v>177000</v>
      </c>
      <c r="H2015" s="138">
        <f>IF(D2015=G2015,0,IF(D2015=0,100,(G2015-D2015)/D2015*100))</f>
        <v>-0.11286681715575619</v>
      </c>
      <c r="I2015" s="33">
        <f>ROUNDUP(G2015+(G2015*Assumptions!H$18),-2)</f>
        <v>180600</v>
      </c>
      <c r="J2015" s="33">
        <f>ROUNDUP(I2015+(I2015*Assumptions!I$18),-2)</f>
        <v>184300</v>
      </c>
      <c r="K2015" s="33">
        <f>ROUNDUP(J2015+(J2015*Assumptions!J$18),-2)</f>
        <v>188000</v>
      </c>
      <c r="L2015" s="33">
        <f>ROUNDUP(K2015+(K2015*Assumptions!K$18),-2)</f>
        <v>191800</v>
      </c>
      <c r="M2015" s="33">
        <f>ROUNDUP(L2015+(L2015*Assumptions!L$18),-2)</f>
        <v>195700</v>
      </c>
      <c r="N2015" s="33">
        <f>ROUNDUP(M2015+(M2015*Assumptions!M$18),-2)</f>
        <v>199700</v>
      </c>
      <c r="O2015" s="33">
        <f>ROUNDUP(N2015+(N2015*Assumptions!N$18),-2)</f>
        <v>203700</v>
      </c>
      <c r="P2015" s="33">
        <f>ROUNDUP(O2015+(O2015*Assumptions!O$18),-2)</f>
        <v>207800</v>
      </c>
      <c r="Q2015" s="33">
        <f>ROUNDUP(P2015+(P2015*Assumptions!P$18),-2)</f>
        <v>212000</v>
      </c>
      <c r="R2015" s="114">
        <f>ROUNDUP(Q2015+(Q2015*Assumptions!Q$18),-2)</f>
        <v>216300</v>
      </c>
    </row>
    <row r="2016" spans="1:18" ht="13.5" thickBot="1" x14ac:dyDescent="0.25">
      <c r="A2016" s="107"/>
      <c r="B2016" s="33"/>
      <c r="C2016" s="33"/>
      <c r="D2016" s="33"/>
      <c r="E2016" s="1955"/>
      <c r="F2016" s="238"/>
      <c r="G2016" s="33"/>
      <c r="H2016" s="138"/>
      <c r="I2016" s="33"/>
      <c r="J2016" s="33"/>
      <c r="K2016" s="33"/>
      <c r="L2016" s="33"/>
      <c r="M2016" s="33"/>
      <c r="N2016" s="33"/>
      <c r="O2016" s="33"/>
      <c r="P2016" s="33"/>
      <c r="Q2016" s="33"/>
      <c r="R2016" s="114"/>
    </row>
    <row r="2017" spans="1:18" s="92" customFormat="1" x14ac:dyDescent="0.2">
      <c r="A2017" s="105">
        <f>SUM(A1981:A2016)</f>
        <v>6163000</v>
      </c>
      <c r="B2017" s="53">
        <f>SUM(B1981:B2016)</f>
        <v>6082600</v>
      </c>
      <c r="C2017" s="53">
        <f>SUM(C1981:C2016)</f>
        <v>5865100</v>
      </c>
      <c r="D2017" s="53">
        <f>SUM(D1981:D2016)</f>
        <v>5916800</v>
      </c>
      <c r="E2017" s="1990"/>
      <c r="F2017" s="112" t="s">
        <v>565</v>
      </c>
      <c r="G2017" s="53">
        <f t="shared" ref="G2017:P2017" si="1587">SUM(G1981:G2016)</f>
        <v>5843000</v>
      </c>
      <c r="H2017" s="180">
        <f>IF(D2017=G2017,0,IF(D2017=0,100,(G2017-D2017)/D2017*100))</f>
        <v>-1.2472958355868038</v>
      </c>
      <c r="I2017" s="53">
        <f t="shared" si="1587"/>
        <v>6006600</v>
      </c>
      <c r="J2017" s="53">
        <f t="shared" si="1587"/>
        <v>6153300</v>
      </c>
      <c r="K2017" s="53">
        <f t="shared" si="1587"/>
        <v>6304000</v>
      </c>
      <c r="L2017" s="53">
        <f t="shared" si="1587"/>
        <v>6459800</v>
      </c>
      <c r="M2017" s="53">
        <f t="shared" si="1587"/>
        <v>6603700</v>
      </c>
      <c r="N2017" s="53">
        <f t="shared" si="1587"/>
        <v>6751700</v>
      </c>
      <c r="O2017" s="53">
        <f t="shared" si="1587"/>
        <v>6901700</v>
      </c>
      <c r="P2017" s="53">
        <f t="shared" si="1587"/>
        <v>7056800</v>
      </c>
      <c r="Q2017" s="53">
        <f t="shared" ref="Q2017" si="1588">SUM(Q1981:Q2016)</f>
        <v>7214000</v>
      </c>
      <c r="R2017" s="113">
        <f t="shared" ref="R2017" si="1589">SUM(R1981:R2016)</f>
        <v>7376300</v>
      </c>
    </row>
    <row r="2018" spans="1:18" x14ac:dyDescent="0.2">
      <c r="A2018" s="107"/>
      <c r="B2018" s="33"/>
      <c r="C2018" s="33"/>
      <c r="D2018" s="33"/>
      <c r="E2018" s="539"/>
      <c r="F2018" s="108"/>
      <c r="G2018" s="33"/>
      <c r="H2018" s="138"/>
      <c r="I2018" s="33"/>
      <c r="J2018" s="33"/>
      <c r="K2018" s="33"/>
      <c r="L2018" s="33"/>
      <c r="M2018" s="33"/>
      <c r="N2018" s="33"/>
      <c r="O2018" s="33"/>
      <c r="P2018" s="33"/>
      <c r="Q2018" s="33"/>
      <c r="R2018" s="114"/>
    </row>
    <row r="2019" spans="1:18" s="92" customFormat="1" x14ac:dyDescent="0.2">
      <c r="A2019" s="70">
        <f>A1980-A2017</f>
        <v>416200</v>
      </c>
      <c r="B2019" s="64">
        <f>B1980-B2017</f>
        <v>653900</v>
      </c>
      <c r="C2019" s="64">
        <f>C1980-C2017</f>
        <v>0</v>
      </c>
      <c r="D2019" s="64">
        <f>D1980-D2017</f>
        <v>162700</v>
      </c>
      <c r="E2019" s="193"/>
      <c r="F2019" s="522" t="s">
        <v>1019</v>
      </c>
      <c r="G2019" s="64">
        <f>G1980-G2017</f>
        <v>451500</v>
      </c>
      <c r="H2019" s="179">
        <f>IF(D2019=G2019,0,IF(D2019=0,100,(G2019-D2019)/D2019*100))</f>
        <v>177.50460971112477</v>
      </c>
      <c r="I2019" s="64">
        <f t="shared" ref="I2019:P2019" si="1590">I1980-I2017</f>
        <v>411300</v>
      </c>
      <c r="J2019" s="64">
        <f t="shared" si="1590"/>
        <v>404100</v>
      </c>
      <c r="K2019" s="64">
        <f t="shared" si="1590"/>
        <v>433000</v>
      </c>
      <c r="L2019" s="64">
        <f t="shared" si="1590"/>
        <v>462900</v>
      </c>
      <c r="M2019" s="64">
        <f t="shared" si="1590"/>
        <v>469100</v>
      </c>
      <c r="N2019" s="64">
        <f t="shared" si="1590"/>
        <v>516500</v>
      </c>
      <c r="O2019" s="64">
        <f t="shared" si="1590"/>
        <v>567400</v>
      </c>
      <c r="P2019" s="64">
        <f t="shared" si="1590"/>
        <v>576800</v>
      </c>
      <c r="Q2019" s="64">
        <f t="shared" ref="Q2019" si="1591">Q1980-Q2017</f>
        <v>630800</v>
      </c>
      <c r="R2019" s="115">
        <f t="shared" ref="R2019" si="1592">R1980-R2017</f>
        <v>665600</v>
      </c>
    </row>
    <row r="2020" spans="1:18" x14ac:dyDescent="0.2">
      <c r="A2020" s="107">
        <f>A2015</f>
        <v>250900</v>
      </c>
      <c r="B2020" s="33">
        <f>B2015</f>
        <v>179100</v>
      </c>
      <c r="C2020" s="33">
        <f>C2015</f>
        <v>177200</v>
      </c>
      <c r="D2020" s="33">
        <f>D2015</f>
        <v>177200</v>
      </c>
      <c r="E2020" s="1955"/>
      <c r="F2020" s="320" t="s">
        <v>1976</v>
      </c>
      <c r="G2020" s="33">
        <f t="shared" ref="G2020:L2020" si="1593">G2015</f>
        <v>177000</v>
      </c>
      <c r="H2020" s="138">
        <f>IF(D2020=G2020,0,IF(D2020=0,100,(G2020-D2020)/D2020*100))</f>
        <v>-0.11286681715575619</v>
      </c>
      <c r="I2020" s="33">
        <f t="shared" si="1593"/>
        <v>180600</v>
      </c>
      <c r="J2020" s="33">
        <f t="shared" si="1593"/>
        <v>184300</v>
      </c>
      <c r="K2020" s="33">
        <f t="shared" si="1593"/>
        <v>188000</v>
      </c>
      <c r="L2020" s="33">
        <f t="shared" si="1593"/>
        <v>191800</v>
      </c>
      <c r="M2020" s="33">
        <f t="shared" ref="M2020:R2020" si="1594">M2015</f>
        <v>195700</v>
      </c>
      <c r="N2020" s="33">
        <f t="shared" si="1594"/>
        <v>199700</v>
      </c>
      <c r="O2020" s="33">
        <f t="shared" si="1594"/>
        <v>203700</v>
      </c>
      <c r="P2020" s="33">
        <f t="shared" si="1594"/>
        <v>207800</v>
      </c>
      <c r="Q2020" s="33">
        <f t="shared" si="1594"/>
        <v>212000</v>
      </c>
      <c r="R2020" s="114">
        <f t="shared" si="1594"/>
        <v>216300</v>
      </c>
    </row>
    <row r="2021" spans="1:18" s="92" customFormat="1" x14ac:dyDescent="0.2">
      <c r="A2021" s="181">
        <f>A2019+A2020</f>
        <v>667100</v>
      </c>
      <c r="B2021" s="397">
        <f>B2019+B2020</f>
        <v>833000</v>
      </c>
      <c r="C2021" s="397">
        <f>C2019+C2020</f>
        <v>177200</v>
      </c>
      <c r="D2021" s="397">
        <f>D2019+D2020</f>
        <v>339900</v>
      </c>
      <c r="E2021" s="523"/>
      <c r="F2021" s="515" t="s">
        <v>1687</v>
      </c>
      <c r="G2021" s="397">
        <f>G2019+G2020</f>
        <v>628500</v>
      </c>
      <c r="H2021" s="395">
        <f>IF(D2021=G2021,0,IF(D2021=0,100,(G2021-D2021)/D2021*100))</f>
        <v>84.907325684024713</v>
      </c>
      <c r="I2021" s="397">
        <f t="shared" ref="I2021:O2021" si="1595">I2019+I2020</f>
        <v>591900</v>
      </c>
      <c r="J2021" s="397">
        <f t="shared" si="1595"/>
        <v>588400</v>
      </c>
      <c r="K2021" s="397">
        <f t="shared" si="1595"/>
        <v>621000</v>
      </c>
      <c r="L2021" s="397">
        <f t="shared" si="1595"/>
        <v>654700</v>
      </c>
      <c r="M2021" s="397">
        <f t="shared" si="1595"/>
        <v>664800</v>
      </c>
      <c r="N2021" s="397">
        <f t="shared" si="1595"/>
        <v>716200</v>
      </c>
      <c r="O2021" s="397">
        <f t="shared" si="1595"/>
        <v>771100</v>
      </c>
      <c r="P2021" s="397">
        <f t="shared" ref="P2021:Q2021" si="1596">P2019+P2020</f>
        <v>784600</v>
      </c>
      <c r="Q2021" s="397">
        <f t="shared" si="1596"/>
        <v>842800</v>
      </c>
      <c r="R2021" s="399">
        <f t="shared" ref="R2021" si="1597">R2019+R2020</f>
        <v>881900</v>
      </c>
    </row>
    <row r="2022" spans="1:18" ht="13.5" thickBot="1" x14ac:dyDescent="0.25">
      <c r="A2022" s="73"/>
      <c r="B2022" s="90"/>
      <c r="C2022" s="90"/>
      <c r="D2022" s="90"/>
      <c r="E2022" s="241"/>
      <c r="F2022" s="360"/>
      <c r="G2022" s="90"/>
      <c r="H2022" s="392"/>
      <c r="I2022" s="121"/>
      <c r="J2022" s="121"/>
      <c r="K2022" s="121"/>
      <c r="L2022" s="121"/>
      <c r="M2022" s="121"/>
      <c r="N2022" s="121"/>
      <c r="O2022" s="121"/>
      <c r="P2022" s="121"/>
      <c r="Q2022" s="121"/>
      <c r="R2022" s="161"/>
    </row>
    <row r="2023" spans="1:18" ht="13.5" thickTop="1" x14ac:dyDescent="0.2">
      <c r="A2023" s="383"/>
      <c r="B2023" s="122"/>
      <c r="C2023" s="162"/>
      <c r="D2023" s="162"/>
      <c r="E2023" s="363"/>
      <c r="F2023" s="1977"/>
      <c r="G2023" s="162"/>
      <c r="H2023" s="505"/>
      <c r="I2023" s="127"/>
      <c r="J2023" s="127"/>
      <c r="K2023" s="127"/>
      <c r="L2023" s="127"/>
      <c r="M2023" s="127"/>
      <c r="N2023" s="127"/>
      <c r="O2023" s="127"/>
      <c r="P2023" s="127"/>
      <c r="Q2023" s="127"/>
      <c r="R2023" s="163"/>
    </row>
    <row r="2024" spans="1:18" x14ac:dyDescent="0.2">
      <c r="A2024" s="70"/>
      <c r="B2024" s="128"/>
      <c r="C2024" s="64"/>
      <c r="D2024" s="64"/>
      <c r="E2024" s="240"/>
      <c r="F2024" s="1962" t="s">
        <v>196</v>
      </c>
      <c r="G2024" s="64"/>
      <c r="H2024" s="179"/>
      <c r="I2024" s="33"/>
      <c r="J2024" s="33"/>
      <c r="K2024" s="33"/>
      <c r="L2024" s="33"/>
      <c r="M2024" s="33"/>
      <c r="N2024" s="33"/>
      <c r="O2024" s="33"/>
      <c r="P2024" s="33"/>
      <c r="Q2024" s="33"/>
      <c r="R2024" s="114"/>
    </row>
    <row r="2025" spans="1:18" x14ac:dyDescent="0.2">
      <c r="A2025" s="107">
        <v>134000</v>
      </c>
      <c r="B2025" s="142">
        <f>ROUND(SUM('Debt-Gen'!E29:E29),-2)</f>
        <v>142800</v>
      </c>
      <c r="C2025" s="142">
        <f>ROUND(SUM('Debt-Gen'!G29:G29),-2)</f>
        <v>152500</v>
      </c>
      <c r="D2025" s="142">
        <f>ROUND(SUM('Debt-Gen'!I29:I29),-2)</f>
        <v>162600</v>
      </c>
      <c r="E2025" s="240"/>
      <c r="F2025" s="1981" t="str">
        <f>F1954</f>
        <v>Less Loan Principal Repayments</v>
      </c>
      <c r="G2025" s="33">
        <f>ROUND(SUM('Debt-Gen'!K29:K29),-2)</f>
        <v>0</v>
      </c>
      <c r="H2025" s="138"/>
      <c r="I2025" s="33">
        <f>ROUND(SUM('Debt-Gen'!M29:M29),-2)</f>
        <v>0</v>
      </c>
      <c r="J2025" s="33">
        <f>ROUND(SUM('Debt-Gen'!O29:O29),-2)</f>
        <v>0</v>
      </c>
      <c r="K2025" s="33">
        <f>ROUND(SUM('Debt-Gen'!Q29:Q29),-2)</f>
        <v>0</v>
      </c>
      <c r="L2025" s="33">
        <f>ROUND(SUM('Debt-Gen'!S29:S29),-2)</f>
        <v>0</v>
      </c>
      <c r="M2025" s="33">
        <f>ROUND(SUM('Debt-Gen'!U29:U29),-2)</f>
        <v>0</v>
      </c>
      <c r="N2025" s="33">
        <f>ROUND(SUM('Debt-Gen'!W29:W29),-2)</f>
        <v>0</v>
      </c>
      <c r="O2025" s="33">
        <f>ROUND(SUM('Debt-Gen'!Y29:Y29),-2)</f>
        <v>0</v>
      </c>
      <c r="P2025" s="33">
        <f>ROUND(SUM('Debt-Gen'!AA29:AA29),-2)</f>
        <v>0</v>
      </c>
      <c r="Q2025" s="33">
        <f>ROUND(SUM('Debt-Gen'!AC29:AC29),-2)</f>
        <v>0</v>
      </c>
      <c r="R2025" s="114">
        <f>ROUND(SUM('Debt-Gen'!AE29:AE29),-2)</f>
        <v>0</v>
      </c>
    </row>
    <row r="2026" spans="1:18" x14ac:dyDescent="0.2">
      <c r="A2026" s="107">
        <v>533100</v>
      </c>
      <c r="B2026" s="142">
        <v>690200</v>
      </c>
      <c r="C2026" s="33">
        <v>25600</v>
      </c>
      <c r="D2026" s="33">
        <f>SUM('Res-Gen'!B238:B239)</f>
        <v>339900</v>
      </c>
      <c r="E2026" s="240"/>
      <c r="F2026" s="1981" t="str">
        <f>F1955</f>
        <v>Less Transfer to Reserves</v>
      </c>
      <c r="G2026" s="33">
        <f>SUM('Res-Gen'!E238:E239)</f>
        <v>628500</v>
      </c>
      <c r="H2026" s="138"/>
      <c r="I2026" s="33">
        <f>SUM('Res-Gen'!H238:H239)</f>
        <v>591900</v>
      </c>
      <c r="J2026" s="33">
        <f>SUM('Res-Gen'!K238:K239)</f>
        <v>588400</v>
      </c>
      <c r="K2026" s="33">
        <f>SUM('Res-Gen'!N238:N239)</f>
        <v>621000</v>
      </c>
      <c r="L2026" s="33">
        <f>SUM('Res-Gen'!Q238:Q239)</f>
        <v>654700</v>
      </c>
      <c r="M2026" s="33">
        <f>SUM('Res-Gen'!T238:T239)</f>
        <v>664800</v>
      </c>
      <c r="N2026" s="33">
        <f>SUM('Res-Gen'!W238:W239)</f>
        <v>716200</v>
      </c>
      <c r="O2026" s="33">
        <f>SUM('Res-Gen'!Z238:Z239)</f>
        <v>771100</v>
      </c>
      <c r="P2026" s="33">
        <f>SUM('Res-Gen'!AC238:AC239)</f>
        <v>784600</v>
      </c>
      <c r="Q2026" s="33">
        <f>SUM('Res-Gen'!AF238:AF239)</f>
        <v>842800</v>
      </c>
      <c r="R2026" s="114">
        <f>SUM('Res-Gen'!AI238:AI239)</f>
        <v>881900</v>
      </c>
    </row>
    <row r="2027" spans="1:18" x14ac:dyDescent="0.2">
      <c r="A2027" s="107">
        <v>0</v>
      </c>
      <c r="B2027" s="142">
        <v>0</v>
      </c>
      <c r="C2027" s="33">
        <v>900</v>
      </c>
      <c r="D2027" s="33">
        <f>SUM('Res-Gen'!C238:C239)</f>
        <v>541900</v>
      </c>
      <c r="E2027" s="240"/>
      <c r="F2027" s="1981" t="str">
        <f>F1956</f>
        <v>Add Transfer from Reserves</v>
      </c>
      <c r="G2027" s="33">
        <f>SUM('Res-Gen'!F238:F239)</f>
        <v>0</v>
      </c>
      <c r="H2027" s="138"/>
      <c r="I2027" s="33">
        <f>SUM('Res-Gen'!I238:I239)</f>
        <v>1500000</v>
      </c>
      <c r="J2027" s="33">
        <f>SUM('Res-Gen'!L238:L239)</f>
        <v>0</v>
      </c>
      <c r="K2027" s="33">
        <f>SUM('Res-Gen'!O238:O239)</f>
        <v>0</v>
      </c>
      <c r="L2027" s="33">
        <f>SUM('Res-Gen'!R238:R239)</f>
        <v>1600000</v>
      </c>
      <c r="M2027" s="33">
        <f>SUM('Res-Gen'!U238:U239)</f>
        <v>0</v>
      </c>
      <c r="N2027" s="33">
        <f>SUM('Res-Gen'!X238:X239)</f>
        <v>0</v>
      </c>
      <c r="O2027" s="33">
        <f>SUM('Res-Gen'!AA238:AA239)</f>
        <v>1700000</v>
      </c>
      <c r="P2027" s="33">
        <f>SUM('Res-Gen'!AD238:AD239)</f>
        <v>0</v>
      </c>
      <c r="Q2027" s="33">
        <f>SUM('Res-Gen'!AG238:AG239)</f>
        <v>0</v>
      </c>
      <c r="R2027" s="114">
        <f>SUM('Res-Gen'!AJ238:AJ239)</f>
        <v>1800000</v>
      </c>
    </row>
    <row r="2028" spans="1:18" x14ac:dyDescent="0.2">
      <c r="A2028" s="107">
        <v>0</v>
      </c>
      <c r="B2028" s="142">
        <v>0</v>
      </c>
      <c r="C2028" s="33">
        <v>0</v>
      </c>
      <c r="D2028" s="33">
        <v>0</v>
      </c>
      <c r="E2028" s="240"/>
      <c r="F2028" s="366" t="str">
        <f>F1957</f>
        <v>Add Capital Income Applied</v>
      </c>
      <c r="G2028" s="99">
        <v>0</v>
      </c>
      <c r="H2028" s="138"/>
      <c r="I2028" s="33">
        <v>0</v>
      </c>
      <c r="J2028" s="33">
        <v>0</v>
      </c>
      <c r="K2028" s="33">
        <v>0</v>
      </c>
      <c r="L2028" s="33">
        <v>0</v>
      </c>
      <c r="M2028" s="33">
        <v>0</v>
      </c>
      <c r="N2028" s="33">
        <v>0</v>
      </c>
      <c r="O2028" s="33">
        <v>0</v>
      </c>
      <c r="P2028" s="33">
        <v>0</v>
      </c>
      <c r="Q2028" s="33">
        <v>0</v>
      </c>
      <c r="R2028" s="114">
        <v>0</v>
      </c>
    </row>
    <row r="2029" spans="1:18" x14ac:dyDescent="0.2">
      <c r="A2029" s="107">
        <v>0</v>
      </c>
      <c r="B2029" s="142">
        <v>0</v>
      </c>
      <c r="C2029" s="33">
        <v>0</v>
      </c>
      <c r="D2029" s="33">
        <f>SUM('Cap-Gen'!E207)</f>
        <v>379300</v>
      </c>
      <c r="E2029" s="240"/>
      <c r="F2029" s="366" t="str">
        <f>F1958</f>
        <v>Less Capital Expenditure</v>
      </c>
      <c r="G2029" s="99">
        <f>SUM('Cap-Gen'!F207)</f>
        <v>0</v>
      </c>
      <c r="H2029" s="138"/>
      <c r="I2029" s="33">
        <f>SUM('Cap-Gen'!G207)</f>
        <v>1500000</v>
      </c>
      <c r="J2029" s="33">
        <f>SUM('Cap-Gen'!H207)</f>
        <v>0</v>
      </c>
      <c r="K2029" s="33">
        <f>SUM('Cap-Gen'!I207)</f>
        <v>0</v>
      </c>
      <c r="L2029" s="33">
        <f>SUM('Cap-Gen'!J207)</f>
        <v>1600000</v>
      </c>
      <c r="M2029" s="33">
        <f>SUM('Cap-Gen'!K207)</f>
        <v>0</v>
      </c>
      <c r="N2029" s="33">
        <f>SUM('Cap-Gen'!L207)</f>
        <v>0</v>
      </c>
      <c r="O2029" s="33">
        <f>SUM('Cap-Gen'!M207)</f>
        <v>1700000</v>
      </c>
      <c r="P2029" s="33">
        <f>SUM('Cap-Gen'!N207)</f>
        <v>0</v>
      </c>
      <c r="Q2029" s="33">
        <f>SUM('Cap-Gen'!O207)</f>
        <v>0</v>
      </c>
      <c r="R2029" s="114">
        <f>SUM('Cap-Gen'!P207)</f>
        <v>1800000</v>
      </c>
    </row>
    <row r="2030" spans="1:18" s="92" customFormat="1" x14ac:dyDescent="0.2">
      <c r="A2030" s="181">
        <f>A2021-A2025-A2026+A2027++A2028-A2029</f>
        <v>0</v>
      </c>
      <c r="B2030" s="377">
        <f>B2021-B2025-B2026+B2027++B2028-B2029</f>
        <v>0</v>
      </c>
      <c r="C2030" s="397">
        <f>C2021-C2025-C2026+C2027++C2028-C2029</f>
        <v>0</v>
      </c>
      <c r="D2030" s="397">
        <f>D2021-D2025-D2026+D2027++D2028-D2029</f>
        <v>0</v>
      </c>
      <c r="E2030" s="532"/>
      <c r="F2030" s="518" t="s">
        <v>2490</v>
      </c>
      <c r="G2030" s="704">
        <f t="shared" ref="G2030:O2030" si="1598">G2021-G2025-G2026+G2027++G2028-G2029</f>
        <v>0</v>
      </c>
      <c r="H2030" s="395">
        <f>IF(D2030=G2030,0,IF(D2030=0,100,(G2030-D2030)/D2030*100))</f>
        <v>0</v>
      </c>
      <c r="I2030" s="397">
        <f t="shared" si="1598"/>
        <v>0</v>
      </c>
      <c r="J2030" s="397">
        <f t="shared" si="1598"/>
        <v>0</v>
      </c>
      <c r="K2030" s="397">
        <f t="shared" si="1598"/>
        <v>0</v>
      </c>
      <c r="L2030" s="397">
        <f t="shared" si="1598"/>
        <v>0</v>
      </c>
      <c r="M2030" s="397">
        <f t="shared" si="1598"/>
        <v>0</v>
      </c>
      <c r="N2030" s="397">
        <f t="shared" si="1598"/>
        <v>0</v>
      </c>
      <c r="O2030" s="397">
        <f t="shared" si="1598"/>
        <v>0</v>
      </c>
      <c r="P2030" s="397">
        <f t="shared" ref="P2030:Q2030" si="1599">P2021-P2025-P2026+P2027++P2028-P2029</f>
        <v>0</v>
      </c>
      <c r="Q2030" s="397">
        <f t="shared" si="1599"/>
        <v>0</v>
      </c>
      <c r="R2030" s="399">
        <f t="shared" ref="R2030" si="1600">R2021-R2025-R2026+R2027++R2028-R2029</f>
        <v>0</v>
      </c>
    </row>
    <row r="2031" spans="1:18" ht="13.5" thickBot="1" x14ac:dyDescent="0.25">
      <c r="A2031" s="73"/>
      <c r="B2031" s="134"/>
      <c r="C2031" s="90"/>
      <c r="D2031" s="90"/>
      <c r="E2031" s="239"/>
      <c r="F2031" s="239"/>
      <c r="G2031" s="120"/>
      <c r="H2031" s="90"/>
      <c r="I2031" s="66"/>
      <c r="J2031" s="66"/>
      <c r="K2031" s="66"/>
      <c r="L2031" s="66"/>
      <c r="M2031" s="66"/>
      <c r="N2031" s="66"/>
      <c r="O2031" s="66"/>
      <c r="P2031" s="66"/>
      <c r="Q2031" s="66"/>
      <c r="R2031" s="165"/>
    </row>
    <row r="2032" spans="1:18" ht="14.25" thickTop="1" thickBot="1" x14ac:dyDescent="0.25">
      <c r="C2032" s="198"/>
      <c r="D2032" s="198"/>
    </row>
    <row r="2033" spans="1:18" s="44" customFormat="1" ht="13.5" thickTop="1" x14ac:dyDescent="0.2">
      <c r="A2033" s="2871" t="s">
        <v>1856</v>
      </c>
      <c r="B2033" s="2860"/>
      <c r="C2033" s="2860"/>
      <c r="D2033" s="2872"/>
      <c r="E2033" s="2097" t="s">
        <v>2663</v>
      </c>
      <c r="F2033" s="2506" t="s">
        <v>2251</v>
      </c>
      <c r="G2033" s="2880" t="s">
        <v>2253</v>
      </c>
      <c r="H2033" s="2881"/>
      <c r="I2033" s="2881"/>
      <c r="J2033" s="2881"/>
      <c r="K2033" s="2881"/>
      <c r="L2033" s="2881"/>
      <c r="M2033" s="2881"/>
      <c r="N2033" s="2881"/>
      <c r="O2033" s="2881"/>
      <c r="P2033" s="2881"/>
      <c r="Q2033" s="2881"/>
      <c r="R2033" s="2882"/>
    </row>
    <row r="2034" spans="1:18" s="23" customFormat="1" ht="13.5" thickBot="1" x14ac:dyDescent="0.25">
      <c r="A2034" s="45" t="str">
        <f>A3</f>
        <v>2012/13</v>
      </c>
      <c r="B2034" s="370" t="str">
        <f>B3</f>
        <v>2013/14</v>
      </c>
      <c r="C2034" s="370" t="str">
        <f>C3</f>
        <v>2014/15</v>
      </c>
      <c r="D2034" s="75" t="str">
        <f>D3</f>
        <v>2015/16</v>
      </c>
      <c r="E2034" s="1965" t="s">
        <v>2664</v>
      </c>
      <c r="F2034" s="42"/>
      <c r="G2034" s="75" t="str">
        <f>G3</f>
        <v>2016/17</v>
      </c>
      <c r="H2034" s="96" t="str">
        <f>H623</f>
        <v xml:space="preserve">% </v>
      </c>
      <c r="I2034" s="1499" t="str">
        <f t="shared" ref="I2034:R2034" si="1601">I3</f>
        <v>2017/18</v>
      </c>
      <c r="J2034" s="218" t="str">
        <f t="shared" si="1601"/>
        <v>2018/19</v>
      </c>
      <c r="K2034" s="209" t="str">
        <f t="shared" si="1601"/>
        <v>2019/20</v>
      </c>
      <c r="L2034" s="218" t="str">
        <f t="shared" si="1601"/>
        <v>2020/21</v>
      </c>
      <c r="M2034" s="209" t="str">
        <f t="shared" si="1601"/>
        <v>2021/22</v>
      </c>
      <c r="N2034" s="218" t="str">
        <f t="shared" si="1601"/>
        <v>2022/23</v>
      </c>
      <c r="O2034" s="218" t="str">
        <f t="shared" si="1601"/>
        <v>2023/24</v>
      </c>
      <c r="P2034" s="218" t="str">
        <f t="shared" si="1601"/>
        <v>2024/25</v>
      </c>
      <c r="Q2034" s="218" t="str">
        <f t="shared" si="1601"/>
        <v>2025/26</v>
      </c>
      <c r="R2034" s="1704" t="str">
        <f t="shared" si="1601"/>
        <v>2026/27</v>
      </c>
    </row>
    <row r="2035" spans="1:18" x14ac:dyDescent="0.2">
      <c r="A2035" s="107"/>
      <c r="B2035" s="33"/>
      <c r="C2035" s="187"/>
      <c r="D2035" s="187"/>
      <c r="E2035" s="240"/>
      <c r="F2035" s="74"/>
      <c r="G2035" s="187"/>
      <c r="H2035" s="138"/>
      <c r="I2035" s="142"/>
      <c r="J2035" s="33"/>
      <c r="K2035" s="33"/>
      <c r="L2035" s="33"/>
      <c r="M2035" s="33"/>
      <c r="N2035" s="33"/>
      <c r="O2035" s="33"/>
      <c r="P2035" s="33"/>
      <c r="Q2035" s="33"/>
      <c r="R2035" s="114"/>
    </row>
    <row r="2036" spans="1:18" x14ac:dyDescent="0.2">
      <c r="A2036" s="107">
        <f>A109</f>
        <v>-1872000</v>
      </c>
      <c r="B2036" s="33">
        <f>B109</f>
        <v>-1744400</v>
      </c>
      <c r="C2036" s="187">
        <f>C109</f>
        <v>-2083400</v>
      </c>
      <c r="D2036" s="187">
        <f>D109</f>
        <v>-2266000</v>
      </c>
      <c r="E2036" s="240"/>
      <c r="F2036" s="78" t="s">
        <v>572</v>
      </c>
      <c r="G2036" s="187">
        <f>G109</f>
        <v>-2280900</v>
      </c>
      <c r="H2036" s="138"/>
      <c r="I2036" s="142">
        <f t="shared" ref="I2036:R2036" si="1602">I109</f>
        <v>-2332500</v>
      </c>
      <c r="J2036" s="33">
        <f t="shared" si="1602"/>
        <v>-2391200</v>
      </c>
      <c r="K2036" s="33">
        <f t="shared" si="1602"/>
        <v>-2451300</v>
      </c>
      <c r="L2036" s="33">
        <f t="shared" si="1602"/>
        <v>-2513000</v>
      </c>
      <c r="M2036" s="33">
        <f t="shared" si="1602"/>
        <v>-2575800</v>
      </c>
      <c r="N2036" s="33">
        <f t="shared" si="1602"/>
        <v>-2640100</v>
      </c>
      <c r="O2036" s="33">
        <f t="shared" si="1602"/>
        <v>-2705900</v>
      </c>
      <c r="P2036" s="33">
        <f t="shared" si="1602"/>
        <v>-2773200</v>
      </c>
      <c r="Q2036" s="33">
        <f t="shared" si="1602"/>
        <v>-2842100</v>
      </c>
      <c r="R2036" s="114">
        <f t="shared" si="1602"/>
        <v>-2913100</v>
      </c>
    </row>
    <row r="2037" spans="1:18" x14ac:dyDescent="0.2">
      <c r="A2037" s="107">
        <f>A169</f>
        <v>-1517000</v>
      </c>
      <c r="B2037" s="33">
        <f>B169</f>
        <v>-1632900</v>
      </c>
      <c r="C2037" s="187">
        <f>C169</f>
        <v>-1879000</v>
      </c>
      <c r="D2037" s="187">
        <f>D169</f>
        <v>-2034100</v>
      </c>
      <c r="E2037" s="240"/>
      <c r="F2037" s="78" t="s">
        <v>3870</v>
      </c>
      <c r="G2037" s="187">
        <f>G169</f>
        <v>-2081700</v>
      </c>
      <c r="H2037" s="138"/>
      <c r="I2037" s="142">
        <f t="shared" ref="I2037:R2037" si="1603">I169</f>
        <v>-2102300</v>
      </c>
      <c r="J2037" s="33">
        <f t="shared" si="1603"/>
        <v>-2157800</v>
      </c>
      <c r="K2037" s="33">
        <f t="shared" si="1603"/>
        <v>-2214800</v>
      </c>
      <c r="L2037" s="33">
        <f t="shared" si="1603"/>
        <v>-2273500</v>
      </c>
      <c r="M2037" s="33">
        <f t="shared" si="1603"/>
        <v>-2324800</v>
      </c>
      <c r="N2037" s="33">
        <f t="shared" si="1603"/>
        <v>-2376500</v>
      </c>
      <c r="O2037" s="33">
        <f t="shared" si="1603"/>
        <v>-2429500</v>
      </c>
      <c r="P2037" s="33">
        <f t="shared" si="1603"/>
        <v>-2483400</v>
      </c>
      <c r="Q2037" s="33">
        <f t="shared" si="1603"/>
        <v>-2525500</v>
      </c>
      <c r="R2037" s="114">
        <f t="shared" si="1603"/>
        <v>-2568500</v>
      </c>
    </row>
    <row r="2038" spans="1:18" x14ac:dyDescent="0.2">
      <c r="A2038" s="107">
        <f>A223</f>
        <v>-355700</v>
      </c>
      <c r="B2038" s="33">
        <f>B223</f>
        <v>-426200</v>
      </c>
      <c r="C2038" s="187">
        <f>C223</f>
        <v>-631000</v>
      </c>
      <c r="D2038" s="187">
        <f>D223</f>
        <v>-380500</v>
      </c>
      <c r="E2038" s="240"/>
      <c r="F2038" s="99" t="s">
        <v>1262</v>
      </c>
      <c r="G2038" s="187">
        <f>G223</f>
        <v>-349300</v>
      </c>
      <c r="H2038" s="138"/>
      <c r="I2038" s="142">
        <f t="shared" ref="I2038:R2038" si="1604">I223</f>
        <v>-369400</v>
      </c>
      <c r="J2038" s="33">
        <f t="shared" si="1604"/>
        <v>-386900</v>
      </c>
      <c r="K2038" s="33">
        <f t="shared" si="1604"/>
        <v>-404900</v>
      </c>
      <c r="L2038" s="33">
        <f t="shared" si="1604"/>
        <v>-423300</v>
      </c>
      <c r="M2038" s="33">
        <f t="shared" si="1604"/>
        <v>-438200</v>
      </c>
      <c r="N2038" s="33">
        <f t="shared" si="1604"/>
        <v>-453500</v>
      </c>
      <c r="O2038" s="33">
        <f t="shared" si="1604"/>
        <v>-469000</v>
      </c>
      <c r="P2038" s="33">
        <f t="shared" si="1604"/>
        <v>-485100</v>
      </c>
      <c r="Q2038" s="33">
        <f t="shared" si="1604"/>
        <v>-501500</v>
      </c>
      <c r="R2038" s="114">
        <f t="shared" si="1604"/>
        <v>-518200</v>
      </c>
    </row>
    <row r="2039" spans="1:18" x14ac:dyDescent="0.2">
      <c r="A2039" s="107">
        <f>A281</f>
        <v>-3391800</v>
      </c>
      <c r="B2039" s="33">
        <f>B281</f>
        <v>-2920100</v>
      </c>
      <c r="C2039" s="187">
        <f>C281</f>
        <v>-3120400</v>
      </c>
      <c r="D2039" s="187">
        <f>D281</f>
        <v>-3416700</v>
      </c>
      <c r="E2039" s="240"/>
      <c r="F2039" s="99" t="s">
        <v>728</v>
      </c>
      <c r="G2039" s="187">
        <f>G281</f>
        <v>-740600</v>
      </c>
      <c r="H2039" s="138"/>
      <c r="I2039" s="142">
        <f t="shared" ref="I2039:R2039" si="1605">I281</f>
        <v>-2441800</v>
      </c>
      <c r="J2039" s="33">
        <f t="shared" si="1605"/>
        <v>-2694000</v>
      </c>
      <c r="K2039" s="33">
        <f t="shared" si="1605"/>
        <v>-2846100</v>
      </c>
      <c r="L2039" s="33">
        <f t="shared" si="1605"/>
        <v>-2886200</v>
      </c>
      <c r="M2039" s="33">
        <f t="shared" si="1605"/>
        <v>-3242100</v>
      </c>
      <c r="N2039" s="33">
        <f t="shared" si="1605"/>
        <v>-3247800</v>
      </c>
      <c r="O2039" s="33">
        <f t="shared" si="1605"/>
        <v>-3253400</v>
      </c>
      <c r="P2039" s="33">
        <f t="shared" si="1605"/>
        <v>-3259900</v>
      </c>
      <c r="Q2039" s="33">
        <f t="shared" si="1605"/>
        <v>-3276200</v>
      </c>
      <c r="R2039" s="114">
        <f t="shared" si="1605"/>
        <v>-3317300</v>
      </c>
    </row>
    <row r="2040" spans="1:18" x14ac:dyDescent="0.2">
      <c r="A2040" s="107">
        <f>A345</f>
        <v>-1009300</v>
      </c>
      <c r="B2040" s="33">
        <f>B345</f>
        <v>-985300</v>
      </c>
      <c r="C2040" s="187">
        <f>C345</f>
        <v>-969000</v>
      </c>
      <c r="D2040" s="187">
        <f>D345</f>
        <v>-884000</v>
      </c>
      <c r="E2040" s="240"/>
      <c r="F2040" s="99" t="s">
        <v>1180</v>
      </c>
      <c r="G2040" s="187">
        <f>G345</f>
        <v>-970800</v>
      </c>
      <c r="H2040" s="138"/>
      <c r="I2040" s="142">
        <f t="shared" ref="I2040:R2040" si="1606">I345</f>
        <v>-1039100</v>
      </c>
      <c r="J2040" s="33">
        <f t="shared" si="1606"/>
        <v>-939000</v>
      </c>
      <c r="K2040" s="33">
        <f t="shared" si="1606"/>
        <v>-1147000</v>
      </c>
      <c r="L2040" s="33">
        <f t="shared" si="1606"/>
        <v>-1062100</v>
      </c>
      <c r="M2040" s="33">
        <f t="shared" si="1606"/>
        <v>-1174400</v>
      </c>
      <c r="N2040" s="33">
        <f t="shared" si="1606"/>
        <v>-1082800</v>
      </c>
      <c r="O2040" s="33">
        <f t="shared" si="1606"/>
        <v>-1199600</v>
      </c>
      <c r="P2040" s="33">
        <f t="shared" si="1606"/>
        <v>-1108300</v>
      </c>
      <c r="Q2040" s="33">
        <f t="shared" si="1606"/>
        <v>-1227300</v>
      </c>
      <c r="R2040" s="114">
        <f t="shared" si="1606"/>
        <v>-1133800</v>
      </c>
    </row>
    <row r="2041" spans="1:18" x14ac:dyDescent="0.2">
      <c r="A2041" s="107">
        <f>A384</f>
        <v>-53000</v>
      </c>
      <c r="B2041" s="33">
        <f>B384</f>
        <v>176200</v>
      </c>
      <c r="C2041" s="187">
        <f>C384</f>
        <v>197300</v>
      </c>
      <c r="D2041" s="187">
        <f>D384</f>
        <v>106000</v>
      </c>
      <c r="E2041" s="240"/>
      <c r="F2041" s="78" t="s">
        <v>3103</v>
      </c>
      <c r="G2041" s="187">
        <f>G384</f>
        <v>61200</v>
      </c>
      <c r="H2041" s="138"/>
      <c r="I2041" s="142">
        <f t="shared" ref="I2041:R2041" si="1607">I384</f>
        <v>0</v>
      </c>
      <c r="J2041" s="33">
        <f t="shared" si="1607"/>
        <v>0</v>
      </c>
      <c r="K2041" s="33">
        <f t="shared" si="1607"/>
        <v>0</v>
      </c>
      <c r="L2041" s="33">
        <f t="shared" si="1607"/>
        <v>0</v>
      </c>
      <c r="M2041" s="33">
        <f t="shared" si="1607"/>
        <v>0</v>
      </c>
      <c r="N2041" s="33">
        <f t="shared" si="1607"/>
        <v>0</v>
      </c>
      <c r="O2041" s="33">
        <f t="shared" si="1607"/>
        <v>0</v>
      </c>
      <c r="P2041" s="33">
        <f t="shared" si="1607"/>
        <v>0</v>
      </c>
      <c r="Q2041" s="33">
        <f t="shared" si="1607"/>
        <v>0</v>
      </c>
      <c r="R2041" s="114">
        <f t="shared" si="1607"/>
        <v>0</v>
      </c>
    </row>
    <row r="2042" spans="1:18" x14ac:dyDescent="0.2">
      <c r="A2042" s="107">
        <f>A457</f>
        <v>-2222800</v>
      </c>
      <c r="B2042" s="33">
        <f>B457</f>
        <v>-2268700</v>
      </c>
      <c r="C2042" s="187">
        <f>C457</f>
        <v>-2367300</v>
      </c>
      <c r="D2042" s="187">
        <f>D457</f>
        <v>-2629800</v>
      </c>
      <c r="E2042" s="240"/>
      <c r="F2042" s="78" t="s">
        <v>500</v>
      </c>
      <c r="G2042" s="187">
        <f>G457</f>
        <v>-3127700</v>
      </c>
      <c r="H2042" s="138"/>
      <c r="I2042" s="142">
        <f t="shared" ref="I2042:R2042" si="1608">I457</f>
        <v>-2922100</v>
      </c>
      <c r="J2042" s="33">
        <f t="shared" si="1608"/>
        <v>-3006000</v>
      </c>
      <c r="K2042" s="33">
        <f t="shared" si="1608"/>
        <v>-3085000</v>
      </c>
      <c r="L2042" s="33">
        <f t="shared" si="1608"/>
        <v>-3166000</v>
      </c>
      <c r="M2042" s="33">
        <f t="shared" si="1608"/>
        <v>-3235300</v>
      </c>
      <c r="N2042" s="33">
        <f t="shared" si="1608"/>
        <v>-3305600</v>
      </c>
      <c r="O2042" s="33">
        <f t="shared" si="1608"/>
        <v>-3377100</v>
      </c>
      <c r="P2042" s="33">
        <f t="shared" si="1608"/>
        <v>-3449900</v>
      </c>
      <c r="Q2042" s="33">
        <f t="shared" si="1608"/>
        <v>-3516100</v>
      </c>
      <c r="R2042" s="114">
        <f t="shared" si="1608"/>
        <v>-3583500</v>
      </c>
    </row>
    <row r="2043" spans="1:18" x14ac:dyDescent="0.2">
      <c r="A2043" s="107">
        <f>A513</f>
        <v>1173300</v>
      </c>
      <c r="B2043" s="33">
        <f>B513</f>
        <v>1220800</v>
      </c>
      <c r="C2043" s="187">
        <f>C513</f>
        <v>1266800</v>
      </c>
      <c r="D2043" s="187">
        <f>D513</f>
        <v>1423800</v>
      </c>
      <c r="E2043" s="240"/>
      <c r="F2043" s="99" t="s">
        <v>381</v>
      </c>
      <c r="G2043" s="187">
        <f>G513</f>
        <v>1132700</v>
      </c>
      <c r="H2043" s="138"/>
      <c r="I2043" s="142">
        <f t="shared" ref="I2043:R2043" si="1609">I513</f>
        <v>1317300</v>
      </c>
      <c r="J2043" s="33">
        <f t="shared" si="1609"/>
        <v>1356400</v>
      </c>
      <c r="K2043" s="33">
        <f t="shared" si="1609"/>
        <v>1391400</v>
      </c>
      <c r="L2043" s="33">
        <f t="shared" si="1609"/>
        <v>1441000</v>
      </c>
      <c r="M2043" s="33">
        <f t="shared" si="1609"/>
        <v>1464300</v>
      </c>
      <c r="N2043" s="33">
        <f t="shared" si="1609"/>
        <v>1499500</v>
      </c>
      <c r="O2043" s="33">
        <f t="shared" si="1609"/>
        <v>1526000</v>
      </c>
      <c r="P2043" s="33">
        <f t="shared" si="1609"/>
        <v>1556400</v>
      </c>
      <c r="Q2043" s="33">
        <f t="shared" si="1609"/>
        <v>1558500</v>
      </c>
      <c r="R2043" s="114">
        <f t="shared" si="1609"/>
        <v>1611100</v>
      </c>
    </row>
    <row r="2044" spans="1:18" x14ac:dyDescent="0.2">
      <c r="A2044" s="107">
        <f>A552</f>
        <v>-149000</v>
      </c>
      <c r="B2044" s="33">
        <f>B552</f>
        <v>-203400</v>
      </c>
      <c r="C2044" s="187">
        <f>C552</f>
        <v>-95100</v>
      </c>
      <c r="D2044" s="187">
        <f>D552</f>
        <v>-157700</v>
      </c>
      <c r="E2044" s="240"/>
      <c r="F2044" s="99" t="s">
        <v>541</v>
      </c>
      <c r="G2044" s="187">
        <f>G552</f>
        <v>-174800</v>
      </c>
      <c r="H2044" s="138"/>
      <c r="I2044" s="142">
        <f t="shared" ref="I2044:R2044" si="1610">I552</f>
        <v>-214200</v>
      </c>
      <c r="J2044" s="33">
        <f t="shared" si="1610"/>
        <v>-220300</v>
      </c>
      <c r="K2044" s="33">
        <f t="shared" si="1610"/>
        <v>-226500</v>
      </c>
      <c r="L2044" s="33">
        <f t="shared" si="1610"/>
        <v>-232800</v>
      </c>
      <c r="M2044" s="33">
        <f t="shared" si="1610"/>
        <v>-237800</v>
      </c>
      <c r="N2044" s="33">
        <f t="shared" si="1610"/>
        <v>-243200</v>
      </c>
      <c r="O2044" s="33">
        <f t="shared" si="1610"/>
        <v>-248800</v>
      </c>
      <c r="P2044" s="33">
        <f t="shared" si="1610"/>
        <v>-254400</v>
      </c>
      <c r="Q2044" s="33">
        <f t="shared" si="1610"/>
        <v>-260000</v>
      </c>
      <c r="R2044" s="114">
        <f t="shared" si="1610"/>
        <v>-265800</v>
      </c>
    </row>
    <row r="2045" spans="1:18" x14ac:dyDescent="0.2">
      <c r="A2045" s="107">
        <f>A607</f>
        <v>340000</v>
      </c>
      <c r="B2045" s="33">
        <f>B607</f>
        <v>306900</v>
      </c>
      <c r="C2045" s="187">
        <f>C607</f>
        <v>76400</v>
      </c>
      <c r="D2045" s="187">
        <f>D607</f>
        <v>173200</v>
      </c>
      <c r="E2045" s="240"/>
      <c r="F2045" s="99" t="s">
        <v>1965</v>
      </c>
      <c r="G2045" s="187">
        <f>G607</f>
        <v>-618400</v>
      </c>
      <c r="H2045" s="138"/>
      <c r="I2045" s="142">
        <f t="shared" ref="I2045:R2045" si="1611">I607</f>
        <v>29000</v>
      </c>
      <c r="J2045" s="33">
        <f t="shared" si="1611"/>
        <v>29500</v>
      </c>
      <c r="K2045" s="33">
        <f t="shared" si="1611"/>
        <v>30100</v>
      </c>
      <c r="L2045" s="33">
        <f t="shared" si="1611"/>
        <v>30700</v>
      </c>
      <c r="M2045" s="33">
        <f t="shared" si="1611"/>
        <v>31200</v>
      </c>
      <c r="N2045" s="33">
        <f t="shared" si="1611"/>
        <v>31700</v>
      </c>
      <c r="O2045" s="33">
        <f t="shared" si="1611"/>
        <v>32100</v>
      </c>
      <c r="P2045" s="33">
        <f t="shared" si="1611"/>
        <v>32600</v>
      </c>
      <c r="Q2045" s="33">
        <f t="shared" si="1611"/>
        <v>33100</v>
      </c>
      <c r="R2045" s="114">
        <f t="shared" si="1611"/>
        <v>33600</v>
      </c>
    </row>
    <row r="2046" spans="1:18" s="474" customFormat="1" x14ac:dyDescent="0.2">
      <c r="A2046" s="107">
        <f>A682</f>
        <v>1283000</v>
      </c>
      <c r="B2046" s="33">
        <f>B682</f>
        <v>1521000</v>
      </c>
      <c r="C2046" s="499">
        <f>C682</f>
        <v>2624100</v>
      </c>
      <c r="D2046" s="499">
        <f>D682</f>
        <v>1547700</v>
      </c>
      <c r="E2046" s="479"/>
      <c r="F2046" s="475" t="s">
        <v>3854</v>
      </c>
      <c r="G2046" s="499">
        <f>G682</f>
        <v>1891000</v>
      </c>
      <c r="H2046" s="138"/>
      <c r="I2046" s="1226">
        <f t="shared" ref="I2046:R2046" si="1612">I682</f>
        <v>1061600</v>
      </c>
      <c r="J2046" s="481">
        <f t="shared" si="1612"/>
        <v>1177400</v>
      </c>
      <c r="K2046" s="481">
        <f t="shared" si="1612"/>
        <v>1254800</v>
      </c>
      <c r="L2046" s="481">
        <f t="shared" si="1612"/>
        <v>1279200</v>
      </c>
      <c r="M2046" s="481">
        <f t="shared" si="1612"/>
        <v>1325600</v>
      </c>
      <c r="N2046" s="481">
        <f t="shared" si="1612"/>
        <v>1372000</v>
      </c>
      <c r="O2046" s="481">
        <f t="shared" si="1612"/>
        <v>1417400</v>
      </c>
      <c r="P2046" s="481">
        <f t="shared" si="1612"/>
        <v>1476800</v>
      </c>
      <c r="Q2046" s="481">
        <f t="shared" si="1612"/>
        <v>1540200</v>
      </c>
      <c r="R2046" s="482">
        <f t="shared" si="1612"/>
        <v>1603600</v>
      </c>
    </row>
    <row r="2047" spans="1:18" s="474" customFormat="1" x14ac:dyDescent="0.2">
      <c r="A2047" s="107">
        <f>A736</f>
        <v>667100</v>
      </c>
      <c r="B2047" s="33">
        <f>B736</f>
        <v>833000</v>
      </c>
      <c r="C2047" s="499">
        <f>C736</f>
        <v>177200</v>
      </c>
      <c r="D2047" s="499">
        <f>D736</f>
        <v>339900</v>
      </c>
      <c r="E2047" s="479"/>
      <c r="F2047" s="475" t="s">
        <v>2807</v>
      </c>
      <c r="G2047" s="499">
        <f>G736</f>
        <v>628500</v>
      </c>
      <c r="H2047" s="138"/>
      <c r="I2047" s="1226">
        <f t="shared" ref="I2047:R2047" si="1613">I736</f>
        <v>591900</v>
      </c>
      <c r="J2047" s="481">
        <f t="shared" si="1613"/>
        <v>588400</v>
      </c>
      <c r="K2047" s="481">
        <f t="shared" si="1613"/>
        <v>621000</v>
      </c>
      <c r="L2047" s="481">
        <f t="shared" si="1613"/>
        <v>654700</v>
      </c>
      <c r="M2047" s="481">
        <f t="shared" si="1613"/>
        <v>664800</v>
      </c>
      <c r="N2047" s="481">
        <f t="shared" si="1613"/>
        <v>716200</v>
      </c>
      <c r="O2047" s="481">
        <f t="shared" si="1613"/>
        <v>771100</v>
      </c>
      <c r="P2047" s="481">
        <f t="shared" si="1613"/>
        <v>784600</v>
      </c>
      <c r="Q2047" s="481">
        <f t="shared" si="1613"/>
        <v>842800</v>
      </c>
      <c r="R2047" s="482">
        <f t="shared" si="1613"/>
        <v>881900</v>
      </c>
    </row>
    <row r="2048" spans="1:18" s="474" customFormat="1" thickBot="1" x14ac:dyDescent="0.25">
      <c r="A2048" s="1232"/>
      <c r="B2048" s="478"/>
      <c r="C2048" s="480"/>
      <c r="D2048" s="480"/>
      <c r="E2048" s="479"/>
      <c r="F2048" s="475"/>
      <c r="G2048" s="480"/>
      <c r="H2048" s="480"/>
      <c r="I2048" s="1226"/>
      <c r="J2048" s="481"/>
      <c r="K2048" s="481"/>
      <c r="L2048" s="481"/>
      <c r="M2048" s="481"/>
      <c r="N2048" s="481"/>
      <c r="O2048" s="481"/>
      <c r="P2048" s="481"/>
      <c r="Q2048" s="481"/>
      <c r="R2048" s="482"/>
    </row>
    <row r="2049" spans="1:18" s="474" customFormat="1" ht="12" x14ac:dyDescent="0.2">
      <c r="A2049" s="1233">
        <f>SUM(A2036:A2048)</f>
        <v>-7107200</v>
      </c>
      <c r="B2049" s="483">
        <f>SUM(B2036:B2048)</f>
        <v>-6123100</v>
      </c>
      <c r="C2049" s="1229">
        <f>SUM(C2036:C2048)</f>
        <v>-6803400</v>
      </c>
      <c r="D2049" s="484">
        <f>SUM(D2036:D2048)</f>
        <v>-8178200</v>
      </c>
      <c r="E2049" s="479"/>
      <c r="F2049" s="2530" t="s">
        <v>366</v>
      </c>
      <c r="G2049" s="1229">
        <f t="shared" ref="G2049:O2049" si="1614">SUM(G2036:G2048)</f>
        <v>-6630800</v>
      </c>
      <c r="H2049" s="498"/>
      <c r="I2049" s="1227">
        <f t="shared" si="1614"/>
        <v>-8421600</v>
      </c>
      <c r="J2049" s="483">
        <f t="shared" si="1614"/>
        <v>-8643500</v>
      </c>
      <c r="K2049" s="483">
        <f t="shared" si="1614"/>
        <v>-9078300</v>
      </c>
      <c r="L2049" s="483">
        <f t="shared" si="1614"/>
        <v>-9151300</v>
      </c>
      <c r="M2049" s="483">
        <f t="shared" si="1614"/>
        <v>-9742500</v>
      </c>
      <c r="N2049" s="483">
        <f t="shared" si="1614"/>
        <v>-9730100</v>
      </c>
      <c r="O2049" s="483">
        <f t="shared" si="1614"/>
        <v>-9936700</v>
      </c>
      <c r="P2049" s="483">
        <f t="shared" ref="P2049:Q2049" si="1615">SUM(P2036:P2048)</f>
        <v>-9963800</v>
      </c>
      <c r="Q2049" s="483">
        <f t="shared" si="1615"/>
        <v>-10174100</v>
      </c>
      <c r="R2049" s="533">
        <f t="shared" ref="R2049" si="1616">SUM(R2036:R2048)</f>
        <v>-10170000</v>
      </c>
    </row>
    <row r="2050" spans="1:18" s="474" customFormat="1" thickBot="1" x14ac:dyDescent="0.25">
      <c r="A2050" s="1235"/>
      <c r="B2050" s="485"/>
      <c r="C2050" s="488"/>
      <c r="D2050" s="488"/>
      <c r="E2050" s="486"/>
      <c r="F2050" s="487"/>
      <c r="G2050" s="488"/>
      <c r="H2050" s="488"/>
      <c r="I2050" s="1234"/>
      <c r="J2050" s="489"/>
      <c r="K2050" s="489"/>
      <c r="L2050" s="489"/>
      <c r="M2050" s="489"/>
      <c r="N2050" s="489"/>
      <c r="O2050" s="489"/>
      <c r="P2050" s="489"/>
      <c r="Q2050" s="489"/>
      <c r="R2050" s="490"/>
    </row>
    <row r="2051" spans="1:18" s="474" customFormat="1" thickTop="1" x14ac:dyDescent="0.2">
      <c r="A2051" s="477"/>
      <c r="B2051" s="477"/>
      <c r="C2051" s="493"/>
      <c r="D2051" s="493"/>
      <c r="E2051" s="491"/>
      <c r="F2051" s="492"/>
      <c r="G2051" s="2613"/>
      <c r="H2051" s="493"/>
      <c r="I2051" s="475"/>
      <c r="J2051" s="475"/>
      <c r="K2051" s="475"/>
      <c r="L2051" s="475"/>
      <c r="M2051" s="475"/>
      <c r="N2051" s="475"/>
      <c r="O2051" s="475"/>
      <c r="P2051" s="475"/>
      <c r="Q2051" s="475"/>
      <c r="R2051" s="475"/>
    </row>
    <row r="2052" spans="1:18" s="474" customFormat="1" thickBot="1" x14ac:dyDescent="0.25">
      <c r="A2052" s="475"/>
      <c r="B2052" s="475"/>
      <c r="C2052" s="476"/>
      <c r="D2052" s="476"/>
      <c r="E2052" s="491"/>
      <c r="F2052" s="494"/>
      <c r="G2052" s="476"/>
      <c r="H2052" s="476"/>
    </row>
    <row r="2053" spans="1:18" s="44" customFormat="1" ht="13.5" thickTop="1" x14ac:dyDescent="0.2">
      <c r="A2053" s="2871" t="s">
        <v>1856</v>
      </c>
      <c r="B2053" s="2860"/>
      <c r="C2053" s="2860"/>
      <c r="D2053" s="2872"/>
      <c r="E2053" s="2097" t="s">
        <v>2663</v>
      </c>
      <c r="F2053" s="2506" t="s">
        <v>2251</v>
      </c>
      <c r="G2053" s="2880" t="s">
        <v>2253</v>
      </c>
      <c r="H2053" s="2881"/>
      <c r="I2053" s="2881"/>
      <c r="J2053" s="2881"/>
      <c r="K2053" s="2881"/>
      <c r="L2053" s="2881"/>
      <c r="M2053" s="2881"/>
      <c r="N2053" s="2881"/>
      <c r="O2053" s="2881"/>
      <c r="P2053" s="2881"/>
      <c r="Q2053" s="2881"/>
      <c r="R2053" s="2882"/>
    </row>
    <row r="2054" spans="1:18" s="497" customFormat="1" ht="12.75" customHeight="1" thickBot="1" x14ac:dyDescent="0.25">
      <c r="A2054" s="1230" t="str">
        <f>A3</f>
        <v>2012/13</v>
      </c>
      <c r="B2054" s="534" t="str">
        <f>B3</f>
        <v>2013/14</v>
      </c>
      <c r="C2054" s="534" t="str">
        <f>C2034</f>
        <v>2014/15</v>
      </c>
      <c r="D2054" s="2417" t="str">
        <f>D2034</f>
        <v>2015/16</v>
      </c>
      <c r="E2054" s="495" t="str">
        <f>E2034</f>
        <v>ACCOUNT</v>
      </c>
      <c r="F2054" s="496"/>
      <c r="G2054" s="2417" t="str">
        <f t="shared" ref="G2054:P2054" si="1617">G2034</f>
        <v>2016/17</v>
      </c>
      <c r="H2054" s="2418" t="str">
        <f t="shared" ref="H2054" si="1618">H2034</f>
        <v xml:space="preserve">% </v>
      </c>
      <c r="I2054" s="2214" t="str">
        <f t="shared" si="1617"/>
        <v>2017/18</v>
      </c>
      <c r="J2054" s="535" t="str">
        <f t="shared" si="1617"/>
        <v>2018/19</v>
      </c>
      <c r="K2054" s="2215" t="str">
        <f t="shared" si="1617"/>
        <v>2019/20</v>
      </c>
      <c r="L2054" s="535" t="str">
        <f t="shared" si="1617"/>
        <v>2020/21</v>
      </c>
      <c r="M2054" s="2215" t="str">
        <f t="shared" si="1617"/>
        <v>2021/22</v>
      </c>
      <c r="N2054" s="535" t="str">
        <f t="shared" si="1617"/>
        <v>2022/23</v>
      </c>
      <c r="O2054" s="535" t="str">
        <f t="shared" si="1617"/>
        <v>2023/24</v>
      </c>
      <c r="P2054" s="535" t="str">
        <f t="shared" si="1617"/>
        <v>2024/25</v>
      </c>
      <c r="Q2054" s="535" t="str">
        <f t="shared" ref="Q2054" si="1619">Q2034</f>
        <v>2025/26</v>
      </c>
      <c r="R2054" s="2216" t="str">
        <f t="shared" ref="R2054" si="1620">R2034</f>
        <v>2026/27</v>
      </c>
    </row>
    <row r="2055" spans="1:18" s="474" customFormat="1" ht="12" x14ac:dyDescent="0.2">
      <c r="A2055" s="1231"/>
      <c r="B2055" s="481"/>
      <c r="C2055" s="499"/>
      <c r="D2055" s="499"/>
      <c r="E2055" s="479"/>
      <c r="F2055" s="477"/>
      <c r="G2055" s="499"/>
      <c r="H2055" s="498"/>
      <c r="I2055" s="1226"/>
      <c r="J2055" s="481"/>
      <c r="K2055" s="481"/>
      <c r="L2055" s="481"/>
      <c r="M2055" s="481"/>
      <c r="N2055" s="481"/>
      <c r="O2055" s="481"/>
      <c r="P2055" s="481"/>
      <c r="Q2055" s="481"/>
      <c r="R2055" s="482"/>
    </row>
    <row r="2056" spans="1:18" s="474" customFormat="1" ht="12" x14ac:dyDescent="0.2">
      <c r="A2056" s="1231">
        <f>A107</f>
        <v>-2063000</v>
      </c>
      <c r="B2056" s="481">
        <f>B107</f>
        <v>-1745100</v>
      </c>
      <c r="C2056" s="499">
        <f>C107</f>
        <v>-2183300</v>
      </c>
      <c r="D2056" s="499">
        <f>D107</f>
        <v>-2367500</v>
      </c>
      <c r="E2056" s="479"/>
      <c r="F2056" s="475" t="str">
        <f t="shared" ref="F2056:F2067" si="1621">F2036</f>
        <v>Engineering Management</v>
      </c>
      <c r="G2056" s="499">
        <f>G107</f>
        <v>-2380900</v>
      </c>
      <c r="H2056" s="498"/>
      <c r="I2056" s="1226">
        <f t="shared" ref="I2056:R2056" si="1622">I107</f>
        <v>-2434500</v>
      </c>
      <c r="J2056" s="481">
        <f t="shared" si="1622"/>
        <v>-2495300</v>
      </c>
      <c r="K2056" s="481">
        <f t="shared" si="1622"/>
        <v>-2557500</v>
      </c>
      <c r="L2056" s="481">
        <f t="shared" si="1622"/>
        <v>-2621400</v>
      </c>
      <c r="M2056" s="481">
        <f t="shared" si="1622"/>
        <v>-2686400</v>
      </c>
      <c r="N2056" s="481">
        <f t="shared" si="1622"/>
        <v>-2753000</v>
      </c>
      <c r="O2056" s="481">
        <f t="shared" si="1622"/>
        <v>-2821100</v>
      </c>
      <c r="P2056" s="481">
        <f t="shared" si="1622"/>
        <v>-2890800</v>
      </c>
      <c r="Q2056" s="481">
        <f t="shared" si="1622"/>
        <v>-2962100</v>
      </c>
      <c r="R2056" s="482">
        <f t="shared" si="1622"/>
        <v>-3035500</v>
      </c>
    </row>
    <row r="2057" spans="1:18" s="474" customFormat="1" ht="12" x14ac:dyDescent="0.2">
      <c r="A2057" s="1231">
        <f>A166</f>
        <v>-2999000</v>
      </c>
      <c r="B2057" s="481">
        <f>B166</f>
        <v>-3454800</v>
      </c>
      <c r="C2057" s="499">
        <f>C166</f>
        <v>-3726400</v>
      </c>
      <c r="D2057" s="499">
        <f>D166</f>
        <v>-3713200</v>
      </c>
      <c r="E2057" s="479"/>
      <c r="F2057" s="475" t="str">
        <f t="shared" si="1621"/>
        <v>Procurement and Building Management</v>
      </c>
      <c r="G2057" s="499">
        <f>G166</f>
        <v>-3686700</v>
      </c>
      <c r="H2057" s="498"/>
      <c r="I2057" s="1226">
        <f t="shared" ref="I2057:R2057" si="1623">I166</f>
        <v>-3739500</v>
      </c>
      <c r="J2057" s="481">
        <f t="shared" si="1623"/>
        <v>-3828000</v>
      </c>
      <c r="K2057" s="481">
        <f t="shared" si="1623"/>
        <v>-3918600</v>
      </c>
      <c r="L2057" s="481">
        <f t="shared" si="1623"/>
        <v>-4011500</v>
      </c>
      <c r="M2057" s="481">
        <f t="shared" si="1623"/>
        <v>-4097700</v>
      </c>
      <c r="N2057" s="481">
        <f t="shared" si="1623"/>
        <v>-4185100</v>
      </c>
      <c r="O2057" s="481">
        <f t="shared" si="1623"/>
        <v>-4274500</v>
      </c>
      <c r="P2057" s="481">
        <f t="shared" si="1623"/>
        <v>-4365400</v>
      </c>
      <c r="Q2057" s="481">
        <f t="shared" si="1623"/>
        <v>-4445400</v>
      </c>
      <c r="R2057" s="482">
        <f t="shared" si="1623"/>
        <v>-4527100</v>
      </c>
    </row>
    <row r="2058" spans="1:18" s="474" customFormat="1" ht="12" x14ac:dyDescent="0.2">
      <c r="A2058" s="1231">
        <f>A220</f>
        <v>-2116700</v>
      </c>
      <c r="B2058" s="481">
        <f>B220</f>
        <v>-2160400</v>
      </c>
      <c r="C2058" s="499">
        <f>C220</f>
        <v>-2051500</v>
      </c>
      <c r="D2058" s="499">
        <f>D220</f>
        <v>-1839300</v>
      </c>
      <c r="E2058" s="479"/>
      <c r="F2058" s="475" t="str">
        <f t="shared" si="1621"/>
        <v>Stormwater and Environmental Protection</v>
      </c>
      <c r="G2058" s="499">
        <f>G220</f>
        <v>-1794300</v>
      </c>
      <c r="H2058" s="498"/>
      <c r="I2058" s="1226">
        <f t="shared" ref="I2058:R2058" si="1624">I220</f>
        <v>-1843400</v>
      </c>
      <c r="J2058" s="481">
        <f t="shared" si="1624"/>
        <v>-1890500</v>
      </c>
      <c r="K2058" s="481">
        <f t="shared" si="1624"/>
        <v>-1938700</v>
      </c>
      <c r="L2058" s="481">
        <f t="shared" si="1624"/>
        <v>-1987900</v>
      </c>
      <c r="M2058" s="481">
        <f t="shared" si="1624"/>
        <v>-2034200</v>
      </c>
      <c r="N2058" s="481">
        <f t="shared" si="1624"/>
        <v>-2081500</v>
      </c>
      <c r="O2058" s="481">
        <f t="shared" si="1624"/>
        <v>-2129700</v>
      </c>
      <c r="P2058" s="481">
        <f t="shared" si="1624"/>
        <v>-2179100</v>
      </c>
      <c r="Q2058" s="481">
        <f t="shared" si="1624"/>
        <v>-2229500</v>
      </c>
      <c r="R2058" s="482">
        <f t="shared" si="1624"/>
        <v>-2280900</v>
      </c>
    </row>
    <row r="2059" spans="1:18" s="474" customFormat="1" ht="12" x14ac:dyDescent="0.2">
      <c r="A2059" s="1231">
        <f>A277</f>
        <v>-15090800</v>
      </c>
      <c r="B2059" s="481">
        <f>B277</f>
        <v>-11919000</v>
      </c>
      <c r="C2059" s="499">
        <f>C277</f>
        <v>-12416300</v>
      </c>
      <c r="D2059" s="499">
        <f>D277</f>
        <v>-9379800</v>
      </c>
      <c r="E2059" s="479"/>
      <c r="F2059" s="475" t="str">
        <f t="shared" si="1621"/>
        <v>Roads and Bridges</v>
      </c>
      <c r="G2059" s="499">
        <f>G277</f>
        <v>-5651000</v>
      </c>
      <c r="H2059" s="498"/>
      <c r="I2059" s="1226">
        <f t="shared" ref="I2059:R2059" si="1625">I277</f>
        <v>-7429100</v>
      </c>
      <c r="J2059" s="481">
        <f t="shared" si="1625"/>
        <v>-7758800</v>
      </c>
      <c r="K2059" s="481">
        <f t="shared" si="1625"/>
        <v>-7988300</v>
      </c>
      <c r="L2059" s="481">
        <f t="shared" si="1625"/>
        <v>-8102600</v>
      </c>
      <c r="M2059" s="481">
        <f t="shared" si="1625"/>
        <v>-8562900</v>
      </c>
      <c r="N2059" s="481">
        <f t="shared" si="1625"/>
        <v>-8675100</v>
      </c>
      <c r="O2059" s="481">
        <f t="shared" si="1625"/>
        <v>-8789300</v>
      </c>
      <c r="P2059" s="481">
        <f t="shared" si="1625"/>
        <v>-8906600</v>
      </c>
      <c r="Q2059" s="481">
        <f t="shared" si="1625"/>
        <v>-9035900</v>
      </c>
      <c r="R2059" s="482">
        <f t="shared" si="1625"/>
        <v>-9192200</v>
      </c>
    </row>
    <row r="2060" spans="1:18" s="474" customFormat="1" ht="12" x14ac:dyDescent="0.2">
      <c r="A2060" s="1231">
        <f>A343</f>
        <v>-1665300</v>
      </c>
      <c r="B2060" s="481">
        <f>B343</f>
        <v>-1054100</v>
      </c>
      <c r="C2060" s="499">
        <f>C343</f>
        <v>-1390300</v>
      </c>
      <c r="D2060" s="499">
        <f>D343</f>
        <v>-1496200</v>
      </c>
      <c r="E2060" s="479"/>
      <c r="F2060" s="475" t="str">
        <f t="shared" si="1621"/>
        <v>Ancillary Transport Services</v>
      </c>
      <c r="G2060" s="499">
        <f>G343</f>
        <v>-1420800</v>
      </c>
      <c r="H2060" s="498"/>
      <c r="I2060" s="1226">
        <f t="shared" ref="I2060:R2060" si="1626">I343</f>
        <v>-1498100</v>
      </c>
      <c r="J2060" s="481">
        <f t="shared" si="1626"/>
        <v>-1407400</v>
      </c>
      <c r="K2060" s="481">
        <f t="shared" si="1626"/>
        <v>-1624900</v>
      </c>
      <c r="L2060" s="481">
        <f t="shared" si="1626"/>
        <v>-1549700</v>
      </c>
      <c r="M2060" s="481">
        <f t="shared" si="1626"/>
        <v>-1671800</v>
      </c>
      <c r="N2060" s="481">
        <f t="shared" si="1626"/>
        <v>-1590300</v>
      </c>
      <c r="O2060" s="481">
        <f t="shared" si="1626"/>
        <v>-1717400</v>
      </c>
      <c r="P2060" s="481">
        <f t="shared" si="1626"/>
        <v>-1636600</v>
      </c>
      <c r="Q2060" s="481">
        <f t="shared" si="1626"/>
        <v>-1766300</v>
      </c>
      <c r="R2060" s="482">
        <f t="shared" si="1626"/>
        <v>-1683700</v>
      </c>
    </row>
    <row r="2061" spans="1:18" s="474" customFormat="1" ht="12" x14ac:dyDescent="0.2">
      <c r="A2061" s="1231">
        <f>A382</f>
        <v>-53000</v>
      </c>
      <c r="B2061" s="481">
        <f>B382</f>
        <v>176200</v>
      </c>
      <c r="C2061" s="499">
        <f>C382</f>
        <v>197300</v>
      </c>
      <c r="D2061" s="499">
        <f>D382</f>
        <v>106000</v>
      </c>
      <c r="E2061" s="479"/>
      <c r="F2061" s="475" t="str">
        <f t="shared" si="1621"/>
        <v>Roads and Maritime Services</v>
      </c>
      <c r="G2061" s="499">
        <f>G382</f>
        <v>61200</v>
      </c>
      <c r="H2061" s="498"/>
      <c r="I2061" s="1226">
        <f t="shared" ref="I2061:R2061" si="1627">I382</f>
        <v>0</v>
      </c>
      <c r="J2061" s="481">
        <f t="shared" si="1627"/>
        <v>0</v>
      </c>
      <c r="K2061" s="481">
        <f t="shared" si="1627"/>
        <v>0</v>
      </c>
      <c r="L2061" s="481">
        <f t="shared" si="1627"/>
        <v>0</v>
      </c>
      <c r="M2061" s="481">
        <f t="shared" si="1627"/>
        <v>0</v>
      </c>
      <c r="N2061" s="481">
        <f t="shared" si="1627"/>
        <v>0</v>
      </c>
      <c r="O2061" s="481">
        <f t="shared" si="1627"/>
        <v>0</v>
      </c>
      <c r="P2061" s="481">
        <f t="shared" si="1627"/>
        <v>0</v>
      </c>
      <c r="Q2061" s="481">
        <f t="shared" si="1627"/>
        <v>0</v>
      </c>
      <c r="R2061" s="482">
        <f t="shared" si="1627"/>
        <v>0</v>
      </c>
    </row>
    <row r="2062" spans="1:18" s="474" customFormat="1" ht="12" x14ac:dyDescent="0.2">
      <c r="A2062" s="1231">
        <f>A454</f>
        <v>-2227800</v>
      </c>
      <c r="B2062" s="481">
        <f>B454</f>
        <v>-2314600</v>
      </c>
      <c r="C2062" s="499">
        <f>C454</f>
        <v>-2473600</v>
      </c>
      <c r="D2062" s="499">
        <f>D454</f>
        <v>-2649400</v>
      </c>
      <c r="E2062" s="479"/>
      <c r="F2062" s="475" t="str">
        <f t="shared" si="1621"/>
        <v>Open Spaces and Reserves</v>
      </c>
      <c r="G2062" s="499">
        <f>G454</f>
        <v>-3149700</v>
      </c>
      <c r="H2062" s="498"/>
      <c r="I2062" s="1226">
        <f t="shared" ref="I2062:R2062" si="1628">I454</f>
        <v>-2944600</v>
      </c>
      <c r="J2062" s="481">
        <f t="shared" si="1628"/>
        <v>-3029000</v>
      </c>
      <c r="K2062" s="481">
        <f t="shared" si="1628"/>
        <v>-3108500</v>
      </c>
      <c r="L2062" s="481">
        <f t="shared" si="1628"/>
        <v>-3190000</v>
      </c>
      <c r="M2062" s="481">
        <f t="shared" si="1628"/>
        <v>-3259800</v>
      </c>
      <c r="N2062" s="481">
        <f t="shared" si="1628"/>
        <v>-3330600</v>
      </c>
      <c r="O2062" s="481">
        <f t="shared" si="1628"/>
        <v>-3402600</v>
      </c>
      <c r="P2062" s="481">
        <f t="shared" si="1628"/>
        <v>-3476000</v>
      </c>
      <c r="Q2062" s="481">
        <f t="shared" si="1628"/>
        <v>-3542800</v>
      </c>
      <c r="R2062" s="482">
        <f t="shared" si="1628"/>
        <v>-3610800</v>
      </c>
    </row>
    <row r="2063" spans="1:18" s="474" customFormat="1" ht="12" x14ac:dyDescent="0.2">
      <c r="A2063" s="1231">
        <f>A511</f>
        <v>44300</v>
      </c>
      <c r="B2063" s="481">
        <f>B511</f>
        <v>66000</v>
      </c>
      <c r="C2063" s="499">
        <f>C511</f>
        <v>286000</v>
      </c>
      <c r="D2063" s="499">
        <f>D511</f>
        <v>498500</v>
      </c>
      <c r="E2063" s="479"/>
      <c r="F2063" s="475" t="str">
        <f t="shared" si="1621"/>
        <v>Fleet Management and Workshop</v>
      </c>
      <c r="G2063" s="499">
        <f>G511</f>
        <v>212700</v>
      </c>
      <c r="H2063" s="498"/>
      <c r="I2063" s="1226">
        <f t="shared" ref="I2063:R2063" si="1629">I511</f>
        <v>378900</v>
      </c>
      <c r="J2063" s="481">
        <f t="shared" si="1629"/>
        <v>399200</v>
      </c>
      <c r="K2063" s="481">
        <f t="shared" si="1629"/>
        <v>415000</v>
      </c>
      <c r="L2063" s="481">
        <f t="shared" si="1629"/>
        <v>445000</v>
      </c>
      <c r="M2063" s="481">
        <f t="shared" si="1629"/>
        <v>448300</v>
      </c>
      <c r="N2063" s="481">
        <f t="shared" si="1629"/>
        <v>463100</v>
      </c>
      <c r="O2063" s="481">
        <f t="shared" si="1629"/>
        <v>468800</v>
      </c>
      <c r="P2063" s="481">
        <f t="shared" si="1629"/>
        <v>478000</v>
      </c>
      <c r="Q2063" s="481">
        <f t="shared" si="1629"/>
        <v>458500</v>
      </c>
      <c r="R2063" s="482">
        <f t="shared" si="1629"/>
        <v>489100</v>
      </c>
    </row>
    <row r="2064" spans="1:18" s="474" customFormat="1" ht="12" x14ac:dyDescent="0.2">
      <c r="A2064" s="1231">
        <f>A550</f>
        <v>-158000</v>
      </c>
      <c r="B2064" s="481">
        <f>B550</f>
        <v>-203400</v>
      </c>
      <c r="C2064" s="499">
        <f>C550</f>
        <v>-95100</v>
      </c>
      <c r="D2064" s="499">
        <f>D550</f>
        <v>-157700</v>
      </c>
      <c r="E2064" s="479"/>
      <c r="F2064" s="475" t="str">
        <f t="shared" si="1621"/>
        <v>Rural Fire Service</v>
      </c>
      <c r="G2064" s="499">
        <f>G550</f>
        <v>-174800</v>
      </c>
      <c r="H2064" s="498"/>
      <c r="I2064" s="1226">
        <f t="shared" ref="I2064:R2064" si="1630">I550</f>
        <v>-214200</v>
      </c>
      <c r="J2064" s="481">
        <f t="shared" si="1630"/>
        <v>-220300</v>
      </c>
      <c r="K2064" s="481">
        <f t="shared" si="1630"/>
        <v>-226500</v>
      </c>
      <c r="L2064" s="481">
        <f t="shared" si="1630"/>
        <v>-232800</v>
      </c>
      <c r="M2064" s="481">
        <f t="shared" si="1630"/>
        <v>-237800</v>
      </c>
      <c r="N2064" s="481">
        <f t="shared" si="1630"/>
        <v>-243200</v>
      </c>
      <c r="O2064" s="481">
        <f t="shared" si="1630"/>
        <v>-248800</v>
      </c>
      <c r="P2064" s="481">
        <f t="shared" si="1630"/>
        <v>-254400</v>
      </c>
      <c r="Q2064" s="481">
        <f t="shared" si="1630"/>
        <v>-260000</v>
      </c>
      <c r="R2064" s="482">
        <f t="shared" si="1630"/>
        <v>-265800</v>
      </c>
    </row>
    <row r="2065" spans="1:18" s="474" customFormat="1" ht="12" x14ac:dyDescent="0.2">
      <c r="A2065" s="1231">
        <f>A603</f>
        <v>193000</v>
      </c>
      <c r="B2065" s="481">
        <f>B603</f>
        <v>177100</v>
      </c>
      <c r="C2065" s="499">
        <f>C603</f>
        <v>247900</v>
      </c>
      <c r="D2065" s="499">
        <f>D603</f>
        <v>188800</v>
      </c>
      <c r="E2065" s="479"/>
      <c r="F2065" s="475" t="str">
        <f t="shared" si="1621"/>
        <v>Quarries and Sandpit</v>
      </c>
      <c r="G2065" s="499">
        <f>G603</f>
        <v>-674100</v>
      </c>
      <c r="H2065" s="498"/>
      <c r="I2065" s="1226">
        <f t="shared" ref="I2065:R2065" si="1631">I603</f>
        <v>-28500</v>
      </c>
      <c r="J2065" s="481">
        <f t="shared" si="1631"/>
        <v>-300</v>
      </c>
      <c r="K2065" s="481">
        <f t="shared" si="1631"/>
        <v>-700</v>
      </c>
      <c r="L2065" s="481">
        <f t="shared" si="1631"/>
        <v>-1100</v>
      </c>
      <c r="M2065" s="481">
        <f t="shared" si="1631"/>
        <v>-1700</v>
      </c>
      <c r="N2065" s="481">
        <f t="shared" si="1631"/>
        <v>-2200</v>
      </c>
      <c r="O2065" s="481">
        <f t="shared" si="1631"/>
        <v>-2900</v>
      </c>
      <c r="P2065" s="481">
        <f t="shared" si="1631"/>
        <v>-3600</v>
      </c>
      <c r="Q2065" s="481">
        <f t="shared" si="1631"/>
        <v>-4300</v>
      </c>
      <c r="R2065" s="482">
        <f t="shared" si="1631"/>
        <v>-5000</v>
      </c>
    </row>
    <row r="2066" spans="1:18" s="474" customFormat="1" ht="12" x14ac:dyDescent="0.2">
      <c r="A2066" s="1231">
        <f>A680</f>
        <v>-254600</v>
      </c>
      <c r="B2066" s="481">
        <f>B680</f>
        <v>226400</v>
      </c>
      <c r="C2066" s="499">
        <f>C680</f>
        <v>1346300</v>
      </c>
      <c r="D2066" s="499">
        <f>D680</f>
        <v>300200</v>
      </c>
      <c r="E2066" s="479"/>
      <c r="F2066" s="475" t="str">
        <f t="shared" si="1621"/>
        <v>Waste - Landfill and Resource Recovery</v>
      </c>
      <c r="G2066" s="499">
        <f>G680</f>
        <v>583200</v>
      </c>
      <c r="H2066" s="498"/>
      <c r="I2066" s="1226">
        <f t="shared" ref="I2066:R2066" si="1632">I680</f>
        <v>-202200</v>
      </c>
      <c r="J2066" s="481">
        <f t="shared" si="1632"/>
        <v>-111800</v>
      </c>
      <c r="K2066" s="481">
        <f t="shared" si="1632"/>
        <v>-60300</v>
      </c>
      <c r="L2066" s="481">
        <f t="shared" si="1632"/>
        <v>-62300</v>
      </c>
      <c r="M2066" s="481">
        <f t="shared" si="1632"/>
        <v>-42900</v>
      </c>
      <c r="N2066" s="481">
        <f t="shared" si="1632"/>
        <v>-23900</v>
      </c>
      <c r="O2066" s="481">
        <f t="shared" si="1632"/>
        <v>-6500</v>
      </c>
      <c r="P2066" s="481">
        <f t="shared" si="1632"/>
        <v>24300</v>
      </c>
      <c r="Q2066" s="481">
        <f t="shared" si="1632"/>
        <v>58600</v>
      </c>
      <c r="R2066" s="482">
        <f t="shared" si="1632"/>
        <v>92300</v>
      </c>
    </row>
    <row r="2067" spans="1:18" s="474" customFormat="1" ht="12" x14ac:dyDescent="0.2">
      <c r="A2067" s="1231">
        <f>A734</f>
        <v>416100</v>
      </c>
      <c r="B2067" s="481">
        <f>B734</f>
        <v>653900</v>
      </c>
      <c r="C2067" s="499">
        <f>C734</f>
        <v>0</v>
      </c>
      <c r="D2067" s="499">
        <f>D734</f>
        <v>162700</v>
      </c>
      <c r="E2067" s="479"/>
      <c r="F2067" s="475" t="str">
        <f t="shared" si="1621"/>
        <v>Waste - Domestic</v>
      </c>
      <c r="G2067" s="499">
        <f>G734</f>
        <v>451500</v>
      </c>
      <c r="H2067" s="498"/>
      <c r="I2067" s="1226">
        <f t="shared" ref="I2067:R2067" si="1633">I734</f>
        <v>411300</v>
      </c>
      <c r="J2067" s="481">
        <f t="shared" si="1633"/>
        <v>404100</v>
      </c>
      <c r="K2067" s="481">
        <f t="shared" si="1633"/>
        <v>433000</v>
      </c>
      <c r="L2067" s="481">
        <f t="shared" si="1633"/>
        <v>462900</v>
      </c>
      <c r="M2067" s="481">
        <f t="shared" si="1633"/>
        <v>469100</v>
      </c>
      <c r="N2067" s="481">
        <f t="shared" si="1633"/>
        <v>516500</v>
      </c>
      <c r="O2067" s="481">
        <f t="shared" si="1633"/>
        <v>567400</v>
      </c>
      <c r="P2067" s="481">
        <f t="shared" si="1633"/>
        <v>576800</v>
      </c>
      <c r="Q2067" s="481">
        <f t="shared" si="1633"/>
        <v>630800</v>
      </c>
      <c r="R2067" s="482">
        <f t="shared" si="1633"/>
        <v>665600</v>
      </c>
    </row>
    <row r="2068" spans="1:18" s="474" customFormat="1" thickBot="1" x14ac:dyDescent="0.25">
      <c r="A2068" s="1232"/>
      <c r="B2068" s="478"/>
      <c r="C2068" s="480"/>
      <c r="D2068" s="480"/>
      <c r="E2068" s="479"/>
      <c r="F2068" s="475"/>
      <c r="G2068" s="480"/>
      <c r="H2068" s="498"/>
      <c r="I2068" s="1226"/>
      <c r="J2068" s="481"/>
      <c r="K2068" s="481"/>
      <c r="L2068" s="481"/>
      <c r="M2068" s="481"/>
      <c r="N2068" s="481"/>
      <c r="O2068" s="481"/>
      <c r="P2068" s="481"/>
      <c r="Q2068" s="481"/>
      <c r="R2068" s="482"/>
    </row>
    <row r="2069" spans="1:18" s="474" customFormat="1" x14ac:dyDescent="0.2">
      <c r="A2069" s="1233">
        <f>SUM(A2056:A2068)</f>
        <v>-25974800</v>
      </c>
      <c r="B2069" s="483">
        <f>SUM(B2056:B2068)</f>
        <v>-21551800</v>
      </c>
      <c r="C2069" s="484">
        <f>SUM(C2056:C2068)</f>
        <v>-22259000</v>
      </c>
      <c r="D2069" s="484">
        <f>SUM(D2056:D2068)</f>
        <v>-20346900</v>
      </c>
      <c r="E2069" s="479"/>
      <c r="F2069" s="606" t="s">
        <v>366</v>
      </c>
      <c r="G2069" s="1229">
        <f t="shared" ref="G2069:O2069" si="1634">SUM(G2056:G2068)</f>
        <v>-17623700</v>
      </c>
      <c r="H2069" s="179"/>
      <c r="I2069" s="1227">
        <f t="shared" si="1634"/>
        <v>-19543900</v>
      </c>
      <c r="J2069" s="483">
        <f t="shared" si="1634"/>
        <v>-19938100</v>
      </c>
      <c r="K2069" s="483">
        <f t="shared" si="1634"/>
        <v>-20576000</v>
      </c>
      <c r="L2069" s="483">
        <f t="shared" si="1634"/>
        <v>-20851400</v>
      </c>
      <c r="M2069" s="483">
        <f t="shared" si="1634"/>
        <v>-21677800</v>
      </c>
      <c r="N2069" s="483">
        <f t="shared" si="1634"/>
        <v>-21905300</v>
      </c>
      <c r="O2069" s="483">
        <f t="shared" si="1634"/>
        <v>-22356600</v>
      </c>
      <c r="P2069" s="483">
        <f t="shared" ref="P2069:Q2069" si="1635">SUM(P2056:P2068)</f>
        <v>-22633400</v>
      </c>
      <c r="Q2069" s="483">
        <f t="shared" si="1635"/>
        <v>-23098400</v>
      </c>
      <c r="R2069" s="533">
        <f t="shared" ref="R2069" si="1636">SUM(R2056:R2068)</f>
        <v>-23354000</v>
      </c>
    </row>
    <row r="2070" spans="1:18" s="474" customFormat="1" x14ac:dyDescent="0.2">
      <c r="A2070" s="1232"/>
      <c r="B2070" s="478"/>
      <c r="C2070" s="500"/>
      <c r="D2070" s="500"/>
      <c r="E2070" s="479"/>
      <c r="F2070" s="606"/>
      <c r="G2070" s="480"/>
      <c r="H2070" s="179"/>
      <c r="I2070" s="1228"/>
      <c r="J2070" s="478"/>
      <c r="K2070" s="478"/>
      <c r="L2070" s="478"/>
      <c r="M2070" s="478"/>
      <c r="N2070" s="478"/>
      <c r="O2070" s="478"/>
      <c r="P2070" s="478"/>
      <c r="Q2070" s="478"/>
      <c r="R2070" s="536"/>
    </row>
    <row r="2071" spans="1:18" s="474" customFormat="1" x14ac:dyDescent="0.2">
      <c r="A2071" s="1232">
        <f>A2049</f>
        <v>-7107200</v>
      </c>
      <c r="B2071" s="478">
        <f>B2049</f>
        <v>-6123100</v>
      </c>
      <c r="C2071" s="500">
        <f>C2049</f>
        <v>-6803400</v>
      </c>
      <c r="D2071" s="500">
        <f>D2049</f>
        <v>-8178200</v>
      </c>
      <c r="E2071" s="479"/>
      <c r="F2071" s="606" t="s">
        <v>2806</v>
      </c>
      <c r="G2071" s="480">
        <f t="shared" ref="G2071:P2071" si="1637">G2049</f>
        <v>-6630800</v>
      </c>
      <c r="H2071" s="179"/>
      <c r="I2071" s="1228">
        <f t="shared" si="1637"/>
        <v>-8421600</v>
      </c>
      <c r="J2071" s="478">
        <f t="shared" si="1637"/>
        <v>-8643500</v>
      </c>
      <c r="K2071" s="478">
        <f t="shared" si="1637"/>
        <v>-9078300</v>
      </c>
      <c r="L2071" s="478">
        <f t="shared" si="1637"/>
        <v>-9151300</v>
      </c>
      <c r="M2071" s="478">
        <f t="shared" si="1637"/>
        <v>-9742500</v>
      </c>
      <c r="N2071" s="478">
        <f t="shared" si="1637"/>
        <v>-9730100</v>
      </c>
      <c r="O2071" s="478">
        <f t="shared" si="1637"/>
        <v>-9936700</v>
      </c>
      <c r="P2071" s="478">
        <f t="shared" si="1637"/>
        <v>-9963800</v>
      </c>
      <c r="Q2071" s="478">
        <f t="shared" ref="Q2071" si="1638">Q2049</f>
        <v>-10174100</v>
      </c>
      <c r="R2071" s="536">
        <f t="shared" ref="R2071" si="1639">R2049</f>
        <v>-10170000</v>
      </c>
    </row>
    <row r="2072" spans="1:18" s="474" customFormat="1" x14ac:dyDescent="0.2">
      <c r="A2072" s="1232"/>
      <c r="B2072" s="478"/>
      <c r="C2072" s="500"/>
      <c r="D2072" s="500"/>
      <c r="E2072" s="479"/>
      <c r="F2072" s="606"/>
      <c r="G2072" s="480"/>
      <c r="H2072" s="179"/>
      <c r="I2072" s="1228"/>
      <c r="J2072" s="478"/>
      <c r="K2072" s="478"/>
      <c r="L2072" s="478"/>
      <c r="M2072" s="478"/>
      <c r="N2072" s="478"/>
      <c r="O2072" s="478"/>
      <c r="P2072" s="478"/>
      <c r="Q2072" s="478"/>
      <c r="R2072" s="536"/>
    </row>
    <row r="2073" spans="1:18" s="474" customFormat="1" x14ac:dyDescent="0.2">
      <c r="A2073" s="1232">
        <f>A102+A103+A158+A159+A160+A161++A214+A215+A271++A337+A338+A339+A383+A449+A507+A546+A599+A674+A730+A450+A676+A675</f>
        <v>13931400</v>
      </c>
      <c r="B2073" s="478">
        <f>B102+B103+B158+B159+B160+B161++B214+B215+B271++B337+B338+B339+B383+B449+B507+B546+B599+B674+B730+B450+B676+B675</f>
        <v>13367400</v>
      </c>
      <c r="C2073" s="500">
        <f>C102+C103+C158+C159+C160+C161++C214+C215+C271++C337+C338+C339+C383+C449+C507+C546+C599+C674+C730+C450+C676</f>
        <v>12100500</v>
      </c>
      <c r="D2073" s="500">
        <f>D102+D103+D158+D159+D160+D161++D214+D215+D271++D337+D338+D339+D383+D449+D507+D546+D599+D674+D730+D450+D676</f>
        <v>12031000</v>
      </c>
      <c r="E2073" s="479"/>
      <c r="F2073" s="606" t="s">
        <v>2070</v>
      </c>
      <c r="G2073" s="480">
        <f>G102+G103+G158+G159+G160+G161++G214+G215+G271++G337+G338+G339+G383+G449+G507+G546+G599+G674+G730+G450+G676</f>
        <v>10787000</v>
      </c>
      <c r="H2073" s="179"/>
      <c r="I2073" s="480">
        <f t="shared" ref="I2073:R2073" si="1640">I102+I103+I158+I159+I160+I161++I214+I215+I271++I337+I338+I339+I383+I449+I507+I546+I599+I674+I730+I450+I676</f>
        <v>11003200</v>
      </c>
      <c r="J2073" s="480">
        <f t="shared" si="1640"/>
        <v>11224400</v>
      </c>
      <c r="K2073" s="480">
        <f t="shared" si="1640"/>
        <v>11449700</v>
      </c>
      <c r="L2073" s="480">
        <f t="shared" si="1640"/>
        <v>11679500</v>
      </c>
      <c r="M2073" s="480">
        <f t="shared" si="1640"/>
        <v>11913900</v>
      </c>
      <c r="N2073" s="480">
        <f t="shared" si="1640"/>
        <v>12153100</v>
      </c>
      <c r="O2073" s="480">
        <f t="shared" si="1640"/>
        <v>12397000</v>
      </c>
      <c r="P2073" s="480">
        <f t="shared" si="1640"/>
        <v>12645800</v>
      </c>
      <c r="Q2073" s="480">
        <f t="shared" si="1640"/>
        <v>12899600</v>
      </c>
      <c r="R2073" s="2217">
        <f t="shared" si="1640"/>
        <v>13158400</v>
      </c>
    </row>
    <row r="2074" spans="1:18" s="474" customFormat="1" x14ac:dyDescent="0.2">
      <c r="A2074" s="1232">
        <f>A604</f>
        <v>0</v>
      </c>
      <c r="B2074" s="478">
        <f>B604</f>
        <v>0</v>
      </c>
      <c r="C2074" s="500">
        <f>C604</f>
        <v>-223900</v>
      </c>
      <c r="D2074" s="500">
        <f>D604</f>
        <v>-53100</v>
      </c>
      <c r="E2074" s="479"/>
      <c r="F2074" s="606" t="s">
        <v>5473</v>
      </c>
      <c r="G2074" s="480">
        <f>G604</f>
        <v>0</v>
      </c>
      <c r="H2074" s="179"/>
      <c r="I2074" s="480">
        <f t="shared" ref="I2074:R2074" si="1641">I604</f>
        <v>0</v>
      </c>
      <c r="J2074" s="480">
        <f t="shared" si="1641"/>
        <v>0</v>
      </c>
      <c r="K2074" s="480">
        <f t="shared" si="1641"/>
        <v>0</v>
      </c>
      <c r="L2074" s="480">
        <f t="shared" si="1641"/>
        <v>0</v>
      </c>
      <c r="M2074" s="480">
        <f t="shared" si="1641"/>
        <v>0</v>
      </c>
      <c r="N2074" s="480">
        <f t="shared" si="1641"/>
        <v>0</v>
      </c>
      <c r="O2074" s="480">
        <f t="shared" si="1641"/>
        <v>0</v>
      </c>
      <c r="P2074" s="480">
        <f t="shared" si="1641"/>
        <v>0</v>
      </c>
      <c r="Q2074" s="480">
        <f t="shared" si="1641"/>
        <v>0</v>
      </c>
      <c r="R2074" s="2217">
        <f t="shared" si="1641"/>
        <v>0</v>
      </c>
    </row>
    <row r="2075" spans="1:18" s="474" customFormat="1" x14ac:dyDescent="0.2">
      <c r="A2075" s="1232">
        <f>A272+A598</f>
        <v>202000</v>
      </c>
      <c r="B2075" s="478">
        <f>B272+B598</f>
        <v>169300</v>
      </c>
      <c r="C2075" s="500">
        <f>C272+C598+C675</f>
        <v>231300</v>
      </c>
      <c r="D2075" s="500">
        <f>D272+D598+D675</f>
        <v>190800</v>
      </c>
      <c r="E2075" s="479"/>
      <c r="F2075" s="606" t="s">
        <v>922</v>
      </c>
      <c r="G2075" s="480">
        <f>G272+G598+G675</f>
        <v>205900</v>
      </c>
      <c r="H2075" s="179"/>
      <c r="I2075" s="480">
        <f t="shared" ref="I2075:R2075" si="1642">I272+I598+I675</f>
        <v>119100</v>
      </c>
      <c r="J2075" s="480">
        <f t="shared" si="1642"/>
        <v>70200</v>
      </c>
      <c r="K2075" s="480">
        <f t="shared" si="1642"/>
        <v>48000</v>
      </c>
      <c r="L2075" s="480">
        <f t="shared" si="1642"/>
        <v>20600</v>
      </c>
      <c r="M2075" s="480">
        <f t="shared" si="1642"/>
        <v>21400</v>
      </c>
      <c r="N2075" s="480">
        <f t="shared" si="1642"/>
        <v>22100</v>
      </c>
      <c r="O2075" s="480">
        <f t="shared" si="1642"/>
        <v>22900</v>
      </c>
      <c r="P2075" s="480">
        <f t="shared" si="1642"/>
        <v>23800</v>
      </c>
      <c r="Q2075" s="480">
        <f t="shared" si="1642"/>
        <v>24700</v>
      </c>
      <c r="R2075" s="2217">
        <f t="shared" si="1642"/>
        <v>25600</v>
      </c>
    </row>
    <row r="2076" spans="1:18" s="474" customFormat="1" x14ac:dyDescent="0.2">
      <c r="A2076" s="1232">
        <f>A273+A222+A451+A162</f>
        <v>4734000</v>
      </c>
      <c r="B2076" s="478">
        <f>B273+B222+B451+B162</f>
        <v>1892000</v>
      </c>
      <c r="C2076" s="500">
        <f>C273+C222+C451+C162</f>
        <v>3347700</v>
      </c>
      <c r="D2076" s="500">
        <f>D273+D222+D451+D162</f>
        <v>0</v>
      </c>
      <c r="E2076" s="479"/>
      <c r="F2076" s="606" t="s">
        <v>4542</v>
      </c>
      <c r="G2076" s="480">
        <f>G273+G222+G451+G162</f>
        <v>0</v>
      </c>
      <c r="H2076" s="179"/>
      <c r="I2076" s="1228">
        <f t="shared" ref="I2076:R2076" si="1643">I273+I222+I451+I162</f>
        <v>0</v>
      </c>
      <c r="J2076" s="478">
        <f t="shared" si="1643"/>
        <v>0</v>
      </c>
      <c r="K2076" s="478">
        <f t="shared" si="1643"/>
        <v>0</v>
      </c>
      <c r="L2076" s="478">
        <f t="shared" si="1643"/>
        <v>0</v>
      </c>
      <c r="M2076" s="478">
        <f t="shared" si="1643"/>
        <v>0</v>
      </c>
      <c r="N2076" s="478">
        <f t="shared" si="1643"/>
        <v>0</v>
      </c>
      <c r="O2076" s="478">
        <f t="shared" si="1643"/>
        <v>0</v>
      </c>
      <c r="P2076" s="478">
        <f t="shared" si="1643"/>
        <v>0</v>
      </c>
      <c r="Q2076" s="478">
        <f t="shared" si="1643"/>
        <v>0</v>
      </c>
      <c r="R2076" s="536">
        <f t="shared" si="1643"/>
        <v>0</v>
      </c>
    </row>
    <row r="2077" spans="1:18" s="474" customFormat="1" x14ac:dyDescent="0.2">
      <c r="A2077" s="1232">
        <f>ROUND(A2069+A2073+A2075-A2071+A2076+A2074,-3)</f>
        <v>0</v>
      </c>
      <c r="B2077" s="478">
        <f t="shared" ref="B2077" si="1644">B2069+B2073+B2075-B2071+B2076+B2074</f>
        <v>0</v>
      </c>
      <c r="C2077" s="500">
        <f>C2069+C2073+C2075-C2071+C2076+C2074</f>
        <v>0</v>
      </c>
      <c r="D2077" s="500">
        <f>D2069+D2073+D2075-D2071+D2076+D2074</f>
        <v>0</v>
      </c>
      <c r="E2077" s="479"/>
      <c r="F2077" s="606" t="s">
        <v>1763</v>
      </c>
      <c r="G2077" s="480">
        <f t="shared" ref="G2077:P2077" si="1645">G2069+G2073+G2075-G2071+G2076+G2074</f>
        <v>0</v>
      </c>
      <c r="H2077" s="179"/>
      <c r="I2077" s="1228">
        <f t="shared" si="1645"/>
        <v>0</v>
      </c>
      <c r="J2077" s="478">
        <f t="shared" si="1645"/>
        <v>0</v>
      </c>
      <c r="K2077" s="478">
        <f t="shared" si="1645"/>
        <v>0</v>
      </c>
      <c r="L2077" s="478">
        <f t="shared" si="1645"/>
        <v>0</v>
      </c>
      <c r="M2077" s="478">
        <f t="shared" si="1645"/>
        <v>0</v>
      </c>
      <c r="N2077" s="478">
        <f t="shared" si="1645"/>
        <v>0</v>
      </c>
      <c r="O2077" s="478">
        <f t="shared" si="1645"/>
        <v>0</v>
      </c>
      <c r="P2077" s="478">
        <f t="shared" si="1645"/>
        <v>0</v>
      </c>
      <c r="Q2077" s="478">
        <f t="shared" ref="Q2077" si="1646">Q2069+Q2073+Q2075-Q2071+Q2076+Q2074</f>
        <v>0</v>
      </c>
      <c r="R2077" s="536">
        <f t="shared" ref="R2077" si="1647">R2069+R2073+R2075-R2071+R2076+R2074</f>
        <v>0</v>
      </c>
    </row>
    <row r="2078" spans="1:18" ht="13.5" thickBot="1" x14ac:dyDescent="0.25">
      <c r="A2078" s="73"/>
      <c r="B2078" s="90"/>
      <c r="C2078" s="200"/>
      <c r="D2078" s="200"/>
      <c r="E2078" s="241"/>
      <c r="F2078" s="141"/>
      <c r="G2078" s="200"/>
      <c r="H2078" s="392"/>
      <c r="I2078" s="166"/>
      <c r="J2078" s="66"/>
      <c r="K2078" s="66"/>
      <c r="L2078" s="66"/>
      <c r="M2078" s="66"/>
      <c r="N2078" s="66"/>
      <c r="O2078" s="66"/>
      <c r="P2078" s="66"/>
      <c r="Q2078" s="66"/>
      <c r="R2078" s="165"/>
    </row>
    <row r="2079" spans="1:18" ht="13.5" thickTop="1" x14ac:dyDescent="0.2">
      <c r="A2079" s="74"/>
      <c r="B2079" s="74"/>
      <c r="C2079" s="146"/>
      <c r="D2079" s="146"/>
      <c r="E2079" s="238"/>
      <c r="F2079" s="137"/>
      <c r="G2079" s="146"/>
      <c r="I2079" s="99"/>
      <c r="J2079" s="99"/>
      <c r="K2079" s="99"/>
      <c r="L2079" s="99"/>
      <c r="M2079" s="99"/>
      <c r="N2079" s="99"/>
      <c r="O2079" s="99"/>
      <c r="P2079" s="99"/>
      <c r="Q2079" s="99"/>
      <c r="R2079" s="99"/>
    </row>
    <row r="2080" spans="1:18" x14ac:dyDescent="0.2">
      <c r="A2080" s="74"/>
      <c r="B2080" s="74"/>
      <c r="C2080" s="146"/>
      <c r="D2080" s="146"/>
      <c r="E2080" s="238"/>
      <c r="F2080" s="137"/>
      <c r="G2080" s="146"/>
      <c r="I2080" s="99"/>
      <c r="J2080" s="99"/>
      <c r="K2080" s="99"/>
      <c r="L2080" s="99"/>
      <c r="M2080" s="99"/>
      <c r="N2080" s="99"/>
      <c r="O2080" s="99"/>
      <c r="P2080" s="99"/>
      <c r="Q2080" s="99"/>
      <c r="R2080" s="99"/>
    </row>
    <row r="2081" spans="1:18" x14ac:dyDescent="0.2">
      <c r="A2081" s="2507"/>
      <c r="B2081" s="146"/>
      <c r="C2081" s="146"/>
      <c r="D2081" s="146"/>
      <c r="E2081" s="2507"/>
      <c r="F2081" s="146"/>
      <c r="G2081" s="146"/>
      <c r="H2081" s="2507"/>
      <c r="I2081" s="2507"/>
    </row>
    <row r="2082" spans="1:18" s="99" customFormat="1" x14ac:dyDescent="0.2">
      <c r="C2082" s="198"/>
      <c r="D2082" s="198"/>
      <c r="E2082" s="537"/>
      <c r="G2082" s="198"/>
      <c r="H2082" s="198"/>
      <c r="I2082" s="198"/>
      <c r="J2082" s="198"/>
      <c r="K2082" s="198"/>
      <c r="L2082" s="198"/>
      <c r="M2082" s="198"/>
      <c r="N2082" s="198"/>
      <c r="O2082" s="198"/>
      <c r="P2082" s="198"/>
      <c r="Q2082" s="198"/>
      <c r="R2082" s="198"/>
    </row>
    <row r="2083" spans="1:18" s="99" customFormat="1" x14ac:dyDescent="0.2">
      <c r="C2083" s="198"/>
      <c r="D2083" s="198"/>
      <c r="E2083" s="537"/>
      <c r="G2083" s="198"/>
      <c r="H2083" s="198"/>
      <c r="I2083" s="198"/>
      <c r="J2083" s="198"/>
      <c r="K2083" s="198"/>
      <c r="L2083" s="198"/>
      <c r="M2083" s="198"/>
      <c r="N2083" s="198"/>
      <c r="O2083" s="198"/>
      <c r="P2083" s="198"/>
      <c r="Q2083" s="198"/>
      <c r="R2083" s="198"/>
    </row>
    <row r="2084" spans="1:18" s="99" customFormat="1" x14ac:dyDescent="0.2">
      <c r="C2084" s="198"/>
      <c r="D2084" s="198"/>
      <c r="E2084" s="537"/>
      <c r="G2084" s="198"/>
      <c r="H2084" s="198"/>
      <c r="I2084" s="198"/>
      <c r="J2084" s="198"/>
      <c r="K2084" s="198"/>
      <c r="L2084" s="198"/>
      <c r="M2084" s="198"/>
      <c r="N2084" s="198"/>
      <c r="O2084" s="198"/>
      <c r="P2084" s="198"/>
      <c r="Q2084" s="198"/>
      <c r="R2084" s="198"/>
    </row>
    <row r="2085" spans="1:18" s="99" customFormat="1" x14ac:dyDescent="0.2">
      <c r="C2085" s="198"/>
      <c r="D2085" s="198"/>
      <c r="E2085" s="537"/>
      <c r="G2085" s="198"/>
      <c r="H2085" s="198"/>
      <c r="I2085" s="198"/>
      <c r="J2085" s="198"/>
      <c r="K2085" s="198"/>
      <c r="L2085" s="198"/>
      <c r="M2085" s="198"/>
      <c r="N2085" s="198"/>
      <c r="O2085" s="198"/>
      <c r="P2085" s="198"/>
      <c r="Q2085" s="198"/>
      <c r="R2085" s="198"/>
    </row>
    <row r="2086" spans="1:18" s="99" customFormat="1" x14ac:dyDescent="0.2">
      <c r="C2086" s="198"/>
      <c r="D2086" s="198"/>
      <c r="E2086" s="537"/>
      <c r="G2086" s="198"/>
      <c r="H2086" s="198"/>
      <c r="I2086" s="198"/>
      <c r="J2086" s="198"/>
      <c r="K2086" s="198"/>
      <c r="L2086" s="198"/>
      <c r="M2086" s="198"/>
      <c r="N2086" s="198"/>
      <c r="O2086" s="198"/>
      <c r="P2086" s="198"/>
      <c r="Q2086" s="198"/>
      <c r="R2086" s="198"/>
    </row>
    <row r="2087" spans="1:18" s="99" customFormat="1" x14ac:dyDescent="0.2">
      <c r="C2087" s="198"/>
      <c r="D2087" s="198"/>
      <c r="E2087" s="537"/>
      <c r="G2087" s="198"/>
      <c r="H2087" s="198"/>
      <c r="I2087" s="198"/>
      <c r="J2087" s="198"/>
      <c r="K2087" s="198"/>
      <c r="L2087" s="198"/>
      <c r="M2087" s="198"/>
      <c r="N2087" s="198"/>
      <c r="O2087" s="198"/>
      <c r="P2087" s="198"/>
      <c r="Q2087" s="198"/>
      <c r="R2087" s="198"/>
    </row>
    <row r="2088" spans="1:18" s="99" customFormat="1" x14ac:dyDescent="0.2">
      <c r="C2088" s="198"/>
      <c r="D2088" s="198"/>
      <c r="E2088" s="537"/>
      <c r="G2088" s="198"/>
      <c r="H2088" s="198"/>
      <c r="I2088" s="198"/>
      <c r="J2088" s="198"/>
      <c r="K2088" s="198"/>
      <c r="L2088" s="198"/>
      <c r="M2088" s="198"/>
      <c r="N2088" s="198"/>
      <c r="O2088" s="198"/>
      <c r="P2088" s="198"/>
      <c r="Q2088" s="198"/>
      <c r="R2088" s="198"/>
    </row>
    <row r="2089" spans="1:18" s="99" customFormat="1" x14ac:dyDescent="0.2">
      <c r="C2089" s="198"/>
      <c r="D2089" s="198"/>
      <c r="E2089" s="537"/>
      <c r="G2089" s="198"/>
      <c r="H2089" s="198"/>
      <c r="I2089" s="198"/>
      <c r="J2089" s="198"/>
      <c r="K2089" s="198"/>
      <c r="L2089" s="198"/>
      <c r="M2089" s="198"/>
      <c r="N2089" s="198"/>
      <c r="O2089" s="198"/>
      <c r="P2089" s="198"/>
      <c r="Q2089" s="198"/>
      <c r="R2089" s="198"/>
    </row>
    <row r="2090" spans="1:18" s="99" customFormat="1" x14ac:dyDescent="0.2">
      <c r="C2090" s="198"/>
      <c r="D2090" s="198"/>
      <c r="E2090" s="537"/>
      <c r="G2090" s="198"/>
      <c r="H2090" s="198"/>
      <c r="I2090" s="198"/>
      <c r="J2090" s="198"/>
      <c r="K2090" s="198"/>
      <c r="L2090" s="198"/>
      <c r="M2090" s="198"/>
      <c r="N2090" s="198"/>
      <c r="O2090" s="198"/>
      <c r="P2090" s="198"/>
      <c r="Q2090" s="198"/>
      <c r="R2090" s="198"/>
    </row>
    <row r="2091" spans="1:18" s="99" customFormat="1" x14ac:dyDescent="0.2">
      <c r="C2091" s="198"/>
      <c r="D2091" s="198"/>
      <c r="E2091" s="537"/>
      <c r="G2091" s="198"/>
      <c r="H2091" s="198"/>
      <c r="I2091" s="198"/>
      <c r="J2091" s="198"/>
      <c r="K2091" s="198"/>
      <c r="L2091" s="198"/>
      <c r="M2091" s="198"/>
      <c r="N2091" s="198"/>
      <c r="O2091" s="198"/>
      <c r="P2091" s="198"/>
      <c r="Q2091" s="198"/>
      <c r="R2091" s="198"/>
    </row>
    <row r="2092" spans="1:18" s="99" customFormat="1" x14ac:dyDescent="0.2">
      <c r="C2092" s="198"/>
      <c r="D2092" s="198"/>
      <c r="E2092" s="537"/>
      <c r="G2092" s="198"/>
      <c r="H2092" s="123"/>
    </row>
    <row r="2093" spans="1:18" s="99" customFormat="1" x14ac:dyDescent="0.2">
      <c r="C2093" s="198"/>
      <c r="D2093" s="198"/>
      <c r="E2093" s="537"/>
      <c r="G2093" s="198"/>
      <c r="H2093" s="123"/>
    </row>
    <row r="2094" spans="1:18" s="99" customFormat="1" x14ac:dyDescent="0.2">
      <c r="C2094" s="198"/>
      <c r="D2094" s="198"/>
      <c r="E2094" s="537"/>
      <c r="G2094" s="198"/>
      <c r="H2094" s="123"/>
    </row>
    <row r="2095" spans="1:18" s="99" customFormat="1" x14ac:dyDescent="0.2">
      <c r="C2095" s="198"/>
      <c r="D2095" s="198"/>
      <c r="E2095" s="537"/>
      <c r="G2095" s="198"/>
      <c r="H2095" s="123"/>
    </row>
    <row r="2096" spans="1:18" s="99" customFormat="1" x14ac:dyDescent="0.2">
      <c r="C2096" s="198"/>
      <c r="D2096" s="198"/>
      <c r="E2096" s="537"/>
      <c r="G2096" s="198"/>
      <c r="H2096" s="123"/>
    </row>
    <row r="2097" spans="2:8" s="99" customFormat="1" x14ac:dyDescent="0.2">
      <c r="C2097" s="198"/>
      <c r="D2097" s="198"/>
      <c r="E2097" s="537"/>
      <c r="G2097" s="198"/>
      <c r="H2097" s="123"/>
    </row>
    <row r="2098" spans="2:8" s="99" customFormat="1" x14ac:dyDescent="0.2">
      <c r="C2098" s="198"/>
      <c r="D2098" s="198"/>
      <c r="E2098" s="537"/>
      <c r="G2098" s="198"/>
      <c r="H2098" s="123"/>
    </row>
    <row r="2099" spans="2:8" s="99" customFormat="1" x14ac:dyDescent="0.2">
      <c r="C2099" s="198"/>
      <c r="D2099" s="198"/>
      <c r="E2099" s="537"/>
      <c r="G2099" s="198"/>
      <c r="H2099" s="123"/>
    </row>
    <row r="2100" spans="2:8" s="99" customFormat="1" x14ac:dyDescent="0.2">
      <c r="C2100" s="198"/>
      <c r="D2100" s="198"/>
      <c r="E2100" s="537"/>
      <c r="G2100" s="198"/>
      <c r="H2100" s="123"/>
    </row>
    <row r="2101" spans="2:8" s="99" customFormat="1" x14ac:dyDescent="0.2">
      <c r="C2101" s="198"/>
      <c r="D2101" s="198"/>
      <c r="E2101" s="537"/>
      <c r="G2101" s="198"/>
      <c r="H2101" s="123"/>
    </row>
    <row r="2102" spans="2:8" s="99" customFormat="1" x14ac:dyDescent="0.2">
      <c r="B2102" s="740"/>
      <c r="C2102" s="198"/>
      <c r="D2102" s="198"/>
      <c r="E2102" s="537"/>
      <c r="G2102" s="198"/>
      <c r="H2102" s="123"/>
    </row>
    <row r="2103" spans="2:8" s="99" customFormat="1" x14ac:dyDescent="0.2">
      <c r="C2103" s="198"/>
      <c r="D2103" s="198"/>
      <c r="E2103" s="537"/>
      <c r="G2103" s="198"/>
      <c r="H2103" s="123"/>
    </row>
    <row r="2104" spans="2:8" s="99" customFormat="1" x14ac:dyDescent="0.2">
      <c r="C2104" s="198"/>
      <c r="D2104" s="198"/>
      <c r="E2104" s="537"/>
      <c r="G2104" s="198"/>
      <c r="H2104" s="123"/>
    </row>
    <row r="2105" spans="2:8" s="99" customFormat="1" x14ac:dyDescent="0.2">
      <c r="C2105" s="198"/>
      <c r="D2105" s="198"/>
      <c r="E2105" s="537"/>
      <c r="G2105" s="198"/>
      <c r="H2105" s="123"/>
    </row>
    <row r="2106" spans="2:8" s="99" customFormat="1" x14ac:dyDescent="0.2">
      <c r="C2106" s="198"/>
      <c r="D2106" s="198"/>
      <c r="E2106" s="537"/>
      <c r="G2106" s="198"/>
      <c r="H2106" s="123"/>
    </row>
    <row r="2107" spans="2:8" s="99" customFormat="1" x14ac:dyDescent="0.2">
      <c r="C2107" s="198"/>
      <c r="D2107" s="198"/>
      <c r="E2107" s="537"/>
      <c r="G2107" s="198"/>
      <c r="H2107" s="123"/>
    </row>
    <row r="2108" spans="2:8" s="99" customFormat="1" x14ac:dyDescent="0.2">
      <c r="C2108" s="198"/>
      <c r="D2108" s="198"/>
      <c r="E2108" s="537"/>
      <c r="G2108" s="198"/>
      <c r="H2108" s="123"/>
    </row>
    <row r="2109" spans="2:8" s="99" customFormat="1" x14ac:dyDescent="0.2">
      <c r="C2109" s="198"/>
      <c r="D2109" s="198"/>
      <c r="E2109" s="537"/>
      <c r="G2109" s="198"/>
      <c r="H2109" s="123"/>
    </row>
    <row r="2110" spans="2:8" s="99" customFormat="1" x14ac:dyDescent="0.2">
      <c r="C2110" s="198"/>
      <c r="D2110" s="198"/>
      <c r="E2110" s="537"/>
      <c r="G2110" s="198"/>
      <c r="H2110" s="123"/>
    </row>
    <row r="2111" spans="2:8" s="99" customFormat="1" x14ac:dyDescent="0.2">
      <c r="C2111" s="198"/>
      <c r="D2111" s="198"/>
      <c r="E2111" s="537"/>
      <c r="G2111" s="198"/>
      <c r="H2111" s="123"/>
    </row>
    <row r="2112" spans="2:8" s="99" customFormat="1" x14ac:dyDescent="0.2">
      <c r="C2112" s="198"/>
      <c r="D2112" s="198"/>
      <c r="E2112" s="537"/>
      <c r="G2112" s="198"/>
      <c r="H2112" s="123"/>
    </row>
    <row r="2113" spans="3:8" s="99" customFormat="1" x14ac:dyDescent="0.2">
      <c r="C2113" s="198"/>
      <c r="D2113" s="198"/>
      <c r="E2113" s="537"/>
      <c r="G2113" s="198"/>
      <c r="H2113" s="123"/>
    </row>
    <row r="2114" spans="3:8" s="99" customFormat="1" x14ac:dyDescent="0.2">
      <c r="C2114" s="198"/>
      <c r="D2114" s="198"/>
      <c r="E2114" s="537"/>
      <c r="G2114" s="198"/>
      <c r="H2114" s="123"/>
    </row>
    <row r="2115" spans="3:8" s="99" customFormat="1" x14ac:dyDescent="0.2">
      <c r="C2115" s="198"/>
      <c r="D2115" s="198"/>
      <c r="E2115" s="537"/>
      <c r="G2115" s="198"/>
      <c r="H2115" s="123"/>
    </row>
    <row r="2116" spans="3:8" s="99" customFormat="1" x14ac:dyDescent="0.2">
      <c r="C2116" s="198"/>
      <c r="D2116" s="198"/>
      <c r="E2116" s="537"/>
      <c r="G2116" s="198"/>
      <c r="H2116" s="123"/>
    </row>
    <row r="2117" spans="3:8" s="99" customFormat="1" x14ac:dyDescent="0.2">
      <c r="C2117" s="198"/>
      <c r="D2117" s="198"/>
      <c r="E2117" s="537"/>
      <c r="G2117" s="198"/>
      <c r="H2117" s="123"/>
    </row>
    <row r="2118" spans="3:8" s="99" customFormat="1" x14ac:dyDescent="0.2">
      <c r="C2118" s="198"/>
      <c r="D2118" s="198"/>
      <c r="E2118" s="537"/>
      <c r="G2118" s="198"/>
      <c r="H2118" s="123"/>
    </row>
    <row r="2119" spans="3:8" s="99" customFormat="1" x14ac:dyDescent="0.2">
      <c r="C2119" s="198"/>
      <c r="D2119" s="198"/>
      <c r="E2119" s="537"/>
      <c r="G2119" s="198"/>
      <c r="H2119" s="123"/>
    </row>
    <row r="2120" spans="3:8" s="99" customFormat="1" x14ac:dyDescent="0.2">
      <c r="C2120" s="198"/>
      <c r="D2120" s="198"/>
      <c r="E2120" s="537"/>
      <c r="G2120" s="198"/>
      <c r="H2120" s="123"/>
    </row>
    <row r="2121" spans="3:8" s="99" customFormat="1" x14ac:dyDescent="0.2">
      <c r="C2121" s="198"/>
      <c r="D2121" s="198"/>
      <c r="E2121" s="537"/>
      <c r="G2121" s="198"/>
      <c r="H2121" s="123"/>
    </row>
    <row r="2122" spans="3:8" s="99" customFormat="1" x14ac:dyDescent="0.2">
      <c r="C2122" s="198"/>
      <c r="D2122" s="198"/>
      <c r="E2122" s="537"/>
      <c r="G2122" s="198"/>
      <c r="H2122" s="123"/>
    </row>
    <row r="2123" spans="3:8" s="99" customFormat="1" x14ac:dyDescent="0.2">
      <c r="C2123" s="198"/>
      <c r="D2123" s="198"/>
      <c r="E2123" s="537"/>
      <c r="G2123" s="198"/>
      <c r="H2123" s="123"/>
    </row>
    <row r="2124" spans="3:8" s="99" customFormat="1" x14ac:dyDescent="0.2">
      <c r="C2124" s="198"/>
      <c r="D2124" s="198"/>
      <c r="E2124" s="537"/>
      <c r="G2124" s="198"/>
      <c r="H2124" s="123"/>
    </row>
    <row r="2125" spans="3:8" s="99" customFormat="1" x14ac:dyDescent="0.2">
      <c r="C2125" s="198"/>
      <c r="D2125" s="198"/>
      <c r="E2125" s="537"/>
      <c r="G2125" s="198"/>
      <c r="H2125" s="123"/>
    </row>
    <row r="2126" spans="3:8" s="99" customFormat="1" x14ac:dyDescent="0.2">
      <c r="C2126" s="198"/>
      <c r="D2126" s="198"/>
      <c r="E2126" s="537"/>
      <c r="G2126" s="198"/>
      <c r="H2126" s="123"/>
    </row>
    <row r="2127" spans="3:8" s="99" customFormat="1" x14ac:dyDescent="0.2">
      <c r="C2127" s="198"/>
      <c r="D2127" s="198"/>
      <c r="E2127" s="537"/>
      <c r="G2127" s="198"/>
      <c r="H2127" s="123"/>
    </row>
    <row r="2128" spans="3:8" s="99" customFormat="1" x14ac:dyDescent="0.2">
      <c r="C2128" s="198"/>
      <c r="D2128" s="198"/>
      <c r="E2128" s="537"/>
      <c r="G2128" s="198"/>
      <c r="H2128" s="123"/>
    </row>
    <row r="2129" spans="3:8" s="99" customFormat="1" x14ac:dyDescent="0.2">
      <c r="C2129" s="198"/>
      <c r="D2129" s="198"/>
      <c r="E2129" s="537"/>
      <c r="G2129" s="198"/>
      <c r="H2129" s="123"/>
    </row>
    <row r="2130" spans="3:8" s="99" customFormat="1" x14ac:dyDescent="0.2">
      <c r="C2130" s="198"/>
      <c r="D2130" s="198"/>
      <c r="E2130" s="537"/>
      <c r="G2130" s="198"/>
      <c r="H2130" s="123"/>
    </row>
    <row r="2131" spans="3:8" s="99" customFormat="1" x14ac:dyDescent="0.2">
      <c r="C2131" s="198"/>
      <c r="D2131" s="198"/>
      <c r="E2131" s="537"/>
      <c r="G2131" s="198"/>
      <c r="H2131" s="123"/>
    </row>
    <row r="2132" spans="3:8" s="99" customFormat="1" x14ac:dyDescent="0.2">
      <c r="C2132" s="198"/>
      <c r="D2132" s="198"/>
      <c r="E2132" s="537"/>
      <c r="G2132" s="198"/>
      <c r="H2132" s="123"/>
    </row>
    <row r="2133" spans="3:8" s="99" customFormat="1" x14ac:dyDescent="0.2">
      <c r="C2133" s="198"/>
      <c r="D2133" s="198"/>
      <c r="E2133" s="537"/>
      <c r="G2133" s="198"/>
      <c r="H2133" s="123"/>
    </row>
    <row r="2134" spans="3:8" s="99" customFormat="1" x14ac:dyDescent="0.2">
      <c r="C2134" s="198"/>
      <c r="D2134" s="198"/>
      <c r="E2134" s="537"/>
      <c r="G2134" s="198"/>
      <c r="H2134" s="123"/>
    </row>
    <row r="2135" spans="3:8" s="99" customFormat="1" x14ac:dyDescent="0.2">
      <c r="C2135" s="198"/>
      <c r="D2135" s="198"/>
      <c r="E2135" s="537"/>
      <c r="G2135" s="198"/>
      <c r="H2135" s="123"/>
    </row>
    <row r="2136" spans="3:8" s="99" customFormat="1" x14ac:dyDescent="0.2">
      <c r="C2136" s="198"/>
      <c r="D2136" s="198"/>
      <c r="E2136" s="537"/>
      <c r="G2136" s="198"/>
      <c r="H2136" s="123"/>
    </row>
    <row r="2137" spans="3:8" s="99" customFormat="1" x14ac:dyDescent="0.2">
      <c r="C2137" s="198"/>
      <c r="D2137" s="198"/>
      <c r="E2137" s="537"/>
      <c r="G2137" s="198"/>
      <c r="H2137" s="123"/>
    </row>
    <row r="2138" spans="3:8" s="99" customFormat="1" x14ac:dyDescent="0.2">
      <c r="C2138" s="198"/>
      <c r="D2138" s="198"/>
      <c r="E2138" s="537"/>
      <c r="G2138" s="198"/>
      <c r="H2138" s="123"/>
    </row>
    <row r="2139" spans="3:8" s="99" customFormat="1" x14ac:dyDescent="0.2">
      <c r="C2139" s="198"/>
      <c r="D2139" s="198"/>
      <c r="E2139" s="537"/>
      <c r="G2139" s="198"/>
      <c r="H2139" s="123"/>
    </row>
    <row r="2140" spans="3:8" s="99" customFormat="1" x14ac:dyDescent="0.2">
      <c r="C2140" s="198"/>
      <c r="D2140" s="198"/>
      <c r="E2140" s="537"/>
      <c r="G2140" s="198"/>
      <c r="H2140" s="123"/>
    </row>
    <row r="2141" spans="3:8" s="99" customFormat="1" x14ac:dyDescent="0.2">
      <c r="C2141" s="198"/>
      <c r="D2141" s="198"/>
      <c r="E2141" s="537"/>
      <c r="G2141" s="198"/>
      <c r="H2141" s="123"/>
    </row>
    <row r="2142" spans="3:8" s="99" customFormat="1" x14ac:dyDescent="0.2">
      <c r="C2142" s="198"/>
      <c r="D2142" s="198"/>
      <c r="E2142" s="537"/>
      <c r="G2142" s="198"/>
      <c r="H2142" s="123"/>
    </row>
    <row r="2143" spans="3:8" s="99" customFormat="1" x14ac:dyDescent="0.2">
      <c r="C2143" s="198"/>
      <c r="D2143" s="198"/>
      <c r="E2143" s="537"/>
      <c r="G2143" s="198"/>
      <c r="H2143" s="123"/>
    </row>
    <row r="2144" spans="3:8" s="99" customFormat="1" x14ac:dyDescent="0.2">
      <c r="C2144" s="198"/>
      <c r="D2144" s="198"/>
      <c r="E2144" s="537"/>
      <c r="G2144" s="198"/>
      <c r="H2144" s="123"/>
    </row>
    <row r="2145" spans="3:8" s="99" customFormat="1" x14ac:dyDescent="0.2">
      <c r="C2145" s="198"/>
      <c r="D2145" s="198"/>
      <c r="E2145" s="537"/>
      <c r="G2145" s="198"/>
      <c r="H2145" s="123"/>
    </row>
    <row r="2146" spans="3:8" s="99" customFormat="1" x14ac:dyDescent="0.2">
      <c r="C2146" s="198"/>
      <c r="D2146" s="198"/>
      <c r="E2146" s="537"/>
      <c r="G2146" s="198"/>
      <c r="H2146" s="123"/>
    </row>
    <row r="2147" spans="3:8" s="99" customFormat="1" x14ac:dyDescent="0.2">
      <c r="C2147" s="198"/>
      <c r="D2147" s="198"/>
      <c r="E2147" s="537"/>
      <c r="G2147" s="198"/>
      <c r="H2147" s="123"/>
    </row>
    <row r="2148" spans="3:8" s="99" customFormat="1" x14ac:dyDescent="0.2">
      <c r="C2148" s="198"/>
      <c r="D2148" s="198"/>
      <c r="E2148" s="537"/>
      <c r="G2148" s="198"/>
      <c r="H2148" s="123"/>
    </row>
    <row r="2149" spans="3:8" s="99" customFormat="1" x14ac:dyDescent="0.2">
      <c r="C2149" s="198"/>
      <c r="D2149" s="198"/>
      <c r="E2149" s="537"/>
      <c r="G2149" s="198"/>
      <c r="H2149" s="123"/>
    </row>
    <row r="2150" spans="3:8" s="99" customFormat="1" x14ac:dyDescent="0.2">
      <c r="C2150" s="198"/>
      <c r="D2150" s="198"/>
      <c r="E2150" s="537"/>
      <c r="G2150" s="198"/>
      <c r="H2150" s="123"/>
    </row>
    <row r="2151" spans="3:8" s="99" customFormat="1" x14ac:dyDescent="0.2">
      <c r="C2151" s="198"/>
      <c r="D2151" s="198"/>
      <c r="E2151" s="537"/>
      <c r="G2151" s="198"/>
      <c r="H2151" s="123"/>
    </row>
    <row r="2152" spans="3:8" s="99" customFormat="1" x14ac:dyDescent="0.2">
      <c r="C2152" s="198"/>
      <c r="D2152" s="198"/>
      <c r="E2152" s="537"/>
      <c r="G2152" s="198"/>
      <c r="H2152" s="123"/>
    </row>
    <row r="2153" spans="3:8" s="99" customFormat="1" x14ac:dyDescent="0.2">
      <c r="C2153" s="198"/>
      <c r="D2153" s="198"/>
      <c r="E2153" s="537"/>
      <c r="G2153" s="198"/>
      <c r="H2153" s="123"/>
    </row>
    <row r="2154" spans="3:8" s="99" customFormat="1" x14ac:dyDescent="0.2">
      <c r="C2154" s="198"/>
      <c r="D2154" s="198"/>
      <c r="E2154" s="537"/>
      <c r="G2154" s="198"/>
      <c r="H2154" s="123"/>
    </row>
    <row r="2155" spans="3:8" s="99" customFormat="1" x14ac:dyDescent="0.2">
      <c r="C2155" s="198"/>
      <c r="D2155" s="198"/>
      <c r="E2155" s="537"/>
      <c r="G2155" s="198"/>
      <c r="H2155" s="123"/>
    </row>
    <row r="2156" spans="3:8" s="99" customFormat="1" x14ac:dyDescent="0.2">
      <c r="C2156" s="198"/>
      <c r="D2156" s="198"/>
      <c r="E2156" s="537"/>
      <c r="G2156" s="198"/>
      <c r="H2156" s="123"/>
    </row>
    <row r="2157" spans="3:8" s="99" customFormat="1" x14ac:dyDescent="0.2">
      <c r="C2157" s="198"/>
      <c r="D2157" s="198"/>
      <c r="E2157" s="537"/>
      <c r="G2157" s="198"/>
      <c r="H2157" s="123"/>
    </row>
    <row r="2158" spans="3:8" s="99" customFormat="1" x14ac:dyDescent="0.2">
      <c r="C2158" s="198"/>
      <c r="D2158" s="198"/>
      <c r="E2158" s="537"/>
      <c r="G2158" s="198"/>
      <c r="H2158" s="123"/>
    </row>
    <row r="2159" spans="3:8" s="99" customFormat="1" x14ac:dyDescent="0.2">
      <c r="C2159" s="198"/>
      <c r="D2159" s="198"/>
      <c r="E2159" s="537"/>
      <c r="G2159" s="198"/>
      <c r="H2159" s="123"/>
    </row>
    <row r="2160" spans="3:8" s="99" customFormat="1" x14ac:dyDescent="0.2">
      <c r="C2160" s="198"/>
      <c r="D2160" s="198"/>
      <c r="E2160" s="537"/>
      <c r="G2160" s="198"/>
      <c r="H2160" s="123"/>
    </row>
    <row r="2161" spans="3:8" s="99" customFormat="1" x14ac:dyDescent="0.2">
      <c r="C2161" s="198"/>
      <c r="D2161" s="198"/>
      <c r="E2161" s="537"/>
      <c r="G2161" s="198"/>
      <c r="H2161" s="123"/>
    </row>
    <row r="2162" spans="3:8" s="99" customFormat="1" x14ac:dyDescent="0.2">
      <c r="C2162" s="198"/>
      <c r="D2162" s="198"/>
      <c r="E2162" s="537"/>
      <c r="G2162" s="198"/>
      <c r="H2162" s="123"/>
    </row>
    <row r="2163" spans="3:8" s="99" customFormat="1" x14ac:dyDescent="0.2">
      <c r="C2163" s="198"/>
      <c r="D2163" s="198"/>
      <c r="E2163" s="537"/>
      <c r="G2163" s="198"/>
      <c r="H2163" s="123"/>
    </row>
    <row r="2164" spans="3:8" s="99" customFormat="1" x14ac:dyDescent="0.2">
      <c r="C2164" s="198"/>
      <c r="D2164" s="198"/>
      <c r="E2164" s="537"/>
      <c r="G2164" s="198"/>
      <c r="H2164" s="123"/>
    </row>
    <row r="2165" spans="3:8" s="99" customFormat="1" x14ac:dyDescent="0.2">
      <c r="C2165" s="198"/>
      <c r="D2165" s="198"/>
      <c r="E2165" s="537"/>
      <c r="G2165" s="198"/>
      <c r="H2165" s="123"/>
    </row>
    <row r="2166" spans="3:8" s="99" customFormat="1" x14ac:dyDescent="0.2">
      <c r="C2166" s="198"/>
      <c r="D2166" s="198"/>
      <c r="E2166" s="537"/>
      <c r="G2166" s="198"/>
      <c r="H2166" s="123"/>
    </row>
    <row r="2167" spans="3:8" s="99" customFormat="1" x14ac:dyDescent="0.2">
      <c r="C2167" s="198"/>
      <c r="D2167" s="198"/>
      <c r="E2167" s="537"/>
      <c r="G2167" s="198"/>
      <c r="H2167" s="123"/>
    </row>
    <row r="2168" spans="3:8" s="99" customFormat="1" x14ac:dyDescent="0.2">
      <c r="C2168" s="198"/>
      <c r="D2168" s="198"/>
      <c r="E2168" s="537"/>
      <c r="G2168" s="198"/>
      <c r="H2168" s="123"/>
    </row>
    <row r="2169" spans="3:8" s="99" customFormat="1" x14ac:dyDescent="0.2">
      <c r="C2169" s="198"/>
      <c r="D2169" s="198"/>
      <c r="E2169" s="537"/>
      <c r="G2169" s="198"/>
      <c r="H2169" s="123"/>
    </row>
    <row r="2170" spans="3:8" s="99" customFormat="1" x14ac:dyDescent="0.2">
      <c r="C2170" s="198"/>
      <c r="D2170" s="198"/>
      <c r="E2170" s="537"/>
      <c r="G2170" s="198"/>
      <c r="H2170" s="123"/>
    </row>
    <row r="2171" spans="3:8" s="99" customFormat="1" x14ac:dyDescent="0.2">
      <c r="C2171" s="198"/>
      <c r="D2171" s="198"/>
      <c r="E2171" s="537"/>
      <c r="G2171" s="198"/>
      <c r="H2171" s="123"/>
    </row>
    <row r="2172" spans="3:8" s="99" customFormat="1" x14ac:dyDescent="0.2">
      <c r="C2172" s="198"/>
      <c r="D2172" s="198"/>
      <c r="E2172" s="537"/>
      <c r="G2172" s="198"/>
      <c r="H2172" s="123"/>
    </row>
    <row r="2173" spans="3:8" s="99" customFormat="1" x14ac:dyDescent="0.2">
      <c r="C2173" s="198"/>
      <c r="D2173" s="198"/>
      <c r="E2173" s="537"/>
      <c r="G2173" s="198"/>
      <c r="H2173" s="123"/>
    </row>
    <row r="2174" spans="3:8" s="99" customFormat="1" x14ac:dyDescent="0.2">
      <c r="C2174" s="198"/>
      <c r="D2174" s="198"/>
      <c r="E2174" s="537"/>
      <c r="G2174" s="198"/>
      <c r="H2174" s="123"/>
    </row>
    <row r="2175" spans="3:8" s="99" customFormat="1" x14ac:dyDescent="0.2">
      <c r="C2175" s="198"/>
      <c r="D2175" s="198"/>
      <c r="E2175" s="537"/>
      <c r="G2175" s="198"/>
      <c r="H2175" s="123"/>
    </row>
    <row r="2176" spans="3:8" s="99" customFormat="1" x14ac:dyDescent="0.2">
      <c r="C2176" s="198"/>
      <c r="D2176" s="198"/>
      <c r="E2176" s="537"/>
      <c r="G2176" s="198"/>
      <c r="H2176" s="123"/>
    </row>
    <row r="2177" spans="3:8" s="99" customFormat="1" x14ac:dyDescent="0.2">
      <c r="C2177" s="198"/>
      <c r="D2177" s="198"/>
      <c r="E2177" s="537"/>
      <c r="G2177" s="198"/>
      <c r="H2177" s="123"/>
    </row>
    <row r="2178" spans="3:8" s="99" customFormat="1" x14ac:dyDescent="0.2">
      <c r="C2178" s="198"/>
      <c r="D2178" s="198"/>
      <c r="E2178" s="537"/>
      <c r="G2178" s="198"/>
      <c r="H2178" s="123"/>
    </row>
    <row r="2179" spans="3:8" s="99" customFormat="1" x14ac:dyDescent="0.2">
      <c r="C2179" s="198"/>
      <c r="D2179" s="198"/>
      <c r="E2179" s="537"/>
      <c r="G2179" s="198"/>
      <c r="H2179" s="123"/>
    </row>
    <row r="2180" spans="3:8" s="99" customFormat="1" x14ac:dyDescent="0.2">
      <c r="C2180" s="198"/>
      <c r="D2180" s="198"/>
      <c r="E2180" s="537"/>
      <c r="G2180" s="198"/>
      <c r="H2180" s="123"/>
    </row>
    <row r="2181" spans="3:8" s="99" customFormat="1" x14ac:dyDescent="0.2">
      <c r="C2181" s="198"/>
      <c r="D2181" s="198"/>
      <c r="E2181" s="537"/>
      <c r="G2181" s="198"/>
      <c r="H2181" s="123"/>
    </row>
    <row r="2182" spans="3:8" s="99" customFormat="1" x14ac:dyDescent="0.2">
      <c r="C2182" s="198"/>
      <c r="D2182" s="198"/>
      <c r="E2182" s="537"/>
      <c r="G2182" s="198"/>
      <c r="H2182" s="123"/>
    </row>
    <row r="2183" spans="3:8" s="99" customFormat="1" x14ac:dyDescent="0.2">
      <c r="C2183" s="198"/>
      <c r="D2183" s="198"/>
      <c r="E2183" s="537"/>
      <c r="G2183" s="198"/>
      <c r="H2183" s="123"/>
    </row>
    <row r="2184" spans="3:8" s="99" customFormat="1" x14ac:dyDescent="0.2">
      <c r="C2184" s="198"/>
      <c r="D2184" s="198"/>
      <c r="E2184" s="537"/>
      <c r="G2184" s="198"/>
      <c r="H2184" s="123"/>
    </row>
    <row r="2185" spans="3:8" s="99" customFormat="1" x14ac:dyDescent="0.2">
      <c r="C2185" s="198"/>
      <c r="D2185" s="198"/>
      <c r="E2185" s="537"/>
      <c r="G2185" s="198"/>
      <c r="H2185" s="123"/>
    </row>
    <row r="2186" spans="3:8" s="99" customFormat="1" x14ac:dyDescent="0.2">
      <c r="C2186" s="198"/>
      <c r="D2186" s="198"/>
      <c r="E2186" s="537"/>
      <c r="G2186" s="198"/>
      <c r="H2186" s="123"/>
    </row>
    <row r="2187" spans="3:8" s="99" customFormat="1" x14ac:dyDescent="0.2">
      <c r="C2187" s="198"/>
      <c r="D2187" s="198"/>
      <c r="E2187" s="537"/>
      <c r="G2187" s="198"/>
      <c r="H2187" s="123"/>
    </row>
    <row r="2188" spans="3:8" s="99" customFormat="1" x14ac:dyDescent="0.2">
      <c r="C2188" s="198"/>
      <c r="D2188" s="198"/>
      <c r="E2188" s="537"/>
      <c r="G2188" s="198"/>
      <c r="H2188" s="123"/>
    </row>
    <row r="2189" spans="3:8" s="99" customFormat="1" x14ac:dyDescent="0.2">
      <c r="C2189" s="198"/>
      <c r="D2189" s="198"/>
      <c r="E2189" s="537"/>
      <c r="G2189" s="198"/>
      <c r="H2189" s="123"/>
    </row>
    <row r="2190" spans="3:8" s="99" customFormat="1" x14ac:dyDescent="0.2">
      <c r="C2190" s="198"/>
      <c r="D2190" s="198"/>
      <c r="E2190" s="537"/>
      <c r="G2190" s="198"/>
      <c r="H2190" s="123"/>
    </row>
    <row r="2191" spans="3:8" s="99" customFormat="1" x14ac:dyDescent="0.2">
      <c r="C2191" s="198"/>
      <c r="D2191" s="198"/>
      <c r="E2191" s="537"/>
      <c r="G2191" s="198"/>
      <c r="H2191" s="123"/>
    </row>
    <row r="2192" spans="3:8" s="99" customFormat="1" x14ac:dyDescent="0.2">
      <c r="C2192" s="198"/>
      <c r="D2192" s="198"/>
      <c r="E2192" s="537"/>
      <c r="G2192" s="198"/>
      <c r="H2192" s="123"/>
    </row>
    <row r="2193" spans="3:8" s="99" customFormat="1" x14ac:dyDescent="0.2">
      <c r="C2193" s="198"/>
      <c r="D2193" s="198"/>
      <c r="E2193" s="537"/>
      <c r="G2193" s="198"/>
      <c r="H2193" s="123"/>
    </row>
    <row r="2194" spans="3:8" s="99" customFormat="1" x14ac:dyDescent="0.2">
      <c r="C2194" s="198"/>
      <c r="D2194" s="198"/>
      <c r="E2194" s="537"/>
      <c r="G2194" s="198"/>
      <c r="H2194" s="123"/>
    </row>
    <row r="2195" spans="3:8" s="99" customFormat="1" x14ac:dyDescent="0.2">
      <c r="C2195" s="198"/>
      <c r="D2195" s="198"/>
      <c r="E2195" s="537"/>
      <c r="G2195" s="198"/>
      <c r="H2195" s="123"/>
    </row>
    <row r="2196" spans="3:8" s="99" customFormat="1" x14ac:dyDescent="0.2">
      <c r="C2196" s="198"/>
      <c r="D2196" s="198"/>
      <c r="E2196" s="537"/>
      <c r="G2196" s="198"/>
      <c r="H2196" s="123"/>
    </row>
    <row r="2197" spans="3:8" s="99" customFormat="1" x14ac:dyDescent="0.2">
      <c r="C2197" s="198"/>
      <c r="D2197" s="198"/>
      <c r="E2197" s="537"/>
      <c r="G2197" s="198"/>
      <c r="H2197" s="123"/>
    </row>
    <row r="2198" spans="3:8" s="99" customFormat="1" x14ac:dyDescent="0.2">
      <c r="C2198" s="198"/>
      <c r="D2198" s="198"/>
      <c r="E2198" s="537"/>
      <c r="G2198" s="198"/>
      <c r="H2198" s="123"/>
    </row>
    <row r="2199" spans="3:8" s="99" customFormat="1" x14ac:dyDescent="0.2">
      <c r="C2199" s="198"/>
      <c r="D2199" s="198"/>
      <c r="E2199" s="537"/>
      <c r="G2199" s="198"/>
      <c r="H2199" s="123"/>
    </row>
    <row r="2200" spans="3:8" s="99" customFormat="1" x14ac:dyDescent="0.2">
      <c r="C2200" s="198"/>
      <c r="D2200" s="198"/>
      <c r="E2200" s="537"/>
      <c r="G2200" s="198"/>
      <c r="H2200" s="123"/>
    </row>
    <row r="2201" spans="3:8" s="99" customFormat="1" x14ac:dyDescent="0.2">
      <c r="C2201" s="198"/>
      <c r="D2201" s="198"/>
      <c r="E2201" s="537"/>
      <c r="G2201" s="198"/>
      <c r="H2201" s="123"/>
    </row>
    <row r="2202" spans="3:8" s="99" customFormat="1" x14ac:dyDescent="0.2">
      <c r="C2202" s="198"/>
      <c r="D2202" s="198"/>
      <c r="E2202" s="537"/>
      <c r="G2202" s="198"/>
      <c r="H2202" s="123"/>
    </row>
    <row r="2203" spans="3:8" s="99" customFormat="1" x14ac:dyDescent="0.2">
      <c r="C2203" s="198"/>
      <c r="D2203" s="198"/>
      <c r="E2203" s="537"/>
      <c r="G2203" s="198"/>
      <c r="H2203" s="123"/>
    </row>
    <row r="2204" spans="3:8" s="99" customFormat="1" x14ac:dyDescent="0.2">
      <c r="C2204" s="198"/>
      <c r="D2204" s="198"/>
      <c r="E2204" s="537"/>
      <c r="G2204" s="198"/>
      <c r="H2204" s="123"/>
    </row>
    <row r="2205" spans="3:8" s="99" customFormat="1" x14ac:dyDescent="0.2">
      <c r="C2205" s="198"/>
      <c r="D2205" s="198"/>
      <c r="E2205" s="537"/>
      <c r="G2205" s="198"/>
      <c r="H2205" s="123"/>
    </row>
    <row r="2206" spans="3:8" s="99" customFormat="1" x14ac:dyDescent="0.2">
      <c r="C2206" s="198"/>
      <c r="D2206" s="198"/>
      <c r="E2206" s="537"/>
      <c r="G2206" s="198"/>
      <c r="H2206" s="123"/>
    </row>
    <row r="2207" spans="3:8" s="99" customFormat="1" x14ac:dyDescent="0.2">
      <c r="C2207" s="198"/>
      <c r="D2207" s="198"/>
      <c r="E2207" s="537"/>
      <c r="G2207" s="198"/>
      <c r="H2207" s="123"/>
    </row>
    <row r="2208" spans="3:8" s="99" customFormat="1" x14ac:dyDescent="0.2">
      <c r="C2208" s="198"/>
      <c r="D2208" s="198"/>
      <c r="E2208" s="537"/>
      <c r="G2208" s="198"/>
      <c r="H2208" s="123"/>
    </row>
    <row r="2209" spans="3:8" s="99" customFormat="1" x14ac:dyDescent="0.2">
      <c r="C2209" s="198"/>
      <c r="D2209" s="198"/>
      <c r="E2209" s="537"/>
      <c r="G2209" s="198"/>
      <c r="H2209" s="123"/>
    </row>
    <row r="2210" spans="3:8" s="99" customFormat="1" x14ac:dyDescent="0.2">
      <c r="C2210" s="198"/>
      <c r="D2210" s="198"/>
      <c r="E2210" s="537"/>
      <c r="G2210" s="198"/>
      <c r="H2210" s="123"/>
    </row>
    <row r="2211" spans="3:8" s="99" customFormat="1" x14ac:dyDescent="0.2">
      <c r="C2211" s="198"/>
      <c r="D2211" s="198"/>
      <c r="E2211" s="537"/>
      <c r="G2211" s="198"/>
      <c r="H2211" s="123"/>
    </row>
    <row r="2212" spans="3:8" s="99" customFormat="1" x14ac:dyDescent="0.2">
      <c r="C2212" s="198"/>
      <c r="D2212" s="198"/>
      <c r="E2212" s="537"/>
      <c r="G2212" s="198"/>
      <c r="H2212" s="123"/>
    </row>
    <row r="2213" spans="3:8" s="99" customFormat="1" x14ac:dyDescent="0.2">
      <c r="C2213" s="198"/>
      <c r="D2213" s="198"/>
      <c r="E2213" s="537"/>
      <c r="G2213" s="198"/>
      <c r="H2213" s="123"/>
    </row>
    <row r="2214" spans="3:8" s="99" customFormat="1" x14ac:dyDescent="0.2">
      <c r="C2214" s="198"/>
      <c r="D2214" s="198"/>
      <c r="E2214" s="537"/>
      <c r="G2214" s="198"/>
      <c r="H2214" s="123"/>
    </row>
    <row r="2215" spans="3:8" s="99" customFormat="1" x14ac:dyDescent="0.2">
      <c r="C2215" s="198"/>
      <c r="D2215" s="198"/>
      <c r="E2215" s="537"/>
      <c r="G2215" s="198"/>
      <c r="H2215" s="123"/>
    </row>
    <row r="2216" spans="3:8" s="99" customFormat="1" x14ac:dyDescent="0.2">
      <c r="C2216" s="198"/>
      <c r="D2216" s="198"/>
      <c r="E2216" s="537"/>
      <c r="G2216" s="198"/>
      <c r="H2216" s="123"/>
    </row>
    <row r="2217" spans="3:8" s="99" customFormat="1" x14ac:dyDescent="0.2">
      <c r="C2217" s="198"/>
      <c r="D2217" s="198"/>
      <c r="E2217" s="537"/>
      <c r="G2217" s="198"/>
      <c r="H2217" s="123"/>
    </row>
    <row r="2218" spans="3:8" s="99" customFormat="1" x14ac:dyDescent="0.2">
      <c r="C2218" s="198"/>
      <c r="D2218" s="198"/>
      <c r="E2218" s="537"/>
      <c r="G2218" s="198"/>
      <c r="H2218" s="123"/>
    </row>
    <row r="2219" spans="3:8" s="99" customFormat="1" x14ac:dyDescent="0.2">
      <c r="C2219" s="198"/>
      <c r="D2219" s="198"/>
      <c r="E2219" s="537"/>
      <c r="G2219" s="198"/>
      <c r="H2219" s="123"/>
    </row>
    <row r="2220" spans="3:8" s="99" customFormat="1" x14ac:dyDescent="0.2">
      <c r="C2220" s="198"/>
      <c r="D2220" s="198"/>
      <c r="E2220" s="537"/>
      <c r="G2220" s="198"/>
      <c r="H2220" s="123"/>
    </row>
    <row r="2221" spans="3:8" s="99" customFormat="1" x14ac:dyDescent="0.2">
      <c r="C2221" s="198"/>
      <c r="D2221" s="198"/>
      <c r="E2221" s="537"/>
      <c r="G2221" s="198"/>
      <c r="H2221" s="123"/>
    </row>
    <row r="2222" spans="3:8" s="99" customFormat="1" x14ac:dyDescent="0.2">
      <c r="C2222" s="198"/>
      <c r="D2222" s="198"/>
      <c r="E2222" s="537"/>
      <c r="G2222" s="198"/>
      <c r="H2222" s="123"/>
    </row>
    <row r="2223" spans="3:8" s="99" customFormat="1" x14ac:dyDescent="0.2">
      <c r="C2223" s="198"/>
      <c r="D2223" s="198"/>
      <c r="E2223" s="537"/>
      <c r="G2223" s="198"/>
      <c r="H2223" s="123"/>
    </row>
    <row r="2224" spans="3:8" s="99" customFormat="1" x14ac:dyDescent="0.2">
      <c r="C2224" s="198"/>
      <c r="D2224" s="198"/>
      <c r="E2224" s="537"/>
      <c r="G2224" s="198"/>
      <c r="H2224" s="123"/>
    </row>
    <row r="2225" spans="3:8" s="99" customFormat="1" x14ac:dyDescent="0.2">
      <c r="C2225" s="198"/>
      <c r="D2225" s="198"/>
      <c r="E2225" s="537"/>
      <c r="G2225" s="198"/>
      <c r="H2225" s="123"/>
    </row>
    <row r="2226" spans="3:8" s="99" customFormat="1" x14ac:dyDescent="0.2">
      <c r="C2226" s="198"/>
      <c r="D2226" s="198"/>
      <c r="E2226" s="537"/>
      <c r="G2226" s="198"/>
      <c r="H2226" s="123"/>
    </row>
    <row r="2227" spans="3:8" s="99" customFormat="1" x14ac:dyDescent="0.2">
      <c r="C2227" s="198"/>
      <c r="D2227" s="198"/>
      <c r="E2227" s="537"/>
      <c r="G2227" s="198"/>
      <c r="H2227" s="123"/>
    </row>
    <row r="2228" spans="3:8" s="99" customFormat="1" x14ac:dyDescent="0.2">
      <c r="C2228" s="198"/>
      <c r="D2228" s="198"/>
      <c r="E2228" s="537"/>
      <c r="G2228" s="198"/>
      <c r="H2228" s="123"/>
    </row>
    <row r="2229" spans="3:8" s="99" customFormat="1" x14ac:dyDescent="0.2">
      <c r="C2229" s="198"/>
      <c r="D2229" s="198"/>
      <c r="E2229" s="537"/>
      <c r="G2229" s="198"/>
      <c r="H2229" s="123"/>
    </row>
    <row r="2230" spans="3:8" s="99" customFormat="1" x14ac:dyDescent="0.2">
      <c r="C2230" s="198"/>
      <c r="D2230" s="198"/>
      <c r="E2230" s="537"/>
      <c r="G2230" s="198"/>
      <c r="H2230" s="123"/>
    </row>
    <row r="2231" spans="3:8" s="99" customFormat="1" x14ac:dyDescent="0.2">
      <c r="C2231" s="198"/>
      <c r="D2231" s="198"/>
      <c r="E2231" s="537"/>
      <c r="G2231" s="198"/>
      <c r="H2231" s="123"/>
    </row>
    <row r="2232" spans="3:8" s="99" customFormat="1" x14ac:dyDescent="0.2">
      <c r="C2232" s="198"/>
      <c r="D2232" s="198"/>
      <c r="E2232" s="537"/>
      <c r="G2232" s="198"/>
      <c r="H2232" s="123"/>
    </row>
    <row r="2233" spans="3:8" s="99" customFormat="1" x14ac:dyDescent="0.2">
      <c r="C2233" s="198"/>
      <c r="D2233" s="198"/>
      <c r="E2233" s="537"/>
      <c r="G2233" s="198"/>
      <c r="H2233" s="123"/>
    </row>
    <row r="2234" spans="3:8" s="99" customFormat="1" x14ac:dyDescent="0.2">
      <c r="C2234" s="198"/>
      <c r="D2234" s="198"/>
      <c r="E2234" s="537"/>
      <c r="G2234" s="198"/>
      <c r="H2234" s="123"/>
    </row>
    <row r="2235" spans="3:8" s="99" customFormat="1" x14ac:dyDescent="0.2">
      <c r="C2235" s="198"/>
      <c r="D2235" s="198"/>
      <c r="E2235" s="537"/>
      <c r="G2235" s="198"/>
      <c r="H2235" s="123"/>
    </row>
    <row r="2236" spans="3:8" s="99" customFormat="1" x14ac:dyDescent="0.2">
      <c r="C2236" s="198"/>
      <c r="D2236" s="198"/>
      <c r="E2236" s="537"/>
      <c r="G2236" s="198"/>
      <c r="H2236" s="123"/>
    </row>
    <row r="2237" spans="3:8" s="99" customFormat="1" x14ac:dyDescent="0.2">
      <c r="C2237" s="198"/>
      <c r="D2237" s="198"/>
      <c r="E2237" s="537"/>
      <c r="G2237" s="198"/>
      <c r="H2237" s="123"/>
    </row>
    <row r="2238" spans="3:8" s="99" customFormat="1" x14ac:dyDescent="0.2">
      <c r="C2238" s="198"/>
      <c r="D2238" s="198"/>
      <c r="E2238" s="537"/>
      <c r="G2238" s="198"/>
      <c r="H2238" s="123"/>
    </row>
    <row r="2239" spans="3:8" s="99" customFormat="1" x14ac:dyDescent="0.2">
      <c r="C2239" s="198"/>
      <c r="D2239" s="198"/>
      <c r="E2239" s="537"/>
      <c r="G2239" s="198"/>
      <c r="H2239" s="123"/>
    </row>
    <row r="2240" spans="3:8" s="99" customFormat="1" x14ac:dyDescent="0.2">
      <c r="C2240" s="198"/>
      <c r="D2240" s="198"/>
      <c r="E2240" s="537"/>
      <c r="G2240" s="198"/>
      <c r="H2240" s="123"/>
    </row>
    <row r="2241" spans="3:8" s="99" customFormat="1" x14ac:dyDescent="0.2">
      <c r="C2241" s="198"/>
      <c r="D2241" s="198"/>
      <c r="E2241" s="537"/>
      <c r="G2241" s="198"/>
      <c r="H2241" s="123"/>
    </row>
    <row r="2242" spans="3:8" s="99" customFormat="1" x14ac:dyDescent="0.2">
      <c r="C2242" s="198"/>
      <c r="D2242" s="198"/>
      <c r="E2242" s="537"/>
      <c r="G2242" s="198"/>
      <c r="H2242" s="123"/>
    </row>
    <row r="2243" spans="3:8" s="99" customFormat="1" x14ac:dyDescent="0.2">
      <c r="C2243" s="198"/>
      <c r="D2243" s="198"/>
      <c r="E2243" s="537"/>
      <c r="G2243" s="198"/>
      <c r="H2243" s="123"/>
    </row>
    <row r="2244" spans="3:8" s="99" customFormat="1" x14ac:dyDescent="0.2">
      <c r="C2244" s="198"/>
      <c r="D2244" s="198"/>
      <c r="E2244" s="537"/>
      <c r="G2244" s="198"/>
      <c r="H2244" s="123"/>
    </row>
    <row r="2245" spans="3:8" s="99" customFormat="1" x14ac:dyDescent="0.2">
      <c r="C2245" s="198"/>
      <c r="D2245" s="198"/>
      <c r="E2245" s="537"/>
      <c r="G2245" s="198"/>
      <c r="H2245" s="123"/>
    </row>
    <row r="2246" spans="3:8" s="99" customFormat="1" x14ac:dyDescent="0.2">
      <c r="C2246" s="198"/>
      <c r="D2246" s="198"/>
      <c r="E2246" s="537"/>
      <c r="G2246" s="198"/>
      <c r="H2246" s="123"/>
    </row>
    <row r="2247" spans="3:8" s="99" customFormat="1" x14ac:dyDescent="0.2">
      <c r="C2247" s="198"/>
      <c r="D2247" s="198"/>
      <c r="E2247" s="537"/>
      <c r="G2247" s="198"/>
      <c r="H2247" s="123"/>
    </row>
    <row r="2248" spans="3:8" s="99" customFormat="1" x14ac:dyDescent="0.2">
      <c r="C2248" s="198"/>
      <c r="D2248" s="198"/>
      <c r="E2248" s="537"/>
      <c r="G2248" s="198"/>
      <c r="H2248" s="123"/>
    </row>
    <row r="2249" spans="3:8" s="99" customFormat="1" x14ac:dyDescent="0.2">
      <c r="C2249" s="198"/>
      <c r="D2249" s="198"/>
      <c r="E2249" s="537"/>
      <c r="G2249" s="198"/>
      <c r="H2249" s="123"/>
    </row>
    <row r="2250" spans="3:8" s="99" customFormat="1" x14ac:dyDescent="0.2">
      <c r="C2250" s="198"/>
      <c r="D2250" s="198"/>
      <c r="E2250" s="537"/>
      <c r="G2250" s="198"/>
      <c r="H2250" s="123"/>
    </row>
    <row r="2251" spans="3:8" s="99" customFormat="1" x14ac:dyDescent="0.2">
      <c r="C2251" s="198"/>
      <c r="D2251" s="198"/>
      <c r="E2251" s="537"/>
      <c r="G2251" s="198"/>
      <c r="H2251" s="123"/>
    </row>
    <row r="2252" spans="3:8" s="99" customFormat="1" x14ac:dyDescent="0.2">
      <c r="C2252" s="198"/>
      <c r="D2252" s="198"/>
      <c r="E2252" s="537"/>
      <c r="G2252" s="198"/>
      <c r="H2252" s="123"/>
    </row>
    <row r="2253" spans="3:8" s="99" customFormat="1" x14ac:dyDescent="0.2">
      <c r="C2253" s="198"/>
      <c r="D2253" s="198"/>
      <c r="E2253" s="537"/>
      <c r="G2253" s="198"/>
      <c r="H2253" s="123"/>
    </row>
    <row r="2254" spans="3:8" s="99" customFormat="1" x14ac:dyDescent="0.2">
      <c r="C2254" s="198"/>
      <c r="D2254" s="198"/>
      <c r="E2254" s="537"/>
      <c r="G2254" s="198"/>
      <c r="H2254" s="123"/>
    </row>
    <row r="2255" spans="3:8" s="99" customFormat="1" x14ac:dyDescent="0.2">
      <c r="C2255" s="198"/>
      <c r="D2255" s="198"/>
      <c r="E2255" s="537"/>
      <c r="G2255" s="198"/>
      <c r="H2255" s="123"/>
    </row>
    <row r="2256" spans="3:8" s="99" customFormat="1" x14ac:dyDescent="0.2">
      <c r="C2256" s="198"/>
      <c r="D2256" s="198"/>
      <c r="E2256" s="537"/>
      <c r="G2256" s="198"/>
      <c r="H2256" s="123"/>
    </row>
    <row r="2257" spans="3:8" s="99" customFormat="1" x14ac:dyDescent="0.2">
      <c r="C2257" s="198"/>
      <c r="D2257" s="198"/>
      <c r="E2257" s="537"/>
      <c r="G2257" s="198"/>
      <c r="H2257" s="123"/>
    </row>
    <row r="2258" spans="3:8" s="99" customFormat="1" x14ac:dyDescent="0.2">
      <c r="C2258" s="198"/>
      <c r="D2258" s="198"/>
      <c r="E2258" s="537"/>
      <c r="G2258" s="198"/>
      <c r="H2258" s="123"/>
    </row>
    <row r="2259" spans="3:8" s="99" customFormat="1" x14ac:dyDescent="0.2">
      <c r="C2259" s="198"/>
      <c r="D2259" s="198"/>
      <c r="E2259" s="537"/>
      <c r="G2259" s="198"/>
      <c r="H2259" s="123"/>
    </row>
    <row r="2260" spans="3:8" s="99" customFormat="1" x14ac:dyDescent="0.2">
      <c r="C2260" s="198"/>
      <c r="D2260" s="198"/>
      <c r="E2260" s="537"/>
      <c r="G2260" s="198"/>
      <c r="H2260" s="123"/>
    </row>
    <row r="2261" spans="3:8" s="99" customFormat="1" x14ac:dyDescent="0.2">
      <c r="C2261" s="198"/>
      <c r="D2261" s="198"/>
      <c r="E2261" s="537"/>
      <c r="G2261" s="198"/>
      <c r="H2261" s="123"/>
    </row>
    <row r="2262" spans="3:8" s="99" customFormat="1" x14ac:dyDescent="0.2">
      <c r="C2262" s="198"/>
      <c r="D2262" s="198"/>
      <c r="E2262" s="537"/>
      <c r="G2262" s="198"/>
      <c r="H2262" s="123"/>
    </row>
    <row r="2263" spans="3:8" s="99" customFormat="1" x14ac:dyDescent="0.2">
      <c r="C2263" s="198"/>
      <c r="D2263" s="198"/>
      <c r="E2263" s="537"/>
      <c r="G2263" s="198"/>
      <c r="H2263" s="123"/>
    </row>
    <row r="2264" spans="3:8" s="99" customFormat="1" x14ac:dyDescent="0.2">
      <c r="C2264" s="198"/>
      <c r="D2264" s="198"/>
      <c r="E2264" s="537"/>
      <c r="G2264" s="198"/>
      <c r="H2264" s="123"/>
    </row>
    <row r="2265" spans="3:8" s="99" customFormat="1" x14ac:dyDescent="0.2">
      <c r="C2265" s="198"/>
      <c r="D2265" s="198"/>
      <c r="E2265" s="537"/>
      <c r="G2265" s="198"/>
      <c r="H2265" s="123"/>
    </row>
    <row r="2266" spans="3:8" s="99" customFormat="1" x14ac:dyDescent="0.2">
      <c r="C2266" s="198"/>
      <c r="D2266" s="198"/>
      <c r="E2266" s="537"/>
      <c r="G2266" s="198"/>
      <c r="H2266" s="123"/>
    </row>
    <row r="2267" spans="3:8" s="99" customFormat="1" x14ac:dyDescent="0.2">
      <c r="C2267" s="198"/>
      <c r="D2267" s="198"/>
      <c r="E2267" s="537"/>
      <c r="G2267" s="198"/>
      <c r="H2267" s="123"/>
    </row>
    <row r="2268" spans="3:8" s="99" customFormat="1" x14ac:dyDescent="0.2">
      <c r="C2268" s="198"/>
      <c r="D2268" s="198"/>
      <c r="E2268" s="537"/>
      <c r="G2268" s="198"/>
      <c r="H2268" s="123"/>
    </row>
    <row r="2269" spans="3:8" s="99" customFormat="1" x14ac:dyDescent="0.2">
      <c r="C2269" s="198"/>
      <c r="D2269" s="198"/>
      <c r="E2269" s="537"/>
      <c r="G2269" s="198"/>
      <c r="H2269" s="123"/>
    </row>
    <row r="2270" spans="3:8" s="99" customFormat="1" x14ac:dyDescent="0.2">
      <c r="C2270" s="198"/>
      <c r="D2270" s="198"/>
      <c r="E2270" s="537"/>
      <c r="G2270" s="198"/>
      <c r="H2270" s="123"/>
    </row>
    <row r="2271" spans="3:8" s="99" customFormat="1" x14ac:dyDescent="0.2">
      <c r="C2271" s="198"/>
      <c r="D2271" s="198"/>
      <c r="E2271" s="537"/>
      <c r="G2271" s="198"/>
      <c r="H2271" s="123"/>
    </row>
    <row r="2272" spans="3:8" s="99" customFormat="1" x14ac:dyDescent="0.2">
      <c r="C2272" s="198"/>
      <c r="D2272" s="198"/>
      <c r="E2272" s="537"/>
      <c r="G2272" s="198"/>
      <c r="H2272" s="123"/>
    </row>
    <row r="2273" spans="3:8" s="99" customFormat="1" x14ac:dyDescent="0.2">
      <c r="C2273" s="198"/>
      <c r="D2273" s="198"/>
      <c r="E2273" s="537"/>
      <c r="G2273" s="198"/>
      <c r="H2273" s="123"/>
    </row>
    <row r="2274" spans="3:8" s="99" customFormat="1" x14ac:dyDescent="0.2">
      <c r="C2274" s="198"/>
      <c r="D2274" s="198"/>
      <c r="E2274" s="537"/>
      <c r="G2274" s="198"/>
      <c r="H2274" s="123"/>
    </row>
    <row r="2275" spans="3:8" s="99" customFormat="1" x14ac:dyDescent="0.2">
      <c r="C2275" s="198"/>
      <c r="D2275" s="198"/>
      <c r="E2275" s="537"/>
      <c r="G2275" s="198"/>
      <c r="H2275" s="123"/>
    </row>
    <row r="2276" spans="3:8" s="99" customFormat="1" x14ac:dyDescent="0.2">
      <c r="C2276" s="198"/>
      <c r="D2276" s="198"/>
      <c r="E2276" s="537"/>
      <c r="G2276" s="198"/>
      <c r="H2276" s="123"/>
    </row>
    <row r="2277" spans="3:8" s="99" customFormat="1" x14ac:dyDescent="0.2">
      <c r="C2277" s="198"/>
      <c r="D2277" s="198"/>
      <c r="E2277" s="537"/>
      <c r="G2277" s="198"/>
      <c r="H2277" s="123"/>
    </row>
    <row r="2278" spans="3:8" s="99" customFormat="1" x14ac:dyDescent="0.2">
      <c r="C2278" s="198"/>
      <c r="D2278" s="198"/>
      <c r="E2278" s="537"/>
      <c r="G2278" s="198"/>
      <c r="H2278" s="123"/>
    </row>
    <row r="2279" spans="3:8" s="99" customFormat="1" x14ac:dyDescent="0.2">
      <c r="C2279" s="198"/>
      <c r="D2279" s="198"/>
      <c r="E2279" s="537"/>
      <c r="G2279" s="198"/>
      <c r="H2279" s="123"/>
    </row>
    <row r="2280" spans="3:8" s="99" customFormat="1" x14ac:dyDescent="0.2">
      <c r="C2280" s="198"/>
      <c r="D2280" s="198"/>
      <c r="E2280" s="537"/>
      <c r="G2280" s="198"/>
      <c r="H2280" s="123"/>
    </row>
    <row r="2281" spans="3:8" s="99" customFormat="1" x14ac:dyDescent="0.2">
      <c r="C2281" s="198"/>
      <c r="D2281" s="198"/>
      <c r="E2281" s="537"/>
      <c r="G2281" s="198"/>
      <c r="H2281" s="123"/>
    </row>
    <row r="2282" spans="3:8" s="99" customFormat="1" x14ac:dyDescent="0.2">
      <c r="C2282" s="198"/>
      <c r="D2282" s="198"/>
      <c r="E2282" s="537"/>
      <c r="G2282" s="198"/>
      <c r="H2282" s="123"/>
    </row>
    <row r="2283" spans="3:8" s="99" customFormat="1" x14ac:dyDescent="0.2">
      <c r="C2283" s="198"/>
      <c r="D2283" s="198"/>
      <c r="E2283" s="537"/>
      <c r="G2283" s="198"/>
      <c r="H2283" s="123"/>
    </row>
    <row r="2284" spans="3:8" s="99" customFormat="1" x14ac:dyDescent="0.2">
      <c r="C2284" s="198"/>
      <c r="D2284" s="198"/>
      <c r="E2284" s="537"/>
      <c r="G2284" s="198"/>
      <c r="H2284" s="123"/>
    </row>
    <row r="2285" spans="3:8" s="99" customFormat="1" x14ac:dyDescent="0.2">
      <c r="C2285" s="198"/>
      <c r="D2285" s="198"/>
      <c r="E2285" s="537"/>
      <c r="G2285" s="198"/>
      <c r="H2285" s="123"/>
    </row>
    <row r="2286" spans="3:8" s="99" customFormat="1" x14ac:dyDescent="0.2">
      <c r="C2286" s="198"/>
      <c r="D2286" s="198"/>
      <c r="E2286" s="537"/>
      <c r="G2286" s="198"/>
      <c r="H2286" s="123"/>
    </row>
    <row r="2287" spans="3:8" s="99" customFormat="1" x14ac:dyDescent="0.2">
      <c r="C2287" s="198"/>
      <c r="D2287" s="198"/>
      <c r="E2287" s="537"/>
      <c r="G2287" s="198"/>
      <c r="H2287" s="123"/>
    </row>
    <row r="2288" spans="3:8" s="99" customFormat="1" x14ac:dyDescent="0.2">
      <c r="C2288" s="198"/>
      <c r="D2288" s="198"/>
      <c r="E2288" s="537"/>
      <c r="G2288" s="198"/>
      <c r="H2288" s="123"/>
    </row>
    <row r="2289" spans="3:8" s="99" customFormat="1" x14ac:dyDescent="0.2">
      <c r="C2289" s="198"/>
      <c r="D2289" s="198"/>
      <c r="E2289" s="537"/>
      <c r="G2289" s="198"/>
      <c r="H2289" s="123"/>
    </row>
    <row r="2290" spans="3:8" s="99" customFormat="1" x14ac:dyDescent="0.2">
      <c r="C2290" s="198"/>
      <c r="D2290" s="198"/>
      <c r="E2290" s="537"/>
      <c r="G2290" s="198"/>
      <c r="H2290" s="123"/>
    </row>
    <row r="2291" spans="3:8" s="99" customFormat="1" x14ac:dyDescent="0.2">
      <c r="C2291" s="198"/>
      <c r="D2291" s="198"/>
      <c r="E2291" s="537"/>
      <c r="G2291" s="198"/>
      <c r="H2291" s="123"/>
    </row>
    <row r="2292" spans="3:8" s="99" customFormat="1" x14ac:dyDescent="0.2">
      <c r="C2292" s="198"/>
      <c r="D2292" s="198"/>
      <c r="E2292" s="537"/>
      <c r="G2292" s="198"/>
      <c r="H2292" s="123"/>
    </row>
    <row r="2293" spans="3:8" s="99" customFormat="1" x14ac:dyDescent="0.2">
      <c r="C2293" s="198"/>
      <c r="D2293" s="198"/>
      <c r="E2293" s="537"/>
      <c r="G2293" s="198"/>
      <c r="H2293" s="123"/>
    </row>
    <row r="2294" spans="3:8" s="99" customFormat="1" x14ac:dyDescent="0.2">
      <c r="C2294" s="198"/>
      <c r="D2294" s="198"/>
      <c r="E2294" s="537"/>
      <c r="G2294" s="198"/>
      <c r="H2294" s="123"/>
    </row>
    <row r="2295" spans="3:8" s="99" customFormat="1" x14ac:dyDescent="0.2">
      <c r="C2295" s="198"/>
      <c r="D2295" s="198"/>
      <c r="E2295" s="537"/>
      <c r="G2295" s="198"/>
      <c r="H2295" s="123"/>
    </row>
    <row r="2296" spans="3:8" s="99" customFormat="1" x14ac:dyDescent="0.2">
      <c r="C2296" s="198"/>
      <c r="D2296" s="198"/>
      <c r="E2296" s="537"/>
      <c r="G2296" s="198"/>
      <c r="H2296" s="123"/>
    </row>
    <row r="2297" spans="3:8" s="99" customFormat="1" x14ac:dyDescent="0.2">
      <c r="C2297" s="198"/>
      <c r="D2297" s="198"/>
      <c r="E2297" s="537"/>
      <c r="G2297" s="198"/>
      <c r="H2297" s="123"/>
    </row>
    <row r="2298" spans="3:8" s="99" customFormat="1" x14ac:dyDescent="0.2">
      <c r="C2298" s="198"/>
      <c r="D2298" s="198"/>
      <c r="E2298" s="537"/>
      <c r="G2298" s="198"/>
      <c r="H2298" s="123"/>
    </row>
    <row r="2299" spans="3:8" s="99" customFormat="1" x14ac:dyDescent="0.2">
      <c r="C2299" s="198"/>
      <c r="D2299" s="198"/>
      <c r="E2299" s="537"/>
      <c r="G2299" s="198"/>
      <c r="H2299" s="123"/>
    </row>
    <row r="2300" spans="3:8" s="99" customFormat="1" x14ac:dyDescent="0.2">
      <c r="C2300" s="198"/>
      <c r="D2300" s="198"/>
      <c r="E2300" s="537"/>
      <c r="G2300" s="198"/>
      <c r="H2300" s="123"/>
    </row>
    <row r="2301" spans="3:8" s="99" customFormat="1" x14ac:dyDescent="0.2">
      <c r="C2301" s="198"/>
      <c r="D2301" s="198"/>
      <c r="E2301" s="537"/>
      <c r="G2301" s="198"/>
      <c r="H2301" s="123"/>
    </row>
    <row r="2302" spans="3:8" s="99" customFormat="1" x14ac:dyDescent="0.2">
      <c r="C2302" s="198"/>
      <c r="D2302" s="198"/>
      <c r="E2302" s="537"/>
      <c r="G2302" s="198"/>
      <c r="H2302" s="123"/>
    </row>
    <row r="2303" spans="3:8" s="99" customFormat="1" x14ac:dyDescent="0.2">
      <c r="C2303" s="198"/>
      <c r="D2303" s="198"/>
      <c r="E2303" s="537"/>
      <c r="G2303" s="198"/>
      <c r="H2303" s="123"/>
    </row>
    <row r="2304" spans="3:8" s="99" customFormat="1" x14ac:dyDescent="0.2">
      <c r="C2304" s="198"/>
      <c r="D2304" s="198"/>
      <c r="E2304" s="537"/>
      <c r="G2304" s="198"/>
      <c r="H2304" s="123"/>
    </row>
    <row r="2305" spans="3:8" s="99" customFormat="1" x14ac:dyDescent="0.2">
      <c r="C2305" s="198"/>
      <c r="D2305" s="198"/>
      <c r="E2305" s="537"/>
      <c r="G2305" s="198"/>
      <c r="H2305" s="123"/>
    </row>
    <row r="2306" spans="3:8" s="99" customFormat="1" x14ac:dyDescent="0.2">
      <c r="C2306" s="198"/>
      <c r="D2306" s="198"/>
      <c r="E2306" s="537"/>
      <c r="G2306" s="198"/>
      <c r="H2306" s="123"/>
    </row>
    <row r="2307" spans="3:8" s="99" customFormat="1" x14ac:dyDescent="0.2">
      <c r="C2307" s="198"/>
      <c r="D2307" s="198"/>
      <c r="E2307" s="537"/>
      <c r="G2307" s="198"/>
      <c r="H2307" s="123"/>
    </row>
    <row r="2308" spans="3:8" s="99" customFormat="1" x14ac:dyDescent="0.2">
      <c r="C2308" s="198"/>
      <c r="D2308" s="198"/>
      <c r="E2308" s="537"/>
      <c r="G2308" s="198"/>
      <c r="H2308" s="123"/>
    </row>
    <row r="2309" spans="3:8" s="99" customFormat="1" x14ac:dyDescent="0.2">
      <c r="C2309" s="198"/>
      <c r="D2309" s="198"/>
      <c r="E2309" s="537"/>
      <c r="G2309" s="198"/>
      <c r="H2309" s="123"/>
    </row>
    <row r="2310" spans="3:8" s="99" customFormat="1" x14ac:dyDescent="0.2">
      <c r="C2310" s="198"/>
      <c r="D2310" s="198"/>
      <c r="E2310" s="537"/>
      <c r="G2310" s="198"/>
      <c r="H2310" s="123"/>
    </row>
    <row r="2311" spans="3:8" s="99" customFormat="1" x14ac:dyDescent="0.2">
      <c r="C2311" s="198"/>
      <c r="D2311" s="198"/>
      <c r="E2311" s="537"/>
      <c r="G2311" s="198"/>
      <c r="H2311" s="123"/>
    </row>
    <row r="2312" spans="3:8" s="99" customFormat="1" x14ac:dyDescent="0.2">
      <c r="C2312" s="198"/>
      <c r="D2312" s="198"/>
      <c r="E2312" s="537"/>
      <c r="G2312" s="198"/>
      <c r="H2312" s="123"/>
    </row>
    <row r="2313" spans="3:8" s="99" customFormat="1" x14ac:dyDescent="0.2">
      <c r="C2313" s="198"/>
      <c r="D2313" s="198"/>
      <c r="E2313" s="537"/>
      <c r="G2313" s="198"/>
      <c r="H2313" s="123"/>
    </row>
    <row r="2314" spans="3:8" s="99" customFormat="1" x14ac:dyDescent="0.2">
      <c r="C2314" s="198"/>
      <c r="D2314" s="198"/>
      <c r="E2314" s="537"/>
      <c r="G2314" s="198"/>
      <c r="H2314" s="123"/>
    </row>
    <row r="2315" spans="3:8" s="99" customFormat="1" x14ac:dyDescent="0.2">
      <c r="C2315" s="198"/>
      <c r="D2315" s="198"/>
      <c r="E2315" s="537"/>
      <c r="G2315" s="198"/>
      <c r="H2315" s="123"/>
    </row>
    <row r="2316" spans="3:8" s="99" customFormat="1" x14ac:dyDescent="0.2">
      <c r="C2316" s="198"/>
      <c r="D2316" s="198"/>
      <c r="E2316" s="537"/>
      <c r="G2316" s="198"/>
      <c r="H2316" s="123"/>
    </row>
    <row r="2317" spans="3:8" s="99" customFormat="1" x14ac:dyDescent="0.2">
      <c r="C2317" s="198"/>
      <c r="D2317" s="198"/>
      <c r="E2317" s="537"/>
      <c r="G2317" s="198"/>
      <c r="H2317" s="123"/>
    </row>
    <row r="2318" spans="3:8" s="99" customFormat="1" x14ac:dyDescent="0.2">
      <c r="C2318" s="198"/>
      <c r="D2318" s="198"/>
      <c r="E2318" s="537"/>
      <c r="G2318" s="198"/>
      <c r="H2318" s="123"/>
    </row>
    <row r="2319" spans="3:8" s="99" customFormat="1" x14ac:dyDescent="0.2">
      <c r="C2319" s="198"/>
      <c r="D2319" s="198"/>
      <c r="E2319" s="537"/>
      <c r="G2319" s="198"/>
      <c r="H2319" s="123"/>
    </row>
    <row r="2320" spans="3:8" s="99" customFormat="1" x14ac:dyDescent="0.2">
      <c r="C2320" s="198"/>
      <c r="D2320" s="198"/>
      <c r="E2320" s="537"/>
      <c r="G2320" s="198"/>
      <c r="H2320" s="123"/>
    </row>
    <row r="2321" spans="3:8" s="99" customFormat="1" x14ac:dyDescent="0.2">
      <c r="C2321" s="198"/>
      <c r="D2321" s="198"/>
      <c r="E2321" s="537"/>
      <c r="G2321" s="198"/>
      <c r="H2321" s="123"/>
    </row>
    <row r="2322" spans="3:8" s="99" customFormat="1" x14ac:dyDescent="0.2">
      <c r="C2322" s="198"/>
      <c r="D2322" s="198"/>
      <c r="E2322" s="537"/>
      <c r="G2322" s="198"/>
      <c r="H2322" s="123"/>
    </row>
    <row r="2323" spans="3:8" s="99" customFormat="1" x14ac:dyDescent="0.2">
      <c r="C2323" s="198"/>
      <c r="D2323" s="198"/>
      <c r="E2323" s="537"/>
      <c r="G2323" s="198"/>
      <c r="H2323" s="123"/>
    </row>
    <row r="2324" spans="3:8" s="99" customFormat="1" x14ac:dyDescent="0.2">
      <c r="C2324" s="198"/>
      <c r="D2324" s="198"/>
      <c r="E2324" s="537"/>
      <c r="G2324" s="198"/>
      <c r="H2324" s="123"/>
    </row>
    <row r="2325" spans="3:8" s="99" customFormat="1" x14ac:dyDescent="0.2">
      <c r="C2325" s="198"/>
      <c r="D2325" s="198"/>
      <c r="E2325" s="537"/>
      <c r="G2325" s="198"/>
      <c r="H2325" s="123"/>
    </row>
    <row r="2326" spans="3:8" s="99" customFormat="1" x14ac:dyDescent="0.2">
      <c r="C2326" s="198"/>
      <c r="D2326" s="198"/>
      <c r="E2326" s="537"/>
      <c r="G2326" s="198"/>
      <c r="H2326" s="123"/>
    </row>
    <row r="2327" spans="3:8" s="99" customFormat="1" x14ac:dyDescent="0.2">
      <c r="C2327" s="198"/>
      <c r="D2327" s="198"/>
      <c r="E2327" s="537"/>
      <c r="G2327" s="198"/>
      <c r="H2327" s="123"/>
    </row>
    <row r="2328" spans="3:8" s="99" customFormat="1" x14ac:dyDescent="0.2">
      <c r="C2328" s="198"/>
      <c r="D2328" s="198"/>
      <c r="E2328" s="537"/>
      <c r="G2328" s="198"/>
      <c r="H2328" s="123"/>
    </row>
    <row r="2329" spans="3:8" s="99" customFormat="1" x14ac:dyDescent="0.2">
      <c r="C2329" s="198"/>
      <c r="D2329" s="198"/>
      <c r="E2329" s="537"/>
      <c r="G2329" s="198"/>
      <c r="H2329" s="123"/>
    </row>
    <row r="2330" spans="3:8" s="99" customFormat="1" x14ac:dyDescent="0.2">
      <c r="C2330" s="198"/>
      <c r="D2330" s="198"/>
      <c r="E2330" s="537"/>
      <c r="G2330" s="198"/>
      <c r="H2330" s="123"/>
    </row>
    <row r="2331" spans="3:8" s="99" customFormat="1" x14ac:dyDescent="0.2">
      <c r="C2331" s="198"/>
      <c r="D2331" s="198"/>
      <c r="E2331" s="537"/>
      <c r="G2331" s="198"/>
      <c r="H2331" s="123"/>
    </row>
    <row r="2332" spans="3:8" s="99" customFormat="1" x14ac:dyDescent="0.2">
      <c r="C2332" s="198"/>
      <c r="D2332" s="198"/>
      <c r="E2332" s="537"/>
      <c r="G2332" s="198"/>
      <c r="H2332" s="123"/>
    </row>
    <row r="2333" spans="3:8" s="99" customFormat="1" x14ac:dyDescent="0.2">
      <c r="C2333" s="198"/>
      <c r="D2333" s="198"/>
      <c r="E2333" s="537"/>
      <c r="G2333" s="198"/>
      <c r="H2333" s="123"/>
    </row>
    <row r="2334" spans="3:8" s="99" customFormat="1" x14ac:dyDescent="0.2">
      <c r="C2334" s="198"/>
      <c r="D2334" s="198"/>
      <c r="E2334" s="537"/>
      <c r="G2334" s="198"/>
      <c r="H2334" s="123"/>
    </row>
    <row r="2335" spans="3:8" s="99" customFormat="1" x14ac:dyDescent="0.2">
      <c r="C2335" s="198"/>
      <c r="D2335" s="198"/>
      <c r="E2335" s="537"/>
      <c r="G2335" s="198"/>
      <c r="H2335" s="123"/>
    </row>
    <row r="2336" spans="3:8" s="99" customFormat="1" x14ac:dyDescent="0.2">
      <c r="C2336" s="198"/>
      <c r="D2336" s="198"/>
      <c r="E2336" s="537"/>
      <c r="G2336" s="198"/>
      <c r="H2336" s="123"/>
    </row>
    <row r="2337" spans="3:8" s="99" customFormat="1" x14ac:dyDescent="0.2">
      <c r="C2337" s="198"/>
      <c r="D2337" s="198"/>
      <c r="E2337" s="537"/>
      <c r="G2337" s="198"/>
      <c r="H2337" s="123"/>
    </row>
    <row r="2338" spans="3:8" s="99" customFormat="1" x14ac:dyDescent="0.2">
      <c r="C2338" s="198"/>
      <c r="D2338" s="198"/>
      <c r="E2338" s="537"/>
      <c r="G2338" s="198"/>
      <c r="H2338" s="123"/>
    </row>
    <row r="2339" spans="3:8" s="99" customFormat="1" x14ac:dyDescent="0.2">
      <c r="C2339" s="198"/>
      <c r="D2339" s="198"/>
      <c r="E2339" s="537"/>
      <c r="G2339" s="198"/>
      <c r="H2339" s="123"/>
    </row>
    <row r="2340" spans="3:8" s="99" customFormat="1" x14ac:dyDescent="0.2">
      <c r="C2340" s="198"/>
      <c r="D2340" s="198"/>
      <c r="E2340" s="537"/>
      <c r="G2340" s="198"/>
      <c r="H2340" s="123"/>
    </row>
    <row r="2341" spans="3:8" s="99" customFormat="1" x14ac:dyDescent="0.2">
      <c r="C2341" s="198"/>
      <c r="D2341" s="198"/>
      <c r="E2341" s="537"/>
      <c r="G2341" s="198"/>
      <c r="H2341" s="123"/>
    </row>
    <row r="2342" spans="3:8" s="99" customFormat="1" x14ac:dyDescent="0.2">
      <c r="C2342" s="198"/>
      <c r="D2342" s="198"/>
      <c r="E2342" s="537"/>
      <c r="G2342" s="198"/>
      <c r="H2342" s="123"/>
    </row>
    <row r="2343" spans="3:8" s="99" customFormat="1" x14ac:dyDescent="0.2">
      <c r="C2343" s="198"/>
      <c r="D2343" s="198"/>
      <c r="E2343" s="537"/>
      <c r="G2343" s="198"/>
      <c r="H2343" s="123"/>
    </row>
    <row r="2344" spans="3:8" s="99" customFormat="1" x14ac:dyDescent="0.2">
      <c r="C2344" s="198"/>
      <c r="D2344" s="198"/>
      <c r="E2344" s="537"/>
      <c r="G2344" s="198"/>
      <c r="H2344" s="123"/>
    </row>
    <row r="2345" spans="3:8" s="99" customFormat="1" x14ac:dyDescent="0.2">
      <c r="C2345" s="198"/>
      <c r="D2345" s="198"/>
      <c r="E2345" s="537"/>
      <c r="G2345" s="198"/>
      <c r="H2345" s="123"/>
    </row>
    <row r="2346" spans="3:8" s="99" customFormat="1" x14ac:dyDescent="0.2">
      <c r="C2346" s="198"/>
      <c r="D2346" s="198"/>
      <c r="E2346" s="537"/>
      <c r="G2346" s="198"/>
      <c r="H2346" s="123"/>
    </row>
    <row r="2347" spans="3:8" s="99" customFormat="1" x14ac:dyDescent="0.2">
      <c r="C2347" s="198"/>
      <c r="D2347" s="198"/>
      <c r="E2347" s="537"/>
      <c r="G2347" s="198"/>
      <c r="H2347" s="123"/>
    </row>
    <row r="2348" spans="3:8" s="99" customFormat="1" x14ac:dyDescent="0.2">
      <c r="C2348" s="198"/>
      <c r="D2348" s="198"/>
      <c r="E2348" s="537"/>
      <c r="G2348" s="198"/>
      <c r="H2348" s="123"/>
    </row>
    <row r="2349" spans="3:8" s="99" customFormat="1" x14ac:dyDescent="0.2">
      <c r="C2349" s="198"/>
      <c r="D2349" s="198"/>
      <c r="E2349" s="537"/>
      <c r="G2349" s="198"/>
      <c r="H2349" s="123"/>
    </row>
    <row r="2350" spans="3:8" s="99" customFormat="1" x14ac:dyDescent="0.2">
      <c r="C2350" s="198"/>
      <c r="D2350" s="198"/>
      <c r="E2350" s="537"/>
      <c r="G2350" s="198"/>
      <c r="H2350" s="123"/>
    </row>
    <row r="2351" spans="3:8" s="99" customFormat="1" x14ac:dyDescent="0.2">
      <c r="C2351" s="198"/>
      <c r="D2351" s="198"/>
      <c r="E2351" s="537"/>
      <c r="G2351" s="198"/>
      <c r="H2351" s="123"/>
    </row>
    <row r="2352" spans="3:8" s="99" customFormat="1" x14ac:dyDescent="0.2">
      <c r="C2352" s="198"/>
      <c r="D2352" s="198"/>
      <c r="E2352" s="537"/>
      <c r="G2352" s="198"/>
      <c r="H2352" s="123"/>
    </row>
    <row r="2353" spans="3:8" s="99" customFormat="1" x14ac:dyDescent="0.2">
      <c r="C2353" s="198"/>
      <c r="D2353" s="198"/>
      <c r="E2353" s="537"/>
      <c r="G2353" s="198"/>
      <c r="H2353" s="123"/>
    </row>
    <row r="2354" spans="3:8" s="99" customFormat="1" x14ac:dyDescent="0.2">
      <c r="C2354" s="198"/>
      <c r="D2354" s="198"/>
      <c r="E2354" s="537"/>
      <c r="G2354" s="198"/>
      <c r="H2354" s="123"/>
    </row>
    <row r="2355" spans="3:8" s="99" customFormat="1" x14ac:dyDescent="0.2">
      <c r="C2355" s="198"/>
      <c r="D2355" s="198"/>
      <c r="E2355" s="537"/>
      <c r="G2355" s="198"/>
      <c r="H2355" s="123"/>
    </row>
    <row r="2356" spans="3:8" s="99" customFormat="1" x14ac:dyDescent="0.2">
      <c r="C2356" s="198"/>
      <c r="D2356" s="198"/>
      <c r="E2356" s="537"/>
      <c r="G2356" s="198"/>
      <c r="H2356" s="123"/>
    </row>
    <row r="2357" spans="3:8" s="99" customFormat="1" x14ac:dyDescent="0.2">
      <c r="C2357" s="198"/>
      <c r="D2357" s="198"/>
      <c r="E2357" s="537"/>
      <c r="G2357" s="198"/>
      <c r="H2357" s="123"/>
    </row>
    <row r="2358" spans="3:8" s="99" customFormat="1" x14ac:dyDescent="0.2">
      <c r="C2358" s="198"/>
      <c r="D2358" s="198"/>
      <c r="E2358" s="537"/>
      <c r="G2358" s="198"/>
      <c r="H2358" s="123"/>
    </row>
    <row r="2359" spans="3:8" s="99" customFormat="1" x14ac:dyDescent="0.2">
      <c r="C2359" s="198"/>
      <c r="D2359" s="198"/>
      <c r="E2359" s="537"/>
      <c r="G2359" s="198"/>
      <c r="H2359" s="123"/>
    </row>
    <row r="2360" spans="3:8" s="99" customFormat="1" x14ac:dyDescent="0.2">
      <c r="C2360" s="198"/>
      <c r="D2360" s="198"/>
      <c r="E2360" s="537"/>
      <c r="G2360" s="198"/>
      <c r="H2360" s="123"/>
    </row>
    <row r="2361" spans="3:8" s="99" customFormat="1" x14ac:dyDescent="0.2">
      <c r="C2361" s="198"/>
      <c r="D2361" s="198"/>
      <c r="E2361" s="537"/>
      <c r="G2361" s="198"/>
      <c r="H2361" s="123"/>
    </row>
    <row r="2362" spans="3:8" s="99" customFormat="1" x14ac:dyDescent="0.2">
      <c r="C2362" s="198"/>
      <c r="D2362" s="198"/>
      <c r="E2362" s="537"/>
      <c r="G2362" s="198"/>
      <c r="H2362" s="123"/>
    </row>
    <row r="2363" spans="3:8" s="99" customFormat="1" x14ac:dyDescent="0.2">
      <c r="C2363" s="198"/>
      <c r="D2363" s="198"/>
      <c r="E2363" s="537"/>
      <c r="G2363" s="198"/>
      <c r="H2363" s="123"/>
    </row>
    <row r="2364" spans="3:8" s="99" customFormat="1" x14ac:dyDescent="0.2">
      <c r="C2364" s="198"/>
      <c r="D2364" s="198"/>
      <c r="E2364" s="537"/>
      <c r="G2364" s="198"/>
      <c r="H2364" s="123"/>
    </row>
    <row r="2365" spans="3:8" s="99" customFormat="1" x14ac:dyDescent="0.2">
      <c r="C2365" s="198"/>
      <c r="D2365" s="198"/>
      <c r="E2365" s="537"/>
      <c r="G2365" s="198"/>
      <c r="H2365" s="123"/>
    </row>
    <row r="2366" spans="3:8" s="99" customFormat="1" x14ac:dyDescent="0.2">
      <c r="C2366" s="198"/>
      <c r="D2366" s="198"/>
      <c r="E2366" s="537"/>
      <c r="G2366" s="198"/>
      <c r="H2366" s="123"/>
    </row>
    <row r="2367" spans="3:8" s="99" customFormat="1" x14ac:dyDescent="0.2">
      <c r="C2367" s="198"/>
      <c r="D2367" s="198"/>
      <c r="E2367" s="537"/>
      <c r="G2367" s="198"/>
      <c r="H2367" s="123"/>
    </row>
    <row r="2368" spans="3:8" s="99" customFormat="1" x14ac:dyDescent="0.2">
      <c r="C2368" s="198"/>
      <c r="D2368" s="198"/>
      <c r="E2368" s="537"/>
      <c r="G2368" s="198"/>
      <c r="H2368" s="123"/>
    </row>
    <row r="2369" spans="3:8" s="99" customFormat="1" x14ac:dyDescent="0.2">
      <c r="C2369" s="198"/>
      <c r="D2369" s="198"/>
      <c r="E2369" s="537"/>
      <c r="G2369" s="198"/>
      <c r="H2369" s="123"/>
    </row>
    <row r="2370" spans="3:8" s="99" customFormat="1" x14ac:dyDescent="0.2">
      <c r="C2370" s="198"/>
      <c r="D2370" s="198"/>
      <c r="E2370" s="537"/>
      <c r="G2370" s="198"/>
      <c r="H2370" s="123"/>
    </row>
    <row r="2371" spans="3:8" s="99" customFormat="1" x14ac:dyDescent="0.2">
      <c r="C2371" s="198"/>
      <c r="D2371" s="198"/>
      <c r="E2371" s="537"/>
      <c r="G2371" s="198"/>
      <c r="H2371" s="123"/>
    </row>
    <row r="2372" spans="3:8" s="99" customFormat="1" x14ac:dyDescent="0.2">
      <c r="C2372" s="198"/>
      <c r="D2372" s="198"/>
      <c r="E2372" s="537"/>
      <c r="G2372" s="198"/>
      <c r="H2372" s="123"/>
    </row>
    <row r="2373" spans="3:8" s="99" customFormat="1" x14ac:dyDescent="0.2">
      <c r="C2373" s="198"/>
      <c r="D2373" s="198"/>
      <c r="E2373" s="537"/>
      <c r="G2373" s="198"/>
      <c r="H2373" s="123"/>
    </row>
    <row r="2374" spans="3:8" s="99" customFormat="1" x14ac:dyDescent="0.2">
      <c r="C2374" s="198"/>
      <c r="D2374" s="198"/>
      <c r="E2374" s="537"/>
      <c r="G2374" s="198"/>
      <c r="H2374" s="123"/>
    </row>
    <row r="2375" spans="3:8" s="99" customFormat="1" x14ac:dyDescent="0.2">
      <c r="C2375" s="198"/>
      <c r="D2375" s="198"/>
      <c r="E2375" s="537"/>
      <c r="G2375" s="198"/>
      <c r="H2375" s="123"/>
    </row>
    <row r="2376" spans="3:8" s="99" customFormat="1" x14ac:dyDescent="0.2">
      <c r="C2376" s="198"/>
      <c r="D2376" s="198"/>
      <c r="E2376" s="537"/>
      <c r="G2376" s="198"/>
      <c r="H2376" s="123"/>
    </row>
    <row r="2377" spans="3:8" s="99" customFormat="1" x14ac:dyDescent="0.2">
      <c r="C2377" s="198"/>
      <c r="D2377" s="198"/>
      <c r="E2377" s="537"/>
      <c r="G2377" s="198"/>
      <c r="H2377" s="123"/>
    </row>
    <row r="2378" spans="3:8" s="99" customFormat="1" x14ac:dyDescent="0.2">
      <c r="C2378" s="198"/>
      <c r="D2378" s="198"/>
      <c r="E2378" s="537"/>
      <c r="G2378" s="198"/>
      <c r="H2378" s="123"/>
    </row>
    <row r="2379" spans="3:8" s="99" customFormat="1" x14ac:dyDescent="0.2">
      <c r="C2379" s="198"/>
      <c r="D2379" s="198"/>
      <c r="E2379" s="537"/>
      <c r="G2379" s="198"/>
      <c r="H2379" s="123"/>
    </row>
    <row r="2380" spans="3:8" s="99" customFormat="1" x14ac:dyDescent="0.2">
      <c r="C2380" s="198"/>
      <c r="D2380" s="198"/>
      <c r="E2380" s="537"/>
      <c r="G2380" s="198"/>
      <c r="H2380" s="123"/>
    </row>
    <row r="2381" spans="3:8" s="99" customFormat="1" x14ac:dyDescent="0.2">
      <c r="C2381" s="198"/>
      <c r="D2381" s="198"/>
      <c r="E2381" s="537"/>
      <c r="G2381" s="198"/>
      <c r="H2381" s="123"/>
    </row>
    <row r="2382" spans="3:8" s="99" customFormat="1" x14ac:dyDescent="0.2">
      <c r="C2382" s="198"/>
      <c r="D2382" s="198"/>
      <c r="E2382" s="537"/>
      <c r="G2382" s="198"/>
      <c r="H2382" s="123"/>
    </row>
    <row r="2383" spans="3:8" s="99" customFormat="1" x14ac:dyDescent="0.2">
      <c r="C2383" s="198"/>
      <c r="D2383" s="198"/>
      <c r="E2383" s="537"/>
      <c r="G2383" s="198"/>
      <c r="H2383" s="123"/>
    </row>
    <row r="2384" spans="3:8" s="99" customFormat="1" x14ac:dyDescent="0.2">
      <c r="C2384" s="198"/>
      <c r="D2384" s="198"/>
      <c r="E2384" s="537"/>
      <c r="G2384" s="198"/>
      <c r="H2384" s="123"/>
    </row>
    <row r="2385" spans="3:8" s="99" customFormat="1" x14ac:dyDescent="0.2">
      <c r="C2385" s="198"/>
      <c r="D2385" s="198"/>
      <c r="E2385" s="537"/>
      <c r="G2385" s="198"/>
      <c r="H2385" s="123"/>
    </row>
    <row r="2386" spans="3:8" s="99" customFormat="1" x14ac:dyDescent="0.2">
      <c r="C2386" s="198"/>
      <c r="D2386" s="198"/>
      <c r="E2386" s="537"/>
      <c r="G2386" s="198"/>
      <c r="H2386" s="123"/>
    </row>
    <row r="2387" spans="3:8" s="99" customFormat="1" x14ac:dyDescent="0.2">
      <c r="C2387" s="198"/>
      <c r="D2387" s="198"/>
      <c r="E2387" s="537"/>
      <c r="G2387" s="198"/>
      <c r="H2387" s="123"/>
    </row>
    <row r="2388" spans="3:8" s="99" customFormat="1" x14ac:dyDescent="0.2">
      <c r="C2388" s="198"/>
      <c r="D2388" s="198"/>
      <c r="E2388" s="537"/>
      <c r="G2388" s="198"/>
      <c r="H2388" s="123"/>
    </row>
    <row r="2389" spans="3:8" s="99" customFormat="1" x14ac:dyDescent="0.2">
      <c r="C2389" s="198"/>
      <c r="D2389" s="198"/>
      <c r="E2389" s="537"/>
      <c r="G2389" s="198"/>
      <c r="H2389" s="123"/>
    </row>
    <row r="2390" spans="3:8" s="99" customFormat="1" x14ac:dyDescent="0.2">
      <c r="C2390" s="198"/>
      <c r="D2390" s="198"/>
      <c r="E2390" s="537"/>
      <c r="G2390" s="198"/>
      <c r="H2390" s="123"/>
    </row>
    <row r="2391" spans="3:8" s="99" customFormat="1" x14ac:dyDescent="0.2">
      <c r="C2391" s="198"/>
      <c r="D2391" s="198"/>
      <c r="E2391" s="537"/>
      <c r="G2391" s="198"/>
      <c r="H2391" s="123"/>
    </row>
    <row r="2392" spans="3:8" s="99" customFormat="1" x14ac:dyDescent="0.2">
      <c r="C2392" s="198"/>
      <c r="D2392" s="198"/>
      <c r="E2392" s="537"/>
      <c r="G2392" s="198"/>
      <c r="H2392" s="123"/>
    </row>
    <row r="2393" spans="3:8" s="99" customFormat="1" x14ac:dyDescent="0.2">
      <c r="C2393" s="198"/>
      <c r="D2393" s="198"/>
      <c r="E2393" s="537"/>
      <c r="G2393" s="198"/>
      <c r="H2393" s="123"/>
    </row>
    <row r="2394" spans="3:8" s="99" customFormat="1" x14ac:dyDescent="0.2">
      <c r="C2394" s="198"/>
      <c r="D2394" s="198"/>
      <c r="E2394" s="537"/>
      <c r="G2394" s="198"/>
      <c r="H2394" s="123"/>
    </row>
    <row r="2395" spans="3:8" s="99" customFormat="1" x14ac:dyDescent="0.2">
      <c r="C2395" s="198"/>
      <c r="D2395" s="198"/>
      <c r="E2395" s="537"/>
      <c r="G2395" s="198"/>
      <c r="H2395" s="123"/>
    </row>
    <row r="2396" spans="3:8" s="99" customFormat="1" x14ac:dyDescent="0.2">
      <c r="C2396" s="198"/>
      <c r="D2396" s="198"/>
      <c r="E2396" s="537"/>
      <c r="G2396" s="198"/>
      <c r="H2396" s="123"/>
    </row>
    <row r="2397" spans="3:8" s="99" customFormat="1" x14ac:dyDescent="0.2">
      <c r="C2397" s="198"/>
      <c r="D2397" s="198"/>
      <c r="E2397" s="537"/>
      <c r="G2397" s="198"/>
      <c r="H2397" s="123"/>
    </row>
    <row r="2398" spans="3:8" s="99" customFormat="1" x14ac:dyDescent="0.2">
      <c r="C2398" s="198"/>
      <c r="D2398" s="198"/>
      <c r="E2398" s="537"/>
      <c r="G2398" s="198"/>
      <c r="H2398" s="123"/>
    </row>
    <row r="2399" spans="3:8" s="99" customFormat="1" x14ac:dyDescent="0.2">
      <c r="C2399" s="198"/>
      <c r="D2399" s="198"/>
      <c r="E2399" s="537"/>
      <c r="G2399" s="198"/>
      <c r="H2399" s="123"/>
    </row>
    <row r="2400" spans="3:8" s="99" customFormat="1" x14ac:dyDescent="0.2">
      <c r="C2400" s="198"/>
      <c r="D2400" s="198"/>
      <c r="E2400" s="537"/>
      <c r="G2400" s="198"/>
      <c r="H2400" s="123"/>
    </row>
    <row r="2401" spans="3:8" s="99" customFormat="1" x14ac:dyDescent="0.2">
      <c r="C2401" s="198"/>
      <c r="D2401" s="198"/>
      <c r="E2401" s="537"/>
      <c r="G2401" s="198"/>
      <c r="H2401" s="123"/>
    </row>
    <row r="2402" spans="3:8" s="99" customFormat="1" x14ac:dyDescent="0.2">
      <c r="C2402" s="198"/>
      <c r="D2402" s="198"/>
      <c r="E2402" s="537"/>
      <c r="G2402" s="198"/>
      <c r="H2402" s="123"/>
    </row>
    <row r="2403" spans="3:8" s="99" customFormat="1" x14ac:dyDescent="0.2">
      <c r="C2403" s="198"/>
      <c r="D2403" s="198"/>
      <c r="E2403" s="537"/>
      <c r="G2403" s="198"/>
      <c r="H2403" s="123"/>
    </row>
    <row r="2404" spans="3:8" s="99" customFormat="1" x14ac:dyDescent="0.2">
      <c r="C2404" s="198"/>
      <c r="D2404" s="198"/>
      <c r="E2404" s="537"/>
      <c r="G2404" s="198"/>
      <c r="H2404" s="123"/>
    </row>
    <row r="2405" spans="3:8" s="99" customFormat="1" x14ac:dyDescent="0.2">
      <c r="C2405" s="198"/>
      <c r="D2405" s="198"/>
      <c r="E2405" s="537"/>
      <c r="G2405" s="198"/>
      <c r="H2405" s="123"/>
    </row>
    <row r="2406" spans="3:8" s="99" customFormat="1" x14ac:dyDescent="0.2">
      <c r="C2406" s="198"/>
      <c r="D2406" s="198"/>
      <c r="E2406" s="537"/>
      <c r="G2406" s="198"/>
      <c r="H2406" s="123"/>
    </row>
    <row r="2407" spans="3:8" s="99" customFormat="1" x14ac:dyDescent="0.2">
      <c r="C2407" s="198"/>
      <c r="D2407" s="198"/>
      <c r="E2407" s="537"/>
      <c r="G2407" s="198"/>
      <c r="H2407" s="123"/>
    </row>
    <row r="2408" spans="3:8" s="99" customFormat="1" x14ac:dyDescent="0.2">
      <c r="C2408" s="198"/>
      <c r="D2408" s="198"/>
      <c r="E2408" s="537"/>
      <c r="G2408" s="198"/>
      <c r="H2408" s="123"/>
    </row>
    <row r="2409" spans="3:8" s="99" customFormat="1" x14ac:dyDescent="0.2">
      <c r="C2409" s="198"/>
      <c r="D2409" s="198"/>
      <c r="E2409" s="537"/>
      <c r="G2409" s="198"/>
      <c r="H2409" s="123"/>
    </row>
    <row r="2410" spans="3:8" s="99" customFormat="1" x14ac:dyDescent="0.2">
      <c r="C2410" s="198"/>
      <c r="D2410" s="198"/>
      <c r="E2410" s="537"/>
      <c r="G2410" s="198"/>
      <c r="H2410" s="123"/>
    </row>
    <row r="2411" spans="3:8" s="99" customFormat="1" x14ac:dyDescent="0.2">
      <c r="C2411" s="198"/>
      <c r="D2411" s="198"/>
      <c r="E2411" s="537"/>
      <c r="G2411" s="198"/>
      <c r="H2411" s="123"/>
    </row>
    <row r="2412" spans="3:8" s="99" customFormat="1" x14ac:dyDescent="0.2">
      <c r="C2412" s="198"/>
      <c r="D2412" s="198"/>
      <c r="E2412" s="537"/>
      <c r="G2412" s="198"/>
      <c r="H2412" s="123"/>
    </row>
    <row r="2413" spans="3:8" s="99" customFormat="1" x14ac:dyDescent="0.2">
      <c r="C2413" s="198"/>
      <c r="D2413" s="198"/>
      <c r="E2413" s="537"/>
      <c r="G2413" s="198"/>
      <c r="H2413" s="123"/>
    </row>
    <row r="2414" spans="3:8" s="99" customFormat="1" x14ac:dyDescent="0.2">
      <c r="C2414" s="198"/>
      <c r="D2414" s="198"/>
      <c r="E2414" s="537"/>
      <c r="G2414" s="198"/>
      <c r="H2414" s="123"/>
    </row>
    <row r="2415" spans="3:8" s="99" customFormat="1" x14ac:dyDescent="0.2">
      <c r="C2415" s="198"/>
      <c r="D2415" s="198"/>
      <c r="E2415" s="537"/>
      <c r="G2415" s="198"/>
      <c r="H2415" s="123"/>
    </row>
    <row r="2416" spans="3:8" s="99" customFormat="1" x14ac:dyDescent="0.2">
      <c r="C2416" s="198"/>
      <c r="D2416" s="198"/>
      <c r="E2416" s="537"/>
      <c r="G2416" s="198"/>
      <c r="H2416" s="123"/>
    </row>
    <row r="2417" spans="3:8" s="99" customFormat="1" x14ac:dyDescent="0.2">
      <c r="C2417" s="198"/>
      <c r="D2417" s="198"/>
      <c r="E2417" s="537"/>
      <c r="G2417" s="198"/>
      <c r="H2417" s="123"/>
    </row>
    <row r="2418" spans="3:8" s="99" customFormat="1" x14ac:dyDescent="0.2">
      <c r="C2418" s="198"/>
      <c r="D2418" s="198"/>
      <c r="E2418" s="537"/>
      <c r="G2418" s="198"/>
      <c r="H2418" s="123"/>
    </row>
    <row r="2419" spans="3:8" s="99" customFormat="1" x14ac:dyDescent="0.2">
      <c r="C2419" s="198"/>
      <c r="D2419" s="198"/>
      <c r="E2419" s="537"/>
      <c r="G2419" s="198"/>
      <c r="H2419" s="123"/>
    </row>
    <row r="2420" spans="3:8" s="99" customFormat="1" x14ac:dyDescent="0.2">
      <c r="C2420" s="198"/>
      <c r="D2420" s="198"/>
      <c r="E2420" s="537"/>
      <c r="G2420" s="198"/>
      <c r="H2420" s="123"/>
    </row>
    <row r="2421" spans="3:8" s="99" customFormat="1" x14ac:dyDescent="0.2">
      <c r="C2421" s="198"/>
      <c r="D2421" s="198"/>
      <c r="E2421" s="537"/>
      <c r="G2421" s="198"/>
      <c r="H2421" s="123"/>
    </row>
    <row r="2422" spans="3:8" s="99" customFormat="1" x14ac:dyDescent="0.2">
      <c r="C2422" s="198"/>
      <c r="D2422" s="198"/>
      <c r="E2422" s="537"/>
      <c r="G2422" s="198"/>
      <c r="H2422" s="123"/>
    </row>
    <row r="2423" spans="3:8" s="99" customFormat="1" x14ac:dyDescent="0.2">
      <c r="C2423" s="198"/>
      <c r="D2423" s="198"/>
      <c r="E2423" s="537"/>
      <c r="G2423" s="198"/>
      <c r="H2423" s="123"/>
    </row>
    <row r="2424" spans="3:8" s="99" customFormat="1" x14ac:dyDescent="0.2">
      <c r="C2424" s="198"/>
      <c r="D2424" s="198"/>
      <c r="E2424" s="537"/>
      <c r="G2424" s="198"/>
      <c r="H2424" s="123"/>
    </row>
    <row r="2425" spans="3:8" s="99" customFormat="1" x14ac:dyDescent="0.2">
      <c r="C2425" s="198"/>
      <c r="D2425" s="198"/>
      <c r="E2425" s="537"/>
      <c r="G2425" s="198"/>
      <c r="H2425" s="123"/>
    </row>
    <row r="2426" spans="3:8" s="99" customFormat="1" x14ac:dyDescent="0.2">
      <c r="C2426" s="198"/>
      <c r="D2426" s="198"/>
      <c r="E2426" s="537"/>
      <c r="G2426" s="198"/>
      <c r="H2426" s="123"/>
    </row>
    <row r="2427" spans="3:8" s="99" customFormat="1" x14ac:dyDescent="0.2">
      <c r="C2427" s="198"/>
      <c r="D2427" s="198"/>
      <c r="E2427" s="537"/>
      <c r="G2427" s="198"/>
      <c r="H2427" s="123"/>
    </row>
    <row r="2428" spans="3:8" s="99" customFormat="1" x14ac:dyDescent="0.2">
      <c r="C2428" s="198"/>
      <c r="D2428" s="198"/>
      <c r="E2428" s="537"/>
      <c r="G2428" s="198"/>
      <c r="H2428" s="123"/>
    </row>
    <row r="2429" spans="3:8" s="99" customFormat="1" x14ac:dyDescent="0.2">
      <c r="C2429" s="198"/>
      <c r="D2429" s="198"/>
      <c r="E2429" s="537"/>
      <c r="G2429" s="198"/>
      <c r="H2429" s="123"/>
    </row>
    <row r="2430" spans="3:8" s="99" customFormat="1" x14ac:dyDescent="0.2">
      <c r="C2430" s="198"/>
      <c r="D2430" s="198"/>
      <c r="E2430" s="537"/>
      <c r="G2430" s="198"/>
      <c r="H2430" s="123"/>
    </row>
    <row r="2431" spans="3:8" s="99" customFormat="1" x14ac:dyDescent="0.2">
      <c r="C2431" s="198"/>
      <c r="D2431" s="198"/>
      <c r="E2431" s="537"/>
      <c r="G2431" s="198"/>
      <c r="H2431" s="123"/>
    </row>
    <row r="2432" spans="3:8" s="99" customFormat="1" x14ac:dyDescent="0.2">
      <c r="C2432" s="198"/>
      <c r="D2432" s="198"/>
      <c r="E2432" s="537"/>
      <c r="G2432" s="198"/>
      <c r="H2432" s="123"/>
    </row>
    <row r="2433" spans="3:8" s="99" customFormat="1" x14ac:dyDescent="0.2">
      <c r="C2433" s="198"/>
      <c r="D2433" s="198"/>
      <c r="E2433" s="537"/>
      <c r="G2433" s="198"/>
      <c r="H2433" s="123"/>
    </row>
    <row r="2434" spans="3:8" s="99" customFormat="1" x14ac:dyDescent="0.2">
      <c r="C2434" s="198"/>
      <c r="D2434" s="198"/>
      <c r="E2434" s="537"/>
      <c r="G2434" s="198"/>
      <c r="H2434" s="123"/>
    </row>
    <row r="2435" spans="3:8" s="99" customFormat="1" x14ac:dyDescent="0.2">
      <c r="C2435" s="198"/>
      <c r="D2435" s="198"/>
      <c r="E2435" s="537"/>
      <c r="G2435" s="198"/>
      <c r="H2435" s="123"/>
    </row>
    <row r="2436" spans="3:8" s="99" customFormat="1" x14ac:dyDescent="0.2">
      <c r="C2436" s="198"/>
      <c r="D2436" s="198"/>
      <c r="E2436" s="537"/>
      <c r="G2436" s="198"/>
      <c r="H2436" s="123"/>
    </row>
    <row r="2437" spans="3:8" s="99" customFormat="1" x14ac:dyDescent="0.2">
      <c r="C2437" s="198"/>
      <c r="D2437" s="198"/>
      <c r="E2437" s="537"/>
      <c r="G2437" s="198"/>
      <c r="H2437" s="123"/>
    </row>
    <row r="2438" spans="3:8" s="99" customFormat="1" x14ac:dyDescent="0.2">
      <c r="C2438" s="198"/>
      <c r="D2438" s="198"/>
      <c r="E2438" s="537"/>
      <c r="G2438" s="198"/>
      <c r="H2438" s="123"/>
    </row>
    <row r="2439" spans="3:8" s="99" customFormat="1" x14ac:dyDescent="0.2">
      <c r="C2439" s="198"/>
      <c r="D2439" s="198"/>
      <c r="E2439" s="537"/>
      <c r="G2439" s="198"/>
      <c r="H2439" s="123"/>
    </row>
    <row r="2440" spans="3:8" s="99" customFormat="1" x14ac:dyDescent="0.2">
      <c r="C2440" s="198"/>
      <c r="D2440" s="198"/>
      <c r="E2440" s="537"/>
      <c r="G2440" s="198"/>
      <c r="H2440" s="123"/>
    </row>
    <row r="2441" spans="3:8" s="99" customFormat="1" x14ac:dyDescent="0.2">
      <c r="C2441" s="198"/>
      <c r="D2441" s="198"/>
      <c r="E2441" s="537"/>
      <c r="G2441" s="198"/>
      <c r="H2441" s="123"/>
    </row>
    <row r="2442" spans="3:8" s="99" customFormat="1" x14ac:dyDescent="0.2">
      <c r="C2442" s="198"/>
      <c r="D2442" s="198"/>
      <c r="E2442" s="537"/>
      <c r="G2442" s="198"/>
      <c r="H2442" s="123"/>
    </row>
    <row r="2443" spans="3:8" s="99" customFormat="1" x14ac:dyDescent="0.2">
      <c r="C2443" s="198"/>
      <c r="D2443" s="198"/>
      <c r="E2443" s="537"/>
      <c r="G2443" s="198"/>
      <c r="H2443" s="123"/>
    </row>
    <row r="2444" spans="3:8" s="99" customFormat="1" x14ac:dyDescent="0.2">
      <c r="C2444" s="198"/>
      <c r="D2444" s="198"/>
      <c r="E2444" s="537"/>
      <c r="G2444" s="198"/>
      <c r="H2444" s="123"/>
    </row>
    <row r="2445" spans="3:8" s="99" customFormat="1" x14ac:dyDescent="0.2">
      <c r="C2445" s="198"/>
      <c r="D2445" s="198"/>
      <c r="E2445" s="537"/>
      <c r="G2445" s="198"/>
      <c r="H2445" s="123"/>
    </row>
    <row r="2446" spans="3:8" s="99" customFormat="1" x14ac:dyDescent="0.2">
      <c r="C2446" s="198"/>
      <c r="D2446" s="198"/>
      <c r="E2446" s="537"/>
      <c r="G2446" s="198"/>
      <c r="H2446" s="123"/>
    </row>
    <row r="2447" spans="3:8" s="99" customFormat="1" x14ac:dyDescent="0.2">
      <c r="C2447" s="198"/>
      <c r="D2447" s="198"/>
      <c r="E2447" s="537"/>
      <c r="G2447" s="198"/>
      <c r="H2447" s="123"/>
    </row>
    <row r="2448" spans="3:8" s="99" customFormat="1" x14ac:dyDescent="0.2">
      <c r="C2448" s="198"/>
      <c r="D2448" s="198"/>
      <c r="E2448" s="537"/>
      <c r="G2448" s="198"/>
      <c r="H2448" s="123"/>
    </row>
    <row r="2449" spans="3:8" s="99" customFormat="1" x14ac:dyDescent="0.2">
      <c r="C2449" s="198"/>
      <c r="D2449" s="198"/>
      <c r="E2449" s="537"/>
      <c r="G2449" s="198"/>
      <c r="H2449" s="123"/>
    </row>
    <row r="2450" spans="3:8" s="99" customFormat="1" x14ac:dyDescent="0.2">
      <c r="C2450" s="198"/>
      <c r="D2450" s="198"/>
      <c r="E2450" s="537"/>
      <c r="G2450" s="198"/>
      <c r="H2450" s="123"/>
    </row>
    <row r="2451" spans="3:8" s="99" customFormat="1" x14ac:dyDescent="0.2">
      <c r="C2451" s="198"/>
      <c r="D2451" s="198"/>
      <c r="E2451" s="537"/>
      <c r="G2451" s="198"/>
      <c r="H2451" s="123"/>
    </row>
    <row r="2452" spans="3:8" s="99" customFormat="1" x14ac:dyDescent="0.2">
      <c r="C2452" s="198"/>
      <c r="D2452" s="198"/>
      <c r="E2452" s="537"/>
      <c r="G2452" s="198"/>
      <c r="H2452" s="123"/>
    </row>
    <row r="2453" spans="3:8" s="99" customFormat="1" x14ac:dyDescent="0.2">
      <c r="C2453" s="198"/>
      <c r="D2453" s="198"/>
      <c r="E2453" s="537"/>
      <c r="G2453" s="198"/>
      <c r="H2453" s="123"/>
    </row>
    <row r="2454" spans="3:8" s="99" customFormat="1" x14ac:dyDescent="0.2">
      <c r="C2454" s="198"/>
      <c r="D2454" s="198"/>
      <c r="E2454" s="537"/>
      <c r="G2454" s="198"/>
      <c r="H2454" s="123"/>
    </row>
    <row r="2455" spans="3:8" s="99" customFormat="1" x14ac:dyDescent="0.2">
      <c r="C2455" s="198"/>
      <c r="D2455" s="198"/>
      <c r="E2455" s="537"/>
      <c r="G2455" s="198"/>
      <c r="H2455" s="123"/>
    </row>
    <row r="2456" spans="3:8" s="99" customFormat="1" x14ac:dyDescent="0.2">
      <c r="C2456" s="198"/>
      <c r="D2456" s="198"/>
      <c r="E2456" s="537"/>
      <c r="G2456" s="198"/>
      <c r="H2456" s="123"/>
    </row>
    <row r="2457" spans="3:8" s="99" customFormat="1" x14ac:dyDescent="0.2">
      <c r="C2457" s="198"/>
      <c r="D2457" s="198"/>
      <c r="E2457" s="537"/>
      <c r="G2457" s="198"/>
      <c r="H2457" s="123"/>
    </row>
    <row r="2458" spans="3:8" s="99" customFormat="1" x14ac:dyDescent="0.2">
      <c r="C2458" s="198"/>
      <c r="D2458" s="198"/>
      <c r="E2458" s="537"/>
      <c r="G2458" s="198"/>
      <c r="H2458" s="123"/>
    </row>
    <row r="2459" spans="3:8" s="99" customFormat="1" x14ac:dyDescent="0.2">
      <c r="C2459" s="198"/>
      <c r="D2459" s="198"/>
      <c r="E2459" s="537"/>
      <c r="G2459" s="198"/>
      <c r="H2459" s="123"/>
    </row>
    <row r="2460" spans="3:8" s="99" customFormat="1" x14ac:dyDescent="0.2">
      <c r="C2460" s="198"/>
      <c r="D2460" s="198"/>
      <c r="E2460" s="537"/>
      <c r="G2460" s="198"/>
      <c r="H2460" s="123"/>
    </row>
    <row r="2461" spans="3:8" s="99" customFormat="1" x14ac:dyDescent="0.2">
      <c r="C2461" s="198"/>
      <c r="D2461" s="198"/>
      <c r="E2461" s="537"/>
      <c r="G2461" s="198"/>
      <c r="H2461" s="123"/>
    </row>
    <row r="2462" spans="3:8" s="99" customFormat="1" x14ac:dyDescent="0.2">
      <c r="C2462" s="198"/>
      <c r="D2462" s="198"/>
      <c r="E2462" s="537"/>
      <c r="G2462" s="198"/>
      <c r="H2462" s="123"/>
    </row>
    <row r="2463" spans="3:8" s="99" customFormat="1" x14ac:dyDescent="0.2">
      <c r="C2463" s="198"/>
      <c r="D2463" s="198"/>
      <c r="E2463" s="537"/>
      <c r="G2463" s="198"/>
      <c r="H2463" s="123"/>
    </row>
    <row r="2464" spans="3:8" s="99" customFormat="1" x14ac:dyDescent="0.2">
      <c r="C2464" s="198"/>
      <c r="D2464" s="198"/>
      <c r="E2464" s="537"/>
      <c r="G2464" s="198"/>
      <c r="H2464" s="123"/>
    </row>
    <row r="2465" spans="3:8" s="99" customFormat="1" x14ac:dyDescent="0.2">
      <c r="C2465" s="198"/>
      <c r="D2465" s="198"/>
      <c r="E2465" s="537"/>
      <c r="G2465" s="198"/>
      <c r="H2465" s="123"/>
    </row>
    <row r="2466" spans="3:8" s="99" customFormat="1" x14ac:dyDescent="0.2">
      <c r="C2466" s="198"/>
      <c r="D2466" s="198"/>
      <c r="E2466" s="537"/>
      <c r="G2466" s="198"/>
      <c r="H2466" s="123"/>
    </row>
    <row r="2467" spans="3:8" s="99" customFormat="1" x14ac:dyDescent="0.2">
      <c r="C2467" s="198"/>
      <c r="D2467" s="198"/>
      <c r="E2467" s="537"/>
      <c r="G2467" s="198"/>
      <c r="H2467" s="123"/>
    </row>
    <row r="2468" spans="3:8" s="99" customFormat="1" x14ac:dyDescent="0.2">
      <c r="C2468" s="198"/>
      <c r="D2468" s="198"/>
      <c r="E2468" s="537"/>
      <c r="G2468" s="198"/>
      <c r="H2468" s="123"/>
    </row>
    <row r="2469" spans="3:8" s="99" customFormat="1" x14ac:dyDescent="0.2">
      <c r="C2469" s="198"/>
      <c r="D2469" s="198"/>
      <c r="E2469" s="537"/>
      <c r="G2469" s="198"/>
      <c r="H2469" s="123"/>
    </row>
    <row r="2470" spans="3:8" s="99" customFormat="1" x14ac:dyDescent="0.2">
      <c r="C2470" s="198"/>
      <c r="D2470" s="198"/>
      <c r="E2470" s="537"/>
      <c r="G2470" s="198"/>
      <c r="H2470" s="123"/>
    </row>
    <row r="2471" spans="3:8" s="99" customFormat="1" x14ac:dyDescent="0.2">
      <c r="C2471" s="198"/>
      <c r="D2471" s="198"/>
      <c r="E2471" s="537"/>
      <c r="G2471" s="198"/>
      <c r="H2471" s="123"/>
    </row>
    <row r="2472" spans="3:8" s="99" customFormat="1" x14ac:dyDescent="0.2">
      <c r="C2472" s="198"/>
      <c r="D2472" s="198"/>
      <c r="E2472" s="537"/>
      <c r="G2472" s="198"/>
      <c r="H2472" s="123"/>
    </row>
    <row r="2473" spans="3:8" s="99" customFormat="1" x14ac:dyDescent="0.2">
      <c r="C2473" s="198"/>
      <c r="D2473" s="198"/>
      <c r="E2473" s="537"/>
      <c r="G2473" s="198"/>
      <c r="H2473" s="123"/>
    </row>
    <row r="2474" spans="3:8" s="99" customFormat="1" x14ac:dyDescent="0.2">
      <c r="C2474" s="198"/>
      <c r="D2474" s="198"/>
      <c r="E2474" s="537"/>
      <c r="G2474" s="198"/>
      <c r="H2474" s="123"/>
    </row>
    <row r="2475" spans="3:8" s="99" customFormat="1" x14ac:dyDescent="0.2">
      <c r="C2475" s="198"/>
      <c r="D2475" s="198"/>
      <c r="E2475" s="537"/>
      <c r="G2475" s="198"/>
      <c r="H2475" s="123"/>
    </row>
    <row r="2476" spans="3:8" s="99" customFormat="1" x14ac:dyDescent="0.2">
      <c r="C2476" s="198"/>
      <c r="D2476" s="198"/>
      <c r="E2476" s="537"/>
      <c r="G2476" s="198"/>
      <c r="H2476" s="123"/>
    </row>
    <row r="2477" spans="3:8" s="99" customFormat="1" x14ac:dyDescent="0.2">
      <c r="C2477" s="198"/>
      <c r="D2477" s="198"/>
      <c r="E2477" s="537"/>
      <c r="G2477" s="198"/>
      <c r="H2477" s="123"/>
    </row>
    <row r="2478" spans="3:8" s="99" customFormat="1" x14ac:dyDescent="0.2">
      <c r="C2478" s="198"/>
      <c r="D2478" s="198"/>
      <c r="E2478" s="537"/>
      <c r="G2478" s="198"/>
      <c r="H2478" s="123"/>
    </row>
    <row r="2479" spans="3:8" s="99" customFormat="1" x14ac:dyDescent="0.2">
      <c r="C2479" s="198"/>
      <c r="D2479" s="198"/>
      <c r="E2479" s="537"/>
      <c r="G2479" s="198"/>
      <c r="H2479" s="123"/>
    </row>
    <row r="2480" spans="3:8" s="99" customFormat="1" x14ac:dyDescent="0.2">
      <c r="C2480" s="198"/>
      <c r="D2480" s="198"/>
      <c r="E2480" s="537"/>
      <c r="G2480" s="198"/>
      <c r="H2480" s="123"/>
    </row>
    <row r="2481" spans="3:8" s="99" customFormat="1" x14ac:dyDescent="0.2">
      <c r="C2481" s="198"/>
      <c r="D2481" s="198"/>
      <c r="E2481" s="537"/>
      <c r="G2481" s="198"/>
      <c r="H2481" s="123"/>
    </row>
    <row r="2482" spans="3:8" s="99" customFormat="1" x14ac:dyDescent="0.2">
      <c r="C2482" s="198"/>
      <c r="D2482" s="198"/>
      <c r="E2482" s="537"/>
      <c r="G2482" s="198"/>
      <c r="H2482" s="123"/>
    </row>
    <row r="2483" spans="3:8" s="99" customFormat="1" x14ac:dyDescent="0.2">
      <c r="C2483" s="198"/>
      <c r="D2483" s="198"/>
      <c r="E2483" s="537"/>
      <c r="G2483" s="198"/>
      <c r="H2483" s="123"/>
    </row>
    <row r="2484" spans="3:8" s="99" customFormat="1" x14ac:dyDescent="0.2">
      <c r="C2484" s="198"/>
      <c r="D2484" s="198"/>
      <c r="E2484" s="537"/>
      <c r="G2484" s="198"/>
      <c r="H2484" s="123"/>
    </row>
    <row r="2485" spans="3:8" s="99" customFormat="1" x14ac:dyDescent="0.2">
      <c r="C2485" s="198"/>
      <c r="D2485" s="198"/>
      <c r="E2485" s="537"/>
      <c r="G2485" s="198"/>
      <c r="H2485" s="123"/>
    </row>
    <row r="2486" spans="3:8" s="99" customFormat="1" x14ac:dyDescent="0.2">
      <c r="C2486" s="198"/>
      <c r="D2486" s="198"/>
      <c r="E2486" s="537"/>
      <c r="G2486" s="198"/>
      <c r="H2486" s="123"/>
    </row>
    <row r="2487" spans="3:8" s="99" customFormat="1" x14ac:dyDescent="0.2">
      <c r="C2487" s="198"/>
      <c r="D2487" s="198"/>
      <c r="E2487" s="537"/>
      <c r="G2487" s="198"/>
      <c r="H2487" s="123"/>
    </row>
    <row r="2488" spans="3:8" s="99" customFormat="1" x14ac:dyDescent="0.2">
      <c r="C2488" s="198"/>
      <c r="D2488" s="198"/>
      <c r="E2488" s="537"/>
      <c r="G2488" s="198"/>
      <c r="H2488" s="123"/>
    </row>
    <row r="2489" spans="3:8" s="99" customFormat="1" x14ac:dyDescent="0.2">
      <c r="C2489" s="198"/>
      <c r="D2489" s="198"/>
      <c r="E2489" s="537"/>
      <c r="G2489" s="198"/>
      <c r="H2489" s="123"/>
    </row>
    <row r="2490" spans="3:8" s="99" customFormat="1" x14ac:dyDescent="0.2">
      <c r="C2490" s="198"/>
      <c r="D2490" s="198"/>
      <c r="E2490" s="537"/>
      <c r="G2490" s="198"/>
      <c r="H2490" s="123"/>
    </row>
    <row r="2491" spans="3:8" s="99" customFormat="1" x14ac:dyDescent="0.2">
      <c r="C2491" s="198"/>
      <c r="D2491" s="198"/>
      <c r="E2491" s="537"/>
      <c r="G2491" s="198"/>
      <c r="H2491" s="123"/>
    </row>
    <row r="2492" spans="3:8" s="99" customFormat="1" x14ac:dyDescent="0.2">
      <c r="C2492" s="198"/>
      <c r="D2492" s="198"/>
      <c r="E2492" s="537"/>
      <c r="G2492" s="198"/>
      <c r="H2492" s="123"/>
    </row>
    <row r="2493" spans="3:8" s="99" customFormat="1" x14ac:dyDescent="0.2">
      <c r="C2493" s="198"/>
      <c r="D2493" s="198"/>
      <c r="E2493" s="537"/>
      <c r="G2493" s="198"/>
      <c r="H2493" s="123"/>
    </row>
    <row r="2494" spans="3:8" s="99" customFormat="1" x14ac:dyDescent="0.2">
      <c r="C2494" s="198"/>
      <c r="D2494" s="198"/>
      <c r="E2494" s="537"/>
      <c r="G2494" s="198"/>
      <c r="H2494" s="123"/>
    </row>
    <row r="2495" spans="3:8" s="99" customFormat="1" x14ac:dyDescent="0.2">
      <c r="C2495" s="198"/>
      <c r="D2495" s="198"/>
      <c r="E2495" s="537"/>
      <c r="G2495" s="198"/>
      <c r="H2495" s="123"/>
    </row>
    <row r="2496" spans="3:8" s="99" customFormat="1" x14ac:dyDescent="0.2">
      <c r="C2496" s="198"/>
      <c r="D2496" s="198"/>
      <c r="E2496" s="537"/>
      <c r="G2496" s="198"/>
      <c r="H2496" s="123"/>
    </row>
    <row r="2497" spans="3:8" s="99" customFormat="1" x14ac:dyDescent="0.2">
      <c r="C2497" s="198"/>
      <c r="D2497" s="198"/>
      <c r="E2497" s="537"/>
      <c r="G2497" s="198"/>
      <c r="H2497" s="123"/>
    </row>
    <row r="2498" spans="3:8" s="99" customFormat="1" x14ac:dyDescent="0.2">
      <c r="C2498" s="198"/>
      <c r="D2498" s="198"/>
      <c r="E2498" s="537"/>
      <c r="G2498" s="198"/>
      <c r="H2498" s="123"/>
    </row>
    <row r="2499" spans="3:8" s="99" customFormat="1" x14ac:dyDescent="0.2">
      <c r="C2499" s="198"/>
      <c r="D2499" s="198"/>
      <c r="E2499" s="537"/>
      <c r="G2499" s="198"/>
      <c r="H2499" s="123"/>
    </row>
    <row r="2500" spans="3:8" s="99" customFormat="1" x14ac:dyDescent="0.2">
      <c r="C2500" s="198"/>
      <c r="D2500" s="198"/>
      <c r="E2500" s="537"/>
      <c r="G2500" s="198"/>
      <c r="H2500" s="123"/>
    </row>
    <row r="2501" spans="3:8" s="99" customFormat="1" x14ac:dyDescent="0.2">
      <c r="C2501" s="198"/>
      <c r="D2501" s="198"/>
      <c r="E2501" s="537"/>
      <c r="G2501" s="198"/>
      <c r="H2501" s="123"/>
    </row>
    <row r="2502" spans="3:8" s="99" customFormat="1" x14ac:dyDescent="0.2">
      <c r="C2502" s="198"/>
      <c r="D2502" s="198"/>
      <c r="E2502" s="537"/>
      <c r="G2502" s="198"/>
      <c r="H2502" s="123"/>
    </row>
    <row r="2503" spans="3:8" s="99" customFormat="1" x14ac:dyDescent="0.2">
      <c r="C2503" s="198"/>
      <c r="D2503" s="198"/>
      <c r="E2503" s="537"/>
      <c r="G2503" s="198"/>
      <c r="H2503" s="123"/>
    </row>
    <row r="2504" spans="3:8" s="99" customFormat="1" x14ac:dyDescent="0.2">
      <c r="C2504" s="198"/>
      <c r="D2504" s="198"/>
      <c r="E2504" s="537"/>
      <c r="G2504" s="198"/>
      <c r="H2504" s="123"/>
    </row>
    <row r="2505" spans="3:8" s="99" customFormat="1" x14ac:dyDescent="0.2">
      <c r="C2505" s="198"/>
      <c r="D2505" s="198"/>
      <c r="E2505" s="537"/>
      <c r="G2505" s="198"/>
      <c r="H2505" s="123"/>
    </row>
    <row r="2506" spans="3:8" s="99" customFormat="1" x14ac:dyDescent="0.2">
      <c r="C2506" s="198"/>
      <c r="D2506" s="198"/>
      <c r="E2506" s="537"/>
      <c r="G2506" s="198"/>
      <c r="H2506" s="123"/>
    </row>
    <row r="2507" spans="3:8" s="99" customFormat="1" x14ac:dyDescent="0.2">
      <c r="C2507" s="198"/>
      <c r="D2507" s="198"/>
      <c r="E2507" s="537"/>
      <c r="G2507" s="198"/>
      <c r="H2507" s="123"/>
    </row>
    <row r="2508" spans="3:8" s="99" customFormat="1" x14ac:dyDescent="0.2">
      <c r="C2508" s="198"/>
      <c r="D2508" s="198"/>
      <c r="E2508" s="537"/>
      <c r="G2508" s="198"/>
      <c r="H2508" s="123"/>
    </row>
    <row r="2509" spans="3:8" s="99" customFormat="1" x14ac:dyDescent="0.2">
      <c r="C2509" s="198"/>
      <c r="D2509" s="198"/>
      <c r="E2509" s="537"/>
      <c r="G2509" s="198"/>
      <c r="H2509" s="123"/>
    </row>
    <row r="2510" spans="3:8" s="99" customFormat="1" x14ac:dyDescent="0.2">
      <c r="C2510" s="198"/>
      <c r="D2510" s="198"/>
      <c r="E2510" s="537"/>
      <c r="G2510" s="198"/>
      <c r="H2510" s="123"/>
    </row>
    <row r="2511" spans="3:8" s="99" customFormat="1" x14ac:dyDescent="0.2">
      <c r="C2511" s="198"/>
      <c r="D2511" s="198"/>
      <c r="E2511" s="537"/>
      <c r="G2511" s="198"/>
      <c r="H2511" s="123"/>
    </row>
    <row r="2512" spans="3:8" s="99" customFormat="1" x14ac:dyDescent="0.2">
      <c r="C2512" s="198"/>
      <c r="D2512" s="198"/>
      <c r="E2512" s="537"/>
      <c r="G2512" s="198"/>
      <c r="H2512" s="123"/>
    </row>
    <row r="2513" spans="3:8" s="99" customFormat="1" x14ac:dyDescent="0.2">
      <c r="C2513" s="198"/>
      <c r="D2513" s="198"/>
      <c r="E2513" s="537"/>
      <c r="G2513" s="198"/>
      <c r="H2513" s="123"/>
    </row>
    <row r="2514" spans="3:8" s="99" customFormat="1" x14ac:dyDescent="0.2">
      <c r="C2514" s="198"/>
      <c r="D2514" s="198"/>
      <c r="E2514" s="537"/>
      <c r="G2514" s="198"/>
      <c r="H2514" s="123"/>
    </row>
    <row r="2515" spans="3:8" s="99" customFormat="1" x14ac:dyDescent="0.2">
      <c r="C2515" s="198"/>
      <c r="D2515" s="198"/>
      <c r="E2515" s="537"/>
      <c r="G2515" s="198"/>
      <c r="H2515" s="123"/>
    </row>
    <row r="2516" spans="3:8" s="99" customFormat="1" x14ac:dyDescent="0.2">
      <c r="C2516" s="198"/>
      <c r="D2516" s="198"/>
      <c r="E2516" s="537"/>
      <c r="G2516" s="198"/>
      <c r="H2516" s="123"/>
    </row>
    <row r="2517" spans="3:8" s="99" customFormat="1" x14ac:dyDescent="0.2">
      <c r="C2517" s="198"/>
      <c r="D2517" s="198"/>
      <c r="E2517" s="537"/>
      <c r="G2517" s="198"/>
      <c r="H2517" s="123"/>
    </row>
    <row r="2518" spans="3:8" s="99" customFormat="1" x14ac:dyDescent="0.2">
      <c r="C2518" s="198"/>
      <c r="D2518" s="198"/>
      <c r="E2518" s="537"/>
      <c r="G2518" s="198"/>
      <c r="H2518" s="123"/>
    </row>
    <row r="2519" spans="3:8" s="99" customFormat="1" x14ac:dyDescent="0.2">
      <c r="C2519" s="198"/>
      <c r="D2519" s="198"/>
      <c r="E2519" s="537"/>
      <c r="G2519" s="198"/>
      <c r="H2519" s="123"/>
    </row>
    <row r="2520" spans="3:8" s="99" customFormat="1" x14ac:dyDescent="0.2">
      <c r="C2520" s="198"/>
      <c r="D2520" s="198"/>
      <c r="E2520" s="537"/>
      <c r="G2520" s="198"/>
      <c r="H2520" s="123"/>
    </row>
    <row r="2521" spans="3:8" s="99" customFormat="1" x14ac:dyDescent="0.2">
      <c r="C2521" s="198"/>
      <c r="D2521" s="198"/>
      <c r="E2521" s="537"/>
      <c r="G2521" s="198"/>
      <c r="H2521" s="123"/>
    </row>
    <row r="2522" spans="3:8" s="99" customFormat="1" x14ac:dyDescent="0.2">
      <c r="C2522" s="198"/>
      <c r="D2522" s="198"/>
      <c r="E2522" s="537"/>
      <c r="G2522" s="198"/>
      <c r="H2522" s="123"/>
    </row>
    <row r="2523" spans="3:8" s="99" customFormat="1" x14ac:dyDescent="0.2">
      <c r="C2523" s="198"/>
      <c r="D2523" s="198"/>
      <c r="E2523" s="537"/>
      <c r="G2523" s="198"/>
      <c r="H2523" s="123"/>
    </row>
    <row r="2524" spans="3:8" s="99" customFormat="1" x14ac:dyDescent="0.2">
      <c r="C2524" s="198"/>
      <c r="D2524" s="198"/>
      <c r="E2524" s="537"/>
      <c r="G2524" s="198"/>
      <c r="H2524" s="123"/>
    </row>
    <row r="2525" spans="3:8" s="99" customFormat="1" x14ac:dyDescent="0.2">
      <c r="C2525" s="198"/>
      <c r="D2525" s="198"/>
      <c r="E2525" s="537"/>
      <c r="G2525" s="198"/>
      <c r="H2525" s="123"/>
    </row>
    <row r="2526" spans="3:8" s="99" customFormat="1" x14ac:dyDescent="0.2">
      <c r="C2526" s="198"/>
      <c r="D2526" s="198"/>
      <c r="E2526" s="537"/>
      <c r="G2526" s="198"/>
      <c r="H2526" s="123"/>
    </row>
    <row r="2527" spans="3:8" s="99" customFormat="1" x14ac:dyDescent="0.2">
      <c r="C2527" s="198"/>
      <c r="D2527" s="198"/>
      <c r="E2527" s="537"/>
      <c r="G2527" s="198"/>
      <c r="H2527" s="123"/>
    </row>
    <row r="2528" spans="3:8" s="99" customFormat="1" x14ac:dyDescent="0.2">
      <c r="C2528" s="198"/>
      <c r="D2528" s="198"/>
      <c r="E2528" s="537"/>
      <c r="G2528" s="198"/>
      <c r="H2528" s="123"/>
    </row>
    <row r="2529" spans="3:8" s="99" customFormat="1" x14ac:dyDescent="0.2">
      <c r="C2529" s="198"/>
      <c r="D2529" s="198"/>
      <c r="E2529" s="537"/>
      <c r="G2529" s="198"/>
      <c r="H2529" s="123"/>
    </row>
    <row r="2530" spans="3:8" s="99" customFormat="1" x14ac:dyDescent="0.2">
      <c r="C2530" s="198"/>
      <c r="D2530" s="198"/>
      <c r="E2530" s="537"/>
      <c r="G2530" s="198"/>
      <c r="H2530" s="123"/>
    </row>
    <row r="2531" spans="3:8" s="99" customFormat="1" x14ac:dyDescent="0.2">
      <c r="C2531" s="198"/>
      <c r="D2531" s="198"/>
      <c r="E2531" s="537"/>
      <c r="G2531" s="198"/>
      <c r="H2531" s="123"/>
    </row>
    <row r="2532" spans="3:8" s="99" customFormat="1" x14ac:dyDescent="0.2">
      <c r="C2532" s="198"/>
      <c r="D2532" s="198"/>
      <c r="E2532" s="537"/>
      <c r="G2532" s="198"/>
      <c r="H2532" s="123"/>
    </row>
    <row r="2533" spans="3:8" s="99" customFormat="1" x14ac:dyDescent="0.2">
      <c r="C2533" s="198"/>
      <c r="D2533" s="198"/>
      <c r="E2533" s="537"/>
      <c r="G2533" s="198"/>
      <c r="H2533" s="123"/>
    </row>
    <row r="2534" spans="3:8" s="99" customFormat="1" x14ac:dyDescent="0.2">
      <c r="C2534" s="198"/>
      <c r="D2534" s="198"/>
      <c r="E2534" s="537"/>
      <c r="G2534" s="198"/>
      <c r="H2534" s="123"/>
    </row>
    <row r="2535" spans="3:8" s="99" customFormat="1" x14ac:dyDescent="0.2">
      <c r="C2535" s="198"/>
      <c r="D2535" s="198"/>
      <c r="E2535" s="537"/>
      <c r="G2535" s="198"/>
      <c r="H2535" s="123"/>
    </row>
    <row r="2536" spans="3:8" s="99" customFormat="1" x14ac:dyDescent="0.2">
      <c r="C2536" s="198"/>
      <c r="D2536" s="198"/>
      <c r="E2536" s="537"/>
      <c r="G2536" s="198"/>
      <c r="H2536" s="123"/>
    </row>
    <row r="2537" spans="3:8" s="99" customFormat="1" x14ac:dyDescent="0.2">
      <c r="C2537" s="198"/>
      <c r="D2537" s="198"/>
      <c r="E2537" s="537"/>
      <c r="G2537" s="198"/>
      <c r="H2537" s="123"/>
    </row>
    <row r="2538" spans="3:8" s="99" customFormat="1" x14ac:dyDescent="0.2">
      <c r="C2538" s="198"/>
      <c r="D2538" s="198"/>
      <c r="E2538" s="537"/>
      <c r="G2538" s="198"/>
      <c r="H2538" s="123"/>
    </row>
    <row r="2539" spans="3:8" s="99" customFormat="1" x14ac:dyDescent="0.2">
      <c r="C2539" s="198"/>
      <c r="D2539" s="198"/>
      <c r="E2539" s="537"/>
      <c r="G2539" s="198"/>
      <c r="H2539" s="123"/>
    </row>
    <row r="2540" spans="3:8" s="99" customFormat="1" x14ac:dyDescent="0.2">
      <c r="C2540" s="198"/>
      <c r="D2540" s="198"/>
      <c r="E2540" s="537"/>
      <c r="G2540" s="198"/>
      <c r="H2540" s="123"/>
    </row>
    <row r="2541" spans="3:8" s="99" customFormat="1" x14ac:dyDescent="0.2">
      <c r="C2541" s="198"/>
      <c r="D2541" s="198"/>
      <c r="E2541" s="537"/>
      <c r="G2541" s="198"/>
      <c r="H2541" s="123"/>
    </row>
    <row r="2542" spans="3:8" s="99" customFormat="1" x14ac:dyDescent="0.2">
      <c r="C2542" s="198"/>
      <c r="D2542" s="198"/>
      <c r="E2542" s="537"/>
      <c r="G2542" s="198"/>
      <c r="H2542" s="123"/>
    </row>
    <row r="2543" spans="3:8" s="99" customFormat="1" x14ac:dyDescent="0.2">
      <c r="C2543" s="198"/>
      <c r="D2543" s="198"/>
      <c r="E2543" s="537"/>
      <c r="G2543" s="198"/>
      <c r="H2543" s="123"/>
    </row>
    <row r="2544" spans="3:8" s="99" customFormat="1" x14ac:dyDescent="0.2">
      <c r="C2544" s="198"/>
      <c r="D2544" s="198"/>
      <c r="E2544" s="537"/>
      <c r="G2544" s="198"/>
      <c r="H2544" s="123"/>
    </row>
    <row r="2545" spans="3:8" s="99" customFormat="1" x14ac:dyDescent="0.2">
      <c r="C2545" s="198"/>
      <c r="D2545" s="198"/>
      <c r="E2545" s="537"/>
      <c r="G2545" s="198"/>
      <c r="H2545" s="123"/>
    </row>
    <row r="2546" spans="3:8" s="99" customFormat="1" x14ac:dyDescent="0.2">
      <c r="C2546" s="198"/>
      <c r="D2546" s="198"/>
      <c r="E2546" s="537"/>
      <c r="G2546" s="198"/>
      <c r="H2546" s="123"/>
    </row>
    <row r="2547" spans="3:8" s="99" customFormat="1" x14ac:dyDescent="0.2">
      <c r="C2547" s="198"/>
      <c r="D2547" s="198"/>
      <c r="E2547" s="537"/>
      <c r="G2547" s="198"/>
      <c r="H2547" s="123"/>
    </row>
    <row r="2548" spans="3:8" s="99" customFormat="1" x14ac:dyDescent="0.2">
      <c r="C2548" s="198"/>
      <c r="D2548" s="198"/>
      <c r="E2548" s="537"/>
      <c r="G2548" s="198"/>
      <c r="H2548" s="123"/>
    </row>
    <row r="2549" spans="3:8" s="99" customFormat="1" x14ac:dyDescent="0.2">
      <c r="C2549" s="198"/>
      <c r="D2549" s="198"/>
      <c r="E2549" s="537"/>
      <c r="G2549" s="198"/>
      <c r="H2549" s="123"/>
    </row>
    <row r="2550" spans="3:8" s="99" customFormat="1" x14ac:dyDescent="0.2">
      <c r="C2550" s="198"/>
      <c r="D2550" s="198"/>
      <c r="E2550" s="537"/>
      <c r="G2550" s="198"/>
      <c r="H2550" s="123"/>
    </row>
    <row r="2551" spans="3:8" s="99" customFormat="1" x14ac:dyDescent="0.2">
      <c r="C2551" s="198"/>
      <c r="D2551" s="198"/>
      <c r="E2551" s="537"/>
      <c r="G2551" s="198"/>
      <c r="H2551" s="123"/>
    </row>
    <row r="2552" spans="3:8" s="99" customFormat="1" x14ac:dyDescent="0.2">
      <c r="C2552" s="198"/>
      <c r="D2552" s="198"/>
      <c r="E2552" s="537"/>
      <c r="G2552" s="198"/>
      <c r="H2552" s="123"/>
    </row>
    <row r="2553" spans="3:8" s="99" customFormat="1" x14ac:dyDescent="0.2">
      <c r="C2553" s="198"/>
      <c r="D2553" s="198"/>
      <c r="E2553" s="537"/>
      <c r="G2553" s="198"/>
      <c r="H2553" s="123"/>
    </row>
    <row r="2554" spans="3:8" s="99" customFormat="1" x14ac:dyDescent="0.2">
      <c r="C2554" s="198"/>
      <c r="D2554" s="198"/>
      <c r="E2554" s="537"/>
      <c r="G2554" s="198"/>
      <c r="H2554" s="123"/>
    </row>
    <row r="2555" spans="3:8" s="99" customFormat="1" x14ac:dyDescent="0.2">
      <c r="C2555" s="198"/>
      <c r="D2555" s="198"/>
      <c r="E2555" s="537"/>
      <c r="G2555" s="198"/>
      <c r="H2555" s="123"/>
    </row>
    <row r="2556" spans="3:8" s="99" customFormat="1" x14ac:dyDescent="0.2">
      <c r="C2556" s="198"/>
      <c r="D2556" s="198"/>
      <c r="E2556" s="537"/>
      <c r="G2556" s="198"/>
      <c r="H2556" s="123"/>
    </row>
    <row r="2557" spans="3:8" s="99" customFormat="1" x14ac:dyDescent="0.2">
      <c r="C2557" s="198"/>
      <c r="D2557" s="198"/>
      <c r="E2557" s="537"/>
      <c r="G2557" s="198"/>
      <c r="H2557" s="123"/>
    </row>
    <row r="2558" spans="3:8" s="99" customFormat="1" x14ac:dyDescent="0.2">
      <c r="C2558" s="198"/>
      <c r="D2558" s="198"/>
      <c r="E2558" s="537"/>
      <c r="G2558" s="198"/>
      <c r="H2558" s="123"/>
    </row>
    <row r="2559" spans="3:8" s="99" customFormat="1" x14ac:dyDescent="0.2">
      <c r="C2559" s="198"/>
      <c r="D2559" s="198"/>
      <c r="E2559" s="537"/>
      <c r="G2559" s="198"/>
      <c r="H2559" s="123"/>
    </row>
    <row r="2560" spans="3:8" s="99" customFormat="1" x14ac:dyDescent="0.2">
      <c r="C2560" s="198"/>
      <c r="D2560" s="198"/>
      <c r="E2560" s="537"/>
      <c r="G2560" s="198"/>
      <c r="H2560" s="123"/>
    </row>
    <row r="2561" spans="3:8" s="99" customFormat="1" x14ac:dyDescent="0.2">
      <c r="C2561" s="198"/>
      <c r="D2561" s="198"/>
      <c r="E2561" s="537"/>
      <c r="G2561" s="198"/>
      <c r="H2561" s="123"/>
    </row>
    <row r="2562" spans="3:8" s="99" customFormat="1" x14ac:dyDescent="0.2">
      <c r="C2562" s="198"/>
      <c r="D2562" s="198"/>
      <c r="E2562" s="537"/>
      <c r="G2562" s="198"/>
      <c r="H2562" s="123"/>
    </row>
    <row r="2563" spans="3:8" s="99" customFormat="1" x14ac:dyDescent="0.2">
      <c r="C2563" s="198"/>
      <c r="D2563" s="198"/>
      <c r="E2563" s="537"/>
      <c r="G2563" s="198"/>
      <c r="H2563" s="123"/>
    </row>
    <row r="2564" spans="3:8" s="99" customFormat="1" x14ac:dyDescent="0.2">
      <c r="C2564" s="198"/>
      <c r="D2564" s="198"/>
      <c r="E2564" s="537"/>
      <c r="G2564" s="198"/>
      <c r="H2564" s="123"/>
    </row>
    <row r="2565" spans="3:8" s="99" customFormat="1" x14ac:dyDescent="0.2">
      <c r="C2565" s="198"/>
      <c r="D2565" s="198"/>
      <c r="E2565" s="537"/>
      <c r="G2565" s="198"/>
      <c r="H2565" s="123"/>
    </row>
    <row r="2566" spans="3:8" s="99" customFormat="1" x14ac:dyDescent="0.2">
      <c r="C2566" s="198"/>
      <c r="D2566" s="198"/>
      <c r="E2566" s="537"/>
      <c r="G2566" s="198"/>
      <c r="H2566" s="123"/>
    </row>
    <row r="2567" spans="3:8" s="99" customFormat="1" x14ac:dyDescent="0.2">
      <c r="C2567" s="198"/>
      <c r="D2567" s="198"/>
      <c r="E2567" s="537"/>
      <c r="G2567" s="198"/>
      <c r="H2567" s="123"/>
    </row>
    <row r="2568" spans="3:8" s="99" customFormat="1" x14ac:dyDescent="0.2">
      <c r="C2568" s="198"/>
      <c r="D2568" s="198"/>
      <c r="E2568" s="537"/>
      <c r="G2568" s="198"/>
      <c r="H2568" s="123"/>
    </row>
    <row r="2569" spans="3:8" s="99" customFormat="1" x14ac:dyDescent="0.2">
      <c r="C2569" s="198"/>
      <c r="D2569" s="198"/>
      <c r="E2569" s="537"/>
      <c r="G2569" s="198"/>
      <c r="H2569" s="123"/>
    </row>
    <row r="2570" spans="3:8" s="99" customFormat="1" x14ac:dyDescent="0.2">
      <c r="C2570" s="198"/>
      <c r="D2570" s="198"/>
      <c r="E2570" s="537"/>
      <c r="G2570" s="198"/>
      <c r="H2570" s="123"/>
    </row>
    <row r="2571" spans="3:8" s="99" customFormat="1" x14ac:dyDescent="0.2">
      <c r="C2571" s="198"/>
      <c r="D2571" s="198"/>
      <c r="E2571" s="537"/>
      <c r="G2571" s="198"/>
      <c r="H2571" s="123"/>
    </row>
    <row r="2572" spans="3:8" s="99" customFormat="1" x14ac:dyDescent="0.2">
      <c r="C2572" s="198"/>
      <c r="D2572" s="198"/>
      <c r="E2572" s="537"/>
      <c r="G2572" s="198"/>
      <c r="H2572" s="123"/>
    </row>
    <row r="2573" spans="3:8" s="99" customFormat="1" x14ac:dyDescent="0.2">
      <c r="C2573" s="198"/>
      <c r="D2573" s="198"/>
      <c r="E2573" s="537"/>
      <c r="G2573" s="198"/>
      <c r="H2573" s="123"/>
    </row>
    <row r="2574" spans="3:8" s="99" customFormat="1" x14ac:dyDescent="0.2">
      <c r="C2574" s="198"/>
      <c r="D2574" s="198"/>
      <c r="E2574" s="537"/>
      <c r="G2574" s="198"/>
      <c r="H2574" s="123"/>
    </row>
    <row r="2575" spans="3:8" s="99" customFormat="1" x14ac:dyDescent="0.2">
      <c r="C2575" s="198"/>
      <c r="D2575" s="198"/>
      <c r="E2575" s="537"/>
      <c r="G2575" s="198"/>
      <c r="H2575" s="123"/>
    </row>
    <row r="2576" spans="3:8" s="99" customFormat="1" x14ac:dyDescent="0.2">
      <c r="C2576" s="198"/>
      <c r="D2576" s="198"/>
      <c r="E2576" s="537"/>
      <c r="G2576" s="198"/>
      <c r="H2576" s="123"/>
    </row>
    <row r="2577" spans="3:8" s="99" customFormat="1" x14ac:dyDescent="0.2">
      <c r="C2577" s="198"/>
      <c r="D2577" s="198"/>
      <c r="E2577" s="537"/>
      <c r="G2577" s="198"/>
      <c r="H2577" s="123"/>
    </row>
    <row r="2578" spans="3:8" s="99" customFormat="1" x14ac:dyDescent="0.2">
      <c r="C2578" s="198"/>
      <c r="D2578" s="198"/>
      <c r="E2578" s="537"/>
      <c r="G2578" s="198"/>
      <c r="H2578" s="123"/>
    </row>
    <row r="2579" spans="3:8" s="99" customFormat="1" x14ac:dyDescent="0.2">
      <c r="C2579" s="198"/>
      <c r="D2579" s="198"/>
      <c r="E2579" s="537"/>
      <c r="G2579" s="198"/>
      <c r="H2579" s="123"/>
    </row>
    <row r="2580" spans="3:8" s="99" customFormat="1" x14ac:dyDescent="0.2">
      <c r="C2580" s="198"/>
      <c r="D2580" s="198"/>
      <c r="E2580" s="537"/>
      <c r="G2580" s="198"/>
      <c r="H2580" s="123"/>
    </row>
    <row r="2581" spans="3:8" s="99" customFormat="1" x14ac:dyDescent="0.2">
      <c r="C2581" s="198"/>
      <c r="D2581" s="198"/>
      <c r="E2581" s="537"/>
      <c r="G2581" s="198"/>
      <c r="H2581" s="123"/>
    </row>
    <row r="2582" spans="3:8" s="99" customFormat="1" x14ac:dyDescent="0.2">
      <c r="C2582" s="198"/>
      <c r="D2582" s="198"/>
      <c r="E2582" s="537"/>
      <c r="G2582" s="198"/>
      <c r="H2582" s="123"/>
    </row>
    <row r="2583" spans="3:8" s="99" customFormat="1" x14ac:dyDescent="0.2">
      <c r="C2583" s="198"/>
      <c r="D2583" s="198"/>
      <c r="E2583" s="537"/>
      <c r="G2583" s="198"/>
      <c r="H2583" s="123"/>
    </row>
    <row r="2584" spans="3:8" s="99" customFormat="1" x14ac:dyDescent="0.2">
      <c r="C2584" s="198"/>
      <c r="D2584" s="198"/>
      <c r="E2584" s="537"/>
      <c r="G2584" s="198"/>
      <c r="H2584" s="123"/>
    </row>
    <row r="2585" spans="3:8" s="99" customFormat="1" x14ac:dyDescent="0.2">
      <c r="C2585" s="198"/>
      <c r="D2585" s="198"/>
      <c r="E2585" s="537"/>
      <c r="G2585" s="198"/>
      <c r="H2585" s="123"/>
    </row>
    <row r="2586" spans="3:8" s="99" customFormat="1" x14ac:dyDescent="0.2">
      <c r="C2586" s="198"/>
      <c r="D2586" s="198"/>
      <c r="E2586" s="537"/>
      <c r="G2586" s="198"/>
      <c r="H2586" s="123"/>
    </row>
    <row r="2587" spans="3:8" s="99" customFormat="1" x14ac:dyDescent="0.2">
      <c r="C2587" s="198"/>
      <c r="D2587" s="198"/>
      <c r="E2587" s="537"/>
      <c r="G2587" s="198"/>
      <c r="H2587" s="123"/>
    </row>
    <row r="2588" spans="3:8" s="99" customFormat="1" x14ac:dyDescent="0.2">
      <c r="C2588" s="198"/>
      <c r="D2588" s="198"/>
      <c r="E2588" s="537"/>
      <c r="G2588" s="198"/>
      <c r="H2588" s="123"/>
    </row>
    <row r="2589" spans="3:8" s="99" customFormat="1" x14ac:dyDescent="0.2">
      <c r="C2589" s="198"/>
      <c r="D2589" s="198"/>
      <c r="E2589" s="537"/>
      <c r="G2589" s="198"/>
      <c r="H2589" s="123"/>
    </row>
    <row r="2590" spans="3:8" s="99" customFormat="1" x14ac:dyDescent="0.2">
      <c r="C2590" s="198"/>
      <c r="D2590" s="198"/>
      <c r="E2590" s="537"/>
      <c r="G2590" s="198"/>
      <c r="H2590" s="123"/>
    </row>
    <row r="2591" spans="3:8" s="99" customFormat="1" x14ac:dyDescent="0.2">
      <c r="C2591" s="198"/>
      <c r="D2591" s="198"/>
      <c r="E2591" s="537"/>
      <c r="G2591" s="198"/>
      <c r="H2591" s="123"/>
    </row>
    <row r="2592" spans="3:8" s="99" customFormat="1" x14ac:dyDescent="0.2">
      <c r="C2592" s="198"/>
      <c r="D2592" s="198"/>
      <c r="E2592" s="537"/>
      <c r="G2592" s="198"/>
      <c r="H2592" s="123"/>
    </row>
    <row r="2593" spans="3:8" s="99" customFormat="1" x14ac:dyDescent="0.2">
      <c r="C2593" s="198"/>
      <c r="D2593" s="198"/>
      <c r="E2593" s="537"/>
      <c r="G2593" s="198"/>
      <c r="H2593" s="123"/>
    </row>
    <row r="2594" spans="3:8" s="99" customFormat="1" x14ac:dyDescent="0.2">
      <c r="C2594" s="198"/>
      <c r="D2594" s="198"/>
      <c r="E2594" s="537"/>
      <c r="G2594" s="198"/>
      <c r="H2594" s="123"/>
    </row>
    <row r="2595" spans="3:8" s="99" customFormat="1" x14ac:dyDescent="0.2">
      <c r="C2595" s="198"/>
      <c r="D2595" s="198"/>
      <c r="E2595" s="537"/>
      <c r="G2595" s="198"/>
      <c r="H2595" s="123"/>
    </row>
    <row r="2596" spans="3:8" s="99" customFormat="1" x14ac:dyDescent="0.2">
      <c r="C2596" s="198"/>
      <c r="D2596" s="198"/>
      <c r="E2596" s="537"/>
      <c r="G2596" s="198"/>
      <c r="H2596" s="123"/>
    </row>
    <row r="2597" spans="3:8" s="99" customFormat="1" x14ac:dyDescent="0.2">
      <c r="C2597" s="198"/>
      <c r="D2597" s="198"/>
      <c r="E2597" s="537"/>
      <c r="G2597" s="198"/>
      <c r="H2597" s="123"/>
    </row>
    <row r="2598" spans="3:8" s="99" customFormat="1" x14ac:dyDescent="0.2">
      <c r="C2598" s="198"/>
      <c r="D2598" s="198"/>
      <c r="E2598" s="537"/>
      <c r="G2598" s="198"/>
      <c r="H2598" s="123"/>
    </row>
    <row r="2599" spans="3:8" s="99" customFormat="1" x14ac:dyDescent="0.2">
      <c r="C2599" s="198"/>
      <c r="D2599" s="198"/>
      <c r="E2599" s="537"/>
      <c r="G2599" s="198"/>
      <c r="H2599" s="123"/>
    </row>
    <row r="2600" spans="3:8" s="99" customFormat="1" x14ac:dyDescent="0.2">
      <c r="C2600" s="198"/>
      <c r="D2600" s="198"/>
      <c r="E2600" s="537"/>
      <c r="G2600" s="198"/>
      <c r="H2600" s="123"/>
    </row>
    <row r="2601" spans="3:8" s="99" customFormat="1" x14ac:dyDescent="0.2">
      <c r="C2601" s="198"/>
      <c r="D2601" s="198"/>
      <c r="E2601" s="537"/>
      <c r="G2601" s="198"/>
      <c r="H2601" s="123"/>
    </row>
    <row r="2602" spans="3:8" s="99" customFormat="1" x14ac:dyDescent="0.2">
      <c r="C2602" s="198"/>
      <c r="D2602" s="198"/>
      <c r="E2602" s="537"/>
      <c r="G2602" s="198"/>
      <c r="H2602" s="123"/>
    </row>
    <row r="2603" spans="3:8" s="99" customFormat="1" x14ac:dyDescent="0.2">
      <c r="C2603" s="198"/>
      <c r="D2603" s="198"/>
      <c r="E2603" s="537"/>
      <c r="G2603" s="198"/>
      <c r="H2603" s="123"/>
    </row>
    <row r="2604" spans="3:8" s="99" customFormat="1" x14ac:dyDescent="0.2">
      <c r="C2604" s="198"/>
      <c r="D2604" s="198"/>
      <c r="E2604" s="537"/>
      <c r="G2604" s="198"/>
      <c r="H2604" s="123"/>
    </row>
    <row r="2605" spans="3:8" s="99" customFormat="1" x14ac:dyDescent="0.2">
      <c r="C2605" s="198"/>
      <c r="D2605" s="198"/>
      <c r="E2605" s="537"/>
      <c r="G2605" s="198"/>
      <c r="H2605" s="123"/>
    </row>
    <row r="2606" spans="3:8" s="99" customFormat="1" x14ac:dyDescent="0.2">
      <c r="C2606" s="198"/>
      <c r="D2606" s="198"/>
      <c r="E2606" s="537"/>
      <c r="G2606" s="198"/>
      <c r="H2606" s="123"/>
    </row>
    <row r="2607" spans="3:8" s="99" customFormat="1" x14ac:dyDescent="0.2">
      <c r="C2607" s="198"/>
      <c r="D2607" s="198"/>
      <c r="E2607" s="537"/>
      <c r="G2607" s="198"/>
      <c r="H2607" s="123"/>
    </row>
    <row r="2608" spans="3:8" s="99" customFormat="1" x14ac:dyDescent="0.2">
      <c r="C2608" s="198"/>
      <c r="D2608" s="198"/>
      <c r="E2608" s="537"/>
      <c r="G2608" s="198"/>
      <c r="H2608" s="123"/>
    </row>
    <row r="2609" spans="3:8" s="99" customFormat="1" x14ac:dyDescent="0.2">
      <c r="C2609" s="198"/>
      <c r="D2609" s="198"/>
      <c r="E2609" s="537"/>
      <c r="G2609" s="198"/>
      <c r="H2609" s="123"/>
    </row>
    <row r="2610" spans="3:8" s="99" customFormat="1" x14ac:dyDescent="0.2">
      <c r="C2610" s="198"/>
      <c r="D2610" s="198"/>
      <c r="E2610" s="537"/>
      <c r="G2610" s="198"/>
      <c r="H2610" s="123"/>
    </row>
    <row r="2611" spans="3:8" s="99" customFormat="1" x14ac:dyDescent="0.2">
      <c r="C2611" s="198"/>
      <c r="D2611" s="198"/>
      <c r="E2611" s="537"/>
      <c r="G2611" s="198"/>
      <c r="H2611" s="123"/>
    </row>
    <row r="2612" spans="3:8" s="99" customFormat="1" x14ac:dyDescent="0.2">
      <c r="C2612" s="198"/>
      <c r="D2612" s="198"/>
      <c r="E2612" s="537"/>
      <c r="G2612" s="198"/>
      <c r="H2612" s="123"/>
    </row>
    <row r="2613" spans="3:8" s="99" customFormat="1" x14ac:dyDescent="0.2">
      <c r="C2613" s="198"/>
      <c r="D2613" s="198"/>
      <c r="E2613" s="537"/>
      <c r="G2613" s="198"/>
      <c r="H2613" s="123"/>
    </row>
    <row r="2614" spans="3:8" s="99" customFormat="1" x14ac:dyDescent="0.2">
      <c r="C2614" s="198"/>
      <c r="D2614" s="198"/>
      <c r="E2614" s="537"/>
      <c r="G2614" s="198"/>
      <c r="H2614" s="123"/>
    </row>
    <row r="2615" spans="3:8" s="99" customFormat="1" x14ac:dyDescent="0.2">
      <c r="C2615" s="198"/>
      <c r="D2615" s="198"/>
      <c r="E2615" s="537"/>
      <c r="G2615" s="198"/>
      <c r="H2615" s="123"/>
    </row>
    <row r="2616" spans="3:8" s="99" customFormat="1" x14ac:dyDescent="0.2">
      <c r="C2616" s="198"/>
      <c r="D2616" s="198"/>
      <c r="E2616" s="537"/>
      <c r="G2616" s="198"/>
      <c r="H2616" s="123"/>
    </row>
    <row r="2617" spans="3:8" s="99" customFormat="1" x14ac:dyDescent="0.2">
      <c r="C2617" s="198"/>
      <c r="D2617" s="198"/>
      <c r="E2617" s="537"/>
      <c r="G2617" s="198"/>
      <c r="H2617" s="123"/>
    </row>
    <row r="2618" spans="3:8" s="99" customFormat="1" x14ac:dyDescent="0.2">
      <c r="C2618" s="198"/>
      <c r="D2618" s="198"/>
      <c r="E2618" s="537"/>
      <c r="G2618" s="198"/>
      <c r="H2618" s="123"/>
    </row>
    <row r="2619" spans="3:8" s="99" customFormat="1" x14ac:dyDescent="0.2">
      <c r="C2619" s="198"/>
      <c r="D2619" s="198"/>
      <c r="E2619" s="537"/>
      <c r="G2619" s="198"/>
      <c r="H2619" s="123"/>
    </row>
    <row r="2620" spans="3:8" s="99" customFormat="1" x14ac:dyDescent="0.2">
      <c r="C2620" s="198"/>
      <c r="D2620" s="198"/>
      <c r="E2620" s="537"/>
      <c r="G2620" s="198"/>
      <c r="H2620" s="123"/>
    </row>
    <row r="2621" spans="3:8" s="99" customFormat="1" x14ac:dyDescent="0.2">
      <c r="C2621" s="198"/>
      <c r="D2621" s="198"/>
      <c r="E2621" s="537"/>
      <c r="G2621" s="198"/>
      <c r="H2621" s="123"/>
    </row>
    <row r="2622" spans="3:8" s="99" customFormat="1" x14ac:dyDescent="0.2">
      <c r="C2622" s="198"/>
      <c r="D2622" s="198"/>
      <c r="E2622" s="537"/>
      <c r="G2622" s="198"/>
      <c r="H2622" s="123"/>
    </row>
    <row r="2623" spans="3:8" s="99" customFormat="1" x14ac:dyDescent="0.2">
      <c r="C2623" s="198"/>
      <c r="D2623" s="198"/>
      <c r="E2623" s="537"/>
      <c r="G2623" s="198"/>
      <c r="H2623" s="123"/>
    </row>
    <row r="2624" spans="3:8" s="99" customFormat="1" x14ac:dyDescent="0.2">
      <c r="C2624" s="198"/>
      <c r="D2624" s="198"/>
      <c r="E2624" s="537"/>
      <c r="G2624" s="198"/>
      <c r="H2624" s="123"/>
    </row>
    <row r="2625" spans="3:8" s="99" customFormat="1" x14ac:dyDescent="0.2">
      <c r="C2625" s="198"/>
      <c r="D2625" s="198"/>
      <c r="E2625" s="537"/>
      <c r="G2625" s="198"/>
      <c r="H2625" s="123"/>
    </row>
    <row r="2626" spans="3:8" s="99" customFormat="1" x14ac:dyDescent="0.2">
      <c r="C2626" s="198"/>
      <c r="D2626" s="198"/>
      <c r="E2626" s="537"/>
      <c r="G2626" s="198"/>
      <c r="H2626" s="123"/>
    </row>
    <row r="2627" spans="3:8" s="99" customFormat="1" x14ac:dyDescent="0.2">
      <c r="C2627" s="198"/>
      <c r="D2627" s="198"/>
      <c r="E2627" s="537"/>
      <c r="G2627" s="198"/>
      <c r="H2627" s="123"/>
    </row>
    <row r="2628" spans="3:8" s="99" customFormat="1" x14ac:dyDescent="0.2">
      <c r="C2628" s="198"/>
      <c r="D2628" s="198"/>
      <c r="E2628" s="537"/>
      <c r="G2628" s="198"/>
      <c r="H2628" s="123"/>
    </row>
    <row r="2629" spans="3:8" s="99" customFormat="1" x14ac:dyDescent="0.2">
      <c r="C2629" s="198"/>
      <c r="D2629" s="198"/>
      <c r="E2629" s="537"/>
      <c r="G2629" s="198"/>
      <c r="H2629" s="123"/>
    </row>
    <row r="2630" spans="3:8" s="99" customFormat="1" x14ac:dyDescent="0.2">
      <c r="C2630" s="198"/>
      <c r="D2630" s="198"/>
      <c r="E2630" s="537"/>
      <c r="G2630" s="198"/>
      <c r="H2630" s="123"/>
    </row>
    <row r="2631" spans="3:8" s="99" customFormat="1" x14ac:dyDescent="0.2">
      <c r="C2631" s="198"/>
      <c r="D2631" s="198"/>
      <c r="E2631" s="537"/>
      <c r="G2631" s="198"/>
      <c r="H2631" s="123"/>
    </row>
    <row r="2632" spans="3:8" s="99" customFormat="1" x14ac:dyDescent="0.2">
      <c r="C2632" s="198"/>
      <c r="D2632" s="198"/>
      <c r="E2632" s="537"/>
      <c r="G2632" s="198"/>
      <c r="H2632" s="123"/>
    </row>
    <row r="2633" spans="3:8" s="99" customFormat="1" x14ac:dyDescent="0.2">
      <c r="C2633" s="198"/>
      <c r="D2633" s="198"/>
      <c r="E2633" s="537"/>
      <c r="G2633" s="198"/>
      <c r="H2633" s="123"/>
    </row>
    <row r="2634" spans="3:8" s="99" customFormat="1" x14ac:dyDescent="0.2">
      <c r="C2634" s="198"/>
      <c r="D2634" s="198"/>
      <c r="E2634" s="537"/>
      <c r="G2634" s="198"/>
      <c r="H2634" s="123"/>
    </row>
    <row r="2635" spans="3:8" s="99" customFormat="1" x14ac:dyDescent="0.2">
      <c r="C2635" s="198"/>
      <c r="D2635" s="198"/>
      <c r="E2635" s="537"/>
      <c r="G2635" s="198"/>
      <c r="H2635" s="123"/>
    </row>
    <row r="2636" spans="3:8" s="99" customFormat="1" x14ac:dyDescent="0.2">
      <c r="C2636" s="198"/>
      <c r="D2636" s="198"/>
      <c r="E2636" s="537"/>
      <c r="G2636" s="198"/>
      <c r="H2636" s="123"/>
    </row>
    <row r="2637" spans="3:8" s="99" customFormat="1" x14ac:dyDescent="0.2">
      <c r="C2637" s="198"/>
      <c r="D2637" s="198"/>
      <c r="E2637" s="537"/>
      <c r="G2637" s="198"/>
      <c r="H2637" s="123"/>
    </row>
    <row r="2638" spans="3:8" s="99" customFormat="1" x14ac:dyDescent="0.2">
      <c r="C2638" s="198"/>
      <c r="D2638" s="198"/>
      <c r="E2638" s="537"/>
      <c r="G2638" s="198"/>
      <c r="H2638" s="123"/>
    </row>
    <row r="2639" spans="3:8" s="99" customFormat="1" x14ac:dyDescent="0.2">
      <c r="C2639" s="198"/>
      <c r="D2639" s="198"/>
      <c r="E2639" s="537"/>
      <c r="G2639" s="198"/>
      <c r="H2639" s="123"/>
    </row>
    <row r="2640" spans="3:8" s="99" customFormat="1" x14ac:dyDescent="0.2">
      <c r="C2640" s="198"/>
      <c r="D2640" s="198"/>
      <c r="E2640" s="537"/>
      <c r="G2640" s="198"/>
      <c r="H2640" s="123"/>
    </row>
    <row r="2641" spans="3:8" s="99" customFormat="1" x14ac:dyDescent="0.2">
      <c r="C2641" s="198"/>
      <c r="D2641" s="198"/>
      <c r="E2641" s="537"/>
      <c r="G2641" s="198"/>
      <c r="H2641" s="123"/>
    </row>
    <row r="2642" spans="3:8" s="99" customFormat="1" x14ac:dyDescent="0.2">
      <c r="C2642" s="198"/>
      <c r="D2642" s="198"/>
      <c r="E2642" s="537"/>
      <c r="G2642" s="198"/>
      <c r="H2642" s="123"/>
    </row>
    <row r="2643" spans="3:8" s="99" customFormat="1" x14ac:dyDescent="0.2">
      <c r="C2643" s="198"/>
      <c r="D2643" s="198"/>
      <c r="E2643" s="537"/>
      <c r="G2643" s="198"/>
      <c r="H2643" s="123"/>
    </row>
    <row r="2644" spans="3:8" s="99" customFormat="1" x14ac:dyDescent="0.2">
      <c r="C2644" s="198"/>
      <c r="D2644" s="198"/>
      <c r="E2644" s="537"/>
      <c r="G2644" s="198"/>
      <c r="H2644" s="123"/>
    </row>
    <row r="2645" spans="3:8" s="99" customFormat="1" x14ac:dyDescent="0.2">
      <c r="C2645" s="198"/>
      <c r="D2645" s="198"/>
      <c r="E2645" s="537"/>
      <c r="G2645" s="198"/>
      <c r="H2645" s="123"/>
    </row>
    <row r="2646" spans="3:8" s="99" customFormat="1" x14ac:dyDescent="0.2">
      <c r="C2646" s="198"/>
      <c r="D2646" s="198"/>
      <c r="E2646" s="537"/>
      <c r="G2646" s="198"/>
      <c r="H2646" s="123"/>
    </row>
    <row r="2647" spans="3:8" s="99" customFormat="1" x14ac:dyDescent="0.2">
      <c r="C2647" s="198"/>
      <c r="D2647" s="198"/>
      <c r="E2647" s="537"/>
      <c r="G2647" s="198"/>
      <c r="H2647" s="123"/>
    </row>
    <row r="2648" spans="3:8" s="99" customFormat="1" x14ac:dyDescent="0.2">
      <c r="C2648" s="198"/>
      <c r="D2648" s="198"/>
      <c r="E2648" s="537"/>
      <c r="G2648" s="198"/>
      <c r="H2648" s="123"/>
    </row>
    <row r="2649" spans="3:8" s="99" customFormat="1" x14ac:dyDescent="0.2">
      <c r="C2649" s="198"/>
      <c r="D2649" s="198"/>
      <c r="E2649" s="537"/>
      <c r="G2649" s="198"/>
      <c r="H2649" s="123"/>
    </row>
    <row r="2650" spans="3:8" s="99" customFormat="1" x14ac:dyDescent="0.2">
      <c r="C2650" s="198"/>
      <c r="D2650" s="198"/>
      <c r="E2650" s="537"/>
      <c r="G2650" s="198"/>
      <c r="H2650" s="123"/>
    </row>
    <row r="2651" spans="3:8" s="99" customFormat="1" x14ac:dyDescent="0.2">
      <c r="C2651" s="198"/>
      <c r="D2651" s="198"/>
      <c r="E2651" s="537"/>
      <c r="G2651" s="198"/>
      <c r="H2651" s="123"/>
    </row>
    <row r="2652" spans="3:8" s="99" customFormat="1" x14ac:dyDescent="0.2">
      <c r="C2652" s="198"/>
      <c r="D2652" s="198"/>
      <c r="E2652" s="537"/>
      <c r="G2652" s="198"/>
      <c r="H2652" s="123"/>
    </row>
    <row r="2653" spans="3:8" s="99" customFormat="1" x14ac:dyDescent="0.2">
      <c r="C2653" s="198"/>
      <c r="D2653" s="198"/>
      <c r="E2653" s="537"/>
      <c r="G2653" s="198"/>
      <c r="H2653" s="123"/>
    </row>
    <row r="2654" spans="3:8" s="99" customFormat="1" x14ac:dyDescent="0.2">
      <c r="C2654" s="198"/>
      <c r="D2654" s="198"/>
      <c r="E2654" s="537"/>
      <c r="G2654" s="198"/>
      <c r="H2654" s="123"/>
    </row>
    <row r="2655" spans="3:8" s="99" customFormat="1" x14ac:dyDescent="0.2">
      <c r="C2655" s="198"/>
      <c r="D2655" s="198"/>
      <c r="E2655" s="537"/>
      <c r="G2655" s="198"/>
      <c r="H2655" s="123"/>
    </row>
    <row r="2656" spans="3:8" s="99" customFormat="1" x14ac:dyDescent="0.2">
      <c r="C2656" s="198"/>
      <c r="D2656" s="198"/>
      <c r="E2656" s="537"/>
      <c r="G2656" s="198"/>
      <c r="H2656" s="123"/>
    </row>
    <row r="2657" spans="3:8" s="99" customFormat="1" x14ac:dyDescent="0.2">
      <c r="C2657" s="198"/>
      <c r="D2657" s="198"/>
      <c r="E2657" s="537"/>
      <c r="G2657" s="198"/>
      <c r="H2657" s="123"/>
    </row>
    <row r="2658" spans="3:8" s="99" customFormat="1" x14ac:dyDescent="0.2">
      <c r="C2658" s="198"/>
      <c r="D2658" s="198"/>
      <c r="E2658" s="537"/>
      <c r="G2658" s="198"/>
      <c r="H2658" s="123"/>
    </row>
    <row r="2659" spans="3:8" s="99" customFormat="1" x14ac:dyDescent="0.2">
      <c r="C2659" s="198"/>
      <c r="D2659" s="198"/>
      <c r="E2659" s="537"/>
      <c r="G2659" s="198"/>
      <c r="H2659" s="123"/>
    </row>
    <row r="2660" spans="3:8" s="99" customFormat="1" x14ac:dyDescent="0.2">
      <c r="C2660" s="198"/>
      <c r="D2660" s="198"/>
      <c r="E2660" s="537"/>
      <c r="G2660" s="198"/>
      <c r="H2660" s="123"/>
    </row>
    <row r="2661" spans="3:8" s="99" customFormat="1" x14ac:dyDescent="0.2">
      <c r="C2661" s="198"/>
      <c r="D2661" s="198"/>
      <c r="E2661" s="537"/>
      <c r="G2661" s="198"/>
      <c r="H2661" s="123"/>
    </row>
    <row r="2662" spans="3:8" s="99" customFormat="1" x14ac:dyDescent="0.2">
      <c r="C2662" s="198"/>
      <c r="D2662" s="198"/>
      <c r="E2662" s="537"/>
      <c r="G2662" s="198"/>
      <c r="H2662" s="123"/>
    </row>
    <row r="2663" spans="3:8" s="99" customFormat="1" x14ac:dyDescent="0.2">
      <c r="C2663" s="198"/>
      <c r="D2663" s="198"/>
      <c r="E2663" s="537"/>
      <c r="G2663" s="198"/>
      <c r="H2663" s="123"/>
    </row>
    <row r="2664" spans="3:8" s="99" customFormat="1" x14ac:dyDescent="0.2">
      <c r="C2664" s="198"/>
      <c r="D2664" s="198"/>
      <c r="E2664" s="537"/>
      <c r="G2664" s="198"/>
      <c r="H2664" s="123"/>
    </row>
    <row r="2665" spans="3:8" s="99" customFormat="1" x14ac:dyDescent="0.2">
      <c r="C2665" s="198"/>
      <c r="D2665" s="198"/>
      <c r="E2665" s="537"/>
      <c r="G2665" s="198"/>
      <c r="H2665" s="123"/>
    </row>
    <row r="2666" spans="3:8" s="99" customFormat="1" x14ac:dyDescent="0.2">
      <c r="C2666" s="198"/>
      <c r="D2666" s="198"/>
      <c r="E2666" s="537"/>
      <c r="G2666" s="198"/>
      <c r="H2666" s="123"/>
    </row>
    <row r="2667" spans="3:8" s="99" customFormat="1" x14ac:dyDescent="0.2">
      <c r="C2667" s="198"/>
      <c r="D2667" s="198"/>
      <c r="E2667" s="537"/>
      <c r="G2667" s="198"/>
      <c r="H2667" s="123"/>
    </row>
    <row r="2668" spans="3:8" s="99" customFormat="1" x14ac:dyDescent="0.2">
      <c r="C2668" s="198"/>
      <c r="D2668" s="198"/>
      <c r="E2668" s="537"/>
      <c r="G2668" s="198"/>
      <c r="H2668" s="123"/>
    </row>
    <row r="2669" spans="3:8" s="99" customFormat="1" x14ac:dyDescent="0.2">
      <c r="C2669" s="198"/>
      <c r="D2669" s="198"/>
      <c r="E2669" s="537"/>
      <c r="G2669" s="198"/>
      <c r="H2669" s="123"/>
    </row>
    <row r="2670" spans="3:8" s="99" customFormat="1" x14ac:dyDescent="0.2">
      <c r="C2670" s="198"/>
      <c r="D2670" s="198"/>
      <c r="E2670" s="537"/>
      <c r="G2670" s="198"/>
      <c r="H2670" s="123"/>
    </row>
    <row r="2671" spans="3:8" s="99" customFormat="1" x14ac:dyDescent="0.2">
      <c r="C2671" s="198"/>
      <c r="D2671" s="198"/>
      <c r="E2671" s="537"/>
      <c r="G2671" s="198"/>
      <c r="H2671" s="123"/>
    </row>
    <row r="2672" spans="3:8" s="99" customFormat="1" x14ac:dyDescent="0.2">
      <c r="C2672" s="198"/>
      <c r="D2672" s="198"/>
      <c r="E2672" s="537"/>
      <c r="G2672" s="198"/>
      <c r="H2672" s="123"/>
    </row>
    <row r="2673" spans="3:8" s="99" customFormat="1" x14ac:dyDescent="0.2">
      <c r="C2673" s="198"/>
      <c r="D2673" s="198"/>
      <c r="E2673" s="537"/>
      <c r="G2673" s="198"/>
      <c r="H2673" s="123"/>
    </row>
    <row r="2674" spans="3:8" s="99" customFormat="1" x14ac:dyDescent="0.2">
      <c r="C2674" s="198"/>
      <c r="D2674" s="198"/>
      <c r="E2674" s="537"/>
      <c r="G2674" s="198"/>
      <c r="H2674" s="123"/>
    </row>
    <row r="2675" spans="3:8" s="99" customFormat="1" x14ac:dyDescent="0.2">
      <c r="C2675" s="198"/>
      <c r="D2675" s="198"/>
      <c r="E2675" s="537"/>
      <c r="G2675" s="198"/>
      <c r="H2675" s="123"/>
    </row>
    <row r="2676" spans="3:8" s="99" customFormat="1" x14ac:dyDescent="0.2">
      <c r="C2676" s="198"/>
      <c r="D2676" s="198"/>
      <c r="E2676" s="537"/>
      <c r="G2676" s="198"/>
      <c r="H2676" s="123"/>
    </row>
    <row r="2677" spans="3:8" s="99" customFormat="1" x14ac:dyDescent="0.2">
      <c r="C2677" s="198"/>
      <c r="D2677" s="198"/>
      <c r="E2677" s="537"/>
      <c r="G2677" s="198"/>
      <c r="H2677" s="123"/>
    </row>
    <row r="2678" spans="3:8" s="99" customFormat="1" x14ac:dyDescent="0.2">
      <c r="C2678" s="198"/>
      <c r="D2678" s="198"/>
      <c r="E2678" s="537"/>
      <c r="G2678" s="198"/>
      <c r="H2678" s="123"/>
    </row>
    <row r="2679" spans="3:8" s="99" customFormat="1" x14ac:dyDescent="0.2">
      <c r="C2679" s="198"/>
      <c r="D2679" s="198"/>
      <c r="E2679" s="537"/>
      <c r="G2679" s="198"/>
      <c r="H2679" s="123"/>
    </row>
    <row r="2680" spans="3:8" s="99" customFormat="1" x14ac:dyDescent="0.2">
      <c r="C2680" s="198"/>
      <c r="D2680" s="198"/>
      <c r="E2680" s="537"/>
      <c r="G2680" s="198"/>
      <c r="H2680" s="123"/>
    </row>
    <row r="2681" spans="3:8" s="99" customFormat="1" x14ac:dyDescent="0.2">
      <c r="C2681" s="198"/>
      <c r="D2681" s="198"/>
      <c r="E2681" s="537"/>
      <c r="G2681" s="198"/>
      <c r="H2681" s="123"/>
    </row>
    <row r="2682" spans="3:8" s="99" customFormat="1" x14ac:dyDescent="0.2">
      <c r="C2682" s="198"/>
      <c r="D2682" s="198"/>
      <c r="E2682" s="537"/>
      <c r="G2682" s="198"/>
      <c r="H2682" s="123"/>
    </row>
    <row r="2683" spans="3:8" s="99" customFormat="1" x14ac:dyDescent="0.2">
      <c r="C2683" s="198"/>
      <c r="D2683" s="198"/>
      <c r="E2683" s="537"/>
      <c r="G2683" s="198"/>
      <c r="H2683" s="123"/>
    </row>
    <row r="2684" spans="3:8" s="99" customFormat="1" x14ac:dyDescent="0.2">
      <c r="C2684" s="198"/>
      <c r="D2684" s="198"/>
      <c r="E2684" s="537"/>
      <c r="G2684" s="198"/>
      <c r="H2684" s="123"/>
    </row>
    <row r="2685" spans="3:8" s="99" customFormat="1" x14ac:dyDescent="0.2">
      <c r="C2685" s="198"/>
      <c r="D2685" s="198"/>
      <c r="E2685" s="537"/>
      <c r="G2685" s="198"/>
      <c r="H2685" s="123"/>
    </row>
    <row r="2686" spans="3:8" s="99" customFormat="1" x14ac:dyDescent="0.2">
      <c r="C2686" s="198"/>
      <c r="D2686" s="198"/>
      <c r="E2686" s="537"/>
      <c r="G2686" s="198"/>
      <c r="H2686" s="123"/>
    </row>
    <row r="2687" spans="3:8" s="99" customFormat="1" x14ac:dyDescent="0.2">
      <c r="C2687" s="198"/>
      <c r="D2687" s="198"/>
      <c r="E2687" s="537"/>
      <c r="G2687" s="198"/>
      <c r="H2687" s="123"/>
    </row>
    <row r="2688" spans="3:8" s="99" customFormat="1" x14ac:dyDescent="0.2">
      <c r="C2688" s="198"/>
      <c r="D2688" s="198"/>
      <c r="E2688" s="537"/>
      <c r="G2688" s="198"/>
      <c r="H2688" s="123"/>
    </row>
    <row r="2689" spans="3:8" s="99" customFormat="1" x14ac:dyDescent="0.2">
      <c r="C2689" s="198"/>
      <c r="D2689" s="198"/>
      <c r="E2689" s="537"/>
      <c r="G2689" s="198"/>
      <c r="H2689" s="123"/>
    </row>
    <row r="2690" spans="3:8" s="99" customFormat="1" x14ac:dyDescent="0.2">
      <c r="C2690" s="198"/>
      <c r="D2690" s="198"/>
      <c r="E2690" s="537"/>
      <c r="G2690" s="198"/>
      <c r="H2690" s="123"/>
    </row>
    <row r="2691" spans="3:8" s="99" customFormat="1" x14ac:dyDescent="0.2">
      <c r="C2691" s="198"/>
      <c r="D2691" s="198"/>
      <c r="E2691" s="537"/>
      <c r="G2691" s="198"/>
      <c r="H2691" s="123"/>
    </row>
    <row r="2692" spans="3:8" s="99" customFormat="1" x14ac:dyDescent="0.2">
      <c r="C2692" s="198"/>
      <c r="D2692" s="198"/>
      <c r="E2692" s="537"/>
      <c r="G2692" s="198"/>
      <c r="H2692" s="123"/>
    </row>
    <row r="2693" spans="3:8" s="99" customFormat="1" x14ac:dyDescent="0.2">
      <c r="C2693" s="198"/>
      <c r="D2693" s="198"/>
      <c r="E2693" s="537"/>
      <c r="G2693" s="198"/>
      <c r="H2693" s="123"/>
    </row>
    <row r="2694" spans="3:8" s="99" customFormat="1" x14ac:dyDescent="0.2">
      <c r="C2694" s="198"/>
      <c r="D2694" s="198"/>
      <c r="E2694" s="537"/>
      <c r="G2694" s="198"/>
      <c r="H2694" s="123"/>
    </row>
    <row r="2695" spans="3:8" s="99" customFormat="1" x14ac:dyDescent="0.2">
      <c r="C2695" s="198"/>
      <c r="D2695" s="198"/>
      <c r="E2695" s="537"/>
      <c r="G2695" s="198"/>
      <c r="H2695" s="123"/>
    </row>
    <row r="2696" spans="3:8" s="99" customFormat="1" x14ac:dyDescent="0.2">
      <c r="C2696" s="198"/>
      <c r="D2696" s="198"/>
      <c r="E2696" s="537"/>
      <c r="G2696" s="198"/>
      <c r="H2696" s="123"/>
    </row>
    <row r="2697" spans="3:8" s="99" customFormat="1" x14ac:dyDescent="0.2">
      <c r="C2697" s="198"/>
      <c r="D2697" s="198"/>
      <c r="E2697" s="537"/>
      <c r="G2697" s="198"/>
      <c r="H2697" s="123"/>
    </row>
    <row r="2698" spans="3:8" s="99" customFormat="1" x14ac:dyDescent="0.2">
      <c r="C2698" s="198"/>
      <c r="D2698" s="198"/>
      <c r="E2698" s="537"/>
      <c r="G2698" s="198"/>
      <c r="H2698" s="123"/>
    </row>
    <row r="2699" spans="3:8" s="99" customFormat="1" x14ac:dyDescent="0.2">
      <c r="C2699" s="198"/>
      <c r="D2699" s="198"/>
      <c r="E2699" s="537"/>
      <c r="G2699" s="198"/>
      <c r="H2699" s="123"/>
    </row>
    <row r="2700" spans="3:8" s="99" customFormat="1" x14ac:dyDescent="0.2">
      <c r="C2700" s="198"/>
      <c r="D2700" s="198"/>
      <c r="E2700" s="537"/>
      <c r="G2700" s="198"/>
      <c r="H2700" s="123"/>
    </row>
    <row r="2701" spans="3:8" s="99" customFormat="1" x14ac:dyDescent="0.2">
      <c r="C2701" s="198"/>
      <c r="D2701" s="198"/>
      <c r="E2701" s="537"/>
      <c r="G2701" s="198"/>
      <c r="H2701" s="123"/>
    </row>
    <row r="2702" spans="3:8" s="99" customFormat="1" x14ac:dyDescent="0.2">
      <c r="C2702" s="198"/>
      <c r="D2702" s="198"/>
      <c r="E2702" s="537"/>
      <c r="G2702" s="198"/>
      <c r="H2702" s="123"/>
    </row>
    <row r="2703" spans="3:8" s="99" customFormat="1" x14ac:dyDescent="0.2">
      <c r="C2703" s="198"/>
      <c r="D2703" s="198"/>
      <c r="E2703" s="537"/>
      <c r="G2703" s="198"/>
      <c r="H2703" s="123"/>
    </row>
    <row r="2704" spans="3:8" s="99" customFormat="1" x14ac:dyDescent="0.2">
      <c r="C2704" s="198"/>
      <c r="D2704" s="198"/>
      <c r="E2704" s="537"/>
      <c r="G2704" s="198"/>
      <c r="H2704" s="123"/>
    </row>
    <row r="2705" spans="3:8" s="99" customFormat="1" x14ac:dyDescent="0.2">
      <c r="C2705" s="198"/>
      <c r="D2705" s="198"/>
      <c r="E2705" s="537"/>
      <c r="G2705" s="198"/>
      <c r="H2705" s="123"/>
    </row>
    <row r="2706" spans="3:8" s="99" customFormat="1" x14ac:dyDescent="0.2">
      <c r="C2706" s="198"/>
      <c r="D2706" s="198"/>
      <c r="E2706" s="537"/>
      <c r="G2706" s="198"/>
      <c r="H2706" s="123"/>
    </row>
    <row r="2707" spans="3:8" s="99" customFormat="1" x14ac:dyDescent="0.2">
      <c r="C2707" s="198"/>
      <c r="D2707" s="198"/>
      <c r="E2707" s="537"/>
      <c r="G2707" s="198"/>
      <c r="H2707" s="123"/>
    </row>
    <row r="2708" spans="3:8" s="99" customFormat="1" x14ac:dyDescent="0.2">
      <c r="C2708" s="198"/>
      <c r="D2708" s="198"/>
      <c r="E2708" s="537"/>
      <c r="G2708" s="198"/>
      <c r="H2708" s="123"/>
    </row>
    <row r="2709" spans="3:8" s="99" customFormat="1" x14ac:dyDescent="0.2">
      <c r="C2709" s="198"/>
      <c r="D2709" s="198"/>
      <c r="E2709" s="537"/>
      <c r="G2709" s="198"/>
      <c r="H2709" s="123"/>
    </row>
    <row r="2710" spans="3:8" s="99" customFormat="1" x14ac:dyDescent="0.2">
      <c r="C2710" s="198"/>
      <c r="D2710" s="198"/>
      <c r="E2710" s="537"/>
      <c r="G2710" s="198"/>
      <c r="H2710" s="123"/>
    </row>
    <row r="2711" spans="3:8" s="99" customFormat="1" x14ac:dyDescent="0.2">
      <c r="C2711" s="198"/>
      <c r="D2711" s="198"/>
      <c r="E2711" s="537"/>
      <c r="G2711" s="198"/>
      <c r="H2711" s="123"/>
    </row>
    <row r="2712" spans="3:8" s="99" customFormat="1" x14ac:dyDescent="0.2">
      <c r="C2712" s="198"/>
      <c r="D2712" s="198"/>
      <c r="E2712" s="537"/>
      <c r="G2712" s="198"/>
      <c r="H2712" s="123"/>
    </row>
    <row r="2713" spans="3:8" s="99" customFormat="1" x14ac:dyDescent="0.2">
      <c r="C2713" s="198"/>
      <c r="D2713" s="198"/>
      <c r="E2713" s="537"/>
      <c r="G2713" s="198"/>
      <c r="H2713" s="123"/>
    </row>
    <row r="2714" spans="3:8" s="99" customFormat="1" x14ac:dyDescent="0.2">
      <c r="C2714" s="198"/>
      <c r="D2714" s="198"/>
      <c r="E2714" s="537"/>
      <c r="G2714" s="198"/>
      <c r="H2714" s="123"/>
    </row>
    <row r="2715" spans="3:8" s="99" customFormat="1" x14ac:dyDescent="0.2">
      <c r="C2715" s="198"/>
      <c r="D2715" s="198"/>
      <c r="E2715" s="537"/>
      <c r="G2715" s="198"/>
      <c r="H2715" s="123"/>
    </row>
    <row r="2716" spans="3:8" s="99" customFormat="1" x14ac:dyDescent="0.2">
      <c r="C2716" s="198"/>
      <c r="D2716" s="198"/>
      <c r="E2716" s="537"/>
      <c r="G2716" s="198"/>
      <c r="H2716" s="123"/>
    </row>
    <row r="2717" spans="3:8" s="99" customFormat="1" x14ac:dyDescent="0.2">
      <c r="C2717" s="198"/>
      <c r="D2717" s="198"/>
      <c r="E2717" s="537"/>
      <c r="G2717" s="198"/>
      <c r="H2717" s="123"/>
    </row>
    <row r="2718" spans="3:8" s="99" customFormat="1" x14ac:dyDescent="0.2">
      <c r="C2718" s="198"/>
      <c r="D2718" s="198"/>
      <c r="E2718" s="537"/>
      <c r="G2718" s="198"/>
      <c r="H2718" s="123"/>
    </row>
    <row r="2719" spans="3:8" s="99" customFormat="1" x14ac:dyDescent="0.2">
      <c r="C2719" s="198"/>
      <c r="D2719" s="198"/>
      <c r="E2719" s="537"/>
      <c r="G2719" s="198"/>
      <c r="H2719" s="123"/>
    </row>
    <row r="2720" spans="3:8" s="99" customFormat="1" x14ac:dyDescent="0.2">
      <c r="C2720" s="198"/>
      <c r="D2720" s="198"/>
      <c r="E2720" s="537"/>
      <c r="G2720" s="198"/>
      <c r="H2720" s="123"/>
    </row>
    <row r="2721" spans="3:8" s="99" customFormat="1" x14ac:dyDescent="0.2">
      <c r="C2721" s="198"/>
      <c r="D2721" s="198"/>
      <c r="E2721" s="537"/>
      <c r="G2721" s="198"/>
      <c r="H2721" s="123"/>
    </row>
    <row r="2722" spans="3:8" s="99" customFormat="1" x14ac:dyDescent="0.2">
      <c r="C2722" s="198"/>
      <c r="D2722" s="198"/>
      <c r="E2722" s="537"/>
      <c r="G2722" s="198"/>
      <c r="H2722" s="123"/>
    </row>
    <row r="2723" spans="3:8" s="99" customFormat="1" x14ac:dyDescent="0.2">
      <c r="C2723" s="198"/>
      <c r="D2723" s="198"/>
      <c r="E2723" s="537"/>
      <c r="G2723" s="198"/>
      <c r="H2723" s="123"/>
    </row>
    <row r="2724" spans="3:8" s="99" customFormat="1" x14ac:dyDescent="0.2">
      <c r="C2724" s="198"/>
      <c r="D2724" s="198"/>
      <c r="E2724" s="537"/>
      <c r="G2724" s="198"/>
      <c r="H2724" s="123"/>
    </row>
    <row r="2725" spans="3:8" s="99" customFormat="1" x14ac:dyDescent="0.2">
      <c r="C2725" s="198"/>
      <c r="D2725" s="198"/>
      <c r="E2725" s="537"/>
      <c r="G2725" s="198"/>
      <c r="H2725" s="123"/>
    </row>
    <row r="2726" spans="3:8" s="99" customFormat="1" x14ac:dyDescent="0.2">
      <c r="C2726" s="198"/>
      <c r="D2726" s="198"/>
      <c r="E2726" s="537"/>
      <c r="G2726" s="198"/>
      <c r="H2726" s="123"/>
    </row>
    <row r="2727" spans="3:8" s="99" customFormat="1" x14ac:dyDescent="0.2">
      <c r="C2727" s="198"/>
      <c r="D2727" s="198"/>
      <c r="E2727" s="537"/>
      <c r="G2727" s="198"/>
      <c r="H2727" s="123"/>
    </row>
    <row r="2728" spans="3:8" s="99" customFormat="1" x14ac:dyDescent="0.2">
      <c r="C2728" s="198"/>
      <c r="D2728" s="198"/>
      <c r="E2728" s="537"/>
      <c r="G2728" s="198"/>
      <c r="H2728" s="123"/>
    </row>
    <row r="2729" spans="3:8" s="99" customFormat="1" x14ac:dyDescent="0.2">
      <c r="C2729" s="198"/>
      <c r="D2729" s="198"/>
      <c r="E2729" s="537"/>
      <c r="G2729" s="198"/>
      <c r="H2729" s="123"/>
    </row>
    <row r="2730" spans="3:8" s="99" customFormat="1" x14ac:dyDescent="0.2">
      <c r="C2730" s="198"/>
      <c r="D2730" s="198"/>
      <c r="E2730" s="537"/>
      <c r="G2730" s="198"/>
      <c r="H2730" s="123"/>
    </row>
    <row r="2731" spans="3:8" s="99" customFormat="1" x14ac:dyDescent="0.2">
      <c r="C2731" s="198"/>
      <c r="D2731" s="198"/>
      <c r="E2731" s="537"/>
      <c r="G2731" s="198"/>
      <c r="H2731" s="123"/>
    </row>
    <row r="2732" spans="3:8" s="99" customFormat="1" x14ac:dyDescent="0.2">
      <c r="C2732" s="198"/>
      <c r="D2732" s="198"/>
      <c r="E2732" s="537"/>
      <c r="G2732" s="198"/>
      <c r="H2732" s="123"/>
    </row>
    <row r="2733" spans="3:8" s="99" customFormat="1" x14ac:dyDescent="0.2">
      <c r="C2733" s="198"/>
      <c r="D2733" s="198"/>
      <c r="E2733" s="537"/>
      <c r="G2733" s="198"/>
      <c r="H2733" s="123"/>
    </row>
    <row r="2734" spans="3:8" s="99" customFormat="1" x14ac:dyDescent="0.2">
      <c r="C2734" s="198"/>
      <c r="D2734" s="198"/>
      <c r="E2734" s="537"/>
      <c r="G2734" s="198"/>
      <c r="H2734" s="123"/>
    </row>
    <row r="2735" spans="3:8" s="99" customFormat="1" x14ac:dyDescent="0.2">
      <c r="C2735" s="198"/>
      <c r="D2735" s="198"/>
      <c r="E2735" s="537"/>
      <c r="G2735" s="198"/>
      <c r="H2735" s="123"/>
    </row>
    <row r="2736" spans="3:8" s="99" customFormat="1" x14ac:dyDescent="0.2">
      <c r="C2736" s="198"/>
      <c r="D2736" s="198"/>
      <c r="E2736" s="537"/>
      <c r="G2736" s="198"/>
      <c r="H2736" s="123"/>
    </row>
    <row r="2737" spans="3:8" s="99" customFormat="1" x14ac:dyDescent="0.2">
      <c r="C2737" s="198"/>
      <c r="D2737" s="198"/>
      <c r="E2737" s="537"/>
      <c r="G2737" s="198"/>
      <c r="H2737" s="123"/>
    </row>
    <row r="2738" spans="3:8" s="99" customFormat="1" x14ac:dyDescent="0.2">
      <c r="C2738" s="198"/>
      <c r="D2738" s="198"/>
      <c r="E2738" s="537"/>
      <c r="G2738" s="198"/>
      <c r="H2738" s="123"/>
    </row>
    <row r="2739" spans="3:8" s="99" customFormat="1" x14ac:dyDescent="0.2">
      <c r="C2739" s="198"/>
      <c r="D2739" s="198"/>
      <c r="E2739" s="537"/>
      <c r="G2739" s="198"/>
      <c r="H2739" s="123"/>
    </row>
    <row r="2740" spans="3:8" s="99" customFormat="1" x14ac:dyDescent="0.2">
      <c r="C2740" s="198"/>
      <c r="D2740" s="198"/>
      <c r="E2740" s="537"/>
      <c r="G2740" s="198"/>
      <c r="H2740" s="123"/>
    </row>
    <row r="2741" spans="3:8" s="99" customFormat="1" x14ac:dyDescent="0.2">
      <c r="C2741" s="198"/>
      <c r="D2741" s="198"/>
      <c r="E2741" s="537"/>
      <c r="G2741" s="198"/>
      <c r="H2741" s="123"/>
    </row>
    <row r="2742" spans="3:8" s="99" customFormat="1" x14ac:dyDescent="0.2">
      <c r="C2742" s="198"/>
      <c r="D2742" s="198"/>
      <c r="E2742" s="537"/>
      <c r="G2742" s="198"/>
      <c r="H2742" s="123"/>
    </row>
    <row r="2743" spans="3:8" s="99" customFormat="1" x14ac:dyDescent="0.2">
      <c r="C2743" s="198"/>
      <c r="D2743" s="198"/>
      <c r="E2743" s="537"/>
      <c r="G2743" s="198"/>
      <c r="H2743" s="123"/>
    </row>
    <row r="2744" spans="3:8" s="99" customFormat="1" x14ac:dyDescent="0.2">
      <c r="C2744" s="198"/>
      <c r="D2744" s="198"/>
      <c r="E2744" s="537"/>
      <c r="G2744" s="198"/>
      <c r="H2744" s="123"/>
    </row>
    <row r="2745" spans="3:8" s="99" customFormat="1" x14ac:dyDescent="0.2">
      <c r="C2745" s="198"/>
      <c r="D2745" s="198"/>
      <c r="E2745" s="537"/>
      <c r="G2745" s="198"/>
      <c r="H2745" s="123"/>
    </row>
    <row r="2746" spans="3:8" s="99" customFormat="1" x14ac:dyDescent="0.2">
      <c r="C2746" s="198"/>
      <c r="D2746" s="198"/>
      <c r="E2746" s="537"/>
      <c r="G2746" s="198"/>
      <c r="H2746" s="123"/>
    </row>
    <row r="2747" spans="3:8" s="99" customFormat="1" x14ac:dyDescent="0.2">
      <c r="C2747" s="198"/>
      <c r="D2747" s="198"/>
      <c r="E2747" s="537"/>
      <c r="G2747" s="198"/>
      <c r="H2747" s="123"/>
    </row>
    <row r="2748" spans="3:8" s="99" customFormat="1" x14ac:dyDescent="0.2">
      <c r="C2748" s="198"/>
      <c r="D2748" s="198"/>
      <c r="E2748" s="537"/>
      <c r="G2748" s="198"/>
      <c r="H2748" s="123"/>
    </row>
    <row r="2749" spans="3:8" s="99" customFormat="1" x14ac:dyDescent="0.2">
      <c r="C2749" s="198"/>
      <c r="D2749" s="198"/>
      <c r="E2749" s="537"/>
      <c r="G2749" s="198"/>
      <c r="H2749" s="123"/>
    </row>
    <row r="2750" spans="3:8" s="99" customFormat="1" x14ac:dyDescent="0.2">
      <c r="C2750" s="198"/>
      <c r="D2750" s="198"/>
      <c r="E2750" s="537"/>
      <c r="G2750" s="198"/>
      <c r="H2750" s="123"/>
    </row>
    <row r="2751" spans="3:8" s="99" customFormat="1" x14ac:dyDescent="0.2">
      <c r="C2751" s="198"/>
      <c r="D2751" s="198"/>
      <c r="E2751" s="537"/>
      <c r="G2751" s="198"/>
      <c r="H2751" s="123"/>
    </row>
    <row r="2752" spans="3:8" s="99" customFormat="1" x14ac:dyDescent="0.2">
      <c r="C2752" s="198"/>
      <c r="D2752" s="198"/>
      <c r="E2752" s="537"/>
      <c r="G2752" s="198"/>
      <c r="H2752" s="123"/>
    </row>
    <row r="2753" spans="3:8" s="99" customFormat="1" x14ac:dyDescent="0.2">
      <c r="C2753" s="198"/>
      <c r="D2753" s="198"/>
      <c r="E2753" s="537"/>
      <c r="G2753" s="198"/>
      <c r="H2753" s="123"/>
    </row>
    <row r="2754" spans="3:8" s="99" customFormat="1" x14ac:dyDescent="0.2">
      <c r="C2754" s="198"/>
      <c r="D2754" s="198"/>
      <c r="E2754" s="537"/>
      <c r="G2754" s="198"/>
      <c r="H2754" s="123"/>
    </row>
    <row r="2755" spans="3:8" s="99" customFormat="1" x14ac:dyDescent="0.2">
      <c r="C2755" s="198"/>
      <c r="D2755" s="198"/>
      <c r="E2755" s="537"/>
      <c r="G2755" s="198"/>
      <c r="H2755" s="123"/>
    </row>
    <row r="2756" spans="3:8" s="99" customFormat="1" x14ac:dyDescent="0.2">
      <c r="C2756" s="198"/>
      <c r="D2756" s="198"/>
      <c r="E2756" s="537"/>
      <c r="G2756" s="198"/>
      <c r="H2756" s="123"/>
    </row>
    <row r="2757" spans="3:8" s="99" customFormat="1" x14ac:dyDescent="0.2">
      <c r="C2757" s="198"/>
      <c r="D2757" s="198"/>
      <c r="E2757" s="537"/>
      <c r="G2757" s="198"/>
      <c r="H2757" s="123"/>
    </row>
    <row r="2758" spans="3:8" s="99" customFormat="1" x14ac:dyDescent="0.2">
      <c r="C2758" s="198"/>
      <c r="D2758" s="198"/>
      <c r="E2758" s="537"/>
      <c r="G2758" s="198"/>
      <c r="H2758" s="123"/>
    </row>
    <row r="2759" spans="3:8" s="99" customFormat="1" x14ac:dyDescent="0.2">
      <c r="C2759" s="198"/>
      <c r="D2759" s="198"/>
      <c r="E2759" s="537"/>
      <c r="G2759" s="198"/>
      <c r="H2759" s="123"/>
    </row>
    <row r="2760" spans="3:8" s="99" customFormat="1" x14ac:dyDescent="0.2">
      <c r="C2760" s="198"/>
      <c r="D2760" s="198"/>
      <c r="E2760" s="537"/>
      <c r="G2760" s="198"/>
      <c r="H2760" s="123"/>
    </row>
    <row r="2761" spans="3:8" s="99" customFormat="1" x14ac:dyDescent="0.2">
      <c r="C2761" s="198"/>
      <c r="D2761" s="198"/>
      <c r="E2761" s="537"/>
      <c r="G2761" s="198"/>
      <c r="H2761" s="123"/>
    </row>
    <row r="2762" spans="3:8" s="99" customFormat="1" x14ac:dyDescent="0.2">
      <c r="C2762" s="198"/>
      <c r="D2762" s="198"/>
      <c r="E2762" s="537"/>
      <c r="G2762" s="198"/>
      <c r="H2762" s="123"/>
    </row>
    <row r="2763" spans="3:8" s="99" customFormat="1" x14ac:dyDescent="0.2">
      <c r="C2763" s="198"/>
      <c r="D2763" s="198"/>
      <c r="E2763" s="537"/>
      <c r="G2763" s="198"/>
      <c r="H2763" s="123"/>
    </row>
    <row r="2764" spans="3:8" s="99" customFormat="1" x14ac:dyDescent="0.2">
      <c r="C2764" s="198"/>
      <c r="D2764" s="198"/>
      <c r="E2764" s="537"/>
      <c r="G2764" s="198"/>
      <c r="H2764" s="123"/>
    </row>
    <row r="2765" spans="3:8" s="99" customFormat="1" x14ac:dyDescent="0.2">
      <c r="C2765" s="198"/>
      <c r="D2765" s="198"/>
      <c r="E2765" s="537"/>
      <c r="G2765" s="198"/>
      <c r="H2765" s="123"/>
    </row>
    <row r="2766" spans="3:8" s="99" customFormat="1" x14ac:dyDescent="0.2">
      <c r="C2766" s="198"/>
      <c r="D2766" s="198"/>
      <c r="E2766" s="537"/>
      <c r="G2766" s="198"/>
      <c r="H2766" s="123"/>
    </row>
    <row r="2767" spans="3:8" s="99" customFormat="1" x14ac:dyDescent="0.2">
      <c r="C2767" s="198"/>
      <c r="D2767" s="198"/>
      <c r="E2767" s="537"/>
      <c r="G2767" s="198"/>
      <c r="H2767" s="123"/>
    </row>
    <row r="2768" spans="3:8" s="99" customFormat="1" x14ac:dyDescent="0.2">
      <c r="C2768" s="198"/>
      <c r="D2768" s="198"/>
      <c r="E2768" s="537"/>
      <c r="G2768" s="198"/>
      <c r="H2768" s="123"/>
    </row>
    <row r="2769" spans="3:8" s="99" customFormat="1" x14ac:dyDescent="0.2">
      <c r="C2769" s="198"/>
      <c r="D2769" s="198"/>
      <c r="E2769" s="537"/>
      <c r="G2769" s="198"/>
      <c r="H2769" s="123"/>
    </row>
    <row r="2770" spans="3:8" s="99" customFormat="1" x14ac:dyDescent="0.2">
      <c r="C2770" s="198"/>
      <c r="D2770" s="198"/>
      <c r="E2770" s="537"/>
      <c r="G2770" s="198"/>
      <c r="H2770" s="123"/>
    </row>
    <row r="2771" spans="3:8" s="99" customFormat="1" x14ac:dyDescent="0.2">
      <c r="C2771" s="198"/>
      <c r="D2771" s="198"/>
      <c r="E2771" s="537"/>
      <c r="G2771" s="198"/>
      <c r="H2771" s="123"/>
    </row>
    <row r="2772" spans="3:8" s="99" customFormat="1" x14ac:dyDescent="0.2">
      <c r="C2772" s="198"/>
      <c r="D2772" s="198"/>
      <c r="E2772" s="537"/>
      <c r="G2772" s="198"/>
      <c r="H2772" s="123"/>
    </row>
    <row r="2773" spans="3:8" s="99" customFormat="1" x14ac:dyDescent="0.2">
      <c r="C2773" s="198"/>
      <c r="D2773" s="198"/>
      <c r="E2773" s="537"/>
      <c r="G2773" s="198"/>
      <c r="H2773" s="123"/>
    </row>
    <row r="2774" spans="3:8" s="99" customFormat="1" x14ac:dyDescent="0.2">
      <c r="C2774" s="198"/>
      <c r="D2774" s="198"/>
      <c r="E2774" s="537"/>
      <c r="G2774" s="198"/>
      <c r="H2774" s="123"/>
    </row>
    <row r="2775" spans="3:8" s="99" customFormat="1" x14ac:dyDescent="0.2">
      <c r="C2775" s="198"/>
      <c r="D2775" s="198"/>
      <c r="E2775" s="537"/>
      <c r="G2775" s="198"/>
      <c r="H2775" s="123"/>
    </row>
    <row r="2776" spans="3:8" s="99" customFormat="1" x14ac:dyDescent="0.2">
      <c r="C2776" s="198"/>
      <c r="D2776" s="198"/>
      <c r="E2776" s="537"/>
      <c r="G2776" s="198"/>
      <c r="H2776" s="123"/>
    </row>
    <row r="2777" spans="3:8" s="99" customFormat="1" x14ac:dyDescent="0.2">
      <c r="C2777" s="198"/>
      <c r="D2777" s="198"/>
      <c r="E2777" s="537"/>
      <c r="G2777" s="198"/>
      <c r="H2777" s="123"/>
    </row>
    <row r="2778" spans="3:8" s="99" customFormat="1" x14ac:dyDescent="0.2">
      <c r="C2778" s="198"/>
      <c r="D2778" s="198"/>
      <c r="E2778" s="537"/>
      <c r="G2778" s="198"/>
      <c r="H2778" s="123"/>
    </row>
    <row r="2779" spans="3:8" s="99" customFormat="1" x14ac:dyDescent="0.2">
      <c r="C2779" s="198"/>
      <c r="D2779" s="198"/>
      <c r="E2779" s="537"/>
      <c r="G2779" s="198"/>
      <c r="H2779" s="123"/>
    </row>
    <row r="2780" spans="3:8" s="99" customFormat="1" x14ac:dyDescent="0.2">
      <c r="C2780" s="198"/>
      <c r="D2780" s="198"/>
      <c r="E2780" s="537"/>
      <c r="G2780" s="198"/>
      <c r="H2780" s="123"/>
    </row>
    <row r="2781" spans="3:8" s="99" customFormat="1" x14ac:dyDescent="0.2">
      <c r="C2781" s="198"/>
      <c r="D2781" s="198"/>
      <c r="E2781" s="537"/>
      <c r="G2781" s="198"/>
      <c r="H2781" s="123"/>
    </row>
    <row r="2782" spans="3:8" s="99" customFormat="1" x14ac:dyDescent="0.2">
      <c r="C2782" s="198"/>
      <c r="D2782" s="198"/>
      <c r="E2782" s="537"/>
      <c r="G2782" s="198"/>
      <c r="H2782" s="123"/>
    </row>
    <row r="2783" spans="3:8" s="99" customFormat="1" x14ac:dyDescent="0.2">
      <c r="C2783" s="198"/>
      <c r="D2783" s="198"/>
      <c r="E2783" s="537"/>
      <c r="G2783" s="198"/>
      <c r="H2783" s="123"/>
    </row>
    <row r="2784" spans="3:8" s="99" customFormat="1" x14ac:dyDescent="0.2">
      <c r="C2784" s="198"/>
      <c r="D2784" s="198"/>
      <c r="E2784" s="537"/>
      <c r="G2784" s="198"/>
      <c r="H2784" s="123"/>
    </row>
    <row r="2785" spans="3:8" s="99" customFormat="1" x14ac:dyDescent="0.2">
      <c r="C2785" s="198"/>
      <c r="D2785" s="198"/>
      <c r="E2785" s="537"/>
      <c r="G2785" s="198"/>
      <c r="H2785" s="123"/>
    </row>
    <row r="2786" spans="3:8" s="99" customFormat="1" x14ac:dyDescent="0.2">
      <c r="C2786" s="198"/>
      <c r="D2786" s="198"/>
      <c r="E2786" s="537"/>
      <c r="G2786" s="198"/>
      <c r="H2786" s="123"/>
    </row>
    <row r="2787" spans="3:8" s="99" customFormat="1" x14ac:dyDescent="0.2">
      <c r="C2787" s="198"/>
      <c r="D2787" s="198"/>
      <c r="E2787" s="537"/>
      <c r="G2787" s="198"/>
      <c r="H2787" s="123"/>
    </row>
    <row r="2788" spans="3:8" s="99" customFormat="1" x14ac:dyDescent="0.2">
      <c r="C2788" s="198"/>
      <c r="D2788" s="198"/>
      <c r="E2788" s="537"/>
      <c r="G2788" s="198"/>
      <c r="H2788" s="123"/>
    </row>
    <row r="2789" spans="3:8" s="99" customFormat="1" x14ac:dyDescent="0.2">
      <c r="C2789" s="198"/>
      <c r="D2789" s="198"/>
      <c r="E2789" s="537"/>
      <c r="G2789" s="198"/>
      <c r="H2789" s="123"/>
    </row>
    <row r="2790" spans="3:8" s="99" customFormat="1" x14ac:dyDescent="0.2">
      <c r="C2790" s="198"/>
      <c r="D2790" s="198"/>
      <c r="E2790" s="537"/>
      <c r="G2790" s="198"/>
      <c r="H2790" s="123"/>
    </row>
    <row r="2791" spans="3:8" s="99" customFormat="1" x14ac:dyDescent="0.2">
      <c r="C2791" s="198"/>
      <c r="D2791" s="198"/>
      <c r="E2791" s="537"/>
      <c r="G2791" s="198"/>
      <c r="H2791" s="123"/>
    </row>
    <row r="2792" spans="3:8" s="99" customFormat="1" x14ac:dyDescent="0.2">
      <c r="C2792" s="198"/>
      <c r="D2792" s="198"/>
      <c r="E2792" s="537"/>
      <c r="G2792" s="198"/>
      <c r="H2792" s="123"/>
    </row>
    <row r="2793" spans="3:8" s="99" customFormat="1" x14ac:dyDescent="0.2">
      <c r="C2793" s="198"/>
      <c r="D2793" s="198"/>
      <c r="E2793" s="537"/>
      <c r="G2793" s="198"/>
      <c r="H2793" s="123"/>
    </row>
    <row r="2794" spans="3:8" s="99" customFormat="1" x14ac:dyDescent="0.2">
      <c r="C2794" s="198"/>
      <c r="D2794" s="198"/>
      <c r="E2794" s="537"/>
      <c r="G2794" s="198"/>
      <c r="H2794" s="123"/>
    </row>
    <row r="2795" spans="3:8" s="99" customFormat="1" x14ac:dyDescent="0.2">
      <c r="C2795" s="198"/>
      <c r="D2795" s="198"/>
      <c r="E2795" s="537"/>
      <c r="G2795" s="198"/>
      <c r="H2795" s="123"/>
    </row>
    <row r="2796" spans="3:8" s="99" customFormat="1" x14ac:dyDescent="0.2">
      <c r="C2796" s="198"/>
      <c r="D2796" s="198"/>
      <c r="E2796" s="537"/>
      <c r="G2796" s="198"/>
      <c r="H2796" s="123"/>
    </row>
    <row r="2797" spans="3:8" s="99" customFormat="1" x14ac:dyDescent="0.2">
      <c r="C2797" s="198"/>
      <c r="D2797" s="198"/>
      <c r="E2797" s="537"/>
      <c r="G2797" s="198"/>
      <c r="H2797" s="123"/>
    </row>
    <row r="2798" spans="3:8" s="99" customFormat="1" x14ac:dyDescent="0.2">
      <c r="C2798" s="198"/>
      <c r="D2798" s="198"/>
      <c r="E2798" s="537"/>
      <c r="G2798" s="198"/>
      <c r="H2798" s="123"/>
    </row>
    <row r="2799" spans="3:8" s="99" customFormat="1" x14ac:dyDescent="0.2">
      <c r="C2799" s="198"/>
      <c r="D2799" s="198"/>
      <c r="E2799" s="537"/>
      <c r="G2799" s="198"/>
      <c r="H2799" s="123"/>
    </row>
    <row r="2800" spans="3:8" s="99" customFormat="1" x14ac:dyDescent="0.2">
      <c r="C2800" s="198"/>
      <c r="D2800" s="198"/>
      <c r="E2800" s="537"/>
      <c r="G2800" s="198"/>
      <c r="H2800" s="123"/>
    </row>
    <row r="2801" spans="3:8" s="99" customFormat="1" x14ac:dyDescent="0.2">
      <c r="C2801" s="198"/>
      <c r="D2801" s="198"/>
      <c r="E2801" s="537"/>
      <c r="G2801" s="198"/>
      <c r="H2801" s="123"/>
    </row>
    <row r="2802" spans="3:8" s="99" customFormat="1" x14ac:dyDescent="0.2">
      <c r="C2802" s="198"/>
      <c r="D2802" s="198"/>
      <c r="E2802" s="537"/>
      <c r="G2802" s="198"/>
      <c r="H2802" s="123"/>
    </row>
    <row r="2803" spans="3:8" s="99" customFormat="1" x14ac:dyDescent="0.2">
      <c r="C2803" s="198"/>
      <c r="D2803" s="198"/>
      <c r="E2803" s="537"/>
      <c r="G2803" s="198"/>
      <c r="H2803" s="123"/>
    </row>
    <row r="2804" spans="3:8" s="99" customFormat="1" x14ac:dyDescent="0.2">
      <c r="C2804" s="198"/>
      <c r="D2804" s="198"/>
      <c r="E2804" s="537"/>
      <c r="G2804" s="198"/>
      <c r="H2804" s="123"/>
    </row>
    <row r="2805" spans="3:8" s="99" customFormat="1" x14ac:dyDescent="0.2">
      <c r="C2805" s="198"/>
      <c r="D2805" s="198"/>
      <c r="E2805" s="537"/>
      <c r="G2805" s="198"/>
      <c r="H2805" s="123"/>
    </row>
    <row r="2806" spans="3:8" s="99" customFormat="1" x14ac:dyDescent="0.2">
      <c r="C2806" s="198"/>
      <c r="D2806" s="198"/>
      <c r="E2806" s="537"/>
      <c r="G2806" s="198"/>
      <c r="H2806" s="123"/>
    </row>
    <row r="2807" spans="3:8" s="99" customFormat="1" x14ac:dyDescent="0.2">
      <c r="C2807" s="198"/>
      <c r="D2807" s="198"/>
      <c r="E2807" s="537"/>
      <c r="G2807" s="198"/>
      <c r="H2807" s="123"/>
    </row>
    <row r="2808" spans="3:8" s="99" customFormat="1" x14ac:dyDescent="0.2">
      <c r="C2808" s="198"/>
      <c r="D2808" s="198"/>
      <c r="E2808" s="537"/>
      <c r="G2808" s="198"/>
      <c r="H2808" s="123"/>
    </row>
    <row r="2809" spans="3:8" s="99" customFormat="1" x14ac:dyDescent="0.2">
      <c r="C2809" s="198"/>
      <c r="D2809" s="198"/>
      <c r="E2809" s="537"/>
      <c r="G2809" s="198"/>
      <c r="H2809" s="123"/>
    </row>
    <row r="2810" spans="3:8" s="99" customFormat="1" x14ac:dyDescent="0.2">
      <c r="C2810" s="198"/>
      <c r="D2810" s="198"/>
      <c r="E2810" s="537"/>
      <c r="G2810" s="198"/>
      <c r="H2810" s="123"/>
    </row>
    <row r="2811" spans="3:8" s="99" customFormat="1" x14ac:dyDescent="0.2">
      <c r="C2811" s="198"/>
      <c r="D2811" s="198"/>
      <c r="E2811" s="537"/>
      <c r="G2811" s="198"/>
      <c r="H2811" s="123"/>
    </row>
    <row r="2812" spans="3:8" s="99" customFormat="1" x14ac:dyDescent="0.2">
      <c r="C2812" s="198"/>
      <c r="D2812" s="198"/>
      <c r="E2812" s="537"/>
      <c r="G2812" s="198"/>
      <c r="H2812" s="123"/>
    </row>
    <row r="2813" spans="3:8" s="99" customFormat="1" x14ac:dyDescent="0.2">
      <c r="C2813" s="198"/>
      <c r="D2813" s="198"/>
      <c r="E2813" s="537"/>
      <c r="G2813" s="198"/>
      <c r="H2813" s="123"/>
    </row>
    <row r="2814" spans="3:8" s="99" customFormat="1" x14ac:dyDescent="0.2">
      <c r="C2814" s="198"/>
      <c r="D2814" s="198"/>
      <c r="E2814" s="537"/>
      <c r="G2814" s="198"/>
      <c r="H2814" s="123"/>
    </row>
    <row r="2815" spans="3:8" s="99" customFormat="1" x14ac:dyDescent="0.2">
      <c r="C2815" s="198"/>
      <c r="D2815" s="198"/>
      <c r="E2815" s="537"/>
      <c r="G2815" s="198"/>
      <c r="H2815" s="123"/>
    </row>
    <row r="2816" spans="3:8" s="99" customFormat="1" x14ac:dyDescent="0.2">
      <c r="C2816" s="198"/>
      <c r="D2816" s="198"/>
      <c r="E2816" s="537"/>
      <c r="G2816" s="198"/>
      <c r="H2816" s="123"/>
    </row>
    <row r="2817" spans="3:8" s="99" customFormat="1" x14ac:dyDescent="0.2">
      <c r="C2817" s="198"/>
      <c r="D2817" s="198"/>
      <c r="E2817" s="537"/>
      <c r="G2817" s="198"/>
      <c r="H2817" s="123"/>
    </row>
    <row r="2818" spans="3:8" s="99" customFormat="1" x14ac:dyDescent="0.2">
      <c r="C2818" s="198"/>
      <c r="D2818" s="198"/>
      <c r="E2818" s="537"/>
      <c r="G2818" s="198"/>
      <c r="H2818" s="123"/>
    </row>
    <row r="2819" spans="3:8" s="99" customFormat="1" x14ac:dyDescent="0.2">
      <c r="C2819" s="198"/>
      <c r="D2819" s="198"/>
      <c r="E2819" s="537"/>
      <c r="G2819" s="198"/>
      <c r="H2819" s="123"/>
    </row>
    <row r="2820" spans="3:8" s="99" customFormat="1" x14ac:dyDescent="0.2">
      <c r="C2820" s="198"/>
      <c r="D2820" s="198"/>
      <c r="E2820" s="537"/>
      <c r="G2820" s="198"/>
      <c r="H2820" s="123"/>
    </row>
    <row r="2821" spans="3:8" s="99" customFormat="1" x14ac:dyDescent="0.2">
      <c r="C2821" s="198"/>
      <c r="D2821" s="198"/>
      <c r="E2821" s="537"/>
      <c r="G2821" s="198"/>
      <c r="H2821" s="123"/>
    </row>
    <row r="2822" spans="3:8" s="99" customFormat="1" x14ac:dyDescent="0.2">
      <c r="C2822" s="198"/>
      <c r="D2822" s="198"/>
      <c r="E2822" s="537"/>
      <c r="G2822" s="198"/>
      <c r="H2822" s="123"/>
    </row>
    <row r="2823" spans="3:8" s="99" customFormat="1" x14ac:dyDescent="0.2">
      <c r="C2823" s="198"/>
      <c r="D2823" s="198"/>
      <c r="E2823" s="537"/>
      <c r="G2823" s="198"/>
      <c r="H2823" s="123"/>
    </row>
    <row r="2824" spans="3:8" s="99" customFormat="1" x14ac:dyDescent="0.2">
      <c r="C2824" s="198"/>
      <c r="D2824" s="198"/>
      <c r="E2824" s="537"/>
      <c r="G2824" s="198"/>
      <c r="H2824" s="123"/>
    </row>
    <row r="2825" spans="3:8" s="99" customFormat="1" x14ac:dyDescent="0.2">
      <c r="C2825" s="198"/>
      <c r="D2825" s="198"/>
      <c r="E2825" s="537"/>
      <c r="G2825" s="198"/>
      <c r="H2825" s="123"/>
    </row>
    <row r="2826" spans="3:8" s="99" customFormat="1" x14ac:dyDescent="0.2">
      <c r="C2826" s="198"/>
      <c r="D2826" s="198"/>
      <c r="E2826" s="537"/>
      <c r="G2826" s="198"/>
      <c r="H2826" s="123"/>
    </row>
    <row r="2827" spans="3:8" s="99" customFormat="1" x14ac:dyDescent="0.2">
      <c r="C2827" s="198"/>
      <c r="D2827" s="198"/>
      <c r="E2827" s="537"/>
      <c r="G2827" s="198"/>
      <c r="H2827" s="123"/>
    </row>
    <row r="2828" spans="3:8" s="99" customFormat="1" x14ac:dyDescent="0.2">
      <c r="C2828" s="198"/>
      <c r="D2828" s="198"/>
      <c r="E2828" s="537"/>
      <c r="G2828" s="198"/>
      <c r="H2828" s="123"/>
    </row>
    <row r="2829" spans="3:8" s="99" customFormat="1" x14ac:dyDescent="0.2">
      <c r="C2829" s="198"/>
      <c r="D2829" s="198"/>
      <c r="E2829" s="537"/>
      <c r="G2829" s="198"/>
      <c r="H2829" s="123"/>
    </row>
    <row r="2830" spans="3:8" s="99" customFormat="1" x14ac:dyDescent="0.2">
      <c r="C2830" s="198"/>
      <c r="D2830" s="198"/>
      <c r="E2830" s="537"/>
      <c r="G2830" s="198"/>
      <c r="H2830" s="123"/>
    </row>
    <row r="2831" spans="3:8" s="99" customFormat="1" x14ac:dyDescent="0.2">
      <c r="C2831" s="198"/>
      <c r="D2831" s="198"/>
      <c r="E2831" s="537"/>
      <c r="G2831" s="198"/>
      <c r="H2831" s="123"/>
    </row>
    <row r="2832" spans="3:8" s="99" customFormat="1" x14ac:dyDescent="0.2">
      <c r="C2832" s="198"/>
      <c r="D2832" s="198"/>
      <c r="E2832" s="537"/>
      <c r="G2832" s="198"/>
      <c r="H2832" s="123"/>
    </row>
    <row r="2833" spans="3:8" s="99" customFormat="1" x14ac:dyDescent="0.2">
      <c r="C2833" s="198"/>
      <c r="D2833" s="198"/>
      <c r="E2833" s="537"/>
      <c r="G2833" s="198"/>
      <c r="H2833" s="123"/>
    </row>
    <row r="2834" spans="3:8" s="99" customFormat="1" x14ac:dyDescent="0.2">
      <c r="C2834" s="198"/>
      <c r="D2834" s="198"/>
      <c r="E2834" s="537"/>
      <c r="G2834" s="198"/>
      <c r="H2834" s="123"/>
    </row>
    <row r="2835" spans="3:8" s="99" customFormat="1" x14ac:dyDescent="0.2">
      <c r="C2835" s="198"/>
      <c r="D2835" s="198"/>
      <c r="E2835" s="537"/>
      <c r="G2835" s="198"/>
      <c r="H2835" s="123"/>
    </row>
    <row r="2836" spans="3:8" s="99" customFormat="1" x14ac:dyDescent="0.2">
      <c r="C2836" s="198"/>
      <c r="D2836" s="198"/>
      <c r="E2836" s="537"/>
      <c r="G2836" s="198"/>
      <c r="H2836" s="123"/>
    </row>
    <row r="2837" spans="3:8" s="99" customFormat="1" x14ac:dyDescent="0.2">
      <c r="C2837" s="198"/>
      <c r="D2837" s="198"/>
      <c r="E2837" s="537"/>
      <c r="G2837" s="198"/>
      <c r="H2837" s="123"/>
    </row>
    <row r="2838" spans="3:8" s="99" customFormat="1" x14ac:dyDescent="0.2">
      <c r="C2838" s="198"/>
      <c r="D2838" s="198"/>
      <c r="E2838" s="537"/>
      <c r="G2838" s="198"/>
      <c r="H2838" s="123"/>
    </row>
    <row r="2839" spans="3:8" s="99" customFormat="1" x14ac:dyDescent="0.2">
      <c r="C2839" s="198"/>
      <c r="D2839" s="198"/>
      <c r="E2839" s="537"/>
      <c r="G2839" s="198"/>
      <c r="H2839" s="123"/>
    </row>
    <row r="2840" spans="3:8" s="99" customFormat="1" x14ac:dyDescent="0.2">
      <c r="C2840" s="198"/>
      <c r="D2840" s="198"/>
      <c r="E2840" s="537"/>
      <c r="G2840" s="198"/>
      <c r="H2840" s="123"/>
    </row>
    <row r="2841" spans="3:8" s="99" customFormat="1" x14ac:dyDescent="0.2">
      <c r="C2841" s="198"/>
      <c r="D2841" s="198"/>
      <c r="E2841" s="537"/>
      <c r="G2841" s="198"/>
      <c r="H2841" s="123"/>
    </row>
    <row r="2842" spans="3:8" s="99" customFormat="1" x14ac:dyDescent="0.2">
      <c r="C2842" s="198"/>
      <c r="D2842" s="198"/>
      <c r="E2842" s="537"/>
      <c r="G2842" s="198"/>
      <c r="H2842" s="123"/>
    </row>
    <row r="2843" spans="3:8" s="99" customFormat="1" x14ac:dyDescent="0.2">
      <c r="C2843" s="198"/>
      <c r="D2843" s="198"/>
      <c r="E2843" s="537"/>
      <c r="G2843" s="198"/>
      <c r="H2843" s="123"/>
    </row>
    <row r="2844" spans="3:8" s="99" customFormat="1" x14ac:dyDescent="0.2">
      <c r="C2844" s="198"/>
      <c r="D2844" s="198"/>
      <c r="E2844" s="537"/>
      <c r="G2844" s="198"/>
      <c r="H2844" s="123"/>
    </row>
    <row r="2845" spans="3:8" s="99" customFormat="1" x14ac:dyDescent="0.2">
      <c r="C2845" s="198"/>
      <c r="D2845" s="198"/>
      <c r="E2845" s="537"/>
      <c r="G2845" s="198"/>
      <c r="H2845" s="123"/>
    </row>
    <row r="2846" spans="3:8" s="99" customFormat="1" x14ac:dyDescent="0.2">
      <c r="C2846" s="198"/>
      <c r="D2846" s="198"/>
      <c r="E2846" s="537"/>
      <c r="G2846" s="198"/>
      <c r="H2846" s="123"/>
    </row>
    <row r="2847" spans="3:8" s="99" customFormat="1" x14ac:dyDescent="0.2">
      <c r="C2847" s="198"/>
      <c r="D2847" s="198"/>
      <c r="E2847" s="537"/>
      <c r="G2847" s="198"/>
      <c r="H2847" s="123"/>
    </row>
    <row r="2848" spans="3:8" s="99" customFormat="1" x14ac:dyDescent="0.2">
      <c r="C2848" s="198"/>
      <c r="D2848" s="198"/>
      <c r="E2848" s="537"/>
      <c r="G2848" s="198"/>
      <c r="H2848" s="123"/>
    </row>
    <row r="2849" spans="3:8" s="99" customFormat="1" x14ac:dyDescent="0.2">
      <c r="C2849" s="198"/>
      <c r="D2849" s="198"/>
      <c r="E2849" s="537"/>
      <c r="G2849" s="198"/>
      <c r="H2849" s="123"/>
    </row>
    <row r="2850" spans="3:8" s="99" customFormat="1" x14ac:dyDescent="0.2">
      <c r="C2850" s="198"/>
      <c r="D2850" s="198"/>
      <c r="E2850" s="537"/>
      <c r="G2850" s="198"/>
      <c r="H2850" s="123"/>
    </row>
    <row r="2851" spans="3:8" s="99" customFormat="1" x14ac:dyDescent="0.2">
      <c r="C2851" s="198"/>
      <c r="D2851" s="198"/>
      <c r="E2851" s="537"/>
      <c r="G2851" s="198"/>
      <c r="H2851" s="123"/>
    </row>
    <row r="2852" spans="3:8" s="99" customFormat="1" x14ac:dyDescent="0.2">
      <c r="C2852" s="198"/>
      <c r="D2852" s="198"/>
      <c r="E2852" s="537"/>
      <c r="G2852" s="198"/>
      <c r="H2852" s="123"/>
    </row>
    <row r="2853" spans="3:8" s="99" customFormat="1" x14ac:dyDescent="0.2">
      <c r="C2853" s="198"/>
      <c r="D2853" s="198"/>
      <c r="E2853" s="537"/>
      <c r="G2853" s="198"/>
      <c r="H2853" s="123"/>
    </row>
    <row r="2854" spans="3:8" s="99" customFormat="1" x14ac:dyDescent="0.2">
      <c r="C2854" s="198"/>
      <c r="D2854" s="198"/>
      <c r="E2854" s="537"/>
      <c r="G2854" s="198"/>
      <c r="H2854" s="123"/>
    </row>
    <row r="2855" spans="3:8" s="99" customFormat="1" x14ac:dyDescent="0.2">
      <c r="C2855" s="198"/>
      <c r="D2855" s="198"/>
      <c r="E2855" s="537"/>
      <c r="G2855" s="198"/>
      <c r="H2855" s="123"/>
    </row>
    <row r="2856" spans="3:8" s="99" customFormat="1" x14ac:dyDescent="0.2">
      <c r="C2856" s="198"/>
      <c r="D2856" s="198"/>
      <c r="E2856" s="537"/>
      <c r="G2856" s="198"/>
      <c r="H2856" s="123"/>
    </row>
    <row r="2857" spans="3:8" s="99" customFormat="1" x14ac:dyDescent="0.2">
      <c r="C2857" s="198"/>
      <c r="D2857" s="198"/>
      <c r="E2857" s="537"/>
      <c r="G2857" s="198"/>
      <c r="H2857" s="123"/>
    </row>
    <row r="2858" spans="3:8" s="99" customFormat="1" x14ac:dyDescent="0.2">
      <c r="C2858" s="198"/>
      <c r="D2858" s="198"/>
      <c r="E2858" s="537"/>
      <c r="G2858" s="198"/>
      <c r="H2858" s="123"/>
    </row>
    <row r="2859" spans="3:8" s="99" customFormat="1" x14ac:dyDescent="0.2">
      <c r="C2859" s="198"/>
      <c r="D2859" s="198"/>
      <c r="E2859" s="537"/>
      <c r="G2859" s="198"/>
      <c r="H2859" s="123"/>
    </row>
    <row r="2860" spans="3:8" s="99" customFormat="1" x14ac:dyDescent="0.2">
      <c r="C2860" s="198"/>
      <c r="D2860" s="198"/>
      <c r="E2860" s="537"/>
      <c r="G2860" s="198"/>
      <c r="H2860" s="123"/>
    </row>
    <row r="2861" spans="3:8" s="99" customFormat="1" x14ac:dyDescent="0.2">
      <c r="C2861" s="198"/>
      <c r="D2861" s="198"/>
      <c r="E2861" s="537"/>
      <c r="G2861" s="198"/>
      <c r="H2861" s="123"/>
    </row>
    <row r="2862" spans="3:8" s="99" customFormat="1" x14ac:dyDescent="0.2">
      <c r="C2862" s="198"/>
      <c r="D2862" s="198"/>
      <c r="E2862" s="537"/>
      <c r="G2862" s="198"/>
      <c r="H2862" s="123"/>
    </row>
    <row r="2863" spans="3:8" s="99" customFormat="1" x14ac:dyDescent="0.2">
      <c r="C2863" s="198"/>
      <c r="D2863" s="198"/>
      <c r="E2863" s="537"/>
      <c r="G2863" s="198"/>
      <c r="H2863" s="123"/>
    </row>
    <row r="2864" spans="3:8" s="99" customFormat="1" x14ac:dyDescent="0.2">
      <c r="C2864" s="198"/>
      <c r="D2864" s="198"/>
      <c r="E2864" s="537"/>
      <c r="G2864" s="198"/>
      <c r="H2864" s="123"/>
    </row>
    <row r="2865" spans="3:8" s="99" customFormat="1" x14ac:dyDescent="0.2">
      <c r="C2865" s="198"/>
      <c r="D2865" s="198"/>
      <c r="E2865" s="537"/>
      <c r="G2865" s="198"/>
      <c r="H2865" s="123"/>
    </row>
    <row r="2866" spans="3:8" s="99" customFormat="1" x14ac:dyDescent="0.2">
      <c r="C2866" s="198"/>
      <c r="D2866" s="198"/>
      <c r="E2866" s="537"/>
      <c r="G2866" s="198"/>
      <c r="H2866" s="123"/>
    </row>
    <row r="2867" spans="3:8" s="99" customFormat="1" x14ac:dyDescent="0.2">
      <c r="C2867" s="198"/>
      <c r="D2867" s="198"/>
      <c r="E2867" s="537"/>
      <c r="G2867" s="198"/>
      <c r="H2867" s="123"/>
    </row>
    <row r="2868" spans="3:8" s="99" customFormat="1" x14ac:dyDescent="0.2">
      <c r="C2868" s="198"/>
      <c r="D2868" s="198"/>
      <c r="E2868" s="537"/>
      <c r="G2868" s="198"/>
      <c r="H2868" s="123"/>
    </row>
    <row r="2869" spans="3:8" s="99" customFormat="1" x14ac:dyDescent="0.2">
      <c r="C2869" s="198"/>
      <c r="D2869" s="198"/>
      <c r="E2869" s="537"/>
      <c r="G2869" s="198"/>
      <c r="H2869" s="123"/>
    </row>
    <row r="2870" spans="3:8" s="99" customFormat="1" x14ac:dyDescent="0.2">
      <c r="C2870" s="198"/>
      <c r="D2870" s="198"/>
      <c r="E2870" s="537"/>
      <c r="G2870" s="198"/>
      <c r="H2870" s="123"/>
    </row>
    <row r="2871" spans="3:8" s="99" customFormat="1" x14ac:dyDescent="0.2">
      <c r="C2871" s="198"/>
      <c r="D2871" s="198"/>
      <c r="E2871" s="537"/>
      <c r="G2871" s="198"/>
      <c r="H2871" s="123"/>
    </row>
    <row r="2872" spans="3:8" s="99" customFormat="1" x14ac:dyDescent="0.2">
      <c r="C2872" s="198"/>
      <c r="D2872" s="198"/>
      <c r="E2872" s="537"/>
      <c r="G2872" s="198"/>
      <c r="H2872" s="123"/>
    </row>
    <row r="2873" spans="3:8" s="99" customFormat="1" x14ac:dyDescent="0.2">
      <c r="C2873" s="198"/>
      <c r="D2873" s="198"/>
      <c r="E2873" s="537"/>
      <c r="G2873" s="198"/>
      <c r="H2873" s="123"/>
    </row>
    <row r="2874" spans="3:8" s="99" customFormat="1" x14ac:dyDescent="0.2">
      <c r="C2874" s="198"/>
      <c r="D2874" s="198"/>
      <c r="E2874" s="537"/>
      <c r="G2874" s="198"/>
      <c r="H2874" s="123"/>
    </row>
    <row r="2875" spans="3:8" s="99" customFormat="1" x14ac:dyDescent="0.2">
      <c r="C2875" s="198"/>
      <c r="D2875" s="198"/>
      <c r="E2875" s="537"/>
      <c r="G2875" s="198"/>
      <c r="H2875" s="123"/>
    </row>
    <row r="2876" spans="3:8" s="99" customFormat="1" x14ac:dyDescent="0.2">
      <c r="C2876" s="198"/>
      <c r="D2876" s="198"/>
      <c r="E2876" s="537"/>
      <c r="G2876" s="198"/>
      <c r="H2876" s="123"/>
    </row>
    <row r="2877" spans="3:8" s="99" customFormat="1" x14ac:dyDescent="0.2">
      <c r="C2877" s="198"/>
      <c r="D2877" s="198"/>
      <c r="E2877" s="537"/>
      <c r="G2877" s="198"/>
      <c r="H2877" s="123"/>
    </row>
    <row r="2878" spans="3:8" s="99" customFormat="1" x14ac:dyDescent="0.2">
      <c r="C2878" s="198"/>
      <c r="D2878" s="198"/>
      <c r="E2878" s="537"/>
      <c r="G2878" s="198"/>
      <c r="H2878" s="123"/>
    </row>
    <row r="2879" spans="3:8" s="99" customFormat="1" x14ac:dyDescent="0.2">
      <c r="C2879" s="198"/>
      <c r="D2879" s="198"/>
      <c r="E2879" s="537"/>
      <c r="G2879" s="198"/>
      <c r="H2879" s="123"/>
    </row>
    <row r="2880" spans="3:8" s="99" customFormat="1" x14ac:dyDescent="0.2">
      <c r="C2880" s="198"/>
      <c r="D2880" s="198"/>
      <c r="E2880" s="537"/>
      <c r="G2880" s="198"/>
      <c r="H2880" s="123"/>
    </row>
    <row r="2881" spans="3:8" s="99" customFormat="1" x14ac:dyDescent="0.2">
      <c r="C2881" s="198"/>
      <c r="D2881" s="198"/>
      <c r="E2881" s="537"/>
      <c r="G2881" s="198"/>
      <c r="H2881" s="123"/>
    </row>
    <row r="2882" spans="3:8" s="99" customFormat="1" x14ac:dyDescent="0.2">
      <c r="C2882" s="198"/>
      <c r="D2882" s="198"/>
      <c r="E2882" s="537"/>
      <c r="G2882" s="198"/>
      <c r="H2882" s="123"/>
    </row>
    <row r="2883" spans="3:8" s="99" customFormat="1" x14ac:dyDescent="0.2">
      <c r="C2883" s="198"/>
      <c r="D2883" s="198"/>
      <c r="E2883" s="537"/>
      <c r="G2883" s="198"/>
      <c r="H2883" s="123"/>
    </row>
    <row r="2884" spans="3:8" s="99" customFormat="1" x14ac:dyDescent="0.2">
      <c r="C2884" s="198"/>
      <c r="D2884" s="198"/>
      <c r="E2884" s="537"/>
      <c r="G2884" s="198"/>
      <c r="H2884" s="123"/>
    </row>
    <row r="2885" spans="3:8" s="99" customFormat="1" x14ac:dyDescent="0.2">
      <c r="C2885" s="198"/>
      <c r="D2885" s="198"/>
      <c r="E2885" s="537"/>
      <c r="G2885" s="198"/>
      <c r="H2885" s="123"/>
    </row>
    <row r="2886" spans="3:8" s="99" customFormat="1" x14ac:dyDescent="0.2">
      <c r="C2886" s="198"/>
      <c r="D2886" s="198"/>
      <c r="E2886" s="537"/>
      <c r="G2886" s="198"/>
      <c r="H2886" s="123"/>
    </row>
    <row r="2887" spans="3:8" s="99" customFormat="1" x14ac:dyDescent="0.2">
      <c r="C2887" s="198"/>
      <c r="D2887" s="198"/>
      <c r="E2887" s="537"/>
      <c r="G2887" s="198"/>
      <c r="H2887" s="123"/>
    </row>
    <row r="2888" spans="3:8" s="99" customFormat="1" x14ac:dyDescent="0.2">
      <c r="C2888" s="198"/>
      <c r="D2888" s="198"/>
      <c r="E2888" s="537"/>
      <c r="G2888" s="198"/>
      <c r="H2888" s="123"/>
    </row>
    <row r="2889" spans="3:8" s="99" customFormat="1" x14ac:dyDescent="0.2">
      <c r="C2889" s="198"/>
      <c r="D2889" s="198"/>
      <c r="E2889" s="537"/>
      <c r="G2889" s="198"/>
      <c r="H2889" s="123"/>
    </row>
    <row r="2890" spans="3:8" s="99" customFormat="1" x14ac:dyDescent="0.2">
      <c r="C2890" s="198"/>
      <c r="D2890" s="198"/>
      <c r="E2890" s="537"/>
      <c r="G2890" s="198"/>
      <c r="H2890" s="123"/>
    </row>
    <row r="2891" spans="3:8" s="99" customFormat="1" x14ac:dyDescent="0.2">
      <c r="C2891" s="198"/>
      <c r="D2891" s="198"/>
      <c r="E2891" s="537"/>
      <c r="G2891" s="198"/>
      <c r="H2891" s="123"/>
    </row>
    <row r="2892" spans="3:8" s="99" customFormat="1" x14ac:dyDescent="0.2">
      <c r="C2892" s="198"/>
      <c r="D2892" s="198"/>
      <c r="E2892" s="537"/>
      <c r="G2892" s="198"/>
      <c r="H2892" s="123"/>
    </row>
    <row r="2893" spans="3:8" s="99" customFormat="1" x14ac:dyDescent="0.2">
      <c r="C2893" s="198"/>
      <c r="D2893" s="198"/>
      <c r="E2893" s="537"/>
      <c r="G2893" s="198"/>
      <c r="H2893" s="123"/>
    </row>
    <row r="2894" spans="3:8" s="99" customFormat="1" x14ac:dyDescent="0.2">
      <c r="C2894" s="198"/>
      <c r="D2894" s="198"/>
      <c r="E2894" s="537"/>
      <c r="G2894" s="198"/>
      <c r="H2894" s="123"/>
    </row>
    <row r="2895" spans="3:8" s="99" customFormat="1" x14ac:dyDescent="0.2">
      <c r="C2895" s="198"/>
      <c r="D2895" s="198"/>
      <c r="E2895" s="537"/>
      <c r="G2895" s="198"/>
      <c r="H2895" s="123"/>
    </row>
    <row r="2896" spans="3:8" s="99" customFormat="1" x14ac:dyDescent="0.2">
      <c r="C2896" s="198"/>
      <c r="D2896" s="198"/>
      <c r="E2896" s="537"/>
      <c r="G2896" s="198"/>
      <c r="H2896" s="123"/>
    </row>
    <row r="2897" spans="3:8" s="99" customFormat="1" x14ac:dyDescent="0.2">
      <c r="C2897" s="198"/>
      <c r="D2897" s="198"/>
      <c r="E2897" s="537"/>
      <c r="G2897" s="198"/>
      <c r="H2897" s="123"/>
    </row>
    <row r="2898" spans="3:8" s="99" customFormat="1" x14ac:dyDescent="0.2">
      <c r="C2898" s="198"/>
      <c r="D2898" s="198"/>
      <c r="E2898" s="537"/>
      <c r="G2898" s="198"/>
      <c r="H2898" s="123"/>
    </row>
    <row r="2899" spans="3:8" s="99" customFormat="1" x14ac:dyDescent="0.2">
      <c r="C2899" s="198"/>
      <c r="D2899" s="198"/>
      <c r="E2899" s="537"/>
      <c r="G2899" s="198"/>
      <c r="H2899" s="123"/>
    </row>
    <row r="2900" spans="3:8" s="99" customFormat="1" x14ac:dyDescent="0.2">
      <c r="C2900" s="198"/>
      <c r="D2900" s="198"/>
      <c r="E2900" s="537"/>
      <c r="G2900" s="198"/>
      <c r="H2900" s="123"/>
    </row>
    <row r="2901" spans="3:8" s="99" customFormat="1" x14ac:dyDescent="0.2">
      <c r="C2901" s="198"/>
      <c r="D2901" s="198"/>
      <c r="E2901" s="537"/>
      <c r="G2901" s="198"/>
      <c r="H2901" s="123"/>
    </row>
    <row r="2902" spans="3:8" s="99" customFormat="1" x14ac:dyDescent="0.2">
      <c r="C2902" s="198"/>
      <c r="D2902" s="198"/>
      <c r="E2902" s="537"/>
      <c r="G2902" s="198"/>
      <c r="H2902" s="123"/>
    </row>
    <row r="2903" spans="3:8" s="99" customFormat="1" x14ac:dyDescent="0.2">
      <c r="C2903" s="198"/>
      <c r="D2903" s="198"/>
      <c r="E2903" s="537"/>
      <c r="G2903" s="198"/>
      <c r="H2903" s="123"/>
    </row>
    <row r="2904" spans="3:8" s="99" customFormat="1" x14ac:dyDescent="0.2">
      <c r="C2904" s="198"/>
      <c r="D2904" s="198"/>
      <c r="E2904" s="537"/>
      <c r="G2904" s="198"/>
      <c r="H2904" s="123"/>
    </row>
    <row r="2905" spans="3:8" s="99" customFormat="1" x14ac:dyDescent="0.2">
      <c r="C2905" s="198"/>
      <c r="D2905" s="198"/>
      <c r="E2905" s="537"/>
      <c r="G2905" s="198"/>
      <c r="H2905" s="123"/>
    </row>
    <row r="2906" spans="3:8" s="99" customFormat="1" x14ac:dyDescent="0.2">
      <c r="C2906" s="198"/>
      <c r="D2906" s="198"/>
      <c r="E2906" s="537"/>
      <c r="G2906" s="198"/>
      <c r="H2906" s="123"/>
    </row>
    <row r="2907" spans="3:8" s="99" customFormat="1" x14ac:dyDescent="0.2">
      <c r="C2907" s="198"/>
      <c r="D2907" s="198"/>
      <c r="E2907" s="537"/>
      <c r="G2907" s="198"/>
      <c r="H2907" s="123"/>
    </row>
    <row r="2908" spans="3:8" s="99" customFormat="1" x14ac:dyDescent="0.2">
      <c r="C2908" s="198"/>
      <c r="D2908" s="198"/>
      <c r="E2908" s="537"/>
      <c r="G2908" s="198"/>
      <c r="H2908" s="123"/>
    </row>
    <row r="2909" spans="3:8" s="99" customFormat="1" x14ac:dyDescent="0.2">
      <c r="C2909" s="198"/>
      <c r="D2909" s="198"/>
      <c r="E2909" s="537"/>
      <c r="G2909" s="198"/>
      <c r="H2909" s="123"/>
    </row>
    <row r="2910" spans="3:8" s="99" customFormat="1" x14ac:dyDescent="0.2">
      <c r="C2910" s="198"/>
      <c r="D2910" s="198"/>
      <c r="E2910" s="537"/>
      <c r="G2910" s="198"/>
      <c r="H2910" s="123"/>
    </row>
    <row r="2911" spans="3:8" s="99" customFormat="1" x14ac:dyDescent="0.2">
      <c r="C2911" s="198"/>
      <c r="D2911" s="198"/>
      <c r="E2911" s="537"/>
      <c r="G2911" s="198"/>
      <c r="H2911" s="123"/>
    </row>
    <row r="2912" spans="3:8" s="99" customFormat="1" x14ac:dyDescent="0.2">
      <c r="C2912" s="198"/>
      <c r="D2912" s="198"/>
      <c r="E2912" s="537"/>
      <c r="G2912" s="198"/>
      <c r="H2912" s="123"/>
    </row>
    <row r="2913" spans="3:8" s="99" customFormat="1" x14ac:dyDescent="0.2">
      <c r="C2913" s="198"/>
      <c r="D2913" s="198"/>
      <c r="E2913" s="537"/>
      <c r="G2913" s="198"/>
      <c r="H2913" s="123"/>
    </row>
    <row r="2914" spans="3:8" s="99" customFormat="1" x14ac:dyDescent="0.2">
      <c r="C2914" s="198"/>
      <c r="D2914" s="198"/>
      <c r="E2914" s="537"/>
      <c r="G2914" s="198"/>
      <c r="H2914" s="123"/>
    </row>
    <row r="2915" spans="3:8" s="99" customFormat="1" x14ac:dyDescent="0.2">
      <c r="C2915" s="198"/>
      <c r="D2915" s="198"/>
      <c r="E2915" s="537"/>
      <c r="G2915" s="198"/>
      <c r="H2915" s="123"/>
    </row>
    <row r="2916" spans="3:8" s="99" customFormat="1" x14ac:dyDescent="0.2">
      <c r="C2916" s="198"/>
      <c r="D2916" s="198"/>
      <c r="E2916" s="537"/>
      <c r="G2916" s="198"/>
      <c r="H2916" s="123"/>
    </row>
    <row r="2917" spans="3:8" s="99" customFormat="1" x14ac:dyDescent="0.2">
      <c r="C2917" s="198"/>
      <c r="D2917" s="198"/>
      <c r="E2917" s="537"/>
      <c r="G2917" s="198"/>
      <c r="H2917" s="123"/>
    </row>
    <row r="2918" spans="3:8" s="99" customFormat="1" x14ac:dyDescent="0.2">
      <c r="C2918" s="198"/>
      <c r="D2918" s="198"/>
      <c r="E2918" s="537"/>
      <c r="G2918" s="198"/>
      <c r="H2918" s="123"/>
    </row>
    <row r="2919" spans="3:8" s="99" customFormat="1" x14ac:dyDescent="0.2">
      <c r="C2919" s="198"/>
      <c r="D2919" s="198"/>
      <c r="E2919" s="537"/>
      <c r="G2919" s="198"/>
      <c r="H2919" s="123"/>
    </row>
    <row r="2920" spans="3:8" s="99" customFormat="1" x14ac:dyDescent="0.2">
      <c r="C2920" s="198"/>
      <c r="D2920" s="198"/>
      <c r="E2920" s="537"/>
      <c r="G2920" s="198"/>
      <c r="H2920" s="123"/>
    </row>
    <row r="2921" spans="3:8" s="99" customFormat="1" x14ac:dyDescent="0.2">
      <c r="C2921" s="198"/>
      <c r="D2921" s="198"/>
      <c r="E2921" s="537"/>
      <c r="G2921" s="198"/>
      <c r="H2921" s="123"/>
    </row>
    <row r="2922" spans="3:8" s="99" customFormat="1" x14ac:dyDescent="0.2">
      <c r="C2922" s="198"/>
      <c r="D2922" s="198"/>
      <c r="E2922" s="537"/>
      <c r="G2922" s="198"/>
      <c r="H2922" s="123"/>
    </row>
    <row r="2923" spans="3:8" s="99" customFormat="1" x14ac:dyDescent="0.2">
      <c r="C2923" s="198"/>
      <c r="D2923" s="198"/>
      <c r="E2923" s="537"/>
      <c r="G2923" s="198"/>
      <c r="H2923" s="123"/>
    </row>
    <row r="2924" spans="3:8" s="99" customFormat="1" x14ac:dyDescent="0.2">
      <c r="C2924" s="198"/>
      <c r="D2924" s="198"/>
      <c r="E2924" s="537"/>
      <c r="G2924" s="198"/>
      <c r="H2924" s="123"/>
    </row>
    <row r="2925" spans="3:8" s="99" customFormat="1" x14ac:dyDescent="0.2">
      <c r="C2925" s="198"/>
      <c r="D2925" s="198"/>
      <c r="E2925" s="537"/>
      <c r="G2925" s="198"/>
      <c r="H2925" s="123"/>
    </row>
    <row r="2926" spans="3:8" s="99" customFormat="1" x14ac:dyDescent="0.2">
      <c r="C2926" s="198"/>
      <c r="D2926" s="198"/>
      <c r="E2926" s="537"/>
      <c r="G2926" s="198"/>
      <c r="H2926" s="123"/>
    </row>
    <row r="2927" spans="3:8" s="99" customFormat="1" x14ac:dyDescent="0.2">
      <c r="C2927" s="198"/>
      <c r="D2927" s="198"/>
      <c r="E2927" s="537"/>
      <c r="G2927" s="198"/>
      <c r="H2927" s="123"/>
    </row>
    <row r="2928" spans="3:8" s="99" customFormat="1" x14ac:dyDescent="0.2">
      <c r="C2928" s="198"/>
      <c r="D2928" s="198"/>
      <c r="E2928" s="537"/>
      <c r="G2928" s="198"/>
      <c r="H2928" s="123"/>
    </row>
    <row r="2929" spans="3:8" s="99" customFormat="1" x14ac:dyDescent="0.2">
      <c r="C2929" s="198"/>
      <c r="D2929" s="198"/>
      <c r="E2929" s="537"/>
      <c r="G2929" s="198"/>
      <c r="H2929" s="123"/>
    </row>
    <row r="2930" spans="3:8" s="99" customFormat="1" x14ac:dyDescent="0.2">
      <c r="C2930" s="198"/>
      <c r="D2930" s="198"/>
      <c r="E2930" s="537"/>
      <c r="G2930" s="198"/>
      <c r="H2930" s="123"/>
    </row>
    <row r="2931" spans="3:8" s="99" customFormat="1" x14ac:dyDescent="0.2">
      <c r="C2931" s="198"/>
      <c r="D2931" s="198"/>
      <c r="E2931" s="537"/>
      <c r="G2931" s="198"/>
      <c r="H2931" s="123"/>
    </row>
    <row r="2932" spans="3:8" s="99" customFormat="1" x14ac:dyDescent="0.2">
      <c r="C2932" s="198"/>
      <c r="D2932" s="198"/>
      <c r="E2932" s="537"/>
      <c r="G2932" s="198"/>
      <c r="H2932" s="123"/>
    </row>
    <row r="2933" spans="3:8" s="99" customFormat="1" x14ac:dyDescent="0.2">
      <c r="C2933" s="198"/>
      <c r="D2933" s="198"/>
      <c r="E2933" s="537"/>
      <c r="G2933" s="198"/>
      <c r="H2933" s="123"/>
    </row>
    <row r="2934" spans="3:8" s="99" customFormat="1" x14ac:dyDescent="0.2">
      <c r="C2934" s="198"/>
      <c r="D2934" s="198"/>
      <c r="E2934" s="537"/>
      <c r="G2934" s="198"/>
      <c r="H2934" s="123"/>
    </row>
    <row r="2935" spans="3:8" s="99" customFormat="1" x14ac:dyDescent="0.2">
      <c r="C2935" s="198"/>
      <c r="D2935" s="198"/>
      <c r="E2935" s="537"/>
      <c r="G2935" s="198"/>
      <c r="H2935" s="123"/>
    </row>
    <row r="2936" spans="3:8" s="99" customFormat="1" x14ac:dyDescent="0.2">
      <c r="C2936" s="198"/>
      <c r="D2936" s="198"/>
      <c r="E2936" s="537"/>
      <c r="G2936" s="198"/>
      <c r="H2936" s="123"/>
    </row>
    <row r="2937" spans="3:8" s="99" customFormat="1" x14ac:dyDescent="0.2">
      <c r="C2937" s="198"/>
      <c r="D2937" s="198"/>
      <c r="E2937" s="537"/>
      <c r="G2937" s="198"/>
      <c r="H2937" s="123"/>
    </row>
    <row r="2938" spans="3:8" s="99" customFormat="1" x14ac:dyDescent="0.2">
      <c r="C2938" s="198"/>
      <c r="D2938" s="198"/>
      <c r="E2938" s="537"/>
      <c r="G2938" s="198"/>
      <c r="H2938" s="123"/>
    </row>
    <row r="2939" spans="3:8" s="99" customFormat="1" x14ac:dyDescent="0.2">
      <c r="C2939" s="198"/>
      <c r="D2939" s="198"/>
      <c r="E2939" s="537"/>
      <c r="G2939" s="198"/>
      <c r="H2939" s="123"/>
    </row>
    <row r="2940" spans="3:8" s="99" customFormat="1" x14ac:dyDescent="0.2">
      <c r="C2940" s="198"/>
      <c r="D2940" s="198"/>
      <c r="E2940" s="537"/>
      <c r="G2940" s="198"/>
      <c r="H2940" s="123"/>
    </row>
    <row r="2941" spans="3:8" s="99" customFormat="1" x14ac:dyDescent="0.2">
      <c r="C2941" s="198"/>
      <c r="D2941" s="198"/>
      <c r="E2941" s="537"/>
      <c r="G2941" s="198"/>
      <c r="H2941" s="123"/>
    </row>
    <row r="2942" spans="3:8" s="99" customFormat="1" x14ac:dyDescent="0.2">
      <c r="C2942" s="198"/>
      <c r="D2942" s="198"/>
      <c r="E2942" s="537"/>
      <c r="G2942" s="198"/>
      <c r="H2942" s="123"/>
    </row>
    <row r="2943" spans="3:8" s="99" customFormat="1" x14ac:dyDescent="0.2">
      <c r="C2943" s="198"/>
      <c r="D2943" s="198"/>
      <c r="E2943" s="537"/>
      <c r="G2943" s="198"/>
      <c r="H2943" s="123"/>
    </row>
    <row r="2944" spans="3:8" s="99" customFormat="1" x14ac:dyDescent="0.2">
      <c r="C2944" s="198"/>
      <c r="D2944" s="198"/>
      <c r="E2944" s="537"/>
      <c r="G2944" s="198"/>
      <c r="H2944" s="123"/>
    </row>
    <row r="2945" spans="3:8" s="99" customFormat="1" x14ac:dyDescent="0.2">
      <c r="C2945" s="198"/>
      <c r="D2945" s="198"/>
      <c r="E2945" s="537"/>
      <c r="G2945" s="198"/>
      <c r="H2945" s="123"/>
    </row>
    <row r="2946" spans="3:8" s="99" customFormat="1" x14ac:dyDescent="0.2">
      <c r="C2946" s="198"/>
      <c r="D2946" s="198"/>
      <c r="E2946" s="537"/>
      <c r="G2946" s="198"/>
      <c r="H2946" s="123"/>
    </row>
    <row r="2947" spans="3:8" s="99" customFormat="1" x14ac:dyDescent="0.2">
      <c r="C2947" s="198"/>
      <c r="D2947" s="198"/>
      <c r="E2947" s="537"/>
      <c r="G2947" s="198"/>
      <c r="H2947" s="123"/>
    </row>
    <row r="2948" spans="3:8" s="99" customFormat="1" x14ac:dyDescent="0.2">
      <c r="C2948" s="198"/>
      <c r="D2948" s="198"/>
      <c r="E2948" s="537"/>
      <c r="G2948" s="198"/>
      <c r="H2948" s="123"/>
    </row>
    <row r="2949" spans="3:8" s="99" customFormat="1" x14ac:dyDescent="0.2">
      <c r="C2949" s="198"/>
      <c r="D2949" s="198"/>
      <c r="E2949" s="537"/>
      <c r="G2949" s="198"/>
      <c r="H2949" s="123"/>
    </row>
    <row r="2950" spans="3:8" s="99" customFormat="1" x14ac:dyDescent="0.2">
      <c r="C2950" s="198"/>
      <c r="D2950" s="198"/>
      <c r="E2950" s="537"/>
      <c r="G2950" s="198"/>
      <c r="H2950" s="123"/>
    </row>
    <row r="2951" spans="3:8" s="99" customFormat="1" x14ac:dyDescent="0.2">
      <c r="C2951" s="198"/>
      <c r="D2951" s="198"/>
      <c r="E2951" s="537"/>
      <c r="G2951" s="198"/>
      <c r="H2951" s="123"/>
    </row>
    <row r="2952" spans="3:8" s="99" customFormat="1" x14ac:dyDescent="0.2">
      <c r="C2952" s="198"/>
      <c r="D2952" s="198"/>
      <c r="E2952" s="537"/>
      <c r="G2952" s="198"/>
      <c r="H2952" s="123"/>
    </row>
    <row r="2953" spans="3:8" s="99" customFormat="1" x14ac:dyDescent="0.2">
      <c r="C2953" s="198"/>
      <c r="D2953" s="198"/>
      <c r="E2953" s="537"/>
      <c r="G2953" s="198"/>
      <c r="H2953" s="123"/>
    </row>
    <row r="2954" spans="3:8" s="99" customFormat="1" x14ac:dyDescent="0.2">
      <c r="C2954" s="198"/>
      <c r="D2954" s="198"/>
      <c r="E2954" s="537"/>
      <c r="G2954" s="198"/>
      <c r="H2954" s="123"/>
    </row>
    <row r="2955" spans="3:8" s="99" customFormat="1" x14ac:dyDescent="0.2">
      <c r="C2955" s="198"/>
      <c r="D2955" s="198"/>
      <c r="E2955" s="537"/>
      <c r="G2955" s="198"/>
      <c r="H2955" s="123"/>
    </row>
    <row r="2956" spans="3:8" s="99" customFormat="1" x14ac:dyDescent="0.2">
      <c r="C2956" s="198"/>
      <c r="D2956" s="198"/>
      <c r="E2956" s="537"/>
      <c r="G2956" s="198"/>
      <c r="H2956" s="123"/>
    </row>
    <row r="2957" spans="3:8" s="99" customFormat="1" x14ac:dyDescent="0.2">
      <c r="C2957" s="198"/>
      <c r="D2957" s="198"/>
      <c r="E2957" s="537"/>
      <c r="G2957" s="198"/>
      <c r="H2957" s="123"/>
    </row>
    <row r="2958" spans="3:8" s="99" customFormat="1" x14ac:dyDescent="0.2">
      <c r="C2958" s="198"/>
      <c r="D2958" s="198"/>
      <c r="E2958" s="537"/>
      <c r="G2958" s="198"/>
      <c r="H2958" s="123"/>
    </row>
    <row r="2959" spans="3:8" s="99" customFormat="1" x14ac:dyDescent="0.2">
      <c r="C2959" s="198"/>
      <c r="D2959" s="198"/>
      <c r="E2959" s="537"/>
      <c r="G2959" s="198"/>
      <c r="H2959" s="123"/>
    </row>
    <row r="2960" spans="3:8" s="99" customFormat="1" x14ac:dyDescent="0.2">
      <c r="C2960" s="198"/>
      <c r="D2960" s="198"/>
      <c r="E2960" s="537"/>
      <c r="G2960" s="198"/>
      <c r="H2960" s="123"/>
    </row>
    <row r="2961" spans="3:8" s="99" customFormat="1" x14ac:dyDescent="0.2">
      <c r="C2961" s="198"/>
      <c r="D2961" s="198"/>
      <c r="E2961" s="537"/>
      <c r="G2961" s="198"/>
      <c r="H2961" s="123"/>
    </row>
    <row r="2962" spans="3:8" s="99" customFormat="1" x14ac:dyDescent="0.2">
      <c r="C2962" s="198"/>
      <c r="D2962" s="198"/>
      <c r="E2962" s="537"/>
      <c r="G2962" s="198"/>
      <c r="H2962" s="123"/>
    </row>
    <row r="2963" spans="3:8" s="99" customFormat="1" x14ac:dyDescent="0.2">
      <c r="C2963" s="198"/>
      <c r="D2963" s="198"/>
      <c r="E2963" s="537"/>
      <c r="G2963" s="198"/>
      <c r="H2963" s="123"/>
    </row>
    <row r="2964" spans="3:8" s="99" customFormat="1" x14ac:dyDescent="0.2">
      <c r="C2964" s="198"/>
      <c r="D2964" s="198"/>
      <c r="E2964" s="537"/>
      <c r="G2964" s="198"/>
      <c r="H2964" s="123"/>
    </row>
    <row r="2965" spans="3:8" s="99" customFormat="1" x14ac:dyDescent="0.2">
      <c r="C2965" s="198"/>
      <c r="D2965" s="198"/>
      <c r="E2965" s="537"/>
      <c r="G2965" s="198"/>
      <c r="H2965" s="123"/>
    </row>
    <row r="2966" spans="3:8" s="99" customFormat="1" x14ac:dyDescent="0.2">
      <c r="C2966" s="198"/>
      <c r="D2966" s="198"/>
      <c r="E2966" s="537"/>
      <c r="G2966" s="198"/>
      <c r="H2966" s="123"/>
    </row>
    <row r="2967" spans="3:8" s="99" customFormat="1" x14ac:dyDescent="0.2">
      <c r="C2967" s="198"/>
      <c r="D2967" s="198"/>
      <c r="E2967" s="537"/>
      <c r="G2967" s="198"/>
      <c r="H2967" s="123"/>
    </row>
    <row r="2968" spans="3:8" s="99" customFormat="1" x14ac:dyDescent="0.2">
      <c r="C2968" s="198"/>
      <c r="D2968" s="198"/>
      <c r="E2968" s="537"/>
      <c r="G2968" s="198"/>
      <c r="H2968" s="123"/>
    </row>
    <row r="2969" spans="3:8" s="99" customFormat="1" x14ac:dyDescent="0.2">
      <c r="C2969" s="198"/>
      <c r="D2969" s="198"/>
      <c r="E2969" s="537"/>
      <c r="G2969" s="198"/>
      <c r="H2969" s="123"/>
    </row>
    <row r="2970" spans="3:8" s="99" customFormat="1" x14ac:dyDescent="0.2">
      <c r="C2970" s="198"/>
      <c r="D2970" s="198"/>
      <c r="E2970" s="537"/>
      <c r="G2970" s="198"/>
      <c r="H2970" s="123"/>
    </row>
    <row r="2971" spans="3:8" s="99" customFormat="1" x14ac:dyDescent="0.2">
      <c r="C2971" s="198"/>
      <c r="D2971" s="198"/>
      <c r="E2971" s="537"/>
      <c r="G2971" s="198"/>
      <c r="H2971" s="123"/>
    </row>
    <row r="2972" spans="3:8" s="99" customFormat="1" x14ac:dyDescent="0.2">
      <c r="C2972" s="198"/>
      <c r="D2972" s="198"/>
      <c r="E2972" s="537"/>
      <c r="G2972" s="198"/>
      <c r="H2972" s="123"/>
    </row>
    <row r="2973" spans="3:8" s="99" customFormat="1" x14ac:dyDescent="0.2">
      <c r="C2973" s="198"/>
      <c r="D2973" s="198"/>
      <c r="E2973" s="537"/>
      <c r="G2973" s="198"/>
      <c r="H2973" s="123"/>
    </row>
    <row r="2974" spans="3:8" s="99" customFormat="1" x14ac:dyDescent="0.2">
      <c r="C2974" s="198"/>
      <c r="D2974" s="198"/>
      <c r="E2974" s="537"/>
      <c r="G2974" s="198"/>
      <c r="H2974" s="123"/>
    </row>
    <row r="2975" spans="3:8" s="99" customFormat="1" x14ac:dyDescent="0.2">
      <c r="C2975" s="198"/>
      <c r="D2975" s="198"/>
      <c r="E2975" s="537"/>
      <c r="G2975" s="198"/>
      <c r="H2975" s="123"/>
    </row>
    <row r="2976" spans="3:8" s="99" customFormat="1" x14ac:dyDescent="0.2">
      <c r="C2976" s="198"/>
      <c r="D2976" s="198"/>
      <c r="E2976" s="537"/>
      <c r="G2976" s="198"/>
      <c r="H2976" s="123"/>
    </row>
    <row r="2977" spans="3:8" s="99" customFormat="1" x14ac:dyDescent="0.2">
      <c r="C2977" s="198"/>
      <c r="D2977" s="198"/>
      <c r="E2977" s="537"/>
      <c r="G2977" s="198"/>
      <c r="H2977" s="123"/>
    </row>
    <row r="2978" spans="3:8" s="99" customFormat="1" x14ac:dyDescent="0.2">
      <c r="C2978" s="198"/>
      <c r="D2978" s="198"/>
      <c r="E2978" s="537"/>
      <c r="G2978" s="198"/>
      <c r="H2978" s="123"/>
    </row>
    <row r="2979" spans="3:8" s="99" customFormat="1" x14ac:dyDescent="0.2">
      <c r="C2979" s="198"/>
      <c r="D2979" s="198"/>
      <c r="E2979" s="537"/>
      <c r="G2979" s="198"/>
      <c r="H2979" s="123"/>
    </row>
    <row r="2980" spans="3:8" s="99" customFormat="1" x14ac:dyDescent="0.2">
      <c r="C2980" s="198"/>
      <c r="D2980" s="198"/>
      <c r="E2980" s="537"/>
      <c r="G2980" s="198"/>
      <c r="H2980" s="123"/>
    </row>
    <row r="2981" spans="3:8" s="99" customFormat="1" x14ac:dyDescent="0.2">
      <c r="C2981" s="198"/>
      <c r="D2981" s="198"/>
      <c r="E2981" s="537"/>
      <c r="G2981" s="198"/>
      <c r="H2981" s="123"/>
    </row>
    <row r="2982" spans="3:8" s="99" customFormat="1" x14ac:dyDescent="0.2">
      <c r="C2982" s="198"/>
      <c r="D2982" s="198"/>
      <c r="E2982" s="537"/>
      <c r="G2982" s="198"/>
      <c r="H2982" s="123"/>
    </row>
    <row r="2983" spans="3:8" s="99" customFormat="1" x14ac:dyDescent="0.2">
      <c r="C2983" s="198"/>
      <c r="D2983" s="198"/>
      <c r="E2983" s="537"/>
      <c r="G2983" s="198"/>
      <c r="H2983" s="123"/>
    </row>
    <row r="2984" spans="3:8" s="99" customFormat="1" x14ac:dyDescent="0.2">
      <c r="C2984" s="198"/>
      <c r="D2984" s="198"/>
      <c r="E2984" s="537"/>
      <c r="G2984" s="198"/>
      <c r="H2984" s="123"/>
    </row>
    <row r="2985" spans="3:8" s="99" customFormat="1" x14ac:dyDescent="0.2">
      <c r="C2985" s="198"/>
      <c r="D2985" s="198"/>
      <c r="E2985" s="537"/>
      <c r="G2985" s="198"/>
      <c r="H2985" s="123"/>
    </row>
    <row r="2986" spans="3:8" s="99" customFormat="1" x14ac:dyDescent="0.2">
      <c r="C2986" s="198"/>
      <c r="D2986" s="198"/>
      <c r="E2986" s="537"/>
      <c r="G2986" s="198"/>
      <c r="H2986" s="123"/>
    </row>
    <row r="2987" spans="3:8" s="99" customFormat="1" x14ac:dyDescent="0.2">
      <c r="C2987" s="198"/>
      <c r="D2987" s="198"/>
      <c r="E2987" s="537"/>
      <c r="G2987" s="198"/>
      <c r="H2987" s="123"/>
    </row>
    <row r="2988" spans="3:8" s="99" customFormat="1" x14ac:dyDescent="0.2">
      <c r="C2988" s="198"/>
      <c r="D2988" s="198"/>
      <c r="E2988" s="537"/>
      <c r="G2988" s="198"/>
      <c r="H2988" s="123"/>
    </row>
    <row r="2989" spans="3:8" s="99" customFormat="1" x14ac:dyDescent="0.2">
      <c r="C2989" s="198"/>
      <c r="D2989" s="198"/>
      <c r="E2989" s="537"/>
      <c r="G2989" s="198"/>
      <c r="H2989" s="123"/>
    </row>
    <row r="2990" spans="3:8" s="99" customFormat="1" x14ac:dyDescent="0.2">
      <c r="C2990" s="198"/>
      <c r="D2990" s="198"/>
      <c r="E2990" s="537"/>
      <c r="G2990" s="198"/>
      <c r="H2990" s="123"/>
    </row>
    <row r="2991" spans="3:8" s="99" customFormat="1" x14ac:dyDescent="0.2">
      <c r="C2991" s="198"/>
      <c r="D2991" s="198"/>
      <c r="E2991" s="537"/>
      <c r="G2991" s="198"/>
      <c r="H2991" s="123"/>
    </row>
    <row r="2992" spans="3:8" s="99" customFormat="1" x14ac:dyDescent="0.2">
      <c r="C2992" s="198"/>
      <c r="D2992" s="198"/>
      <c r="E2992" s="537"/>
      <c r="G2992" s="198"/>
      <c r="H2992" s="123"/>
    </row>
    <row r="2993" spans="3:8" s="99" customFormat="1" x14ac:dyDescent="0.2">
      <c r="C2993" s="198"/>
      <c r="D2993" s="198"/>
      <c r="E2993" s="537"/>
      <c r="G2993" s="198"/>
      <c r="H2993" s="123"/>
    </row>
    <row r="2994" spans="3:8" s="99" customFormat="1" x14ac:dyDescent="0.2">
      <c r="C2994" s="198"/>
      <c r="D2994" s="198"/>
      <c r="E2994" s="537"/>
      <c r="G2994" s="198"/>
      <c r="H2994" s="123"/>
    </row>
    <row r="2995" spans="3:8" s="99" customFormat="1" x14ac:dyDescent="0.2">
      <c r="C2995" s="198"/>
      <c r="D2995" s="198"/>
      <c r="E2995" s="537"/>
      <c r="G2995" s="198"/>
      <c r="H2995" s="123"/>
    </row>
    <row r="2996" spans="3:8" s="99" customFormat="1" x14ac:dyDescent="0.2">
      <c r="C2996" s="198"/>
      <c r="D2996" s="198"/>
      <c r="E2996" s="537"/>
      <c r="G2996" s="198"/>
      <c r="H2996" s="123"/>
    </row>
    <row r="2997" spans="3:8" s="99" customFormat="1" x14ac:dyDescent="0.2">
      <c r="C2997" s="198"/>
      <c r="D2997" s="198"/>
      <c r="E2997" s="537"/>
      <c r="G2997" s="198"/>
      <c r="H2997" s="123"/>
    </row>
    <row r="2998" spans="3:8" s="99" customFormat="1" x14ac:dyDescent="0.2">
      <c r="C2998" s="198"/>
      <c r="D2998" s="198"/>
      <c r="E2998" s="537"/>
      <c r="G2998" s="198"/>
      <c r="H2998" s="123"/>
    </row>
    <row r="2999" spans="3:8" s="99" customFormat="1" x14ac:dyDescent="0.2">
      <c r="C2999" s="198"/>
      <c r="D2999" s="198"/>
      <c r="E2999" s="537"/>
      <c r="G2999" s="198"/>
      <c r="H2999" s="123"/>
    </row>
    <row r="3000" spans="3:8" s="99" customFormat="1" x14ac:dyDescent="0.2">
      <c r="C3000" s="198"/>
      <c r="D3000" s="198"/>
      <c r="E3000" s="537"/>
      <c r="G3000" s="198"/>
      <c r="H3000" s="123"/>
    </row>
    <row r="3001" spans="3:8" s="99" customFormat="1" x14ac:dyDescent="0.2">
      <c r="C3001" s="198"/>
      <c r="D3001" s="198"/>
      <c r="E3001" s="537"/>
      <c r="G3001" s="198"/>
      <c r="H3001" s="123"/>
    </row>
    <row r="3002" spans="3:8" s="99" customFormat="1" x14ac:dyDescent="0.2">
      <c r="C3002" s="198"/>
      <c r="D3002" s="198"/>
      <c r="E3002" s="537"/>
      <c r="G3002" s="198"/>
      <c r="H3002" s="123"/>
    </row>
    <row r="3003" spans="3:8" s="99" customFormat="1" x14ac:dyDescent="0.2">
      <c r="C3003" s="198"/>
      <c r="D3003" s="198"/>
      <c r="E3003" s="537"/>
      <c r="G3003" s="198"/>
      <c r="H3003" s="123"/>
    </row>
    <row r="3004" spans="3:8" s="99" customFormat="1" x14ac:dyDescent="0.2">
      <c r="C3004" s="198"/>
      <c r="D3004" s="198"/>
      <c r="E3004" s="537"/>
      <c r="G3004" s="198"/>
      <c r="H3004" s="123"/>
    </row>
    <row r="3005" spans="3:8" s="99" customFormat="1" x14ac:dyDescent="0.2">
      <c r="C3005" s="198"/>
      <c r="D3005" s="198"/>
      <c r="E3005" s="537"/>
      <c r="G3005" s="198"/>
      <c r="H3005" s="123"/>
    </row>
    <row r="3006" spans="3:8" s="99" customFormat="1" x14ac:dyDescent="0.2">
      <c r="C3006" s="198"/>
      <c r="D3006" s="198"/>
      <c r="E3006" s="537"/>
      <c r="G3006" s="198"/>
      <c r="H3006" s="123"/>
    </row>
    <row r="3007" spans="3:8" s="99" customFormat="1" x14ac:dyDescent="0.2">
      <c r="C3007" s="198"/>
      <c r="D3007" s="198"/>
      <c r="E3007" s="537"/>
      <c r="G3007" s="198"/>
      <c r="H3007" s="123"/>
    </row>
    <row r="3008" spans="3:8" s="99" customFormat="1" x14ac:dyDescent="0.2">
      <c r="C3008" s="198"/>
      <c r="D3008" s="198"/>
      <c r="E3008" s="537"/>
      <c r="G3008" s="198"/>
      <c r="H3008" s="123"/>
    </row>
    <row r="3009" spans="3:8" s="99" customFormat="1" x14ac:dyDescent="0.2">
      <c r="C3009" s="198"/>
      <c r="D3009" s="198"/>
      <c r="E3009" s="537"/>
      <c r="G3009" s="198"/>
      <c r="H3009" s="123"/>
    </row>
    <row r="3010" spans="3:8" s="99" customFormat="1" x14ac:dyDescent="0.2">
      <c r="C3010" s="198"/>
      <c r="D3010" s="198"/>
      <c r="E3010" s="537"/>
      <c r="G3010" s="198"/>
      <c r="H3010" s="123"/>
    </row>
    <row r="3011" spans="3:8" s="99" customFormat="1" x14ac:dyDescent="0.2">
      <c r="C3011" s="198"/>
      <c r="D3011" s="198"/>
      <c r="E3011" s="537"/>
      <c r="G3011" s="198"/>
      <c r="H3011" s="123"/>
    </row>
    <row r="3012" spans="3:8" s="99" customFormat="1" x14ac:dyDescent="0.2">
      <c r="C3012" s="198"/>
      <c r="D3012" s="198"/>
      <c r="E3012" s="537"/>
      <c r="G3012" s="198"/>
      <c r="H3012" s="123"/>
    </row>
    <row r="3013" spans="3:8" s="99" customFormat="1" x14ac:dyDescent="0.2">
      <c r="C3013" s="198"/>
      <c r="D3013" s="198"/>
      <c r="E3013" s="537"/>
      <c r="G3013" s="198"/>
      <c r="H3013" s="123"/>
    </row>
    <row r="3014" spans="3:8" s="99" customFormat="1" x14ac:dyDescent="0.2">
      <c r="C3014" s="198"/>
      <c r="D3014" s="198"/>
      <c r="E3014" s="537"/>
      <c r="G3014" s="198"/>
      <c r="H3014" s="123"/>
    </row>
    <row r="3015" spans="3:8" s="99" customFormat="1" x14ac:dyDescent="0.2">
      <c r="C3015" s="198"/>
      <c r="D3015" s="198"/>
      <c r="E3015" s="537"/>
      <c r="G3015" s="198"/>
      <c r="H3015" s="123"/>
    </row>
    <row r="3016" spans="3:8" s="99" customFormat="1" x14ac:dyDescent="0.2">
      <c r="C3016" s="198"/>
      <c r="D3016" s="198"/>
      <c r="E3016" s="537"/>
      <c r="G3016" s="198"/>
      <c r="H3016" s="123"/>
    </row>
    <row r="3017" spans="3:8" s="99" customFormat="1" x14ac:dyDescent="0.2">
      <c r="C3017" s="198"/>
      <c r="D3017" s="198"/>
      <c r="E3017" s="537"/>
      <c r="G3017" s="198"/>
      <c r="H3017" s="123"/>
    </row>
    <row r="3018" spans="3:8" s="99" customFormat="1" x14ac:dyDescent="0.2">
      <c r="C3018" s="198"/>
      <c r="D3018" s="198"/>
      <c r="E3018" s="537"/>
      <c r="G3018" s="198"/>
      <c r="H3018" s="123"/>
    </row>
    <row r="3019" spans="3:8" s="99" customFormat="1" x14ac:dyDescent="0.2">
      <c r="C3019" s="198"/>
      <c r="D3019" s="198"/>
      <c r="E3019" s="537"/>
      <c r="G3019" s="198"/>
      <c r="H3019" s="123"/>
    </row>
    <row r="3020" spans="3:8" s="99" customFormat="1" x14ac:dyDescent="0.2">
      <c r="C3020" s="198"/>
      <c r="D3020" s="198"/>
      <c r="E3020" s="537"/>
      <c r="G3020" s="198"/>
      <c r="H3020" s="123"/>
    </row>
    <row r="3021" spans="3:8" s="99" customFormat="1" x14ac:dyDescent="0.2">
      <c r="C3021" s="198"/>
      <c r="D3021" s="198"/>
      <c r="E3021" s="537"/>
      <c r="G3021" s="198"/>
      <c r="H3021" s="123"/>
    </row>
    <row r="3022" spans="3:8" s="99" customFormat="1" x14ac:dyDescent="0.2">
      <c r="C3022" s="198"/>
      <c r="D3022" s="198"/>
      <c r="E3022" s="537"/>
      <c r="G3022" s="198"/>
      <c r="H3022" s="123"/>
    </row>
    <row r="3023" spans="3:8" s="99" customFormat="1" x14ac:dyDescent="0.2">
      <c r="C3023" s="198"/>
      <c r="D3023" s="198"/>
      <c r="E3023" s="537"/>
      <c r="G3023" s="198"/>
      <c r="H3023" s="123"/>
    </row>
    <row r="3024" spans="3:8" s="99" customFormat="1" x14ac:dyDescent="0.2">
      <c r="C3024" s="198"/>
      <c r="D3024" s="198"/>
      <c r="E3024" s="537"/>
      <c r="G3024" s="198"/>
      <c r="H3024" s="123"/>
    </row>
    <row r="3025" spans="3:8" s="99" customFormat="1" x14ac:dyDescent="0.2">
      <c r="C3025" s="198"/>
      <c r="D3025" s="198"/>
      <c r="E3025" s="537"/>
      <c r="G3025" s="198"/>
      <c r="H3025" s="123"/>
    </row>
    <row r="3026" spans="3:8" s="99" customFormat="1" x14ac:dyDescent="0.2">
      <c r="C3026" s="198"/>
      <c r="D3026" s="198"/>
      <c r="E3026" s="537"/>
      <c r="G3026" s="198"/>
      <c r="H3026" s="123"/>
    </row>
    <row r="3027" spans="3:8" s="99" customFormat="1" x14ac:dyDescent="0.2">
      <c r="C3027" s="198"/>
      <c r="D3027" s="198"/>
      <c r="E3027" s="537"/>
      <c r="G3027" s="198"/>
      <c r="H3027" s="123"/>
    </row>
    <row r="3028" spans="3:8" s="99" customFormat="1" x14ac:dyDescent="0.2">
      <c r="C3028" s="198"/>
      <c r="D3028" s="198"/>
      <c r="E3028" s="537"/>
      <c r="G3028" s="198"/>
      <c r="H3028" s="123"/>
    </row>
    <row r="3029" spans="3:8" s="99" customFormat="1" x14ac:dyDescent="0.2">
      <c r="C3029" s="198"/>
      <c r="D3029" s="198"/>
      <c r="E3029" s="537"/>
      <c r="G3029" s="198"/>
      <c r="H3029" s="123"/>
    </row>
    <row r="3030" spans="3:8" s="99" customFormat="1" x14ac:dyDescent="0.2">
      <c r="C3030" s="198"/>
      <c r="D3030" s="198"/>
      <c r="E3030" s="537"/>
      <c r="G3030" s="198"/>
      <c r="H3030" s="123"/>
    </row>
    <row r="3031" spans="3:8" s="99" customFormat="1" x14ac:dyDescent="0.2">
      <c r="C3031" s="198"/>
      <c r="D3031" s="198"/>
      <c r="E3031" s="537"/>
      <c r="G3031" s="198"/>
      <c r="H3031" s="123"/>
    </row>
    <row r="3032" spans="3:8" s="99" customFormat="1" x14ac:dyDescent="0.2">
      <c r="C3032" s="198"/>
      <c r="D3032" s="198"/>
      <c r="E3032" s="537"/>
      <c r="G3032" s="198"/>
      <c r="H3032" s="123"/>
    </row>
    <row r="3033" spans="3:8" s="99" customFormat="1" x14ac:dyDescent="0.2">
      <c r="C3033" s="198"/>
      <c r="D3033" s="198"/>
      <c r="E3033" s="537"/>
      <c r="G3033" s="198"/>
      <c r="H3033" s="123"/>
    </row>
    <row r="3034" spans="3:8" s="99" customFormat="1" x14ac:dyDescent="0.2">
      <c r="C3034" s="198"/>
      <c r="D3034" s="198"/>
      <c r="E3034" s="537"/>
      <c r="G3034" s="198"/>
      <c r="H3034" s="123"/>
    </row>
    <row r="3035" spans="3:8" s="99" customFormat="1" x14ac:dyDescent="0.2">
      <c r="C3035" s="198"/>
      <c r="D3035" s="198"/>
      <c r="E3035" s="537"/>
      <c r="G3035" s="198"/>
      <c r="H3035" s="123"/>
    </row>
    <row r="3036" spans="3:8" s="99" customFormat="1" x14ac:dyDescent="0.2">
      <c r="C3036" s="198"/>
      <c r="D3036" s="198"/>
      <c r="E3036" s="537"/>
      <c r="G3036" s="198"/>
      <c r="H3036" s="123"/>
    </row>
    <row r="3037" spans="3:8" s="99" customFormat="1" x14ac:dyDescent="0.2">
      <c r="C3037" s="198"/>
      <c r="D3037" s="198"/>
      <c r="E3037" s="537"/>
      <c r="G3037" s="198"/>
      <c r="H3037" s="123"/>
    </row>
    <row r="3038" spans="3:8" s="99" customFormat="1" x14ac:dyDescent="0.2">
      <c r="C3038" s="198"/>
      <c r="D3038" s="198"/>
      <c r="E3038" s="537"/>
      <c r="G3038" s="198"/>
      <c r="H3038" s="123"/>
    </row>
    <row r="3039" spans="3:8" s="99" customFormat="1" x14ac:dyDescent="0.2">
      <c r="C3039" s="198"/>
      <c r="D3039" s="198"/>
      <c r="E3039" s="537"/>
      <c r="G3039" s="198"/>
      <c r="H3039" s="123"/>
    </row>
    <row r="3040" spans="3:8" s="99" customFormat="1" x14ac:dyDescent="0.2">
      <c r="C3040" s="198"/>
      <c r="D3040" s="198"/>
      <c r="E3040" s="537"/>
      <c r="G3040" s="198"/>
      <c r="H3040" s="123"/>
    </row>
    <row r="3041" spans="3:8" s="99" customFormat="1" x14ac:dyDescent="0.2">
      <c r="C3041" s="198"/>
      <c r="D3041" s="198"/>
      <c r="E3041" s="537"/>
      <c r="G3041" s="198"/>
      <c r="H3041" s="123"/>
    </row>
    <row r="3042" spans="3:8" s="99" customFormat="1" x14ac:dyDescent="0.2">
      <c r="C3042" s="198"/>
      <c r="D3042" s="198"/>
      <c r="E3042" s="537"/>
      <c r="G3042" s="198"/>
      <c r="H3042" s="123"/>
    </row>
    <row r="3043" spans="3:8" s="99" customFormat="1" x14ac:dyDescent="0.2">
      <c r="C3043" s="198"/>
      <c r="D3043" s="198"/>
      <c r="E3043" s="537"/>
      <c r="G3043" s="198"/>
      <c r="H3043" s="123"/>
    </row>
    <row r="3044" spans="3:8" s="99" customFormat="1" x14ac:dyDescent="0.2">
      <c r="C3044" s="198"/>
      <c r="D3044" s="198"/>
      <c r="E3044" s="537"/>
      <c r="G3044" s="198"/>
      <c r="H3044" s="123"/>
    </row>
    <row r="3045" spans="3:8" s="99" customFormat="1" x14ac:dyDescent="0.2">
      <c r="C3045" s="198"/>
      <c r="D3045" s="198"/>
      <c r="E3045" s="537"/>
      <c r="G3045" s="198"/>
      <c r="H3045" s="123"/>
    </row>
    <row r="3046" spans="3:8" s="99" customFormat="1" x14ac:dyDescent="0.2">
      <c r="C3046" s="198"/>
      <c r="D3046" s="198"/>
      <c r="E3046" s="537"/>
      <c r="G3046" s="198"/>
      <c r="H3046" s="123"/>
    </row>
    <row r="3047" spans="3:8" s="99" customFormat="1" x14ac:dyDescent="0.2">
      <c r="C3047" s="198"/>
      <c r="D3047" s="198"/>
      <c r="E3047" s="537"/>
      <c r="G3047" s="198"/>
      <c r="H3047" s="123"/>
    </row>
    <row r="3048" spans="3:8" s="99" customFormat="1" x14ac:dyDescent="0.2">
      <c r="C3048" s="198"/>
      <c r="D3048" s="198"/>
      <c r="E3048" s="537"/>
      <c r="G3048" s="198"/>
      <c r="H3048" s="123"/>
    </row>
    <row r="3049" spans="3:8" s="99" customFormat="1" x14ac:dyDescent="0.2">
      <c r="C3049" s="198"/>
      <c r="D3049" s="198"/>
      <c r="E3049" s="537"/>
      <c r="G3049" s="198"/>
      <c r="H3049" s="123"/>
    </row>
    <row r="3050" spans="3:8" s="99" customFormat="1" x14ac:dyDescent="0.2">
      <c r="C3050" s="198"/>
      <c r="D3050" s="198"/>
      <c r="E3050" s="537"/>
      <c r="G3050" s="198"/>
      <c r="H3050" s="123"/>
    </row>
    <row r="3051" spans="3:8" s="99" customFormat="1" x14ac:dyDescent="0.2">
      <c r="C3051" s="198"/>
      <c r="D3051" s="198"/>
      <c r="E3051" s="537"/>
      <c r="G3051" s="198"/>
      <c r="H3051" s="123"/>
    </row>
    <row r="3052" spans="3:8" s="99" customFormat="1" x14ac:dyDescent="0.2">
      <c r="C3052" s="198"/>
      <c r="D3052" s="198"/>
      <c r="E3052" s="537"/>
      <c r="G3052" s="198"/>
      <c r="H3052" s="123"/>
    </row>
    <row r="3053" spans="3:8" s="99" customFormat="1" x14ac:dyDescent="0.2">
      <c r="C3053" s="198"/>
      <c r="D3053" s="198"/>
      <c r="E3053" s="537"/>
      <c r="G3053" s="198"/>
      <c r="H3053" s="123"/>
    </row>
    <row r="3054" spans="3:8" s="99" customFormat="1" x14ac:dyDescent="0.2">
      <c r="C3054" s="198"/>
      <c r="D3054" s="198"/>
      <c r="E3054" s="537"/>
      <c r="G3054" s="198"/>
      <c r="H3054" s="123"/>
    </row>
    <row r="3055" spans="3:8" s="99" customFormat="1" x14ac:dyDescent="0.2">
      <c r="C3055" s="198"/>
      <c r="D3055" s="198"/>
      <c r="E3055" s="537"/>
      <c r="G3055" s="198"/>
      <c r="H3055" s="123"/>
    </row>
    <row r="3056" spans="3:8" s="99" customFormat="1" x14ac:dyDescent="0.2">
      <c r="C3056" s="198"/>
      <c r="D3056" s="198"/>
      <c r="E3056" s="537"/>
      <c r="G3056" s="198"/>
      <c r="H3056" s="123"/>
    </row>
    <row r="3057" spans="3:8" s="99" customFormat="1" x14ac:dyDescent="0.2">
      <c r="C3057" s="198"/>
      <c r="D3057" s="198"/>
      <c r="E3057" s="537"/>
      <c r="G3057" s="198"/>
      <c r="H3057" s="123"/>
    </row>
    <row r="3058" spans="3:8" s="99" customFormat="1" x14ac:dyDescent="0.2">
      <c r="C3058" s="198"/>
      <c r="D3058" s="198"/>
      <c r="E3058" s="537"/>
      <c r="G3058" s="198"/>
      <c r="H3058" s="123"/>
    </row>
    <row r="3059" spans="3:8" s="99" customFormat="1" x14ac:dyDescent="0.2">
      <c r="C3059" s="198"/>
      <c r="D3059" s="198"/>
      <c r="E3059" s="537"/>
      <c r="G3059" s="198"/>
      <c r="H3059" s="123"/>
    </row>
    <row r="3060" spans="3:8" s="99" customFormat="1" x14ac:dyDescent="0.2">
      <c r="C3060" s="198"/>
      <c r="D3060" s="198"/>
      <c r="E3060" s="537"/>
      <c r="G3060" s="198"/>
      <c r="H3060" s="123"/>
    </row>
    <row r="3061" spans="3:8" s="99" customFormat="1" x14ac:dyDescent="0.2">
      <c r="C3061" s="198"/>
      <c r="D3061" s="198"/>
      <c r="E3061" s="537"/>
      <c r="G3061" s="198"/>
      <c r="H3061" s="123"/>
    </row>
    <row r="3062" spans="3:8" s="99" customFormat="1" x14ac:dyDescent="0.2">
      <c r="C3062" s="198"/>
      <c r="D3062" s="198"/>
      <c r="E3062" s="537"/>
      <c r="G3062" s="198"/>
      <c r="H3062" s="123"/>
    </row>
    <row r="3063" spans="3:8" s="99" customFormat="1" x14ac:dyDescent="0.2">
      <c r="C3063" s="198"/>
      <c r="D3063" s="198"/>
      <c r="E3063" s="537"/>
      <c r="G3063" s="198"/>
      <c r="H3063" s="123"/>
    </row>
    <row r="3064" spans="3:8" s="99" customFormat="1" x14ac:dyDescent="0.2">
      <c r="C3064" s="198"/>
      <c r="D3064" s="198"/>
      <c r="E3064" s="537"/>
      <c r="G3064" s="198"/>
      <c r="H3064" s="123"/>
    </row>
    <row r="3065" spans="3:8" s="99" customFormat="1" x14ac:dyDescent="0.2">
      <c r="C3065" s="198"/>
      <c r="D3065" s="198"/>
      <c r="E3065" s="537"/>
      <c r="G3065" s="198"/>
      <c r="H3065" s="123"/>
    </row>
    <row r="3066" spans="3:8" s="99" customFormat="1" x14ac:dyDescent="0.2">
      <c r="C3066" s="198"/>
      <c r="D3066" s="198"/>
      <c r="E3066" s="537"/>
      <c r="G3066" s="198"/>
      <c r="H3066" s="123"/>
    </row>
    <row r="3067" spans="3:8" s="99" customFormat="1" x14ac:dyDescent="0.2">
      <c r="C3067" s="198"/>
      <c r="D3067" s="198"/>
      <c r="E3067" s="537"/>
      <c r="G3067" s="198"/>
      <c r="H3067" s="123"/>
    </row>
    <row r="3068" spans="3:8" s="99" customFormat="1" x14ac:dyDescent="0.2">
      <c r="C3068" s="198"/>
      <c r="D3068" s="198"/>
      <c r="E3068" s="537"/>
      <c r="G3068" s="198"/>
      <c r="H3068" s="123"/>
    </row>
    <row r="3069" spans="3:8" s="99" customFormat="1" x14ac:dyDescent="0.2">
      <c r="C3069" s="198"/>
      <c r="D3069" s="198"/>
      <c r="E3069" s="537"/>
      <c r="G3069" s="198"/>
      <c r="H3069" s="123"/>
    </row>
    <row r="3070" spans="3:8" s="99" customFormat="1" x14ac:dyDescent="0.2">
      <c r="C3070" s="198"/>
      <c r="D3070" s="198"/>
      <c r="E3070" s="537"/>
      <c r="G3070" s="198"/>
      <c r="H3070" s="123"/>
    </row>
    <row r="3071" spans="3:8" s="99" customFormat="1" x14ac:dyDescent="0.2">
      <c r="C3071" s="198"/>
      <c r="D3071" s="198"/>
      <c r="E3071" s="537"/>
      <c r="G3071" s="198"/>
      <c r="H3071" s="123"/>
    </row>
    <row r="3072" spans="3:8" s="99" customFormat="1" x14ac:dyDescent="0.2">
      <c r="C3072" s="198"/>
      <c r="D3072" s="198"/>
      <c r="E3072" s="537"/>
      <c r="G3072" s="198"/>
      <c r="H3072" s="123"/>
    </row>
    <row r="3073" spans="3:8" s="99" customFormat="1" x14ac:dyDescent="0.2">
      <c r="C3073" s="198"/>
      <c r="D3073" s="198"/>
      <c r="E3073" s="537"/>
      <c r="G3073" s="198"/>
      <c r="H3073" s="123"/>
    </row>
    <row r="3074" spans="3:8" s="99" customFormat="1" x14ac:dyDescent="0.2">
      <c r="C3074" s="198"/>
      <c r="D3074" s="198"/>
      <c r="E3074" s="537"/>
      <c r="G3074" s="198"/>
      <c r="H3074" s="123"/>
    </row>
    <row r="3075" spans="3:8" s="99" customFormat="1" x14ac:dyDescent="0.2">
      <c r="C3075" s="198"/>
      <c r="D3075" s="198"/>
      <c r="E3075" s="537"/>
      <c r="G3075" s="198"/>
      <c r="H3075" s="123"/>
    </row>
    <row r="3076" spans="3:8" s="99" customFormat="1" x14ac:dyDescent="0.2">
      <c r="C3076" s="198"/>
      <c r="D3076" s="198"/>
      <c r="E3076" s="537"/>
      <c r="G3076" s="198"/>
      <c r="H3076" s="123"/>
    </row>
    <row r="3077" spans="3:8" s="99" customFormat="1" x14ac:dyDescent="0.2">
      <c r="C3077" s="198"/>
      <c r="D3077" s="198"/>
      <c r="E3077" s="537"/>
      <c r="G3077" s="198"/>
      <c r="H3077" s="123"/>
    </row>
    <row r="3078" spans="3:8" s="99" customFormat="1" x14ac:dyDescent="0.2">
      <c r="C3078" s="198"/>
      <c r="D3078" s="198"/>
      <c r="E3078" s="537"/>
      <c r="G3078" s="198"/>
      <c r="H3078" s="123"/>
    </row>
    <row r="3079" spans="3:8" s="99" customFormat="1" x14ac:dyDescent="0.2">
      <c r="C3079" s="198"/>
      <c r="D3079" s="198"/>
      <c r="E3079" s="537"/>
      <c r="G3079" s="198"/>
      <c r="H3079" s="123"/>
    </row>
    <row r="3080" spans="3:8" s="99" customFormat="1" x14ac:dyDescent="0.2">
      <c r="C3080" s="198"/>
      <c r="D3080" s="198"/>
      <c r="E3080" s="537"/>
      <c r="G3080" s="198"/>
      <c r="H3080" s="123"/>
    </row>
    <row r="3081" spans="3:8" s="99" customFormat="1" x14ac:dyDescent="0.2">
      <c r="C3081" s="198"/>
      <c r="D3081" s="198"/>
      <c r="E3081" s="537"/>
      <c r="G3081" s="198"/>
      <c r="H3081" s="123"/>
    </row>
    <row r="3082" spans="3:8" s="99" customFormat="1" x14ac:dyDescent="0.2">
      <c r="C3082" s="198"/>
      <c r="D3082" s="198"/>
      <c r="E3082" s="537"/>
      <c r="G3082" s="198"/>
      <c r="H3082" s="123"/>
    </row>
    <row r="3083" spans="3:8" s="99" customFormat="1" x14ac:dyDescent="0.2">
      <c r="C3083" s="198"/>
      <c r="D3083" s="198"/>
      <c r="E3083" s="537"/>
      <c r="G3083" s="198"/>
      <c r="H3083" s="123"/>
    </row>
    <row r="3084" spans="3:8" s="99" customFormat="1" x14ac:dyDescent="0.2">
      <c r="C3084" s="198"/>
      <c r="D3084" s="198"/>
      <c r="E3084" s="537"/>
      <c r="G3084" s="198"/>
      <c r="H3084" s="123"/>
    </row>
    <row r="3085" spans="3:8" s="99" customFormat="1" x14ac:dyDescent="0.2">
      <c r="C3085" s="198"/>
      <c r="D3085" s="198"/>
      <c r="E3085" s="537"/>
      <c r="G3085" s="198"/>
      <c r="H3085" s="123"/>
    </row>
    <row r="3086" spans="3:8" s="99" customFormat="1" x14ac:dyDescent="0.2">
      <c r="C3086" s="198"/>
      <c r="D3086" s="198"/>
      <c r="E3086" s="537"/>
      <c r="G3086" s="198"/>
      <c r="H3086" s="123"/>
    </row>
    <row r="3087" spans="3:8" s="99" customFormat="1" x14ac:dyDescent="0.2">
      <c r="C3087" s="198"/>
      <c r="D3087" s="198"/>
      <c r="E3087" s="537"/>
      <c r="G3087" s="198"/>
      <c r="H3087" s="123"/>
    </row>
    <row r="3088" spans="3:8" s="99" customFormat="1" x14ac:dyDescent="0.2">
      <c r="C3088" s="198"/>
      <c r="D3088" s="198"/>
      <c r="E3088" s="537"/>
      <c r="G3088" s="198"/>
      <c r="H3088" s="123"/>
    </row>
    <row r="3089" spans="3:8" s="99" customFormat="1" x14ac:dyDescent="0.2">
      <c r="C3089" s="198"/>
      <c r="D3089" s="198"/>
      <c r="E3089" s="537"/>
      <c r="G3089" s="198"/>
      <c r="H3089" s="123"/>
    </row>
    <row r="3090" spans="3:8" s="99" customFormat="1" x14ac:dyDescent="0.2">
      <c r="C3090" s="198"/>
      <c r="D3090" s="198"/>
      <c r="E3090" s="537"/>
      <c r="G3090" s="198"/>
      <c r="H3090" s="123"/>
    </row>
    <row r="3091" spans="3:8" s="99" customFormat="1" x14ac:dyDescent="0.2">
      <c r="C3091" s="198"/>
      <c r="D3091" s="198"/>
      <c r="E3091" s="537"/>
      <c r="G3091" s="198"/>
      <c r="H3091" s="123"/>
    </row>
    <row r="3092" spans="3:8" s="99" customFormat="1" x14ac:dyDescent="0.2">
      <c r="C3092" s="198"/>
      <c r="D3092" s="198"/>
      <c r="E3092" s="537"/>
      <c r="G3092" s="198"/>
      <c r="H3092" s="123"/>
    </row>
    <row r="3093" spans="3:8" s="99" customFormat="1" x14ac:dyDescent="0.2">
      <c r="C3093" s="198"/>
      <c r="D3093" s="198"/>
      <c r="E3093" s="537"/>
      <c r="G3093" s="198"/>
      <c r="H3093" s="123"/>
    </row>
    <row r="3094" spans="3:8" s="99" customFormat="1" x14ac:dyDescent="0.2">
      <c r="C3094" s="198"/>
      <c r="D3094" s="198"/>
      <c r="E3094" s="537"/>
      <c r="G3094" s="198"/>
      <c r="H3094" s="123"/>
    </row>
    <row r="3095" spans="3:8" s="99" customFormat="1" x14ac:dyDescent="0.2">
      <c r="C3095" s="198"/>
      <c r="D3095" s="198"/>
      <c r="E3095" s="537"/>
      <c r="G3095" s="198"/>
      <c r="H3095" s="123"/>
    </row>
    <row r="3096" spans="3:8" s="99" customFormat="1" x14ac:dyDescent="0.2">
      <c r="C3096" s="198"/>
      <c r="D3096" s="198"/>
      <c r="E3096" s="537"/>
      <c r="G3096" s="198"/>
      <c r="H3096" s="123"/>
    </row>
    <row r="3097" spans="3:8" s="99" customFormat="1" x14ac:dyDescent="0.2">
      <c r="C3097" s="198"/>
      <c r="D3097" s="198"/>
      <c r="E3097" s="537"/>
      <c r="G3097" s="198"/>
      <c r="H3097" s="123"/>
    </row>
    <row r="3098" spans="3:8" s="99" customFormat="1" x14ac:dyDescent="0.2">
      <c r="C3098" s="198"/>
      <c r="D3098" s="198"/>
      <c r="E3098" s="537"/>
      <c r="G3098" s="198"/>
      <c r="H3098" s="123"/>
    </row>
    <row r="3099" spans="3:8" s="99" customFormat="1" x14ac:dyDescent="0.2">
      <c r="C3099" s="198"/>
      <c r="D3099" s="198"/>
      <c r="E3099" s="537"/>
      <c r="G3099" s="198"/>
      <c r="H3099" s="123"/>
    </row>
    <row r="3100" spans="3:8" s="99" customFormat="1" x14ac:dyDescent="0.2">
      <c r="C3100" s="198"/>
      <c r="D3100" s="198"/>
      <c r="E3100" s="537"/>
      <c r="G3100" s="198"/>
      <c r="H3100" s="123"/>
    </row>
    <row r="3101" spans="3:8" s="99" customFormat="1" x14ac:dyDescent="0.2">
      <c r="C3101" s="198"/>
      <c r="D3101" s="198"/>
      <c r="E3101" s="537"/>
      <c r="G3101" s="198"/>
      <c r="H3101" s="123"/>
    </row>
    <row r="3102" spans="3:8" s="99" customFormat="1" x14ac:dyDescent="0.2">
      <c r="C3102" s="198"/>
      <c r="D3102" s="198"/>
      <c r="E3102" s="537"/>
      <c r="G3102" s="198"/>
      <c r="H3102" s="123"/>
    </row>
    <row r="3103" spans="3:8" s="99" customFormat="1" x14ac:dyDescent="0.2">
      <c r="C3103" s="198"/>
      <c r="D3103" s="198"/>
      <c r="E3103" s="537"/>
      <c r="G3103" s="198"/>
      <c r="H3103" s="123"/>
    </row>
    <row r="3104" spans="3:8" s="99" customFormat="1" x14ac:dyDescent="0.2">
      <c r="C3104" s="198"/>
      <c r="D3104" s="198"/>
      <c r="E3104" s="537"/>
      <c r="G3104" s="198"/>
      <c r="H3104" s="123"/>
    </row>
    <row r="3105" spans="3:8" s="99" customFormat="1" x14ac:dyDescent="0.2">
      <c r="C3105" s="198"/>
      <c r="D3105" s="198"/>
      <c r="E3105" s="537"/>
      <c r="G3105" s="198"/>
      <c r="H3105" s="123"/>
    </row>
    <row r="3106" spans="3:8" s="99" customFormat="1" x14ac:dyDescent="0.2">
      <c r="C3106" s="198"/>
      <c r="D3106" s="198"/>
      <c r="E3106" s="537"/>
      <c r="G3106" s="198"/>
      <c r="H3106" s="123"/>
    </row>
    <row r="3107" spans="3:8" s="99" customFormat="1" x14ac:dyDescent="0.2">
      <c r="C3107" s="198"/>
      <c r="D3107" s="198"/>
      <c r="E3107" s="537"/>
      <c r="G3107" s="198"/>
      <c r="H3107" s="123"/>
    </row>
    <row r="3108" spans="3:8" s="99" customFormat="1" x14ac:dyDescent="0.2">
      <c r="C3108" s="198"/>
      <c r="D3108" s="198"/>
      <c r="E3108" s="537"/>
      <c r="G3108" s="198"/>
      <c r="H3108" s="123"/>
    </row>
    <row r="3109" spans="3:8" s="99" customFormat="1" x14ac:dyDescent="0.2">
      <c r="C3109" s="198"/>
      <c r="D3109" s="198"/>
      <c r="E3109" s="537"/>
      <c r="G3109" s="198"/>
      <c r="H3109" s="123"/>
    </row>
    <row r="3110" spans="3:8" s="99" customFormat="1" x14ac:dyDescent="0.2">
      <c r="C3110" s="198"/>
      <c r="D3110" s="198"/>
      <c r="E3110" s="537"/>
      <c r="G3110" s="198"/>
      <c r="H3110" s="123"/>
    </row>
    <row r="3111" spans="3:8" s="99" customFormat="1" x14ac:dyDescent="0.2">
      <c r="C3111" s="198"/>
      <c r="D3111" s="198"/>
      <c r="E3111" s="537"/>
      <c r="G3111" s="198"/>
      <c r="H3111" s="123"/>
    </row>
    <row r="3112" spans="3:8" s="99" customFormat="1" x14ac:dyDescent="0.2">
      <c r="C3112" s="198"/>
      <c r="D3112" s="198"/>
      <c r="E3112" s="537"/>
      <c r="G3112" s="198"/>
      <c r="H3112" s="123"/>
    </row>
    <row r="3113" spans="3:8" s="99" customFormat="1" x14ac:dyDescent="0.2">
      <c r="C3113" s="198"/>
      <c r="D3113" s="198"/>
      <c r="E3113" s="537"/>
      <c r="G3113" s="198"/>
      <c r="H3113" s="123"/>
    </row>
    <row r="3114" spans="3:8" s="99" customFormat="1" x14ac:dyDescent="0.2">
      <c r="C3114" s="198"/>
      <c r="D3114" s="198"/>
      <c r="E3114" s="537"/>
      <c r="G3114" s="198"/>
      <c r="H3114" s="123"/>
    </row>
    <row r="3115" spans="3:8" s="99" customFormat="1" x14ac:dyDescent="0.2">
      <c r="C3115" s="198"/>
      <c r="D3115" s="198"/>
      <c r="E3115" s="537"/>
      <c r="G3115" s="198"/>
      <c r="H3115" s="123"/>
    </row>
    <row r="3116" spans="3:8" s="99" customFormat="1" x14ac:dyDescent="0.2">
      <c r="C3116" s="198"/>
      <c r="D3116" s="198"/>
      <c r="E3116" s="537"/>
      <c r="G3116" s="198"/>
      <c r="H3116" s="123"/>
    </row>
    <row r="3117" spans="3:8" s="99" customFormat="1" x14ac:dyDescent="0.2">
      <c r="C3117" s="198"/>
      <c r="D3117" s="198"/>
      <c r="E3117" s="537"/>
      <c r="G3117" s="198"/>
      <c r="H3117" s="123"/>
    </row>
    <row r="3118" spans="3:8" s="99" customFormat="1" x14ac:dyDescent="0.2">
      <c r="C3118" s="198"/>
      <c r="D3118" s="198"/>
      <c r="E3118" s="537"/>
      <c r="G3118" s="198"/>
      <c r="H3118" s="123"/>
    </row>
    <row r="3119" spans="3:8" s="99" customFormat="1" x14ac:dyDescent="0.2">
      <c r="C3119" s="198"/>
      <c r="D3119" s="198"/>
      <c r="E3119" s="537"/>
      <c r="G3119" s="198"/>
      <c r="H3119" s="123"/>
    </row>
    <row r="3120" spans="3:8" s="99" customFormat="1" x14ac:dyDescent="0.2">
      <c r="C3120" s="198"/>
      <c r="D3120" s="198"/>
      <c r="E3120" s="537"/>
      <c r="G3120" s="198"/>
      <c r="H3120" s="123"/>
    </row>
    <row r="3121" spans="3:8" s="99" customFormat="1" x14ac:dyDescent="0.2">
      <c r="C3121" s="198"/>
      <c r="D3121" s="198"/>
      <c r="E3121" s="537"/>
      <c r="G3121" s="198"/>
      <c r="H3121" s="123"/>
    </row>
    <row r="3122" spans="3:8" s="99" customFormat="1" x14ac:dyDescent="0.2">
      <c r="C3122" s="198"/>
      <c r="D3122" s="198"/>
      <c r="E3122" s="537"/>
      <c r="G3122" s="198"/>
      <c r="H3122" s="123"/>
    </row>
    <row r="3123" spans="3:8" s="99" customFormat="1" x14ac:dyDescent="0.2">
      <c r="C3123" s="198"/>
      <c r="D3123" s="198"/>
      <c r="E3123" s="537"/>
      <c r="G3123" s="198"/>
      <c r="H3123" s="123"/>
    </row>
    <row r="3124" spans="3:8" s="99" customFormat="1" x14ac:dyDescent="0.2">
      <c r="C3124" s="198"/>
      <c r="D3124" s="198"/>
      <c r="E3124" s="537"/>
      <c r="G3124" s="198"/>
      <c r="H3124" s="123"/>
    </row>
    <row r="3125" spans="3:8" s="99" customFormat="1" x14ac:dyDescent="0.2">
      <c r="C3125" s="198"/>
      <c r="D3125" s="198"/>
      <c r="E3125" s="537"/>
      <c r="G3125" s="198"/>
      <c r="H3125" s="123"/>
    </row>
    <row r="3126" spans="3:8" s="99" customFormat="1" x14ac:dyDescent="0.2">
      <c r="C3126" s="198"/>
      <c r="D3126" s="198"/>
      <c r="E3126" s="537"/>
      <c r="G3126" s="198"/>
      <c r="H3126" s="123"/>
    </row>
    <row r="3127" spans="3:8" s="99" customFormat="1" x14ac:dyDescent="0.2">
      <c r="C3127" s="198"/>
      <c r="D3127" s="198"/>
      <c r="E3127" s="537"/>
      <c r="G3127" s="198"/>
      <c r="H3127" s="123"/>
    </row>
    <row r="3128" spans="3:8" s="99" customFormat="1" x14ac:dyDescent="0.2">
      <c r="C3128" s="198"/>
      <c r="D3128" s="198"/>
      <c r="E3128" s="537"/>
      <c r="G3128" s="198"/>
      <c r="H3128" s="123"/>
    </row>
    <row r="3129" spans="3:8" s="99" customFormat="1" x14ac:dyDescent="0.2">
      <c r="C3129" s="198"/>
      <c r="D3129" s="198"/>
      <c r="E3129" s="537"/>
      <c r="G3129" s="198"/>
      <c r="H3129" s="123"/>
    </row>
    <row r="3130" spans="3:8" s="99" customFormat="1" x14ac:dyDescent="0.2">
      <c r="C3130" s="198"/>
      <c r="D3130" s="198"/>
      <c r="E3130" s="537"/>
      <c r="G3130" s="198"/>
      <c r="H3130" s="123"/>
    </row>
    <row r="3131" spans="3:8" s="99" customFormat="1" x14ac:dyDescent="0.2">
      <c r="C3131" s="198"/>
      <c r="D3131" s="198"/>
      <c r="E3131" s="537"/>
      <c r="G3131" s="198"/>
      <c r="H3131" s="123"/>
    </row>
    <row r="3132" spans="3:8" s="99" customFormat="1" x14ac:dyDescent="0.2">
      <c r="C3132" s="198"/>
      <c r="D3132" s="198"/>
      <c r="E3132" s="537"/>
      <c r="G3132" s="198"/>
      <c r="H3132" s="123"/>
    </row>
    <row r="3133" spans="3:8" s="99" customFormat="1" x14ac:dyDescent="0.2">
      <c r="C3133" s="198"/>
      <c r="D3133" s="198"/>
      <c r="E3133" s="537"/>
      <c r="G3133" s="198"/>
      <c r="H3133" s="123"/>
    </row>
    <row r="3134" spans="3:8" s="99" customFormat="1" x14ac:dyDescent="0.2">
      <c r="C3134" s="198"/>
      <c r="D3134" s="198"/>
      <c r="E3134" s="537"/>
      <c r="G3134" s="198"/>
      <c r="H3134" s="123"/>
    </row>
    <row r="3135" spans="3:8" s="99" customFormat="1" x14ac:dyDescent="0.2">
      <c r="C3135" s="198"/>
      <c r="D3135" s="198"/>
      <c r="E3135" s="537"/>
      <c r="G3135" s="198"/>
      <c r="H3135" s="123"/>
    </row>
    <row r="3136" spans="3:8" s="99" customFormat="1" x14ac:dyDescent="0.2">
      <c r="C3136" s="198"/>
      <c r="D3136" s="198"/>
      <c r="E3136" s="537"/>
      <c r="G3136" s="198"/>
      <c r="H3136" s="123"/>
    </row>
    <row r="3137" spans="3:8" s="99" customFormat="1" x14ac:dyDescent="0.2">
      <c r="C3137" s="198"/>
      <c r="D3137" s="198"/>
      <c r="E3137" s="537"/>
      <c r="G3137" s="198"/>
      <c r="H3137" s="123"/>
    </row>
    <row r="3138" spans="3:8" s="99" customFormat="1" x14ac:dyDescent="0.2">
      <c r="C3138" s="198"/>
      <c r="D3138" s="198"/>
      <c r="E3138" s="537"/>
      <c r="G3138" s="198"/>
      <c r="H3138" s="123"/>
    </row>
    <row r="3139" spans="3:8" s="99" customFormat="1" x14ac:dyDescent="0.2">
      <c r="C3139" s="198"/>
      <c r="D3139" s="198"/>
      <c r="E3139" s="537"/>
      <c r="G3139" s="198"/>
      <c r="H3139" s="123"/>
    </row>
    <row r="3140" spans="3:8" s="99" customFormat="1" x14ac:dyDescent="0.2">
      <c r="C3140" s="198"/>
      <c r="D3140" s="198"/>
      <c r="E3140" s="537"/>
      <c r="G3140" s="198"/>
      <c r="H3140" s="123"/>
    </row>
    <row r="3141" spans="3:8" s="99" customFormat="1" x14ac:dyDescent="0.2">
      <c r="C3141" s="198"/>
      <c r="D3141" s="198"/>
      <c r="E3141" s="537"/>
      <c r="G3141" s="198"/>
      <c r="H3141" s="123"/>
    </row>
    <row r="3142" spans="3:8" s="99" customFormat="1" x14ac:dyDescent="0.2">
      <c r="C3142" s="198"/>
      <c r="D3142" s="198"/>
      <c r="E3142" s="537"/>
      <c r="G3142" s="198"/>
      <c r="H3142" s="123"/>
    </row>
    <row r="3143" spans="3:8" s="99" customFormat="1" x14ac:dyDescent="0.2">
      <c r="C3143" s="198"/>
      <c r="D3143" s="198"/>
      <c r="E3143" s="537"/>
      <c r="G3143" s="198"/>
      <c r="H3143" s="123"/>
    </row>
    <row r="3144" spans="3:8" s="99" customFormat="1" x14ac:dyDescent="0.2">
      <c r="C3144" s="198"/>
      <c r="D3144" s="198"/>
      <c r="E3144" s="537"/>
      <c r="G3144" s="198"/>
      <c r="H3144" s="123"/>
    </row>
    <row r="3145" spans="3:8" s="99" customFormat="1" x14ac:dyDescent="0.2">
      <c r="C3145" s="198"/>
      <c r="D3145" s="198"/>
      <c r="E3145" s="537"/>
      <c r="G3145" s="198"/>
      <c r="H3145" s="123"/>
    </row>
    <row r="3146" spans="3:8" s="99" customFormat="1" x14ac:dyDescent="0.2">
      <c r="C3146" s="198"/>
      <c r="D3146" s="198"/>
      <c r="E3146" s="537"/>
      <c r="G3146" s="198"/>
      <c r="H3146" s="123"/>
    </row>
    <row r="3147" spans="3:8" s="99" customFormat="1" x14ac:dyDescent="0.2">
      <c r="C3147" s="198"/>
      <c r="D3147" s="198"/>
      <c r="E3147" s="537"/>
      <c r="G3147" s="198"/>
      <c r="H3147" s="123"/>
    </row>
    <row r="3148" spans="3:8" s="99" customFormat="1" x14ac:dyDescent="0.2">
      <c r="C3148" s="198"/>
      <c r="D3148" s="198"/>
      <c r="E3148" s="537"/>
      <c r="G3148" s="198"/>
      <c r="H3148" s="123"/>
    </row>
    <row r="3149" spans="3:8" s="99" customFormat="1" x14ac:dyDescent="0.2">
      <c r="C3149" s="198"/>
      <c r="D3149" s="198"/>
      <c r="E3149" s="537"/>
      <c r="G3149" s="198"/>
      <c r="H3149" s="123"/>
    </row>
    <row r="3150" spans="3:8" s="99" customFormat="1" x14ac:dyDescent="0.2">
      <c r="C3150" s="198"/>
      <c r="D3150" s="198"/>
      <c r="E3150" s="537"/>
      <c r="G3150" s="198"/>
      <c r="H3150" s="123"/>
    </row>
    <row r="3151" spans="3:8" s="99" customFormat="1" x14ac:dyDescent="0.2">
      <c r="C3151" s="198"/>
      <c r="D3151" s="198"/>
      <c r="E3151" s="537"/>
      <c r="G3151" s="198"/>
      <c r="H3151" s="123"/>
    </row>
    <row r="3152" spans="3:8" s="99" customFormat="1" x14ac:dyDescent="0.2">
      <c r="C3152" s="198"/>
      <c r="D3152" s="198"/>
      <c r="E3152" s="537"/>
      <c r="G3152" s="198"/>
      <c r="H3152" s="123"/>
    </row>
    <row r="3153" spans="3:8" s="99" customFormat="1" x14ac:dyDescent="0.2">
      <c r="C3153" s="198"/>
      <c r="D3153" s="198"/>
      <c r="E3153" s="537"/>
      <c r="G3153" s="198"/>
      <c r="H3153" s="123"/>
    </row>
    <row r="3154" spans="3:8" s="99" customFormat="1" x14ac:dyDescent="0.2">
      <c r="C3154" s="198"/>
      <c r="D3154" s="198"/>
      <c r="E3154" s="537"/>
      <c r="G3154" s="198"/>
      <c r="H3154" s="123"/>
    </row>
    <row r="3155" spans="3:8" s="99" customFormat="1" x14ac:dyDescent="0.2">
      <c r="C3155" s="198"/>
      <c r="D3155" s="198"/>
      <c r="E3155" s="537"/>
      <c r="G3155" s="198"/>
      <c r="H3155" s="123"/>
    </row>
    <row r="3156" spans="3:8" s="99" customFormat="1" x14ac:dyDescent="0.2">
      <c r="C3156" s="198"/>
      <c r="D3156" s="198"/>
      <c r="E3156" s="537"/>
      <c r="G3156" s="198"/>
      <c r="H3156" s="123"/>
    </row>
    <row r="3157" spans="3:8" s="99" customFormat="1" x14ac:dyDescent="0.2">
      <c r="C3157" s="198"/>
      <c r="D3157" s="198"/>
      <c r="E3157" s="537"/>
      <c r="G3157" s="198"/>
      <c r="H3157" s="123"/>
    </row>
    <row r="3158" spans="3:8" s="99" customFormat="1" x14ac:dyDescent="0.2">
      <c r="C3158" s="198"/>
      <c r="D3158" s="198"/>
      <c r="E3158" s="537"/>
      <c r="G3158" s="198"/>
      <c r="H3158" s="123"/>
    </row>
    <row r="3159" spans="3:8" s="99" customFormat="1" x14ac:dyDescent="0.2">
      <c r="C3159" s="198"/>
      <c r="D3159" s="198"/>
      <c r="E3159" s="537"/>
      <c r="G3159" s="198"/>
      <c r="H3159" s="123"/>
    </row>
    <row r="3160" spans="3:8" s="99" customFormat="1" x14ac:dyDescent="0.2">
      <c r="C3160" s="198"/>
      <c r="D3160" s="198"/>
      <c r="E3160" s="537"/>
      <c r="G3160" s="198"/>
      <c r="H3160" s="123"/>
    </row>
    <row r="3161" spans="3:8" s="99" customFormat="1" x14ac:dyDescent="0.2">
      <c r="C3161" s="198"/>
      <c r="D3161" s="198"/>
      <c r="E3161" s="537"/>
      <c r="G3161" s="198"/>
      <c r="H3161" s="123"/>
    </row>
    <row r="3162" spans="3:8" s="99" customFormat="1" x14ac:dyDescent="0.2">
      <c r="C3162" s="198"/>
      <c r="D3162" s="198"/>
      <c r="E3162" s="537"/>
      <c r="G3162" s="198"/>
      <c r="H3162" s="123"/>
    </row>
    <row r="3163" spans="3:8" s="99" customFormat="1" x14ac:dyDescent="0.2">
      <c r="C3163" s="198"/>
      <c r="D3163" s="198"/>
      <c r="E3163" s="537"/>
      <c r="G3163" s="198"/>
      <c r="H3163" s="123"/>
    </row>
    <row r="3164" spans="3:8" s="99" customFormat="1" x14ac:dyDescent="0.2">
      <c r="C3164" s="198"/>
      <c r="D3164" s="198"/>
      <c r="E3164" s="537"/>
      <c r="G3164" s="198"/>
      <c r="H3164" s="123"/>
    </row>
    <row r="3165" spans="3:8" s="99" customFormat="1" x14ac:dyDescent="0.2">
      <c r="C3165" s="198"/>
      <c r="D3165" s="198"/>
      <c r="E3165" s="537"/>
      <c r="G3165" s="198"/>
      <c r="H3165" s="123"/>
    </row>
    <row r="3166" spans="3:8" s="99" customFormat="1" x14ac:dyDescent="0.2">
      <c r="C3166" s="198"/>
      <c r="D3166" s="198"/>
      <c r="E3166" s="537"/>
      <c r="G3166" s="198"/>
      <c r="H3166" s="123"/>
    </row>
    <row r="3167" spans="3:8" s="99" customFormat="1" x14ac:dyDescent="0.2">
      <c r="C3167" s="198"/>
      <c r="D3167" s="198"/>
      <c r="E3167" s="537"/>
      <c r="G3167" s="198"/>
      <c r="H3167" s="123"/>
    </row>
    <row r="3168" spans="3:8" s="99" customFormat="1" x14ac:dyDescent="0.2">
      <c r="C3168" s="198"/>
      <c r="D3168" s="198"/>
      <c r="E3168" s="537"/>
      <c r="G3168" s="198"/>
      <c r="H3168" s="123"/>
    </row>
    <row r="3169" spans="3:8" s="99" customFormat="1" x14ac:dyDescent="0.2">
      <c r="C3169" s="198"/>
      <c r="D3169" s="198"/>
      <c r="E3169" s="537"/>
      <c r="G3169" s="198"/>
      <c r="H3169" s="123"/>
    </row>
    <row r="3170" spans="3:8" s="99" customFormat="1" x14ac:dyDescent="0.2">
      <c r="C3170" s="198"/>
      <c r="D3170" s="198"/>
      <c r="E3170" s="537"/>
      <c r="G3170" s="198"/>
      <c r="H3170" s="123"/>
    </row>
    <row r="3171" spans="3:8" s="99" customFormat="1" x14ac:dyDescent="0.2">
      <c r="C3171" s="198"/>
      <c r="D3171" s="198"/>
      <c r="E3171" s="537"/>
      <c r="G3171" s="198"/>
      <c r="H3171" s="123"/>
    </row>
    <row r="3172" spans="3:8" s="99" customFormat="1" x14ac:dyDescent="0.2">
      <c r="C3172" s="198"/>
      <c r="D3172" s="198"/>
      <c r="E3172" s="537"/>
      <c r="G3172" s="198"/>
      <c r="H3172" s="123"/>
    </row>
    <row r="3173" spans="3:8" s="99" customFormat="1" x14ac:dyDescent="0.2">
      <c r="C3173" s="198"/>
      <c r="D3173" s="198"/>
      <c r="E3173" s="537"/>
      <c r="G3173" s="198"/>
      <c r="H3173" s="123"/>
    </row>
    <row r="3174" spans="3:8" s="99" customFormat="1" x14ac:dyDescent="0.2">
      <c r="C3174" s="198"/>
      <c r="D3174" s="198"/>
      <c r="E3174" s="537"/>
      <c r="G3174" s="198"/>
      <c r="H3174" s="123"/>
    </row>
    <row r="3175" spans="3:8" s="99" customFormat="1" x14ac:dyDescent="0.2">
      <c r="C3175" s="198"/>
      <c r="D3175" s="198"/>
      <c r="E3175" s="537"/>
      <c r="G3175" s="198"/>
      <c r="H3175" s="123"/>
    </row>
    <row r="3176" spans="3:8" s="99" customFormat="1" x14ac:dyDescent="0.2">
      <c r="C3176" s="198"/>
      <c r="D3176" s="198"/>
      <c r="E3176" s="537"/>
      <c r="G3176" s="198"/>
      <c r="H3176" s="123"/>
    </row>
    <row r="3177" spans="3:8" s="99" customFormat="1" x14ac:dyDescent="0.2">
      <c r="C3177" s="198"/>
      <c r="D3177" s="198"/>
      <c r="E3177" s="537"/>
      <c r="G3177" s="198"/>
      <c r="H3177" s="123"/>
    </row>
    <row r="3178" spans="3:8" s="99" customFormat="1" x14ac:dyDescent="0.2">
      <c r="C3178" s="198"/>
      <c r="D3178" s="198"/>
      <c r="E3178" s="537"/>
      <c r="G3178" s="198"/>
      <c r="H3178" s="123"/>
    </row>
    <row r="3179" spans="3:8" s="99" customFormat="1" x14ac:dyDescent="0.2">
      <c r="C3179" s="198"/>
      <c r="D3179" s="198"/>
      <c r="E3179" s="537"/>
      <c r="G3179" s="198"/>
      <c r="H3179" s="123"/>
    </row>
    <row r="3180" spans="3:8" s="99" customFormat="1" x14ac:dyDescent="0.2">
      <c r="C3180" s="198"/>
      <c r="D3180" s="198"/>
      <c r="E3180" s="537"/>
      <c r="G3180" s="198"/>
      <c r="H3180" s="123"/>
    </row>
    <row r="3181" spans="3:8" s="99" customFormat="1" x14ac:dyDescent="0.2">
      <c r="C3181" s="198"/>
      <c r="D3181" s="198"/>
      <c r="E3181" s="537"/>
      <c r="G3181" s="198"/>
      <c r="H3181" s="123"/>
    </row>
    <row r="3182" spans="3:8" s="99" customFormat="1" x14ac:dyDescent="0.2">
      <c r="C3182" s="198"/>
      <c r="D3182" s="198"/>
      <c r="E3182" s="537"/>
      <c r="G3182" s="198"/>
      <c r="H3182" s="123"/>
    </row>
    <row r="3183" spans="3:8" s="99" customFormat="1" x14ac:dyDescent="0.2">
      <c r="C3183" s="198"/>
      <c r="D3183" s="198"/>
      <c r="E3183" s="537"/>
      <c r="G3183" s="198"/>
      <c r="H3183" s="123"/>
    </row>
    <row r="3184" spans="3:8" s="99" customFormat="1" x14ac:dyDescent="0.2">
      <c r="C3184" s="198"/>
      <c r="D3184" s="198"/>
      <c r="E3184" s="537"/>
      <c r="G3184" s="198"/>
      <c r="H3184" s="123"/>
    </row>
    <row r="3185" spans="3:8" s="99" customFormat="1" x14ac:dyDescent="0.2">
      <c r="C3185" s="198"/>
      <c r="D3185" s="198"/>
      <c r="E3185" s="537"/>
      <c r="G3185" s="198"/>
      <c r="H3185" s="123"/>
    </row>
    <row r="3186" spans="3:8" s="99" customFormat="1" x14ac:dyDescent="0.2">
      <c r="C3186" s="198"/>
      <c r="D3186" s="198"/>
      <c r="E3186" s="537"/>
      <c r="G3186" s="198"/>
      <c r="H3186" s="123"/>
    </row>
    <row r="3187" spans="3:8" s="99" customFormat="1" x14ac:dyDescent="0.2">
      <c r="C3187" s="198"/>
      <c r="D3187" s="198"/>
      <c r="E3187" s="537"/>
      <c r="G3187" s="198"/>
      <c r="H3187" s="123"/>
    </row>
    <row r="3188" spans="3:8" s="99" customFormat="1" x14ac:dyDescent="0.2">
      <c r="C3188" s="198"/>
      <c r="D3188" s="198"/>
      <c r="E3188" s="537"/>
      <c r="G3188" s="198"/>
      <c r="H3188" s="123"/>
    </row>
    <row r="3189" spans="3:8" s="99" customFormat="1" x14ac:dyDescent="0.2">
      <c r="C3189" s="198"/>
      <c r="D3189" s="198"/>
      <c r="E3189" s="537"/>
      <c r="G3189" s="198"/>
      <c r="H3189" s="123"/>
    </row>
    <row r="3190" spans="3:8" s="99" customFormat="1" x14ac:dyDescent="0.2">
      <c r="C3190" s="198"/>
      <c r="D3190" s="198"/>
      <c r="E3190" s="537"/>
      <c r="G3190" s="198"/>
      <c r="H3190" s="123"/>
    </row>
    <row r="3191" spans="3:8" s="99" customFormat="1" x14ac:dyDescent="0.2">
      <c r="C3191" s="198"/>
      <c r="D3191" s="198"/>
      <c r="E3191" s="537"/>
      <c r="G3191" s="198"/>
      <c r="H3191" s="123"/>
    </row>
    <row r="3192" spans="3:8" s="99" customFormat="1" x14ac:dyDescent="0.2">
      <c r="C3192" s="198"/>
      <c r="D3192" s="198"/>
      <c r="E3192" s="537"/>
      <c r="G3192" s="198"/>
      <c r="H3192" s="123"/>
    </row>
    <row r="3193" spans="3:8" s="99" customFormat="1" x14ac:dyDescent="0.2">
      <c r="C3193" s="198"/>
      <c r="D3193" s="198"/>
      <c r="E3193" s="537"/>
      <c r="G3193" s="198"/>
      <c r="H3193" s="123"/>
    </row>
    <row r="3194" spans="3:8" s="99" customFormat="1" x14ac:dyDescent="0.2">
      <c r="C3194" s="198"/>
      <c r="D3194" s="198"/>
      <c r="E3194" s="537"/>
      <c r="G3194" s="198"/>
      <c r="H3194" s="123"/>
    </row>
    <row r="3195" spans="3:8" s="99" customFormat="1" x14ac:dyDescent="0.2">
      <c r="C3195" s="198"/>
      <c r="D3195" s="198"/>
      <c r="E3195" s="537"/>
      <c r="G3195" s="198"/>
      <c r="H3195" s="123"/>
    </row>
    <row r="3196" spans="3:8" s="99" customFormat="1" x14ac:dyDescent="0.2">
      <c r="C3196" s="198"/>
      <c r="D3196" s="198"/>
      <c r="E3196" s="537"/>
      <c r="G3196" s="198"/>
      <c r="H3196" s="123"/>
    </row>
    <row r="3197" spans="3:8" s="99" customFormat="1" x14ac:dyDescent="0.2">
      <c r="C3197" s="198"/>
      <c r="D3197" s="198"/>
      <c r="E3197" s="537"/>
      <c r="G3197" s="198"/>
      <c r="H3197" s="123"/>
    </row>
    <row r="3198" spans="3:8" s="99" customFormat="1" x14ac:dyDescent="0.2">
      <c r="C3198" s="198"/>
      <c r="D3198" s="198"/>
      <c r="E3198" s="537"/>
      <c r="G3198" s="198"/>
      <c r="H3198" s="123"/>
    </row>
    <row r="3199" spans="3:8" s="99" customFormat="1" x14ac:dyDescent="0.2">
      <c r="C3199" s="198"/>
      <c r="D3199" s="198"/>
      <c r="E3199" s="537"/>
      <c r="G3199" s="198"/>
      <c r="H3199" s="123"/>
    </row>
    <row r="3200" spans="3:8" s="99" customFormat="1" x14ac:dyDescent="0.2">
      <c r="C3200" s="198"/>
      <c r="D3200" s="198"/>
      <c r="E3200" s="537"/>
      <c r="G3200" s="198"/>
      <c r="H3200" s="123"/>
    </row>
    <row r="3201" spans="3:8" s="99" customFormat="1" x14ac:dyDescent="0.2">
      <c r="C3201" s="198"/>
      <c r="D3201" s="198"/>
      <c r="E3201" s="537"/>
      <c r="G3201" s="198"/>
      <c r="H3201" s="123"/>
    </row>
    <row r="3202" spans="3:8" s="99" customFormat="1" x14ac:dyDescent="0.2">
      <c r="C3202" s="198"/>
      <c r="D3202" s="198"/>
      <c r="E3202" s="537"/>
      <c r="G3202" s="198"/>
      <c r="H3202" s="123"/>
    </row>
    <row r="3203" spans="3:8" s="99" customFormat="1" x14ac:dyDescent="0.2">
      <c r="C3203" s="198"/>
      <c r="D3203" s="198"/>
      <c r="E3203" s="537"/>
      <c r="G3203" s="198"/>
      <c r="H3203" s="123"/>
    </row>
    <row r="3204" spans="3:8" s="99" customFormat="1" x14ac:dyDescent="0.2">
      <c r="C3204" s="198"/>
      <c r="D3204" s="198"/>
      <c r="E3204" s="537"/>
      <c r="G3204" s="198"/>
      <c r="H3204" s="123"/>
    </row>
    <row r="3205" spans="3:8" s="99" customFormat="1" x14ac:dyDescent="0.2">
      <c r="C3205" s="198"/>
      <c r="D3205" s="198"/>
      <c r="E3205" s="537"/>
      <c r="G3205" s="198"/>
      <c r="H3205" s="123"/>
    </row>
    <row r="3206" spans="3:8" s="99" customFormat="1" x14ac:dyDescent="0.2">
      <c r="C3206" s="198"/>
      <c r="D3206" s="198"/>
      <c r="E3206" s="537"/>
      <c r="G3206" s="198"/>
      <c r="H3206" s="123"/>
    </row>
    <row r="3207" spans="3:8" s="99" customFormat="1" x14ac:dyDescent="0.2">
      <c r="C3207" s="198"/>
      <c r="D3207" s="198"/>
      <c r="E3207" s="537"/>
      <c r="G3207" s="198"/>
      <c r="H3207" s="123"/>
    </row>
    <row r="3208" spans="3:8" s="99" customFormat="1" x14ac:dyDescent="0.2">
      <c r="C3208" s="198"/>
      <c r="D3208" s="198"/>
      <c r="E3208" s="537"/>
      <c r="G3208" s="198"/>
      <c r="H3208" s="123"/>
    </row>
    <row r="3209" spans="3:8" s="99" customFormat="1" x14ac:dyDescent="0.2">
      <c r="C3209" s="198"/>
      <c r="D3209" s="198"/>
      <c r="E3209" s="537"/>
      <c r="G3209" s="198"/>
      <c r="H3209" s="123"/>
    </row>
    <row r="3210" spans="3:8" s="99" customFormat="1" x14ac:dyDescent="0.2">
      <c r="C3210" s="198"/>
      <c r="D3210" s="198"/>
      <c r="E3210" s="537"/>
      <c r="G3210" s="198"/>
      <c r="H3210" s="123"/>
    </row>
    <row r="3211" spans="3:8" s="99" customFormat="1" x14ac:dyDescent="0.2">
      <c r="C3211" s="198"/>
      <c r="D3211" s="198"/>
      <c r="E3211" s="537"/>
      <c r="G3211" s="198"/>
      <c r="H3211" s="123"/>
    </row>
    <row r="3212" spans="3:8" s="99" customFormat="1" x14ac:dyDescent="0.2">
      <c r="C3212" s="198"/>
      <c r="D3212" s="198"/>
      <c r="E3212" s="537"/>
      <c r="G3212" s="198"/>
      <c r="H3212" s="123"/>
    </row>
    <row r="3213" spans="3:8" s="99" customFormat="1" x14ac:dyDescent="0.2">
      <c r="C3213" s="198"/>
      <c r="D3213" s="198"/>
      <c r="E3213" s="537"/>
      <c r="G3213" s="198"/>
      <c r="H3213" s="123"/>
    </row>
    <row r="3214" spans="3:8" s="99" customFormat="1" x14ac:dyDescent="0.2">
      <c r="C3214" s="198"/>
      <c r="D3214" s="198"/>
      <c r="E3214" s="537"/>
      <c r="G3214" s="198"/>
      <c r="H3214" s="123"/>
    </row>
    <row r="3215" spans="3:8" s="99" customFormat="1" x14ac:dyDescent="0.2">
      <c r="C3215" s="198"/>
      <c r="D3215" s="198"/>
      <c r="E3215" s="537"/>
      <c r="G3215" s="198"/>
      <c r="H3215" s="123"/>
    </row>
    <row r="3216" spans="3:8" s="99" customFormat="1" x14ac:dyDescent="0.2">
      <c r="C3216" s="198"/>
      <c r="D3216" s="198"/>
      <c r="E3216" s="537"/>
      <c r="G3216" s="198"/>
      <c r="H3216" s="123"/>
    </row>
    <row r="3217" spans="3:8" s="99" customFormat="1" x14ac:dyDescent="0.2">
      <c r="C3217" s="198"/>
      <c r="D3217" s="198"/>
      <c r="E3217" s="537"/>
      <c r="G3217" s="198"/>
      <c r="H3217" s="123"/>
    </row>
    <row r="3218" spans="3:8" s="99" customFormat="1" x14ac:dyDescent="0.2">
      <c r="C3218" s="198"/>
      <c r="D3218" s="198"/>
      <c r="E3218" s="537"/>
      <c r="G3218" s="198"/>
      <c r="H3218" s="123"/>
    </row>
    <row r="3219" spans="3:8" s="99" customFormat="1" x14ac:dyDescent="0.2">
      <c r="C3219" s="198"/>
      <c r="D3219" s="198"/>
      <c r="E3219" s="537"/>
      <c r="G3219" s="198"/>
      <c r="H3219" s="123"/>
    </row>
    <row r="3220" spans="3:8" s="99" customFormat="1" x14ac:dyDescent="0.2">
      <c r="C3220" s="198"/>
      <c r="D3220" s="198"/>
      <c r="E3220" s="537"/>
      <c r="G3220" s="198"/>
      <c r="H3220" s="123"/>
    </row>
    <row r="3221" spans="3:8" s="99" customFormat="1" x14ac:dyDescent="0.2">
      <c r="C3221" s="198"/>
      <c r="D3221" s="198"/>
      <c r="E3221" s="537"/>
      <c r="G3221" s="198"/>
      <c r="H3221" s="123"/>
    </row>
    <row r="3222" spans="3:8" s="99" customFormat="1" x14ac:dyDescent="0.2">
      <c r="C3222" s="198"/>
      <c r="D3222" s="198"/>
      <c r="E3222" s="537"/>
      <c r="G3222" s="198"/>
      <c r="H3222" s="123"/>
    </row>
    <row r="3223" spans="3:8" s="99" customFormat="1" x14ac:dyDescent="0.2">
      <c r="C3223" s="198"/>
      <c r="D3223" s="198"/>
      <c r="E3223" s="537"/>
      <c r="G3223" s="198"/>
      <c r="H3223" s="123"/>
    </row>
    <row r="3224" spans="3:8" s="99" customFormat="1" x14ac:dyDescent="0.2">
      <c r="C3224" s="198"/>
      <c r="D3224" s="198"/>
      <c r="E3224" s="537"/>
      <c r="G3224" s="198"/>
      <c r="H3224" s="123"/>
    </row>
    <row r="3225" spans="3:8" s="99" customFormat="1" x14ac:dyDescent="0.2">
      <c r="C3225" s="198"/>
      <c r="D3225" s="198"/>
      <c r="E3225" s="537"/>
      <c r="G3225" s="198"/>
      <c r="H3225" s="123"/>
    </row>
    <row r="3226" spans="3:8" s="99" customFormat="1" x14ac:dyDescent="0.2">
      <c r="C3226" s="198"/>
      <c r="D3226" s="198"/>
      <c r="E3226" s="537"/>
      <c r="G3226" s="198"/>
      <c r="H3226" s="123"/>
    </row>
    <row r="3227" spans="3:8" s="99" customFormat="1" x14ac:dyDescent="0.2">
      <c r="C3227" s="198"/>
      <c r="D3227" s="198"/>
      <c r="E3227" s="537"/>
      <c r="G3227" s="198"/>
      <c r="H3227" s="123"/>
    </row>
    <row r="3228" spans="3:8" s="99" customFormat="1" x14ac:dyDescent="0.2">
      <c r="C3228" s="198"/>
      <c r="D3228" s="198"/>
      <c r="E3228" s="537"/>
      <c r="G3228" s="198"/>
      <c r="H3228" s="123"/>
    </row>
    <row r="3229" spans="3:8" s="99" customFormat="1" x14ac:dyDescent="0.2">
      <c r="C3229" s="198"/>
      <c r="D3229" s="198"/>
      <c r="E3229" s="537"/>
      <c r="G3229" s="198"/>
      <c r="H3229" s="123"/>
    </row>
    <row r="3230" spans="3:8" s="99" customFormat="1" x14ac:dyDescent="0.2">
      <c r="C3230" s="198"/>
      <c r="D3230" s="198"/>
      <c r="E3230" s="537"/>
      <c r="G3230" s="198"/>
      <c r="H3230" s="123"/>
    </row>
    <row r="3231" spans="3:8" s="99" customFormat="1" x14ac:dyDescent="0.2">
      <c r="C3231" s="198"/>
      <c r="D3231" s="198"/>
      <c r="E3231" s="537"/>
      <c r="G3231" s="198"/>
      <c r="H3231" s="123"/>
    </row>
    <row r="3232" spans="3:8" s="99" customFormat="1" x14ac:dyDescent="0.2">
      <c r="C3232" s="198"/>
      <c r="D3232" s="198"/>
      <c r="E3232" s="537"/>
      <c r="G3232" s="198"/>
      <c r="H3232" s="123"/>
    </row>
    <row r="3233" spans="3:8" s="99" customFormat="1" x14ac:dyDescent="0.2">
      <c r="C3233" s="198"/>
      <c r="D3233" s="198"/>
      <c r="E3233" s="537"/>
      <c r="G3233" s="198"/>
      <c r="H3233" s="123"/>
    </row>
    <row r="3234" spans="3:8" s="99" customFormat="1" x14ac:dyDescent="0.2">
      <c r="C3234" s="198"/>
      <c r="D3234" s="198"/>
      <c r="E3234" s="537"/>
      <c r="G3234" s="198"/>
      <c r="H3234" s="123"/>
    </row>
    <row r="3235" spans="3:8" s="99" customFormat="1" x14ac:dyDescent="0.2">
      <c r="C3235" s="198"/>
      <c r="D3235" s="198"/>
      <c r="E3235" s="537"/>
      <c r="G3235" s="198"/>
      <c r="H3235" s="123"/>
    </row>
    <row r="3236" spans="3:8" s="99" customFormat="1" x14ac:dyDescent="0.2">
      <c r="C3236" s="198"/>
      <c r="D3236" s="198"/>
      <c r="E3236" s="537"/>
      <c r="G3236" s="198"/>
      <c r="H3236" s="123"/>
    </row>
    <row r="3237" spans="3:8" s="99" customFormat="1" x14ac:dyDescent="0.2">
      <c r="C3237" s="198"/>
      <c r="D3237" s="198"/>
      <c r="E3237" s="537"/>
      <c r="G3237" s="198"/>
      <c r="H3237" s="123"/>
    </row>
    <row r="3238" spans="3:8" s="99" customFormat="1" x14ac:dyDescent="0.2">
      <c r="C3238" s="198"/>
      <c r="D3238" s="198"/>
      <c r="E3238" s="537"/>
      <c r="G3238" s="198"/>
      <c r="H3238" s="123"/>
    </row>
    <row r="3239" spans="3:8" s="99" customFormat="1" x14ac:dyDescent="0.2">
      <c r="C3239" s="198"/>
      <c r="D3239" s="198"/>
      <c r="E3239" s="537"/>
      <c r="G3239" s="198"/>
      <c r="H3239" s="123"/>
    </row>
    <row r="3240" spans="3:8" s="99" customFormat="1" x14ac:dyDescent="0.2">
      <c r="C3240" s="198"/>
      <c r="D3240" s="198"/>
      <c r="E3240" s="537"/>
      <c r="G3240" s="198"/>
      <c r="H3240" s="123"/>
    </row>
    <row r="3241" spans="3:8" s="99" customFormat="1" x14ac:dyDescent="0.2">
      <c r="C3241" s="198"/>
      <c r="D3241" s="198"/>
      <c r="E3241" s="537"/>
      <c r="G3241" s="198"/>
      <c r="H3241" s="123"/>
    </row>
    <row r="3242" spans="3:8" s="99" customFormat="1" x14ac:dyDescent="0.2">
      <c r="C3242" s="198"/>
      <c r="D3242" s="198"/>
      <c r="E3242" s="537"/>
      <c r="G3242" s="198"/>
      <c r="H3242" s="123"/>
    </row>
    <row r="3243" spans="3:8" s="99" customFormat="1" x14ac:dyDescent="0.2">
      <c r="C3243" s="198"/>
      <c r="D3243" s="198"/>
      <c r="E3243" s="537"/>
      <c r="G3243" s="198"/>
      <c r="H3243" s="123"/>
    </row>
    <row r="3244" spans="3:8" s="99" customFormat="1" x14ac:dyDescent="0.2">
      <c r="C3244" s="198"/>
      <c r="D3244" s="198"/>
      <c r="E3244" s="537"/>
      <c r="G3244" s="198"/>
      <c r="H3244" s="123"/>
    </row>
    <row r="3245" spans="3:8" s="99" customFormat="1" x14ac:dyDescent="0.2">
      <c r="C3245" s="198"/>
      <c r="D3245" s="198"/>
      <c r="E3245" s="537"/>
      <c r="G3245" s="198"/>
      <c r="H3245" s="123"/>
    </row>
    <row r="3246" spans="3:8" s="99" customFormat="1" x14ac:dyDescent="0.2">
      <c r="C3246" s="198"/>
      <c r="D3246" s="198"/>
      <c r="E3246" s="537"/>
      <c r="G3246" s="198"/>
      <c r="H3246" s="123"/>
    </row>
    <row r="3247" spans="3:8" s="99" customFormat="1" x14ac:dyDescent="0.2">
      <c r="C3247" s="198"/>
      <c r="D3247" s="198"/>
      <c r="E3247" s="537"/>
      <c r="G3247" s="198"/>
      <c r="H3247" s="123"/>
    </row>
    <row r="3248" spans="3:8" s="99" customFormat="1" x14ac:dyDescent="0.2">
      <c r="C3248" s="198"/>
      <c r="D3248" s="198"/>
      <c r="E3248" s="537"/>
      <c r="G3248" s="198"/>
      <c r="H3248" s="123"/>
    </row>
    <row r="3249" spans="3:8" s="99" customFormat="1" x14ac:dyDescent="0.2">
      <c r="C3249" s="198"/>
      <c r="D3249" s="198"/>
      <c r="E3249" s="537"/>
      <c r="G3249" s="198"/>
      <c r="H3249" s="123"/>
    </row>
    <row r="3250" spans="3:8" s="99" customFormat="1" x14ac:dyDescent="0.2">
      <c r="C3250" s="198"/>
      <c r="D3250" s="198"/>
      <c r="E3250" s="537"/>
      <c r="G3250" s="198"/>
      <c r="H3250" s="123"/>
    </row>
    <row r="3251" spans="3:8" s="99" customFormat="1" x14ac:dyDescent="0.2">
      <c r="C3251" s="198"/>
      <c r="D3251" s="198"/>
      <c r="E3251" s="537"/>
      <c r="G3251" s="198"/>
      <c r="H3251" s="123"/>
    </row>
    <row r="3252" spans="3:8" s="99" customFormat="1" x14ac:dyDescent="0.2">
      <c r="C3252" s="198"/>
      <c r="D3252" s="198"/>
      <c r="E3252" s="537"/>
      <c r="G3252" s="198"/>
      <c r="H3252" s="123"/>
    </row>
    <row r="3253" spans="3:8" s="99" customFormat="1" x14ac:dyDescent="0.2">
      <c r="C3253" s="198"/>
      <c r="D3253" s="198"/>
      <c r="E3253" s="537"/>
      <c r="G3253" s="198"/>
      <c r="H3253" s="123"/>
    </row>
    <row r="3254" spans="3:8" s="99" customFormat="1" x14ac:dyDescent="0.2">
      <c r="C3254" s="198"/>
      <c r="D3254" s="198"/>
      <c r="E3254" s="537"/>
      <c r="G3254" s="198"/>
      <c r="H3254" s="123"/>
    </row>
    <row r="3255" spans="3:8" s="99" customFormat="1" x14ac:dyDescent="0.2">
      <c r="C3255" s="198"/>
      <c r="D3255" s="198"/>
      <c r="E3255" s="537"/>
      <c r="G3255" s="198"/>
      <c r="H3255" s="123"/>
    </row>
    <row r="3256" spans="3:8" s="99" customFormat="1" x14ac:dyDescent="0.2">
      <c r="C3256" s="198"/>
      <c r="D3256" s="198"/>
      <c r="E3256" s="537"/>
      <c r="G3256" s="198"/>
      <c r="H3256" s="123"/>
    </row>
    <row r="3257" spans="3:8" s="99" customFormat="1" x14ac:dyDescent="0.2">
      <c r="C3257" s="198"/>
      <c r="D3257" s="198"/>
      <c r="E3257" s="537"/>
      <c r="G3257" s="198"/>
      <c r="H3257" s="123"/>
    </row>
    <row r="3258" spans="3:8" s="99" customFormat="1" x14ac:dyDescent="0.2">
      <c r="C3258" s="198"/>
      <c r="D3258" s="198"/>
      <c r="E3258" s="537"/>
      <c r="G3258" s="198"/>
      <c r="H3258" s="123"/>
    </row>
    <row r="3259" spans="3:8" s="99" customFormat="1" x14ac:dyDescent="0.2">
      <c r="C3259" s="198"/>
      <c r="D3259" s="198"/>
      <c r="E3259" s="537"/>
      <c r="G3259" s="198"/>
      <c r="H3259" s="123"/>
    </row>
    <row r="3260" spans="3:8" s="99" customFormat="1" x14ac:dyDescent="0.2">
      <c r="C3260" s="198"/>
      <c r="D3260" s="198"/>
      <c r="E3260" s="537"/>
      <c r="G3260" s="198"/>
      <c r="H3260" s="123"/>
    </row>
    <row r="3261" spans="3:8" s="99" customFormat="1" x14ac:dyDescent="0.2">
      <c r="C3261" s="198"/>
      <c r="D3261" s="198"/>
      <c r="E3261" s="537"/>
      <c r="G3261" s="198"/>
      <c r="H3261" s="123"/>
    </row>
    <row r="3262" spans="3:8" s="99" customFormat="1" x14ac:dyDescent="0.2">
      <c r="C3262" s="198"/>
      <c r="D3262" s="198"/>
      <c r="E3262" s="537"/>
      <c r="G3262" s="198"/>
      <c r="H3262" s="123"/>
    </row>
    <row r="3263" spans="3:8" s="99" customFormat="1" x14ac:dyDescent="0.2">
      <c r="C3263" s="198"/>
      <c r="D3263" s="198"/>
      <c r="E3263" s="537"/>
      <c r="G3263" s="198"/>
      <c r="H3263" s="123"/>
    </row>
    <row r="3264" spans="3:8" s="99" customFormat="1" x14ac:dyDescent="0.2">
      <c r="C3264" s="198"/>
      <c r="D3264" s="198"/>
      <c r="E3264" s="537"/>
      <c r="G3264" s="198"/>
      <c r="H3264" s="123"/>
    </row>
    <row r="3265" spans="3:8" s="99" customFormat="1" x14ac:dyDescent="0.2">
      <c r="C3265" s="198"/>
      <c r="D3265" s="198"/>
      <c r="E3265" s="537"/>
      <c r="G3265" s="198"/>
      <c r="H3265" s="123"/>
    </row>
    <row r="3266" spans="3:8" s="99" customFormat="1" x14ac:dyDescent="0.2">
      <c r="C3266" s="198"/>
      <c r="D3266" s="198"/>
      <c r="E3266" s="537"/>
      <c r="G3266" s="198"/>
      <c r="H3266" s="123"/>
    </row>
    <row r="3267" spans="3:8" s="99" customFormat="1" x14ac:dyDescent="0.2">
      <c r="C3267" s="198"/>
      <c r="D3267" s="198"/>
      <c r="E3267" s="537"/>
      <c r="G3267" s="198"/>
      <c r="H3267" s="123"/>
    </row>
    <row r="3268" spans="3:8" s="99" customFormat="1" x14ac:dyDescent="0.2">
      <c r="C3268" s="198"/>
      <c r="D3268" s="198"/>
      <c r="E3268" s="537"/>
      <c r="G3268" s="198"/>
      <c r="H3268" s="123"/>
    </row>
    <row r="3269" spans="3:8" s="99" customFormat="1" x14ac:dyDescent="0.2">
      <c r="C3269" s="198"/>
      <c r="D3269" s="198"/>
      <c r="E3269" s="537"/>
      <c r="G3269" s="198"/>
      <c r="H3269" s="123"/>
    </row>
    <row r="3270" spans="3:8" s="99" customFormat="1" x14ac:dyDescent="0.2">
      <c r="C3270" s="198"/>
      <c r="D3270" s="198"/>
      <c r="E3270" s="537"/>
      <c r="G3270" s="198"/>
      <c r="H3270" s="123"/>
    </row>
    <row r="3271" spans="3:8" s="99" customFormat="1" x14ac:dyDescent="0.2">
      <c r="C3271" s="198"/>
      <c r="D3271" s="198"/>
      <c r="E3271" s="537"/>
      <c r="G3271" s="198"/>
      <c r="H3271" s="123"/>
    </row>
    <row r="3272" spans="3:8" s="99" customFormat="1" x14ac:dyDescent="0.2">
      <c r="C3272" s="198"/>
      <c r="D3272" s="198"/>
      <c r="E3272" s="537"/>
      <c r="G3272" s="198"/>
      <c r="H3272" s="123"/>
    </row>
    <row r="3273" spans="3:8" s="99" customFormat="1" x14ac:dyDescent="0.2">
      <c r="C3273" s="198"/>
      <c r="D3273" s="198"/>
      <c r="E3273" s="537"/>
      <c r="G3273" s="198"/>
      <c r="H3273" s="123"/>
    </row>
    <row r="3274" spans="3:8" s="99" customFormat="1" x14ac:dyDescent="0.2">
      <c r="C3274" s="198"/>
      <c r="D3274" s="198"/>
      <c r="E3274" s="537"/>
      <c r="G3274" s="198"/>
      <c r="H3274" s="123"/>
    </row>
    <row r="3275" spans="3:8" s="99" customFormat="1" x14ac:dyDescent="0.2">
      <c r="C3275" s="198"/>
      <c r="D3275" s="198"/>
      <c r="E3275" s="537"/>
      <c r="G3275" s="198"/>
      <c r="H3275" s="123"/>
    </row>
    <row r="3276" spans="3:8" s="99" customFormat="1" x14ac:dyDescent="0.2">
      <c r="C3276" s="198"/>
      <c r="D3276" s="198"/>
      <c r="E3276" s="537"/>
      <c r="G3276" s="198"/>
      <c r="H3276" s="123"/>
    </row>
    <row r="3277" spans="3:8" s="99" customFormat="1" x14ac:dyDescent="0.2">
      <c r="C3277" s="198"/>
      <c r="D3277" s="198"/>
      <c r="E3277" s="537"/>
      <c r="G3277" s="198"/>
      <c r="H3277" s="123"/>
    </row>
    <row r="3278" spans="3:8" s="99" customFormat="1" x14ac:dyDescent="0.2">
      <c r="C3278" s="198"/>
      <c r="D3278" s="198"/>
      <c r="E3278" s="537"/>
      <c r="G3278" s="198"/>
      <c r="H3278" s="123"/>
    </row>
    <row r="3279" spans="3:8" s="99" customFormat="1" x14ac:dyDescent="0.2">
      <c r="C3279" s="198"/>
      <c r="D3279" s="198"/>
      <c r="E3279" s="537"/>
      <c r="G3279" s="198"/>
      <c r="H3279" s="123"/>
    </row>
    <row r="3280" spans="3:8" s="99" customFormat="1" x14ac:dyDescent="0.2">
      <c r="C3280" s="198"/>
      <c r="D3280" s="198"/>
      <c r="E3280" s="537"/>
      <c r="G3280" s="198"/>
      <c r="H3280" s="123"/>
    </row>
    <row r="3281" spans="3:8" s="99" customFormat="1" x14ac:dyDescent="0.2">
      <c r="C3281" s="198"/>
      <c r="D3281" s="198"/>
      <c r="E3281" s="537"/>
      <c r="G3281" s="198"/>
      <c r="H3281" s="123"/>
    </row>
    <row r="3282" spans="3:8" s="99" customFormat="1" x14ac:dyDescent="0.2">
      <c r="C3282" s="198"/>
      <c r="D3282" s="198"/>
      <c r="E3282" s="537"/>
      <c r="G3282" s="198"/>
      <c r="H3282" s="123"/>
    </row>
    <row r="3283" spans="3:8" s="99" customFormat="1" x14ac:dyDescent="0.2">
      <c r="C3283" s="198"/>
      <c r="D3283" s="198"/>
      <c r="E3283" s="537"/>
      <c r="G3283" s="198"/>
      <c r="H3283" s="123"/>
    </row>
    <row r="3284" spans="3:8" s="99" customFormat="1" x14ac:dyDescent="0.2">
      <c r="C3284" s="198"/>
      <c r="D3284" s="198"/>
      <c r="E3284" s="537"/>
      <c r="G3284" s="198"/>
      <c r="H3284" s="123"/>
    </row>
    <row r="3285" spans="3:8" s="99" customFormat="1" x14ac:dyDescent="0.2">
      <c r="C3285" s="198"/>
      <c r="D3285" s="198"/>
      <c r="E3285" s="537"/>
      <c r="G3285" s="198"/>
      <c r="H3285" s="123"/>
    </row>
    <row r="3286" spans="3:8" s="99" customFormat="1" x14ac:dyDescent="0.2">
      <c r="C3286" s="198"/>
      <c r="D3286" s="198"/>
      <c r="E3286" s="537"/>
      <c r="G3286" s="198"/>
      <c r="H3286" s="123"/>
    </row>
    <row r="3287" spans="3:8" s="99" customFormat="1" x14ac:dyDescent="0.2">
      <c r="C3287" s="198"/>
      <c r="D3287" s="198"/>
      <c r="E3287" s="537"/>
      <c r="G3287" s="198"/>
      <c r="H3287" s="123"/>
    </row>
    <row r="3288" spans="3:8" s="99" customFormat="1" x14ac:dyDescent="0.2">
      <c r="C3288" s="198"/>
      <c r="D3288" s="198"/>
      <c r="E3288" s="537"/>
      <c r="G3288" s="198"/>
      <c r="H3288" s="123"/>
    </row>
    <row r="3289" spans="3:8" s="99" customFormat="1" x14ac:dyDescent="0.2">
      <c r="C3289" s="198"/>
      <c r="D3289" s="198"/>
      <c r="E3289" s="537"/>
      <c r="G3289" s="198"/>
      <c r="H3289" s="123"/>
    </row>
    <row r="3290" spans="3:8" s="99" customFormat="1" x14ac:dyDescent="0.2">
      <c r="C3290" s="198"/>
      <c r="D3290" s="198"/>
      <c r="E3290" s="537"/>
      <c r="G3290" s="198"/>
      <c r="H3290" s="123"/>
    </row>
    <row r="3291" spans="3:8" s="99" customFormat="1" x14ac:dyDescent="0.2">
      <c r="C3291" s="198"/>
      <c r="D3291" s="198"/>
      <c r="E3291" s="537"/>
      <c r="G3291" s="198"/>
      <c r="H3291" s="123"/>
    </row>
    <row r="3292" spans="3:8" s="99" customFormat="1" x14ac:dyDescent="0.2">
      <c r="C3292" s="198"/>
      <c r="D3292" s="198"/>
      <c r="E3292" s="537"/>
      <c r="G3292" s="198"/>
      <c r="H3292" s="123"/>
    </row>
    <row r="3293" spans="3:8" s="99" customFormat="1" x14ac:dyDescent="0.2">
      <c r="C3293" s="198"/>
      <c r="D3293" s="198"/>
      <c r="E3293" s="537"/>
      <c r="G3293" s="198"/>
      <c r="H3293" s="123"/>
    </row>
    <row r="3294" spans="3:8" s="99" customFormat="1" x14ac:dyDescent="0.2">
      <c r="C3294" s="198"/>
      <c r="D3294" s="198"/>
      <c r="E3294" s="537"/>
      <c r="G3294" s="198"/>
      <c r="H3294" s="123"/>
    </row>
    <row r="3295" spans="3:8" s="99" customFormat="1" x14ac:dyDescent="0.2">
      <c r="C3295" s="198"/>
      <c r="D3295" s="198"/>
      <c r="E3295" s="537"/>
      <c r="G3295" s="198"/>
      <c r="H3295" s="123"/>
    </row>
    <row r="3296" spans="3:8" s="99" customFormat="1" x14ac:dyDescent="0.2">
      <c r="C3296" s="198"/>
      <c r="D3296" s="198"/>
      <c r="E3296" s="537"/>
      <c r="G3296" s="198"/>
      <c r="H3296" s="123"/>
    </row>
    <row r="3297" spans="3:8" s="99" customFormat="1" x14ac:dyDescent="0.2">
      <c r="C3297" s="198"/>
      <c r="D3297" s="198"/>
      <c r="E3297" s="537"/>
      <c r="G3297" s="198"/>
      <c r="H3297" s="123"/>
    </row>
    <row r="3298" spans="3:8" s="99" customFormat="1" x14ac:dyDescent="0.2">
      <c r="C3298" s="198"/>
      <c r="D3298" s="198"/>
      <c r="E3298" s="537"/>
      <c r="G3298" s="198"/>
      <c r="H3298" s="123"/>
    </row>
    <row r="3299" spans="3:8" s="99" customFormat="1" x14ac:dyDescent="0.2">
      <c r="C3299" s="198"/>
      <c r="D3299" s="198"/>
      <c r="E3299" s="537"/>
      <c r="G3299" s="198"/>
      <c r="H3299" s="123"/>
    </row>
    <row r="3300" spans="3:8" s="99" customFormat="1" x14ac:dyDescent="0.2">
      <c r="C3300" s="198"/>
      <c r="D3300" s="198"/>
      <c r="E3300" s="537"/>
      <c r="G3300" s="198"/>
      <c r="H3300" s="123"/>
    </row>
    <row r="3301" spans="3:8" s="99" customFormat="1" x14ac:dyDescent="0.2">
      <c r="C3301" s="198"/>
      <c r="D3301" s="198"/>
      <c r="E3301" s="537"/>
      <c r="G3301" s="198"/>
      <c r="H3301" s="123"/>
    </row>
    <row r="3302" spans="3:8" s="99" customFormat="1" x14ac:dyDescent="0.2">
      <c r="C3302" s="198"/>
      <c r="D3302" s="198"/>
      <c r="E3302" s="537"/>
      <c r="G3302" s="198"/>
      <c r="H3302" s="123"/>
    </row>
    <row r="3303" spans="3:8" s="99" customFormat="1" x14ac:dyDescent="0.2">
      <c r="C3303" s="198"/>
      <c r="D3303" s="198"/>
      <c r="E3303" s="537"/>
      <c r="G3303" s="198"/>
      <c r="H3303" s="123"/>
    </row>
    <row r="3304" spans="3:8" s="99" customFormat="1" x14ac:dyDescent="0.2">
      <c r="C3304" s="198"/>
      <c r="D3304" s="198"/>
      <c r="E3304" s="537"/>
      <c r="G3304" s="198"/>
      <c r="H3304" s="123"/>
    </row>
    <row r="3305" spans="3:8" s="99" customFormat="1" x14ac:dyDescent="0.2">
      <c r="C3305" s="198"/>
      <c r="D3305" s="198"/>
      <c r="E3305" s="537"/>
      <c r="G3305" s="198"/>
      <c r="H3305" s="123"/>
    </row>
    <row r="3306" spans="3:8" s="99" customFormat="1" x14ac:dyDescent="0.2">
      <c r="C3306" s="198"/>
      <c r="D3306" s="198"/>
      <c r="E3306" s="537"/>
      <c r="G3306" s="198"/>
      <c r="H3306" s="123"/>
    </row>
    <row r="3307" spans="3:8" s="99" customFormat="1" x14ac:dyDescent="0.2">
      <c r="C3307" s="198"/>
      <c r="D3307" s="198"/>
      <c r="E3307" s="537"/>
      <c r="G3307" s="198"/>
      <c r="H3307" s="123"/>
    </row>
    <row r="3308" spans="3:8" s="99" customFormat="1" x14ac:dyDescent="0.2">
      <c r="C3308" s="198"/>
      <c r="D3308" s="198"/>
      <c r="E3308" s="537"/>
      <c r="G3308" s="198"/>
      <c r="H3308" s="123"/>
    </row>
    <row r="3309" spans="3:8" s="99" customFormat="1" x14ac:dyDescent="0.2">
      <c r="C3309" s="198"/>
      <c r="D3309" s="198"/>
      <c r="E3309" s="537"/>
      <c r="G3309" s="198"/>
      <c r="H3309" s="123"/>
    </row>
    <row r="3310" spans="3:8" s="99" customFormat="1" x14ac:dyDescent="0.2">
      <c r="C3310" s="198"/>
      <c r="D3310" s="198"/>
      <c r="E3310" s="537"/>
      <c r="G3310" s="198"/>
      <c r="H3310" s="123"/>
    </row>
    <row r="3311" spans="3:8" s="99" customFormat="1" x14ac:dyDescent="0.2">
      <c r="C3311" s="198"/>
      <c r="D3311" s="198"/>
      <c r="E3311" s="537"/>
      <c r="G3311" s="198"/>
      <c r="H3311" s="123"/>
    </row>
    <row r="3312" spans="3:8" s="99" customFormat="1" x14ac:dyDescent="0.2">
      <c r="C3312" s="198"/>
      <c r="D3312" s="198"/>
      <c r="E3312" s="537"/>
      <c r="G3312" s="198"/>
      <c r="H3312" s="123"/>
    </row>
    <row r="3313" spans="3:8" s="99" customFormat="1" x14ac:dyDescent="0.2">
      <c r="C3313" s="198"/>
      <c r="D3313" s="198"/>
      <c r="E3313" s="537"/>
      <c r="G3313" s="198"/>
      <c r="H3313" s="123"/>
    </row>
    <row r="3314" spans="3:8" s="99" customFormat="1" x14ac:dyDescent="0.2">
      <c r="C3314" s="198"/>
      <c r="D3314" s="198"/>
      <c r="E3314" s="537"/>
      <c r="G3314" s="198"/>
      <c r="H3314" s="123"/>
    </row>
    <row r="3315" spans="3:8" s="99" customFormat="1" x14ac:dyDescent="0.2">
      <c r="C3315" s="198"/>
      <c r="D3315" s="198"/>
      <c r="E3315" s="537"/>
      <c r="G3315" s="198"/>
      <c r="H3315" s="123"/>
    </row>
    <row r="3316" spans="3:8" s="99" customFormat="1" x14ac:dyDescent="0.2">
      <c r="C3316" s="198"/>
      <c r="D3316" s="198"/>
      <c r="E3316" s="537"/>
      <c r="G3316" s="198"/>
      <c r="H3316" s="123"/>
    </row>
    <row r="3317" spans="3:8" s="99" customFormat="1" x14ac:dyDescent="0.2">
      <c r="C3317" s="198"/>
      <c r="D3317" s="198"/>
      <c r="E3317" s="537"/>
      <c r="G3317" s="198"/>
      <c r="H3317" s="123"/>
    </row>
    <row r="3318" spans="3:8" s="99" customFormat="1" x14ac:dyDescent="0.2">
      <c r="C3318" s="198"/>
      <c r="D3318" s="198"/>
      <c r="E3318" s="537"/>
      <c r="G3318" s="198"/>
      <c r="H3318" s="123"/>
    </row>
    <row r="3319" spans="3:8" s="99" customFormat="1" x14ac:dyDescent="0.2">
      <c r="C3319" s="198"/>
      <c r="D3319" s="198"/>
      <c r="E3319" s="537"/>
      <c r="G3319" s="198"/>
      <c r="H3319" s="123"/>
    </row>
    <row r="3320" spans="3:8" s="99" customFormat="1" x14ac:dyDescent="0.2">
      <c r="C3320" s="198"/>
      <c r="D3320" s="198"/>
      <c r="E3320" s="537"/>
      <c r="G3320" s="198"/>
      <c r="H3320" s="123"/>
    </row>
    <row r="3321" spans="3:8" s="99" customFormat="1" x14ac:dyDescent="0.2">
      <c r="C3321" s="198"/>
      <c r="D3321" s="198"/>
      <c r="E3321" s="537"/>
      <c r="G3321" s="198"/>
      <c r="H3321" s="123"/>
    </row>
    <row r="3322" spans="3:8" s="99" customFormat="1" x14ac:dyDescent="0.2">
      <c r="C3322" s="198"/>
      <c r="D3322" s="198"/>
      <c r="E3322" s="537"/>
      <c r="G3322" s="198"/>
      <c r="H3322" s="123"/>
    </row>
    <row r="3323" spans="3:8" s="99" customFormat="1" x14ac:dyDescent="0.2">
      <c r="C3323" s="198"/>
      <c r="D3323" s="198"/>
      <c r="E3323" s="537"/>
      <c r="G3323" s="198"/>
      <c r="H3323" s="123"/>
    </row>
    <row r="3324" spans="3:8" s="99" customFormat="1" x14ac:dyDescent="0.2">
      <c r="C3324" s="198"/>
      <c r="D3324" s="198"/>
      <c r="E3324" s="537"/>
      <c r="G3324" s="198"/>
      <c r="H3324" s="123"/>
    </row>
    <row r="3325" spans="3:8" s="99" customFormat="1" x14ac:dyDescent="0.2">
      <c r="C3325" s="198"/>
      <c r="D3325" s="198"/>
      <c r="E3325" s="537"/>
      <c r="G3325" s="198"/>
      <c r="H3325" s="123"/>
    </row>
    <row r="3326" spans="3:8" s="99" customFormat="1" x14ac:dyDescent="0.2">
      <c r="C3326" s="198"/>
      <c r="D3326" s="198"/>
      <c r="E3326" s="537"/>
      <c r="G3326" s="198"/>
      <c r="H3326" s="123"/>
    </row>
    <row r="3327" spans="3:8" s="99" customFormat="1" x14ac:dyDescent="0.2">
      <c r="C3327" s="198"/>
      <c r="D3327" s="198"/>
      <c r="E3327" s="537"/>
      <c r="G3327" s="198"/>
      <c r="H3327" s="123"/>
    </row>
    <row r="3328" spans="3:8" s="99" customFormat="1" x14ac:dyDescent="0.2">
      <c r="C3328" s="198"/>
      <c r="D3328" s="198"/>
      <c r="E3328" s="537"/>
      <c r="G3328" s="198"/>
      <c r="H3328" s="123"/>
    </row>
    <row r="3329" spans="3:8" s="99" customFormat="1" x14ac:dyDescent="0.2">
      <c r="C3329" s="198"/>
      <c r="D3329" s="198"/>
      <c r="E3329" s="537"/>
      <c r="G3329" s="198"/>
      <c r="H3329" s="123"/>
    </row>
    <row r="3330" spans="3:8" s="99" customFormat="1" x14ac:dyDescent="0.2">
      <c r="C3330" s="198"/>
      <c r="D3330" s="198"/>
      <c r="E3330" s="537"/>
      <c r="G3330" s="198"/>
      <c r="H3330" s="123"/>
    </row>
    <row r="3331" spans="3:8" s="99" customFormat="1" x14ac:dyDescent="0.2">
      <c r="C3331" s="198"/>
      <c r="D3331" s="198"/>
      <c r="E3331" s="537"/>
      <c r="G3331" s="198"/>
      <c r="H3331" s="123"/>
    </row>
    <row r="3332" spans="3:8" s="99" customFormat="1" x14ac:dyDescent="0.2">
      <c r="C3332" s="198"/>
      <c r="D3332" s="198"/>
      <c r="E3332" s="537"/>
      <c r="G3332" s="198"/>
      <c r="H3332" s="123"/>
    </row>
    <row r="3333" spans="3:8" s="99" customFormat="1" x14ac:dyDescent="0.2">
      <c r="C3333" s="198"/>
      <c r="D3333" s="198"/>
      <c r="E3333" s="537"/>
      <c r="G3333" s="198"/>
      <c r="H3333" s="123"/>
    </row>
    <row r="3334" spans="3:8" s="99" customFormat="1" x14ac:dyDescent="0.2">
      <c r="C3334" s="198"/>
      <c r="D3334" s="198"/>
      <c r="E3334" s="537"/>
      <c r="G3334" s="198"/>
      <c r="H3334" s="123"/>
    </row>
    <row r="3335" spans="3:8" s="99" customFormat="1" x14ac:dyDescent="0.2">
      <c r="C3335" s="198"/>
      <c r="D3335" s="198"/>
      <c r="E3335" s="537"/>
      <c r="G3335" s="198"/>
      <c r="H3335" s="123"/>
    </row>
    <row r="3336" spans="3:8" s="99" customFormat="1" x14ac:dyDescent="0.2">
      <c r="C3336" s="198"/>
      <c r="D3336" s="198"/>
      <c r="E3336" s="537"/>
      <c r="G3336" s="198"/>
      <c r="H3336" s="123"/>
    </row>
    <row r="3337" spans="3:8" s="99" customFormat="1" x14ac:dyDescent="0.2">
      <c r="C3337" s="198"/>
      <c r="D3337" s="198"/>
      <c r="E3337" s="537"/>
      <c r="G3337" s="198"/>
      <c r="H3337" s="123"/>
    </row>
    <row r="3338" spans="3:8" s="99" customFormat="1" x14ac:dyDescent="0.2">
      <c r="C3338" s="198"/>
      <c r="D3338" s="198"/>
      <c r="E3338" s="537"/>
      <c r="G3338" s="198"/>
      <c r="H3338" s="123"/>
    </row>
    <row r="3339" spans="3:8" s="99" customFormat="1" x14ac:dyDescent="0.2">
      <c r="C3339" s="198"/>
      <c r="D3339" s="198"/>
      <c r="E3339" s="537"/>
      <c r="G3339" s="198"/>
      <c r="H3339" s="123"/>
    </row>
    <row r="3340" spans="3:8" s="99" customFormat="1" x14ac:dyDescent="0.2">
      <c r="C3340" s="198"/>
      <c r="D3340" s="198"/>
      <c r="E3340" s="537"/>
      <c r="G3340" s="198"/>
      <c r="H3340" s="123"/>
    </row>
    <row r="3341" spans="3:8" s="99" customFormat="1" x14ac:dyDescent="0.2">
      <c r="C3341" s="198"/>
      <c r="D3341" s="198"/>
      <c r="E3341" s="537"/>
      <c r="G3341" s="198"/>
      <c r="H3341" s="123"/>
    </row>
    <row r="3342" spans="3:8" s="99" customFormat="1" x14ac:dyDescent="0.2">
      <c r="C3342" s="198"/>
      <c r="D3342" s="198"/>
      <c r="E3342" s="537"/>
      <c r="G3342" s="198"/>
      <c r="H3342" s="123"/>
    </row>
    <row r="3343" spans="3:8" s="99" customFormat="1" x14ac:dyDescent="0.2">
      <c r="C3343" s="198"/>
      <c r="D3343" s="198"/>
      <c r="E3343" s="537"/>
      <c r="G3343" s="198"/>
      <c r="H3343" s="123"/>
    </row>
    <row r="3344" spans="3:8" s="99" customFormat="1" x14ac:dyDescent="0.2">
      <c r="C3344" s="198"/>
      <c r="D3344" s="198"/>
      <c r="E3344" s="537"/>
      <c r="G3344" s="198"/>
      <c r="H3344" s="123"/>
    </row>
    <row r="3345" spans="3:8" s="99" customFormat="1" x14ac:dyDescent="0.2">
      <c r="C3345" s="198"/>
      <c r="D3345" s="198"/>
      <c r="E3345" s="537"/>
      <c r="G3345" s="198"/>
      <c r="H3345" s="123"/>
    </row>
    <row r="3346" spans="3:8" s="99" customFormat="1" x14ac:dyDescent="0.2">
      <c r="C3346" s="198"/>
      <c r="D3346" s="198"/>
      <c r="E3346" s="537"/>
      <c r="G3346" s="198"/>
      <c r="H3346" s="123"/>
    </row>
    <row r="3347" spans="3:8" s="99" customFormat="1" x14ac:dyDescent="0.2">
      <c r="C3347" s="198"/>
      <c r="D3347" s="198"/>
      <c r="E3347" s="537"/>
      <c r="G3347" s="198"/>
      <c r="H3347" s="123"/>
    </row>
    <row r="3348" spans="3:8" s="99" customFormat="1" x14ac:dyDescent="0.2">
      <c r="C3348" s="198"/>
      <c r="D3348" s="198"/>
      <c r="E3348" s="537"/>
      <c r="G3348" s="198"/>
      <c r="H3348" s="123"/>
    </row>
    <row r="3349" spans="3:8" s="99" customFormat="1" x14ac:dyDescent="0.2">
      <c r="C3349" s="198"/>
      <c r="D3349" s="198"/>
      <c r="E3349" s="537"/>
      <c r="G3349" s="198"/>
      <c r="H3349" s="123"/>
    </row>
    <row r="3350" spans="3:8" s="99" customFormat="1" x14ac:dyDescent="0.2">
      <c r="C3350" s="198"/>
      <c r="D3350" s="198"/>
      <c r="E3350" s="537"/>
      <c r="G3350" s="198"/>
      <c r="H3350" s="123"/>
    </row>
    <row r="3351" spans="3:8" s="99" customFormat="1" x14ac:dyDescent="0.2">
      <c r="C3351" s="198"/>
      <c r="D3351" s="198"/>
      <c r="E3351" s="537"/>
      <c r="G3351" s="198"/>
      <c r="H3351" s="123"/>
    </row>
    <row r="3352" spans="3:8" s="99" customFormat="1" x14ac:dyDescent="0.2">
      <c r="C3352" s="198"/>
      <c r="D3352" s="198"/>
      <c r="E3352" s="537"/>
      <c r="G3352" s="198"/>
      <c r="H3352" s="123"/>
    </row>
    <row r="3353" spans="3:8" s="99" customFormat="1" x14ac:dyDescent="0.2">
      <c r="C3353" s="198"/>
      <c r="D3353" s="198"/>
      <c r="E3353" s="537"/>
      <c r="G3353" s="198"/>
      <c r="H3353" s="123"/>
    </row>
    <row r="3354" spans="3:8" s="99" customFormat="1" x14ac:dyDescent="0.2">
      <c r="C3354" s="198"/>
      <c r="D3354" s="198"/>
      <c r="E3354" s="537"/>
      <c r="G3354" s="198"/>
      <c r="H3354" s="123"/>
    </row>
    <row r="3355" spans="3:8" s="99" customFormat="1" x14ac:dyDescent="0.2">
      <c r="C3355" s="198"/>
      <c r="D3355" s="198"/>
      <c r="E3355" s="537"/>
      <c r="G3355" s="198"/>
      <c r="H3355" s="123"/>
    </row>
    <row r="3356" spans="3:8" s="99" customFormat="1" x14ac:dyDescent="0.2">
      <c r="C3356" s="198"/>
      <c r="D3356" s="198"/>
      <c r="E3356" s="537"/>
      <c r="G3356" s="198"/>
      <c r="H3356" s="123"/>
    </row>
    <row r="3357" spans="3:8" s="99" customFormat="1" x14ac:dyDescent="0.2">
      <c r="C3357" s="198"/>
      <c r="D3357" s="198"/>
      <c r="E3357" s="537"/>
      <c r="G3357" s="198"/>
      <c r="H3357" s="123"/>
    </row>
    <row r="3358" spans="3:8" s="99" customFormat="1" x14ac:dyDescent="0.2">
      <c r="C3358" s="198"/>
      <c r="D3358" s="198"/>
      <c r="E3358" s="537"/>
      <c r="G3358" s="198"/>
      <c r="H3358" s="123"/>
    </row>
    <row r="3359" spans="3:8" s="99" customFormat="1" x14ac:dyDescent="0.2">
      <c r="C3359" s="198"/>
      <c r="D3359" s="198"/>
      <c r="E3359" s="537"/>
      <c r="G3359" s="198"/>
      <c r="H3359" s="123"/>
    </row>
    <row r="3360" spans="3:8" s="99" customFormat="1" x14ac:dyDescent="0.2">
      <c r="C3360" s="198"/>
      <c r="D3360" s="198"/>
      <c r="E3360" s="537"/>
      <c r="G3360" s="198"/>
      <c r="H3360" s="123"/>
    </row>
    <row r="3361" spans="3:8" s="99" customFormat="1" x14ac:dyDescent="0.2">
      <c r="C3361" s="198"/>
      <c r="D3361" s="198"/>
      <c r="E3361" s="537"/>
      <c r="G3361" s="198"/>
      <c r="H3361" s="123"/>
    </row>
    <row r="3362" spans="3:8" s="99" customFormat="1" x14ac:dyDescent="0.2">
      <c r="C3362" s="198"/>
      <c r="D3362" s="198"/>
      <c r="E3362" s="537"/>
      <c r="G3362" s="198"/>
      <c r="H3362" s="123"/>
    </row>
    <row r="3363" spans="3:8" s="99" customFormat="1" x14ac:dyDescent="0.2">
      <c r="C3363" s="198"/>
      <c r="D3363" s="198"/>
      <c r="E3363" s="537"/>
      <c r="G3363" s="198"/>
      <c r="H3363" s="123"/>
    </row>
    <row r="3364" spans="3:8" s="99" customFormat="1" x14ac:dyDescent="0.2">
      <c r="C3364" s="198"/>
      <c r="D3364" s="198"/>
      <c r="E3364" s="537"/>
      <c r="G3364" s="198"/>
      <c r="H3364" s="123"/>
    </row>
    <row r="3365" spans="3:8" s="99" customFormat="1" x14ac:dyDescent="0.2">
      <c r="C3365" s="198"/>
      <c r="D3365" s="198"/>
      <c r="E3365" s="537"/>
      <c r="G3365" s="198"/>
      <c r="H3365" s="123"/>
    </row>
    <row r="3366" spans="3:8" s="99" customFormat="1" x14ac:dyDescent="0.2">
      <c r="C3366" s="198"/>
      <c r="D3366" s="198"/>
      <c r="E3366" s="537"/>
      <c r="G3366" s="198"/>
      <c r="H3366" s="123"/>
    </row>
    <row r="3367" spans="3:8" s="99" customFormat="1" x14ac:dyDescent="0.2">
      <c r="C3367" s="198"/>
      <c r="D3367" s="198"/>
      <c r="E3367" s="537"/>
      <c r="G3367" s="198"/>
      <c r="H3367" s="123"/>
    </row>
    <row r="3368" spans="3:8" s="99" customFormat="1" x14ac:dyDescent="0.2">
      <c r="C3368" s="198"/>
      <c r="D3368" s="198"/>
      <c r="E3368" s="537"/>
      <c r="G3368" s="198"/>
      <c r="H3368" s="123"/>
    </row>
    <row r="3369" spans="3:8" s="99" customFormat="1" x14ac:dyDescent="0.2">
      <c r="C3369" s="198"/>
      <c r="D3369" s="198"/>
      <c r="E3369" s="537"/>
      <c r="G3369" s="198"/>
      <c r="H3369" s="123"/>
    </row>
    <row r="3370" spans="3:8" s="99" customFormat="1" x14ac:dyDescent="0.2">
      <c r="C3370" s="198"/>
      <c r="D3370" s="198"/>
      <c r="E3370" s="537"/>
      <c r="G3370" s="198"/>
      <c r="H3370" s="123"/>
    </row>
    <row r="3371" spans="3:8" s="99" customFormat="1" x14ac:dyDescent="0.2">
      <c r="C3371" s="198"/>
      <c r="D3371" s="198"/>
      <c r="E3371" s="537"/>
      <c r="G3371" s="198"/>
      <c r="H3371" s="123"/>
    </row>
    <row r="3372" spans="3:8" s="99" customFormat="1" x14ac:dyDescent="0.2">
      <c r="C3372" s="198"/>
      <c r="D3372" s="198"/>
      <c r="E3372" s="537"/>
      <c r="G3372" s="198"/>
      <c r="H3372" s="123"/>
    </row>
    <row r="3373" spans="3:8" s="99" customFormat="1" x14ac:dyDescent="0.2">
      <c r="C3373" s="198"/>
      <c r="D3373" s="198"/>
      <c r="E3373" s="537"/>
      <c r="G3373" s="198"/>
      <c r="H3373" s="123"/>
    </row>
    <row r="3374" spans="3:8" s="99" customFormat="1" x14ac:dyDescent="0.2">
      <c r="C3374" s="198"/>
      <c r="D3374" s="198"/>
      <c r="E3374" s="537"/>
      <c r="G3374" s="198"/>
      <c r="H3374" s="123"/>
    </row>
    <row r="3375" spans="3:8" s="99" customFormat="1" x14ac:dyDescent="0.2">
      <c r="C3375" s="198"/>
      <c r="D3375" s="198"/>
      <c r="E3375" s="537"/>
      <c r="G3375" s="198"/>
      <c r="H3375" s="123"/>
    </row>
    <row r="3376" spans="3:8" s="99" customFormat="1" x14ac:dyDescent="0.2">
      <c r="C3376" s="198"/>
      <c r="D3376" s="198"/>
      <c r="E3376" s="537"/>
      <c r="G3376" s="198"/>
      <c r="H3376" s="123"/>
    </row>
    <row r="3377" spans="3:8" s="99" customFormat="1" x14ac:dyDescent="0.2">
      <c r="C3377" s="198"/>
      <c r="D3377" s="198"/>
      <c r="E3377" s="537"/>
      <c r="G3377" s="198"/>
      <c r="H3377" s="123"/>
    </row>
    <row r="3378" spans="3:8" s="99" customFormat="1" x14ac:dyDescent="0.2">
      <c r="C3378" s="198"/>
      <c r="D3378" s="198"/>
      <c r="E3378" s="537"/>
      <c r="G3378" s="198"/>
      <c r="H3378" s="123"/>
    </row>
    <row r="3379" spans="3:8" s="99" customFormat="1" x14ac:dyDescent="0.2">
      <c r="C3379" s="198"/>
      <c r="D3379" s="198"/>
      <c r="E3379" s="537"/>
      <c r="G3379" s="198"/>
      <c r="H3379" s="123"/>
    </row>
    <row r="3380" spans="3:8" s="99" customFormat="1" x14ac:dyDescent="0.2">
      <c r="C3380" s="198"/>
      <c r="D3380" s="198"/>
      <c r="E3380" s="537"/>
      <c r="G3380" s="198"/>
      <c r="H3380" s="123"/>
    </row>
    <row r="3381" spans="3:8" s="99" customFormat="1" x14ac:dyDescent="0.2">
      <c r="C3381" s="198"/>
      <c r="D3381" s="198"/>
      <c r="E3381" s="537"/>
      <c r="G3381" s="198"/>
      <c r="H3381" s="123"/>
    </row>
    <row r="3382" spans="3:8" s="99" customFormat="1" x14ac:dyDescent="0.2">
      <c r="C3382" s="198"/>
      <c r="D3382" s="198"/>
      <c r="E3382" s="537"/>
      <c r="G3382" s="198"/>
      <c r="H3382" s="123"/>
    </row>
    <row r="3383" spans="3:8" s="99" customFormat="1" x14ac:dyDescent="0.2">
      <c r="C3383" s="198"/>
      <c r="D3383" s="198"/>
      <c r="E3383" s="537"/>
      <c r="G3383" s="198"/>
      <c r="H3383" s="123"/>
    </row>
    <row r="3384" spans="3:8" s="99" customFormat="1" x14ac:dyDescent="0.2">
      <c r="C3384" s="198"/>
      <c r="D3384" s="198"/>
      <c r="E3384" s="537"/>
      <c r="G3384" s="198"/>
      <c r="H3384" s="123"/>
    </row>
    <row r="3385" spans="3:8" s="99" customFormat="1" x14ac:dyDescent="0.2">
      <c r="C3385" s="198"/>
      <c r="D3385" s="198"/>
      <c r="E3385" s="537"/>
      <c r="G3385" s="198"/>
      <c r="H3385" s="123"/>
    </row>
    <row r="3386" spans="3:8" s="99" customFormat="1" x14ac:dyDescent="0.2">
      <c r="C3386" s="198"/>
      <c r="D3386" s="198"/>
      <c r="E3386" s="537"/>
      <c r="G3386" s="198"/>
      <c r="H3386" s="123"/>
    </row>
    <row r="3387" spans="3:8" s="99" customFormat="1" x14ac:dyDescent="0.2">
      <c r="C3387" s="198"/>
      <c r="D3387" s="198"/>
      <c r="E3387" s="537"/>
      <c r="G3387" s="198"/>
      <c r="H3387" s="123"/>
    </row>
    <row r="3388" spans="3:8" s="99" customFormat="1" x14ac:dyDescent="0.2">
      <c r="C3388" s="198"/>
      <c r="D3388" s="198"/>
      <c r="E3388" s="537"/>
      <c r="G3388" s="198"/>
      <c r="H3388" s="123"/>
    </row>
    <row r="3389" spans="3:8" s="99" customFormat="1" x14ac:dyDescent="0.2">
      <c r="C3389" s="198"/>
      <c r="D3389" s="198"/>
      <c r="E3389" s="537"/>
      <c r="G3389" s="198"/>
      <c r="H3389" s="123"/>
    </row>
    <row r="3390" spans="3:8" s="99" customFormat="1" x14ac:dyDescent="0.2">
      <c r="C3390" s="198"/>
      <c r="D3390" s="198"/>
      <c r="E3390" s="537"/>
      <c r="G3390" s="198"/>
      <c r="H3390" s="123"/>
    </row>
    <row r="3391" spans="3:8" s="99" customFormat="1" x14ac:dyDescent="0.2">
      <c r="C3391" s="198"/>
      <c r="D3391" s="198"/>
      <c r="E3391" s="537"/>
      <c r="G3391" s="198"/>
      <c r="H3391" s="123"/>
    </row>
    <row r="3392" spans="3:8" s="99" customFormat="1" x14ac:dyDescent="0.2">
      <c r="C3392" s="198"/>
      <c r="D3392" s="198"/>
      <c r="E3392" s="537"/>
      <c r="G3392" s="198"/>
      <c r="H3392" s="123"/>
    </row>
    <row r="3393" spans="3:8" s="99" customFormat="1" x14ac:dyDescent="0.2">
      <c r="C3393" s="198"/>
      <c r="D3393" s="198"/>
      <c r="E3393" s="537"/>
      <c r="G3393" s="198"/>
      <c r="H3393" s="123"/>
    </row>
    <row r="3394" spans="3:8" s="99" customFormat="1" x14ac:dyDescent="0.2">
      <c r="C3394" s="198"/>
      <c r="D3394" s="198"/>
      <c r="E3394" s="537"/>
      <c r="G3394" s="198"/>
      <c r="H3394" s="123"/>
    </row>
    <row r="3395" spans="3:8" s="99" customFormat="1" x14ac:dyDescent="0.2">
      <c r="C3395" s="198"/>
      <c r="D3395" s="198"/>
      <c r="E3395" s="537"/>
      <c r="G3395" s="198"/>
      <c r="H3395" s="123"/>
    </row>
    <row r="3396" spans="3:8" s="99" customFormat="1" x14ac:dyDescent="0.2">
      <c r="C3396" s="198"/>
      <c r="D3396" s="198"/>
      <c r="E3396" s="537"/>
      <c r="G3396" s="198"/>
      <c r="H3396" s="123"/>
    </row>
    <row r="3397" spans="3:8" s="99" customFormat="1" x14ac:dyDescent="0.2">
      <c r="C3397" s="198"/>
      <c r="D3397" s="198"/>
      <c r="E3397" s="537"/>
      <c r="G3397" s="198"/>
      <c r="H3397" s="123"/>
    </row>
    <row r="3398" spans="3:8" s="99" customFormat="1" x14ac:dyDescent="0.2">
      <c r="C3398" s="198"/>
      <c r="D3398" s="198"/>
      <c r="E3398" s="537"/>
      <c r="G3398" s="198"/>
      <c r="H3398" s="123"/>
    </row>
    <row r="3399" spans="3:8" s="99" customFormat="1" x14ac:dyDescent="0.2">
      <c r="C3399" s="198"/>
      <c r="D3399" s="198"/>
      <c r="E3399" s="537"/>
      <c r="G3399" s="198"/>
      <c r="H3399" s="123"/>
    </row>
    <row r="3400" spans="3:8" s="99" customFormat="1" x14ac:dyDescent="0.2">
      <c r="C3400" s="198"/>
      <c r="D3400" s="198"/>
      <c r="E3400" s="537"/>
      <c r="G3400" s="198"/>
      <c r="H3400" s="123"/>
    </row>
    <row r="3401" spans="3:8" s="99" customFormat="1" x14ac:dyDescent="0.2">
      <c r="C3401" s="198"/>
      <c r="D3401" s="198"/>
      <c r="E3401" s="537"/>
      <c r="G3401" s="198"/>
      <c r="H3401" s="123"/>
    </row>
    <row r="3402" spans="3:8" s="99" customFormat="1" x14ac:dyDescent="0.2">
      <c r="C3402" s="198"/>
      <c r="D3402" s="198"/>
      <c r="E3402" s="537"/>
      <c r="G3402" s="198"/>
      <c r="H3402" s="123"/>
    </row>
    <row r="3403" spans="3:8" s="99" customFormat="1" x14ac:dyDescent="0.2">
      <c r="C3403" s="198"/>
      <c r="D3403" s="198"/>
      <c r="E3403" s="537"/>
      <c r="G3403" s="198"/>
      <c r="H3403" s="123"/>
    </row>
    <row r="3404" spans="3:8" s="99" customFormat="1" x14ac:dyDescent="0.2">
      <c r="C3404" s="198"/>
      <c r="D3404" s="198"/>
      <c r="E3404" s="537"/>
      <c r="G3404" s="198"/>
      <c r="H3404" s="123"/>
    </row>
    <row r="3405" spans="3:8" s="99" customFormat="1" x14ac:dyDescent="0.2">
      <c r="C3405" s="198"/>
      <c r="D3405" s="198"/>
      <c r="E3405" s="537"/>
      <c r="G3405" s="198"/>
      <c r="H3405" s="123"/>
    </row>
    <row r="3406" spans="3:8" s="99" customFormat="1" x14ac:dyDescent="0.2">
      <c r="C3406" s="198"/>
      <c r="D3406" s="198"/>
      <c r="E3406" s="537"/>
      <c r="G3406" s="198"/>
      <c r="H3406" s="123"/>
    </row>
    <row r="3407" spans="3:8" s="99" customFormat="1" x14ac:dyDescent="0.2">
      <c r="C3407" s="198"/>
      <c r="D3407" s="198"/>
      <c r="E3407" s="537"/>
      <c r="G3407" s="198"/>
      <c r="H3407" s="123"/>
    </row>
    <row r="3408" spans="3:8" s="99" customFormat="1" x14ac:dyDescent="0.2">
      <c r="C3408" s="198"/>
      <c r="D3408" s="198"/>
      <c r="E3408" s="537"/>
      <c r="G3408" s="198"/>
      <c r="H3408" s="123"/>
    </row>
    <row r="3409" spans="3:8" s="99" customFormat="1" x14ac:dyDescent="0.2">
      <c r="C3409" s="198"/>
      <c r="D3409" s="198"/>
      <c r="E3409" s="537"/>
      <c r="G3409" s="198"/>
      <c r="H3409" s="123"/>
    </row>
    <row r="3410" spans="3:8" s="99" customFormat="1" x14ac:dyDescent="0.2">
      <c r="C3410" s="198"/>
      <c r="D3410" s="198"/>
      <c r="E3410" s="537"/>
      <c r="G3410" s="198"/>
      <c r="H3410" s="123"/>
    </row>
    <row r="3411" spans="3:8" s="99" customFormat="1" x14ac:dyDescent="0.2">
      <c r="C3411" s="198"/>
      <c r="D3411" s="198"/>
      <c r="E3411" s="537"/>
      <c r="G3411" s="198"/>
      <c r="H3411" s="123"/>
    </row>
    <row r="3412" spans="3:8" s="99" customFormat="1" x14ac:dyDescent="0.2">
      <c r="C3412" s="198"/>
      <c r="D3412" s="198"/>
      <c r="E3412" s="537"/>
      <c r="G3412" s="198"/>
      <c r="H3412" s="123"/>
    </row>
    <row r="3413" spans="3:8" s="99" customFormat="1" x14ac:dyDescent="0.2">
      <c r="C3413" s="198"/>
      <c r="D3413" s="198"/>
      <c r="E3413" s="537"/>
      <c r="G3413" s="198"/>
      <c r="H3413" s="123"/>
    </row>
    <row r="3414" spans="3:8" s="99" customFormat="1" x14ac:dyDescent="0.2">
      <c r="C3414" s="198"/>
      <c r="D3414" s="198"/>
      <c r="E3414" s="537"/>
      <c r="G3414" s="198"/>
      <c r="H3414" s="123"/>
    </row>
    <row r="3415" spans="3:8" s="99" customFormat="1" x14ac:dyDescent="0.2">
      <c r="C3415" s="198"/>
      <c r="D3415" s="198"/>
      <c r="E3415" s="537"/>
      <c r="G3415" s="198"/>
      <c r="H3415" s="123"/>
    </row>
    <row r="3416" spans="3:8" s="99" customFormat="1" x14ac:dyDescent="0.2">
      <c r="C3416" s="198"/>
      <c r="D3416" s="198"/>
      <c r="E3416" s="537"/>
      <c r="G3416" s="198"/>
      <c r="H3416" s="123"/>
    </row>
    <row r="3417" spans="3:8" s="99" customFormat="1" x14ac:dyDescent="0.2">
      <c r="C3417" s="198"/>
      <c r="D3417" s="198"/>
      <c r="E3417" s="537"/>
      <c r="G3417" s="198"/>
      <c r="H3417" s="123"/>
    </row>
    <row r="3418" spans="3:8" s="99" customFormat="1" x14ac:dyDescent="0.2">
      <c r="C3418" s="198"/>
      <c r="D3418" s="198"/>
      <c r="E3418" s="537"/>
      <c r="G3418" s="198"/>
      <c r="H3418" s="123"/>
    </row>
    <row r="3419" spans="3:8" s="99" customFormat="1" x14ac:dyDescent="0.2">
      <c r="C3419" s="198"/>
      <c r="D3419" s="198"/>
      <c r="E3419" s="537"/>
      <c r="G3419" s="198"/>
      <c r="H3419" s="123"/>
    </row>
    <row r="3420" spans="3:8" s="99" customFormat="1" x14ac:dyDescent="0.2">
      <c r="C3420" s="198"/>
      <c r="D3420" s="198"/>
      <c r="E3420" s="537"/>
      <c r="G3420" s="198"/>
      <c r="H3420" s="123"/>
    </row>
    <row r="3421" spans="3:8" s="99" customFormat="1" x14ac:dyDescent="0.2">
      <c r="C3421" s="198"/>
      <c r="D3421" s="198"/>
      <c r="E3421" s="537"/>
      <c r="G3421" s="198"/>
      <c r="H3421" s="123"/>
    </row>
    <row r="3422" spans="3:8" s="99" customFormat="1" x14ac:dyDescent="0.2">
      <c r="C3422" s="198"/>
      <c r="D3422" s="198"/>
      <c r="E3422" s="537"/>
      <c r="G3422" s="198"/>
      <c r="H3422" s="123"/>
    </row>
    <row r="3423" spans="3:8" s="99" customFormat="1" x14ac:dyDescent="0.2">
      <c r="C3423" s="198"/>
      <c r="D3423" s="198"/>
      <c r="E3423" s="537"/>
      <c r="G3423" s="198"/>
      <c r="H3423" s="123"/>
    </row>
    <row r="3424" spans="3:8" s="99" customFormat="1" x14ac:dyDescent="0.2">
      <c r="C3424" s="198"/>
      <c r="D3424" s="198"/>
      <c r="E3424" s="537"/>
      <c r="G3424" s="198"/>
      <c r="H3424" s="123"/>
    </row>
    <row r="3425" spans="3:8" s="99" customFormat="1" x14ac:dyDescent="0.2">
      <c r="C3425" s="198"/>
      <c r="D3425" s="198"/>
      <c r="E3425" s="537"/>
      <c r="G3425" s="198"/>
      <c r="H3425" s="123"/>
    </row>
    <row r="3426" spans="3:8" s="99" customFormat="1" x14ac:dyDescent="0.2">
      <c r="C3426" s="198"/>
      <c r="D3426" s="198"/>
      <c r="E3426" s="537"/>
      <c r="G3426" s="198"/>
      <c r="H3426" s="123"/>
    </row>
    <row r="3427" spans="3:8" s="99" customFormat="1" x14ac:dyDescent="0.2">
      <c r="C3427" s="198"/>
      <c r="D3427" s="198"/>
      <c r="E3427" s="537"/>
      <c r="G3427" s="198"/>
      <c r="H3427" s="123"/>
    </row>
    <row r="3428" spans="3:8" s="99" customFormat="1" x14ac:dyDescent="0.2">
      <c r="C3428" s="198"/>
      <c r="D3428" s="198"/>
      <c r="E3428" s="537"/>
      <c r="G3428" s="198"/>
      <c r="H3428" s="123"/>
    </row>
    <row r="3429" spans="3:8" s="99" customFormat="1" x14ac:dyDescent="0.2">
      <c r="C3429" s="198"/>
      <c r="D3429" s="198"/>
      <c r="E3429" s="537"/>
      <c r="G3429" s="198"/>
      <c r="H3429" s="123"/>
    </row>
    <row r="3430" spans="3:8" s="99" customFormat="1" x14ac:dyDescent="0.2">
      <c r="C3430" s="198"/>
      <c r="D3430" s="198"/>
      <c r="E3430" s="537"/>
      <c r="G3430" s="198"/>
      <c r="H3430" s="123"/>
    </row>
    <row r="3431" spans="3:8" s="99" customFormat="1" x14ac:dyDescent="0.2">
      <c r="C3431" s="198"/>
      <c r="D3431" s="198"/>
      <c r="E3431" s="537"/>
      <c r="G3431" s="198"/>
      <c r="H3431" s="123"/>
    </row>
    <row r="3432" spans="3:8" s="99" customFormat="1" x14ac:dyDescent="0.2">
      <c r="C3432" s="198"/>
      <c r="D3432" s="198"/>
      <c r="E3432" s="537"/>
      <c r="G3432" s="198"/>
      <c r="H3432" s="123"/>
    </row>
    <row r="3433" spans="3:8" s="99" customFormat="1" x14ac:dyDescent="0.2">
      <c r="C3433" s="198"/>
      <c r="D3433" s="198"/>
      <c r="E3433" s="537"/>
      <c r="G3433" s="198"/>
      <c r="H3433" s="123"/>
    </row>
    <row r="3434" spans="3:8" s="99" customFormat="1" x14ac:dyDescent="0.2">
      <c r="C3434" s="198"/>
      <c r="D3434" s="198"/>
      <c r="E3434" s="537"/>
      <c r="G3434" s="198"/>
      <c r="H3434" s="123"/>
    </row>
    <row r="3435" spans="3:8" s="99" customFormat="1" x14ac:dyDescent="0.2">
      <c r="C3435" s="198"/>
      <c r="D3435" s="198"/>
      <c r="E3435" s="537"/>
      <c r="G3435" s="198"/>
      <c r="H3435" s="123"/>
    </row>
    <row r="3436" spans="3:8" s="99" customFormat="1" x14ac:dyDescent="0.2">
      <c r="C3436" s="198"/>
      <c r="D3436" s="198"/>
      <c r="E3436" s="537"/>
      <c r="G3436" s="198"/>
      <c r="H3436" s="123"/>
    </row>
    <row r="3437" spans="3:8" s="99" customFormat="1" x14ac:dyDescent="0.2">
      <c r="C3437" s="198"/>
      <c r="D3437" s="198"/>
      <c r="E3437" s="537"/>
      <c r="G3437" s="198"/>
      <c r="H3437" s="123"/>
    </row>
    <row r="3438" spans="3:8" s="99" customFormat="1" x14ac:dyDescent="0.2">
      <c r="C3438" s="198"/>
      <c r="D3438" s="198"/>
      <c r="E3438" s="537"/>
      <c r="G3438" s="198"/>
      <c r="H3438" s="123"/>
    </row>
    <row r="3439" spans="3:8" s="99" customFormat="1" x14ac:dyDescent="0.2">
      <c r="C3439" s="198"/>
      <c r="D3439" s="198"/>
      <c r="E3439" s="537"/>
      <c r="G3439" s="198"/>
      <c r="H3439" s="123"/>
    </row>
    <row r="3440" spans="3:8" s="99" customFormat="1" x14ac:dyDescent="0.2">
      <c r="C3440" s="198"/>
      <c r="D3440" s="198"/>
      <c r="E3440" s="537"/>
      <c r="G3440" s="198"/>
      <c r="H3440" s="123"/>
    </row>
    <row r="3441" spans="3:8" s="99" customFormat="1" x14ac:dyDescent="0.2">
      <c r="C3441" s="198"/>
      <c r="D3441" s="198"/>
      <c r="E3441" s="537"/>
      <c r="G3441" s="198"/>
      <c r="H3441" s="123"/>
    </row>
    <row r="3442" spans="3:8" s="99" customFormat="1" x14ac:dyDescent="0.2">
      <c r="C3442" s="198"/>
      <c r="D3442" s="198"/>
      <c r="E3442" s="537"/>
      <c r="G3442" s="198"/>
      <c r="H3442" s="123"/>
    </row>
    <row r="3443" spans="3:8" s="99" customFormat="1" x14ac:dyDescent="0.2">
      <c r="C3443" s="198"/>
      <c r="D3443" s="198"/>
      <c r="E3443" s="537"/>
      <c r="G3443" s="198"/>
      <c r="H3443" s="123"/>
    </row>
    <row r="3444" spans="3:8" s="99" customFormat="1" x14ac:dyDescent="0.2">
      <c r="C3444" s="198"/>
      <c r="D3444" s="198"/>
      <c r="E3444" s="537"/>
      <c r="G3444" s="198"/>
      <c r="H3444" s="123"/>
    </row>
    <row r="3445" spans="3:8" s="99" customFormat="1" x14ac:dyDescent="0.2">
      <c r="C3445" s="198"/>
      <c r="D3445" s="198"/>
      <c r="E3445" s="537"/>
      <c r="G3445" s="198"/>
      <c r="H3445" s="123"/>
    </row>
    <row r="3446" spans="3:8" s="99" customFormat="1" x14ac:dyDescent="0.2">
      <c r="C3446" s="198"/>
      <c r="D3446" s="198"/>
      <c r="E3446" s="537"/>
      <c r="G3446" s="198"/>
      <c r="H3446" s="123"/>
    </row>
    <row r="3447" spans="3:8" s="99" customFormat="1" x14ac:dyDescent="0.2">
      <c r="C3447" s="198"/>
      <c r="D3447" s="198"/>
      <c r="E3447" s="537"/>
      <c r="G3447" s="198"/>
      <c r="H3447" s="123"/>
    </row>
    <row r="3448" spans="3:8" s="99" customFormat="1" x14ac:dyDescent="0.2">
      <c r="C3448" s="198"/>
      <c r="D3448" s="198"/>
      <c r="E3448" s="537"/>
      <c r="G3448" s="198"/>
      <c r="H3448" s="123"/>
    </row>
    <row r="3449" spans="3:8" s="99" customFormat="1" x14ac:dyDescent="0.2">
      <c r="C3449" s="198"/>
      <c r="D3449" s="198"/>
      <c r="E3449" s="537"/>
      <c r="G3449" s="198"/>
      <c r="H3449" s="123"/>
    </row>
    <row r="3450" spans="3:8" s="99" customFormat="1" x14ac:dyDescent="0.2">
      <c r="C3450" s="198"/>
      <c r="D3450" s="198"/>
      <c r="E3450" s="537"/>
      <c r="G3450" s="198"/>
      <c r="H3450" s="123"/>
    </row>
    <row r="3451" spans="3:8" s="99" customFormat="1" x14ac:dyDescent="0.2">
      <c r="C3451" s="198"/>
      <c r="D3451" s="198"/>
      <c r="E3451" s="537"/>
      <c r="G3451" s="198"/>
      <c r="H3451" s="123"/>
    </row>
    <row r="3452" spans="3:8" s="99" customFormat="1" x14ac:dyDescent="0.2">
      <c r="C3452" s="198"/>
      <c r="D3452" s="198"/>
      <c r="E3452" s="537"/>
      <c r="G3452" s="198"/>
      <c r="H3452" s="123"/>
    </row>
    <row r="3453" spans="3:8" s="99" customFormat="1" x14ac:dyDescent="0.2">
      <c r="C3453" s="198"/>
      <c r="D3453" s="198"/>
      <c r="E3453" s="537"/>
      <c r="G3453" s="198"/>
      <c r="H3453" s="123"/>
    </row>
    <row r="3454" spans="3:8" s="99" customFormat="1" x14ac:dyDescent="0.2">
      <c r="C3454" s="198"/>
      <c r="D3454" s="198"/>
      <c r="E3454" s="537"/>
      <c r="G3454" s="198"/>
      <c r="H3454" s="123"/>
    </row>
    <row r="3455" spans="3:8" s="99" customFormat="1" x14ac:dyDescent="0.2">
      <c r="C3455" s="198"/>
      <c r="D3455" s="198"/>
      <c r="E3455" s="537"/>
      <c r="G3455" s="198"/>
      <c r="H3455" s="123"/>
    </row>
    <row r="3456" spans="3:8" s="99" customFormat="1" x14ac:dyDescent="0.2">
      <c r="C3456" s="198"/>
      <c r="D3456" s="198"/>
      <c r="E3456" s="537"/>
      <c r="G3456" s="198"/>
      <c r="H3456" s="123"/>
    </row>
    <row r="3457" spans="3:8" s="99" customFormat="1" x14ac:dyDescent="0.2">
      <c r="C3457" s="198"/>
      <c r="D3457" s="198"/>
      <c r="E3457" s="537"/>
      <c r="G3457" s="198"/>
      <c r="H3457" s="123"/>
    </row>
    <row r="3458" spans="3:8" s="99" customFormat="1" x14ac:dyDescent="0.2">
      <c r="C3458" s="198"/>
      <c r="D3458" s="198"/>
      <c r="E3458" s="537"/>
      <c r="G3458" s="198"/>
      <c r="H3458" s="123"/>
    </row>
    <row r="3459" spans="3:8" s="99" customFormat="1" x14ac:dyDescent="0.2">
      <c r="C3459" s="198"/>
      <c r="D3459" s="198"/>
      <c r="E3459" s="537"/>
      <c r="G3459" s="198"/>
      <c r="H3459" s="123"/>
    </row>
    <row r="3460" spans="3:8" s="99" customFormat="1" x14ac:dyDescent="0.2">
      <c r="C3460" s="198"/>
      <c r="D3460" s="198"/>
      <c r="E3460" s="537"/>
      <c r="G3460" s="198"/>
      <c r="H3460" s="123"/>
    </row>
    <row r="3461" spans="3:8" s="99" customFormat="1" x14ac:dyDescent="0.2">
      <c r="C3461" s="198"/>
      <c r="D3461" s="198"/>
      <c r="E3461" s="537"/>
      <c r="G3461" s="198"/>
      <c r="H3461" s="123"/>
    </row>
    <row r="3462" spans="3:8" s="99" customFormat="1" x14ac:dyDescent="0.2">
      <c r="C3462" s="198"/>
      <c r="D3462" s="198"/>
      <c r="E3462" s="537"/>
      <c r="G3462" s="198"/>
      <c r="H3462" s="123"/>
    </row>
    <row r="3463" spans="3:8" s="99" customFormat="1" x14ac:dyDescent="0.2">
      <c r="C3463" s="198"/>
      <c r="D3463" s="198"/>
      <c r="E3463" s="537"/>
      <c r="G3463" s="198"/>
      <c r="H3463" s="123"/>
    </row>
    <row r="3464" spans="3:8" s="99" customFormat="1" x14ac:dyDescent="0.2">
      <c r="C3464" s="198"/>
      <c r="D3464" s="198"/>
      <c r="E3464" s="537"/>
      <c r="G3464" s="198"/>
      <c r="H3464" s="123"/>
    </row>
    <row r="3465" spans="3:8" s="99" customFormat="1" x14ac:dyDescent="0.2">
      <c r="C3465" s="198"/>
      <c r="D3465" s="198"/>
      <c r="E3465" s="537"/>
      <c r="G3465" s="198"/>
      <c r="H3465" s="123"/>
    </row>
    <row r="3466" spans="3:8" s="99" customFormat="1" x14ac:dyDescent="0.2">
      <c r="C3466" s="198"/>
      <c r="D3466" s="198"/>
      <c r="E3466" s="537"/>
      <c r="G3466" s="198"/>
      <c r="H3466" s="123"/>
    </row>
    <row r="3467" spans="3:8" s="99" customFormat="1" x14ac:dyDescent="0.2">
      <c r="C3467" s="198"/>
      <c r="D3467" s="198"/>
      <c r="E3467" s="537"/>
      <c r="G3467" s="198"/>
      <c r="H3467" s="123"/>
    </row>
    <row r="3468" spans="3:8" s="99" customFormat="1" x14ac:dyDescent="0.2">
      <c r="C3468" s="198"/>
      <c r="D3468" s="198"/>
      <c r="E3468" s="537"/>
      <c r="G3468" s="198"/>
      <c r="H3468" s="123"/>
    </row>
    <row r="3469" spans="3:8" s="99" customFormat="1" x14ac:dyDescent="0.2">
      <c r="C3469" s="198"/>
      <c r="D3469" s="198"/>
      <c r="E3469" s="537"/>
      <c r="G3469" s="198"/>
      <c r="H3469" s="123"/>
    </row>
    <row r="3470" spans="3:8" s="99" customFormat="1" x14ac:dyDescent="0.2">
      <c r="C3470" s="198"/>
      <c r="D3470" s="198"/>
      <c r="E3470" s="537"/>
      <c r="G3470" s="198"/>
      <c r="H3470" s="123"/>
    </row>
    <row r="3471" spans="3:8" s="99" customFormat="1" x14ac:dyDescent="0.2">
      <c r="C3471" s="198"/>
      <c r="D3471" s="198"/>
      <c r="E3471" s="537"/>
      <c r="G3471" s="198"/>
      <c r="H3471" s="123"/>
    </row>
    <row r="3472" spans="3:8" s="99" customFormat="1" x14ac:dyDescent="0.2">
      <c r="C3472" s="198"/>
      <c r="D3472" s="198"/>
      <c r="E3472" s="537"/>
      <c r="G3472" s="198"/>
      <c r="H3472" s="123"/>
    </row>
    <row r="3473" spans="3:8" s="99" customFormat="1" x14ac:dyDescent="0.2">
      <c r="C3473" s="198"/>
      <c r="D3473" s="198"/>
      <c r="E3473" s="537"/>
      <c r="G3473" s="198"/>
      <c r="H3473" s="123"/>
    </row>
    <row r="3474" spans="3:8" s="99" customFormat="1" x14ac:dyDescent="0.2">
      <c r="C3474" s="198"/>
      <c r="D3474" s="198"/>
      <c r="E3474" s="537"/>
      <c r="G3474" s="198"/>
      <c r="H3474" s="123"/>
    </row>
    <row r="3475" spans="3:8" s="99" customFormat="1" x14ac:dyDescent="0.2">
      <c r="C3475" s="198"/>
      <c r="D3475" s="198"/>
      <c r="E3475" s="537"/>
      <c r="G3475" s="198"/>
      <c r="H3475" s="123"/>
    </row>
    <row r="3476" spans="3:8" s="99" customFormat="1" x14ac:dyDescent="0.2">
      <c r="C3476" s="198"/>
      <c r="D3476" s="198"/>
      <c r="E3476" s="537"/>
      <c r="G3476" s="198"/>
      <c r="H3476" s="123"/>
    </row>
    <row r="3477" spans="3:8" s="99" customFormat="1" x14ac:dyDescent="0.2">
      <c r="C3477" s="198"/>
      <c r="D3477" s="198"/>
      <c r="E3477" s="537"/>
      <c r="G3477" s="198"/>
      <c r="H3477" s="123"/>
    </row>
    <row r="3478" spans="3:8" s="99" customFormat="1" x14ac:dyDescent="0.2">
      <c r="C3478" s="198"/>
      <c r="D3478" s="198"/>
      <c r="E3478" s="537"/>
      <c r="G3478" s="198"/>
      <c r="H3478" s="123"/>
    </row>
    <row r="3479" spans="3:8" s="99" customFormat="1" x14ac:dyDescent="0.2">
      <c r="C3479" s="198"/>
      <c r="D3479" s="198"/>
      <c r="E3479" s="537"/>
      <c r="G3479" s="198"/>
      <c r="H3479" s="123"/>
    </row>
    <row r="3480" spans="3:8" s="99" customFormat="1" x14ac:dyDescent="0.2">
      <c r="C3480" s="198"/>
      <c r="D3480" s="198"/>
      <c r="E3480" s="537"/>
      <c r="G3480" s="198"/>
      <c r="H3480" s="123"/>
    </row>
    <row r="3481" spans="3:8" s="99" customFormat="1" x14ac:dyDescent="0.2">
      <c r="C3481" s="198"/>
      <c r="D3481" s="198"/>
      <c r="E3481" s="537"/>
      <c r="G3481" s="198"/>
      <c r="H3481" s="123"/>
    </row>
    <row r="3482" spans="3:8" s="99" customFormat="1" x14ac:dyDescent="0.2">
      <c r="C3482" s="198"/>
      <c r="D3482" s="198"/>
      <c r="E3482" s="537"/>
      <c r="G3482" s="198"/>
      <c r="H3482" s="123"/>
    </row>
    <row r="3483" spans="3:8" s="99" customFormat="1" x14ac:dyDescent="0.2">
      <c r="C3483" s="198"/>
      <c r="D3483" s="198"/>
      <c r="E3483" s="537"/>
      <c r="G3483" s="198"/>
      <c r="H3483" s="123"/>
    </row>
    <row r="3484" spans="3:8" s="99" customFormat="1" x14ac:dyDescent="0.2">
      <c r="C3484" s="198"/>
      <c r="D3484" s="198"/>
      <c r="E3484" s="537"/>
      <c r="G3484" s="198"/>
      <c r="H3484" s="123"/>
    </row>
    <row r="3485" spans="3:8" s="99" customFormat="1" x14ac:dyDescent="0.2">
      <c r="C3485" s="198"/>
      <c r="D3485" s="198"/>
      <c r="E3485" s="537"/>
      <c r="G3485" s="198"/>
      <c r="H3485" s="123"/>
    </row>
    <row r="3486" spans="3:8" s="99" customFormat="1" x14ac:dyDescent="0.2">
      <c r="C3486" s="198"/>
      <c r="D3486" s="198"/>
      <c r="E3486" s="537"/>
      <c r="G3486" s="198"/>
      <c r="H3486" s="123"/>
    </row>
    <row r="3487" spans="3:8" s="99" customFormat="1" x14ac:dyDescent="0.2">
      <c r="C3487" s="198"/>
      <c r="D3487" s="198"/>
      <c r="E3487" s="537"/>
      <c r="G3487" s="198"/>
      <c r="H3487" s="123"/>
    </row>
    <row r="3488" spans="3:8" s="99" customFormat="1" x14ac:dyDescent="0.2">
      <c r="C3488" s="198"/>
      <c r="D3488" s="198"/>
      <c r="E3488" s="537"/>
      <c r="G3488" s="198"/>
      <c r="H3488" s="123"/>
    </row>
    <row r="3489" spans="3:8" s="99" customFormat="1" x14ac:dyDescent="0.2">
      <c r="C3489" s="198"/>
      <c r="D3489" s="198"/>
      <c r="E3489" s="537"/>
      <c r="G3489" s="198"/>
      <c r="H3489" s="123"/>
    </row>
    <row r="3490" spans="3:8" s="99" customFormat="1" x14ac:dyDescent="0.2">
      <c r="C3490" s="198"/>
      <c r="D3490" s="198"/>
      <c r="E3490" s="537"/>
      <c r="G3490" s="198"/>
      <c r="H3490" s="123"/>
    </row>
    <row r="3491" spans="3:8" s="99" customFormat="1" x14ac:dyDescent="0.2">
      <c r="C3491" s="198"/>
      <c r="D3491" s="198"/>
      <c r="E3491" s="537"/>
      <c r="G3491" s="198"/>
      <c r="H3491" s="123"/>
    </row>
    <row r="3492" spans="3:8" s="99" customFormat="1" x14ac:dyDescent="0.2">
      <c r="C3492" s="198"/>
      <c r="D3492" s="198"/>
      <c r="E3492" s="537"/>
      <c r="G3492" s="198"/>
      <c r="H3492" s="123"/>
    </row>
    <row r="3493" spans="3:8" s="99" customFormat="1" x14ac:dyDescent="0.2">
      <c r="C3493" s="198"/>
      <c r="D3493" s="198"/>
      <c r="E3493" s="537"/>
      <c r="G3493" s="198"/>
      <c r="H3493" s="123"/>
    </row>
    <row r="3494" spans="3:8" s="99" customFormat="1" x14ac:dyDescent="0.2">
      <c r="C3494" s="198"/>
      <c r="D3494" s="198"/>
      <c r="E3494" s="537"/>
      <c r="G3494" s="198"/>
      <c r="H3494" s="123"/>
    </row>
    <row r="3495" spans="3:8" s="99" customFormat="1" x14ac:dyDescent="0.2">
      <c r="C3495" s="198"/>
      <c r="D3495" s="198"/>
      <c r="E3495" s="537"/>
      <c r="G3495" s="198"/>
      <c r="H3495" s="123"/>
    </row>
    <row r="3496" spans="3:8" s="99" customFormat="1" x14ac:dyDescent="0.2">
      <c r="C3496" s="198"/>
      <c r="D3496" s="198"/>
      <c r="E3496" s="537"/>
      <c r="G3496" s="198"/>
      <c r="H3496" s="123"/>
    </row>
    <row r="3497" spans="3:8" s="99" customFormat="1" x14ac:dyDescent="0.2">
      <c r="C3497" s="198"/>
      <c r="D3497" s="198"/>
      <c r="E3497" s="537"/>
      <c r="G3497" s="198"/>
      <c r="H3497" s="123"/>
    </row>
    <row r="3498" spans="3:8" s="99" customFormat="1" x14ac:dyDescent="0.2">
      <c r="C3498" s="198"/>
      <c r="D3498" s="198"/>
      <c r="E3498" s="537"/>
      <c r="G3498" s="198"/>
      <c r="H3498" s="123"/>
    </row>
    <row r="3499" spans="3:8" s="99" customFormat="1" x14ac:dyDescent="0.2">
      <c r="C3499" s="198"/>
      <c r="D3499" s="198"/>
      <c r="E3499" s="537"/>
      <c r="G3499" s="198"/>
      <c r="H3499" s="123"/>
    </row>
    <row r="3500" spans="3:8" s="99" customFormat="1" x14ac:dyDescent="0.2">
      <c r="C3500" s="198"/>
      <c r="D3500" s="198"/>
      <c r="E3500" s="537"/>
      <c r="G3500" s="198"/>
      <c r="H3500" s="123"/>
    </row>
    <row r="3501" spans="3:8" s="99" customFormat="1" x14ac:dyDescent="0.2">
      <c r="C3501" s="198"/>
      <c r="D3501" s="198"/>
      <c r="E3501" s="537"/>
      <c r="G3501" s="198"/>
      <c r="H3501" s="123"/>
    </row>
    <row r="3502" spans="3:8" s="99" customFormat="1" x14ac:dyDescent="0.2">
      <c r="C3502" s="198"/>
      <c r="D3502" s="198"/>
      <c r="E3502" s="537"/>
      <c r="G3502" s="198"/>
      <c r="H3502" s="123"/>
    </row>
    <row r="3503" spans="3:8" s="99" customFormat="1" x14ac:dyDescent="0.2">
      <c r="C3503" s="198"/>
      <c r="D3503" s="198"/>
      <c r="E3503" s="537"/>
      <c r="G3503" s="198"/>
      <c r="H3503" s="123"/>
    </row>
    <row r="3504" spans="3:8" s="99" customFormat="1" x14ac:dyDescent="0.2">
      <c r="C3504" s="198"/>
      <c r="D3504" s="198"/>
      <c r="E3504" s="537"/>
      <c r="G3504" s="198"/>
      <c r="H3504" s="123"/>
    </row>
    <row r="3505" spans="3:8" s="99" customFormat="1" x14ac:dyDescent="0.2">
      <c r="C3505" s="198"/>
      <c r="D3505" s="198"/>
      <c r="E3505" s="537"/>
      <c r="G3505" s="198"/>
      <c r="H3505" s="123"/>
    </row>
    <row r="3506" spans="3:8" s="99" customFormat="1" x14ac:dyDescent="0.2">
      <c r="C3506" s="198"/>
      <c r="D3506" s="198"/>
      <c r="E3506" s="537"/>
      <c r="G3506" s="198"/>
      <c r="H3506" s="123"/>
    </row>
    <row r="3507" spans="3:8" s="99" customFormat="1" x14ac:dyDescent="0.2">
      <c r="C3507" s="198"/>
      <c r="D3507" s="198"/>
      <c r="E3507" s="537"/>
      <c r="G3507" s="198"/>
      <c r="H3507" s="123"/>
    </row>
    <row r="3508" spans="3:8" s="99" customFormat="1" x14ac:dyDescent="0.2">
      <c r="C3508" s="198"/>
      <c r="D3508" s="198"/>
      <c r="E3508" s="537"/>
      <c r="G3508" s="198"/>
      <c r="H3508" s="123"/>
    </row>
    <row r="3509" spans="3:8" s="99" customFormat="1" x14ac:dyDescent="0.2">
      <c r="C3509" s="198"/>
      <c r="D3509" s="198"/>
      <c r="E3509" s="537"/>
      <c r="G3509" s="198"/>
      <c r="H3509" s="123"/>
    </row>
    <row r="3510" spans="3:8" s="99" customFormat="1" x14ac:dyDescent="0.2">
      <c r="C3510" s="198"/>
      <c r="D3510" s="198"/>
      <c r="E3510" s="537"/>
      <c r="G3510" s="198"/>
      <c r="H3510" s="123"/>
    </row>
    <row r="3511" spans="3:8" s="99" customFormat="1" x14ac:dyDescent="0.2">
      <c r="C3511" s="198"/>
      <c r="D3511" s="198"/>
      <c r="E3511" s="537"/>
      <c r="G3511" s="198"/>
      <c r="H3511" s="123"/>
    </row>
    <row r="3512" spans="3:8" s="99" customFormat="1" x14ac:dyDescent="0.2">
      <c r="C3512" s="198"/>
      <c r="D3512" s="198"/>
      <c r="E3512" s="537"/>
      <c r="G3512" s="198"/>
      <c r="H3512" s="123"/>
    </row>
    <row r="3513" spans="3:8" s="99" customFormat="1" x14ac:dyDescent="0.2">
      <c r="C3513" s="198"/>
      <c r="D3513" s="198"/>
      <c r="E3513" s="537"/>
      <c r="G3513" s="198"/>
      <c r="H3513" s="123"/>
    </row>
    <row r="3514" spans="3:8" s="99" customFormat="1" x14ac:dyDescent="0.2">
      <c r="C3514" s="198"/>
      <c r="D3514" s="198"/>
      <c r="E3514" s="537"/>
      <c r="G3514" s="198"/>
      <c r="H3514" s="123"/>
    </row>
    <row r="3515" spans="3:8" s="99" customFormat="1" x14ac:dyDescent="0.2">
      <c r="C3515" s="198"/>
      <c r="D3515" s="198"/>
      <c r="E3515" s="537"/>
      <c r="G3515" s="198"/>
      <c r="H3515" s="123"/>
    </row>
    <row r="3516" spans="3:8" s="99" customFormat="1" x14ac:dyDescent="0.2">
      <c r="C3516" s="198"/>
      <c r="D3516" s="198"/>
      <c r="E3516" s="537"/>
      <c r="G3516" s="198"/>
      <c r="H3516" s="123"/>
    </row>
    <row r="3517" spans="3:8" s="99" customFormat="1" x14ac:dyDescent="0.2">
      <c r="C3517" s="198"/>
      <c r="D3517" s="198"/>
      <c r="E3517" s="537"/>
      <c r="G3517" s="198"/>
      <c r="H3517" s="123"/>
    </row>
    <row r="3518" spans="3:8" s="99" customFormat="1" x14ac:dyDescent="0.2">
      <c r="C3518" s="198"/>
      <c r="D3518" s="198"/>
      <c r="E3518" s="537"/>
      <c r="G3518" s="198"/>
      <c r="H3518" s="123"/>
    </row>
    <row r="3519" spans="3:8" s="99" customFormat="1" x14ac:dyDescent="0.2">
      <c r="C3519" s="198"/>
      <c r="D3519" s="198"/>
      <c r="E3519" s="537"/>
      <c r="G3519" s="198"/>
      <c r="H3519" s="123"/>
    </row>
    <row r="3520" spans="3:8" s="99" customFormat="1" x14ac:dyDescent="0.2">
      <c r="C3520" s="198"/>
      <c r="D3520" s="198"/>
      <c r="E3520" s="537"/>
      <c r="G3520" s="198"/>
      <c r="H3520" s="123"/>
    </row>
    <row r="3521" spans="3:8" s="99" customFormat="1" x14ac:dyDescent="0.2">
      <c r="C3521" s="198"/>
      <c r="D3521" s="198"/>
      <c r="E3521" s="537"/>
      <c r="G3521" s="198"/>
      <c r="H3521" s="123"/>
    </row>
    <row r="3522" spans="3:8" s="99" customFormat="1" x14ac:dyDescent="0.2">
      <c r="C3522" s="198"/>
      <c r="D3522" s="198"/>
      <c r="E3522" s="537"/>
      <c r="G3522" s="198"/>
      <c r="H3522" s="123"/>
    </row>
    <row r="3523" spans="3:8" s="99" customFormat="1" x14ac:dyDescent="0.2">
      <c r="C3523" s="198"/>
      <c r="D3523" s="198"/>
      <c r="E3523" s="537"/>
      <c r="G3523" s="198"/>
      <c r="H3523" s="123"/>
    </row>
    <row r="3524" spans="3:8" s="99" customFormat="1" x14ac:dyDescent="0.2">
      <c r="C3524" s="198"/>
      <c r="D3524" s="198"/>
      <c r="E3524" s="537"/>
      <c r="G3524" s="198"/>
      <c r="H3524" s="123"/>
    </row>
    <row r="3525" spans="3:8" s="99" customFormat="1" x14ac:dyDescent="0.2">
      <c r="C3525" s="198"/>
      <c r="D3525" s="198"/>
      <c r="E3525" s="537"/>
      <c r="G3525" s="198"/>
      <c r="H3525" s="123"/>
    </row>
    <row r="3526" spans="3:8" s="99" customFormat="1" x14ac:dyDescent="0.2">
      <c r="C3526" s="198"/>
      <c r="D3526" s="198"/>
      <c r="E3526" s="537"/>
      <c r="G3526" s="198"/>
      <c r="H3526" s="123"/>
    </row>
    <row r="3527" spans="3:8" s="99" customFormat="1" x14ac:dyDescent="0.2">
      <c r="C3527" s="198"/>
      <c r="D3527" s="198"/>
      <c r="E3527" s="537"/>
      <c r="G3527" s="198"/>
      <c r="H3527" s="123"/>
    </row>
    <row r="3528" spans="3:8" s="99" customFormat="1" x14ac:dyDescent="0.2">
      <c r="C3528" s="198"/>
      <c r="D3528" s="198"/>
      <c r="E3528" s="537"/>
      <c r="G3528" s="198"/>
      <c r="H3528" s="123"/>
    </row>
    <row r="3529" spans="3:8" s="99" customFormat="1" x14ac:dyDescent="0.2">
      <c r="C3529" s="198"/>
      <c r="D3529" s="198"/>
      <c r="E3529" s="537"/>
      <c r="G3529" s="198"/>
      <c r="H3529" s="123"/>
    </row>
    <row r="3530" spans="3:8" s="99" customFormat="1" x14ac:dyDescent="0.2">
      <c r="C3530" s="198"/>
      <c r="D3530" s="198"/>
      <c r="E3530" s="537"/>
      <c r="G3530" s="198"/>
      <c r="H3530" s="123"/>
    </row>
    <row r="3531" spans="3:8" s="99" customFormat="1" x14ac:dyDescent="0.2">
      <c r="C3531" s="198"/>
      <c r="D3531" s="198"/>
      <c r="E3531" s="537"/>
      <c r="G3531" s="198"/>
      <c r="H3531" s="123"/>
    </row>
    <row r="3532" spans="3:8" s="99" customFormat="1" x14ac:dyDescent="0.2">
      <c r="C3532" s="198"/>
      <c r="D3532" s="198"/>
      <c r="E3532" s="537"/>
      <c r="G3532" s="198"/>
      <c r="H3532" s="123"/>
    </row>
    <row r="3533" spans="3:8" s="99" customFormat="1" x14ac:dyDescent="0.2">
      <c r="C3533" s="198"/>
      <c r="D3533" s="198"/>
      <c r="E3533" s="537"/>
      <c r="G3533" s="198"/>
      <c r="H3533" s="123"/>
    </row>
    <row r="3534" spans="3:8" s="99" customFormat="1" x14ac:dyDescent="0.2">
      <c r="C3534" s="198"/>
      <c r="D3534" s="198"/>
      <c r="E3534" s="537"/>
      <c r="G3534" s="198"/>
      <c r="H3534" s="123"/>
    </row>
    <row r="3535" spans="3:8" s="99" customFormat="1" x14ac:dyDescent="0.2">
      <c r="C3535" s="198"/>
      <c r="D3535" s="198"/>
      <c r="E3535" s="537"/>
      <c r="G3535" s="198"/>
      <c r="H3535" s="123"/>
    </row>
    <row r="3536" spans="3:8" s="99" customFormat="1" x14ac:dyDescent="0.2">
      <c r="C3536" s="198"/>
      <c r="D3536" s="198"/>
      <c r="E3536" s="537"/>
      <c r="G3536" s="198"/>
      <c r="H3536" s="123"/>
    </row>
    <row r="3537" spans="3:8" s="99" customFormat="1" x14ac:dyDescent="0.2">
      <c r="C3537" s="198"/>
      <c r="D3537" s="198"/>
      <c r="E3537" s="537"/>
      <c r="G3537" s="198"/>
      <c r="H3537" s="123"/>
    </row>
    <row r="3538" spans="3:8" s="99" customFormat="1" x14ac:dyDescent="0.2">
      <c r="C3538" s="198"/>
      <c r="D3538" s="198"/>
      <c r="E3538" s="537"/>
      <c r="G3538" s="198"/>
      <c r="H3538" s="123"/>
    </row>
    <row r="3539" spans="3:8" s="99" customFormat="1" x14ac:dyDescent="0.2">
      <c r="C3539" s="198"/>
      <c r="D3539" s="198"/>
      <c r="E3539" s="537"/>
      <c r="G3539" s="198"/>
      <c r="H3539" s="123"/>
    </row>
    <row r="3540" spans="3:8" s="99" customFormat="1" x14ac:dyDescent="0.2">
      <c r="C3540" s="198"/>
      <c r="D3540" s="198"/>
      <c r="E3540" s="537"/>
      <c r="G3540" s="198"/>
      <c r="H3540" s="123"/>
    </row>
    <row r="3541" spans="3:8" s="99" customFormat="1" x14ac:dyDescent="0.2">
      <c r="C3541" s="198"/>
      <c r="D3541" s="198"/>
      <c r="E3541" s="537"/>
      <c r="G3541" s="198"/>
      <c r="H3541" s="123"/>
    </row>
    <row r="3542" spans="3:8" s="99" customFormat="1" x14ac:dyDescent="0.2">
      <c r="C3542" s="198"/>
      <c r="D3542" s="198"/>
      <c r="E3542" s="537"/>
      <c r="G3542" s="198"/>
      <c r="H3542" s="123"/>
    </row>
    <row r="3543" spans="3:8" s="99" customFormat="1" x14ac:dyDescent="0.2">
      <c r="C3543" s="198"/>
      <c r="D3543" s="198"/>
      <c r="E3543" s="537"/>
      <c r="G3543" s="198"/>
      <c r="H3543" s="123"/>
    </row>
    <row r="3544" spans="3:8" s="99" customFormat="1" x14ac:dyDescent="0.2">
      <c r="C3544" s="198"/>
      <c r="D3544" s="198"/>
      <c r="E3544" s="537"/>
      <c r="G3544" s="198"/>
      <c r="H3544" s="123"/>
    </row>
    <row r="3545" spans="3:8" s="99" customFormat="1" x14ac:dyDescent="0.2">
      <c r="C3545" s="198"/>
      <c r="D3545" s="198"/>
      <c r="E3545" s="537"/>
      <c r="G3545" s="198"/>
      <c r="H3545" s="123"/>
    </row>
    <row r="3546" spans="3:8" s="99" customFormat="1" x14ac:dyDescent="0.2">
      <c r="C3546" s="198"/>
      <c r="D3546" s="198"/>
      <c r="E3546" s="537"/>
      <c r="G3546" s="198"/>
      <c r="H3546" s="123"/>
    </row>
    <row r="3547" spans="3:8" s="99" customFormat="1" x14ac:dyDescent="0.2">
      <c r="C3547" s="198"/>
      <c r="D3547" s="198"/>
      <c r="E3547" s="537"/>
      <c r="G3547" s="198"/>
      <c r="H3547" s="123"/>
    </row>
    <row r="3548" spans="3:8" s="99" customFormat="1" x14ac:dyDescent="0.2">
      <c r="C3548" s="198"/>
      <c r="D3548" s="198"/>
      <c r="E3548" s="537"/>
      <c r="G3548" s="198"/>
      <c r="H3548" s="123"/>
    </row>
    <row r="3549" spans="3:8" s="99" customFormat="1" x14ac:dyDescent="0.2">
      <c r="C3549" s="198"/>
      <c r="D3549" s="198"/>
      <c r="E3549" s="537"/>
      <c r="G3549" s="198"/>
      <c r="H3549" s="123"/>
    </row>
    <row r="3550" spans="3:8" s="99" customFormat="1" x14ac:dyDescent="0.2">
      <c r="C3550" s="198"/>
      <c r="D3550" s="198"/>
      <c r="E3550" s="537"/>
      <c r="G3550" s="198"/>
      <c r="H3550" s="123"/>
    </row>
    <row r="3551" spans="3:8" s="99" customFormat="1" x14ac:dyDescent="0.2">
      <c r="C3551" s="198"/>
      <c r="D3551" s="198"/>
      <c r="E3551" s="537"/>
      <c r="G3551" s="198"/>
      <c r="H3551" s="123"/>
    </row>
    <row r="3552" spans="3:8" s="99" customFormat="1" x14ac:dyDescent="0.2">
      <c r="C3552" s="198"/>
      <c r="D3552" s="198"/>
      <c r="E3552" s="537"/>
      <c r="G3552" s="198"/>
      <c r="H3552" s="123"/>
    </row>
    <row r="3553" spans="3:8" s="99" customFormat="1" x14ac:dyDescent="0.2">
      <c r="C3553" s="198"/>
      <c r="D3553" s="198"/>
      <c r="E3553" s="537"/>
      <c r="G3553" s="198"/>
      <c r="H3553" s="123"/>
    </row>
    <row r="3554" spans="3:8" s="99" customFormat="1" x14ac:dyDescent="0.2">
      <c r="C3554" s="198"/>
      <c r="D3554" s="198"/>
      <c r="E3554" s="537"/>
      <c r="G3554" s="198"/>
      <c r="H3554" s="123"/>
    </row>
    <row r="3555" spans="3:8" s="99" customFormat="1" x14ac:dyDescent="0.2">
      <c r="C3555" s="198"/>
      <c r="D3555" s="198"/>
      <c r="E3555" s="537"/>
      <c r="G3555" s="198"/>
      <c r="H3555" s="123"/>
    </row>
    <row r="3556" spans="3:8" s="99" customFormat="1" x14ac:dyDescent="0.2">
      <c r="C3556" s="198"/>
      <c r="D3556" s="198"/>
      <c r="E3556" s="537"/>
      <c r="G3556" s="198"/>
      <c r="H3556" s="123"/>
    </row>
    <row r="3557" spans="3:8" s="99" customFormat="1" x14ac:dyDescent="0.2">
      <c r="C3557" s="198"/>
      <c r="D3557" s="198"/>
      <c r="E3557" s="537"/>
      <c r="G3557" s="198"/>
      <c r="H3557" s="123"/>
    </row>
    <row r="3558" spans="3:8" s="99" customFormat="1" x14ac:dyDescent="0.2">
      <c r="C3558" s="198"/>
      <c r="D3558" s="198"/>
      <c r="E3558" s="537"/>
      <c r="G3558" s="198"/>
      <c r="H3558" s="123"/>
    </row>
    <row r="3559" spans="3:8" s="99" customFormat="1" x14ac:dyDescent="0.2">
      <c r="C3559" s="198"/>
      <c r="D3559" s="198"/>
      <c r="E3559" s="537"/>
      <c r="G3559" s="198"/>
      <c r="H3559" s="123"/>
    </row>
    <row r="3560" spans="3:8" s="99" customFormat="1" x14ac:dyDescent="0.2">
      <c r="C3560" s="198"/>
      <c r="D3560" s="198"/>
      <c r="E3560" s="537"/>
      <c r="G3560" s="198"/>
      <c r="H3560" s="123"/>
    </row>
    <row r="3561" spans="3:8" s="99" customFormat="1" x14ac:dyDescent="0.2">
      <c r="C3561" s="198"/>
      <c r="D3561" s="198"/>
      <c r="E3561" s="537"/>
      <c r="G3561" s="198"/>
      <c r="H3561" s="123"/>
    </row>
    <row r="3562" spans="3:8" s="99" customFormat="1" x14ac:dyDescent="0.2">
      <c r="C3562" s="198"/>
      <c r="D3562" s="198"/>
      <c r="E3562" s="537"/>
      <c r="G3562" s="198"/>
      <c r="H3562" s="123"/>
    </row>
    <row r="3563" spans="3:8" s="99" customFormat="1" x14ac:dyDescent="0.2">
      <c r="C3563" s="198"/>
      <c r="D3563" s="198"/>
      <c r="E3563" s="537"/>
      <c r="G3563" s="198"/>
      <c r="H3563" s="123"/>
    </row>
    <row r="3564" spans="3:8" s="99" customFormat="1" x14ac:dyDescent="0.2">
      <c r="C3564" s="198"/>
      <c r="D3564" s="198"/>
      <c r="E3564" s="537"/>
      <c r="G3564" s="198"/>
      <c r="H3564" s="123"/>
    </row>
    <row r="3565" spans="3:8" s="99" customFormat="1" x14ac:dyDescent="0.2">
      <c r="C3565" s="198"/>
      <c r="D3565" s="198"/>
      <c r="E3565" s="537"/>
      <c r="G3565" s="198"/>
      <c r="H3565" s="123"/>
    </row>
    <row r="3566" spans="3:8" s="99" customFormat="1" x14ac:dyDescent="0.2">
      <c r="C3566" s="198"/>
      <c r="D3566" s="198"/>
      <c r="E3566" s="537"/>
      <c r="G3566" s="198"/>
      <c r="H3566" s="123"/>
    </row>
    <row r="3567" spans="3:8" s="99" customFormat="1" x14ac:dyDescent="0.2">
      <c r="C3567" s="198"/>
      <c r="D3567" s="198"/>
      <c r="E3567" s="537"/>
      <c r="G3567" s="198"/>
      <c r="H3567" s="123"/>
    </row>
    <row r="3568" spans="3:8" s="99" customFormat="1" x14ac:dyDescent="0.2">
      <c r="C3568" s="198"/>
      <c r="D3568" s="198"/>
      <c r="E3568" s="537"/>
      <c r="G3568" s="198"/>
      <c r="H3568" s="123"/>
    </row>
    <row r="3569" spans="3:8" s="99" customFormat="1" x14ac:dyDescent="0.2">
      <c r="C3569" s="198"/>
      <c r="D3569" s="198"/>
      <c r="E3569" s="537"/>
      <c r="G3569" s="198"/>
      <c r="H3569" s="123"/>
    </row>
    <row r="3570" spans="3:8" s="99" customFormat="1" x14ac:dyDescent="0.2">
      <c r="C3570" s="198"/>
      <c r="D3570" s="198"/>
      <c r="E3570" s="537"/>
      <c r="G3570" s="198"/>
      <c r="H3570" s="123"/>
    </row>
    <row r="3571" spans="3:8" s="99" customFormat="1" x14ac:dyDescent="0.2">
      <c r="C3571" s="198"/>
      <c r="D3571" s="198"/>
      <c r="E3571" s="537"/>
      <c r="G3571" s="198"/>
      <c r="H3571" s="123"/>
    </row>
    <row r="3572" spans="3:8" s="99" customFormat="1" x14ac:dyDescent="0.2">
      <c r="C3572" s="198"/>
      <c r="D3572" s="198"/>
      <c r="E3572" s="537"/>
      <c r="G3572" s="198"/>
      <c r="H3572" s="123"/>
    </row>
    <row r="3573" spans="3:8" s="99" customFormat="1" x14ac:dyDescent="0.2">
      <c r="C3573" s="198"/>
      <c r="D3573" s="198"/>
      <c r="E3573" s="537"/>
      <c r="G3573" s="198"/>
      <c r="H3573" s="123"/>
    </row>
    <row r="3574" spans="3:8" s="99" customFormat="1" x14ac:dyDescent="0.2">
      <c r="C3574" s="198"/>
      <c r="D3574" s="198"/>
      <c r="E3574" s="537"/>
      <c r="G3574" s="198"/>
      <c r="H3574" s="123"/>
    </row>
    <row r="3575" spans="3:8" s="99" customFormat="1" x14ac:dyDescent="0.2">
      <c r="C3575" s="198"/>
      <c r="D3575" s="198"/>
      <c r="E3575" s="537"/>
      <c r="G3575" s="198"/>
      <c r="H3575" s="123"/>
    </row>
    <row r="3576" spans="3:8" s="99" customFormat="1" x14ac:dyDescent="0.2">
      <c r="C3576" s="198"/>
      <c r="D3576" s="198"/>
      <c r="E3576" s="537"/>
      <c r="G3576" s="198"/>
      <c r="H3576" s="123"/>
    </row>
    <row r="3577" spans="3:8" s="99" customFormat="1" x14ac:dyDescent="0.2">
      <c r="C3577" s="198"/>
      <c r="D3577" s="198"/>
      <c r="E3577" s="537"/>
      <c r="G3577" s="198"/>
      <c r="H3577" s="123"/>
    </row>
    <row r="3578" spans="3:8" s="99" customFormat="1" x14ac:dyDescent="0.2">
      <c r="C3578" s="198"/>
      <c r="D3578" s="198"/>
      <c r="E3578" s="537"/>
      <c r="G3578" s="198"/>
      <c r="H3578" s="123"/>
    </row>
    <row r="3579" spans="3:8" s="99" customFormat="1" x14ac:dyDescent="0.2">
      <c r="C3579" s="198"/>
      <c r="D3579" s="198"/>
      <c r="E3579" s="537"/>
      <c r="G3579" s="198"/>
      <c r="H3579" s="123"/>
    </row>
    <row r="3580" spans="3:8" s="99" customFormat="1" x14ac:dyDescent="0.2">
      <c r="C3580" s="198"/>
      <c r="D3580" s="198"/>
      <c r="E3580" s="537"/>
      <c r="G3580" s="198"/>
      <c r="H3580" s="123"/>
    </row>
    <row r="3581" spans="3:8" s="99" customFormat="1" x14ac:dyDescent="0.2">
      <c r="C3581" s="198"/>
      <c r="D3581" s="198"/>
      <c r="E3581" s="537"/>
      <c r="G3581" s="198"/>
      <c r="H3581" s="123"/>
    </row>
    <row r="3582" spans="3:8" s="99" customFormat="1" x14ac:dyDescent="0.2">
      <c r="C3582" s="198"/>
      <c r="D3582" s="198"/>
      <c r="E3582" s="537"/>
      <c r="G3582" s="198"/>
      <c r="H3582" s="123"/>
    </row>
    <row r="3583" spans="3:8" s="99" customFormat="1" x14ac:dyDescent="0.2">
      <c r="C3583" s="198"/>
      <c r="D3583" s="198"/>
      <c r="E3583" s="537"/>
      <c r="G3583" s="198"/>
      <c r="H3583" s="123"/>
    </row>
    <row r="3584" spans="3:8" s="99" customFormat="1" x14ac:dyDescent="0.2">
      <c r="C3584" s="198"/>
      <c r="D3584" s="198"/>
      <c r="E3584" s="537"/>
      <c r="G3584" s="198"/>
      <c r="H3584" s="123"/>
    </row>
    <row r="3585" spans="3:8" s="99" customFormat="1" x14ac:dyDescent="0.2">
      <c r="C3585" s="198"/>
      <c r="D3585" s="198"/>
      <c r="E3585" s="537"/>
      <c r="G3585" s="198"/>
      <c r="H3585" s="123"/>
    </row>
    <row r="3586" spans="3:8" s="99" customFormat="1" x14ac:dyDescent="0.2">
      <c r="C3586" s="198"/>
      <c r="D3586" s="198"/>
      <c r="E3586" s="537"/>
      <c r="G3586" s="198"/>
      <c r="H3586" s="123"/>
    </row>
    <row r="3587" spans="3:8" s="99" customFormat="1" x14ac:dyDescent="0.2">
      <c r="C3587" s="198"/>
      <c r="D3587" s="198"/>
      <c r="E3587" s="537"/>
      <c r="G3587" s="198"/>
      <c r="H3587" s="123"/>
    </row>
    <row r="3588" spans="3:8" s="99" customFormat="1" x14ac:dyDescent="0.2">
      <c r="C3588" s="198"/>
      <c r="D3588" s="198"/>
      <c r="E3588" s="537"/>
      <c r="G3588" s="198"/>
      <c r="H3588" s="123"/>
    </row>
    <row r="3589" spans="3:8" s="99" customFormat="1" x14ac:dyDescent="0.2">
      <c r="C3589" s="198"/>
      <c r="D3589" s="198"/>
      <c r="E3589" s="537"/>
      <c r="G3589" s="198"/>
      <c r="H3589" s="123"/>
    </row>
    <row r="3590" spans="3:8" s="99" customFormat="1" x14ac:dyDescent="0.2">
      <c r="C3590" s="198"/>
      <c r="D3590" s="198"/>
      <c r="E3590" s="537"/>
      <c r="G3590" s="198"/>
      <c r="H3590" s="123"/>
    </row>
    <row r="3591" spans="3:8" s="99" customFormat="1" x14ac:dyDescent="0.2">
      <c r="C3591" s="198"/>
      <c r="D3591" s="198"/>
      <c r="E3591" s="537"/>
      <c r="G3591" s="198"/>
      <c r="H3591" s="123"/>
    </row>
    <row r="3592" spans="3:8" s="99" customFormat="1" x14ac:dyDescent="0.2">
      <c r="C3592" s="198"/>
      <c r="D3592" s="198"/>
      <c r="E3592" s="537"/>
      <c r="G3592" s="198"/>
      <c r="H3592" s="123"/>
    </row>
    <row r="3593" spans="3:8" s="99" customFormat="1" x14ac:dyDescent="0.2">
      <c r="C3593" s="198"/>
      <c r="D3593" s="198"/>
      <c r="E3593" s="537"/>
      <c r="G3593" s="198"/>
      <c r="H3593" s="123"/>
    </row>
    <row r="3594" spans="3:8" s="99" customFormat="1" x14ac:dyDescent="0.2">
      <c r="C3594" s="198"/>
      <c r="D3594" s="198"/>
      <c r="E3594" s="537"/>
      <c r="G3594" s="198"/>
      <c r="H3594" s="123"/>
    </row>
    <row r="3595" spans="3:8" s="99" customFormat="1" x14ac:dyDescent="0.2">
      <c r="C3595" s="198"/>
      <c r="D3595" s="198"/>
      <c r="E3595" s="537"/>
      <c r="G3595" s="198"/>
      <c r="H3595" s="123"/>
    </row>
    <row r="3596" spans="3:8" s="99" customFormat="1" x14ac:dyDescent="0.2">
      <c r="C3596" s="198"/>
      <c r="D3596" s="198"/>
      <c r="E3596" s="537"/>
      <c r="G3596" s="198"/>
      <c r="H3596" s="123"/>
    </row>
    <row r="3597" spans="3:8" s="99" customFormat="1" x14ac:dyDescent="0.2">
      <c r="C3597" s="198"/>
      <c r="D3597" s="198"/>
      <c r="E3597" s="537"/>
      <c r="G3597" s="198"/>
      <c r="H3597" s="123"/>
    </row>
    <row r="3598" spans="3:8" s="99" customFormat="1" x14ac:dyDescent="0.2">
      <c r="C3598" s="198"/>
      <c r="D3598" s="198"/>
      <c r="E3598" s="537"/>
      <c r="G3598" s="198"/>
      <c r="H3598" s="123"/>
    </row>
    <row r="3599" spans="3:8" s="99" customFormat="1" x14ac:dyDescent="0.2">
      <c r="C3599" s="198"/>
      <c r="D3599" s="198"/>
      <c r="E3599" s="537"/>
      <c r="G3599" s="198"/>
      <c r="H3599" s="123"/>
    </row>
    <row r="3600" spans="3:8" s="99" customFormat="1" x14ac:dyDescent="0.2">
      <c r="C3600" s="198"/>
      <c r="D3600" s="198"/>
      <c r="E3600" s="537"/>
      <c r="G3600" s="198"/>
      <c r="H3600" s="123"/>
    </row>
    <row r="3601" spans="3:8" s="99" customFormat="1" x14ac:dyDescent="0.2">
      <c r="C3601" s="198"/>
      <c r="D3601" s="198"/>
      <c r="E3601" s="537"/>
      <c r="G3601" s="198"/>
      <c r="H3601" s="123"/>
    </row>
    <row r="3602" spans="3:8" s="99" customFormat="1" x14ac:dyDescent="0.2">
      <c r="C3602" s="198"/>
      <c r="D3602" s="198"/>
      <c r="E3602" s="537"/>
      <c r="G3602" s="198"/>
      <c r="H3602" s="123"/>
    </row>
    <row r="3603" spans="3:8" s="99" customFormat="1" x14ac:dyDescent="0.2">
      <c r="C3603" s="198"/>
      <c r="D3603" s="198"/>
      <c r="E3603" s="537"/>
      <c r="G3603" s="198"/>
      <c r="H3603" s="123"/>
    </row>
    <row r="3604" spans="3:8" s="99" customFormat="1" x14ac:dyDescent="0.2">
      <c r="C3604" s="198"/>
      <c r="D3604" s="198"/>
      <c r="E3604" s="537"/>
      <c r="G3604" s="198"/>
      <c r="H3604" s="123"/>
    </row>
    <row r="3605" spans="3:8" s="99" customFormat="1" x14ac:dyDescent="0.2">
      <c r="C3605" s="198"/>
      <c r="D3605" s="198"/>
      <c r="E3605" s="537"/>
      <c r="G3605" s="198"/>
      <c r="H3605" s="123"/>
    </row>
    <row r="3606" spans="3:8" s="99" customFormat="1" x14ac:dyDescent="0.2">
      <c r="C3606" s="198"/>
      <c r="D3606" s="198"/>
      <c r="E3606" s="537"/>
      <c r="G3606" s="198"/>
      <c r="H3606" s="123"/>
    </row>
    <row r="3607" spans="3:8" s="99" customFormat="1" x14ac:dyDescent="0.2">
      <c r="C3607" s="198"/>
      <c r="D3607" s="198"/>
      <c r="E3607" s="537"/>
      <c r="G3607" s="198"/>
      <c r="H3607" s="123"/>
    </row>
    <row r="3608" spans="3:8" s="99" customFormat="1" x14ac:dyDescent="0.2">
      <c r="C3608" s="198"/>
      <c r="D3608" s="198"/>
      <c r="E3608" s="537"/>
      <c r="G3608" s="198"/>
      <c r="H3608" s="123"/>
    </row>
    <row r="3609" spans="3:8" s="99" customFormat="1" x14ac:dyDescent="0.2">
      <c r="C3609" s="198"/>
      <c r="D3609" s="198"/>
      <c r="E3609" s="537"/>
      <c r="G3609" s="198"/>
      <c r="H3609" s="123"/>
    </row>
    <row r="3610" spans="3:8" s="99" customFormat="1" x14ac:dyDescent="0.2">
      <c r="C3610" s="198"/>
      <c r="D3610" s="198"/>
      <c r="E3610" s="537"/>
      <c r="G3610" s="198"/>
      <c r="H3610" s="123"/>
    </row>
    <row r="3611" spans="3:8" s="99" customFormat="1" x14ac:dyDescent="0.2">
      <c r="C3611" s="198"/>
      <c r="D3611" s="198"/>
      <c r="E3611" s="537"/>
      <c r="G3611" s="198"/>
      <c r="H3611" s="123"/>
    </row>
    <row r="3612" spans="3:8" s="99" customFormat="1" x14ac:dyDescent="0.2">
      <c r="C3612" s="198"/>
      <c r="D3612" s="198"/>
      <c r="E3612" s="537"/>
      <c r="G3612" s="198"/>
      <c r="H3612" s="123"/>
    </row>
    <row r="3613" spans="3:8" s="99" customFormat="1" x14ac:dyDescent="0.2">
      <c r="C3613" s="198"/>
      <c r="D3613" s="198"/>
      <c r="E3613" s="537"/>
      <c r="G3613" s="198"/>
      <c r="H3613" s="123"/>
    </row>
    <row r="3614" spans="3:8" s="99" customFormat="1" x14ac:dyDescent="0.2">
      <c r="C3614" s="198"/>
      <c r="D3614" s="198"/>
      <c r="E3614" s="537"/>
      <c r="G3614" s="198"/>
      <c r="H3614" s="123"/>
    </row>
    <row r="3615" spans="3:8" s="99" customFormat="1" x14ac:dyDescent="0.2">
      <c r="C3615" s="198"/>
      <c r="D3615" s="198"/>
      <c r="E3615" s="537"/>
      <c r="G3615" s="198"/>
      <c r="H3615" s="123"/>
    </row>
    <row r="3616" spans="3:8" s="99" customFormat="1" x14ac:dyDescent="0.2">
      <c r="C3616" s="198"/>
      <c r="D3616" s="198"/>
      <c r="E3616" s="537"/>
      <c r="G3616" s="198"/>
      <c r="H3616" s="123"/>
    </row>
    <row r="3617" spans="3:8" s="99" customFormat="1" x14ac:dyDescent="0.2">
      <c r="C3617" s="198"/>
      <c r="D3617" s="198"/>
      <c r="E3617" s="537"/>
      <c r="G3617" s="198"/>
      <c r="H3617" s="123"/>
    </row>
    <row r="3618" spans="3:8" s="99" customFormat="1" x14ac:dyDescent="0.2">
      <c r="C3618" s="198"/>
      <c r="D3618" s="198"/>
      <c r="E3618" s="537"/>
      <c r="G3618" s="198"/>
      <c r="H3618" s="123"/>
    </row>
    <row r="3619" spans="3:8" s="99" customFormat="1" x14ac:dyDescent="0.2">
      <c r="C3619" s="198"/>
      <c r="D3619" s="198"/>
      <c r="E3619" s="537"/>
      <c r="G3619" s="198"/>
      <c r="H3619" s="123"/>
    </row>
    <row r="3620" spans="3:8" s="99" customFormat="1" x14ac:dyDescent="0.2">
      <c r="C3620" s="198"/>
      <c r="D3620" s="198"/>
      <c r="E3620" s="537"/>
      <c r="G3620" s="198"/>
      <c r="H3620" s="123"/>
    </row>
    <row r="3621" spans="3:8" s="99" customFormat="1" x14ac:dyDescent="0.2">
      <c r="C3621" s="198"/>
      <c r="D3621" s="198"/>
      <c r="E3621" s="537"/>
      <c r="G3621" s="198"/>
      <c r="H3621" s="123"/>
    </row>
    <row r="3622" spans="3:8" s="99" customFormat="1" x14ac:dyDescent="0.2">
      <c r="C3622" s="198"/>
      <c r="D3622" s="198"/>
      <c r="E3622" s="537"/>
      <c r="G3622" s="198"/>
      <c r="H3622" s="123"/>
    </row>
    <row r="3623" spans="3:8" s="99" customFormat="1" x14ac:dyDescent="0.2">
      <c r="C3623" s="198"/>
      <c r="D3623" s="198"/>
      <c r="E3623" s="537"/>
      <c r="G3623" s="198"/>
      <c r="H3623" s="123"/>
    </row>
    <row r="3624" spans="3:8" s="99" customFormat="1" x14ac:dyDescent="0.2">
      <c r="C3624" s="198"/>
      <c r="D3624" s="198"/>
      <c r="E3624" s="537"/>
      <c r="G3624" s="198"/>
      <c r="H3624" s="123"/>
    </row>
    <row r="3625" spans="3:8" s="99" customFormat="1" x14ac:dyDescent="0.2">
      <c r="C3625" s="198"/>
      <c r="D3625" s="198"/>
      <c r="E3625" s="537"/>
      <c r="G3625" s="198"/>
      <c r="H3625" s="123"/>
    </row>
    <row r="3626" spans="3:8" s="99" customFormat="1" x14ac:dyDescent="0.2">
      <c r="C3626" s="198"/>
      <c r="D3626" s="198"/>
      <c r="E3626" s="537"/>
      <c r="G3626" s="198"/>
      <c r="H3626" s="123"/>
    </row>
    <row r="3627" spans="3:8" s="99" customFormat="1" x14ac:dyDescent="0.2">
      <c r="C3627" s="198"/>
      <c r="D3627" s="198"/>
      <c r="E3627" s="537"/>
      <c r="G3627" s="198"/>
      <c r="H3627" s="123"/>
    </row>
    <row r="3628" spans="3:8" s="99" customFormat="1" x14ac:dyDescent="0.2">
      <c r="C3628" s="198"/>
      <c r="D3628" s="198"/>
      <c r="E3628" s="537"/>
      <c r="G3628" s="198"/>
      <c r="H3628" s="123"/>
    </row>
    <row r="3629" spans="3:8" s="99" customFormat="1" x14ac:dyDescent="0.2">
      <c r="C3629" s="198"/>
      <c r="D3629" s="198"/>
      <c r="E3629" s="537"/>
      <c r="G3629" s="198"/>
      <c r="H3629" s="123"/>
    </row>
    <row r="3630" spans="3:8" s="99" customFormat="1" x14ac:dyDescent="0.2">
      <c r="C3630" s="198"/>
      <c r="D3630" s="198"/>
      <c r="E3630" s="537"/>
      <c r="G3630" s="198"/>
      <c r="H3630" s="123"/>
    </row>
    <row r="3631" spans="3:8" s="99" customFormat="1" x14ac:dyDescent="0.2">
      <c r="C3631" s="198"/>
      <c r="D3631" s="198"/>
      <c r="E3631" s="537"/>
      <c r="G3631" s="198"/>
      <c r="H3631" s="123"/>
    </row>
    <row r="3632" spans="3:8" s="99" customFormat="1" x14ac:dyDescent="0.2">
      <c r="C3632" s="198"/>
      <c r="D3632" s="198"/>
      <c r="E3632" s="537"/>
      <c r="G3632" s="198"/>
      <c r="H3632" s="123"/>
    </row>
    <row r="3633" spans="3:8" s="99" customFormat="1" x14ac:dyDescent="0.2">
      <c r="C3633" s="198"/>
      <c r="D3633" s="198"/>
      <c r="E3633" s="537"/>
      <c r="G3633" s="198"/>
      <c r="H3633" s="123"/>
    </row>
    <row r="3634" spans="3:8" s="99" customFormat="1" x14ac:dyDescent="0.2">
      <c r="C3634" s="198"/>
      <c r="D3634" s="198"/>
      <c r="E3634" s="537"/>
      <c r="G3634" s="198"/>
      <c r="H3634" s="123"/>
    </row>
    <row r="3635" spans="3:8" s="99" customFormat="1" x14ac:dyDescent="0.2">
      <c r="C3635" s="198"/>
      <c r="D3635" s="198"/>
      <c r="E3635" s="537"/>
      <c r="G3635" s="198"/>
      <c r="H3635" s="123"/>
    </row>
    <row r="3636" spans="3:8" s="99" customFormat="1" x14ac:dyDescent="0.2">
      <c r="C3636" s="198"/>
      <c r="D3636" s="198"/>
      <c r="E3636" s="537"/>
      <c r="G3636" s="198"/>
      <c r="H3636" s="123"/>
    </row>
    <row r="3637" spans="3:8" s="99" customFormat="1" x14ac:dyDescent="0.2">
      <c r="C3637" s="198"/>
      <c r="D3637" s="198"/>
      <c r="E3637" s="537"/>
      <c r="G3637" s="198"/>
      <c r="H3637" s="123"/>
    </row>
    <row r="3638" spans="3:8" s="99" customFormat="1" x14ac:dyDescent="0.2">
      <c r="C3638" s="198"/>
      <c r="D3638" s="198"/>
      <c r="E3638" s="537"/>
      <c r="G3638" s="198"/>
      <c r="H3638" s="123"/>
    </row>
    <row r="3639" spans="3:8" s="99" customFormat="1" x14ac:dyDescent="0.2">
      <c r="C3639" s="198"/>
      <c r="D3639" s="198"/>
      <c r="E3639" s="537"/>
      <c r="G3639" s="198"/>
      <c r="H3639" s="123"/>
    </row>
    <row r="3640" spans="3:8" s="99" customFormat="1" x14ac:dyDescent="0.2">
      <c r="C3640" s="198"/>
      <c r="D3640" s="198"/>
      <c r="E3640" s="537"/>
      <c r="G3640" s="198"/>
      <c r="H3640" s="123"/>
    </row>
    <row r="3641" spans="3:8" s="99" customFormat="1" x14ac:dyDescent="0.2">
      <c r="C3641" s="198"/>
      <c r="D3641" s="198"/>
      <c r="E3641" s="537"/>
      <c r="G3641" s="198"/>
      <c r="H3641" s="123"/>
    </row>
    <row r="3642" spans="3:8" s="99" customFormat="1" x14ac:dyDescent="0.2">
      <c r="C3642" s="198"/>
      <c r="D3642" s="198"/>
      <c r="E3642" s="537"/>
      <c r="G3642" s="198"/>
      <c r="H3642" s="123"/>
    </row>
    <row r="3643" spans="3:8" s="99" customFormat="1" x14ac:dyDescent="0.2">
      <c r="C3643" s="198"/>
      <c r="D3643" s="198"/>
      <c r="E3643" s="537"/>
      <c r="G3643" s="198"/>
      <c r="H3643" s="123"/>
    </row>
    <row r="3644" spans="3:8" s="99" customFormat="1" x14ac:dyDescent="0.2">
      <c r="C3644" s="198"/>
      <c r="D3644" s="198"/>
      <c r="E3644" s="537"/>
      <c r="G3644" s="198"/>
      <c r="H3644" s="123"/>
    </row>
    <row r="3645" spans="3:8" s="99" customFormat="1" x14ac:dyDescent="0.2">
      <c r="C3645" s="198"/>
      <c r="D3645" s="198"/>
      <c r="E3645" s="537"/>
      <c r="G3645" s="198"/>
      <c r="H3645" s="123"/>
    </row>
    <row r="3646" spans="3:8" s="99" customFormat="1" x14ac:dyDescent="0.2">
      <c r="C3646" s="198"/>
      <c r="D3646" s="198"/>
      <c r="E3646" s="537"/>
      <c r="G3646" s="198"/>
      <c r="H3646" s="123"/>
    </row>
    <row r="3647" spans="3:8" s="99" customFormat="1" x14ac:dyDescent="0.2">
      <c r="C3647" s="198"/>
      <c r="D3647" s="198"/>
      <c r="E3647" s="537"/>
      <c r="G3647" s="198"/>
      <c r="H3647" s="123"/>
    </row>
    <row r="3648" spans="3:8" s="99" customFormat="1" x14ac:dyDescent="0.2">
      <c r="C3648" s="198"/>
      <c r="D3648" s="198"/>
      <c r="E3648" s="537"/>
      <c r="G3648" s="198"/>
      <c r="H3648" s="123"/>
    </row>
    <row r="3649" spans="3:8" s="99" customFormat="1" x14ac:dyDescent="0.2">
      <c r="C3649" s="198"/>
      <c r="D3649" s="198"/>
      <c r="E3649" s="537"/>
      <c r="G3649" s="198"/>
      <c r="H3649" s="123"/>
    </row>
    <row r="3650" spans="3:8" s="99" customFormat="1" x14ac:dyDescent="0.2">
      <c r="C3650" s="198"/>
      <c r="D3650" s="198"/>
      <c r="E3650" s="537"/>
      <c r="G3650" s="198"/>
      <c r="H3650" s="123"/>
    </row>
    <row r="3651" spans="3:8" s="99" customFormat="1" x14ac:dyDescent="0.2">
      <c r="C3651" s="198"/>
      <c r="D3651" s="198"/>
      <c r="E3651" s="537"/>
      <c r="G3651" s="198"/>
      <c r="H3651" s="123"/>
    </row>
    <row r="3652" spans="3:8" s="99" customFormat="1" x14ac:dyDescent="0.2">
      <c r="C3652" s="198"/>
      <c r="D3652" s="198"/>
      <c r="E3652" s="537"/>
      <c r="G3652" s="198"/>
      <c r="H3652" s="123"/>
    </row>
    <row r="3653" spans="3:8" s="99" customFormat="1" x14ac:dyDescent="0.2">
      <c r="C3653" s="198"/>
      <c r="D3653" s="198"/>
      <c r="E3653" s="537"/>
      <c r="G3653" s="198"/>
      <c r="H3653" s="123"/>
    </row>
    <row r="3654" spans="3:8" s="99" customFormat="1" x14ac:dyDescent="0.2">
      <c r="C3654" s="198"/>
      <c r="D3654" s="198"/>
      <c r="E3654" s="537"/>
      <c r="G3654" s="198"/>
      <c r="H3654" s="123"/>
    </row>
    <row r="3655" spans="3:8" s="99" customFormat="1" x14ac:dyDescent="0.2">
      <c r="C3655" s="198"/>
      <c r="D3655" s="198"/>
      <c r="E3655" s="537"/>
      <c r="G3655" s="198"/>
      <c r="H3655" s="123"/>
    </row>
    <row r="3656" spans="3:8" s="99" customFormat="1" x14ac:dyDescent="0.2">
      <c r="C3656" s="198"/>
      <c r="D3656" s="198"/>
      <c r="E3656" s="537"/>
      <c r="G3656" s="198"/>
      <c r="H3656" s="123"/>
    </row>
    <row r="3657" spans="3:8" s="99" customFormat="1" x14ac:dyDescent="0.2">
      <c r="C3657" s="198"/>
      <c r="D3657" s="198"/>
      <c r="E3657" s="537"/>
      <c r="G3657" s="198"/>
      <c r="H3657" s="123"/>
    </row>
    <row r="3658" spans="3:8" s="99" customFormat="1" x14ac:dyDescent="0.2">
      <c r="C3658" s="198"/>
      <c r="D3658" s="198"/>
      <c r="E3658" s="537"/>
      <c r="G3658" s="198"/>
      <c r="H3658" s="123"/>
    </row>
    <row r="3659" spans="3:8" s="99" customFormat="1" x14ac:dyDescent="0.2">
      <c r="C3659" s="198"/>
      <c r="D3659" s="198"/>
      <c r="E3659" s="537"/>
      <c r="G3659" s="198"/>
      <c r="H3659" s="123"/>
    </row>
    <row r="3660" spans="3:8" s="99" customFormat="1" x14ac:dyDescent="0.2">
      <c r="C3660" s="198"/>
      <c r="D3660" s="198"/>
      <c r="E3660" s="537"/>
      <c r="G3660" s="198"/>
      <c r="H3660" s="123"/>
    </row>
    <row r="3661" spans="3:8" s="99" customFormat="1" x14ac:dyDescent="0.2">
      <c r="C3661" s="198"/>
      <c r="D3661" s="198"/>
      <c r="E3661" s="537"/>
      <c r="G3661" s="198"/>
      <c r="H3661" s="123"/>
    </row>
    <row r="3662" spans="3:8" s="99" customFormat="1" x14ac:dyDescent="0.2">
      <c r="C3662" s="198"/>
      <c r="D3662" s="198"/>
      <c r="E3662" s="537"/>
      <c r="G3662" s="198"/>
      <c r="H3662" s="123"/>
    </row>
    <row r="3663" spans="3:8" s="99" customFormat="1" x14ac:dyDescent="0.2">
      <c r="C3663" s="198"/>
      <c r="D3663" s="198"/>
      <c r="E3663" s="537"/>
      <c r="G3663" s="198"/>
      <c r="H3663" s="123"/>
    </row>
    <row r="3664" spans="3:8" s="99" customFormat="1" x14ac:dyDescent="0.2">
      <c r="C3664" s="198"/>
      <c r="D3664" s="198"/>
      <c r="E3664" s="537"/>
      <c r="G3664" s="198"/>
      <c r="H3664" s="123"/>
    </row>
    <row r="3665" spans="3:8" s="99" customFormat="1" x14ac:dyDescent="0.2">
      <c r="C3665" s="198"/>
      <c r="D3665" s="198"/>
      <c r="E3665" s="537"/>
      <c r="G3665" s="198"/>
      <c r="H3665" s="123"/>
    </row>
    <row r="3666" spans="3:8" s="99" customFormat="1" x14ac:dyDescent="0.2">
      <c r="C3666" s="198"/>
      <c r="D3666" s="198"/>
      <c r="E3666" s="537"/>
      <c r="G3666" s="198"/>
      <c r="H3666" s="123"/>
    </row>
    <row r="3667" spans="3:8" s="99" customFormat="1" x14ac:dyDescent="0.2">
      <c r="C3667" s="198"/>
      <c r="D3667" s="198"/>
      <c r="E3667" s="537"/>
      <c r="G3667" s="198"/>
      <c r="H3667" s="123"/>
    </row>
    <row r="3668" spans="3:8" s="99" customFormat="1" x14ac:dyDescent="0.2">
      <c r="C3668" s="198"/>
      <c r="D3668" s="198"/>
      <c r="E3668" s="537"/>
      <c r="G3668" s="198"/>
      <c r="H3668" s="123"/>
    </row>
    <row r="3669" spans="3:8" s="99" customFormat="1" x14ac:dyDescent="0.2">
      <c r="C3669" s="198"/>
      <c r="D3669" s="198"/>
      <c r="E3669" s="537"/>
      <c r="G3669" s="198"/>
      <c r="H3669" s="123"/>
    </row>
    <row r="3670" spans="3:8" s="99" customFormat="1" x14ac:dyDescent="0.2">
      <c r="C3670" s="198"/>
      <c r="D3670" s="198"/>
      <c r="E3670" s="537"/>
      <c r="G3670" s="198"/>
      <c r="H3670" s="123"/>
    </row>
    <row r="3671" spans="3:8" s="99" customFormat="1" x14ac:dyDescent="0.2">
      <c r="C3671" s="198"/>
      <c r="D3671" s="198"/>
      <c r="E3671" s="537"/>
      <c r="G3671" s="198"/>
      <c r="H3671" s="123"/>
    </row>
    <row r="3672" spans="3:8" s="99" customFormat="1" x14ac:dyDescent="0.2">
      <c r="C3672" s="198"/>
      <c r="D3672" s="198"/>
      <c r="E3672" s="537"/>
      <c r="G3672" s="198"/>
      <c r="H3672" s="123"/>
    </row>
    <row r="3673" spans="3:8" s="99" customFormat="1" x14ac:dyDescent="0.2">
      <c r="C3673" s="198"/>
      <c r="D3673" s="198"/>
      <c r="E3673" s="537"/>
      <c r="G3673" s="198"/>
      <c r="H3673" s="123"/>
    </row>
    <row r="3674" spans="3:8" s="99" customFormat="1" x14ac:dyDescent="0.2">
      <c r="C3674" s="198"/>
      <c r="D3674" s="198"/>
      <c r="E3674" s="537"/>
      <c r="G3674" s="198"/>
      <c r="H3674" s="123"/>
    </row>
    <row r="3675" spans="3:8" s="99" customFormat="1" x14ac:dyDescent="0.2">
      <c r="C3675" s="198"/>
      <c r="D3675" s="198"/>
      <c r="E3675" s="537"/>
      <c r="G3675" s="198"/>
      <c r="H3675" s="123"/>
    </row>
    <row r="3676" spans="3:8" s="99" customFormat="1" x14ac:dyDescent="0.2">
      <c r="C3676" s="198"/>
      <c r="D3676" s="198"/>
      <c r="E3676" s="537"/>
      <c r="G3676" s="198"/>
      <c r="H3676" s="123"/>
    </row>
    <row r="3677" spans="3:8" s="99" customFormat="1" x14ac:dyDescent="0.2">
      <c r="C3677" s="198"/>
      <c r="D3677" s="198"/>
      <c r="E3677" s="537"/>
      <c r="G3677" s="198"/>
      <c r="H3677" s="123"/>
    </row>
    <row r="3678" spans="3:8" s="99" customFormat="1" x14ac:dyDescent="0.2">
      <c r="C3678" s="198"/>
      <c r="D3678" s="198"/>
      <c r="E3678" s="537"/>
      <c r="G3678" s="198"/>
      <c r="H3678" s="123"/>
    </row>
    <row r="3679" spans="3:8" s="99" customFormat="1" x14ac:dyDescent="0.2">
      <c r="C3679" s="198"/>
      <c r="D3679" s="198"/>
      <c r="E3679" s="537"/>
      <c r="G3679" s="198"/>
      <c r="H3679" s="123"/>
    </row>
    <row r="3680" spans="3:8" s="99" customFormat="1" x14ac:dyDescent="0.2">
      <c r="C3680" s="198"/>
      <c r="D3680" s="198"/>
      <c r="E3680" s="537"/>
      <c r="G3680" s="198"/>
      <c r="H3680" s="123"/>
    </row>
    <row r="3681" spans="3:8" s="99" customFormat="1" x14ac:dyDescent="0.2">
      <c r="C3681" s="198"/>
      <c r="D3681" s="198"/>
      <c r="E3681" s="537"/>
      <c r="G3681" s="198"/>
      <c r="H3681" s="123"/>
    </row>
    <row r="3682" spans="3:8" s="99" customFormat="1" x14ac:dyDescent="0.2">
      <c r="C3682" s="198"/>
      <c r="D3682" s="198"/>
      <c r="E3682" s="537"/>
      <c r="G3682" s="198"/>
      <c r="H3682" s="123"/>
    </row>
    <row r="3683" spans="3:8" s="99" customFormat="1" x14ac:dyDescent="0.2">
      <c r="C3683" s="198"/>
      <c r="D3683" s="198"/>
      <c r="E3683" s="537"/>
      <c r="G3683" s="198"/>
      <c r="H3683" s="123"/>
    </row>
    <row r="3684" spans="3:8" s="99" customFormat="1" x14ac:dyDescent="0.2">
      <c r="C3684" s="198"/>
      <c r="D3684" s="198"/>
      <c r="E3684" s="537"/>
      <c r="G3684" s="198"/>
      <c r="H3684" s="123"/>
    </row>
    <row r="3685" spans="3:8" s="99" customFormat="1" x14ac:dyDescent="0.2">
      <c r="C3685" s="198"/>
      <c r="D3685" s="198"/>
      <c r="E3685" s="537"/>
      <c r="G3685" s="198"/>
      <c r="H3685" s="123"/>
    </row>
    <row r="3686" spans="3:8" s="99" customFormat="1" x14ac:dyDescent="0.2">
      <c r="C3686" s="198"/>
      <c r="D3686" s="198"/>
      <c r="E3686" s="537"/>
      <c r="G3686" s="198"/>
      <c r="H3686" s="123"/>
    </row>
    <row r="3687" spans="3:8" s="99" customFormat="1" x14ac:dyDescent="0.2">
      <c r="C3687" s="198"/>
      <c r="D3687" s="198"/>
      <c r="E3687" s="537"/>
      <c r="G3687" s="198"/>
      <c r="H3687" s="123"/>
    </row>
    <row r="3688" spans="3:8" s="99" customFormat="1" x14ac:dyDescent="0.2">
      <c r="C3688" s="198"/>
      <c r="D3688" s="198"/>
      <c r="E3688" s="537"/>
      <c r="G3688" s="198"/>
      <c r="H3688" s="123"/>
    </row>
    <row r="3689" spans="3:8" s="99" customFormat="1" x14ac:dyDescent="0.2">
      <c r="C3689" s="198"/>
      <c r="D3689" s="198"/>
      <c r="E3689" s="537"/>
      <c r="G3689" s="198"/>
      <c r="H3689" s="123"/>
    </row>
    <row r="3690" spans="3:8" s="99" customFormat="1" x14ac:dyDescent="0.2">
      <c r="C3690" s="198"/>
      <c r="D3690" s="198"/>
      <c r="E3690" s="537"/>
      <c r="G3690" s="198"/>
      <c r="H3690" s="123"/>
    </row>
    <row r="3691" spans="3:8" s="99" customFormat="1" x14ac:dyDescent="0.2">
      <c r="C3691" s="198"/>
      <c r="D3691" s="198"/>
      <c r="E3691" s="537"/>
      <c r="G3691" s="198"/>
      <c r="H3691" s="123"/>
    </row>
    <row r="3692" spans="3:8" s="99" customFormat="1" x14ac:dyDescent="0.2">
      <c r="C3692" s="198"/>
      <c r="D3692" s="198"/>
      <c r="E3692" s="537"/>
      <c r="G3692" s="198"/>
      <c r="H3692" s="123"/>
    </row>
    <row r="3693" spans="3:8" s="99" customFormat="1" x14ac:dyDescent="0.2">
      <c r="C3693" s="198"/>
      <c r="D3693" s="198"/>
      <c r="E3693" s="537"/>
      <c r="G3693" s="198"/>
      <c r="H3693" s="123"/>
    </row>
    <row r="3694" spans="3:8" s="99" customFormat="1" x14ac:dyDescent="0.2">
      <c r="C3694" s="198"/>
      <c r="D3694" s="198"/>
      <c r="E3694" s="537"/>
      <c r="G3694" s="198"/>
      <c r="H3694" s="123"/>
    </row>
    <row r="3695" spans="3:8" s="99" customFormat="1" x14ac:dyDescent="0.2">
      <c r="C3695" s="198"/>
      <c r="D3695" s="198"/>
      <c r="E3695" s="537"/>
      <c r="G3695" s="198"/>
      <c r="H3695" s="123"/>
    </row>
    <row r="3696" spans="3:8" s="99" customFormat="1" x14ac:dyDescent="0.2">
      <c r="C3696" s="198"/>
      <c r="D3696" s="198"/>
      <c r="E3696" s="537"/>
      <c r="G3696" s="198"/>
      <c r="H3696" s="123"/>
    </row>
    <row r="3697" spans="3:8" s="99" customFormat="1" x14ac:dyDescent="0.2">
      <c r="C3697" s="198"/>
      <c r="D3697" s="198"/>
      <c r="E3697" s="537"/>
      <c r="G3697" s="198"/>
      <c r="H3697" s="123"/>
    </row>
    <row r="3698" spans="3:8" s="99" customFormat="1" x14ac:dyDescent="0.2">
      <c r="C3698" s="198"/>
      <c r="D3698" s="198"/>
      <c r="E3698" s="537"/>
      <c r="G3698" s="198"/>
      <c r="H3698" s="123"/>
    </row>
    <row r="3699" spans="3:8" s="99" customFormat="1" x14ac:dyDescent="0.2">
      <c r="C3699" s="198"/>
      <c r="D3699" s="198"/>
      <c r="E3699" s="537"/>
      <c r="G3699" s="198"/>
      <c r="H3699" s="123"/>
    </row>
    <row r="3700" spans="3:8" s="99" customFormat="1" x14ac:dyDescent="0.2">
      <c r="C3700" s="198"/>
      <c r="D3700" s="198"/>
      <c r="E3700" s="537"/>
      <c r="G3700" s="198"/>
      <c r="H3700" s="123"/>
    </row>
    <row r="3701" spans="3:8" s="99" customFormat="1" x14ac:dyDescent="0.2">
      <c r="C3701" s="198"/>
      <c r="D3701" s="198"/>
      <c r="E3701" s="537"/>
      <c r="G3701" s="198"/>
      <c r="H3701" s="123"/>
    </row>
    <row r="3702" spans="3:8" s="99" customFormat="1" x14ac:dyDescent="0.2">
      <c r="C3702" s="198"/>
      <c r="D3702" s="198"/>
      <c r="E3702" s="537"/>
      <c r="G3702" s="198"/>
      <c r="H3702" s="123"/>
    </row>
    <row r="3703" spans="3:8" s="99" customFormat="1" x14ac:dyDescent="0.2">
      <c r="C3703" s="198"/>
      <c r="D3703" s="198"/>
      <c r="E3703" s="537"/>
      <c r="G3703" s="198"/>
      <c r="H3703" s="123"/>
    </row>
    <row r="3704" spans="3:8" s="99" customFormat="1" x14ac:dyDescent="0.2">
      <c r="C3704" s="198"/>
      <c r="D3704" s="198"/>
      <c r="E3704" s="537"/>
      <c r="G3704" s="198"/>
      <c r="H3704" s="123"/>
    </row>
    <row r="3705" spans="3:8" s="99" customFormat="1" x14ac:dyDescent="0.2">
      <c r="C3705" s="198"/>
      <c r="D3705" s="198"/>
      <c r="E3705" s="537"/>
      <c r="G3705" s="198"/>
      <c r="H3705" s="123"/>
    </row>
    <row r="3706" spans="3:8" s="99" customFormat="1" x14ac:dyDescent="0.2">
      <c r="C3706" s="198"/>
      <c r="D3706" s="198"/>
      <c r="E3706" s="537"/>
      <c r="G3706" s="198"/>
      <c r="H3706" s="123"/>
    </row>
    <row r="3707" spans="3:8" s="99" customFormat="1" x14ac:dyDescent="0.2">
      <c r="C3707" s="198"/>
      <c r="D3707" s="198"/>
      <c r="E3707" s="537"/>
      <c r="G3707" s="198"/>
      <c r="H3707" s="123"/>
    </row>
    <row r="3708" spans="3:8" s="99" customFormat="1" x14ac:dyDescent="0.2">
      <c r="C3708" s="198"/>
      <c r="D3708" s="198"/>
      <c r="E3708" s="537"/>
      <c r="G3708" s="198"/>
      <c r="H3708" s="123"/>
    </row>
    <row r="3709" spans="3:8" s="99" customFormat="1" x14ac:dyDescent="0.2">
      <c r="C3709" s="198"/>
      <c r="D3709" s="198"/>
      <c r="E3709" s="537"/>
      <c r="G3709" s="198"/>
      <c r="H3709" s="123"/>
    </row>
    <row r="3710" spans="3:8" s="99" customFormat="1" x14ac:dyDescent="0.2">
      <c r="C3710" s="198"/>
      <c r="D3710" s="198"/>
      <c r="E3710" s="537"/>
      <c r="G3710" s="198"/>
      <c r="H3710" s="123"/>
    </row>
    <row r="3711" spans="3:8" s="99" customFormat="1" x14ac:dyDescent="0.2">
      <c r="C3711" s="198"/>
      <c r="D3711" s="198"/>
      <c r="E3711" s="537"/>
      <c r="G3711" s="198"/>
      <c r="H3711" s="123"/>
    </row>
    <row r="3712" spans="3:8" s="99" customFormat="1" x14ac:dyDescent="0.2">
      <c r="C3712" s="198"/>
      <c r="D3712" s="198"/>
      <c r="E3712" s="537"/>
      <c r="G3712" s="198"/>
      <c r="H3712" s="123"/>
    </row>
    <row r="3713" spans="3:8" s="99" customFormat="1" x14ac:dyDescent="0.2">
      <c r="C3713" s="198"/>
      <c r="D3713" s="198"/>
      <c r="E3713" s="537"/>
      <c r="G3713" s="198"/>
      <c r="H3713" s="123"/>
    </row>
    <row r="3714" spans="3:8" s="99" customFormat="1" x14ac:dyDescent="0.2">
      <c r="C3714" s="198"/>
      <c r="D3714" s="198"/>
      <c r="E3714" s="537"/>
      <c r="G3714" s="198"/>
      <c r="H3714" s="123"/>
    </row>
    <row r="3715" spans="3:8" s="99" customFormat="1" x14ac:dyDescent="0.2">
      <c r="C3715" s="198"/>
      <c r="D3715" s="198"/>
      <c r="E3715" s="537"/>
      <c r="G3715" s="198"/>
      <c r="H3715" s="123"/>
    </row>
    <row r="3716" spans="3:8" s="99" customFormat="1" x14ac:dyDescent="0.2">
      <c r="C3716" s="198"/>
      <c r="D3716" s="198"/>
      <c r="E3716" s="537"/>
      <c r="G3716" s="198"/>
      <c r="H3716" s="123"/>
    </row>
    <row r="3717" spans="3:8" s="99" customFormat="1" x14ac:dyDescent="0.2">
      <c r="C3717" s="198"/>
      <c r="D3717" s="198"/>
      <c r="E3717" s="537"/>
      <c r="G3717" s="198"/>
      <c r="H3717" s="123"/>
    </row>
    <row r="3718" spans="3:8" s="99" customFormat="1" x14ac:dyDescent="0.2">
      <c r="C3718" s="198"/>
      <c r="D3718" s="198"/>
      <c r="E3718" s="537"/>
      <c r="G3718" s="198"/>
      <c r="H3718" s="123"/>
    </row>
    <row r="3719" spans="3:8" s="99" customFormat="1" x14ac:dyDescent="0.2">
      <c r="C3719" s="198"/>
      <c r="D3719" s="198"/>
      <c r="E3719" s="537"/>
      <c r="G3719" s="198"/>
      <c r="H3719" s="123"/>
    </row>
    <row r="3720" spans="3:8" s="99" customFormat="1" x14ac:dyDescent="0.2">
      <c r="C3720" s="198"/>
      <c r="D3720" s="198"/>
      <c r="E3720" s="537"/>
      <c r="G3720" s="198"/>
      <c r="H3720" s="123"/>
    </row>
    <row r="3721" spans="3:8" s="99" customFormat="1" x14ac:dyDescent="0.2">
      <c r="C3721" s="198"/>
      <c r="D3721" s="198"/>
      <c r="E3721" s="537"/>
      <c r="G3721" s="198"/>
      <c r="H3721" s="123"/>
    </row>
    <row r="3722" spans="3:8" s="99" customFormat="1" x14ac:dyDescent="0.2">
      <c r="C3722" s="198"/>
      <c r="D3722" s="198"/>
      <c r="E3722" s="537"/>
      <c r="G3722" s="198"/>
      <c r="H3722" s="123"/>
    </row>
    <row r="3723" spans="3:8" s="99" customFormat="1" x14ac:dyDescent="0.2">
      <c r="C3723" s="198"/>
      <c r="D3723" s="198"/>
      <c r="E3723" s="537"/>
      <c r="G3723" s="198"/>
      <c r="H3723" s="123"/>
    </row>
    <row r="3724" spans="3:8" s="99" customFormat="1" x14ac:dyDescent="0.2">
      <c r="C3724" s="198"/>
      <c r="D3724" s="198"/>
      <c r="E3724" s="537"/>
      <c r="G3724" s="198"/>
      <c r="H3724" s="123"/>
    </row>
    <row r="3725" spans="3:8" s="99" customFormat="1" x14ac:dyDescent="0.2">
      <c r="C3725" s="198"/>
      <c r="D3725" s="198"/>
      <c r="E3725" s="537"/>
      <c r="G3725" s="198"/>
      <c r="H3725" s="123"/>
    </row>
    <row r="3726" spans="3:8" s="99" customFormat="1" x14ac:dyDescent="0.2">
      <c r="C3726" s="198"/>
      <c r="D3726" s="198"/>
      <c r="E3726" s="537"/>
      <c r="G3726" s="198"/>
      <c r="H3726" s="123"/>
    </row>
    <row r="3727" spans="3:8" s="99" customFormat="1" x14ac:dyDescent="0.2">
      <c r="C3727" s="198"/>
      <c r="D3727" s="198"/>
      <c r="E3727" s="537"/>
      <c r="G3727" s="198"/>
      <c r="H3727" s="123"/>
    </row>
    <row r="3728" spans="3:8" s="99" customFormat="1" x14ac:dyDescent="0.2">
      <c r="C3728" s="198"/>
      <c r="D3728" s="198"/>
      <c r="E3728" s="537"/>
      <c r="G3728" s="198"/>
      <c r="H3728" s="123"/>
    </row>
    <row r="3729" spans="3:8" s="99" customFormat="1" x14ac:dyDescent="0.2">
      <c r="C3729" s="198"/>
      <c r="D3729" s="198"/>
      <c r="E3729" s="537"/>
      <c r="G3729" s="198"/>
      <c r="H3729" s="123"/>
    </row>
    <row r="3730" spans="3:8" s="99" customFormat="1" x14ac:dyDescent="0.2">
      <c r="C3730" s="198"/>
      <c r="D3730" s="198"/>
      <c r="E3730" s="537"/>
      <c r="G3730" s="198"/>
      <c r="H3730" s="123"/>
    </row>
    <row r="3731" spans="3:8" s="99" customFormat="1" x14ac:dyDescent="0.2">
      <c r="C3731" s="198"/>
      <c r="D3731" s="198"/>
      <c r="E3731" s="537"/>
      <c r="G3731" s="198"/>
      <c r="H3731" s="123"/>
    </row>
    <row r="3732" spans="3:8" s="99" customFormat="1" x14ac:dyDescent="0.2">
      <c r="C3732" s="198"/>
      <c r="D3732" s="198"/>
      <c r="E3732" s="537"/>
      <c r="G3732" s="198"/>
      <c r="H3732" s="123"/>
    </row>
    <row r="3733" spans="3:8" s="99" customFormat="1" x14ac:dyDescent="0.2">
      <c r="C3733" s="198"/>
      <c r="D3733" s="198"/>
      <c r="E3733" s="537"/>
      <c r="G3733" s="198"/>
      <c r="H3733" s="123"/>
    </row>
    <row r="3734" spans="3:8" s="99" customFormat="1" x14ac:dyDescent="0.2">
      <c r="C3734" s="198"/>
      <c r="D3734" s="198"/>
      <c r="E3734" s="537"/>
      <c r="G3734" s="198"/>
      <c r="H3734" s="123"/>
    </row>
    <row r="3735" spans="3:8" s="99" customFormat="1" x14ac:dyDescent="0.2">
      <c r="C3735" s="198"/>
      <c r="D3735" s="198"/>
      <c r="E3735" s="537"/>
      <c r="G3735" s="198"/>
      <c r="H3735" s="123"/>
    </row>
    <row r="3736" spans="3:8" s="99" customFormat="1" x14ac:dyDescent="0.2">
      <c r="C3736" s="198"/>
      <c r="D3736" s="198"/>
      <c r="E3736" s="537"/>
      <c r="G3736" s="198"/>
      <c r="H3736" s="123"/>
    </row>
    <row r="3737" spans="3:8" s="99" customFormat="1" x14ac:dyDescent="0.2">
      <c r="C3737" s="198"/>
      <c r="D3737" s="198"/>
      <c r="E3737" s="537"/>
      <c r="G3737" s="198"/>
      <c r="H3737" s="123"/>
    </row>
    <row r="3738" spans="3:8" s="99" customFormat="1" x14ac:dyDescent="0.2">
      <c r="C3738" s="198"/>
      <c r="D3738" s="198"/>
      <c r="E3738" s="537"/>
      <c r="G3738" s="198"/>
      <c r="H3738" s="123"/>
    </row>
    <row r="3739" spans="3:8" s="99" customFormat="1" x14ac:dyDescent="0.2">
      <c r="C3739" s="198"/>
      <c r="D3739" s="198"/>
      <c r="E3739" s="537"/>
      <c r="G3739" s="198"/>
      <c r="H3739" s="123"/>
    </row>
    <row r="3740" spans="3:8" s="99" customFormat="1" x14ac:dyDescent="0.2">
      <c r="C3740" s="198"/>
      <c r="D3740" s="198"/>
      <c r="E3740" s="537"/>
      <c r="G3740" s="198"/>
      <c r="H3740" s="123"/>
    </row>
    <row r="3741" spans="3:8" s="99" customFormat="1" x14ac:dyDescent="0.2">
      <c r="C3741" s="198"/>
      <c r="D3741" s="198"/>
      <c r="E3741" s="537"/>
      <c r="G3741" s="198"/>
      <c r="H3741" s="123"/>
    </row>
    <row r="3742" spans="3:8" s="99" customFormat="1" x14ac:dyDescent="0.2">
      <c r="C3742" s="198"/>
      <c r="D3742" s="198"/>
      <c r="E3742" s="537"/>
      <c r="G3742" s="198"/>
      <c r="H3742" s="123"/>
    </row>
    <row r="3743" spans="3:8" s="99" customFormat="1" x14ac:dyDescent="0.2">
      <c r="C3743" s="198"/>
      <c r="D3743" s="198"/>
      <c r="E3743" s="537"/>
      <c r="G3743" s="198"/>
      <c r="H3743" s="123"/>
    </row>
    <row r="3744" spans="3:8" s="99" customFormat="1" x14ac:dyDescent="0.2">
      <c r="C3744" s="198"/>
      <c r="D3744" s="198"/>
      <c r="E3744" s="537"/>
      <c r="G3744" s="198"/>
      <c r="H3744" s="123"/>
    </row>
    <row r="3745" spans="3:8" s="99" customFormat="1" x14ac:dyDescent="0.2">
      <c r="C3745" s="198"/>
      <c r="D3745" s="198"/>
      <c r="E3745" s="537"/>
      <c r="G3745" s="198"/>
      <c r="H3745" s="123"/>
    </row>
    <row r="3746" spans="3:8" s="99" customFormat="1" x14ac:dyDescent="0.2">
      <c r="C3746" s="198"/>
      <c r="D3746" s="198"/>
      <c r="E3746" s="537"/>
      <c r="G3746" s="198"/>
      <c r="H3746" s="123"/>
    </row>
    <row r="3747" spans="3:8" s="99" customFormat="1" x14ac:dyDescent="0.2">
      <c r="C3747" s="198"/>
      <c r="D3747" s="198"/>
      <c r="E3747" s="537"/>
      <c r="G3747" s="198"/>
      <c r="H3747" s="123"/>
    </row>
    <row r="3748" spans="3:8" s="99" customFormat="1" x14ac:dyDescent="0.2">
      <c r="C3748" s="198"/>
      <c r="D3748" s="198"/>
      <c r="E3748" s="537"/>
      <c r="G3748" s="198"/>
      <c r="H3748" s="123"/>
    </row>
    <row r="3749" spans="3:8" s="99" customFormat="1" x14ac:dyDescent="0.2">
      <c r="C3749" s="198"/>
      <c r="D3749" s="198"/>
      <c r="E3749" s="537"/>
      <c r="G3749" s="198"/>
      <c r="H3749" s="123"/>
    </row>
    <row r="3750" spans="3:8" s="99" customFormat="1" x14ac:dyDescent="0.2">
      <c r="C3750" s="198"/>
      <c r="D3750" s="198"/>
      <c r="E3750" s="537"/>
      <c r="G3750" s="198"/>
      <c r="H3750" s="123"/>
    </row>
    <row r="3751" spans="3:8" s="99" customFormat="1" x14ac:dyDescent="0.2">
      <c r="C3751" s="198"/>
      <c r="D3751" s="198"/>
      <c r="E3751" s="537"/>
      <c r="G3751" s="198"/>
      <c r="H3751" s="123"/>
    </row>
    <row r="3752" spans="3:8" s="99" customFormat="1" x14ac:dyDescent="0.2">
      <c r="C3752" s="198"/>
      <c r="D3752" s="198"/>
      <c r="E3752" s="537"/>
      <c r="G3752" s="198"/>
      <c r="H3752" s="123"/>
    </row>
    <row r="3753" spans="3:8" s="99" customFormat="1" x14ac:dyDescent="0.2">
      <c r="C3753" s="198"/>
      <c r="D3753" s="198"/>
      <c r="E3753" s="537"/>
      <c r="G3753" s="198"/>
      <c r="H3753" s="123"/>
    </row>
    <row r="3754" spans="3:8" s="99" customFormat="1" x14ac:dyDescent="0.2">
      <c r="C3754" s="198"/>
      <c r="D3754" s="198"/>
      <c r="E3754" s="537"/>
      <c r="G3754" s="198"/>
      <c r="H3754" s="123"/>
    </row>
    <row r="3755" spans="3:8" s="99" customFormat="1" x14ac:dyDescent="0.2">
      <c r="C3755" s="198"/>
      <c r="D3755" s="198"/>
      <c r="E3755" s="537"/>
      <c r="G3755" s="198"/>
      <c r="H3755" s="123"/>
    </row>
    <row r="3756" spans="3:8" s="99" customFormat="1" x14ac:dyDescent="0.2">
      <c r="C3756" s="198"/>
      <c r="D3756" s="198"/>
      <c r="E3756" s="537"/>
      <c r="G3756" s="198"/>
      <c r="H3756" s="123"/>
    </row>
    <row r="3757" spans="3:8" s="99" customFormat="1" x14ac:dyDescent="0.2">
      <c r="C3757" s="198"/>
      <c r="D3757" s="198"/>
      <c r="E3757" s="537"/>
      <c r="G3757" s="198"/>
      <c r="H3757" s="123"/>
    </row>
    <row r="3758" spans="3:8" s="99" customFormat="1" x14ac:dyDescent="0.2">
      <c r="C3758" s="198"/>
      <c r="D3758" s="198"/>
      <c r="E3758" s="537"/>
      <c r="G3758" s="198"/>
      <c r="H3758" s="123"/>
    </row>
    <row r="3759" spans="3:8" s="99" customFormat="1" x14ac:dyDescent="0.2">
      <c r="C3759" s="198"/>
      <c r="D3759" s="198"/>
      <c r="E3759" s="537"/>
      <c r="G3759" s="198"/>
      <c r="H3759" s="123"/>
    </row>
    <row r="3760" spans="3:8" s="99" customFormat="1" x14ac:dyDescent="0.2">
      <c r="C3760" s="198"/>
      <c r="D3760" s="198"/>
      <c r="E3760" s="537"/>
      <c r="G3760" s="198"/>
      <c r="H3760" s="123"/>
    </row>
    <row r="3761" spans="3:8" s="99" customFormat="1" x14ac:dyDescent="0.2">
      <c r="C3761" s="198"/>
      <c r="D3761" s="198"/>
      <c r="E3761" s="537"/>
      <c r="G3761" s="198"/>
      <c r="H3761" s="123"/>
    </row>
    <row r="3762" spans="3:8" s="99" customFormat="1" x14ac:dyDescent="0.2">
      <c r="C3762" s="198"/>
      <c r="D3762" s="198"/>
      <c r="E3762" s="537"/>
      <c r="G3762" s="198"/>
      <c r="H3762" s="123"/>
    </row>
    <row r="3763" spans="3:8" s="99" customFormat="1" x14ac:dyDescent="0.2">
      <c r="C3763" s="198"/>
      <c r="D3763" s="198"/>
      <c r="E3763" s="537"/>
      <c r="G3763" s="198"/>
      <c r="H3763" s="123"/>
    </row>
    <row r="3764" spans="3:8" s="99" customFormat="1" x14ac:dyDescent="0.2">
      <c r="C3764" s="198"/>
      <c r="D3764" s="198"/>
      <c r="E3764" s="537"/>
      <c r="G3764" s="198"/>
      <c r="H3764" s="123"/>
    </row>
    <row r="3765" spans="3:8" s="99" customFormat="1" x14ac:dyDescent="0.2">
      <c r="C3765" s="198"/>
      <c r="D3765" s="198"/>
      <c r="E3765" s="537"/>
      <c r="G3765" s="198"/>
      <c r="H3765" s="123"/>
    </row>
    <row r="3766" spans="3:8" s="99" customFormat="1" x14ac:dyDescent="0.2">
      <c r="C3766" s="198"/>
      <c r="D3766" s="198"/>
      <c r="E3766" s="537"/>
      <c r="G3766" s="198"/>
      <c r="H3766" s="123"/>
    </row>
    <row r="3767" spans="3:8" s="99" customFormat="1" x14ac:dyDescent="0.2">
      <c r="C3767" s="198"/>
      <c r="D3767" s="198"/>
      <c r="E3767" s="537"/>
      <c r="G3767" s="198"/>
      <c r="H3767" s="123"/>
    </row>
    <row r="3768" spans="3:8" s="99" customFormat="1" x14ac:dyDescent="0.2">
      <c r="C3768" s="198"/>
      <c r="D3768" s="198"/>
      <c r="E3768" s="537"/>
      <c r="G3768" s="198"/>
      <c r="H3768" s="123"/>
    </row>
    <row r="3769" spans="3:8" s="99" customFormat="1" x14ac:dyDescent="0.2">
      <c r="C3769" s="198"/>
      <c r="D3769" s="198"/>
      <c r="E3769" s="537"/>
      <c r="G3769" s="198"/>
      <c r="H3769" s="123"/>
    </row>
    <row r="3770" spans="3:8" s="99" customFormat="1" x14ac:dyDescent="0.2">
      <c r="C3770" s="198"/>
      <c r="D3770" s="198"/>
      <c r="E3770" s="537"/>
      <c r="G3770" s="198"/>
      <c r="H3770" s="123"/>
    </row>
    <row r="3771" spans="3:8" s="99" customFormat="1" x14ac:dyDescent="0.2">
      <c r="C3771" s="198"/>
      <c r="D3771" s="198"/>
      <c r="E3771" s="537"/>
      <c r="G3771" s="198"/>
      <c r="H3771" s="123"/>
    </row>
    <row r="3772" spans="3:8" s="99" customFormat="1" x14ac:dyDescent="0.2">
      <c r="C3772" s="198"/>
      <c r="D3772" s="198"/>
      <c r="E3772" s="537"/>
      <c r="G3772" s="198"/>
      <c r="H3772" s="123"/>
    </row>
    <row r="3773" spans="3:8" s="99" customFormat="1" x14ac:dyDescent="0.2">
      <c r="C3773" s="198"/>
      <c r="D3773" s="198"/>
      <c r="E3773" s="537"/>
      <c r="G3773" s="198"/>
      <c r="H3773" s="123"/>
    </row>
    <row r="3774" spans="3:8" s="99" customFormat="1" x14ac:dyDescent="0.2">
      <c r="C3774" s="198"/>
      <c r="D3774" s="198"/>
      <c r="E3774" s="537"/>
      <c r="G3774" s="198"/>
      <c r="H3774" s="123"/>
    </row>
    <row r="3775" spans="3:8" s="99" customFormat="1" x14ac:dyDescent="0.2">
      <c r="C3775" s="198"/>
      <c r="D3775" s="198"/>
      <c r="E3775" s="537"/>
      <c r="G3775" s="198"/>
      <c r="H3775" s="123"/>
    </row>
    <row r="3776" spans="3:8" s="99" customFormat="1" x14ac:dyDescent="0.2">
      <c r="C3776" s="198"/>
      <c r="D3776" s="198"/>
      <c r="E3776" s="537"/>
      <c r="G3776" s="198"/>
      <c r="H3776" s="123"/>
    </row>
    <row r="3777" spans="3:8" s="99" customFormat="1" x14ac:dyDescent="0.2">
      <c r="C3777" s="198"/>
      <c r="D3777" s="198"/>
      <c r="E3777" s="537"/>
      <c r="G3777" s="198"/>
      <c r="H3777" s="123"/>
    </row>
    <row r="3778" spans="3:8" s="99" customFormat="1" x14ac:dyDescent="0.2">
      <c r="C3778" s="198"/>
      <c r="D3778" s="198"/>
      <c r="E3778" s="537"/>
      <c r="G3778" s="198"/>
      <c r="H3778" s="123"/>
    </row>
    <row r="3779" spans="3:8" s="99" customFormat="1" x14ac:dyDescent="0.2">
      <c r="C3779" s="198"/>
      <c r="D3779" s="198"/>
      <c r="E3779" s="537"/>
      <c r="G3779" s="198"/>
      <c r="H3779" s="123"/>
    </row>
    <row r="3780" spans="3:8" s="99" customFormat="1" x14ac:dyDescent="0.2">
      <c r="C3780" s="198"/>
      <c r="D3780" s="198"/>
      <c r="E3780" s="537"/>
      <c r="G3780" s="198"/>
      <c r="H3780" s="123"/>
    </row>
    <row r="3781" spans="3:8" s="99" customFormat="1" x14ac:dyDescent="0.2">
      <c r="C3781" s="198"/>
      <c r="D3781" s="198"/>
      <c r="E3781" s="537"/>
      <c r="G3781" s="198"/>
      <c r="H3781" s="123"/>
    </row>
    <row r="3782" spans="3:8" s="99" customFormat="1" x14ac:dyDescent="0.2">
      <c r="C3782" s="198"/>
      <c r="D3782" s="198"/>
      <c r="E3782" s="537"/>
      <c r="G3782" s="198"/>
      <c r="H3782" s="123"/>
    </row>
    <row r="3783" spans="3:8" s="99" customFormat="1" x14ac:dyDescent="0.2">
      <c r="C3783" s="198"/>
      <c r="D3783" s="198"/>
      <c r="E3783" s="537"/>
      <c r="G3783" s="198"/>
      <c r="H3783" s="123"/>
    </row>
    <row r="3784" spans="3:8" s="99" customFormat="1" x14ac:dyDescent="0.2">
      <c r="C3784" s="198"/>
      <c r="D3784" s="198"/>
      <c r="E3784" s="537"/>
      <c r="G3784" s="198"/>
      <c r="H3784" s="123"/>
    </row>
    <row r="3785" spans="3:8" s="99" customFormat="1" x14ac:dyDescent="0.2">
      <c r="C3785" s="198"/>
      <c r="D3785" s="198"/>
      <c r="E3785" s="537"/>
      <c r="G3785" s="198"/>
      <c r="H3785" s="123"/>
    </row>
    <row r="3786" spans="3:8" s="99" customFormat="1" x14ac:dyDescent="0.2">
      <c r="C3786" s="198"/>
      <c r="D3786" s="198"/>
      <c r="E3786" s="537"/>
      <c r="G3786" s="198"/>
      <c r="H3786" s="123"/>
    </row>
    <row r="3787" spans="3:8" s="99" customFormat="1" x14ac:dyDescent="0.2">
      <c r="C3787" s="198"/>
      <c r="D3787" s="198"/>
      <c r="E3787" s="537"/>
      <c r="G3787" s="198"/>
      <c r="H3787" s="123"/>
    </row>
    <row r="3788" spans="3:8" s="99" customFormat="1" x14ac:dyDescent="0.2">
      <c r="C3788" s="198"/>
      <c r="D3788" s="198"/>
      <c r="E3788" s="537"/>
      <c r="G3788" s="198"/>
      <c r="H3788" s="123"/>
    </row>
    <row r="3789" spans="3:8" s="99" customFormat="1" x14ac:dyDescent="0.2">
      <c r="C3789" s="198"/>
      <c r="D3789" s="198"/>
      <c r="E3789" s="537"/>
      <c r="G3789" s="198"/>
      <c r="H3789" s="123"/>
    </row>
    <row r="3790" spans="3:8" s="99" customFormat="1" x14ac:dyDescent="0.2">
      <c r="C3790" s="198"/>
      <c r="D3790" s="198"/>
      <c r="E3790" s="537"/>
      <c r="G3790" s="198"/>
      <c r="H3790" s="123"/>
    </row>
    <row r="3791" spans="3:8" s="99" customFormat="1" x14ac:dyDescent="0.2">
      <c r="C3791" s="198"/>
      <c r="D3791" s="198"/>
      <c r="E3791" s="537"/>
      <c r="G3791" s="198"/>
      <c r="H3791" s="123"/>
    </row>
    <row r="3792" spans="3:8" s="99" customFormat="1" x14ac:dyDescent="0.2">
      <c r="C3792" s="198"/>
      <c r="D3792" s="198"/>
      <c r="E3792" s="537"/>
      <c r="G3792" s="198"/>
      <c r="H3792" s="123"/>
    </row>
    <row r="3793" spans="3:8" s="99" customFormat="1" x14ac:dyDescent="0.2">
      <c r="C3793" s="198"/>
      <c r="D3793" s="198"/>
      <c r="E3793" s="537"/>
      <c r="G3793" s="198"/>
      <c r="H3793" s="123"/>
    </row>
    <row r="3794" spans="3:8" s="99" customFormat="1" x14ac:dyDescent="0.2">
      <c r="C3794" s="198"/>
      <c r="D3794" s="198"/>
      <c r="E3794" s="537"/>
      <c r="G3794" s="198"/>
      <c r="H3794" s="123"/>
    </row>
    <row r="3795" spans="3:8" s="99" customFormat="1" x14ac:dyDescent="0.2">
      <c r="C3795" s="198"/>
      <c r="D3795" s="198"/>
      <c r="E3795" s="537"/>
      <c r="G3795" s="198"/>
      <c r="H3795" s="123"/>
    </row>
    <row r="3796" spans="3:8" s="99" customFormat="1" x14ac:dyDescent="0.2">
      <c r="C3796" s="198"/>
      <c r="D3796" s="198"/>
      <c r="E3796" s="537"/>
      <c r="G3796" s="198"/>
      <c r="H3796" s="123"/>
    </row>
    <row r="3797" spans="3:8" s="99" customFormat="1" x14ac:dyDescent="0.2">
      <c r="C3797" s="198"/>
      <c r="D3797" s="198"/>
      <c r="E3797" s="537"/>
      <c r="G3797" s="198"/>
      <c r="H3797" s="123"/>
    </row>
    <row r="3798" spans="3:8" s="99" customFormat="1" x14ac:dyDescent="0.2">
      <c r="C3798" s="198"/>
      <c r="D3798" s="198"/>
      <c r="E3798" s="537"/>
      <c r="G3798" s="198"/>
      <c r="H3798" s="123"/>
    </row>
    <row r="3799" spans="3:8" s="99" customFormat="1" x14ac:dyDescent="0.2">
      <c r="C3799" s="198"/>
      <c r="D3799" s="198"/>
      <c r="E3799" s="537"/>
      <c r="G3799" s="198"/>
      <c r="H3799" s="123"/>
    </row>
    <row r="3800" spans="3:8" s="99" customFormat="1" x14ac:dyDescent="0.2">
      <c r="C3800" s="198"/>
      <c r="D3800" s="198"/>
      <c r="E3800" s="537"/>
      <c r="G3800" s="198"/>
      <c r="H3800" s="123"/>
    </row>
    <row r="3801" spans="3:8" s="99" customFormat="1" x14ac:dyDescent="0.2">
      <c r="C3801" s="198"/>
      <c r="D3801" s="198"/>
      <c r="E3801" s="537"/>
      <c r="G3801" s="198"/>
      <c r="H3801" s="123"/>
    </row>
    <row r="3802" spans="3:8" s="99" customFormat="1" x14ac:dyDescent="0.2">
      <c r="C3802" s="198"/>
      <c r="D3802" s="198"/>
      <c r="E3802" s="537"/>
      <c r="G3802" s="198"/>
      <c r="H3802" s="123"/>
    </row>
    <row r="3803" spans="3:8" s="99" customFormat="1" x14ac:dyDescent="0.2">
      <c r="C3803" s="198"/>
      <c r="D3803" s="198"/>
      <c r="E3803" s="537"/>
      <c r="G3803" s="198"/>
      <c r="H3803" s="123"/>
    </row>
    <row r="3804" spans="3:8" s="99" customFormat="1" x14ac:dyDescent="0.2">
      <c r="C3804" s="198"/>
      <c r="D3804" s="198"/>
      <c r="E3804" s="537"/>
      <c r="G3804" s="198"/>
      <c r="H3804" s="123"/>
    </row>
    <row r="3805" spans="3:8" s="99" customFormat="1" x14ac:dyDescent="0.2">
      <c r="C3805" s="198"/>
      <c r="D3805" s="198"/>
      <c r="E3805" s="537"/>
      <c r="G3805" s="198"/>
      <c r="H3805" s="123"/>
    </row>
    <row r="3806" spans="3:8" s="99" customFormat="1" x14ac:dyDescent="0.2">
      <c r="C3806" s="198"/>
      <c r="D3806" s="198"/>
      <c r="E3806" s="537"/>
      <c r="G3806" s="198"/>
      <c r="H3806" s="123"/>
    </row>
    <row r="3807" spans="3:8" s="99" customFormat="1" x14ac:dyDescent="0.2">
      <c r="C3807" s="198"/>
      <c r="D3807" s="198"/>
      <c r="E3807" s="537"/>
      <c r="G3807" s="198"/>
      <c r="H3807" s="123"/>
    </row>
    <row r="3808" spans="3:8" s="99" customFormat="1" x14ac:dyDescent="0.2">
      <c r="C3808" s="198"/>
      <c r="D3808" s="198"/>
      <c r="E3808" s="537"/>
      <c r="G3808" s="198"/>
      <c r="H3808" s="123"/>
    </row>
    <row r="3809" spans="3:8" s="99" customFormat="1" x14ac:dyDescent="0.2">
      <c r="C3809" s="198"/>
      <c r="D3809" s="198"/>
      <c r="E3809" s="537"/>
      <c r="G3809" s="198"/>
      <c r="H3809" s="123"/>
    </row>
    <row r="3810" spans="3:8" s="99" customFormat="1" x14ac:dyDescent="0.2">
      <c r="C3810" s="198"/>
      <c r="D3810" s="198"/>
      <c r="E3810" s="537"/>
      <c r="G3810" s="198"/>
      <c r="H3810" s="123"/>
    </row>
    <row r="3811" spans="3:8" s="99" customFormat="1" x14ac:dyDescent="0.2">
      <c r="C3811" s="198"/>
      <c r="D3811" s="198"/>
      <c r="E3811" s="537"/>
      <c r="G3811" s="198"/>
      <c r="H3811" s="123"/>
    </row>
    <row r="3812" spans="3:8" s="99" customFormat="1" x14ac:dyDescent="0.2">
      <c r="C3812" s="198"/>
      <c r="D3812" s="198"/>
      <c r="E3812" s="537"/>
      <c r="G3812" s="198"/>
      <c r="H3812" s="123"/>
    </row>
    <row r="3813" spans="3:8" s="99" customFormat="1" x14ac:dyDescent="0.2">
      <c r="C3813" s="198"/>
      <c r="D3813" s="198"/>
      <c r="E3813" s="537"/>
      <c r="G3813" s="198"/>
      <c r="H3813" s="123"/>
    </row>
    <row r="3814" spans="3:8" s="99" customFormat="1" x14ac:dyDescent="0.2">
      <c r="C3814" s="198"/>
      <c r="D3814" s="198"/>
      <c r="E3814" s="537"/>
      <c r="G3814" s="198"/>
      <c r="H3814" s="123"/>
    </row>
    <row r="3815" spans="3:8" s="99" customFormat="1" x14ac:dyDescent="0.2">
      <c r="C3815" s="198"/>
      <c r="D3815" s="198"/>
      <c r="E3815" s="537"/>
      <c r="G3815" s="198"/>
      <c r="H3815" s="123"/>
    </row>
    <row r="3816" spans="3:8" s="99" customFormat="1" x14ac:dyDescent="0.2">
      <c r="C3816" s="198"/>
      <c r="D3816" s="198"/>
      <c r="E3816" s="537"/>
      <c r="G3816" s="198"/>
      <c r="H3816" s="123"/>
    </row>
    <row r="3817" spans="3:8" s="99" customFormat="1" x14ac:dyDescent="0.2">
      <c r="C3817" s="198"/>
      <c r="D3817" s="198"/>
      <c r="E3817" s="537"/>
      <c r="G3817" s="198"/>
      <c r="H3817" s="123"/>
    </row>
    <row r="3818" spans="3:8" s="99" customFormat="1" x14ac:dyDescent="0.2">
      <c r="C3818" s="198"/>
      <c r="D3818" s="198"/>
      <c r="E3818" s="537"/>
      <c r="G3818" s="198"/>
      <c r="H3818" s="123"/>
    </row>
    <row r="3819" spans="3:8" s="99" customFormat="1" x14ac:dyDescent="0.2">
      <c r="C3819" s="198"/>
      <c r="D3819" s="198"/>
      <c r="E3819" s="537"/>
      <c r="G3819" s="198"/>
      <c r="H3819" s="123"/>
    </row>
    <row r="3820" spans="3:8" s="99" customFormat="1" x14ac:dyDescent="0.2">
      <c r="C3820" s="198"/>
      <c r="D3820" s="198"/>
      <c r="E3820" s="537"/>
      <c r="G3820" s="198"/>
      <c r="H3820" s="123"/>
    </row>
    <row r="3821" spans="3:8" s="99" customFormat="1" x14ac:dyDescent="0.2">
      <c r="C3821" s="198"/>
      <c r="D3821" s="198"/>
      <c r="E3821" s="537"/>
      <c r="G3821" s="198"/>
      <c r="H3821" s="123"/>
    </row>
    <row r="3822" spans="3:8" s="99" customFormat="1" x14ac:dyDescent="0.2">
      <c r="C3822" s="198"/>
      <c r="D3822" s="198"/>
      <c r="E3822" s="537"/>
      <c r="G3822" s="198"/>
      <c r="H3822" s="123"/>
    </row>
    <row r="3823" spans="3:8" s="99" customFormat="1" x14ac:dyDescent="0.2">
      <c r="C3823" s="198"/>
      <c r="D3823" s="198"/>
      <c r="E3823" s="537"/>
      <c r="G3823" s="198"/>
      <c r="H3823" s="123"/>
    </row>
    <row r="3824" spans="3:8" s="99" customFormat="1" x14ac:dyDescent="0.2">
      <c r="C3824" s="198"/>
      <c r="D3824" s="198"/>
      <c r="E3824" s="537"/>
      <c r="G3824" s="198"/>
      <c r="H3824" s="123"/>
    </row>
    <row r="3825" spans="3:8" s="99" customFormat="1" x14ac:dyDescent="0.2">
      <c r="C3825" s="198"/>
      <c r="D3825" s="198"/>
      <c r="E3825" s="537"/>
      <c r="G3825" s="198"/>
      <c r="H3825" s="123"/>
    </row>
    <row r="3826" spans="3:8" s="99" customFormat="1" x14ac:dyDescent="0.2">
      <c r="C3826" s="198"/>
      <c r="D3826" s="198"/>
      <c r="E3826" s="537"/>
      <c r="G3826" s="198"/>
      <c r="H3826" s="123"/>
    </row>
    <row r="3827" spans="3:8" s="99" customFormat="1" x14ac:dyDescent="0.2">
      <c r="C3827" s="198"/>
      <c r="D3827" s="198"/>
      <c r="E3827" s="537"/>
      <c r="G3827" s="198"/>
      <c r="H3827" s="123"/>
    </row>
    <row r="3828" spans="3:8" s="99" customFormat="1" x14ac:dyDescent="0.2">
      <c r="C3828" s="198"/>
      <c r="D3828" s="198"/>
      <c r="E3828" s="537"/>
      <c r="G3828" s="198"/>
      <c r="H3828" s="123"/>
    </row>
    <row r="3829" spans="3:8" s="99" customFormat="1" x14ac:dyDescent="0.2">
      <c r="C3829" s="198"/>
      <c r="D3829" s="198"/>
      <c r="E3829" s="537"/>
      <c r="G3829" s="198"/>
      <c r="H3829" s="123"/>
    </row>
    <row r="3830" spans="3:8" s="99" customFormat="1" x14ac:dyDescent="0.2">
      <c r="C3830" s="198"/>
      <c r="D3830" s="198"/>
      <c r="E3830" s="537"/>
      <c r="G3830" s="198"/>
      <c r="H3830" s="123"/>
    </row>
    <row r="3831" spans="3:8" s="99" customFormat="1" x14ac:dyDescent="0.2">
      <c r="C3831" s="198"/>
      <c r="D3831" s="198"/>
      <c r="E3831" s="537"/>
      <c r="G3831" s="198"/>
      <c r="H3831" s="123"/>
    </row>
    <row r="3832" spans="3:8" s="99" customFormat="1" x14ac:dyDescent="0.2">
      <c r="C3832" s="198"/>
      <c r="D3832" s="198"/>
      <c r="E3832" s="537"/>
      <c r="G3832" s="198"/>
      <c r="H3832" s="123"/>
    </row>
    <row r="3833" spans="3:8" s="99" customFormat="1" x14ac:dyDescent="0.2">
      <c r="C3833" s="198"/>
      <c r="D3833" s="198"/>
      <c r="E3833" s="537"/>
      <c r="G3833" s="198"/>
      <c r="H3833" s="123"/>
    </row>
    <row r="3834" spans="3:8" s="99" customFormat="1" x14ac:dyDescent="0.2">
      <c r="C3834" s="198"/>
      <c r="D3834" s="198"/>
      <c r="E3834" s="537"/>
      <c r="G3834" s="198"/>
      <c r="H3834" s="123"/>
    </row>
    <row r="3835" spans="3:8" s="99" customFormat="1" x14ac:dyDescent="0.2">
      <c r="C3835" s="198"/>
      <c r="D3835" s="198"/>
      <c r="E3835" s="537"/>
      <c r="G3835" s="198"/>
      <c r="H3835" s="123"/>
    </row>
    <row r="3836" spans="3:8" s="99" customFormat="1" x14ac:dyDescent="0.2">
      <c r="C3836" s="198"/>
      <c r="D3836" s="198"/>
      <c r="E3836" s="537"/>
      <c r="G3836" s="198"/>
      <c r="H3836" s="123"/>
    </row>
    <row r="3837" spans="3:8" s="99" customFormat="1" x14ac:dyDescent="0.2">
      <c r="C3837" s="198"/>
      <c r="D3837" s="198"/>
      <c r="E3837" s="537"/>
      <c r="G3837" s="198"/>
      <c r="H3837" s="123"/>
    </row>
    <row r="3838" spans="3:8" s="99" customFormat="1" x14ac:dyDescent="0.2">
      <c r="C3838" s="198"/>
      <c r="D3838" s="198"/>
      <c r="E3838" s="537"/>
      <c r="G3838" s="198"/>
      <c r="H3838" s="123"/>
    </row>
    <row r="3839" spans="3:8" s="99" customFormat="1" x14ac:dyDescent="0.2">
      <c r="C3839" s="198"/>
      <c r="D3839" s="198"/>
      <c r="E3839" s="537"/>
      <c r="G3839" s="198"/>
      <c r="H3839" s="123"/>
    </row>
    <row r="3840" spans="3:8" s="99" customFormat="1" x14ac:dyDescent="0.2">
      <c r="C3840" s="198"/>
      <c r="D3840" s="198"/>
      <c r="E3840" s="537"/>
      <c r="G3840" s="198"/>
      <c r="H3840" s="123"/>
    </row>
    <row r="3841" spans="3:8" s="99" customFormat="1" x14ac:dyDescent="0.2">
      <c r="C3841" s="198"/>
      <c r="D3841" s="198"/>
      <c r="E3841" s="537"/>
      <c r="G3841" s="198"/>
      <c r="H3841" s="123"/>
    </row>
    <row r="3842" spans="3:8" s="99" customFormat="1" x14ac:dyDescent="0.2">
      <c r="C3842" s="198"/>
      <c r="D3842" s="198"/>
      <c r="E3842" s="537"/>
      <c r="G3842" s="198"/>
      <c r="H3842" s="123"/>
    </row>
    <row r="3843" spans="3:8" s="99" customFormat="1" x14ac:dyDescent="0.2">
      <c r="C3843" s="198"/>
      <c r="D3843" s="198"/>
      <c r="E3843" s="537"/>
      <c r="G3843" s="198"/>
      <c r="H3843" s="123"/>
    </row>
    <row r="3844" spans="3:8" s="99" customFormat="1" x14ac:dyDescent="0.2">
      <c r="C3844" s="198"/>
      <c r="D3844" s="198"/>
      <c r="E3844" s="537"/>
      <c r="G3844" s="198"/>
      <c r="H3844" s="123"/>
    </row>
    <row r="3845" spans="3:8" s="99" customFormat="1" x14ac:dyDescent="0.2">
      <c r="C3845" s="198"/>
      <c r="D3845" s="198"/>
      <c r="E3845" s="537"/>
      <c r="G3845" s="198"/>
      <c r="H3845" s="123"/>
    </row>
    <row r="3846" spans="3:8" s="99" customFormat="1" x14ac:dyDescent="0.2">
      <c r="C3846" s="198"/>
      <c r="D3846" s="198"/>
      <c r="E3846" s="537"/>
      <c r="G3846" s="198"/>
      <c r="H3846" s="123"/>
    </row>
    <row r="3847" spans="3:8" s="99" customFormat="1" x14ac:dyDescent="0.2">
      <c r="C3847" s="198"/>
      <c r="D3847" s="198"/>
      <c r="E3847" s="537"/>
      <c r="G3847" s="198"/>
      <c r="H3847" s="123"/>
    </row>
    <row r="3848" spans="3:8" s="99" customFormat="1" x14ac:dyDescent="0.2">
      <c r="C3848" s="198"/>
      <c r="D3848" s="198"/>
      <c r="E3848" s="537"/>
      <c r="G3848" s="198"/>
      <c r="H3848" s="123"/>
    </row>
    <row r="3849" spans="3:8" s="99" customFormat="1" x14ac:dyDescent="0.2">
      <c r="C3849" s="198"/>
      <c r="D3849" s="198"/>
      <c r="E3849" s="537"/>
      <c r="G3849" s="198"/>
      <c r="H3849" s="123"/>
    </row>
    <row r="3850" spans="3:8" s="99" customFormat="1" x14ac:dyDescent="0.2">
      <c r="C3850" s="198"/>
      <c r="D3850" s="198"/>
      <c r="E3850" s="537"/>
      <c r="G3850" s="198"/>
      <c r="H3850" s="123"/>
    </row>
    <row r="3851" spans="3:8" s="99" customFormat="1" x14ac:dyDescent="0.2">
      <c r="C3851" s="198"/>
      <c r="D3851" s="198"/>
      <c r="E3851" s="537"/>
      <c r="G3851" s="198"/>
      <c r="H3851" s="123"/>
    </row>
    <row r="3852" spans="3:8" s="99" customFormat="1" x14ac:dyDescent="0.2">
      <c r="C3852" s="198"/>
      <c r="D3852" s="198"/>
      <c r="E3852" s="537"/>
      <c r="G3852" s="198"/>
      <c r="H3852" s="123"/>
    </row>
    <row r="3853" spans="3:8" s="99" customFormat="1" x14ac:dyDescent="0.2">
      <c r="C3853" s="198"/>
      <c r="D3853" s="198"/>
      <c r="E3853" s="537"/>
      <c r="G3853" s="198"/>
      <c r="H3853" s="123"/>
    </row>
    <row r="3854" spans="3:8" s="99" customFormat="1" x14ac:dyDescent="0.2">
      <c r="C3854" s="198"/>
      <c r="D3854" s="198"/>
      <c r="E3854" s="537"/>
      <c r="G3854" s="198"/>
      <c r="H3854" s="123"/>
    </row>
    <row r="3855" spans="3:8" s="99" customFormat="1" x14ac:dyDescent="0.2">
      <c r="C3855" s="198"/>
      <c r="D3855" s="198"/>
      <c r="E3855" s="537"/>
      <c r="G3855" s="198"/>
      <c r="H3855" s="123"/>
    </row>
    <row r="3856" spans="3:8" s="99" customFormat="1" x14ac:dyDescent="0.2">
      <c r="C3856" s="198"/>
      <c r="D3856" s="198"/>
      <c r="E3856" s="537"/>
      <c r="G3856" s="198"/>
      <c r="H3856" s="123"/>
    </row>
    <row r="3857" spans="3:8" s="99" customFormat="1" x14ac:dyDescent="0.2">
      <c r="C3857" s="198"/>
      <c r="D3857" s="198"/>
      <c r="E3857" s="537"/>
      <c r="G3857" s="198"/>
      <c r="H3857" s="123"/>
    </row>
    <row r="3858" spans="3:8" s="99" customFormat="1" x14ac:dyDescent="0.2">
      <c r="C3858" s="198"/>
      <c r="D3858" s="198"/>
      <c r="E3858" s="537"/>
      <c r="G3858" s="198"/>
      <c r="H3858" s="123"/>
    </row>
    <row r="3859" spans="3:8" s="99" customFormat="1" x14ac:dyDescent="0.2">
      <c r="C3859" s="198"/>
      <c r="D3859" s="198"/>
      <c r="E3859" s="537"/>
      <c r="G3859" s="198"/>
      <c r="H3859" s="123"/>
    </row>
    <row r="3860" spans="3:8" s="99" customFormat="1" x14ac:dyDescent="0.2">
      <c r="C3860" s="198"/>
      <c r="D3860" s="198"/>
      <c r="E3860" s="537"/>
      <c r="G3860" s="198"/>
      <c r="H3860" s="123"/>
    </row>
    <row r="3861" spans="3:8" s="99" customFormat="1" x14ac:dyDescent="0.2">
      <c r="C3861" s="198"/>
      <c r="D3861" s="198"/>
      <c r="E3861" s="537"/>
      <c r="G3861" s="198"/>
      <c r="H3861" s="123"/>
    </row>
    <row r="3862" spans="3:8" s="99" customFormat="1" x14ac:dyDescent="0.2">
      <c r="C3862" s="198"/>
      <c r="D3862" s="198"/>
      <c r="E3862" s="537"/>
      <c r="G3862" s="198"/>
      <c r="H3862" s="123"/>
    </row>
    <row r="3863" spans="3:8" s="99" customFormat="1" x14ac:dyDescent="0.2">
      <c r="C3863" s="198"/>
      <c r="D3863" s="198"/>
      <c r="E3863" s="537"/>
      <c r="G3863" s="198"/>
      <c r="H3863" s="123"/>
    </row>
    <row r="3864" spans="3:8" s="99" customFormat="1" x14ac:dyDescent="0.2">
      <c r="C3864" s="198"/>
      <c r="D3864" s="198"/>
      <c r="E3864" s="537"/>
      <c r="G3864" s="198"/>
      <c r="H3864" s="123"/>
    </row>
    <row r="3865" spans="3:8" s="99" customFormat="1" x14ac:dyDescent="0.2">
      <c r="C3865" s="198"/>
      <c r="D3865" s="198"/>
      <c r="E3865" s="537"/>
      <c r="G3865" s="198"/>
      <c r="H3865" s="123"/>
    </row>
    <row r="3866" spans="3:8" s="99" customFormat="1" x14ac:dyDescent="0.2">
      <c r="C3866" s="198"/>
      <c r="D3866" s="198"/>
      <c r="E3866" s="537"/>
      <c r="G3866" s="198"/>
      <c r="H3866" s="123"/>
    </row>
    <row r="3867" spans="3:8" s="99" customFormat="1" x14ac:dyDescent="0.2">
      <c r="C3867" s="198"/>
      <c r="D3867" s="198"/>
      <c r="E3867" s="537"/>
      <c r="G3867" s="198"/>
      <c r="H3867" s="123"/>
    </row>
    <row r="3868" spans="3:8" s="99" customFormat="1" x14ac:dyDescent="0.2">
      <c r="C3868" s="198"/>
      <c r="D3868" s="198"/>
      <c r="E3868" s="537"/>
      <c r="G3868" s="198"/>
      <c r="H3868" s="123"/>
    </row>
    <row r="3869" spans="3:8" s="99" customFormat="1" x14ac:dyDescent="0.2">
      <c r="C3869" s="198"/>
      <c r="D3869" s="198"/>
      <c r="E3869" s="537"/>
      <c r="G3869" s="198"/>
      <c r="H3869" s="123"/>
    </row>
    <row r="3870" spans="3:8" s="99" customFormat="1" x14ac:dyDescent="0.2">
      <c r="C3870" s="198"/>
      <c r="D3870" s="198"/>
      <c r="E3870" s="537"/>
      <c r="G3870" s="198"/>
      <c r="H3870" s="123"/>
    </row>
    <row r="3871" spans="3:8" s="99" customFormat="1" x14ac:dyDescent="0.2">
      <c r="C3871" s="198"/>
      <c r="D3871" s="198"/>
      <c r="E3871" s="537"/>
      <c r="G3871" s="198"/>
      <c r="H3871" s="123"/>
    </row>
    <row r="3872" spans="3:8" s="99" customFormat="1" x14ac:dyDescent="0.2">
      <c r="C3872" s="198"/>
      <c r="D3872" s="198"/>
      <c r="E3872" s="537"/>
      <c r="G3872" s="198"/>
      <c r="H3872" s="123"/>
    </row>
    <row r="3873" spans="3:8" s="99" customFormat="1" x14ac:dyDescent="0.2">
      <c r="C3873" s="198"/>
      <c r="D3873" s="198"/>
      <c r="E3873" s="537"/>
      <c r="G3873" s="198"/>
      <c r="H3873" s="123"/>
    </row>
    <row r="3874" spans="3:8" s="99" customFormat="1" x14ac:dyDescent="0.2">
      <c r="C3874" s="198"/>
      <c r="D3874" s="198"/>
      <c r="E3874" s="537"/>
      <c r="G3874" s="198"/>
      <c r="H3874" s="123"/>
    </row>
    <row r="3875" spans="3:8" s="99" customFormat="1" x14ac:dyDescent="0.2">
      <c r="C3875" s="198"/>
      <c r="D3875" s="198"/>
      <c r="E3875" s="537"/>
      <c r="G3875" s="198"/>
      <c r="H3875" s="123"/>
    </row>
    <row r="3876" spans="3:8" s="99" customFormat="1" x14ac:dyDescent="0.2">
      <c r="C3876" s="198"/>
      <c r="D3876" s="198"/>
      <c r="E3876" s="537"/>
      <c r="G3876" s="198"/>
      <c r="H3876" s="123"/>
    </row>
    <row r="3877" spans="3:8" s="99" customFormat="1" x14ac:dyDescent="0.2">
      <c r="C3877" s="198"/>
      <c r="D3877" s="198"/>
      <c r="E3877" s="537"/>
      <c r="G3877" s="198"/>
      <c r="H3877" s="123"/>
    </row>
    <row r="3878" spans="3:8" s="99" customFormat="1" x14ac:dyDescent="0.2">
      <c r="C3878" s="198"/>
      <c r="D3878" s="198"/>
      <c r="E3878" s="537"/>
      <c r="G3878" s="198"/>
      <c r="H3878" s="123"/>
    </row>
    <row r="3879" spans="3:8" s="99" customFormat="1" x14ac:dyDescent="0.2">
      <c r="C3879" s="198"/>
      <c r="D3879" s="198"/>
      <c r="E3879" s="537"/>
      <c r="G3879" s="198"/>
      <c r="H3879" s="123"/>
    </row>
    <row r="3880" spans="3:8" s="99" customFormat="1" x14ac:dyDescent="0.2">
      <c r="C3880" s="198"/>
      <c r="D3880" s="198"/>
      <c r="E3880" s="537"/>
      <c r="G3880" s="198"/>
      <c r="H3880" s="123"/>
    </row>
    <row r="3881" spans="3:8" s="99" customFormat="1" x14ac:dyDescent="0.2">
      <c r="C3881" s="198"/>
      <c r="D3881" s="198"/>
      <c r="E3881" s="537"/>
      <c r="G3881" s="198"/>
      <c r="H3881" s="123"/>
    </row>
    <row r="3882" spans="3:8" s="99" customFormat="1" x14ac:dyDescent="0.2">
      <c r="C3882" s="198"/>
      <c r="D3882" s="198"/>
      <c r="E3882" s="537"/>
      <c r="G3882" s="198"/>
      <c r="H3882" s="123"/>
    </row>
    <row r="3883" spans="3:8" s="99" customFormat="1" x14ac:dyDescent="0.2">
      <c r="C3883" s="198"/>
      <c r="D3883" s="198"/>
      <c r="E3883" s="537"/>
      <c r="G3883" s="198"/>
      <c r="H3883" s="123"/>
    </row>
    <row r="3884" spans="3:8" s="99" customFormat="1" x14ac:dyDescent="0.2">
      <c r="C3884" s="198"/>
      <c r="D3884" s="198"/>
      <c r="E3884" s="537"/>
      <c r="G3884" s="198"/>
      <c r="H3884" s="123"/>
    </row>
    <row r="3885" spans="3:8" s="99" customFormat="1" x14ac:dyDescent="0.2">
      <c r="C3885" s="198"/>
      <c r="D3885" s="198"/>
      <c r="E3885" s="537"/>
      <c r="G3885" s="198"/>
      <c r="H3885" s="123"/>
    </row>
    <row r="3886" spans="3:8" s="99" customFormat="1" x14ac:dyDescent="0.2">
      <c r="C3886" s="198"/>
      <c r="D3886" s="198"/>
      <c r="E3886" s="537"/>
      <c r="G3886" s="198"/>
      <c r="H3886" s="123"/>
    </row>
    <row r="3887" spans="3:8" s="99" customFormat="1" x14ac:dyDescent="0.2">
      <c r="C3887" s="198"/>
      <c r="D3887" s="198"/>
      <c r="E3887" s="537"/>
      <c r="G3887" s="198"/>
      <c r="H3887" s="123"/>
    </row>
    <row r="3888" spans="3:8" s="99" customFormat="1" x14ac:dyDescent="0.2">
      <c r="C3888" s="198"/>
      <c r="D3888" s="198"/>
      <c r="E3888" s="537"/>
      <c r="G3888" s="198"/>
      <c r="H3888" s="123"/>
    </row>
    <row r="3889" spans="3:8" s="99" customFormat="1" x14ac:dyDescent="0.2">
      <c r="C3889" s="198"/>
      <c r="D3889" s="198"/>
      <c r="E3889" s="537"/>
      <c r="G3889" s="198"/>
      <c r="H3889" s="123"/>
    </row>
    <row r="3890" spans="3:8" s="99" customFormat="1" x14ac:dyDescent="0.2">
      <c r="C3890" s="198"/>
      <c r="D3890" s="198"/>
      <c r="E3890" s="537"/>
      <c r="G3890" s="198"/>
      <c r="H3890" s="123"/>
    </row>
    <row r="3891" spans="3:8" s="99" customFormat="1" x14ac:dyDescent="0.2">
      <c r="C3891" s="198"/>
      <c r="D3891" s="198"/>
      <c r="E3891" s="537"/>
      <c r="G3891" s="198"/>
      <c r="H3891" s="123"/>
    </row>
    <row r="3892" spans="3:8" s="99" customFormat="1" x14ac:dyDescent="0.2">
      <c r="C3892" s="198"/>
      <c r="D3892" s="198"/>
      <c r="E3892" s="537"/>
      <c r="G3892" s="198"/>
      <c r="H3892" s="123"/>
    </row>
    <row r="3893" spans="3:8" s="99" customFormat="1" x14ac:dyDescent="0.2">
      <c r="C3893" s="198"/>
      <c r="D3893" s="198"/>
      <c r="E3893" s="537"/>
      <c r="G3893" s="198"/>
      <c r="H3893" s="123"/>
    </row>
    <row r="3894" spans="3:8" s="99" customFormat="1" x14ac:dyDescent="0.2">
      <c r="C3894" s="198"/>
      <c r="D3894" s="198"/>
      <c r="E3894" s="537"/>
      <c r="G3894" s="198"/>
      <c r="H3894" s="123"/>
    </row>
    <row r="3895" spans="3:8" s="99" customFormat="1" x14ac:dyDescent="0.2">
      <c r="C3895" s="198"/>
      <c r="D3895" s="198"/>
      <c r="E3895" s="537"/>
      <c r="G3895" s="198"/>
      <c r="H3895" s="123"/>
    </row>
    <row r="3896" spans="3:8" s="99" customFormat="1" x14ac:dyDescent="0.2">
      <c r="C3896" s="198"/>
      <c r="D3896" s="198"/>
      <c r="E3896" s="537"/>
      <c r="G3896" s="198"/>
      <c r="H3896" s="123"/>
    </row>
    <row r="3897" spans="3:8" s="99" customFormat="1" x14ac:dyDescent="0.2">
      <c r="C3897" s="198"/>
      <c r="D3897" s="198"/>
      <c r="E3897" s="537"/>
      <c r="G3897" s="198"/>
      <c r="H3897" s="123"/>
    </row>
    <row r="3898" spans="3:8" s="99" customFormat="1" x14ac:dyDescent="0.2">
      <c r="C3898" s="198"/>
      <c r="D3898" s="198"/>
      <c r="E3898" s="537"/>
      <c r="G3898" s="198"/>
      <c r="H3898" s="123"/>
    </row>
    <row r="3899" spans="3:8" s="99" customFormat="1" x14ac:dyDescent="0.2">
      <c r="C3899" s="198"/>
      <c r="D3899" s="198"/>
      <c r="E3899" s="537"/>
      <c r="G3899" s="198"/>
      <c r="H3899" s="123"/>
    </row>
    <row r="3900" spans="3:8" s="99" customFormat="1" x14ac:dyDescent="0.2">
      <c r="C3900" s="198"/>
      <c r="D3900" s="198"/>
      <c r="E3900" s="537"/>
      <c r="G3900" s="198"/>
      <c r="H3900" s="123"/>
    </row>
    <row r="3901" spans="3:8" s="99" customFormat="1" x14ac:dyDescent="0.2">
      <c r="C3901" s="198"/>
      <c r="D3901" s="198"/>
      <c r="E3901" s="537"/>
      <c r="G3901" s="198"/>
      <c r="H3901" s="123"/>
    </row>
    <row r="3902" spans="3:8" s="99" customFormat="1" x14ac:dyDescent="0.2">
      <c r="C3902" s="198"/>
      <c r="D3902" s="198"/>
      <c r="E3902" s="537"/>
      <c r="G3902" s="198"/>
      <c r="H3902" s="123"/>
    </row>
    <row r="3903" spans="3:8" s="99" customFormat="1" x14ac:dyDescent="0.2">
      <c r="C3903" s="198"/>
      <c r="D3903" s="198"/>
      <c r="E3903" s="537"/>
      <c r="G3903" s="198"/>
      <c r="H3903" s="123"/>
    </row>
    <row r="3904" spans="3:8" s="99" customFormat="1" x14ac:dyDescent="0.2">
      <c r="C3904" s="198"/>
      <c r="D3904" s="198"/>
      <c r="E3904" s="537"/>
      <c r="G3904" s="198"/>
      <c r="H3904" s="123"/>
    </row>
    <row r="3905" spans="3:8" s="99" customFormat="1" x14ac:dyDescent="0.2">
      <c r="C3905" s="198"/>
      <c r="D3905" s="198"/>
      <c r="E3905" s="537"/>
      <c r="G3905" s="198"/>
      <c r="H3905" s="123"/>
    </row>
    <row r="3906" spans="3:8" s="99" customFormat="1" x14ac:dyDescent="0.2">
      <c r="C3906" s="198"/>
      <c r="D3906" s="198"/>
      <c r="E3906" s="537"/>
      <c r="G3906" s="198"/>
      <c r="H3906" s="123"/>
    </row>
    <row r="3907" spans="3:8" s="99" customFormat="1" x14ac:dyDescent="0.2">
      <c r="C3907" s="198"/>
      <c r="D3907" s="198"/>
      <c r="E3907" s="537"/>
      <c r="G3907" s="198"/>
      <c r="H3907" s="123"/>
    </row>
    <row r="3908" spans="3:8" s="99" customFormat="1" x14ac:dyDescent="0.2">
      <c r="C3908" s="198"/>
      <c r="D3908" s="198"/>
      <c r="E3908" s="537"/>
      <c r="G3908" s="198"/>
      <c r="H3908" s="123"/>
    </row>
    <row r="3909" spans="3:8" s="99" customFormat="1" x14ac:dyDescent="0.2">
      <c r="C3909" s="198"/>
      <c r="D3909" s="198"/>
      <c r="E3909" s="537"/>
      <c r="G3909" s="198"/>
      <c r="H3909" s="123"/>
    </row>
    <row r="3910" spans="3:8" s="99" customFormat="1" x14ac:dyDescent="0.2">
      <c r="C3910" s="198"/>
      <c r="D3910" s="198"/>
      <c r="E3910" s="537"/>
      <c r="G3910" s="198"/>
      <c r="H3910" s="123"/>
    </row>
    <row r="3911" spans="3:8" s="99" customFormat="1" x14ac:dyDescent="0.2">
      <c r="C3911" s="198"/>
      <c r="D3911" s="198"/>
      <c r="E3911" s="537"/>
      <c r="G3911" s="198"/>
      <c r="H3911" s="123"/>
    </row>
    <row r="3912" spans="3:8" s="99" customFormat="1" x14ac:dyDescent="0.2">
      <c r="C3912" s="198"/>
      <c r="D3912" s="198"/>
      <c r="E3912" s="537"/>
      <c r="G3912" s="198"/>
      <c r="H3912" s="123"/>
    </row>
    <row r="3913" spans="3:8" s="99" customFormat="1" x14ac:dyDescent="0.2">
      <c r="C3913" s="198"/>
      <c r="D3913" s="198"/>
      <c r="E3913" s="537"/>
      <c r="G3913" s="198"/>
      <c r="H3913" s="123"/>
    </row>
    <row r="3914" spans="3:8" s="99" customFormat="1" x14ac:dyDescent="0.2">
      <c r="C3914" s="198"/>
      <c r="D3914" s="198"/>
      <c r="E3914" s="537"/>
      <c r="G3914" s="198"/>
      <c r="H3914" s="123"/>
    </row>
    <row r="3915" spans="3:8" s="99" customFormat="1" x14ac:dyDescent="0.2">
      <c r="C3915" s="198"/>
      <c r="D3915" s="198"/>
      <c r="E3915" s="537"/>
      <c r="G3915" s="198"/>
      <c r="H3915" s="123"/>
    </row>
    <row r="3916" spans="3:8" s="99" customFormat="1" x14ac:dyDescent="0.2">
      <c r="C3916" s="198"/>
      <c r="D3916" s="198"/>
      <c r="E3916" s="537"/>
      <c r="G3916" s="198"/>
      <c r="H3916" s="123"/>
    </row>
    <row r="3917" spans="3:8" s="99" customFormat="1" x14ac:dyDescent="0.2">
      <c r="C3917" s="198"/>
      <c r="D3917" s="198"/>
      <c r="E3917" s="537"/>
      <c r="G3917" s="198"/>
      <c r="H3917" s="123"/>
    </row>
    <row r="3918" spans="3:8" s="99" customFormat="1" x14ac:dyDescent="0.2">
      <c r="C3918" s="198"/>
      <c r="D3918" s="198"/>
      <c r="E3918" s="537"/>
      <c r="G3918" s="198"/>
      <c r="H3918" s="123"/>
    </row>
    <row r="3919" spans="3:8" s="99" customFormat="1" x14ac:dyDescent="0.2">
      <c r="C3919" s="198"/>
      <c r="D3919" s="198"/>
      <c r="E3919" s="537"/>
      <c r="G3919" s="198"/>
      <c r="H3919" s="123"/>
    </row>
    <row r="3920" spans="3:8" s="99" customFormat="1" x14ac:dyDescent="0.2">
      <c r="C3920" s="198"/>
      <c r="D3920" s="198"/>
      <c r="E3920" s="537"/>
      <c r="G3920" s="198"/>
      <c r="H3920" s="123"/>
    </row>
    <row r="3921" spans="3:8" s="99" customFormat="1" x14ac:dyDescent="0.2">
      <c r="C3921" s="198"/>
      <c r="D3921" s="198"/>
      <c r="E3921" s="537"/>
      <c r="G3921" s="198"/>
      <c r="H3921" s="123"/>
    </row>
    <row r="3922" spans="3:8" s="99" customFormat="1" x14ac:dyDescent="0.2">
      <c r="C3922" s="198"/>
      <c r="D3922" s="198"/>
      <c r="E3922" s="537"/>
      <c r="G3922" s="198"/>
      <c r="H3922" s="123"/>
    </row>
    <row r="3923" spans="3:8" s="99" customFormat="1" x14ac:dyDescent="0.2">
      <c r="C3923" s="198"/>
      <c r="D3923" s="198"/>
      <c r="E3923" s="537"/>
      <c r="G3923" s="198"/>
      <c r="H3923" s="123"/>
    </row>
    <row r="3924" spans="3:8" s="99" customFormat="1" x14ac:dyDescent="0.2">
      <c r="C3924" s="198"/>
      <c r="D3924" s="198"/>
      <c r="E3924" s="537"/>
      <c r="G3924" s="198"/>
      <c r="H3924" s="123"/>
    </row>
    <row r="3925" spans="3:8" s="99" customFormat="1" x14ac:dyDescent="0.2">
      <c r="C3925" s="198"/>
      <c r="D3925" s="198"/>
      <c r="E3925" s="537"/>
      <c r="G3925" s="198"/>
      <c r="H3925" s="123"/>
    </row>
    <row r="3926" spans="3:8" s="99" customFormat="1" x14ac:dyDescent="0.2">
      <c r="C3926" s="198"/>
      <c r="D3926" s="198"/>
      <c r="E3926" s="537"/>
      <c r="G3926" s="198"/>
      <c r="H3926" s="123"/>
    </row>
    <row r="3927" spans="3:8" s="99" customFormat="1" x14ac:dyDescent="0.2">
      <c r="C3927" s="198"/>
      <c r="D3927" s="198"/>
      <c r="E3927" s="537"/>
      <c r="G3927" s="198"/>
      <c r="H3927" s="123"/>
    </row>
    <row r="3928" spans="3:8" s="99" customFormat="1" x14ac:dyDescent="0.2">
      <c r="C3928" s="198"/>
      <c r="D3928" s="198"/>
      <c r="E3928" s="537"/>
      <c r="G3928" s="198"/>
      <c r="H3928" s="123"/>
    </row>
    <row r="3929" spans="3:8" s="99" customFormat="1" x14ac:dyDescent="0.2">
      <c r="C3929" s="198"/>
      <c r="D3929" s="198"/>
      <c r="E3929" s="537"/>
      <c r="G3929" s="198"/>
      <c r="H3929" s="123"/>
    </row>
    <row r="3930" spans="3:8" s="99" customFormat="1" x14ac:dyDescent="0.2">
      <c r="C3930" s="198"/>
      <c r="D3930" s="198"/>
      <c r="E3930" s="537"/>
      <c r="G3930" s="198"/>
      <c r="H3930" s="123"/>
    </row>
    <row r="3931" spans="3:8" s="99" customFormat="1" x14ac:dyDescent="0.2">
      <c r="C3931" s="198"/>
      <c r="D3931" s="198"/>
      <c r="E3931" s="537"/>
      <c r="G3931" s="198"/>
      <c r="H3931" s="123"/>
    </row>
    <row r="3932" spans="3:8" s="99" customFormat="1" x14ac:dyDescent="0.2">
      <c r="C3932" s="198"/>
      <c r="D3932" s="198"/>
      <c r="E3932" s="537"/>
      <c r="G3932" s="198"/>
      <c r="H3932" s="123"/>
    </row>
    <row r="3933" spans="3:8" s="99" customFormat="1" x14ac:dyDescent="0.2">
      <c r="C3933" s="198"/>
      <c r="D3933" s="198"/>
      <c r="E3933" s="537"/>
      <c r="G3933" s="198"/>
      <c r="H3933" s="123"/>
    </row>
    <row r="3934" spans="3:8" s="99" customFormat="1" x14ac:dyDescent="0.2">
      <c r="C3934" s="198"/>
      <c r="D3934" s="198"/>
      <c r="E3934" s="537"/>
      <c r="G3934" s="198"/>
      <c r="H3934" s="123"/>
    </row>
    <row r="3935" spans="3:8" s="99" customFormat="1" x14ac:dyDescent="0.2">
      <c r="C3935" s="198"/>
      <c r="D3935" s="198"/>
      <c r="E3935" s="537"/>
      <c r="G3935" s="198"/>
      <c r="H3935" s="123"/>
    </row>
    <row r="3936" spans="3:8" s="99" customFormat="1" x14ac:dyDescent="0.2">
      <c r="C3936" s="198"/>
      <c r="D3936" s="198"/>
      <c r="E3936" s="537"/>
      <c r="G3936" s="198"/>
      <c r="H3936" s="123"/>
    </row>
    <row r="3937" spans="3:8" s="99" customFormat="1" x14ac:dyDescent="0.2">
      <c r="C3937" s="198"/>
      <c r="D3937" s="198"/>
      <c r="E3937" s="537"/>
      <c r="G3937" s="198"/>
      <c r="H3937" s="123"/>
    </row>
    <row r="3938" spans="3:8" s="99" customFormat="1" x14ac:dyDescent="0.2">
      <c r="C3938" s="198"/>
      <c r="D3938" s="198"/>
      <c r="E3938" s="537"/>
      <c r="G3938" s="198"/>
      <c r="H3938" s="123"/>
    </row>
    <row r="3939" spans="3:8" s="99" customFormat="1" x14ac:dyDescent="0.2">
      <c r="C3939" s="198"/>
      <c r="D3939" s="198"/>
      <c r="E3939" s="537"/>
      <c r="G3939" s="198"/>
      <c r="H3939" s="123"/>
    </row>
    <row r="3940" spans="3:8" s="99" customFormat="1" x14ac:dyDescent="0.2">
      <c r="C3940" s="198"/>
      <c r="D3940" s="198"/>
      <c r="E3940" s="537"/>
      <c r="G3940" s="198"/>
      <c r="H3940" s="123"/>
    </row>
    <row r="3941" spans="3:8" s="99" customFormat="1" x14ac:dyDescent="0.2">
      <c r="C3941" s="198"/>
      <c r="D3941" s="198"/>
      <c r="E3941" s="537"/>
      <c r="G3941" s="198"/>
      <c r="H3941" s="123"/>
    </row>
    <row r="3942" spans="3:8" s="99" customFormat="1" x14ac:dyDescent="0.2">
      <c r="C3942" s="198"/>
      <c r="D3942" s="198"/>
      <c r="E3942" s="537"/>
      <c r="G3942" s="198"/>
      <c r="H3942" s="123"/>
    </row>
    <row r="3943" spans="3:8" s="99" customFormat="1" x14ac:dyDescent="0.2">
      <c r="C3943" s="198"/>
      <c r="D3943" s="198"/>
      <c r="E3943" s="537"/>
      <c r="G3943" s="198"/>
      <c r="H3943" s="123"/>
    </row>
    <row r="3944" spans="3:8" s="99" customFormat="1" x14ac:dyDescent="0.2">
      <c r="C3944" s="198"/>
      <c r="D3944" s="198"/>
      <c r="E3944" s="537"/>
      <c r="G3944" s="198"/>
      <c r="H3944" s="123"/>
    </row>
    <row r="3945" spans="3:8" s="99" customFormat="1" x14ac:dyDescent="0.2">
      <c r="C3945" s="198"/>
      <c r="D3945" s="198"/>
      <c r="E3945" s="537"/>
      <c r="G3945" s="198"/>
      <c r="H3945" s="123"/>
    </row>
    <row r="3946" spans="3:8" s="99" customFormat="1" x14ac:dyDescent="0.2">
      <c r="C3946" s="198"/>
      <c r="D3946" s="198"/>
      <c r="E3946" s="537"/>
      <c r="G3946" s="198"/>
      <c r="H3946" s="123"/>
    </row>
    <row r="3947" spans="3:8" s="99" customFormat="1" x14ac:dyDescent="0.2">
      <c r="C3947" s="198"/>
      <c r="D3947" s="198"/>
      <c r="E3947" s="537"/>
      <c r="G3947" s="198"/>
      <c r="H3947" s="123"/>
    </row>
    <row r="3948" spans="3:8" s="99" customFormat="1" x14ac:dyDescent="0.2">
      <c r="C3948" s="198"/>
      <c r="D3948" s="198"/>
      <c r="E3948" s="537"/>
      <c r="G3948" s="198"/>
      <c r="H3948" s="123"/>
    </row>
    <row r="3949" spans="3:8" s="99" customFormat="1" x14ac:dyDescent="0.2">
      <c r="C3949" s="198"/>
      <c r="D3949" s="198"/>
      <c r="E3949" s="537"/>
      <c r="G3949" s="198"/>
      <c r="H3949" s="123"/>
    </row>
    <row r="3950" spans="3:8" s="99" customFormat="1" x14ac:dyDescent="0.2">
      <c r="C3950" s="198"/>
      <c r="D3950" s="198"/>
      <c r="E3950" s="537"/>
      <c r="G3950" s="198"/>
      <c r="H3950" s="123"/>
    </row>
    <row r="3951" spans="3:8" s="99" customFormat="1" x14ac:dyDescent="0.2">
      <c r="C3951" s="198"/>
      <c r="D3951" s="198"/>
      <c r="E3951" s="537"/>
      <c r="G3951" s="198"/>
      <c r="H3951" s="123"/>
    </row>
    <row r="3952" spans="3:8" s="99" customFormat="1" x14ac:dyDescent="0.2">
      <c r="C3952" s="198"/>
      <c r="D3952" s="198"/>
      <c r="E3952" s="537"/>
      <c r="G3952" s="198"/>
      <c r="H3952" s="123"/>
    </row>
    <row r="3953" spans="3:8" s="99" customFormat="1" x14ac:dyDescent="0.2">
      <c r="C3953" s="198"/>
      <c r="D3953" s="198"/>
      <c r="E3953" s="537"/>
      <c r="G3953" s="198"/>
      <c r="H3953" s="123"/>
    </row>
    <row r="3954" spans="3:8" s="99" customFormat="1" x14ac:dyDescent="0.2">
      <c r="C3954" s="198"/>
      <c r="D3954" s="198"/>
      <c r="E3954" s="537"/>
      <c r="G3954" s="198"/>
      <c r="H3954" s="123"/>
    </row>
    <row r="3955" spans="3:8" s="99" customFormat="1" x14ac:dyDescent="0.2">
      <c r="C3955" s="198"/>
      <c r="D3955" s="198"/>
      <c r="E3955" s="537"/>
      <c r="G3955" s="198"/>
      <c r="H3955" s="123"/>
    </row>
    <row r="3956" spans="3:8" s="99" customFormat="1" x14ac:dyDescent="0.2">
      <c r="C3956" s="198"/>
      <c r="D3956" s="198"/>
      <c r="E3956" s="537"/>
      <c r="G3956" s="198"/>
      <c r="H3956" s="123"/>
    </row>
    <row r="3957" spans="3:8" s="99" customFormat="1" x14ac:dyDescent="0.2">
      <c r="C3957" s="198"/>
      <c r="D3957" s="198"/>
      <c r="E3957" s="537"/>
      <c r="G3957" s="198"/>
      <c r="H3957" s="123"/>
    </row>
    <row r="3958" spans="3:8" s="99" customFormat="1" x14ac:dyDescent="0.2">
      <c r="C3958" s="198"/>
      <c r="D3958" s="198"/>
      <c r="E3958" s="537"/>
      <c r="G3958" s="198"/>
      <c r="H3958" s="123"/>
    </row>
    <row r="3959" spans="3:8" s="99" customFormat="1" x14ac:dyDescent="0.2">
      <c r="C3959" s="198"/>
      <c r="D3959" s="198"/>
      <c r="E3959" s="537"/>
      <c r="G3959" s="198"/>
      <c r="H3959" s="123"/>
    </row>
    <row r="3960" spans="3:8" s="99" customFormat="1" x14ac:dyDescent="0.2">
      <c r="C3960" s="198"/>
      <c r="D3960" s="198"/>
      <c r="E3960" s="537"/>
      <c r="G3960" s="198"/>
      <c r="H3960" s="123"/>
    </row>
    <row r="3961" spans="3:8" s="99" customFormat="1" x14ac:dyDescent="0.2">
      <c r="C3961" s="198"/>
      <c r="D3961" s="198"/>
      <c r="E3961" s="537"/>
      <c r="G3961" s="198"/>
      <c r="H3961" s="123"/>
    </row>
    <row r="3962" spans="3:8" s="99" customFormat="1" x14ac:dyDescent="0.2">
      <c r="C3962" s="198"/>
      <c r="D3962" s="198"/>
      <c r="E3962" s="537"/>
      <c r="G3962" s="198"/>
      <c r="H3962" s="123"/>
    </row>
    <row r="3963" spans="3:8" s="99" customFormat="1" x14ac:dyDescent="0.2">
      <c r="C3963" s="198"/>
      <c r="D3963" s="198"/>
      <c r="E3963" s="537"/>
      <c r="G3963" s="198"/>
      <c r="H3963" s="123"/>
    </row>
    <row r="3964" spans="3:8" s="99" customFormat="1" x14ac:dyDescent="0.2">
      <c r="C3964" s="198"/>
      <c r="D3964" s="198"/>
      <c r="E3964" s="537"/>
      <c r="G3964" s="198"/>
      <c r="H3964" s="123"/>
    </row>
    <row r="3965" spans="3:8" s="99" customFormat="1" x14ac:dyDescent="0.2">
      <c r="C3965" s="198"/>
      <c r="D3965" s="198"/>
      <c r="E3965" s="537"/>
      <c r="G3965" s="198"/>
      <c r="H3965" s="123"/>
    </row>
    <row r="3966" spans="3:8" s="99" customFormat="1" x14ac:dyDescent="0.2">
      <c r="C3966" s="198"/>
      <c r="D3966" s="198"/>
      <c r="E3966" s="537"/>
      <c r="G3966" s="198"/>
      <c r="H3966" s="123"/>
    </row>
    <row r="3967" spans="3:8" s="99" customFormat="1" x14ac:dyDescent="0.2">
      <c r="C3967" s="198"/>
      <c r="D3967" s="198"/>
      <c r="E3967" s="537"/>
      <c r="G3967" s="198"/>
      <c r="H3967" s="123"/>
    </row>
    <row r="3968" spans="3:8" s="99" customFormat="1" x14ac:dyDescent="0.2">
      <c r="C3968" s="198"/>
      <c r="D3968" s="198"/>
      <c r="E3968" s="537"/>
      <c r="G3968" s="198"/>
      <c r="H3968" s="123"/>
    </row>
    <row r="3969" spans="3:8" s="99" customFormat="1" x14ac:dyDescent="0.2">
      <c r="C3969" s="198"/>
      <c r="D3969" s="198"/>
      <c r="E3969" s="537"/>
      <c r="G3969" s="198"/>
      <c r="H3969" s="123"/>
    </row>
    <row r="3970" spans="3:8" s="99" customFormat="1" x14ac:dyDescent="0.2">
      <c r="C3970" s="198"/>
      <c r="D3970" s="198"/>
      <c r="E3970" s="537"/>
      <c r="G3970" s="198"/>
      <c r="H3970" s="123"/>
    </row>
    <row r="3971" spans="3:8" s="99" customFormat="1" x14ac:dyDescent="0.2">
      <c r="C3971" s="198"/>
      <c r="D3971" s="198"/>
      <c r="E3971" s="537"/>
      <c r="G3971" s="198"/>
      <c r="H3971" s="123"/>
    </row>
    <row r="3972" spans="3:8" s="99" customFormat="1" x14ac:dyDescent="0.2">
      <c r="C3972" s="198"/>
      <c r="D3972" s="198"/>
      <c r="E3972" s="537"/>
      <c r="G3972" s="198"/>
      <c r="H3972" s="123"/>
    </row>
    <row r="3973" spans="3:8" s="99" customFormat="1" x14ac:dyDescent="0.2">
      <c r="C3973" s="198"/>
      <c r="D3973" s="198"/>
      <c r="E3973" s="537"/>
      <c r="G3973" s="198"/>
      <c r="H3973" s="123"/>
    </row>
    <row r="3974" spans="3:8" s="99" customFormat="1" x14ac:dyDescent="0.2">
      <c r="C3974" s="198"/>
      <c r="D3974" s="198"/>
      <c r="E3974" s="537"/>
      <c r="G3974" s="198"/>
      <c r="H3974" s="123"/>
    </row>
    <row r="3975" spans="3:8" s="99" customFormat="1" x14ac:dyDescent="0.2">
      <c r="C3975" s="198"/>
      <c r="D3975" s="198"/>
      <c r="E3975" s="537"/>
      <c r="G3975" s="198"/>
      <c r="H3975" s="123"/>
    </row>
    <row r="3976" spans="3:8" s="99" customFormat="1" x14ac:dyDescent="0.2">
      <c r="C3976" s="198"/>
      <c r="D3976" s="198"/>
      <c r="E3976" s="537"/>
      <c r="G3976" s="198"/>
      <c r="H3976" s="123"/>
    </row>
    <row r="3977" spans="3:8" s="99" customFormat="1" x14ac:dyDescent="0.2">
      <c r="C3977" s="198"/>
      <c r="D3977" s="198"/>
      <c r="E3977" s="537"/>
      <c r="G3977" s="198"/>
      <c r="H3977" s="123"/>
    </row>
    <row r="3978" spans="3:8" s="99" customFormat="1" x14ac:dyDescent="0.2">
      <c r="C3978" s="198"/>
      <c r="D3978" s="198"/>
      <c r="E3978" s="537"/>
      <c r="G3978" s="198"/>
      <c r="H3978" s="123"/>
    </row>
    <row r="3979" spans="3:8" s="99" customFormat="1" x14ac:dyDescent="0.2">
      <c r="C3979" s="198"/>
      <c r="D3979" s="198"/>
      <c r="E3979" s="537"/>
      <c r="G3979" s="198"/>
      <c r="H3979" s="123"/>
    </row>
    <row r="3980" spans="3:8" s="99" customFormat="1" x14ac:dyDescent="0.2">
      <c r="C3980" s="198"/>
      <c r="D3980" s="198"/>
      <c r="E3980" s="537"/>
      <c r="G3980" s="198"/>
      <c r="H3980" s="123"/>
    </row>
    <row r="3981" spans="3:8" s="99" customFormat="1" x14ac:dyDescent="0.2">
      <c r="C3981" s="198"/>
      <c r="D3981" s="198"/>
      <c r="E3981" s="537"/>
      <c r="G3981" s="198"/>
      <c r="H3981" s="123"/>
    </row>
    <row r="3982" spans="3:8" s="99" customFormat="1" x14ac:dyDescent="0.2">
      <c r="C3982" s="198"/>
      <c r="D3982" s="198"/>
      <c r="E3982" s="537"/>
      <c r="G3982" s="198"/>
      <c r="H3982" s="123"/>
    </row>
    <row r="3983" spans="3:8" s="99" customFormat="1" x14ac:dyDescent="0.2">
      <c r="C3983" s="198"/>
      <c r="D3983" s="198"/>
      <c r="E3983" s="537"/>
      <c r="G3983" s="198"/>
      <c r="H3983" s="123"/>
    </row>
    <row r="3984" spans="3:8" s="99" customFormat="1" x14ac:dyDescent="0.2">
      <c r="C3984" s="198"/>
      <c r="D3984" s="198"/>
      <c r="E3984" s="537"/>
      <c r="G3984" s="198"/>
      <c r="H3984" s="123"/>
    </row>
    <row r="3985" spans="3:8" s="99" customFormat="1" x14ac:dyDescent="0.2">
      <c r="C3985" s="198"/>
      <c r="D3985" s="198"/>
      <c r="E3985" s="537"/>
      <c r="G3985" s="198"/>
      <c r="H3985" s="123"/>
    </row>
    <row r="3986" spans="3:8" s="99" customFormat="1" x14ac:dyDescent="0.2">
      <c r="C3986" s="198"/>
      <c r="D3986" s="198"/>
      <c r="E3986" s="537"/>
      <c r="G3986" s="198"/>
      <c r="H3986" s="123"/>
    </row>
    <row r="3987" spans="3:8" s="99" customFormat="1" x14ac:dyDescent="0.2">
      <c r="C3987" s="198"/>
      <c r="D3987" s="198"/>
      <c r="E3987" s="537"/>
      <c r="G3987" s="198"/>
      <c r="H3987" s="123"/>
    </row>
    <row r="3988" spans="3:8" s="99" customFormat="1" x14ac:dyDescent="0.2">
      <c r="C3988" s="198"/>
      <c r="D3988" s="198"/>
      <c r="E3988" s="537"/>
      <c r="G3988" s="198"/>
      <c r="H3988" s="123"/>
    </row>
    <row r="3989" spans="3:8" s="99" customFormat="1" x14ac:dyDescent="0.2">
      <c r="C3989" s="198"/>
      <c r="D3989" s="198"/>
      <c r="E3989" s="537"/>
      <c r="G3989" s="198"/>
      <c r="H3989" s="123"/>
    </row>
    <row r="3990" spans="3:8" s="99" customFormat="1" x14ac:dyDescent="0.2">
      <c r="C3990" s="198"/>
      <c r="D3990" s="198"/>
      <c r="E3990" s="537"/>
      <c r="G3990" s="198"/>
      <c r="H3990" s="123"/>
    </row>
    <row r="3991" spans="3:8" s="99" customFormat="1" x14ac:dyDescent="0.2">
      <c r="C3991" s="198"/>
      <c r="D3991" s="198"/>
      <c r="E3991" s="537"/>
      <c r="G3991" s="198"/>
      <c r="H3991" s="123"/>
    </row>
    <row r="3992" spans="3:8" s="99" customFormat="1" x14ac:dyDescent="0.2">
      <c r="C3992" s="198"/>
      <c r="D3992" s="198"/>
      <c r="E3992" s="537"/>
      <c r="G3992" s="198"/>
      <c r="H3992" s="123"/>
    </row>
    <row r="3993" spans="3:8" s="99" customFormat="1" x14ac:dyDescent="0.2">
      <c r="C3993" s="198"/>
      <c r="D3993" s="198"/>
      <c r="E3993" s="537"/>
      <c r="G3993" s="198"/>
      <c r="H3993" s="123"/>
    </row>
    <row r="3994" spans="3:8" s="99" customFormat="1" x14ac:dyDescent="0.2">
      <c r="C3994" s="198"/>
      <c r="D3994" s="198"/>
      <c r="E3994" s="537"/>
      <c r="G3994" s="198"/>
      <c r="H3994" s="123"/>
    </row>
    <row r="3995" spans="3:8" s="99" customFormat="1" x14ac:dyDescent="0.2">
      <c r="C3995" s="198"/>
      <c r="D3995" s="198"/>
      <c r="E3995" s="537"/>
      <c r="G3995" s="198"/>
      <c r="H3995" s="123"/>
    </row>
    <row r="3996" spans="3:8" s="99" customFormat="1" x14ac:dyDescent="0.2">
      <c r="C3996" s="198"/>
      <c r="D3996" s="198"/>
      <c r="E3996" s="537"/>
      <c r="G3996" s="198"/>
      <c r="H3996" s="123"/>
    </row>
    <row r="3997" spans="3:8" s="99" customFormat="1" x14ac:dyDescent="0.2">
      <c r="C3997" s="198"/>
      <c r="D3997" s="198"/>
      <c r="E3997" s="537"/>
      <c r="G3997" s="198"/>
      <c r="H3997" s="123"/>
    </row>
    <row r="3998" spans="3:8" s="99" customFormat="1" x14ac:dyDescent="0.2">
      <c r="C3998" s="198"/>
      <c r="D3998" s="198"/>
      <c r="E3998" s="537"/>
      <c r="G3998" s="198"/>
      <c r="H3998" s="123"/>
    </row>
    <row r="3999" spans="3:8" s="99" customFormat="1" x14ac:dyDescent="0.2">
      <c r="C3999" s="198"/>
      <c r="D3999" s="198"/>
      <c r="E3999" s="537"/>
      <c r="G3999" s="198"/>
      <c r="H3999" s="123"/>
    </row>
    <row r="4000" spans="3:8" s="99" customFormat="1" x14ac:dyDescent="0.2">
      <c r="C4000" s="198"/>
      <c r="D4000" s="198"/>
      <c r="E4000" s="537"/>
      <c r="G4000" s="198"/>
      <c r="H4000" s="123"/>
    </row>
    <row r="4001" spans="3:8" s="99" customFormat="1" x14ac:dyDescent="0.2">
      <c r="C4001" s="198"/>
      <c r="D4001" s="198"/>
      <c r="E4001" s="537"/>
      <c r="G4001" s="198"/>
      <c r="H4001" s="123"/>
    </row>
    <row r="4002" spans="3:8" s="99" customFormat="1" x14ac:dyDescent="0.2">
      <c r="C4002" s="198"/>
      <c r="D4002" s="198"/>
      <c r="E4002" s="537"/>
      <c r="G4002" s="198"/>
      <c r="H4002" s="123"/>
    </row>
    <row r="4003" spans="3:8" s="99" customFormat="1" x14ac:dyDescent="0.2">
      <c r="C4003" s="198"/>
      <c r="D4003" s="198"/>
      <c r="E4003" s="537"/>
      <c r="G4003" s="198"/>
      <c r="H4003" s="123"/>
    </row>
    <row r="4004" spans="3:8" s="99" customFormat="1" x14ac:dyDescent="0.2">
      <c r="C4004" s="198"/>
      <c r="D4004" s="198"/>
      <c r="E4004" s="537"/>
      <c r="G4004" s="198"/>
      <c r="H4004" s="123"/>
    </row>
    <row r="4005" spans="3:8" s="99" customFormat="1" x14ac:dyDescent="0.2">
      <c r="C4005" s="198"/>
      <c r="D4005" s="198"/>
      <c r="E4005" s="537"/>
      <c r="G4005" s="198"/>
      <c r="H4005" s="123"/>
    </row>
    <row r="4006" spans="3:8" s="99" customFormat="1" x14ac:dyDescent="0.2">
      <c r="C4006" s="198"/>
      <c r="D4006" s="198"/>
      <c r="E4006" s="537"/>
      <c r="G4006" s="198"/>
      <c r="H4006" s="123"/>
    </row>
    <row r="4007" spans="3:8" s="99" customFormat="1" x14ac:dyDescent="0.2">
      <c r="C4007" s="198"/>
      <c r="D4007" s="198"/>
      <c r="E4007" s="537"/>
      <c r="G4007" s="198"/>
      <c r="H4007" s="123"/>
    </row>
    <row r="4008" spans="3:8" s="99" customFormat="1" x14ac:dyDescent="0.2">
      <c r="C4008" s="198"/>
      <c r="D4008" s="198"/>
      <c r="E4008" s="537"/>
      <c r="G4008" s="198"/>
      <c r="H4008" s="123"/>
    </row>
    <row r="4009" spans="3:8" s="99" customFormat="1" x14ac:dyDescent="0.2">
      <c r="C4009" s="198"/>
      <c r="D4009" s="198"/>
      <c r="E4009" s="537"/>
      <c r="G4009" s="198"/>
      <c r="H4009" s="123"/>
    </row>
    <row r="4010" spans="3:8" s="99" customFormat="1" x14ac:dyDescent="0.2">
      <c r="C4010" s="198"/>
      <c r="D4010" s="198"/>
      <c r="E4010" s="537"/>
      <c r="G4010" s="198"/>
      <c r="H4010" s="123"/>
    </row>
    <row r="4011" spans="3:8" s="99" customFormat="1" x14ac:dyDescent="0.2">
      <c r="C4011" s="198"/>
      <c r="D4011" s="198"/>
      <c r="E4011" s="537"/>
      <c r="G4011" s="198"/>
      <c r="H4011" s="123"/>
    </row>
    <row r="4012" spans="3:8" s="99" customFormat="1" x14ac:dyDescent="0.2">
      <c r="C4012" s="198"/>
      <c r="D4012" s="198"/>
      <c r="E4012" s="537"/>
      <c r="G4012" s="198"/>
      <c r="H4012" s="123"/>
    </row>
    <row r="4013" spans="3:8" s="99" customFormat="1" x14ac:dyDescent="0.2">
      <c r="C4013" s="198"/>
      <c r="D4013" s="198"/>
      <c r="E4013" s="537"/>
      <c r="G4013" s="198"/>
      <c r="H4013" s="123"/>
    </row>
    <row r="4014" spans="3:8" s="99" customFormat="1" x14ac:dyDescent="0.2">
      <c r="C4014" s="198"/>
      <c r="D4014" s="198"/>
      <c r="E4014" s="537"/>
      <c r="G4014" s="198"/>
      <c r="H4014" s="123"/>
    </row>
    <row r="4015" spans="3:8" s="99" customFormat="1" x14ac:dyDescent="0.2">
      <c r="C4015" s="198"/>
      <c r="D4015" s="198"/>
      <c r="E4015" s="537"/>
      <c r="G4015" s="198"/>
      <c r="H4015" s="123"/>
    </row>
    <row r="4016" spans="3:8" s="99" customFormat="1" x14ac:dyDescent="0.2">
      <c r="C4016" s="198"/>
      <c r="D4016" s="198"/>
      <c r="E4016" s="537"/>
      <c r="G4016" s="198"/>
      <c r="H4016" s="123"/>
    </row>
    <row r="4017" spans="3:8" s="99" customFormat="1" x14ac:dyDescent="0.2">
      <c r="C4017" s="198"/>
      <c r="D4017" s="198"/>
      <c r="E4017" s="537"/>
      <c r="G4017" s="198"/>
      <c r="H4017" s="123"/>
    </row>
    <row r="4018" spans="3:8" s="99" customFormat="1" x14ac:dyDescent="0.2">
      <c r="C4018" s="198"/>
      <c r="D4018" s="198"/>
      <c r="E4018" s="537"/>
      <c r="G4018" s="198"/>
      <c r="H4018" s="123"/>
    </row>
    <row r="4019" spans="3:8" s="99" customFormat="1" x14ac:dyDescent="0.2">
      <c r="C4019" s="198"/>
      <c r="D4019" s="198"/>
      <c r="E4019" s="537"/>
      <c r="G4019" s="198"/>
      <c r="H4019" s="123"/>
    </row>
    <row r="4020" spans="3:8" s="99" customFormat="1" x14ac:dyDescent="0.2">
      <c r="C4020" s="198"/>
      <c r="D4020" s="198"/>
      <c r="E4020" s="537"/>
      <c r="G4020" s="198"/>
      <c r="H4020" s="123"/>
    </row>
    <row r="4021" spans="3:8" s="99" customFormat="1" x14ac:dyDescent="0.2">
      <c r="C4021" s="198"/>
      <c r="D4021" s="198"/>
      <c r="E4021" s="537"/>
      <c r="G4021" s="198"/>
      <c r="H4021" s="123"/>
    </row>
    <row r="4022" spans="3:8" s="99" customFormat="1" x14ac:dyDescent="0.2">
      <c r="C4022" s="198"/>
      <c r="D4022" s="198"/>
      <c r="E4022" s="537"/>
      <c r="G4022" s="198"/>
      <c r="H4022" s="123"/>
    </row>
    <row r="4023" spans="3:8" s="99" customFormat="1" x14ac:dyDescent="0.2">
      <c r="C4023" s="198"/>
      <c r="D4023" s="198"/>
      <c r="E4023" s="537"/>
      <c r="G4023" s="198"/>
      <c r="H4023" s="123"/>
    </row>
    <row r="4024" spans="3:8" s="99" customFormat="1" x14ac:dyDescent="0.2">
      <c r="C4024" s="198"/>
      <c r="D4024" s="198"/>
      <c r="E4024" s="537"/>
      <c r="G4024" s="198"/>
      <c r="H4024" s="123"/>
    </row>
    <row r="4025" spans="3:8" s="99" customFormat="1" x14ac:dyDescent="0.2">
      <c r="C4025" s="198"/>
      <c r="D4025" s="198"/>
      <c r="E4025" s="537"/>
      <c r="G4025" s="198"/>
      <c r="H4025" s="123"/>
    </row>
    <row r="4026" spans="3:8" s="99" customFormat="1" x14ac:dyDescent="0.2">
      <c r="C4026" s="198"/>
      <c r="D4026" s="198"/>
      <c r="E4026" s="537"/>
      <c r="G4026" s="198"/>
      <c r="H4026" s="123"/>
    </row>
    <row r="4027" spans="3:8" s="99" customFormat="1" x14ac:dyDescent="0.2">
      <c r="C4027" s="198"/>
      <c r="D4027" s="198"/>
      <c r="E4027" s="537"/>
      <c r="G4027" s="198"/>
      <c r="H4027" s="123"/>
    </row>
    <row r="4028" spans="3:8" s="99" customFormat="1" x14ac:dyDescent="0.2">
      <c r="C4028" s="198"/>
      <c r="D4028" s="198"/>
      <c r="E4028" s="537"/>
      <c r="G4028" s="198"/>
      <c r="H4028" s="123"/>
    </row>
    <row r="4029" spans="3:8" s="99" customFormat="1" x14ac:dyDescent="0.2">
      <c r="C4029" s="198"/>
      <c r="D4029" s="198"/>
      <c r="E4029" s="537"/>
      <c r="G4029" s="198"/>
      <c r="H4029" s="123"/>
    </row>
    <row r="4030" spans="3:8" s="99" customFormat="1" x14ac:dyDescent="0.2">
      <c r="C4030" s="198"/>
      <c r="D4030" s="198"/>
      <c r="E4030" s="537"/>
      <c r="G4030" s="198"/>
      <c r="H4030" s="123"/>
    </row>
    <row r="4031" spans="3:8" s="99" customFormat="1" x14ac:dyDescent="0.2">
      <c r="C4031" s="198"/>
      <c r="D4031" s="198"/>
      <c r="E4031" s="537"/>
      <c r="G4031" s="198"/>
      <c r="H4031" s="123"/>
    </row>
    <row r="4032" spans="3:8" s="99" customFormat="1" x14ac:dyDescent="0.2">
      <c r="C4032" s="198"/>
      <c r="D4032" s="198"/>
      <c r="E4032" s="537"/>
      <c r="G4032" s="198"/>
      <c r="H4032" s="123"/>
    </row>
    <row r="4033" spans="3:8" s="99" customFormat="1" x14ac:dyDescent="0.2">
      <c r="C4033" s="198"/>
      <c r="D4033" s="198"/>
      <c r="E4033" s="537"/>
      <c r="G4033" s="198"/>
      <c r="H4033" s="123"/>
    </row>
    <row r="4034" spans="3:8" s="99" customFormat="1" x14ac:dyDescent="0.2">
      <c r="C4034" s="198"/>
      <c r="D4034" s="198"/>
      <c r="E4034" s="537"/>
      <c r="G4034" s="198"/>
      <c r="H4034" s="123"/>
    </row>
    <row r="4035" spans="3:8" s="99" customFormat="1" x14ac:dyDescent="0.2">
      <c r="C4035" s="198"/>
      <c r="D4035" s="198"/>
      <c r="E4035" s="537"/>
      <c r="G4035" s="198"/>
      <c r="H4035" s="123"/>
    </row>
    <row r="4036" spans="3:8" s="99" customFormat="1" x14ac:dyDescent="0.2">
      <c r="C4036" s="198"/>
      <c r="D4036" s="198"/>
      <c r="E4036" s="537"/>
      <c r="G4036" s="198"/>
      <c r="H4036" s="123"/>
    </row>
    <row r="4037" spans="3:8" s="99" customFormat="1" x14ac:dyDescent="0.2">
      <c r="C4037" s="198"/>
      <c r="D4037" s="198"/>
      <c r="E4037" s="537"/>
      <c r="G4037" s="198"/>
      <c r="H4037" s="123"/>
    </row>
    <row r="4038" spans="3:8" s="99" customFormat="1" x14ac:dyDescent="0.2">
      <c r="C4038" s="198"/>
      <c r="D4038" s="198"/>
      <c r="E4038" s="537"/>
      <c r="G4038" s="198"/>
      <c r="H4038" s="123"/>
    </row>
    <row r="4039" spans="3:8" s="99" customFormat="1" x14ac:dyDescent="0.2">
      <c r="C4039" s="198"/>
      <c r="D4039" s="198"/>
      <c r="E4039" s="537"/>
      <c r="G4039" s="198"/>
      <c r="H4039" s="123"/>
    </row>
    <row r="4040" spans="3:8" s="99" customFormat="1" x14ac:dyDescent="0.2">
      <c r="C4040" s="198"/>
      <c r="D4040" s="198"/>
      <c r="E4040" s="537"/>
      <c r="G4040" s="198"/>
      <c r="H4040" s="123"/>
    </row>
    <row r="4041" spans="3:8" s="99" customFormat="1" x14ac:dyDescent="0.2">
      <c r="C4041" s="198"/>
      <c r="D4041" s="198"/>
      <c r="E4041" s="537"/>
      <c r="G4041" s="198"/>
      <c r="H4041" s="123"/>
    </row>
    <row r="4042" spans="3:8" s="99" customFormat="1" x14ac:dyDescent="0.2">
      <c r="C4042" s="198"/>
      <c r="D4042" s="198"/>
      <c r="E4042" s="537"/>
      <c r="G4042" s="198"/>
      <c r="H4042" s="123"/>
    </row>
    <row r="4043" spans="3:8" s="99" customFormat="1" x14ac:dyDescent="0.2">
      <c r="C4043" s="198"/>
      <c r="D4043" s="198"/>
      <c r="E4043" s="537"/>
      <c r="G4043" s="198"/>
      <c r="H4043" s="123"/>
    </row>
    <row r="4044" spans="3:8" s="99" customFormat="1" x14ac:dyDescent="0.2">
      <c r="C4044" s="198"/>
      <c r="D4044" s="198"/>
      <c r="E4044" s="537"/>
      <c r="G4044" s="198"/>
      <c r="H4044" s="123"/>
    </row>
    <row r="4045" spans="3:8" s="99" customFormat="1" x14ac:dyDescent="0.2">
      <c r="C4045" s="198"/>
      <c r="D4045" s="198"/>
      <c r="E4045" s="537"/>
      <c r="G4045" s="198"/>
      <c r="H4045" s="123"/>
    </row>
    <row r="4046" spans="3:8" s="99" customFormat="1" x14ac:dyDescent="0.2">
      <c r="C4046" s="198"/>
      <c r="D4046" s="198"/>
      <c r="E4046" s="537"/>
      <c r="G4046" s="198"/>
      <c r="H4046" s="123"/>
    </row>
    <row r="4047" spans="3:8" s="99" customFormat="1" x14ac:dyDescent="0.2">
      <c r="C4047" s="198"/>
      <c r="D4047" s="198"/>
      <c r="E4047" s="537"/>
      <c r="G4047" s="198"/>
      <c r="H4047" s="123"/>
    </row>
    <row r="4048" spans="3:8" s="99" customFormat="1" x14ac:dyDescent="0.2">
      <c r="C4048" s="198"/>
      <c r="D4048" s="198"/>
      <c r="E4048" s="537"/>
      <c r="G4048" s="198"/>
      <c r="H4048" s="123"/>
    </row>
    <row r="4049" spans="3:8" s="99" customFormat="1" x14ac:dyDescent="0.2">
      <c r="C4049" s="198"/>
      <c r="D4049" s="198"/>
      <c r="E4049" s="537"/>
      <c r="G4049" s="198"/>
      <c r="H4049" s="123"/>
    </row>
    <row r="4050" spans="3:8" s="99" customFormat="1" x14ac:dyDescent="0.2">
      <c r="C4050" s="198"/>
      <c r="D4050" s="198"/>
      <c r="E4050" s="537"/>
      <c r="G4050" s="198"/>
      <c r="H4050" s="123"/>
    </row>
    <row r="4051" spans="3:8" s="99" customFormat="1" x14ac:dyDescent="0.2">
      <c r="C4051" s="198"/>
      <c r="D4051" s="198"/>
      <c r="E4051" s="537"/>
      <c r="G4051" s="198"/>
      <c r="H4051" s="123"/>
    </row>
    <row r="4052" spans="3:8" s="99" customFormat="1" x14ac:dyDescent="0.2">
      <c r="C4052" s="198"/>
      <c r="D4052" s="198"/>
      <c r="E4052" s="537"/>
      <c r="G4052" s="198"/>
      <c r="H4052" s="123"/>
    </row>
    <row r="4053" spans="3:8" s="99" customFormat="1" x14ac:dyDescent="0.2">
      <c r="C4053" s="198"/>
      <c r="D4053" s="198"/>
      <c r="E4053" s="537"/>
      <c r="G4053" s="198"/>
      <c r="H4053" s="123"/>
    </row>
    <row r="4054" spans="3:8" s="99" customFormat="1" x14ac:dyDescent="0.2">
      <c r="C4054" s="198"/>
      <c r="D4054" s="198"/>
      <c r="E4054" s="537"/>
      <c r="G4054" s="198"/>
      <c r="H4054" s="123"/>
    </row>
    <row r="4055" spans="3:8" s="99" customFormat="1" x14ac:dyDescent="0.2">
      <c r="C4055" s="198"/>
      <c r="D4055" s="198"/>
      <c r="E4055" s="537"/>
      <c r="G4055" s="198"/>
      <c r="H4055" s="123"/>
    </row>
    <row r="4056" spans="3:8" s="99" customFormat="1" x14ac:dyDescent="0.2">
      <c r="C4056" s="198"/>
      <c r="D4056" s="198"/>
      <c r="E4056" s="537"/>
      <c r="G4056" s="198"/>
      <c r="H4056" s="123"/>
    </row>
    <row r="4057" spans="3:8" s="99" customFormat="1" x14ac:dyDescent="0.2">
      <c r="C4057" s="198"/>
      <c r="D4057" s="198"/>
      <c r="E4057" s="537"/>
      <c r="G4057" s="198"/>
      <c r="H4057" s="123"/>
    </row>
    <row r="4058" spans="3:8" s="99" customFormat="1" x14ac:dyDescent="0.2">
      <c r="C4058" s="198"/>
      <c r="D4058" s="198"/>
      <c r="E4058" s="537"/>
      <c r="G4058" s="198"/>
      <c r="H4058" s="123"/>
    </row>
    <row r="4059" spans="3:8" s="99" customFormat="1" x14ac:dyDescent="0.2">
      <c r="C4059" s="198"/>
      <c r="D4059" s="198"/>
      <c r="E4059" s="537"/>
      <c r="G4059" s="198"/>
      <c r="H4059" s="123"/>
    </row>
    <row r="4060" spans="3:8" s="99" customFormat="1" x14ac:dyDescent="0.2">
      <c r="C4060" s="198"/>
      <c r="D4060" s="198"/>
      <c r="E4060" s="537"/>
      <c r="G4060" s="198"/>
      <c r="H4060" s="123"/>
    </row>
    <row r="4061" spans="3:8" s="99" customFormat="1" x14ac:dyDescent="0.2">
      <c r="C4061" s="198"/>
      <c r="D4061" s="198"/>
      <c r="E4061" s="537"/>
      <c r="G4061" s="198"/>
      <c r="H4061" s="123"/>
    </row>
    <row r="4062" spans="3:8" s="99" customFormat="1" x14ac:dyDescent="0.2">
      <c r="C4062" s="198"/>
      <c r="D4062" s="198"/>
      <c r="E4062" s="537"/>
      <c r="G4062" s="198"/>
      <c r="H4062" s="123"/>
    </row>
    <row r="4063" spans="3:8" s="99" customFormat="1" x14ac:dyDescent="0.2">
      <c r="C4063" s="198"/>
      <c r="D4063" s="198"/>
      <c r="E4063" s="537"/>
      <c r="G4063" s="198"/>
      <c r="H4063" s="123"/>
    </row>
    <row r="4064" spans="3:8" s="99" customFormat="1" x14ac:dyDescent="0.2">
      <c r="C4064" s="198"/>
      <c r="D4064" s="198"/>
      <c r="E4064" s="537"/>
      <c r="G4064" s="198"/>
      <c r="H4064" s="123"/>
    </row>
    <row r="4065" spans="3:8" s="99" customFormat="1" x14ac:dyDescent="0.2">
      <c r="C4065" s="198"/>
      <c r="D4065" s="198"/>
      <c r="E4065" s="537"/>
      <c r="G4065" s="198"/>
      <c r="H4065" s="123"/>
    </row>
    <row r="4066" spans="3:8" s="99" customFormat="1" x14ac:dyDescent="0.2">
      <c r="C4066" s="198"/>
      <c r="D4066" s="198"/>
      <c r="E4066" s="537"/>
      <c r="G4066" s="198"/>
      <c r="H4066" s="123"/>
    </row>
    <row r="4067" spans="3:8" s="99" customFormat="1" x14ac:dyDescent="0.2">
      <c r="C4067" s="198"/>
      <c r="D4067" s="198"/>
      <c r="E4067" s="537"/>
      <c r="G4067" s="198"/>
      <c r="H4067" s="123"/>
    </row>
    <row r="4068" spans="3:8" s="99" customFormat="1" x14ac:dyDescent="0.2">
      <c r="C4068" s="198"/>
      <c r="D4068" s="198"/>
      <c r="E4068" s="537"/>
      <c r="G4068" s="198"/>
      <c r="H4068" s="123"/>
    </row>
    <row r="4069" spans="3:8" s="99" customFormat="1" x14ac:dyDescent="0.2">
      <c r="C4069" s="198"/>
      <c r="D4069" s="198"/>
      <c r="E4069" s="537"/>
      <c r="G4069" s="198"/>
      <c r="H4069" s="123"/>
    </row>
    <row r="4070" spans="3:8" s="99" customFormat="1" x14ac:dyDescent="0.2">
      <c r="C4070" s="198"/>
      <c r="D4070" s="198"/>
      <c r="E4070" s="537"/>
      <c r="G4070" s="198"/>
      <c r="H4070" s="123"/>
    </row>
    <row r="4071" spans="3:8" s="99" customFormat="1" x14ac:dyDescent="0.2">
      <c r="C4071" s="198"/>
      <c r="D4071" s="198"/>
      <c r="E4071" s="537"/>
      <c r="G4071" s="198"/>
      <c r="H4071" s="123"/>
    </row>
    <row r="4072" spans="3:8" s="99" customFormat="1" x14ac:dyDescent="0.2">
      <c r="C4072" s="198"/>
      <c r="D4072" s="198"/>
      <c r="E4072" s="537"/>
      <c r="G4072" s="198"/>
      <c r="H4072" s="123"/>
    </row>
    <row r="4073" spans="3:8" s="99" customFormat="1" x14ac:dyDescent="0.2">
      <c r="C4073" s="198"/>
      <c r="D4073" s="198"/>
      <c r="E4073" s="537"/>
      <c r="G4073" s="198"/>
      <c r="H4073" s="123"/>
    </row>
    <row r="4074" spans="3:8" s="99" customFormat="1" x14ac:dyDescent="0.2">
      <c r="C4074" s="198"/>
      <c r="D4074" s="198"/>
      <c r="E4074" s="537"/>
      <c r="G4074" s="198"/>
      <c r="H4074" s="123"/>
    </row>
    <row r="4075" spans="3:8" s="99" customFormat="1" x14ac:dyDescent="0.2">
      <c r="C4075" s="198"/>
      <c r="D4075" s="198"/>
      <c r="E4075" s="537"/>
      <c r="G4075" s="198"/>
      <c r="H4075" s="123"/>
    </row>
    <row r="4076" spans="3:8" s="99" customFormat="1" x14ac:dyDescent="0.2">
      <c r="C4076" s="198"/>
      <c r="D4076" s="198"/>
      <c r="E4076" s="537"/>
      <c r="G4076" s="198"/>
      <c r="H4076" s="123"/>
    </row>
    <row r="4077" spans="3:8" s="99" customFormat="1" x14ac:dyDescent="0.2">
      <c r="C4077" s="198"/>
      <c r="D4077" s="198"/>
      <c r="E4077" s="537"/>
      <c r="G4077" s="198"/>
      <c r="H4077" s="123"/>
    </row>
    <row r="4078" spans="3:8" s="99" customFormat="1" x14ac:dyDescent="0.2">
      <c r="C4078" s="198"/>
      <c r="D4078" s="198"/>
      <c r="E4078" s="537"/>
      <c r="G4078" s="198"/>
      <c r="H4078" s="123"/>
    </row>
    <row r="4079" spans="3:8" s="99" customFormat="1" x14ac:dyDescent="0.2">
      <c r="C4079" s="198"/>
      <c r="D4079" s="198"/>
      <c r="E4079" s="537"/>
      <c r="G4079" s="198"/>
      <c r="H4079" s="123"/>
    </row>
    <row r="4080" spans="3:8" s="99" customFormat="1" x14ac:dyDescent="0.2">
      <c r="C4080" s="198"/>
      <c r="D4080" s="198"/>
      <c r="E4080" s="537"/>
      <c r="G4080" s="198"/>
      <c r="H4080" s="123"/>
    </row>
    <row r="4081" spans="3:8" s="99" customFormat="1" x14ac:dyDescent="0.2">
      <c r="C4081" s="198"/>
      <c r="D4081" s="198"/>
      <c r="E4081" s="537"/>
      <c r="G4081" s="198"/>
      <c r="H4081" s="123"/>
    </row>
    <row r="4082" spans="3:8" s="99" customFormat="1" x14ac:dyDescent="0.2">
      <c r="C4082" s="198"/>
      <c r="D4082" s="198"/>
      <c r="E4082" s="537"/>
      <c r="G4082" s="198"/>
      <c r="H4082" s="123"/>
    </row>
    <row r="4083" spans="3:8" s="99" customFormat="1" x14ac:dyDescent="0.2">
      <c r="C4083" s="198"/>
      <c r="D4083" s="198"/>
      <c r="E4083" s="537"/>
      <c r="G4083" s="198"/>
      <c r="H4083" s="123"/>
    </row>
    <row r="4084" spans="3:8" s="99" customFormat="1" x14ac:dyDescent="0.2">
      <c r="C4084" s="198"/>
      <c r="D4084" s="198"/>
      <c r="E4084" s="537"/>
      <c r="G4084" s="198"/>
      <c r="H4084" s="123"/>
    </row>
    <row r="4085" spans="3:8" s="99" customFormat="1" x14ac:dyDescent="0.2">
      <c r="C4085" s="198"/>
      <c r="D4085" s="198"/>
      <c r="E4085" s="537"/>
      <c r="G4085" s="198"/>
      <c r="H4085" s="123"/>
    </row>
    <row r="4086" spans="3:8" s="99" customFormat="1" x14ac:dyDescent="0.2">
      <c r="C4086" s="198"/>
      <c r="D4086" s="198"/>
      <c r="E4086" s="537"/>
      <c r="G4086" s="198"/>
      <c r="H4086" s="123"/>
    </row>
    <row r="4087" spans="3:8" s="99" customFormat="1" x14ac:dyDescent="0.2">
      <c r="C4087" s="198"/>
      <c r="D4087" s="198"/>
      <c r="E4087" s="537"/>
      <c r="G4087" s="198"/>
      <c r="H4087" s="123"/>
    </row>
    <row r="4088" spans="3:8" s="99" customFormat="1" x14ac:dyDescent="0.2">
      <c r="C4088" s="198"/>
      <c r="D4088" s="198"/>
      <c r="E4088" s="537"/>
      <c r="G4088" s="198"/>
      <c r="H4088" s="123"/>
    </row>
    <row r="4089" spans="3:8" s="99" customFormat="1" x14ac:dyDescent="0.2">
      <c r="C4089" s="198"/>
      <c r="D4089" s="198"/>
      <c r="E4089" s="537"/>
      <c r="G4089" s="198"/>
      <c r="H4089" s="123"/>
    </row>
    <row r="4090" spans="3:8" s="99" customFormat="1" x14ac:dyDescent="0.2">
      <c r="C4090" s="198"/>
      <c r="D4090" s="198"/>
      <c r="E4090" s="537"/>
      <c r="G4090" s="198"/>
      <c r="H4090" s="123"/>
    </row>
    <row r="4091" spans="3:8" s="99" customFormat="1" x14ac:dyDescent="0.2">
      <c r="C4091" s="198"/>
      <c r="D4091" s="198"/>
      <c r="E4091" s="537"/>
      <c r="G4091" s="198"/>
      <c r="H4091" s="123"/>
    </row>
    <row r="4092" spans="3:8" s="99" customFormat="1" x14ac:dyDescent="0.2">
      <c r="C4092" s="198"/>
      <c r="D4092" s="198"/>
      <c r="E4092" s="537"/>
      <c r="G4092" s="198"/>
      <c r="H4092" s="123"/>
    </row>
    <row r="4093" spans="3:8" s="99" customFormat="1" x14ac:dyDescent="0.2">
      <c r="C4093" s="198"/>
      <c r="D4093" s="198"/>
      <c r="E4093" s="537"/>
      <c r="G4093" s="198"/>
      <c r="H4093" s="123"/>
    </row>
    <row r="4094" spans="3:8" s="99" customFormat="1" x14ac:dyDescent="0.2">
      <c r="C4094" s="198"/>
      <c r="D4094" s="198"/>
      <c r="E4094" s="537"/>
      <c r="G4094" s="198"/>
      <c r="H4094" s="123"/>
    </row>
    <row r="4095" spans="3:8" s="99" customFormat="1" x14ac:dyDescent="0.2">
      <c r="C4095" s="198"/>
      <c r="D4095" s="198"/>
      <c r="E4095" s="537"/>
      <c r="G4095" s="198"/>
      <c r="H4095" s="123"/>
    </row>
    <row r="4096" spans="3:8" s="99" customFormat="1" x14ac:dyDescent="0.2">
      <c r="C4096" s="198"/>
      <c r="D4096" s="198"/>
      <c r="E4096" s="537"/>
      <c r="G4096" s="198"/>
      <c r="H4096" s="123"/>
    </row>
    <row r="4097" spans="3:8" s="99" customFormat="1" x14ac:dyDescent="0.2">
      <c r="C4097" s="198"/>
      <c r="D4097" s="198"/>
      <c r="E4097" s="537"/>
      <c r="G4097" s="198"/>
      <c r="H4097" s="123"/>
    </row>
    <row r="4098" spans="3:8" s="99" customFormat="1" x14ac:dyDescent="0.2">
      <c r="C4098" s="198"/>
      <c r="D4098" s="198"/>
      <c r="E4098" s="537"/>
      <c r="G4098" s="198"/>
      <c r="H4098" s="123"/>
    </row>
    <row r="4099" spans="3:8" s="99" customFormat="1" x14ac:dyDescent="0.2">
      <c r="C4099" s="198"/>
      <c r="D4099" s="198"/>
      <c r="E4099" s="537"/>
      <c r="G4099" s="198"/>
      <c r="H4099" s="123"/>
    </row>
    <row r="4100" spans="3:8" s="99" customFormat="1" x14ac:dyDescent="0.2">
      <c r="C4100" s="198"/>
      <c r="D4100" s="198"/>
      <c r="E4100" s="537"/>
      <c r="G4100" s="198"/>
      <c r="H4100" s="123"/>
    </row>
    <row r="4101" spans="3:8" s="99" customFormat="1" x14ac:dyDescent="0.2">
      <c r="C4101" s="198"/>
      <c r="D4101" s="198"/>
      <c r="E4101" s="537"/>
      <c r="G4101" s="198"/>
      <c r="H4101" s="123"/>
    </row>
    <row r="4102" spans="3:8" s="99" customFormat="1" x14ac:dyDescent="0.2">
      <c r="C4102" s="198"/>
      <c r="D4102" s="198"/>
      <c r="E4102" s="537"/>
      <c r="G4102" s="198"/>
      <c r="H4102" s="123"/>
    </row>
    <row r="4103" spans="3:8" s="99" customFormat="1" x14ac:dyDescent="0.2">
      <c r="C4103" s="198"/>
      <c r="D4103" s="198"/>
      <c r="E4103" s="537"/>
      <c r="G4103" s="198"/>
      <c r="H4103" s="123"/>
    </row>
    <row r="4104" spans="3:8" s="99" customFormat="1" x14ac:dyDescent="0.2">
      <c r="C4104" s="198"/>
      <c r="D4104" s="198"/>
      <c r="E4104" s="537"/>
      <c r="G4104" s="198"/>
      <c r="H4104" s="123"/>
    </row>
    <row r="4105" spans="3:8" s="99" customFormat="1" x14ac:dyDescent="0.2">
      <c r="C4105" s="198"/>
      <c r="D4105" s="198"/>
      <c r="E4105" s="537"/>
      <c r="G4105" s="198"/>
      <c r="H4105" s="123"/>
    </row>
    <row r="4106" spans="3:8" s="99" customFormat="1" x14ac:dyDescent="0.2">
      <c r="C4106" s="198"/>
      <c r="D4106" s="198"/>
      <c r="E4106" s="537"/>
      <c r="G4106" s="198"/>
      <c r="H4106" s="123"/>
    </row>
    <row r="4107" spans="3:8" s="99" customFormat="1" x14ac:dyDescent="0.2">
      <c r="C4107" s="198"/>
      <c r="D4107" s="198"/>
      <c r="E4107" s="537"/>
      <c r="G4107" s="198"/>
      <c r="H4107" s="123"/>
    </row>
    <row r="4108" spans="3:8" s="99" customFormat="1" x14ac:dyDescent="0.2">
      <c r="C4108" s="198"/>
      <c r="D4108" s="198"/>
      <c r="E4108" s="537"/>
      <c r="G4108" s="198"/>
      <c r="H4108" s="123"/>
    </row>
    <row r="4109" spans="3:8" s="99" customFormat="1" x14ac:dyDescent="0.2">
      <c r="C4109" s="198"/>
      <c r="D4109" s="198"/>
      <c r="E4109" s="537"/>
      <c r="G4109" s="198"/>
      <c r="H4109" s="123"/>
    </row>
    <row r="4110" spans="3:8" s="99" customFormat="1" x14ac:dyDescent="0.2">
      <c r="C4110" s="198"/>
      <c r="D4110" s="198"/>
      <c r="E4110" s="537"/>
      <c r="G4110" s="198"/>
      <c r="H4110" s="123"/>
    </row>
    <row r="4111" spans="3:8" s="99" customFormat="1" x14ac:dyDescent="0.2">
      <c r="C4111" s="198"/>
      <c r="D4111" s="198"/>
      <c r="E4111" s="537"/>
      <c r="G4111" s="198"/>
      <c r="H4111" s="123"/>
    </row>
    <row r="4112" spans="3:8" s="99" customFormat="1" x14ac:dyDescent="0.2">
      <c r="C4112" s="198"/>
      <c r="D4112" s="198"/>
      <c r="E4112" s="537"/>
      <c r="G4112" s="198"/>
      <c r="H4112" s="123"/>
    </row>
    <row r="4113" spans="3:8" s="99" customFormat="1" x14ac:dyDescent="0.2">
      <c r="C4113" s="198"/>
      <c r="D4113" s="198"/>
      <c r="E4113" s="537"/>
      <c r="G4113" s="198"/>
      <c r="H4113" s="123"/>
    </row>
    <row r="4114" spans="3:8" s="99" customFormat="1" x14ac:dyDescent="0.2">
      <c r="C4114" s="198"/>
      <c r="D4114" s="198"/>
      <c r="E4114" s="537"/>
      <c r="G4114" s="198"/>
      <c r="H4114" s="123"/>
    </row>
    <row r="4115" spans="3:8" s="99" customFormat="1" x14ac:dyDescent="0.2">
      <c r="C4115" s="198"/>
      <c r="D4115" s="198"/>
      <c r="E4115" s="537"/>
      <c r="G4115" s="198"/>
      <c r="H4115" s="123"/>
    </row>
    <row r="4116" spans="3:8" s="99" customFormat="1" x14ac:dyDescent="0.2">
      <c r="C4116" s="198"/>
      <c r="D4116" s="198"/>
      <c r="E4116" s="537"/>
      <c r="G4116" s="198"/>
      <c r="H4116" s="123"/>
    </row>
    <row r="4117" spans="3:8" s="99" customFormat="1" x14ac:dyDescent="0.2">
      <c r="C4117" s="198"/>
      <c r="D4117" s="198"/>
      <c r="E4117" s="537"/>
      <c r="G4117" s="198"/>
      <c r="H4117" s="123"/>
    </row>
    <row r="4118" spans="3:8" s="99" customFormat="1" x14ac:dyDescent="0.2">
      <c r="C4118" s="198"/>
      <c r="D4118" s="198"/>
      <c r="E4118" s="537"/>
      <c r="G4118" s="198"/>
      <c r="H4118" s="123"/>
    </row>
    <row r="4119" spans="3:8" s="99" customFormat="1" x14ac:dyDescent="0.2">
      <c r="C4119" s="198"/>
      <c r="D4119" s="198"/>
      <c r="E4119" s="537"/>
      <c r="G4119" s="198"/>
      <c r="H4119" s="123"/>
    </row>
    <row r="4120" spans="3:8" s="99" customFormat="1" x14ac:dyDescent="0.2">
      <c r="C4120" s="198"/>
      <c r="D4120" s="198"/>
      <c r="E4120" s="537"/>
      <c r="G4120" s="198"/>
      <c r="H4120" s="123"/>
    </row>
    <row r="4121" spans="3:8" s="99" customFormat="1" x14ac:dyDescent="0.2">
      <c r="C4121" s="198"/>
      <c r="D4121" s="198"/>
      <c r="E4121" s="537"/>
      <c r="G4121" s="198"/>
      <c r="H4121" s="123"/>
    </row>
    <row r="4122" spans="3:8" s="99" customFormat="1" x14ac:dyDescent="0.2">
      <c r="C4122" s="198"/>
      <c r="D4122" s="198"/>
      <c r="E4122" s="537"/>
      <c r="G4122" s="198"/>
      <c r="H4122" s="123"/>
    </row>
    <row r="4123" spans="3:8" s="99" customFormat="1" x14ac:dyDescent="0.2">
      <c r="C4123" s="198"/>
      <c r="D4123" s="198"/>
      <c r="E4123" s="537"/>
      <c r="G4123" s="198"/>
      <c r="H4123" s="123"/>
    </row>
    <row r="4124" spans="3:8" s="99" customFormat="1" x14ac:dyDescent="0.2">
      <c r="C4124" s="198"/>
      <c r="D4124" s="198"/>
      <c r="E4124" s="537"/>
      <c r="G4124" s="198"/>
      <c r="H4124" s="123"/>
    </row>
    <row r="4125" spans="3:8" s="99" customFormat="1" x14ac:dyDescent="0.2">
      <c r="C4125" s="198"/>
      <c r="D4125" s="198"/>
      <c r="E4125" s="537"/>
      <c r="G4125" s="198"/>
      <c r="H4125" s="123"/>
    </row>
    <row r="4126" spans="3:8" s="99" customFormat="1" x14ac:dyDescent="0.2">
      <c r="C4126" s="198"/>
      <c r="D4126" s="198"/>
      <c r="E4126" s="537"/>
      <c r="G4126" s="198"/>
      <c r="H4126" s="123"/>
    </row>
    <row r="4127" spans="3:8" s="99" customFormat="1" x14ac:dyDescent="0.2">
      <c r="C4127" s="198"/>
      <c r="D4127" s="198"/>
      <c r="E4127" s="537"/>
      <c r="G4127" s="198"/>
      <c r="H4127" s="123"/>
    </row>
    <row r="4128" spans="3:8" s="99" customFormat="1" x14ac:dyDescent="0.2">
      <c r="C4128" s="198"/>
      <c r="D4128" s="198"/>
      <c r="E4128" s="537"/>
      <c r="G4128" s="198"/>
      <c r="H4128" s="123"/>
    </row>
    <row r="4129" spans="3:8" s="99" customFormat="1" x14ac:dyDescent="0.2">
      <c r="C4129" s="198"/>
      <c r="D4129" s="198"/>
      <c r="E4129" s="537"/>
      <c r="G4129" s="198"/>
      <c r="H4129" s="123"/>
    </row>
    <row r="4130" spans="3:8" s="99" customFormat="1" x14ac:dyDescent="0.2">
      <c r="C4130" s="198"/>
      <c r="D4130" s="198"/>
      <c r="E4130" s="537"/>
      <c r="G4130" s="198"/>
      <c r="H4130" s="123"/>
    </row>
    <row r="4131" spans="3:8" s="99" customFormat="1" x14ac:dyDescent="0.2">
      <c r="C4131" s="198"/>
      <c r="D4131" s="198"/>
      <c r="E4131" s="537"/>
      <c r="G4131" s="198"/>
      <c r="H4131" s="123"/>
    </row>
    <row r="4132" spans="3:8" s="99" customFormat="1" x14ac:dyDescent="0.2">
      <c r="C4132" s="198"/>
      <c r="D4132" s="198"/>
      <c r="E4132" s="537"/>
      <c r="G4132" s="198"/>
      <c r="H4132" s="123"/>
    </row>
    <row r="4133" spans="3:8" s="99" customFormat="1" x14ac:dyDescent="0.2">
      <c r="C4133" s="198"/>
      <c r="D4133" s="198"/>
      <c r="E4133" s="537"/>
      <c r="G4133" s="198"/>
      <c r="H4133" s="123"/>
    </row>
    <row r="4134" spans="3:8" s="99" customFormat="1" x14ac:dyDescent="0.2">
      <c r="C4134" s="198"/>
      <c r="D4134" s="198"/>
      <c r="E4134" s="537"/>
      <c r="G4134" s="198"/>
      <c r="H4134" s="123"/>
    </row>
    <row r="4135" spans="3:8" s="99" customFormat="1" x14ac:dyDescent="0.2">
      <c r="C4135" s="198"/>
      <c r="D4135" s="198"/>
      <c r="E4135" s="537"/>
      <c r="G4135" s="198"/>
      <c r="H4135" s="123"/>
    </row>
    <row r="4136" spans="3:8" s="99" customFormat="1" x14ac:dyDescent="0.2">
      <c r="C4136" s="198"/>
      <c r="D4136" s="198"/>
      <c r="E4136" s="537"/>
      <c r="G4136" s="198"/>
      <c r="H4136" s="123"/>
    </row>
    <row r="4137" spans="3:8" s="99" customFormat="1" x14ac:dyDescent="0.2">
      <c r="C4137" s="198"/>
      <c r="D4137" s="198"/>
      <c r="E4137" s="537"/>
      <c r="G4137" s="198"/>
      <c r="H4137" s="123"/>
    </row>
    <row r="4138" spans="3:8" s="99" customFormat="1" x14ac:dyDescent="0.2">
      <c r="C4138" s="198"/>
      <c r="D4138" s="198"/>
      <c r="E4138" s="537"/>
      <c r="G4138" s="198"/>
      <c r="H4138" s="123"/>
    </row>
    <row r="4139" spans="3:8" s="99" customFormat="1" x14ac:dyDescent="0.2">
      <c r="C4139" s="198"/>
      <c r="D4139" s="198"/>
      <c r="E4139" s="537"/>
      <c r="G4139" s="198"/>
      <c r="H4139" s="123"/>
    </row>
    <row r="4140" spans="3:8" s="99" customFormat="1" x14ac:dyDescent="0.2">
      <c r="C4140" s="198"/>
      <c r="D4140" s="198"/>
      <c r="E4140" s="537"/>
      <c r="G4140" s="198"/>
      <c r="H4140" s="123"/>
    </row>
    <row r="4141" spans="3:8" s="99" customFormat="1" x14ac:dyDescent="0.2">
      <c r="C4141" s="198"/>
      <c r="D4141" s="198"/>
      <c r="E4141" s="537"/>
      <c r="G4141" s="198"/>
      <c r="H4141" s="123"/>
    </row>
    <row r="4142" spans="3:8" s="99" customFormat="1" x14ac:dyDescent="0.2">
      <c r="C4142" s="198"/>
      <c r="D4142" s="198"/>
      <c r="E4142" s="537"/>
      <c r="G4142" s="198"/>
      <c r="H4142" s="123"/>
    </row>
    <row r="4143" spans="3:8" s="99" customFormat="1" x14ac:dyDescent="0.2">
      <c r="C4143" s="198"/>
      <c r="D4143" s="198"/>
      <c r="E4143" s="537"/>
      <c r="G4143" s="198"/>
      <c r="H4143" s="123"/>
    </row>
    <row r="4144" spans="3:8" s="99" customFormat="1" x14ac:dyDescent="0.2">
      <c r="C4144" s="198"/>
      <c r="D4144" s="198"/>
      <c r="E4144" s="537"/>
      <c r="G4144" s="198"/>
      <c r="H4144" s="123"/>
    </row>
    <row r="4145" spans="3:8" s="99" customFormat="1" x14ac:dyDescent="0.2">
      <c r="C4145" s="198"/>
      <c r="D4145" s="198"/>
      <c r="E4145" s="537"/>
      <c r="G4145" s="198"/>
      <c r="H4145" s="123"/>
    </row>
    <row r="4146" spans="3:8" s="99" customFormat="1" x14ac:dyDescent="0.2">
      <c r="C4146" s="198"/>
      <c r="D4146" s="198"/>
      <c r="E4146" s="537"/>
      <c r="G4146" s="198"/>
      <c r="H4146" s="123"/>
    </row>
    <row r="4147" spans="3:8" s="99" customFormat="1" x14ac:dyDescent="0.2">
      <c r="C4147" s="198"/>
      <c r="D4147" s="198"/>
      <c r="E4147" s="537"/>
      <c r="G4147" s="198"/>
      <c r="H4147" s="123"/>
    </row>
    <row r="4148" spans="3:8" s="99" customFormat="1" x14ac:dyDescent="0.2">
      <c r="C4148" s="198"/>
      <c r="D4148" s="198"/>
      <c r="E4148" s="537"/>
      <c r="G4148" s="198"/>
      <c r="H4148" s="123"/>
    </row>
    <row r="4149" spans="3:8" s="99" customFormat="1" x14ac:dyDescent="0.2">
      <c r="C4149" s="198"/>
      <c r="D4149" s="198"/>
      <c r="E4149" s="537"/>
      <c r="G4149" s="198"/>
      <c r="H4149" s="123"/>
    </row>
    <row r="4150" spans="3:8" s="99" customFormat="1" x14ac:dyDescent="0.2">
      <c r="C4150" s="198"/>
      <c r="D4150" s="198"/>
      <c r="E4150" s="537"/>
      <c r="G4150" s="198"/>
      <c r="H4150" s="123"/>
    </row>
    <row r="4151" spans="3:8" s="99" customFormat="1" x14ac:dyDescent="0.2">
      <c r="C4151" s="198"/>
      <c r="D4151" s="198"/>
      <c r="E4151" s="537"/>
      <c r="G4151" s="198"/>
      <c r="H4151" s="123"/>
    </row>
    <row r="4152" spans="3:8" s="99" customFormat="1" x14ac:dyDescent="0.2">
      <c r="C4152" s="198"/>
      <c r="D4152" s="198"/>
      <c r="E4152" s="537"/>
      <c r="G4152" s="198"/>
      <c r="H4152" s="123"/>
    </row>
    <row r="4153" spans="3:8" s="99" customFormat="1" x14ac:dyDescent="0.2">
      <c r="C4153" s="198"/>
      <c r="D4153" s="198"/>
      <c r="E4153" s="537"/>
      <c r="G4153" s="198"/>
      <c r="H4153" s="123"/>
    </row>
    <row r="4154" spans="3:8" s="99" customFormat="1" x14ac:dyDescent="0.2">
      <c r="C4154" s="198"/>
      <c r="D4154" s="198"/>
      <c r="E4154" s="537"/>
      <c r="G4154" s="198"/>
      <c r="H4154" s="123"/>
    </row>
    <row r="4155" spans="3:8" s="99" customFormat="1" x14ac:dyDescent="0.2">
      <c r="C4155" s="198"/>
      <c r="D4155" s="198"/>
      <c r="E4155" s="537"/>
      <c r="G4155" s="198"/>
      <c r="H4155" s="123"/>
    </row>
    <row r="4156" spans="3:8" s="99" customFormat="1" x14ac:dyDescent="0.2">
      <c r="C4156" s="198"/>
      <c r="D4156" s="198"/>
      <c r="E4156" s="537"/>
      <c r="G4156" s="198"/>
      <c r="H4156" s="123"/>
    </row>
    <row r="4157" spans="3:8" s="99" customFormat="1" x14ac:dyDescent="0.2">
      <c r="C4157" s="198"/>
      <c r="D4157" s="198"/>
      <c r="E4157" s="537"/>
      <c r="G4157" s="198"/>
      <c r="H4157" s="123"/>
    </row>
    <row r="4158" spans="3:8" s="99" customFormat="1" x14ac:dyDescent="0.2">
      <c r="C4158" s="198"/>
      <c r="D4158" s="198"/>
      <c r="E4158" s="537"/>
      <c r="G4158" s="198"/>
      <c r="H4158" s="123"/>
    </row>
    <row r="4159" spans="3:8" s="99" customFormat="1" x14ac:dyDescent="0.2">
      <c r="C4159" s="198"/>
      <c r="D4159" s="198"/>
      <c r="E4159" s="537"/>
      <c r="G4159" s="198"/>
      <c r="H4159" s="123"/>
    </row>
    <row r="4160" spans="3:8" s="99" customFormat="1" x14ac:dyDescent="0.2">
      <c r="C4160" s="198"/>
      <c r="D4160" s="198"/>
      <c r="E4160" s="537"/>
      <c r="G4160" s="198"/>
      <c r="H4160" s="123"/>
    </row>
    <row r="4161" spans="3:8" s="99" customFormat="1" x14ac:dyDescent="0.2">
      <c r="C4161" s="198"/>
      <c r="D4161" s="198"/>
      <c r="E4161" s="537"/>
      <c r="G4161" s="198"/>
      <c r="H4161" s="123"/>
    </row>
    <row r="4162" spans="3:8" s="99" customFormat="1" x14ac:dyDescent="0.2">
      <c r="C4162" s="198"/>
      <c r="D4162" s="198"/>
      <c r="E4162" s="537"/>
      <c r="G4162" s="198"/>
      <c r="H4162" s="123"/>
    </row>
    <row r="4163" spans="3:8" s="99" customFormat="1" x14ac:dyDescent="0.2">
      <c r="C4163" s="198"/>
      <c r="D4163" s="198"/>
      <c r="E4163" s="537"/>
      <c r="G4163" s="198"/>
      <c r="H4163" s="123"/>
    </row>
    <row r="4164" spans="3:8" s="99" customFormat="1" x14ac:dyDescent="0.2">
      <c r="C4164" s="198"/>
      <c r="D4164" s="198"/>
      <c r="E4164" s="537"/>
      <c r="G4164" s="198"/>
      <c r="H4164" s="123"/>
    </row>
    <row r="4165" spans="3:8" s="99" customFormat="1" x14ac:dyDescent="0.2">
      <c r="C4165" s="198"/>
      <c r="D4165" s="198"/>
      <c r="E4165" s="537"/>
      <c r="G4165" s="198"/>
      <c r="H4165" s="123"/>
    </row>
    <row r="4166" spans="3:8" s="99" customFormat="1" x14ac:dyDescent="0.2">
      <c r="C4166" s="198"/>
      <c r="D4166" s="198"/>
      <c r="E4166" s="537"/>
      <c r="G4166" s="198"/>
      <c r="H4166" s="123"/>
    </row>
    <row r="4167" spans="3:8" s="99" customFormat="1" x14ac:dyDescent="0.2">
      <c r="C4167" s="198"/>
      <c r="D4167" s="198"/>
      <c r="E4167" s="537"/>
      <c r="G4167" s="198"/>
      <c r="H4167" s="123"/>
    </row>
    <row r="4168" spans="3:8" s="99" customFormat="1" x14ac:dyDescent="0.2">
      <c r="C4168" s="198"/>
      <c r="D4168" s="198"/>
      <c r="E4168" s="537"/>
      <c r="G4168" s="198"/>
      <c r="H4168" s="123"/>
    </row>
    <row r="4169" spans="3:8" s="99" customFormat="1" x14ac:dyDescent="0.2">
      <c r="C4169" s="198"/>
      <c r="D4169" s="198"/>
      <c r="E4169" s="537"/>
      <c r="G4169" s="198"/>
      <c r="H4169" s="123"/>
    </row>
    <row r="4170" spans="3:8" s="99" customFormat="1" x14ac:dyDescent="0.2">
      <c r="C4170" s="198"/>
      <c r="D4170" s="198"/>
      <c r="E4170" s="537"/>
      <c r="G4170" s="198"/>
      <c r="H4170" s="123"/>
    </row>
    <row r="4171" spans="3:8" s="99" customFormat="1" x14ac:dyDescent="0.2">
      <c r="C4171" s="198"/>
      <c r="D4171" s="198"/>
      <c r="E4171" s="537"/>
      <c r="G4171" s="198"/>
      <c r="H4171" s="123"/>
    </row>
    <row r="4172" spans="3:8" s="99" customFormat="1" x14ac:dyDescent="0.2">
      <c r="C4172" s="198"/>
      <c r="D4172" s="198"/>
      <c r="E4172" s="537"/>
      <c r="G4172" s="198"/>
      <c r="H4172" s="123"/>
    </row>
    <row r="4173" spans="3:8" s="99" customFormat="1" x14ac:dyDescent="0.2">
      <c r="C4173" s="198"/>
      <c r="D4173" s="198"/>
      <c r="E4173" s="537"/>
      <c r="G4173" s="198"/>
      <c r="H4173" s="123"/>
    </row>
    <row r="4174" spans="3:8" s="99" customFormat="1" x14ac:dyDescent="0.2">
      <c r="C4174" s="198"/>
      <c r="D4174" s="198"/>
      <c r="E4174" s="537"/>
      <c r="G4174" s="198"/>
      <c r="H4174" s="123"/>
    </row>
    <row r="4175" spans="3:8" s="99" customFormat="1" x14ac:dyDescent="0.2">
      <c r="C4175" s="198"/>
      <c r="D4175" s="198"/>
      <c r="E4175" s="537"/>
      <c r="G4175" s="198"/>
      <c r="H4175" s="123"/>
    </row>
    <row r="4176" spans="3:8" s="99" customFormat="1" x14ac:dyDescent="0.2">
      <c r="C4176" s="198"/>
      <c r="D4176" s="198"/>
      <c r="E4176" s="537"/>
      <c r="G4176" s="198"/>
      <c r="H4176" s="123"/>
    </row>
    <row r="4177" spans="3:8" s="99" customFormat="1" x14ac:dyDescent="0.2">
      <c r="C4177" s="198"/>
      <c r="D4177" s="198"/>
      <c r="E4177" s="537"/>
      <c r="G4177" s="198"/>
      <c r="H4177" s="123"/>
    </row>
    <row r="4178" spans="3:8" s="99" customFormat="1" x14ac:dyDescent="0.2">
      <c r="C4178" s="198"/>
      <c r="D4178" s="198"/>
      <c r="E4178" s="537"/>
      <c r="G4178" s="198"/>
      <c r="H4178" s="123"/>
    </row>
    <row r="4179" spans="3:8" s="99" customFormat="1" x14ac:dyDescent="0.2">
      <c r="C4179" s="198"/>
      <c r="D4179" s="198"/>
      <c r="E4179" s="537"/>
      <c r="G4179" s="198"/>
      <c r="H4179" s="123"/>
    </row>
    <row r="4180" spans="3:8" s="99" customFormat="1" x14ac:dyDescent="0.2">
      <c r="C4180" s="198"/>
      <c r="D4180" s="198"/>
      <c r="E4180" s="537"/>
      <c r="G4180" s="198"/>
      <c r="H4180" s="123"/>
    </row>
    <row r="4181" spans="3:8" s="99" customFormat="1" x14ac:dyDescent="0.2">
      <c r="C4181" s="198"/>
      <c r="D4181" s="198"/>
      <c r="E4181" s="537"/>
      <c r="G4181" s="198"/>
      <c r="H4181" s="123"/>
    </row>
    <row r="4182" spans="3:8" s="99" customFormat="1" x14ac:dyDescent="0.2">
      <c r="C4182" s="198"/>
      <c r="D4182" s="198"/>
      <c r="E4182" s="537"/>
      <c r="G4182" s="198"/>
      <c r="H4182" s="123"/>
    </row>
    <row r="4183" spans="3:8" s="99" customFormat="1" x14ac:dyDescent="0.2">
      <c r="C4183" s="198"/>
      <c r="D4183" s="198"/>
      <c r="E4183" s="537"/>
      <c r="G4183" s="198"/>
      <c r="H4183" s="123"/>
    </row>
    <row r="4184" spans="3:8" s="99" customFormat="1" x14ac:dyDescent="0.2">
      <c r="C4184" s="198"/>
      <c r="D4184" s="198"/>
      <c r="E4184" s="537"/>
      <c r="G4184" s="198"/>
      <c r="H4184" s="123"/>
    </row>
    <row r="4185" spans="3:8" s="99" customFormat="1" x14ac:dyDescent="0.2">
      <c r="C4185" s="198"/>
      <c r="D4185" s="198"/>
      <c r="E4185" s="537"/>
      <c r="G4185" s="198"/>
      <c r="H4185" s="123"/>
    </row>
    <row r="4186" spans="3:8" s="99" customFormat="1" x14ac:dyDescent="0.2">
      <c r="C4186" s="198"/>
      <c r="D4186" s="198"/>
      <c r="E4186" s="537"/>
      <c r="G4186" s="198"/>
      <c r="H4186" s="123"/>
    </row>
    <row r="4187" spans="3:8" s="99" customFormat="1" x14ac:dyDescent="0.2">
      <c r="C4187" s="198"/>
      <c r="D4187" s="198"/>
      <c r="E4187" s="537"/>
      <c r="G4187" s="198"/>
      <c r="H4187" s="123"/>
    </row>
    <row r="4188" spans="3:8" s="99" customFormat="1" x14ac:dyDescent="0.2">
      <c r="C4188" s="198"/>
      <c r="D4188" s="198"/>
      <c r="E4188" s="537"/>
      <c r="G4188" s="198"/>
      <c r="H4188" s="123"/>
    </row>
    <row r="4189" spans="3:8" s="99" customFormat="1" x14ac:dyDescent="0.2">
      <c r="C4189" s="198"/>
      <c r="D4189" s="198"/>
      <c r="E4189" s="537"/>
      <c r="G4189" s="198"/>
      <c r="H4189" s="123"/>
    </row>
    <row r="4190" spans="3:8" s="99" customFormat="1" x14ac:dyDescent="0.2">
      <c r="C4190" s="198"/>
      <c r="D4190" s="198"/>
      <c r="E4190" s="537"/>
      <c r="G4190" s="198"/>
      <c r="H4190" s="123"/>
    </row>
    <row r="4191" spans="3:8" s="99" customFormat="1" x14ac:dyDescent="0.2">
      <c r="C4191" s="198"/>
      <c r="D4191" s="198"/>
      <c r="E4191" s="537"/>
      <c r="G4191" s="198"/>
      <c r="H4191" s="123"/>
    </row>
    <row r="4192" spans="3:8" s="99" customFormat="1" x14ac:dyDescent="0.2">
      <c r="C4192" s="198"/>
      <c r="D4192" s="198"/>
      <c r="E4192" s="537"/>
      <c r="G4192" s="198"/>
      <c r="H4192" s="123"/>
    </row>
    <row r="4193" spans="3:8" s="99" customFormat="1" x14ac:dyDescent="0.2">
      <c r="C4193" s="198"/>
      <c r="D4193" s="198"/>
      <c r="E4193" s="537"/>
      <c r="G4193" s="198"/>
      <c r="H4193" s="123"/>
    </row>
    <row r="4194" spans="3:8" s="99" customFormat="1" x14ac:dyDescent="0.2">
      <c r="C4194" s="198"/>
      <c r="D4194" s="198"/>
      <c r="E4194" s="537"/>
      <c r="G4194" s="198"/>
      <c r="H4194" s="123"/>
    </row>
    <row r="4195" spans="3:8" s="99" customFormat="1" x14ac:dyDescent="0.2">
      <c r="C4195" s="198"/>
      <c r="D4195" s="198"/>
      <c r="E4195" s="537"/>
      <c r="G4195" s="198"/>
      <c r="H4195" s="123"/>
    </row>
    <row r="4196" spans="3:8" s="99" customFormat="1" x14ac:dyDescent="0.2">
      <c r="C4196" s="198"/>
      <c r="D4196" s="198"/>
      <c r="E4196" s="537"/>
      <c r="G4196" s="198"/>
      <c r="H4196" s="123"/>
    </row>
    <row r="4197" spans="3:8" s="99" customFormat="1" x14ac:dyDescent="0.2">
      <c r="C4197" s="198"/>
      <c r="D4197" s="198"/>
      <c r="E4197" s="537"/>
      <c r="G4197" s="198"/>
      <c r="H4197" s="123"/>
    </row>
    <row r="4198" spans="3:8" s="99" customFormat="1" x14ac:dyDescent="0.2">
      <c r="C4198" s="198"/>
      <c r="D4198" s="198"/>
      <c r="E4198" s="537"/>
      <c r="G4198" s="198"/>
      <c r="H4198" s="123"/>
    </row>
    <row r="4199" spans="3:8" s="99" customFormat="1" x14ac:dyDescent="0.2">
      <c r="C4199" s="198"/>
      <c r="D4199" s="198"/>
      <c r="E4199" s="537"/>
      <c r="G4199" s="198"/>
      <c r="H4199" s="123"/>
    </row>
    <row r="4200" spans="3:8" s="99" customFormat="1" x14ac:dyDescent="0.2">
      <c r="C4200" s="198"/>
      <c r="D4200" s="198"/>
      <c r="E4200" s="537"/>
      <c r="G4200" s="198"/>
      <c r="H4200" s="123"/>
    </row>
    <row r="4201" spans="3:8" s="99" customFormat="1" x14ac:dyDescent="0.2">
      <c r="C4201" s="198"/>
      <c r="D4201" s="198"/>
      <c r="E4201" s="537"/>
      <c r="G4201" s="198"/>
      <c r="H4201" s="123"/>
    </row>
    <row r="4202" spans="3:8" s="99" customFormat="1" x14ac:dyDescent="0.2">
      <c r="C4202" s="198"/>
      <c r="D4202" s="198"/>
      <c r="E4202" s="537"/>
      <c r="G4202" s="198"/>
      <c r="H4202" s="123"/>
    </row>
    <row r="4203" spans="3:8" s="99" customFormat="1" x14ac:dyDescent="0.2">
      <c r="C4203" s="198"/>
      <c r="D4203" s="198"/>
      <c r="E4203" s="537"/>
      <c r="G4203" s="198"/>
      <c r="H4203" s="123"/>
    </row>
    <row r="4204" spans="3:8" s="99" customFormat="1" x14ac:dyDescent="0.2">
      <c r="C4204" s="198"/>
      <c r="D4204" s="198"/>
      <c r="E4204" s="537"/>
      <c r="G4204" s="198"/>
      <c r="H4204" s="123"/>
    </row>
    <row r="4205" spans="3:8" s="99" customFormat="1" x14ac:dyDescent="0.2">
      <c r="C4205" s="198"/>
      <c r="D4205" s="198"/>
      <c r="E4205" s="537"/>
      <c r="G4205" s="198"/>
      <c r="H4205" s="123"/>
    </row>
    <row r="4206" spans="3:8" s="99" customFormat="1" x14ac:dyDescent="0.2">
      <c r="C4206" s="198"/>
      <c r="D4206" s="198"/>
      <c r="E4206" s="537"/>
      <c r="G4206" s="198"/>
      <c r="H4206" s="123"/>
    </row>
    <row r="4207" spans="3:8" s="99" customFormat="1" x14ac:dyDescent="0.2">
      <c r="C4207" s="198"/>
      <c r="D4207" s="198"/>
      <c r="E4207" s="537"/>
      <c r="G4207" s="198"/>
      <c r="H4207" s="123"/>
    </row>
    <row r="4208" spans="3:8" s="99" customFormat="1" x14ac:dyDescent="0.2">
      <c r="C4208" s="198"/>
      <c r="D4208" s="198"/>
      <c r="E4208" s="537"/>
      <c r="G4208" s="198"/>
      <c r="H4208" s="123"/>
    </row>
    <row r="4209" spans="3:8" s="99" customFormat="1" x14ac:dyDescent="0.2">
      <c r="C4209" s="198"/>
      <c r="D4209" s="198"/>
      <c r="E4209" s="537"/>
      <c r="G4209" s="198"/>
      <c r="H4209" s="123"/>
    </row>
    <row r="4210" spans="3:8" s="99" customFormat="1" x14ac:dyDescent="0.2">
      <c r="C4210" s="198"/>
      <c r="D4210" s="198"/>
      <c r="E4210" s="537"/>
      <c r="G4210" s="198"/>
      <c r="H4210" s="123"/>
    </row>
    <row r="4211" spans="3:8" s="99" customFormat="1" x14ac:dyDescent="0.2">
      <c r="C4211" s="198"/>
      <c r="D4211" s="198"/>
      <c r="E4211" s="537"/>
      <c r="G4211" s="198"/>
      <c r="H4211" s="123"/>
    </row>
    <row r="4212" spans="3:8" s="99" customFormat="1" x14ac:dyDescent="0.2">
      <c r="C4212" s="198"/>
      <c r="D4212" s="198"/>
      <c r="E4212" s="537"/>
      <c r="G4212" s="198"/>
      <c r="H4212" s="123"/>
    </row>
    <row r="4213" spans="3:8" s="99" customFormat="1" x14ac:dyDescent="0.2">
      <c r="C4213" s="198"/>
      <c r="D4213" s="198"/>
      <c r="E4213" s="537"/>
      <c r="G4213" s="198"/>
      <c r="H4213" s="123"/>
    </row>
    <row r="4214" spans="3:8" s="99" customFormat="1" x14ac:dyDescent="0.2">
      <c r="C4214" s="198"/>
      <c r="D4214" s="198"/>
      <c r="E4214" s="537"/>
      <c r="G4214" s="198"/>
      <c r="H4214" s="123"/>
    </row>
    <row r="4215" spans="3:8" s="99" customFormat="1" x14ac:dyDescent="0.2">
      <c r="C4215" s="198"/>
      <c r="D4215" s="198"/>
      <c r="E4215" s="537"/>
      <c r="G4215" s="198"/>
      <c r="H4215" s="123"/>
    </row>
    <row r="4216" spans="3:8" s="99" customFormat="1" x14ac:dyDescent="0.2">
      <c r="C4216" s="198"/>
      <c r="D4216" s="198"/>
      <c r="E4216" s="537"/>
      <c r="G4216" s="198"/>
      <c r="H4216" s="123"/>
    </row>
    <row r="4217" spans="3:8" s="99" customFormat="1" x14ac:dyDescent="0.2">
      <c r="C4217" s="198"/>
      <c r="D4217" s="198"/>
      <c r="E4217" s="537"/>
      <c r="G4217" s="198"/>
      <c r="H4217" s="123"/>
    </row>
    <row r="4218" spans="3:8" s="99" customFormat="1" x14ac:dyDescent="0.2">
      <c r="C4218" s="198"/>
      <c r="D4218" s="198"/>
      <c r="E4218" s="537"/>
      <c r="G4218" s="198"/>
      <c r="H4218" s="123"/>
    </row>
    <row r="4219" spans="3:8" s="99" customFormat="1" x14ac:dyDescent="0.2">
      <c r="C4219" s="198"/>
      <c r="D4219" s="198"/>
      <c r="E4219" s="537"/>
      <c r="G4219" s="198"/>
      <c r="H4219" s="123"/>
    </row>
    <row r="4220" spans="3:8" s="99" customFormat="1" x14ac:dyDescent="0.2">
      <c r="C4220" s="198"/>
      <c r="D4220" s="198"/>
      <c r="E4220" s="537"/>
      <c r="G4220" s="198"/>
      <c r="H4220" s="123"/>
    </row>
    <row r="4221" spans="3:8" s="99" customFormat="1" x14ac:dyDescent="0.2">
      <c r="C4221" s="198"/>
      <c r="D4221" s="198"/>
      <c r="E4221" s="537"/>
      <c r="G4221" s="198"/>
      <c r="H4221" s="123"/>
    </row>
    <row r="4222" spans="3:8" s="99" customFormat="1" x14ac:dyDescent="0.2">
      <c r="C4222" s="198"/>
      <c r="D4222" s="198"/>
      <c r="E4222" s="537"/>
      <c r="G4222" s="198"/>
      <c r="H4222" s="123"/>
    </row>
    <row r="4223" spans="3:8" s="99" customFormat="1" x14ac:dyDescent="0.2">
      <c r="C4223" s="198"/>
      <c r="D4223" s="198"/>
      <c r="E4223" s="537"/>
      <c r="G4223" s="198"/>
      <c r="H4223" s="123"/>
    </row>
    <row r="4224" spans="3:8" s="99" customFormat="1" x14ac:dyDescent="0.2">
      <c r="C4224" s="198"/>
      <c r="D4224" s="198"/>
      <c r="E4224" s="537"/>
      <c r="G4224" s="198"/>
      <c r="H4224" s="123"/>
    </row>
    <row r="4225" spans="3:8" s="99" customFormat="1" x14ac:dyDescent="0.2">
      <c r="C4225" s="198"/>
      <c r="D4225" s="198"/>
      <c r="E4225" s="537"/>
      <c r="G4225" s="198"/>
      <c r="H4225" s="123"/>
    </row>
    <row r="4226" spans="3:8" s="99" customFormat="1" x14ac:dyDescent="0.2">
      <c r="C4226" s="198"/>
      <c r="D4226" s="198"/>
      <c r="E4226" s="537"/>
      <c r="G4226" s="198"/>
      <c r="H4226" s="123"/>
    </row>
    <row r="4227" spans="3:8" s="99" customFormat="1" x14ac:dyDescent="0.2">
      <c r="C4227" s="198"/>
      <c r="D4227" s="198"/>
      <c r="E4227" s="537"/>
      <c r="G4227" s="198"/>
      <c r="H4227" s="123"/>
    </row>
    <row r="4228" spans="3:8" s="99" customFormat="1" x14ac:dyDescent="0.2">
      <c r="C4228" s="198"/>
      <c r="D4228" s="198"/>
      <c r="E4228" s="537"/>
      <c r="G4228" s="198"/>
      <c r="H4228" s="123"/>
    </row>
    <row r="4229" spans="3:8" s="99" customFormat="1" x14ac:dyDescent="0.2">
      <c r="C4229" s="198"/>
      <c r="D4229" s="198"/>
      <c r="E4229" s="537"/>
      <c r="G4229" s="198"/>
      <c r="H4229" s="123"/>
    </row>
    <row r="4230" spans="3:8" s="99" customFormat="1" x14ac:dyDescent="0.2">
      <c r="C4230" s="198"/>
      <c r="D4230" s="198"/>
      <c r="E4230" s="537"/>
      <c r="G4230" s="198"/>
      <c r="H4230" s="123"/>
    </row>
    <row r="4231" spans="3:8" s="99" customFormat="1" x14ac:dyDescent="0.2">
      <c r="C4231" s="198"/>
      <c r="D4231" s="198"/>
      <c r="E4231" s="537"/>
      <c r="G4231" s="198"/>
      <c r="H4231" s="123"/>
    </row>
    <row r="4232" spans="3:8" s="99" customFormat="1" x14ac:dyDescent="0.2">
      <c r="C4232" s="198"/>
      <c r="D4232" s="198"/>
      <c r="E4232" s="537"/>
      <c r="G4232" s="198"/>
      <c r="H4232" s="123"/>
    </row>
    <row r="4233" spans="3:8" s="99" customFormat="1" x14ac:dyDescent="0.2">
      <c r="C4233" s="198"/>
      <c r="D4233" s="198"/>
      <c r="E4233" s="537"/>
      <c r="G4233" s="198"/>
      <c r="H4233" s="123"/>
    </row>
    <row r="4234" spans="3:8" s="99" customFormat="1" x14ac:dyDescent="0.2">
      <c r="C4234" s="198"/>
      <c r="D4234" s="198"/>
      <c r="E4234" s="537"/>
      <c r="G4234" s="198"/>
      <c r="H4234" s="123"/>
    </row>
    <row r="4235" spans="3:8" s="99" customFormat="1" x14ac:dyDescent="0.2">
      <c r="C4235" s="198"/>
      <c r="D4235" s="198"/>
      <c r="E4235" s="537"/>
      <c r="G4235" s="198"/>
      <c r="H4235" s="123"/>
    </row>
    <row r="4236" spans="3:8" s="99" customFormat="1" x14ac:dyDescent="0.2">
      <c r="C4236" s="198"/>
      <c r="D4236" s="198"/>
      <c r="E4236" s="537"/>
      <c r="G4236" s="198"/>
      <c r="H4236" s="123"/>
    </row>
    <row r="4237" spans="3:8" s="99" customFormat="1" x14ac:dyDescent="0.2">
      <c r="C4237" s="198"/>
      <c r="D4237" s="198"/>
      <c r="E4237" s="537"/>
      <c r="G4237" s="198"/>
      <c r="H4237" s="123"/>
    </row>
    <row r="4238" spans="3:8" s="99" customFormat="1" x14ac:dyDescent="0.2">
      <c r="C4238" s="198"/>
      <c r="D4238" s="198"/>
      <c r="E4238" s="537"/>
      <c r="G4238" s="198"/>
      <c r="H4238" s="123"/>
    </row>
    <row r="4239" spans="3:8" s="99" customFormat="1" x14ac:dyDescent="0.2">
      <c r="C4239" s="198"/>
      <c r="D4239" s="198"/>
      <c r="E4239" s="537"/>
      <c r="G4239" s="198"/>
      <c r="H4239" s="123"/>
    </row>
    <row r="4240" spans="3:8" s="99" customFormat="1" x14ac:dyDescent="0.2">
      <c r="C4240" s="198"/>
      <c r="D4240" s="198"/>
      <c r="E4240" s="537"/>
      <c r="G4240" s="198"/>
      <c r="H4240" s="123"/>
    </row>
    <row r="4241" spans="3:8" s="99" customFormat="1" x14ac:dyDescent="0.2">
      <c r="C4241" s="198"/>
      <c r="D4241" s="198"/>
      <c r="E4241" s="537"/>
      <c r="G4241" s="198"/>
      <c r="H4241" s="123"/>
    </row>
    <row r="4242" spans="3:8" s="99" customFormat="1" x14ac:dyDescent="0.2">
      <c r="C4242" s="198"/>
      <c r="D4242" s="198"/>
      <c r="E4242" s="537"/>
      <c r="G4242" s="198"/>
      <c r="H4242" s="123"/>
    </row>
    <row r="4243" spans="3:8" s="99" customFormat="1" x14ac:dyDescent="0.2">
      <c r="C4243" s="198"/>
      <c r="D4243" s="198"/>
      <c r="E4243" s="537"/>
      <c r="G4243" s="198"/>
      <c r="H4243" s="123"/>
    </row>
    <row r="4244" spans="3:8" s="99" customFormat="1" x14ac:dyDescent="0.2">
      <c r="C4244" s="198"/>
      <c r="D4244" s="198"/>
      <c r="E4244" s="537"/>
      <c r="G4244" s="198"/>
      <c r="H4244" s="123"/>
    </row>
    <row r="4245" spans="3:8" s="99" customFormat="1" x14ac:dyDescent="0.2">
      <c r="C4245" s="198"/>
      <c r="D4245" s="198"/>
      <c r="E4245" s="537"/>
      <c r="G4245" s="198"/>
      <c r="H4245" s="123"/>
    </row>
    <row r="4246" spans="3:8" s="99" customFormat="1" x14ac:dyDescent="0.2">
      <c r="C4246" s="198"/>
      <c r="D4246" s="198"/>
      <c r="E4246" s="537"/>
      <c r="G4246" s="198"/>
      <c r="H4246" s="123"/>
    </row>
    <row r="4247" spans="3:8" s="99" customFormat="1" x14ac:dyDescent="0.2">
      <c r="C4247" s="198"/>
      <c r="D4247" s="198"/>
      <c r="E4247" s="537"/>
      <c r="G4247" s="198"/>
      <c r="H4247" s="123"/>
    </row>
    <row r="4248" spans="3:8" s="99" customFormat="1" x14ac:dyDescent="0.2">
      <c r="C4248" s="198"/>
      <c r="D4248" s="198"/>
      <c r="E4248" s="537"/>
      <c r="G4248" s="198"/>
      <c r="H4248" s="123"/>
    </row>
    <row r="4249" spans="3:8" s="99" customFormat="1" x14ac:dyDescent="0.2">
      <c r="C4249" s="198"/>
      <c r="D4249" s="198"/>
      <c r="E4249" s="537"/>
      <c r="G4249" s="198"/>
      <c r="H4249" s="123"/>
    </row>
    <row r="4250" spans="3:8" s="99" customFormat="1" x14ac:dyDescent="0.2">
      <c r="C4250" s="198"/>
      <c r="D4250" s="198"/>
      <c r="E4250" s="537"/>
      <c r="G4250" s="198"/>
      <c r="H4250" s="123"/>
    </row>
    <row r="4251" spans="3:8" s="99" customFormat="1" x14ac:dyDescent="0.2">
      <c r="C4251" s="198"/>
      <c r="D4251" s="198"/>
      <c r="E4251" s="537"/>
      <c r="G4251" s="198"/>
      <c r="H4251" s="123"/>
    </row>
    <row r="4252" spans="3:8" s="99" customFormat="1" x14ac:dyDescent="0.2">
      <c r="C4252" s="198"/>
      <c r="D4252" s="198"/>
      <c r="E4252" s="537"/>
      <c r="G4252" s="198"/>
      <c r="H4252" s="123"/>
    </row>
    <row r="4253" spans="3:8" s="99" customFormat="1" x14ac:dyDescent="0.2">
      <c r="C4253" s="198"/>
      <c r="D4253" s="198"/>
      <c r="E4253" s="537"/>
      <c r="G4253" s="198"/>
      <c r="H4253" s="123"/>
    </row>
    <row r="4254" spans="3:8" s="99" customFormat="1" x14ac:dyDescent="0.2">
      <c r="C4254" s="198"/>
      <c r="D4254" s="198"/>
      <c r="E4254" s="537"/>
      <c r="G4254" s="198"/>
      <c r="H4254" s="123"/>
    </row>
    <row r="4255" spans="3:8" s="99" customFormat="1" x14ac:dyDescent="0.2">
      <c r="C4255" s="198"/>
      <c r="D4255" s="198"/>
      <c r="E4255" s="537"/>
      <c r="G4255" s="198"/>
      <c r="H4255" s="123"/>
    </row>
    <row r="4256" spans="3:8" s="99" customFormat="1" x14ac:dyDescent="0.2">
      <c r="C4256" s="198"/>
      <c r="D4256" s="198"/>
      <c r="E4256" s="537"/>
      <c r="G4256" s="198"/>
      <c r="H4256" s="123"/>
    </row>
    <row r="4257" spans="3:8" s="99" customFormat="1" x14ac:dyDescent="0.2">
      <c r="C4257" s="198"/>
      <c r="D4257" s="198"/>
      <c r="E4257" s="537"/>
      <c r="G4257" s="198"/>
      <c r="H4257" s="123"/>
    </row>
    <row r="4258" spans="3:8" s="99" customFormat="1" x14ac:dyDescent="0.2">
      <c r="C4258" s="198"/>
      <c r="D4258" s="198"/>
      <c r="E4258" s="537"/>
      <c r="G4258" s="198"/>
      <c r="H4258" s="123"/>
    </row>
    <row r="4259" spans="3:8" s="99" customFormat="1" x14ac:dyDescent="0.2">
      <c r="C4259" s="198"/>
      <c r="D4259" s="198"/>
      <c r="E4259" s="537"/>
      <c r="G4259" s="198"/>
      <c r="H4259" s="123"/>
    </row>
    <row r="4260" spans="3:8" s="99" customFormat="1" x14ac:dyDescent="0.2">
      <c r="C4260" s="198"/>
      <c r="D4260" s="198"/>
      <c r="E4260" s="537"/>
      <c r="G4260" s="198"/>
      <c r="H4260" s="123"/>
    </row>
    <row r="4261" spans="3:8" s="99" customFormat="1" x14ac:dyDescent="0.2">
      <c r="C4261" s="198"/>
      <c r="D4261" s="198"/>
      <c r="E4261" s="537"/>
      <c r="G4261" s="198"/>
      <c r="H4261" s="123"/>
    </row>
    <row r="4262" spans="3:8" s="99" customFormat="1" x14ac:dyDescent="0.2">
      <c r="C4262" s="198"/>
      <c r="D4262" s="198"/>
      <c r="E4262" s="537"/>
      <c r="G4262" s="198"/>
      <c r="H4262" s="123"/>
    </row>
    <row r="4263" spans="3:8" s="99" customFormat="1" x14ac:dyDescent="0.2">
      <c r="C4263" s="198"/>
      <c r="D4263" s="198"/>
      <c r="E4263" s="537"/>
      <c r="G4263" s="198"/>
      <c r="H4263" s="123"/>
    </row>
    <row r="4264" spans="3:8" s="99" customFormat="1" x14ac:dyDescent="0.2">
      <c r="C4264" s="198"/>
      <c r="D4264" s="198"/>
      <c r="E4264" s="537"/>
      <c r="G4264" s="198"/>
      <c r="H4264" s="123"/>
    </row>
    <row r="4265" spans="3:8" s="99" customFormat="1" x14ac:dyDescent="0.2">
      <c r="C4265" s="198"/>
      <c r="D4265" s="198"/>
      <c r="E4265" s="537"/>
      <c r="G4265" s="198"/>
      <c r="H4265" s="123"/>
    </row>
    <row r="4266" spans="3:8" s="99" customFormat="1" x14ac:dyDescent="0.2">
      <c r="C4266" s="198"/>
      <c r="D4266" s="198"/>
      <c r="E4266" s="537"/>
      <c r="G4266" s="198"/>
      <c r="H4266" s="123"/>
    </row>
    <row r="4267" spans="3:8" s="99" customFormat="1" x14ac:dyDescent="0.2">
      <c r="C4267" s="198"/>
      <c r="D4267" s="198"/>
      <c r="E4267" s="537"/>
      <c r="G4267" s="198"/>
      <c r="H4267" s="123"/>
    </row>
    <row r="4268" spans="3:8" s="99" customFormat="1" x14ac:dyDescent="0.2">
      <c r="C4268" s="198"/>
      <c r="D4268" s="198"/>
      <c r="E4268" s="537"/>
      <c r="G4268" s="198"/>
      <c r="H4268" s="123"/>
    </row>
    <row r="4269" spans="3:8" s="99" customFormat="1" x14ac:dyDescent="0.2">
      <c r="C4269" s="198"/>
      <c r="D4269" s="198"/>
      <c r="E4269" s="537"/>
      <c r="G4269" s="198"/>
      <c r="H4269" s="123"/>
    </row>
    <row r="4270" spans="3:8" s="99" customFormat="1" x14ac:dyDescent="0.2">
      <c r="C4270" s="198"/>
      <c r="D4270" s="198"/>
      <c r="E4270" s="537"/>
      <c r="G4270" s="198"/>
      <c r="H4270" s="123"/>
    </row>
    <row r="4271" spans="3:8" s="99" customFormat="1" x14ac:dyDescent="0.2">
      <c r="C4271" s="198"/>
      <c r="D4271" s="198"/>
      <c r="E4271" s="537"/>
      <c r="G4271" s="198"/>
      <c r="H4271" s="123"/>
    </row>
    <row r="4272" spans="3:8" s="99" customFormat="1" x14ac:dyDescent="0.2">
      <c r="C4272" s="198"/>
      <c r="D4272" s="198"/>
      <c r="E4272" s="537"/>
      <c r="G4272" s="198"/>
      <c r="H4272" s="123"/>
    </row>
    <row r="4273" spans="3:8" s="99" customFormat="1" x14ac:dyDescent="0.2">
      <c r="C4273" s="198"/>
      <c r="D4273" s="198"/>
      <c r="E4273" s="537"/>
      <c r="G4273" s="198"/>
      <c r="H4273" s="123"/>
    </row>
    <row r="4274" spans="3:8" s="99" customFormat="1" x14ac:dyDescent="0.2">
      <c r="C4274" s="198"/>
      <c r="D4274" s="198"/>
      <c r="E4274" s="537"/>
      <c r="G4274" s="198"/>
      <c r="H4274" s="123"/>
    </row>
    <row r="4275" spans="3:8" s="99" customFormat="1" x14ac:dyDescent="0.2">
      <c r="C4275" s="198"/>
      <c r="D4275" s="198"/>
      <c r="E4275" s="537"/>
      <c r="G4275" s="198"/>
      <c r="H4275" s="123"/>
    </row>
    <row r="4276" spans="3:8" s="99" customFormat="1" x14ac:dyDescent="0.2">
      <c r="C4276" s="198"/>
      <c r="D4276" s="198"/>
      <c r="E4276" s="537"/>
      <c r="G4276" s="198"/>
      <c r="H4276" s="123"/>
    </row>
    <row r="4277" spans="3:8" s="99" customFormat="1" x14ac:dyDescent="0.2">
      <c r="C4277" s="198"/>
      <c r="D4277" s="198"/>
      <c r="E4277" s="537"/>
      <c r="G4277" s="198"/>
      <c r="H4277" s="123"/>
    </row>
    <row r="4278" spans="3:8" s="99" customFormat="1" x14ac:dyDescent="0.2">
      <c r="C4278" s="198"/>
      <c r="D4278" s="198"/>
      <c r="E4278" s="537"/>
      <c r="G4278" s="198"/>
      <c r="H4278" s="123"/>
    </row>
    <row r="4279" spans="3:8" s="99" customFormat="1" x14ac:dyDescent="0.2">
      <c r="C4279" s="198"/>
      <c r="D4279" s="198"/>
      <c r="E4279" s="537"/>
      <c r="G4279" s="198"/>
      <c r="H4279" s="123"/>
    </row>
    <row r="4280" spans="3:8" s="99" customFormat="1" x14ac:dyDescent="0.2">
      <c r="C4280" s="198"/>
      <c r="D4280" s="198"/>
      <c r="E4280" s="537"/>
      <c r="G4280" s="198"/>
      <c r="H4280" s="123"/>
    </row>
    <row r="4281" spans="3:8" s="99" customFormat="1" x14ac:dyDescent="0.2">
      <c r="C4281" s="198"/>
      <c r="D4281" s="198"/>
      <c r="E4281" s="537"/>
      <c r="G4281" s="198"/>
      <c r="H4281" s="123"/>
    </row>
    <row r="4282" spans="3:8" s="99" customFormat="1" x14ac:dyDescent="0.2">
      <c r="C4282" s="198"/>
      <c r="D4282" s="198"/>
      <c r="E4282" s="537"/>
      <c r="G4282" s="198"/>
      <c r="H4282" s="123"/>
    </row>
    <row r="4283" spans="3:8" s="99" customFormat="1" x14ac:dyDescent="0.2">
      <c r="C4283" s="198"/>
      <c r="D4283" s="198"/>
      <c r="E4283" s="537"/>
      <c r="G4283" s="198"/>
      <c r="H4283" s="123"/>
    </row>
    <row r="4284" spans="3:8" s="99" customFormat="1" x14ac:dyDescent="0.2">
      <c r="C4284" s="198"/>
      <c r="D4284" s="198"/>
      <c r="E4284" s="537"/>
      <c r="G4284" s="198"/>
      <c r="H4284" s="123"/>
    </row>
    <row r="4285" spans="3:8" s="99" customFormat="1" x14ac:dyDescent="0.2">
      <c r="C4285" s="198"/>
      <c r="D4285" s="198"/>
      <c r="E4285" s="537"/>
      <c r="G4285" s="198"/>
      <c r="H4285" s="123"/>
    </row>
    <row r="4286" spans="3:8" s="99" customFormat="1" x14ac:dyDescent="0.2">
      <c r="C4286" s="198"/>
      <c r="D4286" s="198"/>
      <c r="E4286" s="537"/>
      <c r="G4286" s="198"/>
      <c r="H4286" s="123"/>
    </row>
    <row r="4287" spans="3:8" s="99" customFormat="1" x14ac:dyDescent="0.2">
      <c r="C4287" s="198"/>
      <c r="D4287" s="198"/>
      <c r="E4287" s="537"/>
      <c r="G4287" s="198"/>
      <c r="H4287" s="123"/>
    </row>
    <row r="4288" spans="3:8" s="99" customFormat="1" x14ac:dyDescent="0.2">
      <c r="C4288" s="198"/>
      <c r="D4288" s="198"/>
      <c r="E4288" s="537"/>
      <c r="G4288" s="198"/>
      <c r="H4288" s="123"/>
    </row>
    <row r="4289" spans="3:8" s="99" customFormat="1" x14ac:dyDescent="0.2">
      <c r="C4289" s="198"/>
      <c r="D4289" s="198"/>
      <c r="E4289" s="537"/>
      <c r="G4289" s="198"/>
      <c r="H4289" s="123"/>
    </row>
    <row r="4290" spans="3:8" s="99" customFormat="1" x14ac:dyDescent="0.2">
      <c r="C4290" s="198"/>
      <c r="D4290" s="198"/>
      <c r="E4290" s="537"/>
      <c r="G4290" s="198"/>
      <c r="H4290" s="123"/>
    </row>
    <row r="4291" spans="3:8" s="99" customFormat="1" x14ac:dyDescent="0.2">
      <c r="C4291" s="198"/>
      <c r="D4291" s="198"/>
      <c r="E4291" s="537"/>
      <c r="G4291" s="198"/>
      <c r="H4291" s="123"/>
    </row>
    <row r="4292" spans="3:8" s="99" customFormat="1" x14ac:dyDescent="0.2">
      <c r="C4292" s="198"/>
      <c r="D4292" s="198"/>
      <c r="E4292" s="537"/>
      <c r="G4292" s="198"/>
      <c r="H4292" s="123"/>
    </row>
    <row r="4293" spans="3:8" s="99" customFormat="1" x14ac:dyDescent="0.2">
      <c r="C4293" s="198"/>
      <c r="D4293" s="198"/>
      <c r="E4293" s="537"/>
      <c r="G4293" s="198"/>
      <c r="H4293" s="123"/>
    </row>
    <row r="4294" spans="3:8" s="99" customFormat="1" x14ac:dyDescent="0.2">
      <c r="C4294" s="198"/>
      <c r="D4294" s="198"/>
      <c r="E4294" s="537"/>
      <c r="G4294" s="198"/>
      <c r="H4294" s="123"/>
    </row>
    <row r="4295" spans="3:8" s="99" customFormat="1" x14ac:dyDescent="0.2">
      <c r="C4295" s="198"/>
      <c r="D4295" s="198"/>
      <c r="E4295" s="537"/>
      <c r="G4295" s="198"/>
      <c r="H4295" s="123"/>
    </row>
    <row r="4296" spans="3:8" s="99" customFormat="1" x14ac:dyDescent="0.2">
      <c r="C4296" s="198"/>
      <c r="D4296" s="198"/>
      <c r="E4296" s="537"/>
      <c r="G4296" s="198"/>
      <c r="H4296" s="123"/>
    </row>
    <row r="4297" spans="3:8" s="99" customFormat="1" x14ac:dyDescent="0.2">
      <c r="C4297" s="198"/>
      <c r="D4297" s="198"/>
      <c r="E4297" s="537"/>
      <c r="G4297" s="198"/>
      <c r="H4297" s="123"/>
    </row>
    <row r="4298" spans="3:8" s="99" customFormat="1" x14ac:dyDescent="0.2">
      <c r="C4298" s="198"/>
      <c r="D4298" s="198"/>
      <c r="E4298" s="537"/>
      <c r="G4298" s="198"/>
      <c r="H4298" s="123"/>
    </row>
    <row r="4299" spans="3:8" s="99" customFormat="1" x14ac:dyDescent="0.2">
      <c r="C4299" s="198"/>
      <c r="D4299" s="198"/>
      <c r="E4299" s="537"/>
      <c r="G4299" s="198"/>
      <c r="H4299" s="123"/>
    </row>
    <row r="4300" spans="3:8" s="99" customFormat="1" x14ac:dyDescent="0.2">
      <c r="C4300" s="198"/>
      <c r="D4300" s="198"/>
      <c r="E4300" s="537"/>
      <c r="G4300" s="198"/>
      <c r="H4300" s="123"/>
    </row>
    <row r="4301" spans="3:8" s="99" customFormat="1" x14ac:dyDescent="0.2">
      <c r="C4301" s="198"/>
      <c r="D4301" s="198"/>
      <c r="E4301" s="537"/>
      <c r="G4301" s="198"/>
      <c r="H4301" s="123"/>
    </row>
    <row r="4302" spans="3:8" s="99" customFormat="1" x14ac:dyDescent="0.2">
      <c r="C4302" s="198"/>
      <c r="D4302" s="198"/>
      <c r="E4302" s="537"/>
      <c r="G4302" s="198"/>
      <c r="H4302" s="123"/>
    </row>
    <row r="4303" spans="3:8" s="99" customFormat="1" x14ac:dyDescent="0.2">
      <c r="C4303" s="198"/>
      <c r="D4303" s="198"/>
      <c r="E4303" s="537"/>
      <c r="G4303" s="198"/>
      <c r="H4303" s="123"/>
    </row>
    <row r="4304" spans="3:8" s="99" customFormat="1" x14ac:dyDescent="0.2">
      <c r="C4304" s="198"/>
      <c r="D4304" s="198"/>
      <c r="E4304" s="537"/>
      <c r="G4304" s="198"/>
      <c r="H4304" s="123"/>
    </row>
    <row r="4305" spans="3:8" s="99" customFormat="1" x14ac:dyDescent="0.2">
      <c r="C4305" s="198"/>
      <c r="D4305" s="198"/>
      <c r="E4305" s="537"/>
      <c r="G4305" s="198"/>
      <c r="H4305" s="123"/>
    </row>
    <row r="4306" spans="3:8" s="99" customFormat="1" x14ac:dyDescent="0.2">
      <c r="C4306" s="198"/>
      <c r="D4306" s="198"/>
      <c r="E4306" s="537"/>
      <c r="G4306" s="198"/>
      <c r="H4306" s="123"/>
    </row>
    <row r="4307" spans="3:8" s="99" customFormat="1" x14ac:dyDescent="0.2">
      <c r="C4307" s="198"/>
      <c r="D4307" s="198"/>
      <c r="E4307" s="537"/>
      <c r="G4307" s="198"/>
      <c r="H4307" s="123"/>
    </row>
    <row r="4308" spans="3:8" s="99" customFormat="1" x14ac:dyDescent="0.2">
      <c r="C4308" s="198"/>
      <c r="D4308" s="198"/>
      <c r="E4308" s="537"/>
      <c r="G4308" s="198"/>
      <c r="H4308" s="123"/>
    </row>
    <row r="4309" spans="3:8" s="99" customFormat="1" x14ac:dyDescent="0.2">
      <c r="C4309" s="198"/>
      <c r="D4309" s="198"/>
      <c r="E4309" s="537"/>
      <c r="G4309" s="198"/>
      <c r="H4309" s="123"/>
    </row>
    <row r="4310" spans="3:8" s="99" customFormat="1" x14ac:dyDescent="0.2">
      <c r="C4310" s="198"/>
      <c r="D4310" s="198"/>
      <c r="E4310" s="537"/>
      <c r="G4310" s="198"/>
      <c r="H4310" s="123"/>
    </row>
    <row r="4311" spans="3:8" s="99" customFormat="1" x14ac:dyDescent="0.2">
      <c r="C4311" s="198"/>
      <c r="D4311" s="198"/>
      <c r="E4311" s="537"/>
      <c r="G4311" s="198"/>
      <c r="H4311" s="123"/>
    </row>
    <row r="4312" spans="3:8" s="99" customFormat="1" x14ac:dyDescent="0.2">
      <c r="C4312" s="198"/>
      <c r="D4312" s="198"/>
      <c r="E4312" s="537"/>
      <c r="G4312" s="198"/>
      <c r="H4312" s="123"/>
    </row>
    <row r="4313" spans="3:8" s="99" customFormat="1" x14ac:dyDescent="0.2">
      <c r="C4313" s="198"/>
      <c r="D4313" s="198"/>
      <c r="E4313" s="537"/>
      <c r="G4313" s="198"/>
      <c r="H4313" s="123"/>
    </row>
    <row r="4314" spans="3:8" s="99" customFormat="1" x14ac:dyDescent="0.2">
      <c r="C4314" s="198"/>
      <c r="D4314" s="198"/>
      <c r="E4314" s="537"/>
      <c r="G4314" s="198"/>
      <c r="H4314" s="123"/>
    </row>
    <row r="4315" spans="3:8" s="99" customFormat="1" x14ac:dyDescent="0.2">
      <c r="C4315" s="198"/>
      <c r="D4315" s="198"/>
      <c r="E4315" s="537"/>
      <c r="G4315" s="198"/>
      <c r="H4315" s="123"/>
    </row>
    <row r="4316" spans="3:8" s="99" customFormat="1" x14ac:dyDescent="0.2">
      <c r="C4316" s="198"/>
      <c r="D4316" s="198"/>
      <c r="E4316" s="537"/>
      <c r="G4316" s="198"/>
      <c r="H4316" s="123"/>
    </row>
    <row r="4317" spans="3:8" s="99" customFormat="1" x14ac:dyDescent="0.2">
      <c r="C4317" s="198"/>
      <c r="D4317" s="198"/>
      <c r="E4317" s="537"/>
      <c r="G4317" s="198"/>
      <c r="H4317" s="123"/>
    </row>
    <row r="4318" spans="3:8" s="99" customFormat="1" x14ac:dyDescent="0.2">
      <c r="C4318" s="198"/>
      <c r="D4318" s="198"/>
      <c r="E4318" s="537"/>
      <c r="G4318" s="198"/>
      <c r="H4318" s="123"/>
    </row>
    <row r="4319" spans="3:8" s="99" customFormat="1" x14ac:dyDescent="0.2">
      <c r="C4319" s="198"/>
      <c r="D4319" s="198"/>
      <c r="E4319" s="537"/>
      <c r="G4319" s="198"/>
      <c r="H4319" s="123"/>
    </row>
    <row r="4320" spans="3:8" s="99" customFormat="1" x14ac:dyDescent="0.2">
      <c r="C4320" s="198"/>
      <c r="D4320" s="198"/>
      <c r="E4320" s="537"/>
      <c r="G4320" s="198"/>
      <c r="H4320" s="123"/>
    </row>
    <row r="4321" spans="3:8" s="99" customFormat="1" x14ac:dyDescent="0.2">
      <c r="C4321" s="198"/>
      <c r="D4321" s="198"/>
      <c r="E4321" s="537"/>
      <c r="G4321" s="198"/>
      <c r="H4321" s="123"/>
    </row>
    <row r="4322" spans="3:8" s="99" customFormat="1" x14ac:dyDescent="0.2">
      <c r="C4322" s="198"/>
      <c r="D4322" s="198"/>
      <c r="E4322" s="537"/>
      <c r="G4322" s="198"/>
      <c r="H4322" s="123"/>
    </row>
    <row r="4323" spans="3:8" s="99" customFormat="1" x14ac:dyDescent="0.2">
      <c r="C4323" s="198"/>
      <c r="D4323" s="198"/>
      <c r="E4323" s="537"/>
      <c r="G4323" s="198"/>
      <c r="H4323" s="123"/>
    </row>
    <row r="4324" spans="3:8" s="99" customFormat="1" x14ac:dyDescent="0.2">
      <c r="C4324" s="198"/>
      <c r="D4324" s="198"/>
      <c r="E4324" s="537"/>
      <c r="G4324" s="198"/>
      <c r="H4324" s="123"/>
    </row>
    <row r="4325" spans="3:8" s="99" customFormat="1" x14ac:dyDescent="0.2">
      <c r="C4325" s="198"/>
      <c r="D4325" s="198"/>
      <c r="E4325" s="537"/>
      <c r="G4325" s="198"/>
      <c r="H4325" s="123"/>
    </row>
    <row r="4326" spans="3:8" s="99" customFormat="1" x14ac:dyDescent="0.2">
      <c r="C4326" s="198"/>
      <c r="D4326" s="198"/>
      <c r="E4326" s="537"/>
      <c r="G4326" s="198"/>
      <c r="H4326" s="123"/>
    </row>
    <row r="4327" spans="3:8" s="99" customFormat="1" x14ac:dyDescent="0.2">
      <c r="C4327" s="198"/>
      <c r="D4327" s="198"/>
      <c r="E4327" s="537"/>
      <c r="G4327" s="198"/>
      <c r="H4327" s="123"/>
    </row>
    <row r="4328" spans="3:8" s="99" customFormat="1" x14ac:dyDescent="0.2">
      <c r="C4328" s="198"/>
      <c r="D4328" s="198"/>
      <c r="E4328" s="537"/>
      <c r="G4328" s="198"/>
      <c r="H4328" s="123"/>
    </row>
    <row r="4329" spans="3:8" s="99" customFormat="1" x14ac:dyDescent="0.2">
      <c r="C4329" s="198"/>
      <c r="D4329" s="198"/>
      <c r="E4329" s="537"/>
      <c r="G4329" s="198"/>
      <c r="H4329" s="123"/>
    </row>
    <row r="4330" spans="3:8" s="99" customFormat="1" x14ac:dyDescent="0.2">
      <c r="C4330" s="198"/>
      <c r="D4330" s="198"/>
      <c r="E4330" s="537"/>
      <c r="G4330" s="198"/>
      <c r="H4330" s="123"/>
    </row>
    <row r="4331" spans="3:8" s="99" customFormat="1" x14ac:dyDescent="0.2">
      <c r="C4331" s="198"/>
      <c r="D4331" s="198"/>
      <c r="E4331" s="537"/>
      <c r="G4331" s="198"/>
      <c r="H4331" s="123"/>
    </row>
    <row r="4332" spans="3:8" s="99" customFormat="1" x14ac:dyDescent="0.2">
      <c r="C4332" s="198"/>
      <c r="D4332" s="198"/>
      <c r="E4332" s="537"/>
      <c r="G4332" s="198"/>
      <c r="H4332" s="123"/>
    </row>
    <row r="4333" spans="3:8" s="99" customFormat="1" x14ac:dyDescent="0.2">
      <c r="C4333" s="198"/>
      <c r="D4333" s="198"/>
      <c r="E4333" s="537"/>
      <c r="G4333" s="198"/>
      <c r="H4333" s="123"/>
    </row>
    <row r="4334" spans="3:8" s="99" customFormat="1" x14ac:dyDescent="0.2">
      <c r="C4334" s="198"/>
      <c r="D4334" s="198"/>
      <c r="E4334" s="537"/>
      <c r="G4334" s="198"/>
      <c r="H4334" s="123"/>
    </row>
    <row r="4335" spans="3:8" s="99" customFormat="1" x14ac:dyDescent="0.2">
      <c r="C4335" s="198"/>
      <c r="D4335" s="198"/>
      <c r="E4335" s="537"/>
      <c r="G4335" s="198"/>
      <c r="H4335" s="123"/>
    </row>
    <row r="4336" spans="3:8" s="99" customFormat="1" x14ac:dyDescent="0.2">
      <c r="C4336" s="198"/>
      <c r="D4336" s="198"/>
      <c r="E4336" s="537"/>
      <c r="G4336" s="198"/>
      <c r="H4336" s="123"/>
    </row>
    <row r="4337" spans="3:8" s="99" customFormat="1" x14ac:dyDescent="0.2">
      <c r="C4337" s="198"/>
      <c r="D4337" s="198"/>
      <c r="E4337" s="537"/>
      <c r="G4337" s="198"/>
      <c r="H4337" s="123"/>
    </row>
    <row r="4338" spans="3:8" s="99" customFormat="1" x14ac:dyDescent="0.2">
      <c r="C4338" s="198"/>
      <c r="D4338" s="198"/>
      <c r="E4338" s="537"/>
      <c r="G4338" s="198"/>
      <c r="H4338" s="123"/>
    </row>
    <row r="4339" spans="3:8" s="99" customFormat="1" x14ac:dyDescent="0.2">
      <c r="C4339" s="198"/>
      <c r="D4339" s="198"/>
      <c r="E4339" s="537"/>
      <c r="G4339" s="198"/>
      <c r="H4339" s="123"/>
    </row>
    <row r="4340" spans="3:8" s="99" customFormat="1" x14ac:dyDescent="0.2">
      <c r="C4340" s="198"/>
      <c r="D4340" s="198"/>
      <c r="E4340" s="537"/>
      <c r="G4340" s="198"/>
      <c r="H4340" s="123"/>
    </row>
    <row r="4341" spans="3:8" s="99" customFormat="1" x14ac:dyDescent="0.2">
      <c r="C4341" s="198"/>
      <c r="D4341" s="198"/>
      <c r="E4341" s="537"/>
      <c r="G4341" s="198"/>
      <c r="H4341" s="123"/>
    </row>
    <row r="4342" spans="3:8" s="99" customFormat="1" x14ac:dyDescent="0.2">
      <c r="C4342" s="198"/>
      <c r="D4342" s="198"/>
      <c r="E4342" s="537"/>
      <c r="G4342" s="198"/>
      <c r="H4342" s="123"/>
    </row>
    <row r="4343" spans="3:8" s="99" customFormat="1" x14ac:dyDescent="0.2">
      <c r="C4343" s="198"/>
      <c r="D4343" s="198"/>
      <c r="E4343" s="537"/>
      <c r="G4343" s="198"/>
      <c r="H4343" s="123"/>
    </row>
    <row r="4344" spans="3:8" s="99" customFormat="1" x14ac:dyDescent="0.2">
      <c r="C4344" s="198"/>
      <c r="D4344" s="198"/>
      <c r="E4344" s="537"/>
      <c r="G4344" s="198"/>
      <c r="H4344" s="123"/>
    </row>
    <row r="4345" spans="3:8" s="99" customFormat="1" x14ac:dyDescent="0.2">
      <c r="C4345" s="198"/>
      <c r="D4345" s="198"/>
      <c r="E4345" s="537"/>
      <c r="G4345" s="198"/>
      <c r="H4345" s="123"/>
    </row>
    <row r="4346" spans="3:8" s="99" customFormat="1" x14ac:dyDescent="0.2">
      <c r="C4346" s="198"/>
      <c r="D4346" s="198"/>
      <c r="E4346" s="537"/>
      <c r="G4346" s="198"/>
      <c r="H4346" s="123"/>
    </row>
    <row r="4347" spans="3:8" s="99" customFormat="1" x14ac:dyDescent="0.2">
      <c r="C4347" s="198"/>
      <c r="D4347" s="198"/>
      <c r="E4347" s="537"/>
      <c r="G4347" s="198"/>
      <c r="H4347" s="123"/>
    </row>
    <row r="4348" spans="3:8" s="99" customFormat="1" x14ac:dyDescent="0.2">
      <c r="C4348" s="198"/>
      <c r="D4348" s="198"/>
      <c r="E4348" s="537"/>
      <c r="G4348" s="198"/>
      <c r="H4348" s="123"/>
    </row>
    <row r="4349" spans="3:8" s="99" customFormat="1" x14ac:dyDescent="0.2">
      <c r="C4349" s="198"/>
      <c r="D4349" s="198"/>
      <c r="E4349" s="537"/>
      <c r="G4349" s="198"/>
      <c r="H4349" s="123"/>
    </row>
    <row r="4350" spans="3:8" s="99" customFormat="1" x14ac:dyDescent="0.2">
      <c r="C4350" s="198"/>
      <c r="D4350" s="198"/>
      <c r="E4350" s="537"/>
      <c r="G4350" s="198"/>
      <c r="H4350" s="123"/>
    </row>
    <row r="4351" spans="3:8" s="99" customFormat="1" x14ac:dyDescent="0.2">
      <c r="C4351" s="198"/>
      <c r="D4351" s="198"/>
      <c r="E4351" s="537"/>
      <c r="G4351" s="198"/>
      <c r="H4351" s="123"/>
    </row>
    <row r="4352" spans="3:8" s="99" customFormat="1" x14ac:dyDescent="0.2">
      <c r="C4352" s="198"/>
      <c r="D4352" s="198"/>
      <c r="E4352" s="537"/>
      <c r="G4352" s="198"/>
      <c r="H4352" s="123"/>
    </row>
    <row r="4353" spans="3:8" s="99" customFormat="1" x14ac:dyDescent="0.2">
      <c r="C4353" s="198"/>
      <c r="D4353" s="198"/>
      <c r="E4353" s="537"/>
      <c r="G4353" s="198"/>
      <c r="H4353" s="123"/>
    </row>
    <row r="4354" spans="3:8" s="99" customFormat="1" x14ac:dyDescent="0.2">
      <c r="C4354" s="198"/>
      <c r="D4354" s="198"/>
      <c r="E4354" s="537"/>
      <c r="G4354" s="198"/>
      <c r="H4354" s="123"/>
    </row>
    <row r="4355" spans="3:8" s="99" customFormat="1" x14ac:dyDescent="0.2">
      <c r="C4355" s="198"/>
      <c r="D4355" s="198"/>
      <c r="E4355" s="537"/>
      <c r="G4355" s="198"/>
      <c r="H4355" s="123"/>
    </row>
    <row r="4356" spans="3:8" s="99" customFormat="1" x14ac:dyDescent="0.2">
      <c r="C4356" s="198"/>
      <c r="D4356" s="198"/>
      <c r="E4356" s="537"/>
      <c r="G4356" s="198"/>
      <c r="H4356" s="123"/>
    </row>
    <row r="4357" spans="3:8" s="99" customFormat="1" x14ac:dyDescent="0.2">
      <c r="C4357" s="198"/>
      <c r="D4357" s="198"/>
      <c r="E4357" s="537"/>
      <c r="G4357" s="198"/>
      <c r="H4357" s="123"/>
    </row>
    <row r="4358" spans="3:8" s="99" customFormat="1" x14ac:dyDescent="0.2">
      <c r="C4358" s="198"/>
      <c r="D4358" s="198"/>
      <c r="E4358" s="537"/>
      <c r="G4358" s="198"/>
      <c r="H4358" s="123"/>
    </row>
    <row r="4359" spans="3:8" s="99" customFormat="1" x14ac:dyDescent="0.2">
      <c r="C4359" s="198"/>
      <c r="D4359" s="198"/>
      <c r="E4359" s="537"/>
      <c r="G4359" s="198"/>
      <c r="H4359" s="123"/>
    </row>
    <row r="4360" spans="3:8" s="99" customFormat="1" x14ac:dyDescent="0.2">
      <c r="C4360" s="198"/>
      <c r="D4360" s="198"/>
      <c r="E4360" s="537"/>
      <c r="G4360" s="198"/>
      <c r="H4360" s="123"/>
    </row>
    <row r="4361" spans="3:8" s="99" customFormat="1" x14ac:dyDescent="0.2">
      <c r="C4361" s="198"/>
      <c r="D4361" s="198"/>
      <c r="E4361" s="537"/>
      <c r="G4361" s="198"/>
      <c r="H4361" s="123"/>
    </row>
    <row r="4362" spans="3:8" s="99" customFormat="1" x14ac:dyDescent="0.2">
      <c r="C4362" s="198"/>
      <c r="D4362" s="198"/>
      <c r="E4362" s="537"/>
      <c r="G4362" s="198"/>
      <c r="H4362" s="123"/>
    </row>
    <row r="4363" spans="3:8" s="99" customFormat="1" x14ac:dyDescent="0.2">
      <c r="C4363" s="198"/>
      <c r="D4363" s="198"/>
      <c r="E4363" s="537"/>
      <c r="G4363" s="198"/>
      <c r="H4363" s="123"/>
    </row>
    <row r="4364" spans="3:8" s="99" customFormat="1" x14ac:dyDescent="0.2">
      <c r="C4364" s="198"/>
      <c r="D4364" s="198"/>
      <c r="E4364" s="537"/>
      <c r="G4364" s="198"/>
      <c r="H4364" s="123"/>
    </row>
    <row r="4365" spans="3:8" s="99" customFormat="1" x14ac:dyDescent="0.2">
      <c r="C4365" s="198"/>
      <c r="D4365" s="198"/>
      <c r="E4365" s="537"/>
      <c r="G4365" s="198"/>
      <c r="H4365" s="123"/>
    </row>
    <row r="4366" spans="3:8" s="99" customFormat="1" x14ac:dyDescent="0.2">
      <c r="C4366" s="198"/>
      <c r="D4366" s="198"/>
      <c r="E4366" s="537"/>
      <c r="G4366" s="198"/>
      <c r="H4366" s="123"/>
    </row>
    <row r="4367" spans="3:8" s="99" customFormat="1" x14ac:dyDescent="0.2">
      <c r="C4367" s="198"/>
      <c r="D4367" s="198"/>
      <c r="E4367" s="537"/>
      <c r="G4367" s="198"/>
      <c r="H4367" s="123"/>
    </row>
    <row r="4368" spans="3:8" s="99" customFormat="1" x14ac:dyDescent="0.2">
      <c r="C4368" s="198"/>
      <c r="D4368" s="198"/>
      <c r="E4368" s="537"/>
      <c r="G4368" s="198"/>
      <c r="H4368" s="123"/>
    </row>
    <row r="4369" spans="3:8" s="99" customFormat="1" x14ac:dyDescent="0.2">
      <c r="C4369" s="198"/>
      <c r="D4369" s="198"/>
      <c r="E4369" s="537"/>
      <c r="G4369" s="198"/>
      <c r="H4369" s="123"/>
    </row>
    <row r="4370" spans="3:8" s="99" customFormat="1" x14ac:dyDescent="0.2">
      <c r="C4370" s="198"/>
      <c r="D4370" s="198"/>
      <c r="E4370" s="537"/>
      <c r="G4370" s="198"/>
      <c r="H4370" s="123"/>
    </row>
    <row r="4371" spans="3:8" s="99" customFormat="1" x14ac:dyDescent="0.2">
      <c r="C4371" s="198"/>
      <c r="D4371" s="198"/>
      <c r="E4371" s="537"/>
      <c r="G4371" s="198"/>
      <c r="H4371" s="123"/>
    </row>
    <row r="4372" spans="3:8" s="99" customFormat="1" x14ac:dyDescent="0.2">
      <c r="C4372" s="198"/>
      <c r="D4372" s="198"/>
      <c r="E4372" s="537"/>
      <c r="G4372" s="198"/>
      <c r="H4372" s="123"/>
    </row>
    <row r="4373" spans="3:8" s="99" customFormat="1" x14ac:dyDescent="0.2">
      <c r="C4373" s="198"/>
      <c r="D4373" s="198"/>
      <c r="E4373" s="537"/>
      <c r="G4373" s="198"/>
      <c r="H4373" s="123"/>
    </row>
    <row r="4374" spans="3:8" s="99" customFormat="1" x14ac:dyDescent="0.2">
      <c r="C4374" s="198"/>
      <c r="D4374" s="198"/>
      <c r="E4374" s="537"/>
      <c r="G4374" s="198"/>
      <c r="H4374" s="123"/>
    </row>
    <row r="4375" spans="3:8" s="99" customFormat="1" x14ac:dyDescent="0.2">
      <c r="C4375" s="198"/>
      <c r="D4375" s="198"/>
      <c r="E4375" s="537"/>
      <c r="G4375" s="198"/>
      <c r="H4375" s="123"/>
    </row>
    <row r="4376" spans="3:8" s="99" customFormat="1" x14ac:dyDescent="0.2">
      <c r="C4376" s="198"/>
      <c r="D4376" s="198"/>
      <c r="E4376" s="537"/>
      <c r="G4376" s="198"/>
      <c r="H4376" s="123"/>
    </row>
    <row r="4377" spans="3:8" s="99" customFormat="1" x14ac:dyDescent="0.2">
      <c r="C4377" s="198"/>
      <c r="D4377" s="198"/>
      <c r="E4377" s="537"/>
      <c r="G4377" s="198"/>
      <c r="H4377" s="123"/>
    </row>
    <row r="4378" spans="3:8" s="99" customFormat="1" x14ac:dyDescent="0.2">
      <c r="C4378" s="198"/>
      <c r="D4378" s="198"/>
      <c r="E4378" s="537"/>
      <c r="G4378" s="198"/>
      <c r="H4378" s="123"/>
    </row>
    <row r="4379" spans="3:8" s="99" customFormat="1" x14ac:dyDescent="0.2">
      <c r="C4379" s="198"/>
      <c r="D4379" s="198"/>
      <c r="E4379" s="537"/>
      <c r="G4379" s="198"/>
      <c r="H4379" s="123"/>
    </row>
    <row r="4380" spans="3:8" s="99" customFormat="1" x14ac:dyDescent="0.2">
      <c r="C4380" s="198"/>
      <c r="D4380" s="198"/>
      <c r="E4380" s="537"/>
      <c r="G4380" s="198"/>
      <c r="H4380" s="123"/>
    </row>
    <row r="4381" spans="3:8" s="99" customFormat="1" x14ac:dyDescent="0.2">
      <c r="C4381" s="198"/>
      <c r="D4381" s="198"/>
      <c r="E4381" s="537"/>
      <c r="G4381" s="198"/>
      <c r="H4381" s="123"/>
    </row>
    <row r="4382" spans="3:8" s="99" customFormat="1" x14ac:dyDescent="0.2">
      <c r="C4382" s="198"/>
      <c r="D4382" s="198"/>
      <c r="E4382" s="537"/>
      <c r="G4382" s="198"/>
      <c r="H4382" s="123"/>
    </row>
    <row r="4383" spans="3:8" s="99" customFormat="1" x14ac:dyDescent="0.2">
      <c r="C4383" s="198"/>
      <c r="D4383" s="198"/>
      <c r="E4383" s="537"/>
      <c r="G4383" s="198"/>
      <c r="H4383" s="123"/>
    </row>
    <row r="4384" spans="3:8" s="99" customFormat="1" x14ac:dyDescent="0.2">
      <c r="C4384" s="198"/>
      <c r="D4384" s="198"/>
      <c r="E4384" s="537"/>
      <c r="G4384" s="198"/>
      <c r="H4384" s="123"/>
    </row>
    <row r="4385" spans="3:8" s="99" customFormat="1" x14ac:dyDescent="0.2">
      <c r="C4385" s="198"/>
      <c r="D4385" s="198"/>
      <c r="E4385" s="537"/>
      <c r="G4385" s="198"/>
      <c r="H4385" s="123"/>
    </row>
    <row r="4386" spans="3:8" s="99" customFormat="1" x14ac:dyDescent="0.2">
      <c r="C4386" s="198"/>
      <c r="D4386" s="198"/>
      <c r="E4386" s="537"/>
      <c r="G4386" s="198"/>
      <c r="H4386" s="123"/>
    </row>
    <row r="4387" spans="3:8" s="99" customFormat="1" x14ac:dyDescent="0.2">
      <c r="C4387" s="198"/>
      <c r="D4387" s="198"/>
      <c r="E4387" s="537"/>
      <c r="G4387" s="198"/>
      <c r="H4387" s="123"/>
    </row>
    <row r="4388" spans="3:8" s="99" customFormat="1" x14ac:dyDescent="0.2">
      <c r="C4388" s="198"/>
      <c r="D4388" s="198"/>
      <c r="E4388" s="537"/>
      <c r="G4388" s="198"/>
      <c r="H4388" s="123"/>
    </row>
    <row r="4389" spans="3:8" s="99" customFormat="1" x14ac:dyDescent="0.2">
      <c r="C4389" s="198"/>
      <c r="D4389" s="198"/>
      <c r="E4389" s="537"/>
      <c r="G4389" s="198"/>
      <c r="H4389" s="123"/>
    </row>
    <row r="4390" spans="3:8" s="99" customFormat="1" x14ac:dyDescent="0.2">
      <c r="C4390" s="198"/>
      <c r="D4390" s="198"/>
      <c r="E4390" s="537"/>
      <c r="G4390" s="198"/>
      <c r="H4390" s="123"/>
    </row>
    <row r="4391" spans="3:8" s="99" customFormat="1" x14ac:dyDescent="0.2">
      <c r="C4391" s="198"/>
      <c r="D4391" s="198"/>
      <c r="E4391" s="537"/>
      <c r="G4391" s="198"/>
      <c r="H4391" s="123"/>
    </row>
    <row r="4392" spans="3:8" s="99" customFormat="1" x14ac:dyDescent="0.2">
      <c r="C4392" s="198"/>
      <c r="D4392" s="198"/>
      <c r="E4392" s="537"/>
      <c r="G4392" s="198"/>
      <c r="H4392" s="123"/>
    </row>
    <row r="4393" spans="3:8" s="99" customFormat="1" x14ac:dyDescent="0.2">
      <c r="C4393" s="198"/>
      <c r="D4393" s="198"/>
      <c r="E4393" s="537"/>
      <c r="G4393" s="198"/>
      <c r="H4393" s="123"/>
    </row>
    <row r="4394" spans="3:8" s="99" customFormat="1" x14ac:dyDescent="0.2">
      <c r="C4394" s="198"/>
      <c r="D4394" s="198"/>
      <c r="E4394" s="537"/>
      <c r="G4394" s="198"/>
      <c r="H4394" s="123"/>
    </row>
    <row r="4395" spans="3:8" s="99" customFormat="1" x14ac:dyDescent="0.2">
      <c r="C4395" s="198"/>
      <c r="D4395" s="198"/>
      <c r="E4395" s="537"/>
      <c r="G4395" s="198"/>
      <c r="H4395" s="123"/>
    </row>
    <row r="4396" spans="3:8" s="99" customFormat="1" x14ac:dyDescent="0.2">
      <c r="C4396" s="198"/>
      <c r="D4396" s="198"/>
      <c r="E4396" s="537"/>
      <c r="G4396" s="198"/>
      <c r="H4396" s="123"/>
    </row>
    <row r="4397" spans="3:8" s="99" customFormat="1" x14ac:dyDescent="0.2">
      <c r="C4397" s="198"/>
      <c r="D4397" s="198"/>
      <c r="E4397" s="537"/>
      <c r="G4397" s="198"/>
      <c r="H4397" s="123"/>
    </row>
    <row r="4398" spans="3:8" s="99" customFormat="1" x14ac:dyDescent="0.2">
      <c r="C4398" s="198"/>
      <c r="D4398" s="198"/>
      <c r="E4398" s="537"/>
      <c r="G4398" s="198"/>
      <c r="H4398" s="123"/>
    </row>
    <row r="4399" spans="3:8" s="99" customFormat="1" x14ac:dyDescent="0.2">
      <c r="C4399" s="198"/>
      <c r="D4399" s="198"/>
      <c r="E4399" s="537"/>
      <c r="G4399" s="198"/>
      <c r="H4399" s="123"/>
    </row>
    <row r="4400" spans="3:8" s="99" customFormat="1" x14ac:dyDescent="0.2">
      <c r="C4400" s="198"/>
      <c r="D4400" s="198"/>
      <c r="E4400" s="537"/>
      <c r="G4400" s="198"/>
      <c r="H4400" s="123"/>
    </row>
    <row r="4401" spans="3:8" s="99" customFormat="1" x14ac:dyDescent="0.2">
      <c r="C4401" s="198"/>
      <c r="D4401" s="198"/>
      <c r="E4401" s="537"/>
      <c r="G4401" s="198"/>
      <c r="H4401" s="123"/>
    </row>
    <row r="4402" spans="3:8" s="99" customFormat="1" x14ac:dyDescent="0.2">
      <c r="C4402" s="198"/>
      <c r="D4402" s="198"/>
      <c r="E4402" s="537"/>
      <c r="G4402" s="198"/>
      <c r="H4402" s="123"/>
    </row>
    <row r="4403" spans="3:8" s="99" customFormat="1" x14ac:dyDescent="0.2">
      <c r="C4403" s="198"/>
      <c r="D4403" s="198"/>
      <c r="E4403" s="537"/>
      <c r="G4403" s="198"/>
      <c r="H4403" s="123"/>
    </row>
    <row r="4404" spans="3:8" s="99" customFormat="1" x14ac:dyDescent="0.2">
      <c r="C4404" s="198"/>
      <c r="D4404" s="198"/>
      <c r="E4404" s="537"/>
      <c r="G4404" s="198"/>
      <c r="H4404" s="123"/>
    </row>
    <row r="4405" spans="3:8" s="99" customFormat="1" x14ac:dyDescent="0.2">
      <c r="C4405" s="198"/>
      <c r="D4405" s="198"/>
      <c r="E4405" s="537"/>
      <c r="G4405" s="198"/>
      <c r="H4405" s="123"/>
    </row>
    <row r="4406" spans="3:8" s="99" customFormat="1" x14ac:dyDescent="0.2">
      <c r="C4406" s="198"/>
      <c r="D4406" s="198"/>
      <c r="E4406" s="537"/>
      <c r="G4406" s="198"/>
      <c r="H4406" s="123"/>
    </row>
    <row r="4407" spans="3:8" s="99" customFormat="1" x14ac:dyDescent="0.2">
      <c r="C4407" s="198"/>
      <c r="D4407" s="198"/>
      <c r="E4407" s="537"/>
      <c r="G4407" s="198"/>
      <c r="H4407" s="123"/>
    </row>
    <row r="4408" spans="3:8" s="99" customFormat="1" x14ac:dyDescent="0.2">
      <c r="C4408" s="198"/>
      <c r="D4408" s="198"/>
      <c r="E4408" s="537"/>
      <c r="G4408" s="198"/>
      <c r="H4408" s="123"/>
    </row>
    <row r="4409" spans="3:8" s="99" customFormat="1" x14ac:dyDescent="0.2">
      <c r="C4409" s="198"/>
      <c r="D4409" s="198"/>
      <c r="E4409" s="537"/>
      <c r="G4409" s="198"/>
      <c r="H4409" s="123"/>
    </row>
    <row r="4410" spans="3:8" s="99" customFormat="1" x14ac:dyDescent="0.2">
      <c r="C4410" s="198"/>
      <c r="D4410" s="198"/>
      <c r="E4410" s="537"/>
      <c r="G4410" s="198"/>
      <c r="H4410" s="123"/>
    </row>
    <row r="4411" spans="3:8" s="99" customFormat="1" x14ac:dyDescent="0.2">
      <c r="C4411" s="198"/>
      <c r="D4411" s="198"/>
      <c r="E4411" s="537"/>
      <c r="G4411" s="198"/>
      <c r="H4411" s="123"/>
    </row>
    <row r="4412" spans="3:8" s="99" customFormat="1" x14ac:dyDescent="0.2">
      <c r="C4412" s="198"/>
      <c r="D4412" s="198"/>
      <c r="E4412" s="537"/>
      <c r="G4412" s="198"/>
      <c r="H4412" s="123"/>
    </row>
    <row r="4413" spans="3:8" s="99" customFormat="1" x14ac:dyDescent="0.2">
      <c r="C4413" s="198"/>
      <c r="D4413" s="198"/>
      <c r="E4413" s="537"/>
      <c r="G4413" s="198"/>
      <c r="H4413" s="123"/>
    </row>
    <row r="4414" spans="3:8" s="99" customFormat="1" x14ac:dyDescent="0.2">
      <c r="C4414" s="198"/>
      <c r="D4414" s="198"/>
      <c r="E4414" s="537"/>
      <c r="G4414" s="198"/>
      <c r="H4414" s="123"/>
    </row>
    <row r="4415" spans="3:8" s="99" customFormat="1" x14ac:dyDescent="0.2">
      <c r="C4415" s="198"/>
      <c r="D4415" s="198"/>
      <c r="E4415" s="537"/>
      <c r="G4415" s="198"/>
      <c r="H4415" s="123"/>
    </row>
    <row r="4416" spans="3:8" s="99" customFormat="1" x14ac:dyDescent="0.2">
      <c r="C4416" s="198"/>
      <c r="D4416" s="198"/>
      <c r="E4416" s="537"/>
      <c r="G4416" s="198"/>
      <c r="H4416" s="123"/>
    </row>
    <row r="4417" spans="3:8" s="99" customFormat="1" x14ac:dyDescent="0.2">
      <c r="C4417" s="198"/>
      <c r="D4417" s="198"/>
      <c r="E4417" s="537"/>
      <c r="G4417" s="198"/>
      <c r="H4417" s="123"/>
    </row>
    <row r="4418" spans="3:8" s="99" customFormat="1" x14ac:dyDescent="0.2">
      <c r="C4418" s="198"/>
      <c r="D4418" s="198"/>
      <c r="E4418" s="537"/>
      <c r="G4418" s="198"/>
      <c r="H4418" s="123"/>
    </row>
    <row r="4419" spans="3:8" s="99" customFormat="1" x14ac:dyDescent="0.2">
      <c r="C4419" s="198"/>
      <c r="D4419" s="198"/>
      <c r="E4419" s="537"/>
      <c r="G4419" s="198"/>
      <c r="H4419" s="123"/>
    </row>
    <row r="4420" spans="3:8" s="99" customFormat="1" x14ac:dyDescent="0.2">
      <c r="C4420" s="198"/>
      <c r="D4420" s="198"/>
      <c r="E4420" s="537"/>
      <c r="G4420" s="198"/>
      <c r="H4420" s="123"/>
    </row>
    <row r="4421" spans="3:8" s="99" customFormat="1" x14ac:dyDescent="0.2">
      <c r="C4421" s="198"/>
      <c r="D4421" s="198"/>
      <c r="E4421" s="537"/>
      <c r="G4421" s="198"/>
      <c r="H4421" s="123"/>
    </row>
    <row r="4422" spans="3:8" s="99" customFormat="1" x14ac:dyDescent="0.2">
      <c r="C4422" s="198"/>
      <c r="D4422" s="198"/>
      <c r="E4422" s="537"/>
      <c r="G4422" s="198"/>
      <c r="H4422" s="123"/>
    </row>
    <row r="4423" spans="3:8" s="99" customFormat="1" x14ac:dyDescent="0.2">
      <c r="C4423" s="198"/>
      <c r="D4423" s="198"/>
      <c r="E4423" s="537"/>
      <c r="G4423" s="198"/>
      <c r="H4423" s="123"/>
    </row>
    <row r="4424" spans="3:8" s="99" customFormat="1" x14ac:dyDescent="0.2">
      <c r="C4424" s="198"/>
      <c r="D4424" s="198"/>
      <c r="E4424" s="537"/>
      <c r="G4424" s="198"/>
      <c r="H4424" s="123"/>
    </row>
    <row r="4425" spans="3:8" s="99" customFormat="1" x14ac:dyDescent="0.2">
      <c r="C4425" s="198"/>
      <c r="D4425" s="198"/>
      <c r="E4425" s="537"/>
      <c r="G4425" s="198"/>
      <c r="H4425" s="123"/>
    </row>
    <row r="4426" spans="3:8" s="99" customFormat="1" x14ac:dyDescent="0.2">
      <c r="C4426" s="198"/>
      <c r="D4426" s="198"/>
      <c r="E4426" s="537"/>
      <c r="G4426" s="198"/>
      <c r="H4426" s="123"/>
    </row>
    <row r="4427" spans="3:8" s="99" customFormat="1" x14ac:dyDescent="0.2">
      <c r="C4427" s="198"/>
      <c r="D4427" s="198"/>
      <c r="E4427" s="537"/>
      <c r="G4427" s="198"/>
      <c r="H4427" s="123"/>
    </row>
    <row r="4428" spans="3:8" s="99" customFormat="1" x14ac:dyDescent="0.2">
      <c r="C4428" s="198"/>
      <c r="D4428" s="198"/>
      <c r="E4428" s="537"/>
      <c r="G4428" s="198"/>
      <c r="H4428" s="123"/>
    </row>
    <row r="4429" spans="3:8" s="99" customFormat="1" x14ac:dyDescent="0.2">
      <c r="C4429" s="198"/>
      <c r="D4429" s="198"/>
      <c r="E4429" s="537"/>
      <c r="G4429" s="198"/>
      <c r="H4429" s="123"/>
    </row>
    <row r="4430" spans="3:8" s="99" customFormat="1" x14ac:dyDescent="0.2">
      <c r="C4430" s="198"/>
      <c r="D4430" s="198"/>
      <c r="E4430" s="537"/>
      <c r="G4430" s="198"/>
      <c r="H4430" s="123"/>
    </row>
    <row r="4431" spans="3:8" s="99" customFormat="1" x14ac:dyDescent="0.2">
      <c r="C4431" s="198"/>
      <c r="D4431" s="198"/>
      <c r="E4431" s="537"/>
      <c r="G4431" s="198"/>
      <c r="H4431" s="123"/>
    </row>
    <row r="4432" spans="3:8" s="99" customFormat="1" x14ac:dyDescent="0.2">
      <c r="C4432" s="198"/>
      <c r="D4432" s="198"/>
      <c r="E4432" s="537"/>
      <c r="G4432" s="198"/>
      <c r="H4432" s="123"/>
    </row>
    <row r="4433" spans="3:8" s="99" customFormat="1" x14ac:dyDescent="0.2">
      <c r="C4433" s="198"/>
      <c r="D4433" s="198"/>
      <c r="E4433" s="537"/>
      <c r="G4433" s="198"/>
      <c r="H4433" s="123"/>
    </row>
    <row r="4434" spans="3:8" s="99" customFormat="1" x14ac:dyDescent="0.2">
      <c r="C4434" s="198"/>
      <c r="D4434" s="198"/>
      <c r="E4434" s="537"/>
      <c r="G4434" s="198"/>
      <c r="H4434" s="123"/>
    </row>
    <row r="4435" spans="3:8" s="99" customFormat="1" x14ac:dyDescent="0.2">
      <c r="C4435" s="198"/>
      <c r="D4435" s="198"/>
      <c r="E4435" s="537"/>
      <c r="G4435" s="198"/>
      <c r="H4435" s="123"/>
    </row>
    <row r="4436" spans="3:8" s="99" customFormat="1" x14ac:dyDescent="0.2">
      <c r="C4436" s="198"/>
      <c r="D4436" s="198"/>
      <c r="E4436" s="537"/>
      <c r="G4436" s="198"/>
      <c r="H4436" s="123"/>
    </row>
    <row r="4437" spans="3:8" s="99" customFormat="1" x14ac:dyDescent="0.2">
      <c r="C4437" s="198"/>
      <c r="D4437" s="198"/>
      <c r="E4437" s="537"/>
      <c r="G4437" s="198"/>
      <c r="H4437" s="123"/>
    </row>
    <row r="4438" spans="3:8" s="99" customFormat="1" x14ac:dyDescent="0.2">
      <c r="C4438" s="198"/>
      <c r="D4438" s="198"/>
      <c r="E4438" s="537"/>
      <c r="G4438" s="198"/>
      <c r="H4438" s="123"/>
    </row>
    <row r="4439" spans="3:8" s="99" customFormat="1" x14ac:dyDescent="0.2">
      <c r="C4439" s="198"/>
      <c r="D4439" s="198"/>
      <c r="E4439" s="537"/>
      <c r="G4439" s="198"/>
      <c r="H4439" s="123"/>
    </row>
    <row r="4440" spans="3:8" s="99" customFormat="1" x14ac:dyDescent="0.2">
      <c r="C4440" s="198"/>
      <c r="D4440" s="198"/>
      <c r="E4440" s="537"/>
      <c r="G4440" s="198"/>
      <c r="H4440" s="123"/>
    </row>
    <row r="4441" spans="3:8" s="99" customFormat="1" x14ac:dyDescent="0.2">
      <c r="C4441" s="198"/>
      <c r="D4441" s="198"/>
      <c r="E4441" s="537"/>
      <c r="G4441" s="198"/>
      <c r="H4441" s="123"/>
    </row>
    <row r="4442" spans="3:8" s="99" customFormat="1" x14ac:dyDescent="0.2">
      <c r="C4442" s="198"/>
      <c r="D4442" s="198"/>
      <c r="E4442" s="537"/>
      <c r="G4442" s="198"/>
      <c r="H4442" s="123"/>
    </row>
    <row r="4443" spans="3:8" s="99" customFormat="1" x14ac:dyDescent="0.2">
      <c r="C4443" s="198"/>
      <c r="D4443" s="198"/>
      <c r="E4443" s="537"/>
      <c r="G4443" s="198"/>
      <c r="H4443" s="123"/>
    </row>
    <row r="4444" spans="3:8" s="99" customFormat="1" x14ac:dyDescent="0.2">
      <c r="C4444" s="198"/>
      <c r="D4444" s="198"/>
      <c r="E4444" s="537"/>
      <c r="G4444" s="198"/>
      <c r="H4444" s="123"/>
    </row>
    <row r="4445" spans="3:8" s="99" customFormat="1" x14ac:dyDescent="0.2">
      <c r="C4445" s="198"/>
      <c r="D4445" s="198"/>
      <c r="E4445" s="537"/>
      <c r="G4445" s="198"/>
      <c r="H4445" s="123"/>
    </row>
    <row r="4446" spans="3:8" s="99" customFormat="1" x14ac:dyDescent="0.2">
      <c r="C4446" s="198"/>
      <c r="D4446" s="198"/>
      <c r="E4446" s="537"/>
      <c r="G4446" s="198"/>
      <c r="H4446" s="123"/>
    </row>
    <row r="4447" spans="3:8" s="99" customFormat="1" x14ac:dyDescent="0.2">
      <c r="C4447" s="198"/>
      <c r="D4447" s="198"/>
      <c r="E4447" s="537"/>
      <c r="G4447" s="198"/>
      <c r="H4447" s="123"/>
    </row>
    <row r="4448" spans="3:8" s="99" customFormat="1" x14ac:dyDescent="0.2">
      <c r="C4448" s="198"/>
      <c r="D4448" s="198"/>
      <c r="E4448" s="537"/>
      <c r="G4448" s="198"/>
      <c r="H4448" s="123"/>
    </row>
    <row r="4449" spans="3:8" s="99" customFormat="1" x14ac:dyDescent="0.2">
      <c r="C4449" s="198"/>
      <c r="D4449" s="198"/>
      <c r="E4449" s="537"/>
      <c r="G4449" s="198"/>
      <c r="H4449" s="123"/>
    </row>
    <row r="4450" spans="3:8" s="99" customFormat="1" x14ac:dyDescent="0.2">
      <c r="C4450" s="198"/>
      <c r="D4450" s="198"/>
      <c r="E4450" s="537"/>
      <c r="G4450" s="198"/>
      <c r="H4450" s="123"/>
    </row>
    <row r="4451" spans="3:8" s="99" customFormat="1" x14ac:dyDescent="0.2">
      <c r="C4451" s="198"/>
      <c r="D4451" s="198"/>
      <c r="E4451" s="537"/>
      <c r="G4451" s="198"/>
      <c r="H4451" s="123"/>
    </row>
    <row r="4452" spans="3:8" s="99" customFormat="1" x14ac:dyDescent="0.2">
      <c r="C4452" s="198"/>
      <c r="D4452" s="198"/>
      <c r="E4452" s="537"/>
      <c r="G4452" s="198"/>
      <c r="H4452" s="123"/>
    </row>
    <row r="4453" spans="3:8" s="99" customFormat="1" x14ac:dyDescent="0.2">
      <c r="C4453" s="198"/>
      <c r="D4453" s="198"/>
      <c r="E4453" s="537"/>
      <c r="G4453" s="198"/>
      <c r="H4453" s="123"/>
    </row>
    <row r="4454" spans="3:8" s="99" customFormat="1" x14ac:dyDescent="0.2">
      <c r="C4454" s="198"/>
      <c r="D4454" s="198"/>
      <c r="E4454" s="537"/>
      <c r="G4454" s="198"/>
      <c r="H4454" s="123"/>
    </row>
    <row r="4455" spans="3:8" s="99" customFormat="1" x14ac:dyDescent="0.2">
      <c r="C4455" s="198"/>
      <c r="D4455" s="198"/>
      <c r="E4455" s="537"/>
      <c r="G4455" s="198"/>
      <c r="H4455" s="123"/>
    </row>
    <row r="4456" spans="3:8" s="99" customFormat="1" x14ac:dyDescent="0.2">
      <c r="C4456" s="198"/>
      <c r="D4456" s="198"/>
      <c r="E4456" s="537"/>
      <c r="G4456" s="198"/>
      <c r="H4456" s="123"/>
    </row>
    <row r="4457" spans="3:8" s="99" customFormat="1" x14ac:dyDescent="0.2">
      <c r="C4457" s="198"/>
      <c r="D4457" s="198"/>
      <c r="E4457" s="537"/>
      <c r="G4457" s="198"/>
      <c r="H4457" s="123"/>
    </row>
    <row r="4458" spans="3:8" s="99" customFormat="1" x14ac:dyDescent="0.2">
      <c r="C4458" s="198"/>
      <c r="D4458" s="198"/>
      <c r="E4458" s="537"/>
      <c r="G4458" s="198"/>
      <c r="H4458" s="123"/>
    </row>
    <row r="4459" spans="3:8" s="99" customFormat="1" x14ac:dyDescent="0.2">
      <c r="C4459" s="198"/>
      <c r="D4459" s="198"/>
      <c r="E4459" s="537"/>
      <c r="G4459" s="198"/>
      <c r="H4459" s="123"/>
    </row>
    <row r="4460" spans="3:8" s="99" customFormat="1" x14ac:dyDescent="0.2">
      <c r="C4460" s="198"/>
      <c r="D4460" s="198"/>
      <c r="E4460" s="537"/>
      <c r="G4460" s="198"/>
      <c r="H4460" s="123"/>
    </row>
    <row r="4461" spans="3:8" s="99" customFormat="1" x14ac:dyDescent="0.2">
      <c r="C4461" s="198"/>
      <c r="D4461" s="198"/>
      <c r="E4461" s="537"/>
      <c r="G4461" s="198"/>
      <c r="H4461" s="123"/>
    </row>
    <row r="4462" spans="3:8" s="99" customFormat="1" x14ac:dyDescent="0.2">
      <c r="C4462" s="198"/>
      <c r="D4462" s="198"/>
      <c r="E4462" s="537"/>
      <c r="G4462" s="198"/>
      <c r="H4462" s="123"/>
    </row>
    <row r="4463" spans="3:8" s="99" customFormat="1" x14ac:dyDescent="0.2">
      <c r="C4463" s="198"/>
      <c r="D4463" s="198"/>
      <c r="E4463" s="537"/>
      <c r="G4463" s="198"/>
      <c r="H4463" s="123"/>
    </row>
    <row r="4464" spans="3:8" s="99" customFormat="1" x14ac:dyDescent="0.2">
      <c r="C4464" s="198"/>
      <c r="D4464" s="198"/>
      <c r="E4464" s="537"/>
      <c r="G4464" s="198"/>
      <c r="H4464" s="123"/>
    </row>
    <row r="4465" spans="3:8" s="99" customFormat="1" x14ac:dyDescent="0.2">
      <c r="C4465" s="198"/>
      <c r="D4465" s="198"/>
      <c r="E4465" s="537"/>
      <c r="G4465" s="198"/>
      <c r="H4465" s="123"/>
    </row>
    <row r="4466" spans="3:8" s="99" customFormat="1" x14ac:dyDescent="0.2">
      <c r="C4466" s="198"/>
      <c r="D4466" s="198"/>
      <c r="E4466" s="537"/>
      <c r="G4466" s="198"/>
      <c r="H4466" s="123"/>
    </row>
    <row r="4467" spans="3:8" s="99" customFormat="1" x14ac:dyDescent="0.2">
      <c r="C4467" s="198"/>
      <c r="D4467" s="198"/>
      <c r="E4467" s="537"/>
      <c r="G4467" s="198"/>
      <c r="H4467" s="123"/>
    </row>
    <row r="4468" spans="3:8" s="99" customFormat="1" x14ac:dyDescent="0.2">
      <c r="C4468" s="198"/>
      <c r="D4468" s="198"/>
      <c r="E4468" s="537"/>
      <c r="G4468" s="198"/>
      <c r="H4468" s="123"/>
    </row>
    <row r="4469" spans="3:8" s="99" customFormat="1" x14ac:dyDescent="0.2">
      <c r="C4469" s="198"/>
      <c r="D4469" s="198"/>
      <c r="E4469" s="537"/>
      <c r="G4469" s="198"/>
      <c r="H4469" s="123"/>
    </row>
    <row r="4470" spans="3:8" s="99" customFormat="1" x14ac:dyDescent="0.2">
      <c r="C4470" s="198"/>
      <c r="D4470" s="198"/>
      <c r="E4470" s="537"/>
      <c r="G4470" s="198"/>
      <c r="H4470" s="123"/>
    </row>
    <row r="4471" spans="3:8" s="99" customFormat="1" x14ac:dyDescent="0.2">
      <c r="C4471" s="198"/>
      <c r="D4471" s="198"/>
      <c r="E4471" s="537"/>
      <c r="G4471" s="198"/>
      <c r="H4471" s="123"/>
    </row>
    <row r="4472" spans="3:8" s="99" customFormat="1" x14ac:dyDescent="0.2">
      <c r="C4472" s="198"/>
      <c r="D4472" s="198"/>
      <c r="E4472" s="537"/>
      <c r="G4472" s="198"/>
      <c r="H4472" s="123"/>
    </row>
    <row r="4473" spans="3:8" s="99" customFormat="1" x14ac:dyDescent="0.2">
      <c r="C4473" s="198"/>
      <c r="D4473" s="198"/>
      <c r="E4473" s="537"/>
      <c r="G4473" s="198"/>
      <c r="H4473" s="123"/>
    </row>
    <row r="4474" spans="3:8" s="99" customFormat="1" x14ac:dyDescent="0.2">
      <c r="C4474" s="198"/>
      <c r="D4474" s="198"/>
      <c r="E4474" s="537"/>
      <c r="G4474" s="198"/>
      <c r="H4474" s="123"/>
    </row>
    <row r="4475" spans="3:8" s="99" customFormat="1" x14ac:dyDescent="0.2">
      <c r="C4475" s="198"/>
      <c r="D4475" s="198"/>
      <c r="E4475" s="537"/>
      <c r="G4475" s="198"/>
      <c r="H4475" s="123"/>
    </row>
    <row r="4476" spans="3:8" s="99" customFormat="1" x14ac:dyDescent="0.2">
      <c r="C4476" s="198"/>
      <c r="D4476" s="198"/>
      <c r="E4476" s="537"/>
      <c r="G4476" s="198"/>
      <c r="H4476" s="123"/>
    </row>
    <row r="4477" spans="3:8" s="99" customFormat="1" x14ac:dyDescent="0.2">
      <c r="C4477" s="198"/>
      <c r="D4477" s="198"/>
      <c r="E4477" s="537"/>
      <c r="G4477" s="198"/>
      <c r="H4477" s="123"/>
    </row>
    <row r="4478" spans="3:8" s="99" customFormat="1" x14ac:dyDescent="0.2">
      <c r="C4478" s="198"/>
      <c r="D4478" s="198"/>
      <c r="E4478" s="537"/>
      <c r="G4478" s="198"/>
      <c r="H4478" s="123"/>
    </row>
    <row r="4479" spans="3:8" s="99" customFormat="1" x14ac:dyDescent="0.2">
      <c r="C4479" s="198"/>
      <c r="D4479" s="198"/>
      <c r="E4479" s="537"/>
      <c r="G4479" s="198"/>
      <c r="H4479" s="123"/>
    </row>
    <row r="4480" spans="3:8" s="99" customFormat="1" x14ac:dyDescent="0.2">
      <c r="C4480" s="198"/>
      <c r="D4480" s="198"/>
      <c r="E4480" s="537"/>
      <c r="G4480" s="198"/>
      <c r="H4480" s="123"/>
    </row>
    <row r="4481" spans="3:8" s="99" customFormat="1" x14ac:dyDescent="0.2">
      <c r="C4481" s="198"/>
      <c r="D4481" s="198"/>
      <c r="E4481" s="537"/>
      <c r="G4481" s="198"/>
      <c r="H4481" s="123"/>
    </row>
    <row r="4482" spans="3:8" s="99" customFormat="1" x14ac:dyDescent="0.2">
      <c r="C4482" s="198"/>
      <c r="D4482" s="198"/>
      <c r="E4482" s="537"/>
      <c r="G4482" s="198"/>
      <c r="H4482" s="123"/>
    </row>
    <row r="4483" spans="3:8" s="99" customFormat="1" x14ac:dyDescent="0.2">
      <c r="C4483" s="198"/>
      <c r="D4483" s="198"/>
      <c r="E4483" s="537"/>
      <c r="G4483" s="198"/>
      <c r="H4483" s="123"/>
    </row>
    <row r="4484" spans="3:8" s="99" customFormat="1" x14ac:dyDescent="0.2">
      <c r="C4484" s="198"/>
      <c r="D4484" s="198"/>
      <c r="E4484" s="537"/>
      <c r="G4484" s="198"/>
      <c r="H4484" s="123"/>
    </row>
    <row r="4485" spans="3:8" s="99" customFormat="1" x14ac:dyDescent="0.2">
      <c r="C4485" s="198"/>
      <c r="D4485" s="198"/>
      <c r="E4485" s="537"/>
      <c r="G4485" s="198"/>
      <c r="H4485" s="123"/>
    </row>
    <row r="4486" spans="3:8" s="99" customFormat="1" x14ac:dyDescent="0.2">
      <c r="C4486" s="198"/>
      <c r="D4486" s="198"/>
      <c r="E4486" s="537"/>
      <c r="G4486" s="198"/>
      <c r="H4486" s="123"/>
    </row>
    <row r="4487" spans="3:8" s="99" customFormat="1" x14ac:dyDescent="0.2">
      <c r="C4487" s="198"/>
      <c r="D4487" s="198"/>
      <c r="E4487" s="537"/>
      <c r="G4487" s="198"/>
      <c r="H4487" s="123"/>
    </row>
    <row r="4488" spans="3:8" s="99" customFormat="1" x14ac:dyDescent="0.2">
      <c r="C4488" s="198"/>
      <c r="D4488" s="198"/>
      <c r="E4488" s="537"/>
      <c r="G4488" s="198"/>
      <c r="H4488" s="123"/>
    </row>
    <row r="4489" spans="3:8" s="99" customFormat="1" x14ac:dyDescent="0.2">
      <c r="C4489" s="198"/>
      <c r="D4489" s="198"/>
      <c r="E4489" s="537"/>
      <c r="G4489" s="198"/>
      <c r="H4489" s="123"/>
    </row>
    <row r="4490" spans="3:8" s="99" customFormat="1" x14ac:dyDescent="0.2">
      <c r="C4490" s="198"/>
      <c r="D4490" s="198"/>
      <c r="E4490" s="537"/>
      <c r="G4490" s="198"/>
      <c r="H4490" s="123"/>
    </row>
    <row r="4491" spans="3:8" s="99" customFormat="1" x14ac:dyDescent="0.2">
      <c r="C4491" s="198"/>
      <c r="D4491" s="198"/>
      <c r="E4491" s="537"/>
      <c r="G4491" s="198"/>
      <c r="H4491" s="123"/>
    </row>
    <row r="4492" spans="3:8" s="99" customFormat="1" x14ac:dyDescent="0.2">
      <c r="C4492" s="198"/>
      <c r="D4492" s="198"/>
      <c r="E4492" s="537"/>
      <c r="G4492" s="198"/>
      <c r="H4492" s="123"/>
    </row>
    <row r="4493" spans="3:8" s="99" customFormat="1" x14ac:dyDescent="0.2">
      <c r="C4493" s="198"/>
      <c r="D4493" s="198"/>
      <c r="E4493" s="537"/>
      <c r="G4493" s="198"/>
      <c r="H4493" s="123"/>
    </row>
    <row r="4494" spans="3:8" s="99" customFormat="1" x14ac:dyDescent="0.2">
      <c r="C4494" s="198"/>
      <c r="D4494" s="198"/>
      <c r="E4494" s="537"/>
      <c r="G4494" s="198"/>
      <c r="H4494" s="123"/>
    </row>
    <row r="4495" spans="3:8" s="99" customFormat="1" x14ac:dyDescent="0.2">
      <c r="C4495" s="198"/>
      <c r="D4495" s="198"/>
      <c r="E4495" s="537"/>
      <c r="G4495" s="198"/>
      <c r="H4495" s="123"/>
    </row>
    <row r="4496" spans="3:8" s="99" customFormat="1" x14ac:dyDescent="0.2">
      <c r="C4496" s="198"/>
      <c r="D4496" s="198"/>
      <c r="E4496" s="537"/>
      <c r="G4496" s="198"/>
      <c r="H4496" s="123"/>
    </row>
    <row r="4497" spans="3:8" s="99" customFormat="1" x14ac:dyDescent="0.2">
      <c r="C4497" s="198"/>
      <c r="D4497" s="198"/>
      <c r="E4497" s="537"/>
      <c r="G4497" s="198"/>
      <c r="H4497" s="123"/>
    </row>
    <row r="4498" spans="3:8" s="99" customFormat="1" x14ac:dyDescent="0.2">
      <c r="C4498" s="198"/>
      <c r="D4498" s="198"/>
      <c r="E4498" s="537"/>
      <c r="G4498" s="198"/>
      <c r="H4498" s="123"/>
    </row>
    <row r="4499" spans="3:8" s="99" customFormat="1" x14ac:dyDescent="0.2">
      <c r="C4499" s="198"/>
      <c r="D4499" s="198"/>
      <c r="E4499" s="537"/>
      <c r="G4499" s="198"/>
      <c r="H4499" s="123"/>
    </row>
    <row r="4500" spans="3:8" s="99" customFormat="1" x14ac:dyDescent="0.2">
      <c r="C4500" s="198"/>
      <c r="D4500" s="198"/>
      <c r="E4500" s="537"/>
      <c r="G4500" s="198"/>
      <c r="H4500" s="123"/>
    </row>
    <row r="4501" spans="3:8" s="99" customFormat="1" x14ac:dyDescent="0.2">
      <c r="C4501" s="198"/>
      <c r="D4501" s="198"/>
      <c r="E4501" s="537"/>
      <c r="G4501" s="198"/>
      <c r="H4501" s="123"/>
    </row>
    <row r="4502" spans="3:8" s="99" customFormat="1" x14ac:dyDescent="0.2">
      <c r="C4502" s="198"/>
      <c r="D4502" s="198"/>
      <c r="E4502" s="537"/>
      <c r="G4502" s="198"/>
      <c r="H4502" s="123"/>
    </row>
    <row r="4503" spans="3:8" s="99" customFormat="1" x14ac:dyDescent="0.2">
      <c r="C4503" s="198"/>
      <c r="D4503" s="198"/>
      <c r="E4503" s="537"/>
      <c r="G4503" s="198"/>
      <c r="H4503" s="123"/>
    </row>
    <row r="4504" spans="3:8" s="99" customFormat="1" x14ac:dyDescent="0.2">
      <c r="C4504" s="198"/>
      <c r="D4504" s="198"/>
      <c r="E4504" s="537"/>
      <c r="G4504" s="198"/>
      <c r="H4504" s="123"/>
    </row>
    <row r="4505" spans="3:8" s="99" customFormat="1" x14ac:dyDescent="0.2">
      <c r="C4505" s="198"/>
      <c r="D4505" s="198"/>
      <c r="E4505" s="537"/>
      <c r="G4505" s="198"/>
      <c r="H4505" s="123"/>
    </row>
    <row r="4506" spans="3:8" s="99" customFormat="1" x14ac:dyDescent="0.2">
      <c r="C4506" s="198"/>
      <c r="D4506" s="198"/>
      <c r="E4506" s="537"/>
      <c r="G4506" s="198"/>
      <c r="H4506" s="123"/>
    </row>
    <row r="4507" spans="3:8" s="99" customFormat="1" x14ac:dyDescent="0.2">
      <c r="C4507" s="198"/>
      <c r="D4507" s="198"/>
      <c r="E4507" s="537"/>
      <c r="G4507" s="198"/>
      <c r="H4507" s="123"/>
    </row>
    <row r="4508" spans="3:8" s="99" customFormat="1" x14ac:dyDescent="0.2">
      <c r="C4508" s="198"/>
      <c r="D4508" s="198"/>
      <c r="E4508" s="537"/>
      <c r="G4508" s="198"/>
      <c r="H4508" s="123"/>
    </row>
    <row r="4509" spans="3:8" s="99" customFormat="1" x14ac:dyDescent="0.2">
      <c r="C4509" s="198"/>
      <c r="D4509" s="198"/>
      <c r="E4509" s="537"/>
      <c r="G4509" s="198"/>
      <c r="H4509" s="123"/>
    </row>
    <row r="4510" spans="3:8" s="99" customFormat="1" x14ac:dyDescent="0.2">
      <c r="C4510" s="198"/>
      <c r="D4510" s="198"/>
      <c r="E4510" s="537"/>
      <c r="G4510" s="198"/>
      <c r="H4510" s="123"/>
    </row>
    <row r="4511" spans="3:8" s="99" customFormat="1" x14ac:dyDescent="0.2">
      <c r="C4511" s="198"/>
      <c r="D4511" s="198"/>
      <c r="E4511" s="537"/>
      <c r="G4511" s="198"/>
      <c r="H4511" s="123"/>
    </row>
    <row r="4512" spans="3:8" s="99" customFormat="1" x14ac:dyDescent="0.2">
      <c r="C4512" s="198"/>
      <c r="D4512" s="198"/>
      <c r="E4512" s="537"/>
      <c r="G4512" s="198"/>
      <c r="H4512" s="123"/>
    </row>
    <row r="4513" spans="3:8" s="99" customFormat="1" x14ac:dyDescent="0.2">
      <c r="C4513" s="198"/>
      <c r="D4513" s="198"/>
      <c r="E4513" s="537"/>
      <c r="G4513" s="198"/>
      <c r="H4513" s="123"/>
    </row>
    <row r="4514" spans="3:8" s="99" customFormat="1" x14ac:dyDescent="0.2">
      <c r="C4514" s="198"/>
      <c r="D4514" s="198"/>
      <c r="E4514" s="537"/>
      <c r="G4514" s="198"/>
      <c r="H4514" s="123"/>
    </row>
    <row r="4515" spans="3:8" s="99" customFormat="1" x14ac:dyDescent="0.2">
      <c r="C4515" s="198"/>
      <c r="D4515" s="198"/>
      <c r="E4515" s="537"/>
      <c r="G4515" s="198"/>
      <c r="H4515" s="123"/>
    </row>
    <row r="4516" spans="3:8" s="99" customFormat="1" x14ac:dyDescent="0.2">
      <c r="C4516" s="198"/>
      <c r="D4516" s="198"/>
      <c r="E4516" s="537"/>
      <c r="G4516" s="198"/>
      <c r="H4516" s="123"/>
    </row>
    <row r="4517" spans="3:8" s="99" customFormat="1" x14ac:dyDescent="0.2">
      <c r="C4517" s="198"/>
      <c r="D4517" s="198"/>
      <c r="E4517" s="537"/>
      <c r="G4517" s="198"/>
      <c r="H4517" s="123"/>
    </row>
    <row r="4518" spans="3:8" s="99" customFormat="1" x14ac:dyDescent="0.2">
      <c r="C4518" s="198"/>
      <c r="D4518" s="198"/>
      <c r="E4518" s="537"/>
      <c r="G4518" s="198"/>
      <c r="H4518" s="123"/>
    </row>
    <row r="4519" spans="3:8" s="99" customFormat="1" x14ac:dyDescent="0.2">
      <c r="C4519" s="198"/>
      <c r="D4519" s="198"/>
      <c r="E4519" s="537"/>
      <c r="G4519" s="198"/>
      <c r="H4519" s="123"/>
    </row>
    <row r="4520" spans="3:8" s="99" customFormat="1" x14ac:dyDescent="0.2">
      <c r="C4520" s="198"/>
      <c r="D4520" s="198"/>
      <c r="E4520" s="537"/>
      <c r="G4520" s="198"/>
      <c r="H4520" s="123"/>
    </row>
    <row r="4521" spans="3:8" s="99" customFormat="1" x14ac:dyDescent="0.2">
      <c r="C4521" s="198"/>
      <c r="D4521" s="198"/>
      <c r="E4521" s="537"/>
      <c r="G4521" s="198"/>
      <c r="H4521" s="123"/>
    </row>
    <row r="4522" spans="3:8" s="99" customFormat="1" x14ac:dyDescent="0.2">
      <c r="C4522" s="198"/>
      <c r="D4522" s="198"/>
      <c r="E4522" s="537"/>
      <c r="G4522" s="198"/>
      <c r="H4522" s="123"/>
    </row>
    <row r="4523" spans="3:8" s="99" customFormat="1" x14ac:dyDescent="0.2">
      <c r="C4523" s="198"/>
      <c r="D4523" s="198"/>
      <c r="E4523" s="537"/>
      <c r="G4523" s="198"/>
      <c r="H4523" s="123"/>
    </row>
    <row r="4524" spans="3:8" s="99" customFormat="1" x14ac:dyDescent="0.2">
      <c r="C4524" s="198"/>
      <c r="D4524" s="198"/>
      <c r="E4524" s="537"/>
      <c r="G4524" s="198"/>
      <c r="H4524" s="123"/>
    </row>
    <row r="4525" spans="3:8" s="99" customFormat="1" x14ac:dyDescent="0.2">
      <c r="C4525" s="198"/>
      <c r="D4525" s="198"/>
      <c r="E4525" s="537"/>
      <c r="G4525" s="198"/>
      <c r="H4525" s="123"/>
    </row>
    <row r="4526" spans="3:8" s="99" customFormat="1" x14ac:dyDescent="0.2">
      <c r="C4526" s="198"/>
      <c r="D4526" s="198"/>
      <c r="E4526" s="537"/>
      <c r="G4526" s="198"/>
      <c r="H4526" s="123"/>
    </row>
    <row r="4527" spans="3:8" s="99" customFormat="1" x14ac:dyDescent="0.2">
      <c r="C4527" s="198"/>
      <c r="D4527" s="198"/>
      <c r="E4527" s="537"/>
      <c r="G4527" s="198"/>
      <c r="H4527" s="123"/>
    </row>
    <row r="4528" spans="3:8" s="99" customFormat="1" x14ac:dyDescent="0.2">
      <c r="C4528" s="198"/>
      <c r="D4528" s="198"/>
      <c r="E4528" s="537"/>
      <c r="G4528" s="198"/>
      <c r="H4528" s="123"/>
    </row>
    <row r="4529" spans="3:8" s="99" customFormat="1" x14ac:dyDescent="0.2">
      <c r="C4529" s="198"/>
      <c r="D4529" s="198"/>
      <c r="E4529" s="537"/>
      <c r="G4529" s="198"/>
      <c r="H4529" s="123"/>
    </row>
    <row r="4530" spans="3:8" s="99" customFormat="1" x14ac:dyDescent="0.2">
      <c r="C4530" s="198"/>
      <c r="D4530" s="198"/>
      <c r="E4530" s="537"/>
      <c r="G4530" s="198"/>
      <c r="H4530" s="123"/>
    </row>
    <row r="4531" spans="3:8" s="99" customFormat="1" x14ac:dyDescent="0.2">
      <c r="C4531" s="198"/>
      <c r="D4531" s="198"/>
      <c r="E4531" s="537"/>
      <c r="G4531" s="198"/>
      <c r="H4531" s="123"/>
    </row>
    <row r="4532" spans="3:8" s="99" customFormat="1" x14ac:dyDescent="0.2">
      <c r="C4532" s="198"/>
      <c r="D4532" s="198"/>
      <c r="E4532" s="537"/>
      <c r="G4532" s="198"/>
      <c r="H4532" s="123"/>
    </row>
    <row r="4533" spans="3:8" s="99" customFormat="1" x14ac:dyDescent="0.2">
      <c r="C4533" s="198"/>
      <c r="D4533" s="198"/>
      <c r="E4533" s="537"/>
      <c r="G4533" s="198"/>
      <c r="H4533" s="123"/>
    </row>
    <row r="4534" spans="3:8" s="99" customFormat="1" x14ac:dyDescent="0.2">
      <c r="C4534" s="198"/>
      <c r="D4534" s="198"/>
      <c r="E4534" s="537"/>
      <c r="G4534" s="198"/>
      <c r="H4534" s="123"/>
    </row>
    <row r="4535" spans="3:8" s="99" customFormat="1" x14ac:dyDescent="0.2">
      <c r="C4535" s="198"/>
      <c r="D4535" s="198"/>
      <c r="E4535" s="537"/>
      <c r="G4535" s="198"/>
      <c r="H4535" s="123"/>
    </row>
    <row r="4536" spans="3:8" s="99" customFormat="1" x14ac:dyDescent="0.2">
      <c r="C4536" s="198"/>
      <c r="D4536" s="198"/>
      <c r="E4536" s="537"/>
      <c r="G4536" s="198"/>
      <c r="H4536" s="123"/>
    </row>
    <row r="4537" spans="3:8" s="99" customFormat="1" x14ac:dyDescent="0.2">
      <c r="C4537" s="198"/>
      <c r="D4537" s="198"/>
      <c r="E4537" s="537"/>
      <c r="G4537" s="198"/>
      <c r="H4537" s="123"/>
    </row>
    <row r="4538" spans="3:8" s="99" customFormat="1" x14ac:dyDescent="0.2">
      <c r="C4538" s="198"/>
      <c r="D4538" s="198"/>
      <c r="E4538" s="537"/>
      <c r="G4538" s="198"/>
      <c r="H4538" s="123"/>
    </row>
    <row r="4539" spans="3:8" s="99" customFormat="1" x14ac:dyDescent="0.2">
      <c r="C4539" s="198"/>
      <c r="D4539" s="198"/>
      <c r="E4539" s="537"/>
      <c r="G4539" s="198"/>
      <c r="H4539" s="123"/>
    </row>
    <row r="4540" spans="3:8" s="99" customFormat="1" x14ac:dyDescent="0.2">
      <c r="C4540" s="198"/>
      <c r="D4540" s="198"/>
      <c r="E4540" s="537"/>
      <c r="G4540" s="198"/>
      <c r="H4540" s="123"/>
    </row>
    <row r="4541" spans="3:8" s="99" customFormat="1" x14ac:dyDescent="0.2">
      <c r="C4541" s="198"/>
      <c r="D4541" s="198"/>
      <c r="E4541" s="537"/>
      <c r="G4541" s="198"/>
      <c r="H4541" s="123"/>
    </row>
    <row r="4542" spans="3:8" s="99" customFormat="1" x14ac:dyDescent="0.2">
      <c r="C4542" s="198"/>
      <c r="D4542" s="198"/>
      <c r="E4542" s="537"/>
      <c r="G4542" s="198"/>
      <c r="H4542" s="123"/>
    </row>
    <row r="4543" spans="3:8" s="99" customFormat="1" x14ac:dyDescent="0.2">
      <c r="C4543" s="198"/>
      <c r="D4543" s="198"/>
      <c r="E4543" s="537"/>
      <c r="G4543" s="198"/>
      <c r="H4543" s="123"/>
    </row>
    <row r="4544" spans="3:8" s="99" customFormat="1" x14ac:dyDescent="0.2">
      <c r="C4544" s="198"/>
      <c r="D4544" s="198"/>
      <c r="E4544" s="537"/>
      <c r="G4544" s="198"/>
      <c r="H4544" s="123"/>
    </row>
    <row r="4545" spans="3:8" s="99" customFormat="1" x14ac:dyDescent="0.2">
      <c r="C4545" s="198"/>
      <c r="D4545" s="198"/>
      <c r="E4545" s="537"/>
      <c r="G4545" s="198"/>
      <c r="H4545" s="123"/>
    </row>
    <row r="4546" spans="3:8" s="99" customFormat="1" x14ac:dyDescent="0.2">
      <c r="C4546" s="198"/>
      <c r="D4546" s="198"/>
      <c r="E4546" s="537"/>
      <c r="G4546" s="198"/>
      <c r="H4546" s="123"/>
    </row>
    <row r="4547" spans="3:8" s="99" customFormat="1" x14ac:dyDescent="0.2">
      <c r="C4547" s="198"/>
      <c r="D4547" s="198"/>
      <c r="E4547" s="537"/>
      <c r="G4547" s="198"/>
      <c r="H4547" s="123"/>
    </row>
    <row r="4548" spans="3:8" s="99" customFormat="1" x14ac:dyDescent="0.2">
      <c r="C4548" s="198"/>
      <c r="D4548" s="198"/>
      <c r="E4548" s="537"/>
      <c r="G4548" s="198"/>
      <c r="H4548" s="123"/>
    </row>
    <row r="4549" spans="3:8" s="99" customFormat="1" x14ac:dyDescent="0.2">
      <c r="C4549" s="198"/>
      <c r="D4549" s="198"/>
      <c r="E4549" s="537"/>
      <c r="G4549" s="198"/>
      <c r="H4549" s="123"/>
    </row>
    <row r="4550" spans="3:8" s="99" customFormat="1" x14ac:dyDescent="0.2">
      <c r="C4550" s="198"/>
      <c r="D4550" s="198"/>
      <c r="E4550" s="537"/>
      <c r="G4550" s="198"/>
      <c r="H4550" s="123"/>
    </row>
    <row r="4551" spans="3:8" s="99" customFormat="1" x14ac:dyDescent="0.2">
      <c r="C4551" s="198"/>
      <c r="D4551" s="198"/>
      <c r="E4551" s="537"/>
      <c r="G4551" s="198"/>
      <c r="H4551" s="123"/>
    </row>
    <row r="4552" spans="3:8" s="99" customFormat="1" x14ac:dyDescent="0.2">
      <c r="C4552" s="198"/>
      <c r="D4552" s="198"/>
      <c r="E4552" s="537"/>
      <c r="G4552" s="198"/>
      <c r="H4552" s="123"/>
    </row>
    <row r="4553" spans="3:8" s="99" customFormat="1" x14ac:dyDescent="0.2">
      <c r="C4553" s="198"/>
      <c r="D4553" s="198"/>
      <c r="E4553" s="537"/>
      <c r="G4553" s="198"/>
      <c r="H4553" s="123"/>
    </row>
    <row r="4554" spans="3:8" s="99" customFormat="1" x14ac:dyDescent="0.2">
      <c r="C4554" s="198"/>
      <c r="D4554" s="198"/>
      <c r="E4554" s="537"/>
      <c r="G4554" s="198"/>
      <c r="H4554" s="123"/>
    </row>
    <row r="4555" spans="3:8" s="99" customFormat="1" x14ac:dyDescent="0.2">
      <c r="C4555" s="198"/>
      <c r="D4555" s="198"/>
      <c r="E4555" s="537"/>
      <c r="G4555" s="198"/>
      <c r="H4555" s="123"/>
    </row>
    <row r="4556" spans="3:8" s="99" customFormat="1" x14ac:dyDescent="0.2">
      <c r="C4556" s="198"/>
      <c r="D4556" s="198"/>
      <c r="E4556" s="537"/>
      <c r="G4556" s="198"/>
      <c r="H4556" s="123"/>
    </row>
    <row r="4557" spans="3:8" s="99" customFormat="1" x14ac:dyDescent="0.2">
      <c r="C4557" s="198"/>
      <c r="D4557" s="198"/>
      <c r="E4557" s="537"/>
      <c r="G4557" s="198"/>
      <c r="H4557" s="123"/>
    </row>
    <row r="4558" spans="3:8" s="99" customFormat="1" x14ac:dyDescent="0.2">
      <c r="C4558" s="198"/>
      <c r="D4558" s="198"/>
      <c r="E4558" s="537"/>
      <c r="G4558" s="198"/>
      <c r="H4558" s="123"/>
    </row>
    <row r="4559" spans="3:8" s="99" customFormat="1" x14ac:dyDescent="0.2">
      <c r="C4559" s="198"/>
      <c r="D4559" s="198"/>
      <c r="E4559" s="537"/>
      <c r="G4559" s="198"/>
      <c r="H4559" s="123"/>
    </row>
    <row r="4560" spans="3:8" s="99" customFormat="1" x14ac:dyDescent="0.2">
      <c r="C4560" s="198"/>
      <c r="D4560" s="198"/>
      <c r="E4560" s="537"/>
      <c r="G4560" s="198"/>
      <c r="H4560" s="123"/>
    </row>
    <row r="4561" spans="3:8" s="99" customFormat="1" x14ac:dyDescent="0.2">
      <c r="C4561" s="198"/>
      <c r="D4561" s="198"/>
      <c r="E4561" s="537"/>
      <c r="G4561" s="198"/>
      <c r="H4561" s="123"/>
    </row>
    <row r="4562" spans="3:8" s="99" customFormat="1" x14ac:dyDescent="0.2">
      <c r="C4562" s="198"/>
      <c r="D4562" s="198"/>
      <c r="E4562" s="537"/>
      <c r="G4562" s="198"/>
      <c r="H4562" s="123"/>
    </row>
    <row r="4563" spans="3:8" s="99" customFormat="1" x14ac:dyDescent="0.2">
      <c r="C4563" s="198"/>
      <c r="D4563" s="198"/>
      <c r="E4563" s="537"/>
      <c r="G4563" s="198"/>
      <c r="H4563" s="123"/>
    </row>
    <row r="4564" spans="3:8" s="99" customFormat="1" x14ac:dyDescent="0.2">
      <c r="C4564" s="198"/>
      <c r="D4564" s="198"/>
      <c r="E4564" s="537"/>
      <c r="G4564" s="198"/>
      <c r="H4564" s="123"/>
    </row>
    <row r="4565" spans="3:8" s="99" customFormat="1" x14ac:dyDescent="0.2">
      <c r="C4565" s="198"/>
      <c r="D4565" s="198"/>
      <c r="E4565" s="537"/>
      <c r="G4565" s="198"/>
      <c r="H4565" s="123"/>
    </row>
    <row r="4566" spans="3:8" s="99" customFormat="1" x14ac:dyDescent="0.2">
      <c r="C4566" s="198"/>
      <c r="D4566" s="198"/>
      <c r="E4566" s="537"/>
      <c r="G4566" s="198"/>
      <c r="H4566" s="123"/>
    </row>
    <row r="4567" spans="3:8" s="99" customFormat="1" x14ac:dyDescent="0.2">
      <c r="C4567" s="198"/>
      <c r="D4567" s="198"/>
      <c r="E4567" s="537"/>
      <c r="G4567" s="198"/>
      <c r="H4567" s="123"/>
    </row>
    <row r="4568" spans="3:8" s="99" customFormat="1" x14ac:dyDescent="0.2">
      <c r="C4568" s="198"/>
      <c r="D4568" s="198"/>
      <c r="E4568" s="537"/>
      <c r="G4568" s="198"/>
      <c r="H4568" s="123"/>
    </row>
    <row r="4569" spans="3:8" s="99" customFormat="1" x14ac:dyDescent="0.2">
      <c r="C4569" s="198"/>
      <c r="D4569" s="198"/>
      <c r="E4569" s="537"/>
      <c r="G4569" s="198"/>
      <c r="H4569" s="123"/>
    </row>
    <row r="4570" spans="3:8" s="99" customFormat="1" x14ac:dyDescent="0.2">
      <c r="C4570" s="198"/>
      <c r="D4570" s="198"/>
      <c r="E4570" s="537"/>
      <c r="G4570" s="198"/>
      <c r="H4570" s="123"/>
    </row>
    <row r="4571" spans="3:8" s="99" customFormat="1" x14ac:dyDescent="0.2">
      <c r="C4571" s="198"/>
      <c r="D4571" s="198"/>
      <c r="E4571" s="537"/>
      <c r="G4571" s="198"/>
      <c r="H4571" s="123"/>
    </row>
    <row r="4572" spans="3:8" s="99" customFormat="1" x14ac:dyDescent="0.2">
      <c r="C4572" s="198"/>
      <c r="D4572" s="198"/>
      <c r="E4572" s="537"/>
      <c r="G4572" s="198"/>
      <c r="H4572" s="123"/>
    </row>
    <row r="4573" spans="3:8" s="99" customFormat="1" x14ac:dyDescent="0.2">
      <c r="C4573" s="198"/>
      <c r="D4573" s="198"/>
      <c r="E4573" s="537"/>
      <c r="G4573" s="198"/>
      <c r="H4573" s="123"/>
    </row>
    <row r="4574" spans="3:8" s="99" customFormat="1" x14ac:dyDescent="0.2">
      <c r="C4574" s="198"/>
      <c r="D4574" s="198"/>
      <c r="E4574" s="537"/>
      <c r="G4574" s="198"/>
      <c r="H4574" s="123"/>
    </row>
    <row r="4575" spans="3:8" s="99" customFormat="1" x14ac:dyDescent="0.2">
      <c r="C4575" s="198"/>
      <c r="D4575" s="198"/>
      <c r="E4575" s="537"/>
      <c r="G4575" s="198"/>
      <c r="H4575" s="123"/>
    </row>
    <row r="4576" spans="3:8" s="99" customFormat="1" x14ac:dyDescent="0.2">
      <c r="C4576" s="198"/>
      <c r="D4576" s="198"/>
      <c r="E4576" s="537"/>
      <c r="G4576" s="198"/>
      <c r="H4576" s="123"/>
    </row>
    <row r="4577" spans="3:8" s="99" customFormat="1" x14ac:dyDescent="0.2">
      <c r="C4577" s="198"/>
      <c r="D4577" s="198"/>
      <c r="E4577" s="537"/>
      <c r="G4577" s="198"/>
      <c r="H4577" s="123"/>
    </row>
    <row r="4578" spans="3:8" s="99" customFormat="1" x14ac:dyDescent="0.2">
      <c r="C4578" s="198"/>
      <c r="D4578" s="198"/>
      <c r="E4578" s="537"/>
      <c r="G4578" s="198"/>
      <c r="H4578" s="123"/>
    </row>
    <row r="4579" spans="3:8" s="99" customFormat="1" x14ac:dyDescent="0.2">
      <c r="C4579" s="198"/>
      <c r="D4579" s="198"/>
      <c r="E4579" s="537"/>
      <c r="G4579" s="198"/>
      <c r="H4579" s="123"/>
    </row>
    <row r="4580" spans="3:8" s="99" customFormat="1" x14ac:dyDescent="0.2">
      <c r="C4580" s="198"/>
      <c r="D4580" s="198"/>
      <c r="E4580" s="537"/>
      <c r="G4580" s="198"/>
      <c r="H4580" s="123"/>
    </row>
    <row r="4581" spans="3:8" s="99" customFormat="1" x14ac:dyDescent="0.2">
      <c r="C4581" s="198"/>
      <c r="D4581" s="198"/>
      <c r="E4581" s="537"/>
      <c r="G4581" s="198"/>
      <c r="H4581" s="123"/>
    </row>
    <row r="4582" spans="3:8" s="99" customFormat="1" x14ac:dyDescent="0.2">
      <c r="C4582" s="198"/>
      <c r="D4582" s="198"/>
      <c r="E4582" s="537"/>
      <c r="G4582" s="198"/>
      <c r="H4582" s="123"/>
    </row>
    <row r="4583" spans="3:8" s="99" customFormat="1" x14ac:dyDescent="0.2">
      <c r="C4583" s="198"/>
      <c r="D4583" s="198"/>
      <c r="E4583" s="537"/>
      <c r="G4583" s="198"/>
      <c r="H4583" s="123"/>
    </row>
    <row r="4584" spans="3:8" s="99" customFormat="1" x14ac:dyDescent="0.2">
      <c r="C4584" s="198"/>
      <c r="D4584" s="198"/>
      <c r="E4584" s="537"/>
      <c r="G4584" s="198"/>
      <c r="H4584" s="123"/>
    </row>
    <row r="4585" spans="3:8" s="99" customFormat="1" x14ac:dyDescent="0.2">
      <c r="C4585" s="198"/>
      <c r="D4585" s="198"/>
      <c r="E4585" s="537"/>
      <c r="G4585" s="198"/>
      <c r="H4585" s="123"/>
    </row>
    <row r="4586" spans="3:8" s="99" customFormat="1" x14ac:dyDescent="0.2">
      <c r="C4586" s="198"/>
      <c r="D4586" s="198"/>
      <c r="E4586" s="537"/>
      <c r="G4586" s="198"/>
      <c r="H4586" s="123"/>
    </row>
    <row r="4587" spans="3:8" s="99" customFormat="1" x14ac:dyDescent="0.2">
      <c r="C4587" s="198"/>
      <c r="D4587" s="198"/>
      <c r="E4587" s="537"/>
      <c r="G4587" s="198"/>
      <c r="H4587" s="123"/>
    </row>
    <row r="4588" spans="3:8" s="99" customFormat="1" x14ac:dyDescent="0.2">
      <c r="C4588" s="198"/>
      <c r="D4588" s="198"/>
      <c r="E4588" s="537"/>
      <c r="G4588" s="198"/>
      <c r="H4588" s="123"/>
    </row>
    <row r="4589" spans="3:8" s="99" customFormat="1" x14ac:dyDescent="0.2">
      <c r="C4589" s="198"/>
      <c r="D4589" s="198"/>
      <c r="E4589" s="537"/>
      <c r="G4589" s="198"/>
      <c r="H4589" s="123"/>
    </row>
    <row r="4590" spans="3:8" s="99" customFormat="1" x14ac:dyDescent="0.2">
      <c r="C4590" s="198"/>
      <c r="D4590" s="198"/>
      <c r="E4590" s="537"/>
      <c r="G4590" s="198"/>
      <c r="H4590" s="123"/>
    </row>
    <row r="4591" spans="3:8" s="99" customFormat="1" x14ac:dyDescent="0.2">
      <c r="C4591" s="198"/>
      <c r="D4591" s="198"/>
      <c r="E4591" s="537"/>
      <c r="G4591" s="198"/>
      <c r="H4591" s="123"/>
    </row>
    <row r="4592" spans="3:8" s="99" customFormat="1" x14ac:dyDescent="0.2">
      <c r="C4592" s="198"/>
      <c r="D4592" s="198"/>
      <c r="E4592" s="537"/>
      <c r="G4592" s="198"/>
      <c r="H4592" s="123"/>
    </row>
    <row r="4593" spans="3:8" s="99" customFormat="1" x14ac:dyDescent="0.2">
      <c r="C4593" s="198"/>
      <c r="D4593" s="198"/>
      <c r="E4593" s="537"/>
      <c r="G4593" s="198"/>
      <c r="H4593" s="123"/>
    </row>
    <row r="4594" spans="3:8" s="99" customFormat="1" x14ac:dyDescent="0.2">
      <c r="C4594" s="198"/>
      <c r="D4594" s="198"/>
      <c r="E4594" s="537"/>
      <c r="G4594" s="198"/>
      <c r="H4594" s="123"/>
    </row>
    <row r="4595" spans="3:8" s="99" customFormat="1" x14ac:dyDescent="0.2">
      <c r="C4595" s="198"/>
      <c r="D4595" s="198"/>
      <c r="E4595" s="537"/>
      <c r="G4595" s="198"/>
      <c r="H4595" s="123"/>
    </row>
    <row r="4596" spans="3:8" s="99" customFormat="1" x14ac:dyDescent="0.2">
      <c r="C4596" s="198"/>
      <c r="D4596" s="198"/>
      <c r="E4596" s="537"/>
      <c r="G4596" s="198"/>
      <c r="H4596" s="123"/>
    </row>
    <row r="4597" spans="3:8" s="99" customFormat="1" x14ac:dyDescent="0.2">
      <c r="C4597" s="198"/>
      <c r="D4597" s="198"/>
      <c r="E4597" s="537"/>
      <c r="G4597" s="198"/>
      <c r="H4597" s="123"/>
    </row>
    <row r="4598" spans="3:8" s="99" customFormat="1" x14ac:dyDescent="0.2">
      <c r="C4598" s="198"/>
      <c r="D4598" s="198"/>
      <c r="E4598" s="537"/>
      <c r="G4598" s="198"/>
      <c r="H4598" s="123"/>
    </row>
    <row r="4599" spans="3:8" s="99" customFormat="1" x14ac:dyDescent="0.2">
      <c r="C4599" s="198"/>
      <c r="D4599" s="198"/>
      <c r="E4599" s="537"/>
      <c r="G4599" s="198"/>
      <c r="H4599" s="123"/>
    </row>
    <row r="4600" spans="3:8" s="99" customFormat="1" x14ac:dyDescent="0.2">
      <c r="C4600" s="198"/>
      <c r="D4600" s="198"/>
      <c r="E4600" s="537"/>
      <c r="G4600" s="198"/>
      <c r="H4600" s="123"/>
    </row>
    <row r="4601" spans="3:8" s="99" customFormat="1" x14ac:dyDescent="0.2">
      <c r="C4601" s="198"/>
      <c r="D4601" s="198"/>
      <c r="E4601" s="537"/>
      <c r="G4601" s="198"/>
      <c r="H4601" s="123"/>
    </row>
    <row r="4602" spans="3:8" s="99" customFormat="1" x14ac:dyDescent="0.2">
      <c r="C4602" s="198"/>
      <c r="D4602" s="198"/>
      <c r="E4602" s="537"/>
      <c r="G4602" s="198"/>
      <c r="H4602" s="123"/>
    </row>
    <row r="4603" spans="3:8" s="99" customFormat="1" x14ac:dyDescent="0.2">
      <c r="C4603" s="198"/>
      <c r="D4603" s="198"/>
      <c r="E4603" s="537"/>
      <c r="G4603" s="198"/>
      <c r="H4603" s="123"/>
    </row>
    <row r="4604" spans="3:8" s="99" customFormat="1" x14ac:dyDescent="0.2">
      <c r="C4604" s="198"/>
      <c r="D4604" s="198"/>
      <c r="E4604" s="537"/>
      <c r="G4604" s="198"/>
      <c r="H4604" s="123"/>
    </row>
    <row r="4605" spans="3:8" s="99" customFormat="1" x14ac:dyDescent="0.2">
      <c r="C4605" s="198"/>
      <c r="D4605" s="198"/>
      <c r="E4605" s="537"/>
      <c r="G4605" s="198"/>
      <c r="H4605" s="123"/>
    </row>
    <row r="4606" spans="3:8" s="99" customFormat="1" x14ac:dyDescent="0.2">
      <c r="C4606" s="198"/>
      <c r="D4606" s="198"/>
      <c r="E4606" s="537"/>
      <c r="G4606" s="198"/>
      <c r="H4606" s="123"/>
    </row>
    <row r="4607" spans="3:8" s="99" customFormat="1" x14ac:dyDescent="0.2">
      <c r="C4607" s="198"/>
      <c r="D4607" s="198"/>
      <c r="E4607" s="537"/>
      <c r="G4607" s="198"/>
      <c r="H4607" s="123"/>
    </row>
    <row r="4608" spans="3:8" s="99" customFormat="1" x14ac:dyDescent="0.2">
      <c r="C4608" s="198"/>
      <c r="D4608" s="198"/>
      <c r="E4608" s="537"/>
      <c r="G4608" s="198"/>
      <c r="H4608" s="123"/>
    </row>
    <row r="4609" spans="3:8" s="99" customFormat="1" x14ac:dyDescent="0.2">
      <c r="C4609" s="198"/>
      <c r="D4609" s="198"/>
      <c r="E4609" s="537"/>
      <c r="G4609" s="198"/>
      <c r="H4609" s="123"/>
    </row>
    <row r="4610" spans="3:8" s="99" customFormat="1" x14ac:dyDescent="0.2">
      <c r="C4610" s="198"/>
      <c r="D4610" s="198"/>
      <c r="E4610" s="537"/>
      <c r="G4610" s="198"/>
      <c r="H4610" s="123"/>
    </row>
    <row r="4611" spans="3:8" s="99" customFormat="1" x14ac:dyDescent="0.2">
      <c r="C4611" s="198"/>
      <c r="D4611" s="198"/>
      <c r="E4611" s="537"/>
      <c r="G4611" s="198"/>
      <c r="H4611" s="123"/>
    </row>
    <row r="4612" spans="3:8" s="99" customFormat="1" x14ac:dyDescent="0.2">
      <c r="C4612" s="198"/>
      <c r="D4612" s="198"/>
      <c r="E4612" s="537"/>
      <c r="G4612" s="198"/>
      <c r="H4612" s="123"/>
    </row>
    <row r="4613" spans="3:8" s="99" customFormat="1" x14ac:dyDescent="0.2">
      <c r="C4613" s="198"/>
      <c r="D4613" s="198"/>
      <c r="E4613" s="537"/>
      <c r="G4613" s="198"/>
      <c r="H4613" s="123"/>
    </row>
    <row r="4614" spans="3:8" s="99" customFormat="1" x14ac:dyDescent="0.2">
      <c r="C4614" s="198"/>
      <c r="D4614" s="198"/>
      <c r="E4614" s="537"/>
      <c r="G4614" s="198"/>
      <c r="H4614" s="123"/>
    </row>
    <row r="4615" spans="3:8" s="99" customFormat="1" x14ac:dyDescent="0.2">
      <c r="C4615" s="198"/>
      <c r="D4615" s="198"/>
      <c r="E4615" s="537"/>
      <c r="G4615" s="198"/>
      <c r="H4615" s="123"/>
    </row>
    <row r="4616" spans="3:8" s="99" customFormat="1" x14ac:dyDescent="0.2">
      <c r="C4616" s="198"/>
      <c r="D4616" s="198"/>
      <c r="E4616" s="537"/>
      <c r="G4616" s="198"/>
      <c r="H4616" s="123"/>
    </row>
    <row r="4617" spans="3:8" s="99" customFormat="1" x14ac:dyDescent="0.2">
      <c r="C4617" s="198"/>
      <c r="D4617" s="198"/>
      <c r="E4617" s="537"/>
      <c r="G4617" s="198"/>
      <c r="H4617" s="123"/>
    </row>
    <row r="4618" spans="3:8" s="99" customFormat="1" x14ac:dyDescent="0.2">
      <c r="C4618" s="198"/>
      <c r="D4618" s="198"/>
      <c r="E4618" s="537"/>
      <c r="G4618" s="198"/>
      <c r="H4618" s="123"/>
    </row>
    <row r="4619" spans="3:8" s="99" customFormat="1" x14ac:dyDescent="0.2">
      <c r="C4619" s="198"/>
      <c r="D4619" s="198"/>
      <c r="E4619" s="537"/>
      <c r="G4619" s="198"/>
      <c r="H4619" s="123"/>
    </row>
    <row r="4620" spans="3:8" s="99" customFormat="1" x14ac:dyDescent="0.2">
      <c r="C4620" s="198"/>
      <c r="D4620" s="198"/>
      <c r="E4620" s="537"/>
      <c r="G4620" s="198"/>
      <c r="H4620" s="123"/>
    </row>
    <row r="4621" spans="3:8" s="99" customFormat="1" x14ac:dyDescent="0.2">
      <c r="C4621" s="198"/>
      <c r="D4621" s="198"/>
      <c r="E4621" s="537"/>
      <c r="G4621" s="198"/>
      <c r="H4621" s="123"/>
    </row>
    <row r="4622" spans="3:8" s="99" customFormat="1" x14ac:dyDescent="0.2">
      <c r="C4622" s="198"/>
      <c r="D4622" s="198"/>
      <c r="E4622" s="537"/>
      <c r="G4622" s="198"/>
      <c r="H4622" s="123"/>
    </row>
    <row r="4623" spans="3:8" s="99" customFormat="1" x14ac:dyDescent="0.2">
      <c r="C4623" s="198"/>
      <c r="D4623" s="198"/>
      <c r="E4623" s="537"/>
      <c r="G4623" s="198"/>
      <c r="H4623" s="123"/>
    </row>
    <row r="4624" spans="3:8" s="99" customFormat="1" x14ac:dyDescent="0.2">
      <c r="C4624" s="198"/>
      <c r="D4624" s="198"/>
      <c r="E4624" s="537"/>
      <c r="G4624" s="198"/>
      <c r="H4624" s="123"/>
    </row>
    <row r="4625" spans="3:8" s="99" customFormat="1" x14ac:dyDescent="0.2">
      <c r="C4625" s="198"/>
      <c r="D4625" s="198"/>
      <c r="E4625" s="537"/>
      <c r="G4625" s="198"/>
      <c r="H4625" s="123"/>
    </row>
    <row r="4626" spans="3:8" s="99" customFormat="1" x14ac:dyDescent="0.2">
      <c r="C4626" s="198"/>
      <c r="D4626" s="198"/>
      <c r="E4626" s="537"/>
      <c r="G4626" s="198"/>
      <c r="H4626" s="123"/>
    </row>
    <row r="4627" spans="3:8" s="99" customFormat="1" x14ac:dyDescent="0.2">
      <c r="C4627" s="198"/>
      <c r="D4627" s="198"/>
      <c r="E4627" s="537"/>
      <c r="G4627" s="198"/>
      <c r="H4627" s="123"/>
    </row>
    <row r="4628" spans="3:8" s="99" customFormat="1" x14ac:dyDescent="0.2">
      <c r="C4628" s="198"/>
      <c r="D4628" s="198"/>
      <c r="E4628" s="537"/>
      <c r="G4628" s="198"/>
      <c r="H4628" s="123"/>
    </row>
    <row r="4629" spans="3:8" s="99" customFormat="1" x14ac:dyDescent="0.2">
      <c r="C4629" s="198"/>
      <c r="D4629" s="198"/>
      <c r="E4629" s="537"/>
      <c r="G4629" s="198"/>
      <c r="H4629" s="123"/>
    </row>
    <row r="4630" spans="3:8" s="99" customFormat="1" x14ac:dyDescent="0.2">
      <c r="C4630" s="198"/>
      <c r="D4630" s="198"/>
      <c r="E4630" s="537"/>
      <c r="G4630" s="198"/>
      <c r="H4630" s="123"/>
    </row>
    <row r="4631" spans="3:8" s="99" customFormat="1" x14ac:dyDescent="0.2">
      <c r="C4631" s="198"/>
      <c r="D4631" s="198"/>
      <c r="E4631" s="537"/>
      <c r="G4631" s="198"/>
      <c r="H4631" s="123"/>
    </row>
    <row r="4632" spans="3:8" s="99" customFormat="1" x14ac:dyDescent="0.2">
      <c r="C4632" s="198"/>
      <c r="D4632" s="198"/>
      <c r="E4632" s="537"/>
      <c r="G4632" s="198"/>
      <c r="H4632" s="123"/>
    </row>
    <row r="4633" spans="3:8" s="99" customFormat="1" x14ac:dyDescent="0.2">
      <c r="C4633" s="198"/>
      <c r="D4633" s="198"/>
      <c r="E4633" s="537"/>
      <c r="G4633" s="198"/>
      <c r="H4633" s="123"/>
    </row>
    <row r="4634" spans="3:8" s="99" customFormat="1" x14ac:dyDescent="0.2">
      <c r="C4634" s="198"/>
      <c r="D4634" s="198"/>
      <c r="E4634" s="537"/>
      <c r="G4634" s="198"/>
      <c r="H4634" s="123"/>
    </row>
    <row r="4635" spans="3:8" s="99" customFormat="1" x14ac:dyDescent="0.2">
      <c r="C4635" s="198"/>
      <c r="D4635" s="198"/>
      <c r="E4635" s="537"/>
      <c r="G4635" s="198"/>
      <c r="H4635" s="123"/>
    </row>
    <row r="4636" spans="3:8" s="99" customFormat="1" x14ac:dyDescent="0.2">
      <c r="C4636" s="198"/>
      <c r="D4636" s="198"/>
      <c r="E4636" s="537"/>
      <c r="G4636" s="198"/>
      <c r="H4636" s="123"/>
    </row>
    <row r="4637" spans="3:8" s="99" customFormat="1" x14ac:dyDescent="0.2">
      <c r="C4637" s="198"/>
      <c r="D4637" s="198"/>
      <c r="E4637" s="537"/>
      <c r="G4637" s="198"/>
      <c r="H4637" s="123"/>
    </row>
    <row r="4638" spans="3:8" s="99" customFormat="1" x14ac:dyDescent="0.2">
      <c r="C4638" s="198"/>
      <c r="D4638" s="198"/>
      <c r="E4638" s="537"/>
      <c r="G4638" s="198"/>
      <c r="H4638" s="123"/>
    </row>
    <row r="4639" spans="3:8" s="99" customFormat="1" x14ac:dyDescent="0.2">
      <c r="C4639" s="198"/>
      <c r="D4639" s="198"/>
      <c r="E4639" s="537"/>
      <c r="G4639" s="198"/>
      <c r="H4639" s="123"/>
    </row>
    <row r="4640" spans="3:8" s="99" customFormat="1" x14ac:dyDescent="0.2">
      <c r="C4640" s="198"/>
      <c r="D4640" s="198"/>
      <c r="E4640" s="537"/>
      <c r="G4640" s="198"/>
      <c r="H4640" s="123"/>
    </row>
    <row r="4641" spans="3:8" s="99" customFormat="1" x14ac:dyDescent="0.2">
      <c r="C4641" s="198"/>
      <c r="D4641" s="198"/>
      <c r="E4641" s="537"/>
      <c r="G4641" s="198"/>
      <c r="H4641" s="123"/>
    </row>
    <row r="4642" spans="3:8" s="99" customFormat="1" x14ac:dyDescent="0.2">
      <c r="C4642" s="198"/>
      <c r="D4642" s="198"/>
      <c r="E4642" s="537"/>
      <c r="G4642" s="198"/>
      <c r="H4642" s="123"/>
    </row>
    <row r="4643" spans="3:8" s="99" customFormat="1" x14ac:dyDescent="0.2">
      <c r="C4643" s="198"/>
      <c r="D4643" s="198"/>
      <c r="E4643" s="537"/>
      <c r="G4643" s="198"/>
      <c r="H4643" s="123"/>
    </row>
    <row r="4644" spans="3:8" s="99" customFormat="1" x14ac:dyDescent="0.2">
      <c r="C4644" s="198"/>
      <c r="D4644" s="198"/>
      <c r="E4644" s="537"/>
      <c r="G4644" s="198"/>
      <c r="H4644" s="123"/>
    </row>
    <row r="4645" spans="3:8" s="99" customFormat="1" x14ac:dyDescent="0.2">
      <c r="C4645" s="198"/>
      <c r="D4645" s="198"/>
      <c r="E4645" s="537"/>
      <c r="G4645" s="198"/>
      <c r="H4645" s="123"/>
    </row>
    <row r="4646" spans="3:8" s="99" customFormat="1" x14ac:dyDescent="0.2">
      <c r="C4646" s="198"/>
      <c r="D4646" s="198"/>
      <c r="E4646" s="537"/>
      <c r="G4646" s="198"/>
      <c r="H4646" s="123"/>
    </row>
    <row r="4647" spans="3:8" s="99" customFormat="1" x14ac:dyDescent="0.2">
      <c r="C4647" s="198"/>
      <c r="D4647" s="198"/>
      <c r="E4647" s="537"/>
      <c r="G4647" s="198"/>
      <c r="H4647" s="123"/>
    </row>
    <row r="4648" spans="3:8" s="99" customFormat="1" x14ac:dyDescent="0.2">
      <c r="C4648" s="198"/>
      <c r="D4648" s="198"/>
      <c r="E4648" s="537"/>
      <c r="G4648" s="198"/>
      <c r="H4648" s="123"/>
    </row>
    <row r="4649" spans="3:8" s="99" customFormat="1" x14ac:dyDescent="0.2">
      <c r="C4649" s="198"/>
      <c r="D4649" s="198"/>
      <c r="E4649" s="537"/>
      <c r="G4649" s="198"/>
      <c r="H4649" s="123"/>
    </row>
    <row r="4650" spans="3:8" s="99" customFormat="1" x14ac:dyDescent="0.2">
      <c r="C4650" s="198"/>
      <c r="D4650" s="198"/>
      <c r="E4650" s="537"/>
      <c r="G4650" s="198"/>
      <c r="H4650" s="123"/>
    </row>
    <row r="4651" spans="3:8" s="99" customFormat="1" x14ac:dyDescent="0.2">
      <c r="C4651" s="198"/>
      <c r="D4651" s="198"/>
      <c r="E4651" s="537"/>
      <c r="G4651" s="198"/>
      <c r="H4651" s="123"/>
    </row>
    <row r="4652" spans="3:8" s="99" customFormat="1" x14ac:dyDescent="0.2">
      <c r="C4652" s="198"/>
      <c r="D4652" s="198"/>
      <c r="E4652" s="537"/>
      <c r="G4652" s="198"/>
      <c r="H4652" s="123"/>
    </row>
    <row r="4653" spans="3:8" s="99" customFormat="1" x14ac:dyDescent="0.2">
      <c r="C4653" s="198"/>
      <c r="D4653" s="198"/>
      <c r="E4653" s="537"/>
      <c r="G4653" s="198"/>
      <c r="H4653" s="123"/>
    </row>
    <row r="4654" spans="3:8" s="99" customFormat="1" x14ac:dyDescent="0.2">
      <c r="C4654" s="198"/>
      <c r="D4654" s="198"/>
      <c r="E4654" s="537"/>
      <c r="G4654" s="198"/>
      <c r="H4654" s="123"/>
    </row>
    <row r="4655" spans="3:8" s="99" customFormat="1" x14ac:dyDescent="0.2">
      <c r="C4655" s="198"/>
      <c r="D4655" s="198"/>
      <c r="E4655" s="537"/>
      <c r="G4655" s="198"/>
      <c r="H4655" s="123"/>
    </row>
    <row r="4656" spans="3:8" s="99" customFormat="1" x14ac:dyDescent="0.2">
      <c r="C4656" s="198"/>
      <c r="D4656" s="198"/>
      <c r="E4656" s="537"/>
      <c r="G4656" s="198"/>
      <c r="H4656" s="123"/>
    </row>
    <row r="4657" spans="3:8" s="99" customFormat="1" x14ac:dyDescent="0.2">
      <c r="C4657" s="198"/>
      <c r="D4657" s="198"/>
      <c r="E4657" s="537"/>
      <c r="G4657" s="198"/>
      <c r="H4657" s="123"/>
    </row>
    <row r="4658" spans="3:8" s="99" customFormat="1" x14ac:dyDescent="0.2">
      <c r="C4658" s="198"/>
      <c r="D4658" s="198"/>
      <c r="E4658" s="537"/>
      <c r="G4658" s="198"/>
      <c r="H4658" s="123"/>
    </row>
    <row r="4659" spans="3:8" s="99" customFormat="1" x14ac:dyDescent="0.2">
      <c r="C4659" s="198"/>
      <c r="D4659" s="198"/>
      <c r="E4659" s="537"/>
      <c r="G4659" s="198"/>
      <c r="H4659" s="123"/>
    </row>
    <row r="4660" spans="3:8" s="99" customFormat="1" x14ac:dyDescent="0.2">
      <c r="C4660" s="198"/>
      <c r="D4660" s="198"/>
      <c r="E4660" s="537"/>
      <c r="G4660" s="198"/>
      <c r="H4660" s="123"/>
    </row>
    <row r="4661" spans="3:8" s="99" customFormat="1" x14ac:dyDescent="0.2">
      <c r="C4661" s="198"/>
      <c r="D4661" s="198"/>
      <c r="E4661" s="537"/>
      <c r="G4661" s="198"/>
      <c r="H4661" s="123"/>
    </row>
    <row r="4662" spans="3:8" s="99" customFormat="1" x14ac:dyDescent="0.2">
      <c r="C4662" s="198"/>
      <c r="D4662" s="198"/>
      <c r="E4662" s="537"/>
      <c r="G4662" s="198"/>
      <c r="H4662" s="123"/>
    </row>
    <row r="4663" spans="3:8" s="99" customFormat="1" x14ac:dyDescent="0.2">
      <c r="C4663" s="198"/>
      <c r="D4663" s="198"/>
      <c r="E4663" s="537"/>
      <c r="G4663" s="198"/>
      <c r="H4663" s="123"/>
    </row>
    <row r="4664" spans="3:8" s="99" customFormat="1" x14ac:dyDescent="0.2">
      <c r="C4664" s="198"/>
      <c r="D4664" s="198"/>
      <c r="E4664" s="537"/>
      <c r="G4664" s="198"/>
      <c r="H4664" s="123"/>
    </row>
    <row r="4665" spans="3:8" s="99" customFormat="1" x14ac:dyDescent="0.2">
      <c r="C4665" s="198"/>
      <c r="D4665" s="198"/>
      <c r="E4665" s="537"/>
      <c r="G4665" s="198"/>
      <c r="H4665" s="123"/>
    </row>
    <row r="4666" spans="3:8" s="99" customFormat="1" x14ac:dyDescent="0.2">
      <c r="C4666" s="198"/>
      <c r="D4666" s="198"/>
      <c r="E4666" s="537"/>
      <c r="G4666" s="198"/>
      <c r="H4666" s="123"/>
    </row>
    <row r="4667" spans="3:8" s="99" customFormat="1" x14ac:dyDescent="0.2">
      <c r="C4667" s="198"/>
      <c r="D4667" s="198"/>
      <c r="E4667" s="537"/>
      <c r="G4667" s="198"/>
      <c r="H4667" s="123"/>
    </row>
    <row r="4668" spans="3:8" s="99" customFormat="1" x14ac:dyDescent="0.2">
      <c r="C4668" s="198"/>
      <c r="D4668" s="198"/>
      <c r="E4668" s="537"/>
      <c r="G4668" s="198"/>
      <c r="H4668" s="123"/>
    </row>
    <row r="4669" spans="3:8" s="99" customFormat="1" x14ac:dyDescent="0.2">
      <c r="C4669" s="198"/>
      <c r="D4669" s="198"/>
      <c r="E4669" s="537"/>
      <c r="G4669" s="198"/>
      <c r="H4669" s="123"/>
    </row>
    <row r="4670" spans="3:8" s="99" customFormat="1" x14ac:dyDescent="0.2">
      <c r="C4670" s="198"/>
      <c r="D4670" s="198"/>
      <c r="E4670" s="537"/>
      <c r="G4670" s="198"/>
      <c r="H4670" s="123"/>
    </row>
    <row r="4671" spans="3:8" s="99" customFormat="1" x14ac:dyDescent="0.2">
      <c r="C4671" s="198"/>
      <c r="D4671" s="198"/>
      <c r="E4671" s="537"/>
      <c r="G4671" s="198"/>
      <c r="H4671" s="123"/>
    </row>
    <row r="4672" spans="3:8" s="99" customFormat="1" x14ac:dyDescent="0.2">
      <c r="C4672" s="198"/>
      <c r="D4672" s="198"/>
      <c r="E4672" s="537"/>
      <c r="G4672" s="198"/>
      <c r="H4672" s="123"/>
    </row>
    <row r="4673" spans="3:8" s="99" customFormat="1" x14ac:dyDescent="0.2">
      <c r="C4673" s="198"/>
      <c r="D4673" s="198"/>
      <c r="E4673" s="537"/>
      <c r="G4673" s="198"/>
      <c r="H4673" s="123"/>
    </row>
    <row r="4674" spans="3:8" s="99" customFormat="1" x14ac:dyDescent="0.2">
      <c r="C4674" s="198"/>
      <c r="D4674" s="198"/>
      <c r="E4674" s="537"/>
      <c r="G4674" s="198"/>
      <c r="H4674" s="123"/>
    </row>
    <row r="4675" spans="3:8" s="99" customFormat="1" x14ac:dyDescent="0.2">
      <c r="C4675" s="198"/>
      <c r="D4675" s="198"/>
      <c r="E4675" s="537"/>
      <c r="G4675" s="198"/>
      <c r="H4675" s="123"/>
    </row>
    <row r="4676" spans="3:8" s="99" customFormat="1" x14ac:dyDescent="0.2">
      <c r="C4676" s="198"/>
      <c r="D4676" s="198"/>
      <c r="E4676" s="537"/>
      <c r="G4676" s="198"/>
      <c r="H4676" s="123"/>
    </row>
    <row r="4677" spans="3:8" s="99" customFormat="1" x14ac:dyDescent="0.2">
      <c r="C4677" s="198"/>
      <c r="D4677" s="198"/>
      <c r="E4677" s="537"/>
      <c r="G4677" s="198"/>
      <c r="H4677" s="123"/>
    </row>
    <row r="4678" spans="3:8" s="99" customFormat="1" x14ac:dyDescent="0.2">
      <c r="C4678" s="198"/>
      <c r="D4678" s="198"/>
      <c r="E4678" s="537"/>
      <c r="G4678" s="198"/>
      <c r="H4678" s="123"/>
    </row>
    <row r="4679" spans="3:8" s="99" customFormat="1" x14ac:dyDescent="0.2">
      <c r="C4679" s="198"/>
      <c r="D4679" s="198"/>
      <c r="E4679" s="537"/>
      <c r="G4679" s="198"/>
      <c r="H4679" s="123"/>
    </row>
    <row r="4680" spans="3:8" s="99" customFormat="1" x14ac:dyDescent="0.2">
      <c r="C4680" s="198"/>
      <c r="D4680" s="198"/>
      <c r="E4680" s="537"/>
      <c r="G4680" s="198"/>
      <c r="H4680" s="123"/>
    </row>
    <row r="4681" spans="3:8" s="99" customFormat="1" x14ac:dyDescent="0.2">
      <c r="C4681" s="198"/>
      <c r="D4681" s="198"/>
      <c r="E4681" s="537"/>
      <c r="G4681" s="198"/>
      <c r="H4681" s="123"/>
    </row>
    <row r="4682" spans="3:8" s="99" customFormat="1" x14ac:dyDescent="0.2">
      <c r="C4682" s="198"/>
      <c r="D4682" s="198"/>
      <c r="E4682" s="537"/>
      <c r="G4682" s="198"/>
      <c r="H4682" s="123"/>
    </row>
    <row r="4683" spans="3:8" s="99" customFormat="1" x14ac:dyDescent="0.2">
      <c r="C4683" s="198"/>
      <c r="D4683" s="198"/>
      <c r="E4683" s="537"/>
      <c r="G4683" s="198"/>
      <c r="H4683" s="123"/>
    </row>
    <row r="4684" spans="3:8" s="99" customFormat="1" x14ac:dyDescent="0.2">
      <c r="C4684" s="198"/>
      <c r="D4684" s="198"/>
      <c r="E4684" s="537"/>
      <c r="G4684" s="198"/>
      <c r="H4684" s="123"/>
    </row>
    <row r="4685" spans="3:8" s="99" customFormat="1" x14ac:dyDescent="0.2">
      <c r="C4685" s="198"/>
      <c r="D4685" s="198"/>
      <c r="E4685" s="537"/>
      <c r="G4685" s="198"/>
      <c r="H4685" s="123"/>
    </row>
    <row r="4686" spans="3:8" s="99" customFormat="1" x14ac:dyDescent="0.2">
      <c r="C4686" s="198"/>
      <c r="D4686" s="198"/>
      <c r="E4686" s="537"/>
      <c r="G4686" s="198"/>
      <c r="H4686" s="123"/>
    </row>
    <row r="4687" spans="3:8" s="99" customFormat="1" x14ac:dyDescent="0.2">
      <c r="C4687" s="198"/>
      <c r="D4687" s="198"/>
      <c r="E4687" s="537"/>
      <c r="G4687" s="198"/>
      <c r="H4687" s="123"/>
    </row>
    <row r="4688" spans="3:8" s="99" customFormat="1" x14ac:dyDescent="0.2">
      <c r="C4688" s="198"/>
      <c r="D4688" s="198"/>
      <c r="E4688" s="537"/>
      <c r="G4688" s="198"/>
      <c r="H4688" s="123"/>
    </row>
    <row r="4689" spans="3:8" s="99" customFormat="1" x14ac:dyDescent="0.2">
      <c r="C4689" s="198"/>
      <c r="D4689" s="198"/>
      <c r="E4689" s="537"/>
      <c r="G4689" s="198"/>
      <c r="H4689" s="123"/>
    </row>
    <row r="4690" spans="3:8" s="99" customFormat="1" x14ac:dyDescent="0.2">
      <c r="C4690" s="198"/>
      <c r="D4690" s="198"/>
      <c r="E4690" s="537"/>
      <c r="G4690" s="198"/>
      <c r="H4690" s="123"/>
    </row>
    <row r="4691" spans="3:8" s="99" customFormat="1" x14ac:dyDescent="0.2">
      <c r="C4691" s="198"/>
      <c r="D4691" s="198"/>
      <c r="E4691" s="537"/>
      <c r="G4691" s="198"/>
      <c r="H4691" s="123"/>
    </row>
    <row r="4692" spans="3:8" s="99" customFormat="1" x14ac:dyDescent="0.2">
      <c r="C4692" s="198"/>
      <c r="D4692" s="198"/>
      <c r="E4692" s="537"/>
      <c r="G4692" s="198"/>
      <c r="H4692" s="123"/>
    </row>
    <row r="4693" spans="3:8" s="99" customFormat="1" x14ac:dyDescent="0.2">
      <c r="C4693" s="198"/>
      <c r="D4693" s="198"/>
      <c r="E4693" s="537"/>
      <c r="G4693" s="198"/>
      <c r="H4693" s="123"/>
    </row>
    <row r="4694" spans="3:8" s="99" customFormat="1" x14ac:dyDescent="0.2">
      <c r="C4694" s="198"/>
      <c r="D4694" s="198"/>
      <c r="E4694" s="537"/>
      <c r="G4694" s="198"/>
      <c r="H4694" s="123"/>
    </row>
    <row r="4695" spans="3:8" s="99" customFormat="1" x14ac:dyDescent="0.2">
      <c r="C4695" s="198"/>
      <c r="D4695" s="198"/>
      <c r="E4695" s="537"/>
      <c r="G4695" s="198"/>
      <c r="H4695" s="123"/>
    </row>
    <row r="4696" spans="3:8" s="99" customFormat="1" x14ac:dyDescent="0.2">
      <c r="C4696" s="198"/>
      <c r="D4696" s="198"/>
      <c r="E4696" s="537"/>
      <c r="G4696" s="198"/>
      <c r="H4696" s="123"/>
    </row>
    <row r="4697" spans="3:8" s="99" customFormat="1" x14ac:dyDescent="0.2">
      <c r="C4697" s="198"/>
      <c r="D4697" s="198"/>
      <c r="E4697" s="537"/>
      <c r="G4697" s="198"/>
      <c r="H4697" s="123"/>
    </row>
    <row r="4698" spans="3:8" s="99" customFormat="1" x14ac:dyDescent="0.2">
      <c r="C4698" s="198"/>
      <c r="D4698" s="198"/>
      <c r="E4698" s="537"/>
      <c r="G4698" s="198"/>
      <c r="H4698" s="123"/>
    </row>
    <row r="4699" spans="3:8" s="99" customFormat="1" x14ac:dyDescent="0.2">
      <c r="C4699" s="198"/>
      <c r="D4699" s="198"/>
      <c r="E4699" s="537"/>
      <c r="G4699" s="198"/>
      <c r="H4699" s="123"/>
    </row>
    <row r="4700" spans="3:8" s="99" customFormat="1" x14ac:dyDescent="0.2">
      <c r="C4700" s="198"/>
      <c r="D4700" s="198"/>
      <c r="E4700" s="537"/>
      <c r="G4700" s="198"/>
      <c r="H4700" s="123"/>
    </row>
    <row r="4701" spans="3:8" s="99" customFormat="1" x14ac:dyDescent="0.2">
      <c r="C4701" s="198"/>
      <c r="D4701" s="198"/>
      <c r="E4701" s="537"/>
      <c r="G4701" s="198"/>
      <c r="H4701" s="123"/>
    </row>
    <row r="4702" spans="3:8" s="99" customFormat="1" x14ac:dyDescent="0.2">
      <c r="C4702" s="198"/>
      <c r="D4702" s="198"/>
      <c r="E4702" s="537"/>
      <c r="G4702" s="198"/>
      <c r="H4702" s="123"/>
    </row>
    <row r="4703" spans="3:8" s="99" customFormat="1" x14ac:dyDescent="0.2">
      <c r="C4703" s="198"/>
      <c r="D4703" s="198"/>
      <c r="E4703" s="537"/>
      <c r="G4703" s="198"/>
      <c r="H4703" s="123"/>
    </row>
    <row r="4704" spans="3:8" s="99" customFormat="1" x14ac:dyDescent="0.2">
      <c r="C4704" s="198"/>
      <c r="D4704" s="198"/>
      <c r="E4704" s="537"/>
      <c r="G4704" s="198"/>
      <c r="H4704" s="123"/>
    </row>
    <row r="4705" spans="3:8" s="99" customFormat="1" x14ac:dyDescent="0.2">
      <c r="C4705" s="198"/>
      <c r="D4705" s="198"/>
      <c r="E4705" s="537"/>
      <c r="G4705" s="198"/>
      <c r="H4705" s="123"/>
    </row>
    <row r="4706" spans="3:8" s="99" customFormat="1" x14ac:dyDescent="0.2">
      <c r="C4706" s="198"/>
      <c r="D4706" s="198"/>
      <c r="E4706" s="537"/>
      <c r="G4706" s="198"/>
      <c r="H4706" s="123"/>
    </row>
    <row r="4707" spans="3:8" s="99" customFormat="1" x14ac:dyDescent="0.2">
      <c r="C4707" s="198"/>
      <c r="D4707" s="198"/>
      <c r="E4707" s="537"/>
      <c r="G4707" s="198"/>
      <c r="H4707" s="123"/>
    </row>
    <row r="4708" spans="3:8" s="99" customFormat="1" x14ac:dyDescent="0.2">
      <c r="C4708" s="198"/>
      <c r="D4708" s="198"/>
      <c r="E4708" s="537"/>
      <c r="G4708" s="198"/>
      <c r="H4708" s="123"/>
    </row>
    <row r="4709" spans="3:8" s="99" customFormat="1" x14ac:dyDescent="0.2">
      <c r="C4709" s="198"/>
      <c r="D4709" s="198"/>
      <c r="E4709" s="537"/>
      <c r="G4709" s="198"/>
      <c r="H4709" s="123"/>
    </row>
    <row r="4710" spans="3:8" s="99" customFormat="1" x14ac:dyDescent="0.2">
      <c r="C4710" s="198"/>
      <c r="D4710" s="198"/>
      <c r="E4710" s="537"/>
      <c r="G4710" s="198"/>
      <c r="H4710" s="123"/>
    </row>
    <row r="4711" spans="3:8" s="99" customFormat="1" x14ac:dyDescent="0.2">
      <c r="C4711" s="198"/>
      <c r="D4711" s="198"/>
      <c r="E4711" s="537"/>
      <c r="G4711" s="198"/>
      <c r="H4711" s="123"/>
    </row>
    <row r="4712" spans="3:8" s="99" customFormat="1" x14ac:dyDescent="0.2">
      <c r="C4712" s="198"/>
      <c r="D4712" s="198"/>
      <c r="E4712" s="537"/>
      <c r="G4712" s="198"/>
      <c r="H4712" s="123"/>
    </row>
    <row r="4713" spans="3:8" s="99" customFormat="1" x14ac:dyDescent="0.2">
      <c r="C4713" s="198"/>
      <c r="D4713" s="198"/>
      <c r="E4713" s="537"/>
      <c r="G4713" s="198"/>
      <c r="H4713" s="123"/>
    </row>
    <row r="4714" spans="3:8" s="99" customFormat="1" x14ac:dyDescent="0.2">
      <c r="C4714" s="198"/>
      <c r="D4714" s="198"/>
      <c r="E4714" s="537"/>
      <c r="G4714" s="198"/>
      <c r="H4714" s="123"/>
    </row>
    <row r="4715" spans="3:8" s="99" customFormat="1" x14ac:dyDescent="0.2">
      <c r="C4715" s="198"/>
      <c r="D4715" s="198"/>
      <c r="E4715" s="537"/>
      <c r="G4715" s="198"/>
      <c r="H4715" s="123"/>
    </row>
    <row r="4716" spans="3:8" s="99" customFormat="1" x14ac:dyDescent="0.2">
      <c r="C4716" s="198"/>
      <c r="D4716" s="198"/>
      <c r="E4716" s="537"/>
      <c r="G4716" s="198"/>
      <c r="H4716" s="123"/>
    </row>
    <row r="4717" spans="3:8" s="99" customFormat="1" x14ac:dyDescent="0.2">
      <c r="C4717" s="198"/>
      <c r="D4717" s="198"/>
      <c r="E4717" s="537"/>
      <c r="G4717" s="198"/>
      <c r="H4717" s="123"/>
    </row>
    <row r="4718" spans="3:8" s="99" customFormat="1" x14ac:dyDescent="0.2">
      <c r="C4718" s="198"/>
      <c r="D4718" s="198"/>
      <c r="E4718" s="537"/>
      <c r="G4718" s="198"/>
      <c r="H4718" s="123"/>
    </row>
    <row r="4719" spans="3:8" s="99" customFormat="1" x14ac:dyDescent="0.2">
      <c r="C4719" s="198"/>
      <c r="D4719" s="198"/>
      <c r="E4719" s="537"/>
      <c r="G4719" s="198"/>
      <c r="H4719" s="123"/>
    </row>
    <row r="4720" spans="3:8" s="99" customFormat="1" x14ac:dyDescent="0.2">
      <c r="C4720" s="198"/>
      <c r="D4720" s="198"/>
      <c r="E4720" s="537"/>
      <c r="G4720" s="198"/>
      <c r="H4720" s="123"/>
    </row>
    <row r="4721" spans="3:8" s="99" customFormat="1" x14ac:dyDescent="0.2">
      <c r="C4721" s="198"/>
      <c r="D4721" s="198"/>
      <c r="E4721" s="537"/>
      <c r="G4721" s="198"/>
      <c r="H4721" s="123"/>
    </row>
    <row r="4722" spans="3:8" s="99" customFormat="1" x14ac:dyDescent="0.2">
      <c r="C4722" s="198"/>
      <c r="D4722" s="198"/>
      <c r="E4722" s="537"/>
      <c r="G4722" s="198"/>
      <c r="H4722" s="123"/>
    </row>
    <row r="4723" spans="3:8" s="99" customFormat="1" x14ac:dyDescent="0.2">
      <c r="C4723" s="198"/>
      <c r="D4723" s="198"/>
      <c r="E4723" s="537"/>
      <c r="G4723" s="198"/>
      <c r="H4723" s="123"/>
    </row>
    <row r="4724" spans="3:8" s="99" customFormat="1" x14ac:dyDescent="0.2">
      <c r="C4724" s="198"/>
      <c r="D4724" s="198"/>
      <c r="E4724" s="537"/>
      <c r="G4724" s="198"/>
      <c r="H4724" s="123"/>
    </row>
    <row r="4725" spans="3:8" s="99" customFormat="1" x14ac:dyDescent="0.2">
      <c r="C4725" s="198"/>
      <c r="D4725" s="198"/>
      <c r="E4725" s="537"/>
      <c r="G4725" s="198"/>
      <c r="H4725" s="123"/>
    </row>
    <row r="4726" spans="3:8" s="99" customFormat="1" x14ac:dyDescent="0.2">
      <c r="C4726" s="198"/>
      <c r="D4726" s="198"/>
      <c r="E4726" s="537"/>
      <c r="G4726" s="198"/>
      <c r="H4726" s="123"/>
    </row>
    <row r="4727" spans="3:8" s="99" customFormat="1" x14ac:dyDescent="0.2">
      <c r="C4727" s="198"/>
      <c r="D4727" s="198"/>
      <c r="E4727" s="537"/>
      <c r="G4727" s="198"/>
      <c r="H4727" s="123"/>
    </row>
    <row r="4728" spans="3:8" s="99" customFormat="1" x14ac:dyDescent="0.2">
      <c r="C4728" s="198"/>
      <c r="D4728" s="198"/>
      <c r="E4728" s="537"/>
      <c r="G4728" s="198"/>
      <c r="H4728" s="123"/>
    </row>
    <row r="4729" spans="3:8" s="99" customFormat="1" x14ac:dyDescent="0.2">
      <c r="C4729" s="198"/>
      <c r="D4729" s="198"/>
      <c r="E4729" s="537"/>
      <c r="G4729" s="198"/>
      <c r="H4729" s="123"/>
    </row>
    <row r="4730" spans="3:8" s="99" customFormat="1" x14ac:dyDescent="0.2">
      <c r="C4730" s="198"/>
      <c r="D4730" s="198"/>
      <c r="E4730" s="537"/>
      <c r="G4730" s="198"/>
      <c r="H4730" s="123"/>
    </row>
    <row r="4731" spans="3:8" s="99" customFormat="1" x14ac:dyDescent="0.2">
      <c r="C4731" s="198"/>
      <c r="D4731" s="198"/>
      <c r="E4731" s="537"/>
      <c r="G4731" s="198"/>
      <c r="H4731" s="123"/>
    </row>
    <row r="4732" spans="3:8" s="99" customFormat="1" x14ac:dyDescent="0.2">
      <c r="C4732" s="198"/>
      <c r="D4732" s="198"/>
      <c r="E4732" s="537"/>
      <c r="G4732" s="198"/>
      <c r="H4732" s="123"/>
    </row>
    <row r="4733" spans="3:8" s="99" customFormat="1" x14ac:dyDescent="0.2">
      <c r="C4733" s="198"/>
      <c r="D4733" s="198"/>
      <c r="E4733" s="537"/>
      <c r="G4733" s="198"/>
      <c r="H4733" s="123"/>
    </row>
    <row r="4734" spans="3:8" s="99" customFormat="1" x14ac:dyDescent="0.2">
      <c r="C4734" s="198"/>
      <c r="D4734" s="198"/>
      <c r="E4734" s="537"/>
      <c r="G4734" s="198"/>
      <c r="H4734" s="123"/>
    </row>
    <row r="4735" spans="3:8" s="99" customFormat="1" x14ac:dyDescent="0.2">
      <c r="C4735" s="198"/>
      <c r="D4735" s="198"/>
      <c r="E4735" s="537"/>
      <c r="G4735" s="198"/>
      <c r="H4735" s="123"/>
    </row>
    <row r="4736" spans="3:8" s="99" customFormat="1" x14ac:dyDescent="0.2">
      <c r="C4736" s="198"/>
      <c r="D4736" s="198"/>
      <c r="E4736" s="537"/>
      <c r="G4736" s="198"/>
      <c r="H4736" s="123"/>
    </row>
    <row r="4737" spans="3:8" s="99" customFormat="1" x14ac:dyDescent="0.2">
      <c r="C4737" s="198"/>
      <c r="D4737" s="198"/>
      <c r="E4737" s="537"/>
      <c r="G4737" s="198"/>
      <c r="H4737" s="123"/>
    </row>
    <row r="4738" spans="3:8" s="99" customFormat="1" x14ac:dyDescent="0.2">
      <c r="C4738" s="198"/>
      <c r="D4738" s="198"/>
      <c r="E4738" s="537"/>
      <c r="G4738" s="198"/>
      <c r="H4738" s="123"/>
    </row>
    <row r="4739" spans="3:8" s="99" customFormat="1" x14ac:dyDescent="0.2">
      <c r="C4739" s="198"/>
      <c r="D4739" s="198"/>
      <c r="E4739" s="537"/>
      <c r="G4739" s="198"/>
      <c r="H4739" s="123"/>
    </row>
    <row r="4740" spans="3:8" s="99" customFormat="1" x14ac:dyDescent="0.2">
      <c r="C4740" s="198"/>
      <c r="D4740" s="198"/>
      <c r="E4740" s="537"/>
      <c r="G4740" s="198"/>
      <c r="H4740" s="123"/>
    </row>
    <row r="4741" spans="3:8" s="99" customFormat="1" x14ac:dyDescent="0.2">
      <c r="C4741" s="198"/>
      <c r="D4741" s="198"/>
      <c r="E4741" s="537"/>
      <c r="G4741" s="198"/>
      <c r="H4741" s="123"/>
    </row>
    <row r="4742" spans="3:8" s="99" customFormat="1" x14ac:dyDescent="0.2">
      <c r="C4742" s="198"/>
      <c r="D4742" s="198"/>
      <c r="E4742" s="537"/>
      <c r="G4742" s="198"/>
      <c r="H4742" s="123"/>
    </row>
    <row r="4743" spans="3:8" s="99" customFormat="1" x14ac:dyDescent="0.2">
      <c r="C4743" s="198"/>
      <c r="D4743" s="198"/>
      <c r="E4743" s="537"/>
      <c r="G4743" s="198"/>
      <c r="H4743" s="123"/>
    </row>
    <row r="4744" spans="3:8" s="99" customFormat="1" x14ac:dyDescent="0.2">
      <c r="C4744" s="198"/>
      <c r="D4744" s="198"/>
      <c r="E4744" s="537"/>
      <c r="G4744" s="198"/>
      <c r="H4744" s="123"/>
    </row>
    <row r="4745" spans="3:8" s="99" customFormat="1" x14ac:dyDescent="0.2">
      <c r="C4745" s="198"/>
      <c r="D4745" s="198"/>
      <c r="E4745" s="537"/>
      <c r="G4745" s="198"/>
      <c r="H4745" s="123"/>
    </row>
    <row r="4746" spans="3:8" s="99" customFormat="1" x14ac:dyDescent="0.2">
      <c r="C4746" s="198"/>
      <c r="D4746" s="198"/>
      <c r="E4746" s="537"/>
      <c r="G4746" s="198"/>
      <c r="H4746" s="123"/>
    </row>
    <row r="4747" spans="3:8" s="99" customFormat="1" x14ac:dyDescent="0.2">
      <c r="C4747" s="198"/>
      <c r="D4747" s="198"/>
      <c r="E4747" s="537"/>
      <c r="G4747" s="198"/>
      <c r="H4747" s="123"/>
    </row>
    <row r="4748" spans="3:8" s="99" customFormat="1" x14ac:dyDescent="0.2">
      <c r="C4748" s="198"/>
      <c r="D4748" s="198"/>
      <c r="E4748" s="537"/>
      <c r="G4748" s="198"/>
      <c r="H4748" s="123"/>
    </row>
    <row r="4749" spans="3:8" s="99" customFormat="1" x14ac:dyDescent="0.2">
      <c r="C4749" s="198"/>
      <c r="D4749" s="198"/>
      <c r="E4749" s="537"/>
      <c r="G4749" s="198"/>
      <c r="H4749" s="123"/>
    </row>
    <row r="4750" spans="3:8" s="99" customFormat="1" x14ac:dyDescent="0.2">
      <c r="C4750" s="198"/>
      <c r="D4750" s="198"/>
      <c r="E4750" s="537"/>
      <c r="G4750" s="198"/>
      <c r="H4750" s="123"/>
    </row>
    <row r="4751" spans="3:8" s="99" customFormat="1" x14ac:dyDescent="0.2">
      <c r="C4751" s="198"/>
      <c r="D4751" s="198"/>
      <c r="E4751" s="537"/>
      <c r="G4751" s="198"/>
      <c r="H4751" s="123"/>
    </row>
    <row r="4752" spans="3:8" s="99" customFormat="1" x14ac:dyDescent="0.2">
      <c r="C4752" s="198"/>
      <c r="D4752" s="198"/>
      <c r="E4752" s="537"/>
      <c r="G4752" s="198"/>
      <c r="H4752" s="123"/>
    </row>
    <row r="4753" spans="3:8" s="99" customFormat="1" x14ac:dyDescent="0.2">
      <c r="C4753" s="198"/>
      <c r="D4753" s="198"/>
      <c r="E4753" s="537"/>
      <c r="G4753" s="198"/>
      <c r="H4753" s="123"/>
    </row>
    <row r="4754" spans="3:8" s="99" customFormat="1" x14ac:dyDescent="0.2">
      <c r="C4754" s="198"/>
      <c r="D4754" s="198"/>
      <c r="E4754" s="537"/>
      <c r="G4754" s="198"/>
      <c r="H4754" s="123"/>
    </row>
    <row r="4755" spans="3:8" s="99" customFormat="1" x14ac:dyDescent="0.2">
      <c r="C4755" s="198"/>
      <c r="D4755" s="198"/>
      <c r="E4755" s="537"/>
      <c r="G4755" s="198"/>
      <c r="H4755" s="123"/>
    </row>
    <row r="4756" spans="3:8" s="99" customFormat="1" x14ac:dyDescent="0.2">
      <c r="C4756" s="198"/>
      <c r="D4756" s="198"/>
      <c r="E4756" s="537"/>
      <c r="G4756" s="198"/>
      <c r="H4756" s="123"/>
    </row>
    <row r="4757" spans="3:8" s="99" customFormat="1" x14ac:dyDescent="0.2">
      <c r="C4757" s="198"/>
      <c r="D4757" s="198"/>
      <c r="E4757" s="537"/>
      <c r="G4757" s="198"/>
      <c r="H4757" s="123"/>
    </row>
    <row r="4758" spans="3:8" s="99" customFormat="1" x14ac:dyDescent="0.2">
      <c r="C4758" s="198"/>
      <c r="D4758" s="198"/>
      <c r="E4758" s="537"/>
      <c r="G4758" s="198"/>
      <c r="H4758" s="123"/>
    </row>
    <row r="4759" spans="3:8" s="99" customFormat="1" x14ac:dyDescent="0.2">
      <c r="C4759" s="198"/>
      <c r="D4759" s="198"/>
      <c r="E4759" s="537"/>
      <c r="G4759" s="198"/>
      <c r="H4759" s="123"/>
    </row>
    <row r="4760" spans="3:8" s="99" customFormat="1" x14ac:dyDescent="0.2">
      <c r="C4760" s="198"/>
      <c r="D4760" s="198"/>
      <c r="E4760" s="537"/>
      <c r="G4760" s="198"/>
      <c r="H4760" s="123"/>
    </row>
    <row r="4761" spans="3:8" s="99" customFormat="1" x14ac:dyDescent="0.2">
      <c r="C4761" s="198"/>
      <c r="D4761" s="198"/>
      <c r="E4761" s="537"/>
      <c r="G4761" s="198"/>
      <c r="H4761" s="123"/>
    </row>
    <row r="4762" spans="3:8" s="99" customFormat="1" x14ac:dyDescent="0.2">
      <c r="C4762" s="198"/>
      <c r="D4762" s="198"/>
      <c r="E4762" s="537"/>
      <c r="G4762" s="198"/>
      <c r="H4762" s="123"/>
    </row>
    <row r="4763" spans="3:8" s="99" customFormat="1" x14ac:dyDescent="0.2">
      <c r="C4763" s="198"/>
      <c r="D4763" s="198"/>
      <c r="E4763" s="537"/>
      <c r="G4763" s="198"/>
      <c r="H4763" s="123"/>
    </row>
    <row r="4764" spans="3:8" s="99" customFormat="1" x14ac:dyDescent="0.2">
      <c r="C4764" s="198"/>
      <c r="D4764" s="198"/>
      <c r="E4764" s="537"/>
      <c r="G4764" s="198"/>
      <c r="H4764" s="123"/>
    </row>
    <row r="4765" spans="3:8" s="99" customFormat="1" x14ac:dyDescent="0.2">
      <c r="C4765" s="198"/>
      <c r="D4765" s="198"/>
      <c r="E4765" s="537"/>
      <c r="G4765" s="198"/>
      <c r="H4765" s="123"/>
    </row>
    <row r="4766" spans="3:8" s="99" customFormat="1" x14ac:dyDescent="0.2">
      <c r="C4766" s="198"/>
      <c r="D4766" s="198"/>
      <c r="E4766" s="537"/>
      <c r="G4766" s="198"/>
      <c r="H4766" s="123"/>
    </row>
    <row r="4767" spans="3:8" s="99" customFormat="1" x14ac:dyDescent="0.2">
      <c r="C4767" s="198"/>
      <c r="D4767" s="198"/>
      <c r="E4767" s="537"/>
      <c r="G4767" s="198"/>
      <c r="H4767" s="123"/>
    </row>
    <row r="4768" spans="3:8" s="99" customFormat="1" x14ac:dyDescent="0.2">
      <c r="C4768" s="198"/>
      <c r="D4768" s="198"/>
      <c r="E4768" s="537"/>
      <c r="G4768" s="198"/>
      <c r="H4768" s="123"/>
    </row>
    <row r="4769" spans="3:8" s="99" customFormat="1" x14ac:dyDescent="0.2">
      <c r="C4769" s="198"/>
      <c r="D4769" s="198"/>
      <c r="E4769" s="537"/>
      <c r="G4769" s="198"/>
      <c r="H4769" s="123"/>
    </row>
    <row r="4770" spans="3:8" s="99" customFormat="1" x14ac:dyDescent="0.2">
      <c r="C4770" s="198"/>
      <c r="D4770" s="198"/>
      <c r="E4770" s="537"/>
      <c r="G4770" s="198"/>
      <c r="H4770" s="123"/>
    </row>
    <row r="4771" spans="3:8" s="99" customFormat="1" x14ac:dyDescent="0.2">
      <c r="C4771" s="198"/>
      <c r="D4771" s="198"/>
      <c r="E4771" s="537"/>
      <c r="G4771" s="198"/>
      <c r="H4771" s="123"/>
    </row>
    <row r="4772" spans="3:8" s="99" customFormat="1" x14ac:dyDescent="0.2">
      <c r="C4772" s="198"/>
      <c r="D4772" s="198"/>
      <c r="E4772" s="537"/>
      <c r="G4772" s="198"/>
      <c r="H4772" s="123"/>
    </row>
    <row r="4773" spans="3:8" s="99" customFormat="1" x14ac:dyDescent="0.2">
      <c r="C4773" s="198"/>
      <c r="D4773" s="198"/>
      <c r="E4773" s="537"/>
      <c r="G4773" s="198"/>
      <c r="H4773" s="123"/>
    </row>
    <row r="4774" spans="3:8" s="99" customFormat="1" x14ac:dyDescent="0.2">
      <c r="C4774" s="198"/>
      <c r="D4774" s="198"/>
      <c r="E4774" s="537"/>
      <c r="G4774" s="198"/>
      <c r="H4774" s="123"/>
    </row>
    <row r="4775" spans="3:8" s="99" customFormat="1" x14ac:dyDescent="0.2">
      <c r="C4775" s="198"/>
      <c r="D4775" s="198"/>
      <c r="E4775" s="537"/>
      <c r="G4775" s="198"/>
      <c r="H4775" s="123"/>
    </row>
    <row r="4776" spans="3:8" s="99" customFormat="1" x14ac:dyDescent="0.2">
      <c r="C4776" s="198"/>
      <c r="D4776" s="198"/>
      <c r="E4776" s="537"/>
      <c r="G4776" s="198"/>
      <c r="H4776" s="123"/>
    </row>
    <row r="4777" spans="3:8" s="99" customFormat="1" x14ac:dyDescent="0.2">
      <c r="C4777" s="198"/>
      <c r="D4777" s="198"/>
      <c r="E4777" s="537"/>
      <c r="G4777" s="198"/>
      <c r="H4777" s="123"/>
    </row>
    <row r="4778" spans="3:8" s="99" customFormat="1" x14ac:dyDescent="0.2">
      <c r="C4778" s="198"/>
      <c r="D4778" s="198"/>
      <c r="E4778" s="537"/>
      <c r="G4778" s="198"/>
      <c r="H4778" s="123"/>
    </row>
    <row r="4779" spans="3:8" s="99" customFormat="1" x14ac:dyDescent="0.2">
      <c r="C4779" s="198"/>
      <c r="D4779" s="198"/>
      <c r="E4779" s="537"/>
      <c r="G4779" s="198"/>
      <c r="H4779" s="123"/>
    </row>
    <row r="4780" spans="3:8" s="99" customFormat="1" x14ac:dyDescent="0.2">
      <c r="C4780" s="198"/>
      <c r="D4780" s="198"/>
      <c r="E4780" s="537"/>
      <c r="G4780" s="198"/>
      <c r="H4780" s="123"/>
    </row>
    <row r="4781" spans="3:8" s="99" customFormat="1" x14ac:dyDescent="0.2">
      <c r="C4781" s="198"/>
      <c r="D4781" s="198"/>
      <c r="E4781" s="537"/>
      <c r="G4781" s="198"/>
      <c r="H4781" s="123"/>
    </row>
    <row r="4782" spans="3:8" s="99" customFormat="1" x14ac:dyDescent="0.2">
      <c r="C4782" s="198"/>
      <c r="D4782" s="198"/>
      <c r="E4782" s="537"/>
      <c r="G4782" s="198"/>
      <c r="H4782" s="123"/>
    </row>
    <row r="4783" spans="3:8" s="99" customFormat="1" x14ac:dyDescent="0.2">
      <c r="C4783" s="198"/>
      <c r="D4783" s="198"/>
      <c r="E4783" s="537"/>
      <c r="G4783" s="198"/>
      <c r="H4783" s="123"/>
    </row>
    <row r="4784" spans="3:8" s="99" customFormat="1" x14ac:dyDescent="0.2">
      <c r="C4784" s="198"/>
      <c r="D4784" s="198"/>
      <c r="E4784" s="537"/>
      <c r="G4784" s="198"/>
      <c r="H4784" s="123"/>
    </row>
    <row r="4785" spans="3:8" s="99" customFormat="1" x14ac:dyDescent="0.2">
      <c r="C4785" s="198"/>
      <c r="D4785" s="198"/>
      <c r="E4785" s="537"/>
      <c r="G4785" s="198"/>
      <c r="H4785" s="123"/>
    </row>
    <row r="4786" spans="3:8" s="99" customFormat="1" x14ac:dyDescent="0.2">
      <c r="C4786" s="198"/>
      <c r="D4786" s="198"/>
      <c r="E4786" s="537"/>
      <c r="G4786" s="198"/>
      <c r="H4786" s="123"/>
    </row>
    <row r="4787" spans="3:8" s="99" customFormat="1" x14ac:dyDescent="0.2">
      <c r="C4787" s="198"/>
      <c r="D4787" s="198"/>
      <c r="E4787" s="537"/>
      <c r="G4787" s="198"/>
      <c r="H4787" s="123"/>
    </row>
    <row r="4788" spans="3:8" s="99" customFormat="1" x14ac:dyDescent="0.2">
      <c r="C4788" s="198"/>
      <c r="D4788" s="198"/>
      <c r="E4788" s="537"/>
      <c r="G4788" s="198"/>
      <c r="H4788" s="123"/>
    </row>
    <row r="4789" spans="3:8" s="99" customFormat="1" x14ac:dyDescent="0.2">
      <c r="C4789" s="198"/>
      <c r="D4789" s="198"/>
      <c r="E4789" s="537"/>
      <c r="G4789" s="198"/>
      <c r="H4789" s="123"/>
    </row>
    <row r="4790" spans="3:8" s="99" customFormat="1" x14ac:dyDescent="0.2">
      <c r="C4790" s="198"/>
      <c r="D4790" s="198"/>
      <c r="E4790" s="537"/>
      <c r="G4790" s="198"/>
      <c r="H4790" s="123"/>
    </row>
    <row r="4791" spans="3:8" s="99" customFormat="1" x14ac:dyDescent="0.2">
      <c r="C4791" s="198"/>
      <c r="D4791" s="198"/>
      <c r="E4791" s="537"/>
      <c r="G4791" s="198"/>
      <c r="H4791" s="123"/>
    </row>
    <row r="4792" spans="3:8" s="99" customFormat="1" x14ac:dyDescent="0.2">
      <c r="C4792" s="198"/>
      <c r="D4792" s="198"/>
      <c r="E4792" s="537"/>
      <c r="G4792" s="198"/>
      <c r="H4792" s="123"/>
    </row>
    <row r="4793" spans="3:8" s="99" customFormat="1" x14ac:dyDescent="0.2">
      <c r="C4793" s="198"/>
      <c r="D4793" s="198"/>
      <c r="E4793" s="537"/>
      <c r="G4793" s="198"/>
      <c r="H4793" s="123"/>
    </row>
    <row r="4794" spans="3:8" s="99" customFormat="1" x14ac:dyDescent="0.2">
      <c r="C4794" s="198"/>
      <c r="D4794" s="198"/>
      <c r="E4794" s="537"/>
      <c r="G4794" s="198"/>
      <c r="H4794" s="123"/>
    </row>
    <row r="4795" spans="3:8" s="99" customFormat="1" x14ac:dyDescent="0.2">
      <c r="C4795" s="198"/>
      <c r="D4795" s="198"/>
      <c r="E4795" s="537"/>
      <c r="G4795" s="198"/>
      <c r="H4795" s="123"/>
    </row>
    <row r="4796" spans="3:8" s="99" customFormat="1" x14ac:dyDescent="0.2">
      <c r="C4796" s="198"/>
      <c r="D4796" s="198"/>
      <c r="E4796" s="537"/>
      <c r="G4796" s="198"/>
      <c r="H4796" s="123"/>
    </row>
    <row r="4797" spans="3:8" s="99" customFormat="1" x14ac:dyDescent="0.2">
      <c r="C4797" s="198"/>
      <c r="D4797" s="198"/>
      <c r="E4797" s="537"/>
      <c r="G4797" s="198"/>
      <c r="H4797" s="123"/>
    </row>
    <row r="4798" spans="3:8" s="99" customFormat="1" x14ac:dyDescent="0.2">
      <c r="C4798" s="198"/>
      <c r="D4798" s="198"/>
      <c r="E4798" s="537"/>
      <c r="G4798" s="198"/>
      <c r="H4798" s="123"/>
    </row>
    <row r="4799" spans="3:8" s="99" customFormat="1" x14ac:dyDescent="0.2">
      <c r="C4799" s="198"/>
      <c r="D4799" s="198"/>
      <c r="E4799" s="537"/>
      <c r="G4799" s="198"/>
      <c r="H4799" s="123"/>
    </row>
    <row r="4800" spans="3:8" s="99" customFormat="1" x14ac:dyDescent="0.2">
      <c r="C4800" s="198"/>
      <c r="D4800" s="198"/>
      <c r="E4800" s="537"/>
      <c r="G4800" s="198"/>
      <c r="H4800" s="123"/>
    </row>
    <row r="4801" spans="3:8" s="99" customFormat="1" x14ac:dyDescent="0.2">
      <c r="C4801" s="198"/>
      <c r="D4801" s="198"/>
      <c r="E4801" s="537"/>
      <c r="G4801" s="198"/>
      <c r="H4801" s="123"/>
    </row>
    <row r="4802" spans="3:8" s="99" customFormat="1" x14ac:dyDescent="0.2">
      <c r="C4802" s="198"/>
      <c r="D4802" s="198"/>
      <c r="E4802" s="537"/>
      <c r="G4802" s="198"/>
      <c r="H4802" s="123"/>
    </row>
    <row r="4803" spans="3:8" s="99" customFormat="1" x14ac:dyDescent="0.2">
      <c r="C4803" s="198"/>
      <c r="D4803" s="198"/>
      <c r="E4803" s="537"/>
      <c r="G4803" s="198"/>
      <c r="H4803" s="123"/>
    </row>
    <row r="4804" spans="3:8" s="99" customFormat="1" x14ac:dyDescent="0.2">
      <c r="C4804" s="198"/>
      <c r="D4804" s="198"/>
      <c r="E4804" s="537"/>
      <c r="G4804" s="198"/>
      <c r="H4804" s="123"/>
    </row>
    <row r="4805" spans="3:8" s="99" customFormat="1" x14ac:dyDescent="0.2">
      <c r="C4805" s="198"/>
      <c r="D4805" s="198"/>
      <c r="E4805" s="537"/>
      <c r="G4805" s="198"/>
      <c r="H4805" s="123"/>
    </row>
    <row r="4806" spans="3:8" s="99" customFormat="1" x14ac:dyDescent="0.2">
      <c r="C4806" s="198"/>
      <c r="D4806" s="198"/>
      <c r="E4806" s="537"/>
      <c r="G4806" s="198"/>
      <c r="H4806" s="123"/>
    </row>
    <row r="4807" spans="3:8" s="99" customFormat="1" x14ac:dyDescent="0.2">
      <c r="C4807" s="198"/>
      <c r="D4807" s="198"/>
      <c r="E4807" s="537"/>
      <c r="G4807" s="198"/>
      <c r="H4807" s="123"/>
    </row>
    <row r="4808" spans="3:8" s="99" customFormat="1" x14ac:dyDescent="0.2">
      <c r="C4808" s="198"/>
      <c r="D4808" s="198"/>
      <c r="E4808" s="537"/>
      <c r="G4808" s="198"/>
      <c r="H4808" s="123"/>
    </row>
    <row r="4809" spans="3:8" s="99" customFormat="1" x14ac:dyDescent="0.2">
      <c r="C4809" s="198"/>
      <c r="D4809" s="198"/>
      <c r="E4809" s="537"/>
      <c r="G4809" s="198"/>
      <c r="H4809" s="123"/>
    </row>
    <row r="4810" spans="3:8" s="99" customFormat="1" x14ac:dyDescent="0.2">
      <c r="C4810" s="198"/>
      <c r="D4810" s="198"/>
      <c r="E4810" s="537"/>
      <c r="G4810" s="198"/>
      <c r="H4810" s="123"/>
    </row>
    <row r="4811" spans="3:8" s="99" customFormat="1" x14ac:dyDescent="0.2">
      <c r="C4811" s="198"/>
      <c r="D4811" s="198"/>
      <c r="E4811" s="537"/>
      <c r="G4811" s="198"/>
      <c r="H4811" s="123"/>
    </row>
    <row r="4812" spans="3:8" s="99" customFormat="1" x14ac:dyDescent="0.2">
      <c r="C4812" s="198"/>
      <c r="D4812" s="198"/>
      <c r="E4812" s="537"/>
      <c r="G4812" s="198"/>
      <c r="H4812" s="123"/>
    </row>
    <row r="4813" spans="3:8" s="99" customFormat="1" x14ac:dyDescent="0.2">
      <c r="C4813" s="198"/>
      <c r="D4813" s="198"/>
      <c r="E4813" s="537"/>
      <c r="G4813" s="198"/>
      <c r="H4813" s="123"/>
    </row>
    <row r="4814" spans="3:8" s="99" customFormat="1" x14ac:dyDescent="0.2">
      <c r="C4814" s="198"/>
      <c r="D4814" s="198"/>
      <c r="E4814" s="537"/>
      <c r="G4814" s="198"/>
      <c r="H4814" s="123"/>
    </row>
    <row r="4815" spans="3:8" s="99" customFormat="1" x14ac:dyDescent="0.2">
      <c r="C4815" s="198"/>
      <c r="D4815" s="198"/>
      <c r="E4815" s="537"/>
      <c r="G4815" s="198"/>
      <c r="H4815" s="123"/>
    </row>
    <row r="4816" spans="3:8" s="99" customFormat="1" x14ac:dyDescent="0.2">
      <c r="C4816" s="198"/>
      <c r="D4816" s="198"/>
      <c r="E4816" s="537"/>
      <c r="G4816" s="198"/>
      <c r="H4816" s="123"/>
    </row>
    <row r="4817" spans="3:8" s="99" customFormat="1" x14ac:dyDescent="0.2">
      <c r="C4817" s="198"/>
      <c r="D4817" s="198"/>
      <c r="E4817" s="537"/>
      <c r="G4817" s="198"/>
      <c r="H4817" s="123"/>
    </row>
    <row r="4818" spans="3:8" s="99" customFormat="1" x14ac:dyDescent="0.2">
      <c r="C4818" s="198"/>
      <c r="D4818" s="198"/>
      <c r="E4818" s="537"/>
      <c r="G4818" s="198"/>
      <c r="H4818" s="123"/>
    </row>
    <row r="4819" spans="3:8" s="99" customFormat="1" x14ac:dyDescent="0.2">
      <c r="C4819" s="198"/>
      <c r="D4819" s="198"/>
      <c r="E4819" s="537"/>
      <c r="G4819" s="198"/>
      <c r="H4819" s="123"/>
    </row>
    <row r="4820" spans="3:8" s="99" customFormat="1" x14ac:dyDescent="0.2">
      <c r="C4820" s="198"/>
      <c r="D4820" s="198"/>
      <c r="E4820" s="537"/>
      <c r="G4820" s="198"/>
      <c r="H4820" s="123"/>
    </row>
    <row r="4821" spans="3:8" s="99" customFormat="1" x14ac:dyDescent="0.2">
      <c r="C4821" s="198"/>
      <c r="D4821" s="198"/>
      <c r="E4821" s="537"/>
      <c r="G4821" s="198"/>
      <c r="H4821" s="123"/>
    </row>
    <row r="4822" spans="3:8" s="99" customFormat="1" x14ac:dyDescent="0.2">
      <c r="C4822" s="198"/>
      <c r="D4822" s="198"/>
      <c r="E4822" s="537"/>
      <c r="G4822" s="198"/>
      <c r="H4822" s="123"/>
    </row>
    <row r="4823" spans="3:8" s="99" customFormat="1" x14ac:dyDescent="0.2">
      <c r="C4823" s="198"/>
      <c r="D4823" s="198"/>
      <c r="E4823" s="537"/>
      <c r="G4823" s="198"/>
      <c r="H4823" s="123"/>
    </row>
    <row r="4824" spans="3:8" s="99" customFormat="1" x14ac:dyDescent="0.2">
      <c r="C4824" s="198"/>
      <c r="D4824" s="198"/>
      <c r="E4824" s="537"/>
      <c r="G4824" s="198"/>
      <c r="H4824" s="123"/>
    </row>
    <row r="4825" spans="3:8" s="99" customFormat="1" x14ac:dyDescent="0.2">
      <c r="C4825" s="198"/>
      <c r="D4825" s="198"/>
      <c r="E4825" s="537"/>
      <c r="G4825" s="198"/>
      <c r="H4825" s="123"/>
    </row>
    <row r="4826" spans="3:8" s="99" customFormat="1" x14ac:dyDescent="0.2">
      <c r="C4826" s="198"/>
      <c r="D4826" s="198"/>
      <c r="E4826" s="537"/>
      <c r="G4826" s="198"/>
      <c r="H4826" s="123"/>
    </row>
    <row r="4827" spans="3:8" s="99" customFormat="1" x14ac:dyDescent="0.2">
      <c r="C4827" s="198"/>
      <c r="D4827" s="198"/>
      <c r="E4827" s="537"/>
      <c r="G4827" s="198"/>
      <c r="H4827" s="123"/>
    </row>
    <row r="4828" spans="3:8" s="99" customFormat="1" x14ac:dyDescent="0.2">
      <c r="C4828" s="198"/>
      <c r="D4828" s="198"/>
      <c r="E4828" s="537"/>
      <c r="G4828" s="198"/>
      <c r="H4828" s="123"/>
    </row>
    <row r="4829" spans="3:8" s="99" customFormat="1" x14ac:dyDescent="0.2">
      <c r="C4829" s="198"/>
      <c r="D4829" s="198"/>
      <c r="E4829" s="537"/>
      <c r="G4829" s="198"/>
      <c r="H4829" s="123"/>
    </row>
    <row r="4830" spans="3:8" s="99" customFormat="1" x14ac:dyDescent="0.2">
      <c r="C4830" s="198"/>
      <c r="D4830" s="198"/>
      <c r="E4830" s="537"/>
      <c r="G4830" s="198"/>
      <c r="H4830" s="123"/>
    </row>
    <row r="4831" spans="3:8" s="99" customFormat="1" x14ac:dyDescent="0.2">
      <c r="C4831" s="198"/>
      <c r="D4831" s="198"/>
      <c r="E4831" s="537"/>
      <c r="G4831" s="198"/>
      <c r="H4831" s="123"/>
    </row>
    <row r="4832" spans="3:8" s="99" customFormat="1" x14ac:dyDescent="0.2">
      <c r="C4832" s="198"/>
      <c r="D4832" s="198"/>
      <c r="E4832" s="537"/>
      <c r="G4832" s="198"/>
      <c r="H4832" s="123"/>
    </row>
    <row r="4833" spans="3:8" s="99" customFormat="1" x14ac:dyDescent="0.2">
      <c r="C4833" s="198"/>
      <c r="D4833" s="198"/>
      <c r="E4833" s="537"/>
      <c r="G4833" s="198"/>
      <c r="H4833" s="123"/>
    </row>
    <row r="4834" spans="3:8" s="99" customFormat="1" x14ac:dyDescent="0.2">
      <c r="C4834" s="198"/>
      <c r="D4834" s="198"/>
      <c r="E4834" s="537"/>
      <c r="G4834" s="198"/>
      <c r="H4834" s="123"/>
    </row>
    <row r="4835" spans="3:8" s="99" customFormat="1" x14ac:dyDescent="0.2">
      <c r="C4835" s="198"/>
      <c r="D4835" s="198"/>
      <c r="E4835" s="537"/>
      <c r="G4835" s="198"/>
      <c r="H4835" s="123"/>
    </row>
    <row r="4836" spans="3:8" s="99" customFormat="1" x14ac:dyDescent="0.2">
      <c r="C4836" s="198"/>
      <c r="D4836" s="198"/>
      <c r="E4836" s="537"/>
      <c r="G4836" s="198"/>
      <c r="H4836" s="123"/>
    </row>
    <row r="4837" spans="3:8" s="99" customFormat="1" x14ac:dyDescent="0.2">
      <c r="C4837" s="198"/>
      <c r="D4837" s="198"/>
      <c r="E4837" s="537"/>
      <c r="G4837" s="198"/>
      <c r="H4837" s="123"/>
    </row>
    <row r="4838" spans="3:8" s="99" customFormat="1" x14ac:dyDescent="0.2">
      <c r="C4838" s="198"/>
      <c r="D4838" s="198"/>
      <c r="E4838" s="537"/>
      <c r="G4838" s="198"/>
      <c r="H4838" s="123"/>
    </row>
    <row r="4839" spans="3:8" s="99" customFormat="1" x14ac:dyDescent="0.2">
      <c r="C4839" s="198"/>
      <c r="D4839" s="198"/>
      <c r="E4839" s="537"/>
      <c r="G4839" s="198"/>
      <c r="H4839" s="123"/>
    </row>
    <row r="4840" spans="3:8" s="99" customFormat="1" x14ac:dyDescent="0.2">
      <c r="C4840" s="198"/>
      <c r="D4840" s="198"/>
      <c r="E4840" s="537"/>
      <c r="G4840" s="198"/>
      <c r="H4840" s="123"/>
    </row>
    <row r="4841" spans="3:8" s="99" customFormat="1" x14ac:dyDescent="0.2">
      <c r="C4841" s="198"/>
      <c r="D4841" s="198"/>
      <c r="E4841" s="537"/>
      <c r="G4841" s="198"/>
      <c r="H4841" s="123"/>
    </row>
    <row r="4842" spans="3:8" s="99" customFormat="1" x14ac:dyDescent="0.2">
      <c r="C4842" s="198"/>
      <c r="D4842" s="198"/>
      <c r="E4842" s="537"/>
      <c r="G4842" s="198"/>
      <c r="H4842" s="123"/>
    </row>
    <row r="4843" spans="3:8" s="99" customFormat="1" x14ac:dyDescent="0.2">
      <c r="C4843" s="198"/>
      <c r="D4843" s="198"/>
      <c r="E4843" s="537"/>
      <c r="G4843" s="198"/>
      <c r="H4843" s="123"/>
    </row>
    <row r="4844" spans="3:8" s="99" customFormat="1" x14ac:dyDescent="0.2">
      <c r="C4844" s="198"/>
      <c r="D4844" s="198"/>
      <c r="E4844" s="537"/>
      <c r="G4844" s="198"/>
      <c r="H4844" s="123"/>
    </row>
    <row r="4845" spans="3:8" s="99" customFormat="1" x14ac:dyDescent="0.2">
      <c r="C4845" s="198"/>
      <c r="D4845" s="198"/>
      <c r="E4845" s="537"/>
      <c r="G4845" s="198"/>
      <c r="H4845" s="123"/>
    </row>
    <row r="4846" spans="3:8" s="99" customFormat="1" x14ac:dyDescent="0.2">
      <c r="C4846" s="198"/>
      <c r="D4846" s="198"/>
      <c r="E4846" s="537"/>
      <c r="G4846" s="198"/>
      <c r="H4846" s="123"/>
    </row>
    <row r="4847" spans="3:8" s="99" customFormat="1" x14ac:dyDescent="0.2">
      <c r="C4847" s="198"/>
      <c r="D4847" s="198"/>
      <c r="E4847" s="537"/>
      <c r="G4847" s="198"/>
      <c r="H4847" s="123"/>
    </row>
    <row r="4848" spans="3:8" s="99" customFormat="1" x14ac:dyDescent="0.2">
      <c r="C4848" s="198"/>
      <c r="D4848" s="198"/>
      <c r="E4848" s="537"/>
      <c r="G4848" s="198"/>
      <c r="H4848" s="123"/>
    </row>
    <row r="4849" spans="3:8" s="99" customFormat="1" x14ac:dyDescent="0.2">
      <c r="C4849" s="198"/>
      <c r="D4849" s="198"/>
      <c r="E4849" s="537"/>
      <c r="G4849" s="198"/>
      <c r="H4849" s="123"/>
    </row>
    <row r="4850" spans="3:8" s="99" customFormat="1" x14ac:dyDescent="0.2">
      <c r="C4850" s="198"/>
      <c r="D4850" s="198"/>
      <c r="E4850" s="537"/>
      <c r="G4850" s="198"/>
      <c r="H4850" s="123"/>
    </row>
    <row r="4851" spans="3:8" s="99" customFormat="1" x14ac:dyDescent="0.2">
      <c r="C4851" s="198"/>
      <c r="D4851" s="198"/>
      <c r="E4851" s="537"/>
      <c r="G4851" s="198"/>
      <c r="H4851" s="123"/>
    </row>
    <row r="4852" spans="3:8" s="99" customFormat="1" x14ac:dyDescent="0.2">
      <c r="C4852" s="198"/>
      <c r="D4852" s="198"/>
      <c r="E4852" s="537"/>
      <c r="G4852" s="198"/>
      <c r="H4852" s="123"/>
    </row>
    <row r="4853" spans="3:8" s="99" customFormat="1" x14ac:dyDescent="0.2">
      <c r="C4853" s="198"/>
      <c r="D4853" s="198"/>
      <c r="E4853" s="537"/>
      <c r="G4853" s="198"/>
      <c r="H4853" s="123"/>
    </row>
    <row r="4854" spans="3:8" s="99" customFormat="1" x14ac:dyDescent="0.2">
      <c r="C4854" s="198"/>
      <c r="D4854" s="198"/>
      <c r="E4854" s="537"/>
      <c r="G4854" s="198"/>
      <c r="H4854" s="123"/>
    </row>
    <row r="4855" spans="3:8" s="99" customFormat="1" x14ac:dyDescent="0.2">
      <c r="C4855" s="198"/>
      <c r="D4855" s="198"/>
      <c r="E4855" s="537"/>
      <c r="G4855" s="198"/>
      <c r="H4855" s="123"/>
    </row>
    <row r="4856" spans="3:8" s="99" customFormat="1" x14ac:dyDescent="0.2">
      <c r="C4856" s="198"/>
      <c r="D4856" s="198"/>
      <c r="E4856" s="537"/>
      <c r="G4856" s="198"/>
      <c r="H4856" s="123"/>
    </row>
    <row r="4857" spans="3:8" s="99" customFormat="1" x14ac:dyDescent="0.2">
      <c r="C4857" s="198"/>
      <c r="D4857" s="198"/>
      <c r="E4857" s="537"/>
      <c r="G4857" s="198"/>
      <c r="H4857" s="123"/>
    </row>
    <row r="4858" spans="3:8" s="99" customFormat="1" x14ac:dyDescent="0.2">
      <c r="C4858" s="198"/>
      <c r="D4858" s="198"/>
      <c r="E4858" s="537"/>
      <c r="G4858" s="198"/>
      <c r="H4858" s="123"/>
    </row>
    <row r="4859" spans="3:8" s="99" customFormat="1" x14ac:dyDescent="0.2">
      <c r="C4859" s="198"/>
      <c r="D4859" s="198"/>
      <c r="E4859" s="537"/>
      <c r="G4859" s="198"/>
      <c r="H4859" s="123"/>
    </row>
    <row r="4860" spans="3:8" s="99" customFormat="1" x14ac:dyDescent="0.2">
      <c r="C4860" s="198"/>
      <c r="D4860" s="198"/>
      <c r="E4860" s="537"/>
      <c r="G4860" s="198"/>
      <c r="H4860" s="123"/>
    </row>
    <row r="4861" spans="3:8" s="99" customFormat="1" x14ac:dyDescent="0.2">
      <c r="C4861" s="198"/>
      <c r="D4861" s="198"/>
      <c r="E4861" s="537"/>
      <c r="G4861" s="198"/>
      <c r="H4861" s="123"/>
    </row>
    <row r="4862" spans="3:8" s="99" customFormat="1" x14ac:dyDescent="0.2">
      <c r="C4862" s="198"/>
      <c r="D4862" s="198"/>
      <c r="E4862" s="537"/>
      <c r="G4862" s="198"/>
      <c r="H4862" s="123"/>
    </row>
    <row r="4863" spans="3:8" s="99" customFormat="1" x14ac:dyDescent="0.2">
      <c r="C4863" s="198"/>
      <c r="D4863" s="198"/>
      <c r="E4863" s="537"/>
      <c r="G4863" s="198"/>
      <c r="H4863" s="123"/>
    </row>
    <row r="4864" spans="3:8" s="99" customFormat="1" x14ac:dyDescent="0.2">
      <c r="C4864" s="198"/>
      <c r="D4864" s="198"/>
      <c r="E4864" s="537"/>
      <c r="G4864" s="198"/>
      <c r="H4864" s="123"/>
    </row>
    <row r="4865" spans="3:8" s="99" customFormat="1" x14ac:dyDescent="0.2">
      <c r="C4865" s="198"/>
      <c r="D4865" s="198"/>
      <c r="E4865" s="537"/>
      <c r="G4865" s="198"/>
      <c r="H4865" s="123"/>
    </row>
    <row r="4866" spans="3:8" s="99" customFormat="1" x14ac:dyDescent="0.2">
      <c r="C4866" s="198"/>
      <c r="D4866" s="198"/>
      <c r="E4866" s="537"/>
      <c r="G4866" s="198"/>
      <c r="H4866" s="123"/>
    </row>
    <row r="4867" spans="3:8" s="99" customFormat="1" x14ac:dyDescent="0.2">
      <c r="C4867" s="198"/>
      <c r="D4867" s="198"/>
      <c r="E4867" s="537"/>
      <c r="G4867" s="198"/>
      <c r="H4867" s="123"/>
    </row>
    <row r="4868" spans="3:8" s="99" customFormat="1" x14ac:dyDescent="0.2">
      <c r="C4868" s="198"/>
      <c r="D4868" s="198"/>
      <c r="E4868" s="537"/>
      <c r="G4868" s="198"/>
      <c r="H4868" s="123"/>
    </row>
    <row r="4869" spans="3:8" s="99" customFormat="1" x14ac:dyDescent="0.2">
      <c r="C4869" s="198"/>
      <c r="D4869" s="198"/>
      <c r="E4869" s="537"/>
      <c r="G4869" s="198"/>
      <c r="H4869" s="123"/>
    </row>
    <row r="4870" spans="3:8" s="99" customFormat="1" x14ac:dyDescent="0.2">
      <c r="C4870" s="198"/>
      <c r="D4870" s="198"/>
      <c r="E4870" s="537"/>
      <c r="G4870" s="198"/>
      <c r="H4870" s="123"/>
    </row>
    <row r="4871" spans="3:8" s="99" customFormat="1" x14ac:dyDescent="0.2">
      <c r="C4871" s="198"/>
      <c r="D4871" s="198"/>
      <c r="E4871" s="537"/>
      <c r="G4871" s="198"/>
      <c r="H4871" s="123"/>
    </row>
    <row r="4872" spans="3:8" s="99" customFormat="1" x14ac:dyDescent="0.2">
      <c r="C4872" s="198"/>
      <c r="D4872" s="198"/>
      <c r="E4872" s="537"/>
      <c r="G4872" s="198"/>
      <c r="H4872" s="123"/>
    </row>
    <row r="4873" spans="3:8" s="99" customFormat="1" x14ac:dyDescent="0.2">
      <c r="C4873" s="198"/>
      <c r="D4873" s="198"/>
      <c r="E4873" s="537"/>
      <c r="G4873" s="198"/>
      <c r="H4873" s="123"/>
    </row>
    <row r="4874" spans="3:8" s="99" customFormat="1" x14ac:dyDescent="0.2">
      <c r="C4874" s="198"/>
      <c r="D4874" s="198"/>
      <c r="E4874" s="537"/>
      <c r="G4874" s="198"/>
      <c r="H4874" s="123"/>
    </row>
    <row r="4875" spans="3:8" s="99" customFormat="1" x14ac:dyDescent="0.2">
      <c r="C4875" s="198"/>
      <c r="D4875" s="198"/>
      <c r="E4875" s="537"/>
      <c r="G4875" s="198"/>
      <c r="H4875" s="123"/>
    </row>
    <row r="4876" spans="3:8" s="99" customFormat="1" x14ac:dyDescent="0.2">
      <c r="C4876" s="198"/>
      <c r="D4876" s="198"/>
      <c r="E4876" s="537"/>
      <c r="G4876" s="198"/>
      <c r="H4876" s="123"/>
    </row>
    <row r="4877" spans="3:8" s="99" customFormat="1" x14ac:dyDescent="0.2">
      <c r="C4877" s="198"/>
      <c r="D4877" s="198"/>
      <c r="E4877" s="537"/>
      <c r="G4877" s="198"/>
      <c r="H4877" s="123"/>
    </row>
    <row r="4878" spans="3:8" s="99" customFormat="1" x14ac:dyDescent="0.2">
      <c r="C4878" s="198"/>
      <c r="D4878" s="198"/>
      <c r="E4878" s="537"/>
      <c r="G4878" s="198"/>
      <c r="H4878" s="123"/>
    </row>
    <row r="4879" spans="3:8" s="99" customFormat="1" x14ac:dyDescent="0.2">
      <c r="C4879" s="198"/>
      <c r="D4879" s="198"/>
      <c r="E4879" s="537"/>
      <c r="G4879" s="198"/>
      <c r="H4879" s="123"/>
    </row>
    <row r="4880" spans="3:8" s="99" customFormat="1" x14ac:dyDescent="0.2">
      <c r="C4880" s="198"/>
      <c r="D4880" s="198"/>
      <c r="E4880" s="537"/>
      <c r="G4880" s="198"/>
      <c r="H4880" s="123"/>
    </row>
    <row r="4881" spans="3:8" s="99" customFormat="1" x14ac:dyDescent="0.2">
      <c r="C4881" s="198"/>
      <c r="D4881" s="198"/>
      <c r="E4881" s="537"/>
      <c r="G4881" s="198"/>
      <c r="H4881" s="123"/>
    </row>
    <row r="4882" spans="3:8" s="99" customFormat="1" x14ac:dyDescent="0.2">
      <c r="C4882" s="198"/>
      <c r="D4882" s="198"/>
      <c r="E4882" s="537"/>
      <c r="G4882" s="198"/>
      <c r="H4882" s="123"/>
    </row>
    <row r="4883" spans="3:8" s="99" customFormat="1" x14ac:dyDescent="0.2">
      <c r="C4883" s="198"/>
      <c r="D4883" s="198"/>
      <c r="E4883" s="537"/>
      <c r="G4883" s="198"/>
      <c r="H4883" s="123"/>
    </row>
    <row r="4884" spans="3:8" s="99" customFormat="1" x14ac:dyDescent="0.2">
      <c r="C4884" s="198"/>
      <c r="D4884" s="198"/>
      <c r="E4884" s="537"/>
      <c r="G4884" s="198"/>
      <c r="H4884" s="123"/>
    </row>
    <row r="4885" spans="3:8" s="99" customFormat="1" x14ac:dyDescent="0.2">
      <c r="C4885" s="198"/>
      <c r="D4885" s="198"/>
      <c r="E4885" s="537"/>
      <c r="G4885" s="198"/>
      <c r="H4885" s="123"/>
    </row>
    <row r="4886" spans="3:8" s="99" customFormat="1" x14ac:dyDescent="0.2">
      <c r="C4886" s="198"/>
      <c r="D4886" s="198"/>
      <c r="E4886" s="537"/>
      <c r="G4886" s="198"/>
      <c r="H4886" s="123"/>
    </row>
    <row r="4887" spans="3:8" s="99" customFormat="1" x14ac:dyDescent="0.2">
      <c r="C4887" s="198"/>
      <c r="D4887" s="198"/>
      <c r="E4887" s="537"/>
      <c r="G4887" s="198"/>
      <c r="H4887" s="123"/>
    </row>
    <row r="4888" spans="3:8" s="99" customFormat="1" x14ac:dyDescent="0.2">
      <c r="C4888" s="198"/>
      <c r="D4888" s="198"/>
      <c r="E4888" s="537"/>
      <c r="G4888" s="198"/>
      <c r="H4888" s="123"/>
    </row>
    <row r="4889" spans="3:8" s="99" customFormat="1" x14ac:dyDescent="0.2">
      <c r="C4889" s="198"/>
      <c r="D4889" s="198"/>
      <c r="E4889" s="537"/>
      <c r="G4889" s="198"/>
      <c r="H4889" s="123"/>
    </row>
    <row r="4890" spans="3:8" s="99" customFormat="1" x14ac:dyDescent="0.2">
      <c r="C4890" s="198"/>
      <c r="D4890" s="198"/>
      <c r="E4890" s="537"/>
      <c r="G4890" s="198"/>
      <c r="H4890" s="123"/>
    </row>
    <row r="4891" spans="3:8" s="99" customFormat="1" x14ac:dyDescent="0.2">
      <c r="C4891" s="198"/>
      <c r="D4891" s="198"/>
      <c r="E4891" s="537"/>
      <c r="G4891" s="198"/>
      <c r="H4891" s="123"/>
    </row>
    <row r="4892" spans="3:8" s="99" customFormat="1" x14ac:dyDescent="0.2">
      <c r="C4892" s="198"/>
      <c r="D4892" s="198"/>
      <c r="E4892" s="537"/>
      <c r="G4892" s="198"/>
      <c r="H4892" s="123"/>
    </row>
    <row r="4893" spans="3:8" s="99" customFormat="1" x14ac:dyDescent="0.2">
      <c r="C4893" s="198"/>
      <c r="D4893" s="198"/>
      <c r="E4893" s="537"/>
      <c r="G4893" s="198"/>
      <c r="H4893" s="123"/>
    </row>
    <row r="4894" spans="3:8" s="99" customFormat="1" x14ac:dyDescent="0.2">
      <c r="C4894" s="198"/>
      <c r="D4894" s="198"/>
      <c r="E4894" s="537"/>
      <c r="G4894" s="198"/>
      <c r="H4894" s="123"/>
    </row>
    <row r="4895" spans="3:8" s="99" customFormat="1" x14ac:dyDescent="0.2">
      <c r="C4895" s="198"/>
      <c r="D4895" s="198"/>
      <c r="E4895" s="537"/>
      <c r="G4895" s="198"/>
      <c r="H4895" s="123"/>
    </row>
    <row r="4896" spans="3:8" s="99" customFormat="1" x14ac:dyDescent="0.2">
      <c r="C4896" s="198"/>
      <c r="D4896" s="198"/>
      <c r="E4896" s="537"/>
      <c r="G4896" s="198"/>
      <c r="H4896" s="123"/>
    </row>
    <row r="4897" spans="3:8" s="99" customFormat="1" x14ac:dyDescent="0.2">
      <c r="C4897" s="198"/>
      <c r="D4897" s="198"/>
      <c r="E4897" s="537"/>
      <c r="G4897" s="198"/>
      <c r="H4897" s="123"/>
    </row>
    <row r="4898" spans="3:8" s="99" customFormat="1" x14ac:dyDescent="0.2">
      <c r="C4898" s="198"/>
      <c r="D4898" s="198"/>
      <c r="E4898" s="537"/>
      <c r="G4898" s="198"/>
      <c r="H4898" s="123"/>
    </row>
    <row r="4899" spans="3:8" s="99" customFormat="1" x14ac:dyDescent="0.2">
      <c r="C4899" s="198"/>
      <c r="D4899" s="198"/>
      <c r="E4899" s="537"/>
      <c r="G4899" s="198"/>
      <c r="H4899" s="123"/>
    </row>
    <row r="4900" spans="3:8" s="99" customFormat="1" x14ac:dyDescent="0.2">
      <c r="C4900" s="198"/>
      <c r="D4900" s="198"/>
      <c r="E4900" s="537"/>
      <c r="G4900" s="198"/>
      <c r="H4900" s="123"/>
    </row>
    <row r="4901" spans="3:8" s="99" customFormat="1" x14ac:dyDescent="0.2">
      <c r="C4901" s="198"/>
      <c r="D4901" s="198"/>
      <c r="E4901" s="537"/>
      <c r="G4901" s="198"/>
      <c r="H4901" s="123"/>
    </row>
    <row r="4902" spans="3:8" s="99" customFormat="1" x14ac:dyDescent="0.2">
      <c r="C4902" s="198"/>
      <c r="D4902" s="198"/>
      <c r="E4902" s="537"/>
      <c r="G4902" s="198"/>
      <c r="H4902" s="123"/>
    </row>
    <row r="4903" spans="3:8" s="99" customFormat="1" x14ac:dyDescent="0.2">
      <c r="C4903" s="198"/>
      <c r="D4903" s="198"/>
      <c r="E4903" s="537"/>
      <c r="G4903" s="198"/>
      <c r="H4903" s="123"/>
    </row>
    <row r="4904" spans="3:8" s="99" customFormat="1" x14ac:dyDescent="0.2">
      <c r="C4904" s="198"/>
      <c r="D4904" s="198"/>
      <c r="E4904" s="537"/>
      <c r="G4904" s="198"/>
      <c r="H4904" s="123"/>
    </row>
    <row r="4905" spans="3:8" s="99" customFormat="1" x14ac:dyDescent="0.2">
      <c r="C4905" s="198"/>
      <c r="D4905" s="198"/>
      <c r="E4905" s="537"/>
      <c r="G4905" s="198"/>
      <c r="H4905" s="123"/>
    </row>
    <row r="4906" spans="3:8" s="99" customFormat="1" x14ac:dyDescent="0.2">
      <c r="C4906" s="198"/>
      <c r="D4906" s="198"/>
      <c r="E4906" s="537"/>
      <c r="G4906" s="198"/>
      <c r="H4906" s="123"/>
    </row>
    <row r="4907" spans="3:8" s="99" customFormat="1" x14ac:dyDescent="0.2">
      <c r="C4907" s="198"/>
      <c r="D4907" s="198"/>
      <c r="E4907" s="537"/>
      <c r="G4907" s="198"/>
      <c r="H4907" s="123"/>
    </row>
    <row r="4908" spans="3:8" s="99" customFormat="1" x14ac:dyDescent="0.2">
      <c r="C4908" s="198"/>
      <c r="D4908" s="198"/>
      <c r="E4908" s="537"/>
      <c r="G4908" s="198"/>
      <c r="H4908" s="123"/>
    </row>
    <row r="4909" spans="3:8" s="99" customFormat="1" x14ac:dyDescent="0.2">
      <c r="C4909" s="198"/>
      <c r="D4909" s="198"/>
      <c r="E4909" s="537"/>
      <c r="G4909" s="198"/>
      <c r="H4909" s="123"/>
    </row>
    <row r="4910" spans="3:8" s="99" customFormat="1" x14ac:dyDescent="0.2">
      <c r="C4910" s="198"/>
      <c r="D4910" s="198"/>
      <c r="E4910" s="537"/>
      <c r="G4910" s="198"/>
      <c r="H4910" s="123"/>
    </row>
    <row r="4911" spans="3:8" s="99" customFormat="1" x14ac:dyDescent="0.2">
      <c r="C4911" s="198"/>
      <c r="D4911" s="198"/>
      <c r="E4911" s="537"/>
      <c r="G4911" s="198"/>
      <c r="H4911" s="123"/>
    </row>
    <row r="4912" spans="3:8" s="99" customFormat="1" x14ac:dyDescent="0.2">
      <c r="C4912" s="198"/>
      <c r="D4912" s="198"/>
      <c r="E4912" s="537"/>
      <c r="G4912" s="198"/>
      <c r="H4912" s="123"/>
    </row>
    <row r="4913" spans="3:8" s="99" customFormat="1" x14ac:dyDescent="0.2">
      <c r="C4913" s="198"/>
      <c r="D4913" s="198"/>
      <c r="E4913" s="537"/>
      <c r="G4913" s="198"/>
      <c r="H4913" s="123"/>
    </row>
    <row r="4914" spans="3:8" s="99" customFormat="1" x14ac:dyDescent="0.2">
      <c r="C4914" s="198"/>
      <c r="D4914" s="198"/>
      <c r="E4914" s="537"/>
      <c r="G4914" s="198"/>
      <c r="H4914" s="123"/>
    </row>
    <row r="4915" spans="3:8" s="99" customFormat="1" x14ac:dyDescent="0.2">
      <c r="C4915" s="198"/>
      <c r="D4915" s="198"/>
      <c r="E4915" s="537"/>
      <c r="G4915" s="198"/>
      <c r="H4915" s="123"/>
    </row>
    <row r="4916" spans="3:8" s="99" customFormat="1" x14ac:dyDescent="0.2">
      <c r="C4916" s="198"/>
      <c r="D4916" s="198"/>
      <c r="E4916" s="537"/>
      <c r="G4916" s="198"/>
      <c r="H4916" s="123"/>
    </row>
    <row r="4917" spans="3:8" s="99" customFormat="1" x14ac:dyDescent="0.2">
      <c r="C4917" s="198"/>
      <c r="D4917" s="198"/>
      <c r="E4917" s="537"/>
      <c r="G4917" s="198"/>
      <c r="H4917" s="123"/>
    </row>
    <row r="4918" spans="3:8" s="99" customFormat="1" x14ac:dyDescent="0.2">
      <c r="C4918" s="198"/>
      <c r="D4918" s="198"/>
      <c r="E4918" s="537"/>
      <c r="G4918" s="198"/>
      <c r="H4918" s="123"/>
    </row>
    <row r="4919" spans="3:8" s="99" customFormat="1" x14ac:dyDescent="0.2">
      <c r="C4919" s="198"/>
      <c r="D4919" s="198"/>
      <c r="E4919" s="537"/>
      <c r="G4919" s="198"/>
      <c r="H4919" s="123"/>
    </row>
    <row r="4920" spans="3:8" s="99" customFormat="1" x14ac:dyDescent="0.2">
      <c r="C4920" s="198"/>
      <c r="D4920" s="198"/>
      <c r="E4920" s="537"/>
      <c r="G4920" s="198"/>
      <c r="H4920" s="123"/>
    </row>
    <row r="4921" spans="3:8" s="99" customFormat="1" x14ac:dyDescent="0.2">
      <c r="C4921" s="198"/>
      <c r="D4921" s="198"/>
      <c r="E4921" s="537"/>
      <c r="G4921" s="198"/>
      <c r="H4921" s="123"/>
    </row>
    <row r="4922" spans="3:8" s="99" customFormat="1" x14ac:dyDescent="0.2">
      <c r="C4922" s="198"/>
      <c r="D4922" s="198"/>
      <c r="E4922" s="537"/>
      <c r="G4922" s="198"/>
      <c r="H4922" s="123"/>
    </row>
    <row r="4923" spans="3:8" s="99" customFormat="1" x14ac:dyDescent="0.2">
      <c r="C4923" s="198"/>
      <c r="D4923" s="198"/>
      <c r="E4923" s="537"/>
      <c r="G4923" s="198"/>
      <c r="H4923" s="123"/>
    </row>
    <row r="4924" spans="3:8" s="99" customFormat="1" x14ac:dyDescent="0.2">
      <c r="C4924" s="198"/>
      <c r="D4924" s="198"/>
      <c r="E4924" s="537"/>
      <c r="G4924" s="198"/>
      <c r="H4924" s="123"/>
    </row>
    <row r="4925" spans="3:8" s="99" customFormat="1" x14ac:dyDescent="0.2">
      <c r="C4925" s="198"/>
      <c r="D4925" s="198"/>
      <c r="E4925" s="537"/>
      <c r="G4925" s="198"/>
      <c r="H4925" s="123"/>
    </row>
    <row r="4926" spans="3:8" s="99" customFormat="1" x14ac:dyDescent="0.2">
      <c r="C4926" s="198"/>
      <c r="D4926" s="198"/>
      <c r="E4926" s="537"/>
      <c r="G4926" s="198"/>
      <c r="H4926" s="123"/>
    </row>
    <row r="4927" spans="3:8" s="99" customFormat="1" x14ac:dyDescent="0.2">
      <c r="C4927" s="198"/>
      <c r="D4927" s="198"/>
      <c r="E4927" s="537"/>
      <c r="G4927" s="198"/>
      <c r="H4927" s="123"/>
    </row>
    <row r="4928" spans="3:8" s="99" customFormat="1" x14ac:dyDescent="0.2">
      <c r="C4928" s="198"/>
      <c r="D4928" s="198"/>
      <c r="E4928" s="537"/>
      <c r="G4928" s="198"/>
      <c r="H4928" s="123"/>
    </row>
    <row r="4929" spans="3:8" s="99" customFormat="1" x14ac:dyDescent="0.2">
      <c r="C4929" s="198"/>
      <c r="D4929" s="198"/>
      <c r="E4929" s="537"/>
      <c r="G4929" s="198"/>
      <c r="H4929" s="123"/>
    </row>
    <row r="4930" spans="3:8" s="99" customFormat="1" x14ac:dyDescent="0.2">
      <c r="C4930" s="198"/>
      <c r="D4930" s="198"/>
      <c r="E4930" s="537"/>
      <c r="G4930" s="198"/>
      <c r="H4930" s="123"/>
    </row>
    <row r="4931" spans="3:8" s="99" customFormat="1" x14ac:dyDescent="0.2">
      <c r="C4931" s="198"/>
      <c r="D4931" s="198"/>
      <c r="E4931" s="537"/>
      <c r="G4931" s="198"/>
      <c r="H4931" s="123"/>
    </row>
    <row r="4932" spans="3:8" s="99" customFormat="1" x14ac:dyDescent="0.2">
      <c r="C4932" s="198"/>
      <c r="D4932" s="198"/>
      <c r="E4932" s="537"/>
      <c r="G4932" s="198"/>
      <c r="H4932" s="123"/>
    </row>
    <row r="4933" spans="3:8" s="99" customFormat="1" x14ac:dyDescent="0.2">
      <c r="C4933" s="198"/>
      <c r="D4933" s="198"/>
      <c r="E4933" s="537"/>
      <c r="G4933" s="198"/>
      <c r="H4933" s="123"/>
    </row>
    <row r="4934" spans="3:8" s="99" customFormat="1" x14ac:dyDescent="0.2">
      <c r="C4934" s="198"/>
      <c r="D4934" s="198"/>
      <c r="E4934" s="537"/>
      <c r="G4934" s="198"/>
      <c r="H4934" s="123"/>
    </row>
    <row r="4935" spans="3:8" s="99" customFormat="1" x14ac:dyDescent="0.2">
      <c r="C4935" s="198"/>
      <c r="D4935" s="198"/>
      <c r="E4935" s="537"/>
      <c r="G4935" s="198"/>
      <c r="H4935" s="123"/>
    </row>
    <row r="4936" spans="3:8" s="99" customFormat="1" x14ac:dyDescent="0.2">
      <c r="C4936" s="198"/>
      <c r="D4936" s="198"/>
      <c r="E4936" s="537"/>
      <c r="G4936" s="198"/>
      <c r="H4936" s="123"/>
    </row>
    <row r="4937" spans="3:8" s="99" customFormat="1" x14ac:dyDescent="0.2">
      <c r="C4937" s="198"/>
      <c r="D4937" s="198"/>
      <c r="E4937" s="537"/>
      <c r="G4937" s="198"/>
      <c r="H4937" s="123"/>
    </row>
    <row r="4938" spans="3:8" s="99" customFormat="1" x14ac:dyDescent="0.2">
      <c r="C4938" s="198"/>
      <c r="D4938" s="198"/>
      <c r="E4938" s="537"/>
      <c r="G4938" s="198"/>
      <c r="H4938" s="123"/>
    </row>
    <row r="4939" spans="3:8" s="99" customFormat="1" x14ac:dyDescent="0.2">
      <c r="C4939" s="198"/>
      <c r="D4939" s="198"/>
      <c r="E4939" s="537"/>
      <c r="G4939" s="198"/>
      <c r="H4939" s="123"/>
    </row>
    <row r="4940" spans="3:8" s="99" customFormat="1" x14ac:dyDescent="0.2">
      <c r="C4940" s="198"/>
      <c r="D4940" s="198"/>
      <c r="E4940" s="537"/>
      <c r="G4940" s="198"/>
      <c r="H4940" s="123"/>
    </row>
    <row r="4941" spans="3:8" s="99" customFormat="1" x14ac:dyDescent="0.2">
      <c r="C4941" s="198"/>
      <c r="D4941" s="198"/>
      <c r="E4941" s="537"/>
      <c r="G4941" s="198"/>
      <c r="H4941" s="123"/>
    </row>
    <row r="4942" spans="3:8" s="99" customFormat="1" x14ac:dyDescent="0.2">
      <c r="C4942" s="198"/>
      <c r="D4942" s="198"/>
      <c r="E4942" s="537"/>
      <c r="G4942" s="198"/>
      <c r="H4942" s="123"/>
    </row>
    <row r="4943" spans="3:8" s="99" customFormat="1" x14ac:dyDescent="0.2">
      <c r="C4943" s="198"/>
      <c r="D4943" s="198"/>
      <c r="E4943" s="537"/>
      <c r="G4943" s="198"/>
      <c r="H4943" s="123"/>
    </row>
    <row r="4944" spans="3:8" s="99" customFormat="1" x14ac:dyDescent="0.2">
      <c r="C4944" s="198"/>
      <c r="D4944" s="198"/>
      <c r="E4944" s="537"/>
      <c r="G4944" s="198"/>
      <c r="H4944" s="123"/>
    </row>
    <row r="4945" spans="3:8" s="99" customFormat="1" x14ac:dyDescent="0.2">
      <c r="C4945" s="198"/>
      <c r="D4945" s="198"/>
      <c r="E4945" s="537"/>
      <c r="G4945" s="198"/>
      <c r="H4945" s="123"/>
    </row>
    <row r="4946" spans="3:8" s="99" customFormat="1" x14ac:dyDescent="0.2">
      <c r="C4946" s="198"/>
      <c r="D4946" s="198"/>
      <c r="E4946" s="537"/>
      <c r="G4946" s="198"/>
      <c r="H4946" s="123"/>
    </row>
    <row r="4947" spans="3:8" s="99" customFormat="1" x14ac:dyDescent="0.2">
      <c r="C4947" s="198"/>
      <c r="D4947" s="198"/>
      <c r="E4947" s="537"/>
      <c r="G4947" s="198"/>
      <c r="H4947" s="123"/>
    </row>
    <row r="4948" spans="3:8" s="99" customFormat="1" x14ac:dyDescent="0.2">
      <c r="C4948" s="198"/>
      <c r="D4948" s="198"/>
      <c r="E4948" s="537"/>
      <c r="G4948" s="198"/>
      <c r="H4948" s="123"/>
    </row>
    <row r="4949" spans="3:8" s="99" customFormat="1" x14ac:dyDescent="0.2">
      <c r="C4949" s="198"/>
      <c r="D4949" s="198"/>
      <c r="E4949" s="537"/>
      <c r="G4949" s="198"/>
      <c r="H4949" s="123"/>
    </row>
    <row r="4950" spans="3:8" s="99" customFormat="1" x14ac:dyDescent="0.2">
      <c r="C4950" s="198"/>
      <c r="D4950" s="198"/>
      <c r="E4950" s="537"/>
      <c r="G4950" s="198"/>
      <c r="H4950" s="123"/>
    </row>
    <row r="4951" spans="3:8" s="99" customFormat="1" x14ac:dyDescent="0.2">
      <c r="C4951" s="198"/>
      <c r="D4951" s="198"/>
      <c r="E4951" s="537"/>
      <c r="G4951" s="198"/>
      <c r="H4951" s="123"/>
    </row>
    <row r="4952" spans="3:8" s="99" customFormat="1" x14ac:dyDescent="0.2">
      <c r="C4952" s="198"/>
      <c r="D4952" s="198"/>
      <c r="E4952" s="537"/>
      <c r="G4952" s="198"/>
      <c r="H4952" s="123"/>
    </row>
    <row r="4953" spans="3:8" s="99" customFormat="1" x14ac:dyDescent="0.2">
      <c r="C4953" s="198"/>
      <c r="D4953" s="198"/>
      <c r="E4953" s="537"/>
      <c r="G4953" s="198"/>
      <c r="H4953" s="123"/>
    </row>
    <row r="4954" spans="3:8" s="99" customFormat="1" x14ac:dyDescent="0.2">
      <c r="C4954" s="198"/>
      <c r="D4954" s="198"/>
      <c r="E4954" s="537"/>
      <c r="G4954" s="198"/>
      <c r="H4954" s="123"/>
    </row>
    <row r="4955" spans="3:8" s="99" customFormat="1" x14ac:dyDescent="0.2">
      <c r="C4955" s="198"/>
      <c r="D4955" s="198"/>
      <c r="E4955" s="537"/>
      <c r="G4955" s="198"/>
      <c r="H4955" s="123"/>
    </row>
    <row r="4956" spans="3:8" s="99" customFormat="1" x14ac:dyDescent="0.2">
      <c r="C4956" s="198"/>
      <c r="D4956" s="198"/>
      <c r="E4956" s="537"/>
      <c r="G4956" s="198"/>
      <c r="H4956" s="123"/>
    </row>
    <row r="4957" spans="3:8" s="99" customFormat="1" x14ac:dyDescent="0.2">
      <c r="C4957" s="198"/>
      <c r="D4957" s="198"/>
      <c r="E4957" s="537"/>
      <c r="G4957" s="198"/>
      <c r="H4957" s="123"/>
    </row>
    <row r="4958" spans="3:8" s="99" customFormat="1" x14ac:dyDescent="0.2">
      <c r="C4958" s="198"/>
      <c r="D4958" s="198"/>
      <c r="E4958" s="537"/>
      <c r="G4958" s="198"/>
      <c r="H4958" s="123"/>
    </row>
    <row r="4959" spans="3:8" s="99" customFormat="1" x14ac:dyDescent="0.2">
      <c r="C4959" s="198"/>
      <c r="D4959" s="198"/>
      <c r="E4959" s="537"/>
      <c r="G4959" s="198"/>
      <c r="H4959" s="123"/>
    </row>
    <row r="4960" spans="3:8" s="99" customFormat="1" x14ac:dyDescent="0.2">
      <c r="C4960" s="198"/>
      <c r="D4960" s="198"/>
      <c r="E4960" s="537"/>
      <c r="G4960" s="198"/>
      <c r="H4960" s="123"/>
    </row>
    <row r="4961" spans="3:8" s="99" customFormat="1" x14ac:dyDescent="0.2">
      <c r="C4961" s="198"/>
      <c r="D4961" s="198"/>
      <c r="E4961" s="537"/>
      <c r="G4961" s="198"/>
      <c r="H4961" s="123"/>
    </row>
    <row r="4962" spans="3:8" s="99" customFormat="1" x14ac:dyDescent="0.2">
      <c r="C4962" s="198"/>
      <c r="D4962" s="198"/>
      <c r="E4962" s="537"/>
      <c r="G4962" s="198"/>
      <c r="H4962" s="123"/>
    </row>
    <row r="4963" spans="3:8" s="99" customFormat="1" x14ac:dyDescent="0.2">
      <c r="C4963" s="198"/>
      <c r="D4963" s="198"/>
      <c r="E4963" s="537"/>
      <c r="G4963" s="198"/>
      <c r="H4963" s="123"/>
    </row>
    <row r="4964" spans="3:8" s="99" customFormat="1" x14ac:dyDescent="0.2">
      <c r="C4964" s="198"/>
      <c r="D4964" s="198"/>
      <c r="E4964" s="537"/>
      <c r="G4964" s="198"/>
      <c r="H4964" s="123"/>
    </row>
    <row r="4965" spans="3:8" s="99" customFormat="1" x14ac:dyDescent="0.2">
      <c r="C4965" s="198"/>
      <c r="D4965" s="198"/>
      <c r="E4965" s="537"/>
      <c r="G4965" s="198"/>
      <c r="H4965" s="123"/>
    </row>
    <row r="4966" spans="3:8" s="99" customFormat="1" x14ac:dyDescent="0.2">
      <c r="C4966" s="198"/>
      <c r="D4966" s="198"/>
      <c r="E4966" s="537"/>
      <c r="G4966" s="198"/>
      <c r="H4966" s="123"/>
    </row>
    <row r="4967" spans="3:8" s="99" customFormat="1" x14ac:dyDescent="0.2">
      <c r="C4967" s="198"/>
      <c r="D4967" s="198"/>
      <c r="E4967" s="537"/>
      <c r="G4967" s="198"/>
      <c r="H4967" s="123"/>
    </row>
    <row r="4968" spans="3:8" s="99" customFormat="1" x14ac:dyDescent="0.2">
      <c r="C4968" s="198"/>
      <c r="D4968" s="198"/>
      <c r="E4968" s="537"/>
      <c r="G4968" s="198"/>
      <c r="H4968" s="123"/>
    </row>
    <row r="4969" spans="3:8" s="99" customFormat="1" x14ac:dyDescent="0.2">
      <c r="C4969" s="198"/>
      <c r="D4969" s="198"/>
      <c r="E4969" s="537"/>
      <c r="G4969" s="198"/>
      <c r="H4969" s="123"/>
    </row>
    <row r="4970" spans="3:8" s="99" customFormat="1" x14ac:dyDescent="0.2">
      <c r="C4970" s="198"/>
      <c r="D4970" s="198"/>
      <c r="E4970" s="537"/>
      <c r="G4970" s="198"/>
      <c r="H4970" s="123"/>
    </row>
    <row r="4971" spans="3:8" s="99" customFormat="1" x14ac:dyDescent="0.2">
      <c r="C4971" s="198"/>
      <c r="D4971" s="198"/>
      <c r="E4971" s="537"/>
      <c r="G4971" s="198"/>
      <c r="H4971" s="123"/>
    </row>
    <row r="4972" spans="3:8" s="99" customFormat="1" x14ac:dyDescent="0.2">
      <c r="C4972" s="198"/>
      <c r="D4972" s="198"/>
      <c r="E4972" s="537"/>
      <c r="G4972" s="198"/>
      <c r="H4972" s="123"/>
    </row>
    <row r="4973" spans="3:8" s="99" customFormat="1" x14ac:dyDescent="0.2">
      <c r="C4973" s="198"/>
      <c r="D4973" s="198"/>
      <c r="E4973" s="537"/>
      <c r="G4973" s="198"/>
      <c r="H4973" s="123"/>
    </row>
    <row r="4974" spans="3:8" s="99" customFormat="1" x14ac:dyDescent="0.2">
      <c r="C4974" s="198"/>
      <c r="D4974" s="198"/>
      <c r="E4974" s="537"/>
      <c r="G4974" s="198"/>
      <c r="H4974" s="123"/>
    </row>
    <row r="4975" spans="3:8" s="99" customFormat="1" x14ac:dyDescent="0.2">
      <c r="C4975" s="198"/>
      <c r="D4975" s="198"/>
      <c r="E4975" s="537"/>
      <c r="G4975" s="198"/>
      <c r="H4975" s="123"/>
    </row>
    <row r="4976" spans="3:8" s="99" customFormat="1" x14ac:dyDescent="0.2">
      <c r="C4976" s="198"/>
      <c r="D4976" s="198"/>
      <c r="E4976" s="537"/>
      <c r="G4976" s="198"/>
      <c r="H4976" s="123"/>
    </row>
    <row r="4977" spans="3:8" s="99" customFormat="1" x14ac:dyDescent="0.2">
      <c r="C4977" s="198"/>
      <c r="D4977" s="198"/>
      <c r="E4977" s="537"/>
      <c r="G4977" s="198"/>
      <c r="H4977" s="123"/>
    </row>
    <row r="4978" spans="3:8" s="99" customFormat="1" x14ac:dyDescent="0.2">
      <c r="C4978" s="198"/>
      <c r="D4978" s="198"/>
      <c r="E4978" s="537"/>
      <c r="G4978" s="198"/>
      <c r="H4978" s="123"/>
    </row>
    <row r="4979" spans="3:8" s="99" customFormat="1" x14ac:dyDescent="0.2">
      <c r="C4979" s="198"/>
      <c r="D4979" s="198"/>
      <c r="E4979" s="537"/>
      <c r="G4979" s="198"/>
      <c r="H4979" s="123"/>
    </row>
    <row r="4980" spans="3:8" s="99" customFormat="1" x14ac:dyDescent="0.2">
      <c r="C4980" s="198"/>
      <c r="D4980" s="198"/>
      <c r="E4980" s="537"/>
      <c r="G4980" s="198"/>
      <c r="H4980" s="123"/>
    </row>
    <row r="4981" spans="3:8" s="99" customFormat="1" x14ac:dyDescent="0.2">
      <c r="C4981" s="198"/>
      <c r="D4981" s="198"/>
      <c r="E4981" s="537"/>
      <c r="G4981" s="198"/>
      <c r="H4981" s="123"/>
    </row>
    <row r="4982" spans="3:8" s="99" customFormat="1" x14ac:dyDescent="0.2">
      <c r="C4982" s="198"/>
      <c r="D4982" s="198"/>
      <c r="E4982" s="537"/>
      <c r="G4982" s="198"/>
      <c r="H4982" s="123"/>
    </row>
    <row r="4983" spans="3:8" s="99" customFormat="1" x14ac:dyDescent="0.2">
      <c r="C4983" s="198"/>
      <c r="D4983" s="198"/>
      <c r="E4983" s="537"/>
      <c r="G4983" s="198"/>
      <c r="H4983" s="123"/>
    </row>
    <row r="4984" spans="3:8" s="99" customFormat="1" x14ac:dyDescent="0.2">
      <c r="C4984" s="198"/>
      <c r="D4984" s="198"/>
      <c r="E4984" s="537"/>
      <c r="G4984" s="198"/>
      <c r="H4984" s="123"/>
    </row>
    <row r="4985" spans="3:8" s="99" customFormat="1" x14ac:dyDescent="0.2">
      <c r="C4985" s="198"/>
      <c r="D4985" s="198"/>
      <c r="E4985" s="537"/>
      <c r="G4985" s="198"/>
      <c r="H4985" s="123"/>
    </row>
    <row r="4986" spans="3:8" s="99" customFormat="1" x14ac:dyDescent="0.2">
      <c r="C4986" s="198"/>
      <c r="D4986" s="198"/>
      <c r="E4986" s="537"/>
      <c r="G4986" s="198"/>
      <c r="H4986" s="123"/>
    </row>
    <row r="4987" spans="3:8" s="99" customFormat="1" x14ac:dyDescent="0.2">
      <c r="C4987" s="198"/>
      <c r="D4987" s="198"/>
      <c r="E4987" s="537"/>
      <c r="G4987" s="198"/>
      <c r="H4987" s="123"/>
    </row>
    <row r="4988" spans="3:8" s="99" customFormat="1" x14ac:dyDescent="0.2">
      <c r="C4988" s="198"/>
      <c r="D4988" s="198"/>
      <c r="E4988" s="537"/>
      <c r="G4988" s="198"/>
      <c r="H4988" s="123"/>
    </row>
    <row r="4989" spans="3:8" s="99" customFormat="1" x14ac:dyDescent="0.2">
      <c r="C4989" s="198"/>
      <c r="D4989" s="198"/>
      <c r="E4989" s="537"/>
      <c r="G4989" s="198"/>
      <c r="H4989" s="123"/>
    </row>
    <row r="4990" spans="3:8" s="99" customFormat="1" x14ac:dyDescent="0.2">
      <c r="C4990" s="198"/>
      <c r="D4990" s="198"/>
      <c r="E4990" s="537"/>
      <c r="G4990" s="198"/>
      <c r="H4990" s="123"/>
    </row>
    <row r="4991" spans="3:8" s="99" customFormat="1" x14ac:dyDescent="0.2">
      <c r="C4991" s="198"/>
      <c r="D4991" s="198"/>
      <c r="E4991" s="537"/>
      <c r="G4991" s="198"/>
      <c r="H4991" s="123"/>
    </row>
    <row r="4992" spans="3:8" s="99" customFormat="1" x14ac:dyDescent="0.2">
      <c r="C4992" s="198"/>
      <c r="D4992" s="198"/>
      <c r="E4992" s="537"/>
      <c r="G4992" s="198"/>
      <c r="H4992" s="123"/>
    </row>
    <row r="4993" spans="3:8" s="99" customFormat="1" x14ac:dyDescent="0.2">
      <c r="C4993" s="198"/>
      <c r="D4993" s="198"/>
      <c r="E4993" s="537"/>
      <c r="G4993" s="198"/>
      <c r="H4993" s="123"/>
    </row>
    <row r="4994" spans="3:8" s="99" customFormat="1" x14ac:dyDescent="0.2">
      <c r="C4994" s="198"/>
      <c r="D4994" s="198"/>
      <c r="E4994" s="537"/>
      <c r="G4994" s="198"/>
      <c r="H4994" s="123"/>
    </row>
    <row r="4995" spans="3:8" s="99" customFormat="1" x14ac:dyDescent="0.2">
      <c r="C4995" s="198"/>
      <c r="D4995" s="198"/>
      <c r="E4995" s="537"/>
      <c r="G4995" s="198"/>
      <c r="H4995" s="123"/>
    </row>
    <row r="4996" spans="3:8" s="99" customFormat="1" x14ac:dyDescent="0.2">
      <c r="C4996" s="198"/>
      <c r="D4996" s="198"/>
      <c r="E4996" s="537"/>
      <c r="G4996" s="198"/>
      <c r="H4996" s="123"/>
    </row>
    <row r="4997" spans="3:8" s="99" customFormat="1" x14ac:dyDescent="0.2">
      <c r="C4997" s="198"/>
      <c r="D4997" s="198"/>
      <c r="E4997" s="537"/>
      <c r="G4997" s="198"/>
      <c r="H4997" s="123"/>
    </row>
    <row r="4998" spans="3:8" s="99" customFormat="1" x14ac:dyDescent="0.2">
      <c r="C4998" s="198"/>
      <c r="D4998" s="198"/>
      <c r="E4998" s="537"/>
      <c r="G4998" s="198"/>
      <c r="H4998" s="123"/>
    </row>
    <row r="4999" spans="3:8" s="99" customFormat="1" x14ac:dyDescent="0.2">
      <c r="C4999" s="198"/>
      <c r="D4999" s="198"/>
      <c r="E4999" s="537"/>
      <c r="G4999" s="198"/>
      <c r="H4999" s="123"/>
    </row>
    <row r="5000" spans="3:8" s="99" customFormat="1" x14ac:dyDescent="0.2">
      <c r="C5000" s="198"/>
      <c r="D5000" s="198"/>
      <c r="E5000" s="537"/>
      <c r="G5000" s="198"/>
      <c r="H5000" s="123"/>
    </row>
    <row r="5001" spans="3:8" s="99" customFormat="1" x14ac:dyDescent="0.2">
      <c r="C5001" s="198"/>
      <c r="D5001" s="198"/>
      <c r="E5001" s="537"/>
      <c r="G5001" s="198"/>
      <c r="H5001" s="123"/>
    </row>
    <row r="5002" spans="3:8" s="99" customFormat="1" x14ac:dyDescent="0.2">
      <c r="C5002" s="198"/>
      <c r="D5002" s="198"/>
      <c r="E5002" s="537"/>
      <c r="G5002" s="198"/>
      <c r="H5002" s="123"/>
    </row>
    <row r="5003" spans="3:8" s="99" customFormat="1" x14ac:dyDescent="0.2">
      <c r="C5003" s="198"/>
      <c r="D5003" s="198"/>
      <c r="E5003" s="537"/>
      <c r="G5003" s="198"/>
      <c r="H5003" s="123"/>
    </row>
    <row r="5004" spans="3:8" s="99" customFormat="1" x14ac:dyDescent="0.2">
      <c r="C5004" s="198"/>
      <c r="D5004" s="198"/>
      <c r="E5004" s="537"/>
      <c r="G5004" s="198"/>
      <c r="H5004" s="123"/>
    </row>
    <row r="5005" spans="3:8" s="99" customFormat="1" x14ac:dyDescent="0.2">
      <c r="C5005" s="198"/>
      <c r="D5005" s="198"/>
      <c r="E5005" s="537"/>
      <c r="G5005" s="198"/>
      <c r="H5005" s="123"/>
    </row>
    <row r="5006" spans="3:8" s="99" customFormat="1" x14ac:dyDescent="0.2">
      <c r="C5006" s="198"/>
      <c r="D5006" s="198"/>
      <c r="E5006" s="537"/>
      <c r="G5006" s="198"/>
      <c r="H5006" s="123"/>
    </row>
    <row r="5007" spans="3:8" s="99" customFormat="1" x14ac:dyDescent="0.2">
      <c r="C5007" s="198"/>
      <c r="D5007" s="198"/>
      <c r="E5007" s="537"/>
      <c r="G5007" s="198"/>
      <c r="H5007" s="123"/>
    </row>
    <row r="5008" spans="3:8" s="99" customFormat="1" x14ac:dyDescent="0.2">
      <c r="C5008" s="198"/>
      <c r="D5008" s="198"/>
      <c r="E5008" s="537"/>
      <c r="G5008" s="198"/>
      <c r="H5008" s="123"/>
    </row>
    <row r="5009" spans="3:8" s="99" customFormat="1" x14ac:dyDescent="0.2">
      <c r="C5009" s="198"/>
      <c r="D5009" s="198"/>
      <c r="E5009" s="537"/>
      <c r="G5009" s="198"/>
      <c r="H5009" s="123"/>
    </row>
    <row r="5010" spans="3:8" s="99" customFormat="1" x14ac:dyDescent="0.2">
      <c r="C5010" s="198"/>
      <c r="D5010" s="198"/>
      <c r="E5010" s="537"/>
      <c r="G5010" s="198"/>
      <c r="H5010" s="123"/>
    </row>
    <row r="5011" spans="3:8" s="99" customFormat="1" x14ac:dyDescent="0.2">
      <c r="C5011" s="198"/>
      <c r="D5011" s="198"/>
      <c r="E5011" s="537"/>
      <c r="G5011" s="198"/>
      <c r="H5011" s="123"/>
    </row>
    <row r="5012" spans="3:8" s="99" customFormat="1" x14ac:dyDescent="0.2">
      <c r="C5012" s="198"/>
      <c r="D5012" s="198"/>
      <c r="E5012" s="537"/>
      <c r="G5012" s="198"/>
      <c r="H5012" s="123"/>
    </row>
    <row r="5013" spans="3:8" s="99" customFormat="1" x14ac:dyDescent="0.2">
      <c r="C5013" s="198"/>
      <c r="D5013" s="198"/>
      <c r="E5013" s="537"/>
      <c r="G5013" s="198"/>
      <c r="H5013" s="123"/>
    </row>
    <row r="5014" spans="3:8" s="99" customFormat="1" x14ac:dyDescent="0.2">
      <c r="C5014" s="198"/>
      <c r="D5014" s="198"/>
      <c r="E5014" s="537"/>
      <c r="G5014" s="198"/>
      <c r="H5014" s="123"/>
    </row>
    <row r="5015" spans="3:8" s="99" customFormat="1" x14ac:dyDescent="0.2">
      <c r="C5015" s="198"/>
      <c r="D5015" s="198"/>
      <c r="E5015" s="537"/>
      <c r="G5015" s="198"/>
      <c r="H5015" s="123"/>
    </row>
    <row r="5016" spans="3:8" s="99" customFormat="1" x14ac:dyDescent="0.2">
      <c r="C5016" s="198"/>
      <c r="D5016" s="198"/>
      <c r="E5016" s="537"/>
      <c r="G5016" s="198"/>
      <c r="H5016" s="123"/>
    </row>
    <row r="5017" spans="3:8" s="99" customFormat="1" x14ac:dyDescent="0.2">
      <c r="C5017" s="198"/>
      <c r="D5017" s="198"/>
      <c r="E5017" s="537"/>
      <c r="G5017" s="198"/>
      <c r="H5017" s="123"/>
    </row>
    <row r="5018" spans="3:8" s="99" customFormat="1" x14ac:dyDescent="0.2">
      <c r="C5018" s="198"/>
      <c r="D5018" s="198"/>
      <c r="E5018" s="537"/>
      <c r="G5018" s="198"/>
      <c r="H5018" s="123"/>
    </row>
    <row r="5019" spans="3:8" s="99" customFormat="1" x14ac:dyDescent="0.2">
      <c r="C5019" s="198"/>
      <c r="D5019" s="198"/>
      <c r="E5019" s="537"/>
      <c r="G5019" s="198"/>
      <c r="H5019" s="123"/>
    </row>
    <row r="5020" spans="3:8" s="99" customFormat="1" x14ac:dyDescent="0.2">
      <c r="C5020" s="198"/>
      <c r="D5020" s="198"/>
      <c r="E5020" s="537"/>
      <c r="G5020" s="198"/>
      <c r="H5020" s="123"/>
    </row>
    <row r="5021" spans="3:8" s="99" customFormat="1" x14ac:dyDescent="0.2">
      <c r="C5021" s="198"/>
      <c r="D5021" s="198"/>
      <c r="E5021" s="537"/>
      <c r="G5021" s="198"/>
      <c r="H5021" s="123"/>
    </row>
    <row r="5022" spans="3:8" s="99" customFormat="1" x14ac:dyDescent="0.2">
      <c r="C5022" s="198"/>
      <c r="D5022" s="198"/>
      <c r="E5022" s="537"/>
      <c r="G5022" s="198"/>
      <c r="H5022" s="123"/>
    </row>
    <row r="5023" spans="3:8" s="99" customFormat="1" x14ac:dyDescent="0.2">
      <c r="C5023" s="198"/>
      <c r="D5023" s="198"/>
      <c r="E5023" s="537"/>
      <c r="G5023" s="198"/>
      <c r="H5023" s="123"/>
    </row>
    <row r="5024" spans="3:8" s="99" customFormat="1" x14ac:dyDescent="0.2">
      <c r="C5024" s="198"/>
      <c r="D5024" s="198"/>
      <c r="E5024" s="537"/>
      <c r="G5024" s="198"/>
      <c r="H5024" s="123"/>
    </row>
    <row r="5025" spans="3:8" s="99" customFormat="1" x14ac:dyDescent="0.2">
      <c r="C5025" s="198"/>
      <c r="D5025" s="198"/>
      <c r="E5025" s="537"/>
      <c r="G5025" s="198"/>
      <c r="H5025" s="123"/>
    </row>
    <row r="5026" spans="3:8" s="99" customFormat="1" x14ac:dyDescent="0.2">
      <c r="C5026" s="198"/>
      <c r="D5026" s="198"/>
      <c r="E5026" s="537"/>
      <c r="G5026" s="198"/>
      <c r="H5026" s="123"/>
    </row>
    <row r="5027" spans="3:8" s="99" customFormat="1" x14ac:dyDescent="0.2">
      <c r="C5027" s="198"/>
      <c r="D5027" s="198"/>
      <c r="E5027" s="537"/>
      <c r="G5027" s="198"/>
      <c r="H5027" s="123"/>
    </row>
    <row r="5028" spans="3:8" s="99" customFormat="1" x14ac:dyDescent="0.2">
      <c r="C5028" s="198"/>
      <c r="D5028" s="198"/>
      <c r="E5028" s="537"/>
      <c r="G5028" s="198"/>
      <c r="H5028" s="123"/>
    </row>
    <row r="5029" spans="3:8" s="99" customFormat="1" x14ac:dyDescent="0.2">
      <c r="C5029" s="198"/>
      <c r="D5029" s="198"/>
      <c r="E5029" s="537"/>
      <c r="G5029" s="198"/>
      <c r="H5029" s="123"/>
    </row>
    <row r="5030" spans="3:8" s="99" customFormat="1" x14ac:dyDescent="0.2">
      <c r="C5030" s="198"/>
      <c r="D5030" s="198"/>
      <c r="E5030" s="537"/>
      <c r="G5030" s="198"/>
      <c r="H5030" s="123"/>
    </row>
    <row r="5031" spans="3:8" s="99" customFormat="1" x14ac:dyDescent="0.2">
      <c r="C5031" s="198"/>
      <c r="D5031" s="198"/>
      <c r="E5031" s="537"/>
      <c r="G5031" s="198"/>
      <c r="H5031" s="123"/>
    </row>
    <row r="5032" spans="3:8" s="99" customFormat="1" x14ac:dyDescent="0.2">
      <c r="C5032" s="198"/>
      <c r="D5032" s="198"/>
      <c r="E5032" s="537"/>
      <c r="G5032" s="198"/>
      <c r="H5032" s="123"/>
    </row>
    <row r="5033" spans="3:8" s="99" customFormat="1" x14ac:dyDescent="0.2">
      <c r="C5033" s="198"/>
      <c r="D5033" s="198"/>
      <c r="E5033" s="537"/>
      <c r="G5033" s="198"/>
      <c r="H5033" s="123"/>
    </row>
    <row r="5034" spans="3:8" s="99" customFormat="1" x14ac:dyDescent="0.2">
      <c r="C5034" s="198"/>
      <c r="D5034" s="198"/>
      <c r="E5034" s="537"/>
      <c r="G5034" s="198"/>
      <c r="H5034" s="123"/>
    </row>
    <row r="5035" spans="3:8" s="99" customFormat="1" x14ac:dyDescent="0.2">
      <c r="C5035" s="198"/>
      <c r="D5035" s="198"/>
      <c r="E5035" s="537"/>
      <c r="G5035" s="198"/>
      <c r="H5035" s="123"/>
    </row>
    <row r="5036" spans="3:8" s="99" customFormat="1" x14ac:dyDescent="0.2">
      <c r="C5036" s="198"/>
      <c r="D5036" s="198"/>
      <c r="E5036" s="537"/>
      <c r="G5036" s="198"/>
      <c r="H5036" s="123"/>
    </row>
    <row r="5037" spans="3:8" s="99" customFormat="1" x14ac:dyDescent="0.2">
      <c r="C5037" s="198"/>
      <c r="D5037" s="198"/>
      <c r="E5037" s="537"/>
      <c r="G5037" s="198"/>
      <c r="H5037" s="123"/>
    </row>
    <row r="5038" spans="3:8" s="99" customFormat="1" x14ac:dyDescent="0.2">
      <c r="C5038" s="198"/>
      <c r="D5038" s="198"/>
      <c r="E5038" s="537"/>
      <c r="G5038" s="198"/>
      <c r="H5038" s="123"/>
    </row>
    <row r="5039" spans="3:8" s="99" customFormat="1" x14ac:dyDescent="0.2">
      <c r="C5039" s="198"/>
      <c r="D5039" s="198"/>
      <c r="E5039" s="537"/>
      <c r="G5039" s="198"/>
      <c r="H5039" s="123"/>
    </row>
    <row r="5040" spans="3:8" s="99" customFormat="1" x14ac:dyDescent="0.2">
      <c r="C5040" s="198"/>
      <c r="D5040" s="198"/>
      <c r="E5040" s="537"/>
      <c r="G5040" s="198"/>
      <c r="H5040" s="123"/>
    </row>
    <row r="5041" spans="3:8" s="99" customFormat="1" x14ac:dyDescent="0.2">
      <c r="C5041" s="198"/>
      <c r="D5041" s="198"/>
      <c r="E5041" s="537"/>
      <c r="G5041" s="198"/>
      <c r="H5041" s="123"/>
    </row>
    <row r="5042" spans="3:8" s="99" customFormat="1" x14ac:dyDescent="0.2">
      <c r="C5042" s="198"/>
      <c r="D5042" s="198"/>
      <c r="E5042" s="537"/>
      <c r="G5042" s="198"/>
      <c r="H5042" s="123"/>
    </row>
    <row r="5043" spans="3:8" s="99" customFormat="1" x14ac:dyDescent="0.2">
      <c r="C5043" s="198"/>
      <c r="D5043" s="198"/>
      <c r="E5043" s="537"/>
      <c r="G5043" s="198"/>
      <c r="H5043" s="123"/>
    </row>
    <row r="5044" spans="3:8" s="99" customFormat="1" x14ac:dyDescent="0.2">
      <c r="C5044" s="198"/>
      <c r="D5044" s="198"/>
      <c r="E5044" s="537"/>
      <c r="G5044" s="198"/>
      <c r="H5044" s="123"/>
    </row>
    <row r="5045" spans="3:8" s="99" customFormat="1" x14ac:dyDescent="0.2">
      <c r="C5045" s="198"/>
      <c r="D5045" s="198"/>
      <c r="E5045" s="537"/>
      <c r="G5045" s="198"/>
      <c r="H5045" s="123"/>
    </row>
    <row r="5046" spans="3:8" s="99" customFormat="1" x14ac:dyDescent="0.2">
      <c r="C5046" s="198"/>
      <c r="D5046" s="198"/>
      <c r="E5046" s="537"/>
      <c r="G5046" s="198"/>
      <c r="H5046" s="123"/>
    </row>
    <row r="5047" spans="3:8" s="99" customFormat="1" x14ac:dyDescent="0.2">
      <c r="C5047" s="198"/>
      <c r="D5047" s="198"/>
      <c r="E5047" s="537"/>
      <c r="G5047" s="198"/>
      <c r="H5047" s="123"/>
    </row>
    <row r="5048" spans="3:8" s="99" customFormat="1" x14ac:dyDescent="0.2">
      <c r="C5048" s="198"/>
      <c r="D5048" s="198"/>
      <c r="E5048" s="537"/>
      <c r="G5048" s="198"/>
      <c r="H5048" s="123"/>
    </row>
    <row r="5049" spans="3:8" s="99" customFormat="1" x14ac:dyDescent="0.2">
      <c r="C5049" s="198"/>
      <c r="D5049" s="198"/>
      <c r="E5049" s="537"/>
      <c r="G5049" s="198"/>
      <c r="H5049" s="123"/>
    </row>
    <row r="5050" spans="3:8" s="99" customFormat="1" x14ac:dyDescent="0.2">
      <c r="C5050" s="198"/>
      <c r="D5050" s="198"/>
      <c r="E5050" s="537"/>
      <c r="G5050" s="198"/>
      <c r="H5050" s="123"/>
    </row>
    <row r="5051" spans="3:8" s="99" customFormat="1" x14ac:dyDescent="0.2">
      <c r="C5051" s="198"/>
      <c r="D5051" s="198"/>
      <c r="E5051" s="537"/>
      <c r="G5051" s="198"/>
      <c r="H5051" s="123"/>
    </row>
    <row r="5052" spans="3:8" s="99" customFormat="1" x14ac:dyDescent="0.2">
      <c r="C5052" s="198"/>
      <c r="D5052" s="198"/>
      <c r="E5052" s="537"/>
      <c r="G5052" s="198"/>
      <c r="H5052" s="123"/>
    </row>
    <row r="5053" spans="3:8" s="99" customFormat="1" x14ac:dyDescent="0.2">
      <c r="C5053" s="198"/>
      <c r="D5053" s="198"/>
      <c r="E5053" s="537"/>
      <c r="G5053" s="198"/>
      <c r="H5053" s="123"/>
    </row>
    <row r="5054" spans="3:8" s="99" customFormat="1" x14ac:dyDescent="0.2">
      <c r="C5054" s="198"/>
      <c r="D5054" s="198"/>
      <c r="E5054" s="537"/>
      <c r="G5054" s="198"/>
      <c r="H5054" s="123"/>
    </row>
    <row r="5055" spans="3:8" s="99" customFormat="1" x14ac:dyDescent="0.2">
      <c r="C5055" s="198"/>
      <c r="D5055" s="198"/>
      <c r="E5055" s="537"/>
      <c r="G5055" s="198"/>
      <c r="H5055" s="123"/>
    </row>
    <row r="5056" spans="3:8" s="99" customFormat="1" x14ac:dyDescent="0.2">
      <c r="C5056" s="198"/>
      <c r="D5056" s="198"/>
      <c r="E5056" s="537"/>
      <c r="G5056" s="198"/>
      <c r="H5056" s="123"/>
    </row>
    <row r="5057" spans="3:8" s="99" customFormat="1" x14ac:dyDescent="0.2">
      <c r="C5057" s="198"/>
      <c r="D5057" s="198"/>
      <c r="E5057" s="537"/>
      <c r="G5057" s="198"/>
      <c r="H5057" s="123"/>
    </row>
    <row r="5058" spans="3:8" s="99" customFormat="1" x14ac:dyDescent="0.2">
      <c r="C5058" s="198"/>
      <c r="D5058" s="198"/>
      <c r="E5058" s="537"/>
      <c r="G5058" s="198"/>
      <c r="H5058" s="123"/>
    </row>
    <row r="5059" spans="3:8" s="99" customFormat="1" x14ac:dyDescent="0.2">
      <c r="C5059" s="198"/>
      <c r="D5059" s="198"/>
      <c r="E5059" s="537"/>
      <c r="G5059" s="198"/>
      <c r="H5059" s="123"/>
    </row>
    <row r="5060" spans="3:8" s="99" customFormat="1" x14ac:dyDescent="0.2">
      <c r="C5060" s="198"/>
      <c r="D5060" s="198"/>
      <c r="E5060" s="537"/>
      <c r="G5060" s="198"/>
      <c r="H5060" s="123"/>
    </row>
    <row r="5061" spans="3:8" s="99" customFormat="1" x14ac:dyDescent="0.2">
      <c r="C5061" s="198"/>
      <c r="D5061" s="198"/>
      <c r="E5061" s="537"/>
      <c r="G5061" s="198"/>
      <c r="H5061" s="123"/>
    </row>
    <row r="5062" spans="3:8" s="99" customFormat="1" x14ac:dyDescent="0.2">
      <c r="C5062" s="198"/>
      <c r="D5062" s="198"/>
      <c r="E5062" s="537"/>
      <c r="G5062" s="198"/>
      <c r="H5062" s="123"/>
    </row>
    <row r="5063" spans="3:8" s="99" customFormat="1" x14ac:dyDescent="0.2">
      <c r="C5063" s="198"/>
      <c r="D5063" s="198"/>
      <c r="E5063" s="537"/>
      <c r="G5063" s="198"/>
      <c r="H5063" s="123"/>
    </row>
    <row r="5064" spans="3:8" s="99" customFormat="1" x14ac:dyDescent="0.2">
      <c r="C5064" s="198"/>
      <c r="D5064" s="198"/>
      <c r="E5064" s="537"/>
      <c r="G5064" s="198"/>
      <c r="H5064" s="123"/>
    </row>
    <row r="5065" spans="3:8" s="99" customFormat="1" x14ac:dyDescent="0.2">
      <c r="C5065" s="198"/>
      <c r="D5065" s="198"/>
      <c r="E5065" s="537"/>
      <c r="G5065" s="198"/>
      <c r="H5065" s="123"/>
    </row>
    <row r="5066" spans="3:8" s="99" customFormat="1" x14ac:dyDescent="0.2">
      <c r="C5066" s="198"/>
      <c r="D5066" s="198"/>
      <c r="E5066" s="537"/>
      <c r="G5066" s="198"/>
      <c r="H5066" s="123"/>
    </row>
    <row r="5067" spans="3:8" s="99" customFormat="1" x14ac:dyDescent="0.2">
      <c r="C5067" s="198"/>
      <c r="D5067" s="198"/>
      <c r="E5067" s="537"/>
      <c r="G5067" s="198"/>
      <c r="H5067" s="123"/>
    </row>
    <row r="5068" spans="3:8" s="99" customFormat="1" x14ac:dyDescent="0.2">
      <c r="C5068" s="198"/>
      <c r="D5068" s="198"/>
      <c r="E5068" s="537"/>
      <c r="G5068" s="198"/>
      <c r="H5068" s="123"/>
    </row>
    <row r="5069" spans="3:8" s="99" customFormat="1" x14ac:dyDescent="0.2">
      <c r="C5069" s="198"/>
      <c r="D5069" s="198"/>
      <c r="E5069" s="537"/>
      <c r="G5069" s="198"/>
      <c r="H5069" s="123"/>
    </row>
    <row r="5070" spans="3:8" s="99" customFormat="1" x14ac:dyDescent="0.2">
      <c r="C5070" s="198"/>
      <c r="D5070" s="198"/>
      <c r="E5070" s="537"/>
      <c r="G5070" s="198"/>
      <c r="H5070" s="123"/>
    </row>
    <row r="5071" spans="3:8" s="99" customFormat="1" x14ac:dyDescent="0.2">
      <c r="C5071" s="198"/>
      <c r="D5071" s="198"/>
      <c r="E5071" s="537"/>
      <c r="G5071" s="198"/>
      <c r="H5071" s="123"/>
    </row>
    <row r="5072" spans="3:8" s="99" customFormat="1" x14ac:dyDescent="0.2">
      <c r="C5072" s="198"/>
      <c r="D5072" s="198"/>
      <c r="E5072" s="537"/>
      <c r="G5072" s="198"/>
      <c r="H5072" s="123"/>
    </row>
    <row r="5073" spans="3:8" s="99" customFormat="1" x14ac:dyDescent="0.2">
      <c r="C5073" s="198"/>
      <c r="D5073" s="198"/>
      <c r="E5073" s="537"/>
      <c r="G5073" s="198"/>
      <c r="H5073" s="123"/>
    </row>
    <row r="5074" spans="3:8" s="99" customFormat="1" x14ac:dyDescent="0.2">
      <c r="C5074" s="198"/>
      <c r="D5074" s="198"/>
      <c r="E5074" s="537"/>
      <c r="G5074" s="198"/>
      <c r="H5074" s="123"/>
    </row>
    <row r="5075" spans="3:8" s="99" customFormat="1" x14ac:dyDescent="0.2">
      <c r="C5075" s="198"/>
      <c r="D5075" s="198"/>
      <c r="E5075" s="537"/>
      <c r="G5075" s="198"/>
      <c r="H5075" s="123"/>
    </row>
    <row r="5076" spans="3:8" s="99" customFormat="1" x14ac:dyDescent="0.2">
      <c r="C5076" s="198"/>
      <c r="D5076" s="198"/>
      <c r="E5076" s="537"/>
      <c r="G5076" s="198"/>
      <c r="H5076" s="123"/>
    </row>
    <row r="5077" spans="3:8" s="99" customFormat="1" x14ac:dyDescent="0.2">
      <c r="C5077" s="198"/>
      <c r="D5077" s="198"/>
      <c r="E5077" s="537"/>
      <c r="G5077" s="198"/>
      <c r="H5077" s="123"/>
    </row>
    <row r="5078" spans="3:8" s="99" customFormat="1" x14ac:dyDescent="0.2">
      <c r="C5078" s="198"/>
      <c r="D5078" s="198"/>
      <c r="E5078" s="537"/>
      <c r="G5078" s="198"/>
      <c r="H5078" s="123"/>
    </row>
    <row r="5079" spans="3:8" s="99" customFormat="1" x14ac:dyDescent="0.2">
      <c r="C5079" s="198"/>
      <c r="D5079" s="198"/>
      <c r="E5079" s="537"/>
      <c r="G5079" s="198"/>
      <c r="H5079" s="123"/>
    </row>
    <row r="5080" spans="3:8" s="99" customFormat="1" x14ac:dyDescent="0.2">
      <c r="C5080" s="198"/>
      <c r="D5080" s="198"/>
      <c r="E5080" s="537"/>
      <c r="G5080" s="198"/>
      <c r="H5080" s="123"/>
    </row>
    <row r="5081" spans="3:8" s="99" customFormat="1" x14ac:dyDescent="0.2">
      <c r="C5081" s="198"/>
      <c r="D5081" s="198"/>
      <c r="E5081" s="537"/>
      <c r="G5081" s="198"/>
      <c r="H5081" s="123"/>
    </row>
    <row r="5082" spans="3:8" s="99" customFormat="1" x14ac:dyDescent="0.2">
      <c r="C5082" s="198"/>
      <c r="D5082" s="198"/>
      <c r="E5082" s="537"/>
      <c r="G5082" s="198"/>
      <c r="H5082" s="123"/>
    </row>
    <row r="5083" spans="3:8" s="99" customFormat="1" x14ac:dyDescent="0.2">
      <c r="C5083" s="198"/>
      <c r="D5083" s="198"/>
      <c r="E5083" s="537"/>
      <c r="G5083" s="198"/>
      <c r="H5083" s="123"/>
    </row>
    <row r="5084" spans="3:8" s="99" customFormat="1" x14ac:dyDescent="0.2">
      <c r="C5084" s="198"/>
      <c r="D5084" s="198"/>
      <c r="E5084" s="537"/>
      <c r="G5084" s="198"/>
      <c r="H5084" s="123"/>
    </row>
    <row r="5085" spans="3:8" s="99" customFormat="1" x14ac:dyDescent="0.2">
      <c r="C5085" s="198"/>
      <c r="D5085" s="198"/>
      <c r="E5085" s="537"/>
      <c r="G5085" s="198"/>
      <c r="H5085" s="123"/>
    </row>
    <row r="5086" spans="3:8" s="99" customFormat="1" x14ac:dyDescent="0.2">
      <c r="C5086" s="198"/>
      <c r="D5086" s="198"/>
      <c r="E5086" s="537"/>
      <c r="G5086" s="198"/>
      <c r="H5086" s="123"/>
    </row>
    <row r="5087" spans="3:8" s="99" customFormat="1" x14ac:dyDescent="0.2">
      <c r="C5087" s="198"/>
      <c r="D5087" s="198"/>
      <c r="E5087" s="537"/>
      <c r="G5087" s="198"/>
      <c r="H5087" s="123"/>
    </row>
    <row r="5088" spans="3:8" s="99" customFormat="1" x14ac:dyDescent="0.2">
      <c r="C5088" s="198"/>
      <c r="D5088" s="198"/>
      <c r="E5088" s="537"/>
      <c r="G5088" s="198"/>
      <c r="H5088" s="123"/>
    </row>
    <row r="5089" spans="3:8" s="99" customFormat="1" x14ac:dyDescent="0.2">
      <c r="C5089" s="198"/>
      <c r="D5089" s="198"/>
      <c r="E5089" s="537"/>
      <c r="G5089" s="198"/>
      <c r="H5089" s="123"/>
    </row>
    <row r="5090" spans="3:8" s="99" customFormat="1" x14ac:dyDescent="0.2">
      <c r="C5090" s="198"/>
      <c r="D5090" s="198"/>
      <c r="E5090" s="537"/>
      <c r="G5090" s="198"/>
      <c r="H5090" s="123"/>
    </row>
    <row r="5091" spans="3:8" s="99" customFormat="1" x14ac:dyDescent="0.2">
      <c r="C5091" s="198"/>
      <c r="D5091" s="198"/>
      <c r="E5091" s="537"/>
      <c r="G5091" s="198"/>
      <c r="H5091" s="123"/>
    </row>
    <row r="5092" spans="3:8" s="99" customFormat="1" x14ac:dyDescent="0.2">
      <c r="C5092" s="198"/>
      <c r="D5092" s="198"/>
      <c r="E5092" s="537"/>
      <c r="G5092" s="198"/>
      <c r="H5092" s="123"/>
    </row>
    <row r="5093" spans="3:8" s="99" customFormat="1" x14ac:dyDescent="0.2">
      <c r="C5093" s="198"/>
      <c r="D5093" s="198"/>
      <c r="E5093" s="537"/>
      <c r="G5093" s="198"/>
      <c r="H5093" s="123"/>
    </row>
    <row r="5094" spans="3:8" s="99" customFormat="1" x14ac:dyDescent="0.2">
      <c r="C5094" s="198"/>
      <c r="D5094" s="198"/>
      <c r="E5094" s="537"/>
      <c r="G5094" s="198"/>
      <c r="H5094" s="123"/>
    </row>
    <row r="5095" spans="3:8" s="99" customFormat="1" x14ac:dyDescent="0.2">
      <c r="C5095" s="198"/>
      <c r="D5095" s="198"/>
      <c r="E5095" s="537"/>
      <c r="G5095" s="198"/>
      <c r="H5095" s="123"/>
    </row>
    <row r="5096" spans="3:8" s="99" customFormat="1" x14ac:dyDescent="0.2">
      <c r="C5096" s="198"/>
      <c r="D5096" s="198"/>
      <c r="E5096" s="537"/>
      <c r="G5096" s="198"/>
      <c r="H5096" s="123"/>
    </row>
    <row r="5097" spans="3:8" s="99" customFormat="1" x14ac:dyDescent="0.2">
      <c r="C5097" s="198"/>
      <c r="D5097" s="198"/>
      <c r="E5097" s="537"/>
      <c r="G5097" s="198"/>
      <c r="H5097" s="123"/>
    </row>
    <row r="5098" spans="3:8" s="99" customFormat="1" x14ac:dyDescent="0.2">
      <c r="C5098" s="198"/>
      <c r="D5098" s="198"/>
      <c r="E5098" s="537"/>
      <c r="G5098" s="198"/>
      <c r="H5098" s="123"/>
    </row>
    <row r="5099" spans="3:8" s="99" customFormat="1" x14ac:dyDescent="0.2">
      <c r="C5099" s="198"/>
      <c r="D5099" s="198"/>
      <c r="E5099" s="537"/>
      <c r="G5099" s="198"/>
      <c r="H5099" s="123"/>
    </row>
    <row r="5100" spans="3:8" s="99" customFormat="1" x14ac:dyDescent="0.2">
      <c r="C5100" s="198"/>
      <c r="D5100" s="198"/>
      <c r="E5100" s="537"/>
      <c r="G5100" s="198"/>
      <c r="H5100" s="123"/>
    </row>
    <row r="5101" spans="3:8" s="99" customFormat="1" x14ac:dyDescent="0.2">
      <c r="C5101" s="198"/>
      <c r="D5101" s="198"/>
      <c r="E5101" s="537"/>
      <c r="G5101" s="198"/>
      <c r="H5101" s="123"/>
    </row>
    <row r="5102" spans="3:8" s="99" customFormat="1" x14ac:dyDescent="0.2">
      <c r="C5102" s="198"/>
      <c r="D5102" s="198"/>
      <c r="E5102" s="537"/>
      <c r="G5102" s="198"/>
      <c r="H5102" s="123"/>
    </row>
    <row r="5103" spans="3:8" s="99" customFormat="1" x14ac:dyDescent="0.2">
      <c r="C5103" s="198"/>
      <c r="D5103" s="198"/>
      <c r="E5103" s="537"/>
      <c r="G5103" s="198"/>
      <c r="H5103" s="123"/>
    </row>
    <row r="5104" spans="3:8" s="99" customFormat="1" x14ac:dyDescent="0.2">
      <c r="C5104" s="198"/>
      <c r="D5104" s="198"/>
      <c r="E5104" s="537"/>
      <c r="G5104" s="198"/>
      <c r="H5104" s="123"/>
    </row>
    <row r="5105" spans="3:8" s="99" customFormat="1" x14ac:dyDescent="0.2">
      <c r="C5105" s="198"/>
      <c r="D5105" s="198"/>
      <c r="E5105" s="537"/>
      <c r="G5105" s="198"/>
      <c r="H5105" s="123"/>
    </row>
    <row r="5106" spans="3:8" s="99" customFormat="1" x14ac:dyDescent="0.2">
      <c r="C5106" s="198"/>
      <c r="D5106" s="198"/>
      <c r="E5106" s="537"/>
      <c r="G5106" s="198"/>
      <c r="H5106" s="123"/>
    </row>
    <row r="5107" spans="3:8" s="99" customFormat="1" x14ac:dyDescent="0.2">
      <c r="C5107" s="198"/>
      <c r="D5107" s="198"/>
      <c r="E5107" s="537"/>
      <c r="G5107" s="198"/>
      <c r="H5107" s="123"/>
    </row>
    <row r="5108" spans="3:8" s="99" customFormat="1" x14ac:dyDescent="0.2">
      <c r="C5108" s="198"/>
      <c r="D5108" s="198"/>
      <c r="E5108" s="537"/>
      <c r="G5108" s="198"/>
      <c r="H5108" s="123"/>
    </row>
    <row r="5109" spans="3:8" s="99" customFormat="1" x14ac:dyDescent="0.2">
      <c r="C5109" s="198"/>
      <c r="D5109" s="198"/>
      <c r="E5109" s="537"/>
      <c r="G5109" s="198"/>
      <c r="H5109" s="123"/>
    </row>
    <row r="5110" spans="3:8" s="99" customFormat="1" x14ac:dyDescent="0.2">
      <c r="C5110" s="198"/>
      <c r="D5110" s="198"/>
      <c r="E5110" s="537"/>
      <c r="G5110" s="198"/>
      <c r="H5110" s="123"/>
    </row>
    <row r="5111" spans="3:8" s="99" customFormat="1" x14ac:dyDescent="0.2">
      <c r="C5111" s="198"/>
      <c r="D5111" s="198"/>
      <c r="E5111" s="537"/>
      <c r="G5111" s="198"/>
      <c r="H5111" s="123"/>
    </row>
    <row r="5112" spans="3:8" s="99" customFormat="1" x14ac:dyDescent="0.2">
      <c r="C5112" s="198"/>
      <c r="D5112" s="198"/>
      <c r="E5112" s="537"/>
      <c r="G5112" s="198"/>
      <c r="H5112" s="123"/>
    </row>
    <row r="5113" spans="3:8" s="99" customFormat="1" x14ac:dyDescent="0.2">
      <c r="C5113" s="198"/>
      <c r="D5113" s="198"/>
      <c r="E5113" s="537"/>
      <c r="G5113" s="198"/>
      <c r="H5113" s="123"/>
    </row>
    <row r="5114" spans="3:8" s="99" customFormat="1" x14ac:dyDescent="0.2">
      <c r="C5114" s="198"/>
      <c r="D5114" s="198"/>
      <c r="E5114" s="537"/>
      <c r="G5114" s="198"/>
      <c r="H5114" s="123"/>
    </row>
    <row r="5115" spans="3:8" s="99" customFormat="1" x14ac:dyDescent="0.2">
      <c r="C5115" s="198"/>
      <c r="D5115" s="198"/>
      <c r="E5115" s="537"/>
      <c r="G5115" s="198"/>
      <c r="H5115" s="123"/>
    </row>
    <row r="5116" spans="3:8" s="99" customFormat="1" x14ac:dyDescent="0.2">
      <c r="C5116" s="198"/>
      <c r="D5116" s="198"/>
      <c r="E5116" s="537"/>
      <c r="G5116" s="198"/>
      <c r="H5116" s="123"/>
    </row>
    <row r="5117" spans="3:8" s="99" customFormat="1" x14ac:dyDescent="0.2">
      <c r="C5117" s="198"/>
      <c r="D5117" s="198"/>
      <c r="E5117" s="537"/>
      <c r="G5117" s="198"/>
      <c r="H5117" s="123"/>
    </row>
    <row r="5118" spans="3:8" s="99" customFormat="1" x14ac:dyDescent="0.2">
      <c r="C5118" s="198"/>
      <c r="D5118" s="198"/>
      <c r="E5118" s="537"/>
      <c r="G5118" s="198"/>
      <c r="H5118" s="123"/>
    </row>
    <row r="5119" spans="3:8" s="99" customFormat="1" x14ac:dyDescent="0.2">
      <c r="C5119" s="198"/>
      <c r="D5119" s="198"/>
      <c r="E5119" s="537"/>
      <c r="G5119" s="198"/>
      <c r="H5119" s="123"/>
    </row>
    <row r="5120" spans="3:8" s="99" customFormat="1" x14ac:dyDescent="0.2">
      <c r="C5120" s="198"/>
      <c r="D5120" s="198"/>
      <c r="E5120" s="537"/>
      <c r="G5120" s="198"/>
      <c r="H5120" s="123"/>
    </row>
    <row r="5121" spans="3:8" s="99" customFormat="1" x14ac:dyDescent="0.2">
      <c r="C5121" s="198"/>
      <c r="D5121" s="198"/>
      <c r="E5121" s="537"/>
      <c r="G5121" s="198"/>
      <c r="H5121" s="123"/>
    </row>
    <row r="5122" spans="3:8" s="99" customFormat="1" x14ac:dyDescent="0.2">
      <c r="C5122" s="198"/>
      <c r="D5122" s="198"/>
      <c r="E5122" s="537"/>
      <c r="G5122" s="198"/>
      <c r="H5122" s="123"/>
    </row>
    <row r="5123" spans="3:8" s="99" customFormat="1" x14ac:dyDescent="0.2">
      <c r="C5123" s="198"/>
      <c r="D5123" s="198"/>
      <c r="E5123" s="537"/>
      <c r="G5123" s="198"/>
      <c r="H5123" s="123"/>
    </row>
    <row r="5124" spans="3:8" s="99" customFormat="1" x14ac:dyDescent="0.2">
      <c r="C5124" s="198"/>
      <c r="D5124" s="198"/>
      <c r="E5124" s="537"/>
      <c r="G5124" s="198"/>
      <c r="H5124" s="123"/>
    </row>
    <row r="5125" spans="3:8" s="99" customFormat="1" x14ac:dyDescent="0.2">
      <c r="C5125" s="198"/>
      <c r="D5125" s="198"/>
      <c r="E5125" s="537"/>
      <c r="G5125" s="198"/>
      <c r="H5125" s="123"/>
    </row>
    <row r="5126" spans="3:8" s="99" customFormat="1" x14ac:dyDescent="0.2">
      <c r="C5126" s="198"/>
      <c r="D5126" s="198"/>
      <c r="E5126" s="537"/>
      <c r="G5126" s="198"/>
      <c r="H5126" s="123"/>
    </row>
    <row r="5127" spans="3:8" s="99" customFormat="1" x14ac:dyDescent="0.2">
      <c r="C5127" s="198"/>
      <c r="D5127" s="198"/>
      <c r="E5127" s="537"/>
      <c r="G5127" s="198"/>
      <c r="H5127" s="123"/>
    </row>
    <row r="5128" spans="3:8" s="99" customFormat="1" x14ac:dyDescent="0.2">
      <c r="C5128" s="198"/>
      <c r="D5128" s="198"/>
      <c r="E5128" s="537"/>
      <c r="G5128" s="198"/>
      <c r="H5128" s="123"/>
    </row>
    <row r="5129" spans="3:8" s="99" customFormat="1" x14ac:dyDescent="0.2">
      <c r="C5129" s="198"/>
      <c r="D5129" s="198"/>
      <c r="E5129" s="537"/>
      <c r="G5129" s="198"/>
      <c r="H5129" s="123"/>
    </row>
    <row r="5130" spans="3:8" s="99" customFormat="1" x14ac:dyDescent="0.2">
      <c r="C5130" s="198"/>
      <c r="D5130" s="198"/>
      <c r="E5130" s="537"/>
      <c r="G5130" s="198"/>
      <c r="H5130" s="123"/>
    </row>
    <row r="5131" spans="3:8" s="99" customFormat="1" x14ac:dyDescent="0.2">
      <c r="C5131" s="198"/>
      <c r="D5131" s="198"/>
      <c r="E5131" s="537"/>
      <c r="G5131" s="198"/>
      <c r="H5131" s="123"/>
    </row>
    <row r="5132" spans="3:8" s="99" customFormat="1" x14ac:dyDescent="0.2">
      <c r="C5132" s="198"/>
      <c r="D5132" s="198"/>
      <c r="E5132" s="537"/>
      <c r="G5132" s="198"/>
      <c r="H5132" s="123"/>
    </row>
    <row r="5133" spans="3:8" s="99" customFormat="1" x14ac:dyDescent="0.2">
      <c r="C5133" s="198"/>
      <c r="D5133" s="198"/>
      <c r="E5133" s="537"/>
      <c r="G5133" s="198"/>
      <c r="H5133" s="123"/>
    </row>
    <row r="5134" spans="3:8" s="99" customFormat="1" x14ac:dyDescent="0.2">
      <c r="C5134" s="198"/>
      <c r="D5134" s="198"/>
      <c r="E5134" s="537"/>
      <c r="G5134" s="198"/>
      <c r="H5134" s="123"/>
    </row>
    <row r="5135" spans="3:8" s="99" customFormat="1" x14ac:dyDescent="0.2">
      <c r="C5135" s="198"/>
      <c r="D5135" s="198"/>
      <c r="E5135" s="537"/>
      <c r="G5135" s="198"/>
      <c r="H5135" s="123"/>
    </row>
    <row r="5136" spans="3:8" s="99" customFormat="1" x14ac:dyDescent="0.2">
      <c r="C5136" s="198"/>
      <c r="D5136" s="198"/>
      <c r="E5136" s="537"/>
      <c r="G5136" s="198"/>
      <c r="H5136" s="123"/>
    </row>
    <row r="5137" spans="3:8" s="99" customFormat="1" x14ac:dyDescent="0.2">
      <c r="C5137" s="198"/>
      <c r="D5137" s="198"/>
      <c r="E5137" s="537"/>
      <c r="G5137" s="198"/>
      <c r="H5137" s="123"/>
    </row>
    <row r="5138" spans="3:8" s="99" customFormat="1" x14ac:dyDescent="0.2">
      <c r="C5138" s="198"/>
      <c r="D5138" s="198"/>
      <c r="E5138" s="537"/>
      <c r="G5138" s="198"/>
      <c r="H5138" s="123"/>
    </row>
    <row r="5139" spans="3:8" s="99" customFormat="1" x14ac:dyDescent="0.2">
      <c r="C5139" s="198"/>
      <c r="D5139" s="198"/>
      <c r="E5139" s="537"/>
      <c r="G5139" s="198"/>
      <c r="H5139" s="123"/>
    </row>
    <row r="5140" spans="3:8" s="99" customFormat="1" x14ac:dyDescent="0.2">
      <c r="C5140" s="198"/>
      <c r="D5140" s="198"/>
      <c r="E5140" s="537"/>
      <c r="G5140" s="198"/>
      <c r="H5140" s="123"/>
    </row>
    <row r="5141" spans="3:8" s="99" customFormat="1" x14ac:dyDescent="0.2">
      <c r="C5141" s="198"/>
      <c r="D5141" s="198"/>
      <c r="E5141" s="537"/>
      <c r="G5141" s="198"/>
      <c r="H5141" s="123"/>
    </row>
    <row r="5142" spans="3:8" s="99" customFormat="1" x14ac:dyDescent="0.2">
      <c r="C5142" s="198"/>
      <c r="D5142" s="198"/>
      <c r="E5142" s="537"/>
      <c r="G5142" s="198"/>
      <c r="H5142" s="123"/>
    </row>
    <row r="5143" spans="3:8" s="99" customFormat="1" x14ac:dyDescent="0.2">
      <c r="C5143" s="198"/>
      <c r="D5143" s="198"/>
      <c r="E5143" s="537"/>
      <c r="G5143" s="198"/>
      <c r="H5143" s="123"/>
    </row>
    <row r="5144" spans="3:8" s="99" customFormat="1" x14ac:dyDescent="0.2">
      <c r="C5144" s="198"/>
      <c r="D5144" s="198"/>
      <c r="E5144" s="537"/>
      <c r="G5144" s="198"/>
      <c r="H5144" s="123"/>
    </row>
    <row r="5145" spans="3:8" s="99" customFormat="1" x14ac:dyDescent="0.2">
      <c r="C5145" s="198"/>
      <c r="D5145" s="198"/>
      <c r="E5145" s="537"/>
      <c r="G5145" s="198"/>
      <c r="H5145" s="123"/>
    </row>
    <row r="5146" spans="3:8" s="99" customFormat="1" x14ac:dyDescent="0.2">
      <c r="C5146" s="198"/>
      <c r="D5146" s="198"/>
      <c r="E5146" s="537"/>
      <c r="G5146" s="198"/>
      <c r="H5146" s="123"/>
    </row>
    <row r="5147" spans="3:8" s="99" customFormat="1" x14ac:dyDescent="0.2">
      <c r="C5147" s="198"/>
      <c r="D5147" s="198"/>
      <c r="E5147" s="537"/>
      <c r="G5147" s="198"/>
      <c r="H5147" s="123"/>
    </row>
    <row r="5148" spans="3:8" s="99" customFormat="1" x14ac:dyDescent="0.2">
      <c r="C5148" s="198"/>
      <c r="D5148" s="198"/>
      <c r="E5148" s="537"/>
      <c r="G5148" s="198"/>
      <c r="H5148" s="123"/>
    </row>
    <row r="5149" spans="3:8" s="99" customFormat="1" x14ac:dyDescent="0.2">
      <c r="C5149" s="198"/>
      <c r="D5149" s="198"/>
      <c r="E5149" s="537"/>
      <c r="G5149" s="198"/>
      <c r="H5149" s="123"/>
    </row>
    <row r="5150" spans="3:8" s="99" customFormat="1" x14ac:dyDescent="0.2">
      <c r="C5150" s="198"/>
      <c r="D5150" s="198"/>
      <c r="E5150" s="537"/>
      <c r="G5150" s="198"/>
      <c r="H5150" s="123"/>
    </row>
    <row r="5151" spans="3:8" s="99" customFormat="1" x14ac:dyDescent="0.2">
      <c r="C5151" s="198"/>
      <c r="D5151" s="198"/>
      <c r="E5151" s="537"/>
      <c r="G5151" s="198"/>
      <c r="H5151" s="123"/>
    </row>
    <row r="5152" spans="3:8" s="99" customFormat="1" x14ac:dyDescent="0.2">
      <c r="C5152" s="198"/>
      <c r="D5152" s="198"/>
      <c r="E5152" s="537"/>
      <c r="G5152" s="198"/>
      <c r="H5152" s="123"/>
    </row>
    <row r="5153" spans="3:8" s="99" customFormat="1" x14ac:dyDescent="0.2">
      <c r="C5153" s="198"/>
      <c r="D5153" s="198"/>
      <c r="E5153" s="537"/>
      <c r="G5153" s="198"/>
      <c r="H5153" s="123"/>
    </row>
    <row r="5154" spans="3:8" s="99" customFormat="1" x14ac:dyDescent="0.2">
      <c r="C5154" s="198"/>
      <c r="D5154" s="198"/>
      <c r="E5154" s="537"/>
      <c r="G5154" s="198"/>
      <c r="H5154" s="123"/>
    </row>
    <row r="5155" spans="3:8" s="99" customFormat="1" x14ac:dyDescent="0.2">
      <c r="C5155" s="198"/>
      <c r="D5155" s="198"/>
      <c r="E5155" s="537"/>
      <c r="G5155" s="198"/>
      <c r="H5155" s="123"/>
    </row>
    <row r="5156" spans="3:8" s="99" customFormat="1" x14ac:dyDescent="0.2">
      <c r="C5156" s="198"/>
      <c r="D5156" s="198"/>
      <c r="E5156" s="537"/>
      <c r="G5156" s="198"/>
      <c r="H5156" s="123"/>
    </row>
    <row r="5157" spans="3:8" s="99" customFormat="1" x14ac:dyDescent="0.2">
      <c r="C5157" s="198"/>
      <c r="D5157" s="198"/>
      <c r="E5157" s="537"/>
      <c r="G5157" s="198"/>
      <c r="H5157" s="123"/>
    </row>
    <row r="5158" spans="3:8" s="99" customFormat="1" x14ac:dyDescent="0.2">
      <c r="C5158" s="198"/>
      <c r="D5158" s="198"/>
      <c r="E5158" s="537"/>
      <c r="G5158" s="198"/>
      <c r="H5158" s="123"/>
    </row>
    <row r="5159" spans="3:8" s="99" customFormat="1" x14ac:dyDescent="0.2">
      <c r="C5159" s="198"/>
      <c r="D5159" s="198"/>
      <c r="E5159" s="537"/>
      <c r="G5159" s="198"/>
      <c r="H5159" s="123"/>
    </row>
    <row r="5160" spans="3:8" s="99" customFormat="1" x14ac:dyDescent="0.2">
      <c r="C5160" s="198"/>
      <c r="D5160" s="198"/>
      <c r="E5160" s="537"/>
      <c r="G5160" s="198"/>
      <c r="H5160" s="123"/>
    </row>
    <row r="5161" spans="3:8" s="99" customFormat="1" x14ac:dyDescent="0.2">
      <c r="C5161" s="198"/>
      <c r="D5161" s="198"/>
      <c r="E5161" s="537"/>
      <c r="G5161" s="198"/>
      <c r="H5161" s="123"/>
    </row>
    <row r="5162" spans="3:8" s="99" customFormat="1" x14ac:dyDescent="0.2">
      <c r="C5162" s="198"/>
      <c r="D5162" s="198"/>
      <c r="E5162" s="537"/>
      <c r="G5162" s="198"/>
      <c r="H5162" s="123"/>
    </row>
    <row r="5163" spans="3:8" s="99" customFormat="1" x14ac:dyDescent="0.2">
      <c r="C5163" s="198"/>
      <c r="D5163" s="198"/>
      <c r="E5163" s="537"/>
      <c r="G5163" s="198"/>
      <c r="H5163" s="123"/>
    </row>
    <row r="5164" spans="3:8" s="99" customFormat="1" x14ac:dyDescent="0.2">
      <c r="C5164" s="198"/>
      <c r="D5164" s="198"/>
      <c r="E5164" s="537"/>
      <c r="G5164" s="198"/>
      <c r="H5164" s="123"/>
    </row>
    <row r="5165" spans="3:8" s="99" customFormat="1" x14ac:dyDescent="0.2">
      <c r="C5165" s="198"/>
      <c r="D5165" s="198"/>
      <c r="E5165" s="537"/>
      <c r="G5165" s="198"/>
      <c r="H5165" s="123"/>
    </row>
    <row r="5166" spans="3:8" s="99" customFormat="1" x14ac:dyDescent="0.2">
      <c r="C5166" s="198"/>
      <c r="D5166" s="198"/>
      <c r="E5166" s="537"/>
      <c r="G5166" s="198"/>
      <c r="H5166" s="123"/>
    </row>
    <row r="5167" spans="3:8" s="99" customFormat="1" x14ac:dyDescent="0.2">
      <c r="C5167" s="198"/>
      <c r="D5167" s="198"/>
      <c r="E5167" s="537"/>
      <c r="G5167" s="198"/>
      <c r="H5167" s="123"/>
    </row>
    <row r="5168" spans="3:8" s="99" customFormat="1" x14ac:dyDescent="0.2">
      <c r="C5168" s="198"/>
      <c r="D5168" s="198"/>
      <c r="E5168" s="537"/>
      <c r="G5168" s="198"/>
      <c r="H5168" s="123"/>
    </row>
    <row r="5169" spans="3:8" s="99" customFormat="1" x14ac:dyDescent="0.2">
      <c r="C5169" s="198"/>
      <c r="D5169" s="198"/>
      <c r="E5169" s="537"/>
      <c r="G5169" s="198"/>
      <c r="H5169" s="123"/>
    </row>
    <row r="5170" spans="3:8" s="99" customFormat="1" x14ac:dyDescent="0.2">
      <c r="C5170" s="198"/>
      <c r="D5170" s="198"/>
      <c r="E5170" s="537"/>
      <c r="G5170" s="198"/>
      <c r="H5170" s="123"/>
    </row>
    <row r="5171" spans="3:8" s="99" customFormat="1" x14ac:dyDescent="0.2">
      <c r="C5171" s="198"/>
      <c r="D5171" s="198"/>
      <c r="E5171" s="537"/>
      <c r="G5171" s="198"/>
      <c r="H5171" s="123"/>
    </row>
    <row r="5172" spans="3:8" s="99" customFormat="1" x14ac:dyDescent="0.2">
      <c r="C5172" s="198"/>
      <c r="D5172" s="198"/>
      <c r="E5172" s="537"/>
      <c r="G5172" s="198"/>
      <c r="H5172" s="123"/>
    </row>
    <row r="5173" spans="3:8" s="99" customFormat="1" x14ac:dyDescent="0.2">
      <c r="C5173" s="198"/>
      <c r="D5173" s="198"/>
      <c r="E5173" s="537"/>
      <c r="G5173" s="198"/>
      <c r="H5173" s="123"/>
    </row>
    <row r="5174" spans="3:8" s="99" customFormat="1" x14ac:dyDescent="0.2">
      <c r="C5174" s="198"/>
      <c r="D5174" s="198"/>
      <c r="E5174" s="537"/>
      <c r="G5174" s="198"/>
      <c r="H5174" s="123"/>
    </row>
    <row r="5175" spans="3:8" s="99" customFormat="1" x14ac:dyDescent="0.2">
      <c r="C5175" s="198"/>
      <c r="D5175" s="198"/>
      <c r="E5175" s="537"/>
      <c r="G5175" s="198"/>
      <c r="H5175" s="123"/>
    </row>
    <row r="5176" spans="3:8" s="99" customFormat="1" x14ac:dyDescent="0.2">
      <c r="C5176" s="198"/>
      <c r="D5176" s="198"/>
      <c r="E5176" s="537"/>
      <c r="G5176" s="198"/>
      <c r="H5176" s="123"/>
    </row>
    <row r="5177" spans="3:8" s="99" customFormat="1" x14ac:dyDescent="0.2">
      <c r="C5177" s="198"/>
      <c r="D5177" s="198"/>
      <c r="E5177" s="537"/>
      <c r="G5177" s="198"/>
      <c r="H5177" s="123"/>
    </row>
    <row r="5178" spans="3:8" s="99" customFormat="1" x14ac:dyDescent="0.2">
      <c r="C5178" s="198"/>
      <c r="D5178" s="198"/>
      <c r="E5178" s="537"/>
      <c r="G5178" s="198"/>
      <c r="H5178" s="123"/>
    </row>
    <row r="5179" spans="3:8" s="99" customFormat="1" x14ac:dyDescent="0.2">
      <c r="C5179" s="198"/>
      <c r="D5179" s="198"/>
      <c r="E5179" s="537"/>
      <c r="G5179" s="198"/>
      <c r="H5179" s="123"/>
    </row>
    <row r="5180" spans="3:8" s="99" customFormat="1" x14ac:dyDescent="0.2">
      <c r="C5180" s="198"/>
      <c r="D5180" s="198"/>
      <c r="E5180" s="537"/>
      <c r="G5180" s="198"/>
      <c r="H5180" s="123"/>
    </row>
    <row r="5181" spans="3:8" s="99" customFormat="1" x14ac:dyDescent="0.2">
      <c r="C5181" s="198"/>
      <c r="D5181" s="198"/>
      <c r="E5181" s="537"/>
      <c r="G5181" s="198"/>
      <c r="H5181" s="123"/>
    </row>
    <row r="5182" spans="3:8" s="99" customFormat="1" x14ac:dyDescent="0.2">
      <c r="C5182" s="198"/>
      <c r="D5182" s="198"/>
      <c r="E5182" s="537"/>
      <c r="G5182" s="198"/>
      <c r="H5182" s="123"/>
    </row>
    <row r="5183" spans="3:8" s="99" customFormat="1" x14ac:dyDescent="0.2">
      <c r="C5183" s="198"/>
      <c r="D5183" s="198"/>
      <c r="E5183" s="537"/>
      <c r="G5183" s="198"/>
      <c r="H5183" s="123"/>
    </row>
    <row r="5184" spans="3:8" s="99" customFormat="1" x14ac:dyDescent="0.2">
      <c r="C5184" s="198"/>
      <c r="D5184" s="198"/>
      <c r="E5184" s="537"/>
      <c r="G5184" s="198"/>
      <c r="H5184" s="123"/>
    </row>
    <row r="5185" spans="3:8" s="99" customFormat="1" x14ac:dyDescent="0.2">
      <c r="C5185" s="198"/>
      <c r="D5185" s="198"/>
      <c r="E5185" s="537"/>
      <c r="G5185" s="198"/>
      <c r="H5185" s="123"/>
    </row>
    <row r="5186" spans="3:8" s="99" customFormat="1" x14ac:dyDescent="0.2">
      <c r="C5186" s="198"/>
      <c r="D5186" s="198"/>
      <c r="E5186" s="537"/>
      <c r="G5186" s="198"/>
      <c r="H5186" s="123"/>
    </row>
    <row r="5187" spans="3:8" s="99" customFormat="1" x14ac:dyDescent="0.2">
      <c r="C5187" s="198"/>
      <c r="D5187" s="198"/>
      <c r="E5187" s="537"/>
      <c r="G5187" s="198"/>
      <c r="H5187" s="123"/>
    </row>
    <row r="5188" spans="3:8" s="99" customFormat="1" x14ac:dyDescent="0.2">
      <c r="C5188" s="198"/>
      <c r="D5188" s="198"/>
      <c r="E5188" s="537"/>
      <c r="G5188" s="198"/>
      <c r="H5188" s="123"/>
    </row>
    <row r="5189" spans="3:8" s="99" customFormat="1" x14ac:dyDescent="0.2">
      <c r="C5189" s="198"/>
      <c r="D5189" s="198"/>
      <c r="E5189" s="537"/>
      <c r="G5189" s="198"/>
      <c r="H5189" s="123"/>
    </row>
    <row r="5190" spans="3:8" s="99" customFormat="1" x14ac:dyDescent="0.2">
      <c r="C5190" s="198"/>
      <c r="D5190" s="198"/>
      <c r="E5190" s="537"/>
      <c r="G5190" s="198"/>
      <c r="H5190" s="123"/>
    </row>
    <row r="5191" spans="3:8" s="99" customFormat="1" x14ac:dyDescent="0.2">
      <c r="C5191" s="198"/>
      <c r="D5191" s="198"/>
      <c r="E5191" s="537"/>
      <c r="G5191" s="198"/>
      <c r="H5191" s="123"/>
    </row>
    <row r="5192" spans="3:8" s="99" customFormat="1" x14ac:dyDescent="0.2">
      <c r="C5192" s="198"/>
      <c r="D5192" s="198"/>
      <c r="E5192" s="537"/>
      <c r="G5192" s="198"/>
      <c r="H5192" s="123"/>
    </row>
    <row r="5193" spans="3:8" s="99" customFormat="1" x14ac:dyDescent="0.2">
      <c r="C5193" s="198"/>
      <c r="D5193" s="198"/>
      <c r="E5193" s="537"/>
      <c r="G5193" s="198"/>
      <c r="H5193" s="123"/>
    </row>
    <row r="5194" spans="3:8" s="99" customFormat="1" x14ac:dyDescent="0.2">
      <c r="C5194" s="198"/>
      <c r="D5194" s="198"/>
      <c r="E5194" s="537"/>
      <c r="G5194" s="198"/>
      <c r="H5194" s="123"/>
    </row>
    <row r="5195" spans="3:8" s="99" customFormat="1" x14ac:dyDescent="0.2">
      <c r="C5195" s="198"/>
      <c r="D5195" s="198"/>
      <c r="E5195" s="537"/>
      <c r="G5195" s="198"/>
      <c r="H5195" s="123"/>
    </row>
    <row r="5196" spans="3:8" s="99" customFormat="1" x14ac:dyDescent="0.2">
      <c r="C5196" s="198"/>
      <c r="D5196" s="198"/>
      <c r="E5196" s="537"/>
      <c r="G5196" s="198"/>
      <c r="H5196" s="123"/>
    </row>
    <row r="5197" spans="3:8" s="99" customFormat="1" x14ac:dyDescent="0.2">
      <c r="C5197" s="198"/>
      <c r="D5197" s="198"/>
      <c r="E5197" s="537"/>
      <c r="G5197" s="198"/>
      <c r="H5197" s="123"/>
    </row>
    <row r="5198" spans="3:8" s="99" customFormat="1" x14ac:dyDescent="0.2">
      <c r="C5198" s="198"/>
      <c r="D5198" s="198"/>
      <c r="E5198" s="537"/>
      <c r="G5198" s="198"/>
      <c r="H5198" s="123"/>
    </row>
    <row r="5199" spans="3:8" s="99" customFormat="1" x14ac:dyDescent="0.2">
      <c r="C5199" s="198"/>
      <c r="D5199" s="198"/>
      <c r="E5199" s="537"/>
      <c r="G5199" s="198"/>
      <c r="H5199" s="123"/>
    </row>
    <row r="5200" spans="3:8" s="99" customFormat="1" x14ac:dyDescent="0.2">
      <c r="C5200" s="198"/>
      <c r="D5200" s="198"/>
      <c r="E5200" s="537"/>
      <c r="G5200" s="198"/>
      <c r="H5200" s="123"/>
    </row>
    <row r="5201" spans="3:8" s="99" customFormat="1" x14ac:dyDescent="0.2">
      <c r="C5201" s="198"/>
      <c r="D5201" s="198"/>
      <c r="E5201" s="537"/>
      <c r="G5201" s="198"/>
      <c r="H5201" s="123"/>
    </row>
    <row r="5202" spans="3:8" s="99" customFormat="1" x14ac:dyDescent="0.2">
      <c r="C5202" s="198"/>
      <c r="D5202" s="198"/>
      <c r="E5202" s="537"/>
      <c r="G5202" s="198"/>
      <c r="H5202" s="123"/>
    </row>
    <row r="5203" spans="3:8" s="99" customFormat="1" x14ac:dyDescent="0.2">
      <c r="C5203" s="198"/>
      <c r="D5203" s="198"/>
      <c r="E5203" s="537"/>
      <c r="G5203" s="198"/>
      <c r="H5203" s="123"/>
    </row>
    <row r="5204" spans="3:8" s="99" customFormat="1" x14ac:dyDescent="0.2">
      <c r="C5204" s="198"/>
      <c r="D5204" s="198"/>
      <c r="E5204" s="537"/>
      <c r="G5204" s="198"/>
      <c r="H5204" s="123"/>
    </row>
    <row r="5205" spans="3:8" s="99" customFormat="1" x14ac:dyDescent="0.2">
      <c r="C5205" s="198"/>
      <c r="D5205" s="198"/>
      <c r="E5205" s="537"/>
      <c r="G5205" s="198"/>
      <c r="H5205" s="123"/>
    </row>
    <row r="5206" spans="3:8" s="99" customFormat="1" x14ac:dyDescent="0.2">
      <c r="C5206" s="198"/>
      <c r="D5206" s="198"/>
      <c r="E5206" s="537"/>
      <c r="G5206" s="198"/>
      <c r="H5206" s="123"/>
    </row>
    <row r="5207" spans="3:8" s="99" customFormat="1" x14ac:dyDescent="0.2">
      <c r="C5207" s="198"/>
      <c r="D5207" s="198"/>
      <c r="E5207" s="537"/>
      <c r="G5207" s="198"/>
      <c r="H5207" s="123"/>
    </row>
    <row r="5208" spans="3:8" s="99" customFormat="1" x14ac:dyDescent="0.2">
      <c r="C5208" s="198"/>
      <c r="D5208" s="198"/>
      <c r="E5208" s="537"/>
      <c r="G5208" s="198"/>
      <c r="H5208" s="123"/>
    </row>
    <row r="5209" spans="3:8" s="99" customFormat="1" x14ac:dyDescent="0.2">
      <c r="C5209" s="198"/>
      <c r="D5209" s="198"/>
      <c r="E5209" s="537"/>
      <c r="G5209" s="198"/>
      <c r="H5209" s="123"/>
    </row>
    <row r="5210" spans="3:8" s="99" customFormat="1" x14ac:dyDescent="0.2">
      <c r="C5210" s="198"/>
      <c r="D5210" s="198"/>
      <c r="E5210" s="537"/>
      <c r="G5210" s="198"/>
      <c r="H5210" s="123"/>
    </row>
    <row r="5211" spans="3:8" s="99" customFormat="1" x14ac:dyDescent="0.2">
      <c r="C5211" s="198"/>
      <c r="D5211" s="198"/>
      <c r="E5211" s="537"/>
      <c r="G5211" s="198"/>
      <c r="H5211" s="123"/>
    </row>
    <row r="5212" spans="3:8" s="99" customFormat="1" x14ac:dyDescent="0.2">
      <c r="C5212" s="198"/>
      <c r="D5212" s="198"/>
      <c r="E5212" s="537"/>
      <c r="G5212" s="198"/>
      <c r="H5212" s="123"/>
    </row>
    <row r="5213" spans="3:8" s="99" customFormat="1" x14ac:dyDescent="0.2">
      <c r="C5213" s="198"/>
      <c r="D5213" s="198"/>
      <c r="E5213" s="537"/>
      <c r="G5213" s="198"/>
      <c r="H5213" s="123"/>
    </row>
    <row r="5214" spans="3:8" s="99" customFormat="1" x14ac:dyDescent="0.2">
      <c r="C5214" s="198"/>
      <c r="D5214" s="198"/>
      <c r="E5214" s="537"/>
      <c r="G5214" s="198"/>
      <c r="H5214" s="123"/>
    </row>
    <row r="5215" spans="3:8" s="99" customFormat="1" x14ac:dyDescent="0.2">
      <c r="C5215" s="198"/>
      <c r="D5215" s="198"/>
      <c r="E5215" s="537"/>
      <c r="G5215" s="198"/>
      <c r="H5215" s="123"/>
    </row>
    <row r="5216" spans="3:8" s="99" customFormat="1" x14ac:dyDescent="0.2">
      <c r="C5216" s="198"/>
      <c r="D5216" s="198"/>
      <c r="E5216" s="537"/>
      <c r="G5216" s="198"/>
      <c r="H5216" s="123"/>
    </row>
    <row r="5217" spans="3:8" s="99" customFormat="1" x14ac:dyDescent="0.2">
      <c r="C5217" s="198"/>
      <c r="D5217" s="198"/>
      <c r="E5217" s="537"/>
      <c r="G5217" s="198"/>
      <c r="H5217" s="123"/>
    </row>
    <row r="5218" spans="3:8" s="99" customFormat="1" x14ac:dyDescent="0.2">
      <c r="C5218" s="198"/>
      <c r="D5218" s="198"/>
      <c r="E5218" s="537"/>
      <c r="G5218" s="198"/>
      <c r="H5218" s="123"/>
    </row>
    <row r="5219" spans="3:8" s="99" customFormat="1" x14ac:dyDescent="0.2">
      <c r="C5219" s="198"/>
      <c r="D5219" s="198"/>
      <c r="E5219" s="537"/>
      <c r="G5219" s="198"/>
      <c r="H5219" s="123"/>
    </row>
    <row r="5220" spans="3:8" s="99" customFormat="1" x14ac:dyDescent="0.2">
      <c r="C5220" s="198"/>
      <c r="D5220" s="198"/>
      <c r="E5220" s="537"/>
      <c r="G5220" s="198"/>
      <c r="H5220" s="123"/>
    </row>
    <row r="5221" spans="3:8" s="99" customFormat="1" x14ac:dyDescent="0.2">
      <c r="C5221" s="198"/>
      <c r="D5221" s="198"/>
      <c r="E5221" s="537"/>
      <c r="G5221" s="198"/>
      <c r="H5221" s="123"/>
    </row>
    <row r="5222" spans="3:8" s="99" customFormat="1" x14ac:dyDescent="0.2">
      <c r="C5222" s="198"/>
      <c r="D5222" s="198"/>
      <c r="E5222" s="537"/>
      <c r="G5222" s="198"/>
      <c r="H5222" s="123"/>
    </row>
    <row r="5223" spans="3:8" s="99" customFormat="1" x14ac:dyDescent="0.2">
      <c r="C5223" s="198"/>
      <c r="D5223" s="198"/>
      <c r="E5223" s="537"/>
      <c r="G5223" s="198"/>
      <c r="H5223" s="123"/>
    </row>
    <row r="5224" spans="3:8" s="99" customFormat="1" x14ac:dyDescent="0.2">
      <c r="C5224" s="198"/>
      <c r="D5224" s="198"/>
      <c r="E5224" s="537"/>
      <c r="G5224" s="198"/>
      <c r="H5224" s="123"/>
    </row>
    <row r="5225" spans="3:8" s="99" customFormat="1" x14ac:dyDescent="0.2">
      <c r="C5225" s="198"/>
      <c r="D5225" s="198"/>
      <c r="E5225" s="537"/>
      <c r="G5225" s="198"/>
      <c r="H5225" s="123"/>
    </row>
    <row r="5226" spans="3:8" s="99" customFormat="1" x14ac:dyDescent="0.2">
      <c r="C5226" s="198"/>
      <c r="D5226" s="198"/>
      <c r="E5226" s="537"/>
      <c r="G5226" s="198"/>
      <c r="H5226" s="123"/>
    </row>
    <row r="5227" spans="3:8" s="99" customFormat="1" x14ac:dyDescent="0.2">
      <c r="C5227" s="198"/>
      <c r="D5227" s="198"/>
      <c r="E5227" s="537"/>
      <c r="G5227" s="198"/>
      <c r="H5227" s="123"/>
    </row>
    <row r="5228" spans="3:8" s="99" customFormat="1" x14ac:dyDescent="0.2">
      <c r="C5228" s="198"/>
      <c r="D5228" s="198"/>
      <c r="E5228" s="537"/>
      <c r="G5228" s="198"/>
      <c r="H5228" s="123"/>
    </row>
    <row r="5229" spans="3:8" s="99" customFormat="1" x14ac:dyDescent="0.2">
      <c r="C5229" s="198"/>
      <c r="D5229" s="198"/>
      <c r="E5229" s="537"/>
      <c r="G5229" s="198"/>
      <c r="H5229" s="123"/>
    </row>
    <row r="5230" spans="3:8" s="99" customFormat="1" x14ac:dyDescent="0.2">
      <c r="C5230" s="198"/>
      <c r="D5230" s="198"/>
      <c r="E5230" s="537"/>
      <c r="G5230" s="198"/>
      <c r="H5230" s="123"/>
    </row>
    <row r="5231" spans="3:8" s="99" customFormat="1" x14ac:dyDescent="0.2">
      <c r="C5231" s="198"/>
      <c r="D5231" s="198"/>
      <c r="E5231" s="537"/>
      <c r="G5231" s="198"/>
      <c r="H5231" s="123"/>
    </row>
    <row r="5232" spans="3:8" s="99" customFormat="1" x14ac:dyDescent="0.2">
      <c r="C5232" s="198"/>
      <c r="D5232" s="198"/>
      <c r="E5232" s="537"/>
      <c r="G5232" s="198"/>
      <c r="H5232" s="123"/>
    </row>
    <row r="5233" spans="3:8" s="99" customFormat="1" x14ac:dyDescent="0.2">
      <c r="C5233" s="198"/>
      <c r="D5233" s="198"/>
      <c r="E5233" s="537"/>
      <c r="G5233" s="198"/>
      <c r="H5233" s="123"/>
    </row>
    <row r="5234" spans="3:8" s="99" customFormat="1" x14ac:dyDescent="0.2">
      <c r="C5234" s="198"/>
      <c r="D5234" s="198"/>
      <c r="E5234" s="537"/>
      <c r="G5234" s="198"/>
      <c r="H5234" s="123"/>
    </row>
    <row r="5235" spans="3:8" s="99" customFormat="1" x14ac:dyDescent="0.2">
      <c r="C5235" s="198"/>
      <c r="D5235" s="198"/>
      <c r="E5235" s="537"/>
      <c r="G5235" s="198"/>
      <c r="H5235" s="123"/>
    </row>
    <row r="5236" spans="3:8" s="99" customFormat="1" x14ac:dyDescent="0.2">
      <c r="C5236" s="198"/>
      <c r="D5236" s="198"/>
      <c r="E5236" s="537"/>
      <c r="G5236" s="198"/>
      <c r="H5236" s="123"/>
    </row>
    <row r="5237" spans="3:8" s="99" customFormat="1" x14ac:dyDescent="0.2">
      <c r="C5237" s="198"/>
      <c r="D5237" s="198"/>
      <c r="E5237" s="537"/>
      <c r="G5237" s="198"/>
      <c r="H5237" s="123"/>
    </row>
    <row r="5238" spans="3:8" s="99" customFormat="1" x14ac:dyDescent="0.2">
      <c r="C5238" s="198"/>
      <c r="D5238" s="198"/>
      <c r="E5238" s="537"/>
      <c r="G5238" s="198"/>
      <c r="H5238" s="123"/>
    </row>
    <row r="5239" spans="3:8" s="99" customFormat="1" x14ac:dyDescent="0.2">
      <c r="C5239" s="198"/>
      <c r="D5239" s="198"/>
      <c r="E5239" s="537"/>
      <c r="G5239" s="198"/>
      <c r="H5239" s="123"/>
    </row>
    <row r="5240" spans="3:8" s="99" customFormat="1" x14ac:dyDescent="0.2">
      <c r="C5240" s="198"/>
      <c r="D5240" s="198"/>
      <c r="E5240" s="537"/>
      <c r="G5240" s="198"/>
      <c r="H5240" s="123"/>
    </row>
    <row r="5241" spans="3:8" s="99" customFormat="1" x14ac:dyDescent="0.2">
      <c r="C5241" s="198"/>
      <c r="D5241" s="198"/>
      <c r="E5241" s="537"/>
      <c r="G5241" s="198"/>
      <c r="H5241" s="123"/>
    </row>
    <row r="5242" spans="3:8" s="99" customFormat="1" x14ac:dyDescent="0.2">
      <c r="C5242" s="198"/>
      <c r="D5242" s="198"/>
      <c r="E5242" s="537"/>
      <c r="G5242" s="198"/>
      <c r="H5242" s="123"/>
    </row>
    <row r="5243" spans="3:8" s="99" customFormat="1" x14ac:dyDescent="0.2">
      <c r="C5243" s="198"/>
      <c r="D5243" s="198"/>
      <c r="E5243" s="537"/>
      <c r="G5243" s="198"/>
      <c r="H5243" s="123"/>
    </row>
    <row r="5244" spans="3:8" s="99" customFormat="1" x14ac:dyDescent="0.2">
      <c r="C5244" s="198"/>
      <c r="D5244" s="198"/>
      <c r="E5244" s="537"/>
      <c r="G5244" s="198"/>
      <c r="H5244" s="123"/>
    </row>
    <row r="5245" spans="3:8" s="99" customFormat="1" x14ac:dyDescent="0.2">
      <c r="C5245" s="198"/>
      <c r="D5245" s="198"/>
      <c r="E5245" s="537"/>
      <c r="G5245" s="198"/>
      <c r="H5245" s="123"/>
    </row>
    <row r="5246" spans="3:8" s="99" customFormat="1" x14ac:dyDescent="0.2">
      <c r="C5246" s="198"/>
      <c r="D5246" s="198"/>
      <c r="E5246" s="537"/>
      <c r="G5246" s="198"/>
      <c r="H5246" s="123"/>
    </row>
    <row r="5247" spans="3:8" s="99" customFormat="1" x14ac:dyDescent="0.2">
      <c r="C5247" s="198"/>
      <c r="D5247" s="198"/>
      <c r="E5247" s="537"/>
      <c r="G5247" s="198"/>
      <c r="H5247" s="123"/>
    </row>
    <row r="5248" spans="3:8" s="99" customFormat="1" x14ac:dyDescent="0.2">
      <c r="C5248" s="198"/>
      <c r="D5248" s="198"/>
      <c r="E5248" s="537"/>
      <c r="G5248" s="198"/>
      <c r="H5248" s="123"/>
    </row>
    <row r="5249" spans="3:8" s="99" customFormat="1" x14ac:dyDescent="0.2">
      <c r="C5249" s="198"/>
      <c r="D5249" s="198"/>
      <c r="E5249" s="537"/>
      <c r="G5249" s="198"/>
      <c r="H5249" s="123"/>
    </row>
    <row r="5250" spans="3:8" s="99" customFormat="1" x14ac:dyDescent="0.2">
      <c r="C5250" s="198"/>
      <c r="D5250" s="198"/>
      <c r="E5250" s="537"/>
      <c r="G5250" s="198"/>
      <c r="H5250" s="123"/>
    </row>
    <row r="5251" spans="3:8" s="99" customFormat="1" x14ac:dyDescent="0.2">
      <c r="C5251" s="198"/>
      <c r="D5251" s="198"/>
      <c r="E5251" s="537"/>
      <c r="G5251" s="198"/>
      <c r="H5251" s="123"/>
    </row>
    <row r="5252" spans="3:8" s="99" customFormat="1" x14ac:dyDescent="0.2">
      <c r="C5252" s="198"/>
      <c r="D5252" s="198"/>
      <c r="E5252" s="537"/>
      <c r="G5252" s="198"/>
      <c r="H5252" s="123"/>
    </row>
    <row r="5253" spans="3:8" s="99" customFormat="1" x14ac:dyDescent="0.2">
      <c r="C5253" s="198"/>
      <c r="D5253" s="198"/>
      <c r="E5253" s="537"/>
      <c r="G5253" s="198"/>
      <c r="H5253" s="123"/>
    </row>
    <row r="5254" spans="3:8" s="99" customFormat="1" x14ac:dyDescent="0.2">
      <c r="C5254" s="198"/>
      <c r="D5254" s="198"/>
      <c r="E5254" s="537"/>
      <c r="G5254" s="198"/>
      <c r="H5254" s="123"/>
    </row>
    <row r="5255" spans="3:8" s="99" customFormat="1" x14ac:dyDescent="0.2">
      <c r="C5255" s="198"/>
      <c r="D5255" s="198"/>
      <c r="E5255" s="537"/>
      <c r="G5255" s="198"/>
      <c r="H5255" s="123"/>
    </row>
    <row r="5256" spans="3:8" s="99" customFormat="1" x14ac:dyDescent="0.2">
      <c r="C5256" s="198"/>
      <c r="D5256" s="198"/>
      <c r="E5256" s="537"/>
      <c r="G5256" s="198"/>
      <c r="H5256" s="123"/>
    </row>
    <row r="5257" spans="3:8" s="99" customFormat="1" x14ac:dyDescent="0.2">
      <c r="C5257" s="198"/>
      <c r="D5257" s="198"/>
      <c r="E5257" s="537"/>
      <c r="G5257" s="198"/>
      <c r="H5257" s="123"/>
    </row>
    <row r="5258" spans="3:8" s="99" customFormat="1" x14ac:dyDescent="0.2">
      <c r="C5258" s="198"/>
      <c r="D5258" s="198"/>
      <c r="E5258" s="537"/>
      <c r="G5258" s="198"/>
      <c r="H5258" s="123"/>
    </row>
    <row r="5259" spans="3:8" s="99" customFormat="1" x14ac:dyDescent="0.2">
      <c r="C5259" s="198"/>
      <c r="D5259" s="198"/>
      <c r="E5259" s="537"/>
      <c r="G5259" s="198"/>
      <c r="H5259" s="123"/>
    </row>
    <row r="5260" spans="3:8" s="99" customFormat="1" x14ac:dyDescent="0.2">
      <c r="C5260" s="198"/>
      <c r="D5260" s="198"/>
      <c r="E5260" s="537"/>
      <c r="G5260" s="198"/>
      <c r="H5260" s="123"/>
    </row>
    <row r="5261" spans="3:8" s="99" customFormat="1" x14ac:dyDescent="0.2">
      <c r="C5261" s="198"/>
      <c r="D5261" s="198"/>
      <c r="E5261" s="537"/>
      <c r="G5261" s="198"/>
      <c r="H5261" s="123"/>
    </row>
    <row r="5262" spans="3:8" s="99" customFormat="1" x14ac:dyDescent="0.2">
      <c r="C5262" s="198"/>
      <c r="D5262" s="198"/>
      <c r="E5262" s="537"/>
      <c r="G5262" s="198"/>
      <c r="H5262" s="123"/>
    </row>
    <row r="5263" spans="3:8" s="99" customFormat="1" x14ac:dyDescent="0.2">
      <c r="C5263" s="198"/>
      <c r="D5263" s="198"/>
      <c r="E5263" s="537"/>
      <c r="G5263" s="198"/>
      <c r="H5263" s="123"/>
    </row>
    <row r="5264" spans="3:8" s="99" customFormat="1" x14ac:dyDescent="0.2">
      <c r="C5264" s="198"/>
      <c r="D5264" s="198"/>
      <c r="E5264" s="537"/>
      <c r="G5264" s="198"/>
      <c r="H5264" s="123"/>
    </row>
    <row r="5265" spans="3:8" s="99" customFormat="1" x14ac:dyDescent="0.2">
      <c r="C5265" s="198"/>
      <c r="D5265" s="198"/>
      <c r="E5265" s="537"/>
      <c r="G5265" s="198"/>
      <c r="H5265" s="123"/>
    </row>
    <row r="5266" spans="3:8" s="99" customFormat="1" x14ac:dyDescent="0.2">
      <c r="C5266" s="198"/>
      <c r="D5266" s="198"/>
      <c r="E5266" s="537"/>
      <c r="G5266" s="198"/>
      <c r="H5266" s="123"/>
    </row>
    <row r="5267" spans="3:8" s="99" customFormat="1" x14ac:dyDescent="0.2">
      <c r="C5267" s="198"/>
      <c r="D5267" s="198"/>
      <c r="E5267" s="537"/>
      <c r="G5267" s="198"/>
      <c r="H5267" s="123"/>
    </row>
    <row r="5268" spans="3:8" s="99" customFormat="1" x14ac:dyDescent="0.2">
      <c r="C5268" s="198"/>
      <c r="D5268" s="198"/>
      <c r="E5268" s="537"/>
      <c r="G5268" s="198"/>
      <c r="H5268" s="123"/>
    </row>
    <row r="5269" spans="3:8" s="99" customFormat="1" x14ac:dyDescent="0.2">
      <c r="C5269" s="198"/>
      <c r="D5269" s="198"/>
      <c r="E5269" s="537"/>
      <c r="G5269" s="198"/>
      <c r="H5269" s="123"/>
    </row>
    <row r="5270" spans="3:8" s="99" customFormat="1" x14ac:dyDescent="0.2">
      <c r="C5270" s="198"/>
      <c r="D5270" s="198"/>
      <c r="E5270" s="537"/>
      <c r="G5270" s="198"/>
      <c r="H5270" s="123"/>
    </row>
    <row r="5271" spans="3:8" s="99" customFormat="1" x14ac:dyDescent="0.2">
      <c r="C5271" s="198"/>
      <c r="D5271" s="198"/>
      <c r="E5271" s="537"/>
      <c r="G5271" s="198"/>
      <c r="H5271" s="123"/>
    </row>
    <row r="5272" spans="3:8" s="99" customFormat="1" x14ac:dyDescent="0.2">
      <c r="C5272" s="198"/>
      <c r="D5272" s="198"/>
      <c r="E5272" s="537"/>
      <c r="G5272" s="198"/>
      <c r="H5272" s="123"/>
    </row>
    <row r="5273" spans="3:8" s="99" customFormat="1" x14ac:dyDescent="0.2">
      <c r="C5273" s="198"/>
      <c r="D5273" s="198"/>
      <c r="E5273" s="537"/>
      <c r="G5273" s="198"/>
      <c r="H5273" s="123"/>
    </row>
    <row r="5274" spans="3:8" s="99" customFormat="1" x14ac:dyDescent="0.2">
      <c r="C5274" s="198"/>
      <c r="D5274" s="198"/>
      <c r="E5274" s="537"/>
      <c r="G5274" s="198"/>
      <c r="H5274" s="123"/>
    </row>
    <row r="5275" spans="3:8" s="99" customFormat="1" x14ac:dyDescent="0.2">
      <c r="C5275" s="198"/>
      <c r="D5275" s="198"/>
      <c r="E5275" s="537"/>
      <c r="G5275" s="198"/>
      <c r="H5275" s="123"/>
    </row>
    <row r="5276" spans="3:8" s="99" customFormat="1" x14ac:dyDescent="0.2">
      <c r="C5276" s="198"/>
      <c r="D5276" s="198"/>
      <c r="E5276" s="537"/>
      <c r="G5276" s="198"/>
      <c r="H5276" s="123"/>
    </row>
    <row r="5277" spans="3:8" s="99" customFormat="1" x14ac:dyDescent="0.2">
      <c r="C5277" s="198"/>
      <c r="D5277" s="198"/>
      <c r="E5277" s="537"/>
      <c r="G5277" s="198"/>
      <c r="H5277" s="123"/>
    </row>
    <row r="5278" spans="3:8" s="99" customFormat="1" x14ac:dyDescent="0.2">
      <c r="C5278" s="198"/>
      <c r="D5278" s="198"/>
      <c r="E5278" s="537"/>
      <c r="G5278" s="198"/>
      <c r="H5278" s="123"/>
    </row>
    <row r="5279" spans="3:8" s="99" customFormat="1" x14ac:dyDescent="0.2">
      <c r="C5279" s="198"/>
      <c r="D5279" s="198"/>
      <c r="E5279" s="537"/>
      <c r="G5279" s="198"/>
      <c r="H5279" s="123"/>
    </row>
    <row r="5280" spans="3:8" s="99" customFormat="1" x14ac:dyDescent="0.2">
      <c r="C5280" s="198"/>
      <c r="D5280" s="198"/>
      <c r="E5280" s="537"/>
      <c r="G5280" s="198"/>
      <c r="H5280" s="123"/>
    </row>
    <row r="5281" spans="3:8" s="99" customFormat="1" x14ac:dyDescent="0.2">
      <c r="C5281" s="198"/>
      <c r="D5281" s="198"/>
      <c r="E5281" s="537"/>
      <c r="G5281" s="198"/>
      <c r="H5281" s="123"/>
    </row>
    <row r="5282" spans="3:8" s="99" customFormat="1" x14ac:dyDescent="0.2">
      <c r="C5282" s="198"/>
      <c r="D5282" s="198"/>
      <c r="E5282" s="537"/>
      <c r="G5282" s="198"/>
      <c r="H5282" s="123"/>
    </row>
    <row r="5283" spans="3:8" s="99" customFormat="1" x14ac:dyDescent="0.2">
      <c r="C5283" s="198"/>
      <c r="D5283" s="198"/>
      <c r="E5283" s="537"/>
      <c r="G5283" s="198"/>
      <c r="H5283" s="123"/>
    </row>
    <row r="5284" spans="3:8" s="99" customFormat="1" x14ac:dyDescent="0.2">
      <c r="C5284" s="198"/>
      <c r="D5284" s="198"/>
      <c r="E5284" s="537"/>
      <c r="G5284" s="198"/>
      <c r="H5284" s="123"/>
    </row>
    <row r="5285" spans="3:8" s="99" customFormat="1" x14ac:dyDescent="0.2">
      <c r="C5285" s="198"/>
      <c r="D5285" s="198"/>
      <c r="E5285" s="537"/>
      <c r="G5285" s="198"/>
      <c r="H5285" s="123"/>
    </row>
    <row r="5286" spans="3:8" s="99" customFormat="1" x14ac:dyDescent="0.2">
      <c r="C5286" s="198"/>
      <c r="D5286" s="198"/>
      <c r="E5286" s="537"/>
      <c r="G5286" s="198"/>
      <c r="H5286" s="123"/>
    </row>
    <row r="5287" spans="3:8" s="99" customFormat="1" x14ac:dyDescent="0.2">
      <c r="C5287" s="198"/>
      <c r="D5287" s="198"/>
      <c r="E5287" s="537"/>
      <c r="G5287" s="198"/>
      <c r="H5287" s="123"/>
    </row>
    <row r="5288" spans="3:8" s="99" customFormat="1" x14ac:dyDescent="0.2">
      <c r="C5288" s="198"/>
      <c r="D5288" s="198"/>
      <c r="E5288" s="537"/>
      <c r="G5288" s="198"/>
      <c r="H5288" s="123"/>
    </row>
    <row r="5289" spans="3:8" s="99" customFormat="1" x14ac:dyDescent="0.2">
      <c r="C5289" s="198"/>
      <c r="D5289" s="198"/>
      <c r="E5289" s="537"/>
      <c r="G5289" s="198"/>
      <c r="H5289" s="123"/>
    </row>
    <row r="5290" spans="3:8" s="99" customFormat="1" x14ac:dyDescent="0.2">
      <c r="C5290" s="198"/>
      <c r="D5290" s="198"/>
      <c r="E5290" s="537"/>
      <c r="G5290" s="198"/>
      <c r="H5290" s="123"/>
    </row>
    <row r="5291" spans="3:8" s="99" customFormat="1" x14ac:dyDescent="0.2">
      <c r="C5291" s="198"/>
      <c r="D5291" s="198"/>
      <c r="E5291" s="537"/>
      <c r="G5291" s="198"/>
      <c r="H5291" s="123"/>
    </row>
    <row r="5292" spans="3:8" s="99" customFormat="1" x14ac:dyDescent="0.2">
      <c r="C5292" s="198"/>
      <c r="D5292" s="198"/>
      <c r="E5292" s="537"/>
      <c r="G5292" s="198"/>
      <c r="H5292" s="123"/>
    </row>
    <row r="5293" spans="3:8" s="99" customFormat="1" x14ac:dyDescent="0.2">
      <c r="C5293" s="198"/>
      <c r="D5293" s="198"/>
      <c r="E5293" s="537"/>
      <c r="G5293" s="198"/>
      <c r="H5293" s="123"/>
    </row>
    <row r="5294" spans="3:8" s="99" customFormat="1" x14ac:dyDescent="0.2">
      <c r="C5294" s="198"/>
      <c r="D5294" s="198"/>
      <c r="E5294" s="537"/>
      <c r="G5294" s="198"/>
      <c r="H5294" s="123"/>
    </row>
    <row r="5295" spans="3:8" s="99" customFormat="1" x14ac:dyDescent="0.2">
      <c r="C5295" s="198"/>
      <c r="D5295" s="198"/>
      <c r="E5295" s="537"/>
      <c r="G5295" s="198"/>
      <c r="H5295" s="123"/>
    </row>
    <row r="5296" spans="3:8" s="99" customFormat="1" x14ac:dyDescent="0.2">
      <c r="C5296" s="198"/>
      <c r="D5296" s="198"/>
      <c r="E5296" s="537"/>
      <c r="G5296" s="198"/>
      <c r="H5296" s="123"/>
    </row>
    <row r="5297" spans="3:8" s="99" customFormat="1" x14ac:dyDescent="0.2">
      <c r="C5297" s="198"/>
      <c r="D5297" s="198"/>
      <c r="E5297" s="537"/>
      <c r="G5297" s="198"/>
      <c r="H5297" s="123"/>
    </row>
    <row r="5298" spans="3:8" s="99" customFormat="1" x14ac:dyDescent="0.2">
      <c r="C5298" s="198"/>
      <c r="D5298" s="198"/>
      <c r="E5298" s="537"/>
      <c r="G5298" s="198"/>
      <c r="H5298" s="123"/>
    </row>
    <row r="5299" spans="3:8" s="99" customFormat="1" x14ac:dyDescent="0.2">
      <c r="C5299" s="198"/>
      <c r="D5299" s="198"/>
      <c r="E5299" s="537"/>
      <c r="G5299" s="198"/>
      <c r="H5299" s="123"/>
    </row>
    <row r="5300" spans="3:8" s="99" customFormat="1" x14ac:dyDescent="0.2">
      <c r="C5300" s="198"/>
      <c r="D5300" s="198"/>
      <c r="E5300" s="537"/>
      <c r="G5300" s="198"/>
      <c r="H5300" s="123"/>
    </row>
    <row r="5301" spans="3:8" s="99" customFormat="1" x14ac:dyDescent="0.2">
      <c r="C5301" s="198"/>
      <c r="D5301" s="198"/>
      <c r="E5301" s="537"/>
      <c r="G5301" s="198"/>
      <c r="H5301" s="123"/>
    </row>
    <row r="5302" spans="3:8" s="99" customFormat="1" x14ac:dyDescent="0.2">
      <c r="C5302" s="198"/>
      <c r="D5302" s="198"/>
      <c r="E5302" s="537"/>
      <c r="G5302" s="198"/>
      <c r="H5302" s="123"/>
    </row>
    <row r="5303" spans="3:8" s="99" customFormat="1" x14ac:dyDescent="0.2">
      <c r="C5303" s="198"/>
      <c r="D5303" s="198"/>
      <c r="E5303" s="537"/>
      <c r="G5303" s="198"/>
      <c r="H5303" s="123"/>
    </row>
    <row r="5304" spans="3:8" s="99" customFormat="1" x14ac:dyDescent="0.2">
      <c r="C5304" s="198"/>
      <c r="D5304" s="198"/>
      <c r="E5304" s="537"/>
      <c r="G5304" s="198"/>
      <c r="H5304" s="123"/>
    </row>
    <row r="5305" spans="3:8" s="99" customFormat="1" x14ac:dyDescent="0.2">
      <c r="C5305" s="198"/>
      <c r="D5305" s="198"/>
      <c r="E5305" s="537"/>
      <c r="G5305" s="198"/>
      <c r="H5305" s="123"/>
    </row>
    <row r="5306" spans="3:8" s="99" customFormat="1" x14ac:dyDescent="0.2">
      <c r="C5306" s="198"/>
      <c r="D5306" s="198"/>
      <c r="E5306" s="537"/>
      <c r="G5306" s="198"/>
      <c r="H5306" s="123"/>
    </row>
    <row r="5307" spans="3:8" s="99" customFormat="1" x14ac:dyDescent="0.2">
      <c r="C5307" s="198"/>
      <c r="D5307" s="198"/>
      <c r="E5307" s="537"/>
      <c r="G5307" s="198"/>
      <c r="H5307" s="123"/>
    </row>
    <row r="5308" spans="3:8" s="99" customFormat="1" x14ac:dyDescent="0.2">
      <c r="C5308" s="198"/>
      <c r="D5308" s="198"/>
      <c r="E5308" s="537"/>
      <c r="G5308" s="198"/>
      <c r="H5308" s="123"/>
    </row>
    <row r="5309" spans="3:8" s="99" customFormat="1" x14ac:dyDescent="0.2">
      <c r="C5309" s="198"/>
      <c r="D5309" s="198"/>
      <c r="E5309" s="537"/>
      <c r="G5309" s="198"/>
      <c r="H5309" s="123"/>
    </row>
    <row r="5310" spans="3:8" s="99" customFormat="1" x14ac:dyDescent="0.2">
      <c r="C5310" s="198"/>
      <c r="D5310" s="198"/>
      <c r="E5310" s="537"/>
      <c r="G5310" s="198"/>
      <c r="H5310" s="123"/>
    </row>
    <row r="5311" spans="3:8" s="99" customFormat="1" x14ac:dyDescent="0.2">
      <c r="C5311" s="198"/>
      <c r="D5311" s="198"/>
      <c r="E5311" s="537"/>
      <c r="G5311" s="198"/>
      <c r="H5311" s="123"/>
    </row>
    <row r="5312" spans="3:8" s="99" customFormat="1" x14ac:dyDescent="0.2">
      <c r="C5312" s="198"/>
      <c r="D5312" s="198"/>
      <c r="E5312" s="537"/>
      <c r="G5312" s="198"/>
      <c r="H5312" s="123"/>
    </row>
    <row r="5313" spans="3:8" s="99" customFormat="1" x14ac:dyDescent="0.2">
      <c r="C5313" s="198"/>
      <c r="D5313" s="198"/>
      <c r="E5313" s="537"/>
      <c r="G5313" s="198"/>
      <c r="H5313" s="123"/>
    </row>
    <row r="5314" spans="3:8" s="99" customFormat="1" x14ac:dyDescent="0.2">
      <c r="C5314" s="198"/>
      <c r="D5314" s="198"/>
      <c r="E5314" s="537"/>
      <c r="G5314" s="198"/>
      <c r="H5314" s="123"/>
    </row>
    <row r="5315" spans="3:8" s="99" customFormat="1" x14ac:dyDescent="0.2">
      <c r="C5315" s="198"/>
      <c r="D5315" s="198"/>
      <c r="E5315" s="537"/>
      <c r="G5315" s="198"/>
      <c r="H5315" s="123"/>
    </row>
    <row r="5316" spans="3:8" s="99" customFormat="1" x14ac:dyDescent="0.2">
      <c r="C5316" s="198"/>
      <c r="D5316" s="198"/>
      <c r="E5316" s="537"/>
      <c r="G5316" s="198"/>
      <c r="H5316" s="123"/>
    </row>
    <row r="5317" spans="3:8" s="99" customFormat="1" x14ac:dyDescent="0.2">
      <c r="C5317" s="198"/>
      <c r="D5317" s="198"/>
      <c r="E5317" s="537"/>
      <c r="G5317" s="198"/>
      <c r="H5317" s="123"/>
    </row>
    <row r="5318" spans="3:8" s="99" customFormat="1" x14ac:dyDescent="0.2">
      <c r="C5318" s="198"/>
      <c r="D5318" s="198"/>
      <c r="E5318" s="537"/>
      <c r="G5318" s="198"/>
      <c r="H5318" s="123"/>
    </row>
    <row r="5319" spans="3:8" s="99" customFormat="1" x14ac:dyDescent="0.2">
      <c r="C5319" s="198"/>
      <c r="D5319" s="198"/>
      <c r="E5319" s="537"/>
      <c r="G5319" s="198"/>
      <c r="H5319" s="123"/>
    </row>
    <row r="5320" spans="3:8" s="99" customFormat="1" x14ac:dyDescent="0.2">
      <c r="C5320" s="198"/>
      <c r="D5320" s="198"/>
      <c r="E5320" s="537"/>
      <c r="G5320" s="198"/>
      <c r="H5320" s="123"/>
    </row>
    <row r="5321" spans="3:8" s="99" customFormat="1" x14ac:dyDescent="0.2">
      <c r="C5321" s="198"/>
      <c r="D5321" s="198"/>
      <c r="E5321" s="537"/>
      <c r="G5321" s="198"/>
      <c r="H5321" s="123"/>
    </row>
    <row r="5322" spans="3:8" s="99" customFormat="1" x14ac:dyDescent="0.2">
      <c r="C5322" s="198"/>
      <c r="D5322" s="198"/>
      <c r="E5322" s="537"/>
      <c r="G5322" s="198"/>
      <c r="H5322" s="123"/>
    </row>
    <row r="5323" spans="3:8" s="99" customFormat="1" x14ac:dyDescent="0.2">
      <c r="C5323" s="198"/>
      <c r="D5323" s="198"/>
      <c r="E5323" s="537"/>
      <c r="G5323" s="198"/>
      <c r="H5323" s="123"/>
    </row>
    <row r="5324" spans="3:8" s="99" customFormat="1" x14ac:dyDescent="0.2">
      <c r="C5324" s="198"/>
      <c r="D5324" s="198"/>
      <c r="E5324" s="537"/>
      <c r="G5324" s="198"/>
      <c r="H5324" s="123"/>
    </row>
    <row r="5325" spans="3:8" s="99" customFormat="1" x14ac:dyDescent="0.2">
      <c r="C5325" s="198"/>
      <c r="D5325" s="198"/>
      <c r="E5325" s="537"/>
      <c r="G5325" s="198"/>
      <c r="H5325" s="123"/>
    </row>
    <row r="5326" spans="3:8" s="99" customFormat="1" x14ac:dyDescent="0.2">
      <c r="C5326" s="198"/>
      <c r="D5326" s="198"/>
      <c r="E5326" s="537"/>
      <c r="G5326" s="198"/>
      <c r="H5326" s="123"/>
    </row>
    <row r="5327" spans="3:8" s="99" customFormat="1" x14ac:dyDescent="0.2">
      <c r="C5327" s="198"/>
      <c r="D5327" s="198"/>
      <c r="E5327" s="537"/>
      <c r="G5327" s="198"/>
      <c r="H5327" s="123"/>
    </row>
    <row r="5328" spans="3:8" s="99" customFormat="1" x14ac:dyDescent="0.2">
      <c r="C5328" s="198"/>
      <c r="D5328" s="198"/>
      <c r="E5328" s="537"/>
      <c r="G5328" s="198"/>
      <c r="H5328" s="123"/>
    </row>
    <row r="5329" spans="3:8" s="99" customFormat="1" x14ac:dyDescent="0.2">
      <c r="C5329" s="198"/>
      <c r="D5329" s="198"/>
      <c r="E5329" s="537"/>
      <c r="G5329" s="198"/>
      <c r="H5329" s="123"/>
    </row>
    <row r="5330" spans="3:8" s="99" customFormat="1" x14ac:dyDescent="0.2">
      <c r="C5330" s="198"/>
      <c r="D5330" s="198"/>
      <c r="E5330" s="537"/>
      <c r="G5330" s="198"/>
      <c r="H5330" s="123"/>
    </row>
    <row r="5331" spans="3:8" s="99" customFormat="1" x14ac:dyDescent="0.2">
      <c r="C5331" s="198"/>
      <c r="D5331" s="198"/>
      <c r="E5331" s="537"/>
      <c r="G5331" s="198"/>
      <c r="H5331" s="123"/>
    </row>
    <row r="5332" spans="3:8" s="99" customFormat="1" x14ac:dyDescent="0.2">
      <c r="C5332" s="198"/>
      <c r="D5332" s="198"/>
      <c r="E5332" s="537"/>
      <c r="G5332" s="198"/>
      <c r="H5332" s="123"/>
    </row>
    <row r="5333" spans="3:8" s="99" customFormat="1" x14ac:dyDescent="0.2">
      <c r="C5333" s="198"/>
      <c r="D5333" s="198"/>
      <c r="E5333" s="537"/>
      <c r="G5333" s="198"/>
      <c r="H5333" s="123"/>
    </row>
    <row r="5334" spans="3:8" s="99" customFormat="1" x14ac:dyDescent="0.2">
      <c r="C5334" s="198"/>
      <c r="D5334" s="198"/>
      <c r="E5334" s="537"/>
      <c r="G5334" s="198"/>
      <c r="H5334" s="123"/>
    </row>
    <row r="5335" spans="3:8" s="99" customFormat="1" x14ac:dyDescent="0.2">
      <c r="C5335" s="198"/>
      <c r="D5335" s="198"/>
      <c r="E5335" s="537"/>
      <c r="G5335" s="198"/>
      <c r="H5335" s="123"/>
    </row>
    <row r="5336" spans="3:8" s="99" customFormat="1" x14ac:dyDescent="0.2">
      <c r="C5336" s="198"/>
      <c r="D5336" s="198"/>
      <c r="E5336" s="537"/>
      <c r="G5336" s="198"/>
      <c r="H5336" s="123"/>
    </row>
    <row r="5337" spans="3:8" s="99" customFormat="1" x14ac:dyDescent="0.2">
      <c r="C5337" s="198"/>
      <c r="D5337" s="198"/>
      <c r="E5337" s="537"/>
      <c r="G5337" s="198"/>
      <c r="H5337" s="123"/>
    </row>
    <row r="5338" spans="3:8" s="99" customFormat="1" x14ac:dyDescent="0.2">
      <c r="C5338" s="198"/>
      <c r="D5338" s="198"/>
      <c r="E5338" s="537"/>
      <c r="G5338" s="198"/>
      <c r="H5338" s="123"/>
    </row>
    <row r="5339" spans="3:8" s="99" customFormat="1" x14ac:dyDescent="0.2">
      <c r="C5339" s="198"/>
      <c r="D5339" s="198"/>
      <c r="E5339" s="537"/>
      <c r="G5339" s="198"/>
      <c r="H5339" s="123"/>
    </row>
    <row r="5340" spans="3:8" s="99" customFormat="1" x14ac:dyDescent="0.2">
      <c r="C5340" s="198"/>
      <c r="D5340" s="198"/>
      <c r="E5340" s="537"/>
      <c r="G5340" s="198"/>
      <c r="H5340" s="123"/>
    </row>
    <row r="5341" spans="3:8" s="99" customFormat="1" x14ac:dyDescent="0.2">
      <c r="C5341" s="198"/>
      <c r="D5341" s="198"/>
      <c r="E5341" s="537"/>
      <c r="G5341" s="198"/>
      <c r="H5341" s="123"/>
    </row>
    <row r="5342" spans="3:8" s="99" customFormat="1" x14ac:dyDescent="0.2">
      <c r="C5342" s="198"/>
      <c r="D5342" s="198"/>
      <c r="E5342" s="537"/>
      <c r="G5342" s="198"/>
      <c r="H5342" s="123"/>
    </row>
    <row r="5343" spans="3:8" s="99" customFormat="1" x14ac:dyDescent="0.2">
      <c r="C5343" s="198"/>
      <c r="D5343" s="198"/>
      <c r="E5343" s="537"/>
      <c r="G5343" s="198"/>
      <c r="H5343" s="123"/>
    </row>
    <row r="5344" spans="3:8" s="99" customFormat="1" x14ac:dyDescent="0.2">
      <c r="C5344" s="198"/>
      <c r="D5344" s="198"/>
      <c r="E5344" s="537"/>
      <c r="G5344" s="198"/>
      <c r="H5344" s="123"/>
    </row>
    <row r="5345" spans="3:8" s="99" customFormat="1" x14ac:dyDescent="0.2">
      <c r="C5345" s="198"/>
      <c r="D5345" s="198"/>
      <c r="E5345" s="537"/>
      <c r="G5345" s="198"/>
      <c r="H5345" s="123"/>
    </row>
    <row r="5346" spans="3:8" s="99" customFormat="1" x14ac:dyDescent="0.2">
      <c r="C5346" s="198"/>
      <c r="D5346" s="198"/>
      <c r="E5346" s="537"/>
      <c r="G5346" s="198"/>
      <c r="H5346" s="123"/>
    </row>
    <row r="5347" spans="3:8" s="99" customFormat="1" x14ac:dyDescent="0.2">
      <c r="C5347" s="198"/>
      <c r="D5347" s="198"/>
      <c r="E5347" s="537"/>
      <c r="G5347" s="198"/>
      <c r="H5347" s="123"/>
    </row>
    <row r="5348" spans="3:8" s="99" customFormat="1" x14ac:dyDescent="0.2">
      <c r="C5348" s="198"/>
      <c r="D5348" s="198"/>
      <c r="E5348" s="537"/>
      <c r="G5348" s="198"/>
      <c r="H5348" s="123"/>
    </row>
    <row r="5349" spans="3:8" s="99" customFormat="1" x14ac:dyDescent="0.2">
      <c r="C5349" s="198"/>
      <c r="D5349" s="198"/>
      <c r="E5349" s="537"/>
      <c r="G5349" s="198"/>
      <c r="H5349" s="123"/>
    </row>
    <row r="5350" spans="3:8" s="99" customFormat="1" x14ac:dyDescent="0.2">
      <c r="C5350" s="198"/>
      <c r="D5350" s="198"/>
      <c r="E5350" s="537"/>
      <c r="G5350" s="198"/>
      <c r="H5350" s="123"/>
    </row>
    <row r="5351" spans="3:8" s="99" customFormat="1" x14ac:dyDescent="0.2">
      <c r="C5351" s="198"/>
      <c r="D5351" s="198"/>
      <c r="E5351" s="537"/>
      <c r="G5351" s="198"/>
      <c r="H5351" s="123"/>
    </row>
    <row r="5352" spans="3:8" s="99" customFormat="1" x14ac:dyDescent="0.2">
      <c r="C5352" s="198"/>
      <c r="D5352" s="198"/>
      <c r="E5352" s="537"/>
      <c r="G5352" s="198"/>
      <c r="H5352" s="123"/>
    </row>
    <row r="5353" spans="3:8" s="99" customFormat="1" x14ac:dyDescent="0.2">
      <c r="C5353" s="198"/>
      <c r="D5353" s="198"/>
      <c r="E5353" s="537"/>
      <c r="G5353" s="198"/>
      <c r="H5353" s="123"/>
    </row>
    <row r="5354" spans="3:8" s="99" customFormat="1" x14ac:dyDescent="0.2">
      <c r="C5354" s="198"/>
      <c r="D5354" s="198"/>
      <c r="E5354" s="537"/>
      <c r="G5354" s="198"/>
      <c r="H5354" s="123"/>
    </row>
    <row r="5355" spans="3:8" s="99" customFormat="1" x14ac:dyDescent="0.2">
      <c r="C5355" s="198"/>
      <c r="D5355" s="198"/>
      <c r="E5355" s="537"/>
      <c r="G5355" s="198"/>
      <c r="H5355" s="123"/>
    </row>
    <row r="5356" spans="3:8" s="99" customFormat="1" x14ac:dyDescent="0.2">
      <c r="C5356" s="198"/>
      <c r="D5356" s="198"/>
      <c r="E5356" s="537"/>
      <c r="G5356" s="198"/>
      <c r="H5356" s="123"/>
    </row>
    <row r="5357" spans="3:8" s="99" customFormat="1" x14ac:dyDescent="0.2">
      <c r="C5357" s="198"/>
      <c r="D5357" s="198"/>
      <c r="E5357" s="537"/>
      <c r="G5357" s="198"/>
      <c r="H5357" s="123"/>
    </row>
    <row r="5358" spans="3:8" s="99" customFormat="1" x14ac:dyDescent="0.2">
      <c r="C5358" s="198"/>
      <c r="D5358" s="198"/>
      <c r="E5358" s="537"/>
      <c r="G5358" s="198"/>
      <c r="H5358" s="123"/>
    </row>
    <row r="5359" spans="3:8" s="99" customFormat="1" x14ac:dyDescent="0.2">
      <c r="C5359" s="198"/>
      <c r="D5359" s="198"/>
      <c r="E5359" s="537"/>
      <c r="G5359" s="198"/>
      <c r="H5359" s="123"/>
    </row>
    <row r="5360" spans="3:8" s="99" customFormat="1" x14ac:dyDescent="0.2">
      <c r="C5360" s="198"/>
      <c r="D5360" s="198"/>
      <c r="E5360" s="537"/>
      <c r="G5360" s="198"/>
      <c r="H5360" s="123"/>
    </row>
    <row r="5361" spans="3:8" s="99" customFormat="1" x14ac:dyDescent="0.2">
      <c r="C5361" s="198"/>
      <c r="D5361" s="198"/>
      <c r="E5361" s="537"/>
      <c r="G5361" s="198"/>
      <c r="H5361" s="123"/>
    </row>
    <row r="5362" spans="3:8" s="99" customFormat="1" x14ac:dyDescent="0.2">
      <c r="C5362" s="198"/>
      <c r="D5362" s="198"/>
      <c r="E5362" s="537"/>
      <c r="G5362" s="198"/>
      <c r="H5362" s="123"/>
    </row>
    <row r="5363" spans="3:8" s="99" customFormat="1" x14ac:dyDescent="0.2">
      <c r="C5363" s="198"/>
      <c r="D5363" s="198"/>
      <c r="E5363" s="537"/>
      <c r="G5363" s="198"/>
      <c r="H5363" s="123"/>
    </row>
    <row r="5364" spans="3:8" s="99" customFormat="1" x14ac:dyDescent="0.2">
      <c r="C5364" s="198"/>
      <c r="D5364" s="198"/>
      <c r="E5364" s="537"/>
      <c r="G5364" s="198"/>
      <c r="H5364" s="123"/>
    </row>
    <row r="5365" spans="3:8" s="99" customFormat="1" x14ac:dyDescent="0.2">
      <c r="C5365" s="198"/>
      <c r="D5365" s="198"/>
      <c r="E5365" s="537"/>
      <c r="G5365" s="198"/>
      <c r="H5365" s="123"/>
    </row>
    <row r="5366" spans="3:8" s="99" customFormat="1" x14ac:dyDescent="0.2">
      <c r="C5366" s="198"/>
      <c r="D5366" s="198"/>
      <c r="E5366" s="537"/>
      <c r="G5366" s="198"/>
      <c r="H5366" s="123"/>
    </row>
    <row r="5367" spans="3:8" s="99" customFormat="1" x14ac:dyDescent="0.2">
      <c r="C5367" s="198"/>
      <c r="D5367" s="198"/>
      <c r="E5367" s="537"/>
      <c r="G5367" s="198"/>
      <c r="H5367" s="123"/>
    </row>
    <row r="5368" spans="3:8" s="99" customFormat="1" x14ac:dyDescent="0.2">
      <c r="C5368" s="198"/>
      <c r="D5368" s="198"/>
      <c r="E5368" s="537"/>
      <c r="G5368" s="198"/>
      <c r="H5368" s="123"/>
    </row>
    <row r="5369" spans="3:8" s="99" customFormat="1" x14ac:dyDescent="0.2">
      <c r="C5369" s="198"/>
      <c r="D5369" s="198"/>
      <c r="E5369" s="537"/>
      <c r="G5369" s="198"/>
      <c r="H5369" s="123"/>
    </row>
    <row r="5370" spans="3:8" s="99" customFormat="1" x14ac:dyDescent="0.2">
      <c r="C5370" s="198"/>
      <c r="D5370" s="198"/>
      <c r="E5370" s="537"/>
      <c r="G5370" s="198"/>
      <c r="H5370" s="123"/>
    </row>
    <row r="5371" spans="3:8" s="99" customFormat="1" x14ac:dyDescent="0.2">
      <c r="C5371" s="198"/>
      <c r="D5371" s="198"/>
      <c r="E5371" s="537"/>
      <c r="G5371" s="198"/>
      <c r="H5371" s="123"/>
    </row>
    <row r="5372" spans="3:8" s="99" customFormat="1" x14ac:dyDescent="0.2">
      <c r="C5372" s="198"/>
      <c r="D5372" s="198"/>
      <c r="E5372" s="537"/>
      <c r="G5372" s="198"/>
      <c r="H5372" s="123"/>
    </row>
    <row r="5373" spans="3:8" s="99" customFormat="1" x14ac:dyDescent="0.2">
      <c r="C5373" s="198"/>
      <c r="D5373" s="198"/>
      <c r="E5373" s="537"/>
      <c r="G5373" s="198"/>
      <c r="H5373" s="123"/>
    </row>
    <row r="5374" spans="3:8" s="99" customFormat="1" x14ac:dyDescent="0.2">
      <c r="C5374" s="198"/>
      <c r="D5374" s="198"/>
      <c r="E5374" s="537"/>
      <c r="G5374" s="198"/>
      <c r="H5374" s="123"/>
    </row>
    <row r="5375" spans="3:8" s="99" customFormat="1" x14ac:dyDescent="0.2">
      <c r="C5375" s="198"/>
      <c r="D5375" s="198"/>
      <c r="E5375" s="537"/>
      <c r="G5375" s="198"/>
      <c r="H5375" s="123"/>
    </row>
    <row r="5376" spans="3:8" s="99" customFormat="1" x14ac:dyDescent="0.2">
      <c r="C5376" s="198"/>
      <c r="D5376" s="198"/>
      <c r="E5376" s="537"/>
      <c r="G5376" s="198"/>
      <c r="H5376" s="123"/>
    </row>
    <row r="5377" spans="3:8" s="99" customFormat="1" x14ac:dyDescent="0.2">
      <c r="C5377" s="198"/>
      <c r="D5377" s="198"/>
      <c r="E5377" s="537"/>
      <c r="G5377" s="198"/>
      <c r="H5377" s="123"/>
    </row>
    <row r="5378" spans="3:8" s="99" customFormat="1" x14ac:dyDescent="0.2">
      <c r="C5378" s="198"/>
      <c r="D5378" s="198"/>
      <c r="E5378" s="537"/>
      <c r="G5378" s="198"/>
      <c r="H5378" s="123"/>
    </row>
    <row r="5379" spans="3:8" s="99" customFormat="1" x14ac:dyDescent="0.2">
      <c r="C5379" s="198"/>
      <c r="D5379" s="198"/>
      <c r="E5379" s="537"/>
      <c r="G5379" s="198"/>
      <c r="H5379" s="123"/>
    </row>
    <row r="5380" spans="3:8" s="99" customFormat="1" x14ac:dyDescent="0.2">
      <c r="C5380" s="198"/>
      <c r="D5380" s="198"/>
      <c r="E5380" s="537"/>
      <c r="G5380" s="198"/>
      <c r="H5380" s="123"/>
    </row>
    <row r="5381" spans="3:8" s="99" customFormat="1" x14ac:dyDescent="0.2">
      <c r="C5381" s="198"/>
      <c r="D5381" s="198"/>
      <c r="E5381" s="537"/>
      <c r="G5381" s="198"/>
      <c r="H5381" s="123"/>
    </row>
    <row r="5382" spans="3:8" s="99" customFormat="1" x14ac:dyDescent="0.2">
      <c r="C5382" s="198"/>
      <c r="D5382" s="198"/>
      <c r="E5382" s="537"/>
      <c r="G5382" s="198"/>
      <c r="H5382" s="123"/>
    </row>
    <row r="5383" spans="3:8" s="99" customFormat="1" x14ac:dyDescent="0.2">
      <c r="C5383" s="198"/>
      <c r="D5383" s="198"/>
      <c r="E5383" s="537"/>
      <c r="G5383" s="198"/>
      <c r="H5383" s="123"/>
    </row>
    <row r="5384" spans="3:8" s="99" customFormat="1" x14ac:dyDescent="0.2">
      <c r="C5384" s="198"/>
      <c r="D5384" s="198"/>
      <c r="E5384" s="537"/>
      <c r="G5384" s="198"/>
      <c r="H5384" s="123"/>
    </row>
    <row r="5385" spans="3:8" s="99" customFormat="1" x14ac:dyDescent="0.2">
      <c r="C5385" s="198"/>
      <c r="D5385" s="198"/>
      <c r="E5385" s="537"/>
      <c r="G5385" s="198"/>
      <c r="H5385" s="123"/>
    </row>
    <row r="5386" spans="3:8" s="99" customFormat="1" x14ac:dyDescent="0.2">
      <c r="C5386" s="198"/>
      <c r="D5386" s="198"/>
      <c r="E5386" s="537"/>
      <c r="G5386" s="198"/>
      <c r="H5386" s="123"/>
    </row>
    <row r="5387" spans="3:8" s="99" customFormat="1" x14ac:dyDescent="0.2">
      <c r="C5387" s="198"/>
      <c r="D5387" s="198"/>
      <c r="E5387" s="537"/>
      <c r="G5387" s="198"/>
      <c r="H5387" s="123"/>
    </row>
    <row r="5388" spans="3:8" s="99" customFormat="1" x14ac:dyDescent="0.2">
      <c r="C5388" s="198"/>
      <c r="D5388" s="198"/>
      <c r="E5388" s="537"/>
      <c r="G5388" s="198"/>
      <c r="H5388" s="123"/>
    </row>
    <row r="5389" spans="3:8" s="99" customFormat="1" x14ac:dyDescent="0.2">
      <c r="C5389" s="198"/>
      <c r="D5389" s="198"/>
      <c r="E5389" s="537"/>
      <c r="G5389" s="198"/>
      <c r="H5389" s="123"/>
    </row>
    <row r="5390" spans="3:8" s="99" customFormat="1" x14ac:dyDescent="0.2">
      <c r="C5390" s="198"/>
      <c r="D5390" s="198"/>
      <c r="E5390" s="537"/>
      <c r="G5390" s="198"/>
      <c r="H5390" s="123"/>
    </row>
    <row r="5391" spans="3:8" s="99" customFormat="1" x14ac:dyDescent="0.2">
      <c r="C5391" s="198"/>
      <c r="D5391" s="198"/>
      <c r="E5391" s="537"/>
      <c r="G5391" s="198"/>
      <c r="H5391" s="123"/>
    </row>
    <row r="5392" spans="3:8" s="99" customFormat="1" x14ac:dyDescent="0.2">
      <c r="C5392" s="198"/>
      <c r="D5392" s="198"/>
      <c r="E5392" s="537"/>
      <c r="G5392" s="198"/>
      <c r="H5392" s="123"/>
    </row>
    <row r="5393" spans="3:8" s="99" customFormat="1" x14ac:dyDescent="0.2">
      <c r="C5393" s="198"/>
      <c r="D5393" s="198"/>
      <c r="E5393" s="537"/>
      <c r="G5393" s="198"/>
      <c r="H5393" s="123"/>
    </row>
    <row r="5394" spans="3:8" s="99" customFormat="1" x14ac:dyDescent="0.2">
      <c r="C5394" s="198"/>
      <c r="D5394" s="198"/>
      <c r="E5394" s="537"/>
      <c r="G5394" s="198"/>
      <c r="H5394" s="123"/>
    </row>
    <row r="5395" spans="3:8" s="99" customFormat="1" x14ac:dyDescent="0.2">
      <c r="C5395" s="198"/>
      <c r="D5395" s="198"/>
      <c r="E5395" s="537"/>
      <c r="G5395" s="198"/>
      <c r="H5395" s="123"/>
    </row>
    <row r="5396" spans="3:8" s="99" customFormat="1" x14ac:dyDescent="0.2">
      <c r="C5396" s="198"/>
      <c r="D5396" s="198"/>
      <c r="E5396" s="537"/>
      <c r="G5396" s="198"/>
      <c r="H5396" s="123"/>
    </row>
    <row r="5397" spans="3:8" s="99" customFormat="1" x14ac:dyDescent="0.2">
      <c r="C5397" s="198"/>
      <c r="D5397" s="198"/>
      <c r="E5397" s="537"/>
      <c r="G5397" s="198"/>
      <c r="H5397" s="123"/>
    </row>
    <row r="5398" spans="3:8" s="99" customFormat="1" x14ac:dyDescent="0.2">
      <c r="C5398" s="198"/>
      <c r="D5398" s="198"/>
      <c r="E5398" s="537"/>
      <c r="G5398" s="198"/>
      <c r="H5398" s="123"/>
    </row>
    <row r="5399" spans="3:8" s="99" customFormat="1" x14ac:dyDescent="0.2">
      <c r="C5399" s="198"/>
      <c r="D5399" s="198"/>
      <c r="E5399" s="537"/>
      <c r="G5399" s="198"/>
      <c r="H5399" s="123"/>
    </row>
    <row r="5400" spans="3:8" s="99" customFormat="1" x14ac:dyDescent="0.2">
      <c r="C5400" s="198"/>
      <c r="D5400" s="198"/>
      <c r="E5400" s="537"/>
      <c r="G5400" s="198"/>
      <c r="H5400" s="123"/>
    </row>
    <row r="5401" spans="3:8" s="99" customFormat="1" x14ac:dyDescent="0.2">
      <c r="C5401" s="198"/>
      <c r="D5401" s="198"/>
      <c r="E5401" s="537"/>
      <c r="G5401" s="198"/>
      <c r="H5401" s="123"/>
    </row>
    <row r="5402" spans="3:8" s="99" customFormat="1" x14ac:dyDescent="0.2">
      <c r="C5402" s="198"/>
      <c r="D5402" s="198"/>
      <c r="E5402" s="537"/>
      <c r="G5402" s="198"/>
      <c r="H5402" s="123"/>
    </row>
    <row r="5403" spans="3:8" s="99" customFormat="1" x14ac:dyDescent="0.2">
      <c r="C5403" s="198"/>
      <c r="D5403" s="198"/>
      <c r="E5403" s="537"/>
      <c r="G5403" s="198"/>
      <c r="H5403" s="123"/>
    </row>
    <row r="5404" spans="3:8" s="99" customFormat="1" x14ac:dyDescent="0.2">
      <c r="C5404" s="198"/>
      <c r="D5404" s="198"/>
      <c r="E5404" s="537"/>
      <c r="G5404" s="198"/>
      <c r="H5404" s="123"/>
    </row>
    <row r="5405" spans="3:8" s="99" customFormat="1" x14ac:dyDescent="0.2">
      <c r="C5405" s="198"/>
      <c r="D5405" s="198"/>
      <c r="E5405" s="537"/>
      <c r="G5405" s="198"/>
      <c r="H5405" s="123"/>
    </row>
    <row r="5406" spans="3:8" s="99" customFormat="1" x14ac:dyDescent="0.2">
      <c r="C5406" s="198"/>
      <c r="D5406" s="198"/>
      <c r="E5406" s="537"/>
      <c r="G5406" s="198"/>
      <c r="H5406" s="123"/>
    </row>
    <row r="5407" spans="3:8" s="99" customFormat="1" x14ac:dyDescent="0.2">
      <c r="C5407" s="198"/>
      <c r="D5407" s="198"/>
      <c r="E5407" s="537"/>
      <c r="G5407" s="198"/>
      <c r="H5407" s="123"/>
    </row>
    <row r="5408" spans="3:8" s="99" customFormat="1" x14ac:dyDescent="0.2">
      <c r="C5408" s="198"/>
      <c r="D5408" s="198"/>
      <c r="E5408" s="537"/>
      <c r="G5408" s="198"/>
      <c r="H5408" s="123"/>
    </row>
    <row r="5409" spans="3:8" s="99" customFormat="1" x14ac:dyDescent="0.2">
      <c r="C5409" s="198"/>
      <c r="D5409" s="198"/>
      <c r="E5409" s="537"/>
      <c r="G5409" s="198"/>
      <c r="H5409" s="123"/>
    </row>
    <row r="5410" spans="3:8" s="99" customFormat="1" x14ac:dyDescent="0.2">
      <c r="C5410" s="198"/>
      <c r="D5410" s="198"/>
      <c r="E5410" s="537"/>
      <c r="G5410" s="198"/>
      <c r="H5410" s="123"/>
    </row>
    <row r="5411" spans="3:8" s="99" customFormat="1" x14ac:dyDescent="0.2">
      <c r="C5411" s="198"/>
      <c r="D5411" s="198"/>
      <c r="E5411" s="537"/>
      <c r="G5411" s="198"/>
      <c r="H5411" s="123"/>
    </row>
    <row r="5412" spans="3:8" s="99" customFormat="1" x14ac:dyDescent="0.2">
      <c r="C5412" s="198"/>
      <c r="D5412" s="198"/>
      <c r="E5412" s="537"/>
      <c r="G5412" s="198"/>
      <c r="H5412" s="123"/>
    </row>
    <row r="5413" spans="3:8" s="99" customFormat="1" x14ac:dyDescent="0.2">
      <c r="C5413" s="198"/>
      <c r="D5413" s="198"/>
      <c r="E5413" s="537"/>
      <c r="G5413" s="198"/>
      <c r="H5413" s="123"/>
    </row>
    <row r="5414" spans="3:8" s="99" customFormat="1" x14ac:dyDescent="0.2">
      <c r="C5414" s="198"/>
      <c r="D5414" s="198"/>
      <c r="E5414" s="537"/>
      <c r="G5414" s="198"/>
      <c r="H5414" s="123"/>
    </row>
    <row r="5415" spans="3:8" s="99" customFormat="1" x14ac:dyDescent="0.2">
      <c r="C5415" s="198"/>
      <c r="D5415" s="198"/>
      <c r="E5415" s="537"/>
      <c r="G5415" s="198"/>
      <c r="H5415" s="123"/>
    </row>
    <row r="5416" spans="3:8" s="99" customFormat="1" x14ac:dyDescent="0.2">
      <c r="C5416" s="198"/>
      <c r="D5416" s="198"/>
      <c r="E5416" s="537"/>
      <c r="G5416" s="198"/>
      <c r="H5416" s="123"/>
    </row>
    <row r="5417" spans="3:8" s="99" customFormat="1" x14ac:dyDescent="0.2">
      <c r="C5417" s="198"/>
      <c r="D5417" s="198"/>
      <c r="E5417" s="537"/>
      <c r="G5417" s="198"/>
      <c r="H5417" s="123"/>
    </row>
    <row r="5418" spans="3:8" s="99" customFormat="1" x14ac:dyDescent="0.2">
      <c r="C5418" s="198"/>
      <c r="D5418" s="198"/>
      <c r="E5418" s="537"/>
      <c r="G5418" s="198"/>
      <c r="H5418" s="123"/>
    </row>
    <row r="5419" spans="3:8" s="99" customFormat="1" x14ac:dyDescent="0.2">
      <c r="C5419" s="198"/>
      <c r="D5419" s="198"/>
      <c r="E5419" s="537"/>
      <c r="G5419" s="198"/>
      <c r="H5419" s="123"/>
    </row>
    <row r="5420" spans="3:8" s="99" customFormat="1" x14ac:dyDescent="0.2">
      <c r="C5420" s="198"/>
      <c r="D5420" s="198"/>
      <c r="E5420" s="537"/>
      <c r="G5420" s="198"/>
      <c r="H5420" s="123"/>
    </row>
    <row r="5421" spans="3:8" s="99" customFormat="1" x14ac:dyDescent="0.2">
      <c r="C5421" s="198"/>
      <c r="D5421" s="198"/>
      <c r="E5421" s="537"/>
      <c r="G5421" s="198"/>
      <c r="H5421" s="123"/>
    </row>
    <row r="5422" spans="3:8" s="99" customFormat="1" x14ac:dyDescent="0.2">
      <c r="C5422" s="198"/>
      <c r="D5422" s="198"/>
      <c r="E5422" s="537"/>
      <c r="G5422" s="198"/>
      <c r="H5422" s="123"/>
    </row>
    <row r="5423" spans="3:8" s="99" customFormat="1" x14ac:dyDescent="0.2">
      <c r="C5423" s="198"/>
      <c r="D5423" s="198"/>
      <c r="E5423" s="537"/>
      <c r="G5423" s="198"/>
      <c r="H5423" s="123"/>
    </row>
    <row r="5424" spans="3:8" s="99" customFormat="1" x14ac:dyDescent="0.2">
      <c r="C5424" s="198"/>
      <c r="D5424" s="198"/>
      <c r="E5424" s="537"/>
      <c r="G5424" s="198"/>
      <c r="H5424" s="123"/>
    </row>
    <row r="5425" spans="3:8" s="99" customFormat="1" x14ac:dyDescent="0.2">
      <c r="C5425" s="198"/>
      <c r="D5425" s="198"/>
      <c r="E5425" s="537"/>
      <c r="G5425" s="198"/>
      <c r="H5425" s="123"/>
    </row>
    <row r="5426" spans="3:8" s="99" customFormat="1" x14ac:dyDescent="0.2">
      <c r="C5426" s="198"/>
      <c r="D5426" s="198"/>
      <c r="E5426" s="537"/>
      <c r="G5426" s="198"/>
      <c r="H5426" s="123"/>
    </row>
    <row r="5427" spans="3:8" s="99" customFormat="1" x14ac:dyDescent="0.2">
      <c r="C5427" s="198"/>
      <c r="D5427" s="198"/>
      <c r="E5427" s="537"/>
      <c r="G5427" s="198"/>
      <c r="H5427" s="123"/>
    </row>
    <row r="5428" spans="3:8" s="99" customFormat="1" x14ac:dyDescent="0.2">
      <c r="C5428" s="198"/>
      <c r="D5428" s="198"/>
      <c r="E5428" s="537"/>
      <c r="G5428" s="198"/>
      <c r="H5428" s="123"/>
    </row>
    <row r="5429" spans="3:8" s="99" customFormat="1" x14ac:dyDescent="0.2">
      <c r="C5429" s="198"/>
      <c r="D5429" s="198"/>
      <c r="E5429" s="537"/>
      <c r="G5429" s="198"/>
      <c r="H5429" s="123"/>
    </row>
    <row r="5430" spans="3:8" s="99" customFormat="1" x14ac:dyDescent="0.2">
      <c r="C5430" s="198"/>
      <c r="D5430" s="198"/>
      <c r="E5430" s="537"/>
      <c r="G5430" s="198"/>
      <c r="H5430" s="123"/>
    </row>
    <row r="5431" spans="3:8" s="99" customFormat="1" x14ac:dyDescent="0.2">
      <c r="C5431" s="198"/>
      <c r="D5431" s="198"/>
      <c r="E5431" s="537"/>
      <c r="G5431" s="198"/>
      <c r="H5431" s="123"/>
    </row>
    <row r="5432" spans="3:8" s="99" customFormat="1" x14ac:dyDescent="0.2">
      <c r="C5432" s="198"/>
      <c r="D5432" s="198"/>
      <c r="E5432" s="537"/>
      <c r="G5432" s="198"/>
      <c r="H5432" s="123"/>
    </row>
    <row r="5433" spans="3:8" s="99" customFormat="1" x14ac:dyDescent="0.2">
      <c r="C5433" s="198"/>
      <c r="D5433" s="198"/>
      <c r="E5433" s="537"/>
      <c r="G5433" s="198"/>
      <c r="H5433" s="123"/>
    </row>
    <row r="5434" spans="3:8" s="99" customFormat="1" x14ac:dyDescent="0.2">
      <c r="C5434" s="198"/>
      <c r="D5434" s="198"/>
      <c r="E5434" s="537"/>
      <c r="G5434" s="198"/>
      <c r="H5434" s="123"/>
    </row>
    <row r="5435" spans="3:8" s="99" customFormat="1" x14ac:dyDescent="0.2">
      <c r="C5435" s="198"/>
      <c r="D5435" s="198"/>
      <c r="E5435" s="537"/>
      <c r="G5435" s="198"/>
      <c r="H5435" s="123"/>
    </row>
    <row r="5436" spans="3:8" s="99" customFormat="1" x14ac:dyDescent="0.2">
      <c r="C5436" s="198"/>
      <c r="D5436" s="198"/>
      <c r="E5436" s="537"/>
      <c r="G5436" s="198"/>
      <c r="H5436" s="123"/>
    </row>
    <row r="5437" spans="3:8" s="99" customFormat="1" x14ac:dyDescent="0.2">
      <c r="C5437" s="198"/>
      <c r="D5437" s="198"/>
      <c r="E5437" s="537"/>
      <c r="G5437" s="198"/>
      <c r="H5437" s="123"/>
    </row>
    <row r="5438" spans="3:8" s="99" customFormat="1" x14ac:dyDescent="0.2">
      <c r="C5438" s="198"/>
      <c r="D5438" s="198"/>
      <c r="E5438" s="537"/>
      <c r="G5438" s="198"/>
      <c r="H5438" s="123"/>
    </row>
    <row r="5439" spans="3:8" s="99" customFormat="1" x14ac:dyDescent="0.2">
      <c r="C5439" s="198"/>
      <c r="D5439" s="198"/>
      <c r="E5439" s="537"/>
      <c r="G5439" s="198"/>
      <c r="H5439" s="123"/>
    </row>
    <row r="5440" spans="3:8" s="99" customFormat="1" x14ac:dyDescent="0.2">
      <c r="C5440" s="198"/>
      <c r="D5440" s="198"/>
      <c r="E5440" s="537"/>
      <c r="G5440" s="198"/>
      <c r="H5440" s="123"/>
    </row>
    <row r="5441" spans="3:8" s="99" customFormat="1" x14ac:dyDescent="0.2">
      <c r="C5441" s="198"/>
      <c r="D5441" s="198"/>
      <c r="E5441" s="537"/>
      <c r="G5441" s="198"/>
      <c r="H5441" s="123"/>
    </row>
    <row r="5442" spans="3:8" s="99" customFormat="1" x14ac:dyDescent="0.2">
      <c r="C5442" s="198"/>
      <c r="D5442" s="198"/>
      <c r="E5442" s="537"/>
      <c r="G5442" s="198"/>
      <c r="H5442" s="123"/>
    </row>
    <row r="5443" spans="3:8" s="99" customFormat="1" x14ac:dyDescent="0.2">
      <c r="C5443" s="198"/>
      <c r="D5443" s="198"/>
      <c r="E5443" s="537"/>
      <c r="G5443" s="198"/>
      <c r="H5443" s="123"/>
    </row>
    <row r="5444" spans="3:8" s="99" customFormat="1" x14ac:dyDescent="0.2">
      <c r="C5444" s="198"/>
      <c r="D5444" s="198"/>
      <c r="E5444" s="537"/>
      <c r="G5444" s="198"/>
      <c r="H5444" s="123"/>
    </row>
    <row r="5445" spans="3:8" s="99" customFormat="1" x14ac:dyDescent="0.2">
      <c r="C5445" s="198"/>
      <c r="D5445" s="198"/>
      <c r="E5445" s="537"/>
      <c r="G5445" s="198"/>
      <c r="H5445" s="123"/>
    </row>
    <row r="5446" spans="3:8" s="99" customFormat="1" x14ac:dyDescent="0.2">
      <c r="C5446" s="198"/>
      <c r="D5446" s="198"/>
      <c r="E5446" s="537"/>
      <c r="G5446" s="198"/>
      <c r="H5446" s="123"/>
    </row>
    <row r="5447" spans="3:8" s="99" customFormat="1" x14ac:dyDescent="0.2">
      <c r="C5447" s="198"/>
      <c r="D5447" s="198"/>
      <c r="E5447" s="537"/>
      <c r="G5447" s="198"/>
      <c r="H5447" s="123"/>
    </row>
    <row r="5448" spans="3:8" s="99" customFormat="1" x14ac:dyDescent="0.2">
      <c r="C5448" s="198"/>
      <c r="D5448" s="198"/>
      <c r="E5448" s="537"/>
      <c r="G5448" s="198"/>
      <c r="H5448" s="123"/>
    </row>
    <row r="5449" spans="3:8" s="99" customFormat="1" x14ac:dyDescent="0.2">
      <c r="C5449" s="198"/>
      <c r="D5449" s="198"/>
      <c r="E5449" s="537"/>
      <c r="G5449" s="198"/>
      <c r="H5449" s="123"/>
    </row>
    <row r="5450" spans="3:8" s="99" customFormat="1" x14ac:dyDescent="0.2">
      <c r="C5450" s="198"/>
      <c r="D5450" s="198"/>
      <c r="E5450" s="537"/>
      <c r="G5450" s="198"/>
      <c r="H5450" s="123"/>
    </row>
    <row r="5451" spans="3:8" s="99" customFormat="1" x14ac:dyDescent="0.2">
      <c r="C5451" s="198"/>
      <c r="D5451" s="198"/>
      <c r="E5451" s="537"/>
      <c r="G5451" s="198"/>
      <c r="H5451" s="123"/>
    </row>
    <row r="5452" spans="3:8" s="99" customFormat="1" x14ac:dyDescent="0.2">
      <c r="C5452" s="198"/>
      <c r="D5452" s="198"/>
      <c r="E5452" s="537"/>
      <c r="G5452" s="198"/>
      <c r="H5452" s="123"/>
    </row>
    <row r="5453" spans="3:8" s="99" customFormat="1" x14ac:dyDescent="0.2">
      <c r="C5453" s="198"/>
      <c r="D5453" s="198"/>
      <c r="E5453" s="537"/>
      <c r="G5453" s="198"/>
      <c r="H5453" s="123"/>
    </row>
    <row r="5454" spans="3:8" s="99" customFormat="1" x14ac:dyDescent="0.2">
      <c r="C5454" s="198"/>
      <c r="D5454" s="198"/>
      <c r="E5454" s="537"/>
      <c r="G5454" s="198"/>
      <c r="H5454" s="123"/>
    </row>
    <row r="5455" spans="3:8" s="99" customFormat="1" x14ac:dyDescent="0.2">
      <c r="C5455" s="198"/>
      <c r="D5455" s="198"/>
      <c r="E5455" s="537"/>
      <c r="G5455" s="198"/>
      <c r="H5455" s="123"/>
    </row>
    <row r="5456" spans="3:8" s="99" customFormat="1" x14ac:dyDescent="0.2">
      <c r="C5456" s="198"/>
      <c r="D5456" s="198"/>
      <c r="E5456" s="537"/>
      <c r="G5456" s="198"/>
      <c r="H5456" s="123"/>
    </row>
    <row r="5457" spans="3:8" s="99" customFormat="1" x14ac:dyDescent="0.2">
      <c r="C5457" s="198"/>
      <c r="D5457" s="198"/>
      <c r="E5457" s="537"/>
      <c r="G5457" s="198"/>
      <c r="H5457" s="123"/>
    </row>
    <row r="5458" spans="3:8" s="99" customFormat="1" x14ac:dyDescent="0.2">
      <c r="C5458" s="198"/>
      <c r="D5458" s="198"/>
      <c r="E5458" s="537"/>
      <c r="G5458" s="198"/>
      <c r="H5458" s="123"/>
    </row>
    <row r="5459" spans="3:8" s="99" customFormat="1" x14ac:dyDescent="0.2">
      <c r="C5459" s="198"/>
      <c r="D5459" s="198"/>
      <c r="E5459" s="537"/>
      <c r="G5459" s="198"/>
      <c r="H5459" s="123"/>
    </row>
    <row r="5460" spans="3:8" s="99" customFormat="1" x14ac:dyDescent="0.2">
      <c r="C5460" s="198"/>
      <c r="D5460" s="198"/>
      <c r="E5460" s="537"/>
      <c r="G5460" s="198"/>
      <c r="H5460" s="123"/>
    </row>
    <row r="5461" spans="3:8" s="99" customFormat="1" x14ac:dyDescent="0.2">
      <c r="C5461" s="198"/>
      <c r="D5461" s="198"/>
      <c r="E5461" s="537"/>
      <c r="G5461" s="198"/>
      <c r="H5461" s="123"/>
    </row>
    <row r="5462" spans="3:8" s="99" customFormat="1" x14ac:dyDescent="0.2">
      <c r="C5462" s="198"/>
      <c r="D5462" s="198"/>
      <c r="E5462" s="537"/>
      <c r="G5462" s="198"/>
      <c r="H5462" s="123"/>
    </row>
    <row r="5463" spans="3:8" s="99" customFormat="1" x14ac:dyDescent="0.2">
      <c r="C5463" s="198"/>
      <c r="D5463" s="198"/>
      <c r="E5463" s="537"/>
      <c r="G5463" s="198"/>
      <c r="H5463" s="123"/>
    </row>
    <row r="5464" spans="3:8" s="99" customFormat="1" x14ac:dyDescent="0.2">
      <c r="C5464" s="198"/>
      <c r="D5464" s="198"/>
      <c r="E5464" s="537"/>
      <c r="G5464" s="198"/>
      <c r="H5464" s="123"/>
    </row>
    <row r="5465" spans="3:8" s="99" customFormat="1" x14ac:dyDescent="0.2">
      <c r="C5465" s="198"/>
      <c r="D5465" s="198"/>
      <c r="E5465" s="537"/>
      <c r="G5465" s="198"/>
      <c r="H5465" s="123"/>
    </row>
    <row r="5466" spans="3:8" s="99" customFormat="1" x14ac:dyDescent="0.2">
      <c r="C5466" s="198"/>
      <c r="D5466" s="198"/>
      <c r="E5466" s="537"/>
      <c r="G5466" s="198"/>
      <c r="H5466" s="123"/>
    </row>
    <row r="5467" spans="3:8" s="99" customFormat="1" x14ac:dyDescent="0.2">
      <c r="C5467" s="198"/>
      <c r="D5467" s="198"/>
      <c r="E5467" s="537"/>
      <c r="G5467" s="198"/>
      <c r="H5467" s="123"/>
    </row>
    <row r="5468" spans="3:8" s="99" customFormat="1" x14ac:dyDescent="0.2">
      <c r="C5468" s="198"/>
      <c r="D5468" s="198"/>
      <c r="E5468" s="537"/>
      <c r="G5468" s="198"/>
      <c r="H5468" s="123"/>
    </row>
    <row r="5469" spans="3:8" s="99" customFormat="1" x14ac:dyDescent="0.2">
      <c r="C5469" s="198"/>
      <c r="D5469" s="198"/>
      <c r="E5469" s="537"/>
      <c r="G5469" s="198"/>
      <c r="H5469" s="123"/>
    </row>
    <row r="5470" spans="3:8" s="99" customFormat="1" x14ac:dyDescent="0.2">
      <c r="C5470" s="198"/>
      <c r="D5470" s="198"/>
      <c r="E5470" s="537"/>
      <c r="G5470" s="198"/>
      <c r="H5470" s="123"/>
    </row>
    <row r="5471" spans="3:8" s="99" customFormat="1" x14ac:dyDescent="0.2">
      <c r="C5471" s="198"/>
      <c r="D5471" s="198"/>
      <c r="E5471" s="537"/>
      <c r="G5471" s="198"/>
      <c r="H5471" s="123"/>
    </row>
    <row r="5472" spans="3:8" s="99" customFormat="1" x14ac:dyDescent="0.2">
      <c r="C5472" s="198"/>
      <c r="D5472" s="198"/>
      <c r="E5472" s="537"/>
      <c r="G5472" s="198"/>
      <c r="H5472" s="123"/>
    </row>
    <row r="5473" spans="3:8" s="99" customFormat="1" x14ac:dyDescent="0.2">
      <c r="C5473" s="198"/>
      <c r="D5473" s="198"/>
      <c r="E5473" s="537"/>
      <c r="G5473" s="198"/>
      <c r="H5473" s="123"/>
    </row>
    <row r="5474" spans="3:8" s="99" customFormat="1" x14ac:dyDescent="0.2">
      <c r="C5474" s="198"/>
      <c r="D5474" s="198"/>
      <c r="E5474" s="537"/>
      <c r="G5474" s="198"/>
      <c r="H5474" s="123"/>
    </row>
    <row r="5475" spans="3:8" s="99" customFormat="1" x14ac:dyDescent="0.2">
      <c r="C5475" s="198"/>
      <c r="D5475" s="198"/>
      <c r="E5475" s="537"/>
      <c r="G5475" s="198"/>
      <c r="H5475" s="123"/>
    </row>
    <row r="5476" spans="3:8" s="99" customFormat="1" x14ac:dyDescent="0.2">
      <c r="C5476" s="198"/>
      <c r="D5476" s="198"/>
      <c r="E5476" s="537"/>
      <c r="G5476" s="198"/>
      <c r="H5476" s="123"/>
    </row>
    <row r="5477" spans="3:8" s="99" customFormat="1" x14ac:dyDescent="0.2">
      <c r="C5477" s="198"/>
      <c r="D5477" s="198"/>
      <c r="E5477" s="537"/>
      <c r="G5477" s="198"/>
      <c r="H5477" s="123"/>
    </row>
    <row r="5478" spans="3:8" s="99" customFormat="1" x14ac:dyDescent="0.2">
      <c r="C5478" s="198"/>
      <c r="D5478" s="198"/>
      <c r="E5478" s="537"/>
      <c r="G5478" s="198"/>
      <c r="H5478" s="123"/>
    </row>
    <row r="5479" spans="3:8" s="99" customFormat="1" x14ac:dyDescent="0.2">
      <c r="C5479" s="198"/>
      <c r="D5479" s="198"/>
      <c r="E5479" s="537"/>
      <c r="G5479" s="198"/>
      <c r="H5479" s="123"/>
    </row>
    <row r="5480" spans="3:8" s="99" customFormat="1" x14ac:dyDescent="0.2">
      <c r="C5480" s="198"/>
      <c r="D5480" s="198"/>
      <c r="E5480" s="537"/>
      <c r="G5480" s="198"/>
      <c r="H5480" s="123"/>
    </row>
    <row r="5481" spans="3:8" s="99" customFormat="1" x14ac:dyDescent="0.2">
      <c r="C5481" s="198"/>
      <c r="D5481" s="198"/>
      <c r="E5481" s="537"/>
      <c r="G5481" s="198"/>
      <c r="H5481" s="123"/>
    </row>
    <row r="5482" spans="3:8" s="99" customFormat="1" x14ac:dyDescent="0.2">
      <c r="C5482" s="198"/>
      <c r="D5482" s="198"/>
      <c r="E5482" s="537"/>
      <c r="G5482" s="198"/>
      <c r="H5482" s="123"/>
    </row>
    <row r="5483" spans="3:8" s="99" customFormat="1" x14ac:dyDescent="0.2">
      <c r="C5483" s="198"/>
      <c r="D5483" s="198"/>
      <c r="E5483" s="537"/>
      <c r="G5483" s="198"/>
      <c r="H5483" s="123"/>
    </row>
    <row r="5484" spans="3:8" s="99" customFormat="1" x14ac:dyDescent="0.2">
      <c r="C5484" s="198"/>
      <c r="D5484" s="198"/>
      <c r="E5484" s="537"/>
      <c r="G5484" s="198"/>
      <c r="H5484" s="123"/>
    </row>
    <row r="5485" spans="3:8" s="99" customFormat="1" x14ac:dyDescent="0.2">
      <c r="C5485" s="198"/>
      <c r="D5485" s="198"/>
      <c r="E5485" s="537"/>
      <c r="G5485" s="198"/>
      <c r="H5485" s="123"/>
    </row>
    <row r="5486" spans="3:8" s="99" customFormat="1" x14ac:dyDescent="0.2">
      <c r="C5486" s="198"/>
      <c r="D5486" s="198"/>
      <c r="E5486" s="537"/>
      <c r="G5486" s="198"/>
      <c r="H5486" s="123"/>
    </row>
    <row r="5487" spans="3:8" s="99" customFormat="1" x14ac:dyDescent="0.2">
      <c r="C5487" s="198"/>
      <c r="D5487" s="198"/>
      <c r="E5487" s="537"/>
      <c r="G5487" s="198"/>
      <c r="H5487" s="123"/>
    </row>
    <row r="5488" spans="3:8" s="99" customFormat="1" x14ac:dyDescent="0.2">
      <c r="C5488" s="198"/>
      <c r="D5488" s="198"/>
      <c r="E5488" s="537"/>
      <c r="G5488" s="198"/>
      <c r="H5488" s="123"/>
    </row>
    <row r="5489" spans="3:8" s="99" customFormat="1" x14ac:dyDescent="0.2">
      <c r="C5489" s="198"/>
      <c r="D5489" s="198"/>
      <c r="E5489" s="537"/>
      <c r="G5489" s="198"/>
      <c r="H5489" s="123"/>
    </row>
    <row r="5490" spans="3:8" s="99" customFormat="1" x14ac:dyDescent="0.2">
      <c r="C5490" s="198"/>
      <c r="D5490" s="198"/>
      <c r="E5490" s="537"/>
      <c r="G5490" s="198"/>
      <c r="H5490" s="123"/>
    </row>
    <row r="5491" spans="3:8" s="99" customFormat="1" x14ac:dyDescent="0.2">
      <c r="C5491" s="198"/>
      <c r="D5491" s="198"/>
      <c r="E5491" s="537"/>
      <c r="G5491" s="198"/>
      <c r="H5491" s="123"/>
    </row>
    <row r="5492" spans="3:8" s="99" customFormat="1" x14ac:dyDescent="0.2">
      <c r="C5492" s="198"/>
      <c r="D5492" s="198"/>
      <c r="E5492" s="537"/>
      <c r="G5492" s="198"/>
      <c r="H5492" s="123"/>
    </row>
    <row r="5493" spans="3:8" s="99" customFormat="1" x14ac:dyDescent="0.2">
      <c r="C5493" s="198"/>
      <c r="D5493" s="198"/>
      <c r="E5493" s="537"/>
      <c r="G5493" s="198"/>
      <c r="H5493" s="123"/>
    </row>
    <row r="5494" spans="3:8" s="99" customFormat="1" x14ac:dyDescent="0.2">
      <c r="C5494" s="198"/>
      <c r="D5494" s="198"/>
      <c r="E5494" s="537"/>
      <c r="G5494" s="198"/>
      <c r="H5494" s="123"/>
    </row>
    <row r="5495" spans="3:8" s="99" customFormat="1" x14ac:dyDescent="0.2">
      <c r="C5495" s="198"/>
      <c r="D5495" s="198"/>
      <c r="E5495" s="537"/>
      <c r="G5495" s="198"/>
      <c r="H5495" s="123"/>
    </row>
    <row r="5496" spans="3:8" s="99" customFormat="1" x14ac:dyDescent="0.2">
      <c r="C5496" s="198"/>
      <c r="D5496" s="198"/>
      <c r="E5496" s="537"/>
      <c r="G5496" s="198"/>
      <c r="H5496" s="123"/>
    </row>
    <row r="5497" spans="3:8" s="99" customFormat="1" x14ac:dyDescent="0.2">
      <c r="C5497" s="198"/>
      <c r="D5497" s="198"/>
      <c r="E5497" s="537"/>
      <c r="G5497" s="198"/>
      <c r="H5497" s="123"/>
    </row>
    <row r="5498" spans="3:8" s="99" customFormat="1" x14ac:dyDescent="0.2">
      <c r="C5498" s="198"/>
      <c r="D5498" s="198"/>
      <c r="E5498" s="537"/>
      <c r="G5498" s="198"/>
      <c r="H5498" s="123"/>
    </row>
    <row r="5499" spans="3:8" s="99" customFormat="1" x14ac:dyDescent="0.2">
      <c r="C5499" s="198"/>
      <c r="D5499" s="198"/>
      <c r="E5499" s="537"/>
      <c r="G5499" s="198"/>
      <c r="H5499" s="123"/>
    </row>
    <row r="5500" spans="3:8" s="99" customFormat="1" x14ac:dyDescent="0.2">
      <c r="C5500" s="198"/>
      <c r="D5500" s="198"/>
      <c r="E5500" s="537"/>
      <c r="G5500" s="198"/>
      <c r="H5500" s="123"/>
    </row>
    <row r="5501" spans="3:8" s="99" customFormat="1" x14ac:dyDescent="0.2">
      <c r="C5501" s="198"/>
      <c r="D5501" s="198"/>
      <c r="E5501" s="537"/>
      <c r="G5501" s="198"/>
      <c r="H5501" s="123"/>
    </row>
    <row r="5502" spans="3:8" s="99" customFormat="1" x14ac:dyDescent="0.2">
      <c r="C5502" s="198"/>
      <c r="D5502" s="198"/>
      <c r="E5502" s="537"/>
      <c r="G5502" s="198"/>
      <c r="H5502" s="123"/>
    </row>
    <row r="5503" spans="3:8" s="99" customFormat="1" x14ac:dyDescent="0.2">
      <c r="C5503" s="198"/>
      <c r="D5503" s="198"/>
      <c r="E5503" s="537"/>
      <c r="G5503" s="198"/>
      <c r="H5503" s="123"/>
    </row>
    <row r="5504" spans="3:8" s="99" customFormat="1" x14ac:dyDescent="0.2">
      <c r="C5504" s="198"/>
      <c r="D5504" s="198"/>
      <c r="E5504" s="537"/>
      <c r="G5504" s="198"/>
      <c r="H5504" s="123"/>
    </row>
    <row r="5505" spans="3:8" s="99" customFormat="1" x14ac:dyDescent="0.2">
      <c r="C5505" s="198"/>
      <c r="D5505" s="198"/>
      <c r="E5505" s="537"/>
      <c r="G5505" s="198"/>
      <c r="H5505" s="123"/>
    </row>
    <row r="5506" spans="3:8" s="99" customFormat="1" x14ac:dyDescent="0.2">
      <c r="C5506" s="198"/>
      <c r="D5506" s="198"/>
      <c r="E5506" s="537"/>
      <c r="G5506" s="198"/>
      <c r="H5506" s="123"/>
    </row>
    <row r="5507" spans="3:8" s="99" customFormat="1" x14ac:dyDescent="0.2">
      <c r="C5507" s="198"/>
      <c r="D5507" s="198"/>
      <c r="E5507" s="537"/>
      <c r="G5507" s="198"/>
      <c r="H5507" s="123"/>
    </row>
    <row r="5508" spans="3:8" s="99" customFormat="1" x14ac:dyDescent="0.2">
      <c r="C5508" s="198"/>
      <c r="D5508" s="198"/>
      <c r="E5508" s="537"/>
      <c r="G5508" s="198"/>
      <c r="H5508" s="123"/>
    </row>
    <row r="5509" spans="3:8" s="99" customFormat="1" x14ac:dyDescent="0.2">
      <c r="C5509" s="198"/>
      <c r="D5509" s="198"/>
      <c r="E5509" s="537"/>
      <c r="G5509" s="198"/>
      <c r="H5509" s="123"/>
    </row>
    <row r="5510" spans="3:8" s="99" customFormat="1" x14ac:dyDescent="0.2">
      <c r="C5510" s="198"/>
      <c r="D5510" s="198"/>
      <c r="E5510" s="537"/>
      <c r="G5510" s="198"/>
      <c r="H5510" s="123"/>
    </row>
    <row r="5511" spans="3:8" s="99" customFormat="1" x14ac:dyDescent="0.2">
      <c r="C5511" s="198"/>
      <c r="D5511" s="198"/>
      <c r="E5511" s="537"/>
      <c r="G5511" s="198"/>
      <c r="H5511" s="123"/>
    </row>
    <row r="5512" spans="3:8" s="99" customFormat="1" x14ac:dyDescent="0.2">
      <c r="C5512" s="198"/>
      <c r="D5512" s="198"/>
      <c r="E5512" s="537"/>
      <c r="G5512" s="198"/>
      <c r="H5512" s="123"/>
    </row>
    <row r="5513" spans="3:8" s="99" customFormat="1" x14ac:dyDescent="0.2">
      <c r="C5513" s="198"/>
      <c r="D5513" s="198"/>
      <c r="E5513" s="537"/>
      <c r="G5513" s="198"/>
      <c r="H5513" s="123"/>
    </row>
    <row r="5514" spans="3:8" s="99" customFormat="1" x14ac:dyDescent="0.2">
      <c r="C5514" s="198"/>
      <c r="D5514" s="198"/>
      <c r="E5514" s="537"/>
      <c r="G5514" s="198"/>
      <c r="H5514" s="123"/>
    </row>
    <row r="5515" spans="3:8" s="99" customFormat="1" x14ac:dyDescent="0.2">
      <c r="C5515" s="198"/>
      <c r="D5515" s="198"/>
      <c r="E5515" s="537"/>
      <c r="G5515" s="198"/>
      <c r="H5515" s="123"/>
    </row>
    <row r="5516" spans="3:8" s="99" customFormat="1" x14ac:dyDescent="0.2">
      <c r="C5516" s="198"/>
      <c r="D5516" s="198"/>
      <c r="E5516" s="537"/>
      <c r="G5516" s="198"/>
      <c r="H5516" s="123"/>
    </row>
    <row r="5517" spans="3:8" s="99" customFormat="1" x14ac:dyDescent="0.2">
      <c r="C5517" s="198"/>
      <c r="D5517" s="198"/>
      <c r="E5517" s="537"/>
      <c r="G5517" s="198"/>
      <c r="H5517" s="123"/>
    </row>
    <row r="5518" spans="3:8" s="99" customFormat="1" x14ac:dyDescent="0.2">
      <c r="C5518" s="198"/>
      <c r="D5518" s="198"/>
      <c r="E5518" s="537"/>
      <c r="G5518" s="198"/>
      <c r="H5518" s="123"/>
    </row>
    <row r="5519" spans="3:8" s="99" customFormat="1" x14ac:dyDescent="0.2">
      <c r="C5519" s="198"/>
      <c r="D5519" s="198"/>
      <c r="E5519" s="537"/>
      <c r="G5519" s="198"/>
      <c r="H5519" s="123"/>
    </row>
    <row r="5520" spans="3:8" s="99" customFormat="1" x14ac:dyDescent="0.2">
      <c r="C5520" s="198"/>
      <c r="D5520" s="198"/>
      <c r="E5520" s="537"/>
      <c r="G5520" s="198"/>
      <c r="H5520" s="123"/>
    </row>
    <row r="5521" spans="3:8" s="99" customFormat="1" x14ac:dyDescent="0.2">
      <c r="C5521" s="198"/>
      <c r="D5521" s="198"/>
      <c r="E5521" s="537"/>
      <c r="G5521" s="198"/>
      <c r="H5521" s="123"/>
    </row>
    <row r="5522" spans="3:8" s="99" customFormat="1" x14ac:dyDescent="0.2">
      <c r="C5522" s="198"/>
      <c r="D5522" s="198"/>
      <c r="E5522" s="537"/>
      <c r="G5522" s="198"/>
      <c r="H5522" s="123"/>
    </row>
    <row r="5523" spans="3:8" s="99" customFormat="1" x14ac:dyDescent="0.2">
      <c r="C5523" s="198"/>
      <c r="D5523" s="198"/>
      <c r="E5523" s="537"/>
      <c r="G5523" s="198"/>
      <c r="H5523" s="123"/>
    </row>
    <row r="5524" spans="3:8" s="99" customFormat="1" x14ac:dyDescent="0.2">
      <c r="C5524" s="198"/>
      <c r="D5524" s="198"/>
      <c r="E5524" s="537"/>
      <c r="G5524" s="198"/>
      <c r="H5524" s="123"/>
    </row>
    <row r="5525" spans="3:8" s="99" customFormat="1" x14ac:dyDescent="0.2">
      <c r="C5525" s="198"/>
      <c r="D5525" s="198"/>
      <c r="E5525" s="537"/>
      <c r="G5525" s="198"/>
      <c r="H5525" s="123"/>
    </row>
    <row r="5526" spans="3:8" s="99" customFormat="1" x14ac:dyDescent="0.2">
      <c r="C5526" s="198"/>
      <c r="D5526" s="198"/>
      <c r="E5526" s="537"/>
      <c r="G5526" s="198"/>
      <c r="H5526" s="123"/>
    </row>
    <row r="5527" spans="3:8" s="99" customFormat="1" x14ac:dyDescent="0.2">
      <c r="C5527" s="198"/>
      <c r="D5527" s="198"/>
      <c r="E5527" s="537"/>
      <c r="G5527" s="198"/>
      <c r="H5527" s="123"/>
    </row>
    <row r="5528" spans="3:8" s="99" customFormat="1" x14ac:dyDescent="0.2">
      <c r="C5528" s="198"/>
      <c r="D5528" s="198"/>
      <c r="E5528" s="537"/>
      <c r="G5528" s="198"/>
      <c r="H5528" s="123"/>
    </row>
    <row r="5529" spans="3:8" s="99" customFormat="1" x14ac:dyDescent="0.2">
      <c r="C5529" s="198"/>
      <c r="D5529" s="198"/>
      <c r="E5529" s="537"/>
      <c r="G5529" s="198"/>
      <c r="H5529" s="123"/>
    </row>
    <row r="5530" spans="3:8" s="99" customFormat="1" x14ac:dyDescent="0.2">
      <c r="C5530" s="198"/>
      <c r="D5530" s="198"/>
      <c r="E5530" s="537"/>
      <c r="G5530" s="198"/>
      <c r="H5530" s="123"/>
    </row>
    <row r="5531" spans="3:8" s="99" customFormat="1" x14ac:dyDescent="0.2">
      <c r="C5531" s="198"/>
      <c r="D5531" s="198"/>
      <c r="E5531" s="537"/>
      <c r="G5531" s="198"/>
      <c r="H5531" s="123"/>
    </row>
    <row r="5532" spans="3:8" s="99" customFormat="1" x14ac:dyDescent="0.2">
      <c r="C5532" s="198"/>
      <c r="D5532" s="198"/>
      <c r="E5532" s="537"/>
      <c r="G5532" s="198"/>
      <c r="H5532" s="123"/>
    </row>
    <row r="5533" spans="3:8" s="99" customFormat="1" x14ac:dyDescent="0.2">
      <c r="C5533" s="198"/>
      <c r="D5533" s="198"/>
      <c r="E5533" s="537"/>
      <c r="G5533" s="198"/>
      <c r="H5533" s="123"/>
    </row>
    <row r="5534" spans="3:8" s="99" customFormat="1" x14ac:dyDescent="0.2">
      <c r="C5534" s="198"/>
      <c r="D5534" s="198"/>
      <c r="E5534" s="537"/>
      <c r="G5534" s="198"/>
      <c r="H5534" s="123"/>
    </row>
    <row r="5535" spans="3:8" s="99" customFormat="1" x14ac:dyDescent="0.2">
      <c r="C5535" s="198"/>
      <c r="D5535" s="198"/>
      <c r="E5535" s="537"/>
      <c r="G5535" s="198"/>
      <c r="H5535" s="123"/>
    </row>
    <row r="5536" spans="3:8" s="99" customFormat="1" x14ac:dyDescent="0.2">
      <c r="C5536" s="198"/>
      <c r="D5536" s="198"/>
      <c r="E5536" s="537"/>
      <c r="G5536" s="198"/>
      <c r="H5536" s="123"/>
    </row>
    <row r="5537" spans="3:8" s="99" customFormat="1" x14ac:dyDescent="0.2">
      <c r="C5537" s="198"/>
      <c r="D5537" s="198"/>
      <c r="E5537" s="537"/>
      <c r="G5537" s="198"/>
      <c r="H5537" s="123"/>
    </row>
    <row r="5538" spans="3:8" s="99" customFormat="1" x14ac:dyDescent="0.2">
      <c r="C5538" s="198"/>
      <c r="D5538" s="198"/>
      <c r="E5538" s="537"/>
      <c r="G5538" s="198"/>
      <c r="H5538" s="123"/>
    </row>
    <row r="5539" spans="3:8" s="99" customFormat="1" x14ac:dyDescent="0.2">
      <c r="C5539" s="198"/>
      <c r="D5539" s="198"/>
      <c r="E5539" s="537"/>
      <c r="G5539" s="198"/>
      <c r="H5539" s="123"/>
    </row>
    <row r="5540" spans="3:8" s="99" customFormat="1" x14ac:dyDescent="0.2">
      <c r="C5540" s="198"/>
      <c r="D5540" s="198"/>
      <c r="E5540" s="537"/>
      <c r="G5540" s="198"/>
      <c r="H5540" s="123"/>
    </row>
    <row r="5541" spans="3:8" s="99" customFormat="1" x14ac:dyDescent="0.2">
      <c r="C5541" s="198"/>
      <c r="D5541" s="198"/>
      <c r="E5541" s="537"/>
      <c r="G5541" s="198"/>
      <c r="H5541" s="123"/>
    </row>
    <row r="5542" spans="3:8" s="99" customFormat="1" x14ac:dyDescent="0.2">
      <c r="C5542" s="198"/>
      <c r="D5542" s="198"/>
      <c r="E5542" s="537"/>
      <c r="G5542" s="198"/>
      <c r="H5542" s="123"/>
    </row>
    <row r="5543" spans="3:8" s="99" customFormat="1" x14ac:dyDescent="0.2">
      <c r="C5543" s="198"/>
      <c r="D5543" s="198"/>
      <c r="E5543" s="537"/>
      <c r="G5543" s="198"/>
      <c r="H5543" s="123"/>
    </row>
    <row r="5544" spans="3:8" s="99" customFormat="1" x14ac:dyDescent="0.2">
      <c r="C5544" s="198"/>
      <c r="D5544" s="198"/>
      <c r="E5544" s="537"/>
      <c r="G5544" s="198"/>
      <c r="H5544" s="123"/>
    </row>
    <row r="5545" spans="3:8" s="99" customFormat="1" x14ac:dyDescent="0.2">
      <c r="C5545" s="198"/>
      <c r="D5545" s="198"/>
      <c r="E5545" s="537"/>
      <c r="G5545" s="198"/>
      <c r="H5545" s="123"/>
    </row>
    <row r="5546" spans="3:8" s="99" customFormat="1" x14ac:dyDescent="0.2">
      <c r="C5546" s="198"/>
      <c r="D5546" s="198"/>
      <c r="E5546" s="537"/>
      <c r="G5546" s="198"/>
      <c r="H5546" s="123"/>
    </row>
    <row r="5547" spans="3:8" s="99" customFormat="1" x14ac:dyDescent="0.2">
      <c r="C5547" s="198"/>
      <c r="D5547" s="198"/>
      <c r="E5547" s="537"/>
      <c r="G5547" s="198"/>
      <c r="H5547" s="123"/>
    </row>
    <row r="5548" spans="3:8" s="99" customFormat="1" x14ac:dyDescent="0.2">
      <c r="C5548" s="198"/>
      <c r="D5548" s="198"/>
      <c r="E5548" s="537"/>
      <c r="G5548" s="198"/>
      <c r="H5548" s="123"/>
    </row>
    <row r="5549" spans="3:8" s="99" customFormat="1" x14ac:dyDescent="0.2">
      <c r="C5549" s="198"/>
      <c r="D5549" s="198"/>
      <c r="E5549" s="537"/>
      <c r="G5549" s="198"/>
      <c r="H5549" s="123"/>
    </row>
    <row r="5550" spans="3:8" s="99" customFormat="1" x14ac:dyDescent="0.2">
      <c r="C5550" s="198"/>
      <c r="D5550" s="198"/>
      <c r="E5550" s="537"/>
      <c r="G5550" s="198"/>
      <c r="H5550" s="123"/>
    </row>
    <row r="5551" spans="3:8" s="99" customFormat="1" x14ac:dyDescent="0.2">
      <c r="C5551" s="198"/>
      <c r="D5551" s="198"/>
      <c r="E5551" s="537"/>
      <c r="G5551" s="198"/>
      <c r="H5551" s="123"/>
    </row>
    <row r="5552" spans="3:8" s="99" customFormat="1" x14ac:dyDescent="0.2">
      <c r="C5552" s="198"/>
      <c r="D5552" s="198"/>
      <c r="E5552" s="537"/>
      <c r="G5552" s="198"/>
      <c r="H5552" s="123"/>
    </row>
    <row r="5553" spans="3:8" s="99" customFormat="1" x14ac:dyDescent="0.2">
      <c r="C5553" s="198"/>
      <c r="D5553" s="198"/>
      <c r="E5553" s="537"/>
      <c r="G5553" s="198"/>
      <c r="H5553" s="123"/>
    </row>
    <row r="5554" spans="3:8" s="99" customFormat="1" x14ac:dyDescent="0.2">
      <c r="C5554" s="198"/>
      <c r="D5554" s="198"/>
      <c r="E5554" s="537"/>
      <c r="G5554" s="198"/>
      <c r="H5554" s="123"/>
    </row>
    <row r="5555" spans="3:8" s="99" customFormat="1" x14ac:dyDescent="0.2">
      <c r="C5555" s="198"/>
      <c r="D5555" s="198"/>
      <c r="E5555" s="537"/>
      <c r="G5555" s="198"/>
      <c r="H5555" s="123"/>
    </row>
    <row r="5556" spans="3:8" s="99" customFormat="1" x14ac:dyDescent="0.2">
      <c r="C5556" s="198"/>
      <c r="D5556" s="198"/>
      <c r="E5556" s="537"/>
      <c r="G5556" s="198"/>
      <c r="H5556" s="123"/>
    </row>
    <row r="5557" spans="3:8" s="99" customFormat="1" x14ac:dyDescent="0.2">
      <c r="C5557" s="198"/>
      <c r="D5557" s="198"/>
      <c r="E5557" s="537"/>
      <c r="G5557" s="198"/>
      <c r="H5557" s="123"/>
    </row>
    <row r="5558" spans="3:8" s="99" customFormat="1" x14ac:dyDescent="0.2">
      <c r="C5558" s="198"/>
      <c r="D5558" s="198"/>
      <c r="E5558" s="537"/>
      <c r="G5558" s="198"/>
      <c r="H5558" s="123"/>
    </row>
    <row r="5559" spans="3:8" s="99" customFormat="1" x14ac:dyDescent="0.2">
      <c r="C5559" s="198"/>
      <c r="D5559" s="198"/>
      <c r="E5559" s="537"/>
      <c r="G5559" s="198"/>
      <c r="H5559" s="123"/>
    </row>
    <row r="5560" spans="3:8" s="99" customFormat="1" x14ac:dyDescent="0.2">
      <c r="C5560" s="198"/>
      <c r="D5560" s="198"/>
      <c r="E5560" s="537"/>
      <c r="G5560" s="198"/>
      <c r="H5560" s="123"/>
    </row>
    <row r="5561" spans="3:8" s="99" customFormat="1" x14ac:dyDescent="0.2">
      <c r="C5561" s="198"/>
      <c r="D5561" s="198"/>
      <c r="E5561" s="537"/>
      <c r="G5561" s="198"/>
      <c r="H5561" s="123"/>
    </row>
    <row r="5562" spans="3:8" s="99" customFormat="1" x14ac:dyDescent="0.2">
      <c r="C5562" s="198"/>
      <c r="D5562" s="198"/>
      <c r="E5562" s="537"/>
      <c r="G5562" s="198"/>
      <c r="H5562" s="123"/>
    </row>
    <row r="5563" spans="3:8" s="99" customFormat="1" x14ac:dyDescent="0.2">
      <c r="C5563" s="198"/>
      <c r="D5563" s="198"/>
      <c r="E5563" s="537"/>
      <c r="G5563" s="198"/>
      <c r="H5563" s="123"/>
    </row>
    <row r="5564" spans="3:8" s="99" customFormat="1" x14ac:dyDescent="0.2">
      <c r="C5564" s="198"/>
      <c r="D5564" s="198"/>
      <c r="E5564" s="537"/>
      <c r="G5564" s="198"/>
      <c r="H5564" s="123"/>
    </row>
    <row r="5565" spans="3:8" s="99" customFormat="1" x14ac:dyDescent="0.2">
      <c r="C5565" s="198"/>
      <c r="D5565" s="198"/>
      <c r="E5565" s="537"/>
      <c r="G5565" s="198"/>
      <c r="H5565" s="123"/>
    </row>
    <row r="5566" spans="3:8" s="99" customFormat="1" x14ac:dyDescent="0.2">
      <c r="C5566" s="198"/>
      <c r="D5566" s="198"/>
      <c r="E5566" s="537"/>
      <c r="G5566" s="198"/>
      <c r="H5566" s="123"/>
    </row>
    <row r="5567" spans="3:8" s="99" customFormat="1" x14ac:dyDescent="0.2">
      <c r="C5567" s="198"/>
      <c r="D5567" s="198"/>
      <c r="E5567" s="537"/>
      <c r="G5567" s="198"/>
      <c r="H5567" s="123"/>
    </row>
    <row r="5568" spans="3:8" s="99" customFormat="1" x14ac:dyDescent="0.2">
      <c r="C5568" s="198"/>
      <c r="D5568" s="198"/>
      <c r="E5568" s="537"/>
      <c r="G5568" s="198"/>
      <c r="H5568" s="123"/>
    </row>
    <row r="5569" spans="3:8" s="99" customFormat="1" x14ac:dyDescent="0.2">
      <c r="C5569" s="198"/>
      <c r="D5569" s="198"/>
      <c r="E5569" s="537"/>
      <c r="G5569" s="198"/>
      <c r="H5569" s="123"/>
    </row>
    <row r="5570" spans="3:8" s="99" customFormat="1" x14ac:dyDescent="0.2">
      <c r="C5570" s="198"/>
      <c r="D5570" s="198"/>
      <c r="E5570" s="537"/>
      <c r="G5570" s="198"/>
      <c r="H5570" s="123"/>
    </row>
    <row r="5571" spans="3:8" s="99" customFormat="1" x14ac:dyDescent="0.2">
      <c r="C5571" s="198"/>
      <c r="D5571" s="198"/>
      <c r="E5571" s="537"/>
      <c r="G5571" s="198"/>
      <c r="H5571" s="123"/>
    </row>
    <row r="5572" spans="3:8" s="99" customFormat="1" x14ac:dyDescent="0.2">
      <c r="C5572" s="198"/>
      <c r="D5572" s="198"/>
      <c r="E5572" s="537"/>
      <c r="G5572" s="198"/>
      <c r="H5572" s="123"/>
    </row>
    <row r="5573" spans="3:8" s="99" customFormat="1" x14ac:dyDescent="0.2">
      <c r="C5573" s="198"/>
      <c r="D5573" s="198"/>
      <c r="E5573" s="537"/>
      <c r="G5573" s="198"/>
      <c r="H5573" s="123"/>
    </row>
    <row r="5574" spans="3:8" s="99" customFormat="1" x14ac:dyDescent="0.2">
      <c r="C5574" s="198"/>
      <c r="D5574" s="198"/>
      <c r="E5574" s="537"/>
      <c r="G5574" s="198"/>
      <c r="H5574" s="123"/>
    </row>
    <row r="5575" spans="3:8" s="99" customFormat="1" x14ac:dyDescent="0.2">
      <c r="C5575" s="198"/>
      <c r="D5575" s="198"/>
      <c r="E5575" s="537"/>
      <c r="G5575" s="198"/>
      <c r="H5575" s="123"/>
    </row>
    <row r="5576" spans="3:8" s="99" customFormat="1" x14ac:dyDescent="0.2">
      <c r="C5576" s="198"/>
      <c r="D5576" s="198"/>
      <c r="E5576" s="537"/>
      <c r="G5576" s="198"/>
      <c r="H5576" s="123"/>
    </row>
    <row r="5577" spans="3:8" s="99" customFormat="1" x14ac:dyDescent="0.2">
      <c r="C5577" s="198"/>
      <c r="D5577" s="198"/>
      <c r="E5577" s="537"/>
      <c r="G5577" s="198"/>
      <c r="H5577" s="123"/>
    </row>
    <row r="5578" spans="3:8" s="99" customFormat="1" x14ac:dyDescent="0.2">
      <c r="C5578" s="198"/>
      <c r="D5578" s="198"/>
      <c r="E5578" s="537"/>
      <c r="G5578" s="198"/>
      <c r="H5578" s="123"/>
    </row>
    <row r="5579" spans="3:8" s="99" customFormat="1" x14ac:dyDescent="0.2">
      <c r="C5579" s="198"/>
      <c r="D5579" s="198"/>
      <c r="E5579" s="537"/>
      <c r="G5579" s="198"/>
      <c r="H5579" s="123"/>
    </row>
    <row r="5580" spans="3:8" s="99" customFormat="1" x14ac:dyDescent="0.2">
      <c r="C5580" s="198"/>
      <c r="D5580" s="198"/>
      <c r="E5580" s="537"/>
      <c r="G5580" s="198"/>
      <c r="H5580" s="123"/>
    </row>
    <row r="5581" spans="3:8" s="99" customFormat="1" x14ac:dyDescent="0.2">
      <c r="C5581" s="198"/>
      <c r="D5581" s="198"/>
      <c r="E5581" s="537"/>
      <c r="G5581" s="198"/>
      <c r="H5581" s="123"/>
    </row>
    <row r="5582" spans="3:8" s="99" customFormat="1" x14ac:dyDescent="0.2">
      <c r="C5582" s="198"/>
      <c r="D5582" s="198"/>
      <c r="E5582" s="537"/>
      <c r="G5582" s="198"/>
      <c r="H5582" s="123"/>
    </row>
    <row r="5583" spans="3:8" s="99" customFormat="1" x14ac:dyDescent="0.2">
      <c r="C5583" s="198"/>
      <c r="D5583" s="198"/>
      <c r="E5583" s="537"/>
      <c r="G5583" s="198"/>
      <c r="H5583" s="123"/>
    </row>
    <row r="5584" spans="3:8" s="99" customFormat="1" x14ac:dyDescent="0.2">
      <c r="C5584" s="198"/>
      <c r="D5584" s="198"/>
      <c r="E5584" s="537"/>
      <c r="G5584" s="198"/>
      <c r="H5584" s="123"/>
    </row>
    <row r="5585" spans="3:8" s="99" customFormat="1" x14ac:dyDescent="0.2">
      <c r="C5585" s="198"/>
      <c r="D5585" s="198"/>
      <c r="E5585" s="537"/>
      <c r="G5585" s="198"/>
      <c r="H5585" s="123"/>
    </row>
    <row r="5586" spans="3:8" s="99" customFormat="1" x14ac:dyDescent="0.2">
      <c r="C5586" s="198"/>
      <c r="D5586" s="198"/>
      <c r="E5586" s="537"/>
      <c r="G5586" s="198"/>
      <c r="H5586" s="123"/>
    </row>
    <row r="5587" spans="3:8" s="99" customFormat="1" x14ac:dyDescent="0.2">
      <c r="C5587" s="198"/>
      <c r="D5587" s="198"/>
      <c r="E5587" s="537"/>
      <c r="G5587" s="198"/>
      <c r="H5587" s="123"/>
    </row>
    <row r="5588" spans="3:8" s="99" customFormat="1" x14ac:dyDescent="0.2">
      <c r="C5588" s="198"/>
      <c r="D5588" s="198"/>
      <c r="E5588" s="537"/>
      <c r="G5588" s="198"/>
      <c r="H5588" s="123"/>
    </row>
    <row r="5589" spans="3:8" s="99" customFormat="1" x14ac:dyDescent="0.2">
      <c r="C5589" s="198"/>
      <c r="D5589" s="198"/>
      <c r="E5589" s="537"/>
      <c r="G5589" s="198"/>
      <c r="H5589" s="123"/>
    </row>
    <row r="5590" spans="3:8" s="99" customFormat="1" x14ac:dyDescent="0.2">
      <c r="C5590" s="198"/>
      <c r="D5590" s="198"/>
      <c r="E5590" s="537"/>
      <c r="G5590" s="198"/>
      <c r="H5590" s="123"/>
    </row>
    <row r="5591" spans="3:8" s="99" customFormat="1" x14ac:dyDescent="0.2">
      <c r="C5591" s="198"/>
      <c r="D5591" s="198"/>
      <c r="E5591" s="537"/>
      <c r="G5591" s="198"/>
      <c r="H5591" s="123"/>
    </row>
    <row r="5592" spans="3:8" s="99" customFormat="1" x14ac:dyDescent="0.2">
      <c r="C5592" s="198"/>
      <c r="D5592" s="198"/>
      <c r="E5592" s="537"/>
      <c r="G5592" s="198"/>
      <c r="H5592" s="123"/>
    </row>
    <row r="5593" spans="3:8" s="99" customFormat="1" x14ac:dyDescent="0.2">
      <c r="C5593" s="198"/>
      <c r="D5593" s="198"/>
      <c r="E5593" s="537"/>
      <c r="G5593" s="198"/>
      <c r="H5593" s="123"/>
    </row>
    <row r="5594" spans="3:8" s="99" customFormat="1" x14ac:dyDescent="0.2">
      <c r="C5594" s="198"/>
      <c r="D5594" s="198"/>
      <c r="E5594" s="537"/>
      <c r="G5594" s="198"/>
      <c r="H5594" s="123"/>
    </row>
    <row r="5595" spans="3:8" s="99" customFormat="1" x14ac:dyDescent="0.2">
      <c r="C5595" s="198"/>
      <c r="D5595" s="198"/>
      <c r="E5595" s="537"/>
      <c r="G5595" s="198"/>
      <c r="H5595" s="123"/>
    </row>
    <row r="5596" spans="3:8" s="99" customFormat="1" x14ac:dyDescent="0.2">
      <c r="C5596" s="198"/>
      <c r="D5596" s="198"/>
      <c r="E5596" s="537"/>
      <c r="G5596" s="198"/>
      <c r="H5596" s="123"/>
    </row>
    <row r="5597" spans="3:8" s="99" customFormat="1" x14ac:dyDescent="0.2">
      <c r="C5597" s="198"/>
      <c r="D5597" s="198"/>
      <c r="E5597" s="537"/>
      <c r="G5597" s="198"/>
      <c r="H5597" s="123"/>
    </row>
    <row r="5598" spans="3:8" s="99" customFormat="1" x14ac:dyDescent="0.2">
      <c r="C5598" s="198"/>
      <c r="D5598" s="198"/>
      <c r="E5598" s="537"/>
      <c r="G5598" s="198"/>
      <c r="H5598" s="123"/>
    </row>
    <row r="5599" spans="3:8" s="99" customFormat="1" x14ac:dyDescent="0.2">
      <c r="C5599" s="198"/>
      <c r="D5599" s="198"/>
      <c r="E5599" s="537"/>
      <c r="G5599" s="198"/>
      <c r="H5599" s="123"/>
    </row>
    <row r="5600" spans="3:8" s="99" customFormat="1" x14ac:dyDescent="0.2">
      <c r="C5600" s="198"/>
      <c r="D5600" s="198"/>
      <c r="E5600" s="537"/>
      <c r="G5600" s="198"/>
      <c r="H5600" s="123"/>
    </row>
    <row r="5601" spans="3:8" s="99" customFormat="1" x14ac:dyDescent="0.2">
      <c r="C5601" s="198"/>
      <c r="D5601" s="198"/>
      <c r="E5601" s="537"/>
      <c r="G5601" s="198"/>
      <c r="H5601" s="123"/>
    </row>
    <row r="5602" spans="3:8" s="99" customFormat="1" x14ac:dyDescent="0.2">
      <c r="C5602" s="198"/>
      <c r="D5602" s="198"/>
      <c r="E5602" s="537"/>
      <c r="G5602" s="198"/>
      <c r="H5602" s="123"/>
    </row>
    <row r="5603" spans="3:8" s="99" customFormat="1" x14ac:dyDescent="0.2">
      <c r="C5603" s="198"/>
      <c r="D5603" s="198"/>
      <c r="E5603" s="537"/>
      <c r="G5603" s="198"/>
      <c r="H5603" s="123"/>
    </row>
    <row r="5604" spans="3:8" s="99" customFormat="1" x14ac:dyDescent="0.2">
      <c r="C5604" s="198"/>
      <c r="D5604" s="198"/>
      <c r="E5604" s="537"/>
      <c r="G5604" s="198"/>
      <c r="H5604" s="123"/>
    </row>
    <row r="5605" spans="3:8" s="99" customFormat="1" x14ac:dyDescent="0.2">
      <c r="C5605" s="198"/>
      <c r="D5605" s="198"/>
      <c r="E5605" s="537"/>
      <c r="G5605" s="198"/>
      <c r="H5605" s="123"/>
    </row>
    <row r="5606" spans="3:8" s="99" customFormat="1" x14ac:dyDescent="0.2">
      <c r="C5606" s="198"/>
      <c r="D5606" s="198"/>
      <c r="E5606" s="537"/>
      <c r="G5606" s="198"/>
      <c r="H5606" s="123"/>
    </row>
    <row r="5607" spans="3:8" s="99" customFormat="1" x14ac:dyDescent="0.2">
      <c r="C5607" s="198"/>
      <c r="D5607" s="198"/>
      <c r="E5607" s="537"/>
      <c r="G5607" s="198"/>
      <c r="H5607" s="123"/>
    </row>
    <row r="5608" spans="3:8" s="99" customFormat="1" x14ac:dyDescent="0.2">
      <c r="C5608" s="198"/>
      <c r="D5608" s="198"/>
      <c r="E5608" s="537"/>
      <c r="G5608" s="198"/>
      <c r="H5608" s="123"/>
    </row>
    <row r="5609" spans="3:8" s="99" customFormat="1" x14ac:dyDescent="0.2">
      <c r="C5609" s="198"/>
      <c r="D5609" s="198"/>
      <c r="E5609" s="537"/>
      <c r="G5609" s="198"/>
      <c r="H5609" s="123"/>
    </row>
    <row r="5610" spans="3:8" s="99" customFormat="1" x14ac:dyDescent="0.2">
      <c r="C5610" s="198"/>
      <c r="D5610" s="198"/>
      <c r="E5610" s="537"/>
      <c r="G5610" s="198"/>
      <c r="H5610" s="123"/>
    </row>
    <row r="5611" spans="3:8" s="99" customFormat="1" x14ac:dyDescent="0.2">
      <c r="C5611" s="198"/>
      <c r="D5611" s="198"/>
      <c r="E5611" s="537"/>
      <c r="G5611" s="198"/>
      <c r="H5611" s="123"/>
    </row>
    <row r="5612" spans="3:8" s="99" customFormat="1" x14ac:dyDescent="0.2">
      <c r="C5612" s="198"/>
      <c r="D5612" s="198"/>
      <c r="E5612" s="537"/>
      <c r="G5612" s="198"/>
      <c r="H5612" s="123"/>
    </row>
    <row r="5613" spans="3:8" s="99" customFormat="1" x14ac:dyDescent="0.2">
      <c r="C5613" s="198"/>
      <c r="D5613" s="198"/>
      <c r="E5613" s="537"/>
      <c r="G5613" s="198"/>
      <c r="H5613" s="123"/>
    </row>
    <row r="5614" spans="3:8" s="99" customFormat="1" x14ac:dyDescent="0.2">
      <c r="C5614" s="198"/>
      <c r="D5614" s="198"/>
      <c r="E5614" s="537"/>
      <c r="G5614" s="198"/>
      <c r="H5614" s="123"/>
    </row>
    <row r="5615" spans="3:8" s="99" customFormat="1" x14ac:dyDescent="0.2">
      <c r="C5615" s="198"/>
      <c r="D5615" s="198"/>
      <c r="E5615" s="537"/>
      <c r="G5615" s="198"/>
      <c r="H5615" s="123"/>
    </row>
    <row r="5616" spans="3:8" s="99" customFormat="1" x14ac:dyDescent="0.2">
      <c r="C5616" s="198"/>
      <c r="D5616" s="198"/>
      <c r="E5616" s="537"/>
      <c r="G5616" s="198"/>
      <c r="H5616" s="123"/>
    </row>
    <row r="5617" spans="3:8" s="99" customFormat="1" x14ac:dyDescent="0.2">
      <c r="C5617" s="198"/>
      <c r="D5617" s="198"/>
      <c r="E5617" s="537"/>
      <c r="G5617" s="198"/>
      <c r="H5617" s="123"/>
    </row>
    <row r="5618" spans="3:8" s="99" customFormat="1" x14ac:dyDescent="0.2">
      <c r="C5618" s="198"/>
      <c r="D5618" s="198"/>
      <c r="E5618" s="537"/>
      <c r="G5618" s="198"/>
      <c r="H5618" s="123"/>
    </row>
    <row r="5619" spans="3:8" s="99" customFormat="1" x14ac:dyDescent="0.2">
      <c r="C5619" s="198"/>
      <c r="D5619" s="198"/>
      <c r="E5619" s="537"/>
      <c r="G5619" s="198"/>
      <c r="H5619" s="123"/>
    </row>
    <row r="5620" spans="3:8" s="99" customFormat="1" x14ac:dyDescent="0.2">
      <c r="C5620" s="198"/>
      <c r="D5620" s="198"/>
      <c r="E5620" s="537"/>
      <c r="G5620" s="198"/>
      <c r="H5620" s="123"/>
    </row>
    <row r="5621" spans="3:8" s="99" customFormat="1" x14ac:dyDescent="0.2">
      <c r="C5621" s="198"/>
      <c r="D5621" s="198"/>
      <c r="E5621" s="537"/>
      <c r="G5621" s="198"/>
      <c r="H5621" s="123"/>
    </row>
    <row r="5622" spans="3:8" s="99" customFormat="1" x14ac:dyDescent="0.2">
      <c r="C5622" s="198"/>
      <c r="D5622" s="198"/>
      <c r="E5622" s="537"/>
      <c r="G5622" s="198"/>
      <c r="H5622" s="123"/>
    </row>
    <row r="5623" spans="3:8" s="99" customFormat="1" x14ac:dyDescent="0.2">
      <c r="C5623" s="198"/>
      <c r="D5623" s="198"/>
      <c r="E5623" s="537"/>
      <c r="G5623" s="198"/>
      <c r="H5623" s="123"/>
    </row>
    <row r="5624" spans="3:8" s="99" customFormat="1" x14ac:dyDescent="0.2">
      <c r="C5624" s="198"/>
      <c r="D5624" s="198"/>
      <c r="E5624" s="537"/>
      <c r="G5624" s="198"/>
      <c r="H5624" s="123"/>
    </row>
    <row r="5625" spans="3:8" s="99" customFormat="1" x14ac:dyDescent="0.2">
      <c r="C5625" s="198"/>
      <c r="D5625" s="198"/>
      <c r="E5625" s="537"/>
      <c r="G5625" s="198"/>
      <c r="H5625" s="123"/>
    </row>
    <row r="5626" spans="3:8" s="99" customFormat="1" x14ac:dyDescent="0.2">
      <c r="C5626" s="198"/>
      <c r="D5626" s="198"/>
      <c r="E5626" s="537"/>
      <c r="G5626" s="198"/>
      <c r="H5626" s="123"/>
    </row>
    <row r="5627" spans="3:8" s="99" customFormat="1" x14ac:dyDescent="0.2">
      <c r="C5627" s="198"/>
      <c r="D5627" s="198"/>
      <c r="E5627" s="537"/>
      <c r="G5627" s="198"/>
      <c r="H5627" s="123"/>
    </row>
    <row r="5628" spans="3:8" s="99" customFormat="1" x14ac:dyDescent="0.2">
      <c r="C5628" s="198"/>
      <c r="D5628" s="198"/>
      <c r="E5628" s="537"/>
      <c r="G5628" s="198"/>
      <c r="H5628" s="123"/>
    </row>
    <row r="5629" spans="3:8" s="99" customFormat="1" x14ac:dyDescent="0.2">
      <c r="C5629" s="198"/>
      <c r="D5629" s="198"/>
      <c r="E5629" s="537"/>
      <c r="G5629" s="198"/>
      <c r="H5629" s="123"/>
    </row>
    <row r="5630" spans="3:8" s="99" customFormat="1" x14ac:dyDescent="0.2">
      <c r="C5630" s="198"/>
      <c r="D5630" s="198"/>
      <c r="E5630" s="537"/>
      <c r="G5630" s="198"/>
      <c r="H5630" s="123"/>
    </row>
    <row r="5631" spans="3:8" s="99" customFormat="1" x14ac:dyDescent="0.2">
      <c r="C5631" s="198"/>
      <c r="D5631" s="198"/>
      <c r="E5631" s="537"/>
      <c r="G5631" s="198"/>
      <c r="H5631" s="123"/>
    </row>
    <row r="5632" spans="3:8" s="99" customFormat="1" x14ac:dyDescent="0.2">
      <c r="C5632" s="198"/>
      <c r="D5632" s="198"/>
      <c r="E5632" s="537"/>
      <c r="G5632" s="198"/>
      <c r="H5632" s="123"/>
    </row>
    <row r="5633" spans="3:8" s="99" customFormat="1" x14ac:dyDescent="0.2">
      <c r="C5633" s="198"/>
      <c r="D5633" s="198"/>
      <c r="E5633" s="537"/>
      <c r="G5633" s="198"/>
      <c r="H5633" s="123"/>
    </row>
    <row r="5634" spans="3:8" s="99" customFormat="1" x14ac:dyDescent="0.2">
      <c r="C5634" s="198"/>
      <c r="D5634" s="198"/>
      <c r="E5634" s="537"/>
      <c r="G5634" s="198"/>
      <c r="H5634" s="123"/>
    </row>
    <row r="5635" spans="3:8" s="99" customFormat="1" x14ac:dyDescent="0.2">
      <c r="C5635" s="198"/>
      <c r="D5635" s="198"/>
      <c r="E5635" s="537"/>
      <c r="G5635" s="198"/>
      <c r="H5635" s="123"/>
    </row>
    <row r="5636" spans="3:8" s="99" customFormat="1" x14ac:dyDescent="0.2">
      <c r="C5636" s="198"/>
      <c r="D5636" s="198"/>
      <c r="E5636" s="537"/>
      <c r="G5636" s="198"/>
      <c r="H5636" s="123"/>
    </row>
    <row r="5637" spans="3:8" s="99" customFormat="1" x14ac:dyDescent="0.2">
      <c r="C5637" s="198"/>
      <c r="D5637" s="198"/>
      <c r="E5637" s="537"/>
      <c r="G5637" s="198"/>
      <c r="H5637" s="123"/>
    </row>
    <row r="5638" spans="3:8" s="99" customFormat="1" x14ac:dyDescent="0.2">
      <c r="C5638" s="198"/>
      <c r="D5638" s="198"/>
      <c r="E5638" s="537"/>
      <c r="G5638" s="198"/>
      <c r="H5638" s="123"/>
    </row>
    <row r="5639" spans="3:8" s="99" customFormat="1" x14ac:dyDescent="0.2">
      <c r="C5639" s="198"/>
      <c r="D5639" s="198"/>
      <c r="E5639" s="537"/>
      <c r="G5639" s="198"/>
      <c r="H5639" s="123"/>
    </row>
    <row r="5640" spans="3:8" s="99" customFormat="1" x14ac:dyDescent="0.2">
      <c r="C5640" s="198"/>
      <c r="D5640" s="198"/>
      <c r="E5640" s="537"/>
      <c r="G5640" s="198"/>
      <c r="H5640" s="123"/>
    </row>
    <row r="5641" spans="3:8" s="99" customFormat="1" x14ac:dyDescent="0.2">
      <c r="C5641" s="198"/>
      <c r="D5641" s="198"/>
      <c r="E5641" s="537"/>
      <c r="G5641" s="198"/>
      <c r="H5641" s="123"/>
    </row>
    <row r="5642" spans="3:8" s="99" customFormat="1" x14ac:dyDescent="0.2">
      <c r="C5642" s="198"/>
      <c r="D5642" s="198"/>
      <c r="E5642" s="537"/>
      <c r="G5642" s="198"/>
      <c r="H5642" s="123"/>
    </row>
    <row r="5643" spans="3:8" s="99" customFormat="1" x14ac:dyDescent="0.2">
      <c r="C5643" s="198"/>
      <c r="D5643" s="198"/>
      <c r="E5643" s="537"/>
      <c r="G5643" s="198"/>
      <c r="H5643" s="123"/>
    </row>
    <row r="5644" spans="3:8" s="99" customFormat="1" x14ac:dyDescent="0.2">
      <c r="C5644" s="198"/>
      <c r="D5644" s="198"/>
      <c r="E5644" s="537"/>
      <c r="G5644" s="198"/>
      <c r="H5644" s="123"/>
    </row>
    <row r="5645" spans="3:8" s="99" customFormat="1" x14ac:dyDescent="0.2">
      <c r="C5645" s="198"/>
      <c r="D5645" s="198"/>
      <c r="E5645" s="537"/>
      <c r="G5645" s="198"/>
      <c r="H5645" s="123"/>
    </row>
    <row r="5646" spans="3:8" s="99" customFormat="1" x14ac:dyDescent="0.2">
      <c r="C5646" s="198"/>
      <c r="D5646" s="198"/>
      <c r="E5646" s="537"/>
      <c r="G5646" s="198"/>
      <c r="H5646" s="123"/>
    </row>
    <row r="5647" spans="3:8" s="99" customFormat="1" x14ac:dyDescent="0.2">
      <c r="C5647" s="198"/>
      <c r="D5647" s="198"/>
      <c r="E5647" s="537"/>
      <c r="G5647" s="198"/>
      <c r="H5647" s="123"/>
    </row>
    <row r="5648" spans="3:8" s="99" customFormat="1" x14ac:dyDescent="0.2">
      <c r="C5648" s="198"/>
      <c r="D5648" s="198"/>
      <c r="E5648" s="537"/>
      <c r="G5648" s="198"/>
      <c r="H5648" s="123"/>
    </row>
    <row r="5649" spans="3:8" s="99" customFormat="1" x14ac:dyDescent="0.2">
      <c r="C5649" s="198"/>
      <c r="D5649" s="198"/>
      <c r="E5649" s="537"/>
      <c r="G5649" s="198"/>
      <c r="H5649" s="123"/>
    </row>
    <row r="5650" spans="3:8" s="99" customFormat="1" x14ac:dyDescent="0.2">
      <c r="C5650" s="198"/>
      <c r="D5650" s="198"/>
      <c r="E5650" s="537"/>
      <c r="G5650" s="198"/>
      <c r="H5650" s="123"/>
    </row>
    <row r="5651" spans="3:8" s="99" customFormat="1" x14ac:dyDescent="0.2">
      <c r="C5651" s="198"/>
      <c r="D5651" s="198"/>
      <c r="E5651" s="537"/>
      <c r="G5651" s="198"/>
      <c r="H5651" s="123"/>
    </row>
    <row r="5652" spans="3:8" s="99" customFormat="1" x14ac:dyDescent="0.2">
      <c r="C5652" s="198"/>
      <c r="D5652" s="198"/>
      <c r="E5652" s="537"/>
      <c r="G5652" s="198"/>
      <c r="H5652" s="123"/>
    </row>
    <row r="5653" spans="3:8" s="99" customFormat="1" x14ac:dyDescent="0.2">
      <c r="C5653" s="198"/>
      <c r="D5653" s="198"/>
      <c r="E5653" s="537"/>
      <c r="G5653" s="198"/>
      <c r="H5653" s="123"/>
    </row>
    <row r="5654" spans="3:8" s="99" customFormat="1" x14ac:dyDescent="0.2">
      <c r="C5654" s="198"/>
      <c r="D5654" s="198"/>
      <c r="E5654" s="537"/>
      <c r="G5654" s="198"/>
      <c r="H5654" s="123"/>
    </row>
    <row r="5655" spans="3:8" s="99" customFormat="1" x14ac:dyDescent="0.2">
      <c r="C5655" s="198"/>
      <c r="D5655" s="198"/>
      <c r="E5655" s="537"/>
      <c r="G5655" s="198"/>
      <c r="H5655" s="123"/>
    </row>
    <row r="5656" spans="3:8" s="99" customFormat="1" x14ac:dyDescent="0.2">
      <c r="C5656" s="198"/>
      <c r="D5656" s="198"/>
      <c r="E5656" s="537"/>
      <c r="G5656" s="198"/>
      <c r="H5656" s="123"/>
    </row>
    <row r="5657" spans="3:8" s="99" customFormat="1" x14ac:dyDescent="0.2">
      <c r="C5657" s="198"/>
      <c r="D5657" s="198"/>
      <c r="E5657" s="537"/>
      <c r="G5657" s="198"/>
      <c r="H5657" s="123"/>
    </row>
    <row r="5658" spans="3:8" s="99" customFormat="1" x14ac:dyDescent="0.2">
      <c r="C5658" s="198"/>
      <c r="D5658" s="198"/>
      <c r="E5658" s="537"/>
      <c r="G5658" s="198"/>
      <c r="H5658" s="123"/>
    </row>
    <row r="5659" spans="3:8" s="99" customFormat="1" x14ac:dyDescent="0.2">
      <c r="C5659" s="198"/>
      <c r="D5659" s="198"/>
      <c r="E5659" s="537"/>
      <c r="G5659" s="198"/>
      <c r="H5659" s="123"/>
    </row>
    <row r="5660" spans="3:8" s="99" customFormat="1" x14ac:dyDescent="0.2">
      <c r="C5660" s="198"/>
      <c r="D5660" s="198"/>
      <c r="E5660" s="537"/>
      <c r="G5660" s="198"/>
      <c r="H5660" s="123"/>
    </row>
    <row r="5661" spans="3:8" s="99" customFormat="1" x14ac:dyDescent="0.2">
      <c r="C5661" s="198"/>
      <c r="D5661" s="198"/>
      <c r="E5661" s="537"/>
      <c r="G5661" s="198"/>
      <c r="H5661" s="123"/>
    </row>
    <row r="5662" spans="3:8" s="99" customFormat="1" x14ac:dyDescent="0.2">
      <c r="C5662" s="198"/>
      <c r="D5662" s="198"/>
      <c r="E5662" s="537"/>
      <c r="G5662" s="198"/>
      <c r="H5662" s="123"/>
    </row>
    <row r="5663" spans="3:8" s="99" customFormat="1" x14ac:dyDescent="0.2">
      <c r="C5663" s="198"/>
      <c r="D5663" s="198"/>
      <c r="E5663" s="537"/>
      <c r="G5663" s="198"/>
      <c r="H5663" s="123"/>
    </row>
    <row r="5664" spans="3:8" s="99" customFormat="1" x14ac:dyDescent="0.2">
      <c r="C5664" s="198"/>
      <c r="D5664" s="198"/>
      <c r="E5664" s="537"/>
      <c r="G5664" s="198"/>
      <c r="H5664" s="123"/>
    </row>
    <row r="5665" spans="3:8" s="99" customFormat="1" x14ac:dyDescent="0.2">
      <c r="C5665" s="198"/>
      <c r="D5665" s="198"/>
      <c r="E5665" s="537"/>
      <c r="G5665" s="198"/>
      <c r="H5665" s="123"/>
    </row>
    <row r="5666" spans="3:8" s="99" customFormat="1" x14ac:dyDescent="0.2">
      <c r="C5666" s="198"/>
      <c r="D5666" s="198"/>
      <c r="E5666" s="537"/>
      <c r="G5666" s="198"/>
      <c r="H5666" s="123"/>
    </row>
    <row r="5667" spans="3:8" s="99" customFormat="1" x14ac:dyDescent="0.2">
      <c r="C5667" s="198"/>
      <c r="D5667" s="198"/>
      <c r="E5667" s="537"/>
      <c r="G5667" s="198"/>
      <c r="H5667" s="123"/>
    </row>
    <row r="5668" spans="3:8" s="99" customFormat="1" x14ac:dyDescent="0.2">
      <c r="C5668" s="198"/>
      <c r="D5668" s="198"/>
      <c r="E5668" s="537"/>
      <c r="G5668" s="198"/>
      <c r="H5668" s="123"/>
    </row>
    <row r="5669" spans="3:8" s="99" customFormat="1" x14ac:dyDescent="0.2">
      <c r="C5669" s="198"/>
      <c r="D5669" s="198"/>
      <c r="E5669" s="537"/>
      <c r="G5669" s="198"/>
      <c r="H5669" s="123"/>
    </row>
    <row r="5670" spans="3:8" s="99" customFormat="1" x14ac:dyDescent="0.2">
      <c r="C5670" s="198"/>
      <c r="D5670" s="198"/>
      <c r="E5670" s="537"/>
      <c r="G5670" s="198"/>
      <c r="H5670" s="123"/>
    </row>
    <row r="5671" spans="3:8" s="99" customFormat="1" x14ac:dyDescent="0.2">
      <c r="C5671" s="198"/>
      <c r="D5671" s="198"/>
      <c r="E5671" s="537"/>
      <c r="G5671" s="198"/>
      <c r="H5671" s="123"/>
    </row>
    <row r="5672" spans="3:8" s="99" customFormat="1" x14ac:dyDescent="0.2">
      <c r="C5672" s="198"/>
      <c r="D5672" s="198"/>
      <c r="E5672" s="537"/>
      <c r="G5672" s="198"/>
      <c r="H5672" s="123"/>
    </row>
    <row r="5673" spans="3:8" s="99" customFormat="1" x14ac:dyDescent="0.2">
      <c r="C5673" s="198"/>
      <c r="D5673" s="198"/>
      <c r="E5673" s="537"/>
      <c r="G5673" s="198"/>
      <c r="H5673" s="123"/>
    </row>
    <row r="5674" spans="3:8" s="99" customFormat="1" x14ac:dyDescent="0.2">
      <c r="C5674" s="198"/>
      <c r="D5674" s="198"/>
      <c r="E5674" s="537"/>
      <c r="G5674" s="198"/>
      <c r="H5674" s="123"/>
    </row>
    <row r="5675" spans="3:8" s="99" customFormat="1" x14ac:dyDescent="0.2">
      <c r="C5675" s="198"/>
      <c r="D5675" s="198"/>
      <c r="E5675" s="537"/>
      <c r="G5675" s="198"/>
      <c r="H5675" s="123"/>
    </row>
    <row r="5676" spans="3:8" s="99" customFormat="1" x14ac:dyDescent="0.2">
      <c r="C5676" s="198"/>
      <c r="D5676" s="198"/>
      <c r="E5676" s="537"/>
      <c r="G5676" s="198"/>
      <c r="H5676" s="123"/>
    </row>
    <row r="5677" spans="3:8" s="99" customFormat="1" x14ac:dyDescent="0.2">
      <c r="C5677" s="198"/>
      <c r="D5677" s="198"/>
      <c r="E5677" s="537"/>
      <c r="G5677" s="198"/>
      <c r="H5677" s="123"/>
    </row>
    <row r="5678" spans="3:8" s="99" customFormat="1" x14ac:dyDescent="0.2">
      <c r="C5678" s="198"/>
      <c r="D5678" s="198"/>
      <c r="E5678" s="537"/>
      <c r="G5678" s="198"/>
      <c r="H5678" s="123"/>
    </row>
    <row r="5679" spans="3:8" s="99" customFormat="1" x14ac:dyDescent="0.2">
      <c r="C5679" s="198"/>
      <c r="D5679" s="198"/>
      <c r="E5679" s="537"/>
      <c r="G5679" s="198"/>
      <c r="H5679" s="123"/>
    </row>
    <row r="5680" spans="3:8" s="99" customFormat="1" x14ac:dyDescent="0.2">
      <c r="C5680" s="198"/>
      <c r="D5680" s="198"/>
      <c r="E5680" s="537"/>
      <c r="G5680" s="198"/>
      <c r="H5680" s="123"/>
    </row>
    <row r="5681" spans="3:8" s="99" customFormat="1" x14ac:dyDescent="0.2">
      <c r="C5681" s="198"/>
      <c r="D5681" s="198"/>
      <c r="E5681" s="537"/>
      <c r="G5681" s="198"/>
      <c r="H5681" s="123"/>
    </row>
    <row r="5682" spans="3:8" s="99" customFormat="1" x14ac:dyDescent="0.2">
      <c r="C5682" s="198"/>
      <c r="D5682" s="198"/>
      <c r="E5682" s="537"/>
      <c r="G5682" s="198"/>
      <c r="H5682" s="123"/>
    </row>
    <row r="5683" spans="3:8" s="99" customFormat="1" x14ac:dyDescent="0.2">
      <c r="C5683" s="198"/>
      <c r="D5683" s="198"/>
      <c r="E5683" s="537"/>
      <c r="G5683" s="198"/>
      <c r="H5683" s="123"/>
    </row>
    <row r="5684" spans="3:8" s="99" customFormat="1" x14ac:dyDescent="0.2">
      <c r="C5684" s="198"/>
      <c r="D5684" s="198"/>
      <c r="E5684" s="537"/>
      <c r="G5684" s="198"/>
      <c r="H5684" s="123"/>
    </row>
    <row r="5685" spans="3:8" s="99" customFormat="1" x14ac:dyDescent="0.2">
      <c r="C5685" s="198"/>
      <c r="D5685" s="198"/>
      <c r="E5685" s="537"/>
      <c r="G5685" s="198"/>
      <c r="H5685" s="123"/>
    </row>
    <row r="5686" spans="3:8" s="99" customFormat="1" x14ac:dyDescent="0.2">
      <c r="C5686" s="198"/>
      <c r="D5686" s="198"/>
      <c r="E5686" s="537"/>
      <c r="G5686" s="198"/>
      <c r="H5686" s="123"/>
    </row>
    <row r="5687" spans="3:8" s="99" customFormat="1" x14ac:dyDescent="0.2">
      <c r="C5687" s="198"/>
      <c r="D5687" s="198"/>
      <c r="E5687" s="537"/>
      <c r="G5687" s="198"/>
      <c r="H5687" s="123"/>
    </row>
    <row r="5688" spans="3:8" s="99" customFormat="1" x14ac:dyDescent="0.2">
      <c r="C5688" s="198"/>
      <c r="D5688" s="198"/>
      <c r="E5688" s="537"/>
      <c r="G5688" s="198"/>
      <c r="H5688" s="123"/>
    </row>
    <row r="5689" spans="3:8" s="99" customFormat="1" x14ac:dyDescent="0.2">
      <c r="C5689" s="198"/>
      <c r="D5689" s="198"/>
      <c r="E5689" s="537"/>
      <c r="G5689" s="198"/>
      <c r="H5689" s="123"/>
    </row>
    <row r="5690" spans="3:8" s="99" customFormat="1" x14ac:dyDescent="0.2">
      <c r="C5690" s="198"/>
      <c r="D5690" s="198"/>
      <c r="E5690" s="537"/>
      <c r="G5690" s="198"/>
      <c r="H5690" s="123"/>
    </row>
    <row r="5691" spans="3:8" s="99" customFormat="1" x14ac:dyDescent="0.2">
      <c r="C5691" s="198"/>
      <c r="D5691" s="198"/>
      <c r="E5691" s="537"/>
      <c r="G5691" s="198"/>
      <c r="H5691" s="123"/>
    </row>
    <row r="5692" spans="3:8" s="99" customFormat="1" x14ac:dyDescent="0.2">
      <c r="C5692" s="198"/>
      <c r="D5692" s="198"/>
      <c r="E5692" s="537"/>
      <c r="G5692" s="198"/>
      <c r="H5692" s="123"/>
    </row>
    <row r="5693" spans="3:8" s="99" customFormat="1" x14ac:dyDescent="0.2">
      <c r="C5693" s="198"/>
      <c r="D5693" s="198"/>
      <c r="E5693" s="537"/>
      <c r="G5693" s="198"/>
      <c r="H5693" s="123"/>
    </row>
    <row r="5694" spans="3:8" s="99" customFormat="1" x14ac:dyDescent="0.2">
      <c r="C5694" s="198"/>
      <c r="D5694" s="198"/>
      <c r="E5694" s="537"/>
      <c r="G5694" s="198"/>
      <c r="H5694" s="123"/>
    </row>
    <row r="5695" spans="3:8" s="99" customFormat="1" x14ac:dyDescent="0.2">
      <c r="C5695" s="198"/>
      <c r="D5695" s="198"/>
      <c r="E5695" s="537"/>
      <c r="G5695" s="198"/>
      <c r="H5695" s="123"/>
    </row>
    <row r="5696" spans="3:8" s="99" customFormat="1" x14ac:dyDescent="0.2">
      <c r="C5696" s="198"/>
      <c r="D5696" s="198"/>
      <c r="E5696" s="537"/>
      <c r="G5696" s="198"/>
      <c r="H5696" s="123"/>
    </row>
    <row r="5697" spans="3:8" s="99" customFormat="1" x14ac:dyDescent="0.2">
      <c r="C5697" s="198"/>
      <c r="D5697" s="198"/>
      <c r="E5697" s="537"/>
      <c r="G5697" s="198"/>
      <c r="H5697" s="123"/>
    </row>
    <row r="5698" spans="3:8" s="99" customFormat="1" x14ac:dyDescent="0.2">
      <c r="C5698" s="198"/>
      <c r="D5698" s="198"/>
      <c r="E5698" s="537"/>
      <c r="G5698" s="198"/>
      <c r="H5698" s="123"/>
    </row>
    <row r="5699" spans="3:8" s="99" customFormat="1" x14ac:dyDescent="0.2">
      <c r="C5699" s="198"/>
      <c r="D5699" s="198"/>
      <c r="E5699" s="537"/>
      <c r="G5699" s="198"/>
      <c r="H5699" s="123"/>
    </row>
    <row r="5700" spans="3:8" s="99" customFormat="1" x14ac:dyDescent="0.2">
      <c r="C5700" s="198"/>
      <c r="D5700" s="198"/>
      <c r="E5700" s="537"/>
      <c r="G5700" s="198"/>
      <c r="H5700" s="123"/>
    </row>
    <row r="5701" spans="3:8" s="99" customFormat="1" x14ac:dyDescent="0.2">
      <c r="C5701" s="198"/>
      <c r="D5701" s="198"/>
      <c r="E5701" s="537"/>
      <c r="G5701" s="198"/>
      <c r="H5701" s="123"/>
    </row>
    <row r="5702" spans="3:8" s="99" customFormat="1" x14ac:dyDescent="0.2">
      <c r="C5702" s="198"/>
      <c r="D5702" s="198"/>
      <c r="E5702" s="537"/>
      <c r="G5702" s="198"/>
      <c r="H5702" s="123"/>
    </row>
    <row r="5703" spans="3:8" s="99" customFormat="1" x14ac:dyDescent="0.2">
      <c r="C5703" s="198"/>
      <c r="D5703" s="198"/>
      <c r="E5703" s="537"/>
      <c r="G5703" s="198"/>
      <c r="H5703" s="123"/>
    </row>
    <row r="5704" spans="3:8" s="99" customFormat="1" x14ac:dyDescent="0.2">
      <c r="C5704" s="198"/>
      <c r="D5704" s="198"/>
      <c r="E5704" s="537"/>
      <c r="G5704" s="198"/>
      <c r="H5704" s="123"/>
    </row>
    <row r="5705" spans="3:8" s="99" customFormat="1" x14ac:dyDescent="0.2">
      <c r="C5705" s="198"/>
      <c r="D5705" s="198"/>
      <c r="E5705" s="537"/>
      <c r="G5705" s="198"/>
      <c r="H5705" s="123"/>
    </row>
    <row r="5706" spans="3:8" s="99" customFormat="1" x14ac:dyDescent="0.2">
      <c r="C5706" s="198"/>
      <c r="D5706" s="198"/>
      <c r="E5706" s="537"/>
      <c r="G5706" s="198"/>
      <c r="H5706" s="123"/>
    </row>
    <row r="5707" spans="3:8" s="99" customFormat="1" x14ac:dyDescent="0.2">
      <c r="C5707" s="198"/>
      <c r="D5707" s="198"/>
      <c r="E5707" s="537"/>
      <c r="G5707" s="198"/>
      <c r="H5707" s="123"/>
    </row>
    <row r="5708" spans="3:8" s="99" customFormat="1" x14ac:dyDescent="0.2">
      <c r="C5708" s="198"/>
      <c r="D5708" s="198"/>
      <c r="E5708" s="537"/>
      <c r="G5708" s="198"/>
      <c r="H5708" s="123"/>
    </row>
    <row r="5709" spans="3:8" s="99" customFormat="1" x14ac:dyDescent="0.2">
      <c r="C5709" s="198"/>
      <c r="D5709" s="198"/>
      <c r="E5709" s="537"/>
      <c r="G5709" s="198"/>
      <c r="H5709" s="123"/>
    </row>
    <row r="5710" spans="3:8" s="99" customFormat="1" x14ac:dyDescent="0.2">
      <c r="C5710" s="198"/>
      <c r="D5710" s="198"/>
      <c r="E5710" s="537"/>
      <c r="G5710" s="198"/>
      <c r="H5710" s="123"/>
    </row>
    <row r="5711" spans="3:8" s="99" customFormat="1" x14ac:dyDescent="0.2">
      <c r="C5711" s="198"/>
      <c r="D5711" s="198"/>
      <c r="E5711" s="537"/>
      <c r="G5711" s="198"/>
      <c r="H5711" s="123"/>
    </row>
    <row r="5712" spans="3:8" s="99" customFormat="1" x14ac:dyDescent="0.2">
      <c r="C5712" s="198"/>
      <c r="D5712" s="198"/>
      <c r="E5712" s="537"/>
      <c r="G5712" s="198"/>
      <c r="H5712" s="123"/>
    </row>
    <row r="5713" spans="3:8" s="99" customFormat="1" x14ac:dyDescent="0.2">
      <c r="C5713" s="198"/>
      <c r="D5713" s="198"/>
      <c r="E5713" s="537"/>
      <c r="G5713" s="198"/>
      <c r="H5713" s="123"/>
    </row>
    <row r="5714" spans="3:8" s="99" customFormat="1" x14ac:dyDescent="0.2">
      <c r="C5714" s="198"/>
      <c r="D5714" s="198"/>
      <c r="E5714" s="537"/>
      <c r="G5714" s="198"/>
      <c r="H5714" s="123"/>
    </row>
    <row r="5715" spans="3:8" s="99" customFormat="1" x14ac:dyDescent="0.2">
      <c r="C5715" s="198"/>
      <c r="D5715" s="198"/>
      <c r="E5715" s="537"/>
      <c r="G5715" s="198"/>
      <c r="H5715" s="123"/>
    </row>
    <row r="5716" spans="3:8" s="99" customFormat="1" x14ac:dyDescent="0.2">
      <c r="C5716" s="198"/>
      <c r="D5716" s="198"/>
      <c r="E5716" s="537"/>
      <c r="G5716" s="198"/>
      <c r="H5716" s="123"/>
    </row>
    <row r="5717" spans="3:8" s="99" customFormat="1" x14ac:dyDescent="0.2">
      <c r="C5717" s="198"/>
      <c r="D5717" s="198"/>
      <c r="E5717" s="537"/>
      <c r="G5717" s="198"/>
      <c r="H5717" s="123"/>
    </row>
    <row r="5718" spans="3:8" s="99" customFormat="1" x14ac:dyDescent="0.2">
      <c r="C5718" s="198"/>
      <c r="D5718" s="198"/>
      <c r="E5718" s="537"/>
      <c r="G5718" s="198"/>
      <c r="H5718" s="123"/>
    </row>
    <row r="5719" spans="3:8" s="99" customFormat="1" x14ac:dyDescent="0.2">
      <c r="C5719" s="198"/>
      <c r="D5719" s="198"/>
      <c r="E5719" s="537"/>
      <c r="G5719" s="198"/>
      <c r="H5719" s="123"/>
    </row>
    <row r="5720" spans="3:8" s="99" customFormat="1" x14ac:dyDescent="0.2">
      <c r="C5720" s="198"/>
      <c r="D5720" s="198"/>
      <c r="E5720" s="537"/>
      <c r="G5720" s="198"/>
      <c r="H5720" s="123"/>
    </row>
    <row r="5721" spans="3:8" s="99" customFormat="1" x14ac:dyDescent="0.2">
      <c r="C5721" s="198"/>
      <c r="D5721" s="198"/>
      <c r="E5721" s="537"/>
      <c r="G5721" s="198"/>
      <c r="H5721" s="123"/>
    </row>
    <row r="5722" spans="3:8" s="99" customFormat="1" x14ac:dyDescent="0.2">
      <c r="C5722" s="198"/>
      <c r="D5722" s="198"/>
      <c r="E5722" s="537"/>
      <c r="G5722" s="198"/>
      <c r="H5722" s="123"/>
    </row>
    <row r="5723" spans="3:8" s="99" customFormat="1" x14ac:dyDescent="0.2">
      <c r="C5723" s="198"/>
      <c r="D5723" s="198"/>
      <c r="E5723" s="537"/>
      <c r="G5723" s="198"/>
      <c r="H5723" s="123"/>
    </row>
    <row r="5724" spans="3:8" s="99" customFormat="1" x14ac:dyDescent="0.2">
      <c r="C5724" s="198"/>
      <c r="D5724" s="198"/>
      <c r="E5724" s="537"/>
      <c r="G5724" s="198"/>
      <c r="H5724" s="123"/>
    </row>
    <row r="5725" spans="3:8" s="99" customFormat="1" x14ac:dyDescent="0.2">
      <c r="C5725" s="198"/>
      <c r="D5725" s="198"/>
      <c r="E5725" s="537"/>
      <c r="G5725" s="198"/>
      <c r="H5725" s="123"/>
    </row>
    <row r="5726" spans="3:8" s="99" customFormat="1" x14ac:dyDescent="0.2">
      <c r="C5726" s="198"/>
      <c r="D5726" s="198"/>
      <c r="E5726" s="537"/>
      <c r="G5726" s="198"/>
      <c r="H5726" s="123"/>
    </row>
    <row r="5727" spans="3:8" s="99" customFormat="1" x14ac:dyDescent="0.2">
      <c r="C5727" s="198"/>
      <c r="D5727" s="198"/>
      <c r="E5727" s="537"/>
      <c r="G5727" s="198"/>
      <c r="H5727" s="123"/>
    </row>
    <row r="5728" spans="3:8" s="99" customFormat="1" x14ac:dyDescent="0.2">
      <c r="C5728" s="198"/>
      <c r="D5728" s="198"/>
      <c r="E5728" s="537"/>
      <c r="G5728" s="198"/>
      <c r="H5728" s="123"/>
    </row>
    <row r="5729" spans="3:8" s="99" customFormat="1" x14ac:dyDescent="0.2">
      <c r="C5729" s="198"/>
      <c r="D5729" s="198"/>
      <c r="E5729" s="537"/>
      <c r="G5729" s="198"/>
      <c r="H5729" s="123"/>
    </row>
    <row r="5730" spans="3:8" s="99" customFormat="1" x14ac:dyDescent="0.2">
      <c r="C5730" s="198"/>
      <c r="D5730" s="198"/>
      <c r="E5730" s="537"/>
      <c r="G5730" s="198"/>
      <c r="H5730" s="123"/>
    </row>
    <row r="5731" spans="3:8" s="99" customFormat="1" x14ac:dyDescent="0.2">
      <c r="C5731" s="198"/>
      <c r="D5731" s="198"/>
      <c r="E5731" s="537"/>
      <c r="G5731" s="198"/>
      <c r="H5731" s="123"/>
    </row>
    <row r="5732" spans="3:8" s="99" customFormat="1" x14ac:dyDescent="0.2">
      <c r="C5732" s="198"/>
      <c r="D5732" s="198"/>
      <c r="E5732" s="537"/>
      <c r="G5732" s="198"/>
      <c r="H5732" s="123"/>
    </row>
    <row r="5733" spans="3:8" s="99" customFormat="1" x14ac:dyDescent="0.2">
      <c r="C5733" s="198"/>
      <c r="D5733" s="198"/>
      <c r="E5733" s="537"/>
      <c r="G5733" s="198"/>
      <c r="H5733" s="123"/>
    </row>
    <row r="5734" spans="3:8" s="99" customFormat="1" x14ac:dyDescent="0.2">
      <c r="C5734" s="198"/>
      <c r="D5734" s="198"/>
      <c r="E5734" s="537"/>
      <c r="G5734" s="198"/>
      <c r="H5734" s="123"/>
    </row>
    <row r="5735" spans="3:8" s="99" customFormat="1" x14ac:dyDescent="0.2">
      <c r="C5735" s="198"/>
      <c r="D5735" s="198"/>
      <c r="E5735" s="537"/>
      <c r="G5735" s="198"/>
      <c r="H5735" s="123"/>
    </row>
    <row r="5736" spans="3:8" s="99" customFormat="1" x14ac:dyDescent="0.2">
      <c r="C5736" s="198"/>
      <c r="D5736" s="198"/>
      <c r="E5736" s="537"/>
      <c r="G5736" s="198"/>
      <c r="H5736" s="123"/>
    </row>
    <row r="5737" spans="3:8" s="99" customFormat="1" x14ac:dyDescent="0.2">
      <c r="C5737" s="198"/>
      <c r="D5737" s="198"/>
      <c r="E5737" s="537"/>
      <c r="G5737" s="198"/>
      <c r="H5737" s="123"/>
    </row>
    <row r="5738" spans="3:8" s="99" customFormat="1" x14ac:dyDescent="0.2">
      <c r="C5738" s="198"/>
      <c r="D5738" s="198"/>
      <c r="E5738" s="537"/>
      <c r="G5738" s="198"/>
      <c r="H5738" s="123"/>
    </row>
    <row r="5739" spans="3:8" s="99" customFormat="1" x14ac:dyDescent="0.2">
      <c r="C5739" s="198"/>
      <c r="D5739" s="198"/>
      <c r="E5739" s="537"/>
      <c r="G5739" s="198"/>
      <c r="H5739" s="123"/>
    </row>
    <row r="5740" spans="3:8" s="99" customFormat="1" x14ac:dyDescent="0.2">
      <c r="C5740" s="198"/>
      <c r="D5740" s="198"/>
      <c r="E5740" s="537"/>
      <c r="G5740" s="198"/>
      <c r="H5740" s="123"/>
    </row>
    <row r="5741" spans="3:8" s="99" customFormat="1" x14ac:dyDescent="0.2">
      <c r="C5741" s="198"/>
      <c r="D5741" s="198"/>
      <c r="E5741" s="537"/>
      <c r="G5741" s="198"/>
      <c r="H5741" s="123"/>
    </row>
    <row r="5742" spans="3:8" s="99" customFormat="1" x14ac:dyDescent="0.2">
      <c r="C5742" s="198"/>
      <c r="D5742" s="198"/>
      <c r="E5742" s="537"/>
      <c r="G5742" s="198"/>
      <c r="H5742" s="123"/>
    </row>
    <row r="5743" spans="3:8" s="99" customFormat="1" x14ac:dyDescent="0.2">
      <c r="C5743" s="198"/>
      <c r="D5743" s="198"/>
      <c r="E5743" s="537"/>
      <c r="G5743" s="198"/>
      <c r="H5743" s="123"/>
    </row>
    <row r="5744" spans="3:8" s="99" customFormat="1" x14ac:dyDescent="0.2">
      <c r="C5744" s="198"/>
      <c r="D5744" s="198"/>
      <c r="E5744" s="537"/>
      <c r="G5744" s="198"/>
      <c r="H5744" s="123"/>
    </row>
    <row r="5745" spans="3:8" s="99" customFormat="1" x14ac:dyDescent="0.2">
      <c r="C5745" s="198"/>
      <c r="D5745" s="198"/>
      <c r="E5745" s="537"/>
      <c r="G5745" s="198"/>
      <c r="H5745" s="123"/>
    </row>
    <row r="5746" spans="3:8" s="99" customFormat="1" x14ac:dyDescent="0.2">
      <c r="C5746" s="198"/>
      <c r="D5746" s="198"/>
      <c r="E5746" s="537"/>
      <c r="G5746" s="198"/>
      <c r="H5746" s="123"/>
    </row>
    <row r="5747" spans="3:8" s="99" customFormat="1" x14ac:dyDescent="0.2">
      <c r="C5747" s="198"/>
      <c r="D5747" s="198"/>
      <c r="E5747" s="537"/>
      <c r="G5747" s="198"/>
      <c r="H5747" s="123"/>
    </row>
    <row r="5748" spans="3:8" s="99" customFormat="1" x14ac:dyDescent="0.2">
      <c r="C5748" s="198"/>
      <c r="D5748" s="198"/>
      <c r="E5748" s="537"/>
      <c r="G5748" s="198"/>
      <c r="H5748" s="123"/>
    </row>
    <row r="5749" spans="3:8" s="99" customFormat="1" x14ac:dyDescent="0.2">
      <c r="C5749" s="198"/>
      <c r="D5749" s="198"/>
      <c r="E5749" s="537"/>
      <c r="G5749" s="198"/>
      <c r="H5749" s="123"/>
    </row>
    <row r="5750" spans="3:8" s="99" customFormat="1" x14ac:dyDescent="0.2">
      <c r="C5750" s="198"/>
      <c r="D5750" s="198"/>
      <c r="E5750" s="537"/>
      <c r="G5750" s="198"/>
      <c r="H5750" s="123"/>
    </row>
    <row r="5751" spans="3:8" s="99" customFormat="1" x14ac:dyDescent="0.2">
      <c r="C5751" s="198"/>
      <c r="D5751" s="198"/>
      <c r="E5751" s="537"/>
      <c r="G5751" s="198"/>
      <c r="H5751" s="123"/>
    </row>
    <row r="5752" spans="3:8" s="99" customFormat="1" x14ac:dyDescent="0.2">
      <c r="C5752" s="198"/>
      <c r="D5752" s="198"/>
      <c r="E5752" s="537"/>
      <c r="G5752" s="198"/>
      <c r="H5752" s="123"/>
    </row>
    <row r="5753" spans="3:8" s="99" customFormat="1" x14ac:dyDescent="0.2">
      <c r="C5753" s="198"/>
      <c r="D5753" s="198"/>
      <c r="E5753" s="537"/>
      <c r="G5753" s="198"/>
      <c r="H5753" s="123"/>
    </row>
    <row r="5754" spans="3:8" s="99" customFormat="1" x14ac:dyDescent="0.2">
      <c r="C5754" s="198"/>
      <c r="D5754" s="198"/>
      <c r="E5754" s="537"/>
      <c r="G5754" s="198"/>
      <c r="H5754" s="123"/>
    </row>
    <row r="5755" spans="3:8" s="99" customFormat="1" x14ac:dyDescent="0.2">
      <c r="C5755" s="198"/>
      <c r="D5755" s="198"/>
      <c r="E5755" s="537"/>
      <c r="G5755" s="198"/>
      <c r="H5755" s="123"/>
    </row>
    <row r="5756" spans="3:8" s="99" customFormat="1" x14ac:dyDescent="0.2">
      <c r="C5756" s="198"/>
      <c r="D5756" s="198"/>
      <c r="E5756" s="537"/>
      <c r="G5756" s="198"/>
      <c r="H5756" s="123"/>
    </row>
    <row r="5757" spans="3:8" s="99" customFormat="1" x14ac:dyDescent="0.2">
      <c r="C5757" s="198"/>
      <c r="D5757" s="198"/>
      <c r="E5757" s="537"/>
      <c r="G5757" s="198"/>
      <c r="H5757" s="123"/>
    </row>
    <row r="5758" spans="3:8" s="99" customFormat="1" x14ac:dyDescent="0.2">
      <c r="C5758" s="198"/>
      <c r="D5758" s="198"/>
      <c r="E5758" s="537"/>
      <c r="G5758" s="198"/>
      <c r="H5758" s="123"/>
    </row>
    <row r="5759" spans="3:8" s="99" customFormat="1" x14ac:dyDescent="0.2">
      <c r="C5759" s="198"/>
      <c r="D5759" s="198"/>
      <c r="E5759" s="537"/>
      <c r="G5759" s="198"/>
      <c r="H5759" s="123"/>
    </row>
    <row r="5760" spans="3:8" s="99" customFormat="1" x14ac:dyDescent="0.2">
      <c r="C5760" s="198"/>
      <c r="D5760" s="198"/>
      <c r="E5760" s="537"/>
      <c r="G5760" s="198"/>
      <c r="H5760" s="123"/>
    </row>
    <row r="5761" spans="3:8" s="99" customFormat="1" x14ac:dyDescent="0.2">
      <c r="C5761" s="198"/>
      <c r="D5761" s="198"/>
      <c r="E5761" s="537"/>
      <c r="G5761" s="198"/>
      <c r="H5761" s="123"/>
    </row>
    <row r="5762" spans="3:8" s="99" customFormat="1" x14ac:dyDescent="0.2">
      <c r="C5762" s="198"/>
      <c r="D5762" s="198"/>
      <c r="E5762" s="537"/>
      <c r="G5762" s="198"/>
      <c r="H5762" s="123"/>
    </row>
    <row r="5763" spans="3:8" s="99" customFormat="1" x14ac:dyDescent="0.2">
      <c r="C5763" s="198"/>
      <c r="D5763" s="198"/>
      <c r="E5763" s="537"/>
      <c r="G5763" s="198"/>
      <c r="H5763" s="123"/>
    </row>
    <row r="5764" spans="3:8" s="99" customFormat="1" x14ac:dyDescent="0.2">
      <c r="C5764" s="198"/>
      <c r="D5764" s="198"/>
      <c r="E5764" s="537"/>
      <c r="G5764" s="198"/>
      <c r="H5764" s="123"/>
    </row>
    <row r="5765" spans="3:8" s="99" customFormat="1" x14ac:dyDescent="0.2">
      <c r="C5765" s="198"/>
      <c r="D5765" s="198"/>
      <c r="E5765" s="537"/>
      <c r="G5765" s="198"/>
      <c r="H5765" s="123"/>
    </row>
    <row r="5766" spans="3:8" s="99" customFormat="1" x14ac:dyDescent="0.2">
      <c r="C5766" s="198"/>
      <c r="D5766" s="198"/>
      <c r="E5766" s="537"/>
      <c r="G5766" s="198"/>
      <c r="H5766" s="123"/>
    </row>
    <row r="5767" spans="3:8" s="99" customFormat="1" x14ac:dyDescent="0.2">
      <c r="C5767" s="198"/>
      <c r="D5767" s="198"/>
      <c r="E5767" s="537"/>
      <c r="G5767" s="198"/>
      <c r="H5767" s="123"/>
    </row>
    <row r="5768" spans="3:8" s="99" customFormat="1" x14ac:dyDescent="0.2">
      <c r="C5768" s="198"/>
      <c r="D5768" s="198"/>
      <c r="E5768" s="537"/>
      <c r="G5768" s="198"/>
      <c r="H5768" s="123"/>
    </row>
    <row r="5769" spans="3:8" s="99" customFormat="1" x14ac:dyDescent="0.2">
      <c r="C5769" s="198"/>
      <c r="D5769" s="198"/>
      <c r="E5769" s="537"/>
      <c r="G5769" s="198"/>
      <c r="H5769" s="123"/>
    </row>
    <row r="5770" spans="3:8" s="99" customFormat="1" x14ac:dyDescent="0.2">
      <c r="C5770" s="198"/>
      <c r="D5770" s="198"/>
      <c r="E5770" s="537"/>
      <c r="G5770" s="198"/>
      <c r="H5770" s="123"/>
    </row>
    <row r="5771" spans="3:8" s="99" customFormat="1" x14ac:dyDescent="0.2">
      <c r="C5771" s="198"/>
      <c r="D5771" s="198"/>
      <c r="E5771" s="537"/>
      <c r="G5771" s="198"/>
      <c r="H5771" s="123"/>
    </row>
    <row r="5772" spans="3:8" s="99" customFormat="1" x14ac:dyDescent="0.2">
      <c r="C5772" s="198"/>
      <c r="D5772" s="198"/>
      <c r="E5772" s="537"/>
      <c r="G5772" s="198"/>
      <c r="H5772" s="123"/>
    </row>
    <row r="5773" spans="3:8" s="99" customFormat="1" x14ac:dyDescent="0.2">
      <c r="C5773" s="198"/>
      <c r="D5773" s="198"/>
      <c r="E5773" s="537"/>
      <c r="G5773" s="198"/>
      <c r="H5773" s="123"/>
    </row>
    <row r="5774" spans="3:8" s="99" customFormat="1" x14ac:dyDescent="0.2">
      <c r="C5774" s="198"/>
      <c r="D5774" s="198"/>
      <c r="E5774" s="537"/>
      <c r="G5774" s="198"/>
      <c r="H5774" s="123"/>
    </row>
    <row r="5775" spans="3:8" s="99" customFormat="1" x14ac:dyDescent="0.2">
      <c r="C5775" s="198"/>
      <c r="D5775" s="198"/>
      <c r="E5775" s="537"/>
      <c r="G5775" s="198"/>
      <c r="H5775" s="123"/>
    </row>
    <row r="5776" spans="3:8" s="99" customFormat="1" x14ac:dyDescent="0.2">
      <c r="C5776" s="198"/>
      <c r="D5776" s="198"/>
      <c r="E5776" s="537"/>
      <c r="G5776" s="198"/>
      <c r="H5776" s="123"/>
    </row>
    <row r="5777" spans="3:8" s="99" customFormat="1" x14ac:dyDescent="0.2">
      <c r="C5777" s="198"/>
      <c r="D5777" s="198"/>
      <c r="E5777" s="537"/>
      <c r="G5777" s="198"/>
      <c r="H5777" s="123"/>
    </row>
    <row r="5778" spans="3:8" s="99" customFormat="1" x14ac:dyDescent="0.2">
      <c r="C5778" s="198"/>
      <c r="D5778" s="198"/>
      <c r="E5778" s="537"/>
      <c r="G5778" s="198"/>
      <c r="H5778" s="123"/>
    </row>
    <row r="5779" spans="3:8" s="99" customFormat="1" x14ac:dyDescent="0.2">
      <c r="C5779" s="198"/>
      <c r="D5779" s="198"/>
      <c r="E5779" s="537"/>
      <c r="G5779" s="198"/>
      <c r="H5779" s="123"/>
    </row>
    <row r="5780" spans="3:8" s="99" customFormat="1" x14ac:dyDescent="0.2">
      <c r="C5780" s="198"/>
      <c r="D5780" s="198"/>
      <c r="E5780" s="537"/>
      <c r="G5780" s="198"/>
      <c r="H5780" s="123"/>
    </row>
    <row r="5781" spans="3:8" s="99" customFormat="1" x14ac:dyDescent="0.2">
      <c r="C5781" s="198"/>
      <c r="D5781" s="198"/>
      <c r="E5781" s="537"/>
      <c r="G5781" s="198"/>
      <c r="H5781" s="123"/>
    </row>
    <row r="5782" spans="3:8" s="99" customFormat="1" x14ac:dyDescent="0.2">
      <c r="C5782" s="198"/>
      <c r="D5782" s="198"/>
      <c r="E5782" s="537"/>
      <c r="G5782" s="198"/>
      <c r="H5782" s="123"/>
    </row>
    <row r="5783" spans="3:8" s="99" customFormat="1" x14ac:dyDescent="0.2">
      <c r="C5783" s="198"/>
      <c r="D5783" s="198"/>
      <c r="E5783" s="537"/>
      <c r="G5783" s="198"/>
      <c r="H5783" s="123"/>
    </row>
    <row r="5784" spans="3:8" s="99" customFormat="1" x14ac:dyDescent="0.2">
      <c r="C5784" s="198"/>
      <c r="D5784" s="198"/>
      <c r="E5784" s="537"/>
      <c r="G5784" s="198"/>
      <c r="H5784" s="123"/>
    </row>
    <row r="5785" spans="3:8" s="99" customFormat="1" x14ac:dyDescent="0.2">
      <c r="C5785" s="198"/>
      <c r="D5785" s="198"/>
      <c r="E5785" s="537"/>
      <c r="G5785" s="198"/>
      <c r="H5785" s="123"/>
    </row>
    <row r="5786" spans="3:8" s="99" customFormat="1" x14ac:dyDescent="0.2">
      <c r="C5786" s="198"/>
      <c r="D5786" s="198"/>
      <c r="E5786" s="537"/>
      <c r="G5786" s="198"/>
      <c r="H5786" s="123"/>
    </row>
    <row r="5787" spans="3:8" s="99" customFormat="1" x14ac:dyDescent="0.2">
      <c r="C5787" s="198"/>
      <c r="D5787" s="198"/>
      <c r="E5787" s="537"/>
      <c r="G5787" s="198"/>
      <c r="H5787" s="123"/>
    </row>
    <row r="5788" spans="3:8" s="99" customFormat="1" x14ac:dyDescent="0.2">
      <c r="C5788" s="198"/>
      <c r="D5788" s="198"/>
      <c r="E5788" s="537"/>
      <c r="G5788" s="198"/>
      <c r="H5788" s="123"/>
    </row>
    <row r="5789" spans="3:8" s="99" customFormat="1" x14ac:dyDescent="0.2">
      <c r="C5789" s="198"/>
      <c r="D5789" s="198"/>
      <c r="E5789" s="537"/>
      <c r="G5789" s="198"/>
      <c r="H5789" s="123"/>
    </row>
    <row r="5790" spans="3:8" s="99" customFormat="1" x14ac:dyDescent="0.2">
      <c r="C5790" s="198"/>
      <c r="D5790" s="198"/>
      <c r="E5790" s="537"/>
      <c r="G5790" s="198"/>
      <c r="H5790" s="123"/>
    </row>
    <row r="5791" spans="3:8" s="99" customFormat="1" x14ac:dyDescent="0.2">
      <c r="C5791" s="198"/>
      <c r="D5791" s="198"/>
      <c r="E5791" s="537"/>
      <c r="G5791" s="198"/>
      <c r="H5791" s="123"/>
    </row>
    <row r="5792" spans="3:8" s="99" customFormat="1" x14ac:dyDescent="0.2">
      <c r="C5792" s="198"/>
      <c r="D5792" s="198"/>
      <c r="E5792" s="537"/>
      <c r="G5792" s="198"/>
      <c r="H5792" s="123"/>
    </row>
    <row r="5793" spans="3:8" s="99" customFormat="1" x14ac:dyDescent="0.2">
      <c r="C5793" s="198"/>
      <c r="D5793" s="198"/>
      <c r="E5793" s="537"/>
      <c r="G5793" s="198"/>
      <c r="H5793" s="123"/>
    </row>
    <row r="5794" spans="3:8" s="99" customFormat="1" x14ac:dyDescent="0.2">
      <c r="C5794" s="198"/>
      <c r="D5794" s="198"/>
      <c r="E5794" s="537"/>
      <c r="G5794" s="198"/>
      <c r="H5794" s="123"/>
    </row>
    <row r="5795" spans="3:8" s="99" customFormat="1" x14ac:dyDescent="0.2">
      <c r="C5795" s="198"/>
      <c r="D5795" s="198"/>
      <c r="E5795" s="537"/>
      <c r="G5795" s="198"/>
      <c r="H5795" s="123"/>
    </row>
    <row r="5796" spans="3:8" s="99" customFormat="1" x14ac:dyDescent="0.2">
      <c r="C5796" s="198"/>
      <c r="D5796" s="198"/>
      <c r="E5796" s="537"/>
      <c r="G5796" s="198"/>
      <c r="H5796" s="123"/>
    </row>
    <row r="5797" spans="3:8" s="99" customFormat="1" x14ac:dyDescent="0.2">
      <c r="C5797" s="198"/>
      <c r="D5797" s="198"/>
      <c r="E5797" s="537"/>
      <c r="G5797" s="198"/>
      <c r="H5797" s="123"/>
    </row>
    <row r="5798" spans="3:8" s="99" customFormat="1" x14ac:dyDescent="0.2">
      <c r="C5798" s="198"/>
      <c r="D5798" s="198"/>
      <c r="E5798" s="537"/>
      <c r="G5798" s="198"/>
      <c r="H5798" s="123"/>
    </row>
    <row r="5799" spans="3:8" s="99" customFormat="1" x14ac:dyDescent="0.2">
      <c r="C5799" s="198"/>
      <c r="D5799" s="198"/>
      <c r="E5799" s="537"/>
      <c r="G5799" s="198"/>
      <c r="H5799" s="123"/>
    </row>
    <row r="5800" spans="3:8" s="99" customFormat="1" x14ac:dyDescent="0.2">
      <c r="C5800" s="198"/>
      <c r="D5800" s="198"/>
      <c r="E5800" s="537"/>
      <c r="G5800" s="198"/>
      <c r="H5800" s="123"/>
    </row>
    <row r="5801" spans="3:8" s="99" customFormat="1" x14ac:dyDescent="0.2">
      <c r="C5801" s="198"/>
      <c r="D5801" s="198"/>
      <c r="E5801" s="537"/>
      <c r="G5801" s="198"/>
      <c r="H5801" s="123"/>
    </row>
    <row r="5802" spans="3:8" s="99" customFormat="1" x14ac:dyDescent="0.2">
      <c r="C5802" s="198"/>
      <c r="D5802" s="198"/>
      <c r="E5802" s="537"/>
      <c r="G5802" s="198"/>
      <c r="H5802" s="123"/>
    </row>
    <row r="5803" spans="3:8" s="99" customFormat="1" x14ac:dyDescent="0.2">
      <c r="C5803" s="198"/>
      <c r="D5803" s="198"/>
      <c r="E5803" s="537"/>
      <c r="G5803" s="198"/>
      <c r="H5803" s="123"/>
    </row>
    <row r="5804" spans="3:8" s="99" customFormat="1" x14ac:dyDescent="0.2">
      <c r="C5804" s="198"/>
      <c r="D5804" s="198"/>
      <c r="E5804" s="537"/>
      <c r="G5804" s="198"/>
      <c r="H5804" s="123"/>
    </row>
    <row r="5805" spans="3:8" s="99" customFormat="1" x14ac:dyDescent="0.2">
      <c r="C5805" s="198"/>
      <c r="D5805" s="198"/>
      <c r="E5805" s="537"/>
      <c r="G5805" s="198"/>
      <c r="H5805" s="123"/>
    </row>
    <row r="5806" spans="3:8" s="99" customFormat="1" x14ac:dyDescent="0.2">
      <c r="C5806" s="198"/>
      <c r="D5806" s="198"/>
      <c r="E5806" s="537"/>
      <c r="G5806" s="198"/>
      <c r="H5806" s="123"/>
    </row>
    <row r="5807" spans="3:8" s="99" customFormat="1" x14ac:dyDescent="0.2">
      <c r="C5807" s="198"/>
      <c r="D5807" s="198"/>
      <c r="E5807" s="537"/>
      <c r="G5807" s="198"/>
      <c r="H5807" s="123"/>
    </row>
    <row r="5808" spans="3:8" s="99" customFormat="1" x14ac:dyDescent="0.2">
      <c r="C5808" s="198"/>
      <c r="D5808" s="198"/>
      <c r="E5808" s="537"/>
      <c r="G5808" s="198"/>
      <c r="H5808" s="123"/>
    </row>
    <row r="5809" spans="3:8" s="99" customFormat="1" x14ac:dyDescent="0.2">
      <c r="C5809" s="198"/>
      <c r="D5809" s="198"/>
      <c r="E5809" s="537"/>
      <c r="G5809" s="198"/>
      <c r="H5809" s="123"/>
    </row>
    <row r="5810" spans="3:8" s="99" customFormat="1" x14ac:dyDescent="0.2">
      <c r="C5810" s="198"/>
      <c r="D5810" s="198"/>
      <c r="E5810" s="537"/>
      <c r="G5810" s="198"/>
      <c r="H5810" s="123"/>
    </row>
    <row r="5811" spans="3:8" s="99" customFormat="1" x14ac:dyDescent="0.2">
      <c r="C5811" s="198"/>
      <c r="D5811" s="198"/>
      <c r="E5811" s="537"/>
      <c r="G5811" s="198"/>
      <c r="H5811" s="123"/>
    </row>
    <row r="5812" spans="3:8" s="99" customFormat="1" x14ac:dyDescent="0.2">
      <c r="C5812" s="198"/>
      <c r="D5812" s="198"/>
      <c r="E5812" s="537"/>
      <c r="G5812" s="198"/>
      <c r="H5812" s="123"/>
    </row>
    <row r="5813" spans="3:8" s="99" customFormat="1" x14ac:dyDescent="0.2">
      <c r="C5813" s="198"/>
      <c r="D5813" s="198"/>
      <c r="E5813" s="537"/>
      <c r="G5813" s="198"/>
      <c r="H5813" s="123"/>
    </row>
    <row r="5814" spans="3:8" s="99" customFormat="1" x14ac:dyDescent="0.2">
      <c r="C5814" s="198"/>
      <c r="D5814" s="198"/>
      <c r="E5814" s="537"/>
      <c r="G5814" s="198"/>
      <c r="H5814" s="123"/>
    </row>
    <row r="5815" spans="3:8" s="99" customFormat="1" x14ac:dyDescent="0.2">
      <c r="C5815" s="198"/>
      <c r="D5815" s="198"/>
      <c r="E5815" s="537"/>
      <c r="G5815" s="198"/>
      <c r="H5815" s="123"/>
    </row>
    <row r="5816" spans="3:8" s="99" customFormat="1" x14ac:dyDescent="0.2">
      <c r="C5816" s="198"/>
      <c r="D5816" s="198"/>
      <c r="E5816" s="537"/>
      <c r="G5816" s="198"/>
      <c r="H5816" s="123"/>
    </row>
    <row r="5817" spans="3:8" s="99" customFormat="1" x14ac:dyDescent="0.2">
      <c r="C5817" s="198"/>
      <c r="D5817" s="198"/>
      <c r="E5817" s="537"/>
      <c r="G5817" s="198"/>
      <c r="H5817" s="123"/>
    </row>
    <row r="5818" spans="3:8" s="99" customFormat="1" x14ac:dyDescent="0.2">
      <c r="C5818" s="198"/>
      <c r="D5818" s="198"/>
      <c r="E5818" s="537"/>
      <c r="G5818" s="198"/>
      <c r="H5818" s="123"/>
    </row>
    <row r="5819" spans="3:8" s="99" customFormat="1" x14ac:dyDescent="0.2">
      <c r="C5819" s="198"/>
      <c r="D5819" s="198"/>
      <c r="E5819" s="537"/>
      <c r="G5819" s="198"/>
      <c r="H5819" s="123"/>
    </row>
    <row r="5820" spans="3:8" s="99" customFormat="1" x14ac:dyDescent="0.2">
      <c r="C5820" s="198"/>
      <c r="D5820" s="198"/>
      <c r="E5820" s="537"/>
      <c r="G5820" s="198"/>
      <c r="H5820" s="123"/>
    </row>
    <row r="5821" spans="3:8" s="99" customFormat="1" x14ac:dyDescent="0.2">
      <c r="C5821" s="198"/>
      <c r="D5821" s="198"/>
      <c r="E5821" s="537"/>
      <c r="G5821" s="198"/>
      <c r="H5821" s="123"/>
    </row>
    <row r="5822" spans="3:8" s="99" customFormat="1" x14ac:dyDescent="0.2">
      <c r="C5822" s="198"/>
      <c r="D5822" s="198"/>
      <c r="E5822" s="537"/>
      <c r="G5822" s="198"/>
      <c r="H5822" s="123"/>
    </row>
    <row r="5823" spans="3:8" s="99" customFormat="1" x14ac:dyDescent="0.2">
      <c r="C5823" s="198"/>
      <c r="D5823" s="198"/>
      <c r="E5823" s="537"/>
      <c r="G5823" s="198"/>
      <c r="H5823" s="123"/>
    </row>
    <row r="5824" spans="3:8" s="99" customFormat="1" x14ac:dyDescent="0.2">
      <c r="C5824" s="198"/>
      <c r="D5824" s="198"/>
      <c r="E5824" s="537"/>
      <c r="G5824" s="198"/>
      <c r="H5824" s="123"/>
    </row>
    <row r="5825" spans="3:8" s="99" customFormat="1" x14ac:dyDescent="0.2">
      <c r="C5825" s="198"/>
      <c r="D5825" s="198"/>
      <c r="E5825" s="537"/>
      <c r="G5825" s="198"/>
      <c r="H5825" s="123"/>
    </row>
    <row r="5826" spans="3:8" s="99" customFormat="1" x14ac:dyDescent="0.2">
      <c r="C5826" s="198"/>
      <c r="D5826" s="198"/>
      <c r="E5826" s="537"/>
      <c r="G5826" s="198"/>
      <c r="H5826" s="123"/>
    </row>
    <row r="5827" spans="3:8" s="99" customFormat="1" x14ac:dyDescent="0.2">
      <c r="C5827" s="198"/>
      <c r="D5827" s="198"/>
      <c r="E5827" s="537"/>
      <c r="G5827" s="198"/>
      <c r="H5827" s="123"/>
    </row>
    <row r="5828" spans="3:8" s="99" customFormat="1" x14ac:dyDescent="0.2">
      <c r="C5828" s="198"/>
      <c r="D5828" s="198"/>
      <c r="E5828" s="537"/>
      <c r="G5828" s="198"/>
      <c r="H5828" s="123"/>
    </row>
    <row r="5829" spans="3:8" s="99" customFormat="1" x14ac:dyDescent="0.2">
      <c r="C5829" s="198"/>
      <c r="D5829" s="198"/>
      <c r="E5829" s="537"/>
      <c r="G5829" s="198"/>
      <c r="H5829" s="123"/>
    </row>
    <row r="5830" spans="3:8" s="99" customFormat="1" x14ac:dyDescent="0.2">
      <c r="C5830" s="198"/>
      <c r="D5830" s="198"/>
      <c r="E5830" s="537"/>
      <c r="G5830" s="198"/>
      <c r="H5830" s="123"/>
    </row>
    <row r="5831" spans="3:8" s="99" customFormat="1" x14ac:dyDescent="0.2">
      <c r="C5831" s="198"/>
      <c r="D5831" s="198"/>
      <c r="E5831" s="537"/>
      <c r="G5831" s="198"/>
      <c r="H5831" s="123"/>
    </row>
    <row r="5832" spans="3:8" s="99" customFormat="1" x14ac:dyDescent="0.2">
      <c r="C5832" s="198"/>
      <c r="D5832" s="198"/>
      <c r="E5832" s="537"/>
      <c r="G5832" s="198"/>
      <c r="H5832" s="123"/>
    </row>
    <row r="5833" spans="3:8" s="99" customFormat="1" x14ac:dyDescent="0.2">
      <c r="C5833" s="198"/>
      <c r="D5833" s="198"/>
      <c r="E5833" s="537"/>
      <c r="G5833" s="198"/>
      <c r="H5833" s="123"/>
    </row>
    <row r="5834" spans="3:8" s="99" customFormat="1" x14ac:dyDescent="0.2">
      <c r="C5834" s="198"/>
      <c r="D5834" s="198"/>
      <c r="E5834" s="537"/>
      <c r="G5834" s="198"/>
      <c r="H5834" s="123"/>
    </row>
    <row r="5835" spans="3:8" s="99" customFormat="1" x14ac:dyDescent="0.2">
      <c r="C5835" s="198"/>
      <c r="D5835" s="198"/>
      <c r="E5835" s="537"/>
      <c r="G5835" s="198"/>
      <c r="H5835" s="123"/>
    </row>
    <row r="5836" spans="3:8" s="99" customFormat="1" x14ac:dyDescent="0.2">
      <c r="C5836" s="198"/>
      <c r="D5836" s="198"/>
      <c r="E5836" s="537"/>
      <c r="G5836" s="198"/>
      <c r="H5836" s="123"/>
    </row>
    <row r="5837" spans="3:8" s="99" customFormat="1" x14ac:dyDescent="0.2">
      <c r="C5837" s="198"/>
      <c r="D5837" s="198"/>
      <c r="E5837" s="537"/>
      <c r="G5837" s="198"/>
      <c r="H5837" s="123"/>
    </row>
    <row r="5838" spans="3:8" s="99" customFormat="1" x14ac:dyDescent="0.2">
      <c r="C5838" s="198"/>
      <c r="D5838" s="198"/>
      <c r="E5838" s="537"/>
      <c r="G5838" s="198"/>
      <c r="H5838" s="123"/>
    </row>
    <row r="5839" spans="3:8" s="99" customFormat="1" x14ac:dyDescent="0.2">
      <c r="C5839" s="198"/>
      <c r="D5839" s="198"/>
      <c r="E5839" s="537"/>
      <c r="G5839" s="198"/>
      <c r="H5839" s="123"/>
    </row>
    <row r="5840" spans="3:8" s="99" customFormat="1" x14ac:dyDescent="0.2">
      <c r="C5840" s="198"/>
      <c r="D5840" s="198"/>
      <c r="E5840" s="537"/>
      <c r="G5840" s="198"/>
      <c r="H5840" s="123"/>
    </row>
    <row r="5841" spans="3:8" s="99" customFormat="1" x14ac:dyDescent="0.2">
      <c r="C5841" s="198"/>
      <c r="D5841" s="198"/>
      <c r="E5841" s="537"/>
      <c r="G5841" s="198"/>
      <c r="H5841" s="123"/>
    </row>
    <row r="5842" spans="3:8" s="99" customFormat="1" x14ac:dyDescent="0.2">
      <c r="C5842" s="198"/>
      <c r="D5842" s="198"/>
      <c r="E5842" s="537"/>
      <c r="G5842" s="198"/>
      <c r="H5842" s="123"/>
    </row>
    <row r="5843" spans="3:8" s="99" customFormat="1" x14ac:dyDescent="0.2">
      <c r="C5843" s="198"/>
      <c r="D5843" s="198"/>
      <c r="E5843" s="537"/>
      <c r="G5843" s="198"/>
      <c r="H5843" s="123"/>
    </row>
    <row r="5844" spans="3:8" s="99" customFormat="1" x14ac:dyDescent="0.2">
      <c r="C5844" s="198"/>
      <c r="D5844" s="198"/>
      <c r="E5844" s="537"/>
      <c r="G5844" s="198"/>
      <c r="H5844" s="123"/>
    </row>
    <row r="5845" spans="3:8" s="99" customFormat="1" x14ac:dyDescent="0.2">
      <c r="C5845" s="198"/>
      <c r="D5845" s="198"/>
      <c r="E5845" s="537"/>
      <c r="G5845" s="198"/>
      <c r="H5845" s="123"/>
    </row>
    <row r="5846" spans="3:8" s="99" customFormat="1" x14ac:dyDescent="0.2">
      <c r="C5846" s="198"/>
      <c r="D5846" s="198"/>
      <c r="E5846" s="537"/>
      <c r="G5846" s="198"/>
      <c r="H5846" s="123"/>
    </row>
    <row r="5847" spans="3:8" s="99" customFormat="1" x14ac:dyDescent="0.2">
      <c r="C5847" s="198"/>
      <c r="D5847" s="198"/>
      <c r="E5847" s="537"/>
      <c r="G5847" s="198"/>
      <c r="H5847" s="123"/>
    </row>
    <row r="5848" spans="3:8" s="99" customFormat="1" x14ac:dyDescent="0.2">
      <c r="C5848" s="198"/>
      <c r="D5848" s="198"/>
      <c r="E5848" s="537"/>
      <c r="G5848" s="198"/>
      <c r="H5848" s="123"/>
    </row>
    <row r="5849" spans="3:8" s="99" customFormat="1" x14ac:dyDescent="0.2">
      <c r="C5849" s="198"/>
      <c r="D5849" s="198"/>
      <c r="E5849" s="537"/>
      <c r="G5849" s="198"/>
      <c r="H5849" s="123"/>
    </row>
    <row r="5850" spans="3:8" s="99" customFormat="1" x14ac:dyDescent="0.2">
      <c r="C5850" s="198"/>
      <c r="D5850" s="198"/>
      <c r="E5850" s="537"/>
      <c r="G5850" s="198"/>
      <c r="H5850" s="123"/>
    </row>
    <row r="5851" spans="3:8" s="99" customFormat="1" x14ac:dyDescent="0.2">
      <c r="C5851" s="198"/>
      <c r="D5851" s="198"/>
      <c r="E5851" s="537"/>
      <c r="G5851" s="198"/>
      <c r="H5851" s="123"/>
    </row>
    <row r="5852" spans="3:8" s="99" customFormat="1" x14ac:dyDescent="0.2">
      <c r="C5852" s="198"/>
      <c r="D5852" s="198"/>
      <c r="E5852" s="537"/>
      <c r="G5852" s="198"/>
      <c r="H5852" s="123"/>
    </row>
    <row r="5853" spans="3:8" s="99" customFormat="1" x14ac:dyDescent="0.2">
      <c r="C5853" s="198"/>
      <c r="D5853" s="198"/>
      <c r="E5853" s="537"/>
      <c r="G5853" s="198"/>
      <c r="H5853" s="123"/>
    </row>
    <row r="5854" spans="3:8" s="99" customFormat="1" x14ac:dyDescent="0.2">
      <c r="C5854" s="198"/>
      <c r="D5854" s="198"/>
      <c r="E5854" s="537"/>
      <c r="G5854" s="198"/>
      <c r="H5854" s="123"/>
    </row>
    <row r="5855" spans="3:8" s="99" customFormat="1" x14ac:dyDescent="0.2">
      <c r="C5855" s="198"/>
      <c r="D5855" s="198"/>
      <c r="E5855" s="537"/>
      <c r="G5855" s="198"/>
      <c r="H5855" s="123"/>
    </row>
    <row r="5856" spans="3:8" s="99" customFormat="1" x14ac:dyDescent="0.2">
      <c r="C5856" s="198"/>
      <c r="D5856" s="198"/>
      <c r="E5856" s="537"/>
      <c r="G5856" s="198"/>
      <c r="H5856" s="123"/>
    </row>
    <row r="5857" spans="3:8" s="99" customFormat="1" x14ac:dyDescent="0.2">
      <c r="C5857" s="198"/>
      <c r="D5857" s="198"/>
      <c r="E5857" s="537"/>
      <c r="G5857" s="198"/>
      <c r="H5857" s="123"/>
    </row>
    <row r="5858" spans="3:8" s="99" customFormat="1" x14ac:dyDescent="0.2">
      <c r="C5858" s="198"/>
      <c r="D5858" s="198"/>
      <c r="E5858" s="537"/>
      <c r="G5858" s="198"/>
      <c r="H5858" s="123"/>
    </row>
    <row r="5859" spans="3:8" s="99" customFormat="1" x14ac:dyDescent="0.2">
      <c r="C5859" s="198"/>
      <c r="D5859" s="198"/>
      <c r="E5859" s="537"/>
      <c r="G5859" s="198"/>
      <c r="H5859" s="123"/>
    </row>
    <row r="5860" spans="3:8" s="99" customFormat="1" x14ac:dyDescent="0.2">
      <c r="C5860" s="198"/>
      <c r="D5860" s="198"/>
      <c r="E5860" s="537"/>
      <c r="G5860" s="198"/>
      <c r="H5860" s="123"/>
    </row>
    <row r="5861" spans="3:8" s="99" customFormat="1" x14ac:dyDescent="0.2">
      <c r="C5861" s="198"/>
      <c r="D5861" s="198"/>
      <c r="E5861" s="537"/>
      <c r="G5861" s="198"/>
      <c r="H5861" s="123"/>
    </row>
    <row r="5862" spans="3:8" s="99" customFormat="1" x14ac:dyDescent="0.2">
      <c r="C5862" s="198"/>
      <c r="D5862" s="198"/>
      <c r="E5862" s="537"/>
      <c r="G5862" s="198"/>
      <c r="H5862" s="123"/>
    </row>
    <row r="5863" spans="3:8" s="99" customFormat="1" x14ac:dyDescent="0.2">
      <c r="C5863" s="198"/>
      <c r="D5863" s="198"/>
      <c r="E5863" s="537"/>
      <c r="G5863" s="198"/>
      <c r="H5863" s="123"/>
    </row>
    <row r="5864" spans="3:8" s="99" customFormat="1" x14ac:dyDescent="0.2">
      <c r="C5864" s="198"/>
      <c r="D5864" s="198"/>
      <c r="E5864" s="537"/>
      <c r="G5864" s="198"/>
      <c r="H5864" s="123"/>
    </row>
    <row r="5865" spans="3:8" s="99" customFormat="1" x14ac:dyDescent="0.2">
      <c r="C5865" s="198"/>
      <c r="D5865" s="198"/>
      <c r="E5865" s="537"/>
      <c r="G5865" s="198"/>
      <c r="H5865" s="123"/>
    </row>
    <row r="5866" spans="3:8" s="99" customFormat="1" x14ac:dyDescent="0.2">
      <c r="C5866" s="198"/>
      <c r="D5866" s="198"/>
      <c r="E5866" s="537"/>
      <c r="G5866" s="198"/>
      <c r="H5866" s="123"/>
    </row>
    <row r="5867" spans="3:8" s="99" customFormat="1" x14ac:dyDescent="0.2">
      <c r="C5867" s="198"/>
      <c r="D5867" s="198"/>
      <c r="E5867" s="537"/>
      <c r="G5867" s="198"/>
      <c r="H5867" s="123"/>
    </row>
    <row r="5868" spans="3:8" s="99" customFormat="1" x14ac:dyDescent="0.2">
      <c r="C5868" s="198"/>
      <c r="D5868" s="198"/>
      <c r="E5868" s="537"/>
      <c r="G5868" s="198"/>
      <c r="H5868" s="123"/>
    </row>
    <row r="5869" spans="3:8" s="99" customFormat="1" x14ac:dyDescent="0.2">
      <c r="C5869" s="198"/>
      <c r="D5869" s="198"/>
      <c r="E5869" s="537"/>
      <c r="G5869" s="198"/>
      <c r="H5869" s="123"/>
    </row>
    <row r="5870" spans="3:8" s="99" customFormat="1" x14ac:dyDescent="0.2">
      <c r="C5870" s="198"/>
      <c r="D5870" s="198"/>
      <c r="E5870" s="537"/>
      <c r="G5870" s="198"/>
      <c r="H5870" s="123"/>
    </row>
    <row r="5871" spans="3:8" s="99" customFormat="1" x14ac:dyDescent="0.2">
      <c r="C5871" s="198"/>
      <c r="D5871" s="198"/>
      <c r="E5871" s="537"/>
      <c r="G5871" s="198"/>
      <c r="H5871" s="123"/>
    </row>
    <row r="5872" spans="3:8" s="99" customFormat="1" x14ac:dyDescent="0.2">
      <c r="C5872" s="198"/>
      <c r="D5872" s="198"/>
      <c r="E5872" s="537"/>
      <c r="G5872" s="198"/>
      <c r="H5872" s="123"/>
    </row>
    <row r="5873" spans="3:8" s="99" customFormat="1" x14ac:dyDescent="0.2">
      <c r="C5873" s="198"/>
      <c r="D5873" s="198"/>
      <c r="E5873" s="537"/>
      <c r="G5873" s="198"/>
      <c r="H5873" s="123"/>
    </row>
    <row r="5874" spans="3:8" s="99" customFormat="1" x14ac:dyDescent="0.2">
      <c r="C5874" s="198"/>
      <c r="D5874" s="198"/>
      <c r="E5874" s="537"/>
      <c r="G5874" s="198"/>
      <c r="H5874" s="123"/>
    </row>
    <row r="5875" spans="3:8" s="99" customFormat="1" x14ac:dyDescent="0.2">
      <c r="C5875" s="198"/>
      <c r="D5875" s="198"/>
      <c r="E5875" s="537"/>
      <c r="G5875" s="198"/>
      <c r="H5875" s="123"/>
    </row>
    <row r="5876" spans="3:8" s="99" customFormat="1" x14ac:dyDescent="0.2">
      <c r="C5876" s="198"/>
      <c r="D5876" s="198"/>
      <c r="E5876" s="537"/>
      <c r="G5876" s="198"/>
      <c r="H5876" s="123"/>
    </row>
    <row r="5877" spans="3:8" s="99" customFormat="1" x14ac:dyDescent="0.2">
      <c r="C5877" s="198"/>
      <c r="D5877" s="198"/>
      <c r="E5877" s="537"/>
      <c r="G5877" s="198"/>
      <c r="H5877" s="123"/>
    </row>
    <row r="5878" spans="3:8" s="99" customFormat="1" x14ac:dyDescent="0.2">
      <c r="C5878" s="198"/>
      <c r="D5878" s="198"/>
      <c r="E5878" s="537"/>
      <c r="G5878" s="198"/>
      <c r="H5878" s="123"/>
    </row>
    <row r="5879" spans="3:8" s="99" customFormat="1" x14ac:dyDescent="0.2">
      <c r="C5879" s="198"/>
      <c r="D5879" s="198"/>
      <c r="E5879" s="537"/>
      <c r="G5879" s="198"/>
      <c r="H5879" s="123"/>
    </row>
    <row r="5880" spans="3:8" s="99" customFormat="1" x14ac:dyDescent="0.2">
      <c r="C5880" s="198"/>
      <c r="D5880" s="198"/>
      <c r="E5880" s="537"/>
      <c r="G5880" s="198"/>
      <c r="H5880" s="123"/>
    </row>
    <row r="5881" spans="3:8" s="99" customFormat="1" x14ac:dyDescent="0.2">
      <c r="C5881" s="198"/>
      <c r="D5881" s="198"/>
      <c r="E5881" s="537"/>
      <c r="G5881" s="198"/>
      <c r="H5881" s="123"/>
    </row>
    <row r="5882" spans="3:8" s="99" customFormat="1" x14ac:dyDescent="0.2">
      <c r="C5882" s="198"/>
      <c r="D5882" s="198"/>
      <c r="E5882" s="537"/>
      <c r="G5882" s="198"/>
      <c r="H5882" s="123"/>
    </row>
    <row r="5883" spans="3:8" s="99" customFormat="1" x14ac:dyDescent="0.2">
      <c r="C5883" s="198"/>
      <c r="D5883" s="198"/>
      <c r="E5883" s="537"/>
      <c r="G5883" s="198"/>
      <c r="H5883" s="123"/>
    </row>
    <row r="5884" spans="3:8" s="99" customFormat="1" x14ac:dyDescent="0.2">
      <c r="C5884" s="198"/>
      <c r="D5884" s="198"/>
      <c r="E5884" s="537"/>
      <c r="G5884" s="198"/>
      <c r="H5884" s="123"/>
    </row>
    <row r="5885" spans="3:8" s="99" customFormat="1" x14ac:dyDescent="0.2">
      <c r="C5885" s="198"/>
      <c r="D5885" s="198"/>
      <c r="E5885" s="537"/>
      <c r="G5885" s="198"/>
      <c r="H5885" s="123"/>
    </row>
    <row r="5886" spans="3:8" s="99" customFormat="1" x14ac:dyDescent="0.2">
      <c r="C5886" s="198"/>
      <c r="D5886" s="198"/>
      <c r="E5886" s="537"/>
      <c r="G5886" s="198"/>
      <c r="H5886" s="123"/>
    </row>
    <row r="5887" spans="3:8" s="99" customFormat="1" x14ac:dyDescent="0.2">
      <c r="C5887" s="198"/>
      <c r="D5887" s="198"/>
      <c r="E5887" s="537"/>
      <c r="G5887" s="198"/>
      <c r="H5887" s="123"/>
    </row>
    <row r="5888" spans="3:8" s="99" customFormat="1" x14ac:dyDescent="0.2">
      <c r="C5888" s="198"/>
      <c r="D5888" s="198"/>
      <c r="E5888" s="537"/>
      <c r="G5888" s="198"/>
      <c r="H5888" s="123"/>
    </row>
    <row r="5889" spans="3:8" s="99" customFormat="1" x14ac:dyDescent="0.2">
      <c r="C5889" s="198"/>
      <c r="D5889" s="198"/>
      <c r="E5889" s="537"/>
      <c r="G5889" s="198"/>
      <c r="H5889" s="123"/>
    </row>
    <row r="5890" spans="3:8" s="99" customFormat="1" x14ac:dyDescent="0.2">
      <c r="C5890" s="198"/>
      <c r="D5890" s="198"/>
      <c r="E5890" s="537"/>
      <c r="G5890" s="198"/>
      <c r="H5890" s="123"/>
    </row>
    <row r="5891" spans="3:8" s="99" customFormat="1" x14ac:dyDescent="0.2">
      <c r="C5891" s="198"/>
      <c r="D5891" s="198"/>
      <c r="E5891" s="537"/>
      <c r="G5891" s="198"/>
      <c r="H5891" s="123"/>
    </row>
    <row r="5892" spans="3:8" s="99" customFormat="1" x14ac:dyDescent="0.2">
      <c r="C5892" s="198"/>
      <c r="D5892" s="198"/>
      <c r="E5892" s="537"/>
      <c r="G5892" s="198"/>
      <c r="H5892" s="123"/>
    </row>
    <row r="5893" spans="3:8" s="99" customFormat="1" x14ac:dyDescent="0.2">
      <c r="C5893" s="198"/>
      <c r="D5893" s="198"/>
      <c r="E5893" s="537"/>
      <c r="G5893" s="198"/>
      <c r="H5893" s="123"/>
    </row>
    <row r="5894" spans="3:8" s="99" customFormat="1" x14ac:dyDescent="0.2">
      <c r="C5894" s="198"/>
      <c r="D5894" s="198"/>
      <c r="E5894" s="537"/>
      <c r="G5894" s="198"/>
      <c r="H5894" s="123"/>
    </row>
    <row r="5895" spans="3:8" s="99" customFormat="1" x14ac:dyDescent="0.2">
      <c r="C5895" s="198"/>
      <c r="D5895" s="198"/>
      <c r="E5895" s="537"/>
      <c r="G5895" s="198"/>
      <c r="H5895" s="123"/>
    </row>
    <row r="5896" spans="3:8" s="99" customFormat="1" x14ac:dyDescent="0.2">
      <c r="C5896" s="198"/>
      <c r="D5896" s="198"/>
      <c r="E5896" s="537"/>
      <c r="G5896" s="198"/>
      <c r="H5896" s="123"/>
    </row>
    <row r="5897" spans="3:8" s="99" customFormat="1" x14ac:dyDescent="0.2">
      <c r="C5897" s="198"/>
      <c r="D5897" s="198"/>
      <c r="E5897" s="537"/>
      <c r="G5897" s="198"/>
      <c r="H5897" s="123"/>
    </row>
    <row r="5898" spans="3:8" s="99" customFormat="1" x14ac:dyDescent="0.2">
      <c r="C5898" s="198"/>
      <c r="D5898" s="198"/>
      <c r="E5898" s="537"/>
      <c r="G5898" s="198"/>
      <c r="H5898" s="123"/>
    </row>
    <row r="5899" spans="3:8" s="99" customFormat="1" x14ac:dyDescent="0.2">
      <c r="C5899" s="198"/>
      <c r="D5899" s="198"/>
      <c r="E5899" s="537"/>
      <c r="G5899" s="198"/>
      <c r="H5899" s="123"/>
    </row>
    <row r="5900" spans="3:8" s="99" customFormat="1" x14ac:dyDescent="0.2">
      <c r="C5900" s="198"/>
      <c r="D5900" s="198"/>
      <c r="E5900" s="537"/>
      <c r="G5900" s="198"/>
      <c r="H5900" s="123"/>
    </row>
    <row r="5901" spans="3:8" s="99" customFormat="1" x14ac:dyDescent="0.2">
      <c r="C5901" s="198"/>
      <c r="D5901" s="198"/>
      <c r="E5901" s="537"/>
      <c r="G5901" s="198"/>
      <c r="H5901" s="123"/>
    </row>
    <row r="5902" spans="3:8" s="99" customFormat="1" x14ac:dyDescent="0.2">
      <c r="C5902" s="198"/>
      <c r="D5902" s="198"/>
      <c r="E5902" s="537"/>
      <c r="G5902" s="198"/>
      <c r="H5902" s="123"/>
    </row>
    <row r="5903" spans="3:8" s="99" customFormat="1" x14ac:dyDescent="0.2">
      <c r="C5903" s="198"/>
      <c r="D5903" s="198"/>
      <c r="E5903" s="537"/>
      <c r="G5903" s="198"/>
      <c r="H5903" s="123"/>
    </row>
    <row r="5904" spans="3:8" s="99" customFormat="1" x14ac:dyDescent="0.2">
      <c r="C5904" s="198"/>
      <c r="D5904" s="198"/>
      <c r="E5904" s="537"/>
      <c r="G5904" s="198"/>
      <c r="H5904" s="123"/>
    </row>
    <row r="5905" spans="3:8" s="99" customFormat="1" x14ac:dyDescent="0.2">
      <c r="C5905" s="198"/>
      <c r="D5905" s="198"/>
      <c r="E5905" s="537"/>
      <c r="G5905" s="198"/>
      <c r="H5905" s="123"/>
    </row>
    <row r="5906" spans="3:8" s="99" customFormat="1" x14ac:dyDescent="0.2">
      <c r="C5906" s="198"/>
      <c r="D5906" s="198"/>
      <c r="E5906" s="537"/>
      <c r="G5906" s="198"/>
      <c r="H5906" s="123"/>
    </row>
    <row r="5907" spans="3:8" s="99" customFormat="1" x14ac:dyDescent="0.2">
      <c r="C5907" s="198"/>
      <c r="D5907" s="198"/>
      <c r="E5907" s="537"/>
      <c r="G5907" s="198"/>
      <c r="H5907" s="123"/>
    </row>
    <row r="5908" spans="3:8" s="99" customFormat="1" x14ac:dyDescent="0.2">
      <c r="C5908" s="198"/>
      <c r="D5908" s="198"/>
      <c r="E5908" s="537"/>
      <c r="G5908" s="198"/>
      <c r="H5908" s="123"/>
    </row>
    <row r="5909" spans="3:8" s="99" customFormat="1" x14ac:dyDescent="0.2">
      <c r="C5909" s="198"/>
      <c r="D5909" s="198"/>
      <c r="E5909" s="537"/>
      <c r="G5909" s="198"/>
      <c r="H5909" s="123"/>
    </row>
    <row r="5910" spans="3:8" s="99" customFormat="1" x14ac:dyDescent="0.2">
      <c r="C5910" s="198"/>
      <c r="D5910" s="198"/>
      <c r="E5910" s="537"/>
      <c r="G5910" s="198"/>
      <c r="H5910" s="123"/>
    </row>
    <row r="5911" spans="3:8" s="99" customFormat="1" x14ac:dyDescent="0.2">
      <c r="C5911" s="198"/>
      <c r="D5911" s="198"/>
      <c r="E5911" s="537"/>
      <c r="G5911" s="198"/>
      <c r="H5911" s="123"/>
    </row>
    <row r="5912" spans="3:8" s="99" customFormat="1" x14ac:dyDescent="0.2">
      <c r="C5912" s="198"/>
      <c r="D5912" s="198"/>
      <c r="E5912" s="537"/>
      <c r="G5912" s="198"/>
      <c r="H5912" s="123"/>
    </row>
    <row r="5913" spans="3:8" s="99" customFormat="1" x14ac:dyDescent="0.2">
      <c r="C5913" s="198"/>
      <c r="D5913" s="198"/>
      <c r="E5913" s="537"/>
      <c r="G5913" s="198"/>
      <c r="H5913" s="123"/>
    </row>
    <row r="5914" spans="3:8" s="99" customFormat="1" x14ac:dyDescent="0.2">
      <c r="C5914" s="198"/>
      <c r="D5914" s="198"/>
      <c r="E5914" s="537"/>
      <c r="G5914" s="198"/>
      <c r="H5914" s="123"/>
    </row>
    <row r="5915" spans="3:8" s="99" customFormat="1" x14ac:dyDescent="0.2">
      <c r="C5915" s="198"/>
      <c r="D5915" s="198"/>
      <c r="E5915" s="537"/>
      <c r="G5915" s="198"/>
      <c r="H5915" s="123"/>
    </row>
    <row r="5916" spans="3:8" s="99" customFormat="1" x14ac:dyDescent="0.2">
      <c r="C5916" s="198"/>
      <c r="D5916" s="198"/>
      <c r="E5916" s="537"/>
      <c r="G5916" s="198"/>
      <c r="H5916" s="123"/>
    </row>
    <row r="5917" spans="3:8" s="99" customFormat="1" x14ac:dyDescent="0.2">
      <c r="C5917" s="198"/>
      <c r="D5917" s="198"/>
      <c r="E5917" s="537"/>
      <c r="G5917" s="198"/>
      <c r="H5917" s="123"/>
    </row>
    <row r="5918" spans="3:8" s="99" customFormat="1" x14ac:dyDescent="0.2">
      <c r="C5918" s="198"/>
      <c r="D5918" s="198"/>
      <c r="E5918" s="537"/>
      <c r="G5918" s="198"/>
      <c r="H5918" s="123"/>
    </row>
    <row r="5919" spans="3:8" s="99" customFormat="1" x14ac:dyDescent="0.2">
      <c r="C5919" s="198"/>
      <c r="D5919" s="198"/>
      <c r="E5919" s="537"/>
      <c r="G5919" s="198"/>
      <c r="H5919" s="123"/>
    </row>
    <row r="5920" spans="3:8" s="99" customFormat="1" x14ac:dyDescent="0.2">
      <c r="C5920" s="198"/>
      <c r="D5920" s="198"/>
      <c r="E5920" s="537"/>
      <c r="G5920" s="198"/>
      <c r="H5920" s="123"/>
    </row>
    <row r="5921" spans="3:8" s="99" customFormat="1" x14ac:dyDescent="0.2">
      <c r="C5921" s="198"/>
      <c r="D5921" s="198"/>
      <c r="E5921" s="537"/>
      <c r="G5921" s="198"/>
      <c r="H5921" s="123"/>
    </row>
    <row r="5922" spans="3:8" s="99" customFormat="1" x14ac:dyDescent="0.2">
      <c r="C5922" s="198"/>
      <c r="D5922" s="198"/>
      <c r="E5922" s="537"/>
      <c r="G5922" s="198"/>
      <c r="H5922" s="123"/>
    </row>
    <row r="5923" spans="3:8" s="99" customFormat="1" x14ac:dyDescent="0.2">
      <c r="C5923" s="198"/>
      <c r="D5923" s="198"/>
      <c r="E5923" s="537"/>
      <c r="G5923" s="198"/>
      <c r="H5923" s="123"/>
    </row>
    <row r="5924" spans="3:8" s="99" customFormat="1" x14ac:dyDescent="0.2">
      <c r="C5924" s="198"/>
      <c r="D5924" s="198"/>
      <c r="E5924" s="537"/>
      <c r="G5924" s="198"/>
      <c r="H5924" s="123"/>
    </row>
    <row r="5925" spans="3:8" s="99" customFormat="1" x14ac:dyDescent="0.2">
      <c r="C5925" s="198"/>
      <c r="D5925" s="198"/>
      <c r="E5925" s="537"/>
      <c r="G5925" s="198"/>
      <c r="H5925" s="123"/>
    </row>
    <row r="5926" spans="3:8" s="99" customFormat="1" x14ac:dyDescent="0.2">
      <c r="C5926" s="198"/>
      <c r="D5926" s="198"/>
      <c r="E5926" s="537"/>
      <c r="G5926" s="198"/>
      <c r="H5926" s="123"/>
    </row>
    <row r="5927" spans="3:8" s="99" customFormat="1" x14ac:dyDescent="0.2">
      <c r="C5927" s="198"/>
      <c r="D5927" s="198"/>
      <c r="E5927" s="537"/>
      <c r="G5927" s="198"/>
      <c r="H5927" s="123"/>
    </row>
    <row r="5928" spans="3:8" s="99" customFormat="1" x14ac:dyDescent="0.2">
      <c r="C5928" s="198"/>
      <c r="D5928" s="198"/>
      <c r="E5928" s="537"/>
      <c r="G5928" s="198"/>
      <c r="H5928" s="123"/>
    </row>
    <row r="5929" spans="3:8" s="99" customFormat="1" x14ac:dyDescent="0.2">
      <c r="C5929" s="198"/>
      <c r="D5929" s="198"/>
      <c r="E5929" s="537"/>
      <c r="G5929" s="198"/>
      <c r="H5929" s="123"/>
    </row>
    <row r="5930" spans="3:8" s="99" customFormat="1" x14ac:dyDescent="0.2">
      <c r="C5930" s="198"/>
      <c r="D5930" s="198"/>
      <c r="E5930" s="537"/>
      <c r="G5930" s="198"/>
      <c r="H5930" s="123"/>
    </row>
    <row r="5931" spans="3:8" s="99" customFormat="1" x14ac:dyDescent="0.2">
      <c r="C5931" s="198"/>
      <c r="D5931" s="198"/>
      <c r="E5931" s="537"/>
      <c r="G5931" s="198"/>
      <c r="H5931" s="123"/>
    </row>
    <row r="5932" spans="3:8" s="99" customFormat="1" x14ac:dyDescent="0.2">
      <c r="C5932" s="198"/>
      <c r="D5932" s="198"/>
      <c r="E5932" s="537"/>
      <c r="G5932" s="198"/>
      <c r="H5932" s="123"/>
    </row>
    <row r="5933" spans="3:8" s="99" customFormat="1" x14ac:dyDescent="0.2">
      <c r="C5933" s="198"/>
      <c r="D5933" s="198"/>
      <c r="E5933" s="537"/>
      <c r="G5933" s="198"/>
      <c r="H5933" s="123"/>
    </row>
    <row r="5934" spans="3:8" s="99" customFormat="1" x14ac:dyDescent="0.2">
      <c r="C5934" s="198"/>
      <c r="D5934" s="198"/>
      <c r="E5934" s="537"/>
      <c r="G5934" s="198"/>
      <c r="H5934" s="123"/>
    </row>
    <row r="5935" spans="3:8" s="99" customFormat="1" x14ac:dyDescent="0.2">
      <c r="C5935" s="198"/>
      <c r="D5935" s="198"/>
      <c r="E5935" s="537"/>
      <c r="G5935" s="198"/>
      <c r="H5935" s="123"/>
    </row>
    <row r="5936" spans="3:8" s="99" customFormat="1" x14ac:dyDescent="0.2">
      <c r="C5936" s="198"/>
      <c r="D5936" s="198"/>
      <c r="E5936" s="537"/>
      <c r="G5936" s="198"/>
      <c r="H5936" s="123"/>
    </row>
    <row r="5937" spans="3:8" s="99" customFormat="1" x14ac:dyDescent="0.2">
      <c r="C5937" s="198"/>
      <c r="D5937" s="198"/>
      <c r="E5937" s="537"/>
      <c r="G5937" s="198"/>
      <c r="H5937" s="123"/>
    </row>
    <row r="5938" spans="3:8" s="99" customFormat="1" x14ac:dyDescent="0.2">
      <c r="C5938" s="198"/>
      <c r="D5938" s="198"/>
      <c r="E5938" s="537"/>
      <c r="G5938" s="198"/>
      <c r="H5938" s="123"/>
    </row>
    <row r="5939" spans="3:8" s="99" customFormat="1" x14ac:dyDescent="0.2">
      <c r="C5939" s="198"/>
      <c r="D5939" s="198"/>
      <c r="E5939" s="537"/>
      <c r="G5939" s="198"/>
      <c r="H5939" s="123"/>
    </row>
    <row r="5940" spans="3:8" s="99" customFormat="1" x14ac:dyDescent="0.2">
      <c r="C5940" s="198"/>
      <c r="D5940" s="198"/>
      <c r="E5940" s="537"/>
      <c r="G5940" s="198"/>
      <c r="H5940" s="123"/>
    </row>
    <row r="5941" spans="3:8" s="99" customFormat="1" x14ac:dyDescent="0.2">
      <c r="C5941" s="198"/>
      <c r="D5941" s="198"/>
      <c r="E5941" s="537"/>
      <c r="G5941" s="198"/>
      <c r="H5941" s="123"/>
    </row>
    <row r="5942" spans="3:8" s="99" customFormat="1" x14ac:dyDescent="0.2">
      <c r="C5942" s="198"/>
      <c r="D5942" s="198"/>
      <c r="E5942" s="537"/>
      <c r="G5942" s="198"/>
      <c r="H5942" s="123"/>
    </row>
    <row r="5943" spans="3:8" s="99" customFormat="1" x14ac:dyDescent="0.2">
      <c r="C5943" s="198"/>
      <c r="D5943" s="198"/>
      <c r="E5943" s="537"/>
      <c r="G5943" s="198"/>
      <c r="H5943" s="123"/>
    </row>
    <row r="5944" spans="3:8" s="99" customFormat="1" x14ac:dyDescent="0.2">
      <c r="C5944" s="198"/>
      <c r="D5944" s="198"/>
      <c r="E5944" s="537"/>
      <c r="G5944" s="198"/>
      <c r="H5944" s="123"/>
    </row>
    <row r="5945" spans="3:8" s="99" customFormat="1" x14ac:dyDescent="0.2">
      <c r="C5945" s="198"/>
      <c r="D5945" s="198"/>
      <c r="E5945" s="537"/>
      <c r="G5945" s="198"/>
      <c r="H5945" s="123"/>
    </row>
    <row r="5946" spans="3:8" s="99" customFormat="1" x14ac:dyDescent="0.2">
      <c r="C5946" s="198"/>
      <c r="D5946" s="198"/>
      <c r="E5946" s="537"/>
      <c r="G5946" s="198"/>
      <c r="H5946" s="123"/>
    </row>
    <row r="5947" spans="3:8" s="99" customFormat="1" x14ac:dyDescent="0.2">
      <c r="C5947" s="198"/>
      <c r="D5947" s="198"/>
      <c r="E5947" s="537"/>
      <c r="G5947" s="198"/>
      <c r="H5947" s="123"/>
    </row>
    <row r="5948" spans="3:8" s="99" customFormat="1" x14ac:dyDescent="0.2">
      <c r="C5948" s="198"/>
      <c r="D5948" s="198"/>
      <c r="E5948" s="537"/>
      <c r="G5948" s="198"/>
      <c r="H5948" s="123"/>
    </row>
    <row r="5949" spans="3:8" s="99" customFormat="1" x14ac:dyDescent="0.2">
      <c r="C5949" s="198"/>
      <c r="D5949" s="198"/>
      <c r="E5949" s="537"/>
      <c r="G5949" s="198"/>
      <c r="H5949" s="123"/>
    </row>
    <row r="5950" spans="3:8" s="99" customFormat="1" x14ac:dyDescent="0.2">
      <c r="C5950" s="198"/>
      <c r="D5950" s="198"/>
      <c r="E5950" s="537"/>
      <c r="G5950" s="198"/>
      <c r="H5950" s="123"/>
    </row>
    <row r="5951" spans="3:8" s="99" customFormat="1" x14ac:dyDescent="0.2">
      <c r="C5951" s="198"/>
      <c r="D5951" s="198"/>
      <c r="E5951" s="537"/>
      <c r="G5951" s="198"/>
      <c r="H5951" s="123"/>
    </row>
    <row r="5952" spans="3:8" s="99" customFormat="1" x14ac:dyDescent="0.2">
      <c r="C5952" s="198"/>
      <c r="D5952" s="198"/>
      <c r="E5952" s="537"/>
      <c r="G5952" s="198"/>
      <c r="H5952" s="123"/>
    </row>
    <row r="5953" spans="3:8" s="99" customFormat="1" x14ac:dyDescent="0.2">
      <c r="C5953" s="198"/>
      <c r="D5953" s="198"/>
      <c r="E5953" s="537"/>
      <c r="G5953" s="198"/>
      <c r="H5953" s="123"/>
    </row>
    <row r="5954" spans="3:8" s="99" customFormat="1" x14ac:dyDescent="0.2">
      <c r="C5954" s="198"/>
      <c r="D5954" s="198"/>
      <c r="E5954" s="537"/>
      <c r="G5954" s="198"/>
      <c r="H5954" s="123"/>
    </row>
    <row r="5955" spans="3:8" s="99" customFormat="1" x14ac:dyDescent="0.2">
      <c r="C5955" s="198"/>
      <c r="D5955" s="198"/>
      <c r="E5955" s="537"/>
      <c r="G5955" s="198"/>
      <c r="H5955" s="123"/>
    </row>
    <row r="5956" spans="3:8" s="99" customFormat="1" x14ac:dyDescent="0.2">
      <c r="C5956" s="198"/>
      <c r="D5956" s="198"/>
      <c r="E5956" s="537"/>
      <c r="G5956" s="198"/>
      <c r="H5956" s="123"/>
    </row>
    <row r="5957" spans="3:8" s="99" customFormat="1" x14ac:dyDescent="0.2">
      <c r="C5957" s="198"/>
      <c r="D5957" s="198"/>
      <c r="E5957" s="537"/>
      <c r="G5957" s="198"/>
      <c r="H5957" s="123"/>
    </row>
    <row r="5958" spans="3:8" s="99" customFormat="1" x14ac:dyDescent="0.2">
      <c r="C5958" s="198"/>
      <c r="D5958" s="198"/>
      <c r="E5958" s="537"/>
      <c r="G5958" s="198"/>
      <c r="H5958" s="123"/>
    </row>
    <row r="5959" spans="3:8" s="99" customFormat="1" x14ac:dyDescent="0.2">
      <c r="C5959" s="198"/>
      <c r="D5959" s="198"/>
      <c r="E5959" s="537"/>
      <c r="G5959" s="198"/>
      <c r="H5959" s="123"/>
    </row>
    <row r="5960" spans="3:8" s="99" customFormat="1" x14ac:dyDescent="0.2">
      <c r="C5960" s="198"/>
      <c r="D5960" s="198"/>
      <c r="E5960" s="537"/>
      <c r="G5960" s="198"/>
      <c r="H5960" s="123"/>
    </row>
    <row r="5961" spans="3:8" s="99" customFormat="1" x14ac:dyDescent="0.2">
      <c r="C5961" s="198"/>
      <c r="D5961" s="198"/>
      <c r="E5961" s="537"/>
      <c r="G5961" s="198"/>
      <c r="H5961" s="123"/>
    </row>
    <row r="5962" spans="3:8" s="99" customFormat="1" x14ac:dyDescent="0.2">
      <c r="C5962" s="198"/>
      <c r="D5962" s="198"/>
      <c r="E5962" s="537"/>
      <c r="G5962" s="198"/>
      <c r="H5962" s="123"/>
    </row>
    <row r="5963" spans="3:8" s="99" customFormat="1" x14ac:dyDescent="0.2">
      <c r="C5963" s="198"/>
      <c r="D5963" s="198"/>
      <c r="E5963" s="537"/>
      <c r="G5963" s="198"/>
      <c r="H5963" s="123"/>
    </row>
    <row r="5964" spans="3:8" s="99" customFormat="1" x14ac:dyDescent="0.2">
      <c r="C5964" s="198"/>
      <c r="D5964" s="198"/>
      <c r="E5964" s="537"/>
      <c r="G5964" s="198"/>
      <c r="H5964" s="123"/>
    </row>
    <row r="5965" spans="3:8" s="99" customFormat="1" x14ac:dyDescent="0.2">
      <c r="C5965" s="198"/>
      <c r="D5965" s="198"/>
      <c r="E5965" s="537"/>
      <c r="G5965" s="198"/>
      <c r="H5965" s="123"/>
    </row>
    <row r="5966" spans="3:8" s="99" customFormat="1" x14ac:dyDescent="0.2">
      <c r="C5966" s="198"/>
      <c r="D5966" s="198"/>
      <c r="E5966" s="537"/>
      <c r="G5966" s="198"/>
      <c r="H5966" s="123"/>
    </row>
    <row r="5967" spans="3:8" s="99" customFormat="1" x14ac:dyDescent="0.2">
      <c r="C5967" s="198"/>
      <c r="D5967" s="198"/>
      <c r="E5967" s="537"/>
      <c r="G5967" s="198"/>
      <c r="H5967" s="123"/>
    </row>
    <row r="5968" spans="3:8" s="99" customFormat="1" x14ac:dyDescent="0.2">
      <c r="C5968" s="198"/>
      <c r="D5968" s="198"/>
      <c r="E5968" s="537"/>
      <c r="G5968" s="198"/>
      <c r="H5968" s="123"/>
    </row>
    <row r="5969" spans="3:8" s="99" customFormat="1" x14ac:dyDescent="0.2">
      <c r="C5969" s="198"/>
      <c r="D5969" s="198"/>
      <c r="E5969" s="537"/>
      <c r="G5969" s="198"/>
      <c r="H5969" s="123"/>
    </row>
    <row r="5970" spans="3:8" s="99" customFormat="1" x14ac:dyDescent="0.2">
      <c r="C5970" s="198"/>
      <c r="D5970" s="198"/>
      <c r="E5970" s="537"/>
      <c r="G5970" s="198"/>
      <c r="H5970" s="123"/>
    </row>
    <row r="5971" spans="3:8" s="99" customFormat="1" x14ac:dyDescent="0.2">
      <c r="C5971" s="198"/>
      <c r="D5971" s="198"/>
      <c r="E5971" s="537"/>
      <c r="G5971" s="198"/>
      <c r="H5971" s="123"/>
    </row>
    <row r="5972" spans="3:8" s="99" customFormat="1" x14ac:dyDescent="0.2">
      <c r="C5972" s="198"/>
      <c r="D5972" s="198"/>
      <c r="E5972" s="537"/>
      <c r="G5972" s="198"/>
      <c r="H5972" s="123"/>
    </row>
    <row r="5973" spans="3:8" s="99" customFormat="1" x14ac:dyDescent="0.2">
      <c r="C5973" s="198"/>
      <c r="D5973" s="198"/>
      <c r="E5973" s="537"/>
      <c r="G5973" s="198"/>
      <c r="H5973" s="123"/>
    </row>
    <row r="5974" spans="3:8" s="99" customFormat="1" x14ac:dyDescent="0.2">
      <c r="C5974" s="198"/>
      <c r="D5974" s="198"/>
      <c r="E5974" s="537"/>
      <c r="G5974" s="198"/>
      <c r="H5974" s="123"/>
    </row>
    <row r="5975" spans="3:8" s="99" customFormat="1" x14ac:dyDescent="0.2">
      <c r="C5975" s="198"/>
      <c r="D5975" s="198"/>
      <c r="E5975" s="537"/>
      <c r="G5975" s="198"/>
      <c r="H5975" s="123"/>
    </row>
    <row r="5976" spans="3:8" s="99" customFormat="1" x14ac:dyDescent="0.2">
      <c r="C5976" s="198"/>
      <c r="D5976" s="198"/>
      <c r="E5976" s="537"/>
      <c r="G5976" s="198"/>
      <c r="H5976" s="123"/>
    </row>
    <row r="5977" spans="3:8" s="99" customFormat="1" x14ac:dyDescent="0.2">
      <c r="C5977" s="198"/>
      <c r="D5977" s="198"/>
      <c r="E5977" s="537"/>
      <c r="G5977" s="198"/>
      <c r="H5977" s="123"/>
    </row>
    <row r="5978" spans="3:8" s="99" customFormat="1" x14ac:dyDescent="0.2">
      <c r="C5978" s="198"/>
      <c r="D5978" s="198"/>
      <c r="E5978" s="537"/>
      <c r="G5978" s="198"/>
      <c r="H5978" s="123"/>
    </row>
    <row r="5979" spans="3:8" s="99" customFormat="1" x14ac:dyDescent="0.2">
      <c r="C5979" s="198"/>
      <c r="D5979" s="198"/>
      <c r="E5979" s="537"/>
      <c r="G5979" s="198"/>
      <c r="H5979" s="123"/>
    </row>
    <row r="5980" spans="3:8" s="99" customFormat="1" x14ac:dyDescent="0.2">
      <c r="C5980" s="198"/>
      <c r="D5980" s="198"/>
      <c r="E5980" s="537"/>
      <c r="G5980" s="198"/>
      <c r="H5980" s="123"/>
    </row>
    <row r="5981" spans="3:8" s="99" customFormat="1" x14ac:dyDescent="0.2">
      <c r="C5981" s="198"/>
      <c r="D5981" s="198"/>
      <c r="E5981" s="537"/>
      <c r="G5981" s="198"/>
      <c r="H5981" s="123"/>
    </row>
    <row r="5982" spans="3:8" s="99" customFormat="1" x14ac:dyDescent="0.2">
      <c r="C5982" s="198"/>
      <c r="D5982" s="198"/>
      <c r="E5982" s="537"/>
      <c r="G5982" s="198"/>
      <c r="H5982" s="123"/>
    </row>
    <row r="5983" spans="3:8" s="99" customFormat="1" x14ac:dyDescent="0.2">
      <c r="C5983" s="198"/>
      <c r="D5983" s="198"/>
      <c r="E5983" s="537"/>
      <c r="G5983" s="198"/>
      <c r="H5983" s="123"/>
    </row>
    <row r="5984" spans="3:8" s="99" customFormat="1" x14ac:dyDescent="0.2">
      <c r="C5984" s="198"/>
      <c r="D5984" s="198"/>
      <c r="E5984" s="537"/>
      <c r="G5984" s="198"/>
      <c r="H5984" s="123"/>
    </row>
    <row r="5985" spans="3:8" s="99" customFormat="1" x14ac:dyDescent="0.2">
      <c r="C5985" s="198"/>
      <c r="D5985" s="198"/>
      <c r="E5985" s="537"/>
      <c r="G5985" s="198"/>
      <c r="H5985" s="123"/>
    </row>
    <row r="5986" spans="3:8" s="99" customFormat="1" x14ac:dyDescent="0.2">
      <c r="C5986" s="198"/>
      <c r="D5986" s="198"/>
      <c r="E5986" s="537"/>
      <c r="G5986" s="198"/>
      <c r="H5986" s="123"/>
    </row>
    <row r="5987" spans="3:8" s="99" customFormat="1" x14ac:dyDescent="0.2">
      <c r="C5987" s="198"/>
      <c r="D5987" s="198"/>
      <c r="E5987" s="537"/>
      <c r="G5987" s="198"/>
      <c r="H5987" s="123"/>
    </row>
    <row r="5988" spans="3:8" s="99" customFormat="1" x14ac:dyDescent="0.2">
      <c r="C5988" s="198"/>
      <c r="D5988" s="198"/>
      <c r="E5988" s="537"/>
      <c r="G5988" s="198"/>
      <c r="H5988" s="123"/>
    </row>
    <row r="5989" spans="3:8" s="99" customFormat="1" x14ac:dyDescent="0.2">
      <c r="C5989" s="198"/>
      <c r="D5989" s="198"/>
      <c r="E5989" s="537"/>
      <c r="G5989" s="198"/>
      <c r="H5989" s="123"/>
    </row>
    <row r="5990" spans="3:8" s="99" customFormat="1" x14ac:dyDescent="0.2">
      <c r="C5990" s="198"/>
      <c r="D5990" s="198"/>
      <c r="E5990" s="537"/>
      <c r="G5990" s="198"/>
      <c r="H5990" s="123"/>
    </row>
    <row r="5991" spans="3:8" s="99" customFormat="1" x14ac:dyDescent="0.2">
      <c r="C5991" s="198"/>
      <c r="D5991" s="198"/>
      <c r="E5991" s="537"/>
      <c r="G5991" s="198"/>
      <c r="H5991" s="123"/>
    </row>
    <row r="5992" spans="3:8" s="99" customFormat="1" x14ac:dyDescent="0.2">
      <c r="C5992" s="198"/>
      <c r="D5992" s="198"/>
      <c r="E5992" s="537"/>
      <c r="G5992" s="198"/>
      <c r="H5992" s="123"/>
    </row>
    <row r="5993" spans="3:8" s="99" customFormat="1" x14ac:dyDescent="0.2">
      <c r="C5993" s="198"/>
      <c r="D5993" s="198"/>
      <c r="E5993" s="537"/>
      <c r="G5993" s="198"/>
      <c r="H5993" s="123"/>
    </row>
    <row r="5994" spans="3:8" s="99" customFormat="1" x14ac:dyDescent="0.2">
      <c r="C5994" s="198"/>
      <c r="D5994" s="198"/>
      <c r="E5994" s="537"/>
      <c r="G5994" s="198"/>
      <c r="H5994" s="123"/>
    </row>
    <row r="5995" spans="3:8" s="99" customFormat="1" x14ac:dyDescent="0.2">
      <c r="C5995" s="198"/>
      <c r="D5995" s="198"/>
      <c r="E5995" s="537"/>
      <c r="G5995" s="198"/>
      <c r="H5995" s="123"/>
    </row>
    <row r="5996" spans="3:8" s="99" customFormat="1" x14ac:dyDescent="0.2">
      <c r="C5996" s="198"/>
      <c r="D5996" s="198"/>
      <c r="E5996" s="537"/>
      <c r="G5996" s="198"/>
      <c r="H5996" s="123"/>
    </row>
    <row r="5997" spans="3:8" s="99" customFormat="1" x14ac:dyDescent="0.2">
      <c r="C5997" s="198"/>
      <c r="D5997" s="198"/>
      <c r="E5997" s="537"/>
      <c r="G5997" s="198"/>
      <c r="H5997" s="123"/>
    </row>
    <row r="5998" spans="3:8" s="99" customFormat="1" x14ac:dyDescent="0.2">
      <c r="C5998" s="198"/>
      <c r="D5998" s="198"/>
      <c r="E5998" s="537"/>
      <c r="G5998" s="198"/>
      <c r="H5998" s="123"/>
    </row>
    <row r="5999" spans="3:8" s="99" customFormat="1" x14ac:dyDescent="0.2">
      <c r="C5999" s="198"/>
      <c r="D5999" s="198"/>
      <c r="E5999" s="537"/>
      <c r="G5999" s="198"/>
      <c r="H5999" s="123"/>
    </row>
    <row r="6000" spans="3:8" s="99" customFormat="1" x14ac:dyDescent="0.2">
      <c r="C6000" s="198"/>
      <c r="D6000" s="198"/>
      <c r="E6000" s="537"/>
      <c r="G6000" s="198"/>
      <c r="H6000" s="123"/>
    </row>
    <row r="6001" spans="3:8" s="99" customFormat="1" x14ac:dyDescent="0.2">
      <c r="C6001" s="198"/>
      <c r="D6001" s="198"/>
      <c r="E6001" s="537"/>
      <c r="G6001" s="198"/>
      <c r="H6001" s="123"/>
    </row>
    <row r="6002" spans="3:8" s="99" customFormat="1" x14ac:dyDescent="0.2">
      <c r="C6002" s="198"/>
      <c r="D6002" s="198"/>
      <c r="E6002" s="537"/>
      <c r="G6002" s="198"/>
      <c r="H6002" s="123"/>
    </row>
    <row r="6003" spans="3:8" s="99" customFormat="1" x14ac:dyDescent="0.2">
      <c r="C6003" s="198"/>
      <c r="D6003" s="198"/>
      <c r="E6003" s="537"/>
      <c r="G6003" s="198"/>
      <c r="H6003" s="123"/>
    </row>
    <row r="6004" spans="3:8" s="99" customFormat="1" x14ac:dyDescent="0.2">
      <c r="C6004" s="198"/>
      <c r="D6004" s="198"/>
      <c r="E6004" s="537"/>
      <c r="G6004" s="198"/>
      <c r="H6004" s="123"/>
    </row>
    <row r="6005" spans="3:8" s="99" customFormat="1" x14ac:dyDescent="0.2">
      <c r="C6005" s="198"/>
      <c r="D6005" s="198"/>
      <c r="E6005" s="537"/>
      <c r="G6005" s="198"/>
      <c r="H6005" s="123"/>
    </row>
    <row r="6006" spans="3:8" s="99" customFormat="1" x14ac:dyDescent="0.2">
      <c r="C6006" s="198"/>
      <c r="D6006" s="198"/>
      <c r="E6006" s="537"/>
      <c r="G6006" s="198"/>
      <c r="H6006" s="123"/>
    </row>
    <row r="6007" spans="3:8" s="99" customFormat="1" x14ac:dyDescent="0.2">
      <c r="C6007" s="198"/>
      <c r="D6007" s="198"/>
      <c r="E6007" s="537"/>
      <c r="G6007" s="198"/>
      <c r="H6007" s="123"/>
    </row>
    <row r="6008" spans="3:8" s="99" customFormat="1" x14ac:dyDescent="0.2">
      <c r="C6008" s="198"/>
      <c r="D6008" s="198"/>
      <c r="E6008" s="537"/>
      <c r="G6008" s="198"/>
      <c r="H6008" s="123"/>
    </row>
    <row r="6009" spans="3:8" s="99" customFormat="1" x14ac:dyDescent="0.2">
      <c r="C6009" s="198"/>
      <c r="D6009" s="198"/>
      <c r="E6009" s="537"/>
      <c r="G6009" s="198"/>
      <c r="H6009" s="123"/>
    </row>
    <row r="6010" spans="3:8" s="99" customFormat="1" x14ac:dyDescent="0.2">
      <c r="C6010" s="198"/>
      <c r="D6010" s="198"/>
      <c r="E6010" s="537"/>
      <c r="G6010" s="198"/>
      <c r="H6010" s="123"/>
    </row>
    <row r="6011" spans="3:8" s="99" customFormat="1" x14ac:dyDescent="0.2">
      <c r="C6011" s="198"/>
      <c r="D6011" s="198"/>
      <c r="E6011" s="537"/>
      <c r="G6011" s="198"/>
      <c r="H6011" s="123"/>
    </row>
    <row r="6012" spans="3:8" s="99" customFormat="1" x14ac:dyDescent="0.2">
      <c r="C6012" s="198"/>
      <c r="D6012" s="198"/>
      <c r="E6012" s="537"/>
      <c r="G6012" s="198"/>
      <c r="H6012" s="123"/>
    </row>
    <row r="6013" spans="3:8" s="99" customFormat="1" x14ac:dyDescent="0.2">
      <c r="C6013" s="198"/>
      <c r="D6013" s="198"/>
      <c r="E6013" s="537"/>
      <c r="G6013" s="198"/>
      <c r="H6013" s="123"/>
    </row>
    <row r="6014" spans="3:8" s="99" customFormat="1" x14ac:dyDescent="0.2">
      <c r="C6014" s="198"/>
      <c r="D6014" s="198"/>
      <c r="E6014" s="537"/>
      <c r="G6014" s="198"/>
      <c r="H6014" s="123"/>
    </row>
    <row r="6015" spans="3:8" s="99" customFormat="1" x14ac:dyDescent="0.2">
      <c r="C6015" s="198"/>
      <c r="D6015" s="198"/>
      <c r="E6015" s="537"/>
      <c r="G6015" s="198"/>
      <c r="H6015" s="123"/>
    </row>
    <row r="6016" spans="3:8" s="99" customFormat="1" x14ac:dyDescent="0.2">
      <c r="C6016" s="198"/>
      <c r="D6016" s="198"/>
      <c r="E6016" s="537"/>
      <c r="G6016" s="198"/>
      <c r="H6016" s="123"/>
    </row>
    <row r="6017" spans="3:8" s="99" customFormat="1" x14ac:dyDescent="0.2">
      <c r="C6017" s="198"/>
      <c r="D6017" s="198"/>
      <c r="E6017" s="537"/>
      <c r="G6017" s="198"/>
      <c r="H6017" s="123"/>
    </row>
    <row r="6018" spans="3:8" s="99" customFormat="1" x14ac:dyDescent="0.2">
      <c r="C6018" s="198"/>
      <c r="D6018" s="198"/>
      <c r="E6018" s="537"/>
      <c r="G6018" s="198"/>
      <c r="H6018" s="123"/>
    </row>
    <row r="6019" spans="3:8" s="99" customFormat="1" x14ac:dyDescent="0.2">
      <c r="C6019" s="198"/>
      <c r="D6019" s="198"/>
      <c r="E6019" s="537"/>
      <c r="G6019" s="198"/>
      <c r="H6019" s="123"/>
    </row>
    <row r="6020" spans="3:8" s="99" customFormat="1" x14ac:dyDescent="0.2">
      <c r="C6020" s="198"/>
      <c r="D6020" s="198"/>
      <c r="E6020" s="537"/>
      <c r="G6020" s="198"/>
      <c r="H6020" s="123"/>
    </row>
    <row r="6021" spans="3:8" s="99" customFormat="1" x14ac:dyDescent="0.2">
      <c r="C6021" s="198"/>
      <c r="D6021" s="198"/>
      <c r="E6021" s="537"/>
      <c r="G6021" s="198"/>
      <c r="H6021" s="123"/>
    </row>
    <row r="6022" spans="3:8" s="99" customFormat="1" x14ac:dyDescent="0.2">
      <c r="C6022" s="198"/>
      <c r="D6022" s="198"/>
      <c r="E6022" s="537"/>
      <c r="G6022" s="198"/>
      <c r="H6022" s="123"/>
    </row>
    <row r="6023" spans="3:8" s="99" customFormat="1" x14ac:dyDescent="0.2">
      <c r="C6023" s="198"/>
      <c r="D6023" s="198"/>
      <c r="E6023" s="537"/>
      <c r="G6023" s="198"/>
      <c r="H6023" s="123"/>
    </row>
    <row r="6024" spans="3:8" s="99" customFormat="1" x14ac:dyDescent="0.2">
      <c r="C6024" s="198"/>
      <c r="D6024" s="198"/>
      <c r="E6024" s="537"/>
      <c r="G6024" s="198"/>
      <c r="H6024" s="123"/>
    </row>
    <row r="6025" spans="3:8" s="99" customFormat="1" x14ac:dyDescent="0.2">
      <c r="C6025" s="198"/>
      <c r="D6025" s="198"/>
      <c r="E6025" s="537"/>
      <c r="G6025" s="198"/>
      <c r="H6025" s="123"/>
    </row>
    <row r="6026" spans="3:8" s="99" customFormat="1" x14ac:dyDescent="0.2">
      <c r="C6026" s="198"/>
      <c r="D6026" s="198"/>
      <c r="E6026" s="537"/>
      <c r="G6026" s="198"/>
      <c r="H6026" s="123"/>
    </row>
    <row r="6027" spans="3:8" s="99" customFormat="1" x14ac:dyDescent="0.2">
      <c r="C6027" s="198"/>
      <c r="D6027" s="198"/>
      <c r="E6027" s="537"/>
      <c r="G6027" s="198"/>
      <c r="H6027" s="123"/>
    </row>
    <row r="6028" spans="3:8" s="99" customFormat="1" x14ac:dyDescent="0.2">
      <c r="C6028" s="198"/>
      <c r="D6028" s="198"/>
      <c r="E6028" s="537"/>
      <c r="G6028" s="198"/>
      <c r="H6028" s="123"/>
    </row>
    <row r="6029" spans="3:8" s="99" customFormat="1" x14ac:dyDescent="0.2">
      <c r="C6029" s="198"/>
      <c r="D6029" s="198"/>
      <c r="E6029" s="537"/>
      <c r="G6029" s="198"/>
      <c r="H6029" s="123"/>
    </row>
    <row r="6030" spans="3:8" s="99" customFormat="1" x14ac:dyDescent="0.2">
      <c r="C6030" s="198"/>
      <c r="D6030" s="198"/>
      <c r="E6030" s="537"/>
      <c r="G6030" s="198"/>
      <c r="H6030" s="123"/>
    </row>
    <row r="6031" spans="3:8" s="99" customFormat="1" x14ac:dyDescent="0.2">
      <c r="C6031" s="198"/>
      <c r="D6031" s="198"/>
      <c r="E6031" s="537"/>
      <c r="G6031" s="198"/>
      <c r="H6031" s="123"/>
    </row>
    <row r="6032" spans="3:8" s="99" customFormat="1" x14ac:dyDescent="0.2">
      <c r="C6032" s="198"/>
      <c r="D6032" s="198"/>
      <c r="E6032" s="537"/>
      <c r="G6032" s="198"/>
      <c r="H6032" s="123"/>
    </row>
    <row r="6033" spans="3:8" s="99" customFormat="1" x14ac:dyDescent="0.2">
      <c r="C6033" s="198"/>
      <c r="D6033" s="198"/>
      <c r="E6033" s="537"/>
      <c r="G6033" s="198"/>
      <c r="H6033" s="123"/>
    </row>
    <row r="6034" spans="3:8" s="99" customFormat="1" x14ac:dyDescent="0.2">
      <c r="C6034" s="198"/>
      <c r="D6034" s="198"/>
      <c r="E6034" s="537"/>
      <c r="G6034" s="198"/>
      <c r="H6034" s="123"/>
    </row>
    <row r="6035" spans="3:8" s="99" customFormat="1" x14ac:dyDescent="0.2">
      <c r="C6035" s="198"/>
      <c r="D6035" s="198"/>
      <c r="E6035" s="537"/>
      <c r="G6035" s="198"/>
      <c r="H6035" s="123"/>
    </row>
    <row r="6036" spans="3:8" s="99" customFormat="1" x14ac:dyDescent="0.2">
      <c r="C6036" s="198"/>
      <c r="D6036" s="198"/>
      <c r="E6036" s="537"/>
      <c r="G6036" s="198"/>
      <c r="H6036" s="123"/>
    </row>
    <row r="6037" spans="3:8" s="99" customFormat="1" x14ac:dyDescent="0.2">
      <c r="C6037" s="198"/>
      <c r="D6037" s="198"/>
      <c r="E6037" s="537"/>
      <c r="G6037" s="198"/>
      <c r="H6037" s="123"/>
    </row>
    <row r="6038" spans="3:8" s="99" customFormat="1" x14ac:dyDescent="0.2">
      <c r="C6038" s="198"/>
      <c r="D6038" s="198"/>
      <c r="E6038" s="537"/>
      <c r="G6038" s="198"/>
      <c r="H6038" s="123"/>
    </row>
    <row r="6039" spans="3:8" s="99" customFormat="1" x14ac:dyDescent="0.2">
      <c r="C6039" s="198"/>
      <c r="D6039" s="198"/>
      <c r="E6039" s="537"/>
      <c r="G6039" s="198"/>
      <c r="H6039" s="123"/>
    </row>
    <row r="6040" spans="3:8" s="99" customFormat="1" x14ac:dyDescent="0.2">
      <c r="C6040" s="198"/>
      <c r="D6040" s="198"/>
      <c r="E6040" s="537"/>
      <c r="G6040" s="198"/>
      <c r="H6040" s="123"/>
    </row>
    <row r="6041" spans="3:8" s="99" customFormat="1" x14ac:dyDescent="0.2">
      <c r="C6041" s="198"/>
      <c r="D6041" s="198"/>
      <c r="E6041" s="537"/>
      <c r="G6041" s="198"/>
      <c r="H6041" s="123"/>
    </row>
    <row r="6042" spans="3:8" s="99" customFormat="1" x14ac:dyDescent="0.2">
      <c r="C6042" s="198"/>
      <c r="D6042" s="198"/>
      <c r="E6042" s="537"/>
      <c r="G6042" s="198"/>
      <c r="H6042" s="123"/>
    </row>
    <row r="6043" spans="3:8" s="99" customFormat="1" x14ac:dyDescent="0.2">
      <c r="C6043" s="198"/>
      <c r="D6043" s="198"/>
      <c r="E6043" s="537"/>
      <c r="G6043" s="198"/>
      <c r="H6043" s="123"/>
    </row>
    <row r="6044" spans="3:8" s="99" customFormat="1" x14ac:dyDescent="0.2">
      <c r="C6044" s="198"/>
      <c r="D6044" s="198"/>
      <c r="E6044" s="537"/>
      <c r="G6044" s="198"/>
      <c r="H6044" s="123"/>
    </row>
    <row r="6045" spans="3:8" s="99" customFormat="1" x14ac:dyDescent="0.2">
      <c r="C6045" s="198"/>
      <c r="D6045" s="198"/>
      <c r="E6045" s="537"/>
      <c r="G6045" s="198"/>
      <c r="H6045" s="123"/>
    </row>
    <row r="6046" spans="3:8" s="99" customFormat="1" x14ac:dyDescent="0.2">
      <c r="C6046" s="198"/>
      <c r="D6046" s="198"/>
      <c r="E6046" s="537"/>
      <c r="G6046" s="198"/>
      <c r="H6046" s="123"/>
    </row>
    <row r="6047" spans="3:8" s="99" customFormat="1" x14ac:dyDescent="0.2">
      <c r="C6047" s="198"/>
      <c r="D6047" s="198"/>
      <c r="E6047" s="537"/>
      <c r="G6047" s="198"/>
      <c r="H6047" s="123"/>
    </row>
    <row r="6048" spans="3:8" s="99" customFormat="1" x14ac:dyDescent="0.2">
      <c r="C6048" s="198"/>
      <c r="D6048" s="198"/>
      <c r="E6048" s="537"/>
      <c r="G6048" s="198"/>
      <c r="H6048" s="123"/>
    </row>
    <row r="6049" spans="3:8" s="99" customFormat="1" x14ac:dyDescent="0.2">
      <c r="C6049" s="198"/>
      <c r="D6049" s="198"/>
      <c r="E6049" s="537"/>
      <c r="G6049" s="198"/>
      <c r="H6049" s="123"/>
    </row>
    <row r="6050" spans="3:8" s="99" customFormat="1" x14ac:dyDescent="0.2">
      <c r="C6050" s="198"/>
      <c r="D6050" s="198"/>
      <c r="E6050" s="537"/>
      <c r="G6050" s="198"/>
      <c r="H6050" s="123"/>
    </row>
    <row r="6051" spans="3:8" s="99" customFormat="1" x14ac:dyDescent="0.2">
      <c r="C6051" s="198"/>
      <c r="D6051" s="198"/>
      <c r="E6051" s="537"/>
      <c r="G6051" s="198"/>
      <c r="H6051" s="123"/>
    </row>
    <row r="6052" spans="3:8" s="99" customFormat="1" x14ac:dyDescent="0.2">
      <c r="C6052" s="198"/>
      <c r="D6052" s="198"/>
      <c r="E6052" s="537"/>
      <c r="G6052" s="198"/>
      <c r="H6052" s="123"/>
    </row>
    <row r="6053" spans="3:8" s="99" customFormat="1" x14ac:dyDescent="0.2">
      <c r="C6053" s="198"/>
      <c r="D6053" s="198"/>
      <c r="E6053" s="537"/>
      <c r="G6053" s="198"/>
      <c r="H6053" s="123"/>
    </row>
    <row r="6054" spans="3:8" s="99" customFormat="1" x14ac:dyDescent="0.2">
      <c r="C6054" s="198"/>
      <c r="D6054" s="198"/>
      <c r="E6054" s="537"/>
      <c r="G6054" s="198"/>
      <c r="H6054" s="123"/>
    </row>
    <row r="6055" spans="3:8" s="99" customFormat="1" x14ac:dyDescent="0.2">
      <c r="C6055" s="198"/>
      <c r="D6055" s="198"/>
      <c r="E6055" s="537"/>
      <c r="G6055" s="198"/>
      <c r="H6055" s="123"/>
    </row>
    <row r="6056" spans="3:8" s="99" customFormat="1" x14ac:dyDescent="0.2">
      <c r="C6056" s="198"/>
      <c r="D6056" s="198"/>
      <c r="E6056" s="537"/>
      <c r="G6056" s="198"/>
      <c r="H6056" s="123"/>
    </row>
    <row r="6057" spans="3:8" s="99" customFormat="1" x14ac:dyDescent="0.2">
      <c r="C6057" s="198"/>
      <c r="D6057" s="198"/>
      <c r="E6057" s="537"/>
      <c r="G6057" s="198"/>
      <c r="H6057" s="123"/>
    </row>
    <row r="6058" spans="3:8" s="99" customFormat="1" x14ac:dyDescent="0.2">
      <c r="C6058" s="198"/>
      <c r="D6058" s="198"/>
      <c r="E6058" s="537"/>
      <c r="G6058" s="198"/>
      <c r="H6058" s="123"/>
    </row>
    <row r="6059" spans="3:8" s="99" customFormat="1" x14ac:dyDescent="0.2">
      <c r="C6059" s="198"/>
      <c r="D6059" s="198"/>
      <c r="E6059" s="537"/>
      <c r="G6059" s="198"/>
      <c r="H6059" s="123"/>
    </row>
    <row r="6060" spans="3:8" s="99" customFormat="1" x14ac:dyDescent="0.2">
      <c r="C6060" s="198"/>
      <c r="D6060" s="198"/>
      <c r="E6060" s="537"/>
      <c r="G6060" s="198"/>
      <c r="H6060" s="123"/>
    </row>
    <row r="6061" spans="3:8" s="99" customFormat="1" x14ac:dyDescent="0.2">
      <c r="C6061" s="198"/>
      <c r="D6061" s="198"/>
      <c r="E6061" s="537"/>
      <c r="G6061" s="198"/>
      <c r="H6061" s="123"/>
    </row>
    <row r="6062" spans="3:8" s="99" customFormat="1" x14ac:dyDescent="0.2">
      <c r="C6062" s="198"/>
      <c r="D6062" s="198"/>
      <c r="E6062" s="537"/>
      <c r="G6062" s="198"/>
      <c r="H6062" s="123"/>
    </row>
    <row r="6063" spans="3:8" s="99" customFormat="1" x14ac:dyDescent="0.2">
      <c r="C6063" s="198"/>
      <c r="D6063" s="198"/>
      <c r="E6063" s="537"/>
      <c r="G6063" s="198"/>
      <c r="H6063" s="123"/>
    </row>
    <row r="6064" spans="3:8" s="99" customFormat="1" x14ac:dyDescent="0.2">
      <c r="C6064" s="198"/>
      <c r="D6064" s="198"/>
      <c r="E6064" s="537"/>
      <c r="G6064" s="198"/>
      <c r="H6064" s="123"/>
    </row>
    <row r="6065" spans="3:8" s="99" customFormat="1" x14ac:dyDescent="0.2">
      <c r="C6065" s="198"/>
      <c r="D6065" s="198"/>
      <c r="E6065" s="537"/>
      <c r="G6065" s="198"/>
      <c r="H6065" s="123"/>
    </row>
    <row r="6066" spans="3:8" s="99" customFormat="1" x14ac:dyDescent="0.2">
      <c r="C6066" s="198"/>
      <c r="D6066" s="198"/>
      <c r="E6066" s="537"/>
      <c r="G6066" s="198"/>
      <c r="H6066" s="123"/>
    </row>
    <row r="6067" spans="3:8" s="99" customFormat="1" x14ac:dyDescent="0.2">
      <c r="C6067" s="198"/>
      <c r="D6067" s="198"/>
      <c r="E6067" s="537"/>
      <c r="G6067" s="198"/>
      <c r="H6067" s="123"/>
    </row>
    <row r="6068" spans="3:8" s="99" customFormat="1" x14ac:dyDescent="0.2">
      <c r="C6068" s="198"/>
      <c r="D6068" s="198"/>
      <c r="E6068" s="537"/>
      <c r="G6068" s="198"/>
      <c r="H6068" s="123"/>
    </row>
    <row r="6069" spans="3:8" s="99" customFormat="1" x14ac:dyDescent="0.2">
      <c r="C6069" s="198"/>
      <c r="D6069" s="198"/>
      <c r="E6069" s="537"/>
      <c r="G6069" s="198"/>
      <c r="H6069" s="123"/>
    </row>
    <row r="6070" spans="3:8" s="99" customFormat="1" x14ac:dyDescent="0.2">
      <c r="C6070" s="198"/>
      <c r="D6070" s="198"/>
      <c r="E6070" s="537"/>
      <c r="G6070" s="198"/>
      <c r="H6070" s="123"/>
    </row>
    <row r="6071" spans="3:8" s="99" customFormat="1" x14ac:dyDescent="0.2">
      <c r="C6071" s="198"/>
      <c r="D6071" s="198"/>
      <c r="E6071" s="537"/>
      <c r="G6071" s="198"/>
      <c r="H6071" s="123"/>
    </row>
    <row r="6072" spans="3:8" s="99" customFormat="1" x14ac:dyDescent="0.2">
      <c r="C6072" s="198"/>
      <c r="D6072" s="198"/>
      <c r="E6072" s="537"/>
      <c r="G6072" s="198"/>
      <c r="H6072" s="123"/>
    </row>
    <row r="6073" spans="3:8" s="99" customFormat="1" x14ac:dyDescent="0.2">
      <c r="C6073" s="198"/>
      <c r="D6073" s="198"/>
      <c r="E6073" s="537"/>
      <c r="G6073" s="198"/>
      <c r="H6073" s="123"/>
    </row>
    <row r="6074" spans="3:8" s="99" customFormat="1" x14ac:dyDescent="0.2">
      <c r="C6074" s="198"/>
      <c r="D6074" s="198"/>
      <c r="E6074" s="537"/>
      <c r="G6074" s="198"/>
      <c r="H6074" s="123"/>
    </row>
    <row r="6075" spans="3:8" s="99" customFormat="1" x14ac:dyDescent="0.2">
      <c r="C6075" s="198"/>
      <c r="D6075" s="198"/>
      <c r="E6075" s="537"/>
      <c r="G6075" s="198"/>
      <c r="H6075" s="123"/>
    </row>
    <row r="6076" spans="3:8" s="99" customFormat="1" x14ac:dyDescent="0.2">
      <c r="C6076" s="198"/>
      <c r="D6076" s="198"/>
      <c r="E6076" s="537"/>
      <c r="G6076" s="198"/>
      <c r="H6076" s="123"/>
    </row>
    <row r="6077" spans="3:8" s="99" customFormat="1" x14ac:dyDescent="0.2">
      <c r="C6077" s="198"/>
      <c r="D6077" s="198"/>
      <c r="E6077" s="537"/>
      <c r="G6077" s="198"/>
      <c r="H6077" s="123"/>
    </row>
    <row r="6078" spans="3:8" s="99" customFormat="1" x14ac:dyDescent="0.2">
      <c r="C6078" s="198"/>
      <c r="D6078" s="198"/>
      <c r="E6078" s="537"/>
      <c r="G6078" s="198"/>
      <c r="H6078" s="123"/>
    </row>
    <row r="6079" spans="3:8" s="99" customFormat="1" x14ac:dyDescent="0.2">
      <c r="C6079" s="198"/>
      <c r="D6079" s="198"/>
      <c r="E6079" s="537"/>
      <c r="G6079" s="198"/>
      <c r="H6079" s="123"/>
    </row>
    <row r="6080" spans="3:8" s="99" customFormat="1" x14ac:dyDescent="0.2">
      <c r="C6080" s="198"/>
      <c r="D6080" s="198"/>
      <c r="E6080" s="537"/>
      <c r="G6080" s="198"/>
      <c r="H6080" s="123"/>
    </row>
    <row r="6081" spans="3:8" s="99" customFormat="1" x14ac:dyDescent="0.2">
      <c r="C6081" s="198"/>
      <c r="D6081" s="198"/>
      <c r="E6081" s="537"/>
      <c r="G6081" s="198"/>
      <c r="H6081" s="123"/>
    </row>
    <row r="6082" spans="3:8" s="99" customFormat="1" x14ac:dyDescent="0.2">
      <c r="C6082" s="198"/>
      <c r="D6082" s="198"/>
      <c r="E6082" s="537"/>
      <c r="G6082" s="198"/>
      <c r="H6082" s="123"/>
    </row>
    <row r="6083" spans="3:8" s="99" customFormat="1" x14ac:dyDescent="0.2">
      <c r="C6083" s="198"/>
      <c r="D6083" s="198"/>
      <c r="E6083" s="537"/>
      <c r="G6083" s="198"/>
      <c r="H6083" s="123"/>
    </row>
    <row r="6084" spans="3:8" s="99" customFormat="1" x14ac:dyDescent="0.2">
      <c r="C6084" s="198"/>
      <c r="D6084" s="198"/>
      <c r="E6084" s="537"/>
      <c r="G6084" s="198"/>
      <c r="H6084" s="123"/>
    </row>
    <row r="6085" spans="3:8" s="99" customFormat="1" x14ac:dyDescent="0.2">
      <c r="C6085" s="198"/>
      <c r="D6085" s="198"/>
      <c r="E6085" s="537"/>
      <c r="G6085" s="198"/>
      <c r="H6085" s="123"/>
    </row>
    <row r="6086" spans="3:8" s="99" customFormat="1" x14ac:dyDescent="0.2">
      <c r="C6086" s="198"/>
      <c r="D6086" s="198"/>
      <c r="E6086" s="537"/>
      <c r="G6086" s="198"/>
      <c r="H6086" s="123"/>
    </row>
    <row r="6087" spans="3:8" s="99" customFormat="1" x14ac:dyDescent="0.2">
      <c r="C6087" s="198"/>
      <c r="D6087" s="198"/>
      <c r="E6087" s="537"/>
      <c r="G6087" s="198"/>
      <c r="H6087" s="123"/>
    </row>
    <row r="6088" spans="3:8" s="99" customFormat="1" x14ac:dyDescent="0.2">
      <c r="C6088" s="198"/>
      <c r="D6088" s="198"/>
      <c r="E6088" s="537"/>
      <c r="G6088" s="198"/>
      <c r="H6088" s="123"/>
    </row>
    <row r="6089" spans="3:8" s="99" customFormat="1" x14ac:dyDescent="0.2">
      <c r="C6089" s="198"/>
      <c r="D6089" s="198"/>
      <c r="E6089" s="537"/>
      <c r="G6089" s="198"/>
      <c r="H6089" s="123"/>
    </row>
    <row r="6090" spans="3:8" s="99" customFormat="1" x14ac:dyDescent="0.2">
      <c r="C6090" s="198"/>
      <c r="D6090" s="198"/>
      <c r="E6090" s="537"/>
      <c r="G6090" s="198"/>
      <c r="H6090" s="123"/>
    </row>
    <row r="6091" spans="3:8" s="99" customFormat="1" x14ac:dyDescent="0.2">
      <c r="C6091" s="198"/>
      <c r="D6091" s="198"/>
      <c r="E6091" s="537"/>
      <c r="G6091" s="198"/>
      <c r="H6091" s="123"/>
    </row>
    <row r="6092" spans="3:8" s="99" customFormat="1" x14ac:dyDescent="0.2">
      <c r="C6092" s="198"/>
      <c r="D6092" s="198"/>
      <c r="E6092" s="537"/>
      <c r="G6092" s="198"/>
      <c r="H6092" s="123"/>
    </row>
    <row r="6093" spans="3:8" s="99" customFormat="1" x14ac:dyDescent="0.2">
      <c r="C6093" s="198"/>
      <c r="D6093" s="198"/>
      <c r="E6093" s="537"/>
      <c r="G6093" s="198"/>
      <c r="H6093" s="123"/>
    </row>
    <row r="6094" spans="3:8" s="99" customFormat="1" x14ac:dyDescent="0.2">
      <c r="C6094" s="198"/>
      <c r="D6094" s="198"/>
      <c r="E6094" s="537"/>
      <c r="G6094" s="198"/>
      <c r="H6094" s="123"/>
    </row>
    <row r="6095" spans="3:8" s="99" customFormat="1" x14ac:dyDescent="0.2">
      <c r="C6095" s="198"/>
      <c r="D6095" s="198"/>
      <c r="E6095" s="537"/>
      <c r="G6095" s="198"/>
      <c r="H6095" s="123"/>
    </row>
    <row r="6096" spans="3:8" s="99" customFormat="1" x14ac:dyDescent="0.2">
      <c r="C6096" s="198"/>
      <c r="D6096" s="198"/>
      <c r="E6096" s="537"/>
      <c r="G6096" s="198"/>
      <c r="H6096" s="123"/>
    </row>
    <row r="6097" spans="3:8" s="99" customFormat="1" x14ac:dyDescent="0.2">
      <c r="C6097" s="198"/>
      <c r="D6097" s="198"/>
      <c r="E6097" s="537"/>
      <c r="G6097" s="198"/>
      <c r="H6097" s="123"/>
    </row>
    <row r="6098" spans="3:8" s="99" customFormat="1" x14ac:dyDescent="0.2">
      <c r="C6098" s="198"/>
      <c r="D6098" s="198"/>
      <c r="E6098" s="537"/>
      <c r="G6098" s="198"/>
      <c r="H6098" s="123"/>
    </row>
    <row r="6099" spans="3:8" s="99" customFormat="1" x14ac:dyDescent="0.2">
      <c r="C6099" s="198"/>
      <c r="D6099" s="198"/>
      <c r="E6099" s="537"/>
      <c r="G6099" s="198"/>
      <c r="H6099" s="123"/>
    </row>
    <row r="6100" spans="3:8" s="99" customFormat="1" x14ac:dyDescent="0.2">
      <c r="C6100" s="198"/>
      <c r="D6100" s="198"/>
      <c r="E6100" s="537"/>
      <c r="G6100" s="198"/>
      <c r="H6100" s="123"/>
    </row>
    <row r="6101" spans="3:8" s="99" customFormat="1" x14ac:dyDescent="0.2">
      <c r="C6101" s="198"/>
      <c r="D6101" s="198"/>
      <c r="E6101" s="537"/>
      <c r="G6101" s="198"/>
      <c r="H6101" s="123"/>
    </row>
    <row r="6102" spans="3:8" s="99" customFormat="1" x14ac:dyDescent="0.2">
      <c r="C6102" s="198"/>
      <c r="D6102" s="198"/>
      <c r="E6102" s="537"/>
      <c r="G6102" s="198"/>
      <c r="H6102" s="123"/>
    </row>
    <row r="6103" spans="3:8" s="99" customFormat="1" x14ac:dyDescent="0.2">
      <c r="C6103" s="198"/>
      <c r="D6103" s="198"/>
      <c r="E6103" s="537"/>
      <c r="G6103" s="198"/>
      <c r="H6103" s="123"/>
    </row>
    <row r="6104" spans="3:8" s="99" customFormat="1" x14ac:dyDescent="0.2">
      <c r="C6104" s="198"/>
      <c r="D6104" s="198"/>
      <c r="E6104" s="537"/>
      <c r="G6104" s="198"/>
      <c r="H6104" s="123"/>
    </row>
    <row r="6105" spans="3:8" s="99" customFormat="1" x14ac:dyDescent="0.2">
      <c r="C6105" s="198"/>
      <c r="D6105" s="198"/>
      <c r="E6105" s="537"/>
      <c r="G6105" s="198"/>
      <c r="H6105" s="123"/>
    </row>
    <row r="6106" spans="3:8" s="99" customFormat="1" x14ac:dyDescent="0.2">
      <c r="C6106" s="198"/>
      <c r="D6106" s="198"/>
      <c r="E6106" s="537"/>
      <c r="G6106" s="198"/>
      <c r="H6106" s="123"/>
    </row>
    <row r="6107" spans="3:8" s="99" customFormat="1" x14ac:dyDescent="0.2">
      <c r="C6107" s="198"/>
      <c r="D6107" s="198"/>
      <c r="E6107" s="537"/>
      <c r="G6107" s="198"/>
      <c r="H6107" s="123"/>
    </row>
    <row r="6108" spans="3:8" s="99" customFormat="1" x14ac:dyDescent="0.2">
      <c r="C6108" s="198"/>
      <c r="D6108" s="198"/>
      <c r="E6108" s="537"/>
      <c r="G6108" s="198"/>
      <c r="H6108" s="123"/>
    </row>
    <row r="6109" spans="3:8" s="99" customFormat="1" x14ac:dyDescent="0.2">
      <c r="C6109" s="198"/>
      <c r="D6109" s="198"/>
      <c r="E6109" s="537"/>
      <c r="G6109" s="198"/>
      <c r="H6109" s="123"/>
    </row>
    <row r="6110" spans="3:8" s="99" customFormat="1" x14ac:dyDescent="0.2">
      <c r="C6110" s="198"/>
      <c r="D6110" s="198"/>
      <c r="E6110" s="537"/>
      <c r="G6110" s="198"/>
      <c r="H6110" s="123"/>
    </row>
    <row r="6111" spans="3:8" s="99" customFormat="1" x14ac:dyDescent="0.2">
      <c r="C6111" s="198"/>
      <c r="D6111" s="198"/>
      <c r="E6111" s="537"/>
      <c r="G6111" s="198"/>
      <c r="H6111" s="123"/>
    </row>
    <row r="6112" spans="3:8" s="99" customFormat="1" x14ac:dyDescent="0.2">
      <c r="C6112" s="198"/>
      <c r="D6112" s="198"/>
      <c r="E6112" s="537"/>
      <c r="G6112" s="198"/>
      <c r="H6112" s="123"/>
    </row>
    <row r="6113" spans="3:8" s="99" customFormat="1" x14ac:dyDescent="0.2">
      <c r="C6113" s="198"/>
      <c r="D6113" s="198"/>
      <c r="E6113" s="537"/>
      <c r="G6113" s="198"/>
      <c r="H6113" s="123"/>
    </row>
    <row r="6114" spans="3:8" s="99" customFormat="1" x14ac:dyDescent="0.2">
      <c r="C6114" s="198"/>
      <c r="D6114" s="198"/>
      <c r="E6114" s="537"/>
      <c r="G6114" s="198"/>
      <c r="H6114" s="123"/>
    </row>
    <row r="6115" spans="3:8" s="99" customFormat="1" x14ac:dyDescent="0.2">
      <c r="C6115" s="198"/>
      <c r="D6115" s="198"/>
      <c r="E6115" s="537"/>
      <c r="G6115" s="198"/>
      <c r="H6115" s="123"/>
    </row>
    <row r="6116" spans="3:8" s="99" customFormat="1" x14ac:dyDescent="0.2">
      <c r="C6116" s="198"/>
      <c r="D6116" s="198"/>
      <c r="E6116" s="537"/>
      <c r="G6116" s="198"/>
      <c r="H6116" s="123"/>
    </row>
    <row r="6117" spans="3:8" s="99" customFormat="1" x14ac:dyDescent="0.2">
      <c r="C6117" s="198"/>
      <c r="D6117" s="198"/>
      <c r="E6117" s="537"/>
      <c r="G6117" s="198"/>
      <c r="H6117" s="123"/>
    </row>
    <row r="6118" spans="3:8" s="99" customFormat="1" x14ac:dyDescent="0.2">
      <c r="C6118" s="198"/>
      <c r="D6118" s="198"/>
      <c r="E6118" s="537"/>
      <c r="G6118" s="198"/>
      <c r="H6118" s="123"/>
    </row>
    <row r="6119" spans="3:8" s="99" customFormat="1" x14ac:dyDescent="0.2">
      <c r="C6119" s="198"/>
      <c r="D6119" s="198"/>
      <c r="E6119" s="537"/>
      <c r="G6119" s="198"/>
      <c r="H6119" s="123"/>
    </row>
    <row r="6120" spans="3:8" s="99" customFormat="1" x14ac:dyDescent="0.2">
      <c r="C6120" s="198"/>
      <c r="D6120" s="198"/>
      <c r="E6120" s="537"/>
      <c r="G6120" s="198"/>
      <c r="H6120" s="123"/>
    </row>
    <row r="6121" spans="3:8" s="99" customFormat="1" x14ac:dyDescent="0.2">
      <c r="C6121" s="198"/>
      <c r="D6121" s="198"/>
      <c r="E6121" s="537"/>
      <c r="G6121" s="198"/>
      <c r="H6121" s="123"/>
    </row>
    <row r="6122" spans="3:8" s="99" customFormat="1" x14ac:dyDescent="0.2">
      <c r="C6122" s="198"/>
      <c r="D6122" s="198"/>
      <c r="E6122" s="537"/>
      <c r="G6122" s="198"/>
      <c r="H6122" s="123"/>
    </row>
    <row r="6123" spans="3:8" s="99" customFormat="1" x14ac:dyDescent="0.2">
      <c r="C6123" s="198"/>
      <c r="D6123" s="198"/>
      <c r="E6123" s="537"/>
      <c r="G6123" s="198"/>
      <c r="H6123" s="123"/>
    </row>
    <row r="6124" spans="3:8" s="99" customFormat="1" x14ac:dyDescent="0.2">
      <c r="C6124" s="198"/>
      <c r="D6124" s="198"/>
      <c r="E6124" s="537"/>
      <c r="G6124" s="198"/>
      <c r="H6124" s="123"/>
    </row>
    <row r="6125" spans="3:8" s="99" customFormat="1" x14ac:dyDescent="0.2">
      <c r="C6125" s="198"/>
      <c r="D6125" s="198"/>
      <c r="E6125" s="537"/>
      <c r="G6125" s="198"/>
      <c r="H6125" s="123"/>
    </row>
    <row r="6126" spans="3:8" s="99" customFormat="1" x14ac:dyDescent="0.2">
      <c r="C6126" s="198"/>
      <c r="D6126" s="198"/>
      <c r="E6126" s="537"/>
      <c r="G6126" s="198"/>
      <c r="H6126" s="123"/>
    </row>
    <row r="6127" spans="3:8" s="99" customFormat="1" x14ac:dyDescent="0.2">
      <c r="C6127" s="198"/>
      <c r="D6127" s="198"/>
      <c r="E6127" s="537"/>
      <c r="G6127" s="198"/>
      <c r="H6127" s="123"/>
    </row>
    <row r="6128" spans="3:8" s="99" customFormat="1" x14ac:dyDescent="0.2">
      <c r="C6128" s="198"/>
      <c r="D6128" s="198"/>
      <c r="E6128" s="537"/>
      <c r="G6128" s="198"/>
      <c r="H6128" s="123"/>
    </row>
    <row r="6129" spans="3:8" s="99" customFormat="1" x14ac:dyDescent="0.2">
      <c r="C6129" s="198"/>
      <c r="D6129" s="198"/>
      <c r="E6129" s="537"/>
      <c r="G6129" s="198"/>
      <c r="H6129" s="123"/>
    </row>
    <row r="6130" spans="3:8" s="99" customFormat="1" x14ac:dyDescent="0.2">
      <c r="C6130" s="198"/>
      <c r="D6130" s="198"/>
      <c r="E6130" s="537"/>
      <c r="G6130" s="198"/>
      <c r="H6130" s="123"/>
    </row>
    <row r="6131" spans="3:8" s="99" customFormat="1" x14ac:dyDescent="0.2">
      <c r="C6131" s="198"/>
      <c r="D6131" s="198"/>
      <c r="E6131" s="537"/>
      <c r="G6131" s="198"/>
      <c r="H6131" s="123"/>
    </row>
    <row r="6132" spans="3:8" s="99" customFormat="1" x14ac:dyDescent="0.2">
      <c r="C6132" s="198"/>
      <c r="D6132" s="198"/>
      <c r="E6132" s="537"/>
      <c r="G6132" s="198"/>
      <c r="H6132" s="123"/>
    </row>
    <row r="6133" spans="3:8" s="99" customFormat="1" x14ac:dyDescent="0.2">
      <c r="C6133" s="198"/>
      <c r="D6133" s="198"/>
      <c r="E6133" s="537"/>
      <c r="G6133" s="198"/>
      <c r="H6133" s="123"/>
    </row>
    <row r="6134" spans="3:8" s="99" customFormat="1" x14ac:dyDescent="0.2">
      <c r="C6134" s="198"/>
      <c r="D6134" s="198"/>
      <c r="E6134" s="537"/>
      <c r="G6134" s="198"/>
      <c r="H6134" s="123"/>
    </row>
    <row r="6135" spans="3:8" s="99" customFormat="1" x14ac:dyDescent="0.2">
      <c r="C6135" s="198"/>
      <c r="D6135" s="198"/>
      <c r="E6135" s="537"/>
      <c r="G6135" s="198"/>
      <c r="H6135" s="123"/>
    </row>
    <row r="6136" spans="3:8" s="99" customFormat="1" x14ac:dyDescent="0.2">
      <c r="C6136" s="198"/>
      <c r="D6136" s="198"/>
      <c r="E6136" s="537"/>
      <c r="G6136" s="198"/>
      <c r="H6136" s="123"/>
    </row>
    <row r="6137" spans="3:8" s="99" customFormat="1" x14ac:dyDescent="0.2">
      <c r="C6137" s="198"/>
      <c r="D6137" s="198"/>
      <c r="E6137" s="537"/>
      <c r="G6137" s="198"/>
      <c r="H6137" s="123"/>
    </row>
    <row r="6138" spans="3:8" s="99" customFormat="1" x14ac:dyDescent="0.2">
      <c r="C6138" s="198"/>
      <c r="D6138" s="198"/>
      <c r="E6138" s="537"/>
      <c r="G6138" s="198"/>
      <c r="H6138" s="123"/>
    </row>
    <row r="6139" spans="3:8" s="99" customFormat="1" x14ac:dyDescent="0.2">
      <c r="C6139" s="198"/>
      <c r="D6139" s="198"/>
      <c r="E6139" s="537"/>
      <c r="G6139" s="198"/>
      <c r="H6139" s="123"/>
    </row>
    <row r="6140" spans="3:8" s="99" customFormat="1" x14ac:dyDescent="0.2">
      <c r="C6140" s="198"/>
      <c r="D6140" s="198"/>
      <c r="E6140" s="537"/>
      <c r="G6140" s="198"/>
      <c r="H6140" s="123"/>
    </row>
    <row r="6141" spans="3:8" s="99" customFormat="1" x14ac:dyDescent="0.2">
      <c r="C6141" s="198"/>
      <c r="D6141" s="198"/>
      <c r="E6141" s="537"/>
      <c r="G6141" s="198"/>
      <c r="H6141" s="123"/>
    </row>
    <row r="6142" spans="3:8" s="99" customFormat="1" x14ac:dyDescent="0.2">
      <c r="C6142" s="198"/>
      <c r="D6142" s="198"/>
      <c r="E6142" s="537"/>
      <c r="G6142" s="198"/>
      <c r="H6142" s="123"/>
    </row>
    <row r="6143" spans="3:8" s="99" customFormat="1" x14ac:dyDescent="0.2">
      <c r="C6143" s="198"/>
      <c r="D6143" s="198"/>
      <c r="E6143" s="537"/>
      <c r="G6143" s="198"/>
      <c r="H6143" s="123"/>
    </row>
    <row r="6144" spans="3:8" s="99" customFormat="1" x14ac:dyDescent="0.2">
      <c r="C6144" s="198"/>
      <c r="D6144" s="198"/>
      <c r="E6144" s="537"/>
      <c r="G6144" s="198"/>
      <c r="H6144" s="123"/>
    </row>
    <row r="6145" spans="3:8" s="99" customFormat="1" x14ac:dyDescent="0.2">
      <c r="C6145" s="198"/>
      <c r="D6145" s="198"/>
      <c r="E6145" s="537"/>
      <c r="G6145" s="198"/>
      <c r="H6145" s="123"/>
    </row>
    <row r="6146" spans="3:8" s="99" customFormat="1" x14ac:dyDescent="0.2">
      <c r="C6146" s="198"/>
      <c r="D6146" s="198"/>
      <c r="E6146" s="537"/>
      <c r="G6146" s="198"/>
      <c r="H6146" s="123"/>
    </row>
    <row r="6147" spans="3:8" s="99" customFormat="1" x14ac:dyDescent="0.2">
      <c r="C6147" s="198"/>
      <c r="D6147" s="198"/>
      <c r="E6147" s="537"/>
      <c r="G6147" s="198"/>
      <c r="H6147" s="123"/>
    </row>
    <row r="6148" spans="3:8" s="99" customFormat="1" x14ac:dyDescent="0.2">
      <c r="C6148" s="198"/>
      <c r="D6148" s="198"/>
      <c r="E6148" s="537"/>
      <c r="G6148" s="198"/>
      <c r="H6148" s="123"/>
    </row>
    <row r="6149" spans="3:8" s="99" customFormat="1" x14ac:dyDescent="0.2">
      <c r="C6149" s="198"/>
      <c r="D6149" s="198"/>
      <c r="E6149" s="537"/>
      <c r="G6149" s="198"/>
      <c r="H6149" s="123"/>
    </row>
    <row r="6150" spans="3:8" s="99" customFormat="1" x14ac:dyDescent="0.2">
      <c r="C6150" s="198"/>
      <c r="D6150" s="198"/>
      <c r="E6150" s="537"/>
      <c r="G6150" s="198"/>
      <c r="H6150" s="123"/>
    </row>
    <row r="6151" spans="3:8" s="99" customFormat="1" x14ac:dyDescent="0.2">
      <c r="C6151" s="198"/>
      <c r="D6151" s="198"/>
      <c r="E6151" s="537"/>
      <c r="G6151" s="198"/>
      <c r="H6151" s="123"/>
    </row>
    <row r="6152" spans="3:8" s="99" customFormat="1" x14ac:dyDescent="0.2">
      <c r="C6152" s="198"/>
      <c r="D6152" s="198"/>
      <c r="E6152" s="537"/>
      <c r="G6152" s="198"/>
      <c r="H6152" s="123"/>
    </row>
    <row r="6153" spans="3:8" s="99" customFormat="1" x14ac:dyDescent="0.2">
      <c r="C6153" s="198"/>
      <c r="D6153" s="198"/>
      <c r="E6153" s="537"/>
      <c r="G6153" s="198"/>
      <c r="H6153" s="123"/>
    </row>
    <row r="6154" spans="3:8" s="99" customFormat="1" x14ac:dyDescent="0.2">
      <c r="C6154" s="198"/>
      <c r="D6154" s="198"/>
      <c r="E6154" s="537"/>
      <c r="G6154" s="198"/>
      <c r="H6154" s="123"/>
    </row>
    <row r="6155" spans="3:8" s="99" customFormat="1" x14ac:dyDescent="0.2">
      <c r="C6155" s="198"/>
      <c r="D6155" s="198"/>
      <c r="E6155" s="537"/>
      <c r="G6155" s="198"/>
      <c r="H6155" s="123"/>
    </row>
    <row r="6156" spans="3:8" s="99" customFormat="1" x14ac:dyDescent="0.2">
      <c r="C6156" s="198"/>
      <c r="D6156" s="198"/>
      <c r="E6156" s="537"/>
      <c r="G6156" s="198"/>
      <c r="H6156" s="123"/>
    </row>
    <row r="6157" spans="3:8" s="99" customFormat="1" x14ac:dyDescent="0.2">
      <c r="C6157" s="198"/>
      <c r="D6157" s="198"/>
      <c r="E6157" s="537"/>
      <c r="G6157" s="198"/>
      <c r="H6157" s="123"/>
    </row>
    <row r="6158" spans="3:8" s="99" customFormat="1" x14ac:dyDescent="0.2">
      <c r="C6158" s="198"/>
      <c r="D6158" s="198"/>
      <c r="E6158" s="537"/>
      <c r="G6158" s="198"/>
      <c r="H6158" s="123"/>
    </row>
    <row r="6159" spans="3:8" s="99" customFormat="1" x14ac:dyDescent="0.2">
      <c r="C6159" s="198"/>
      <c r="D6159" s="198"/>
      <c r="E6159" s="537"/>
      <c r="G6159" s="198"/>
      <c r="H6159" s="123"/>
    </row>
    <row r="6160" spans="3:8" s="99" customFormat="1" x14ac:dyDescent="0.2">
      <c r="C6160" s="198"/>
      <c r="D6160" s="198"/>
      <c r="E6160" s="537"/>
      <c r="G6160" s="198"/>
      <c r="H6160" s="123"/>
    </row>
    <row r="6161" spans="3:8" s="99" customFormat="1" x14ac:dyDescent="0.2">
      <c r="C6161" s="198"/>
      <c r="D6161" s="198"/>
      <c r="E6161" s="537"/>
      <c r="G6161" s="198"/>
      <c r="H6161" s="123"/>
    </row>
    <row r="6162" spans="3:8" s="99" customFormat="1" x14ac:dyDescent="0.2">
      <c r="C6162" s="198"/>
      <c r="D6162" s="198"/>
      <c r="E6162" s="537"/>
      <c r="G6162" s="198"/>
      <c r="H6162" s="123"/>
    </row>
    <row r="6163" spans="3:8" s="99" customFormat="1" x14ac:dyDescent="0.2">
      <c r="C6163" s="198"/>
      <c r="D6163" s="198"/>
      <c r="E6163" s="537"/>
      <c r="G6163" s="198"/>
      <c r="H6163" s="123"/>
    </row>
    <row r="6164" spans="3:8" s="99" customFormat="1" x14ac:dyDescent="0.2">
      <c r="C6164" s="198"/>
      <c r="D6164" s="198"/>
      <c r="E6164" s="537"/>
      <c r="G6164" s="198"/>
      <c r="H6164" s="123"/>
    </row>
    <row r="6165" spans="3:8" s="99" customFormat="1" x14ac:dyDescent="0.2">
      <c r="C6165" s="198"/>
      <c r="D6165" s="198"/>
      <c r="E6165" s="537"/>
      <c r="G6165" s="198"/>
      <c r="H6165" s="123"/>
    </row>
    <row r="6166" spans="3:8" s="99" customFormat="1" x14ac:dyDescent="0.2">
      <c r="C6166" s="198"/>
      <c r="D6166" s="198"/>
      <c r="E6166" s="537"/>
      <c r="G6166" s="198"/>
      <c r="H6166" s="123"/>
    </row>
    <row r="6167" spans="3:8" s="99" customFormat="1" x14ac:dyDescent="0.2">
      <c r="C6167" s="198"/>
      <c r="D6167" s="198"/>
      <c r="E6167" s="537"/>
      <c r="G6167" s="198"/>
      <c r="H6167" s="123"/>
    </row>
    <row r="6168" spans="3:8" s="99" customFormat="1" x14ac:dyDescent="0.2">
      <c r="C6168" s="198"/>
      <c r="D6168" s="198"/>
      <c r="E6168" s="537"/>
      <c r="G6168" s="198"/>
      <c r="H6168" s="123"/>
    </row>
    <row r="6169" spans="3:8" s="99" customFormat="1" x14ac:dyDescent="0.2">
      <c r="C6169" s="198"/>
      <c r="D6169" s="198"/>
      <c r="E6169" s="537"/>
      <c r="G6169" s="198"/>
      <c r="H6169" s="123"/>
    </row>
    <row r="6170" spans="3:8" s="99" customFormat="1" x14ac:dyDescent="0.2">
      <c r="C6170" s="198"/>
      <c r="D6170" s="198"/>
      <c r="E6170" s="537"/>
      <c r="G6170" s="198"/>
      <c r="H6170" s="123"/>
    </row>
    <row r="6171" spans="3:8" s="99" customFormat="1" x14ac:dyDescent="0.2">
      <c r="C6171" s="198"/>
      <c r="D6171" s="198"/>
      <c r="E6171" s="537"/>
      <c r="G6171" s="198"/>
      <c r="H6171" s="123"/>
    </row>
    <row r="6172" spans="3:8" s="99" customFormat="1" x14ac:dyDescent="0.2">
      <c r="C6172" s="198"/>
      <c r="D6172" s="198"/>
      <c r="E6172" s="537"/>
      <c r="G6172" s="198"/>
      <c r="H6172" s="123"/>
    </row>
    <row r="6173" spans="3:8" s="99" customFormat="1" x14ac:dyDescent="0.2">
      <c r="C6173" s="198"/>
      <c r="D6173" s="198"/>
      <c r="E6173" s="537"/>
      <c r="G6173" s="198"/>
      <c r="H6173" s="123"/>
    </row>
    <row r="6174" spans="3:8" s="99" customFormat="1" x14ac:dyDescent="0.2">
      <c r="C6174" s="198"/>
      <c r="D6174" s="198"/>
      <c r="E6174" s="537"/>
      <c r="G6174" s="198"/>
      <c r="H6174" s="123"/>
    </row>
    <row r="6175" spans="3:8" s="99" customFormat="1" x14ac:dyDescent="0.2">
      <c r="C6175" s="198"/>
      <c r="D6175" s="198"/>
      <c r="E6175" s="537"/>
      <c r="G6175" s="198"/>
      <c r="H6175" s="123"/>
    </row>
    <row r="6176" spans="3:8" s="99" customFormat="1" x14ac:dyDescent="0.2">
      <c r="C6176" s="198"/>
      <c r="D6176" s="198"/>
      <c r="E6176" s="537"/>
      <c r="G6176" s="198"/>
      <c r="H6176" s="123"/>
    </row>
    <row r="6177" spans="3:8" s="99" customFormat="1" x14ac:dyDescent="0.2">
      <c r="C6177" s="198"/>
      <c r="D6177" s="198"/>
      <c r="E6177" s="537"/>
      <c r="G6177" s="198"/>
      <c r="H6177" s="123"/>
    </row>
    <row r="6178" spans="3:8" s="99" customFormat="1" x14ac:dyDescent="0.2">
      <c r="C6178" s="198"/>
      <c r="D6178" s="198"/>
      <c r="E6178" s="537"/>
      <c r="G6178" s="198"/>
      <c r="H6178" s="123"/>
    </row>
    <row r="6179" spans="3:8" s="99" customFormat="1" x14ac:dyDescent="0.2">
      <c r="C6179" s="198"/>
      <c r="D6179" s="198"/>
      <c r="E6179" s="537"/>
      <c r="G6179" s="198"/>
      <c r="H6179" s="123"/>
    </row>
    <row r="6180" spans="3:8" s="99" customFormat="1" x14ac:dyDescent="0.2">
      <c r="C6180" s="198"/>
      <c r="D6180" s="198"/>
      <c r="E6180" s="537"/>
      <c r="G6180" s="198"/>
      <c r="H6180" s="123"/>
    </row>
    <row r="6181" spans="3:8" s="99" customFormat="1" x14ac:dyDescent="0.2">
      <c r="C6181" s="198"/>
      <c r="D6181" s="198"/>
      <c r="E6181" s="537"/>
      <c r="G6181" s="198"/>
      <c r="H6181" s="123"/>
    </row>
    <row r="6182" spans="3:8" s="99" customFormat="1" x14ac:dyDescent="0.2">
      <c r="C6182" s="198"/>
      <c r="D6182" s="198"/>
      <c r="E6182" s="537"/>
      <c r="G6182" s="198"/>
      <c r="H6182" s="123"/>
    </row>
    <row r="6183" spans="3:8" s="99" customFormat="1" x14ac:dyDescent="0.2">
      <c r="C6183" s="198"/>
      <c r="D6183" s="198"/>
      <c r="E6183" s="537"/>
      <c r="G6183" s="198"/>
      <c r="H6183" s="123"/>
    </row>
    <row r="6184" spans="3:8" s="99" customFormat="1" x14ac:dyDescent="0.2">
      <c r="C6184" s="198"/>
      <c r="D6184" s="198"/>
      <c r="E6184" s="537"/>
      <c r="G6184" s="198"/>
      <c r="H6184" s="123"/>
    </row>
    <row r="6185" spans="3:8" s="99" customFormat="1" x14ac:dyDescent="0.2">
      <c r="C6185" s="198"/>
      <c r="D6185" s="198"/>
      <c r="E6185" s="537"/>
      <c r="G6185" s="198"/>
      <c r="H6185" s="123"/>
    </row>
    <row r="6186" spans="3:8" s="99" customFormat="1" x14ac:dyDescent="0.2">
      <c r="C6186" s="198"/>
      <c r="D6186" s="198"/>
      <c r="E6186" s="537"/>
      <c r="G6186" s="198"/>
      <c r="H6186" s="123"/>
    </row>
    <row r="6187" spans="3:8" s="99" customFormat="1" x14ac:dyDescent="0.2">
      <c r="C6187" s="198"/>
      <c r="D6187" s="198"/>
      <c r="E6187" s="537"/>
      <c r="G6187" s="198"/>
      <c r="H6187" s="123"/>
    </row>
    <row r="6188" spans="3:8" s="99" customFormat="1" x14ac:dyDescent="0.2">
      <c r="C6188" s="198"/>
      <c r="D6188" s="198"/>
      <c r="E6188" s="537"/>
      <c r="G6188" s="198"/>
      <c r="H6188" s="123"/>
    </row>
    <row r="6189" spans="3:8" s="99" customFormat="1" x14ac:dyDescent="0.2">
      <c r="C6189" s="198"/>
      <c r="D6189" s="198"/>
      <c r="E6189" s="537"/>
      <c r="G6189" s="198"/>
      <c r="H6189" s="123"/>
    </row>
    <row r="6190" spans="3:8" s="99" customFormat="1" x14ac:dyDescent="0.2">
      <c r="C6190" s="198"/>
      <c r="D6190" s="198"/>
      <c r="E6190" s="537"/>
      <c r="G6190" s="198"/>
      <c r="H6190" s="123"/>
    </row>
    <row r="6191" spans="3:8" s="99" customFormat="1" x14ac:dyDescent="0.2">
      <c r="C6191" s="198"/>
      <c r="D6191" s="198"/>
      <c r="E6191" s="537"/>
      <c r="G6191" s="198"/>
      <c r="H6191" s="123"/>
    </row>
    <row r="6192" spans="3:8" s="99" customFormat="1" x14ac:dyDescent="0.2">
      <c r="C6192" s="198"/>
      <c r="D6192" s="198"/>
      <c r="E6192" s="537"/>
      <c r="G6192" s="198"/>
      <c r="H6192" s="123"/>
    </row>
    <row r="6193" spans="3:8" s="99" customFormat="1" x14ac:dyDescent="0.2">
      <c r="C6193" s="198"/>
      <c r="D6193" s="198"/>
      <c r="E6193" s="537"/>
      <c r="G6193" s="198"/>
      <c r="H6193" s="123"/>
    </row>
    <row r="6194" spans="3:8" s="99" customFormat="1" x14ac:dyDescent="0.2">
      <c r="C6194" s="198"/>
      <c r="D6194" s="198"/>
      <c r="E6194" s="537"/>
      <c r="G6194" s="198"/>
      <c r="H6194" s="123"/>
    </row>
    <row r="6195" spans="3:8" s="99" customFormat="1" x14ac:dyDescent="0.2">
      <c r="C6195" s="198"/>
      <c r="D6195" s="198"/>
      <c r="E6195" s="537"/>
      <c r="G6195" s="198"/>
      <c r="H6195" s="123"/>
    </row>
    <row r="6196" spans="3:8" s="99" customFormat="1" x14ac:dyDescent="0.2">
      <c r="C6196" s="198"/>
      <c r="D6196" s="198"/>
      <c r="E6196" s="537"/>
      <c r="G6196" s="198"/>
      <c r="H6196" s="123"/>
    </row>
    <row r="6197" spans="3:8" s="99" customFormat="1" x14ac:dyDescent="0.2">
      <c r="C6197" s="198"/>
      <c r="D6197" s="198"/>
      <c r="E6197" s="537"/>
      <c r="G6197" s="198"/>
      <c r="H6197" s="123"/>
    </row>
    <row r="6198" spans="3:8" s="99" customFormat="1" x14ac:dyDescent="0.2">
      <c r="C6198" s="198"/>
      <c r="D6198" s="198"/>
      <c r="E6198" s="537"/>
      <c r="G6198" s="198"/>
      <c r="H6198" s="123"/>
    </row>
    <row r="6199" spans="3:8" s="99" customFormat="1" x14ac:dyDescent="0.2">
      <c r="C6199" s="198"/>
      <c r="D6199" s="198"/>
      <c r="E6199" s="537"/>
      <c r="G6199" s="198"/>
      <c r="H6199" s="123"/>
    </row>
    <row r="6200" spans="3:8" s="99" customFormat="1" x14ac:dyDescent="0.2">
      <c r="C6200" s="198"/>
      <c r="D6200" s="198"/>
      <c r="E6200" s="537"/>
      <c r="G6200" s="198"/>
      <c r="H6200" s="123"/>
    </row>
    <row r="6201" spans="3:8" s="99" customFormat="1" x14ac:dyDescent="0.2">
      <c r="C6201" s="198"/>
      <c r="D6201" s="198"/>
      <c r="E6201" s="537"/>
      <c r="G6201" s="198"/>
      <c r="H6201" s="123"/>
    </row>
    <row r="6202" spans="3:8" s="99" customFormat="1" x14ac:dyDescent="0.2">
      <c r="C6202" s="198"/>
      <c r="D6202" s="198"/>
      <c r="E6202" s="537"/>
      <c r="G6202" s="198"/>
      <c r="H6202" s="123"/>
    </row>
    <row r="6203" spans="3:8" s="99" customFormat="1" x14ac:dyDescent="0.2">
      <c r="C6203" s="198"/>
      <c r="D6203" s="198"/>
      <c r="E6203" s="537"/>
      <c r="G6203" s="198"/>
      <c r="H6203" s="123"/>
    </row>
    <row r="6204" spans="3:8" s="99" customFormat="1" x14ac:dyDescent="0.2">
      <c r="C6204" s="198"/>
      <c r="D6204" s="198"/>
      <c r="E6204" s="537"/>
      <c r="G6204" s="198"/>
      <c r="H6204" s="123"/>
    </row>
    <row r="6205" spans="3:8" s="99" customFormat="1" x14ac:dyDescent="0.2">
      <c r="C6205" s="198"/>
      <c r="D6205" s="198"/>
      <c r="E6205" s="537"/>
      <c r="G6205" s="198"/>
      <c r="H6205" s="123"/>
    </row>
    <row r="6206" spans="3:8" s="99" customFormat="1" x14ac:dyDescent="0.2">
      <c r="C6206" s="198"/>
      <c r="D6206" s="198"/>
      <c r="E6206" s="537"/>
      <c r="G6206" s="198"/>
      <c r="H6206" s="123"/>
    </row>
    <row r="6207" spans="3:8" s="99" customFormat="1" x14ac:dyDescent="0.2">
      <c r="C6207" s="198"/>
      <c r="D6207" s="198"/>
      <c r="E6207" s="537"/>
      <c r="G6207" s="198"/>
      <c r="H6207" s="123"/>
    </row>
    <row r="6208" spans="3:8" s="99" customFormat="1" x14ac:dyDescent="0.2">
      <c r="C6208" s="198"/>
      <c r="D6208" s="198"/>
      <c r="E6208" s="537"/>
      <c r="G6208" s="198"/>
      <c r="H6208" s="123"/>
    </row>
    <row r="6209" spans="3:8" s="99" customFormat="1" x14ac:dyDescent="0.2">
      <c r="C6209" s="198"/>
      <c r="D6209" s="198"/>
      <c r="E6209" s="537"/>
      <c r="G6209" s="198"/>
      <c r="H6209" s="123"/>
    </row>
    <row r="6210" spans="3:8" s="99" customFormat="1" x14ac:dyDescent="0.2">
      <c r="C6210" s="198"/>
      <c r="D6210" s="198"/>
      <c r="E6210" s="537"/>
      <c r="G6210" s="198"/>
      <c r="H6210" s="123"/>
    </row>
    <row r="6211" spans="3:8" s="99" customFormat="1" x14ac:dyDescent="0.2">
      <c r="C6211" s="198"/>
      <c r="D6211" s="198"/>
      <c r="E6211" s="537"/>
      <c r="G6211" s="198"/>
      <c r="H6211" s="123"/>
    </row>
    <row r="6212" spans="3:8" s="99" customFormat="1" x14ac:dyDescent="0.2">
      <c r="C6212" s="198"/>
      <c r="D6212" s="198"/>
      <c r="E6212" s="537"/>
      <c r="G6212" s="198"/>
      <c r="H6212" s="123"/>
    </row>
    <row r="6213" spans="3:8" s="99" customFormat="1" x14ac:dyDescent="0.2">
      <c r="C6213" s="198"/>
      <c r="D6213" s="198"/>
      <c r="E6213" s="537"/>
      <c r="G6213" s="198"/>
      <c r="H6213" s="123"/>
    </row>
    <row r="6214" spans="3:8" s="99" customFormat="1" x14ac:dyDescent="0.2">
      <c r="C6214" s="198"/>
      <c r="D6214" s="198"/>
      <c r="E6214" s="537"/>
      <c r="G6214" s="198"/>
      <c r="H6214" s="123"/>
    </row>
    <row r="6215" spans="3:8" s="99" customFormat="1" x14ac:dyDescent="0.2">
      <c r="C6215" s="198"/>
      <c r="D6215" s="198"/>
      <c r="E6215" s="537"/>
      <c r="G6215" s="198"/>
      <c r="H6215" s="123"/>
    </row>
    <row r="6216" spans="3:8" s="99" customFormat="1" x14ac:dyDescent="0.2">
      <c r="C6216" s="198"/>
      <c r="D6216" s="198"/>
      <c r="E6216" s="537"/>
      <c r="G6216" s="198"/>
      <c r="H6216" s="123"/>
    </row>
    <row r="6217" spans="3:8" s="99" customFormat="1" x14ac:dyDescent="0.2">
      <c r="C6217" s="198"/>
      <c r="D6217" s="198"/>
      <c r="E6217" s="537"/>
      <c r="G6217" s="198"/>
      <c r="H6217" s="123"/>
    </row>
    <row r="6218" spans="3:8" s="99" customFormat="1" x14ac:dyDescent="0.2">
      <c r="C6218" s="198"/>
      <c r="D6218" s="198"/>
      <c r="E6218" s="537"/>
      <c r="G6218" s="198"/>
      <c r="H6218" s="123"/>
    </row>
    <row r="6219" spans="3:8" s="99" customFormat="1" x14ac:dyDescent="0.2">
      <c r="C6219" s="198"/>
      <c r="D6219" s="198"/>
      <c r="E6219" s="537"/>
      <c r="G6219" s="198"/>
      <c r="H6219" s="123"/>
    </row>
    <row r="6220" spans="3:8" s="99" customFormat="1" x14ac:dyDescent="0.2">
      <c r="C6220" s="198"/>
      <c r="D6220" s="198"/>
      <c r="E6220" s="537"/>
      <c r="G6220" s="198"/>
      <c r="H6220" s="123"/>
    </row>
    <row r="6221" spans="3:8" s="99" customFormat="1" x14ac:dyDescent="0.2">
      <c r="C6221" s="198"/>
      <c r="D6221" s="198"/>
      <c r="E6221" s="537"/>
      <c r="G6221" s="198"/>
      <c r="H6221" s="123"/>
    </row>
    <row r="6222" spans="3:8" s="99" customFormat="1" x14ac:dyDescent="0.2">
      <c r="C6222" s="198"/>
      <c r="D6222" s="198"/>
      <c r="E6222" s="537"/>
      <c r="G6222" s="198"/>
      <c r="H6222" s="123"/>
    </row>
    <row r="6223" spans="3:8" s="99" customFormat="1" x14ac:dyDescent="0.2">
      <c r="C6223" s="198"/>
      <c r="D6223" s="198"/>
      <c r="E6223" s="537"/>
      <c r="G6223" s="198"/>
      <c r="H6223" s="123"/>
    </row>
    <row r="6224" spans="3:8" s="99" customFormat="1" x14ac:dyDescent="0.2">
      <c r="C6224" s="198"/>
      <c r="D6224" s="198"/>
      <c r="E6224" s="537"/>
      <c r="G6224" s="198"/>
      <c r="H6224" s="123"/>
    </row>
    <row r="6225" spans="3:8" s="99" customFormat="1" x14ac:dyDescent="0.2">
      <c r="C6225" s="198"/>
      <c r="D6225" s="198"/>
      <c r="E6225" s="537"/>
      <c r="G6225" s="198"/>
      <c r="H6225" s="123"/>
    </row>
    <row r="6226" spans="3:8" s="99" customFormat="1" x14ac:dyDescent="0.2">
      <c r="C6226" s="198"/>
      <c r="D6226" s="198"/>
      <c r="E6226" s="537"/>
      <c r="G6226" s="198"/>
      <c r="H6226" s="123"/>
    </row>
    <row r="6227" spans="3:8" s="99" customFormat="1" x14ac:dyDescent="0.2">
      <c r="C6227" s="198"/>
      <c r="D6227" s="198"/>
      <c r="E6227" s="537"/>
      <c r="G6227" s="198"/>
      <c r="H6227" s="123"/>
    </row>
    <row r="6228" spans="3:8" s="99" customFormat="1" x14ac:dyDescent="0.2">
      <c r="C6228" s="198"/>
      <c r="D6228" s="198"/>
      <c r="E6228" s="537"/>
      <c r="G6228" s="198"/>
      <c r="H6228" s="123"/>
    </row>
    <row r="6229" spans="3:8" s="99" customFormat="1" x14ac:dyDescent="0.2">
      <c r="C6229" s="198"/>
      <c r="D6229" s="198"/>
      <c r="E6229" s="537"/>
      <c r="G6229" s="198"/>
      <c r="H6229" s="123"/>
    </row>
    <row r="6230" spans="3:8" s="99" customFormat="1" x14ac:dyDescent="0.2">
      <c r="C6230" s="198"/>
      <c r="D6230" s="198"/>
      <c r="E6230" s="537"/>
      <c r="G6230" s="198"/>
      <c r="H6230" s="123"/>
    </row>
    <row r="6231" spans="3:8" s="99" customFormat="1" x14ac:dyDescent="0.2">
      <c r="C6231" s="198"/>
      <c r="D6231" s="198"/>
      <c r="E6231" s="537"/>
      <c r="G6231" s="198"/>
      <c r="H6231" s="123"/>
    </row>
    <row r="6232" spans="3:8" s="99" customFormat="1" x14ac:dyDescent="0.2">
      <c r="C6232" s="198"/>
      <c r="D6232" s="198"/>
      <c r="E6232" s="537"/>
      <c r="G6232" s="198"/>
      <c r="H6232" s="123"/>
    </row>
    <row r="6233" spans="3:8" s="99" customFormat="1" x14ac:dyDescent="0.2">
      <c r="C6233" s="198"/>
      <c r="D6233" s="198"/>
      <c r="E6233" s="537"/>
      <c r="G6233" s="198"/>
      <c r="H6233" s="123"/>
    </row>
    <row r="6234" spans="3:8" s="99" customFormat="1" x14ac:dyDescent="0.2">
      <c r="C6234" s="198"/>
      <c r="D6234" s="198"/>
      <c r="E6234" s="537"/>
      <c r="G6234" s="198"/>
      <c r="H6234" s="123"/>
    </row>
    <row r="6235" spans="3:8" s="99" customFormat="1" x14ac:dyDescent="0.2">
      <c r="C6235" s="198"/>
      <c r="D6235" s="198"/>
      <c r="E6235" s="537"/>
      <c r="G6235" s="198"/>
      <c r="H6235" s="123"/>
    </row>
    <row r="6236" spans="3:8" s="99" customFormat="1" x14ac:dyDescent="0.2">
      <c r="C6236" s="198"/>
      <c r="D6236" s="198"/>
      <c r="E6236" s="537"/>
      <c r="G6236" s="198"/>
      <c r="H6236" s="123"/>
    </row>
    <row r="6237" spans="3:8" s="99" customFormat="1" x14ac:dyDescent="0.2">
      <c r="C6237" s="198"/>
      <c r="D6237" s="198"/>
      <c r="E6237" s="537"/>
      <c r="G6237" s="198"/>
      <c r="H6237" s="123"/>
    </row>
    <row r="6238" spans="3:8" s="99" customFormat="1" x14ac:dyDescent="0.2">
      <c r="C6238" s="198"/>
      <c r="D6238" s="198"/>
      <c r="E6238" s="537"/>
      <c r="G6238" s="198"/>
      <c r="H6238" s="123"/>
    </row>
    <row r="6239" spans="3:8" s="99" customFormat="1" x14ac:dyDescent="0.2">
      <c r="C6239" s="198"/>
      <c r="D6239" s="198"/>
      <c r="E6239" s="537"/>
      <c r="G6239" s="198"/>
      <c r="H6239" s="123"/>
    </row>
    <row r="6240" spans="3:8" s="99" customFormat="1" x14ac:dyDescent="0.2">
      <c r="C6240" s="198"/>
      <c r="D6240" s="198"/>
      <c r="E6240" s="537"/>
      <c r="G6240" s="198"/>
      <c r="H6240" s="123"/>
    </row>
    <row r="6241" spans="3:8" s="99" customFormat="1" x14ac:dyDescent="0.2">
      <c r="C6241" s="198"/>
      <c r="D6241" s="198"/>
      <c r="E6241" s="537"/>
      <c r="G6241" s="198"/>
      <c r="H6241" s="123"/>
    </row>
    <row r="6242" spans="3:8" s="99" customFormat="1" x14ac:dyDescent="0.2">
      <c r="C6242" s="198"/>
      <c r="D6242" s="198"/>
      <c r="E6242" s="537"/>
      <c r="G6242" s="198"/>
      <c r="H6242" s="123"/>
    </row>
    <row r="6243" spans="3:8" s="99" customFormat="1" x14ac:dyDescent="0.2">
      <c r="C6243" s="198"/>
      <c r="D6243" s="198"/>
      <c r="E6243" s="537"/>
      <c r="G6243" s="198"/>
      <c r="H6243" s="123"/>
    </row>
    <row r="6244" spans="3:8" s="99" customFormat="1" x14ac:dyDescent="0.2">
      <c r="C6244" s="198"/>
      <c r="D6244" s="198"/>
      <c r="E6244" s="537"/>
      <c r="G6244" s="198"/>
      <c r="H6244" s="123"/>
    </row>
    <row r="6245" spans="3:8" s="99" customFormat="1" x14ac:dyDescent="0.2">
      <c r="C6245" s="198"/>
      <c r="D6245" s="198"/>
      <c r="E6245" s="537"/>
      <c r="G6245" s="198"/>
      <c r="H6245" s="123"/>
    </row>
    <row r="6246" spans="3:8" s="99" customFormat="1" x14ac:dyDescent="0.2">
      <c r="C6246" s="198"/>
      <c r="D6246" s="198"/>
      <c r="E6246" s="537"/>
      <c r="G6246" s="198"/>
      <c r="H6246" s="123"/>
    </row>
    <row r="6247" spans="3:8" s="99" customFormat="1" x14ac:dyDescent="0.2">
      <c r="C6247" s="198"/>
      <c r="D6247" s="198"/>
      <c r="E6247" s="537"/>
      <c r="G6247" s="198"/>
      <c r="H6247" s="123"/>
    </row>
    <row r="6248" spans="3:8" s="99" customFormat="1" x14ac:dyDescent="0.2">
      <c r="C6248" s="198"/>
      <c r="D6248" s="198"/>
      <c r="E6248" s="537"/>
      <c r="G6248" s="198"/>
      <c r="H6248" s="123"/>
    </row>
    <row r="6249" spans="3:8" s="99" customFormat="1" x14ac:dyDescent="0.2">
      <c r="C6249" s="198"/>
      <c r="D6249" s="198"/>
      <c r="E6249" s="537"/>
      <c r="G6249" s="198"/>
      <c r="H6249" s="123"/>
    </row>
    <row r="6250" spans="3:8" s="99" customFormat="1" x14ac:dyDescent="0.2">
      <c r="C6250" s="198"/>
      <c r="D6250" s="198"/>
      <c r="E6250" s="537"/>
      <c r="G6250" s="198"/>
      <c r="H6250" s="123"/>
    </row>
    <row r="6251" spans="3:8" s="99" customFormat="1" x14ac:dyDescent="0.2">
      <c r="C6251" s="198"/>
      <c r="D6251" s="198"/>
      <c r="E6251" s="537"/>
      <c r="G6251" s="198"/>
      <c r="H6251" s="123"/>
    </row>
    <row r="6252" spans="3:8" s="99" customFormat="1" x14ac:dyDescent="0.2">
      <c r="C6252" s="198"/>
      <c r="D6252" s="198"/>
      <c r="E6252" s="537"/>
      <c r="G6252" s="198"/>
      <c r="H6252" s="123"/>
    </row>
    <row r="6253" spans="3:8" s="99" customFormat="1" x14ac:dyDescent="0.2">
      <c r="C6253" s="198"/>
      <c r="D6253" s="198"/>
      <c r="E6253" s="537"/>
      <c r="G6253" s="198"/>
      <c r="H6253" s="123"/>
    </row>
    <row r="6254" spans="3:8" s="99" customFormat="1" x14ac:dyDescent="0.2">
      <c r="C6254" s="198"/>
      <c r="D6254" s="198"/>
      <c r="E6254" s="537"/>
      <c r="G6254" s="198"/>
      <c r="H6254" s="123"/>
    </row>
    <row r="6255" spans="3:8" s="99" customFormat="1" x14ac:dyDescent="0.2">
      <c r="C6255" s="198"/>
      <c r="D6255" s="198"/>
      <c r="E6255" s="537"/>
      <c r="G6255" s="198"/>
      <c r="H6255" s="123"/>
    </row>
    <row r="6256" spans="3:8" s="99" customFormat="1" x14ac:dyDescent="0.2">
      <c r="C6256" s="198"/>
      <c r="D6256" s="198"/>
      <c r="E6256" s="537"/>
      <c r="G6256" s="198"/>
      <c r="H6256" s="123"/>
    </row>
    <row r="6257" spans="3:8" s="99" customFormat="1" x14ac:dyDescent="0.2">
      <c r="C6257" s="198"/>
      <c r="D6257" s="198"/>
      <c r="E6257" s="537"/>
      <c r="G6257" s="198"/>
      <c r="H6257" s="123"/>
    </row>
    <row r="6258" spans="3:8" s="99" customFormat="1" x14ac:dyDescent="0.2">
      <c r="C6258" s="198"/>
      <c r="D6258" s="198"/>
      <c r="E6258" s="537"/>
      <c r="G6258" s="198"/>
      <c r="H6258" s="123"/>
    </row>
    <row r="6259" spans="3:8" s="99" customFormat="1" x14ac:dyDescent="0.2">
      <c r="C6259" s="198"/>
      <c r="D6259" s="198"/>
      <c r="E6259" s="537"/>
      <c r="G6259" s="198"/>
      <c r="H6259" s="123"/>
    </row>
    <row r="6260" spans="3:8" s="99" customFormat="1" x14ac:dyDescent="0.2">
      <c r="C6260" s="198"/>
      <c r="D6260" s="198"/>
      <c r="E6260" s="537"/>
      <c r="G6260" s="198"/>
      <c r="H6260" s="123"/>
    </row>
    <row r="6261" spans="3:8" s="99" customFormat="1" x14ac:dyDescent="0.2">
      <c r="C6261" s="198"/>
      <c r="D6261" s="198"/>
      <c r="E6261" s="537"/>
      <c r="G6261" s="198"/>
      <c r="H6261" s="123"/>
    </row>
    <row r="6262" spans="3:8" s="99" customFormat="1" x14ac:dyDescent="0.2">
      <c r="C6262" s="198"/>
      <c r="D6262" s="198"/>
      <c r="E6262" s="537"/>
      <c r="G6262" s="198"/>
      <c r="H6262" s="123"/>
    </row>
    <row r="6263" spans="3:8" s="99" customFormat="1" x14ac:dyDescent="0.2">
      <c r="C6263" s="198"/>
      <c r="D6263" s="198"/>
      <c r="E6263" s="537"/>
      <c r="G6263" s="198"/>
      <c r="H6263" s="123"/>
    </row>
    <row r="6264" spans="3:8" s="99" customFormat="1" x14ac:dyDescent="0.2">
      <c r="C6264" s="198"/>
      <c r="D6264" s="198"/>
      <c r="E6264" s="537"/>
      <c r="G6264" s="198"/>
      <c r="H6264" s="123"/>
    </row>
    <row r="6265" spans="3:8" s="99" customFormat="1" x14ac:dyDescent="0.2">
      <c r="C6265" s="198"/>
      <c r="D6265" s="198"/>
      <c r="E6265" s="537"/>
      <c r="G6265" s="198"/>
      <c r="H6265" s="123"/>
    </row>
    <row r="6266" spans="3:8" s="99" customFormat="1" x14ac:dyDescent="0.2">
      <c r="C6266" s="198"/>
      <c r="D6266" s="198"/>
      <c r="E6266" s="537"/>
      <c r="G6266" s="198"/>
      <c r="H6266" s="123"/>
    </row>
    <row r="6267" spans="3:8" s="99" customFormat="1" x14ac:dyDescent="0.2">
      <c r="C6267" s="198"/>
      <c r="D6267" s="198"/>
      <c r="E6267" s="537"/>
      <c r="G6267" s="198"/>
      <c r="H6267" s="123"/>
    </row>
    <row r="6268" spans="3:8" s="99" customFormat="1" x14ac:dyDescent="0.2">
      <c r="C6268" s="198"/>
      <c r="D6268" s="198"/>
      <c r="E6268" s="537"/>
      <c r="G6268" s="198"/>
      <c r="H6268" s="123"/>
    </row>
    <row r="6269" spans="3:8" s="99" customFormat="1" x14ac:dyDescent="0.2">
      <c r="C6269" s="198"/>
      <c r="D6269" s="198"/>
      <c r="E6269" s="537"/>
      <c r="G6269" s="198"/>
      <c r="H6269" s="123"/>
    </row>
    <row r="6270" spans="3:8" s="99" customFormat="1" x14ac:dyDescent="0.2">
      <c r="C6270" s="198"/>
      <c r="D6270" s="198"/>
      <c r="E6270" s="537"/>
      <c r="G6270" s="198"/>
      <c r="H6270" s="123"/>
    </row>
    <row r="6271" spans="3:8" s="99" customFormat="1" x14ac:dyDescent="0.2">
      <c r="C6271" s="198"/>
      <c r="D6271" s="198"/>
      <c r="E6271" s="537"/>
      <c r="G6271" s="198"/>
      <c r="H6271" s="123"/>
    </row>
    <row r="6272" spans="3:8" s="99" customFormat="1" x14ac:dyDescent="0.2">
      <c r="C6272" s="198"/>
      <c r="D6272" s="198"/>
      <c r="E6272" s="537"/>
      <c r="G6272" s="198"/>
      <c r="H6272" s="123"/>
    </row>
    <row r="6273" spans="3:8" s="99" customFormat="1" x14ac:dyDescent="0.2">
      <c r="C6273" s="198"/>
      <c r="D6273" s="198"/>
      <c r="E6273" s="537"/>
      <c r="G6273" s="198"/>
      <c r="H6273" s="123"/>
    </row>
    <row r="6274" spans="3:8" s="99" customFormat="1" x14ac:dyDescent="0.2">
      <c r="C6274" s="198"/>
      <c r="D6274" s="198"/>
      <c r="E6274" s="537"/>
      <c r="G6274" s="198"/>
      <c r="H6274" s="123"/>
    </row>
    <row r="6275" spans="3:8" s="99" customFormat="1" x14ac:dyDescent="0.2">
      <c r="C6275" s="198"/>
      <c r="D6275" s="198"/>
      <c r="E6275" s="537"/>
      <c r="G6275" s="198"/>
      <c r="H6275" s="123"/>
    </row>
    <row r="6276" spans="3:8" s="99" customFormat="1" x14ac:dyDescent="0.2">
      <c r="C6276" s="198"/>
      <c r="D6276" s="198"/>
      <c r="E6276" s="537"/>
      <c r="G6276" s="198"/>
      <c r="H6276" s="123"/>
    </row>
    <row r="6277" spans="3:8" s="99" customFormat="1" x14ac:dyDescent="0.2">
      <c r="C6277" s="198"/>
      <c r="D6277" s="198"/>
      <c r="E6277" s="537"/>
      <c r="G6277" s="198"/>
      <c r="H6277" s="123"/>
    </row>
    <row r="6278" spans="3:8" s="99" customFormat="1" x14ac:dyDescent="0.2">
      <c r="C6278" s="198"/>
      <c r="D6278" s="198"/>
      <c r="E6278" s="537"/>
      <c r="G6278" s="198"/>
      <c r="H6278" s="123"/>
    </row>
    <row r="6279" spans="3:8" s="99" customFormat="1" x14ac:dyDescent="0.2">
      <c r="C6279" s="198"/>
      <c r="D6279" s="198"/>
      <c r="E6279" s="537"/>
      <c r="G6279" s="198"/>
      <c r="H6279" s="123"/>
    </row>
    <row r="6280" spans="3:8" s="99" customFormat="1" x14ac:dyDescent="0.2">
      <c r="C6280" s="198"/>
      <c r="D6280" s="198"/>
      <c r="E6280" s="537"/>
      <c r="G6280" s="198"/>
      <c r="H6280" s="123"/>
    </row>
    <row r="6281" spans="3:8" s="99" customFormat="1" x14ac:dyDescent="0.2">
      <c r="C6281" s="198"/>
      <c r="D6281" s="198"/>
      <c r="E6281" s="537"/>
      <c r="G6281" s="198"/>
      <c r="H6281" s="123"/>
    </row>
    <row r="6282" spans="3:8" s="99" customFormat="1" x14ac:dyDescent="0.2">
      <c r="C6282" s="198"/>
      <c r="D6282" s="198"/>
      <c r="E6282" s="537"/>
      <c r="G6282" s="198"/>
      <c r="H6282" s="123"/>
    </row>
    <row r="6283" spans="3:8" s="99" customFormat="1" x14ac:dyDescent="0.2">
      <c r="C6283" s="198"/>
      <c r="D6283" s="198"/>
      <c r="E6283" s="537"/>
      <c r="G6283" s="198"/>
      <c r="H6283" s="123"/>
    </row>
    <row r="6284" spans="3:8" s="99" customFormat="1" x14ac:dyDescent="0.2">
      <c r="C6284" s="198"/>
      <c r="D6284" s="198"/>
      <c r="E6284" s="537"/>
      <c r="G6284" s="198"/>
      <c r="H6284" s="123"/>
    </row>
    <row r="6285" spans="3:8" s="99" customFormat="1" x14ac:dyDescent="0.2">
      <c r="C6285" s="198"/>
      <c r="D6285" s="198"/>
      <c r="E6285" s="537"/>
      <c r="G6285" s="198"/>
      <c r="H6285" s="123"/>
    </row>
    <row r="6286" spans="3:8" s="99" customFormat="1" x14ac:dyDescent="0.2">
      <c r="C6286" s="198"/>
      <c r="D6286" s="198"/>
      <c r="E6286" s="537"/>
      <c r="G6286" s="198"/>
      <c r="H6286" s="123"/>
    </row>
    <row r="6287" spans="3:8" s="99" customFormat="1" x14ac:dyDescent="0.2">
      <c r="C6287" s="198"/>
      <c r="D6287" s="198"/>
      <c r="E6287" s="537"/>
      <c r="G6287" s="198"/>
      <c r="H6287" s="123"/>
    </row>
    <row r="6288" spans="3:8" s="99" customFormat="1" x14ac:dyDescent="0.2">
      <c r="C6288" s="198"/>
      <c r="D6288" s="198"/>
      <c r="E6288" s="537"/>
      <c r="G6288" s="198"/>
      <c r="H6288" s="123"/>
    </row>
    <row r="6289" spans="3:8" s="99" customFormat="1" x14ac:dyDescent="0.2">
      <c r="C6289" s="198"/>
      <c r="D6289" s="198"/>
      <c r="E6289" s="537"/>
      <c r="G6289" s="198"/>
      <c r="H6289" s="123"/>
    </row>
    <row r="6290" spans="3:8" s="99" customFormat="1" x14ac:dyDescent="0.2">
      <c r="C6290" s="198"/>
      <c r="D6290" s="198"/>
      <c r="E6290" s="537"/>
      <c r="G6290" s="198"/>
      <c r="H6290" s="123"/>
    </row>
    <row r="6291" spans="3:8" s="99" customFormat="1" x14ac:dyDescent="0.2">
      <c r="C6291" s="198"/>
      <c r="D6291" s="198"/>
      <c r="E6291" s="537"/>
      <c r="G6291" s="198"/>
      <c r="H6291" s="123"/>
    </row>
    <row r="6292" spans="3:8" s="99" customFormat="1" x14ac:dyDescent="0.2">
      <c r="C6292" s="198"/>
      <c r="D6292" s="198"/>
      <c r="E6292" s="537"/>
      <c r="G6292" s="198"/>
      <c r="H6292" s="123"/>
    </row>
    <row r="6293" spans="3:8" s="99" customFormat="1" x14ac:dyDescent="0.2">
      <c r="C6293" s="198"/>
      <c r="D6293" s="198"/>
      <c r="E6293" s="537"/>
      <c r="G6293" s="198"/>
      <c r="H6293" s="123"/>
    </row>
    <row r="6294" spans="3:8" s="99" customFormat="1" x14ac:dyDescent="0.2">
      <c r="C6294" s="198"/>
      <c r="D6294" s="198"/>
      <c r="E6294" s="537"/>
      <c r="G6294" s="198"/>
      <c r="H6294" s="123"/>
    </row>
    <row r="6295" spans="3:8" s="99" customFormat="1" x14ac:dyDescent="0.2">
      <c r="C6295" s="198"/>
      <c r="D6295" s="198"/>
      <c r="E6295" s="537"/>
      <c r="G6295" s="198"/>
      <c r="H6295" s="123"/>
    </row>
    <row r="6296" spans="3:8" s="99" customFormat="1" x14ac:dyDescent="0.2">
      <c r="C6296" s="198"/>
      <c r="D6296" s="198"/>
      <c r="E6296" s="537"/>
      <c r="G6296" s="198"/>
      <c r="H6296" s="123"/>
    </row>
    <row r="6297" spans="3:8" s="99" customFormat="1" x14ac:dyDescent="0.2">
      <c r="C6297" s="198"/>
      <c r="D6297" s="198"/>
      <c r="E6297" s="537"/>
      <c r="G6297" s="198"/>
      <c r="H6297" s="123"/>
    </row>
    <row r="6298" spans="3:8" s="99" customFormat="1" x14ac:dyDescent="0.2">
      <c r="C6298" s="198"/>
      <c r="D6298" s="198"/>
      <c r="E6298" s="537"/>
      <c r="G6298" s="198"/>
      <c r="H6298" s="123"/>
    </row>
    <row r="6299" spans="3:8" s="99" customFormat="1" x14ac:dyDescent="0.2">
      <c r="C6299" s="198"/>
      <c r="D6299" s="198"/>
      <c r="E6299" s="537"/>
      <c r="G6299" s="198"/>
      <c r="H6299" s="123"/>
    </row>
    <row r="6300" spans="3:8" s="99" customFormat="1" x14ac:dyDescent="0.2">
      <c r="C6300" s="198"/>
      <c r="D6300" s="198"/>
      <c r="E6300" s="537"/>
      <c r="G6300" s="198"/>
      <c r="H6300" s="123"/>
    </row>
    <row r="6301" spans="3:8" s="99" customFormat="1" x14ac:dyDescent="0.2">
      <c r="C6301" s="198"/>
      <c r="D6301" s="198"/>
      <c r="E6301" s="537"/>
      <c r="G6301" s="198"/>
      <c r="H6301" s="123"/>
    </row>
    <row r="6302" spans="3:8" s="99" customFormat="1" x14ac:dyDescent="0.2">
      <c r="C6302" s="198"/>
      <c r="D6302" s="198"/>
      <c r="E6302" s="537"/>
      <c r="G6302" s="198"/>
      <c r="H6302" s="123"/>
    </row>
    <row r="6303" spans="3:8" s="99" customFormat="1" x14ac:dyDescent="0.2">
      <c r="C6303" s="198"/>
      <c r="D6303" s="198"/>
      <c r="E6303" s="537"/>
      <c r="G6303" s="198"/>
      <c r="H6303" s="123"/>
    </row>
    <row r="6304" spans="3:8" s="99" customFormat="1" x14ac:dyDescent="0.2">
      <c r="C6304" s="198"/>
      <c r="D6304" s="198"/>
      <c r="E6304" s="537"/>
      <c r="G6304" s="198"/>
      <c r="H6304" s="123"/>
    </row>
    <row r="6305" spans="3:8" s="99" customFormat="1" x14ac:dyDescent="0.2">
      <c r="C6305" s="198"/>
      <c r="D6305" s="198"/>
      <c r="E6305" s="537"/>
      <c r="G6305" s="198"/>
      <c r="H6305" s="123"/>
    </row>
    <row r="6306" spans="3:8" s="99" customFormat="1" x14ac:dyDescent="0.2">
      <c r="C6306" s="198"/>
      <c r="D6306" s="198"/>
      <c r="E6306" s="537"/>
      <c r="G6306" s="198"/>
      <c r="H6306" s="123"/>
    </row>
    <row r="6307" spans="3:8" s="99" customFormat="1" x14ac:dyDescent="0.2">
      <c r="C6307" s="198"/>
      <c r="D6307" s="198"/>
      <c r="E6307" s="537"/>
      <c r="G6307" s="198"/>
      <c r="H6307" s="123"/>
    </row>
    <row r="6308" spans="3:8" s="99" customFormat="1" x14ac:dyDescent="0.2">
      <c r="C6308" s="198"/>
      <c r="D6308" s="198"/>
      <c r="E6308" s="537"/>
      <c r="G6308" s="198"/>
      <c r="H6308" s="123"/>
    </row>
    <row r="6309" spans="3:8" s="99" customFormat="1" x14ac:dyDescent="0.2">
      <c r="C6309" s="198"/>
      <c r="D6309" s="198"/>
      <c r="E6309" s="537"/>
      <c r="G6309" s="198"/>
      <c r="H6309" s="123"/>
    </row>
    <row r="6310" spans="3:8" s="99" customFormat="1" x14ac:dyDescent="0.2">
      <c r="C6310" s="198"/>
      <c r="D6310" s="198"/>
      <c r="E6310" s="537"/>
      <c r="G6310" s="198"/>
      <c r="H6310" s="123"/>
    </row>
    <row r="6311" spans="3:8" s="99" customFormat="1" x14ac:dyDescent="0.2">
      <c r="C6311" s="198"/>
      <c r="D6311" s="198"/>
      <c r="E6311" s="537"/>
      <c r="G6311" s="198"/>
      <c r="H6311" s="123"/>
    </row>
    <row r="6312" spans="3:8" s="99" customFormat="1" x14ac:dyDescent="0.2">
      <c r="C6312" s="198"/>
      <c r="D6312" s="198"/>
      <c r="E6312" s="537"/>
      <c r="G6312" s="198"/>
      <c r="H6312" s="123"/>
    </row>
    <row r="6313" spans="3:8" s="99" customFormat="1" x14ac:dyDescent="0.2">
      <c r="C6313" s="198"/>
      <c r="D6313" s="198"/>
      <c r="E6313" s="537"/>
      <c r="G6313" s="198"/>
      <c r="H6313" s="123"/>
    </row>
    <row r="6314" spans="3:8" s="99" customFormat="1" x14ac:dyDescent="0.2">
      <c r="C6314" s="198"/>
      <c r="D6314" s="198"/>
      <c r="E6314" s="537"/>
      <c r="G6314" s="198"/>
      <c r="H6314" s="123"/>
    </row>
    <row r="6315" spans="3:8" s="99" customFormat="1" x14ac:dyDescent="0.2">
      <c r="C6315" s="198"/>
      <c r="D6315" s="198"/>
      <c r="E6315" s="537"/>
      <c r="G6315" s="198"/>
      <c r="H6315" s="123"/>
    </row>
    <row r="6316" spans="3:8" s="99" customFormat="1" x14ac:dyDescent="0.2">
      <c r="C6316" s="198"/>
      <c r="D6316" s="198"/>
      <c r="E6316" s="537"/>
      <c r="G6316" s="198"/>
      <c r="H6316" s="123"/>
    </row>
    <row r="6317" spans="3:8" s="99" customFormat="1" x14ac:dyDescent="0.2">
      <c r="C6317" s="198"/>
      <c r="D6317" s="198"/>
      <c r="E6317" s="537"/>
      <c r="G6317" s="198"/>
      <c r="H6317" s="123"/>
    </row>
    <row r="6318" spans="3:8" s="99" customFormat="1" x14ac:dyDescent="0.2">
      <c r="C6318" s="198"/>
      <c r="D6318" s="198"/>
      <c r="E6318" s="537"/>
      <c r="G6318" s="198"/>
      <c r="H6318" s="123"/>
    </row>
    <row r="6319" spans="3:8" s="99" customFormat="1" x14ac:dyDescent="0.2">
      <c r="C6319" s="198"/>
      <c r="D6319" s="198"/>
      <c r="E6319" s="537"/>
      <c r="G6319" s="198"/>
      <c r="H6319" s="123"/>
    </row>
    <row r="6320" spans="3:8" s="99" customFormat="1" x14ac:dyDescent="0.2">
      <c r="C6320" s="198"/>
      <c r="D6320" s="198"/>
      <c r="E6320" s="537"/>
      <c r="G6320" s="198"/>
      <c r="H6320" s="123"/>
    </row>
    <row r="6321" spans="3:8" s="99" customFormat="1" x14ac:dyDescent="0.2">
      <c r="C6321" s="198"/>
      <c r="D6321" s="198"/>
      <c r="E6321" s="537"/>
      <c r="G6321" s="198"/>
      <c r="H6321" s="123"/>
    </row>
    <row r="6322" spans="3:8" s="99" customFormat="1" x14ac:dyDescent="0.2">
      <c r="C6322" s="198"/>
      <c r="D6322" s="198"/>
      <c r="E6322" s="537"/>
      <c r="G6322" s="198"/>
      <c r="H6322" s="123"/>
    </row>
    <row r="6323" spans="3:8" s="99" customFormat="1" x14ac:dyDescent="0.2">
      <c r="C6323" s="198"/>
      <c r="D6323" s="198"/>
      <c r="E6323" s="537"/>
      <c r="G6323" s="198"/>
      <c r="H6323" s="123"/>
    </row>
    <row r="6324" spans="3:8" s="99" customFormat="1" x14ac:dyDescent="0.2">
      <c r="C6324" s="198"/>
      <c r="D6324" s="198"/>
      <c r="E6324" s="537"/>
      <c r="G6324" s="198"/>
      <c r="H6324" s="123"/>
    </row>
    <row r="6325" spans="3:8" s="99" customFormat="1" x14ac:dyDescent="0.2">
      <c r="C6325" s="198"/>
      <c r="D6325" s="198"/>
      <c r="E6325" s="537"/>
      <c r="G6325" s="198"/>
      <c r="H6325" s="123"/>
    </row>
    <row r="6326" spans="3:8" s="99" customFormat="1" x14ac:dyDescent="0.2">
      <c r="C6326" s="198"/>
      <c r="D6326" s="198"/>
      <c r="E6326" s="537"/>
      <c r="G6326" s="198"/>
      <c r="H6326" s="123"/>
    </row>
    <row r="6327" spans="3:8" s="99" customFormat="1" x14ac:dyDescent="0.2">
      <c r="C6327" s="198"/>
      <c r="D6327" s="198"/>
      <c r="E6327" s="537"/>
      <c r="G6327" s="198"/>
      <c r="H6327" s="123"/>
    </row>
    <row r="6328" spans="3:8" s="99" customFormat="1" x14ac:dyDescent="0.2">
      <c r="C6328" s="198"/>
      <c r="D6328" s="198"/>
      <c r="E6328" s="537"/>
      <c r="G6328" s="198"/>
      <c r="H6328" s="123"/>
    </row>
    <row r="6329" spans="3:8" s="99" customFormat="1" x14ac:dyDescent="0.2">
      <c r="C6329" s="198"/>
      <c r="D6329" s="198"/>
      <c r="E6329" s="537"/>
      <c r="G6329" s="198"/>
      <c r="H6329" s="123"/>
    </row>
    <row r="6330" spans="3:8" s="99" customFormat="1" x14ac:dyDescent="0.2">
      <c r="C6330" s="198"/>
      <c r="D6330" s="198"/>
      <c r="E6330" s="537"/>
      <c r="G6330" s="198"/>
      <c r="H6330" s="123"/>
    </row>
    <row r="6331" spans="3:8" s="99" customFormat="1" x14ac:dyDescent="0.2">
      <c r="C6331" s="198"/>
      <c r="D6331" s="198"/>
      <c r="E6331" s="537"/>
      <c r="G6331" s="198"/>
      <c r="H6331" s="123"/>
    </row>
    <row r="6332" spans="3:8" s="99" customFormat="1" x14ac:dyDescent="0.2">
      <c r="C6332" s="198"/>
      <c r="D6332" s="198"/>
      <c r="E6332" s="537"/>
      <c r="G6332" s="198"/>
      <c r="H6332" s="123"/>
    </row>
    <row r="6333" spans="3:8" s="99" customFormat="1" x14ac:dyDescent="0.2">
      <c r="C6333" s="198"/>
      <c r="D6333" s="198"/>
      <c r="E6333" s="537"/>
      <c r="G6333" s="198"/>
      <c r="H6333" s="123"/>
    </row>
    <row r="6334" spans="3:8" s="99" customFormat="1" x14ac:dyDescent="0.2">
      <c r="C6334" s="198"/>
      <c r="D6334" s="198"/>
      <c r="E6334" s="537"/>
      <c r="G6334" s="198"/>
      <c r="H6334" s="123"/>
    </row>
    <row r="6335" spans="3:8" s="99" customFormat="1" x14ac:dyDescent="0.2">
      <c r="C6335" s="198"/>
      <c r="D6335" s="198"/>
      <c r="E6335" s="537"/>
      <c r="G6335" s="198"/>
      <c r="H6335" s="123"/>
    </row>
    <row r="6336" spans="3:8" s="99" customFormat="1" x14ac:dyDescent="0.2">
      <c r="C6336" s="198"/>
      <c r="D6336" s="198"/>
      <c r="E6336" s="537"/>
      <c r="G6336" s="198"/>
      <c r="H6336" s="123"/>
    </row>
    <row r="6337" spans="3:8" s="99" customFormat="1" x14ac:dyDescent="0.2">
      <c r="C6337" s="198"/>
      <c r="D6337" s="198"/>
      <c r="E6337" s="537"/>
      <c r="G6337" s="198"/>
      <c r="H6337" s="123"/>
    </row>
    <row r="6338" spans="3:8" s="99" customFormat="1" x14ac:dyDescent="0.2">
      <c r="C6338" s="198"/>
      <c r="D6338" s="198"/>
      <c r="E6338" s="537"/>
      <c r="G6338" s="198"/>
      <c r="H6338" s="123"/>
    </row>
    <row r="6339" spans="3:8" s="99" customFormat="1" x14ac:dyDescent="0.2">
      <c r="C6339" s="198"/>
      <c r="D6339" s="198"/>
      <c r="E6339" s="537"/>
      <c r="G6339" s="198"/>
      <c r="H6339" s="123"/>
    </row>
    <row r="6340" spans="3:8" s="99" customFormat="1" x14ac:dyDescent="0.2">
      <c r="C6340" s="198"/>
      <c r="D6340" s="198"/>
      <c r="E6340" s="537"/>
      <c r="G6340" s="198"/>
      <c r="H6340" s="123"/>
    </row>
    <row r="6341" spans="3:8" s="99" customFormat="1" x14ac:dyDescent="0.2">
      <c r="C6341" s="198"/>
      <c r="D6341" s="198"/>
      <c r="E6341" s="537"/>
      <c r="G6341" s="198"/>
      <c r="H6341" s="123"/>
    </row>
    <row r="6342" spans="3:8" s="99" customFormat="1" x14ac:dyDescent="0.2">
      <c r="C6342" s="198"/>
      <c r="D6342" s="198"/>
      <c r="E6342" s="537"/>
      <c r="G6342" s="198"/>
      <c r="H6342" s="123"/>
    </row>
    <row r="6343" spans="3:8" s="99" customFormat="1" x14ac:dyDescent="0.2">
      <c r="C6343" s="198"/>
      <c r="D6343" s="198"/>
      <c r="E6343" s="537"/>
      <c r="G6343" s="198"/>
      <c r="H6343" s="123"/>
    </row>
    <row r="6344" spans="3:8" s="99" customFormat="1" x14ac:dyDescent="0.2">
      <c r="C6344" s="198"/>
      <c r="D6344" s="198"/>
      <c r="E6344" s="537"/>
      <c r="G6344" s="198"/>
      <c r="H6344" s="123"/>
    </row>
    <row r="6345" spans="3:8" s="99" customFormat="1" x14ac:dyDescent="0.2">
      <c r="C6345" s="198"/>
      <c r="D6345" s="198"/>
      <c r="E6345" s="537"/>
      <c r="G6345" s="198"/>
      <c r="H6345" s="123"/>
    </row>
    <row r="6346" spans="3:8" s="99" customFormat="1" x14ac:dyDescent="0.2">
      <c r="C6346" s="198"/>
      <c r="D6346" s="198"/>
      <c r="E6346" s="537"/>
      <c r="G6346" s="198"/>
      <c r="H6346" s="123"/>
    </row>
    <row r="6347" spans="3:8" s="99" customFormat="1" x14ac:dyDescent="0.2">
      <c r="C6347" s="198"/>
      <c r="D6347" s="198"/>
      <c r="E6347" s="537"/>
      <c r="G6347" s="198"/>
      <c r="H6347" s="123"/>
    </row>
    <row r="6348" spans="3:8" s="99" customFormat="1" x14ac:dyDescent="0.2">
      <c r="C6348" s="198"/>
      <c r="D6348" s="198"/>
      <c r="E6348" s="537"/>
      <c r="G6348" s="198"/>
      <c r="H6348" s="123"/>
    </row>
    <row r="6349" spans="3:8" s="99" customFormat="1" x14ac:dyDescent="0.2">
      <c r="C6349" s="198"/>
      <c r="D6349" s="198"/>
      <c r="E6349" s="537"/>
      <c r="G6349" s="198"/>
      <c r="H6349" s="123"/>
    </row>
    <row r="6350" spans="3:8" s="99" customFormat="1" x14ac:dyDescent="0.2">
      <c r="C6350" s="198"/>
      <c r="D6350" s="198"/>
      <c r="E6350" s="537"/>
      <c r="G6350" s="198"/>
      <c r="H6350" s="123"/>
    </row>
    <row r="6351" spans="3:8" s="99" customFormat="1" x14ac:dyDescent="0.2">
      <c r="C6351" s="198"/>
      <c r="D6351" s="198"/>
      <c r="E6351" s="537"/>
      <c r="G6351" s="198"/>
      <c r="H6351" s="123"/>
    </row>
    <row r="6352" spans="3:8" s="99" customFormat="1" x14ac:dyDescent="0.2">
      <c r="C6352" s="198"/>
      <c r="D6352" s="198"/>
      <c r="E6352" s="537"/>
      <c r="G6352" s="198"/>
      <c r="H6352" s="123"/>
    </row>
    <row r="6353" spans="3:8" s="99" customFormat="1" x14ac:dyDescent="0.2">
      <c r="C6353" s="198"/>
      <c r="D6353" s="198"/>
      <c r="E6353" s="537"/>
      <c r="G6353" s="198"/>
      <c r="H6353" s="123"/>
    </row>
    <row r="6354" spans="3:8" s="99" customFormat="1" x14ac:dyDescent="0.2">
      <c r="C6354" s="198"/>
      <c r="D6354" s="198"/>
      <c r="E6354" s="537"/>
      <c r="G6354" s="198"/>
      <c r="H6354" s="123"/>
    </row>
    <row r="6355" spans="3:8" s="99" customFormat="1" x14ac:dyDescent="0.2">
      <c r="C6355" s="198"/>
      <c r="D6355" s="198"/>
      <c r="E6355" s="537"/>
      <c r="G6355" s="198"/>
      <c r="H6355" s="123"/>
    </row>
    <row r="6356" spans="3:8" s="99" customFormat="1" x14ac:dyDescent="0.2">
      <c r="C6356" s="198"/>
      <c r="D6356" s="198"/>
      <c r="E6356" s="537"/>
      <c r="G6356" s="198"/>
      <c r="H6356" s="123"/>
    </row>
    <row r="6357" spans="3:8" s="99" customFormat="1" x14ac:dyDescent="0.2">
      <c r="C6357" s="198"/>
      <c r="D6357" s="198"/>
      <c r="E6357" s="537"/>
      <c r="G6357" s="198"/>
      <c r="H6357" s="123"/>
    </row>
    <row r="6358" spans="3:8" s="99" customFormat="1" x14ac:dyDescent="0.2">
      <c r="C6358" s="198"/>
      <c r="D6358" s="198"/>
      <c r="E6358" s="537"/>
      <c r="G6358" s="198"/>
      <c r="H6358" s="123"/>
    </row>
    <row r="6359" spans="3:8" s="99" customFormat="1" x14ac:dyDescent="0.2">
      <c r="C6359" s="198"/>
      <c r="D6359" s="198"/>
      <c r="E6359" s="537"/>
      <c r="G6359" s="198"/>
      <c r="H6359" s="123"/>
    </row>
    <row r="6360" spans="3:8" s="99" customFormat="1" x14ac:dyDescent="0.2">
      <c r="C6360" s="198"/>
      <c r="D6360" s="198"/>
      <c r="E6360" s="537"/>
      <c r="G6360" s="198"/>
      <c r="H6360" s="123"/>
    </row>
    <row r="6361" spans="3:8" s="99" customFormat="1" x14ac:dyDescent="0.2">
      <c r="C6361" s="198"/>
      <c r="D6361" s="198"/>
      <c r="E6361" s="537"/>
      <c r="G6361" s="198"/>
      <c r="H6361" s="123"/>
    </row>
    <row r="6362" spans="3:8" s="99" customFormat="1" x14ac:dyDescent="0.2">
      <c r="C6362" s="198"/>
      <c r="D6362" s="198"/>
      <c r="E6362" s="537"/>
      <c r="G6362" s="198"/>
      <c r="H6362" s="123"/>
    </row>
    <row r="6363" spans="3:8" s="99" customFormat="1" x14ac:dyDescent="0.2">
      <c r="C6363" s="198"/>
      <c r="D6363" s="198"/>
      <c r="E6363" s="537"/>
      <c r="G6363" s="198"/>
      <c r="H6363" s="123"/>
    </row>
    <row r="6364" spans="3:8" s="99" customFormat="1" x14ac:dyDescent="0.2">
      <c r="C6364" s="198"/>
      <c r="D6364" s="198"/>
      <c r="E6364" s="537"/>
      <c r="G6364" s="198"/>
      <c r="H6364" s="123"/>
    </row>
    <row r="6365" spans="3:8" s="99" customFormat="1" x14ac:dyDescent="0.2">
      <c r="C6365" s="198"/>
      <c r="D6365" s="198"/>
      <c r="E6365" s="537"/>
      <c r="G6365" s="198"/>
      <c r="H6365" s="123"/>
    </row>
    <row r="6366" spans="3:8" s="99" customFormat="1" x14ac:dyDescent="0.2">
      <c r="C6366" s="198"/>
      <c r="D6366" s="198"/>
      <c r="E6366" s="537"/>
      <c r="G6366" s="198"/>
      <c r="H6366" s="123"/>
    </row>
    <row r="6367" spans="3:8" s="99" customFormat="1" x14ac:dyDescent="0.2">
      <c r="C6367" s="198"/>
      <c r="D6367" s="198"/>
      <c r="E6367" s="537"/>
      <c r="G6367" s="198"/>
      <c r="H6367" s="123"/>
    </row>
    <row r="6368" spans="3:8" s="99" customFormat="1" x14ac:dyDescent="0.2">
      <c r="C6368" s="198"/>
      <c r="D6368" s="198"/>
      <c r="E6368" s="537"/>
      <c r="G6368" s="198"/>
      <c r="H6368" s="123"/>
    </row>
    <row r="6369" spans="3:8" s="99" customFormat="1" x14ac:dyDescent="0.2">
      <c r="C6369" s="198"/>
      <c r="D6369" s="198"/>
      <c r="E6369" s="537"/>
      <c r="G6369" s="198"/>
      <c r="H6369" s="123"/>
    </row>
    <row r="6370" spans="3:8" s="99" customFormat="1" x14ac:dyDescent="0.2">
      <c r="C6370" s="198"/>
      <c r="D6370" s="198"/>
      <c r="E6370" s="537"/>
      <c r="G6370" s="198"/>
      <c r="H6370" s="123"/>
    </row>
    <row r="6371" spans="3:8" s="99" customFormat="1" x14ac:dyDescent="0.2">
      <c r="C6371" s="198"/>
      <c r="D6371" s="198"/>
      <c r="E6371" s="537"/>
      <c r="G6371" s="198"/>
      <c r="H6371" s="123"/>
    </row>
    <row r="6372" spans="3:8" s="99" customFormat="1" x14ac:dyDescent="0.2">
      <c r="C6372" s="198"/>
      <c r="D6372" s="198"/>
      <c r="E6372" s="537"/>
      <c r="G6372" s="198"/>
      <c r="H6372" s="123"/>
    </row>
    <row r="6373" spans="3:8" s="99" customFormat="1" x14ac:dyDescent="0.2">
      <c r="C6373" s="198"/>
      <c r="D6373" s="198"/>
      <c r="E6373" s="537"/>
      <c r="G6373" s="198"/>
      <c r="H6373" s="123"/>
    </row>
    <row r="6374" spans="3:8" s="99" customFormat="1" x14ac:dyDescent="0.2">
      <c r="C6374" s="198"/>
      <c r="D6374" s="198"/>
      <c r="E6374" s="537"/>
      <c r="G6374" s="198"/>
      <c r="H6374" s="123"/>
    </row>
    <row r="6375" spans="3:8" s="99" customFormat="1" x14ac:dyDescent="0.2">
      <c r="C6375" s="198"/>
      <c r="D6375" s="198"/>
      <c r="E6375" s="537"/>
      <c r="G6375" s="198"/>
      <c r="H6375" s="123"/>
    </row>
    <row r="6376" spans="3:8" s="99" customFormat="1" x14ac:dyDescent="0.2">
      <c r="C6376" s="198"/>
      <c r="D6376" s="198"/>
      <c r="E6376" s="537"/>
      <c r="G6376" s="198"/>
      <c r="H6376" s="123"/>
    </row>
    <row r="6377" spans="3:8" s="99" customFormat="1" x14ac:dyDescent="0.2">
      <c r="C6377" s="198"/>
      <c r="D6377" s="198"/>
      <c r="E6377" s="537"/>
      <c r="G6377" s="198"/>
      <c r="H6377" s="123"/>
    </row>
    <row r="6378" spans="3:8" s="99" customFormat="1" x14ac:dyDescent="0.2">
      <c r="C6378" s="198"/>
      <c r="D6378" s="198"/>
      <c r="E6378" s="537"/>
      <c r="G6378" s="198"/>
      <c r="H6378" s="123"/>
    </row>
    <row r="6379" spans="3:8" s="99" customFormat="1" x14ac:dyDescent="0.2">
      <c r="C6379" s="198"/>
      <c r="D6379" s="198"/>
      <c r="E6379" s="537"/>
      <c r="G6379" s="198"/>
      <c r="H6379" s="123"/>
    </row>
    <row r="6380" spans="3:8" s="99" customFormat="1" x14ac:dyDescent="0.2">
      <c r="C6380" s="198"/>
      <c r="D6380" s="198"/>
      <c r="E6380" s="537"/>
      <c r="G6380" s="198"/>
      <c r="H6380" s="123"/>
    </row>
    <row r="6381" spans="3:8" s="99" customFormat="1" x14ac:dyDescent="0.2">
      <c r="C6381" s="198"/>
      <c r="D6381" s="198"/>
      <c r="E6381" s="537"/>
      <c r="G6381" s="198"/>
      <c r="H6381" s="123"/>
    </row>
    <row r="6382" spans="3:8" s="99" customFormat="1" x14ac:dyDescent="0.2">
      <c r="C6382" s="198"/>
      <c r="D6382" s="198"/>
      <c r="E6382" s="537"/>
      <c r="G6382" s="198"/>
      <c r="H6382" s="123"/>
    </row>
    <row r="6383" spans="3:8" s="99" customFormat="1" x14ac:dyDescent="0.2">
      <c r="C6383" s="198"/>
      <c r="D6383" s="198"/>
      <c r="E6383" s="537"/>
      <c r="G6383" s="198"/>
      <c r="H6383" s="123"/>
    </row>
    <row r="6384" spans="3:8" s="99" customFormat="1" x14ac:dyDescent="0.2">
      <c r="C6384" s="198"/>
      <c r="D6384" s="198"/>
      <c r="E6384" s="537"/>
      <c r="G6384" s="198"/>
      <c r="H6384" s="123"/>
    </row>
    <row r="6385" spans="3:8" s="99" customFormat="1" x14ac:dyDescent="0.2">
      <c r="C6385" s="198"/>
      <c r="D6385" s="198"/>
      <c r="E6385" s="537"/>
      <c r="G6385" s="198"/>
      <c r="H6385" s="123"/>
    </row>
    <row r="6386" spans="3:8" s="99" customFormat="1" x14ac:dyDescent="0.2">
      <c r="C6386" s="198"/>
      <c r="D6386" s="198"/>
      <c r="E6386" s="537"/>
      <c r="G6386" s="198"/>
      <c r="H6386" s="123"/>
    </row>
    <row r="6387" spans="3:8" s="99" customFormat="1" x14ac:dyDescent="0.2">
      <c r="C6387" s="198"/>
      <c r="D6387" s="198"/>
      <c r="E6387" s="537"/>
      <c r="G6387" s="198"/>
      <c r="H6387" s="123"/>
    </row>
    <row r="6388" spans="3:8" s="99" customFormat="1" x14ac:dyDescent="0.2">
      <c r="C6388" s="198"/>
      <c r="D6388" s="198"/>
      <c r="E6388" s="537"/>
      <c r="G6388" s="198"/>
      <c r="H6388" s="123"/>
    </row>
    <row r="6389" spans="3:8" s="99" customFormat="1" x14ac:dyDescent="0.2">
      <c r="C6389" s="198"/>
      <c r="D6389" s="198"/>
      <c r="E6389" s="537"/>
      <c r="G6389" s="198"/>
      <c r="H6389" s="123"/>
    </row>
    <row r="6390" spans="3:8" s="99" customFormat="1" x14ac:dyDescent="0.2">
      <c r="C6390" s="198"/>
      <c r="D6390" s="198"/>
      <c r="E6390" s="537"/>
      <c r="G6390" s="198"/>
      <c r="H6390" s="123"/>
    </row>
    <row r="6391" spans="3:8" s="99" customFormat="1" x14ac:dyDescent="0.2">
      <c r="C6391" s="198"/>
      <c r="D6391" s="198"/>
      <c r="E6391" s="537"/>
      <c r="G6391" s="198"/>
      <c r="H6391" s="123"/>
    </row>
    <row r="6392" spans="3:8" s="99" customFormat="1" x14ac:dyDescent="0.2">
      <c r="C6392" s="198"/>
      <c r="D6392" s="198"/>
      <c r="E6392" s="537"/>
      <c r="G6392" s="198"/>
      <c r="H6392" s="123"/>
    </row>
    <row r="6393" spans="3:8" s="99" customFormat="1" x14ac:dyDescent="0.2">
      <c r="C6393" s="198"/>
      <c r="D6393" s="198"/>
      <c r="E6393" s="537"/>
      <c r="G6393" s="198"/>
      <c r="H6393" s="123"/>
    </row>
    <row r="6394" spans="3:8" s="99" customFormat="1" x14ac:dyDescent="0.2">
      <c r="C6394" s="198"/>
      <c r="D6394" s="198"/>
      <c r="E6394" s="537"/>
      <c r="G6394" s="198"/>
      <c r="H6394" s="123"/>
    </row>
    <row r="6395" spans="3:8" s="99" customFormat="1" x14ac:dyDescent="0.2">
      <c r="C6395" s="198"/>
      <c r="D6395" s="198"/>
      <c r="E6395" s="537"/>
      <c r="G6395" s="198"/>
      <c r="H6395" s="123"/>
    </row>
    <row r="6396" spans="3:8" s="99" customFormat="1" x14ac:dyDescent="0.2">
      <c r="C6396" s="198"/>
      <c r="D6396" s="198"/>
      <c r="E6396" s="537"/>
      <c r="G6396" s="198"/>
      <c r="H6396" s="123"/>
    </row>
    <row r="6397" spans="3:8" s="99" customFormat="1" x14ac:dyDescent="0.2">
      <c r="C6397" s="198"/>
      <c r="D6397" s="198"/>
      <c r="E6397" s="537"/>
      <c r="G6397" s="198"/>
      <c r="H6397" s="123"/>
    </row>
    <row r="6398" spans="3:8" s="99" customFormat="1" x14ac:dyDescent="0.2">
      <c r="C6398" s="198"/>
      <c r="D6398" s="198"/>
      <c r="E6398" s="537"/>
      <c r="G6398" s="198"/>
      <c r="H6398" s="123"/>
    </row>
    <row r="6399" spans="3:8" s="99" customFormat="1" x14ac:dyDescent="0.2">
      <c r="C6399" s="198"/>
      <c r="D6399" s="198"/>
      <c r="E6399" s="537"/>
      <c r="G6399" s="198"/>
      <c r="H6399" s="123"/>
    </row>
    <row r="6400" spans="3:8" s="99" customFormat="1" x14ac:dyDescent="0.2">
      <c r="C6400" s="198"/>
      <c r="D6400" s="198"/>
      <c r="E6400" s="537"/>
      <c r="G6400" s="198"/>
      <c r="H6400" s="123"/>
    </row>
    <row r="6401" spans="3:8" s="99" customFormat="1" x14ac:dyDescent="0.2">
      <c r="C6401" s="198"/>
      <c r="D6401" s="198"/>
      <c r="E6401" s="537"/>
      <c r="G6401" s="198"/>
      <c r="H6401" s="123"/>
    </row>
    <row r="6402" spans="3:8" s="99" customFormat="1" x14ac:dyDescent="0.2">
      <c r="C6402" s="198"/>
      <c r="D6402" s="198"/>
      <c r="E6402" s="537"/>
      <c r="G6402" s="198"/>
      <c r="H6402" s="123"/>
    </row>
    <row r="6403" spans="3:8" s="99" customFormat="1" x14ac:dyDescent="0.2">
      <c r="C6403" s="198"/>
      <c r="D6403" s="198"/>
      <c r="E6403" s="537"/>
      <c r="G6403" s="198"/>
      <c r="H6403" s="123"/>
    </row>
    <row r="6404" spans="3:8" s="99" customFormat="1" x14ac:dyDescent="0.2">
      <c r="C6404" s="198"/>
      <c r="D6404" s="198"/>
      <c r="E6404" s="537"/>
      <c r="G6404" s="198"/>
      <c r="H6404" s="123"/>
    </row>
    <row r="6405" spans="3:8" s="99" customFormat="1" x14ac:dyDescent="0.2">
      <c r="C6405" s="198"/>
      <c r="D6405" s="198"/>
      <c r="E6405" s="537"/>
      <c r="G6405" s="198"/>
      <c r="H6405" s="123"/>
    </row>
    <row r="6406" spans="3:8" s="99" customFormat="1" x14ac:dyDescent="0.2">
      <c r="C6406" s="198"/>
      <c r="D6406" s="198"/>
      <c r="E6406" s="537"/>
      <c r="G6406" s="198"/>
      <c r="H6406" s="123"/>
    </row>
    <row r="6407" spans="3:8" s="99" customFormat="1" x14ac:dyDescent="0.2">
      <c r="C6407" s="198"/>
      <c r="D6407" s="198"/>
      <c r="E6407" s="537"/>
      <c r="G6407" s="198"/>
      <c r="H6407" s="123"/>
    </row>
    <row r="6408" spans="3:8" s="99" customFormat="1" x14ac:dyDescent="0.2">
      <c r="C6408" s="198"/>
      <c r="D6408" s="198"/>
      <c r="E6408" s="537"/>
      <c r="G6408" s="198"/>
      <c r="H6408" s="123"/>
    </row>
    <row r="6409" spans="3:8" s="99" customFormat="1" x14ac:dyDescent="0.2">
      <c r="C6409" s="198"/>
      <c r="D6409" s="198"/>
      <c r="E6409" s="537"/>
      <c r="G6409" s="198"/>
      <c r="H6409" s="123"/>
    </row>
    <row r="6410" spans="3:8" s="99" customFormat="1" x14ac:dyDescent="0.2">
      <c r="C6410" s="198"/>
      <c r="D6410" s="198"/>
      <c r="E6410" s="537"/>
      <c r="G6410" s="198"/>
      <c r="H6410" s="123"/>
    </row>
    <row r="6411" spans="3:8" s="99" customFormat="1" x14ac:dyDescent="0.2">
      <c r="C6411" s="198"/>
      <c r="D6411" s="198"/>
      <c r="E6411" s="537"/>
      <c r="G6411" s="198"/>
      <c r="H6411" s="123"/>
    </row>
    <row r="6412" spans="3:8" s="99" customFormat="1" x14ac:dyDescent="0.2">
      <c r="C6412" s="198"/>
      <c r="D6412" s="198"/>
      <c r="E6412" s="537"/>
      <c r="G6412" s="198"/>
      <c r="H6412" s="123"/>
    </row>
    <row r="6413" spans="3:8" s="99" customFormat="1" x14ac:dyDescent="0.2">
      <c r="C6413" s="198"/>
      <c r="D6413" s="198"/>
      <c r="E6413" s="537"/>
      <c r="G6413" s="198"/>
      <c r="H6413" s="123"/>
    </row>
    <row r="6414" spans="3:8" s="99" customFormat="1" x14ac:dyDescent="0.2">
      <c r="C6414" s="198"/>
      <c r="D6414" s="198"/>
      <c r="E6414" s="537"/>
      <c r="G6414" s="198"/>
      <c r="H6414" s="123"/>
    </row>
    <row r="6415" spans="3:8" s="99" customFormat="1" x14ac:dyDescent="0.2">
      <c r="C6415" s="198"/>
      <c r="D6415" s="198"/>
      <c r="E6415" s="537"/>
      <c r="G6415" s="198"/>
      <c r="H6415" s="123"/>
    </row>
    <row r="6416" spans="3:8" s="99" customFormat="1" x14ac:dyDescent="0.2">
      <c r="C6416" s="198"/>
      <c r="D6416" s="198"/>
      <c r="E6416" s="537"/>
      <c r="G6416" s="198"/>
      <c r="H6416" s="123"/>
    </row>
    <row r="6417" spans="3:8" s="99" customFormat="1" x14ac:dyDescent="0.2">
      <c r="C6417" s="198"/>
      <c r="D6417" s="198"/>
      <c r="E6417" s="537"/>
      <c r="G6417" s="198"/>
      <c r="H6417" s="123"/>
    </row>
    <row r="6418" spans="3:8" s="99" customFormat="1" x14ac:dyDescent="0.2">
      <c r="C6418" s="198"/>
      <c r="D6418" s="198"/>
      <c r="E6418" s="537"/>
      <c r="G6418" s="198"/>
      <c r="H6418" s="123"/>
    </row>
    <row r="6419" spans="3:8" s="99" customFormat="1" x14ac:dyDescent="0.2">
      <c r="C6419" s="198"/>
      <c r="D6419" s="198"/>
      <c r="E6419" s="537"/>
      <c r="G6419" s="198"/>
      <c r="H6419" s="123"/>
    </row>
    <row r="6420" spans="3:8" s="99" customFormat="1" x14ac:dyDescent="0.2">
      <c r="C6420" s="198"/>
      <c r="D6420" s="198"/>
      <c r="E6420" s="537"/>
      <c r="G6420" s="198"/>
      <c r="H6420" s="123"/>
    </row>
    <row r="6421" spans="3:8" s="99" customFormat="1" x14ac:dyDescent="0.2">
      <c r="C6421" s="198"/>
      <c r="D6421" s="198"/>
      <c r="E6421" s="537"/>
      <c r="G6421" s="198"/>
      <c r="H6421" s="123"/>
    </row>
    <row r="6422" spans="3:8" s="99" customFormat="1" x14ac:dyDescent="0.2">
      <c r="C6422" s="198"/>
      <c r="D6422" s="198"/>
      <c r="E6422" s="537"/>
      <c r="G6422" s="198"/>
      <c r="H6422" s="123"/>
    </row>
    <row r="6423" spans="3:8" s="99" customFormat="1" x14ac:dyDescent="0.2">
      <c r="C6423" s="198"/>
      <c r="D6423" s="198"/>
      <c r="E6423" s="537"/>
      <c r="G6423" s="198"/>
      <c r="H6423" s="123"/>
    </row>
    <row r="6424" spans="3:8" s="99" customFormat="1" x14ac:dyDescent="0.2">
      <c r="C6424" s="198"/>
      <c r="D6424" s="198"/>
      <c r="E6424" s="537"/>
      <c r="G6424" s="198"/>
      <c r="H6424" s="123"/>
    </row>
    <row r="6425" spans="3:8" s="99" customFormat="1" x14ac:dyDescent="0.2">
      <c r="C6425" s="198"/>
      <c r="D6425" s="198"/>
      <c r="E6425" s="537"/>
      <c r="G6425" s="198"/>
      <c r="H6425" s="123"/>
    </row>
    <row r="6426" spans="3:8" s="99" customFormat="1" x14ac:dyDescent="0.2">
      <c r="C6426" s="198"/>
      <c r="D6426" s="198"/>
      <c r="E6426" s="537"/>
      <c r="G6426" s="198"/>
      <c r="H6426" s="123"/>
    </row>
    <row r="6427" spans="3:8" s="99" customFormat="1" x14ac:dyDescent="0.2">
      <c r="C6427" s="198"/>
      <c r="D6427" s="198"/>
      <c r="E6427" s="537"/>
      <c r="G6427" s="198"/>
      <c r="H6427" s="123"/>
    </row>
    <row r="6428" spans="3:8" s="99" customFormat="1" x14ac:dyDescent="0.2">
      <c r="C6428" s="198"/>
      <c r="D6428" s="198"/>
      <c r="E6428" s="537"/>
      <c r="G6428" s="198"/>
      <c r="H6428" s="123"/>
    </row>
    <row r="6429" spans="3:8" s="99" customFormat="1" x14ac:dyDescent="0.2">
      <c r="C6429" s="198"/>
      <c r="D6429" s="198"/>
      <c r="E6429" s="537"/>
      <c r="G6429" s="198"/>
      <c r="H6429" s="123"/>
    </row>
    <row r="6430" spans="3:8" s="99" customFormat="1" x14ac:dyDescent="0.2">
      <c r="C6430" s="198"/>
      <c r="D6430" s="198"/>
      <c r="E6430" s="537"/>
      <c r="G6430" s="198"/>
      <c r="H6430" s="123"/>
    </row>
    <row r="6431" spans="3:8" s="99" customFormat="1" x14ac:dyDescent="0.2">
      <c r="C6431" s="198"/>
      <c r="D6431" s="198"/>
      <c r="E6431" s="537"/>
      <c r="G6431" s="198"/>
      <c r="H6431" s="123"/>
    </row>
    <row r="6432" spans="3:8" s="99" customFormat="1" x14ac:dyDescent="0.2">
      <c r="C6432" s="198"/>
      <c r="D6432" s="198"/>
      <c r="E6432" s="537"/>
      <c r="G6432" s="198"/>
      <c r="H6432" s="123"/>
    </row>
    <row r="6433" spans="3:8" s="99" customFormat="1" x14ac:dyDescent="0.2">
      <c r="C6433" s="198"/>
      <c r="D6433" s="198"/>
      <c r="E6433" s="537"/>
      <c r="G6433" s="198"/>
      <c r="H6433" s="123"/>
    </row>
    <row r="6434" spans="3:8" s="99" customFormat="1" x14ac:dyDescent="0.2">
      <c r="C6434" s="198"/>
      <c r="D6434" s="198"/>
      <c r="E6434" s="537"/>
      <c r="G6434" s="198"/>
      <c r="H6434" s="123"/>
    </row>
    <row r="6435" spans="3:8" s="99" customFormat="1" x14ac:dyDescent="0.2">
      <c r="C6435" s="198"/>
      <c r="D6435" s="198"/>
      <c r="E6435" s="537"/>
      <c r="G6435" s="198"/>
      <c r="H6435" s="123"/>
    </row>
    <row r="6436" spans="3:8" s="99" customFormat="1" x14ac:dyDescent="0.2">
      <c r="C6436" s="198"/>
      <c r="D6436" s="198"/>
      <c r="E6436" s="537"/>
      <c r="G6436" s="198"/>
      <c r="H6436" s="123"/>
    </row>
    <row r="6437" spans="3:8" s="99" customFormat="1" x14ac:dyDescent="0.2">
      <c r="C6437" s="198"/>
      <c r="D6437" s="198"/>
      <c r="E6437" s="537"/>
      <c r="G6437" s="198"/>
      <c r="H6437" s="123"/>
    </row>
    <row r="6438" spans="3:8" s="99" customFormat="1" x14ac:dyDescent="0.2">
      <c r="C6438" s="198"/>
      <c r="D6438" s="198"/>
      <c r="E6438" s="537"/>
      <c r="G6438" s="198"/>
      <c r="H6438" s="123"/>
    </row>
    <row r="6439" spans="3:8" s="99" customFormat="1" x14ac:dyDescent="0.2">
      <c r="C6439" s="198"/>
      <c r="D6439" s="198"/>
      <c r="E6439" s="537"/>
      <c r="G6439" s="198"/>
      <c r="H6439" s="123"/>
    </row>
    <row r="6440" spans="3:8" s="99" customFormat="1" x14ac:dyDescent="0.2">
      <c r="C6440" s="198"/>
      <c r="D6440" s="198"/>
      <c r="E6440" s="537"/>
      <c r="G6440" s="198"/>
      <c r="H6440" s="123"/>
    </row>
    <row r="6441" spans="3:8" s="99" customFormat="1" x14ac:dyDescent="0.2">
      <c r="C6441" s="198"/>
      <c r="D6441" s="198"/>
      <c r="E6441" s="537"/>
      <c r="G6441" s="198"/>
      <c r="H6441" s="123"/>
    </row>
    <row r="6442" spans="3:8" s="99" customFormat="1" x14ac:dyDescent="0.2">
      <c r="C6442" s="198"/>
      <c r="D6442" s="198"/>
      <c r="E6442" s="537"/>
      <c r="G6442" s="198"/>
      <c r="H6442" s="123"/>
    </row>
    <row r="6443" spans="3:8" s="99" customFormat="1" x14ac:dyDescent="0.2">
      <c r="C6443" s="198"/>
      <c r="D6443" s="198"/>
      <c r="E6443" s="537"/>
      <c r="G6443" s="198"/>
      <c r="H6443" s="123"/>
    </row>
    <row r="6444" spans="3:8" s="99" customFormat="1" x14ac:dyDescent="0.2">
      <c r="C6444" s="198"/>
      <c r="D6444" s="198"/>
      <c r="E6444" s="537"/>
      <c r="G6444" s="198"/>
      <c r="H6444" s="123"/>
    </row>
    <row r="6445" spans="3:8" s="99" customFormat="1" x14ac:dyDescent="0.2">
      <c r="C6445" s="198"/>
      <c r="D6445" s="198"/>
      <c r="E6445" s="537"/>
      <c r="G6445" s="198"/>
      <c r="H6445" s="123"/>
    </row>
    <row r="6446" spans="3:8" s="99" customFormat="1" x14ac:dyDescent="0.2">
      <c r="C6446" s="198"/>
      <c r="D6446" s="198"/>
      <c r="E6446" s="537"/>
      <c r="G6446" s="198"/>
      <c r="H6446" s="123"/>
    </row>
    <row r="6447" spans="3:8" s="99" customFormat="1" x14ac:dyDescent="0.2">
      <c r="C6447" s="198"/>
      <c r="D6447" s="198"/>
      <c r="E6447" s="537"/>
      <c r="G6447" s="198"/>
      <c r="H6447" s="123"/>
    </row>
    <row r="6448" spans="3:8" s="99" customFormat="1" x14ac:dyDescent="0.2">
      <c r="C6448" s="198"/>
      <c r="D6448" s="198"/>
      <c r="E6448" s="537"/>
      <c r="G6448" s="198"/>
      <c r="H6448" s="123"/>
    </row>
    <row r="6449" spans="3:8" s="99" customFormat="1" x14ac:dyDescent="0.2">
      <c r="C6449" s="198"/>
      <c r="D6449" s="198"/>
      <c r="E6449" s="537"/>
      <c r="G6449" s="198"/>
      <c r="H6449" s="123"/>
    </row>
    <row r="6450" spans="3:8" s="99" customFormat="1" x14ac:dyDescent="0.2">
      <c r="C6450" s="198"/>
      <c r="D6450" s="198"/>
      <c r="E6450" s="537"/>
      <c r="G6450" s="198"/>
      <c r="H6450" s="123"/>
    </row>
    <row r="6451" spans="3:8" s="99" customFormat="1" x14ac:dyDescent="0.2">
      <c r="C6451" s="198"/>
      <c r="D6451" s="198"/>
      <c r="E6451" s="537"/>
      <c r="G6451" s="198"/>
      <c r="H6451" s="123"/>
    </row>
    <row r="6452" spans="3:8" s="99" customFormat="1" x14ac:dyDescent="0.2">
      <c r="C6452" s="198"/>
      <c r="D6452" s="198"/>
      <c r="E6452" s="537"/>
      <c r="G6452" s="198"/>
      <c r="H6452" s="123"/>
    </row>
    <row r="6453" spans="3:8" s="99" customFormat="1" x14ac:dyDescent="0.2">
      <c r="C6453" s="198"/>
      <c r="D6453" s="198"/>
      <c r="E6453" s="537"/>
      <c r="G6453" s="198"/>
      <c r="H6453" s="123"/>
    </row>
    <row r="6454" spans="3:8" s="99" customFormat="1" x14ac:dyDescent="0.2">
      <c r="C6454" s="198"/>
      <c r="D6454" s="198"/>
      <c r="E6454" s="537"/>
      <c r="G6454" s="198"/>
      <c r="H6454" s="123"/>
    </row>
    <row r="6455" spans="3:8" s="99" customFormat="1" x14ac:dyDescent="0.2">
      <c r="C6455" s="198"/>
      <c r="D6455" s="198"/>
      <c r="E6455" s="537"/>
      <c r="G6455" s="198"/>
      <c r="H6455" s="123"/>
    </row>
    <row r="6456" spans="3:8" s="99" customFormat="1" x14ac:dyDescent="0.2">
      <c r="C6456" s="198"/>
      <c r="D6456" s="198"/>
      <c r="E6456" s="537"/>
      <c r="G6456" s="198"/>
      <c r="H6456" s="123"/>
    </row>
    <row r="6457" spans="3:8" s="99" customFormat="1" x14ac:dyDescent="0.2">
      <c r="C6457" s="198"/>
      <c r="D6457" s="198"/>
      <c r="E6457" s="537"/>
      <c r="G6457" s="198"/>
      <c r="H6457" s="123"/>
    </row>
    <row r="6458" spans="3:8" s="99" customFormat="1" x14ac:dyDescent="0.2">
      <c r="C6458" s="198"/>
      <c r="D6458" s="198"/>
      <c r="E6458" s="537"/>
      <c r="G6458" s="198"/>
      <c r="H6458" s="123"/>
    </row>
    <row r="6459" spans="3:8" s="99" customFormat="1" x14ac:dyDescent="0.2">
      <c r="C6459" s="198"/>
      <c r="D6459" s="198"/>
      <c r="E6459" s="537"/>
      <c r="G6459" s="198"/>
      <c r="H6459" s="123"/>
    </row>
    <row r="6460" spans="3:8" s="99" customFormat="1" x14ac:dyDescent="0.2">
      <c r="C6460" s="198"/>
      <c r="D6460" s="198"/>
      <c r="E6460" s="537"/>
      <c r="G6460" s="198"/>
      <c r="H6460" s="123"/>
    </row>
    <row r="6461" spans="3:8" s="99" customFormat="1" x14ac:dyDescent="0.2">
      <c r="C6461" s="198"/>
      <c r="D6461" s="198"/>
      <c r="E6461" s="537"/>
      <c r="G6461" s="198"/>
      <c r="H6461" s="123"/>
    </row>
    <row r="6462" spans="3:8" s="99" customFormat="1" x14ac:dyDescent="0.2">
      <c r="C6462" s="198"/>
      <c r="D6462" s="198"/>
      <c r="E6462" s="537"/>
      <c r="G6462" s="198"/>
      <c r="H6462" s="123"/>
    </row>
    <row r="6463" spans="3:8" s="99" customFormat="1" x14ac:dyDescent="0.2">
      <c r="C6463" s="198"/>
      <c r="D6463" s="198"/>
      <c r="E6463" s="537"/>
      <c r="G6463" s="198"/>
      <c r="H6463" s="123"/>
    </row>
    <row r="6464" spans="3:8" s="99" customFormat="1" x14ac:dyDescent="0.2">
      <c r="C6464" s="198"/>
      <c r="D6464" s="198"/>
      <c r="E6464" s="537"/>
      <c r="G6464" s="198"/>
      <c r="H6464" s="123"/>
    </row>
    <row r="6465" spans="3:8" s="99" customFormat="1" x14ac:dyDescent="0.2">
      <c r="C6465" s="198"/>
      <c r="D6465" s="198"/>
      <c r="E6465" s="537"/>
      <c r="G6465" s="198"/>
      <c r="H6465" s="123"/>
    </row>
    <row r="6466" spans="3:8" s="99" customFormat="1" x14ac:dyDescent="0.2">
      <c r="C6466" s="198"/>
      <c r="D6466" s="198"/>
      <c r="E6466" s="537"/>
      <c r="G6466" s="198"/>
      <c r="H6466" s="123"/>
    </row>
    <row r="6467" spans="3:8" s="99" customFormat="1" x14ac:dyDescent="0.2">
      <c r="C6467" s="198"/>
      <c r="D6467" s="198"/>
      <c r="E6467" s="537"/>
      <c r="G6467" s="198"/>
      <c r="H6467" s="123"/>
    </row>
    <row r="6468" spans="3:8" s="99" customFormat="1" x14ac:dyDescent="0.2">
      <c r="C6468" s="198"/>
      <c r="D6468" s="198"/>
      <c r="E6468" s="537"/>
      <c r="G6468" s="198"/>
      <c r="H6468" s="123"/>
    </row>
    <row r="6469" spans="3:8" s="99" customFormat="1" x14ac:dyDescent="0.2">
      <c r="C6469" s="198"/>
      <c r="D6469" s="198"/>
      <c r="E6469" s="537"/>
      <c r="G6469" s="198"/>
      <c r="H6469" s="123"/>
    </row>
    <row r="6470" spans="3:8" s="99" customFormat="1" x14ac:dyDescent="0.2">
      <c r="C6470" s="198"/>
      <c r="D6470" s="198"/>
      <c r="E6470" s="537"/>
      <c r="G6470" s="198"/>
      <c r="H6470" s="123"/>
    </row>
    <row r="6471" spans="3:8" s="99" customFormat="1" x14ac:dyDescent="0.2">
      <c r="C6471" s="198"/>
      <c r="D6471" s="198"/>
      <c r="E6471" s="537"/>
      <c r="G6471" s="198"/>
      <c r="H6471" s="123"/>
    </row>
    <row r="6472" spans="3:8" s="99" customFormat="1" x14ac:dyDescent="0.2">
      <c r="C6472" s="198"/>
      <c r="D6472" s="198"/>
      <c r="E6472" s="537"/>
      <c r="G6472" s="198"/>
      <c r="H6472" s="123"/>
    </row>
    <row r="6473" spans="3:8" s="99" customFormat="1" x14ac:dyDescent="0.2">
      <c r="C6473" s="198"/>
      <c r="D6473" s="198"/>
      <c r="E6473" s="537"/>
      <c r="G6473" s="198"/>
      <c r="H6473" s="123"/>
    </row>
    <row r="6474" spans="3:8" s="99" customFormat="1" x14ac:dyDescent="0.2">
      <c r="C6474" s="198"/>
      <c r="D6474" s="198"/>
      <c r="E6474" s="537"/>
      <c r="G6474" s="198"/>
      <c r="H6474" s="123"/>
    </row>
    <row r="6475" spans="3:8" s="99" customFormat="1" x14ac:dyDescent="0.2">
      <c r="C6475" s="198"/>
      <c r="D6475" s="198"/>
      <c r="E6475" s="537"/>
      <c r="G6475" s="198"/>
      <c r="H6475" s="123"/>
    </row>
    <row r="6476" spans="3:8" s="99" customFormat="1" x14ac:dyDescent="0.2">
      <c r="C6476" s="198"/>
      <c r="D6476" s="198"/>
      <c r="E6476" s="537"/>
      <c r="G6476" s="198"/>
      <c r="H6476" s="123"/>
    </row>
    <row r="6477" spans="3:8" s="99" customFormat="1" x14ac:dyDescent="0.2">
      <c r="C6477" s="198"/>
      <c r="D6477" s="198"/>
      <c r="E6477" s="537"/>
      <c r="G6477" s="198"/>
      <c r="H6477" s="123"/>
    </row>
    <row r="6478" spans="3:8" s="99" customFormat="1" x14ac:dyDescent="0.2">
      <c r="C6478" s="198"/>
      <c r="D6478" s="198"/>
      <c r="E6478" s="537"/>
      <c r="G6478" s="198"/>
      <c r="H6478" s="123"/>
    </row>
    <row r="6479" spans="3:8" s="99" customFormat="1" x14ac:dyDescent="0.2">
      <c r="C6479" s="198"/>
      <c r="D6479" s="198"/>
      <c r="E6479" s="537"/>
      <c r="G6479" s="198"/>
      <c r="H6479" s="123"/>
    </row>
    <row r="6480" spans="3:8" s="99" customFormat="1" x14ac:dyDescent="0.2">
      <c r="C6480" s="198"/>
      <c r="D6480" s="198"/>
      <c r="E6480" s="537"/>
      <c r="G6480" s="198"/>
      <c r="H6480" s="123"/>
    </row>
    <row r="6481" spans="3:8" s="99" customFormat="1" x14ac:dyDescent="0.2">
      <c r="C6481" s="198"/>
      <c r="D6481" s="198"/>
      <c r="E6481" s="537"/>
      <c r="G6481" s="198"/>
      <c r="H6481" s="123"/>
    </row>
    <row r="6482" spans="3:8" s="99" customFormat="1" x14ac:dyDescent="0.2">
      <c r="C6482" s="198"/>
      <c r="D6482" s="198"/>
      <c r="E6482" s="537"/>
      <c r="G6482" s="198"/>
      <c r="H6482" s="123"/>
    </row>
    <row r="6483" spans="3:8" s="99" customFormat="1" x14ac:dyDescent="0.2">
      <c r="C6483" s="198"/>
      <c r="D6483" s="198"/>
      <c r="E6483" s="537"/>
      <c r="G6483" s="198"/>
      <c r="H6483" s="123"/>
    </row>
    <row r="6484" spans="3:8" s="99" customFormat="1" x14ac:dyDescent="0.2">
      <c r="C6484" s="198"/>
      <c r="D6484" s="198"/>
      <c r="E6484" s="537"/>
      <c r="G6484" s="198"/>
      <c r="H6484" s="123"/>
    </row>
    <row r="6485" spans="3:8" s="99" customFormat="1" x14ac:dyDescent="0.2">
      <c r="C6485" s="198"/>
      <c r="D6485" s="198"/>
      <c r="E6485" s="537"/>
      <c r="G6485" s="198"/>
      <c r="H6485" s="123"/>
    </row>
    <row r="6486" spans="3:8" s="99" customFormat="1" x14ac:dyDescent="0.2">
      <c r="C6486" s="198"/>
      <c r="D6486" s="198"/>
      <c r="E6486" s="537"/>
      <c r="G6486" s="198"/>
      <c r="H6486" s="123"/>
    </row>
    <row r="6487" spans="3:8" s="99" customFormat="1" x14ac:dyDescent="0.2">
      <c r="C6487" s="198"/>
      <c r="D6487" s="198"/>
      <c r="E6487" s="537"/>
      <c r="G6487" s="198"/>
      <c r="H6487" s="123"/>
    </row>
    <row r="6488" spans="3:8" s="99" customFormat="1" x14ac:dyDescent="0.2">
      <c r="C6488" s="198"/>
      <c r="D6488" s="198"/>
      <c r="E6488" s="537"/>
      <c r="G6488" s="198"/>
      <c r="H6488" s="123"/>
    </row>
    <row r="6489" spans="3:8" s="99" customFormat="1" x14ac:dyDescent="0.2">
      <c r="C6489" s="198"/>
      <c r="D6489" s="198"/>
      <c r="E6489" s="537"/>
      <c r="G6489" s="198"/>
      <c r="H6489" s="123"/>
    </row>
    <row r="6490" spans="3:8" s="99" customFormat="1" x14ac:dyDescent="0.2">
      <c r="C6490" s="198"/>
      <c r="D6490" s="198"/>
      <c r="E6490" s="537"/>
      <c r="G6490" s="198"/>
      <c r="H6490" s="123"/>
    </row>
    <row r="6491" spans="3:8" s="99" customFormat="1" x14ac:dyDescent="0.2">
      <c r="C6491" s="198"/>
      <c r="D6491" s="198"/>
      <c r="E6491" s="537"/>
      <c r="G6491" s="198"/>
      <c r="H6491" s="123"/>
    </row>
    <row r="6492" spans="3:8" s="99" customFormat="1" x14ac:dyDescent="0.2">
      <c r="C6492" s="198"/>
      <c r="D6492" s="198"/>
      <c r="E6492" s="537"/>
      <c r="G6492" s="198"/>
      <c r="H6492" s="123"/>
    </row>
    <row r="6493" spans="3:8" s="99" customFormat="1" x14ac:dyDescent="0.2">
      <c r="C6493" s="198"/>
      <c r="D6493" s="198"/>
      <c r="E6493" s="537"/>
      <c r="G6493" s="198"/>
      <c r="H6493" s="123"/>
    </row>
    <row r="6494" spans="3:8" s="99" customFormat="1" x14ac:dyDescent="0.2">
      <c r="C6494" s="198"/>
      <c r="D6494" s="198"/>
      <c r="E6494" s="537"/>
      <c r="G6494" s="198"/>
      <c r="H6494" s="123"/>
    </row>
    <row r="6495" spans="3:8" s="99" customFormat="1" x14ac:dyDescent="0.2">
      <c r="C6495" s="198"/>
      <c r="D6495" s="198"/>
      <c r="E6495" s="537"/>
      <c r="G6495" s="198"/>
      <c r="H6495" s="123"/>
    </row>
    <row r="6496" spans="3:8" s="99" customFormat="1" x14ac:dyDescent="0.2">
      <c r="C6496" s="198"/>
      <c r="D6496" s="198"/>
      <c r="E6496" s="537"/>
      <c r="G6496" s="198"/>
      <c r="H6496" s="123"/>
    </row>
    <row r="6497" spans="3:8" s="99" customFormat="1" x14ac:dyDescent="0.2">
      <c r="C6497" s="198"/>
      <c r="D6497" s="198"/>
      <c r="E6497" s="537"/>
      <c r="G6497" s="198"/>
      <c r="H6497" s="123"/>
    </row>
    <row r="6498" spans="3:8" s="99" customFormat="1" x14ac:dyDescent="0.2">
      <c r="C6498" s="198"/>
      <c r="D6498" s="198"/>
      <c r="E6498" s="537"/>
      <c r="G6498" s="198"/>
      <c r="H6498" s="123"/>
    </row>
    <row r="6499" spans="3:8" s="99" customFormat="1" x14ac:dyDescent="0.2">
      <c r="C6499" s="198"/>
      <c r="D6499" s="198"/>
      <c r="E6499" s="537"/>
      <c r="G6499" s="198"/>
      <c r="H6499" s="123"/>
    </row>
    <row r="6500" spans="3:8" s="99" customFormat="1" x14ac:dyDescent="0.2">
      <c r="C6500" s="198"/>
      <c r="D6500" s="198"/>
      <c r="E6500" s="537"/>
      <c r="G6500" s="198"/>
      <c r="H6500" s="123"/>
    </row>
    <row r="6501" spans="3:8" s="99" customFormat="1" x14ac:dyDescent="0.2">
      <c r="C6501" s="198"/>
      <c r="D6501" s="198"/>
      <c r="E6501" s="537"/>
      <c r="G6501" s="198"/>
      <c r="H6501" s="123"/>
    </row>
    <row r="6502" spans="3:8" s="99" customFormat="1" x14ac:dyDescent="0.2">
      <c r="C6502" s="198"/>
      <c r="D6502" s="198"/>
      <c r="E6502" s="537"/>
      <c r="G6502" s="198"/>
      <c r="H6502" s="123"/>
    </row>
    <row r="6503" spans="3:8" s="99" customFormat="1" x14ac:dyDescent="0.2">
      <c r="C6503" s="198"/>
      <c r="D6503" s="198"/>
      <c r="E6503" s="537"/>
      <c r="G6503" s="198"/>
      <c r="H6503" s="123"/>
    </row>
    <row r="6504" spans="3:8" s="99" customFormat="1" x14ac:dyDescent="0.2">
      <c r="C6504" s="198"/>
      <c r="D6504" s="198"/>
      <c r="E6504" s="537"/>
      <c r="G6504" s="198"/>
      <c r="H6504" s="123"/>
    </row>
    <row r="6505" spans="3:8" s="99" customFormat="1" x14ac:dyDescent="0.2">
      <c r="C6505" s="198"/>
      <c r="D6505" s="198"/>
      <c r="E6505" s="537"/>
      <c r="G6505" s="198"/>
      <c r="H6505" s="123"/>
    </row>
    <row r="6506" spans="3:8" s="99" customFormat="1" x14ac:dyDescent="0.2">
      <c r="C6506" s="198"/>
      <c r="D6506" s="198"/>
      <c r="E6506" s="537"/>
      <c r="G6506" s="198"/>
      <c r="H6506" s="123"/>
    </row>
    <row r="6507" spans="3:8" s="99" customFormat="1" x14ac:dyDescent="0.2">
      <c r="C6507" s="198"/>
      <c r="D6507" s="198"/>
      <c r="E6507" s="537"/>
      <c r="G6507" s="198"/>
      <c r="H6507" s="123"/>
    </row>
    <row r="6508" spans="3:8" s="99" customFormat="1" x14ac:dyDescent="0.2">
      <c r="C6508" s="198"/>
      <c r="D6508" s="198"/>
      <c r="E6508" s="537"/>
      <c r="G6508" s="198"/>
      <c r="H6508" s="123"/>
    </row>
    <row r="6509" spans="3:8" s="99" customFormat="1" x14ac:dyDescent="0.2">
      <c r="C6509" s="198"/>
      <c r="D6509" s="198"/>
      <c r="E6509" s="537"/>
      <c r="G6509" s="198"/>
      <c r="H6509" s="123"/>
    </row>
    <row r="6510" spans="3:8" s="99" customFormat="1" x14ac:dyDescent="0.2">
      <c r="C6510" s="198"/>
      <c r="D6510" s="198"/>
      <c r="E6510" s="537"/>
      <c r="G6510" s="198"/>
      <c r="H6510" s="123"/>
    </row>
    <row r="6511" spans="3:8" s="99" customFormat="1" x14ac:dyDescent="0.2">
      <c r="C6511" s="198"/>
      <c r="D6511" s="198"/>
      <c r="E6511" s="537"/>
      <c r="G6511" s="198"/>
      <c r="H6511" s="123"/>
    </row>
    <row r="6512" spans="3:8" s="99" customFormat="1" x14ac:dyDescent="0.2">
      <c r="C6512" s="198"/>
      <c r="D6512" s="198"/>
      <c r="E6512" s="537"/>
      <c r="G6512" s="198"/>
      <c r="H6512" s="123"/>
    </row>
    <row r="6513" spans="3:8" s="99" customFormat="1" x14ac:dyDescent="0.2">
      <c r="C6513" s="198"/>
      <c r="D6513" s="198"/>
      <c r="E6513" s="537"/>
      <c r="G6513" s="198"/>
      <c r="H6513" s="123"/>
    </row>
    <row r="6514" spans="3:8" s="99" customFormat="1" x14ac:dyDescent="0.2">
      <c r="C6514" s="198"/>
      <c r="D6514" s="198"/>
      <c r="E6514" s="537"/>
      <c r="G6514" s="198"/>
      <c r="H6514" s="123"/>
    </row>
    <row r="6515" spans="3:8" s="99" customFormat="1" x14ac:dyDescent="0.2">
      <c r="C6515" s="198"/>
      <c r="D6515" s="198"/>
      <c r="E6515" s="537"/>
      <c r="G6515" s="198"/>
      <c r="H6515" s="123"/>
    </row>
    <row r="6516" spans="3:8" s="99" customFormat="1" x14ac:dyDescent="0.2">
      <c r="C6516" s="198"/>
      <c r="D6516" s="198"/>
      <c r="E6516" s="537"/>
      <c r="G6516" s="198"/>
      <c r="H6516" s="123"/>
    </row>
    <row r="6517" spans="3:8" s="99" customFormat="1" x14ac:dyDescent="0.2">
      <c r="C6517" s="198"/>
      <c r="D6517" s="198"/>
      <c r="E6517" s="537"/>
      <c r="G6517" s="198"/>
      <c r="H6517" s="123"/>
    </row>
    <row r="6518" spans="3:8" s="99" customFormat="1" x14ac:dyDescent="0.2">
      <c r="C6518" s="198"/>
      <c r="D6518" s="198"/>
      <c r="E6518" s="537"/>
      <c r="G6518" s="198"/>
      <c r="H6518" s="123"/>
    </row>
    <row r="6519" spans="3:8" s="99" customFormat="1" x14ac:dyDescent="0.2">
      <c r="C6519" s="198"/>
      <c r="D6519" s="198"/>
      <c r="E6519" s="537"/>
      <c r="G6519" s="198"/>
      <c r="H6519" s="123"/>
    </row>
    <row r="6520" spans="3:8" s="99" customFormat="1" x14ac:dyDescent="0.2">
      <c r="C6520" s="198"/>
      <c r="D6520" s="198"/>
      <c r="E6520" s="537"/>
      <c r="G6520" s="198"/>
      <c r="H6520" s="123"/>
    </row>
    <row r="6521" spans="3:8" s="99" customFormat="1" x14ac:dyDescent="0.2">
      <c r="C6521" s="198"/>
      <c r="D6521" s="198"/>
      <c r="E6521" s="537"/>
      <c r="G6521" s="198"/>
      <c r="H6521" s="123"/>
    </row>
    <row r="6522" spans="3:8" s="99" customFormat="1" x14ac:dyDescent="0.2">
      <c r="C6522" s="198"/>
      <c r="D6522" s="198"/>
      <c r="E6522" s="537"/>
      <c r="G6522" s="198"/>
      <c r="H6522" s="123"/>
    </row>
    <row r="6523" spans="3:8" s="99" customFormat="1" x14ac:dyDescent="0.2">
      <c r="C6523" s="198"/>
      <c r="D6523" s="198"/>
      <c r="E6523" s="537"/>
      <c r="G6523" s="198"/>
      <c r="H6523" s="123"/>
    </row>
    <row r="6524" spans="3:8" s="99" customFormat="1" x14ac:dyDescent="0.2">
      <c r="C6524" s="198"/>
      <c r="D6524" s="198"/>
      <c r="E6524" s="537"/>
      <c r="G6524" s="198"/>
      <c r="H6524" s="123"/>
    </row>
    <row r="6525" spans="3:8" s="99" customFormat="1" x14ac:dyDescent="0.2">
      <c r="C6525" s="198"/>
      <c r="D6525" s="198"/>
      <c r="E6525" s="537"/>
      <c r="G6525" s="198"/>
      <c r="H6525" s="123"/>
    </row>
    <row r="6526" spans="3:8" s="99" customFormat="1" x14ac:dyDescent="0.2">
      <c r="C6526" s="198"/>
      <c r="D6526" s="198"/>
      <c r="E6526" s="537"/>
      <c r="G6526" s="198"/>
      <c r="H6526" s="123"/>
    </row>
    <row r="6527" spans="3:8" s="99" customFormat="1" x14ac:dyDescent="0.2">
      <c r="C6527" s="198"/>
      <c r="D6527" s="198"/>
      <c r="E6527" s="537"/>
      <c r="G6527" s="198"/>
      <c r="H6527" s="123"/>
    </row>
    <row r="6528" spans="3:8" s="99" customFormat="1" x14ac:dyDescent="0.2">
      <c r="C6528" s="198"/>
      <c r="D6528" s="198"/>
      <c r="E6528" s="537"/>
      <c r="G6528" s="198"/>
      <c r="H6528" s="123"/>
    </row>
    <row r="6529" spans="3:8" s="99" customFormat="1" x14ac:dyDescent="0.2">
      <c r="C6529" s="198"/>
      <c r="D6529" s="198"/>
      <c r="E6529" s="537"/>
      <c r="G6529" s="198"/>
      <c r="H6529" s="123"/>
    </row>
    <row r="6530" spans="3:8" s="99" customFormat="1" x14ac:dyDescent="0.2">
      <c r="C6530" s="198"/>
      <c r="D6530" s="198"/>
      <c r="E6530" s="537"/>
      <c r="G6530" s="198"/>
      <c r="H6530" s="123"/>
    </row>
    <row r="6531" spans="3:8" s="99" customFormat="1" x14ac:dyDescent="0.2">
      <c r="C6531" s="198"/>
      <c r="D6531" s="198"/>
      <c r="E6531" s="537"/>
      <c r="G6531" s="198"/>
      <c r="H6531" s="123"/>
    </row>
    <row r="6532" spans="3:8" s="99" customFormat="1" x14ac:dyDescent="0.2">
      <c r="C6532" s="198"/>
      <c r="D6532" s="198"/>
      <c r="E6532" s="537"/>
      <c r="G6532" s="198"/>
      <c r="H6532" s="123"/>
    </row>
    <row r="6533" spans="3:8" s="99" customFormat="1" x14ac:dyDescent="0.2">
      <c r="C6533" s="198"/>
      <c r="D6533" s="198"/>
      <c r="E6533" s="537"/>
      <c r="G6533" s="198"/>
      <c r="H6533" s="123"/>
    </row>
    <row r="6534" spans="3:8" s="99" customFormat="1" x14ac:dyDescent="0.2">
      <c r="C6534" s="198"/>
      <c r="D6534" s="198"/>
      <c r="E6534" s="537"/>
      <c r="G6534" s="198"/>
      <c r="H6534" s="123"/>
    </row>
    <row r="6535" spans="3:8" s="99" customFormat="1" x14ac:dyDescent="0.2">
      <c r="C6535" s="198"/>
      <c r="D6535" s="198"/>
      <c r="E6535" s="537"/>
      <c r="G6535" s="198"/>
      <c r="H6535" s="123"/>
    </row>
    <row r="6536" spans="3:8" s="99" customFormat="1" x14ac:dyDescent="0.2">
      <c r="C6536" s="198"/>
      <c r="D6536" s="198"/>
      <c r="E6536" s="537"/>
      <c r="G6536" s="198"/>
      <c r="H6536" s="123"/>
    </row>
    <row r="6537" spans="3:8" s="99" customFormat="1" x14ac:dyDescent="0.2">
      <c r="C6537" s="198"/>
      <c r="D6537" s="198"/>
      <c r="E6537" s="537"/>
      <c r="G6537" s="198"/>
      <c r="H6537" s="123"/>
    </row>
    <row r="6538" spans="3:8" s="99" customFormat="1" x14ac:dyDescent="0.2">
      <c r="C6538" s="198"/>
      <c r="D6538" s="198"/>
      <c r="E6538" s="537"/>
      <c r="G6538" s="198"/>
      <c r="H6538" s="123"/>
    </row>
    <row r="6539" spans="3:8" s="99" customFormat="1" x14ac:dyDescent="0.2">
      <c r="C6539" s="198"/>
      <c r="D6539" s="198"/>
      <c r="E6539" s="537"/>
      <c r="G6539" s="198"/>
      <c r="H6539" s="123"/>
    </row>
    <row r="6540" spans="3:8" s="99" customFormat="1" x14ac:dyDescent="0.2">
      <c r="C6540" s="198"/>
      <c r="D6540" s="198"/>
      <c r="E6540" s="537"/>
      <c r="G6540" s="198"/>
      <c r="H6540" s="123"/>
    </row>
    <row r="6541" spans="3:8" s="99" customFormat="1" x14ac:dyDescent="0.2">
      <c r="C6541" s="198"/>
      <c r="D6541" s="198"/>
      <c r="E6541" s="537"/>
      <c r="G6541" s="198"/>
      <c r="H6541" s="123"/>
    </row>
    <row r="6542" spans="3:8" s="99" customFormat="1" x14ac:dyDescent="0.2">
      <c r="C6542" s="198"/>
      <c r="D6542" s="198"/>
      <c r="E6542" s="537"/>
      <c r="G6542" s="198"/>
      <c r="H6542" s="123"/>
    </row>
    <row r="6543" spans="3:8" s="99" customFormat="1" x14ac:dyDescent="0.2">
      <c r="C6543" s="198"/>
      <c r="D6543" s="198"/>
      <c r="E6543" s="537"/>
      <c r="G6543" s="198"/>
      <c r="H6543" s="123"/>
    </row>
    <row r="6544" spans="3:8" s="99" customFormat="1" x14ac:dyDescent="0.2">
      <c r="C6544" s="198"/>
      <c r="D6544" s="198"/>
      <c r="E6544" s="537"/>
      <c r="G6544" s="198"/>
      <c r="H6544" s="123"/>
    </row>
    <row r="6545" spans="3:8" s="99" customFormat="1" x14ac:dyDescent="0.2">
      <c r="C6545" s="198"/>
      <c r="D6545" s="198"/>
      <c r="E6545" s="537"/>
      <c r="G6545" s="198"/>
      <c r="H6545" s="123"/>
    </row>
    <row r="6546" spans="3:8" s="99" customFormat="1" x14ac:dyDescent="0.2">
      <c r="C6546" s="198"/>
      <c r="D6546" s="198"/>
      <c r="E6546" s="537"/>
      <c r="G6546" s="198"/>
      <c r="H6546" s="123"/>
    </row>
    <row r="6547" spans="3:8" s="99" customFormat="1" x14ac:dyDescent="0.2">
      <c r="C6547" s="198"/>
      <c r="D6547" s="198"/>
      <c r="E6547" s="537"/>
      <c r="G6547" s="198"/>
      <c r="H6547" s="123"/>
    </row>
    <row r="6548" spans="3:8" s="99" customFormat="1" x14ac:dyDescent="0.2">
      <c r="C6548" s="198"/>
      <c r="D6548" s="198"/>
      <c r="E6548" s="537"/>
      <c r="G6548" s="198"/>
      <c r="H6548" s="123"/>
    </row>
    <row r="6549" spans="3:8" s="99" customFormat="1" x14ac:dyDescent="0.2">
      <c r="C6549" s="198"/>
      <c r="D6549" s="198"/>
      <c r="E6549" s="537"/>
      <c r="G6549" s="198"/>
      <c r="H6549" s="123"/>
    </row>
    <row r="6550" spans="3:8" s="99" customFormat="1" x14ac:dyDescent="0.2">
      <c r="C6550" s="198"/>
      <c r="D6550" s="198"/>
      <c r="E6550" s="537"/>
      <c r="G6550" s="198"/>
      <c r="H6550" s="123"/>
    </row>
    <row r="6551" spans="3:8" s="99" customFormat="1" x14ac:dyDescent="0.2">
      <c r="C6551" s="198"/>
      <c r="D6551" s="198"/>
      <c r="E6551" s="537"/>
      <c r="G6551" s="198"/>
      <c r="H6551" s="123"/>
    </row>
    <row r="6552" spans="3:8" s="99" customFormat="1" x14ac:dyDescent="0.2">
      <c r="C6552" s="198"/>
      <c r="D6552" s="198"/>
      <c r="E6552" s="537"/>
      <c r="G6552" s="198"/>
      <c r="H6552" s="123"/>
    </row>
    <row r="6553" spans="3:8" s="99" customFormat="1" x14ac:dyDescent="0.2">
      <c r="C6553" s="198"/>
      <c r="D6553" s="198"/>
      <c r="E6553" s="537"/>
      <c r="G6553" s="198"/>
      <c r="H6553" s="123"/>
    </row>
    <row r="6554" spans="3:8" s="99" customFormat="1" x14ac:dyDescent="0.2">
      <c r="C6554" s="198"/>
      <c r="D6554" s="198"/>
      <c r="E6554" s="537"/>
      <c r="G6554" s="198"/>
      <c r="H6554" s="123"/>
    </row>
    <row r="6555" spans="3:8" s="99" customFormat="1" x14ac:dyDescent="0.2">
      <c r="C6555" s="198"/>
      <c r="D6555" s="198"/>
      <c r="E6555" s="537"/>
      <c r="G6555" s="198"/>
      <c r="H6555" s="123"/>
    </row>
    <row r="6556" spans="3:8" s="99" customFormat="1" x14ac:dyDescent="0.2">
      <c r="C6556" s="198"/>
      <c r="D6556" s="198"/>
      <c r="E6556" s="537"/>
      <c r="G6556" s="198"/>
      <c r="H6556" s="123"/>
    </row>
    <row r="6557" spans="3:8" s="99" customFormat="1" x14ac:dyDescent="0.2">
      <c r="C6557" s="198"/>
      <c r="D6557" s="198"/>
      <c r="E6557" s="537"/>
      <c r="G6557" s="198"/>
      <c r="H6557" s="123"/>
    </row>
    <row r="6558" spans="3:8" s="99" customFormat="1" x14ac:dyDescent="0.2">
      <c r="C6558" s="198"/>
      <c r="D6558" s="198"/>
      <c r="E6558" s="537"/>
      <c r="G6558" s="198"/>
      <c r="H6558" s="123"/>
    </row>
    <row r="6559" spans="3:8" s="99" customFormat="1" x14ac:dyDescent="0.2">
      <c r="C6559" s="198"/>
      <c r="D6559" s="198"/>
      <c r="E6559" s="537"/>
      <c r="G6559" s="198"/>
      <c r="H6559" s="123"/>
    </row>
    <row r="6560" spans="3:8" s="99" customFormat="1" x14ac:dyDescent="0.2">
      <c r="C6560" s="198"/>
      <c r="D6560" s="198"/>
      <c r="E6560" s="537"/>
      <c r="G6560" s="198"/>
      <c r="H6560" s="123"/>
    </row>
    <row r="6561" spans="3:8" s="99" customFormat="1" x14ac:dyDescent="0.2">
      <c r="C6561" s="198"/>
      <c r="D6561" s="198"/>
      <c r="E6561" s="537"/>
      <c r="G6561" s="198"/>
      <c r="H6561" s="123"/>
    </row>
    <row r="6562" spans="3:8" s="99" customFormat="1" x14ac:dyDescent="0.2">
      <c r="C6562" s="198"/>
      <c r="D6562" s="198"/>
      <c r="E6562" s="537"/>
      <c r="G6562" s="198"/>
      <c r="H6562" s="123"/>
    </row>
    <row r="6563" spans="3:8" s="99" customFormat="1" x14ac:dyDescent="0.2">
      <c r="C6563" s="198"/>
      <c r="D6563" s="198"/>
      <c r="E6563" s="537"/>
      <c r="G6563" s="198"/>
      <c r="H6563" s="123"/>
    </row>
    <row r="6564" spans="3:8" s="99" customFormat="1" x14ac:dyDescent="0.2">
      <c r="C6564" s="198"/>
      <c r="D6564" s="198"/>
      <c r="E6564" s="537"/>
      <c r="G6564" s="198"/>
      <c r="H6564" s="123"/>
    </row>
    <row r="6565" spans="3:8" s="99" customFormat="1" x14ac:dyDescent="0.2">
      <c r="C6565" s="198"/>
      <c r="D6565" s="198"/>
      <c r="E6565" s="537"/>
      <c r="G6565" s="198"/>
      <c r="H6565" s="123"/>
    </row>
    <row r="6566" spans="3:8" s="99" customFormat="1" x14ac:dyDescent="0.2">
      <c r="C6566" s="198"/>
      <c r="D6566" s="198"/>
      <c r="E6566" s="537"/>
      <c r="G6566" s="198"/>
      <c r="H6566" s="123"/>
    </row>
    <row r="6567" spans="3:8" s="99" customFormat="1" x14ac:dyDescent="0.2">
      <c r="C6567" s="198"/>
      <c r="D6567" s="198"/>
      <c r="E6567" s="537"/>
      <c r="G6567" s="198"/>
      <c r="H6567" s="123"/>
    </row>
    <row r="6568" spans="3:8" s="99" customFormat="1" x14ac:dyDescent="0.2">
      <c r="C6568" s="198"/>
      <c r="D6568" s="198"/>
      <c r="E6568" s="537"/>
      <c r="G6568" s="198"/>
      <c r="H6568" s="123"/>
    </row>
    <row r="6569" spans="3:8" s="99" customFormat="1" x14ac:dyDescent="0.2">
      <c r="C6569" s="198"/>
      <c r="D6569" s="198"/>
      <c r="E6569" s="537"/>
      <c r="G6569" s="198"/>
      <c r="H6569" s="123"/>
    </row>
    <row r="6570" spans="3:8" s="99" customFormat="1" x14ac:dyDescent="0.2">
      <c r="C6570" s="198"/>
      <c r="D6570" s="198"/>
      <c r="E6570" s="537"/>
      <c r="G6570" s="198"/>
      <c r="H6570" s="123"/>
    </row>
    <row r="6571" spans="3:8" s="99" customFormat="1" x14ac:dyDescent="0.2">
      <c r="C6571" s="198"/>
      <c r="D6571" s="198"/>
      <c r="E6571" s="537"/>
      <c r="G6571" s="198"/>
      <c r="H6571" s="123"/>
    </row>
    <row r="6572" spans="3:8" s="99" customFormat="1" x14ac:dyDescent="0.2">
      <c r="C6572" s="198"/>
      <c r="D6572" s="198"/>
      <c r="E6572" s="537"/>
      <c r="G6572" s="198"/>
      <c r="H6572" s="123"/>
    </row>
    <row r="6573" spans="3:8" s="99" customFormat="1" x14ac:dyDescent="0.2">
      <c r="C6573" s="198"/>
      <c r="D6573" s="198"/>
      <c r="E6573" s="537"/>
      <c r="G6573" s="198"/>
      <c r="H6573" s="123"/>
    </row>
    <row r="6574" spans="3:8" s="99" customFormat="1" x14ac:dyDescent="0.2">
      <c r="C6574" s="198"/>
      <c r="D6574" s="198"/>
      <c r="E6574" s="537"/>
      <c r="G6574" s="198"/>
      <c r="H6574" s="123"/>
    </row>
    <row r="6575" spans="3:8" s="99" customFormat="1" x14ac:dyDescent="0.2">
      <c r="C6575" s="198"/>
      <c r="D6575" s="198"/>
      <c r="E6575" s="537"/>
      <c r="G6575" s="198"/>
      <c r="H6575" s="123"/>
    </row>
    <row r="6576" spans="3:8" s="99" customFormat="1" x14ac:dyDescent="0.2">
      <c r="C6576" s="198"/>
      <c r="D6576" s="198"/>
      <c r="E6576" s="537"/>
      <c r="G6576" s="198"/>
      <c r="H6576" s="123"/>
    </row>
    <row r="6577" spans="3:8" s="99" customFormat="1" x14ac:dyDescent="0.2">
      <c r="C6577" s="198"/>
      <c r="D6577" s="198"/>
      <c r="E6577" s="537"/>
      <c r="G6577" s="198"/>
      <c r="H6577" s="123"/>
    </row>
    <row r="6578" spans="3:8" s="99" customFormat="1" x14ac:dyDescent="0.2">
      <c r="C6578" s="198"/>
      <c r="D6578" s="198"/>
      <c r="E6578" s="537"/>
      <c r="G6578" s="198"/>
      <c r="H6578" s="123"/>
    </row>
    <row r="6579" spans="3:8" s="99" customFormat="1" x14ac:dyDescent="0.2">
      <c r="C6579" s="198"/>
      <c r="D6579" s="198"/>
      <c r="E6579" s="537"/>
      <c r="G6579" s="198"/>
      <c r="H6579" s="123"/>
    </row>
    <row r="6580" spans="3:8" s="99" customFormat="1" x14ac:dyDescent="0.2">
      <c r="C6580" s="198"/>
      <c r="D6580" s="198"/>
      <c r="E6580" s="537"/>
      <c r="G6580" s="198"/>
      <c r="H6580" s="123"/>
    </row>
    <row r="6581" spans="3:8" s="99" customFormat="1" x14ac:dyDescent="0.2">
      <c r="C6581" s="198"/>
      <c r="D6581" s="198"/>
      <c r="E6581" s="537"/>
      <c r="G6581" s="198"/>
      <c r="H6581" s="123"/>
    </row>
    <row r="6582" spans="3:8" s="99" customFormat="1" x14ac:dyDescent="0.2">
      <c r="C6582" s="198"/>
      <c r="D6582" s="198"/>
      <c r="E6582" s="537"/>
      <c r="G6582" s="198"/>
      <c r="H6582" s="123"/>
    </row>
    <row r="6583" spans="3:8" s="99" customFormat="1" x14ac:dyDescent="0.2">
      <c r="C6583" s="198"/>
      <c r="D6583" s="198"/>
      <c r="E6583" s="537"/>
      <c r="G6583" s="198"/>
      <c r="H6583" s="123"/>
    </row>
    <row r="6584" spans="3:8" s="99" customFormat="1" x14ac:dyDescent="0.2">
      <c r="C6584" s="198"/>
      <c r="D6584" s="198"/>
      <c r="E6584" s="537"/>
      <c r="G6584" s="198"/>
      <c r="H6584" s="123"/>
    </row>
    <row r="6585" spans="3:8" s="99" customFormat="1" x14ac:dyDescent="0.2">
      <c r="C6585" s="198"/>
      <c r="D6585" s="198"/>
      <c r="E6585" s="537"/>
      <c r="G6585" s="198"/>
      <c r="H6585" s="123"/>
    </row>
    <row r="6586" spans="3:8" s="99" customFormat="1" x14ac:dyDescent="0.2">
      <c r="C6586" s="198"/>
      <c r="D6586" s="198"/>
      <c r="E6586" s="537"/>
      <c r="G6586" s="198"/>
      <c r="H6586" s="123"/>
    </row>
    <row r="6587" spans="3:8" s="99" customFormat="1" x14ac:dyDescent="0.2">
      <c r="C6587" s="198"/>
      <c r="D6587" s="198"/>
      <c r="E6587" s="537"/>
      <c r="G6587" s="198"/>
      <c r="H6587" s="123"/>
    </row>
    <row r="6588" spans="3:8" s="99" customFormat="1" x14ac:dyDescent="0.2">
      <c r="C6588" s="198"/>
      <c r="D6588" s="198"/>
      <c r="E6588" s="537"/>
      <c r="G6588" s="198"/>
      <c r="H6588" s="123"/>
    </row>
    <row r="6589" spans="3:8" s="99" customFormat="1" x14ac:dyDescent="0.2">
      <c r="C6589" s="198"/>
      <c r="D6589" s="198"/>
      <c r="E6589" s="537"/>
      <c r="G6589" s="198"/>
      <c r="H6589" s="123"/>
    </row>
    <row r="6590" spans="3:8" s="99" customFormat="1" x14ac:dyDescent="0.2">
      <c r="C6590" s="198"/>
      <c r="D6590" s="198"/>
      <c r="E6590" s="537"/>
      <c r="G6590" s="198"/>
      <c r="H6590" s="123"/>
    </row>
    <row r="6591" spans="3:8" s="99" customFormat="1" x14ac:dyDescent="0.2">
      <c r="C6591" s="198"/>
      <c r="D6591" s="198"/>
      <c r="E6591" s="537"/>
      <c r="G6591" s="198"/>
      <c r="H6591" s="123"/>
    </row>
    <row r="6592" spans="3:8" s="99" customFormat="1" x14ac:dyDescent="0.2">
      <c r="C6592" s="198"/>
      <c r="D6592" s="198"/>
      <c r="E6592" s="537"/>
      <c r="G6592" s="198"/>
      <c r="H6592" s="123"/>
    </row>
    <row r="6593" spans="3:8" s="99" customFormat="1" x14ac:dyDescent="0.2">
      <c r="C6593" s="198"/>
      <c r="D6593" s="198"/>
      <c r="E6593" s="537"/>
      <c r="G6593" s="198"/>
      <c r="H6593" s="123"/>
    </row>
    <row r="6594" spans="3:8" s="99" customFormat="1" x14ac:dyDescent="0.2">
      <c r="C6594" s="198"/>
      <c r="D6594" s="198"/>
      <c r="E6594" s="537"/>
      <c r="G6594" s="198"/>
      <c r="H6594" s="123"/>
    </row>
    <row r="6595" spans="3:8" s="99" customFormat="1" x14ac:dyDescent="0.2">
      <c r="C6595" s="198"/>
      <c r="D6595" s="198"/>
      <c r="E6595" s="537"/>
      <c r="G6595" s="198"/>
      <c r="H6595" s="123"/>
    </row>
    <row r="6596" spans="3:8" s="99" customFormat="1" x14ac:dyDescent="0.2">
      <c r="C6596" s="198"/>
      <c r="D6596" s="198"/>
      <c r="E6596" s="537"/>
      <c r="G6596" s="198"/>
      <c r="H6596" s="123"/>
    </row>
    <row r="6597" spans="3:8" s="99" customFormat="1" x14ac:dyDescent="0.2">
      <c r="C6597" s="198"/>
      <c r="D6597" s="198"/>
      <c r="E6597" s="537"/>
      <c r="G6597" s="198"/>
      <c r="H6597" s="123"/>
    </row>
    <row r="6598" spans="3:8" s="99" customFormat="1" x14ac:dyDescent="0.2">
      <c r="C6598" s="198"/>
      <c r="D6598" s="198"/>
      <c r="E6598" s="537"/>
      <c r="G6598" s="198"/>
      <c r="H6598" s="123"/>
    </row>
    <row r="6599" spans="3:8" s="99" customFormat="1" x14ac:dyDescent="0.2">
      <c r="C6599" s="198"/>
      <c r="D6599" s="198"/>
      <c r="E6599" s="537"/>
      <c r="G6599" s="198"/>
      <c r="H6599" s="123"/>
    </row>
    <row r="6600" spans="3:8" s="99" customFormat="1" x14ac:dyDescent="0.2">
      <c r="C6600" s="198"/>
      <c r="D6600" s="198"/>
      <c r="E6600" s="537"/>
      <c r="G6600" s="198"/>
      <c r="H6600" s="123"/>
    </row>
    <row r="6601" spans="3:8" s="99" customFormat="1" x14ac:dyDescent="0.2">
      <c r="C6601" s="198"/>
      <c r="D6601" s="198"/>
      <c r="E6601" s="537"/>
      <c r="G6601" s="198"/>
      <c r="H6601" s="123"/>
    </row>
    <row r="6602" spans="3:8" s="99" customFormat="1" x14ac:dyDescent="0.2">
      <c r="C6602" s="198"/>
      <c r="D6602" s="198"/>
      <c r="E6602" s="537"/>
      <c r="G6602" s="198"/>
      <c r="H6602" s="123"/>
    </row>
    <row r="6603" spans="3:8" s="99" customFormat="1" x14ac:dyDescent="0.2">
      <c r="C6603" s="198"/>
      <c r="D6603" s="198"/>
      <c r="E6603" s="537"/>
      <c r="G6603" s="198"/>
      <c r="H6603" s="123"/>
    </row>
    <row r="6604" spans="3:8" s="99" customFormat="1" x14ac:dyDescent="0.2">
      <c r="C6604" s="198"/>
      <c r="D6604" s="198"/>
      <c r="E6604" s="537"/>
      <c r="G6604" s="198"/>
      <c r="H6604" s="123"/>
    </row>
    <row r="6605" spans="3:8" s="99" customFormat="1" x14ac:dyDescent="0.2">
      <c r="C6605" s="198"/>
      <c r="D6605" s="198"/>
      <c r="E6605" s="537"/>
      <c r="G6605" s="198"/>
      <c r="H6605" s="123"/>
    </row>
    <row r="6606" spans="3:8" s="99" customFormat="1" x14ac:dyDescent="0.2">
      <c r="C6606" s="198"/>
      <c r="D6606" s="198"/>
      <c r="E6606" s="537"/>
      <c r="G6606" s="198"/>
      <c r="H6606" s="123"/>
    </row>
    <row r="6607" spans="3:8" s="99" customFormat="1" x14ac:dyDescent="0.2">
      <c r="C6607" s="198"/>
      <c r="D6607" s="198"/>
      <c r="E6607" s="537"/>
      <c r="G6607" s="198"/>
      <c r="H6607" s="123"/>
    </row>
    <row r="6608" spans="3:8" s="99" customFormat="1" x14ac:dyDescent="0.2">
      <c r="C6608" s="198"/>
      <c r="D6608" s="198"/>
      <c r="E6608" s="537"/>
      <c r="G6608" s="198"/>
      <c r="H6608" s="123"/>
    </row>
    <row r="6609" spans="3:8" s="99" customFormat="1" x14ac:dyDescent="0.2">
      <c r="C6609" s="198"/>
      <c r="D6609" s="198"/>
      <c r="E6609" s="537"/>
      <c r="G6609" s="198"/>
      <c r="H6609" s="123"/>
    </row>
    <row r="6610" spans="3:8" s="99" customFormat="1" x14ac:dyDescent="0.2">
      <c r="C6610" s="198"/>
      <c r="D6610" s="198"/>
      <c r="E6610" s="537"/>
      <c r="G6610" s="198"/>
      <c r="H6610" s="123"/>
    </row>
    <row r="6611" spans="3:8" s="99" customFormat="1" x14ac:dyDescent="0.2">
      <c r="C6611" s="198"/>
      <c r="D6611" s="198"/>
      <c r="E6611" s="537"/>
      <c r="G6611" s="198"/>
      <c r="H6611" s="123"/>
    </row>
    <row r="6612" spans="3:8" s="99" customFormat="1" x14ac:dyDescent="0.2">
      <c r="C6612" s="198"/>
      <c r="D6612" s="198"/>
      <c r="E6612" s="537"/>
      <c r="G6612" s="198"/>
      <c r="H6612" s="123"/>
    </row>
    <row r="6613" spans="3:8" s="99" customFormat="1" x14ac:dyDescent="0.2">
      <c r="C6613" s="198"/>
      <c r="D6613" s="198"/>
      <c r="E6613" s="537"/>
      <c r="G6613" s="198"/>
      <c r="H6613" s="123"/>
    </row>
    <row r="6614" spans="3:8" s="99" customFormat="1" x14ac:dyDescent="0.2">
      <c r="C6614" s="198"/>
      <c r="D6614" s="198"/>
      <c r="E6614" s="537"/>
      <c r="G6614" s="198"/>
      <c r="H6614" s="123"/>
    </row>
    <row r="6615" spans="3:8" s="99" customFormat="1" x14ac:dyDescent="0.2">
      <c r="C6615" s="198"/>
      <c r="D6615" s="198"/>
      <c r="E6615" s="537"/>
      <c r="G6615" s="198"/>
      <c r="H6615" s="123"/>
    </row>
    <row r="6616" spans="3:8" s="99" customFormat="1" x14ac:dyDescent="0.2">
      <c r="C6616" s="198"/>
      <c r="D6616" s="198"/>
      <c r="E6616" s="537"/>
      <c r="G6616" s="198"/>
      <c r="H6616" s="123"/>
    </row>
    <row r="6617" spans="3:8" s="99" customFormat="1" x14ac:dyDescent="0.2">
      <c r="C6617" s="198"/>
      <c r="D6617" s="198"/>
      <c r="E6617" s="537"/>
      <c r="G6617" s="198"/>
      <c r="H6617" s="123"/>
    </row>
    <row r="6618" spans="3:8" s="99" customFormat="1" x14ac:dyDescent="0.2">
      <c r="C6618" s="198"/>
      <c r="D6618" s="198"/>
      <c r="E6618" s="537"/>
      <c r="G6618" s="198"/>
      <c r="H6618" s="123"/>
    </row>
    <row r="6619" spans="3:8" s="99" customFormat="1" x14ac:dyDescent="0.2">
      <c r="C6619" s="198"/>
      <c r="D6619" s="198"/>
      <c r="E6619" s="537"/>
      <c r="G6619" s="198"/>
      <c r="H6619" s="123"/>
    </row>
    <row r="6620" spans="3:8" s="99" customFormat="1" x14ac:dyDescent="0.2">
      <c r="C6620" s="198"/>
      <c r="D6620" s="198"/>
      <c r="E6620" s="537"/>
      <c r="G6620" s="198"/>
      <c r="H6620" s="123"/>
    </row>
    <row r="6621" spans="3:8" s="99" customFormat="1" x14ac:dyDescent="0.2">
      <c r="C6621" s="198"/>
      <c r="D6621" s="198"/>
      <c r="E6621" s="537"/>
      <c r="G6621" s="198"/>
      <c r="H6621" s="123"/>
    </row>
    <row r="6622" spans="3:8" s="99" customFormat="1" x14ac:dyDescent="0.2">
      <c r="C6622" s="198"/>
      <c r="D6622" s="198"/>
      <c r="E6622" s="537"/>
      <c r="G6622" s="198"/>
      <c r="H6622" s="123"/>
    </row>
    <row r="6623" spans="3:8" s="99" customFormat="1" x14ac:dyDescent="0.2">
      <c r="C6623" s="198"/>
      <c r="D6623" s="198"/>
      <c r="E6623" s="537"/>
      <c r="G6623" s="198"/>
      <c r="H6623" s="123"/>
    </row>
    <row r="6624" spans="3:8" s="99" customFormat="1" x14ac:dyDescent="0.2">
      <c r="C6624" s="198"/>
      <c r="D6624" s="198"/>
      <c r="E6624" s="537"/>
      <c r="G6624" s="198"/>
      <c r="H6624" s="123"/>
    </row>
    <row r="6625" spans="3:8" s="99" customFormat="1" x14ac:dyDescent="0.2">
      <c r="C6625" s="198"/>
      <c r="D6625" s="198"/>
      <c r="E6625" s="537"/>
      <c r="G6625" s="198"/>
      <c r="H6625" s="123"/>
    </row>
    <row r="6626" spans="3:8" s="99" customFormat="1" x14ac:dyDescent="0.2">
      <c r="C6626" s="198"/>
      <c r="D6626" s="198"/>
      <c r="E6626" s="537"/>
      <c r="G6626" s="198"/>
      <c r="H6626" s="123"/>
    </row>
    <row r="6627" spans="3:8" s="99" customFormat="1" x14ac:dyDescent="0.2">
      <c r="C6627" s="198"/>
      <c r="D6627" s="198"/>
      <c r="E6627" s="537"/>
      <c r="G6627" s="198"/>
      <c r="H6627" s="123"/>
    </row>
    <row r="6628" spans="3:8" s="99" customFormat="1" x14ac:dyDescent="0.2">
      <c r="C6628" s="198"/>
      <c r="D6628" s="198"/>
      <c r="E6628" s="537"/>
      <c r="G6628" s="198"/>
      <c r="H6628" s="123"/>
    </row>
    <row r="6629" spans="3:8" s="99" customFormat="1" x14ac:dyDescent="0.2">
      <c r="C6629" s="198"/>
      <c r="D6629" s="198"/>
      <c r="E6629" s="537"/>
      <c r="G6629" s="198"/>
      <c r="H6629" s="123"/>
    </row>
    <row r="6630" spans="3:8" s="99" customFormat="1" x14ac:dyDescent="0.2">
      <c r="C6630" s="198"/>
      <c r="D6630" s="198"/>
      <c r="E6630" s="537"/>
      <c r="G6630" s="198"/>
      <c r="H6630" s="123"/>
    </row>
    <row r="6631" spans="3:8" s="99" customFormat="1" x14ac:dyDescent="0.2">
      <c r="C6631" s="198"/>
      <c r="D6631" s="198"/>
      <c r="E6631" s="537"/>
      <c r="G6631" s="198"/>
      <c r="H6631" s="123"/>
    </row>
    <row r="6632" spans="3:8" s="99" customFormat="1" x14ac:dyDescent="0.2">
      <c r="C6632" s="198"/>
      <c r="D6632" s="198"/>
      <c r="E6632" s="537"/>
      <c r="G6632" s="198"/>
      <c r="H6632" s="123"/>
    </row>
    <row r="6633" spans="3:8" s="99" customFormat="1" x14ac:dyDescent="0.2">
      <c r="C6633" s="198"/>
      <c r="D6633" s="198"/>
      <c r="E6633" s="537"/>
      <c r="G6633" s="198"/>
      <c r="H6633" s="123"/>
    </row>
    <row r="6634" spans="3:8" s="99" customFormat="1" x14ac:dyDescent="0.2">
      <c r="C6634" s="198"/>
      <c r="D6634" s="198"/>
      <c r="E6634" s="537"/>
      <c r="G6634" s="198"/>
      <c r="H6634" s="123"/>
    </row>
    <row r="6635" spans="3:8" s="99" customFormat="1" x14ac:dyDescent="0.2">
      <c r="C6635" s="198"/>
      <c r="D6635" s="198"/>
      <c r="E6635" s="537"/>
      <c r="G6635" s="198"/>
      <c r="H6635" s="123"/>
    </row>
    <row r="6636" spans="3:8" s="99" customFormat="1" x14ac:dyDescent="0.2">
      <c r="C6636" s="198"/>
      <c r="D6636" s="198"/>
      <c r="E6636" s="537"/>
      <c r="G6636" s="198"/>
      <c r="H6636" s="123"/>
    </row>
    <row r="6637" spans="3:8" s="99" customFormat="1" x14ac:dyDescent="0.2">
      <c r="C6637" s="198"/>
      <c r="D6637" s="198"/>
      <c r="E6637" s="537"/>
      <c r="G6637" s="198"/>
      <c r="H6637" s="123"/>
    </row>
    <row r="6638" spans="3:8" s="99" customFormat="1" x14ac:dyDescent="0.2">
      <c r="C6638" s="198"/>
      <c r="D6638" s="198"/>
      <c r="E6638" s="537"/>
      <c r="G6638" s="198"/>
      <c r="H6638" s="123"/>
    </row>
    <row r="6639" spans="3:8" s="99" customFormat="1" x14ac:dyDescent="0.2">
      <c r="C6639" s="198"/>
      <c r="D6639" s="198"/>
      <c r="E6639" s="537"/>
      <c r="G6639" s="198"/>
      <c r="H6639" s="123"/>
    </row>
    <row r="6640" spans="3:8" s="99" customFormat="1" x14ac:dyDescent="0.2">
      <c r="C6640" s="198"/>
      <c r="D6640" s="198"/>
      <c r="E6640" s="537"/>
      <c r="G6640" s="198"/>
      <c r="H6640" s="123"/>
    </row>
    <row r="6641" spans="3:8" s="99" customFormat="1" x14ac:dyDescent="0.2">
      <c r="C6641" s="198"/>
      <c r="D6641" s="198"/>
      <c r="E6641" s="537"/>
      <c r="G6641" s="198"/>
      <c r="H6641" s="123"/>
    </row>
    <row r="6642" spans="3:8" s="99" customFormat="1" x14ac:dyDescent="0.2">
      <c r="C6642" s="198"/>
      <c r="D6642" s="198"/>
      <c r="E6642" s="537"/>
      <c r="G6642" s="198"/>
      <c r="H6642" s="123"/>
    </row>
    <row r="6643" spans="3:8" s="99" customFormat="1" x14ac:dyDescent="0.2">
      <c r="C6643" s="198"/>
      <c r="D6643" s="198"/>
      <c r="E6643" s="537"/>
      <c r="G6643" s="198"/>
      <c r="H6643" s="123"/>
    </row>
    <row r="6644" spans="3:8" s="99" customFormat="1" x14ac:dyDescent="0.2">
      <c r="C6644" s="198"/>
      <c r="D6644" s="198"/>
      <c r="E6644" s="537"/>
      <c r="G6644" s="198"/>
      <c r="H6644" s="123"/>
    </row>
    <row r="6645" spans="3:8" s="99" customFormat="1" x14ac:dyDescent="0.2">
      <c r="C6645" s="198"/>
      <c r="D6645" s="198"/>
      <c r="E6645" s="537"/>
      <c r="G6645" s="198"/>
      <c r="H6645" s="123"/>
    </row>
    <row r="6646" spans="3:8" s="99" customFormat="1" x14ac:dyDescent="0.2">
      <c r="C6646" s="198"/>
      <c r="D6646" s="198"/>
      <c r="E6646" s="537"/>
      <c r="G6646" s="198"/>
      <c r="H6646" s="123"/>
    </row>
    <row r="6647" spans="3:8" s="99" customFormat="1" x14ac:dyDescent="0.2">
      <c r="C6647" s="198"/>
      <c r="D6647" s="198"/>
      <c r="E6647" s="537"/>
      <c r="G6647" s="198"/>
      <c r="H6647" s="123"/>
    </row>
    <row r="6648" spans="3:8" s="99" customFormat="1" x14ac:dyDescent="0.2">
      <c r="C6648" s="198"/>
      <c r="D6648" s="198"/>
      <c r="E6648" s="537"/>
      <c r="G6648" s="198"/>
      <c r="H6648" s="123"/>
    </row>
    <row r="6649" spans="3:8" s="99" customFormat="1" x14ac:dyDescent="0.2">
      <c r="C6649" s="198"/>
      <c r="D6649" s="198"/>
      <c r="E6649" s="537"/>
      <c r="G6649" s="198"/>
      <c r="H6649" s="123"/>
    </row>
    <row r="6650" spans="3:8" s="99" customFormat="1" x14ac:dyDescent="0.2">
      <c r="C6650" s="198"/>
      <c r="D6650" s="198"/>
      <c r="E6650" s="537"/>
      <c r="G6650" s="198"/>
      <c r="H6650" s="123"/>
    </row>
    <row r="6651" spans="3:8" s="99" customFormat="1" x14ac:dyDescent="0.2">
      <c r="C6651" s="198"/>
      <c r="D6651" s="198"/>
      <c r="E6651" s="537"/>
      <c r="G6651" s="198"/>
      <c r="H6651" s="123"/>
    </row>
    <row r="6652" spans="3:8" s="99" customFormat="1" x14ac:dyDescent="0.2">
      <c r="C6652" s="198"/>
      <c r="D6652" s="198"/>
      <c r="E6652" s="537"/>
      <c r="G6652" s="198"/>
      <c r="H6652" s="123"/>
    </row>
    <row r="6653" spans="3:8" s="99" customFormat="1" x14ac:dyDescent="0.2">
      <c r="C6653" s="198"/>
      <c r="D6653" s="198"/>
      <c r="E6653" s="537"/>
      <c r="G6653" s="198"/>
      <c r="H6653" s="123"/>
    </row>
    <row r="6654" spans="3:8" s="99" customFormat="1" x14ac:dyDescent="0.2">
      <c r="C6654" s="198"/>
      <c r="D6654" s="198"/>
      <c r="E6654" s="537"/>
      <c r="G6654" s="198"/>
      <c r="H6654" s="123"/>
    </row>
    <row r="6655" spans="3:8" s="99" customFormat="1" x14ac:dyDescent="0.2">
      <c r="C6655" s="198"/>
      <c r="D6655" s="198"/>
      <c r="E6655" s="537"/>
      <c r="G6655" s="198"/>
      <c r="H6655" s="123"/>
    </row>
    <row r="6656" spans="3:8" s="99" customFormat="1" x14ac:dyDescent="0.2">
      <c r="C6656" s="198"/>
      <c r="D6656" s="198"/>
      <c r="E6656" s="537"/>
      <c r="G6656" s="198"/>
      <c r="H6656" s="123"/>
    </row>
    <row r="6657" spans="3:8" s="99" customFormat="1" x14ac:dyDescent="0.2">
      <c r="C6657" s="198"/>
      <c r="D6657" s="198"/>
      <c r="E6657" s="537"/>
      <c r="G6657" s="198"/>
      <c r="H6657" s="123"/>
    </row>
    <row r="6658" spans="3:8" s="99" customFormat="1" x14ac:dyDescent="0.2">
      <c r="C6658" s="198"/>
      <c r="D6658" s="198"/>
      <c r="E6658" s="537"/>
      <c r="G6658" s="198"/>
      <c r="H6658" s="123"/>
    </row>
    <row r="6659" spans="3:8" s="99" customFormat="1" x14ac:dyDescent="0.2">
      <c r="C6659" s="198"/>
      <c r="D6659" s="198"/>
      <c r="E6659" s="537"/>
      <c r="G6659" s="198"/>
      <c r="H6659" s="123"/>
    </row>
    <row r="6660" spans="3:8" s="99" customFormat="1" x14ac:dyDescent="0.2">
      <c r="C6660" s="198"/>
      <c r="D6660" s="198"/>
      <c r="E6660" s="537"/>
      <c r="G6660" s="198"/>
      <c r="H6660" s="123"/>
    </row>
    <row r="6661" spans="3:8" s="99" customFormat="1" x14ac:dyDescent="0.2">
      <c r="C6661" s="198"/>
      <c r="D6661" s="198"/>
      <c r="E6661" s="537"/>
      <c r="G6661" s="198"/>
      <c r="H6661" s="123"/>
    </row>
    <row r="6662" spans="3:8" s="99" customFormat="1" x14ac:dyDescent="0.2">
      <c r="C6662" s="198"/>
      <c r="D6662" s="198"/>
      <c r="E6662" s="537"/>
      <c r="G6662" s="198"/>
      <c r="H6662" s="123"/>
    </row>
    <row r="6663" spans="3:8" s="99" customFormat="1" x14ac:dyDescent="0.2">
      <c r="C6663" s="198"/>
      <c r="D6663" s="198"/>
      <c r="E6663" s="537"/>
      <c r="G6663" s="198"/>
      <c r="H6663" s="123"/>
    </row>
    <row r="6664" spans="3:8" s="99" customFormat="1" x14ac:dyDescent="0.2">
      <c r="C6664" s="198"/>
      <c r="D6664" s="198"/>
      <c r="E6664" s="537"/>
      <c r="G6664" s="198"/>
      <c r="H6664" s="123"/>
    </row>
    <row r="6665" spans="3:8" s="99" customFormat="1" x14ac:dyDescent="0.2">
      <c r="C6665" s="198"/>
      <c r="D6665" s="198"/>
      <c r="E6665" s="537"/>
      <c r="G6665" s="198"/>
      <c r="H6665" s="123"/>
    </row>
    <row r="6666" spans="3:8" s="99" customFormat="1" x14ac:dyDescent="0.2">
      <c r="C6666" s="198"/>
      <c r="D6666" s="198"/>
      <c r="E6666" s="537"/>
      <c r="G6666" s="198"/>
      <c r="H6666" s="123"/>
    </row>
    <row r="6667" spans="3:8" s="99" customFormat="1" x14ac:dyDescent="0.2">
      <c r="C6667" s="198"/>
      <c r="D6667" s="198"/>
      <c r="E6667" s="537"/>
      <c r="G6667" s="198"/>
      <c r="H6667" s="123"/>
    </row>
    <row r="6668" spans="3:8" s="99" customFormat="1" x14ac:dyDescent="0.2">
      <c r="C6668" s="198"/>
      <c r="D6668" s="198"/>
      <c r="E6668" s="537"/>
      <c r="G6668" s="198"/>
      <c r="H6668" s="123"/>
    </row>
    <row r="6669" spans="3:8" s="99" customFormat="1" x14ac:dyDescent="0.2">
      <c r="C6669" s="198"/>
      <c r="D6669" s="198"/>
      <c r="E6669" s="537"/>
      <c r="G6669" s="198"/>
      <c r="H6669" s="123"/>
    </row>
    <row r="6670" spans="3:8" s="99" customFormat="1" x14ac:dyDescent="0.2">
      <c r="C6670" s="198"/>
      <c r="D6670" s="198"/>
      <c r="E6670" s="537"/>
      <c r="G6670" s="198"/>
      <c r="H6670" s="123"/>
    </row>
    <row r="6671" spans="3:8" s="99" customFormat="1" x14ac:dyDescent="0.2">
      <c r="C6671" s="198"/>
      <c r="D6671" s="198"/>
      <c r="E6671" s="537"/>
      <c r="G6671" s="198"/>
      <c r="H6671" s="123"/>
    </row>
    <row r="6672" spans="3:8" s="99" customFormat="1" x14ac:dyDescent="0.2">
      <c r="C6672" s="198"/>
      <c r="D6672" s="198"/>
      <c r="E6672" s="537"/>
      <c r="G6672" s="198"/>
      <c r="H6672" s="123"/>
    </row>
    <row r="6673" spans="3:8" s="99" customFormat="1" x14ac:dyDescent="0.2">
      <c r="C6673" s="198"/>
      <c r="D6673" s="198"/>
      <c r="E6673" s="537"/>
      <c r="G6673" s="198"/>
      <c r="H6673" s="123"/>
    </row>
    <row r="6674" spans="3:8" s="99" customFormat="1" x14ac:dyDescent="0.2">
      <c r="C6674" s="198"/>
      <c r="D6674" s="198"/>
      <c r="E6674" s="537"/>
      <c r="G6674" s="198"/>
      <c r="H6674" s="123"/>
    </row>
    <row r="6675" spans="3:8" s="99" customFormat="1" x14ac:dyDescent="0.2">
      <c r="C6675" s="198"/>
      <c r="D6675" s="198"/>
      <c r="E6675" s="537"/>
      <c r="G6675" s="198"/>
      <c r="H6675" s="123"/>
    </row>
    <row r="6676" spans="3:8" s="99" customFormat="1" x14ac:dyDescent="0.2">
      <c r="C6676" s="198"/>
      <c r="D6676" s="198"/>
      <c r="E6676" s="537"/>
      <c r="G6676" s="198"/>
      <c r="H6676" s="123"/>
    </row>
    <row r="6677" spans="3:8" s="99" customFormat="1" x14ac:dyDescent="0.2">
      <c r="C6677" s="198"/>
      <c r="D6677" s="198"/>
      <c r="E6677" s="537"/>
      <c r="G6677" s="198"/>
      <c r="H6677" s="123"/>
    </row>
    <row r="6678" spans="3:8" s="99" customFormat="1" x14ac:dyDescent="0.2">
      <c r="C6678" s="198"/>
      <c r="D6678" s="198"/>
      <c r="E6678" s="537"/>
      <c r="G6678" s="198"/>
      <c r="H6678" s="123"/>
    </row>
    <row r="6679" spans="3:8" s="99" customFormat="1" x14ac:dyDescent="0.2">
      <c r="C6679" s="198"/>
      <c r="D6679" s="198"/>
      <c r="E6679" s="537"/>
      <c r="G6679" s="198"/>
      <c r="H6679" s="123"/>
    </row>
    <row r="6680" spans="3:8" s="99" customFormat="1" x14ac:dyDescent="0.2">
      <c r="C6680" s="198"/>
      <c r="D6680" s="198"/>
      <c r="E6680" s="537"/>
      <c r="G6680" s="198"/>
      <c r="H6680" s="123"/>
    </row>
    <row r="6681" spans="3:8" s="99" customFormat="1" x14ac:dyDescent="0.2">
      <c r="C6681" s="198"/>
      <c r="D6681" s="198"/>
      <c r="E6681" s="537"/>
      <c r="G6681" s="198"/>
      <c r="H6681" s="123"/>
    </row>
    <row r="6682" spans="3:8" s="99" customFormat="1" x14ac:dyDescent="0.2">
      <c r="C6682" s="198"/>
      <c r="D6682" s="198"/>
      <c r="E6682" s="537"/>
      <c r="G6682" s="198"/>
      <c r="H6682" s="123"/>
    </row>
    <row r="6683" spans="3:8" s="99" customFormat="1" x14ac:dyDescent="0.2">
      <c r="C6683" s="198"/>
      <c r="D6683" s="198"/>
      <c r="E6683" s="537"/>
      <c r="G6683" s="198"/>
      <c r="H6683" s="123"/>
    </row>
    <row r="6684" spans="3:8" s="99" customFormat="1" x14ac:dyDescent="0.2">
      <c r="C6684" s="198"/>
      <c r="D6684" s="198"/>
      <c r="E6684" s="537"/>
      <c r="G6684" s="198"/>
      <c r="H6684" s="123"/>
    </row>
    <row r="6685" spans="3:8" s="99" customFormat="1" x14ac:dyDescent="0.2">
      <c r="C6685" s="198"/>
      <c r="D6685" s="198"/>
      <c r="E6685" s="537"/>
      <c r="G6685" s="198"/>
      <c r="H6685" s="123"/>
    </row>
    <row r="6686" spans="3:8" s="99" customFormat="1" x14ac:dyDescent="0.2">
      <c r="C6686" s="198"/>
      <c r="D6686" s="198"/>
      <c r="E6686" s="537"/>
      <c r="G6686" s="198"/>
      <c r="H6686" s="123"/>
    </row>
    <row r="6687" spans="3:8" s="99" customFormat="1" x14ac:dyDescent="0.2">
      <c r="C6687" s="198"/>
      <c r="D6687" s="198"/>
      <c r="E6687" s="537"/>
      <c r="G6687" s="198"/>
      <c r="H6687" s="123"/>
    </row>
    <row r="6688" spans="3:8" s="99" customFormat="1" x14ac:dyDescent="0.2">
      <c r="C6688" s="198"/>
      <c r="D6688" s="198"/>
      <c r="E6688" s="537"/>
      <c r="G6688" s="198"/>
      <c r="H6688" s="123"/>
    </row>
    <row r="6689" spans="3:8" s="99" customFormat="1" x14ac:dyDescent="0.2">
      <c r="C6689" s="198"/>
      <c r="D6689" s="198"/>
      <c r="E6689" s="537"/>
      <c r="G6689" s="198"/>
      <c r="H6689" s="123"/>
    </row>
    <row r="6690" spans="3:8" s="99" customFormat="1" x14ac:dyDescent="0.2">
      <c r="C6690" s="198"/>
      <c r="D6690" s="198"/>
      <c r="E6690" s="537"/>
      <c r="G6690" s="198"/>
      <c r="H6690" s="123"/>
    </row>
    <row r="6691" spans="3:8" s="99" customFormat="1" x14ac:dyDescent="0.2">
      <c r="C6691" s="198"/>
      <c r="D6691" s="198"/>
      <c r="E6691" s="537"/>
      <c r="G6691" s="198"/>
      <c r="H6691" s="123"/>
    </row>
    <row r="6692" spans="3:8" s="99" customFormat="1" x14ac:dyDescent="0.2">
      <c r="C6692" s="198"/>
      <c r="D6692" s="198"/>
      <c r="E6692" s="537"/>
      <c r="G6692" s="198"/>
      <c r="H6692" s="123"/>
    </row>
    <row r="6693" spans="3:8" s="99" customFormat="1" x14ac:dyDescent="0.2">
      <c r="C6693" s="198"/>
      <c r="D6693" s="198"/>
      <c r="E6693" s="537"/>
      <c r="G6693" s="198"/>
      <c r="H6693" s="123"/>
    </row>
    <row r="6694" spans="3:8" s="99" customFormat="1" x14ac:dyDescent="0.2">
      <c r="C6694" s="198"/>
      <c r="D6694" s="198"/>
      <c r="E6694" s="537"/>
      <c r="G6694" s="198"/>
      <c r="H6694" s="123"/>
    </row>
    <row r="6695" spans="3:8" s="99" customFormat="1" x14ac:dyDescent="0.2">
      <c r="C6695" s="198"/>
      <c r="D6695" s="198"/>
      <c r="E6695" s="537"/>
      <c r="G6695" s="198"/>
      <c r="H6695" s="123"/>
    </row>
    <row r="6696" spans="3:8" s="99" customFormat="1" x14ac:dyDescent="0.2">
      <c r="C6696" s="198"/>
      <c r="D6696" s="198"/>
      <c r="E6696" s="537"/>
      <c r="G6696" s="198"/>
      <c r="H6696" s="123"/>
    </row>
    <row r="6697" spans="3:8" s="99" customFormat="1" x14ac:dyDescent="0.2">
      <c r="C6697" s="198"/>
      <c r="D6697" s="198"/>
      <c r="E6697" s="537"/>
      <c r="G6697" s="198"/>
      <c r="H6697" s="123"/>
    </row>
    <row r="6698" spans="3:8" s="99" customFormat="1" x14ac:dyDescent="0.2">
      <c r="C6698" s="198"/>
      <c r="D6698" s="198"/>
      <c r="E6698" s="537"/>
      <c r="G6698" s="198"/>
      <c r="H6698" s="123"/>
    </row>
    <row r="6699" spans="3:8" s="99" customFormat="1" x14ac:dyDescent="0.2">
      <c r="C6699" s="198"/>
      <c r="D6699" s="198"/>
      <c r="E6699" s="537"/>
      <c r="G6699" s="198"/>
      <c r="H6699" s="123"/>
    </row>
    <row r="6700" spans="3:8" s="99" customFormat="1" x14ac:dyDescent="0.2">
      <c r="C6700" s="198"/>
      <c r="D6700" s="198"/>
      <c r="E6700" s="537"/>
      <c r="G6700" s="198"/>
      <c r="H6700" s="123"/>
    </row>
    <row r="6701" spans="3:8" s="99" customFormat="1" x14ac:dyDescent="0.2">
      <c r="C6701" s="198"/>
      <c r="D6701" s="198"/>
      <c r="E6701" s="537"/>
      <c r="G6701" s="198"/>
      <c r="H6701" s="123"/>
    </row>
    <row r="6702" spans="3:8" s="99" customFormat="1" x14ac:dyDescent="0.2">
      <c r="C6702" s="198"/>
      <c r="D6702" s="198"/>
      <c r="E6702" s="537"/>
      <c r="G6702" s="198"/>
      <c r="H6702" s="123"/>
    </row>
    <row r="6703" spans="3:8" s="99" customFormat="1" x14ac:dyDescent="0.2">
      <c r="C6703" s="198"/>
      <c r="D6703" s="198"/>
      <c r="E6703" s="537"/>
      <c r="G6703" s="198"/>
      <c r="H6703" s="123"/>
    </row>
    <row r="6704" spans="3:8" s="99" customFormat="1" x14ac:dyDescent="0.2">
      <c r="C6704" s="198"/>
      <c r="D6704" s="198"/>
      <c r="E6704" s="537"/>
      <c r="G6704" s="198"/>
      <c r="H6704" s="123"/>
    </row>
    <row r="6705" spans="3:8" s="99" customFormat="1" x14ac:dyDescent="0.2">
      <c r="C6705" s="198"/>
      <c r="D6705" s="198"/>
      <c r="E6705" s="537"/>
      <c r="G6705" s="198"/>
      <c r="H6705" s="123"/>
    </row>
    <row r="6706" spans="3:8" s="99" customFormat="1" x14ac:dyDescent="0.2">
      <c r="C6706" s="198"/>
      <c r="D6706" s="198"/>
      <c r="E6706" s="537"/>
      <c r="G6706" s="198"/>
      <c r="H6706" s="123"/>
    </row>
    <row r="6707" spans="3:8" s="99" customFormat="1" x14ac:dyDescent="0.2">
      <c r="C6707" s="198"/>
      <c r="D6707" s="198"/>
      <c r="E6707" s="537"/>
      <c r="G6707" s="198"/>
      <c r="H6707" s="123"/>
    </row>
    <row r="6708" spans="3:8" s="99" customFormat="1" x14ac:dyDescent="0.2">
      <c r="C6708" s="198"/>
      <c r="D6708" s="198"/>
      <c r="E6708" s="537"/>
      <c r="G6708" s="198"/>
      <c r="H6708" s="123"/>
    </row>
    <row r="6709" spans="3:8" s="99" customFormat="1" x14ac:dyDescent="0.2">
      <c r="C6709" s="198"/>
      <c r="D6709" s="198"/>
      <c r="E6709" s="537"/>
      <c r="G6709" s="198"/>
      <c r="H6709" s="123"/>
    </row>
    <row r="6710" spans="3:8" s="99" customFormat="1" x14ac:dyDescent="0.2">
      <c r="C6710" s="198"/>
      <c r="D6710" s="198"/>
      <c r="E6710" s="537"/>
      <c r="G6710" s="198"/>
      <c r="H6710" s="123"/>
    </row>
    <row r="6711" spans="3:8" s="99" customFormat="1" x14ac:dyDescent="0.2">
      <c r="C6711" s="198"/>
      <c r="D6711" s="198"/>
      <c r="E6711" s="537"/>
      <c r="G6711" s="198"/>
      <c r="H6711" s="123"/>
    </row>
    <row r="6712" spans="3:8" s="99" customFormat="1" x14ac:dyDescent="0.2">
      <c r="C6712" s="198"/>
      <c r="D6712" s="198"/>
      <c r="E6712" s="537"/>
      <c r="G6712" s="198"/>
      <c r="H6712" s="123"/>
    </row>
    <row r="6713" spans="3:8" s="99" customFormat="1" x14ac:dyDescent="0.2">
      <c r="C6713" s="198"/>
      <c r="D6713" s="198"/>
      <c r="E6713" s="537"/>
      <c r="G6713" s="198"/>
      <c r="H6713" s="123"/>
    </row>
    <row r="6714" spans="3:8" s="99" customFormat="1" x14ac:dyDescent="0.2">
      <c r="C6714" s="198"/>
      <c r="D6714" s="198"/>
      <c r="E6714" s="537"/>
      <c r="G6714" s="198"/>
      <c r="H6714" s="123"/>
    </row>
    <row r="6715" spans="3:8" s="99" customFormat="1" x14ac:dyDescent="0.2">
      <c r="C6715" s="198"/>
      <c r="D6715" s="198"/>
      <c r="E6715" s="537"/>
      <c r="G6715" s="198"/>
      <c r="H6715" s="123"/>
    </row>
    <row r="6716" spans="3:8" s="99" customFormat="1" x14ac:dyDescent="0.2">
      <c r="C6716" s="198"/>
      <c r="D6716" s="198"/>
      <c r="E6716" s="537"/>
      <c r="G6716" s="198"/>
      <c r="H6716" s="123"/>
    </row>
    <row r="6717" spans="3:8" s="99" customFormat="1" x14ac:dyDescent="0.2">
      <c r="C6717" s="198"/>
      <c r="D6717" s="198"/>
      <c r="E6717" s="537"/>
      <c r="G6717" s="198"/>
      <c r="H6717" s="123"/>
    </row>
    <row r="6718" spans="3:8" s="99" customFormat="1" x14ac:dyDescent="0.2">
      <c r="C6718" s="198"/>
      <c r="D6718" s="198"/>
      <c r="E6718" s="537"/>
      <c r="G6718" s="198"/>
      <c r="H6718" s="123"/>
    </row>
    <row r="6719" spans="3:8" s="99" customFormat="1" x14ac:dyDescent="0.2">
      <c r="C6719" s="198"/>
      <c r="D6719" s="198"/>
      <c r="E6719" s="537"/>
      <c r="G6719" s="198"/>
      <c r="H6719" s="123"/>
    </row>
    <row r="6720" spans="3:8" s="99" customFormat="1" x14ac:dyDescent="0.2">
      <c r="C6720" s="198"/>
      <c r="D6720" s="198"/>
      <c r="E6720" s="537"/>
      <c r="G6720" s="198"/>
      <c r="H6720" s="123"/>
    </row>
    <row r="6721" spans="3:8" s="99" customFormat="1" x14ac:dyDescent="0.2">
      <c r="C6721" s="198"/>
      <c r="D6721" s="198"/>
      <c r="E6721" s="537"/>
      <c r="G6721" s="198"/>
      <c r="H6721" s="123"/>
    </row>
    <row r="6722" spans="3:8" s="99" customFormat="1" x14ac:dyDescent="0.2">
      <c r="C6722" s="198"/>
      <c r="D6722" s="198"/>
      <c r="E6722" s="537"/>
      <c r="G6722" s="198"/>
      <c r="H6722" s="123"/>
    </row>
    <row r="6723" spans="3:8" s="99" customFormat="1" x14ac:dyDescent="0.2">
      <c r="C6723" s="198"/>
      <c r="D6723" s="198"/>
      <c r="E6723" s="537"/>
      <c r="G6723" s="198"/>
      <c r="H6723" s="123"/>
    </row>
    <row r="6724" spans="3:8" s="99" customFormat="1" x14ac:dyDescent="0.2">
      <c r="C6724" s="198"/>
      <c r="D6724" s="198"/>
      <c r="E6724" s="537"/>
      <c r="G6724" s="198"/>
      <c r="H6724" s="123"/>
    </row>
    <row r="6725" spans="3:8" s="99" customFormat="1" x14ac:dyDescent="0.2">
      <c r="C6725" s="198"/>
      <c r="D6725" s="198"/>
      <c r="E6725" s="537"/>
      <c r="G6725" s="198"/>
      <c r="H6725" s="123"/>
    </row>
    <row r="6726" spans="3:8" s="99" customFormat="1" x14ac:dyDescent="0.2">
      <c r="C6726" s="198"/>
      <c r="D6726" s="198"/>
      <c r="E6726" s="537"/>
      <c r="G6726" s="198"/>
      <c r="H6726" s="123"/>
    </row>
    <row r="6727" spans="3:8" s="99" customFormat="1" x14ac:dyDescent="0.2">
      <c r="C6727" s="198"/>
      <c r="D6727" s="198"/>
      <c r="E6727" s="537"/>
      <c r="G6727" s="198"/>
      <c r="H6727" s="123"/>
    </row>
    <row r="6728" spans="3:8" s="99" customFormat="1" x14ac:dyDescent="0.2">
      <c r="C6728" s="198"/>
      <c r="D6728" s="198"/>
      <c r="E6728" s="537"/>
      <c r="G6728" s="198"/>
      <c r="H6728" s="123"/>
    </row>
    <row r="6729" spans="3:8" s="99" customFormat="1" x14ac:dyDescent="0.2">
      <c r="C6729" s="198"/>
      <c r="D6729" s="198"/>
      <c r="E6729" s="537"/>
      <c r="G6729" s="198"/>
      <c r="H6729" s="123"/>
    </row>
    <row r="6730" spans="3:8" s="99" customFormat="1" x14ac:dyDescent="0.2">
      <c r="C6730" s="198"/>
      <c r="D6730" s="198"/>
      <c r="E6730" s="537"/>
      <c r="G6730" s="198"/>
      <c r="H6730" s="123"/>
    </row>
    <row r="6731" spans="3:8" s="99" customFormat="1" x14ac:dyDescent="0.2">
      <c r="C6731" s="198"/>
      <c r="D6731" s="198"/>
      <c r="E6731" s="537"/>
      <c r="G6731" s="198"/>
      <c r="H6731" s="123"/>
    </row>
    <row r="6732" spans="3:8" s="99" customFormat="1" x14ac:dyDescent="0.2">
      <c r="C6732" s="198"/>
      <c r="D6732" s="198"/>
      <c r="E6732" s="537"/>
      <c r="G6732" s="198"/>
      <c r="H6732" s="123"/>
    </row>
    <row r="6733" spans="3:8" s="99" customFormat="1" x14ac:dyDescent="0.2">
      <c r="C6733" s="198"/>
      <c r="D6733" s="198"/>
      <c r="E6733" s="537"/>
      <c r="G6733" s="198"/>
      <c r="H6733" s="123"/>
    </row>
    <row r="6734" spans="3:8" s="99" customFormat="1" x14ac:dyDescent="0.2">
      <c r="C6734" s="198"/>
      <c r="D6734" s="198"/>
      <c r="E6734" s="537"/>
      <c r="G6734" s="198"/>
      <c r="H6734" s="123"/>
    </row>
    <row r="6735" spans="3:8" s="99" customFormat="1" x14ac:dyDescent="0.2">
      <c r="C6735" s="198"/>
      <c r="D6735" s="198"/>
      <c r="E6735" s="537"/>
      <c r="G6735" s="198"/>
      <c r="H6735" s="123"/>
    </row>
    <row r="6736" spans="3:8" s="99" customFormat="1" x14ac:dyDescent="0.2">
      <c r="C6736" s="198"/>
      <c r="D6736" s="198"/>
      <c r="E6736" s="537"/>
      <c r="G6736" s="198"/>
      <c r="H6736" s="123"/>
    </row>
    <row r="6737" spans="3:8" s="99" customFormat="1" x14ac:dyDescent="0.2">
      <c r="C6737" s="198"/>
      <c r="D6737" s="198"/>
      <c r="E6737" s="537"/>
      <c r="G6737" s="198"/>
      <c r="H6737" s="123"/>
    </row>
    <row r="6738" spans="3:8" s="99" customFormat="1" x14ac:dyDescent="0.2">
      <c r="C6738" s="198"/>
      <c r="D6738" s="198"/>
      <c r="E6738" s="537"/>
      <c r="G6738" s="198"/>
      <c r="H6738" s="123"/>
    </row>
    <row r="6739" spans="3:8" s="99" customFormat="1" x14ac:dyDescent="0.2">
      <c r="C6739" s="198"/>
      <c r="D6739" s="198"/>
      <c r="E6739" s="537"/>
      <c r="G6739" s="198"/>
      <c r="H6739" s="123"/>
    </row>
    <row r="6740" spans="3:8" s="99" customFormat="1" x14ac:dyDescent="0.2">
      <c r="C6740" s="198"/>
      <c r="D6740" s="198"/>
      <c r="E6740" s="537"/>
      <c r="G6740" s="198"/>
      <c r="H6740" s="123"/>
    </row>
    <row r="6741" spans="3:8" s="99" customFormat="1" x14ac:dyDescent="0.2">
      <c r="C6741" s="198"/>
      <c r="D6741" s="198"/>
      <c r="E6741" s="537"/>
      <c r="G6741" s="198"/>
      <c r="H6741" s="123"/>
    </row>
    <row r="6742" spans="3:8" s="99" customFormat="1" x14ac:dyDescent="0.2">
      <c r="C6742" s="198"/>
      <c r="D6742" s="198"/>
      <c r="E6742" s="537"/>
      <c r="G6742" s="198"/>
      <c r="H6742" s="123"/>
    </row>
    <row r="6743" spans="3:8" s="99" customFormat="1" x14ac:dyDescent="0.2">
      <c r="C6743" s="198"/>
      <c r="D6743" s="198"/>
      <c r="E6743" s="537"/>
      <c r="G6743" s="198"/>
      <c r="H6743" s="123"/>
    </row>
    <row r="6744" spans="3:8" s="99" customFormat="1" x14ac:dyDescent="0.2">
      <c r="C6744" s="198"/>
      <c r="D6744" s="198"/>
      <c r="E6744" s="537"/>
      <c r="G6744" s="198"/>
      <c r="H6744" s="123"/>
    </row>
    <row r="6745" spans="3:8" s="99" customFormat="1" x14ac:dyDescent="0.2">
      <c r="C6745" s="198"/>
      <c r="D6745" s="198"/>
      <c r="E6745" s="537"/>
      <c r="G6745" s="198"/>
      <c r="H6745" s="123"/>
    </row>
    <row r="6746" spans="3:8" s="99" customFormat="1" x14ac:dyDescent="0.2">
      <c r="C6746" s="198"/>
      <c r="D6746" s="198"/>
      <c r="E6746" s="537"/>
      <c r="G6746" s="198"/>
      <c r="H6746" s="123"/>
    </row>
    <row r="6747" spans="3:8" s="99" customFormat="1" x14ac:dyDescent="0.2">
      <c r="C6747" s="198"/>
      <c r="D6747" s="198"/>
      <c r="E6747" s="537"/>
      <c r="G6747" s="198"/>
      <c r="H6747" s="123"/>
    </row>
    <row r="6748" spans="3:8" s="99" customFormat="1" x14ac:dyDescent="0.2">
      <c r="C6748" s="198"/>
      <c r="D6748" s="198"/>
      <c r="E6748" s="537"/>
      <c r="G6748" s="198"/>
      <c r="H6748" s="123"/>
    </row>
    <row r="6749" spans="3:8" s="99" customFormat="1" x14ac:dyDescent="0.2">
      <c r="C6749" s="198"/>
      <c r="D6749" s="198"/>
      <c r="E6749" s="537"/>
      <c r="G6749" s="198"/>
      <c r="H6749" s="123"/>
    </row>
    <row r="6750" spans="3:8" s="99" customFormat="1" x14ac:dyDescent="0.2">
      <c r="C6750" s="198"/>
      <c r="D6750" s="198"/>
      <c r="E6750" s="537"/>
      <c r="G6750" s="198"/>
      <c r="H6750" s="123"/>
    </row>
    <row r="6751" spans="3:8" s="99" customFormat="1" x14ac:dyDescent="0.2">
      <c r="C6751" s="198"/>
      <c r="D6751" s="198"/>
      <c r="E6751" s="537"/>
      <c r="G6751" s="198"/>
      <c r="H6751" s="123"/>
    </row>
    <row r="6752" spans="3:8" s="99" customFormat="1" x14ac:dyDescent="0.2">
      <c r="C6752" s="198"/>
      <c r="D6752" s="198"/>
      <c r="E6752" s="537"/>
      <c r="G6752" s="198"/>
      <c r="H6752" s="123"/>
    </row>
    <row r="6753" spans="3:8" s="99" customFormat="1" x14ac:dyDescent="0.2">
      <c r="C6753" s="198"/>
      <c r="D6753" s="198"/>
      <c r="E6753" s="537"/>
      <c r="G6753" s="198"/>
      <c r="H6753" s="123"/>
    </row>
    <row r="6754" spans="3:8" s="99" customFormat="1" x14ac:dyDescent="0.2">
      <c r="C6754" s="198"/>
      <c r="D6754" s="198"/>
      <c r="E6754" s="537"/>
      <c r="G6754" s="198"/>
      <c r="H6754" s="123"/>
    </row>
    <row r="6755" spans="3:8" s="99" customFormat="1" x14ac:dyDescent="0.2">
      <c r="C6755" s="198"/>
      <c r="D6755" s="198"/>
      <c r="E6755" s="537"/>
      <c r="G6755" s="198"/>
      <c r="H6755" s="123"/>
    </row>
    <row r="6756" spans="3:8" s="99" customFormat="1" x14ac:dyDescent="0.2">
      <c r="C6756" s="198"/>
      <c r="D6756" s="198"/>
      <c r="E6756" s="537"/>
      <c r="G6756" s="198"/>
      <c r="H6756" s="123"/>
    </row>
    <row r="6757" spans="3:8" s="99" customFormat="1" x14ac:dyDescent="0.2">
      <c r="C6757" s="198"/>
      <c r="D6757" s="198"/>
      <c r="E6757" s="537"/>
      <c r="G6757" s="198"/>
      <c r="H6757" s="123"/>
    </row>
    <row r="6758" spans="3:8" s="99" customFormat="1" x14ac:dyDescent="0.2">
      <c r="C6758" s="198"/>
      <c r="D6758" s="198"/>
      <c r="E6758" s="537"/>
      <c r="G6758" s="198"/>
      <c r="H6758" s="123"/>
    </row>
    <row r="6759" spans="3:8" s="99" customFormat="1" x14ac:dyDescent="0.2">
      <c r="C6759" s="198"/>
      <c r="D6759" s="198"/>
      <c r="E6759" s="537"/>
      <c r="G6759" s="198"/>
      <c r="H6759" s="123"/>
    </row>
    <row r="6760" spans="3:8" s="99" customFormat="1" x14ac:dyDescent="0.2">
      <c r="C6760" s="198"/>
      <c r="D6760" s="198"/>
      <c r="E6760" s="537"/>
      <c r="G6760" s="198"/>
      <c r="H6760" s="123"/>
    </row>
    <row r="6761" spans="3:8" s="99" customFormat="1" x14ac:dyDescent="0.2">
      <c r="C6761" s="198"/>
      <c r="D6761" s="198"/>
      <c r="E6761" s="537"/>
      <c r="G6761" s="198"/>
      <c r="H6761" s="123"/>
    </row>
    <row r="6762" spans="3:8" s="99" customFormat="1" x14ac:dyDescent="0.2">
      <c r="C6762" s="198"/>
      <c r="D6762" s="198"/>
      <c r="E6762" s="537"/>
      <c r="G6762" s="198"/>
      <c r="H6762" s="123"/>
    </row>
    <row r="6763" spans="3:8" s="99" customFormat="1" x14ac:dyDescent="0.2">
      <c r="C6763" s="198"/>
      <c r="D6763" s="198"/>
      <c r="E6763" s="537"/>
      <c r="G6763" s="198"/>
      <c r="H6763" s="123"/>
    </row>
    <row r="6764" spans="3:8" s="99" customFormat="1" x14ac:dyDescent="0.2">
      <c r="C6764" s="198"/>
      <c r="D6764" s="198"/>
      <c r="E6764" s="537"/>
      <c r="G6764" s="198"/>
      <c r="H6764" s="123"/>
    </row>
    <row r="6765" spans="3:8" s="99" customFormat="1" x14ac:dyDescent="0.2">
      <c r="C6765" s="198"/>
      <c r="D6765" s="198"/>
      <c r="E6765" s="537"/>
      <c r="G6765" s="198"/>
      <c r="H6765" s="123"/>
    </row>
    <row r="6766" spans="3:8" s="99" customFormat="1" x14ac:dyDescent="0.2">
      <c r="C6766" s="198"/>
      <c r="D6766" s="198"/>
      <c r="E6766" s="537"/>
      <c r="G6766" s="198"/>
      <c r="H6766" s="123"/>
    </row>
    <row r="6767" spans="3:8" s="99" customFormat="1" x14ac:dyDescent="0.2">
      <c r="C6767" s="198"/>
      <c r="D6767" s="198"/>
      <c r="E6767" s="537"/>
      <c r="G6767" s="198"/>
      <c r="H6767" s="123"/>
    </row>
    <row r="6768" spans="3:8" s="99" customFormat="1" x14ac:dyDescent="0.2">
      <c r="C6768" s="198"/>
      <c r="D6768" s="198"/>
      <c r="E6768" s="537"/>
      <c r="G6768" s="198"/>
      <c r="H6768" s="123"/>
    </row>
    <row r="6769" spans="3:8" s="99" customFormat="1" x14ac:dyDescent="0.2">
      <c r="C6769" s="198"/>
      <c r="D6769" s="198"/>
      <c r="E6769" s="537"/>
      <c r="G6769" s="198"/>
      <c r="H6769" s="123"/>
    </row>
    <row r="6770" spans="3:8" s="99" customFormat="1" x14ac:dyDescent="0.2">
      <c r="C6770" s="198"/>
      <c r="D6770" s="198"/>
      <c r="E6770" s="537"/>
      <c r="G6770" s="198"/>
      <c r="H6770" s="123"/>
    </row>
    <row r="6771" spans="3:8" s="99" customFormat="1" x14ac:dyDescent="0.2">
      <c r="C6771" s="198"/>
      <c r="D6771" s="198"/>
      <c r="E6771" s="537"/>
      <c r="G6771" s="198"/>
      <c r="H6771" s="123"/>
    </row>
    <row r="6772" spans="3:8" s="99" customFormat="1" x14ac:dyDescent="0.2">
      <c r="C6772" s="198"/>
      <c r="D6772" s="198"/>
      <c r="E6772" s="537"/>
      <c r="G6772" s="198"/>
      <c r="H6772" s="123"/>
    </row>
    <row r="6773" spans="3:8" s="99" customFormat="1" x14ac:dyDescent="0.2">
      <c r="C6773" s="198"/>
      <c r="D6773" s="198"/>
      <c r="E6773" s="537"/>
      <c r="G6773" s="198"/>
      <c r="H6773" s="123"/>
    </row>
    <row r="6774" spans="3:8" s="99" customFormat="1" x14ac:dyDescent="0.2">
      <c r="C6774" s="198"/>
      <c r="D6774" s="198"/>
      <c r="E6774" s="537"/>
      <c r="G6774" s="198"/>
      <c r="H6774" s="123"/>
    </row>
    <row r="6775" spans="3:8" s="99" customFormat="1" x14ac:dyDescent="0.2">
      <c r="C6775" s="198"/>
      <c r="D6775" s="198"/>
      <c r="E6775" s="537"/>
      <c r="G6775" s="198"/>
      <c r="H6775" s="123"/>
    </row>
    <row r="6776" spans="3:8" s="99" customFormat="1" x14ac:dyDescent="0.2">
      <c r="C6776" s="198"/>
      <c r="D6776" s="198"/>
      <c r="E6776" s="537"/>
      <c r="G6776" s="198"/>
      <c r="H6776" s="123"/>
    </row>
    <row r="6777" spans="3:8" s="99" customFormat="1" x14ac:dyDescent="0.2">
      <c r="C6777" s="198"/>
      <c r="D6777" s="198"/>
      <c r="E6777" s="537"/>
      <c r="G6777" s="198"/>
      <c r="H6777" s="123"/>
    </row>
    <row r="6778" spans="3:8" s="99" customFormat="1" x14ac:dyDescent="0.2">
      <c r="C6778" s="198"/>
      <c r="D6778" s="198"/>
      <c r="E6778" s="537"/>
      <c r="G6778" s="198"/>
      <c r="H6778" s="123"/>
    </row>
    <row r="6779" spans="3:8" s="99" customFormat="1" x14ac:dyDescent="0.2">
      <c r="C6779" s="198"/>
      <c r="D6779" s="198"/>
      <c r="E6779" s="537"/>
      <c r="G6779" s="198"/>
      <c r="H6779" s="123"/>
    </row>
    <row r="6780" spans="3:8" s="99" customFormat="1" x14ac:dyDescent="0.2">
      <c r="C6780" s="198"/>
      <c r="D6780" s="198"/>
      <c r="E6780" s="537"/>
      <c r="G6780" s="198"/>
      <c r="H6780" s="123"/>
    </row>
    <row r="6781" spans="3:8" s="99" customFormat="1" x14ac:dyDescent="0.2">
      <c r="C6781" s="198"/>
      <c r="D6781" s="198"/>
      <c r="E6781" s="537"/>
      <c r="G6781" s="198"/>
      <c r="H6781" s="123"/>
    </row>
    <row r="6782" spans="3:8" s="99" customFormat="1" x14ac:dyDescent="0.2">
      <c r="C6782" s="198"/>
      <c r="D6782" s="198"/>
      <c r="E6782" s="537"/>
      <c r="G6782" s="198"/>
      <c r="H6782" s="123"/>
    </row>
    <row r="6783" spans="3:8" s="99" customFormat="1" x14ac:dyDescent="0.2">
      <c r="C6783" s="198"/>
      <c r="D6783" s="198"/>
      <c r="E6783" s="537"/>
      <c r="G6783" s="198"/>
      <c r="H6783" s="123"/>
    </row>
    <row r="6784" spans="3:8" s="99" customFormat="1" x14ac:dyDescent="0.2">
      <c r="C6784" s="198"/>
      <c r="D6784" s="198"/>
      <c r="E6784" s="537"/>
      <c r="G6784" s="198"/>
      <c r="H6784" s="123"/>
    </row>
    <row r="6785" spans="3:8" s="99" customFormat="1" x14ac:dyDescent="0.2">
      <c r="C6785" s="198"/>
      <c r="D6785" s="198"/>
      <c r="E6785" s="537"/>
      <c r="G6785" s="198"/>
      <c r="H6785" s="123"/>
    </row>
    <row r="6786" spans="3:8" s="99" customFormat="1" x14ac:dyDescent="0.2">
      <c r="C6786" s="198"/>
      <c r="D6786" s="198"/>
      <c r="E6786" s="537"/>
      <c r="G6786" s="198"/>
      <c r="H6786" s="123"/>
    </row>
    <row r="6787" spans="3:8" s="99" customFormat="1" x14ac:dyDescent="0.2">
      <c r="C6787" s="198"/>
      <c r="D6787" s="198"/>
      <c r="E6787" s="537"/>
      <c r="G6787" s="198"/>
      <c r="H6787" s="123"/>
    </row>
    <row r="6788" spans="3:8" s="99" customFormat="1" x14ac:dyDescent="0.2">
      <c r="C6788" s="198"/>
      <c r="D6788" s="198"/>
      <c r="E6788" s="537"/>
      <c r="G6788" s="198"/>
      <c r="H6788" s="123"/>
    </row>
    <row r="6789" spans="3:8" s="99" customFormat="1" x14ac:dyDescent="0.2">
      <c r="C6789" s="198"/>
      <c r="D6789" s="198"/>
      <c r="E6789" s="537"/>
      <c r="G6789" s="198"/>
      <c r="H6789" s="123"/>
    </row>
    <row r="6790" spans="3:8" s="99" customFormat="1" x14ac:dyDescent="0.2">
      <c r="C6790" s="198"/>
      <c r="D6790" s="198"/>
      <c r="E6790" s="537"/>
      <c r="G6790" s="198"/>
      <c r="H6790" s="123"/>
    </row>
    <row r="6791" spans="3:8" s="99" customFormat="1" x14ac:dyDescent="0.2">
      <c r="C6791" s="198"/>
      <c r="D6791" s="198"/>
      <c r="E6791" s="537"/>
      <c r="G6791" s="198"/>
      <c r="H6791" s="123"/>
    </row>
    <row r="6792" spans="3:8" s="99" customFormat="1" x14ac:dyDescent="0.2">
      <c r="C6792" s="198"/>
      <c r="D6792" s="198"/>
      <c r="E6792" s="537"/>
      <c r="G6792" s="198"/>
      <c r="H6792" s="123"/>
    </row>
    <row r="6793" spans="3:8" s="99" customFormat="1" x14ac:dyDescent="0.2">
      <c r="C6793" s="198"/>
      <c r="D6793" s="198"/>
      <c r="E6793" s="537"/>
      <c r="G6793" s="198"/>
      <c r="H6793" s="123"/>
    </row>
    <row r="6794" spans="3:8" s="99" customFormat="1" x14ac:dyDescent="0.2">
      <c r="C6794" s="198"/>
      <c r="D6794" s="198"/>
      <c r="E6794" s="537"/>
      <c r="G6794" s="198"/>
      <c r="H6794" s="123"/>
    </row>
    <row r="6795" spans="3:8" s="99" customFormat="1" x14ac:dyDescent="0.2">
      <c r="C6795" s="198"/>
      <c r="D6795" s="198"/>
      <c r="E6795" s="537"/>
      <c r="G6795" s="198"/>
      <c r="H6795" s="123"/>
    </row>
    <row r="6796" spans="3:8" s="99" customFormat="1" x14ac:dyDescent="0.2">
      <c r="C6796" s="198"/>
      <c r="D6796" s="198"/>
      <c r="E6796" s="537"/>
      <c r="G6796" s="198"/>
      <c r="H6796" s="123"/>
    </row>
    <row r="6797" spans="3:8" s="99" customFormat="1" x14ac:dyDescent="0.2">
      <c r="C6797" s="198"/>
      <c r="D6797" s="198"/>
      <c r="E6797" s="537"/>
      <c r="G6797" s="198"/>
      <c r="H6797" s="123"/>
    </row>
    <row r="6798" spans="3:8" s="99" customFormat="1" x14ac:dyDescent="0.2">
      <c r="C6798" s="198"/>
      <c r="D6798" s="198"/>
      <c r="E6798" s="537"/>
      <c r="G6798" s="198"/>
      <c r="H6798" s="123"/>
    </row>
    <row r="6799" spans="3:8" s="99" customFormat="1" x14ac:dyDescent="0.2">
      <c r="C6799" s="198"/>
      <c r="D6799" s="198"/>
      <c r="E6799" s="537"/>
      <c r="G6799" s="198"/>
      <c r="H6799" s="123"/>
    </row>
    <row r="6800" spans="3:8" s="99" customFormat="1" x14ac:dyDescent="0.2">
      <c r="C6800" s="198"/>
      <c r="D6800" s="198"/>
      <c r="E6800" s="537"/>
      <c r="G6800" s="198"/>
      <c r="H6800" s="123"/>
    </row>
    <row r="6801" spans="3:8" s="99" customFormat="1" x14ac:dyDescent="0.2">
      <c r="C6801" s="198"/>
      <c r="D6801" s="198"/>
      <c r="E6801" s="537"/>
      <c r="G6801" s="198"/>
      <c r="H6801" s="123"/>
    </row>
    <row r="6802" spans="3:8" s="99" customFormat="1" x14ac:dyDescent="0.2">
      <c r="C6802" s="198"/>
      <c r="D6802" s="198"/>
      <c r="E6802" s="537"/>
      <c r="G6802" s="198"/>
      <c r="H6802" s="123"/>
    </row>
    <row r="6803" spans="3:8" s="99" customFormat="1" x14ac:dyDescent="0.2">
      <c r="C6803" s="198"/>
      <c r="D6803" s="198"/>
      <c r="E6803" s="537"/>
      <c r="G6803" s="198"/>
      <c r="H6803" s="123"/>
    </row>
    <row r="6804" spans="3:8" s="99" customFormat="1" x14ac:dyDescent="0.2">
      <c r="C6804" s="198"/>
      <c r="D6804" s="198"/>
      <c r="E6804" s="537"/>
      <c r="G6804" s="198"/>
      <c r="H6804" s="123"/>
    </row>
    <row r="6805" spans="3:8" s="99" customFormat="1" x14ac:dyDescent="0.2">
      <c r="C6805" s="198"/>
      <c r="D6805" s="198"/>
      <c r="E6805" s="537"/>
      <c r="G6805" s="198"/>
      <c r="H6805" s="123"/>
    </row>
    <row r="6806" spans="3:8" s="99" customFormat="1" x14ac:dyDescent="0.2">
      <c r="C6806" s="198"/>
      <c r="D6806" s="198"/>
      <c r="E6806" s="537"/>
      <c r="G6806" s="198"/>
      <c r="H6806" s="123"/>
    </row>
    <row r="6807" spans="3:8" s="99" customFormat="1" x14ac:dyDescent="0.2">
      <c r="C6807" s="198"/>
      <c r="D6807" s="198"/>
      <c r="E6807" s="537"/>
      <c r="G6807" s="198"/>
      <c r="H6807" s="123"/>
    </row>
    <row r="6808" spans="3:8" s="99" customFormat="1" x14ac:dyDescent="0.2">
      <c r="C6808" s="198"/>
      <c r="D6808" s="198"/>
      <c r="E6808" s="537"/>
      <c r="G6808" s="198"/>
      <c r="H6808" s="123"/>
    </row>
    <row r="6809" spans="3:8" s="99" customFormat="1" x14ac:dyDescent="0.2">
      <c r="C6809" s="198"/>
      <c r="D6809" s="198"/>
      <c r="E6809" s="537"/>
      <c r="G6809" s="198"/>
      <c r="H6809" s="123"/>
    </row>
    <row r="6810" spans="3:8" s="99" customFormat="1" x14ac:dyDescent="0.2">
      <c r="C6810" s="198"/>
      <c r="D6810" s="198"/>
      <c r="E6810" s="537"/>
      <c r="G6810" s="198"/>
      <c r="H6810" s="123"/>
    </row>
    <row r="6811" spans="3:8" s="99" customFormat="1" x14ac:dyDescent="0.2">
      <c r="C6811" s="198"/>
      <c r="D6811" s="198"/>
      <c r="E6811" s="537"/>
      <c r="G6811" s="198"/>
      <c r="H6811" s="123"/>
    </row>
    <row r="6812" spans="3:8" s="99" customFormat="1" x14ac:dyDescent="0.2">
      <c r="C6812" s="198"/>
      <c r="D6812" s="198"/>
      <c r="E6812" s="537"/>
      <c r="G6812" s="198"/>
      <c r="H6812" s="123"/>
    </row>
    <row r="6813" spans="3:8" s="99" customFormat="1" x14ac:dyDescent="0.2">
      <c r="C6813" s="198"/>
      <c r="D6813" s="198"/>
      <c r="E6813" s="537"/>
      <c r="G6813" s="198"/>
      <c r="H6813" s="123"/>
    </row>
    <row r="6814" spans="3:8" s="99" customFormat="1" x14ac:dyDescent="0.2">
      <c r="C6814" s="198"/>
      <c r="D6814" s="198"/>
      <c r="E6814" s="537"/>
      <c r="G6814" s="198"/>
      <c r="H6814" s="123"/>
    </row>
    <row r="6815" spans="3:8" s="99" customFormat="1" x14ac:dyDescent="0.2">
      <c r="C6815" s="198"/>
      <c r="D6815" s="198"/>
      <c r="E6815" s="537"/>
      <c r="G6815" s="198"/>
      <c r="H6815" s="123"/>
    </row>
    <row r="6816" spans="3:8" s="99" customFormat="1" x14ac:dyDescent="0.2">
      <c r="C6816" s="198"/>
      <c r="D6816" s="198"/>
      <c r="E6816" s="537"/>
      <c r="G6816" s="198"/>
      <c r="H6816" s="123"/>
    </row>
    <row r="6817" spans="3:8" s="99" customFormat="1" x14ac:dyDescent="0.2">
      <c r="C6817" s="198"/>
      <c r="D6817" s="198"/>
      <c r="E6817" s="537"/>
      <c r="G6817" s="198"/>
      <c r="H6817" s="123"/>
    </row>
    <row r="6818" spans="3:8" s="99" customFormat="1" x14ac:dyDescent="0.2">
      <c r="C6818" s="198"/>
      <c r="D6818" s="198"/>
      <c r="E6818" s="537"/>
      <c r="G6818" s="198"/>
      <c r="H6818" s="123"/>
    </row>
    <row r="6819" spans="3:8" s="99" customFormat="1" x14ac:dyDescent="0.2">
      <c r="C6819" s="198"/>
      <c r="D6819" s="198"/>
      <c r="E6819" s="537"/>
      <c r="G6819" s="198"/>
      <c r="H6819" s="123"/>
    </row>
    <row r="6820" spans="3:8" s="99" customFormat="1" x14ac:dyDescent="0.2">
      <c r="C6820" s="198"/>
      <c r="D6820" s="198"/>
      <c r="E6820" s="537"/>
      <c r="G6820" s="198"/>
      <c r="H6820" s="123"/>
    </row>
    <row r="6821" spans="3:8" s="99" customFormat="1" x14ac:dyDescent="0.2">
      <c r="C6821" s="198"/>
      <c r="D6821" s="198"/>
      <c r="E6821" s="537"/>
      <c r="G6821" s="198"/>
      <c r="H6821" s="123"/>
    </row>
    <row r="6822" spans="3:8" s="99" customFormat="1" x14ac:dyDescent="0.2">
      <c r="C6822" s="198"/>
      <c r="D6822" s="198"/>
      <c r="E6822" s="537"/>
      <c r="G6822" s="198"/>
      <c r="H6822" s="123"/>
    </row>
    <row r="6823" spans="3:8" s="99" customFormat="1" x14ac:dyDescent="0.2">
      <c r="C6823" s="198"/>
      <c r="D6823" s="198"/>
      <c r="E6823" s="537"/>
      <c r="G6823" s="198"/>
      <c r="H6823" s="123"/>
    </row>
    <row r="6824" spans="3:8" s="99" customFormat="1" x14ac:dyDescent="0.2">
      <c r="C6824" s="198"/>
      <c r="D6824" s="198"/>
      <c r="E6824" s="537"/>
      <c r="G6824" s="198"/>
      <c r="H6824" s="123"/>
    </row>
    <row r="6825" spans="3:8" s="99" customFormat="1" x14ac:dyDescent="0.2">
      <c r="C6825" s="198"/>
      <c r="D6825" s="198"/>
      <c r="E6825" s="537"/>
      <c r="G6825" s="198"/>
      <c r="H6825" s="123"/>
    </row>
    <row r="6826" spans="3:8" s="99" customFormat="1" x14ac:dyDescent="0.2">
      <c r="C6826" s="198"/>
      <c r="D6826" s="198"/>
      <c r="E6826" s="537"/>
      <c r="G6826" s="198"/>
      <c r="H6826" s="123"/>
    </row>
    <row r="6827" spans="3:8" s="99" customFormat="1" x14ac:dyDescent="0.2">
      <c r="C6827" s="198"/>
      <c r="D6827" s="198"/>
      <c r="E6827" s="537"/>
      <c r="G6827" s="198"/>
      <c r="H6827" s="123"/>
    </row>
    <row r="6828" spans="3:8" s="99" customFormat="1" x14ac:dyDescent="0.2">
      <c r="C6828" s="198"/>
      <c r="D6828" s="198"/>
      <c r="E6828" s="537"/>
      <c r="G6828" s="198"/>
      <c r="H6828" s="123"/>
    </row>
    <row r="6829" spans="3:8" s="99" customFormat="1" x14ac:dyDescent="0.2">
      <c r="C6829" s="198"/>
      <c r="D6829" s="198"/>
      <c r="E6829" s="537"/>
      <c r="G6829" s="198"/>
      <c r="H6829" s="123"/>
    </row>
    <row r="6830" spans="3:8" s="99" customFormat="1" x14ac:dyDescent="0.2">
      <c r="C6830" s="198"/>
      <c r="D6830" s="198"/>
      <c r="E6830" s="537"/>
      <c r="G6830" s="198"/>
      <c r="H6830" s="123"/>
    </row>
    <row r="6831" spans="3:8" s="99" customFormat="1" x14ac:dyDescent="0.2">
      <c r="C6831" s="198"/>
      <c r="D6831" s="198"/>
      <c r="E6831" s="537"/>
      <c r="G6831" s="198"/>
      <c r="H6831" s="123"/>
    </row>
    <row r="6832" spans="3:8" s="99" customFormat="1" x14ac:dyDescent="0.2">
      <c r="C6832" s="198"/>
      <c r="D6832" s="198"/>
      <c r="E6832" s="537"/>
      <c r="G6832" s="198"/>
      <c r="H6832" s="123"/>
    </row>
    <row r="6833" spans="3:8" s="99" customFormat="1" x14ac:dyDescent="0.2">
      <c r="C6833" s="198"/>
      <c r="D6833" s="198"/>
      <c r="E6833" s="537"/>
      <c r="G6833" s="198"/>
      <c r="H6833" s="123"/>
    </row>
    <row r="6834" spans="3:8" s="99" customFormat="1" x14ac:dyDescent="0.2">
      <c r="C6834" s="198"/>
      <c r="D6834" s="198"/>
      <c r="E6834" s="537"/>
      <c r="G6834" s="198"/>
      <c r="H6834" s="123"/>
    </row>
    <row r="6835" spans="3:8" s="99" customFormat="1" x14ac:dyDescent="0.2">
      <c r="C6835" s="198"/>
      <c r="D6835" s="198"/>
      <c r="E6835" s="537"/>
      <c r="G6835" s="198"/>
      <c r="H6835" s="123"/>
    </row>
    <row r="6836" spans="3:8" s="99" customFormat="1" x14ac:dyDescent="0.2">
      <c r="C6836" s="198"/>
      <c r="D6836" s="198"/>
      <c r="E6836" s="537"/>
      <c r="G6836" s="198"/>
      <c r="H6836" s="123"/>
    </row>
    <row r="6837" spans="3:8" s="99" customFormat="1" x14ac:dyDescent="0.2">
      <c r="C6837" s="198"/>
      <c r="D6837" s="198"/>
      <c r="E6837" s="537"/>
      <c r="G6837" s="198"/>
      <c r="H6837" s="123"/>
    </row>
    <row r="6838" spans="3:8" s="99" customFormat="1" x14ac:dyDescent="0.2">
      <c r="C6838" s="198"/>
      <c r="D6838" s="198"/>
      <c r="E6838" s="537"/>
      <c r="G6838" s="198"/>
      <c r="H6838" s="123"/>
    </row>
    <row r="6839" spans="3:8" s="99" customFormat="1" x14ac:dyDescent="0.2">
      <c r="C6839" s="198"/>
      <c r="D6839" s="198"/>
      <c r="E6839" s="537"/>
      <c r="G6839" s="198"/>
      <c r="H6839" s="123"/>
    </row>
    <row r="6840" spans="3:8" s="99" customFormat="1" x14ac:dyDescent="0.2">
      <c r="C6840" s="198"/>
      <c r="D6840" s="198"/>
      <c r="E6840" s="537"/>
      <c r="G6840" s="198"/>
      <c r="H6840" s="123"/>
    </row>
    <row r="6841" spans="3:8" s="99" customFormat="1" x14ac:dyDescent="0.2">
      <c r="C6841" s="198"/>
      <c r="D6841" s="198"/>
      <c r="E6841" s="537"/>
      <c r="G6841" s="198"/>
      <c r="H6841" s="123"/>
    </row>
    <row r="6842" spans="3:8" s="99" customFormat="1" x14ac:dyDescent="0.2">
      <c r="C6842" s="198"/>
      <c r="D6842" s="198"/>
      <c r="E6842" s="537"/>
      <c r="G6842" s="198"/>
      <c r="H6842" s="123"/>
    </row>
    <row r="6843" spans="3:8" s="99" customFormat="1" x14ac:dyDescent="0.2">
      <c r="C6843" s="198"/>
      <c r="D6843" s="198"/>
      <c r="E6843" s="537"/>
      <c r="G6843" s="198"/>
      <c r="H6843" s="123"/>
    </row>
    <row r="6844" spans="3:8" s="99" customFormat="1" x14ac:dyDescent="0.2">
      <c r="C6844" s="198"/>
      <c r="D6844" s="198"/>
      <c r="E6844" s="537"/>
      <c r="G6844" s="198"/>
      <c r="H6844" s="123"/>
    </row>
    <row r="6845" spans="3:8" s="99" customFormat="1" x14ac:dyDescent="0.2">
      <c r="C6845" s="198"/>
      <c r="D6845" s="198"/>
      <c r="E6845" s="537"/>
      <c r="G6845" s="198"/>
      <c r="H6845" s="123"/>
    </row>
    <row r="6846" spans="3:8" s="99" customFormat="1" x14ac:dyDescent="0.2">
      <c r="C6846" s="198"/>
      <c r="D6846" s="198"/>
      <c r="E6846" s="537"/>
      <c r="G6846" s="198"/>
      <c r="H6846" s="123"/>
    </row>
    <row r="6847" spans="3:8" s="99" customFormat="1" x14ac:dyDescent="0.2">
      <c r="C6847" s="198"/>
      <c r="D6847" s="198"/>
      <c r="E6847" s="537"/>
      <c r="G6847" s="198"/>
      <c r="H6847" s="123"/>
    </row>
    <row r="6848" spans="3:8" s="99" customFormat="1" x14ac:dyDescent="0.2">
      <c r="C6848" s="198"/>
      <c r="D6848" s="198"/>
      <c r="E6848" s="537"/>
      <c r="G6848" s="198"/>
      <c r="H6848" s="123"/>
    </row>
    <row r="6849" spans="3:8" s="99" customFormat="1" x14ac:dyDescent="0.2">
      <c r="C6849" s="198"/>
      <c r="D6849" s="198"/>
      <c r="E6849" s="537"/>
      <c r="G6849" s="198"/>
      <c r="H6849" s="123"/>
    </row>
    <row r="6850" spans="3:8" s="99" customFormat="1" x14ac:dyDescent="0.2">
      <c r="C6850" s="198"/>
      <c r="D6850" s="198"/>
      <c r="E6850" s="537"/>
      <c r="G6850" s="198"/>
      <c r="H6850" s="123"/>
    </row>
    <row r="6851" spans="3:8" s="99" customFormat="1" x14ac:dyDescent="0.2">
      <c r="C6851" s="198"/>
      <c r="D6851" s="198"/>
      <c r="E6851" s="537"/>
      <c r="G6851" s="198"/>
      <c r="H6851" s="123"/>
    </row>
    <row r="6852" spans="3:8" s="99" customFormat="1" x14ac:dyDescent="0.2">
      <c r="C6852" s="198"/>
      <c r="D6852" s="198"/>
      <c r="E6852" s="537"/>
      <c r="G6852" s="198"/>
      <c r="H6852" s="123"/>
    </row>
    <row r="6853" spans="3:8" s="99" customFormat="1" x14ac:dyDescent="0.2">
      <c r="C6853" s="198"/>
      <c r="D6853" s="198"/>
      <c r="E6853" s="537"/>
      <c r="G6853" s="198"/>
      <c r="H6853" s="123"/>
    </row>
    <row r="6854" spans="3:8" s="99" customFormat="1" x14ac:dyDescent="0.2">
      <c r="C6854" s="198"/>
      <c r="D6854" s="198"/>
      <c r="E6854" s="537"/>
      <c r="G6854" s="198"/>
      <c r="H6854" s="123"/>
    </row>
    <row r="6855" spans="3:8" s="99" customFormat="1" x14ac:dyDescent="0.2">
      <c r="C6855" s="198"/>
      <c r="D6855" s="198"/>
      <c r="E6855" s="537"/>
      <c r="G6855" s="198"/>
      <c r="H6855" s="123"/>
    </row>
    <row r="6856" spans="3:8" s="99" customFormat="1" x14ac:dyDescent="0.2">
      <c r="C6856" s="198"/>
      <c r="D6856" s="198"/>
      <c r="E6856" s="537"/>
      <c r="G6856" s="198"/>
      <c r="H6856" s="123"/>
    </row>
    <row r="6857" spans="3:8" s="99" customFormat="1" x14ac:dyDescent="0.2">
      <c r="C6857" s="198"/>
      <c r="D6857" s="198"/>
      <c r="E6857" s="537"/>
      <c r="G6857" s="198"/>
      <c r="H6857" s="123"/>
    </row>
    <row r="6858" spans="3:8" s="99" customFormat="1" x14ac:dyDescent="0.2">
      <c r="C6858" s="198"/>
      <c r="D6858" s="198"/>
      <c r="E6858" s="537"/>
      <c r="G6858" s="198"/>
      <c r="H6858" s="123"/>
    </row>
    <row r="6859" spans="3:8" s="99" customFormat="1" x14ac:dyDescent="0.2">
      <c r="C6859" s="198"/>
      <c r="D6859" s="198"/>
      <c r="E6859" s="537"/>
      <c r="G6859" s="198"/>
      <c r="H6859" s="123"/>
    </row>
    <row r="6860" spans="3:8" s="99" customFormat="1" x14ac:dyDescent="0.2">
      <c r="C6860" s="198"/>
      <c r="D6860" s="198"/>
      <c r="E6860" s="537"/>
      <c r="G6860" s="198"/>
      <c r="H6860" s="123"/>
    </row>
    <row r="6861" spans="3:8" s="99" customFormat="1" x14ac:dyDescent="0.2">
      <c r="C6861" s="198"/>
      <c r="D6861" s="198"/>
      <c r="E6861" s="537"/>
      <c r="G6861" s="198"/>
      <c r="H6861" s="123"/>
    </row>
    <row r="6862" spans="3:8" s="99" customFormat="1" x14ac:dyDescent="0.2">
      <c r="C6862" s="198"/>
      <c r="D6862" s="198"/>
      <c r="E6862" s="537"/>
      <c r="G6862" s="198"/>
      <c r="H6862" s="123"/>
    </row>
    <row r="6863" spans="3:8" s="99" customFormat="1" x14ac:dyDescent="0.2">
      <c r="C6863" s="198"/>
      <c r="D6863" s="198"/>
      <c r="E6863" s="537"/>
      <c r="G6863" s="198"/>
      <c r="H6863" s="123"/>
    </row>
    <row r="6864" spans="3:8" s="99" customFormat="1" x14ac:dyDescent="0.2">
      <c r="C6864" s="198"/>
      <c r="D6864" s="198"/>
      <c r="E6864" s="537"/>
      <c r="G6864" s="198"/>
      <c r="H6864" s="123"/>
    </row>
    <row r="6865" spans="3:8" s="99" customFormat="1" x14ac:dyDescent="0.2">
      <c r="C6865" s="198"/>
      <c r="D6865" s="198"/>
      <c r="E6865" s="537"/>
      <c r="G6865" s="198"/>
      <c r="H6865" s="123"/>
    </row>
    <row r="6866" spans="3:8" s="99" customFormat="1" x14ac:dyDescent="0.2">
      <c r="C6866" s="198"/>
      <c r="D6866" s="198"/>
      <c r="E6866" s="537"/>
      <c r="G6866" s="198"/>
      <c r="H6866" s="123"/>
    </row>
    <row r="6867" spans="3:8" s="99" customFormat="1" x14ac:dyDescent="0.2">
      <c r="C6867" s="198"/>
      <c r="D6867" s="198"/>
      <c r="E6867" s="537"/>
      <c r="G6867" s="198"/>
      <c r="H6867" s="123"/>
    </row>
    <row r="6868" spans="3:8" s="99" customFormat="1" x14ac:dyDescent="0.2">
      <c r="C6868" s="198"/>
      <c r="D6868" s="198"/>
      <c r="E6868" s="537"/>
      <c r="G6868" s="198"/>
      <c r="H6868" s="123"/>
    </row>
    <row r="6869" spans="3:8" s="99" customFormat="1" x14ac:dyDescent="0.2">
      <c r="C6869" s="198"/>
      <c r="D6869" s="198"/>
      <c r="E6869" s="537"/>
      <c r="G6869" s="198"/>
      <c r="H6869" s="123"/>
    </row>
    <row r="6870" spans="3:8" s="99" customFormat="1" x14ac:dyDescent="0.2">
      <c r="C6870" s="198"/>
      <c r="D6870" s="198"/>
      <c r="E6870" s="537"/>
      <c r="G6870" s="198"/>
      <c r="H6870" s="123"/>
    </row>
    <row r="6871" spans="3:8" s="99" customFormat="1" x14ac:dyDescent="0.2">
      <c r="C6871" s="198"/>
      <c r="D6871" s="198"/>
      <c r="E6871" s="537"/>
      <c r="G6871" s="198"/>
      <c r="H6871" s="123"/>
    </row>
    <row r="6872" spans="3:8" s="99" customFormat="1" x14ac:dyDescent="0.2">
      <c r="C6872" s="198"/>
      <c r="D6872" s="198"/>
      <c r="E6872" s="537"/>
      <c r="G6872" s="198"/>
      <c r="H6872" s="123"/>
    </row>
    <row r="6873" spans="3:8" s="99" customFormat="1" x14ac:dyDescent="0.2">
      <c r="C6873" s="198"/>
      <c r="D6873" s="198"/>
      <c r="E6873" s="537"/>
      <c r="G6873" s="198"/>
      <c r="H6873" s="123"/>
    </row>
    <row r="6874" spans="3:8" s="99" customFormat="1" x14ac:dyDescent="0.2">
      <c r="C6874" s="198"/>
      <c r="D6874" s="198"/>
      <c r="E6874" s="537"/>
      <c r="G6874" s="198"/>
      <c r="H6874" s="123"/>
    </row>
    <row r="6875" spans="3:8" s="99" customFormat="1" x14ac:dyDescent="0.2">
      <c r="C6875" s="198"/>
      <c r="D6875" s="198"/>
      <c r="E6875" s="537"/>
      <c r="G6875" s="198"/>
      <c r="H6875" s="123"/>
    </row>
    <row r="6876" spans="3:8" s="99" customFormat="1" x14ac:dyDescent="0.2">
      <c r="C6876" s="198"/>
      <c r="D6876" s="198"/>
      <c r="E6876" s="537"/>
      <c r="G6876" s="198"/>
      <c r="H6876" s="123"/>
    </row>
    <row r="6877" spans="3:8" s="99" customFormat="1" x14ac:dyDescent="0.2">
      <c r="C6877" s="198"/>
      <c r="D6877" s="198"/>
      <c r="E6877" s="537"/>
      <c r="G6877" s="198"/>
      <c r="H6877" s="123"/>
    </row>
    <row r="6878" spans="3:8" s="99" customFormat="1" x14ac:dyDescent="0.2">
      <c r="C6878" s="198"/>
      <c r="D6878" s="198"/>
      <c r="E6878" s="537"/>
      <c r="G6878" s="198"/>
      <c r="H6878" s="123"/>
    </row>
    <row r="6879" spans="3:8" s="99" customFormat="1" x14ac:dyDescent="0.2">
      <c r="C6879" s="198"/>
      <c r="D6879" s="198"/>
      <c r="E6879" s="537"/>
      <c r="G6879" s="198"/>
      <c r="H6879" s="123"/>
    </row>
    <row r="6880" spans="3:8" s="99" customFormat="1" x14ac:dyDescent="0.2">
      <c r="C6880" s="198"/>
      <c r="D6880" s="198"/>
      <c r="E6880" s="537"/>
      <c r="G6880" s="198"/>
      <c r="H6880" s="123"/>
    </row>
    <row r="6881" spans="3:8" s="99" customFormat="1" x14ac:dyDescent="0.2">
      <c r="C6881" s="198"/>
      <c r="D6881" s="198"/>
      <c r="E6881" s="537"/>
      <c r="G6881" s="198"/>
      <c r="H6881" s="123"/>
    </row>
    <row r="6882" spans="3:8" s="99" customFormat="1" x14ac:dyDescent="0.2">
      <c r="C6882" s="198"/>
      <c r="D6882" s="198"/>
      <c r="E6882" s="537"/>
      <c r="G6882" s="198"/>
      <c r="H6882" s="123"/>
    </row>
    <row r="6883" spans="3:8" s="99" customFormat="1" x14ac:dyDescent="0.2">
      <c r="C6883" s="198"/>
      <c r="D6883" s="198"/>
      <c r="E6883" s="537"/>
      <c r="G6883" s="198"/>
      <c r="H6883" s="123"/>
    </row>
    <row r="6884" spans="3:8" s="99" customFormat="1" x14ac:dyDescent="0.2">
      <c r="C6884" s="198"/>
      <c r="D6884" s="198"/>
      <c r="E6884" s="537"/>
      <c r="G6884" s="198"/>
      <c r="H6884" s="123"/>
    </row>
    <row r="6885" spans="3:8" s="99" customFormat="1" x14ac:dyDescent="0.2">
      <c r="C6885" s="198"/>
      <c r="D6885" s="198"/>
      <c r="E6885" s="537"/>
      <c r="G6885" s="198"/>
      <c r="H6885" s="123"/>
    </row>
    <row r="6886" spans="3:8" s="99" customFormat="1" x14ac:dyDescent="0.2">
      <c r="C6886" s="198"/>
      <c r="D6886" s="198"/>
      <c r="E6886" s="537"/>
      <c r="G6886" s="198"/>
      <c r="H6886" s="123"/>
    </row>
    <row r="6887" spans="3:8" s="99" customFormat="1" x14ac:dyDescent="0.2">
      <c r="C6887" s="198"/>
      <c r="D6887" s="198"/>
      <c r="E6887" s="537"/>
      <c r="G6887" s="198"/>
      <c r="H6887" s="123"/>
    </row>
    <row r="6888" spans="3:8" s="99" customFormat="1" x14ac:dyDescent="0.2">
      <c r="C6888" s="198"/>
      <c r="D6888" s="198"/>
      <c r="E6888" s="537"/>
      <c r="G6888" s="198"/>
      <c r="H6888" s="123"/>
    </row>
    <row r="6889" spans="3:8" s="99" customFormat="1" x14ac:dyDescent="0.2">
      <c r="C6889" s="198"/>
      <c r="D6889" s="198"/>
      <c r="E6889" s="537"/>
      <c r="G6889" s="198"/>
      <c r="H6889" s="123"/>
    </row>
    <row r="6890" spans="3:8" s="99" customFormat="1" x14ac:dyDescent="0.2">
      <c r="C6890" s="198"/>
      <c r="D6890" s="198"/>
      <c r="E6890" s="537"/>
      <c r="G6890" s="198"/>
      <c r="H6890" s="123"/>
    </row>
    <row r="6891" spans="3:8" s="99" customFormat="1" x14ac:dyDescent="0.2">
      <c r="C6891" s="198"/>
      <c r="D6891" s="198"/>
      <c r="E6891" s="537"/>
      <c r="G6891" s="198"/>
      <c r="H6891" s="123"/>
    </row>
    <row r="6892" spans="3:8" s="99" customFormat="1" x14ac:dyDescent="0.2">
      <c r="C6892" s="198"/>
      <c r="D6892" s="198"/>
      <c r="E6892" s="537"/>
      <c r="G6892" s="198"/>
      <c r="H6892" s="123"/>
    </row>
    <row r="6893" spans="3:8" s="99" customFormat="1" x14ac:dyDescent="0.2">
      <c r="C6893" s="198"/>
      <c r="D6893" s="198"/>
      <c r="E6893" s="537"/>
      <c r="G6893" s="198"/>
      <c r="H6893" s="123"/>
    </row>
    <row r="6894" spans="3:8" s="99" customFormat="1" x14ac:dyDescent="0.2">
      <c r="C6894" s="198"/>
      <c r="D6894" s="198"/>
      <c r="E6894" s="537"/>
      <c r="G6894" s="198"/>
      <c r="H6894" s="123"/>
    </row>
    <row r="6895" spans="3:8" s="99" customFormat="1" x14ac:dyDescent="0.2">
      <c r="C6895" s="198"/>
      <c r="D6895" s="198"/>
      <c r="E6895" s="537"/>
      <c r="G6895" s="198"/>
      <c r="H6895" s="123"/>
    </row>
    <row r="6896" spans="3:8" s="99" customFormat="1" x14ac:dyDescent="0.2">
      <c r="C6896" s="198"/>
      <c r="D6896" s="198"/>
      <c r="E6896" s="537"/>
      <c r="G6896" s="198"/>
      <c r="H6896" s="123"/>
    </row>
    <row r="6897" spans="3:8" s="99" customFormat="1" x14ac:dyDescent="0.2">
      <c r="C6897" s="198"/>
      <c r="D6897" s="198"/>
      <c r="E6897" s="537"/>
      <c r="G6897" s="198"/>
      <c r="H6897" s="123"/>
    </row>
    <row r="6898" spans="3:8" s="99" customFormat="1" x14ac:dyDescent="0.2">
      <c r="C6898" s="198"/>
      <c r="D6898" s="198"/>
      <c r="E6898" s="537"/>
      <c r="G6898" s="198"/>
      <c r="H6898" s="123"/>
    </row>
    <row r="6899" spans="3:8" s="99" customFormat="1" x14ac:dyDescent="0.2">
      <c r="C6899" s="198"/>
      <c r="D6899" s="198"/>
      <c r="E6899" s="537"/>
      <c r="G6899" s="198"/>
      <c r="H6899" s="123"/>
    </row>
    <row r="6900" spans="3:8" s="99" customFormat="1" x14ac:dyDescent="0.2">
      <c r="C6900" s="198"/>
      <c r="D6900" s="198"/>
      <c r="E6900" s="537"/>
      <c r="G6900" s="198"/>
      <c r="H6900" s="123"/>
    </row>
    <row r="6901" spans="3:8" s="99" customFormat="1" x14ac:dyDescent="0.2">
      <c r="C6901" s="198"/>
      <c r="D6901" s="198"/>
      <c r="E6901" s="537"/>
      <c r="G6901" s="198"/>
      <c r="H6901" s="123"/>
    </row>
    <row r="6902" spans="3:8" s="99" customFormat="1" x14ac:dyDescent="0.2">
      <c r="C6902" s="198"/>
      <c r="D6902" s="198"/>
      <c r="E6902" s="537"/>
      <c r="G6902" s="198"/>
      <c r="H6902" s="123"/>
    </row>
    <row r="6903" spans="3:8" s="99" customFormat="1" x14ac:dyDescent="0.2">
      <c r="C6903" s="198"/>
      <c r="D6903" s="198"/>
      <c r="E6903" s="537"/>
      <c r="G6903" s="198"/>
      <c r="H6903" s="123"/>
    </row>
    <row r="6904" spans="3:8" s="99" customFormat="1" x14ac:dyDescent="0.2">
      <c r="C6904" s="198"/>
      <c r="D6904" s="198"/>
      <c r="E6904" s="537"/>
      <c r="G6904" s="198"/>
      <c r="H6904" s="123"/>
    </row>
    <row r="6905" spans="3:8" s="99" customFormat="1" x14ac:dyDescent="0.2">
      <c r="C6905" s="198"/>
      <c r="D6905" s="198"/>
      <c r="E6905" s="537"/>
      <c r="G6905" s="198"/>
      <c r="H6905" s="123"/>
    </row>
    <row r="6906" spans="3:8" s="99" customFormat="1" x14ac:dyDescent="0.2">
      <c r="C6906" s="198"/>
      <c r="D6906" s="198"/>
      <c r="E6906" s="537"/>
      <c r="G6906" s="198"/>
      <c r="H6906" s="123"/>
    </row>
    <row r="6907" spans="3:8" s="99" customFormat="1" x14ac:dyDescent="0.2">
      <c r="C6907" s="198"/>
      <c r="D6907" s="198"/>
      <c r="E6907" s="537"/>
      <c r="G6907" s="198"/>
      <c r="H6907" s="123"/>
    </row>
    <row r="6908" spans="3:8" s="99" customFormat="1" x14ac:dyDescent="0.2">
      <c r="C6908" s="198"/>
      <c r="D6908" s="198"/>
      <c r="E6908" s="537"/>
      <c r="G6908" s="198"/>
      <c r="H6908" s="123"/>
    </row>
    <row r="6909" spans="3:8" s="99" customFormat="1" x14ac:dyDescent="0.2">
      <c r="C6909" s="198"/>
      <c r="D6909" s="198"/>
      <c r="E6909" s="537"/>
      <c r="G6909" s="198"/>
      <c r="H6909" s="123"/>
    </row>
    <row r="6910" spans="3:8" s="99" customFormat="1" x14ac:dyDescent="0.2">
      <c r="C6910" s="198"/>
      <c r="D6910" s="198"/>
      <c r="E6910" s="537"/>
      <c r="G6910" s="198"/>
      <c r="H6910" s="123"/>
    </row>
    <row r="6911" spans="3:8" s="99" customFormat="1" x14ac:dyDescent="0.2">
      <c r="C6911" s="198"/>
      <c r="D6911" s="198"/>
      <c r="E6911" s="537"/>
      <c r="G6911" s="198"/>
      <c r="H6911" s="123"/>
    </row>
    <row r="6912" spans="3:8" s="99" customFormat="1" x14ac:dyDescent="0.2">
      <c r="C6912" s="198"/>
      <c r="D6912" s="198"/>
      <c r="E6912" s="537"/>
      <c r="G6912" s="198"/>
      <c r="H6912" s="123"/>
    </row>
    <row r="6913" spans="3:8" s="99" customFormat="1" x14ac:dyDescent="0.2">
      <c r="C6913" s="198"/>
      <c r="D6913" s="198"/>
      <c r="E6913" s="537"/>
      <c r="G6913" s="198"/>
      <c r="H6913" s="123"/>
    </row>
    <row r="6914" spans="3:8" s="99" customFormat="1" x14ac:dyDescent="0.2">
      <c r="C6914" s="198"/>
      <c r="D6914" s="198"/>
      <c r="E6914" s="537"/>
      <c r="G6914" s="198"/>
      <c r="H6914" s="123"/>
    </row>
    <row r="6915" spans="3:8" s="99" customFormat="1" x14ac:dyDescent="0.2">
      <c r="C6915" s="198"/>
      <c r="D6915" s="198"/>
      <c r="E6915" s="537"/>
      <c r="G6915" s="198"/>
      <c r="H6915" s="123"/>
    </row>
    <row r="6916" spans="3:8" s="99" customFormat="1" x14ac:dyDescent="0.2">
      <c r="C6916" s="198"/>
      <c r="D6916" s="198"/>
      <c r="E6916" s="537"/>
      <c r="G6916" s="198"/>
      <c r="H6916" s="123"/>
    </row>
    <row r="6917" spans="3:8" s="99" customFormat="1" x14ac:dyDescent="0.2">
      <c r="C6917" s="198"/>
      <c r="D6917" s="198"/>
      <c r="E6917" s="537"/>
      <c r="G6917" s="198"/>
      <c r="H6917" s="123"/>
    </row>
    <row r="6918" spans="3:8" s="99" customFormat="1" x14ac:dyDescent="0.2">
      <c r="C6918" s="198"/>
      <c r="D6918" s="198"/>
      <c r="E6918" s="537"/>
      <c r="G6918" s="198"/>
      <c r="H6918" s="123"/>
    </row>
    <row r="6919" spans="3:8" s="99" customFormat="1" x14ac:dyDescent="0.2">
      <c r="C6919" s="198"/>
      <c r="D6919" s="198"/>
      <c r="E6919" s="537"/>
      <c r="G6919" s="198"/>
      <c r="H6919" s="123"/>
    </row>
    <row r="6920" spans="3:8" s="99" customFormat="1" x14ac:dyDescent="0.2">
      <c r="C6920" s="198"/>
      <c r="D6920" s="198"/>
      <c r="E6920" s="537"/>
      <c r="G6920" s="198"/>
      <c r="H6920" s="123"/>
    </row>
    <row r="6921" spans="3:8" s="99" customFormat="1" x14ac:dyDescent="0.2">
      <c r="C6921" s="198"/>
      <c r="D6921" s="198"/>
      <c r="E6921" s="537"/>
      <c r="G6921" s="198"/>
      <c r="H6921" s="123"/>
    </row>
    <row r="6922" spans="3:8" s="99" customFormat="1" x14ac:dyDescent="0.2">
      <c r="C6922" s="198"/>
      <c r="D6922" s="198"/>
      <c r="E6922" s="537"/>
      <c r="G6922" s="198"/>
      <c r="H6922" s="123"/>
    </row>
    <row r="6923" spans="3:8" s="99" customFormat="1" x14ac:dyDescent="0.2">
      <c r="C6923" s="198"/>
      <c r="D6923" s="198"/>
      <c r="E6923" s="537"/>
      <c r="G6923" s="198"/>
      <c r="H6923" s="123"/>
    </row>
    <row r="6924" spans="3:8" s="99" customFormat="1" x14ac:dyDescent="0.2">
      <c r="C6924" s="198"/>
      <c r="D6924" s="198"/>
      <c r="E6924" s="537"/>
      <c r="G6924" s="198"/>
      <c r="H6924" s="123"/>
    </row>
    <row r="6925" spans="3:8" s="99" customFormat="1" x14ac:dyDescent="0.2">
      <c r="C6925" s="198"/>
      <c r="D6925" s="198"/>
      <c r="E6925" s="537"/>
      <c r="G6925" s="198"/>
      <c r="H6925" s="123"/>
    </row>
    <row r="6926" spans="3:8" s="99" customFormat="1" x14ac:dyDescent="0.2">
      <c r="C6926" s="198"/>
      <c r="D6926" s="198"/>
      <c r="E6926" s="537"/>
      <c r="G6926" s="198"/>
      <c r="H6926" s="123"/>
    </row>
    <row r="6927" spans="3:8" s="99" customFormat="1" x14ac:dyDescent="0.2">
      <c r="C6927" s="198"/>
      <c r="D6927" s="198"/>
      <c r="E6927" s="537"/>
      <c r="G6927" s="198"/>
      <c r="H6927" s="123"/>
    </row>
    <row r="6928" spans="3:8" s="99" customFormat="1" x14ac:dyDescent="0.2">
      <c r="C6928" s="198"/>
      <c r="D6928" s="198"/>
      <c r="E6928" s="537"/>
      <c r="G6928" s="198"/>
      <c r="H6928" s="123"/>
    </row>
    <row r="6929" spans="3:8" s="99" customFormat="1" x14ac:dyDescent="0.2">
      <c r="C6929" s="198"/>
      <c r="D6929" s="198"/>
      <c r="E6929" s="537"/>
      <c r="G6929" s="198"/>
      <c r="H6929" s="123"/>
    </row>
    <row r="6930" spans="3:8" s="99" customFormat="1" x14ac:dyDescent="0.2">
      <c r="C6930" s="198"/>
      <c r="D6930" s="198"/>
      <c r="E6930" s="537"/>
      <c r="G6930" s="198"/>
      <c r="H6930" s="123"/>
    </row>
    <row r="6931" spans="3:8" s="99" customFormat="1" x14ac:dyDescent="0.2">
      <c r="C6931" s="198"/>
      <c r="D6931" s="198"/>
      <c r="E6931" s="537"/>
      <c r="G6931" s="198"/>
      <c r="H6931" s="123"/>
    </row>
    <row r="6932" spans="3:8" s="99" customFormat="1" x14ac:dyDescent="0.2">
      <c r="C6932" s="198"/>
      <c r="D6932" s="198"/>
      <c r="E6932" s="537"/>
      <c r="G6932" s="198"/>
      <c r="H6932" s="123"/>
    </row>
    <row r="6933" spans="3:8" s="99" customFormat="1" x14ac:dyDescent="0.2">
      <c r="C6933" s="198"/>
      <c r="D6933" s="198"/>
      <c r="E6933" s="537"/>
      <c r="G6933" s="198"/>
      <c r="H6933" s="123"/>
    </row>
    <row r="6934" spans="3:8" s="99" customFormat="1" x14ac:dyDescent="0.2">
      <c r="C6934" s="198"/>
      <c r="D6934" s="198"/>
      <c r="E6934" s="537"/>
      <c r="G6934" s="198"/>
      <c r="H6934" s="123"/>
    </row>
    <row r="6935" spans="3:8" s="99" customFormat="1" x14ac:dyDescent="0.2">
      <c r="C6935" s="198"/>
      <c r="D6935" s="198"/>
      <c r="E6935" s="537"/>
      <c r="G6935" s="198"/>
      <c r="H6935" s="123"/>
    </row>
    <row r="6936" spans="3:8" s="99" customFormat="1" x14ac:dyDescent="0.2">
      <c r="C6936" s="198"/>
      <c r="D6936" s="198"/>
      <c r="E6936" s="537"/>
      <c r="G6936" s="198"/>
      <c r="H6936" s="123"/>
    </row>
    <row r="6937" spans="3:8" s="99" customFormat="1" x14ac:dyDescent="0.2">
      <c r="C6937" s="198"/>
      <c r="D6937" s="198"/>
      <c r="E6937" s="537"/>
      <c r="G6937" s="198"/>
      <c r="H6937" s="123"/>
    </row>
    <row r="6938" spans="3:8" s="99" customFormat="1" x14ac:dyDescent="0.2">
      <c r="C6938" s="198"/>
      <c r="D6938" s="198"/>
      <c r="E6938" s="537"/>
      <c r="G6938" s="198"/>
      <c r="H6938" s="123"/>
    </row>
    <row r="6939" spans="3:8" s="99" customFormat="1" x14ac:dyDescent="0.2">
      <c r="C6939" s="198"/>
      <c r="D6939" s="198"/>
      <c r="E6939" s="537"/>
      <c r="G6939" s="198"/>
      <c r="H6939" s="123"/>
    </row>
    <row r="6940" spans="3:8" s="99" customFormat="1" x14ac:dyDescent="0.2">
      <c r="C6940" s="198"/>
      <c r="D6940" s="198"/>
      <c r="E6940" s="537"/>
      <c r="G6940" s="198"/>
      <c r="H6940" s="123"/>
    </row>
    <row r="6941" spans="3:8" s="99" customFormat="1" x14ac:dyDescent="0.2">
      <c r="C6941" s="198"/>
      <c r="D6941" s="198"/>
      <c r="E6941" s="537"/>
      <c r="G6941" s="198"/>
      <c r="H6941" s="123"/>
    </row>
    <row r="6942" spans="3:8" s="99" customFormat="1" x14ac:dyDescent="0.2">
      <c r="C6942" s="198"/>
      <c r="D6942" s="198"/>
      <c r="E6942" s="537"/>
      <c r="G6942" s="198"/>
      <c r="H6942" s="123"/>
    </row>
    <row r="6943" spans="3:8" s="99" customFormat="1" x14ac:dyDescent="0.2">
      <c r="C6943" s="198"/>
      <c r="D6943" s="198"/>
      <c r="E6943" s="537"/>
      <c r="G6943" s="198"/>
      <c r="H6943" s="123"/>
    </row>
    <row r="6944" spans="3:8" s="99" customFormat="1" x14ac:dyDescent="0.2">
      <c r="C6944" s="198"/>
      <c r="D6944" s="198"/>
      <c r="E6944" s="537"/>
      <c r="G6944" s="198"/>
      <c r="H6944" s="123"/>
    </row>
    <row r="6945" spans="3:8" s="99" customFormat="1" x14ac:dyDescent="0.2">
      <c r="C6945" s="198"/>
      <c r="D6945" s="198"/>
      <c r="E6945" s="537"/>
      <c r="G6945" s="198"/>
      <c r="H6945" s="123"/>
    </row>
    <row r="6946" spans="3:8" s="99" customFormat="1" x14ac:dyDescent="0.2">
      <c r="C6946" s="198"/>
      <c r="D6946" s="198"/>
      <c r="E6946" s="537"/>
      <c r="G6946" s="198"/>
      <c r="H6946" s="123"/>
    </row>
    <row r="6947" spans="3:8" s="99" customFormat="1" x14ac:dyDescent="0.2">
      <c r="C6947" s="198"/>
      <c r="D6947" s="198"/>
      <c r="E6947" s="537"/>
      <c r="G6947" s="198"/>
      <c r="H6947" s="123"/>
    </row>
    <row r="6948" spans="3:8" s="99" customFormat="1" x14ac:dyDescent="0.2">
      <c r="C6948" s="198"/>
      <c r="D6948" s="198"/>
      <c r="E6948" s="537"/>
      <c r="G6948" s="198"/>
      <c r="H6948" s="123"/>
    </row>
    <row r="6949" spans="3:8" s="99" customFormat="1" x14ac:dyDescent="0.2">
      <c r="C6949" s="198"/>
      <c r="D6949" s="198"/>
      <c r="E6949" s="537"/>
      <c r="G6949" s="198"/>
      <c r="H6949" s="123"/>
    </row>
    <row r="6950" spans="3:8" s="99" customFormat="1" x14ac:dyDescent="0.2">
      <c r="C6950" s="198"/>
      <c r="D6950" s="198"/>
      <c r="E6950" s="537"/>
      <c r="G6950" s="198"/>
      <c r="H6950" s="123"/>
    </row>
    <row r="6951" spans="3:8" s="99" customFormat="1" x14ac:dyDescent="0.2">
      <c r="C6951" s="198"/>
      <c r="D6951" s="198"/>
      <c r="E6951" s="537"/>
      <c r="G6951" s="198"/>
      <c r="H6951" s="123"/>
    </row>
    <row r="6952" spans="3:8" s="99" customFormat="1" x14ac:dyDescent="0.2">
      <c r="C6952" s="198"/>
      <c r="D6952" s="198"/>
      <c r="E6952" s="537"/>
      <c r="G6952" s="198"/>
      <c r="H6952" s="123"/>
    </row>
    <row r="6953" spans="3:8" s="99" customFormat="1" x14ac:dyDescent="0.2">
      <c r="C6953" s="198"/>
      <c r="D6953" s="198"/>
      <c r="E6953" s="537"/>
      <c r="G6953" s="198"/>
      <c r="H6953" s="123"/>
    </row>
    <row r="6954" spans="3:8" s="99" customFormat="1" x14ac:dyDescent="0.2">
      <c r="C6954" s="198"/>
      <c r="D6954" s="198"/>
      <c r="E6954" s="537"/>
      <c r="G6954" s="198"/>
      <c r="H6954" s="123"/>
    </row>
    <row r="6955" spans="3:8" s="99" customFormat="1" x14ac:dyDescent="0.2">
      <c r="C6955" s="198"/>
      <c r="D6955" s="198"/>
      <c r="E6955" s="537"/>
      <c r="G6955" s="198"/>
      <c r="H6955" s="123"/>
    </row>
    <row r="6956" spans="3:8" s="99" customFormat="1" x14ac:dyDescent="0.2">
      <c r="C6956" s="198"/>
      <c r="D6956" s="198"/>
      <c r="E6956" s="537"/>
      <c r="G6956" s="198"/>
      <c r="H6956" s="123"/>
    </row>
    <row r="6957" spans="3:8" s="99" customFormat="1" x14ac:dyDescent="0.2">
      <c r="C6957" s="198"/>
      <c r="D6957" s="198"/>
      <c r="E6957" s="537"/>
      <c r="G6957" s="198"/>
      <c r="H6957" s="123"/>
    </row>
    <row r="6958" spans="3:8" s="99" customFormat="1" x14ac:dyDescent="0.2">
      <c r="C6958" s="198"/>
      <c r="D6958" s="198"/>
      <c r="E6958" s="537"/>
      <c r="G6958" s="198"/>
      <c r="H6958" s="123"/>
    </row>
    <row r="6959" spans="3:8" s="99" customFormat="1" x14ac:dyDescent="0.2">
      <c r="C6959" s="198"/>
      <c r="D6959" s="198"/>
      <c r="E6959" s="537"/>
      <c r="G6959" s="198"/>
      <c r="H6959" s="123"/>
    </row>
    <row r="6960" spans="3:8" s="99" customFormat="1" x14ac:dyDescent="0.2">
      <c r="C6960" s="198"/>
      <c r="D6960" s="198"/>
      <c r="E6960" s="537"/>
      <c r="G6960" s="198"/>
      <c r="H6960" s="123"/>
    </row>
    <row r="6961" spans="3:8" s="99" customFormat="1" x14ac:dyDescent="0.2">
      <c r="C6961" s="198"/>
      <c r="D6961" s="198"/>
      <c r="E6961" s="537"/>
      <c r="G6961" s="198"/>
      <c r="H6961" s="123"/>
    </row>
    <row r="6962" spans="3:8" s="99" customFormat="1" x14ac:dyDescent="0.2">
      <c r="C6962" s="198"/>
      <c r="D6962" s="198"/>
      <c r="E6962" s="537"/>
      <c r="G6962" s="198"/>
      <c r="H6962" s="123"/>
    </row>
    <row r="6963" spans="3:8" s="99" customFormat="1" x14ac:dyDescent="0.2">
      <c r="C6963" s="198"/>
      <c r="D6963" s="198"/>
      <c r="E6963" s="537"/>
      <c r="G6963" s="198"/>
      <c r="H6963" s="123"/>
    </row>
    <row r="6964" spans="3:8" s="99" customFormat="1" x14ac:dyDescent="0.2">
      <c r="C6964" s="198"/>
      <c r="D6964" s="198"/>
      <c r="E6964" s="537"/>
      <c r="G6964" s="198"/>
      <c r="H6964" s="123"/>
    </row>
    <row r="6965" spans="3:8" s="99" customFormat="1" x14ac:dyDescent="0.2">
      <c r="C6965" s="198"/>
      <c r="D6965" s="198"/>
      <c r="E6965" s="537"/>
      <c r="G6965" s="198"/>
      <c r="H6965" s="123"/>
    </row>
    <row r="6966" spans="3:8" s="99" customFormat="1" x14ac:dyDescent="0.2">
      <c r="C6966" s="198"/>
      <c r="D6966" s="198"/>
      <c r="E6966" s="537"/>
      <c r="G6966" s="198"/>
      <c r="H6966" s="123"/>
    </row>
    <row r="6967" spans="3:8" s="99" customFormat="1" x14ac:dyDescent="0.2">
      <c r="C6967" s="198"/>
      <c r="D6967" s="198"/>
      <c r="E6967" s="537"/>
      <c r="G6967" s="198"/>
      <c r="H6967" s="123"/>
    </row>
    <row r="6968" spans="3:8" s="99" customFormat="1" x14ac:dyDescent="0.2">
      <c r="C6968" s="198"/>
      <c r="D6968" s="198"/>
      <c r="E6968" s="537"/>
      <c r="G6968" s="198"/>
      <c r="H6968" s="123"/>
    </row>
    <row r="6969" spans="3:8" s="99" customFormat="1" x14ac:dyDescent="0.2">
      <c r="C6969" s="198"/>
      <c r="D6969" s="198"/>
      <c r="E6969" s="537"/>
      <c r="G6969" s="198"/>
      <c r="H6969" s="123"/>
    </row>
    <row r="6970" spans="3:8" s="99" customFormat="1" x14ac:dyDescent="0.2">
      <c r="C6970" s="198"/>
      <c r="D6970" s="198"/>
      <c r="E6970" s="537"/>
      <c r="G6970" s="198"/>
      <c r="H6970" s="123"/>
    </row>
    <row r="6971" spans="3:8" s="99" customFormat="1" x14ac:dyDescent="0.2">
      <c r="C6971" s="198"/>
      <c r="D6971" s="198"/>
      <c r="E6971" s="537"/>
      <c r="G6971" s="198"/>
      <c r="H6971" s="123"/>
    </row>
    <row r="6972" spans="3:8" s="99" customFormat="1" x14ac:dyDescent="0.2">
      <c r="C6972" s="198"/>
      <c r="D6972" s="198"/>
      <c r="E6972" s="537"/>
      <c r="G6972" s="198"/>
      <c r="H6972" s="123"/>
    </row>
    <row r="6973" spans="3:8" s="99" customFormat="1" x14ac:dyDescent="0.2">
      <c r="C6973" s="198"/>
      <c r="D6973" s="198"/>
      <c r="E6973" s="537"/>
      <c r="G6973" s="198"/>
      <c r="H6973" s="123"/>
    </row>
    <row r="6974" spans="3:8" s="99" customFormat="1" x14ac:dyDescent="0.2">
      <c r="C6974" s="198"/>
      <c r="D6974" s="198"/>
      <c r="E6974" s="537"/>
      <c r="G6974" s="198"/>
      <c r="H6974" s="123"/>
    </row>
    <row r="6975" spans="3:8" s="99" customFormat="1" x14ac:dyDescent="0.2">
      <c r="C6975" s="198"/>
      <c r="D6975" s="198"/>
      <c r="E6975" s="537"/>
      <c r="G6975" s="198"/>
      <c r="H6975" s="123"/>
    </row>
    <row r="6976" spans="3:8" s="99" customFormat="1" x14ac:dyDescent="0.2">
      <c r="C6976" s="198"/>
      <c r="D6976" s="198"/>
      <c r="E6976" s="537"/>
      <c r="G6976" s="198"/>
      <c r="H6976" s="123"/>
    </row>
    <row r="6977" spans="3:8" s="99" customFormat="1" x14ac:dyDescent="0.2">
      <c r="C6977" s="198"/>
      <c r="D6977" s="198"/>
      <c r="E6977" s="537"/>
      <c r="G6977" s="198"/>
      <c r="H6977" s="123"/>
    </row>
    <row r="6978" spans="3:8" s="99" customFormat="1" x14ac:dyDescent="0.2">
      <c r="C6978" s="198"/>
      <c r="D6978" s="198"/>
      <c r="E6978" s="537"/>
      <c r="G6978" s="198"/>
      <c r="H6978" s="123"/>
    </row>
    <row r="6979" spans="3:8" s="99" customFormat="1" x14ac:dyDescent="0.2">
      <c r="C6979" s="198"/>
      <c r="D6979" s="198"/>
      <c r="E6979" s="537"/>
      <c r="G6979" s="198"/>
      <c r="H6979" s="123"/>
    </row>
    <row r="6980" spans="3:8" s="99" customFormat="1" x14ac:dyDescent="0.2">
      <c r="C6980" s="198"/>
      <c r="D6980" s="198"/>
      <c r="E6980" s="537"/>
      <c r="G6980" s="198"/>
      <c r="H6980" s="123"/>
    </row>
    <row r="6981" spans="3:8" s="99" customFormat="1" x14ac:dyDescent="0.2">
      <c r="C6981" s="198"/>
      <c r="D6981" s="198"/>
      <c r="E6981" s="537"/>
      <c r="G6981" s="198"/>
      <c r="H6981" s="123"/>
    </row>
    <row r="6982" spans="3:8" s="99" customFormat="1" x14ac:dyDescent="0.2">
      <c r="C6982" s="198"/>
      <c r="D6982" s="198"/>
      <c r="E6982" s="537"/>
      <c r="G6982" s="198"/>
      <c r="H6982" s="123"/>
    </row>
    <row r="6983" spans="3:8" s="99" customFormat="1" x14ac:dyDescent="0.2">
      <c r="C6983" s="198"/>
      <c r="D6983" s="198"/>
      <c r="E6983" s="537"/>
      <c r="G6983" s="198"/>
      <c r="H6983" s="123"/>
    </row>
    <row r="6984" spans="3:8" s="99" customFormat="1" x14ac:dyDescent="0.2">
      <c r="C6984" s="198"/>
      <c r="D6984" s="198"/>
      <c r="E6984" s="537"/>
      <c r="G6984" s="198"/>
      <c r="H6984" s="123"/>
    </row>
    <row r="6985" spans="3:8" s="99" customFormat="1" x14ac:dyDescent="0.2">
      <c r="C6985" s="198"/>
      <c r="D6985" s="198"/>
      <c r="E6985" s="537"/>
      <c r="G6985" s="198"/>
      <c r="H6985" s="123"/>
    </row>
    <row r="6986" spans="3:8" s="99" customFormat="1" x14ac:dyDescent="0.2">
      <c r="C6986" s="198"/>
      <c r="D6986" s="198"/>
      <c r="E6986" s="537"/>
      <c r="G6986" s="198"/>
      <c r="H6986" s="123"/>
    </row>
    <row r="6987" spans="3:8" s="99" customFormat="1" x14ac:dyDescent="0.2">
      <c r="C6987" s="198"/>
      <c r="D6987" s="198"/>
      <c r="E6987" s="537"/>
      <c r="G6987" s="198"/>
      <c r="H6987" s="123"/>
    </row>
    <row r="6988" spans="3:8" s="99" customFormat="1" x14ac:dyDescent="0.2">
      <c r="C6988" s="198"/>
      <c r="D6988" s="198"/>
      <c r="E6988" s="537"/>
      <c r="G6988" s="198"/>
      <c r="H6988" s="123"/>
    </row>
    <row r="6989" spans="3:8" s="99" customFormat="1" x14ac:dyDescent="0.2">
      <c r="C6989" s="198"/>
      <c r="D6989" s="198"/>
      <c r="E6989" s="537"/>
      <c r="G6989" s="198"/>
      <c r="H6989" s="123"/>
    </row>
    <row r="6990" spans="3:8" s="99" customFormat="1" x14ac:dyDescent="0.2">
      <c r="C6990" s="198"/>
      <c r="D6990" s="198"/>
      <c r="E6990" s="537"/>
      <c r="G6990" s="198"/>
      <c r="H6990" s="123"/>
    </row>
    <row r="6991" spans="3:8" s="99" customFormat="1" x14ac:dyDescent="0.2">
      <c r="C6991" s="198"/>
      <c r="D6991" s="198"/>
      <c r="E6991" s="537"/>
      <c r="G6991" s="198"/>
      <c r="H6991" s="123"/>
    </row>
    <row r="6992" spans="3:8" s="99" customFormat="1" x14ac:dyDescent="0.2">
      <c r="C6992" s="198"/>
      <c r="D6992" s="198"/>
      <c r="E6992" s="537"/>
      <c r="G6992" s="198"/>
      <c r="H6992" s="123"/>
    </row>
    <row r="6993" spans="3:8" s="99" customFormat="1" x14ac:dyDescent="0.2">
      <c r="C6993" s="198"/>
      <c r="D6993" s="198"/>
      <c r="E6993" s="537"/>
      <c r="G6993" s="198"/>
      <c r="H6993" s="123"/>
    </row>
    <row r="6994" spans="3:8" s="99" customFormat="1" x14ac:dyDescent="0.2">
      <c r="C6994" s="198"/>
      <c r="D6994" s="198"/>
      <c r="E6994" s="537"/>
      <c r="G6994" s="198"/>
      <c r="H6994" s="123"/>
    </row>
    <row r="6995" spans="3:8" s="99" customFormat="1" x14ac:dyDescent="0.2">
      <c r="C6995" s="198"/>
      <c r="D6995" s="198"/>
      <c r="E6995" s="537"/>
      <c r="G6995" s="198"/>
      <c r="H6995" s="123"/>
    </row>
    <row r="6996" spans="3:8" s="99" customFormat="1" x14ac:dyDescent="0.2">
      <c r="C6996" s="198"/>
      <c r="D6996" s="198"/>
      <c r="E6996" s="537"/>
      <c r="G6996" s="198"/>
      <c r="H6996" s="123"/>
    </row>
    <row r="6997" spans="3:8" s="99" customFormat="1" x14ac:dyDescent="0.2">
      <c r="C6997" s="198"/>
      <c r="D6997" s="198"/>
      <c r="E6997" s="537"/>
      <c r="G6997" s="198"/>
      <c r="H6997" s="123"/>
    </row>
    <row r="6998" spans="3:8" s="99" customFormat="1" x14ac:dyDescent="0.2">
      <c r="C6998" s="198"/>
      <c r="D6998" s="198"/>
      <c r="E6998" s="537"/>
      <c r="G6998" s="198"/>
      <c r="H6998" s="123"/>
    </row>
    <row r="6999" spans="3:8" s="99" customFormat="1" x14ac:dyDescent="0.2">
      <c r="C6999" s="198"/>
      <c r="D6999" s="198"/>
      <c r="E6999" s="537"/>
      <c r="G6999" s="198"/>
      <c r="H6999" s="123"/>
    </row>
    <row r="7000" spans="3:8" s="99" customFormat="1" x14ac:dyDescent="0.2">
      <c r="C7000" s="198"/>
      <c r="D7000" s="198"/>
      <c r="E7000" s="537"/>
      <c r="G7000" s="198"/>
      <c r="H7000" s="123"/>
    </row>
    <row r="7001" spans="3:8" s="99" customFormat="1" x14ac:dyDescent="0.2">
      <c r="C7001" s="198"/>
      <c r="D7001" s="198"/>
      <c r="E7001" s="537"/>
      <c r="G7001" s="198"/>
      <c r="H7001" s="123"/>
    </row>
    <row r="7002" spans="3:8" s="99" customFormat="1" x14ac:dyDescent="0.2">
      <c r="C7002" s="198"/>
      <c r="D7002" s="198"/>
      <c r="E7002" s="537"/>
      <c r="G7002" s="198"/>
      <c r="H7002" s="123"/>
    </row>
    <row r="7003" spans="3:8" s="99" customFormat="1" x14ac:dyDescent="0.2">
      <c r="C7003" s="198"/>
      <c r="D7003" s="198"/>
      <c r="E7003" s="537"/>
      <c r="G7003" s="198"/>
      <c r="H7003" s="123"/>
    </row>
    <row r="7004" spans="3:8" s="99" customFormat="1" x14ac:dyDescent="0.2">
      <c r="C7004" s="198"/>
      <c r="D7004" s="198"/>
      <c r="E7004" s="537"/>
      <c r="G7004" s="198"/>
      <c r="H7004" s="123"/>
    </row>
    <row r="7005" spans="3:8" s="99" customFormat="1" x14ac:dyDescent="0.2">
      <c r="C7005" s="198"/>
      <c r="D7005" s="198"/>
      <c r="E7005" s="537"/>
      <c r="G7005" s="198"/>
      <c r="H7005" s="123"/>
    </row>
    <row r="7006" spans="3:8" s="99" customFormat="1" x14ac:dyDescent="0.2">
      <c r="C7006" s="198"/>
      <c r="D7006" s="198"/>
      <c r="E7006" s="537"/>
      <c r="G7006" s="198"/>
      <c r="H7006" s="123"/>
    </row>
    <row r="7007" spans="3:8" s="99" customFormat="1" x14ac:dyDescent="0.2">
      <c r="C7007" s="198"/>
      <c r="D7007" s="198"/>
      <c r="E7007" s="537"/>
      <c r="G7007" s="198"/>
      <c r="H7007" s="123"/>
    </row>
    <row r="7008" spans="3:8" s="99" customFormat="1" x14ac:dyDescent="0.2">
      <c r="C7008" s="198"/>
      <c r="D7008" s="198"/>
      <c r="E7008" s="537"/>
      <c r="G7008" s="198"/>
      <c r="H7008" s="123"/>
    </row>
    <row r="7009" spans="3:8" s="99" customFormat="1" x14ac:dyDescent="0.2">
      <c r="C7009" s="198"/>
      <c r="D7009" s="198"/>
      <c r="E7009" s="537"/>
      <c r="G7009" s="198"/>
      <c r="H7009" s="123"/>
    </row>
    <row r="7010" spans="3:8" s="99" customFormat="1" x14ac:dyDescent="0.2">
      <c r="C7010" s="198"/>
      <c r="D7010" s="198"/>
      <c r="E7010" s="537"/>
      <c r="G7010" s="198"/>
      <c r="H7010" s="123"/>
    </row>
    <row r="7011" spans="3:8" s="99" customFormat="1" x14ac:dyDescent="0.2">
      <c r="C7011" s="198"/>
      <c r="D7011" s="198"/>
      <c r="E7011" s="537"/>
      <c r="G7011" s="198"/>
      <c r="H7011" s="123"/>
    </row>
    <row r="7012" spans="3:8" s="99" customFormat="1" x14ac:dyDescent="0.2">
      <c r="C7012" s="198"/>
      <c r="D7012" s="198"/>
      <c r="E7012" s="537"/>
      <c r="G7012" s="198"/>
      <c r="H7012" s="123"/>
    </row>
    <row r="7013" spans="3:8" s="99" customFormat="1" x14ac:dyDescent="0.2">
      <c r="C7013" s="198"/>
      <c r="D7013" s="198"/>
      <c r="E7013" s="537"/>
      <c r="G7013" s="198"/>
      <c r="H7013" s="123"/>
    </row>
    <row r="7014" spans="3:8" s="99" customFormat="1" x14ac:dyDescent="0.2">
      <c r="C7014" s="198"/>
      <c r="D7014" s="198"/>
      <c r="E7014" s="537"/>
      <c r="G7014" s="198"/>
      <c r="H7014" s="123"/>
    </row>
    <row r="7015" spans="3:8" s="99" customFormat="1" x14ac:dyDescent="0.2">
      <c r="C7015" s="198"/>
      <c r="D7015" s="198"/>
      <c r="E7015" s="537"/>
      <c r="G7015" s="198"/>
      <c r="H7015" s="123"/>
    </row>
    <row r="7016" spans="3:8" s="99" customFormat="1" x14ac:dyDescent="0.2">
      <c r="C7016" s="198"/>
      <c r="D7016" s="198"/>
      <c r="E7016" s="537"/>
      <c r="G7016" s="198"/>
      <c r="H7016" s="123"/>
    </row>
    <row r="7017" spans="3:8" s="99" customFormat="1" x14ac:dyDescent="0.2">
      <c r="C7017" s="198"/>
      <c r="D7017" s="198"/>
      <c r="E7017" s="537"/>
      <c r="G7017" s="198"/>
      <c r="H7017" s="123"/>
    </row>
    <row r="7018" spans="3:8" s="99" customFormat="1" x14ac:dyDescent="0.2">
      <c r="C7018" s="198"/>
      <c r="D7018" s="198"/>
      <c r="E7018" s="537"/>
      <c r="G7018" s="198"/>
      <c r="H7018" s="123"/>
    </row>
    <row r="7019" spans="3:8" s="99" customFormat="1" x14ac:dyDescent="0.2">
      <c r="C7019" s="198"/>
      <c r="D7019" s="198"/>
      <c r="E7019" s="537"/>
      <c r="G7019" s="198"/>
      <c r="H7019" s="123"/>
    </row>
    <row r="7020" spans="3:8" s="99" customFormat="1" x14ac:dyDescent="0.2">
      <c r="C7020" s="198"/>
      <c r="D7020" s="198"/>
      <c r="E7020" s="537"/>
      <c r="G7020" s="198"/>
      <c r="H7020" s="123"/>
    </row>
    <row r="7021" spans="3:8" s="99" customFormat="1" x14ac:dyDescent="0.2">
      <c r="C7021" s="198"/>
      <c r="D7021" s="198"/>
      <c r="E7021" s="537"/>
      <c r="G7021" s="198"/>
      <c r="H7021" s="123"/>
    </row>
    <row r="7022" spans="3:8" s="99" customFormat="1" x14ac:dyDescent="0.2">
      <c r="C7022" s="198"/>
      <c r="D7022" s="198"/>
      <c r="E7022" s="537"/>
      <c r="G7022" s="198"/>
      <c r="H7022" s="123"/>
    </row>
    <row r="7023" spans="3:8" s="99" customFormat="1" x14ac:dyDescent="0.2">
      <c r="C7023" s="198"/>
      <c r="D7023" s="198"/>
      <c r="E7023" s="537"/>
      <c r="G7023" s="198"/>
      <c r="H7023" s="123"/>
    </row>
    <row r="7024" spans="3:8" s="99" customFormat="1" x14ac:dyDescent="0.2">
      <c r="C7024" s="198"/>
      <c r="D7024" s="198"/>
      <c r="E7024" s="537"/>
      <c r="G7024" s="198"/>
      <c r="H7024" s="123"/>
    </row>
    <row r="7025" spans="3:8" s="99" customFormat="1" x14ac:dyDescent="0.2">
      <c r="C7025" s="198"/>
      <c r="D7025" s="198"/>
      <c r="E7025" s="537"/>
      <c r="G7025" s="198"/>
      <c r="H7025" s="123"/>
    </row>
    <row r="7026" spans="3:8" s="99" customFormat="1" x14ac:dyDescent="0.2">
      <c r="C7026" s="198"/>
      <c r="D7026" s="198"/>
      <c r="E7026" s="537"/>
      <c r="G7026" s="198"/>
      <c r="H7026" s="123"/>
    </row>
    <row r="7027" spans="3:8" s="99" customFormat="1" x14ac:dyDescent="0.2">
      <c r="C7027" s="198"/>
      <c r="D7027" s="198"/>
      <c r="E7027" s="537"/>
      <c r="G7027" s="198"/>
      <c r="H7027" s="123"/>
    </row>
    <row r="7028" spans="3:8" s="99" customFormat="1" x14ac:dyDescent="0.2">
      <c r="C7028" s="198"/>
      <c r="D7028" s="198"/>
      <c r="E7028" s="537"/>
      <c r="G7028" s="198"/>
      <c r="H7028" s="123"/>
    </row>
    <row r="7029" spans="3:8" s="99" customFormat="1" x14ac:dyDescent="0.2">
      <c r="C7029" s="198"/>
      <c r="D7029" s="198"/>
      <c r="E7029" s="537"/>
      <c r="G7029" s="198"/>
      <c r="H7029" s="123"/>
    </row>
    <row r="7030" spans="3:8" s="99" customFormat="1" x14ac:dyDescent="0.2">
      <c r="C7030" s="198"/>
      <c r="D7030" s="198"/>
      <c r="E7030" s="537"/>
      <c r="G7030" s="198"/>
      <c r="H7030" s="123"/>
    </row>
    <row r="7031" spans="3:8" s="99" customFormat="1" x14ac:dyDescent="0.2">
      <c r="C7031" s="198"/>
      <c r="D7031" s="198"/>
      <c r="E7031" s="537"/>
      <c r="G7031" s="198"/>
      <c r="H7031" s="123"/>
    </row>
    <row r="7032" spans="3:8" s="99" customFormat="1" x14ac:dyDescent="0.2">
      <c r="C7032" s="198"/>
      <c r="D7032" s="198"/>
      <c r="E7032" s="537"/>
      <c r="G7032" s="198"/>
      <c r="H7032" s="123"/>
    </row>
    <row r="7033" spans="3:8" s="99" customFormat="1" x14ac:dyDescent="0.2">
      <c r="C7033" s="198"/>
      <c r="D7033" s="198"/>
      <c r="E7033" s="537"/>
      <c r="G7033" s="198"/>
      <c r="H7033" s="123"/>
    </row>
    <row r="7034" spans="3:8" s="99" customFormat="1" x14ac:dyDescent="0.2">
      <c r="C7034" s="198"/>
      <c r="D7034" s="198"/>
      <c r="E7034" s="537"/>
      <c r="G7034" s="198"/>
      <c r="H7034" s="123"/>
    </row>
    <row r="7035" spans="3:8" s="99" customFormat="1" x14ac:dyDescent="0.2">
      <c r="C7035" s="198"/>
      <c r="D7035" s="198"/>
      <c r="E7035" s="537"/>
      <c r="G7035" s="198"/>
      <c r="H7035" s="123"/>
    </row>
    <row r="7036" spans="3:8" s="99" customFormat="1" x14ac:dyDescent="0.2">
      <c r="C7036" s="198"/>
      <c r="D7036" s="198"/>
      <c r="E7036" s="537"/>
      <c r="G7036" s="198"/>
      <c r="H7036" s="123"/>
    </row>
    <row r="7037" spans="3:8" s="99" customFormat="1" x14ac:dyDescent="0.2">
      <c r="C7037" s="198"/>
      <c r="D7037" s="198"/>
      <c r="E7037" s="537"/>
      <c r="G7037" s="198"/>
      <c r="H7037" s="123"/>
    </row>
    <row r="7038" spans="3:8" s="99" customFormat="1" x14ac:dyDescent="0.2">
      <c r="C7038" s="198"/>
      <c r="D7038" s="198"/>
      <c r="E7038" s="537"/>
      <c r="G7038" s="198"/>
      <c r="H7038" s="123"/>
    </row>
    <row r="7039" spans="3:8" s="99" customFormat="1" x14ac:dyDescent="0.2">
      <c r="C7039" s="198"/>
      <c r="D7039" s="198"/>
      <c r="E7039" s="537"/>
      <c r="G7039" s="198"/>
      <c r="H7039" s="123"/>
    </row>
    <row r="7040" spans="3:8" s="99" customFormat="1" x14ac:dyDescent="0.2">
      <c r="C7040" s="198"/>
      <c r="D7040" s="198"/>
      <c r="E7040" s="537"/>
      <c r="G7040" s="198"/>
      <c r="H7040" s="123"/>
    </row>
    <row r="7041" spans="3:8" s="99" customFormat="1" x14ac:dyDescent="0.2">
      <c r="C7041" s="198"/>
      <c r="D7041" s="198"/>
      <c r="E7041" s="537"/>
      <c r="G7041" s="198"/>
      <c r="H7041" s="123"/>
    </row>
    <row r="7042" spans="3:8" s="99" customFormat="1" x14ac:dyDescent="0.2">
      <c r="C7042" s="198"/>
      <c r="D7042" s="198"/>
      <c r="E7042" s="537"/>
      <c r="G7042" s="198"/>
      <c r="H7042" s="123"/>
    </row>
    <row r="7043" spans="3:8" s="99" customFormat="1" x14ac:dyDescent="0.2">
      <c r="C7043" s="198"/>
      <c r="D7043" s="198"/>
      <c r="E7043" s="537"/>
      <c r="G7043" s="198"/>
      <c r="H7043" s="123"/>
    </row>
    <row r="7044" spans="3:8" s="99" customFormat="1" x14ac:dyDescent="0.2">
      <c r="C7044" s="198"/>
      <c r="D7044" s="198"/>
      <c r="E7044" s="537"/>
      <c r="G7044" s="198"/>
      <c r="H7044" s="123"/>
    </row>
    <row r="7045" spans="3:8" s="99" customFormat="1" x14ac:dyDescent="0.2">
      <c r="C7045" s="198"/>
      <c r="D7045" s="198"/>
      <c r="E7045" s="537"/>
      <c r="G7045" s="198"/>
      <c r="H7045" s="123"/>
    </row>
    <row r="7046" spans="3:8" s="99" customFormat="1" x14ac:dyDescent="0.2">
      <c r="C7046" s="198"/>
      <c r="D7046" s="198"/>
      <c r="E7046" s="537"/>
      <c r="G7046" s="198"/>
      <c r="H7046" s="123"/>
    </row>
    <row r="7047" spans="3:8" s="99" customFormat="1" x14ac:dyDescent="0.2">
      <c r="C7047" s="198"/>
      <c r="D7047" s="198"/>
      <c r="E7047" s="537"/>
      <c r="G7047" s="198"/>
      <c r="H7047" s="123"/>
    </row>
    <row r="7048" spans="3:8" s="99" customFormat="1" x14ac:dyDescent="0.2">
      <c r="C7048" s="198"/>
      <c r="D7048" s="198"/>
      <c r="E7048" s="537"/>
      <c r="G7048" s="198"/>
      <c r="H7048" s="123"/>
    </row>
    <row r="7049" spans="3:8" s="99" customFormat="1" x14ac:dyDescent="0.2">
      <c r="C7049" s="198"/>
      <c r="D7049" s="198"/>
      <c r="E7049" s="537"/>
      <c r="G7049" s="198"/>
      <c r="H7049" s="123"/>
    </row>
    <row r="7050" spans="3:8" s="99" customFormat="1" x14ac:dyDescent="0.2">
      <c r="C7050" s="198"/>
      <c r="D7050" s="198"/>
      <c r="E7050" s="537"/>
      <c r="G7050" s="198"/>
      <c r="H7050" s="123"/>
    </row>
    <row r="7051" spans="3:8" s="99" customFormat="1" x14ac:dyDescent="0.2">
      <c r="C7051" s="198"/>
      <c r="D7051" s="198"/>
      <c r="E7051" s="537"/>
      <c r="G7051" s="198"/>
      <c r="H7051" s="123"/>
    </row>
    <row r="7052" spans="3:8" s="99" customFormat="1" x14ac:dyDescent="0.2">
      <c r="C7052" s="198"/>
      <c r="D7052" s="198"/>
      <c r="E7052" s="537"/>
      <c r="G7052" s="198"/>
      <c r="H7052" s="123"/>
    </row>
    <row r="7053" spans="3:8" s="99" customFormat="1" x14ac:dyDescent="0.2">
      <c r="C7053" s="198"/>
      <c r="D7053" s="198"/>
      <c r="E7053" s="537"/>
      <c r="G7053" s="198"/>
      <c r="H7053" s="123"/>
    </row>
    <row r="7054" spans="3:8" s="99" customFormat="1" x14ac:dyDescent="0.2">
      <c r="C7054" s="198"/>
      <c r="D7054" s="198"/>
      <c r="E7054" s="537"/>
      <c r="G7054" s="198"/>
      <c r="H7054" s="123"/>
    </row>
    <row r="7055" spans="3:8" s="99" customFormat="1" x14ac:dyDescent="0.2">
      <c r="C7055" s="198"/>
      <c r="D7055" s="198"/>
      <c r="E7055" s="537"/>
      <c r="G7055" s="198"/>
      <c r="H7055" s="123"/>
    </row>
    <row r="7056" spans="3:8" s="99" customFormat="1" x14ac:dyDescent="0.2">
      <c r="C7056" s="198"/>
      <c r="D7056" s="198"/>
      <c r="E7056" s="537"/>
      <c r="G7056" s="198"/>
      <c r="H7056" s="123"/>
    </row>
    <row r="7057" spans="3:8" s="99" customFormat="1" x14ac:dyDescent="0.2">
      <c r="C7057" s="198"/>
      <c r="D7057" s="198"/>
      <c r="E7057" s="537"/>
      <c r="G7057" s="198"/>
      <c r="H7057" s="123"/>
    </row>
    <row r="7058" spans="3:8" s="99" customFormat="1" x14ac:dyDescent="0.2">
      <c r="C7058" s="198"/>
      <c r="D7058" s="198"/>
      <c r="E7058" s="537"/>
      <c r="G7058" s="198"/>
      <c r="H7058" s="123"/>
    </row>
    <row r="7059" spans="3:8" s="99" customFormat="1" x14ac:dyDescent="0.2">
      <c r="C7059" s="198"/>
      <c r="D7059" s="198"/>
      <c r="E7059" s="537"/>
      <c r="G7059" s="198"/>
      <c r="H7059" s="123"/>
    </row>
    <row r="7060" spans="3:8" s="99" customFormat="1" x14ac:dyDescent="0.2">
      <c r="C7060" s="198"/>
      <c r="D7060" s="198"/>
      <c r="E7060" s="537"/>
      <c r="G7060" s="198"/>
      <c r="H7060" s="123"/>
    </row>
    <row r="7061" spans="3:8" s="99" customFormat="1" x14ac:dyDescent="0.2">
      <c r="C7061" s="198"/>
      <c r="D7061" s="198"/>
      <c r="E7061" s="537"/>
      <c r="G7061" s="198"/>
      <c r="H7061" s="123"/>
    </row>
    <row r="7062" spans="3:8" s="99" customFormat="1" x14ac:dyDescent="0.2">
      <c r="C7062" s="198"/>
      <c r="D7062" s="198"/>
      <c r="E7062" s="537"/>
      <c r="G7062" s="198"/>
      <c r="H7062" s="123"/>
    </row>
    <row r="7063" spans="3:8" s="99" customFormat="1" x14ac:dyDescent="0.2">
      <c r="C7063" s="198"/>
      <c r="D7063" s="198"/>
      <c r="E7063" s="537"/>
      <c r="G7063" s="198"/>
      <c r="H7063" s="123"/>
    </row>
    <row r="7064" spans="3:8" s="99" customFormat="1" x14ac:dyDescent="0.2">
      <c r="C7064" s="198"/>
      <c r="D7064" s="198"/>
      <c r="E7064" s="537"/>
      <c r="G7064" s="198"/>
      <c r="H7064" s="123"/>
    </row>
    <row r="7065" spans="3:8" s="99" customFormat="1" x14ac:dyDescent="0.2">
      <c r="C7065" s="198"/>
      <c r="D7065" s="198"/>
      <c r="E7065" s="537"/>
      <c r="G7065" s="198"/>
      <c r="H7065" s="123"/>
    </row>
    <row r="7066" spans="3:8" s="99" customFormat="1" x14ac:dyDescent="0.2">
      <c r="C7066" s="198"/>
      <c r="D7066" s="198"/>
      <c r="E7066" s="537"/>
      <c r="G7066" s="198"/>
      <c r="H7066" s="123"/>
    </row>
    <row r="7067" spans="3:8" s="99" customFormat="1" x14ac:dyDescent="0.2">
      <c r="C7067" s="198"/>
      <c r="D7067" s="198"/>
      <c r="E7067" s="537"/>
      <c r="G7067" s="198"/>
      <c r="H7067" s="123"/>
    </row>
    <row r="7068" spans="3:8" s="99" customFormat="1" x14ac:dyDescent="0.2">
      <c r="C7068" s="198"/>
      <c r="D7068" s="198"/>
      <c r="E7068" s="537"/>
      <c r="G7068" s="198"/>
      <c r="H7068" s="123"/>
    </row>
    <row r="7069" spans="3:8" s="99" customFormat="1" x14ac:dyDescent="0.2">
      <c r="C7069" s="198"/>
      <c r="D7069" s="198"/>
      <c r="E7069" s="537"/>
      <c r="G7069" s="198"/>
      <c r="H7069" s="123"/>
    </row>
    <row r="7070" spans="3:8" s="99" customFormat="1" x14ac:dyDescent="0.2">
      <c r="C7070" s="198"/>
      <c r="D7070" s="198"/>
      <c r="E7070" s="537"/>
      <c r="G7070" s="198"/>
      <c r="H7070" s="123"/>
    </row>
    <row r="7071" spans="3:8" s="99" customFormat="1" x14ac:dyDescent="0.2">
      <c r="C7071" s="198"/>
      <c r="D7071" s="198"/>
      <c r="E7071" s="537"/>
      <c r="G7071" s="198"/>
      <c r="H7071" s="123"/>
    </row>
    <row r="7072" spans="3:8" s="99" customFormat="1" x14ac:dyDescent="0.2">
      <c r="C7072" s="198"/>
      <c r="D7072" s="198"/>
      <c r="E7072" s="537"/>
      <c r="G7072" s="198"/>
      <c r="H7072" s="123"/>
    </row>
    <row r="7073" spans="3:8" s="99" customFormat="1" x14ac:dyDescent="0.2">
      <c r="C7073" s="198"/>
      <c r="D7073" s="198"/>
      <c r="E7073" s="537"/>
      <c r="G7073" s="198"/>
      <c r="H7073" s="123"/>
    </row>
    <row r="7074" spans="3:8" s="99" customFormat="1" x14ac:dyDescent="0.2">
      <c r="C7074" s="198"/>
      <c r="D7074" s="198"/>
      <c r="E7074" s="537"/>
      <c r="G7074" s="198"/>
      <c r="H7074" s="123"/>
    </row>
    <row r="7075" spans="3:8" s="99" customFormat="1" x14ac:dyDescent="0.2">
      <c r="C7075" s="198"/>
      <c r="D7075" s="198"/>
      <c r="E7075" s="537"/>
      <c r="G7075" s="198"/>
      <c r="H7075" s="123"/>
    </row>
    <row r="7076" spans="3:8" s="99" customFormat="1" x14ac:dyDescent="0.2">
      <c r="C7076" s="198"/>
      <c r="D7076" s="198"/>
      <c r="E7076" s="537"/>
      <c r="G7076" s="198"/>
      <c r="H7076" s="123"/>
    </row>
    <row r="7077" spans="3:8" s="99" customFormat="1" x14ac:dyDescent="0.2">
      <c r="C7077" s="198"/>
      <c r="D7077" s="198"/>
      <c r="E7077" s="537"/>
      <c r="G7077" s="198"/>
      <c r="H7077" s="123"/>
    </row>
    <row r="7078" spans="3:8" s="99" customFormat="1" x14ac:dyDescent="0.2">
      <c r="C7078" s="198"/>
      <c r="D7078" s="198"/>
      <c r="E7078" s="537"/>
      <c r="G7078" s="198"/>
      <c r="H7078" s="123"/>
    </row>
    <row r="7079" spans="3:8" s="99" customFormat="1" x14ac:dyDescent="0.2">
      <c r="C7079" s="198"/>
      <c r="D7079" s="198"/>
      <c r="E7079" s="537"/>
      <c r="G7079" s="198"/>
      <c r="H7079" s="123"/>
    </row>
    <row r="7080" spans="3:8" s="99" customFormat="1" x14ac:dyDescent="0.2">
      <c r="C7080" s="198"/>
      <c r="D7080" s="198"/>
      <c r="E7080" s="537"/>
      <c r="G7080" s="198"/>
      <c r="H7080" s="123"/>
    </row>
    <row r="7081" spans="3:8" s="99" customFormat="1" x14ac:dyDescent="0.2">
      <c r="C7081" s="198"/>
      <c r="D7081" s="198"/>
      <c r="E7081" s="537"/>
      <c r="G7081" s="198"/>
      <c r="H7081" s="123"/>
    </row>
    <row r="7082" spans="3:8" s="99" customFormat="1" x14ac:dyDescent="0.2">
      <c r="C7082" s="198"/>
      <c r="D7082" s="198"/>
      <c r="E7082" s="537"/>
      <c r="G7082" s="198"/>
      <c r="H7082" s="123"/>
    </row>
    <row r="7083" spans="3:8" s="99" customFormat="1" x14ac:dyDescent="0.2">
      <c r="C7083" s="198"/>
      <c r="D7083" s="198"/>
      <c r="E7083" s="537"/>
      <c r="G7083" s="198"/>
      <c r="H7083" s="123"/>
    </row>
    <row r="7084" spans="3:8" s="99" customFormat="1" x14ac:dyDescent="0.2">
      <c r="C7084" s="198"/>
      <c r="D7084" s="198"/>
      <c r="E7084" s="537"/>
      <c r="G7084" s="198"/>
      <c r="H7084" s="123"/>
    </row>
    <row r="7085" spans="3:8" s="99" customFormat="1" x14ac:dyDescent="0.2">
      <c r="C7085" s="198"/>
      <c r="D7085" s="198"/>
      <c r="E7085" s="537"/>
      <c r="G7085" s="198"/>
      <c r="H7085" s="123"/>
    </row>
    <row r="7086" spans="3:8" s="99" customFormat="1" x14ac:dyDescent="0.2">
      <c r="C7086" s="198"/>
      <c r="D7086" s="198"/>
      <c r="E7086" s="537"/>
      <c r="G7086" s="198"/>
      <c r="H7086" s="123"/>
    </row>
    <row r="7087" spans="3:8" s="99" customFormat="1" x14ac:dyDescent="0.2">
      <c r="C7087" s="198"/>
      <c r="D7087" s="198"/>
      <c r="E7087" s="537"/>
      <c r="G7087" s="198"/>
      <c r="H7087" s="123"/>
    </row>
    <row r="7088" spans="3:8" s="99" customFormat="1" x14ac:dyDescent="0.2">
      <c r="C7088" s="198"/>
      <c r="D7088" s="198"/>
      <c r="E7088" s="537"/>
      <c r="G7088" s="198"/>
      <c r="H7088" s="123"/>
    </row>
    <row r="7089" spans="3:8" s="99" customFormat="1" x14ac:dyDescent="0.2">
      <c r="C7089" s="198"/>
      <c r="D7089" s="198"/>
      <c r="E7089" s="537"/>
      <c r="G7089" s="198"/>
      <c r="H7089" s="123"/>
    </row>
    <row r="7090" spans="3:8" s="99" customFormat="1" x14ac:dyDescent="0.2">
      <c r="C7090" s="198"/>
      <c r="D7090" s="198"/>
      <c r="E7090" s="537"/>
      <c r="G7090" s="198"/>
      <c r="H7090" s="123"/>
    </row>
    <row r="7091" spans="3:8" s="99" customFormat="1" x14ac:dyDescent="0.2">
      <c r="C7091" s="198"/>
      <c r="D7091" s="198"/>
      <c r="E7091" s="537"/>
      <c r="G7091" s="198"/>
      <c r="H7091" s="123"/>
    </row>
    <row r="7092" spans="3:8" s="99" customFormat="1" x14ac:dyDescent="0.2">
      <c r="C7092" s="198"/>
      <c r="D7092" s="198"/>
      <c r="E7092" s="537"/>
      <c r="G7092" s="198"/>
      <c r="H7092" s="123"/>
    </row>
    <row r="7093" spans="3:8" s="99" customFormat="1" x14ac:dyDescent="0.2">
      <c r="C7093" s="198"/>
      <c r="D7093" s="198"/>
      <c r="E7093" s="537"/>
      <c r="G7093" s="198"/>
      <c r="H7093" s="123"/>
    </row>
    <row r="7094" spans="3:8" s="99" customFormat="1" x14ac:dyDescent="0.2">
      <c r="C7094" s="198"/>
      <c r="D7094" s="198"/>
      <c r="E7094" s="537"/>
      <c r="G7094" s="198"/>
      <c r="H7094" s="123"/>
    </row>
    <row r="7095" spans="3:8" s="99" customFormat="1" x14ac:dyDescent="0.2">
      <c r="C7095" s="198"/>
      <c r="D7095" s="198"/>
      <c r="E7095" s="537"/>
      <c r="G7095" s="198"/>
      <c r="H7095" s="123"/>
    </row>
    <row r="7096" spans="3:8" s="99" customFormat="1" x14ac:dyDescent="0.2">
      <c r="C7096" s="198"/>
      <c r="D7096" s="198"/>
      <c r="E7096" s="537"/>
      <c r="G7096" s="198"/>
      <c r="H7096" s="123"/>
    </row>
    <row r="7097" spans="3:8" s="99" customFormat="1" x14ac:dyDescent="0.2">
      <c r="C7097" s="198"/>
      <c r="D7097" s="198"/>
      <c r="E7097" s="537"/>
      <c r="G7097" s="198"/>
      <c r="H7097" s="123"/>
    </row>
    <row r="7098" spans="3:8" s="99" customFormat="1" x14ac:dyDescent="0.2">
      <c r="C7098" s="198"/>
      <c r="D7098" s="198"/>
      <c r="E7098" s="537"/>
      <c r="G7098" s="198"/>
      <c r="H7098" s="123"/>
    </row>
    <row r="7099" spans="3:8" s="99" customFormat="1" x14ac:dyDescent="0.2">
      <c r="C7099" s="198"/>
      <c r="D7099" s="198"/>
      <c r="E7099" s="537"/>
      <c r="G7099" s="198"/>
      <c r="H7099" s="123"/>
    </row>
    <row r="7100" spans="3:8" s="99" customFormat="1" x14ac:dyDescent="0.2">
      <c r="C7100" s="198"/>
      <c r="D7100" s="198"/>
      <c r="E7100" s="537"/>
      <c r="G7100" s="198"/>
      <c r="H7100" s="123"/>
    </row>
    <row r="7101" spans="3:8" s="99" customFormat="1" x14ac:dyDescent="0.2">
      <c r="C7101" s="198"/>
      <c r="D7101" s="198"/>
      <c r="E7101" s="537"/>
      <c r="G7101" s="198"/>
      <c r="H7101" s="123"/>
    </row>
    <row r="7102" spans="3:8" s="99" customFormat="1" x14ac:dyDescent="0.2">
      <c r="C7102" s="198"/>
      <c r="D7102" s="198"/>
      <c r="E7102" s="537"/>
      <c r="G7102" s="198"/>
      <c r="H7102" s="123"/>
    </row>
    <row r="7103" spans="3:8" s="99" customFormat="1" x14ac:dyDescent="0.2">
      <c r="C7103" s="198"/>
      <c r="D7103" s="198"/>
      <c r="E7103" s="537"/>
      <c r="G7103" s="198"/>
      <c r="H7103" s="123"/>
    </row>
    <row r="7104" spans="3:8" s="99" customFormat="1" x14ac:dyDescent="0.2">
      <c r="C7104" s="198"/>
      <c r="D7104" s="198"/>
      <c r="E7104" s="537"/>
      <c r="G7104" s="198"/>
      <c r="H7104" s="123"/>
    </row>
    <row r="7105" spans="3:8" s="99" customFormat="1" x14ac:dyDescent="0.2">
      <c r="C7105" s="198"/>
      <c r="D7105" s="198"/>
      <c r="E7105" s="537"/>
      <c r="G7105" s="198"/>
      <c r="H7105" s="123"/>
    </row>
    <row r="7106" spans="3:8" s="99" customFormat="1" x14ac:dyDescent="0.2">
      <c r="C7106" s="198"/>
      <c r="D7106" s="198"/>
      <c r="E7106" s="537"/>
      <c r="G7106" s="198"/>
      <c r="H7106" s="123"/>
    </row>
    <row r="7107" spans="3:8" s="99" customFormat="1" x14ac:dyDescent="0.2">
      <c r="C7107" s="198"/>
      <c r="D7107" s="198"/>
      <c r="E7107" s="537"/>
      <c r="G7107" s="198"/>
      <c r="H7107" s="123"/>
    </row>
    <row r="7108" spans="3:8" s="99" customFormat="1" x14ac:dyDescent="0.2">
      <c r="C7108" s="198"/>
      <c r="D7108" s="198"/>
      <c r="E7108" s="537"/>
      <c r="G7108" s="198"/>
      <c r="H7108" s="123"/>
    </row>
    <row r="7109" spans="3:8" s="99" customFormat="1" x14ac:dyDescent="0.2">
      <c r="C7109" s="198"/>
      <c r="D7109" s="198"/>
      <c r="E7109" s="537"/>
      <c r="G7109" s="198"/>
      <c r="H7109" s="123"/>
    </row>
    <row r="7110" spans="3:8" s="99" customFormat="1" x14ac:dyDescent="0.2">
      <c r="C7110" s="198"/>
      <c r="D7110" s="198"/>
      <c r="E7110" s="537"/>
      <c r="G7110" s="198"/>
      <c r="H7110" s="123"/>
    </row>
    <row r="7111" spans="3:8" s="99" customFormat="1" x14ac:dyDescent="0.2">
      <c r="C7111" s="198"/>
      <c r="D7111" s="198"/>
      <c r="E7111" s="537"/>
      <c r="G7111" s="198"/>
      <c r="H7111" s="123"/>
    </row>
    <row r="7112" spans="3:8" s="99" customFormat="1" x14ac:dyDescent="0.2">
      <c r="C7112" s="198"/>
      <c r="D7112" s="198"/>
      <c r="E7112" s="537"/>
      <c r="G7112" s="198"/>
      <c r="H7112" s="123"/>
    </row>
    <row r="7113" spans="3:8" s="99" customFormat="1" x14ac:dyDescent="0.2">
      <c r="C7113" s="198"/>
      <c r="D7113" s="198"/>
      <c r="E7113" s="537"/>
      <c r="G7113" s="198"/>
      <c r="H7113" s="123"/>
    </row>
    <row r="7114" spans="3:8" s="99" customFormat="1" x14ac:dyDescent="0.2">
      <c r="C7114" s="198"/>
      <c r="D7114" s="198"/>
      <c r="E7114" s="537"/>
      <c r="G7114" s="198"/>
      <c r="H7114" s="123"/>
    </row>
    <row r="7115" spans="3:8" s="99" customFormat="1" x14ac:dyDescent="0.2">
      <c r="C7115" s="198"/>
      <c r="D7115" s="198"/>
      <c r="E7115" s="537"/>
      <c r="G7115" s="198"/>
      <c r="H7115" s="123"/>
    </row>
    <row r="7116" spans="3:8" s="99" customFormat="1" x14ac:dyDescent="0.2">
      <c r="C7116" s="198"/>
      <c r="D7116" s="198"/>
      <c r="E7116" s="537"/>
      <c r="G7116" s="198"/>
      <c r="H7116" s="123"/>
    </row>
    <row r="7117" spans="3:8" s="99" customFormat="1" x14ac:dyDescent="0.2">
      <c r="C7117" s="198"/>
      <c r="D7117" s="198"/>
      <c r="E7117" s="537"/>
      <c r="G7117" s="198"/>
      <c r="H7117" s="123"/>
    </row>
    <row r="7118" spans="3:8" s="99" customFormat="1" x14ac:dyDescent="0.2">
      <c r="C7118" s="198"/>
      <c r="D7118" s="198"/>
      <c r="E7118" s="537"/>
      <c r="G7118" s="198"/>
      <c r="H7118" s="123"/>
    </row>
    <row r="7119" spans="3:8" s="99" customFormat="1" x14ac:dyDescent="0.2">
      <c r="C7119" s="198"/>
      <c r="D7119" s="198"/>
      <c r="E7119" s="537"/>
      <c r="G7119" s="198"/>
      <c r="H7119" s="123"/>
    </row>
    <row r="7120" spans="3:8" s="99" customFormat="1" x14ac:dyDescent="0.2">
      <c r="C7120" s="198"/>
      <c r="D7120" s="198"/>
      <c r="E7120" s="537"/>
      <c r="G7120" s="198"/>
      <c r="H7120" s="123"/>
    </row>
    <row r="7121" spans="3:8" s="99" customFormat="1" x14ac:dyDescent="0.2">
      <c r="C7121" s="198"/>
      <c r="D7121" s="198"/>
      <c r="E7121" s="537"/>
      <c r="G7121" s="198"/>
      <c r="H7121" s="123"/>
    </row>
    <row r="7122" spans="3:8" s="99" customFormat="1" x14ac:dyDescent="0.2">
      <c r="C7122" s="198"/>
      <c r="D7122" s="198"/>
      <c r="E7122" s="537"/>
      <c r="G7122" s="198"/>
      <c r="H7122" s="123"/>
    </row>
    <row r="7123" spans="3:8" s="99" customFormat="1" x14ac:dyDescent="0.2">
      <c r="C7123" s="198"/>
      <c r="D7123" s="198"/>
      <c r="E7123" s="537"/>
      <c r="G7123" s="198"/>
      <c r="H7123" s="123"/>
    </row>
    <row r="7124" spans="3:8" s="99" customFormat="1" x14ac:dyDescent="0.2">
      <c r="C7124" s="198"/>
      <c r="D7124" s="198"/>
      <c r="E7124" s="537"/>
      <c r="G7124" s="198"/>
      <c r="H7124" s="123"/>
    </row>
    <row r="7125" spans="3:8" s="99" customFormat="1" x14ac:dyDescent="0.2">
      <c r="C7125" s="198"/>
      <c r="D7125" s="198"/>
      <c r="E7125" s="537"/>
      <c r="G7125" s="198"/>
      <c r="H7125" s="123"/>
    </row>
    <row r="7126" spans="3:8" s="99" customFormat="1" x14ac:dyDescent="0.2">
      <c r="C7126" s="198"/>
      <c r="D7126" s="198"/>
      <c r="E7126" s="537"/>
      <c r="G7126" s="198"/>
      <c r="H7126" s="123"/>
    </row>
    <row r="7127" spans="3:8" s="99" customFormat="1" x14ac:dyDescent="0.2">
      <c r="C7127" s="198"/>
      <c r="D7127" s="198"/>
      <c r="E7127" s="537"/>
      <c r="G7127" s="198"/>
      <c r="H7127" s="123"/>
    </row>
    <row r="7128" spans="3:8" s="99" customFormat="1" x14ac:dyDescent="0.2">
      <c r="C7128" s="198"/>
      <c r="D7128" s="198"/>
      <c r="E7128" s="537"/>
      <c r="G7128" s="198"/>
      <c r="H7128" s="123"/>
    </row>
    <row r="7129" spans="3:8" s="99" customFormat="1" x14ac:dyDescent="0.2">
      <c r="C7129" s="198"/>
      <c r="D7129" s="198"/>
      <c r="E7129" s="537"/>
      <c r="G7129" s="198"/>
      <c r="H7129" s="123"/>
    </row>
    <row r="7130" spans="3:8" s="99" customFormat="1" x14ac:dyDescent="0.2">
      <c r="C7130" s="198"/>
      <c r="D7130" s="198"/>
      <c r="E7130" s="537"/>
      <c r="G7130" s="198"/>
      <c r="H7130" s="123"/>
    </row>
    <row r="7131" spans="3:8" s="99" customFormat="1" x14ac:dyDescent="0.2">
      <c r="C7131" s="198"/>
      <c r="D7131" s="198"/>
      <c r="E7131" s="537"/>
      <c r="G7131" s="198"/>
      <c r="H7131" s="123"/>
    </row>
    <row r="7132" spans="3:8" s="99" customFormat="1" x14ac:dyDescent="0.2">
      <c r="C7132" s="198"/>
      <c r="D7132" s="198"/>
      <c r="E7132" s="537"/>
      <c r="G7132" s="198"/>
      <c r="H7132" s="123"/>
    </row>
    <row r="7133" spans="3:8" s="99" customFormat="1" x14ac:dyDescent="0.2">
      <c r="C7133" s="198"/>
      <c r="D7133" s="198"/>
      <c r="E7133" s="537"/>
      <c r="G7133" s="198"/>
      <c r="H7133" s="123"/>
    </row>
    <row r="7134" spans="3:8" s="99" customFormat="1" x14ac:dyDescent="0.2">
      <c r="C7134" s="198"/>
      <c r="D7134" s="198"/>
      <c r="E7134" s="537"/>
      <c r="G7134" s="198"/>
      <c r="H7134" s="123"/>
    </row>
    <row r="7135" spans="3:8" s="99" customFormat="1" x14ac:dyDescent="0.2">
      <c r="C7135" s="198"/>
      <c r="D7135" s="198"/>
      <c r="E7135" s="537"/>
      <c r="G7135" s="198"/>
      <c r="H7135" s="123"/>
    </row>
    <row r="7136" spans="3:8" s="99" customFormat="1" x14ac:dyDescent="0.2">
      <c r="C7136" s="198"/>
      <c r="D7136" s="198"/>
      <c r="E7136" s="537"/>
      <c r="G7136" s="198"/>
      <c r="H7136" s="123"/>
    </row>
    <row r="7137" spans="3:8" s="99" customFormat="1" x14ac:dyDescent="0.2">
      <c r="C7137" s="198"/>
      <c r="D7137" s="198"/>
      <c r="E7137" s="537"/>
      <c r="G7137" s="198"/>
      <c r="H7137" s="123"/>
    </row>
    <row r="7138" spans="3:8" s="99" customFormat="1" x14ac:dyDescent="0.2">
      <c r="C7138" s="198"/>
      <c r="D7138" s="198"/>
      <c r="E7138" s="537"/>
      <c r="G7138" s="198"/>
      <c r="H7138" s="123"/>
    </row>
    <row r="7139" spans="3:8" s="99" customFormat="1" x14ac:dyDescent="0.2">
      <c r="C7139" s="198"/>
      <c r="D7139" s="198"/>
      <c r="E7139" s="537"/>
      <c r="G7139" s="198"/>
      <c r="H7139" s="123"/>
    </row>
    <row r="7140" spans="3:8" s="99" customFormat="1" x14ac:dyDescent="0.2">
      <c r="C7140" s="198"/>
      <c r="D7140" s="198"/>
      <c r="E7140" s="537"/>
      <c r="G7140" s="198"/>
      <c r="H7140" s="123"/>
    </row>
    <row r="7141" spans="3:8" s="99" customFormat="1" x14ac:dyDescent="0.2">
      <c r="C7141" s="198"/>
      <c r="D7141" s="198"/>
      <c r="E7141" s="537"/>
      <c r="G7141" s="198"/>
      <c r="H7141" s="123"/>
    </row>
    <row r="7142" spans="3:8" s="99" customFormat="1" x14ac:dyDescent="0.2">
      <c r="C7142" s="198"/>
      <c r="D7142" s="198"/>
      <c r="E7142" s="537"/>
      <c r="G7142" s="198"/>
      <c r="H7142" s="123"/>
    </row>
    <row r="7143" spans="3:8" s="99" customFormat="1" x14ac:dyDescent="0.2">
      <c r="C7143" s="198"/>
      <c r="D7143" s="198"/>
      <c r="E7143" s="537"/>
      <c r="G7143" s="198"/>
      <c r="H7143" s="123"/>
    </row>
    <row r="7144" spans="3:8" s="99" customFormat="1" x14ac:dyDescent="0.2">
      <c r="C7144" s="198"/>
      <c r="D7144" s="198"/>
      <c r="E7144" s="537"/>
      <c r="G7144" s="198"/>
      <c r="H7144" s="123"/>
    </row>
    <row r="7145" spans="3:8" s="99" customFormat="1" x14ac:dyDescent="0.2">
      <c r="C7145" s="198"/>
      <c r="D7145" s="198"/>
      <c r="E7145" s="537"/>
      <c r="G7145" s="198"/>
      <c r="H7145" s="123"/>
    </row>
    <row r="7146" spans="3:8" s="99" customFormat="1" x14ac:dyDescent="0.2">
      <c r="C7146" s="198"/>
      <c r="D7146" s="198"/>
      <c r="E7146" s="537"/>
      <c r="G7146" s="198"/>
      <c r="H7146" s="123"/>
    </row>
    <row r="7147" spans="3:8" s="99" customFormat="1" x14ac:dyDescent="0.2">
      <c r="C7147" s="198"/>
      <c r="D7147" s="198"/>
      <c r="E7147" s="537"/>
      <c r="G7147" s="198"/>
      <c r="H7147" s="123"/>
    </row>
    <row r="7148" spans="3:8" s="99" customFormat="1" x14ac:dyDescent="0.2">
      <c r="C7148" s="198"/>
      <c r="D7148" s="198"/>
      <c r="E7148" s="537"/>
      <c r="G7148" s="198"/>
      <c r="H7148" s="123"/>
    </row>
    <row r="7149" spans="3:8" s="99" customFormat="1" x14ac:dyDescent="0.2">
      <c r="C7149" s="198"/>
      <c r="D7149" s="198"/>
      <c r="E7149" s="537"/>
      <c r="G7149" s="198"/>
      <c r="H7149" s="123"/>
    </row>
    <row r="7150" spans="3:8" s="99" customFormat="1" x14ac:dyDescent="0.2">
      <c r="C7150" s="198"/>
      <c r="D7150" s="198"/>
      <c r="E7150" s="537"/>
      <c r="G7150" s="198"/>
      <c r="H7150" s="123"/>
    </row>
    <row r="7151" spans="3:8" s="99" customFormat="1" x14ac:dyDescent="0.2">
      <c r="C7151" s="198"/>
      <c r="D7151" s="198"/>
      <c r="E7151" s="537"/>
      <c r="G7151" s="198"/>
      <c r="H7151" s="123"/>
    </row>
    <row r="7152" spans="3:8" s="99" customFormat="1" x14ac:dyDescent="0.2">
      <c r="C7152" s="198"/>
      <c r="D7152" s="198"/>
      <c r="E7152" s="537"/>
      <c r="G7152" s="198"/>
      <c r="H7152" s="123"/>
    </row>
    <row r="7153" spans="3:8" s="99" customFormat="1" x14ac:dyDescent="0.2">
      <c r="C7153" s="198"/>
      <c r="D7153" s="198"/>
      <c r="E7153" s="537"/>
      <c r="G7153" s="198"/>
      <c r="H7153" s="123"/>
    </row>
    <row r="7154" spans="3:8" s="99" customFormat="1" x14ac:dyDescent="0.2">
      <c r="C7154" s="198"/>
      <c r="D7154" s="198"/>
      <c r="E7154" s="537"/>
      <c r="G7154" s="198"/>
      <c r="H7154" s="123"/>
    </row>
    <row r="7155" spans="3:8" s="99" customFormat="1" x14ac:dyDescent="0.2">
      <c r="C7155" s="198"/>
      <c r="D7155" s="198"/>
      <c r="E7155" s="537"/>
      <c r="G7155" s="198"/>
      <c r="H7155" s="123"/>
    </row>
    <row r="7156" spans="3:8" s="99" customFormat="1" x14ac:dyDescent="0.2">
      <c r="C7156" s="198"/>
      <c r="D7156" s="198"/>
      <c r="E7156" s="537"/>
      <c r="G7156" s="198"/>
      <c r="H7156" s="123"/>
    </row>
    <row r="7157" spans="3:8" s="99" customFormat="1" x14ac:dyDescent="0.2">
      <c r="C7157" s="198"/>
      <c r="D7157" s="198"/>
      <c r="E7157" s="537"/>
      <c r="G7157" s="198"/>
      <c r="H7157" s="123"/>
    </row>
    <row r="7158" spans="3:8" s="99" customFormat="1" x14ac:dyDescent="0.2">
      <c r="C7158" s="198"/>
      <c r="D7158" s="198"/>
      <c r="E7158" s="537"/>
      <c r="G7158" s="198"/>
      <c r="H7158" s="123"/>
    </row>
    <row r="7159" spans="3:8" s="99" customFormat="1" x14ac:dyDescent="0.2">
      <c r="C7159" s="198"/>
      <c r="D7159" s="198"/>
      <c r="E7159" s="537"/>
      <c r="G7159" s="198"/>
      <c r="H7159" s="123"/>
    </row>
    <row r="7160" spans="3:8" s="99" customFormat="1" x14ac:dyDescent="0.2">
      <c r="C7160" s="198"/>
      <c r="D7160" s="198"/>
      <c r="E7160" s="537"/>
      <c r="G7160" s="198"/>
      <c r="H7160" s="123"/>
    </row>
    <row r="7161" spans="3:8" s="99" customFormat="1" x14ac:dyDescent="0.2">
      <c r="C7161" s="198"/>
      <c r="D7161" s="198"/>
      <c r="E7161" s="537"/>
      <c r="G7161" s="198"/>
      <c r="H7161" s="123"/>
    </row>
    <row r="7162" spans="3:8" s="99" customFormat="1" x14ac:dyDescent="0.2">
      <c r="C7162" s="198"/>
      <c r="D7162" s="198"/>
      <c r="E7162" s="537"/>
      <c r="G7162" s="198"/>
      <c r="H7162" s="123"/>
    </row>
    <row r="7163" spans="3:8" s="99" customFormat="1" x14ac:dyDescent="0.2">
      <c r="C7163" s="198"/>
      <c r="D7163" s="198"/>
      <c r="E7163" s="537"/>
      <c r="G7163" s="198"/>
      <c r="H7163" s="123"/>
    </row>
    <row r="7164" spans="3:8" s="99" customFormat="1" x14ac:dyDescent="0.2">
      <c r="C7164" s="198"/>
      <c r="D7164" s="198"/>
      <c r="E7164" s="537"/>
      <c r="G7164" s="198"/>
      <c r="H7164" s="123"/>
    </row>
    <row r="7165" spans="3:8" s="99" customFormat="1" x14ac:dyDescent="0.2">
      <c r="C7165" s="198"/>
      <c r="D7165" s="198"/>
      <c r="E7165" s="537"/>
      <c r="G7165" s="198"/>
      <c r="H7165" s="123"/>
    </row>
    <row r="7166" spans="3:8" s="99" customFormat="1" x14ac:dyDescent="0.2">
      <c r="C7166" s="198"/>
      <c r="D7166" s="198"/>
      <c r="E7166" s="537"/>
      <c r="G7166" s="198"/>
      <c r="H7166" s="123"/>
    </row>
    <row r="7167" spans="3:8" s="99" customFormat="1" x14ac:dyDescent="0.2">
      <c r="C7167" s="198"/>
      <c r="D7167" s="198"/>
      <c r="E7167" s="537"/>
      <c r="G7167" s="198"/>
      <c r="H7167" s="123"/>
    </row>
    <row r="7168" spans="3:8" s="99" customFormat="1" x14ac:dyDescent="0.2">
      <c r="C7168" s="198"/>
      <c r="D7168" s="198"/>
      <c r="E7168" s="537"/>
      <c r="G7168" s="198"/>
      <c r="H7168" s="123"/>
    </row>
    <row r="7169" spans="3:8" s="99" customFormat="1" x14ac:dyDescent="0.2">
      <c r="C7169" s="198"/>
      <c r="D7169" s="198"/>
      <c r="E7169" s="537"/>
      <c r="G7169" s="198"/>
      <c r="H7169" s="123"/>
    </row>
    <row r="7170" spans="3:8" s="99" customFormat="1" x14ac:dyDescent="0.2">
      <c r="C7170" s="198"/>
      <c r="D7170" s="198"/>
      <c r="E7170" s="537"/>
      <c r="G7170" s="198"/>
      <c r="H7170" s="123"/>
    </row>
    <row r="7171" spans="3:8" s="99" customFormat="1" x14ac:dyDescent="0.2">
      <c r="C7171" s="198"/>
      <c r="D7171" s="198"/>
      <c r="E7171" s="537"/>
      <c r="G7171" s="198"/>
      <c r="H7171" s="123"/>
    </row>
    <row r="7172" spans="3:8" s="99" customFormat="1" x14ac:dyDescent="0.2">
      <c r="C7172" s="198"/>
      <c r="D7172" s="198"/>
      <c r="E7172" s="537"/>
      <c r="G7172" s="198"/>
      <c r="H7172" s="123"/>
    </row>
    <row r="7173" spans="3:8" s="99" customFormat="1" x14ac:dyDescent="0.2">
      <c r="C7173" s="198"/>
      <c r="D7173" s="198"/>
      <c r="E7173" s="537"/>
      <c r="G7173" s="198"/>
      <c r="H7173" s="123"/>
    </row>
    <row r="7174" spans="3:8" s="99" customFormat="1" x14ac:dyDescent="0.2">
      <c r="C7174" s="198"/>
      <c r="D7174" s="198"/>
      <c r="E7174" s="537"/>
      <c r="G7174" s="198"/>
      <c r="H7174" s="123"/>
    </row>
    <row r="7175" spans="3:8" s="99" customFormat="1" x14ac:dyDescent="0.2">
      <c r="C7175" s="198"/>
      <c r="D7175" s="198"/>
      <c r="E7175" s="537"/>
      <c r="G7175" s="198"/>
      <c r="H7175" s="123"/>
    </row>
    <row r="7176" spans="3:8" s="99" customFormat="1" x14ac:dyDescent="0.2">
      <c r="C7176" s="198"/>
      <c r="D7176" s="198"/>
      <c r="E7176" s="537"/>
      <c r="G7176" s="198"/>
      <c r="H7176" s="123"/>
    </row>
    <row r="7177" spans="3:8" s="99" customFormat="1" x14ac:dyDescent="0.2">
      <c r="C7177" s="198"/>
      <c r="D7177" s="198"/>
      <c r="E7177" s="537"/>
      <c r="G7177" s="198"/>
      <c r="H7177" s="123"/>
    </row>
    <row r="7178" spans="3:8" s="99" customFormat="1" x14ac:dyDescent="0.2">
      <c r="C7178" s="198"/>
      <c r="D7178" s="198"/>
      <c r="E7178" s="537"/>
      <c r="G7178" s="198"/>
      <c r="H7178" s="123"/>
    </row>
    <row r="7179" spans="3:8" s="99" customFormat="1" x14ac:dyDescent="0.2">
      <c r="C7179" s="198"/>
      <c r="D7179" s="198"/>
      <c r="E7179" s="537"/>
      <c r="G7179" s="198"/>
      <c r="H7179" s="123"/>
    </row>
    <row r="7180" spans="3:8" s="99" customFormat="1" x14ac:dyDescent="0.2">
      <c r="C7180" s="198"/>
      <c r="D7180" s="198"/>
      <c r="E7180" s="537"/>
      <c r="G7180" s="198"/>
      <c r="H7180" s="123"/>
    </row>
    <row r="7181" spans="3:8" s="99" customFormat="1" x14ac:dyDescent="0.2">
      <c r="C7181" s="198"/>
      <c r="D7181" s="198"/>
      <c r="E7181" s="537"/>
      <c r="G7181" s="198"/>
      <c r="H7181" s="123"/>
    </row>
    <row r="7182" spans="3:8" s="99" customFormat="1" x14ac:dyDescent="0.2">
      <c r="C7182" s="198"/>
      <c r="D7182" s="198"/>
      <c r="E7182" s="537"/>
      <c r="G7182" s="198"/>
      <c r="H7182" s="123"/>
    </row>
    <row r="7183" spans="3:8" s="99" customFormat="1" x14ac:dyDescent="0.2">
      <c r="C7183" s="198"/>
      <c r="D7183" s="198"/>
      <c r="E7183" s="537"/>
      <c r="G7183" s="198"/>
      <c r="H7183" s="123"/>
    </row>
    <row r="7184" spans="3:8" s="99" customFormat="1" x14ac:dyDescent="0.2">
      <c r="C7184" s="198"/>
      <c r="D7184" s="198"/>
      <c r="E7184" s="537"/>
      <c r="G7184" s="198"/>
      <c r="H7184" s="123"/>
    </row>
    <row r="7185" spans="3:8" s="99" customFormat="1" x14ac:dyDescent="0.2">
      <c r="C7185" s="198"/>
      <c r="D7185" s="198"/>
      <c r="E7185" s="537"/>
      <c r="G7185" s="198"/>
      <c r="H7185" s="123"/>
    </row>
    <row r="7186" spans="3:8" s="99" customFormat="1" x14ac:dyDescent="0.2">
      <c r="C7186" s="198"/>
      <c r="D7186" s="198"/>
      <c r="E7186" s="537"/>
      <c r="G7186" s="198"/>
      <c r="H7186" s="123"/>
    </row>
    <row r="7187" spans="3:8" s="99" customFormat="1" x14ac:dyDescent="0.2">
      <c r="C7187" s="198"/>
      <c r="D7187" s="198"/>
      <c r="E7187" s="537"/>
      <c r="G7187" s="198"/>
      <c r="H7187" s="123"/>
    </row>
    <row r="7188" spans="3:8" s="99" customFormat="1" x14ac:dyDescent="0.2">
      <c r="C7188" s="198"/>
      <c r="D7188" s="198"/>
      <c r="E7188" s="537"/>
      <c r="G7188" s="198"/>
      <c r="H7188" s="123"/>
    </row>
    <row r="7189" spans="3:8" s="99" customFormat="1" x14ac:dyDescent="0.2">
      <c r="C7189" s="198"/>
      <c r="D7189" s="198"/>
      <c r="E7189" s="537"/>
      <c r="G7189" s="198"/>
      <c r="H7189" s="123"/>
    </row>
    <row r="7190" spans="3:8" s="99" customFormat="1" x14ac:dyDescent="0.2">
      <c r="C7190" s="198"/>
      <c r="D7190" s="198"/>
      <c r="E7190" s="537"/>
      <c r="G7190" s="198"/>
      <c r="H7190" s="123"/>
    </row>
    <row r="7191" spans="3:8" s="99" customFormat="1" x14ac:dyDescent="0.2">
      <c r="C7191" s="198"/>
      <c r="D7191" s="198"/>
      <c r="E7191" s="537"/>
      <c r="G7191" s="198"/>
      <c r="H7191" s="123"/>
    </row>
    <row r="7192" spans="3:8" s="99" customFormat="1" x14ac:dyDescent="0.2">
      <c r="C7192" s="198"/>
      <c r="D7192" s="198"/>
      <c r="E7192" s="537"/>
      <c r="G7192" s="198"/>
      <c r="H7192" s="123"/>
    </row>
    <row r="7193" spans="3:8" s="99" customFormat="1" x14ac:dyDescent="0.2">
      <c r="C7193" s="198"/>
      <c r="D7193" s="198"/>
      <c r="E7193" s="537"/>
      <c r="G7193" s="198"/>
      <c r="H7193" s="123"/>
    </row>
    <row r="7194" spans="3:8" s="99" customFormat="1" x14ac:dyDescent="0.2">
      <c r="C7194" s="198"/>
      <c r="D7194" s="198"/>
      <c r="E7194" s="537"/>
      <c r="G7194" s="198"/>
      <c r="H7194" s="123"/>
    </row>
    <row r="7195" spans="3:8" s="99" customFormat="1" x14ac:dyDescent="0.2">
      <c r="C7195" s="198"/>
      <c r="D7195" s="198"/>
      <c r="E7195" s="537"/>
      <c r="G7195" s="198"/>
      <c r="H7195" s="123"/>
    </row>
    <row r="7196" spans="3:8" s="99" customFormat="1" x14ac:dyDescent="0.2">
      <c r="C7196" s="198"/>
      <c r="D7196" s="198"/>
      <c r="E7196" s="537"/>
      <c r="G7196" s="198"/>
      <c r="H7196" s="123"/>
    </row>
    <row r="7197" spans="3:8" s="99" customFormat="1" x14ac:dyDescent="0.2">
      <c r="C7197" s="198"/>
      <c r="D7197" s="198"/>
      <c r="E7197" s="537"/>
      <c r="G7197" s="198"/>
      <c r="H7197" s="123"/>
    </row>
    <row r="7198" spans="3:8" s="99" customFormat="1" x14ac:dyDescent="0.2">
      <c r="C7198" s="198"/>
      <c r="D7198" s="198"/>
      <c r="E7198" s="537"/>
      <c r="G7198" s="198"/>
      <c r="H7198" s="123"/>
    </row>
    <row r="7199" spans="3:8" s="99" customFormat="1" x14ac:dyDescent="0.2">
      <c r="C7199" s="198"/>
      <c r="D7199" s="198"/>
      <c r="E7199" s="537"/>
      <c r="G7199" s="198"/>
      <c r="H7199" s="123"/>
    </row>
    <row r="7200" spans="3:8" s="99" customFormat="1" x14ac:dyDescent="0.2">
      <c r="C7200" s="198"/>
      <c r="D7200" s="198"/>
      <c r="E7200" s="537"/>
      <c r="G7200" s="198"/>
      <c r="H7200" s="123"/>
    </row>
    <row r="7201" spans="3:8" s="99" customFormat="1" x14ac:dyDescent="0.2">
      <c r="C7201" s="198"/>
      <c r="D7201" s="198"/>
      <c r="E7201" s="537"/>
      <c r="G7201" s="198"/>
      <c r="H7201" s="123"/>
    </row>
    <row r="7202" spans="3:8" s="99" customFormat="1" x14ac:dyDescent="0.2">
      <c r="C7202" s="198"/>
      <c r="D7202" s="198"/>
      <c r="E7202" s="537"/>
      <c r="G7202" s="198"/>
      <c r="H7202" s="123"/>
    </row>
    <row r="7203" spans="3:8" s="99" customFormat="1" x14ac:dyDescent="0.2">
      <c r="C7203" s="198"/>
      <c r="D7203" s="198"/>
      <c r="E7203" s="537"/>
      <c r="G7203" s="198"/>
      <c r="H7203" s="123"/>
    </row>
    <row r="7204" spans="3:8" s="99" customFormat="1" x14ac:dyDescent="0.2">
      <c r="C7204" s="198"/>
      <c r="D7204" s="198"/>
      <c r="E7204" s="537"/>
      <c r="G7204" s="198"/>
      <c r="H7204" s="123"/>
    </row>
    <row r="7205" spans="3:8" s="99" customFormat="1" x14ac:dyDescent="0.2">
      <c r="C7205" s="198"/>
      <c r="D7205" s="198"/>
      <c r="E7205" s="537"/>
      <c r="G7205" s="198"/>
      <c r="H7205" s="123"/>
    </row>
    <row r="7206" spans="3:8" s="99" customFormat="1" x14ac:dyDescent="0.2">
      <c r="C7206" s="198"/>
      <c r="D7206" s="198"/>
      <c r="E7206" s="537"/>
      <c r="G7206" s="198"/>
      <c r="H7206" s="123"/>
    </row>
    <row r="7207" spans="3:8" s="99" customFormat="1" x14ac:dyDescent="0.2">
      <c r="C7207" s="198"/>
      <c r="D7207" s="198"/>
      <c r="E7207" s="537"/>
      <c r="G7207" s="198"/>
      <c r="H7207" s="123"/>
    </row>
    <row r="7208" spans="3:8" s="99" customFormat="1" x14ac:dyDescent="0.2">
      <c r="C7208" s="198"/>
      <c r="D7208" s="198"/>
      <c r="E7208" s="537"/>
      <c r="G7208" s="198"/>
      <c r="H7208" s="123"/>
    </row>
    <row r="7209" spans="3:8" s="99" customFormat="1" x14ac:dyDescent="0.2">
      <c r="C7209" s="198"/>
      <c r="D7209" s="198"/>
      <c r="E7209" s="537"/>
      <c r="G7209" s="198"/>
      <c r="H7209" s="123"/>
    </row>
    <row r="7210" spans="3:8" s="99" customFormat="1" x14ac:dyDescent="0.2">
      <c r="C7210" s="198"/>
      <c r="D7210" s="198"/>
      <c r="E7210" s="537"/>
      <c r="G7210" s="198"/>
      <c r="H7210" s="123"/>
    </row>
    <row r="7211" spans="3:8" s="99" customFormat="1" x14ac:dyDescent="0.2">
      <c r="C7211" s="198"/>
      <c r="D7211" s="198"/>
      <c r="E7211" s="537"/>
      <c r="G7211" s="198"/>
      <c r="H7211" s="123"/>
    </row>
    <row r="7212" spans="3:8" s="99" customFormat="1" x14ac:dyDescent="0.2">
      <c r="C7212" s="198"/>
      <c r="D7212" s="198"/>
      <c r="E7212" s="537"/>
      <c r="G7212" s="198"/>
      <c r="H7212" s="123"/>
    </row>
    <row r="7213" spans="3:8" s="99" customFormat="1" x14ac:dyDescent="0.2">
      <c r="C7213" s="198"/>
      <c r="D7213" s="198"/>
      <c r="E7213" s="537"/>
      <c r="G7213" s="198"/>
      <c r="H7213" s="123"/>
    </row>
    <row r="7214" spans="3:8" s="99" customFormat="1" x14ac:dyDescent="0.2">
      <c r="C7214" s="198"/>
      <c r="D7214" s="198"/>
      <c r="E7214" s="537"/>
      <c r="G7214" s="198"/>
      <c r="H7214" s="123"/>
    </row>
    <row r="7215" spans="3:8" s="99" customFormat="1" x14ac:dyDescent="0.2">
      <c r="C7215" s="198"/>
      <c r="D7215" s="198"/>
      <c r="E7215" s="537"/>
      <c r="G7215" s="198"/>
      <c r="H7215" s="123"/>
    </row>
    <row r="7216" spans="3:8" s="99" customFormat="1" x14ac:dyDescent="0.2">
      <c r="C7216" s="198"/>
      <c r="D7216" s="198"/>
      <c r="E7216" s="537"/>
      <c r="G7216" s="198"/>
      <c r="H7216" s="123"/>
    </row>
    <row r="7217" spans="3:8" s="99" customFormat="1" x14ac:dyDescent="0.2">
      <c r="C7217" s="198"/>
      <c r="D7217" s="198"/>
      <c r="E7217" s="537"/>
      <c r="G7217" s="198"/>
      <c r="H7217" s="123"/>
    </row>
    <row r="7218" spans="3:8" s="99" customFormat="1" x14ac:dyDescent="0.2">
      <c r="C7218" s="198"/>
      <c r="D7218" s="198"/>
      <c r="E7218" s="537"/>
      <c r="G7218" s="198"/>
      <c r="H7218" s="123"/>
    </row>
    <row r="7219" spans="3:8" s="99" customFormat="1" x14ac:dyDescent="0.2">
      <c r="C7219" s="198"/>
      <c r="D7219" s="198"/>
      <c r="E7219" s="537"/>
      <c r="G7219" s="198"/>
      <c r="H7219" s="123"/>
    </row>
    <row r="7220" spans="3:8" s="99" customFormat="1" x14ac:dyDescent="0.2">
      <c r="C7220" s="198"/>
      <c r="D7220" s="198"/>
      <c r="E7220" s="537"/>
      <c r="G7220" s="198"/>
      <c r="H7220" s="123"/>
    </row>
    <row r="7221" spans="3:8" s="99" customFormat="1" x14ac:dyDescent="0.2">
      <c r="C7221" s="198"/>
      <c r="D7221" s="198"/>
      <c r="E7221" s="537"/>
      <c r="G7221" s="198"/>
      <c r="H7221" s="123"/>
    </row>
    <row r="7222" spans="3:8" s="99" customFormat="1" x14ac:dyDescent="0.2">
      <c r="C7222" s="198"/>
      <c r="D7222" s="198"/>
      <c r="E7222" s="537"/>
      <c r="G7222" s="198"/>
      <c r="H7222" s="123"/>
    </row>
    <row r="7223" spans="3:8" s="99" customFormat="1" x14ac:dyDescent="0.2">
      <c r="C7223" s="198"/>
      <c r="D7223" s="198"/>
      <c r="E7223" s="537"/>
      <c r="G7223" s="198"/>
      <c r="H7223" s="123"/>
    </row>
    <row r="7224" spans="3:8" s="99" customFormat="1" x14ac:dyDescent="0.2">
      <c r="C7224" s="198"/>
      <c r="D7224" s="198"/>
      <c r="E7224" s="537"/>
      <c r="G7224" s="198"/>
      <c r="H7224" s="123"/>
    </row>
    <row r="7225" spans="3:8" s="99" customFormat="1" x14ac:dyDescent="0.2">
      <c r="C7225" s="198"/>
      <c r="D7225" s="198"/>
      <c r="E7225" s="537"/>
      <c r="G7225" s="198"/>
      <c r="H7225" s="123"/>
    </row>
    <row r="7226" spans="3:8" s="99" customFormat="1" x14ac:dyDescent="0.2">
      <c r="C7226" s="198"/>
      <c r="D7226" s="198"/>
      <c r="E7226" s="537"/>
      <c r="G7226" s="198"/>
      <c r="H7226" s="123"/>
    </row>
    <row r="7227" spans="3:8" s="99" customFormat="1" x14ac:dyDescent="0.2">
      <c r="C7227" s="198"/>
      <c r="D7227" s="198"/>
      <c r="E7227" s="537"/>
      <c r="G7227" s="198"/>
      <c r="H7227" s="123"/>
    </row>
    <row r="7228" spans="3:8" s="99" customFormat="1" x14ac:dyDescent="0.2">
      <c r="C7228" s="198"/>
      <c r="D7228" s="198"/>
      <c r="E7228" s="537"/>
      <c r="G7228" s="198"/>
      <c r="H7228" s="123"/>
    </row>
    <row r="7229" spans="3:8" s="99" customFormat="1" x14ac:dyDescent="0.2">
      <c r="C7229" s="198"/>
      <c r="D7229" s="198"/>
      <c r="E7229" s="537"/>
      <c r="G7229" s="198"/>
      <c r="H7229" s="123"/>
    </row>
    <row r="7230" spans="3:8" s="99" customFormat="1" x14ac:dyDescent="0.2">
      <c r="C7230" s="198"/>
      <c r="D7230" s="198"/>
      <c r="E7230" s="537"/>
      <c r="G7230" s="198"/>
      <c r="H7230" s="123"/>
    </row>
    <row r="7231" spans="3:8" s="99" customFormat="1" x14ac:dyDescent="0.2">
      <c r="C7231" s="198"/>
      <c r="D7231" s="198"/>
      <c r="E7231" s="537"/>
      <c r="G7231" s="198"/>
      <c r="H7231" s="123"/>
    </row>
    <row r="7232" spans="3:8" s="99" customFormat="1" x14ac:dyDescent="0.2">
      <c r="C7232" s="198"/>
      <c r="D7232" s="198"/>
      <c r="E7232" s="537"/>
      <c r="G7232" s="198"/>
      <c r="H7232" s="123"/>
    </row>
    <row r="7233" spans="3:8" s="99" customFormat="1" x14ac:dyDescent="0.2">
      <c r="C7233" s="198"/>
      <c r="D7233" s="198"/>
      <c r="E7233" s="537"/>
      <c r="G7233" s="198"/>
      <c r="H7233" s="123"/>
    </row>
    <row r="7234" spans="3:8" s="99" customFormat="1" x14ac:dyDescent="0.2">
      <c r="C7234" s="198"/>
      <c r="D7234" s="198"/>
      <c r="E7234" s="537"/>
      <c r="G7234" s="198"/>
      <c r="H7234" s="123"/>
    </row>
    <row r="7235" spans="3:8" s="99" customFormat="1" x14ac:dyDescent="0.2">
      <c r="C7235" s="198"/>
      <c r="D7235" s="198"/>
      <c r="E7235" s="537"/>
      <c r="G7235" s="198"/>
      <c r="H7235" s="123"/>
    </row>
    <row r="7236" spans="3:8" s="99" customFormat="1" x14ac:dyDescent="0.2">
      <c r="C7236" s="198"/>
      <c r="D7236" s="198"/>
      <c r="E7236" s="537"/>
      <c r="G7236" s="198"/>
      <c r="H7236" s="123"/>
    </row>
    <row r="7237" spans="3:8" s="99" customFormat="1" x14ac:dyDescent="0.2">
      <c r="C7237" s="198"/>
      <c r="D7237" s="198"/>
      <c r="E7237" s="537"/>
      <c r="G7237" s="198"/>
      <c r="H7237" s="123"/>
    </row>
    <row r="7238" spans="3:8" s="99" customFormat="1" x14ac:dyDescent="0.2">
      <c r="C7238" s="198"/>
      <c r="D7238" s="198"/>
      <c r="E7238" s="537"/>
      <c r="G7238" s="198"/>
      <c r="H7238" s="123"/>
    </row>
    <row r="7239" spans="3:8" s="99" customFormat="1" x14ac:dyDescent="0.2">
      <c r="C7239" s="198"/>
      <c r="D7239" s="198"/>
      <c r="E7239" s="537"/>
      <c r="G7239" s="198"/>
      <c r="H7239" s="123"/>
    </row>
    <row r="7240" spans="3:8" s="99" customFormat="1" x14ac:dyDescent="0.2">
      <c r="C7240" s="198"/>
      <c r="D7240" s="198"/>
      <c r="E7240" s="537"/>
      <c r="G7240" s="198"/>
      <c r="H7240" s="123"/>
    </row>
    <row r="7241" spans="3:8" s="99" customFormat="1" x14ac:dyDescent="0.2">
      <c r="C7241" s="198"/>
      <c r="D7241" s="198"/>
      <c r="E7241" s="537"/>
      <c r="G7241" s="198"/>
      <c r="H7241" s="123"/>
    </row>
    <row r="7242" spans="3:8" s="99" customFormat="1" x14ac:dyDescent="0.2">
      <c r="C7242" s="198"/>
      <c r="D7242" s="198"/>
      <c r="E7242" s="537"/>
      <c r="G7242" s="198"/>
      <c r="H7242" s="123"/>
    </row>
    <row r="7243" spans="3:8" s="99" customFormat="1" x14ac:dyDescent="0.2">
      <c r="C7243" s="198"/>
      <c r="D7243" s="198"/>
      <c r="E7243" s="537"/>
      <c r="G7243" s="198"/>
      <c r="H7243" s="123"/>
    </row>
    <row r="7244" spans="3:8" s="99" customFormat="1" x14ac:dyDescent="0.2">
      <c r="C7244" s="198"/>
      <c r="D7244" s="198"/>
      <c r="E7244" s="537"/>
      <c r="G7244" s="198"/>
      <c r="H7244" s="123"/>
    </row>
    <row r="7245" spans="3:8" s="99" customFormat="1" x14ac:dyDescent="0.2">
      <c r="C7245" s="198"/>
      <c r="D7245" s="198"/>
      <c r="E7245" s="537"/>
      <c r="G7245" s="198"/>
      <c r="H7245" s="123"/>
    </row>
    <row r="7246" spans="3:8" s="99" customFormat="1" x14ac:dyDescent="0.2">
      <c r="C7246" s="198"/>
      <c r="D7246" s="198"/>
      <c r="E7246" s="537"/>
      <c r="G7246" s="198"/>
      <c r="H7246" s="123"/>
    </row>
    <row r="7247" spans="3:8" s="99" customFormat="1" x14ac:dyDescent="0.2">
      <c r="C7247" s="198"/>
      <c r="D7247" s="198"/>
      <c r="E7247" s="537"/>
      <c r="G7247" s="198"/>
      <c r="H7247" s="123"/>
    </row>
    <row r="7248" spans="3:8" s="99" customFormat="1" x14ac:dyDescent="0.2">
      <c r="C7248" s="198"/>
      <c r="D7248" s="198"/>
      <c r="E7248" s="537"/>
      <c r="G7248" s="198"/>
      <c r="H7248" s="123"/>
    </row>
    <row r="7249" spans="3:8" s="99" customFormat="1" x14ac:dyDescent="0.2">
      <c r="C7249" s="198"/>
      <c r="D7249" s="198"/>
      <c r="E7249" s="537"/>
      <c r="G7249" s="198"/>
      <c r="H7249" s="123"/>
    </row>
    <row r="7250" spans="3:8" s="99" customFormat="1" x14ac:dyDescent="0.2">
      <c r="C7250" s="198"/>
      <c r="D7250" s="198"/>
      <c r="E7250" s="537"/>
      <c r="G7250" s="198"/>
      <c r="H7250" s="123"/>
    </row>
    <row r="7251" spans="3:8" s="99" customFormat="1" x14ac:dyDescent="0.2">
      <c r="C7251" s="198"/>
      <c r="D7251" s="198"/>
      <c r="E7251" s="537"/>
      <c r="G7251" s="198"/>
      <c r="H7251" s="123"/>
    </row>
    <row r="7252" spans="3:8" s="99" customFormat="1" x14ac:dyDescent="0.2">
      <c r="C7252" s="198"/>
      <c r="D7252" s="198"/>
      <c r="E7252" s="537"/>
      <c r="G7252" s="198"/>
      <c r="H7252" s="123"/>
    </row>
    <row r="7253" spans="3:8" s="99" customFormat="1" x14ac:dyDescent="0.2">
      <c r="C7253" s="198"/>
      <c r="D7253" s="198"/>
      <c r="E7253" s="537"/>
      <c r="G7253" s="198"/>
      <c r="H7253" s="123"/>
    </row>
    <row r="7254" spans="3:8" s="99" customFormat="1" x14ac:dyDescent="0.2">
      <c r="C7254" s="198"/>
      <c r="D7254" s="198"/>
      <c r="E7254" s="537"/>
      <c r="G7254" s="198"/>
      <c r="H7254" s="123"/>
    </row>
    <row r="7255" spans="3:8" s="99" customFormat="1" x14ac:dyDescent="0.2">
      <c r="C7255" s="198"/>
      <c r="D7255" s="198"/>
      <c r="E7255" s="537"/>
      <c r="G7255" s="198"/>
      <c r="H7255" s="123"/>
    </row>
    <row r="7256" spans="3:8" s="99" customFormat="1" x14ac:dyDescent="0.2">
      <c r="C7256" s="198"/>
      <c r="D7256" s="198"/>
      <c r="E7256" s="537"/>
      <c r="G7256" s="198"/>
      <c r="H7256" s="123"/>
    </row>
    <row r="7257" spans="3:8" s="99" customFormat="1" x14ac:dyDescent="0.2">
      <c r="C7257" s="198"/>
      <c r="D7257" s="198"/>
      <c r="E7257" s="537"/>
      <c r="G7257" s="198"/>
      <c r="H7257" s="123"/>
    </row>
    <row r="7258" spans="3:8" s="99" customFormat="1" x14ac:dyDescent="0.2">
      <c r="C7258" s="198"/>
      <c r="D7258" s="198"/>
      <c r="E7258" s="537"/>
      <c r="G7258" s="198"/>
      <c r="H7258" s="123"/>
    </row>
    <row r="7259" spans="3:8" s="99" customFormat="1" x14ac:dyDescent="0.2">
      <c r="C7259" s="198"/>
      <c r="D7259" s="198"/>
      <c r="E7259" s="537"/>
      <c r="G7259" s="198"/>
      <c r="H7259" s="123"/>
    </row>
    <row r="7260" spans="3:8" s="99" customFormat="1" x14ac:dyDescent="0.2">
      <c r="C7260" s="198"/>
      <c r="D7260" s="198"/>
      <c r="E7260" s="537"/>
      <c r="G7260" s="198"/>
      <c r="H7260" s="123"/>
    </row>
    <row r="7261" spans="3:8" s="99" customFormat="1" x14ac:dyDescent="0.2">
      <c r="C7261" s="198"/>
      <c r="D7261" s="198"/>
      <c r="E7261" s="537"/>
      <c r="G7261" s="198"/>
      <c r="H7261" s="123"/>
    </row>
    <row r="7262" spans="3:8" s="99" customFormat="1" x14ac:dyDescent="0.2">
      <c r="C7262" s="198"/>
      <c r="D7262" s="198"/>
      <c r="E7262" s="537"/>
      <c r="G7262" s="198"/>
      <c r="H7262" s="123"/>
    </row>
    <row r="7263" spans="3:8" s="99" customFormat="1" x14ac:dyDescent="0.2">
      <c r="C7263" s="198"/>
      <c r="D7263" s="198"/>
      <c r="E7263" s="537"/>
      <c r="G7263" s="198"/>
      <c r="H7263" s="123"/>
    </row>
    <row r="7264" spans="3:8" s="99" customFormat="1" x14ac:dyDescent="0.2">
      <c r="C7264" s="198"/>
      <c r="D7264" s="198"/>
      <c r="E7264" s="537"/>
      <c r="G7264" s="198"/>
      <c r="H7264" s="123"/>
    </row>
    <row r="7265" spans="3:8" s="99" customFormat="1" x14ac:dyDescent="0.2">
      <c r="C7265" s="198"/>
      <c r="D7265" s="198"/>
      <c r="E7265" s="537"/>
      <c r="G7265" s="198"/>
      <c r="H7265" s="123"/>
    </row>
    <row r="7266" spans="3:8" s="99" customFormat="1" x14ac:dyDescent="0.2">
      <c r="C7266" s="198"/>
      <c r="D7266" s="198"/>
      <c r="E7266" s="537"/>
      <c r="G7266" s="198"/>
      <c r="H7266" s="123"/>
    </row>
    <row r="7267" spans="3:8" s="99" customFormat="1" x14ac:dyDescent="0.2">
      <c r="C7267" s="198"/>
      <c r="D7267" s="198"/>
      <c r="E7267" s="537"/>
      <c r="G7267" s="198"/>
      <c r="H7267" s="123"/>
    </row>
    <row r="7268" spans="3:8" s="99" customFormat="1" x14ac:dyDescent="0.2">
      <c r="C7268" s="198"/>
      <c r="D7268" s="198"/>
      <c r="E7268" s="537"/>
      <c r="G7268" s="198"/>
      <c r="H7268" s="123"/>
    </row>
    <row r="7269" spans="3:8" s="99" customFormat="1" x14ac:dyDescent="0.2">
      <c r="C7269" s="198"/>
      <c r="D7269" s="198"/>
      <c r="E7269" s="537"/>
      <c r="G7269" s="198"/>
      <c r="H7269" s="123"/>
    </row>
    <row r="7270" spans="3:8" s="99" customFormat="1" x14ac:dyDescent="0.2">
      <c r="C7270" s="198"/>
      <c r="D7270" s="198"/>
      <c r="E7270" s="537"/>
      <c r="G7270" s="198"/>
      <c r="H7270" s="123"/>
    </row>
    <row r="7271" spans="3:8" s="99" customFormat="1" x14ac:dyDescent="0.2">
      <c r="C7271" s="198"/>
      <c r="D7271" s="198"/>
      <c r="E7271" s="537"/>
      <c r="G7271" s="198"/>
      <c r="H7271" s="123"/>
    </row>
    <row r="7272" spans="3:8" s="99" customFormat="1" x14ac:dyDescent="0.2">
      <c r="C7272" s="198"/>
      <c r="D7272" s="198"/>
      <c r="E7272" s="537"/>
      <c r="G7272" s="198"/>
      <c r="H7272" s="123"/>
    </row>
    <row r="7273" spans="3:8" s="99" customFormat="1" x14ac:dyDescent="0.2">
      <c r="C7273" s="198"/>
      <c r="D7273" s="198"/>
      <c r="E7273" s="537"/>
      <c r="G7273" s="198"/>
      <c r="H7273" s="123"/>
    </row>
    <row r="7274" spans="3:8" s="99" customFormat="1" x14ac:dyDescent="0.2">
      <c r="C7274" s="198"/>
      <c r="D7274" s="198"/>
      <c r="E7274" s="537"/>
      <c r="G7274" s="198"/>
      <c r="H7274" s="123"/>
    </row>
    <row r="7275" spans="3:8" s="99" customFormat="1" x14ac:dyDescent="0.2">
      <c r="C7275" s="198"/>
      <c r="D7275" s="198"/>
      <c r="E7275" s="537"/>
      <c r="G7275" s="198"/>
      <c r="H7275" s="123"/>
    </row>
    <row r="7276" spans="3:8" s="99" customFormat="1" x14ac:dyDescent="0.2">
      <c r="C7276" s="198"/>
      <c r="D7276" s="198"/>
      <c r="E7276" s="537"/>
      <c r="G7276" s="198"/>
      <c r="H7276" s="123"/>
    </row>
    <row r="7277" spans="3:8" s="99" customFormat="1" x14ac:dyDescent="0.2">
      <c r="C7277" s="198"/>
      <c r="D7277" s="198"/>
      <c r="E7277" s="537"/>
      <c r="G7277" s="198"/>
      <c r="H7277" s="123"/>
    </row>
    <row r="7278" spans="3:8" s="99" customFormat="1" x14ac:dyDescent="0.2">
      <c r="C7278" s="198"/>
      <c r="D7278" s="198"/>
      <c r="E7278" s="537"/>
      <c r="G7278" s="198"/>
      <c r="H7278" s="123"/>
    </row>
    <row r="7279" spans="3:8" s="99" customFormat="1" x14ac:dyDescent="0.2">
      <c r="C7279" s="198"/>
      <c r="D7279" s="198"/>
      <c r="E7279" s="537"/>
      <c r="G7279" s="198"/>
      <c r="H7279" s="123"/>
    </row>
    <row r="7280" spans="3:8" s="99" customFormat="1" x14ac:dyDescent="0.2">
      <c r="C7280" s="198"/>
      <c r="D7280" s="198"/>
      <c r="E7280" s="537"/>
      <c r="G7280" s="198"/>
      <c r="H7280" s="123"/>
    </row>
    <row r="7281" spans="3:8" s="99" customFormat="1" x14ac:dyDescent="0.2">
      <c r="C7281" s="198"/>
      <c r="D7281" s="198"/>
      <c r="E7281" s="537"/>
      <c r="G7281" s="198"/>
      <c r="H7281" s="123"/>
    </row>
    <row r="7282" spans="3:8" s="99" customFormat="1" x14ac:dyDescent="0.2">
      <c r="C7282" s="198"/>
      <c r="D7282" s="198"/>
      <c r="E7282" s="537"/>
      <c r="G7282" s="198"/>
      <c r="H7282" s="123"/>
    </row>
    <row r="7283" spans="3:8" s="99" customFormat="1" x14ac:dyDescent="0.2">
      <c r="C7283" s="198"/>
      <c r="D7283" s="198"/>
      <c r="E7283" s="537"/>
      <c r="G7283" s="198"/>
      <c r="H7283" s="123"/>
    </row>
    <row r="7284" spans="3:8" s="99" customFormat="1" x14ac:dyDescent="0.2">
      <c r="C7284" s="198"/>
      <c r="D7284" s="198"/>
      <c r="E7284" s="537"/>
      <c r="G7284" s="198"/>
      <c r="H7284" s="123"/>
    </row>
    <row r="7285" spans="3:8" s="99" customFormat="1" x14ac:dyDescent="0.2">
      <c r="C7285" s="198"/>
      <c r="D7285" s="198"/>
      <c r="E7285" s="537"/>
      <c r="G7285" s="198"/>
      <c r="H7285" s="123"/>
    </row>
    <row r="7286" spans="3:8" s="99" customFormat="1" x14ac:dyDescent="0.2">
      <c r="C7286" s="198"/>
      <c r="D7286" s="198"/>
      <c r="E7286" s="537"/>
      <c r="G7286" s="198"/>
      <c r="H7286" s="123"/>
    </row>
    <row r="7287" spans="3:8" s="99" customFormat="1" x14ac:dyDescent="0.2">
      <c r="C7287" s="198"/>
      <c r="D7287" s="198"/>
      <c r="E7287" s="537"/>
      <c r="G7287" s="198"/>
      <c r="H7287" s="123"/>
    </row>
    <row r="7288" spans="3:8" s="99" customFormat="1" x14ac:dyDescent="0.2">
      <c r="C7288" s="198"/>
      <c r="D7288" s="198"/>
      <c r="E7288" s="537"/>
      <c r="G7288" s="198"/>
      <c r="H7288" s="123"/>
    </row>
    <row r="7289" spans="3:8" s="99" customFormat="1" x14ac:dyDescent="0.2">
      <c r="C7289" s="198"/>
      <c r="D7289" s="198"/>
      <c r="E7289" s="537"/>
      <c r="G7289" s="198"/>
      <c r="H7289" s="123"/>
    </row>
    <row r="7290" spans="3:8" s="99" customFormat="1" x14ac:dyDescent="0.2">
      <c r="C7290" s="198"/>
      <c r="D7290" s="198"/>
      <c r="E7290" s="537"/>
      <c r="G7290" s="198"/>
      <c r="H7290" s="123"/>
    </row>
    <row r="7291" spans="3:8" s="99" customFormat="1" x14ac:dyDescent="0.2">
      <c r="C7291" s="198"/>
      <c r="D7291" s="198"/>
      <c r="E7291" s="537"/>
      <c r="G7291" s="198"/>
      <c r="H7291" s="123"/>
    </row>
    <row r="7292" spans="3:8" s="99" customFormat="1" x14ac:dyDescent="0.2">
      <c r="C7292" s="198"/>
      <c r="D7292" s="198"/>
      <c r="E7292" s="537"/>
      <c r="G7292" s="198"/>
      <c r="H7292" s="123"/>
    </row>
    <row r="7293" spans="3:8" s="99" customFormat="1" x14ac:dyDescent="0.2">
      <c r="C7293" s="198"/>
      <c r="D7293" s="198"/>
      <c r="E7293" s="537"/>
      <c r="G7293" s="198"/>
      <c r="H7293" s="123"/>
    </row>
    <row r="7294" spans="3:8" s="99" customFormat="1" x14ac:dyDescent="0.2">
      <c r="C7294" s="198"/>
      <c r="D7294" s="198"/>
      <c r="E7294" s="537"/>
      <c r="G7294" s="198"/>
      <c r="H7294" s="123"/>
    </row>
    <row r="7295" spans="3:8" s="99" customFormat="1" x14ac:dyDescent="0.2">
      <c r="C7295" s="198"/>
      <c r="D7295" s="198"/>
      <c r="E7295" s="537"/>
      <c r="G7295" s="198"/>
      <c r="H7295" s="123"/>
    </row>
    <row r="7296" spans="3:8" s="99" customFormat="1" x14ac:dyDescent="0.2">
      <c r="C7296" s="198"/>
      <c r="D7296" s="198"/>
      <c r="E7296" s="537"/>
      <c r="G7296" s="198"/>
      <c r="H7296" s="123"/>
    </row>
    <row r="7297" spans="3:8" s="99" customFormat="1" x14ac:dyDescent="0.2">
      <c r="C7297" s="198"/>
      <c r="D7297" s="198"/>
      <c r="E7297" s="537"/>
      <c r="G7297" s="198"/>
      <c r="H7297" s="123"/>
    </row>
    <row r="7298" spans="3:8" s="99" customFormat="1" x14ac:dyDescent="0.2">
      <c r="C7298" s="198"/>
      <c r="D7298" s="198"/>
      <c r="E7298" s="537"/>
      <c r="G7298" s="198"/>
      <c r="H7298" s="123"/>
    </row>
    <row r="7299" spans="3:8" s="99" customFormat="1" x14ac:dyDescent="0.2">
      <c r="C7299" s="198"/>
      <c r="D7299" s="198"/>
      <c r="E7299" s="537"/>
      <c r="G7299" s="198"/>
      <c r="H7299" s="123"/>
    </row>
    <row r="7300" spans="3:8" s="99" customFormat="1" x14ac:dyDescent="0.2">
      <c r="C7300" s="198"/>
      <c r="D7300" s="198"/>
      <c r="E7300" s="537"/>
      <c r="G7300" s="198"/>
      <c r="H7300" s="123"/>
    </row>
    <row r="7301" spans="3:8" s="99" customFormat="1" x14ac:dyDescent="0.2">
      <c r="C7301" s="198"/>
      <c r="D7301" s="198"/>
      <c r="E7301" s="537"/>
      <c r="G7301" s="198"/>
      <c r="H7301" s="123"/>
    </row>
    <row r="7302" spans="3:8" s="99" customFormat="1" x14ac:dyDescent="0.2">
      <c r="C7302" s="198"/>
      <c r="D7302" s="198"/>
      <c r="E7302" s="537"/>
      <c r="G7302" s="198"/>
      <c r="H7302" s="123"/>
    </row>
    <row r="7303" spans="3:8" s="99" customFormat="1" x14ac:dyDescent="0.2">
      <c r="C7303" s="198"/>
      <c r="D7303" s="198"/>
      <c r="E7303" s="537"/>
      <c r="G7303" s="198"/>
      <c r="H7303" s="123"/>
    </row>
    <row r="7304" spans="3:8" s="99" customFormat="1" x14ac:dyDescent="0.2">
      <c r="C7304" s="198"/>
      <c r="D7304" s="198"/>
      <c r="E7304" s="537"/>
      <c r="G7304" s="198"/>
      <c r="H7304" s="123"/>
    </row>
    <row r="7305" spans="3:8" s="99" customFormat="1" x14ac:dyDescent="0.2">
      <c r="C7305" s="198"/>
      <c r="D7305" s="198"/>
      <c r="E7305" s="537"/>
      <c r="G7305" s="198"/>
      <c r="H7305" s="123"/>
    </row>
    <row r="7306" spans="3:8" s="99" customFormat="1" x14ac:dyDescent="0.2">
      <c r="C7306" s="198"/>
      <c r="D7306" s="198"/>
      <c r="E7306" s="537"/>
      <c r="G7306" s="198"/>
      <c r="H7306" s="123"/>
    </row>
    <row r="7307" spans="3:8" s="99" customFormat="1" x14ac:dyDescent="0.2">
      <c r="C7307" s="198"/>
      <c r="D7307" s="198"/>
      <c r="E7307" s="537"/>
      <c r="G7307" s="198"/>
      <c r="H7307" s="123"/>
    </row>
    <row r="7308" spans="3:8" s="99" customFormat="1" x14ac:dyDescent="0.2">
      <c r="C7308" s="198"/>
      <c r="D7308" s="198"/>
      <c r="E7308" s="537"/>
      <c r="G7308" s="198"/>
      <c r="H7308" s="123"/>
    </row>
    <row r="7309" spans="3:8" s="99" customFormat="1" x14ac:dyDescent="0.2">
      <c r="C7309" s="198"/>
      <c r="D7309" s="198"/>
      <c r="E7309" s="537"/>
      <c r="G7309" s="198"/>
      <c r="H7309" s="123"/>
    </row>
    <row r="7310" spans="3:8" s="99" customFormat="1" x14ac:dyDescent="0.2">
      <c r="C7310" s="198"/>
      <c r="D7310" s="198"/>
      <c r="E7310" s="537"/>
      <c r="G7310" s="198"/>
      <c r="H7310" s="123"/>
    </row>
    <row r="7311" spans="3:8" s="99" customFormat="1" x14ac:dyDescent="0.2">
      <c r="C7311" s="198"/>
      <c r="D7311" s="198"/>
      <c r="E7311" s="537"/>
      <c r="G7311" s="198"/>
      <c r="H7311" s="123"/>
    </row>
    <row r="7312" spans="3:8" s="99" customFormat="1" x14ac:dyDescent="0.2">
      <c r="C7312" s="198"/>
      <c r="D7312" s="198"/>
      <c r="E7312" s="537"/>
      <c r="G7312" s="198"/>
      <c r="H7312" s="123"/>
    </row>
    <row r="7313" spans="3:8" s="99" customFormat="1" x14ac:dyDescent="0.2">
      <c r="C7313" s="198"/>
      <c r="D7313" s="198"/>
      <c r="E7313" s="537"/>
      <c r="G7313" s="198"/>
      <c r="H7313" s="123"/>
    </row>
    <row r="7314" spans="3:8" s="99" customFormat="1" x14ac:dyDescent="0.2">
      <c r="C7314" s="198"/>
      <c r="D7314" s="198"/>
      <c r="E7314" s="537"/>
      <c r="G7314" s="198"/>
      <c r="H7314" s="123"/>
    </row>
    <row r="7315" spans="3:8" s="99" customFormat="1" x14ac:dyDescent="0.2">
      <c r="C7315" s="198"/>
      <c r="D7315" s="198"/>
      <c r="E7315" s="537"/>
      <c r="G7315" s="198"/>
      <c r="H7315" s="123"/>
    </row>
    <row r="7316" spans="3:8" s="99" customFormat="1" x14ac:dyDescent="0.2">
      <c r="C7316" s="198"/>
      <c r="D7316" s="198"/>
      <c r="E7316" s="537"/>
      <c r="G7316" s="198"/>
      <c r="H7316" s="123"/>
    </row>
    <row r="7317" spans="3:8" s="99" customFormat="1" x14ac:dyDescent="0.2">
      <c r="C7317" s="198"/>
      <c r="D7317" s="198"/>
      <c r="E7317" s="537"/>
      <c r="G7317" s="198"/>
      <c r="H7317" s="123"/>
    </row>
    <row r="7318" spans="3:8" s="99" customFormat="1" x14ac:dyDescent="0.2">
      <c r="C7318" s="198"/>
      <c r="D7318" s="198"/>
      <c r="E7318" s="537"/>
      <c r="G7318" s="198"/>
      <c r="H7318" s="123"/>
    </row>
    <row r="7319" spans="3:8" s="99" customFormat="1" x14ac:dyDescent="0.2">
      <c r="C7319" s="198"/>
      <c r="D7319" s="198"/>
      <c r="E7319" s="537"/>
      <c r="G7319" s="198"/>
      <c r="H7319" s="123"/>
    </row>
    <row r="7320" spans="3:8" s="99" customFormat="1" x14ac:dyDescent="0.2">
      <c r="C7320" s="198"/>
      <c r="D7320" s="198"/>
      <c r="E7320" s="537"/>
      <c r="G7320" s="198"/>
      <c r="H7320" s="123"/>
    </row>
    <row r="7321" spans="3:8" s="99" customFormat="1" x14ac:dyDescent="0.2">
      <c r="C7321" s="198"/>
      <c r="D7321" s="198"/>
      <c r="E7321" s="537"/>
      <c r="G7321" s="198"/>
      <c r="H7321" s="123"/>
    </row>
    <row r="7322" spans="3:8" s="99" customFormat="1" x14ac:dyDescent="0.2">
      <c r="C7322" s="198"/>
      <c r="D7322" s="198"/>
      <c r="E7322" s="537"/>
      <c r="G7322" s="198"/>
      <c r="H7322" s="123"/>
    </row>
    <row r="7323" spans="3:8" s="99" customFormat="1" x14ac:dyDescent="0.2">
      <c r="C7323" s="198"/>
      <c r="D7323" s="198"/>
      <c r="E7323" s="537"/>
      <c r="G7323" s="198"/>
      <c r="H7323" s="123"/>
    </row>
    <row r="7324" spans="3:8" s="99" customFormat="1" x14ac:dyDescent="0.2">
      <c r="C7324" s="198"/>
      <c r="D7324" s="198"/>
      <c r="E7324" s="537"/>
      <c r="G7324" s="198"/>
      <c r="H7324" s="123"/>
    </row>
    <row r="7325" spans="3:8" s="99" customFormat="1" x14ac:dyDescent="0.2">
      <c r="C7325" s="198"/>
      <c r="D7325" s="198"/>
      <c r="E7325" s="537"/>
      <c r="G7325" s="198"/>
      <c r="H7325" s="123"/>
    </row>
    <row r="7326" spans="3:8" s="99" customFormat="1" x14ac:dyDescent="0.2">
      <c r="C7326" s="198"/>
      <c r="D7326" s="198"/>
      <c r="E7326" s="537"/>
      <c r="G7326" s="198"/>
      <c r="H7326" s="123"/>
    </row>
    <row r="7327" spans="3:8" s="99" customFormat="1" x14ac:dyDescent="0.2">
      <c r="C7327" s="198"/>
      <c r="D7327" s="198"/>
      <c r="E7327" s="537"/>
      <c r="G7327" s="198"/>
      <c r="H7327" s="123"/>
    </row>
    <row r="7328" spans="3:8" s="99" customFormat="1" x14ac:dyDescent="0.2">
      <c r="C7328" s="198"/>
      <c r="D7328" s="198"/>
      <c r="E7328" s="537"/>
      <c r="G7328" s="198"/>
      <c r="H7328" s="123"/>
    </row>
    <row r="7329" spans="3:8" s="99" customFormat="1" x14ac:dyDescent="0.2">
      <c r="C7329" s="198"/>
      <c r="D7329" s="198"/>
      <c r="E7329" s="537"/>
      <c r="G7329" s="198"/>
      <c r="H7329" s="123"/>
    </row>
    <row r="7330" spans="3:8" s="99" customFormat="1" x14ac:dyDescent="0.2">
      <c r="C7330" s="198"/>
      <c r="D7330" s="198"/>
      <c r="E7330" s="537"/>
      <c r="G7330" s="198"/>
      <c r="H7330" s="123"/>
    </row>
    <row r="7331" spans="3:8" s="99" customFormat="1" x14ac:dyDescent="0.2">
      <c r="C7331" s="198"/>
      <c r="D7331" s="198"/>
      <c r="E7331" s="537"/>
      <c r="G7331" s="198"/>
      <c r="H7331" s="123"/>
    </row>
    <row r="7332" spans="3:8" s="99" customFormat="1" x14ac:dyDescent="0.2">
      <c r="C7332" s="198"/>
      <c r="D7332" s="198"/>
      <c r="E7332" s="537"/>
      <c r="G7332" s="198"/>
      <c r="H7332" s="123"/>
    </row>
    <row r="7333" spans="3:8" s="99" customFormat="1" x14ac:dyDescent="0.2">
      <c r="C7333" s="198"/>
      <c r="D7333" s="198"/>
      <c r="E7333" s="537"/>
      <c r="G7333" s="198"/>
      <c r="H7333" s="123"/>
    </row>
    <row r="7334" spans="3:8" s="99" customFormat="1" x14ac:dyDescent="0.2">
      <c r="C7334" s="198"/>
      <c r="D7334" s="198"/>
      <c r="E7334" s="537"/>
      <c r="G7334" s="198"/>
      <c r="H7334" s="123"/>
    </row>
    <row r="7335" spans="3:8" s="99" customFormat="1" x14ac:dyDescent="0.2">
      <c r="C7335" s="198"/>
      <c r="D7335" s="198"/>
      <c r="E7335" s="537"/>
      <c r="G7335" s="198"/>
      <c r="H7335" s="123"/>
    </row>
    <row r="7336" spans="3:8" s="99" customFormat="1" x14ac:dyDescent="0.2">
      <c r="C7336" s="198"/>
      <c r="D7336" s="198"/>
      <c r="E7336" s="537"/>
      <c r="G7336" s="198"/>
      <c r="H7336" s="123"/>
    </row>
    <row r="7337" spans="3:8" s="99" customFormat="1" x14ac:dyDescent="0.2">
      <c r="C7337" s="198"/>
      <c r="D7337" s="198"/>
      <c r="E7337" s="537"/>
      <c r="G7337" s="198"/>
      <c r="H7337" s="123"/>
    </row>
    <row r="7338" spans="3:8" s="99" customFormat="1" x14ac:dyDescent="0.2">
      <c r="C7338" s="198"/>
      <c r="D7338" s="198"/>
      <c r="E7338" s="537"/>
      <c r="G7338" s="198"/>
      <c r="H7338" s="123"/>
    </row>
    <row r="7339" spans="3:8" s="99" customFormat="1" x14ac:dyDescent="0.2">
      <c r="C7339" s="198"/>
      <c r="D7339" s="198"/>
      <c r="E7339" s="537"/>
      <c r="G7339" s="198"/>
      <c r="H7339" s="123"/>
    </row>
    <row r="7340" spans="3:8" s="99" customFormat="1" x14ac:dyDescent="0.2">
      <c r="C7340" s="198"/>
      <c r="D7340" s="198"/>
      <c r="E7340" s="537"/>
      <c r="G7340" s="198"/>
      <c r="H7340" s="123"/>
    </row>
    <row r="7341" spans="3:8" s="99" customFormat="1" x14ac:dyDescent="0.2">
      <c r="C7341" s="198"/>
      <c r="D7341" s="198"/>
      <c r="E7341" s="537"/>
      <c r="G7341" s="198"/>
      <c r="H7341" s="123"/>
    </row>
    <row r="7342" spans="3:8" s="99" customFormat="1" x14ac:dyDescent="0.2">
      <c r="C7342" s="198"/>
      <c r="D7342" s="198"/>
      <c r="E7342" s="537"/>
      <c r="G7342" s="198"/>
      <c r="H7342" s="123"/>
    </row>
    <row r="7343" spans="3:8" s="99" customFormat="1" x14ac:dyDescent="0.2">
      <c r="C7343" s="198"/>
      <c r="D7343" s="198"/>
      <c r="E7343" s="537"/>
      <c r="G7343" s="198"/>
      <c r="H7343" s="123"/>
    </row>
    <row r="7344" spans="3:8" s="99" customFormat="1" x14ac:dyDescent="0.2">
      <c r="C7344" s="198"/>
      <c r="D7344" s="198"/>
      <c r="E7344" s="537"/>
      <c r="G7344" s="198"/>
      <c r="H7344" s="123"/>
    </row>
    <row r="7345" spans="3:8" s="99" customFormat="1" x14ac:dyDescent="0.2">
      <c r="C7345" s="198"/>
      <c r="D7345" s="198"/>
      <c r="E7345" s="537"/>
      <c r="G7345" s="198"/>
      <c r="H7345" s="123"/>
    </row>
    <row r="7346" spans="3:8" s="99" customFormat="1" x14ac:dyDescent="0.2">
      <c r="C7346" s="198"/>
      <c r="D7346" s="198"/>
      <c r="E7346" s="537"/>
      <c r="G7346" s="198"/>
      <c r="H7346" s="123"/>
    </row>
    <row r="7347" spans="3:8" s="99" customFormat="1" x14ac:dyDescent="0.2">
      <c r="C7347" s="198"/>
      <c r="D7347" s="198"/>
      <c r="E7347" s="537"/>
      <c r="G7347" s="198"/>
      <c r="H7347" s="123"/>
    </row>
    <row r="7348" spans="3:8" s="99" customFormat="1" x14ac:dyDescent="0.2">
      <c r="C7348" s="198"/>
      <c r="D7348" s="198"/>
      <c r="E7348" s="537"/>
      <c r="G7348" s="198"/>
      <c r="H7348" s="123"/>
    </row>
    <row r="7349" spans="3:8" s="99" customFormat="1" x14ac:dyDescent="0.2">
      <c r="C7349" s="198"/>
      <c r="D7349" s="198"/>
      <c r="E7349" s="537"/>
      <c r="G7349" s="198"/>
      <c r="H7349" s="123"/>
    </row>
    <row r="7350" spans="3:8" s="99" customFormat="1" x14ac:dyDescent="0.2">
      <c r="C7350" s="198"/>
      <c r="D7350" s="198"/>
      <c r="E7350" s="537"/>
      <c r="G7350" s="198"/>
      <c r="H7350" s="123"/>
    </row>
    <row r="7351" spans="3:8" s="99" customFormat="1" x14ac:dyDescent="0.2">
      <c r="C7351" s="198"/>
      <c r="D7351" s="198"/>
      <c r="E7351" s="537"/>
      <c r="G7351" s="198"/>
      <c r="H7351" s="123"/>
    </row>
    <row r="7352" spans="3:8" s="99" customFormat="1" x14ac:dyDescent="0.2">
      <c r="C7352" s="198"/>
      <c r="D7352" s="198"/>
      <c r="E7352" s="537"/>
      <c r="G7352" s="198"/>
      <c r="H7352" s="123"/>
    </row>
    <row r="7353" spans="3:8" s="99" customFormat="1" x14ac:dyDescent="0.2">
      <c r="C7353" s="198"/>
      <c r="D7353" s="198"/>
      <c r="E7353" s="537"/>
      <c r="G7353" s="198"/>
      <c r="H7353" s="123"/>
    </row>
    <row r="7354" spans="3:8" s="99" customFormat="1" x14ac:dyDescent="0.2">
      <c r="C7354" s="198"/>
      <c r="D7354" s="198"/>
      <c r="E7354" s="537"/>
      <c r="G7354" s="198"/>
      <c r="H7354" s="123"/>
    </row>
    <row r="7355" spans="3:8" s="99" customFormat="1" x14ac:dyDescent="0.2">
      <c r="C7355" s="198"/>
      <c r="D7355" s="198"/>
      <c r="E7355" s="537"/>
      <c r="G7355" s="198"/>
      <c r="H7355" s="123"/>
    </row>
    <row r="7356" spans="3:8" s="99" customFormat="1" x14ac:dyDescent="0.2">
      <c r="C7356" s="198"/>
      <c r="D7356" s="198"/>
      <c r="E7356" s="537"/>
      <c r="G7356" s="198"/>
      <c r="H7356" s="123"/>
    </row>
    <row r="7357" spans="3:8" s="99" customFormat="1" x14ac:dyDescent="0.2">
      <c r="C7357" s="198"/>
      <c r="D7357" s="198"/>
      <c r="E7357" s="537"/>
      <c r="G7357" s="198"/>
      <c r="H7357" s="123"/>
    </row>
    <row r="7358" spans="3:8" s="99" customFormat="1" x14ac:dyDescent="0.2">
      <c r="C7358" s="198"/>
      <c r="D7358" s="198"/>
      <c r="E7358" s="537"/>
      <c r="G7358" s="198"/>
      <c r="H7358" s="123"/>
    </row>
    <row r="7359" spans="3:8" s="99" customFormat="1" x14ac:dyDescent="0.2">
      <c r="C7359" s="198"/>
      <c r="D7359" s="198"/>
      <c r="E7359" s="537"/>
      <c r="G7359" s="198"/>
      <c r="H7359" s="123"/>
    </row>
    <row r="7360" spans="3:8" s="99" customFormat="1" x14ac:dyDescent="0.2">
      <c r="C7360" s="198"/>
      <c r="D7360" s="198"/>
      <c r="E7360" s="537"/>
      <c r="G7360" s="198"/>
      <c r="H7360" s="123"/>
    </row>
    <row r="7361" spans="3:8" s="99" customFormat="1" x14ac:dyDescent="0.2">
      <c r="C7361" s="198"/>
      <c r="D7361" s="198"/>
      <c r="E7361" s="537"/>
      <c r="G7361" s="198"/>
      <c r="H7361" s="123"/>
    </row>
    <row r="7362" spans="3:8" s="99" customFormat="1" x14ac:dyDescent="0.2">
      <c r="C7362" s="198"/>
      <c r="D7362" s="198"/>
      <c r="E7362" s="537"/>
      <c r="G7362" s="198"/>
      <c r="H7362" s="123"/>
    </row>
    <row r="7363" spans="3:8" s="99" customFormat="1" x14ac:dyDescent="0.2">
      <c r="C7363" s="198"/>
      <c r="D7363" s="198"/>
      <c r="E7363" s="537"/>
      <c r="G7363" s="198"/>
      <c r="H7363" s="123"/>
    </row>
    <row r="7364" spans="3:8" s="99" customFormat="1" x14ac:dyDescent="0.2">
      <c r="C7364" s="198"/>
      <c r="D7364" s="198"/>
      <c r="E7364" s="537"/>
      <c r="G7364" s="198"/>
      <c r="H7364" s="123"/>
    </row>
    <row r="7365" spans="3:8" s="99" customFormat="1" x14ac:dyDescent="0.2">
      <c r="C7365" s="198"/>
      <c r="D7365" s="198"/>
      <c r="E7365" s="537"/>
      <c r="G7365" s="198"/>
      <c r="H7365" s="123"/>
    </row>
    <row r="7366" spans="3:8" s="99" customFormat="1" x14ac:dyDescent="0.2">
      <c r="C7366" s="198"/>
      <c r="D7366" s="198"/>
      <c r="E7366" s="537"/>
      <c r="G7366" s="198"/>
      <c r="H7366" s="123"/>
    </row>
    <row r="7367" spans="3:8" s="99" customFormat="1" x14ac:dyDescent="0.2">
      <c r="C7367" s="198"/>
      <c r="D7367" s="198"/>
      <c r="E7367" s="537"/>
      <c r="G7367" s="198"/>
      <c r="H7367" s="123"/>
    </row>
    <row r="7368" spans="3:8" s="99" customFormat="1" x14ac:dyDescent="0.2">
      <c r="C7368" s="198"/>
      <c r="D7368" s="198"/>
      <c r="E7368" s="537"/>
      <c r="G7368" s="198"/>
      <c r="H7368" s="123"/>
    </row>
    <row r="7369" spans="3:8" s="99" customFormat="1" x14ac:dyDescent="0.2">
      <c r="C7369" s="198"/>
      <c r="D7369" s="198"/>
      <c r="E7369" s="537"/>
      <c r="G7369" s="198"/>
      <c r="H7369" s="123"/>
    </row>
    <row r="7370" spans="3:8" s="99" customFormat="1" x14ac:dyDescent="0.2">
      <c r="C7370" s="198"/>
      <c r="D7370" s="198"/>
      <c r="E7370" s="537"/>
      <c r="G7370" s="198"/>
      <c r="H7370" s="123"/>
    </row>
    <row r="7371" spans="3:8" s="99" customFormat="1" x14ac:dyDescent="0.2">
      <c r="C7371" s="198"/>
      <c r="D7371" s="198"/>
      <c r="E7371" s="537"/>
      <c r="G7371" s="198"/>
      <c r="H7371" s="123"/>
    </row>
    <row r="7372" spans="3:8" s="99" customFormat="1" x14ac:dyDescent="0.2">
      <c r="C7372" s="198"/>
      <c r="D7372" s="198"/>
      <c r="E7372" s="537"/>
      <c r="G7372" s="198"/>
      <c r="H7372" s="123"/>
    </row>
    <row r="7373" spans="3:8" s="99" customFormat="1" x14ac:dyDescent="0.2">
      <c r="C7373" s="198"/>
      <c r="D7373" s="198"/>
      <c r="E7373" s="537"/>
      <c r="G7373" s="198"/>
      <c r="H7373" s="123"/>
    </row>
    <row r="7374" spans="3:8" s="99" customFormat="1" x14ac:dyDescent="0.2">
      <c r="C7374" s="198"/>
      <c r="D7374" s="198"/>
      <c r="E7374" s="537"/>
      <c r="G7374" s="198"/>
      <c r="H7374" s="123"/>
    </row>
    <row r="7375" spans="3:8" s="99" customFormat="1" x14ac:dyDescent="0.2">
      <c r="C7375" s="198"/>
      <c r="D7375" s="198"/>
      <c r="E7375" s="537"/>
      <c r="G7375" s="198"/>
      <c r="H7375" s="123"/>
    </row>
    <row r="7376" spans="3:8" s="99" customFormat="1" x14ac:dyDescent="0.2">
      <c r="C7376" s="198"/>
      <c r="D7376" s="198"/>
      <c r="E7376" s="537"/>
      <c r="G7376" s="198"/>
      <c r="H7376" s="123"/>
    </row>
    <row r="7377" spans="3:8" s="99" customFormat="1" x14ac:dyDescent="0.2">
      <c r="C7377" s="198"/>
      <c r="D7377" s="198"/>
      <c r="E7377" s="537"/>
      <c r="G7377" s="198"/>
      <c r="H7377" s="123"/>
    </row>
    <row r="7378" spans="3:8" s="99" customFormat="1" x14ac:dyDescent="0.2">
      <c r="C7378" s="198"/>
      <c r="D7378" s="198"/>
      <c r="E7378" s="537"/>
      <c r="G7378" s="198"/>
      <c r="H7378" s="123"/>
    </row>
    <row r="7379" spans="3:8" s="99" customFormat="1" x14ac:dyDescent="0.2">
      <c r="C7379" s="198"/>
      <c r="D7379" s="198"/>
      <c r="E7379" s="537"/>
      <c r="G7379" s="198"/>
      <c r="H7379" s="123"/>
    </row>
    <row r="7380" spans="3:8" s="99" customFormat="1" x14ac:dyDescent="0.2">
      <c r="C7380" s="198"/>
      <c r="D7380" s="198"/>
      <c r="E7380" s="537"/>
      <c r="G7380" s="198"/>
      <c r="H7380" s="123"/>
    </row>
    <row r="7381" spans="3:8" s="99" customFormat="1" x14ac:dyDescent="0.2">
      <c r="C7381" s="198"/>
      <c r="D7381" s="198"/>
      <c r="E7381" s="537"/>
      <c r="G7381" s="198"/>
      <c r="H7381" s="123"/>
    </row>
    <row r="7382" spans="3:8" s="99" customFormat="1" x14ac:dyDescent="0.2">
      <c r="C7382" s="198"/>
      <c r="D7382" s="198"/>
      <c r="E7382" s="537"/>
      <c r="G7382" s="198"/>
      <c r="H7382" s="123"/>
    </row>
    <row r="7383" spans="3:8" s="99" customFormat="1" x14ac:dyDescent="0.2">
      <c r="C7383" s="198"/>
      <c r="D7383" s="198"/>
      <c r="E7383" s="537"/>
      <c r="G7383" s="198"/>
      <c r="H7383" s="123"/>
    </row>
    <row r="7384" spans="3:8" s="99" customFormat="1" x14ac:dyDescent="0.2">
      <c r="C7384" s="198"/>
      <c r="D7384" s="198"/>
      <c r="E7384" s="537"/>
      <c r="G7384" s="198"/>
      <c r="H7384" s="123"/>
    </row>
    <row r="7385" spans="3:8" s="99" customFormat="1" x14ac:dyDescent="0.2">
      <c r="C7385" s="198"/>
      <c r="D7385" s="198"/>
      <c r="E7385" s="537"/>
      <c r="G7385" s="198"/>
      <c r="H7385" s="123"/>
    </row>
    <row r="7386" spans="3:8" s="99" customFormat="1" x14ac:dyDescent="0.2">
      <c r="C7386" s="198"/>
      <c r="D7386" s="198"/>
      <c r="E7386" s="537"/>
      <c r="G7386" s="198"/>
      <c r="H7386" s="123"/>
    </row>
    <row r="7387" spans="3:8" s="99" customFormat="1" x14ac:dyDescent="0.2">
      <c r="C7387" s="198"/>
      <c r="D7387" s="198"/>
      <c r="E7387" s="537"/>
      <c r="G7387" s="198"/>
      <c r="H7387" s="123"/>
    </row>
    <row r="7388" spans="3:8" s="99" customFormat="1" x14ac:dyDescent="0.2">
      <c r="C7388" s="198"/>
      <c r="D7388" s="198"/>
      <c r="E7388" s="537"/>
      <c r="G7388" s="198"/>
      <c r="H7388" s="123"/>
    </row>
    <row r="7389" spans="3:8" s="99" customFormat="1" x14ac:dyDescent="0.2">
      <c r="C7389" s="198"/>
      <c r="D7389" s="198"/>
      <c r="E7389" s="537"/>
      <c r="G7389" s="198"/>
      <c r="H7389" s="123"/>
    </row>
    <row r="7390" spans="3:8" s="99" customFormat="1" x14ac:dyDescent="0.2">
      <c r="C7390" s="198"/>
      <c r="D7390" s="198"/>
      <c r="E7390" s="537"/>
      <c r="G7390" s="198"/>
      <c r="H7390" s="123"/>
    </row>
    <row r="7391" spans="3:8" s="99" customFormat="1" x14ac:dyDescent="0.2">
      <c r="C7391" s="198"/>
      <c r="D7391" s="198"/>
      <c r="E7391" s="537"/>
      <c r="G7391" s="198"/>
      <c r="H7391" s="123"/>
    </row>
    <row r="7392" spans="3:8" s="99" customFormat="1" x14ac:dyDescent="0.2">
      <c r="C7392" s="198"/>
      <c r="D7392" s="198"/>
      <c r="E7392" s="537"/>
      <c r="G7392" s="198"/>
      <c r="H7392" s="123"/>
    </row>
    <row r="7393" spans="3:8" s="99" customFormat="1" x14ac:dyDescent="0.2">
      <c r="C7393" s="198"/>
      <c r="D7393" s="198"/>
      <c r="E7393" s="537"/>
      <c r="G7393" s="198"/>
      <c r="H7393" s="123"/>
    </row>
    <row r="7394" spans="3:8" s="99" customFormat="1" x14ac:dyDescent="0.2">
      <c r="C7394" s="198"/>
      <c r="D7394" s="198"/>
      <c r="E7394" s="537"/>
      <c r="G7394" s="198"/>
      <c r="H7394" s="123"/>
    </row>
    <row r="7395" spans="3:8" s="99" customFormat="1" x14ac:dyDescent="0.2">
      <c r="C7395" s="198"/>
      <c r="D7395" s="198"/>
      <c r="E7395" s="537"/>
      <c r="G7395" s="198"/>
      <c r="H7395" s="123"/>
    </row>
    <row r="7396" spans="3:8" s="99" customFormat="1" x14ac:dyDescent="0.2">
      <c r="C7396" s="198"/>
      <c r="D7396" s="198"/>
      <c r="E7396" s="537"/>
      <c r="G7396" s="198"/>
      <c r="H7396" s="123"/>
    </row>
    <row r="7397" spans="3:8" s="99" customFormat="1" x14ac:dyDescent="0.2">
      <c r="C7397" s="198"/>
      <c r="D7397" s="198"/>
      <c r="E7397" s="537"/>
      <c r="G7397" s="198"/>
      <c r="H7397" s="123"/>
    </row>
    <row r="7398" spans="3:8" s="99" customFormat="1" x14ac:dyDescent="0.2">
      <c r="C7398" s="198"/>
      <c r="D7398" s="198"/>
      <c r="E7398" s="537"/>
      <c r="G7398" s="198"/>
      <c r="H7398" s="123"/>
    </row>
    <row r="7399" spans="3:8" s="99" customFormat="1" x14ac:dyDescent="0.2">
      <c r="C7399" s="198"/>
      <c r="D7399" s="198"/>
      <c r="E7399" s="537"/>
      <c r="G7399" s="198"/>
      <c r="H7399" s="123"/>
    </row>
    <row r="7400" spans="3:8" s="99" customFormat="1" x14ac:dyDescent="0.2">
      <c r="C7400" s="198"/>
      <c r="D7400" s="198"/>
      <c r="E7400" s="537"/>
      <c r="G7400" s="198"/>
      <c r="H7400" s="123"/>
    </row>
    <row r="7401" spans="3:8" s="99" customFormat="1" x14ac:dyDescent="0.2">
      <c r="C7401" s="198"/>
      <c r="D7401" s="198"/>
      <c r="E7401" s="537"/>
      <c r="G7401" s="198"/>
      <c r="H7401" s="123"/>
    </row>
    <row r="7402" spans="3:8" s="99" customFormat="1" x14ac:dyDescent="0.2">
      <c r="C7402" s="198"/>
      <c r="D7402" s="198"/>
      <c r="E7402" s="537"/>
      <c r="G7402" s="198"/>
      <c r="H7402" s="123"/>
    </row>
    <row r="7403" spans="3:8" s="99" customFormat="1" x14ac:dyDescent="0.2">
      <c r="C7403" s="198"/>
      <c r="D7403" s="198"/>
      <c r="E7403" s="537"/>
      <c r="G7403" s="198"/>
      <c r="H7403" s="123"/>
    </row>
    <row r="7404" spans="3:8" s="99" customFormat="1" x14ac:dyDescent="0.2">
      <c r="C7404" s="198"/>
      <c r="D7404" s="198"/>
      <c r="E7404" s="537"/>
      <c r="G7404" s="198"/>
      <c r="H7404" s="123"/>
    </row>
    <row r="7405" spans="3:8" s="99" customFormat="1" x14ac:dyDescent="0.2">
      <c r="C7405" s="198"/>
      <c r="D7405" s="198"/>
      <c r="E7405" s="537"/>
      <c r="G7405" s="198"/>
      <c r="H7405" s="123"/>
    </row>
    <row r="7406" spans="3:8" s="99" customFormat="1" x14ac:dyDescent="0.2">
      <c r="C7406" s="198"/>
      <c r="D7406" s="198"/>
      <c r="E7406" s="537"/>
      <c r="G7406" s="198"/>
      <c r="H7406" s="123"/>
    </row>
    <row r="7407" spans="3:8" s="99" customFormat="1" x14ac:dyDescent="0.2">
      <c r="C7407" s="198"/>
      <c r="D7407" s="198"/>
      <c r="E7407" s="537"/>
      <c r="G7407" s="198"/>
      <c r="H7407" s="123"/>
    </row>
    <row r="7408" spans="3:8" s="99" customFormat="1" x14ac:dyDescent="0.2">
      <c r="C7408" s="198"/>
      <c r="D7408" s="198"/>
      <c r="E7408" s="537"/>
      <c r="G7408" s="198"/>
      <c r="H7408" s="123"/>
    </row>
    <row r="7409" spans="3:8" s="99" customFormat="1" x14ac:dyDescent="0.2">
      <c r="C7409" s="198"/>
      <c r="D7409" s="198"/>
      <c r="E7409" s="537"/>
      <c r="G7409" s="198"/>
      <c r="H7409" s="123"/>
    </row>
    <row r="7410" spans="3:8" s="99" customFormat="1" x14ac:dyDescent="0.2">
      <c r="C7410" s="198"/>
      <c r="D7410" s="198"/>
      <c r="E7410" s="537"/>
      <c r="G7410" s="198"/>
      <c r="H7410" s="123"/>
    </row>
    <row r="7411" spans="3:8" s="99" customFormat="1" x14ac:dyDescent="0.2">
      <c r="C7411" s="198"/>
      <c r="D7411" s="198"/>
      <c r="E7411" s="537"/>
      <c r="G7411" s="198"/>
      <c r="H7411" s="123"/>
    </row>
    <row r="7412" spans="3:8" s="99" customFormat="1" x14ac:dyDescent="0.2">
      <c r="C7412" s="198"/>
      <c r="D7412" s="198"/>
      <c r="E7412" s="537"/>
      <c r="G7412" s="198"/>
      <c r="H7412" s="123"/>
    </row>
    <row r="7413" spans="3:8" s="99" customFormat="1" x14ac:dyDescent="0.2">
      <c r="C7413" s="198"/>
      <c r="D7413" s="198"/>
      <c r="E7413" s="537"/>
      <c r="G7413" s="198"/>
      <c r="H7413" s="123"/>
    </row>
    <row r="7414" spans="3:8" s="99" customFormat="1" x14ac:dyDescent="0.2">
      <c r="C7414" s="198"/>
      <c r="D7414" s="198"/>
      <c r="E7414" s="537"/>
      <c r="G7414" s="198"/>
      <c r="H7414" s="123"/>
    </row>
    <row r="7415" spans="3:8" s="99" customFormat="1" x14ac:dyDescent="0.2">
      <c r="C7415" s="198"/>
      <c r="D7415" s="198"/>
      <c r="E7415" s="537"/>
      <c r="G7415" s="198"/>
      <c r="H7415" s="123"/>
    </row>
    <row r="7416" spans="3:8" s="99" customFormat="1" x14ac:dyDescent="0.2">
      <c r="C7416" s="198"/>
      <c r="D7416" s="198"/>
      <c r="E7416" s="537"/>
      <c r="G7416" s="198"/>
      <c r="H7416" s="123"/>
    </row>
    <row r="7417" spans="3:8" s="99" customFormat="1" x14ac:dyDescent="0.2">
      <c r="C7417" s="198"/>
      <c r="D7417" s="198"/>
      <c r="E7417" s="537"/>
      <c r="G7417" s="198"/>
      <c r="H7417" s="123"/>
    </row>
    <row r="7418" spans="3:8" s="99" customFormat="1" x14ac:dyDescent="0.2">
      <c r="C7418" s="198"/>
      <c r="D7418" s="198"/>
      <c r="E7418" s="537"/>
      <c r="G7418" s="198"/>
      <c r="H7418" s="123"/>
    </row>
    <row r="7419" spans="3:8" s="99" customFormat="1" x14ac:dyDescent="0.2">
      <c r="C7419" s="198"/>
      <c r="D7419" s="198"/>
      <c r="E7419" s="537"/>
      <c r="G7419" s="198"/>
      <c r="H7419" s="123"/>
    </row>
    <row r="7420" spans="3:8" s="99" customFormat="1" x14ac:dyDescent="0.2">
      <c r="C7420" s="198"/>
      <c r="D7420" s="198"/>
      <c r="E7420" s="537"/>
      <c r="G7420" s="198"/>
      <c r="H7420" s="123"/>
    </row>
    <row r="7421" spans="3:8" s="99" customFormat="1" x14ac:dyDescent="0.2">
      <c r="C7421" s="198"/>
      <c r="D7421" s="198"/>
      <c r="E7421" s="537"/>
      <c r="G7421" s="198"/>
      <c r="H7421" s="123"/>
    </row>
    <row r="7422" spans="3:8" s="99" customFormat="1" x14ac:dyDescent="0.2">
      <c r="C7422" s="198"/>
      <c r="D7422" s="198"/>
      <c r="E7422" s="537"/>
      <c r="G7422" s="198"/>
      <c r="H7422" s="123"/>
    </row>
    <row r="7423" spans="3:8" s="99" customFormat="1" x14ac:dyDescent="0.2">
      <c r="C7423" s="198"/>
      <c r="D7423" s="198"/>
      <c r="E7423" s="537"/>
      <c r="G7423" s="198"/>
      <c r="H7423" s="123"/>
    </row>
    <row r="7424" spans="3:8" s="99" customFormat="1" x14ac:dyDescent="0.2">
      <c r="C7424" s="198"/>
      <c r="D7424" s="198"/>
      <c r="E7424" s="537"/>
      <c r="G7424" s="198"/>
      <c r="H7424" s="123"/>
    </row>
    <row r="7425" spans="3:8" s="99" customFormat="1" x14ac:dyDescent="0.2">
      <c r="C7425" s="198"/>
      <c r="D7425" s="198"/>
      <c r="E7425" s="537"/>
      <c r="G7425" s="198"/>
      <c r="H7425" s="123"/>
    </row>
    <row r="7426" spans="3:8" s="99" customFormat="1" x14ac:dyDescent="0.2">
      <c r="C7426" s="198"/>
      <c r="D7426" s="198"/>
      <c r="E7426" s="537"/>
      <c r="G7426" s="198"/>
      <c r="H7426" s="123"/>
    </row>
    <row r="7427" spans="3:8" s="99" customFormat="1" x14ac:dyDescent="0.2">
      <c r="C7427" s="198"/>
      <c r="D7427" s="198"/>
      <c r="E7427" s="537"/>
      <c r="G7427" s="198"/>
      <c r="H7427" s="123"/>
    </row>
    <row r="7428" spans="3:8" s="99" customFormat="1" x14ac:dyDescent="0.2">
      <c r="C7428" s="198"/>
      <c r="D7428" s="198"/>
      <c r="E7428" s="537"/>
      <c r="G7428" s="198"/>
      <c r="H7428" s="123"/>
    </row>
    <row r="7429" spans="3:8" s="99" customFormat="1" x14ac:dyDescent="0.2">
      <c r="C7429" s="198"/>
      <c r="D7429" s="198"/>
      <c r="E7429" s="537"/>
      <c r="G7429" s="198"/>
      <c r="H7429" s="123"/>
    </row>
    <row r="7430" spans="3:8" s="99" customFormat="1" x14ac:dyDescent="0.2">
      <c r="C7430" s="198"/>
      <c r="D7430" s="198"/>
      <c r="E7430" s="537"/>
      <c r="G7430" s="198"/>
      <c r="H7430" s="123"/>
    </row>
    <row r="7431" spans="3:8" s="99" customFormat="1" x14ac:dyDescent="0.2">
      <c r="C7431" s="198"/>
      <c r="D7431" s="198"/>
      <c r="E7431" s="537"/>
      <c r="G7431" s="198"/>
      <c r="H7431" s="123"/>
    </row>
    <row r="7432" spans="3:8" s="99" customFormat="1" x14ac:dyDescent="0.2">
      <c r="C7432" s="198"/>
      <c r="D7432" s="198"/>
      <c r="E7432" s="537"/>
      <c r="G7432" s="198"/>
      <c r="H7432" s="123"/>
    </row>
    <row r="7433" spans="3:8" s="99" customFormat="1" x14ac:dyDescent="0.2">
      <c r="C7433" s="198"/>
      <c r="D7433" s="198"/>
      <c r="E7433" s="537"/>
      <c r="G7433" s="198"/>
      <c r="H7433" s="123"/>
    </row>
    <row r="7434" spans="3:8" s="99" customFormat="1" x14ac:dyDescent="0.2">
      <c r="C7434" s="198"/>
      <c r="D7434" s="198"/>
      <c r="E7434" s="537"/>
      <c r="G7434" s="198"/>
      <c r="H7434" s="123"/>
    </row>
    <row r="7435" spans="3:8" s="99" customFormat="1" x14ac:dyDescent="0.2">
      <c r="C7435" s="198"/>
      <c r="D7435" s="198"/>
      <c r="E7435" s="537"/>
      <c r="G7435" s="198"/>
      <c r="H7435" s="123"/>
    </row>
    <row r="7436" spans="3:8" s="99" customFormat="1" x14ac:dyDescent="0.2">
      <c r="C7436" s="198"/>
      <c r="D7436" s="198"/>
      <c r="E7436" s="537"/>
      <c r="G7436" s="198"/>
      <c r="H7436" s="123"/>
    </row>
    <row r="7437" spans="3:8" s="99" customFormat="1" x14ac:dyDescent="0.2">
      <c r="C7437" s="198"/>
      <c r="D7437" s="198"/>
      <c r="E7437" s="537"/>
      <c r="G7437" s="198"/>
      <c r="H7437" s="123"/>
    </row>
    <row r="7438" spans="3:8" s="99" customFormat="1" x14ac:dyDescent="0.2">
      <c r="C7438" s="198"/>
      <c r="D7438" s="198"/>
      <c r="E7438" s="537"/>
      <c r="G7438" s="198"/>
      <c r="H7438" s="123"/>
    </row>
    <row r="7439" spans="3:8" s="99" customFormat="1" x14ac:dyDescent="0.2">
      <c r="C7439" s="198"/>
      <c r="D7439" s="198"/>
      <c r="E7439" s="537"/>
      <c r="G7439" s="198"/>
      <c r="H7439" s="123"/>
    </row>
    <row r="7440" spans="3:8" s="99" customFormat="1" x14ac:dyDescent="0.2">
      <c r="C7440" s="198"/>
      <c r="D7440" s="198"/>
      <c r="E7440" s="537"/>
      <c r="G7440" s="198"/>
      <c r="H7440" s="123"/>
    </row>
    <row r="7441" spans="3:8" s="99" customFormat="1" x14ac:dyDescent="0.2">
      <c r="C7441" s="198"/>
      <c r="D7441" s="198"/>
      <c r="E7441" s="537"/>
      <c r="G7441" s="198"/>
      <c r="H7441" s="123"/>
    </row>
    <row r="7442" spans="3:8" s="99" customFormat="1" x14ac:dyDescent="0.2">
      <c r="C7442" s="198"/>
      <c r="D7442" s="198"/>
      <c r="E7442" s="537"/>
      <c r="G7442" s="198"/>
      <c r="H7442" s="123"/>
    </row>
    <row r="7443" spans="3:8" s="99" customFormat="1" x14ac:dyDescent="0.2">
      <c r="C7443" s="198"/>
      <c r="D7443" s="198"/>
      <c r="E7443" s="537"/>
      <c r="G7443" s="198"/>
      <c r="H7443" s="123"/>
    </row>
    <row r="7444" spans="3:8" s="99" customFormat="1" x14ac:dyDescent="0.2">
      <c r="C7444" s="198"/>
      <c r="D7444" s="198"/>
      <c r="E7444" s="537"/>
      <c r="G7444" s="198"/>
      <c r="H7444" s="123"/>
    </row>
    <row r="7445" spans="3:8" s="99" customFormat="1" x14ac:dyDescent="0.2">
      <c r="C7445" s="198"/>
      <c r="D7445" s="198"/>
      <c r="E7445" s="537"/>
      <c r="G7445" s="198"/>
      <c r="H7445" s="123"/>
    </row>
    <row r="7446" spans="3:8" s="99" customFormat="1" x14ac:dyDescent="0.2">
      <c r="C7446" s="198"/>
      <c r="D7446" s="198"/>
      <c r="E7446" s="537"/>
      <c r="G7446" s="198"/>
      <c r="H7446" s="123"/>
    </row>
    <row r="7447" spans="3:8" s="99" customFormat="1" x14ac:dyDescent="0.2">
      <c r="C7447" s="198"/>
      <c r="D7447" s="198"/>
      <c r="E7447" s="537"/>
      <c r="G7447" s="198"/>
      <c r="H7447" s="123"/>
    </row>
    <row r="7448" spans="3:8" s="99" customFormat="1" x14ac:dyDescent="0.2">
      <c r="C7448" s="198"/>
      <c r="D7448" s="198"/>
      <c r="E7448" s="537"/>
      <c r="G7448" s="198"/>
      <c r="H7448" s="123"/>
    </row>
    <row r="7449" spans="3:8" s="99" customFormat="1" x14ac:dyDescent="0.2">
      <c r="C7449" s="198"/>
      <c r="D7449" s="198"/>
      <c r="E7449" s="537"/>
      <c r="G7449" s="198"/>
      <c r="H7449" s="123"/>
    </row>
    <row r="7450" spans="3:8" s="99" customFormat="1" x14ac:dyDescent="0.2">
      <c r="C7450" s="198"/>
      <c r="D7450" s="198"/>
      <c r="E7450" s="537"/>
      <c r="G7450" s="198"/>
      <c r="H7450" s="123"/>
    </row>
    <row r="7451" spans="3:8" s="99" customFormat="1" x14ac:dyDescent="0.2">
      <c r="C7451" s="198"/>
      <c r="D7451" s="198"/>
      <c r="E7451" s="537"/>
      <c r="G7451" s="198"/>
      <c r="H7451" s="123"/>
    </row>
    <row r="7452" spans="3:8" s="99" customFormat="1" x14ac:dyDescent="0.2">
      <c r="C7452" s="198"/>
      <c r="D7452" s="198"/>
      <c r="E7452" s="537"/>
      <c r="G7452" s="198"/>
      <c r="H7452" s="123"/>
    </row>
    <row r="7453" spans="3:8" s="99" customFormat="1" x14ac:dyDescent="0.2">
      <c r="C7453" s="198"/>
      <c r="D7453" s="198"/>
      <c r="E7453" s="537"/>
      <c r="G7453" s="198"/>
      <c r="H7453" s="123"/>
    </row>
    <row r="7454" spans="3:8" s="99" customFormat="1" x14ac:dyDescent="0.2">
      <c r="C7454" s="198"/>
      <c r="D7454" s="198"/>
      <c r="E7454" s="537"/>
      <c r="G7454" s="198"/>
      <c r="H7454" s="123"/>
    </row>
    <row r="7455" spans="3:8" s="99" customFormat="1" x14ac:dyDescent="0.2">
      <c r="C7455" s="198"/>
      <c r="D7455" s="198"/>
      <c r="E7455" s="537"/>
      <c r="G7455" s="198"/>
      <c r="H7455" s="123"/>
    </row>
    <row r="7456" spans="3:8" s="99" customFormat="1" x14ac:dyDescent="0.2">
      <c r="C7456" s="198"/>
      <c r="D7456" s="198"/>
      <c r="E7456" s="537"/>
      <c r="G7456" s="198"/>
      <c r="H7456" s="123"/>
    </row>
    <row r="7457" spans="3:8" s="99" customFormat="1" x14ac:dyDescent="0.2">
      <c r="C7457" s="198"/>
      <c r="D7457" s="198"/>
      <c r="E7457" s="537"/>
      <c r="G7457" s="198"/>
      <c r="H7457" s="123"/>
    </row>
    <row r="7458" spans="3:8" s="99" customFormat="1" x14ac:dyDescent="0.2">
      <c r="C7458" s="198"/>
      <c r="D7458" s="198"/>
      <c r="E7458" s="537"/>
      <c r="G7458" s="198"/>
      <c r="H7458" s="123"/>
    </row>
    <row r="7459" spans="3:8" s="99" customFormat="1" x14ac:dyDescent="0.2">
      <c r="C7459" s="198"/>
      <c r="D7459" s="198"/>
      <c r="E7459" s="537"/>
      <c r="G7459" s="198"/>
      <c r="H7459" s="123"/>
    </row>
    <row r="7460" spans="3:8" s="99" customFormat="1" x14ac:dyDescent="0.2">
      <c r="C7460" s="198"/>
      <c r="D7460" s="198"/>
      <c r="E7460" s="537"/>
      <c r="G7460" s="198"/>
      <c r="H7460" s="123"/>
    </row>
    <row r="7461" spans="3:8" s="99" customFormat="1" x14ac:dyDescent="0.2">
      <c r="C7461" s="198"/>
      <c r="D7461" s="198"/>
      <c r="E7461" s="537"/>
      <c r="G7461" s="198"/>
      <c r="H7461" s="123"/>
    </row>
    <row r="7462" spans="3:8" s="99" customFormat="1" x14ac:dyDescent="0.2">
      <c r="C7462" s="198"/>
      <c r="D7462" s="198"/>
      <c r="E7462" s="537"/>
      <c r="G7462" s="198"/>
      <c r="H7462" s="123"/>
    </row>
    <row r="7463" spans="3:8" s="99" customFormat="1" x14ac:dyDescent="0.2">
      <c r="C7463" s="198"/>
      <c r="D7463" s="198"/>
      <c r="E7463" s="537"/>
      <c r="G7463" s="198"/>
      <c r="H7463" s="123"/>
    </row>
    <row r="7464" spans="3:8" s="99" customFormat="1" x14ac:dyDescent="0.2">
      <c r="C7464" s="198"/>
      <c r="D7464" s="198"/>
      <c r="E7464" s="537"/>
      <c r="G7464" s="198"/>
      <c r="H7464" s="123"/>
    </row>
    <row r="7465" spans="3:8" s="99" customFormat="1" x14ac:dyDescent="0.2">
      <c r="C7465" s="198"/>
      <c r="D7465" s="198"/>
      <c r="E7465" s="537"/>
      <c r="G7465" s="198"/>
      <c r="H7465" s="123"/>
    </row>
    <row r="7466" spans="3:8" s="99" customFormat="1" x14ac:dyDescent="0.2">
      <c r="C7466" s="198"/>
      <c r="D7466" s="198"/>
      <c r="E7466" s="537"/>
      <c r="G7466" s="198"/>
      <c r="H7466" s="123"/>
    </row>
    <row r="7467" spans="3:8" s="99" customFormat="1" x14ac:dyDescent="0.2">
      <c r="C7467" s="198"/>
      <c r="D7467" s="198"/>
      <c r="E7467" s="537"/>
      <c r="G7467" s="198"/>
      <c r="H7467" s="123"/>
    </row>
    <row r="7468" spans="3:8" s="99" customFormat="1" x14ac:dyDescent="0.2">
      <c r="C7468" s="198"/>
      <c r="D7468" s="198"/>
      <c r="E7468" s="537"/>
      <c r="G7468" s="198"/>
      <c r="H7468" s="123"/>
    </row>
    <row r="7469" spans="3:8" s="99" customFormat="1" x14ac:dyDescent="0.2">
      <c r="C7469" s="198"/>
      <c r="D7469" s="198"/>
      <c r="E7469" s="537"/>
      <c r="G7469" s="198"/>
      <c r="H7469" s="123"/>
    </row>
    <row r="7470" spans="3:8" s="99" customFormat="1" x14ac:dyDescent="0.2">
      <c r="C7470" s="198"/>
      <c r="D7470" s="198"/>
      <c r="E7470" s="537"/>
      <c r="G7470" s="198"/>
      <c r="H7470" s="123"/>
    </row>
    <row r="7471" spans="3:8" s="99" customFormat="1" x14ac:dyDescent="0.2">
      <c r="C7471" s="198"/>
      <c r="D7471" s="198"/>
      <c r="E7471" s="537"/>
      <c r="G7471" s="198"/>
      <c r="H7471" s="123"/>
    </row>
    <row r="7472" spans="3:8" s="99" customFormat="1" x14ac:dyDescent="0.2">
      <c r="C7472" s="198"/>
      <c r="D7472" s="198"/>
      <c r="E7472" s="537"/>
      <c r="G7472" s="198"/>
      <c r="H7472" s="123"/>
    </row>
    <row r="7473" spans="3:8" s="99" customFormat="1" x14ac:dyDescent="0.2">
      <c r="C7473" s="198"/>
      <c r="D7473" s="198"/>
      <c r="E7473" s="537"/>
      <c r="G7473" s="198"/>
      <c r="H7473" s="123"/>
    </row>
    <row r="7474" spans="3:8" s="99" customFormat="1" x14ac:dyDescent="0.2">
      <c r="C7474" s="198"/>
      <c r="D7474" s="198"/>
      <c r="E7474" s="537"/>
      <c r="G7474" s="198"/>
      <c r="H7474" s="123"/>
    </row>
    <row r="7475" spans="3:8" s="99" customFormat="1" x14ac:dyDescent="0.2">
      <c r="C7475" s="198"/>
      <c r="D7475" s="198"/>
      <c r="E7475" s="537"/>
      <c r="G7475" s="198"/>
      <c r="H7475" s="123"/>
    </row>
    <row r="7476" spans="3:8" s="99" customFormat="1" x14ac:dyDescent="0.2">
      <c r="C7476" s="198"/>
      <c r="D7476" s="198"/>
      <c r="E7476" s="537"/>
      <c r="G7476" s="198"/>
      <c r="H7476" s="123"/>
    </row>
    <row r="7477" spans="3:8" s="99" customFormat="1" x14ac:dyDescent="0.2">
      <c r="C7477" s="198"/>
      <c r="D7477" s="198"/>
      <c r="E7477" s="537"/>
      <c r="G7477" s="198"/>
      <c r="H7477" s="123"/>
    </row>
    <row r="7478" spans="3:8" s="99" customFormat="1" x14ac:dyDescent="0.2">
      <c r="C7478" s="198"/>
      <c r="D7478" s="198"/>
      <c r="E7478" s="537"/>
      <c r="G7478" s="198"/>
      <c r="H7478" s="123"/>
    </row>
    <row r="7479" spans="3:8" s="99" customFormat="1" x14ac:dyDescent="0.2">
      <c r="C7479" s="198"/>
      <c r="D7479" s="198"/>
      <c r="E7479" s="537"/>
      <c r="G7479" s="198"/>
      <c r="H7479" s="123"/>
    </row>
    <row r="7480" spans="3:8" s="99" customFormat="1" x14ac:dyDescent="0.2">
      <c r="C7480" s="198"/>
      <c r="D7480" s="198"/>
      <c r="E7480" s="537"/>
      <c r="G7480" s="198"/>
      <c r="H7480" s="123"/>
    </row>
    <row r="7481" spans="3:8" s="99" customFormat="1" x14ac:dyDescent="0.2">
      <c r="C7481" s="198"/>
      <c r="D7481" s="198"/>
      <c r="E7481" s="537"/>
      <c r="G7481" s="198"/>
      <c r="H7481" s="123"/>
    </row>
    <row r="7482" spans="3:8" s="99" customFormat="1" x14ac:dyDescent="0.2">
      <c r="C7482" s="198"/>
      <c r="D7482" s="198"/>
      <c r="E7482" s="537"/>
      <c r="G7482" s="198"/>
      <c r="H7482" s="123"/>
    </row>
    <row r="7483" spans="3:8" s="99" customFormat="1" x14ac:dyDescent="0.2">
      <c r="C7483" s="198"/>
      <c r="D7483" s="198"/>
      <c r="E7483" s="537"/>
      <c r="G7483" s="198"/>
      <c r="H7483" s="123"/>
    </row>
    <row r="7484" spans="3:8" s="99" customFormat="1" x14ac:dyDescent="0.2">
      <c r="C7484" s="198"/>
      <c r="D7484" s="198"/>
      <c r="E7484" s="537"/>
      <c r="G7484" s="198"/>
      <c r="H7484" s="123"/>
    </row>
    <row r="7485" spans="3:8" s="99" customFormat="1" x14ac:dyDescent="0.2">
      <c r="C7485" s="198"/>
      <c r="D7485" s="198"/>
      <c r="E7485" s="537"/>
      <c r="G7485" s="198"/>
      <c r="H7485" s="123"/>
    </row>
    <row r="7486" spans="3:8" s="99" customFormat="1" x14ac:dyDescent="0.2">
      <c r="C7486" s="198"/>
      <c r="D7486" s="198"/>
      <c r="E7486" s="537"/>
      <c r="G7486" s="198"/>
      <c r="H7486" s="123"/>
    </row>
    <row r="7487" spans="3:8" s="99" customFormat="1" x14ac:dyDescent="0.2">
      <c r="C7487" s="198"/>
      <c r="D7487" s="198"/>
      <c r="E7487" s="537"/>
      <c r="G7487" s="198"/>
      <c r="H7487" s="123"/>
    </row>
    <row r="7488" spans="3:8" s="99" customFormat="1" x14ac:dyDescent="0.2">
      <c r="C7488" s="198"/>
      <c r="D7488" s="198"/>
      <c r="E7488" s="537"/>
      <c r="G7488" s="198"/>
      <c r="H7488" s="123"/>
    </row>
    <row r="7489" spans="3:8" s="99" customFormat="1" x14ac:dyDescent="0.2">
      <c r="C7489" s="198"/>
      <c r="D7489" s="198"/>
      <c r="E7489" s="537"/>
      <c r="G7489" s="198"/>
      <c r="H7489" s="123"/>
    </row>
    <row r="7490" spans="3:8" s="99" customFormat="1" x14ac:dyDescent="0.2">
      <c r="C7490" s="198"/>
      <c r="D7490" s="198"/>
      <c r="E7490" s="537"/>
      <c r="G7490" s="198"/>
      <c r="H7490" s="123"/>
    </row>
    <row r="7491" spans="3:8" s="99" customFormat="1" x14ac:dyDescent="0.2">
      <c r="C7491" s="198"/>
      <c r="D7491" s="198"/>
      <c r="E7491" s="537"/>
      <c r="G7491" s="198"/>
      <c r="H7491" s="123"/>
    </row>
    <row r="7492" spans="3:8" s="99" customFormat="1" x14ac:dyDescent="0.2">
      <c r="C7492" s="198"/>
      <c r="D7492" s="198"/>
      <c r="E7492" s="537"/>
      <c r="G7492" s="198"/>
      <c r="H7492" s="123"/>
    </row>
    <row r="7493" spans="3:8" s="99" customFormat="1" x14ac:dyDescent="0.2">
      <c r="C7493" s="198"/>
      <c r="D7493" s="198"/>
      <c r="E7493" s="537"/>
      <c r="G7493" s="198"/>
      <c r="H7493" s="123"/>
    </row>
    <row r="7494" spans="3:8" s="99" customFormat="1" x14ac:dyDescent="0.2">
      <c r="C7494" s="198"/>
      <c r="D7494" s="198"/>
      <c r="E7494" s="537"/>
      <c r="G7494" s="198"/>
      <c r="H7494" s="123"/>
    </row>
    <row r="7495" spans="3:8" s="99" customFormat="1" x14ac:dyDescent="0.2">
      <c r="C7495" s="198"/>
      <c r="D7495" s="198"/>
      <c r="E7495" s="537"/>
      <c r="G7495" s="198"/>
      <c r="H7495" s="123"/>
    </row>
    <row r="7496" spans="3:8" s="99" customFormat="1" x14ac:dyDescent="0.2">
      <c r="C7496" s="198"/>
      <c r="D7496" s="198"/>
      <c r="E7496" s="537"/>
      <c r="G7496" s="198"/>
      <c r="H7496" s="123"/>
    </row>
    <row r="7497" spans="3:8" s="99" customFormat="1" x14ac:dyDescent="0.2">
      <c r="C7497" s="198"/>
      <c r="D7497" s="198"/>
      <c r="E7497" s="537"/>
      <c r="G7497" s="198"/>
      <c r="H7497" s="123"/>
    </row>
    <row r="7498" spans="3:8" s="99" customFormat="1" x14ac:dyDescent="0.2">
      <c r="C7498" s="198"/>
      <c r="D7498" s="198"/>
      <c r="E7498" s="537"/>
      <c r="G7498" s="198"/>
      <c r="H7498" s="123"/>
    </row>
    <row r="7499" spans="3:8" s="99" customFormat="1" x14ac:dyDescent="0.2">
      <c r="C7499" s="198"/>
      <c r="D7499" s="198"/>
      <c r="E7499" s="537"/>
      <c r="G7499" s="198"/>
      <c r="H7499" s="123"/>
    </row>
    <row r="7500" spans="3:8" s="99" customFormat="1" x14ac:dyDescent="0.2">
      <c r="C7500" s="198"/>
      <c r="D7500" s="198"/>
      <c r="E7500" s="537"/>
      <c r="G7500" s="198"/>
      <c r="H7500" s="123"/>
    </row>
    <row r="7501" spans="3:8" s="99" customFormat="1" x14ac:dyDescent="0.2">
      <c r="C7501" s="198"/>
      <c r="D7501" s="198"/>
      <c r="E7501" s="537"/>
      <c r="G7501" s="198"/>
      <c r="H7501" s="123"/>
    </row>
    <row r="7502" spans="3:8" s="99" customFormat="1" x14ac:dyDescent="0.2">
      <c r="C7502" s="198"/>
      <c r="D7502" s="198"/>
      <c r="E7502" s="537"/>
      <c r="G7502" s="198"/>
      <c r="H7502" s="123"/>
    </row>
    <row r="7503" spans="3:8" s="99" customFormat="1" x14ac:dyDescent="0.2">
      <c r="C7503" s="198"/>
      <c r="D7503" s="198"/>
      <c r="E7503" s="537"/>
      <c r="G7503" s="198"/>
      <c r="H7503" s="123"/>
    </row>
    <row r="7504" spans="3:8" s="99" customFormat="1" x14ac:dyDescent="0.2">
      <c r="C7504" s="198"/>
      <c r="D7504" s="198"/>
      <c r="E7504" s="537"/>
      <c r="G7504" s="198"/>
      <c r="H7504" s="123"/>
    </row>
    <row r="7505" spans="3:8" s="99" customFormat="1" x14ac:dyDescent="0.2">
      <c r="C7505" s="198"/>
      <c r="D7505" s="198"/>
      <c r="E7505" s="537"/>
      <c r="G7505" s="198"/>
      <c r="H7505" s="123"/>
    </row>
    <row r="7506" spans="3:8" s="99" customFormat="1" x14ac:dyDescent="0.2">
      <c r="C7506" s="198"/>
      <c r="D7506" s="198"/>
      <c r="E7506" s="537"/>
      <c r="G7506" s="198"/>
      <c r="H7506" s="123"/>
    </row>
    <row r="7507" spans="3:8" s="99" customFormat="1" x14ac:dyDescent="0.2">
      <c r="C7507" s="198"/>
      <c r="D7507" s="198"/>
      <c r="E7507" s="537"/>
      <c r="G7507" s="198"/>
      <c r="H7507" s="123"/>
    </row>
    <row r="7508" spans="3:8" s="99" customFormat="1" x14ac:dyDescent="0.2">
      <c r="C7508" s="198"/>
      <c r="D7508" s="198"/>
      <c r="E7508" s="537"/>
      <c r="G7508" s="198"/>
      <c r="H7508" s="123"/>
    </row>
    <row r="7509" spans="3:8" s="99" customFormat="1" x14ac:dyDescent="0.2">
      <c r="C7509" s="198"/>
      <c r="D7509" s="198"/>
      <c r="E7509" s="537"/>
      <c r="G7509" s="198"/>
      <c r="H7509" s="123"/>
    </row>
    <row r="7510" spans="3:8" s="99" customFormat="1" x14ac:dyDescent="0.2">
      <c r="C7510" s="198"/>
      <c r="D7510" s="198"/>
      <c r="E7510" s="537"/>
      <c r="G7510" s="198"/>
      <c r="H7510" s="123"/>
    </row>
    <row r="7511" spans="3:8" s="99" customFormat="1" x14ac:dyDescent="0.2">
      <c r="C7511" s="198"/>
      <c r="D7511" s="198"/>
      <c r="E7511" s="537"/>
      <c r="G7511" s="198"/>
      <c r="H7511" s="123"/>
    </row>
    <row r="7512" spans="3:8" s="99" customFormat="1" x14ac:dyDescent="0.2">
      <c r="C7512" s="198"/>
      <c r="D7512" s="198"/>
      <c r="E7512" s="537"/>
      <c r="G7512" s="198"/>
      <c r="H7512" s="123"/>
    </row>
    <row r="7513" spans="3:8" s="99" customFormat="1" x14ac:dyDescent="0.2">
      <c r="C7513" s="198"/>
      <c r="D7513" s="198"/>
      <c r="E7513" s="537"/>
      <c r="G7513" s="198"/>
      <c r="H7513" s="123"/>
    </row>
    <row r="7514" spans="3:8" s="99" customFormat="1" x14ac:dyDescent="0.2">
      <c r="C7514" s="198"/>
      <c r="D7514" s="198"/>
      <c r="E7514" s="537"/>
      <c r="G7514" s="198"/>
      <c r="H7514" s="123"/>
    </row>
    <row r="7515" spans="3:8" s="99" customFormat="1" x14ac:dyDescent="0.2">
      <c r="C7515" s="198"/>
      <c r="D7515" s="198"/>
      <c r="E7515" s="537"/>
      <c r="G7515" s="198"/>
      <c r="H7515" s="123"/>
    </row>
    <row r="7516" spans="3:8" s="99" customFormat="1" x14ac:dyDescent="0.2">
      <c r="C7516" s="198"/>
      <c r="D7516" s="198"/>
      <c r="E7516" s="537"/>
      <c r="G7516" s="198"/>
      <c r="H7516" s="123"/>
    </row>
    <row r="7517" spans="3:8" s="99" customFormat="1" x14ac:dyDescent="0.2">
      <c r="C7517" s="198"/>
      <c r="D7517" s="198"/>
      <c r="E7517" s="537"/>
      <c r="G7517" s="198"/>
      <c r="H7517" s="123"/>
    </row>
    <row r="7518" spans="3:8" s="99" customFormat="1" x14ac:dyDescent="0.2">
      <c r="C7518" s="198"/>
      <c r="D7518" s="198"/>
      <c r="E7518" s="537"/>
      <c r="G7518" s="198"/>
      <c r="H7518" s="123"/>
    </row>
    <row r="7519" spans="3:8" s="99" customFormat="1" x14ac:dyDescent="0.2">
      <c r="C7519" s="198"/>
      <c r="D7519" s="198"/>
      <c r="E7519" s="537"/>
      <c r="G7519" s="198"/>
      <c r="H7519" s="123"/>
    </row>
    <row r="7520" spans="3:8" s="99" customFormat="1" x14ac:dyDescent="0.2">
      <c r="C7520" s="198"/>
      <c r="D7520" s="198"/>
      <c r="E7520" s="537"/>
      <c r="G7520" s="198"/>
      <c r="H7520" s="123"/>
    </row>
    <row r="7521" spans="3:8" s="99" customFormat="1" x14ac:dyDescent="0.2">
      <c r="C7521" s="198"/>
      <c r="D7521" s="198"/>
      <c r="E7521" s="537"/>
      <c r="G7521" s="198"/>
      <c r="H7521" s="123"/>
    </row>
    <row r="7522" spans="3:8" s="99" customFormat="1" x14ac:dyDescent="0.2">
      <c r="C7522" s="198"/>
      <c r="D7522" s="198"/>
      <c r="E7522" s="537"/>
      <c r="G7522" s="198"/>
      <c r="H7522" s="123"/>
    </row>
    <row r="7523" spans="3:8" s="99" customFormat="1" x14ac:dyDescent="0.2">
      <c r="C7523" s="198"/>
      <c r="D7523" s="198"/>
      <c r="E7523" s="537"/>
      <c r="G7523" s="198"/>
      <c r="H7523" s="123"/>
    </row>
    <row r="7524" spans="3:8" s="99" customFormat="1" x14ac:dyDescent="0.2">
      <c r="C7524" s="198"/>
      <c r="D7524" s="198"/>
      <c r="E7524" s="537"/>
      <c r="G7524" s="198"/>
      <c r="H7524" s="123"/>
    </row>
    <row r="7525" spans="3:8" s="99" customFormat="1" x14ac:dyDescent="0.2">
      <c r="C7525" s="198"/>
      <c r="D7525" s="198"/>
      <c r="E7525" s="537"/>
      <c r="G7525" s="198"/>
      <c r="H7525" s="123"/>
    </row>
    <row r="7526" spans="3:8" s="99" customFormat="1" x14ac:dyDescent="0.2">
      <c r="C7526" s="198"/>
      <c r="D7526" s="198"/>
      <c r="E7526" s="537"/>
      <c r="G7526" s="198"/>
      <c r="H7526" s="123"/>
    </row>
    <row r="7527" spans="3:8" s="99" customFormat="1" x14ac:dyDescent="0.2">
      <c r="C7527" s="198"/>
      <c r="D7527" s="198"/>
      <c r="E7527" s="537"/>
      <c r="G7527" s="198"/>
      <c r="H7527" s="123"/>
    </row>
    <row r="7528" spans="3:8" s="99" customFormat="1" x14ac:dyDescent="0.2">
      <c r="C7528" s="198"/>
      <c r="D7528" s="198"/>
      <c r="E7528" s="537"/>
      <c r="G7528" s="198"/>
      <c r="H7528" s="123"/>
    </row>
    <row r="7529" spans="3:8" s="99" customFormat="1" x14ac:dyDescent="0.2">
      <c r="C7529" s="198"/>
      <c r="D7529" s="198"/>
      <c r="E7529" s="537"/>
      <c r="G7529" s="198"/>
      <c r="H7529" s="123"/>
    </row>
    <row r="7530" spans="3:8" s="99" customFormat="1" x14ac:dyDescent="0.2">
      <c r="C7530" s="198"/>
      <c r="D7530" s="198"/>
      <c r="E7530" s="537"/>
      <c r="G7530" s="198"/>
      <c r="H7530" s="123"/>
    </row>
    <row r="7531" spans="3:8" s="99" customFormat="1" x14ac:dyDescent="0.2">
      <c r="C7531" s="198"/>
      <c r="D7531" s="198"/>
      <c r="E7531" s="537"/>
      <c r="G7531" s="198"/>
      <c r="H7531" s="123"/>
    </row>
    <row r="7532" spans="3:8" s="99" customFormat="1" x14ac:dyDescent="0.2">
      <c r="C7532" s="198"/>
      <c r="D7532" s="198"/>
      <c r="E7532" s="537"/>
      <c r="G7532" s="198"/>
      <c r="H7532" s="123"/>
    </row>
    <row r="7533" spans="3:8" s="99" customFormat="1" x14ac:dyDescent="0.2">
      <c r="C7533" s="198"/>
      <c r="D7533" s="198"/>
      <c r="E7533" s="537"/>
      <c r="G7533" s="198"/>
      <c r="H7533" s="123"/>
    </row>
    <row r="7534" spans="3:8" s="99" customFormat="1" x14ac:dyDescent="0.2">
      <c r="C7534" s="198"/>
      <c r="D7534" s="198"/>
      <c r="E7534" s="537"/>
      <c r="G7534" s="198"/>
      <c r="H7534" s="123"/>
    </row>
    <row r="7535" spans="3:8" s="99" customFormat="1" x14ac:dyDescent="0.2">
      <c r="C7535" s="198"/>
      <c r="D7535" s="198"/>
      <c r="E7535" s="537"/>
      <c r="G7535" s="198"/>
      <c r="H7535" s="123"/>
    </row>
    <row r="7536" spans="3:8" s="99" customFormat="1" x14ac:dyDescent="0.2">
      <c r="C7536" s="198"/>
      <c r="D7536" s="198"/>
      <c r="E7536" s="537"/>
      <c r="G7536" s="198"/>
      <c r="H7536" s="123"/>
    </row>
    <row r="7537" spans="3:8" s="99" customFormat="1" x14ac:dyDescent="0.2">
      <c r="C7537" s="198"/>
      <c r="D7537" s="198"/>
      <c r="E7537" s="537"/>
      <c r="G7537" s="198"/>
      <c r="H7537" s="123"/>
    </row>
    <row r="7538" spans="3:8" s="99" customFormat="1" x14ac:dyDescent="0.2">
      <c r="C7538" s="198"/>
      <c r="D7538" s="198"/>
      <c r="E7538" s="537"/>
      <c r="G7538" s="198"/>
      <c r="H7538" s="123"/>
    </row>
    <row r="7539" spans="3:8" s="99" customFormat="1" x14ac:dyDescent="0.2">
      <c r="C7539" s="198"/>
      <c r="D7539" s="198"/>
      <c r="E7539" s="537"/>
      <c r="G7539" s="198"/>
      <c r="H7539" s="123"/>
    </row>
    <row r="7540" spans="3:8" s="99" customFormat="1" x14ac:dyDescent="0.2">
      <c r="C7540" s="198"/>
      <c r="D7540" s="198"/>
      <c r="E7540" s="537"/>
      <c r="G7540" s="198"/>
      <c r="H7540" s="123"/>
    </row>
    <row r="7541" spans="3:8" s="99" customFormat="1" x14ac:dyDescent="0.2">
      <c r="C7541" s="198"/>
      <c r="D7541" s="198"/>
      <c r="E7541" s="537"/>
      <c r="G7541" s="198"/>
      <c r="H7541" s="123"/>
    </row>
    <row r="7542" spans="3:8" s="99" customFormat="1" x14ac:dyDescent="0.2">
      <c r="C7542" s="198"/>
      <c r="D7542" s="198"/>
      <c r="E7542" s="537"/>
      <c r="G7542" s="198"/>
      <c r="H7542" s="123"/>
    </row>
    <row r="7543" spans="3:8" s="99" customFormat="1" x14ac:dyDescent="0.2">
      <c r="C7543" s="198"/>
      <c r="D7543" s="198"/>
      <c r="E7543" s="537"/>
      <c r="G7543" s="198"/>
      <c r="H7543" s="123"/>
    </row>
    <row r="7544" spans="3:8" s="99" customFormat="1" x14ac:dyDescent="0.2">
      <c r="C7544" s="198"/>
      <c r="D7544" s="198"/>
      <c r="E7544" s="537"/>
      <c r="G7544" s="198"/>
      <c r="H7544" s="123"/>
    </row>
    <row r="7545" spans="3:8" s="99" customFormat="1" x14ac:dyDescent="0.2">
      <c r="C7545" s="198"/>
      <c r="D7545" s="198"/>
      <c r="E7545" s="537"/>
      <c r="G7545" s="198"/>
      <c r="H7545" s="123"/>
    </row>
    <row r="7546" spans="3:8" s="99" customFormat="1" x14ac:dyDescent="0.2">
      <c r="C7546" s="198"/>
      <c r="D7546" s="198"/>
      <c r="E7546" s="537"/>
      <c r="G7546" s="198"/>
      <c r="H7546" s="123"/>
    </row>
    <row r="7547" spans="3:8" s="99" customFormat="1" x14ac:dyDescent="0.2">
      <c r="C7547" s="198"/>
      <c r="D7547" s="198"/>
      <c r="E7547" s="537"/>
      <c r="G7547" s="198"/>
      <c r="H7547" s="123"/>
    </row>
    <row r="7548" spans="3:8" s="99" customFormat="1" x14ac:dyDescent="0.2">
      <c r="C7548" s="198"/>
      <c r="D7548" s="198"/>
      <c r="E7548" s="537"/>
      <c r="G7548" s="198"/>
      <c r="H7548" s="123"/>
    </row>
    <row r="7549" spans="3:8" s="99" customFormat="1" x14ac:dyDescent="0.2">
      <c r="C7549" s="198"/>
      <c r="D7549" s="198"/>
      <c r="E7549" s="537"/>
      <c r="G7549" s="198"/>
      <c r="H7549" s="123"/>
    </row>
    <row r="7550" spans="3:8" s="99" customFormat="1" x14ac:dyDescent="0.2">
      <c r="C7550" s="198"/>
      <c r="D7550" s="198"/>
      <c r="E7550" s="537"/>
      <c r="G7550" s="198"/>
      <c r="H7550" s="123"/>
    </row>
    <row r="7551" spans="3:8" s="99" customFormat="1" x14ac:dyDescent="0.2">
      <c r="C7551" s="198"/>
      <c r="D7551" s="198"/>
      <c r="E7551" s="537"/>
      <c r="G7551" s="198"/>
      <c r="H7551" s="123"/>
    </row>
    <row r="7552" spans="3:8" s="99" customFormat="1" x14ac:dyDescent="0.2">
      <c r="C7552" s="198"/>
      <c r="D7552" s="198"/>
      <c r="E7552" s="537"/>
      <c r="G7552" s="198"/>
      <c r="H7552" s="123"/>
    </row>
    <row r="7553" spans="3:8" s="99" customFormat="1" x14ac:dyDescent="0.2">
      <c r="C7553" s="198"/>
      <c r="D7553" s="198"/>
      <c r="E7553" s="537"/>
      <c r="G7553" s="198"/>
      <c r="H7553" s="123"/>
    </row>
    <row r="7554" spans="3:8" s="99" customFormat="1" x14ac:dyDescent="0.2">
      <c r="C7554" s="198"/>
      <c r="D7554" s="198"/>
      <c r="E7554" s="537"/>
      <c r="G7554" s="198"/>
      <c r="H7554" s="123"/>
    </row>
    <row r="7555" spans="3:8" s="99" customFormat="1" x14ac:dyDescent="0.2">
      <c r="C7555" s="198"/>
      <c r="D7555" s="198"/>
      <c r="E7555" s="537"/>
      <c r="G7555" s="198"/>
      <c r="H7555" s="123"/>
    </row>
    <row r="7556" spans="3:8" s="99" customFormat="1" x14ac:dyDescent="0.2">
      <c r="C7556" s="198"/>
      <c r="D7556" s="198"/>
      <c r="E7556" s="537"/>
      <c r="G7556" s="198"/>
      <c r="H7556" s="123"/>
    </row>
    <row r="7557" spans="3:8" s="99" customFormat="1" x14ac:dyDescent="0.2">
      <c r="C7557" s="198"/>
      <c r="D7557" s="198"/>
      <c r="E7557" s="537"/>
      <c r="G7557" s="198"/>
      <c r="H7557" s="123"/>
    </row>
    <row r="7558" spans="3:8" s="99" customFormat="1" x14ac:dyDescent="0.2">
      <c r="C7558" s="198"/>
      <c r="D7558" s="198"/>
      <c r="E7558" s="537"/>
      <c r="G7558" s="198"/>
      <c r="H7558" s="123"/>
    </row>
    <row r="7559" spans="3:8" s="99" customFormat="1" x14ac:dyDescent="0.2">
      <c r="C7559" s="198"/>
      <c r="D7559" s="198"/>
      <c r="E7559" s="537"/>
      <c r="G7559" s="198"/>
      <c r="H7559" s="123"/>
    </row>
    <row r="7560" spans="3:8" s="99" customFormat="1" x14ac:dyDescent="0.2">
      <c r="C7560" s="198"/>
      <c r="D7560" s="198"/>
      <c r="E7560" s="537"/>
      <c r="G7560" s="198"/>
      <c r="H7560" s="123"/>
    </row>
    <row r="7561" spans="3:8" s="99" customFormat="1" x14ac:dyDescent="0.2">
      <c r="C7561" s="198"/>
      <c r="D7561" s="198"/>
      <c r="E7561" s="537"/>
      <c r="G7561" s="198"/>
      <c r="H7561" s="123"/>
    </row>
    <row r="7562" spans="3:8" s="99" customFormat="1" x14ac:dyDescent="0.2">
      <c r="C7562" s="198"/>
      <c r="D7562" s="198"/>
      <c r="E7562" s="537"/>
      <c r="G7562" s="198"/>
      <c r="H7562" s="123"/>
    </row>
    <row r="7563" spans="3:8" s="99" customFormat="1" x14ac:dyDescent="0.2">
      <c r="C7563" s="198"/>
      <c r="D7563" s="198"/>
      <c r="E7563" s="537"/>
      <c r="G7563" s="198"/>
      <c r="H7563" s="123"/>
    </row>
    <row r="7564" spans="3:8" s="99" customFormat="1" x14ac:dyDescent="0.2">
      <c r="C7564" s="198"/>
      <c r="D7564" s="198"/>
      <c r="E7564" s="537"/>
      <c r="G7564" s="198"/>
      <c r="H7564" s="123"/>
    </row>
    <row r="7565" spans="3:8" s="99" customFormat="1" x14ac:dyDescent="0.2">
      <c r="C7565" s="198"/>
      <c r="D7565" s="198"/>
      <c r="E7565" s="537"/>
      <c r="G7565" s="198"/>
      <c r="H7565" s="123"/>
    </row>
    <row r="7566" spans="3:8" s="99" customFormat="1" x14ac:dyDescent="0.2">
      <c r="C7566" s="198"/>
      <c r="D7566" s="198"/>
      <c r="E7566" s="537"/>
      <c r="G7566" s="198"/>
      <c r="H7566" s="123"/>
    </row>
    <row r="7567" spans="3:8" s="99" customFormat="1" x14ac:dyDescent="0.2">
      <c r="C7567" s="198"/>
      <c r="D7567" s="198"/>
      <c r="E7567" s="537"/>
      <c r="G7567" s="198"/>
      <c r="H7567" s="123"/>
    </row>
    <row r="7568" spans="3:8" s="99" customFormat="1" x14ac:dyDescent="0.2">
      <c r="C7568" s="198"/>
      <c r="D7568" s="198"/>
      <c r="E7568" s="537"/>
      <c r="G7568" s="198"/>
      <c r="H7568" s="123"/>
    </row>
    <row r="7569" spans="3:8" s="99" customFormat="1" x14ac:dyDescent="0.2">
      <c r="C7569" s="198"/>
      <c r="D7569" s="198"/>
      <c r="E7569" s="537"/>
      <c r="G7569" s="198"/>
      <c r="H7569" s="123"/>
    </row>
    <row r="7570" spans="3:8" s="99" customFormat="1" x14ac:dyDescent="0.2">
      <c r="C7570" s="198"/>
      <c r="D7570" s="198"/>
      <c r="E7570" s="537"/>
      <c r="G7570" s="198"/>
      <c r="H7570" s="123"/>
    </row>
    <row r="7571" spans="3:8" s="99" customFormat="1" x14ac:dyDescent="0.2">
      <c r="C7571" s="198"/>
      <c r="D7571" s="198"/>
      <c r="E7571" s="537"/>
      <c r="G7571" s="198"/>
      <c r="H7571" s="123"/>
    </row>
    <row r="7572" spans="3:8" s="99" customFormat="1" x14ac:dyDescent="0.2">
      <c r="C7572" s="198"/>
      <c r="D7572" s="198"/>
      <c r="E7572" s="537"/>
      <c r="G7572" s="198"/>
      <c r="H7572" s="123"/>
    </row>
    <row r="7573" spans="3:8" s="99" customFormat="1" x14ac:dyDescent="0.2">
      <c r="C7573" s="198"/>
      <c r="D7573" s="198"/>
      <c r="E7573" s="537"/>
      <c r="G7573" s="198"/>
      <c r="H7573" s="123"/>
    </row>
    <row r="7574" spans="3:8" s="99" customFormat="1" x14ac:dyDescent="0.2">
      <c r="C7574" s="198"/>
      <c r="D7574" s="198"/>
      <c r="E7574" s="537"/>
      <c r="G7574" s="198"/>
      <c r="H7574" s="123"/>
    </row>
    <row r="7575" spans="3:8" s="99" customFormat="1" x14ac:dyDescent="0.2">
      <c r="C7575" s="198"/>
      <c r="D7575" s="198"/>
      <c r="E7575" s="537"/>
      <c r="G7575" s="198"/>
      <c r="H7575" s="123"/>
    </row>
    <row r="7576" spans="3:8" s="99" customFormat="1" x14ac:dyDescent="0.2">
      <c r="C7576" s="198"/>
      <c r="D7576" s="198"/>
      <c r="E7576" s="537"/>
      <c r="G7576" s="198"/>
      <c r="H7576" s="123"/>
    </row>
    <row r="7577" spans="3:8" s="99" customFormat="1" x14ac:dyDescent="0.2">
      <c r="C7577" s="198"/>
      <c r="D7577" s="198"/>
      <c r="E7577" s="537"/>
      <c r="G7577" s="198"/>
      <c r="H7577" s="123"/>
    </row>
    <row r="7578" spans="3:8" s="99" customFormat="1" x14ac:dyDescent="0.2">
      <c r="C7578" s="198"/>
      <c r="D7578" s="198"/>
      <c r="E7578" s="537"/>
      <c r="G7578" s="198"/>
      <c r="H7578" s="123"/>
    </row>
    <row r="7579" spans="3:8" s="99" customFormat="1" x14ac:dyDescent="0.2">
      <c r="C7579" s="198"/>
      <c r="D7579" s="198"/>
      <c r="E7579" s="537"/>
      <c r="G7579" s="198"/>
      <c r="H7579" s="123"/>
    </row>
    <row r="7580" spans="3:8" s="99" customFormat="1" x14ac:dyDescent="0.2">
      <c r="C7580" s="198"/>
      <c r="D7580" s="198"/>
      <c r="E7580" s="537"/>
      <c r="G7580" s="198"/>
      <c r="H7580" s="123"/>
    </row>
    <row r="7581" spans="3:8" s="99" customFormat="1" x14ac:dyDescent="0.2">
      <c r="C7581" s="198"/>
      <c r="D7581" s="198"/>
      <c r="E7581" s="537"/>
      <c r="G7581" s="198"/>
      <c r="H7581" s="123"/>
    </row>
    <row r="7582" spans="3:8" s="99" customFormat="1" x14ac:dyDescent="0.2">
      <c r="C7582" s="198"/>
      <c r="D7582" s="198"/>
      <c r="E7582" s="537"/>
      <c r="G7582" s="198"/>
      <c r="H7582" s="123"/>
    </row>
    <row r="7583" spans="3:8" s="99" customFormat="1" x14ac:dyDescent="0.2">
      <c r="C7583" s="198"/>
      <c r="D7583" s="198"/>
      <c r="E7583" s="537"/>
      <c r="G7583" s="198"/>
      <c r="H7583" s="123"/>
    </row>
    <row r="7584" spans="3:8" s="99" customFormat="1" x14ac:dyDescent="0.2">
      <c r="C7584" s="198"/>
      <c r="D7584" s="198"/>
      <c r="E7584" s="537"/>
      <c r="G7584" s="198"/>
      <c r="H7584" s="123"/>
    </row>
    <row r="7585" spans="3:8" s="99" customFormat="1" x14ac:dyDescent="0.2">
      <c r="C7585" s="198"/>
      <c r="D7585" s="198"/>
      <c r="E7585" s="537"/>
      <c r="G7585" s="198"/>
      <c r="H7585" s="123"/>
    </row>
    <row r="7586" spans="3:8" s="99" customFormat="1" x14ac:dyDescent="0.2">
      <c r="C7586" s="198"/>
      <c r="D7586" s="198"/>
      <c r="E7586" s="537"/>
      <c r="G7586" s="198"/>
      <c r="H7586" s="123"/>
    </row>
    <row r="7587" spans="3:8" s="99" customFormat="1" x14ac:dyDescent="0.2">
      <c r="C7587" s="198"/>
      <c r="D7587" s="198"/>
      <c r="E7587" s="537"/>
      <c r="G7587" s="198"/>
      <c r="H7587" s="123"/>
    </row>
    <row r="7588" spans="3:8" s="99" customFormat="1" x14ac:dyDescent="0.2">
      <c r="C7588" s="198"/>
      <c r="D7588" s="198"/>
      <c r="E7588" s="537"/>
      <c r="G7588" s="198"/>
      <c r="H7588" s="123"/>
    </row>
    <row r="7589" spans="3:8" s="99" customFormat="1" x14ac:dyDescent="0.2">
      <c r="C7589" s="198"/>
      <c r="D7589" s="198"/>
      <c r="E7589" s="537"/>
      <c r="G7589" s="198"/>
      <c r="H7589" s="123"/>
    </row>
    <row r="7590" spans="3:8" s="99" customFormat="1" x14ac:dyDescent="0.2">
      <c r="C7590" s="198"/>
      <c r="D7590" s="198"/>
      <c r="E7590" s="537"/>
      <c r="G7590" s="198"/>
      <c r="H7590" s="123"/>
    </row>
    <row r="7591" spans="3:8" s="99" customFormat="1" x14ac:dyDescent="0.2">
      <c r="C7591" s="198"/>
      <c r="D7591" s="198"/>
      <c r="E7591" s="537"/>
      <c r="G7591" s="198"/>
      <c r="H7591" s="123"/>
    </row>
    <row r="7592" spans="3:8" s="99" customFormat="1" x14ac:dyDescent="0.2">
      <c r="C7592" s="198"/>
      <c r="D7592" s="198"/>
      <c r="E7592" s="537"/>
      <c r="G7592" s="198"/>
      <c r="H7592" s="123"/>
    </row>
    <row r="7593" spans="3:8" s="99" customFormat="1" x14ac:dyDescent="0.2">
      <c r="C7593" s="198"/>
      <c r="D7593" s="198"/>
      <c r="E7593" s="537"/>
      <c r="G7593" s="198"/>
      <c r="H7593" s="123"/>
    </row>
    <row r="7594" spans="3:8" s="99" customFormat="1" x14ac:dyDescent="0.2">
      <c r="C7594" s="198"/>
      <c r="D7594" s="198"/>
      <c r="E7594" s="537"/>
      <c r="G7594" s="198"/>
      <c r="H7594" s="123"/>
    </row>
    <row r="7595" spans="3:8" s="99" customFormat="1" x14ac:dyDescent="0.2">
      <c r="C7595" s="198"/>
      <c r="D7595" s="198"/>
      <c r="E7595" s="537"/>
      <c r="G7595" s="198"/>
      <c r="H7595" s="123"/>
    </row>
    <row r="7596" spans="3:8" s="99" customFormat="1" x14ac:dyDescent="0.2">
      <c r="C7596" s="198"/>
      <c r="D7596" s="198"/>
      <c r="E7596" s="537"/>
      <c r="G7596" s="198"/>
      <c r="H7596" s="123"/>
    </row>
    <row r="7597" spans="3:8" s="99" customFormat="1" x14ac:dyDescent="0.2">
      <c r="C7597" s="198"/>
      <c r="D7597" s="198"/>
      <c r="E7597" s="537"/>
      <c r="G7597" s="198"/>
      <c r="H7597" s="123"/>
    </row>
    <row r="7598" spans="3:8" s="99" customFormat="1" x14ac:dyDescent="0.2">
      <c r="C7598" s="198"/>
      <c r="D7598" s="198"/>
      <c r="E7598" s="537"/>
      <c r="G7598" s="198"/>
      <c r="H7598" s="123"/>
    </row>
    <row r="7599" spans="3:8" s="99" customFormat="1" x14ac:dyDescent="0.2">
      <c r="C7599" s="198"/>
      <c r="D7599" s="198"/>
      <c r="E7599" s="537"/>
      <c r="G7599" s="198"/>
      <c r="H7599" s="123"/>
    </row>
    <row r="7600" spans="3:8" s="99" customFormat="1" x14ac:dyDescent="0.2">
      <c r="C7600" s="198"/>
      <c r="D7600" s="198"/>
      <c r="E7600" s="537"/>
      <c r="G7600" s="198"/>
      <c r="H7600" s="123"/>
    </row>
    <row r="7601" spans="3:8" s="99" customFormat="1" x14ac:dyDescent="0.2">
      <c r="C7601" s="198"/>
      <c r="D7601" s="198"/>
      <c r="E7601" s="537"/>
      <c r="G7601" s="198"/>
      <c r="H7601" s="123"/>
    </row>
    <row r="7602" spans="3:8" s="99" customFormat="1" x14ac:dyDescent="0.2">
      <c r="C7602" s="198"/>
      <c r="D7602" s="198"/>
      <c r="E7602" s="537"/>
      <c r="G7602" s="198"/>
      <c r="H7602" s="123"/>
    </row>
    <row r="7603" spans="3:8" s="99" customFormat="1" x14ac:dyDescent="0.2">
      <c r="C7603" s="198"/>
      <c r="D7603" s="198"/>
      <c r="E7603" s="537"/>
      <c r="G7603" s="198"/>
      <c r="H7603" s="123"/>
    </row>
    <row r="7604" spans="3:8" s="99" customFormat="1" x14ac:dyDescent="0.2">
      <c r="C7604" s="198"/>
      <c r="D7604" s="198"/>
      <c r="E7604" s="537"/>
      <c r="G7604" s="198"/>
      <c r="H7604" s="123"/>
    </row>
    <row r="7605" spans="3:8" s="99" customFormat="1" x14ac:dyDescent="0.2">
      <c r="C7605" s="198"/>
      <c r="D7605" s="198"/>
      <c r="E7605" s="537"/>
      <c r="G7605" s="198"/>
      <c r="H7605" s="123"/>
    </row>
    <row r="7606" spans="3:8" s="99" customFormat="1" x14ac:dyDescent="0.2">
      <c r="C7606" s="198"/>
      <c r="D7606" s="198"/>
      <c r="E7606" s="537"/>
      <c r="G7606" s="198"/>
      <c r="H7606" s="123"/>
    </row>
    <row r="7607" spans="3:8" s="99" customFormat="1" x14ac:dyDescent="0.2">
      <c r="C7607" s="198"/>
      <c r="D7607" s="198"/>
      <c r="E7607" s="537"/>
      <c r="G7607" s="198"/>
      <c r="H7607" s="123"/>
    </row>
    <row r="7608" spans="3:8" s="99" customFormat="1" x14ac:dyDescent="0.2">
      <c r="C7608" s="198"/>
      <c r="D7608" s="198"/>
      <c r="E7608" s="537"/>
      <c r="G7608" s="198"/>
      <c r="H7608" s="123"/>
    </row>
    <row r="7609" spans="3:8" s="99" customFormat="1" x14ac:dyDescent="0.2">
      <c r="C7609" s="198"/>
      <c r="D7609" s="198"/>
      <c r="E7609" s="537"/>
      <c r="G7609" s="198"/>
      <c r="H7609" s="123"/>
    </row>
    <row r="7610" spans="3:8" s="99" customFormat="1" x14ac:dyDescent="0.2">
      <c r="C7610" s="198"/>
      <c r="D7610" s="198"/>
      <c r="E7610" s="537"/>
      <c r="G7610" s="198"/>
      <c r="H7610" s="123"/>
    </row>
    <row r="7611" spans="3:8" s="99" customFormat="1" x14ac:dyDescent="0.2">
      <c r="C7611" s="198"/>
      <c r="D7611" s="198"/>
      <c r="E7611" s="537"/>
      <c r="G7611" s="198"/>
      <c r="H7611" s="123"/>
    </row>
    <row r="7612" spans="3:8" s="99" customFormat="1" x14ac:dyDescent="0.2">
      <c r="C7612" s="198"/>
      <c r="D7612" s="198"/>
      <c r="E7612" s="537"/>
      <c r="G7612" s="198"/>
      <c r="H7612" s="123"/>
    </row>
    <row r="7613" spans="3:8" s="99" customFormat="1" x14ac:dyDescent="0.2">
      <c r="C7613" s="198"/>
      <c r="D7613" s="198"/>
      <c r="E7613" s="537"/>
      <c r="G7613" s="198"/>
      <c r="H7613" s="123"/>
    </row>
    <row r="7614" spans="3:8" s="99" customFormat="1" x14ac:dyDescent="0.2">
      <c r="C7614" s="198"/>
      <c r="D7614" s="198"/>
      <c r="E7614" s="537"/>
      <c r="G7614" s="198"/>
      <c r="H7614" s="123"/>
    </row>
    <row r="7615" spans="3:8" s="99" customFormat="1" x14ac:dyDescent="0.2">
      <c r="C7615" s="198"/>
      <c r="D7615" s="198"/>
      <c r="E7615" s="537"/>
      <c r="G7615" s="198"/>
      <c r="H7615" s="123"/>
    </row>
    <row r="7616" spans="3:8" s="99" customFormat="1" x14ac:dyDescent="0.2">
      <c r="C7616" s="198"/>
      <c r="D7616" s="198"/>
      <c r="E7616" s="537"/>
      <c r="G7616" s="198"/>
      <c r="H7616" s="123"/>
    </row>
    <row r="7617" spans="3:8" s="99" customFormat="1" x14ac:dyDescent="0.2">
      <c r="C7617" s="198"/>
      <c r="D7617" s="198"/>
      <c r="E7617" s="537"/>
      <c r="G7617" s="198"/>
      <c r="H7617" s="123"/>
    </row>
    <row r="7618" spans="3:8" s="99" customFormat="1" x14ac:dyDescent="0.2">
      <c r="C7618" s="198"/>
      <c r="D7618" s="198"/>
      <c r="E7618" s="537"/>
      <c r="G7618" s="198"/>
      <c r="H7618" s="123"/>
    </row>
    <row r="7619" spans="3:8" s="99" customFormat="1" x14ac:dyDescent="0.2">
      <c r="C7619" s="198"/>
      <c r="D7619" s="198"/>
      <c r="E7619" s="537"/>
      <c r="G7619" s="198"/>
      <c r="H7619" s="123"/>
    </row>
    <row r="7620" spans="3:8" s="99" customFormat="1" x14ac:dyDescent="0.2">
      <c r="C7620" s="198"/>
      <c r="D7620" s="198"/>
      <c r="E7620" s="537"/>
      <c r="G7620" s="198"/>
      <c r="H7620" s="123"/>
    </row>
    <row r="7621" spans="3:8" s="99" customFormat="1" x14ac:dyDescent="0.2">
      <c r="C7621" s="198"/>
      <c r="D7621" s="198"/>
      <c r="E7621" s="537"/>
      <c r="G7621" s="198"/>
      <c r="H7621" s="123"/>
    </row>
    <row r="7622" spans="3:8" s="99" customFormat="1" x14ac:dyDescent="0.2">
      <c r="C7622" s="198"/>
      <c r="D7622" s="198"/>
      <c r="E7622" s="537"/>
      <c r="G7622" s="198"/>
      <c r="H7622" s="123"/>
    </row>
    <row r="7623" spans="3:8" s="99" customFormat="1" x14ac:dyDescent="0.2">
      <c r="C7623" s="198"/>
      <c r="D7623" s="198"/>
      <c r="E7623" s="537"/>
      <c r="G7623" s="198"/>
      <c r="H7623" s="123"/>
    </row>
    <row r="7624" spans="3:8" s="99" customFormat="1" x14ac:dyDescent="0.2">
      <c r="C7624" s="198"/>
      <c r="D7624" s="198"/>
      <c r="E7624" s="537"/>
      <c r="G7624" s="198"/>
      <c r="H7624" s="123"/>
    </row>
    <row r="7625" spans="3:8" s="99" customFormat="1" x14ac:dyDescent="0.2">
      <c r="C7625" s="198"/>
      <c r="D7625" s="198"/>
      <c r="E7625" s="537"/>
      <c r="G7625" s="198"/>
      <c r="H7625" s="123"/>
    </row>
    <row r="7626" spans="3:8" s="99" customFormat="1" x14ac:dyDescent="0.2">
      <c r="C7626" s="198"/>
      <c r="D7626" s="198"/>
      <c r="E7626" s="537"/>
      <c r="G7626" s="198"/>
      <c r="H7626" s="123"/>
    </row>
    <row r="7627" spans="3:8" s="99" customFormat="1" x14ac:dyDescent="0.2">
      <c r="C7627" s="198"/>
      <c r="D7627" s="198"/>
      <c r="E7627" s="537"/>
      <c r="G7627" s="198"/>
      <c r="H7627" s="123"/>
    </row>
    <row r="7628" spans="3:8" s="99" customFormat="1" x14ac:dyDescent="0.2">
      <c r="C7628" s="198"/>
      <c r="D7628" s="198"/>
      <c r="E7628" s="537"/>
      <c r="G7628" s="198"/>
      <c r="H7628" s="123"/>
    </row>
    <row r="7629" spans="3:8" s="99" customFormat="1" x14ac:dyDescent="0.2">
      <c r="C7629" s="198"/>
      <c r="D7629" s="198"/>
      <c r="E7629" s="537"/>
      <c r="G7629" s="198"/>
      <c r="H7629" s="123"/>
    </row>
    <row r="7630" spans="3:8" s="99" customFormat="1" x14ac:dyDescent="0.2">
      <c r="C7630" s="198"/>
      <c r="D7630" s="198"/>
      <c r="E7630" s="537"/>
      <c r="G7630" s="198"/>
      <c r="H7630" s="123"/>
    </row>
    <row r="7631" spans="3:8" s="99" customFormat="1" x14ac:dyDescent="0.2">
      <c r="C7631" s="198"/>
      <c r="D7631" s="198"/>
      <c r="E7631" s="537"/>
      <c r="G7631" s="198"/>
      <c r="H7631" s="123"/>
    </row>
    <row r="7632" spans="3:8" s="99" customFormat="1" x14ac:dyDescent="0.2">
      <c r="C7632" s="198"/>
      <c r="D7632" s="198"/>
      <c r="E7632" s="537"/>
      <c r="G7632" s="198"/>
      <c r="H7632" s="123"/>
    </row>
    <row r="7633" spans="3:8" s="99" customFormat="1" x14ac:dyDescent="0.2">
      <c r="C7633" s="198"/>
      <c r="D7633" s="198"/>
      <c r="E7633" s="537"/>
      <c r="G7633" s="198"/>
      <c r="H7633" s="123"/>
    </row>
    <row r="7634" spans="3:8" s="99" customFormat="1" x14ac:dyDescent="0.2">
      <c r="C7634" s="198"/>
      <c r="D7634" s="198"/>
      <c r="E7634" s="537"/>
      <c r="G7634" s="198"/>
      <c r="H7634" s="123"/>
    </row>
    <row r="7635" spans="3:8" s="99" customFormat="1" x14ac:dyDescent="0.2">
      <c r="C7635" s="198"/>
      <c r="D7635" s="198"/>
      <c r="E7635" s="537"/>
      <c r="G7635" s="198"/>
      <c r="H7635" s="123"/>
    </row>
    <row r="7636" spans="3:8" s="99" customFormat="1" x14ac:dyDescent="0.2">
      <c r="C7636" s="198"/>
      <c r="D7636" s="198"/>
      <c r="E7636" s="537"/>
      <c r="G7636" s="198"/>
      <c r="H7636" s="123"/>
    </row>
    <row r="7637" spans="3:8" s="99" customFormat="1" x14ac:dyDescent="0.2">
      <c r="C7637" s="198"/>
      <c r="D7637" s="198"/>
      <c r="E7637" s="537"/>
      <c r="G7637" s="198"/>
      <c r="H7637" s="123"/>
    </row>
    <row r="7638" spans="3:8" s="99" customFormat="1" x14ac:dyDescent="0.2">
      <c r="C7638" s="198"/>
      <c r="D7638" s="198"/>
      <c r="E7638" s="537"/>
      <c r="G7638" s="198"/>
      <c r="H7638" s="123"/>
    </row>
    <row r="7639" spans="3:8" s="99" customFormat="1" x14ac:dyDescent="0.2">
      <c r="C7639" s="198"/>
      <c r="D7639" s="198"/>
      <c r="E7639" s="537"/>
      <c r="G7639" s="198"/>
      <c r="H7639" s="123"/>
    </row>
    <row r="7640" spans="3:8" s="99" customFormat="1" x14ac:dyDescent="0.2">
      <c r="C7640" s="198"/>
      <c r="D7640" s="198"/>
      <c r="E7640" s="537"/>
      <c r="G7640" s="198"/>
      <c r="H7640" s="123"/>
    </row>
    <row r="7641" spans="3:8" s="99" customFormat="1" x14ac:dyDescent="0.2">
      <c r="C7641" s="198"/>
      <c r="D7641" s="198"/>
      <c r="E7641" s="537"/>
      <c r="G7641" s="198"/>
      <c r="H7641" s="123"/>
    </row>
    <row r="7642" spans="3:8" s="99" customFormat="1" x14ac:dyDescent="0.2">
      <c r="C7642" s="198"/>
      <c r="D7642" s="198"/>
      <c r="E7642" s="537"/>
      <c r="G7642" s="198"/>
      <c r="H7642" s="123"/>
    </row>
    <row r="7643" spans="3:8" s="99" customFormat="1" x14ac:dyDescent="0.2">
      <c r="C7643" s="198"/>
      <c r="D7643" s="198"/>
      <c r="E7643" s="537"/>
      <c r="G7643" s="198"/>
      <c r="H7643" s="123"/>
    </row>
    <row r="7644" spans="3:8" s="99" customFormat="1" x14ac:dyDescent="0.2">
      <c r="C7644" s="198"/>
      <c r="D7644" s="198"/>
      <c r="E7644" s="537"/>
      <c r="G7644" s="198"/>
      <c r="H7644" s="123"/>
    </row>
    <row r="7645" spans="3:8" s="99" customFormat="1" x14ac:dyDescent="0.2">
      <c r="C7645" s="198"/>
      <c r="D7645" s="198"/>
      <c r="E7645" s="537"/>
      <c r="G7645" s="198"/>
      <c r="H7645" s="123"/>
    </row>
    <row r="7646" spans="3:8" s="99" customFormat="1" x14ac:dyDescent="0.2">
      <c r="C7646" s="198"/>
      <c r="D7646" s="198"/>
      <c r="E7646" s="537"/>
      <c r="G7646" s="198"/>
      <c r="H7646" s="123"/>
    </row>
    <row r="7647" spans="3:8" s="99" customFormat="1" x14ac:dyDescent="0.2">
      <c r="C7647" s="198"/>
      <c r="D7647" s="198"/>
      <c r="E7647" s="537"/>
      <c r="G7647" s="198"/>
      <c r="H7647" s="123"/>
    </row>
    <row r="7648" spans="3:8" s="99" customFormat="1" x14ac:dyDescent="0.2">
      <c r="C7648" s="198"/>
      <c r="D7648" s="198"/>
      <c r="E7648" s="537"/>
      <c r="G7648" s="198"/>
      <c r="H7648" s="123"/>
    </row>
    <row r="7649" spans="3:8" s="99" customFormat="1" x14ac:dyDescent="0.2">
      <c r="C7649" s="198"/>
      <c r="D7649" s="198"/>
      <c r="E7649" s="537"/>
      <c r="G7649" s="198"/>
      <c r="H7649" s="123"/>
    </row>
    <row r="7650" spans="3:8" s="99" customFormat="1" x14ac:dyDescent="0.2">
      <c r="C7650" s="198"/>
      <c r="D7650" s="198"/>
      <c r="E7650" s="537"/>
      <c r="G7650" s="198"/>
      <c r="H7650" s="123"/>
    </row>
    <row r="7651" spans="3:8" s="99" customFormat="1" x14ac:dyDescent="0.2">
      <c r="C7651" s="198"/>
      <c r="D7651" s="198"/>
      <c r="E7651" s="537"/>
      <c r="G7651" s="198"/>
      <c r="H7651" s="123"/>
    </row>
    <row r="7652" spans="3:8" s="99" customFormat="1" x14ac:dyDescent="0.2">
      <c r="C7652" s="198"/>
      <c r="D7652" s="198"/>
      <c r="E7652" s="537"/>
      <c r="G7652" s="198"/>
      <c r="H7652" s="123"/>
    </row>
    <row r="7653" spans="3:8" s="99" customFormat="1" x14ac:dyDescent="0.2">
      <c r="C7653" s="198"/>
      <c r="D7653" s="198"/>
      <c r="E7653" s="537"/>
      <c r="G7653" s="198"/>
      <c r="H7653" s="123"/>
    </row>
    <row r="7654" spans="3:8" s="99" customFormat="1" x14ac:dyDescent="0.2">
      <c r="C7654" s="198"/>
      <c r="D7654" s="198"/>
      <c r="E7654" s="537"/>
      <c r="G7654" s="198"/>
      <c r="H7654" s="123"/>
    </row>
    <row r="7655" spans="3:8" s="99" customFormat="1" x14ac:dyDescent="0.2">
      <c r="C7655" s="198"/>
      <c r="D7655" s="198"/>
      <c r="E7655" s="537"/>
      <c r="G7655" s="198"/>
      <c r="H7655" s="123"/>
    </row>
    <row r="7656" spans="3:8" s="99" customFormat="1" x14ac:dyDescent="0.2">
      <c r="C7656" s="198"/>
      <c r="D7656" s="198"/>
      <c r="E7656" s="537"/>
      <c r="G7656" s="198"/>
      <c r="H7656" s="123"/>
    </row>
    <row r="7657" spans="3:8" s="99" customFormat="1" x14ac:dyDescent="0.2">
      <c r="C7657" s="198"/>
      <c r="D7657" s="198"/>
      <c r="E7657" s="537"/>
      <c r="G7657" s="198"/>
      <c r="H7657" s="123"/>
    </row>
    <row r="7658" spans="3:8" s="99" customFormat="1" x14ac:dyDescent="0.2">
      <c r="C7658" s="198"/>
      <c r="D7658" s="198"/>
      <c r="E7658" s="537"/>
      <c r="G7658" s="198"/>
      <c r="H7658" s="123"/>
    </row>
    <row r="7659" spans="3:8" s="99" customFormat="1" x14ac:dyDescent="0.2">
      <c r="C7659" s="198"/>
      <c r="D7659" s="198"/>
      <c r="E7659" s="537"/>
      <c r="G7659" s="198"/>
      <c r="H7659" s="123"/>
    </row>
    <row r="7660" spans="3:8" s="99" customFormat="1" x14ac:dyDescent="0.2">
      <c r="C7660" s="198"/>
      <c r="D7660" s="198"/>
      <c r="E7660" s="537"/>
      <c r="G7660" s="198"/>
      <c r="H7660" s="123"/>
    </row>
    <row r="7661" spans="3:8" s="99" customFormat="1" x14ac:dyDescent="0.2">
      <c r="C7661" s="198"/>
      <c r="D7661" s="198"/>
      <c r="E7661" s="537"/>
      <c r="G7661" s="198"/>
      <c r="H7661" s="123"/>
    </row>
    <row r="7662" spans="3:8" s="99" customFormat="1" x14ac:dyDescent="0.2">
      <c r="C7662" s="198"/>
      <c r="D7662" s="198"/>
      <c r="E7662" s="537"/>
      <c r="G7662" s="198"/>
      <c r="H7662" s="123"/>
    </row>
    <row r="7663" spans="3:8" s="99" customFormat="1" x14ac:dyDescent="0.2">
      <c r="C7663" s="198"/>
      <c r="D7663" s="198"/>
      <c r="E7663" s="537"/>
      <c r="G7663" s="198"/>
      <c r="H7663" s="123"/>
    </row>
    <row r="7664" spans="3:8" s="99" customFormat="1" x14ac:dyDescent="0.2">
      <c r="C7664" s="198"/>
      <c r="D7664" s="198"/>
      <c r="E7664" s="537"/>
      <c r="G7664" s="198"/>
      <c r="H7664" s="123"/>
    </row>
    <row r="7665" spans="3:8" s="99" customFormat="1" x14ac:dyDescent="0.2">
      <c r="C7665" s="198"/>
      <c r="D7665" s="198"/>
      <c r="E7665" s="537"/>
      <c r="G7665" s="198"/>
      <c r="H7665" s="123"/>
    </row>
    <row r="7666" spans="3:8" s="99" customFormat="1" x14ac:dyDescent="0.2">
      <c r="C7666" s="198"/>
      <c r="D7666" s="198"/>
      <c r="E7666" s="537"/>
      <c r="G7666" s="198"/>
      <c r="H7666" s="123"/>
    </row>
    <row r="7667" spans="3:8" s="99" customFormat="1" x14ac:dyDescent="0.2">
      <c r="C7667" s="198"/>
      <c r="D7667" s="198"/>
      <c r="E7667" s="537"/>
      <c r="G7667" s="198"/>
      <c r="H7667" s="123"/>
    </row>
    <row r="7668" spans="3:8" s="99" customFormat="1" x14ac:dyDescent="0.2">
      <c r="C7668" s="198"/>
      <c r="D7668" s="198"/>
      <c r="E7668" s="537"/>
      <c r="G7668" s="198"/>
      <c r="H7668" s="123"/>
    </row>
    <row r="7669" spans="3:8" s="99" customFormat="1" x14ac:dyDescent="0.2">
      <c r="C7669" s="198"/>
      <c r="D7669" s="198"/>
      <c r="E7669" s="537"/>
      <c r="G7669" s="198"/>
      <c r="H7669" s="123"/>
    </row>
    <row r="7670" spans="3:8" s="99" customFormat="1" x14ac:dyDescent="0.2">
      <c r="C7670" s="198"/>
      <c r="D7670" s="198"/>
      <c r="E7670" s="537"/>
      <c r="G7670" s="198"/>
      <c r="H7670" s="123"/>
    </row>
    <row r="7671" spans="3:8" s="99" customFormat="1" x14ac:dyDescent="0.2">
      <c r="C7671" s="198"/>
      <c r="D7671" s="198"/>
      <c r="E7671" s="537"/>
      <c r="G7671" s="198"/>
      <c r="H7671" s="123"/>
    </row>
    <row r="7672" spans="3:8" s="99" customFormat="1" x14ac:dyDescent="0.2">
      <c r="C7672" s="198"/>
      <c r="D7672" s="198"/>
      <c r="E7672" s="537"/>
      <c r="G7672" s="198"/>
      <c r="H7672" s="123"/>
    </row>
    <row r="7673" spans="3:8" s="99" customFormat="1" x14ac:dyDescent="0.2">
      <c r="C7673" s="198"/>
      <c r="D7673" s="198"/>
      <c r="E7673" s="537"/>
      <c r="G7673" s="198"/>
      <c r="H7673" s="123"/>
    </row>
    <row r="7674" spans="3:8" s="99" customFormat="1" x14ac:dyDescent="0.2">
      <c r="C7674" s="198"/>
      <c r="D7674" s="198"/>
      <c r="E7674" s="537"/>
      <c r="G7674" s="198"/>
      <c r="H7674" s="123"/>
    </row>
    <row r="7675" spans="3:8" s="99" customFormat="1" x14ac:dyDescent="0.2">
      <c r="C7675" s="198"/>
      <c r="D7675" s="198"/>
      <c r="E7675" s="537"/>
      <c r="G7675" s="198"/>
      <c r="H7675" s="123"/>
    </row>
    <row r="7676" spans="3:8" s="99" customFormat="1" x14ac:dyDescent="0.2">
      <c r="C7676" s="198"/>
      <c r="D7676" s="198"/>
      <c r="E7676" s="537"/>
      <c r="G7676" s="198"/>
      <c r="H7676" s="123"/>
    </row>
    <row r="7677" spans="3:8" s="99" customFormat="1" x14ac:dyDescent="0.2">
      <c r="C7677" s="198"/>
      <c r="D7677" s="198"/>
      <c r="E7677" s="537"/>
      <c r="G7677" s="198"/>
      <c r="H7677" s="123"/>
    </row>
    <row r="7678" spans="3:8" s="99" customFormat="1" x14ac:dyDescent="0.2">
      <c r="C7678" s="198"/>
      <c r="D7678" s="198"/>
      <c r="E7678" s="537"/>
      <c r="G7678" s="198"/>
      <c r="H7678" s="123"/>
    </row>
    <row r="7679" spans="3:8" s="99" customFormat="1" x14ac:dyDescent="0.2">
      <c r="C7679" s="198"/>
      <c r="D7679" s="198"/>
      <c r="E7679" s="537"/>
      <c r="G7679" s="198"/>
      <c r="H7679" s="123"/>
    </row>
    <row r="7680" spans="3:8" s="99" customFormat="1" x14ac:dyDescent="0.2">
      <c r="C7680" s="198"/>
      <c r="D7680" s="198"/>
      <c r="E7680" s="537"/>
      <c r="G7680" s="198"/>
      <c r="H7680" s="123"/>
    </row>
    <row r="7681" spans="3:8" s="99" customFormat="1" x14ac:dyDescent="0.2">
      <c r="C7681" s="198"/>
      <c r="D7681" s="198"/>
      <c r="E7681" s="537"/>
      <c r="G7681" s="198"/>
      <c r="H7681" s="123"/>
    </row>
    <row r="7682" spans="3:8" s="99" customFormat="1" x14ac:dyDescent="0.2">
      <c r="C7682" s="198"/>
      <c r="D7682" s="198"/>
      <c r="E7682" s="537"/>
      <c r="G7682" s="198"/>
      <c r="H7682" s="123"/>
    </row>
    <row r="7683" spans="3:8" s="99" customFormat="1" x14ac:dyDescent="0.2">
      <c r="C7683" s="198"/>
      <c r="D7683" s="198"/>
      <c r="E7683" s="537"/>
      <c r="G7683" s="198"/>
      <c r="H7683" s="123"/>
    </row>
    <row r="7684" spans="3:8" s="99" customFormat="1" x14ac:dyDescent="0.2">
      <c r="C7684" s="198"/>
      <c r="D7684" s="198"/>
      <c r="E7684" s="537"/>
      <c r="G7684" s="198"/>
      <c r="H7684" s="123"/>
    </row>
    <row r="7685" spans="3:8" s="99" customFormat="1" x14ac:dyDescent="0.2">
      <c r="C7685" s="198"/>
      <c r="D7685" s="198"/>
      <c r="E7685" s="537"/>
      <c r="G7685" s="198"/>
      <c r="H7685" s="123"/>
    </row>
    <row r="7686" spans="3:8" s="99" customFormat="1" x14ac:dyDescent="0.2">
      <c r="C7686" s="198"/>
      <c r="D7686" s="198"/>
      <c r="E7686" s="537"/>
      <c r="G7686" s="198"/>
      <c r="H7686" s="123"/>
    </row>
    <row r="7687" spans="3:8" s="99" customFormat="1" x14ac:dyDescent="0.2">
      <c r="C7687" s="198"/>
      <c r="D7687" s="198"/>
      <c r="E7687" s="537"/>
      <c r="G7687" s="198"/>
      <c r="H7687" s="123"/>
    </row>
    <row r="7688" spans="3:8" s="99" customFormat="1" x14ac:dyDescent="0.2">
      <c r="C7688" s="198"/>
      <c r="D7688" s="198"/>
      <c r="E7688" s="537"/>
      <c r="G7688" s="198"/>
      <c r="H7688" s="123"/>
    </row>
    <row r="7689" spans="3:8" s="99" customFormat="1" x14ac:dyDescent="0.2">
      <c r="C7689" s="198"/>
      <c r="D7689" s="198"/>
      <c r="E7689" s="537"/>
      <c r="G7689" s="198"/>
      <c r="H7689" s="123"/>
    </row>
    <row r="7690" spans="3:8" s="99" customFormat="1" x14ac:dyDescent="0.2">
      <c r="C7690" s="198"/>
      <c r="D7690" s="198"/>
      <c r="E7690" s="537"/>
      <c r="G7690" s="198"/>
      <c r="H7690" s="123"/>
    </row>
    <row r="7691" spans="3:8" s="99" customFormat="1" x14ac:dyDescent="0.2">
      <c r="C7691" s="198"/>
      <c r="D7691" s="198"/>
      <c r="E7691" s="537"/>
      <c r="G7691" s="198"/>
      <c r="H7691" s="123"/>
    </row>
    <row r="7692" spans="3:8" s="99" customFormat="1" x14ac:dyDescent="0.2">
      <c r="C7692" s="198"/>
      <c r="D7692" s="198"/>
      <c r="E7692" s="537"/>
      <c r="G7692" s="198"/>
      <c r="H7692" s="123"/>
    </row>
    <row r="7693" spans="3:8" s="99" customFormat="1" x14ac:dyDescent="0.2">
      <c r="C7693" s="198"/>
      <c r="D7693" s="198"/>
      <c r="E7693" s="537"/>
      <c r="G7693" s="198"/>
      <c r="H7693" s="123"/>
    </row>
    <row r="7694" spans="3:8" s="99" customFormat="1" x14ac:dyDescent="0.2">
      <c r="C7694" s="198"/>
      <c r="D7694" s="198"/>
      <c r="E7694" s="537"/>
      <c r="G7694" s="198"/>
      <c r="H7694" s="123"/>
    </row>
    <row r="7695" spans="3:8" s="99" customFormat="1" x14ac:dyDescent="0.2">
      <c r="C7695" s="198"/>
      <c r="D7695" s="198"/>
      <c r="E7695" s="537"/>
      <c r="G7695" s="198"/>
      <c r="H7695" s="123"/>
    </row>
    <row r="7696" spans="3:8" s="99" customFormat="1" x14ac:dyDescent="0.2">
      <c r="C7696" s="198"/>
      <c r="D7696" s="198"/>
      <c r="E7696" s="537"/>
      <c r="G7696" s="198"/>
      <c r="H7696" s="123"/>
    </row>
    <row r="7697" spans="3:8" s="99" customFormat="1" x14ac:dyDescent="0.2">
      <c r="C7697" s="198"/>
      <c r="D7697" s="198"/>
      <c r="E7697" s="537"/>
      <c r="G7697" s="198"/>
      <c r="H7697" s="123"/>
    </row>
    <row r="7698" spans="3:8" s="99" customFormat="1" x14ac:dyDescent="0.2">
      <c r="C7698" s="198"/>
      <c r="D7698" s="198"/>
      <c r="E7698" s="537"/>
      <c r="G7698" s="198"/>
      <c r="H7698" s="123"/>
    </row>
    <row r="7699" spans="3:8" s="99" customFormat="1" x14ac:dyDescent="0.2">
      <c r="C7699" s="198"/>
      <c r="D7699" s="198"/>
      <c r="E7699" s="537"/>
      <c r="G7699" s="198"/>
      <c r="H7699" s="123"/>
    </row>
    <row r="7700" spans="3:8" s="99" customFormat="1" x14ac:dyDescent="0.2">
      <c r="C7700" s="198"/>
      <c r="D7700" s="198"/>
      <c r="E7700" s="537"/>
      <c r="G7700" s="198"/>
      <c r="H7700" s="123"/>
    </row>
    <row r="7701" spans="3:8" s="99" customFormat="1" x14ac:dyDescent="0.2">
      <c r="C7701" s="198"/>
      <c r="D7701" s="198"/>
      <c r="E7701" s="537"/>
      <c r="G7701" s="198"/>
      <c r="H7701" s="123"/>
    </row>
    <row r="7702" spans="3:8" s="99" customFormat="1" x14ac:dyDescent="0.2">
      <c r="C7702" s="198"/>
      <c r="D7702" s="198"/>
      <c r="E7702" s="537"/>
      <c r="G7702" s="198"/>
      <c r="H7702" s="123"/>
    </row>
    <row r="7703" spans="3:8" s="99" customFormat="1" x14ac:dyDescent="0.2">
      <c r="C7703" s="198"/>
      <c r="D7703" s="198"/>
      <c r="E7703" s="537"/>
      <c r="G7703" s="198"/>
      <c r="H7703" s="123"/>
    </row>
    <row r="7704" spans="3:8" s="99" customFormat="1" x14ac:dyDescent="0.2">
      <c r="C7704" s="198"/>
      <c r="D7704" s="198"/>
      <c r="E7704" s="537"/>
      <c r="G7704" s="198"/>
      <c r="H7704" s="123"/>
    </row>
    <row r="7705" spans="3:8" s="99" customFormat="1" x14ac:dyDescent="0.2">
      <c r="C7705" s="198"/>
      <c r="D7705" s="198"/>
      <c r="E7705" s="537"/>
      <c r="G7705" s="198"/>
      <c r="H7705" s="123"/>
    </row>
    <row r="7706" spans="3:8" s="99" customFormat="1" x14ac:dyDescent="0.2">
      <c r="C7706" s="198"/>
      <c r="D7706" s="198"/>
      <c r="E7706" s="537"/>
      <c r="G7706" s="198"/>
      <c r="H7706" s="123"/>
    </row>
    <row r="7707" spans="3:8" s="99" customFormat="1" x14ac:dyDescent="0.2">
      <c r="C7707" s="198"/>
      <c r="D7707" s="198"/>
      <c r="E7707" s="537"/>
      <c r="G7707" s="198"/>
      <c r="H7707" s="123"/>
    </row>
    <row r="7708" spans="3:8" s="99" customFormat="1" x14ac:dyDescent="0.2">
      <c r="C7708" s="198"/>
      <c r="D7708" s="198"/>
      <c r="E7708" s="537"/>
      <c r="G7708" s="198"/>
      <c r="H7708" s="123"/>
    </row>
    <row r="7709" spans="3:8" s="99" customFormat="1" x14ac:dyDescent="0.2">
      <c r="C7709" s="198"/>
      <c r="D7709" s="198"/>
      <c r="E7709" s="537"/>
      <c r="G7709" s="198"/>
      <c r="H7709" s="123"/>
    </row>
    <row r="7710" spans="3:8" s="99" customFormat="1" x14ac:dyDescent="0.2">
      <c r="C7710" s="198"/>
      <c r="D7710" s="198"/>
      <c r="E7710" s="537"/>
      <c r="G7710" s="198"/>
      <c r="H7710" s="123"/>
    </row>
    <row r="7711" spans="3:8" s="99" customFormat="1" x14ac:dyDescent="0.2">
      <c r="C7711" s="198"/>
      <c r="D7711" s="198"/>
      <c r="E7711" s="537"/>
      <c r="G7711" s="198"/>
      <c r="H7711" s="123"/>
    </row>
    <row r="7712" spans="3:8" s="99" customFormat="1" x14ac:dyDescent="0.2">
      <c r="C7712" s="198"/>
      <c r="D7712" s="198"/>
      <c r="E7712" s="537"/>
      <c r="G7712" s="198"/>
      <c r="H7712" s="123"/>
    </row>
    <row r="7713" spans="3:8" s="99" customFormat="1" x14ac:dyDescent="0.2">
      <c r="C7713" s="198"/>
      <c r="D7713" s="198"/>
      <c r="E7713" s="537"/>
      <c r="G7713" s="198"/>
      <c r="H7713" s="123"/>
    </row>
    <row r="7714" spans="3:8" s="99" customFormat="1" x14ac:dyDescent="0.2">
      <c r="C7714" s="198"/>
      <c r="D7714" s="198"/>
      <c r="E7714" s="537"/>
      <c r="G7714" s="198"/>
      <c r="H7714" s="123"/>
    </row>
    <row r="7715" spans="3:8" s="99" customFormat="1" x14ac:dyDescent="0.2">
      <c r="C7715" s="198"/>
      <c r="D7715" s="198"/>
      <c r="E7715" s="537"/>
      <c r="G7715" s="198"/>
      <c r="H7715" s="123"/>
    </row>
    <row r="7716" spans="3:8" s="99" customFormat="1" x14ac:dyDescent="0.2">
      <c r="C7716" s="198"/>
      <c r="D7716" s="198"/>
      <c r="E7716" s="537"/>
      <c r="G7716" s="198"/>
      <c r="H7716" s="123"/>
    </row>
    <row r="7717" spans="3:8" s="99" customFormat="1" x14ac:dyDescent="0.2">
      <c r="C7717" s="198"/>
      <c r="D7717" s="198"/>
      <c r="E7717" s="537"/>
      <c r="G7717" s="198"/>
      <c r="H7717" s="123"/>
    </row>
    <row r="7718" spans="3:8" s="99" customFormat="1" x14ac:dyDescent="0.2">
      <c r="C7718" s="198"/>
      <c r="D7718" s="198"/>
      <c r="E7718" s="537"/>
      <c r="G7718" s="198"/>
      <c r="H7718" s="123"/>
    </row>
    <row r="7719" spans="3:8" s="99" customFormat="1" x14ac:dyDescent="0.2">
      <c r="C7719" s="198"/>
      <c r="D7719" s="198"/>
      <c r="E7719" s="537"/>
      <c r="G7719" s="198"/>
      <c r="H7719" s="123"/>
    </row>
    <row r="7720" spans="3:8" s="99" customFormat="1" x14ac:dyDescent="0.2">
      <c r="C7720" s="198"/>
      <c r="D7720" s="198"/>
      <c r="E7720" s="537"/>
      <c r="G7720" s="198"/>
      <c r="H7720" s="123"/>
    </row>
    <row r="7721" spans="3:8" s="99" customFormat="1" x14ac:dyDescent="0.2">
      <c r="C7721" s="198"/>
      <c r="D7721" s="198"/>
      <c r="E7721" s="537"/>
      <c r="G7721" s="198"/>
      <c r="H7721" s="123"/>
    </row>
    <row r="7722" spans="3:8" s="99" customFormat="1" x14ac:dyDescent="0.2">
      <c r="C7722" s="198"/>
      <c r="D7722" s="198"/>
      <c r="E7722" s="537"/>
      <c r="G7722" s="198"/>
      <c r="H7722" s="123"/>
    </row>
    <row r="7723" spans="3:8" s="99" customFormat="1" x14ac:dyDescent="0.2">
      <c r="C7723" s="198"/>
      <c r="D7723" s="198"/>
      <c r="E7723" s="537"/>
      <c r="G7723" s="198"/>
      <c r="H7723" s="123"/>
    </row>
    <row r="7724" spans="3:8" s="99" customFormat="1" x14ac:dyDescent="0.2">
      <c r="C7724" s="198"/>
      <c r="D7724" s="198"/>
      <c r="E7724" s="537"/>
      <c r="G7724" s="198"/>
      <c r="H7724" s="123"/>
    </row>
    <row r="7725" spans="3:8" s="99" customFormat="1" x14ac:dyDescent="0.2">
      <c r="C7725" s="198"/>
      <c r="D7725" s="198"/>
      <c r="E7725" s="537"/>
      <c r="G7725" s="198"/>
      <c r="H7725" s="123"/>
    </row>
    <row r="7726" spans="3:8" s="99" customFormat="1" x14ac:dyDescent="0.2">
      <c r="C7726" s="198"/>
      <c r="D7726" s="198"/>
      <c r="E7726" s="537"/>
      <c r="G7726" s="198"/>
      <c r="H7726" s="123"/>
    </row>
    <row r="7727" spans="3:8" s="99" customFormat="1" x14ac:dyDescent="0.2">
      <c r="C7727" s="198"/>
      <c r="D7727" s="198"/>
      <c r="E7727" s="537"/>
      <c r="G7727" s="198"/>
      <c r="H7727" s="123"/>
    </row>
    <row r="7728" spans="3:8" s="99" customFormat="1" x14ac:dyDescent="0.2">
      <c r="C7728" s="198"/>
      <c r="D7728" s="198"/>
      <c r="E7728" s="537"/>
      <c r="G7728" s="198"/>
      <c r="H7728" s="123"/>
    </row>
    <row r="7729" spans="3:8" s="99" customFormat="1" x14ac:dyDescent="0.2">
      <c r="C7729" s="198"/>
      <c r="D7729" s="198"/>
      <c r="E7729" s="537"/>
      <c r="G7729" s="198"/>
      <c r="H7729" s="123"/>
    </row>
    <row r="7730" spans="3:8" s="99" customFormat="1" x14ac:dyDescent="0.2">
      <c r="C7730" s="198"/>
      <c r="D7730" s="198"/>
      <c r="E7730" s="537"/>
      <c r="G7730" s="198"/>
      <c r="H7730" s="123"/>
    </row>
    <row r="7731" spans="3:8" s="99" customFormat="1" x14ac:dyDescent="0.2">
      <c r="C7731" s="198"/>
      <c r="D7731" s="198"/>
      <c r="E7731" s="537"/>
      <c r="G7731" s="198"/>
      <c r="H7731" s="123"/>
    </row>
    <row r="7732" spans="3:8" s="99" customFormat="1" x14ac:dyDescent="0.2">
      <c r="C7732" s="198"/>
      <c r="D7732" s="198"/>
      <c r="E7732" s="537"/>
      <c r="G7732" s="198"/>
      <c r="H7732" s="123"/>
    </row>
    <row r="7733" spans="3:8" s="99" customFormat="1" x14ac:dyDescent="0.2">
      <c r="C7733" s="198"/>
      <c r="D7733" s="198"/>
      <c r="E7733" s="537"/>
      <c r="G7733" s="198"/>
      <c r="H7733" s="123"/>
    </row>
    <row r="7734" spans="3:8" s="99" customFormat="1" x14ac:dyDescent="0.2">
      <c r="C7734" s="198"/>
      <c r="D7734" s="198"/>
      <c r="E7734" s="537"/>
      <c r="G7734" s="198"/>
      <c r="H7734" s="123"/>
    </row>
    <row r="7735" spans="3:8" s="99" customFormat="1" x14ac:dyDescent="0.2">
      <c r="C7735" s="198"/>
      <c r="D7735" s="198"/>
      <c r="E7735" s="537"/>
      <c r="G7735" s="198"/>
      <c r="H7735" s="123"/>
    </row>
    <row r="7736" spans="3:8" s="99" customFormat="1" x14ac:dyDescent="0.2">
      <c r="C7736" s="198"/>
      <c r="D7736" s="198"/>
      <c r="E7736" s="537"/>
      <c r="G7736" s="198"/>
      <c r="H7736" s="123"/>
    </row>
    <row r="7737" spans="3:8" s="99" customFormat="1" x14ac:dyDescent="0.2">
      <c r="C7737" s="198"/>
      <c r="D7737" s="198"/>
      <c r="E7737" s="537"/>
      <c r="G7737" s="198"/>
      <c r="H7737" s="123"/>
    </row>
    <row r="7738" spans="3:8" s="99" customFormat="1" x14ac:dyDescent="0.2">
      <c r="C7738" s="198"/>
      <c r="D7738" s="198"/>
      <c r="E7738" s="537"/>
      <c r="G7738" s="198"/>
      <c r="H7738" s="123"/>
    </row>
    <row r="7739" spans="3:8" s="99" customFormat="1" x14ac:dyDescent="0.2">
      <c r="C7739" s="198"/>
      <c r="D7739" s="198"/>
      <c r="E7739" s="537"/>
      <c r="G7739" s="198"/>
      <c r="H7739" s="123"/>
    </row>
    <row r="7740" spans="3:8" s="99" customFormat="1" x14ac:dyDescent="0.2">
      <c r="C7740" s="198"/>
      <c r="D7740" s="198"/>
      <c r="E7740" s="537"/>
      <c r="G7740" s="198"/>
      <c r="H7740" s="123"/>
    </row>
    <row r="7741" spans="3:8" s="99" customFormat="1" x14ac:dyDescent="0.2">
      <c r="C7741" s="198"/>
      <c r="D7741" s="198"/>
      <c r="E7741" s="537"/>
      <c r="G7741" s="198"/>
      <c r="H7741" s="123"/>
    </row>
    <row r="7742" spans="3:8" s="99" customFormat="1" x14ac:dyDescent="0.2">
      <c r="C7742" s="198"/>
      <c r="D7742" s="198"/>
      <c r="E7742" s="537"/>
      <c r="G7742" s="198"/>
      <c r="H7742" s="123"/>
    </row>
    <row r="7743" spans="3:8" s="99" customFormat="1" x14ac:dyDescent="0.2">
      <c r="C7743" s="198"/>
      <c r="D7743" s="198"/>
      <c r="E7743" s="537"/>
      <c r="G7743" s="198"/>
      <c r="H7743" s="123"/>
    </row>
    <row r="7744" spans="3:8" s="99" customFormat="1" x14ac:dyDescent="0.2">
      <c r="C7744" s="198"/>
      <c r="D7744" s="198"/>
      <c r="E7744" s="537"/>
      <c r="G7744" s="198"/>
      <c r="H7744" s="123"/>
    </row>
    <row r="7745" spans="3:8" s="99" customFormat="1" x14ac:dyDescent="0.2">
      <c r="C7745" s="198"/>
      <c r="D7745" s="198"/>
      <c r="E7745" s="537"/>
      <c r="G7745" s="198"/>
      <c r="H7745" s="123"/>
    </row>
    <row r="7746" spans="3:8" s="99" customFormat="1" x14ac:dyDescent="0.2">
      <c r="C7746" s="198"/>
      <c r="D7746" s="198"/>
      <c r="E7746" s="537"/>
      <c r="G7746" s="198"/>
      <c r="H7746" s="123"/>
    </row>
    <row r="7747" spans="3:8" s="99" customFormat="1" x14ac:dyDescent="0.2">
      <c r="C7747" s="198"/>
      <c r="D7747" s="198"/>
      <c r="E7747" s="537"/>
      <c r="G7747" s="198"/>
      <c r="H7747" s="123"/>
    </row>
    <row r="7748" spans="3:8" s="99" customFormat="1" x14ac:dyDescent="0.2">
      <c r="C7748" s="198"/>
      <c r="D7748" s="198"/>
      <c r="E7748" s="537"/>
      <c r="G7748" s="198"/>
      <c r="H7748" s="123"/>
    </row>
    <row r="7749" spans="3:8" s="99" customFormat="1" x14ac:dyDescent="0.2">
      <c r="C7749" s="198"/>
      <c r="D7749" s="198"/>
      <c r="E7749" s="537"/>
      <c r="G7749" s="198"/>
      <c r="H7749" s="123"/>
    </row>
    <row r="7750" spans="3:8" s="99" customFormat="1" x14ac:dyDescent="0.2">
      <c r="C7750" s="198"/>
      <c r="D7750" s="198"/>
      <c r="E7750" s="537"/>
      <c r="G7750" s="198"/>
      <c r="H7750" s="123"/>
    </row>
    <row r="7751" spans="3:8" s="99" customFormat="1" x14ac:dyDescent="0.2">
      <c r="C7751" s="198"/>
      <c r="D7751" s="198"/>
      <c r="E7751" s="537"/>
      <c r="G7751" s="198"/>
      <c r="H7751" s="123"/>
    </row>
    <row r="7752" spans="3:8" s="99" customFormat="1" x14ac:dyDescent="0.2">
      <c r="C7752" s="198"/>
      <c r="D7752" s="198"/>
      <c r="E7752" s="537"/>
      <c r="G7752" s="198"/>
      <c r="H7752" s="123"/>
    </row>
    <row r="7753" spans="3:8" s="99" customFormat="1" x14ac:dyDescent="0.2">
      <c r="C7753" s="198"/>
      <c r="D7753" s="198"/>
      <c r="E7753" s="537"/>
      <c r="G7753" s="198"/>
      <c r="H7753" s="123"/>
    </row>
    <row r="7754" spans="3:8" s="99" customFormat="1" x14ac:dyDescent="0.2">
      <c r="C7754" s="198"/>
      <c r="D7754" s="198"/>
      <c r="E7754" s="537"/>
      <c r="G7754" s="198"/>
      <c r="H7754" s="123"/>
    </row>
    <row r="7755" spans="3:8" s="99" customFormat="1" x14ac:dyDescent="0.2">
      <c r="C7755" s="198"/>
      <c r="D7755" s="198"/>
      <c r="E7755" s="537"/>
      <c r="G7755" s="198"/>
      <c r="H7755" s="123"/>
    </row>
    <row r="7756" spans="3:8" s="99" customFormat="1" x14ac:dyDescent="0.2">
      <c r="C7756" s="198"/>
      <c r="D7756" s="198"/>
      <c r="E7756" s="537"/>
      <c r="G7756" s="198"/>
      <c r="H7756" s="123"/>
    </row>
    <row r="7757" spans="3:8" s="99" customFormat="1" x14ac:dyDescent="0.2">
      <c r="C7757" s="198"/>
      <c r="D7757" s="198"/>
      <c r="E7757" s="537"/>
      <c r="G7757" s="198"/>
      <c r="H7757" s="123"/>
    </row>
    <row r="7758" spans="3:8" s="99" customFormat="1" x14ac:dyDescent="0.2">
      <c r="C7758" s="198"/>
      <c r="D7758" s="198"/>
      <c r="E7758" s="537"/>
      <c r="G7758" s="198"/>
      <c r="H7758" s="123"/>
    </row>
    <row r="7759" spans="3:8" s="99" customFormat="1" x14ac:dyDescent="0.2">
      <c r="C7759" s="198"/>
      <c r="D7759" s="198"/>
      <c r="E7759" s="537"/>
      <c r="G7759" s="198"/>
      <c r="H7759" s="123"/>
    </row>
    <row r="7760" spans="3:8" s="99" customFormat="1" x14ac:dyDescent="0.2">
      <c r="C7760" s="198"/>
      <c r="D7760" s="198"/>
      <c r="E7760" s="537"/>
      <c r="G7760" s="198"/>
      <c r="H7760" s="123"/>
    </row>
    <row r="7761" spans="3:8" s="99" customFormat="1" x14ac:dyDescent="0.2">
      <c r="C7761" s="198"/>
      <c r="D7761" s="198"/>
      <c r="E7761" s="537"/>
      <c r="G7761" s="198"/>
      <c r="H7761" s="123"/>
    </row>
    <row r="7762" spans="3:8" s="99" customFormat="1" x14ac:dyDescent="0.2">
      <c r="C7762" s="198"/>
      <c r="D7762" s="198"/>
      <c r="E7762" s="537"/>
      <c r="G7762" s="198"/>
      <c r="H7762" s="123"/>
    </row>
    <row r="7763" spans="3:8" s="99" customFormat="1" x14ac:dyDescent="0.2">
      <c r="C7763" s="198"/>
      <c r="D7763" s="198"/>
      <c r="E7763" s="537"/>
      <c r="G7763" s="198"/>
      <c r="H7763" s="123"/>
    </row>
    <row r="7764" spans="3:8" s="99" customFormat="1" x14ac:dyDescent="0.2">
      <c r="C7764" s="198"/>
      <c r="D7764" s="198"/>
      <c r="E7764" s="537"/>
      <c r="G7764" s="198"/>
      <c r="H7764" s="123"/>
    </row>
    <row r="7765" spans="3:8" s="99" customFormat="1" x14ac:dyDescent="0.2">
      <c r="C7765" s="198"/>
      <c r="D7765" s="198"/>
      <c r="E7765" s="537"/>
      <c r="G7765" s="198"/>
      <c r="H7765" s="123"/>
    </row>
    <row r="7766" spans="3:8" s="99" customFormat="1" x14ac:dyDescent="0.2">
      <c r="C7766" s="198"/>
      <c r="D7766" s="198"/>
      <c r="E7766" s="537"/>
      <c r="G7766" s="198"/>
      <c r="H7766" s="123"/>
    </row>
    <row r="7767" spans="3:8" s="99" customFormat="1" x14ac:dyDescent="0.2">
      <c r="C7767" s="198"/>
      <c r="D7767" s="198"/>
      <c r="E7767" s="537"/>
      <c r="G7767" s="198"/>
      <c r="H7767" s="123"/>
    </row>
    <row r="7768" spans="3:8" s="99" customFormat="1" x14ac:dyDescent="0.2">
      <c r="C7768" s="198"/>
      <c r="D7768" s="198"/>
      <c r="E7768" s="537"/>
      <c r="G7768" s="198"/>
      <c r="H7768" s="123"/>
    </row>
    <row r="7769" spans="3:8" s="99" customFormat="1" x14ac:dyDescent="0.2">
      <c r="C7769" s="198"/>
      <c r="D7769" s="198"/>
      <c r="E7769" s="537"/>
      <c r="G7769" s="198"/>
      <c r="H7769" s="123"/>
    </row>
    <row r="7770" spans="3:8" s="99" customFormat="1" x14ac:dyDescent="0.2">
      <c r="C7770" s="198"/>
      <c r="D7770" s="198"/>
      <c r="E7770" s="537"/>
      <c r="G7770" s="198"/>
      <c r="H7770" s="123"/>
    </row>
    <row r="7771" spans="3:8" s="99" customFormat="1" x14ac:dyDescent="0.2">
      <c r="C7771" s="198"/>
      <c r="D7771" s="198"/>
      <c r="E7771" s="537"/>
      <c r="G7771" s="198"/>
      <c r="H7771" s="123"/>
    </row>
    <row r="7772" spans="3:8" s="99" customFormat="1" x14ac:dyDescent="0.2">
      <c r="C7772" s="198"/>
      <c r="D7772" s="198"/>
      <c r="E7772" s="537"/>
      <c r="G7772" s="198"/>
      <c r="H7772" s="123"/>
    </row>
    <row r="7773" spans="3:8" s="99" customFormat="1" x14ac:dyDescent="0.2">
      <c r="C7773" s="198"/>
      <c r="D7773" s="198"/>
      <c r="E7773" s="537"/>
      <c r="G7773" s="198"/>
      <c r="H7773" s="123"/>
    </row>
    <row r="7774" spans="3:8" s="99" customFormat="1" x14ac:dyDescent="0.2">
      <c r="C7774" s="198"/>
      <c r="D7774" s="198"/>
      <c r="E7774" s="537"/>
      <c r="G7774" s="198"/>
      <c r="H7774" s="123"/>
    </row>
    <row r="7775" spans="3:8" s="99" customFormat="1" x14ac:dyDescent="0.2">
      <c r="C7775" s="198"/>
      <c r="D7775" s="198"/>
      <c r="E7775" s="537"/>
      <c r="G7775" s="198"/>
      <c r="H7775" s="123"/>
    </row>
    <row r="7776" spans="3:8" s="99" customFormat="1" x14ac:dyDescent="0.2">
      <c r="C7776" s="198"/>
      <c r="D7776" s="198"/>
      <c r="E7776" s="537"/>
      <c r="G7776" s="198"/>
      <c r="H7776" s="123"/>
    </row>
    <row r="7777" spans="3:8" s="99" customFormat="1" x14ac:dyDescent="0.2">
      <c r="C7777" s="198"/>
      <c r="D7777" s="198"/>
      <c r="E7777" s="537"/>
      <c r="G7777" s="198"/>
      <c r="H7777" s="123"/>
    </row>
    <row r="7778" spans="3:8" s="99" customFormat="1" x14ac:dyDescent="0.2">
      <c r="C7778" s="198"/>
      <c r="D7778" s="198"/>
      <c r="E7778" s="537"/>
      <c r="G7778" s="198"/>
      <c r="H7778" s="123"/>
    </row>
    <row r="7779" spans="3:8" s="99" customFormat="1" x14ac:dyDescent="0.2">
      <c r="C7779" s="198"/>
      <c r="D7779" s="198"/>
      <c r="E7779" s="537"/>
      <c r="G7779" s="198"/>
      <c r="H7779" s="123"/>
    </row>
    <row r="7780" spans="3:8" s="99" customFormat="1" x14ac:dyDescent="0.2">
      <c r="C7780" s="198"/>
      <c r="D7780" s="198"/>
      <c r="E7780" s="537"/>
      <c r="G7780" s="198"/>
      <c r="H7780" s="123"/>
    </row>
    <row r="7781" spans="3:8" s="99" customFormat="1" x14ac:dyDescent="0.2">
      <c r="C7781" s="198"/>
      <c r="D7781" s="198"/>
      <c r="E7781" s="537"/>
      <c r="G7781" s="198"/>
      <c r="H7781" s="123"/>
    </row>
    <row r="7782" spans="3:8" s="99" customFormat="1" x14ac:dyDescent="0.2">
      <c r="C7782" s="198"/>
      <c r="D7782" s="198"/>
      <c r="E7782" s="537"/>
      <c r="G7782" s="198"/>
      <c r="H7782" s="123"/>
    </row>
    <row r="7783" spans="3:8" s="99" customFormat="1" x14ac:dyDescent="0.2">
      <c r="C7783" s="198"/>
      <c r="D7783" s="198"/>
      <c r="E7783" s="537"/>
      <c r="G7783" s="198"/>
      <c r="H7783" s="123"/>
    </row>
    <row r="7784" spans="3:8" s="99" customFormat="1" x14ac:dyDescent="0.2">
      <c r="C7784" s="198"/>
      <c r="D7784" s="198"/>
      <c r="E7784" s="537"/>
      <c r="G7784" s="198"/>
      <c r="H7784" s="123"/>
    </row>
    <row r="7785" spans="3:8" s="99" customFormat="1" x14ac:dyDescent="0.2">
      <c r="C7785" s="198"/>
      <c r="D7785" s="198"/>
      <c r="E7785" s="537"/>
      <c r="G7785" s="198"/>
      <c r="H7785" s="123"/>
    </row>
    <row r="7786" spans="3:8" s="99" customFormat="1" x14ac:dyDescent="0.2">
      <c r="C7786" s="198"/>
      <c r="D7786" s="198"/>
      <c r="E7786" s="537"/>
      <c r="G7786" s="198"/>
      <c r="H7786" s="123"/>
    </row>
    <row r="7787" spans="3:8" s="99" customFormat="1" x14ac:dyDescent="0.2">
      <c r="C7787" s="198"/>
      <c r="D7787" s="198"/>
      <c r="E7787" s="537"/>
      <c r="G7787" s="198"/>
      <c r="H7787" s="123"/>
    </row>
    <row r="7788" spans="3:8" s="99" customFormat="1" x14ac:dyDescent="0.2">
      <c r="C7788" s="198"/>
      <c r="D7788" s="198"/>
      <c r="E7788" s="537"/>
      <c r="G7788" s="198"/>
      <c r="H7788" s="123"/>
    </row>
    <row r="7789" spans="3:8" s="99" customFormat="1" x14ac:dyDescent="0.2">
      <c r="C7789" s="198"/>
      <c r="D7789" s="198"/>
      <c r="E7789" s="537"/>
      <c r="G7789" s="198"/>
      <c r="H7789" s="123"/>
    </row>
    <row r="7790" spans="3:8" s="99" customFormat="1" x14ac:dyDescent="0.2">
      <c r="C7790" s="198"/>
      <c r="D7790" s="198"/>
      <c r="E7790" s="537"/>
      <c r="G7790" s="198"/>
      <c r="H7790" s="123"/>
    </row>
    <row r="7791" spans="3:8" s="99" customFormat="1" x14ac:dyDescent="0.2">
      <c r="C7791" s="198"/>
      <c r="D7791" s="198"/>
      <c r="E7791" s="537"/>
      <c r="G7791" s="198"/>
      <c r="H7791" s="123"/>
    </row>
    <row r="7792" spans="3:8" s="99" customFormat="1" x14ac:dyDescent="0.2">
      <c r="C7792" s="198"/>
      <c r="D7792" s="198"/>
      <c r="E7792" s="537"/>
      <c r="G7792" s="198"/>
      <c r="H7792" s="123"/>
    </row>
    <row r="7793" spans="3:8" s="99" customFormat="1" x14ac:dyDescent="0.2">
      <c r="C7793" s="198"/>
      <c r="D7793" s="198"/>
      <c r="E7793" s="537"/>
      <c r="G7793" s="198"/>
      <c r="H7793" s="123"/>
    </row>
    <row r="7794" spans="3:8" s="99" customFormat="1" x14ac:dyDescent="0.2">
      <c r="C7794" s="198"/>
      <c r="D7794" s="198"/>
      <c r="E7794" s="537"/>
      <c r="G7794" s="198"/>
      <c r="H7794" s="123"/>
    </row>
    <row r="7795" spans="3:8" s="99" customFormat="1" x14ac:dyDescent="0.2">
      <c r="C7795" s="198"/>
      <c r="D7795" s="198"/>
      <c r="E7795" s="537"/>
      <c r="G7795" s="198"/>
      <c r="H7795" s="123"/>
    </row>
    <row r="7796" spans="3:8" s="99" customFormat="1" x14ac:dyDescent="0.2">
      <c r="C7796" s="198"/>
      <c r="D7796" s="198"/>
      <c r="E7796" s="537"/>
      <c r="G7796" s="198"/>
      <c r="H7796" s="123"/>
    </row>
    <row r="7797" spans="3:8" s="99" customFormat="1" x14ac:dyDescent="0.2">
      <c r="C7797" s="198"/>
      <c r="D7797" s="198"/>
      <c r="E7797" s="537"/>
      <c r="G7797" s="198"/>
      <c r="H7797" s="123"/>
    </row>
    <row r="7798" spans="3:8" s="99" customFormat="1" x14ac:dyDescent="0.2">
      <c r="C7798" s="198"/>
      <c r="D7798" s="198"/>
      <c r="E7798" s="537"/>
      <c r="G7798" s="198"/>
      <c r="H7798" s="123"/>
    </row>
    <row r="7799" spans="3:8" s="99" customFormat="1" x14ac:dyDescent="0.2">
      <c r="C7799" s="198"/>
      <c r="D7799" s="198"/>
      <c r="E7799" s="537"/>
      <c r="G7799" s="198"/>
      <c r="H7799" s="123"/>
    </row>
    <row r="7800" spans="3:8" s="99" customFormat="1" x14ac:dyDescent="0.2">
      <c r="C7800" s="198"/>
      <c r="D7800" s="198"/>
      <c r="E7800" s="537"/>
      <c r="G7800" s="198"/>
      <c r="H7800" s="123"/>
    </row>
    <row r="7801" spans="3:8" s="99" customFormat="1" x14ac:dyDescent="0.2">
      <c r="C7801" s="198"/>
      <c r="D7801" s="198"/>
      <c r="E7801" s="537"/>
      <c r="G7801" s="198"/>
      <c r="H7801" s="123"/>
    </row>
    <row r="7802" spans="3:8" s="99" customFormat="1" x14ac:dyDescent="0.2">
      <c r="C7802" s="198"/>
      <c r="D7802" s="198"/>
      <c r="E7802" s="537"/>
      <c r="G7802" s="198"/>
      <c r="H7802" s="123"/>
    </row>
    <row r="7803" spans="3:8" s="99" customFormat="1" x14ac:dyDescent="0.2">
      <c r="C7803" s="198"/>
      <c r="D7803" s="198"/>
      <c r="E7803" s="537"/>
      <c r="G7803" s="198"/>
      <c r="H7803" s="123"/>
    </row>
    <row r="7804" spans="3:8" s="99" customFormat="1" x14ac:dyDescent="0.2">
      <c r="C7804" s="198"/>
      <c r="D7804" s="198"/>
      <c r="E7804" s="537"/>
      <c r="G7804" s="198"/>
      <c r="H7804" s="123"/>
    </row>
    <row r="7805" spans="3:8" s="99" customFormat="1" x14ac:dyDescent="0.2">
      <c r="C7805" s="198"/>
      <c r="D7805" s="198"/>
      <c r="E7805" s="537"/>
      <c r="G7805" s="198"/>
      <c r="H7805" s="123"/>
    </row>
    <row r="7806" spans="3:8" s="99" customFormat="1" x14ac:dyDescent="0.2">
      <c r="C7806" s="198"/>
      <c r="D7806" s="198"/>
      <c r="E7806" s="537"/>
      <c r="G7806" s="198"/>
      <c r="H7806" s="123"/>
    </row>
    <row r="7807" spans="3:8" s="99" customFormat="1" x14ac:dyDescent="0.2">
      <c r="C7807" s="198"/>
      <c r="D7807" s="198"/>
      <c r="E7807" s="537"/>
      <c r="G7807" s="198"/>
      <c r="H7807" s="123"/>
    </row>
    <row r="7808" spans="3:8" s="99" customFormat="1" x14ac:dyDescent="0.2">
      <c r="C7808" s="198"/>
      <c r="D7808" s="198"/>
      <c r="E7808" s="537"/>
      <c r="G7808" s="198"/>
      <c r="H7808" s="123"/>
    </row>
    <row r="7809" spans="3:8" s="99" customFormat="1" x14ac:dyDescent="0.2">
      <c r="C7809" s="198"/>
      <c r="D7809" s="198"/>
      <c r="E7809" s="537"/>
      <c r="G7809" s="198"/>
      <c r="H7809" s="123"/>
    </row>
    <row r="7810" spans="3:8" s="99" customFormat="1" x14ac:dyDescent="0.2">
      <c r="C7810" s="198"/>
      <c r="D7810" s="198"/>
      <c r="E7810" s="537"/>
      <c r="G7810" s="198"/>
      <c r="H7810" s="123"/>
    </row>
    <row r="7811" spans="3:8" s="99" customFormat="1" x14ac:dyDescent="0.2">
      <c r="C7811" s="198"/>
      <c r="D7811" s="198"/>
      <c r="E7811" s="537"/>
      <c r="G7811" s="198"/>
      <c r="H7811" s="123"/>
    </row>
    <row r="7812" spans="3:8" s="99" customFormat="1" x14ac:dyDescent="0.2">
      <c r="C7812" s="198"/>
      <c r="D7812" s="198"/>
      <c r="E7812" s="537"/>
      <c r="G7812" s="198"/>
      <c r="H7812" s="123"/>
    </row>
    <row r="7813" spans="3:8" s="99" customFormat="1" x14ac:dyDescent="0.2">
      <c r="C7813" s="198"/>
      <c r="D7813" s="198"/>
      <c r="E7813" s="537"/>
      <c r="G7813" s="198"/>
      <c r="H7813" s="123"/>
    </row>
    <row r="7814" spans="3:8" s="99" customFormat="1" x14ac:dyDescent="0.2">
      <c r="C7814" s="198"/>
      <c r="D7814" s="198"/>
      <c r="E7814" s="537"/>
      <c r="G7814" s="198"/>
      <c r="H7814" s="123"/>
    </row>
    <row r="7815" spans="3:8" s="99" customFormat="1" x14ac:dyDescent="0.2">
      <c r="C7815" s="198"/>
      <c r="D7815" s="198"/>
      <c r="E7815" s="537"/>
      <c r="G7815" s="198"/>
      <c r="H7815" s="123"/>
    </row>
    <row r="7816" spans="3:8" s="99" customFormat="1" x14ac:dyDescent="0.2">
      <c r="C7816" s="198"/>
      <c r="D7816" s="198"/>
      <c r="E7816" s="537"/>
      <c r="G7816" s="198"/>
      <c r="H7816" s="123"/>
    </row>
    <row r="7817" spans="3:8" s="99" customFormat="1" x14ac:dyDescent="0.2">
      <c r="C7817" s="198"/>
      <c r="D7817" s="198"/>
      <c r="E7817" s="537"/>
      <c r="G7817" s="198"/>
      <c r="H7817" s="123"/>
    </row>
    <row r="7818" spans="3:8" s="99" customFormat="1" x14ac:dyDescent="0.2">
      <c r="C7818" s="198"/>
      <c r="D7818" s="198"/>
      <c r="E7818" s="537"/>
      <c r="G7818" s="198"/>
      <c r="H7818" s="123"/>
    </row>
    <row r="7819" spans="3:8" s="99" customFormat="1" x14ac:dyDescent="0.2">
      <c r="C7819" s="198"/>
      <c r="D7819" s="198"/>
      <c r="E7819" s="537"/>
      <c r="G7819" s="198"/>
      <c r="H7819" s="123"/>
    </row>
    <row r="7820" spans="3:8" s="99" customFormat="1" x14ac:dyDescent="0.2">
      <c r="C7820" s="198"/>
      <c r="D7820" s="198"/>
      <c r="E7820" s="537"/>
      <c r="G7820" s="198"/>
      <c r="H7820" s="123"/>
    </row>
    <row r="7821" spans="3:8" s="99" customFormat="1" x14ac:dyDescent="0.2">
      <c r="C7821" s="198"/>
      <c r="D7821" s="198"/>
      <c r="E7821" s="537"/>
      <c r="G7821" s="198"/>
      <c r="H7821" s="123"/>
    </row>
    <row r="7822" spans="3:8" s="99" customFormat="1" x14ac:dyDescent="0.2">
      <c r="C7822" s="198"/>
      <c r="D7822" s="198"/>
      <c r="E7822" s="537"/>
      <c r="G7822" s="198"/>
      <c r="H7822" s="123"/>
    </row>
    <row r="7823" spans="3:8" s="99" customFormat="1" x14ac:dyDescent="0.2">
      <c r="C7823" s="198"/>
      <c r="D7823" s="198"/>
      <c r="E7823" s="537"/>
      <c r="G7823" s="198"/>
      <c r="H7823" s="123"/>
    </row>
    <row r="7824" spans="3:8" s="99" customFormat="1" x14ac:dyDescent="0.2">
      <c r="C7824" s="198"/>
      <c r="D7824" s="198"/>
      <c r="E7824" s="537"/>
      <c r="G7824" s="198"/>
      <c r="H7824" s="123"/>
    </row>
    <row r="7825" spans="3:8" s="99" customFormat="1" x14ac:dyDescent="0.2">
      <c r="C7825" s="198"/>
      <c r="D7825" s="198"/>
      <c r="E7825" s="537"/>
      <c r="G7825" s="198"/>
      <c r="H7825" s="123"/>
    </row>
    <row r="7826" spans="3:8" s="99" customFormat="1" x14ac:dyDescent="0.2">
      <c r="C7826" s="198"/>
      <c r="D7826" s="198"/>
      <c r="E7826" s="537"/>
      <c r="G7826" s="198"/>
      <c r="H7826" s="123"/>
    </row>
    <row r="7827" spans="3:8" s="99" customFormat="1" x14ac:dyDescent="0.2">
      <c r="C7827" s="198"/>
      <c r="D7827" s="198"/>
      <c r="E7827" s="537"/>
      <c r="G7827" s="198"/>
      <c r="H7827" s="123"/>
    </row>
    <row r="7828" spans="3:8" s="99" customFormat="1" x14ac:dyDescent="0.2">
      <c r="C7828" s="198"/>
      <c r="D7828" s="198"/>
      <c r="E7828" s="537"/>
      <c r="G7828" s="198"/>
      <c r="H7828" s="123"/>
    </row>
    <row r="7829" spans="3:8" s="99" customFormat="1" x14ac:dyDescent="0.2">
      <c r="C7829" s="198"/>
      <c r="D7829" s="198"/>
      <c r="E7829" s="537"/>
      <c r="G7829" s="198"/>
      <c r="H7829" s="123"/>
    </row>
    <row r="7830" spans="3:8" s="99" customFormat="1" x14ac:dyDescent="0.2">
      <c r="C7830" s="198"/>
      <c r="D7830" s="198"/>
      <c r="E7830" s="537"/>
      <c r="G7830" s="198"/>
      <c r="H7830" s="123"/>
    </row>
    <row r="7831" spans="3:8" s="99" customFormat="1" x14ac:dyDescent="0.2">
      <c r="C7831" s="198"/>
      <c r="D7831" s="198"/>
      <c r="E7831" s="537"/>
      <c r="G7831" s="198"/>
      <c r="H7831" s="123"/>
    </row>
    <row r="7832" spans="3:8" s="99" customFormat="1" x14ac:dyDescent="0.2">
      <c r="C7832" s="198"/>
      <c r="D7832" s="198"/>
      <c r="E7832" s="537"/>
      <c r="G7832" s="198"/>
      <c r="H7832" s="123"/>
    </row>
    <row r="7833" spans="3:8" s="99" customFormat="1" x14ac:dyDescent="0.2">
      <c r="C7833" s="198"/>
      <c r="D7833" s="198"/>
      <c r="E7833" s="537"/>
      <c r="G7833" s="198"/>
      <c r="H7833" s="123"/>
    </row>
    <row r="7834" spans="3:8" s="99" customFormat="1" x14ac:dyDescent="0.2">
      <c r="C7834" s="198"/>
      <c r="D7834" s="198"/>
      <c r="E7834" s="537"/>
      <c r="G7834" s="198"/>
      <c r="H7834" s="123"/>
    </row>
    <row r="7835" spans="3:8" s="99" customFormat="1" x14ac:dyDescent="0.2">
      <c r="C7835" s="198"/>
      <c r="D7835" s="198"/>
      <c r="E7835" s="537"/>
      <c r="G7835" s="198"/>
      <c r="H7835" s="123"/>
    </row>
    <row r="7836" spans="3:8" s="99" customFormat="1" x14ac:dyDescent="0.2">
      <c r="C7836" s="198"/>
      <c r="D7836" s="198"/>
      <c r="E7836" s="537"/>
      <c r="G7836" s="198"/>
      <c r="H7836" s="123"/>
    </row>
    <row r="7837" spans="3:8" s="99" customFormat="1" x14ac:dyDescent="0.2">
      <c r="C7837" s="198"/>
      <c r="D7837" s="198"/>
      <c r="E7837" s="537"/>
      <c r="G7837" s="198"/>
      <c r="H7837" s="123"/>
    </row>
    <row r="7838" spans="3:8" s="99" customFormat="1" x14ac:dyDescent="0.2">
      <c r="C7838" s="198"/>
      <c r="D7838" s="198"/>
      <c r="E7838" s="537"/>
      <c r="G7838" s="198"/>
      <c r="H7838" s="123"/>
    </row>
    <row r="7839" spans="3:8" s="99" customFormat="1" x14ac:dyDescent="0.2">
      <c r="C7839" s="198"/>
      <c r="D7839" s="198"/>
      <c r="E7839" s="537"/>
      <c r="G7839" s="198"/>
      <c r="H7839" s="123"/>
    </row>
    <row r="7840" spans="3:8" s="99" customFormat="1" x14ac:dyDescent="0.2">
      <c r="C7840" s="198"/>
      <c r="D7840" s="198"/>
      <c r="E7840" s="537"/>
      <c r="G7840" s="198"/>
      <c r="H7840" s="123"/>
    </row>
    <row r="7841" spans="3:8" s="99" customFormat="1" x14ac:dyDescent="0.2">
      <c r="C7841" s="198"/>
      <c r="D7841" s="198"/>
      <c r="E7841" s="537"/>
      <c r="G7841" s="198"/>
      <c r="H7841" s="123"/>
    </row>
    <row r="7842" spans="3:8" s="99" customFormat="1" x14ac:dyDescent="0.2">
      <c r="C7842" s="198"/>
      <c r="D7842" s="198"/>
      <c r="E7842" s="537"/>
      <c r="G7842" s="198"/>
      <c r="H7842" s="123"/>
    </row>
    <row r="7843" spans="3:8" s="99" customFormat="1" x14ac:dyDescent="0.2">
      <c r="C7843" s="198"/>
      <c r="D7843" s="198"/>
      <c r="E7843" s="537"/>
      <c r="G7843" s="198"/>
      <c r="H7843" s="123"/>
    </row>
    <row r="7844" spans="3:8" s="99" customFormat="1" x14ac:dyDescent="0.2">
      <c r="C7844" s="198"/>
      <c r="D7844" s="198"/>
      <c r="E7844" s="537"/>
      <c r="G7844" s="198"/>
      <c r="H7844" s="123"/>
    </row>
    <row r="7845" spans="3:8" s="99" customFormat="1" x14ac:dyDescent="0.2">
      <c r="C7845" s="198"/>
      <c r="D7845" s="198"/>
      <c r="E7845" s="537"/>
      <c r="G7845" s="198"/>
      <c r="H7845" s="123"/>
    </row>
    <row r="7846" spans="3:8" s="99" customFormat="1" x14ac:dyDescent="0.2">
      <c r="C7846" s="198"/>
      <c r="D7846" s="198"/>
      <c r="E7846" s="537"/>
      <c r="G7846" s="198"/>
      <c r="H7846" s="123"/>
    </row>
    <row r="7847" spans="3:8" s="99" customFormat="1" x14ac:dyDescent="0.2">
      <c r="C7847" s="198"/>
      <c r="D7847" s="198"/>
      <c r="E7847" s="537"/>
      <c r="G7847" s="198"/>
      <c r="H7847" s="123"/>
    </row>
    <row r="7848" spans="3:8" s="99" customFormat="1" x14ac:dyDescent="0.2">
      <c r="C7848" s="198"/>
      <c r="D7848" s="198"/>
      <c r="E7848" s="537"/>
      <c r="G7848" s="198"/>
      <c r="H7848" s="123"/>
    </row>
    <row r="7849" spans="3:8" s="99" customFormat="1" x14ac:dyDescent="0.2">
      <c r="C7849" s="198"/>
      <c r="D7849" s="198"/>
      <c r="E7849" s="537"/>
      <c r="G7849" s="198"/>
      <c r="H7849" s="123"/>
    </row>
    <row r="7850" spans="3:8" s="99" customFormat="1" x14ac:dyDescent="0.2">
      <c r="C7850" s="198"/>
      <c r="D7850" s="198"/>
      <c r="E7850" s="537"/>
      <c r="G7850" s="198"/>
      <c r="H7850" s="123"/>
    </row>
    <row r="7851" spans="3:8" s="99" customFormat="1" x14ac:dyDescent="0.2">
      <c r="C7851" s="198"/>
      <c r="D7851" s="198"/>
      <c r="E7851" s="537"/>
      <c r="G7851" s="198"/>
      <c r="H7851" s="123"/>
    </row>
    <row r="7852" spans="3:8" s="99" customFormat="1" x14ac:dyDescent="0.2">
      <c r="C7852" s="198"/>
      <c r="D7852" s="198"/>
      <c r="E7852" s="537"/>
      <c r="G7852" s="198"/>
      <c r="H7852" s="123"/>
    </row>
    <row r="7853" spans="3:8" s="99" customFormat="1" x14ac:dyDescent="0.2">
      <c r="C7853" s="198"/>
      <c r="D7853" s="198"/>
      <c r="E7853" s="537"/>
      <c r="G7853" s="198"/>
      <c r="H7853" s="123"/>
    </row>
    <row r="7854" spans="3:8" s="99" customFormat="1" x14ac:dyDescent="0.2">
      <c r="C7854" s="198"/>
      <c r="D7854" s="198"/>
      <c r="E7854" s="537"/>
      <c r="G7854" s="198"/>
      <c r="H7854" s="123"/>
    </row>
    <row r="7855" spans="3:8" s="99" customFormat="1" x14ac:dyDescent="0.2">
      <c r="C7855" s="198"/>
      <c r="D7855" s="198"/>
      <c r="E7855" s="537"/>
      <c r="G7855" s="198"/>
      <c r="H7855" s="123"/>
    </row>
    <row r="7856" spans="3:8" s="99" customFormat="1" x14ac:dyDescent="0.2">
      <c r="C7856" s="198"/>
      <c r="D7856" s="198"/>
      <c r="E7856" s="537"/>
      <c r="G7856" s="198"/>
      <c r="H7856" s="123"/>
    </row>
    <row r="7857" spans="3:8" s="99" customFormat="1" x14ac:dyDescent="0.2">
      <c r="C7857" s="198"/>
      <c r="D7857" s="198"/>
      <c r="E7857" s="537"/>
      <c r="G7857" s="198"/>
      <c r="H7857" s="123"/>
    </row>
    <row r="7858" spans="3:8" s="99" customFormat="1" x14ac:dyDescent="0.2">
      <c r="C7858" s="198"/>
      <c r="D7858" s="198"/>
      <c r="E7858" s="537"/>
      <c r="G7858" s="198"/>
      <c r="H7858" s="123"/>
    </row>
    <row r="7859" spans="3:8" s="99" customFormat="1" x14ac:dyDescent="0.2">
      <c r="C7859" s="198"/>
      <c r="D7859" s="198"/>
      <c r="E7859" s="537"/>
      <c r="G7859" s="198"/>
      <c r="H7859" s="123"/>
    </row>
    <row r="7860" spans="3:8" s="99" customFormat="1" x14ac:dyDescent="0.2">
      <c r="C7860" s="198"/>
      <c r="D7860" s="198"/>
      <c r="E7860" s="537"/>
      <c r="G7860" s="198"/>
      <c r="H7860" s="123"/>
    </row>
    <row r="7861" spans="3:8" s="99" customFormat="1" x14ac:dyDescent="0.2">
      <c r="C7861" s="198"/>
      <c r="D7861" s="198"/>
      <c r="E7861" s="537"/>
      <c r="G7861" s="198"/>
      <c r="H7861" s="123"/>
    </row>
    <row r="7862" spans="3:8" s="99" customFormat="1" x14ac:dyDescent="0.2">
      <c r="C7862" s="198"/>
      <c r="D7862" s="198"/>
      <c r="E7862" s="537"/>
      <c r="G7862" s="198"/>
      <c r="H7862" s="123"/>
    </row>
    <row r="7863" spans="3:8" s="99" customFormat="1" x14ac:dyDescent="0.2">
      <c r="C7863" s="198"/>
      <c r="D7863" s="198"/>
      <c r="E7863" s="537"/>
      <c r="G7863" s="198"/>
      <c r="H7863" s="123"/>
    </row>
    <row r="7864" spans="3:8" s="99" customFormat="1" x14ac:dyDescent="0.2">
      <c r="C7864" s="198"/>
      <c r="D7864" s="198"/>
      <c r="E7864" s="537"/>
      <c r="G7864" s="198"/>
      <c r="H7864" s="123"/>
    </row>
    <row r="7865" spans="3:8" s="99" customFormat="1" x14ac:dyDescent="0.2">
      <c r="C7865" s="198"/>
      <c r="D7865" s="198"/>
      <c r="E7865" s="537"/>
      <c r="G7865" s="198"/>
      <c r="H7865" s="123"/>
    </row>
    <row r="7866" spans="3:8" s="99" customFormat="1" x14ac:dyDescent="0.2">
      <c r="C7866" s="198"/>
      <c r="D7866" s="198"/>
      <c r="E7866" s="537"/>
      <c r="G7866" s="198"/>
      <c r="H7866" s="123"/>
    </row>
    <row r="7867" spans="3:8" s="99" customFormat="1" x14ac:dyDescent="0.2">
      <c r="C7867" s="198"/>
      <c r="D7867" s="198"/>
      <c r="E7867" s="537"/>
      <c r="G7867" s="198"/>
      <c r="H7867" s="123"/>
    </row>
    <row r="7868" spans="3:8" s="99" customFormat="1" x14ac:dyDescent="0.2">
      <c r="C7868" s="198"/>
      <c r="D7868" s="198"/>
      <c r="E7868" s="537"/>
      <c r="G7868" s="198"/>
      <c r="H7868" s="123"/>
    </row>
    <row r="7869" spans="3:8" s="99" customFormat="1" x14ac:dyDescent="0.2">
      <c r="C7869" s="198"/>
      <c r="D7869" s="198"/>
      <c r="E7869" s="537"/>
      <c r="G7869" s="198"/>
      <c r="H7869" s="123"/>
    </row>
    <row r="7870" spans="3:8" s="99" customFormat="1" x14ac:dyDescent="0.2">
      <c r="C7870" s="198"/>
      <c r="D7870" s="198"/>
      <c r="E7870" s="537"/>
      <c r="G7870" s="198"/>
      <c r="H7870" s="123"/>
    </row>
    <row r="7871" spans="3:8" s="99" customFormat="1" x14ac:dyDescent="0.2">
      <c r="C7871" s="198"/>
      <c r="D7871" s="198"/>
      <c r="E7871" s="537"/>
      <c r="G7871" s="198"/>
      <c r="H7871" s="123"/>
    </row>
    <row r="7872" spans="3:8" s="99" customFormat="1" x14ac:dyDescent="0.2">
      <c r="C7872" s="198"/>
      <c r="D7872" s="198"/>
      <c r="E7872" s="537"/>
      <c r="G7872" s="198"/>
      <c r="H7872" s="123"/>
    </row>
    <row r="7873" spans="3:8" s="99" customFormat="1" x14ac:dyDescent="0.2">
      <c r="C7873" s="198"/>
      <c r="D7873" s="198"/>
      <c r="E7873" s="537"/>
      <c r="G7873" s="198"/>
      <c r="H7873" s="123"/>
    </row>
    <row r="7874" spans="3:8" s="99" customFormat="1" x14ac:dyDescent="0.2">
      <c r="C7874" s="198"/>
      <c r="D7874" s="198"/>
      <c r="E7874" s="537"/>
      <c r="G7874" s="198"/>
      <c r="H7874" s="123"/>
    </row>
    <row r="7875" spans="3:8" s="99" customFormat="1" x14ac:dyDescent="0.2">
      <c r="C7875" s="198"/>
      <c r="D7875" s="198"/>
      <c r="E7875" s="537"/>
      <c r="G7875" s="198"/>
      <c r="H7875" s="123"/>
    </row>
    <row r="7876" spans="3:8" s="99" customFormat="1" x14ac:dyDescent="0.2">
      <c r="C7876" s="198"/>
      <c r="D7876" s="198"/>
      <c r="E7876" s="537"/>
      <c r="G7876" s="198"/>
      <c r="H7876" s="123"/>
    </row>
    <row r="7877" spans="3:8" s="99" customFormat="1" x14ac:dyDescent="0.2">
      <c r="C7877" s="198"/>
      <c r="D7877" s="198"/>
      <c r="E7877" s="537"/>
      <c r="G7877" s="198"/>
      <c r="H7877" s="123"/>
    </row>
    <row r="7878" spans="3:8" s="99" customFormat="1" x14ac:dyDescent="0.2">
      <c r="C7878" s="198"/>
      <c r="D7878" s="198"/>
      <c r="E7878" s="537"/>
      <c r="G7878" s="198"/>
      <c r="H7878" s="123"/>
    </row>
    <row r="7879" spans="3:8" s="99" customFormat="1" x14ac:dyDescent="0.2">
      <c r="C7879" s="198"/>
      <c r="D7879" s="198"/>
      <c r="E7879" s="537"/>
      <c r="G7879" s="198"/>
      <c r="H7879" s="123"/>
    </row>
    <row r="7880" spans="3:8" s="99" customFormat="1" x14ac:dyDescent="0.2">
      <c r="C7880" s="198"/>
      <c r="D7880" s="198"/>
      <c r="E7880" s="537"/>
      <c r="G7880" s="198"/>
      <c r="H7880" s="123"/>
    </row>
    <row r="7881" spans="3:8" s="99" customFormat="1" x14ac:dyDescent="0.2">
      <c r="C7881" s="198"/>
      <c r="D7881" s="198"/>
      <c r="E7881" s="537"/>
      <c r="G7881" s="198"/>
      <c r="H7881" s="123"/>
    </row>
    <row r="7882" spans="3:8" s="99" customFormat="1" x14ac:dyDescent="0.2">
      <c r="C7882" s="198"/>
      <c r="D7882" s="198"/>
      <c r="E7882" s="537"/>
      <c r="G7882" s="198"/>
      <c r="H7882" s="123"/>
    </row>
    <row r="7883" spans="3:8" s="99" customFormat="1" x14ac:dyDescent="0.2">
      <c r="C7883" s="198"/>
      <c r="D7883" s="198"/>
      <c r="E7883" s="537"/>
      <c r="G7883" s="198"/>
      <c r="H7883" s="123"/>
    </row>
    <row r="7884" spans="3:8" s="99" customFormat="1" x14ac:dyDescent="0.2">
      <c r="C7884" s="198"/>
      <c r="D7884" s="198"/>
      <c r="E7884" s="537"/>
      <c r="G7884" s="198"/>
      <c r="H7884" s="123"/>
    </row>
    <row r="7885" spans="3:8" s="99" customFormat="1" x14ac:dyDescent="0.2">
      <c r="C7885" s="198"/>
      <c r="D7885" s="198"/>
      <c r="E7885" s="537"/>
      <c r="G7885" s="198"/>
      <c r="H7885" s="123"/>
    </row>
    <row r="7886" spans="3:8" s="99" customFormat="1" x14ac:dyDescent="0.2">
      <c r="C7886" s="198"/>
      <c r="D7886" s="198"/>
      <c r="E7886" s="537"/>
      <c r="G7886" s="198"/>
      <c r="H7886" s="123"/>
    </row>
    <row r="7887" spans="3:8" s="99" customFormat="1" x14ac:dyDescent="0.2">
      <c r="C7887" s="198"/>
      <c r="D7887" s="198"/>
      <c r="E7887" s="537"/>
      <c r="G7887" s="198"/>
      <c r="H7887" s="123"/>
    </row>
    <row r="7888" spans="3:8" s="99" customFormat="1" x14ac:dyDescent="0.2">
      <c r="C7888" s="198"/>
      <c r="D7888" s="198"/>
      <c r="E7888" s="537"/>
      <c r="G7888" s="198"/>
      <c r="H7888" s="123"/>
    </row>
    <row r="7889" spans="3:8" s="99" customFormat="1" x14ac:dyDescent="0.2">
      <c r="C7889" s="198"/>
      <c r="D7889" s="198"/>
      <c r="E7889" s="537"/>
      <c r="G7889" s="198"/>
      <c r="H7889" s="123"/>
    </row>
    <row r="7890" spans="3:8" s="99" customFormat="1" x14ac:dyDescent="0.2">
      <c r="C7890" s="198"/>
      <c r="D7890" s="198"/>
      <c r="E7890" s="537"/>
      <c r="G7890" s="198"/>
      <c r="H7890" s="123"/>
    </row>
    <row r="7891" spans="3:8" s="99" customFormat="1" x14ac:dyDescent="0.2">
      <c r="C7891" s="198"/>
      <c r="D7891" s="198"/>
      <c r="E7891" s="537"/>
      <c r="G7891" s="198"/>
      <c r="H7891" s="123"/>
    </row>
    <row r="7892" spans="3:8" s="99" customFormat="1" x14ac:dyDescent="0.2">
      <c r="C7892" s="198"/>
      <c r="D7892" s="198"/>
      <c r="E7892" s="537"/>
      <c r="G7892" s="198"/>
      <c r="H7892" s="123"/>
    </row>
    <row r="7893" spans="3:8" s="99" customFormat="1" x14ac:dyDescent="0.2">
      <c r="C7893" s="198"/>
      <c r="D7893" s="198"/>
      <c r="E7893" s="537"/>
      <c r="G7893" s="198"/>
      <c r="H7893" s="123"/>
    </row>
    <row r="7894" spans="3:8" s="99" customFormat="1" x14ac:dyDescent="0.2">
      <c r="C7894" s="198"/>
      <c r="D7894" s="198"/>
      <c r="E7894" s="537"/>
      <c r="G7894" s="198"/>
      <c r="H7894" s="123"/>
    </row>
    <row r="7895" spans="3:8" s="99" customFormat="1" x14ac:dyDescent="0.2">
      <c r="C7895" s="198"/>
      <c r="D7895" s="198"/>
      <c r="E7895" s="537"/>
      <c r="G7895" s="198"/>
      <c r="H7895" s="123"/>
    </row>
    <row r="7896" spans="3:8" s="99" customFormat="1" x14ac:dyDescent="0.2">
      <c r="C7896" s="198"/>
      <c r="D7896" s="198"/>
      <c r="E7896" s="537"/>
      <c r="G7896" s="198"/>
      <c r="H7896" s="123"/>
    </row>
    <row r="7897" spans="3:8" s="99" customFormat="1" x14ac:dyDescent="0.2">
      <c r="C7897" s="198"/>
      <c r="D7897" s="198"/>
      <c r="E7897" s="537"/>
      <c r="G7897" s="198"/>
      <c r="H7897" s="123"/>
    </row>
    <row r="7898" spans="3:8" s="99" customFormat="1" x14ac:dyDescent="0.2">
      <c r="C7898" s="198"/>
      <c r="D7898" s="198"/>
      <c r="E7898" s="537"/>
      <c r="G7898" s="198"/>
      <c r="H7898" s="123"/>
    </row>
    <row r="7899" spans="3:8" s="99" customFormat="1" x14ac:dyDescent="0.2">
      <c r="C7899" s="198"/>
      <c r="D7899" s="198"/>
      <c r="E7899" s="537"/>
      <c r="G7899" s="198"/>
      <c r="H7899" s="123"/>
    </row>
    <row r="7900" spans="3:8" s="99" customFormat="1" x14ac:dyDescent="0.2">
      <c r="C7900" s="198"/>
      <c r="D7900" s="198"/>
      <c r="E7900" s="537"/>
      <c r="G7900" s="198"/>
      <c r="H7900" s="123"/>
    </row>
    <row r="7901" spans="3:8" s="99" customFormat="1" x14ac:dyDescent="0.2">
      <c r="C7901" s="198"/>
      <c r="D7901" s="198"/>
      <c r="E7901" s="537"/>
      <c r="G7901" s="198"/>
      <c r="H7901" s="123"/>
    </row>
    <row r="7902" spans="3:8" s="99" customFormat="1" x14ac:dyDescent="0.2">
      <c r="C7902" s="198"/>
      <c r="D7902" s="198"/>
      <c r="E7902" s="537"/>
      <c r="G7902" s="198"/>
      <c r="H7902" s="123"/>
    </row>
    <row r="7903" spans="3:8" s="99" customFormat="1" x14ac:dyDescent="0.2">
      <c r="C7903" s="198"/>
      <c r="D7903" s="198"/>
      <c r="E7903" s="537"/>
      <c r="G7903" s="198"/>
      <c r="H7903" s="123"/>
    </row>
    <row r="7904" spans="3:8" s="99" customFormat="1" x14ac:dyDescent="0.2">
      <c r="C7904" s="198"/>
      <c r="D7904" s="198"/>
      <c r="E7904" s="537"/>
      <c r="G7904" s="198"/>
      <c r="H7904" s="123"/>
    </row>
    <row r="7905" spans="3:8" s="99" customFormat="1" x14ac:dyDescent="0.2">
      <c r="C7905" s="198"/>
      <c r="D7905" s="198"/>
      <c r="E7905" s="537"/>
      <c r="G7905" s="198"/>
      <c r="H7905" s="123"/>
    </row>
    <row r="7906" spans="3:8" s="99" customFormat="1" x14ac:dyDescent="0.2">
      <c r="C7906" s="198"/>
      <c r="D7906" s="198"/>
      <c r="E7906" s="537"/>
      <c r="G7906" s="198"/>
      <c r="H7906" s="123"/>
    </row>
    <row r="7907" spans="3:8" s="99" customFormat="1" x14ac:dyDescent="0.2">
      <c r="C7907" s="198"/>
      <c r="D7907" s="198"/>
      <c r="E7907" s="537"/>
      <c r="G7907" s="198"/>
      <c r="H7907" s="123"/>
    </row>
    <row r="7908" spans="3:8" s="99" customFormat="1" x14ac:dyDescent="0.2">
      <c r="C7908" s="198"/>
      <c r="D7908" s="198"/>
      <c r="E7908" s="537"/>
      <c r="G7908" s="198"/>
      <c r="H7908" s="123"/>
    </row>
    <row r="7909" spans="3:8" s="99" customFormat="1" x14ac:dyDescent="0.2">
      <c r="C7909" s="198"/>
      <c r="D7909" s="198"/>
      <c r="E7909" s="537"/>
      <c r="G7909" s="198"/>
      <c r="H7909" s="123"/>
    </row>
    <row r="7910" spans="3:8" s="99" customFormat="1" x14ac:dyDescent="0.2">
      <c r="C7910" s="198"/>
      <c r="D7910" s="198"/>
      <c r="E7910" s="537"/>
      <c r="G7910" s="198"/>
      <c r="H7910" s="123"/>
    </row>
    <row r="7911" spans="3:8" s="99" customFormat="1" x14ac:dyDescent="0.2">
      <c r="C7911" s="198"/>
      <c r="D7911" s="198"/>
      <c r="E7911" s="537"/>
      <c r="G7911" s="198"/>
      <c r="H7911" s="123"/>
    </row>
    <row r="7912" spans="3:8" s="99" customFormat="1" x14ac:dyDescent="0.2">
      <c r="C7912" s="198"/>
      <c r="D7912" s="198"/>
      <c r="E7912" s="537"/>
      <c r="G7912" s="198"/>
      <c r="H7912" s="123"/>
    </row>
    <row r="7913" spans="3:8" s="99" customFormat="1" x14ac:dyDescent="0.2">
      <c r="C7913" s="198"/>
      <c r="D7913" s="198"/>
      <c r="E7913" s="537"/>
      <c r="G7913" s="198"/>
      <c r="H7913" s="123"/>
    </row>
    <row r="7914" spans="3:8" s="99" customFormat="1" x14ac:dyDescent="0.2">
      <c r="C7914" s="198"/>
      <c r="D7914" s="198"/>
      <c r="E7914" s="537"/>
      <c r="G7914" s="198"/>
      <c r="H7914" s="123"/>
    </row>
    <row r="7915" spans="3:8" s="99" customFormat="1" x14ac:dyDescent="0.2">
      <c r="C7915" s="198"/>
      <c r="D7915" s="198"/>
      <c r="E7915" s="537"/>
      <c r="G7915" s="198"/>
      <c r="H7915" s="123"/>
    </row>
    <row r="7916" spans="3:8" s="99" customFormat="1" x14ac:dyDescent="0.2">
      <c r="C7916" s="198"/>
      <c r="D7916" s="198"/>
      <c r="E7916" s="537"/>
      <c r="G7916" s="198"/>
      <c r="H7916" s="123"/>
    </row>
    <row r="7917" spans="3:8" s="99" customFormat="1" x14ac:dyDescent="0.2">
      <c r="C7917" s="198"/>
      <c r="D7917" s="198"/>
      <c r="E7917" s="537"/>
      <c r="G7917" s="198"/>
      <c r="H7917" s="123"/>
    </row>
    <row r="7918" spans="3:8" s="99" customFormat="1" x14ac:dyDescent="0.2">
      <c r="C7918" s="198"/>
      <c r="D7918" s="198"/>
      <c r="E7918" s="537"/>
      <c r="G7918" s="198"/>
      <c r="H7918" s="123"/>
    </row>
    <row r="7919" spans="3:8" s="99" customFormat="1" x14ac:dyDescent="0.2">
      <c r="C7919" s="198"/>
      <c r="D7919" s="198"/>
      <c r="E7919" s="537"/>
      <c r="G7919" s="198"/>
      <c r="H7919" s="123"/>
    </row>
    <row r="7920" spans="3:8" s="99" customFormat="1" x14ac:dyDescent="0.2">
      <c r="C7920" s="198"/>
      <c r="D7920" s="198"/>
      <c r="E7920" s="537"/>
      <c r="G7920" s="198"/>
      <c r="H7920" s="123"/>
    </row>
    <row r="7921" spans="3:8" s="99" customFormat="1" x14ac:dyDescent="0.2">
      <c r="C7921" s="198"/>
      <c r="D7921" s="198"/>
      <c r="E7921" s="537"/>
      <c r="G7921" s="198"/>
      <c r="H7921" s="123"/>
    </row>
    <row r="7922" spans="3:8" s="99" customFormat="1" x14ac:dyDescent="0.2">
      <c r="C7922" s="198"/>
      <c r="D7922" s="198"/>
      <c r="E7922" s="537"/>
      <c r="G7922" s="198"/>
      <c r="H7922" s="123"/>
    </row>
    <row r="7923" spans="3:8" s="99" customFormat="1" x14ac:dyDescent="0.2">
      <c r="C7923" s="198"/>
      <c r="D7923" s="198"/>
      <c r="E7923" s="537"/>
      <c r="G7923" s="198"/>
      <c r="H7923" s="123"/>
    </row>
    <row r="7924" spans="3:8" s="99" customFormat="1" x14ac:dyDescent="0.2">
      <c r="C7924" s="198"/>
      <c r="D7924" s="198"/>
      <c r="E7924" s="537"/>
      <c r="G7924" s="198"/>
      <c r="H7924" s="123"/>
    </row>
    <row r="7925" spans="3:8" s="99" customFormat="1" x14ac:dyDescent="0.2">
      <c r="C7925" s="198"/>
      <c r="D7925" s="198"/>
      <c r="E7925" s="537"/>
      <c r="G7925" s="198"/>
      <c r="H7925" s="123"/>
    </row>
    <row r="7926" spans="3:8" s="99" customFormat="1" x14ac:dyDescent="0.2">
      <c r="C7926" s="198"/>
      <c r="D7926" s="198"/>
      <c r="E7926" s="537"/>
      <c r="G7926" s="198"/>
      <c r="H7926" s="123"/>
    </row>
    <row r="7927" spans="3:8" s="99" customFormat="1" x14ac:dyDescent="0.2">
      <c r="C7927" s="198"/>
      <c r="D7927" s="198"/>
      <c r="E7927" s="537"/>
      <c r="G7927" s="198"/>
      <c r="H7927" s="123"/>
    </row>
    <row r="7928" spans="3:8" s="99" customFormat="1" x14ac:dyDescent="0.2">
      <c r="C7928" s="198"/>
      <c r="D7928" s="198"/>
      <c r="E7928" s="537"/>
      <c r="G7928" s="198"/>
      <c r="H7928" s="123"/>
    </row>
    <row r="7929" spans="3:8" s="99" customFormat="1" x14ac:dyDescent="0.2">
      <c r="C7929" s="198"/>
      <c r="D7929" s="198"/>
      <c r="E7929" s="537"/>
      <c r="G7929" s="198"/>
      <c r="H7929" s="123"/>
    </row>
    <row r="7930" spans="3:8" s="99" customFormat="1" x14ac:dyDescent="0.2">
      <c r="C7930" s="198"/>
      <c r="D7930" s="198"/>
      <c r="E7930" s="537"/>
      <c r="G7930" s="198"/>
      <c r="H7930" s="123"/>
    </row>
    <row r="7931" spans="3:8" s="99" customFormat="1" x14ac:dyDescent="0.2">
      <c r="C7931" s="198"/>
      <c r="D7931" s="198"/>
      <c r="E7931" s="537"/>
      <c r="G7931" s="198"/>
      <c r="H7931" s="123"/>
    </row>
    <row r="7932" spans="3:8" s="99" customFormat="1" x14ac:dyDescent="0.2">
      <c r="C7932" s="198"/>
      <c r="D7932" s="198"/>
      <c r="E7932" s="537"/>
      <c r="G7932" s="198"/>
      <c r="H7932" s="123"/>
    </row>
    <row r="7933" spans="3:8" s="99" customFormat="1" x14ac:dyDescent="0.2">
      <c r="C7933" s="198"/>
      <c r="D7933" s="198"/>
      <c r="E7933" s="537"/>
      <c r="G7933" s="198"/>
      <c r="H7933" s="123"/>
    </row>
    <row r="7934" spans="3:8" s="99" customFormat="1" x14ac:dyDescent="0.2">
      <c r="C7934" s="198"/>
      <c r="D7934" s="198"/>
      <c r="E7934" s="537"/>
      <c r="G7934" s="198"/>
      <c r="H7934" s="123"/>
    </row>
    <row r="7935" spans="3:8" s="99" customFormat="1" x14ac:dyDescent="0.2">
      <c r="C7935" s="198"/>
      <c r="D7935" s="198"/>
      <c r="E7935" s="537"/>
      <c r="G7935" s="198"/>
      <c r="H7935" s="123"/>
    </row>
    <row r="7936" spans="3:8" s="99" customFormat="1" x14ac:dyDescent="0.2">
      <c r="C7936" s="198"/>
      <c r="D7936" s="198"/>
      <c r="E7936" s="537"/>
      <c r="G7936" s="198"/>
      <c r="H7936" s="123"/>
    </row>
    <row r="7937" spans="3:8" s="99" customFormat="1" x14ac:dyDescent="0.2">
      <c r="C7937" s="198"/>
      <c r="D7937" s="198"/>
      <c r="E7937" s="537"/>
      <c r="G7937" s="198"/>
      <c r="H7937" s="123"/>
    </row>
    <row r="7938" spans="3:8" s="99" customFormat="1" x14ac:dyDescent="0.2">
      <c r="C7938" s="198"/>
      <c r="D7938" s="198"/>
      <c r="E7938" s="537"/>
      <c r="G7938" s="198"/>
      <c r="H7938" s="123"/>
    </row>
    <row r="7939" spans="3:8" s="99" customFormat="1" x14ac:dyDescent="0.2">
      <c r="C7939" s="198"/>
      <c r="D7939" s="198"/>
      <c r="E7939" s="537"/>
      <c r="G7939" s="198"/>
      <c r="H7939" s="123"/>
    </row>
    <row r="7940" spans="3:8" s="99" customFormat="1" x14ac:dyDescent="0.2">
      <c r="C7940" s="198"/>
      <c r="D7940" s="198"/>
      <c r="E7940" s="537"/>
      <c r="G7940" s="198"/>
      <c r="H7940" s="123"/>
    </row>
    <row r="7941" spans="3:8" s="99" customFormat="1" x14ac:dyDescent="0.2">
      <c r="C7941" s="198"/>
      <c r="D7941" s="198"/>
      <c r="E7941" s="537"/>
      <c r="G7941" s="198"/>
      <c r="H7941" s="123"/>
    </row>
    <row r="7942" spans="3:8" s="99" customFormat="1" x14ac:dyDescent="0.2">
      <c r="C7942" s="198"/>
      <c r="D7942" s="198"/>
      <c r="E7942" s="537"/>
      <c r="G7942" s="198"/>
      <c r="H7942" s="123"/>
    </row>
    <row r="7943" spans="3:8" s="99" customFormat="1" x14ac:dyDescent="0.2">
      <c r="C7943" s="198"/>
      <c r="D7943" s="198"/>
      <c r="E7943" s="537"/>
      <c r="G7943" s="198"/>
      <c r="H7943" s="123"/>
    </row>
    <row r="7944" spans="3:8" s="99" customFormat="1" x14ac:dyDescent="0.2">
      <c r="C7944" s="198"/>
      <c r="D7944" s="198"/>
      <c r="E7944" s="537"/>
      <c r="G7944" s="198"/>
      <c r="H7944" s="123"/>
    </row>
    <row r="7945" spans="3:8" s="99" customFormat="1" x14ac:dyDescent="0.2">
      <c r="C7945" s="198"/>
      <c r="D7945" s="198"/>
      <c r="E7945" s="537"/>
      <c r="G7945" s="198"/>
      <c r="H7945" s="123"/>
    </row>
    <row r="7946" spans="3:8" s="99" customFormat="1" x14ac:dyDescent="0.2">
      <c r="C7946" s="198"/>
      <c r="D7946" s="198"/>
      <c r="E7946" s="537"/>
      <c r="G7946" s="198"/>
      <c r="H7946" s="123"/>
    </row>
    <row r="7947" spans="3:8" s="99" customFormat="1" x14ac:dyDescent="0.2">
      <c r="C7947" s="198"/>
      <c r="D7947" s="198"/>
      <c r="E7947" s="537"/>
      <c r="G7947" s="198"/>
      <c r="H7947" s="123"/>
    </row>
    <row r="7948" spans="3:8" s="99" customFormat="1" x14ac:dyDescent="0.2">
      <c r="C7948" s="198"/>
      <c r="D7948" s="198"/>
      <c r="E7948" s="537"/>
      <c r="G7948" s="198"/>
      <c r="H7948" s="123"/>
    </row>
    <row r="7949" spans="3:8" s="99" customFormat="1" x14ac:dyDescent="0.2">
      <c r="C7949" s="198"/>
      <c r="D7949" s="198"/>
      <c r="E7949" s="537"/>
      <c r="G7949" s="198"/>
      <c r="H7949" s="123"/>
    </row>
    <row r="7950" spans="3:8" s="99" customFormat="1" x14ac:dyDescent="0.2">
      <c r="C7950" s="198"/>
      <c r="D7950" s="198"/>
      <c r="E7950" s="537"/>
      <c r="G7950" s="198"/>
      <c r="H7950" s="123"/>
    </row>
    <row r="7951" spans="3:8" s="99" customFormat="1" x14ac:dyDescent="0.2">
      <c r="C7951" s="198"/>
      <c r="D7951" s="198"/>
      <c r="E7951" s="537"/>
      <c r="G7951" s="198"/>
      <c r="H7951" s="123"/>
    </row>
    <row r="7952" spans="3:8" s="99" customFormat="1" x14ac:dyDescent="0.2">
      <c r="C7952" s="198"/>
      <c r="D7952" s="198"/>
      <c r="E7952" s="537"/>
      <c r="G7952" s="198"/>
      <c r="H7952" s="123"/>
    </row>
    <row r="7953" spans="3:8" s="99" customFormat="1" x14ac:dyDescent="0.2">
      <c r="C7953" s="198"/>
      <c r="D7953" s="198"/>
      <c r="E7953" s="537"/>
      <c r="G7953" s="198"/>
      <c r="H7953" s="123"/>
    </row>
    <row r="7954" spans="3:8" s="99" customFormat="1" x14ac:dyDescent="0.2">
      <c r="C7954" s="198"/>
      <c r="D7954" s="198"/>
      <c r="E7954" s="537"/>
      <c r="G7954" s="198"/>
      <c r="H7954" s="123"/>
    </row>
    <row r="7955" spans="3:8" s="99" customFormat="1" x14ac:dyDescent="0.2">
      <c r="C7955" s="198"/>
      <c r="D7955" s="198"/>
      <c r="E7955" s="537"/>
      <c r="G7955" s="198"/>
      <c r="H7955" s="123"/>
    </row>
    <row r="7956" spans="3:8" s="99" customFormat="1" x14ac:dyDescent="0.2">
      <c r="C7956" s="198"/>
      <c r="D7956" s="198"/>
      <c r="E7956" s="537"/>
      <c r="G7956" s="198"/>
      <c r="H7956" s="123"/>
    </row>
    <row r="7957" spans="3:8" s="99" customFormat="1" x14ac:dyDescent="0.2">
      <c r="C7957" s="198"/>
      <c r="D7957" s="198"/>
      <c r="E7957" s="537"/>
      <c r="G7957" s="198"/>
      <c r="H7957" s="123"/>
    </row>
    <row r="7958" spans="3:8" s="99" customFormat="1" x14ac:dyDescent="0.2">
      <c r="C7958" s="198"/>
      <c r="D7958" s="198"/>
      <c r="E7958" s="537"/>
      <c r="G7958" s="198"/>
      <c r="H7958" s="123"/>
    </row>
    <row r="7959" spans="3:8" s="99" customFormat="1" x14ac:dyDescent="0.2">
      <c r="C7959" s="198"/>
      <c r="D7959" s="198"/>
      <c r="E7959" s="537"/>
      <c r="G7959" s="198"/>
      <c r="H7959" s="123"/>
    </row>
    <row r="7960" spans="3:8" s="99" customFormat="1" x14ac:dyDescent="0.2">
      <c r="C7960" s="198"/>
      <c r="D7960" s="198"/>
      <c r="E7960" s="537"/>
      <c r="G7960" s="198"/>
      <c r="H7960" s="123"/>
    </row>
    <row r="7961" spans="3:8" s="99" customFormat="1" x14ac:dyDescent="0.2">
      <c r="C7961" s="198"/>
      <c r="D7961" s="198"/>
      <c r="E7961" s="537"/>
      <c r="G7961" s="198"/>
      <c r="H7961" s="123"/>
    </row>
    <row r="7962" spans="3:8" s="99" customFormat="1" x14ac:dyDescent="0.2">
      <c r="C7962" s="198"/>
      <c r="D7962" s="198"/>
      <c r="E7962" s="537"/>
      <c r="G7962" s="198"/>
      <c r="H7962" s="123"/>
    </row>
    <row r="7963" spans="3:8" s="99" customFormat="1" x14ac:dyDescent="0.2">
      <c r="C7963" s="198"/>
      <c r="D7963" s="198"/>
      <c r="E7963" s="537"/>
      <c r="G7963" s="198"/>
      <c r="H7963" s="123"/>
    </row>
    <row r="7964" spans="3:8" s="99" customFormat="1" x14ac:dyDescent="0.2">
      <c r="C7964" s="198"/>
      <c r="D7964" s="198"/>
      <c r="E7964" s="537"/>
      <c r="G7964" s="198"/>
      <c r="H7964" s="123"/>
    </row>
    <row r="7965" spans="3:8" s="99" customFormat="1" x14ac:dyDescent="0.2">
      <c r="C7965" s="198"/>
      <c r="D7965" s="198"/>
      <c r="E7965" s="537"/>
      <c r="G7965" s="198"/>
      <c r="H7965" s="123"/>
    </row>
    <row r="7966" spans="3:8" s="99" customFormat="1" x14ac:dyDescent="0.2">
      <c r="C7966" s="198"/>
      <c r="D7966" s="198"/>
      <c r="E7966" s="537"/>
      <c r="G7966" s="198"/>
      <c r="H7966" s="123"/>
    </row>
    <row r="7967" spans="3:8" s="99" customFormat="1" x14ac:dyDescent="0.2">
      <c r="C7967" s="198"/>
      <c r="D7967" s="198"/>
      <c r="E7967" s="537"/>
      <c r="G7967" s="198"/>
      <c r="H7967" s="123"/>
    </row>
    <row r="7968" spans="3:8" s="99" customFormat="1" x14ac:dyDescent="0.2">
      <c r="C7968" s="198"/>
      <c r="D7968" s="198"/>
      <c r="E7968" s="537"/>
      <c r="G7968" s="198"/>
      <c r="H7968" s="123"/>
    </row>
    <row r="7969" spans="3:8" s="99" customFormat="1" x14ac:dyDescent="0.2">
      <c r="C7969" s="198"/>
      <c r="D7969" s="198"/>
      <c r="E7969" s="537"/>
      <c r="G7969" s="198"/>
      <c r="H7969" s="123"/>
    </row>
    <row r="7970" spans="3:8" s="99" customFormat="1" x14ac:dyDescent="0.2">
      <c r="C7970" s="198"/>
      <c r="D7970" s="198"/>
      <c r="E7970" s="537"/>
      <c r="G7970" s="198"/>
      <c r="H7970" s="123"/>
    </row>
    <row r="7971" spans="3:8" s="99" customFormat="1" x14ac:dyDescent="0.2">
      <c r="C7971" s="198"/>
      <c r="D7971" s="198"/>
      <c r="E7971" s="537"/>
      <c r="G7971" s="198"/>
      <c r="H7971" s="123"/>
    </row>
    <row r="7972" spans="3:8" s="99" customFormat="1" x14ac:dyDescent="0.2">
      <c r="C7972" s="198"/>
      <c r="D7972" s="198"/>
      <c r="E7972" s="537"/>
      <c r="G7972" s="198"/>
      <c r="H7972" s="123"/>
    </row>
    <row r="7973" spans="3:8" s="99" customFormat="1" x14ac:dyDescent="0.2">
      <c r="C7973" s="198"/>
      <c r="D7973" s="198"/>
      <c r="E7973" s="537"/>
      <c r="G7973" s="198"/>
      <c r="H7973" s="123"/>
    </row>
    <row r="7974" spans="3:8" s="99" customFormat="1" x14ac:dyDescent="0.2">
      <c r="C7974" s="198"/>
      <c r="D7974" s="198"/>
      <c r="E7974" s="537"/>
      <c r="G7974" s="198"/>
      <c r="H7974" s="123"/>
    </row>
    <row r="7975" spans="3:8" s="99" customFormat="1" x14ac:dyDescent="0.2">
      <c r="C7975" s="198"/>
      <c r="D7975" s="198"/>
      <c r="E7975" s="537"/>
      <c r="G7975" s="198"/>
      <c r="H7975" s="123"/>
    </row>
    <row r="7976" spans="3:8" s="99" customFormat="1" x14ac:dyDescent="0.2">
      <c r="C7976" s="198"/>
      <c r="D7976" s="198"/>
      <c r="E7976" s="537"/>
      <c r="G7976" s="198"/>
      <c r="H7976" s="123"/>
    </row>
    <row r="7977" spans="3:8" s="99" customFormat="1" x14ac:dyDescent="0.2">
      <c r="C7977" s="198"/>
      <c r="D7977" s="198"/>
      <c r="E7977" s="537"/>
      <c r="G7977" s="198"/>
      <c r="H7977" s="123"/>
    </row>
    <row r="7978" spans="3:8" s="99" customFormat="1" x14ac:dyDescent="0.2">
      <c r="C7978" s="198"/>
      <c r="D7978" s="198"/>
      <c r="E7978" s="537"/>
      <c r="G7978" s="198"/>
      <c r="H7978" s="123"/>
    </row>
    <row r="7979" spans="3:8" s="99" customFormat="1" x14ac:dyDescent="0.2">
      <c r="C7979" s="198"/>
      <c r="D7979" s="198"/>
      <c r="E7979" s="537"/>
      <c r="G7979" s="198"/>
      <c r="H7979" s="123"/>
    </row>
    <row r="7980" spans="3:8" s="99" customFormat="1" x14ac:dyDescent="0.2">
      <c r="C7980" s="198"/>
      <c r="D7980" s="198"/>
      <c r="E7980" s="537"/>
      <c r="G7980" s="198"/>
      <c r="H7980" s="123"/>
    </row>
    <row r="7981" spans="3:8" s="99" customFormat="1" x14ac:dyDescent="0.2">
      <c r="C7981" s="198"/>
      <c r="D7981" s="198"/>
      <c r="E7981" s="537"/>
      <c r="G7981" s="198"/>
      <c r="H7981" s="123"/>
    </row>
    <row r="7982" spans="3:8" s="99" customFormat="1" x14ac:dyDescent="0.2">
      <c r="C7982" s="198"/>
      <c r="D7982" s="198"/>
      <c r="E7982" s="537"/>
      <c r="G7982" s="198"/>
      <c r="H7982" s="123"/>
    </row>
    <row r="7983" spans="3:8" s="99" customFormat="1" x14ac:dyDescent="0.2">
      <c r="C7983" s="198"/>
      <c r="D7983" s="198"/>
      <c r="E7983" s="537"/>
      <c r="G7983" s="198"/>
      <c r="H7983" s="123"/>
    </row>
    <row r="7984" spans="3:8" s="99" customFormat="1" x14ac:dyDescent="0.2">
      <c r="C7984" s="198"/>
      <c r="D7984" s="198"/>
      <c r="E7984" s="537"/>
      <c r="G7984" s="198"/>
      <c r="H7984" s="123"/>
    </row>
    <row r="7985" spans="3:8" s="99" customFormat="1" x14ac:dyDescent="0.2">
      <c r="C7985" s="198"/>
      <c r="D7985" s="198"/>
      <c r="E7985" s="537"/>
      <c r="G7985" s="198"/>
      <c r="H7985" s="123"/>
    </row>
    <row r="7986" spans="3:8" s="99" customFormat="1" x14ac:dyDescent="0.2">
      <c r="C7986" s="198"/>
      <c r="D7986" s="198"/>
      <c r="E7986" s="537"/>
      <c r="G7986" s="198"/>
      <c r="H7986" s="123"/>
    </row>
    <row r="7987" spans="3:8" s="99" customFormat="1" x14ac:dyDescent="0.2">
      <c r="C7987" s="198"/>
      <c r="D7987" s="198"/>
      <c r="E7987" s="537"/>
      <c r="G7987" s="198"/>
      <c r="H7987" s="123"/>
    </row>
    <row r="7988" spans="3:8" s="99" customFormat="1" x14ac:dyDescent="0.2">
      <c r="C7988" s="198"/>
      <c r="D7988" s="198"/>
      <c r="E7988" s="537"/>
      <c r="G7988" s="198"/>
      <c r="H7988" s="123"/>
    </row>
    <row r="7989" spans="3:8" s="99" customFormat="1" x14ac:dyDescent="0.2">
      <c r="C7989" s="198"/>
      <c r="D7989" s="198"/>
      <c r="E7989" s="537"/>
      <c r="G7989" s="198"/>
      <c r="H7989" s="123"/>
    </row>
    <row r="7990" spans="3:8" s="99" customFormat="1" x14ac:dyDescent="0.2">
      <c r="C7990" s="198"/>
      <c r="D7990" s="198"/>
      <c r="E7990" s="537"/>
      <c r="G7990" s="198"/>
      <c r="H7990" s="123"/>
    </row>
    <row r="7991" spans="3:8" s="99" customFormat="1" x14ac:dyDescent="0.2">
      <c r="C7991" s="198"/>
      <c r="D7991" s="198"/>
      <c r="E7991" s="537"/>
      <c r="G7991" s="198"/>
      <c r="H7991" s="123"/>
    </row>
    <row r="7992" spans="3:8" s="99" customFormat="1" x14ac:dyDescent="0.2">
      <c r="C7992" s="198"/>
      <c r="D7992" s="198"/>
      <c r="E7992" s="537"/>
      <c r="G7992" s="198"/>
      <c r="H7992" s="123"/>
    </row>
    <row r="7993" spans="3:8" s="99" customFormat="1" x14ac:dyDescent="0.2">
      <c r="C7993" s="198"/>
      <c r="D7993" s="198"/>
      <c r="E7993" s="537"/>
      <c r="G7993" s="198"/>
      <c r="H7993" s="123"/>
    </row>
    <row r="7994" spans="3:8" s="99" customFormat="1" x14ac:dyDescent="0.2">
      <c r="C7994" s="198"/>
      <c r="D7994" s="198"/>
      <c r="E7994" s="537"/>
      <c r="G7994" s="198"/>
      <c r="H7994" s="123"/>
    </row>
    <row r="7995" spans="3:8" s="99" customFormat="1" x14ac:dyDescent="0.2">
      <c r="C7995" s="198"/>
      <c r="D7995" s="198"/>
      <c r="E7995" s="537"/>
      <c r="G7995" s="198"/>
      <c r="H7995" s="123"/>
    </row>
    <row r="7996" spans="3:8" s="99" customFormat="1" x14ac:dyDescent="0.2">
      <c r="C7996" s="198"/>
      <c r="D7996" s="198"/>
      <c r="E7996" s="537"/>
      <c r="G7996" s="198"/>
      <c r="H7996" s="123"/>
    </row>
    <row r="7997" spans="3:8" s="99" customFormat="1" x14ac:dyDescent="0.2">
      <c r="C7997" s="198"/>
      <c r="D7997" s="198"/>
      <c r="E7997" s="537"/>
      <c r="G7997" s="198"/>
      <c r="H7997" s="123"/>
    </row>
    <row r="7998" spans="3:8" s="99" customFormat="1" x14ac:dyDescent="0.2">
      <c r="C7998" s="198"/>
      <c r="D7998" s="198"/>
      <c r="E7998" s="537"/>
      <c r="G7998" s="198"/>
      <c r="H7998" s="123"/>
    </row>
    <row r="7999" spans="3:8" s="99" customFormat="1" x14ac:dyDescent="0.2">
      <c r="C7999" s="198"/>
      <c r="D7999" s="198"/>
      <c r="E7999" s="537"/>
      <c r="G7999" s="198"/>
      <c r="H7999" s="123"/>
    </row>
    <row r="8000" spans="3:8" s="99" customFormat="1" x14ac:dyDescent="0.2">
      <c r="C8000" s="198"/>
      <c r="D8000" s="198"/>
      <c r="E8000" s="537"/>
      <c r="G8000" s="198"/>
      <c r="H8000" s="123"/>
    </row>
    <row r="8001" spans="3:8" s="99" customFormat="1" x14ac:dyDescent="0.2">
      <c r="C8001" s="198"/>
      <c r="D8001" s="198"/>
      <c r="E8001" s="537"/>
      <c r="G8001" s="198"/>
      <c r="H8001" s="123"/>
    </row>
    <row r="8002" spans="3:8" s="99" customFormat="1" x14ac:dyDescent="0.2">
      <c r="C8002" s="198"/>
      <c r="D8002" s="198"/>
      <c r="E8002" s="537"/>
      <c r="G8002" s="198"/>
      <c r="H8002" s="123"/>
    </row>
    <row r="8003" spans="3:8" s="99" customFormat="1" x14ac:dyDescent="0.2">
      <c r="C8003" s="198"/>
      <c r="D8003" s="198"/>
      <c r="E8003" s="537"/>
      <c r="G8003" s="198"/>
      <c r="H8003" s="123"/>
    </row>
    <row r="8004" spans="3:8" s="99" customFormat="1" x14ac:dyDescent="0.2">
      <c r="C8004" s="198"/>
      <c r="D8004" s="198"/>
      <c r="E8004" s="537"/>
      <c r="G8004" s="198"/>
      <c r="H8004" s="123"/>
    </row>
    <row r="8005" spans="3:8" s="99" customFormat="1" x14ac:dyDescent="0.2">
      <c r="C8005" s="198"/>
      <c r="D8005" s="198"/>
      <c r="E8005" s="537"/>
      <c r="G8005" s="198"/>
      <c r="H8005" s="123"/>
    </row>
    <row r="8006" spans="3:8" s="99" customFormat="1" x14ac:dyDescent="0.2">
      <c r="C8006" s="198"/>
      <c r="D8006" s="198"/>
      <c r="E8006" s="537"/>
      <c r="G8006" s="198"/>
      <c r="H8006" s="123"/>
    </row>
    <row r="8007" spans="3:8" s="99" customFormat="1" x14ac:dyDescent="0.2">
      <c r="C8007" s="198"/>
      <c r="D8007" s="198"/>
      <c r="E8007" s="537"/>
      <c r="G8007" s="198"/>
      <c r="H8007" s="123"/>
    </row>
    <row r="8008" spans="3:8" s="99" customFormat="1" x14ac:dyDescent="0.2">
      <c r="C8008" s="198"/>
      <c r="D8008" s="198"/>
      <c r="E8008" s="537"/>
      <c r="G8008" s="198"/>
      <c r="H8008" s="123"/>
    </row>
    <row r="8009" spans="3:8" s="99" customFormat="1" x14ac:dyDescent="0.2">
      <c r="C8009" s="198"/>
      <c r="D8009" s="198"/>
      <c r="E8009" s="537"/>
      <c r="G8009" s="198"/>
      <c r="H8009" s="123"/>
    </row>
    <row r="8010" spans="3:8" s="99" customFormat="1" x14ac:dyDescent="0.2">
      <c r="C8010" s="198"/>
      <c r="D8010" s="198"/>
      <c r="E8010" s="537"/>
      <c r="G8010" s="198"/>
      <c r="H8010" s="123"/>
    </row>
    <row r="8011" spans="3:8" s="99" customFormat="1" x14ac:dyDescent="0.2">
      <c r="C8011" s="198"/>
      <c r="D8011" s="198"/>
      <c r="E8011" s="537"/>
      <c r="G8011" s="198"/>
      <c r="H8011" s="123"/>
    </row>
    <row r="8012" spans="3:8" s="99" customFormat="1" x14ac:dyDescent="0.2">
      <c r="C8012" s="198"/>
      <c r="D8012" s="198"/>
      <c r="E8012" s="537"/>
      <c r="G8012" s="198"/>
      <c r="H8012" s="123"/>
    </row>
    <row r="8013" spans="3:8" s="99" customFormat="1" x14ac:dyDescent="0.2">
      <c r="C8013" s="198"/>
      <c r="D8013" s="198"/>
      <c r="E8013" s="537"/>
      <c r="G8013" s="198"/>
      <c r="H8013" s="123"/>
    </row>
    <row r="8014" spans="3:8" s="99" customFormat="1" x14ac:dyDescent="0.2">
      <c r="C8014" s="198"/>
      <c r="D8014" s="198"/>
      <c r="E8014" s="537"/>
      <c r="G8014" s="198"/>
      <c r="H8014" s="123"/>
    </row>
    <row r="8015" spans="3:8" s="99" customFormat="1" x14ac:dyDescent="0.2">
      <c r="C8015" s="198"/>
      <c r="D8015" s="198"/>
      <c r="E8015" s="537"/>
      <c r="G8015" s="198"/>
      <c r="H8015" s="123"/>
    </row>
    <row r="8016" spans="3:8" s="99" customFormat="1" x14ac:dyDescent="0.2">
      <c r="C8016" s="198"/>
      <c r="D8016" s="198"/>
      <c r="E8016" s="537"/>
      <c r="G8016" s="198"/>
      <c r="H8016" s="123"/>
    </row>
    <row r="8017" spans="3:8" s="99" customFormat="1" x14ac:dyDescent="0.2">
      <c r="C8017" s="198"/>
      <c r="D8017" s="198"/>
      <c r="E8017" s="537"/>
      <c r="G8017" s="198"/>
      <c r="H8017" s="123"/>
    </row>
    <row r="8018" spans="3:8" s="99" customFormat="1" x14ac:dyDescent="0.2">
      <c r="C8018" s="198"/>
      <c r="D8018" s="198"/>
      <c r="E8018" s="537"/>
      <c r="G8018" s="198"/>
      <c r="H8018" s="123"/>
    </row>
    <row r="8019" spans="3:8" s="99" customFormat="1" x14ac:dyDescent="0.2">
      <c r="C8019" s="198"/>
      <c r="D8019" s="198"/>
      <c r="E8019" s="537"/>
      <c r="G8019" s="198"/>
      <c r="H8019" s="123"/>
    </row>
    <row r="8020" spans="3:8" s="99" customFormat="1" x14ac:dyDescent="0.2">
      <c r="C8020" s="198"/>
      <c r="D8020" s="198"/>
      <c r="E8020" s="537"/>
      <c r="G8020" s="198"/>
      <c r="H8020" s="123"/>
    </row>
    <row r="8021" spans="3:8" s="99" customFormat="1" x14ac:dyDescent="0.2">
      <c r="C8021" s="198"/>
      <c r="D8021" s="198"/>
      <c r="E8021" s="537"/>
      <c r="G8021" s="198"/>
      <c r="H8021" s="123"/>
    </row>
    <row r="8022" spans="3:8" s="99" customFormat="1" x14ac:dyDescent="0.2">
      <c r="C8022" s="198"/>
      <c r="D8022" s="198"/>
      <c r="E8022" s="537"/>
      <c r="G8022" s="198"/>
      <c r="H8022" s="123"/>
    </row>
    <row r="8023" spans="3:8" s="99" customFormat="1" x14ac:dyDescent="0.2">
      <c r="C8023" s="198"/>
      <c r="D8023" s="198"/>
      <c r="E8023" s="537"/>
      <c r="G8023" s="198"/>
      <c r="H8023" s="123"/>
    </row>
    <row r="8024" spans="3:8" s="99" customFormat="1" x14ac:dyDescent="0.2">
      <c r="C8024" s="198"/>
      <c r="D8024" s="198"/>
      <c r="E8024" s="537"/>
      <c r="G8024" s="198"/>
      <c r="H8024" s="123"/>
    </row>
    <row r="8025" spans="3:8" s="99" customFormat="1" x14ac:dyDescent="0.2">
      <c r="C8025" s="198"/>
      <c r="D8025" s="198"/>
      <c r="E8025" s="537"/>
      <c r="G8025" s="198"/>
      <c r="H8025" s="123"/>
    </row>
    <row r="8026" spans="3:8" s="99" customFormat="1" x14ac:dyDescent="0.2">
      <c r="C8026" s="198"/>
      <c r="D8026" s="198"/>
      <c r="E8026" s="537"/>
      <c r="G8026" s="198"/>
      <c r="H8026" s="123"/>
    </row>
    <row r="8027" spans="3:8" s="99" customFormat="1" x14ac:dyDescent="0.2">
      <c r="C8027" s="198"/>
      <c r="D8027" s="198"/>
      <c r="E8027" s="537"/>
      <c r="G8027" s="198"/>
      <c r="H8027" s="123"/>
    </row>
    <row r="8028" spans="3:8" s="99" customFormat="1" x14ac:dyDescent="0.2">
      <c r="C8028" s="198"/>
      <c r="D8028" s="198"/>
      <c r="E8028" s="537"/>
      <c r="G8028" s="198"/>
      <c r="H8028" s="123"/>
    </row>
    <row r="8029" spans="3:8" s="99" customFormat="1" x14ac:dyDescent="0.2">
      <c r="C8029" s="198"/>
      <c r="D8029" s="198"/>
      <c r="E8029" s="537"/>
      <c r="G8029" s="198"/>
      <c r="H8029" s="123"/>
    </row>
    <row r="8030" spans="3:8" s="99" customFormat="1" x14ac:dyDescent="0.2">
      <c r="C8030" s="198"/>
      <c r="D8030" s="198"/>
      <c r="E8030" s="537"/>
      <c r="G8030" s="198"/>
      <c r="H8030" s="123"/>
    </row>
    <row r="8031" spans="3:8" s="99" customFormat="1" x14ac:dyDescent="0.2">
      <c r="C8031" s="198"/>
      <c r="D8031" s="198"/>
      <c r="E8031" s="537"/>
      <c r="G8031" s="198"/>
      <c r="H8031" s="123"/>
    </row>
    <row r="8032" spans="3:8" s="99" customFormat="1" x14ac:dyDescent="0.2">
      <c r="C8032" s="198"/>
      <c r="D8032" s="198"/>
      <c r="E8032" s="537"/>
      <c r="G8032" s="198"/>
      <c r="H8032" s="123"/>
    </row>
    <row r="8033" spans="3:8" s="99" customFormat="1" x14ac:dyDescent="0.2">
      <c r="C8033" s="198"/>
      <c r="D8033" s="198"/>
      <c r="E8033" s="537"/>
      <c r="G8033" s="198"/>
      <c r="H8033" s="123"/>
    </row>
    <row r="8034" spans="3:8" s="99" customFormat="1" x14ac:dyDescent="0.2">
      <c r="C8034" s="198"/>
      <c r="D8034" s="198"/>
      <c r="E8034" s="537"/>
      <c r="G8034" s="198"/>
      <c r="H8034" s="123"/>
    </row>
    <row r="8035" spans="3:8" s="99" customFormat="1" x14ac:dyDescent="0.2">
      <c r="C8035" s="198"/>
      <c r="D8035" s="198"/>
      <c r="E8035" s="537"/>
      <c r="G8035" s="198"/>
      <c r="H8035" s="123"/>
    </row>
    <row r="8036" spans="3:8" s="99" customFormat="1" x14ac:dyDescent="0.2">
      <c r="C8036" s="198"/>
      <c r="D8036" s="198"/>
      <c r="E8036" s="537"/>
      <c r="G8036" s="198"/>
      <c r="H8036" s="123"/>
    </row>
    <row r="8037" spans="3:8" s="99" customFormat="1" x14ac:dyDescent="0.2">
      <c r="C8037" s="198"/>
      <c r="D8037" s="198"/>
      <c r="E8037" s="537"/>
      <c r="G8037" s="198"/>
      <c r="H8037" s="123"/>
    </row>
    <row r="8038" spans="3:8" s="99" customFormat="1" x14ac:dyDescent="0.2">
      <c r="C8038" s="198"/>
      <c r="D8038" s="198"/>
      <c r="E8038" s="537"/>
      <c r="G8038" s="198"/>
      <c r="H8038" s="123"/>
    </row>
    <row r="8039" spans="3:8" s="99" customFormat="1" x14ac:dyDescent="0.2">
      <c r="C8039" s="198"/>
      <c r="D8039" s="198"/>
      <c r="E8039" s="537"/>
      <c r="G8039" s="198"/>
      <c r="H8039" s="123"/>
    </row>
    <row r="8040" spans="3:8" s="99" customFormat="1" x14ac:dyDescent="0.2">
      <c r="C8040" s="198"/>
      <c r="D8040" s="198"/>
      <c r="E8040" s="537"/>
      <c r="G8040" s="198"/>
      <c r="H8040" s="123"/>
    </row>
    <row r="8041" spans="3:8" s="99" customFormat="1" x14ac:dyDescent="0.2">
      <c r="C8041" s="198"/>
      <c r="D8041" s="198"/>
      <c r="E8041" s="537"/>
      <c r="G8041" s="198"/>
      <c r="H8041" s="123"/>
    </row>
    <row r="8042" spans="3:8" s="99" customFormat="1" x14ac:dyDescent="0.2">
      <c r="C8042" s="198"/>
      <c r="D8042" s="198"/>
      <c r="E8042" s="537"/>
      <c r="G8042" s="198"/>
      <c r="H8042" s="123"/>
    </row>
    <row r="8043" spans="3:8" s="99" customFormat="1" x14ac:dyDescent="0.2">
      <c r="C8043" s="198"/>
      <c r="D8043" s="198"/>
      <c r="E8043" s="537"/>
      <c r="G8043" s="198"/>
      <c r="H8043" s="123"/>
    </row>
    <row r="8044" spans="3:8" s="99" customFormat="1" x14ac:dyDescent="0.2">
      <c r="C8044" s="198"/>
      <c r="D8044" s="198"/>
      <c r="E8044" s="537"/>
      <c r="G8044" s="198"/>
      <c r="H8044" s="123"/>
    </row>
    <row r="8045" spans="3:8" s="99" customFormat="1" x14ac:dyDescent="0.2">
      <c r="C8045" s="198"/>
      <c r="D8045" s="198"/>
      <c r="E8045" s="537"/>
      <c r="G8045" s="198"/>
      <c r="H8045" s="123"/>
    </row>
    <row r="8046" spans="3:8" s="99" customFormat="1" x14ac:dyDescent="0.2">
      <c r="C8046" s="198"/>
      <c r="D8046" s="198"/>
      <c r="E8046" s="537"/>
      <c r="G8046" s="198"/>
      <c r="H8046" s="123"/>
    </row>
    <row r="8047" spans="3:8" s="99" customFormat="1" x14ac:dyDescent="0.2">
      <c r="C8047" s="198"/>
      <c r="D8047" s="198"/>
      <c r="E8047" s="537"/>
      <c r="G8047" s="198"/>
      <c r="H8047" s="123"/>
    </row>
    <row r="8048" spans="3:8" s="99" customFormat="1" x14ac:dyDescent="0.2">
      <c r="C8048" s="198"/>
      <c r="D8048" s="198"/>
      <c r="E8048" s="537"/>
      <c r="G8048" s="198"/>
      <c r="H8048" s="123"/>
    </row>
    <row r="8049" spans="3:8" s="99" customFormat="1" x14ac:dyDescent="0.2">
      <c r="C8049" s="198"/>
      <c r="D8049" s="198"/>
      <c r="E8049" s="537"/>
      <c r="G8049" s="198"/>
      <c r="H8049" s="123"/>
    </row>
    <row r="8050" spans="3:8" s="99" customFormat="1" x14ac:dyDescent="0.2">
      <c r="C8050" s="198"/>
      <c r="D8050" s="198"/>
      <c r="E8050" s="537"/>
      <c r="G8050" s="198"/>
      <c r="H8050" s="123"/>
    </row>
    <row r="8051" spans="3:8" s="99" customFormat="1" x14ac:dyDescent="0.2">
      <c r="C8051" s="198"/>
      <c r="D8051" s="198"/>
      <c r="E8051" s="537"/>
      <c r="G8051" s="198"/>
      <c r="H8051" s="123"/>
    </row>
    <row r="8052" spans="3:8" s="99" customFormat="1" x14ac:dyDescent="0.2">
      <c r="C8052" s="198"/>
      <c r="D8052" s="198"/>
      <c r="E8052" s="537"/>
      <c r="G8052" s="198"/>
      <c r="H8052" s="123"/>
    </row>
    <row r="8053" spans="3:8" s="99" customFormat="1" x14ac:dyDescent="0.2">
      <c r="C8053" s="198"/>
      <c r="D8053" s="198"/>
      <c r="E8053" s="537"/>
      <c r="G8053" s="198"/>
      <c r="H8053" s="123"/>
    </row>
    <row r="8054" spans="3:8" s="99" customFormat="1" x14ac:dyDescent="0.2">
      <c r="C8054" s="198"/>
      <c r="D8054" s="198"/>
      <c r="E8054" s="537"/>
      <c r="G8054" s="198"/>
      <c r="H8054" s="123"/>
    </row>
    <row r="8055" spans="3:8" s="99" customFormat="1" x14ac:dyDescent="0.2">
      <c r="C8055" s="198"/>
      <c r="D8055" s="198"/>
      <c r="E8055" s="537"/>
      <c r="G8055" s="198"/>
      <c r="H8055" s="123"/>
    </row>
    <row r="8056" spans="3:8" s="99" customFormat="1" x14ac:dyDescent="0.2">
      <c r="C8056" s="198"/>
      <c r="D8056" s="198"/>
      <c r="E8056" s="537"/>
      <c r="G8056" s="198"/>
      <c r="H8056" s="123"/>
    </row>
    <row r="8057" spans="3:8" s="99" customFormat="1" x14ac:dyDescent="0.2">
      <c r="C8057" s="198"/>
      <c r="D8057" s="198"/>
      <c r="E8057" s="537"/>
      <c r="G8057" s="198"/>
      <c r="H8057" s="123"/>
    </row>
    <row r="8058" spans="3:8" s="99" customFormat="1" x14ac:dyDescent="0.2">
      <c r="C8058" s="198"/>
      <c r="D8058" s="198"/>
      <c r="E8058" s="537"/>
      <c r="G8058" s="198"/>
      <c r="H8058" s="123"/>
    </row>
    <row r="8059" spans="3:8" s="99" customFormat="1" x14ac:dyDescent="0.2">
      <c r="C8059" s="198"/>
      <c r="D8059" s="198"/>
      <c r="E8059" s="537"/>
      <c r="G8059" s="198"/>
      <c r="H8059" s="123"/>
    </row>
    <row r="8060" spans="3:8" s="99" customFormat="1" x14ac:dyDescent="0.2">
      <c r="C8060" s="198"/>
      <c r="D8060" s="198"/>
      <c r="E8060" s="537"/>
      <c r="G8060" s="198"/>
      <c r="H8060" s="123"/>
    </row>
    <row r="8061" spans="3:8" s="99" customFormat="1" x14ac:dyDescent="0.2">
      <c r="C8061" s="198"/>
      <c r="D8061" s="198"/>
      <c r="E8061" s="537"/>
      <c r="G8061" s="198"/>
      <c r="H8061" s="123"/>
    </row>
    <row r="8062" spans="3:8" s="99" customFormat="1" x14ac:dyDescent="0.2">
      <c r="C8062" s="198"/>
      <c r="D8062" s="198"/>
      <c r="E8062" s="537"/>
      <c r="G8062" s="198"/>
      <c r="H8062" s="123"/>
    </row>
    <row r="8063" spans="3:8" s="99" customFormat="1" x14ac:dyDescent="0.2">
      <c r="C8063" s="198"/>
      <c r="D8063" s="198"/>
      <c r="E8063" s="537"/>
      <c r="G8063" s="198"/>
      <c r="H8063" s="123"/>
    </row>
    <row r="8064" spans="3:8" s="99" customFormat="1" x14ac:dyDescent="0.2">
      <c r="C8064" s="198"/>
      <c r="D8064" s="198"/>
      <c r="E8064" s="537"/>
      <c r="G8064" s="198"/>
      <c r="H8064" s="123"/>
    </row>
    <row r="8065" spans="3:8" s="99" customFormat="1" x14ac:dyDescent="0.2">
      <c r="C8065" s="198"/>
      <c r="D8065" s="198"/>
      <c r="E8065" s="537"/>
      <c r="G8065" s="198"/>
      <c r="H8065" s="123"/>
    </row>
    <row r="8066" spans="3:8" s="99" customFormat="1" x14ac:dyDescent="0.2">
      <c r="C8066" s="198"/>
      <c r="D8066" s="198"/>
      <c r="E8066" s="537"/>
      <c r="G8066" s="198"/>
      <c r="H8066" s="123"/>
    </row>
    <row r="8067" spans="3:8" s="99" customFormat="1" x14ac:dyDescent="0.2">
      <c r="C8067" s="198"/>
      <c r="D8067" s="198"/>
      <c r="E8067" s="537"/>
      <c r="G8067" s="198"/>
      <c r="H8067" s="123"/>
    </row>
    <row r="8068" spans="3:8" s="99" customFormat="1" x14ac:dyDescent="0.2">
      <c r="C8068" s="198"/>
      <c r="D8068" s="198"/>
      <c r="E8068" s="537"/>
      <c r="G8068" s="198"/>
      <c r="H8068" s="123"/>
    </row>
    <row r="8069" spans="3:8" s="99" customFormat="1" x14ac:dyDescent="0.2">
      <c r="C8069" s="198"/>
      <c r="D8069" s="198"/>
      <c r="E8069" s="537"/>
      <c r="G8069" s="198"/>
      <c r="H8069" s="123"/>
    </row>
    <row r="8070" spans="3:8" s="99" customFormat="1" x14ac:dyDescent="0.2">
      <c r="C8070" s="198"/>
      <c r="D8070" s="198"/>
      <c r="E8070" s="537"/>
      <c r="G8070" s="198"/>
      <c r="H8070" s="123"/>
    </row>
    <row r="8071" spans="3:8" s="99" customFormat="1" x14ac:dyDescent="0.2">
      <c r="C8071" s="198"/>
      <c r="D8071" s="198"/>
      <c r="E8071" s="537"/>
      <c r="G8071" s="198"/>
      <c r="H8071" s="123"/>
    </row>
    <row r="8072" spans="3:8" s="99" customFormat="1" x14ac:dyDescent="0.2">
      <c r="C8072" s="198"/>
      <c r="D8072" s="198"/>
      <c r="E8072" s="537"/>
      <c r="G8072" s="198"/>
      <c r="H8072" s="123"/>
    </row>
    <row r="8073" spans="3:8" s="99" customFormat="1" x14ac:dyDescent="0.2">
      <c r="C8073" s="198"/>
      <c r="D8073" s="198"/>
      <c r="E8073" s="537"/>
      <c r="G8073" s="198"/>
      <c r="H8073" s="123"/>
    </row>
    <row r="8074" spans="3:8" s="99" customFormat="1" x14ac:dyDescent="0.2">
      <c r="C8074" s="198"/>
      <c r="D8074" s="198"/>
      <c r="E8074" s="537"/>
      <c r="G8074" s="198"/>
      <c r="H8074" s="123"/>
    </row>
    <row r="8075" spans="3:8" x14ac:dyDescent="0.2">
      <c r="H8075" s="123"/>
    </row>
    <row r="8076" spans="3:8" x14ac:dyDescent="0.2">
      <c r="H8076" s="123"/>
    </row>
  </sheetData>
  <mergeCells count="106">
    <mergeCell ref="A1577:D1577"/>
    <mergeCell ref="A1647:D1647"/>
    <mergeCell ref="A1704:D1704"/>
    <mergeCell ref="A1771:D1771"/>
    <mergeCell ref="A1576:R1576"/>
    <mergeCell ref="G1577:R1577"/>
    <mergeCell ref="A1646:R1646"/>
    <mergeCell ref="G1647:R1647"/>
    <mergeCell ref="A1703:R1703"/>
    <mergeCell ref="G1704:R1704"/>
    <mergeCell ref="A528:R528"/>
    <mergeCell ref="G529:R529"/>
    <mergeCell ref="A2:D2"/>
    <mergeCell ref="A71:D71"/>
    <mergeCell ref="A124:D124"/>
    <mergeCell ref="A184:D184"/>
    <mergeCell ref="A240:D240"/>
    <mergeCell ref="A296:D296"/>
    <mergeCell ref="A360:D360"/>
    <mergeCell ref="A399:D399"/>
    <mergeCell ref="A470:D470"/>
    <mergeCell ref="A529:D529"/>
    <mergeCell ref="G240:R240"/>
    <mergeCell ref="A295:R295"/>
    <mergeCell ref="G296:R296"/>
    <mergeCell ref="A359:R359"/>
    <mergeCell ref="G360:R360"/>
    <mergeCell ref="A398:R398"/>
    <mergeCell ref="G399:R399"/>
    <mergeCell ref="A469:R469"/>
    <mergeCell ref="G470:R470"/>
    <mergeCell ref="A1378:D1378"/>
    <mergeCell ref="A1430:D1430"/>
    <mergeCell ref="A1466:D1466"/>
    <mergeCell ref="A1513:D1513"/>
    <mergeCell ref="G1378:R1378"/>
    <mergeCell ref="A1429:R1429"/>
    <mergeCell ref="G1430:R1430"/>
    <mergeCell ref="A1465:R1465"/>
    <mergeCell ref="G1466:R1466"/>
    <mergeCell ref="A1512:R1512"/>
    <mergeCell ref="G1513:R1513"/>
    <mergeCell ref="A1:R1"/>
    <mergeCell ref="G2:R2"/>
    <mergeCell ref="A70:R70"/>
    <mergeCell ref="G71:R71"/>
    <mergeCell ref="A123:R123"/>
    <mergeCell ref="G124:R124"/>
    <mergeCell ref="A183:R183"/>
    <mergeCell ref="G184:R184"/>
    <mergeCell ref="A239:R239"/>
    <mergeCell ref="A566:R566"/>
    <mergeCell ref="G567:R567"/>
    <mergeCell ref="A621:R621"/>
    <mergeCell ref="G622:R622"/>
    <mergeCell ref="A692:R692"/>
    <mergeCell ref="G693:R693"/>
    <mergeCell ref="A750:R750"/>
    <mergeCell ref="G751:R751"/>
    <mergeCell ref="A881:R881"/>
    <mergeCell ref="A567:D567"/>
    <mergeCell ref="A622:D622"/>
    <mergeCell ref="A693:D693"/>
    <mergeCell ref="A751:D751"/>
    <mergeCell ref="A816:D816"/>
    <mergeCell ref="G882:R882"/>
    <mergeCell ref="A815:R815"/>
    <mergeCell ref="G816:R816"/>
    <mergeCell ref="A950:R950"/>
    <mergeCell ref="G951:R951"/>
    <mergeCell ref="A1017:R1017"/>
    <mergeCell ref="G1018:R1018"/>
    <mergeCell ref="A1084:R1084"/>
    <mergeCell ref="G1085:R1085"/>
    <mergeCell ref="A951:D951"/>
    <mergeCell ref="A1018:D1018"/>
    <mergeCell ref="A1085:D1085"/>
    <mergeCell ref="A882:D882"/>
    <mergeCell ref="A1151:R1151"/>
    <mergeCell ref="G1152:R1152"/>
    <mergeCell ref="A1213:R1213"/>
    <mergeCell ref="G1214:R1214"/>
    <mergeCell ref="A1336:R1336"/>
    <mergeCell ref="A1270:R1270"/>
    <mergeCell ref="G1271:R1271"/>
    <mergeCell ref="G1337:R1337"/>
    <mergeCell ref="A1377:R1377"/>
    <mergeCell ref="A1271:D1271"/>
    <mergeCell ref="A1337:D1337"/>
    <mergeCell ref="A1152:D1152"/>
    <mergeCell ref="A1214:D1214"/>
    <mergeCell ref="A1963:R1963"/>
    <mergeCell ref="G1964:R1964"/>
    <mergeCell ref="G2033:R2033"/>
    <mergeCell ref="G2053:R2053"/>
    <mergeCell ref="A1770:R1770"/>
    <mergeCell ref="G1771:R1771"/>
    <mergeCell ref="A1838:R1838"/>
    <mergeCell ref="G1839:R1839"/>
    <mergeCell ref="A1901:R1901"/>
    <mergeCell ref="G1902:R1902"/>
    <mergeCell ref="A1902:D1902"/>
    <mergeCell ref="A1964:D1964"/>
    <mergeCell ref="A2033:D2033"/>
    <mergeCell ref="A2053:D2053"/>
    <mergeCell ref="A1839:D1839"/>
  </mergeCells>
  <phoneticPr fontId="9" type="noConversion"/>
  <printOptions horizontalCentered="1"/>
  <pageMargins left="0.15748031496062992" right="0.15748031496062992" top="0.19685039370078741" bottom="0.19685039370078741" header="0" footer="0"/>
  <pageSetup paperSize="9" scale="60" orientation="landscape" r:id="rId1"/>
  <headerFooter alignWithMargins="0"/>
  <rowBreaks count="34" manualBreakCount="34">
    <brk id="69" max="16383" man="1"/>
    <brk id="121" max="16383" man="1"/>
    <brk id="182" max="16383" man="1"/>
    <brk id="235" max="16383" man="1"/>
    <brk id="294" max="16383" man="1"/>
    <brk id="357" max="16383" man="1"/>
    <brk id="397" max="16383" man="1"/>
    <brk id="467" max="16383" man="1"/>
    <brk id="525" max="16383" man="1"/>
    <brk id="565" max="16383" man="1"/>
    <brk id="620" max="16383" man="1"/>
    <brk id="690" max="16383" man="1"/>
    <brk id="749" max="16383" man="1"/>
    <brk id="813" max="16383" man="1"/>
    <brk id="879" max="16383" man="1"/>
    <brk id="948" max="16383" man="1"/>
    <brk id="1016" max="16383" man="1"/>
    <brk id="1082" max="16383" man="1"/>
    <brk id="1148" max="16383" man="1"/>
    <brk id="1211" max="16383" man="1"/>
    <brk id="1269" max="16383" man="1"/>
    <brk id="1335" max="16383" man="1"/>
    <brk id="1375" max="16383" man="1"/>
    <brk id="1427" max="16383" man="1"/>
    <brk id="1463" max="16383" man="1"/>
    <brk id="1511" max="16383" man="1"/>
    <brk id="1574" max="16383" man="1"/>
    <brk id="1643" max="16383" man="1"/>
    <brk id="1701" max="16383" man="1"/>
    <brk id="1769" max="16383" man="1"/>
    <brk id="1836" max="16383" man="1"/>
    <brk id="1899" max="16383" man="1"/>
    <brk id="1962" max="16383" man="1"/>
    <brk id="2031"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R1240"/>
  <sheetViews>
    <sheetView showGridLines="0" topLeftCell="A409" zoomScale="90" zoomScaleNormal="90" workbookViewId="0">
      <selection activeCell="N423" sqref="N423"/>
    </sheetView>
  </sheetViews>
  <sheetFormatPr defaultColWidth="9.140625" defaultRowHeight="12.75" x14ac:dyDescent="0.2"/>
  <cols>
    <col min="1" max="2" width="11.140625" style="84" bestFit="1" customWidth="1"/>
    <col min="3" max="4" width="11.140625" style="99" bestFit="1" customWidth="1"/>
    <col min="5" max="5" width="15.7109375" style="287" customWidth="1"/>
    <col min="6" max="6" width="34.85546875" style="84" customWidth="1"/>
    <col min="7" max="7" width="11.140625" style="99" bestFit="1" customWidth="1"/>
    <col min="8" max="8" width="7.140625" style="149" bestFit="1" customWidth="1"/>
    <col min="9" max="18" width="11.140625" style="84" bestFit="1" customWidth="1"/>
    <col min="19" max="16384" width="9.140625" style="84"/>
  </cols>
  <sheetData>
    <row r="1" spans="1:18" s="91" customFormat="1" ht="18.75" customHeight="1" thickTop="1" thickBot="1" x14ac:dyDescent="0.3">
      <c r="A1" s="2903" t="s">
        <v>1367</v>
      </c>
      <c r="B1" s="2904"/>
      <c r="C1" s="2904"/>
      <c r="D1" s="2904"/>
      <c r="E1" s="2904"/>
      <c r="F1" s="2904"/>
      <c r="G1" s="2904"/>
      <c r="H1" s="2904"/>
      <c r="I1" s="2904"/>
      <c r="J1" s="2904"/>
      <c r="K1" s="2904"/>
      <c r="L1" s="2904"/>
      <c r="M1" s="2904"/>
      <c r="N1" s="2904"/>
      <c r="O1" s="2904"/>
      <c r="P1" s="2904"/>
      <c r="Q1" s="2904"/>
      <c r="R1" s="2905"/>
    </row>
    <row r="2" spans="1:18" s="92" customFormat="1" x14ac:dyDescent="0.2">
      <c r="A2" s="2888" t="s">
        <v>1856</v>
      </c>
      <c r="B2" s="2889"/>
      <c r="C2" s="2889"/>
      <c r="D2" s="2890"/>
      <c r="E2" s="1966" t="s">
        <v>2251</v>
      </c>
      <c r="F2" s="1967"/>
      <c r="G2" s="2885" t="s">
        <v>2253</v>
      </c>
      <c r="H2" s="2886"/>
      <c r="I2" s="2886"/>
      <c r="J2" s="2886"/>
      <c r="K2" s="2886"/>
      <c r="L2" s="2886"/>
      <c r="M2" s="2886"/>
      <c r="N2" s="2886"/>
      <c r="O2" s="2886"/>
      <c r="P2" s="2886"/>
      <c r="Q2" s="2886"/>
      <c r="R2" s="2887"/>
    </row>
    <row r="3" spans="1:18" ht="13.5" thickBot="1" x14ac:dyDescent="0.25">
      <c r="A3" s="208" t="str">
        <f>SP!A3</f>
        <v>2012/13</v>
      </c>
      <c r="B3" s="75" t="str">
        <f>SP!B3</f>
        <v>2013/14</v>
      </c>
      <c r="C3" s="370" t="str">
        <f>SP!C3</f>
        <v>2014/15</v>
      </c>
      <c r="D3" s="93" t="str">
        <f>SP!D3</f>
        <v>2015/16</v>
      </c>
      <c r="E3" s="272"/>
      <c r="F3" s="94"/>
      <c r="G3" s="93" t="str">
        <f>SP!G3</f>
        <v>2016/17</v>
      </c>
      <c r="H3" s="2492" t="s">
        <v>501</v>
      </c>
      <c r="I3" s="370" t="str">
        <f>SP!I3</f>
        <v>2017/18</v>
      </c>
      <c r="J3" s="370" t="str">
        <f>SP!J3</f>
        <v>2018/19</v>
      </c>
      <c r="K3" s="370" t="str">
        <f>SP!K3</f>
        <v>2019/20</v>
      </c>
      <c r="L3" s="370" t="str">
        <f>SP!L3</f>
        <v>2020/21</v>
      </c>
      <c r="M3" s="370" t="str">
        <f>SP!M3</f>
        <v>2021/22</v>
      </c>
      <c r="N3" s="370" t="str">
        <f>SP!N3</f>
        <v>2022/23</v>
      </c>
      <c r="O3" s="370" t="str">
        <f>SP!O3</f>
        <v>2023/24</v>
      </c>
      <c r="P3" s="370" t="str">
        <f>SP!P3</f>
        <v>2024/25</v>
      </c>
      <c r="Q3" s="381" t="str">
        <f>SP!Q3</f>
        <v>2025/26</v>
      </c>
      <c r="R3" s="549" t="str">
        <f>SP!R3</f>
        <v>2026/27</v>
      </c>
    </row>
    <row r="4" spans="1:18" x14ac:dyDescent="0.2">
      <c r="A4" s="2494"/>
      <c r="B4" s="169"/>
      <c r="C4" s="33"/>
      <c r="D4" s="33"/>
      <c r="E4" s="545"/>
      <c r="F4" s="544"/>
      <c r="G4" s="33"/>
      <c r="H4" s="138"/>
      <c r="I4" s="33"/>
      <c r="J4" s="33"/>
      <c r="K4" s="33"/>
      <c r="L4" s="33"/>
      <c r="M4" s="33"/>
      <c r="N4" s="33"/>
      <c r="O4" s="33"/>
      <c r="P4" s="33"/>
      <c r="Q4" s="142"/>
      <c r="R4" s="114"/>
    </row>
    <row r="5" spans="1:18" x14ac:dyDescent="0.2">
      <c r="A5" s="608"/>
      <c r="B5" s="150"/>
      <c r="C5" s="150"/>
      <c r="D5" s="150"/>
      <c r="E5" s="274" t="s">
        <v>1073</v>
      </c>
      <c r="F5" s="74"/>
      <c r="G5" s="33"/>
      <c r="H5" s="138"/>
      <c r="I5" s="33"/>
      <c r="J5" s="33"/>
      <c r="K5" s="33"/>
      <c r="L5" s="33"/>
      <c r="M5" s="33"/>
      <c r="N5" s="33"/>
      <c r="O5" s="33"/>
      <c r="P5" s="33"/>
      <c r="Q5" s="142"/>
      <c r="R5" s="114"/>
    </row>
    <row r="6" spans="1:18" x14ac:dyDescent="0.2">
      <c r="A6" s="608"/>
      <c r="B6" s="150"/>
      <c r="C6" s="150"/>
      <c r="D6" s="150"/>
      <c r="E6" s="273"/>
      <c r="F6" s="128"/>
      <c r="G6" s="33"/>
      <c r="H6" s="138"/>
      <c r="I6" s="33"/>
      <c r="J6" s="33"/>
      <c r="K6" s="33"/>
      <c r="L6" s="33"/>
      <c r="M6" s="33"/>
      <c r="N6" s="33"/>
      <c r="O6" s="33"/>
      <c r="P6" s="33"/>
      <c r="Q6" s="142"/>
      <c r="R6" s="114"/>
    </row>
    <row r="7" spans="1:18" x14ac:dyDescent="0.2">
      <c r="A7" s="608">
        <f>A69</f>
        <v>0</v>
      </c>
      <c r="B7" s="150">
        <f>B69</f>
        <v>0</v>
      </c>
      <c r="C7" s="150">
        <f>C69</f>
        <v>0</v>
      </c>
      <c r="D7" s="150">
        <f>D69</f>
        <v>4300</v>
      </c>
      <c r="E7" s="1113" t="s">
        <v>6409</v>
      </c>
      <c r="F7" s="128"/>
      <c r="G7" s="33">
        <f t="shared" ref="G7:O7" si="0">G69</f>
        <v>0</v>
      </c>
      <c r="H7" s="138">
        <f t="shared" ref="H7:H14" si="1">IF(D7=G7,0,IF(D7=0,100,(G7-D7)/D7*100))</f>
        <v>-100</v>
      </c>
      <c r="I7" s="33">
        <f t="shared" si="0"/>
        <v>0</v>
      </c>
      <c r="J7" s="33">
        <f t="shared" si="0"/>
        <v>0</v>
      </c>
      <c r="K7" s="33">
        <f t="shared" si="0"/>
        <v>0</v>
      </c>
      <c r="L7" s="33">
        <f t="shared" si="0"/>
        <v>0</v>
      </c>
      <c r="M7" s="33">
        <f t="shared" si="0"/>
        <v>0</v>
      </c>
      <c r="N7" s="33">
        <f t="shared" si="0"/>
        <v>0</v>
      </c>
      <c r="O7" s="33">
        <f t="shared" si="0"/>
        <v>0</v>
      </c>
      <c r="P7" s="33">
        <f t="shared" ref="P7:Q7" si="2">P69</f>
        <v>0</v>
      </c>
      <c r="Q7" s="142">
        <f t="shared" si="2"/>
        <v>0</v>
      </c>
      <c r="R7" s="114">
        <f t="shared" ref="R7" si="3">R69</f>
        <v>0</v>
      </c>
    </row>
    <row r="8" spans="1:18" x14ac:dyDescent="0.2">
      <c r="A8" s="608">
        <f>A122</f>
        <v>18000</v>
      </c>
      <c r="B8" s="150">
        <f>B122</f>
        <v>19100</v>
      </c>
      <c r="C8" s="150">
        <f>C122</f>
        <v>26000</v>
      </c>
      <c r="D8" s="150">
        <f>D122</f>
        <v>42500</v>
      </c>
      <c r="E8" s="276" t="s">
        <v>1034</v>
      </c>
      <c r="F8" s="142"/>
      <c r="G8" s="33">
        <f t="shared" ref="G8:O8" si="4">G122</f>
        <v>29500</v>
      </c>
      <c r="H8" s="138">
        <f t="shared" si="1"/>
        <v>-30.588235294117649</v>
      </c>
      <c r="I8" s="33">
        <f t="shared" si="4"/>
        <v>30300</v>
      </c>
      <c r="J8" s="33">
        <f t="shared" si="4"/>
        <v>31400</v>
      </c>
      <c r="K8" s="33">
        <f t="shared" si="4"/>
        <v>32500</v>
      </c>
      <c r="L8" s="33">
        <f t="shared" si="4"/>
        <v>33600</v>
      </c>
      <c r="M8" s="33">
        <f t="shared" si="4"/>
        <v>34500</v>
      </c>
      <c r="N8" s="33">
        <f t="shared" si="4"/>
        <v>35400</v>
      </c>
      <c r="O8" s="33">
        <f t="shared" si="4"/>
        <v>36300</v>
      </c>
      <c r="P8" s="33">
        <f t="shared" ref="P8:Q8" si="5">P122</f>
        <v>37200</v>
      </c>
      <c r="Q8" s="142">
        <f t="shared" si="5"/>
        <v>38200</v>
      </c>
      <c r="R8" s="114">
        <f t="shared" ref="R8" si="6">R122</f>
        <v>39300</v>
      </c>
    </row>
    <row r="9" spans="1:18" x14ac:dyDescent="0.2">
      <c r="A9" s="608">
        <f>A212</f>
        <v>156000</v>
      </c>
      <c r="B9" s="150">
        <f>B212</f>
        <v>191700</v>
      </c>
      <c r="C9" s="150">
        <f>C212</f>
        <v>203900</v>
      </c>
      <c r="D9" s="150">
        <f>D212</f>
        <v>274000</v>
      </c>
      <c r="E9" s="276" t="s">
        <v>88</v>
      </c>
      <c r="F9" s="142"/>
      <c r="G9" s="33">
        <f t="shared" ref="G9:O9" si="7">G212</f>
        <v>232700</v>
      </c>
      <c r="H9" s="138">
        <f t="shared" si="1"/>
        <v>-15.072992700729927</v>
      </c>
      <c r="I9" s="33">
        <f t="shared" si="7"/>
        <v>235800</v>
      </c>
      <c r="J9" s="33">
        <f t="shared" si="7"/>
        <v>242800</v>
      </c>
      <c r="K9" s="33">
        <f t="shared" si="7"/>
        <v>250000</v>
      </c>
      <c r="L9" s="33">
        <f t="shared" si="7"/>
        <v>255700</v>
      </c>
      <c r="M9" s="33">
        <f t="shared" si="7"/>
        <v>260900</v>
      </c>
      <c r="N9" s="33">
        <f t="shared" si="7"/>
        <v>266200</v>
      </c>
      <c r="O9" s="33">
        <f t="shared" si="7"/>
        <v>271600</v>
      </c>
      <c r="P9" s="33">
        <f t="shared" ref="P9:Q9" si="8">P212</f>
        <v>277200</v>
      </c>
      <c r="Q9" s="142">
        <f t="shared" si="8"/>
        <v>282800</v>
      </c>
      <c r="R9" s="114">
        <f t="shared" ref="R9" si="9">R212</f>
        <v>288600</v>
      </c>
    </row>
    <row r="10" spans="1:18" x14ac:dyDescent="0.2">
      <c r="A10" s="608">
        <f>A181</f>
        <v>21213000</v>
      </c>
      <c r="B10" s="150">
        <f>B181</f>
        <v>20300600</v>
      </c>
      <c r="C10" s="150">
        <f>C181</f>
        <v>22370900</v>
      </c>
      <c r="D10" s="150">
        <f>D181</f>
        <v>23415400</v>
      </c>
      <c r="E10" s="276" t="s">
        <v>1022</v>
      </c>
      <c r="F10" s="142"/>
      <c r="G10" s="33">
        <f t="shared" ref="G10:O10" si="10">G181</f>
        <v>24850300</v>
      </c>
      <c r="H10" s="138">
        <f t="shared" si="1"/>
        <v>6.1280183127343539</v>
      </c>
      <c r="I10" s="33">
        <f t="shared" si="10"/>
        <v>25995800</v>
      </c>
      <c r="J10" s="33">
        <f t="shared" si="10"/>
        <v>27423600</v>
      </c>
      <c r="K10" s="33">
        <f t="shared" si="10"/>
        <v>29073200</v>
      </c>
      <c r="L10" s="33">
        <f t="shared" si="10"/>
        <v>29890400</v>
      </c>
      <c r="M10" s="33">
        <f t="shared" si="10"/>
        <v>30730800</v>
      </c>
      <c r="N10" s="33">
        <f t="shared" si="10"/>
        <v>31595500</v>
      </c>
      <c r="O10" s="33">
        <f t="shared" si="10"/>
        <v>32485500</v>
      </c>
      <c r="P10" s="33">
        <f t="shared" ref="P10:Q10" si="11">P181</f>
        <v>33401200</v>
      </c>
      <c r="Q10" s="142">
        <f t="shared" si="11"/>
        <v>34343600</v>
      </c>
      <c r="R10" s="114">
        <f t="shared" ref="R10" si="12">R181</f>
        <v>35313300</v>
      </c>
    </row>
    <row r="11" spans="1:18" x14ac:dyDescent="0.2">
      <c r="A11" s="608">
        <f>A252</f>
        <v>4000</v>
      </c>
      <c r="B11" s="150">
        <f>B252</f>
        <v>13600</v>
      </c>
      <c r="C11" s="150">
        <f>C252</f>
        <v>17600</v>
      </c>
      <c r="D11" s="150">
        <f>D252</f>
        <v>3100</v>
      </c>
      <c r="E11" s="276" t="s">
        <v>2311</v>
      </c>
      <c r="F11" s="142"/>
      <c r="G11" s="33">
        <f t="shared" ref="G11:O11" si="13">G252</f>
        <v>177000</v>
      </c>
      <c r="H11" s="138">
        <f t="shared" si="1"/>
        <v>5609.6774193548381</v>
      </c>
      <c r="I11" s="33">
        <f t="shared" si="13"/>
        <v>103000</v>
      </c>
      <c r="J11" s="33">
        <f t="shared" si="13"/>
        <v>105600</v>
      </c>
      <c r="K11" s="33">
        <f t="shared" si="13"/>
        <v>108300</v>
      </c>
      <c r="L11" s="33">
        <f t="shared" si="13"/>
        <v>111100</v>
      </c>
      <c r="M11" s="33">
        <f t="shared" si="13"/>
        <v>113400</v>
      </c>
      <c r="N11" s="33">
        <f t="shared" si="13"/>
        <v>115700</v>
      </c>
      <c r="O11" s="33">
        <f t="shared" si="13"/>
        <v>118100</v>
      </c>
      <c r="P11" s="33">
        <f t="shared" ref="P11:Q11" si="14">P252</f>
        <v>120500</v>
      </c>
      <c r="Q11" s="142">
        <f t="shared" si="14"/>
        <v>123000</v>
      </c>
      <c r="R11" s="114">
        <f t="shared" ref="R11" si="15">R252</f>
        <v>125500</v>
      </c>
    </row>
    <row r="12" spans="1:18" x14ac:dyDescent="0.2">
      <c r="A12" s="608">
        <f>A295</f>
        <v>233000</v>
      </c>
      <c r="B12" s="150">
        <f>B295</f>
        <v>189900</v>
      </c>
      <c r="C12" s="150">
        <f>C295</f>
        <v>295400</v>
      </c>
      <c r="D12" s="150">
        <f>D295</f>
        <v>191400</v>
      </c>
      <c r="E12" s="276" t="s">
        <v>2291</v>
      </c>
      <c r="F12" s="142"/>
      <c r="G12" s="33">
        <f t="shared" ref="G12:O12" si="16">G295</f>
        <v>323000</v>
      </c>
      <c r="H12" s="138">
        <f t="shared" si="1"/>
        <v>68.756530825496341</v>
      </c>
      <c r="I12" s="33">
        <f t="shared" si="16"/>
        <v>173000</v>
      </c>
      <c r="J12" s="33">
        <f t="shared" si="16"/>
        <v>177600</v>
      </c>
      <c r="K12" s="33">
        <f t="shared" si="16"/>
        <v>182300</v>
      </c>
      <c r="L12" s="33">
        <f t="shared" si="16"/>
        <v>187100</v>
      </c>
      <c r="M12" s="33">
        <f t="shared" si="16"/>
        <v>191100</v>
      </c>
      <c r="N12" s="33">
        <f t="shared" si="16"/>
        <v>195200</v>
      </c>
      <c r="O12" s="33">
        <f t="shared" si="16"/>
        <v>199400</v>
      </c>
      <c r="P12" s="33">
        <f t="shared" ref="P12:Q12" si="17">P295</f>
        <v>203600</v>
      </c>
      <c r="Q12" s="142">
        <f t="shared" si="17"/>
        <v>207900</v>
      </c>
      <c r="R12" s="114">
        <f t="shared" ref="R12" si="18">R295</f>
        <v>212300</v>
      </c>
    </row>
    <row r="13" spans="1:18" x14ac:dyDescent="0.2">
      <c r="A13" s="608">
        <f>A360</f>
        <v>4601500</v>
      </c>
      <c r="B13" s="150">
        <f>B360</f>
        <v>3380000</v>
      </c>
      <c r="C13" s="150">
        <f>C360</f>
        <v>3385100</v>
      </c>
      <c r="D13" s="150">
        <f>D360</f>
        <v>2570800</v>
      </c>
      <c r="E13" s="276" t="s">
        <v>2543</v>
      </c>
      <c r="F13" s="142"/>
      <c r="G13" s="33">
        <f t="shared" ref="G13:O13" si="19">G360</f>
        <v>3033000</v>
      </c>
      <c r="H13" s="138">
        <f t="shared" si="1"/>
        <v>17.978839271822</v>
      </c>
      <c r="I13" s="33">
        <f t="shared" si="19"/>
        <v>2618600</v>
      </c>
      <c r="J13" s="33">
        <f t="shared" si="19"/>
        <v>2587600</v>
      </c>
      <c r="K13" s="33">
        <f t="shared" si="19"/>
        <v>2706800</v>
      </c>
      <c r="L13" s="33">
        <f t="shared" si="19"/>
        <v>2708700</v>
      </c>
      <c r="M13" s="33">
        <f t="shared" si="19"/>
        <v>2771600</v>
      </c>
      <c r="N13" s="33">
        <f t="shared" si="19"/>
        <v>2825900</v>
      </c>
      <c r="O13" s="33">
        <f t="shared" si="19"/>
        <v>2887800</v>
      </c>
      <c r="P13" s="33">
        <f t="shared" ref="P13:Q13" si="20">P360</f>
        <v>2937800</v>
      </c>
      <c r="Q13" s="142">
        <f t="shared" si="20"/>
        <v>2998200</v>
      </c>
      <c r="R13" s="114">
        <f t="shared" ref="R13" si="21">R360</f>
        <v>3058700</v>
      </c>
    </row>
    <row r="14" spans="1:18" x14ac:dyDescent="0.2">
      <c r="A14" s="608">
        <f>GM!A434</f>
        <v>4005300</v>
      </c>
      <c r="B14" s="150">
        <f>GM!B434</f>
        <v>4617800</v>
      </c>
      <c r="C14" s="152">
        <f>GM!C434</f>
        <v>4709700</v>
      </c>
      <c r="D14" s="150">
        <f>GM!D434</f>
        <v>5111900</v>
      </c>
      <c r="E14" s="276" t="s">
        <v>2129</v>
      </c>
      <c r="F14" s="142"/>
      <c r="G14" s="33">
        <f>GM!G434</f>
        <v>5592400</v>
      </c>
      <c r="H14" s="138">
        <f t="shared" si="1"/>
        <v>9.399636143117041</v>
      </c>
      <c r="I14" s="33">
        <f>GM!I434</f>
        <v>6070200</v>
      </c>
      <c r="J14" s="33">
        <f>GM!J434</f>
        <v>6314100</v>
      </c>
      <c r="K14" s="33">
        <f>GM!K434</f>
        <v>6458200</v>
      </c>
      <c r="L14" s="33">
        <f>GM!L434</f>
        <v>6605100</v>
      </c>
      <c r="M14" s="33">
        <f>GM!M434</f>
        <v>6753900</v>
      </c>
      <c r="N14" s="33">
        <f>GM!N434</f>
        <v>6870700</v>
      </c>
      <c r="O14" s="33">
        <f>GM!O434</f>
        <v>7015500</v>
      </c>
      <c r="P14" s="33">
        <f>GM!P434</f>
        <v>7171000</v>
      </c>
      <c r="Q14" s="142">
        <f>GM!Q434</f>
        <v>7336000</v>
      </c>
      <c r="R14" s="114">
        <f>GM!R434</f>
        <v>7471400</v>
      </c>
    </row>
    <row r="15" spans="1:18" ht="13.5" thickBot="1" x14ac:dyDescent="0.25">
      <c r="A15" s="608"/>
      <c r="B15" s="150"/>
      <c r="C15" s="152"/>
      <c r="D15" s="150"/>
      <c r="E15" s="272"/>
      <c r="F15" s="95"/>
      <c r="G15" s="33"/>
      <c r="H15" s="138"/>
      <c r="I15" s="33"/>
      <c r="J15" s="33"/>
      <c r="K15" s="33"/>
      <c r="L15" s="33"/>
      <c r="M15" s="33"/>
      <c r="N15" s="33"/>
      <c r="O15" s="33"/>
      <c r="P15" s="33"/>
      <c r="Q15" s="142"/>
      <c r="R15" s="114"/>
    </row>
    <row r="16" spans="1:18" s="92" customFormat="1" x14ac:dyDescent="0.2">
      <c r="A16" s="610">
        <f>SUM(A5:A15)</f>
        <v>30230800</v>
      </c>
      <c r="B16" s="153">
        <f>SUM(B5:B15)</f>
        <v>28712700</v>
      </c>
      <c r="C16" s="154">
        <f>SUM(C5:C15)</f>
        <v>31008600</v>
      </c>
      <c r="D16" s="153">
        <f>SUM(D5:D15)</f>
        <v>31613400</v>
      </c>
      <c r="E16" s="275" t="s">
        <v>2605</v>
      </c>
      <c r="F16" s="128"/>
      <c r="G16" s="53">
        <f t="shared" ref="G16:O16" si="22">SUM(G5:G15)</f>
        <v>34237900</v>
      </c>
      <c r="H16" s="180">
        <f>IF(D16=G16,0,IF(D16=0,100,(G16-D16)/D16*100))</f>
        <v>8.301859338128768</v>
      </c>
      <c r="I16" s="53">
        <f t="shared" si="22"/>
        <v>35226700</v>
      </c>
      <c r="J16" s="53">
        <f t="shared" si="22"/>
        <v>36882700</v>
      </c>
      <c r="K16" s="53">
        <f t="shared" si="22"/>
        <v>38811300</v>
      </c>
      <c r="L16" s="53">
        <f t="shared" si="22"/>
        <v>39791700</v>
      </c>
      <c r="M16" s="53">
        <f t="shared" si="22"/>
        <v>40856200</v>
      </c>
      <c r="N16" s="53">
        <f t="shared" si="22"/>
        <v>41904600</v>
      </c>
      <c r="O16" s="53">
        <f t="shared" si="22"/>
        <v>43014200</v>
      </c>
      <c r="P16" s="53">
        <f t="shared" ref="P16:Q16" si="23">SUM(P5:P15)</f>
        <v>44148500</v>
      </c>
      <c r="Q16" s="155">
        <f t="shared" si="23"/>
        <v>45329700</v>
      </c>
      <c r="R16" s="113">
        <f t="shared" ref="R16" si="24">SUM(R5:R15)</f>
        <v>46509100</v>
      </c>
    </row>
    <row r="17" spans="1:18" x14ac:dyDescent="0.2">
      <c r="A17" s="608"/>
      <c r="B17" s="150"/>
      <c r="C17" s="152"/>
      <c r="D17" s="150"/>
      <c r="E17" s="276"/>
      <c r="F17" s="142"/>
      <c r="G17" s="33"/>
      <c r="H17" s="138"/>
      <c r="I17" s="33"/>
      <c r="J17" s="33"/>
      <c r="K17" s="33"/>
      <c r="L17" s="33"/>
      <c r="M17" s="33"/>
      <c r="N17" s="33"/>
      <c r="O17" s="33"/>
      <c r="P17" s="33"/>
      <c r="Q17" s="142"/>
      <c r="R17" s="114"/>
    </row>
    <row r="18" spans="1:18" x14ac:dyDescent="0.2">
      <c r="A18" s="608"/>
      <c r="B18" s="150"/>
      <c r="C18" s="152"/>
      <c r="D18" s="150"/>
      <c r="E18" s="274" t="s">
        <v>2205</v>
      </c>
      <c r="F18" s="142"/>
      <c r="G18" s="33"/>
      <c r="H18" s="138"/>
      <c r="I18" s="33"/>
      <c r="J18" s="33"/>
      <c r="K18" s="33"/>
      <c r="L18" s="33"/>
      <c r="M18" s="33"/>
      <c r="N18" s="33"/>
      <c r="O18" s="33"/>
      <c r="P18" s="33"/>
      <c r="Q18" s="142"/>
      <c r="R18" s="114"/>
    </row>
    <row r="19" spans="1:18" x14ac:dyDescent="0.2">
      <c r="A19" s="608"/>
      <c r="B19" s="150"/>
      <c r="C19" s="150"/>
      <c r="D19" s="150"/>
      <c r="E19" s="273"/>
      <c r="F19" s="128"/>
      <c r="G19" s="33"/>
      <c r="H19" s="138"/>
      <c r="I19" s="33"/>
      <c r="J19" s="33"/>
      <c r="K19" s="33"/>
      <c r="L19" s="33"/>
      <c r="M19" s="33"/>
      <c r="N19" s="33"/>
      <c r="O19" s="33"/>
      <c r="P19" s="33"/>
      <c r="Q19" s="142"/>
      <c r="R19" s="114"/>
    </row>
    <row r="20" spans="1:18" x14ac:dyDescent="0.2">
      <c r="A20" s="608">
        <f>A94</f>
        <v>1242000</v>
      </c>
      <c r="B20" s="150">
        <f>B94</f>
        <v>1183400</v>
      </c>
      <c r="C20" s="150">
        <f>C94</f>
        <v>1104800</v>
      </c>
      <c r="D20" s="150">
        <f>D94</f>
        <v>1160800</v>
      </c>
      <c r="E20" s="1113" t="s">
        <v>6409</v>
      </c>
      <c r="F20" s="74"/>
      <c r="G20" s="33">
        <f t="shared" ref="G20:O20" si="25">G94</f>
        <v>1653300</v>
      </c>
      <c r="H20" s="138">
        <f t="shared" ref="H20:H26" si="26">IF(D20=G20,0,IF(D20=0,100,(G20-D20)/D20*100))</f>
        <v>42.4276361130255</v>
      </c>
      <c r="I20" s="33">
        <f t="shared" si="25"/>
        <v>1409400</v>
      </c>
      <c r="J20" s="33">
        <f t="shared" si="25"/>
        <v>1455600</v>
      </c>
      <c r="K20" s="33">
        <f t="shared" si="25"/>
        <v>1502500</v>
      </c>
      <c r="L20" s="33">
        <f t="shared" si="25"/>
        <v>1810500</v>
      </c>
      <c r="M20" s="33">
        <f t="shared" si="25"/>
        <v>1586700</v>
      </c>
      <c r="N20" s="33">
        <f t="shared" si="25"/>
        <v>1623600</v>
      </c>
      <c r="O20" s="33">
        <f t="shared" si="25"/>
        <v>1661600</v>
      </c>
      <c r="P20" s="33">
        <f t="shared" ref="P20:Q20" si="27">P94</f>
        <v>1990400</v>
      </c>
      <c r="Q20" s="142">
        <f t="shared" si="27"/>
        <v>1718600</v>
      </c>
      <c r="R20" s="114">
        <f t="shared" ref="R20" si="28">R94</f>
        <v>1737200</v>
      </c>
    </row>
    <row r="21" spans="1:18" x14ac:dyDescent="0.2">
      <c r="A21" s="608">
        <f>A134</f>
        <v>284900</v>
      </c>
      <c r="B21" s="150">
        <f>B134</f>
        <v>301800</v>
      </c>
      <c r="C21" s="150">
        <f>C134</f>
        <v>255200</v>
      </c>
      <c r="D21" s="150">
        <f>D134</f>
        <v>310900</v>
      </c>
      <c r="E21" s="276" t="s">
        <v>1034</v>
      </c>
      <c r="F21" s="99"/>
      <c r="G21" s="33">
        <f t="shared" ref="G21:O21" si="29">G134</f>
        <v>296500</v>
      </c>
      <c r="H21" s="138">
        <f t="shared" si="26"/>
        <v>-4.6317143776133811</v>
      </c>
      <c r="I21" s="33">
        <f t="shared" si="29"/>
        <v>269300</v>
      </c>
      <c r="J21" s="33">
        <f t="shared" si="29"/>
        <v>276800</v>
      </c>
      <c r="K21" s="33">
        <f t="shared" si="29"/>
        <v>284300</v>
      </c>
      <c r="L21" s="33">
        <f t="shared" si="29"/>
        <v>292000</v>
      </c>
      <c r="M21" s="33">
        <f t="shared" si="29"/>
        <v>298600</v>
      </c>
      <c r="N21" s="33">
        <f t="shared" si="29"/>
        <v>305300</v>
      </c>
      <c r="O21" s="33">
        <f t="shared" si="29"/>
        <v>312100</v>
      </c>
      <c r="P21" s="33">
        <f t="shared" ref="P21:Q21" si="30">P134</f>
        <v>319100</v>
      </c>
      <c r="Q21" s="142">
        <f t="shared" si="30"/>
        <v>326300</v>
      </c>
      <c r="R21" s="114">
        <f t="shared" ref="R21" si="31">R134</f>
        <v>333500</v>
      </c>
    </row>
    <row r="22" spans="1:18" x14ac:dyDescent="0.2">
      <c r="A22" s="608">
        <f>A225</f>
        <v>-3187000</v>
      </c>
      <c r="B22" s="150">
        <f>B225</f>
        <v>-3495700</v>
      </c>
      <c r="C22" s="150">
        <f>C225</f>
        <v>-3774600</v>
      </c>
      <c r="D22" s="150">
        <f>D225</f>
        <v>-4086900</v>
      </c>
      <c r="E22" s="276" t="s">
        <v>88</v>
      </c>
      <c r="F22" s="99"/>
      <c r="G22" s="33">
        <f t="shared" ref="G22:O22" si="32">G225</f>
        <v>-4197500</v>
      </c>
      <c r="H22" s="138">
        <f t="shared" si="26"/>
        <v>2.7062076390418164</v>
      </c>
      <c r="I22" s="33">
        <f t="shared" si="32"/>
        <v>-4174800</v>
      </c>
      <c r="J22" s="33">
        <f t="shared" si="32"/>
        <v>-4278300</v>
      </c>
      <c r="K22" s="33">
        <f t="shared" si="32"/>
        <v>-4384600</v>
      </c>
      <c r="L22" s="33">
        <f t="shared" si="32"/>
        <v>-4494000</v>
      </c>
      <c r="M22" s="33">
        <f t="shared" si="32"/>
        <v>-4577100</v>
      </c>
      <c r="N22" s="33">
        <f t="shared" si="32"/>
        <v>-4614200</v>
      </c>
      <c r="O22" s="33">
        <f t="shared" si="32"/>
        <v>-4699300</v>
      </c>
      <c r="P22" s="33">
        <f t="shared" ref="P22:Q22" si="33">P225</f>
        <v>-4785500</v>
      </c>
      <c r="Q22" s="142">
        <f t="shared" si="33"/>
        <v>-4873600</v>
      </c>
      <c r="R22" s="114">
        <f t="shared" ref="R22" si="34">R225</f>
        <v>-4963800</v>
      </c>
    </row>
    <row r="23" spans="1:18" x14ac:dyDescent="0.2">
      <c r="A23" s="608">
        <f>A264</f>
        <v>1577000</v>
      </c>
      <c r="B23" s="150">
        <f>B264</f>
        <v>1838300</v>
      </c>
      <c r="C23" s="150">
        <f>C264</f>
        <v>1913000</v>
      </c>
      <c r="D23" s="150">
        <f>D264</f>
        <v>2049200</v>
      </c>
      <c r="E23" s="276" t="s">
        <v>2311</v>
      </c>
      <c r="F23" s="99"/>
      <c r="G23" s="33">
        <f t="shared" ref="G23:O23" si="35">G264</f>
        <v>2303400</v>
      </c>
      <c r="H23" s="138">
        <f t="shared" si="26"/>
        <v>12.404840913527231</v>
      </c>
      <c r="I23" s="33">
        <f t="shared" si="35"/>
        <v>2360900</v>
      </c>
      <c r="J23" s="33">
        <f t="shared" si="35"/>
        <v>2420400</v>
      </c>
      <c r="K23" s="33">
        <f t="shared" si="35"/>
        <v>2481600</v>
      </c>
      <c r="L23" s="33">
        <f t="shared" si="35"/>
        <v>2544400</v>
      </c>
      <c r="M23" s="33">
        <f t="shared" si="35"/>
        <v>2603200</v>
      </c>
      <c r="N23" s="33">
        <f t="shared" si="35"/>
        <v>2663300</v>
      </c>
      <c r="O23" s="33">
        <f t="shared" si="35"/>
        <v>2724700</v>
      </c>
      <c r="P23" s="33">
        <f t="shared" ref="P23:Q23" si="36">P264</f>
        <v>2787700</v>
      </c>
      <c r="Q23" s="142">
        <f t="shared" si="36"/>
        <v>2852100</v>
      </c>
      <c r="R23" s="114">
        <f t="shared" ref="R23" si="37">R264</f>
        <v>2917900</v>
      </c>
    </row>
    <row r="24" spans="1:18" x14ac:dyDescent="0.2">
      <c r="A24" s="608">
        <f>A320</f>
        <v>964000</v>
      </c>
      <c r="B24" s="150">
        <f>B320</f>
        <v>1371400</v>
      </c>
      <c r="C24" s="150">
        <f>C320</f>
        <v>1366300</v>
      </c>
      <c r="D24" s="150">
        <f>D320</f>
        <v>1282200</v>
      </c>
      <c r="E24" s="276" t="s">
        <v>2291</v>
      </c>
      <c r="F24" s="99"/>
      <c r="G24" s="33">
        <f t="shared" ref="G24:O24" si="38">G320</f>
        <v>1010500</v>
      </c>
      <c r="H24" s="138">
        <f t="shared" si="26"/>
        <v>-21.190141943534549</v>
      </c>
      <c r="I24" s="33">
        <f t="shared" si="38"/>
        <v>1007200</v>
      </c>
      <c r="J24" s="33">
        <f t="shared" si="38"/>
        <v>1026900</v>
      </c>
      <c r="K24" s="33">
        <f t="shared" si="38"/>
        <v>1049900</v>
      </c>
      <c r="L24" s="33">
        <f t="shared" si="38"/>
        <v>1077200</v>
      </c>
      <c r="M24" s="33">
        <f t="shared" si="38"/>
        <v>1109700</v>
      </c>
      <c r="N24" s="33">
        <f t="shared" si="38"/>
        <v>1145800</v>
      </c>
      <c r="O24" s="33">
        <f t="shared" si="38"/>
        <v>1185500</v>
      </c>
      <c r="P24" s="33">
        <f t="shared" ref="P24:Q24" si="39">P320</f>
        <v>1229900</v>
      </c>
      <c r="Q24" s="142">
        <f t="shared" si="39"/>
        <v>1277100</v>
      </c>
      <c r="R24" s="114">
        <f t="shared" ref="R24" si="40">R320</f>
        <v>1329000</v>
      </c>
    </row>
    <row r="25" spans="1:18" x14ac:dyDescent="0.2">
      <c r="A25" s="608">
        <f>A392</f>
        <v>1925600</v>
      </c>
      <c r="B25" s="150">
        <f>B392</f>
        <v>3357700</v>
      </c>
      <c r="C25" s="150">
        <f>C392</f>
        <v>2115000</v>
      </c>
      <c r="D25" s="150">
        <f>D392</f>
        <v>2961700</v>
      </c>
      <c r="E25" s="276" t="s">
        <v>2543</v>
      </c>
      <c r="F25" s="99"/>
      <c r="G25" s="33">
        <f t="shared" ref="G25:O25" si="41">G392</f>
        <v>3216300</v>
      </c>
      <c r="H25" s="138">
        <f t="shared" si="26"/>
        <v>8.5964142215619397</v>
      </c>
      <c r="I25" s="33">
        <f t="shared" si="41"/>
        <v>1579800</v>
      </c>
      <c r="J25" s="33">
        <f t="shared" si="41"/>
        <v>1621500</v>
      </c>
      <c r="K25" s="33">
        <f t="shared" si="41"/>
        <v>1663600</v>
      </c>
      <c r="L25" s="33">
        <f t="shared" si="41"/>
        <v>1707000</v>
      </c>
      <c r="M25" s="33">
        <f t="shared" si="41"/>
        <v>1745700</v>
      </c>
      <c r="N25" s="33">
        <f t="shared" si="41"/>
        <v>1685500</v>
      </c>
      <c r="O25" s="33">
        <f t="shared" si="41"/>
        <v>1723800</v>
      </c>
      <c r="P25" s="33">
        <f t="shared" ref="P25:Q25" si="42">P392</f>
        <v>1762800</v>
      </c>
      <c r="Q25" s="142">
        <f t="shared" si="42"/>
        <v>1802600</v>
      </c>
      <c r="R25" s="114">
        <f t="shared" ref="R25" si="43">R392</f>
        <v>1843000</v>
      </c>
    </row>
    <row r="26" spans="1:18" x14ac:dyDescent="0.2">
      <c r="A26" s="608">
        <f>GM!A454</f>
        <v>4056200</v>
      </c>
      <c r="B26" s="150">
        <f>GM!B454</f>
        <v>6404400</v>
      </c>
      <c r="C26" s="152">
        <f>GM!C454</f>
        <v>4362900</v>
      </c>
      <c r="D26" s="150">
        <f>GM!D454</f>
        <v>4513400</v>
      </c>
      <c r="E26" s="276" t="s">
        <v>2129</v>
      </c>
      <c r="F26" s="142"/>
      <c r="G26" s="33">
        <f>GM!G454</f>
        <v>4877900</v>
      </c>
      <c r="H26" s="138">
        <f t="shared" si="26"/>
        <v>8.0759516107590734</v>
      </c>
      <c r="I26" s="33">
        <f>GM!I454</f>
        <v>5379100</v>
      </c>
      <c r="J26" s="33">
        <f>GM!J454</f>
        <v>5607500</v>
      </c>
      <c r="K26" s="33">
        <f>GM!K454</f>
        <v>5695300</v>
      </c>
      <c r="L26" s="33">
        <f>GM!L454</f>
        <v>5769700</v>
      </c>
      <c r="M26" s="33">
        <f>GM!M454</f>
        <v>5825700</v>
      </c>
      <c r="N26" s="33">
        <f>GM!N454</f>
        <v>5892000</v>
      </c>
      <c r="O26" s="33">
        <f>GM!O454</f>
        <v>5898700</v>
      </c>
      <c r="P26" s="33">
        <f>GM!P454</f>
        <v>6127000</v>
      </c>
      <c r="Q26" s="142">
        <f>GM!Q454</f>
        <v>6267700</v>
      </c>
      <c r="R26" s="114">
        <f>GM!R454</f>
        <v>6389700</v>
      </c>
    </row>
    <row r="27" spans="1:18" ht="13.5" thickBot="1" x14ac:dyDescent="0.25">
      <c r="A27" s="608"/>
      <c r="B27" s="150"/>
      <c r="C27" s="152"/>
      <c r="D27" s="150"/>
      <c r="E27" s="277"/>
      <c r="F27" s="142"/>
      <c r="G27" s="33"/>
      <c r="H27" s="138"/>
      <c r="I27" s="33"/>
      <c r="J27" s="33"/>
      <c r="K27" s="33"/>
      <c r="L27" s="33"/>
      <c r="M27" s="33"/>
      <c r="N27" s="33"/>
      <c r="O27" s="33"/>
      <c r="P27" s="33"/>
      <c r="Q27" s="142"/>
      <c r="R27" s="114"/>
    </row>
    <row r="28" spans="1:18" s="92" customFormat="1" x14ac:dyDescent="0.2">
      <c r="A28" s="610">
        <f>SUM(A18:A27)</f>
        <v>6862700</v>
      </c>
      <c r="B28" s="153">
        <f>SUM(B18:B27)</f>
        <v>10961300</v>
      </c>
      <c r="C28" s="154">
        <f>SUM(C18:C27)</f>
        <v>7342600</v>
      </c>
      <c r="D28" s="153">
        <f>SUM(D18:D27)</f>
        <v>8191300</v>
      </c>
      <c r="E28" s="275" t="s">
        <v>565</v>
      </c>
      <c r="F28" s="128"/>
      <c r="G28" s="53">
        <f t="shared" ref="G28:O28" si="44">SUM(G18:G27)</f>
        <v>9160400</v>
      </c>
      <c r="H28" s="180">
        <f>IF(D28=G28,0,IF(D28=0,100,(G28-D28)/D28*100))</f>
        <v>11.830844920830637</v>
      </c>
      <c r="I28" s="53">
        <f t="shared" si="44"/>
        <v>7830900</v>
      </c>
      <c r="J28" s="53">
        <f t="shared" si="44"/>
        <v>8130400</v>
      </c>
      <c r="K28" s="53">
        <f t="shared" si="44"/>
        <v>8292600</v>
      </c>
      <c r="L28" s="53">
        <f t="shared" si="44"/>
        <v>8706800</v>
      </c>
      <c r="M28" s="53">
        <f t="shared" si="44"/>
        <v>8592500</v>
      </c>
      <c r="N28" s="53">
        <f t="shared" si="44"/>
        <v>8701300</v>
      </c>
      <c r="O28" s="53">
        <f t="shared" si="44"/>
        <v>8807100</v>
      </c>
      <c r="P28" s="53">
        <f t="shared" ref="P28:Q28" si="45">SUM(P18:P27)</f>
        <v>9431400</v>
      </c>
      <c r="Q28" s="155">
        <f t="shared" si="45"/>
        <v>9370800</v>
      </c>
      <c r="R28" s="113">
        <f t="shared" ref="R28" si="46">SUM(R18:R27)</f>
        <v>9586500</v>
      </c>
    </row>
    <row r="29" spans="1:18" x14ac:dyDescent="0.2">
      <c r="A29" s="608"/>
      <c r="B29" s="150"/>
      <c r="C29" s="152"/>
      <c r="D29" s="150"/>
      <c r="E29" s="276"/>
      <c r="F29" s="142"/>
      <c r="G29" s="33"/>
      <c r="H29" s="138"/>
      <c r="I29" s="33"/>
      <c r="J29" s="33"/>
      <c r="K29" s="33"/>
      <c r="L29" s="33"/>
      <c r="M29" s="33"/>
      <c r="N29" s="33"/>
      <c r="O29" s="33"/>
      <c r="P29" s="33"/>
      <c r="Q29" s="142"/>
      <c r="R29" s="114"/>
    </row>
    <row r="30" spans="1:18" x14ac:dyDescent="0.2">
      <c r="A30" s="608"/>
      <c r="B30" s="150"/>
      <c r="C30" s="152"/>
      <c r="D30" s="150"/>
      <c r="E30" s="1985" t="s">
        <v>4723</v>
      </c>
      <c r="F30" s="1963"/>
      <c r="G30" s="33"/>
      <c r="H30" s="138"/>
      <c r="I30" s="33"/>
      <c r="J30" s="33"/>
      <c r="K30" s="33"/>
      <c r="L30" s="33"/>
      <c r="M30" s="33"/>
      <c r="N30" s="33"/>
      <c r="O30" s="33"/>
      <c r="P30" s="33"/>
      <c r="Q30" s="142"/>
      <c r="R30" s="114"/>
    </row>
    <row r="31" spans="1:18" x14ac:dyDescent="0.2">
      <c r="A31" s="608"/>
      <c r="B31" s="150"/>
      <c r="C31" s="150"/>
      <c r="D31" s="150"/>
      <c r="E31" s="273"/>
      <c r="F31" s="128"/>
      <c r="G31" s="33"/>
      <c r="H31" s="138"/>
      <c r="I31" s="33"/>
      <c r="J31" s="33"/>
      <c r="K31" s="33"/>
      <c r="L31" s="33"/>
      <c r="M31" s="33"/>
      <c r="N31" s="33"/>
      <c r="O31" s="33"/>
      <c r="P31" s="33"/>
      <c r="Q31" s="142"/>
      <c r="R31" s="114"/>
    </row>
    <row r="32" spans="1:18" x14ac:dyDescent="0.2">
      <c r="A32" s="608">
        <f t="shared" ref="A32:B32" si="47">A7-A20</f>
        <v>-1242000</v>
      </c>
      <c r="B32" s="150">
        <f t="shared" si="47"/>
        <v>-1183400</v>
      </c>
      <c r="C32" s="150">
        <f>C7-C20</f>
        <v>-1104800</v>
      </c>
      <c r="D32" s="150">
        <f>D7-D20</f>
        <v>-1156500</v>
      </c>
      <c r="E32" s="276" t="s">
        <v>783</v>
      </c>
      <c r="F32" s="74"/>
      <c r="G32" s="33">
        <f t="shared" ref="G32:P32" si="48">G7-G20</f>
        <v>-1653300</v>
      </c>
      <c r="H32" s="138">
        <f t="shared" ref="H32:H38" si="49">IF(D32=G32,0,IF(D32=0,100,(G32-D32)/D32*100))</f>
        <v>42.957198443579763</v>
      </c>
      <c r="I32" s="33">
        <f t="shared" si="48"/>
        <v>-1409400</v>
      </c>
      <c r="J32" s="33">
        <f t="shared" si="48"/>
        <v>-1455600</v>
      </c>
      <c r="K32" s="33">
        <f t="shared" si="48"/>
        <v>-1502500</v>
      </c>
      <c r="L32" s="33">
        <f t="shared" si="48"/>
        <v>-1810500</v>
      </c>
      <c r="M32" s="33">
        <f t="shared" si="48"/>
        <v>-1586700</v>
      </c>
      <c r="N32" s="33">
        <f t="shared" si="48"/>
        <v>-1623600</v>
      </c>
      <c r="O32" s="33">
        <f t="shared" si="48"/>
        <v>-1661600</v>
      </c>
      <c r="P32" s="33">
        <f t="shared" si="48"/>
        <v>-1990400</v>
      </c>
      <c r="Q32" s="142">
        <f t="shared" ref="Q32" si="50">Q7-Q20</f>
        <v>-1718600</v>
      </c>
      <c r="R32" s="114">
        <f t="shared" ref="R32" si="51">R7-R20</f>
        <v>-1737200</v>
      </c>
    </row>
    <row r="33" spans="1:18" x14ac:dyDescent="0.2">
      <c r="A33" s="608">
        <f t="shared" ref="A33:B33" si="52">A8-A21</f>
        <v>-266900</v>
      </c>
      <c r="B33" s="150">
        <f t="shared" si="52"/>
        <v>-282700</v>
      </c>
      <c r="C33" s="150">
        <f>C8-C21</f>
        <v>-229200</v>
      </c>
      <c r="D33" s="150">
        <f>D8-D21</f>
        <v>-268400</v>
      </c>
      <c r="E33" s="276" t="s">
        <v>1034</v>
      </c>
      <c r="F33" s="99"/>
      <c r="G33" s="33">
        <f t="shared" ref="G33:P33" si="53">G8-G21</f>
        <v>-267000</v>
      </c>
      <c r="H33" s="138">
        <f t="shared" si="49"/>
        <v>-0.52160953800298071</v>
      </c>
      <c r="I33" s="33">
        <f t="shared" si="53"/>
        <v>-239000</v>
      </c>
      <c r="J33" s="33">
        <f t="shared" si="53"/>
        <v>-245400</v>
      </c>
      <c r="K33" s="33">
        <f t="shared" si="53"/>
        <v>-251800</v>
      </c>
      <c r="L33" s="33">
        <f t="shared" si="53"/>
        <v>-258400</v>
      </c>
      <c r="M33" s="33">
        <f t="shared" si="53"/>
        <v>-264100</v>
      </c>
      <c r="N33" s="33">
        <f t="shared" si="53"/>
        <v>-269900</v>
      </c>
      <c r="O33" s="33">
        <f t="shared" si="53"/>
        <v>-275800</v>
      </c>
      <c r="P33" s="33">
        <f t="shared" si="53"/>
        <v>-281900</v>
      </c>
      <c r="Q33" s="142">
        <f t="shared" ref="Q33" si="54">Q8-Q21</f>
        <v>-288100</v>
      </c>
      <c r="R33" s="114">
        <f t="shared" ref="R33" si="55">R8-R21</f>
        <v>-294200</v>
      </c>
    </row>
    <row r="34" spans="1:18" x14ac:dyDescent="0.2">
      <c r="A34" s="608">
        <f t="shared" ref="A34:B34" si="56">A9+A10-A22</f>
        <v>24556000</v>
      </c>
      <c r="B34" s="150">
        <f t="shared" si="56"/>
        <v>23988000</v>
      </c>
      <c r="C34" s="150">
        <f>C9+C10-C22</f>
        <v>26349400</v>
      </c>
      <c r="D34" s="150">
        <f>D9+D10-D22</f>
        <v>27776300</v>
      </c>
      <c r="E34" s="276" t="s">
        <v>88</v>
      </c>
      <c r="F34" s="99"/>
      <c r="G34" s="33">
        <f t="shared" ref="G34:P34" si="57">G9+G10-G22</f>
        <v>29280500</v>
      </c>
      <c r="H34" s="138">
        <f t="shared" si="49"/>
        <v>5.4154080997109046</v>
      </c>
      <c r="I34" s="33">
        <f t="shared" si="57"/>
        <v>30406400</v>
      </c>
      <c r="J34" s="33">
        <f t="shared" si="57"/>
        <v>31944700</v>
      </c>
      <c r="K34" s="33">
        <f t="shared" si="57"/>
        <v>33707800</v>
      </c>
      <c r="L34" s="33">
        <f t="shared" si="57"/>
        <v>34640100</v>
      </c>
      <c r="M34" s="33">
        <f t="shared" si="57"/>
        <v>35568800</v>
      </c>
      <c r="N34" s="33">
        <f t="shared" si="57"/>
        <v>36475900</v>
      </c>
      <c r="O34" s="33">
        <f t="shared" si="57"/>
        <v>37456400</v>
      </c>
      <c r="P34" s="33">
        <f t="shared" si="57"/>
        <v>38463900</v>
      </c>
      <c r="Q34" s="142">
        <f t="shared" ref="Q34" si="58">Q9+Q10-Q22</f>
        <v>39500000</v>
      </c>
      <c r="R34" s="114">
        <f t="shared" ref="R34" si="59">R9+R10-R22</f>
        <v>40565700</v>
      </c>
    </row>
    <row r="35" spans="1:18" x14ac:dyDescent="0.2">
      <c r="A35" s="608">
        <f t="shared" ref="A35:B35" si="60">A11-A23</f>
        <v>-1573000</v>
      </c>
      <c r="B35" s="150">
        <f t="shared" si="60"/>
        <v>-1824700</v>
      </c>
      <c r="C35" s="150">
        <f>C11-C23</f>
        <v>-1895400</v>
      </c>
      <c r="D35" s="150">
        <f>D11-D23</f>
        <v>-2046100</v>
      </c>
      <c r="E35" s="276" t="s">
        <v>2311</v>
      </c>
      <c r="F35" s="99"/>
      <c r="G35" s="33">
        <f t="shared" ref="G35:P35" si="61">G11-G23</f>
        <v>-2126400</v>
      </c>
      <c r="H35" s="138">
        <f t="shared" si="49"/>
        <v>3.9245393675773421</v>
      </c>
      <c r="I35" s="33">
        <f t="shared" si="61"/>
        <v>-2257900</v>
      </c>
      <c r="J35" s="33">
        <f t="shared" si="61"/>
        <v>-2314800</v>
      </c>
      <c r="K35" s="33">
        <f t="shared" si="61"/>
        <v>-2373300</v>
      </c>
      <c r="L35" s="33">
        <f t="shared" si="61"/>
        <v>-2433300</v>
      </c>
      <c r="M35" s="33">
        <f t="shared" si="61"/>
        <v>-2489800</v>
      </c>
      <c r="N35" s="33">
        <f t="shared" si="61"/>
        <v>-2547600</v>
      </c>
      <c r="O35" s="33">
        <f t="shared" si="61"/>
        <v>-2606600</v>
      </c>
      <c r="P35" s="33">
        <f t="shared" si="61"/>
        <v>-2667200</v>
      </c>
      <c r="Q35" s="142">
        <f t="shared" ref="Q35" si="62">Q11-Q23</f>
        <v>-2729100</v>
      </c>
      <c r="R35" s="114">
        <f t="shared" ref="R35" si="63">R11-R23</f>
        <v>-2792400</v>
      </c>
    </row>
    <row r="36" spans="1:18" x14ac:dyDescent="0.2">
      <c r="A36" s="608">
        <f t="shared" ref="A36:B38" si="64">A12-A24</f>
        <v>-731000</v>
      </c>
      <c r="B36" s="150">
        <f t="shared" si="64"/>
        <v>-1181500</v>
      </c>
      <c r="C36" s="150">
        <f t="shared" ref="C36" si="65">C12-C24</f>
        <v>-1070900</v>
      </c>
      <c r="D36" s="150">
        <f t="shared" ref="D36" si="66">D12-D24</f>
        <v>-1090800</v>
      </c>
      <c r="E36" s="276" t="s">
        <v>2291</v>
      </c>
      <c r="F36" s="99"/>
      <c r="G36" s="33">
        <f t="shared" ref="G36:P36" si="67">G12-G24</f>
        <v>-687500</v>
      </c>
      <c r="H36" s="138">
        <f t="shared" si="49"/>
        <v>-36.972863953061974</v>
      </c>
      <c r="I36" s="33">
        <f t="shared" si="67"/>
        <v>-834200</v>
      </c>
      <c r="J36" s="33">
        <f t="shared" si="67"/>
        <v>-849300</v>
      </c>
      <c r="K36" s="33">
        <f t="shared" si="67"/>
        <v>-867600</v>
      </c>
      <c r="L36" s="33">
        <f t="shared" si="67"/>
        <v>-890100</v>
      </c>
      <c r="M36" s="33">
        <f t="shared" si="67"/>
        <v>-918600</v>
      </c>
      <c r="N36" s="33">
        <f t="shared" si="67"/>
        <v>-950600</v>
      </c>
      <c r="O36" s="33">
        <f t="shared" si="67"/>
        <v>-986100</v>
      </c>
      <c r="P36" s="33">
        <f t="shared" si="67"/>
        <v>-1026300</v>
      </c>
      <c r="Q36" s="142">
        <f t="shared" ref="Q36" si="68">Q12-Q24</f>
        <v>-1069200</v>
      </c>
      <c r="R36" s="114">
        <f t="shared" ref="R36" si="69">R12-R24</f>
        <v>-1116700</v>
      </c>
    </row>
    <row r="37" spans="1:18" x14ac:dyDescent="0.2">
      <c r="A37" s="608">
        <f t="shared" si="64"/>
        <v>2675900</v>
      </c>
      <c r="B37" s="150">
        <f t="shared" si="64"/>
        <v>22300</v>
      </c>
      <c r="C37" s="150">
        <f t="shared" ref="C37" si="70">C13-C25</f>
        <v>1270100</v>
      </c>
      <c r="D37" s="150">
        <f t="shared" ref="D37" si="71">D13-D25</f>
        <v>-390900</v>
      </c>
      <c r="E37" s="276" t="s">
        <v>2543</v>
      </c>
      <c r="F37" s="99"/>
      <c r="G37" s="33">
        <f t="shared" ref="G37:P37" si="72">G13-G25</f>
        <v>-183300</v>
      </c>
      <c r="H37" s="138">
        <f t="shared" si="49"/>
        <v>-53.108211818879511</v>
      </c>
      <c r="I37" s="33">
        <f t="shared" si="72"/>
        <v>1038800</v>
      </c>
      <c r="J37" s="33">
        <f t="shared" si="72"/>
        <v>966100</v>
      </c>
      <c r="K37" s="33">
        <f t="shared" si="72"/>
        <v>1043200</v>
      </c>
      <c r="L37" s="33">
        <f t="shared" si="72"/>
        <v>1001700</v>
      </c>
      <c r="M37" s="33">
        <f t="shared" si="72"/>
        <v>1025900</v>
      </c>
      <c r="N37" s="33">
        <f t="shared" si="72"/>
        <v>1140400</v>
      </c>
      <c r="O37" s="33">
        <f t="shared" si="72"/>
        <v>1164000</v>
      </c>
      <c r="P37" s="33">
        <f t="shared" si="72"/>
        <v>1175000</v>
      </c>
      <c r="Q37" s="142">
        <f t="shared" ref="Q37" si="73">Q13-Q25</f>
        <v>1195600</v>
      </c>
      <c r="R37" s="114">
        <f t="shared" ref="R37" si="74">R13-R25</f>
        <v>1215700</v>
      </c>
    </row>
    <row r="38" spans="1:18" x14ac:dyDescent="0.2">
      <c r="A38" s="608">
        <f t="shared" si="64"/>
        <v>-50900</v>
      </c>
      <c r="B38" s="150">
        <f t="shared" si="64"/>
        <v>-1786600</v>
      </c>
      <c r="C38" s="152">
        <f t="shared" ref="C38" si="75">C14-C26</f>
        <v>346800</v>
      </c>
      <c r="D38" s="150">
        <f t="shared" ref="D38" si="76">D14-D26</f>
        <v>598500</v>
      </c>
      <c r="E38" s="276" t="s">
        <v>2129</v>
      </c>
      <c r="F38" s="142"/>
      <c r="G38" s="33">
        <f t="shared" ref="G38:P38" si="77">G14-G26</f>
        <v>714500</v>
      </c>
      <c r="H38" s="138">
        <f t="shared" si="49"/>
        <v>19.381787802840435</v>
      </c>
      <c r="I38" s="33">
        <f t="shared" si="77"/>
        <v>691100</v>
      </c>
      <c r="J38" s="33">
        <f t="shared" si="77"/>
        <v>706600</v>
      </c>
      <c r="K38" s="33">
        <f t="shared" si="77"/>
        <v>762900</v>
      </c>
      <c r="L38" s="33">
        <f t="shared" si="77"/>
        <v>835400</v>
      </c>
      <c r="M38" s="33">
        <f t="shared" si="77"/>
        <v>928200</v>
      </c>
      <c r="N38" s="33">
        <f t="shared" si="77"/>
        <v>978700</v>
      </c>
      <c r="O38" s="33">
        <f t="shared" si="77"/>
        <v>1116800</v>
      </c>
      <c r="P38" s="33">
        <f t="shared" si="77"/>
        <v>1044000</v>
      </c>
      <c r="Q38" s="142">
        <f t="shared" ref="Q38" si="78">Q14-Q26</f>
        <v>1068300</v>
      </c>
      <c r="R38" s="114">
        <f t="shared" ref="R38" si="79">R14-R26</f>
        <v>1081700</v>
      </c>
    </row>
    <row r="39" spans="1:18" ht="13.5" thickBot="1" x14ac:dyDescent="0.25">
      <c r="A39" s="611"/>
      <c r="B39" s="156"/>
      <c r="C39" s="382"/>
      <c r="D39" s="156"/>
      <c r="E39" s="276"/>
      <c r="F39" s="128"/>
      <c r="G39" s="33"/>
      <c r="H39" s="179"/>
      <c r="I39" s="33"/>
      <c r="J39" s="33"/>
      <c r="K39" s="33"/>
      <c r="L39" s="33"/>
      <c r="M39" s="33"/>
      <c r="N39" s="33"/>
      <c r="O39" s="33"/>
      <c r="P39" s="33"/>
      <c r="Q39" s="142"/>
      <c r="R39" s="114"/>
    </row>
    <row r="40" spans="1:18" x14ac:dyDescent="0.2">
      <c r="A40" s="610">
        <f>A16-A28</f>
        <v>23368100</v>
      </c>
      <c r="B40" s="153">
        <f>B16-B28</f>
        <v>17751400</v>
      </c>
      <c r="C40" s="154">
        <f>C16-C28</f>
        <v>23666000</v>
      </c>
      <c r="D40" s="153">
        <f>D16-D28</f>
        <v>23422100</v>
      </c>
      <c r="E40" s="1815" t="s">
        <v>4721</v>
      </c>
      <c r="F40" s="142"/>
      <c r="G40" s="53">
        <f t="shared" ref="G40:O40" si="80">G16-G28</f>
        <v>25077500</v>
      </c>
      <c r="H40" s="180">
        <f t="shared" ref="H40:H46" si="81">IF(D40=G40,0,IF(D40=0,100,(G40-D40)/D40*100))</f>
        <v>7.0676839395271989</v>
      </c>
      <c r="I40" s="53">
        <f t="shared" si="80"/>
        <v>27395800</v>
      </c>
      <c r="J40" s="53">
        <f t="shared" si="80"/>
        <v>28752300</v>
      </c>
      <c r="K40" s="53">
        <f t="shared" si="80"/>
        <v>30518700</v>
      </c>
      <c r="L40" s="53">
        <f t="shared" si="80"/>
        <v>31084900</v>
      </c>
      <c r="M40" s="53">
        <f t="shared" si="80"/>
        <v>32263700</v>
      </c>
      <c r="N40" s="53">
        <f t="shared" si="80"/>
        <v>33203300</v>
      </c>
      <c r="O40" s="53">
        <f t="shared" si="80"/>
        <v>34207100</v>
      </c>
      <c r="P40" s="53">
        <f t="shared" ref="P40:Q40" si="82">P16-P28</f>
        <v>34717100</v>
      </c>
      <c r="Q40" s="155">
        <f t="shared" si="82"/>
        <v>35958900</v>
      </c>
      <c r="R40" s="113">
        <f t="shared" ref="R40" si="83">R16-R28</f>
        <v>36922600</v>
      </c>
    </row>
    <row r="41" spans="1:18" x14ac:dyDescent="0.2">
      <c r="A41" s="608">
        <f>A97+A137+A228++A267+A323+A395+A457</f>
        <v>998800</v>
      </c>
      <c r="B41" s="150">
        <f>B97+B137+B228++B267+B323+B395+B457</f>
        <v>1384100</v>
      </c>
      <c r="C41" s="152">
        <f>C97+C137+C228++C267+C323+C395+C457</f>
        <v>879400</v>
      </c>
      <c r="D41" s="150">
        <f>D97+D137+D228++D267+D323+D395+D457</f>
        <v>942200</v>
      </c>
      <c r="E41" s="320" t="s">
        <v>1976</v>
      </c>
      <c r="F41" s="142"/>
      <c r="G41" s="33">
        <f>G97+G137+G228++G267+G323+G395+G457</f>
        <v>1024000</v>
      </c>
      <c r="H41" s="138">
        <f t="shared" si="81"/>
        <v>8.6818085332201225</v>
      </c>
      <c r="I41" s="33">
        <f t="shared" ref="I41:Q41" si="84">I97+I137+I228++I267+I323+I395+I457</f>
        <v>1110200</v>
      </c>
      <c r="J41" s="33">
        <f t="shared" si="84"/>
        <v>1143500</v>
      </c>
      <c r="K41" s="33">
        <f t="shared" si="84"/>
        <v>1177800</v>
      </c>
      <c r="L41" s="33">
        <f t="shared" si="84"/>
        <v>1201400</v>
      </c>
      <c r="M41" s="33">
        <f t="shared" si="84"/>
        <v>1225600</v>
      </c>
      <c r="N41" s="33">
        <f t="shared" si="84"/>
        <v>1250300</v>
      </c>
      <c r="O41" s="33">
        <f t="shared" si="84"/>
        <v>1275400</v>
      </c>
      <c r="P41" s="33">
        <f t="shared" si="84"/>
        <v>1301000</v>
      </c>
      <c r="Q41" s="142">
        <f t="shared" si="84"/>
        <v>1327200</v>
      </c>
      <c r="R41" s="114">
        <f t="shared" ref="R41" si="85">R97+R137+R228++R267+R323+R395+R457</f>
        <v>1353800</v>
      </c>
    </row>
    <row r="42" spans="1:18" x14ac:dyDescent="0.2">
      <c r="A42" s="608">
        <f t="shared" ref="A42:C42" si="86">A182</f>
        <v>-414000</v>
      </c>
      <c r="B42" s="150">
        <f t="shared" si="86"/>
        <v>-333000</v>
      </c>
      <c r="C42" s="152">
        <f t="shared" si="86"/>
        <v>30000</v>
      </c>
      <c r="D42" s="150">
        <f>D182</f>
        <v>163000</v>
      </c>
      <c r="E42" s="320" t="s">
        <v>5402</v>
      </c>
      <c r="F42" s="142"/>
      <c r="G42" s="33">
        <f t="shared" ref="G42:P42" si="87">G182</f>
        <v>0</v>
      </c>
      <c r="H42" s="138">
        <f t="shared" si="81"/>
        <v>-100</v>
      </c>
      <c r="I42" s="33">
        <f t="shared" si="87"/>
        <v>0</v>
      </c>
      <c r="J42" s="33">
        <f t="shared" si="87"/>
        <v>0</v>
      </c>
      <c r="K42" s="33">
        <f t="shared" si="87"/>
        <v>0</v>
      </c>
      <c r="L42" s="33">
        <f t="shared" si="87"/>
        <v>0</v>
      </c>
      <c r="M42" s="33">
        <f t="shared" si="87"/>
        <v>0</v>
      </c>
      <c r="N42" s="33">
        <f t="shared" si="87"/>
        <v>0</v>
      </c>
      <c r="O42" s="33">
        <f t="shared" si="87"/>
        <v>0</v>
      </c>
      <c r="P42" s="33">
        <f t="shared" si="87"/>
        <v>0</v>
      </c>
      <c r="Q42" s="142">
        <f t="shared" ref="Q42" si="88">Q182</f>
        <v>0</v>
      </c>
      <c r="R42" s="114">
        <f t="shared" ref="R42" si="89">R182</f>
        <v>0</v>
      </c>
    </row>
    <row r="43" spans="1:18" x14ac:dyDescent="0.2">
      <c r="A43" s="608">
        <f t="shared" ref="A43:C43" si="90">A397</f>
        <v>-165000</v>
      </c>
      <c r="B43" s="150">
        <f t="shared" si="90"/>
        <v>-289900</v>
      </c>
      <c r="C43" s="152">
        <f t="shared" si="90"/>
        <v>-725700</v>
      </c>
      <c r="D43" s="150">
        <f>D397</f>
        <v>319800</v>
      </c>
      <c r="E43" s="320" t="s">
        <v>5409</v>
      </c>
      <c r="F43" s="142"/>
      <c r="G43" s="33">
        <f t="shared" ref="G43:P43" si="91">G397</f>
        <v>0</v>
      </c>
      <c r="H43" s="138">
        <f t="shared" si="81"/>
        <v>-100</v>
      </c>
      <c r="I43" s="33">
        <f t="shared" si="91"/>
        <v>0</v>
      </c>
      <c r="J43" s="33">
        <f t="shared" si="91"/>
        <v>0</v>
      </c>
      <c r="K43" s="33">
        <f t="shared" si="91"/>
        <v>0</v>
      </c>
      <c r="L43" s="33">
        <f t="shared" si="91"/>
        <v>0</v>
      </c>
      <c r="M43" s="33">
        <f t="shared" si="91"/>
        <v>0</v>
      </c>
      <c r="N43" s="33">
        <f t="shared" si="91"/>
        <v>0</v>
      </c>
      <c r="O43" s="33">
        <f t="shared" si="91"/>
        <v>0</v>
      </c>
      <c r="P43" s="33">
        <f t="shared" si="91"/>
        <v>0</v>
      </c>
      <c r="Q43" s="142">
        <f t="shared" ref="Q43" si="92">Q397</f>
        <v>0</v>
      </c>
      <c r="R43" s="114">
        <f t="shared" ref="R43" si="93">R397</f>
        <v>0</v>
      </c>
    </row>
    <row r="44" spans="1:18" x14ac:dyDescent="0.2">
      <c r="A44" s="608">
        <f>A396</f>
        <v>0</v>
      </c>
      <c r="B44" s="150">
        <f>B396</f>
        <v>0</v>
      </c>
      <c r="C44" s="152">
        <f>C396</f>
        <v>-460100</v>
      </c>
      <c r="D44" s="150">
        <f>D396</f>
        <v>0</v>
      </c>
      <c r="E44" s="320" t="s">
        <v>5438</v>
      </c>
      <c r="F44" s="142"/>
      <c r="G44" s="33">
        <f t="shared" ref="G44:P44" si="94">G396</f>
        <v>0</v>
      </c>
      <c r="H44" s="138">
        <f t="shared" si="81"/>
        <v>0</v>
      </c>
      <c r="I44" s="33">
        <f t="shared" si="94"/>
        <v>0</v>
      </c>
      <c r="J44" s="33">
        <f t="shared" si="94"/>
        <v>0</v>
      </c>
      <c r="K44" s="33">
        <f t="shared" si="94"/>
        <v>0</v>
      </c>
      <c r="L44" s="33">
        <f t="shared" si="94"/>
        <v>0</v>
      </c>
      <c r="M44" s="33">
        <f t="shared" si="94"/>
        <v>0</v>
      </c>
      <c r="N44" s="33">
        <f t="shared" si="94"/>
        <v>0</v>
      </c>
      <c r="O44" s="33">
        <f t="shared" si="94"/>
        <v>0</v>
      </c>
      <c r="P44" s="33">
        <f t="shared" si="94"/>
        <v>0</v>
      </c>
      <c r="Q44" s="142">
        <f t="shared" ref="Q44" si="95">Q396</f>
        <v>0</v>
      </c>
      <c r="R44" s="114">
        <f t="shared" ref="R44" si="96">R396</f>
        <v>0</v>
      </c>
    </row>
    <row r="45" spans="1:18" x14ac:dyDescent="0.2">
      <c r="A45" s="608">
        <f>A458</f>
        <v>0</v>
      </c>
      <c r="B45" s="150">
        <f>B458</f>
        <v>2075400</v>
      </c>
      <c r="C45" s="152">
        <f>C458</f>
        <v>0</v>
      </c>
      <c r="D45" s="150">
        <f>D458</f>
        <v>0</v>
      </c>
      <c r="E45" s="320" t="s">
        <v>5408</v>
      </c>
      <c r="F45" s="142"/>
      <c r="G45" s="33">
        <f t="shared" ref="G45:P45" si="97">G458</f>
        <v>0</v>
      </c>
      <c r="H45" s="138">
        <f t="shared" si="81"/>
        <v>0</v>
      </c>
      <c r="I45" s="33">
        <f t="shared" si="97"/>
        <v>0</v>
      </c>
      <c r="J45" s="33">
        <f t="shared" si="97"/>
        <v>0</v>
      </c>
      <c r="K45" s="33">
        <f t="shared" si="97"/>
        <v>0</v>
      </c>
      <c r="L45" s="33">
        <f t="shared" si="97"/>
        <v>0</v>
      </c>
      <c r="M45" s="33">
        <f t="shared" si="97"/>
        <v>0</v>
      </c>
      <c r="N45" s="33">
        <f t="shared" si="97"/>
        <v>0</v>
      </c>
      <c r="O45" s="33">
        <f t="shared" si="97"/>
        <v>0</v>
      </c>
      <c r="P45" s="33">
        <f t="shared" si="97"/>
        <v>0</v>
      </c>
      <c r="Q45" s="142">
        <f t="shared" ref="Q45" si="98">Q458</f>
        <v>0</v>
      </c>
      <c r="R45" s="114">
        <f t="shared" ref="R45" si="99">R458</f>
        <v>0</v>
      </c>
    </row>
    <row r="46" spans="1:18" s="92" customFormat="1" x14ac:dyDescent="0.2">
      <c r="A46" s="181">
        <f>SUM(A40:A45)</f>
        <v>23787900</v>
      </c>
      <c r="B46" s="397">
        <f>SUM(B40:B45)</f>
        <v>20588000</v>
      </c>
      <c r="C46" s="377">
        <f>SUM(C40:C45)</f>
        <v>23389600</v>
      </c>
      <c r="D46" s="397">
        <f>SUM(D40:D45)</f>
        <v>24847100</v>
      </c>
      <c r="E46" s="1816" t="s">
        <v>4724</v>
      </c>
      <c r="F46" s="377"/>
      <c r="G46" s="397">
        <f t="shared" ref="G46:P46" si="100">SUM(G40:G45)</f>
        <v>26101500</v>
      </c>
      <c r="H46" s="395">
        <f t="shared" si="81"/>
        <v>5.0484764821649204</v>
      </c>
      <c r="I46" s="397">
        <f t="shared" si="100"/>
        <v>28506000</v>
      </c>
      <c r="J46" s="397">
        <f t="shared" si="100"/>
        <v>29895800</v>
      </c>
      <c r="K46" s="397">
        <f t="shared" si="100"/>
        <v>31696500</v>
      </c>
      <c r="L46" s="397">
        <f t="shared" si="100"/>
        <v>32286300</v>
      </c>
      <c r="M46" s="397">
        <f t="shared" si="100"/>
        <v>33489300</v>
      </c>
      <c r="N46" s="397">
        <f t="shared" si="100"/>
        <v>34453600</v>
      </c>
      <c r="O46" s="397">
        <f t="shared" si="100"/>
        <v>35482500</v>
      </c>
      <c r="P46" s="397">
        <f t="shared" si="100"/>
        <v>36018100</v>
      </c>
      <c r="Q46" s="377">
        <f t="shared" ref="Q46" si="101">SUM(Q40:Q45)</f>
        <v>37286100</v>
      </c>
      <c r="R46" s="399">
        <f t="shared" ref="R46" si="102">SUM(R40:R45)</f>
        <v>38276400</v>
      </c>
    </row>
    <row r="47" spans="1:18" ht="13.5" thickBot="1" x14ac:dyDescent="0.25">
      <c r="A47" s="708"/>
      <c r="B47" s="405"/>
      <c r="C47" s="405"/>
      <c r="D47" s="405"/>
      <c r="E47" s="280"/>
      <c r="F47" s="120"/>
      <c r="G47" s="66"/>
      <c r="H47" s="392"/>
      <c r="I47" s="121"/>
      <c r="J47" s="121"/>
      <c r="K47" s="121"/>
      <c r="L47" s="121"/>
      <c r="M47" s="121"/>
      <c r="N47" s="121"/>
      <c r="O47" s="121"/>
      <c r="P47" s="121"/>
      <c r="Q47" s="95"/>
      <c r="R47" s="161"/>
    </row>
    <row r="48" spans="1:18" ht="13.5" thickTop="1" x14ac:dyDescent="0.2">
      <c r="A48" s="383"/>
      <c r="B48" s="162"/>
      <c r="C48" s="122"/>
      <c r="D48" s="162"/>
      <c r="E48" s="278"/>
      <c r="F48" s="122"/>
      <c r="G48" s="127"/>
      <c r="H48" s="505"/>
      <c r="I48" s="127"/>
      <c r="J48" s="127"/>
      <c r="K48" s="127"/>
      <c r="L48" s="127"/>
      <c r="M48" s="127"/>
      <c r="N48" s="127"/>
      <c r="O48" s="127"/>
      <c r="P48" s="127"/>
      <c r="Q48" s="164"/>
      <c r="R48" s="163"/>
    </row>
    <row r="49" spans="1:18" x14ac:dyDescent="0.2">
      <c r="A49" s="70"/>
      <c r="B49" s="64"/>
      <c r="C49" s="128"/>
      <c r="D49" s="64"/>
      <c r="E49" s="511" t="s">
        <v>196</v>
      </c>
      <c r="F49" s="128"/>
      <c r="G49" s="33"/>
      <c r="H49" s="179"/>
      <c r="I49" s="33"/>
      <c r="J49" s="33"/>
      <c r="K49" s="33"/>
      <c r="L49" s="33"/>
      <c r="M49" s="33"/>
      <c r="N49" s="33"/>
      <c r="O49" s="33"/>
      <c r="P49" s="33"/>
      <c r="Q49" s="142"/>
      <c r="R49" s="114"/>
    </row>
    <row r="50" spans="1:18" x14ac:dyDescent="0.2">
      <c r="A50" s="70"/>
      <c r="B50" s="64"/>
      <c r="C50" s="128"/>
      <c r="D50" s="64"/>
      <c r="E50" s="279"/>
      <c r="F50" s="128"/>
      <c r="G50" s="33"/>
      <c r="H50" s="179"/>
      <c r="I50" s="33"/>
      <c r="J50" s="33"/>
      <c r="K50" s="33"/>
      <c r="L50" s="33"/>
      <c r="M50" s="33"/>
      <c r="N50" s="33"/>
      <c r="O50" s="33"/>
      <c r="P50" s="33"/>
      <c r="Q50" s="142"/>
      <c r="R50" s="114"/>
    </row>
    <row r="51" spans="1:18" x14ac:dyDescent="0.2">
      <c r="A51" s="107">
        <f t="shared" ref="A51:D55" si="103">A143+A234+A402+++A103+A329+A273+A188+A464</f>
        <v>572000</v>
      </c>
      <c r="B51" s="33">
        <f t="shared" si="103"/>
        <v>838700</v>
      </c>
      <c r="C51" s="142">
        <f t="shared" si="103"/>
        <v>845500</v>
      </c>
      <c r="D51" s="33">
        <f t="shared" si="103"/>
        <v>970600</v>
      </c>
      <c r="E51" s="108" t="s">
        <v>2900</v>
      </c>
      <c r="F51" s="366"/>
      <c r="G51" s="33">
        <f>G143+G234+G402+++G103+G329+G273+G188+G464</f>
        <v>1073300</v>
      </c>
      <c r="H51" s="138"/>
      <c r="I51" s="33">
        <f t="shared" ref="I51:Q51" si="104">I143+I234+I402+++I103+I329+I273+I188+I464</f>
        <v>1175000</v>
      </c>
      <c r="J51" s="33">
        <f t="shared" si="104"/>
        <v>1235600</v>
      </c>
      <c r="K51" s="33">
        <f t="shared" si="104"/>
        <v>1299700</v>
      </c>
      <c r="L51" s="33">
        <f t="shared" si="104"/>
        <v>1368700</v>
      </c>
      <c r="M51" s="33">
        <f t="shared" si="104"/>
        <v>1374300</v>
      </c>
      <c r="N51" s="33">
        <f t="shared" si="104"/>
        <v>969500</v>
      </c>
      <c r="O51" s="33">
        <f t="shared" si="104"/>
        <v>318400</v>
      </c>
      <c r="P51" s="33">
        <f t="shared" si="104"/>
        <v>115200</v>
      </c>
      <c r="Q51" s="142">
        <f t="shared" si="104"/>
        <v>119600</v>
      </c>
      <c r="R51" s="114">
        <f t="shared" ref="R51" si="105">R143+R234+R402+++R103+R329+R273+R188+R464</f>
        <v>63900</v>
      </c>
    </row>
    <row r="52" spans="1:18" x14ac:dyDescent="0.2">
      <c r="A52" s="107">
        <f t="shared" si="103"/>
        <v>12621300</v>
      </c>
      <c r="B52" s="33">
        <f t="shared" si="103"/>
        <v>5690100</v>
      </c>
      <c r="C52" s="142">
        <f t="shared" si="103"/>
        <v>7765000</v>
      </c>
      <c r="D52" s="33">
        <f t="shared" si="103"/>
        <v>5562000</v>
      </c>
      <c r="E52" s="512" t="s">
        <v>1942</v>
      </c>
      <c r="F52" s="366"/>
      <c r="G52" s="33">
        <f>G144+G235+G403+++G104+G330+G274+G189+G465</f>
        <v>8758000</v>
      </c>
      <c r="H52" s="138"/>
      <c r="I52" s="33">
        <f t="shared" ref="I52:Q52" si="106">I144+I235+I403+++I104+I330+I274+I189+I465</f>
        <v>7252300</v>
      </c>
      <c r="J52" s="33">
        <f t="shared" si="106"/>
        <v>6946500</v>
      </c>
      <c r="K52" s="33">
        <f t="shared" si="106"/>
        <v>7069900</v>
      </c>
      <c r="L52" s="33">
        <f t="shared" si="106"/>
        <v>6370500</v>
      </c>
      <c r="M52" s="33">
        <f t="shared" si="106"/>
        <v>5236900</v>
      </c>
      <c r="N52" s="33">
        <f t="shared" si="106"/>
        <v>4747400</v>
      </c>
      <c r="O52" s="33">
        <f t="shared" si="106"/>
        <v>5104600</v>
      </c>
      <c r="P52" s="33">
        <f t="shared" si="106"/>
        <v>5986100</v>
      </c>
      <c r="Q52" s="142">
        <f t="shared" si="106"/>
        <v>6072200</v>
      </c>
      <c r="R52" s="114">
        <f t="shared" ref="R52" si="107">R144+R235+R403+++R104+R330+R274+R189+R465</f>
        <v>6207500</v>
      </c>
    </row>
    <row r="53" spans="1:18" x14ac:dyDescent="0.2">
      <c r="A53" s="107">
        <f t="shared" si="103"/>
        <v>9462000</v>
      </c>
      <c r="B53" s="33">
        <f t="shared" si="103"/>
        <v>11563800</v>
      </c>
      <c r="C53" s="142">
        <f t="shared" si="103"/>
        <v>7330100</v>
      </c>
      <c r="D53" s="33">
        <f t="shared" si="103"/>
        <v>3383700</v>
      </c>
      <c r="E53" s="512" t="s">
        <v>2348</v>
      </c>
      <c r="F53" s="366"/>
      <c r="G53" s="33">
        <f>G145+G236+G404+++G105+G331+G275+G190+G466</f>
        <v>7684200</v>
      </c>
      <c r="H53" s="138"/>
      <c r="I53" s="33">
        <f t="shared" ref="I53:Q53" si="108">I145+I236+I404+++I105+I331+I275+I190+I466</f>
        <v>4608200</v>
      </c>
      <c r="J53" s="33">
        <f t="shared" si="108"/>
        <v>3041900</v>
      </c>
      <c r="K53" s="33">
        <f t="shared" si="108"/>
        <v>7680700</v>
      </c>
      <c r="L53" s="33">
        <f t="shared" si="108"/>
        <v>3608700</v>
      </c>
      <c r="M53" s="33">
        <f t="shared" si="108"/>
        <v>2517500</v>
      </c>
      <c r="N53" s="33">
        <f t="shared" si="108"/>
        <v>2736500</v>
      </c>
      <c r="O53" s="33">
        <f t="shared" si="108"/>
        <v>3866800</v>
      </c>
      <c r="P53" s="33">
        <f t="shared" si="108"/>
        <v>3887300</v>
      </c>
      <c r="Q53" s="142">
        <f t="shared" si="108"/>
        <v>4628700</v>
      </c>
      <c r="R53" s="114">
        <f t="shared" ref="R53" si="109">R145+R236+R404+++R105+R331+R275+R190+R466</f>
        <v>4710200</v>
      </c>
    </row>
    <row r="54" spans="1:18" x14ac:dyDescent="0.2">
      <c r="A54" s="107">
        <f t="shared" si="103"/>
        <v>14103000</v>
      </c>
      <c r="B54" s="33">
        <f t="shared" si="103"/>
        <v>-342600</v>
      </c>
      <c r="C54" s="142">
        <f t="shared" si="103"/>
        <v>3558300</v>
      </c>
      <c r="D54" s="33">
        <f t="shared" si="103"/>
        <v>7113800</v>
      </c>
      <c r="E54" s="512" t="s">
        <v>5984</v>
      </c>
      <c r="F54" s="366"/>
      <c r="G54" s="33">
        <f>G146+G237+G405+++G106+G332+G276+G191+G467</f>
        <v>6532400</v>
      </c>
      <c r="H54" s="138"/>
      <c r="I54" s="33">
        <f t="shared" ref="I54:Q54" si="110">I146+I237+I405+++I106+I332+I276+I191+I467</f>
        <v>9131600</v>
      </c>
      <c r="J54" s="33">
        <f t="shared" si="110"/>
        <v>4675000</v>
      </c>
      <c r="K54" s="33">
        <f t="shared" si="110"/>
        <v>4675000</v>
      </c>
      <c r="L54" s="33">
        <f t="shared" si="110"/>
        <v>2960000</v>
      </c>
      <c r="M54" s="33">
        <f t="shared" si="110"/>
        <v>1560000</v>
      </c>
      <c r="N54" s="33">
        <f t="shared" si="110"/>
        <v>1160000</v>
      </c>
      <c r="O54" s="33">
        <f t="shared" si="110"/>
        <v>1160000</v>
      </c>
      <c r="P54" s="33">
        <f t="shared" si="110"/>
        <v>1160000</v>
      </c>
      <c r="Q54" s="142">
        <f t="shared" si="110"/>
        <v>1160000</v>
      </c>
      <c r="R54" s="114">
        <f t="shared" ref="R54" si="111">R146+R237+R405+++R106+R332+R276+R191+R467</f>
        <v>1160000</v>
      </c>
    </row>
    <row r="55" spans="1:18" x14ac:dyDescent="0.2">
      <c r="A55" s="107">
        <f t="shared" si="103"/>
        <v>12170000</v>
      </c>
      <c r="B55" s="33">
        <f t="shared" si="103"/>
        <v>6222600</v>
      </c>
      <c r="C55" s="142">
        <f t="shared" si="103"/>
        <v>5331900</v>
      </c>
      <c r="D55" s="33">
        <f t="shared" si="103"/>
        <v>3750700</v>
      </c>
      <c r="E55" s="512" t="s">
        <v>972</v>
      </c>
      <c r="F55" s="366"/>
      <c r="G55" s="33">
        <f>G147+G238+G406+++G107+G333+G277+G192+G468</f>
        <v>5598600</v>
      </c>
      <c r="H55" s="138"/>
      <c r="I55" s="33">
        <f t="shared" ref="I55:Q55" si="112">I147+I238+I406+++I107+I333+I277+I192+I468</f>
        <v>7604600</v>
      </c>
      <c r="J55" s="33">
        <f t="shared" si="112"/>
        <v>1809000</v>
      </c>
      <c r="K55" s="33">
        <f t="shared" si="112"/>
        <v>6434000</v>
      </c>
      <c r="L55" s="33">
        <f t="shared" si="112"/>
        <v>1088000</v>
      </c>
      <c r="M55" s="33">
        <f t="shared" si="112"/>
        <v>142000</v>
      </c>
      <c r="N55" s="33">
        <f t="shared" si="112"/>
        <v>1046000</v>
      </c>
      <c r="O55" s="33">
        <f t="shared" si="112"/>
        <v>2663000</v>
      </c>
      <c r="P55" s="33">
        <f t="shared" si="112"/>
        <v>1680000</v>
      </c>
      <c r="Q55" s="142">
        <f t="shared" si="112"/>
        <v>2698000</v>
      </c>
      <c r="R55" s="114">
        <f t="shared" ref="R55" si="113">R147+R238+R406+++R107+R333+R277+R192+R468</f>
        <v>2766000</v>
      </c>
    </row>
    <row r="56" spans="1:18" x14ac:dyDescent="0.2">
      <c r="A56" s="107"/>
      <c r="B56" s="33"/>
      <c r="C56" s="142"/>
      <c r="D56" s="33"/>
      <c r="E56" s="511"/>
      <c r="F56" s="142"/>
      <c r="G56" s="33"/>
      <c r="H56" s="138"/>
      <c r="I56" s="33"/>
      <c r="J56" s="33"/>
      <c r="K56" s="33"/>
      <c r="L56" s="33"/>
      <c r="M56" s="33"/>
      <c r="N56" s="33"/>
      <c r="O56" s="33"/>
      <c r="P56" s="33"/>
      <c r="Q56" s="142"/>
      <c r="R56" s="114"/>
    </row>
    <row r="57" spans="1:18" s="92" customFormat="1" x14ac:dyDescent="0.2">
      <c r="A57" s="181">
        <f>A46-A51-A52+A53++A54-A55</f>
        <v>21989600</v>
      </c>
      <c r="B57" s="397">
        <f>B46-B51-B52+B53++B54-B55</f>
        <v>19057800</v>
      </c>
      <c r="C57" s="377">
        <f>C46-C51-C52+C53++C54-C55</f>
        <v>20335600</v>
      </c>
      <c r="D57" s="397">
        <f>D46-D51-D52+D53++D54-D55</f>
        <v>25061300</v>
      </c>
      <c r="E57" s="509" t="s">
        <v>2490</v>
      </c>
      <c r="F57" s="377"/>
      <c r="G57" s="397">
        <f t="shared" ref="G57:O57" si="114">G46-G51-G52+G53++G54-G55</f>
        <v>24888200</v>
      </c>
      <c r="H57" s="395">
        <f>IF(D57=G57,0,IF(D57=0,100,(G57-D57)/D57*100))</f>
        <v>-0.69070638793677896</v>
      </c>
      <c r="I57" s="397">
        <f t="shared" si="114"/>
        <v>26213900</v>
      </c>
      <c r="J57" s="397">
        <f t="shared" si="114"/>
        <v>27621600</v>
      </c>
      <c r="K57" s="397">
        <f t="shared" si="114"/>
        <v>29248600</v>
      </c>
      <c r="L57" s="397">
        <f t="shared" si="114"/>
        <v>30027800</v>
      </c>
      <c r="M57" s="397">
        <f t="shared" si="114"/>
        <v>30813600</v>
      </c>
      <c r="N57" s="397">
        <f t="shared" si="114"/>
        <v>31587200</v>
      </c>
      <c r="O57" s="397">
        <f t="shared" si="114"/>
        <v>32423300</v>
      </c>
      <c r="P57" s="397">
        <f t="shared" ref="P57:Q57" si="115">P46-P51-P52+P53++P54-P55</f>
        <v>33284100</v>
      </c>
      <c r="Q57" s="377">
        <f t="shared" si="115"/>
        <v>34185000</v>
      </c>
      <c r="R57" s="399">
        <f t="shared" ref="R57" si="116">R46-R51-R52+R53++R54-R55</f>
        <v>35109200</v>
      </c>
    </row>
    <row r="58" spans="1:18" ht="13.5" thickBot="1" x14ac:dyDescent="0.25">
      <c r="A58" s="73"/>
      <c r="B58" s="90"/>
      <c r="C58" s="134"/>
      <c r="D58" s="90"/>
      <c r="E58" s="280"/>
      <c r="F58" s="134"/>
      <c r="G58" s="66"/>
      <c r="H58" s="392"/>
      <c r="I58" s="66"/>
      <c r="J58" s="66"/>
      <c r="K58" s="66"/>
      <c r="L58" s="66"/>
      <c r="M58" s="66"/>
      <c r="N58" s="66"/>
      <c r="O58" s="66"/>
      <c r="P58" s="66"/>
      <c r="Q58" s="166"/>
      <c r="R58" s="165"/>
    </row>
    <row r="59" spans="1:18" s="99" customFormat="1" ht="14.25" thickTop="1" thickBot="1" x14ac:dyDescent="0.25">
      <c r="A59" s="74"/>
      <c r="B59" s="74"/>
      <c r="C59" s="74"/>
      <c r="D59" s="74"/>
      <c r="E59" s="279"/>
      <c r="F59" s="74"/>
      <c r="H59" s="2484"/>
    </row>
    <row r="60" spans="1:18" s="91" customFormat="1" ht="18.75" customHeight="1" thickTop="1" thickBot="1" x14ac:dyDescent="0.3">
      <c r="A60" s="2862" t="s">
        <v>6408</v>
      </c>
      <c r="B60" s="2863"/>
      <c r="C60" s="2863"/>
      <c r="D60" s="2863"/>
      <c r="E60" s="2863"/>
      <c r="F60" s="2863"/>
      <c r="G60" s="2863"/>
      <c r="H60" s="2863"/>
      <c r="I60" s="2863"/>
      <c r="J60" s="2863"/>
      <c r="K60" s="2863"/>
      <c r="L60" s="2863"/>
      <c r="M60" s="2863"/>
      <c r="N60" s="2863"/>
      <c r="O60" s="2863"/>
      <c r="P60" s="2863"/>
      <c r="Q60" s="2863"/>
      <c r="R60" s="2864"/>
    </row>
    <row r="61" spans="1:18" s="44" customFormat="1" x14ac:dyDescent="0.2">
      <c r="A61" s="2888" t="s">
        <v>1856</v>
      </c>
      <c r="B61" s="2889"/>
      <c r="C61" s="2889"/>
      <c r="D61" s="2890"/>
      <c r="E61" s="513" t="s">
        <v>2663</v>
      </c>
      <c r="F61" s="2649" t="s">
        <v>2251</v>
      </c>
      <c r="G61" s="2885" t="s">
        <v>2253</v>
      </c>
      <c r="H61" s="2886"/>
      <c r="I61" s="2886"/>
      <c r="J61" s="2886"/>
      <c r="K61" s="2886"/>
      <c r="L61" s="2886"/>
      <c r="M61" s="2886"/>
      <c r="N61" s="2886"/>
      <c r="O61" s="2886"/>
      <c r="P61" s="2886"/>
      <c r="Q61" s="2886"/>
      <c r="R61" s="2887"/>
    </row>
    <row r="62" spans="1:18" s="23" customFormat="1" ht="13.5" thickBot="1" x14ac:dyDescent="0.25">
      <c r="A62" s="208" t="str">
        <f t="shared" ref="A62:B62" si="117">A3</f>
        <v>2012/13</v>
      </c>
      <c r="B62" s="75" t="str">
        <f t="shared" si="117"/>
        <v>2013/14</v>
      </c>
      <c r="C62" s="218" t="str">
        <f>C3</f>
        <v>2014/15</v>
      </c>
      <c r="D62" s="93" t="str">
        <f>D3</f>
        <v>2015/16</v>
      </c>
      <c r="E62" s="370" t="s">
        <v>2664</v>
      </c>
      <c r="F62" s="42"/>
      <c r="G62" s="93" t="str">
        <f t="shared" ref="G62:O62" si="118">G3</f>
        <v>2016/17</v>
      </c>
      <c r="H62" s="2492" t="s">
        <v>501</v>
      </c>
      <c r="I62" s="370" t="str">
        <f t="shared" si="118"/>
        <v>2017/18</v>
      </c>
      <c r="J62" s="370" t="str">
        <f t="shared" si="118"/>
        <v>2018/19</v>
      </c>
      <c r="K62" s="370" t="str">
        <f t="shared" si="118"/>
        <v>2019/20</v>
      </c>
      <c r="L62" s="370" t="str">
        <f t="shared" si="118"/>
        <v>2020/21</v>
      </c>
      <c r="M62" s="370" t="str">
        <f t="shared" si="118"/>
        <v>2021/22</v>
      </c>
      <c r="N62" s="370" t="str">
        <f t="shared" si="118"/>
        <v>2022/23</v>
      </c>
      <c r="O62" s="370" t="str">
        <f t="shared" si="118"/>
        <v>2023/24</v>
      </c>
      <c r="P62" s="370" t="str">
        <f t="shared" ref="P62:Q62" si="119">P3</f>
        <v>2024/25</v>
      </c>
      <c r="Q62" s="218" t="str">
        <f t="shared" si="119"/>
        <v>2025/26</v>
      </c>
      <c r="R62" s="549" t="str">
        <f t="shared" ref="R62" si="120">R3</f>
        <v>2026/27</v>
      </c>
    </row>
    <row r="63" spans="1:18" x14ac:dyDescent="0.2">
      <c r="A63" s="98"/>
      <c r="B63" s="33"/>
      <c r="C63" s="33"/>
      <c r="D63" s="33"/>
      <c r="E63" s="252"/>
      <c r="F63" s="74"/>
      <c r="G63" s="33"/>
      <c r="H63" s="138"/>
      <c r="I63" s="33"/>
      <c r="J63" s="33"/>
      <c r="K63" s="33"/>
      <c r="L63" s="33"/>
      <c r="M63" s="33"/>
      <c r="N63" s="33"/>
      <c r="O63" s="33"/>
      <c r="P63" s="33"/>
      <c r="Q63" s="33"/>
      <c r="R63" s="114"/>
    </row>
    <row r="64" spans="1:18" x14ac:dyDescent="0.2">
      <c r="A64" s="107"/>
      <c r="B64" s="33"/>
      <c r="C64" s="33"/>
      <c r="D64" s="33"/>
      <c r="E64" s="255"/>
      <c r="F64" s="365" t="s">
        <v>1073</v>
      </c>
      <c r="G64" s="33"/>
      <c r="H64" s="138"/>
      <c r="I64" s="33"/>
      <c r="J64" s="33"/>
      <c r="K64" s="33"/>
      <c r="L64" s="33"/>
      <c r="M64" s="33"/>
      <c r="N64" s="33"/>
      <c r="O64" s="33"/>
      <c r="P64" s="33"/>
      <c r="Q64" s="33"/>
      <c r="R64" s="114"/>
    </row>
    <row r="65" spans="1:18" x14ac:dyDescent="0.2">
      <c r="A65" s="107"/>
      <c r="B65" s="33"/>
      <c r="C65" s="33"/>
      <c r="D65" s="33"/>
      <c r="E65" s="255"/>
      <c r="F65" s="74"/>
      <c r="G65" s="33"/>
      <c r="H65" s="138"/>
      <c r="I65" s="33"/>
      <c r="J65" s="33"/>
      <c r="K65" s="33"/>
      <c r="L65" s="33"/>
      <c r="M65" s="33"/>
      <c r="N65" s="33"/>
      <c r="O65" s="33"/>
      <c r="P65" s="33"/>
      <c r="Q65" s="33"/>
      <c r="R65" s="114"/>
    </row>
    <row r="66" spans="1:18" x14ac:dyDescent="0.2">
      <c r="A66" s="107"/>
      <c r="B66" s="33"/>
      <c r="C66" s="33"/>
      <c r="D66" s="33"/>
      <c r="E66" s="255"/>
      <c r="F66" s="74" t="s">
        <v>1486</v>
      </c>
      <c r="G66" s="33"/>
      <c r="H66" s="138"/>
      <c r="I66" s="33"/>
      <c r="J66" s="33"/>
      <c r="K66" s="33"/>
      <c r="L66" s="33"/>
      <c r="M66" s="33"/>
      <c r="N66" s="33"/>
      <c r="O66" s="33"/>
      <c r="P66" s="33"/>
      <c r="Q66" s="33"/>
      <c r="R66" s="114"/>
    </row>
    <row r="67" spans="1:18" x14ac:dyDescent="0.2">
      <c r="A67" s="107">
        <f>ROUND(A481,3)</f>
        <v>0</v>
      </c>
      <c r="B67" s="33">
        <f>B481</f>
        <v>0</v>
      </c>
      <c r="C67" s="33">
        <f>C481</f>
        <v>0</v>
      </c>
      <c r="D67" s="33">
        <f>D481</f>
        <v>4300</v>
      </c>
      <c r="E67" s="255">
        <v>26000</v>
      </c>
      <c r="F67" s="99" t="s">
        <v>1772</v>
      </c>
      <c r="G67" s="33">
        <f t="shared" ref="G67:O67" si="121">G481</f>
        <v>0</v>
      </c>
      <c r="H67" s="138">
        <f>IF(D67=G67,0,IF(D67=0,100,(G67-D67)/D67*100))</f>
        <v>-100</v>
      </c>
      <c r="I67" s="33">
        <f t="shared" si="121"/>
        <v>0</v>
      </c>
      <c r="J67" s="33">
        <f t="shared" si="121"/>
        <v>0</v>
      </c>
      <c r="K67" s="33">
        <f t="shared" si="121"/>
        <v>0</v>
      </c>
      <c r="L67" s="33">
        <f t="shared" si="121"/>
        <v>0</v>
      </c>
      <c r="M67" s="33">
        <f t="shared" si="121"/>
        <v>0</v>
      </c>
      <c r="N67" s="33">
        <f t="shared" si="121"/>
        <v>0</v>
      </c>
      <c r="O67" s="33">
        <f t="shared" si="121"/>
        <v>0</v>
      </c>
      <c r="P67" s="33">
        <f t="shared" ref="P67:Q67" si="122">P481</f>
        <v>0</v>
      </c>
      <c r="Q67" s="33">
        <f t="shared" si="122"/>
        <v>0</v>
      </c>
      <c r="R67" s="114">
        <f t="shared" ref="R67" si="123">R481</f>
        <v>0</v>
      </c>
    </row>
    <row r="68" spans="1:18" ht="13.5" thickBot="1" x14ac:dyDescent="0.25">
      <c r="A68" s="107"/>
      <c r="B68" s="33"/>
      <c r="C68" s="33"/>
      <c r="D68" s="33"/>
      <c r="E68" s="344"/>
      <c r="F68" s="99"/>
      <c r="G68" s="33"/>
      <c r="H68" s="138"/>
      <c r="I68" s="33"/>
      <c r="J68" s="33"/>
      <c r="K68" s="33"/>
      <c r="L68" s="33"/>
      <c r="M68" s="33"/>
      <c r="N68" s="33"/>
      <c r="O68" s="33"/>
      <c r="P68" s="33"/>
      <c r="Q68" s="33"/>
      <c r="R68" s="114"/>
    </row>
    <row r="69" spans="1:18" s="92" customFormat="1" x14ac:dyDescent="0.2">
      <c r="A69" s="105">
        <f>SUM(A66:A68)</f>
        <v>0</v>
      </c>
      <c r="B69" s="53">
        <f>SUM(B66:B68)</f>
        <v>0</v>
      </c>
      <c r="C69" s="53">
        <f>SUM(C66:C68)</f>
        <v>0</v>
      </c>
      <c r="D69" s="53">
        <f>SUM(D66:D68)</f>
        <v>4300</v>
      </c>
      <c r="E69" s="345"/>
      <c r="F69" s="112" t="s">
        <v>2605</v>
      </c>
      <c r="G69" s="53">
        <f t="shared" ref="G69:O69" si="124">SUM(G66:G68)</f>
        <v>0</v>
      </c>
      <c r="H69" s="180">
        <f>IF(D69=G69,0,IF(D69=0,100,(G69-D69)/D69*100))</f>
        <v>-100</v>
      </c>
      <c r="I69" s="53">
        <f t="shared" si="124"/>
        <v>0</v>
      </c>
      <c r="J69" s="53">
        <f t="shared" si="124"/>
        <v>0</v>
      </c>
      <c r="K69" s="53">
        <f t="shared" si="124"/>
        <v>0</v>
      </c>
      <c r="L69" s="53">
        <f t="shared" si="124"/>
        <v>0</v>
      </c>
      <c r="M69" s="53">
        <f t="shared" si="124"/>
        <v>0</v>
      </c>
      <c r="N69" s="53">
        <f t="shared" si="124"/>
        <v>0</v>
      </c>
      <c r="O69" s="53">
        <f t="shared" si="124"/>
        <v>0</v>
      </c>
      <c r="P69" s="53">
        <f t="shared" ref="P69:Q69" si="125">SUM(P66:P68)</f>
        <v>0</v>
      </c>
      <c r="Q69" s="53">
        <f t="shared" si="125"/>
        <v>0</v>
      </c>
      <c r="R69" s="113">
        <f t="shared" ref="R69" si="126">SUM(R66:R68)</f>
        <v>0</v>
      </c>
    </row>
    <row r="70" spans="1:18" x14ac:dyDescent="0.2">
      <c r="A70" s="107"/>
      <c r="B70" s="33"/>
      <c r="C70" s="33"/>
      <c r="D70" s="33"/>
      <c r="E70" s="255"/>
      <c r="F70" s="74"/>
      <c r="G70" s="33"/>
      <c r="H70" s="138"/>
      <c r="I70" s="33"/>
      <c r="J70" s="33"/>
      <c r="K70" s="33"/>
      <c r="L70" s="33"/>
      <c r="M70" s="33"/>
      <c r="N70" s="33"/>
      <c r="O70" s="33"/>
      <c r="P70" s="33"/>
      <c r="Q70" s="33"/>
      <c r="R70" s="114"/>
    </row>
    <row r="71" spans="1:18" x14ac:dyDescent="0.2">
      <c r="A71" s="107"/>
      <c r="B71" s="33"/>
      <c r="C71" s="33"/>
      <c r="D71" s="33"/>
      <c r="E71" s="344"/>
      <c r="F71" s="144" t="s">
        <v>2205</v>
      </c>
      <c r="G71" s="33"/>
      <c r="H71" s="138"/>
      <c r="I71" s="33"/>
      <c r="J71" s="33"/>
      <c r="K71" s="33"/>
      <c r="L71" s="33"/>
      <c r="M71" s="33"/>
      <c r="N71" s="33"/>
      <c r="O71" s="33"/>
      <c r="P71" s="33"/>
      <c r="Q71" s="33"/>
      <c r="R71" s="114"/>
    </row>
    <row r="72" spans="1:18" x14ac:dyDescent="0.2">
      <c r="A72" s="107"/>
      <c r="B72" s="33"/>
      <c r="C72" s="33"/>
      <c r="D72" s="33"/>
      <c r="E72" s="344"/>
      <c r="F72" s="108"/>
      <c r="G72" s="33"/>
      <c r="H72" s="138"/>
      <c r="I72" s="33"/>
      <c r="J72" s="33"/>
      <c r="K72" s="33"/>
      <c r="L72" s="33"/>
      <c r="M72" s="33"/>
      <c r="N72" s="33"/>
      <c r="O72" s="33"/>
      <c r="P72" s="33"/>
      <c r="Q72" s="33"/>
      <c r="R72" s="114"/>
    </row>
    <row r="73" spans="1:18" x14ac:dyDescent="0.2">
      <c r="A73" s="107"/>
      <c r="B73" s="33"/>
      <c r="C73" s="33"/>
      <c r="D73" s="33"/>
      <c r="E73" s="344"/>
      <c r="F73" s="137" t="s">
        <v>2705</v>
      </c>
      <c r="G73" s="33"/>
      <c r="H73" s="138"/>
      <c r="I73" s="33"/>
      <c r="J73" s="33"/>
      <c r="K73" s="33"/>
      <c r="L73" s="33"/>
      <c r="M73" s="33"/>
      <c r="N73" s="33"/>
      <c r="O73" s="33"/>
      <c r="P73" s="33"/>
      <c r="Q73" s="33"/>
      <c r="R73" s="114"/>
    </row>
    <row r="74" spans="1:18" x14ac:dyDescent="0.2">
      <c r="A74" s="107">
        <f>ROUND(SUM(A487:A488),-3)</f>
        <v>462000</v>
      </c>
      <c r="B74" s="33">
        <f>SUM(B487:B488)</f>
        <v>597000</v>
      </c>
      <c r="C74" s="33">
        <f>SUM(C487:C488)</f>
        <v>560800</v>
      </c>
      <c r="D74" s="33">
        <f>SUM(D487:D488)</f>
        <v>570100</v>
      </c>
      <c r="E74" s="344" t="s">
        <v>1647</v>
      </c>
      <c r="F74" s="108" t="s">
        <v>1249</v>
      </c>
      <c r="G74" s="33">
        <f t="shared" ref="G74:O74" si="127">SUM(G487:G488)</f>
        <v>721000</v>
      </c>
      <c r="H74" s="138">
        <f>IF(D74=G74,0,IF(D74=0,100,(G74-D74)/D74*100))</f>
        <v>26.469040519207155</v>
      </c>
      <c r="I74" s="33">
        <f t="shared" si="127"/>
        <v>738900</v>
      </c>
      <c r="J74" s="33">
        <f t="shared" si="127"/>
        <v>757400</v>
      </c>
      <c r="K74" s="33">
        <f t="shared" si="127"/>
        <v>776400</v>
      </c>
      <c r="L74" s="33">
        <f t="shared" si="127"/>
        <v>795900</v>
      </c>
      <c r="M74" s="33">
        <f t="shared" si="127"/>
        <v>815700</v>
      </c>
      <c r="N74" s="33">
        <f t="shared" si="127"/>
        <v>836000</v>
      </c>
      <c r="O74" s="33">
        <f t="shared" si="127"/>
        <v>856800</v>
      </c>
      <c r="P74" s="33">
        <f t="shared" ref="P74:Q74" si="128">SUM(P487:P488)</f>
        <v>878200</v>
      </c>
      <c r="Q74" s="33">
        <f t="shared" si="128"/>
        <v>878600</v>
      </c>
      <c r="R74" s="114">
        <f t="shared" ref="R74" si="129">SUM(R487:R488)</f>
        <v>879000</v>
      </c>
    </row>
    <row r="75" spans="1:18" x14ac:dyDescent="0.2">
      <c r="A75" s="107">
        <f>ROUND(SUM(A489:A490),-3)</f>
        <v>4000</v>
      </c>
      <c r="B75" s="33">
        <f>SUM(B489:B490)</f>
        <v>6300</v>
      </c>
      <c r="C75" s="33">
        <f>SUM(C489:C490)</f>
        <v>6800</v>
      </c>
      <c r="D75" s="33">
        <f>SUM(D489:D490)</f>
        <v>4000</v>
      </c>
      <c r="E75" s="344" t="s">
        <v>1647</v>
      </c>
      <c r="F75" s="108" t="s">
        <v>676</v>
      </c>
      <c r="G75" s="33">
        <f t="shared" ref="G75:O75" si="130">SUM(G489:G490)</f>
        <v>7000</v>
      </c>
      <c r="H75" s="138">
        <f>IF(D75=G75,0,IF(D75=0,100,(G75-D75)/D75*100))</f>
        <v>75</v>
      </c>
      <c r="I75" s="33">
        <f t="shared" si="130"/>
        <v>7200</v>
      </c>
      <c r="J75" s="33">
        <f t="shared" si="130"/>
        <v>7500</v>
      </c>
      <c r="K75" s="33">
        <f t="shared" si="130"/>
        <v>7800</v>
      </c>
      <c r="L75" s="33">
        <f t="shared" si="130"/>
        <v>8100</v>
      </c>
      <c r="M75" s="33">
        <f t="shared" si="130"/>
        <v>8400</v>
      </c>
      <c r="N75" s="33">
        <f t="shared" si="130"/>
        <v>8700</v>
      </c>
      <c r="O75" s="33">
        <f t="shared" si="130"/>
        <v>9000</v>
      </c>
      <c r="P75" s="33">
        <f t="shared" ref="P75:Q75" si="131">SUM(P489:P490)</f>
        <v>9300</v>
      </c>
      <c r="Q75" s="33">
        <f t="shared" si="131"/>
        <v>9600</v>
      </c>
      <c r="R75" s="114">
        <f t="shared" ref="R75" si="132">SUM(R489:R490)</f>
        <v>9900</v>
      </c>
    </row>
    <row r="76" spans="1:18" x14ac:dyDescent="0.2">
      <c r="A76" s="107">
        <f>ROUND(SUM(A491),-3)</f>
        <v>55000</v>
      </c>
      <c r="B76" s="33">
        <f t="shared" ref="B76:D77" si="133">SUM(B491)</f>
        <v>53000</v>
      </c>
      <c r="C76" s="33">
        <f t="shared" si="133"/>
        <v>59900</v>
      </c>
      <c r="D76" s="33">
        <f t="shared" si="133"/>
        <v>68700</v>
      </c>
      <c r="E76" s="344" t="s">
        <v>1647</v>
      </c>
      <c r="F76" s="111" t="s">
        <v>3113</v>
      </c>
      <c r="G76" s="33">
        <f t="shared" ref="G76:O76" si="134">SUM(G491)</f>
        <v>71400</v>
      </c>
      <c r="H76" s="138">
        <f>IF(D76=G76,0,IF(D76=0,100,(G76-D76)/D76*100))</f>
        <v>3.9301310043668125</v>
      </c>
      <c r="I76" s="33">
        <f t="shared" si="134"/>
        <v>72500</v>
      </c>
      <c r="J76" s="33">
        <f t="shared" si="134"/>
        <v>74400</v>
      </c>
      <c r="K76" s="33">
        <f t="shared" si="134"/>
        <v>76300</v>
      </c>
      <c r="L76" s="33">
        <f t="shared" si="134"/>
        <v>78300</v>
      </c>
      <c r="M76" s="33">
        <f t="shared" si="134"/>
        <v>79900</v>
      </c>
      <c r="N76" s="33">
        <f t="shared" si="134"/>
        <v>81500</v>
      </c>
      <c r="O76" s="33">
        <f t="shared" si="134"/>
        <v>83200</v>
      </c>
      <c r="P76" s="33">
        <f t="shared" ref="P76:Q76" si="135">SUM(P491)</f>
        <v>84900</v>
      </c>
      <c r="Q76" s="33">
        <f t="shared" si="135"/>
        <v>86600</v>
      </c>
      <c r="R76" s="114">
        <f t="shared" ref="R76" si="136">SUM(R491)</f>
        <v>88400</v>
      </c>
    </row>
    <row r="77" spans="1:18" x14ac:dyDescent="0.2">
      <c r="A77" s="107">
        <f>ROUND(SUM(A492),-3)</f>
        <v>1000</v>
      </c>
      <c r="B77" s="33">
        <f t="shared" si="133"/>
        <v>6100</v>
      </c>
      <c r="C77" s="33">
        <f t="shared" si="133"/>
        <v>0</v>
      </c>
      <c r="D77" s="33">
        <f t="shared" si="133"/>
        <v>1000</v>
      </c>
      <c r="E77" s="344" t="s">
        <v>1647</v>
      </c>
      <c r="F77" s="108" t="s">
        <v>2139</v>
      </c>
      <c r="G77" s="33">
        <f t="shared" ref="G77:O77" si="137">SUM(G492)</f>
        <v>4800</v>
      </c>
      <c r="H77" s="138">
        <f>IF(D77=G77,0,IF(D77=0,100,(G77-D77)/D77*100))</f>
        <v>380</v>
      </c>
      <c r="I77" s="33">
        <f t="shared" si="137"/>
        <v>2100</v>
      </c>
      <c r="J77" s="33">
        <f t="shared" si="137"/>
        <v>2200</v>
      </c>
      <c r="K77" s="33">
        <f t="shared" si="137"/>
        <v>2300</v>
      </c>
      <c r="L77" s="33">
        <f t="shared" si="137"/>
        <v>2400</v>
      </c>
      <c r="M77" s="33">
        <f t="shared" si="137"/>
        <v>2500</v>
      </c>
      <c r="N77" s="33">
        <f t="shared" si="137"/>
        <v>2600</v>
      </c>
      <c r="O77" s="33">
        <f t="shared" si="137"/>
        <v>2700</v>
      </c>
      <c r="P77" s="33">
        <f t="shared" ref="P77:Q77" si="138">SUM(P492)</f>
        <v>2800</v>
      </c>
      <c r="Q77" s="33">
        <f t="shared" si="138"/>
        <v>2900</v>
      </c>
      <c r="R77" s="114">
        <f t="shared" ref="R77" si="139">SUM(R492)</f>
        <v>3000</v>
      </c>
    </row>
    <row r="78" spans="1:18" x14ac:dyDescent="0.2">
      <c r="A78" s="107"/>
      <c r="B78" s="33"/>
      <c r="C78" s="33"/>
      <c r="D78" s="33"/>
      <c r="E78" s="344"/>
      <c r="F78" s="108"/>
      <c r="G78" s="33"/>
      <c r="H78" s="138"/>
      <c r="I78" s="33"/>
      <c r="J78" s="33"/>
      <c r="K78" s="33"/>
      <c r="L78" s="33"/>
      <c r="M78" s="33"/>
      <c r="N78" s="33"/>
      <c r="O78" s="33"/>
      <c r="P78" s="33"/>
      <c r="Q78" s="33"/>
      <c r="R78" s="114"/>
    </row>
    <row r="79" spans="1:18" x14ac:dyDescent="0.2">
      <c r="A79" s="107"/>
      <c r="B79" s="33"/>
      <c r="C79" s="33"/>
      <c r="D79" s="33"/>
      <c r="E79" s="344"/>
      <c r="F79" s="137" t="s">
        <v>976</v>
      </c>
      <c r="G79" s="33"/>
      <c r="H79" s="138"/>
      <c r="I79" s="33"/>
      <c r="J79" s="33"/>
      <c r="K79" s="33"/>
      <c r="L79" s="33"/>
      <c r="M79" s="33"/>
      <c r="N79" s="33"/>
      <c r="O79" s="33"/>
      <c r="P79" s="33"/>
      <c r="Q79" s="33"/>
      <c r="R79" s="114"/>
    </row>
    <row r="80" spans="1:18" x14ac:dyDescent="0.2">
      <c r="A80" s="107">
        <f>ROUND(SUM(A504:A514),-3)</f>
        <v>316000</v>
      </c>
      <c r="B80" s="33">
        <f>SUM(B504:B514)</f>
        <v>329400</v>
      </c>
      <c r="C80" s="33">
        <f>SUM(C504:C514)</f>
        <v>304800</v>
      </c>
      <c r="D80" s="33">
        <f>SUM(D504:D514)</f>
        <v>308300</v>
      </c>
      <c r="E80" s="344" t="s">
        <v>1648</v>
      </c>
      <c r="F80" s="111" t="s">
        <v>4648</v>
      </c>
      <c r="G80" s="33">
        <f t="shared" ref="G80:O80" si="140">SUM(G504:G514)</f>
        <v>365700</v>
      </c>
      <c r="H80" s="138">
        <f>IF(D80=G80,0,IF(D80=0,100,(G80-D80)/D80*100))</f>
        <v>18.618228997729481</v>
      </c>
      <c r="I80" s="33">
        <f t="shared" si="140"/>
        <v>360900</v>
      </c>
      <c r="J80" s="33">
        <f t="shared" si="140"/>
        <v>370400</v>
      </c>
      <c r="K80" s="33">
        <f t="shared" si="140"/>
        <v>380100</v>
      </c>
      <c r="L80" s="33">
        <f t="shared" si="140"/>
        <v>390100</v>
      </c>
      <c r="M80" s="33">
        <f t="shared" si="140"/>
        <v>398300</v>
      </c>
      <c r="N80" s="33">
        <f t="shared" si="140"/>
        <v>406600</v>
      </c>
      <c r="O80" s="33">
        <f t="shared" si="140"/>
        <v>415200</v>
      </c>
      <c r="P80" s="33">
        <f t="shared" ref="P80:Q80" si="141">SUM(P504:P514)</f>
        <v>423900</v>
      </c>
      <c r="Q80" s="33">
        <f t="shared" si="141"/>
        <v>432900</v>
      </c>
      <c r="R80" s="114">
        <f t="shared" ref="R80" si="142">SUM(R504:R514)</f>
        <v>442100</v>
      </c>
    </row>
    <row r="81" spans="1:18" x14ac:dyDescent="0.2">
      <c r="A81" s="107">
        <f>ROUND(A515,-3)</f>
        <v>200000</v>
      </c>
      <c r="B81" s="33">
        <f>B515</f>
        <v>0</v>
      </c>
      <c r="C81" s="33">
        <f>C515</f>
        <v>0</v>
      </c>
      <c r="D81" s="33">
        <f>D515</f>
        <v>0</v>
      </c>
      <c r="E81" s="344" t="s">
        <v>1648</v>
      </c>
      <c r="F81" s="108" t="s">
        <v>868</v>
      </c>
      <c r="G81" s="33">
        <f t="shared" ref="G81:O81" si="143">G515</f>
        <v>230000</v>
      </c>
      <c r="H81" s="138">
        <f>IF(D81=G81,0,IF(D81=0,100,(G81-D81)/D81*100))</f>
        <v>100</v>
      </c>
      <c r="I81" s="33">
        <f t="shared" si="143"/>
        <v>0</v>
      </c>
      <c r="J81" s="33">
        <f t="shared" si="143"/>
        <v>0</v>
      </c>
      <c r="K81" s="33">
        <f t="shared" si="143"/>
        <v>0</v>
      </c>
      <c r="L81" s="33">
        <f t="shared" si="143"/>
        <v>260000</v>
      </c>
      <c r="M81" s="33">
        <f t="shared" si="143"/>
        <v>0</v>
      </c>
      <c r="N81" s="33">
        <f t="shared" si="143"/>
        <v>0</v>
      </c>
      <c r="O81" s="33">
        <f t="shared" si="143"/>
        <v>0</v>
      </c>
      <c r="P81" s="33">
        <f t="shared" ref="P81:Q81" si="144">P515</f>
        <v>290000</v>
      </c>
      <c r="Q81" s="33">
        <f t="shared" si="144"/>
        <v>0</v>
      </c>
      <c r="R81" s="114">
        <f t="shared" ref="R81" si="145">R515</f>
        <v>0</v>
      </c>
    </row>
    <row r="82" spans="1:18" x14ac:dyDescent="0.2">
      <c r="A82" s="107">
        <f>ROUND(SUM(A517:A523),-3)</f>
        <v>57000</v>
      </c>
      <c r="B82" s="33">
        <f>SUM(B517:B523)</f>
        <v>55500</v>
      </c>
      <c r="C82" s="33">
        <f>SUM(C517:C523)</f>
        <v>57100</v>
      </c>
      <c r="D82" s="33">
        <f>SUM(D517:D523)</f>
        <v>62600</v>
      </c>
      <c r="E82" s="344" t="s">
        <v>1648</v>
      </c>
      <c r="F82" s="108" t="s">
        <v>1150</v>
      </c>
      <c r="G82" s="33">
        <f>SUM(G517:G523)</f>
        <v>63900</v>
      </c>
      <c r="H82" s="138">
        <f>IF(D82=G82,0,IF(D82=0,100,(G82-D82)/D82*100))</f>
        <v>2.0766773162939298</v>
      </c>
      <c r="I82" s="33">
        <f t="shared" ref="I82:Q82" si="146">SUM(I517:I523)</f>
        <v>65200</v>
      </c>
      <c r="J82" s="33">
        <f t="shared" si="146"/>
        <v>67200</v>
      </c>
      <c r="K82" s="33">
        <f t="shared" si="146"/>
        <v>69200</v>
      </c>
      <c r="L82" s="33">
        <f t="shared" si="146"/>
        <v>71200</v>
      </c>
      <c r="M82" s="33">
        <f t="shared" si="146"/>
        <v>72900</v>
      </c>
      <c r="N82" s="33">
        <f t="shared" si="146"/>
        <v>74600</v>
      </c>
      <c r="O82" s="33">
        <f t="shared" si="146"/>
        <v>76500</v>
      </c>
      <c r="P82" s="33">
        <f t="shared" si="146"/>
        <v>78400</v>
      </c>
      <c r="Q82" s="33">
        <f t="shared" si="146"/>
        <v>80300</v>
      </c>
      <c r="R82" s="114">
        <f t="shared" ref="R82" si="147">SUM(R517:R523)</f>
        <v>82200</v>
      </c>
    </row>
    <row r="83" spans="1:18" x14ac:dyDescent="0.2">
      <c r="A83" s="107"/>
      <c r="B83" s="33"/>
      <c r="C83" s="33"/>
      <c r="D83" s="33"/>
      <c r="E83" s="344"/>
      <c r="F83" s="108"/>
      <c r="G83" s="33"/>
      <c r="H83" s="138"/>
      <c r="I83" s="33"/>
      <c r="J83" s="33"/>
      <c r="K83" s="33"/>
      <c r="L83" s="33"/>
      <c r="M83" s="33"/>
      <c r="N83" s="33"/>
      <c r="O83" s="33"/>
      <c r="P83" s="33"/>
      <c r="Q83" s="33"/>
      <c r="R83" s="114"/>
    </row>
    <row r="84" spans="1:18" x14ac:dyDescent="0.2">
      <c r="A84" s="107"/>
      <c r="B84" s="33"/>
      <c r="C84" s="33"/>
      <c r="D84" s="33"/>
      <c r="E84" s="344"/>
      <c r="F84" s="137" t="s">
        <v>1283</v>
      </c>
      <c r="G84" s="33"/>
      <c r="H84" s="138"/>
      <c r="I84" s="33"/>
      <c r="J84" s="33"/>
      <c r="K84" s="33"/>
      <c r="L84" s="33"/>
      <c r="M84" s="33"/>
      <c r="N84" s="33"/>
      <c r="O84" s="33"/>
      <c r="P84" s="33"/>
      <c r="Q84" s="33"/>
      <c r="R84" s="114"/>
    </row>
    <row r="85" spans="1:18" x14ac:dyDescent="0.2">
      <c r="A85" s="107">
        <f>ROUND(SUM(A495:A495),-3)</f>
        <v>24000</v>
      </c>
      <c r="B85" s="33">
        <f>SUM(B495:B495)</f>
        <v>25300</v>
      </c>
      <c r="C85" s="33">
        <f>SUM(C495:C495)</f>
        <v>26400</v>
      </c>
      <c r="D85" s="33">
        <f t="shared" ref="D85" si="148">SUM(D495:D495)</f>
        <v>27800</v>
      </c>
      <c r="E85" s="344" t="s">
        <v>1649</v>
      </c>
      <c r="F85" s="111" t="s">
        <v>6665</v>
      </c>
      <c r="G85" s="33">
        <f t="shared" ref="G85" si="149">SUM(G495:G495)</f>
        <v>30000</v>
      </c>
      <c r="H85" s="138">
        <f t="shared" ref="H85:H92" si="150">IF(D85=G85,0,IF(D85=0,100,(G85-D85)/D85*100))</f>
        <v>7.9136690647482011</v>
      </c>
      <c r="I85" s="33">
        <f t="shared" ref="I85:Q85" si="151">SUM(I495:I495)</f>
        <v>30500</v>
      </c>
      <c r="J85" s="33">
        <f t="shared" si="151"/>
        <v>31300</v>
      </c>
      <c r="K85" s="33">
        <f t="shared" si="151"/>
        <v>32100</v>
      </c>
      <c r="L85" s="33">
        <f t="shared" si="151"/>
        <v>33000</v>
      </c>
      <c r="M85" s="33">
        <f t="shared" si="151"/>
        <v>33700</v>
      </c>
      <c r="N85" s="33">
        <f t="shared" si="151"/>
        <v>34400</v>
      </c>
      <c r="O85" s="33">
        <f t="shared" si="151"/>
        <v>35100</v>
      </c>
      <c r="P85" s="33">
        <f t="shared" si="151"/>
        <v>35900</v>
      </c>
      <c r="Q85" s="33">
        <f t="shared" si="151"/>
        <v>36700</v>
      </c>
      <c r="R85" s="114">
        <f t="shared" ref="R85" si="152">SUM(R495:R495)</f>
        <v>37500</v>
      </c>
    </row>
    <row r="86" spans="1:18" x14ac:dyDescent="0.2">
      <c r="A86" s="107">
        <f>ROUND(SUM(A496:A496),-3)</f>
        <v>5000</v>
      </c>
      <c r="B86" s="33">
        <f>SUM(B496:B496)</f>
        <v>5000</v>
      </c>
      <c r="C86" s="33">
        <f>ROUND(SUM(C496:C496),-1)</f>
        <v>10000</v>
      </c>
      <c r="D86" s="33">
        <f>ROUND(SUM(D496:D496),-1)</f>
        <v>10000</v>
      </c>
      <c r="E86" s="344" t="s">
        <v>1649</v>
      </c>
      <c r="F86" s="111" t="s">
        <v>6664</v>
      </c>
      <c r="G86" s="33">
        <f>ROUND(SUM(G496:G496),-1)</f>
        <v>10000</v>
      </c>
      <c r="H86" s="138">
        <f t="shared" si="150"/>
        <v>0</v>
      </c>
      <c r="I86" s="33">
        <f t="shared" ref="I86:Q86" si="153">ROUND(SUM(I496:I496),-1)</f>
        <v>10000</v>
      </c>
      <c r="J86" s="33">
        <f t="shared" si="153"/>
        <v>10300</v>
      </c>
      <c r="K86" s="33">
        <f t="shared" si="153"/>
        <v>10600</v>
      </c>
      <c r="L86" s="33">
        <f t="shared" si="153"/>
        <v>10900</v>
      </c>
      <c r="M86" s="33">
        <f t="shared" si="153"/>
        <v>11200</v>
      </c>
      <c r="N86" s="33">
        <f t="shared" si="153"/>
        <v>11500</v>
      </c>
      <c r="O86" s="33">
        <f t="shared" si="153"/>
        <v>11800</v>
      </c>
      <c r="P86" s="33">
        <f t="shared" si="153"/>
        <v>12100</v>
      </c>
      <c r="Q86" s="33">
        <f t="shared" si="153"/>
        <v>12400</v>
      </c>
      <c r="R86" s="114">
        <f t="shared" ref="R86" si="154">ROUND(SUM(R496:R496),-1)</f>
        <v>12700</v>
      </c>
    </row>
    <row r="87" spans="1:18" x14ac:dyDescent="0.2">
      <c r="A87" s="107">
        <f>ROUND(SUM(A497:A497),-3)</f>
        <v>35000</v>
      </c>
      <c r="B87" s="33">
        <f>SUM(B497:B497)</f>
        <v>35900</v>
      </c>
      <c r="C87" s="33">
        <f>SUM(C497:C497)</f>
        <v>31400</v>
      </c>
      <c r="D87" s="33">
        <f t="shared" ref="D87" si="155">SUM(D497:D497)</f>
        <v>17400</v>
      </c>
      <c r="E87" s="344" t="s">
        <v>1649</v>
      </c>
      <c r="F87" s="111" t="s">
        <v>6666</v>
      </c>
      <c r="G87" s="33">
        <f t="shared" ref="G87" si="156">SUM(G497:G497)</f>
        <v>37300</v>
      </c>
      <c r="H87" s="138">
        <f t="shared" si="150"/>
        <v>114.36781609195404</v>
      </c>
      <c r="I87" s="33">
        <f t="shared" ref="I87:Q87" si="157">SUM(I497:I497)</f>
        <v>32900</v>
      </c>
      <c r="J87" s="33">
        <f t="shared" si="157"/>
        <v>33800</v>
      </c>
      <c r="K87" s="33">
        <f t="shared" si="157"/>
        <v>34700</v>
      </c>
      <c r="L87" s="33">
        <f t="shared" si="157"/>
        <v>35600</v>
      </c>
      <c r="M87" s="33">
        <f t="shared" si="157"/>
        <v>36400</v>
      </c>
      <c r="N87" s="33">
        <f t="shared" si="157"/>
        <v>37200</v>
      </c>
      <c r="O87" s="33">
        <f t="shared" si="157"/>
        <v>38000</v>
      </c>
      <c r="P87" s="33">
        <f t="shared" si="157"/>
        <v>38800</v>
      </c>
      <c r="Q87" s="33">
        <f t="shared" si="157"/>
        <v>39600</v>
      </c>
      <c r="R87" s="114">
        <f t="shared" ref="R87" si="158">SUM(R497:R497)</f>
        <v>40400</v>
      </c>
    </row>
    <row r="88" spans="1:18" x14ac:dyDescent="0.2">
      <c r="A88" s="107">
        <f>ROUND(SUM(A498),-3)</f>
        <v>7000</v>
      </c>
      <c r="B88" s="33">
        <f>SUM(B498)</f>
        <v>6000</v>
      </c>
      <c r="C88" s="33">
        <f>ROUND(SUM(C498),-1)</f>
        <v>7500</v>
      </c>
      <c r="D88" s="33">
        <f>ROUND(SUM(D498),-1)</f>
        <v>6000</v>
      </c>
      <c r="E88" s="344" t="s">
        <v>1649</v>
      </c>
      <c r="F88" s="891" t="s">
        <v>4676</v>
      </c>
      <c r="G88" s="33">
        <f>ROUND(SUM(G498),-1)</f>
        <v>5100</v>
      </c>
      <c r="H88" s="138">
        <f t="shared" si="150"/>
        <v>-15</v>
      </c>
      <c r="I88" s="33">
        <f t="shared" ref="I88:Q88" si="159">ROUND(SUM(I498),-1)</f>
        <v>5200</v>
      </c>
      <c r="J88" s="33">
        <f t="shared" si="159"/>
        <v>5400</v>
      </c>
      <c r="K88" s="33">
        <f t="shared" si="159"/>
        <v>5600</v>
      </c>
      <c r="L88" s="33">
        <f t="shared" si="159"/>
        <v>5800</v>
      </c>
      <c r="M88" s="33">
        <f t="shared" si="159"/>
        <v>6000</v>
      </c>
      <c r="N88" s="33">
        <f t="shared" si="159"/>
        <v>6200</v>
      </c>
      <c r="O88" s="33">
        <f t="shared" si="159"/>
        <v>6400</v>
      </c>
      <c r="P88" s="33">
        <f t="shared" si="159"/>
        <v>6600</v>
      </c>
      <c r="Q88" s="33">
        <f t="shared" si="159"/>
        <v>6800</v>
      </c>
      <c r="R88" s="114">
        <f t="shared" ref="R88" si="160">ROUND(SUM(R498),-1)</f>
        <v>7000</v>
      </c>
    </row>
    <row r="89" spans="1:18" x14ac:dyDescent="0.2">
      <c r="A89" s="107">
        <f>ROUND(SUM(A499),-3)</f>
        <v>76000</v>
      </c>
      <c r="B89" s="33">
        <f t="shared" ref="B89:B91" si="161">SUM(B499)</f>
        <v>63300</v>
      </c>
      <c r="C89" s="33">
        <f t="shared" ref="C89:C91" si="162">ROUND(SUM(C499),-1)</f>
        <v>35000</v>
      </c>
      <c r="D89" s="33">
        <f>ROUND(SUM(D499),-1)</f>
        <v>83700</v>
      </c>
      <c r="E89" s="344" t="s">
        <v>1649</v>
      </c>
      <c r="F89" s="111" t="s">
        <v>4677</v>
      </c>
      <c r="G89" s="33">
        <f>ROUND(SUM(G499),-1)</f>
        <v>60000</v>
      </c>
      <c r="H89" s="138">
        <f t="shared" si="150"/>
        <v>-28.31541218637993</v>
      </c>
      <c r="I89" s="33">
        <f t="shared" ref="I89:Q89" si="163">ROUND(SUM(I499),-1)</f>
        <v>60900</v>
      </c>
      <c r="J89" s="33">
        <f t="shared" si="163"/>
        <v>62500</v>
      </c>
      <c r="K89" s="33">
        <f t="shared" si="163"/>
        <v>64100</v>
      </c>
      <c r="L89" s="33">
        <f t="shared" si="163"/>
        <v>65800</v>
      </c>
      <c r="M89" s="33">
        <f t="shared" si="163"/>
        <v>67200</v>
      </c>
      <c r="N89" s="33">
        <f t="shared" si="163"/>
        <v>68600</v>
      </c>
      <c r="O89" s="33">
        <f t="shared" si="163"/>
        <v>70000</v>
      </c>
      <c r="P89" s="33">
        <f t="shared" si="163"/>
        <v>71400</v>
      </c>
      <c r="Q89" s="33">
        <f t="shared" si="163"/>
        <v>72900</v>
      </c>
      <c r="R89" s="114">
        <f t="shared" ref="R89" si="164">ROUND(SUM(R499),-1)</f>
        <v>74400</v>
      </c>
    </row>
    <row r="90" spans="1:18" x14ac:dyDescent="0.2">
      <c r="A90" s="107">
        <f>ROUND(SUM(A500),-3)</f>
        <v>0</v>
      </c>
      <c r="B90" s="33">
        <f t="shared" si="161"/>
        <v>0</v>
      </c>
      <c r="C90" s="33">
        <f t="shared" si="162"/>
        <v>0</v>
      </c>
      <c r="D90" s="33">
        <f>ROUND(SUM(D500),-1)</f>
        <v>0</v>
      </c>
      <c r="E90" s="344" t="s">
        <v>1649</v>
      </c>
      <c r="F90" s="111" t="s">
        <v>6663</v>
      </c>
      <c r="G90" s="33">
        <f>ROUND(SUM(G500),-1)</f>
        <v>30100</v>
      </c>
      <c r="H90" s="138">
        <f t="shared" si="150"/>
        <v>100</v>
      </c>
      <c r="I90" s="33">
        <f t="shared" ref="I90:Q90" si="165">ROUND(SUM(I500),-1)</f>
        <v>20000</v>
      </c>
      <c r="J90" s="33">
        <f t="shared" si="165"/>
        <v>30000</v>
      </c>
      <c r="K90" s="33">
        <f t="shared" si="165"/>
        <v>40000</v>
      </c>
      <c r="L90" s="33">
        <f t="shared" si="165"/>
        <v>50000</v>
      </c>
      <c r="M90" s="33">
        <f t="shared" si="165"/>
        <v>51000</v>
      </c>
      <c r="N90" s="33">
        <f t="shared" si="165"/>
        <v>52100</v>
      </c>
      <c r="O90" s="33">
        <f t="shared" si="165"/>
        <v>53200</v>
      </c>
      <c r="P90" s="33">
        <f t="shared" si="165"/>
        <v>54300</v>
      </c>
      <c r="Q90" s="33">
        <f t="shared" si="165"/>
        <v>55400</v>
      </c>
      <c r="R90" s="114">
        <f t="shared" ref="R90" si="166">ROUND(SUM(R500),-1)</f>
        <v>56600</v>
      </c>
    </row>
    <row r="91" spans="1:18" x14ac:dyDescent="0.2">
      <c r="A91" s="107">
        <f>ROUND(SUM(A501),-3)</f>
        <v>0</v>
      </c>
      <c r="B91" s="33">
        <f t="shared" si="161"/>
        <v>0</v>
      </c>
      <c r="C91" s="33">
        <f t="shared" si="162"/>
        <v>0</v>
      </c>
      <c r="D91" s="33">
        <f>ROUND(SUM(D501),-1)</f>
        <v>0</v>
      </c>
      <c r="E91" s="344" t="s">
        <v>1649</v>
      </c>
      <c r="F91" s="111" t="s">
        <v>6667</v>
      </c>
      <c r="G91" s="33">
        <f>ROUND(SUM(G501),-1)</f>
        <v>14000</v>
      </c>
      <c r="H91" s="138">
        <f t="shared" si="150"/>
        <v>100</v>
      </c>
      <c r="I91" s="33">
        <f t="shared" ref="I91:Q91" si="167">ROUND(SUM(I501),-1)</f>
        <v>0</v>
      </c>
      <c r="J91" s="33">
        <f t="shared" si="167"/>
        <v>0</v>
      </c>
      <c r="K91" s="33">
        <f t="shared" si="167"/>
        <v>0</v>
      </c>
      <c r="L91" s="33">
        <f t="shared" si="167"/>
        <v>0</v>
      </c>
      <c r="M91" s="33">
        <f t="shared" si="167"/>
        <v>0</v>
      </c>
      <c r="N91" s="33">
        <f t="shared" si="167"/>
        <v>0</v>
      </c>
      <c r="O91" s="33">
        <f t="shared" si="167"/>
        <v>0</v>
      </c>
      <c r="P91" s="33">
        <f t="shared" si="167"/>
        <v>0</v>
      </c>
      <c r="Q91" s="33">
        <f t="shared" si="167"/>
        <v>0</v>
      </c>
      <c r="R91" s="114">
        <f t="shared" ref="R91" si="168">ROUND(SUM(R501),-1)</f>
        <v>0</v>
      </c>
    </row>
    <row r="92" spans="1:18" x14ac:dyDescent="0.2">
      <c r="A92" s="107">
        <f>ROUND(SUM(A502),-3)</f>
        <v>0</v>
      </c>
      <c r="B92" s="33">
        <f>SUM(B502:B502)</f>
        <v>600</v>
      </c>
      <c r="C92" s="33">
        <f>SUM(C502:C502)</f>
        <v>5100</v>
      </c>
      <c r="D92" s="33">
        <f>SUM(D502)</f>
        <v>1200</v>
      </c>
      <c r="E92" s="344" t="s">
        <v>1649</v>
      </c>
      <c r="F92" s="111" t="s">
        <v>4630</v>
      </c>
      <c r="G92" s="33">
        <f t="shared" ref="G92:O92" si="169">SUM(G502:G502)</f>
        <v>3000</v>
      </c>
      <c r="H92" s="138">
        <f t="shared" si="150"/>
        <v>150</v>
      </c>
      <c r="I92" s="33">
        <f t="shared" si="169"/>
        <v>3100</v>
      </c>
      <c r="J92" s="33">
        <f t="shared" si="169"/>
        <v>3200</v>
      </c>
      <c r="K92" s="33">
        <f t="shared" si="169"/>
        <v>3300</v>
      </c>
      <c r="L92" s="33">
        <f t="shared" si="169"/>
        <v>3400</v>
      </c>
      <c r="M92" s="33">
        <f t="shared" si="169"/>
        <v>3500</v>
      </c>
      <c r="N92" s="33">
        <f t="shared" si="169"/>
        <v>3600</v>
      </c>
      <c r="O92" s="33">
        <f t="shared" si="169"/>
        <v>3700</v>
      </c>
      <c r="P92" s="33">
        <f t="shared" ref="P92:Q92" si="170">SUM(P502:P502)</f>
        <v>3800</v>
      </c>
      <c r="Q92" s="33">
        <f t="shared" si="170"/>
        <v>3900</v>
      </c>
      <c r="R92" s="114">
        <f t="shared" ref="R92" si="171">SUM(R502:R502)</f>
        <v>4000</v>
      </c>
    </row>
    <row r="93" spans="1:18" ht="13.5" thickBot="1" x14ac:dyDescent="0.25">
      <c r="A93" s="107"/>
      <c r="B93" s="33"/>
      <c r="C93" s="33"/>
      <c r="D93" s="33"/>
      <c r="E93" s="255"/>
      <c r="F93" s="108"/>
      <c r="G93" s="33"/>
      <c r="H93" s="138"/>
      <c r="I93" s="33"/>
      <c r="J93" s="33"/>
      <c r="K93" s="33"/>
      <c r="L93" s="33"/>
      <c r="M93" s="33"/>
      <c r="N93" s="33"/>
      <c r="O93" s="33"/>
      <c r="P93" s="33"/>
      <c r="Q93" s="33"/>
      <c r="R93" s="114"/>
    </row>
    <row r="94" spans="1:18" s="92" customFormat="1" x14ac:dyDescent="0.2">
      <c r="A94" s="105">
        <f>SUBTOTAL(9,A71:A93)</f>
        <v>1242000</v>
      </c>
      <c r="B94" s="53">
        <f>SUBTOTAL(9,B71:B93)</f>
        <v>1183400</v>
      </c>
      <c r="C94" s="53">
        <f>SUBTOTAL(9,C71:C93)</f>
        <v>1104800</v>
      </c>
      <c r="D94" s="53">
        <f>SUBTOTAL(9,D71:D93)</f>
        <v>1160800</v>
      </c>
      <c r="E94" s="282"/>
      <c r="F94" s="112" t="s">
        <v>565</v>
      </c>
      <c r="G94" s="53">
        <f>SUBTOTAL(9,G71:G93)</f>
        <v>1653300</v>
      </c>
      <c r="H94" s="180">
        <f>IF(D94=G94,0,IF(D94=0,100,(G94-D94)/D94*100))</f>
        <v>42.4276361130255</v>
      </c>
      <c r="I94" s="53">
        <f t="shared" ref="I94:Q94" si="172">SUBTOTAL(9,I71:I93)</f>
        <v>1409400</v>
      </c>
      <c r="J94" s="53">
        <f t="shared" si="172"/>
        <v>1455600</v>
      </c>
      <c r="K94" s="53">
        <f t="shared" si="172"/>
        <v>1502500</v>
      </c>
      <c r="L94" s="53">
        <f t="shared" si="172"/>
        <v>1810500</v>
      </c>
      <c r="M94" s="53">
        <f t="shared" si="172"/>
        <v>1586700</v>
      </c>
      <c r="N94" s="53">
        <f t="shared" si="172"/>
        <v>1623600</v>
      </c>
      <c r="O94" s="53">
        <f t="shared" si="172"/>
        <v>1661600</v>
      </c>
      <c r="P94" s="53">
        <f t="shared" si="172"/>
        <v>1990400</v>
      </c>
      <c r="Q94" s="53">
        <f t="shared" si="172"/>
        <v>1718600</v>
      </c>
      <c r="R94" s="113">
        <f t="shared" ref="R94" si="173">SUBTOTAL(9,R71:R93)</f>
        <v>1737200</v>
      </c>
    </row>
    <row r="95" spans="1:18" x14ac:dyDescent="0.2">
      <c r="A95" s="107"/>
      <c r="B95" s="33"/>
      <c r="C95" s="33"/>
      <c r="D95" s="33"/>
      <c r="E95" s="255"/>
      <c r="F95" s="108"/>
      <c r="G95" s="33"/>
      <c r="H95" s="138"/>
      <c r="I95" s="33"/>
      <c r="J95" s="33"/>
      <c r="K95" s="33"/>
      <c r="L95" s="33"/>
      <c r="M95" s="33"/>
      <c r="N95" s="33"/>
      <c r="O95" s="33"/>
      <c r="P95" s="33"/>
      <c r="Q95" s="33"/>
      <c r="R95" s="114"/>
    </row>
    <row r="96" spans="1:18" s="92" customFormat="1" x14ac:dyDescent="0.2">
      <c r="A96" s="70">
        <f>A69-A94</f>
        <v>-1242000</v>
      </c>
      <c r="B96" s="64">
        <f>B69-B94</f>
        <v>-1183400</v>
      </c>
      <c r="C96" s="64">
        <f>C69-C94</f>
        <v>-1104800</v>
      </c>
      <c r="D96" s="64">
        <f>D69-D94</f>
        <v>-1156500</v>
      </c>
      <c r="E96" s="282"/>
      <c r="F96" s="1963" t="s">
        <v>1019</v>
      </c>
      <c r="G96" s="64">
        <f>G69-G94</f>
        <v>-1653300</v>
      </c>
      <c r="H96" s="179">
        <f>IF(D96=G96,0,IF(D96=0,100,(G96-D96)/D96*100))</f>
        <v>42.957198443579763</v>
      </c>
      <c r="I96" s="64">
        <f t="shared" ref="I96:Q96" si="174">I69-I94</f>
        <v>-1409400</v>
      </c>
      <c r="J96" s="64">
        <f t="shared" si="174"/>
        <v>-1455600</v>
      </c>
      <c r="K96" s="64">
        <f t="shared" si="174"/>
        <v>-1502500</v>
      </c>
      <c r="L96" s="64">
        <f t="shared" si="174"/>
        <v>-1810500</v>
      </c>
      <c r="M96" s="64">
        <f t="shared" si="174"/>
        <v>-1586700</v>
      </c>
      <c r="N96" s="64">
        <f t="shared" si="174"/>
        <v>-1623600</v>
      </c>
      <c r="O96" s="64">
        <f t="shared" si="174"/>
        <v>-1661600</v>
      </c>
      <c r="P96" s="64">
        <f t="shared" si="174"/>
        <v>-1990400</v>
      </c>
      <c r="Q96" s="64">
        <f t="shared" si="174"/>
        <v>-1718600</v>
      </c>
      <c r="R96" s="115">
        <f t="shared" ref="R96" si="175">R69-R94</f>
        <v>-1737200</v>
      </c>
    </row>
    <row r="97" spans="1:18" x14ac:dyDescent="0.2">
      <c r="A97" s="107">
        <v>0</v>
      </c>
      <c r="B97" s="33">
        <v>0</v>
      </c>
      <c r="C97" s="33">
        <v>0</v>
      </c>
      <c r="D97" s="33">
        <v>0</v>
      </c>
      <c r="E97" s="255"/>
      <c r="F97" s="320" t="s">
        <v>1976</v>
      </c>
      <c r="G97" s="33">
        <v>0</v>
      </c>
      <c r="H97" s="138">
        <f>IF(D97=G97,0,IF(D97=0,100,(G97-D97)/D97*100))</f>
        <v>0</v>
      </c>
      <c r="I97" s="33">
        <v>0</v>
      </c>
      <c r="J97" s="33">
        <v>0</v>
      </c>
      <c r="K97" s="33">
        <v>0</v>
      </c>
      <c r="L97" s="33">
        <v>0</v>
      </c>
      <c r="M97" s="33">
        <v>0</v>
      </c>
      <c r="N97" s="33">
        <v>0</v>
      </c>
      <c r="O97" s="33">
        <v>0</v>
      </c>
      <c r="P97" s="33">
        <v>0</v>
      </c>
      <c r="Q97" s="33">
        <v>0</v>
      </c>
      <c r="R97" s="114">
        <v>0</v>
      </c>
    </row>
    <row r="98" spans="1:18" s="92" customFormat="1" x14ac:dyDescent="0.2">
      <c r="A98" s="181">
        <f>A96+A97</f>
        <v>-1242000</v>
      </c>
      <c r="B98" s="397">
        <f>B96+B97</f>
        <v>-1183400</v>
      </c>
      <c r="C98" s="397">
        <f>C96+C97</f>
        <v>-1104800</v>
      </c>
      <c r="D98" s="397">
        <f>D96+D97</f>
        <v>-1156500</v>
      </c>
      <c r="E98" s="514"/>
      <c r="F98" s="515" t="s">
        <v>1687</v>
      </c>
      <c r="G98" s="397">
        <f t="shared" ref="G98:O98" si="176">G96+G97</f>
        <v>-1653300</v>
      </c>
      <c r="H98" s="395">
        <f>IF(D98=G98,0,IF(D98=0,100,(G98-D98)/D98*100))</f>
        <v>42.957198443579763</v>
      </c>
      <c r="I98" s="397">
        <f t="shared" si="176"/>
        <v>-1409400</v>
      </c>
      <c r="J98" s="397">
        <f t="shared" si="176"/>
        <v>-1455600</v>
      </c>
      <c r="K98" s="397">
        <f t="shared" si="176"/>
        <v>-1502500</v>
      </c>
      <c r="L98" s="397">
        <f t="shared" si="176"/>
        <v>-1810500</v>
      </c>
      <c r="M98" s="397">
        <f t="shared" si="176"/>
        <v>-1586700</v>
      </c>
      <c r="N98" s="397">
        <f t="shared" si="176"/>
        <v>-1623600</v>
      </c>
      <c r="O98" s="397">
        <f t="shared" si="176"/>
        <v>-1661600</v>
      </c>
      <c r="P98" s="397">
        <f t="shared" ref="P98:Q98" si="177">P96+P97</f>
        <v>-1990400</v>
      </c>
      <c r="Q98" s="397">
        <f t="shared" si="177"/>
        <v>-1718600</v>
      </c>
      <c r="R98" s="399">
        <f t="shared" ref="R98" si="178">R96+R97</f>
        <v>-1737200</v>
      </c>
    </row>
    <row r="99" spans="1:18" ht="13.5" thickBot="1" x14ac:dyDescent="0.25">
      <c r="A99" s="171"/>
      <c r="B99" s="66"/>
      <c r="C99" s="66"/>
      <c r="D99" s="66"/>
      <c r="E99" s="558"/>
      <c r="F99" s="173"/>
      <c r="G99" s="66"/>
      <c r="H99" s="140"/>
      <c r="I99" s="121"/>
      <c r="J99" s="121"/>
      <c r="K99" s="121"/>
      <c r="L99" s="121"/>
      <c r="M99" s="121"/>
      <c r="N99" s="121"/>
      <c r="O99" s="121"/>
      <c r="P99" s="121"/>
      <c r="Q99" s="121"/>
      <c r="R99" s="161"/>
    </row>
    <row r="100" spans="1:18" ht="13.5" thickTop="1" x14ac:dyDescent="0.2">
      <c r="A100" s="383"/>
      <c r="B100" s="162"/>
      <c r="C100" s="162"/>
      <c r="D100" s="162"/>
      <c r="E100" s="286"/>
      <c r="F100" s="367"/>
      <c r="G100" s="127"/>
      <c r="H100" s="505"/>
      <c r="I100" s="127"/>
      <c r="J100" s="127"/>
      <c r="K100" s="127"/>
      <c r="L100" s="127"/>
      <c r="M100" s="127"/>
      <c r="N100" s="127"/>
      <c r="O100" s="127"/>
      <c r="P100" s="127"/>
      <c r="Q100" s="127"/>
      <c r="R100" s="163"/>
    </row>
    <row r="101" spans="1:18" x14ac:dyDescent="0.2">
      <c r="A101" s="70"/>
      <c r="B101" s="64"/>
      <c r="C101" s="64"/>
      <c r="D101" s="64"/>
      <c r="E101" s="283"/>
      <c r="F101" s="516" t="s">
        <v>196</v>
      </c>
      <c r="G101" s="33"/>
      <c r="H101" s="179"/>
      <c r="I101" s="33"/>
      <c r="J101" s="33"/>
      <c r="K101" s="33"/>
      <c r="L101" s="33"/>
      <c r="M101" s="33"/>
      <c r="N101" s="33"/>
      <c r="O101" s="33"/>
      <c r="P101" s="33"/>
      <c r="Q101" s="33"/>
      <c r="R101" s="114"/>
    </row>
    <row r="102" spans="1:18" x14ac:dyDescent="0.2">
      <c r="A102" s="70"/>
      <c r="B102" s="64"/>
      <c r="C102" s="64"/>
      <c r="D102" s="64"/>
      <c r="E102" s="238"/>
      <c r="F102" s="371"/>
      <c r="G102" s="33"/>
      <c r="H102" s="179"/>
      <c r="I102" s="33"/>
      <c r="J102" s="33"/>
      <c r="K102" s="33"/>
      <c r="L102" s="33"/>
      <c r="M102" s="33"/>
      <c r="N102" s="33"/>
      <c r="O102" s="33"/>
      <c r="P102" s="33"/>
      <c r="Q102" s="33"/>
      <c r="R102" s="114"/>
    </row>
    <row r="103" spans="1:18" x14ac:dyDescent="0.2">
      <c r="A103" s="107">
        <f>ROUND(A533,-3)</f>
        <v>0</v>
      </c>
      <c r="B103" s="33">
        <f t="shared" ref="B103:C107" si="179">B533</f>
        <v>0</v>
      </c>
      <c r="C103" s="33">
        <f t="shared" si="179"/>
        <v>0</v>
      </c>
      <c r="D103" s="33">
        <f>D533</f>
        <v>0</v>
      </c>
      <c r="E103" s="238"/>
      <c r="F103" s="366" t="s">
        <v>2900</v>
      </c>
      <c r="G103" s="33">
        <f t="shared" ref="G103:O103" si="180">G533</f>
        <v>0</v>
      </c>
      <c r="H103" s="138"/>
      <c r="I103" s="33">
        <f t="shared" si="180"/>
        <v>0</v>
      </c>
      <c r="J103" s="33">
        <f t="shared" si="180"/>
        <v>0</v>
      </c>
      <c r="K103" s="33">
        <f t="shared" si="180"/>
        <v>0</v>
      </c>
      <c r="L103" s="33">
        <f t="shared" si="180"/>
        <v>0</v>
      </c>
      <c r="M103" s="33">
        <f t="shared" si="180"/>
        <v>0</v>
      </c>
      <c r="N103" s="33">
        <f t="shared" si="180"/>
        <v>0</v>
      </c>
      <c r="O103" s="33">
        <f t="shared" si="180"/>
        <v>0</v>
      </c>
      <c r="P103" s="33">
        <f t="shared" ref="P103:Q103" si="181">P533</f>
        <v>0</v>
      </c>
      <c r="Q103" s="33">
        <f t="shared" si="181"/>
        <v>0</v>
      </c>
      <c r="R103" s="114">
        <f t="shared" ref="R103" si="182">R533</f>
        <v>0</v>
      </c>
    </row>
    <row r="104" spans="1:18" x14ac:dyDescent="0.2">
      <c r="A104" s="107">
        <f>ROUND(A534,-3)</f>
        <v>31000</v>
      </c>
      <c r="B104" s="33">
        <f t="shared" si="179"/>
        <v>2000</v>
      </c>
      <c r="C104" s="33">
        <f t="shared" si="179"/>
        <v>178700</v>
      </c>
      <c r="D104" s="33">
        <f>D534</f>
        <v>94000</v>
      </c>
      <c r="E104" s="238"/>
      <c r="F104" s="366" t="s">
        <v>1942</v>
      </c>
      <c r="G104" s="33">
        <f t="shared" ref="G104:O104" si="183">G534</f>
        <v>90000</v>
      </c>
      <c r="H104" s="138"/>
      <c r="I104" s="33">
        <f t="shared" si="183"/>
        <v>30000</v>
      </c>
      <c r="J104" s="33">
        <f t="shared" si="183"/>
        <v>35000</v>
      </c>
      <c r="K104" s="33">
        <f t="shared" si="183"/>
        <v>40000</v>
      </c>
      <c r="L104" s="33">
        <f t="shared" si="183"/>
        <v>55000</v>
      </c>
      <c r="M104" s="33">
        <f t="shared" si="183"/>
        <v>70000</v>
      </c>
      <c r="N104" s="33">
        <f t="shared" si="183"/>
        <v>70000</v>
      </c>
      <c r="O104" s="33">
        <f t="shared" si="183"/>
        <v>75000</v>
      </c>
      <c r="P104" s="33">
        <f t="shared" ref="P104:Q104" si="184">P534</f>
        <v>75000</v>
      </c>
      <c r="Q104" s="33">
        <f t="shared" si="184"/>
        <v>80000</v>
      </c>
      <c r="R104" s="114">
        <f t="shared" ref="R104" si="185">R534</f>
        <v>85000</v>
      </c>
    </row>
    <row r="105" spans="1:18" x14ac:dyDescent="0.2">
      <c r="A105" s="107">
        <f>ROUND(A535,-3)</f>
        <v>171000</v>
      </c>
      <c r="B105" s="33">
        <f t="shared" si="179"/>
        <v>5800</v>
      </c>
      <c r="C105" s="33">
        <f t="shared" si="179"/>
        <v>2000</v>
      </c>
      <c r="D105" s="33">
        <f>D535</f>
        <v>18700</v>
      </c>
      <c r="E105" s="238"/>
      <c r="F105" s="366" t="s">
        <v>2348</v>
      </c>
      <c r="G105" s="33">
        <f t="shared" ref="G105:O105" si="186">G535</f>
        <v>274100</v>
      </c>
      <c r="H105" s="138"/>
      <c r="I105" s="33">
        <f t="shared" si="186"/>
        <v>0</v>
      </c>
      <c r="J105" s="33">
        <f t="shared" si="186"/>
        <v>0</v>
      </c>
      <c r="K105" s="33">
        <f t="shared" si="186"/>
        <v>0</v>
      </c>
      <c r="L105" s="33">
        <f t="shared" si="186"/>
        <v>260000</v>
      </c>
      <c r="M105" s="33">
        <f t="shared" si="186"/>
        <v>0</v>
      </c>
      <c r="N105" s="33">
        <f t="shared" si="186"/>
        <v>0</v>
      </c>
      <c r="O105" s="33">
        <f t="shared" si="186"/>
        <v>0</v>
      </c>
      <c r="P105" s="33">
        <f t="shared" ref="P105:Q105" si="187">P535</f>
        <v>290000</v>
      </c>
      <c r="Q105" s="33">
        <f t="shared" si="187"/>
        <v>0</v>
      </c>
      <c r="R105" s="114">
        <f t="shared" ref="R105" si="188">R535</f>
        <v>0</v>
      </c>
    </row>
    <row r="106" spans="1:18" x14ac:dyDescent="0.2">
      <c r="A106" s="107">
        <f>ROUND(A536,-3)</f>
        <v>0</v>
      </c>
      <c r="B106" s="33">
        <f t="shared" si="179"/>
        <v>0</v>
      </c>
      <c r="C106" s="33">
        <f t="shared" si="179"/>
        <v>0</v>
      </c>
      <c r="D106" s="33">
        <f>D536</f>
        <v>0</v>
      </c>
      <c r="E106" s="238"/>
      <c r="F106" s="366" t="s">
        <v>5984</v>
      </c>
      <c r="G106" s="33">
        <f t="shared" ref="G106:O106" si="189">G536</f>
        <v>0</v>
      </c>
      <c r="H106" s="138"/>
      <c r="I106" s="33">
        <f t="shared" si="189"/>
        <v>0</v>
      </c>
      <c r="J106" s="33">
        <f t="shared" si="189"/>
        <v>0</v>
      </c>
      <c r="K106" s="33">
        <f t="shared" si="189"/>
        <v>0</v>
      </c>
      <c r="L106" s="33">
        <f t="shared" si="189"/>
        <v>0</v>
      </c>
      <c r="M106" s="33">
        <f t="shared" si="189"/>
        <v>0</v>
      </c>
      <c r="N106" s="33">
        <f t="shared" si="189"/>
        <v>0</v>
      </c>
      <c r="O106" s="33">
        <f t="shared" si="189"/>
        <v>0</v>
      </c>
      <c r="P106" s="33">
        <f t="shared" ref="P106:Q106" si="190">P536</f>
        <v>0</v>
      </c>
      <c r="Q106" s="33">
        <f t="shared" si="190"/>
        <v>0</v>
      </c>
      <c r="R106" s="114">
        <f t="shared" ref="R106" si="191">R536</f>
        <v>0</v>
      </c>
    </row>
    <row r="107" spans="1:18" x14ac:dyDescent="0.2">
      <c r="A107" s="107">
        <f>ROUND(A537,-3)</f>
        <v>0</v>
      </c>
      <c r="B107" s="33">
        <f t="shared" si="179"/>
        <v>0</v>
      </c>
      <c r="C107" s="33">
        <f t="shared" si="179"/>
        <v>0</v>
      </c>
      <c r="D107" s="33">
        <f>D537</f>
        <v>0</v>
      </c>
      <c r="E107" s="238"/>
      <c r="F107" s="366" t="s">
        <v>972</v>
      </c>
      <c r="G107" s="33">
        <f t="shared" ref="G107:O107" si="192">G537</f>
        <v>0</v>
      </c>
      <c r="H107" s="138"/>
      <c r="I107" s="33">
        <f t="shared" si="192"/>
        <v>0</v>
      </c>
      <c r="J107" s="33">
        <f t="shared" si="192"/>
        <v>0</v>
      </c>
      <c r="K107" s="33">
        <f t="shared" si="192"/>
        <v>0</v>
      </c>
      <c r="L107" s="33">
        <f t="shared" si="192"/>
        <v>0</v>
      </c>
      <c r="M107" s="33">
        <f t="shared" si="192"/>
        <v>0</v>
      </c>
      <c r="N107" s="33">
        <f t="shared" si="192"/>
        <v>0</v>
      </c>
      <c r="O107" s="33">
        <f t="shared" si="192"/>
        <v>0</v>
      </c>
      <c r="P107" s="33">
        <f t="shared" ref="P107:Q107" si="193">P537</f>
        <v>0</v>
      </c>
      <c r="Q107" s="33">
        <f t="shared" si="193"/>
        <v>0</v>
      </c>
      <c r="R107" s="114">
        <f t="shared" ref="R107" si="194">R537</f>
        <v>0</v>
      </c>
    </row>
    <row r="108" spans="1:18" x14ac:dyDescent="0.2">
      <c r="A108" s="107"/>
      <c r="B108" s="33"/>
      <c r="C108" s="33"/>
      <c r="D108" s="33"/>
      <c r="E108" s="283"/>
      <c r="F108" s="516"/>
      <c r="G108" s="33"/>
      <c r="H108" s="138"/>
      <c r="I108" s="33"/>
      <c r="J108" s="33"/>
      <c r="K108" s="33"/>
      <c r="L108" s="33"/>
      <c r="M108" s="33"/>
      <c r="N108" s="33"/>
      <c r="O108" s="33"/>
      <c r="P108" s="33"/>
      <c r="Q108" s="33"/>
      <c r="R108" s="114"/>
    </row>
    <row r="109" spans="1:18" s="92" customFormat="1" x14ac:dyDescent="0.2">
      <c r="A109" s="181">
        <f>A98-A103-A104+A105++A106-A107</f>
        <v>-1102000</v>
      </c>
      <c r="B109" s="397">
        <f>B98-B103-B104+B105++B106-B107</f>
        <v>-1179600</v>
      </c>
      <c r="C109" s="397">
        <f>C98-C103-C104+C105++C106-C107</f>
        <v>-1281500</v>
      </c>
      <c r="D109" s="397">
        <f>D98-D103-D104+D105++D106-D107</f>
        <v>-1231800</v>
      </c>
      <c r="E109" s="517"/>
      <c r="F109" s="518" t="s">
        <v>2490</v>
      </c>
      <c r="G109" s="397">
        <f t="shared" ref="G109:O109" si="195">G98-G103-G104+G105++G106-G107</f>
        <v>-1469200</v>
      </c>
      <c r="H109" s="395">
        <f>IF(D109=G109,0,IF(D109=0,100,(G109-D109)/D109*100))</f>
        <v>19.272609189803539</v>
      </c>
      <c r="I109" s="397">
        <f t="shared" si="195"/>
        <v>-1439400</v>
      </c>
      <c r="J109" s="397">
        <f t="shared" si="195"/>
        <v>-1490600</v>
      </c>
      <c r="K109" s="397">
        <f t="shared" si="195"/>
        <v>-1542500</v>
      </c>
      <c r="L109" s="397">
        <f t="shared" si="195"/>
        <v>-1605500</v>
      </c>
      <c r="M109" s="397">
        <f t="shared" si="195"/>
        <v>-1656700</v>
      </c>
      <c r="N109" s="397">
        <f t="shared" si="195"/>
        <v>-1693600</v>
      </c>
      <c r="O109" s="397">
        <f t="shared" si="195"/>
        <v>-1736600</v>
      </c>
      <c r="P109" s="397">
        <f t="shared" ref="P109:Q109" si="196">P98-P103-P104+P105++P106-P107</f>
        <v>-1775400</v>
      </c>
      <c r="Q109" s="397">
        <f t="shared" si="196"/>
        <v>-1798600</v>
      </c>
      <c r="R109" s="399">
        <f t="shared" ref="R109" si="197">R98-R103-R104+R105++R106-R107</f>
        <v>-1822200</v>
      </c>
    </row>
    <row r="110" spans="1:18" ht="13.5" thickBot="1" x14ac:dyDescent="0.25">
      <c r="A110" s="73"/>
      <c r="B110" s="90"/>
      <c r="C110" s="90"/>
      <c r="D110" s="90"/>
      <c r="E110" s="284"/>
      <c r="F110" s="368"/>
      <c r="G110" s="66"/>
      <c r="H110" s="392"/>
      <c r="I110" s="66"/>
      <c r="J110" s="66"/>
      <c r="K110" s="66"/>
      <c r="L110" s="66"/>
      <c r="M110" s="66"/>
      <c r="N110" s="66"/>
      <c r="O110" s="66"/>
      <c r="P110" s="66"/>
      <c r="Q110" s="66"/>
      <c r="R110" s="165"/>
    </row>
    <row r="111" spans="1:18" ht="13.5" thickTop="1" x14ac:dyDescent="0.2">
      <c r="A111" s="99"/>
      <c r="B111" s="99"/>
      <c r="E111" s="283"/>
      <c r="F111" s="108"/>
      <c r="H111" s="123"/>
    </row>
    <row r="112" spans="1:18" ht="13.5" thickBot="1" x14ac:dyDescent="0.25">
      <c r="A112" s="74"/>
      <c r="B112" s="74"/>
      <c r="C112" s="74"/>
      <c r="D112" s="74"/>
      <c r="E112" s="279"/>
      <c r="F112" s="74"/>
      <c r="G112" s="74"/>
      <c r="H112" s="2484"/>
      <c r="I112" s="74"/>
      <c r="J112" s="99"/>
      <c r="K112" s="99"/>
      <c r="L112" s="99"/>
      <c r="M112" s="99"/>
      <c r="N112" s="99"/>
      <c r="O112" s="99"/>
      <c r="P112" s="99"/>
      <c r="Q112" s="99"/>
      <c r="R112" s="99"/>
    </row>
    <row r="113" spans="1:18" s="91" customFormat="1" ht="18.75" customHeight="1" thickTop="1" thickBot="1" x14ac:dyDescent="0.3">
      <c r="A113" s="2862" t="s">
        <v>2791</v>
      </c>
      <c r="B113" s="2863"/>
      <c r="C113" s="2863"/>
      <c r="D113" s="2863"/>
      <c r="E113" s="2863"/>
      <c r="F113" s="2863"/>
      <c r="G113" s="2863"/>
      <c r="H113" s="2863"/>
      <c r="I113" s="2863"/>
      <c r="J113" s="2863"/>
      <c r="K113" s="2863"/>
      <c r="L113" s="2863"/>
      <c r="M113" s="2863"/>
      <c r="N113" s="2863"/>
      <c r="O113" s="2863"/>
      <c r="P113" s="2863"/>
      <c r="Q113" s="2863"/>
      <c r="R113" s="2864"/>
    </row>
    <row r="114" spans="1:18" s="44" customFormat="1" x14ac:dyDescent="0.2">
      <c r="A114" s="2888" t="s">
        <v>1856</v>
      </c>
      <c r="B114" s="2889"/>
      <c r="C114" s="2889"/>
      <c r="D114" s="2890"/>
      <c r="E114" s="513" t="s">
        <v>2663</v>
      </c>
      <c r="F114" s="2649" t="s">
        <v>2251</v>
      </c>
      <c r="G114" s="2885" t="s">
        <v>2253</v>
      </c>
      <c r="H114" s="2886"/>
      <c r="I114" s="2886"/>
      <c r="J114" s="2886"/>
      <c r="K114" s="2886"/>
      <c r="L114" s="2886"/>
      <c r="M114" s="2886"/>
      <c r="N114" s="2886"/>
      <c r="O114" s="2886"/>
      <c r="P114" s="2886"/>
      <c r="Q114" s="2886"/>
      <c r="R114" s="2887"/>
    </row>
    <row r="115" spans="1:18" s="23" customFormat="1" ht="13.5" thickBot="1" x14ac:dyDescent="0.25">
      <c r="A115" s="208" t="str">
        <f>A3</f>
        <v>2012/13</v>
      </c>
      <c r="B115" s="75" t="str">
        <f>B3</f>
        <v>2013/14</v>
      </c>
      <c r="C115" s="218" t="str">
        <f>C3</f>
        <v>2014/15</v>
      </c>
      <c r="D115" s="93" t="str">
        <f>D3</f>
        <v>2015/16</v>
      </c>
      <c r="E115" s="370" t="s">
        <v>2664</v>
      </c>
      <c r="F115" s="42"/>
      <c r="G115" s="93" t="str">
        <f>G3</f>
        <v>2016/17</v>
      </c>
      <c r="H115" s="2492" t="s">
        <v>501</v>
      </c>
      <c r="I115" s="370" t="str">
        <f t="shared" ref="I115:Q115" si="198">I3</f>
        <v>2017/18</v>
      </c>
      <c r="J115" s="370" t="str">
        <f t="shared" si="198"/>
        <v>2018/19</v>
      </c>
      <c r="K115" s="370" t="str">
        <f t="shared" si="198"/>
        <v>2019/20</v>
      </c>
      <c r="L115" s="370" t="str">
        <f t="shared" si="198"/>
        <v>2020/21</v>
      </c>
      <c r="M115" s="370" t="str">
        <f t="shared" si="198"/>
        <v>2021/22</v>
      </c>
      <c r="N115" s="370" t="str">
        <f t="shared" si="198"/>
        <v>2022/23</v>
      </c>
      <c r="O115" s="370" t="str">
        <f t="shared" si="198"/>
        <v>2023/24</v>
      </c>
      <c r="P115" s="370" t="str">
        <f t="shared" si="198"/>
        <v>2024/25</v>
      </c>
      <c r="Q115" s="218" t="str">
        <f t="shared" si="198"/>
        <v>2025/26</v>
      </c>
      <c r="R115" s="549" t="str">
        <f t="shared" ref="R115" si="199">R3</f>
        <v>2026/27</v>
      </c>
    </row>
    <row r="116" spans="1:18" x14ac:dyDescent="0.2">
      <c r="A116" s="98"/>
      <c r="B116" s="33"/>
      <c r="C116" s="33"/>
      <c r="D116" s="33"/>
      <c r="E116" s="252"/>
      <c r="F116" s="74"/>
      <c r="G116" s="33"/>
      <c r="H116" s="138"/>
      <c r="I116" s="33"/>
      <c r="J116" s="33"/>
      <c r="K116" s="33"/>
      <c r="L116" s="33"/>
      <c r="M116" s="33"/>
      <c r="N116" s="33"/>
      <c r="O116" s="33"/>
      <c r="P116" s="33"/>
      <c r="Q116" s="33"/>
      <c r="R116" s="114"/>
    </row>
    <row r="117" spans="1:18" x14ac:dyDescent="0.2">
      <c r="A117" s="107"/>
      <c r="B117" s="33"/>
      <c r="C117" s="33"/>
      <c r="D117" s="33"/>
      <c r="E117" s="255"/>
      <c r="F117" s="365" t="s">
        <v>1073</v>
      </c>
      <c r="G117" s="33"/>
      <c r="H117" s="138"/>
      <c r="I117" s="33"/>
      <c r="J117" s="33"/>
      <c r="K117" s="33"/>
      <c r="L117" s="33"/>
      <c r="M117" s="33"/>
      <c r="N117" s="33"/>
      <c r="O117" s="33"/>
      <c r="P117" s="33"/>
      <c r="Q117" s="33"/>
      <c r="R117" s="114"/>
    </row>
    <row r="118" spans="1:18" x14ac:dyDescent="0.2">
      <c r="A118" s="98"/>
      <c r="B118" s="33"/>
      <c r="C118" s="33"/>
      <c r="D118" s="33"/>
      <c r="E118" s="252"/>
      <c r="F118" s="144"/>
      <c r="G118" s="33"/>
      <c r="H118" s="138"/>
      <c r="I118" s="33"/>
      <c r="J118" s="33"/>
      <c r="K118" s="33"/>
      <c r="L118" s="33"/>
      <c r="M118" s="33"/>
      <c r="N118" s="33"/>
      <c r="O118" s="33"/>
      <c r="P118" s="33"/>
      <c r="Q118" s="33"/>
      <c r="R118" s="114"/>
    </row>
    <row r="119" spans="1:18" x14ac:dyDescent="0.2">
      <c r="A119" s="107"/>
      <c r="B119" s="33"/>
      <c r="C119" s="33"/>
      <c r="D119" s="33"/>
      <c r="E119" s="255"/>
      <c r="F119" s="74" t="s">
        <v>2881</v>
      </c>
      <c r="G119" s="33"/>
      <c r="H119" s="138"/>
      <c r="I119" s="33"/>
      <c r="J119" s="33"/>
      <c r="K119" s="33"/>
      <c r="L119" s="33"/>
      <c r="M119" s="33"/>
      <c r="N119" s="33"/>
      <c r="O119" s="33"/>
      <c r="P119" s="33"/>
      <c r="Q119" s="33"/>
      <c r="R119" s="114"/>
    </row>
    <row r="120" spans="1:18" x14ac:dyDescent="0.2">
      <c r="A120" s="107">
        <f>ROUND(SUM(A547:A555),-3)</f>
        <v>18000</v>
      </c>
      <c r="B120" s="33">
        <f>SUM(B547:B555)</f>
        <v>19100</v>
      </c>
      <c r="C120" s="33">
        <f>SUM(C547:C555)</f>
        <v>26000</v>
      </c>
      <c r="D120" s="33">
        <f>SUM(D547:D555)</f>
        <v>42500</v>
      </c>
      <c r="E120" s="255">
        <v>26005</v>
      </c>
      <c r="F120" s="99" t="s">
        <v>2859</v>
      </c>
      <c r="G120" s="33">
        <f>SUM(G547:G555)</f>
        <v>29500</v>
      </c>
      <c r="H120" s="138">
        <f>IF(D120=G120,0,IF(D120=0,100,(G120-D120)/D120*100))</f>
        <v>-30.588235294117649</v>
      </c>
      <c r="I120" s="33">
        <f t="shared" ref="I120:Q120" si="200">SUM(I547:I555)</f>
        <v>30300</v>
      </c>
      <c r="J120" s="33">
        <f t="shared" si="200"/>
        <v>31400</v>
      </c>
      <c r="K120" s="33">
        <f t="shared" si="200"/>
        <v>32500</v>
      </c>
      <c r="L120" s="33">
        <f t="shared" si="200"/>
        <v>33600</v>
      </c>
      <c r="M120" s="33">
        <f t="shared" si="200"/>
        <v>34500</v>
      </c>
      <c r="N120" s="33">
        <f t="shared" si="200"/>
        <v>35400</v>
      </c>
      <c r="O120" s="33">
        <f t="shared" si="200"/>
        <v>36300</v>
      </c>
      <c r="P120" s="33">
        <f t="shared" si="200"/>
        <v>37200</v>
      </c>
      <c r="Q120" s="33">
        <f t="shared" si="200"/>
        <v>38200</v>
      </c>
      <c r="R120" s="114">
        <f t="shared" ref="R120" si="201">SUM(R547:R555)</f>
        <v>39300</v>
      </c>
    </row>
    <row r="121" spans="1:18" ht="13.5" thickBot="1" x14ac:dyDescent="0.25">
      <c r="A121" s="107"/>
      <c r="B121" s="33"/>
      <c r="C121" s="33"/>
      <c r="D121" s="33"/>
      <c r="E121" s="344"/>
      <c r="F121" s="99"/>
      <c r="G121" s="33"/>
      <c r="H121" s="138"/>
      <c r="I121" s="33"/>
      <c r="J121" s="33"/>
      <c r="K121" s="33"/>
      <c r="L121" s="33"/>
      <c r="M121" s="33"/>
      <c r="N121" s="33"/>
      <c r="O121" s="33"/>
      <c r="P121" s="33"/>
      <c r="Q121" s="33"/>
      <c r="R121" s="114"/>
    </row>
    <row r="122" spans="1:18" s="92" customFormat="1" x14ac:dyDescent="0.2">
      <c r="A122" s="105">
        <f>SUM(A120:A121)</f>
        <v>18000</v>
      </c>
      <c r="B122" s="53">
        <f>SUM(B120:B121)</f>
        <v>19100</v>
      </c>
      <c r="C122" s="53">
        <f>SUM(C120:C121)</f>
        <v>26000</v>
      </c>
      <c r="D122" s="53">
        <f>SUM(D120:D121)</f>
        <v>42500</v>
      </c>
      <c r="E122" s="345"/>
      <c r="F122" s="112" t="s">
        <v>2605</v>
      </c>
      <c r="G122" s="53">
        <f t="shared" ref="G122:O122" si="202">SUM(G120:G121)</f>
        <v>29500</v>
      </c>
      <c r="H122" s="180">
        <f>IF(D122=G122,0,IF(D122=0,100,(G122-D122)/D122*100))</f>
        <v>-30.588235294117649</v>
      </c>
      <c r="I122" s="53">
        <f t="shared" si="202"/>
        <v>30300</v>
      </c>
      <c r="J122" s="53">
        <f t="shared" si="202"/>
        <v>31400</v>
      </c>
      <c r="K122" s="53">
        <f t="shared" si="202"/>
        <v>32500</v>
      </c>
      <c r="L122" s="53">
        <f t="shared" si="202"/>
        <v>33600</v>
      </c>
      <c r="M122" s="53">
        <f t="shared" si="202"/>
        <v>34500</v>
      </c>
      <c r="N122" s="53">
        <f t="shared" si="202"/>
        <v>35400</v>
      </c>
      <c r="O122" s="53">
        <f t="shared" si="202"/>
        <v>36300</v>
      </c>
      <c r="P122" s="53">
        <f t="shared" ref="P122:Q122" si="203">SUM(P120:P121)</f>
        <v>37200</v>
      </c>
      <c r="Q122" s="53">
        <f t="shared" si="203"/>
        <v>38200</v>
      </c>
      <c r="R122" s="113">
        <f t="shared" ref="R122" si="204">SUM(R120:R121)</f>
        <v>39300</v>
      </c>
    </row>
    <row r="123" spans="1:18" x14ac:dyDescent="0.2">
      <c r="A123" s="107"/>
      <c r="B123" s="33"/>
      <c r="C123" s="33"/>
      <c r="D123" s="33"/>
      <c r="E123" s="344"/>
      <c r="F123" s="99"/>
      <c r="G123" s="33"/>
      <c r="H123" s="138"/>
      <c r="I123" s="33"/>
      <c r="J123" s="33"/>
      <c r="K123" s="33"/>
      <c r="L123" s="33"/>
      <c r="M123" s="33"/>
      <c r="N123" s="33"/>
      <c r="O123" s="33"/>
      <c r="P123" s="33"/>
      <c r="Q123" s="33"/>
      <c r="R123" s="114"/>
    </row>
    <row r="124" spans="1:18" x14ac:dyDescent="0.2">
      <c r="A124" s="107"/>
      <c r="B124" s="33"/>
      <c r="C124" s="33"/>
      <c r="D124" s="33"/>
      <c r="E124" s="344"/>
      <c r="F124" s="144" t="s">
        <v>2205</v>
      </c>
      <c r="G124" s="33"/>
      <c r="H124" s="138"/>
      <c r="I124" s="33"/>
      <c r="J124" s="33"/>
      <c r="K124" s="33"/>
      <c r="L124" s="33"/>
      <c r="M124" s="33"/>
      <c r="N124" s="33"/>
      <c r="O124" s="33"/>
      <c r="P124" s="33"/>
      <c r="Q124" s="33"/>
      <c r="R124" s="114"/>
    </row>
    <row r="125" spans="1:18" x14ac:dyDescent="0.2">
      <c r="A125" s="107"/>
      <c r="B125" s="33"/>
      <c r="C125" s="33"/>
      <c r="D125" s="33"/>
      <c r="E125" s="344"/>
      <c r="F125" s="144"/>
      <c r="G125" s="33"/>
      <c r="H125" s="138"/>
      <c r="I125" s="33"/>
      <c r="J125" s="33"/>
      <c r="K125" s="33"/>
      <c r="L125" s="33"/>
      <c r="M125" s="33"/>
      <c r="N125" s="33"/>
      <c r="O125" s="33"/>
      <c r="P125" s="33"/>
      <c r="Q125" s="33"/>
      <c r="R125" s="114"/>
    </row>
    <row r="126" spans="1:18" x14ac:dyDescent="0.2">
      <c r="A126" s="107"/>
      <c r="B126" s="33"/>
      <c r="C126" s="33"/>
      <c r="D126" s="33"/>
      <c r="E126" s="344"/>
      <c r="F126" s="137" t="s">
        <v>1343</v>
      </c>
      <c r="G126" s="33"/>
      <c r="H126" s="138"/>
      <c r="I126" s="33"/>
      <c r="J126" s="33"/>
      <c r="K126" s="33"/>
      <c r="L126" s="33"/>
      <c r="M126" s="33"/>
      <c r="N126" s="33"/>
      <c r="O126" s="33"/>
      <c r="P126" s="33"/>
      <c r="Q126" s="33"/>
      <c r="R126" s="114"/>
    </row>
    <row r="127" spans="1:18" x14ac:dyDescent="0.2">
      <c r="A127" s="107">
        <f>SUM(A563:A564)</f>
        <v>83300</v>
      </c>
      <c r="B127" s="33">
        <f>SUM(B563:B564)</f>
        <v>91800</v>
      </c>
      <c r="C127" s="33">
        <f>SUM(C563:C564)</f>
        <v>102900</v>
      </c>
      <c r="D127" s="33">
        <f>SUM(D563:D564)</f>
        <v>119000</v>
      </c>
      <c r="E127" s="344" t="s">
        <v>1650</v>
      </c>
      <c r="F127" s="108" t="s">
        <v>514</v>
      </c>
      <c r="G127" s="33">
        <f>SUM(G563:G564)</f>
        <v>108300</v>
      </c>
      <c r="H127" s="138">
        <f t="shared" ref="H127:H132" si="205">IF(D127=G127,0,IF(D127=0,100,(G127-D127)/D127*100))</f>
        <v>-8.9915966386554622</v>
      </c>
      <c r="I127" s="33">
        <f t="shared" ref="I127:Q127" si="206">SUM(I563:I564)</f>
        <v>97500</v>
      </c>
      <c r="J127" s="33">
        <f t="shared" si="206"/>
        <v>100100</v>
      </c>
      <c r="K127" s="33">
        <f t="shared" si="206"/>
        <v>102700</v>
      </c>
      <c r="L127" s="33">
        <f t="shared" si="206"/>
        <v>105400</v>
      </c>
      <c r="M127" s="33">
        <f t="shared" si="206"/>
        <v>107600</v>
      </c>
      <c r="N127" s="33">
        <f t="shared" si="206"/>
        <v>109900</v>
      </c>
      <c r="O127" s="33">
        <f t="shared" si="206"/>
        <v>112200</v>
      </c>
      <c r="P127" s="33">
        <f t="shared" si="206"/>
        <v>114500</v>
      </c>
      <c r="Q127" s="33">
        <f t="shared" si="206"/>
        <v>116900</v>
      </c>
      <c r="R127" s="114">
        <f t="shared" ref="R127" si="207">SUM(R563:R564)</f>
        <v>119300</v>
      </c>
    </row>
    <row r="128" spans="1:18" x14ac:dyDescent="0.2">
      <c r="A128" s="107">
        <f t="shared" ref="A128:D129" si="208">SUM(A565)</f>
        <v>17500</v>
      </c>
      <c r="B128" s="33">
        <f t="shared" si="208"/>
        <v>16700</v>
      </c>
      <c r="C128" s="33">
        <f t="shared" si="208"/>
        <v>13000</v>
      </c>
      <c r="D128" s="33">
        <f t="shared" si="208"/>
        <v>9800</v>
      </c>
      <c r="E128" s="344" t="s">
        <v>1650</v>
      </c>
      <c r="F128" s="108" t="s">
        <v>535</v>
      </c>
      <c r="G128" s="33">
        <f>SUM(G565)</f>
        <v>10000</v>
      </c>
      <c r="H128" s="138">
        <f t="shared" si="205"/>
        <v>2.0408163265306123</v>
      </c>
      <c r="I128" s="33">
        <f t="shared" ref="I128:Q128" si="209">SUM(I565)</f>
        <v>10200</v>
      </c>
      <c r="J128" s="33">
        <f t="shared" si="209"/>
        <v>10500</v>
      </c>
      <c r="K128" s="33">
        <f t="shared" si="209"/>
        <v>10800</v>
      </c>
      <c r="L128" s="33">
        <f t="shared" si="209"/>
        <v>11100</v>
      </c>
      <c r="M128" s="33">
        <f t="shared" si="209"/>
        <v>11400</v>
      </c>
      <c r="N128" s="33">
        <f t="shared" si="209"/>
        <v>11700</v>
      </c>
      <c r="O128" s="33">
        <f t="shared" si="209"/>
        <v>12000</v>
      </c>
      <c r="P128" s="33">
        <f t="shared" si="209"/>
        <v>12300</v>
      </c>
      <c r="Q128" s="33">
        <f t="shared" si="209"/>
        <v>12600</v>
      </c>
      <c r="R128" s="114">
        <f t="shared" ref="R128" si="210">SUM(R565)</f>
        <v>12900</v>
      </c>
    </row>
    <row r="129" spans="1:18" x14ac:dyDescent="0.2">
      <c r="A129" s="107">
        <f t="shared" si="208"/>
        <v>2600</v>
      </c>
      <c r="B129" s="33">
        <f t="shared" si="208"/>
        <v>1700</v>
      </c>
      <c r="C129" s="33">
        <f t="shared" si="208"/>
        <v>100</v>
      </c>
      <c r="D129" s="33">
        <f t="shared" si="208"/>
        <v>6900</v>
      </c>
      <c r="E129" s="344" t="s">
        <v>1650</v>
      </c>
      <c r="F129" s="108" t="s">
        <v>1795</v>
      </c>
      <c r="G129" s="33">
        <f t="shared" ref="G129:O129" si="211">SUM(G566)</f>
        <v>6200</v>
      </c>
      <c r="H129" s="138">
        <f t="shared" si="205"/>
        <v>-10.144927536231885</v>
      </c>
      <c r="I129" s="33">
        <f t="shared" si="211"/>
        <v>6300</v>
      </c>
      <c r="J129" s="33">
        <f t="shared" si="211"/>
        <v>6500</v>
      </c>
      <c r="K129" s="33">
        <f t="shared" si="211"/>
        <v>6700</v>
      </c>
      <c r="L129" s="33">
        <f t="shared" si="211"/>
        <v>6900</v>
      </c>
      <c r="M129" s="33">
        <f t="shared" si="211"/>
        <v>7100</v>
      </c>
      <c r="N129" s="33">
        <f t="shared" si="211"/>
        <v>7300</v>
      </c>
      <c r="O129" s="33">
        <f t="shared" si="211"/>
        <v>7500</v>
      </c>
      <c r="P129" s="33">
        <f t="shared" ref="P129:Q129" si="212">SUM(P566)</f>
        <v>7700</v>
      </c>
      <c r="Q129" s="33">
        <f t="shared" si="212"/>
        <v>7900</v>
      </c>
      <c r="R129" s="114">
        <f t="shared" ref="R129" si="213">SUM(R566)</f>
        <v>8100</v>
      </c>
    </row>
    <row r="130" spans="1:18" x14ac:dyDescent="0.2">
      <c r="A130" s="107">
        <f>SUM(A568:A570)</f>
        <v>125000</v>
      </c>
      <c r="B130" s="33">
        <f>SUM(B568:B570)</f>
        <v>133300</v>
      </c>
      <c r="C130" s="33">
        <f>SUM(C568:C570)</f>
        <v>84000</v>
      </c>
      <c r="D130" s="33">
        <f>SUM(D568:D570)</f>
        <v>115400</v>
      </c>
      <c r="E130" s="344" t="s">
        <v>1650</v>
      </c>
      <c r="F130" s="108" t="s">
        <v>719</v>
      </c>
      <c r="G130" s="33">
        <f>SUM(G568:G570)</f>
        <v>111000</v>
      </c>
      <c r="H130" s="138">
        <f t="shared" si="205"/>
        <v>-3.8128249566724435</v>
      </c>
      <c r="I130" s="33">
        <f t="shared" ref="I130:R130" si="214">SUM(I568:I570)</f>
        <v>93600</v>
      </c>
      <c r="J130" s="33">
        <f t="shared" si="214"/>
        <v>96100</v>
      </c>
      <c r="K130" s="33">
        <f t="shared" si="214"/>
        <v>98600</v>
      </c>
      <c r="L130" s="33">
        <f t="shared" si="214"/>
        <v>101200</v>
      </c>
      <c r="M130" s="33">
        <f t="shared" si="214"/>
        <v>103400</v>
      </c>
      <c r="N130" s="33">
        <f t="shared" si="214"/>
        <v>105600</v>
      </c>
      <c r="O130" s="33">
        <f t="shared" si="214"/>
        <v>107800</v>
      </c>
      <c r="P130" s="33">
        <f t="shared" si="214"/>
        <v>110100</v>
      </c>
      <c r="Q130" s="33">
        <f t="shared" si="214"/>
        <v>112500</v>
      </c>
      <c r="R130" s="114">
        <f t="shared" si="214"/>
        <v>114900</v>
      </c>
    </row>
    <row r="131" spans="1:18" x14ac:dyDescent="0.2">
      <c r="A131" s="107">
        <f>SUM(A571:A571)+A567+A561+A562</f>
        <v>21700</v>
      </c>
      <c r="B131" s="33">
        <f>SUM(B571:B571)+B567+B561+B562</f>
        <v>21700</v>
      </c>
      <c r="C131" s="33">
        <f>SUM(C571:C571)+C567+C561+C562</f>
        <v>20800</v>
      </c>
      <c r="D131" s="33">
        <f>SUM(D571:D571)+D567+D561+D562</f>
        <v>26600</v>
      </c>
      <c r="E131" s="344" t="s">
        <v>1650</v>
      </c>
      <c r="F131" s="108" t="s">
        <v>1796</v>
      </c>
      <c r="G131" s="33">
        <f>SUM(G571:G571)+G567+G561+G562</f>
        <v>26000</v>
      </c>
      <c r="H131" s="138">
        <f t="shared" si="205"/>
        <v>-2.2556390977443606</v>
      </c>
      <c r="I131" s="33">
        <f t="shared" ref="I131:R131" si="215">SUM(I571:I571)+I567+I561+I562</f>
        <v>26100</v>
      </c>
      <c r="J131" s="33">
        <f t="shared" si="215"/>
        <v>27000</v>
      </c>
      <c r="K131" s="33">
        <f t="shared" si="215"/>
        <v>27900</v>
      </c>
      <c r="L131" s="33">
        <f t="shared" si="215"/>
        <v>28800</v>
      </c>
      <c r="M131" s="33">
        <f t="shared" si="215"/>
        <v>29700</v>
      </c>
      <c r="N131" s="33">
        <f t="shared" si="215"/>
        <v>30600</v>
      </c>
      <c r="O131" s="33">
        <f t="shared" si="215"/>
        <v>31500</v>
      </c>
      <c r="P131" s="33">
        <f t="shared" si="215"/>
        <v>32400</v>
      </c>
      <c r="Q131" s="33">
        <f t="shared" si="215"/>
        <v>33300</v>
      </c>
      <c r="R131" s="114">
        <f t="shared" si="215"/>
        <v>34200</v>
      </c>
    </row>
    <row r="132" spans="1:18" x14ac:dyDescent="0.2">
      <c r="A132" s="107">
        <f>SUM(A572:A573)</f>
        <v>34800</v>
      </c>
      <c r="B132" s="33">
        <f>SUM(B572:B573)</f>
        <v>36600</v>
      </c>
      <c r="C132" s="33">
        <f>SUM(C572:C573)</f>
        <v>34400</v>
      </c>
      <c r="D132" s="33">
        <f>SUM(D572:D573)</f>
        <v>33200</v>
      </c>
      <c r="E132" s="344" t="s">
        <v>1650</v>
      </c>
      <c r="F132" s="111" t="s">
        <v>2667</v>
      </c>
      <c r="G132" s="33">
        <f t="shared" ref="G132:O132" si="216">SUM(G572:G573)</f>
        <v>35000</v>
      </c>
      <c r="H132" s="138">
        <f t="shared" si="205"/>
        <v>5.4216867469879517</v>
      </c>
      <c r="I132" s="33">
        <f t="shared" si="216"/>
        <v>35600</v>
      </c>
      <c r="J132" s="33">
        <f t="shared" si="216"/>
        <v>36600</v>
      </c>
      <c r="K132" s="33">
        <f t="shared" si="216"/>
        <v>37600</v>
      </c>
      <c r="L132" s="33">
        <f t="shared" si="216"/>
        <v>38600</v>
      </c>
      <c r="M132" s="33">
        <f t="shared" si="216"/>
        <v>39400</v>
      </c>
      <c r="N132" s="33">
        <f t="shared" si="216"/>
        <v>40200</v>
      </c>
      <c r="O132" s="33">
        <f t="shared" si="216"/>
        <v>41100</v>
      </c>
      <c r="P132" s="33">
        <f t="shared" ref="P132:Q132" si="217">SUM(P572:P573)</f>
        <v>42100</v>
      </c>
      <c r="Q132" s="33">
        <f t="shared" si="217"/>
        <v>43100</v>
      </c>
      <c r="R132" s="114">
        <f t="shared" ref="R132" si="218">SUM(R572:R573)</f>
        <v>44100</v>
      </c>
    </row>
    <row r="133" spans="1:18" ht="13.5" thickBot="1" x14ac:dyDescent="0.25">
      <c r="A133" s="107"/>
      <c r="B133" s="33"/>
      <c r="C133" s="33"/>
      <c r="D133" s="33"/>
      <c r="E133" s="344"/>
      <c r="F133" s="111"/>
      <c r="G133" s="33"/>
      <c r="H133" s="138"/>
      <c r="I133" s="33"/>
      <c r="J133" s="33"/>
      <c r="K133" s="33"/>
      <c r="L133" s="33"/>
      <c r="M133" s="33"/>
      <c r="N133" s="33"/>
      <c r="O133" s="33"/>
      <c r="P133" s="33"/>
      <c r="Q133" s="33"/>
      <c r="R133" s="114"/>
    </row>
    <row r="134" spans="1:18" s="92" customFormat="1" x14ac:dyDescent="0.2">
      <c r="A134" s="105">
        <f>SUBTOTAL(9,A124:A132)</f>
        <v>284900</v>
      </c>
      <c r="B134" s="53">
        <f>SUBTOTAL(9,B124:B132)</f>
        <v>301800</v>
      </c>
      <c r="C134" s="53">
        <f>SUBTOTAL(9,C124:C132)</f>
        <v>255200</v>
      </c>
      <c r="D134" s="53">
        <f>SUBTOTAL(9,D124:D132)</f>
        <v>310900</v>
      </c>
      <c r="E134" s="282"/>
      <c r="F134" s="112" t="s">
        <v>565</v>
      </c>
      <c r="G134" s="53">
        <f>SUBTOTAL(9,G124:G132)</f>
        <v>296500</v>
      </c>
      <c r="H134" s="180">
        <f>IF(D134=G134,0,IF(D134=0,100,(G134-D134)/D134*100))</f>
        <v>-4.6317143776133811</v>
      </c>
      <c r="I134" s="53">
        <f t="shared" ref="I134:Q134" si="219">SUBTOTAL(9,I124:I132)</f>
        <v>269300</v>
      </c>
      <c r="J134" s="53">
        <f t="shared" si="219"/>
        <v>276800</v>
      </c>
      <c r="K134" s="53">
        <f t="shared" si="219"/>
        <v>284300</v>
      </c>
      <c r="L134" s="53">
        <f t="shared" si="219"/>
        <v>292000</v>
      </c>
      <c r="M134" s="53">
        <f t="shared" si="219"/>
        <v>298600</v>
      </c>
      <c r="N134" s="53">
        <f t="shared" si="219"/>
        <v>305300</v>
      </c>
      <c r="O134" s="53">
        <f t="shared" si="219"/>
        <v>312100</v>
      </c>
      <c r="P134" s="53">
        <f t="shared" si="219"/>
        <v>319100</v>
      </c>
      <c r="Q134" s="53">
        <f t="shared" si="219"/>
        <v>326300</v>
      </c>
      <c r="R134" s="113">
        <f t="shared" ref="R134" si="220">SUBTOTAL(9,R124:R132)</f>
        <v>333500</v>
      </c>
    </row>
    <row r="135" spans="1:18" x14ac:dyDescent="0.2">
      <c r="A135" s="107"/>
      <c r="B135" s="33"/>
      <c r="C135" s="33"/>
      <c r="D135" s="33"/>
      <c r="E135" s="255"/>
      <c r="F135" s="108"/>
      <c r="G135" s="33"/>
      <c r="H135" s="138"/>
      <c r="I135" s="33"/>
      <c r="J135" s="33"/>
      <c r="K135" s="33"/>
      <c r="L135" s="33"/>
      <c r="M135" s="33"/>
      <c r="N135" s="33"/>
      <c r="O135" s="33"/>
      <c r="P135" s="33"/>
      <c r="Q135" s="33"/>
      <c r="R135" s="114"/>
    </row>
    <row r="136" spans="1:18" s="92" customFormat="1" x14ac:dyDescent="0.2">
      <c r="A136" s="70">
        <f>A122-A134</f>
        <v>-266900</v>
      </c>
      <c r="B136" s="64">
        <f>B122-B134</f>
        <v>-282700</v>
      </c>
      <c r="C136" s="64">
        <f>C122-C134</f>
        <v>-229200</v>
      </c>
      <c r="D136" s="64">
        <f>D122-D134</f>
        <v>-268400</v>
      </c>
      <c r="E136" s="282"/>
      <c r="F136" s="1963" t="s">
        <v>1019</v>
      </c>
      <c r="G136" s="64">
        <f>G122-G134</f>
        <v>-267000</v>
      </c>
      <c r="H136" s="179">
        <f>IF(D136=G136,0,IF(D136=0,100,(G136-D136)/D136*100))</f>
        <v>-0.52160953800298071</v>
      </c>
      <c r="I136" s="64">
        <f t="shared" ref="I136:Q136" si="221">I122-I134</f>
        <v>-239000</v>
      </c>
      <c r="J136" s="64">
        <f t="shared" si="221"/>
        <v>-245400</v>
      </c>
      <c r="K136" s="64">
        <f t="shared" si="221"/>
        <v>-251800</v>
      </c>
      <c r="L136" s="64">
        <f t="shared" si="221"/>
        <v>-258400</v>
      </c>
      <c r="M136" s="64">
        <f t="shared" si="221"/>
        <v>-264100</v>
      </c>
      <c r="N136" s="64">
        <f t="shared" si="221"/>
        <v>-269900</v>
      </c>
      <c r="O136" s="64">
        <f t="shared" si="221"/>
        <v>-275800</v>
      </c>
      <c r="P136" s="64">
        <f t="shared" si="221"/>
        <v>-281900</v>
      </c>
      <c r="Q136" s="64">
        <f t="shared" si="221"/>
        <v>-288100</v>
      </c>
      <c r="R136" s="115">
        <f t="shared" ref="R136" si="222">R122-R134</f>
        <v>-294200</v>
      </c>
    </row>
    <row r="137" spans="1:18" x14ac:dyDescent="0.2">
      <c r="A137" s="107">
        <v>0</v>
      </c>
      <c r="B137" s="33">
        <v>0</v>
      </c>
      <c r="C137" s="33">
        <v>0</v>
      </c>
      <c r="D137" s="33">
        <v>0</v>
      </c>
      <c r="E137" s="255"/>
      <c r="F137" s="320" t="s">
        <v>1976</v>
      </c>
      <c r="G137" s="33">
        <v>0</v>
      </c>
      <c r="H137" s="138">
        <f>IF(D137=G137,0,IF(D137=0,100,(G137-D137)/D137*100))</f>
        <v>0</v>
      </c>
      <c r="I137" s="33">
        <v>0</v>
      </c>
      <c r="J137" s="33">
        <v>0</v>
      </c>
      <c r="K137" s="33">
        <v>0</v>
      </c>
      <c r="L137" s="33">
        <v>0</v>
      </c>
      <c r="M137" s="33">
        <v>0</v>
      </c>
      <c r="N137" s="33">
        <v>0</v>
      </c>
      <c r="O137" s="33">
        <v>0</v>
      </c>
      <c r="P137" s="33">
        <v>0</v>
      </c>
      <c r="Q137" s="33">
        <v>0</v>
      </c>
      <c r="R137" s="114">
        <v>0</v>
      </c>
    </row>
    <row r="138" spans="1:18" s="92" customFormat="1" x14ac:dyDescent="0.2">
      <c r="A138" s="181">
        <f>A136+A137</f>
        <v>-266900</v>
      </c>
      <c r="B138" s="397">
        <f>B136+B137</f>
        <v>-282700</v>
      </c>
      <c r="C138" s="397">
        <f>C136+C137</f>
        <v>-229200</v>
      </c>
      <c r="D138" s="397">
        <f>D136+D137</f>
        <v>-268400</v>
      </c>
      <c r="E138" s="514"/>
      <c r="F138" s="515" t="s">
        <v>1687</v>
      </c>
      <c r="G138" s="397">
        <f t="shared" ref="G138:O138" si="223">G136+G137</f>
        <v>-267000</v>
      </c>
      <c r="H138" s="395">
        <f>IF(D138=G138,0,IF(D138=0,100,(G138-D138)/D138*100))</f>
        <v>-0.52160953800298071</v>
      </c>
      <c r="I138" s="397">
        <f t="shared" si="223"/>
        <v>-239000</v>
      </c>
      <c r="J138" s="397">
        <f t="shared" si="223"/>
        <v>-245400</v>
      </c>
      <c r="K138" s="397">
        <f t="shared" si="223"/>
        <v>-251800</v>
      </c>
      <c r="L138" s="397">
        <f t="shared" si="223"/>
        <v>-258400</v>
      </c>
      <c r="M138" s="397">
        <f t="shared" si="223"/>
        <v>-264100</v>
      </c>
      <c r="N138" s="397">
        <f t="shared" si="223"/>
        <v>-269900</v>
      </c>
      <c r="O138" s="397">
        <f t="shared" si="223"/>
        <v>-275800</v>
      </c>
      <c r="P138" s="397">
        <f t="shared" ref="P138:Q138" si="224">P136+P137</f>
        <v>-281900</v>
      </c>
      <c r="Q138" s="397">
        <f t="shared" si="224"/>
        <v>-288100</v>
      </c>
      <c r="R138" s="399">
        <f t="shared" ref="R138" si="225">R136+R137</f>
        <v>-294200</v>
      </c>
    </row>
    <row r="139" spans="1:18" ht="13.5" thickBot="1" x14ac:dyDescent="0.25">
      <c r="A139" s="171"/>
      <c r="B139" s="66"/>
      <c r="C139" s="66"/>
      <c r="D139" s="66"/>
      <c r="E139" s="558"/>
      <c r="F139" s="173"/>
      <c r="G139" s="66"/>
      <c r="H139" s="140"/>
      <c r="I139" s="121"/>
      <c r="J139" s="121"/>
      <c r="K139" s="121"/>
      <c r="L139" s="121"/>
      <c r="M139" s="121"/>
      <c r="N139" s="121"/>
      <c r="O139" s="121"/>
      <c r="P139" s="121"/>
      <c r="Q139" s="121"/>
      <c r="R139" s="161"/>
    </row>
    <row r="140" spans="1:18" ht="13.5" thickTop="1" x14ac:dyDescent="0.2">
      <c r="A140" s="383"/>
      <c r="B140" s="162"/>
      <c r="C140" s="162"/>
      <c r="D140" s="162"/>
      <c r="E140" s="286"/>
      <c r="F140" s="367"/>
      <c r="G140" s="127"/>
      <c r="H140" s="505"/>
      <c r="I140" s="127"/>
      <c r="J140" s="127"/>
      <c r="K140" s="127"/>
      <c r="L140" s="127"/>
      <c r="M140" s="127"/>
      <c r="N140" s="127"/>
      <c r="O140" s="127"/>
      <c r="P140" s="127"/>
      <c r="Q140" s="127"/>
      <c r="R140" s="163"/>
    </row>
    <row r="141" spans="1:18" x14ac:dyDescent="0.2">
      <c r="A141" s="70"/>
      <c r="B141" s="64"/>
      <c r="C141" s="64"/>
      <c r="D141" s="64"/>
      <c r="E141" s="283"/>
      <c r="F141" s="516" t="s">
        <v>196</v>
      </c>
      <c r="G141" s="33"/>
      <c r="H141" s="179"/>
      <c r="I141" s="33"/>
      <c r="J141" s="33"/>
      <c r="K141" s="33"/>
      <c r="L141" s="33"/>
      <c r="M141" s="33"/>
      <c r="N141" s="33"/>
      <c r="O141" s="33"/>
      <c r="P141" s="33"/>
      <c r="Q141" s="33"/>
      <c r="R141" s="114"/>
    </row>
    <row r="142" spans="1:18" x14ac:dyDescent="0.2">
      <c r="A142" s="70"/>
      <c r="B142" s="64"/>
      <c r="C142" s="64"/>
      <c r="D142" s="64"/>
      <c r="E142" s="238"/>
      <c r="F142" s="371"/>
      <c r="G142" s="33"/>
      <c r="H142" s="179"/>
      <c r="I142" s="33"/>
      <c r="J142" s="33"/>
      <c r="K142" s="33"/>
      <c r="L142" s="33"/>
      <c r="M142" s="33"/>
      <c r="N142" s="33"/>
      <c r="O142" s="33"/>
      <c r="P142" s="33"/>
      <c r="Q142" s="33"/>
      <c r="R142" s="114"/>
    </row>
    <row r="143" spans="1:18" x14ac:dyDescent="0.2">
      <c r="A143" s="107">
        <f>ROUND(A583,-3)</f>
        <v>0</v>
      </c>
      <c r="B143" s="33">
        <f t="shared" ref="B143:C147" si="226">B583</f>
        <v>0</v>
      </c>
      <c r="C143" s="33">
        <f t="shared" si="226"/>
        <v>0</v>
      </c>
      <c r="D143" s="33">
        <f>D583</f>
        <v>0</v>
      </c>
      <c r="E143" s="238"/>
      <c r="F143" s="366" t="s">
        <v>2900</v>
      </c>
      <c r="G143" s="33">
        <f t="shared" ref="G143:O143" si="227">G583</f>
        <v>0</v>
      </c>
      <c r="H143" s="138"/>
      <c r="I143" s="33">
        <f t="shared" si="227"/>
        <v>0</v>
      </c>
      <c r="J143" s="33">
        <f t="shared" si="227"/>
        <v>0</v>
      </c>
      <c r="K143" s="33">
        <f t="shared" si="227"/>
        <v>0</v>
      </c>
      <c r="L143" s="33">
        <f t="shared" si="227"/>
        <v>0</v>
      </c>
      <c r="M143" s="33">
        <f t="shared" si="227"/>
        <v>0</v>
      </c>
      <c r="N143" s="33">
        <f t="shared" si="227"/>
        <v>0</v>
      </c>
      <c r="O143" s="33">
        <f t="shared" si="227"/>
        <v>0</v>
      </c>
      <c r="P143" s="33">
        <f t="shared" ref="P143:Q143" si="228">P583</f>
        <v>0</v>
      </c>
      <c r="Q143" s="33">
        <f t="shared" si="228"/>
        <v>0</v>
      </c>
      <c r="R143" s="114">
        <f t="shared" ref="R143" si="229">R583</f>
        <v>0</v>
      </c>
    </row>
    <row r="144" spans="1:18" x14ac:dyDescent="0.2">
      <c r="A144" s="107">
        <f>ROUND(A584,-3)</f>
        <v>0</v>
      </c>
      <c r="B144" s="33">
        <f t="shared" si="226"/>
        <v>5000</v>
      </c>
      <c r="C144" s="33">
        <f t="shared" si="226"/>
        <v>13500</v>
      </c>
      <c r="D144" s="33">
        <f>D584</f>
        <v>5000</v>
      </c>
      <c r="E144" s="238"/>
      <c r="F144" s="366" t="s">
        <v>1942</v>
      </c>
      <c r="G144" s="33">
        <f t="shared" ref="G144:O144" si="230">G584</f>
        <v>0</v>
      </c>
      <c r="H144" s="138"/>
      <c r="I144" s="33">
        <f t="shared" si="230"/>
        <v>0</v>
      </c>
      <c r="J144" s="33">
        <f t="shared" si="230"/>
        <v>0</v>
      </c>
      <c r="K144" s="33">
        <f t="shared" si="230"/>
        <v>0</v>
      </c>
      <c r="L144" s="33">
        <f t="shared" si="230"/>
        <v>0</v>
      </c>
      <c r="M144" s="33">
        <f t="shared" si="230"/>
        <v>0</v>
      </c>
      <c r="N144" s="33">
        <f t="shared" si="230"/>
        <v>0</v>
      </c>
      <c r="O144" s="33">
        <f t="shared" si="230"/>
        <v>0</v>
      </c>
      <c r="P144" s="33">
        <f t="shared" ref="P144:Q144" si="231">P584</f>
        <v>0</v>
      </c>
      <c r="Q144" s="33">
        <f t="shared" si="231"/>
        <v>0</v>
      </c>
      <c r="R144" s="114">
        <f t="shared" ref="R144" si="232">R584</f>
        <v>0</v>
      </c>
    </row>
    <row r="145" spans="1:18" x14ac:dyDescent="0.2">
      <c r="A145" s="107">
        <f>ROUND(A585,-3)</f>
        <v>0</v>
      </c>
      <c r="B145" s="33">
        <f t="shared" si="226"/>
        <v>0</v>
      </c>
      <c r="C145" s="33">
        <f t="shared" si="226"/>
        <v>0</v>
      </c>
      <c r="D145" s="33">
        <f>D585</f>
        <v>0</v>
      </c>
      <c r="E145" s="238"/>
      <c r="F145" s="366" t="s">
        <v>2348</v>
      </c>
      <c r="G145" s="33">
        <f t="shared" ref="G145:O145" si="233">G585</f>
        <v>0</v>
      </c>
      <c r="H145" s="138"/>
      <c r="I145" s="33">
        <f t="shared" si="233"/>
        <v>0</v>
      </c>
      <c r="J145" s="33">
        <f t="shared" si="233"/>
        <v>0</v>
      </c>
      <c r="K145" s="33">
        <f t="shared" si="233"/>
        <v>0</v>
      </c>
      <c r="L145" s="33">
        <f t="shared" si="233"/>
        <v>0</v>
      </c>
      <c r="M145" s="33">
        <f t="shared" si="233"/>
        <v>0</v>
      </c>
      <c r="N145" s="33">
        <f t="shared" si="233"/>
        <v>0</v>
      </c>
      <c r="O145" s="33">
        <f t="shared" si="233"/>
        <v>0</v>
      </c>
      <c r="P145" s="33">
        <f t="shared" ref="P145:Q145" si="234">P585</f>
        <v>0</v>
      </c>
      <c r="Q145" s="33">
        <f t="shared" si="234"/>
        <v>0</v>
      </c>
      <c r="R145" s="114">
        <f t="shared" ref="R145" si="235">R585</f>
        <v>0</v>
      </c>
    </row>
    <row r="146" spans="1:18" x14ac:dyDescent="0.2">
      <c r="A146" s="107">
        <f>ROUND(A586,-3)</f>
        <v>0</v>
      </c>
      <c r="B146" s="33">
        <f t="shared" si="226"/>
        <v>0</v>
      </c>
      <c r="C146" s="33">
        <f t="shared" si="226"/>
        <v>0</v>
      </c>
      <c r="D146" s="33">
        <f>D586</f>
        <v>0</v>
      </c>
      <c r="E146" s="238"/>
      <c r="F146" s="366" t="s">
        <v>5984</v>
      </c>
      <c r="G146" s="33">
        <f t="shared" ref="G146:O146" si="236">G586</f>
        <v>0</v>
      </c>
      <c r="H146" s="138"/>
      <c r="I146" s="33">
        <f t="shared" si="236"/>
        <v>0</v>
      </c>
      <c r="J146" s="33">
        <f t="shared" si="236"/>
        <v>0</v>
      </c>
      <c r="K146" s="33">
        <f t="shared" si="236"/>
        <v>0</v>
      </c>
      <c r="L146" s="33">
        <f t="shared" si="236"/>
        <v>0</v>
      </c>
      <c r="M146" s="33">
        <f t="shared" si="236"/>
        <v>0</v>
      </c>
      <c r="N146" s="33">
        <f t="shared" si="236"/>
        <v>0</v>
      </c>
      <c r="O146" s="33">
        <f t="shared" si="236"/>
        <v>0</v>
      </c>
      <c r="P146" s="33">
        <f t="shared" ref="P146:Q146" si="237">P586</f>
        <v>0</v>
      </c>
      <c r="Q146" s="33">
        <f t="shared" si="237"/>
        <v>0</v>
      </c>
      <c r="R146" s="114">
        <f t="shared" ref="R146" si="238">R586</f>
        <v>0</v>
      </c>
    </row>
    <row r="147" spans="1:18" x14ac:dyDescent="0.2">
      <c r="A147" s="107">
        <f>ROUND(A587,-3)</f>
        <v>0</v>
      </c>
      <c r="B147" s="33">
        <f t="shared" si="226"/>
        <v>19600</v>
      </c>
      <c r="C147" s="33">
        <f t="shared" si="226"/>
        <v>0</v>
      </c>
      <c r="D147" s="33">
        <f>D587</f>
        <v>0</v>
      </c>
      <c r="E147" s="238"/>
      <c r="F147" s="366" t="s">
        <v>972</v>
      </c>
      <c r="G147" s="33">
        <f t="shared" ref="G147:O147" si="239">G587</f>
        <v>0</v>
      </c>
      <c r="H147" s="138"/>
      <c r="I147" s="33">
        <f t="shared" si="239"/>
        <v>0</v>
      </c>
      <c r="J147" s="33">
        <f t="shared" si="239"/>
        <v>0</v>
      </c>
      <c r="K147" s="33">
        <f t="shared" si="239"/>
        <v>0</v>
      </c>
      <c r="L147" s="33">
        <f t="shared" si="239"/>
        <v>0</v>
      </c>
      <c r="M147" s="33">
        <f t="shared" si="239"/>
        <v>0</v>
      </c>
      <c r="N147" s="33">
        <f t="shared" si="239"/>
        <v>0</v>
      </c>
      <c r="O147" s="33">
        <f t="shared" si="239"/>
        <v>0</v>
      </c>
      <c r="P147" s="33">
        <f t="shared" ref="P147:Q147" si="240">P587</f>
        <v>0</v>
      </c>
      <c r="Q147" s="33">
        <f t="shared" si="240"/>
        <v>0</v>
      </c>
      <c r="R147" s="114">
        <f t="shared" ref="R147" si="241">R587</f>
        <v>0</v>
      </c>
    </row>
    <row r="148" spans="1:18" x14ac:dyDescent="0.2">
      <c r="A148" s="107"/>
      <c r="B148" s="33"/>
      <c r="C148" s="33"/>
      <c r="D148" s="33"/>
      <c r="E148" s="283"/>
      <c r="F148" s="516"/>
      <c r="G148" s="33"/>
      <c r="H148" s="138"/>
      <c r="I148" s="33"/>
      <c r="J148" s="33"/>
      <c r="K148" s="33"/>
      <c r="L148" s="33"/>
      <c r="M148" s="33"/>
      <c r="N148" s="33"/>
      <c r="O148" s="33"/>
      <c r="P148" s="33"/>
      <c r="Q148" s="33"/>
      <c r="R148" s="114"/>
    </row>
    <row r="149" spans="1:18" s="92" customFormat="1" x14ac:dyDescent="0.2">
      <c r="A149" s="181">
        <f>A138-A143-A144+A145++A146-A147</f>
        <v>-266900</v>
      </c>
      <c r="B149" s="397">
        <f>B138-B143-B144+B145++B146-B147</f>
        <v>-307300</v>
      </c>
      <c r="C149" s="397">
        <f>C138-C143-C144+C145++C146-C147</f>
        <v>-242700</v>
      </c>
      <c r="D149" s="397">
        <f>D138-D143-D144+D145++D146-D147</f>
        <v>-273400</v>
      </c>
      <c r="E149" s="517"/>
      <c r="F149" s="518" t="s">
        <v>2490</v>
      </c>
      <c r="G149" s="397">
        <f t="shared" ref="G149:O149" si="242">G138-G143-G144+G145++G146-G147</f>
        <v>-267000</v>
      </c>
      <c r="H149" s="395">
        <f>IF(D149=G149,0,IF(D149=0,100,(G149-D149)/D149*100))</f>
        <v>-2.3408924652523777</v>
      </c>
      <c r="I149" s="397">
        <f t="shared" si="242"/>
        <v>-239000</v>
      </c>
      <c r="J149" s="397">
        <f t="shared" si="242"/>
        <v>-245400</v>
      </c>
      <c r="K149" s="397">
        <f t="shared" si="242"/>
        <v>-251800</v>
      </c>
      <c r="L149" s="397">
        <f t="shared" si="242"/>
        <v>-258400</v>
      </c>
      <c r="M149" s="397">
        <f t="shared" si="242"/>
        <v>-264100</v>
      </c>
      <c r="N149" s="397">
        <f t="shared" si="242"/>
        <v>-269900</v>
      </c>
      <c r="O149" s="397">
        <f t="shared" si="242"/>
        <v>-275800</v>
      </c>
      <c r="P149" s="397">
        <f t="shared" ref="P149:Q149" si="243">P138-P143-P144+P145++P146-P147</f>
        <v>-281900</v>
      </c>
      <c r="Q149" s="397">
        <f t="shared" si="243"/>
        <v>-288100</v>
      </c>
      <c r="R149" s="399">
        <f t="shared" ref="R149" si="244">R138-R143-R144+R145++R146-R147</f>
        <v>-294200</v>
      </c>
    </row>
    <row r="150" spans="1:18" ht="13.5" thickBot="1" x14ac:dyDescent="0.25">
      <c r="A150" s="73"/>
      <c r="B150" s="90"/>
      <c r="C150" s="90"/>
      <c r="D150" s="90"/>
      <c r="E150" s="284"/>
      <c r="F150" s="368"/>
      <c r="G150" s="66"/>
      <c r="H150" s="392"/>
      <c r="I150" s="66"/>
      <c r="J150" s="66"/>
      <c r="K150" s="66"/>
      <c r="L150" s="66"/>
      <c r="M150" s="66"/>
      <c r="N150" s="66"/>
      <c r="O150" s="66"/>
      <c r="P150" s="66"/>
      <c r="Q150" s="66"/>
      <c r="R150" s="165"/>
    </row>
    <row r="151" spans="1:18" ht="13.5" thickTop="1" x14ac:dyDescent="0.2">
      <c r="A151" s="99"/>
      <c r="B151" s="99"/>
      <c r="E151" s="283"/>
      <c r="F151" s="108"/>
      <c r="H151" s="123"/>
    </row>
    <row r="152" spans="1:18" ht="13.5" thickBot="1" x14ac:dyDescent="0.25">
      <c r="A152" s="74"/>
      <c r="B152" s="74"/>
      <c r="C152" s="74"/>
      <c r="D152" s="74"/>
      <c r="E152" s="283"/>
      <c r="F152" s="137"/>
      <c r="H152" s="2484"/>
      <c r="I152" s="99"/>
      <c r="J152" s="99"/>
      <c r="K152" s="99"/>
      <c r="L152" s="99"/>
      <c r="M152" s="99"/>
      <c r="N152" s="99"/>
      <c r="O152" s="99"/>
      <c r="P152" s="99"/>
      <c r="Q152" s="99"/>
      <c r="R152" s="99"/>
    </row>
    <row r="153" spans="1:18" s="91" customFormat="1" ht="18.75" customHeight="1" thickTop="1" thickBot="1" x14ac:dyDescent="0.3">
      <c r="A153" s="2862" t="s">
        <v>954</v>
      </c>
      <c r="B153" s="2863"/>
      <c r="C153" s="2863"/>
      <c r="D153" s="2863"/>
      <c r="E153" s="2863"/>
      <c r="F153" s="2863"/>
      <c r="G153" s="2863"/>
      <c r="H153" s="2863"/>
      <c r="I153" s="2863"/>
      <c r="J153" s="2863"/>
      <c r="K153" s="2863"/>
      <c r="L153" s="2863"/>
      <c r="M153" s="2863"/>
      <c r="N153" s="2863"/>
      <c r="O153" s="2863"/>
      <c r="P153" s="2863"/>
      <c r="Q153" s="2863"/>
      <c r="R153" s="2864"/>
    </row>
    <row r="154" spans="1:18" s="44" customFormat="1" x14ac:dyDescent="0.2">
      <c r="A154" s="2888" t="s">
        <v>1856</v>
      </c>
      <c r="B154" s="2889"/>
      <c r="C154" s="2889"/>
      <c r="D154" s="2890"/>
      <c r="E154" s="513" t="s">
        <v>2663</v>
      </c>
      <c r="F154" s="2649" t="s">
        <v>2251</v>
      </c>
      <c r="G154" s="2885" t="s">
        <v>2253</v>
      </c>
      <c r="H154" s="2886"/>
      <c r="I154" s="2886"/>
      <c r="J154" s="2886"/>
      <c r="K154" s="2886"/>
      <c r="L154" s="2886"/>
      <c r="M154" s="2886"/>
      <c r="N154" s="2886"/>
      <c r="O154" s="2886"/>
      <c r="P154" s="2886"/>
      <c r="Q154" s="2886"/>
      <c r="R154" s="2887"/>
    </row>
    <row r="155" spans="1:18" s="23" customFormat="1" ht="13.5" thickBot="1" x14ac:dyDescent="0.25">
      <c r="A155" s="208" t="str">
        <f>A3</f>
        <v>2012/13</v>
      </c>
      <c r="B155" s="75" t="str">
        <f>B3</f>
        <v>2013/14</v>
      </c>
      <c r="C155" s="370" t="str">
        <f>C3</f>
        <v>2014/15</v>
      </c>
      <c r="D155" s="93" t="str">
        <f>D3</f>
        <v>2015/16</v>
      </c>
      <c r="E155" s="370" t="s">
        <v>2664</v>
      </c>
      <c r="F155" s="42"/>
      <c r="G155" s="75" t="str">
        <f>G3</f>
        <v>2016/17</v>
      </c>
      <c r="H155" s="2492" t="s">
        <v>501</v>
      </c>
      <c r="I155" s="370" t="str">
        <f t="shared" ref="I155:Q155" si="245">I3</f>
        <v>2017/18</v>
      </c>
      <c r="J155" s="370" t="str">
        <f t="shared" si="245"/>
        <v>2018/19</v>
      </c>
      <c r="K155" s="370" t="str">
        <f t="shared" si="245"/>
        <v>2019/20</v>
      </c>
      <c r="L155" s="370" t="str">
        <f t="shared" si="245"/>
        <v>2020/21</v>
      </c>
      <c r="M155" s="370" t="str">
        <f t="shared" si="245"/>
        <v>2021/22</v>
      </c>
      <c r="N155" s="370" t="str">
        <f t="shared" si="245"/>
        <v>2022/23</v>
      </c>
      <c r="O155" s="370" t="str">
        <f t="shared" si="245"/>
        <v>2023/24</v>
      </c>
      <c r="P155" s="370" t="str">
        <f t="shared" si="245"/>
        <v>2024/25</v>
      </c>
      <c r="Q155" s="370" t="str">
        <f t="shared" si="245"/>
        <v>2025/26</v>
      </c>
      <c r="R155" s="549" t="str">
        <f t="shared" ref="R155" si="246">R3</f>
        <v>2026/27</v>
      </c>
    </row>
    <row r="156" spans="1:18" x14ac:dyDescent="0.2">
      <c r="A156" s="107"/>
      <c r="B156" s="33"/>
      <c r="C156" s="33"/>
      <c r="D156" s="33"/>
      <c r="E156" s="252"/>
      <c r="F156" s="74"/>
      <c r="G156" s="33"/>
      <c r="H156" s="138"/>
      <c r="I156" s="33"/>
      <c r="J156" s="33"/>
      <c r="K156" s="33"/>
      <c r="L156" s="33"/>
      <c r="M156" s="33"/>
      <c r="N156" s="33"/>
      <c r="O156" s="33"/>
      <c r="P156" s="33"/>
      <c r="Q156" s="33"/>
      <c r="R156" s="114"/>
    </row>
    <row r="157" spans="1:18" x14ac:dyDescent="0.2">
      <c r="A157" s="107"/>
      <c r="B157" s="33"/>
      <c r="C157" s="33"/>
      <c r="D157" s="33"/>
      <c r="E157" s="252"/>
      <c r="F157" s="144" t="s">
        <v>1073</v>
      </c>
      <c r="G157" s="33"/>
      <c r="H157" s="138"/>
      <c r="I157" s="33"/>
      <c r="J157" s="33"/>
      <c r="K157" s="33"/>
      <c r="L157" s="33"/>
      <c r="M157" s="33"/>
      <c r="N157" s="33"/>
      <c r="O157" s="33"/>
      <c r="P157" s="33"/>
      <c r="Q157" s="33"/>
      <c r="R157" s="114"/>
    </row>
    <row r="158" spans="1:18" x14ac:dyDescent="0.2">
      <c r="A158" s="107"/>
      <c r="B158" s="33"/>
      <c r="C158" s="33"/>
      <c r="D158" s="33"/>
      <c r="E158" s="252"/>
      <c r="F158" s="74"/>
      <c r="G158" s="33"/>
      <c r="H158" s="138"/>
      <c r="I158" s="33"/>
      <c r="J158" s="33"/>
      <c r="K158" s="33"/>
      <c r="L158" s="33"/>
      <c r="M158" s="33"/>
      <c r="N158" s="33"/>
      <c r="O158" s="33"/>
      <c r="P158" s="33"/>
      <c r="Q158" s="33"/>
      <c r="R158" s="114"/>
    </row>
    <row r="159" spans="1:18" x14ac:dyDescent="0.2">
      <c r="A159" s="98"/>
      <c r="B159" s="33"/>
      <c r="C159" s="33"/>
      <c r="D159" s="33"/>
      <c r="E159" s="252"/>
      <c r="F159" s="74" t="s">
        <v>1317</v>
      </c>
      <c r="G159" s="33"/>
      <c r="H159" s="138"/>
      <c r="I159" s="33"/>
      <c r="J159" s="33"/>
      <c r="K159" s="33"/>
      <c r="L159" s="33"/>
      <c r="M159" s="33"/>
      <c r="N159" s="33"/>
      <c r="O159" s="33"/>
      <c r="P159" s="33"/>
      <c r="Q159" s="33"/>
      <c r="R159" s="114"/>
    </row>
    <row r="160" spans="1:18" x14ac:dyDescent="0.2">
      <c r="A160" s="98">
        <f>ROUND(A599,-3)</f>
        <v>12023000</v>
      </c>
      <c r="B160" s="33">
        <f t="shared" ref="B160:C162" si="247">B599</f>
        <v>12780600</v>
      </c>
      <c r="C160" s="33">
        <f t="shared" si="247"/>
        <v>13206900</v>
      </c>
      <c r="D160" s="33">
        <f>D599</f>
        <v>13968100</v>
      </c>
      <c r="E160" s="252">
        <v>26020</v>
      </c>
      <c r="F160" s="3" t="s">
        <v>1816</v>
      </c>
      <c r="G160" s="33">
        <f t="shared" ref="G160:O160" si="248">G599</f>
        <v>14896700</v>
      </c>
      <c r="H160" s="138">
        <f>IF(D160=G160,0,IF(D160=0,100,(G160-D160)/D160*100))</f>
        <v>6.6480050973289142</v>
      </c>
      <c r="I160" s="33">
        <f t="shared" si="248"/>
        <v>15629000</v>
      </c>
      <c r="J160" s="33">
        <f t="shared" si="248"/>
        <v>16629300</v>
      </c>
      <c r="K160" s="33">
        <f t="shared" si="248"/>
        <v>17693600</v>
      </c>
      <c r="L160" s="33">
        <f t="shared" si="248"/>
        <v>18224400</v>
      </c>
      <c r="M160" s="33">
        <f t="shared" si="248"/>
        <v>18771100</v>
      </c>
      <c r="N160" s="33">
        <f t="shared" si="248"/>
        <v>19334200</v>
      </c>
      <c r="O160" s="33">
        <f t="shared" si="248"/>
        <v>19914200</v>
      </c>
      <c r="P160" s="33">
        <f t="shared" ref="P160:Q160" si="249">P599</f>
        <v>20511600</v>
      </c>
      <c r="Q160" s="33">
        <f t="shared" si="249"/>
        <v>21126900</v>
      </c>
      <c r="R160" s="114">
        <f t="shared" ref="R160" si="250">R599</f>
        <v>21760700</v>
      </c>
    </row>
    <row r="161" spans="1:18" x14ac:dyDescent="0.2">
      <c r="A161" s="98">
        <f>ROUND(A600,-3)-1000</f>
        <v>3305000</v>
      </c>
      <c r="B161" s="33">
        <f t="shared" si="247"/>
        <v>3476100</v>
      </c>
      <c r="C161" s="33">
        <f t="shared" si="247"/>
        <v>3644700</v>
      </c>
      <c r="D161" s="33">
        <f>D600</f>
        <v>3826700</v>
      </c>
      <c r="E161" s="252">
        <v>26020</v>
      </c>
      <c r="F161" s="3" t="s">
        <v>1817</v>
      </c>
      <c r="G161" s="33">
        <f t="shared" ref="G161:O161" si="251">G600</f>
        <v>4045900</v>
      </c>
      <c r="H161" s="138">
        <f>IF(D161=G161,0,IF(D161=0,100,(G161-D161)/D161*100))</f>
        <v>5.7281730995374609</v>
      </c>
      <c r="I161" s="33">
        <f t="shared" si="251"/>
        <v>4302000</v>
      </c>
      <c r="J161" s="33">
        <f t="shared" si="251"/>
        <v>4577300</v>
      </c>
      <c r="K161" s="33">
        <f t="shared" si="251"/>
        <v>4870200</v>
      </c>
      <c r="L161" s="33">
        <f t="shared" si="251"/>
        <v>5016300</v>
      </c>
      <c r="M161" s="33">
        <f t="shared" si="251"/>
        <v>5166800</v>
      </c>
      <c r="N161" s="33">
        <f t="shared" si="251"/>
        <v>5321800</v>
      </c>
      <c r="O161" s="33">
        <f t="shared" si="251"/>
        <v>5481500</v>
      </c>
      <c r="P161" s="33">
        <f t="shared" ref="P161:Q161" si="252">P600</f>
        <v>5645900</v>
      </c>
      <c r="Q161" s="33">
        <f t="shared" si="252"/>
        <v>5815300</v>
      </c>
      <c r="R161" s="114">
        <f t="shared" ref="R161" si="253">R600</f>
        <v>5989800</v>
      </c>
    </row>
    <row r="162" spans="1:18" x14ac:dyDescent="0.2">
      <c r="A162" s="98">
        <f>ROUND(A601,-3)</f>
        <v>1303000</v>
      </c>
      <c r="B162" s="33">
        <f t="shared" si="247"/>
        <v>1356800</v>
      </c>
      <c r="C162" s="33">
        <f t="shared" si="247"/>
        <v>1387800</v>
      </c>
      <c r="D162" s="33">
        <f>D601</f>
        <v>1445600</v>
      </c>
      <c r="E162" s="252">
        <v>26020</v>
      </c>
      <c r="F162" s="3" t="s">
        <v>2283</v>
      </c>
      <c r="G162" s="33">
        <f t="shared" ref="G162:O162" si="254">G601</f>
        <v>1509100</v>
      </c>
      <c r="H162" s="138">
        <f>IF(D162=G162,0,IF(D162=0,100,(G162-D162)/D162*100))</f>
        <v>4.3926397343663535</v>
      </c>
      <c r="I162" s="33">
        <f t="shared" si="254"/>
        <v>1579000</v>
      </c>
      <c r="J162" s="33">
        <f t="shared" si="254"/>
        <v>1680100</v>
      </c>
      <c r="K162" s="33">
        <f t="shared" si="254"/>
        <v>1787600</v>
      </c>
      <c r="L162" s="33">
        <f t="shared" si="254"/>
        <v>1841200</v>
      </c>
      <c r="M162" s="33">
        <f t="shared" si="254"/>
        <v>1896400</v>
      </c>
      <c r="N162" s="33">
        <f t="shared" si="254"/>
        <v>1953300</v>
      </c>
      <c r="O162" s="33">
        <f t="shared" si="254"/>
        <v>2011900</v>
      </c>
      <c r="P162" s="33">
        <f t="shared" ref="P162:Q162" si="255">P601</f>
        <v>2072300</v>
      </c>
      <c r="Q162" s="33">
        <f t="shared" si="255"/>
        <v>2134500</v>
      </c>
      <c r="R162" s="114">
        <f t="shared" ref="R162" si="256">R601</f>
        <v>2198500</v>
      </c>
    </row>
    <row r="163" spans="1:18" x14ac:dyDescent="0.2">
      <c r="A163" s="98"/>
      <c r="B163" s="33"/>
      <c r="C163" s="33"/>
      <c r="D163" s="33"/>
      <c r="E163" s="252"/>
      <c r="F163" s="99"/>
      <c r="G163" s="33"/>
      <c r="H163" s="138"/>
      <c r="I163" s="33"/>
      <c r="J163" s="33"/>
      <c r="K163" s="33"/>
      <c r="L163" s="33"/>
      <c r="M163" s="33"/>
      <c r="N163" s="33"/>
      <c r="O163" s="33"/>
      <c r="P163" s="33"/>
      <c r="Q163" s="33"/>
      <c r="R163" s="114"/>
    </row>
    <row r="164" spans="1:18" x14ac:dyDescent="0.2">
      <c r="A164" s="98"/>
      <c r="B164" s="33"/>
      <c r="C164" s="33"/>
      <c r="D164" s="33"/>
      <c r="E164" s="252"/>
      <c r="F164" s="74" t="s">
        <v>571</v>
      </c>
      <c r="G164" s="33"/>
      <c r="H164" s="138"/>
      <c r="I164" s="33"/>
      <c r="J164" s="33"/>
      <c r="K164" s="33"/>
      <c r="L164" s="33"/>
      <c r="M164" s="33"/>
      <c r="N164" s="33"/>
      <c r="O164" s="33"/>
      <c r="P164" s="33"/>
      <c r="Q164" s="33"/>
      <c r="R164" s="114"/>
    </row>
    <row r="165" spans="1:18" x14ac:dyDescent="0.2">
      <c r="A165" s="98">
        <f>ROUND(SUM(A603:A606),-3)-1000</f>
        <v>0</v>
      </c>
      <c r="B165" s="33">
        <f>SUM(B603:B606)</f>
        <v>-600</v>
      </c>
      <c r="C165" s="33">
        <f>SUM(C603:C606)</f>
        <v>2800</v>
      </c>
      <c r="D165" s="33">
        <f>SUM(D603:D606)</f>
        <v>-600</v>
      </c>
      <c r="E165" s="252">
        <v>26020</v>
      </c>
      <c r="F165" s="99" t="s">
        <v>571</v>
      </c>
      <c r="G165" s="33">
        <f t="shared" ref="G165:O165" si="257">SUM(G603:G606)</f>
        <v>500</v>
      </c>
      <c r="H165" s="138">
        <f>IF(D165=G165,0,IF(D165=0,100,(G165-D165)/D165*100))</f>
        <v>-183.33333333333331</v>
      </c>
      <c r="I165" s="33">
        <f t="shared" si="257"/>
        <v>500</v>
      </c>
      <c r="J165" s="33">
        <f t="shared" si="257"/>
        <v>600</v>
      </c>
      <c r="K165" s="33">
        <f t="shared" si="257"/>
        <v>700</v>
      </c>
      <c r="L165" s="33">
        <f t="shared" si="257"/>
        <v>800</v>
      </c>
      <c r="M165" s="33">
        <f t="shared" si="257"/>
        <v>800</v>
      </c>
      <c r="N165" s="33">
        <f t="shared" si="257"/>
        <v>800</v>
      </c>
      <c r="O165" s="33">
        <f t="shared" si="257"/>
        <v>800</v>
      </c>
      <c r="P165" s="33">
        <f t="shared" ref="P165:Q165" si="258">SUM(P603:P606)</f>
        <v>800</v>
      </c>
      <c r="Q165" s="33">
        <f t="shared" si="258"/>
        <v>800</v>
      </c>
      <c r="R165" s="114">
        <f t="shared" ref="R165" si="259">SUM(R603:R606)</f>
        <v>800</v>
      </c>
    </row>
    <row r="166" spans="1:18" x14ac:dyDescent="0.2">
      <c r="A166" s="98"/>
      <c r="B166" s="33"/>
      <c r="E166" s="252"/>
      <c r="F166" s="76"/>
      <c r="G166" s="33"/>
      <c r="H166" s="138"/>
      <c r="I166" s="33"/>
      <c r="J166" s="33"/>
      <c r="K166" s="33"/>
      <c r="L166" s="33"/>
      <c r="M166" s="33"/>
      <c r="N166" s="33"/>
      <c r="O166" s="33"/>
      <c r="P166" s="33"/>
      <c r="Q166" s="33"/>
      <c r="R166" s="114"/>
    </row>
    <row r="167" spans="1:18" x14ac:dyDescent="0.2">
      <c r="A167" s="98"/>
      <c r="B167" s="33"/>
      <c r="E167" s="252"/>
      <c r="F167" s="79" t="s">
        <v>1527</v>
      </c>
      <c r="G167" s="33"/>
      <c r="H167" s="138"/>
      <c r="I167" s="33"/>
      <c r="J167" s="33"/>
      <c r="K167" s="33"/>
      <c r="L167" s="33"/>
      <c r="M167" s="33"/>
      <c r="N167" s="33"/>
      <c r="O167" s="33"/>
      <c r="P167" s="33"/>
      <c r="Q167" s="33"/>
      <c r="R167" s="114"/>
    </row>
    <row r="168" spans="1:18" x14ac:dyDescent="0.2">
      <c r="A168" s="98">
        <f>ROUND(SUM(A607:A614),-3)</f>
        <v>-582000</v>
      </c>
      <c r="B168" s="33">
        <f>SUM(B607:B614)</f>
        <v>-581800</v>
      </c>
      <c r="C168" s="99">
        <f>SUM(C607:C614)</f>
        <v>-636400</v>
      </c>
      <c r="D168" s="99">
        <f>SUM(D607:D614)</f>
        <v>-639100</v>
      </c>
      <c r="E168" s="252">
        <v>26021</v>
      </c>
      <c r="F168" s="76" t="s">
        <v>255</v>
      </c>
      <c r="G168" s="33">
        <f t="shared" ref="G168:O168" si="260">SUM(G607:G614)</f>
        <v>-653600</v>
      </c>
      <c r="H168" s="138">
        <f>IF(D168=G168,0,IF(D168=0,100,(G168-D168)/D168*100))</f>
        <v>2.2688155218275701</v>
      </c>
      <c r="I168" s="33">
        <f t="shared" si="260"/>
        <v>-656900</v>
      </c>
      <c r="J168" s="33">
        <f t="shared" si="260"/>
        <v>-660400</v>
      </c>
      <c r="K168" s="33">
        <f t="shared" si="260"/>
        <v>-663900</v>
      </c>
      <c r="L168" s="33">
        <f t="shared" si="260"/>
        <v>-667500</v>
      </c>
      <c r="M168" s="33">
        <f t="shared" si="260"/>
        <v>-671000</v>
      </c>
      <c r="N168" s="33">
        <f t="shared" si="260"/>
        <v>-674500</v>
      </c>
      <c r="O168" s="33">
        <f t="shared" si="260"/>
        <v>-678000</v>
      </c>
      <c r="P168" s="33">
        <f t="shared" ref="P168:Q168" si="261">SUM(P607:P614)</f>
        <v>-681500</v>
      </c>
      <c r="Q168" s="33">
        <f t="shared" si="261"/>
        <v>-685000</v>
      </c>
      <c r="R168" s="114">
        <f t="shared" ref="R168" si="262">SUM(R607:R614)</f>
        <v>-688500</v>
      </c>
    </row>
    <row r="169" spans="1:18" x14ac:dyDescent="0.2">
      <c r="A169" s="98"/>
      <c r="B169" s="33"/>
      <c r="E169" s="252"/>
      <c r="F169" s="76"/>
      <c r="G169" s="33"/>
      <c r="H169" s="138"/>
      <c r="I169" s="33"/>
      <c r="J169" s="33"/>
      <c r="K169" s="33"/>
      <c r="L169" s="33"/>
      <c r="M169" s="33"/>
      <c r="N169" s="33"/>
      <c r="O169" s="33"/>
      <c r="P169" s="33"/>
      <c r="Q169" s="33"/>
      <c r="R169" s="114"/>
    </row>
    <row r="170" spans="1:18" x14ac:dyDescent="0.2">
      <c r="A170" s="98"/>
      <c r="B170" s="33"/>
      <c r="E170" s="252"/>
      <c r="F170" s="79" t="s">
        <v>890</v>
      </c>
      <c r="G170" s="33"/>
      <c r="H170" s="138"/>
      <c r="I170" s="33"/>
      <c r="J170" s="33"/>
      <c r="K170" s="33"/>
      <c r="L170" s="33"/>
      <c r="M170" s="33"/>
      <c r="N170" s="33"/>
      <c r="O170" s="33"/>
      <c r="P170" s="33"/>
      <c r="Q170" s="33"/>
      <c r="R170" s="114"/>
    </row>
    <row r="171" spans="1:18" x14ac:dyDescent="0.2">
      <c r="A171" s="98">
        <f>ROUND(SUM(A615:A619),-3)</f>
        <v>131000</v>
      </c>
      <c r="B171" s="33">
        <f>SUM(B615:B619)</f>
        <v>101300</v>
      </c>
      <c r="C171" s="99">
        <f>SUM(C615:C619)</f>
        <v>86600</v>
      </c>
      <c r="D171" s="99">
        <f>SUM(D615:D619)</f>
        <v>79600</v>
      </c>
      <c r="E171" s="252">
        <v>26023</v>
      </c>
      <c r="F171" s="76" t="s">
        <v>2671</v>
      </c>
      <c r="G171" s="33">
        <f t="shared" ref="G171:O171" si="263">SUM(G615:G619)</f>
        <v>77000</v>
      </c>
      <c r="H171" s="138">
        <f>IF(D171=G171,0,IF(D171=0,100,(G171-D171)/D171*100))</f>
        <v>-3.2663316582914574</v>
      </c>
      <c r="I171" s="33">
        <f t="shared" si="263"/>
        <v>78200</v>
      </c>
      <c r="J171" s="33">
        <f t="shared" si="263"/>
        <v>80200</v>
      </c>
      <c r="K171" s="33">
        <f t="shared" si="263"/>
        <v>82200</v>
      </c>
      <c r="L171" s="33">
        <f t="shared" si="263"/>
        <v>84300</v>
      </c>
      <c r="M171" s="33">
        <f t="shared" si="263"/>
        <v>86000</v>
      </c>
      <c r="N171" s="33">
        <f t="shared" si="263"/>
        <v>87700</v>
      </c>
      <c r="O171" s="33">
        <f t="shared" si="263"/>
        <v>89500</v>
      </c>
      <c r="P171" s="33">
        <f t="shared" ref="P171:Q171" si="264">SUM(P615:P619)</f>
        <v>91300</v>
      </c>
      <c r="Q171" s="33">
        <f t="shared" si="264"/>
        <v>93100</v>
      </c>
      <c r="R171" s="114">
        <f t="shared" ref="R171" si="265">SUM(R615:R619)</f>
        <v>95000</v>
      </c>
    </row>
    <row r="172" spans="1:18" x14ac:dyDescent="0.2">
      <c r="A172" s="98"/>
      <c r="B172" s="33"/>
      <c r="E172" s="252"/>
      <c r="F172" s="76"/>
      <c r="G172" s="33"/>
      <c r="H172" s="138"/>
      <c r="I172" s="33"/>
      <c r="J172" s="33"/>
      <c r="K172" s="33"/>
      <c r="L172" s="33"/>
      <c r="M172" s="33"/>
      <c r="N172" s="33"/>
      <c r="O172" s="33"/>
      <c r="P172" s="33"/>
      <c r="Q172" s="33"/>
      <c r="R172" s="114"/>
    </row>
    <row r="173" spans="1:18" x14ac:dyDescent="0.2">
      <c r="A173" s="107"/>
      <c r="B173" s="33"/>
      <c r="E173" s="343"/>
      <c r="F173" s="175" t="s">
        <v>850</v>
      </c>
      <c r="G173" s="33"/>
      <c r="H173" s="138"/>
      <c r="I173" s="33"/>
      <c r="J173" s="33"/>
      <c r="K173" s="33"/>
      <c r="L173" s="33"/>
      <c r="M173" s="33"/>
      <c r="N173" s="33"/>
      <c r="O173" s="33"/>
      <c r="P173" s="33"/>
      <c r="Q173" s="33"/>
      <c r="R173" s="114"/>
    </row>
    <row r="174" spans="1:18" ht="12" customHeight="1" x14ac:dyDescent="0.2">
      <c r="A174" s="107">
        <f>ROUND(A621,-3)</f>
        <v>3413000</v>
      </c>
      <c r="B174" s="33">
        <f t="shared" ref="B174:D175" si="266">B621</f>
        <v>1800200</v>
      </c>
      <c r="C174" s="99">
        <f t="shared" si="266"/>
        <v>3717800</v>
      </c>
      <c r="D174" s="99">
        <f t="shared" si="266"/>
        <v>3831300</v>
      </c>
      <c r="E174" s="343" t="s">
        <v>1820</v>
      </c>
      <c r="F174" s="76" t="s">
        <v>1977</v>
      </c>
      <c r="G174" s="33">
        <f t="shared" ref="G174:O174" si="267">G621</f>
        <v>4086900</v>
      </c>
      <c r="H174" s="138">
        <f>IF(D174=G174,0,IF(D174=0,100,(G174-D174)/D174*100))</f>
        <v>6.6713648108996955</v>
      </c>
      <c r="I174" s="33">
        <f t="shared" si="267"/>
        <v>4168600</v>
      </c>
      <c r="J174" s="33">
        <f t="shared" si="267"/>
        <v>4252000</v>
      </c>
      <c r="K174" s="33">
        <f t="shared" si="267"/>
        <v>4337000</v>
      </c>
      <c r="L174" s="33">
        <f t="shared" si="267"/>
        <v>4423700</v>
      </c>
      <c r="M174" s="33">
        <f t="shared" si="267"/>
        <v>4512200</v>
      </c>
      <c r="N174" s="33">
        <f t="shared" si="267"/>
        <v>4602400</v>
      </c>
      <c r="O174" s="33">
        <f t="shared" si="267"/>
        <v>4694400</v>
      </c>
      <c r="P174" s="33">
        <f t="shared" ref="P174:Q174" si="268">P621</f>
        <v>4788300</v>
      </c>
      <c r="Q174" s="33">
        <f t="shared" si="268"/>
        <v>4884100</v>
      </c>
      <c r="R174" s="114">
        <f t="shared" ref="R174" si="269">R621</f>
        <v>4981800</v>
      </c>
    </row>
    <row r="175" spans="1:18" x14ac:dyDescent="0.2">
      <c r="A175" s="107">
        <f>ROUND(A622,-3)</f>
        <v>316000</v>
      </c>
      <c r="B175" s="33">
        <f t="shared" si="266"/>
        <v>318300</v>
      </c>
      <c r="C175" s="99">
        <f t="shared" si="266"/>
        <v>339400</v>
      </c>
      <c r="D175" s="99">
        <f t="shared" si="266"/>
        <v>350200</v>
      </c>
      <c r="E175" s="343" t="s">
        <v>1820</v>
      </c>
      <c r="F175" s="76" t="s">
        <v>394</v>
      </c>
      <c r="G175" s="33">
        <f t="shared" ref="G175:O175" si="270">G622</f>
        <v>346800</v>
      </c>
      <c r="H175" s="138">
        <f>IF(D175=G175,0,IF(D175=0,100,(G175-D175)/D175*100))</f>
        <v>-0.97087378640776689</v>
      </c>
      <c r="I175" s="33">
        <f t="shared" si="270"/>
        <v>354600</v>
      </c>
      <c r="J175" s="33">
        <f t="shared" si="270"/>
        <v>324000</v>
      </c>
      <c r="K175" s="33">
        <f t="shared" si="270"/>
        <v>325600</v>
      </c>
      <c r="L175" s="33">
        <f t="shared" si="270"/>
        <v>327300</v>
      </c>
      <c r="M175" s="33">
        <f t="shared" si="270"/>
        <v>328900</v>
      </c>
      <c r="N175" s="33">
        <f t="shared" si="270"/>
        <v>330500</v>
      </c>
      <c r="O175" s="33">
        <f t="shared" si="270"/>
        <v>332200</v>
      </c>
      <c r="P175" s="33">
        <f t="shared" ref="P175:Q175" si="271">P622</f>
        <v>333800</v>
      </c>
      <c r="Q175" s="33">
        <f t="shared" si="271"/>
        <v>335500</v>
      </c>
      <c r="R175" s="114">
        <f t="shared" ref="R175" si="272">R622</f>
        <v>337100</v>
      </c>
    </row>
    <row r="176" spans="1:18" x14ac:dyDescent="0.2">
      <c r="A176" s="713"/>
      <c r="B176" s="250"/>
      <c r="E176" s="343"/>
      <c r="F176" s="76"/>
      <c r="G176" s="33"/>
      <c r="H176" s="138"/>
      <c r="I176" s="33"/>
      <c r="J176" s="33"/>
      <c r="K176" s="33"/>
      <c r="L176" s="33"/>
      <c r="M176" s="33"/>
      <c r="N176" s="33"/>
      <c r="O176" s="33"/>
      <c r="P176" s="33"/>
      <c r="Q176" s="33"/>
      <c r="R176" s="114"/>
    </row>
    <row r="177" spans="1:18" x14ac:dyDescent="0.2">
      <c r="A177" s="107"/>
      <c r="B177" s="33"/>
      <c r="E177" s="343"/>
      <c r="F177" s="79" t="s">
        <v>2671</v>
      </c>
      <c r="G177" s="33"/>
      <c r="H177" s="138"/>
      <c r="I177" s="33"/>
      <c r="J177" s="33"/>
      <c r="K177" s="33"/>
      <c r="L177" s="33"/>
      <c r="M177" s="33"/>
      <c r="N177" s="33"/>
      <c r="O177" s="33"/>
      <c r="P177" s="33"/>
      <c r="Q177" s="33"/>
      <c r="R177" s="114"/>
    </row>
    <row r="178" spans="1:18" x14ac:dyDescent="0.2">
      <c r="A178" s="107">
        <f>ROUND(SUM(A624:A626),-3)</f>
        <v>890000</v>
      </c>
      <c r="B178" s="33">
        <f>SUM(B624:B626)</f>
        <v>716700</v>
      </c>
      <c r="C178" s="99">
        <f>SUM(C624:C626)</f>
        <v>651300</v>
      </c>
      <c r="D178" s="99">
        <f>SUM(D624:D626)</f>
        <v>716600</v>
      </c>
      <c r="E178" s="343" t="s">
        <v>1821</v>
      </c>
      <c r="F178" s="76" t="s">
        <v>609</v>
      </c>
      <c r="G178" s="33">
        <f t="shared" ref="G178:O178" si="273">SUM(G624:G626)</f>
        <v>541000</v>
      </c>
      <c r="H178" s="138">
        <f>IF(D178=G178,0,IF(D178=0,100,(G178-D178)/D178*100))</f>
        <v>-24.504605079542284</v>
      </c>
      <c r="I178" s="33">
        <f t="shared" si="273"/>
        <v>540800</v>
      </c>
      <c r="J178" s="33">
        <f t="shared" si="273"/>
        <v>540500</v>
      </c>
      <c r="K178" s="33">
        <f t="shared" si="273"/>
        <v>640200</v>
      </c>
      <c r="L178" s="33">
        <f t="shared" si="273"/>
        <v>639900</v>
      </c>
      <c r="M178" s="33">
        <f t="shared" si="273"/>
        <v>639600</v>
      </c>
      <c r="N178" s="33">
        <f t="shared" si="273"/>
        <v>639300</v>
      </c>
      <c r="O178" s="33">
        <f t="shared" si="273"/>
        <v>639000</v>
      </c>
      <c r="P178" s="33">
        <f t="shared" ref="P178:Q178" si="274">SUM(P624:P626)</f>
        <v>638700</v>
      </c>
      <c r="Q178" s="33">
        <f t="shared" si="274"/>
        <v>638400</v>
      </c>
      <c r="R178" s="114">
        <f t="shared" ref="R178" si="275">SUM(R624:R626)</f>
        <v>638100</v>
      </c>
    </row>
    <row r="179" spans="1:18" x14ac:dyDescent="0.2">
      <c r="A179" s="107">
        <f>ROUND(SUM(A627:A627),-3)</f>
        <v>414000</v>
      </c>
      <c r="B179" s="33">
        <f>SUM(B627:B627)</f>
        <v>333000</v>
      </c>
      <c r="C179" s="99">
        <f>SUM(C627:C627)</f>
        <v>-30000</v>
      </c>
      <c r="D179" s="99">
        <f>SUM(D627:D627)</f>
        <v>-163000</v>
      </c>
      <c r="E179" s="343" t="s">
        <v>1821</v>
      </c>
      <c r="F179" s="77" t="s">
        <v>5396</v>
      </c>
      <c r="G179" s="33">
        <f t="shared" ref="G179:P179" si="276">SUM(G627:G627)</f>
        <v>0</v>
      </c>
      <c r="H179" s="138">
        <f>IF(D179=G179,0,IF(D179=0,100,(G179-D179)/D179*100))</f>
        <v>-100</v>
      </c>
      <c r="I179" s="33">
        <f t="shared" si="276"/>
        <v>0</v>
      </c>
      <c r="J179" s="33">
        <f t="shared" si="276"/>
        <v>0</v>
      </c>
      <c r="K179" s="33">
        <f t="shared" si="276"/>
        <v>0</v>
      </c>
      <c r="L179" s="33">
        <f t="shared" si="276"/>
        <v>0</v>
      </c>
      <c r="M179" s="33">
        <f t="shared" si="276"/>
        <v>0</v>
      </c>
      <c r="N179" s="33">
        <f t="shared" si="276"/>
        <v>0</v>
      </c>
      <c r="O179" s="33">
        <f t="shared" si="276"/>
        <v>0</v>
      </c>
      <c r="P179" s="33">
        <f t="shared" si="276"/>
        <v>0</v>
      </c>
      <c r="Q179" s="33">
        <f t="shared" ref="Q179" si="277">SUM(Q627:Q627)</f>
        <v>0</v>
      </c>
      <c r="R179" s="114">
        <f t="shared" ref="R179" si="278">SUM(R627:R627)</f>
        <v>0</v>
      </c>
    </row>
    <row r="180" spans="1:18" ht="13.5" thickBot="1" x14ac:dyDescent="0.25">
      <c r="A180" s="70"/>
      <c r="B180" s="64"/>
      <c r="C180" s="64"/>
      <c r="D180" s="64"/>
      <c r="E180" s="343"/>
      <c r="F180" s="74"/>
      <c r="G180" s="33"/>
      <c r="H180" s="179"/>
      <c r="I180" s="33"/>
      <c r="J180" s="33"/>
      <c r="K180" s="33"/>
      <c r="L180" s="33"/>
      <c r="M180" s="33"/>
      <c r="N180" s="33"/>
      <c r="O180" s="33"/>
      <c r="P180" s="33"/>
      <c r="Q180" s="33"/>
      <c r="R180" s="114"/>
    </row>
    <row r="181" spans="1:18" x14ac:dyDescent="0.2">
      <c r="A181" s="105">
        <f>SUM(A157:A180)</f>
        <v>21213000</v>
      </c>
      <c r="B181" s="53">
        <f>SUM(B157:B180)</f>
        <v>20300600</v>
      </c>
      <c r="C181" s="53">
        <f>SUM(C157:C180)</f>
        <v>22370900</v>
      </c>
      <c r="D181" s="53">
        <f>SUM(D157:D180)</f>
        <v>23415400</v>
      </c>
      <c r="E181" s="343"/>
      <c r="F181" s="522" t="s">
        <v>1019</v>
      </c>
      <c r="G181" s="53">
        <f t="shared" ref="G181:P181" si="279">SUM(G157:G180)</f>
        <v>24850300</v>
      </c>
      <c r="H181" s="180">
        <f>IF(D181=G181,0,IF(D181=0,100,(G181-D181)/D181*100))</f>
        <v>6.1280183127343539</v>
      </c>
      <c r="I181" s="53">
        <f t="shared" si="279"/>
        <v>25995800</v>
      </c>
      <c r="J181" s="53">
        <f t="shared" si="279"/>
        <v>27423600</v>
      </c>
      <c r="K181" s="53">
        <f t="shared" si="279"/>
        <v>29073200</v>
      </c>
      <c r="L181" s="53">
        <f t="shared" si="279"/>
        <v>29890400</v>
      </c>
      <c r="M181" s="53">
        <f t="shared" si="279"/>
        <v>30730800</v>
      </c>
      <c r="N181" s="53">
        <f t="shared" si="279"/>
        <v>31595500</v>
      </c>
      <c r="O181" s="53">
        <f t="shared" si="279"/>
        <v>32485500</v>
      </c>
      <c r="P181" s="53">
        <f t="shared" si="279"/>
        <v>33401200</v>
      </c>
      <c r="Q181" s="53">
        <f t="shared" ref="Q181" si="280">SUM(Q157:Q180)</f>
        <v>34343600</v>
      </c>
      <c r="R181" s="113">
        <f t="shared" ref="R181" si="281">SUM(R157:R180)</f>
        <v>35313300</v>
      </c>
    </row>
    <row r="182" spans="1:18" x14ac:dyDescent="0.2">
      <c r="A182" s="107">
        <f>-A179</f>
        <v>-414000</v>
      </c>
      <c r="B182" s="33">
        <f>-B179</f>
        <v>-333000</v>
      </c>
      <c r="C182" s="33">
        <f>-C179</f>
        <v>30000</v>
      </c>
      <c r="D182" s="33">
        <f>-D179</f>
        <v>163000</v>
      </c>
      <c r="E182" s="255"/>
      <c r="F182" s="320" t="s">
        <v>5397</v>
      </c>
      <c r="G182" s="455">
        <f>-G179</f>
        <v>0</v>
      </c>
      <c r="H182" s="138">
        <f>IF(D182=G182,0,IF(D182=0,100,(G182-D182)/D182*100))</f>
        <v>-100</v>
      </c>
      <c r="I182" s="33">
        <f t="shared" ref="I182:P182" si="282">-I179</f>
        <v>0</v>
      </c>
      <c r="J182" s="33">
        <f t="shared" si="282"/>
        <v>0</v>
      </c>
      <c r="K182" s="33">
        <f t="shared" si="282"/>
        <v>0</v>
      </c>
      <c r="L182" s="33">
        <f t="shared" si="282"/>
        <v>0</v>
      </c>
      <c r="M182" s="33">
        <f t="shared" si="282"/>
        <v>0</v>
      </c>
      <c r="N182" s="33">
        <f t="shared" si="282"/>
        <v>0</v>
      </c>
      <c r="O182" s="33">
        <f t="shared" si="282"/>
        <v>0</v>
      </c>
      <c r="P182" s="33">
        <f t="shared" si="282"/>
        <v>0</v>
      </c>
      <c r="Q182" s="33">
        <f t="shared" ref="Q182" si="283">-Q179</f>
        <v>0</v>
      </c>
      <c r="R182" s="114">
        <f t="shared" ref="R182" si="284">-R179</f>
        <v>0</v>
      </c>
    </row>
    <row r="183" spans="1:18" s="92" customFormat="1" x14ac:dyDescent="0.2">
      <c r="A183" s="181">
        <f t="shared" ref="A183:C183" si="285">A182+A181</f>
        <v>20799000</v>
      </c>
      <c r="B183" s="397">
        <f t="shared" si="285"/>
        <v>19967600</v>
      </c>
      <c r="C183" s="397">
        <f t="shared" si="285"/>
        <v>22400900</v>
      </c>
      <c r="D183" s="397">
        <f>D182+D181</f>
        <v>23578400</v>
      </c>
      <c r="E183" s="514"/>
      <c r="F183" s="515" t="s">
        <v>1687</v>
      </c>
      <c r="G183" s="709">
        <f t="shared" ref="G183:P183" si="286">G182+G181</f>
        <v>24850300</v>
      </c>
      <c r="H183" s="395">
        <f>IF(D183=G183,0,IF(D183=0,100,(G183-D183)/D183*100))</f>
        <v>5.3943439758422969</v>
      </c>
      <c r="I183" s="397">
        <f t="shared" si="286"/>
        <v>25995800</v>
      </c>
      <c r="J183" s="397">
        <f t="shared" si="286"/>
        <v>27423600</v>
      </c>
      <c r="K183" s="397">
        <f t="shared" si="286"/>
        <v>29073200</v>
      </c>
      <c r="L183" s="397">
        <f t="shared" si="286"/>
        <v>29890400</v>
      </c>
      <c r="M183" s="397">
        <f t="shared" si="286"/>
        <v>30730800</v>
      </c>
      <c r="N183" s="397">
        <f t="shared" si="286"/>
        <v>31595500</v>
      </c>
      <c r="O183" s="397">
        <f t="shared" si="286"/>
        <v>32485500</v>
      </c>
      <c r="P183" s="397">
        <f t="shared" si="286"/>
        <v>33401200</v>
      </c>
      <c r="Q183" s="397">
        <f t="shared" ref="Q183" si="287">Q182+Q181</f>
        <v>34343600</v>
      </c>
      <c r="R183" s="399">
        <f t="shared" ref="R183" si="288">R182+R181</f>
        <v>35313300</v>
      </c>
    </row>
    <row r="184" spans="1:18" ht="13.5" thickBot="1" x14ac:dyDescent="0.25">
      <c r="A184" s="73"/>
      <c r="B184" s="90"/>
      <c r="C184" s="90"/>
      <c r="D184" s="90"/>
      <c r="E184" s="285"/>
      <c r="F184" s="141"/>
      <c r="G184" s="330"/>
      <c r="H184" s="392"/>
      <c r="I184" s="121"/>
      <c r="J184" s="121"/>
      <c r="K184" s="121"/>
      <c r="L184" s="121"/>
      <c r="M184" s="121"/>
      <c r="N184" s="121"/>
      <c r="O184" s="121"/>
      <c r="P184" s="121"/>
      <c r="Q184" s="121"/>
      <c r="R184" s="161"/>
    </row>
    <row r="185" spans="1:18" ht="13.5" thickTop="1" x14ac:dyDescent="0.2">
      <c r="A185" s="383"/>
      <c r="B185" s="162"/>
      <c r="C185" s="162"/>
      <c r="D185" s="162"/>
      <c r="E185" s="286"/>
      <c r="F185" s="367"/>
      <c r="G185" s="176"/>
      <c r="H185" s="505"/>
      <c r="I185" s="127"/>
      <c r="J185" s="127"/>
      <c r="K185" s="127"/>
      <c r="L185" s="127"/>
      <c r="M185" s="127"/>
      <c r="N185" s="127"/>
      <c r="O185" s="127"/>
      <c r="P185" s="127"/>
      <c r="Q185" s="127"/>
      <c r="R185" s="163"/>
    </row>
    <row r="186" spans="1:18" x14ac:dyDescent="0.2">
      <c r="A186" s="70"/>
      <c r="B186" s="64"/>
      <c r="C186" s="64"/>
      <c r="D186" s="64"/>
      <c r="E186" s="283"/>
      <c r="F186" s="516" t="s">
        <v>196</v>
      </c>
      <c r="H186" s="179"/>
      <c r="I186" s="33"/>
      <c r="J186" s="33"/>
      <c r="K186" s="33"/>
      <c r="L186" s="33"/>
      <c r="M186" s="33"/>
      <c r="N186" s="33"/>
      <c r="O186" s="33"/>
      <c r="P186" s="33"/>
      <c r="Q186" s="33"/>
      <c r="R186" s="114"/>
    </row>
    <row r="187" spans="1:18" x14ac:dyDescent="0.2">
      <c r="A187" s="70"/>
      <c r="B187" s="64"/>
      <c r="C187" s="64"/>
      <c r="D187" s="64"/>
      <c r="E187" s="283"/>
      <c r="F187" s="371"/>
      <c r="H187" s="179"/>
      <c r="I187" s="33"/>
      <c r="J187" s="33"/>
      <c r="K187" s="33"/>
      <c r="L187" s="33"/>
      <c r="M187" s="33"/>
      <c r="N187" s="33"/>
      <c r="O187" s="33"/>
      <c r="P187" s="33"/>
      <c r="Q187" s="33"/>
      <c r="R187" s="114"/>
    </row>
    <row r="188" spans="1:18" x14ac:dyDescent="0.2">
      <c r="A188" s="107">
        <f>ROUND(A636,-3)</f>
        <v>0</v>
      </c>
      <c r="B188" s="33">
        <f t="shared" ref="B188:C192" si="289">B636</f>
        <v>0</v>
      </c>
      <c r="C188" s="33">
        <f t="shared" si="289"/>
        <v>0</v>
      </c>
      <c r="D188" s="33">
        <f>D636</f>
        <v>0</v>
      </c>
      <c r="E188" s="238"/>
      <c r="F188" s="366" t="s">
        <v>2900</v>
      </c>
      <c r="G188" s="99">
        <f t="shared" ref="G188:O188" si="290">G636</f>
        <v>0</v>
      </c>
      <c r="H188" s="138"/>
      <c r="I188" s="33">
        <f t="shared" si="290"/>
        <v>0</v>
      </c>
      <c r="J188" s="33">
        <f t="shared" si="290"/>
        <v>0</v>
      </c>
      <c r="K188" s="33">
        <f t="shared" si="290"/>
        <v>0</v>
      </c>
      <c r="L188" s="33">
        <f t="shared" si="290"/>
        <v>0</v>
      </c>
      <c r="M188" s="33">
        <f t="shared" si="290"/>
        <v>0</v>
      </c>
      <c r="N188" s="33">
        <f t="shared" si="290"/>
        <v>0</v>
      </c>
      <c r="O188" s="33">
        <f t="shared" si="290"/>
        <v>0</v>
      </c>
      <c r="P188" s="33">
        <f t="shared" ref="P188:Q188" si="291">P636</f>
        <v>0</v>
      </c>
      <c r="Q188" s="33">
        <f t="shared" si="291"/>
        <v>0</v>
      </c>
      <c r="R188" s="114">
        <f t="shared" ref="R188" si="292">R636</f>
        <v>0</v>
      </c>
    </row>
    <row r="189" spans="1:18" x14ac:dyDescent="0.2">
      <c r="A189" s="107">
        <f>ROUND(A637,-3)</f>
        <v>1789000</v>
      </c>
      <c r="B189" s="33">
        <f t="shared" si="289"/>
        <v>0</v>
      </c>
      <c r="C189" s="142">
        <f t="shared" si="289"/>
        <v>0</v>
      </c>
      <c r="D189" s="142">
        <f>D637</f>
        <v>0</v>
      </c>
      <c r="E189" s="238"/>
      <c r="F189" s="366" t="s">
        <v>1942</v>
      </c>
      <c r="G189" s="99">
        <f t="shared" ref="G189:O189" si="293">G637</f>
        <v>0</v>
      </c>
      <c r="H189" s="138"/>
      <c r="I189" s="33">
        <f t="shared" si="293"/>
        <v>0</v>
      </c>
      <c r="J189" s="33">
        <f t="shared" si="293"/>
        <v>0</v>
      </c>
      <c r="K189" s="33">
        <f t="shared" si="293"/>
        <v>0</v>
      </c>
      <c r="L189" s="33">
        <f t="shared" si="293"/>
        <v>0</v>
      </c>
      <c r="M189" s="33">
        <f t="shared" si="293"/>
        <v>0</v>
      </c>
      <c r="N189" s="33">
        <f t="shared" si="293"/>
        <v>0</v>
      </c>
      <c r="O189" s="33">
        <f t="shared" si="293"/>
        <v>0</v>
      </c>
      <c r="P189" s="33">
        <f t="shared" ref="P189:Q189" si="294">P637</f>
        <v>0</v>
      </c>
      <c r="Q189" s="33">
        <f t="shared" si="294"/>
        <v>0</v>
      </c>
      <c r="R189" s="114">
        <f t="shared" ref="R189" si="295">R637</f>
        <v>0</v>
      </c>
    </row>
    <row r="190" spans="1:18" x14ac:dyDescent="0.2">
      <c r="A190" s="107">
        <f>ROUND(A638,-3)</f>
        <v>1757000</v>
      </c>
      <c r="B190" s="33">
        <f t="shared" si="289"/>
        <v>1789000</v>
      </c>
      <c r="C190" s="33">
        <f t="shared" si="289"/>
        <v>0</v>
      </c>
      <c r="D190" s="33">
        <f>D638</f>
        <v>0</v>
      </c>
      <c r="E190" s="238"/>
      <c r="F190" s="366" t="s">
        <v>2348</v>
      </c>
      <c r="G190" s="99">
        <f t="shared" ref="G190:O190" si="296">G638</f>
        <v>0</v>
      </c>
      <c r="H190" s="138"/>
      <c r="I190" s="33">
        <f t="shared" si="296"/>
        <v>0</v>
      </c>
      <c r="J190" s="33">
        <f t="shared" si="296"/>
        <v>0</v>
      </c>
      <c r="K190" s="33">
        <f t="shared" si="296"/>
        <v>0</v>
      </c>
      <c r="L190" s="33">
        <f t="shared" si="296"/>
        <v>0</v>
      </c>
      <c r="M190" s="33">
        <f t="shared" si="296"/>
        <v>0</v>
      </c>
      <c r="N190" s="33">
        <f t="shared" si="296"/>
        <v>0</v>
      </c>
      <c r="O190" s="33">
        <f t="shared" si="296"/>
        <v>0</v>
      </c>
      <c r="P190" s="33">
        <f t="shared" ref="P190:Q190" si="297">P638</f>
        <v>0</v>
      </c>
      <c r="Q190" s="33">
        <f t="shared" si="297"/>
        <v>0</v>
      </c>
      <c r="R190" s="114">
        <f t="shared" ref="R190" si="298">R638</f>
        <v>0</v>
      </c>
    </row>
    <row r="191" spans="1:18" x14ac:dyDescent="0.2">
      <c r="A191" s="107">
        <f>ROUND(A639,-3)</f>
        <v>0</v>
      </c>
      <c r="B191" s="33">
        <f t="shared" si="289"/>
        <v>0</v>
      </c>
      <c r="C191" s="33">
        <f t="shared" si="289"/>
        <v>0</v>
      </c>
      <c r="D191" s="33">
        <f>D639</f>
        <v>0</v>
      </c>
      <c r="E191" s="238"/>
      <c r="F191" s="366" t="s">
        <v>5984</v>
      </c>
      <c r="G191" s="99">
        <f t="shared" ref="G191:O191" si="299">G639</f>
        <v>0</v>
      </c>
      <c r="H191" s="138"/>
      <c r="I191" s="33">
        <f t="shared" si="299"/>
        <v>0</v>
      </c>
      <c r="J191" s="33">
        <f t="shared" si="299"/>
        <v>0</v>
      </c>
      <c r="K191" s="33">
        <f t="shared" si="299"/>
        <v>0</v>
      </c>
      <c r="L191" s="33">
        <f t="shared" si="299"/>
        <v>0</v>
      </c>
      <c r="M191" s="33">
        <f t="shared" si="299"/>
        <v>0</v>
      </c>
      <c r="N191" s="33">
        <f t="shared" si="299"/>
        <v>0</v>
      </c>
      <c r="O191" s="33">
        <f t="shared" si="299"/>
        <v>0</v>
      </c>
      <c r="P191" s="33">
        <f t="shared" ref="P191:Q191" si="300">P639</f>
        <v>0</v>
      </c>
      <c r="Q191" s="33">
        <f t="shared" si="300"/>
        <v>0</v>
      </c>
      <c r="R191" s="114">
        <f t="shared" ref="R191" si="301">R639</f>
        <v>0</v>
      </c>
    </row>
    <row r="192" spans="1:18" x14ac:dyDescent="0.2">
      <c r="A192" s="107">
        <f>ROUND(A640,-3)</f>
        <v>0</v>
      </c>
      <c r="B192" s="33">
        <f t="shared" si="289"/>
        <v>0</v>
      </c>
      <c r="C192" s="33">
        <f t="shared" si="289"/>
        <v>0</v>
      </c>
      <c r="D192" s="33">
        <f>D640</f>
        <v>0</v>
      </c>
      <c r="E192" s="238"/>
      <c r="F192" s="366" t="s">
        <v>972</v>
      </c>
      <c r="G192" s="99">
        <f t="shared" ref="G192:O192" si="302">G640</f>
        <v>0</v>
      </c>
      <c r="H192" s="138"/>
      <c r="I192" s="33">
        <f t="shared" si="302"/>
        <v>0</v>
      </c>
      <c r="J192" s="33">
        <f t="shared" si="302"/>
        <v>0</v>
      </c>
      <c r="K192" s="33">
        <f t="shared" si="302"/>
        <v>0</v>
      </c>
      <c r="L192" s="33">
        <f t="shared" si="302"/>
        <v>0</v>
      </c>
      <c r="M192" s="33">
        <f t="shared" si="302"/>
        <v>0</v>
      </c>
      <c r="N192" s="33">
        <f t="shared" si="302"/>
        <v>0</v>
      </c>
      <c r="O192" s="33">
        <f t="shared" si="302"/>
        <v>0</v>
      </c>
      <c r="P192" s="33">
        <f t="shared" ref="P192:Q192" si="303">P640</f>
        <v>0</v>
      </c>
      <c r="Q192" s="33">
        <f t="shared" si="303"/>
        <v>0</v>
      </c>
      <c r="R192" s="114">
        <f t="shared" ref="R192" si="304">R640</f>
        <v>0</v>
      </c>
    </row>
    <row r="193" spans="1:18" x14ac:dyDescent="0.2">
      <c r="A193" s="107"/>
      <c r="B193" s="33"/>
      <c r="C193" s="33"/>
      <c r="D193" s="33"/>
      <c r="E193" s="283"/>
      <c r="F193" s="516"/>
      <c r="H193" s="138"/>
      <c r="I193" s="33"/>
      <c r="J193" s="33"/>
      <c r="K193" s="33"/>
      <c r="L193" s="33"/>
      <c r="M193" s="33"/>
      <c r="N193" s="33"/>
      <c r="O193" s="33"/>
      <c r="P193" s="33"/>
      <c r="Q193" s="33"/>
      <c r="R193" s="114"/>
    </row>
    <row r="194" spans="1:18" s="92" customFormat="1" x14ac:dyDescent="0.2">
      <c r="A194" s="181">
        <f>A183-A188-A189+A190++A191-A192</f>
        <v>20767000</v>
      </c>
      <c r="B194" s="397">
        <f>B183-B188-B189+B190++B191-B192</f>
        <v>21756600</v>
      </c>
      <c r="C194" s="397">
        <f>C183-C188-C189+C190++C191-C192</f>
        <v>22400900</v>
      </c>
      <c r="D194" s="397">
        <f>D183-D188-D189+D190++D191-D192</f>
        <v>23578400</v>
      </c>
      <c r="E194" s="517"/>
      <c r="F194" s="518" t="s">
        <v>2490</v>
      </c>
      <c r="G194" s="709">
        <f t="shared" ref="G194:O194" si="305">G183-G188-G189+G190++G191-G192</f>
        <v>24850300</v>
      </c>
      <c r="H194" s="395">
        <f>IF(D194=G194,0,IF(D194=0,100,(G194-D194)/D194*100))</f>
        <v>5.3943439758422969</v>
      </c>
      <c r="I194" s="397">
        <f t="shared" si="305"/>
        <v>25995800</v>
      </c>
      <c r="J194" s="397">
        <f t="shared" si="305"/>
        <v>27423600</v>
      </c>
      <c r="K194" s="397">
        <f t="shared" si="305"/>
        <v>29073200</v>
      </c>
      <c r="L194" s="397">
        <f t="shared" si="305"/>
        <v>29890400</v>
      </c>
      <c r="M194" s="397">
        <f t="shared" si="305"/>
        <v>30730800</v>
      </c>
      <c r="N194" s="397">
        <f t="shared" si="305"/>
        <v>31595500</v>
      </c>
      <c r="O194" s="397">
        <f t="shared" si="305"/>
        <v>32485500</v>
      </c>
      <c r="P194" s="397">
        <f t="shared" ref="P194:Q194" si="306">P183-P188-P189+P190++P191-P192</f>
        <v>33401200</v>
      </c>
      <c r="Q194" s="397">
        <f t="shared" si="306"/>
        <v>34343600</v>
      </c>
      <c r="R194" s="399">
        <f t="shared" ref="R194" si="307">R183-R188-R189+R190++R191-R192</f>
        <v>35313300</v>
      </c>
    </row>
    <row r="195" spans="1:18" ht="13.5" thickBot="1" x14ac:dyDescent="0.25">
      <c r="A195" s="73"/>
      <c r="B195" s="90"/>
      <c r="C195" s="90"/>
      <c r="D195" s="90"/>
      <c r="E195" s="284"/>
      <c r="F195" s="368"/>
      <c r="G195" s="174"/>
      <c r="H195" s="392"/>
      <c r="I195" s="66"/>
      <c r="J195" s="66"/>
      <c r="K195" s="66"/>
      <c r="L195" s="66"/>
      <c r="M195" s="66"/>
      <c r="N195" s="66"/>
      <c r="O195" s="66"/>
      <c r="P195" s="66"/>
      <c r="Q195" s="66"/>
      <c r="R195" s="165"/>
    </row>
    <row r="196" spans="1:18" ht="13.5" thickTop="1" x14ac:dyDescent="0.2">
      <c r="A196" s="99"/>
      <c r="B196" s="99"/>
      <c r="E196" s="283"/>
      <c r="F196" s="108"/>
      <c r="H196" s="123"/>
    </row>
    <row r="197" spans="1:18" ht="13.5" thickBot="1" x14ac:dyDescent="0.25">
      <c r="A197" s="74"/>
      <c r="B197" s="74"/>
      <c r="C197" s="74"/>
      <c r="D197" s="74"/>
      <c r="E197" s="283"/>
      <c r="F197" s="137"/>
      <c r="H197" s="2484"/>
      <c r="I197" s="99"/>
      <c r="J197" s="99"/>
      <c r="K197" s="99"/>
      <c r="L197" s="99"/>
      <c r="M197" s="99"/>
      <c r="N197" s="99"/>
      <c r="O197" s="99"/>
      <c r="P197" s="99"/>
      <c r="Q197" s="99"/>
      <c r="R197" s="99"/>
    </row>
    <row r="198" spans="1:18" s="91" customFormat="1" ht="18.75" customHeight="1" thickTop="1" thickBot="1" x14ac:dyDescent="0.3">
      <c r="A198" s="2862" t="s">
        <v>799</v>
      </c>
      <c r="B198" s="2863"/>
      <c r="C198" s="2863"/>
      <c r="D198" s="2863"/>
      <c r="E198" s="2863"/>
      <c r="F198" s="2863"/>
      <c r="G198" s="2863"/>
      <c r="H198" s="2863"/>
      <c r="I198" s="2863"/>
      <c r="J198" s="2863"/>
      <c r="K198" s="2863"/>
      <c r="L198" s="2863"/>
      <c r="M198" s="2863"/>
      <c r="N198" s="2863"/>
      <c r="O198" s="2863"/>
      <c r="P198" s="2863"/>
      <c r="Q198" s="2863"/>
      <c r="R198" s="2864"/>
    </row>
    <row r="199" spans="1:18" s="44" customFormat="1" x14ac:dyDescent="0.2">
      <c r="A199" s="2888" t="s">
        <v>1856</v>
      </c>
      <c r="B199" s="2889"/>
      <c r="C199" s="2889"/>
      <c r="D199" s="2890"/>
      <c r="E199" s="513" t="s">
        <v>2663</v>
      </c>
      <c r="F199" s="2649" t="s">
        <v>2251</v>
      </c>
      <c r="G199" s="2885" t="s">
        <v>2253</v>
      </c>
      <c r="H199" s="2886"/>
      <c r="I199" s="2886"/>
      <c r="J199" s="2886"/>
      <c r="K199" s="2886"/>
      <c r="L199" s="2886"/>
      <c r="M199" s="2886"/>
      <c r="N199" s="2886"/>
      <c r="O199" s="2886"/>
      <c r="P199" s="2886"/>
      <c r="Q199" s="2886"/>
      <c r="R199" s="2887"/>
    </row>
    <row r="200" spans="1:18" s="23" customFormat="1" ht="13.5" thickBot="1" x14ac:dyDescent="0.25">
      <c r="A200" s="208" t="str">
        <f>A3</f>
        <v>2012/13</v>
      </c>
      <c r="B200" s="75" t="str">
        <f>B3</f>
        <v>2013/14</v>
      </c>
      <c r="C200" s="370" t="str">
        <f>C3</f>
        <v>2014/15</v>
      </c>
      <c r="D200" s="93" t="str">
        <f>D3</f>
        <v>2015/16</v>
      </c>
      <c r="E200" s="370" t="s">
        <v>2664</v>
      </c>
      <c r="F200" s="42"/>
      <c r="G200" s="93" t="str">
        <f>G3</f>
        <v>2016/17</v>
      </c>
      <c r="H200" s="2492" t="s">
        <v>501</v>
      </c>
      <c r="I200" s="370" t="str">
        <f t="shared" ref="I200:Q200" si="308">I3</f>
        <v>2017/18</v>
      </c>
      <c r="J200" s="370" t="str">
        <f t="shared" si="308"/>
        <v>2018/19</v>
      </c>
      <c r="K200" s="370" t="str">
        <f t="shared" si="308"/>
        <v>2019/20</v>
      </c>
      <c r="L200" s="370" t="str">
        <f t="shared" si="308"/>
        <v>2020/21</v>
      </c>
      <c r="M200" s="370" t="str">
        <f t="shared" si="308"/>
        <v>2021/22</v>
      </c>
      <c r="N200" s="370" t="str">
        <f t="shared" si="308"/>
        <v>2022/23</v>
      </c>
      <c r="O200" s="370" t="str">
        <f t="shared" si="308"/>
        <v>2023/24</v>
      </c>
      <c r="P200" s="370" t="str">
        <f t="shared" si="308"/>
        <v>2024/25</v>
      </c>
      <c r="Q200" s="218" t="str">
        <f t="shared" si="308"/>
        <v>2025/26</v>
      </c>
      <c r="R200" s="549" t="str">
        <f t="shared" ref="R200" si="309">R3</f>
        <v>2026/27</v>
      </c>
    </row>
    <row r="201" spans="1:18" x14ac:dyDescent="0.2">
      <c r="A201" s="107"/>
      <c r="B201" s="33"/>
      <c r="C201" s="33"/>
      <c r="D201" s="33"/>
      <c r="E201" s="252"/>
      <c r="F201" s="74"/>
      <c r="G201" s="33"/>
      <c r="H201" s="138"/>
      <c r="I201" s="33"/>
      <c r="J201" s="33"/>
      <c r="K201" s="33"/>
      <c r="L201" s="33"/>
      <c r="M201" s="33"/>
      <c r="N201" s="33"/>
      <c r="O201" s="33"/>
      <c r="P201" s="33"/>
      <c r="Q201" s="33"/>
      <c r="R201" s="114"/>
    </row>
    <row r="202" spans="1:18" x14ac:dyDescent="0.2">
      <c r="A202" s="107"/>
      <c r="B202" s="33"/>
      <c r="C202" s="33"/>
      <c r="D202" s="33"/>
      <c r="E202" s="252"/>
      <c r="F202" s="144" t="s">
        <v>1073</v>
      </c>
      <c r="G202" s="33"/>
      <c r="H202" s="138"/>
      <c r="I202" s="33"/>
      <c r="J202" s="33"/>
      <c r="K202" s="33"/>
      <c r="L202" s="33"/>
      <c r="M202" s="33"/>
      <c r="N202" s="33"/>
      <c r="O202" s="33"/>
      <c r="P202" s="33"/>
      <c r="Q202" s="33"/>
      <c r="R202" s="114"/>
    </row>
    <row r="203" spans="1:18" x14ac:dyDescent="0.2">
      <c r="A203" s="107"/>
      <c r="B203" s="33"/>
      <c r="C203" s="33"/>
      <c r="D203" s="33"/>
      <c r="E203" s="252"/>
      <c r="F203" s="74"/>
      <c r="G203" s="33"/>
      <c r="H203" s="138"/>
      <c r="I203" s="33"/>
      <c r="J203" s="33"/>
      <c r="K203" s="33"/>
      <c r="L203" s="33"/>
      <c r="M203" s="33"/>
      <c r="N203" s="33"/>
      <c r="O203" s="33"/>
      <c r="P203" s="33"/>
      <c r="Q203" s="33"/>
      <c r="R203" s="114"/>
    </row>
    <row r="204" spans="1:18" x14ac:dyDescent="0.2">
      <c r="A204" s="107"/>
      <c r="B204" s="33"/>
      <c r="D204" s="33"/>
      <c r="E204" s="343"/>
      <c r="F204" s="116" t="s">
        <v>2881</v>
      </c>
      <c r="G204" s="33"/>
      <c r="H204" s="138"/>
      <c r="I204" s="33"/>
      <c r="J204" s="33"/>
      <c r="K204" s="33"/>
      <c r="L204" s="33"/>
      <c r="M204" s="33"/>
      <c r="N204" s="33"/>
      <c r="O204" s="33"/>
      <c r="P204" s="33"/>
      <c r="Q204" s="33"/>
      <c r="R204" s="114"/>
    </row>
    <row r="205" spans="1:18" x14ac:dyDescent="0.2">
      <c r="A205" s="107">
        <f>ROUND(SUM(A651:A653),-3)</f>
        <v>58000</v>
      </c>
      <c r="B205" s="33">
        <f>SUM(B651:B653)</f>
        <v>78500</v>
      </c>
      <c r="C205" s="99">
        <f>SUM(C651:C653)</f>
        <v>94000</v>
      </c>
      <c r="D205" s="33">
        <f>SUM(D651:D653)</f>
        <v>101800</v>
      </c>
      <c r="E205" s="343" t="s">
        <v>1822</v>
      </c>
      <c r="F205" s="33" t="s">
        <v>2602</v>
      </c>
      <c r="G205" s="33">
        <f t="shared" ref="G205:P205" si="310">SUM(G651:G653)</f>
        <v>98000</v>
      </c>
      <c r="H205" s="138">
        <f>IF(D205=G205,0,IF(D205=0,100,(G205-D205)/D205*100))</f>
        <v>-3.7328094302554029</v>
      </c>
      <c r="I205" s="33">
        <f t="shared" si="310"/>
        <v>99600</v>
      </c>
      <c r="J205" s="33">
        <f t="shared" si="310"/>
        <v>102200</v>
      </c>
      <c r="K205" s="33">
        <f t="shared" si="310"/>
        <v>104800</v>
      </c>
      <c r="L205" s="33">
        <f t="shared" si="310"/>
        <v>107500</v>
      </c>
      <c r="M205" s="33">
        <f t="shared" si="310"/>
        <v>109700</v>
      </c>
      <c r="N205" s="33">
        <f t="shared" si="310"/>
        <v>112000</v>
      </c>
      <c r="O205" s="33">
        <f t="shared" si="310"/>
        <v>114300</v>
      </c>
      <c r="P205" s="33">
        <f t="shared" si="310"/>
        <v>116700</v>
      </c>
      <c r="Q205" s="33">
        <f t="shared" ref="Q205" si="311">SUM(Q651:Q653)</f>
        <v>119100</v>
      </c>
      <c r="R205" s="114">
        <f t="shared" ref="R205" si="312">SUM(R651:R653)</f>
        <v>121600</v>
      </c>
    </row>
    <row r="206" spans="1:18" x14ac:dyDescent="0.2">
      <c r="A206" s="107">
        <f>ROUND(A654,-3)</f>
        <v>26000</v>
      </c>
      <c r="B206" s="33">
        <f>B654</f>
        <v>28900</v>
      </c>
      <c r="C206" s="99">
        <f>SUM(C654:C657)</f>
        <v>27000</v>
      </c>
      <c r="D206" s="33">
        <f>SUM(D654:D657)</f>
        <v>28900</v>
      </c>
      <c r="E206" s="343" t="s">
        <v>1822</v>
      </c>
      <c r="F206" s="33" t="s">
        <v>1504</v>
      </c>
      <c r="G206" s="33">
        <f t="shared" ref="G206:O206" si="313">SUM(G654:G657)</f>
        <v>30700</v>
      </c>
      <c r="H206" s="138">
        <f>IF(D206=G206,0,IF(D206=0,100,(G206-D206)/D206*100))</f>
        <v>6.2283737024221448</v>
      </c>
      <c r="I206" s="33">
        <f t="shared" si="313"/>
        <v>31400</v>
      </c>
      <c r="J206" s="33">
        <f t="shared" si="313"/>
        <v>32400</v>
      </c>
      <c r="K206" s="33">
        <f t="shared" si="313"/>
        <v>33400</v>
      </c>
      <c r="L206" s="33">
        <f t="shared" si="313"/>
        <v>34500</v>
      </c>
      <c r="M206" s="33">
        <f t="shared" si="313"/>
        <v>35500</v>
      </c>
      <c r="N206" s="33">
        <f t="shared" si="313"/>
        <v>36500</v>
      </c>
      <c r="O206" s="33">
        <f t="shared" si="313"/>
        <v>37500</v>
      </c>
      <c r="P206" s="33">
        <f t="shared" ref="P206:Q206" si="314">SUM(P654:P657)</f>
        <v>38500</v>
      </c>
      <c r="Q206" s="33">
        <f t="shared" si="314"/>
        <v>39500</v>
      </c>
      <c r="R206" s="114">
        <f t="shared" ref="R206" si="315">SUM(R654:R657)</f>
        <v>40500</v>
      </c>
    </row>
    <row r="207" spans="1:18" x14ac:dyDescent="0.2">
      <c r="A207" s="107">
        <f>ROUND(SUM(A658:A660),-3)</f>
        <v>11000</v>
      </c>
      <c r="B207" s="33">
        <f>SUM(B658:B662)</f>
        <v>30300</v>
      </c>
      <c r="C207" s="99">
        <f>SUM(C658:C662)</f>
        <v>28900</v>
      </c>
      <c r="D207" s="33">
        <f>SUM(D658:D662)</f>
        <v>66200</v>
      </c>
      <c r="E207" s="343" t="s">
        <v>1822</v>
      </c>
      <c r="F207" s="33" t="s">
        <v>2428</v>
      </c>
      <c r="G207" s="33">
        <f t="shared" ref="G207:O207" si="316">SUM(G658:G662)</f>
        <v>50000</v>
      </c>
      <c r="H207" s="138">
        <f>IF(D207=G207,0,IF(D207=0,100,(G207-D207)/D207*100))</f>
        <v>-24.471299093655588</v>
      </c>
      <c r="I207" s="33">
        <f t="shared" si="316"/>
        <v>50800</v>
      </c>
      <c r="J207" s="33">
        <f t="shared" si="316"/>
        <v>54200</v>
      </c>
      <c r="K207" s="33">
        <f t="shared" si="316"/>
        <v>57800</v>
      </c>
      <c r="L207" s="33">
        <f t="shared" si="316"/>
        <v>59700</v>
      </c>
      <c r="M207" s="33">
        <f t="shared" si="316"/>
        <v>61700</v>
      </c>
      <c r="N207" s="33">
        <f t="shared" si="316"/>
        <v>63700</v>
      </c>
      <c r="O207" s="33">
        <f t="shared" si="316"/>
        <v>65800</v>
      </c>
      <c r="P207" s="33">
        <f t="shared" ref="P207:Q207" si="317">SUM(P658:P662)</f>
        <v>68000</v>
      </c>
      <c r="Q207" s="33">
        <f t="shared" si="317"/>
        <v>70200</v>
      </c>
      <c r="R207" s="114">
        <f t="shared" ref="R207" si="318">SUM(R658:R662)</f>
        <v>72500</v>
      </c>
    </row>
    <row r="208" spans="1:18" x14ac:dyDescent="0.2">
      <c r="A208" s="107"/>
      <c r="B208" s="33"/>
      <c r="D208" s="33"/>
      <c r="E208" s="344"/>
      <c r="F208" s="33"/>
      <c r="G208" s="33"/>
      <c r="H208" s="138"/>
      <c r="I208" s="33"/>
      <c r="J208" s="33"/>
      <c r="K208" s="33"/>
      <c r="L208" s="33"/>
      <c r="M208" s="33"/>
      <c r="N208" s="33"/>
      <c r="O208" s="33"/>
      <c r="P208" s="33"/>
      <c r="Q208" s="33"/>
      <c r="R208" s="114"/>
    </row>
    <row r="209" spans="1:18" x14ac:dyDescent="0.2">
      <c r="A209" s="107"/>
      <c r="B209" s="33"/>
      <c r="D209" s="33"/>
      <c r="E209" s="344"/>
      <c r="F209" s="64" t="s">
        <v>285</v>
      </c>
      <c r="G209" s="33"/>
      <c r="H209" s="138"/>
      <c r="I209" s="33"/>
      <c r="J209" s="33"/>
      <c r="K209" s="33"/>
      <c r="L209" s="33"/>
      <c r="M209" s="33"/>
      <c r="N209" s="33"/>
      <c r="O209" s="33"/>
      <c r="P209" s="33"/>
      <c r="Q209" s="33"/>
      <c r="R209" s="114"/>
    </row>
    <row r="210" spans="1:18" x14ac:dyDescent="0.2">
      <c r="A210" s="107">
        <f>ROUND(SUM(A664:A665),-3)</f>
        <v>61000</v>
      </c>
      <c r="B210" s="33">
        <f>SUM(B664:B665)</f>
        <v>54000</v>
      </c>
      <c r="C210" s="99">
        <f>SUM(C664:C665)</f>
        <v>54000</v>
      </c>
      <c r="D210" s="33">
        <f>SUM(D664:D665)</f>
        <v>77100</v>
      </c>
      <c r="E210" s="344" t="s">
        <v>1822</v>
      </c>
      <c r="F210" s="33" t="s">
        <v>1722</v>
      </c>
      <c r="G210" s="33">
        <f t="shared" ref="G210:O210" si="319">SUM(G664:G665)</f>
        <v>54000</v>
      </c>
      <c r="H210" s="138">
        <f>IF(D210=G210,0,IF(D210=0,100,(G210-D210)/D210*100))</f>
        <v>-29.961089494163424</v>
      </c>
      <c r="I210" s="33">
        <f t="shared" si="319"/>
        <v>54000</v>
      </c>
      <c r="J210" s="33">
        <f t="shared" si="319"/>
        <v>54000</v>
      </c>
      <c r="K210" s="33">
        <f t="shared" si="319"/>
        <v>54000</v>
      </c>
      <c r="L210" s="33">
        <f t="shared" si="319"/>
        <v>54000</v>
      </c>
      <c r="M210" s="33">
        <f t="shared" si="319"/>
        <v>54000</v>
      </c>
      <c r="N210" s="33">
        <f t="shared" si="319"/>
        <v>54000</v>
      </c>
      <c r="O210" s="33">
        <f t="shared" si="319"/>
        <v>54000</v>
      </c>
      <c r="P210" s="33">
        <f t="shared" ref="P210:Q210" si="320">SUM(P664:P665)</f>
        <v>54000</v>
      </c>
      <c r="Q210" s="33">
        <f t="shared" si="320"/>
        <v>54000</v>
      </c>
      <c r="R210" s="114">
        <f t="shared" ref="R210" si="321">SUM(R664:R665)</f>
        <v>54000</v>
      </c>
    </row>
    <row r="211" spans="1:18" ht="13.5" thickBot="1" x14ac:dyDescent="0.25">
      <c r="A211" s="70"/>
      <c r="B211" s="64"/>
      <c r="C211" s="64"/>
      <c r="D211" s="64"/>
      <c r="E211" s="343"/>
      <c r="F211" s="74"/>
      <c r="G211" s="33"/>
      <c r="H211" s="179"/>
      <c r="I211" s="33"/>
      <c r="J211" s="33"/>
      <c r="K211" s="33"/>
      <c r="L211" s="33"/>
      <c r="M211" s="33"/>
      <c r="N211" s="33"/>
      <c r="O211" s="33"/>
      <c r="P211" s="33"/>
      <c r="Q211" s="33"/>
      <c r="R211" s="114"/>
    </row>
    <row r="212" spans="1:18" x14ac:dyDescent="0.2">
      <c r="A212" s="105">
        <f>SUM(A202:A211)</f>
        <v>156000</v>
      </c>
      <c r="B212" s="53">
        <f>SUM(B202:B211)</f>
        <v>191700</v>
      </c>
      <c r="C212" s="53">
        <f>SUM(C202:C211)</f>
        <v>203900</v>
      </c>
      <c r="D212" s="53">
        <f>SUM(D202:D211)</f>
        <v>274000</v>
      </c>
      <c r="E212" s="343"/>
      <c r="F212" s="112" t="s">
        <v>2605</v>
      </c>
      <c r="G212" s="53">
        <f t="shared" ref="G212:O212" si="322">SUM(G202:G211)</f>
        <v>232700</v>
      </c>
      <c r="H212" s="180">
        <f>IF(D212=G212,0,IF(D212=0,100,(G212-D212)/D212*100))</f>
        <v>-15.072992700729927</v>
      </c>
      <c r="I212" s="53">
        <f t="shared" si="322"/>
        <v>235800</v>
      </c>
      <c r="J212" s="53">
        <f t="shared" si="322"/>
        <v>242800</v>
      </c>
      <c r="K212" s="53">
        <f t="shared" si="322"/>
        <v>250000</v>
      </c>
      <c r="L212" s="53">
        <f t="shared" si="322"/>
        <v>255700</v>
      </c>
      <c r="M212" s="53">
        <f t="shared" si="322"/>
        <v>260900</v>
      </c>
      <c r="N212" s="53">
        <f t="shared" si="322"/>
        <v>266200</v>
      </c>
      <c r="O212" s="53">
        <f t="shared" si="322"/>
        <v>271600</v>
      </c>
      <c r="P212" s="53">
        <f t="shared" ref="P212:Q212" si="323">SUM(P202:P211)</f>
        <v>277200</v>
      </c>
      <c r="Q212" s="53">
        <f t="shared" si="323"/>
        <v>282800</v>
      </c>
      <c r="R212" s="113">
        <f t="shared" ref="R212" si="324">SUM(R202:R211)</f>
        <v>288600</v>
      </c>
    </row>
    <row r="213" spans="1:18" x14ac:dyDescent="0.2">
      <c r="A213" s="107"/>
      <c r="B213" s="33"/>
      <c r="C213" s="33"/>
      <c r="D213" s="33"/>
      <c r="E213" s="343"/>
      <c r="F213" s="112"/>
      <c r="G213" s="33"/>
      <c r="H213" s="138"/>
      <c r="I213" s="33"/>
      <c r="J213" s="33"/>
      <c r="K213" s="33"/>
      <c r="L213" s="33"/>
      <c r="M213" s="33"/>
      <c r="N213" s="33"/>
      <c r="O213" s="33"/>
      <c r="P213" s="33"/>
      <c r="Q213" s="33"/>
      <c r="R213" s="114"/>
    </row>
    <row r="214" spans="1:18" x14ac:dyDescent="0.2">
      <c r="A214" s="107"/>
      <c r="B214" s="33"/>
      <c r="C214" s="33"/>
      <c r="D214" s="33"/>
      <c r="E214" s="343"/>
      <c r="F214" s="144" t="s">
        <v>2205</v>
      </c>
      <c r="G214" s="33"/>
      <c r="H214" s="138"/>
      <c r="I214" s="33"/>
      <c r="J214" s="33"/>
      <c r="K214" s="33"/>
      <c r="L214" s="33"/>
      <c r="M214" s="33"/>
      <c r="N214" s="33"/>
      <c r="O214" s="33"/>
      <c r="P214" s="33"/>
      <c r="Q214" s="33"/>
      <c r="R214" s="114"/>
    </row>
    <row r="215" spans="1:18" x14ac:dyDescent="0.2">
      <c r="A215" s="107"/>
      <c r="B215" s="33"/>
      <c r="C215" s="33"/>
      <c r="D215" s="33"/>
      <c r="E215" s="343"/>
      <c r="F215" s="108"/>
      <c r="G215" s="33"/>
      <c r="H215" s="138"/>
      <c r="I215" s="33"/>
      <c r="J215" s="33"/>
      <c r="K215" s="33"/>
      <c r="L215" s="33"/>
      <c r="M215" s="33"/>
      <c r="N215" s="33"/>
      <c r="O215" s="33"/>
      <c r="P215" s="33"/>
      <c r="Q215" s="33"/>
      <c r="R215" s="114"/>
    </row>
    <row r="216" spans="1:18" x14ac:dyDescent="0.2">
      <c r="A216" s="107">
        <f>ROUND(SUM(A670:A673),-3)</f>
        <v>1078000</v>
      </c>
      <c r="B216" s="33">
        <f>SUM(B670:B673)</f>
        <v>1153000</v>
      </c>
      <c r="C216" s="99">
        <f>SUM(C670:C673)</f>
        <v>1026800</v>
      </c>
      <c r="D216" s="33">
        <f>SUM(D670:D673)</f>
        <v>1021700</v>
      </c>
      <c r="E216" s="344" t="s">
        <v>1823</v>
      </c>
      <c r="F216" s="366" t="s">
        <v>1249</v>
      </c>
      <c r="G216" s="33">
        <f t="shared" ref="G216:O216" si="325">SUM(G670:G673)</f>
        <v>1085500</v>
      </c>
      <c r="H216" s="138">
        <f>IF(D216=G216,0,IF(D216=0,100,(G216-D216)/D216*100))</f>
        <v>6.244494470000979</v>
      </c>
      <c r="I216" s="33">
        <f t="shared" si="325"/>
        <v>1154900</v>
      </c>
      <c r="J216" s="33">
        <f t="shared" si="325"/>
        <v>1183800</v>
      </c>
      <c r="K216" s="33">
        <f t="shared" si="325"/>
        <v>1213400</v>
      </c>
      <c r="L216" s="33">
        <f t="shared" si="325"/>
        <v>1243700</v>
      </c>
      <c r="M216" s="33">
        <f t="shared" si="325"/>
        <v>1274800</v>
      </c>
      <c r="N216" s="33">
        <f t="shared" si="325"/>
        <v>1306600</v>
      </c>
      <c r="O216" s="33">
        <f t="shared" si="325"/>
        <v>1339200</v>
      </c>
      <c r="P216" s="33">
        <f t="shared" ref="P216:Q216" si="326">SUM(P670:P673)</f>
        <v>1372600</v>
      </c>
      <c r="Q216" s="33">
        <f t="shared" si="326"/>
        <v>1406900</v>
      </c>
      <c r="R216" s="114">
        <f t="shared" ref="R216" si="327">SUM(R670:R673)</f>
        <v>1442000</v>
      </c>
    </row>
    <row r="217" spans="1:18" x14ac:dyDescent="0.2">
      <c r="A217" s="107">
        <f>ROUND(SUM(A674:A684),-3)</f>
        <v>85000</v>
      </c>
      <c r="B217" s="33">
        <f>SUM(B674:B684)</f>
        <v>85000</v>
      </c>
      <c r="C217" s="99">
        <f>SUM(C674:C684)</f>
        <v>83300</v>
      </c>
      <c r="D217" s="33">
        <f>SUM(D674:D684)</f>
        <v>89700</v>
      </c>
      <c r="E217" s="344" t="s">
        <v>1823</v>
      </c>
      <c r="F217" s="366" t="s">
        <v>607</v>
      </c>
      <c r="G217" s="33">
        <f t="shared" ref="G217:P217" si="328">SUM(G674:G684)</f>
        <v>94300</v>
      </c>
      <c r="H217" s="138">
        <f>IF(D217=G217,0,IF(D217=0,100,(G217-D217)/D217*100))</f>
        <v>5.1282051282051277</v>
      </c>
      <c r="I217" s="33">
        <f t="shared" si="328"/>
        <v>96300</v>
      </c>
      <c r="J217" s="33">
        <f t="shared" si="328"/>
        <v>99200</v>
      </c>
      <c r="K217" s="33">
        <f t="shared" si="328"/>
        <v>102100</v>
      </c>
      <c r="L217" s="33">
        <f t="shared" si="328"/>
        <v>105200</v>
      </c>
      <c r="M217" s="33">
        <f t="shared" si="328"/>
        <v>107800</v>
      </c>
      <c r="N217" s="33">
        <f t="shared" si="328"/>
        <v>110400</v>
      </c>
      <c r="O217" s="33">
        <f t="shared" si="328"/>
        <v>113000</v>
      </c>
      <c r="P217" s="33">
        <f t="shared" si="328"/>
        <v>115700</v>
      </c>
      <c r="Q217" s="33">
        <f t="shared" ref="Q217" si="329">SUM(Q674:Q684)</f>
        <v>118500</v>
      </c>
      <c r="R217" s="114">
        <f t="shared" ref="R217" si="330">SUM(R674:R684)</f>
        <v>121300</v>
      </c>
    </row>
    <row r="218" spans="1:18" x14ac:dyDescent="0.2">
      <c r="A218" s="107">
        <f>ROUND(SUM(A685:A688),-3)</f>
        <v>25000</v>
      </c>
      <c r="B218" s="33">
        <f>SUM(B685:B688)</f>
        <v>46800</v>
      </c>
      <c r="C218" s="99">
        <f>SUM(C685:C689)</f>
        <v>44500</v>
      </c>
      <c r="D218" s="33">
        <f>SUM(D685:D689)</f>
        <v>83400</v>
      </c>
      <c r="E218" s="344" t="s">
        <v>1824</v>
      </c>
      <c r="F218" s="366" t="s">
        <v>1797</v>
      </c>
      <c r="G218" s="33">
        <f t="shared" ref="G218:O218" si="331">SUM(G685:G689)</f>
        <v>71000</v>
      </c>
      <c r="H218" s="138">
        <f>IF(D218=G218,0,IF(D218=0,100,(G218-D218)/D218*100))</f>
        <v>-14.86810551558753</v>
      </c>
      <c r="I218" s="33">
        <f t="shared" si="331"/>
        <v>70100</v>
      </c>
      <c r="J218" s="33">
        <f t="shared" si="331"/>
        <v>72000</v>
      </c>
      <c r="K218" s="33">
        <f t="shared" si="331"/>
        <v>73900</v>
      </c>
      <c r="L218" s="33">
        <f t="shared" si="331"/>
        <v>75800</v>
      </c>
      <c r="M218" s="33">
        <f t="shared" si="331"/>
        <v>77400</v>
      </c>
      <c r="N218" s="33">
        <f t="shared" si="331"/>
        <v>79000</v>
      </c>
      <c r="O218" s="33">
        <f t="shared" si="331"/>
        <v>80700</v>
      </c>
      <c r="P218" s="33">
        <f t="shared" ref="P218:Q218" si="332">SUM(P685:P689)</f>
        <v>82400</v>
      </c>
      <c r="Q218" s="33">
        <f t="shared" si="332"/>
        <v>84100</v>
      </c>
      <c r="R218" s="114">
        <f t="shared" ref="R218" si="333">SUM(R685:R689)</f>
        <v>85900</v>
      </c>
    </row>
    <row r="219" spans="1:18" x14ac:dyDescent="0.2">
      <c r="A219" s="107">
        <f>ROUND(SUM(A690:A693),-3)</f>
        <v>89000</v>
      </c>
      <c r="B219" s="33">
        <f>SUM(B690:B693)</f>
        <v>117300</v>
      </c>
      <c r="C219" s="99">
        <f>SUM(C690:C693)</f>
        <v>97300</v>
      </c>
      <c r="D219" s="33">
        <f>SUM(D690:D693)</f>
        <v>99300</v>
      </c>
      <c r="E219" s="344" t="s">
        <v>1824</v>
      </c>
      <c r="F219" s="366" t="s">
        <v>2044</v>
      </c>
      <c r="G219" s="33">
        <f t="shared" ref="G219:O219" si="334">SUM(G690:G693)</f>
        <v>110700</v>
      </c>
      <c r="H219" s="138">
        <f>IF(D219=G219,0,IF(D219=0,100,(G219-D219)/D219*100))</f>
        <v>11.48036253776435</v>
      </c>
      <c r="I219" s="33">
        <f t="shared" si="334"/>
        <v>112500</v>
      </c>
      <c r="J219" s="33">
        <f t="shared" si="334"/>
        <v>115400</v>
      </c>
      <c r="K219" s="33">
        <f t="shared" si="334"/>
        <v>118400</v>
      </c>
      <c r="L219" s="33">
        <f t="shared" si="334"/>
        <v>121500</v>
      </c>
      <c r="M219" s="33">
        <f t="shared" si="334"/>
        <v>124000</v>
      </c>
      <c r="N219" s="33">
        <f t="shared" si="334"/>
        <v>126500</v>
      </c>
      <c r="O219" s="33">
        <f t="shared" si="334"/>
        <v>129200</v>
      </c>
      <c r="P219" s="33">
        <f t="shared" ref="P219:Q219" si="335">SUM(P690:P693)</f>
        <v>131900</v>
      </c>
      <c r="Q219" s="33">
        <f t="shared" si="335"/>
        <v>134700</v>
      </c>
      <c r="R219" s="114">
        <f t="shared" ref="R219" si="336">SUM(R690:R693)</f>
        <v>137500</v>
      </c>
    </row>
    <row r="220" spans="1:18" x14ac:dyDescent="0.2">
      <c r="A220" s="107">
        <f>ROUND(SUM(A694:A696),-3)</f>
        <v>23000</v>
      </c>
      <c r="B220" s="33">
        <f>SUM(B694:B696)</f>
        <v>22200</v>
      </c>
      <c r="C220" s="99">
        <f>SUM(C694:C696)</f>
        <v>30500</v>
      </c>
      <c r="D220" s="33">
        <f>SUM(D694:D696)</f>
        <v>21000</v>
      </c>
      <c r="E220" s="344" t="s">
        <v>1824</v>
      </c>
      <c r="F220" s="891" t="s">
        <v>3114</v>
      </c>
      <c r="G220" s="33">
        <f t="shared" ref="G220:O220" si="337">SUM(G694:G696)</f>
        <v>25000</v>
      </c>
      <c r="H220" s="138">
        <f>IF(D220=G220,0,IF(D220=0,100,(G220-D220)/D220*100))</f>
        <v>19.047619047619047</v>
      </c>
      <c r="I220" s="33">
        <f t="shared" si="337"/>
        <v>25400</v>
      </c>
      <c r="J220" s="33">
        <f t="shared" si="337"/>
        <v>26100</v>
      </c>
      <c r="K220" s="33">
        <f t="shared" si="337"/>
        <v>26800</v>
      </c>
      <c r="L220" s="33">
        <f t="shared" si="337"/>
        <v>27500</v>
      </c>
      <c r="M220" s="33">
        <f t="shared" si="337"/>
        <v>28100</v>
      </c>
      <c r="N220" s="33">
        <f t="shared" si="337"/>
        <v>28700</v>
      </c>
      <c r="O220" s="33">
        <f t="shared" si="337"/>
        <v>29300</v>
      </c>
      <c r="P220" s="33">
        <f t="shared" ref="P220:Q220" si="338">SUM(P694:P696)</f>
        <v>29900</v>
      </c>
      <c r="Q220" s="33">
        <f t="shared" si="338"/>
        <v>30500</v>
      </c>
      <c r="R220" s="114">
        <f t="shared" ref="R220" si="339">SUM(R694:R696)</f>
        <v>31200</v>
      </c>
    </row>
    <row r="221" spans="1:18" x14ac:dyDescent="0.2">
      <c r="A221" s="107"/>
      <c r="B221" s="33"/>
      <c r="C221" s="189"/>
      <c r="D221" s="187"/>
      <c r="E221" s="445"/>
      <c r="F221" s="351"/>
      <c r="G221" s="187"/>
      <c r="H221" s="138"/>
      <c r="I221" s="33"/>
      <c r="J221" s="33"/>
      <c r="K221" s="33"/>
      <c r="L221" s="33"/>
      <c r="M221" s="33"/>
      <c r="N221" s="33"/>
      <c r="O221" s="33"/>
      <c r="P221" s="33"/>
      <c r="Q221" s="33"/>
      <c r="R221" s="114"/>
    </row>
    <row r="222" spans="1:18" x14ac:dyDescent="0.2">
      <c r="A222" s="107"/>
      <c r="B222" s="33"/>
      <c r="C222" s="189"/>
      <c r="D222" s="187"/>
      <c r="E222" s="445"/>
      <c r="F222" s="371" t="s">
        <v>1775</v>
      </c>
      <c r="G222" s="187"/>
      <c r="H222" s="138"/>
      <c r="I222" s="33"/>
      <c r="J222" s="33"/>
      <c r="K222" s="33"/>
      <c r="L222" s="33"/>
      <c r="M222" s="33"/>
      <c r="N222" s="33"/>
      <c r="O222" s="33"/>
      <c r="P222" s="33"/>
      <c r="Q222" s="33"/>
      <c r="R222" s="114"/>
    </row>
    <row r="223" spans="1:18" x14ac:dyDescent="0.2">
      <c r="A223" s="107">
        <f>ROUND(A698,-3)</f>
        <v>-4487000</v>
      </c>
      <c r="B223" s="33">
        <f>B698</f>
        <v>-4920000</v>
      </c>
      <c r="C223" s="189">
        <f>C698</f>
        <v>-5057000</v>
      </c>
      <c r="D223" s="187">
        <f>D698</f>
        <v>-5402000</v>
      </c>
      <c r="E223" s="445">
        <v>35021</v>
      </c>
      <c r="F223" s="891" t="s">
        <v>4631</v>
      </c>
      <c r="G223" s="187">
        <f t="shared" ref="G223:O223" si="340">G698</f>
        <v>-5584000</v>
      </c>
      <c r="H223" s="138">
        <f>IF(D223=G223,0,IF(D223=0,100,(G223-D223)/D223*100))</f>
        <v>3.3691225472047392</v>
      </c>
      <c r="I223" s="33">
        <f t="shared" si="340"/>
        <v>-5634000</v>
      </c>
      <c r="J223" s="33">
        <f t="shared" si="340"/>
        <v>-5774800</v>
      </c>
      <c r="K223" s="33">
        <f t="shared" si="340"/>
        <v>-5919200</v>
      </c>
      <c r="L223" s="33">
        <f t="shared" si="340"/>
        <v>-6067700</v>
      </c>
      <c r="M223" s="33">
        <f t="shared" si="340"/>
        <v>-6189200</v>
      </c>
      <c r="N223" s="33">
        <f t="shared" si="340"/>
        <v>-6265400</v>
      </c>
      <c r="O223" s="33">
        <f t="shared" si="340"/>
        <v>-6390700</v>
      </c>
      <c r="P223" s="33">
        <f t="shared" ref="P223:Q223" si="341">P698</f>
        <v>-6518000</v>
      </c>
      <c r="Q223" s="33">
        <f t="shared" si="341"/>
        <v>-6648300</v>
      </c>
      <c r="R223" s="114">
        <f t="shared" ref="R223" si="342">R698</f>
        <v>-6781700</v>
      </c>
    </row>
    <row r="224" spans="1:18" ht="13.5" thickBot="1" x14ac:dyDescent="0.25">
      <c r="A224" s="70"/>
      <c r="B224" s="64"/>
      <c r="C224" s="64"/>
      <c r="D224" s="64"/>
      <c r="E224" s="252"/>
      <c r="F224" s="74"/>
      <c r="G224" s="33"/>
      <c r="H224" s="179"/>
      <c r="I224" s="33"/>
      <c r="J224" s="33"/>
      <c r="K224" s="33"/>
      <c r="L224" s="33"/>
      <c r="M224" s="33"/>
      <c r="N224" s="33"/>
      <c r="O224" s="33"/>
      <c r="P224" s="33"/>
      <c r="Q224" s="33"/>
      <c r="R224" s="114"/>
    </row>
    <row r="225" spans="1:18" s="92" customFormat="1" x14ac:dyDescent="0.2">
      <c r="A225" s="105">
        <f>SUM(A214:A224)</f>
        <v>-3187000</v>
      </c>
      <c r="B225" s="53">
        <f>SUM(B214:B224)</f>
        <v>-3495700</v>
      </c>
      <c r="C225" s="53">
        <f>SUM(C214:C224)</f>
        <v>-3774600</v>
      </c>
      <c r="D225" s="53">
        <f>SUM(D214:D224)</f>
        <v>-4086900</v>
      </c>
      <c r="E225" s="282"/>
      <c r="F225" s="112" t="s">
        <v>565</v>
      </c>
      <c r="G225" s="53">
        <f t="shared" ref="G225:O225" si="343">SUM(G214:G224)</f>
        <v>-4197500</v>
      </c>
      <c r="H225" s="180">
        <f>IF(D225=G225,0,IF(D225=0,100,(G225-D225)/D225*100))</f>
        <v>2.7062076390418164</v>
      </c>
      <c r="I225" s="53">
        <f t="shared" si="343"/>
        <v>-4174800</v>
      </c>
      <c r="J225" s="53">
        <f t="shared" si="343"/>
        <v>-4278300</v>
      </c>
      <c r="K225" s="53">
        <f t="shared" si="343"/>
        <v>-4384600</v>
      </c>
      <c r="L225" s="53">
        <f t="shared" si="343"/>
        <v>-4494000</v>
      </c>
      <c r="M225" s="53">
        <f t="shared" si="343"/>
        <v>-4577100</v>
      </c>
      <c r="N225" s="53">
        <f t="shared" si="343"/>
        <v>-4614200</v>
      </c>
      <c r="O225" s="53">
        <f t="shared" si="343"/>
        <v>-4699300</v>
      </c>
      <c r="P225" s="53">
        <f t="shared" ref="P225:Q225" si="344">SUM(P214:P224)</f>
        <v>-4785500</v>
      </c>
      <c r="Q225" s="53">
        <f t="shared" si="344"/>
        <v>-4873600</v>
      </c>
      <c r="R225" s="113">
        <f t="shared" ref="R225" si="345">SUM(R214:R224)</f>
        <v>-4963800</v>
      </c>
    </row>
    <row r="226" spans="1:18" x14ac:dyDescent="0.2">
      <c r="A226" s="107"/>
      <c r="B226" s="33"/>
      <c r="C226" s="33"/>
      <c r="D226" s="33"/>
      <c r="E226" s="255"/>
      <c r="F226" s="108"/>
      <c r="G226" s="33"/>
      <c r="H226" s="138"/>
      <c r="I226" s="64"/>
      <c r="J226" s="33"/>
      <c r="K226" s="33"/>
      <c r="L226" s="33"/>
      <c r="M226" s="33"/>
      <c r="N226" s="33"/>
      <c r="O226" s="33"/>
      <c r="P226" s="33"/>
      <c r="Q226" s="33"/>
      <c r="R226" s="114"/>
    </row>
    <row r="227" spans="1:18" s="92" customFormat="1" x14ac:dyDescent="0.2">
      <c r="A227" s="70">
        <f>A212-A225</f>
        <v>3343000</v>
      </c>
      <c r="B227" s="64">
        <f>B212-B225</f>
        <v>3687400</v>
      </c>
      <c r="C227" s="64">
        <f>C212-C225</f>
        <v>3978500</v>
      </c>
      <c r="D227" s="64">
        <f>D212-D225</f>
        <v>4360900</v>
      </c>
      <c r="E227" s="282"/>
      <c r="F227" s="1963" t="s">
        <v>1019</v>
      </c>
      <c r="G227" s="64">
        <f t="shared" ref="G227:O227" si="346">G212-G225</f>
        <v>4430200</v>
      </c>
      <c r="H227" s="179">
        <f>IF(D227=G227,0,IF(D227=0,100,(G227-D227)/D227*100))</f>
        <v>1.5891215116145749</v>
      </c>
      <c r="I227" s="64">
        <f t="shared" si="346"/>
        <v>4410600</v>
      </c>
      <c r="J227" s="64">
        <f t="shared" si="346"/>
        <v>4521100</v>
      </c>
      <c r="K227" s="64">
        <f t="shared" si="346"/>
        <v>4634600</v>
      </c>
      <c r="L227" s="64">
        <f t="shared" si="346"/>
        <v>4749700</v>
      </c>
      <c r="M227" s="64">
        <f t="shared" si="346"/>
        <v>4838000</v>
      </c>
      <c r="N227" s="64">
        <f t="shared" si="346"/>
        <v>4880400</v>
      </c>
      <c r="O227" s="64">
        <f t="shared" si="346"/>
        <v>4970900</v>
      </c>
      <c r="P227" s="64">
        <f t="shared" ref="P227:Q227" si="347">P212-P225</f>
        <v>5062700</v>
      </c>
      <c r="Q227" s="64">
        <f t="shared" si="347"/>
        <v>5156400</v>
      </c>
      <c r="R227" s="115">
        <f t="shared" ref="R227" si="348">R212-R225</f>
        <v>5252400</v>
      </c>
    </row>
    <row r="228" spans="1:18" x14ac:dyDescent="0.2">
      <c r="A228" s="107"/>
      <c r="B228" s="33"/>
      <c r="C228" s="33"/>
      <c r="D228" s="33"/>
      <c r="E228" s="255"/>
      <c r="F228" s="320" t="s">
        <v>1976</v>
      </c>
      <c r="G228" s="33"/>
      <c r="H228" s="138"/>
      <c r="I228" s="33"/>
      <c r="J228" s="33"/>
      <c r="K228" s="33"/>
      <c r="L228" s="33"/>
      <c r="M228" s="33"/>
      <c r="N228" s="33"/>
      <c r="O228" s="33"/>
      <c r="P228" s="33"/>
      <c r="Q228" s="33"/>
      <c r="R228" s="114"/>
    </row>
    <row r="229" spans="1:18" s="92" customFormat="1" x14ac:dyDescent="0.2">
      <c r="A229" s="181">
        <f>A227+A228</f>
        <v>3343000</v>
      </c>
      <c r="B229" s="397">
        <f>B227+B228</f>
        <v>3687400</v>
      </c>
      <c r="C229" s="397">
        <f>C227+C228</f>
        <v>3978500</v>
      </c>
      <c r="D229" s="397">
        <f>D227+D228</f>
        <v>4360900</v>
      </c>
      <c r="E229" s="514"/>
      <c r="F229" s="515" t="s">
        <v>1687</v>
      </c>
      <c r="G229" s="397">
        <f t="shared" ref="G229:O229" si="349">G227+G228</f>
        <v>4430200</v>
      </c>
      <c r="H229" s="395">
        <f>IF(D229=G229,0,IF(D229=0,100,(G229-D229)/D229*100))</f>
        <v>1.5891215116145749</v>
      </c>
      <c r="I229" s="397">
        <f t="shared" si="349"/>
        <v>4410600</v>
      </c>
      <c r="J229" s="397">
        <f t="shared" si="349"/>
        <v>4521100</v>
      </c>
      <c r="K229" s="397">
        <f t="shared" si="349"/>
        <v>4634600</v>
      </c>
      <c r="L229" s="397">
        <f t="shared" si="349"/>
        <v>4749700</v>
      </c>
      <c r="M229" s="397">
        <f t="shared" si="349"/>
        <v>4838000</v>
      </c>
      <c r="N229" s="397">
        <f t="shared" si="349"/>
        <v>4880400</v>
      </c>
      <c r="O229" s="397">
        <f t="shared" si="349"/>
        <v>4970900</v>
      </c>
      <c r="P229" s="397">
        <f t="shared" ref="P229:Q229" si="350">P227+P228</f>
        <v>5062700</v>
      </c>
      <c r="Q229" s="397">
        <f t="shared" si="350"/>
        <v>5156400</v>
      </c>
      <c r="R229" s="399">
        <f t="shared" ref="R229" si="351">R227+R228</f>
        <v>5252400</v>
      </c>
    </row>
    <row r="230" spans="1:18" ht="13.5" thickBot="1" x14ac:dyDescent="0.25">
      <c r="A230" s="73"/>
      <c r="B230" s="90"/>
      <c r="C230" s="90"/>
      <c r="D230" s="90"/>
      <c r="E230" s="285"/>
      <c r="F230" s="141"/>
      <c r="G230" s="66"/>
      <c r="H230" s="392"/>
      <c r="I230" s="121"/>
      <c r="J230" s="121"/>
      <c r="K230" s="121"/>
      <c r="L230" s="121"/>
      <c r="M230" s="121"/>
      <c r="N230" s="121"/>
      <c r="O230" s="121"/>
      <c r="P230" s="121"/>
      <c r="Q230" s="121"/>
      <c r="R230" s="161"/>
    </row>
    <row r="231" spans="1:18" ht="13.5" thickTop="1" x14ac:dyDescent="0.2">
      <c r="A231" s="383"/>
      <c r="B231" s="162"/>
      <c r="C231" s="162"/>
      <c r="D231" s="162"/>
      <c r="E231" s="286"/>
      <c r="F231" s="367"/>
      <c r="G231" s="127"/>
      <c r="H231" s="505"/>
      <c r="I231" s="127"/>
      <c r="J231" s="127"/>
      <c r="K231" s="127"/>
      <c r="L231" s="127"/>
      <c r="M231" s="127"/>
      <c r="N231" s="127"/>
      <c r="O231" s="127"/>
      <c r="P231" s="127"/>
      <c r="Q231" s="127"/>
      <c r="R231" s="163"/>
    </row>
    <row r="232" spans="1:18" x14ac:dyDescent="0.2">
      <c r="A232" s="70"/>
      <c r="B232" s="64"/>
      <c r="C232" s="64"/>
      <c r="D232" s="64"/>
      <c r="E232" s="283"/>
      <c r="F232" s="516" t="s">
        <v>196</v>
      </c>
      <c r="G232" s="33"/>
      <c r="H232" s="179"/>
      <c r="I232" s="33"/>
      <c r="J232" s="33"/>
      <c r="K232" s="33"/>
      <c r="L232" s="33"/>
      <c r="M232" s="33"/>
      <c r="N232" s="33"/>
      <c r="O232" s="33"/>
      <c r="P232" s="33"/>
      <c r="Q232" s="33"/>
      <c r="R232" s="114"/>
    </row>
    <row r="233" spans="1:18" x14ac:dyDescent="0.2">
      <c r="A233" s="70"/>
      <c r="B233" s="64"/>
      <c r="C233" s="64"/>
      <c r="D233" s="64"/>
      <c r="E233" s="283"/>
      <c r="F233" s="371"/>
      <c r="G233" s="33"/>
      <c r="H233" s="179"/>
      <c r="I233" s="33"/>
      <c r="J233" s="33"/>
      <c r="K233" s="33"/>
      <c r="L233" s="33"/>
      <c r="M233" s="33"/>
      <c r="N233" s="33"/>
      <c r="O233" s="33"/>
      <c r="P233" s="33"/>
      <c r="Q233" s="33"/>
      <c r="R233" s="114"/>
    </row>
    <row r="234" spans="1:18" x14ac:dyDescent="0.2">
      <c r="A234" s="107">
        <f>ROUND(A708,-3)</f>
        <v>0</v>
      </c>
      <c r="B234" s="33">
        <f t="shared" ref="B234:C238" si="352">B708</f>
        <v>0</v>
      </c>
      <c r="C234" s="33">
        <f t="shared" si="352"/>
        <v>0</v>
      </c>
      <c r="D234" s="33">
        <f>D708</f>
        <v>0</v>
      </c>
      <c r="E234" s="238"/>
      <c r="F234" s="366" t="s">
        <v>2900</v>
      </c>
      <c r="G234" s="33">
        <f t="shared" ref="G234:O234" si="353">G708</f>
        <v>0</v>
      </c>
      <c r="H234" s="138"/>
      <c r="I234" s="33">
        <f t="shared" si="353"/>
        <v>0</v>
      </c>
      <c r="J234" s="33">
        <f t="shared" si="353"/>
        <v>0</v>
      </c>
      <c r="K234" s="33">
        <f t="shared" si="353"/>
        <v>0</v>
      </c>
      <c r="L234" s="33">
        <f t="shared" si="353"/>
        <v>0</v>
      </c>
      <c r="M234" s="33">
        <f t="shared" si="353"/>
        <v>0</v>
      </c>
      <c r="N234" s="33">
        <f t="shared" si="353"/>
        <v>0</v>
      </c>
      <c r="O234" s="33">
        <f t="shared" si="353"/>
        <v>0</v>
      </c>
      <c r="P234" s="33">
        <f t="shared" ref="P234:Q234" si="354">P708</f>
        <v>0</v>
      </c>
      <c r="Q234" s="33">
        <f t="shared" si="354"/>
        <v>0</v>
      </c>
      <c r="R234" s="114">
        <f t="shared" ref="R234" si="355">R708</f>
        <v>0</v>
      </c>
    </row>
    <row r="235" spans="1:18" x14ac:dyDescent="0.2">
      <c r="A235" s="107">
        <f>ROUND(A709,-3)</f>
        <v>8000</v>
      </c>
      <c r="B235" s="33">
        <f t="shared" si="352"/>
        <v>0</v>
      </c>
      <c r="C235" s="142">
        <f t="shared" si="352"/>
        <v>0</v>
      </c>
      <c r="D235" s="33">
        <f>D709</f>
        <v>103500</v>
      </c>
      <c r="E235" s="238"/>
      <c r="F235" s="366" t="s">
        <v>1942</v>
      </c>
      <c r="G235" s="33">
        <f t="shared" ref="G235:O235" si="356">G709</f>
        <v>0</v>
      </c>
      <c r="H235" s="138"/>
      <c r="I235" s="33">
        <f t="shared" si="356"/>
        <v>0</v>
      </c>
      <c r="J235" s="33">
        <f t="shared" si="356"/>
        <v>0</v>
      </c>
      <c r="K235" s="33">
        <f t="shared" si="356"/>
        <v>0</v>
      </c>
      <c r="L235" s="33">
        <f t="shared" si="356"/>
        <v>0</v>
      </c>
      <c r="M235" s="33">
        <f t="shared" si="356"/>
        <v>0</v>
      </c>
      <c r="N235" s="33">
        <f t="shared" si="356"/>
        <v>0</v>
      </c>
      <c r="O235" s="33">
        <f t="shared" si="356"/>
        <v>0</v>
      </c>
      <c r="P235" s="33">
        <f t="shared" ref="P235:Q235" si="357">P709</f>
        <v>0</v>
      </c>
      <c r="Q235" s="33">
        <f t="shared" si="357"/>
        <v>0</v>
      </c>
      <c r="R235" s="114">
        <f t="shared" ref="R235" si="358">R709</f>
        <v>0</v>
      </c>
    </row>
    <row r="236" spans="1:18" x14ac:dyDescent="0.2">
      <c r="A236" s="107">
        <f>ROUND(A710,-3)</f>
        <v>7000</v>
      </c>
      <c r="B236" s="33">
        <f t="shared" si="352"/>
        <v>0</v>
      </c>
      <c r="C236" s="33">
        <f t="shared" si="352"/>
        <v>0</v>
      </c>
      <c r="D236" s="33">
        <f>D710</f>
        <v>0</v>
      </c>
      <c r="E236" s="238"/>
      <c r="F236" s="366" t="s">
        <v>2348</v>
      </c>
      <c r="G236" s="33">
        <f t="shared" ref="G236:O236" si="359">G710</f>
        <v>0</v>
      </c>
      <c r="H236" s="138"/>
      <c r="I236" s="33">
        <f t="shared" si="359"/>
        <v>0</v>
      </c>
      <c r="J236" s="33">
        <f t="shared" si="359"/>
        <v>0</v>
      </c>
      <c r="K236" s="33">
        <f t="shared" si="359"/>
        <v>0</v>
      </c>
      <c r="L236" s="33">
        <f t="shared" si="359"/>
        <v>0</v>
      </c>
      <c r="M236" s="33">
        <f t="shared" si="359"/>
        <v>0</v>
      </c>
      <c r="N236" s="33">
        <f t="shared" si="359"/>
        <v>0</v>
      </c>
      <c r="O236" s="33">
        <f t="shared" si="359"/>
        <v>0</v>
      </c>
      <c r="P236" s="33">
        <f t="shared" ref="P236:Q236" si="360">P710</f>
        <v>0</v>
      </c>
      <c r="Q236" s="33">
        <f t="shared" si="360"/>
        <v>0</v>
      </c>
      <c r="R236" s="114">
        <f t="shared" ref="R236" si="361">R710</f>
        <v>0</v>
      </c>
    </row>
    <row r="237" spans="1:18" x14ac:dyDescent="0.2">
      <c r="A237" s="107">
        <f>ROUND(A711,-3)</f>
        <v>0</v>
      </c>
      <c r="B237" s="33">
        <f t="shared" si="352"/>
        <v>0</v>
      </c>
      <c r="C237" s="33">
        <f t="shared" si="352"/>
        <v>0</v>
      </c>
      <c r="D237" s="33">
        <f>D711</f>
        <v>0</v>
      </c>
      <c r="E237" s="238"/>
      <c r="F237" s="366" t="s">
        <v>5984</v>
      </c>
      <c r="G237" s="33">
        <f t="shared" ref="G237:O237" si="362">G711</f>
        <v>0</v>
      </c>
      <c r="H237" s="138"/>
      <c r="I237" s="33">
        <f t="shared" si="362"/>
        <v>0</v>
      </c>
      <c r="J237" s="33">
        <f t="shared" si="362"/>
        <v>0</v>
      </c>
      <c r="K237" s="33">
        <f t="shared" si="362"/>
        <v>0</v>
      </c>
      <c r="L237" s="33">
        <f t="shared" si="362"/>
        <v>0</v>
      </c>
      <c r="M237" s="33">
        <f t="shared" si="362"/>
        <v>0</v>
      </c>
      <c r="N237" s="33">
        <f t="shared" si="362"/>
        <v>0</v>
      </c>
      <c r="O237" s="33">
        <f t="shared" si="362"/>
        <v>0</v>
      </c>
      <c r="P237" s="33">
        <f t="shared" ref="P237:Q237" si="363">P711</f>
        <v>0</v>
      </c>
      <c r="Q237" s="33">
        <f t="shared" si="363"/>
        <v>0</v>
      </c>
      <c r="R237" s="114">
        <f t="shared" ref="R237" si="364">R711</f>
        <v>0</v>
      </c>
    </row>
    <row r="238" spans="1:18" x14ac:dyDescent="0.2">
      <c r="A238" s="107">
        <f>ROUND(A712,-3)</f>
        <v>0</v>
      </c>
      <c r="B238" s="33">
        <f t="shared" si="352"/>
        <v>0</v>
      </c>
      <c r="C238" s="33">
        <f t="shared" si="352"/>
        <v>0</v>
      </c>
      <c r="D238" s="33">
        <f>D712</f>
        <v>0</v>
      </c>
      <c r="E238" s="238"/>
      <c r="F238" s="366" t="s">
        <v>972</v>
      </c>
      <c r="G238" s="33">
        <f t="shared" ref="G238:O238" si="365">G712</f>
        <v>0</v>
      </c>
      <c r="H238" s="138"/>
      <c r="I238" s="33">
        <f t="shared" si="365"/>
        <v>0</v>
      </c>
      <c r="J238" s="33">
        <f t="shared" si="365"/>
        <v>0</v>
      </c>
      <c r="K238" s="33">
        <f t="shared" si="365"/>
        <v>0</v>
      </c>
      <c r="L238" s="33">
        <f t="shared" si="365"/>
        <v>0</v>
      </c>
      <c r="M238" s="33">
        <f t="shared" si="365"/>
        <v>0</v>
      </c>
      <c r="N238" s="33">
        <f t="shared" si="365"/>
        <v>0</v>
      </c>
      <c r="O238" s="33">
        <f t="shared" si="365"/>
        <v>0</v>
      </c>
      <c r="P238" s="33">
        <f t="shared" ref="P238:Q238" si="366">P712</f>
        <v>0</v>
      </c>
      <c r="Q238" s="33">
        <f t="shared" si="366"/>
        <v>0</v>
      </c>
      <c r="R238" s="114">
        <f t="shared" ref="R238" si="367">R712</f>
        <v>0</v>
      </c>
    </row>
    <row r="239" spans="1:18" x14ac:dyDescent="0.2">
      <c r="A239" s="107"/>
      <c r="B239" s="33"/>
      <c r="C239" s="33"/>
      <c r="D239" s="33"/>
      <c r="E239" s="283"/>
      <c r="F239" s="516"/>
      <c r="G239" s="33"/>
      <c r="H239" s="138"/>
      <c r="I239" s="33"/>
      <c r="J239" s="33"/>
      <c r="K239" s="33"/>
      <c r="L239" s="33"/>
      <c r="M239" s="33"/>
      <c r="N239" s="33"/>
      <c r="O239" s="33"/>
      <c r="P239" s="33"/>
      <c r="Q239" s="33"/>
      <c r="R239" s="114"/>
    </row>
    <row r="240" spans="1:18" s="92" customFormat="1" x14ac:dyDescent="0.2">
      <c r="A240" s="181">
        <f>A229-A234-A235+A236++A237-A238</f>
        <v>3342000</v>
      </c>
      <c r="B240" s="397">
        <f>B229-B234-B235+B236++B237-B238</f>
        <v>3687400</v>
      </c>
      <c r="C240" s="397">
        <f>C229-C234-C235+C236++C237-C238</f>
        <v>3978500</v>
      </c>
      <c r="D240" s="397">
        <f>D229-D234-D235+D236++D237-D238</f>
        <v>4257400</v>
      </c>
      <c r="E240" s="517"/>
      <c r="F240" s="518" t="s">
        <v>2490</v>
      </c>
      <c r="G240" s="397">
        <f t="shared" ref="G240:O240" si="368">G229-G234-G235+G236++G237-G238</f>
        <v>4430200</v>
      </c>
      <c r="H240" s="395">
        <f>IF(D240=G240,0,IF(D240=0,100,(G240-D240)/D240*100))</f>
        <v>4.0588152393479593</v>
      </c>
      <c r="I240" s="397">
        <f t="shared" si="368"/>
        <v>4410600</v>
      </c>
      <c r="J240" s="397">
        <f t="shared" si="368"/>
        <v>4521100</v>
      </c>
      <c r="K240" s="397">
        <f t="shared" si="368"/>
        <v>4634600</v>
      </c>
      <c r="L240" s="397">
        <f t="shared" si="368"/>
        <v>4749700</v>
      </c>
      <c r="M240" s="397">
        <f t="shared" si="368"/>
        <v>4838000</v>
      </c>
      <c r="N240" s="397">
        <f t="shared" si="368"/>
        <v>4880400</v>
      </c>
      <c r="O240" s="397">
        <f t="shared" si="368"/>
        <v>4970900</v>
      </c>
      <c r="P240" s="397">
        <f t="shared" ref="P240:Q240" si="369">P229-P234-P235+P236++P237-P238</f>
        <v>5062700</v>
      </c>
      <c r="Q240" s="397">
        <f t="shared" si="369"/>
        <v>5156400</v>
      </c>
      <c r="R240" s="399">
        <f t="shared" ref="R240" si="370">R229-R234-R235+R236++R237-R238</f>
        <v>5252400</v>
      </c>
    </row>
    <row r="241" spans="1:18" ht="13.5" thickBot="1" x14ac:dyDescent="0.25">
      <c r="A241" s="73"/>
      <c r="B241" s="90"/>
      <c r="C241" s="90"/>
      <c r="D241" s="90"/>
      <c r="E241" s="284"/>
      <c r="F241" s="368"/>
      <c r="G241" s="66"/>
      <c r="H241" s="392"/>
      <c r="I241" s="66"/>
      <c r="J241" s="66"/>
      <c r="K241" s="66"/>
      <c r="L241" s="66"/>
      <c r="M241" s="66"/>
      <c r="N241" s="66"/>
      <c r="O241" s="66"/>
      <c r="P241" s="66"/>
      <c r="Q241" s="66"/>
      <c r="R241" s="165"/>
    </row>
    <row r="242" spans="1:18" ht="14.25" thickTop="1" thickBot="1" x14ac:dyDescent="0.25">
      <c r="A242" s="74"/>
      <c r="B242" s="74"/>
      <c r="C242" s="74"/>
      <c r="D242" s="74"/>
      <c r="E242" s="273"/>
      <c r="F242" s="137"/>
      <c r="H242" s="2484"/>
      <c r="I242" s="99"/>
      <c r="J242" s="99"/>
      <c r="K242" s="99"/>
      <c r="L242" s="99"/>
      <c r="M242" s="99"/>
      <c r="N242" s="99"/>
      <c r="O242" s="99"/>
      <c r="P242" s="99"/>
      <c r="Q242" s="99"/>
      <c r="R242" s="99"/>
    </row>
    <row r="243" spans="1:18" ht="19.5" thickTop="1" thickBot="1" x14ac:dyDescent="0.25">
      <c r="A243" s="2862" t="s">
        <v>1604</v>
      </c>
      <c r="B243" s="2863"/>
      <c r="C243" s="2863"/>
      <c r="D243" s="2863"/>
      <c r="E243" s="2863"/>
      <c r="F243" s="2863"/>
      <c r="G243" s="2863"/>
      <c r="H243" s="2863"/>
      <c r="I243" s="2863"/>
      <c r="J243" s="2863"/>
      <c r="K243" s="2863"/>
      <c r="L243" s="2863"/>
      <c r="M243" s="2863"/>
      <c r="N243" s="2863"/>
      <c r="O243" s="2863"/>
      <c r="P243" s="2863"/>
      <c r="Q243" s="2863"/>
      <c r="R243" s="2864"/>
    </row>
    <row r="244" spans="1:18" s="44" customFormat="1" x14ac:dyDescent="0.2">
      <c r="A244" s="2888" t="s">
        <v>1856</v>
      </c>
      <c r="B244" s="2889"/>
      <c r="C244" s="2889"/>
      <c r="D244" s="2890"/>
      <c r="E244" s="513" t="s">
        <v>2663</v>
      </c>
      <c r="F244" s="369" t="s">
        <v>2251</v>
      </c>
      <c r="G244" s="2885" t="s">
        <v>2253</v>
      </c>
      <c r="H244" s="2886"/>
      <c r="I244" s="2886"/>
      <c r="J244" s="2886"/>
      <c r="K244" s="2886"/>
      <c r="L244" s="2886"/>
      <c r="M244" s="2886"/>
      <c r="N244" s="2886"/>
      <c r="O244" s="2886"/>
      <c r="P244" s="2886"/>
      <c r="Q244" s="2886"/>
      <c r="R244" s="2887"/>
    </row>
    <row r="245" spans="1:18" s="23" customFormat="1" ht="13.5" thickBot="1" x14ac:dyDescent="0.25">
      <c r="A245" s="45" t="str">
        <f>A3</f>
        <v>2012/13</v>
      </c>
      <c r="B245" s="93" t="str">
        <f>B3</f>
        <v>2013/14</v>
      </c>
      <c r="C245" s="218" t="str">
        <f>C3</f>
        <v>2014/15</v>
      </c>
      <c r="D245" s="93" t="str">
        <f>D3</f>
        <v>2015/16</v>
      </c>
      <c r="E245" s="370" t="str">
        <f>E115</f>
        <v>ACCOUNT</v>
      </c>
      <c r="F245" s="42"/>
      <c r="G245" s="93" t="str">
        <f>G3</f>
        <v>2016/17</v>
      </c>
      <c r="H245" s="2005" t="str">
        <f>H115</f>
        <v>%</v>
      </c>
      <c r="I245" s="370" t="str">
        <f t="shared" ref="I245:Q245" si="371">I3</f>
        <v>2017/18</v>
      </c>
      <c r="J245" s="370" t="str">
        <f t="shared" si="371"/>
        <v>2018/19</v>
      </c>
      <c r="K245" s="370" t="str">
        <f t="shared" si="371"/>
        <v>2019/20</v>
      </c>
      <c r="L245" s="370" t="str">
        <f t="shared" si="371"/>
        <v>2020/21</v>
      </c>
      <c r="M245" s="370" t="str">
        <f t="shared" si="371"/>
        <v>2021/22</v>
      </c>
      <c r="N245" s="370" t="str">
        <f t="shared" si="371"/>
        <v>2022/23</v>
      </c>
      <c r="O245" s="370" t="str">
        <f t="shared" si="371"/>
        <v>2023/24</v>
      </c>
      <c r="P245" s="370" t="str">
        <f t="shared" si="371"/>
        <v>2024/25</v>
      </c>
      <c r="Q245" s="218" t="str">
        <f t="shared" si="371"/>
        <v>2025/26</v>
      </c>
      <c r="R245" s="549" t="str">
        <f t="shared" ref="R245" si="372">R3</f>
        <v>2026/27</v>
      </c>
    </row>
    <row r="246" spans="1:18" x14ac:dyDescent="0.2">
      <c r="A246" s="98"/>
      <c r="B246" s="33"/>
      <c r="C246" s="33"/>
      <c r="D246" s="33"/>
      <c r="E246" s="252"/>
      <c r="F246" s="74"/>
      <c r="G246" s="33"/>
      <c r="H246" s="138"/>
      <c r="I246" s="33"/>
      <c r="J246" s="33"/>
      <c r="K246" s="33"/>
      <c r="L246" s="33"/>
      <c r="M246" s="33"/>
      <c r="N246" s="33"/>
      <c r="O246" s="33"/>
      <c r="P246" s="33"/>
      <c r="Q246" s="33"/>
      <c r="R246" s="114"/>
    </row>
    <row r="247" spans="1:18" x14ac:dyDescent="0.2">
      <c r="A247" s="107"/>
      <c r="B247" s="33"/>
      <c r="C247" s="33"/>
      <c r="D247" s="33"/>
      <c r="E247" s="255"/>
      <c r="F247" s="365" t="s">
        <v>1073</v>
      </c>
      <c r="G247" s="33"/>
      <c r="H247" s="138"/>
      <c r="I247" s="33"/>
      <c r="J247" s="33"/>
      <c r="K247" s="33"/>
      <c r="L247" s="33"/>
      <c r="M247" s="33"/>
      <c r="N247" s="33"/>
      <c r="O247" s="33"/>
      <c r="P247" s="33"/>
      <c r="Q247" s="33"/>
      <c r="R247" s="114"/>
    </row>
    <row r="248" spans="1:18" x14ac:dyDescent="0.2">
      <c r="A248" s="98"/>
      <c r="B248" s="33"/>
      <c r="C248" s="33"/>
      <c r="D248" s="33"/>
      <c r="E248" s="252"/>
      <c r="F248" s="144"/>
      <c r="G248" s="33"/>
      <c r="H248" s="138"/>
      <c r="I248" s="33"/>
      <c r="J248" s="33"/>
      <c r="K248" s="33"/>
      <c r="L248" s="33"/>
      <c r="M248" s="33"/>
      <c r="N248" s="33"/>
      <c r="O248" s="33"/>
      <c r="P248" s="33"/>
      <c r="Q248" s="33"/>
      <c r="R248" s="114"/>
    </row>
    <row r="249" spans="1:18" x14ac:dyDescent="0.2">
      <c r="A249" s="107"/>
      <c r="B249" s="33"/>
      <c r="C249" s="33"/>
      <c r="D249" s="33"/>
      <c r="E249" s="255"/>
      <c r="F249" s="74" t="s">
        <v>2881</v>
      </c>
      <c r="G249" s="33"/>
      <c r="H249" s="138"/>
      <c r="I249" s="33"/>
      <c r="J249" s="33"/>
      <c r="K249" s="33"/>
      <c r="L249" s="33"/>
      <c r="M249" s="33"/>
      <c r="N249" s="33"/>
      <c r="O249" s="33"/>
      <c r="P249" s="33"/>
      <c r="Q249" s="33"/>
      <c r="R249" s="114"/>
    </row>
    <row r="250" spans="1:18" x14ac:dyDescent="0.2">
      <c r="A250" s="107">
        <f>ROUND(SUM(A722:A727),-3)</f>
        <v>4000</v>
      </c>
      <c r="B250" s="33">
        <f>SUM(B722:B727)</f>
        <v>13600</v>
      </c>
      <c r="C250" s="33">
        <f>SUM(C722:C727)</f>
        <v>17600</v>
      </c>
      <c r="D250" s="33">
        <f>SUM(D722:D727)</f>
        <v>3100</v>
      </c>
      <c r="E250" s="255">
        <v>26045</v>
      </c>
      <c r="F250" s="99" t="s">
        <v>2859</v>
      </c>
      <c r="G250" s="33">
        <f t="shared" ref="G250:O250" si="373">SUM(G722:G727)</f>
        <v>177000</v>
      </c>
      <c r="H250" s="138">
        <f>IF(D250=G250,0,IF(D250=0,100,(G250-D250)/D250*100))</f>
        <v>5609.6774193548381</v>
      </c>
      <c r="I250" s="33">
        <f t="shared" si="373"/>
        <v>103000</v>
      </c>
      <c r="J250" s="33">
        <f t="shared" si="373"/>
        <v>105600</v>
      </c>
      <c r="K250" s="33">
        <f t="shared" si="373"/>
        <v>108300</v>
      </c>
      <c r="L250" s="33">
        <f t="shared" si="373"/>
        <v>111100</v>
      </c>
      <c r="M250" s="33">
        <f t="shared" si="373"/>
        <v>113400</v>
      </c>
      <c r="N250" s="33">
        <f t="shared" si="373"/>
        <v>115700</v>
      </c>
      <c r="O250" s="33">
        <f t="shared" si="373"/>
        <v>118100</v>
      </c>
      <c r="P250" s="33">
        <f t="shared" ref="P250:Q250" si="374">SUM(P722:P727)</f>
        <v>120500</v>
      </c>
      <c r="Q250" s="33">
        <f t="shared" si="374"/>
        <v>123000</v>
      </c>
      <c r="R250" s="114">
        <f t="shared" ref="R250" si="375">SUM(R722:R727)</f>
        <v>125500</v>
      </c>
    </row>
    <row r="251" spans="1:18" ht="13.5" thickBot="1" x14ac:dyDescent="0.25">
      <c r="A251" s="107"/>
      <c r="B251" s="33"/>
      <c r="C251" s="33"/>
      <c r="D251" s="33"/>
      <c r="E251" s="344"/>
      <c r="F251" s="99"/>
      <c r="G251" s="33"/>
      <c r="H251" s="138"/>
      <c r="I251" s="33"/>
      <c r="J251" s="33"/>
      <c r="K251" s="33"/>
      <c r="L251" s="33"/>
      <c r="M251" s="33"/>
      <c r="N251" s="33"/>
      <c r="O251" s="33"/>
      <c r="P251" s="33"/>
      <c r="Q251" s="33"/>
      <c r="R251" s="114"/>
    </row>
    <row r="252" spans="1:18" s="92" customFormat="1" x14ac:dyDescent="0.2">
      <c r="A252" s="105">
        <f>SUM(A250:A251)</f>
        <v>4000</v>
      </c>
      <c r="B252" s="53">
        <f>SUM(B250:B251)</f>
        <v>13600</v>
      </c>
      <c r="C252" s="53">
        <f>SUM(C250:C251)</f>
        <v>17600</v>
      </c>
      <c r="D252" s="53">
        <f>SUM(D250:D251)</f>
        <v>3100</v>
      </c>
      <c r="E252" s="345"/>
      <c r="F252" s="112" t="s">
        <v>2605</v>
      </c>
      <c r="G252" s="53">
        <f t="shared" ref="G252:O252" si="376">SUM(G250:G251)</f>
        <v>177000</v>
      </c>
      <c r="H252" s="180">
        <f>IF(D252=G252,0,IF(D252=0,100,(G252-D252)/D252*100))</f>
        <v>5609.6774193548381</v>
      </c>
      <c r="I252" s="53">
        <f t="shared" si="376"/>
        <v>103000</v>
      </c>
      <c r="J252" s="53">
        <f t="shared" si="376"/>
        <v>105600</v>
      </c>
      <c r="K252" s="53">
        <f t="shared" si="376"/>
        <v>108300</v>
      </c>
      <c r="L252" s="53">
        <f t="shared" si="376"/>
        <v>111100</v>
      </c>
      <c r="M252" s="53">
        <f t="shared" si="376"/>
        <v>113400</v>
      </c>
      <c r="N252" s="53">
        <f t="shared" si="376"/>
        <v>115700</v>
      </c>
      <c r="O252" s="53">
        <f t="shared" si="376"/>
        <v>118100</v>
      </c>
      <c r="P252" s="53">
        <f t="shared" ref="P252:Q252" si="377">SUM(P250:P251)</f>
        <v>120500</v>
      </c>
      <c r="Q252" s="53">
        <f t="shared" si="377"/>
        <v>123000</v>
      </c>
      <c r="R252" s="113">
        <f t="shared" ref="R252" si="378">SUM(R250:R251)</f>
        <v>125500</v>
      </c>
    </row>
    <row r="253" spans="1:18" x14ac:dyDescent="0.2">
      <c r="A253" s="107"/>
      <c r="B253" s="33"/>
      <c r="C253" s="33"/>
      <c r="D253" s="33"/>
      <c r="E253" s="344"/>
      <c r="F253" s="99"/>
      <c r="G253" s="33"/>
      <c r="H253" s="138"/>
      <c r="I253" s="33"/>
      <c r="J253" s="33"/>
      <c r="K253" s="33"/>
      <c r="L253" s="33"/>
      <c r="M253" s="33"/>
      <c r="N253" s="33"/>
      <c r="O253" s="33"/>
      <c r="P253" s="33"/>
      <c r="Q253" s="33"/>
      <c r="R253" s="114"/>
    </row>
    <row r="254" spans="1:18" x14ac:dyDescent="0.2">
      <c r="A254" s="107"/>
      <c r="B254" s="33"/>
      <c r="C254" s="33"/>
      <c r="D254" s="33"/>
      <c r="E254" s="344"/>
      <c r="F254" s="144" t="s">
        <v>2205</v>
      </c>
      <c r="G254" s="33"/>
      <c r="H254" s="138"/>
      <c r="I254" s="33"/>
      <c r="J254" s="33"/>
      <c r="K254" s="33"/>
      <c r="L254" s="33"/>
      <c r="M254" s="33"/>
      <c r="N254" s="33"/>
      <c r="O254" s="33"/>
      <c r="P254" s="33"/>
      <c r="Q254" s="33"/>
      <c r="R254" s="114"/>
    </row>
    <row r="255" spans="1:18" x14ac:dyDescent="0.2">
      <c r="A255" s="107"/>
      <c r="B255" s="33"/>
      <c r="C255" s="33"/>
      <c r="D255" s="33"/>
      <c r="E255" s="344"/>
      <c r="F255" s="144"/>
      <c r="G255" s="33"/>
      <c r="H255" s="138"/>
      <c r="I255" s="33"/>
      <c r="J255" s="33"/>
      <c r="K255" s="33"/>
      <c r="L255" s="33"/>
      <c r="M255" s="33"/>
      <c r="N255" s="33"/>
      <c r="O255" s="33"/>
      <c r="P255" s="33"/>
      <c r="Q255" s="33"/>
      <c r="R255" s="114"/>
    </row>
    <row r="256" spans="1:18" x14ac:dyDescent="0.2">
      <c r="A256" s="107"/>
      <c r="B256" s="33"/>
      <c r="C256" s="33"/>
      <c r="D256" s="33"/>
      <c r="E256" s="344"/>
      <c r="F256" s="74" t="s">
        <v>2311</v>
      </c>
      <c r="G256" s="33"/>
      <c r="H256" s="138"/>
      <c r="I256" s="33"/>
      <c r="J256" s="33"/>
      <c r="K256" s="33"/>
      <c r="L256" s="33"/>
      <c r="M256" s="33"/>
      <c r="N256" s="33"/>
      <c r="O256" s="33"/>
      <c r="P256" s="33"/>
      <c r="Q256" s="33"/>
      <c r="R256" s="114"/>
    </row>
    <row r="257" spans="1:18" x14ac:dyDescent="0.2">
      <c r="A257" s="107">
        <f>ROUND(SUM(A733:A737),-3)</f>
        <v>758000</v>
      </c>
      <c r="B257" s="33">
        <f>SUM(B733:B737)</f>
        <v>1041000</v>
      </c>
      <c r="C257" s="33">
        <f>SUM(C733:C737)</f>
        <v>1029300</v>
      </c>
      <c r="D257" s="33">
        <f>SUM(D733:D737)</f>
        <v>1131300</v>
      </c>
      <c r="E257" s="344" t="s">
        <v>1564</v>
      </c>
      <c r="F257" s="108" t="s">
        <v>1249</v>
      </c>
      <c r="G257" s="33">
        <f t="shared" ref="G257:O257" si="379">SUM(G733:G737)</f>
        <v>1266200</v>
      </c>
      <c r="H257" s="138">
        <f t="shared" ref="H257:H262" si="380">IF(D257=G257,0,IF(D257=0,100,(G257-D257)/D257*100))</f>
        <v>11.924334836029347</v>
      </c>
      <c r="I257" s="33">
        <f t="shared" si="379"/>
        <v>1356600</v>
      </c>
      <c r="J257" s="33">
        <f t="shared" si="379"/>
        <v>1390600</v>
      </c>
      <c r="K257" s="33">
        <f t="shared" si="379"/>
        <v>1425400</v>
      </c>
      <c r="L257" s="33">
        <f t="shared" si="379"/>
        <v>1461100</v>
      </c>
      <c r="M257" s="33">
        <f t="shared" si="379"/>
        <v>1497700</v>
      </c>
      <c r="N257" s="33">
        <f t="shared" si="379"/>
        <v>1535200</v>
      </c>
      <c r="O257" s="33">
        <f t="shared" si="379"/>
        <v>1573600</v>
      </c>
      <c r="P257" s="33">
        <f t="shared" ref="P257:Q257" si="381">SUM(P733:P737)</f>
        <v>1612900</v>
      </c>
      <c r="Q257" s="33">
        <f t="shared" si="381"/>
        <v>1653200</v>
      </c>
      <c r="R257" s="114">
        <f t="shared" ref="R257" si="382">SUM(R733:R737)</f>
        <v>1694500</v>
      </c>
    </row>
    <row r="258" spans="1:18" x14ac:dyDescent="0.2">
      <c r="A258" s="107">
        <f>ROUND(A739,-3)</f>
        <v>279000</v>
      </c>
      <c r="B258" s="33">
        <f>B739</f>
        <v>175100</v>
      </c>
      <c r="C258" s="33">
        <f>C739</f>
        <v>174000</v>
      </c>
      <c r="D258" s="33">
        <f>D739</f>
        <v>186100</v>
      </c>
      <c r="E258" s="344" t="s">
        <v>1564</v>
      </c>
      <c r="F258" s="111" t="s">
        <v>99</v>
      </c>
      <c r="G258" s="33">
        <f t="shared" ref="G258:O258" si="383">G739</f>
        <v>201800</v>
      </c>
      <c r="H258" s="138">
        <f t="shared" si="380"/>
        <v>8.4363245566899518</v>
      </c>
      <c r="I258" s="33">
        <f t="shared" si="383"/>
        <v>210000</v>
      </c>
      <c r="J258" s="33">
        <f t="shared" si="383"/>
        <v>215300</v>
      </c>
      <c r="K258" s="33">
        <f t="shared" si="383"/>
        <v>220700</v>
      </c>
      <c r="L258" s="33">
        <f t="shared" si="383"/>
        <v>226300</v>
      </c>
      <c r="M258" s="33">
        <f t="shared" si="383"/>
        <v>230900</v>
      </c>
      <c r="N258" s="33">
        <f t="shared" si="383"/>
        <v>235600</v>
      </c>
      <c r="O258" s="33">
        <f t="shared" si="383"/>
        <v>240400</v>
      </c>
      <c r="P258" s="33">
        <f t="shared" ref="P258:Q258" si="384">P739</f>
        <v>245300</v>
      </c>
      <c r="Q258" s="33">
        <f t="shared" si="384"/>
        <v>250300</v>
      </c>
      <c r="R258" s="114">
        <f t="shared" ref="R258" si="385">R739</f>
        <v>255400</v>
      </c>
    </row>
    <row r="259" spans="1:18" x14ac:dyDescent="0.2">
      <c r="A259" s="107">
        <f>ROUND(SUM(A741:A744),-3)</f>
        <v>52000</v>
      </c>
      <c r="B259" s="33">
        <f>SUM(B741:B744)</f>
        <v>65000</v>
      </c>
      <c r="C259" s="33">
        <f>SUM(C741:C744)</f>
        <v>106800</v>
      </c>
      <c r="D259" s="33">
        <f>SUM(D740:D744)</f>
        <v>93400</v>
      </c>
      <c r="E259" s="344" t="s">
        <v>1564</v>
      </c>
      <c r="F259" s="111" t="s">
        <v>3115</v>
      </c>
      <c r="G259" s="33">
        <f>SUM(G740:G744)</f>
        <v>109500</v>
      </c>
      <c r="H259" s="138">
        <f t="shared" si="380"/>
        <v>17.237687366167023</v>
      </c>
      <c r="I259" s="33">
        <f>SUM(I740:I744)</f>
        <v>116300</v>
      </c>
      <c r="J259" s="33">
        <f t="shared" ref="J259:Q259" si="386">SUM(J740:J744)</f>
        <v>119400</v>
      </c>
      <c r="K259" s="33">
        <f t="shared" si="386"/>
        <v>122700</v>
      </c>
      <c r="L259" s="33">
        <f t="shared" si="386"/>
        <v>126000</v>
      </c>
      <c r="M259" s="33">
        <f t="shared" si="386"/>
        <v>128700</v>
      </c>
      <c r="N259" s="33">
        <f t="shared" si="386"/>
        <v>131400</v>
      </c>
      <c r="O259" s="33">
        <f t="shared" si="386"/>
        <v>134100</v>
      </c>
      <c r="P259" s="33">
        <f t="shared" si="386"/>
        <v>137000</v>
      </c>
      <c r="Q259" s="33">
        <f t="shared" si="386"/>
        <v>139900</v>
      </c>
      <c r="R259" s="114">
        <f t="shared" ref="R259" si="387">SUM(R740:R744)</f>
        <v>142900</v>
      </c>
    </row>
    <row r="260" spans="1:18" x14ac:dyDescent="0.2">
      <c r="A260" s="107">
        <f>ROUND(SUM(A748:A748),-3)</f>
        <v>138000</v>
      </c>
      <c r="B260" s="33">
        <f>SUM(B748:B748)</f>
        <v>184000</v>
      </c>
      <c r="C260" s="33">
        <f>SUM(C748:C748)</f>
        <v>174200</v>
      </c>
      <c r="D260" s="33">
        <f>SUM(D748:D748)</f>
        <v>187900</v>
      </c>
      <c r="E260" s="344" t="s">
        <v>1564</v>
      </c>
      <c r="F260" s="111" t="s">
        <v>3116</v>
      </c>
      <c r="G260" s="33">
        <f t="shared" ref="G260:O260" si="388">SUM(G748:G748)</f>
        <v>231000</v>
      </c>
      <c r="H260" s="138">
        <f t="shared" si="380"/>
        <v>22.937732836615222</v>
      </c>
      <c r="I260" s="33">
        <f t="shared" si="388"/>
        <v>235000</v>
      </c>
      <c r="J260" s="33">
        <f t="shared" si="388"/>
        <v>240900</v>
      </c>
      <c r="K260" s="33">
        <f t="shared" si="388"/>
        <v>247000</v>
      </c>
      <c r="L260" s="33">
        <f t="shared" si="388"/>
        <v>253200</v>
      </c>
      <c r="M260" s="33">
        <f t="shared" si="388"/>
        <v>258300</v>
      </c>
      <c r="N260" s="33">
        <f t="shared" si="388"/>
        <v>263500</v>
      </c>
      <c r="O260" s="33">
        <f t="shared" si="388"/>
        <v>268800</v>
      </c>
      <c r="P260" s="33">
        <f t="shared" ref="P260:Q260" si="389">SUM(P748:P748)</f>
        <v>274200</v>
      </c>
      <c r="Q260" s="33">
        <f t="shared" si="389"/>
        <v>279700</v>
      </c>
      <c r="R260" s="114">
        <f t="shared" ref="R260" si="390">SUM(R748:R748)</f>
        <v>285300</v>
      </c>
    </row>
    <row r="261" spans="1:18" x14ac:dyDescent="0.2">
      <c r="A261" s="107">
        <f>ROUND(SUM(A746:A750)-A260,-3)-1000</f>
        <v>350000</v>
      </c>
      <c r="B261" s="33">
        <f>SUM(B746:B750)-B260</f>
        <v>373200</v>
      </c>
      <c r="C261" s="33">
        <f>SUM(C746:C750)-C260</f>
        <v>428700</v>
      </c>
      <c r="D261" s="33">
        <f>SUM(D746:D751)-D260</f>
        <v>450500</v>
      </c>
      <c r="E261" s="344" t="s">
        <v>1564</v>
      </c>
      <c r="F261" s="108" t="s">
        <v>2309</v>
      </c>
      <c r="G261" s="33">
        <f>SUM(G746:G751)-G260</f>
        <v>460200</v>
      </c>
      <c r="H261" s="138">
        <f t="shared" si="380"/>
        <v>2.1531631520532741</v>
      </c>
      <c r="I261" s="33">
        <f t="shared" ref="I261:R261" si="391">SUM(I746:I751)-I260</f>
        <v>438000</v>
      </c>
      <c r="J261" s="33">
        <f t="shared" si="391"/>
        <v>449000</v>
      </c>
      <c r="K261" s="33">
        <f t="shared" si="391"/>
        <v>460400</v>
      </c>
      <c r="L261" s="33">
        <f t="shared" si="391"/>
        <v>472200</v>
      </c>
      <c r="M261" s="33">
        <f t="shared" si="391"/>
        <v>481800</v>
      </c>
      <c r="N261" s="33">
        <f t="shared" si="391"/>
        <v>491600</v>
      </c>
      <c r="O261" s="33">
        <f t="shared" si="391"/>
        <v>501600</v>
      </c>
      <c r="P261" s="33">
        <f t="shared" si="391"/>
        <v>511900</v>
      </c>
      <c r="Q261" s="33">
        <f t="shared" si="391"/>
        <v>522400</v>
      </c>
      <c r="R261" s="114">
        <f t="shared" si="391"/>
        <v>533000</v>
      </c>
    </row>
    <row r="262" spans="1:18" x14ac:dyDescent="0.2">
      <c r="A262" s="107">
        <f>(SUM(A752:A754))</f>
        <v>0</v>
      </c>
      <c r="B262" s="33">
        <f t="shared" ref="B262:D262" si="392">(SUM(B752:B754))</f>
        <v>0</v>
      </c>
      <c r="C262" s="33">
        <f t="shared" si="392"/>
        <v>0</v>
      </c>
      <c r="D262" s="33">
        <f t="shared" si="392"/>
        <v>0</v>
      </c>
      <c r="E262" s="344" t="s">
        <v>1564</v>
      </c>
      <c r="F262" s="108" t="s">
        <v>2309</v>
      </c>
      <c r="G262" s="33">
        <f t="shared" ref="G262:R262" si="393">(SUM(G752:G754))</f>
        <v>34700</v>
      </c>
      <c r="H262" s="138">
        <f t="shared" si="380"/>
        <v>100</v>
      </c>
      <c r="I262" s="33">
        <f t="shared" si="393"/>
        <v>5000</v>
      </c>
      <c r="J262" s="33">
        <f t="shared" si="393"/>
        <v>5200</v>
      </c>
      <c r="K262" s="33">
        <f t="shared" si="393"/>
        <v>5400</v>
      </c>
      <c r="L262" s="33">
        <f t="shared" si="393"/>
        <v>5600</v>
      </c>
      <c r="M262" s="33">
        <f t="shared" si="393"/>
        <v>5800</v>
      </c>
      <c r="N262" s="33">
        <f t="shared" si="393"/>
        <v>6000</v>
      </c>
      <c r="O262" s="33">
        <f t="shared" si="393"/>
        <v>6200</v>
      </c>
      <c r="P262" s="33">
        <f t="shared" si="393"/>
        <v>6400</v>
      </c>
      <c r="Q262" s="33">
        <f t="shared" si="393"/>
        <v>6600</v>
      </c>
      <c r="R262" s="114">
        <f t="shared" si="393"/>
        <v>6800</v>
      </c>
    </row>
    <row r="263" spans="1:18" ht="13.5" thickBot="1" x14ac:dyDescent="0.25">
      <c r="A263" s="107"/>
      <c r="B263" s="33"/>
      <c r="C263" s="33"/>
      <c r="D263" s="33"/>
      <c r="E263" s="255"/>
      <c r="F263" s="108"/>
      <c r="G263" s="33"/>
      <c r="H263" s="138"/>
      <c r="I263" s="33"/>
      <c r="J263" s="33"/>
      <c r="K263" s="33"/>
      <c r="L263" s="33"/>
      <c r="M263" s="33"/>
      <c r="N263" s="33"/>
      <c r="O263" s="33"/>
      <c r="P263" s="33"/>
      <c r="Q263" s="33"/>
      <c r="R263" s="114"/>
    </row>
    <row r="264" spans="1:18" s="92" customFormat="1" x14ac:dyDescent="0.2">
      <c r="A264" s="105">
        <f>SUBTOTAL(9,A254:A263)</f>
        <v>1577000</v>
      </c>
      <c r="B264" s="53">
        <f>SUBTOTAL(9,B254:B263)</f>
        <v>1838300</v>
      </c>
      <c r="C264" s="53">
        <f>SUBTOTAL(9,C254:C263)</f>
        <v>1913000</v>
      </c>
      <c r="D264" s="53">
        <f>SUBTOTAL(9,D254:D263)</f>
        <v>2049200</v>
      </c>
      <c r="E264" s="282"/>
      <c r="F264" s="112" t="s">
        <v>565</v>
      </c>
      <c r="G264" s="53">
        <f>SUBTOTAL(9,G254:G263)</f>
        <v>2303400</v>
      </c>
      <c r="H264" s="180">
        <f>IF(D264=G264,0,IF(D264=0,100,(G264-D264)/D264*100))</f>
        <v>12.404840913527231</v>
      </c>
      <c r="I264" s="53">
        <f t="shared" ref="I264:P264" si="394">SUBTOTAL(9,I254:I263)</f>
        <v>2360900</v>
      </c>
      <c r="J264" s="53">
        <f t="shared" si="394"/>
        <v>2420400</v>
      </c>
      <c r="K264" s="53">
        <f t="shared" si="394"/>
        <v>2481600</v>
      </c>
      <c r="L264" s="53">
        <f t="shared" si="394"/>
        <v>2544400</v>
      </c>
      <c r="M264" s="53">
        <f t="shared" si="394"/>
        <v>2603200</v>
      </c>
      <c r="N264" s="53">
        <f t="shared" si="394"/>
        <v>2663300</v>
      </c>
      <c r="O264" s="53">
        <f t="shared" si="394"/>
        <v>2724700</v>
      </c>
      <c r="P264" s="53">
        <f t="shared" si="394"/>
        <v>2787700</v>
      </c>
      <c r="Q264" s="53">
        <f t="shared" ref="Q264" si="395">SUBTOTAL(9,Q254:Q263)</f>
        <v>2852100</v>
      </c>
      <c r="R264" s="113">
        <f t="shared" ref="R264" si="396">SUBTOTAL(9,R254:R263)</f>
        <v>2917900</v>
      </c>
    </row>
    <row r="265" spans="1:18" x14ac:dyDescent="0.2">
      <c r="A265" s="107"/>
      <c r="B265" s="33"/>
      <c r="C265" s="33"/>
      <c r="D265" s="33"/>
      <c r="E265" s="255"/>
      <c r="F265" s="108"/>
      <c r="G265" s="33"/>
      <c r="H265" s="138"/>
      <c r="I265" s="33"/>
      <c r="J265" s="33"/>
      <c r="K265" s="33"/>
      <c r="L265" s="33"/>
      <c r="M265" s="33"/>
      <c r="N265" s="33"/>
      <c r="O265" s="33"/>
      <c r="P265" s="33"/>
      <c r="Q265" s="33"/>
      <c r="R265" s="114"/>
    </row>
    <row r="266" spans="1:18" s="92" customFormat="1" x14ac:dyDescent="0.2">
      <c r="A266" s="70">
        <f>A252-A264</f>
        <v>-1573000</v>
      </c>
      <c r="B266" s="64">
        <f>B252-B264</f>
        <v>-1824700</v>
      </c>
      <c r="C266" s="64">
        <f>C252-C264</f>
        <v>-1895400</v>
      </c>
      <c r="D266" s="64">
        <f>D252-D264</f>
        <v>-2046100</v>
      </c>
      <c r="E266" s="282"/>
      <c r="F266" s="1963" t="s">
        <v>1019</v>
      </c>
      <c r="G266" s="64">
        <f t="shared" ref="G266:P266" si="397">G252-G264</f>
        <v>-2126400</v>
      </c>
      <c r="H266" s="179">
        <f>IF(D266=G266,0,IF(D266=0,100,(G266-D266)/D266*100))</f>
        <v>3.9245393675773421</v>
      </c>
      <c r="I266" s="64">
        <f t="shared" si="397"/>
        <v>-2257900</v>
      </c>
      <c r="J266" s="64">
        <f t="shared" si="397"/>
        <v>-2314800</v>
      </c>
      <c r="K266" s="64">
        <f t="shared" si="397"/>
        <v>-2373300</v>
      </c>
      <c r="L266" s="64">
        <f t="shared" si="397"/>
        <v>-2433300</v>
      </c>
      <c r="M266" s="64">
        <f t="shared" si="397"/>
        <v>-2489800</v>
      </c>
      <c r="N266" s="64">
        <f t="shared" si="397"/>
        <v>-2547600</v>
      </c>
      <c r="O266" s="64">
        <f t="shared" si="397"/>
        <v>-2606600</v>
      </c>
      <c r="P266" s="64">
        <f t="shared" si="397"/>
        <v>-2667200</v>
      </c>
      <c r="Q266" s="64">
        <f t="shared" ref="Q266" si="398">Q252-Q264</f>
        <v>-2729100</v>
      </c>
      <c r="R266" s="115">
        <f t="shared" ref="R266" si="399">R252-R264</f>
        <v>-2792400</v>
      </c>
    </row>
    <row r="267" spans="1:18" x14ac:dyDescent="0.2">
      <c r="A267" s="107">
        <v>0</v>
      </c>
      <c r="B267" s="33">
        <v>0</v>
      </c>
      <c r="C267" s="33">
        <v>0</v>
      </c>
      <c r="D267" s="33">
        <v>0</v>
      </c>
      <c r="E267" s="255"/>
      <c r="F267" s="320" t="s">
        <v>1976</v>
      </c>
      <c r="G267" s="33">
        <v>0</v>
      </c>
      <c r="H267" s="138">
        <f>IF(D267=G267,0,IF(D267=0,100,(G267-D267)/D267*100))</f>
        <v>0</v>
      </c>
      <c r="I267" s="33">
        <v>0</v>
      </c>
      <c r="J267" s="33">
        <v>0</v>
      </c>
      <c r="K267" s="33">
        <v>0</v>
      </c>
      <c r="L267" s="33">
        <v>0</v>
      </c>
      <c r="M267" s="33">
        <v>0</v>
      </c>
      <c r="N267" s="33">
        <v>0</v>
      </c>
      <c r="O267" s="33">
        <v>0</v>
      </c>
      <c r="P267" s="33">
        <v>0</v>
      </c>
      <c r="Q267" s="33">
        <v>0</v>
      </c>
      <c r="R267" s="114">
        <v>0</v>
      </c>
    </row>
    <row r="268" spans="1:18" s="92" customFormat="1" x14ac:dyDescent="0.2">
      <c r="A268" s="181">
        <f>A266+A267</f>
        <v>-1573000</v>
      </c>
      <c r="B268" s="397">
        <f>B266+B267</f>
        <v>-1824700</v>
      </c>
      <c r="C268" s="397">
        <f>C266+C267</f>
        <v>-1895400</v>
      </c>
      <c r="D268" s="397">
        <f>D266+D267</f>
        <v>-2046100</v>
      </c>
      <c r="E268" s="514"/>
      <c r="F268" s="515" t="s">
        <v>1687</v>
      </c>
      <c r="G268" s="397">
        <f t="shared" ref="G268:O268" si="400">G266+G267</f>
        <v>-2126400</v>
      </c>
      <c r="H268" s="395">
        <f>IF(D268=G268,0,IF(D268=0,100,(G268-D268)/D268*100))</f>
        <v>3.9245393675773421</v>
      </c>
      <c r="I268" s="397">
        <f t="shared" si="400"/>
        <v>-2257900</v>
      </c>
      <c r="J268" s="397">
        <f t="shared" si="400"/>
        <v>-2314800</v>
      </c>
      <c r="K268" s="397">
        <f t="shared" si="400"/>
        <v>-2373300</v>
      </c>
      <c r="L268" s="397">
        <f t="shared" si="400"/>
        <v>-2433300</v>
      </c>
      <c r="M268" s="397">
        <f t="shared" si="400"/>
        <v>-2489800</v>
      </c>
      <c r="N268" s="397">
        <f t="shared" si="400"/>
        <v>-2547600</v>
      </c>
      <c r="O268" s="397">
        <f t="shared" si="400"/>
        <v>-2606600</v>
      </c>
      <c r="P268" s="397">
        <f t="shared" ref="P268:Q268" si="401">P266+P267</f>
        <v>-2667200</v>
      </c>
      <c r="Q268" s="397">
        <f t="shared" si="401"/>
        <v>-2729100</v>
      </c>
      <c r="R268" s="399">
        <f t="shared" ref="R268" si="402">R266+R267</f>
        <v>-2792400</v>
      </c>
    </row>
    <row r="269" spans="1:18" ht="13.5" thickBot="1" x14ac:dyDescent="0.25">
      <c r="A269" s="171"/>
      <c r="B269" s="66"/>
      <c r="C269" s="66"/>
      <c r="D269" s="66"/>
      <c r="E269" s="558"/>
      <c r="F269" s="173"/>
      <c r="G269" s="66"/>
      <c r="H269" s="140"/>
      <c r="I269" s="121"/>
      <c r="J269" s="121"/>
      <c r="K269" s="121"/>
      <c r="L269" s="121"/>
      <c r="M269" s="121"/>
      <c r="N269" s="121"/>
      <c r="O269" s="121"/>
      <c r="P269" s="121"/>
      <c r="Q269" s="121"/>
      <c r="R269" s="161"/>
    </row>
    <row r="270" spans="1:18" ht="13.5" thickTop="1" x14ac:dyDescent="0.2">
      <c r="A270" s="383"/>
      <c r="B270" s="162"/>
      <c r="C270" s="162"/>
      <c r="D270" s="162"/>
      <c r="E270" s="286"/>
      <c r="F270" s="367"/>
      <c r="G270" s="127"/>
      <c r="H270" s="505"/>
      <c r="I270" s="127"/>
      <c r="J270" s="127"/>
      <c r="K270" s="127"/>
      <c r="L270" s="127"/>
      <c r="M270" s="127"/>
      <c r="N270" s="127"/>
      <c r="O270" s="127"/>
      <c r="P270" s="127"/>
      <c r="Q270" s="127"/>
      <c r="R270" s="163"/>
    </row>
    <row r="271" spans="1:18" x14ac:dyDescent="0.2">
      <c r="A271" s="70"/>
      <c r="B271" s="64"/>
      <c r="C271" s="64"/>
      <c r="D271" s="64"/>
      <c r="E271" s="283"/>
      <c r="F271" s="516" t="s">
        <v>196</v>
      </c>
      <c r="G271" s="33"/>
      <c r="H271" s="179"/>
      <c r="I271" s="33"/>
      <c r="J271" s="33"/>
      <c r="K271" s="33"/>
      <c r="L271" s="33"/>
      <c r="M271" s="33"/>
      <c r="N271" s="33"/>
      <c r="O271" s="33"/>
      <c r="P271" s="33"/>
      <c r="Q271" s="33"/>
      <c r="R271" s="114"/>
    </row>
    <row r="272" spans="1:18" x14ac:dyDescent="0.2">
      <c r="A272" s="70"/>
      <c r="B272" s="64"/>
      <c r="C272" s="64"/>
      <c r="D272" s="64"/>
      <c r="E272" s="238"/>
      <c r="F272" s="371"/>
      <c r="G272" s="33"/>
      <c r="H272" s="179"/>
      <c r="I272" s="33"/>
      <c r="J272" s="33"/>
      <c r="K272" s="33"/>
      <c r="L272" s="33"/>
      <c r="M272" s="33"/>
      <c r="N272" s="33"/>
      <c r="O272" s="33"/>
      <c r="P272" s="33"/>
      <c r="Q272" s="33"/>
      <c r="R272" s="114"/>
    </row>
    <row r="273" spans="1:18" x14ac:dyDescent="0.2">
      <c r="A273" s="107">
        <f t="shared" ref="A273:A277" si="403">ROUND(A764,-3)</f>
        <v>0</v>
      </c>
      <c r="B273" s="33">
        <f t="shared" ref="B273:C277" si="404">B764</f>
        <v>0</v>
      </c>
      <c r="C273" s="33">
        <f t="shared" si="404"/>
        <v>0</v>
      </c>
      <c r="D273" s="33">
        <f>D764</f>
        <v>0</v>
      </c>
      <c r="E273" s="238"/>
      <c r="F273" s="366" t="s">
        <v>2900</v>
      </c>
      <c r="G273" s="33">
        <f t="shared" ref="G273:O273" si="405">G764</f>
        <v>0</v>
      </c>
      <c r="H273" s="138"/>
      <c r="I273" s="33">
        <f t="shared" si="405"/>
        <v>0</v>
      </c>
      <c r="J273" s="33">
        <f t="shared" si="405"/>
        <v>0</v>
      </c>
      <c r="K273" s="33">
        <f t="shared" si="405"/>
        <v>0</v>
      </c>
      <c r="L273" s="33">
        <f t="shared" si="405"/>
        <v>0</v>
      </c>
      <c r="M273" s="33">
        <f t="shared" si="405"/>
        <v>0</v>
      </c>
      <c r="N273" s="33">
        <f t="shared" si="405"/>
        <v>0</v>
      </c>
      <c r="O273" s="33">
        <f t="shared" si="405"/>
        <v>0</v>
      </c>
      <c r="P273" s="33">
        <f t="shared" ref="P273:Q273" si="406">P764</f>
        <v>0</v>
      </c>
      <c r="Q273" s="33">
        <f t="shared" si="406"/>
        <v>0</v>
      </c>
      <c r="R273" s="114">
        <f t="shared" ref="R273" si="407">R764</f>
        <v>0</v>
      </c>
    </row>
    <row r="274" spans="1:18" x14ac:dyDescent="0.2">
      <c r="A274" s="107">
        <f t="shared" si="403"/>
        <v>0</v>
      </c>
      <c r="B274" s="33">
        <f t="shared" si="404"/>
        <v>0</v>
      </c>
      <c r="C274" s="33">
        <f t="shared" si="404"/>
        <v>40000</v>
      </c>
      <c r="D274" s="33">
        <f>D765</f>
        <v>54100</v>
      </c>
      <c r="E274" s="238"/>
      <c r="F274" s="366" t="s">
        <v>1942</v>
      </c>
      <c r="G274" s="33">
        <f t="shared" ref="G274:O274" si="408">G765</f>
        <v>96700</v>
      </c>
      <c r="H274" s="138"/>
      <c r="I274" s="33">
        <f t="shared" si="408"/>
        <v>0</v>
      </c>
      <c r="J274" s="33">
        <f t="shared" si="408"/>
        <v>0</v>
      </c>
      <c r="K274" s="33">
        <f t="shared" si="408"/>
        <v>0</v>
      </c>
      <c r="L274" s="33">
        <f t="shared" si="408"/>
        <v>0</v>
      </c>
      <c r="M274" s="33">
        <f t="shared" si="408"/>
        <v>0</v>
      </c>
      <c r="N274" s="33">
        <f t="shared" si="408"/>
        <v>0</v>
      </c>
      <c r="O274" s="33">
        <f t="shared" si="408"/>
        <v>0</v>
      </c>
      <c r="P274" s="33">
        <f t="shared" ref="P274:Q274" si="409">P765</f>
        <v>0</v>
      </c>
      <c r="Q274" s="33">
        <f t="shared" si="409"/>
        <v>0</v>
      </c>
      <c r="R274" s="114">
        <f t="shared" ref="R274" si="410">R765</f>
        <v>0</v>
      </c>
    </row>
    <row r="275" spans="1:18" x14ac:dyDescent="0.2">
      <c r="A275" s="107">
        <f t="shared" si="403"/>
        <v>0</v>
      </c>
      <c r="B275" s="33">
        <f t="shared" si="404"/>
        <v>0</v>
      </c>
      <c r="C275" s="33">
        <f t="shared" si="404"/>
        <v>0</v>
      </c>
      <c r="D275" s="33">
        <f>D766</f>
        <v>40000</v>
      </c>
      <c r="E275" s="238"/>
      <c r="F275" s="366" t="s">
        <v>2348</v>
      </c>
      <c r="G275" s="33">
        <f t="shared" ref="G275:O275" si="411">G766</f>
        <v>54100</v>
      </c>
      <c r="H275" s="138"/>
      <c r="I275" s="33">
        <f t="shared" si="411"/>
        <v>65000</v>
      </c>
      <c r="J275" s="33">
        <f t="shared" si="411"/>
        <v>0</v>
      </c>
      <c r="K275" s="33">
        <f t="shared" si="411"/>
        <v>0</v>
      </c>
      <c r="L275" s="33">
        <f t="shared" si="411"/>
        <v>0</v>
      </c>
      <c r="M275" s="33">
        <f t="shared" si="411"/>
        <v>0</v>
      </c>
      <c r="N275" s="33">
        <f t="shared" si="411"/>
        <v>0</v>
      </c>
      <c r="O275" s="33">
        <f t="shared" si="411"/>
        <v>0</v>
      </c>
      <c r="P275" s="33">
        <f t="shared" ref="P275:Q275" si="412">P766</f>
        <v>0</v>
      </c>
      <c r="Q275" s="33">
        <f t="shared" si="412"/>
        <v>0</v>
      </c>
      <c r="R275" s="114">
        <f t="shared" ref="R275" si="413">R766</f>
        <v>0</v>
      </c>
    </row>
    <row r="276" spans="1:18" x14ac:dyDescent="0.2">
      <c r="A276" s="107">
        <f t="shared" si="403"/>
        <v>0</v>
      </c>
      <c r="B276" s="33">
        <f t="shared" si="404"/>
        <v>0</v>
      </c>
      <c r="C276" s="33">
        <f t="shared" si="404"/>
        <v>0</v>
      </c>
      <c r="D276" s="33">
        <f>D767</f>
        <v>0</v>
      </c>
      <c r="E276" s="238"/>
      <c r="F276" s="366" t="s">
        <v>5984</v>
      </c>
      <c r="G276" s="33">
        <f t="shared" ref="G276:O276" si="414">G767</f>
        <v>0</v>
      </c>
      <c r="H276" s="138"/>
      <c r="I276" s="33">
        <f t="shared" si="414"/>
        <v>0</v>
      </c>
      <c r="J276" s="33">
        <f t="shared" si="414"/>
        <v>0</v>
      </c>
      <c r="K276" s="33">
        <f t="shared" si="414"/>
        <v>0</v>
      </c>
      <c r="L276" s="33">
        <f t="shared" si="414"/>
        <v>0</v>
      </c>
      <c r="M276" s="33">
        <f t="shared" si="414"/>
        <v>0</v>
      </c>
      <c r="N276" s="33">
        <f t="shared" si="414"/>
        <v>0</v>
      </c>
      <c r="O276" s="33">
        <f t="shared" si="414"/>
        <v>0</v>
      </c>
      <c r="P276" s="33">
        <f t="shared" ref="P276:Q276" si="415">P767</f>
        <v>0</v>
      </c>
      <c r="Q276" s="33">
        <f t="shared" si="415"/>
        <v>0</v>
      </c>
      <c r="R276" s="114">
        <f t="shared" ref="R276" si="416">R767</f>
        <v>0</v>
      </c>
    </row>
    <row r="277" spans="1:18" x14ac:dyDescent="0.2">
      <c r="A277" s="107">
        <f t="shared" si="403"/>
        <v>20000</v>
      </c>
      <c r="B277" s="33">
        <f t="shared" si="404"/>
        <v>26600</v>
      </c>
      <c r="C277" s="33">
        <f t="shared" si="404"/>
        <v>11400</v>
      </c>
      <c r="D277" s="33">
        <f>D768</f>
        <v>54300</v>
      </c>
      <c r="E277" s="238"/>
      <c r="F277" s="366" t="s">
        <v>972</v>
      </c>
      <c r="G277" s="33">
        <f t="shared" ref="G277:O277" si="417">G768</f>
        <v>103500</v>
      </c>
      <c r="H277" s="138"/>
      <c r="I277" s="33">
        <f t="shared" si="417"/>
        <v>87000</v>
      </c>
      <c r="J277" s="33">
        <f t="shared" si="417"/>
        <v>23000</v>
      </c>
      <c r="K277" s="33">
        <f t="shared" si="417"/>
        <v>24000</v>
      </c>
      <c r="L277" s="33">
        <f t="shared" si="417"/>
        <v>25000</v>
      </c>
      <c r="M277" s="33">
        <f t="shared" si="417"/>
        <v>26000</v>
      </c>
      <c r="N277" s="33">
        <f t="shared" si="417"/>
        <v>27000</v>
      </c>
      <c r="O277" s="33">
        <f t="shared" si="417"/>
        <v>28000</v>
      </c>
      <c r="P277" s="33">
        <f t="shared" ref="P277:Q277" si="418">P768</f>
        <v>29000</v>
      </c>
      <c r="Q277" s="33">
        <f t="shared" si="418"/>
        <v>30000</v>
      </c>
      <c r="R277" s="114">
        <f t="shared" ref="R277" si="419">R768</f>
        <v>31000</v>
      </c>
    </row>
    <row r="278" spans="1:18" x14ac:dyDescent="0.2">
      <c r="A278" s="107"/>
      <c r="B278" s="33"/>
      <c r="C278" s="33"/>
      <c r="D278" s="33"/>
      <c r="E278" s="283"/>
      <c r="F278" s="516"/>
      <c r="G278" s="33"/>
      <c r="H278" s="138"/>
      <c r="I278" s="33"/>
      <c r="J278" s="33"/>
      <c r="K278" s="33"/>
      <c r="L278" s="33"/>
      <c r="M278" s="33"/>
      <c r="N278" s="33"/>
      <c r="O278" s="33"/>
      <c r="P278" s="33"/>
      <c r="Q278" s="33"/>
      <c r="R278" s="114"/>
    </row>
    <row r="279" spans="1:18" s="92" customFormat="1" x14ac:dyDescent="0.2">
      <c r="A279" s="181">
        <f>A268-A273-A274+A275++A276-A277</f>
        <v>-1593000</v>
      </c>
      <c r="B279" s="397">
        <f>B268-B273-B274+B275++B276-B277</f>
        <v>-1851300</v>
      </c>
      <c r="C279" s="397">
        <f>C268-C273-C274+C275++C276-C277</f>
        <v>-1946800</v>
      </c>
      <c r="D279" s="397">
        <f>D268-D273-D274+D275++D276-D277</f>
        <v>-2114500</v>
      </c>
      <c r="E279" s="517"/>
      <c r="F279" s="518" t="s">
        <v>2490</v>
      </c>
      <c r="G279" s="397">
        <f t="shared" ref="G279:O279" si="420">G268-G273-G274+G275++G276-G277</f>
        <v>-2272500</v>
      </c>
      <c r="H279" s="395">
        <f>IF(D279=G279,0,IF(D279=0,100,(G279-D279)/D279*100))</f>
        <v>7.4722156538188695</v>
      </c>
      <c r="I279" s="397">
        <f t="shared" si="420"/>
        <v>-2279900</v>
      </c>
      <c r="J279" s="397">
        <f t="shared" si="420"/>
        <v>-2337800</v>
      </c>
      <c r="K279" s="397">
        <f t="shared" si="420"/>
        <v>-2397300</v>
      </c>
      <c r="L279" s="397">
        <f t="shared" si="420"/>
        <v>-2458300</v>
      </c>
      <c r="M279" s="397">
        <f t="shared" si="420"/>
        <v>-2515800</v>
      </c>
      <c r="N279" s="397">
        <f t="shared" si="420"/>
        <v>-2574600</v>
      </c>
      <c r="O279" s="397">
        <f t="shared" si="420"/>
        <v>-2634600</v>
      </c>
      <c r="P279" s="397">
        <f t="shared" ref="P279:Q279" si="421">P268-P273-P274+P275++P276-P277</f>
        <v>-2696200</v>
      </c>
      <c r="Q279" s="397">
        <f t="shared" si="421"/>
        <v>-2759100</v>
      </c>
      <c r="R279" s="399">
        <f t="shared" ref="R279" si="422">R268-R273-R274+R275++R276-R277</f>
        <v>-2823400</v>
      </c>
    </row>
    <row r="280" spans="1:18" ht="13.5" thickBot="1" x14ac:dyDescent="0.25">
      <c r="A280" s="73"/>
      <c r="B280" s="90"/>
      <c r="C280" s="90"/>
      <c r="D280" s="90"/>
      <c r="E280" s="576"/>
      <c r="F280" s="368"/>
      <c r="G280" s="66"/>
      <c r="H280" s="392"/>
      <c r="I280" s="66"/>
      <c r="J280" s="66"/>
      <c r="K280" s="66"/>
      <c r="L280" s="66"/>
      <c r="M280" s="66"/>
      <c r="N280" s="66"/>
      <c r="O280" s="66"/>
      <c r="P280" s="66"/>
      <c r="Q280" s="66"/>
      <c r="R280" s="165"/>
    </row>
    <row r="281" spans="1:18" ht="13.5" thickTop="1" x14ac:dyDescent="0.2">
      <c r="A281" s="99"/>
      <c r="B281" s="99"/>
      <c r="E281" s="283"/>
      <c r="F281" s="108"/>
      <c r="H281" s="123"/>
    </row>
    <row r="282" spans="1:18" ht="13.5" thickBot="1" x14ac:dyDescent="0.25">
      <c r="A282" s="74"/>
      <c r="B282" s="74"/>
      <c r="C282" s="74"/>
      <c r="D282" s="74"/>
      <c r="E282" s="283"/>
      <c r="F282" s="137"/>
      <c r="H282" s="2484"/>
      <c r="I282" s="99"/>
      <c r="J282" s="99"/>
      <c r="K282" s="99"/>
      <c r="L282" s="99"/>
      <c r="M282" s="99"/>
      <c r="N282" s="99"/>
      <c r="O282" s="99"/>
      <c r="P282" s="99"/>
      <c r="Q282" s="99"/>
      <c r="R282" s="99"/>
    </row>
    <row r="283" spans="1:18" s="91" customFormat="1" ht="18.75" customHeight="1" thickTop="1" thickBot="1" x14ac:dyDescent="0.3">
      <c r="A283" s="2862" t="s">
        <v>281</v>
      </c>
      <c r="B283" s="2863"/>
      <c r="C283" s="2863"/>
      <c r="D283" s="2863"/>
      <c r="E283" s="2863"/>
      <c r="F283" s="2863"/>
      <c r="G283" s="2863"/>
      <c r="H283" s="2863"/>
      <c r="I283" s="2863"/>
      <c r="J283" s="2863"/>
      <c r="K283" s="2863"/>
      <c r="L283" s="2863"/>
      <c r="M283" s="2863"/>
      <c r="N283" s="2863"/>
      <c r="O283" s="2863"/>
      <c r="P283" s="2863"/>
      <c r="Q283" s="2863"/>
      <c r="R283" s="2864"/>
    </row>
    <row r="284" spans="1:18" s="44" customFormat="1" x14ac:dyDescent="0.2">
      <c r="A284" s="2888" t="s">
        <v>1856</v>
      </c>
      <c r="B284" s="2889"/>
      <c r="C284" s="2889"/>
      <c r="D284" s="2890"/>
      <c r="E284" s="513" t="s">
        <v>2663</v>
      </c>
      <c r="F284" s="2649" t="s">
        <v>2251</v>
      </c>
      <c r="G284" s="2885" t="s">
        <v>2253</v>
      </c>
      <c r="H284" s="2886"/>
      <c r="I284" s="2886"/>
      <c r="J284" s="2886"/>
      <c r="K284" s="2886"/>
      <c r="L284" s="2886"/>
      <c r="M284" s="2886"/>
      <c r="N284" s="2886"/>
      <c r="O284" s="2886"/>
      <c r="P284" s="2886"/>
      <c r="Q284" s="2886"/>
      <c r="R284" s="2887"/>
    </row>
    <row r="285" spans="1:18" s="23" customFormat="1" ht="13.5" thickBot="1" x14ac:dyDescent="0.25">
      <c r="A285" s="45" t="str">
        <f>A3</f>
        <v>2012/13</v>
      </c>
      <c r="B285" s="93" t="str">
        <f>B3</f>
        <v>2013/14</v>
      </c>
      <c r="C285" s="370" t="str">
        <f>C3</f>
        <v>2014/15</v>
      </c>
      <c r="D285" s="2513" t="str">
        <f>D3</f>
        <v>2015/16</v>
      </c>
      <c r="E285" s="370" t="s">
        <v>2664</v>
      </c>
      <c r="F285" s="34"/>
      <c r="G285" s="93" t="str">
        <f>G3</f>
        <v>2016/17</v>
      </c>
      <c r="H285" s="2492" t="s">
        <v>501</v>
      </c>
      <c r="I285" s="370" t="str">
        <f t="shared" ref="I285:Q285" si="423">I3</f>
        <v>2017/18</v>
      </c>
      <c r="J285" s="370" t="str">
        <f t="shared" si="423"/>
        <v>2018/19</v>
      </c>
      <c r="K285" s="370" t="str">
        <f t="shared" si="423"/>
        <v>2019/20</v>
      </c>
      <c r="L285" s="370" t="str">
        <f t="shared" si="423"/>
        <v>2020/21</v>
      </c>
      <c r="M285" s="370" t="str">
        <f t="shared" si="423"/>
        <v>2021/22</v>
      </c>
      <c r="N285" s="370" t="str">
        <f t="shared" si="423"/>
        <v>2022/23</v>
      </c>
      <c r="O285" s="370" t="str">
        <f t="shared" si="423"/>
        <v>2023/24</v>
      </c>
      <c r="P285" s="370" t="str">
        <f t="shared" si="423"/>
        <v>2024/25</v>
      </c>
      <c r="Q285" s="218" t="str">
        <f t="shared" si="423"/>
        <v>2025/26</v>
      </c>
      <c r="R285" s="549" t="str">
        <f t="shared" ref="R285" si="424">R3</f>
        <v>2026/27</v>
      </c>
    </row>
    <row r="286" spans="1:18" x14ac:dyDescent="0.2">
      <c r="A286" s="107"/>
      <c r="B286" s="33"/>
      <c r="C286" s="33"/>
      <c r="D286" s="76"/>
      <c r="E286" s="252"/>
      <c r="F286" s="64"/>
      <c r="G286" s="33"/>
      <c r="H286" s="138"/>
      <c r="I286" s="33"/>
      <c r="J286" s="33"/>
      <c r="K286" s="33"/>
      <c r="L286" s="33"/>
      <c r="M286" s="33"/>
      <c r="N286" s="33"/>
      <c r="O286" s="33"/>
      <c r="P286" s="33"/>
      <c r="Q286" s="33"/>
      <c r="R286" s="114"/>
    </row>
    <row r="287" spans="1:18" x14ac:dyDescent="0.2">
      <c r="A287" s="107"/>
      <c r="B287" s="33"/>
      <c r="C287" s="33"/>
      <c r="D287" s="76"/>
      <c r="E287" s="252"/>
      <c r="F287" s="365" t="s">
        <v>1073</v>
      </c>
      <c r="G287" s="33"/>
      <c r="H287" s="138"/>
      <c r="I287" s="33"/>
      <c r="J287" s="33"/>
      <c r="K287" s="33"/>
      <c r="L287" s="33"/>
      <c r="M287" s="33"/>
      <c r="N287" s="33"/>
      <c r="O287" s="33"/>
      <c r="P287" s="33"/>
      <c r="Q287" s="33"/>
      <c r="R287" s="114"/>
    </row>
    <row r="288" spans="1:18" x14ac:dyDescent="0.2">
      <c r="A288" s="107"/>
      <c r="B288" s="33"/>
      <c r="D288" s="76"/>
      <c r="E288" s="343"/>
      <c r="F288" s="33"/>
      <c r="G288" s="33"/>
      <c r="H288" s="138"/>
      <c r="I288" s="33"/>
      <c r="J288" s="33"/>
      <c r="K288" s="33"/>
      <c r="L288" s="33"/>
      <c r="M288" s="33"/>
      <c r="N288" s="33"/>
      <c r="O288" s="33"/>
      <c r="P288" s="33"/>
      <c r="Q288" s="33"/>
      <c r="R288" s="114"/>
    </row>
    <row r="289" spans="1:18" x14ac:dyDescent="0.2">
      <c r="A289" s="107">
        <f>ROUND(SUM(A780:A780),-3)</f>
        <v>13000</v>
      </c>
      <c r="B289" s="33">
        <f t="shared" ref="B289:C291" si="425">SUM(B780:B780)</f>
        <v>47100</v>
      </c>
      <c r="C289" s="99">
        <f t="shared" si="425"/>
        <v>32000</v>
      </c>
      <c r="D289" s="76">
        <f>SUM(D780:D780)</f>
        <v>34600</v>
      </c>
      <c r="E289" s="343" t="s">
        <v>2835</v>
      </c>
      <c r="F289" s="33" t="s">
        <v>221</v>
      </c>
      <c r="G289" s="33">
        <f t="shared" ref="G289:O289" si="426">SUM(G780:G780)</f>
        <v>18000</v>
      </c>
      <c r="H289" s="138">
        <f>IF(D289=G289,0,IF(D289=0,100,(G289-D289)/D289*100))</f>
        <v>-47.97687861271676</v>
      </c>
      <c r="I289" s="33">
        <f t="shared" si="426"/>
        <v>18300</v>
      </c>
      <c r="J289" s="33">
        <f t="shared" si="426"/>
        <v>18800</v>
      </c>
      <c r="K289" s="33">
        <f t="shared" si="426"/>
        <v>19300</v>
      </c>
      <c r="L289" s="33">
        <f t="shared" si="426"/>
        <v>19800</v>
      </c>
      <c r="M289" s="33">
        <f t="shared" si="426"/>
        <v>20200</v>
      </c>
      <c r="N289" s="33">
        <f t="shared" si="426"/>
        <v>20700</v>
      </c>
      <c r="O289" s="33">
        <f t="shared" si="426"/>
        <v>21200</v>
      </c>
      <c r="P289" s="33">
        <f t="shared" ref="P289:Q289" si="427">SUM(P780:P780)</f>
        <v>21700</v>
      </c>
      <c r="Q289" s="33">
        <f t="shared" si="427"/>
        <v>22200</v>
      </c>
      <c r="R289" s="114">
        <f t="shared" ref="R289" si="428">SUM(R780:R780)</f>
        <v>22700</v>
      </c>
    </row>
    <row r="290" spans="1:18" x14ac:dyDescent="0.2">
      <c r="A290" s="107">
        <f>ROUND(SUM(A781:A781),-3)</f>
        <v>61000</v>
      </c>
      <c r="B290" s="33">
        <f t="shared" si="425"/>
        <v>29400</v>
      </c>
      <c r="C290" s="99">
        <f t="shared" si="425"/>
        <v>26800</v>
      </c>
      <c r="D290" s="76">
        <f>SUM(D781:D781)</f>
        <v>29300</v>
      </c>
      <c r="E290" s="343" t="s">
        <v>2835</v>
      </c>
      <c r="F290" s="33" t="s">
        <v>2316</v>
      </c>
      <c r="G290" s="33">
        <f t="shared" ref="G290:O290" si="429">SUM(G781:G781)</f>
        <v>20000</v>
      </c>
      <c r="H290" s="138">
        <f>IF(D290=G290,0,IF(D290=0,100,(G290-D290)/D290*100))</f>
        <v>-31.74061433447099</v>
      </c>
      <c r="I290" s="33">
        <f t="shared" si="429"/>
        <v>20300</v>
      </c>
      <c r="J290" s="33">
        <f t="shared" si="429"/>
        <v>20900</v>
      </c>
      <c r="K290" s="33">
        <f t="shared" si="429"/>
        <v>21500</v>
      </c>
      <c r="L290" s="33">
        <f t="shared" si="429"/>
        <v>22100</v>
      </c>
      <c r="M290" s="33">
        <f t="shared" si="429"/>
        <v>22600</v>
      </c>
      <c r="N290" s="33">
        <f t="shared" si="429"/>
        <v>23100</v>
      </c>
      <c r="O290" s="33">
        <f t="shared" si="429"/>
        <v>23600</v>
      </c>
      <c r="P290" s="33">
        <f t="shared" ref="P290:Q290" si="430">SUM(P781:P781)</f>
        <v>24100</v>
      </c>
      <c r="Q290" s="33">
        <f t="shared" si="430"/>
        <v>24600</v>
      </c>
      <c r="R290" s="114">
        <f t="shared" ref="R290" si="431">SUM(R781:R781)</f>
        <v>25100</v>
      </c>
    </row>
    <row r="291" spans="1:18" x14ac:dyDescent="0.2">
      <c r="A291" s="107">
        <f>ROUND(SUM(A782:A782),-3)</f>
        <v>16000</v>
      </c>
      <c r="B291" s="33">
        <f t="shared" si="425"/>
        <v>7500</v>
      </c>
      <c r="C291" s="99">
        <f t="shared" si="425"/>
        <v>9000</v>
      </c>
      <c r="D291" s="76">
        <f>SUM(D782:D782)</f>
        <v>11800</v>
      </c>
      <c r="E291" s="343" t="s">
        <v>2835</v>
      </c>
      <c r="F291" s="132" t="s">
        <v>3118</v>
      </c>
      <c r="G291" s="33">
        <f t="shared" ref="G291:O291" si="432">SUM(G782:G782)</f>
        <v>15000</v>
      </c>
      <c r="H291" s="138">
        <f>IF(D291=G291,0,IF(D291=0,100,(G291-D291)/D291*100))</f>
        <v>27.118644067796609</v>
      </c>
      <c r="I291" s="33">
        <f t="shared" si="432"/>
        <v>15300</v>
      </c>
      <c r="J291" s="33">
        <f t="shared" si="432"/>
        <v>15700</v>
      </c>
      <c r="K291" s="33">
        <f t="shared" si="432"/>
        <v>16100</v>
      </c>
      <c r="L291" s="33">
        <f t="shared" si="432"/>
        <v>16600</v>
      </c>
      <c r="M291" s="33">
        <f t="shared" si="432"/>
        <v>17000</v>
      </c>
      <c r="N291" s="33">
        <f t="shared" si="432"/>
        <v>17400</v>
      </c>
      <c r="O291" s="33">
        <f t="shared" si="432"/>
        <v>17800</v>
      </c>
      <c r="P291" s="33">
        <f t="shared" ref="P291:Q291" si="433">SUM(P782:P782)</f>
        <v>18200</v>
      </c>
      <c r="Q291" s="33">
        <f t="shared" si="433"/>
        <v>18600</v>
      </c>
      <c r="R291" s="114">
        <f t="shared" ref="R291" si="434">SUM(R782:R782)</f>
        <v>19000</v>
      </c>
    </row>
    <row r="292" spans="1:18" x14ac:dyDescent="0.2">
      <c r="A292" s="107">
        <f>ROUND(SUM(A784:A785),-3)</f>
        <v>67000</v>
      </c>
      <c r="B292" s="33">
        <f>SUM(B784:B785)</f>
        <v>47600</v>
      </c>
      <c r="C292" s="99">
        <f>SUM(C784:C785)</f>
        <v>80400</v>
      </c>
      <c r="D292" s="76">
        <f>SUM(D784:D785)</f>
        <v>50900</v>
      </c>
      <c r="E292" s="343" t="s">
        <v>2835</v>
      </c>
      <c r="F292" s="33" t="s">
        <v>2828</v>
      </c>
      <c r="G292" s="33">
        <f t="shared" ref="G292:O292" si="435">SUM(G784:G785)</f>
        <v>171000</v>
      </c>
      <c r="H292" s="138">
        <f>IF(D292=G292,0,IF(D292=0,100,(G292-D292)/D292*100))</f>
        <v>235.95284872298623</v>
      </c>
      <c r="I292" s="33">
        <f t="shared" si="435"/>
        <v>52100</v>
      </c>
      <c r="J292" s="33">
        <f t="shared" si="435"/>
        <v>53500</v>
      </c>
      <c r="K292" s="33">
        <f t="shared" si="435"/>
        <v>54900</v>
      </c>
      <c r="L292" s="33">
        <f t="shared" si="435"/>
        <v>56300</v>
      </c>
      <c r="M292" s="33">
        <f t="shared" si="435"/>
        <v>57500</v>
      </c>
      <c r="N292" s="33">
        <f t="shared" si="435"/>
        <v>58700</v>
      </c>
      <c r="O292" s="33">
        <f t="shared" si="435"/>
        <v>59900</v>
      </c>
      <c r="P292" s="33">
        <f t="shared" ref="P292:Q292" si="436">SUM(P784:P785)</f>
        <v>61100</v>
      </c>
      <c r="Q292" s="33">
        <f t="shared" si="436"/>
        <v>62400</v>
      </c>
      <c r="R292" s="114">
        <f t="shared" ref="R292" si="437">SUM(R784:R785)</f>
        <v>63700</v>
      </c>
    </row>
    <row r="293" spans="1:18" x14ac:dyDescent="0.2">
      <c r="A293" s="107">
        <f>ROUND(SUM(A786:A786),-3)</f>
        <v>76000</v>
      </c>
      <c r="B293" s="33">
        <f>SUM(B786:B786)</f>
        <v>58300</v>
      </c>
      <c r="C293" s="99">
        <f>SUM(C786:C786)</f>
        <v>147200</v>
      </c>
      <c r="D293" s="76">
        <f>SUM(D786:D786)</f>
        <v>64800</v>
      </c>
      <c r="E293" s="343" t="s">
        <v>2835</v>
      </c>
      <c r="F293" s="132" t="s">
        <v>3117</v>
      </c>
      <c r="G293" s="33">
        <f t="shared" ref="G293:O293" si="438">SUM(G786:G786)</f>
        <v>99000</v>
      </c>
      <c r="H293" s="138">
        <f>IF(D293=G293,0,IF(D293=0,100,(G293-D293)/D293*100))</f>
        <v>52.777777777777779</v>
      </c>
      <c r="I293" s="33">
        <f t="shared" si="438"/>
        <v>67000</v>
      </c>
      <c r="J293" s="33">
        <f t="shared" si="438"/>
        <v>68700</v>
      </c>
      <c r="K293" s="33">
        <f t="shared" si="438"/>
        <v>70500</v>
      </c>
      <c r="L293" s="33">
        <f t="shared" si="438"/>
        <v>72300</v>
      </c>
      <c r="M293" s="33">
        <f t="shared" si="438"/>
        <v>73800</v>
      </c>
      <c r="N293" s="33">
        <f t="shared" si="438"/>
        <v>75300</v>
      </c>
      <c r="O293" s="33">
        <f t="shared" si="438"/>
        <v>76900</v>
      </c>
      <c r="P293" s="33">
        <f t="shared" ref="P293:Q293" si="439">SUM(P786:P786)</f>
        <v>78500</v>
      </c>
      <c r="Q293" s="33">
        <f t="shared" si="439"/>
        <v>80100</v>
      </c>
      <c r="R293" s="114">
        <f t="shared" ref="R293" si="440">SUM(R786:R786)</f>
        <v>81800</v>
      </c>
    </row>
    <row r="294" spans="1:18" ht="13.5" thickBot="1" x14ac:dyDescent="0.25">
      <c r="A294" s="646"/>
      <c r="B294" s="183"/>
      <c r="C294" s="183"/>
      <c r="D294" s="76"/>
      <c r="E294" s="343"/>
      <c r="F294" s="64"/>
      <c r="G294" s="121"/>
      <c r="H294" s="46"/>
      <c r="I294" s="33"/>
      <c r="J294" s="33"/>
      <c r="K294" s="33"/>
      <c r="L294" s="33"/>
      <c r="M294" s="33"/>
      <c r="N294" s="33"/>
      <c r="O294" s="33"/>
      <c r="P294" s="33"/>
      <c r="Q294" s="33"/>
      <c r="R294" s="114"/>
    </row>
    <row r="295" spans="1:18" x14ac:dyDescent="0.2">
      <c r="A295" s="70">
        <f>SUM(A287:A294)</f>
        <v>233000</v>
      </c>
      <c r="B295" s="64">
        <f>SUM(B287:B294)</f>
        <v>189900</v>
      </c>
      <c r="C295" s="64">
        <f>SUM(C287:C294)</f>
        <v>295400</v>
      </c>
      <c r="D295" s="79">
        <f>SUM(D287:D294)</f>
        <v>191400</v>
      </c>
      <c r="E295" s="343"/>
      <c r="F295" s="378" t="s">
        <v>2605</v>
      </c>
      <c r="G295" s="64">
        <f t="shared" ref="G295:O295" si="441">SUM(G287:G294)</f>
        <v>323000</v>
      </c>
      <c r="H295" s="179">
        <f>IF(D295=G295,0,IF(D295=0,100,(G295-D295)/D295*100))</f>
        <v>68.756530825496341</v>
      </c>
      <c r="I295" s="53">
        <f t="shared" si="441"/>
        <v>173000</v>
      </c>
      <c r="J295" s="53">
        <f t="shared" si="441"/>
        <v>177600</v>
      </c>
      <c r="K295" s="53">
        <f t="shared" si="441"/>
        <v>182300</v>
      </c>
      <c r="L295" s="53">
        <f t="shared" si="441"/>
        <v>187100</v>
      </c>
      <c r="M295" s="53">
        <f t="shared" si="441"/>
        <v>191100</v>
      </c>
      <c r="N295" s="53">
        <f t="shared" si="441"/>
        <v>195200</v>
      </c>
      <c r="O295" s="53">
        <f t="shared" si="441"/>
        <v>199400</v>
      </c>
      <c r="P295" s="53">
        <f t="shared" ref="P295:Q295" si="442">SUM(P287:P294)</f>
        <v>203600</v>
      </c>
      <c r="Q295" s="53">
        <f t="shared" si="442"/>
        <v>207900</v>
      </c>
      <c r="R295" s="113">
        <f t="shared" ref="R295" si="443">SUM(R287:R294)</f>
        <v>212300</v>
      </c>
    </row>
    <row r="296" spans="1:18" x14ac:dyDescent="0.2">
      <c r="A296" s="107"/>
      <c r="B296" s="33"/>
      <c r="C296" s="33"/>
      <c r="D296" s="76"/>
      <c r="E296" s="343"/>
      <c r="F296" s="378"/>
      <c r="G296" s="33"/>
      <c r="H296" s="138"/>
      <c r="I296" s="33"/>
      <c r="J296" s="33"/>
      <c r="K296" s="33"/>
      <c r="L296" s="33"/>
      <c r="M296" s="33"/>
      <c r="N296" s="33"/>
      <c r="O296" s="33"/>
      <c r="P296" s="33"/>
      <c r="Q296" s="33"/>
      <c r="R296" s="114"/>
    </row>
    <row r="297" spans="1:18" x14ac:dyDescent="0.2">
      <c r="A297" s="107"/>
      <c r="B297" s="33"/>
      <c r="C297" s="33"/>
      <c r="D297" s="33"/>
      <c r="E297" s="343"/>
      <c r="F297" s="365" t="s">
        <v>2205</v>
      </c>
      <c r="G297" s="33"/>
      <c r="H297" s="138"/>
      <c r="I297" s="33"/>
      <c r="J297" s="33"/>
      <c r="K297" s="33"/>
      <c r="L297" s="33"/>
      <c r="M297" s="33"/>
      <c r="N297" s="33"/>
      <c r="O297" s="33"/>
      <c r="P297" s="33"/>
      <c r="Q297" s="33"/>
      <c r="R297" s="114"/>
    </row>
    <row r="298" spans="1:18" x14ac:dyDescent="0.2">
      <c r="A298" s="107"/>
      <c r="B298" s="33"/>
      <c r="C298" s="33"/>
      <c r="D298" s="33"/>
      <c r="E298" s="343"/>
      <c r="F298" s="366"/>
      <c r="G298" s="33"/>
      <c r="H298" s="138"/>
      <c r="I298" s="33"/>
      <c r="J298" s="33"/>
      <c r="K298" s="33"/>
      <c r="L298" s="33"/>
      <c r="M298" s="33"/>
      <c r="N298" s="33"/>
      <c r="O298" s="33"/>
      <c r="P298" s="33"/>
      <c r="Q298" s="33"/>
      <c r="R298" s="114"/>
    </row>
    <row r="299" spans="1:18" x14ac:dyDescent="0.2">
      <c r="A299" s="107"/>
      <c r="B299" s="33"/>
      <c r="C299" s="33"/>
      <c r="D299" s="33"/>
      <c r="E299" s="343"/>
      <c r="F299" s="371" t="s">
        <v>362</v>
      </c>
      <c r="G299" s="33"/>
      <c r="H299" s="138"/>
      <c r="I299" s="33"/>
      <c r="J299" s="33"/>
      <c r="K299" s="33"/>
      <c r="L299" s="33"/>
      <c r="M299" s="33"/>
      <c r="N299" s="33"/>
      <c r="O299" s="33"/>
      <c r="P299" s="33"/>
      <c r="Q299" s="33"/>
      <c r="R299" s="114"/>
    </row>
    <row r="300" spans="1:18" x14ac:dyDescent="0.2">
      <c r="A300" s="107">
        <f>ROUND(SUM(A792:A796),-3)</f>
        <v>702000</v>
      </c>
      <c r="B300" s="33">
        <f>SUM(B792:B796)</f>
        <v>652200</v>
      </c>
      <c r="C300" s="33">
        <f>SUM(C792:C796)</f>
        <v>687000</v>
      </c>
      <c r="D300" s="33">
        <f>SUM(D792:D796)</f>
        <v>741300</v>
      </c>
      <c r="E300" s="343" t="s">
        <v>2836</v>
      </c>
      <c r="F300" s="366" t="s">
        <v>1249</v>
      </c>
      <c r="G300" s="33">
        <f t="shared" ref="G300:O300" si="444">SUM(G792:G796)</f>
        <v>795000</v>
      </c>
      <c r="H300" s="138">
        <f>IF(D300=G300,0,IF(D300=0,100,(G300-D300)/D300*100))</f>
        <v>7.2440307567786331</v>
      </c>
      <c r="I300" s="33">
        <f t="shared" si="444"/>
        <v>811000</v>
      </c>
      <c r="J300" s="33">
        <f t="shared" si="444"/>
        <v>831400</v>
      </c>
      <c r="K300" s="33">
        <f t="shared" si="444"/>
        <v>852300</v>
      </c>
      <c r="L300" s="33">
        <f t="shared" si="444"/>
        <v>873700</v>
      </c>
      <c r="M300" s="33">
        <f t="shared" si="444"/>
        <v>895500</v>
      </c>
      <c r="N300" s="33">
        <f t="shared" si="444"/>
        <v>917900</v>
      </c>
      <c r="O300" s="33">
        <f t="shared" si="444"/>
        <v>940800</v>
      </c>
      <c r="P300" s="33">
        <f t="shared" ref="P300:Q300" si="445">SUM(P792:P796)</f>
        <v>964300</v>
      </c>
      <c r="Q300" s="33">
        <f t="shared" si="445"/>
        <v>988500</v>
      </c>
      <c r="R300" s="114">
        <f t="shared" ref="R300" si="446">SUM(R792:R796)</f>
        <v>1013300</v>
      </c>
    </row>
    <row r="301" spans="1:18" x14ac:dyDescent="0.2">
      <c r="A301" s="107">
        <f>ROUND(SUM(A797:A803),-3)</f>
        <v>420000</v>
      </c>
      <c r="B301" s="33">
        <f>SUM(B797:B803)</f>
        <v>422600</v>
      </c>
      <c r="C301" s="33">
        <f>SUM(C797:C803)</f>
        <v>420000</v>
      </c>
      <c r="D301" s="33">
        <f>SUM(D797:D803)</f>
        <v>446500</v>
      </c>
      <c r="E301" s="343" t="s">
        <v>2837</v>
      </c>
      <c r="F301" s="366" t="s">
        <v>185</v>
      </c>
      <c r="G301" s="33">
        <f>SUM(G797:G803)</f>
        <v>448500</v>
      </c>
      <c r="H301" s="138">
        <f>IF(D301=G301,0,IF(D301=0,100,(G301-D301)/D301*100))</f>
        <v>0.44792833146696531</v>
      </c>
      <c r="I301" s="33">
        <f t="shared" ref="I301:Q301" si="447">SUM(I797:I803)</f>
        <v>455500</v>
      </c>
      <c r="J301" s="33">
        <f t="shared" si="447"/>
        <v>467000</v>
      </c>
      <c r="K301" s="33">
        <f t="shared" si="447"/>
        <v>478900</v>
      </c>
      <c r="L301" s="33">
        <f t="shared" si="447"/>
        <v>491100</v>
      </c>
      <c r="M301" s="33">
        <f t="shared" si="447"/>
        <v>501100</v>
      </c>
      <c r="N301" s="33">
        <f t="shared" si="447"/>
        <v>511400</v>
      </c>
      <c r="O301" s="33">
        <f t="shared" si="447"/>
        <v>521900</v>
      </c>
      <c r="P301" s="33">
        <f t="shared" si="447"/>
        <v>532500</v>
      </c>
      <c r="Q301" s="33">
        <f t="shared" si="447"/>
        <v>543400</v>
      </c>
      <c r="R301" s="114">
        <f t="shared" ref="R301" si="448">SUM(R797:R803)</f>
        <v>554500</v>
      </c>
    </row>
    <row r="302" spans="1:18" x14ac:dyDescent="0.2">
      <c r="A302" s="107">
        <f>ROUND(SUM(A804:A807),-3)</f>
        <v>25000</v>
      </c>
      <c r="B302" s="33">
        <f>SUM(B804:B807)</f>
        <v>25100</v>
      </c>
      <c r="C302" s="33">
        <f>SUM(C804:C807)</f>
        <v>60000</v>
      </c>
      <c r="D302" s="33">
        <f>SUM(D804:D807)</f>
        <v>48600</v>
      </c>
      <c r="E302" s="343" t="s">
        <v>2837</v>
      </c>
      <c r="F302" s="366" t="s">
        <v>186</v>
      </c>
      <c r="G302" s="33">
        <f t="shared" ref="G302:O302" si="449">SUM(G804:G807)</f>
        <v>60800</v>
      </c>
      <c r="H302" s="138">
        <f>IF(D302=G302,0,IF(D302=0,100,(G302-D302)/D302*100))</f>
        <v>25.102880658436217</v>
      </c>
      <c r="I302" s="33">
        <f t="shared" si="449"/>
        <v>61900</v>
      </c>
      <c r="J302" s="33">
        <f t="shared" si="449"/>
        <v>63700</v>
      </c>
      <c r="K302" s="33">
        <f t="shared" si="449"/>
        <v>65500</v>
      </c>
      <c r="L302" s="33">
        <f t="shared" si="449"/>
        <v>67400</v>
      </c>
      <c r="M302" s="33">
        <f t="shared" si="449"/>
        <v>69000</v>
      </c>
      <c r="N302" s="33">
        <f t="shared" si="449"/>
        <v>70600</v>
      </c>
      <c r="O302" s="33">
        <f t="shared" si="449"/>
        <v>72200</v>
      </c>
      <c r="P302" s="33">
        <f t="shared" ref="P302:Q302" si="450">SUM(P804:P807)</f>
        <v>73900</v>
      </c>
      <c r="Q302" s="33">
        <f t="shared" si="450"/>
        <v>75600</v>
      </c>
      <c r="R302" s="114">
        <f t="shared" ref="R302" si="451">SUM(R804:R807)</f>
        <v>77300</v>
      </c>
    </row>
    <row r="303" spans="1:18" x14ac:dyDescent="0.2">
      <c r="A303" s="107"/>
      <c r="B303" s="33"/>
      <c r="C303" s="33"/>
      <c r="D303" s="33"/>
      <c r="E303" s="343"/>
      <c r="F303" s="366"/>
      <c r="G303" s="33"/>
      <c r="H303" s="138"/>
      <c r="I303" s="33"/>
      <c r="J303" s="33"/>
      <c r="K303" s="33"/>
      <c r="L303" s="33"/>
      <c r="M303" s="33"/>
      <c r="N303" s="33"/>
      <c r="O303" s="33"/>
      <c r="P303" s="33"/>
      <c r="Q303" s="33"/>
      <c r="R303" s="114"/>
    </row>
    <row r="304" spans="1:18" x14ac:dyDescent="0.2">
      <c r="A304" s="107"/>
      <c r="B304" s="33"/>
      <c r="C304" s="33"/>
      <c r="D304" s="33"/>
      <c r="E304" s="343"/>
      <c r="F304" s="371" t="s">
        <v>1819</v>
      </c>
      <c r="G304" s="33"/>
      <c r="H304" s="138"/>
      <c r="I304" s="33"/>
      <c r="J304" s="33"/>
      <c r="K304" s="33"/>
      <c r="L304" s="33"/>
      <c r="M304" s="33"/>
      <c r="N304" s="33"/>
      <c r="O304" s="33"/>
      <c r="P304" s="33"/>
      <c r="Q304" s="33"/>
      <c r="R304" s="114"/>
    </row>
    <row r="305" spans="1:18" x14ac:dyDescent="0.2">
      <c r="A305" s="107">
        <f>ROUND(SUM(A809:A810),-3)</f>
        <v>1958000</v>
      </c>
      <c r="B305" s="33">
        <f>SUM(B809:B810)</f>
        <v>2041500</v>
      </c>
      <c r="C305" s="33">
        <f>SUM(C809:C810)</f>
        <v>2103900</v>
      </c>
      <c r="D305" s="33">
        <f>SUM(D809:D810)</f>
        <v>2157400</v>
      </c>
      <c r="E305" s="343" t="s">
        <v>2837</v>
      </c>
      <c r="F305" s="366" t="s">
        <v>1011</v>
      </c>
      <c r="G305" s="33">
        <f t="shared" ref="G305:O305" si="452">SUM(G809:G810)</f>
        <v>2240000</v>
      </c>
      <c r="H305" s="138">
        <f>IF(D305=G305,0,IF(D305=0,100,(G305-D305)/D305*100))</f>
        <v>3.8286826735885784</v>
      </c>
      <c r="I305" s="33">
        <f t="shared" si="452"/>
        <v>2270000</v>
      </c>
      <c r="J305" s="33">
        <f t="shared" si="452"/>
        <v>2320000</v>
      </c>
      <c r="K305" s="33">
        <f t="shared" si="452"/>
        <v>2374000</v>
      </c>
      <c r="L305" s="33">
        <f t="shared" si="452"/>
        <v>2433000</v>
      </c>
      <c r="M305" s="33">
        <f t="shared" si="452"/>
        <v>2487000</v>
      </c>
      <c r="N305" s="33">
        <f t="shared" si="452"/>
        <v>2545000</v>
      </c>
      <c r="O305" s="33">
        <f t="shared" si="452"/>
        <v>2607000</v>
      </c>
      <c r="P305" s="33">
        <f t="shared" ref="P305:Q305" si="453">SUM(P809:P810)</f>
        <v>2674000</v>
      </c>
      <c r="Q305" s="33">
        <f t="shared" si="453"/>
        <v>2744000</v>
      </c>
      <c r="R305" s="114">
        <f t="shared" ref="R305" si="454">SUM(R809:R810)</f>
        <v>2819000</v>
      </c>
    </row>
    <row r="306" spans="1:18" x14ac:dyDescent="0.2">
      <c r="A306" s="107">
        <f>ROUND(SUM(A811:A811),-3)</f>
        <v>3000</v>
      </c>
      <c r="B306" s="33">
        <f>SUM(B811:B811)</f>
        <v>1900</v>
      </c>
      <c r="C306" s="33">
        <f>SUM(C811:C811)</f>
        <v>5200</v>
      </c>
      <c r="D306" s="33">
        <f>SUM(D811:D811)</f>
        <v>2400</v>
      </c>
      <c r="E306" s="343" t="s">
        <v>2837</v>
      </c>
      <c r="F306" s="366" t="s">
        <v>2569</v>
      </c>
      <c r="G306" s="33">
        <f t="shared" ref="G306:O306" si="455">SUM(G811:G811)</f>
        <v>2000</v>
      </c>
      <c r="H306" s="138">
        <f>IF(D306=G306,0,IF(D306=0,100,(G306-D306)/D306*100))</f>
        <v>-16.666666666666664</v>
      </c>
      <c r="I306" s="33">
        <f t="shared" si="455"/>
        <v>2100</v>
      </c>
      <c r="J306" s="33">
        <f t="shared" si="455"/>
        <v>2200</v>
      </c>
      <c r="K306" s="33">
        <f t="shared" si="455"/>
        <v>2300</v>
      </c>
      <c r="L306" s="33">
        <f t="shared" si="455"/>
        <v>2400</v>
      </c>
      <c r="M306" s="33">
        <f t="shared" si="455"/>
        <v>2500</v>
      </c>
      <c r="N306" s="33">
        <f t="shared" si="455"/>
        <v>2600</v>
      </c>
      <c r="O306" s="33">
        <f t="shared" si="455"/>
        <v>2700</v>
      </c>
      <c r="P306" s="33">
        <f t="shared" ref="P306:Q306" si="456">SUM(P811:P811)</f>
        <v>2800</v>
      </c>
      <c r="Q306" s="33">
        <f t="shared" si="456"/>
        <v>2900</v>
      </c>
      <c r="R306" s="114">
        <f t="shared" ref="R306" si="457">SUM(R811:R811)</f>
        <v>3000</v>
      </c>
    </row>
    <row r="307" spans="1:18" x14ac:dyDescent="0.2">
      <c r="A307" s="107">
        <f>ROUND(SUM(A812:A821),-3)</f>
        <v>737000</v>
      </c>
      <c r="B307" s="33">
        <f>SUM(B812:B821)</f>
        <v>560100</v>
      </c>
      <c r="C307" s="33">
        <f>SUM(C812:C821)</f>
        <v>560300</v>
      </c>
      <c r="D307" s="33">
        <f>SUM(D812:D821)</f>
        <v>557000</v>
      </c>
      <c r="E307" s="343" t="s">
        <v>187</v>
      </c>
      <c r="F307" s="891" t="s">
        <v>3119</v>
      </c>
      <c r="G307" s="33">
        <f t="shared" ref="G307:O307" si="458">SUM(G812:G821)</f>
        <v>602000</v>
      </c>
      <c r="H307" s="138">
        <f>IF(D307=G307,0,IF(D307=0,100,(G307-D307)/D307*100))</f>
        <v>8.0789946140035909</v>
      </c>
      <c r="I307" s="33">
        <f t="shared" si="458"/>
        <v>611400</v>
      </c>
      <c r="J307" s="33">
        <f t="shared" si="458"/>
        <v>627000</v>
      </c>
      <c r="K307" s="33">
        <f t="shared" si="458"/>
        <v>643100</v>
      </c>
      <c r="L307" s="33">
        <f t="shared" si="458"/>
        <v>659700</v>
      </c>
      <c r="M307" s="33">
        <f t="shared" si="458"/>
        <v>673300</v>
      </c>
      <c r="N307" s="33">
        <f t="shared" si="458"/>
        <v>687100</v>
      </c>
      <c r="O307" s="33">
        <f t="shared" si="458"/>
        <v>701100</v>
      </c>
      <c r="P307" s="33">
        <f t="shared" ref="P307:Q307" si="459">SUM(P812:P821)</f>
        <v>715500</v>
      </c>
      <c r="Q307" s="33">
        <f t="shared" si="459"/>
        <v>730200</v>
      </c>
      <c r="R307" s="114">
        <f t="shared" ref="R307" si="460">SUM(R812:R821)</f>
        <v>745300</v>
      </c>
    </row>
    <row r="308" spans="1:18" x14ac:dyDescent="0.2">
      <c r="A308" s="107">
        <f>ROUND(SUM(A822:A827),-3)</f>
        <v>1234000</v>
      </c>
      <c r="B308" s="33">
        <f>SUM(B822:B827)</f>
        <v>1292700</v>
      </c>
      <c r="C308" s="33">
        <f>SUM(C822:C827)</f>
        <v>1513700</v>
      </c>
      <c r="D308" s="33">
        <f>SUM(D822:D827)</f>
        <v>1411900</v>
      </c>
      <c r="E308" s="343" t="s">
        <v>1079</v>
      </c>
      <c r="F308" s="366" t="str">
        <f>F822</f>
        <v>Employee Entitlements - Salaried Staff</v>
      </c>
      <c r="G308" s="33">
        <f t="shared" ref="G308:O308" si="461">SUM(G822:G827)</f>
        <v>1556000</v>
      </c>
      <c r="H308" s="138">
        <f>IF(D308=G308,0,IF(D308=0,100,(G308-D308)/D308*100))</f>
        <v>10.206105248247042</v>
      </c>
      <c r="I308" s="33">
        <f t="shared" si="461"/>
        <v>1579500</v>
      </c>
      <c r="J308" s="33">
        <f t="shared" si="461"/>
        <v>1619200</v>
      </c>
      <c r="K308" s="33">
        <f t="shared" si="461"/>
        <v>1659800</v>
      </c>
      <c r="L308" s="33">
        <f t="shared" si="461"/>
        <v>1701500</v>
      </c>
      <c r="M308" s="33">
        <f t="shared" si="461"/>
        <v>1735700</v>
      </c>
      <c r="N308" s="33">
        <f t="shared" si="461"/>
        <v>1770600</v>
      </c>
      <c r="O308" s="33">
        <f t="shared" si="461"/>
        <v>1806200</v>
      </c>
      <c r="P308" s="33">
        <f t="shared" ref="P308:Q308" si="462">SUM(P822:P827)</f>
        <v>1842500</v>
      </c>
      <c r="Q308" s="33">
        <f t="shared" si="462"/>
        <v>1879500</v>
      </c>
      <c r="R308" s="114">
        <f t="shared" ref="R308" si="463">SUM(R822:R827)</f>
        <v>1917300</v>
      </c>
    </row>
    <row r="309" spans="1:18" x14ac:dyDescent="0.2">
      <c r="A309" s="107">
        <f>ROUND(SUM(A837:A842),-3)</f>
        <v>1143000</v>
      </c>
      <c r="B309" s="33">
        <f>SUM(B837:B842)</f>
        <v>1356600</v>
      </c>
      <c r="C309" s="33">
        <f>SUM(C837:C842)</f>
        <v>1304200</v>
      </c>
      <c r="D309" s="33">
        <f>SUM(D837:D842)</f>
        <v>1651100</v>
      </c>
      <c r="E309" s="343" t="s">
        <v>1079</v>
      </c>
      <c r="F309" s="366" t="s">
        <v>292</v>
      </c>
      <c r="G309" s="33">
        <f t="shared" ref="G309:O309" si="464">SUM(G837:G842)</f>
        <v>1255000</v>
      </c>
      <c r="H309" s="138">
        <f>IF(D309=G309,0,IF(D309=0,100,(G309-D309)/D309*100))</f>
        <v>-23.990067227908668</v>
      </c>
      <c r="I309" s="33">
        <f t="shared" si="464"/>
        <v>1274100</v>
      </c>
      <c r="J309" s="33">
        <f t="shared" si="464"/>
        <v>1306100</v>
      </c>
      <c r="K309" s="33">
        <f t="shared" si="464"/>
        <v>1339000</v>
      </c>
      <c r="L309" s="33">
        <f t="shared" si="464"/>
        <v>1372700</v>
      </c>
      <c r="M309" s="33">
        <f t="shared" si="464"/>
        <v>1400400</v>
      </c>
      <c r="N309" s="33">
        <f t="shared" si="464"/>
        <v>1428600</v>
      </c>
      <c r="O309" s="33">
        <f t="shared" si="464"/>
        <v>1457400</v>
      </c>
      <c r="P309" s="33">
        <f t="shared" ref="P309:Q309" si="465">SUM(P837:P842)</f>
        <v>1486800</v>
      </c>
      <c r="Q309" s="33">
        <f t="shared" si="465"/>
        <v>1516700</v>
      </c>
      <c r="R309" s="114">
        <f t="shared" ref="R309" si="466">SUM(R837:R842)</f>
        <v>1547200</v>
      </c>
    </row>
    <row r="310" spans="1:18" x14ac:dyDescent="0.2">
      <c r="A310" s="107"/>
      <c r="B310" s="33"/>
      <c r="C310" s="33"/>
      <c r="D310" s="33"/>
      <c r="E310" s="343"/>
      <c r="F310" s="366"/>
      <c r="G310" s="33"/>
      <c r="H310" s="138"/>
      <c r="I310" s="33"/>
      <c r="J310" s="33"/>
      <c r="K310" s="33"/>
      <c r="L310" s="33"/>
      <c r="M310" s="33"/>
      <c r="N310" s="33"/>
      <c r="O310" s="33"/>
      <c r="P310" s="33"/>
      <c r="Q310" s="33"/>
      <c r="R310" s="114"/>
    </row>
    <row r="311" spans="1:18" x14ac:dyDescent="0.2">
      <c r="A311" s="107"/>
      <c r="B311" s="33"/>
      <c r="C311" s="33"/>
      <c r="D311" s="33"/>
      <c r="E311" s="343"/>
      <c r="F311" s="371" t="s">
        <v>699</v>
      </c>
      <c r="G311" s="33"/>
      <c r="H311" s="138"/>
      <c r="I311" s="33"/>
      <c r="J311" s="33"/>
      <c r="K311" s="33"/>
      <c r="L311" s="33"/>
      <c r="M311" s="33"/>
      <c r="N311" s="33"/>
      <c r="O311" s="33"/>
      <c r="P311" s="33"/>
      <c r="Q311" s="33"/>
      <c r="R311" s="114"/>
    </row>
    <row r="312" spans="1:18" x14ac:dyDescent="0.2">
      <c r="A312" s="107">
        <f>ROUND(SUM(A844:A844),-3)</f>
        <v>2000</v>
      </c>
      <c r="B312" s="33">
        <f t="shared" ref="B312:C314" si="467">SUM(B844:B844)</f>
        <v>7500</v>
      </c>
      <c r="C312" s="33">
        <f t="shared" si="467"/>
        <v>7500</v>
      </c>
      <c r="D312" s="33">
        <f>SUM(D844:D844)</f>
        <v>0</v>
      </c>
      <c r="E312" s="343" t="s">
        <v>1080</v>
      </c>
      <c r="F312" s="366" t="str">
        <f>F844</f>
        <v>Fidelity Guarantee</v>
      </c>
      <c r="G312" s="33">
        <f t="shared" ref="G312:O312" si="468">SUM(G844:G844)</f>
        <v>8000</v>
      </c>
      <c r="H312" s="138">
        <f>IF(D312=G312,0,IF(D312=0,100,(G312-D312)/D312*100))</f>
        <v>100</v>
      </c>
      <c r="I312" s="33">
        <f t="shared" si="468"/>
        <v>8200</v>
      </c>
      <c r="J312" s="33">
        <f t="shared" si="468"/>
        <v>8500</v>
      </c>
      <c r="K312" s="33">
        <f t="shared" si="468"/>
        <v>8800</v>
      </c>
      <c r="L312" s="33">
        <f t="shared" si="468"/>
        <v>9100</v>
      </c>
      <c r="M312" s="33">
        <f t="shared" si="468"/>
        <v>9300</v>
      </c>
      <c r="N312" s="33">
        <f t="shared" si="468"/>
        <v>9500</v>
      </c>
      <c r="O312" s="33">
        <f t="shared" si="468"/>
        <v>9700</v>
      </c>
      <c r="P312" s="33">
        <f t="shared" ref="P312:Q312" si="469">SUM(P844:P844)</f>
        <v>9900</v>
      </c>
      <c r="Q312" s="33">
        <f t="shared" si="469"/>
        <v>10100</v>
      </c>
      <c r="R312" s="114">
        <f t="shared" ref="R312" si="470">SUM(R844:R844)</f>
        <v>10400</v>
      </c>
    </row>
    <row r="313" spans="1:18" x14ac:dyDescent="0.2">
      <c r="A313" s="107">
        <f>ROUND(SUM(A845:A845),-3)</f>
        <v>510000</v>
      </c>
      <c r="B313" s="33">
        <f t="shared" si="467"/>
        <v>534500</v>
      </c>
      <c r="C313" s="33">
        <f t="shared" si="467"/>
        <v>557200</v>
      </c>
      <c r="D313" s="33">
        <f>SUM(D845:D845)</f>
        <v>568700</v>
      </c>
      <c r="E313" s="343" t="s">
        <v>1080</v>
      </c>
      <c r="F313" s="366" t="str">
        <f>F845</f>
        <v>Public Risk and Plant</v>
      </c>
      <c r="G313" s="33">
        <f>SUM(G845:G845)+G847</f>
        <v>592000</v>
      </c>
      <c r="H313" s="138">
        <f>IF(D313=G313,0,IF(D313=0,100,(G313-D313)/D313*100))</f>
        <v>4.097063478107966</v>
      </c>
      <c r="I313" s="33">
        <f>SUM(I845:I845)+I847</f>
        <v>580600</v>
      </c>
      <c r="J313" s="33">
        <f t="shared" ref="J313:R313" si="471">SUM(J845:J845)+J847</f>
        <v>595200</v>
      </c>
      <c r="K313" s="33">
        <f t="shared" si="471"/>
        <v>610100</v>
      </c>
      <c r="L313" s="33">
        <f t="shared" si="471"/>
        <v>625400</v>
      </c>
      <c r="M313" s="33">
        <f t="shared" si="471"/>
        <v>638000</v>
      </c>
      <c r="N313" s="33">
        <f t="shared" si="471"/>
        <v>650800</v>
      </c>
      <c r="O313" s="33">
        <f t="shared" si="471"/>
        <v>663900</v>
      </c>
      <c r="P313" s="33">
        <f t="shared" si="471"/>
        <v>677200</v>
      </c>
      <c r="Q313" s="33">
        <f t="shared" si="471"/>
        <v>690800</v>
      </c>
      <c r="R313" s="33">
        <f t="shared" si="471"/>
        <v>704700</v>
      </c>
    </row>
    <row r="314" spans="1:18" x14ac:dyDescent="0.2">
      <c r="A314" s="107">
        <f>ROUND(SUM(A846:A846),-3)</f>
        <v>10000</v>
      </c>
      <c r="B314" s="33">
        <f t="shared" si="467"/>
        <v>39700</v>
      </c>
      <c r="C314" s="33">
        <f t="shared" si="467"/>
        <v>17700</v>
      </c>
      <c r="D314" s="33">
        <f>SUM(D846:D846)</f>
        <v>24800</v>
      </c>
      <c r="E314" s="343" t="s">
        <v>1080</v>
      </c>
      <c r="F314" s="366" t="str">
        <f>F846</f>
        <v>Excess Public Risk</v>
      </c>
      <c r="G314" s="33">
        <f t="shared" ref="G314:O314" si="472">SUM(G846:G846)</f>
        <v>40800</v>
      </c>
      <c r="H314" s="138">
        <f>IF(D314=G314,0,IF(D314=0,100,(G314-D314)/D314*100))</f>
        <v>64.516129032258064</v>
      </c>
      <c r="I314" s="33">
        <f t="shared" si="472"/>
        <v>41500</v>
      </c>
      <c r="J314" s="33">
        <f t="shared" si="472"/>
        <v>42600</v>
      </c>
      <c r="K314" s="33">
        <f t="shared" si="472"/>
        <v>43700</v>
      </c>
      <c r="L314" s="33">
        <f t="shared" si="472"/>
        <v>44800</v>
      </c>
      <c r="M314" s="33">
        <f t="shared" si="472"/>
        <v>45700</v>
      </c>
      <c r="N314" s="33">
        <f t="shared" si="472"/>
        <v>46700</v>
      </c>
      <c r="O314" s="33">
        <f t="shared" si="472"/>
        <v>47700</v>
      </c>
      <c r="P314" s="33">
        <f t="shared" ref="P314:Q314" si="473">SUM(P846:P846)</f>
        <v>48700</v>
      </c>
      <c r="Q314" s="33">
        <f t="shared" si="473"/>
        <v>49700</v>
      </c>
      <c r="R314" s="114">
        <f t="shared" ref="R314" si="474">SUM(R846:R846)</f>
        <v>50700</v>
      </c>
    </row>
    <row r="315" spans="1:18" x14ac:dyDescent="0.2">
      <c r="A315" s="107"/>
      <c r="B315" s="33"/>
      <c r="C315" s="33"/>
      <c r="D315" s="33"/>
      <c r="E315" s="343"/>
      <c r="F315" s="366"/>
      <c r="G315" s="33"/>
      <c r="H315" s="138"/>
      <c r="I315" s="33"/>
      <c r="J315" s="33"/>
      <c r="K315" s="33"/>
      <c r="L315" s="33"/>
      <c r="M315" s="33"/>
      <c r="N315" s="33"/>
      <c r="O315" s="33"/>
      <c r="P315" s="33"/>
      <c r="Q315" s="33"/>
      <c r="R315" s="114"/>
    </row>
    <row r="316" spans="1:18" x14ac:dyDescent="0.2">
      <c r="A316" s="107"/>
      <c r="B316" s="33"/>
      <c r="C316" s="33"/>
      <c r="D316" s="33"/>
      <c r="E316" s="343"/>
      <c r="F316" s="371" t="s">
        <v>494</v>
      </c>
      <c r="G316" s="33"/>
      <c r="H316" s="138"/>
      <c r="I316" s="33"/>
      <c r="J316" s="33"/>
      <c r="K316" s="33"/>
      <c r="L316" s="33"/>
      <c r="M316" s="33"/>
      <c r="N316" s="33"/>
      <c r="O316" s="33"/>
      <c r="P316" s="33"/>
      <c r="Q316" s="33"/>
      <c r="R316" s="114"/>
    </row>
    <row r="317" spans="1:18" x14ac:dyDescent="0.2">
      <c r="A317" s="107">
        <f>ROUND(SUM(A848:A850),-3)</f>
        <v>-5732000</v>
      </c>
      <c r="B317" s="33">
        <f>SUM(B848:B850)</f>
        <v>-5474300</v>
      </c>
      <c r="C317" s="33">
        <f>SUM(C848:C850)</f>
        <v>-5729400</v>
      </c>
      <c r="D317" s="33">
        <f>SUM(D848:D850)</f>
        <v>-6181000</v>
      </c>
      <c r="E317" s="343" t="s">
        <v>688</v>
      </c>
      <c r="F317" s="366" t="s">
        <v>2069</v>
      </c>
      <c r="G317" s="33">
        <f t="shared" ref="G317:O317" si="475">SUM(G848:G850)</f>
        <v>-6460000</v>
      </c>
      <c r="H317" s="138">
        <f>IF(D317=G317,0,IF(D317=0,100,(G317-D317)/D317*100))</f>
        <v>4.5138327131532119</v>
      </c>
      <c r="I317" s="33">
        <f t="shared" si="475"/>
        <v>-6557000</v>
      </c>
      <c r="J317" s="33">
        <f t="shared" si="475"/>
        <v>-6721000</v>
      </c>
      <c r="K317" s="33">
        <f t="shared" si="475"/>
        <v>-6889100</v>
      </c>
      <c r="L317" s="33">
        <f t="shared" si="475"/>
        <v>-7061500</v>
      </c>
      <c r="M317" s="33">
        <f t="shared" si="475"/>
        <v>-7202800</v>
      </c>
      <c r="N317" s="33">
        <f t="shared" si="475"/>
        <v>-7347000</v>
      </c>
      <c r="O317" s="33">
        <f t="shared" si="475"/>
        <v>-7494000</v>
      </c>
      <c r="P317" s="33">
        <f t="shared" ref="P317:Q317" si="476">SUM(P848:P850)</f>
        <v>-7644000</v>
      </c>
      <c r="Q317" s="33">
        <f t="shared" si="476"/>
        <v>-7797000</v>
      </c>
      <c r="R317" s="114">
        <f t="shared" ref="R317" si="477">SUM(R848:R850)</f>
        <v>-7953100</v>
      </c>
    </row>
    <row r="318" spans="1:18" x14ac:dyDescent="0.2">
      <c r="A318" s="107">
        <f>ROUND(SUM(A851:A853),-3)</f>
        <v>-48000</v>
      </c>
      <c r="B318" s="33">
        <f>SUM(B851:B853)</f>
        <v>-88700</v>
      </c>
      <c r="C318" s="33">
        <f>SUM(C851:C853)</f>
        <v>-141000</v>
      </c>
      <c r="D318" s="33">
        <f>SUM(D851:D853)</f>
        <v>-146500</v>
      </c>
      <c r="E318" s="343" t="s">
        <v>688</v>
      </c>
      <c r="F318" s="366" t="s">
        <v>1314</v>
      </c>
      <c r="G318" s="33">
        <f t="shared" ref="G318:O318" si="478">SUM(G851:G853)</f>
        <v>-129600</v>
      </c>
      <c r="H318" s="138">
        <f>IF(D318=G318,0,IF(D318=0,100,(G318-D318)/D318*100))</f>
        <v>-11.535836177474403</v>
      </c>
      <c r="I318" s="33">
        <f t="shared" si="478"/>
        <v>-131600</v>
      </c>
      <c r="J318" s="33">
        <f t="shared" si="478"/>
        <v>-135000</v>
      </c>
      <c r="K318" s="33">
        <f t="shared" si="478"/>
        <v>-138500</v>
      </c>
      <c r="L318" s="33">
        <f t="shared" si="478"/>
        <v>-142100</v>
      </c>
      <c r="M318" s="33">
        <f t="shared" si="478"/>
        <v>-145000</v>
      </c>
      <c r="N318" s="33">
        <f t="shared" si="478"/>
        <v>-148000</v>
      </c>
      <c r="O318" s="33">
        <f t="shared" si="478"/>
        <v>-151100</v>
      </c>
      <c r="P318" s="33">
        <f t="shared" ref="P318:Q318" si="479">SUM(P851:P853)</f>
        <v>-154200</v>
      </c>
      <c r="Q318" s="33">
        <f t="shared" si="479"/>
        <v>-157300</v>
      </c>
      <c r="R318" s="114">
        <f t="shared" ref="R318" si="480">SUM(R851:R853)</f>
        <v>-160600</v>
      </c>
    </row>
    <row r="319" spans="1:18" ht="13.5" thickBot="1" x14ac:dyDescent="0.25">
      <c r="A319" s="646"/>
      <c r="B319" s="183"/>
      <c r="C319" s="183"/>
      <c r="D319" s="2517"/>
      <c r="E319" s="252"/>
      <c r="F319" s="64"/>
      <c r="G319" s="121"/>
      <c r="H319" s="46"/>
      <c r="I319" s="33"/>
      <c r="J319" s="33"/>
      <c r="K319" s="33"/>
      <c r="L319" s="33"/>
      <c r="M319" s="33"/>
      <c r="N319" s="33"/>
      <c r="O319" s="33"/>
      <c r="P319" s="33"/>
      <c r="Q319" s="33"/>
      <c r="R319" s="114"/>
    </row>
    <row r="320" spans="1:18" s="92" customFormat="1" x14ac:dyDescent="0.2">
      <c r="A320" s="70">
        <f>SUM(A297:A319)</f>
        <v>964000</v>
      </c>
      <c r="B320" s="64">
        <f>SUM(B297:B319)</f>
        <v>1371400</v>
      </c>
      <c r="C320" s="64">
        <f>SUM(C297:C319)</f>
        <v>1366300</v>
      </c>
      <c r="D320" s="79">
        <f>SUM(D297:D319)</f>
        <v>1282200</v>
      </c>
      <c r="E320" s="2514"/>
      <c r="F320" s="378" t="s">
        <v>565</v>
      </c>
      <c r="G320" s="64">
        <f t="shared" ref="G320:O320" si="481">SUM(G297:G319)</f>
        <v>1010500</v>
      </c>
      <c r="H320" s="179">
        <f>IF(D320=G320,0,IF(D320=0,100,(G320-D320)/D320*100))</f>
        <v>-21.190141943534549</v>
      </c>
      <c r="I320" s="53">
        <f t="shared" si="481"/>
        <v>1007200</v>
      </c>
      <c r="J320" s="53">
        <f t="shared" si="481"/>
        <v>1026900</v>
      </c>
      <c r="K320" s="53">
        <f t="shared" si="481"/>
        <v>1049900</v>
      </c>
      <c r="L320" s="53">
        <f t="shared" si="481"/>
        <v>1077200</v>
      </c>
      <c r="M320" s="53">
        <f t="shared" si="481"/>
        <v>1109700</v>
      </c>
      <c r="N320" s="53">
        <f t="shared" si="481"/>
        <v>1145800</v>
      </c>
      <c r="O320" s="53">
        <f t="shared" si="481"/>
        <v>1185500</v>
      </c>
      <c r="P320" s="53">
        <f t="shared" ref="P320:Q320" si="482">SUM(P297:P319)</f>
        <v>1229900</v>
      </c>
      <c r="Q320" s="53">
        <f t="shared" si="482"/>
        <v>1277100</v>
      </c>
      <c r="R320" s="113">
        <f t="shared" ref="R320" si="483">SUM(R297:R319)</f>
        <v>1329000</v>
      </c>
    </row>
    <row r="321" spans="1:18" x14ac:dyDescent="0.2">
      <c r="A321" s="107"/>
      <c r="B321" s="33"/>
      <c r="C321" s="33"/>
      <c r="D321" s="76"/>
      <c r="E321" s="252"/>
      <c r="F321" s="366"/>
      <c r="G321" s="33"/>
      <c r="H321" s="138"/>
      <c r="I321" s="64"/>
      <c r="J321" s="33"/>
      <c r="K321" s="33"/>
      <c r="L321" s="33"/>
      <c r="M321" s="33"/>
      <c r="N321" s="33"/>
      <c r="O321" s="33"/>
      <c r="P321" s="33"/>
      <c r="Q321" s="33"/>
      <c r="R321" s="114"/>
    </row>
    <row r="322" spans="1:18" s="92" customFormat="1" x14ac:dyDescent="0.2">
      <c r="A322" s="70">
        <f>A295-A320</f>
        <v>-731000</v>
      </c>
      <c r="B322" s="64">
        <f>B295-B320</f>
        <v>-1181500</v>
      </c>
      <c r="C322" s="64">
        <f>C295-C320</f>
        <v>-1070900</v>
      </c>
      <c r="D322" s="79">
        <f>D295-D320</f>
        <v>-1090800</v>
      </c>
      <c r="E322" s="2514"/>
      <c r="F322" s="516" t="s">
        <v>1019</v>
      </c>
      <c r="G322" s="64">
        <f t="shared" ref="G322:O322" si="484">G295-G320</f>
        <v>-687500</v>
      </c>
      <c r="H322" s="179">
        <f>IF(D322=G322,0,IF(D322=0,100,(G322-D322)/D322*100))</f>
        <v>-36.972863953061974</v>
      </c>
      <c r="I322" s="64">
        <f t="shared" si="484"/>
        <v>-834200</v>
      </c>
      <c r="J322" s="64">
        <f t="shared" si="484"/>
        <v>-849300</v>
      </c>
      <c r="K322" s="64">
        <f t="shared" si="484"/>
        <v>-867600</v>
      </c>
      <c r="L322" s="64">
        <f t="shared" si="484"/>
        <v>-890100</v>
      </c>
      <c r="M322" s="64">
        <f t="shared" si="484"/>
        <v>-918600</v>
      </c>
      <c r="N322" s="64">
        <f t="shared" si="484"/>
        <v>-950600</v>
      </c>
      <c r="O322" s="64">
        <f t="shared" si="484"/>
        <v>-986100</v>
      </c>
      <c r="P322" s="64">
        <f t="shared" ref="P322:Q322" si="485">P295-P320</f>
        <v>-1026300</v>
      </c>
      <c r="Q322" s="64">
        <f t="shared" si="485"/>
        <v>-1069200</v>
      </c>
      <c r="R322" s="115">
        <f t="shared" ref="R322" si="486">R295-R320</f>
        <v>-1116700</v>
      </c>
    </row>
    <row r="323" spans="1:18" x14ac:dyDescent="0.2">
      <c r="A323" s="592">
        <v>0</v>
      </c>
      <c r="B323" s="455">
        <v>0</v>
      </c>
      <c r="C323" s="455">
        <v>0</v>
      </c>
      <c r="D323" s="2518">
        <v>0</v>
      </c>
      <c r="E323" s="252"/>
      <c r="F323" s="372" t="s">
        <v>1976</v>
      </c>
      <c r="G323" s="455">
        <v>0</v>
      </c>
      <c r="H323" s="578">
        <f>IF(D323=G323,0,IF(D323=0,100,(G323-D323)/D323*100))</f>
        <v>0</v>
      </c>
      <c r="I323" s="33">
        <v>0</v>
      </c>
      <c r="J323" s="33">
        <v>0</v>
      </c>
      <c r="K323" s="33">
        <v>0</v>
      </c>
      <c r="L323" s="33">
        <v>0</v>
      </c>
      <c r="M323" s="33">
        <v>0</v>
      </c>
      <c r="N323" s="33">
        <v>0</v>
      </c>
      <c r="O323" s="33">
        <v>0</v>
      </c>
      <c r="P323" s="33">
        <v>0</v>
      </c>
      <c r="Q323" s="33">
        <v>0</v>
      </c>
      <c r="R323" s="114">
        <v>0</v>
      </c>
    </row>
    <row r="324" spans="1:18" s="92" customFormat="1" x14ac:dyDescent="0.2">
      <c r="A324" s="70">
        <f>A322+A323</f>
        <v>-731000</v>
      </c>
      <c r="B324" s="64">
        <f>B322+B323</f>
        <v>-1181500</v>
      </c>
      <c r="C324" s="64">
        <f>C322+C323</f>
        <v>-1070900</v>
      </c>
      <c r="D324" s="79">
        <f>D322+D323</f>
        <v>-1090800</v>
      </c>
      <c r="E324" s="2514"/>
      <c r="F324" s="516" t="s">
        <v>1687</v>
      </c>
      <c r="G324" s="64">
        <f t="shared" ref="G324:O324" si="487">G322+G323</f>
        <v>-687500</v>
      </c>
      <c r="H324" s="179">
        <f>IF(D324=G324,0,IF(D324=0,100,(G324-D324)/D324*100))</f>
        <v>-36.972863953061974</v>
      </c>
      <c r="I324" s="397">
        <f t="shared" si="487"/>
        <v>-834200</v>
      </c>
      <c r="J324" s="397">
        <f t="shared" si="487"/>
        <v>-849300</v>
      </c>
      <c r="K324" s="397">
        <f t="shared" si="487"/>
        <v>-867600</v>
      </c>
      <c r="L324" s="397">
        <f t="shared" si="487"/>
        <v>-890100</v>
      </c>
      <c r="M324" s="397">
        <f t="shared" si="487"/>
        <v>-918600</v>
      </c>
      <c r="N324" s="397">
        <f t="shared" si="487"/>
        <v>-950600</v>
      </c>
      <c r="O324" s="397">
        <f t="shared" si="487"/>
        <v>-986100</v>
      </c>
      <c r="P324" s="397">
        <f t="shared" ref="P324:Q324" si="488">P322+P323</f>
        <v>-1026300</v>
      </c>
      <c r="Q324" s="397">
        <f t="shared" si="488"/>
        <v>-1069200</v>
      </c>
      <c r="R324" s="399">
        <f t="shared" ref="R324" si="489">R322+R323</f>
        <v>-1116700</v>
      </c>
    </row>
    <row r="325" spans="1:18" ht="13.5" thickBot="1" x14ac:dyDescent="0.25">
      <c r="A325" s="73"/>
      <c r="B325" s="90"/>
      <c r="C325" s="90"/>
      <c r="D325" s="85"/>
      <c r="E325" s="285"/>
      <c r="F325" s="368"/>
      <c r="G325" s="66"/>
      <c r="H325" s="392"/>
      <c r="I325" s="121"/>
      <c r="J325" s="121"/>
      <c r="K325" s="121"/>
      <c r="L325" s="121"/>
      <c r="M325" s="121"/>
      <c r="N325" s="121"/>
      <c r="O325" s="121"/>
      <c r="P325" s="121"/>
      <c r="Q325" s="121"/>
      <c r="R325" s="161"/>
    </row>
    <row r="326" spans="1:18" ht="13.5" thickTop="1" x14ac:dyDescent="0.2">
      <c r="A326" s="383"/>
      <c r="B326" s="162"/>
      <c r="C326" s="162"/>
      <c r="D326" s="387"/>
      <c r="E326" s="2519"/>
      <c r="F326" s="367"/>
      <c r="G326" s="127"/>
      <c r="H326" s="505"/>
      <c r="I326" s="127"/>
      <c r="J326" s="127"/>
      <c r="K326" s="127"/>
      <c r="L326" s="127"/>
      <c r="M326" s="127"/>
      <c r="N326" s="127"/>
      <c r="O326" s="127"/>
      <c r="P326" s="127"/>
      <c r="Q326" s="127"/>
      <c r="R326" s="163"/>
    </row>
    <row r="327" spans="1:18" x14ac:dyDescent="0.2">
      <c r="A327" s="70"/>
      <c r="B327" s="64"/>
      <c r="C327" s="64"/>
      <c r="D327" s="79"/>
      <c r="E327" s="252"/>
      <c r="F327" s="516" t="s">
        <v>196</v>
      </c>
      <c r="G327" s="33"/>
      <c r="H327" s="179"/>
      <c r="I327" s="33"/>
      <c r="J327" s="33"/>
      <c r="K327" s="33"/>
      <c r="L327" s="33"/>
      <c r="M327" s="33"/>
      <c r="N327" s="33"/>
      <c r="O327" s="33"/>
      <c r="P327" s="33"/>
      <c r="Q327" s="33"/>
      <c r="R327" s="114"/>
    </row>
    <row r="328" spans="1:18" x14ac:dyDescent="0.2">
      <c r="A328" s="70"/>
      <c r="B328" s="64"/>
      <c r="C328" s="64"/>
      <c r="D328" s="79"/>
      <c r="E328" s="252"/>
      <c r="F328" s="371"/>
      <c r="G328" s="33"/>
      <c r="H328" s="179"/>
      <c r="I328" s="33"/>
      <c r="J328" s="33"/>
      <c r="K328" s="33"/>
      <c r="L328" s="33"/>
      <c r="M328" s="33"/>
      <c r="N328" s="33"/>
      <c r="O328" s="33"/>
      <c r="P328" s="33"/>
      <c r="Q328" s="33"/>
      <c r="R328" s="114"/>
    </row>
    <row r="329" spans="1:18" x14ac:dyDescent="0.2">
      <c r="A329" s="107">
        <f>ROUND(A863,-3)</f>
        <v>0</v>
      </c>
      <c r="B329" s="33">
        <f t="shared" ref="B329:C333" si="490">B863</f>
        <v>0</v>
      </c>
      <c r="C329" s="33">
        <f t="shared" si="490"/>
        <v>0</v>
      </c>
      <c r="D329" s="76">
        <f>D863</f>
        <v>0</v>
      </c>
      <c r="E329" s="240"/>
      <c r="F329" s="366" t="s">
        <v>2900</v>
      </c>
      <c r="G329" s="33">
        <f t="shared" ref="G329:O329" si="491">G863</f>
        <v>0</v>
      </c>
      <c r="H329" s="138"/>
      <c r="I329" s="33">
        <f t="shared" si="491"/>
        <v>0</v>
      </c>
      <c r="J329" s="33">
        <f t="shared" si="491"/>
        <v>0</v>
      </c>
      <c r="K329" s="33">
        <f t="shared" si="491"/>
        <v>0</v>
      </c>
      <c r="L329" s="33">
        <f t="shared" si="491"/>
        <v>0</v>
      </c>
      <c r="M329" s="33">
        <f t="shared" si="491"/>
        <v>0</v>
      </c>
      <c r="N329" s="33">
        <f t="shared" si="491"/>
        <v>0</v>
      </c>
      <c r="O329" s="33">
        <f t="shared" si="491"/>
        <v>0</v>
      </c>
      <c r="P329" s="33">
        <f t="shared" ref="P329:Q329" si="492">P863</f>
        <v>0</v>
      </c>
      <c r="Q329" s="33">
        <f t="shared" si="492"/>
        <v>0</v>
      </c>
      <c r="R329" s="114">
        <f t="shared" ref="R329" si="493">R863</f>
        <v>0</v>
      </c>
    </row>
    <row r="330" spans="1:18" x14ac:dyDescent="0.2">
      <c r="A330" s="107">
        <f>ROUND(A864,-3)</f>
        <v>313000</v>
      </c>
      <c r="B330" s="33">
        <f t="shared" si="490"/>
        <v>297000</v>
      </c>
      <c r="C330" s="142">
        <f t="shared" si="490"/>
        <v>732000</v>
      </c>
      <c r="D330" s="99">
        <f>D864</f>
        <v>284000</v>
      </c>
      <c r="E330" s="240"/>
      <c r="F330" s="366" t="s">
        <v>1942</v>
      </c>
      <c r="G330" s="33">
        <f t="shared" ref="G330:O330" si="494">G864</f>
        <v>60000</v>
      </c>
      <c r="H330" s="138"/>
      <c r="I330" s="33">
        <f t="shared" si="494"/>
        <v>0</v>
      </c>
      <c r="J330" s="33">
        <f t="shared" si="494"/>
        <v>0</v>
      </c>
      <c r="K330" s="33">
        <f t="shared" si="494"/>
        <v>0</v>
      </c>
      <c r="L330" s="33">
        <f t="shared" si="494"/>
        <v>0</v>
      </c>
      <c r="M330" s="33">
        <f t="shared" si="494"/>
        <v>0</v>
      </c>
      <c r="N330" s="33">
        <f t="shared" si="494"/>
        <v>0</v>
      </c>
      <c r="O330" s="33">
        <f t="shared" si="494"/>
        <v>0</v>
      </c>
      <c r="P330" s="33">
        <f t="shared" ref="P330:Q330" si="495">P864</f>
        <v>0</v>
      </c>
      <c r="Q330" s="33">
        <f t="shared" si="495"/>
        <v>0</v>
      </c>
      <c r="R330" s="114">
        <f t="shared" ref="R330" si="496">R864</f>
        <v>0</v>
      </c>
    </row>
    <row r="331" spans="1:18" x14ac:dyDescent="0.2">
      <c r="A331" s="107">
        <f>ROUND(A865,-3)</f>
        <v>8000</v>
      </c>
      <c r="B331" s="33">
        <f t="shared" si="490"/>
        <v>336000</v>
      </c>
      <c r="C331" s="33">
        <f t="shared" si="490"/>
        <v>192100</v>
      </c>
      <c r="D331" s="76">
        <f>D865</f>
        <v>0</v>
      </c>
      <c r="E331" s="240"/>
      <c r="F331" s="366" t="s">
        <v>2348</v>
      </c>
      <c r="G331" s="33">
        <f t="shared" ref="G331:O331" si="497">G865</f>
        <v>0</v>
      </c>
      <c r="H331" s="138"/>
      <c r="I331" s="33">
        <f t="shared" si="497"/>
        <v>0</v>
      </c>
      <c r="J331" s="33">
        <f t="shared" si="497"/>
        <v>0</v>
      </c>
      <c r="K331" s="33">
        <f t="shared" si="497"/>
        <v>0</v>
      </c>
      <c r="L331" s="33">
        <f t="shared" si="497"/>
        <v>0</v>
      </c>
      <c r="M331" s="33">
        <f t="shared" si="497"/>
        <v>0</v>
      </c>
      <c r="N331" s="33">
        <f t="shared" si="497"/>
        <v>0</v>
      </c>
      <c r="O331" s="33">
        <f t="shared" si="497"/>
        <v>0</v>
      </c>
      <c r="P331" s="33">
        <f t="shared" ref="P331:Q331" si="498">P865</f>
        <v>0</v>
      </c>
      <c r="Q331" s="33">
        <f t="shared" si="498"/>
        <v>0</v>
      </c>
      <c r="R331" s="114">
        <f t="shared" ref="R331" si="499">R865</f>
        <v>0</v>
      </c>
    </row>
    <row r="332" spans="1:18" x14ac:dyDescent="0.2">
      <c r="A332" s="107">
        <f>ROUND(A866,-3)</f>
        <v>0</v>
      </c>
      <c r="B332" s="33">
        <f t="shared" si="490"/>
        <v>-1957800</v>
      </c>
      <c r="C332" s="33">
        <f t="shared" si="490"/>
        <v>-507100</v>
      </c>
      <c r="D332" s="76">
        <f>D866</f>
        <v>2036000</v>
      </c>
      <c r="E332" s="240"/>
      <c r="F332" s="366" t="s">
        <v>5984</v>
      </c>
      <c r="G332" s="33">
        <f>G866</f>
        <v>200000</v>
      </c>
      <c r="H332" s="138"/>
      <c r="I332" s="33">
        <f t="shared" ref="I332:O332" si="500">I866</f>
        <v>200000</v>
      </c>
      <c r="J332" s="33">
        <f t="shared" si="500"/>
        <v>200000</v>
      </c>
      <c r="K332" s="33">
        <f t="shared" si="500"/>
        <v>200000</v>
      </c>
      <c r="L332" s="33">
        <f t="shared" si="500"/>
        <v>200000</v>
      </c>
      <c r="M332" s="33">
        <f t="shared" si="500"/>
        <v>200000</v>
      </c>
      <c r="N332" s="33">
        <f t="shared" si="500"/>
        <v>200000</v>
      </c>
      <c r="O332" s="33">
        <f t="shared" si="500"/>
        <v>200000</v>
      </c>
      <c r="P332" s="33">
        <f t="shared" ref="P332:Q332" si="501">P866</f>
        <v>200000</v>
      </c>
      <c r="Q332" s="33">
        <f t="shared" si="501"/>
        <v>200000</v>
      </c>
      <c r="R332" s="114">
        <f t="shared" ref="R332" si="502">R866</f>
        <v>200000</v>
      </c>
    </row>
    <row r="333" spans="1:18" x14ac:dyDescent="0.2">
      <c r="A333" s="107">
        <f>ROUND(A867,-3)</f>
        <v>0</v>
      </c>
      <c r="B333" s="33">
        <f t="shared" si="490"/>
        <v>0</v>
      </c>
      <c r="C333" s="33">
        <f t="shared" si="490"/>
        <v>0</v>
      </c>
      <c r="D333" s="76">
        <f>D867</f>
        <v>0</v>
      </c>
      <c r="E333" s="240"/>
      <c r="F333" s="366" t="s">
        <v>972</v>
      </c>
      <c r="G333" s="33">
        <f t="shared" ref="G333:O333" si="503">G867</f>
        <v>36100</v>
      </c>
      <c r="H333" s="138"/>
      <c r="I333" s="33">
        <f t="shared" si="503"/>
        <v>0</v>
      </c>
      <c r="J333" s="33">
        <f t="shared" si="503"/>
        <v>0</v>
      </c>
      <c r="K333" s="33">
        <f t="shared" si="503"/>
        <v>0</v>
      </c>
      <c r="L333" s="33">
        <f t="shared" si="503"/>
        <v>0</v>
      </c>
      <c r="M333" s="33">
        <f t="shared" si="503"/>
        <v>0</v>
      </c>
      <c r="N333" s="33">
        <f t="shared" si="503"/>
        <v>0</v>
      </c>
      <c r="O333" s="33">
        <f t="shared" si="503"/>
        <v>0</v>
      </c>
      <c r="P333" s="33">
        <f t="shared" ref="P333:Q333" si="504">P867</f>
        <v>0</v>
      </c>
      <c r="Q333" s="33">
        <f t="shared" si="504"/>
        <v>0</v>
      </c>
      <c r="R333" s="114">
        <f t="shared" ref="R333" si="505">R867</f>
        <v>0</v>
      </c>
    </row>
    <row r="334" spans="1:18" x14ac:dyDescent="0.2">
      <c r="A334" s="107"/>
      <c r="B334" s="33"/>
      <c r="C334" s="33"/>
      <c r="D334" s="76"/>
      <c r="E334" s="2520"/>
      <c r="F334" s="2521"/>
      <c r="G334" s="455"/>
      <c r="H334" s="138"/>
      <c r="I334" s="33"/>
      <c r="J334" s="33"/>
      <c r="K334" s="33"/>
      <c r="L334" s="33"/>
      <c r="M334" s="33"/>
      <c r="N334" s="33"/>
      <c r="O334" s="33"/>
      <c r="P334" s="33"/>
      <c r="Q334" s="33"/>
      <c r="R334" s="114"/>
    </row>
    <row r="335" spans="1:18" s="92" customFormat="1" x14ac:dyDescent="0.2">
      <c r="A335" s="181">
        <f>A324-A329-A330+A331++A332-A333</f>
        <v>-1036000</v>
      </c>
      <c r="B335" s="397">
        <f>B324-B329-B330+B331++B332-B333</f>
        <v>-3100300</v>
      </c>
      <c r="C335" s="397">
        <f>C324-C329-C330+C331++C332-C333</f>
        <v>-2117900</v>
      </c>
      <c r="D335" s="397">
        <f>D324-D329-D330+D331++D332-D333</f>
        <v>661200</v>
      </c>
      <c r="E335" s="517"/>
      <c r="F335" s="518" t="s">
        <v>2490</v>
      </c>
      <c r="G335" s="709">
        <f t="shared" ref="G335:O335" si="506">G324-G329-G330+G331++G332-G333</f>
        <v>-583600</v>
      </c>
      <c r="H335" s="395">
        <f>IF(D335=G335,0,IF(D335=0,100,(G335-D335)/D335*100))</f>
        <v>-188.2637628554144</v>
      </c>
      <c r="I335" s="397">
        <f t="shared" si="506"/>
        <v>-634200</v>
      </c>
      <c r="J335" s="397">
        <f t="shared" si="506"/>
        <v>-649300</v>
      </c>
      <c r="K335" s="397">
        <f t="shared" si="506"/>
        <v>-667600</v>
      </c>
      <c r="L335" s="397">
        <f t="shared" si="506"/>
        <v>-690100</v>
      </c>
      <c r="M335" s="397">
        <f t="shared" si="506"/>
        <v>-718600</v>
      </c>
      <c r="N335" s="397">
        <f t="shared" si="506"/>
        <v>-750600</v>
      </c>
      <c r="O335" s="397">
        <f t="shared" si="506"/>
        <v>-786100</v>
      </c>
      <c r="P335" s="397">
        <f t="shared" ref="P335:Q335" si="507">P324-P329-P330+P331++P332-P333</f>
        <v>-826300</v>
      </c>
      <c r="Q335" s="397">
        <f t="shared" si="507"/>
        <v>-869200</v>
      </c>
      <c r="R335" s="399">
        <f t="shared" ref="R335" si="508">R324-R329-R330+R331++R332-R333</f>
        <v>-916700</v>
      </c>
    </row>
    <row r="336" spans="1:18" ht="13.5" thickBot="1" x14ac:dyDescent="0.25">
      <c r="A336" s="73"/>
      <c r="B336" s="90"/>
      <c r="C336" s="90"/>
      <c r="D336" s="90"/>
      <c r="E336" s="284"/>
      <c r="F336" s="368"/>
      <c r="G336" s="174"/>
      <c r="H336" s="392"/>
      <c r="I336" s="66"/>
      <c r="J336" s="66"/>
      <c r="K336" s="66"/>
      <c r="L336" s="66"/>
      <c r="M336" s="66"/>
      <c r="N336" s="66"/>
      <c r="O336" s="66"/>
      <c r="P336" s="66"/>
      <c r="Q336" s="66"/>
      <c r="R336" s="165"/>
    </row>
    <row r="337" spans="1:18" ht="14.25" thickTop="1" thickBot="1" x14ac:dyDescent="0.25">
      <c r="A337" s="99"/>
      <c r="B337" s="99"/>
      <c r="E337" s="283"/>
      <c r="F337" s="108"/>
      <c r="H337" s="123"/>
    </row>
    <row r="338" spans="1:18" s="91" customFormat="1" ht="18.75" customHeight="1" thickTop="1" thickBot="1" x14ac:dyDescent="0.3">
      <c r="A338" s="2862" t="s">
        <v>981</v>
      </c>
      <c r="B338" s="2863"/>
      <c r="C338" s="2863"/>
      <c r="D338" s="2863"/>
      <c r="E338" s="2863"/>
      <c r="F338" s="2863"/>
      <c r="G338" s="2863"/>
      <c r="H338" s="2863"/>
      <c r="I338" s="2863"/>
      <c r="J338" s="2863"/>
      <c r="K338" s="2863"/>
      <c r="L338" s="2863"/>
      <c r="M338" s="2863"/>
      <c r="N338" s="2863"/>
      <c r="O338" s="2863"/>
      <c r="P338" s="2863"/>
      <c r="Q338" s="2863"/>
      <c r="R338" s="2864"/>
    </row>
    <row r="339" spans="1:18" s="44" customFormat="1" x14ac:dyDescent="0.2">
      <c r="A339" s="2888" t="s">
        <v>1856</v>
      </c>
      <c r="B339" s="2889"/>
      <c r="C339" s="2889"/>
      <c r="D339" s="2890"/>
      <c r="E339" s="513" t="s">
        <v>2663</v>
      </c>
      <c r="F339" s="2649" t="s">
        <v>2251</v>
      </c>
      <c r="G339" s="2885" t="s">
        <v>2253</v>
      </c>
      <c r="H339" s="2886"/>
      <c r="I339" s="2886"/>
      <c r="J339" s="2886"/>
      <c r="K339" s="2886"/>
      <c r="L339" s="2886"/>
      <c r="M339" s="2886"/>
      <c r="N339" s="2886"/>
      <c r="O339" s="2886"/>
      <c r="P339" s="2886"/>
      <c r="Q339" s="2886"/>
      <c r="R339" s="2887"/>
    </row>
    <row r="340" spans="1:18" s="23" customFormat="1" ht="13.5" thickBot="1" x14ac:dyDescent="0.25">
      <c r="A340" s="208" t="str">
        <f>A3</f>
        <v>2012/13</v>
      </c>
      <c r="B340" s="218" t="str">
        <f>B3</f>
        <v>2013/14</v>
      </c>
      <c r="C340" s="370" t="str">
        <f>C3</f>
        <v>2014/15</v>
      </c>
      <c r="D340" s="93" t="str">
        <f>D3</f>
        <v>2015/16</v>
      </c>
      <c r="E340" s="370" t="s">
        <v>2664</v>
      </c>
      <c r="F340" s="42"/>
      <c r="G340" s="2513" t="str">
        <f>G3</f>
        <v>2016/17</v>
      </c>
      <c r="H340" s="2095" t="s">
        <v>501</v>
      </c>
      <c r="I340" s="370" t="str">
        <f t="shared" ref="I340:Q340" si="509">I3</f>
        <v>2017/18</v>
      </c>
      <c r="J340" s="370" t="str">
        <f t="shared" si="509"/>
        <v>2018/19</v>
      </c>
      <c r="K340" s="370" t="str">
        <f t="shared" si="509"/>
        <v>2019/20</v>
      </c>
      <c r="L340" s="370" t="str">
        <f t="shared" si="509"/>
        <v>2020/21</v>
      </c>
      <c r="M340" s="370" t="str">
        <f t="shared" si="509"/>
        <v>2021/22</v>
      </c>
      <c r="N340" s="370" t="str">
        <f t="shared" si="509"/>
        <v>2022/23</v>
      </c>
      <c r="O340" s="370" t="str">
        <f t="shared" si="509"/>
        <v>2023/24</v>
      </c>
      <c r="P340" s="370" t="str">
        <f t="shared" si="509"/>
        <v>2024/25</v>
      </c>
      <c r="Q340" s="218" t="str">
        <f t="shared" si="509"/>
        <v>2025/26</v>
      </c>
      <c r="R340" s="549" t="str">
        <f t="shared" ref="R340" si="510">R3</f>
        <v>2026/27</v>
      </c>
    </row>
    <row r="341" spans="1:18" x14ac:dyDescent="0.2">
      <c r="A341" s="612"/>
      <c r="B341" s="179"/>
      <c r="C341" s="179"/>
      <c r="D341" s="179"/>
      <c r="E341" s="282"/>
      <c r="F341" s="99"/>
      <c r="G341" s="76"/>
      <c r="H341" s="179"/>
      <c r="I341" s="33"/>
      <c r="J341" s="33"/>
      <c r="K341" s="33"/>
      <c r="L341" s="33"/>
      <c r="M341" s="33"/>
      <c r="N341" s="33"/>
      <c r="O341" s="33"/>
      <c r="P341" s="33"/>
      <c r="Q341" s="33"/>
      <c r="R341" s="114"/>
    </row>
    <row r="342" spans="1:18" x14ac:dyDescent="0.2">
      <c r="A342" s="107"/>
      <c r="B342" s="33"/>
      <c r="C342" s="33"/>
      <c r="D342" s="33"/>
      <c r="E342" s="255"/>
      <c r="F342" s="144" t="s">
        <v>1073</v>
      </c>
      <c r="G342" s="76"/>
      <c r="H342" s="138"/>
      <c r="I342" s="33"/>
      <c r="J342" s="33"/>
      <c r="K342" s="33"/>
      <c r="L342" s="33"/>
      <c r="M342" s="33"/>
      <c r="N342" s="33"/>
      <c r="O342" s="33"/>
      <c r="P342" s="33"/>
      <c r="Q342" s="33"/>
      <c r="R342" s="114"/>
    </row>
    <row r="343" spans="1:18" x14ac:dyDescent="0.2">
      <c r="A343" s="107"/>
      <c r="B343" s="33"/>
      <c r="C343" s="33"/>
      <c r="D343" s="33"/>
      <c r="E343" s="255"/>
      <c r="F343" s="144"/>
      <c r="G343" s="76"/>
      <c r="H343" s="138"/>
      <c r="I343" s="33"/>
      <c r="J343" s="33"/>
      <c r="K343" s="33"/>
      <c r="L343" s="33"/>
      <c r="M343" s="33"/>
      <c r="N343" s="33"/>
      <c r="O343" s="33"/>
      <c r="P343" s="33"/>
      <c r="Q343" s="33"/>
      <c r="R343" s="114"/>
    </row>
    <row r="344" spans="1:18" x14ac:dyDescent="0.2">
      <c r="A344" s="107"/>
      <c r="B344" s="33"/>
      <c r="C344" s="33"/>
      <c r="D344" s="33"/>
      <c r="E344" s="344"/>
      <c r="F344" s="74" t="s">
        <v>1743</v>
      </c>
      <c r="G344" s="76"/>
      <c r="H344" s="138"/>
      <c r="I344" s="33"/>
      <c r="J344" s="33"/>
      <c r="K344" s="33"/>
      <c r="L344" s="33"/>
      <c r="M344" s="33"/>
      <c r="N344" s="33"/>
      <c r="O344" s="33"/>
      <c r="P344" s="33"/>
      <c r="Q344" s="33"/>
      <c r="R344" s="114"/>
    </row>
    <row r="345" spans="1:18" x14ac:dyDescent="0.2">
      <c r="A345" s="107">
        <f>ROUND(SUM(A877:A887),-3)</f>
        <v>1698000</v>
      </c>
      <c r="B345" s="33">
        <f>SUM(B877:B887)</f>
        <v>1618900</v>
      </c>
      <c r="C345" s="33">
        <f>SUM(C877:C887)</f>
        <v>1462100</v>
      </c>
      <c r="D345" s="33">
        <f>SUM(D877:D887)</f>
        <v>1639800</v>
      </c>
      <c r="E345" s="344" t="s">
        <v>441</v>
      </c>
      <c r="F345" s="78" t="s">
        <v>5035</v>
      </c>
      <c r="G345" s="76">
        <f t="shared" ref="G345:P345" si="511">SUM(G877:G887)</f>
        <v>1747100</v>
      </c>
      <c r="H345" s="138">
        <f>IF(D345=G345,0,IF(D345=0,100,(G345-D345)/D345*100))</f>
        <v>6.5434809123063795</v>
      </c>
      <c r="I345" s="33">
        <f t="shared" si="511"/>
        <v>1803700</v>
      </c>
      <c r="J345" s="33">
        <f t="shared" si="511"/>
        <v>1827400</v>
      </c>
      <c r="K345" s="33">
        <f t="shared" si="511"/>
        <v>1861800</v>
      </c>
      <c r="L345" s="33">
        <f t="shared" si="511"/>
        <v>1891400</v>
      </c>
      <c r="M345" s="33">
        <f t="shared" si="511"/>
        <v>1929300</v>
      </c>
      <c r="N345" s="33">
        <f t="shared" si="511"/>
        <v>1968400</v>
      </c>
      <c r="O345" s="33">
        <f t="shared" si="511"/>
        <v>2007800</v>
      </c>
      <c r="P345" s="33">
        <f t="shared" si="511"/>
        <v>2048000</v>
      </c>
      <c r="Q345" s="33">
        <f t="shared" ref="Q345" si="512">SUM(Q877:Q887)</f>
        <v>2089400</v>
      </c>
      <c r="R345" s="114">
        <f t="shared" ref="R345" si="513">SUM(R877:R887)</f>
        <v>2131400</v>
      </c>
    </row>
    <row r="346" spans="1:18" x14ac:dyDescent="0.2">
      <c r="A346" s="107">
        <f>ROUND(SUM(A888:A896),-3)</f>
        <v>260000</v>
      </c>
      <c r="B346" s="33">
        <f>SUM(B888:B896)</f>
        <v>354400</v>
      </c>
      <c r="C346" s="142">
        <f>SUM(C888:C896)</f>
        <v>218600</v>
      </c>
      <c r="D346" s="33">
        <f>SUM(D888:D896)</f>
        <v>225100</v>
      </c>
      <c r="E346" s="344" t="s">
        <v>442</v>
      </c>
      <c r="F346" s="1981" t="s">
        <v>1744</v>
      </c>
      <c r="G346" s="76">
        <f>SUM(G888:G896)</f>
        <v>226400</v>
      </c>
      <c r="H346" s="138">
        <f>IF(D346=G346,0,IF(D346=0,100,(G346-D346)/D346*100))</f>
        <v>0.57752110173256332</v>
      </c>
      <c r="I346" s="33">
        <f t="shared" ref="I346:Q346" si="514">SUM(I888:I896)</f>
        <v>204700</v>
      </c>
      <c r="J346" s="33">
        <f t="shared" si="514"/>
        <v>210100</v>
      </c>
      <c r="K346" s="33">
        <f t="shared" si="514"/>
        <v>215700</v>
      </c>
      <c r="L346" s="33">
        <f t="shared" si="514"/>
        <v>221400</v>
      </c>
      <c r="M346" s="33">
        <f t="shared" si="514"/>
        <v>226200</v>
      </c>
      <c r="N346" s="33">
        <f t="shared" si="514"/>
        <v>231000</v>
      </c>
      <c r="O346" s="33">
        <f t="shared" si="514"/>
        <v>235900</v>
      </c>
      <c r="P346" s="33">
        <f t="shared" si="514"/>
        <v>240900</v>
      </c>
      <c r="Q346" s="33">
        <f t="shared" si="514"/>
        <v>245900</v>
      </c>
      <c r="R346" s="114">
        <f t="shared" ref="R346" si="515">SUM(R888:R896)</f>
        <v>251100</v>
      </c>
    </row>
    <row r="347" spans="1:18" x14ac:dyDescent="0.2">
      <c r="A347" s="107"/>
      <c r="B347" s="33"/>
      <c r="C347" s="142"/>
      <c r="D347" s="142"/>
      <c r="E347" s="344"/>
      <c r="F347" s="79" t="s">
        <v>2556</v>
      </c>
      <c r="G347" s="76"/>
      <c r="H347" s="138"/>
      <c r="I347" s="33"/>
      <c r="J347" s="33"/>
      <c r="K347" s="33"/>
      <c r="L347" s="33"/>
      <c r="M347" s="33"/>
      <c r="N347" s="33"/>
      <c r="O347" s="33"/>
      <c r="P347" s="33"/>
      <c r="Q347" s="33"/>
      <c r="R347" s="114"/>
    </row>
    <row r="348" spans="1:18" x14ac:dyDescent="0.2">
      <c r="A348" s="107">
        <f>ROUND(SUM(A897:A902),-3)</f>
        <v>72000</v>
      </c>
      <c r="B348" s="33">
        <f>SUM(B897:B902)</f>
        <v>87600</v>
      </c>
      <c r="C348" s="142">
        <f>SUM(C897:C902)</f>
        <v>81400</v>
      </c>
      <c r="D348" s="142">
        <f>SUM(D898:D902)</f>
        <v>64500</v>
      </c>
      <c r="E348" s="344" t="s">
        <v>443</v>
      </c>
      <c r="F348" s="1981" t="s">
        <v>1745</v>
      </c>
      <c r="G348" s="76">
        <f>SUM(G897:G902)</f>
        <v>68200</v>
      </c>
      <c r="H348" s="138">
        <f>IF(D348=G348,0,IF(D348=0,100,(G348-D348)/D348*100))</f>
        <v>5.7364341085271313</v>
      </c>
      <c r="I348" s="33">
        <f t="shared" ref="I348:P348" si="516">SUM(I897:I902)</f>
        <v>69300</v>
      </c>
      <c r="J348" s="33">
        <f t="shared" si="516"/>
        <v>71200</v>
      </c>
      <c r="K348" s="33">
        <f t="shared" si="516"/>
        <v>73100</v>
      </c>
      <c r="L348" s="33">
        <f t="shared" si="516"/>
        <v>75100</v>
      </c>
      <c r="M348" s="33">
        <f t="shared" si="516"/>
        <v>76800</v>
      </c>
      <c r="N348" s="33">
        <f t="shared" si="516"/>
        <v>78500</v>
      </c>
      <c r="O348" s="33">
        <f t="shared" si="516"/>
        <v>80200</v>
      </c>
      <c r="P348" s="33">
        <f t="shared" si="516"/>
        <v>81900</v>
      </c>
      <c r="Q348" s="33">
        <f t="shared" ref="Q348" si="517">SUM(Q897:Q902)</f>
        <v>83600</v>
      </c>
      <c r="R348" s="114">
        <f t="shared" ref="R348" si="518">SUM(R897:R902)</f>
        <v>85400</v>
      </c>
    </row>
    <row r="349" spans="1:18" x14ac:dyDescent="0.2">
      <c r="A349" s="107"/>
      <c r="B349" s="33"/>
      <c r="C349" s="33"/>
      <c r="D349" s="142"/>
      <c r="E349" s="344"/>
      <c r="F349" s="79" t="s">
        <v>14</v>
      </c>
      <c r="G349" s="76"/>
      <c r="H349" s="138"/>
      <c r="I349" s="33"/>
      <c r="J349" s="33"/>
      <c r="K349" s="33"/>
      <c r="L349" s="33"/>
      <c r="M349" s="33"/>
      <c r="N349" s="33"/>
      <c r="O349" s="33"/>
      <c r="P349" s="33"/>
      <c r="Q349" s="33"/>
      <c r="R349" s="114"/>
    </row>
    <row r="350" spans="1:18" x14ac:dyDescent="0.2">
      <c r="A350" s="107">
        <f>ROUND(SUM(A1019:A1021),-3)</f>
        <v>355000</v>
      </c>
      <c r="B350" s="33">
        <f>SUM(B1019:B1021)</f>
        <v>422600</v>
      </c>
      <c r="C350" s="33">
        <f>SUM(C1019:C1021)</f>
        <v>432400</v>
      </c>
      <c r="D350" s="33">
        <f>SUM(D1019:D1021)</f>
        <v>421600</v>
      </c>
      <c r="E350" s="821" t="s">
        <v>1710</v>
      </c>
      <c r="F350" s="77" t="s">
        <v>1417</v>
      </c>
      <c r="G350" s="76">
        <f t="shared" ref="G350:O350" si="519">SUM(G1019:G1021)</f>
        <v>430300</v>
      </c>
      <c r="H350" s="138">
        <f>IF(D350=G350,0,IF(D350=0,100,(G350-D350)/D350*100))</f>
        <v>2.0635673624288429</v>
      </c>
      <c r="I350" s="33">
        <f t="shared" si="519"/>
        <v>436900</v>
      </c>
      <c r="J350" s="33">
        <f t="shared" si="519"/>
        <v>447900</v>
      </c>
      <c r="K350" s="33">
        <f t="shared" si="519"/>
        <v>459200</v>
      </c>
      <c r="L350" s="33">
        <f t="shared" si="519"/>
        <v>470800</v>
      </c>
      <c r="M350" s="33">
        <f t="shared" si="519"/>
        <v>480300</v>
      </c>
      <c r="N350" s="33">
        <f t="shared" si="519"/>
        <v>490000</v>
      </c>
      <c r="O350" s="33">
        <f t="shared" si="519"/>
        <v>499900</v>
      </c>
      <c r="P350" s="33">
        <f>SUM(P1019:P1021)</f>
        <v>510000</v>
      </c>
      <c r="Q350" s="33">
        <f>SUM(Q1019:Q1021)</f>
        <v>520300</v>
      </c>
      <c r="R350" s="114">
        <f>SUM(R1019:R1021)</f>
        <v>530800</v>
      </c>
    </row>
    <row r="351" spans="1:18" x14ac:dyDescent="0.2">
      <c r="A351" s="107"/>
      <c r="B351" s="33"/>
      <c r="C351" s="33"/>
      <c r="D351" s="33"/>
      <c r="E351" s="343"/>
      <c r="F351" s="2529" t="s">
        <v>1486</v>
      </c>
      <c r="G351" s="76"/>
      <c r="H351" s="138"/>
      <c r="I351" s="33"/>
      <c r="J351" s="33"/>
      <c r="K351" s="33"/>
      <c r="L351" s="33"/>
      <c r="M351" s="33"/>
      <c r="N351" s="33"/>
      <c r="O351" s="33"/>
      <c r="P351" s="33"/>
      <c r="Q351" s="33"/>
      <c r="R351" s="114"/>
    </row>
    <row r="352" spans="1:18" x14ac:dyDescent="0.2">
      <c r="A352" s="107">
        <f>SUM(A903:A905)</f>
        <v>1815500</v>
      </c>
      <c r="B352" s="33">
        <f>SUM(B903:B905)</f>
        <v>697300</v>
      </c>
      <c r="C352" s="33">
        <f>SUM(C903:C905)</f>
        <v>545200</v>
      </c>
      <c r="D352" s="33">
        <f>SUM(D903:D905)</f>
        <v>92000</v>
      </c>
      <c r="E352" s="821" t="s">
        <v>4867</v>
      </c>
      <c r="F352" s="77" t="s">
        <v>4866</v>
      </c>
      <c r="G352" s="76">
        <f t="shared" ref="G352:P352" si="520">SUM(G903:G905)</f>
        <v>440000</v>
      </c>
      <c r="H352" s="138">
        <f>IF(D352=G352,0,IF(D352=0,100,(G352-D352)/D352*100))</f>
        <v>378.26086956521738</v>
      </c>
      <c r="I352" s="33">
        <f t="shared" si="520"/>
        <v>0</v>
      </c>
      <c r="J352" s="33">
        <f t="shared" si="520"/>
        <v>0</v>
      </c>
      <c r="K352" s="33">
        <f t="shared" si="520"/>
        <v>0</v>
      </c>
      <c r="L352" s="33">
        <f t="shared" si="520"/>
        <v>0</v>
      </c>
      <c r="M352" s="33">
        <f t="shared" si="520"/>
        <v>0</v>
      </c>
      <c r="N352" s="33">
        <f t="shared" si="520"/>
        <v>0</v>
      </c>
      <c r="O352" s="33">
        <f t="shared" si="520"/>
        <v>0</v>
      </c>
      <c r="P352" s="33">
        <f t="shared" si="520"/>
        <v>0</v>
      </c>
      <c r="Q352" s="33">
        <f t="shared" ref="Q352" si="521">SUM(Q903:Q905)</f>
        <v>0</v>
      </c>
      <c r="R352" s="114">
        <f t="shared" ref="R352" si="522">SUM(R903:R905)</f>
        <v>0</v>
      </c>
    </row>
    <row r="353" spans="1:18" x14ac:dyDescent="0.2">
      <c r="A353" s="107"/>
      <c r="B353" s="33"/>
      <c r="C353" s="33"/>
      <c r="D353" s="33"/>
      <c r="E353" s="343"/>
      <c r="F353" s="175" t="s">
        <v>609</v>
      </c>
      <c r="G353" s="76"/>
      <c r="H353" s="138"/>
      <c r="I353" s="33"/>
      <c r="J353" s="33"/>
      <c r="K353" s="33"/>
      <c r="L353" s="33"/>
      <c r="M353" s="33"/>
      <c r="N353" s="33"/>
      <c r="O353" s="33"/>
      <c r="P353" s="33"/>
      <c r="Q353" s="33"/>
      <c r="R353" s="114"/>
    </row>
    <row r="354" spans="1:18" x14ac:dyDescent="0.2">
      <c r="A354" s="107">
        <f>ROUND(A907,-3)</f>
        <v>121000</v>
      </c>
      <c r="B354" s="33">
        <f t="shared" ref="B354:C356" si="523">B907</f>
        <v>18000</v>
      </c>
      <c r="C354" s="33">
        <f t="shared" si="523"/>
        <v>80200</v>
      </c>
      <c r="D354" s="33">
        <f>D907</f>
        <v>41000</v>
      </c>
      <c r="E354" s="343" t="s">
        <v>444</v>
      </c>
      <c r="F354" s="77" t="s">
        <v>5036</v>
      </c>
      <c r="G354" s="76">
        <f t="shared" ref="G354:O354" si="524">G907</f>
        <v>16000</v>
      </c>
      <c r="H354" s="138">
        <f>IF(D354=G354,0,IF(D354=0,100,(G354-D354)/D354*100))</f>
        <v>-60.975609756097562</v>
      </c>
      <c r="I354" s="33">
        <f t="shared" si="524"/>
        <v>9000</v>
      </c>
      <c r="J354" s="33">
        <f t="shared" si="524"/>
        <v>4000</v>
      </c>
      <c r="K354" s="33">
        <f t="shared" si="524"/>
        <v>8000</v>
      </c>
      <c r="L354" s="33">
        <f t="shared" si="524"/>
        <v>13000</v>
      </c>
      <c r="M354" s="33">
        <f t="shared" si="524"/>
        <v>10000</v>
      </c>
      <c r="N354" s="33">
        <f t="shared" si="524"/>
        <v>10000</v>
      </c>
      <c r="O354" s="33">
        <f t="shared" si="524"/>
        <v>10000</v>
      </c>
      <c r="P354" s="33">
        <f t="shared" ref="P354:Q354" si="525">P907</f>
        <v>10000</v>
      </c>
      <c r="Q354" s="33">
        <f t="shared" si="525"/>
        <v>12000</v>
      </c>
      <c r="R354" s="114">
        <f t="shared" ref="R354" si="526">R907</f>
        <v>13000</v>
      </c>
    </row>
    <row r="355" spans="1:18" x14ac:dyDescent="0.2">
      <c r="A355" s="107">
        <f>ROUND(A908,-3)</f>
        <v>179000</v>
      </c>
      <c r="B355" s="33">
        <f t="shared" si="523"/>
        <v>181200</v>
      </c>
      <c r="C355" s="33">
        <f t="shared" si="523"/>
        <v>105100</v>
      </c>
      <c r="D355" s="33">
        <f>D908</f>
        <v>86800</v>
      </c>
      <c r="E355" s="343" t="s">
        <v>441</v>
      </c>
      <c r="F355" s="77" t="s">
        <v>3287</v>
      </c>
      <c r="G355" s="76">
        <f t="shared" ref="G355:O355" si="527">G908</f>
        <v>105000</v>
      </c>
      <c r="H355" s="138">
        <f>IF(D355=G355,0,IF(D355=0,100,(G355-D355)/D355*100))</f>
        <v>20.967741935483872</v>
      </c>
      <c r="I355" s="33">
        <f t="shared" si="527"/>
        <v>95000</v>
      </c>
      <c r="J355" s="33">
        <f t="shared" si="527"/>
        <v>27000</v>
      </c>
      <c r="K355" s="33">
        <f t="shared" si="527"/>
        <v>89000</v>
      </c>
      <c r="L355" s="33">
        <f t="shared" si="527"/>
        <v>37000</v>
      </c>
      <c r="M355" s="33">
        <f t="shared" si="527"/>
        <v>49000</v>
      </c>
      <c r="N355" s="33">
        <f t="shared" si="527"/>
        <v>48000</v>
      </c>
      <c r="O355" s="33">
        <f t="shared" si="527"/>
        <v>54000</v>
      </c>
      <c r="P355" s="33">
        <f t="shared" ref="P355:Q355" si="528">P908</f>
        <v>47000</v>
      </c>
      <c r="Q355" s="33">
        <f t="shared" si="528"/>
        <v>47000</v>
      </c>
      <c r="R355" s="114">
        <f t="shared" ref="R355" si="529">R908</f>
        <v>47000</v>
      </c>
    </row>
    <row r="356" spans="1:18" x14ac:dyDescent="0.2">
      <c r="A356" s="107">
        <f>ROUND(A909,-3)</f>
        <v>101000</v>
      </c>
      <c r="B356" s="33">
        <f t="shared" si="523"/>
        <v>0</v>
      </c>
      <c r="C356" s="33">
        <f t="shared" si="523"/>
        <v>0</v>
      </c>
      <c r="D356" s="33">
        <f>D909</f>
        <v>0</v>
      </c>
      <c r="E356" s="821" t="s">
        <v>444</v>
      </c>
      <c r="F356" s="77" t="s">
        <v>3559</v>
      </c>
      <c r="G356" s="76">
        <f t="shared" ref="G356:O356" si="530">G909</f>
        <v>0</v>
      </c>
      <c r="H356" s="138">
        <f>IF(D356=G356,0,IF(D356=0,100,(G356-D356)/D356*100))</f>
        <v>0</v>
      </c>
      <c r="I356" s="33">
        <f t="shared" si="530"/>
        <v>0</v>
      </c>
      <c r="J356" s="33">
        <f t="shared" si="530"/>
        <v>0</v>
      </c>
      <c r="K356" s="33">
        <f t="shared" si="530"/>
        <v>0</v>
      </c>
      <c r="L356" s="33">
        <f t="shared" si="530"/>
        <v>0</v>
      </c>
      <c r="M356" s="33">
        <f t="shared" si="530"/>
        <v>0</v>
      </c>
      <c r="N356" s="33">
        <f t="shared" si="530"/>
        <v>0</v>
      </c>
      <c r="O356" s="33">
        <f t="shared" si="530"/>
        <v>0</v>
      </c>
      <c r="P356" s="33">
        <f t="shared" ref="P356:Q356" si="531">P909</f>
        <v>0</v>
      </c>
      <c r="Q356" s="33">
        <f t="shared" si="531"/>
        <v>0</v>
      </c>
      <c r="R356" s="114">
        <f t="shared" ref="R356" si="532">R909</f>
        <v>0</v>
      </c>
    </row>
    <row r="357" spans="1:18" x14ac:dyDescent="0.2">
      <c r="A357" s="107"/>
      <c r="B357" s="33"/>
      <c r="C357" s="33"/>
      <c r="D357" s="33"/>
      <c r="E357" s="343"/>
      <c r="F357" s="1308" t="s">
        <v>428</v>
      </c>
      <c r="G357" s="76"/>
      <c r="H357" s="138"/>
      <c r="I357" s="33"/>
      <c r="J357" s="33"/>
      <c r="K357" s="33"/>
      <c r="L357" s="33"/>
      <c r="M357" s="33"/>
      <c r="N357" s="33"/>
      <c r="O357" s="33"/>
      <c r="P357" s="33"/>
      <c r="Q357" s="33"/>
      <c r="R357" s="114"/>
    </row>
    <row r="358" spans="1:18" x14ac:dyDescent="0.2">
      <c r="A358" s="107">
        <f>ROUND(A911,-3)</f>
        <v>0</v>
      </c>
      <c r="B358" s="33">
        <f t="shared" ref="B358:C358" si="533">B911</f>
        <v>0</v>
      </c>
      <c r="C358" s="33">
        <f t="shared" si="533"/>
        <v>460100</v>
      </c>
      <c r="D358" s="33">
        <f t="shared" ref="D358" si="534">D911</f>
        <v>0</v>
      </c>
      <c r="E358" s="821" t="s">
        <v>442</v>
      </c>
      <c r="F358" s="77" t="s">
        <v>5437</v>
      </c>
      <c r="G358" s="76">
        <f t="shared" ref="G358:P358" si="535">G911</f>
        <v>0</v>
      </c>
      <c r="H358" s="138">
        <f>IF(D358=G358,0,IF(D358=0,100,(G358-D358)/D358*100))</f>
        <v>0</v>
      </c>
      <c r="I358" s="33">
        <f t="shared" si="535"/>
        <v>0</v>
      </c>
      <c r="J358" s="33">
        <f t="shared" si="535"/>
        <v>0</v>
      </c>
      <c r="K358" s="33">
        <f t="shared" si="535"/>
        <v>0</v>
      </c>
      <c r="L358" s="33">
        <f t="shared" si="535"/>
        <v>0</v>
      </c>
      <c r="M358" s="33">
        <f t="shared" si="535"/>
        <v>0</v>
      </c>
      <c r="N358" s="33">
        <f t="shared" si="535"/>
        <v>0</v>
      </c>
      <c r="O358" s="33">
        <f t="shared" si="535"/>
        <v>0</v>
      </c>
      <c r="P358" s="33">
        <f t="shared" si="535"/>
        <v>0</v>
      </c>
      <c r="Q358" s="33">
        <f t="shared" ref="Q358" si="536">Q911</f>
        <v>0</v>
      </c>
      <c r="R358" s="114">
        <f t="shared" ref="R358" si="537">R911</f>
        <v>0</v>
      </c>
    </row>
    <row r="359" spans="1:18" ht="13.5" thickBot="1" x14ac:dyDescent="0.25">
      <c r="A359" s="107"/>
      <c r="B359" s="33"/>
      <c r="C359" s="33"/>
      <c r="D359" s="33"/>
      <c r="E359" s="343"/>
      <c r="F359" s="76"/>
      <c r="G359" s="184"/>
      <c r="H359" s="2614"/>
      <c r="I359" s="121"/>
      <c r="J359" s="121"/>
      <c r="K359" s="121"/>
      <c r="L359" s="121"/>
      <c r="M359" s="121"/>
      <c r="N359" s="121"/>
      <c r="O359" s="121"/>
      <c r="P359" s="121"/>
      <c r="Q359" s="121"/>
      <c r="R359" s="114"/>
    </row>
    <row r="360" spans="1:18" s="92" customFormat="1" x14ac:dyDescent="0.2">
      <c r="A360" s="105">
        <f>SUM(A344:A359)</f>
        <v>4601500</v>
      </c>
      <c r="B360" s="53">
        <f>SUM(B344:B359)</f>
        <v>3380000</v>
      </c>
      <c r="C360" s="53">
        <f>SUM(C342:C359)</f>
        <v>3385100</v>
      </c>
      <c r="D360" s="53">
        <f>SUM(D342:D359)</f>
        <v>2570800</v>
      </c>
      <c r="E360" s="2515"/>
      <c r="F360" s="378" t="s">
        <v>2605</v>
      </c>
      <c r="G360" s="177">
        <f t="shared" ref="G360:P360" si="538">SUM(G342:G359)</f>
        <v>3033000</v>
      </c>
      <c r="H360" s="2485">
        <f>IF(E360=G360,0,IF(E360=0,100,(G360-E360)/E360*100))</f>
        <v>100</v>
      </c>
      <c r="I360" s="53">
        <f t="shared" si="538"/>
        <v>2618600</v>
      </c>
      <c r="J360" s="53">
        <f t="shared" si="538"/>
        <v>2587600</v>
      </c>
      <c r="K360" s="53">
        <f t="shared" si="538"/>
        <v>2706800</v>
      </c>
      <c r="L360" s="53">
        <f t="shared" si="538"/>
        <v>2708700</v>
      </c>
      <c r="M360" s="53">
        <f t="shared" si="538"/>
        <v>2771600</v>
      </c>
      <c r="N360" s="53">
        <f t="shared" si="538"/>
        <v>2825900</v>
      </c>
      <c r="O360" s="53">
        <f t="shared" si="538"/>
        <v>2887800</v>
      </c>
      <c r="P360" s="53">
        <f t="shared" si="538"/>
        <v>2937800</v>
      </c>
      <c r="Q360" s="53">
        <f t="shared" ref="Q360" si="539">SUM(Q342:Q359)</f>
        <v>2998200</v>
      </c>
      <c r="R360" s="113">
        <f t="shared" ref="R360" si="540">SUM(R342:R359)</f>
        <v>3058700</v>
      </c>
    </row>
    <row r="361" spans="1:18" s="99" customFormat="1" x14ac:dyDescent="0.2">
      <c r="A361" s="608"/>
      <c r="B361" s="150"/>
      <c r="C361" s="150"/>
      <c r="D361" s="150"/>
      <c r="E361" s="2515"/>
      <c r="F361" s="33"/>
      <c r="H361" s="138"/>
      <c r="I361" s="33"/>
      <c r="J361" s="33"/>
      <c r="K361" s="33"/>
      <c r="L361" s="33"/>
      <c r="M361" s="33"/>
      <c r="N361" s="33"/>
      <c r="O361" s="33"/>
      <c r="P361" s="33"/>
      <c r="Q361" s="33"/>
      <c r="R361" s="114"/>
    </row>
    <row r="362" spans="1:18" s="99" customFormat="1" x14ac:dyDescent="0.2">
      <c r="A362" s="107"/>
      <c r="B362" s="33"/>
      <c r="C362" s="33"/>
      <c r="D362" s="33"/>
      <c r="E362" s="343"/>
      <c r="F362" s="365" t="s">
        <v>2205</v>
      </c>
      <c r="H362" s="138"/>
      <c r="I362" s="33"/>
      <c r="J362" s="33"/>
      <c r="K362" s="33"/>
      <c r="L362" s="33"/>
      <c r="M362" s="33"/>
      <c r="N362" s="33"/>
      <c r="O362" s="33"/>
      <c r="P362" s="33"/>
      <c r="Q362" s="33"/>
      <c r="R362" s="114"/>
    </row>
    <row r="363" spans="1:18" s="99" customFormat="1" x14ac:dyDescent="0.2">
      <c r="A363" s="107"/>
      <c r="B363" s="33"/>
      <c r="C363" s="33"/>
      <c r="D363" s="33"/>
      <c r="E363" s="343"/>
      <c r="F363" s="365"/>
      <c r="H363" s="138"/>
      <c r="I363" s="33"/>
      <c r="J363" s="33"/>
      <c r="K363" s="33"/>
      <c r="L363" s="33"/>
      <c r="M363" s="33"/>
      <c r="N363" s="33"/>
      <c r="O363" s="33"/>
      <c r="P363" s="33"/>
      <c r="Q363" s="33"/>
      <c r="R363" s="114"/>
    </row>
    <row r="364" spans="1:18" s="99" customFormat="1" x14ac:dyDescent="0.2">
      <c r="A364" s="107"/>
      <c r="B364" s="33"/>
      <c r="C364" s="33"/>
      <c r="D364" s="33"/>
      <c r="E364" s="343"/>
      <c r="F364" s="371" t="s">
        <v>2543</v>
      </c>
      <c r="H364" s="138"/>
      <c r="I364" s="33"/>
      <c r="J364" s="33"/>
      <c r="K364" s="33"/>
      <c r="L364" s="33"/>
      <c r="M364" s="33"/>
      <c r="N364" s="33"/>
      <c r="O364" s="33"/>
      <c r="P364" s="33"/>
      <c r="Q364" s="33"/>
      <c r="R364" s="114"/>
    </row>
    <row r="365" spans="1:18" s="99" customFormat="1" x14ac:dyDescent="0.2">
      <c r="A365" s="107">
        <f>ROUND(SUM(A917:A919),-3)</f>
        <v>405000</v>
      </c>
      <c r="B365" s="33">
        <f>SUM(B917:B919)</f>
        <v>343600</v>
      </c>
      <c r="C365" s="33">
        <f>SUM(C917:C919)</f>
        <v>292800</v>
      </c>
      <c r="D365" s="33">
        <f>SUM(D917:D919)</f>
        <v>310700</v>
      </c>
      <c r="E365" s="343" t="s">
        <v>1804</v>
      </c>
      <c r="F365" s="366" t="s">
        <v>1249</v>
      </c>
      <c r="G365" s="99">
        <f t="shared" ref="G365:O365" si="541">SUM(G917:G919)</f>
        <v>296700</v>
      </c>
      <c r="H365" s="138">
        <f>IF(D365=G365,0,IF(D365=0,100,(G365-D365)/D365*100))</f>
        <v>-4.5059542967492758</v>
      </c>
      <c r="I365" s="33">
        <f t="shared" si="541"/>
        <v>302600</v>
      </c>
      <c r="J365" s="33">
        <f t="shared" si="541"/>
        <v>310200</v>
      </c>
      <c r="K365" s="33">
        <f t="shared" si="541"/>
        <v>318000</v>
      </c>
      <c r="L365" s="33">
        <f t="shared" si="541"/>
        <v>326000</v>
      </c>
      <c r="M365" s="33">
        <f t="shared" si="541"/>
        <v>334200</v>
      </c>
      <c r="N365" s="33">
        <f t="shared" si="541"/>
        <v>342600</v>
      </c>
      <c r="O365" s="33">
        <f t="shared" si="541"/>
        <v>351200</v>
      </c>
      <c r="P365" s="33">
        <f t="shared" ref="P365:Q365" si="542">SUM(P917:P919)</f>
        <v>360000</v>
      </c>
      <c r="Q365" s="33">
        <f t="shared" si="542"/>
        <v>369000</v>
      </c>
      <c r="R365" s="114">
        <f t="shared" ref="R365" si="543">SUM(R917:R919)</f>
        <v>378200</v>
      </c>
    </row>
    <row r="366" spans="1:18" x14ac:dyDescent="0.2">
      <c r="A366" s="107">
        <f>ROUND(SUM(A921:A921),-3)</f>
        <v>13000</v>
      </c>
      <c r="B366" s="33">
        <f>SUM(B921:B921)</f>
        <v>21700</v>
      </c>
      <c r="C366" s="33">
        <f>SUM(C921:C921)</f>
        <v>44000</v>
      </c>
      <c r="D366" s="33">
        <f>SUM(D921:D921)</f>
        <v>13700</v>
      </c>
      <c r="E366" s="343" t="s">
        <v>1804</v>
      </c>
      <c r="F366" s="132" t="s">
        <v>2555</v>
      </c>
      <c r="G366" s="33">
        <f>SUM(G921:G921)</f>
        <v>20400</v>
      </c>
      <c r="H366" s="138">
        <f>IF(D366=G366,0,IF(D366=0,100,(G366-D366)/D366*100))</f>
        <v>48.9051094890511</v>
      </c>
      <c r="I366" s="33">
        <f t="shared" ref="I366:Q366" si="544">SUM(I921:I921)</f>
        <v>20800</v>
      </c>
      <c r="J366" s="33">
        <f t="shared" si="544"/>
        <v>21300</v>
      </c>
      <c r="K366" s="33">
        <f t="shared" si="544"/>
        <v>21800</v>
      </c>
      <c r="L366" s="33">
        <f t="shared" si="544"/>
        <v>22300</v>
      </c>
      <c r="M366" s="33">
        <f t="shared" si="544"/>
        <v>22900</v>
      </c>
      <c r="N366" s="33">
        <f t="shared" si="544"/>
        <v>23500</v>
      </c>
      <c r="O366" s="33">
        <f t="shared" si="544"/>
        <v>24100</v>
      </c>
      <c r="P366" s="33">
        <f t="shared" si="544"/>
        <v>24700</v>
      </c>
      <c r="Q366" s="33">
        <f t="shared" si="544"/>
        <v>25300</v>
      </c>
      <c r="R366" s="114">
        <f t="shared" ref="R366" si="545">SUM(R921:R921)</f>
        <v>25900</v>
      </c>
    </row>
    <row r="367" spans="1:18" x14ac:dyDescent="0.2">
      <c r="A367" s="107">
        <f>SUM(A922:A923)+A294</f>
        <v>225000</v>
      </c>
      <c r="B367" s="33">
        <f>SUM(B922:B923)+B920</f>
        <v>1420000</v>
      </c>
      <c r="C367" s="33">
        <f>SUM(C922:C924)+C920</f>
        <v>1440100</v>
      </c>
      <c r="D367" s="33">
        <f>SUM(D922:D924)+D920</f>
        <v>1084200</v>
      </c>
      <c r="E367" s="343" t="s">
        <v>1804</v>
      </c>
      <c r="F367" s="132" t="s">
        <v>3332</v>
      </c>
      <c r="G367" s="33">
        <f>SUM(G922:G924)+G920</f>
        <v>1460200</v>
      </c>
      <c r="H367" s="138">
        <f>IF(D367=G367,0,IF(D367=0,100,(G367-D367)/D367*100))</f>
        <v>34.679948349013095</v>
      </c>
      <c r="I367" s="33">
        <f t="shared" ref="I367:Q367" si="546">SUM(I922:I924)+I920</f>
        <v>0</v>
      </c>
      <c r="J367" s="33">
        <f t="shared" si="546"/>
        <v>0</v>
      </c>
      <c r="K367" s="33">
        <f t="shared" si="546"/>
        <v>0</v>
      </c>
      <c r="L367" s="33">
        <f t="shared" si="546"/>
        <v>0</v>
      </c>
      <c r="M367" s="33">
        <f t="shared" si="546"/>
        <v>0</v>
      </c>
      <c r="N367" s="33">
        <f t="shared" si="546"/>
        <v>0</v>
      </c>
      <c r="O367" s="33">
        <f t="shared" si="546"/>
        <v>0</v>
      </c>
      <c r="P367" s="33">
        <f t="shared" si="546"/>
        <v>0</v>
      </c>
      <c r="Q367" s="33">
        <f t="shared" si="546"/>
        <v>0</v>
      </c>
      <c r="R367" s="114">
        <f t="shared" ref="R367" si="547">SUM(R922:R924)+R920</f>
        <v>0</v>
      </c>
    </row>
    <row r="368" spans="1:18" x14ac:dyDescent="0.2">
      <c r="A368" s="107"/>
      <c r="B368" s="33"/>
      <c r="C368" s="33"/>
      <c r="D368" s="33"/>
      <c r="E368" s="343"/>
      <c r="F368" s="33"/>
      <c r="G368" s="33"/>
      <c r="H368" s="138"/>
      <c r="I368" s="33"/>
      <c r="J368" s="33"/>
      <c r="K368" s="33"/>
      <c r="L368" s="33"/>
      <c r="M368" s="33"/>
      <c r="N368" s="33"/>
      <c r="O368" s="33"/>
      <c r="P368" s="33"/>
      <c r="Q368" s="33"/>
      <c r="R368" s="114"/>
    </row>
    <row r="369" spans="1:18" x14ac:dyDescent="0.2">
      <c r="A369" s="107"/>
      <c r="B369" s="33"/>
      <c r="C369" s="33"/>
      <c r="D369" s="33"/>
      <c r="E369" s="343"/>
      <c r="F369" s="64" t="s">
        <v>567</v>
      </c>
      <c r="G369" s="33"/>
      <c r="H369" s="138"/>
      <c r="I369" s="33"/>
      <c r="J369" s="33"/>
      <c r="K369" s="33"/>
      <c r="L369" s="33"/>
      <c r="M369" s="33"/>
      <c r="N369" s="33"/>
      <c r="O369" s="33"/>
      <c r="P369" s="33"/>
      <c r="Q369" s="33"/>
      <c r="R369" s="114"/>
    </row>
    <row r="370" spans="1:18" x14ac:dyDescent="0.2">
      <c r="A370" s="107">
        <f>ROUND(SUM(A926:A928),-3)</f>
        <v>14000</v>
      </c>
      <c r="B370" s="33">
        <f>SUM(B926:B928)</f>
        <v>10300</v>
      </c>
      <c r="C370" s="33">
        <f>SUM(C926:C928)</f>
        <v>16400</v>
      </c>
      <c r="D370" s="33">
        <f>SUM(D926:D928)</f>
        <v>28300</v>
      </c>
      <c r="E370" s="343" t="s">
        <v>1805</v>
      </c>
      <c r="F370" s="33" t="s">
        <v>2610</v>
      </c>
      <c r="G370" s="33">
        <f t="shared" ref="G370:O370" si="548">SUM(G926:G928)</f>
        <v>45000</v>
      </c>
      <c r="H370" s="138">
        <f>IF(D370=G370,0,IF(D370=0,100,(G370-D370)/D370*100))</f>
        <v>59.010600706713781</v>
      </c>
      <c r="I370" s="33">
        <f t="shared" si="548"/>
        <v>45800</v>
      </c>
      <c r="J370" s="33">
        <f t="shared" si="548"/>
        <v>47100</v>
      </c>
      <c r="K370" s="33">
        <f t="shared" si="548"/>
        <v>48400</v>
      </c>
      <c r="L370" s="33">
        <f t="shared" si="548"/>
        <v>49700</v>
      </c>
      <c r="M370" s="33">
        <f t="shared" si="548"/>
        <v>50800</v>
      </c>
      <c r="N370" s="33">
        <f t="shared" si="548"/>
        <v>0</v>
      </c>
      <c r="O370" s="33">
        <f t="shared" si="548"/>
        <v>0</v>
      </c>
      <c r="P370" s="33">
        <f t="shared" ref="P370:Q370" si="549">SUM(P926:P928)</f>
        <v>0</v>
      </c>
      <c r="Q370" s="33">
        <f t="shared" si="549"/>
        <v>0</v>
      </c>
      <c r="R370" s="114">
        <f t="shared" ref="R370" si="550">SUM(R926:R928)</f>
        <v>0</v>
      </c>
    </row>
    <row r="371" spans="1:18" x14ac:dyDescent="0.2">
      <c r="A371" s="107">
        <f>ROUND(SUM(A929:A932),-3)</f>
        <v>115000</v>
      </c>
      <c r="B371" s="33">
        <f>SUM(B929:B932)</f>
        <v>59200</v>
      </c>
      <c r="C371" s="33">
        <f>SUM(C929:C932)</f>
        <v>97900</v>
      </c>
      <c r="D371" s="33">
        <f>SUM(D929:D932)</f>
        <v>150700</v>
      </c>
      <c r="E371" s="343" t="s">
        <v>1805</v>
      </c>
      <c r="F371" s="33" t="s">
        <v>2611</v>
      </c>
      <c r="G371" s="33">
        <f t="shared" ref="G371:O371" si="551">SUM(G929:G932)</f>
        <v>279300</v>
      </c>
      <c r="H371" s="138">
        <f>IF(D371=G371,0,IF(D371=0,100,(G371-D371)/D371*100))</f>
        <v>85.335102853351032</v>
      </c>
      <c r="I371" s="33">
        <f t="shared" si="551"/>
        <v>72300</v>
      </c>
      <c r="J371" s="33">
        <f t="shared" si="551"/>
        <v>74000</v>
      </c>
      <c r="K371" s="33">
        <f t="shared" si="551"/>
        <v>75700</v>
      </c>
      <c r="L371" s="33">
        <f t="shared" si="551"/>
        <v>77400</v>
      </c>
      <c r="M371" s="33">
        <f t="shared" si="551"/>
        <v>78900</v>
      </c>
      <c r="N371" s="33">
        <f t="shared" si="551"/>
        <v>80400</v>
      </c>
      <c r="O371" s="33">
        <f t="shared" si="551"/>
        <v>81900</v>
      </c>
      <c r="P371" s="33">
        <f t="shared" ref="P371:Q371" si="552">SUM(P929:P932)</f>
        <v>83500</v>
      </c>
      <c r="Q371" s="33">
        <f t="shared" si="552"/>
        <v>85100</v>
      </c>
      <c r="R371" s="114">
        <f t="shared" ref="R371" si="553">SUM(R929:R932)</f>
        <v>86700</v>
      </c>
    </row>
    <row r="372" spans="1:18" x14ac:dyDescent="0.2">
      <c r="A372" s="107">
        <f>ROUND(SUM(A933:A934),-3)</f>
        <v>12000</v>
      </c>
      <c r="B372" s="33">
        <f>SUM(B933:B934)</f>
        <v>8500</v>
      </c>
      <c r="C372" s="33">
        <f>SUM(C933:C934)</f>
        <v>9000</v>
      </c>
      <c r="D372" s="33">
        <f>SUM(D933:D934)</f>
        <v>9800</v>
      </c>
      <c r="E372" s="343" t="s">
        <v>1806</v>
      </c>
      <c r="F372" s="33" t="s">
        <v>2421</v>
      </c>
      <c r="G372" s="33">
        <f t="shared" ref="G372:O372" si="554">SUM(G933:G934)</f>
        <v>25600</v>
      </c>
      <c r="H372" s="138">
        <f>IF(D372=G372,0,IF(D372=0,100,(G372-D372)/D372*100))</f>
        <v>161.22448979591837</v>
      </c>
      <c r="I372" s="33">
        <f t="shared" si="554"/>
        <v>26100</v>
      </c>
      <c r="J372" s="33">
        <f t="shared" si="554"/>
        <v>26800</v>
      </c>
      <c r="K372" s="33">
        <f t="shared" si="554"/>
        <v>27500</v>
      </c>
      <c r="L372" s="33">
        <f t="shared" si="554"/>
        <v>28300</v>
      </c>
      <c r="M372" s="33">
        <f t="shared" si="554"/>
        <v>29000</v>
      </c>
      <c r="N372" s="33">
        <f t="shared" si="554"/>
        <v>29700</v>
      </c>
      <c r="O372" s="33">
        <f t="shared" si="554"/>
        <v>30400</v>
      </c>
      <c r="P372" s="33">
        <f t="shared" ref="P372:Q372" si="555">SUM(P933:P934)</f>
        <v>31100</v>
      </c>
      <c r="Q372" s="33">
        <f t="shared" si="555"/>
        <v>31800</v>
      </c>
      <c r="R372" s="114">
        <f t="shared" ref="R372" si="556">SUM(R933:R934)</f>
        <v>32500</v>
      </c>
    </row>
    <row r="373" spans="1:18" x14ac:dyDescent="0.2">
      <c r="A373" s="107">
        <f>ROUND(SUM(A936:A938),-3)</f>
        <v>-165000</v>
      </c>
      <c r="B373" s="33">
        <f>SUM(B936:B938)</f>
        <v>-289900</v>
      </c>
      <c r="C373" s="33">
        <f>SUM(C936:C938)</f>
        <v>-725700</v>
      </c>
      <c r="D373" s="33">
        <f>SUM(D936:D938)</f>
        <v>319800</v>
      </c>
      <c r="E373" s="343" t="s">
        <v>1806</v>
      </c>
      <c r="F373" s="132" t="s">
        <v>4225</v>
      </c>
      <c r="G373" s="33">
        <f>SUM(G936:G938)</f>
        <v>0</v>
      </c>
      <c r="H373" s="138">
        <f>IF(D373=G373,0,IF(D373=0,100,(G373-D373)/D373*100))</f>
        <v>-100</v>
      </c>
      <c r="I373" s="33">
        <f t="shared" ref="I373:P373" si="557">SUM(I936:I938)</f>
        <v>0</v>
      </c>
      <c r="J373" s="33">
        <f t="shared" si="557"/>
        <v>0</v>
      </c>
      <c r="K373" s="33">
        <f t="shared" si="557"/>
        <v>0</v>
      </c>
      <c r="L373" s="33">
        <f t="shared" si="557"/>
        <v>0</v>
      </c>
      <c r="M373" s="33">
        <f t="shared" si="557"/>
        <v>0</v>
      </c>
      <c r="N373" s="33">
        <f t="shared" si="557"/>
        <v>0</v>
      </c>
      <c r="O373" s="33">
        <f t="shared" si="557"/>
        <v>0</v>
      </c>
      <c r="P373" s="33">
        <f t="shared" si="557"/>
        <v>0</v>
      </c>
      <c r="Q373" s="33">
        <f t="shared" ref="Q373" si="558">SUM(Q936:Q938)</f>
        <v>0</v>
      </c>
      <c r="R373" s="114">
        <f t="shared" ref="R373" si="559">SUM(R936:R938)</f>
        <v>0</v>
      </c>
    </row>
    <row r="374" spans="1:18" x14ac:dyDescent="0.2">
      <c r="A374" s="107"/>
      <c r="B374" s="33"/>
      <c r="C374" s="33"/>
      <c r="D374" s="33"/>
      <c r="E374" s="343"/>
      <c r="F374" s="33"/>
      <c r="G374" s="33"/>
      <c r="H374" s="138"/>
      <c r="I374" s="33"/>
      <c r="J374" s="33"/>
      <c r="K374" s="33"/>
      <c r="L374" s="33"/>
      <c r="M374" s="33"/>
      <c r="N374" s="33"/>
      <c r="O374" s="33"/>
      <c r="P374" s="33"/>
      <c r="Q374" s="33"/>
      <c r="R374" s="114"/>
    </row>
    <row r="375" spans="1:18" x14ac:dyDescent="0.2">
      <c r="A375" s="107"/>
      <c r="B375" s="33"/>
      <c r="C375" s="33"/>
      <c r="D375" s="33"/>
      <c r="E375" s="343"/>
      <c r="F375" s="64" t="s">
        <v>469</v>
      </c>
      <c r="G375" s="33"/>
      <c r="H375" s="138"/>
      <c r="I375" s="33"/>
      <c r="J375" s="33"/>
      <c r="K375" s="33"/>
      <c r="L375" s="33"/>
      <c r="M375" s="33"/>
      <c r="N375" s="33"/>
      <c r="O375" s="33"/>
      <c r="P375" s="33"/>
      <c r="Q375" s="33"/>
      <c r="R375" s="114"/>
    </row>
    <row r="376" spans="1:18" x14ac:dyDescent="0.2">
      <c r="A376" s="107">
        <f>ROUND(SUM(A945:A962),-3)</f>
        <v>255000</v>
      </c>
      <c r="B376" s="33">
        <f>SUM(B945:B962)</f>
        <v>214000</v>
      </c>
      <c r="C376" s="33">
        <f>SUM(C945:C962)</f>
        <v>199400</v>
      </c>
      <c r="D376" s="33">
        <f>SUM(D945:D962)</f>
        <v>246000</v>
      </c>
      <c r="E376" s="343" t="s">
        <v>1807</v>
      </c>
      <c r="F376" s="603" t="s">
        <v>1595</v>
      </c>
      <c r="G376" s="33">
        <f>SUM(G945:G962)</f>
        <v>246800</v>
      </c>
      <c r="H376" s="138">
        <f>IF(D376=G376,0,IF(D376=0,100,(G376-D376)/D376*100))</f>
        <v>0.32520325203252032</v>
      </c>
      <c r="I376" s="33">
        <f t="shared" ref="I376:R376" si="560">SUM(I945:I962)</f>
        <v>251400</v>
      </c>
      <c r="J376" s="33">
        <f t="shared" si="560"/>
        <v>258500</v>
      </c>
      <c r="K376" s="33">
        <f t="shared" si="560"/>
        <v>265700</v>
      </c>
      <c r="L376" s="33">
        <f t="shared" si="560"/>
        <v>273100</v>
      </c>
      <c r="M376" s="33">
        <f t="shared" si="560"/>
        <v>279500</v>
      </c>
      <c r="N376" s="33">
        <f t="shared" si="560"/>
        <v>286000</v>
      </c>
      <c r="O376" s="33">
        <f t="shared" si="560"/>
        <v>292600</v>
      </c>
      <c r="P376" s="33">
        <f t="shared" si="560"/>
        <v>299300</v>
      </c>
      <c r="Q376" s="33">
        <f t="shared" si="560"/>
        <v>306100</v>
      </c>
      <c r="R376" s="114">
        <f t="shared" si="560"/>
        <v>313000</v>
      </c>
    </row>
    <row r="377" spans="1:18" x14ac:dyDescent="0.2">
      <c r="A377" s="107">
        <f>ROUND(SUM(A963:A972),-3)</f>
        <v>165000</v>
      </c>
      <c r="B377" s="33">
        <f>SUM(B963:B972)</f>
        <v>157200</v>
      </c>
      <c r="C377" s="33">
        <f>SUM(C963:C972)</f>
        <v>98800</v>
      </c>
      <c r="D377" s="33">
        <f>SUM(D963:D972)</f>
        <v>118500</v>
      </c>
      <c r="E377" s="343" t="s">
        <v>1808</v>
      </c>
      <c r="F377" s="2007" t="s">
        <v>3120</v>
      </c>
      <c r="G377" s="33">
        <f>SUM(G963:G972)</f>
        <v>146500</v>
      </c>
      <c r="H377" s="138">
        <f>IF(D377=G377,0,IF(D377=0,100,(G377-D377)/D377*100))</f>
        <v>23.628691983122362</v>
      </c>
      <c r="I377" s="33">
        <f t="shared" ref="I377:Q377" si="561">SUM(I963:I972)</f>
        <v>133700</v>
      </c>
      <c r="J377" s="33">
        <f t="shared" si="561"/>
        <v>137400</v>
      </c>
      <c r="K377" s="33">
        <f t="shared" si="561"/>
        <v>141100</v>
      </c>
      <c r="L377" s="33">
        <f t="shared" si="561"/>
        <v>144800</v>
      </c>
      <c r="M377" s="33">
        <f t="shared" si="561"/>
        <v>147900</v>
      </c>
      <c r="N377" s="33">
        <f t="shared" si="561"/>
        <v>151300</v>
      </c>
      <c r="O377" s="33">
        <f t="shared" si="561"/>
        <v>154700</v>
      </c>
      <c r="P377" s="33">
        <f t="shared" si="561"/>
        <v>158100</v>
      </c>
      <c r="Q377" s="33">
        <f t="shared" si="561"/>
        <v>161600</v>
      </c>
      <c r="R377" s="114">
        <f t="shared" ref="R377" si="562">SUM(R963:R972)</f>
        <v>165100</v>
      </c>
    </row>
    <row r="378" spans="1:18" x14ac:dyDescent="0.2">
      <c r="A378" s="107">
        <f>ROUND(SUM(A974:A978),-3)</f>
        <v>48000</v>
      </c>
      <c r="B378" s="33">
        <f>SUM(B974:B978)</f>
        <v>59000</v>
      </c>
      <c r="C378" s="33">
        <f>SUM(C974:C978)</f>
        <v>29200</v>
      </c>
      <c r="D378" s="33">
        <f>SUM(D974:D978)</f>
        <v>22300</v>
      </c>
      <c r="E378" s="343" t="s">
        <v>1809</v>
      </c>
      <c r="F378" s="603" t="s">
        <v>1594</v>
      </c>
      <c r="G378" s="33">
        <f t="shared" ref="G378:P378" si="563">SUM(G974:G978)</f>
        <v>50900</v>
      </c>
      <c r="H378" s="138">
        <f>IF(D378=G378,0,IF(D378=0,100,(G378-D378)/D378*100))</f>
        <v>128.25112107623318</v>
      </c>
      <c r="I378" s="33">
        <f t="shared" si="563"/>
        <v>51900</v>
      </c>
      <c r="J378" s="33">
        <f t="shared" si="563"/>
        <v>53400</v>
      </c>
      <c r="K378" s="33">
        <f t="shared" si="563"/>
        <v>54900</v>
      </c>
      <c r="L378" s="33">
        <f t="shared" si="563"/>
        <v>56600</v>
      </c>
      <c r="M378" s="33">
        <f t="shared" si="563"/>
        <v>57900</v>
      </c>
      <c r="N378" s="33">
        <f t="shared" si="563"/>
        <v>59400</v>
      </c>
      <c r="O378" s="33">
        <f t="shared" si="563"/>
        <v>60900</v>
      </c>
      <c r="P378" s="33">
        <f t="shared" si="563"/>
        <v>62400</v>
      </c>
      <c r="Q378" s="33">
        <f t="shared" ref="Q378" si="564">SUM(Q974:Q978)</f>
        <v>63900</v>
      </c>
      <c r="R378" s="114">
        <f t="shared" ref="R378" si="565">SUM(R974:R978)</f>
        <v>65400</v>
      </c>
    </row>
    <row r="379" spans="1:18" x14ac:dyDescent="0.2">
      <c r="A379" s="107">
        <f>ROUND(SUM(A980:A988),-3)</f>
        <v>62000</v>
      </c>
      <c r="B379" s="33">
        <f>SUM(B980:B988)</f>
        <v>67600</v>
      </c>
      <c r="C379" s="33">
        <f>SUM(C980:C988)</f>
        <v>66900</v>
      </c>
      <c r="D379" s="33">
        <f>SUM(D980:D988)</f>
        <v>65300</v>
      </c>
      <c r="E379" s="343" t="s">
        <v>2585</v>
      </c>
      <c r="F379" s="891" t="s">
        <v>1745</v>
      </c>
      <c r="G379" s="33">
        <f t="shared" ref="G379:O379" si="566">SUM(G980:G988)</f>
        <v>69200</v>
      </c>
      <c r="H379" s="138">
        <f>IF(D379=G379,0,IF(D379=0,100,(G379-D379)/D379*100))</f>
        <v>5.9724349157733538</v>
      </c>
      <c r="I379" s="33">
        <f t="shared" si="566"/>
        <v>70600</v>
      </c>
      <c r="J379" s="33">
        <f t="shared" si="566"/>
        <v>72700</v>
      </c>
      <c r="K379" s="33">
        <f t="shared" si="566"/>
        <v>74800</v>
      </c>
      <c r="L379" s="33">
        <f t="shared" si="566"/>
        <v>76900</v>
      </c>
      <c r="M379" s="33">
        <f t="shared" si="566"/>
        <v>78700</v>
      </c>
      <c r="N379" s="33">
        <f t="shared" si="566"/>
        <v>80500</v>
      </c>
      <c r="O379" s="33">
        <f t="shared" si="566"/>
        <v>82400</v>
      </c>
      <c r="P379" s="33">
        <f t="shared" ref="P379:Q379" si="567">SUM(P980:P988)</f>
        <v>84300</v>
      </c>
      <c r="Q379" s="33">
        <f t="shared" si="567"/>
        <v>86300</v>
      </c>
      <c r="R379" s="114">
        <f t="shared" ref="R379" si="568">SUM(R980:R988)</f>
        <v>88300</v>
      </c>
    </row>
    <row r="380" spans="1:18" x14ac:dyDescent="0.2">
      <c r="A380" s="107"/>
      <c r="B380" s="33"/>
      <c r="C380" s="33"/>
      <c r="D380" s="33"/>
      <c r="E380" s="343"/>
      <c r="F380" s="366"/>
      <c r="G380" s="33"/>
      <c r="H380" s="138"/>
      <c r="I380" s="33"/>
      <c r="J380" s="33"/>
      <c r="K380" s="33"/>
      <c r="L380" s="33"/>
      <c r="M380" s="33"/>
      <c r="N380" s="33"/>
      <c r="O380" s="33"/>
      <c r="P380" s="33"/>
      <c r="Q380" s="33"/>
      <c r="R380" s="114"/>
    </row>
    <row r="381" spans="1:18" x14ac:dyDescent="0.2">
      <c r="A381" s="107"/>
      <c r="B381" s="33"/>
      <c r="C381" s="33"/>
      <c r="D381" s="33"/>
      <c r="E381" s="343"/>
      <c r="F381" s="64" t="s">
        <v>14</v>
      </c>
      <c r="G381" s="33"/>
      <c r="H381" s="138"/>
      <c r="I381" s="33"/>
      <c r="J381" s="33"/>
      <c r="K381" s="33"/>
      <c r="L381" s="33"/>
      <c r="M381" s="33"/>
      <c r="N381" s="33"/>
      <c r="O381" s="33"/>
      <c r="P381" s="33"/>
      <c r="Q381" s="33"/>
      <c r="R381" s="114"/>
    </row>
    <row r="382" spans="1:18" x14ac:dyDescent="0.2">
      <c r="A382" s="107">
        <f>ROUND(SUM(A1027:A1044)+A1047,-3)</f>
        <v>282000</v>
      </c>
      <c r="B382" s="33">
        <f>SUM(B1027:B1044)+B1047</f>
        <v>301000</v>
      </c>
      <c r="C382" s="33">
        <f>SUM(C1027:C1044)+C1047</f>
        <v>259500</v>
      </c>
      <c r="D382" s="33">
        <f>SUM(D1027:D1044)+D1047</f>
        <v>250600</v>
      </c>
      <c r="E382" s="821" t="s">
        <v>1711</v>
      </c>
      <c r="F382" s="132" t="s">
        <v>1417</v>
      </c>
      <c r="G382" s="33">
        <f t="shared" ref="G382:O382" si="569">SUM(G1027:G1044)+G1047</f>
        <v>281700</v>
      </c>
      <c r="H382" s="138">
        <f>IF(D382=G382,0,IF(D382=0,100,(G382-D382)/D382*100))</f>
        <v>12.410215482841181</v>
      </c>
      <c r="I382" s="33">
        <f t="shared" si="569"/>
        <v>287400</v>
      </c>
      <c r="J382" s="33">
        <f t="shared" si="569"/>
        <v>295400</v>
      </c>
      <c r="K382" s="33">
        <f t="shared" si="569"/>
        <v>303500</v>
      </c>
      <c r="L382" s="33">
        <f t="shared" si="569"/>
        <v>311800</v>
      </c>
      <c r="M382" s="33">
        <f t="shared" si="569"/>
        <v>318800</v>
      </c>
      <c r="N382" s="33">
        <f t="shared" si="569"/>
        <v>326000</v>
      </c>
      <c r="O382" s="33">
        <f t="shared" si="569"/>
        <v>333300</v>
      </c>
      <c r="P382" s="33">
        <f t="shared" ref="P382:Q382" si="570">SUM(P1027:P1044)+P1047</f>
        <v>340800</v>
      </c>
      <c r="Q382" s="33">
        <f t="shared" si="570"/>
        <v>348400</v>
      </c>
      <c r="R382" s="114">
        <f t="shared" ref="R382" si="571">SUM(R1027:R1044)+R1047</f>
        <v>356200</v>
      </c>
    </row>
    <row r="383" spans="1:18" x14ac:dyDescent="0.2">
      <c r="A383" s="107">
        <f>ROUND(A1050,-3)</f>
        <v>2000</v>
      </c>
      <c r="B383" s="33">
        <f>B1050</f>
        <v>0</v>
      </c>
      <c r="C383" s="33">
        <f>C1050</f>
        <v>0</v>
      </c>
      <c r="D383" s="33">
        <f>D1050</f>
        <v>0</v>
      </c>
      <c r="E383" s="821" t="s">
        <v>1711</v>
      </c>
      <c r="F383" s="132" t="s">
        <v>822</v>
      </c>
      <c r="G383" s="33">
        <f t="shared" ref="G383:O383" si="572">G1050</f>
        <v>0</v>
      </c>
      <c r="H383" s="138">
        <f>IF(D383=G383,0,IF(D383=0,100,(G383-D383)/D383*100))</f>
        <v>0</v>
      </c>
      <c r="I383" s="33">
        <f t="shared" si="572"/>
        <v>0</v>
      </c>
      <c r="J383" s="33">
        <f t="shared" si="572"/>
        <v>0</v>
      </c>
      <c r="K383" s="33">
        <f t="shared" si="572"/>
        <v>0</v>
      </c>
      <c r="L383" s="33">
        <f t="shared" si="572"/>
        <v>0</v>
      </c>
      <c r="M383" s="33">
        <f t="shared" si="572"/>
        <v>0</v>
      </c>
      <c r="N383" s="33">
        <f t="shared" si="572"/>
        <v>0</v>
      </c>
      <c r="O383" s="33">
        <f t="shared" si="572"/>
        <v>0</v>
      </c>
      <c r="P383" s="33">
        <f t="shared" ref="P383:Q383" si="573">P1050</f>
        <v>0</v>
      </c>
      <c r="Q383" s="33">
        <f t="shared" si="573"/>
        <v>0</v>
      </c>
      <c r="R383" s="114">
        <f t="shared" ref="R383" si="574">R1050</f>
        <v>0</v>
      </c>
    </row>
    <row r="384" spans="1:18" ht="13.5" customHeight="1" x14ac:dyDescent="0.2">
      <c r="A384" s="107"/>
      <c r="B384" s="33"/>
      <c r="C384" s="33"/>
      <c r="D384" s="33"/>
      <c r="E384" s="343"/>
      <c r="F384" s="33"/>
      <c r="G384" s="33"/>
      <c r="H384" s="138"/>
      <c r="I384" s="33"/>
      <c r="J384" s="33"/>
      <c r="K384" s="33"/>
      <c r="L384" s="33"/>
      <c r="M384" s="33"/>
      <c r="N384" s="33"/>
      <c r="O384" s="33"/>
      <c r="P384" s="33"/>
      <c r="Q384" s="33"/>
      <c r="R384" s="114"/>
    </row>
    <row r="385" spans="1:18" x14ac:dyDescent="0.2">
      <c r="A385" s="107"/>
      <c r="B385" s="33"/>
      <c r="C385" s="33"/>
      <c r="D385" s="33"/>
      <c r="E385" s="343"/>
      <c r="F385" s="64" t="s">
        <v>1663</v>
      </c>
      <c r="G385" s="33"/>
      <c r="H385" s="138"/>
      <c r="I385" s="33"/>
      <c r="J385" s="33"/>
      <c r="K385" s="33"/>
      <c r="L385" s="33"/>
      <c r="M385" s="33"/>
      <c r="N385" s="33"/>
      <c r="O385" s="33"/>
      <c r="P385" s="33"/>
      <c r="Q385" s="33"/>
      <c r="R385" s="114"/>
    </row>
    <row r="386" spans="1:18" x14ac:dyDescent="0.2">
      <c r="A386" s="107">
        <f>ROUND(SUM(A989:A993),-3)</f>
        <v>325000</v>
      </c>
      <c r="B386" s="33">
        <f>SUM(B989:B993)</f>
        <v>362000</v>
      </c>
      <c r="C386" s="33">
        <f>SUM(C989:C993)</f>
        <v>178000</v>
      </c>
      <c r="D386" s="33">
        <f>SUM(D989:D993)</f>
        <v>230000</v>
      </c>
      <c r="E386" s="343" t="s">
        <v>2586</v>
      </c>
      <c r="F386" s="33" t="s">
        <v>407</v>
      </c>
      <c r="G386" s="33">
        <f t="shared" ref="G386:O386" si="575">SUM(G989:G993)</f>
        <v>185000</v>
      </c>
      <c r="H386" s="138">
        <f>IF(D386=G386,0,IF(D386=0,100,(G386-D386)/D386*100))</f>
        <v>-19.565217391304348</v>
      </c>
      <c r="I386" s="33">
        <f t="shared" si="575"/>
        <v>206000</v>
      </c>
      <c r="J386" s="33">
        <f t="shared" si="575"/>
        <v>211200</v>
      </c>
      <c r="K386" s="33">
        <f t="shared" si="575"/>
        <v>216400</v>
      </c>
      <c r="L386" s="33">
        <f t="shared" si="575"/>
        <v>221900</v>
      </c>
      <c r="M386" s="33">
        <f t="shared" si="575"/>
        <v>226400</v>
      </c>
      <c r="N386" s="33">
        <f t="shared" si="575"/>
        <v>182800</v>
      </c>
      <c r="O386" s="33">
        <f t="shared" si="575"/>
        <v>186400</v>
      </c>
      <c r="P386" s="33">
        <f t="shared" ref="P386:Q386" si="576">SUM(P989:P993)</f>
        <v>190100</v>
      </c>
      <c r="Q386" s="33">
        <f t="shared" si="576"/>
        <v>193900</v>
      </c>
      <c r="R386" s="114">
        <f t="shared" ref="R386" si="577">SUM(R989:R993)</f>
        <v>197800</v>
      </c>
    </row>
    <row r="387" spans="1:18" x14ac:dyDescent="0.2">
      <c r="A387" s="107"/>
      <c r="B387" s="33"/>
      <c r="C387" s="33"/>
      <c r="D387" s="33"/>
      <c r="E387" s="343"/>
      <c r="F387" s="33"/>
      <c r="G387" s="33"/>
      <c r="H387" s="138"/>
      <c r="I387" s="33"/>
      <c r="J387" s="33"/>
      <c r="K387" s="33"/>
      <c r="L387" s="33"/>
      <c r="M387" s="33"/>
      <c r="N387" s="33"/>
      <c r="O387" s="33"/>
      <c r="P387" s="33"/>
      <c r="Q387" s="33"/>
      <c r="R387" s="114"/>
    </row>
    <row r="388" spans="1:18" x14ac:dyDescent="0.2">
      <c r="A388" s="107"/>
      <c r="B388" s="33"/>
      <c r="C388" s="33"/>
      <c r="D388" s="33"/>
      <c r="E388" s="343"/>
      <c r="F388" s="116" t="s">
        <v>265</v>
      </c>
      <c r="G388" s="33"/>
      <c r="H388" s="138"/>
      <c r="I388" s="33"/>
      <c r="J388" s="33"/>
      <c r="K388" s="33"/>
      <c r="L388" s="33"/>
      <c r="M388" s="33"/>
      <c r="N388" s="33"/>
      <c r="O388" s="33"/>
      <c r="P388" s="33"/>
      <c r="Q388" s="33"/>
      <c r="R388" s="114"/>
    </row>
    <row r="389" spans="1:18" x14ac:dyDescent="0.2">
      <c r="A389" s="107">
        <f>ROUND(A1053,-2)</f>
        <v>16700</v>
      </c>
      <c r="B389" s="33">
        <f>B1053</f>
        <v>439700</v>
      </c>
      <c r="C389" s="33">
        <f>C1053</f>
        <v>13600</v>
      </c>
      <c r="D389" s="33">
        <f>D1053</f>
        <v>14000</v>
      </c>
      <c r="E389" s="821" t="s">
        <v>1711</v>
      </c>
      <c r="F389" s="132" t="s">
        <v>3745</v>
      </c>
      <c r="G389" s="33">
        <f t="shared" ref="G389:O389" si="578">G1053</f>
        <v>14000</v>
      </c>
      <c r="H389" s="138">
        <f>IF(D389=G389,0,IF(D389=0,100,(G389-D389)/D389*100))</f>
        <v>0</v>
      </c>
      <c r="I389" s="33">
        <f t="shared" si="578"/>
        <v>14300</v>
      </c>
      <c r="J389" s="33">
        <f t="shared" si="578"/>
        <v>14600</v>
      </c>
      <c r="K389" s="33">
        <f t="shared" si="578"/>
        <v>14900</v>
      </c>
      <c r="L389" s="33">
        <f t="shared" si="578"/>
        <v>15200</v>
      </c>
      <c r="M389" s="33">
        <f t="shared" si="578"/>
        <v>15600</v>
      </c>
      <c r="N389" s="33">
        <f t="shared" si="578"/>
        <v>16000</v>
      </c>
      <c r="O389" s="33">
        <f t="shared" si="578"/>
        <v>16400</v>
      </c>
      <c r="P389" s="33">
        <f t="shared" ref="P389:Q389" si="579">P1053</f>
        <v>16800</v>
      </c>
      <c r="Q389" s="33">
        <f t="shared" si="579"/>
        <v>17200</v>
      </c>
      <c r="R389" s="114">
        <f t="shared" ref="R389" si="580">R1053</f>
        <v>17600</v>
      </c>
    </row>
    <row r="390" spans="1:18" x14ac:dyDescent="0.2">
      <c r="A390" s="107">
        <f>ROUND(A995,-2)</f>
        <v>150900</v>
      </c>
      <c r="B390" s="33">
        <f>B995</f>
        <v>183800</v>
      </c>
      <c r="C390" s="33">
        <f>C995</f>
        <v>95100</v>
      </c>
      <c r="D390" s="33">
        <f>D995</f>
        <v>97800</v>
      </c>
      <c r="E390" s="821" t="s">
        <v>1711</v>
      </c>
      <c r="F390" s="132" t="s">
        <v>3742</v>
      </c>
      <c r="G390" s="33">
        <f t="shared" ref="G390:O390" si="581">G995</f>
        <v>95000</v>
      </c>
      <c r="H390" s="138">
        <f>IF(D390=G390,0,IF(D390=0,100,(G390-D390)/D390*100))</f>
        <v>-2.8629856850715747</v>
      </c>
      <c r="I390" s="33">
        <f t="shared" si="581"/>
        <v>96900</v>
      </c>
      <c r="J390" s="33">
        <f t="shared" si="581"/>
        <v>98900</v>
      </c>
      <c r="K390" s="33">
        <f t="shared" si="581"/>
        <v>100900</v>
      </c>
      <c r="L390" s="33">
        <f t="shared" si="581"/>
        <v>103000</v>
      </c>
      <c r="M390" s="33">
        <f t="shared" si="581"/>
        <v>105100</v>
      </c>
      <c r="N390" s="33">
        <f t="shared" si="581"/>
        <v>107300</v>
      </c>
      <c r="O390" s="33">
        <f t="shared" si="581"/>
        <v>109500</v>
      </c>
      <c r="P390" s="33">
        <f t="shared" ref="P390:Q390" si="582">P995</f>
        <v>111700</v>
      </c>
      <c r="Q390" s="33">
        <f t="shared" si="582"/>
        <v>114000</v>
      </c>
      <c r="R390" s="114">
        <f t="shared" ref="R390" si="583">R995</f>
        <v>116300</v>
      </c>
    </row>
    <row r="391" spans="1:18" ht="13.5" thickBot="1" x14ac:dyDescent="0.25">
      <c r="A391" s="107"/>
      <c r="B391" s="33"/>
      <c r="C391" s="33"/>
      <c r="D391" s="33"/>
      <c r="E391" s="252"/>
      <c r="F391" s="366"/>
      <c r="G391" s="33"/>
      <c r="H391" s="138"/>
      <c r="I391" s="33"/>
      <c r="J391" s="33"/>
      <c r="K391" s="33"/>
      <c r="L391" s="33"/>
      <c r="M391" s="33"/>
      <c r="N391" s="33"/>
      <c r="O391" s="33"/>
      <c r="P391" s="33"/>
      <c r="Q391" s="33"/>
      <c r="R391" s="114"/>
    </row>
    <row r="392" spans="1:18" s="92" customFormat="1" x14ac:dyDescent="0.2">
      <c r="A392" s="105">
        <f>SUM(A362:A391)</f>
        <v>1925600</v>
      </c>
      <c r="B392" s="53">
        <f>SUM(B362:B391)</f>
        <v>3357700</v>
      </c>
      <c r="C392" s="53">
        <f>SUM(C362:C391)</f>
        <v>2115000</v>
      </c>
      <c r="D392" s="53">
        <f>SUM(D362:D391)</f>
        <v>2961700</v>
      </c>
      <c r="E392" s="2514"/>
      <c r="F392" s="378" t="s">
        <v>565</v>
      </c>
      <c r="G392" s="53">
        <f t="shared" ref="G392:P392" si="584">SUM(G362:G391)</f>
        <v>3216300</v>
      </c>
      <c r="H392" s="180">
        <f>IF(D392=G392,0,IF(D392=0,100,(G392-D392)/D392*100))</f>
        <v>8.5964142215619397</v>
      </c>
      <c r="I392" s="53">
        <f t="shared" si="584"/>
        <v>1579800</v>
      </c>
      <c r="J392" s="53">
        <f t="shared" si="584"/>
        <v>1621500</v>
      </c>
      <c r="K392" s="53">
        <f t="shared" si="584"/>
        <v>1663600</v>
      </c>
      <c r="L392" s="53">
        <f t="shared" si="584"/>
        <v>1707000</v>
      </c>
      <c r="M392" s="53">
        <f t="shared" si="584"/>
        <v>1745700</v>
      </c>
      <c r="N392" s="53">
        <f t="shared" si="584"/>
        <v>1685500</v>
      </c>
      <c r="O392" s="53">
        <f t="shared" si="584"/>
        <v>1723800</v>
      </c>
      <c r="P392" s="53">
        <f t="shared" si="584"/>
        <v>1762800</v>
      </c>
      <c r="Q392" s="53">
        <f t="shared" ref="Q392" si="585">SUM(Q362:Q391)</f>
        <v>1802600</v>
      </c>
      <c r="R392" s="113">
        <f t="shared" ref="R392" si="586">SUM(R362:R391)</f>
        <v>1843000</v>
      </c>
    </row>
    <row r="393" spans="1:18" x14ac:dyDescent="0.2">
      <c r="A393" s="107"/>
      <c r="B393" s="33"/>
      <c r="C393" s="33"/>
      <c r="D393" s="33"/>
      <c r="E393" s="252"/>
      <c r="F393" s="366"/>
      <c r="G393" s="33"/>
      <c r="H393" s="138"/>
      <c r="I393" s="33"/>
      <c r="J393" s="33"/>
      <c r="K393" s="33"/>
      <c r="L393" s="33"/>
      <c r="M393" s="33"/>
      <c r="N393" s="33"/>
      <c r="O393" s="33"/>
      <c r="P393" s="33"/>
      <c r="Q393" s="33"/>
      <c r="R393" s="114"/>
    </row>
    <row r="394" spans="1:18" s="92" customFormat="1" x14ac:dyDescent="0.2">
      <c r="A394" s="70">
        <f t="shared" ref="A394:C394" si="587">A360-A392</f>
        <v>2675900</v>
      </c>
      <c r="B394" s="64">
        <f t="shared" si="587"/>
        <v>22300</v>
      </c>
      <c r="C394" s="64">
        <f t="shared" si="587"/>
        <v>1270100</v>
      </c>
      <c r="D394" s="64">
        <f>D360-D392</f>
        <v>-390900</v>
      </c>
      <c r="E394" s="2514"/>
      <c r="F394" s="516" t="s">
        <v>1019</v>
      </c>
      <c r="G394" s="64">
        <f t="shared" ref="G394:P394" si="588">G360-G392</f>
        <v>-183300</v>
      </c>
      <c r="H394" s="179">
        <f>IF(D394=G394,0,IF(D394=0,100,(G394-D394)/D394*100))</f>
        <v>-53.108211818879511</v>
      </c>
      <c r="I394" s="64">
        <f t="shared" si="588"/>
        <v>1038800</v>
      </c>
      <c r="J394" s="64">
        <f t="shared" si="588"/>
        <v>966100</v>
      </c>
      <c r="K394" s="64">
        <f t="shared" si="588"/>
        <v>1043200</v>
      </c>
      <c r="L394" s="64">
        <f t="shared" si="588"/>
        <v>1001700</v>
      </c>
      <c r="M394" s="64">
        <f t="shared" si="588"/>
        <v>1025900</v>
      </c>
      <c r="N394" s="64">
        <f t="shared" si="588"/>
        <v>1140400</v>
      </c>
      <c r="O394" s="64">
        <f t="shared" si="588"/>
        <v>1164000</v>
      </c>
      <c r="P394" s="64">
        <f t="shared" si="588"/>
        <v>1175000</v>
      </c>
      <c r="Q394" s="64">
        <f t="shared" ref="Q394" si="589">Q360-Q392</f>
        <v>1195600</v>
      </c>
      <c r="R394" s="115">
        <f t="shared" ref="R394" si="590">R360-R392</f>
        <v>1215700</v>
      </c>
    </row>
    <row r="395" spans="1:18" x14ac:dyDescent="0.2">
      <c r="A395" s="107">
        <f t="shared" ref="A395:C395" si="591">SUM(A388:A391)</f>
        <v>167600</v>
      </c>
      <c r="B395" s="33">
        <f t="shared" si="591"/>
        <v>623500</v>
      </c>
      <c r="C395" s="33">
        <f t="shared" si="591"/>
        <v>108700</v>
      </c>
      <c r="D395" s="33">
        <f>SUM(D388:D391)</f>
        <v>111800</v>
      </c>
      <c r="E395" s="252"/>
      <c r="F395" s="372" t="s">
        <v>1976</v>
      </c>
      <c r="G395" s="33">
        <f t="shared" ref="G395:P395" si="592">SUM(G388:G391)</f>
        <v>109000</v>
      </c>
      <c r="H395" s="827">
        <f>IF(D395=G395,0,IF(D395=0,100,(G395-D395)/D395*100))</f>
        <v>-2.5044722719141324</v>
      </c>
      <c r="I395" s="33">
        <f t="shared" si="592"/>
        <v>111200</v>
      </c>
      <c r="J395" s="33">
        <f t="shared" si="592"/>
        <v>113500</v>
      </c>
      <c r="K395" s="33">
        <f t="shared" si="592"/>
        <v>115800</v>
      </c>
      <c r="L395" s="33">
        <f t="shared" si="592"/>
        <v>118200</v>
      </c>
      <c r="M395" s="33">
        <f t="shared" si="592"/>
        <v>120700</v>
      </c>
      <c r="N395" s="33">
        <f t="shared" si="592"/>
        <v>123300</v>
      </c>
      <c r="O395" s="33">
        <f t="shared" si="592"/>
        <v>125900</v>
      </c>
      <c r="P395" s="33">
        <f t="shared" si="592"/>
        <v>128500</v>
      </c>
      <c r="Q395" s="33">
        <f t="shared" ref="Q395" si="593">SUM(Q388:Q391)</f>
        <v>131200</v>
      </c>
      <c r="R395" s="114">
        <f t="shared" ref="R395" si="594">SUM(R388:R391)</f>
        <v>133900</v>
      </c>
    </row>
    <row r="396" spans="1:18" x14ac:dyDescent="0.2">
      <c r="A396" s="107">
        <f t="shared" ref="A396:C396" si="595">-A358</f>
        <v>0</v>
      </c>
      <c r="B396" s="33">
        <f t="shared" si="595"/>
        <v>0</v>
      </c>
      <c r="C396" s="33">
        <f t="shared" si="595"/>
        <v>-460100</v>
      </c>
      <c r="D396" s="33">
        <f>-D358</f>
        <v>0</v>
      </c>
      <c r="E396" s="252"/>
      <c r="F396" s="372" t="s">
        <v>5436</v>
      </c>
      <c r="G396" s="33">
        <f t="shared" ref="G396:P396" si="596">-G358</f>
        <v>0</v>
      </c>
      <c r="H396" s="827">
        <f>IF(D396=G396,0,IF(D396=0,100,(G396-D396)/D396*100))</f>
        <v>0</v>
      </c>
      <c r="I396" s="33">
        <f t="shared" si="596"/>
        <v>0</v>
      </c>
      <c r="J396" s="33">
        <f t="shared" si="596"/>
        <v>0</v>
      </c>
      <c r="K396" s="33">
        <f t="shared" si="596"/>
        <v>0</v>
      </c>
      <c r="L396" s="33">
        <f t="shared" si="596"/>
        <v>0</v>
      </c>
      <c r="M396" s="33">
        <f t="shared" si="596"/>
        <v>0</v>
      </c>
      <c r="N396" s="33">
        <f t="shared" si="596"/>
        <v>0</v>
      </c>
      <c r="O396" s="33">
        <f t="shared" si="596"/>
        <v>0</v>
      </c>
      <c r="P396" s="33">
        <f t="shared" si="596"/>
        <v>0</v>
      </c>
      <c r="Q396" s="33">
        <f t="shared" ref="Q396" si="597">-Q358</f>
        <v>0</v>
      </c>
      <c r="R396" s="114">
        <f t="shared" ref="R396" si="598">-R358</f>
        <v>0</v>
      </c>
    </row>
    <row r="397" spans="1:18" x14ac:dyDescent="0.2">
      <c r="A397" s="107">
        <f t="shared" ref="A397:C397" si="599">A373</f>
        <v>-165000</v>
      </c>
      <c r="B397" s="33">
        <f t="shared" si="599"/>
        <v>-289900</v>
      </c>
      <c r="C397" s="33">
        <f t="shared" si="599"/>
        <v>-725700</v>
      </c>
      <c r="D397" s="33">
        <f>D373</f>
        <v>319800</v>
      </c>
      <c r="E397" s="252"/>
      <c r="F397" s="372" t="s">
        <v>5407</v>
      </c>
      <c r="G397" s="33">
        <f t="shared" ref="G397:P397" si="600">G373</f>
        <v>0</v>
      </c>
      <c r="H397" s="827">
        <f>IF(D397=G397,0,IF(D397=0,100,(G397-D397)/D397*100))</f>
        <v>-100</v>
      </c>
      <c r="I397" s="33">
        <f t="shared" si="600"/>
        <v>0</v>
      </c>
      <c r="J397" s="33">
        <f t="shared" si="600"/>
        <v>0</v>
      </c>
      <c r="K397" s="33">
        <f t="shared" si="600"/>
        <v>0</v>
      </c>
      <c r="L397" s="33">
        <f t="shared" si="600"/>
        <v>0</v>
      </c>
      <c r="M397" s="33">
        <f t="shared" si="600"/>
        <v>0</v>
      </c>
      <c r="N397" s="33">
        <f t="shared" si="600"/>
        <v>0</v>
      </c>
      <c r="O397" s="33">
        <f t="shared" si="600"/>
        <v>0</v>
      </c>
      <c r="P397" s="33">
        <f t="shared" si="600"/>
        <v>0</v>
      </c>
      <c r="Q397" s="33">
        <f t="shared" ref="Q397" si="601">Q373</f>
        <v>0</v>
      </c>
      <c r="R397" s="114">
        <f t="shared" ref="R397" si="602">R373</f>
        <v>0</v>
      </c>
    </row>
    <row r="398" spans="1:18" s="92" customFormat="1" x14ac:dyDescent="0.2">
      <c r="A398" s="181">
        <f t="shared" ref="A398:C398" si="603">SUM(A394:A397)</f>
        <v>2678500</v>
      </c>
      <c r="B398" s="397">
        <f t="shared" si="603"/>
        <v>355900</v>
      </c>
      <c r="C398" s="397">
        <f t="shared" si="603"/>
        <v>193000</v>
      </c>
      <c r="D398" s="397">
        <f>SUM(D394:D397)</f>
        <v>40700</v>
      </c>
      <c r="E398" s="2541"/>
      <c r="F398" s="518" t="s">
        <v>1687</v>
      </c>
      <c r="G398" s="397">
        <f t="shared" ref="G398:P398" si="604">SUM(G394:G397)</f>
        <v>-74300</v>
      </c>
      <c r="H398" s="395">
        <f>IF(D398=G398,0,IF(D398=0,100,(G398-D398)/D398*100))</f>
        <v>-282.55528255528259</v>
      </c>
      <c r="I398" s="397">
        <f t="shared" si="604"/>
        <v>1150000</v>
      </c>
      <c r="J398" s="397">
        <f t="shared" si="604"/>
        <v>1079600</v>
      </c>
      <c r="K398" s="397">
        <f t="shared" si="604"/>
        <v>1159000</v>
      </c>
      <c r="L398" s="397">
        <f t="shared" si="604"/>
        <v>1119900</v>
      </c>
      <c r="M398" s="397">
        <f t="shared" si="604"/>
        <v>1146600</v>
      </c>
      <c r="N398" s="397">
        <f t="shared" si="604"/>
        <v>1263700</v>
      </c>
      <c r="O398" s="397">
        <f t="shared" si="604"/>
        <v>1289900</v>
      </c>
      <c r="P398" s="397">
        <f t="shared" si="604"/>
        <v>1303500</v>
      </c>
      <c r="Q398" s="397">
        <f t="shared" ref="Q398" si="605">SUM(Q394:Q397)</f>
        <v>1326800</v>
      </c>
      <c r="R398" s="399">
        <f t="shared" ref="R398" si="606">SUM(R394:R397)</f>
        <v>1349600</v>
      </c>
    </row>
    <row r="399" spans="1:18" ht="13.5" thickBot="1" x14ac:dyDescent="0.25">
      <c r="A399" s="171"/>
      <c r="B399" s="66"/>
      <c r="C399" s="66"/>
      <c r="D399" s="66"/>
      <c r="E399" s="558"/>
      <c r="F399" s="380"/>
      <c r="G399" s="330"/>
      <c r="H399" s="140"/>
      <c r="I399" s="121"/>
      <c r="J399" s="121"/>
      <c r="K399" s="121"/>
      <c r="L399" s="121"/>
      <c r="M399" s="121"/>
      <c r="N399" s="121"/>
      <c r="O399" s="121"/>
      <c r="P399" s="121"/>
      <c r="Q399" s="121"/>
      <c r="R399" s="161"/>
    </row>
    <row r="400" spans="1:18" ht="13.5" thickTop="1" x14ac:dyDescent="0.2">
      <c r="A400" s="383"/>
      <c r="B400" s="162"/>
      <c r="C400" s="162"/>
      <c r="D400" s="162"/>
      <c r="E400" s="286"/>
      <c r="F400" s="367"/>
      <c r="G400" s="176"/>
      <c r="H400" s="505"/>
      <c r="I400" s="127"/>
      <c r="J400" s="127"/>
      <c r="K400" s="127"/>
      <c r="L400" s="127"/>
      <c r="M400" s="127"/>
      <c r="N400" s="127"/>
      <c r="O400" s="127"/>
      <c r="P400" s="127"/>
      <c r="Q400" s="127"/>
      <c r="R400" s="163"/>
    </row>
    <row r="401" spans="1:18" x14ac:dyDescent="0.2">
      <c r="A401" s="70"/>
      <c r="B401" s="64"/>
      <c r="C401" s="64"/>
      <c r="D401" s="64"/>
      <c r="E401" s="283"/>
      <c r="F401" s="516" t="s">
        <v>196</v>
      </c>
      <c r="H401" s="179"/>
      <c r="I401" s="33"/>
      <c r="J401" s="33"/>
      <c r="K401" s="33"/>
      <c r="L401" s="33"/>
      <c r="M401" s="33"/>
      <c r="N401" s="33"/>
      <c r="O401" s="33"/>
      <c r="P401" s="33"/>
      <c r="Q401" s="33"/>
      <c r="R401" s="114"/>
    </row>
    <row r="402" spans="1:18" x14ac:dyDescent="0.2">
      <c r="A402" s="107">
        <f>ROUND(A1006+A1063,-3)</f>
        <v>40000</v>
      </c>
      <c r="B402" s="33">
        <f t="shared" ref="B402:C406" si="607">B1006+B1063</f>
        <v>0</v>
      </c>
      <c r="C402" s="142">
        <f t="shared" si="607"/>
        <v>0</v>
      </c>
      <c r="D402" s="142">
        <f>D1006+D1063</f>
        <v>0</v>
      </c>
      <c r="E402" s="238"/>
      <c r="F402" s="366" t="s">
        <v>2900</v>
      </c>
      <c r="G402" s="99">
        <f t="shared" ref="G402:P402" si="608">G1006+G1063</f>
        <v>0</v>
      </c>
      <c r="H402" s="138"/>
      <c r="I402" s="33">
        <f t="shared" si="608"/>
        <v>0</v>
      </c>
      <c r="J402" s="33">
        <f t="shared" si="608"/>
        <v>0</v>
      </c>
      <c r="K402" s="33">
        <f t="shared" si="608"/>
        <v>0</v>
      </c>
      <c r="L402" s="33">
        <f t="shared" si="608"/>
        <v>0</v>
      </c>
      <c r="M402" s="33">
        <f t="shared" si="608"/>
        <v>0</v>
      </c>
      <c r="N402" s="33">
        <f t="shared" si="608"/>
        <v>0</v>
      </c>
      <c r="O402" s="33">
        <f t="shared" si="608"/>
        <v>0</v>
      </c>
      <c r="P402" s="33">
        <f t="shared" si="608"/>
        <v>0</v>
      </c>
      <c r="Q402" s="33">
        <f t="shared" ref="Q402" si="609">Q1006+Q1063</f>
        <v>0</v>
      </c>
      <c r="R402" s="114">
        <f t="shared" ref="R402" si="610">R1006+R1063</f>
        <v>0</v>
      </c>
    </row>
    <row r="403" spans="1:18" x14ac:dyDescent="0.2">
      <c r="A403" s="107">
        <f>ROUND(A1007+A1064,-3)</f>
        <v>5834000</v>
      </c>
      <c r="B403" s="33">
        <f t="shared" si="607"/>
        <v>5175400</v>
      </c>
      <c r="C403" s="33">
        <f t="shared" si="607"/>
        <v>6528800</v>
      </c>
      <c r="D403" s="33">
        <f>D1007+D1064</f>
        <v>4563100</v>
      </c>
      <c r="E403" s="238"/>
      <c r="F403" s="366" t="s">
        <v>1942</v>
      </c>
      <c r="G403" s="99">
        <f t="shared" ref="G403:P403" si="611">G1007+G1064</f>
        <v>7955100</v>
      </c>
      <c r="H403" s="138"/>
      <c r="I403" s="33">
        <f t="shared" si="611"/>
        <v>6707200</v>
      </c>
      <c r="J403" s="33">
        <f t="shared" si="611"/>
        <v>6410500</v>
      </c>
      <c r="K403" s="33">
        <f t="shared" si="611"/>
        <v>6504700</v>
      </c>
      <c r="L403" s="33">
        <f t="shared" si="611"/>
        <v>5765600</v>
      </c>
      <c r="M403" s="33">
        <f t="shared" si="611"/>
        <v>4508100</v>
      </c>
      <c r="N403" s="33">
        <f t="shared" si="611"/>
        <v>3541200</v>
      </c>
      <c r="O403" s="33">
        <f t="shared" si="611"/>
        <v>3081700</v>
      </c>
      <c r="P403" s="33">
        <f t="shared" si="611"/>
        <v>3809800</v>
      </c>
      <c r="Q403" s="33">
        <f t="shared" ref="Q403" si="612">Q1007+Q1064</f>
        <v>3847500</v>
      </c>
      <c r="R403" s="114">
        <f t="shared" ref="R403" si="613">R1007+R1064</f>
        <v>3884800</v>
      </c>
    </row>
    <row r="404" spans="1:18" x14ac:dyDescent="0.2">
      <c r="A404" s="107">
        <f>ROUND(A1008+A1065,-3)</f>
        <v>6978000</v>
      </c>
      <c r="B404" s="33">
        <f t="shared" si="607"/>
        <v>4436400</v>
      </c>
      <c r="C404" s="33">
        <f t="shared" si="607"/>
        <v>6732200</v>
      </c>
      <c r="D404" s="33">
        <f>D1008+D1065</f>
        <v>3237000</v>
      </c>
      <c r="E404" s="238"/>
      <c r="F404" s="366" t="s">
        <v>2348</v>
      </c>
      <c r="G404" s="99">
        <f t="shared" ref="G404:P404" si="614">G1008+G1065</f>
        <v>7213000</v>
      </c>
      <c r="H404" s="138"/>
      <c r="I404" s="33">
        <f t="shared" si="614"/>
        <v>4462200</v>
      </c>
      <c r="J404" s="33">
        <f t="shared" si="614"/>
        <v>2957900</v>
      </c>
      <c r="K404" s="33">
        <f t="shared" si="614"/>
        <v>7593700</v>
      </c>
      <c r="L404" s="33">
        <f t="shared" si="614"/>
        <v>3259700</v>
      </c>
      <c r="M404" s="33">
        <f t="shared" si="614"/>
        <v>2426500</v>
      </c>
      <c r="N404" s="33">
        <f t="shared" si="614"/>
        <v>1743500</v>
      </c>
      <c r="O404" s="33">
        <f t="shared" si="614"/>
        <v>2258800</v>
      </c>
      <c r="P404" s="33">
        <f t="shared" si="614"/>
        <v>1974300</v>
      </c>
      <c r="Q404" s="33">
        <f t="shared" ref="Q404" si="615">Q1008+Q1065</f>
        <v>1989700</v>
      </c>
      <c r="R404" s="114">
        <f t="shared" ref="R404" si="616">R1008+R1065</f>
        <v>2005200</v>
      </c>
    </row>
    <row r="405" spans="1:18" x14ac:dyDescent="0.2">
      <c r="A405" s="107">
        <f>ROUND(A1009+A1066,-3)</f>
        <v>4459000</v>
      </c>
      <c r="B405" s="33">
        <f t="shared" si="607"/>
        <v>1615200</v>
      </c>
      <c r="C405" s="33">
        <f t="shared" si="607"/>
        <v>3340400</v>
      </c>
      <c r="D405" s="33">
        <f>D1009+D1066</f>
        <v>2286400</v>
      </c>
      <c r="E405" s="238"/>
      <c r="F405" s="366" t="s">
        <v>5984</v>
      </c>
      <c r="G405" s="99">
        <f t="shared" ref="G405:P405" si="617">G1009+G1066</f>
        <v>5432400</v>
      </c>
      <c r="H405" s="138"/>
      <c r="I405" s="33">
        <f t="shared" si="617"/>
        <v>4516000</v>
      </c>
      <c r="J405" s="33">
        <f t="shared" si="617"/>
        <v>4475000</v>
      </c>
      <c r="K405" s="33">
        <f t="shared" si="617"/>
        <v>4475000</v>
      </c>
      <c r="L405" s="33">
        <f t="shared" si="617"/>
        <v>2760000</v>
      </c>
      <c r="M405" s="33">
        <f t="shared" si="617"/>
        <v>1360000</v>
      </c>
      <c r="N405" s="33">
        <f t="shared" si="617"/>
        <v>960000</v>
      </c>
      <c r="O405" s="33">
        <f t="shared" si="617"/>
        <v>960000</v>
      </c>
      <c r="P405" s="33">
        <f t="shared" si="617"/>
        <v>960000</v>
      </c>
      <c r="Q405" s="33">
        <f t="shared" ref="Q405" si="618">Q1009+Q1066</f>
        <v>960000</v>
      </c>
      <c r="R405" s="114">
        <f t="shared" ref="R405" si="619">R1009+R1066</f>
        <v>960000</v>
      </c>
    </row>
    <row r="406" spans="1:18" x14ac:dyDescent="0.2">
      <c r="A406" s="107">
        <f>ROUND(A1010+A1067,-3)</f>
        <v>6363000</v>
      </c>
      <c r="B406" s="33">
        <f t="shared" si="607"/>
        <v>1179800</v>
      </c>
      <c r="C406" s="33">
        <f t="shared" si="607"/>
        <v>4191700</v>
      </c>
      <c r="D406" s="33">
        <f>D1010+D1067</f>
        <v>817000</v>
      </c>
      <c r="E406" s="238"/>
      <c r="F406" s="366" t="s">
        <v>972</v>
      </c>
      <c r="G406" s="99">
        <f t="shared" ref="G406:P406" si="620">G1010+G1067</f>
        <v>4416000</v>
      </c>
      <c r="H406" s="138"/>
      <c r="I406" s="33">
        <f t="shared" si="620"/>
        <v>3021000</v>
      </c>
      <c r="J406" s="33">
        <f t="shared" si="620"/>
        <v>1702000</v>
      </c>
      <c r="K406" s="33">
        <f t="shared" si="620"/>
        <v>6323000</v>
      </c>
      <c r="L406" s="33">
        <f t="shared" si="620"/>
        <v>974000</v>
      </c>
      <c r="M406" s="33">
        <f t="shared" si="620"/>
        <v>25000</v>
      </c>
      <c r="N406" s="33">
        <f t="shared" si="620"/>
        <v>26000</v>
      </c>
      <c r="O406" s="33">
        <f t="shared" si="620"/>
        <v>1027000</v>
      </c>
      <c r="P406" s="33">
        <f t="shared" si="620"/>
        <v>28000</v>
      </c>
      <c r="Q406" s="33">
        <f t="shared" ref="Q406" si="621">Q1010+Q1067</f>
        <v>29000</v>
      </c>
      <c r="R406" s="114">
        <f t="shared" ref="R406" si="622">R1010+R1067</f>
        <v>30000</v>
      </c>
    </row>
    <row r="407" spans="1:18" x14ac:dyDescent="0.2">
      <c r="A407" s="107"/>
      <c r="B407" s="33"/>
      <c r="C407" s="33"/>
      <c r="D407" s="33"/>
      <c r="E407" s="283"/>
      <c r="F407" s="516"/>
      <c r="H407" s="578"/>
      <c r="I407" s="33"/>
      <c r="J407" s="33"/>
      <c r="K407" s="33"/>
      <c r="L407" s="33"/>
      <c r="M407" s="33"/>
      <c r="N407" s="33"/>
      <c r="O407" s="33"/>
      <c r="P407" s="33"/>
      <c r="Q407" s="33"/>
      <c r="R407" s="114"/>
    </row>
    <row r="408" spans="1:18" s="74" customFormat="1" x14ac:dyDescent="0.2">
      <c r="A408" s="181">
        <f>A398-A402-A403+A404++A405-A406</f>
        <v>1878500</v>
      </c>
      <c r="B408" s="397">
        <f>B398-B402-B403+B404++B405-B406</f>
        <v>52300</v>
      </c>
      <c r="C408" s="397">
        <f>C398-C402-C403+C404++C405-C406</f>
        <v>-454900</v>
      </c>
      <c r="D408" s="397">
        <f>D398-D402-D403+D404++D405-D406</f>
        <v>184000</v>
      </c>
      <c r="E408" s="517"/>
      <c r="F408" s="518" t="s">
        <v>2490</v>
      </c>
      <c r="G408" s="704">
        <f t="shared" ref="G408:O408" si="623">G398-G402-G403+G404++G405-G406</f>
        <v>200000</v>
      </c>
      <c r="H408" s="395">
        <f>IF(D408=G408,0,IF(D408=0,100,(G408-D408)/D408*100))</f>
        <v>8.695652173913043</v>
      </c>
      <c r="I408" s="397">
        <f t="shared" si="623"/>
        <v>400000</v>
      </c>
      <c r="J408" s="397">
        <f t="shared" si="623"/>
        <v>400000</v>
      </c>
      <c r="K408" s="397">
        <f t="shared" si="623"/>
        <v>400000</v>
      </c>
      <c r="L408" s="397">
        <f t="shared" si="623"/>
        <v>400000</v>
      </c>
      <c r="M408" s="397">
        <f t="shared" si="623"/>
        <v>400000</v>
      </c>
      <c r="N408" s="397">
        <f t="shared" si="623"/>
        <v>400000</v>
      </c>
      <c r="O408" s="397">
        <f t="shared" si="623"/>
        <v>400000</v>
      </c>
      <c r="P408" s="397">
        <f t="shared" ref="P408:Q408" si="624">P398-P402-P403+P404++P405-P406</f>
        <v>400000</v>
      </c>
      <c r="Q408" s="397">
        <f t="shared" si="624"/>
        <v>400000</v>
      </c>
      <c r="R408" s="399">
        <f t="shared" ref="R408" si="625">R398-R402-R403+R404++R405-R406</f>
        <v>400000</v>
      </c>
    </row>
    <row r="409" spans="1:18" ht="13.5" thickBot="1" x14ac:dyDescent="0.25">
      <c r="A409" s="73"/>
      <c r="B409" s="90"/>
      <c r="C409" s="90"/>
      <c r="D409" s="90"/>
      <c r="E409" s="284"/>
      <c r="F409" s="368"/>
      <c r="G409" s="174"/>
      <c r="H409" s="392"/>
      <c r="I409" s="66"/>
      <c r="J409" s="66"/>
      <c r="K409" s="66"/>
      <c r="L409" s="66"/>
      <c r="M409" s="66"/>
      <c r="N409" s="66"/>
      <c r="O409" s="66"/>
      <c r="P409" s="66"/>
      <c r="Q409" s="66"/>
      <c r="R409" s="165"/>
    </row>
    <row r="410" spans="1:18" ht="12.75" customHeight="1" thickTop="1" x14ac:dyDescent="0.2">
      <c r="E410" s="520"/>
      <c r="G410" s="176"/>
    </row>
    <row r="411" spans="1:18" ht="13.5" thickBot="1" x14ac:dyDescent="0.25">
      <c r="A411" s="74"/>
      <c r="B411" s="74"/>
      <c r="C411" s="197"/>
      <c r="D411" s="197"/>
      <c r="E411" s="242"/>
      <c r="F411" s="137"/>
      <c r="G411" s="197"/>
      <c r="H411" s="2484"/>
      <c r="I411" s="99"/>
      <c r="J411" s="99"/>
      <c r="K411" s="99"/>
      <c r="L411" s="99"/>
      <c r="M411" s="99"/>
      <c r="N411" s="99"/>
      <c r="O411" s="99"/>
      <c r="P411" s="99"/>
      <c r="Q411" s="99"/>
      <c r="R411" s="99"/>
    </row>
    <row r="412" spans="1:18" s="91" customFormat="1" ht="18.75" customHeight="1" thickTop="1" thickBot="1" x14ac:dyDescent="0.3">
      <c r="A412" s="2865" t="s">
        <v>1712</v>
      </c>
      <c r="B412" s="2866"/>
      <c r="C412" s="2866"/>
      <c r="D412" s="2866"/>
      <c r="E412" s="2866"/>
      <c r="F412" s="2866"/>
      <c r="G412" s="2866"/>
      <c r="H412" s="2866"/>
      <c r="I412" s="2866"/>
      <c r="J412" s="2866"/>
      <c r="K412" s="2866"/>
      <c r="L412" s="2866"/>
      <c r="M412" s="2866"/>
      <c r="N412" s="2866"/>
      <c r="O412" s="2866"/>
      <c r="P412" s="2866"/>
      <c r="Q412" s="2866"/>
      <c r="R412" s="2867"/>
    </row>
    <row r="413" spans="1:18" s="44" customFormat="1" x14ac:dyDescent="0.2">
      <c r="A413" s="2888" t="s">
        <v>1856</v>
      </c>
      <c r="B413" s="2889"/>
      <c r="C413" s="2889"/>
      <c r="D413" s="2890"/>
      <c r="E413" s="513" t="s">
        <v>2663</v>
      </c>
      <c r="F413" s="2649" t="s">
        <v>2251</v>
      </c>
      <c r="G413" s="2885" t="s">
        <v>2253</v>
      </c>
      <c r="H413" s="2886"/>
      <c r="I413" s="2886"/>
      <c r="J413" s="2886"/>
      <c r="K413" s="2886"/>
      <c r="L413" s="2886"/>
      <c r="M413" s="2886"/>
      <c r="N413" s="2886"/>
      <c r="O413" s="2886"/>
      <c r="P413" s="2886"/>
      <c r="Q413" s="2886"/>
      <c r="R413" s="2887"/>
    </row>
    <row r="414" spans="1:18" s="23" customFormat="1" ht="12.75" customHeight="1" thickBot="1" x14ac:dyDescent="0.25">
      <c r="A414" s="208" t="str">
        <f>CIV!A3</f>
        <v>2012/13</v>
      </c>
      <c r="B414" s="218" t="str">
        <f>CIV!B3</f>
        <v>2013/14</v>
      </c>
      <c r="C414" s="370" t="str">
        <f>CIV!C3</f>
        <v>2014/15</v>
      </c>
      <c r="D414" s="93" t="str">
        <f>CIV!D3</f>
        <v>2015/16</v>
      </c>
      <c r="E414" s="370" t="s">
        <v>2664</v>
      </c>
      <c r="F414" s="34"/>
      <c r="G414" s="93" t="str">
        <f>CIV!G3</f>
        <v>2016/17</v>
      </c>
      <c r="H414" s="436" t="str">
        <f>H340</f>
        <v>%</v>
      </c>
      <c r="I414" s="370" t="str">
        <f>CIV!I3</f>
        <v>2017/18</v>
      </c>
      <c r="J414" s="370" t="str">
        <f>CIV!J3</f>
        <v>2018/19</v>
      </c>
      <c r="K414" s="370" t="str">
        <f>CIV!K3</f>
        <v>2019/20</v>
      </c>
      <c r="L414" s="370" t="str">
        <f>CIV!L3</f>
        <v>2020/21</v>
      </c>
      <c r="M414" s="370" t="str">
        <f>CIV!M3</f>
        <v>2021/22</v>
      </c>
      <c r="N414" s="370" t="str">
        <f>CIV!N3</f>
        <v>2022/23</v>
      </c>
      <c r="O414" s="370" t="str">
        <f>CIV!O3</f>
        <v>2023/24</v>
      </c>
      <c r="P414" s="370" t="str">
        <f>CIV!P3</f>
        <v>2024/25</v>
      </c>
      <c r="Q414" s="218" t="str">
        <f>CIV!Q3</f>
        <v>2025/26</v>
      </c>
      <c r="R414" s="549" t="str">
        <f>CIV!R3</f>
        <v>2026/27</v>
      </c>
    </row>
    <row r="415" spans="1:18" x14ac:dyDescent="0.2">
      <c r="A415" s="98"/>
      <c r="B415" s="33"/>
      <c r="C415" s="187"/>
      <c r="D415" s="187"/>
      <c r="E415" s="1954"/>
      <c r="F415" s="76"/>
      <c r="G415" s="187"/>
      <c r="H415" s="138"/>
      <c r="I415" s="33"/>
      <c r="J415" s="33"/>
      <c r="K415" s="33"/>
      <c r="L415" s="33"/>
      <c r="M415" s="33"/>
      <c r="N415" s="33"/>
      <c r="O415" s="33"/>
      <c r="P415" s="33"/>
      <c r="Q415" s="33"/>
      <c r="R415" s="114"/>
    </row>
    <row r="416" spans="1:18" x14ac:dyDescent="0.2">
      <c r="A416" s="98"/>
      <c r="B416" s="33"/>
      <c r="C416" s="187"/>
      <c r="D416" s="187"/>
      <c r="E416" s="1954"/>
      <c r="F416" s="103" t="s">
        <v>1073</v>
      </c>
      <c r="G416" s="187"/>
      <c r="H416" s="138"/>
      <c r="I416" s="33"/>
      <c r="J416" s="33"/>
      <c r="K416" s="33"/>
      <c r="L416" s="33"/>
      <c r="M416" s="33"/>
      <c r="N416" s="33"/>
      <c r="O416" s="33"/>
      <c r="P416" s="33"/>
      <c r="Q416" s="33"/>
      <c r="R416" s="114"/>
    </row>
    <row r="417" spans="1:18" ht="12" customHeight="1" x14ac:dyDescent="0.2">
      <c r="A417" s="98"/>
      <c r="B417" s="33"/>
      <c r="C417" s="189"/>
      <c r="D417" s="189"/>
      <c r="E417" s="1954"/>
      <c r="F417" s="33"/>
      <c r="G417" s="187"/>
      <c r="H417" s="138"/>
      <c r="I417" s="33"/>
      <c r="J417" s="33"/>
      <c r="K417" s="33"/>
      <c r="L417" s="33"/>
      <c r="M417" s="33"/>
      <c r="N417" s="33"/>
      <c r="O417" s="33"/>
      <c r="P417" s="33"/>
      <c r="Q417" s="33"/>
      <c r="R417" s="114"/>
    </row>
    <row r="418" spans="1:18" x14ac:dyDescent="0.2">
      <c r="A418" s="98"/>
      <c r="B418" s="33"/>
      <c r="C418" s="189"/>
      <c r="D418" s="189"/>
      <c r="E418" s="1954"/>
      <c r="F418" s="64" t="s">
        <v>2881</v>
      </c>
      <c r="G418" s="187"/>
      <c r="H418" s="138"/>
      <c r="I418" s="33"/>
      <c r="J418" s="33"/>
      <c r="K418" s="33"/>
      <c r="L418" s="33"/>
      <c r="M418" s="33"/>
      <c r="N418" s="33"/>
      <c r="O418" s="33"/>
      <c r="P418" s="33"/>
      <c r="Q418" s="33"/>
      <c r="R418" s="114"/>
    </row>
    <row r="419" spans="1:18" x14ac:dyDescent="0.2">
      <c r="A419" s="107">
        <f>ROUND(SUM(GM!A1078:A1079),-3)</f>
        <v>1996000</v>
      </c>
      <c r="B419" s="33">
        <f>SUM(GM!B1078:B1079)</f>
        <v>2113000</v>
      </c>
      <c r="C419" s="189">
        <f>SUM(GM!C1078:C1079)</f>
        <v>2177700</v>
      </c>
      <c r="D419" s="189">
        <f>SUM(GM!D1078:D1079)</f>
        <v>2231100</v>
      </c>
      <c r="E419" s="1954">
        <v>26100</v>
      </c>
      <c r="F419" s="33" t="s">
        <v>537</v>
      </c>
      <c r="G419" s="187">
        <f>SUM(GM!G1078:G1080)</f>
        <v>2395000</v>
      </c>
      <c r="H419" s="138">
        <f t="shared" ref="H419:H424" si="626">IF(D419=G419,0,IF(D419=0,100,(G419-D419)/D419*100))</f>
        <v>7.3461521222715254</v>
      </c>
      <c r="I419" s="33">
        <f>SUM(GM!I1078:I1080)</f>
        <v>2460000</v>
      </c>
      <c r="J419" s="33">
        <f>SUM(GM!J1078:J1080)</f>
        <v>2525200</v>
      </c>
      <c r="K419" s="33">
        <f>SUM(GM!K1078:K1080)</f>
        <v>2591400</v>
      </c>
      <c r="L419" s="33">
        <f>SUM(GM!L1078:L1080)</f>
        <v>2659800</v>
      </c>
      <c r="M419" s="33">
        <f>SUM(GM!M1078:M1080)</f>
        <v>2727200</v>
      </c>
      <c r="N419" s="33">
        <f>SUM(GM!N1078:N1080)</f>
        <v>2757800</v>
      </c>
      <c r="O419" s="33">
        <f>SUM(GM!O1078:O1080)</f>
        <v>2788400</v>
      </c>
      <c r="P419" s="33">
        <f>SUM(GM!P1078:P1080)</f>
        <v>2820200</v>
      </c>
      <c r="Q419" s="33">
        <f>SUM(GM!Q1078:Q1080)</f>
        <v>2854200</v>
      </c>
      <c r="R419" s="114">
        <f>SUM(GM!R1078:R1080)</f>
        <v>2854200</v>
      </c>
    </row>
    <row r="420" spans="1:18" x14ac:dyDescent="0.2">
      <c r="A420" s="107">
        <f>ROUND(SUM(GM!A1081),-3)</f>
        <v>848000</v>
      </c>
      <c r="B420" s="33">
        <f>SUM(GM!B1081)</f>
        <v>1078000</v>
      </c>
      <c r="C420" s="189">
        <f>SUM(GM!C1081)</f>
        <v>1067000</v>
      </c>
      <c r="D420" s="189">
        <f>SUM(GM!D1081)</f>
        <v>1265100</v>
      </c>
      <c r="E420" s="1954">
        <v>26100</v>
      </c>
      <c r="F420" s="33" t="s">
        <v>2432</v>
      </c>
      <c r="G420" s="187">
        <f>SUM(GM!G1081)</f>
        <v>1350000</v>
      </c>
      <c r="H420" s="138">
        <f t="shared" si="626"/>
        <v>6.7109319421389619</v>
      </c>
      <c r="I420" s="33">
        <f>SUM(GM!I1081)</f>
        <v>1390500</v>
      </c>
      <c r="J420" s="33">
        <f>SUM(GM!J1081)</f>
        <v>1432300</v>
      </c>
      <c r="K420" s="33">
        <f>SUM(GM!K1081)</f>
        <v>1475300</v>
      </c>
      <c r="L420" s="33">
        <f>SUM(GM!L1081)</f>
        <v>1519600</v>
      </c>
      <c r="M420" s="33">
        <f>SUM(GM!M1081)</f>
        <v>1565200</v>
      </c>
      <c r="N420" s="33">
        <f>SUM(GM!N1081)</f>
        <v>1612200</v>
      </c>
      <c r="O420" s="33">
        <f>SUM(GM!O1081)</f>
        <v>1660600</v>
      </c>
      <c r="P420" s="33">
        <f>SUM(GM!P1081)</f>
        <v>1710500</v>
      </c>
      <c r="Q420" s="33">
        <f>SUM(GM!Q1081)</f>
        <v>1761900</v>
      </c>
      <c r="R420" s="114">
        <f>SUM(GM!R1081)</f>
        <v>1814800</v>
      </c>
    </row>
    <row r="421" spans="1:18" x14ac:dyDescent="0.2">
      <c r="A421" s="107">
        <f>ROUND(SUM(GM!A1090:A1096),-3)+A1099</f>
        <v>491400</v>
      </c>
      <c r="B421" s="33">
        <f>SUM(GM!B1090:B1096)+B1099</f>
        <v>522200</v>
      </c>
      <c r="C421" s="189">
        <f>SUM(GM!C1090:C1096)+C1099</f>
        <v>623500</v>
      </c>
      <c r="D421" s="189">
        <f>SUM(GM!D1090:D1096)+D1099</f>
        <v>645900</v>
      </c>
      <c r="E421" s="1954">
        <v>26100</v>
      </c>
      <c r="F421" s="33" t="s">
        <v>2431</v>
      </c>
      <c r="G421" s="187">
        <f>SUM(GM!G1090:G1096)+G1099+G1101</f>
        <v>726000</v>
      </c>
      <c r="H421" s="138">
        <f t="shared" si="626"/>
        <v>12.401300510915002</v>
      </c>
      <c r="I421" s="187">
        <f>SUM(GM!I1090:I1096)+I1099+I1101</f>
        <v>798100</v>
      </c>
      <c r="J421" s="187">
        <f>SUM(GM!J1090:J1096)+J1099+J1101</f>
        <v>871100</v>
      </c>
      <c r="K421" s="187">
        <f>SUM(GM!K1090:K1096)+K1099+K1101</f>
        <v>897700</v>
      </c>
      <c r="L421" s="187">
        <f>SUM(GM!L1090:L1096)+L1099+L1101</f>
        <v>925000</v>
      </c>
      <c r="M421" s="187">
        <f>SUM(GM!M1090:M1096)+M1099+M1101</f>
        <v>953200</v>
      </c>
      <c r="N421" s="187">
        <f>SUM(GM!N1090:N1096)+N1099+N1101</f>
        <v>982200</v>
      </c>
      <c r="O421" s="187">
        <f>SUM(GM!O1090:O1096)+O1099+O1101</f>
        <v>1012100</v>
      </c>
      <c r="P421" s="187">
        <f>SUM(GM!P1090:P1096)+P1099+P1101</f>
        <v>1042800</v>
      </c>
      <c r="Q421" s="187">
        <f>SUM(GM!Q1090:Q1096)+Q1099+Q1101</f>
        <v>1074200</v>
      </c>
      <c r="R421" s="114">
        <f>SUM(GM!R1090:R1096)+R1099+R1101</f>
        <v>1107000</v>
      </c>
    </row>
    <row r="422" spans="1:18" x14ac:dyDescent="0.2">
      <c r="A422" s="107">
        <f>ROUND(SUM(A1097:A1097),-3)</f>
        <v>363000</v>
      </c>
      <c r="B422" s="33">
        <f>B1097</f>
        <v>414900</v>
      </c>
      <c r="C422" s="189">
        <f>C1097</f>
        <v>467200</v>
      </c>
      <c r="D422" s="189">
        <f>D1097</f>
        <v>568000</v>
      </c>
      <c r="E422" s="1954">
        <v>26100</v>
      </c>
      <c r="F422" s="33" t="s">
        <v>1318</v>
      </c>
      <c r="G422" s="187">
        <f t="shared" ref="G422:P422" si="627">G1097</f>
        <v>640000</v>
      </c>
      <c r="H422" s="138">
        <f t="shared" si="626"/>
        <v>12.676056338028168</v>
      </c>
      <c r="I422" s="187">
        <f t="shared" si="627"/>
        <v>659200</v>
      </c>
      <c r="J422" s="187">
        <f t="shared" si="627"/>
        <v>679000</v>
      </c>
      <c r="K422" s="187">
        <f t="shared" si="627"/>
        <v>699400</v>
      </c>
      <c r="L422" s="187">
        <f t="shared" si="627"/>
        <v>720400</v>
      </c>
      <c r="M422" s="187">
        <f t="shared" si="627"/>
        <v>742100</v>
      </c>
      <c r="N422" s="187">
        <f t="shared" si="627"/>
        <v>764400</v>
      </c>
      <c r="O422" s="187">
        <f t="shared" si="627"/>
        <v>787400</v>
      </c>
      <c r="P422" s="33">
        <f t="shared" si="627"/>
        <v>811100</v>
      </c>
      <c r="Q422" s="33">
        <f t="shared" ref="Q422" si="628">Q1097</f>
        <v>835500</v>
      </c>
      <c r="R422" s="114">
        <f t="shared" ref="R422" si="629">R1097</f>
        <v>860600</v>
      </c>
    </row>
    <row r="423" spans="1:18" x14ac:dyDescent="0.2">
      <c r="A423" s="107">
        <f>ROUND(SUM(GM!A1098),-3)-1000</f>
        <v>56000</v>
      </c>
      <c r="B423" s="33">
        <f>GM!B1098</f>
        <v>65400</v>
      </c>
      <c r="C423" s="189">
        <f>GM!C1098</f>
        <v>66700</v>
      </c>
      <c r="D423" s="189">
        <f>GM!D1098</f>
        <v>72400</v>
      </c>
      <c r="E423" s="1954">
        <v>26100</v>
      </c>
      <c r="F423" s="33" t="s">
        <v>535</v>
      </c>
      <c r="G423" s="187">
        <f>GM!G1098</f>
        <v>72000</v>
      </c>
      <c r="H423" s="138">
        <f t="shared" si="626"/>
        <v>-0.55248618784530379</v>
      </c>
      <c r="I423" s="33">
        <f>GM!I1098</f>
        <v>74200</v>
      </c>
      <c r="J423" s="33">
        <f>GM!J1098</f>
        <v>106500</v>
      </c>
      <c r="K423" s="33">
        <f>GM!K1098</f>
        <v>109700</v>
      </c>
      <c r="L423" s="33">
        <f>GM!L1098</f>
        <v>113000</v>
      </c>
      <c r="M423" s="33">
        <f>GM!M1098</f>
        <v>116400</v>
      </c>
      <c r="N423" s="33">
        <f>GM!N1098</f>
        <v>119900</v>
      </c>
      <c r="O423" s="33">
        <f>GM!O1098</f>
        <v>123500</v>
      </c>
      <c r="P423" s="33">
        <f>GM!P1098</f>
        <v>127300</v>
      </c>
      <c r="Q423" s="33">
        <f>GM!Q1098</f>
        <v>131200</v>
      </c>
      <c r="R423" s="114">
        <f>GM!R1098</f>
        <v>135200</v>
      </c>
    </row>
    <row r="424" spans="1:18" x14ac:dyDescent="0.2">
      <c r="A424" s="107">
        <f>ROUND(A1088,-3)</f>
        <v>89000</v>
      </c>
      <c r="B424" s="33">
        <f>B1088</f>
        <v>72000</v>
      </c>
      <c r="C424" s="189">
        <f>C1088</f>
        <v>0</v>
      </c>
      <c r="D424" s="189">
        <f>D1088</f>
        <v>0</v>
      </c>
      <c r="E424" s="1954">
        <v>26100</v>
      </c>
      <c r="F424" s="33" t="s">
        <v>2671</v>
      </c>
      <c r="G424" s="187">
        <f t="shared" ref="G424:P424" si="630">G1088</f>
        <v>0</v>
      </c>
      <c r="H424" s="138">
        <f t="shared" si="626"/>
        <v>0</v>
      </c>
      <c r="I424" s="33">
        <f t="shared" si="630"/>
        <v>3000</v>
      </c>
      <c r="J424" s="33">
        <f t="shared" si="630"/>
        <v>0</v>
      </c>
      <c r="K424" s="33">
        <f t="shared" si="630"/>
        <v>0</v>
      </c>
      <c r="L424" s="33">
        <f t="shared" si="630"/>
        <v>0</v>
      </c>
      <c r="M424" s="33">
        <f t="shared" si="630"/>
        <v>0</v>
      </c>
      <c r="N424" s="33">
        <f t="shared" si="630"/>
        <v>0</v>
      </c>
      <c r="O424" s="33">
        <f t="shared" si="630"/>
        <v>0</v>
      </c>
      <c r="P424" s="33">
        <f t="shared" si="630"/>
        <v>0</v>
      </c>
      <c r="Q424" s="33">
        <f t="shared" ref="Q424" si="631">Q1088</f>
        <v>0</v>
      </c>
      <c r="R424" s="114">
        <f t="shared" ref="R424" si="632">R1088</f>
        <v>0</v>
      </c>
    </row>
    <row r="425" spans="1:18" x14ac:dyDescent="0.2">
      <c r="A425" s="107"/>
      <c r="B425" s="33"/>
      <c r="C425" s="189"/>
      <c r="D425" s="189"/>
      <c r="E425" s="1954"/>
      <c r="F425" s="33"/>
      <c r="G425" s="187"/>
      <c r="H425" s="138"/>
      <c r="I425" s="33"/>
      <c r="J425" s="33"/>
      <c r="K425" s="33"/>
      <c r="L425" s="33"/>
      <c r="M425" s="33"/>
      <c r="N425" s="33"/>
      <c r="O425" s="33"/>
      <c r="P425" s="33"/>
      <c r="Q425" s="33"/>
      <c r="R425" s="114"/>
    </row>
    <row r="426" spans="1:18" x14ac:dyDescent="0.2">
      <c r="A426" s="107"/>
      <c r="B426" s="33"/>
      <c r="C426" s="189"/>
      <c r="D426" s="189"/>
      <c r="E426" s="1954"/>
      <c r="F426" s="116" t="s">
        <v>1263</v>
      </c>
      <c r="G426" s="187"/>
      <c r="H426" s="138"/>
      <c r="I426" s="33"/>
      <c r="J426" s="33"/>
      <c r="K426" s="33"/>
      <c r="L426" s="33"/>
      <c r="M426" s="33"/>
      <c r="N426" s="33"/>
      <c r="O426" s="33"/>
      <c r="P426" s="33"/>
      <c r="Q426" s="33"/>
      <c r="R426" s="114"/>
    </row>
    <row r="427" spans="1:18" x14ac:dyDescent="0.2">
      <c r="A427" s="107">
        <f t="shared" ref="A427:B427" si="633">A1083</f>
        <v>0</v>
      </c>
      <c r="B427" s="33">
        <f t="shared" si="633"/>
        <v>63500</v>
      </c>
      <c r="C427" s="189">
        <f>C1083</f>
        <v>46200</v>
      </c>
      <c r="D427" s="189">
        <f>D1083</f>
        <v>83800</v>
      </c>
      <c r="E427" s="1954">
        <v>26100</v>
      </c>
      <c r="F427" s="132" t="s">
        <v>687</v>
      </c>
      <c r="G427" s="187">
        <f>G1083+G1084+G1085</f>
        <v>200000</v>
      </c>
      <c r="H427" s="187">
        <f t="shared" ref="H427:Q427" si="634">H1083+H1084+H1085</f>
        <v>183.53221957040574</v>
      </c>
      <c r="I427" s="187">
        <f t="shared" si="634"/>
        <v>502100</v>
      </c>
      <c r="J427" s="187">
        <f t="shared" si="634"/>
        <v>544300</v>
      </c>
      <c r="K427" s="187">
        <f t="shared" si="634"/>
        <v>557600</v>
      </c>
      <c r="L427" s="187">
        <f t="shared" si="634"/>
        <v>569900</v>
      </c>
      <c r="M427" s="187">
        <f t="shared" si="634"/>
        <v>583300</v>
      </c>
      <c r="N427" s="187">
        <f t="shared" si="634"/>
        <v>597800</v>
      </c>
      <c r="O427" s="187">
        <f t="shared" si="634"/>
        <v>612400</v>
      </c>
      <c r="P427" s="187">
        <f t="shared" si="634"/>
        <v>627000</v>
      </c>
      <c r="Q427" s="187">
        <f t="shared" si="634"/>
        <v>645900</v>
      </c>
      <c r="R427" s="188">
        <f t="shared" ref="R427" si="635">R1083+R1084+R1085</f>
        <v>665500</v>
      </c>
    </row>
    <row r="428" spans="1:18" x14ac:dyDescent="0.2">
      <c r="A428" s="107">
        <f>A1086</f>
        <v>138600</v>
      </c>
      <c r="B428" s="33">
        <f>B1086</f>
        <v>259700</v>
      </c>
      <c r="C428" s="189">
        <f>C1086</f>
        <v>240100</v>
      </c>
      <c r="D428" s="189">
        <f>D1086</f>
        <v>214100</v>
      </c>
      <c r="E428" s="1954">
        <v>26100</v>
      </c>
      <c r="F428" s="132" t="s">
        <v>4533</v>
      </c>
      <c r="G428" s="187">
        <f t="shared" ref="G428:O428" si="636">G1086</f>
        <v>184400</v>
      </c>
      <c r="H428" s="138">
        <f>IF(D428=G428,0,IF(D428=0,100,(G428-D428)/D428*100))</f>
        <v>-13.872022419430172</v>
      </c>
      <c r="I428" s="33">
        <f t="shared" si="636"/>
        <v>157300</v>
      </c>
      <c r="J428" s="33">
        <f t="shared" si="636"/>
        <v>129100</v>
      </c>
      <c r="K428" s="33">
        <f t="shared" si="636"/>
        <v>99700</v>
      </c>
      <c r="L428" s="33">
        <f t="shared" si="636"/>
        <v>69100</v>
      </c>
      <c r="M428" s="33">
        <f t="shared" si="636"/>
        <v>37300</v>
      </c>
      <c r="N428" s="33">
        <f t="shared" si="636"/>
        <v>6300</v>
      </c>
      <c r="O428" s="33">
        <f t="shared" si="636"/>
        <v>0</v>
      </c>
      <c r="P428" s="33">
        <f t="shared" ref="P428:Q428" si="637">P1086</f>
        <v>0</v>
      </c>
      <c r="Q428" s="33">
        <f t="shared" si="637"/>
        <v>0</v>
      </c>
      <c r="R428" s="114">
        <f t="shared" ref="R428" si="638">R1086</f>
        <v>0</v>
      </c>
    </row>
    <row r="429" spans="1:18" x14ac:dyDescent="0.2">
      <c r="A429" s="107"/>
      <c r="B429" s="33"/>
      <c r="C429" s="189"/>
      <c r="D429" s="189"/>
      <c r="E429" s="1954"/>
      <c r="F429" s="132"/>
      <c r="G429" s="187"/>
      <c r="H429" s="138"/>
      <c r="I429" s="33"/>
      <c r="J429" s="33"/>
      <c r="K429" s="33"/>
      <c r="L429" s="33"/>
      <c r="M429" s="33"/>
      <c r="N429" s="33"/>
      <c r="O429" s="33"/>
      <c r="P429" s="33"/>
      <c r="Q429" s="33"/>
      <c r="R429" s="114"/>
    </row>
    <row r="430" spans="1:18" x14ac:dyDescent="0.2">
      <c r="A430" s="107"/>
      <c r="B430" s="33"/>
      <c r="C430" s="189"/>
      <c r="D430" s="189"/>
      <c r="E430" s="1954"/>
      <c r="F430" s="116" t="s">
        <v>428</v>
      </c>
      <c r="G430" s="187"/>
      <c r="H430" s="138"/>
      <c r="I430" s="33"/>
      <c r="J430" s="33"/>
      <c r="K430" s="33"/>
      <c r="L430" s="33"/>
      <c r="M430" s="33"/>
      <c r="N430" s="33"/>
      <c r="O430" s="33"/>
      <c r="P430" s="33"/>
      <c r="Q430" s="33"/>
      <c r="R430" s="114"/>
    </row>
    <row r="431" spans="1:18" x14ac:dyDescent="0.2">
      <c r="A431" s="107">
        <f t="shared" ref="A431:B431" si="639">A1100</f>
        <v>23300</v>
      </c>
      <c r="B431" s="33">
        <f t="shared" si="639"/>
        <v>29100</v>
      </c>
      <c r="C431" s="189">
        <f>C1100</f>
        <v>21300</v>
      </c>
      <c r="D431" s="189">
        <f>D1100</f>
        <v>31500</v>
      </c>
      <c r="E431" s="1954">
        <v>26100</v>
      </c>
      <c r="F431" s="132" t="s">
        <v>2167</v>
      </c>
      <c r="G431" s="187">
        <f t="shared" ref="G431:O431" si="640">G1100</f>
        <v>25000</v>
      </c>
      <c r="H431" s="138">
        <f>IF(D431=G431,0,IF(D431=0,100,(G431-D431)/D431*100))</f>
        <v>-20.634920634920633</v>
      </c>
      <c r="I431" s="33">
        <f t="shared" si="640"/>
        <v>25800</v>
      </c>
      <c r="J431" s="33">
        <f t="shared" si="640"/>
        <v>26600</v>
      </c>
      <c r="K431" s="33">
        <f t="shared" si="640"/>
        <v>27400</v>
      </c>
      <c r="L431" s="33">
        <f t="shared" si="640"/>
        <v>28300</v>
      </c>
      <c r="M431" s="33">
        <f t="shared" si="640"/>
        <v>29200</v>
      </c>
      <c r="N431" s="33">
        <f t="shared" si="640"/>
        <v>30100</v>
      </c>
      <c r="O431" s="33">
        <f t="shared" si="640"/>
        <v>31100</v>
      </c>
      <c r="P431" s="33">
        <f t="shared" ref="P431:Q431" si="641">P1100</f>
        <v>32100</v>
      </c>
      <c r="Q431" s="33">
        <f t="shared" si="641"/>
        <v>33100</v>
      </c>
      <c r="R431" s="114">
        <f t="shared" ref="R431" si="642">R1100</f>
        <v>34100</v>
      </c>
    </row>
    <row r="432" spans="1:18" x14ac:dyDescent="0.2">
      <c r="A432" s="107"/>
      <c r="B432" s="33"/>
      <c r="C432" s="189"/>
      <c r="D432" s="189"/>
      <c r="E432" s="1954"/>
      <c r="F432" s="132"/>
      <c r="G432" s="187"/>
      <c r="H432" s="138"/>
      <c r="I432" s="33"/>
      <c r="J432" s="33"/>
      <c r="K432" s="33"/>
      <c r="L432" s="33"/>
      <c r="M432" s="33"/>
      <c r="N432" s="33"/>
      <c r="O432" s="33"/>
      <c r="P432" s="33"/>
      <c r="Q432" s="33"/>
      <c r="R432" s="114"/>
    </row>
    <row r="433" spans="1:18" ht="13.5" thickBot="1" x14ac:dyDescent="0.25">
      <c r="A433" s="107"/>
      <c r="B433" s="33"/>
      <c r="C433" s="138"/>
      <c r="D433" s="189"/>
      <c r="E433" s="1954"/>
      <c r="F433" s="132"/>
      <c r="G433" s="187"/>
      <c r="H433" s="138"/>
      <c r="I433" s="33"/>
      <c r="J433" s="33"/>
      <c r="K433" s="33"/>
      <c r="L433" s="33"/>
      <c r="M433" s="33"/>
      <c r="N433" s="33"/>
      <c r="O433" s="33"/>
      <c r="P433" s="33"/>
      <c r="Q433" s="33"/>
      <c r="R433" s="114"/>
    </row>
    <row r="434" spans="1:18" s="92" customFormat="1" x14ac:dyDescent="0.2">
      <c r="A434" s="105">
        <f>SUM(A416:A431)</f>
        <v>4005300</v>
      </c>
      <c r="B434" s="53">
        <f>SUM(B416:B431)</f>
        <v>4617800</v>
      </c>
      <c r="C434" s="199">
        <f>SUM(C416:C431)</f>
        <v>4709700</v>
      </c>
      <c r="D434" s="190">
        <f>SUM(D416:D431)</f>
        <v>5111900</v>
      </c>
      <c r="E434" s="236"/>
      <c r="F434" s="378" t="s">
        <v>2605</v>
      </c>
      <c r="G434" s="199">
        <f t="shared" ref="G434:O434" si="643">SUM(G416:G431)</f>
        <v>5592400</v>
      </c>
      <c r="H434" s="180">
        <f>IF(D434=G434,0,IF(D434=0,100,(G434-D434)/D434*100))</f>
        <v>9.399636143117041</v>
      </c>
      <c r="I434" s="53">
        <f t="shared" si="643"/>
        <v>6070200</v>
      </c>
      <c r="J434" s="53">
        <f t="shared" si="643"/>
        <v>6314100</v>
      </c>
      <c r="K434" s="53">
        <f t="shared" si="643"/>
        <v>6458200</v>
      </c>
      <c r="L434" s="53">
        <f t="shared" si="643"/>
        <v>6605100</v>
      </c>
      <c r="M434" s="53">
        <f t="shared" si="643"/>
        <v>6753900</v>
      </c>
      <c r="N434" s="53">
        <f t="shared" si="643"/>
        <v>6870700</v>
      </c>
      <c r="O434" s="53">
        <f t="shared" si="643"/>
        <v>7015500</v>
      </c>
      <c r="P434" s="53">
        <f t="shared" ref="P434:Q434" si="644">SUM(P416:P431)</f>
        <v>7171000</v>
      </c>
      <c r="Q434" s="53">
        <f t="shared" si="644"/>
        <v>7336000</v>
      </c>
      <c r="R434" s="113">
        <f t="shared" ref="R434" si="645">SUM(R416:R431)</f>
        <v>7471400</v>
      </c>
    </row>
    <row r="435" spans="1:18" x14ac:dyDescent="0.2">
      <c r="A435" s="98"/>
      <c r="B435" s="33"/>
      <c r="C435" s="187"/>
      <c r="D435" s="189"/>
      <c r="E435" s="1954"/>
      <c r="F435" s="64"/>
      <c r="G435" s="187"/>
      <c r="H435" s="138"/>
      <c r="I435" s="33"/>
      <c r="J435" s="33"/>
      <c r="K435" s="33"/>
      <c r="L435" s="33"/>
      <c r="M435" s="33"/>
      <c r="N435" s="33"/>
      <c r="O435" s="33"/>
      <c r="P435" s="33"/>
      <c r="Q435" s="33"/>
      <c r="R435" s="114"/>
    </row>
    <row r="436" spans="1:18" x14ac:dyDescent="0.2">
      <c r="A436" s="98"/>
      <c r="B436" s="33"/>
      <c r="C436" s="187"/>
      <c r="D436" s="189"/>
      <c r="E436" s="1954"/>
      <c r="F436" s="365" t="s">
        <v>2205</v>
      </c>
      <c r="G436" s="187"/>
      <c r="H436" s="138"/>
      <c r="I436" s="33"/>
      <c r="J436" s="33"/>
      <c r="K436" s="33"/>
      <c r="L436" s="33"/>
      <c r="M436" s="33"/>
      <c r="N436" s="33"/>
      <c r="O436" s="33"/>
      <c r="P436" s="33"/>
      <c r="Q436" s="33"/>
      <c r="R436" s="114"/>
    </row>
    <row r="437" spans="1:18" ht="13.5" customHeight="1" x14ac:dyDescent="0.2">
      <c r="A437" s="98"/>
      <c r="B437" s="33"/>
      <c r="C437" s="189"/>
      <c r="D437" s="189"/>
      <c r="E437" s="1954"/>
      <c r="F437" s="366"/>
      <c r="G437" s="187"/>
      <c r="H437" s="138"/>
      <c r="I437" s="33"/>
      <c r="J437" s="33"/>
      <c r="K437" s="33"/>
      <c r="L437" s="33"/>
      <c r="M437" s="33"/>
      <c r="N437" s="33"/>
      <c r="O437" s="33"/>
      <c r="P437" s="33"/>
      <c r="Q437" s="33"/>
      <c r="R437" s="114"/>
    </row>
    <row r="438" spans="1:18" ht="13.5" customHeight="1" x14ac:dyDescent="0.2">
      <c r="A438" s="98"/>
      <c r="B438" s="33"/>
      <c r="C438" s="189"/>
      <c r="D438" s="189"/>
      <c r="E438" s="1954"/>
      <c r="F438" s="371" t="s">
        <v>1418</v>
      </c>
      <c r="G438" s="187"/>
      <c r="H438" s="138"/>
      <c r="I438" s="33"/>
      <c r="J438" s="33"/>
      <c r="K438" s="33"/>
      <c r="L438" s="33"/>
      <c r="M438" s="33"/>
      <c r="N438" s="33"/>
      <c r="O438" s="33"/>
      <c r="P438" s="33"/>
      <c r="Q438" s="33"/>
      <c r="R438" s="114"/>
    </row>
    <row r="439" spans="1:18" ht="13.5" customHeight="1" x14ac:dyDescent="0.2">
      <c r="A439" s="107">
        <f>ROUND(SUM(GM!A1106:A1110),-3)</f>
        <v>519000</v>
      </c>
      <c r="B439" s="33">
        <f>SUM(GM!B1106:B1110)</f>
        <v>500300</v>
      </c>
      <c r="C439" s="189">
        <f>SUM(GM!C1106:C1110)</f>
        <v>519600</v>
      </c>
      <c r="D439" s="189">
        <f>SUM(GM!D1106:D1110)</f>
        <v>514500</v>
      </c>
      <c r="E439" s="1954">
        <v>35120</v>
      </c>
      <c r="F439" s="366" t="s">
        <v>1249</v>
      </c>
      <c r="G439" s="187">
        <f>SUM(GM!G1106:G1110)</f>
        <v>554000</v>
      </c>
      <c r="H439" s="138">
        <f>IF(D439=G439,0,IF(D439=0,100,(G439-D439)/D439*100))</f>
        <v>7.6773566569484935</v>
      </c>
      <c r="I439" s="33">
        <f>SUM(GM!I1106:I1110)</f>
        <v>604500</v>
      </c>
      <c r="J439" s="33">
        <f>SUM(GM!J1106:J1110)</f>
        <v>677300</v>
      </c>
      <c r="K439" s="33">
        <f>SUM(GM!K1106:K1110)</f>
        <v>700200</v>
      </c>
      <c r="L439" s="33">
        <f>SUM(GM!L1106:L1110)</f>
        <v>723800</v>
      </c>
      <c r="M439" s="33">
        <f>SUM(GM!M1106:M1110)</f>
        <v>738400</v>
      </c>
      <c r="N439" s="33">
        <f>SUM(GM!N1106:N1110)</f>
        <v>759700</v>
      </c>
      <c r="O439" s="33">
        <f>SUM(GM!O1106:O1110)</f>
        <v>681600</v>
      </c>
      <c r="P439" s="33">
        <f>SUM(GM!P1106:P1110)</f>
        <v>804200</v>
      </c>
      <c r="Q439" s="33">
        <f>SUM(GM!Q1106:Q1110)</f>
        <v>827600</v>
      </c>
      <c r="R439" s="114">
        <f>SUM(GM!R1106:R1110)</f>
        <v>829500</v>
      </c>
    </row>
    <row r="440" spans="1:18" ht="13.5" customHeight="1" x14ac:dyDescent="0.2">
      <c r="A440" s="107">
        <f>ROUND(SUM(GM!A1111:A1114),-3)</f>
        <v>307000</v>
      </c>
      <c r="B440" s="33">
        <f>SUM(GM!B1111:B1114)</f>
        <v>269300</v>
      </c>
      <c r="C440" s="189">
        <f>SUM(GM!C1111:C1114)</f>
        <v>247700</v>
      </c>
      <c r="D440" s="189">
        <f>SUM(GM!D1111:D1114)</f>
        <v>270500</v>
      </c>
      <c r="E440" s="1954">
        <v>35120</v>
      </c>
      <c r="F440" s="891" t="s">
        <v>7010</v>
      </c>
      <c r="G440" s="187">
        <f>SUM(GM!G1111:G1114)</f>
        <v>231000</v>
      </c>
      <c r="H440" s="138">
        <f>IF(D440=G440,0,IF(D440=0,100,(G440-D440)/D440*100))</f>
        <v>-14.602587800369685</v>
      </c>
      <c r="I440" s="33">
        <f>SUM(GM!I1111:I1114)</f>
        <v>286700</v>
      </c>
      <c r="J440" s="33">
        <f>SUM(GM!J1111:J1114)</f>
        <v>334600</v>
      </c>
      <c r="K440" s="33">
        <f>SUM(GM!K1111:K1114)</f>
        <v>343700</v>
      </c>
      <c r="L440" s="33">
        <f>SUM(GM!L1111:L1114)</f>
        <v>353300</v>
      </c>
      <c r="M440" s="33">
        <f>SUM(GM!M1111:M1114)</f>
        <v>362000</v>
      </c>
      <c r="N440" s="33">
        <f>SUM(GM!N1111:N1114)</f>
        <v>371000</v>
      </c>
      <c r="O440" s="33">
        <f>SUM(GM!O1111:O1114)</f>
        <v>380200</v>
      </c>
      <c r="P440" s="33">
        <f>SUM(GM!P1111:P1114)</f>
        <v>387700</v>
      </c>
      <c r="Q440" s="33">
        <f>SUM(GM!Q1111:Q1114)</f>
        <v>395500</v>
      </c>
      <c r="R440" s="114">
        <f>SUM(GM!R1111:R1114)</f>
        <v>403500</v>
      </c>
    </row>
    <row r="441" spans="1:18" ht="13.5" customHeight="1" x14ac:dyDescent="0.2">
      <c r="A441" s="107">
        <f>ROUND(A1134,-3)</f>
        <v>758000</v>
      </c>
      <c r="B441" s="33">
        <f>B1134</f>
        <v>901700</v>
      </c>
      <c r="C441" s="189">
        <f>C1134</f>
        <v>955600</v>
      </c>
      <c r="D441" s="189">
        <f>D1134</f>
        <v>999200</v>
      </c>
      <c r="E441" s="1954">
        <v>35125</v>
      </c>
      <c r="F441" s="366" t="s">
        <v>2189</v>
      </c>
      <c r="G441" s="187">
        <f t="shared" ref="G441:O441" si="646">G1134</f>
        <v>1102000</v>
      </c>
      <c r="H441" s="138">
        <f>IF(D441=G441,0,IF(D441=0,100,(G441-D441)/D441*100))</f>
        <v>10.288230584467573</v>
      </c>
      <c r="I441" s="33">
        <f t="shared" si="646"/>
        <v>1238000</v>
      </c>
      <c r="J441" s="33">
        <f t="shared" si="646"/>
        <v>1275000</v>
      </c>
      <c r="K441" s="33">
        <f t="shared" si="646"/>
        <v>1313000</v>
      </c>
      <c r="L441" s="33">
        <f t="shared" si="646"/>
        <v>1352000</v>
      </c>
      <c r="M441" s="33">
        <f t="shared" si="646"/>
        <v>1393000</v>
      </c>
      <c r="N441" s="33">
        <f t="shared" si="646"/>
        <v>1435000</v>
      </c>
      <c r="O441" s="33">
        <f t="shared" si="646"/>
        <v>1478000</v>
      </c>
      <c r="P441" s="33">
        <f t="shared" ref="P441:Q441" si="647">P1134</f>
        <v>1522000</v>
      </c>
      <c r="Q441" s="33">
        <f t="shared" si="647"/>
        <v>1568000</v>
      </c>
      <c r="R441" s="114">
        <f t="shared" ref="R441" si="648">R1134</f>
        <v>1615000</v>
      </c>
    </row>
    <row r="442" spans="1:18" ht="13.5" customHeight="1" x14ac:dyDescent="0.2">
      <c r="A442" s="107">
        <f>ROUND(SUM(A1125:A1160)-A441,-3)+1000</f>
        <v>937000</v>
      </c>
      <c r="B442" s="33">
        <f>SUM(B1125:B1160)-B441</f>
        <v>1049000</v>
      </c>
      <c r="C442" s="189">
        <f>SUM(C1125:C1160)-C441</f>
        <v>1065000</v>
      </c>
      <c r="D442" s="189">
        <f>SUM(D1125:D1160)-D441</f>
        <v>1100800</v>
      </c>
      <c r="E442" s="1954">
        <v>35125</v>
      </c>
      <c r="F442" s="366" t="s">
        <v>668</v>
      </c>
      <c r="G442" s="187">
        <f>SUM(G1125:G1161)-G441</f>
        <v>1273100</v>
      </c>
      <c r="H442" s="138">
        <f>IF(D442=G442,0,IF(D442=0,100,(G442-D442)/D442*100))</f>
        <v>15.652252906976743</v>
      </c>
      <c r="I442" s="33">
        <f t="shared" ref="I442:R442" si="649">SUM(I1125:I1161)-I441</f>
        <v>1456800</v>
      </c>
      <c r="J442" s="33">
        <f t="shared" si="649"/>
        <v>1547300</v>
      </c>
      <c r="K442" s="33">
        <f t="shared" si="649"/>
        <v>1587200</v>
      </c>
      <c r="L442" s="33">
        <f t="shared" si="649"/>
        <v>1626800</v>
      </c>
      <c r="M442" s="33">
        <f t="shared" si="649"/>
        <v>1659200</v>
      </c>
      <c r="N442" s="33">
        <f t="shared" si="649"/>
        <v>1692400</v>
      </c>
      <c r="O442" s="33">
        <f t="shared" si="649"/>
        <v>1726200</v>
      </c>
      <c r="P442" s="33">
        <f t="shared" si="649"/>
        <v>1760700</v>
      </c>
      <c r="Q442" s="33">
        <f t="shared" si="649"/>
        <v>1795900</v>
      </c>
      <c r="R442" s="114">
        <f t="shared" si="649"/>
        <v>1831600</v>
      </c>
    </row>
    <row r="443" spans="1:18" ht="13.5" customHeight="1" x14ac:dyDescent="0.2">
      <c r="A443" s="107"/>
      <c r="B443" s="33"/>
      <c r="C443" s="189"/>
      <c r="D443" s="189"/>
      <c r="E443" s="1954"/>
      <c r="F443" s="366"/>
      <c r="G443" s="187"/>
      <c r="H443" s="138"/>
      <c r="I443" s="33"/>
      <c r="J443" s="33"/>
      <c r="K443" s="33"/>
      <c r="L443" s="33"/>
      <c r="M443" s="33"/>
      <c r="N443" s="33"/>
      <c r="O443" s="33"/>
      <c r="P443" s="33"/>
      <c r="Q443" s="33"/>
      <c r="R443" s="114"/>
    </row>
    <row r="444" spans="1:18" ht="13.5" customHeight="1" x14ac:dyDescent="0.2">
      <c r="A444" s="107"/>
      <c r="B444" s="33"/>
      <c r="C444" s="189"/>
      <c r="D444" s="189"/>
      <c r="E444" s="1954"/>
      <c r="F444" s="371" t="s">
        <v>2278</v>
      </c>
      <c r="G444" s="187"/>
      <c r="H444" s="138"/>
      <c r="I444" s="33"/>
      <c r="J444" s="33"/>
      <c r="K444" s="33"/>
      <c r="L444" s="33"/>
      <c r="M444" s="33"/>
      <c r="N444" s="33"/>
      <c r="O444" s="33"/>
      <c r="P444" s="33"/>
      <c r="Q444" s="33"/>
      <c r="R444" s="114"/>
    </row>
    <row r="445" spans="1:18" ht="13.5" customHeight="1" x14ac:dyDescent="0.2">
      <c r="A445" s="107">
        <f>ROUND(SUM(GM!A1163:A1164),-3)</f>
        <v>280000</v>
      </c>
      <c r="B445" s="33">
        <f>SUM(GM!B1163:B1164)</f>
        <v>294000</v>
      </c>
      <c r="C445" s="189">
        <f>SUM(GM!C1163:C1164)</f>
        <v>302000</v>
      </c>
      <c r="D445" s="189">
        <f>SUM(GM!D1163:D1164)</f>
        <v>325000</v>
      </c>
      <c r="E445" s="1954">
        <v>35120</v>
      </c>
      <c r="F445" s="366" t="s">
        <v>407</v>
      </c>
      <c r="G445" s="187">
        <f>SUM(GM!G1163:G1164)</f>
        <v>378000</v>
      </c>
      <c r="H445" s="138">
        <f>IF(D445=G445,0,IF(D445=0,100,(G445-D445)/D445*100))</f>
        <v>16.307692307692307</v>
      </c>
      <c r="I445" s="33">
        <f>SUM(GM!I1163:I1164)</f>
        <v>391000</v>
      </c>
      <c r="J445" s="33">
        <f>SUM(GM!J1163:J1164)</f>
        <v>400800</v>
      </c>
      <c r="K445" s="33">
        <f>SUM(GM!K1163:K1164)</f>
        <v>410800</v>
      </c>
      <c r="L445" s="33">
        <f>SUM(GM!L1163:L1164)</f>
        <v>421100</v>
      </c>
      <c r="M445" s="33">
        <f>SUM(GM!M1163:M1164)</f>
        <v>429500</v>
      </c>
      <c r="N445" s="33">
        <f>SUM(GM!N1163:N1164)</f>
        <v>438100</v>
      </c>
      <c r="O445" s="33">
        <f>SUM(GM!O1163:O1164)</f>
        <v>446900</v>
      </c>
      <c r="P445" s="33">
        <f>SUM(GM!P1163:P1164)</f>
        <v>455800</v>
      </c>
      <c r="Q445" s="33">
        <f>SUM(GM!Q1163:Q1164)</f>
        <v>464900</v>
      </c>
      <c r="R445" s="114">
        <f>SUM(GM!R1163:R1164)</f>
        <v>474200</v>
      </c>
    </row>
    <row r="446" spans="1:18" ht="13.5" customHeight="1" x14ac:dyDescent="0.2">
      <c r="A446" s="107"/>
      <c r="B446" s="33"/>
      <c r="C446" s="189"/>
      <c r="D446" s="189"/>
      <c r="E446" s="1954"/>
      <c r="F446" s="366"/>
      <c r="G446" s="187"/>
      <c r="H446" s="138"/>
      <c r="I446" s="33"/>
      <c r="J446" s="33"/>
      <c r="K446" s="33"/>
      <c r="L446" s="33"/>
      <c r="M446" s="33"/>
      <c r="N446" s="33"/>
      <c r="O446" s="33"/>
      <c r="P446" s="33"/>
      <c r="Q446" s="33"/>
      <c r="R446" s="114"/>
    </row>
    <row r="447" spans="1:18" ht="13.5" customHeight="1" x14ac:dyDescent="0.2">
      <c r="A447" s="107"/>
      <c r="B447" s="33"/>
      <c r="C447" s="189"/>
      <c r="D447" s="189"/>
      <c r="E447" s="1954"/>
      <c r="F447" s="371" t="s">
        <v>1130</v>
      </c>
      <c r="G447" s="187"/>
      <c r="H447" s="138"/>
      <c r="I447" s="33"/>
      <c r="J447" s="33"/>
      <c r="K447" s="33"/>
      <c r="L447" s="33"/>
      <c r="M447" s="33"/>
      <c r="N447" s="33"/>
      <c r="O447" s="33"/>
      <c r="P447" s="33"/>
      <c r="Q447" s="33"/>
      <c r="R447" s="114"/>
    </row>
    <row r="448" spans="1:18" ht="13.5" customHeight="1" x14ac:dyDescent="0.2">
      <c r="A448" s="107">
        <f>ROUND(SUM(GM!A1165:A1165),-3)</f>
        <v>424000</v>
      </c>
      <c r="B448" s="33">
        <f>SUM(GM!B1165:B1165)</f>
        <v>554100</v>
      </c>
      <c r="C448" s="189">
        <f>SUM(GM!C1165:C1165)</f>
        <v>502300</v>
      </c>
      <c r="D448" s="189">
        <f>SUM(GM!D1165:D1165)</f>
        <v>473000</v>
      </c>
      <c r="E448" s="1954">
        <v>35150</v>
      </c>
      <c r="F448" s="366" t="s">
        <v>1366</v>
      </c>
      <c r="G448" s="187">
        <f>SUM(GM!G1165:G1165)</f>
        <v>424800</v>
      </c>
      <c r="H448" s="138">
        <f>IF(D448=G448,0,IF(D448=0,100,(G448-D448)/D448*100))</f>
        <v>-10.190274841437633</v>
      </c>
      <c r="I448" s="33">
        <f>SUM(GM!I1165:I1165)</f>
        <v>403100</v>
      </c>
      <c r="J448" s="33">
        <f>SUM(GM!J1165:J1165)</f>
        <v>342500</v>
      </c>
      <c r="K448" s="33">
        <f>SUM(GM!K1165:K1165)</f>
        <v>278400</v>
      </c>
      <c r="L448" s="33">
        <f>SUM(GM!L1165:L1165)</f>
        <v>209500</v>
      </c>
      <c r="M448" s="33">
        <f>SUM(GM!M1165:M1165)</f>
        <v>138700</v>
      </c>
      <c r="N448" s="33">
        <f>SUM(GM!N1165:N1165)</f>
        <v>68800</v>
      </c>
      <c r="O448" s="33">
        <f>SUM(GM!O1165:O1165)</f>
        <v>36300</v>
      </c>
      <c r="P448" s="33">
        <f>SUM(GM!P1165:P1165)</f>
        <v>24100</v>
      </c>
      <c r="Q448" s="33">
        <f>SUM(GM!Q1165:Q1165)</f>
        <v>19800</v>
      </c>
      <c r="R448" s="114">
        <f>SUM(GM!R1165:R1165)</f>
        <v>16000</v>
      </c>
    </row>
    <row r="449" spans="1:18" x14ac:dyDescent="0.2">
      <c r="A449" s="107"/>
      <c r="B449" s="33"/>
      <c r="C449" s="189"/>
      <c r="D449" s="189"/>
      <c r="E449" s="1954"/>
      <c r="F449" s="366"/>
      <c r="G449" s="187"/>
      <c r="H449" s="138"/>
      <c r="I449" s="33"/>
      <c r="J449" s="33"/>
      <c r="K449" s="33"/>
      <c r="L449" s="33"/>
      <c r="M449" s="33"/>
      <c r="N449" s="33"/>
      <c r="O449" s="33"/>
      <c r="P449" s="33"/>
      <c r="Q449" s="33"/>
      <c r="R449" s="114"/>
    </row>
    <row r="450" spans="1:18" x14ac:dyDescent="0.2">
      <c r="A450" s="107"/>
      <c r="B450" s="33"/>
      <c r="C450" s="189"/>
      <c r="D450" s="189"/>
      <c r="E450" s="1954"/>
      <c r="F450" s="371" t="str">
        <f>CIV!F101</f>
        <v>Non-Cash Expenses</v>
      </c>
      <c r="G450" s="187"/>
      <c r="H450" s="138"/>
      <c r="I450" s="33"/>
      <c r="J450" s="33"/>
      <c r="K450" s="33"/>
      <c r="L450" s="33"/>
      <c r="M450" s="33"/>
      <c r="N450" s="33"/>
      <c r="O450" s="33"/>
      <c r="P450" s="33"/>
      <c r="Q450" s="33"/>
      <c r="R450" s="114"/>
    </row>
    <row r="451" spans="1:18" x14ac:dyDescent="0.2">
      <c r="A451" s="107">
        <f>ROUND(SUM(GM!A1167:A1168),-2)</f>
        <v>831200</v>
      </c>
      <c r="B451" s="33">
        <f>SUM(GM!B1167:B1168)</f>
        <v>760600</v>
      </c>
      <c r="C451" s="189">
        <f>SUM(GM!C1167:C1168)</f>
        <v>770700</v>
      </c>
      <c r="D451" s="189">
        <f>SUM(GM!D1167:D1168)</f>
        <v>830400</v>
      </c>
      <c r="E451" s="1954">
        <v>35150</v>
      </c>
      <c r="F451" s="33" t="s">
        <v>1945</v>
      </c>
      <c r="G451" s="187">
        <f>SUM(GM!G1167:G1168)</f>
        <v>915000</v>
      </c>
      <c r="H451" s="138">
        <f>IF(D451=G451,0,IF(D451=0,100,(G451-D451)/D451*100))</f>
        <v>10.187861271676301</v>
      </c>
      <c r="I451" s="33">
        <f>SUM(GM!I1167:I1168)</f>
        <v>999000</v>
      </c>
      <c r="J451" s="33">
        <f>SUM(GM!J1167:J1168)</f>
        <v>1030000</v>
      </c>
      <c r="K451" s="33">
        <f>SUM(GM!K1167:K1168)</f>
        <v>1062000</v>
      </c>
      <c r="L451" s="33">
        <f>SUM(GM!L1167:L1168)</f>
        <v>1083200</v>
      </c>
      <c r="M451" s="33">
        <f>SUM(GM!M1167:M1168)</f>
        <v>1104900</v>
      </c>
      <c r="N451" s="33">
        <f>SUM(GM!N1167:N1168)</f>
        <v>1127000</v>
      </c>
      <c r="O451" s="33">
        <f>SUM(GM!O1167:O1168)</f>
        <v>1149500</v>
      </c>
      <c r="P451" s="33">
        <f>SUM(GM!P1167:P1168)</f>
        <v>1172500</v>
      </c>
      <c r="Q451" s="33">
        <f>SUM(GM!Q1167:Q1168)</f>
        <v>1196000</v>
      </c>
      <c r="R451" s="114">
        <f>SUM(GM!R1167:R1168)</f>
        <v>1219900</v>
      </c>
    </row>
    <row r="452" spans="1:18" x14ac:dyDescent="0.2">
      <c r="A452" s="107">
        <f>ROUND(SUM(GM!A1169:A1170),-3)</f>
        <v>0</v>
      </c>
      <c r="B452" s="33">
        <f>SUM(GM!B1169:B1170)</f>
        <v>2075400</v>
      </c>
      <c r="C452" s="189">
        <f>SUM(GM!C1169:C1170)</f>
        <v>0</v>
      </c>
      <c r="D452" s="189">
        <f>SUM(GM!D1169:D1170)</f>
        <v>0</v>
      </c>
      <c r="E452" s="1954">
        <v>35120</v>
      </c>
      <c r="F452" s="132" t="s">
        <v>4520</v>
      </c>
      <c r="G452" s="187">
        <f>SUM(GM!G1169:G1170)</f>
        <v>0</v>
      </c>
      <c r="H452" s="138">
        <f>IF(D452=G452,0,IF(D452=0,100,(G452-D452)/D452*100))</f>
        <v>0</v>
      </c>
      <c r="I452" s="33">
        <f>SUM(GM!I1169:I1170)</f>
        <v>0</v>
      </c>
      <c r="J452" s="33">
        <f>SUM(GM!J1169:J1170)</f>
        <v>0</v>
      </c>
      <c r="K452" s="33">
        <f>SUM(GM!K1169:K1170)</f>
        <v>0</v>
      </c>
      <c r="L452" s="33">
        <f>SUM(GM!L1169:L1170)</f>
        <v>0</v>
      </c>
      <c r="M452" s="33">
        <f>SUM(GM!M1169:M1170)</f>
        <v>0</v>
      </c>
      <c r="N452" s="33">
        <f>SUM(GM!N1169:N1170)</f>
        <v>0</v>
      </c>
      <c r="O452" s="33">
        <f>SUM(GM!O1169:O1170)</f>
        <v>0</v>
      </c>
      <c r="P452" s="33">
        <f>SUM(GM!P1169:P1170)</f>
        <v>0</v>
      </c>
      <c r="Q452" s="33">
        <f>SUM(GM!Q1169:Q1170)</f>
        <v>0</v>
      </c>
      <c r="R452" s="114">
        <f>SUM(GM!R1169:R1170)</f>
        <v>0</v>
      </c>
    </row>
    <row r="453" spans="1:18" ht="13.5" thickBot="1" x14ac:dyDescent="0.25">
      <c r="A453" s="107"/>
      <c r="B453" s="33"/>
      <c r="C453" s="189"/>
      <c r="D453" s="187"/>
      <c r="E453" s="1954"/>
      <c r="F453" s="33"/>
      <c r="G453" s="187"/>
      <c r="H453" s="138"/>
      <c r="I453" s="33"/>
      <c r="J453" s="33"/>
      <c r="K453" s="33"/>
      <c r="L453" s="33"/>
      <c r="M453" s="33"/>
      <c r="N453" s="33"/>
      <c r="O453" s="33"/>
      <c r="P453" s="33"/>
      <c r="Q453" s="33"/>
      <c r="R453" s="114"/>
    </row>
    <row r="454" spans="1:18" s="92" customFormat="1" x14ac:dyDescent="0.2">
      <c r="A454" s="105">
        <f t="shared" ref="A454" si="650">SUBTOTAL(9,A437:A452)</f>
        <v>4056200</v>
      </c>
      <c r="B454" s="53">
        <f>SUBTOTAL(9,B437:B452)</f>
        <v>6404400</v>
      </c>
      <c r="C454" s="190">
        <f>SUBTOTAL(9,C437:C452)</f>
        <v>4362900</v>
      </c>
      <c r="D454" s="190">
        <f>SUBTOTAL(9,D437:D452)</f>
        <v>4513400</v>
      </c>
      <c r="E454" s="237"/>
      <c r="F454" s="378" t="s">
        <v>565</v>
      </c>
      <c r="G454" s="199">
        <f t="shared" ref="G454:O454" si="651">SUBTOTAL(9,G437:G452)</f>
        <v>4877900</v>
      </c>
      <c r="H454" s="180">
        <f>IF(D454=G454,0,IF(D454=0,100,(G454-D454)/D454*100))</f>
        <v>8.0759516107590734</v>
      </c>
      <c r="I454" s="53">
        <f t="shared" si="651"/>
        <v>5379100</v>
      </c>
      <c r="J454" s="53">
        <f t="shared" si="651"/>
        <v>5607500</v>
      </c>
      <c r="K454" s="53">
        <f t="shared" si="651"/>
        <v>5695300</v>
      </c>
      <c r="L454" s="53">
        <f t="shared" si="651"/>
        <v>5769700</v>
      </c>
      <c r="M454" s="53">
        <f t="shared" si="651"/>
        <v>5825700</v>
      </c>
      <c r="N454" s="53">
        <f t="shared" si="651"/>
        <v>5892000</v>
      </c>
      <c r="O454" s="53">
        <f t="shared" si="651"/>
        <v>5898700</v>
      </c>
      <c r="P454" s="53">
        <f t="shared" ref="P454:Q454" si="652">SUBTOTAL(9,P437:P452)</f>
        <v>6127000</v>
      </c>
      <c r="Q454" s="53">
        <f t="shared" si="652"/>
        <v>6267700</v>
      </c>
      <c r="R454" s="113">
        <f t="shared" ref="R454" si="653">SUBTOTAL(9,R437:R452)</f>
        <v>6389700</v>
      </c>
    </row>
    <row r="455" spans="1:18" x14ac:dyDescent="0.2">
      <c r="A455" s="107"/>
      <c r="B455" s="33"/>
      <c r="C455" s="189"/>
      <c r="D455" s="189"/>
      <c r="E455" s="1955"/>
      <c r="F455" s="366"/>
      <c r="G455" s="187"/>
      <c r="H455" s="138"/>
      <c r="I455" s="33"/>
      <c r="J455" s="33"/>
      <c r="K455" s="33"/>
      <c r="L455" s="33"/>
      <c r="M455" s="33"/>
      <c r="N455" s="33"/>
      <c r="O455" s="33"/>
      <c r="P455" s="33"/>
      <c r="Q455" s="33"/>
      <c r="R455" s="114"/>
    </row>
    <row r="456" spans="1:18" s="92" customFormat="1" x14ac:dyDescent="0.2">
      <c r="A456" s="70">
        <f>A434-A454</f>
        <v>-50900</v>
      </c>
      <c r="B456" s="64">
        <f>B434-B454</f>
        <v>-1786600</v>
      </c>
      <c r="C456" s="193">
        <f>C434-C454</f>
        <v>346800</v>
      </c>
      <c r="D456" s="193">
        <f>D434-D454</f>
        <v>598500</v>
      </c>
      <c r="E456" s="237"/>
      <c r="F456" s="516" t="s">
        <v>1019</v>
      </c>
      <c r="G456" s="192">
        <f t="shared" ref="G456:O456" si="654">G434-G454</f>
        <v>714500</v>
      </c>
      <c r="H456" s="179">
        <f>IF(D456=G456,0,IF(D456=0,100,(G456-D456)/D456*100))</f>
        <v>19.381787802840435</v>
      </c>
      <c r="I456" s="64">
        <f t="shared" si="654"/>
        <v>691100</v>
      </c>
      <c r="J456" s="64">
        <f t="shared" si="654"/>
        <v>706600</v>
      </c>
      <c r="K456" s="64">
        <f t="shared" si="654"/>
        <v>762900</v>
      </c>
      <c r="L456" s="64">
        <f t="shared" si="654"/>
        <v>835400</v>
      </c>
      <c r="M456" s="64">
        <f t="shared" si="654"/>
        <v>928200</v>
      </c>
      <c r="N456" s="64">
        <f t="shared" si="654"/>
        <v>978700</v>
      </c>
      <c r="O456" s="64">
        <f t="shared" si="654"/>
        <v>1116800</v>
      </c>
      <c r="P456" s="64">
        <f t="shared" ref="P456:Q456" si="655">P434-P454</f>
        <v>1044000</v>
      </c>
      <c r="Q456" s="64">
        <f t="shared" si="655"/>
        <v>1068300</v>
      </c>
      <c r="R456" s="115">
        <f t="shared" ref="R456" si="656">R434-R454</f>
        <v>1081700</v>
      </c>
    </row>
    <row r="457" spans="1:18" x14ac:dyDescent="0.2">
      <c r="A457" s="107">
        <f t="shared" ref="A457:B457" si="657">A451</f>
        <v>831200</v>
      </c>
      <c r="B457" s="33">
        <f t="shared" si="657"/>
        <v>760600</v>
      </c>
      <c r="C457" s="189">
        <f>C451</f>
        <v>770700</v>
      </c>
      <c r="D457" s="189">
        <f>D451</f>
        <v>830400</v>
      </c>
      <c r="E457" s="1955"/>
      <c r="F457" s="372" t="s">
        <v>1976</v>
      </c>
      <c r="G457" s="187">
        <f t="shared" ref="G457:O457" si="658">G451</f>
        <v>915000</v>
      </c>
      <c r="H457" s="138">
        <f>IF(D457=G457,0,IF(D457=0,100,(G457-D457)/D457*100))</f>
        <v>10.187861271676301</v>
      </c>
      <c r="I457" s="33">
        <f t="shared" si="658"/>
        <v>999000</v>
      </c>
      <c r="J457" s="33">
        <f t="shared" si="658"/>
        <v>1030000</v>
      </c>
      <c r="K457" s="33">
        <f t="shared" si="658"/>
        <v>1062000</v>
      </c>
      <c r="L457" s="33">
        <f t="shared" si="658"/>
        <v>1083200</v>
      </c>
      <c r="M457" s="33">
        <f t="shared" si="658"/>
        <v>1104900</v>
      </c>
      <c r="N457" s="33">
        <f t="shared" si="658"/>
        <v>1127000</v>
      </c>
      <c r="O457" s="33">
        <f t="shared" si="658"/>
        <v>1149500</v>
      </c>
      <c r="P457" s="33">
        <f t="shared" ref="P457:Q457" si="659">P451</f>
        <v>1172500</v>
      </c>
      <c r="Q457" s="33">
        <f t="shared" si="659"/>
        <v>1196000</v>
      </c>
      <c r="R457" s="114">
        <f t="shared" ref="R457" si="660">R451</f>
        <v>1219900</v>
      </c>
    </row>
    <row r="458" spans="1:18" x14ac:dyDescent="0.2">
      <c r="A458" s="107">
        <f t="shared" ref="A458:B458" si="661">A452</f>
        <v>0</v>
      </c>
      <c r="B458" s="33">
        <f t="shared" si="661"/>
        <v>2075400</v>
      </c>
      <c r="C458" s="189">
        <f>C452</f>
        <v>0</v>
      </c>
      <c r="D458" s="189">
        <f>D452</f>
        <v>0</v>
      </c>
      <c r="E458" s="1955"/>
      <c r="F458" s="372" t="s">
        <v>4700</v>
      </c>
      <c r="G458" s="187">
        <f t="shared" ref="G458:O458" si="662">G452</f>
        <v>0</v>
      </c>
      <c r="H458" s="138">
        <f>IF(D458=G458,0,IF(D458=0,100,(G458-D458)/D458*100))</f>
        <v>0</v>
      </c>
      <c r="I458" s="33">
        <f t="shared" si="662"/>
        <v>0</v>
      </c>
      <c r="J458" s="33">
        <f t="shared" si="662"/>
        <v>0</v>
      </c>
      <c r="K458" s="33">
        <f t="shared" si="662"/>
        <v>0</v>
      </c>
      <c r="L458" s="33">
        <f t="shared" si="662"/>
        <v>0</v>
      </c>
      <c r="M458" s="33">
        <f t="shared" si="662"/>
        <v>0</v>
      </c>
      <c r="N458" s="33">
        <f t="shared" si="662"/>
        <v>0</v>
      </c>
      <c r="O458" s="33">
        <f t="shared" si="662"/>
        <v>0</v>
      </c>
      <c r="P458" s="33">
        <f t="shared" ref="P458:Q458" si="663">P452</f>
        <v>0</v>
      </c>
      <c r="Q458" s="33">
        <f t="shared" si="663"/>
        <v>0</v>
      </c>
      <c r="R458" s="114">
        <f t="shared" ref="R458" si="664">R452</f>
        <v>0</v>
      </c>
    </row>
    <row r="459" spans="1:18" s="92" customFormat="1" x14ac:dyDescent="0.2">
      <c r="A459" s="181">
        <f t="shared" ref="A459:B459" si="665">A457+A456+A458</f>
        <v>780300</v>
      </c>
      <c r="B459" s="397">
        <f t="shared" si="665"/>
        <v>1049400</v>
      </c>
      <c r="C459" s="398">
        <f>C457+C456+C458</f>
        <v>1117500</v>
      </c>
      <c r="D459" s="398">
        <f>D457+D456+D458</f>
        <v>1428900</v>
      </c>
      <c r="E459" s="523"/>
      <c r="F459" s="518" t="s">
        <v>1687</v>
      </c>
      <c r="G459" s="728">
        <f t="shared" ref="G459:O459" si="666">G457+G456+G458</f>
        <v>1629500</v>
      </c>
      <c r="H459" s="395">
        <f>IF(D459=G459,0,IF(D459=0,100,(G459-D459)/D459*100))</f>
        <v>14.038771082650992</v>
      </c>
      <c r="I459" s="397">
        <f t="shared" si="666"/>
        <v>1690100</v>
      </c>
      <c r="J459" s="397">
        <f t="shared" si="666"/>
        <v>1736600</v>
      </c>
      <c r="K459" s="397">
        <f t="shared" si="666"/>
        <v>1824900</v>
      </c>
      <c r="L459" s="397">
        <f t="shared" si="666"/>
        <v>1918600</v>
      </c>
      <c r="M459" s="397">
        <f t="shared" si="666"/>
        <v>2033100</v>
      </c>
      <c r="N459" s="397">
        <f t="shared" si="666"/>
        <v>2105700</v>
      </c>
      <c r="O459" s="397">
        <f t="shared" si="666"/>
        <v>2266300</v>
      </c>
      <c r="P459" s="397">
        <f t="shared" ref="P459:Q459" si="667">P457+P456+P458</f>
        <v>2216500</v>
      </c>
      <c r="Q459" s="397">
        <f t="shared" si="667"/>
        <v>2264300</v>
      </c>
      <c r="R459" s="399">
        <f t="shared" ref="R459" si="668">R457+R456+R458</f>
        <v>2301600</v>
      </c>
    </row>
    <row r="460" spans="1:18" ht="13.5" thickBot="1" x14ac:dyDescent="0.25">
      <c r="A460" s="614"/>
      <c r="B460" s="90"/>
      <c r="C460" s="200"/>
      <c r="D460" s="200"/>
      <c r="E460" s="1975"/>
      <c r="F460" s="119"/>
      <c r="G460" s="200"/>
      <c r="H460" s="392"/>
      <c r="I460" s="121"/>
      <c r="J460" s="121"/>
      <c r="K460" s="121"/>
      <c r="L460" s="121"/>
      <c r="M460" s="121"/>
      <c r="N460" s="121"/>
      <c r="O460" s="121"/>
      <c r="P460" s="121"/>
      <c r="Q460" s="121"/>
      <c r="R460" s="161"/>
    </row>
    <row r="461" spans="1:18" ht="13.5" thickTop="1" x14ac:dyDescent="0.2">
      <c r="A461" s="383"/>
      <c r="B461" s="162"/>
      <c r="C461" s="194"/>
      <c r="D461" s="194"/>
      <c r="E461" s="541"/>
      <c r="F461" s="367"/>
      <c r="G461" s="730"/>
      <c r="H461" s="393"/>
      <c r="I461" s="127"/>
      <c r="J461" s="127"/>
      <c r="K461" s="127"/>
      <c r="L461" s="127"/>
      <c r="M461" s="127"/>
      <c r="N461" s="127"/>
      <c r="O461" s="127"/>
      <c r="P461" s="127"/>
      <c r="Q461" s="127"/>
      <c r="R461" s="163"/>
    </row>
    <row r="462" spans="1:18" x14ac:dyDescent="0.2">
      <c r="A462" s="70"/>
      <c r="B462" s="64"/>
      <c r="C462" s="193"/>
      <c r="D462" s="193"/>
      <c r="E462" s="238"/>
      <c r="F462" s="516" t="s">
        <v>196</v>
      </c>
      <c r="G462" s="192"/>
      <c r="H462" s="1990"/>
      <c r="I462" s="33"/>
      <c r="J462" s="33"/>
      <c r="K462" s="33"/>
      <c r="L462" s="33"/>
      <c r="M462" s="33"/>
      <c r="N462" s="33"/>
      <c r="O462" s="33"/>
      <c r="P462" s="33"/>
      <c r="Q462" s="33"/>
      <c r="R462" s="114"/>
    </row>
    <row r="463" spans="1:18" x14ac:dyDescent="0.2">
      <c r="A463" s="70"/>
      <c r="B463" s="64"/>
      <c r="C463" s="193"/>
      <c r="D463" s="193"/>
      <c r="E463" s="238"/>
      <c r="F463" s="371"/>
      <c r="G463" s="192"/>
      <c r="H463" s="1990"/>
      <c r="I463" s="33"/>
      <c r="J463" s="33"/>
      <c r="K463" s="33"/>
      <c r="L463" s="33"/>
      <c r="M463" s="33"/>
      <c r="N463" s="33"/>
      <c r="O463" s="33"/>
      <c r="P463" s="33"/>
      <c r="Q463" s="33"/>
      <c r="R463" s="114"/>
    </row>
    <row r="464" spans="1:18" x14ac:dyDescent="0.2">
      <c r="A464" s="107">
        <f>ROUND(GM!A1181,-3)</f>
        <v>532000</v>
      </c>
      <c r="B464" s="33">
        <f>GM!B1181</f>
        <v>838700</v>
      </c>
      <c r="C464" s="189">
        <f>GM!C1181</f>
        <v>845500</v>
      </c>
      <c r="D464" s="189">
        <f>GM!D1181</f>
        <v>970600</v>
      </c>
      <c r="E464" s="238"/>
      <c r="F464" s="366" t="s">
        <v>2900</v>
      </c>
      <c r="G464" s="187">
        <f>GM!G1181</f>
        <v>1073300</v>
      </c>
      <c r="H464" s="1959"/>
      <c r="I464" s="33">
        <f>GM!I1181</f>
        <v>1175000</v>
      </c>
      <c r="J464" s="33">
        <f>GM!J1181</f>
        <v>1235600</v>
      </c>
      <c r="K464" s="33">
        <f>GM!K1181</f>
        <v>1299700</v>
      </c>
      <c r="L464" s="33">
        <f>GM!L1181</f>
        <v>1368700</v>
      </c>
      <c r="M464" s="33">
        <f>GM!M1181</f>
        <v>1374300</v>
      </c>
      <c r="N464" s="33">
        <f>GM!N1181</f>
        <v>969500</v>
      </c>
      <c r="O464" s="33">
        <f>GM!O1181</f>
        <v>318400</v>
      </c>
      <c r="P464" s="33">
        <f>GM!P1181</f>
        <v>115200</v>
      </c>
      <c r="Q464" s="33">
        <f>GM!Q1181</f>
        <v>119600</v>
      </c>
      <c r="R464" s="114">
        <f>GM!R1181</f>
        <v>63900</v>
      </c>
    </row>
    <row r="465" spans="1:18" x14ac:dyDescent="0.2">
      <c r="A465" s="107">
        <f>ROUND(GM!A1182,-3)-1700</f>
        <v>4646300</v>
      </c>
      <c r="B465" s="33">
        <f>GM!B1182</f>
        <v>210700</v>
      </c>
      <c r="C465" s="189">
        <f>GM!C1182</f>
        <v>272000</v>
      </c>
      <c r="D465" s="189">
        <f>GM!D1182</f>
        <v>458300</v>
      </c>
      <c r="E465" s="238"/>
      <c r="F465" s="366" t="s">
        <v>1942</v>
      </c>
      <c r="G465" s="187">
        <f>GM!G1182</f>
        <v>556200</v>
      </c>
      <c r="H465" s="1959"/>
      <c r="I465" s="33">
        <f>GM!I1182</f>
        <v>515100</v>
      </c>
      <c r="J465" s="33">
        <f>GM!J1182</f>
        <v>501000</v>
      </c>
      <c r="K465" s="33">
        <f>GM!K1182</f>
        <v>525200</v>
      </c>
      <c r="L465" s="33">
        <f>GM!L1182</f>
        <v>549900</v>
      </c>
      <c r="M465" s="33">
        <f>GM!M1182</f>
        <v>658800</v>
      </c>
      <c r="N465" s="33">
        <f>GM!N1182</f>
        <v>1136200</v>
      </c>
      <c r="O465" s="33">
        <f>GM!O1182</f>
        <v>1947900</v>
      </c>
      <c r="P465" s="33">
        <f>GM!P1182</f>
        <v>2101300</v>
      </c>
      <c r="Q465" s="33">
        <f>GM!Q1182</f>
        <v>2144700</v>
      </c>
      <c r="R465" s="114">
        <f>GM!R1182</f>
        <v>2237700</v>
      </c>
    </row>
    <row r="466" spans="1:18" x14ac:dyDescent="0.2">
      <c r="A466" s="107">
        <f>ROUND(GM!A1183,-3)</f>
        <v>541000</v>
      </c>
      <c r="B466" s="33">
        <f>GM!B1183</f>
        <v>4996600</v>
      </c>
      <c r="C466" s="189">
        <f>GM!C1183</f>
        <v>403800</v>
      </c>
      <c r="D466" s="189">
        <f>GM!D1183</f>
        <v>88000</v>
      </c>
      <c r="E466" s="238"/>
      <c r="F466" s="366" t="s">
        <v>2348</v>
      </c>
      <c r="G466" s="187">
        <f>GM!G1183</f>
        <v>143000</v>
      </c>
      <c r="H466" s="1959"/>
      <c r="I466" s="33">
        <f>GM!I1183</f>
        <v>81000</v>
      </c>
      <c r="J466" s="33">
        <f>GM!J1183</f>
        <v>84000</v>
      </c>
      <c r="K466" s="33">
        <f>GM!K1183</f>
        <v>87000</v>
      </c>
      <c r="L466" s="33">
        <f>GM!L1183</f>
        <v>89000</v>
      </c>
      <c r="M466" s="33">
        <f>GM!M1183</f>
        <v>91000</v>
      </c>
      <c r="N466" s="33">
        <f>GM!N1183</f>
        <v>993000</v>
      </c>
      <c r="O466" s="33">
        <f>GM!O1183</f>
        <v>1608000</v>
      </c>
      <c r="P466" s="33">
        <f>GM!P1183</f>
        <v>1623000</v>
      </c>
      <c r="Q466" s="33">
        <f>GM!Q1183</f>
        <v>2639000</v>
      </c>
      <c r="R466" s="114">
        <f>GM!R1183</f>
        <v>2705000</v>
      </c>
    </row>
    <row r="467" spans="1:18" x14ac:dyDescent="0.2">
      <c r="A467" s="107">
        <f>ROUND(GM!A1184,-3)</f>
        <v>9644000</v>
      </c>
      <c r="B467" s="33">
        <f>GM!B1184</f>
        <v>0</v>
      </c>
      <c r="C467" s="189">
        <f>GM!C1184</f>
        <v>725000</v>
      </c>
      <c r="D467" s="189">
        <f>GM!D1184</f>
        <v>2791400</v>
      </c>
      <c r="E467" s="238"/>
      <c r="F467" s="366" t="s">
        <v>5984</v>
      </c>
      <c r="G467" s="187">
        <f>GM!G1184</f>
        <v>900000</v>
      </c>
      <c r="H467" s="1959"/>
      <c r="I467" s="33">
        <f>GM!I1184</f>
        <v>4415600</v>
      </c>
      <c r="J467" s="33">
        <f>GM!J1184</f>
        <v>0</v>
      </c>
      <c r="K467" s="33">
        <f>GM!K1184</f>
        <v>0</v>
      </c>
      <c r="L467" s="33">
        <f>GM!L1184</f>
        <v>0</v>
      </c>
      <c r="M467" s="33">
        <f>GM!M1184</f>
        <v>0</v>
      </c>
      <c r="N467" s="33">
        <f>GM!N1184</f>
        <v>0</v>
      </c>
      <c r="O467" s="33">
        <f>GM!O1184</f>
        <v>0</v>
      </c>
      <c r="P467" s="33">
        <f>GM!P1184</f>
        <v>0</v>
      </c>
      <c r="Q467" s="33">
        <f>GM!Q1184</f>
        <v>0</v>
      </c>
      <c r="R467" s="114">
        <f>GM!R1184</f>
        <v>0</v>
      </c>
    </row>
    <row r="468" spans="1:18" x14ac:dyDescent="0.2">
      <c r="A468" s="107">
        <f>ROUND(GM!A1185,-3)</f>
        <v>5787000</v>
      </c>
      <c r="B468" s="33">
        <f>GM!B1185</f>
        <v>4996600</v>
      </c>
      <c r="C468" s="189">
        <f>GM!C1185</f>
        <v>1128800</v>
      </c>
      <c r="D468" s="189">
        <f>GM!D1185</f>
        <v>2879400</v>
      </c>
      <c r="E468" s="238"/>
      <c r="F468" s="366" t="s">
        <v>972</v>
      </c>
      <c r="G468" s="187">
        <f>GM!G1185</f>
        <v>1043000</v>
      </c>
      <c r="H468" s="1959"/>
      <c r="I468" s="33">
        <f>GM!I1185</f>
        <v>4496600</v>
      </c>
      <c r="J468" s="33">
        <f>GM!J1185</f>
        <v>84000</v>
      </c>
      <c r="K468" s="33">
        <f>GM!K1185</f>
        <v>87000</v>
      </c>
      <c r="L468" s="33">
        <f>GM!L1185</f>
        <v>89000</v>
      </c>
      <c r="M468" s="33">
        <f>GM!M1185</f>
        <v>91000</v>
      </c>
      <c r="N468" s="33">
        <f>GM!N1185</f>
        <v>993000</v>
      </c>
      <c r="O468" s="33">
        <f>GM!O1185</f>
        <v>1608000</v>
      </c>
      <c r="P468" s="33">
        <f>GM!P1185</f>
        <v>1623000</v>
      </c>
      <c r="Q468" s="33">
        <f>GM!Q1185</f>
        <v>2639000</v>
      </c>
      <c r="R468" s="114">
        <f>GM!R1185</f>
        <v>2705000</v>
      </c>
    </row>
    <row r="469" spans="1:18" x14ac:dyDescent="0.2">
      <c r="A469" s="107"/>
      <c r="B469" s="33"/>
      <c r="C469" s="189"/>
      <c r="D469" s="189"/>
      <c r="E469" s="238"/>
      <c r="F469" s="516"/>
      <c r="G469" s="187"/>
      <c r="H469" s="1959"/>
      <c r="I469" s="33"/>
      <c r="J469" s="33"/>
      <c r="K469" s="33"/>
      <c r="L469" s="33"/>
      <c r="M469" s="33"/>
      <c r="N469" s="33"/>
      <c r="O469" s="33"/>
      <c r="P469" s="33"/>
      <c r="Q469" s="33"/>
      <c r="R469" s="114"/>
    </row>
    <row r="470" spans="1:18" s="92" customFormat="1" x14ac:dyDescent="0.2">
      <c r="A470" s="181">
        <f>A459-A464-A465+A466++A467-A468</f>
        <v>0</v>
      </c>
      <c r="B470" s="397">
        <f>B459-B464-B465+B466++B467-B468</f>
        <v>0</v>
      </c>
      <c r="C470" s="398">
        <f>C459-C464-C465+C466++C467-C468</f>
        <v>0</v>
      </c>
      <c r="D470" s="398">
        <f>D459-D464-D465+D466++D467-D468</f>
        <v>0</v>
      </c>
      <c r="E470" s="526"/>
      <c r="F470" s="518" t="s">
        <v>2490</v>
      </c>
      <c r="G470" s="728">
        <f t="shared" ref="G470:O470" si="669">G459-G464-G465+G466++G467-G468</f>
        <v>0</v>
      </c>
      <c r="H470" s="395">
        <f>IF(D470=G470,0,IF(D470=0,100,(G470-D470)/D470*100))</f>
        <v>0</v>
      </c>
      <c r="I470" s="397">
        <f t="shared" si="669"/>
        <v>0</v>
      </c>
      <c r="J470" s="397">
        <f t="shared" si="669"/>
        <v>0</v>
      </c>
      <c r="K470" s="397">
        <f t="shared" si="669"/>
        <v>0</v>
      </c>
      <c r="L470" s="397">
        <f t="shared" si="669"/>
        <v>0</v>
      </c>
      <c r="M470" s="397">
        <f t="shared" si="669"/>
        <v>0</v>
      </c>
      <c r="N470" s="397">
        <f t="shared" si="669"/>
        <v>0</v>
      </c>
      <c r="O470" s="397">
        <f t="shared" si="669"/>
        <v>0</v>
      </c>
      <c r="P470" s="397">
        <f t="shared" ref="P470:Q470" si="670">P459-P464-P465+P466++P467-P468</f>
        <v>0</v>
      </c>
      <c r="Q470" s="397">
        <f t="shared" si="670"/>
        <v>0</v>
      </c>
      <c r="R470" s="399">
        <f t="shared" ref="R470" si="671">R459-R464-R465+R466++R467-R468</f>
        <v>0</v>
      </c>
    </row>
    <row r="471" spans="1:18" s="92" customFormat="1" ht="13.5" thickBot="1" x14ac:dyDescent="0.25">
      <c r="A471" s="70"/>
      <c r="B471" s="64"/>
      <c r="C471" s="193"/>
      <c r="D471" s="193"/>
      <c r="E471" s="244"/>
      <c r="F471" s="1352"/>
      <c r="G471" s="192"/>
      <c r="H471" s="1990"/>
      <c r="I471" s="64"/>
      <c r="J471" s="64"/>
      <c r="K471" s="64"/>
      <c r="L471" s="64"/>
      <c r="M471" s="64"/>
      <c r="N471" s="64"/>
      <c r="O471" s="64"/>
      <c r="P471" s="64"/>
      <c r="Q471" s="64"/>
      <c r="R471" s="115"/>
    </row>
    <row r="472" spans="1:18" s="92" customFormat="1" x14ac:dyDescent="0.2">
      <c r="A472" s="105">
        <f>A434-A454+A448+A451</f>
        <v>1204300</v>
      </c>
      <c r="B472" s="53">
        <f>B434-B454+B448+B451</f>
        <v>-471900</v>
      </c>
      <c r="C472" s="190">
        <f>C434-C454+C448+C451</f>
        <v>1619800</v>
      </c>
      <c r="D472" s="190">
        <f>D434-D454+D448+D451</f>
        <v>1901900</v>
      </c>
      <c r="E472" s="1836"/>
      <c r="F472" s="1837" t="s">
        <v>4839</v>
      </c>
      <c r="G472" s="199">
        <f t="shared" ref="G472:P472" si="672">G434-G454+G448+G451</f>
        <v>2054300</v>
      </c>
      <c r="H472" s="2485">
        <f>IF(D472=G472,0,IF(D472=0,100,(G472-D472)/D472*100))</f>
        <v>8.0130395919869599</v>
      </c>
      <c r="I472" s="53">
        <f t="shared" si="672"/>
        <v>2093200</v>
      </c>
      <c r="J472" s="53">
        <f t="shared" si="672"/>
        <v>2079100</v>
      </c>
      <c r="K472" s="53">
        <f t="shared" si="672"/>
        <v>2103300</v>
      </c>
      <c r="L472" s="53">
        <f t="shared" si="672"/>
        <v>2128100</v>
      </c>
      <c r="M472" s="53">
        <f t="shared" si="672"/>
        <v>2171800</v>
      </c>
      <c r="N472" s="53">
        <f t="shared" si="672"/>
        <v>2174500</v>
      </c>
      <c r="O472" s="53">
        <f t="shared" si="672"/>
        <v>2302600</v>
      </c>
      <c r="P472" s="53">
        <f t="shared" si="672"/>
        <v>2240600</v>
      </c>
      <c r="Q472" s="53">
        <f t="shared" ref="Q472" si="673">Q434-Q454+Q448+Q451</f>
        <v>2284100</v>
      </c>
      <c r="R472" s="113">
        <f t="shared" ref="R472" si="674">R434-R454+R448+R451</f>
        <v>2317600</v>
      </c>
    </row>
    <row r="473" spans="1:18" ht="13.5" thickBot="1" x14ac:dyDescent="0.25">
      <c r="A473" s="73"/>
      <c r="B473" s="90"/>
      <c r="C473" s="195"/>
      <c r="D473" s="195"/>
      <c r="E473" s="239"/>
      <c r="F473" s="368"/>
      <c r="G473" s="200"/>
      <c r="H473" s="394"/>
      <c r="I473" s="66"/>
      <c r="J473" s="66"/>
      <c r="K473" s="66"/>
      <c r="L473" s="66"/>
      <c r="M473" s="66"/>
      <c r="N473" s="66"/>
      <c r="O473" s="66"/>
      <c r="P473" s="66"/>
      <c r="Q473" s="66"/>
      <c r="R473" s="165"/>
    </row>
    <row r="474" spans="1:18" ht="14.25" thickTop="1" thickBot="1" x14ac:dyDescent="0.25">
      <c r="A474" s="74"/>
      <c r="B474" s="74"/>
      <c r="C474" s="74"/>
      <c r="D474" s="74"/>
      <c r="E474" s="279"/>
      <c r="F474" s="74"/>
      <c r="H474" s="2484"/>
      <c r="I474" s="99"/>
      <c r="J474" s="99"/>
      <c r="K474" s="99"/>
      <c r="L474" s="99"/>
      <c r="M474" s="99"/>
      <c r="N474" s="99"/>
      <c r="O474" s="99"/>
      <c r="P474" s="99"/>
      <c r="Q474" s="99"/>
      <c r="R474" s="99"/>
    </row>
    <row r="475" spans="1:18" s="91" customFormat="1" ht="18.75" customHeight="1" thickTop="1" thickBot="1" x14ac:dyDescent="0.3">
      <c r="A475" s="2862" t="str">
        <f>A60</f>
        <v>GOVERNANCE AND COMMUNICATIONS</v>
      </c>
      <c r="B475" s="2863"/>
      <c r="C475" s="2863"/>
      <c r="D475" s="2863"/>
      <c r="E475" s="2863"/>
      <c r="F475" s="2863"/>
      <c r="G475" s="2863"/>
      <c r="H475" s="2863"/>
      <c r="I475" s="2863"/>
      <c r="J475" s="2863"/>
      <c r="K475" s="2863"/>
      <c r="L475" s="2863"/>
      <c r="M475" s="2863"/>
      <c r="N475" s="2863"/>
      <c r="O475" s="2863"/>
      <c r="P475" s="2863"/>
      <c r="Q475" s="2863"/>
      <c r="R475" s="2864"/>
    </row>
    <row r="476" spans="1:18" s="44" customFormat="1" x14ac:dyDescent="0.2">
      <c r="A476" s="2888" t="s">
        <v>1856</v>
      </c>
      <c r="B476" s="2889"/>
      <c r="C476" s="2889"/>
      <c r="D476" s="2890"/>
      <c r="E476" s="513" t="s">
        <v>2663</v>
      </c>
      <c r="F476" s="2649" t="s">
        <v>2251</v>
      </c>
      <c r="G476" s="2885" t="s">
        <v>2253</v>
      </c>
      <c r="H476" s="2886"/>
      <c r="I476" s="2886"/>
      <c r="J476" s="2886"/>
      <c r="K476" s="2886"/>
      <c r="L476" s="2886"/>
      <c r="M476" s="2886"/>
      <c r="N476" s="2886"/>
      <c r="O476" s="2886"/>
      <c r="P476" s="2886"/>
      <c r="Q476" s="2886"/>
      <c r="R476" s="2887"/>
    </row>
    <row r="477" spans="1:18" s="23" customFormat="1" ht="13.5" thickBot="1" x14ac:dyDescent="0.25">
      <c r="A477" s="208" t="str">
        <f>A3</f>
        <v>2012/13</v>
      </c>
      <c r="B477" s="218" t="str">
        <f>B3</f>
        <v>2013/14</v>
      </c>
      <c r="C477" s="370" t="str">
        <f>C3</f>
        <v>2014/15</v>
      </c>
      <c r="D477" s="93" t="str">
        <f>D3</f>
        <v>2015/16</v>
      </c>
      <c r="E477" s="370" t="str">
        <f>SP!E324</f>
        <v>ACCOUNT</v>
      </c>
      <c r="F477" s="42"/>
      <c r="G477" s="93" t="str">
        <f>G3</f>
        <v>2016/17</v>
      </c>
      <c r="H477" s="2005" t="str">
        <f>H414</f>
        <v>%</v>
      </c>
      <c r="I477" s="370" t="str">
        <f t="shared" ref="I477:Q477" si="675">I3</f>
        <v>2017/18</v>
      </c>
      <c r="J477" s="370" t="str">
        <f t="shared" si="675"/>
        <v>2018/19</v>
      </c>
      <c r="K477" s="370" t="str">
        <f t="shared" si="675"/>
        <v>2019/20</v>
      </c>
      <c r="L477" s="370" t="str">
        <f t="shared" si="675"/>
        <v>2020/21</v>
      </c>
      <c r="M477" s="370" t="str">
        <f t="shared" si="675"/>
        <v>2021/22</v>
      </c>
      <c r="N477" s="370" t="str">
        <f t="shared" si="675"/>
        <v>2022/23</v>
      </c>
      <c r="O477" s="370" t="str">
        <f t="shared" si="675"/>
        <v>2023/24</v>
      </c>
      <c r="P477" s="370" t="str">
        <f t="shared" si="675"/>
        <v>2024/25</v>
      </c>
      <c r="Q477" s="218" t="str">
        <f t="shared" si="675"/>
        <v>2025/26</v>
      </c>
      <c r="R477" s="549" t="str">
        <f t="shared" ref="R477" si="676">R3</f>
        <v>2026/27</v>
      </c>
    </row>
    <row r="478" spans="1:18" s="23" customFormat="1" ht="12.75" customHeight="1" x14ac:dyDescent="0.2">
      <c r="A478" s="705"/>
      <c r="B478" s="205"/>
      <c r="C478" s="513"/>
      <c r="D478" s="204"/>
      <c r="E478" s="529"/>
      <c r="F478" s="22"/>
      <c r="G478" s="204"/>
      <c r="H478" s="1702"/>
      <c r="I478" s="529"/>
      <c r="J478" s="529"/>
      <c r="K478" s="529"/>
      <c r="L478" s="529"/>
      <c r="M478" s="529"/>
      <c r="N478" s="529"/>
      <c r="O478" s="529"/>
      <c r="P478" s="529"/>
      <c r="Q478" s="529"/>
      <c r="R478" s="530"/>
    </row>
    <row r="479" spans="1:18" s="23" customFormat="1" ht="12.75" customHeight="1" x14ac:dyDescent="0.2">
      <c r="A479" s="705"/>
      <c r="B479" s="204"/>
      <c r="C479" s="529"/>
      <c r="D479" s="204"/>
      <c r="E479" s="529"/>
      <c r="F479" s="144" t="s">
        <v>1073</v>
      </c>
      <c r="G479" s="204"/>
      <c r="H479" s="1702"/>
      <c r="I479" s="529"/>
      <c r="J479" s="529"/>
      <c r="K479" s="529"/>
      <c r="L479" s="529"/>
      <c r="M479" s="529"/>
      <c r="N479" s="529"/>
      <c r="O479" s="529"/>
      <c r="P479" s="529"/>
      <c r="Q479" s="529"/>
      <c r="R479" s="530"/>
    </row>
    <row r="480" spans="1:18" s="23" customFormat="1" ht="12.75" customHeight="1" x14ac:dyDescent="0.2">
      <c r="A480" s="268"/>
      <c r="B480" s="206"/>
      <c r="C480" s="529"/>
      <c r="D480" s="204"/>
      <c r="E480" s="529"/>
      <c r="F480" s="1133" t="s">
        <v>687</v>
      </c>
      <c r="G480" s="204"/>
      <c r="H480" s="1702"/>
      <c r="I480" s="529"/>
      <c r="J480" s="529"/>
      <c r="K480" s="529"/>
      <c r="L480" s="529"/>
      <c r="M480" s="529"/>
      <c r="N480" s="529"/>
      <c r="O480" s="529"/>
      <c r="P480" s="529"/>
      <c r="Q480" s="529"/>
      <c r="R480" s="530"/>
    </row>
    <row r="481" spans="1:18" s="23" customFormat="1" ht="12.75" customHeight="1" x14ac:dyDescent="0.2">
      <c r="A481" s="714">
        <v>0</v>
      </c>
      <c r="B481" s="33">
        <v>0</v>
      </c>
      <c r="C481" s="652">
        <v>0</v>
      </c>
      <c r="D481" s="33">
        <v>4300</v>
      </c>
      <c r="E481" s="658" t="s">
        <v>1697</v>
      </c>
      <c r="F481" s="351" t="s">
        <v>1486</v>
      </c>
      <c r="G481" s="33">
        <v>0</v>
      </c>
      <c r="H481" s="138">
        <f>IF(D481=G481,0,IF(D481=0,100,(G481-D481)/D481*100))</f>
        <v>-100</v>
      </c>
      <c r="I481" s="33">
        <f>ROUNDUP(G481+(G481*Assumptions!H$5),-2)</f>
        <v>0</v>
      </c>
      <c r="J481" s="33">
        <f>ROUNDUP(I481+(I481*Assumptions!I$5),-2)</f>
        <v>0</v>
      </c>
      <c r="K481" s="33">
        <f>ROUNDUP(J481+(J481*Assumptions!J$5),-2)</f>
        <v>0</v>
      </c>
      <c r="L481" s="33">
        <f>ROUNDUP(K481+(K481*Assumptions!K$5),-2)</f>
        <v>0</v>
      </c>
      <c r="M481" s="33">
        <f>ROUNDUP(L481+(L481*Assumptions!L$5),-2)</f>
        <v>0</v>
      </c>
      <c r="N481" s="33">
        <f>ROUNDUP(M481+(M481*Assumptions!M$5),-2)</f>
        <v>0</v>
      </c>
      <c r="O481" s="33">
        <f>ROUNDUP(N481+(N481*Assumptions!N$5),-2)</f>
        <v>0</v>
      </c>
      <c r="P481" s="33">
        <f>ROUNDUP(O481+(O481*Assumptions!O$5),-2)</f>
        <v>0</v>
      </c>
      <c r="Q481" s="33">
        <f>ROUNDUP(P481+(P481*Assumptions!P$5),-2)</f>
        <v>0</v>
      </c>
      <c r="R481" s="114">
        <f>ROUNDUP(Q481+(Q481*Assumptions!Q$5),-2)</f>
        <v>0</v>
      </c>
    </row>
    <row r="482" spans="1:18" ht="13.5" thickBot="1" x14ac:dyDescent="0.25">
      <c r="A482" s="70"/>
      <c r="B482" s="128"/>
      <c r="C482" s="64"/>
      <c r="D482" s="64"/>
      <c r="E482" s="343"/>
      <c r="F482" s="64"/>
      <c r="G482" s="33"/>
      <c r="H482" s="179"/>
      <c r="I482" s="33"/>
      <c r="J482" s="33"/>
      <c r="K482" s="33"/>
      <c r="L482" s="33"/>
      <c r="M482" s="33"/>
      <c r="N482" s="33"/>
      <c r="O482" s="33"/>
      <c r="P482" s="33"/>
      <c r="Q482" s="33"/>
      <c r="R482" s="114"/>
    </row>
    <row r="483" spans="1:18" x14ac:dyDescent="0.2">
      <c r="A483" s="105">
        <f>SUM(A480:A482)</f>
        <v>0</v>
      </c>
      <c r="B483" s="155">
        <f>SUM(B480:B482)</f>
        <v>0</v>
      </c>
      <c r="C483" s="53">
        <f>SUM(C480:C482)</f>
        <v>0</v>
      </c>
      <c r="D483" s="53">
        <f>SUM(D480:D482)</f>
        <v>4300</v>
      </c>
      <c r="E483" s="343"/>
      <c r="F483" s="378" t="s">
        <v>2605</v>
      </c>
      <c r="G483" s="53">
        <f t="shared" ref="G483:P483" si="677">SUM(G480:G482)</f>
        <v>0</v>
      </c>
      <c r="H483" s="180">
        <f>IF(D483=G483,0,IF(D483=0,100,(G483-D483)/D483*100))</f>
        <v>-100</v>
      </c>
      <c r="I483" s="53">
        <f t="shared" si="677"/>
        <v>0</v>
      </c>
      <c r="J483" s="53">
        <f t="shared" si="677"/>
        <v>0</v>
      </c>
      <c r="K483" s="53">
        <f t="shared" si="677"/>
        <v>0</v>
      </c>
      <c r="L483" s="53">
        <f t="shared" si="677"/>
        <v>0</v>
      </c>
      <c r="M483" s="53">
        <f t="shared" si="677"/>
        <v>0</v>
      </c>
      <c r="N483" s="53">
        <f t="shared" si="677"/>
        <v>0</v>
      </c>
      <c r="O483" s="53">
        <f t="shared" si="677"/>
        <v>0</v>
      </c>
      <c r="P483" s="53">
        <f t="shared" si="677"/>
        <v>0</v>
      </c>
      <c r="Q483" s="53">
        <f t="shared" ref="Q483" si="678">SUM(Q480:Q482)</f>
        <v>0</v>
      </c>
      <c r="R483" s="113">
        <f t="shared" ref="R483" si="679">SUM(R480:R482)</f>
        <v>0</v>
      </c>
    </row>
    <row r="484" spans="1:18" x14ac:dyDescent="0.2">
      <c r="A484" s="98"/>
      <c r="B484" s="76"/>
      <c r="C484" s="76"/>
      <c r="D484" s="33"/>
      <c r="E484" s="252"/>
      <c r="F484" s="74"/>
      <c r="G484" s="33"/>
      <c r="H484" s="138"/>
      <c r="I484" s="33"/>
      <c r="J484" s="33"/>
      <c r="K484" s="33"/>
      <c r="L484" s="33"/>
      <c r="M484" s="33"/>
      <c r="N484" s="33"/>
      <c r="O484" s="33"/>
      <c r="P484" s="33"/>
      <c r="Q484" s="33"/>
      <c r="R484" s="114"/>
    </row>
    <row r="485" spans="1:18" x14ac:dyDescent="0.2">
      <c r="A485" s="107"/>
      <c r="B485" s="33"/>
      <c r="C485" s="33"/>
      <c r="D485" s="33"/>
      <c r="E485" s="344"/>
      <c r="F485" s="144" t="s">
        <v>2205</v>
      </c>
      <c r="G485" s="33"/>
      <c r="H485" s="138"/>
      <c r="I485" s="33"/>
      <c r="J485" s="33"/>
      <c r="K485" s="33"/>
      <c r="L485" s="33"/>
      <c r="M485" s="33"/>
      <c r="N485" s="33"/>
      <c r="O485" s="33"/>
      <c r="P485" s="33"/>
      <c r="Q485" s="33"/>
      <c r="R485" s="114"/>
    </row>
    <row r="486" spans="1:18" x14ac:dyDescent="0.2">
      <c r="A486" s="107"/>
      <c r="B486" s="33"/>
      <c r="C486" s="33"/>
      <c r="D486" s="33"/>
      <c r="E486" s="344"/>
      <c r="F486" s="137" t="s">
        <v>2705</v>
      </c>
      <c r="G486" s="33"/>
      <c r="H486" s="138"/>
      <c r="I486" s="33"/>
      <c r="J486" s="33"/>
      <c r="K486" s="33"/>
      <c r="L486" s="33"/>
      <c r="M486" s="33"/>
      <c r="N486" s="33"/>
      <c r="O486" s="33"/>
      <c r="P486" s="33"/>
      <c r="Q486" s="33"/>
      <c r="R486" s="114"/>
    </row>
    <row r="487" spans="1:18" x14ac:dyDescent="0.2">
      <c r="A487" s="107">
        <f>337700+114900</f>
        <v>452600</v>
      </c>
      <c r="B487" s="33">
        <f>420900+168100</f>
        <v>589000</v>
      </c>
      <c r="C487" s="33">
        <f>393800+158700</f>
        <v>552500</v>
      </c>
      <c r="D487" s="33">
        <v>561800</v>
      </c>
      <c r="E487" s="658" t="s">
        <v>1698</v>
      </c>
      <c r="F487" s="108" t="s">
        <v>1341</v>
      </c>
      <c r="G487" s="33">
        <f>638000+27000+43000</f>
        <v>708000</v>
      </c>
      <c r="H487" s="138">
        <f>IF(D487=G487,0,IF(D487=0,100,(G487-D487)/D487*100))</f>
        <v>26.023495906016375</v>
      </c>
      <c r="I487" s="33">
        <f>ROUND((G487*Assumptions!I$13)+GM!G487,-2)</f>
        <v>725700</v>
      </c>
      <c r="J487" s="33">
        <f>ROUND((I487*Assumptions!J$13)+GM!I487,-2)</f>
        <v>743800</v>
      </c>
      <c r="K487" s="33">
        <f>ROUND((J487*Assumptions!K$13)+GM!J487,-2)</f>
        <v>762400</v>
      </c>
      <c r="L487" s="33">
        <f>ROUND((K487*Assumptions!L$13)+GM!K487,-2)</f>
        <v>781500</v>
      </c>
      <c r="M487" s="33">
        <f>ROUND((L487*Assumptions!M$13)+GM!L487,-2)</f>
        <v>801000</v>
      </c>
      <c r="N487" s="33">
        <f>ROUND((M487*Assumptions!N$13)+GM!M487,-2)</f>
        <v>821000</v>
      </c>
      <c r="O487" s="33">
        <f>ROUND((N487*Assumptions!P$13)+GM!N487,-2)</f>
        <v>841500</v>
      </c>
      <c r="P487" s="33">
        <f>ROUND((O487*Assumptions!Q$13)+GM!O487,-2)</f>
        <v>862500</v>
      </c>
      <c r="Q487" s="33">
        <f>ROUND((P487*Assumptions!R$13)+GM!P487,-2)</f>
        <v>862500</v>
      </c>
      <c r="R487" s="114">
        <f>ROUND((Q487*Assumptions!S$13)+GM!Q487,-2)</f>
        <v>862500</v>
      </c>
    </row>
    <row r="488" spans="1:18" x14ac:dyDescent="0.2">
      <c r="A488" s="107">
        <v>9600</v>
      </c>
      <c r="B488" s="33">
        <v>8000</v>
      </c>
      <c r="C488" s="33">
        <v>8300</v>
      </c>
      <c r="D488" s="33">
        <v>8300</v>
      </c>
      <c r="E488" s="658" t="s">
        <v>1971</v>
      </c>
      <c r="F488" s="108" t="s">
        <v>608</v>
      </c>
      <c r="G488" s="33">
        <v>13000</v>
      </c>
      <c r="H488" s="138">
        <f t="shared" ref="H488:H492" si="680">IF(D488=G488,0,IF(D488=0,100,(G488-D488)/D488*100))</f>
        <v>56.626506024096393</v>
      </c>
      <c r="I488" s="33">
        <f>ROUNDUP(G488+(G488*Assumptions!H$5),-2)</f>
        <v>13200</v>
      </c>
      <c r="J488" s="33">
        <f>ROUNDUP(I488+(I488*Assumptions!I$5),-2)</f>
        <v>13600</v>
      </c>
      <c r="K488" s="33">
        <f>ROUNDUP(J488+(J488*Assumptions!J$5),-2)</f>
        <v>14000</v>
      </c>
      <c r="L488" s="33">
        <f>ROUNDUP(K488+(K488*Assumptions!K$5),-2)</f>
        <v>14400</v>
      </c>
      <c r="M488" s="33">
        <f>ROUNDUP(L488+(L488*Assumptions!L$5),-2)</f>
        <v>14700</v>
      </c>
      <c r="N488" s="33">
        <f>ROUNDUP(M488+(M488*Assumptions!M$5),-2)</f>
        <v>15000</v>
      </c>
      <c r="O488" s="33">
        <f>ROUNDUP(N488+(N488*Assumptions!N$5),-2)</f>
        <v>15300</v>
      </c>
      <c r="P488" s="33">
        <f>ROUNDUP(O488+(O488*Assumptions!O$5),-2)</f>
        <v>15700</v>
      </c>
      <c r="Q488" s="33">
        <f>ROUNDUP(P488+(P488*Assumptions!P$5),-2)</f>
        <v>16100</v>
      </c>
      <c r="R488" s="114">
        <f>ROUNDUP(Q488+(Q488*Assumptions!Q$5),-2)</f>
        <v>16500</v>
      </c>
    </row>
    <row r="489" spans="1:18" x14ac:dyDescent="0.2">
      <c r="A489" s="107">
        <v>200</v>
      </c>
      <c r="B489" s="33">
        <v>2500</v>
      </c>
      <c r="C489" s="33">
        <v>3500</v>
      </c>
      <c r="D489" s="33">
        <v>1100</v>
      </c>
      <c r="E489" s="658" t="s">
        <v>1566</v>
      </c>
      <c r="F489" s="108" t="s">
        <v>1921</v>
      </c>
      <c r="G489" s="33">
        <v>2000</v>
      </c>
      <c r="H489" s="138">
        <f t="shared" si="680"/>
        <v>81.818181818181827</v>
      </c>
      <c r="I489" s="33">
        <f>ROUNDUP(G489+(G489*Assumptions!H$5),-2)</f>
        <v>2100</v>
      </c>
      <c r="J489" s="33">
        <f>ROUNDUP(I489+(I489*Assumptions!I$5),-2)</f>
        <v>2200</v>
      </c>
      <c r="K489" s="33">
        <f>ROUNDUP(J489+(J489*Assumptions!J$5),-2)</f>
        <v>2300</v>
      </c>
      <c r="L489" s="33">
        <f>ROUNDUP(K489+(K489*Assumptions!K$5),-2)</f>
        <v>2400</v>
      </c>
      <c r="M489" s="33">
        <f>ROUNDUP(L489+(L489*Assumptions!L$5),-2)</f>
        <v>2500</v>
      </c>
      <c r="N489" s="33">
        <f>ROUNDUP(M489+(M489*Assumptions!M$5),-2)</f>
        <v>2600</v>
      </c>
      <c r="O489" s="33">
        <f>ROUNDUP(N489+(N489*Assumptions!N$5),-2)</f>
        <v>2700</v>
      </c>
      <c r="P489" s="33">
        <f>ROUNDUP(O489+(O489*Assumptions!O$5),-2)</f>
        <v>2800</v>
      </c>
      <c r="Q489" s="33">
        <f>ROUNDUP(P489+(P489*Assumptions!P$5),-2)</f>
        <v>2900</v>
      </c>
      <c r="R489" s="114">
        <f>ROUNDUP(Q489+(Q489*Assumptions!Q$5),-2)</f>
        <v>3000</v>
      </c>
    </row>
    <row r="490" spans="1:18" x14ac:dyDescent="0.2">
      <c r="A490" s="107">
        <v>4200</v>
      </c>
      <c r="B490" s="33">
        <v>3800</v>
      </c>
      <c r="C490" s="99">
        <v>3300</v>
      </c>
      <c r="D490" s="33">
        <v>2900</v>
      </c>
      <c r="E490" s="658" t="s">
        <v>1112</v>
      </c>
      <c r="F490" s="351" t="s">
        <v>1597</v>
      </c>
      <c r="G490" s="33">
        <v>5000</v>
      </c>
      <c r="H490" s="138">
        <f t="shared" si="680"/>
        <v>72.41379310344827</v>
      </c>
      <c r="I490" s="33">
        <f>ROUNDUP(G490+(G490*Assumptions!H$5),-2)</f>
        <v>5100</v>
      </c>
      <c r="J490" s="33">
        <f>ROUNDUP(I490+(I490*Assumptions!I$5),-2)</f>
        <v>5300</v>
      </c>
      <c r="K490" s="33">
        <f>ROUNDUP(J490+(J490*Assumptions!J$5),-2)</f>
        <v>5500</v>
      </c>
      <c r="L490" s="33">
        <f>ROUNDUP(K490+(K490*Assumptions!K$5),-2)</f>
        <v>5700</v>
      </c>
      <c r="M490" s="33">
        <f>ROUNDUP(L490+(L490*Assumptions!L$5),-2)</f>
        <v>5900</v>
      </c>
      <c r="N490" s="33">
        <f>ROUNDUP(M490+(M490*Assumptions!M$5),-2)</f>
        <v>6100</v>
      </c>
      <c r="O490" s="33">
        <f>ROUNDUP(N490+(N490*Assumptions!N$5),-2)</f>
        <v>6300</v>
      </c>
      <c r="P490" s="33">
        <f>ROUNDUP(O490+(O490*Assumptions!O$5),-2)</f>
        <v>6500</v>
      </c>
      <c r="Q490" s="33">
        <f>ROUNDUP(P490+(P490*Assumptions!P$5),-2)</f>
        <v>6700</v>
      </c>
      <c r="R490" s="114">
        <f>ROUNDUP(Q490+(Q490*Assumptions!Q$5),-2)</f>
        <v>6900</v>
      </c>
    </row>
    <row r="491" spans="1:18" x14ac:dyDescent="0.2">
      <c r="A491" s="107">
        <v>54500</v>
      </c>
      <c r="B491" s="33">
        <v>53000</v>
      </c>
      <c r="C491" s="99">
        <v>59900</v>
      </c>
      <c r="D491" s="33">
        <v>68700</v>
      </c>
      <c r="E491" s="658" t="s">
        <v>2494</v>
      </c>
      <c r="F491" s="351" t="s">
        <v>1909</v>
      </c>
      <c r="G491" s="33">
        <v>71400</v>
      </c>
      <c r="H491" s="138">
        <f t="shared" si="680"/>
        <v>3.9301310043668125</v>
      </c>
      <c r="I491" s="33">
        <f>ROUNDUP(G491+(G491*Assumptions!H$5),-2)</f>
        <v>72500</v>
      </c>
      <c r="J491" s="33">
        <f>ROUNDUP(I491+(I491*Assumptions!I$5),-2)</f>
        <v>74400</v>
      </c>
      <c r="K491" s="33">
        <f>ROUNDUP(J491+(J491*Assumptions!J$5),-2)</f>
        <v>76300</v>
      </c>
      <c r="L491" s="33">
        <f>ROUNDUP(K491+(K491*Assumptions!K$5),-2)</f>
        <v>78300</v>
      </c>
      <c r="M491" s="33">
        <f>ROUNDUP(L491+(L491*Assumptions!L$5),-2)</f>
        <v>79900</v>
      </c>
      <c r="N491" s="33">
        <f>ROUNDUP(M491+(M491*Assumptions!M$5),-2)</f>
        <v>81500</v>
      </c>
      <c r="O491" s="33">
        <f>ROUNDUP(N491+(N491*Assumptions!N$5),-2)</f>
        <v>83200</v>
      </c>
      <c r="P491" s="33">
        <f>ROUNDUP(O491+(O491*Assumptions!O$5),-2)</f>
        <v>84900</v>
      </c>
      <c r="Q491" s="33">
        <f>ROUNDUP(P491+(P491*Assumptions!P$5),-2)</f>
        <v>86600</v>
      </c>
      <c r="R491" s="114">
        <f>ROUNDUP(Q491+(Q491*Assumptions!Q$5),-2)</f>
        <v>88400</v>
      </c>
    </row>
    <row r="492" spans="1:18" x14ac:dyDescent="0.2">
      <c r="A492" s="107">
        <v>1100</v>
      </c>
      <c r="B492" s="33">
        <v>6100</v>
      </c>
      <c r="C492" s="33">
        <v>0</v>
      </c>
      <c r="D492" s="33">
        <v>1000</v>
      </c>
      <c r="E492" s="658" t="s">
        <v>2495</v>
      </c>
      <c r="F492" s="108" t="s">
        <v>2139</v>
      </c>
      <c r="G492" s="33">
        <f>2000+2800</f>
        <v>4800</v>
      </c>
      <c r="H492" s="138">
        <f t="shared" si="680"/>
        <v>380</v>
      </c>
      <c r="I492" s="33">
        <v>2100</v>
      </c>
      <c r="J492" s="33">
        <f>ROUNDUP(I492+(I492*Assumptions!I$5),-2)</f>
        <v>2200</v>
      </c>
      <c r="K492" s="33">
        <f>ROUNDUP(J492+(J492*Assumptions!J$5),-2)</f>
        <v>2300</v>
      </c>
      <c r="L492" s="33">
        <f>ROUNDUP(K492+(K492*Assumptions!K$5),-2)</f>
        <v>2400</v>
      </c>
      <c r="M492" s="33">
        <f>ROUNDUP(L492+(L492*Assumptions!L$5),-2)</f>
        <v>2500</v>
      </c>
      <c r="N492" s="33">
        <f>ROUNDUP(M492+(M492*Assumptions!M$5),-2)</f>
        <v>2600</v>
      </c>
      <c r="O492" s="33">
        <f>ROUNDUP(N492+(N492*Assumptions!N$5),-2)</f>
        <v>2700</v>
      </c>
      <c r="P492" s="33">
        <f>ROUNDUP(O492+(O492*Assumptions!O$5),-2)</f>
        <v>2800</v>
      </c>
      <c r="Q492" s="33">
        <f>ROUNDUP(P492+(P492*Assumptions!P$5),-2)</f>
        <v>2900</v>
      </c>
      <c r="R492" s="114">
        <f>ROUNDUP(Q492+(Q492*Assumptions!Q$5),-2)</f>
        <v>3000</v>
      </c>
    </row>
    <row r="493" spans="1:18" x14ac:dyDescent="0.2">
      <c r="A493" s="107"/>
      <c r="B493" s="33"/>
      <c r="C493" s="33"/>
      <c r="D493" s="33"/>
      <c r="E493" s="344"/>
      <c r="F493" s="108"/>
      <c r="G493" s="33"/>
      <c r="H493" s="138"/>
      <c r="I493" s="33"/>
      <c r="J493" s="33"/>
      <c r="K493" s="33"/>
      <c r="L493" s="33"/>
      <c r="M493" s="33"/>
      <c r="N493" s="33"/>
      <c r="O493" s="33"/>
      <c r="P493" s="33"/>
      <c r="Q493" s="33"/>
      <c r="R493" s="114"/>
    </row>
    <row r="494" spans="1:18" x14ac:dyDescent="0.2">
      <c r="A494" s="107"/>
      <c r="B494" s="33"/>
      <c r="C494" s="33"/>
      <c r="D494" s="33"/>
      <c r="E494" s="344"/>
      <c r="F494" s="137" t="s">
        <v>203</v>
      </c>
      <c r="G494" s="33"/>
      <c r="H494" s="138"/>
      <c r="I494" s="33"/>
      <c r="J494" s="33"/>
      <c r="K494" s="33"/>
      <c r="L494" s="33"/>
      <c r="M494" s="33"/>
      <c r="N494" s="33"/>
      <c r="O494" s="33"/>
      <c r="P494" s="33"/>
      <c r="Q494" s="33"/>
      <c r="R494" s="114"/>
    </row>
    <row r="495" spans="1:18" x14ac:dyDescent="0.2">
      <c r="A495" s="107">
        <v>23800</v>
      </c>
      <c r="B495" s="33">
        <v>25300</v>
      </c>
      <c r="C495" s="189">
        <v>26400</v>
      </c>
      <c r="D495" s="33">
        <v>27800</v>
      </c>
      <c r="E495" s="658" t="s">
        <v>2361</v>
      </c>
      <c r="F495" s="814" t="s">
        <v>4673</v>
      </c>
      <c r="G495" s="33">
        <v>30000</v>
      </c>
      <c r="H495" s="138">
        <f t="shared" ref="H495:H502" si="681">IF(D495=G495,0,IF(D495=0,100,(G495-D495)/D495*100))</f>
        <v>7.9136690647482011</v>
      </c>
      <c r="I495" s="33">
        <f>ROUNDUP(G495+(G495*Assumptions!H$5),-2)</f>
        <v>30500</v>
      </c>
      <c r="J495" s="33">
        <f>ROUNDUP(I495+(I495*Assumptions!I$5),-2)</f>
        <v>31300</v>
      </c>
      <c r="K495" s="33">
        <f>ROUNDUP(J495+(J495*Assumptions!J$5),-2)</f>
        <v>32100</v>
      </c>
      <c r="L495" s="33">
        <f>ROUNDUP(K495+(K495*Assumptions!K$5),-2)</f>
        <v>33000</v>
      </c>
      <c r="M495" s="33">
        <f>ROUNDUP(L495+(L495*Assumptions!L$5),-2)</f>
        <v>33700</v>
      </c>
      <c r="N495" s="33">
        <f>ROUNDUP(M495+(M495*Assumptions!M$5),-2)</f>
        <v>34400</v>
      </c>
      <c r="O495" s="33">
        <f>ROUNDUP(N495+(N495*Assumptions!N$5),-2)</f>
        <v>35100</v>
      </c>
      <c r="P495" s="33">
        <f>ROUNDUP(O495+(O495*Assumptions!O$5),-2)</f>
        <v>35900</v>
      </c>
      <c r="Q495" s="33">
        <f>ROUNDUP(P495+(P495*Assumptions!P$5),-2)</f>
        <v>36700</v>
      </c>
      <c r="R495" s="114">
        <f>ROUNDUP(Q495+(Q495*Assumptions!Q$5),-2)</f>
        <v>37500</v>
      </c>
    </row>
    <row r="496" spans="1:18" x14ac:dyDescent="0.2">
      <c r="A496" s="107">
        <v>5000</v>
      </c>
      <c r="B496" s="33">
        <v>5000</v>
      </c>
      <c r="C496" s="189">
        <v>10000</v>
      </c>
      <c r="D496" s="33">
        <v>10000</v>
      </c>
      <c r="E496" s="658" t="s">
        <v>430</v>
      </c>
      <c r="F496" s="891" t="s">
        <v>4674</v>
      </c>
      <c r="G496" s="33">
        <v>10000</v>
      </c>
      <c r="H496" s="138">
        <f t="shared" si="681"/>
        <v>0</v>
      </c>
      <c r="I496" s="33">
        <f>G496</f>
        <v>10000</v>
      </c>
      <c r="J496" s="33">
        <f>ROUNDUP(I496+(I496*Assumptions!I$5),-2)</f>
        <v>10300</v>
      </c>
      <c r="K496" s="33">
        <f>ROUNDUP(J496+(J496*Assumptions!J$5),-2)</f>
        <v>10600</v>
      </c>
      <c r="L496" s="33">
        <f>ROUNDUP(K496+(K496*Assumptions!K$5),-2)</f>
        <v>10900</v>
      </c>
      <c r="M496" s="33">
        <f>ROUNDUP(L496+(L496*Assumptions!L$5),-2)</f>
        <v>11200</v>
      </c>
      <c r="N496" s="33">
        <f>ROUNDUP(M496+(M496*Assumptions!M$5),-2)</f>
        <v>11500</v>
      </c>
      <c r="O496" s="33">
        <f>ROUNDUP(N496+(N496*Assumptions!N$5),-2)</f>
        <v>11800</v>
      </c>
      <c r="P496" s="33">
        <f>ROUNDUP(O496+(O496*Assumptions!O$5),-2)</f>
        <v>12100</v>
      </c>
      <c r="Q496" s="33">
        <f>ROUNDUP(P496+(P496*Assumptions!P$5),-2)</f>
        <v>12400</v>
      </c>
      <c r="R496" s="114">
        <f>ROUNDUP(Q496+(Q496*Assumptions!Q$5),-2)</f>
        <v>12700</v>
      </c>
    </row>
    <row r="497" spans="1:18" x14ac:dyDescent="0.2">
      <c r="A497" s="107">
        <v>35300</v>
      </c>
      <c r="B497" s="33">
        <v>35900</v>
      </c>
      <c r="C497" s="33">
        <v>31400</v>
      </c>
      <c r="D497" s="33">
        <v>17400</v>
      </c>
      <c r="E497" s="658" t="s">
        <v>2362</v>
      </c>
      <c r="F497" s="111" t="s">
        <v>4675</v>
      </c>
      <c r="G497" s="33">
        <f>42000-4700</f>
        <v>37300</v>
      </c>
      <c r="H497" s="138">
        <f t="shared" si="681"/>
        <v>114.36781609195404</v>
      </c>
      <c r="I497" s="33">
        <v>32900</v>
      </c>
      <c r="J497" s="33">
        <f>ROUNDUP(I497+(I497*Assumptions!I$5),-2)</f>
        <v>33800</v>
      </c>
      <c r="K497" s="33">
        <f>ROUNDUP(J497+(J497*Assumptions!J$5),-2)</f>
        <v>34700</v>
      </c>
      <c r="L497" s="33">
        <f>ROUNDUP(K497+(K497*Assumptions!K$5),-2)</f>
        <v>35600</v>
      </c>
      <c r="M497" s="33">
        <f>ROUNDUP(L497+(L497*Assumptions!L$5),-2)</f>
        <v>36400</v>
      </c>
      <c r="N497" s="33">
        <f>ROUNDUP(M497+(M497*Assumptions!M$5),-2)</f>
        <v>37200</v>
      </c>
      <c r="O497" s="33">
        <f>ROUNDUP(N497+(N497*Assumptions!N$5),-2)</f>
        <v>38000</v>
      </c>
      <c r="P497" s="33">
        <f>ROUNDUP(O497+(O497*Assumptions!O$5),-2)</f>
        <v>38800</v>
      </c>
      <c r="Q497" s="33">
        <f>ROUNDUP(P497+(P497*Assumptions!P$5),-2)</f>
        <v>39600</v>
      </c>
      <c r="R497" s="114">
        <f>ROUNDUP(Q497+(Q497*Assumptions!Q$5),-2)</f>
        <v>40400</v>
      </c>
    </row>
    <row r="498" spans="1:18" x14ac:dyDescent="0.2">
      <c r="A498" s="107">
        <v>6500</v>
      </c>
      <c r="B498" s="33">
        <v>6000</v>
      </c>
      <c r="C498" s="189">
        <v>7500</v>
      </c>
      <c r="D498" s="33">
        <v>6000</v>
      </c>
      <c r="E498" s="1092" t="s">
        <v>3053</v>
      </c>
      <c r="F498" s="891" t="s">
        <v>4676</v>
      </c>
      <c r="G498" s="33">
        <v>5100</v>
      </c>
      <c r="H498" s="138">
        <f t="shared" si="681"/>
        <v>-15</v>
      </c>
      <c r="I498" s="33">
        <f>ROUNDUP(G498+(G498*Assumptions!H$5),-2)</f>
        <v>5200</v>
      </c>
      <c r="J498" s="33">
        <f>ROUNDUP(I498+(I498*Assumptions!I$5),-2)</f>
        <v>5400</v>
      </c>
      <c r="K498" s="33">
        <f>ROUNDUP(J498+(J498*Assumptions!J$5),-2)</f>
        <v>5600</v>
      </c>
      <c r="L498" s="33">
        <f>ROUNDUP(K498+(K498*Assumptions!K$5),-2)</f>
        <v>5800</v>
      </c>
      <c r="M498" s="33">
        <f>ROUNDUP(L498+(L498*Assumptions!L$5),-2)</f>
        <v>6000</v>
      </c>
      <c r="N498" s="33">
        <f>ROUNDUP(M498+(M498*Assumptions!M$5),-2)</f>
        <v>6200</v>
      </c>
      <c r="O498" s="33">
        <f>ROUNDUP(N498+(N498*Assumptions!N$5),-2)</f>
        <v>6400</v>
      </c>
      <c r="P498" s="33">
        <f>ROUNDUP(O498+(O498*Assumptions!O$5),-2)</f>
        <v>6600</v>
      </c>
      <c r="Q498" s="33">
        <f>ROUNDUP(P498+(P498*Assumptions!P$5),-2)</f>
        <v>6800</v>
      </c>
      <c r="R498" s="114">
        <f>ROUNDUP(Q498+(Q498*Assumptions!Q$5),-2)</f>
        <v>7000</v>
      </c>
    </row>
    <row r="499" spans="1:18" x14ac:dyDescent="0.2">
      <c r="A499" s="107">
        <v>75800</v>
      </c>
      <c r="B499" s="33">
        <v>63300</v>
      </c>
      <c r="C499" s="33">
        <v>35000</v>
      </c>
      <c r="D499" s="33">
        <v>83700</v>
      </c>
      <c r="E499" s="658" t="s">
        <v>2363</v>
      </c>
      <c r="F499" s="111" t="s">
        <v>6668</v>
      </c>
      <c r="G499" s="33">
        <f>50000+10000</f>
        <v>60000</v>
      </c>
      <c r="H499" s="138">
        <f t="shared" si="681"/>
        <v>-28.31541218637993</v>
      </c>
      <c r="I499" s="33">
        <f>ROUNDUP(G499+(G499*Assumptions!H$5),-2)</f>
        <v>60900</v>
      </c>
      <c r="J499" s="33">
        <f>ROUNDUP(I499+(I499*Assumptions!I$5),-2)</f>
        <v>62500</v>
      </c>
      <c r="K499" s="33">
        <f>ROUNDUP(J499+(J499*Assumptions!J$5),-2)</f>
        <v>64100</v>
      </c>
      <c r="L499" s="33">
        <f>ROUNDUP(K499+(K499*Assumptions!K$5),-2)</f>
        <v>65800</v>
      </c>
      <c r="M499" s="33">
        <f>ROUNDUP(L499+(L499*Assumptions!L$5),-2)</f>
        <v>67200</v>
      </c>
      <c r="N499" s="33">
        <f>ROUNDUP(M499+(M499*Assumptions!M$5),-2)</f>
        <v>68600</v>
      </c>
      <c r="O499" s="33">
        <f>ROUNDUP(N499+(N499*Assumptions!N$5),-2)</f>
        <v>70000</v>
      </c>
      <c r="P499" s="33">
        <f>ROUNDUP(O499+(O499*Assumptions!O$5),-2)</f>
        <v>71400</v>
      </c>
      <c r="Q499" s="33">
        <f>ROUNDUP(P499+(P499*Assumptions!P$5),-2)</f>
        <v>72900</v>
      </c>
      <c r="R499" s="114">
        <f>ROUNDUP(Q499+(Q499*Assumptions!Q$5),-2)</f>
        <v>74400</v>
      </c>
    </row>
    <row r="500" spans="1:18" x14ac:dyDescent="0.2">
      <c r="A500" s="107">
        <v>0</v>
      </c>
      <c r="B500" s="33">
        <v>0</v>
      </c>
      <c r="C500" s="33">
        <v>0</v>
      </c>
      <c r="D500" s="33">
        <v>0</v>
      </c>
      <c r="E500" s="1092" t="s">
        <v>6161</v>
      </c>
      <c r="F500" s="111" t="s">
        <v>6663</v>
      </c>
      <c r="G500" s="33">
        <v>30100</v>
      </c>
      <c r="H500" s="138">
        <f t="shared" si="681"/>
        <v>100</v>
      </c>
      <c r="I500" s="33">
        <v>20000</v>
      </c>
      <c r="J500" s="33">
        <v>30000</v>
      </c>
      <c r="K500" s="33">
        <v>40000</v>
      </c>
      <c r="L500" s="33">
        <v>50000</v>
      </c>
      <c r="M500" s="33">
        <f>ROUNDUP(L500+(L500*Assumptions!L$5),-2)</f>
        <v>51000</v>
      </c>
      <c r="N500" s="33">
        <f>ROUNDUP(M500+(M500*Assumptions!M$5),-2)</f>
        <v>52100</v>
      </c>
      <c r="O500" s="33">
        <f>ROUNDUP(N500+(N500*Assumptions!N$5),-2)</f>
        <v>53200</v>
      </c>
      <c r="P500" s="33">
        <f>ROUNDUP(O500+(O500*Assumptions!O$5),-2)</f>
        <v>54300</v>
      </c>
      <c r="Q500" s="33">
        <f>ROUNDUP(P500+(P500*Assumptions!P$5),-2)</f>
        <v>55400</v>
      </c>
      <c r="R500" s="114">
        <f>ROUNDUP(Q500+(Q500*Assumptions!Q$5),-2)</f>
        <v>56600</v>
      </c>
    </row>
    <row r="501" spans="1:18" x14ac:dyDescent="0.2">
      <c r="A501" s="107">
        <v>0</v>
      </c>
      <c r="B501" s="33">
        <v>0</v>
      </c>
      <c r="C501" s="33">
        <v>0</v>
      </c>
      <c r="D501" s="33">
        <v>0</v>
      </c>
      <c r="E501" s="1092" t="s">
        <v>5536</v>
      </c>
      <c r="F501" s="111" t="s">
        <v>5537</v>
      </c>
      <c r="G501" s="33">
        <v>14000</v>
      </c>
      <c r="H501" s="138">
        <f t="shared" si="681"/>
        <v>100</v>
      </c>
      <c r="I501" s="33">
        <v>0</v>
      </c>
      <c r="J501" s="33">
        <v>0</v>
      </c>
      <c r="K501" s="33">
        <v>0</v>
      </c>
      <c r="L501" s="33">
        <v>0</v>
      </c>
      <c r="M501" s="33">
        <f>ROUNDUP(L501+(L501*Assumptions!L$5),-2)</f>
        <v>0</v>
      </c>
      <c r="N501" s="33">
        <f>ROUNDUP(M501+(M501*Assumptions!M$5),-2)</f>
        <v>0</v>
      </c>
      <c r="O501" s="33">
        <f>ROUNDUP(N501+(N501*Assumptions!N$5),-2)</f>
        <v>0</v>
      </c>
      <c r="P501" s="33">
        <f>ROUNDUP(O501+(O501*Assumptions!O$5),-2)</f>
        <v>0</v>
      </c>
      <c r="Q501" s="33">
        <f>ROUNDUP(P501+(P501*Assumptions!P$5),-2)</f>
        <v>0</v>
      </c>
      <c r="R501" s="114">
        <f>ROUNDUP(Q501+(Q501*Assumptions!Q$5),-2)</f>
        <v>0</v>
      </c>
    </row>
    <row r="502" spans="1:18" x14ac:dyDescent="0.2">
      <c r="A502" s="107">
        <v>0</v>
      </c>
      <c r="B502" s="33">
        <v>600</v>
      </c>
      <c r="C502" s="33">
        <v>5100</v>
      </c>
      <c r="D502" s="33">
        <v>1200</v>
      </c>
      <c r="E502" s="658" t="s">
        <v>2130</v>
      </c>
      <c r="F502" s="111" t="s">
        <v>4678</v>
      </c>
      <c r="G502" s="33">
        <v>3000</v>
      </c>
      <c r="H502" s="138">
        <f t="shared" si="681"/>
        <v>150</v>
      </c>
      <c r="I502" s="33">
        <f>ROUNDUP(G502+(G502*Assumptions!H$5),-2)</f>
        <v>3100</v>
      </c>
      <c r="J502" s="33">
        <f>ROUNDUP(I502+(I502*Assumptions!I$5),-2)</f>
        <v>3200</v>
      </c>
      <c r="K502" s="33">
        <f>ROUNDUP(J502+(J502*Assumptions!J$5),-2)</f>
        <v>3300</v>
      </c>
      <c r="L502" s="33">
        <f>ROUNDUP(K502+(K502*Assumptions!K$5),-2)</f>
        <v>3400</v>
      </c>
      <c r="M502" s="33">
        <f>ROUNDUP(L502+(L502*Assumptions!L$5),-2)</f>
        <v>3500</v>
      </c>
      <c r="N502" s="33">
        <f>ROUNDUP(M502+(M502*Assumptions!M$5),-2)</f>
        <v>3600</v>
      </c>
      <c r="O502" s="33">
        <f>ROUNDUP(N502+(N502*Assumptions!N$5),-2)</f>
        <v>3700</v>
      </c>
      <c r="P502" s="33">
        <f>ROUNDUP(O502+(O502*Assumptions!O$5),-2)</f>
        <v>3800</v>
      </c>
      <c r="Q502" s="33">
        <f>ROUNDUP(P502+(P502*Assumptions!P$5),-2)</f>
        <v>3900</v>
      </c>
      <c r="R502" s="114">
        <f>ROUNDUP(Q502+(Q502*Assumptions!Q$5),-2)</f>
        <v>4000</v>
      </c>
    </row>
    <row r="503" spans="1:18" x14ac:dyDescent="0.2">
      <c r="A503" s="107"/>
      <c r="B503" s="33"/>
      <c r="C503" s="33"/>
      <c r="D503" s="33"/>
      <c r="E503" s="344"/>
      <c r="F503" s="108"/>
      <c r="G503" s="33"/>
      <c r="H503" s="138"/>
      <c r="I503" s="33"/>
      <c r="J503" s="33"/>
      <c r="K503" s="33"/>
      <c r="L503" s="33"/>
      <c r="M503" s="33"/>
      <c r="N503" s="33"/>
      <c r="O503" s="33"/>
      <c r="P503" s="33"/>
      <c r="Q503" s="33"/>
      <c r="R503" s="114"/>
    </row>
    <row r="504" spans="1:18" s="92" customFormat="1" x14ac:dyDescent="0.2">
      <c r="A504" s="70"/>
      <c r="B504" s="64"/>
      <c r="C504" s="64"/>
      <c r="D504" s="33"/>
      <c r="E504" s="345"/>
      <c r="F504" s="137" t="s">
        <v>256</v>
      </c>
      <c r="G504" s="64"/>
      <c r="H504" s="138"/>
      <c r="I504" s="64"/>
      <c r="J504" s="64"/>
      <c r="K504" s="64"/>
      <c r="L504" s="64"/>
      <c r="M504" s="64"/>
      <c r="N504" s="64"/>
      <c r="O504" s="64"/>
      <c r="P504" s="64"/>
      <c r="Q504" s="64"/>
      <c r="R504" s="115"/>
    </row>
    <row r="505" spans="1:18" x14ac:dyDescent="0.2">
      <c r="A505" s="107">
        <v>34200</v>
      </c>
      <c r="B505" s="33">
        <v>35000</v>
      </c>
      <c r="C505" s="33">
        <v>35900</v>
      </c>
      <c r="D505" s="33">
        <v>40100</v>
      </c>
      <c r="E505" s="658" t="s">
        <v>769</v>
      </c>
      <c r="F505" s="108" t="s">
        <v>770</v>
      </c>
      <c r="G505" s="33">
        <v>44200</v>
      </c>
      <c r="H505" s="138">
        <f t="shared" ref="H505:H515" si="682">IF(D505=G505,0,IF(D505=0,100,(G505-D505)/D505*100))</f>
        <v>10.224438902743142</v>
      </c>
      <c r="I505" s="33">
        <f>ROUNDUP(G505+(G505*Assumptions!H$5),-2)</f>
        <v>44900</v>
      </c>
      <c r="J505" s="33">
        <f>ROUNDUP(I505+(I505*Assumptions!I$5),-2)</f>
        <v>46100</v>
      </c>
      <c r="K505" s="33">
        <f>ROUNDUP(J505+(J505*Assumptions!J$5),-2)</f>
        <v>47300</v>
      </c>
      <c r="L505" s="33">
        <f>ROUNDUP(K505+(K505*Assumptions!K$5),-2)</f>
        <v>48500</v>
      </c>
      <c r="M505" s="33">
        <f>ROUNDUP(L505+(L505*Assumptions!L$5),-2)</f>
        <v>49500</v>
      </c>
      <c r="N505" s="33">
        <f>ROUNDUP(M505+(M505*Assumptions!M$5),-2)</f>
        <v>50500</v>
      </c>
      <c r="O505" s="33">
        <f>ROUNDUP(N505+(N505*Assumptions!N$5),-2)</f>
        <v>51600</v>
      </c>
      <c r="P505" s="33">
        <f>ROUNDUP(O505+(O505*Assumptions!O$5),-2)</f>
        <v>52700</v>
      </c>
      <c r="Q505" s="33">
        <f>ROUNDUP(P505+(P505*Assumptions!P$5),-2)</f>
        <v>53800</v>
      </c>
      <c r="R505" s="114">
        <f>ROUNDUP(Q505+(Q505*Assumptions!Q$5),-2)</f>
        <v>54900</v>
      </c>
    </row>
    <row r="506" spans="1:18" x14ac:dyDescent="0.2">
      <c r="A506" s="107">
        <v>166400</v>
      </c>
      <c r="B506" s="33">
        <v>178100</v>
      </c>
      <c r="C506" s="33">
        <v>181100</v>
      </c>
      <c r="D506" s="33">
        <v>183800</v>
      </c>
      <c r="E506" s="658" t="s">
        <v>2100</v>
      </c>
      <c r="F506" s="108" t="s">
        <v>984</v>
      </c>
      <c r="G506" s="33">
        <v>180800</v>
      </c>
      <c r="H506" s="138">
        <f t="shared" si="682"/>
        <v>-1.632208922742111</v>
      </c>
      <c r="I506" s="33">
        <f>ROUNDUP(G506+(G506*Assumptions!H$5),-2)</f>
        <v>183600</v>
      </c>
      <c r="J506" s="33">
        <f>ROUNDUP(I506+(I506*Assumptions!I$5),-2)</f>
        <v>188200</v>
      </c>
      <c r="K506" s="33">
        <f>ROUNDUP(J506+(J506*Assumptions!J$5),-2)</f>
        <v>193000</v>
      </c>
      <c r="L506" s="33">
        <f>ROUNDUP(K506+(K506*Assumptions!K$5),-2)</f>
        <v>197900</v>
      </c>
      <c r="M506" s="33">
        <f>ROUNDUP(L506+(L506*Assumptions!L$5),-2)</f>
        <v>201900</v>
      </c>
      <c r="N506" s="33">
        <f>ROUNDUP(M506+(M506*Assumptions!M$5),-2)</f>
        <v>206000</v>
      </c>
      <c r="O506" s="33">
        <f>ROUNDUP(N506+(N506*Assumptions!N$5),-2)</f>
        <v>210200</v>
      </c>
      <c r="P506" s="33">
        <f>ROUNDUP(O506+(O506*Assumptions!O$5),-2)</f>
        <v>214500</v>
      </c>
      <c r="Q506" s="33">
        <f>ROUNDUP(P506+(P506*Assumptions!P$5),-2)</f>
        <v>218800</v>
      </c>
      <c r="R506" s="114">
        <f>ROUNDUP(Q506+(Q506*Assumptions!Q$5),-2)</f>
        <v>223200</v>
      </c>
    </row>
    <row r="507" spans="1:18" x14ac:dyDescent="0.2">
      <c r="A507" s="107">
        <v>21800</v>
      </c>
      <c r="B507" s="33">
        <v>13300</v>
      </c>
      <c r="C507" s="33">
        <v>10100</v>
      </c>
      <c r="D507" s="33">
        <v>9500</v>
      </c>
      <c r="E507" s="658" t="s">
        <v>2101</v>
      </c>
      <c r="F507" s="108" t="s">
        <v>361</v>
      </c>
      <c r="G507" s="33">
        <v>16400</v>
      </c>
      <c r="H507" s="138">
        <f t="shared" si="682"/>
        <v>72.631578947368425</v>
      </c>
      <c r="I507" s="33">
        <f>ROUNDUP(G507+(G507*Assumptions!H$5),-2)</f>
        <v>16700</v>
      </c>
      <c r="J507" s="33">
        <f>ROUNDUP(I507+(I507*Assumptions!I$5),-2)</f>
        <v>17200</v>
      </c>
      <c r="K507" s="33">
        <f>ROUNDUP(J507+(J507*Assumptions!J$5),-2)</f>
        <v>17700</v>
      </c>
      <c r="L507" s="33">
        <f>ROUNDUP(K507+(K507*Assumptions!K$5),-2)</f>
        <v>18200</v>
      </c>
      <c r="M507" s="33">
        <f>ROUNDUP(L507+(L507*Assumptions!L$5),-2)</f>
        <v>18600</v>
      </c>
      <c r="N507" s="33">
        <f>ROUNDUP(M507+(M507*Assumptions!M$5),-2)</f>
        <v>19000</v>
      </c>
      <c r="O507" s="33">
        <f>ROUNDUP(N507+(N507*Assumptions!N$5),-2)</f>
        <v>19400</v>
      </c>
      <c r="P507" s="33">
        <f>ROUNDUP(O507+(O507*Assumptions!O$5),-2)</f>
        <v>19800</v>
      </c>
      <c r="Q507" s="33">
        <f>ROUNDUP(P507+(P507*Assumptions!P$5),-2)</f>
        <v>20200</v>
      </c>
      <c r="R507" s="114">
        <f>ROUNDUP(Q507+(Q507*Assumptions!Q$5),-2)</f>
        <v>20700</v>
      </c>
    </row>
    <row r="508" spans="1:18" x14ac:dyDescent="0.2">
      <c r="A508" s="107">
        <v>26600</v>
      </c>
      <c r="B508" s="33">
        <v>1600</v>
      </c>
      <c r="C508" s="33">
        <f>6200-700</f>
        <v>5500</v>
      </c>
      <c r="D508" s="33">
        <v>7700</v>
      </c>
      <c r="E508" s="658" t="s">
        <v>2624</v>
      </c>
      <c r="F508" s="108" t="s">
        <v>1005</v>
      </c>
      <c r="G508" s="33">
        <v>14000</v>
      </c>
      <c r="H508" s="138">
        <f t="shared" si="682"/>
        <v>81.818181818181827</v>
      </c>
      <c r="I508" s="33">
        <v>7000</v>
      </c>
      <c r="J508" s="33">
        <f>ROUNDUP(I508+(I508*Assumptions!I$5),-2)</f>
        <v>7200</v>
      </c>
      <c r="K508" s="33">
        <f>ROUNDUP(J508+(J508*Assumptions!J$5),-2)</f>
        <v>7400</v>
      </c>
      <c r="L508" s="33">
        <f>ROUNDUP(K508+(K508*Assumptions!K$5),-2)</f>
        <v>7600</v>
      </c>
      <c r="M508" s="33">
        <f>ROUNDUP(L508+(L508*Assumptions!L$5),-2)</f>
        <v>7800</v>
      </c>
      <c r="N508" s="33">
        <f>ROUNDUP(M508+(M508*Assumptions!M$5),-2)</f>
        <v>8000</v>
      </c>
      <c r="O508" s="33">
        <f>ROUNDUP(N508+(N508*Assumptions!N$5),-2)</f>
        <v>8200</v>
      </c>
      <c r="P508" s="33">
        <f>ROUNDUP(O508+(O508*Assumptions!O$5),-2)</f>
        <v>8400</v>
      </c>
      <c r="Q508" s="33">
        <f>ROUNDUP(P508+(P508*Assumptions!P$5),-2)</f>
        <v>8600</v>
      </c>
      <c r="R508" s="114">
        <f>ROUNDUP(Q508+(Q508*Assumptions!Q$5),-2)</f>
        <v>8800</v>
      </c>
    </row>
    <row r="509" spans="1:18" x14ac:dyDescent="0.2">
      <c r="A509" s="107">
        <v>8400</v>
      </c>
      <c r="B509" s="33">
        <v>16700</v>
      </c>
      <c r="C509" s="33">
        <v>8100</v>
      </c>
      <c r="D509" s="33">
        <v>3600</v>
      </c>
      <c r="E509" s="658" t="s">
        <v>1459</v>
      </c>
      <c r="F509" s="108" t="s">
        <v>845</v>
      </c>
      <c r="G509" s="33">
        <v>7500</v>
      </c>
      <c r="H509" s="138">
        <f t="shared" si="682"/>
        <v>108.33333333333333</v>
      </c>
      <c r="I509" s="33">
        <f>ROUNDUP(G509+(G509*Assumptions!H$5),-2)</f>
        <v>7700</v>
      </c>
      <c r="J509" s="33">
        <f>ROUNDUP(I509+(I509*Assumptions!I$5),-2)</f>
        <v>7900</v>
      </c>
      <c r="K509" s="33">
        <f>ROUNDUP(J509+(J509*Assumptions!J$5),-2)</f>
        <v>8100</v>
      </c>
      <c r="L509" s="33">
        <f>ROUNDUP(K509+(K509*Assumptions!K$5),-2)</f>
        <v>8400</v>
      </c>
      <c r="M509" s="33">
        <f>ROUNDUP(L509+(L509*Assumptions!L$5),-2)</f>
        <v>8600</v>
      </c>
      <c r="N509" s="33">
        <f>ROUNDUP(M509+(M509*Assumptions!M$5),-2)</f>
        <v>8800</v>
      </c>
      <c r="O509" s="33">
        <f>ROUNDUP(N509+(N509*Assumptions!N$5),-2)</f>
        <v>9000</v>
      </c>
      <c r="P509" s="33">
        <f>ROUNDUP(O509+(O509*Assumptions!O$5),-2)</f>
        <v>9200</v>
      </c>
      <c r="Q509" s="33">
        <f>ROUNDUP(P509+(P509*Assumptions!P$5),-2)</f>
        <v>9400</v>
      </c>
      <c r="R509" s="114">
        <f>ROUNDUP(Q509+(Q509*Assumptions!Q$5),-2)</f>
        <v>9600</v>
      </c>
    </row>
    <row r="510" spans="1:18" x14ac:dyDescent="0.2">
      <c r="A510" s="107">
        <v>13300</v>
      </c>
      <c r="B510" s="33">
        <v>12800</v>
      </c>
      <c r="C510" s="33">
        <v>10600</v>
      </c>
      <c r="D510" s="33">
        <v>10300</v>
      </c>
      <c r="E510" s="658" t="s">
        <v>191</v>
      </c>
      <c r="F510" s="108" t="s">
        <v>1411</v>
      </c>
      <c r="G510" s="33">
        <v>13200</v>
      </c>
      <c r="H510" s="138">
        <f t="shared" si="682"/>
        <v>28.155339805825243</v>
      </c>
      <c r="I510" s="33">
        <f>ROUNDUP(G510+(G510*Assumptions!H$5),-2)</f>
        <v>13400</v>
      </c>
      <c r="J510" s="33">
        <f>ROUNDUP(I510+(I510*Assumptions!I$5),-2)</f>
        <v>13800</v>
      </c>
      <c r="K510" s="33">
        <f>ROUNDUP(J510+(J510*Assumptions!J$5),-2)</f>
        <v>14200</v>
      </c>
      <c r="L510" s="33">
        <f>ROUNDUP(K510+(K510*Assumptions!K$5),-2)</f>
        <v>14600</v>
      </c>
      <c r="M510" s="33">
        <f>ROUNDUP(L510+(L510*Assumptions!L$5),-2)</f>
        <v>14900</v>
      </c>
      <c r="N510" s="33">
        <f>ROUNDUP(M510+(M510*Assumptions!M$5),-2)</f>
        <v>15200</v>
      </c>
      <c r="O510" s="33">
        <f>ROUNDUP(N510+(N510*Assumptions!N$5),-2)</f>
        <v>15600</v>
      </c>
      <c r="P510" s="33">
        <f>ROUNDUP(O510+(O510*Assumptions!O$5),-2)</f>
        <v>16000</v>
      </c>
      <c r="Q510" s="33">
        <f>ROUNDUP(P510+(P510*Assumptions!P$5),-2)</f>
        <v>16400</v>
      </c>
      <c r="R510" s="114">
        <f>ROUNDUP(Q510+(Q510*Assumptions!Q$5),-2)</f>
        <v>16800</v>
      </c>
    </row>
    <row r="511" spans="1:18" x14ac:dyDescent="0.2">
      <c r="A511" s="107">
        <v>0</v>
      </c>
      <c r="B511" s="33">
        <v>28000</v>
      </c>
      <c r="C511" s="33">
        <v>25900</v>
      </c>
      <c r="D511" s="33">
        <v>26500</v>
      </c>
      <c r="E511" s="1092" t="s">
        <v>3009</v>
      </c>
      <c r="F511" s="108" t="s">
        <v>1348</v>
      </c>
      <c r="G511" s="33">
        <f>27400+6500</f>
        <v>33900</v>
      </c>
      <c r="H511" s="138">
        <f t="shared" si="682"/>
        <v>27.924528301886792</v>
      </c>
      <c r="I511" s="33">
        <f>ROUNDUP(G511+(G511*Assumptions!H$5),-2)</f>
        <v>34500</v>
      </c>
      <c r="J511" s="33">
        <f>ROUNDUP(I511+(I511*Assumptions!I$5),-2)</f>
        <v>35400</v>
      </c>
      <c r="K511" s="33">
        <f>ROUNDUP(J511+(J511*Assumptions!J$5),-2)</f>
        <v>36300</v>
      </c>
      <c r="L511" s="33">
        <f>ROUNDUP(K511+(K511*Assumptions!K$5),-2)</f>
        <v>37300</v>
      </c>
      <c r="M511" s="33">
        <f>ROUNDUP(L511+(L511*Assumptions!L$5),-2)</f>
        <v>38100</v>
      </c>
      <c r="N511" s="33">
        <f>ROUNDUP(M511+(M511*Assumptions!M$5),-2)</f>
        <v>38900</v>
      </c>
      <c r="O511" s="33">
        <f>ROUNDUP(N511+(N511*Assumptions!N$5),-2)</f>
        <v>39700</v>
      </c>
      <c r="P511" s="33">
        <f>ROUNDUP(O511+(O511*Assumptions!O$5),-2)</f>
        <v>40500</v>
      </c>
      <c r="Q511" s="33">
        <f>ROUNDUP(P511+(P511*Assumptions!P$5),-2)</f>
        <v>41400</v>
      </c>
      <c r="R511" s="114">
        <f>ROUNDUP(Q511+(Q511*Assumptions!Q$5),-2)</f>
        <v>42300</v>
      </c>
    </row>
    <row r="512" spans="1:18" x14ac:dyDescent="0.2">
      <c r="A512" s="107">
        <v>7200</v>
      </c>
      <c r="B512" s="33">
        <f>11500+100</f>
        <v>11600</v>
      </c>
      <c r="C512" s="33">
        <v>12000</v>
      </c>
      <c r="D512" s="33">
        <v>12400</v>
      </c>
      <c r="E512" s="658" t="s">
        <v>1495</v>
      </c>
      <c r="F512" s="108" t="s">
        <v>1934</v>
      </c>
      <c r="G512" s="33">
        <v>12700</v>
      </c>
      <c r="H512" s="138">
        <f t="shared" si="682"/>
        <v>2.4193548387096775</v>
      </c>
      <c r="I512" s="33">
        <f>ROUNDUP(G512+(G512*Assumptions!H$5),-2)</f>
        <v>12900</v>
      </c>
      <c r="J512" s="33">
        <f>ROUNDUP(I512+(I512*Assumptions!I$5),-2)</f>
        <v>13300</v>
      </c>
      <c r="K512" s="33">
        <f>ROUNDUP(J512+(J512*Assumptions!J$5),-2)</f>
        <v>13700</v>
      </c>
      <c r="L512" s="33">
        <f>ROUNDUP(K512+(K512*Assumptions!K$5),-2)</f>
        <v>14100</v>
      </c>
      <c r="M512" s="33">
        <f>ROUNDUP(L512+(L512*Assumptions!L$5),-2)</f>
        <v>14400</v>
      </c>
      <c r="N512" s="33">
        <f>ROUNDUP(M512+(M512*Assumptions!M$5),-2)</f>
        <v>14700</v>
      </c>
      <c r="O512" s="33">
        <f>ROUNDUP(N512+(N512*Assumptions!N$5),-2)</f>
        <v>15000</v>
      </c>
      <c r="P512" s="33">
        <f>ROUNDUP(O512+(O512*Assumptions!O$5),-2)</f>
        <v>15300</v>
      </c>
      <c r="Q512" s="33">
        <f>ROUNDUP(P512+(P512*Assumptions!P$5),-2)</f>
        <v>15700</v>
      </c>
      <c r="R512" s="114">
        <f>ROUNDUP(Q512+(Q512*Assumptions!Q$5),-2)</f>
        <v>16100</v>
      </c>
    </row>
    <row r="513" spans="1:18" x14ac:dyDescent="0.2">
      <c r="A513" s="107">
        <v>14700</v>
      </c>
      <c r="B513" s="132">
        <f>8800-100</f>
        <v>8700</v>
      </c>
      <c r="C513" s="33">
        <v>7100</v>
      </c>
      <c r="D513" s="33">
        <v>5900</v>
      </c>
      <c r="E513" s="658" t="s">
        <v>2723</v>
      </c>
      <c r="F513" s="108" t="s">
        <v>2691</v>
      </c>
      <c r="G513" s="33">
        <v>10000</v>
      </c>
      <c r="H513" s="138">
        <f t="shared" si="682"/>
        <v>69.491525423728817</v>
      </c>
      <c r="I513" s="33">
        <f>ROUNDUP(G513+(G513*Assumptions!H$5),-2)</f>
        <v>10200</v>
      </c>
      <c r="J513" s="33">
        <f>ROUNDUP(I513+(I513*Assumptions!I$5),-2)</f>
        <v>10500</v>
      </c>
      <c r="K513" s="33">
        <f>ROUNDUP(J513+(J513*Assumptions!J$5),-2)</f>
        <v>10800</v>
      </c>
      <c r="L513" s="33">
        <f>ROUNDUP(K513+(K513*Assumptions!K$5),-2)</f>
        <v>11100</v>
      </c>
      <c r="M513" s="33">
        <f>ROUNDUP(L513+(L513*Assumptions!L$5),-2)</f>
        <v>11400</v>
      </c>
      <c r="N513" s="33">
        <f>ROUNDUP(M513+(M513*Assumptions!M$5),-2)</f>
        <v>11700</v>
      </c>
      <c r="O513" s="33">
        <f>ROUNDUP(N513+(N513*Assumptions!N$5),-2)</f>
        <v>12000</v>
      </c>
      <c r="P513" s="33">
        <f>ROUNDUP(O513+(O513*Assumptions!O$5),-2)</f>
        <v>12300</v>
      </c>
      <c r="Q513" s="33">
        <f>ROUNDUP(P513+(P513*Assumptions!P$5),-2)</f>
        <v>12600</v>
      </c>
      <c r="R513" s="114">
        <f>ROUNDUP(Q513+(Q513*Assumptions!Q$5),-2)</f>
        <v>12900</v>
      </c>
    </row>
    <row r="514" spans="1:18" x14ac:dyDescent="0.2">
      <c r="A514" s="107">
        <v>23500</v>
      </c>
      <c r="B514" s="33">
        <v>23600</v>
      </c>
      <c r="C514" s="33">
        <v>8500</v>
      </c>
      <c r="D514" s="33">
        <v>8500</v>
      </c>
      <c r="E514" s="1092" t="s">
        <v>3026</v>
      </c>
      <c r="F514" s="111" t="s">
        <v>4632</v>
      </c>
      <c r="G514" s="33">
        <v>33000</v>
      </c>
      <c r="H514" s="138">
        <f t="shared" si="682"/>
        <v>288.23529411764707</v>
      </c>
      <c r="I514" s="33">
        <v>30000</v>
      </c>
      <c r="J514" s="33">
        <f>ROUNDUP(I514+(I514*Assumptions!I$5),-2)</f>
        <v>30800</v>
      </c>
      <c r="K514" s="33">
        <f>ROUNDUP(J514+(J514*Assumptions!J$5),-2)</f>
        <v>31600</v>
      </c>
      <c r="L514" s="33">
        <f>ROUNDUP(K514+(K514*Assumptions!K$5),-2)</f>
        <v>32400</v>
      </c>
      <c r="M514" s="33">
        <f>ROUNDUP(L514+(L514*Assumptions!L$5),-2)</f>
        <v>33100</v>
      </c>
      <c r="N514" s="33">
        <f>ROUNDUP(M514+(M514*Assumptions!M$5),-2)</f>
        <v>33800</v>
      </c>
      <c r="O514" s="33">
        <f>ROUNDUP(N514+(N514*Assumptions!N$5),-2)</f>
        <v>34500</v>
      </c>
      <c r="P514" s="33">
        <f>ROUNDUP(O514+(O514*Assumptions!O$5),-2)</f>
        <v>35200</v>
      </c>
      <c r="Q514" s="33">
        <f>ROUNDUP(P514+(P514*Assumptions!P$5),-2)</f>
        <v>36000</v>
      </c>
      <c r="R514" s="114">
        <f>ROUNDUP(Q514+(Q514*Assumptions!Q$5),-2)</f>
        <v>36800</v>
      </c>
    </row>
    <row r="515" spans="1:18" x14ac:dyDescent="0.2">
      <c r="A515" s="107">
        <v>199800</v>
      </c>
      <c r="B515" s="33">
        <v>0</v>
      </c>
      <c r="C515" s="33">
        <v>0</v>
      </c>
      <c r="D515" s="33">
        <v>0</v>
      </c>
      <c r="E515" s="658" t="s">
        <v>1460</v>
      </c>
      <c r="F515" s="108" t="s">
        <v>2707</v>
      </c>
      <c r="G515" s="33">
        <v>230000</v>
      </c>
      <c r="H515" s="138">
        <f t="shared" si="682"/>
        <v>100</v>
      </c>
      <c r="I515" s="33">
        <v>0</v>
      </c>
      <c r="J515" s="33">
        <v>0</v>
      </c>
      <c r="K515" s="33">
        <v>0</v>
      </c>
      <c r="L515" s="33">
        <v>260000</v>
      </c>
      <c r="M515" s="33">
        <v>0</v>
      </c>
      <c r="N515" s="33">
        <v>0</v>
      </c>
      <c r="O515" s="33">
        <v>0</v>
      </c>
      <c r="P515" s="33">
        <v>290000</v>
      </c>
      <c r="Q515" s="33">
        <v>0</v>
      </c>
      <c r="R515" s="114">
        <v>0</v>
      </c>
    </row>
    <row r="516" spans="1:18" x14ac:dyDescent="0.2">
      <c r="A516" s="107"/>
      <c r="B516" s="33"/>
      <c r="C516" s="33"/>
      <c r="D516" s="33"/>
      <c r="E516" s="344"/>
      <c r="F516" s="108"/>
      <c r="G516" s="33"/>
      <c r="H516" s="138"/>
      <c r="I516" s="33"/>
      <c r="J516" s="33"/>
      <c r="K516" s="33"/>
      <c r="L516" s="33"/>
      <c r="M516" s="33"/>
      <c r="N516" s="33"/>
      <c r="O516" s="33"/>
      <c r="P516" s="33"/>
      <c r="Q516" s="33"/>
      <c r="R516" s="114"/>
    </row>
    <row r="517" spans="1:18" x14ac:dyDescent="0.2">
      <c r="A517" s="107"/>
      <c r="B517" s="33"/>
      <c r="C517" s="33"/>
      <c r="D517" s="33"/>
      <c r="E517" s="344"/>
      <c r="F517" s="137" t="s">
        <v>1150</v>
      </c>
      <c r="G517" s="33"/>
      <c r="H517" s="138"/>
      <c r="I517" s="33"/>
      <c r="J517" s="33"/>
      <c r="K517" s="33"/>
      <c r="L517" s="33"/>
      <c r="M517" s="33"/>
      <c r="N517" s="33"/>
      <c r="O517" s="33"/>
      <c r="P517" s="33"/>
      <c r="Q517" s="33"/>
      <c r="R517" s="114"/>
    </row>
    <row r="518" spans="1:18" x14ac:dyDescent="0.2">
      <c r="A518" s="107">
        <v>35400</v>
      </c>
      <c r="B518" s="33">
        <v>34200</v>
      </c>
      <c r="C518" s="33">
        <v>35500</v>
      </c>
      <c r="D518" s="33">
        <v>39800</v>
      </c>
      <c r="E518" s="658" t="s">
        <v>1520</v>
      </c>
      <c r="F518" s="111" t="s">
        <v>6669</v>
      </c>
      <c r="G518" s="33">
        <v>40000</v>
      </c>
      <c r="H518" s="138">
        <f t="shared" ref="H518:H523" si="683">IF(D518=G518,0,IF(D518=0,100,(G518-D518)/D518*100))</f>
        <v>0.50251256281407031</v>
      </c>
      <c r="I518" s="33">
        <f>ROUNDUP(G518+(G518*Assumptions!H$5),-2)</f>
        <v>40600</v>
      </c>
      <c r="J518" s="33">
        <f>ROUNDUP(I518+(I518*Assumptions!I$5),-2)</f>
        <v>41700</v>
      </c>
      <c r="K518" s="33">
        <f>ROUNDUP(J518+(J518*Assumptions!J$5),-2)</f>
        <v>42800</v>
      </c>
      <c r="L518" s="33">
        <f>ROUNDUP(K518+(K518*Assumptions!K$5),-2)</f>
        <v>43900</v>
      </c>
      <c r="M518" s="33">
        <f>ROUNDUP(L518+(L518*Assumptions!L$5),-2)</f>
        <v>44800</v>
      </c>
      <c r="N518" s="33">
        <f>ROUNDUP(M518+(M518*Assumptions!M$5),-2)</f>
        <v>45700</v>
      </c>
      <c r="O518" s="33">
        <f>ROUNDUP(N518+(N518*Assumptions!N$5),-2)</f>
        <v>46700</v>
      </c>
      <c r="P518" s="33">
        <f>ROUNDUP(O518+(O518*Assumptions!O$5),-2)</f>
        <v>47700</v>
      </c>
      <c r="Q518" s="33">
        <f>ROUNDUP(P518+(P518*Assumptions!P$5),-2)</f>
        <v>48700</v>
      </c>
      <c r="R518" s="114">
        <f>ROUNDUP(Q518+(Q518*Assumptions!Q$5),-2)</f>
        <v>49700</v>
      </c>
    </row>
    <row r="519" spans="1:18" x14ac:dyDescent="0.2">
      <c r="A519" s="107">
        <v>17600</v>
      </c>
      <c r="B519" s="33">
        <v>17600</v>
      </c>
      <c r="C519" s="33">
        <v>17600</v>
      </c>
      <c r="D519" s="33">
        <v>17500</v>
      </c>
      <c r="E519" s="658" t="s">
        <v>1521</v>
      </c>
      <c r="F519" s="108" t="s">
        <v>1918</v>
      </c>
      <c r="G519" s="33">
        <v>17500</v>
      </c>
      <c r="H519" s="138">
        <f t="shared" si="683"/>
        <v>0</v>
      </c>
      <c r="I519" s="33">
        <f>ROUNDUP(G519+(G519*Assumptions!H$5),-2)</f>
        <v>17800</v>
      </c>
      <c r="J519" s="33">
        <f>ROUNDUP(I519+(I519*Assumptions!I$5),-2)</f>
        <v>18300</v>
      </c>
      <c r="K519" s="33">
        <f>ROUNDUP(J519+(J519*Assumptions!J$5),-2)</f>
        <v>18800</v>
      </c>
      <c r="L519" s="33">
        <f>ROUNDUP(K519+(K519*Assumptions!K$5),-2)</f>
        <v>19300</v>
      </c>
      <c r="M519" s="33">
        <f>ROUNDUP(L519+(L519*Assumptions!L$5),-2)</f>
        <v>19700</v>
      </c>
      <c r="N519" s="33">
        <f>ROUNDUP(M519+(M519*Assumptions!M$5),-2)</f>
        <v>20100</v>
      </c>
      <c r="O519" s="33">
        <f>ROUNDUP(N519+(N519*Assumptions!N$5),-2)</f>
        <v>20600</v>
      </c>
      <c r="P519" s="33">
        <f>ROUNDUP(O519+(O519*Assumptions!O$5),-2)</f>
        <v>21100</v>
      </c>
      <c r="Q519" s="33">
        <f>ROUNDUP(P519+(P519*Assumptions!P$5),-2)</f>
        <v>21600</v>
      </c>
      <c r="R519" s="114">
        <f>ROUNDUP(Q519+(Q519*Assumptions!Q$5),-2)</f>
        <v>22100</v>
      </c>
    </row>
    <row r="520" spans="1:18" x14ac:dyDescent="0.2">
      <c r="A520" s="107">
        <v>800</v>
      </c>
      <c r="B520" s="33">
        <v>700</v>
      </c>
      <c r="C520" s="33">
        <v>700</v>
      </c>
      <c r="D520" s="33">
        <v>800</v>
      </c>
      <c r="E520" s="658" t="s">
        <v>1522</v>
      </c>
      <c r="F520" s="108" t="s">
        <v>134</v>
      </c>
      <c r="G520" s="33">
        <v>1000</v>
      </c>
      <c r="H520" s="138">
        <f t="shared" si="683"/>
        <v>25</v>
      </c>
      <c r="I520" s="33">
        <f>ROUNDUP(G520+(G520*Assumptions!H$5),-2)</f>
        <v>1100</v>
      </c>
      <c r="J520" s="33">
        <f>ROUNDUP(I520+(I520*Assumptions!I$5),-2)</f>
        <v>1200</v>
      </c>
      <c r="K520" s="33">
        <f>ROUNDUP(J520+(J520*Assumptions!J$5),-2)</f>
        <v>1300</v>
      </c>
      <c r="L520" s="33">
        <f>ROUNDUP(K520+(K520*Assumptions!K$5),-2)</f>
        <v>1400</v>
      </c>
      <c r="M520" s="33">
        <f>ROUNDUP(L520+(L520*Assumptions!L$5),-2)</f>
        <v>1500</v>
      </c>
      <c r="N520" s="33">
        <f>ROUNDUP(M520+(M520*Assumptions!M$5),-2)</f>
        <v>1600</v>
      </c>
      <c r="O520" s="33">
        <f>ROUNDUP(N520+(N520*Assumptions!N$5),-2)</f>
        <v>1700</v>
      </c>
      <c r="P520" s="33">
        <f>ROUNDUP(O520+(O520*Assumptions!O$5),-2)</f>
        <v>1800</v>
      </c>
      <c r="Q520" s="33">
        <f>ROUNDUP(P520+(P520*Assumptions!P$5),-2)</f>
        <v>1900</v>
      </c>
      <c r="R520" s="114">
        <f>ROUNDUP(Q520+(Q520*Assumptions!Q$5),-2)</f>
        <v>2000</v>
      </c>
    </row>
    <row r="521" spans="1:18" x14ac:dyDescent="0.2">
      <c r="A521" s="107">
        <v>0</v>
      </c>
      <c r="B521" s="33">
        <v>0</v>
      </c>
      <c r="C521" s="142">
        <v>0</v>
      </c>
      <c r="D521" s="33">
        <v>1000</v>
      </c>
      <c r="E521" s="658" t="s">
        <v>419</v>
      </c>
      <c r="F521" s="366" t="s">
        <v>135</v>
      </c>
      <c r="G521" s="33">
        <v>2000</v>
      </c>
      <c r="H521" s="138">
        <f t="shared" si="683"/>
        <v>100</v>
      </c>
      <c r="I521" s="33">
        <f>ROUNDUP(G521+(G521*Assumptions!H$5),-2)</f>
        <v>2100</v>
      </c>
      <c r="J521" s="33">
        <f>ROUNDUP(I521+(I521*Assumptions!I$5),-2)</f>
        <v>2200</v>
      </c>
      <c r="K521" s="33">
        <f>ROUNDUP(J521+(J521*Assumptions!J$5),-2)</f>
        <v>2300</v>
      </c>
      <c r="L521" s="33">
        <f>ROUNDUP(K521+(K521*Assumptions!K$5),-2)</f>
        <v>2400</v>
      </c>
      <c r="M521" s="33">
        <f>ROUNDUP(L521+(L521*Assumptions!L$5),-2)</f>
        <v>2500</v>
      </c>
      <c r="N521" s="33">
        <f>ROUNDUP(M521+(M521*Assumptions!M$5),-2)</f>
        <v>2600</v>
      </c>
      <c r="O521" s="33">
        <f>ROUNDUP(N521+(N521*Assumptions!N$5),-2)</f>
        <v>2700</v>
      </c>
      <c r="P521" s="33">
        <f>ROUNDUP(O521+(O521*Assumptions!O$5),-2)</f>
        <v>2800</v>
      </c>
      <c r="Q521" s="33">
        <f>ROUNDUP(P521+(P521*Assumptions!P$5),-2)</f>
        <v>2900</v>
      </c>
      <c r="R521" s="114">
        <f>ROUNDUP(Q521+(Q521*Assumptions!Q$5),-2)</f>
        <v>3000</v>
      </c>
    </row>
    <row r="522" spans="1:18" x14ac:dyDescent="0.2">
      <c r="A522" s="107">
        <v>2500</v>
      </c>
      <c r="B522" s="33">
        <v>2500</v>
      </c>
      <c r="C522" s="142">
        <v>2500</v>
      </c>
      <c r="D522" s="33">
        <v>2500</v>
      </c>
      <c r="E522" s="658" t="s">
        <v>420</v>
      </c>
      <c r="F522" s="891" t="s">
        <v>6670</v>
      </c>
      <c r="G522" s="33">
        <v>2700</v>
      </c>
      <c r="H522" s="138">
        <f t="shared" si="683"/>
        <v>8</v>
      </c>
      <c r="I522" s="33">
        <f>ROUNDUP(G522+(G522*Assumptions!H$5),-2)</f>
        <v>2800</v>
      </c>
      <c r="J522" s="33">
        <f>ROUNDUP(I522+(I522*Assumptions!I$5),-2)</f>
        <v>2900</v>
      </c>
      <c r="K522" s="33">
        <f>ROUNDUP(J522+(J522*Assumptions!J$5),-2)</f>
        <v>3000</v>
      </c>
      <c r="L522" s="33">
        <f>ROUNDUP(K522+(K522*Assumptions!K$5),-2)</f>
        <v>3100</v>
      </c>
      <c r="M522" s="33">
        <f>ROUNDUP(L522+(L522*Assumptions!L$5),-2)</f>
        <v>3200</v>
      </c>
      <c r="N522" s="33">
        <f>ROUNDUP(M522+(M522*Assumptions!M$5),-2)</f>
        <v>3300</v>
      </c>
      <c r="O522" s="33">
        <f>ROUNDUP(N522+(N522*Assumptions!N$5),-2)</f>
        <v>3400</v>
      </c>
      <c r="P522" s="33">
        <f>ROUNDUP(O522+(O522*Assumptions!O$5),-2)</f>
        <v>3500</v>
      </c>
      <c r="Q522" s="33">
        <f>ROUNDUP(P522+(P522*Assumptions!P$5),-2)</f>
        <v>3600</v>
      </c>
      <c r="R522" s="114">
        <f>ROUNDUP(Q522+(Q522*Assumptions!Q$5),-2)</f>
        <v>3700</v>
      </c>
    </row>
    <row r="523" spans="1:18" x14ac:dyDescent="0.2">
      <c r="A523" s="107">
        <v>500</v>
      </c>
      <c r="B523" s="33">
        <v>500</v>
      </c>
      <c r="C523" s="142">
        <v>800</v>
      </c>
      <c r="D523" s="33">
        <v>1000</v>
      </c>
      <c r="E523" s="658" t="s">
        <v>36</v>
      </c>
      <c r="F523" s="891" t="s">
        <v>4679</v>
      </c>
      <c r="G523" s="33">
        <v>700</v>
      </c>
      <c r="H523" s="138">
        <f t="shared" si="683"/>
        <v>-30</v>
      </c>
      <c r="I523" s="33">
        <f>ROUNDUP(G523+(G523*Assumptions!H$5),-2)</f>
        <v>800</v>
      </c>
      <c r="J523" s="33">
        <f>ROUNDUP(I523+(I523*Assumptions!I$5),-2)</f>
        <v>900</v>
      </c>
      <c r="K523" s="33">
        <f>ROUNDUP(J523+(J523*Assumptions!J$5),-2)</f>
        <v>1000</v>
      </c>
      <c r="L523" s="33">
        <f>ROUNDUP(K523+(K523*Assumptions!K$5),-2)</f>
        <v>1100</v>
      </c>
      <c r="M523" s="33">
        <f>ROUNDUP(L523+(L523*Assumptions!L$5),-2)</f>
        <v>1200</v>
      </c>
      <c r="N523" s="33">
        <f>ROUNDUP(M523+(M523*Assumptions!M$5),-2)</f>
        <v>1300</v>
      </c>
      <c r="O523" s="33">
        <f>ROUNDUP(N523+(N523*Assumptions!N$5),-2)</f>
        <v>1400</v>
      </c>
      <c r="P523" s="33">
        <f>ROUNDUP(O523+(O523*Assumptions!O$5),-2)</f>
        <v>1500</v>
      </c>
      <c r="Q523" s="33">
        <f>ROUNDUP(P523+(P523*Assumptions!P$5),-2)</f>
        <v>1600</v>
      </c>
      <c r="R523" s="114">
        <f>ROUNDUP(Q523+(Q523*Assumptions!Q$5),-2)</f>
        <v>1700</v>
      </c>
    </row>
    <row r="524" spans="1:18" ht="13.5" thickBot="1" x14ac:dyDescent="0.25">
      <c r="A524" s="107"/>
      <c r="B524" s="33"/>
      <c r="C524" s="142"/>
      <c r="D524" s="33"/>
      <c r="E524" s="255"/>
      <c r="F524" s="366"/>
      <c r="G524" s="33"/>
      <c r="H524" s="138"/>
      <c r="I524" s="33"/>
      <c r="J524" s="33"/>
      <c r="K524" s="33"/>
      <c r="L524" s="33"/>
      <c r="M524" s="33"/>
      <c r="N524" s="33"/>
      <c r="O524" s="33"/>
      <c r="P524" s="33"/>
      <c r="Q524" s="33"/>
      <c r="R524" s="114"/>
    </row>
    <row r="525" spans="1:18" s="92" customFormat="1" x14ac:dyDescent="0.2">
      <c r="A525" s="105">
        <f>SUBTOTAL(9,A485:A524)</f>
        <v>1241300</v>
      </c>
      <c r="B525" s="53">
        <f>SUBTOTAL(9,B485:B524)</f>
        <v>1183400</v>
      </c>
      <c r="C525" s="53">
        <f>SUBTOTAL(9,C485:C524)</f>
        <v>1104800</v>
      </c>
      <c r="D525" s="53">
        <f>SUBTOTAL(9,D485:D524)</f>
        <v>1160800</v>
      </c>
      <c r="E525" s="282"/>
      <c r="F525" s="112" t="s">
        <v>565</v>
      </c>
      <c r="G525" s="53">
        <f>SUBTOTAL(9,G485:G524)</f>
        <v>1653300</v>
      </c>
      <c r="H525" s="180">
        <f>IF(D525=G525,0,IF(D525=0,100,(G525-D525)/D525*100))</f>
        <v>42.4276361130255</v>
      </c>
      <c r="I525" s="53">
        <f t="shared" ref="I525:Q525" si="684">SUBTOTAL(9,I485:I524)</f>
        <v>1409400</v>
      </c>
      <c r="J525" s="53">
        <f t="shared" si="684"/>
        <v>1455600</v>
      </c>
      <c r="K525" s="53">
        <f t="shared" si="684"/>
        <v>1502500</v>
      </c>
      <c r="L525" s="53">
        <f t="shared" si="684"/>
        <v>1810500</v>
      </c>
      <c r="M525" s="53">
        <f t="shared" si="684"/>
        <v>1586700</v>
      </c>
      <c r="N525" s="53">
        <f t="shared" si="684"/>
        <v>1623600</v>
      </c>
      <c r="O525" s="53">
        <f t="shared" si="684"/>
        <v>1661600</v>
      </c>
      <c r="P525" s="53">
        <f t="shared" si="684"/>
        <v>1990400</v>
      </c>
      <c r="Q525" s="53">
        <f t="shared" si="684"/>
        <v>1718600</v>
      </c>
      <c r="R525" s="113">
        <f t="shared" ref="R525" si="685">SUBTOTAL(9,R485:R524)</f>
        <v>1737200</v>
      </c>
    </row>
    <row r="526" spans="1:18" x14ac:dyDescent="0.2">
      <c r="A526" s="107"/>
      <c r="B526" s="33"/>
      <c r="C526" s="33"/>
      <c r="D526" s="33"/>
      <c r="E526" s="255"/>
      <c r="F526" s="108"/>
      <c r="G526" s="33"/>
      <c r="H526" s="138"/>
      <c r="I526" s="33"/>
      <c r="J526" s="33"/>
      <c r="K526" s="33"/>
      <c r="L526" s="33"/>
      <c r="M526" s="33"/>
      <c r="N526" s="33"/>
      <c r="O526" s="33"/>
      <c r="P526" s="33"/>
      <c r="Q526" s="33"/>
      <c r="R526" s="114"/>
    </row>
    <row r="527" spans="1:18" s="92" customFormat="1" x14ac:dyDescent="0.2">
      <c r="A527" s="70">
        <f>A483-A525</f>
        <v>-1241300</v>
      </c>
      <c r="B527" s="64">
        <f>B483-B525</f>
        <v>-1183400</v>
      </c>
      <c r="C527" s="64">
        <f>C483-C525</f>
        <v>-1104800</v>
      </c>
      <c r="D527" s="64">
        <f>D483-D525</f>
        <v>-1156500</v>
      </c>
      <c r="E527" s="282"/>
      <c r="F527" s="1963" t="s">
        <v>1019</v>
      </c>
      <c r="G527" s="64">
        <f>G483-G525</f>
        <v>-1653300</v>
      </c>
      <c r="H527" s="179">
        <f>IF(D527=G527,0,IF(D527=0,100,(G527-D527)/D527*100))</f>
        <v>42.957198443579763</v>
      </c>
      <c r="I527" s="64">
        <f t="shared" ref="I527:Q527" si="686">I483-I525</f>
        <v>-1409400</v>
      </c>
      <c r="J527" s="64">
        <f t="shared" si="686"/>
        <v>-1455600</v>
      </c>
      <c r="K527" s="64">
        <f t="shared" si="686"/>
        <v>-1502500</v>
      </c>
      <c r="L527" s="64">
        <f t="shared" si="686"/>
        <v>-1810500</v>
      </c>
      <c r="M527" s="64">
        <f t="shared" si="686"/>
        <v>-1586700</v>
      </c>
      <c r="N527" s="64">
        <f t="shared" si="686"/>
        <v>-1623600</v>
      </c>
      <c r="O527" s="64">
        <f t="shared" si="686"/>
        <v>-1661600</v>
      </c>
      <c r="P527" s="64">
        <f t="shared" si="686"/>
        <v>-1990400</v>
      </c>
      <c r="Q527" s="64">
        <f t="shared" si="686"/>
        <v>-1718600</v>
      </c>
      <c r="R527" s="115">
        <f t="shared" ref="R527" si="687">R483-R525</f>
        <v>-1737200</v>
      </c>
    </row>
    <row r="528" spans="1:18" x14ac:dyDescent="0.2">
      <c r="A528" s="107">
        <v>0</v>
      </c>
      <c r="B528" s="33">
        <v>0</v>
      </c>
      <c r="C528" s="33">
        <v>0</v>
      </c>
      <c r="D528" s="33">
        <v>0</v>
      </c>
      <c r="E528" s="255"/>
      <c r="F528" s="320" t="s">
        <v>1976</v>
      </c>
      <c r="G528" s="33">
        <v>0</v>
      </c>
      <c r="H528" s="138">
        <f>IF(D528=G528,0,IF(D528=0,100,(G528-D528)/D528*100))</f>
        <v>0</v>
      </c>
      <c r="I528" s="33">
        <v>0</v>
      </c>
      <c r="J528" s="33">
        <v>0</v>
      </c>
      <c r="K528" s="33">
        <v>0</v>
      </c>
      <c r="L528" s="33">
        <v>0</v>
      </c>
      <c r="M528" s="33">
        <v>0</v>
      </c>
      <c r="N528" s="33">
        <v>0</v>
      </c>
      <c r="O528" s="33">
        <v>0</v>
      </c>
      <c r="P528" s="33">
        <v>0</v>
      </c>
      <c r="Q528" s="33">
        <v>0</v>
      </c>
      <c r="R528" s="114">
        <v>0</v>
      </c>
    </row>
    <row r="529" spans="1:18" s="92" customFormat="1" x14ac:dyDescent="0.2">
      <c r="A529" s="181">
        <f>A527+A528</f>
        <v>-1241300</v>
      </c>
      <c r="B529" s="397">
        <f>B527+B528</f>
        <v>-1183400</v>
      </c>
      <c r="C529" s="397">
        <f>C527+C528</f>
        <v>-1104800</v>
      </c>
      <c r="D529" s="397">
        <f>D527+D528</f>
        <v>-1156500</v>
      </c>
      <c r="E529" s="514"/>
      <c r="F529" s="515" t="s">
        <v>1687</v>
      </c>
      <c r="G529" s="397">
        <f t="shared" ref="G529:O529" si="688">G527+G528</f>
        <v>-1653300</v>
      </c>
      <c r="H529" s="395">
        <f>IF(D529=G529,0,IF(D529=0,100,(G529-D529)/D529*100))</f>
        <v>42.957198443579763</v>
      </c>
      <c r="I529" s="397">
        <f t="shared" si="688"/>
        <v>-1409400</v>
      </c>
      <c r="J529" s="397">
        <f t="shared" si="688"/>
        <v>-1455600</v>
      </c>
      <c r="K529" s="397">
        <f t="shared" si="688"/>
        <v>-1502500</v>
      </c>
      <c r="L529" s="397">
        <f t="shared" si="688"/>
        <v>-1810500</v>
      </c>
      <c r="M529" s="397">
        <f t="shared" si="688"/>
        <v>-1586700</v>
      </c>
      <c r="N529" s="397">
        <f t="shared" si="688"/>
        <v>-1623600</v>
      </c>
      <c r="O529" s="397">
        <f t="shared" si="688"/>
        <v>-1661600</v>
      </c>
      <c r="P529" s="397">
        <f t="shared" ref="P529:Q529" si="689">P527+P528</f>
        <v>-1990400</v>
      </c>
      <c r="Q529" s="397">
        <f t="shared" si="689"/>
        <v>-1718600</v>
      </c>
      <c r="R529" s="399">
        <f t="shared" ref="R529" si="690">R527+R528</f>
        <v>-1737200</v>
      </c>
    </row>
    <row r="530" spans="1:18" ht="13.5" thickBot="1" x14ac:dyDescent="0.25">
      <c r="A530" s="171"/>
      <c r="B530" s="66"/>
      <c r="C530" s="66"/>
      <c r="D530" s="66"/>
      <c r="E530" s="558"/>
      <c r="F530" s="173"/>
      <c r="G530" s="66"/>
      <c r="H530" s="140"/>
      <c r="I530" s="121"/>
      <c r="J530" s="121"/>
      <c r="K530" s="121"/>
      <c r="L530" s="121"/>
      <c r="M530" s="121"/>
      <c r="N530" s="121"/>
      <c r="O530" s="121"/>
      <c r="P530" s="121"/>
      <c r="Q530" s="121"/>
      <c r="R530" s="161"/>
    </row>
    <row r="531" spans="1:18" ht="13.5" thickTop="1" x14ac:dyDescent="0.2">
      <c r="A531" s="383"/>
      <c r="B531" s="122"/>
      <c r="C531" s="162"/>
      <c r="D531" s="162"/>
      <c r="E531" s="286"/>
      <c r="F531" s="367"/>
      <c r="G531" s="127"/>
      <c r="H531" s="505"/>
      <c r="I531" s="127"/>
      <c r="J531" s="127"/>
      <c r="K531" s="127"/>
      <c r="L531" s="127"/>
      <c r="M531" s="127"/>
      <c r="N531" s="127"/>
      <c r="O531" s="127"/>
      <c r="P531" s="127"/>
      <c r="Q531" s="127"/>
      <c r="R531" s="163"/>
    </row>
    <row r="532" spans="1:18" x14ac:dyDescent="0.2">
      <c r="A532" s="70"/>
      <c r="B532" s="128"/>
      <c r="C532" s="64"/>
      <c r="D532" s="64"/>
      <c r="E532" s="283"/>
      <c r="F532" s="516" t="s">
        <v>196</v>
      </c>
      <c r="G532" s="33"/>
      <c r="H532" s="179"/>
      <c r="I532" s="33"/>
      <c r="J532" s="33"/>
      <c r="K532" s="33"/>
      <c r="L532" s="33"/>
      <c r="M532" s="33"/>
      <c r="N532" s="33"/>
      <c r="O532" s="33"/>
      <c r="P532" s="33"/>
      <c r="Q532" s="33"/>
      <c r="R532" s="114"/>
    </row>
    <row r="533" spans="1:18" x14ac:dyDescent="0.2">
      <c r="A533" s="107">
        <v>0</v>
      </c>
      <c r="B533" s="142">
        <v>0</v>
      </c>
      <c r="C533" s="142">
        <v>0</v>
      </c>
      <c r="D533" s="33">
        <v>0</v>
      </c>
      <c r="E533" s="238"/>
      <c r="F533" s="366" t="s">
        <v>2900</v>
      </c>
      <c r="G533" s="33">
        <v>0</v>
      </c>
      <c r="H533" s="138"/>
      <c r="I533" s="33">
        <v>0</v>
      </c>
      <c r="J533" s="33">
        <v>0</v>
      </c>
      <c r="K533" s="33">
        <v>0</v>
      </c>
      <c r="L533" s="33">
        <v>0</v>
      </c>
      <c r="M533" s="33">
        <v>0</v>
      </c>
      <c r="N533" s="33">
        <v>0</v>
      </c>
      <c r="O533" s="33">
        <v>0</v>
      </c>
      <c r="P533" s="33">
        <v>0</v>
      </c>
      <c r="Q533" s="33">
        <v>0</v>
      </c>
      <c r="R533" s="114">
        <v>0</v>
      </c>
    </row>
    <row r="534" spans="1:18" x14ac:dyDescent="0.2">
      <c r="A534" s="107">
        <v>30800</v>
      </c>
      <c r="B534" s="142">
        <v>2000</v>
      </c>
      <c r="C534" s="33">
        <v>178700</v>
      </c>
      <c r="D534" s="33">
        <f>SUM('Res-Gen'!B39:B41)</f>
        <v>94000</v>
      </c>
      <c r="E534" s="238"/>
      <c r="F534" s="366" t="s">
        <v>1942</v>
      </c>
      <c r="G534" s="33">
        <f>SUM('Res-Gen'!E39:E41)</f>
        <v>90000</v>
      </c>
      <c r="H534" s="138"/>
      <c r="I534" s="33">
        <f>SUM('Res-Gen'!H39:H41)</f>
        <v>30000</v>
      </c>
      <c r="J534" s="33">
        <f>SUM('Res-Gen'!K39:K41)</f>
        <v>35000</v>
      </c>
      <c r="K534" s="33">
        <f>SUM('Res-Gen'!N39:N41)</f>
        <v>40000</v>
      </c>
      <c r="L534" s="33">
        <f>SUM('Res-Gen'!Q39:Q41)</f>
        <v>55000</v>
      </c>
      <c r="M534" s="33">
        <f>SUM('Res-Gen'!T39:T41)</f>
        <v>70000</v>
      </c>
      <c r="N534" s="33">
        <f>SUM('Res-Gen'!W39:W41)</f>
        <v>70000</v>
      </c>
      <c r="O534" s="33">
        <f>SUM('Res-Gen'!Z39:Z41)</f>
        <v>75000</v>
      </c>
      <c r="P534" s="33">
        <f>SUM('Res-Gen'!AC39:AC41)</f>
        <v>75000</v>
      </c>
      <c r="Q534" s="33">
        <f>SUM('Res-Gen'!AF39:AF41)</f>
        <v>80000</v>
      </c>
      <c r="R534" s="114">
        <f>SUM('Res-Gen'!AI39:AI41)</f>
        <v>85000</v>
      </c>
    </row>
    <row r="535" spans="1:18" x14ac:dyDescent="0.2">
      <c r="A535" s="107">
        <v>171000</v>
      </c>
      <c r="B535" s="142">
        <v>5800</v>
      </c>
      <c r="C535" s="33">
        <v>2000</v>
      </c>
      <c r="D535" s="33">
        <f>SUM('Res-Gen'!C39:C41)</f>
        <v>18700</v>
      </c>
      <c r="E535" s="238"/>
      <c r="F535" s="366" t="s">
        <v>2348</v>
      </c>
      <c r="G535" s="33">
        <f>SUM('Res-Gen'!F39:F41)+'Res-Gen'!F69</f>
        <v>274100</v>
      </c>
      <c r="H535" s="138"/>
      <c r="I535" s="33">
        <f>SUM('Res-Gen'!I39:I41)</f>
        <v>0</v>
      </c>
      <c r="J535" s="33">
        <f>SUM('Res-Gen'!L39:L41)</f>
        <v>0</v>
      </c>
      <c r="K535" s="33">
        <f>SUM('Res-Gen'!O39:O41)</f>
        <v>0</v>
      </c>
      <c r="L535" s="33">
        <f>SUM('Res-Gen'!R39:R41)</f>
        <v>260000</v>
      </c>
      <c r="M535" s="33">
        <f>SUM('Res-Gen'!U39:U41)</f>
        <v>0</v>
      </c>
      <c r="N535" s="33">
        <f>SUM('Res-Gen'!X39:X41)</f>
        <v>0</v>
      </c>
      <c r="O535" s="33">
        <f>SUM('Res-Gen'!AA39:AA41)</f>
        <v>0</v>
      </c>
      <c r="P535" s="33">
        <f>SUM('Res-Gen'!AD39:AD41)</f>
        <v>290000</v>
      </c>
      <c r="Q535" s="33">
        <f>SUM('Res-Gen'!AG39:AG41)</f>
        <v>0</v>
      </c>
      <c r="R535" s="114">
        <f>SUM('Res-Gen'!AJ39:AJ41)</f>
        <v>0</v>
      </c>
    </row>
    <row r="536" spans="1:18" x14ac:dyDescent="0.2">
      <c r="A536" s="107">
        <v>0</v>
      </c>
      <c r="B536" s="142">
        <v>0</v>
      </c>
      <c r="C536" s="33">
        <v>0</v>
      </c>
      <c r="D536" s="33">
        <v>0</v>
      </c>
      <c r="E536" s="238"/>
      <c r="F536" s="366" t="s">
        <v>5984</v>
      </c>
      <c r="G536" s="33">
        <v>0</v>
      </c>
      <c r="H536" s="138"/>
      <c r="I536" s="33">
        <v>0</v>
      </c>
      <c r="J536" s="33">
        <v>0</v>
      </c>
      <c r="K536" s="33">
        <v>0</v>
      </c>
      <c r="L536" s="33">
        <v>0</v>
      </c>
      <c r="M536" s="33">
        <v>0</v>
      </c>
      <c r="N536" s="33">
        <v>0</v>
      </c>
      <c r="O536" s="33">
        <v>0</v>
      </c>
      <c r="P536" s="33">
        <v>0</v>
      </c>
      <c r="Q536" s="33">
        <v>0</v>
      </c>
      <c r="R536" s="114">
        <v>0</v>
      </c>
    </row>
    <row r="537" spans="1:18" x14ac:dyDescent="0.2">
      <c r="A537" s="107">
        <v>0</v>
      </c>
      <c r="B537" s="142">
        <v>0</v>
      </c>
      <c r="C537" s="33">
        <v>0</v>
      </c>
      <c r="D537" s="33">
        <v>0</v>
      </c>
      <c r="E537" s="238"/>
      <c r="F537" s="366" t="s">
        <v>972</v>
      </c>
      <c r="G537" s="33">
        <v>0</v>
      </c>
      <c r="H537" s="138"/>
      <c r="I537" s="33">
        <v>0</v>
      </c>
      <c r="J537" s="33">
        <v>0</v>
      </c>
      <c r="K537" s="33">
        <v>0</v>
      </c>
      <c r="L537" s="33"/>
      <c r="M537" s="33">
        <v>0</v>
      </c>
      <c r="N537" s="33">
        <v>0</v>
      </c>
      <c r="O537" s="33">
        <v>0</v>
      </c>
      <c r="P537" s="33">
        <v>0</v>
      </c>
      <c r="Q537" s="33">
        <v>0</v>
      </c>
      <c r="R537" s="114">
        <v>0</v>
      </c>
    </row>
    <row r="538" spans="1:18" s="92" customFormat="1" x14ac:dyDescent="0.2">
      <c r="A538" s="181">
        <f>A529-A533-A534+A535++A536-A537</f>
        <v>-1101100</v>
      </c>
      <c r="B538" s="377">
        <f>B529-B533-B534+B535++B536-B537</f>
        <v>-1179600</v>
      </c>
      <c r="C538" s="397">
        <f>C529-C533-C534+C535++C536-C537</f>
        <v>-1281500</v>
      </c>
      <c r="D538" s="397">
        <f>D529-D533-D534+D535++D536-D537</f>
        <v>-1231800</v>
      </c>
      <c r="E538" s="517"/>
      <c r="F538" s="518" t="s">
        <v>2490</v>
      </c>
      <c r="G538" s="397">
        <f t="shared" ref="G538:P538" si="691">G529-G533-G534+G535++G536-G537</f>
        <v>-1469200</v>
      </c>
      <c r="H538" s="395">
        <f>IF(D538=G538,0,IF(D538=0,100,(G538-D538)/D538*100))</f>
        <v>19.272609189803539</v>
      </c>
      <c r="I538" s="397">
        <f t="shared" si="691"/>
        <v>-1439400</v>
      </c>
      <c r="J538" s="397">
        <f t="shared" si="691"/>
        <v>-1490600</v>
      </c>
      <c r="K538" s="397">
        <f t="shared" si="691"/>
        <v>-1542500</v>
      </c>
      <c r="L538" s="397">
        <f t="shared" si="691"/>
        <v>-1605500</v>
      </c>
      <c r="M538" s="397">
        <f t="shared" si="691"/>
        <v>-1656700</v>
      </c>
      <c r="N538" s="397">
        <f t="shared" si="691"/>
        <v>-1693600</v>
      </c>
      <c r="O538" s="397">
        <f t="shared" si="691"/>
        <v>-1736600</v>
      </c>
      <c r="P538" s="397">
        <f t="shared" si="691"/>
        <v>-1775400</v>
      </c>
      <c r="Q538" s="397">
        <f>Q529-Q533-Q534+Q535++Q536-Q537</f>
        <v>-1798600</v>
      </c>
      <c r="R538" s="399">
        <f>R529-R533-R534+R535++R536-R537</f>
        <v>-1822200</v>
      </c>
    </row>
    <row r="539" spans="1:18" ht="13.5" thickBot="1" x14ac:dyDescent="0.25">
      <c r="A539" s="73"/>
      <c r="B539" s="134"/>
      <c r="C539" s="90"/>
      <c r="D539" s="90"/>
      <c r="E539" s="284"/>
      <c r="F539" s="368"/>
      <c r="G539" s="66"/>
      <c r="H539" s="392"/>
      <c r="I539" s="66"/>
      <c r="J539" s="66"/>
      <c r="K539" s="66"/>
      <c r="L539" s="66"/>
      <c r="M539" s="66"/>
      <c r="N539" s="66"/>
      <c r="O539" s="66"/>
      <c r="P539" s="66"/>
      <c r="Q539" s="66"/>
      <c r="R539" s="165"/>
    </row>
    <row r="540" spans="1:18" ht="14.25" thickTop="1" thickBot="1" x14ac:dyDescent="0.25">
      <c r="A540" s="74"/>
      <c r="B540" s="74"/>
      <c r="C540" s="74"/>
      <c r="D540" s="74"/>
      <c r="E540" s="279"/>
      <c r="F540" s="74"/>
      <c r="H540" s="2484"/>
      <c r="I540" s="99"/>
      <c r="J540" s="99"/>
      <c r="K540" s="99"/>
      <c r="L540" s="99"/>
      <c r="M540" s="99"/>
      <c r="N540" s="99"/>
      <c r="O540" s="99"/>
      <c r="P540" s="99"/>
      <c r="Q540" s="99"/>
      <c r="R540" s="99"/>
    </row>
    <row r="541" spans="1:18" s="91" customFormat="1" ht="18.75" customHeight="1" thickTop="1" thickBot="1" x14ac:dyDescent="0.3">
      <c r="A541" s="2862" t="str">
        <f>A113</f>
        <v>ADMINISTRATIVE SERVICES</v>
      </c>
      <c r="B541" s="2863"/>
      <c r="C541" s="2863"/>
      <c r="D541" s="2863"/>
      <c r="E541" s="2863"/>
      <c r="F541" s="2863"/>
      <c r="G541" s="2863"/>
      <c r="H541" s="2863"/>
      <c r="I541" s="2863"/>
      <c r="J541" s="2863"/>
      <c r="K541" s="2863"/>
      <c r="L541" s="2863"/>
      <c r="M541" s="2863"/>
      <c r="N541" s="2863"/>
      <c r="O541" s="2863"/>
      <c r="P541" s="2863"/>
      <c r="Q541" s="2863"/>
      <c r="R541" s="2864"/>
    </row>
    <row r="542" spans="1:18" s="44" customFormat="1" x14ac:dyDescent="0.2">
      <c r="A542" s="2888" t="s">
        <v>1856</v>
      </c>
      <c r="B542" s="2889"/>
      <c r="C542" s="2889"/>
      <c r="D542" s="2890"/>
      <c r="E542" s="513" t="s">
        <v>2663</v>
      </c>
      <c r="F542" s="2649" t="s">
        <v>2251</v>
      </c>
      <c r="G542" s="2885" t="s">
        <v>2253</v>
      </c>
      <c r="H542" s="2886"/>
      <c r="I542" s="2886"/>
      <c r="J542" s="2886"/>
      <c r="K542" s="2886"/>
      <c r="L542" s="2886"/>
      <c r="M542" s="2886"/>
      <c r="N542" s="2886"/>
      <c r="O542" s="2886"/>
      <c r="P542" s="2886"/>
      <c r="Q542" s="2886"/>
      <c r="R542" s="2887"/>
    </row>
    <row r="543" spans="1:18" s="23" customFormat="1" ht="12.75" customHeight="1" thickBot="1" x14ac:dyDescent="0.25">
      <c r="A543" s="208" t="str">
        <f>A3</f>
        <v>2012/13</v>
      </c>
      <c r="B543" s="218" t="str">
        <f>B3</f>
        <v>2013/14</v>
      </c>
      <c r="C543" s="370" t="str">
        <f>C3</f>
        <v>2014/15</v>
      </c>
      <c r="D543" s="93" t="str">
        <f>D3</f>
        <v>2015/16</v>
      </c>
      <c r="E543" s="370" t="str">
        <f>SP!E324</f>
        <v>ACCOUNT</v>
      </c>
      <c r="F543" s="42"/>
      <c r="G543" s="93" t="str">
        <f t="shared" ref="G543:Q543" si="692">G3</f>
        <v>2016/17</v>
      </c>
      <c r="H543" s="436" t="str">
        <f t="shared" si="692"/>
        <v>%</v>
      </c>
      <c r="I543" s="370" t="str">
        <f t="shared" si="692"/>
        <v>2017/18</v>
      </c>
      <c r="J543" s="370" t="str">
        <f t="shared" si="692"/>
        <v>2018/19</v>
      </c>
      <c r="K543" s="370" t="str">
        <f t="shared" si="692"/>
        <v>2019/20</v>
      </c>
      <c r="L543" s="370" t="str">
        <f t="shared" si="692"/>
        <v>2020/21</v>
      </c>
      <c r="M543" s="370" t="str">
        <f t="shared" si="692"/>
        <v>2021/22</v>
      </c>
      <c r="N543" s="370" t="str">
        <f t="shared" si="692"/>
        <v>2022/23</v>
      </c>
      <c r="O543" s="370" t="str">
        <f t="shared" si="692"/>
        <v>2023/24</v>
      </c>
      <c r="P543" s="370" t="str">
        <f t="shared" si="692"/>
        <v>2024/25</v>
      </c>
      <c r="Q543" s="218" t="str">
        <f t="shared" si="692"/>
        <v>2025/26</v>
      </c>
      <c r="R543" s="549" t="str">
        <f t="shared" ref="R543" si="693">R3</f>
        <v>2026/27</v>
      </c>
    </row>
    <row r="544" spans="1:18" x14ac:dyDescent="0.2">
      <c r="A544" s="98"/>
      <c r="B544" s="76"/>
      <c r="C544" s="76"/>
      <c r="D544" s="169"/>
      <c r="E544" s="252"/>
      <c r="F544" s="74"/>
      <c r="G544" s="33"/>
      <c r="H544" s="1707"/>
      <c r="I544" s="33"/>
      <c r="J544" s="33"/>
      <c r="K544" s="33"/>
      <c r="L544" s="33"/>
      <c r="M544" s="33"/>
      <c r="N544" s="33"/>
      <c r="O544" s="33"/>
      <c r="P544" s="33"/>
      <c r="Q544" s="33"/>
      <c r="R544" s="114"/>
    </row>
    <row r="545" spans="1:18" x14ac:dyDescent="0.2">
      <c r="A545" s="107"/>
      <c r="B545" s="142"/>
      <c r="C545" s="33"/>
      <c r="D545" s="33"/>
      <c r="E545" s="255"/>
      <c r="F545" s="365" t="s">
        <v>1073</v>
      </c>
      <c r="G545" s="33"/>
      <c r="H545" s="138"/>
      <c r="I545" s="33"/>
      <c r="J545" s="33"/>
      <c r="K545" s="33"/>
      <c r="L545" s="33"/>
      <c r="M545" s="33"/>
      <c r="N545" s="33"/>
      <c r="O545" s="33"/>
      <c r="P545" s="33"/>
      <c r="Q545" s="33"/>
      <c r="R545" s="114"/>
    </row>
    <row r="546" spans="1:18" x14ac:dyDescent="0.2">
      <c r="A546" s="98"/>
      <c r="B546" s="76"/>
      <c r="C546" s="33"/>
      <c r="D546" s="33"/>
      <c r="E546" s="252"/>
      <c r="F546" s="144"/>
      <c r="G546" s="33"/>
      <c r="H546" s="138"/>
      <c r="I546" s="33"/>
      <c r="J546" s="33"/>
      <c r="K546" s="33"/>
      <c r="L546" s="33"/>
      <c r="M546" s="33"/>
      <c r="N546" s="33"/>
      <c r="O546" s="33"/>
      <c r="P546" s="33"/>
      <c r="Q546" s="33"/>
      <c r="R546" s="114"/>
    </row>
    <row r="547" spans="1:18" x14ac:dyDescent="0.2">
      <c r="A547" s="98"/>
      <c r="B547" s="76"/>
      <c r="C547" s="33"/>
      <c r="D547" s="33"/>
      <c r="E547" s="252"/>
      <c r="F547" s="8" t="s">
        <v>428</v>
      </c>
      <c r="G547" s="33"/>
      <c r="H547" s="138"/>
      <c r="I547" s="33"/>
      <c r="J547" s="33"/>
      <c r="K547" s="33"/>
      <c r="L547" s="33"/>
      <c r="M547" s="33"/>
      <c r="N547" s="33"/>
      <c r="O547" s="33"/>
      <c r="P547" s="33"/>
      <c r="Q547" s="33"/>
      <c r="R547" s="114"/>
    </row>
    <row r="548" spans="1:18" x14ac:dyDescent="0.2">
      <c r="A548" s="98">
        <v>0</v>
      </c>
      <c r="B548" s="76">
        <v>0</v>
      </c>
      <c r="C548" s="33">
        <v>600</v>
      </c>
      <c r="D548" s="33">
        <v>0</v>
      </c>
      <c r="E548" s="1092" t="s">
        <v>5055</v>
      </c>
      <c r="F548" s="3" t="s">
        <v>4850</v>
      </c>
      <c r="G548" s="33">
        <v>0</v>
      </c>
      <c r="H548" s="138"/>
      <c r="I548" s="33"/>
      <c r="J548" s="33"/>
      <c r="K548" s="33"/>
      <c r="L548" s="33"/>
      <c r="M548" s="33"/>
      <c r="N548" s="33"/>
      <c r="O548" s="33"/>
      <c r="P548" s="33"/>
      <c r="Q548" s="33"/>
      <c r="R548" s="114"/>
    </row>
    <row r="549" spans="1:18" x14ac:dyDescent="0.2">
      <c r="A549" s="107">
        <v>7300</v>
      </c>
      <c r="B549" s="33">
        <v>5500</v>
      </c>
      <c r="C549" s="33">
        <v>8700</v>
      </c>
      <c r="D549" s="33">
        <v>7500</v>
      </c>
      <c r="E549" s="658" t="s">
        <v>854</v>
      </c>
      <c r="F549" s="3" t="s">
        <v>521</v>
      </c>
      <c r="G549" s="33">
        <v>8000</v>
      </c>
      <c r="H549" s="138">
        <f t="shared" ref="H549:H553" si="694">IF(D549=G549,0,IF(D549=0,100,(G549-D549)/D549*100))</f>
        <v>6.666666666666667</v>
      </c>
      <c r="I549" s="33">
        <f>ROUNDUP(G549+(G549*Assumptions!H$5),-2)</f>
        <v>8200</v>
      </c>
      <c r="J549" s="33">
        <f>ROUNDUP(I549+(I549*Assumptions!I$5),-2)</f>
        <v>8500</v>
      </c>
      <c r="K549" s="33">
        <f>ROUNDUP(J549+(J549*Assumptions!J$5),-2)</f>
        <v>8800</v>
      </c>
      <c r="L549" s="33">
        <f>ROUNDUP(K549+(K549*Assumptions!K$5),-2)</f>
        <v>9100</v>
      </c>
      <c r="M549" s="33">
        <f>ROUNDUP(L549+(L549*Assumptions!L$5),-2)</f>
        <v>9300</v>
      </c>
      <c r="N549" s="33">
        <f>ROUNDUP(M549+(M549*Assumptions!M$5),-2)</f>
        <v>9500</v>
      </c>
      <c r="O549" s="33">
        <f>ROUNDUP(N549+(N549*Assumptions!N$5),-2)</f>
        <v>9700</v>
      </c>
      <c r="P549" s="33">
        <f>ROUNDUP(O549+(O549*Assumptions!O$5),-2)</f>
        <v>9900</v>
      </c>
      <c r="Q549" s="33">
        <f>ROUNDUP(P549+(P549*Assumptions!P$5),-2)</f>
        <v>10100</v>
      </c>
      <c r="R549" s="114">
        <f>ROUNDUP(Q549+(Q549*Assumptions!Q$5),-2)</f>
        <v>10400</v>
      </c>
    </row>
    <row r="550" spans="1:18" x14ac:dyDescent="0.2">
      <c r="A550" s="107">
        <v>4000</v>
      </c>
      <c r="B550" s="33">
        <v>4300</v>
      </c>
      <c r="C550" s="33">
        <v>3200</v>
      </c>
      <c r="D550" s="33">
        <v>22900</v>
      </c>
      <c r="E550" s="658" t="s">
        <v>227</v>
      </c>
      <c r="F550" s="3" t="s">
        <v>2859</v>
      </c>
      <c r="G550" s="33">
        <f>20000-5000-5000</f>
        <v>10000</v>
      </c>
      <c r="H550" s="138">
        <f t="shared" si="694"/>
        <v>-56.331877729257641</v>
      </c>
      <c r="I550" s="33">
        <f>ROUNDUP(G550+(G550*Assumptions!H$5),-2)</f>
        <v>10200</v>
      </c>
      <c r="J550" s="33">
        <f>ROUNDUP(I550+(I550*Assumptions!I$5),-2)</f>
        <v>10500</v>
      </c>
      <c r="K550" s="33">
        <f>ROUNDUP(J550+(J550*Assumptions!J$5),-2)</f>
        <v>10800</v>
      </c>
      <c r="L550" s="33">
        <f>ROUNDUP(K550+(K550*Assumptions!K$5),-2)</f>
        <v>11100</v>
      </c>
      <c r="M550" s="33">
        <f>ROUNDUP(L550+(L550*Assumptions!L$5),-2)</f>
        <v>11400</v>
      </c>
      <c r="N550" s="33">
        <f>ROUNDUP(M550+(M550*Assumptions!M$5),-2)</f>
        <v>11700</v>
      </c>
      <c r="O550" s="33">
        <f>ROUNDUP(N550+(N550*Assumptions!N$5),-2)</f>
        <v>12000</v>
      </c>
      <c r="P550" s="33">
        <f>ROUNDUP(O550+(O550*Assumptions!O$5),-2)</f>
        <v>12300</v>
      </c>
      <c r="Q550" s="33">
        <f>ROUNDUP(P550+(P550*Assumptions!P$5),-2)</f>
        <v>12600</v>
      </c>
      <c r="R550" s="114">
        <f>ROUNDUP(Q550+(Q550*Assumptions!Q$5),-2)</f>
        <v>12900</v>
      </c>
    </row>
    <row r="551" spans="1:18" x14ac:dyDescent="0.2">
      <c r="A551" s="107">
        <v>2200</v>
      </c>
      <c r="B551" s="33">
        <v>3500</v>
      </c>
      <c r="C551" s="33">
        <v>5900</v>
      </c>
      <c r="D551" s="33">
        <v>4300</v>
      </c>
      <c r="E551" s="658" t="s">
        <v>855</v>
      </c>
      <c r="F551" s="890" t="s">
        <v>4633</v>
      </c>
      <c r="G551" s="33">
        <v>4000</v>
      </c>
      <c r="H551" s="138">
        <f t="shared" si="694"/>
        <v>-6.9767441860465116</v>
      </c>
      <c r="I551" s="33">
        <f>ROUNDUP(G551+(G551*Assumptions!H$5),-2)</f>
        <v>4100</v>
      </c>
      <c r="J551" s="33">
        <f>ROUNDUP(I551+(I551*Assumptions!I$5),-2)</f>
        <v>4300</v>
      </c>
      <c r="K551" s="33">
        <f>ROUNDUP(J551+(J551*Assumptions!J$5),-2)</f>
        <v>4500</v>
      </c>
      <c r="L551" s="33">
        <f>ROUNDUP(K551+(K551*Assumptions!K$5),-2)</f>
        <v>4700</v>
      </c>
      <c r="M551" s="33">
        <f>ROUNDUP(L551+(L551*Assumptions!L$5),-2)</f>
        <v>4800</v>
      </c>
      <c r="N551" s="33">
        <f>ROUNDUP(M551+(M551*Assumptions!M$5),-2)</f>
        <v>4900</v>
      </c>
      <c r="O551" s="33">
        <f>ROUNDUP(N551+(N551*Assumptions!N$5),-2)</f>
        <v>5000</v>
      </c>
      <c r="P551" s="33">
        <f>ROUNDUP(O551+(O551*Assumptions!O$5),-2)</f>
        <v>5100</v>
      </c>
      <c r="Q551" s="33">
        <f>ROUNDUP(P551+(P551*Assumptions!P$5),-2)</f>
        <v>5300</v>
      </c>
      <c r="R551" s="114">
        <f>ROUNDUP(Q551+(Q551*Assumptions!Q$5),-2)</f>
        <v>5500</v>
      </c>
    </row>
    <row r="552" spans="1:18" x14ac:dyDescent="0.2">
      <c r="A552" s="107">
        <v>4400</v>
      </c>
      <c r="B552" s="33">
        <v>5500</v>
      </c>
      <c r="C552" s="33">
        <v>7600</v>
      </c>
      <c r="D552" s="33">
        <v>7800</v>
      </c>
      <c r="E552" s="658" t="s">
        <v>856</v>
      </c>
      <c r="F552" s="3" t="s">
        <v>1010</v>
      </c>
      <c r="G552" s="33">
        <v>7000</v>
      </c>
      <c r="H552" s="138">
        <f t="shared" si="694"/>
        <v>-10.256410256410255</v>
      </c>
      <c r="I552" s="33">
        <f>ROUNDUP(G552+(G552*Assumptions!H$5),-2)</f>
        <v>7200</v>
      </c>
      <c r="J552" s="33">
        <f>ROUNDUP(I552+(I552*Assumptions!I$5),-2)</f>
        <v>7400</v>
      </c>
      <c r="K552" s="33">
        <f>ROUNDUP(J552+(J552*Assumptions!J$5),-2)</f>
        <v>7600</v>
      </c>
      <c r="L552" s="33">
        <f>ROUNDUP(K552+(K552*Assumptions!K$5),-2)</f>
        <v>7800</v>
      </c>
      <c r="M552" s="33">
        <f>ROUNDUP(L552+(L552*Assumptions!L$5),-2)</f>
        <v>8000</v>
      </c>
      <c r="N552" s="33">
        <f>ROUNDUP(M552+(M552*Assumptions!M$5),-2)</f>
        <v>8200</v>
      </c>
      <c r="O552" s="33">
        <f>ROUNDUP(N552+(N552*Assumptions!N$5),-2)</f>
        <v>8400</v>
      </c>
      <c r="P552" s="33">
        <f>ROUNDUP(O552+(O552*Assumptions!O$5),-2)</f>
        <v>8600</v>
      </c>
      <c r="Q552" s="33">
        <f>ROUNDUP(P552+(P552*Assumptions!P$5),-2)</f>
        <v>8800</v>
      </c>
      <c r="R552" s="114">
        <f>ROUNDUP(Q552+(Q552*Assumptions!Q$5),-2)</f>
        <v>9000</v>
      </c>
    </row>
    <row r="553" spans="1:18" x14ac:dyDescent="0.2">
      <c r="A553" s="107">
        <v>400</v>
      </c>
      <c r="B553" s="33">
        <v>300</v>
      </c>
      <c r="C553" s="33">
        <v>0</v>
      </c>
      <c r="D553" s="33">
        <v>0</v>
      </c>
      <c r="E553" s="658" t="s">
        <v>110</v>
      </c>
      <c r="F553" s="355" t="s">
        <v>105</v>
      </c>
      <c r="G553" s="33">
        <v>500</v>
      </c>
      <c r="H553" s="138">
        <f t="shared" si="694"/>
        <v>100</v>
      </c>
      <c r="I553" s="33">
        <f>ROUNDUP(G553+(G553*Assumptions!H$5),-2)</f>
        <v>600</v>
      </c>
      <c r="J553" s="33">
        <f>ROUNDUP(I553+(I553*Assumptions!I$5),-2)</f>
        <v>700</v>
      </c>
      <c r="K553" s="33">
        <f>ROUNDUP(J553+(J553*Assumptions!J$5),-2)</f>
        <v>800</v>
      </c>
      <c r="L553" s="33">
        <f>ROUNDUP(K553+(K553*Assumptions!K$5),-2)</f>
        <v>900</v>
      </c>
      <c r="M553" s="33">
        <f>ROUNDUP(L553+(L553*Assumptions!L$5),-2)</f>
        <v>1000</v>
      </c>
      <c r="N553" s="33">
        <f>ROUNDUP(M553+(M553*Assumptions!M$5),-2)</f>
        <v>1100</v>
      </c>
      <c r="O553" s="33">
        <f>ROUNDUP(N553+(N553*Assumptions!N$5),-2)</f>
        <v>1200</v>
      </c>
      <c r="P553" s="33">
        <f>ROUNDUP(O553+(O553*Assumptions!O$5),-2)</f>
        <v>1300</v>
      </c>
      <c r="Q553" s="33">
        <f>ROUNDUP(P553+(P553*Assumptions!P$5),-2)</f>
        <v>1400</v>
      </c>
      <c r="R553" s="114">
        <f>ROUNDUP(Q553+(Q553*Assumptions!Q$5),-2)</f>
        <v>1500</v>
      </c>
    </row>
    <row r="554" spans="1:18" x14ac:dyDescent="0.2">
      <c r="A554" s="107"/>
      <c r="B554" s="33"/>
      <c r="C554" s="33"/>
      <c r="D554" s="33"/>
      <c r="E554" s="658"/>
      <c r="F554" s="355"/>
      <c r="G554" s="33"/>
      <c r="H554" s="138"/>
      <c r="I554" s="33"/>
      <c r="J554" s="33"/>
      <c r="K554" s="33"/>
      <c r="L554" s="33"/>
      <c r="M554" s="33"/>
      <c r="N554" s="33"/>
      <c r="O554" s="33"/>
      <c r="P554" s="33"/>
      <c r="Q554" s="33"/>
      <c r="R554" s="114"/>
    </row>
    <row r="555" spans="1:18" ht="13.5" thickBot="1" x14ac:dyDescent="0.25">
      <c r="A555" s="107"/>
      <c r="B555" s="33"/>
      <c r="C555" s="33"/>
      <c r="D555" s="33"/>
      <c r="E555" s="344"/>
      <c r="F555" s="99"/>
      <c r="G555" s="33"/>
      <c r="H555" s="138"/>
      <c r="I555" s="33"/>
      <c r="J555" s="33"/>
      <c r="K555" s="33"/>
      <c r="L555" s="33"/>
      <c r="M555" s="33"/>
      <c r="N555" s="33"/>
      <c r="O555" s="33"/>
      <c r="P555" s="33"/>
      <c r="Q555" s="33"/>
      <c r="R555" s="114"/>
    </row>
    <row r="556" spans="1:18" s="92" customFormat="1" x14ac:dyDescent="0.2">
      <c r="A556" s="105">
        <f>SUM(A546:A555)</f>
        <v>18300</v>
      </c>
      <c r="B556" s="53">
        <f>SUM(B546:B555)</f>
        <v>19100</v>
      </c>
      <c r="C556" s="53">
        <f>SUM(C546:C555)</f>
        <v>26000</v>
      </c>
      <c r="D556" s="53">
        <f>SUM(D546:D555)</f>
        <v>42500</v>
      </c>
      <c r="E556" s="345"/>
      <c r="F556" s="112" t="s">
        <v>2605</v>
      </c>
      <c r="G556" s="53">
        <f>SUM(G546:G555)</f>
        <v>29500</v>
      </c>
      <c r="H556" s="2485">
        <f>IF(D556=G556,0,IF(D556=0,100,(G556-D556)/D556*100))</f>
        <v>-30.588235294117649</v>
      </c>
      <c r="I556" s="53">
        <f t="shared" ref="I556:Q556" si="695">SUM(I546:I555)</f>
        <v>30300</v>
      </c>
      <c r="J556" s="53">
        <f t="shared" si="695"/>
        <v>31400</v>
      </c>
      <c r="K556" s="53">
        <f t="shared" si="695"/>
        <v>32500</v>
      </c>
      <c r="L556" s="53">
        <f t="shared" si="695"/>
        <v>33600</v>
      </c>
      <c r="M556" s="53">
        <f t="shared" si="695"/>
        <v>34500</v>
      </c>
      <c r="N556" s="53">
        <f t="shared" si="695"/>
        <v>35400</v>
      </c>
      <c r="O556" s="53">
        <f t="shared" si="695"/>
        <v>36300</v>
      </c>
      <c r="P556" s="53">
        <f t="shared" si="695"/>
        <v>37200</v>
      </c>
      <c r="Q556" s="53">
        <f t="shared" si="695"/>
        <v>38200</v>
      </c>
      <c r="R556" s="113">
        <f t="shared" ref="R556" si="696">SUM(R546:R555)</f>
        <v>39300</v>
      </c>
    </row>
    <row r="557" spans="1:18" x14ac:dyDescent="0.2">
      <c r="A557" s="107"/>
      <c r="B557" s="33"/>
      <c r="C557" s="33"/>
      <c r="D557" s="33"/>
      <c r="E557" s="344"/>
      <c r="F557" s="99"/>
      <c r="G557" s="33"/>
      <c r="H557" s="138"/>
      <c r="I557" s="33"/>
      <c r="J557" s="33"/>
      <c r="K557" s="33"/>
      <c r="L557" s="33"/>
      <c r="M557" s="33"/>
      <c r="N557" s="33"/>
      <c r="O557" s="33"/>
      <c r="P557" s="33"/>
      <c r="Q557" s="33"/>
      <c r="R557" s="114"/>
    </row>
    <row r="558" spans="1:18" x14ac:dyDescent="0.2">
      <c r="A558" s="107"/>
      <c r="B558" s="33"/>
      <c r="C558" s="33"/>
      <c r="D558" s="33"/>
      <c r="E558" s="344"/>
      <c r="F558" s="144" t="s">
        <v>2205</v>
      </c>
      <c r="G558" s="33"/>
      <c r="H558" s="138"/>
      <c r="I558" s="33"/>
      <c r="J558" s="33"/>
      <c r="K558" s="33"/>
      <c r="L558" s="33"/>
      <c r="M558" s="33"/>
      <c r="N558" s="33"/>
      <c r="O558" s="33"/>
      <c r="P558" s="33"/>
      <c r="Q558" s="33"/>
      <c r="R558" s="114"/>
    </row>
    <row r="559" spans="1:18" x14ac:dyDescent="0.2">
      <c r="A559" s="107"/>
      <c r="B559" s="33"/>
      <c r="C559" s="33"/>
      <c r="D559" s="33"/>
      <c r="E559" s="658"/>
      <c r="F559" s="108"/>
      <c r="G559" s="33"/>
      <c r="H559" s="138"/>
      <c r="I559" s="33"/>
      <c r="J559" s="33"/>
      <c r="K559" s="33"/>
      <c r="L559" s="33"/>
      <c r="M559" s="33"/>
      <c r="N559" s="33"/>
      <c r="O559" s="33"/>
      <c r="P559" s="33"/>
      <c r="Q559" s="33"/>
      <c r="R559" s="114"/>
    </row>
    <row r="560" spans="1:18" x14ac:dyDescent="0.2">
      <c r="A560" s="107"/>
      <c r="B560" s="33"/>
      <c r="C560" s="33"/>
      <c r="D560" s="33"/>
      <c r="E560" s="658"/>
      <c r="F560" s="109" t="s">
        <v>2558</v>
      </c>
      <c r="G560" s="33"/>
      <c r="H560" s="138"/>
      <c r="I560" s="33"/>
      <c r="J560" s="33"/>
      <c r="K560" s="33"/>
      <c r="L560" s="33"/>
      <c r="M560" s="33"/>
      <c r="N560" s="33"/>
      <c r="O560" s="33"/>
      <c r="P560" s="33"/>
      <c r="Q560" s="33"/>
      <c r="R560" s="114"/>
    </row>
    <row r="561" spans="1:18" x14ac:dyDescent="0.2">
      <c r="A561" s="107">
        <v>4500</v>
      </c>
      <c r="B561" s="33">
        <v>1000</v>
      </c>
      <c r="C561" s="33">
        <v>1800</v>
      </c>
      <c r="D561" s="33">
        <v>800</v>
      </c>
      <c r="E561" s="658" t="s">
        <v>1565</v>
      </c>
      <c r="F561" s="108" t="s">
        <v>1921</v>
      </c>
      <c r="G561" s="33">
        <f>5000-3000</f>
        <v>2000</v>
      </c>
      <c r="H561" s="138">
        <f t="shared" ref="H561:H573" si="697">IF(D561=G561,0,IF(D561=0,100,(G561-D561)/D561*100))</f>
        <v>150</v>
      </c>
      <c r="I561" s="33">
        <f>ROUNDUP(G561+(G561*Assumptions!H$5),-2)</f>
        <v>2100</v>
      </c>
      <c r="J561" s="33">
        <f>ROUNDUP(I561+(I561*Assumptions!I$5),-2)</f>
        <v>2200</v>
      </c>
      <c r="K561" s="33">
        <f>ROUNDUP(J561+(J561*Assumptions!J$5),-2)</f>
        <v>2300</v>
      </c>
      <c r="L561" s="33">
        <f>ROUNDUP(K561+(K561*Assumptions!K$5),-2)</f>
        <v>2400</v>
      </c>
      <c r="M561" s="33">
        <f>ROUNDUP(L561+(L561*Assumptions!L$5),-2)</f>
        <v>2500</v>
      </c>
      <c r="N561" s="33">
        <f>ROUNDUP(M561+(M561*Assumptions!M$5),-2)</f>
        <v>2600</v>
      </c>
      <c r="O561" s="33">
        <f>ROUNDUP(N561+(N561*Assumptions!N$5),-2)</f>
        <v>2700</v>
      </c>
      <c r="P561" s="33">
        <f>ROUNDUP(O561+(O561*Assumptions!O$5),-2)</f>
        <v>2800</v>
      </c>
      <c r="Q561" s="33">
        <f>ROUNDUP(P561+(P561*Assumptions!P$5),-2)</f>
        <v>2900</v>
      </c>
      <c r="R561" s="114">
        <f>ROUNDUP(Q561+(Q561*Assumptions!Q$5),-2)</f>
        <v>3000</v>
      </c>
    </row>
    <row r="562" spans="1:18" x14ac:dyDescent="0.2">
      <c r="A562" s="107">
        <v>2200</v>
      </c>
      <c r="B562" s="33">
        <v>2900</v>
      </c>
      <c r="C562" s="33">
        <v>4500</v>
      </c>
      <c r="D562" s="33">
        <v>8200</v>
      </c>
      <c r="E562" s="658" t="s">
        <v>1430</v>
      </c>
      <c r="F562" s="108" t="s">
        <v>1955</v>
      </c>
      <c r="G562" s="33">
        <f>3000+1500</f>
        <v>4500</v>
      </c>
      <c r="H562" s="138">
        <f t="shared" si="697"/>
        <v>-45.121951219512198</v>
      </c>
      <c r="I562" s="33">
        <f>ROUNDUP(G562+(G562*Assumptions!H$5),-2)</f>
        <v>4600</v>
      </c>
      <c r="J562" s="33">
        <f>ROUNDUP(I562+(I562*Assumptions!I$5),-2)</f>
        <v>4800</v>
      </c>
      <c r="K562" s="33">
        <f>ROUNDUP(J562+(J562*Assumptions!J$5),-2)</f>
        <v>5000</v>
      </c>
      <c r="L562" s="33">
        <f>ROUNDUP(K562+(K562*Assumptions!K$5),-2)</f>
        <v>5200</v>
      </c>
      <c r="M562" s="33">
        <f>ROUNDUP(L562+(L562*Assumptions!L$5),-2)</f>
        <v>5400</v>
      </c>
      <c r="N562" s="33">
        <f>ROUNDUP(M562+(M562*Assumptions!M$5),-2)</f>
        <v>5600</v>
      </c>
      <c r="O562" s="33">
        <f>ROUNDUP(N562+(N562*Assumptions!N$5),-2)</f>
        <v>5800</v>
      </c>
      <c r="P562" s="33">
        <f>ROUNDUP(O562+(O562*Assumptions!O$5),-2)</f>
        <v>6000</v>
      </c>
      <c r="Q562" s="33">
        <f>ROUNDUP(P562+(P562*Assumptions!P$5),-2)</f>
        <v>6200</v>
      </c>
      <c r="R562" s="114">
        <f>ROUNDUP(Q562+(Q562*Assumptions!Q$5),-2)</f>
        <v>6400</v>
      </c>
    </row>
    <row r="563" spans="1:18" x14ac:dyDescent="0.2">
      <c r="A563" s="107">
        <v>56200</v>
      </c>
      <c r="B563" s="33">
        <f>55400+1200</f>
        <v>56600</v>
      </c>
      <c r="C563" s="33">
        <f>54800+3900</f>
        <v>58700</v>
      </c>
      <c r="D563" s="33">
        <v>83600</v>
      </c>
      <c r="E563" s="658" t="s">
        <v>2631</v>
      </c>
      <c r="F563" s="108" t="s">
        <v>648</v>
      </c>
      <c r="G563" s="33">
        <v>60000</v>
      </c>
      <c r="H563" s="138">
        <f t="shared" si="697"/>
        <v>-28.229665071770331</v>
      </c>
      <c r="I563" s="33">
        <f>ROUNDUP(G563+(G563*Assumptions!H$5),-2)</f>
        <v>60900</v>
      </c>
      <c r="J563" s="33">
        <f>ROUNDUP(I563+(I563*Assumptions!I$5),-2)</f>
        <v>62500</v>
      </c>
      <c r="K563" s="33">
        <f>ROUNDUP(J563+(J563*Assumptions!J$5),-2)</f>
        <v>64100</v>
      </c>
      <c r="L563" s="33">
        <f>ROUNDUP(K563+(K563*Assumptions!K$5),-2)</f>
        <v>65800</v>
      </c>
      <c r="M563" s="33">
        <f>ROUNDUP(L563+(L563*Assumptions!L$5),-2)</f>
        <v>67200</v>
      </c>
      <c r="N563" s="33">
        <f>ROUNDUP(M563+(M563*Assumptions!M$5),-2)</f>
        <v>68600</v>
      </c>
      <c r="O563" s="33">
        <f>ROUNDUP(N563+(N563*Assumptions!N$5),-2)</f>
        <v>70000</v>
      </c>
      <c r="P563" s="33">
        <f>ROUNDUP(O563+(O563*Assumptions!O$5),-2)</f>
        <v>71400</v>
      </c>
      <c r="Q563" s="33">
        <f>ROUNDUP(P563+(P563*Assumptions!P$5),-2)</f>
        <v>72900</v>
      </c>
      <c r="R563" s="114">
        <f>ROUNDUP(Q563+(Q563*Assumptions!Q$5),-2)</f>
        <v>74400</v>
      </c>
    </row>
    <row r="564" spans="1:18" x14ac:dyDescent="0.2">
      <c r="A564" s="107">
        <v>27100</v>
      </c>
      <c r="B564" s="33">
        <v>35200</v>
      </c>
      <c r="C564" s="33">
        <v>44200</v>
      </c>
      <c r="D564" s="33">
        <v>35400</v>
      </c>
      <c r="E564" s="658" t="s">
        <v>2630</v>
      </c>
      <c r="F564" s="108" t="s">
        <v>2884</v>
      </c>
      <c r="G564" s="33">
        <f>36000+12300</f>
        <v>48300</v>
      </c>
      <c r="H564" s="138">
        <f t="shared" si="697"/>
        <v>36.440677966101696</v>
      </c>
      <c r="I564" s="33">
        <v>36600</v>
      </c>
      <c r="J564" s="33">
        <f>ROUNDUP(I564+(I564*Assumptions!I$5),-2)</f>
        <v>37600</v>
      </c>
      <c r="K564" s="33">
        <f>ROUNDUP(J564+(J564*Assumptions!J$5),-2)</f>
        <v>38600</v>
      </c>
      <c r="L564" s="33">
        <f>ROUNDUP(K564+(K564*Assumptions!K$5),-2)</f>
        <v>39600</v>
      </c>
      <c r="M564" s="33">
        <f>ROUNDUP(L564+(L564*Assumptions!L$5),-2)</f>
        <v>40400</v>
      </c>
      <c r="N564" s="33">
        <f>ROUNDUP(M564+(M564*Assumptions!M$5),-2)</f>
        <v>41300</v>
      </c>
      <c r="O564" s="33">
        <f>ROUNDUP(N564+(N564*Assumptions!N$5),-2)</f>
        <v>42200</v>
      </c>
      <c r="P564" s="33">
        <f>ROUNDUP(O564+(O564*Assumptions!O$5),-2)</f>
        <v>43100</v>
      </c>
      <c r="Q564" s="33">
        <f>ROUNDUP(P564+(P564*Assumptions!P$5),-2)</f>
        <v>44000</v>
      </c>
      <c r="R564" s="114">
        <f>ROUNDUP(Q564+(Q564*Assumptions!Q$5),-2)</f>
        <v>44900</v>
      </c>
    </row>
    <row r="565" spans="1:18" x14ac:dyDescent="0.2">
      <c r="A565" s="107">
        <v>17500</v>
      </c>
      <c r="B565" s="33">
        <v>16700</v>
      </c>
      <c r="C565" s="33">
        <v>13000</v>
      </c>
      <c r="D565" s="33">
        <v>9800</v>
      </c>
      <c r="E565" s="658" t="s">
        <v>2632</v>
      </c>
      <c r="F565" s="108" t="s">
        <v>535</v>
      </c>
      <c r="G565" s="33">
        <v>10000</v>
      </c>
      <c r="H565" s="138">
        <f t="shared" si="697"/>
        <v>2.0408163265306123</v>
      </c>
      <c r="I565" s="33">
        <f>ROUNDUP(G565+(G565*Assumptions!H$5),-2)</f>
        <v>10200</v>
      </c>
      <c r="J565" s="33">
        <f>ROUNDUP(I565+(I565*Assumptions!I$5),-2)</f>
        <v>10500</v>
      </c>
      <c r="K565" s="33">
        <f>ROUNDUP(J565+(J565*Assumptions!J$5),-2)</f>
        <v>10800</v>
      </c>
      <c r="L565" s="33">
        <f>ROUNDUP(K565+(K565*Assumptions!K$5),-2)</f>
        <v>11100</v>
      </c>
      <c r="M565" s="33">
        <f>ROUNDUP(L565+(L565*Assumptions!L$5),-2)</f>
        <v>11400</v>
      </c>
      <c r="N565" s="33">
        <f>ROUNDUP(M565+(M565*Assumptions!M$5),-2)</f>
        <v>11700</v>
      </c>
      <c r="O565" s="33">
        <f>ROUNDUP(N565+(N565*Assumptions!N$5),-2)</f>
        <v>12000</v>
      </c>
      <c r="P565" s="33">
        <f>ROUNDUP(O565+(O565*Assumptions!O$5),-2)</f>
        <v>12300</v>
      </c>
      <c r="Q565" s="33">
        <f>ROUNDUP(P565+(P565*Assumptions!P$5),-2)</f>
        <v>12600</v>
      </c>
      <c r="R565" s="114">
        <f>ROUNDUP(Q565+(Q565*Assumptions!Q$5),-2)</f>
        <v>12900</v>
      </c>
    </row>
    <row r="566" spans="1:18" x14ac:dyDescent="0.2">
      <c r="A566" s="107">
        <v>2600</v>
      </c>
      <c r="B566" s="33">
        <v>1700</v>
      </c>
      <c r="C566" s="33">
        <v>100</v>
      </c>
      <c r="D566" s="33">
        <v>6900</v>
      </c>
      <c r="E566" s="658" t="s">
        <v>2234</v>
      </c>
      <c r="F566" s="111" t="s">
        <v>4634</v>
      </c>
      <c r="G566" s="33">
        <v>6200</v>
      </c>
      <c r="H566" s="138">
        <f t="shared" si="697"/>
        <v>-10.144927536231885</v>
      </c>
      <c r="I566" s="33">
        <f>ROUNDUP(G566+(G566*Assumptions!H$5),-2)</f>
        <v>6300</v>
      </c>
      <c r="J566" s="33">
        <f>ROUNDUP(I566+(I566*Assumptions!I$5),-2)</f>
        <v>6500</v>
      </c>
      <c r="K566" s="33">
        <f>ROUNDUP(J566+(J566*Assumptions!J$5),-2)</f>
        <v>6700</v>
      </c>
      <c r="L566" s="33">
        <f>ROUNDUP(K566+(K566*Assumptions!K$5),-2)</f>
        <v>6900</v>
      </c>
      <c r="M566" s="33">
        <f>ROUNDUP(L566+(L566*Assumptions!L$5),-2)</f>
        <v>7100</v>
      </c>
      <c r="N566" s="33">
        <f>ROUNDUP(M566+(M566*Assumptions!M$5),-2)</f>
        <v>7300</v>
      </c>
      <c r="O566" s="33">
        <f>ROUNDUP(N566+(N566*Assumptions!N$5),-2)</f>
        <v>7500</v>
      </c>
      <c r="P566" s="33">
        <f>ROUNDUP(O566+(O566*Assumptions!O$5),-2)</f>
        <v>7700</v>
      </c>
      <c r="Q566" s="33">
        <f>ROUNDUP(P566+(P566*Assumptions!P$5),-2)</f>
        <v>7900</v>
      </c>
      <c r="R566" s="114">
        <f>ROUNDUP(Q566+(Q566*Assumptions!Q$5),-2)</f>
        <v>8100</v>
      </c>
    </row>
    <row r="567" spans="1:18" x14ac:dyDescent="0.2">
      <c r="A567" s="107">
        <v>10700</v>
      </c>
      <c r="B567" s="33">
        <v>13000</v>
      </c>
      <c r="C567" s="33">
        <v>9500</v>
      </c>
      <c r="D567" s="33">
        <v>12600</v>
      </c>
      <c r="E567" s="658" t="s">
        <v>1993</v>
      </c>
      <c r="F567" s="108" t="s">
        <v>846</v>
      </c>
      <c r="G567" s="33">
        <f>14000+500</f>
        <v>14500</v>
      </c>
      <c r="H567" s="138">
        <f t="shared" si="697"/>
        <v>15.079365079365079</v>
      </c>
      <c r="I567" s="33">
        <v>14300</v>
      </c>
      <c r="J567" s="33">
        <f>ROUNDUP(I567+(I567*Assumptions!I$5),-2)</f>
        <v>14700</v>
      </c>
      <c r="K567" s="33">
        <f>ROUNDUP(J567+(J567*Assumptions!J$5),-2)</f>
        <v>15100</v>
      </c>
      <c r="L567" s="33">
        <f>ROUNDUP(K567+(K567*Assumptions!K$5),-2)</f>
        <v>15500</v>
      </c>
      <c r="M567" s="33">
        <f>ROUNDUP(L567+(L567*Assumptions!L$5),-2)</f>
        <v>15900</v>
      </c>
      <c r="N567" s="33">
        <f>ROUNDUP(M567+(M567*Assumptions!M$5),-2)</f>
        <v>16300</v>
      </c>
      <c r="O567" s="33">
        <f>ROUNDUP(N567+(N567*Assumptions!N$5),-2)</f>
        <v>16700</v>
      </c>
      <c r="P567" s="33">
        <f>ROUNDUP(O567+(O567*Assumptions!O$5),-2)</f>
        <v>17100</v>
      </c>
      <c r="Q567" s="33">
        <f>ROUNDUP(P567+(P567*Assumptions!P$5),-2)</f>
        <v>17500</v>
      </c>
      <c r="R567" s="114">
        <f>ROUNDUP(Q567+(Q567*Assumptions!Q$5),-2)</f>
        <v>17900</v>
      </c>
    </row>
    <row r="568" spans="1:18" x14ac:dyDescent="0.2">
      <c r="A568" s="107">
        <f>60600+30300</f>
        <v>90900</v>
      </c>
      <c r="B568" s="33">
        <f>59100+27000</f>
        <v>86100</v>
      </c>
      <c r="C568" s="33">
        <f>54400+4400</f>
        <v>58800</v>
      </c>
      <c r="D568" s="33">
        <v>78000</v>
      </c>
      <c r="E568" s="658" t="s">
        <v>2627</v>
      </c>
      <c r="F568" s="108" t="s">
        <v>944</v>
      </c>
      <c r="G568" s="33">
        <v>60000</v>
      </c>
      <c r="H568" s="138">
        <f t="shared" si="697"/>
        <v>-23.076923076923077</v>
      </c>
      <c r="I568" s="33">
        <f>ROUNDUP(G568+(G568*Assumptions!H$5),-2)</f>
        <v>60900</v>
      </c>
      <c r="J568" s="33">
        <f>ROUNDUP(I568+(I568*Assumptions!I$5),-2)</f>
        <v>62500</v>
      </c>
      <c r="K568" s="33">
        <f>ROUNDUP(J568+(J568*Assumptions!J$5),-2)</f>
        <v>64100</v>
      </c>
      <c r="L568" s="33">
        <f>ROUNDUP(K568+(K568*Assumptions!K$5),-2)</f>
        <v>65800</v>
      </c>
      <c r="M568" s="33">
        <f>ROUNDUP(L568+(L568*Assumptions!L$5),-2)</f>
        <v>67200</v>
      </c>
      <c r="N568" s="33">
        <f>ROUNDUP(M568+(M568*Assumptions!M$5),-2)</f>
        <v>68600</v>
      </c>
      <c r="O568" s="33">
        <f>ROUNDUP(N568+(N568*Assumptions!N$5),-2)</f>
        <v>70000</v>
      </c>
      <c r="P568" s="33">
        <f>ROUNDUP(O568+(O568*Assumptions!O$5),-2)</f>
        <v>71400</v>
      </c>
      <c r="Q568" s="33">
        <f>ROUNDUP(P568+(P568*Assumptions!P$5),-2)</f>
        <v>72900</v>
      </c>
      <c r="R568" s="114">
        <f>ROUNDUP(Q568+(Q568*Assumptions!Q$5),-2)</f>
        <v>74400</v>
      </c>
    </row>
    <row r="569" spans="1:18" x14ac:dyDescent="0.2">
      <c r="A569" s="107">
        <v>30900</v>
      </c>
      <c r="B569" s="33">
        <v>42200</v>
      </c>
      <c r="C569" s="33">
        <v>19900</v>
      </c>
      <c r="D569" s="33">
        <v>31400</v>
      </c>
      <c r="E569" s="658" t="s">
        <v>2628</v>
      </c>
      <c r="F569" s="108" t="s">
        <v>2532</v>
      </c>
      <c r="G569" s="33">
        <f>26000+15000+4000</f>
        <v>45000</v>
      </c>
      <c r="H569" s="138">
        <f t="shared" si="697"/>
        <v>43.312101910828027</v>
      </c>
      <c r="I569" s="33">
        <v>26600</v>
      </c>
      <c r="J569" s="33">
        <f>ROUNDUP(I569+(I569*Assumptions!I$5),-2)</f>
        <v>27300</v>
      </c>
      <c r="K569" s="33">
        <f>ROUNDUP(J569+(J569*Assumptions!J$5),-2)</f>
        <v>28000</v>
      </c>
      <c r="L569" s="33">
        <f>ROUNDUP(K569+(K569*Assumptions!K$5),-2)</f>
        <v>28700</v>
      </c>
      <c r="M569" s="33">
        <f>ROUNDUP(L569+(L569*Assumptions!L$5),-2)</f>
        <v>29300</v>
      </c>
      <c r="N569" s="33">
        <f>ROUNDUP(M569+(M569*Assumptions!M$5),-2)</f>
        <v>29900</v>
      </c>
      <c r="O569" s="33">
        <f>ROUNDUP(N569+(N569*Assumptions!N$5),-2)</f>
        <v>30500</v>
      </c>
      <c r="P569" s="33">
        <f>ROUNDUP(O569+(O569*Assumptions!O$5),-2)</f>
        <v>31200</v>
      </c>
      <c r="Q569" s="33">
        <f>ROUNDUP(P569+(P569*Assumptions!P$5),-2)</f>
        <v>31900</v>
      </c>
      <c r="R569" s="114">
        <f>ROUNDUP(Q569+(Q569*Assumptions!Q$5),-2)</f>
        <v>32600</v>
      </c>
    </row>
    <row r="570" spans="1:18" x14ac:dyDescent="0.2">
      <c r="A570" s="107">
        <v>3200</v>
      </c>
      <c r="B570" s="33">
        <v>5000</v>
      </c>
      <c r="C570" s="33">
        <v>5300</v>
      </c>
      <c r="D570" s="33">
        <v>6000</v>
      </c>
      <c r="E570" s="658" t="s">
        <v>2629</v>
      </c>
      <c r="F570" s="111" t="s">
        <v>4635</v>
      </c>
      <c r="G570" s="33">
        <v>6000</v>
      </c>
      <c r="H570" s="138">
        <f t="shared" si="697"/>
        <v>0</v>
      </c>
      <c r="I570" s="33">
        <f>ROUNDUP(G570+(G570*Assumptions!H$5),-2)</f>
        <v>6100</v>
      </c>
      <c r="J570" s="33">
        <f>ROUNDUP(I570+(I570*Assumptions!I$5),-2)</f>
        <v>6300</v>
      </c>
      <c r="K570" s="33">
        <f>ROUNDUP(J570+(J570*Assumptions!J$5),-2)</f>
        <v>6500</v>
      </c>
      <c r="L570" s="33">
        <f>ROUNDUP(K570+(K570*Assumptions!K$5),-2)</f>
        <v>6700</v>
      </c>
      <c r="M570" s="33">
        <f>ROUNDUP(L570+(L570*Assumptions!L$5),-2)</f>
        <v>6900</v>
      </c>
      <c r="N570" s="33">
        <f>ROUNDUP(M570+(M570*Assumptions!M$5),-2)</f>
        <v>7100</v>
      </c>
      <c r="O570" s="33">
        <f>ROUNDUP(N570+(N570*Assumptions!N$5),-2)</f>
        <v>7300</v>
      </c>
      <c r="P570" s="33">
        <f>ROUNDUP(O570+(O570*Assumptions!O$5),-2)</f>
        <v>7500</v>
      </c>
      <c r="Q570" s="33">
        <f>ROUNDUP(P570+(P570*Assumptions!P$5),-2)</f>
        <v>7700</v>
      </c>
      <c r="R570" s="114">
        <f>ROUNDUP(Q570+(Q570*Assumptions!Q$5),-2)</f>
        <v>7900</v>
      </c>
    </row>
    <row r="571" spans="1:18" x14ac:dyDescent="0.2">
      <c r="A571" s="107">
        <v>4300</v>
      </c>
      <c r="B571" s="33">
        <v>4800</v>
      </c>
      <c r="C571" s="33">
        <v>5000</v>
      </c>
      <c r="D571" s="33">
        <v>5000</v>
      </c>
      <c r="E571" s="658" t="s">
        <v>1726</v>
      </c>
      <c r="F571" s="108" t="s">
        <v>1727</v>
      </c>
      <c r="G571" s="33">
        <v>5000</v>
      </c>
      <c r="H571" s="138">
        <f t="shared" si="697"/>
        <v>0</v>
      </c>
      <c r="I571" s="33">
        <f>ROUNDUP(G571+(G571*Assumptions!H$5),-2)</f>
        <v>5100</v>
      </c>
      <c r="J571" s="33">
        <f>ROUNDUP(I571+(I571*Assumptions!I$5),-2)</f>
        <v>5300</v>
      </c>
      <c r="K571" s="33">
        <f>ROUNDUP(J571+(J571*Assumptions!J$5),-2)</f>
        <v>5500</v>
      </c>
      <c r="L571" s="33">
        <f>ROUNDUP(K571+(K571*Assumptions!K$5),-2)</f>
        <v>5700</v>
      </c>
      <c r="M571" s="33">
        <f>ROUNDUP(L571+(L571*Assumptions!L$5),-2)</f>
        <v>5900</v>
      </c>
      <c r="N571" s="33">
        <f>ROUNDUP(M571+(M571*Assumptions!M$5),-2)</f>
        <v>6100</v>
      </c>
      <c r="O571" s="33">
        <f>ROUNDUP(N571+(N571*Assumptions!N$5),-2)</f>
        <v>6300</v>
      </c>
      <c r="P571" s="33">
        <f>ROUNDUP(O571+(O571*Assumptions!O$5),-2)</f>
        <v>6500</v>
      </c>
      <c r="Q571" s="33">
        <f>ROUNDUP(P571+(P571*Assumptions!P$5),-2)</f>
        <v>6700</v>
      </c>
      <c r="R571" s="114">
        <f>ROUNDUP(Q571+(Q571*Assumptions!Q$5),-2)</f>
        <v>6900</v>
      </c>
    </row>
    <row r="572" spans="1:18" x14ac:dyDescent="0.2">
      <c r="A572" s="107">
        <v>16700</v>
      </c>
      <c r="B572" s="33">
        <v>23600</v>
      </c>
      <c r="C572" s="33">
        <v>15600</v>
      </c>
      <c r="D572" s="33">
        <v>19700</v>
      </c>
      <c r="E572" s="658" t="s">
        <v>2486</v>
      </c>
      <c r="F572" s="108" t="s">
        <v>2667</v>
      </c>
      <c r="G572" s="33">
        <v>22000</v>
      </c>
      <c r="H572" s="138">
        <f t="shared" si="697"/>
        <v>11.6751269035533</v>
      </c>
      <c r="I572" s="33">
        <f>ROUNDUP(G572+(G572*Assumptions!H$5),-2)</f>
        <v>22400</v>
      </c>
      <c r="J572" s="33">
        <f>ROUNDUP(I572+(I572*Assumptions!I$5),-2)</f>
        <v>23000</v>
      </c>
      <c r="K572" s="33">
        <f>ROUNDUP(J572+(J572*Assumptions!J$5),-2)</f>
        <v>23600</v>
      </c>
      <c r="L572" s="33">
        <f>ROUNDUP(K572+(K572*Assumptions!K$5),-2)</f>
        <v>24200</v>
      </c>
      <c r="M572" s="33">
        <f>ROUNDUP(L572+(L572*Assumptions!L$5),-2)</f>
        <v>24700</v>
      </c>
      <c r="N572" s="33">
        <f>ROUNDUP(M572+(M572*Assumptions!M$5),-2)</f>
        <v>25200</v>
      </c>
      <c r="O572" s="33">
        <f>ROUNDUP(N572+(N572*Assumptions!N$5),-2)</f>
        <v>25800</v>
      </c>
      <c r="P572" s="33">
        <f>ROUNDUP(O572+(O572*Assumptions!O$5),-2)</f>
        <v>26400</v>
      </c>
      <c r="Q572" s="33">
        <f>ROUNDUP(P572+(P572*Assumptions!P$5),-2)</f>
        <v>27000</v>
      </c>
      <c r="R572" s="114">
        <f>ROUNDUP(Q572+(Q572*Assumptions!Q$5),-2)</f>
        <v>27600</v>
      </c>
    </row>
    <row r="573" spans="1:18" x14ac:dyDescent="0.2">
      <c r="A573" s="107">
        <v>18100</v>
      </c>
      <c r="B573" s="33">
        <v>13000</v>
      </c>
      <c r="C573" s="33">
        <v>18800</v>
      </c>
      <c r="D573" s="33">
        <v>13500</v>
      </c>
      <c r="E573" s="658" t="s">
        <v>2356</v>
      </c>
      <c r="F573" s="108" t="s">
        <v>1747</v>
      </c>
      <c r="G573" s="33">
        <v>13000</v>
      </c>
      <c r="H573" s="138">
        <f t="shared" si="697"/>
        <v>-3.7037037037037033</v>
      </c>
      <c r="I573" s="33">
        <f>ROUNDUP(G573+(G573*Assumptions!H$5),-2)</f>
        <v>13200</v>
      </c>
      <c r="J573" s="33">
        <f>ROUNDUP(I573+(I573*Assumptions!I$5),-2)</f>
        <v>13600</v>
      </c>
      <c r="K573" s="33">
        <f>ROUNDUP(J573+(J573*Assumptions!J$5),-2)</f>
        <v>14000</v>
      </c>
      <c r="L573" s="33">
        <f>ROUNDUP(K573+(K573*Assumptions!K$5),-2)</f>
        <v>14400</v>
      </c>
      <c r="M573" s="33">
        <f>ROUNDUP(L573+(L573*Assumptions!L$5),-2)</f>
        <v>14700</v>
      </c>
      <c r="N573" s="33">
        <f>ROUNDUP(M573+(M573*Assumptions!M$5),-2)</f>
        <v>15000</v>
      </c>
      <c r="O573" s="33">
        <f>ROUNDUP(N573+(N573*Assumptions!N$5),-2)</f>
        <v>15300</v>
      </c>
      <c r="P573" s="33">
        <f>ROUNDUP(O573+(O573*Assumptions!O$5),-2)</f>
        <v>15700</v>
      </c>
      <c r="Q573" s="33">
        <f>ROUNDUP(P573+(P573*Assumptions!P$5),-2)</f>
        <v>16100</v>
      </c>
      <c r="R573" s="114">
        <f>ROUNDUP(Q573+(Q573*Assumptions!Q$5),-2)</f>
        <v>16500</v>
      </c>
    </row>
    <row r="574" spans="1:18" ht="13.5" thickBot="1" x14ac:dyDescent="0.25">
      <c r="A574" s="107"/>
      <c r="B574" s="33"/>
      <c r="C574" s="33"/>
      <c r="D574" s="33"/>
      <c r="E574" s="255"/>
      <c r="F574" s="108"/>
      <c r="G574" s="33"/>
      <c r="H574" s="138"/>
      <c r="I574" s="33"/>
      <c r="J574" s="33"/>
      <c r="K574" s="33"/>
      <c r="L574" s="33"/>
      <c r="M574" s="33"/>
      <c r="N574" s="33"/>
      <c r="O574" s="33"/>
      <c r="P574" s="33"/>
      <c r="Q574" s="33"/>
      <c r="R574" s="114"/>
    </row>
    <row r="575" spans="1:18" s="92" customFormat="1" x14ac:dyDescent="0.2">
      <c r="A575" s="105">
        <f>SUBTOTAL(9,A558:A574)</f>
        <v>284900</v>
      </c>
      <c r="B575" s="53">
        <f>SUBTOTAL(9,B558:B574)</f>
        <v>301800</v>
      </c>
      <c r="C575" s="53">
        <f>SUBTOTAL(9,C558:C574)</f>
        <v>255200</v>
      </c>
      <c r="D575" s="53">
        <f>SUBTOTAL(9,D558:D574)</f>
        <v>310900</v>
      </c>
      <c r="E575" s="282"/>
      <c r="F575" s="112" t="s">
        <v>565</v>
      </c>
      <c r="G575" s="53">
        <f>SUBTOTAL(9,G558:G574)</f>
        <v>296500</v>
      </c>
      <c r="H575" s="2485">
        <f>IF(D575=G575,0,IF(D575=0,100,(G575-D575)/D575*100))</f>
        <v>-4.6317143776133811</v>
      </c>
      <c r="I575" s="53">
        <f t="shared" ref="I575:R575" si="698">SUBTOTAL(9,I558:I574)</f>
        <v>269300</v>
      </c>
      <c r="J575" s="53">
        <f t="shared" si="698"/>
        <v>276800</v>
      </c>
      <c r="K575" s="53">
        <f t="shared" si="698"/>
        <v>284300</v>
      </c>
      <c r="L575" s="53">
        <f t="shared" si="698"/>
        <v>292000</v>
      </c>
      <c r="M575" s="53">
        <f t="shared" si="698"/>
        <v>298600</v>
      </c>
      <c r="N575" s="53">
        <f t="shared" si="698"/>
        <v>305300</v>
      </c>
      <c r="O575" s="53">
        <f t="shared" si="698"/>
        <v>312100</v>
      </c>
      <c r="P575" s="53">
        <f t="shared" si="698"/>
        <v>319100</v>
      </c>
      <c r="Q575" s="53">
        <f t="shared" si="698"/>
        <v>326300</v>
      </c>
      <c r="R575" s="113">
        <f t="shared" si="698"/>
        <v>333500</v>
      </c>
    </row>
    <row r="576" spans="1:18" x14ac:dyDescent="0.2">
      <c r="A576" s="107"/>
      <c r="B576" s="33"/>
      <c r="C576" s="33"/>
      <c r="D576" s="33"/>
      <c r="E576" s="255"/>
      <c r="F576" s="108"/>
      <c r="G576" s="33"/>
      <c r="H576" s="138"/>
      <c r="I576" s="33"/>
      <c r="J576" s="33"/>
      <c r="K576" s="33"/>
      <c r="L576" s="33"/>
      <c r="M576" s="33"/>
      <c r="N576" s="33"/>
      <c r="O576" s="33"/>
      <c r="P576" s="33"/>
      <c r="Q576" s="33"/>
      <c r="R576" s="114"/>
    </row>
    <row r="577" spans="1:18" s="92" customFormat="1" x14ac:dyDescent="0.2">
      <c r="A577" s="70">
        <f>A556-A575</f>
        <v>-266600</v>
      </c>
      <c r="B577" s="64">
        <f>B556-B575</f>
        <v>-282700</v>
      </c>
      <c r="C577" s="64">
        <f>C556-C575</f>
        <v>-229200</v>
      </c>
      <c r="D577" s="64">
        <f>D556-D575</f>
        <v>-268400</v>
      </c>
      <c r="E577" s="282"/>
      <c r="F577" s="1963" t="s">
        <v>1019</v>
      </c>
      <c r="G577" s="64">
        <f>G556-G575</f>
        <v>-267000</v>
      </c>
      <c r="H577" s="179">
        <f>IF(D577=G577,0,IF(D577=0,100,(G577-D577)/D577*100))</f>
        <v>-0.52160953800298071</v>
      </c>
      <c r="I577" s="64">
        <f t="shared" ref="I577:R577" si="699">I556-I575</f>
        <v>-239000</v>
      </c>
      <c r="J577" s="64">
        <f t="shared" si="699"/>
        <v>-245400</v>
      </c>
      <c r="K577" s="64">
        <f t="shared" si="699"/>
        <v>-251800</v>
      </c>
      <c r="L577" s="64">
        <f t="shared" si="699"/>
        <v>-258400</v>
      </c>
      <c r="M577" s="64">
        <f t="shared" si="699"/>
        <v>-264100</v>
      </c>
      <c r="N577" s="64">
        <f t="shared" si="699"/>
        <v>-269900</v>
      </c>
      <c r="O577" s="64">
        <f t="shared" si="699"/>
        <v>-275800</v>
      </c>
      <c r="P577" s="64">
        <f t="shared" si="699"/>
        <v>-281900</v>
      </c>
      <c r="Q577" s="64">
        <f t="shared" si="699"/>
        <v>-288100</v>
      </c>
      <c r="R577" s="115">
        <f t="shared" si="699"/>
        <v>-294200</v>
      </c>
    </row>
    <row r="578" spans="1:18" x14ac:dyDescent="0.2">
      <c r="A578" s="107">
        <v>0</v>
      </c>
      <c r="B578" s="33">
        <v>0</v>
      </c>
      <c r="C578" s="33">
        <v>0</v>
      </c>
      <c r="D578" s="33">
        <v>0</v>
      </c>
      <c r="E578" s="255"/>
      <c r="F578" s="320" t="s">
        <v>1976</v>
      </c>
      <c r="G578" s="33">
        <v>0</v>
      </c>
      <c r="H578" s="138">
        <f>IF(D578=G578,0,IF(D578=0,100,(G578-D578)/D578*100))</f>
        <v>0</v>
      </c>
      <c r="I578" s="33">
        <v>0</v>
      </c>
      <c r="J578" s="33">
        <v>0</v>
      </c>
      <c r="K578" s="33">
        <v>0</v>
      </c>
      <c r="L578" s="33">
        <v>0</v>
      </c>
      <c r="M578" s="33">
        <v>0</v>
      </c>
      <c r="N578" s="33">
        <v>0</v>
      </c>
      <c r="O578" s="33">
        <v>0</v>
      </c>
      <c r="P578" s="33">
        <v>0</v>
      </c>
      <c r="Q578" s="33">
        <v>0</v>
      </c>
      <c r="R578" s="114">
        <v>0</v>
      </c>
    </row>
    <row r="579" spans="1:18" s="92" customFormat="1" x14ac:dyDescent="0.2">
      <c r="A579" s="181">
        <f>A577+A578</f>
        <v>-266600</v>
      </c>
      <c r="B579" s="397">
        <f>B577+B578</f>
        <v>-282700</v>
      </c>
      <c r="C579" s="397">
        <f>C577+C578</f>
        <v>-229200</v>
      </c>
      <c r="D579" s="397">
        <f>D577+D578</f>
        <v>-268400</v>
      </c>
      <c r="E579" s="514"/>
      <c r="F579" s="515" t="s">
        <v>1687</v>
      </c>
      <c r="G579" s="397">
        <f t="shared" ref="G579:O579" si="700">G577+G578</f>
        <v>-267000</v>
      </c>
      <c r="H579" s="395">
        <f>IF(D579=G579,0,IF(D579=0,100,(G579-D579)/D579*100))</f>
        <v>-0.52160953800298071</v>
      </c>
      <c r="I579" s="397">
        <f t="shared" si="700"/>
        <v>-239000</v>
      </c>
      <c r="J579" s="397">
        <f t="shared" si="700"/>
        <v>-245400</v>
      </c>
      <c r="K579" s="397">
        <f t="shared" si="700"/>
        <v>-251800</v>
      </c>
      <c r="L579" s="397">
        <f t="shared" si="700"/>
        <v>-258400</v>
      </c>
      <c r="M579" s="397">
        <f t="shared" si="700"/>
        <v>-264100</v>
      </c>
      <c r="N579" s="397">
        <f t="shared" si="700"/>
        <v>-269900</v>
      </c>
      <c r="O579" s="397">
        <f t="shared" si="700"/>
        <v>-275800</v>
      </c>
      <c r="P579" s="397">
        <f t="shared" ref="P579:Q579" si="701">P577+P578</f>
        <v>-281900</v>
      </c>
      <c r="Q579" s="397">
        <f t="shared" si="701"/>
        <v>-288100</v>
      </c>
      <c r="R579" s="399">
        <f t="shared" ref="R579" si="702">R577+R578</f>
        <v>-294200</v>
      </c>
    </row>
    <row r="580" spans="1:18" ht="13.5" thickBot="1" x14ac:dyDescent="0.25">
      <c r="A580" s="171"/>
      <c r="B580" s="66"/>
      <c r="C580" s="66"/>
      <c r="D580" s="66"/>
      <c r="E580" s="558"/>
      <c r="F580" s="173"/>
      <c r="G580" s="66"/>
      <c r="H580" s="140"/>
      <c r="I580" s="121"/>
      <c r="J580" s="121"/>
      <c r="K580" s="121"/>
      <c r="L580" s="121"/>
      <c r="M580" s="121"/>
      <c r="N580" s="121"/>
      <c r="O580" s="121"/>
      <c r="P580" s="121"/>
      <c r="Q580" s="121"/>
      <c r="R580" s="161"/>
    </row>
    <row r="581" spans="1:18" ht="13.5" thickTop="1" x14ac:dyDescent="0.2">
      <c r="A581" s="383"/>
      <c r="B581" s="122"/>
      <c r="C581" s="162"/>
      <c r="D581" s="162"/>
      <c r="E581" s="286"/>
      <c r="F581" s="367"/>
      <c r="G581" s="127"/>
      <c r="H581" s="393"/>
      <c r="I581" s="127"/>
      <c r="J581" s="127"/>
      <c r="K581" s="127"/>
      <c r="L581" s="127"/>
      <c r="M581" s="127"/>
      <c r="N581" s="127"/>
      <c r="O581" s="127"/>
      <c r="P581" s="127"/>
      <c r="Q581" s="127"/>
      <c r="R581" s="163"/>
    </row>
    <row r="582" spans="1:18" x14ac:dyDescent="0.2">
      <c r="A582" s="70"/>
      <c r="B582" s="128"/>
      <c r="C582" s="64"/>
      <c r="D582" s="64"/>
      <c r="E582" s="283"/>
      <c r="F582" s="516" t="s">
        <v>196</v>
      </c>
      <c r="G582" s="33"/>
      <c r="H582" s="1990"/>
      <c r="I582" s="33"/>
      <c r="J582" s="33"/>
      <c r="K582" s="33"/>
      <c r="L582" s="33"/>
      <c r="M582" s="33"/>
      <c r="N582" s="33"/>
      <c r="O582" s="33"/>
      <c r="P582" s="33"/>
      <c r="Q582" s="33"/>
      <c r="R582" s="114"/>
    </row>
    <row r="583" spans="1:18" x14ac:dyDescent="0.2">
      <c r="A583" s="107">
        <v>0</v>
      </c>
      <c r="B583" s="142">
        <v>0</v>
      </c>
      <c r="C583" s="142">
        <v>0</v>
      </c>
      <c r="D583" s="142">
        <v>0</v>
      </c>
      <c r="E583" s="238"/>
      <c r="F583" s="366" t="s">
        <v>2900</v>
      </c>
      <c r="G583" s="33">
        <v>0</v>
      </c>
      <c r="H583" s="142"/>
      <c r="I583" s="33"/>
      <c r="J583" s="33"/>
      <c r="K583" s="33"/>
      <c r="L583" s="33"/>
      <c r="M583" s="33"/>
      <c r="N583" s="33"/>
      <c r="O583" s="33"/>
      <c r="P583" s="33"/>
      <c r="Q583" s="33"/>
      <c r="R583" s="114"/>
    </row>
    <row r="584" spans="1:18" x14ac:dyDescent="0.2">
      <c r="A584" s="107">
        <v>0</v>
      </c>
      <c r="B584" s="142">
        <v>5000</v>
      </c>
      <c r="C584" s="142">
        <v>13500</v>
      </c>
      <c r="D584" s="33">
        <f>'Res-Gen'!B52</f>
        <v>5000</v>
      </c>
      <c r="E584" s="238"/>
      <c r="F584" s="366" t="s">
        <v>1942</v>
      </c>
      <c r="G584" s="33">
        <f>'Res-Gen'!E44</f>
        <v>0</v>
      </c>
      <c r="H584" s="1959"/>
      <c r="I584" s="33">
        <v>0</v>
      </c>
      <c r="J584" s="33">
        <v>0</v>
      </c>
      <c r="K584" s="33">
        <v>0</v>
      </c>
      <c r="L584" s="33">
        <v>0</v>
      </c>
      <c r="M584" s="33">
        <v>0</v>
      </c>
      <c r="N584" s="33">
        <v>0</v>
      </c>
      <c r="O584" s="33">
        <v>0</v>
      </c>
      <c r="P584" s="33">
        <v>0</v>
      </c>
      <c r="Q584" s="33">
        <v>0</v>
      </c>
      <c r="R584" s="114">
        <v>0</v>
      </c>
    </row>
    <row r="585" spans="1:18" x14ac:dyDescent="0.2">
      <c r="A585" s="107">
        <v>0</v>
      </c>
      <c r="B585" s="142">
        <v>0</v>
      </c>
      <c r="C585" s="142">
        <v>0</v>
      </c>
      <c r="D585" s="33">
        <v>0</v>
      </c>
      <c r="E585" s="238"/>
      <c r="F585" s="366" t="s">
        <v>2348</v>
      </c>
      <c r="G585" s="33">
        <v>0</v>
      </c>
      <c r="H585" s="1959"/>
      <c r="I585" s="33">
        <v>0</v>
      </c>
      <c r="J585" s="33">
        <v>0</v>
      </c>
      <c r="K585" s="33">
        <v>0</v>
      </c>
      <c r="L585" s="33">
        <v>0</v>
      </c>
      <c r="M585" s="33">
        <v>0</v>
      </c>
      <c r="N585" s="33">
        <v>0</v>
      </c>
      <c r="O585" s="33">
        <v>0</v>
      </c>
      <c r="P585" s="33">
        <v>0</v>
      </c>
      <c r="Q585" s="33">
        <v>0</v>
      </c>
      <c r="R585" s="114">
        <v>0</v>
      </c>
    </row>
    <row r="586" spans="1:18" x14ac:dyDescent="0.2">
      <c r="A586" s="107">
        <v>0</v>
      </c>
      <c r="B586" s="142">
        <v>0</v>
      </c>
      <c r="C586" s="33">
        <v>0</v>
      </c>
      <c r="D586" s="33">
        <v>0</v>
      </c>
      <c r="E586" s="238"/>
      <c r="F586" s="366" t="s">
        <v>5984</v>
      </c>
      <c r="G586" s="33">
        <v>0</v>
      </c>
      <c r="H586" s="1959"/>
      <c r="I586" s="33">
        <v>0</v>
      </c>
      <c r="J586" s="33">
        <v>0</v>
      </c>
      <c r="K586" s="33"/>
      <c r="L586" s="33">
        <v>0</v>
      </c>
      <c r="M586" s="33">
        <v>0</v>
      </c>
      <c r="N586" s="33">
        <v>0</v>
      </c>
      <c r="O586" s="33">
        <v>0</v>
      </c>
      <c r="P586" s="33">
        <v>0</v>
      </c>
      <c r="Q586" s="33">
        <v>0</v>
      </c>
      <c r="R586" s="114">
        <v>0</v>
      </c>
    </row>
    <row r="587" spans="1:18" x14ac:dyDescent="0.2">
      <c r="A587" s="107">
        <v>0</v>
      </c>
      <c r="B587" s="142">
        <v>19600</v>
      </c>
      <c r="C587" s="142">
        <v>0</v>
      </c>
      <c r="D587" s="33">
        <v>0</v>
      </c>
      <c r="E587" s="238"/>
      <c r="F587" s="366" t="s">
        <v>972</v>
      </c>
      <c r="G587" s="33">
        <v>0</v>
      </c>
      <c r="H587" s="1959"/>
      <c r="I587" s="33">
        <v>0</v>
      </c>
      <c r="J587" s="33">
        <v>0</v>
      </c>
      <c r="K587" s="33">
        <v>0</v>
      </c>
      <c r="L587" s="33">
        <v>0</v>
      </c>
      <c r="M587" s="33">
        <v>0</v>
      </c>
      <c r="N587" s="33">
        <v>0</v>
      </c>
      <c r="O587" s="33">
        <v>0</v>
      </c>
      <c r="P587" s="33">
        <v>0</v>
      </c>
      <c r="Q587" s="33">
        <v>0</v>
      </c>
      <c r="R587" s="114">
        <v>0</v>
      </c>
    </row>
    <row r="588" spans="1:18" x14ac:dyDescent="0.2">
      <c r="A588" s="107"/>
      <c r="B588" s="142"/>
      <c r="C588" s="33"/>
      <c r="D588" s="33"/>
      <c r="E588" s="238"/>
      <c r="F588" s="366"/>
      <c r="G588" s="33"/>
      <c r="H588" s="1959"/>
      <c r="I588" s="33"/>
      <c r="J588" s="33"/>
      <c r="K588" s="33"/>
      <c r="L588" s="33"/>
      <c r="M588" s="33"/>
      <c r="N588" s="33"/>
      <c r="O588" s="33"/>
      <c r="P588" s="33"/>
      <c r="Q588" s="33"/>
      <c r="R588" s="114"/>
    </row>
    <row r="589" spans="1:18" s="92" customFormat="1" x14ac:dyDescent="0.2">
      <c r="A589" s="181">
        <f>A579-A583-A584+A585++A586-A587</f>
        <v>-266600</v>
      </c>
      <c r="B589" s="377">
        <f>B579-B583-B584+B585++B586-B587</f>
        <v>-307300</v>
      </c>
      <c r="C589" s="397">
        <f>C579-C583-C584+C585++C586-C587</f>
        <v>-242700</v>
      </c>
      <c r="D589" s="397">
        <f>D579-D583-D584+D585++D586-D587</f>
        <v>-273400</v>
      </c>
      <c r="E589" s="517"/>
      <c r="F589" s="518" t="s">
        <v>2490</v>
      </c>
      <c r="G589" s="397">
        <f t="shared" ref="G589:O589" si="703">G579-G583-G584+G585++G586-G587</f>
        <v>-267000</v>
      </c>
      <c r="H589" s="395">
        <f>IF(D589=G589,0,IF(D589=0,100,(G589-D589)/D589*100))</f>
        <v>-2.3408924652523777</v>
      </c>
      <c r="I589" s="397">
        <f t="shared" si="703"/>
        <v>-239000</v>
      </c>
      <c r="J589" s="397">
        <f t="shared" si="703"/>
        <v>-245400</v>
      </c>
      <c r="K589" s="397">
        <f t="shared" si="703"/>
        <v>-251800</v>
      </c>
      <c r="L589" s="397">
        <f t="shared" si="703"/>
        <v>-258400</v>
      </c>
      <c r="M589" s="397">
        <f t="shared" si="703"/>
        <v>-264100</v>
      </c>
      <c r="N589" s="397">
        <f t="shared" si="703"/>
        <v>-269900</v>
      </c>
      <c r="O589" s="397">
        <f t="shared" si="703"/>
        <v>-275800</v>
      </c>
      <c r="P589" s="397">
        <f t="shared" ref="P589:Q589" si="704">P579-P583-P584+P585++P586-P587</f>
        <v>-281900</v>
      </c>
      <c r="Q589" s="397">
        <f t="shared" si="704"/>
        <v>-288100</v>
      </c>
      <c r="R589" s="399">
        <f t="shared" ref="R589" si="705">R579-R583-R584+R585++R586-R587</f>
        <v>-294200</v>
      </c>
    </row>
    <row r="590" spans="1:18" ht="13.5" thickBot="1" x14ac:dyDescent="0.25">
      <c r="A590" s="73"/>
      <c r="B590" s="134"/>
      <c r="C590" s="90"/>
      <c r="D590" s="90"/>
      <c r="E590" s="284"/>
      <c r="F590" s="368"/>
      <c r="G590" s="66"/>
      <c r="H590" s="394"/>
      <c r="I590" s="66"/>
      <c r="J590" s="66"/>
      <c r="K590" s="66"/>
      <c r="L590" s="66"/>
      <c r="M590" s="66"/>
      <c r="N590" s="66"/>
      <c r="O590" s="66"/>
      <c r="P590" s="66"/>
      <c r="Q590" s="66"/>
      <c r="R590" s="165"/>
    </row>
    <row r="591" spans="1:18" ht="14.25" thickTop="1" thickBot="1" x14ac:dyDescent="0.25">
      <c r="A591" s="125"/>
      <c r="B591" s="125"/>
      <c r="C591" s="125"/>
      <c r="D591" s="125"/>
      <c r="E591" s="286"/>
      <c r="F591" s="542"/>
      <c r="G591" s="176"/>
      <c r="H591" s="2483"/>
      <c r="I591" s="176"/>
      <c r="J591" s="176"/>
      <c r="K591" s="176"/>
      <c r="L591" s="176"/>
      <c r="M591" s="176"/>
      <c r="N591" s="176"/>
      <c r="O591" s="176"/>
      <c r="P591" s="176"/>
      <c r="Q591" s="176"/>
      <c r="R591" s="176"/>
    </row>
    <row r="592" spans="1:18" s="91" customFormat="1" ht="18.75" customHeight="1" thickTop="1" thickBot="1" x14ac:dyDescent="0.3">
      <c r="A592" s="2862" t="str">
        <f>A153</f>
        <v>FINANCIAL SERVICES - GENERAL PURPOSE REVENUES</v>
      </c>
      <c r="B592" s="2863"/>
      <c r="C592" s="2863"/>
      <c r="D592" s="2863"/>
      <c r="E592" s="2863"/>
      <c r="F592" s="2863"/>
      <c r="G592" s="2863"/>
      <c r="H592" s="2863"/>
      <c r="I592" s="2863"/>
      <c r="J592" s="2863"/>
      <c r="K592" s="2863"/>
      <c r="L592" s="2863"/>
      <c r="M592" s="2863"/>
      <c r="N592" s="2863"/>
      <c r="O592" s="2863"/>
      <c r="P592" s="2863"/>
      <c r="Q592" s="2863"/>
      <c r="R592" s="2864"/>
    </row>
    <row r="593" spans="1:18" s="44" customFormat="1" x14ac:dyDescent="0.2">
      <c r="A593" s="2888" t="s">
        <v>1856</v>
      </c>
      <c r="B593" s="2889"/>
      <c r="C593" s="2889"/>
      <c r="D593" s="2890"/>
      <c r="E593" s="513" t="s">
        <v>2663</v>
      </c>
      <c r="F593" s="2649" t="s">
        <v>2251</v>
      </c>
      <c r="G593" s="2885" t="s">
        <v>2253</v>
      </c>
      <c r="H593" s="2886"/>
      <c r="I593" s="2886"/>
      <c r="J593" s="2886"/>
      <c r="K593" s="2886"/>
      <c r="L593" s="2886"/>
      <c r="M593" s="2886"/>
      <c r="N593" s="2886"/>
      <c r="O593" s="2886"/>
      <c r="P593" s="2886"/>
      <c r="Q593" s="2886"/>
      <c r="R593" s="2887"/>
    </row>
    <row r="594" spans="1:18" s="23" customFormat="1" ht="13.5" thickBot="1" x14ac:dyDescent="0.25">
      <c r="A594" s="208" t="str">
        <f>A3</f>
        <v>2012/13</v>
      </c>
      <c r="B594" s="218" t="str">
        <f>B3</f>
        <v>2013/14</v>
      </c>
      <c r="C594" s="370" t="str">
        <f>C3</f>
        <v>2014/15</v>
      </c>
      <c r="D594" s="93" t="str">
        <f>D3</f>
        <v>2015/16</v>
      </c>
      <c r="E594" s="370" t="s">
        <v>2664</v>
      </c>
      <c r="F594" s="42"/>
      <c r="G594" s="93" t="str">
        <f>G3</f>
        <v>2016/17</v>
      </c>
      <c r="H594" s="2095" t="s">
        <v>501</v>
      </c>
      <c r="I594" s="370" t="str">
        <f t="shared" ref="I594:R594" si="706">I3</f>
        <v>2017/18</v>
      </c>
      <c r="J594" s="370" t="str">
        <f t="shared" si="706"/>
        <v>2018/19</v>
      </c>
      <c r="K594" s="370" t="str">
        <f t="shared" si="706"/>
        <v>2019/20</v>
      </c>
      <c r="L594" s="370" t="str">
        <f t="shared" si="706"/>
        <v>2020/21</v>
      </c>
      <c r="M594" s="370" t="str">
        <f t="shared" si="706"/>
        <v>2021/22</v>
      </c>
      <c r="N594" s="370" t="str">
        <f t="shared" si="706"/>
        <v>2022/23</v>
      </c>
      <c r="O594" s="370" t="str">
        <f t="shared" si="706"/>
        <v>2023/24</v>
      </c>
      <c r="P594" s="370" t="str">
        <f t="shared" si="706"/>
        <v>2024/25</v>
      </c>
      <c r="Q594" s="218" t="str">
        <f t="shared" si="706"/>
        <v>2025/26</v>
      </c>
      <c r="R594" s="549" t="str">
        <f t="shared" si="706"/>
        <v>2026/27</v>
      </c>
    </row>
    <row r="595" spans="1:18" x14ac:dyDescent="0.2">
      <c r="A595" s="107"/>
      <c r="B595" s="33"/>
      <c r="C595" s="169"/>
      <c r="D595" s="33"/>
      <c r="E595" s="252"/>
      <c r="F595" s="74"/>
      <c r="G595" s="33"/>
      <c r="H595" s="138"/>
      <c r="I595" s="33"/>
      <c r="J595" s="33"/>
      <c r="K595" s="33"/>
      <c r="L595" s="33"/>
      <c r="M595" s="33"/>
      <c r="N595" s="33"/>
      <c r="O595" s="33"/>
      <c r="P595" s="33"/>
      <c r="Q595" s="33"/>
      <c r="R595" s="114"/>
    </row>
    <row r="596" spans="1:18" x14ac:dyDescent="0.2">
      <c r="A596" s="107"/>
      <c r="B596" s="33"/>
      <c r="C596" s="33"/>
      <c r="D596" s="33"/>
      <c r="E596" s="252"/>
      <c r="F596" s="144" t="s">
        <v>1073</v>
      </c>
      <c r="G596" s="33"/>
      <c r="H596" s="138"/>
      <c r="I596" s="33"/>
      <c r="J596" s="33"/>
      <c r="K596" s="33"/>
      <c r="L596" s="33"/>
      <c r="M596" s="33"/>
      <c r="N596" s="33"/>
      <c r="O596" s="33"/>
      <c r="P596" s="33"/>
      <c r="Q596" s="33"/>
      <c r="R596" s="114"/>
    </row>
    <row r="597" spans="1:18" x14ac:dyDescent="0.2">
      <c r="A597" s="107"/>
      <c r="B597" s="33"/>
      <c r="C597" s="33"/>
      <c r="D597" s="33"/>
      <c r="E597" s="252"/>
      <c r="F597" s="33"/>
      <c r="G597" s="33"/>
      <c r="H597" s="138"/>
      <c r="I597" s="33"/>
      <c r="J597" s="33"/>
      <c r="K597" s="33"/>
      <c r="L597" s="33"/>
      <c r="M597" s="33"/>
      <c r="N597" s="33"/>
      <c r="O597" s="33"/>
      <c r="P597" s="33"/>
      <c r="Q597" s="33"/>
      <c r="R597" s="114"/>
    </row>
    <row r="598" spans="1:18" x14ac:dyDescent="0.2">
      <c r="A598" s="107"/>
      <c r="B598" s="33"/>
      <c r="C598" s="33"/>
      <c r="D598" s="33"/>
      <c r="E598" s="252"/>
      <c r="F598" s="562" t="s">
        <v>1134</v>
      </c>
      <c r="G598" s="33"/>
      <c r="H598" s="138"/>
      <c r="I598" s="33"/>
      <c r="J598" s="33"/>
      <c r="K598" s="33"/>
      <c r="L598" s="33"/>
      <c r="M598" s="33"/>
      <c r="N598" s="33"/>
      <c r="O598" s="33"/>
      <c r="P598" s="33"/>
      <c r="Q598" s="33"/>
      <c r="R598" s="114"/>
    </row>
    <row r="599" spans="1:18" x14ac:dyDescent="0.2">
      <c r="A599" s="107">
        <v>12023300</v>
      </c>
      <c r="B599" s="33">
        <v>12780600</v>
      </c>
      <c r="C599" s="33">
        <v>13206900</v>
      </c>
      <c r="D599" s="33">
        <f>13968100</f>
        <v>13968100</v>
      </c>
      <c r="E599" s="343" t="s">
        <v>2875</v>
      </c>
      <c r="F599" s="351" t="s">
        <v>318</v>
      </c>
      <c r="G599" s="33">
        <f>14773700+123000</f>
        <v>14896700</v>
      </c>
      <c r="H599" s="138">
        <f>IF(D599=G599,0,IF(D599=0,100,(G599-D599)/D599*100))</f>
        <v>6.6480050973289142</v>
      </c>
      <c r="I599" s="33">
        <f>ROUND(G599*Assumptions!H$11+GM!G599,-2)-72100</f>
        <v>15629000</v>
      </c>
      <c r="J599" s="33">
        <f>ROUND(I599*Assumptions!I$11+GM!I599,-2)</f>
        <v>16629300</v>
      </c>
      <c r="K599" s="33">
        <f>ROUND(J599*Assumptions!J$11+GM!J599,-2)</f>
        <v>17693600</v>
      </c>
      <c r="L599" s="33">
        <f>ROUND(K599*Assumptions!K$11+GM!K599,-2)</f>
        <v>18224400</v>
      </c>
      <c r="M599" s="33">
        <f>ROUND(L599*Assumptions!L$11+GM!L599,-2)</f>
        <v>18771100</v>
      </c>
      <c r="N599" s="33">
        <f>ROUND(M599*Assumptions!M$11+GM!M599,-2)</f>
        <v>19334200</v>
      </c>
      <c r="O599" s="33">
        <f>ROUND(N599*Assumptions!N$11+GM!N599,-2)</f>
        <v>19914200</v>
      </c>
      <c r="P599" s="33">
        <f>ROUND(O599*Assumptions!O$11+GM!O599,-2)</f>
        <v>20511600</v>
      </c>
      <c r="Q599" s="33">
        <f>ROUND(P599*Assumptions!P$11+GM!P599,-2)</f>
        <v>21126900</v>
      </c>
      <c r="R599" s="114">
        <f>ROUND(Q599*Assumptions!Q$11+GM!Q599,-2)</f>
        <v>21760700</v>
      </c>
    </row>
    <row r="600" spans="1:18" x14ac:dyDescent="0.2">
      <c r="A600" s="107">
        <v>3305500</v>
      </c>
      <c r="B600" s="33">
        <v>3476100</v>
      </c>
      <c r="C600" s="33">
        <v>3644700</v>
      </c>
      <c r="D600" s="33">
        <v>3826700</v>
      </c>
      <c r="E600" s="343" t="s">
        <v>792</v>
      </c>
      <c r="F600" s="351" t="s">
        <v>1105</v>
      </c>
      <c r="G600" s="33">
        <f>4126900-81000</f>
        <v>4045900</v>
      </c>
      <c r="H600" s="138">
        <f>IF(D600=G600,0,IF(D600=0,100,(G600-D600)/D600*100))</f>
        <v>5.7281730995374609</v>
      </c>
      <c r="I600" s="33">
        <f>ROUND(G600*Assumptions!H$11+GM!G600,-2)+37600</f>
        <v>4302000</v>
      </c>
      <c r="J600" s="33">
        <f>ROUND(I600*Assumptions!I$11+GM!I600,-2)</f>
        <v>4577300</v>
      </c>
      <c r="K600" s="33">
        <f>ROUND(J600*Assumptions!J$11+GM!J600,-2)</f>
        <v>4870200</v>
      </c>
      <c r="L600" s="33">
        <f>ROUND(K600*Assumptions!K$11+GM!K600,-2)</f>
        <v>5016300</v>
      </c>
      <c r="M600" s="33">
        <f>ROUND(L600*Assumptions!L$11+GM!L600,-2)</f>
        <v>5166800</v>
      </c>
      <c r="N600" s="33">
        <f>ROUND(M600*Assumptions!M$11+GM!M600,-2)</f>
        <v>5321800</v>
      </c>
      <c r="O600" s="33">
        <f>ROUND(N600*Assumptions!N$11+GM!N600,-2)</f>
        <v>5481500</v>
      </c>
      <c r="P600" s="33">
        <f>ROUND(O600*Assumptions!O$11+GM!O600,-2)</f>
        <v>5645900</v>
      </c>
      <c r="Q600" s="33">
        <f>ROUND(P600*Assumptions!P$11+GM!P600,-2)</f>
        <v>5815300</v>
      </c>
      <c r="R600" s="114">
        <f>ROUND(Q600*Assumptions!Q$11+GM!Q600,-2)</f>
        <v>5989800</v>
      </c>
    </row>
    <row r="601" spans="1:18" x14ac:dyDescent="0.2">
      <c r="A601" s="107">
        <v>1302800</v>
      </c>
      <c r="B601" s="33">
        <v>1356800</v>
      </c>
      <c r="C601" s="33">
        <v>1387800</v>
      </c>
      <c r="D601" s="33">
        <v>1445600</v>
      </c>
      <c r="E601" s="343" t="s">
        <v>793</v>
      </c>
      <c r="F601" s="351" t="s">
        <v>803</v>
      </c>
      <c r="G601" s="33">
        <f>1554100-45000</f>
        <v>1509100</v>
      </c>
      <c r="H601" s="138">
        <f>IF(D601=G601,0,IF(D601=0,100,(G601-D601)/D601*100))</f>
        <v>4.3926397343663535</v>
      </c>
      <c r="I601" s="33">
        <f>ROUND(G601*Assumptions!H$11+GM!G601,-2)-11600</f>
        <v>1579000</v>
      </c>
      <c r="J601" s="33">
        <f>ROUND(I601*Assumptions!I$11+GM!I601,-2)</f>
        <v>1680100</v>
      </c>
      <c r="K601" s="33">
        <f>ROUND(J601*Assumptions!J$11+GM!J601,-2)</f>
        <v>1787600</v>
      </c>
      <c r="L601" s="33">
        <f>ROUND(K601*Assumptions!K$11+GM!K601,-2)</f>
        <v>1841200</v>
      </c>
      <c r="M601" s="33">
        <f>ROUND(L601*Assumptions!L$11+GM!L601,-2)</f>
        <v>1896400</v>
      </c>
      <c r="N601" s="33">
        <f>ROUND(M601*Assumptions!M$11+GM!M601,-2)</f>
        <v>1953300</v>
      </c>
      <c r="O601" s="33">
        <f>ROUND(N601*Assumptions!N$11+GM!N601,-2)</f>
        <v>2011900</v>
      </c>
      <c r="P601" s="33">
        <f>ROUND(O601*Assumptions!O$11+GM!O601,-2)</f>
        <v>2072300</v>
      </c>
      <c r="Q601" s="33">
        <f>ROUND(P601*Assumptions!P$11+GM!P601,-2)</f>
        <v>2134500</v>
      </c>
      <c r="R601" s="114">
        <f>ROUND(Q601*Assumptions!Q$11+GM!Q601,-2)</f>
        <v>2198500</v>
      </c>
    </row>
    <row r="602" spans="1:18" x14ac:dyDescent="0.2">
      <c r="A602" s="107"/>
      <c r="B602" s="33"/>
      <c r="C602" s="33"/>
      <c r="D602" s="33"/>
      <c r="E602" s="343"/>
      <c r="F602" s="635"/>
      <c r="G602" s="33"/>
      <c r="H602" s="138"/>
      <c r="I602" s="33"/>
      <c r="J602" s="33"/>
      <c r="K602" s="33"/>
      <c r="L602" s="33"/>
      <c r="M602" s="33"/>
      <c r="N602" s="33"/>
      <c r="O602" s="33"/>
      <c r="P602" s="33"/>
      <c r="Q602" s="33"/>
      <c r="R602" s="114"/>
    </row>
    <row r="603" spans="1:18" x14ac:dyDescent="0.2">
      <c r="A603" s="715"/>
      <c r="B603" s="616"/>
      <c r="C603" s="33"/>
      <c r="D603" s="33"/>
      <c r="E603" s="343"/>
      <c r="F603" s="562" t="s">
        <v>571</v>
      </c>
      <c r="G603" s="33"/>
      <c r="H603" s="579"/>
      <c r="I603" s="33"/>
      <c r="J603" s="33"/>
      <c r="K603" s="33"/>
      <c r="L603" s="33"/>
      <c r="M603" s="33"/>
      <c r="N603" s="33"/>
      <c r="O603" s="33"/>
      <c r="P603" s="33"/>
      <c r="Q603" s="33"/>
      <c r="R603" s="114"/>
    </row>
    <row r="604" spans="1:18" x14ac:dyDescent="0.2">
      <c r="A604" s="107">
        <v>2000</v>
      </c>
      <c r="B604" s="33">
        <v>1500</v>
      </c>
      <c r="C604" s="33">
        <v>4900</v>
      </c>
      <c r="D604" s="33">
        <v>1000</v>
      </c>
      <c r="E604" s="343" t="s">
        <v>794</v>
      </c>
      <c r="F604" s="916" t="s">
        <v>4636</v>
      </c>
      <c r="G604" s="33">
        <v>2000</v>
      </c>
      <c r="H604" s="138">
        <f>IF(D604=G604,0,IF(D604=0,100,(G604-D604)/D604*100))</f>
        <v>100</v>
      </c>
      <c r="I604" s="33">
        <f>ROUND(G604*Assumptions!H$5+GM!G604,-2)</f>
        <v>2000</v>
      </c>
      <c r="J604" s="33">
        <f>ROUND(I604*Assumptions!I$5+GM!I604,-2)</f>
        <v>2100</v>
      </c>
      <c r="K604" s="33">
        <f>ROUND(J604*Assumptions!J$5+GM!J604,-2)</f>
        <v>2200</v>
      </c>
      <c r="L604" s="33">
        <f>ROUND(K604*Assumptions!K$5+GM!K604,-2)</f>
        <v>2300</v>
      </c>
      <c r="M604" s="33">
        <f>ROUND(L604*Assumptions!L$5+GM!L604,-2)</f>
        <v>2300</v>
      </c>
      <c r="N604" s="33">
        <f>ROUND(M604*Assumptions!M$5+GM!M604,-2)</f>
        <v>2300</v>
      </c>
      <c r="O604" s="33">
        <f>ROUND(N604*Assumptions!N$5+GM!N604,-2)</f>
        <v>2300</v>
      </c>
      <c r="P604" s="33">
        <f>ROUND(O604*Assumptions!O$5+GM!O604,-2)</f>
        <v>2300</v>
      </c>
      <c r="Q604" s="33">
        <f>ROUND(P604*Assumptions!P$5+GM!P604,-2)</f>
        <v>2300</v>
      </c>
      <c r="R604" s="114">
        <f>ROUND(Q604*Assumptions!Q$5+GM!Q604,-2)</f>
        <v>2300</v>
      </c>
    </row>
    <row r="605" spans="1:18" x14ac:dyDescent="0.2">
      <c r="A605" s="107">
        <v>-1500</v>
      </c>
      <c r="B605" s="33">
        <v>-2100</v>
      </c>
      <c r="C605" s="33">
        <v>-2100</v>
      </c>
      <c r="D605" s="33">
        <v>-1600</v>
      </c>
      <c r="E605" s="343" t="s">
        <v>384</v>
      </c>
      <c r="F605" s="916" t="s">
        <v>4637</v>
      </c>
      <c r="G605" s="33">
        <v>-1500</v>
      </c>
      <c r="H605" s="138">
        <f>IF(D605=G605,0,IF(D605=0,100,(G605-D605)/D605*100))</f>
        <v>-6.25</v>
      </c>
      <c r="I605" s="33">
        <f>ROUND(G605*Assumptions!H$5+GM!G605,-2)</f>
        <v>-1500</v>
      </c>
      <c r="J605" s="33">
        <f>ROUND(I605*Assumptions!I$5+GM!I605,-2)</f>
        <v>-1500</v>
      </c>
      <c r="K605" s="33">
        <f>ROUND(J605*Assumptions!J$5+GM!J605,-2)</f>
        <v>-1500</v>
      </c>
      <c r="L605" s="33">
        <f>ROUND(K605*Assumptions!K$5+GM!K605,-2)</f>
        <v>-1500</v>
      </c>
      <c r="M605" s="33">
        <f>ROUND(L605*Assumptions!L$5+GM!L605,-2)</f>
        <v>-1500</v>
      </c>
      <c r="N605" s="33">
        <f>ROUND(M605*Assumptions!M$5+GM!M605,-2)</f>
        <v>-1500</v>
      </c>
      <c r="O605" s="33">
        <f>ROUND(N605*Assumptions!N$5+GM!N605,-2)</f>
        <v>-1500</v>
      </c>
      <c r="P605" s="33">
        <f>ROUND(O605*Assumptions!O$5+GM!O605,-2)</f>
        <v>-1500</v>
      </c>
      <c r="Q605" s="33">
        <f>ROUND(P605*Assumptions!P$5+GM!P605,-2)</f>
        <v>-1500</v>
      </c>
      <c r="R605" s="114">
        <f>ROUND(Q605*Assumptions!Q$5+GM!Q605,-2)</f>
        <v>-1500</v>
      </c>
    </row>
    <row r="606" spans="1:18" x14ac:dyDescent="0.2">
      <c r="A606" s="107"/>
      <c r="B606" s="33"/>
      <c r="C606" s="33"/>
      <c r="D606" s="33"/>
      <c r="E606" s="343"/>
      <c r="F606" s="351"/>
      <c r="G606" s="33"/>
      <c r="H606" s="138"/>
      <c r="I606" s="33"/>
      <c r="J606" s="33"/>
      <c r="K606" s="33"/>
      <c r="L606" s="33"/>
      <c r="M606" s="33"/>
      <c r="N606" s="33"/>
      <c r="O606" s="33"/>
      <c r="P606" s="33"/>
      <c r="Q606" s="33"/>
      <c r="R606" s="114"/>
    </row>
    <row r="607" spans="1:18" x14ac:dyDescent="0.2">
      <c r="A607" s="107"/>
      <c r="B607" s="33"/>
      <c r="C607" s="33"/>
      <c r="D607" s="33"/>
      <c r="E607" s="343"/>
      <c r="F607" s="562" t="s">
        <v>1527</v>
      </c>
      <c r="G607" s="33"/>
      <c r="H607" s="138"/>
      <c r="I607" s="33"/>
      <c r="J607" s="33"/>
      <c r="K607" s="33"/>
      <c r="L607" s="33"/>
      <c r="M607" s="33"/>
      <c r="N607" s="33"/>
      <c r="O607" s="33"/>
      <c r="P607" s="33"/>
      <c r="Q607" s="33"/>
      <c r="R607" s="114"/>
    </row>
    <row r="608" spans="1:18" x14ac:dyDescent="0.2">
      <c r="A608" s="107">
        <v>-258200</v>
      </c>
      <c r="B608" s="33">
        <v>-260400</v>
      </c>
      <c r="C608" s="33">
        <v>-277700</v>
      </c>
      <c r="D608" s="33">
        <v>-286500</v>
      </c>
      <c r="E608" s="343" t="s">
        <v>312</v>
      </c>
      <c r="F608" s="916" t="s">
        <v>4638</v>
      </c>
      <c r="G608" s="33">
        <v>-288800</v>
      </c>
      <c r="H608" s="138">
        <f t="shared" ref="H608:H613" si="707">IF(D608=G608,0,IF(D608=0,100,(G608-D608)/D608*100))</f>
        <v>0.80279232111692844</v>
      </c>
      <c r="I608" s="33">
        <f>ROUND(G608*Assumptions!H$8+GM!G608,-2)</f>
        <v>-290200</v>
      </c>
      <c r="J608" s="33">
        <f>ROUND(I608*Assumptions!I$8+GM!I608,-2)</f>
        <v>-291700</v>
      </c>
      <c r="K608" s="33">
        <f>ROUND(J608*Assumptions!J$8+GM!J608,-2)</f>
        <v>-293200</v>
      </c>
      <c r="L608" s="33">
        <f>ROUND(K608*Assumptions!K$8+GM!K608,-2)</f>
        <v>-294700</v>
      </c>
      <c r="M608" s="33">
        <f>ROUND(L608*Assumptions!L$8+GM!L608,-2)</f>
        <v>-296200</v>
      </c>
      <c r="N608" s="33">
        <f>ROUND(M608*Assumptions!M$8+GM!M608,-2)</f>
        <v>-297700</v>
      </c>
      <c r="O608" s="33">
        <f>ROUND(N608*Assumptions!N$8+GM!N608,-2)</f>
        <v>-299200</v>
      </c>
      <c r="P608" s="33">
        <f>ROUND(O608*Assumptions!O$8+GM!O608,-2)</f>
        <v>-300700</v>
      </c>
      <c r="Q608" s="33">
        <f>ROUND(P608*Assumptions!P$8+GM!P608,-2)</f>
        <v>-302200</v>
      </c>
      <c r="R608" s="114">
        <f>ROUND(Q608*Assumptions!Q$8+GM!Q608,-2)</f>
        <v>-303700</v>
      </c>
    </row>
    <row r="609" spans="1:18" x14ac:dyDescent="0.2">
      <c r="A609" s="107">
        <v>-315600</v>
      </c>
      <c r="B609" s="33">
        <v>-318300</v>
      </c>
      <c r="C609" s="33">
        <v>-339400</v>
      </c>
      <c r="D609" s="33">
        <v>-350200</v>
      </c>
      <c r="E609" s="343" t="s">
        <v>250</v>
      </c>
      <c r="F609" s="916" t="s">
        <v>4639</v>
      </c>
      <c r="G609" s="33">
        <v>-352800</v>
      </c>
      <c r="H609" s="138">
        <f t="shared" si="707"/>
        <v>0.7424328954882925</v>
      </c>
      <c r="I609" s="33">
        <f>ROUND(G609*Assumptions!H$8+GM!G609,-2)</f>
        <v>-354600</v>
      </c>
      <c r="J609" s="33">
        <f>ROUND(I609*Assumptions!I$8+GM!I609,-2)</f>
        <v>-356400</v>
      </c>
      <c r="K609" s="33">
        <f>ROUND(J609*Assumptions!J$8+GM!J609,-2)</f>
        <v>-358200</v>
      </c>
      <c r="L609" s="33">
        <f>ROUND(K609*Assumptions!K$8+GM!K609,-2)</f>
        <v>-360000</v>
      </c>
      <c r="M609" s="33">
        <f>ROUND(L609*Assumptions!L$8+GM!L609,-2)</f>
        <v>-361800</v>
      </c>
      <c r="N609" s="33">
        <f>ROUND(M609*Assumptions!M$8+GM!M609,-2)</f>
        <v>-363600</v>
      </c>
      <c r="O609" s="33">
        <f>ROUND(N609*Assumptions!N$8+GM!N609,-2)</f>
        <v>-365400</v>
      </c>
      <c r="P609" s="33">
        <f>ROUND(O609*Assumptions!O$8+GM!O609,-2)</f>
        <v>-367200</v>
      </c>
      <c r="Q609" s="33">
        <f>ROUND(P609*Assumptions!P$8+GM!P609,-2)</f>
        <v>-369000</v>
      </c>
      <c r="R609" s="114">
        <f>ROUND(Q609*Assumptions!Q$8+GM!Q609,-2)</f>
        <v>-370800</v>
      </c>
    </row>
    <row r="610" spans="1:18" x14ac:dyDescent="0.2">
      <c r="A610" s="107">
        <v>-4100</v>
      </c>
      <c r="B610" s="33">
        <v>-2200</v>
      </c>
      <c r="C610" s="33">
        <v>-17200</v>
      </c>
      <c r="D610" s="33">
        <v>-1700</v>
      </c>
      <c r="E610" s="343" t="s">
        <v>458</v>
      </c>
      <c r="F610" s="351" t="s">
        <v>775</v>
      </c>
      <c r="G610" s="33">
        <v>-9600</v>
      </c>
      <c r="H610" s="138">
        <f t="shared" si="707"/>
        <v>464.70588235294122</v>
      </c>
      <c r="I610" s="33">
        <f>ROUND(G610*Assumptions!H$5+GM!G610,-2)</f>
        <v>-9700</v>
      </c>
      <c r="J610" s="33">
        <f>ROUND(I610*Assumptions!I$5+GM!I610,-2)</f>
        <v>-9900</v>
      </c>
      <c r="K610" s="33">
        <f>ROUND(J610*Assumptions!J$5+GM!J610,-2)</f>
        <v>-10100</v>
      </c>
      <c r="L610" s="33">
        <f>ROUND(K610*Assumptions!K$5+GM!K610,-2)</f>
        <v>-10400</v>
      </c>
      <c r="M610" s="33">
        <f>ROUND(L610*Assumptions!L$5+GM!L610,-2)</f>
        <v>-10600</v>
      </c>
      <c r="N610" s="33">
        <f>ROUND(M610*Assumptions!M$5+GM!M610,-2)</f>
        <v>-10800</v>
      </c>
      <c r="O610" s="33">
        <f>ROUND(N610*Assumptions!N$5+GM!N610,-2)</f>
        <v>-11000</v>
      </c>
      <c r="P610" s="33">
        <f>ROUND(O610*Assumptions!O$5+GM!O610,-2)</f>
        <v>-11200</v>
      </c>
      <c r="Q610" s="33">
        <f>ROUND(P610*Assumptions!P$5+GM!P610,-2)</f>
        <v>-11400</v>
      </c>
      <c r="R610" s="114">
        <f>ROUND(Q610*Assumptions!Q$5+GM!Q610,-2)</f>
        <v>-11600</v>
      </c>
    </row>
    <row r="611" spans="1:18" x14ac:dyDescent="0.2">
      <c r="A611" s="107">
        <v>-3000</v>
      </c>
      <c r="B611" s="33">
        <v>0</v>
      </c>
      <c r="C611" s="33">
        <v>-300</v>
      </c>
      <c r="D611" s="33">
        <v>0</v>
      </c>
      <c r="E611" s="343" t="s">
        <v>1728</v>
      </c>
      <c r="F611" s="351" t="s">
        <v>269</v>
      </c>
      <c r="G611" s="33">
        <v>-300</v>
      </c>
      <c r="H611" s="138">
        <f t="shared" si="707"/>
        <v>100</v>
      </c>
      <c r="I611" s="33">
        <f>ROUND(G611*Assumptions!H$5+GM!G611,-2)</f>
        <v>-300</v>
      </c>
      <c r="J611" s="33">
        <f>ROUND(I611*Assumptions!I$5+GM!I611,-2)</f>
        <v>-300</v>
      </c>
      <c r="K611" s="33">
        <f>ROUND(J611*Assumptions!J$5+GM!J611,-2)</f>
        <v>-300</v>
      </c>
      <c r="L611" s="33">
        <f>ROUND(K611*Assumptions!K$5+GM!K611,-2)</f>
        <v>-300</v>
      </c>
      <c r="M611" s="33">
        <f>ROUND(L611*Assumptions!L$5+GM!L611,-2)</f>
        <v>-300</v>
      </c>
      <c r="N611" s="33">
        <f>ROUND(M611*Assumptions!M$5+GM!M611,-2)</f>
        <v>-300</v>
      </c>
      <c r="O611" s="33">
        <f>ROUND(N611*Assumptions!N$5+GM!N611,-2)</f>
        <v>-300</v>
      </c>
      <c r="P611" s="33">
        <f>ROUND(O611*Assumptions!O$5+GM!O611,-2)</f>
        <v>-300</v>
      </c>
      <c r="Q611" s="33">
        <f>ROUND(P611*Assumptions!P$5+GM!P611,-2)</f>
        <v>-300</v>
      </c>
      <c r="R611" s="114">
        <f>ROUND(Q611*Assumptions!Q$5+GM!Q611,-2)</f>
        <v>-300</v>
      </c>
    </row>
    <row r="612" spans="1:18" x14ac:dyDescent="0.2">
      <c r="A612" s="107">
        <v>-600</v>
      </c>
      <c r="B612" s="33">
        <v>-200</v>
      </c>
      <c r="C612" s="33">
        <v>-1100</v>
      </c>
      <c r="D612" s="33">
        <v>-300</v>
      </c>
      <c r="E612" s="343" t="s">
        <v>847</v>
      </c>
      <c r="F612" s="351" t="s">
        <v>2745</v>
      </c>
      <c r="G612" s="33">
        <v>-1100</v>
      </c>
      <c r="H612" s="138">
        <f t="shared" si="707"/>
        <v>266.66666666666663</v>
      </c>
      <c r="I612" s="33">
        <f>ROUND(G612*Assumptions!H$5+GM!G612,-2)</f>
        <v>-1100</v>
      </c>
      <c r="J612" s="33">
        <f>ROUND(I612*Assumptions!I$5+GM!I612,-2)</f>
        <v>-1100</v>
      </c>
      <c r="K612" s="33">
        <f>ROUND(J612*Assumptions!J$5+GM!J612,-2)</f>
        <v>-1100</v>
      </c>
      <c r="L612" s="33">
        <f>ROUND(K612*Assumptions!K$5+GM!K612,-2)</f>
        <v>-1100</v>
      </c>
      <c r="M612" s="33">
        <f>ROUND(L612*Assumptions!L$5+GM!L612,-2)</f>
        <v>-1100</v>
      </c>
      <c r="N612" s="33">
        <f>ROUND(M612*Assumptions!M$5+GM!M612,-2)</f>
        <v>-1100</v>
      </c>
      <c r="O612" s="33">
        <f>ROUND(N612*Assumptions!N$5+GM!N612,-2)</f>
        <v>-1100</v>
      </c>
      <c r="P612" s="33">
        <f>ROUND(O612*Assumptions!O$5+GM!O612,-2)</f>
        <v>-1100</v>
      </c>
      <c r="Q612" s="33">
        <f>ROUND(P612*Assumptions!P$5+GM!P612,-2)</f>
        <v>-1100</v>
      </c>
      <c r="R612" s="114">
        <f>ROUND(Q612*Assumptions!Q$5+GM!Q612,-2)</f>
        <v>-1100</v>
      </c>
    </row>
    <row r="613" spans="1:18" x14ac:dyDescent="0.2">
      <c r="A613" s="107">
        <v>-600</v>
      </c>
      <c r="B613" s="33">
        <v>-700</v>
      </c>
      <c r="C613" s="33">
        <v>-700</v>
      </c>
      <c r="D613" s="33">
        <v>-400</v>
      </c>
      <c r="E613" s="343" t="s">
        <v>357</v>
      </c>
      <c r="F613" s="351" t="s">
        <v>2258</v>
      </c>
      <c r="G613" s="33">
        <v>-1000</v>
      </c>
      <c r="H613" s="138">
        <f t="shared" si="707"/>
        <v>150</v>
      </c>
      <c r="I613" s="33">
        <f>ROUND(G613*Assumptions!H$5+GM!G613,-2)</f>
        <v>-1000</v>
      </c>
      <c r="J613" s="33">
        <f>ROUND(I613*Assumptions!I$5+GM!I613,-2)</f>
        <v>-1000</v>
      </c>
      <c r="K613" s="33">
        <f>ROUND(J613*Assumptions!J$5+GM!J613,-2)</f>
        <v>-1000</v>
      </c>
      <c r="L613" s="33">
        <f>ROUND(K613*Assumptions!K$5+GM!K613,-2)</f>
        <v>-1000</v>
      </c>
      <c r="M613" s="33">
        <f>ROUND(L613*Assumptions!L$5+GM!L613,-2)</f>
        <v>-1000</v>
      </c>
      <c r="N613" s="33">
        <f>ROUND(M613*Assumptions!M$5+GM!M613,-2)</f>
        <v>-1000</v>
      </c>
      <c r="O613" s="33">
        <f>ROUND(N613*Assumptions!N$5+GM!N613,-2)</f>
        <v>-1000</v>
      </c>
      <c r="P613" s="33">
        <f>ROUND(O613*Assumptions!O$5+GM!O613,-2)</f>
        <v>-1000</v>
      </c>
      <c r="Q613" s="33">
        <f>ROUND(P613*Assumptions!P$5+GM!P613,-2)</f>
        <v>-1000</v>
      </c>
      <c r="R613" s="114">
        <f>ROUND(Q613*Assumptions!Q$5+GM!Q613,-2)</f>
        <v>-1000</v>
      </c>
    </row>
    <row r="614" spans="1:18" x14ac:dyDescent="0.2">
      <c r="A614" s="107"/>
      <c r="B614" s="33"/>
      <c r="C614" s="33"/>
      <c r="D614" s="33"/>
      <c r="E614" s="343"/>
      <c r="F614" s="351"/>
      <c r="G614" s="33"/>
      <c r="H614" s="138"/>
      <c r="I614" s="33"/>
      <c r="J614" s="33"/>
      <c r="K614" s="33"/>
      <c r="L614" s="33"/>
      <c r="M614" s="33"/>
      <c r="N614" s="33"/>
      <c r="O614" s="33"/>
      <c r="P614" s="33"/>
      <c r="Q614" s="33"/>
      <c r="R614" s="114"/>
    </row>
    <row r="615" spans="1:18" x14ac:dyDescent="0.2">
      <c r="A615" s="107"/>
      <c r="B615" s="33"/>
      <c r="C615" s="33"/>
      <c r="D615" s="33"/>
      <c r="E615" s="343"/>
      <c r="F615" s="562" t="s">
        <v>2671</v>
      </c>
      <c r="G615" s="33"/>
      <c r="H615" s="138"/>
      <c r="I615" s="33"/>
      <c r="J615" s="33"/>
      <c r="K615" s="33"/>
      <c r="L615" s="33"/>
      <c r="M615" s="33"/>
      <c r="N615" s="33"/>
      <c r="O615" s="33"/>
      <c r="P615" s="33"/>
      <c r="Q615" s="33"/>
      <c r="R615" s="114"/>
    </row>
    <row r="616" spans="1:18" x14ac:dyDescent="0.2">
      <c r="A616" s="107">
        <v>130700</v>
      </c>
      <c r="B616" s="33">
        <v>101300</v>
      </c>
      <c r="C616" s="33">
        <v>85800</v>
      </c>
      <c r="D616" s="33">
        <v>79700</v>
      </c>
      <c r="E616" s="343" t="s">
        <v>2102</v>
      </c>
      <c r="F616" s="351" t="s">
        <v>1920</v>
      </c>
      <c r="G616" s="33">
        <f>91000-10000-4000</f>
        <v>77000</v>
      </c>
      <c r="H616" s="138">
        <f>IF(D616=G616,0,IF(D616=0,100,(G616-D616)/D616*100))</f>
        <v>-3.3877038895859477</v>
      </c>
      <c r="I616" s="33">
        <f>ROUND(G616*Assumptions!H$5+GM!G616,-2)</f>
        <v>78200</v>
      </c>
      <c r="J616" s="33">
        <f>ROUND(I616*Assumptions!I$5+GM!I616,-2)</f>
        <v>80200</v>
      </c>
      <c r="K616" s="33">
        <f>ROUND(J616*Assumptions!J$5+GM!J616,-2)</f>
        <v>82200</v>
      </c>
      <c r="L616" s="33">
        <f>ROUND(K616*Assumptions!K$5+GM!K616,-2)</f>
        <v>84300</v>
      </c>
      <c r="M616" s="33">
        <f>ROUND(L616*Assumptions!L$5+GM!L616,-2)</f>
        <v>86000</v>
      </c>
      <c r="N616" s="33">
        <f>ROUND(M616*Assumptions!M$5+GM!M616,-2)</f>
        <v>87700</v>
      </c>
      <c r="O616" s="33">
        <f>ROUND(N616*Assumptions!N$5+GM!N616,-2)</f>
        <v>89500</v>
      </c>
      <c r="P616" s="33">
        <f>ROUND(O616*Assumptions!O$5+GM!O616,-2)</f>
        <v>91300</v>
      </c>
      <c r="Q616" s="33">
        <f>ROUND(P616*Assumptions!P$5+GM!P616,-2)</f>
        <v>93100</v>
      </c>
      <c r="R616" s="114">
        <f>ROUND(Q616*Assumptions!Q$5+GM!Q616,-2)</f>
        <v>95000</v>
      </c>
    </row>
    <row r="617" spans="1:18" x14ac:dyDescent="0.2">
      <c r="A617" s="107">
        <v>-700</v>
      </c>
      <c r="B617" s="33">
        <v>-1000</v>
      </c>
      <c r="C617" s="33">
        <v>-500</v>
      </c>
      <c r="D617" s="33">
        <v>-500</v>
      </c>
      <c r="E617" s="343" t="s">
        <v>2103</v>
      </c>
      <c r="F617" s="351" t="s">
        <v>2259</v>
      </c>
      <c r="G617" s="33">
        <v>-1000</v>
      </c>
      <c r="H617" s="138">
        <f>IF(D617=G617,0,IF(D617=0,100,(G617-D617)/D617*100))</f>
        <v>100</v>
      </c>
      <c r="I617" s="33">
        <f>ROUND(G617*Assumptions!H$5+GM!G617,-2)</f>
        <v>-1000</v>
      </c>
      <c r="J617" s="33">
        <f>ROUND(I617*Assumptions!I$5+GM!I617,-2)</f>
        <v>-1000</v>
      </c>
      <c r="K617" s="33">
        <f>ROUND(J617*Assumptions!J$5+GM!J617,-2)</f>
        <v>-1000</v>
      </c>
      <c r="L617" s="33">
        <f>ROUND(K617*Assumptions!K$5+GM!K617,-2)</f>
        <v>-1000</v>
      </c>
      <c r="M617" s="33">
        <f>ROUND(L617*Assumptions!L$5+GM!L617,-2)</f>
        <v>-1000</v>
      </c>
      <c r="N617" s="33">
        <f>ROUND(M617*Assumptions!M$5+GM!M617,-2)</f>
        <v>-1000</v>
      </c>
      <c r="O617" s="33">
        <f>ROUND(N617*Assumptions!N$5+GM!N617,-2)</f>
        <v>-1000</v>
      </c>
      <c r="P617" s="33">
        <f>ROUND(O617*Assumptions!O$5+GM!O617,-2)</f>
        <v>-1000</v>
      </c>
      <c r="Q617" s="33">
        <f>ROUND(P617*Assumptions!P$5+GM!P617,-2)</f>
        <v>-1000</v>
      </c>
      <c r="R617" s="114">
        <f>ROUND(Q617*Assumptions!Q$5+GM!Q617,-2)</f>
        <v>-1000</v>
      </c>
    </row>
    <row r="618" spans="1:18" x14ac:dyDescent="0.2">
      <c r="A618" s="107">
        <v>600</v>
      </c>
      <c r="B618" s="33">
        <v>1000</v>
      </c>
      <c r="C618" s="33">
        <v>1300</v>
      </c>
      <c r="D618" s="33">
        <v>400</v>
      </c>
      <c r="E618" s="343" t="s">
        <v>2104</v>
      </c>
      <c r="F618" s="351" t="s">
        <v>2137</v>
      </c>
      <c r="G618" s="33">
        <v>1000</v>
      </c>
      <c r="H618" s="138">
        <f>IF(D618=G618,0,IF(D618=0,100,(G618-D618)/D618*100))</f>
        <v>150</v>
      </c>
      <c r="I618" s="33">
        <f>ROUND(G618*Assumptions!H$5+GM!G618,-2)</f>
        <v>1000</v>
      </c>
      <c r="J618" s="33">
        <f>ROUND(I618*Assumptions!I$5+GM!I618,-2)</f>
        <v>1000</v>
      </c>
      <c r="K618" s="33">
        <f>ROUND(J618*Assumptions!J$5+GM!J618,-2)</f>
        <v>1000</v>
      </c>
      <c r="L618" s="33">
        <f>ROUND(K618*Assumptions!K$5+GM!K618,-2)</f>
        <v>1000</v>
      </c>
      <c r="M618" s="33">
        <f>ROUND(L618*Assumptions!L$5+GM!L618,-2)</f>
        <v>1000</v>
      </c>
      <c r="N618" s="33">
        <f>ROUND(M618*Assumptions!M$5+GM!M618,-2)</f>
        <v>1000</v>
      </c>
      <c r="O618" s="33">
        <f>ROUND(N618*Assumptions!N$5+GM!N618,-2)</f>
        <v>1000</v>
      </c>
      <c r="P618" s="33">
        <f>ROUND(O618*Assumptions!O$5+GM!O618,-2)</f>
        <v>1000</v>
      </c>
      <c r="Q618" s="33">
        <f>ROUND(P618*Assumptions!P$5+GM!P618,-2)</f>
        <v>1000</v>
      </c>
      <c r="R618" s="114">
        <f>ROUND(Q618*Assumptions!Q$5+GM!Q618,-2)</f>
        <v>1000</v>
      </c>
    </row>
    <row r="619" spans="1:18" x14ac:dyDescent="0.2">
      <c r="A619" s="107"/>
      <c r="B619" s="33"/>
      <c r="C619" s="33"/>
      <c r="D619" s="33"/>
      <c r="E619" s="343"/>
      <c r="F619" s="351"/>
      <c r="G619" s="33"/>
      <c r="H619" s="138"/>
      <c r="I619" s="33"/>
      <c r="J619" s="33"/>
      <c r="K619" s="33"/>
      <c r="L619" s="33"/>
      <c r="M619" s="33"/>
      <c r="N619" s="33"/>
      <c r="O619" s="33"/>
      <c r="P619" s="33"/>
      <c r="Q619" s="33"/>
      <c r="R619" s="114"/>
    </row>
    <row r="620" spans="1:18" x14ac:dyDescent="0.2">
      <c r="A620" s="107"/>
      <c r="B620" s="33"/>
      <c r="C620" s="33"/>
      <c r="D620" s="33"/>
      <c r="E620" s="343"/>
      <c r="F620" s="562" t="s">
        <v>850</v>
      </c>
      <c r="G620" s="33"/>
      <c r="H620" s="138"/>
      <c r="I620" s="33"/>
      <c r="J620" s="33"/>
      <c r="K620" s="33"/>
      <c r="L620" s="33"/>
      <c r="M620" s="33"/>
      <c r="N620" s="33"/>
      <c r="O620" s="33"/>
      <c r="P620" s="33"/>
      <c r="Q620" s="33"/>
      <c r="R620" s="114"/>
    </row>
    <row r="621" spans="1:18" x14ac:dyDescent="0.2">
      <c r="A621" s="107">
        <v>3412800</v>
      </c>
      <c r="B621" s="33">
        <v>1800200</v>
      </c>
      <c r="C621" s="33">
        <v>3717800</v>
      </c>
      <c r="D621" s="33">
        <v>3831300</v>
      </c>
      <c r="E621" s="343" t="s">
        <v>1706</v>
      </c>
      <c r="F621" s="351" t="s">
        <v>1507</v>
      </c>
      <c r="G621" s="33">
        <f>3827900+259000</f>
        <v>4086900</v>
      </c>
      <c r="H621" s="138">
        <f>IF(D621=G621,0,IF(D621=0,100,(G621-D621)/D621*100))</f>
        <v>6.6713648108996955</v>
      </c>
      <c r="I621" s="33">
        <f>ROUND(G621*Assumptions!H$12+GM!G621,-2)</f>
        <v>4168600</v>
      </c>
      <c r="J621" s="33">
        <f>ROUND(I621*Assumptions!I$12+GM!I621,-2)</f>
        <v>4252000</v>
      </c>
      <c r="K621" s="33">
        <f>ROUND(J621*Assumptions!J$12+GM!J621,-2)</f>
        <v>4337000</v>
      </c>
      <c r="L621" s="33">
        <f>ROUND(K621*Assumptions!K$12+GM!K621,-2)</f>
        <v>4423700</v>
      </c>
      <c r="M621" s="33">
        <f>ROUND(L621*Assumptions!L$12+GM!L621,-2)</f>
        <v>4512200</v>
      </c>
      <c r="N621" s="33">
        <f>ROUND(M621*Assumptions!M$12+GM!M621,-2)</f>
        <v>4602400</v>
      </c>
      <c r="O621" s="33">
        <f>ROUND(N621*Assumptions!N$12+GM!N621,-2)</f>
        <v>4694400</v>
      </c>
      <c r="P621" s="33">
        <f>ROUND(O621*Assumptions!O$12+GM!O621,-2)</f>
        <v>4788300</v>
      </c>
      <c r="Q621" s="33">
        <f>ROUND(P621*Assumptions!P$12+GM!P621,-2)</f>
        <v>4884100</v>
      </c>
      <c r="R621" s="114">
        <f>ROUND(Q621*Assumptions!Q$12+GM!Q621,-2)</f>
        <v>4981800</v>
      </c>
    </row>
    <row r="622" spans="1:18" x14ac:dyDescent="0.2">
      <c r="A622" s="107">
        <v>315600</v>
      </c>
      <c r="B622" s="33">
        <v>318300</v>
      </c>
      <c r="C622" s="33">
        <v>339400</v>
      </c>
      <c r="D622" s="33">
        <v>350200</v>
      </c>
      <c r="E622" s="343" t="s">
        <v>1707</v>
      </c>
      <c r="F622" s="351" t="s">
        <v>1169</v>
      </c>
      <c r="G622" s="33">
        <f>ROUND(-G609/11*11,-2)-6000</f>
        <v>346800</v>
      </c>
      <c r="H622" s="138">
        <f>IF(D622=G622,0,IF(D622=0,100,(G622-D622)/D622*100))</f>
        <v>-0.97087378640776689</v>
      </c>
      <c r="I622" s="33">
        <f>ROUND(-I609/11*11,-2)</f>
        <v>354600</v>
      </c>
      <c r="J622" s="33">
        <f t="shared" ref="J622:O622" si="708">ROUND(-J609/11*10,-2)</f>
        <v>324000</v>
      </c>
      <c r="K622" s="33">
        <f t="shared" si="708"/>
        <v>325600</v>
      </c>
      <c r="L622" s="33">
        <f t="shared" si="708"/>
        <v>327300</v>
      </c>
      <c r="M622" s="33">
        <f t="shared" si="708"/>
        <v>328900</v>
      </c>
      <c r="N622" s="33">
        <f t="shared" si="708"/>
        <v>330500</v>
      </c>
      <c r="O622" s="33">
        <f t="shared" si="708"/>
        <v>332200</v>
      </c>
      <c r="P622" s="33">
        <f t="shared" ref="P622:Q622" si="709">ROUND(-P609/11*10,-2)</f>
        <v>333800</v>
      </c>
      <c r="Q622" s="33">
        <f t="shared" si="709"/>
        <v>335500</v>
      </c>
      <c r="R622" s="114">
        <f t="shared" ref="R622" si="710">ROUND(-R609/11*10,-2)</f>
        <v>337100</v>
      </c>
    </row>
    <row r="623" spans="1:18" x14ac:dyDescent="0.2">
      <c r="A623" s="107"/>
      <c r="B623" s="33"/>
      <c r="C623" s="33"/>
      <c r="D623" s="33"/>
      <c r="E623" s="343"/>
      <c r="F623" s="351"/>
      <c r="G623" s="33"/>
      <c r="H623" s="138"/>
      <c r="I623" s="33"/>
      <c r="J623" s="33"/>
      <c r="K623" s="33"/>
      <c r="L623" s="33"/>
      <c r="M623" s="33"/>
      <c r="N623" s="33"/>
      <c r="O623" s="33"/>
      <c r="P623" s="33"/>
      <c r="Q623" s="33"/>
      <c r="R623" s="114"/>
    </row>
    <row r="624" spans="1:18" x14ac:dyDescent="0.2">
      <c r="A624" s="107"/>
      <c r="B624" s="33"/>
      <c r="C624" s="33"/>
      <c r="D624" s="33"/>
      <c r="E624" s="343"/>
      <c r="F624" s="562" t="s">
        <v>2671</v>
      </c>
      <c r="G624" s="33"/>
      <c r="H624" s="138"/>
      <c r="I624" s="33"/>
      <c r="J624" s="33"/>
      <c r="K624" s="33"/>
      <c r="L624" s="33"/>
      <c r="M624" s="33"/>
      <c r="N624" s="33"/>
      <c r="O624" s="33"/>
      <c r="P624" s="33"/>
      <c r="Q624" s="33"/>
      <c r="R624" s="114"/>
    </row>
    <row r="625" spans="1:18" x14ac:dyDescent="0.2">
      <c r="A625" s="107">
        <v>893700</v>
      </c>
      <c r="B625" s="33">
        <v>718600</v>
      </c>
      <c r="C625" s="33">
        <v>658200</v>
      </c>
      <c r="D625" s="33">
        <v>720200</v>
      </c>
      <c r="E625" s="343" t="s">
        <v>1708</v>
      </c>
      <c r="F625" s="351" t="s">
        <v>609</v>
      </c>
      <c r="G625" s="33">
        <v>550000</v>
      </c>
      <c r="H625" s="138">
        <f>IF(D625=G625,0,IF(D625=0,100,(G625-D625)/D625*100))</f>
        <v>-23.632324354346014</v>
      </c>
      <c r="I625" s="33">
        <f>G625</f>
        <v>550000</v>
      </c>
      <c r="J625" s="33">
        <f t="shared" ref="J625:R625" si="711">I625</f>
        <v>550000</v>
      </c>
      <c r="K625" s="33">
        <f>J625+100000</f>
        <v>650000</v>
      </c>
      <c r="L625" s="33">
        <f t="shared" si="711"/>
        <v>650000</v>
      </c>
      <c r="M625" s="33">
        <f t="shared" si="711"/>
        <v>650000</v>
      </c>
      <c r="N625" s="33">
        <f t="shared" si="711"/>
        <v>650000</v>
      </c>
      <c r="O625" s="33">
        <f t="shared" si="711"/>
        <v>650000</v>
      </c>
      <c r="P625" s="33">
        <f t="shared" si="711"/>
        <v>650000</v>
      </c>
      <c r="Q625" s="33">
        <f t="shared" si="711"/>
        <v>650000</v>
      </c>
      <c r="R625" s="114">
        <f t="shared" si="711"/>
        <v>650000</v>
      </c>
    </row>
    <row r="626" spans="1:18" x14ac:dyDescent="0.2">
      <c r="A626" s="107">
        <v>-4000</v>
      </c>
      <c r="B626" s="33">
        <v>-1900</v>
      </c>
      <c r="C626" s="33">
        <v>-6900</v>
      </c>
      <c r="D626" s="33">
        <v>-3600</v>
      </c>
      <c r="E626" s="343" t="s">
        <v>1709</v>
      </c>
      <c r="F626" s="366" t="s">
        <v>1798</v>
      </c>
      <c r="G626" s="33">
        <f>-4000-5000</f>
        <v>-9000</v>
      </c>
      <c r="H626" s="138">
        <f>IF(D626=G626,0,IF(D626=0,100,(G626-D626)/D626*100))</f>
        <v>150</v>
      </c>
      <c r="I626" s="33">
        <f>ROUNDUP(G626+(G626*Assumptions!H$5),-2)</f>
        <v>-9200</v>
      </c>
      <c r="J626" s="33">
        <f>ROUNDUP(I626+(I626*Assumptions!I$5),-2)</f>
        <v>-9500</v>
      </c>
      <c r="K626" s="33">
        <f>ROUNDUP(J626+(J626*Assumptions!J$5),-2)</f>
        <v>-9800</v>
      </c>
      <c r="L626" s="33">
        <f>ROUNDUP(K626+(K626*Assumptions!K$5),-2)</f>
        <v>-10100</v>
      </c>
      <c r="M626" s="33">
        <f>ROUNDUP(L626+(L626*Assumptions!L$5),-2)</f>
        <v>-10400</v>
      </c>
      <c r="N626" s="33">
        <f>ROUNDUP(M626+(M626*Assumptions!M$5),-2)</f>
        <v>-10700</v>
      </c>
      <c r="O626" s="33">
        <f>ROUNDUP(N626+(N626*Assumptions!N$5),-2)</f>
        <v>-11000</v>
      </c>
      <c r="P626" s="33">
        <f>ROUNDUP(O626+(O626*Assumptions!O$5),-2)</f>
        <v>-11300</v>
      </c>
      <c r="Q626" s="33">
        <f>ROUNDUP(P626+(P626*Assumptions!P$5),-2)</f>
        <v>-11600</v>
      </c>
      <c r="R626" s="114">
        <f>ROUNDUP(Q626+(Q626*Assumptions!Q$5),-2)</f>
        <v>-11900</v>
      </c>
    </row>
    <row r="627" spans="1:18" x14ac:dyDescent="0.2">
      <c r="A627" s="107">
        <v>414000</v>
      </c>
      <c r="B627" s="33">
        <v>333000</v>
      </c>
      <c r="C627" s="33">
        <v>-30000</v>
      </c>
      <c r="D627" s="33">
        <v>-163000</v>
      </c>
      <c r="E627" s="821" t="s">
        <v>5393</v>
      </c>
      <c r="F627" s="891" t="s">
        <v>5394</v>
      </c>
      <c r="G627" s="33">
        <v>0</v>
      </c>
      <c r="H627" s="138">
        <f>IF(D627=G627,0,IF(D627=0,100,(G627-D627)/D627*100))</f>
        <v>-100</v>
      </c>
      <c r="I627" s="33">
        <f>ROUNDUP(G627+(G627*Assumptions!H$5),-2)</f>
        <v>0</v>
      </c>
      <c r="J627" s="33">
        <f>ROUNDUP(I627+(I627*Assumptions!I$5),-2)</f>
        <v>0</v>
      </c>
      <c r="K627" s="33">
        <f>ROUNDUP(J627+(J627*Assumptions!J$5),-2)</f>
        <v>0</v>
      </c>
      <c r="L627" s="33">
        <f>ROUNDUP(K627+(K627*Assumptions!K$5),-2)</f>
        <v>0</v>
      </c>
      <c r="M627" s="33">
        <f>ROUNDUP(L627+(L627*Assumptions!L$5),-2)</f>
        <v>0</v>
      </c>
      <c r="N627" s="33">
        <f>ROUNDUP(M627+(M627*Assumptions!M$5),-2)</f>
        <v>0</v>
      </c>
      <c r="O627" s="33">
        <f>ROUNDUP(N627+(N627*Assumptions!N$5),-2)</f>
        <v>0</v>
      </c>
      <c r="P627" s="33">
        <f>ROUNDUP(O627+(O627*Assumptions!O$5),-2)</f>
        <v>0</v>
      </c>
      <c r="Q627" s="33">
        <f>ROUNDUP(P627+(P627*Assumptions!P$5),-2)</f>
        <v>0</v>
      </c>
      <c r="R627" s="114">
        <f>ROUNDUP(Q627+(Q627*Assumptions!Q$5),-2)</f>
        <v>0</v>
      </c>
    </row>
    <row r="628" spans="1:18" ht="13.5" thickBot="1" x14ac:dyDescent="0.25">
      <c r="A628" s="70"/>
      <c r="B628" s="64"/>
      <c r="C628" s="183"/>
      <c r="D628" s="64"/>
      <c r="E628" s="343"/>
      <c r="F628" s="64"/>
      <c r="G628" s="33"/>
      <c r="H628" s="179"/>
      <c r="I628" s="33"/>
      <c r="J628" s="33"/>
      <c r="K628" s="33"/>
      <c r="L628" s="33"/>
      <c r="M628" s="33"/>
      <c r="N628" s="33"/>
      <c r="O628" s="33"/>
      <c r="P628" s="33"/>
      <c r="Q628" s="33"/>
      <c r="R628" s="114"/>
    </row>
    <row r="629" spans="1:18" x14ac:dyDescent="0.2">
      <c r="A629" s="105">
        <f>SUM(A596:A628)</f>
        <v>21212700</v>
      </c>
      <c r="B629" s="53">
        <f>SUM(B596:B628)</f>
        <v>20300600</v>
      </c>
      <c r="C629" s="53">
        <f>SUM(C596:C628)</f>
        <v>22370900</v>
      </c>
      <c r="D629" s="53">
        <f>SUM(D596:D628)</f>
        <v>23415400</v>
      </c>
      <c r="E629" s="343"/>
      <c r="F629" s="516" t="s">
        <v>1019</v>
      </c>
      <c r="G629" s="53">
        <f t="shared" ref="G629:P629" si="712">SUM(G596:G628)</f>
        <v>24850300</v>
      </c>
      <c r="H629" s="2485">
        <f>IF(D629=G629,0,IF(D629=0,100,(G629-D629)/D629*100))</f>
        <v>6.1280183127343539</v>
      </c>
      <c r="I629" s="53">
        <f t="shared" si="712"/>
        <v>25995800</v>
      </c>
      <c r="J629" s="53">
        <f t="shared" si="712"/>
        <v>27423600</v>
      </c>
      <c r="K629" s="53">
        <f t="shared" si="712"/>
        <v>29073200</v>
      </c>
      <c r="L629" s="53">
        <f t="shared" si="712"/>
        <v>29890400</v>
      </c>
      <c r="M629" s="53">
        <f t="shared" si="712"/>
        <v>30730800</v>
      </c>
      <c r="N629" s="53">
        <f t="shared" si="712"/>
        <v>31595500</v>
      </c>
      <c r="O629" s="53">
        <f t="shared" si="712"/>
        <v>32485500</v>
      </c>
      <c r="P629" s="53">
        <f t="shared" si="712"/>
        <v>33401200</v>
      </c>
      <c r="Q629" s="53">
        <f t="shared" ref="Q629" si="713">SUM(Q596:Q628)</f>
        <v>34343600</v>
      </c>
      <c r="R629" s="113">
        <f t="shared" ref="R629" si="714">SUM(R596:R628)</f>
        <v>35313300</v>
      </c>
    </row>
    <row r="630" spans="1:18" x14ac:dyDescent="0.2">
      <c r="A630" s="107">
        <f t="shared" ref="A630:B630" si="715">-A627</f>
        <v>-414000</v>
      </c>
      <c r="B630" s="33">
        <f t="shared" si="715"/>
        <v>-333000</v>
      </c>
      <c r="C630" s="33">
        <f>-C627</f>
        <v>30000</v>
      </c>
      <c r="D630" s="33">
        <f>-D627</f>
        <v>163000</v>
      </c>
      <c r="E630" s="252"/>
      <c r="F630" s="372" t="s">
        <v>5395</v>
      </c>
      <c r="G630" s="33">
        <f t="shared" ref="G630:P630" si="716">-G627</f>
        <v>0</v>
      </c>
      <c r="H630" s="138">
        <f>IF(D630=G630,0,IF(D630=0,100,(G630-D630)/D630*100))</f>
        <v>-100</v>
      </c>
      <c r="I630" s="33">
        <f t="shared" si="716"/>
        <v>0</v>
      </c>
      <c r="J630" s="33">
        <f t="shared" si="716"/>
        <v>0</v>
      </c>
      <c r="K630" s="33">
        <f t="shared" si="716"/>
        <v>0</v>
      </c>
      <c r="L630" s="33">
        <f t="shared" si="716"/>
        <v>0</v>
      </c>
      <c r="M630" s="33">
        <f t="shared" si="716"/>
        <v>0</v>
      </c>
      <c r="N630" s="33">
        <f t="shared" si="716"/>
        <v>0</v>
      </c>
      <c r="O630" s="33">
        <f t="shared" si="716"/>
        <v>0</v>
      </c>
      <c r="P630" s="33">
        <f t="shared" si="716"/>
        <v>0</v>
      </c>
      <c r="Q630" s="33">
        <f t="shared" ref="Q630" si="717">-Q627</f>
        <v>0</v>
      </c>
      <c r="R630" s="114">
        <f t="shared" ref="R630" si="718">-R627</f>
        <v>0</v>
      </c>
    </row>
    <row r="631" spans="1:18" s="92" customFormat="1" x14ac:dyDescent="0.2">
      <c r="A631" s="181">
        <f t="shared" ref="A631:C631" si="719">A629+A630</f>
        <v>20798700</v>
      </c>
      <c r="B631" s="397">
        <f t="shared" si="719"/>
        <v>19967600</v>
      </c>
      <c r="C631" s="397">
        <f t="shared" si="719"/>
        <v>22400900</v>
      </c>
      <c r="D631" s="397">
        <f>D629+D630</f>
        <v>23578400</v>
      </c>
      <c r="E631" s="2541"/>
      <c r="F631" s="518" t="s">
        <v>1687</v>
      </c>
      <c r="G631" s="397">
        <f t="shared" ref="G631" si="720">G629+G630</f>
        <v>24850300</v>
      </c>
      <c r="H631" s="395">
        <f>IF(D631=G631,0,IF(D631=0,100,(G631-D631)/D631*100))</f>
        <v>5.3943439758422969</v>
      </c>
      <c r="I631" s="397">
        <f t="shared" ref="I631" si="721">I629+I630</f>
        <v>25995800</v>
      </c>
      <c r="J631" s="397">
        <f t="shared" ref="J631" si="722">J629+J630</f>
        <v>27423600</v>
      </c>
      <c r="K631" s="397">
        <f t="shared" ref="K631" si="723">K629+K630</f>
        <v>29073200</v>
      </c>
      <c r="L631" s="397">
        <f t="shared" ref="L631" si="724">L629+L630</f>
        <v>29890400</v>
      </c>
      <c r="M631" s="397">
        <f t="shared" ref="M631" si="725">M629+M630</f>
        <v>30730800</v>
      </c>
      <c r="N631" s="397">
        <f t="shared" ref="N631" si="726">N629+N630</f>
        <v>31595500</v>
      </c>
      <c r="O631" s="397">
        <f t="shared" ref="O631" si="727">O629+O630</f>
        <v>32485500</v>
      </c>
      <c r="P631" s="397">
        <f t="shared" ref="P631:Q631" si="728">P629+P630</f>
        <v>33401200</v>
      </c>
      <c r="Q631" s="397">
        <f t="shared" si="728"/>
        <v>34343600</v>
      </c>
      <c r="R631" s="399">
        <f t="shared" ref="R631" si="729">R629+R630</f>
        <v>35313300</v>
      </c>
    </row>
    <row r="632" spans="1:18" ht="13.5" thickBot="1" x14ac:dyDescent="0.25">
      <c r="A632" s="73"/>
      <c r="B632" s="90"/>
      <c r="C632" s="90"/>
      <c r="D632" s="90"/>
      <c r="E632" s="285"/>
      <c r="F632" s="368"/>
      <c r="G632" s="66"/>
      <c r="H632" s="392"/>
      <c r="I632" s="121"/>
      <c r="J632" s="121"/>
      <c r="K632" s="121"/>
      <c r="L632" s="121"/>
      <c r="M632" s="121"/>
      <c r="N632" s="121"/>
      <c r="O632" s="66"/>
      <c r="P632" s="66"/>
      <c r="Q632" s="66"/>
      <c r="R632" s="165"/>
    </row>
    <row r="633" spans="1:18" ht="13.5" thickTop="1" x14ac:dyDescent="0.2">
      <c r="A633" s="383"/>
      <c r="B633" s="122"/>
      <c r="C633" s="162"/>
      <c r="D633" s="162"/>
      <c r="E633" s="286"/>
      <c r="F633" s="367"/>
      <c r="G633" s="127"/>
      <c r="H633" s="393"/>
      <c r="I633" s="127"/>
      <c r="J633" s="127"/>
      <c r="K633" s="127"/>
      <c r="L633" s="127"/>
      <c r="M633" s="127"/>
      <c r="N633" s="127"/>
      <c r="O633" s="127"/>
      <c r="P633" s="127"/>
      <c r="Q633" s="127"/>
      <c r="R633" s="163"/>
    </row>
    <row r="634" spans="1:18" x14ac:dyDescent="0.2">
      <c r="A634" s="70"/>
      <c r="B634" s="128"/>
      <c r="C634" s="64"/>
      <c r="D634" s="64"/>
      <c r="E634" s="283"/>
      <c r="F634" s="516" t="s">
        <v>196</v>
      </c>
      <c r="G634" s="33"/>
      <c r="H634" s="1990"/>
      <c r="I634" s="33"/>
      <c r="J634" s="33"/>
      <c r="K634" s="33"/>
      <c r="L634" s="33"/>
      <c r="M634" s="33"/>
      <c r="N634" s="33"/>
      <c r="O634" s="33"/>
      <c r="P634" s="33"/>
      <c r="Q634" s="33"/>
      <c r="R634" s="114"/>
    </row>
    <row r="635" spans="1:18" x14ac:dyDescent="0.2">
      <c r="A635" s="70"/>
      <c r="B635" s="128"/>
      <c r="C635" s="64"/>
      <c r="D635" s="64"/>
      <c r="E635" s="283"/>
      <c r="F635" s="371"/>
      <c r="G635" s="33"/>
      <c r="H635" s="1990"/>
      <c r="I635" s="33"/>
      <c r="J635" s="33"/>
      <c r="K635" s="33"/>
      <c r="L635" s="33"/>
      <c r="M635" s="33"/>
      <c r="N635" s="33"/>
      <c r="O635" s="33"/>
      <c r="P635" s="33"/>
      <c r="Q635" s="33"/>
      <c r="R635" s="114"/>
    </row>
    <row r="636" spans="1:18" x14ac:dyDescent="0.2">
      <c r="A636" s="107">
        <v>0</v>
      </c>
      <c r="B636" s="142">
        <v>0</v>
      </c>
      <c r="C636" s="33">
        <v>0</v>
      </c>
      <c r="D636" s="33">
        <v>0</v>
      </c>
      <c r="E636" s="238"/>
      <c r="F636" s="366" t="s">
        <v>2900</v>
      </c>
      <c r="G636" s="33">
        <v>0</v>
      </c>
      <c r="H636" s="1959"/>
      <c r="I636" s="33">
        <v>0</v>
      </c>
      <c r="J636" s="33">
        <v>0</v>
      </c>
      <c r="K636" s="33">
        <v>0</v>
      </c>
      <c r="L636" s="33">
        <v>0</v>
      </c>
      <c r="M636" s="33">
        <v>0</v>
      </c>
      <c r="N636" s="33">
        <v>0</v>
      </c>
      <c r="O636" s="33">
        <v>0</v>
      </c>
      <c r="P636" s="33">
        <v>0</v>
      </c>
      <c r="Q636" s="33">
        <v>0</v>
      </c>
      <c r="R636" s="114">
        <v>0</v>
      </c>
    </row>
    <row r="637" spans="1:18" x14ac:dyDescent="0.2">
      <c r="A637" s="107">
        <v>1789000</v>
      </c>
      <c r="B637" s="142">
        <v>0</v>
      </c>
      <c r="C637" s="142">
        <v>0</v>
      </c>
      <c r="D637" s="142">
        <v>0</v>
      </c>
      <c r="E637" s="238"/>
      <c r="F637" s="366" t="s">
        <v>1942</v>
      </c>
      <c r="G637" s="33">
        <v>0</v>
      </c>
      <c r="H637" s="1959"/>
      <c r="I637" s="33">
        <v>0</v>
      </c>
      <c r="J637" s="33">
        <v>0</v>
      </c>
      <c r="K637" s="33">
        <v>0</v>
      </c>
      <c r="L637" s="33">
        <v>0</v>
      </c>
      <c r="M637" s="33">
        <v>0</v>
      </c>
      <c r="N637" s="33">
        <v>0</v>
      </c>
      <c r="O637" s="33">
        <v>0</v>
      </c>
      <c r="P637" s="33">
        <v>0</v>
      </c>
      <c r="Q637" s="33">
        <v>0</v>
      </c>
      <c r="R637" s="114">
        <v>0</v>
      </c>
    </row>
    <row r="638" spans="1:18" x14ac:dyDescent="0.2">
      <c r="A638" s="107">
        <v>1757000</v>
      </c>
      <c r="B638" s="33">
        <v>1789000</v>
      </c>
      <c r="C638" s="33">
        <v>0</v>
      </c>
      <c r="D638" s="33">
        <v>0</v>
      </c>
      <c r="E638" s="238"/>
      <c r="F638" s="366" t="s">
        <v>2348</v>
      </c>
      <c r="G638" s="33">
        <v>0</v>
      </c>
      <c r="H638" s="1959"/>
      <c r="I638" s="33">
        <v>0</v>
      </c>
      <c r="J638" s="33">
        <v>0</v>
      </c>
      <c r="K638" s="33">
        <v>0</v>
      </c>
      <c r="L638" s="33">
        <v>0</v>
      </c>
      <c r="M638" s="33">
        <v>0</v>
      </c>
      <c r="N638" s="33">
        <v>0</v>
      </c>
      <c r="O638" s="33">
        <v>0</v>
      </c>
      <c r="P638" s="33">
        <v>0</v>
      </c>
      <c r="Q638" s="33">
        <v>0</v>
      </c>
      <c r="R638" s="114">
        <v>0</v>
      </c>
    </row>
    <row r="639" spans="1:18" x14ac:dyDescent="0.2">
      <c r="A639" s="107">
        <v>0</v>
      </c>
      <c r="B639" s="142">
        <v>0</v>
      </c>
      <c r="C639" s="33">
        <v>0</v>
      </c>
      <c r="D639" s="33">
        <v>0</v>
      </c>
      <c r="E639" s="238"/>
      <c r="F639" s="366" t="s">
        <v>5984</v>
      </c>
      <c r="G639" s="33">
        <v>0</v>
      </c>
      <c r="H639" s="1959"/>
      <c r="I639" s="33">
        <v>0</v>
      </c>
      <c r="J639" s="33">
        <v>0</v>
      </c>
      <c r="K639" s="33">
        <v>0</v>
      </c>
      <c r="L639" s="33">
        <v>0</v>
      </c>
      <c r="M639" s="33">
        <v>0</v>
      </c>
      <c r="N639" s="33">
        <v>0</v>
      </c>
      <c r="O639" s="33">
        <v>0</v>
      </c>
      <c r="P639" s="33">
        <v>0</v>
      </c>
      <c r="Q639" s="33">
        <v>0</v>
      </c>
      <c r="R639" s="114">
        <v>0</v>
      </c>
    </row>
    <row r="640" spans="1:18" x14ac:dyDescent="0.2">
      <c r="A640" s="107">
        <v>0</v>
      </c>
      <c r="B640" s="142">
        <v>0</v>
      </c>
      <c r="C640" s="33">
        <v>0</v>
      </c>
      <c r="D640" s="33">
        <v>0</v>
      </c>
      <c r="E640" s="238"/>
      <c r="F640" s="366" t="s">
        <v>972</v>
      </c>
      <c r="G640" s="33">
        <v>0</v>
      </c>
      <c r="H640" s="1959"/>
      <c r="I640" s="33">
        <v>0</v>
      </c>
      <c r="J640" s="33">
        <v>0</v>
      </c>
      <c r="K640" s="33">
        <v>0</v>
      </c>
      <c r="L640" s="33">
        <v>0</v>
      </c>
      <c r="M640" s="33">
        <v>0</v>
      </c>
      <c r="N640" s="33">
        <v>0</v>
      </c>
      <c r="O640" s="33">
        <v>0</v>
      </c>
      <c r="P640" s="33">
        <v>0</v>
      </c>
      <c r="Q640" s="33">
        <v>0</v>
      </c>
      <c r="R640" s="114">
        <v>0</v>
      </c>
    </row>
    <row r="641" spans="1:18" x14ac:dyDescent="0.2">
      <c r="A641" s="107"/>
      <c r="B641" s="142"/>
      <c r="C641" s="33"/>
      <c r="D641" s="33"/>
      <c r="E641" s="283"/>
      <c r="F641" s="516"/>
      <c r="G641" s="33"/>
      <c r="H641" s="1959"/>
      <c r="I641" s="33"/>
      <c r="J641" s="33"/>
      <c r="K641" s="33"/>
      <c r="L641" s="33"/>
      <c r="M641" s="33"/>
      <c r="N641" s="33"/>
      <c r="O641" s="33"/>
      <c r="P641" s="33"/>
      <c r="Q641" s="33"/>
      <c r="R641" s="114"/>
    </row>
    <row r="642" spans="1:18" s="92" customFormat="1" x14ac:dyDescent="0.2">
      <c r="A642" s="181">
        <f>A631-A636-A637+A638++A639-A640</f>
        <v>20766700</v>
      </c>
      <c r="B642" s="377">
        <f>B631-B636-B637+B638++B639-B640</f>
        <v>21756600</v>
      </c>
      <c r="C642" s="397">
        <f>C631-C636-C637+C638++C639-C640</f>
        <v>22400900</v>
      </c>
      <c r="D642" s="397">
        <f>D631-D636-D637+D638++D639-D640</f>
        <v>23578400</v>
      </c>
      <c r="E642" s="517"/>
      <c r="F642" s="518" t="s">
        <v>2490</v>
      </c>
      <c r="G642" s="397">
        <f t="shared" ref="G642:O642" si="730">G631-G636-G637+G638++G639-G640</f>
        <v>24850300</v>
      </c>
      <c r="H642" s="395">
        <f>IF(D642=G642,0,IF(D642=0,100,(G642-D642)/D642*100))</f>
        <v>5.3943439758422969</v>
      </c>
      <c r="I642" s="397">
        <f t="shared" si="730"/>
        <v>25995800</v>
      </c>
      <c r="J642" s="397">
        <f t="shared" si="730"/>
        <v>27423600</v>
      </c>
      <c r="K642" s="397">
        <f t="shared" si="730"/>
        <v>29073200</v>
      </c>
      <c r="L642" s="397">
        <f t="shared" si="730"/>
        <v>29890400</v>
      </c>
      <c r="M642" s="397">
        <f t="shared" si="730"/>
        <v>30730800</v>
      </c>
      <c r="N642" s="397">
        <f t="shared" si="730"/>
        <v>31595500</v>
      </c>
      <c r="O642" s="397">
        <f t="shared" si="730"/>
        <v>32485500</v>
      </c>
      <c r="P642" s="397">
        <f t="shared" ref="P642:Q642" si="731">P631-P636-P637+P638++P639-P640</f>
        <v>33401200</v>
      </c>
      <c r="Q642" s="397">
        <f t="shared" si="731"/>
        <v>34343600</v>
      </c>
      <c r="R642" s="399">
        <f t="shared" ref="R642" si="732">R631-R636-R637+R638++R639-R640</f>
        <v>35313300</v>
      </c>
    </row>
    <row r="643" spans="1:18" ht="13.5" thickBot="1" x14ac:dyDescent="0.25">
      <c r="A643" s="73"/>
      <c r="B643" s="134"/>
      <c r="C643" s="90"/>
      <c r="D643" s="90"/>
      <c r="E643" s="284"/>
      <c r="F643" s="368"/>
      <c r="G643" s="66"/>
      <c r="H643" s="392"/>
      <c r="I643" s="66"/>
      <c r="J643" s="66"/>
      <c r="K643" s="66"/>
      <c r="L643" s="66"/>
      <c r="M643" s="66"/>
      <c r="N643" s="66"/>
      <c r="O643" s="66"/>
      <c r="P643" s="66"/>
      <c r="Q643" s="66"/>
      <c r="R643" s="165"/>
    </row>
    <row r="644" spans="1:18" ht="14.25" thickTop="1" thickBot="1" x14ac:dyDescent="0.25">
      <c r="A644" s="125"/>
      <c r="B644" s="125"/>
      <c r="C644" s="125"/>
      <c r="D644" s="125"/>
      <c r="E644" s="286"/>
      <c r="F644" s="542"/>
      <c r="G644" s="176"/>
      <c r="H644" s="2483"/>
      <c r="I644" s="176"/>
      <c r="J644" s="99"/>
      <c r="K644" s="99"/>
      <c r="L644" s="99"/>
      <c r="M644" s="99"/>
      <c r="N644" s="99"/>
      <c r="O644" s="99"/>
      <c r="P644" s="99"/>
      <c r="Q644" s="99"/>
      <c r="R644" s="99"/>
    </row>
    <row r="645" spans="1:18" s="91" customFormat="1" ht="18.75" customHeight="1" thickTop="1" thickBot="1" x14ac:dyDescent="0.3">
      <c r="A645" s="2862" t="str">
        <f>A198</f>
        <v>FINANCIAL SERVICES</v>
      </c>
      <c r="B645" s="2863"/>
      <c r="C645" s="2863"/>
      <c r="D645" s="2863"/>
      <c r="E645" s="2863"/>
      <c r="F645" s="2863"/>
      <c r="G645" s="2863"/>
      <c r="H645" s="2863"/>
      <c r="I645" s="2863"/>
      <c r="J645" s="2863"/>
      <c r="K645" s="2863"/>
      <c r="L645" s="2863"/>
      <c r="M645" s="2863"/>
      <c r="N645" s="2863"/>
      <c r="O645" s="2863"/>
      <c r="P645" s="2863"/>
      <c r="Q645" s="2863"/>
      <c r="R645" s="2864"/>
    </row>
    <row r="646" spans="1:18" s="44" customFormat="1" x14ac:dyDescent="0.2">
      <c r="A646" s="2888" t="s">
        <v>1856</v>
      </c>
      <c r="B646" s="2889"/>
      <c r="C646" s="2889"/>
      <c r="D646" s="2890"/>
      <c r="E646" s="513" t="s">
        <v>2663</v>
      </c>
      <c r="F646" s="2649" t="s">
        <v>2251</v>
      </c>
      <c r="G646" s="2885" t="s">
        <v>2253</v>
      </c>
      <c r="H646" s="2886"/>
      <c r="I646" s="2886"/>
      <c r="J646" s="2886"/>
      <c r="K646" s="2886"/>
      <c r="L646" s="2886"/>
      <c r="M646" s="2886"/>
      <c r="N646" s="2886"/>
      <c r="O646" s="2886"/>
      <c r="P646" s="2886"/>
      <c r="Q646" s="2886"/>
      <c r="R646" s="2887"/>
    </row>
    <row r="647" spans="1:18" s="23" customFormat="1" ht="13.5" thickBot="1" x14ac:dyDescent="0.25">
      <c r="A647" s="208" t="str">
        <f>A3</f>
        <v>2012/13</v>
      </c>
      <c r="B647" s="218" t="str">
        <f>B3</f>
        <v>2013/14</v>
      </c>
      <c r="C647" s="370" t="str">
        <f>C3</f>
        <v>2014/15</v>
      </c>
      <c r="D647" s="93" t="str">
        <f>D3</f>
        <v>2015/16</v>
      </c>
      <c r="E647" s="370" t="s">
        <v>2664</v>
      </c>
      <c r="F647" s="42"/>
      <c r="G647" s="93" t="str">
        <f>G3</f>
        <v>2016/17</v>
      </c>
      <c r="H647" s="2095" t="s">
        <v>501</v>
      </c>
      <c r="I647" s="370" t="str">
        <f t="shared" ref="I647:R647" si="733">I3</f>
        <v>2017/18</v>
      </c>
      <c r="J647" s="370" t="str">
        <f t="shared" si="733"/>
        <v>2018/19</v>
      </c>
      <c r="K647" s="370" t="str">
        <f t="shared" si="733"/>
        <v>2019/20</v>
      </c>
      <c r="L647" s="370" t="str">
        <f t="shared" si="733"/>
        <v>2020/21</v>
      </c>
      <c r="M647" s="370" t="str">
        <f t="shared" si="733"/>
        <v>2021/22</v>
      </c>
      <c r="N647" s="370" t="str">
        <f t="shared" si="733"/>
        <v>2022/23</v>
      </c>
      <c r="O647" s="370" t="str">
        <f t="shared" si="733"/>
        <v>2023/24</v>
      </c>
      <c r="P647" s="370" t="str">
        <f t="shared" si="733"/>
        <v>2024/25</v>
      </c>
      <c r="Q647" s="218" t="str">
        <f t="shared" si="733"/>
        <v>2025/26</v>
      </c>
      <c r="R647" s="549" t="str">
        <f t="shared" si="733"/>
        <v>2026/27</v>
      </c>
    </row>
    <row r="648" spans="1:18" x14ac:dyDescent="0.2">
      <c r="A648" s="107"/>
      <c r="B648" s="33"/>
      <c r="C648" s="169"/>
      <c r="D648" s="33"/>
      <c r="E648" s="252"/>
      <c r="F648" s="74"/>
      <c r="G648" s="33"/>
      <c r="H648" s="138"/>
      <c r="I648" s="33"/>
      <c r="J648" s="33"/>
      <c r="K648" s="33"/>
      <c r="L648" s="33"/>
      <c r="M648" s="33"/>
      <c r="N648" s="33"/>
      <c r="O648" s="33"/>
      <c r="P648" s="33"/>
      <c r="Q648" s="33"/>
      <c r="R648" s="114"/>
    </row>
    <row r="649" spans="1:18" x14ac:dyDescent="0.2">
      <c r="A649" s="107"/>
      <c r="B649" s="33"/>
      <c r="C649" s="33"/>
      <c r="D649" s="33"/>
      <c r="E649" s="252"/>
      <c r="F649" s="144" t="s">
        <v>1073</v>
      </c>
      <c r="G649" s="33"/>
      <c r="H649" s="138"/>
      <c r="I649" s="33"/>
      <c r="J649" s="33"/>
      <c r="K649" s="33"/>
      <c r="L649" s="33"/>
      <c r="M649" s="33"/>
      <c r="N649" s="33"/>
      <c r="O649" s="33"/>
      <c r="P649" s="33"/>
      <c r="Q649" s="33"/>
      <c r="R649" s="114"/>
    </row>
    <row r="650" spans="1:18" x14ac:dyDescent="0.2">
      <c r="A650" s="107"/>
      <c r="B650" s="33"/>
      <c r="C650" s="33"/>
      <c r="E650" s="343"/>
      <c r="F650" s="351"/>
      <c r="G650" s="33"/>
      <c r="H650" s="138"/>
      <c r="I650" s="33"/>
      <c r="J650" s="33"/>
      <c r="K650" s="33"/>
      <c r="L650" s="33"/>
      <c r="M650" s="33"/>
      <c r="N650" s="33"/>
      <c r="O650" s="33"/>
      <c r="P650" s="33"/>
      <c r="Q650" s="33"/>
      <c r="R650" s="114"/>
    </row>
    <row r="651" spans="1:18" x14ac:dyDescent="0.2">
      <c r="A651" s="107"/>
      <c r="B651" s="33"/>
      <c r="C651" s="33"/>
      <c r="E651" s="343"/>
      <c r="F651" s="1133" t="s">
        <v>4538</v>
      </c>
      <c r="G651" s="33"/>
      <c r="H651" s="138"/>
      <c r="I651" s="33"/>
      <c r="J651" s="33"/>
      <c r="K651" s="33"/>
      <c r="L651" s="33"/>
      <c r="M651" s="33"/>
      <c r="N651" s="33"/>
      <c r="O651" s="33"/>
      <c r="P651" s="33"/>
      <c r="Q651" s="33"/>
      <c r="R651" s="114"/>
    </row>
    <row r="652" spans="1:18" x14ac:dyDescent="0.2">
      <c r="A652" s="107">
        <v>55400</v>
      </c>
      <c r="B652" s="33">
        <v>76300</v>
      </c>
      <c r="C652" s="33">
        <v>90400</v>
      </c>
      <c r="D652" s="33">
        <v>98800</v>
      </c>
      <c r="E652" s="344" t="s">
        <v>2694</v>
      </c>
      <c r="F652" s="351" t="s">
        <v>2602</v>
      </c>
      <c r="G652" s="33">
        <v>95000</v>
      </c>
      <c r="H652" s="138">
        <f t="shared" ref="H652:H661" si="734">IF(D652=G652,0,IF(D652=0,100,(G652-D652)/D652*100))</f>
        <v>-3.8461538461538463</v>
      </c>
      <c r="I652" s="33">
        <f>ROUNDUP(G652+(G652*Assumptions!H$5),-2)</f>
        <v>96500</v>
      </c>
      <c r="J652" s="33">
        <f>ROUNDUP(I652+(I652*Assumptions!I$5),-2)</f>
        <v>99000</v>
      </c>
      <c r="K652" s="33">
        <f>ROUNDUP(J652+(J652*Assumptions!J$5),-2)</f>
        <v>101500</v>
      </c>
      <c r="L652" s="33">
        <f>ROUNDUP(K652+(K652*Assumptions!K$5),-2)</f>
        <v>104100</v>
      </c>
      <c r="M652" s="33">
        <f>ROUNDUP(L652+(L652*Assumptions!L$5),-2)</f>
        <v>106200</v>
      </c>
      <c r="N652" s="33">
        <f>ROUNDUP(M652+(M652*Assumptions!M$5),-2)</f>
        <v>108400</v>
      </c>
      <c r="O652" s="33">
        <f>ROUNDUP(N652+(N652*Assumptions!N$5),-2)</f>
        <v>110600</v>
      </c>
      <c r="P652" s="33">
        <f>ROUNDUP(O652+(O652*Assumptions!O$5),-2)</f>
        <v>112900</v>
      </c>
      <c r="Q652" s="33">
        <f>ROUNDUP(P652+(P652*Assumptions!P$5),-2)</f>
        <v>115200</v>
      </c>
      <c r="R652" s="114">
        <f>ROUNDUP(Q652+(Q652*Assumptions!Q$5),-2)</f>
        <v>117600</v>
      </c>
    </row>
    <row r="653" spans="1:18" x14ac:dyDescent="0.2">
      <c r="A653" s="107">
        <v>2300</v>
      </c>
      <c r="B653" s="33">
        <v>2200</v>
      </c>
      <c r="C653" s="33">
        <v>3600</v>
      </c>
      <c r="D653" s="33">
        <v>3000</v>
      </c>
      <c r="E653" s="343" t="s">
        <v>2695</v>
      </c>
      <c r="F653" s="351" t="s">
        <v>1799</v>
      </c>
      <c r="G653" s="33">
        <v>3000</v>
      </c>
      <c r="H653" s="138">
        <f t="shared" si="734"/>
        <v>0</v>
      </c>
      <c r="I653" s="33">
        <f>ROUNDUP(G653+(G653*Assumptions!H$5),-2)</f>
        <v>3100</v>
      </c>
      <c r="J653" s="33">
        <f>ROUNDUP(I653+(I653*Assumptions!I$5),-2)</f>
        <v>3200</v>
      </c>
      <c r="K653" s="33">
        <f>ROUNDUP(J653+(J653*Assumptions!J$5),-2)</f>
        <v>3300</v>
      </c>
      <c r="L653" s="33">
        <f>ROUNDUP(K653+(K653*Assumptions!K$5),-2)</f>
        <v>3400</v>
      </c>
      <c r="M653" s="33">
        <f>ROUNDUP(L653+(L653*Assumptions!L$5),-2)</f>
        <v>3500</v>
      </c>
      <c r="N653" s="33">
        <f>ROUNDUP(M653+(M653*Assumptions!M$5),-2)</f>
        <v>3600</v>
      </c>
      <c r="O653" s="33">
        <f>ROUNDUP(N653+(N653*Assumptions!N$5),-2)</f>
        <v>3700</v>
      </c>
      <c r="P653" s="33">
        <f>ROUNDUP(O653+(O653*Assumptions!O$5),-2)</f>
        <v>3800</v>
      </c>
      <c r="Q653" s="33">
        <f>ROUNDUP(P653+(P653*Assumptions!P$5),-2)</f>
        <v>3900</v>
      </c>
      <c r="R653" s="114">
        <f>ROUNDUP(Q653+(Q653*Assumptions!Q$5),-2)</f>
        <v>4000</v>
      </c>
    </row>
    <row r="654" spans="1:18" x14ac:dyDescent="0.2">
      <c r="A654" s="107">
        <v>25500</v>
      </c>
      <c r="B654" s="33">
        <f>28100+600+200</f>
        <v>28900</v>
      </c>
      <c r="C654" s="33">
        <v>4900</v>
      </c>
      <c r="D654" s="33">
        <v>5200</v>
      </c>
      <c r="E654" s="821" t="s">
        <v>3257</v>
      </c>
      <c r="F654" s="952" t="s">
        <v>4278</v>
      </c>
      <c r="G654" s="33">
        <f>4000+2000</f>
        <v>6000</v>
      </c>
      <c r="H654" s="138">
        <f t="shared" si="734"/>
        <v>15.384615384615385</v>
      </c>
      <c r="I654" s="33">
        <f>ROUNDUP(G654+(G654*Assumptions!H$5),-2)</f>
        <v>6100</v>
      </c>
      <c r="J654" s="33">
        <f>ROUNDUP(I654+(I654*Assumptions!I$5),-2)</f>
        <v>6300</v>
      </c>
      <c r="K654" s="33">
        <f>ROUNDUP(J654+(J654*Assumptions!J$5),-2)</f>
        <v>6500</v>
      </c>
      <c r="L654" s="33">
        <f>ROUNDUP(K654+(K654*Assumptions!K$5),-2)</f>
        <v>6700</v>
      </c>
      <c r="M654" s="33">
        <f>ROUNDUP(L654+(L654*Assumptions!L$5),-2)</f>
        <v>6900</v>
      </c>
      <c r="N654" s="33">
        <f>ROUNDUP(M654+(M654*Assumptions!M$5),-2)</f>
        <v>7100</v>
      </c>
      <c r="O654" s="33">
        <f>ROUNDUP(N654+(N654*Assumptions!N$5),-2)</f>
        <v>7300</v>
      </c>
      <c r="P654" s="33">
        <f>ROUNDUP(O654+(O654*Assumptions!O$5),-2)</f>
        <v>7500</v>
      </c>
      <c r="Q654" s="33">
        <f>ROUNDUP(P654+(P654*Assumptions!P$5),-2)</f>
        <v>7700</v>
      </c>
      <c r="R654" s="114">
        <f>ROUNDUP(Q654+(Q654*Assumptions!Q$5),-2)</f>
        <v>7900</v>
      </c>
    </row>
    <row r="655" spans="1:18" x14ac:dyDescent="0.2">
      <c r="A655" s="107">
        <v>0</v>
      </c>
      <c r="B655" s="33">
        <v>0</v>
      </c>
      <c r="C655" s="33">
        <v>500</v>
      </c>
      <c r="D655" s="33">
        <v>200</v>
      </c>
      <c r="E655" s="821" t="s">
        <v>4275</v>
      </c>
      <c r="F655" s="952" t="s">
        <v>4279</v>
      </c>
      <c r="G655" s="33">
        <v>900</v>
      </c>
      <c r="H655" s="138">
        <f t="shared" si="734"/>
        <v>350</v>
      </c>
      <c r="I655" s="33">
        <f>ROUNDUP(G655+(G655*Assumptions!H$5),-2)</f>
        <v>1000</v>
      </c>
      <c r="J655" s="33">
        <f>ROUNDUP(I655+(I655*Assumptions!I$5),-2)</f>
        <v>1100</v>
      </c>
      <c r="K655" s="33">
        <f>ROUNDUP(J655+(J655*Assumptions!J$5),-2)</f>
        <v>1200</v>
      </c>
      <c r="L655" s="33">
        <f>ROUNDUP(K655+(K655*Assumptions!K$5),-2)</f>
        <v>1300</v>
      </c>
      <c r="M655" s="33">
        <f>ROUNDUP(L655+(L655*Assumptions!L$5),-2)</f>
        <v>1400</v>
      </c>
      <c r="N655" s="33">
        <f>ROUNDUP(M655+(M655*Assumptions!M$5),-2)</f>
        <v>1500</v>
      </c>
      <c r="O655" s="33">
        <f>ROUNDUP(N655+(N655*Assumptions!N$5),-2)</f>
        <v>1600</v>
      </c>
      <c r="P655" s="33">
        <f>ROUNDUP(O655+(O655*Assumptions!O$5),-2)</f>
        <v>1700</v>
      </c>
      <c r="Q655" s="33">
        <f>ROUNDUP(P655+(P655*Assumptions!P$5),-2)</f>
        <v>1800</v>
      </c>
      <c r="R655" s="114">
        <f>ROUNDUP(Q655+(Q655*Assumptions!Q$5),-2)</f>
        <v>1900</v>
      </c>
    </row>
    <row r="656" spans="1:18" x14ac:dyDescent="0.2">
      <c r="A656" s="107">
        <v>0</v>
      </c>
      <c r="B656" s="33">
        <v>0</v>
      </c>
      <c r="C656" s="33">
        <v>21000</v>
      </c>
      <c r="D656" s="33">
        <v>22700</v>
      </c>
      <c r="E656" s="821" t="s">
        <v>4276</v>
      </c>
      <c r="F656" s="952" t="s">
        <v>4280</v>
      </c>
      <c r="G656" s="33">
        <v>23000</v>
      </c>
      <c r="H656" s="138">
        <f t="shared" si="734"/>
        <v>1.3215859030837005</v>
      </c>
      <c r="I656" s="33">
        <f>ROUNDUP(G656+(G656*Assumptions!H$5),-2)</f>
        <v>23400</v>
      </c>
      <c r="J656" s="33">
        <f>ROUNDUP(I656+(I656*Assumptions!I$5),-2)</f>
        <v>24000</v>
      </c>
      <c r="K656" s="33">
        <f>ROUNDUP(J656+(J656*Assumptions!J$5),-2)</f>
        <v>24600</v>
      </c>
      <c r="L656" s="33">
        <f>ROUNDUP(K656+(K656*Assumptions!K$5),-2)</f>
        <v>25300</v>
      </c>
      <c r="M656" s="33">
        <f>ROUNDUP(L656+(L656*Assumptions!L$5),-2)</f>
        <v>25900</v>
      </c>
      <c r="N656" s="33">
        <f>ROUNDUP(M656+(M656*Assumptions!M$5),-2)</f>
        <v>26500</v>
      </c>
      <c r="O656" s="33">
        <f>ROUNDUP(N656+(N656*Assumptions!N$5),-2)</f>
        <v>27100</v>
      </c>
      <c r="P656" s="33">
        <f>ROUNDUP(O656+(O656*Assumptions!O$5),-2)</f>
        <v>27700</v>
      </c>
      <c r="Q656" s="33">
        <f>ROUNDUP(P656+(P656*Assumptions!P$5),-2)</f>
        <v>28300</v>
      </c>
      <c r="R656" s="114">
        <f>ROUNDUP(Q656+(Q656*Assumptions!Q$5),-2)</f>
        <v>28900</v>
      </c>
    </row>
    <row r="657" spans="1:18" x14ac:dyDescent="0.2">
      <c r="A657" s="107">
        <v>0</v>
      </c>
      <c r="B657" s="33">
        <v>0</v>
      </c>
      <c r="C657" s="33">
        <v>600</v>
      </c>
      <c r="D657" s="33">
        <v>800</v>
      </c>
      <c r="E657" s="821" t="s">
        <v>4277</v>
      </c>
      <c r="F657" s="554" t="s">
        <v>1504</v>
      </c>
      <c r="G657" s="33">
        <v>800</v>
      </c>
      <c r="H657" s="138">
        <f t="shared" si="734"/>
        <v>0</v>
      </c>
      <c r="I657" s="33">
        <f>ROUNDUP(G657+(G657*Assumptions!H$5),-2)</f>
        <v>900</v>
      </c>
      <c r="J657" s="33">
        <f>ROUNDUP(I657+(I657*Assumptions!I$5),-2)</f>
        <v>1000</v>
      </c>
      <c r="K657" s="33">
        <f>ROUNDUP(J657+(J657*Assumptions!J$5),-2)</f>
        <v>1100</v>
      </c>
      <c r="L657" s="33">
        <f>ROUNDUP(K657+(K657*Assumptions!K$5),-2)</f>
        <v>1200</v>
      </c>
      <c r="M657" s="33">
        <f>ROUNDUP(L657+(L657*Assumptions!L$5),-2)</f>
        <v>1300</v>
      </c>
      <c r="N657" s="33">
        <f>ROUNDUP(M657+(M657*Assumptions!M$5),-2)</f>
        <v>1400</v>
      </c>
      <c r="O657" s="33">
        <f>ROUNDUP(N657+(N657*Assumptions!N$5),-2)</f>
        <v>1500</v>
      </c>
      <c r="P657" s="33">
        <f>ROUNDUP(O657+(O657*Assumptions!O$5),-2)</f>
        <v>1600</v>
      </c>
      <c r="Q657" s="33">
        <f>ROUNDUP(P657+(P657*Assumptions!P$5),-2)</f>
        <v>1700</v>
      </c>
      <c r="R657" s="114">
        <f>ROUNDUP(Q657+(Q657*Assumptions!Q$5),-2)</f>
        <v>1800</v>
      </c>
    </row>
    <row r="658" spans="1:18" x14ac:dyDescent="0.2">
      <c r="A658" s="107">
        <v>100</v>
      </c>
      <c r="B658" s="33">
        <v>100</v>
      </c>
      <c r="C658" s="33">
        <v>300</v>
      </c>
      <c r="D658" s="33">
        <v>200</v>
      </c>
      <c r="E658" s="821" t="s">
        <v>2841</v>
      </c>
      <c r="F658" s="351" t="s">
        <v>474</v>
      </c>
      <c r="G658" s="33">
        <v>400</v>
      </c>
      <c r="H658" s="138">
        <f t="shared" si="734"/>
        <v>100</v>
      </c>
      <c r="I658" s="33">
        <f>ROUNDUP(G658+(G658*Assumptions!H$5),-2)</f>
        <v>500</v>
      </c>
      <c r="J658" s="33">
        <f>ROUNDUP(I658+(I658*Assumptions!I$5),-2)</f>
        <v>600</v>
      </c>
      <c r="K658" s="33">
        <f>ROUNDUP(J658+(J658*Assumptions!J$11),-2)</f>
        <v>700</v>
      </c>
      <c r="L658" s="33">
        <f>ROUNDUP(K658+(K658*Assumptions!K$11),-2)</f>
        <v>800</v>
      </c>
      <c r="M658" s="33">
        <f>ROUNDUP(L658+(L658*Assumptions!L$11),-2)</f>
        <v>900</v>
      </c>
      <c r="N658" s="33">
        <f>ROUNDUP(M658+(M658*Assumptions!M$11),-2)</f>
        <v>1000</v>
      </c>
      <c r="O658" s="33">
        <f>ROUNDUP(N658+(N658*Assumptions!N$11),-2)</f>
        <v>1100</v>
      </c>
      <c r="P658" s="33">
        <f>ROUNDUP(O658+(O658*Assumptions!O$11),-2)</f>
        <v>1200</v>
      </c>
      <c r="Q658" s="33">
        <f>ROUNDUP(P658+(P658*Assumptions!P$11),-2)</f>
        <v>1300</v>
      </c>
      <c r="R658" s="114">
        <f>ROUNDUP(Q658+(Q658*Assumptions!Q$11),-2)</f>
        <v>1400</v>
      </c>
    </row>
    <row r="659" spans="1:18" x14ac:dyDescent="0.2">
      <c r="A659" s="107">
        <v>10600</v>
      </c>
      <c r="B659" s="33">
        <v>30100</v>
      </c>
      <c r="C659" s="33">
        <v>28200</v>
      </c>
      <c r="D659" s="33">
        <v>65600</v>
      </c>
      <c r="E659" s="821" t="s">
        <v>2842</v>
      </c>
      <c r="F659" s="351" t="s">
        <v>2770</v>
      </c>
      <c r="G659" s="33">
        <f>37000+10000</f>
        <v>47000</v>
      </c>
      <c r="H659" s="138">
        <f t="shared" si="734"/>
        <v>-28.353658536585364</v>
      </c>
      <c r="I659" s="33">
        <f>ROUNDUP(G659+(G659*Assumptions!H$11),-2)</f>
        <v>49600</v>
      </c>
      <c r="J659" s="33">
        <f>ROUNDUP(I659+(I659*Assumptions!I$11),-2)</f>
        <v>52800</v>
      </c>
      <c r="K659" s="33">
        <f>ROUNDUP(J659+(J659*Assumptions!J$11),-2)</f>
        <v>56200</v>
      </c>
      <c r="L659" s="33">
        <f>ROUNDUP(K659+(K659*Assumptions!K$11),-2)</f>
        <v>57900</v>
      </c>
      <c r="M659" s="33">
        <f>ROUNDUP(L659+(L659*Assumptions!L$11),-2)</f>
        <v>59700</v>
      </c>
      <c r="N659" s="33">
        <f>ROUNDUP(M659+(M659*Assumptions!M$11),-2)</f>
        <v>61500</v>
      </c>
      <c r="O659" s="33">
        <f>ROUNDUP(N659+(N659*Assumptions!N$11),-2)</f>
        <v>63400</v>
      </c>
      <c r="P659" s="33">
        <f>ROUNDUP(O659+(O659*Assumptions!O$11),-2)</f>
        <v>65400</v>
      </c>
      <c r="Q659" s="33">
        <f>ROUNDUP(P659+(P659*Assumptions!P$11),-2)</f>
        <v>67400</v>
      </c>
      <c r="R659" s="114">
        <f>ROUNDUP(Q659+(Q659*Assumptions!Q$11),-2)</f>
        <v>69500</v>
      </c>
    </row>
    <row r="660" spans="1:18" x14ac:dyDescent="0.2">
      <c r="A660" s="107">
        <v>300</v>
      </c>
      <c r="B660" s="33">
        <v>100</v>
      </c>
      <c r="C660" s="33">
        <v>400</v>
      </c>
      <c r="D660" s="33">
        <v>400</v>
      </c>
      <c r="E660" s="821" t="s">
        <v>2843</v>
      </c>
      <c r="F660" s="916" t="s">
        <v>1691</v>
      </c>
      <c r="G660" s="33">
        <v>600</v>
      </c>
      <c r="H660" s="138">
        <f t="shared" si="734"/>
        <v>50</v>
      </c>
      <c r="I660" s="33">
        <f>ROUNDUP(G660+(G660*Assumptions!H$5),-2)</f>
        <v>700</v>
      </c>
      <c r="J660" s="33">
        <f>ROUNDUP(I660+(I660*Assumptions!I$5),-2)</f>
        <v>800</v>
      </c>
      <c r="K660" s="33">
        <f>ROUNDUP(J660+(J660*Assumptions!J$5),-2)</f>
        <v>900</v>
      </c>
      <c r="L660" s="33">
        <f>ROUNDUP(K660+(K660*Assumptions!K$5),-2)</f>
        <v>1000</v>
      </c>
      <c r="M660" s="33">
        <f>ROUNDUP(L660+(L660*Assumptions!L$5),-2)</f>
        <v>1100</v>
      </c>
      <c r="N660" s="33">
        <f>ROUNDUP(M660+(M660*Assumptions!M$5),-2)</f>
        <v>1200</v>
      </c>
      <c r="O660" s="33">
        <f>ROUNDUP(N660+(N660*Assumptions!N$5),-2)</f>
        <v>1300</v>
      </c>
      <c r="P660" s="33">
        <f>ROUNDUP(O660+(O660*Assumptions!O$5),-2)</f>
        <v>1400</v>
      </c>
      <c r="Q660" s="33">
        <f>ROUNDUP(P660+(P660*Assumptions!P$11),-2)</f>
        <v>1500</v>
      </c>
      <c r="R660" s="114">
        <f>ROUNDUP(Q660+(Q660*Assumptions!Q$11),-2)</f>
        <v>1600</v>
      </c>
    </row>
    <row r="661" spans="1:18" x14ac:dyDescent="0.2">
      <c r="A661" s="107">
        <v>0</v>
      </c>
      <c r="B661" s="33">
        <v>0</v>
      </c>
      <c r="C661" s="33">
        <v>0</v>
      </c>
      <c r="D661" s="33">
        <v>0</v>
      </c>
      <c r="E661" s="821" t="s">
        <v>6629</v>
      </c>
      <c r="F661" s="916" t="s">
        <v>6671</v>
      </c>
      <c r="G661" s="33">
        <v>2000</v>
      </c>
      <c r="H661" s="138">
        <f t="shared" si="734"/>
        <v>100</v>
      </c>
      <c r="I661" s="33">
        <v>0</v>
      </c>
      <c r="J661" s="33">
        <v>0</v>
      </c>
      <c r="K661" s="33">
        <v>0</v>
      </c>
      <c r="L661" s="33">
        <v>0</v>
      </c>
      <c r="M661" s="33">
        <v>0</v>
      </c>
      <c r="N661" s="33">
        <v>0</v>
      </c>
      <c r="O661" s="33">
        <v>0</v>
      </c>
      <c r="P661" s="33">
        <v>0</v>
      </c>
      <c r="Q661" s="33">
        <f>ROUNDUP(P661+(P661*Assumptions!P$11),-2)</f>
        <v>0</v>
      </c>
      <c r="R661" s="114">
        <f>ROUNDUP(Q661+(Q661*Assumptions!Q$11),-2)</f>
        <v>0</v>
      </c>
    </row>
    <row r="662" spans="1:18" x14ac:dyDescent="0.2">
      <c r="A662" s="107"/>
      <c r="B662" s="33"/>
      <c r="C662" s="33"/>
      <c r="D662" s="33"/>
      <c r="E662" s="821"/>
      <c r="F662" s="351"/>
      <c r="G662" s="33"/>
      <c r="H662" s="138"/>
      <c r="I662" s="33"/>
      <c r="J662" s="33"/>
      <c r="K662" s="33"/>
      <c r="L662" s="33"/>
      <c r="M662" s="33"/>
      <c r="N662" s="33"/>
      <c r="O662" s="33"/>
      <c r="P662" s="33"/>
      <c r="Q662" s="33"/>
      <c r="R662" s="114"/>
    </row>
    <row r="663" spans="1:18" x14ac:dyDescent="0.2">
      <c r="A663" s="107"/>
      <c r="B663" s="33"/>
      <c r="C663" s="33"/>
      <c r="D663" s="33"/>
      <c r="E663" s="821"/>
      <c r="F663" s="1133" t="s">
        <v>1722</v>
      </c>
      <c r="G663" s="33"/>
      <c r="H663" s="138"/>
      <c r="I663" s="33"/>
      <c r="J663" s="33"/>
      <c r="K663" s="33"/>
      <c r="L663" s="33"/>
      <c r="M663" s="33"/>
      <c r="N663" s="33"/>
      <c r="O663" s="33"/>
      <c r="P663" s="33"/>
      <c r="Q663" s="33"/>
      <c r="R663" s="114"/>
    </row>
    <row r="664" spans="1:18" x14ac:dyDescent="0.2">
      <c r="A664" s="107">
        <v>61000</v>
      </c>
      <c r="B664" s="33">
        <v>54000</v>
      </c>
      <c r="C664" s="33">
        <v>54000</v>
      </c>
      <c r="D664" s="33">
        <v>77100</v>
      </c>
      <c r="E664" s="821" t="s">
        <v>1694</v>
      </c>
      <c r="F664" s="916" t="s">
        <v>4522</v>
      </c>
      <c r="G664" s="33">
        <v>54000</v>
      </c>
      <c r="H664" s="138">
        <f>IF(D664=G664,0,IF(D664=0,100,(G664-D664)/D664*100))</f>
        <v>-29.961089494163424</v>
      </c>
      <c r="I664" s="33">
        <f>G664</f>
        <v>54000</v>
      </c>
      <c r="J664" s="33">
        <f t="shared" ref="J664:R664" si="735">I664</f>
        <v>54000</v>
      </c>
      <c r="K664" s="33">
        <f t="shared" si="735"/>
        <v>54000</v>
      </c>
      <c r="L664" s="33">
        <f t="shared" si="735"/>
        <v>54000</v>
      </c>
      <c r="M664" s="33">
        <f t="shared" si="735"/>
        <v>54000</v>
      </c>
      <c r="N664" s="33">
        <f t="shared" si="735"/>
        <v>54000</v>
      </c>
      <c r="O664" s="33">
        <f t="shared" si="735"/>
        <v>54000</v>
      </c>
      <c r="P664" s="33">
        <f t="shared" si="735"/>
        <v>54000</v>
      </c>
      <c r="Q664" s="33">
        <f t="shared" si="735"/>
        <v>54000</v>
      </c>
      <c r="R664" s="114">
        <f t="shared" si="735"/>
        <v>54000</v>
      </c>
    </row>
    <row r="665" spans="1:18" ht="13.5" thickBot="1" x14ac:dyDescent="0.25">
      <c r="A665" s="70"/>
      <c r="B665" s="64"/>
      <c r="C665" s="183"/>
      <c r="D665" s="64"/>
      <c r="E665" s="821"/>
      <c r="F665" s="64"/>
      <c r="G665" s="33"/>
      <c r="H665" s="179"/>
      <c r="I665" s="33"/>
      <c r="J665" s="33"/>
      <c r="K665" s="33"/>
      <c r="L665" s="33"/>
      <c r="M665" s="33"/>
      <c r="N665" s="33"/>
      <c r="O665" s="33"/>
      <c r="P665" s="33"/>
      <c r="Q665" s="33"/>
      <c r="R665" s="114"/>
    </row>
    <row r="666" spans="1:18" x14ac:dyDescent="0.2">
      <c r="A666" s="105">
        <f>SUM(A649:A665)</f>
        <v>155200</v>
      </c>
      <c r="B666" s="53">
        <f>SUM(B649:B665)</f>
        <v>191700</v>
      </c>
      <c r="C666" s="53">
        <f>SUM(C649:C665)</f>
        <v>203900</v>
      </c>
      <c r="D666" s="53">
        <f>SUM(D649:D665)</f>
        <v>274000</v>
      </c>
      <c r="E666" s="343"/>
      <c r="F666" s="378" t="s">
        <v>2605</v>
      </c>
      <c r="G666" s="53">
        <f t="shared" ref="G666:P666" si="736">SUM(G649:G665)</f>
        <v>232700</v>
      </c>
      <c r="H666" s="2485">
        <f>IF(D666=G666,0,IF(D666=0,100,(G666-D666)/D666*100))</f>
        <v>-15.072992700729927</v>
      </c>
      <c r="I666" s="53">
        <f t="shared" si="736"/>
        <v>235800</v>
      </c>
      <c r="J666" s="53">
        <f t="shared" si="736"/>
        <v>242800</v>
      </c>
      <c r="K666" s="53">
        <f t="shared" si="736"/>
        <v>250000</v>
      </c>
      <c r="L666" s="53">
        <f t="shared" si="736"/>
        <v>255700</v>
      </c>
      <c r="M666" s="53">
        <f t="shared" si="736"/>
        <v>260900</v>
      </c>
      <c r="N666" s="53">
        <f t="shared" si="736"/>
        <v>266200</v>
      </c>
      <c r="O666" s="53">
        <f t="shared" si="736"/>
        <v>271600</v>
      </c>
      <c r="P666" s="53">
        <f t="shared" si="736"/>
        <v>277200</v>
      </c>
      <c r="Q666" s="53">
        <f t="shared" ref="Q666" si="737">SUM(Q649:Q665)</f>
        <v>282800</v>
      </c>
      <c r="R666" s="113">
        <f t="shared" ref="R666" si="738">SUM(R649:R665)</f>
        <v>288600</v>
      </c>
    </row>
    <row r="667" spans="1:18" x14ac:dyDescent="0.2">
      <c r="A667" s="107"/>
      <c r="B667" s="33"/>
      <c r="C667" s="33"/>
      <c r="D667" s="33"/>
      <c r="E667" s="343"/>
      <c r="F667" s="378"/>
      <c r="G667" s="33"/>
      <c r="H667" s="138"/>
      <c r="I667" s="33"/>
      <c r="J667" s="33"/>
      <c r="K667" s="33"/>
      <c r="L667" s="33"/>
      <c r="M667" s="33"/>
      <c r="N667" s="33"/>
      <c r="O667" s="33"/>
      <c r="P667" s="33"/>
      <c r="Q667" s="33"/>
      <c r="R667" s="114"/>
    </row>
    <row r="668" spans="1:18" x14ac:dyDescent="0.2">
      <c r="A668" s="107"/>
      <c r="B668" s="33"/>
      <c r="C668" s="33"/>
      <c r="D668" s="33"/>
      <c r="E668" s="343"/>
      <c r="F668" s="365" t="s">
        <v>2205</v>
      </c>
      <c r="G668" s="33"/>
      <c r="H668" s="138"/>
      <c r="I668" s="33"/>
      <c r="J668" s="33"/>
      <c r="K668" s="33"/>
      <c r="L668" s="33"/>
      <c r="M668" s="33"/>
      <c r="N668" s="33"/>
      <c r="O668" s="33"/>
      <c r="P668" s="33"/>
      <c r="Q668" s="33"/>
      <c r="R668" s="114"/>
    </row>
    <row r="669" spans="1:18" x14ac:dyDescent="0.2">
      <c r="A669" s="107"/>
      <c r="B669" s="33"/>
      <c r="C669" s="33"/>
      <c r="D669" s="33"/>
      <c r="E669" s="343"/>
      <c r="F669" s="366"/>
      <c r="G669" s="33"/>
      <c r="H669" s="138"/>
      <c r="I669" s="33"/>
      <c r="J669" s="33"/>
      <c r="K669" s="33"/>
      <c r="L669" s="33"/>
      <c r="M669" s="33"/>
      <c r="N669" s="33"/>
      <c r="O669" s="33"/>
      <c r="P669" s="33"/>
      <c r="Q669" s="33"/>
      <c r="R669" s="114"/>
    </row>
    <row r="670" spans="1:18" x14ac:dyDescent="0.2">
      <c r="A670" s="107"/>
      <c r="B670" s="33"/>
      <c r="C670" s="33"/>
      <c r="D670" s="33"/>
      <c r="E670" s="343"/>
      <c r="F670" s="371" t="s">
        <v>1249</v>
      </c>
      <c r="G670" s="33"/>
      <c r="H670" s="138"/>
      <c r="I670" s="33"/>
      <c r="J670" s="33"/>
      <c r="K670" s="33"/>
      <c r="L670" s="33"/>
      <c r="M670" s="33"/>
      <c r="N670" s="33"/>
      <c r="O670" s="33"/>
      <c r="P670" s="33"/>
      <c r="Q670" s="33"/>
      <c r="R670" s="114"/>
    </row>
    <row r="671" spans="1:18" x14ac:dyDescent="0.2">
      <c r="A671" s="107">
        <v>1068200</v>
      </c>
      <c r="B671" s="33">
        <v>1145000</v>
      </c>
      <c r="C671" s="33">
        <v>1018600</v>
      </c>
      <c r="D671" s="33">
        <v>1013500</v>
      </c>
      <c r="E671" s="343" t="s">
        <v>1695</v>
      </c>
      <c r="F671" s="366" t="s">
        <v>1341</v>
      </c>
      <c r="G671" s="33">
        <f>1089000+79000/2-43000</f>
        <v>1085500</v>
      </c>
      <c r="H671" s="138">
        <f>IF(D671=G671,0,IF(D671=0,100,(G671-D671)/D671*100))</f>
        <v>7.1040947212629506</v>
      </c>
      <c r="I671" s="33">
        <f>ROUND((G671*Assumptions!H$13)+GM!G671,-2)+79000/2</f>
        <v>1146700</v>
      </c>
      <c r="J671" s="33">
        <f>ROUND((I671*Assumptions!I$13)+GM!I671,-2)</f>
        <v>1175400</v>
      </c>
      <c r="K671" s="33">
        <f>ROUND((J671*Assumptions!J$13)+GM!J671,-2)</f>
        <v>1204800</v>
      </c>
      <c r="L671" s="33">
        <f>ROUND((K671*Assumptions!K$13)+GM!K671,-2)</f>
        <v>1234900</v>
      </c>
      <c r="M671" s="33">
        <f>ROUND((L671*Assumptions!L$13)+GM!L671,-2)</f>
        <v>1265800</v>
      </c>
      <c r="N671" s="33">
        <f>ROUND((M671*Assumptions!M$13)+GM!M671,-2)</f>
        <v>1297400</v>
      </c>
      <c r="O671" s="33">
        <f>ROUND((N671*Assumptions!N$13)+GM!N671,-2)</f>
        <v>1329800</v>
      </c>
      <c r="P671" s="33">
        <f>ROUND((O671*Assumptions!O$13)+GM!O671,-2)</f>
        <v>1363000</v>
      </c>
      <c r="Q671" s="33">
        <f>ROUND((P671*Assumptions!P$13)+GM!P671,-2)</f>
        <v>1397100</v>
      </c>
      <c r="R671" s="114">
        <f>ROUND((Q671*Assumptions!Q$13)+GM!Q671,-2)</f>
        <v>1432000</v>
      </c>
    </row>
    <row r="672" spans="1:18" x14ac:dyDescent="0.2">
      <c r="A672" s="107">
        <v>9600</v>
      </c>
      <c r="B672" s="33">
        <v>8000</v>
      </c>
      <c r="C672" s="33">
        <v>8200</v>
      </c>
      <c r="D672" s="33">
        <v>8200</v>
      </c>
      <c r="E672" s="343" t="s">
        <v>1972</v>
      </c>
      <c r="F672" s="366" t="s">
        <v>608</v>
      </c>
      <c r="G672" s="33">
        <v>0</v>
      </c>
      <c r="H672" s="138">
        <f>IF(D672=G672,0,IF(D672=0,100,(G672-D672)/D672*100))</f>
        <v>-100</v>
      </c>
      <c r="I672" s="33">
        <v>8200</v>
      </c>
      <c r="J672" s="33">
        <f>ROUND((I672*Assumptions!I$13)+GM!I672,-2)</f>
        <v>8400</v>
      </c>
      <c r="K672" s="33">
        <f>ROUND((J672*Assumptions!J$13)+GM!J672,-2)</f>
        <v>8600</v>
      </c>
      <c r="L672" s="33">
        <f>ROUND((K672*Assumptions!K$13)+GM!K672,-2)</f>
        <v>8800</v>
      </c>
      <c r="M672" s="33">
        <f>ROUND((L672*Assumptions!L$13)+GM!L672,-2)</f>
        <v>9000</v>
      </c>
      <c r="N672" s="33">
        <f>ROUND((M672*Assumptions!M$13)+GM!M672,-2)</f>
        <v>9200</v>
      </c>
      <c r="O672" s="33">
        <f>ROUND((N672*Assumptions!N$13)+GM!N672,-2)</f>
        <v>9400</v>
      </c>
      <c r="P672" s="33">
        <f>ROUND((O672*Assumptions!O$13)+GM!O672,-2)</f>
        <v>9600</v>
      </c>
      <c r="Q672" s="33">
        <f>ROUND((P672*Assumptions!P$13)+GM!P672,-2)</f>
        <v>9800</v>
      </c>
      <c r="R672" s="114">
        <f>ROUND((Q672*Assumptions!Q$13)+GM!Q672,-2)</f>
        <v>10000</v>
      </c>
    </row>
    <row r="673" spans="1:18" x14ac:dyDescent="0.2">
      <c r="A673" s="107"/>
      <c r="B673" s="33"/>
      <c r="C673" s="33"/>
      <c r="D673" s="33"/>
      <c r="E673" s="343"/>
      <c r="F673" s="366"/>
      <c r="G673" s="33"/>
      <c r="H673" s="138"/>
      <c r="I673" s="33"/>
      <c r="J673" s="33"/>
      <c r="K673" s="33"/>
      <c r="L673" s="33"/>
      <c r="M673" s="33"/>
      <c r="N673" s="33"/>
      <c r="O673" s="33"/>
      <c r="P673" s="33"/>
      <c r="Q673" s="33"/>
      <c r="R673" s="114"/>
    </row>
    <row r="674" spans="1:18" x14ac:dyDescent="0.2">
      <c r="A674" s="107"/>
      <c r="B674" s="33"/>
      <c r="C674" s="33"/>
      <c r="D674" s="33"/>
      <c r="E674" s="343"/>
      <c r="F674" s="371" t="s">
        <v>2284</v>
      </c>
      <c r="G674" s="33"/>
      <c r="H674" s="138"/>
      <c r="I674" s="33"/>
      <c r="J674" s="33"/>
      <c r="K674" s="33"/>
      <c r="L674" s="33"/>
      <c r="M674" s="33"/>
      <c r="N674" s="33"/>
      <c r="O674" s="33"/>
      <c r="P674" s="33"/>
      <c r="Q674" s="33"/>
      <c r="R674" s="114"/>
    </row>
    <row r="675" spans="1:18" x14ac:dyDescent="0.2">
      <c r="A675" s="107">
        <v>0</v>
      </c>
      <c r="B675" s="33">
        <v>0</v>
      </c>
      <c r="C675" s="33">
        <v>10300</v>
      </c>
      <c r="D675" s="33">
        <v>10200</v>
      </c>
      <c r="E675" s="821" t="s">
        <v>4281</v>
      </c>
      <c r="F675" s="891" t="s">
        <v>4463</v>
      </c>
      <c r="G675" s="33">
        <f>12500-2000</f>
        <v>10500</v>
      </c>
      <c r="H675" s="138">
        <f t="shared" ref="H675:H683" si="739">IF(D675=G675,0,IF(D675=0,100,(G675-D675)/D675*100))</f>
        <v>2.9411764705882351</v>
      </c>
      <c r="I675" s="33">
        <f>ROUNDUP(G675+(G675*Assumptions!H$5),-2)</f>
        <v>10700</v>
      </c>
      <c r="J675" s="33">
        <f>ROUNDUP(I675+(I675*Assumptions!I$5),-2)</f>
        <v>11000</v>
      </c>
      <c r="K675" s="33">
        <f>ROUNDUP(J675+(J675*Assumptions!J$5),-2)</f>
        <v>11300</v>
      </c>
      <c r="L675" s="33">
        <f>ROUNDUP(K675+(K675*Assumptions!K$5),-2)</f>
        <v>11600</v>
      </c>
      <c r="M675" s="33">
        <f>ROUNDUP(L675+(L675*Assumptions!L$5),-2)</f>
        <v>11900</v>
      </c>
      <c r="N675" s="33">
        <f>ROUNDUP(M675+(M675*Assumptions!M$5),-2)</f>
        <v>12200</v>
      </c>
      <c r="O675" s="33">
        <f>ROUNDUP(N675+(N675*Assumptions!N$5),-2)</f>
        <v>12500</v>
      </c>
      <c r="P675" s="33">
        <f>ROUNDUP(O675+(O675*Assumptions!O$5),-2)</f>
        <v>12800</v>
      </c>
      <c r="Q675" s="33">
        <f>ROUNDUP(P675+(P675*Assumptions!P$5),-2)</f>
        <v>13100</v>
      </c>
      <c r="R675" s="114">
        <f>ROUNDUP(Q675+(Q675*Assumptions!Q$5),-2)</f>
        <v>13400</v>
      </c>
    </row>
    <row r="676" spans="1:18" x14ac:dyDescent="0.2">
      <c r="A676" s="107">
        <v>0</v>
      </c>
      <c r="B676" s="33">
        <v>0</v>
      </c>
      <c r="C676" s="33">
        <v>13500</v>
      </c>
      <c r="D676" s="33">
        <v>17800</v>
      </c>
      <c r="E676" s="821" t="s">
        <v>4282</v>
      </c>
      <c r="F676" s="891" t="s">
        <v>4284</v>
      </c>
      <c r="G676" s="33">
        <v>16000</v>
      </c>
      <c r="H676" s="138">
        <f t="shared" si="739"/>
        <v>-10.112359550561797</v>
      </c>
      <c r="I676" s="33">
        <f>ROUNDUP(G676+(G676*Assumptions!H$5),-2)</f>
        <v>16300</v>
      </c>
      <c r="J676" s="33">
        <f>ROUNDUP(I676+(I676*Assumptions!I$5),-2)</f>
        <v>16800</v>
      </c>
      <c r="K676" s="33">
        <f>ROUNDUP(J676+(J676*Assumptions!J$5),-2)</f>
        <v>17300</v>
      </c>
      <c r="L676" s="33">
        <f>ROUNDUP(K676+(K676*Assumptions!K$5),-2)</f>
        <v>17800</v>
      </c>
      <c r="M676" s="33">
        <f>ROUNDUP(L676+(L676*Assumptions!L$5),-2)</f>
        <v>18200</v>
      </c>
      <c r="N676" s="33">
        <f>ROUNDUP(M676+(M676*Assumptions!M$5),-2)</f>
        <v>18600</v>
      </c>
      <c r="O676" s="33">
        <f>ROUNDUP(N676+(N676*Assumptions!N$5),-2)</f>
        <v>19000</v>
      </c>
      <c r="P676" s="33">
        <f>ROUNDUP(O676+(O676*Assumptions!O$5),-2)</f>
        <v>19400</v>
      </c>
      <c r="Q676" s="33">
        <f>ROUNDUP(P676+(P676*Assumptions!P$5),-2)</f>
        <v>19800</v>
      </c>
      <c r="R676" s="114">
        <f>ROUNDUP(Q676+(Q676*Assumptions!Q$5),-2)</f>
        <v>20200</v>
      </c>
    </row>
    <row r="677" spans="1:18" x14ac:dyDescent="0.2">
      <c r="A677" s="107">
        <v>3100</v>
      </c>
      <c r="B677" s="33">
        <v>3000</v>
      </c>
      <c r="C677" s="76">
        <v>3100</v>
      </c>
      <c r="D677" s="33">
        <v>3300</v>
      </c>
      <c r="E677" s="343" t="s">
        <v>1696</v>
      </c>
      <c r="F677" s="366" t="s">
        <v>1</v>
      </c>
      <c r="G677" s="33">
        <v>3000</v>
      </c>
      <c r="H677" s="138">
        <f t="shared" si="739"/>
        <v>-9.0909090909090917</v>
      </c>
      <c r="I677" s="33">
        <f>ROUNDUP(G677+(G677*Assumptions!H$5),-2)</f>
        <v>3100</v>
      </c>
      <c r="J677" s="33">
        <f>ROUNDUP(I677+(I677*Assumptions!I$5),-2)</f>
        <v>3200</v>
      </c>
      <c r="K677" s="33">
        <f>ROUNDUP(J677+(J677*Assumptions!J$5),-2)</f>
        <v>3300</v>
      </c>
      <c r="L677" s="33">
        <f>ROUNDUP(K677+(K677*Assumptions!K$5),-2)</f>
        <v>3400</v>
      </c>
      <c r="M677" s="33">
        <f>ROUNDUP(L677+(L677*Assumptions!L$5),-2)</f>
        <v>3500</v>
      </c>
      <c r="N677" s="33">
        <f>ROUNDUP(M677+(M677*Assumptions!M$5),-2)</f>
        <v>3600</v>
      </c>
      <c r="O677" s="33">
        <f>ROUNDUP(N677+(N677*Assumptions!N$5),-2)</f>
        <v>3700</v>
      </c>
      <c r="P677" s="33">
        <f>ROUNDUP(O677+(O677*Assumptions!O$5),-2)</f>
        <v>3800</v>
      </c>
      <c r="Q677" s="33">
        <f>ROUNDUP(P677+(P677*Assumptions!P$5),-2)</f>
        <v>3900</v>
      </c>
      <c r="R677" s="114">
        <f>ROUNDUP(Q677+(Q677*Assumptions!Q$5),-2)</f>
        <v>4000</v>
      </c>
    </row>
    <row r="678" spans="1:18" x14ac:dyDescent="0.2">
      <c r="A678" s="107">
        <v>4200</v>
      </c>
      <c r="B678" s="33">
        <v>3900</v>
      </c>
      <c r="C678" s="76">
        <v>4400</v>
      </c>
      <c r="D678" s="33">
        <v>3800</v>
      </c>
      <c r="E678" s="343" t="s">
        <v>1704</v>
      </c>
      <c r="F678" s="891" t="s">
        <v>3222</v>
      </c>
      <c r="G678" s="33">
        <v>4100</v>
      </c>
      <c r="H678" s="138">
        <f t="shared" si="739"/>
        <v>7.8947368421052628</v>
      </c>
      <c r="I678" s="33">
        <f>ROUNDUP(G678+(G678*Assumptions!H$5),-2)</f>
        <v>4200</v>
      </c>
      <c r="J678" s="33">
        <f>ROUNDUP(I678+(I678*Assumptions!I$5),-2)</f>
        <v>4400</v>
      </c>
      <c r="K678" s="33">
        <f>ROUNDUP(J678+(J678*Assumptions!J$5),-2)</f>
        <v>4600</v>
      </c>
      <c r="L678" s="33">
        <f>ROUNDUP(K678+(K678*Assumptions!K$5),-2)</f>
        <v>4800</v>
      </c>
      <c r="M678" s="33">
        <f>ROUNDUP(L678+(L678*Assumptions!L$5),-2)</f>
        <v>4900</v>
      </c>
      <c r="N678" s="33">
        <f>ROUNDUP(M678+(M678*Assumptions!M$5),-2)</f>
        <v>5000</v>
      </c>
      <c r="O678" s="33">
        <f>ROUNDUP(N678+(N678*Assumptions!N$5),-2)</f>
        <v>5100</v>
      </c>
      <c r="P678" s="33">
        <f>ROUNDUP(O678+(O678*Assumptions!O$5),-2)</f>
        <v>5300</v>
      </c>
      <c r="Q678" s="33">
        <f>ROUNDUP(P678+(P678*Assumptions!P$5),-2)</f>
        <v>5500</v>
      </c>
      <c r="R678" s="114">
        <f>ROUNDUP(Q678+(Q678*Assumptions!Q$5),-2)</f>
        <v>5700</v>
      </c>
    </row>
    <row r="679" spans="1:18" x14ac:dyDescent="0.2">
      <c r="A679" s="107">
        <v>0</v>
      </c>
      <c r="B679" s="33">
        <v>0</v>
      </c>
      <c r="C679" s="76">
        <v>800</v>
      </c>
      <c r="D679" s="33">
        <v>1100</v>
      </c>
      <c r="E679" s="821" t="s">
        <v>4283</v>
      </c>
      <c r="F679" s="891" t="s">
        <v>4285</v>
      </c>
      <c r="G679" s="33">
        <v>1100</v>
      </c>
      <c r="H679" s="138">
        <f t="shared" si="739"/>
        <v>0</v>
      </c>
      <c r="I679" s="33">
        <f>ROUNDUP(G679+(G679*Assumptions!H$5),-2)</f>
        <v>1200</v>
      </c>
      <c r="J679" s="33">
        <f>ROUNDUP(I679+(I679*Assumptions!I$5),-2)</f>
        <v>1300</v>
      </c>
      <c r="K679" s="33">
        <f>ROUNDUP(J679+(J679*Assumptions!J$5),-2)</f>
        <v>1400</v>
      </c>
      <c r="L679" s="33">
        <f>ROUNDUP(K679+(K679*Assumptions!K$5),-2)</f>
        <v>1500</v>
      </c>
      <c r="M679" s="33">
        <f>ROUNDUP(L679+(L679*Assumptions!L$5),-2)</f>
        <v>1600</v>
      </c>
      <c r="N679" s="33">
        <f>ROUNDUP(M679+(M679*Assumptions!M$5),-2)</f>
        <v>1700</v>
      </c>
      <c r="O679" s="33">
        <f>ROUNDUP(N679+(N679*Assumptions!N$5),-2)</f>
        <v>1800</v>
      </c>
      <c r="P679" s="33">
        <f>ROUNDUP(O679+(O679*Assumptions!O$5),-2)</f>
        <v>1900</v>
      </c>
      <c r="Q679" s="33">
        <f>ROUNDUP(P679+(P679*Assumptions!P$5),-2)</f>
        <v>2000</v>
      </c>
      <c r="R679" s="114">
        <f>ROUNDUP(Q679+(Q679*Assumptions!Q$5),-2)</f>
        <v>2100</v>
      </c>
    </row>
    <row r="680" spans="1:18" x14ac:dyDescent="0.2">
      <c r="A680" s="107">
        <v>1700</v>
      </c>
      <c r="B680" s="33">
        <v>700</v>
      </c>
      <c r="C680" s="76">
        <v>1100</v>
      </c>
      <c r="D680" s="33">
        <v>1600</v>
      </c>
      <c r="E680" s="343" t="s">
        <v>2912</v>
      </c>
      <c r="F680" s="366" t="s">
        <v>2913</v>
      </c>
      <c r="G680" s="33">
        <v>1600</v>
      </c>
      <c r="H680" s="138">
        <f t="shared" si="739"/>
        <v>0</v>
      </c>
      <c r="I680" s="33">
        <f>ROUNDUP(G680+(G680*Assumptions!H$5),-2)</f>
        <v>1700</v>
      </c>
      <c r="J680" s="33">
        <f>ROUNDUP(I680+(I680*Assumptions!I$5),-2)</f>
        <v>1800</v>
      </c>
      <c r="K680" s="33">
        <f>ROUNDUP(J680+(J680*Assumptions!J$5),-2)</f>
        <v>1900</v>
      </c>
      <c r="L680" s="33">
        <f>ROUNDUP(K680+(K680*Assumptions!K$5),-2)</f>
        <v>2000</v>
      </c>
      <c r="M680" s="33">
        <f>ROUNDUP(L680+(L680*Assumptions!L$5),-2)</f>
        <v>2100</v>
      </c>
      <c r="N680" s="33">
        <f>ROUNDUP(M680+(M680*Assumptions!M$5),-2)</f>
        <v>2200</v>
      </c>
      <c r="O680" s="33">
        <f>ROUNDUP(N680+(N680*Assumptions!N$5),-2)</f>
        <v>2300</v>
      </c>
      <c r="P680" s="33">
        <f>ROUNDUP(O680+(O680*Assumptions!O$5),-2)</f>
        <v>2400</v>
      </c>
      <c r="Q680" s="33">
        <f>ROUNDUP(P680+(P680*Assumptions!P$5),-2)</f>
        <v>2500</v>
      </c>
      <c r="R680" s="114">
        <f>ROUNDUP(Q680+(Q680*Assumptions!Q$5),-2)</f>
        <v>2600</v>
      </c>
    </row>
    <row r="681" spans="1:18" x14ac:dyDescent="0.2">
      <c r="A681" s="107">
        <v>23200</v>
      </c>
      <c r="B681" s="33">
        <f>30300+1000+400</f>
        <v>31700</v>
      </c>
      <c r="C681" s="76">
        <v>27700</v>
      </c>
      <c r="D681" s="33">
        <v>31100</v>
      </c>
      <c r="E681" s="821" t="s">
        <v>3011</v>
      </c>
      <c r="F681" s="891" t="s">
        <v>3333</v>
      </c>
      <c r="G681" s="33">
        <f>32000+2000</f>
        <v>34000</v>
      </c>
      <c r="H681" s="138">
        <f t="shared" si="739"/>
        <v>9.32475884244373</v>
      </c>
      <c r="I681" s="33">
        <f>ROUNDUP(G681+(G681*Assumptions!H$5),-2)</f>
        <v>34600</v>
      </c>
      <c r="J681" s="33">
        <f>ROUNDUP(I681+(I681*Assumptions!I$5),-2)</f>
        <v>35500</v>
      </c>
      <c r="K681" s="33">
        <f>ROUNDUP(J681+(J681*Assumptions!J$5),-2)</f>
        <v>36400</v>
      </c>
      <c r="L681" s="33">
        <f>ROUNDUP(K681+(K681*Assumptions!K$5),-2)</f>
        <v>37400</v>
      </c>
      <c r="M681" s="33">
        <f>ROUNDUP(L681+(L681*Assumptions!L$5),-2)</f>
        <v>38200</v>
      </c>
      <c r="N681" s="33">
        <f>ROUNDUP(M681+(M681*Assumptions!M$5),-2)</f>
        <v>39000</v>
      </c>
      <c r="O681" s="33">
        <f>ROUNDUP(N681+(N681*Assumptions!N$5),-2)</f>
        <v>39800</v>
      </c>
      <c r="P681" s="33">
        <f>ROUNDUP(O681+(O681*Assumptions!O$5),-2)</f>
        <v>40600</v>
      </c>
      <c r="Q681" s="33">
        <f>ROUNDUP(P681+(P681*Assumptions!P$5),-2)</f>
        <v>41500</v>
      </c>
      <c r="R681" s="114">
        <f>ROUNDUP(Q681+(Q681*Assumptions!Q$5),-2)</f>
        <v>42400</v>
      </c>
    </row>
    <row r="682" spans="1:18" x14ac:dyDescent="0.2">
      <c r="A682" s="107">
        <v>51200</v>
      </c>
      <c r="B682" s="33">
        <v>42500</v>
      </c>
      <c r="C682" s="76">
        <v>21600</v>
      </c>
      <c r="D682" s="33">
        <v>20500</v>
      </c>
      <c r="E682" s="821" t="s">
        <v>3010</v>
      </c>
      <c r="F682" s="891" t="s">
        <v>3334</v>
      </c>
      <c r="G682" s="33">
        <v>23000</v>
      </c>
      <c r="H682" s="138">
        <f t="shared" si="739"/>
        <v>12.195121951219512</v>
      </c>
      <c r="I682" s="33">
        <f>ROUNDUP(G682+(G682*Assumptions!H$5),-2)</f>
        <v>23400</v>
      </c>
      <c r="J682" s="33">
        <f>ROUNDUP(I682+(I682*Assumptions!I$5),-2)</f>
        <v>24000</v>
      </c>
      <c r="K682" s="33">
        <f>ROUNDUP(J682+(J682*Assumptions!J$5),-2)</f>
        <v>24600</v>
      </c>
      <c r="L682" s="33">
        <f>ROUNDUP(K682+(K682*Assumptions!K$5),-2)</f>
        <v>25300</v>
      </c>
      <c r="M682" s="33">
        <f>ROUNDUP(L682+(L682*Assumptions!L$5),-2)</f>
        <v>25900</v>
      </c>
      <c r="N682" s="33">
        <f>ROUNDUP(M682+(M682*Assumptions!M$5),-2)</f>
        <v>26500</v>
      </c>
      <c r="O682" s="33">
        <f>ROUNDUP(N682+(N682*Assumptions!N$5),-2)</f>
        <v>27100</v>
      </c>
      <c r="P682" s="33">
        <f>ROUNDUP(O682+(O682*Assumptions!O$5),-2)</f>
        <v>27700</v>
      </c>
      <c r="Q682" s="33">
        <f>ROUNDUP(P682+(P682*Assumptions!P$5),-2)</f>
        <v>28300</v>
      </c>
      <c r="R682" s="114">
        <f>ROUNDUP(Q682+(Q682*Assumptions!Q$5),-2)</f>
        <v>28900</v>
      </c>
    </row>
    <row r="683" spans="1:18" x14ac:dyDescent="0.2">
      <c r="A683" s="107">
        <v>1100</v>
      </c>
      <c r="B683" s="33">
        <v>3200</v>
      </c>
      <c r="C683" s="76">
        <v>800</v>
      </c>
      <c r="D683" s="33">
        <v>300</v>
      </c>
      <c r="E683" s="821" t="s">
        <v>3012</v>
      </c>
      <c r="F683" s="891" t="s">
        <v>3013</v>
      </c>
      <c r="G683" s="33">
        <v>1000</v>
      </c>
      <c r="H683" s="138">
        <f t="shared" si="739"/>
        <v>233.33333333333334</v>
      </c>
      <c r="I683" s="33">
        <f>ROUNDUP(G683+(G683*Assumptions!H$5),-2)</f>
        <v>1100</v>
      </c>
      <c r="J683" s="33">
        <f>ROUNDUP(I683+(I683*Assumptions!I$5),-2)</f>
        <v>1200</v>
      </c>
      <c r="K683" s="33">
        <f>ROUNDUP(J683+(J683*Assumptions!J$5),-2)</f>
        <v>1300</v>
      </c>
      <c r="L683" s="33">
        <f>ROUNDUP(K683+(K683*Assumptions!K$5),-2)</f>
        <v>1400</v>
      </c>
      <c r="M683" s="33">
        <f>ROUNDUP(L683+(L683*Assumptions!L$5),-2)</f>
        <v>1500</v>
      </c>
      <c r="N683" s="33">
        <f>ROUNDUP(M683+(M683*Assumptions!M$5),-2)</f>
        <v>1600</v>
      </c>
      <c r="O683" s="33">
        <f>ROUNDUP(N683+(N683*Assumptions!N$5),-2)</f>
        <v>1700</v>
      </c>
      <c r="P683" s="33">
        <f>ROUNDUP(O683+(O683*Assumptions!O$5),-2)</f>
        <v>1800</v>
      </c>
      <c r="Q683" s="33">
        <f>ROUNDUP(P683+(P683*Assumptions!P$5),-2)</f>
        <v>1900</v>
      </c>
      <c r="R683" s="114">
        <f>ROUNDUP(Q683+(Q683*Assumptions!Q$5),-2)</f>
        <v>2000</v>
      </c>
    </row>
    <row r="684" spans="1:18" x14ac:dyDescent="0.2">
      <c r="A684" s="107"/>
      <c r="B684" s="33"/>
      <c r="C684" s="76"/>
      <c r="D684" s="33"/>
      <c r="E684" s="343"/>
      <c r="F684" s="366"/>
      <c r="G684" s="33"/>
      <c r="H684" s="138"/>
      <c r="I684" s="33"/>
      <c r="J684" s="33"/>
      <c r="K684" s="33"/>
      <c r="L684" s="33"/>
      <c r="M684" s="33"/>
      <c r="N684" s="33"/>
      <c r="O684" s="33"/>
      <c r="P684" s="33"/>
      <c r="Q684" s="33"/>
      <c r="R684" s="114"/>
    </row>
    <row r="685" spans="1:18" x14ac:dyDescent="0.2">
      <c r="A685" s="107"/>
      <c r="B685" s="33"/>
      <c r="C685" s="76"/>
      <c r="D685" s="33"/>
      <c r="E685" s="343"/>
      <c r="F685" s="371" t="s">
        <v>1056</v>
      </c>
      <c r="G685" s="33"/>
      <c r="H685" s="138"/>
      <c r="I685" s="33"/>
      <c r="J685" s="33"/>
      <c r="K685" s="33"/>
      <c r="L685" s="33"/>
      <c r="M685" s="33"/>
      <c r="N685" s="33"/>
      <c r="O685" s="33"/>
      <c r="P685" s="33"/>
      <c r="Q685" s="33"/>
      <c r="R685" s="114"/>
    </row>
    <row r="686" spans="1:18" x14ac:dyDescent="0.2">
      <c r="A686" s="107">
        <v>20300</v>
      </c>
      <c r="B686" s="33">
        <v>22100</v>
      </c>
      <c r="C686" s="76">
        <v>22300</v>
      </c>
      <c r="D686" s="33">
        <v>23500</v>
      </c>
      <c r="E686" s="343" t="s">
        <v>490</v>
      </c>
      <c r="F686" s="366" t="s">
        <v>2164</v>
      </c>
      <c r="G686" s="33">
        <v>25000</v>
      </c>
      <c r="H686" s="138">
        <f>IF(D686=G686,0,IF(D686=0,100,(G686-D686)/D686*100))</f>
        <v>6.3829787234042552</v>
      </c>
      <c r="I686" s="33">
        <f>ROUNDUP(G686+(G686*Assumptions!H$5),-2)</f>
        <v>25400</v>
      </c>
      <c r="J686" s="33">
        <f>ROUNDUP(I686+(I686*Assumptions!I$5),-2)</f>
        <v>26100</v>
      </c>
      <c r="K686" s="33">
        <f>ROUNDUP(J686+(J686*Assumptions!J$5),-2)</f>
        <v>26800</v>
      </c>
      <c r="L686" s="33">
        <f>ROUNDUP(K686+(K686*Assumptions!K$5),-2)</f>
        <v>27500</v>
      </c>
      <c r="M686" s="33">
        <f>ROUNDUP(L686+(L686*Assumptions!L$5),-2)</f>
        <v>28100</v>
      </c>
      <c r="N686" s="33">
        <f>ROUNDUP(M686+(M686*Assumptions!M$5),-2)</f>
        <v>28700</v>
      </c>
      <c r="O686" s="33">
        <f>ROUNDUP(N686+(N686*Assumptions!N$5),-2)</f>
        <v>29300</v>
      </c>
      <c r="P686" s="33">
        <f>ROUNDUP(O686+(O686*Assumptions!O$5),-2)</f>
        <v>29900</v>
      </c>
      <c r="Q686" s="33">
        <f>ROUNDUP(P686+(P686*Assumptions!P$5),-2)</f>
        <v>30500</v>
      </c>
      <c r="R686" s="114">
        <f>ROUNDUP(Q686+(Q686*Assumptions!Q$5),-2)</f>
        <v>31200</v>
      </c>
    </row>
    <row r="687" spans="1:18" x14ac:dyDescent="0.2">
      <c r="A687" s="107">
        <v>0</v>
      </c>
      <c r="B687" s="33">
        <v>0</v>
      </c>
      <c r="C687" s="76">
        <v>0</v>
      </c>
      <c r="D687" s="33">
        <v>0</v>
      </c>
      <c r="E687" s="821" t="s">
        <v>6630</v>
      </c>
      <c r="F687" s="891" t="s">
        <v>6631</v>
      </c>
      <c r="G687" s="33">
        <v>2000</v>
      </c>
      <c r="H687" s="138">
        <f>IF(D687=G687,0,IF(D687=0,100,(G687-D687)/D687*100))</f>
        <v>100</v>
      </c>
      <c r="I687" s="33">
        <v>0</v>
      </c>
      <c r="J687" s="33">
        <v>0</v>
      </c>
      <c r="K687" s="33">
        <v>0</v>
      </c>
      <c r="L687" s="33">
        <v>0</v>
      </c>
      <c r="M687" s="33">
        <v>0</v>
      </c>
      <c r="N687" s="33">
        <v>0</v>
      </c>
      <c r="O687" s="33">
        <v>0</v>
      </c>
      <c r="P687" s="33">
        <v>0</v>
      </c>
      <c r="Q687" s="33">
        <f>ROUNDUP(P687+(P687*Assumptions!P$5),-2)</f>
        <v>0</v>
      </c>
      <c r="R687" s="114">
        <f>ROUNDUP(Q687+(Q687*Assumptions!Q$5),-2)</f>
        <v>0</v>
      </c>
    </row>
    <row r="688" spans="1:18" x14ac:dyDescent="0.2">
      <c r="A688" s="107">
        <v>4400</v>
      </c>
      <c r="B688" s="33">
        <v>24700</v>
      </c>
      <c r="C688" s="76">
        <v>22200</v>
      </c>
      <c r="D688" s="33">
        <v>59900</v>
      </c>
      <c r="E688" s="343" t="s">
        <v>382</v>
      </c>
      <c r="F688" s="891" t="s">
        <v>6632</v>
      </c>
      <c r="G688" s="33">
        <f>34000+10000</f>
        <v>44000</v>
      </c>
      <c r="H688" s="138">
        <f>IF(D688=G688,0,IF(D688=0,100,(G688-D688)/D688*100))</f>
        <v>-26.544240400667778</v>
      </c>
      <c r="I688" s="33">
        <f>ROUNDUP(G688+(G688*Assumptions!H$5),-2)</f>
        <v>44700</v>
      </c>
      <c r="J688" s="33">
        <f>ROUNDUP(I688+(I688*Assumptions!I$5),-2)</f>
        <v>45900</v>
      </c>
      <c r="K688" s="33">
        <f>ROUNDUP(J688+(J688*Assumptions!J$5),-2)</f>
        <v>47100</v>
      </c>
      <c r="L688" s="33">
        <f>ROUNDUP(K688+(K688*Assumptions!K$5),-2)</f>
        <v>48300</v>
      </c>
      <c r="M688" s="33">
        <f>ROUNDUP(L688+(L688*Assumptions!L$5),-2)</f>
        <v>49300</v>
      </c>
      <c r="N688" s="33">
        <f>ROUNDUP(M688+(M688*Assumptions!M$5),-2)</f>
        <v>50300</v>
      </c>
      <c r="O688" s="33">
        <f>ROUNDUP(N688+(N688*Assumptions!N$5),-2)</f>
        <v>51400</v>
      </c>
      <c r="P688" s="33">
        <f>ROUNDUP(O688+(O688*Assumptions!O$5),-2)</f>
        <v>52500</v>
      </c>
      <c r="Q688" s="33">
        <f>ROUNDUP(P688+(P688*Assumptions!P$5),-2)</f>
        <v>53600</v>
      </c>
      <c r="R688" s="114">
        <f>ROUNDUP(Q688+(Q688*Assumptions!Q$5),-2)</f>
        <v>54700</v>
      </c>
    </row>
    <row r="689" spans="1:18" x14ac:dyDescent="0.2">
      <c r="A689" s="107"/>
      <c r="B689" s="33"/>
      <c r="D689" s="33"/>
      <c r="E689" s="343"/>
      <c r="F689" s="366"/>
      <c r="G689" s="33"/>
      <c r="H689" s="138"/>
      <c r="I689" s="33"/>
      <c r="J689" s="33"/>
      <c r="K689" s="33"/>
      <c r="L689" s="33"/>
      <c r="M689" s="33"/>
      <c r="N689" s="33"/>
      <c r="O689" s="33"/>
      <c r="P689" s="33"/>
      <c r="Q689" s="33"/>
      <c r="R689" s="114"/>
    </row>
    <row r="690" spans="1:18" x14ac:dyDescent="0.2">
      <c r="A690" s="107"/>
      <c r="B690" s="33"/>
      <c r="D690" s="33"/>
      <c r="E690" s="343"/>
      <c r="F690" s="371" t="s">
        <v>342</v>
      </c>
      <c r="G690" s="33"/>
      <c r="H690" s="138"/>
      <c r="I690" s="33"/>
      <c r="J690" s="33"/>
      <c r="K690" s="33"/>
      <c r="L690" s="33"/>
      <c r="M690" s="33"/>
      <c r="N690" s="33"/>
      <c r="O690" s="33"/>
      <c r="P690" s="33"/>
      <c r="Q690" s="33"/>
      <c r="R690" s="114"/>
    </row>
    <row r="691" spans="1:18" x14ac:dyDescent="0.2">
      <c r="A691" s="107">
        <v>89200</v>
      </c>
      <c r="B691" s="33">
        <v>94000</v>
      </c>
      <c r="C691" s="99">
        <v>97300</v>
      </c>
      <c r="D691" s="33">
        <v>99300</v>
      </c>
      <c r="E691" s="343" t="s">
        <v>1958</v>
      </c>
      <c r="F691" s="366" t="s">
        <v>2170</v>
      </c>
      <c r="G691" s="33">
        <v>102000</v>
      </c>
      <c r="H691" s="138">
        <f>IF(D691=G691,0,IF(D691=0,100,(G691-D691)/D691*100))</f>
        <v>2.7190332326283988</v>
      </c>
      <c r="I691" s="33">
        <f>ROUNDUP(G691+(G691*Assumptions!H$5),-2)</f>
        <v>103600</v>
      </c>
      <c r="J691" s="33">
        <f>ROUNDUP(I691+(I691*Assumptions!I$5),-2)</f>
        <v>106200</v>
      </c>
      <c r="K691" s="33">
        <f>ROUNDUP(J691+(J691*Assumptions!J$5),-2)</f>
        <v>108900</v>
      </c>
      <c r="L691" s="33">
        <f>ROUNDUP(K691+(K691*Assumptions!K$5),-2)</f>
        <v>111700</v>
      </c>
      <c r="M691" s="33">
        <f>ROUNDUP(L691+(L691*Assumptions!L$5),-2)</f>
        <v>114000</v>
      </c>
      <c r="N691" s="33">
        <f>ROUNDUP(M691+(M691*Assumptions!M$5),-2)</f>
        <v>116300</v>
      </c>
      <c r="O691" s="33">
        <f>ROUNDUP(N691+(N691*Assumptions!N$5),-2)</f>
        <v>118700</v>
      </c>
      <c r="P691" s="33">
        <f>ROUNDUP(O691+(O691*Assumptions!O$5),-2)</f>
        <v>121100</v>
      </c>
      <c r="Q691" s="33">
        <f>ROUNDUP(P691+(P691*Assumptions!P$5),-2)</f>
        <v>123600</v>
      </c>
      <c r="R691" s="114">
        <f>ROUNDUP(Q691+(Q691*Assumptions!Q$5),-2)</f>
        <v>126100</v>
      </c>
    </row>
    <row r="692" spans="1:18" x14ac:dyDescent="0.2">
      <c r="A692" s="107">
        <v>0</v>
      </c>
      <c r="B692" s="33">
        <v>23300</v>
      </c>
      <c r="C692" s="99">
        <v>0</v>
      </c>
      <c r="D692" s="33">
        <v>0</v>
      </c>
      <c r="E692" s="343" t="s">
        <v>1959</v>
      </c>
      <c r="F692" s="891" t="s">
        <v>4640</v>
      </c>
      <c r="G692" s="33">
        <v>8700</v>
      </c>
      <c r="H692" s="138">
        <f>IF(D692=G692,0,IF(D692=0,100,(G692-D692)/D692*100))</f>
        <v>100</v>
      </c>
      <c r="I692" s="33">
        <f>ROUNDUP(G692+(G692*Assumptions!H$5),-2)</f>
        <v>8900</v>
      </c>
      <c r="J692" s="33">
        <f>ROUNDUP(I692+(I692*Assumptions!I$5),-2)</f>
        <v>9200</v>
      </c>
      <c r="K692" s="33">
        <f>ROUNDUP(J692+(J692*Assumptions!J$5),-2)</f>
        <v>9500</v>
      </c>
      <c r="L692" s="33">
        <f>ROUNDUP(K692+(K692*Assumptions!K$5),-2)</f>
        <v>9800</v>
      </c>
      <c r="M692" s="33">
        <f>ROUNDUP(L692+(L692*Assumptions!L$5),-2)</f>
        <v>10000</v>
      </c>
      <c r="N692" s="33">
        <f>ROUNDUP(M692+(M692*Assumptions!M$5),-2)</f>
        <v>10200</v>
      </c>
      <c r="O692" s="33">
        <f>ROUNDUP(N692+(N692*Assumptions!N$5),-2)</f>
        <v>10500</v>
      </c>
      <c r="P692" s="33">
        <f>ROUNDUP(O692+(O692*Assumptions!O$5),-2)</f>
        <v>10800</v>
      </c>
      <c r="Q692" s="33">
        <f>ROUNDUP(P692+(P692*Assumptions!P$5),-2)</f>
        <v>11100</v>
      </c>
      <c r="R692" s="114">
        <f>ROUNDUP(Q692+(Q692*Assumptions!Q$5),-2)</f>
        <v>11400</v>
      </c>
    </row>
    <row r="693" spans="1:18" x14ac:dyDescent="0.2">
      <c r="A693" s="107"/>
      <c r="B693" s="33"/>
      <c r="D693" s="33"/>
      <c r="E693" s="343"/>
      <c r="F693" s="366"/>
      <c r="G693" s="33"/>
      <c r="H693" s="138"/>
      <c r="I693" s="33"/>
      <c r="J693" s="33"/>
      <c r="K693" s="33"/>
      <c r="L693" s="33"/>
      <c r="M693" s="33"/>
      <c r="N693" s="33"/>
      <c r="O693" s="33"/>
      <c r="P693" s="33"/>
      <c r="Q693" s="33"/>
      <c r="R693" s="114"/>
    </row>
    <row r="694" spans="1:18" x14ac:dyDescent="0.2">
      <c r="A694" s="107"/>
      <c r="B694" s="33"/>
      <c r="D694" s="33"/>
      <c r="E694" s="343"/>
      <c r="F694" s="371" t="s">
        <v>472</v>
      </c>
      <c r="G694" s="33"/>
      <c r="H694" s="138"/>
      <c r="I694" s="33"/>
      <c r="J694" s="33"/>
      <c r="K694" s="33"/>
      <c r="L694" s="33"/>
      <c r="M694" s="33"/>
      <c r="N694" s="33"/>
      <c r="O694" s="33"/>
      <c r="P694" s="33"/>
      <c r="Q694" s="33"/>
      <c r="R694" s="114"/>
    </row>
    <row r="695" spans="1:18" x14ac:dyDescent="0.2">
      <c r="A695" s="107">
        <v>23300</v>
      </c>
      <c r="B695" s="33">
        <v>22200</v>
      </c>
      <c r="C695" s="99">
        <v>30500</v>
      </c>
      <c r="D695" s="33">
        <v>21000</v>
      </c>
      <c r="E695" s="343" t="s">
        <v>1960</v>
      </c>
      <c r="F695" s="891" t="s">
        <v>3084</v>
      </c>
      <c r="G695" s="33">
        <v>25000</v>
      </c>
      <c r="H695" s="138">
        <f>IF(D695=G695,0,IF(D695=0,100,(G695-D695)/D695*100))</f>
        <v>19.047619047619047</v>
      </c>
      <c r="I695" s="33">
        <f>ROUNDUP(G695+(G695*Assumptions!H$5),-2)</f>
        <v>25400</v>
      </c>
      <c r="J695" s="33">
        <f>ROUNDUP(I695+(I695*Assumptions!I$5),-2)</f>
        <v>26100</v>
      </c>
      <c r="K695" s="33">
        <f>ROUNDUP(J695+(J695*Assumptions!J$5),-2)</f>
        <v>26800</v>
      </c>
      <c r="L695" s="33">
        <f>ROUNDUP(K695+(K695*Assumptions!K$5),-2)</f>
        <v>27500</v>
      </c>
      <c r="M695" s="33">
        <f>ROUNDUP(L695+(L695*Assumptions!L$5),-2)</f>
        <v>28100</v>
      </c>
      <c r="N695" s="33">
        <f>ROUNDUP(M695+(M695*Assumptions!M$5),-2)</f>
        <v>28700</v>
      </c>
      <c r="O695" s="33">
        <f>ROUNDUP(N695+(N695*Assumptions!N$5),-2)</f>
        <v>29300</v>
      </c>
      <c r="P695" s="33">
        <f>ROUNDUP(O695+(O695*Assumptions!O$5),-2)</f>
        <v>29900</v>
      </c>
      <c r="Q695" s="33">
        <f>ROUNDUP(P695+(P695*Assumptions!P$5),-2)</f>
        <v>30500</v>
      </c>
      <c r="R695" s="114">
        <f>ROUNDUP(Q695+(Q695*Assumptions!Q$5),-2)</f>
        <v>31200</v>
      </c>
    </row>
    <row r="696" spans="1:18" x14ac:dyDescent="0.2">
      <c r="A696" s="107"/>
      <c r="B696" s="33"/>
      <c r="C696" s="198"/>
      <c r="D696" s="33"/>
      <c r="E696" s="343"/>
      <c r="F696" s="351"/>
      <c r="G696" s="1011"/>
      <c r="H696" s="138"/>
      <c r="I696" s="33"/>
      <c r="J696" s="33"/>
      <c r="K696" s="33"/>
      <c r="L696" s="33"/>
      <c r="M696" s="33"/>
      <c r="N696" s="33"/>
      <c r="O696" s="33"/>
      <c r="P696" s="33"/>
      <c r="Q696" s="33"/>
      <c r="R696" s="114"/>
    </row>
    <row r="697" spans="1:18" x14ac:dyDescent="0.2">
      <c r="A697" s="107"/>
      <c r="B697" s="33"/>
      <c r="C697" s="198"/>
      <c r="D697" s="33"/>
      <c r="E697" s="343"/>
      <c r="F697" s="371" t="s">
        <v>1775</v>
      </c>
      <c r="G697" s="187"/>
      <c r="H697" s="138"/>
      <c r="I697" s="33"/>
      <c r="J697" s="33"/>
      <c r="K697" s="33"/>
      <c r="L697" s="33"/>
      <c r="M697" s="33"/>
      <c r="N697" s="33"/>
      <c r="O697" s="33"/>
      <c r="P697" s="33"/>
      <c r="Q697" s="33"/>
      <c r="R697" s="114"/>
    </row>
    <row r="698" spans="1:18" x14ac:dyDescent="0.2">
      <c r="A698" s="107">
        <v>-4487000</v>
      </c>
      <c r="B698" s="33">
        <v>-4920000</v>
      </c>
      <c r="C698" s="76">
        <v>-5057000</v>
      </c>
      <c r="D698" s="33">
        <v>-5402000</v>
      </c>
      <c r="E698" s="343" t="s">
        <v>1961</v>
      </c>
      <c r="F698" s="366" t="s">
        <v>1675</v>
      </c>
      <c r="G698" s="33">
        <f>-(G990+G991+G992+G993+G1047+G1164+CIV!G1619+CIV!G1735+CIV!G1827+CIV!G1992+'W&amp;W'!G222+'W&amp;W'!G418+NEWLOG!G35)</f>
        <v>-5584000</v>
      </c>
      <c r="H698" s="138">
        <f>IF(D698=G698,0,IF(D698=0,100,(G698-D698)/D698*100))</f>
        <v>3.3691225472047392</v>
      </c>
      <c r="I698" s="33">
        <f>-(I990+I991+I992+I993+I1047+I1164+CIV!I1619+CIV!I1735+CIV!I1827+CIV!I1992+'W&amp;W'!I222+'W&amp;W'!I418+NEWLOG!I35)</f>
        <v>-5634000</v>
      </c>
      <c r="J698" s="33">
        <f>-(J990+J991+J992+J993+J1047+J1164+CIV!J1619+CIV!J1735+CIV!J1827+CIV!J1992+'W&amp;W'!J222+'W&amp;W'!J418+NEWLOG!J35)</f>
        <v>-5774800</v>
      </c>
      <c r="K698" s="33">
        <f>-(K990+K991+K992+K993+K1047+K1164+CIV!K1619+CIV!K1735+CIV!K1827+CIV!K1992+'W&amp;W'!K222+'W&amp;W'!K418+NEWLOG!K35)</f>
        <v>-5919200</v>
      </c>
      <c r="L698" s="33">
        <f>-(L990+L991+L992+L993+L1047+L1164+CIV!L1619+CIV!L1735+CIV!L1827+CIV!L1992+'W&amp;W'!L222+'W&amp;W'!L418+NEWLOG!L35)</f>
        <v>-6067700</v>
      </c>
      <c r="M698" s="33">
        <f>-(M990+M991+M992+M993+M1047+M1164+CIV!M1619+CIV!M1735+CIV!M1827+CIV!M1992+'W&amp;W'!M222+'W&amp;W'!M418+NEWLOG!M35)</f>
        <v>-6189200</v>
      </c>
      <c r="N698" s="33">
        <f>-(N990+N991+N992+N993+N1047+N1164+CIV!N1619+CIV!N1735+CIV!N1827+CIV!N1992+'W&amp;W'!N222+'W&amp;W'!N418+NEWLOG!N35)</f>
        <v>-6265400</v>
      </c>
      <c r="O698" s="33">
        <f>-(O990+O991+O992+O993+O1047+O1164+CIV!O1619+CIV!O1735+CIV!O1827+CIV!O1992+'W&amp;W'!O222+'W&amp;W'!O418+NEWLOG!O35)</f>
        <v>-6390700</v>
      </c>
      <c r="P698" s="33">
        <f>-(P990+P991+P992+P993+P1047+P1164+CIV!P1619+CIV!P1735+CIV!P1827+CIV!P1992+'W&amp;W'!P222+'W&amp;W'!P418+NEWLOG!P35)</f>
        <v>-6518000</v>
      </c>
      <c r="Q698" s="33">
        <f>-(Q990+Q991+Q992+Q993+Q1047+Q1164+CIV!Q1619+CIV!Q1735+CIV!Q1827+CIV!Q1992+'W&amp;W'!Q222+'W&amp;W'!Q418+NEWLOG!Q35)</f>
        <v>-6648300</v>
      </c>
      <c r="R698" s="114">
        <f>-(R990+R991+R992+R993+R1047+R1164+CIV!R1619+CIV!R1735+CIV!R1827+CIV!R1992+'W&amp;W'!R222+'W&amp;W'!R418+NEWLOG!R35)</f>
        <v>-6781700</v>
      </c>
    </row>
    <row r="699" spans="1:18" ht="13.5" thickBot="1" x14ac:dyDescent="0.25">
      <c r="A699" s="70"/>
      <c r="B699" s="64"/>
      <c r="C699" s="79"/>
      <c r="D699" s="64"/>
      <c r="E699" s="252"/>
      <c r="F699" s="64"/>
      <c r="G699" s="33"/>
      <c r="H699" s="138"/>
      <c r="I699" s="33"/>
      <c r="J699" s="33"/>
      <c r="K699" s="33"/>
      <c r="L699" s="33"/>
      <c r="M699" s="33"/>
      <c r="N699" s="33"/>
      <c r="O699" s="33"/>
      <c r="P699" s="33"/>
      <c r="Q699" s="33"/>
      <c r="R699" s="114"/>
    </row>
    <row r="700" spans="1:18" s="92" customFormat="1" x14ac:dyDescent="0.2">
      <c r="A700" s="105">
        <f>SUM(A668:A699)</f>
        <v>-3187500</v>
      </c>
      <c r="B700" s="53">
        <f>SUM(B668:B699)</f>
        <v>-3495700</v>
      </c>
      <c r="C700" s="460">
        <f>SUM(C668:C699)</f>
        <v>-3774600</v>
      </c>
      <c r="D700" s="53">
        <f>SUM(D668:D699)</f>
        <v>-4086900</v>
      </c>
      <c r="E700" s="2514"/>
      <c r="F700" s="378" t="s">
        <v>565</v>
      </c>
      <c r="G700" s="53">
        <f t="shared" ref="G700:P700" si="740">SUM(G668:G699)</f>
        <v>-4197500</v>
      </c>
      <c r="H700" s="2485">
        <f>IF(D700=G700,0,IF(D700=0,100,(G700-D700)/D700*100))</f>
        <v>2.7062076390418164</v>
      </c>
      <c r="I700" s="53">
        <f t="shared" si="740"/>
        <v>-4174800</v>
      </c>
      <c r="J700" s="53">
        <f t="shared" si="740"/>
        <v>-4278300</v>
      </c>
      <c r="K700" s="53">
        <f t="shared" si="740"/>
        <v>-4384600</v>
      </c>
      <c r="L700" s="53">
        <f t="shared" si="740"/>
        <v>-4494000</v>
      </c>
      <c r="M700" s="53">
        <f t="shared" si="740"/>
        <v>-4577100</v>
      </c>
      <c r="N700" s="53">
        <f t="shared" si="740"/>
        <v>-4614200</v>
      </c>
      <c r="O700" s="53">
        <f t="shared" si="740"/>
        <v>-4699300</v>
      </c>
      <c r="P700" s="53">
        <f t="shared" si="740"/>
        <v>-4785500</v>
      </c>
      <c r="Q700" s="53">
        <f t="shared" ref="Q700" si="741">SUM(Q668:Q699)</f>
        <v>-4873600</v>
      </c>
      <c r="R700" s="113">
        <f t="shared" ref="R700" si="742">SUM(R668:R699)</f>
        <v>-4963800</v>
      </c>
    </row>
    <row r="701" spans="1:18" x14ac:dyDescent="0.2">
      <c r="A701" s="107"/>
      <c r="B701" s="33"/>
      <c r="C701" s="33"/>
      <c r="D701" s="142"/>
      <c r="E701" s="255"/>
      <c r="F701" s="366"/>
      <c r="G701" s="33"/>
      <c r="H701" s="138"/>
      <c r="I701" s="64"/>
      <c r="J701" s="33"/>
      <c r="K701" s="33"/>
      <c r="L701" s="33"/>
      <c r="M701" s="33"/>
      <c r="N701" s="33"/>
      <c r="O701" s="33"/>
      <c r="P701" s="33"/>
      <c r="Q701" s="33"/>
      <c r="R701" s="114"/>
    </row>
    <row r="702" spans="1:18" s="92" customFormat="1" x14ac:dyDescent="0.2">
      <c r="A702" s="70">
        <f>A666-A700</f>
        <v>3342700</v>
      </c>
      <c r="B702" s="64">
        <f>B666-B700</f>
        <v>3687400</v>
      </c>
      <c r="C702" s="64">
        <f>C666-C700</f>
        <v>3978500</v>
      </c>
      <c r="D702" s="128">
        <f>D666-D700</f>
        <v>4360900</v>
      </c>
      <c r="E702" s="282"/>
      <c r="F702" s="516" t="s">
        <v>1019</v>
      </c>
      <c r="G702" s="64">
        <f t="shared" ref="G702:P702" si="743">G666-G700</f>
        <v>4430200</v>
      </c>
      <c r="H702" s="179">
        <f>IF(D702=G702,0,IF(D702=0,100,(G702-D702)/D702*100))</f>
        <v>1.5891215116145749</v>
      </c>
      <c r="I702" s="64">
        <f t="shared" si="743"/>
        <v>4410600</v>
      </c>
      <c r="J702" s="64">
        <f t="shared" si="743"/>
        <v>4521100</v>
      </c>
      <c r="K702" s="64">
        <f t="shared" si="743"/>
        <v>4634600</v>
      </c>
      <c r="L702" s="64">
        <f t="shared" si="743"/>
        <v>4749700</v>
      </c>
      <c r="M702" s="64">
        <f t="shared" si="743"/>
        <v>4838000</v>
      </c>
      <c r="N702" s="64">
        <f t="shared" si="743"/>
        <v>4880400</v>
      </c>
      <c r="O702" s="64">
        <f t="shared" si="743"/>
        <v>4970900</v>
      </c>
      <c r="P702" s="64">
        <f t="shared" si="743"/>
        <v>5062700</v>
      </c>
      <c r="Q702" s="64">
        <f t="shared" ref="Q702" si="744">Q666-Q700</f>
        <v>5156400</v>
      </c>
      <c r="R702" s="115">
        <f t="shared" ref="R702" si="745">R666-R700</f>
        <v>5252400</v>
      </c>
    </row>
    <row r="703" spans="1:18" x14ac:dyDescent="0.2">
      <c r="A703" s="107"/>
      <c r="B703" s="33"/>
      <c r="C703" s="33"/>
      <c r="D703" s="142"/>
      <c r="E703" s="255"/>
      <c r="F703" s="372"/>
      <c r="G703" s="33"/>
      <c r="H703" s="138"/>
      <c r="I703" s="33"/>
      <c r="J703" s="33"/>
      <c r="K703" s="33"/>
      <c r="L703" s="33"/>
      <c r="M703" s="33"/>
      <c r="N703" s="33"/>
      <c r="O703" s="33"/>
      <c r="P703" s="33"/>
      <c r="Q703" s="33"/>
      <c r="R703" s="114"/>
    </row>
    <row r="704" spans="1:18" s="92" customFormat="1" x14ac:dyDescent="0.2">
      <c r="A704" s="181">
        <f>A702+A703</f>
        <v>3342700</v>
      </c>
      <c r="B704" s="397">
        <f>B702+B703</f>
        <v>3687400</v>
      </c>
      <c r="C704" s="397">
        <f>C702+C703</f>
        <v>3978500</v>
      </c>
      <c r="D704" s="377">
        <f>D702+D703</f>
        <v>4360900</v>
      </c>
      <c r="E704" s="514"/>
      <c r="F704" s="518" t="s">
        <v>1687</v>
      </c>
      <c r="G704" s="397">
        <f t="shared" ref="G704:O704" si="746">G702+G703</f>
        <v>4430200</v>
      </c>
      <c r="H704" s="395">
        <f>IF(D704=G704,0,IF(D704=0,100,(G704-D704)/D704*100))</f>
        <v>1.5891215116145749</v>
      </c>
      <c r="I704" s="397">
        <f t="shared" si="746"/>
        <v>4410600</v>
      </c>
      <c r="J704" s="397">
        <f t="shared" si="746"/>
        <v>4521100</v>
      </c>
      <c r="K704" s="397">
        <f t="shared" si="746"/>
        <v>4634600</v>
      </c>
      <c r="L704" s="397">
        <f t="shared" si="746"/>
        <v>4749700</v>
      </c>
      <c r="M704" s="397">
        <f t="shared" si="746"/>
        <v>4838000</v>
      </c>
      <c r="N704" s="397">
        <f t="shared" si="746"/>
        <v>4880400</v>
      </c>
      <c r="O704" s="397">
        <f t="shared" si="746"/>
        <v>4970900</v>
      </c>
      <c r="P704" s="397">
        <f t="shared" ref="P704:Q704" si="747">P702+P703</f>
        <v>5062700</v>
      </c>
      <c r="Q704" s="397">
        <f t="shared" si="747"/>
        <v>5156400</v>
      </c>
      <c r="R704" s="399">
        <f t="shared" ref="R704" si="748">R702+R703</f>
        <v>5252400</v>
      </c>
    </row>
    <row r="705" spans="1:18" ht="13.5" thickBot="1" x14ac:dyDescent="0.25">
      <c r="A705" s="73"/>
      <c r="B705" s="90"/>
      <c r="C705" s="90"/>
      <c r="D705" s="90"/>
      <c r="E705" s="285"/>
      <c r="F705" s="141"/>
      <c r="G705" s="66"/>
      <c r="H705" s="392"/>
      <c r="I705" s="121"/>
      <c r="J705" s="121"/>
      <c r="K705" s="121"/>
      <c r="L705" s="121"/>
      <c r="M705" s="121"/>
      <c r="N705" s="121"/>
      <c r="O705" s="121"/>
      <c r="P705" s="121"/>
      <c r="Q705" s="121"/>
      <c r="R705" s="161"/>
    </row>
    <row r="706" spans="1:18" ht="13.5" thickTop="1" x14ac:dyDescent="0.2">
      <c r="A706" s="383"/>
      <c r="B706" s="122"/>
      <c r="C706" s="162"/>
      <c r="D706" s="162"/>
      <c r="E706" s="286"/>
      <c r="F706" s="367"/>
      <c r="G706" s="127"/>
      <c r="H706" s="393"/>
      <c r="I706" s="127"/>
      <c r="J706" s="127"/>
      <c r="K706" s="127"/>
      <c r="L706" s="127"/>
      <c r="M706" s="127"/>
      <c r="N706" s="127"/>
      <c r="O706" s="127"/>
      <c r="P706" s="127"/>
      <c r="Q706" s="127"/>
      <c r="R706" s="163"/>
    </row>
    <row r="707" spans="1:18" x14ac:dyDescent="0.2">
      <c r="A707" s="70"/>
      <c r="B707" s="128"/>
      <c r="C707" s="64"/>
      <c r="D707" s="64"/>
      <c r="E707" s="283"/>
      <c r="F707" s="516" t="s">
        <v>196</v>
      </c>
      <c r="G707" s="33"/>
      <c r="H707" s="1990"/>
      <c r="I707" s="33"/>
      <c r="J707" s="33"/>
      <c r="K707" s="33"/>
      <c r="L707" s="33"/>
      <c r="M707" s="33"/>
      <c r="N707" s="33"/>
      <c r="O707" s="33"/>
      <c r="P707" s="33"/>
      <c r="Q707" s="33"/>
      <c r="R707" s="114"/>
    </row>
    <row r="708" spans="1:18" x14ac:dyDescent="0.2">
      <c r="A708" s="107">
        <v>0</v>
      </c>
      <c r="B708" s="142">
        <v>0</v>
      </c>
      <c r="C708" s="33">
        <v>0</v>
      </c>
      <c r="D708" s="33">
        <v>0</v>
      </c>
      <c r="E708" s="238"/>
      <c r="F708" s="366" t="s">
        <v>2900</v>
      </c>
      <c r="G708" s="33">
        <v>0</v>
      </c>
      <c r="H708" s="1959"/>
      <c r="I708" s="33"/>
      <c r="J708" s="33"/>
      <c r="K708" s="33"/>
      <c r="L708" s="33"/>
      <c r="M708" s="33"/>
      <c r="N708" s="33"/>
      <c r="O708" s="33"/>
      <c r="P708" s="33"/>
      <c r="Q708" s="33"/>
      <c r="R708" s="114"/>
    </row>
    <row r="709" spans="1:18" x14ac:dyDescent="0.2">
      <c r="A709" s="107">
        <v>8000</v>
      </c>
      <c r="B709" s="142">
        <v>0</v>
      </c>
      <c r="C709" s="142">
        <v>0</v>
      </c>
      <c r="D709" s="142">
        <f>'Res-Gen'!B44</f>
        <v>103500</v>
      </c>
      <c r="E709" s="238"/>
      <c r="F709" s="366" t="s">
        <v>1942</v>
      </c>
      <c r="G709" s="33">
        <v>0</v>
      </c>
      <c r="H709" s="1959"/>
      <c r="I709" s="33">
        <v>0</v>
      </c>
      <c r="J709" s="33">
        <v>0</v>
      </c>
      <c r="K709" s="33">
        <v>0</v>
      </c>
      <c r="L709" s="33">
        <v>0</v>
      </c>
      <c r="M709" s="33">
        <v>0</v>
      </c>
      <c r="N709" s="33">
        <v>0</v>
      </c>
      <c r="O709" s="33">
        <v>0</v>
      </c>
      <c r="P709" s="33">
        <v>0</v>
      </c>
      <c r="Q709" s="33">
        <v>0</v>
      </c>
      <c r="R709" s="114">
        <v>0</v>
      </c>
    </row>
    <row r="710" spans="1:18" x14ac:dyDescent="0.2">
      <c r="A710" s="107">
        <v>7000</v>
      </c>
      <c r="B710" s="142">
        <v>0</v>
      </c>
      <c r="C710" s="142">
        <v>0</v>
      </c>
      <c r="D710" s="33">
        <v>0</v>
      </c>
      <c r="E710" s="238"/>
      <c r="F710" s="366" t="s">
        <v>2348</v>
      </c>
      <c r="G710" s="33">
        <v>0</v>
      </c>
      <c r="H710" s="1959"/>
      <c r="I710" s="33">
        <v>0</v>
      </c>
      <c r="J710" s="33">
        <v>0</v>
      </c>
      <c r="K710" s="33">
        <v>0</v>
      </c>
      <c r="L710" s="33">
        <v>0</v>
      </c>
      <c r="M710" s="33">
        <v>0</v>
      </c>
      <c r="N710" s="33">
        <v>0</v>
      </c>
      <c r="O710" s="33">
        <v>0</v>
      </c>
      <c r="P710" s="33">
        <v>0</v>
      </c>
      <c r="Q710" s="33">
        <v>0</v>
      </c>
      <c r="R710" s="114">
        <v>0</v>
      </c>
    </row>
    <row r="711" spans="1:18" x14ac:dyDescent="0.2">
      <c r="A711" s="107">
        <v>0</v>
      </c>
      <c r="B711" s="142">
        <v>0</v>
      </c>
      <c r="C711" s="33">
        <v>0</v>
      </c>
      <c r="D711" s="33">
        <v>0</v>
      </c>
      <c r="E711" s="238"/>
      <c r="F711" s="366" t="s">
        <v>5984</v>
      </c>
      <c r="G711" s="33">
        <v>0</v>
      </c>
      <c r="H711" s="1959"/>
      <c r="I711" s="33">
        <v>0</v>
      </c>
      <c r="J711" s="33">
        <v>0</v>
      </c>
      <c r="K711" s="33">
        <v>0</v>
      </c>
      <c r="L711" s="33">
        <v>0</v>
      </c>
      <c r="M711" s="33">
        <v>0</v>
      </c>
      <c r="N711" s="33">
        <v>0</v>
      </c>
      <c r="O711" s="33">
        <v>0</v>
      </c>
      <c r="P711" s="33">
        <v>0</v>
      </c>
      <c r="Q711" s="33">
        <v>0</v>
      </c>
      <c r="R711" s="114">
        <v>0</v>
      </c>
    </row>
    <row r="712" spans="1:18" x14ac:dyDescent="0.2">
      <c r="A712" s="107">
        <v>0</v>
      </c>
      <c r="B712" s="142">
        <v>0</v>
      </c>
      <c r="C712" s="33">
        <v>0</v>
      </c>
      <c r="D712" s="33">
        <v>0</v>
      </c>
      <c r="E712" s="238"/>
      <c r="F712" s="366" t="s">
        <v>972</v>
      </c>
      <c r="G712" s="33">
        <v>0</v>
      </c>
      <c r="H712" s="1959"/>
      <c r="I712" s="33">
        <v>0</v>
      </c>
      <c r="J712" s="33">
        <v>0</v>
      </c>
      <c r="K712" s="33">
        <v>0</v>
      </c>
      <c r="L712" s="33">
        <v>0</v>
      </c>
      <c r="M712" s="33">
        <v>0</v>
      </c>
      <c r="N712" s="33">
        <v>0</v>
      </c>
      <c r="O712" s="33">
        <v>0</v>
      </c>
      <c r="P712" s="33">
        <v>0</v>
      </c>
      <c r="Q712" s="33">
        <v>0</v>
      </c>
      <c r="R712" s="114">
        <v>0</v>
      </c>
    </row>
    <row r="713" spans="1:18" s="92" customFormat="1" x14ac:dyDescent="0.2">
      <c r="A713" s="181">
        <f>A704-A708-A709+A710++A711-A712</f>
        <v>3341700</v>
      </c>
      <c r="B713" s="377">
        <f>B704-B708-B709+B710++B711-B712</f>
        <v>3687400</v>
      </c>
      <c r="C713" s="397">
        <f>C704-C708-C709+C710++C711-C712</f>
        <v>3978500</v>
      </c>
      <c r="D713" s="397">
        <f>D704-D708-D709+D710++D711-D712</f>
        <v>4257400</v>
      </c>
      <c r="E713" s="517"/>
      <c r="F713" s="518" t="s">
        <v>2490</v>
      </c>
      <c r="G713" s="397">
        <f t="shared" ref="G713:P713" si="749">G704-G708-G709+G710++G711-G712</f>
        <v>4430200</v>
      </c>
      <c r="H713" s="395">
        <f>IF(D713=G713,0,IF(D713=0,100,(G713-D713)/D713*100))</f>
        <v>4.0588152393479593</v>
      </c>
      <c r="I713" s="397">
        <f t="shared" si="749"/>
        <v>4410600</v>
      </c>
      <c r="J713" s="397">
        <f t="shared" si="749"/>
        <v>4521100</v>
      </c>
      <c r="K713" s="397">
        <f t="shared" si="749"/>
        <v>4634600</v>
      </c>
      <c r="L713" s="397">
        <f t="shared" si="749"/>
        <v>4749700</v>
      </c>
      <c r="M713" s="397">
        <f t="shared" si="749"/>
        <v>4838000</v>
      </c>
      <c r="N713" s="397">
        <f t="shared" si="749"/>
        <v>4880400</v>
      </c>
      <c r="O713" s="397">
        <f t="shared" si="749"/>
        <v>4970900</v>
      </c>
      <c r="P713" s="397">
        <f t="shared" si="749"/>
        <v>5062700</v>
      </c>
      <c r="Q713" s="397">
        <f t="shared" ref="Q713" si="750">Q704-Q708-Q709+Q710++Q711-Q712</f>
        <v>5156400</v>
      </c>
      <c r="R713" s="399">
        <f t="shared" ref="R713" si="751">R704-R708-R709+R710++R711-R712</f>
        <v>5252400</v>
      </c>
    </row>
    <row r="714" spans="1:18" ht="13.5" thickBot="1" x14ac:dyDescent="0.25">
      <c r="A714" s="73"/>
      <c r="B714" s="134"/>
      <c r="C714" s="90"/>
      <c r="D714" s="90"/>
      <c r="E714" s="284"/>
      <c r="F714" s="368"/>
      <c r="G714" s="66"/>
      <c r="H714" s="394"/>
      <c r="I714" s="66"/>
      <c r="J714" s="66"/>
      <c r="K714" s="66"/>
      <c r="L714" s="66"/>
      <c r="M714" s="66"/>
      <c r="N714" s="66"/>
      <c r="O714" s="66"/>
      <c r="P714" s="66"/>
      <c r="Q714" s="66"/>
      <c r="R714" s="165"/>
    </row>
    <row r="715" spans="1:18" ht="14.25" thickTop="1" thickBot="1" x14ac:dyDescent="0.25">
      <c r="A715" s="99"/>
      <c r="B715" s="99"/>
      <c r="E715" s="283"/>
      <c r="F715" s="108"/>
      <c r="H715" s="123"/>
    </row>
    <row r="716" spans="1:18" s="91" customFormat="1" ht="18.75" customHeight="1" thickTop="1" thickBot="1" x14ac:dyDescent="0.3">
      <c r="A716" s="2862" t="str">
        <f>A243</f>
        <v>INFORMATION SERVICES</v>
      </c>
      <c r="B716" s="2863"/>
      <c r="C716" s="2863"/>
      <c r="D716" s="2863"/>
      <c r="E716" s="2863"/>
      <c r="F716" s="2863"/>
      <c r="G716" s="2863"/>
      <c r="H716" s="2863"/>
      <c r="I716" s="2863"/>
      <c r="J716" s="2863"/>
      <c r="K716" s="2863"/>
      <c r="L716" s="2863"/>
      <c r="M716" s="2863"/>
      <c r="N716" s="2863"/>
      <c r="O716" s="2863"/>
      <c r="P716" s="2863"/>
      <c r="Q716" s="2863"/>
      <c r="R716" s="2864"/>
    </row>
    <row r="717" spans="1:18" s="44" customFormat="1" x14ac:dyDescent="0.2">
      <c r="A717" s="2888" t="s">
        <v>1856</v>
      </c>
      <c r="B717" s="2889"/>
      <c r="C717" s="2889"/>
      <c r="D717" s="2890"/>
      <c r="E717" s="513" t="s">
        <v>2663</v>
      </c>
      <c r="F717" s="2649" t="s">
        <v>2251</v>
      </c>
      <c r="G717" s="2885" t="s">
        <v>2253</v>
      </c>
      <c r="H717" s="2886"/>
      <c r="I717" s="2886"/>
      <c r="J717" s="2886"/>
      <c r="K717" s="2886"/>
      <c r="L717" s="2886"/>
      <c r="M717" s="2886"/>
      <c r="N717" s="2886"/>
      <c r="O717" s="2886"/>
      <c r="P717" s="2886"/>
      <c r="Q717" s="2886"/>
      <c r="R717" s="2887"/>
    </row>
    <row r="718" spans="1:18" s="23" customFormat="1" ht="12.75" customHeight="1" thickBot="1" x14ac:dyDescent="0.25">
      <c r="A718" s="208" t="str">
        <f>A3</f>
        <v>2012/13</v>
      </c>
      <c r="B718" s="218" t="str">
        <f>B3</f>
        <v>2013/14</v>
      </c>
      <c r="C718" s="370" t="str">
        <f>C3</f>
        <v>2014/15</v>
      </c>
      <c r="D718" s="93" t="str">
        <f>D3</f>
        <v>2015/16</v>
      </c>
      <c r="E718" s="370" t="str">
        <f>E543</f>
        <v>ACCOUNT</v>
      </c>
      <c r="F718" s="42"/>
      <c r="G718" s="93" t="str">
        <f>G3</f>
        <v>2016/17</v>
      </c>
      <c r="H718" s="436" t="str">
        <f>H543</f>
        <v>%</v>
      </c>
      <c r="I718" s="370" t="str">
        <f t="shared" ref="I718:R718" si="752">I3</f>
        <v>2017/18</v>
      </c>
      <c r="J718" s="370" t="str">
        <f t="shared" si="752"/>
        <v>2018/19</v>
      </c>
      <c r="K718" s="370" t="str">
        <f t="shared" si="752"/>
        <v>2019/20</v>
      </c>
      <c r="L718" s="370" t="str">
        <f t="shared" si="752"/>
        <v>2020/21</v>
      </c>
      <c r="M718" s="370" t="str">
        <f t="shared" si="752"/>
        <v>2021/22</v>
      </c>
      <c r="N718" s="370" t="str">
        <f t="shared" si="752"/>
        <v>2022/23</v>
      </c>
      <c r="O718" s="370" t="str">
        <f t="shared" si="752"/>
        <v>2023/24</v>
      </c>
      <c r="P718" s="370" t="str">
        <f t="shared" si="752"/>
        <v>2024/25</v>
      </c>
      <c r="Q718" s="218" t="str">
        <f t="shared" si="752"/>
        <v>2025/26</v>
      </c>
      <c r="R718" s="549" t="str">
        <f t="shared" si="752"/>
        <v>2026/27</v>
      </c>
    </row>
    <row r="719" spans="1:18" x14ac:dyDescent="0.2">
      <c r="A719" s="98"/>
      <c r="B719" s="76"/>
      <c r="C719" s="76"/>
      <c r="D719" s="169"/>
      <c r="E719" s="252"/>
      <c r="F719" s="74"/>
      <c r="G719" s="169"/>
      <c r="H719" s="1707"/>
      <c r="I719" s="33"/>
      <c r="J719" s="33"/>
      <c r="K719" s="33"/>
      <c r="L719" s="33"/>
      <c r="M719" s="33"/>
      <c r="N719" s="33"/>
      <c r="O719" s="33"/>
      <c r="P719" s="33"/>
      <c r="Q719" s="33"/>
      <c r="R719" s="114"/>
    </row>
    <row r="720" spans="1:18" x14ac:dyDescent="0.2">
      <c r="A720" s="107"/>
      <c r="B720" s="142"/>
      <c r="C720" s="33"/>
      <c r="D720" s="33"/>
      <c r="E720" s="255"/>
      <c r="F720" s="365" t="s">
        <v>1073</v>
      </c>
      <c r="G720" s="33"/>
      <c r="H720" s="138"/>
      <c r="I720" s="33"/>
      <c r="J720" s="33"/>
      <c r="K720" s="33"/>
      <c r="L720" s="33"/>
      <c r="M720" s="33"/>
      <c r="N720" s="33"/>
      <c r="O720" s="33"/>
      <c r="P720" s="33"/>
      <c r="Q720" s="33"/>
      <c r="R720" s="114"/>
    </row>
    <row r="721" spans="1:18" x14ac:dyDescent="0.2">
      <c r="A721" s="98"/>
      <c r="B721" s="76"/>
      <c r="C721" s="33"/>
      <c r="D721" s="33"/>
      <c r="E721" s="252"/>
      <c r="F721" s="144"/>
      <c r="G721" s="33"/>
      <c r="H721" s="138"/>
      <c r="I721" s="33"/>
      <c r="J721" s="33"/>
      <c r="K721" s="33"/>
      <c r="L721" s="33"/>
      <c r="M721" s="33"/>
      <c r="N721" s="33"/>
      <c r="O721" s="33"/>
      <c r="P721" s="33"/>
      <c r="Q721" s="33"/>
      <c r="R721" s="114"/>
    </row>
    <row r="722" spans="1:18" x14ac:dyDescent="0.2">
      <c r="A722" s="98"/>
      <c r="B722" s="76"/>
      <c r="C722" s="33"/>
      <c r="D722" s="33"/>
      <c r="E722" s="252"/>
      <c r="F722" s="8" t="s">
        <v>3242</v>
      </c>
      <c r="G722" s="33"/>
      <c r="H722" s="138"/>
      <c r="I722" s="33"/>
      <c r="J722" s="33"/>
      <c r="K722" s="33"/>
      <c r="L722" s="33"/>
      <c r="M722" s="33"/>
      <c r="N722" s="33"/>
      <c r="O722" s="33"/>
      <c r="P722" s="33"/>
      <c r="Q722" s="33"/>
      <c r="R722" s="114"/>
    </row>
    <row r="723" spans="1:18" x14ac:dyDescent="0.2">
      <c r="A723" s="107">
        <v>2000</v>
      </c>
      <c r="B723" s="33">
        <v>11100</v>
      </c>
      <c r="C723" s="33">
        <v>11500</v>
      </c>
      <c r="D723" s="33">
        <v>300</v>
      </c>
      <c r="E723" s="344" t="s">
        <v>2479</v>
      </c>
      <c r="F723" s="3" t="s">
        <v>1853</v>
      </c>
      <c r="G723" s="33">
        <v>3000</v>
      </c>
      <c r="H723" s="138">
        <f>IF(D723=G723,0,IF(D723=0,100,(G723-D723)/D723*100))</f>
        <v>900</v>
      </c>
      <c r="I723" s="33">
        <v>3000</v>
      </c>
      <c r="J723" s="33">
        <f>ROUNDUP(I723+(I723*Assumptions!I$5),-2)</f>
        <v>3100</v>
      </c>
      <c r="K723" s="33">
        <f>ROUNDUP(J723+(J723*Assumptions!J$5),-2)</f>
        <v>3200</v>
      </c>
      <c r="L723" s="33">
        <f>ROUNDUP(K723+(K723*Assumptions!K$5),-2)</f>
        <v>3300</v>
      </c>
      <c r="M723" s="33">
        <f>ROUNDUP(L723+(L723*Assumptions!L$5),-2)</f>
        <v>3400</v>
      </c>
      <c r="N723" s="33">
        <f>ROUNDUP(M723+(M723*Assumptions!M$5),-2)</f>
        <v>3500</v>
      </c>
      <c r="O723" s="33">
        <f>ROUNDUP(N723+(N723*Assumptions!N$5),-2)</f>
        <v>3600</v>
      </c>
      <c r="P723" s="33">
        <f>ROUNDUP(O723+(O723*Assumptions!O$5),-2)</f>
        <v>3700</v>
      </c>
      <c r="Q723" s="33">
        <f>ROUNDUP(P723+(P723*Assumptions!P$5),-2)</f>
        <v>3800</v>
      </c>
      <c r="R723" s="114">
        <f>ROUNDUP(Q723+(Q723*Assumptions!Q$5),-2)</f>
        <v>3900</v>
      </c>
    </row>
    <row r="724" spans="1:18" x14ac:dyDescent="0.2">
      <c r="A724" s="107">
        <v>0</v>
      </c>
      <c r="B724" s="33">
        <v>0</v>
      </c>
      <c r="C724" s="33">
        <v>3300</v>
      </c>
      <c r="D724" s="33">
        <v>300</v>
      </c>
      <c r="E724" s="811" t="s">
        <v>4286</v>
      </c>
      <c r="F724" s="890" t="s">
        <v>4287</v>
      </c>
      <c r="G724" s="33">
        <v>0</v>
      </c>
      <c r="H724" s="138">
        <f>IF(D724=G724,0,IF(D724=0,100,(G724-D724)/D724*100))</f>
        <v>-100</v>
      </c>
      <c r="I724" s="33">
        <f>ROUNDUP(G724+(G724*Assumptions!H$5),-2)</f>
        <v>0</v>
      </c>
      <c r="J724" s="33">
        <f>ROUNDUP(I724+(I724*Assumptions!I$5),-2)</f>
        <v>0</v>
      </c>
      <c r="K724" s="33">
        <f>ROUNDUP(J724+(J724*Assumptions!J$5),-2)</f>
        <v>0</v>
      </c>
      <c r="L724" s="33">
        <f>ROUNDUP(K724+(K724*Assumptions!K$5),-2)</f>
        <v>0</v>
      </c>
      <c r="M724" s="33">
        <f>ROUNDUP(L724+(L724*Assumptions!L$5),-2)</f>
        <v>0</v>
      </c>
      <c r="N724" s="33">
        <f>ROUNDUP(M724+(M724*Assumptions!M$5),-2)</f>
        <v>0</v>
      </c>
      <c r="O724" s="33">
        <f>ROUNDUP(N724+(N724*Assumptions!N$5),-2)</f>
        <v>0</v>
      </c>
      <c r="P724" s="33">
        <f>ROUNDUP(O724+(O724*Assumptions!O$5),-2)</f>
        <v>0</v>
      </c>
      <c r="Q724" s="33">
        <f>ROUNDUP(P724+(P724*Assumptions!P$5),-2)</f>
        <v>0</v>
      </c>
      <c r="R724" s="114">
        <f>ROUNDUP(Q724+(Q724*Assumptions!Q$5),-2)</f>
        <v>0</v>
      </c>
    </row>
    <row r="725" spans="1:18" x14ac:dyDescent="0.2">
      <c r="A725" s="107">
        <v>300</v>
      </c>
      <c r="B725" s="33">
        <v>500</v>
      </c>
      <c r="C725" s="33">
        <v>1500</v>
      </c>
      <c r="D725" s="33">
        <v>1300</v>
      </c>
      <c r="E725" s="811" t="s">
        <v>6293</v>
      </c>
      <c r="F725" s="1099" t="s">
        <v>6120</v>
      </c>
      <c r="G725" s="132">
        <f>138000+1000+35000</f>
        <v>174000</v>
      </c>
      <c r="H725" s="138">
        <f>IF(D725=G725,0,IF(D725=0,100,(G725-D725)/D725*100))</f>
        <v>13284.615384615385</v>
      </c>
      <c r="I725" s="33">
        <v>100000</v>
      </c>
      <c r="J725" s="33">
        <f>ROUNDUP(I725+(I725*Assumptions!I$5),-2)</f>
        <v>102500</v>
      </c>
      <c r="K725" s="33">
        <f>ROUNDUP(J725+(J725*Assumptions!J$5),-2)</f>
        <v>105100</v>
      </c>
      <c r="L725" s="33">
        <f>ROUNDUP(K725+(K725*Assumptions!K$5),-2)</f>
        <v>107800</v>
      </c>
      <c r="M725" s="33">
        <f>ROUNDUP(L725+(L725*Assumptions!L$5),-2)</f>
        <v>110000</v>
      </c>
      <c r="N725" s="33">
        <f>ROUNDUP(M725+(M725*Assumptions!M$5),-2)</f>
        <v>112200</v>
      </c>
      <c r="O725" s="33">
        <f>ROUNDUP(N725+(N725*Assumptions!N$5),-2)</f>
        <v>114500</v>
      </c>
      <c r="P725" s="33">
        <f>ROUNDUP(O725+(O725*Assumptions!O$5),-2)</f>
        <v>116800</v>
      </c>
      <c r="Q725" s="33">
        <f>ROUNDUP(P725+(P725*Assumptions!P$5),-2)</f>
        <v>119200</v>
      </c>
      <c r="R725" s="114">
        <f>ROUNDUP(Q725+(Q725*Assumptions!Q$5),-2)</f>
        <v>121600</v>
      </c>
    </row>
    <row r="726" spans="1:18" x14ac:dyDescent="0.2">
      <c r="A726" s="107">
        <v>2000</v>
      </c>
      <c r="B726" s="33">
        <v>2000</v>
      </c>
      <c r="C726" s="33">
        <v>1300</v>
      </c>
      <c r="D726" s="33">
        <v>1200</v>
      </c>
      <c r="E726" s="344" t="s">
        <v>20</v>
      </c>
      <c r="F726" s="3" t="s">
        <v>21</v>
      </c>
      <c r="G726" s="33">
        <f>2600-2600</f>
        <v>0</v>
      </c>
      <c r="H726" s="138">
        <f>IF(D726=G726,0,IF(D726=0,100,(G726-D726)/D726*100))</f>
        <v>-100</v>
      </c>
      <c r="I726" s="33">
        <f>ROUNDUP(G726+(G726*Assumptions!H$5),-2)</f>
        <v>0</v>
      </c>
      <c r="J726" s="33">
        <f>ROUNDUP(I726+(I726*Assumptions!I$5),-2)</f>
        <v>0</v>
      </c>
      <c r="K726" s="33">
        <f>ROUNDUP(J726+(J726*Assumptions!J$5),-2)</f>
        <v>0</v>
      </c>
      <c r="L726" s="33">
        <f>ROUNDUP(K726+(K726*Assumptions!K$5),-2)</f>
        <v>0</v>
      </c>
      <c r="M726" s="33">
        <f>ROUNDUP(L726+(L726*Assumptions!L$5),-2)</f>
        <v>0</v>
      </c>
      <c r="N726" s="33">
        <f>ROUNDUP(M726+(M726*Assumptions!M$5),-2)</f>
        <v>0</v>
      </c>
      <c r="O726" s="33">
        <f>ROUNDUP(N726+(N726*Assumptions!N$5),-2)</f>
        <v>0</v>
      </c>
      <c r="P726" s="33">
        <f>ROUNDUP(O726+(O726*Assumptions!O$5),-2)</f>
        <v>0</v>
      </c>
      <c r="Q726" s="33">
        <f>ROUNDUP(P726+(P726*Assumptions!P$5),-2)</f>
        <v>0</v>
      </c>
      <c r="R726" s="114">
        <f>ROUNDUP(Q726+(Q726*Assumptions!Q$5),-2)</f>
        <v>0</v>
      </c>
    </row>
    <row r="727" spans="1:18" ht="13.5" thickBot="1" x14ac:dyDescent="0.25">
      <c r="A727" s="107"/>
      <c r="B727" s="33"/>
      <c r="C727" s="33"/>
      <c r="D727" s="33"/>
      <c r="E727" s="344"/>
      <c r="F727" s="99"/>
      <c r="G727" s="33"/>
      <c r="H727" s="138"/>
      <c r="I727" s="33"/>
      <c r="J727" s="33"/>
      <c r="K727" s="33"/>
      <c r="L727" s="33"/>
      <c r="M727" s="33"/>
      <c r="N727" s="33"/>
      <c r="O727" s="33"/>
      <c r="P727" s="33"/>
      <c r="Q727" s="33"/>
      <c r="R727" s="114"/>
    </row>
    <row r="728" spans="1:18" s="92" customFormat="1" x14ac:dyDescent="0.2">
      <c r="A728" s="105">
        <f>SUM(A721:A727)</f>
        <v>4300</v>
      </c>
      <c r="B728" s="53">
        <f>SUM(B721:B727)</f>
        <v>13600</v>
      </c>
      <c r="C728" s="53">
        <f>SUM(C721:C727)</f>
        <v>17600</v>
      </c>
      <c r="D728" s="53">
        <f>SUM(D721:D727)</f>
        <v>3100</v>
      </c>
      <c r="E728" s="345"/>
      <c r="F728" s="112" t="s">
        <v>2605</v>
      </c>
      <c r="G728" s="53">
        <f t="shared" ref="G728:O728" si="753">SUM(G721:G727)</f>
        <v>177000</v>
      </c>
      <c r="H728" s="180">
        <f>IF(D728=G728,0,IF(D728=0,100,(G728-D728)/D728*100))</f>
        <v>5609.6774193548381</v>
      </c>
      <c r="I728" s="53">
        <f t="shared" si="753"/>
        <v>103000</v>
      </c>
      <c r="J728" s="53">
        <f t="shared" si="753"/>
        <v>105600</v>
      </c>
      <c r="K728" s="53">
        <f t="shared" si="753"/>
        <v>108300</v>
      </c>
      <c r="L728" s="53">
        <f t="shared" si="753"/>
        <v>111100</v>
      </c>
      <c r="M728" s="53">
        <f t="shared" si="753"/>
        <v>113400</v>
      </c>
      <c r="N728" s="53">
        <f t="shared" si="753"/>
        <v>115700</v>
      </c>
      <c r="O728" s="53">
        <f t="shared" si="753"/>
        <v>118100</v>
      </c>
      <c r="P728" s="53">
        <f t="shared" ref="P728:Q728" si="754">SUM(P721:P727)</f>
        <v>120500</v>
      </c>
      <c r="Q728" s="53">
        <f t="shared" si="754"/>
        <v>123000</v>
      </c>
      <c r="R728" s="113">
        <f t="shared" ref="R728" si="755">SUM(R721:R727)</f>
        <v>125500</v>
      </c>
    </row>
    <row r="729" spans="1:18" x14ac:dyDescent="0.2">
      <c r="A729" s="107"/>
      <c r="B729" s="33"/>
      <c r="C729" s="33"/>
      <c r="D729" s="33"/>
      <c r="E729" s="344"/>
      <c r="F729" s="99"/>
      <c r="G729" s="33"/>
      <c r="H729" s="138"/>
      <c r="I729" s="33"/>
      <c r="J729" s="33"/>
      <c r="K729" s="33"/>
      <c r="L729" s="33"/>
      <c r="M729" s="33"/>
      <c r="N729" s="33"/>
      <c r="O729" s="33"/>
      <c r="P729" s="33"/>
      <c r="Q729" s="33"/>
      <c r="R729" s="114"/>
    </row>
    <row r="730" spans="1:18" x14ac:dyDescent="0.2">
      <c r="A730" s="107"/>
      <c r="B730" s="33"/>
      <c r="C730" s="33"/>
      <c r="D730" s="33"/>
      <c r="E730" s="344"/>
      <c r="F730" s="144" t="s">
        <v>2205</v>
      </c>
      <c r="G730" s="33"/>
      <c r="H730" s="138"/>
      <c r="I730" s="33"/>
      <c r="J730" s="33"/>
      <c r="K730" s="33"/>
      <c r="L730" s="33"/>
      <c r="M730" s="33"/>
      <c r="N730" s="33"/>
      <c r="O730" s="33"/>
      <c r="P730" s="33"/>
      <c r="Q730" s="33"/>
      <c r="R730" s="114"/>
    </row>
    <row r="731" spans="1:18" x14ac:dyDescent="0.2">
      <c r="A731" s="107"/>
      <c r="B731" s="33"/>
      <c r="C731" s="33"/>
      <c r="D731" s="33"/>
      <c r="E731" s="344"/>
      <c r="F731" s="108"/>
      <c r="G731" s="33"/>
      <c r="H731" s="138"/>
      <c r="I731" s="33"/>
      <c r="J731" s="33"/>
      <c r="K731" s="33"/>
      <c r="L731" s="33"/>
      <c r="M731" s="33"/>
      <c r="N731" s="33"/>
      <c r="O731" s="33"/>
      <c r="P731" s="33"/>
      <c r="Q731" s="33"/>
      <c r="R731" s="114"/>
    </row>
    <row r="732" spans="1:18" x14ac:dyDescent="0.2">
      <c r="A732" s="107"/>
      <c r="B732" s="33"/>
      <c r="C732" s="33"/>
      <c r="D732" s="33"/>
      <c r="E732" s="344"/>
      <c r="F732" s="137" t="s">
        <v>2257</v>
      </c>
      <c r="G732" s="33"/>
      <c r="H732" s="138"/>
      <c r="I732" s="33"/>
      <c r="J732" s="33"/>
      <c r="K732" s="33"/>
      <c r="L732" s="33"/>
      <c r="M732" s="33"/>
      <c r="N732" s="33"/>
      <c r="O732" s="33"/>
      <c r="P732" s="33"/>
      <c r="Q732" s="33"/>
      <c r="R732" s="114"/>
    </row>
    <row r="733" spans="1:18" x14ac:dyDescent="0.2">
      <c r="A733" s="107">
        <v>503200</v>
      </c>
      <c r="B733" s="33">
        <v>652600</v>
      </c>
      <c r="C733" s="33">
        <v>754900</v>
      </c>
      <c r="D733" s="33">
        <v>844600</v>
      </c>
      <c r="E733" s="344" t="s">
        <v>2480</v>
      </c>
      <c r="F733" s="108" t="s">
        <v>1341</v>
      </c>
      <c r="G733" s="33">
        <v>947000</v>
      </c>
      <c r="H733" s="138">
        <f>IF(D733=G733,0,IF(D733=0,100,(G733-D733)/D733*100))</f>
        <v>12.124082405872603</v>
      </c>
      <c r="I733" s="33">
        <f>ROUND((G733*Assumptions!H$13)+GM!G733,-2)+65000</f>
        <v>1030900</v>
      </c>
      <c r="J733" s="33">
        <f>ROUND((I733*Assumptions!I$13)+GM!I733,-2)</f>
        <v>1056700</v>
      </c>
      <c r="K733" s="33">
        <f>ROUND((J733*Assumptions!J$13)+GM!J733,-2)</f>
        <v>1083100</v>
      </c>
      <c r="L733" s="33">
        <f>ROUND((K733*Assumptions!K$13)+GM!K733,-2)</f>
        <v>1110200</v>
      </c>
      <c r="M733" s="33">
        <f>ROUND((L733*Assumptions!L$13)+GM!L733,-2)</f>
        <v>1138000</v>
      </c>
      <c r="N733" s="33">
        <f>ROUND((M733*Assumptions!M$13)+GM!M733,-2)</f>
        <v>1166500</v>
      </c>
      <c r="O733" s="33">
        <f>ROUND((N733*Assumptions!N$13)+GM!N733,-2)</f>
        <v>1195700</v>
      </c>
      <c r="P733" s="33">
        <f>ROUND((O733*Assumptions!O$13)+GM!O733,-2)</f>
        <v>1225600</v>
      </c>
      <c r="Q733" s="33">
        <f>ROUND((P733*Assumptions!P$13)+GM!P733,-2)</f>
        <v>1256200</v>
      </c>
      <c r="R733" s="114">
        <f>ROUND((Q733*Assumptions!Q$13)+GM!Q733,-2)</f>
        <v>1287600</v>
      </c>
    </row>
    <row r="734" spans="1:18" x14ac:dyDescent="0.2">
      <c r="A734" s="107">
        <v>239300</v>
      </c>
      <c r="B734" s="33">
        <v>374000</v>
      </c>
      <c r="C734" s="33">
        <v>262900</v>
      </c>
      <c r="D734" s="33">
        <v>272100</v>
      </c>
      <c r="E734" s="811" t="s">
        <v>6294</v>
      </c>
      <c r="F734" s="111" t="s">
        <v>6295</v>
      </c>
      <c r="G734" s="33">
        <f>302000+9000-5000</f>
        <v>306000</v>
      </c>
      <c r="H734" s="138">
        <f>IF(D734=G734,0,IF(D734=0,100,(G734-D734)/D734*100))</f>
        <v>12.458654906284455</v>
      </c>
      <c r="I734" s="33">
        <f>ROUND((G734*Assumptions!H$13)+GM!G734,-2)</f>
        <v>312100</v>
      </c>
      <c r="J734" s="33">
        <f>ROUND((I734*Assumptions!I$13)+GM!I734,-2)</f>
        <v>319900</v>
      </c>
      <c r="K734" s="33">
        <f>ROUND((J734*Assumptions!J$13)+GM!J734,-2)</f>
        <v>327900</v>
      </c>
      <c r="L734" s="33">
        <f>ROUND((K734*Assumptions!K$13)+GM!K734,-2)</f>
        <v>336100</v>
      </c>
      <c r="M734" s="33">
        <f>ROUND((L734*Assumptions!L$13)+GM!L734,-2)</f>
        <v>344500</v>
      </c>
      <c r="N734" s="33">
        <f>ROUND((M734*Assumptions!M$13)+GM!M734,-2)</f>
        <v>353100</v>
      </c>
      <c r="O734" s="33">
        <f>ROUND((N734*Assumptions!N$13)+GM!N734,-2)</f>
        <v>361900</v>
      </c>
      <c r="P734" s="33">
        <f>ROUND((O734*Assumptions!O$13)+GM!O734,-2)</f>
        <v>370900</v>
      </c>
      <c r="Q734" s="33">
        <f>ROUND((P734*Assumptions!P$13)+GM!P734,-2)</f>
        <v>380200</v>
      </c>
      <c r="R734" s="114">
        <f>ROUND((Q734*Assumptions!Q$13)+GM!Q734,-2)</f>
        <v>389700</v>
      </c>
    </row>
    <row r="735" spans="1:18" x14ac:dyDescent="0.2">
      <c r="A735" s="107">
        <v>6000</v>
      </c>
      <c r="B735" s="33">
        <v>6400</v>
      </c>
      <c r="C735" s="33">
        <v>3200</v>
      </c>
      <c r="D735" s="33">
        <v>6300</v>
      </c>
      <c r="E735" s="344" t="s">
        <v>950</v>
      </c>
      <c r="F735" s="108" t="s">
        <v>1921</v>
      </c>
      <c r="G735" s="33">
        <v>7200</v>
      </c>
      <c r="H735" s="138">
        <f>IF(D735=G735,0,IF(D735=0,100,(G735-D735)/D735*100))</f>
        <v>14.285714285714285</v>
      </c>
      <c r="I735" s="33">
        <v>7400</v>
      </c>
      <c r="J735" s="33">
        <f>ROUNDUP(I735+(I735*Assumptions!I$5),-2)</f>
        <v>7600</v>
      </c>
      <c r="K735" s="33">
        <f>ROUNDUP(J735+(J735*Assumptions!J$5),-2)</f>
        <v>7800</v>
      </c>
      <c r="L735" s="33">
        <f>ROUNDUP(K735+(K735*Assumptions!K$5),-2)</f>
        <v>8000</v>
      </c>
      <c r="M735" s="33">
        <f>ROUNDUP(L735+(L735*Assumptions!L$5),-2)</f>
        <v>8200</v>
      </c>
      <c r="N735" s="33">
        <f>ROUNDUP(M735+(M735*Assumptions!M$5),-2)</f>
        <v>8400</v>
      </c>
      <c r="O735" s="33">
        <f>ROUNDUP(N735+(N735*Assumptions!N$5),-2)</f>
        <v>8600</v>
      </c>
      <c r="P735" s="33">
        <f>ROUNDUP(O735+(O735*Assumptions!O$5),-2)</f>
        <v>8800</v>
      </c>
      <c r="Q735" s="33">
        <f>ROUNDUP(P735+(P735*Assumptions!P$5),-2)</f>
        <v>9000</v>
      </c>
      <c r="R735" s="114">
        <f>ROUNDUP(Q735+(Q735*Assumptions!Q$5),-2)</f>
        <v>9200</v>
      </c>
    </row>
    <row r="736" spans="1:18" x14ac:dyDescent="0.2">
      <c r="A736" s="107">
        <v>9600</v>
      </c>
      <c r="B736" s="33">
        <v>8000</v>
      </c>
      <c r="C736" s="33">
        <v>8300</v>
      </c>
      <c r="D736" s="33">
        <v>8300</v>
      </c>
      <c r="E736" s="344" t="s">
        <v>1973</v>
      </c>
      <c r="F736" s="108" t="s">
        <v>608</v>
      </c>
      <c r="G736" s="33">
        <v>6000</v>
      </c>
      <c r="H736" s="138">
        <f>IF(D736=G736,0,IF(D736=0,100,(G736-D736)/D736*100))</f>
        <v>-27.710843373493976</v>
      </c>
      <c r="I736" s="33">
        <v>6200</v>
      </c>
      <c r="J736" s="33">
        <f>ROUNDUP(I736+(I736*Assumptions!I$5),-2)</f>
        <v>6400</v>
      </c>
      <c r="K736" s="33">
        <f>ROUNDUP(J736+(J736*Assumptions!J$5),-2)</f>
        <v>6600</v>
      </c>
      <c r="L736" s="33">
        <f>ROUNDUP(K736+(K736*Assumptions!K$5),-2)</f>
        <v>6800</v>
      </c>
      <c r="M736" s="33">
        <f>ROUNDUP(L736+(L736*Assumptions!L$5),-2)</f>
        <v>7000</v>
      </c>
      <c r="N736" s="33">
        <f>ROUNDUP(M736+(M736*Assumptions!M$5),-2)</f>
        <v>7200</v>
      </c>
      <c r="O736" s="33">
        <f>ROUNDUP(N736+(N736*Assumptions!N$5),-2)</f>
        <v>7400</v>
      </c>
      <c r="P736" s="33">
        <f>ROUNDUP(O736+(O736*Assumptions!O$5),-2)</f>
        <v>7600</v>
      </c>
      <c r="Q736" s="33">
        <f>ROUNDUP(P736+(P736*Assumptions!P$5),-2)</f>
        <v>7800</v>
      </c>
      <c r="R736" s="114">
        <f>ROUNDUP(Q736+(Q736*Assumptions!Q$5),-2)</f>
        <v>8000</v>
      </c>
    </row>
    <row r="737" spans="1:18" x14ac:dyDescent="0.2">
      <c r="A737" s="107"/>
      <c r="B737" s="33"/>
      <c r="C737" s="33"/>
      <c r="D737" s="33"/>
      <c r="E737" s="344"/>
      <c r="F737" s="137"/>
      <c r="G737" s="33"/>
      <c r="H737" s="138"/>
      <c r="I737" s="33"/>
      <c r="J737" s="33"/>
      <c r="K737" s="33"/>
      <c r="L737" s="33"/>
      <c r="M737" s="33"/>
      <c r="N737" s="33"/>
      <c r="O737" s="33"/>
      <c r="P737" s="33"/>
      <c r="Q737" s="33"/>
      <c r="R737" s="114"/>
    </row>
    <row r="738" spans="1:18" x14ac:dyDescent="0.2">
      <c r="A738" s="107"/>
      <c r="B738" s="33"/>
      <c r="C738" s="33"/>
      <c r="D738" s="33"/>
      <c r="E738" s="344"/>
      <c r="F738" s="137" t="s">
        <v>2860</v>
      </c>
      <c r="G738" s="33"/>
      <c r="H738" s="138"/>
      <c r="I738" s="33"/>
      <c r="J738" s="33"/>
      <c r="K738" s="33"/>
      <c r="L738" s="33"/>
      <c r="M738" s="33"/>
      <c r="N738" s="33"/>
      <c r="O738" s="33"/>
      <c r="P738" s="33"/>
      <c r="Q738" s="33"/>
      <c r="R738" s="114"/>
    </row>
    <row r="739" spans="1:18" x14ac:dyDescent="0.2">
      <c r="A739" s="107">
        <v>278600</v>
      </c>
      <c r="B739" s="33">
        <v>175100</v>
      </c>
      <c r="C739" s="33">
        <v>174000</v>
      </c>
      <c r="D739" s="33">
        <v>186100</v>
      </c>
      <c r="E739" s="344" t="s">
        <v>2851</v>
      </c>
      <c r="F739" s="108" t="s">
        <v>99</v>
      </c>
      <c r="G739" s="33">
        <f>206300-4500</f>
        <v>201800</v>
      </c>
      <c r="H739" s="138">
        <f>IF(D739=G739,0,IF(D739=0,100,(G739-D739)/D739*100))</f>
        <v>8.4363245566899518</v>
      </c>
      <c r="I739" s="33">
        <v>210000</v>
      </c>
      <c r="J739" s="33">
        <f>ROUNDUP(I739+(I739*Assumptions!I$5),-2)</f>
        <v>215300</v>
      </c>
      <c r="K739" s="33">
        <f>ROUNDUP(J739+(J739*Assumptions!J$5),-2)</f>
        <v>220700</v>
      </c>
      <c r="L739" s="33">
        <f>ROUNDUP(K739+(K739*Assumptions!K$5),-2)</f>
        <v>226300</v>
      </c>
      <c r="M739" s="33">
        <f>ROUNDUP(L739+(L739*Assumptions!L$5),-2)</f>
        <v>230900</v>
      </c>
      <c r="N739" s="33">
        <f>ROUNDUP(M739+(M739*Assumptions!M$5),-2)</f>
        <v>235600</v>
      </c>
      <c r="O739" s="33">
        <f>ROUNDUP(N739+(N739*Assumptions!N$5),-2)</f>
        <v>240400</v>
      </c>
      <c r="P739" s="33">
        <f>ROUNDUP(O739+(O739*Assumptions!O$5),-2)</f>
        <v>245300</v>
      </c>
      <c r="Q739" s="33">
        <f>ROUNDUP(P739+(P739*Assumptions!P$5),-2)</f>
        <v>250300</v>
      </c>
      <c r="R739" s="114">
        <f>ROUNDUP(Q739+(Q739*Assumptions!Q$5),-2)</f>
        <v>255400</v>
      </c>
    </row>
    <row r="740" spans="1:18" x14ac:dyDescent="0.2">
      <c r="A740" s="107">
        <v>0</v>
      </c>
      <c r="B740" s="33">
        <v>0</v>
      </c>
      <c r="C740" s="33">
        <v>0</v>
      </c>
      <c r="D740" s="33">
        <v>400</v>
      </c>
      <c r="E740" s="811" t="s">
        <v>6296</v>
      </c>
      <c r="F740" s="111" t="s">
        <v>2531</v>
      </c>
      <c r="G740" s="33">
        <v>24000</v>
      </c>
      <c r="H740" s="138">
        <f>IF(D740=G740,0,IF(D740=0,100,(G740-D740)/D740*100))</f>
        <v>5900</v>
      </c>
      <c r="I740" s="33">
        <f>ROUNDUP(G740+(G740*Assumptions!H$5),-2)</f>
        <v>24400</v>
      </c>
      <c r="J740" s="33">
        <f>ROUNDUP(I740+(I740*Assumptions!I$5),-2)</f>
        <v>25100</v>
      </c>
      <c r="K740" s="33">
        <f>ROUNDUP(J740+(J740*Assumptions!J$5),-2)</f>
        <v>25800</v>
      </c>
      <c r="L740" s="33">
        <f>ROUNDUP(K740+(K740*Assumptions!K$5),-2)</f>
        <v>26500</v>
      </c>
      <c r="M740" s="33">
        <f>ROUNDUP(L740+(L740*Assumptions!L$5),-2)</f>
        <v>27100</v>
      </c>
      <c r="N740" s="33">
        <f>ROUNDUP(M740+(M740*Assumptions!M$5),-2)</f>
        <v>27700</v>
      </c>
      <c r="O740" s="33">
        <f>ROUNDUP(N740+(N740*Assumptions!N$5),-2)</f>
        <v>28300</v>
      </c>
      <c r="P740" s="33">
        <f>ROUNDUP(O740+(O740*Assumptions!O$5),-2)</f>
        <v>28900</v>
      </c>
      <c r="Q740" s="33">
        <f>ROUNDUP(P740+(P740*Assumptions!P$5),-2)</f>
        <v>29500</v>
      </c>
      <c r="R740" s="114">
        <f>ROUNDUP(Q740+(Q740*Assumptions!Q$5),-2)</f>
        <v>30100</v>
      </c>
    </row>
    <row r="741" spans="1:18" x14ac:dyDescent="0.2">
      <c r="A741" s="107">
        <v>25100</v>
      </c>
      <c r="B741" s="33">
        <v>36000</v>
      </c>
      <c r="C741" s="33">
        <v>61300</v>
      </c>
      <c r="D741" s="33">
        <v>31100</v>
      </c>
      <c r="E741" s="344" t="s">
        <v>2852</v>
      </c>
      <c r="F741" s="108" t="s">
        <v>686</v>
      </c>
      <c r="G741" s="33">
        <f>34700-4500</f>
        <v>30200</v>
      </c>
      <c r="H741" s="138">
        <f>IF(D741=G741,0,IF(D741=0,100,(G741-D741)/D741*100))</f>
        <v>-2.8938906752411575</v>
      </c>
      <c r="I741" s="33">
        <v>35400</v>
      </c>
      <c r="J741" s="33">
        <f>ROUNDUP(I741+(I741*Assumptions!I$5),-2)</f>
        <v>36300</v>
      </c>
      <c r="K741" s="33">
        <f>ROUNDUP(J741+(J741*Assumptions!J$5),-2)</f>
        <v>37300</v>
      </c>
      <c r="L741" s="33">
        <f>ROUNDUP(K741+(K741*Assumptions!K$5),-2)</f>
        <v>38300</v>
      </c>
      <c r="M741" s="33">
        <f>ROUNDUP(L741+(L741*Assumptions!L$5),-2)</f>
        <v>39100</v>
      </c>
      <c r="N741" s="33">
        <f>ROUNDUP(M741+(M741*Assumptions!M$5),-2)</f>
        <v>39900</v>
      </c>
      <c r="O741" s="33">
        <f>ROUNDUP(N741+(N741*Assumptions!N$5),-2)</f>
        <v>40700</v>
      </c>
      <c r="P741" s="33">
        <f>ROUNDUP(O741+(O741*Assumptions!O$5),-2)</f>
        <v>41600</v>
      </c>
      <c r="Q741" s="33">
        <f>ROUNDUP(P741+(P741*Assumptions!P$5),-2)</f>
        <v>42500</v>
      </c>
      <c r="R741" s="114">
        <f>ROUNDUP(Q741+(Q741*Assumptions!Q$5),-2)</f>
        <v>43400</v>
      </c>
    </row>
    <row r="742" spans="1:18" x14ac:dyDescent="0.2">
      <c r="A742" s="107">
        <v>16900</v>
      </c>
      <c r="B742" s="33">
        <v>17500</v>
      </c>
      <c r="C742" s="33">
        <v>35100</v>
      </c>
      <c r="D742" s="33">
        <v>52600</v>
      </c>
      <c r="E742" s="344" t="s">
        <v>2853</v>
      </c>
      <c r="F742" s="108" t="s">
        <v>595</v>
      </c>
      <c r="G742" s="33">
        <v>43000</v>
      </c>
      <c r="H742" s="138">
        <f>IF(D742=G742,0,IF(D742=0,100,(G742-D742)/D742*100))</f>
        <v>-18.250950570342205</v>
      </c>
      <c r="I742" s="33">
        <v>44000</v>
      </c>
      <c r="J742" s="33">
        <f>ROUNDUP(I742+(I742*Assumptions!I$5),-2)</f>
        <v>45100</v>
      </c>
      <c r="K742" s="33">
        <f>ROUNDUP(J742+(J742*Assumptions!J$5),-2)</f>
        <v>46300</v>
      </c>
      <c r="L742" s="33">
        <f>ROUNDUP(K742+(K742*Assumptions!K$5),-2)</f>
        <v>47500</v>
      </c>
      <c r="M742" s="33">
        <f>ROUNDUP(L742+(L742*Assumptions!L$5),-2)</f>
        <v>48500</v>
      </c>
      <c r="N742" s="33">
        <f>ROUNDUP(M742+(M742*Assumptions!M$5),-2)</f>
        <v>49500</v>
      </c>
      <c r="O742" s="33">
        <f>ROUNDUP(N742+(N742*Assumptions!N$5),-2)</f>
        <v>50500</v>
      </c>
      <c r="P742" s="33">
        <f>ROUNDUP(O742+(O742*Assumptions!O$5),-2)</f>
        <v>51600</v>
      </c>
      <c r="Q742" s="33">
        <f>ROUNDUP(P742+(P742*Assumptions!P$5),-2)</f>
        <v>52700</v>
      </c>
      <c r="R742" s="114">
        <f>ROUNDUP(Q742+(Q742*Assumptions!Q$5),-2)</f>
        <v>53800</v>
      </c>
    </row>
    <row r="743" spans="1:18" x14ac:dyDescent="0.2">
      <c r="A743" s="107">
        <v>10000</v>
      </c>
      <c r="B743" s="33">
        <v>11500</v>
      </c>
      <c r="C743" s="33">
        <v>10400</v>
      </c>
      <c r="D743" s="33">
        <v>9300</v>
      </c>
      <c r="E743" s="344" t="s">
        <v>2854</v>
      </c>
      <c r="F743" s="108" t="s">
        <v>1153</v>
      </c>
      <c r="G743" s="33">
        <v>12300</v>
      </c>
      <c r="H743" s="138">
        <f>IF(D743=G743,0,IF(D743=0,100,(G743-D743)/D743*100))</f>
        <v>32.258064516129032</v>
      </c>
      <c r="I743" s="33">
        <v>12500</v>
      </c>
      <c r="J743" s="33">
        <f>ROUNDUP(I743+(I743*Assumptions!I$5),-2)</f>
        <v>12900</v>
      </c>
      <c r="K743" s="33">
        <f>ROUNDUP(J743+(J743*Assumptions!J$5),-2)</f>
        <v>13300</v>
      </c>
      <c r="L743" s="33">
        <f>ROUNDUP(K743+(K743*Assumptions!K$5),-2)</f>
        <v>13700</v>
      </c>
      <c r="M743" s="33">
        <f>ROUNDUP(L743+(L743*Assumptions!L$5),-2)</f>
        <v>14000</v>
      </c>
      <c r="N743" s="33">
        <f>ROUNDUP(M743+(M743*Assumptions!M$5),-2)</f>
        <v>14300</v>
      </c>
      <c r="O743" s="33">
        <f>ROUNDUP(N743+(N743*Assumptions!N$5),-2)</f>
        <v>14600</v>
      </c>
      <c r="P743" s="33">
        <f>ROUNDUP(O743+(O743*Assumptions!O$5),-2)</f>
        <v>14900</v>
      </c>
      <c r="Q743" s="33">
        <f>ROUNDUP(P743+(P743*Assumptions!P$5),-2)</f>
        <v>15200</v>
      </c>
      <c r="R743" s="114">
        <f>ROUNDUP(Q743+(Q743*Assumptions!Q$5),-2)</f>
        <v>15600</v>
      </c>
    </row>
    <row r="744" spans="1:18" x14ac:dyDescent="0.2">
      <c r="A744" s="107"/>
      <c r="B744" s="33"/>
      <c r="C744" s="33"/>
      <c r="D744" s="33"/>
      <c r="E744" s="344"/>
      <c r="F744" s="108"/>
      <c r="G744" s="33"/>
      <c r="H744" s="138"/>
      <c r="I744" s="33"/>
      <c r="J744" s="33"/>
      <c r="K744" s="33"/>
      <c r="L744" s="33"/>
      <c r="M744" s="33"/>
      <c r="N744" s="33"/>
      <c r="O744" s="33"/>
      <c r="P744" s="33"/>
      <c r="Q744" s="33"/>
      <c r="R744" s="114"/>
    </row>
    <row r="745" spans="1:18" x14ac:dyDescent="0.2">
      <c r="A745" s="107"/>
      <c r="B745" s="33"/>
      <c r="C745" s="33"/>
      <c r="D745" s="33"/>
      <c r="E745" s="344"/>
      <c r="F745" s="137" t="s">
        <v>2309</v>
      </c>
      <c r="G745" s="33"/>
      <c r="H745" s="138"/>
      <c r="I745" s="33"/>
      <c r="J745" s="33"/>
      <c r="K745" s="33"/>
      <c r="L745" s="33"/>
      <c r="M745" s="33"/>
      <c r="N745" s="33"/>
      <c r="O745" s="33"/>
      <c r="P745" s="33"/>
      <c r="Q745" s="33"/>
      <c r="R745" s="114"/>
    </row>
    <row r="746" spans="1:18" x14ac:dyDescent="0.2">
      <c r="A746" s="107">
        <v>278800</v>
      </c>
      <c r="B746" s="33">
        <v>287200</v>
      </c>
      <c r="C746" s="33">
        <f>492500-150000</f>
        <v>342500</v>
      </c>
      <c r="D746" s="33">
        <v>342400</v>
      </c>
      <c r="E746" s="344" t="s">
        <v>2855</v>
      </c>
      <c r="F746" s="108" t="s">
        <v>723</v>
      </c>
      <c r="G746" s="33">
        <v>348900</v>
      </c>
      <c r="H746" s="138">
        <f t="shared" ref="H746:H753" si="756">IF(D746=G746,0,IF(D746=0,100,(G746-D746)/D746*100))</f>
        <v>1.8983644859813082</v>
      </c>
      <c r="I746" s="33">
        <v>356000</v>
      </c>
      <c r="J746" s="33">
        <f>ROUNDUP(I746+(I746*Assumptions!I$5),-2)</f>
        <v>364900</v>
      </c>
      <c r="K746" s="33">
        <f>ROUNDUP(J746+(J746*Assumptions!J$5),-2)</f>
        <v>374100</v>
      </c>
      <c r="L746" s="33">
        <f>ROUNDUP(K746+(K746*Assumptions!K$5),-2)</f>
        <v>383500</v>
      </c>
      <c r="M746" s="33">
        <f>ROUNDUP(L746+(L746*Assumptions!L$5),-2)</f>
        <v>391200</v>
      </c>
      <c r="N746" s="33">
        <f>ROUNDUP(M746+(M746*Assumptions!M$5),-2)</f>
        <v>399100</v>
      </c>
      <c r="O746" s="33">
        <f>ROUNDUP(N746+(N746*Assumptions!N$5),-2)</f>
        <v>407100</v>
      </c>
      <c r="P746" s="33">
        <f>ROUNDUP(O746+(O746*Assumptions!O$5),-2)</f>
        <v>415300</v>
      </c>
      <c r="Q746" s="33">
        <f>ROUNDUP(P746+(P746*Assumptions!P$5),-2)</f>
        <v>423700</v>
      </c>
      <c r="R746" s="114">
        <f>ROUNDUP(Q746+(Q746*Assumptions!Q$5),-2)</f>
        <v>432200</v>
      </c>
    </row>
    <row r="747" spans="1:18" x14ac:dyDescent="0.2">
      <c r="A747" s="107">
        <v>15700</v>
      </c>
      <c r="B747" s="33">
        <v>21900</v>
      </c>
      <c r="C747" s="33">
        <v>17000</v>
      </c>
      <c r="D747" s="33">
        <v>27400</v>
      </c>
      <c r="E747" s="344" t="s">
        <v>2856</v>
      </c>
      <c r="F747" s="108" t="s">
        <v>160</v>
      </c>
      <c r="G747" s="33">
        <v>23500</v>
      </c>
      <c r="H747" s="138">
        <f t="shared" si="756"/>
        <v>-14.233576642335766</v>
      </c>
      <c r="I747" s="33">
        <v>24000</v>
      </c>
      <c r="J747" s="33">
        <f>ROUNDUP(I747+(I747*Assumptions!I$5),-2)</f>
        <v>24600</v>
      </c>
      <c r="K747" s="33">
        <f>ROUNDUP(J747+(J747*Assumptions!J$5),-2)</f>
        <v>25300</v>
      </c>
      <c r="L747" s="33">
        <f>ROUNDUP(K747+(K747*Assumptions!K$5),-2)</f>
        <v>26000</v>
      </c>
      <c r="M747" s="33">
        <f>ROUNDUP(L747+(L747*Assumptions!L$5),-2)</f>
        <v>26600</v>
      </c>
      <c r="N747" s="33">
        <f>ROUNDUP(M747+(M747*Assumptions!M$5),-2)</f>
        <v>27200</v>
      </c>
      <c r="O747" s="33">
        <f>ROUNDUP(N747+(N747*Assumptions!N$5),-2)</f>
        <v>27800</v>
      </c>
      <c r="P747" s="33">
        <f>ROUNDUP(O747+(O747*Assumptions!O$5),-2)</f>
        <v>28400</v>
      </c>
      <c r="Q747" s="33">
        <f>ROUNDUP(P747+(P747*Assumptions!P$5),-2)</f>
        <v>29000</v>
      </c>
      <c r="R747" s="114">
        <f>ROUNDUP(Q747+(Q747*Assumptions!Q$5),-2)</f>
        <v>29600</v>
      </c>
    </row>
    <row r="748" spans="1:18" x14ac:dyDescent="0.2">
      <c r="A748" s="107">
        <v>138400</v>
      </c>
      <c r="B748" s="33">
        <f>171000+13000</f>
        <v>184000</v>
      </c>
      <c r="C748" s="33">
        <f>24200+150000</f>
        <v>174200</v>
      </c>
      <c r="D748" s="33">
        <v>187900</v>
      </c>
      <c r="E748" s="344" t="s">
        <v>2857</v>
      </c>
      <c r="F748" s="108" t="s">
        <v>953</v>
      </c>
      <c r="G748" s="33">
        <v>231000</v>
      </c>
      <c r="H748" s="138">
        <f t="shared" si="756"/>
        <v>22.937732836615222</v>
      </c>
      <c r="I748" s="33">
        <v>235000</v>
      </c>
      <c r="J748" s="33">
        <f>ROUNDUP(I748+(I748*Assumptions!I$5),-2)</f>
        <v>240900</v>
      </c>
      <c r="K748" s="33">
        <f>ROUNDUP(J748+(J748*Assumptions!J$5),-2)</f>
        <v>247000</v>
      </c>
      <c r="L748" s="33">
        <f>ROUNDUP(K748+(K748*Assumptions!K$5),-2)</f>
        <v>253200</v>
      </c>
      <c r="M748" s="33">
        <f>ROUNDUP(L748+(L748*Assumptions!L$5),-2)</f>
        <v>258300</v>
      </c>
      <c r="N748" s="33">
        <f>ROUNDUP(M748+(M748*Assumptions!M$5),-2)</f>
        <v>263500</v>
      </c>
      <c r="O748" s="33">
        <f>ROUNDUP(N748+(N748*Assumptions!N$5),-2)</f>
        <v>268800</v>
      </c>
      <c r="P748" s="33">
        <f>ROUNDUP(O748+(O748*Assumptions!O$5),-2)</f>
        <v>274200</v>
      </c>
      <c r="Q748" s="33">
        <f>ROUNDUP(P748+(P748*Assumptions!P$5),-2)</f>
        <v>279700</v>
      </c>
      <c r="R748" s="114">
        <f>ROUNDUP(Q748+(Q748*Assumptions!Q$5),-2)</f>
        <v>285300</v>
      </c>
    </row>
    <row r="749" spans="1:18" x14ac:dyDescent="0.2">
      <c r="A749" s="107">
        <v>25300</v>
      </c>
      <c r="B749" s="33">
        <v>40400</v>
      </c>
      <c r="C749" s="33">
        <v>34200</v>
      </c>
      <c r="D749" s="33">
        <v>27700</v>
      </c>
      <c r="E749" s="344" t="s">
        <v>2858</v>
      </c>
      <c r="F749" s="108" t="s">
        <v>1055</v>
      </c>
      <c r="G749" s="33">
        <f>26600+9000</f>
        <v>35600</v>
      </c>
      <c r="H749" s="138">
        <f t="shared" si="756"/>
        <v>28.51985559566787</v>
      </c>
      <c r="I749" s="33">
        <v>27000</v>
      </c>
      <c r="J749" s="33">
        <f>ROUNDUP(I749+(I749*Assumptions!I$5),-2)</f>
        <v>27700</v>
      </c>
      <c r="K749" s="33">
        <f>ROUNDUP(J749+(J749*Assumptions!J$5),-2)</f>
        <v>28400</v>
      </c>
      <c r="L749" s="33">
        <f>ROUNDUP(K749+(K749*Assumptions!K$5),-2)</f>
        <v>29200</v>
      </c>
      <c r="M749" s="33">
        <f>ROUNDUP(L749+(L749*Assumptions!L$5),-2)</f>
        <v>29800</v>
      </c>
      <c r="N749" s="33">
        <f>ROUNDUP(M749+(M749*Assumptions!M$5),-2)</f>
        <v>30400</v>
      </c>
      <c r="O749" s="33">
        <f>ROUNDUP(N749+(N749*Assumptions!N$5),-2)</f>
        <v>31100</v>
      </c>
      <c r="P749" s="33">
        <f>ROUNDUP(O749+(O749*Assumptions!O$5),-2)</f>
        <v>31800</v>
      </c>
      <c r="Q749" s="33">
        <f>ROUNDUP(P749+(P749*Assumptions!P$5),-2)</f>
        <v>32500</v>
      </c>
      <c r="R749" s="114">
        <f>ROUNDUP(Q749+(Q749*Assumptions!Q$5),-2)</f>
        <v>33200</v>
      </c>
    </row>
    <row r="750" spans="1:18" x14ac:dyDescent="0.2">
      <c r="A750" s="107">
        <v>30600</v>
      </c>
      <c r="B750" s="33">
        <v>23700</v>
      </c>
      <c r="C750" s="33">
        <v>35000</v>
      </c>
      <c r="D750" s="33">
        <v>31700</v>
      </c>
      <c r="E750" s="344" t="s">
        <v>2442</v>
      </c>
      <c r="F750" s="108" t="s">
        <v>685</v>
      </c>
      <c r="G750" s="33">
        <v>30600</v>
      </c>
      <c r="H750" s="138">
        <f t="shared" si="756"/>
        <v>-3.4700315457413247</v>
      </c>
      <c r="I750" s="33">
        <v>31000</v>
      </c>
      <c r="J750" s="33">
        <f>ROUNDUP(I750+(I750*Assumptions!I$5),-2)</f>
        <v>31800</v>
      </c>
      <c r="K750" s="33">
        <f>ROUNDUP(J750+(J750*Assumptions!J$5),-2)</f>
        <v>32600</v>
      </c>
      <c r="L750" s="33">
        <f>ROUNDUP(K750+(K750*Assumptions!K$5),-2)</f>
        <v>33500</v>
      </c>
      <c r="M750" s="33">
        <f>ROUNDUP(L750+(L750*Assumptions!L$5),-2)</f>
        <v>34200</v>
      </c>
      <c r="N750" s="33">
        <f>ROUNDUP(M750+(M750*Assumptions!M$5),-2)</f>
        <v>34900</v>
      </c>
      <c r="O750" s="33">
        <f>ROUNDUP(N750+(N750*Assumptions!N$5),-2)</f>
        <v>35600</v>
      </c>
      <c r="P750" s="33">
        <f>ROUNDUP(O750+(O750*Assumptions!O$5),-2)</f>
        <v>36400</v>
      </c>
      <c r="Q750" s="33">
        <f>ROUNDUP(P750+(P750*Assumptions!P$5),-2)</f>
        <v>37200</v>
      </c>
      <c r="R750" s="114">
        <f>ROUNDUP(Q750+(Q750*Assumptions!Q$5),-2)</f>
        <v>38000</v>
      </c>
    </row>
    <row r="751" spans="1:18" x14ac:dyDescent="0.2">
      <c r="A751" s="107">
        <v>0</v>
      </c>
      <c r="B751" s="33">
        <v>0</v>
      </c>
      <c r="C751" s="33">
        <v>0</v>
      </c>
      <c r="D751" s="33">
        <v>21300</v>
      </c>
      <c r="E751" s="811" t="s">
        <v>6140</v>
      </c>
      <c r="F751" s="111" t="s">
        <v>6159</v>
      </c>
      <c r="G751" s="33">
        <v>21600</v>
      </c>
      <c r="H751" s="138">
        <f t="shared" si="756"/>
        <v>1.4084507042253522</v>
      </c>
      <c r="I751" s="33">
        <v>0</v>
      </c>
      <c r="J751" s="33">
        <f>ROUNDUP(I751+(I751*Assumptions!I$5),-2)</f>
        <v>0</v>
      </c>
      <c r="K751" s="33">
        <f>ROUNDUP(J751+(J751*Assumptions!J$5),-2)</f>
        <v>0</v>
      </c>
      <c r="L751" s="33">
        <f>ROUNDUP(K751+(K751*Assumptions!K$5),-2)</f>
        <v>0</v>
      </c>
      <c r="M751" s="33">
        <f>ROUNDUP(L751+(L751*Assumptions!L$5),-2)</f>
        <v>0</v>
      </c>
      <c r="N751" s="33">
        <f>ROUNDUP(M751+(M751*Assumptions!M$5),-2)</f>
        <v>0</v>
      </c>
      <c r="O751" s="33">
        <f>ROUNDUP(N751+(N751*Assumptions!N$5),-2)</f>
        <v>0</v>
      </c>
      <c r="P751" s="33">
        <f>ROUNDUP(O751+(O751*Assumptions!O$5),-2)</f>
        <v>0</v>
      </c>
      <c r="Q751" s="33">
        <f>ROUNDUP(P751+(P751*Assumptions!P$5),-2)</f>
        <v>0</v>
      </c>
      <c r="R751" s="114">
        <f>ROUNDUP(Q751+(Q751*Assumptions!Q$5),-2)</f>
        <v>0</v>
      </c>
    </row>
    <row r="752" spans="1:18" x14ac:dyDescent="0.2">
      <c r="A752" s="107">
        <v>0</v>
      </c>
      <c r="B752" s="33">
        <v>0</v>
      </c>
      <c r="C752" s="33">
        <v>0</v>
      </c>
      <c r="D752" s="33">
        <v>0</v>
      </c>
      <c r="E752" s="811" t="s">
        <v>6563</v>
      </c>
      <c r="F752" s="111" t="s">
        <v>6291</v>
      </c>
      <c r="G752" s="33">
        <v>30000</v>
      </c>
      <c r="H752" s="138">
        <f t="shared" si="756"/>
        <v>100</v>
      </c>
      <c r="I752" s="33">
        <v>5000</v>
      </c>
      <c r="J752" s="33">
        <f>ROUNDUP(I752+(I752*Assumptions!I$5),-2)</f>
        <v>5200</v>
      </c>
      <c r="K752" s="33">
        <f>ROUNDUP(J752+(J752*Assumptions!J$5),-2)</f>
        <v>5400</v>
      </c>
      <c r="L752" s="33">
        <f>ROUNDUP(K752+(K752*Assumptions!K$5),-2)</f>
        <v>5600</v>
      </c>
      <c r="M752" s="33">
        <f>ROUNDUP(L752+(L752*Assumptions!L$5),-2)</f>
        <v>5800</v>
      </c>
      <c r="N752" s="33">
        <f>ROUNDUP(M752+(M752*Assumptions!M$5),-2)</f>
        <v>6000</v>
      </c>
      <c r="O752" s="33">
        <f>ROUNDUP(N752+(N752*Assumptions!N$5),-2)</f>
        <v>6200</v>
      </c>
      <c r="P752" s="33">
        <f>ROUNDUP(O752+(O752*Assumptions!O$5),-2)</f>
        <v>6400</v>
      </c>
      <c r="Q752" s="33">
        <f>ROUNDUP(P752+(P752*Assumptions!P$5),-2)</f>
        <v>6600</v>
      </c>
      <c r="R752" s="114">
        <f>ROUNDUP(Q752+(Q752*Assumptions!Q$5),-2)</f>
        <v>6800</v>
      </c>
    </row>
    <row r="753" spans="1:18" x14ac:dyDescent="0.2">
      <c r="A753" s="107"/>
      <c r="B753" s="33"/>
      <c r="C753" s="33"/>
      <c r="D753" s="33"/>
      <c r="E753" s="811" t="s">
        <v>7121</v>
      </c>
      <c r="F753" s="111" t="s">
        <v>7116</v>
      </c>
      <c r="G753" s="33">
        <v>4700</v>
      </c>
      <c r="H753" s="138">
        <f t="shared" si="756"/>
        <v>100</v>
      </c>
      <c r="I753" s="33">
        <v>0</v>
      </c>
      <c r="J753" s="33">
        <f>ROUNDUP(I753+(I753*Assumptions!I$5),-2)</f>
        <v>0</v>
      </c>
      <c r="K753" s="33">
        <f>ROUNDUP(J753+(J753*Assumptions!J$5),-2)</f>
        <v>0</v>
      </c>
      <c r="L753" s="33">
        <f>ROUNDUP(K753+(K753*Assumptions!K$5),-2)</f>
        <v>0</v>
      </c>
      <c r="M753" s="33">
        <f>ROUNDUP(L753+(L753*Assumptions!L$5),-2)</f>
        <v>0</v>
      </c>
      <c r="N753" s="33">
        <f>ROUNDUP(M753+(M753*Assumptions!M$5),-2)</f>
        <v>0</v>
      </c>
      <c r="O753" s="33">
        <f>ROUNDUP(N753+(N753*Assumptions!N$5),-2)</f>
        <v>0</v>
      </c>
      <c r="P753" s="33">
        <f>ROUNDUP(O753+(O753*Assumptions!O$5),-2)</f>
        <v>0</v>
      </c>
      <c r="Q753" s="33">
        <f>ROUNDUP(P753+(P753*Assumptions!P$5),-2)</f>
        <v>0</v>
      </c>
      <c r="R753" s="114">
        <f>ROUNDUP(Q753+(Q753*Assumptions!Q$5),-2)</f>
        <v>0</v>
      </c>
    </row>
    <row r="754" spans="1:18" ht="13.5" thickBot="1" x14ac:dyDescent="0.25">
      <c r="A754" s="107"/>
      <c r="B754" s="33"/>
      <c r="C754" s="33"/>
      <c r="D754" s="33"/>
      <c r="E754" s="255"/>
      <c r="F754" s="108"/>
      <c r="G754" s="33"/>
      <c r="H754" s="138"/>
      <c r="I754" s="33"/>
      <c r="J754" s="33"/>
      <c r="K754" s="33"/>
      <c r="L754" s="33"/>
      <c r="M754" s="33"/>
      <c r="N754" s="33"/>
      <c r="O754" s="33"/>
      <c r="P754" s="33"/>
      <c r="Q754" s="33"/>
      <c r="R754" s="114"/>
    </row>
    <row r="755" spans="1:18" s="92" customFormat="1" x14ac:dyDescent="0.2">
      <c r="A755" s="105">
        <f>SUBTOTAL(9,A730:A754)</f>
        <v>1577500</v>
      </c>
      <c r="B755" s="53">
        <f>SUBTOTAL(9,B730:B754)</f>
        <v>1838300</v>
      </c>
      <c r="C755" s="53">
        <f>SUBTOTAL(9,C730:C754)</f>
        <v>1913000</v>
      </c>
      <c r="D755" s="53">
        <f>SUBTOTAL(9,D730:D754)</f>
        <v>2049200</v>
      </c>
      <c r="E755" s="282"/>
      <c r="F755" s="112" t="s">
        <v>565</v>
      </c>
      <c r="G755" s="53">
        <f>SUBTOTAL(9,G730:G754)</f>
        <v>2303400</v>
      </c>
      <c r="H755" s="2485">
        <f>IF(D755=G755,0,IF(D755=0,100,(G755-D755)/D755*100))</f>
        <v>12.404840913527231</v>
      </c>
      <c r="I755" s="53">
        <f t="shared" ref="I755:Q755" si="757">SUBTOTAL(9,I730:I754)</f>
        <v>2360900</v>
      </c>
      <c r="J755" s="53">
        <f t="shared" si="757"/>
        <v>2420400</v>
      </c>
      <c r="K755" s="53">
        <f t="shared" si="757"/>
        <v>2481600</v>
      </c>
      <c r="L755" s="53">
        <f t="shared" si="757"/>
        <v>2544400</v>
      </c>
      <c r="M755" s="53">
        <f t="shared" si="757"/>
        <v>2603200</v>
      </c>
      <c r="N755" s="53">
        <f t="shared" si="757"/>
        <v>2663300</v>
      </c>
      <c r="O755" s="53">
        <f t="shared" si="757"/>
        <v>2724700</v>
      </c>
      <c r="P755" s="53">
        <f t="shared" si="757"/>
        <v>2787700</v>
      </c>
      <c r="Q755" s="53">
        <f t="shared" si="757"/>
        <v>2852100</v>
      </c>
      <c r="R755" s="113">
        <f t="shared" ref="R755" si="758">SUBTOTAL(9,R730:R754)</f>
        <v>2917900</v>
      </c>
    </row>
    <row r="756" spans="1:18" x14ac:dyDescent="0.2">
      <c r="A756" s="107"/>
      <c r="B756" s="33"/>
      <c r="C756" s="33"/>
      <c r="D756" s="33"/>
      <c r="E756" s="255"/>
      <c r="F756" s="108"/>
      <c r="G756" s="33"/>
      <c r="H756" s="138"/>
      <c r="I756" s="33"/>
      <c r="J756" s="33"/>
      <c r="K756" s="33"/>
      <c r="L756" s="33"/>
      <c r="M756" s="33"/>
      <c r="N756" s="33"/>
      <c r="O756" s="33"/>
      <c r="P756" s="33"/>
      <c r="Q756" s="33"/>
      <c r="R756" s="114"/>
    </row>
    <row r="757" spans="1:18" s="92" customFormat="1" x14ac:dyDescent="0.2">
      <c r="A757" s="70">
        <f>A728-A755</f>
        <v>-1573200</v>
      </c>
      <c r="B757" s="64">
        <f>B728-B755</f>
        <v>-1824700</v>
      </c>
      <c r="C757" s="64">
        <f>C728-C755</f>
        <v>-1895400</v>
      </c>
      <c r="D757" s="64">
        <f>D728-D755</f>
        <v>-2046100</v>
      </c>
      <c r="E757" s="282"/>
      <c r="F757" s="1963" t="s">
        <v>1019</v>
      </c>
      <c r="G757" s="64">
        <f>G728-G755</f>
        <v>-2126400</v>
      </c>
      <c r="H757" s="179">
        <f>IF(D757=G757,0,IF(D757=0,100,(G757-D757)/D757*100))</f>
        <v>3.9245393675773421</v>
      </c>
      <c r="I757" s="64">
        <f t="shared" ref="I757:Q757" si="759">I728-I755</f>
        <v>-2257900</v>
      </c>
      <c r="J757" s="64">
        <f t="shared" si="759"/>
        <v>-2314800</v>
      </c>
      <c r="K757" s="64">
        <f t="shared" si="759"/>
        <v>-2373300</v>
      </c>
      <c r="L757" s="64">
        <f t="shared" si="759"/>
        <v>-2433300</v>
      </c>
      <c r="M757" s="64">
        <f t="shared" si="759"/>
        <v>-2489800</v>
      </c>
      <c r="N757" s="64">
        <f t="shared" si="759"/>
        <v>-2547600</v>
      </c>
      <c r="O757" s="64">
        <f t="shared" si="759"/>
        <v>-2606600</v>
      </c>
      <c r="P757" s="64">
        <f t="shared" si="759"/>
        <v>-2667200</v>
      </c>
      <c r="Q757" s="64">
        <f t="shared" si="759"/>
        <v>-2729100</v>
      </c>
      <c r="R757" s="115">
        <f t="shared" ref="R757" si="760">R728-R755</f>
        <v>-2792400</v>
      </c>
    </row>
    <row r="758" spans="1:18" x14ac:dyDescent="0.2">
      <c r="A758" s="107">
        <v>0</v>
      </c>
      <c r="B758" s="33">
        <v>0</v>
      </c>
      <c r="C758" s="33">
        <v>0</v>
      </c>
      <c r="D758" s="33">
        <v>0</v>
      </c>
      <c r="E758" s="255"/>
      <c r="F758" s="320" t="s">
        <v>1976</v>
      </c>
      <c r="G758" s="33">
        <v>0</v>
      </c>
      <c r="H758" s="138">
        <f>IF(D758=G758,0,IF(D758=0,100,(G758-D758)/D758*100))</f>
        <v>0</v>
      </c>
      <c r="I758" s="33">
        <v>0</v>
      </c>
      <c r="J758" s="33">
        <v>0</v>
      </c>
      <c r="K758" s="33">
        <v>0</v>
      </c>
      <c r="L758" s="33">
        <v>0</v>
      </c>
      <c r="M758" s="33">
        <v>0</v>
      </c>
      <c r="N758" s="33">
        <v>0</v>
      </c>
      <c r="O758" s="33">
        <v>0</v>
      </c>
      <c r="P758" s="33">
        <v>0</v>
      </c>
      <c r="Q758" s="33">
        <v>0</v>
      </c>
      <c r="R758" s="114">
        <v>0</v>
      </c>
    </row>
    <row r="759" spans="1:18" s="92" customFormat="1" x14ac:dyDescent="0.2">
      <c r="A759" s="181">
        <f>A757+A758</f>
        <v>-1573200</v>
      </c>
      <c r="B759" s="397">
        <f>B757+B758</f>
        <v>-1824700</v>
      </c>
      <c r="C759" s="397">
        <f>C757+C758</f>
        <v>-1895400</v>
      </c>
      <c r="D759" s="397">
        <f>D757+D758</f>
        <v>-2046100</v>
      </c>
      <c r="E759" s="514"/>
      <c r="F759" s="515" t="s">
        <v>1687</v>
      </c>
      <c r="G759" s="397">
        <f t="shared" ref="G759:O759" si="761">G757+G758</f>
        <v>-2126400</v>
      </c>
      <c r="H759" s="395">
        <f>IF(D759=G759,0,IF(D759=0,100,(G759-D759)/D759*100))</f>
        <v>3.9245393675773421</v>
      </c>
      <c r="I759" s="397">
        <f t="shared" si="761"/>
        <v>-2257900</v>
      </c>
      <c r="J759" s="397">
        <f t="shared" si="761"/>
        <v>-2314800</v>
      </c>
      <c r="K759" s="397">
        <f t="shared" si="761"/>
        <v>-2373300</v>
      </c>
      <c r="L759" s="397">
        <f t="shared" si="761"/>
        <v>-2433300</v>
      </c>
      <c r="M759" s="397">
        <f t="shared" si="761"/>
        <v>-2489800</v>
      </c>
      <c r="N759" s="397">
        <f t="shared" si="761"/>
        <v>-2547600</v>
      </c>
      <c r="O759" s="397">
        <f t="shared" si="761"/>
        <v>-2606600</v>
      </c>
      <c r="P759" s="397">
        <f t="shared" ref="P759:Q759" si="762">P757+P758</f>
        <v>-2667200</v>
      </c>
      <c r="Q759" s="397">
        <f t="shared" si="762"/>
        <v>-2729100</v>
      </c>
      <c r="R759" s="399">
        <f t="shared" ref="R759" si="763">R757+R758</f>
        <v>-2792400</v>
      </c>
    </row>
    <row r="760" spans="1:18" ht="13.5" thickBot="1" x14ac:dyDescent="0.25">
      <c r="A760" s="171"/>
      <c r="B760" s="66"/>
      <c r="C760" s="66"/>
      <c r="D760" s="66"/>
      <c r="E760" s="558"/>
      <c r="F760" s="173"/>
      <c r="G760" s="66"/>
      <c r="H760" s="140"/>
      <c r="I760" s="121"/>
      <c r="J760" s="121"/>
      <c r="K760" s="121"/>
      <c r="L760" s="121"/>
      <c r="M760" s="121"/>
      <c r="N760" s="121"/>
      <c r="O760" s="121"/>
      <c r="P760" s="121"/>
      <c r="Q760" s="121"/>
      <c r="R760" s="161"/>
    </row>
    <row r="761" spans="1:18" ht="13.5" thickTop="1" x14ac:dyDescent="0.2">
      <c r="A761" s="383"/>
      <c r="B761" s="122"/>
      <c r="C761" s="162"/>
      <c r="D761" s="162"/>
      <c r="E761" s="286"/>
      <c r="F761" s="367"/>
      <c r="G761" s="127"/>
      <c r="H761" s="393"/>
      <c r="I761" s="127"/>
      <c r="J761" s="127"/>
      <c r="K761" s="127"/>
      <c r="L761" s="127"/>
      <c r="M761" s="127"/>
      <c r="N761" s="127"/>
      <c r="O761" s="127"/>
      <c r="P761" s="127"/>
      <c r="Q761" s="127"/>
      <c r="R761" s="163"/>
    </row>
    <row r="762" spans="1:18" x14ac:dyDescent="0.2">
      <c r="A762" s="70"/>
      <c r="B762" s="128"/>
      <c r="C762" s="64"/>
      <c r="D762" s="64"/>
      <c r="E762" s="283"/>
      <c r="F762" s="516" t="s">
        <v>196</v>
      </c>
      <c r="G762" s="33"/>
      <c r="H762" s="1990"/>
      <c r="I762" s="33"/>
      <c r="J762" s="33"/>
      <c r="K762" s="33"/>
      <c r="L762" s="33"/>
      <c r="M762" s="33"/>
      <c r="N762" s="33"/>
      <c r="O762" s="33"/>
      <c r="P762" s="33"/>
      <c r="Q762" s="33"/>
      <c r="R762" s="114"/>
    </row>
    <row r="763" spans="1:18" x14ac:dyDescent="0.2">
      <c r="A763" s="70"/>
      <c r="B763" s="128"/>
      <c r="C763" s="128"/>
      <c r="D763" s="128"/>
      <c r="E763" s="238"/>
      <c r="F763" s="371"/>
      <c r="G763" s="33"/>
      <c r="H763" s="1990"/>
      <c r="I763" s="33"/>
      <c r="J763" s="33"/>
      <c r="K763" s="33"/>
      <c r="L763" s="33"/>
      <c r="M763" s="33"/>
      <c r="N763" s="33"/>
      <c r="O763" s="33"/>
      <c r="P763" s="33"/>
      <c r="Q763" s="33"/>
      <c r="R763" s="114"/>
    </row>
    <row r="764" spans="1:18" x14ac:dyDescent="0.2">
      <c r="A764" s="107">
        <v>0</v>
      </c>
      <c r="B764" s="142">
        <v>0</v>
      </c>
      <c r="C764" s="142">
        <v>0</v>
      </c>
      <c r="D764" s="142">
        <v>0</v>
      </c>
      <c r="E764" s="238"/>
      <c r="F764" s="366" t="s">
        <v>2900</v>
      </c>
      <c r="G764" s="33">
        <v>0</v>
      </c>
      <c r="H764" s="1959"/>
      <c r="I764" s="33">
        <v>0</v>
      </c>
      <c r="J764" s="33">
        <v>0</v>
      </c>
      <c r="K764" s="33">
        <v>0</v>
      </c>
      <c r="L764" s="33">
        <v>0</v>
      </c>
      <c r="M764" s="33">
        <v>0</v>
      </c>
      <c r="N764" s="33">
        <v>0</v>
      </c>
      <c r="O764" s="33">
        <v>0</v>
      </c>
      <c r="P764" s="33">
        <v>0</v>
      </c>
      <c r="Q764" s="33">
        <v>0</v>
      </c>
      <c r="R764" s="114">
        <v>0</v>
      </c>
    </row>
    <row r="765" spans="1:18" x14ac:dyDescent="0.2">
      <c r="A765" s="107">
        <v>0</v>
      </c>
      <c r="B765" s="142">
        <v>0</v>
      </c>
      <c r="C765" s="33">
        <v>40000</v>
      </c>
      <c r="D765" s="33">
        <f>SUM('Res-Gen'!B50:'Res-Gen'!B51)</f>
        <v>54100</v>
      </c>
      <c r="E765" s="238"/>
      <c r="F765" s="366" t="s">
        <v>1942</v>
      </c>
      <c r="G765" s="33">
        <f>SUM('Res-Gen'!E50:'Res-Gen'!E53)</f>
        <v>96700</v>
      </c>
      <c r="H765" s="1959"/>
      <c r="I765" s="33">
        <f>SUM('Res-Gen'!H50:'Res-Gen'!H53)</f>
        <v>0</v>
      </c>
      <c r="J765" s="33">
        <f>'Res-Gen'!K53</f>
        <v>0</v>
      </c>
      <c r="K765" s="33">
        <f>'Res-Gen'!N53</f>
        <v>0</v>
      </c>
      <c r="L765" s="33">
        <f>'Res-Gen'!Q53</f>
        <v>0</v>
      </c>
      <c r="M765" s="33">
        <f>'Res-Gen'!T53</f>
        <v>0</v>
      </c>
      <c r="N765" s="33">
        <f>'Res-Gen'!W53</f>
        <v>0</v>
      </c>
      <c r="O765" s="33">
        <f>'Res-Gen'!Z53</f>
        <v>0</v>
      </c>
      <c r="P765" s="33">
        <f>'Res-Gen'!AC53</f>
        <v>0</v>
      </c>
      <c r="Q765" s="33">
        <f>'Res-Gen'!AF53</f>
        <v>0</v>
      </c>
      <c r="R765" s="114">
        <f>'Res-Gen'!AG53</f>
        <v>0</v>
      </c>
    </row>
    <row r="766" spans="1:18" x14ac:dyDescent="0.2">
      <c r="A766" s="107">
        <v>0</v>
      </c>
      <c r="B766" s="142">
        <v>0</v>
      </c>
      <c r="C766" s="33">
        <v>0</v>
      </c>
      <c r="D766" s="33">
        <f>SUM('Res-Gen'!C49:C53)</f>
        <v>40000</v>
      </c>
      <c r="E766" s="238"/>
      <c r="F766" s="366" t="s">
        <v>2348</v>
      </c>
      <c r="G766" s="33">
        <f>SUM('Res-Gen'!F49:F53)</f>
        <v>54100</v>
      </c>
      <c r="H766" s="1959"/>
      <c r="I766" s="33">
        <f>SUM('Res-Gen'!I49:I53)</f>
        <v>65000</v>
      </c>
      <c r="J766" s="33">
        <v>0</v>
      </c>
      <c r="K766" s="33">
        <v>0</v>
      </c>
      <c r="L766" s="33">
        <v>0</v>
      </c>
      <c r="M766" s="33">
        <v>0</v>
      </c>
      <c r="N766" s="33">
        <v>0</v>
      </c>
      <c r="O766" s="33">
        <v>0</v>
      </c>
      <c r="P766" s="33">
        <v>0</v>
      </c>
      <c r="Q766" s="33">
        <v>0</v>
      </c>
      <c r="R766" s="114">
        <v>0</v>
      </c>
    </row>
    <row r="767" spans="1:18" x14ac:dyDescent="0.2">
      <c r="A767" s="107">
        <v>0</v>
      </c>
      <c r="B767" s="142">
        <v>0</v>
      </c>
      <c r="C767" s="33">
        <v>0</v>
      </c>
      <c r="D767" s="33">
        <v>0</v>
      </c>
      <c r="E767" s="238"/>
      <c r="F767" s="366" t="s">
        <v>5984</v>
      </c>
      <c r="G767" s="33">
        <v>0</v>
      </c>
      <c r="H767" s="1959"/>
      <c r="I767" s="33">
        <v>0</v>
      </c>
      <c r="J767" s="33">
        <v>0</v>
      </c>
      <c r="K767" s="33">
        <v>0</v>
      </c>
      <c r="L767" s="33">
        <v>0</v>
      </c>
      <c r="M767" s="33">
        <v>0</v>
      </c>
      <c r="N767" s="33">
        <v>0</v>
      </c>
      <c r="O767" s="33">
        <v>0</v>
      </c>
      <c r="P767" s="33">
        <v>0</v>
      </c>
      <c r="Q767" s="33">
        <v>0</v>
      </c>
      <c r="R767" s="114">
        <v>0</v>
      </c>
    </row>
    <row r="768" spans="1:18" x14ac:dyDescent="0.2">
      <c r="A768" s="107">
        <v>20000</v>
      </c>
      <c r="B768" s="142">
        <v>26600</v>
      </c>
      <c r="C768" s="33">
        <v>11400</v>
      </c>
      <c r="D768" s="33">
        <f>SUM('Cap-Gen'!E28:E37)</f>
        <v>54300</v>
      </c>
      <c r="E768" s="238"/>
      <c r="F768" s="366" t="s">
        <v>972</v>
      </c>
      <c r="G768" s="33">
        <f>SUM('Cap-Gen'!F28:F34)</f>
        <v>103500</v>
      </c>
      <c r="H768" s="1959"/>
      <c r="I768" s="33">
        <f>SUM('Cap-Gen'!G28:G34)</f>
        <v>87000</v>
      </c>
      <c r="J768" s="33">
        <f>SUM('Cap-Gen'!H28:H34)</f>
        <v>23000</v>
      </c>
      <c r="K768" s="33">
        <f>SUM('Cap-Gen'!I28:I34)</f>
        <v>24000</v>
      </c>
      <c r="L768" s="33">
        <f>SUM('Cap-Gen'!J28:J34)</f>
        <v>25000</v>
      </c>
      <c r="M768" s="33">
        <f>SUM('Cap-Gen'!K28:K34)</f>
        <v>26000</v>
      </c>
      <c r="N768" s="33">
        <f>SUM('Cap-Gen'!L28:L34)</f>
        <v>27000</v>
      </c>
      <c r="O768" s="33">
        <f>SUM('Cap-Gen'!M28:M34)</f>
        <v>28000</v>
      </c>
      <c r="P768" s="33">
        <f>SUM('Cap-Gen'!N28:N34)</f>
        <v>29000</v>
      </c>
      <c r="Q768" s="33">
        <f>SUM('Cap-Gen'!O28:O34)</f>
        <v>30000</v>
      </c>
      <c r="R768" s="114">
        <f>SUM('Cap-Gen'!P28:P34)</f>
        <v>31000</v>
      </c>
    </row>
    <row r="769" spans="1:18" x14ac:dyDescent="0.2">
      <c r="A769" s="107"/>
      <c r="B769" s="142"/>
      <c r="C769" s="33"/>
      <c r="D769" s="33"/>
      <c r="E769" s="283"/>
      <c r="F769" s="516"/>
      <c r="G769" s="33"/>
      <c r="H769" s="1959"/>
      <c r="I769" s="33"/>
      <c r="J769" s="33"/>
      <c r="K769" s="33"/>
      <c r="L769" s="33"/>
      <c r="M769" s="33"/>
      <c r="N769" s="33"/>
      <c r="O769" s="33"/>
      <c r="P769" s="33"/>
      <c r="Q769" s="33"/>
      <c r="R769" s="114"/>
    </row>
    <row r="770" spans="1:18" s="92" customFormat="1" x14ac:dyDescent="0.2">
      <c r="A770" s="181">
        <f>A759-A764-A765+A766++A767-A768</f>
        <v>-1593200</v>
      </c>
      <c r="B770" s="377">
        <f>B759-B764-B765+B766++B767-B768</f>
        <v>-1851300</v>
      </c>
      <c r="C770" s="397">
        <f>C759-C764-C765+C766++C767-C768</f>
        <v>-1946800</v>
      </c>
      <c r="D770" s="397">
        <f>D759-D764-D765+D766++D767-D768</f>
        <v>-2114500</v>
      </c>
      <c r="E770" s="517"/>
      <c r="F770" s="518" t="s">
        <v>2490</v>
      </c>
      <c r="G770" s="397">
        <f t="shared" ref="G770:O770" si="764">G759-G764-G765+G766++G767-G768</f>
        <v>-2272500</v>
      </c>
      <c r="H770" s="395">
        <f>IF(D770=G770,0,IF(D770=0,100,(G770-D770)/D770*100))</f>
        <v>7.4722156538188695</v>
      </c>
      <c r="I770" s="397">
        <f t="shared" si="764"/>
        <v>-2279900</v>
      </c>
      <c r="J770" s="397">
        <f t="shared" si="764"/>
        <v>-2337800</v>
      </c>
      <c r="K770" s="397">
        <f t="shared" si="764"/>
        <v>-2397300</v>
      </c>
      <c r="L770" s="397">
        <f t="shared" si="764"/>
        <v>-2458300</v>
      </c>
      <c r="M770" s="397">
        <f t="shared" si="764"/>
        <v>-2515800</v>
      </c>
      <c r="N770" s="397">
        <f t="shared" si="764"/>
        <v>-2574600</v>
      </c>
      <c r="O770" s="397">
        <f t="shared" si="764"/>
        <v>-2634600</v>
      </c>
      <c r="P770" s="397">
        <f t="shared" ref="P770:Q770" si="765">P759-P764-P765+P766++P767-P768</f>
        <v>-2696200</v>
      </c>
      <c r="Q770" s="397">
        <f t="shared" si="765"/>
        <v>-2759100</v>
      </c>
      <c r="R770" s="399">
        <f t="shared" ref="R770" si="766">R759-R764-R765+R766++R767-R768</f>
        <v>-2823400</v>
      </c>
    </row>
    <row r="771" spans="1:18" ht="13.5" thickBot="1" x14ac:dyDescent="0.25">
      <c r="A771" s="73"/>
      <c r="B771" s="134"/>
      <c r="C771" s="90"/>
      <c r="D771" s="90"/>
      <c r="E771" s="284"/>
      <c r="F771" s="368"/>
      <c r="G771" s="66"/>
      <c r="H771" s="394"/>
      <c r="I771" s="66"/>
      <c r="J771" s="66"/>
      <c r="K771" s="66"/>
      <c r="L771" s="66"/>
      <c r="M771" s="66"/>
      <c r="N771" s="66"/>
      <c r="O771" s="66"/>
      <c r="P771" s="66"/>
      <c r="Q771" s="66"/>
      <c r="R771" s="165"/>
    </row>
    <row r="772" spans="1:18" ht="14.25" thickTop="1" thickBot="1" x14ac:dyDescent="0.25">
      <c r="A772" s="99"/>
      <c r="B772" s="99"/>
      <c r="E772" s="283"/>
      <c r="F772" s="108"/>
      <c r="H772" s="123"/>
    </row>
    <row r="773" spans="1:18" s="91" customFormat="1" ht="18.75" customHeight="1" thickTop="1" thickBot="1" x14ac:dyDescent="0.3">
      <c r="A773" s="2903" t="str">
        <f>A283</f>
        <v>HUMAN RESOURCES AND RISK MANAGEMENT</v>
      </c>
      <c r="B773" s="2904"/>
      <c r="C773" s="2904"/>
      <c r="D773" s="2904"/>
      <c r="E773" s="2904"/>
      <c r="F773" s="2904"/>
      <c r="G773" s="2904"/>
      <c r="H773" s="2904"/>
      <c r="I773" s="2904"/>
      <c r="J773" s="2904"/>
      <c r="K773" s="2904"/>
      <c r="L773" s="2904"/>
      <c r="M773" s="2904"/>
      <c r="N773" s="2904"/>
      <c r="O773" s="2904"/>
      <c r="P773" s="2904"/>
      <c r="Q773" s="2904"/>
      <c r="R773" s="2905"/>
    </row>
    <row r="774" spans="1:18" s="44" customFormat="1" x14ac:dyDescent="0.2">
      <c r="A774" s="2888" t="s">
        <v>1856</v>
      </c>
      <c r="B774" s="2889"/>
      <c r="C774" s="2889"/>
      <c r="D774" s="2890"/>
      <c r="E774" s="513" t="s">
        <v>2663</v>
      </c>
      <c r="F774" s="2649" t="s">
        <v>2251</v>
      </c>
      <c r="G774" s="2885" t="s">
        <v>2253</v>
      </c>
      <c r="H774" s="2886"/>
      <c r="I774" s="2886"/>
      <c r="J774" s="2886"/>
      <c r="K774" s="2886"/>
      <c r="L774" s="2886"/>
      <c r="M774" s="2886"/>
      <c r="N774" s="2886"/>
      <c r="O774" s="2886"/>
      <c r="P774" s="2886"/>
      <c r="Q774" s="2886"/>
      <c r="R774" s="2887"/>
    </row>
    <row r="775" spans="1:18" s="23" customFormat="1" ht="13.5" thickBot="1" x14ac:dyDescent="0.25">
      <c r="A775" s="208" t="str">
        <f>A3</f>
        <v>2012/13</v>
      </c>
      <c r="B775" s="218" t="str">
        <f>B3</f>
        <v>2013/14</v>
      </c>
      <c r="C775" s="370" t="str">
        <f>C3</f>
        <v>2014/15</v>
      </c>
      <c r="D775" s="93" t="str">
        <f>D3</f>
        <v>2015/16</v>
      </c>
      <c r="E775" s="370" t="s">
        <v>2664</v>
      </c>
      <c r="F775" s="42"/>
      <c r="G775" s="93" t="str">
        <f>G3</f>
        <v>2016/17</v>
      </c>
      <c r="H775" s="2095" t="s">
        <v>501</v>
      </c>
      <c r="I775" s="370" t="str">
        <f t="shared" ref="I775:R775" si="767">I3</f>
        <v>2017/18</v>
      </c>
      <c r="J775" s="370" t="str">
        <f t="shared" si="767"/>
        <v>2018/19</v>
      </c>
      <c r="K775" s="370" t="str">
        <f t="shared" si="767"/>
        <v>2019/20</v>
      </c>
      <c r="L775" s="370" t="str">
        <f t="shared" si="767"/>
        <v>2020/21</v>
      </c>
      <c r="M775" s="370" t="str">
        <f t="shared" si="767"/>
        <v>2021/22</v>
      </c>
      <c r="N775" s="370" t="str">
        <f t="shared" si="767"/>
        <v>2022/23</v>
      </c>
      <c r="O775" s="370" t="str">
        <f t="shared" si="767"/>
        <v>2023/24</v>
      </c>
      <c r="P775" s="370" t="str">
        <f t="shared" si="767"/>
        <v>2024/25</v>
      </c>
      <c r="Q775" s="218" t="str">
        <f t="shared" si="767"/>
        <v>2025/26</v>
      </c>
      <c r="R775" s="549" t="str">
        <f t="shared" si="767"/>
        <v>2026/27</v>
      </c>
    </row>
    <row r="776" spans="1:18" x14ac:dyDescent="0.2">
      <c r="A776" s="107"/>
      <c r="B776" s="33"/>
      <c r="C776" s="33"/>
      <c r="D776" s="33"/>
      <c r="E776" s="252"/>
      <c r="F776" s="74"/>
      <c r="G776" s="33"/>
      <c r="H776" s="138"/>
      <c r="I776" s="33"/>
      <c r="J776" s="33"/>
      <c r="K776" s="33"/>
      <c r="L776" s="33"/>
      <c r="M776" s="33"/>
      <c r="N776" s="33"/>
      <c r="O776" s="33"/>
      <c r="P776" s="33"/>
      <c r="Q776" s="33"/>
      <c r="R776" s="114"/>
    </row>
    <row r="777" spans="1:18" x14ac:dyDescent="0.2">
      <c r="A777" s="107"/>
      <c r="B777" s="33"/>
      <c r="C777" s="33"/>
      <c r="D777" s="33"/>
      <c r="E777" s="252"/>
      <c r="F777" s="144" t="s">
        <v>1073</v>
      </c>
      <c r="G777" s="33"/>
      <c r="H777" s="138"/>
      <c r="I777" s="33"/>
      <c r="J777" s="33"/>
      <c r="K777" s="33"/>
      <c r="L777" s="33"/>
      <c r="M777" s="33"/>
      <c r="N777" s="33"/>
      <c r="O777" s="33"/>
      <c r="P777" s="33"/>
      <c r="Q777" s="33"/>
      <c r="R777" s="114"/>
    </row>
    <row r="778" spans="1:18" x14ac:dyDescent="0.2">
      <c r="A778" s="107"/>
      <c r="B778" s="33"/>
      <c r="C778" s="33"/>
      <c r="D778" s="33"/>
      <c r="E778" s="252"/>
      <c r="F778" s="365"/>
      <c r="G778" s="33"/>
      <c r="H778" s="138"/>
      <c r="I778" s="33"/>
      <c r="J778" s="33"/>
      <c r="K778" s="33"/>
      <c r="L778" s="33"/>
      <c r="M778" s="33"/>
      <c r="N778" s="33"/>
      <c r="O778" s="33"/>
      <c r="P778" s="33"/>
      <c r="Q778" s="33"/>
      <c r="R778" s="114"/>
    </row>
    <row r="779" spans="1:18" x14ac:dyDescent="0.2">
      <c r="A779" s="107"/>
      <c r="B779" s="33"/>
      <c r="C779" s="33"/>
      <c r="D779" s="33"/>
      <c r="E779" s="343"/>
      <c r="F779" s="1133" t="s">
        <v>687</v>
      </c>
      <c r="G779" s="33"/>
      <c r="H779" s="138"/>
      <c r="I779" s="33"/>
      <c r="J779" s="33"/>
      <c r="K779" s="33"/>
      <c r="L779" s="33"/>
      <c r="M779" s="33"/>
      <c r="N779" s="33"/>
      <c r="O779" s="33"/>
      <c r="P779" s="33"/>
      <c r="Q779" s="33"/>
      <c r="R779" s="114"/>
    </row>
    <row r="780" spans="1:18" x14ac:dyDescent="0.2">
      <c r="A780" s="107">
        <v>13000</v>
      </c>
      <c r="B780" s="33">
        <v>47100</v>
      </c>
      <c r="C780" s="33">
        <f>3000+29000</f>
        <v>32000</v>
      </c>
      <c r="D780" s="33">
        <v>34600</v>
      </c>
      <c r="E780" s="343" t="s">
        <v>2443</v>
      </c>
      <c r="F780" s="351" t="s">
        <v>899</v>
      </c>
      <c r="G780" s="33">
        <v>18000</v>
      </c>
      <c r="H780" s="138">
        <f>IF(D780=G780,0,IF(D780=0,100,(G780-D780)/D780*100))</f>
        <v>-47.97687861271676</v>
      </c>
      <c r="I780" s="33">
        <f>ROUNDUP(G780+(G780*Assumptions!H$5),-2)</f>
        <v>18300</v>
      </c>
      <c r="J780" s="33">
        <f>ROUNDUP(I780+(I780*Assumptions!I$5),-2)</f>
        <v>18800</v>
      </c>
      <c r="K780" s="33">
        <f>ROUNDUP(J780+(J780*Assumptions!J$5),-2)</f>
        <v>19300</v>
      </c>
      <c r="L780" s="33">
        <f>ROUNDUP(K780+(K780*Assumptions!K$5),-2)</f>
        <v>19800</v>
      </c>
      <c r="M780" s="33">
        <f>ROUNDUP(L780+(L780*Assumptions!L$5),-2)</f>
        <v>20200</v>
      </c>
      <c r="N780" s="33">
        <f>ROUNDUP(M780+(M780*Assumptions!M$5),-2)</f>
        <v>20700</v>
      </c>
      <c r="O780" s="33">
        <f>ROUNDUP(N780+(N780*Assumptions!N$5),-2)</f>
        <v>21200</v>
      </c>
      <c r="P780" s="33">
        <f>ROUNDUP(O780+(O780*Assumptions!O$5),-2)</f>
        <v>21700</v>
      </c>
      <c r="Q780" s="33">
        <f>ROUNDUP(P780+(P780*Assumptions!P$5),-2)</f>
        <v>22200</v>
      </c>
      <c r="R780" s="114">
        <f>ROUNDUP(Q780+(Q780*Assumptions!Q$5),-2)</f>
        <v>22700</v>
      </c>
    </row>
    <row r="781" spans="1:18" x14ac:dyDescent="0.2">
      <c r="A781" s="107">
        <v>60500</v>
      </c>
      <c r="B781" s="33">
        <v>29400</v>
      </c>
      <c r="C781" s="33">
        <v>26800</v>
      </c>
      <c r="D781" s="33">
        <v>29300</v>
      </c>
      <c r="E781" s="343" t="s">
        <v>2444</v>
      </c>
      <c r="F781" s="351" t="s">
        <v>2829</v>
      </c>
      <c r="G781" s="33">
        <f>15000+5000</f>
        <v>20000</v>
      </c>
      <c r="H781" s="138">
        <f>IF(D781=G781,0,IF(D781=0,100,(G781-D781)/D781*100))</f>
        <v>-31.74061433447099</v>
      </c>
      <c r="I781" s="33">
        <f>ROUNDUP(G781+(G781*Assumptions!H$5),-2)</f>
        <v>20300</v>
      </c>
      <c r="J781" s="33">
        <f>ROUNDUP(I781+(I781*Assumptions!I$5),-2)</f>
        <v>20900</v>
      </c>
      <c r="K781" s="33">
        <f>ROUNDUP(J781+(J781*Assumptions!J$5),-2)</f>
        <v>21500</v>
      </c>
      <c r="L781" s="33">
        <f>ROUNDUP(K781+(K781*Assumptions!K$5),-2)</f>
        <v>22100</v>
      </c>
      <c r="M781" s="33">
        <f>ROUNDUP(L781+(L781*Assumptions!L$5),-2)</f>
        <v>22600</v>
      </c>
      <c r="N781" s="33">
        <f>ROUNDUP(M781+(M781*Assumptions!M$5),-2)</f>
        <v>23100</v>
      </c>
      <c r="O781" s="33">
        <f>ROUNDUP(N781+(N781*Assumptions!N$5),-2)</f>
        <v>23600</v>
      </c>
      <c r="P781" s="33">
        <f>ROUNDUP(O781+(O781*Assumptions!O$5),-2)</f>
        <v>24100</v>
      </c>
      <c r="Q781" s="33">
        <f>ROUNDUP(P781+(P781*Assumptions!P$5),-2)</f>
        <v>24600</v>
      </c>
      <c r="R781" s="114">
        <f>ROUNDUP(Q781+(Q781*Assumptions!Q$5),-2)</f>
        <v>25100</v>
      </c>
    </row>
    <row r="782" spans="1:18" x14ac:dyDescent="0.2">
      <c r="A782" s="107">
        <v>16000</v>
      </c>
      <c r="B782" s="33">
        <v>7500</v>
      </c>
      <c r="C782" s="33">
        <v>9000</v>
      </c>
      <c r="D782" s="33">
        <v>11800</v>
      </c>
      <c r="E782" s="343" t="s">
        <v>2315</v>
      </c>
      <c r="F782" s="351" t="s">
        <v>1904</v>
      </c>
      <c r="G782" s="33">
        <f>20000-5000</f>
        <v>15000</v>
      </c>
      <c r="H782" s="138">
        <f>IF(D782=G782,0,IF(D782=0,100,(G782-D782)/D782*100))</f>
        <v>27.118644067796609</v>
      </c>
      <c r="I782" s="33">
        <f>ROUNDUP(G782+(G782*Assumptions!H$5),-2)</f>
        <v>15300</v>
      </c>
      <c r="J782" s="33">
        <f>ROUNDUP(I782+(I782*Assumptions!I$5),-2)</f>
        <v>15700</v>
      </c>
      <c r="K782" s="33">
        <f>ROUNDUP(J782+(J782*Assumptions!J$5),-2)</f>
        <v>16100</v>
      </c>
      <c r="L782" s="33">
        <f>ROUNDUP(K782+(K782*Assumptions!K$5),-2)</f>
        <v>16600</v>
      </c>
      <c r="M782" s="33">
        <f>ROUNDUP(L782+(L782*Assumptions!L$5),-2)</f>
        <v>17000</v>
      </c>
      <c r="N782" s="33">
        <f>ROUNDUP(M782+(M782*Assumptions!M$5),-2)</f>
        <v>17400</v>
      </c>
      <c r="O782" s="33">
        <f>ROUNDUP(N782+(N782*Assumptions!N$5),-2)</f>
        <v>17800</v>
      </c>
      <c r="P782" s="33">
        <f>ROUNDUP(O782+(O782*Assumptions!O$5),-2)</f>
        <v>18200</v>
      </c>
      <c r="Q782" s="33">
        <f>ROUNDUP(P782+(P782*Assumptions!P$5),-2)</f>
        <v>18600</v>
      </c>
      <c r="R782" s="114">
        <f>ROUNDUP(Q782+(Q782*Assumptions!Q$5),-2)</f>
        <v>19000</v>
      </c>
    </row>
    <row r="783" spans="1:18" x14ac:dyDescent="0.2">
      <c r="A783" s="107"/>
      <c r="B783" s="33"/>
      <c r="C783" s="33"/>
      <c r="D783" s="33"/>
      <c r="E783" s="343"/>
      <c r="F783" s="2006" t="s">
        <v>428</v>
      </c>
      <c r="G783" s="33"/>
      <c r="H783" s="138"/>
      <c r="I783" s="33"/>
      <c r="J783" s="33"/>
      <c r="K783" s="33"/>
      <c r="L783" s="33"/>
      <c r="M783" s="33"/>
      <c r="N783" s="33"/>
      <c r="O783" s="33"/>
      <c r="P783" s="33"/>
      <c r="Q783" s="33"/>
      <c r="R783" s="114"/>
    </row>
    <row r="784" spans="1:18" x14ac:dyDescent="0.2">
      <c r="A784" s="107">
        <v>66800</v>
      </c>
      <c r="B784" s="33">
        <v>45800</v>
      </c>
      <c r="C784" s="33">
        <v>79700</v>
      </c>
      <c r="D784" s="33">
        <v>50300</v>
      </c>
      <c r="E784" s="343" t="s">
        <v>2169</v>
      </c>
      <c r="F784" s="351" t="s">
        <v>1029</v>
      </c>
      <c r="G784" s="33">
        <f>51000+15000+105000</f>
        <v>171000</v>
      </c>
      <c r="H784" s="138">
        <f>IF(D784=G784,0,IF(D784=0,100,(G784-D784)/D784*100))</f>
        <v>239.96023856858847</v>
      </c>
      <c r="I784" s="33">
        <v>52100</v>
      </c>
      <c r="J784" s="33">
        <f>ROUNDUP(I784+(I784*Assumptions!I$5),-2)</f>
        <v>53500</v>
      </c>
      <c r="K784" s="33">
        <f>ROUNDUP(J784+(J784*Assumptions!J$5),-2)</f>
        <v>54900</v>
      </c>
      <c r="L784" s="33">
        <f>ROUNDUP(K784+(K784*Assumptions!K$5),-2)</f>
        <v>56300</v>
      </c>
      <c r="M784" s="33">
        <f>ROUNDUP(L784+(L784*Assumptions!L$5),-2)</f>
        <v>57500</v>
      </c>
      <c r="N784" s="33">
        <f>ROUNDUP(M784+(M784*Assumptions!M$5),-2)</f>
        <v>58700</v>
      </c>
      <c r="O784" s="33">
        <f>ROUNDUP(N784+(N784*Assumptions!N$5),-2)</f>
        <v>59900</v>
      </c>
      <c r="P784" s="33">
        <f>ROUNDUP(O784+(O784*Assumptions!O$5),-2)</f>
        <v>61100</v>
      </c>
      <c r="Q784" s="33">
        <f>ROUNDUP(P784+(P784*Assumptions!P$5),-2)</f>
        <v>62400</v>
      </c>
      <c r="R784" s="114">
        <f>ROUNDUP(Q784+(Q784*Assumptions!Q$5),-2)</f>
        <v>63700</v>
      </c>
    </row>
    <row r="785" spans="1:18" x14ac:dyDescent="0.2">
      <c r="A785" s="107">
        <v>0</v>
      </c>
      <c r="B785" s="132">
        <f>1600+200</f>
        <v>1800</v>
      </c>
      <c r="C785" s="132">
        <v>700</v>
      </c>
      <c r="D785" s="33">
        <v>600</v>
      </c>
      <c r="E785" s="821" t="s">
        <v>5259</v>
      </c>
      <c r="F785" s="916" t="s">
        <v>2721</v>
      </c>
      <c r="G785" s="33">
        <f>1000-1000</f>
        <v>0</v>
      </c>
      <c r="H785" s="138">
        <f>IF(D785=G785,0,IF(D785=0,100,(G785-D785)/D785*100))</f>
        <v>-100</v>
      </c>
      <c r="I785" s="33">
        <f>ROUNDUP(G785+(G785*Assumptions!H$5),-2)</f>
        <v>0</v>
      </c>
      <c r="J785" s="33">
        <f>ROUNDUP(I785+(I785*Assumptions!I$5),-2)</f>
        <v>0</v>
      </c>
      <c r="K785" s="33">
        <f>ROUNDUP(J785+(J785*Assumptions!J$5),-2)</f>
        <v>0</v>
      </c>
      <c r="L785" s="33">
        <f>ROUNDUP(K785+(K785*Assumptions!K$5),-2)</f>
        <v>0</v>
      </c>
      <c r="M785" s="33">
        <f>ROUNDUP(L785+(L785*Assumptions!L$5),-2)</f>
        <v>0</v>
      </c>
      <c r="N785" s="33">
        <f>ROUNDUP(M785+(M785*Assumptions!M$5),-2)</f>
        <v>0</v>
      </c>
      <c r="O785" s="33">
        <f>ROUNDUP(N785+(N785*Assumptions!N$5),-2)</f>
        <v>0</v>
      </c>
      <c r="P785" s="33">
        <f>ROUNDUP(O785+(O785*Assumptions!O$5),-2)</f>
        <v>0</v>
      </c>
      <c r="Q785" s="33">
        <f>ROUNDUP(P785+(P785*Assumptions!P$5),-2)</f>
        <v>0</v>
      </c>
      <c r="R785" s="114">
        <f>ROUNDUP(Q785+(Q785*Assumptions!Q$5),-2)</f>
        <v>0</v>
      </c>
    </row>
    <row r="786" spans="1:18" x14ac:dyDescent="0.2">
      <c r="A786" s="107">
        <v>76400</v>
      </c>
      <c r="B786" s="33">
        <v>58300</v>
      </c>
      <c r="C786" s="33">
        <v>147200</v>
      </c>
      <c r="D786" s="33">
        <v>64800</v>
      </c>
      <c r="E786" s="343" t="s">
        <v>1377</v>
      </c>
      <c r="F786" s="351" t="s">
        <v>2461</v>
      </c>
      <c r="G786" s="132">
        <f>66000+33000</f>
        <v>99000</v>
      </c>
      <c r="H786" s="138">
        <f>IF(D786=G786,0,IF(D786=0,100,(G786-D786)/D786*100))</f>
        <v>52.777777777777779</v>
      </c>
      <c r="I786" s="33">
        <v>67000</v>
      </c>
      <c r="J786" s="33">
        <f>ROUNDUP(I786+(I786*Assumptions!I$5),-2)</f>
        <v>68700</v>
      </c>
      <c r="K786" s="33">
        <f>ROUNDUP(J786+(J786*Assumptions!J$5),-2)</f>
        <v>70500</v>
      </c>
      <c r="L786" s="33">
        <f>ROUNDUP(K786+(K786*Assumptions!K$5),-2)</f>
        <v>72300</v>
      </c>
      <c r="M786" s="33">
        <f>ROUNDUP(L786+(L786*Assumptions!L$5),-2)</f>
        <v>73800</v>
      </c>
      <c r="N786" s="33">
        <f>ROUNDUP(M786+(M786*Assumptions!M$5),-2)</f>
        <v>75300</v>
      </c>
      <c r="O786" s="33">
        <f>ROUNDUP(N786+(N786*Assumptions!N$5),-2)</f>
        <v>76900</v>
      </c>
      <c r="P786" s="33">
        <f>ROUNDUP(O786+(O786*Assumptions!O$5),-2)</f>
        <v>78500</v>
      </c>
      <c r="Q786" s="33">
        <f>ROUNDUP(P786+(P786*Assumptions!P$5),-2)</f>
        <v>80100</v>
      </c>
      <c r="R786" s="114">
        <f>ROUNDUP(Q786+(Q786*Assumptions!Q$5),-2)</f>
        <v>81800</v>
      </c>
    </row>
    <row r="787" spans="1:18" ht="13.5" thickBot="1" x14ac:dyDescent="0.25">
      <c r="A787" s="70"/>
      <c r="B787" s="64"/>
      <c r="C787" s="183"/>
      <c r="D787" s="64"/>
      <c r="E787" s="343"/>
      <c r="F787" s="64"/>
      <c r="G787" s="33"/>
      <c r="H787" s="179"/>
      <c r="I787" s="33"/>
      <c r="J787" s="33"/>
      <c r="K787" s="33"/>
      <c r="L787" s="33"/>
      <c r="M787" s="33"/>
      <c r="N787" s="33"/>
      <c r="O787" s="33"/>
      <c r="P787" s="33"/>
      <c r="Q787" s="33"/>
      <c r="R787" s="114"/>
    </row>
    <row r="788" spans="1:18" x14ac:dyDescent="0.2">
      <c r="A788" s="105">
        <f>SUM(A777:A787)</f>
        <v>232700</v>
      </c>
      <c r="B788" s="53">
        <f>SUM(B777:B787)</f>
        <v>189900</v>
      </c>
      <c r="C788" s="53">
        <f>SUM(C777:C787)</f>
        <v>295400</v>
      </c>
      <c r="D788" s="53">
        <f>SUM(D777:D787)</f>
        <v>191400</v>
      </c>
      <c r="E788" s="343"/>
      <c r="F788" s="378" t="s">
        <v>2605</v>
      </c>
      <c r="G788" s="53">
        <f t="shared" ref="G788:O788" si="768">SUM(G777:G787)</f>
        <v>323000</v>
      </c>
      <c r="H788" s="2485">
        <f>IF(E788=G788,0,IF(E788=0,100,(G788-E788)/E788*100))</f>
        <v>100</v>
      </c>
      <c r="I788" s="53">
        <f t="shared" si="768"/>
        <v>173000</v>
      </c>
      <c r="J788" s="53">
        <f t="shared" si="768"/>
        <v>177600</v>
      </c>
      <c r="K788" s="53">
        <f t="shared" si="768"/>
        <v>182300</v>
      </c>
      <c r="L788" s="53">
        <f t="shared" si="768"/>
        <v>187100</v>
      </c>
      <c r="M788" s="53">
        <f t="shared" si="768"/>
        <v>191100</v>
      </c>
      <c r="N788" s="53">
        <f t="shared" si="768"/>
        <v>195200</v>
      </c>
      <c r="O788" s="53">
        <f t="shared" si="768"/>
        <v>199400</v>
      </c>
      <c r="P788" s="53">
        <f t="shared" ref="P788:Q788" si="769">SUM(P777:P787)</f>
        <v>203600</v>
      </c>
      <c r="Q788" s="53">
        <f t="shared" si="769"/>
        <v>207900</v>
      </c>
      <c r="R788" s="113">
        <f t="shared" ref="R788" si="770">SUM(R777:R787)</f>
        <v>212300</v>
      </c>
    </row>
    <row r="789" spans="1:18" x14ac:dyDescent="0.2">
      <c r="A789" s="107"/>
      <c r="B789" s="33"/>
      <c r="C789" s="33"/>
      <c r="D789" s="33"/>
      <c r="E789" s="343"/>
      <c r="F789" s="378"/>
      <c r="G789" s="33"/>
      <c r="H789" s="138"/>
      <c r="I789" s="33"/>
      <c r="J789" s="33"/>
      <c r="K789" s="33"/>
      <c r="L789" s="33"/>
      <c r="M789" s="33"/>
      <c r="N789" s="33"/>
      <c r="O789" s="33"/>
      <c r="P789" s="33"/>
      <c r="Q789" s="33"/>
      <c r="R789" s="114"/>
    </row>
    <row r="790" spans="1:18" x14ac:dyDescent="0.2">
      <c r="A790" s="107"/>
      <c r="B790" s="33"/>
      <c r="C790" s="33"/>
      <c r="D790" s="33"/>
      <c r="E790" s="343"/>
      <c r="F790" s="365" t="s">
        <v>2205</v>
      </c>
      <c r="G790" s="33"/>
      <c r="H790" s="138"/>
      <c r="I790" s="33"/>
      <c r="J790" s="33"/>
      <c r="K790" s="33"/>
      <c r="L790" s="33"/>
      <c r="M790" s="33"/>
      <c r="N790" s="33"/>
      <c r="O790" s="33"/>
      <c r="P790" s="33"/>
      <c r="Q790" s="33"/>
      <c r="R790" s="114"/>
    </row>
    <row r="791" spans="1:18" x14ac:dyDescent="0.2">
      <c r="A791" s="107"/>
      <c r="B791" s="33"/>
      <c r="C791" s="33"/>
      <c r="D791" s="33"/>
      <c r="E791" s="343"/>
      <c r="F791" s="365"/>
      <c r="G791" s="33"/>
      <c r="H791" s="138"/>
      <c r="I791" s="33"/>
      <c r="J791" s="33"/>
      <c r="K791" s="33"/>
      <c r="L791" s="33"/>
      <c r="M791" s="33"/>
      <c r="N791" s="33"/>
      <c r="O791" s="33"/>
      <c r="P791" s="33"/>
      <c r="Q791" s="33"/>
      <c r="R791" s="114"/>
    </row>
    <row r="792" spans="1:18" x14ac:dyDescent="0.2">
      <c r="A792" s="107"/>
      <c r="B792" s="33"/>
      <c r="C792" s="33"/>
      <c r="D792" s="33"/>
      <c r="E792" s="343"/>
      <c r="F792" s="371" t="s">
        <v>1249</v>
      </c>
      <c r="G792" s="33"/>
      <c r="H792" s="138"/>
      <c r="I792" s="33"/>
      <c r="J792" s="33"/>
      <c r="K792" s="33"/>
      <c r="L792" s="33"/>
      <c r="M792" s="33"/>
      <c r="N792" s="33"/>
      <c r="O792" s="33"/>
      <c r="P792" s="33"/>
      <c r="Q792" s="33"/>
      <c r="R792" s="114"/>
    </row>
    <row r="793" spans="1:18" x14ac:dyDescent="0.2">
      <c r="A793" s="107">
        <v>687700</v>
      </c>
      <c r="B793" s="33">
        <f>642900-2900</f>
        <v>640000</v>
      </c>
      <c r="C793" s="33">
        <v>675500</v>
      </c>
      <c r="D793" s="33">
        <v>730900</v>
      </c>
      <c r="E793" s="343" t="s">
        <v>882</v>
      </c>
      <c r="F793" s="366" t="s">
        <v>1239</v>
      </c>
      <c r="G793" s="33">
        <f>763000+15000+10000</f>
        <v>788000</v>
      </c>
      <c r="H793" s="138">
        <f>IF(D793=G793,0,IF(D793=0,100,(G793-D793)/D793*100))</f>
        <v>7.8122862224654535</v>
      </c>
      <c r="I793" s="33">
        <f>ROUNDUP(G793+(G793*Assumptions!H$13),-2)</f>
        <v>803800</v>
      </c>
      <c r="J793" s="33">
        <f>ROUND((I793*Assumptions!I$13)+GM!I793,-2)</f>
        <v>823900</v>
      </c>
      <c r="K793" s="33">
        <f>ROUND((J793*Assumptions!J$13)+GM!J793,-2)</f>
        <v>844500</v>
      </c>
      <c r="L793" s="33">
        <f>ROUND((K793*Assumptions!K$13)+GM!K793,-2)</f>
        <v>865600</v>
      </c>
      <c r="M793" s="33">
        <f>ROUND((L793*Assumptions!L$13)+GM!L793,-2)</f>
        <v>887200</v>
      </c>
      <c r="N793" s="33">
        <f>ROUND((M793*Assumptions!M$13)+GM!M793,-2)</f>
        <v>909400</v>
      </c>
      <c r="O793" s="33">
        <f>ROUND((N793*Assumptions!N$13)+GM!N793,-2)</f>
        <v>932100</v>
      </c>
      <c r="P793" s="33">
        <f>ROUND((O793*Assumptions!O$13)+GM!O793,-2)</f>
        <v>955400</v>
      </c>
      <c r="Q793" s="33">
        <f>ROUND((P793*Assumptions!P$13)+GM!P793,-2)</f>
        <v>979300</v>
      </c>
      <c r="R793" s="114">
        <f>ROUND((Q793*Assumptions!Q$13)+GM!Q793,-2)</f>
        <v>1003800</v>
      </c>
    </row>
    <row r="794" spans="1:18" x14ac:dyDescent="0.2">
      <c r="A794" s="107">
        <v>2900</v>
      </c>
      <c r="B794" s="33">
        <v>2300</v>
      </c>
      <c r="C794" s="33">
        <v>3100</v>
      </c>
      <c r="D794" s="33">
        <v>2200</v>
      </c>
      <c r="E794" s="343" t="s">
        <v>1567</v>
      </c>
      <c r="F794" s="366" t="s">
        <v>1921</v>
      </c>
      <c r="G794" s="33">
        <v>3000</v>
      </c>
      <c r="H794" s="138">
        <f>IF(D794=G794,0,IF(D794=0,100,(G794-D794)/D794*100))</f>
        <v>36.363636363636367</v>
      </c>
      <c r="I794" s="33">
        <f>ROUNDUP(G794+(G794*Assumptions!H$5),-2)</f>
        <v>3100</v>
      </c>
      <c r="J794" s="33">
        <f>ROUNDUP(I794+(I794*Assumptions!I$5),-2)</f>
        <v>3200</v>
      </c>
      <c r="K794" s="33">
        <f>ROUNDUP(J794+(J794*Assumptions!J$5),-2)</f>
        <v>3300</v>
      </c>
      <c r="L794" s="33">
        <f>ROUNDUP(K794+(K794*Assumptions!K$5),-2)</f>
        <v>3400</v>
      </c>
      <c r="M794" s="33">
        <f>ROUNDUP(L794+(L794*Assumptions!L$5),-2)</f>
        <v>3500</v>
      </c>
      <c r="N794" s="33">
        <f>ROUNDUP(M794+(M794*Assumptions!M$5),-2)</f>
        <v>3600</v>
      </c>
      <c r="O794" s="33">
        <f>ROUNDUP(N794+(N794*Assumptions!N$5),-2)</f>
        <v>3700</v>
      </c>
      <c r="P794" s="33">
        <f>ROUNDUP(O794+(O794*Assumptions!O$5),-2)</f>
        <v>3800</v>
      </c>
      <c r="Q794" s="33">
        <f>ROUNDUP(P794+(P794*Assumptions!P$5),-2)</f>
        <v>3900</v>
      </c>
      <c r="R794" s="114">
        <f>ROUNDUP(Q794+(Q794*Assumptions!Q$5),-2)</f>
        <v>4000</v>
      </c>
    </row>
    <row r="795" spans="1:18" x14ac:dyDescent="0.2">
      <c r="A795" s="107">
        <v>1700</v>
      </c>
      <c r="B795" s="33">
        <v>2900</v>
      </c>
      <c r="C795" s="33">
        <v>1100</v>
      </c>
      <c r="D795" s="33">
        <v>900</v>
      </c>
      <c r="E795" s="821" t="s">
        <v>4159</v>
      </c>
      <c r="F795" s="366" t="s">
        <v>676</v>
      </c>
      <c r="G795" s="33">
        <v>4000</v>
      </c>
      <c r="H795" s="138">
        <f>IF(D795=G795,0,IF(D795=0,100,(G795-D795)/D795*100))</f>
        <v>344.44444444444446</v>
      </c>
      <c r="I795" s="33">
        <f>ROUNDUP(G795+(G795*Assumptions!H$5),-2)</f>
        <v>4100</v>
      </c>
      <c r="J795" s="33">
        <f>ROUNDUP(I795+(I795*Assumptions!I$5),-2)</f>
        <v>4300</v>
      </c>
      <c r="K795" s="33">
        <f>ROUNDUP(J795+(J795*Assumptions!J$5),-2)</f>
        <v>4500</v>
      </c>
      <c r="L795" s="33">
        <f>ROUNDUP(K795+(K795*Assumptions!K$5),-2)</f>
        <v>4700</v>
      </c>
      <c r="M795" s="33">
        <f>ROUNDUP(L795+(L795*Assumptions!L$5),-2)</f>
        <v>4800</v>
      </c>
      <c r="N795" s="33">
        <f>ROUNDUP(M795+(M795*Assumptions!M$5),-2)</f>
        <v>4900</v>
      </c>
      <c r="O795" s="33">
        <f>ROUNDUP(N795+(N795*Assumptions!N$5),-2)</f>
        <v>5000</v>
      </c>
      <c r="P795" s="33">
        <f>ROUNDUP(O795+(O795*Assumptions!O$5),-2)</f>
        <v>5100</v>
      </c>
      <c r="Q795" s="33">
        <f>ROUNDUP(P795+(P795*Assumptions!P$5),-2)</f>
        <v>5300</v>
      </c>
      <c r="R795" s="114">
        <f>ROUNDUP(Q795+(Q795*Assumptions!Q$5),-2)</f>
        <v>5500</v>
      </c>
    </row>
    <row r="796" spans="1:18" x14ac:dyDescent="0.2">
      <c r="A796" s="107">
        <v>9600</v>
      </c>
      <c r="B796" s="33">
        <v>7000</v>
      </c>
      <c r="C796" s="33">
        <v>7300</v>
      </c>
      <c r="D796" s="33">
        <v>7300</v>
      </c>
      <c r="E796" s="343" t="s">
        <v>1974</v>
      </c>
      <c r="F796" s="366" t="s">
        <v>608</v>
      </c>
      <c r="G796" s="33">
        <v>0</v>
      </c>
      <c r="H796" s="138">
        <f>IF(D796=G796,0,IF(D796=0,100,(G796-D796)/D796*100))</f>
        <v>-100</v>
      </c>
      <c r="I796" s="33">
        <f>ROUNDUP(G796+(G796*Assumptions!H$5),-2)</f>
        <v>0</v>
      </c>
      <c r="J796" s="33">
        <f>ROUNDUP(I796+(I796*Assumptions!I$5),-2)</f>
        <v>0</v>
      </c>
      <c r="K796" s="33">
        <f>ROUNDUP(J796+(J796*Assumptions!J$5),-2)</f>
        <v>0</v>
      </c>
      <c r="L796" s="33">
        <f>ROUNDUP(K796+(K796*Assumptions!K$5),-2)</f>
        <v>0</v>
      </c>
      <c r="M796" s="33">
        <f>ROUNDUP(L796+(L796*Assumptions!L$5),-2)</f>
        <v>0</v>
      </c>
      <c r="N796" s="33">
        <f>ROUNDUP(M796+(M796*Assumptions!M$5),-2)</f>
        <v>0</v>
      </c>
      <c r="O796" s="33">
        <f>ROUNDUP(N796+(N796*Assumptions!N$5),-2)</f>
        <v>0</v>
      </c>
      <c r="P796" s="33">
        <f>ROUNDUP(O796+(O796*Assumptions!O$5),-2)</f>
        <v>0</v>
      </c>
      <c r="Q796" s="33">
        <f>ROUNDUP(P796+(P796*Assumptions!P$5),-2)</f>
        <v>0</v>
      </c>
      <c r="R796" s="114">
        <f>ROUNDUP(Q796+(Q796*Assumptions!Q$5),-2)</f>
        <v>0</v>
      </c>
    </row>
    <row r="797" spans="1:18" x14ac:dyDescent="0.2">
      <c r="A797" s="107"/>
      <c r="B797" s="33"/>
      <c r="C797" s="33"/>
      <c r="D797" s="33"/>
      <c r="E797" s="343"/>
      <c r="F797" s="371" t="s">
        <v>759</v>
      </c>
      <c r="G797" s="33"/>
      <c r="H797" s="138"/>
      <c r="I797" s="33"/>
      <c r="J797" s="33"/>
      <c r="K797" s="33"/>
      <c r="L797" s="33"/>
      <c r="M797" s="33"/>
      <c r="N797" s="33"/>
      <c r="O797" s="33"/>
      <c r="P797" s="33"/>
      <c r="Q797" s="33"/>
      <c r="R797" s="114"/>
    </row>
    <row r="798" spans="1:18" x14ac:dyDescent="0.2">
      <c r="A798" s="107">
        <v>141700</v>
      </c>
      <c r="B798" s="33">
        <v>145100</v>
      </c>
      <c r="C798" s="187">
        <v>146000</v>
      </c>
      <c r="D798" s="33">
        <v>153000</v>
      </c>
      <c r="E798" s="343" t="s">
        <v>2183</v>
      </c>
      <c r="F798" s="366" t="s">
        <v>295</v>
      </c>
      <c r="G798" s="187">
        <v>153000</v>
      </c>
      <c r="H798" s="138">
        <f t="shared" ref="H798:H807" si="771">IF(D798=G798,0,IF(D798=0,100,(G798-D798)/D798*100))</f>
        <v>0</v>
      </c>
      <c r="I798" s="33">
        <f>ROUNDUP(G798+(G798*Assumptions!H$5),-2)</f>
        <v>155300</v>
      </c>
      <c r="J798" s="33">
        <f>ROUNDUP(I798+(I798*Assumptions!I$5),-2)</f>
        <v>159200</v>
      </c>
      <c r="K798" s="33">
        <f>ROUNDUP(J798+(J798*Assumptions!J$5),-2)</f>
        <v>163200</v>
      </c>
      <c r="L798" s="33">
        <f>ROUNDUP(K798+(K798*Assumptions!K$5),-2)</f>
        <v>167300</v>
      </c>
      <c r="M798" s="33">
        <f>ROUNDUP(L798+(L798*Assumptions!L$5),-2)</f>
        <v>170700</v>
      </c>
      <c r="N798" s="33">
        <f>ROUNDUP(M798+(M798*Assumptions!M$5),-2)</f>
        <v>174200</v>
      </c>
      <c r="O798" s="33">
        <f>ROUNDUP(N798+(N798*Assumptions!N$5),-2)</f>
        <v>177700</v>
      </c>
      <c r="P798" s="33">
        <f>ROUNDUP(O798+(O798*Assumptions!O$5),-2)</f>
        <v>181300</v>
      </c>
      <c r="Q798" s="33">
        <f>ROUNDUP(P798+(P798*Assumptions!P$5),-2)</f>
        <v>185000</v>
      </c>
      <c r="R798" s="114">
        <f>ROUNDUP(Q798+(Q798*Assumptions!Q$5),-2)</f>
        <v>188700</v>
      </c>
    </row>
    <row r="799" spans="1:18" x14ac:dyDescent="0.2">
      <c r="A799" s="107">
        <v>80700</v>
      </c>
      <c r="B799" s="33">
        <v>95200</v>
      </c>
      <c r="C799" s="33">
        <v>95500</v>
      </c>
      <c r="D799" s="33">
        <v>135200</v>
      </c>
      <c r="E799" s="343" t="s">
        <v>915</v>
      </c>
      <c r="F799" s="366" t="s">
        <v>1475</v>
      </c>
      <c r="G799" s="33">
        <v>141000</v>
      </c>
      <c r="H799" s="138">
        <f t="shared" si="771"/>
        <v>4.2899408284023668</v>
      </c>
      <c r="I799" s="33">
        <f>ROUNDUP(G799+(G799*Assumptions!H$5),-2)</f>
        <v>143200</v>
      </c>
      <c r="J799" s="33">
        <f>ROUNDUP(I799+(I799*Assumptions!I$5),-2)</f>
        <v>146800</v>
      </c>
      <c r="K799" s="33">
        <f>ROUNDUP(J799+(J799*Assumptions!J$5),-2)</f>
        <v>150500</v>
      </c>
      <c r="L799" s="33">
        <f>ROUNDUP(K799+(K799*Assumptions!K$5),-2)</f>
        <v>154300</v>
      </c>
      <c r="M799" s="33">
        <f>ROUNDUP(L799+(L799*Assumptions!L$5),-2)</f>
        <v>157400</v>
      </c>
      <c r="N799" s="33">
        <f>ROUNDUP(M799+(M799*Assumptions!M$5),-2)</f>
        <v>160600</v>
      </c>
      <c r="O799" s="33">
        <f>ROUNDUP(N799+(N799*Assumptions!N$5),-2)</f>
        <v>163900</v>
      </c>
      <c r="P799" s="33">
        <f>ROUNDUP(O799+(O799*Assumptions!O$5),-2)</f>
        <v>167200</v>
      </c>
      <c r="Q799" s="33">
        <f>ROUNDUP(P799+(P799*Assumptions!P$5),-2)</f>
        <v>170600</v>
      </c>
      <c r="R799" s="114">
        <f>ROUNDUP(Q799+(Q799*Assumptions!Q$5),-2)</f>
        <v>174100</v>
      </c>
    </row>
    <row r="800" spans="1:18" x14ac:dyDescent="0.2">
      <c r="A800" s="107">
        <v>46900</v>
      </c>
      <c r="B800" s="33">
        <v>51000</v>
      </c>
      <c r="C800" s="33">
        <v>56700</v>
      </c>
      <c r="D800" s="33">
        <v>51100</v>
      </c>
      <c r="E800" s="343" t="s">
        <v>879</v>
      </c>
      <c r="F800" s="366" t="s">
        <v>2047</v>
      </c>
      <c r="G800" s="33">
        <v>58000</v>
      </c>
      <c r="H800" s="138">
        <f t="shared" si="771"/>
        <v>13.50293542074364</v>
      </c>
      <c r="I800" s="33">
        <f>ROUNDUP(G800+(G800*Assumptions!H$5),-2)</f>
        <v>58900</v>
      </c>
      <c r="J800" s="33">
        <f>ROUNDUP(I800+(I800*Assumptions!I$5),-2)</f>
        <v>60400</v>
      </c>
      <c r="K800" s="33">
        <f>ROUNDUP(J800+(J800*Assumptions!J$5),-2)</f>
        <v>62000</v>
      </c>
      <c r="L800" s="33">
        <f>ROUNDUP(K800+(K800*Assumptions!K$5),-2)</f>
        <v>63600</v>
      </c>
      <c r="M800" s="33">
        <f>ROUNDUP(L800+(L800*Assumptions!L$5),-2)</f>
        <v>64900</v>
      </c>
      <c r="N800" s="33">
        <f>ROUNDUP(M800+(M800*Assumptions!M$5),-2)</f>
        <v>66200</v>
      </c>
      <c r="O800" s="33">
        <f>ROUNDUP(N800+(N800*Assumptions!N$5),-2)</f>
        <v>67600</v>
      </c>
      <c r="P800" s="33">
        <f>ROUNDUP(O800+(O800*Assumptions!O$5),-2)</f>
        <v>69000</v>
      </c>
      <c r="Q800" s="33">
        <f>ROUNDUP(P800+(P800*Assumptions!P$5),-2)</f>
        <v>70400</v>
      </c>
      <c r="R800" s="114">
        <f>ROUNDUP(Q800+(Q800*Assumptions!Q$5),-2)</f>
        <v>71900</v>
      </c>
    </row>
    <row r="801" spans="1:18" x14ac:dyDescent="0.2">
      <c r="A801" s="107">
        <f>40000+30400+8200</f>
        <v>78600</v>
      </c>
      <c r="B801" s="33">
        <v>0</v>
      </c>
      <c r="C801" s="33">
        <v>0</v>
      </c>
      <c r="D801" s="33">
        <v>0</v>
      </c>
      <c r="E801" s="821" t="s">
        <v>3427</v>
      </c>
      <c r="F801" s="891" t="s">
        <v>5989</v>
      </c>
      <c r="G801" s="33">
        <v>0</v>
      </c>
      <c r="H801" s="138">
        <f t="shared" si="771"/>
        <v>0</v>
      </c>
      <c r="I801" s="33">
        <f>ROUNDUP(G801+(G801*Assumptions!H$5),-2)</f>
        <v>0</v>
      </c>
      <c r="J801" s="33">
        <f>ROUNDUP(I801+(I801*Assumptions!I$5),-2)</f>
        <v>0</v>
      </c>
      <c r="K801" s="33">
        <f>ROUNDUP(J801+(J801*Assumptions!J$5),-2)</f>
        <v>0</v>
      </c>
      <c r="L801" s="33">
        <f>ROUNDUP(K801+(K801*Assumptions!K$5),-2)</f>
        <v>0</v>
      </c>
      <c r="M801" s="33">
        <f>ROUNDUP(L801+(L801*Assumptions!L$5),-2)</f>
        <v>0</v>
      </c>
      <c r="N801" s="33">
        <f>ROUNDUP(M801+(M801*Assumptions!M$5),-2)</f>
        <v>0</v>
      </c>
      <c r="O801" s="33">
        <f>ROUNDUP(N801+(N801*Assumptions!N$5),-2)</f>
        <v>0</v>
      </c>
      <c r="P801" s="33">
        <f>ROUNDUP(O801+(O801*Assumptions!O$5),-2)</f>
        <v>0</v>
      </c>
      <c r="Q801" s="33">
        <f>ROUNDUP(P801+(P801*Assumptions!P$5),-2)</f>
        <v>0</v>
      </c>
      <c r="R801" s="114">
        <f>ROUNDUP(Q801+(Q801*Assumptions!Q$5),-2)</f>
        <v>0</v>
      </c>
    </row>
    <row r="802" spans="1:18" x14ac:dyDescent="0.2">
      <c r="A802" s="107">
        <v>1100</v>
      </c>
      <c r="B802" s="33">
        <v>2300</v>
      </c>
      <c r="C802" s="33">
        <v>700</v>
      </c>
      <c r="D802" s="33">
        <v>1400</v>
      </c>
      <c r="E802" s="343" t="s">
        <v>130</v>
      </c>
      <c r="F802" s="891" t="s">
        <v>131</v>
      </c>
      <c r="G802" s="33">
        <v>2500</v>
      </c>
      <c r="H802" s="138">
        <f t="shared" si="771"/>
        <v>78.571428571428569</v>
      </c>
      <c r="I802" s="33">
        <f>ROUNDUP(G802+(G802*Assumptions!H$5),-2)</f>
        <v>2600</v>
      </c>
      <c r="J802" s="33">
        <f>ROUNDUP(I802+(I802*Assumptions!I$5),-2)</f>
        <v>2700</v>
      </c>
      <c r="K802" s="33">
        <f>ROUNDUP(J802+(J802*Assumptions!J$5),-2)</f>
        <v>2800</v>
      </c>
      <c r="L802" s="33">
        <f>ROUNDUP(K802+(K802*Assumptions!K$5),-2)</f>
        <v>2900</v>
      </c>
      <c r="M802" s="33">
        <f>ROUNDUP(L802+(L802*Assumptions!L$5),-2)</f>
        <v>3000</v>
      </c>
      <c r="N802" s="33">
        <f>ROUNDUP(M802+(M802*Assumptions!M$5),-2)</f>
        <v>3100</v>
      </c>
      <c r="O802" s="33">
        <f>ROUNDUP(N802+(N802*Assumptions!N$5),-2)</f>
        <v>3200</v>
      </c>
      <c r="P802" s="33">
        <f>ROUNDUP(O802+(O802*Assumptions!O$5),-2)</f>
        <v>3300</v>
      </c>
      <c r="Q802" s="33">
        <f>ROUNDUP(P802+(P802*Assumptions!P$5),-2)</f>
        <v>3400</v>
      </c>
      <c r="R802" s="114">
        <f>ROUNDUP(Q802+(Q802*Assumptions!Q$5),-2)</f>
        <v>3500</v>
      </c>
    </row>
    <row r="803" spans="1:18" x14ac:dyDescent="0.2">
      <c r="A803" s="107">
        <v>71300</v>
      </c>
      <c r="B803" s="33">
        <v>129000</v>
      </c>
      <c r="C803" s="33">
        <v>121100</v>
      </c>
      <c r="D803" s="33">
        <v>105800</v>
      </c>
      <c r="E803" s="343" t="s">
        <v>880</v>
      </c>
      <c r="F803" s="366" t="s">
        <v>100</v>
      </c>
      <c r="G803" s="33">
        <v>94000</v>
      </c>
      <c r="H803" s="138">
        <f t="shared" si="771"/>
        <v>-11.153119092627598</v>
      </c>
      <c r="I803" s="33">
        <f>ROUNDUP(G803+(G803*Assumptions!H$5),-2)</f>
        <v>95500</v>
      </c>
      <c r="J803" s="33">
        <f>ROUNDUP(I803+(I803*Assumptions!I$5),-2)</f>
        <v>97900</v>
      </c>
      <c r="K803" s="33">
        <f>ROUNDUP(J803+(J803*Assumptions!J$5),-2)</f>
        <v>100400</v>
      </c>
      <c r="L803" s="33">
        <f>ROUNDUP(K803+(K803*Assumptions!K$5),-2)</f>
        <v>103000</v>
      </c>
      <c r="M803" s="33">
        <f>ROUNDUP(L803+(L803*Assumptions!L$5),-2)</f>
        <v>105100</v>
      </c>
      <c r="N803" s="33">
        <f>ROUNDUP(M803+(M803*Assumptions!M$5),-2)</f>
        <v>107300</v>
      </c>
      <c r="O803" s="33">
        <f>ROUNDUP(N803+(N803*Assumptions!N$5),-2)</f>
        <v>109500</v>
      </c>
      <c r="P803" s="33">
        <f>ROUNDUP(O803+(O803*Assumptions!O$5),-2)</f>
        <v>111700</v>
      </c>
      <c r="Q803" s="33">
        <f>ROUNDUP(P803+(P803*Assumptions!P$5),-2)</f>
        <v>114000</v>
      </c>
      <c r="R803" s="114">
        <f>ROUNDUP(Q803+(Q803*Assumptions!Q$5),-2)</f>
        <v>116300</v>
      </c>
    </row>
    <row r="804" spans="1:18" x14ac:dyDescent="0.2">
      <c r="A804" s="107">
        <v>10700</v>
      </c>
      <c r="B804" s="33">
        <v>7800</v>
      </c>
      <c r="C804" s="33">
        <v>15400</v>
      </c>
      <c r="D804" s="33">
        <v>4400</v>
      </c>
      <c r="E804" s="343" t="s">
        <v>1003</v>
      </c>
      <c r="F804" s="366" t="s">
        <v>904</v>
      </c>
      <c r="G804" s="33">
        <v>14000</v>
      </c>
      <c r="H804" s="138">
        <f t="shared" si="771"/>
        <v>218.18181818181816</v>
      </c>
      <c r="I804" s="33">
        <f>ROUNDUP(G804+(G804*Assumptions!H$5),-2)</f>
        <v>14300</v>
      </c>
      <c r="J804" s="33">
        <f>ROUNDUP(I804+(I804*Assumptions!I$5),-2)</f>
        <v>14700</v>
      </c>
      <c r="K804" s="33">
        <f>ROUNDUP(J804+(J804*Assumptions!J$5),-2)</f>
        <v>15100</v>
      </c>
      <c r="L804" s="33">
        <f>ROUNDUP(K804+(K804*Assumptions!K$5),-2)</f>
        <v>15500</v>
      </c>
      <c r="M804" s="33">
        <f>ROUNDUP(L804+(L804*Assumptions!L$5),-2)</f>
        <v>15900</v>
      </c>
      <c r="N804" s="33">
        <f>ROUNDUP(M804+(M804*Assumptions!M$5),-2)</f>
        <v>16300</v>
      </c>
      <c r="O804" s="33">
        <f>ROUNDUP(N804+(N804*Assumptions!N$5),-2)</f>
        <v>16700</v>
      </c>
      <c r="P804" s="33">
        <f>ROUNDUP(O804+(O804*Assumptions!O$5),-2)</f>
        <v>17100</v>
      </c>
      <c r="Q804" s="33">
        <f>ROUNDUP(P804+(P804*Assumptions!P$5),-2)</f>
        <v>17500</v>
      </c>
      <c r="R804" s="114">
        <f>ROUNDUP(Q804+(Q804*Assumptions!Q$5),-2)</f>
        <v>17900</v>
      </c>
    </row>
    <row r="805" spans="1:18" x14ac:dyDescent="0.2">
      <c r="A805" s="107">
        <v>4600</v>
      </c>
      <c r="B805" s="33">
        <v>8400</v>
      </c>
      <c r="C805" s="33">
        <v>13000</v>
      </c>
      <c r="D805" s="33">
        <v>15800</v>
      </c>
      <c r="E805" s="343" t="s">
        <v>881</v>
      </c>
      <c r="F805" s="891" t="s">
        <v>4838</v>
      </c>
      <c r="G805" s="33">
        <v>12000</v>
      </c>
      <c r="H805" s="138">
        <f t="shared" si="771"/>
        <v>-24.050632911392405</v>
      </c>
      <c r="I805" s="33">
        <f>ROUNDUP(G805+(G805*Assumptions!H$5),-2)</f>
        <v>12200</v>
      </c>
      <c r="J805" s="33">
        <f>ROUNDUP(I805+(I805*Assumptions!I$5),-2)</f>
        <v>12600</v>
      </c>
      <c r="K805" s="33">
        <f>ROUNDUP(J805+(J805*Assumptions!J$5),-2)</f>
        <v>13000</v>
      </c>
      <c r="L805" s="33">
        <f>ROUNDUP(K805+(K805*Assumptions!K$5),-2)</f>
        <v>13400</v>
      </c>
      <c r="M805" s="33">
        <f>ROUNDUP(L805+(L805*Assumptions!L$5),-2)</f>
        <v>13700</v>
      </c>
      <c r="N805" s="33">
        <f>ROUNDUP(M805+(M805*Assumptions!M$5),-2)</f>
        <v>14000</v>
      </c>
      <c r="O805" s="33">
        <f>ROUNDUP(N805+(N805*Assumptions!N$5),-2)</f>
        <v>14300</v>
      </c>
      <c r="P805" s="33">
        <f>ROUNDUP(O805+(O805*Assumptions!O$5),-2)</f>
        <v>14600</v>
      </c>
      <c r="Q805" s="33">
        <f>ROUNDUP(P805+(P805*Assumptions!P$5),-2)</f>
        <v>14900</v>
      </c>
      <c r="R805" s="114">
        <f>ROUNDUP(Q805+(Q805*Assumptions!Q$5),-2)</f>
        <v>15200</v>
      </c>
    </row>
    <row r="806" spans="1:18" x14ac:dyDescent="0.2">
      <c r="A806" s="107">
        <v>1200</v>
      </c>
      <c r="B806" s="33">
        <v>2600</v>
      </c>
      <c r="C806" s="33">
        <v>2700</v>
      </c>
      <c r="D806" s="33">
        <v>3800</v>
      </c>
      <c r="E806" s="343" t="s">
        <v>1122</v>
      </c>
      <c r="F806" s="366" t="s">
        <v>322</v>
      </c>
      <c r="G806" s="33">
        <f>3000+1800</f>
        <v>4800</v>
      </c>
      <c r="H806" s="138">
        <f t="shared" si="771"/>
        <v>26.315789473684209</v>
      </c>
      <c r="I806" s="33">
        <f>ROUNDUP(G806+(G806*Assumptions!H$5),-2)</f>
        <v>4900</v>
      </c>
      <c r="J806" s="33">
        <f>ROUNDUP(I806+(I806*Assumptions!I$5),-2)</f>
        <v>5100</v>
      </c>
      <c r="K806" s="33">
        <f>ROUNDUP(J806+(J806*Assumptions!J$5),-2)</f>
        <v>5300</v>
      </c>
      <c r="L806" s="33">
        <f>ROUNDUP(K806+(K806*Assumptions!K$5),-2)</f>
        <v>5500</v>
      </c>
      <c r="M806" s="33">
        <f>ROUNDUP(L806+(L806*Assumptions!L$5),-2)</f>
        <v>5700</v>
      </c>
      <c r="N806" s="33">
        <f>ROUNDUP(M806+(M806*Assumptions!M$5),-2)</f>
        <v>5900</v>
      </c>
      <c r="O806" s="33">
        <f>ROUNDUP(N806+(N806*Assumptions!N$5),-2)</f>
        <v>6100</v>
      </c>
      <c r="P806" s="33">
        <f>ROUNDUP(O806+(O806*Assumptions!O$5),-2)</f>
        <v>6300</v>
      </c>
      <c r="Q806" s="33">
        <f>ROUNDUP(P806+(P806*Assumptions!P$5),-2)</f>
        <v>6500</v>
      </c>
      <c r="R806" s="114">
        <f>ROUNDUP(Q806+(Q806*Assumptions!Q$5),-2)</f>
        <v>6700</v>
      </c>
    </row>
    <row r="807" spans="1:18" x14ac:dyDescent="0.2">
      <c r="A807" s="107">
        <v>8500</v>
      </c>
      <c r="B807" s="33">
        <v>6300</v>
      </c>
      <c r="C807" s="33">
        <v>28900</v>
      </c>
      <c r="D807" s="33">
        <v>24600</v>
      </c>
      <c r="E807" s="343" t="s">
        <v>1004</v>
      </c>
      <c r="F807" s="366" t="s">
        <v>1905</v>
      </c>
      <c r="G807" s="33">
        <v>30000</v>
      </c>
      <c r="H807" s="138">
        <f t="shared" si="771"/>
        <v>21.951219512195124</v>
      </c>
      <c r="I807" s="33">
        <f>ROUNDUP(G807+(G807*Assumptions!H$5),-2)</f>
        <v>30500</v>
      </c>
      <c r="J807" s="33">
        <f>ROUNDUP(I807+(I807*Assumptions!I$5),-2)</f>
        <v>31300</v>
      </c>
      <c r="K807" s="33">
        <f>ROUNDUP(J807+(J807*Assumptions!J$5),-2)</f>
        <v>32100</v>
      </c>
      <c r="L807" s="33">
        <f>ROUNDUP(K807+(K807*Assumptions!K$5),-2)</f>
        <v>33000</v>
      </c>
      <c r="M807" s="33">
        <f>ROUNDUP(L807+(L807*Assumptions!L$5),-2)</f>
        <v>33700</v>
      </c>
      <c r="N807" s="33">
        <f>ROUNDUP(M807+(M807*Assumptions!M$5),-2)</f>
        <v>34400</v>
      </c>
      <c r="O807" s="33">
        <f>ROUNDUP(N807+(N807*Assumptions!N$5),-2)</f>
        <v>35100</v>
      </c>
      <c r="P807" s="33">
        <f>ROUNDUP(O807+(O807*Assumptions!O$5),-2)</f>
        <v>35900</v>
      </c>
      <c r="Q807" s="33">
        <f>ROUNDUP(P807+(P807*Assumptions!P$5),-2)</f>
        <v>36700</v>
      </c>
      <c r="R807" s="114">
        <f>ROUNDUP(Q807+(Q807*Assumptions!Q$5),-2)</f>
        <v>37500</v>
      </c>
    </row>
    <row r="808" spans="1:18" x14ac:dyDescent="0.2">
      <c r="A808" s="107"/>
      <c r="B808" s="33"/>
      <c r="C808" s="33"/>
      <c r="D808" s="33"/>
      <c r="E808" s="343"/>
      <c r="F808" s="371" t="s">
        <v>378</v>
      </c>
      <c r="G808" s="33"/>
      <c r="H808" s="138"/>
      <c r="I808" s="33"/>
      <c r="J808" s="33"/>
      <c r="K808" s="33"/>
      <c r="L808" s="33"/>
      <c r="M808" s="33"/>
      <c r="N808" s="33"/>
      <c r="O808" s="33"/>
      <c r="P808" s="33"/>
      <c r="Q808" s="33"/>
      <c r="R808" s="114"/>
    </row>
    <row r="809" spans="1:18" x14ac:dyDescent="0.2">
      <c r="A809" s="107">
        <v>1171400</v>
      </c>
      <c r="B809" s="33">
        <v>1323400</v>
      </c>
      <c r="C809" s="33">
        <v>1429500</v>
      </c>
      <c r="D809" s="33">
        <v>1532800</v>
      </c>
      <c r="E809" s="343" t="s">
        <v>1119</v>
      </c>
      <c r="F809" s="366" t="s">
        <v>1011</v>
      </c>
      <c r="G809" s="33">
        <f>1571000+21000</f>
        <v>1592000</v>
      </c>
      <c r="H809" s="138">
        <f>IF(D809=G809,0,IF(D809=0,100,(G809-D809)/D809*100))</f>
        <v>3.8622129436325676</v>
      </c>
      <c r="I809" s="33">
        <f>ROUND(ROUNDUP(G809+(G809*Assumptions!H$5),-2)*1.02,-3)</f>
        <v>1648000</v>
      </c>
      <c r="J809" s="33">
        <f>ROUND(ROUNDUP(I809+(I809*Assumptions!I$5),-2)*1.02,-3)</f>
        <v>1723000</v>
      </c>
      <c r="K809" s="33">
        <f>ROUND(ROUNDUP(J809+(J809*Assumptions!J$5),-2)*1.02,-3)</f>
        <v>1801000</v>
      </c>
      <c r="L809" s="33">
        <f>ROUND(ROUNDUP(K809+(K809*Assumptions!K$5),-2)*1.02,-3)</f>
        <v>1883000</v>
      </c>
      <c r="M809" s="33">
        <f>ROUND(ROUNDUP(L809+(L809*Assumptions!L$5),-2)*1.02,-3)</f>
        <v>1959000</v>
      </c>
      <c r="N809" s="33">
        <f>ROUND(ROUNDUP(M809+(M809*Assumptions!M$5),-2)*1.02,-3)</f>
        <v>2038000</v>
      </c>
      <c r="O809" s="33">
        <f>ROUND(ROUNDUP(N809+(N809*Assumptions!N$5),-2)*1.02,-3)</f>
        <v>2120000</v>
      </c>
      <c r="P809" s="33">
        <f>ROUND(ROUNDUP(O809+(O809*Assumptions!O$5),-2)*1.02,-3)</f>
        <v>2206000</v>
      </c>
      <c r="Q809" s="33">
        <f>ROUND(ROUNDUP(P809+(P809*Assumptions!P$5),-2)*1.02,-3)</f>
        <v>2295000</v>
      </c>
      <c r="R809" s="114">
        <f>ROUND(ROUNDUP(Q809+(Q809*Assumptions!Q$5),-2)*1.02,-3)</f>
        <v>2388000</v>
      </c>
    </row>
    <row r="810" spans="1:18" x14ac:dyDescent="0.2">
      <c r="A810" s="107">
        <v>786300</v>
      </c>
      <c r="B810" s="33">
        <v>718100</v>
      </c>
      <c r="C810" s="33">
        <v>674400</v>
      </c>
      <c r="D810" s="33">
        <v>624600</v>
      </c>
      <c r="E810" s="343" t="s">
        <v>1120</v>
      </c>
      <c r="F810" s="366" t="s">
        <v>87</v>
      </c>
      <c r="G810" s="33">
        <f>(680000*1.028)-60040+9000</f>
        <v>648000</v>
      </c>
      <c r="H810" s="138">
        <f>IF(D810=G810,0,IF(D810=0,100,(G810-D810)/D810*100))</f>
        <v>3.7463976945244957</v>
      </c>
      <c r="I810" s="33">
        <f>ROUND(G810*0.96,-3)</f>
        <v>622000</v>
      </c>
      <c r="J810" s="33">
        <f t="shared" ref="J810:R810" si="772">ROUND(I810*0.96,-3)</f>
        <v>597000</v>
      </c>
      <c r="K810" s="33">
        <f t="shared" si="772"/>
        <v>573000</v>
      </c>
      <c r="L810" s="33">
        <f t="shared" si="772"/>
        <v>550000</v>
      </c>
      <c r="M810" s="33">
        <f t="shared" si="772"/>
        <v>528000</v>
      </c>
      <c r="N810" s="33">
        <f t="shared" si="772"/>
        <v>507000</v>
      </c>
      <c r="O810" s="33">
        <f t="shared" si="772"/>
        <v>487000</v>
      </c>
      <c r="P810" s="33">
        <f t="shared" si="772"/>
        <v>468000</v>
      </c>
      <c r="Q810" s="33">
        <f t="shared" si="772"/>
        <v>449000</v>
      </c>
      <c r="R810" s="114">
        <f t="shared" si="772"/>
        <v>431000</v>
      </c>
    </row>
    <row r="811" spans="1:18" x14ac:dyDescent="0.2">
      <c r="A811" s="107">
        <v>3100</v>
      </c>
      <c r="B811" s="33">
        <v>1900</v>
      </c>
      <c r="C811" s="189">
        <v>5200</v>
      </c>
      <c r="D811" s="33">
        <v>2400</v>
      </c>
      <c r="E811" s="344" t="s">
        <v>1121</v>
      </c>
      <c r="F811" s="366" t="s">
        <v>2569</v>
      </c>
      <c r="G811" s="187">
        <v>2000</v>
      </c>
      <c r="H811" s="138">
        <f>IF(D811=G811,0,IF(D811=0,100,(G811-D811)/D811*100))</f>
        <v>-16.666666666666664</v>
      </c>
      <c r="I811" s="33">
        <f>ROUNDUP(G811+(G811*Assumptions!H$5),-2)</f>
        <v>2100</v>
      </c>
      <c r="J811" s="33">
        <f>ROUNDUP(I811+(I811*Assumptions!I$5),-2)</f>
        <v>2200</v>
      </c>
      <c r="K811" s="33">
        <f>ROUNDUP(J811+(J811*Assumptions!J$5),-2)</f>
        <v>2300</v>
      </c>
      <c r="L811" s="33">
        <f>ROUNDUP(K811+(K811*Assumptions!K$5),-2)</f>
        <v>2400</v>
      </c>
      <c r="M811" s="33">
        <f>ROUNDUP(L811+(L811*Assumptions!L$5),-2)</f>
        <v>2500</v>
      </c>
      <c r="N811" s="33">
        <f>ROUNDUP(M811+(M811*Assumptions!M$5),-2)</f>
        <v>2600</v>
      </c>
      <c r="O811" s="33">
        <f>ROUNDUP(N811+(N811*Assumptions!N$5),-2)</f>
        <v>2700</v>
      </c>
      <c r="P811" s="33">
        <f>ROUNDUP(O811+(O811*Assumptions!O$5),-2)</f>
        <v>2800</v>
      </c>
      <c r="Q811" s="33">
        <f>ROUNDUP(P811+(P811*Assumptions!P$5),-2)</f>
        <v>2900</v>
      </c>
      <c r="R811" s="114">
        <f>ROUNDUP(Q811+(Q811*Assumptions!Q$5),-2)</f>
        <v>3000</v>
      </c>
    </row>
    <row r="812" spans="1:18" x14ac:dyDescent="0.2">
      <c r="A812" s="107"/>
      <c r="B812" s="33"/>
      <c r="C812" s="189"/>
      <c r="D812" s="33"/>
      <c r="E812" s="238"/>
      <c r="F812" s="1110" t="s">
        <v>4198</v>
      </c>
      <c r="G812" s="187"/>
      <c r="H812" s="138"/>
      <c r="I812" s="33"/>
      <c r="J812" s="33"/>
      <c r="K812" s="33"/>
      <c r="L812" s="33"/>
      <c r="M812" s="33"/>
      <c r="N812" s="33"/>
      <c r="O812" s="33"/>
      <c r="P812" s="33"/>
      <c r="Q812" s="33"/>
      <c r="R812" s="114"/>
    </row>
    <row r="813" spans="1:18" x14ac:dyDescent="0.2">
      <c r="A813" s="107">
        <v>4300</v>
      </c>
      <c r="B813" s="33">
        <v>2500</v>
      </c>
      <c r="C813" s="189">
        <v>4600</v>
      </c>
      <c r="D813" s="33">
        <v>3600</v>
      </c>
      <c r="E813" s="344" t="s">
        <v>121</v>
      </c>
      <c r="F813" s="366" t="s">
        <v>1906</v>
      </c>
      <c r="G813" s="33">
        <v>5000</v>
      </c>
      <c r="H813" s="138">
        <f t="shared" ref="H813:H821" si="773">IF(D813=G813,0,IF(D813=0,100,(G813-D813)/D813*100))</f>
        <v>38.888888888888893</v>
      </c>
      <c r="I813" s="33">
        <f>ROUNDUP(G813+(G813*Assumptions!H$5),-2)</f>
        <v>5100</v>
      </c>
      <c r="J813" s="33">
        <f>ROUNDUP(I813+(I813*Assumptions!I$5),-2)</f>
        <v>5300</v>
      </c>
      <c r="K813" s="33">
        <f>ROUNDUP(J813+(J813*Assumptions!J$5),-2)</f>
        <v>5500</v>
      </c>
      <c r="L813" s="33">
        <f>ROUNDUP(K813+(K813*Assumptions!K$5),-2)</f>
        <v>5700</v>
      </c>
      <c r="M813" s="33">
        <f>ROUNDUP(L813+(L813*Assumptions!L$5),-2)</f>
        <v>5900</v>
      </c>
      <c r="N813" s="33">
        <f>ROUNDUP(M813+(M813*Assumptions!M$5),-2)</f>
        <v>6100</v>
      </c>
      <c r="O813" s="33">
        <f>ROUNDUP(N813+(N813*Assumptions!N$5),-2)</f>
        <v>6300</v>
      </c>
      <c r="P813" s="33">
        <f>ROUNDUP(O813+(O813*Assumptions!O$5),-2)</f>
        <v>6500</v>
      </c>
      <c r="Q813" s="33">
        <f>ROUNDUP(P813+(P813*Assumptions!P$5),-2)</f>
        <v>6700</v>
      </c>
      <c r="R813" s="114">
        <f>ROUNDUP(Q813+(Q813*Assumptions!Q$5),-2)</f>
        <v>6900</v>
      </c>
    </row>
    <row r="814" spans="1:18" x14ac:dyDescent="0.2">
      <c r="A814" s="107">
        <v>4700</v>
      </c>
      <c r="B814" s="33">
        <v>3700</v>
      </c>
      <c r="C814" s="142">
        <v>4400</v>
      </c>
      <c r="D814" s="33">
        <v>2400</v>
      </c>
      <c r="E814" s="344" t="s">
        <v>2798</v>
      </c>
      <c r="F814" s="351" t="s">
        <v>467</v>
      </c>
      <c r="G814" s="33">
        <v>5000</v>
      </c>
      <c r="H814" s="138">
        <f t="shared" si="773"/>
        <v>108.33333333333333</v>
      </c>
      <c r="I814" s="33">
        <f>ROUNDUP(G814+(G814*Assumptions!H$5),-2)</f>
        <v>5100</v>
      </c>
      <c r="J814" s="33">
        <f>ROUNDUP(I814+(I814*Assumptions!I$5),-2)</f>
        <v>5300</v>
      </c>
      <c r="K814" s="33">
        <f>ROUNDUP(J814+(J814*Assumptions!J$5),-2)</f>
        <v>5500</v>
      </c>
      <c r="L814" s="33">
        <f>ROUNDUP(K814+(K814*Assumptions!K$5),-2)</f>
        <v>5700</v>
      </c>
      <c r="M814" s="33">
        <f>ROUNDUP(L814+(L814*Assumptions!L$5),-2)</f>
        <v>5900</v>
      </c>
      <c r="N814" s="33">
        <f>ROUNDUP(M814+(M814*Assumptions!M$5),-2)</f>
        <v>6100</v>
      </c>
      <c r="O814" s="33">
        <f>ROUNDUP(N814+(N814*Assumptions!N$5),-2)</f>
        <v>6300</v>
      </c>
      <c r="P814" s="33">
        <f>ROUNDUP(O814+(O814*Assumptions!O$5),-2)</f>
        <v>6500</v>
      </c>
      <c r="Q814" s="33">
        <f>ROUNDUP(P814+(P814*Assumptions!P$5),-2)</f>
        <v>6700</v>
      </c>
      <c r="R814" s="114">
        <f>ROUNDUP(Q814+(Q814*Assumptions!Q$5),-2)</f>
        <v>6900</v>
      </c>
    </row>
    <row r="815" spans="1:18" x14ac:dyDescent="0.2">
      <c r="A815" s="107">
        <v>6200</v>
      </c>
      <c r="B815" s="33">
        <v>4500</v>
      </c>
      <c r="C815" s="189">
        <v>4200</v>
      </c>
      <c r="D815" s="33">
        <v>5000</v>
      </c>
      <c r="E815" s="344" t="s">
        <v>1637</v>
      </c>
      <c r="F815" s="891" t="s">
        <v>4199</v>
      </c>
      <c r="G815" s="187">
        <f>5000+3000</f>
        <v>8000</v>
      </c>
      <c r="H815" s="138">
        <f t="shared" si="773"/>
        <v>60</v>
      </c>
      <c r="I815" s="33">
        <f>ROUNDUP(G815+(G815*Assumptions!H$5),-2)</f>
        <v>8200</v>
      </c>
      <c r="J815" s="33">
        <f>ROUNDUP(I815+(I815*Assumptions!I$5),-2)</f>
        <v>8500</v>
      </c>
      <c r="K815" s="33">
        <f>ROUNDUP(J815+(J815*Assumptions!J$5),-2)</f>
        <v>8800</v>
      </c>
      <c r="L815" s="33">
        <f>ROUNDUP(K815+(K815*Assumptions!K$5),-2)</f>
        <v>9100</v>
      </c>
      <c r="M815" s="33">
        <f>ROUNDUP(L815+(L815*Assumptions!L$5),-2)</f>
        <v>9300</v>
      </c>
      <c r="N815" s="33">
        <f>ROUNDUP(M815+(M815*Assumptions!M$5),-2)</f>
        <v>9500</v>
      </c>
      <c r="O815" s="33">
        <f>ROUNDUP(N815+(N815*Assumptions!N$5),-2)</f>
        <v>9700</v>
      </c>
      <c r="P815" s="33">
        <f>ROUNDUP(O815+(O815*Assumptions!O$5),-2)</f>
        <v>9900</v>
      </c>
      <c r="Q815" s="33">
        <f>ROUNDUP(P815+(P815*Assumptions!P$5),-2)</f>
        <v>10100</v>
      </c>
      <c r="R815" s="114">
        <f>ROUNDUP(Q815+(Q815*Assumptions!Q$5),-2)</f>
        <v>10400</v>
      </c>
    </row>
    <row r="816" spans="1:18" x14ac:dyDescent="0.2">
      <c r="A816" s="107">
        <v>11800</v>
      </c>
      <c r="B816" s="33">
        <v>0</v>
      </c>
      <c r="C816" s="189">
        <v>27000</v>
      </c>
      <c r="D816" s="33">
        <v>22400</v>
      </c>
      <c r="E816" s="344" t="s">
        <v>1638</v>
      </c>
      <c r="F816" s="366" t="s">
        <v>1891</v>
      </c>
      <c r="G816" s="187">
        <v>15000</v>
      </c>
      <c r="H816" s="138">
        <f t="shared" si="773"/>
        <v>-33.035714285714285</v>
      </c>
      <c r="I816" s="33">
        <f>ROUNDUP(G816+(G816*Assumptions!H$5),-2)</f>
        <v>15300</v>
      </c>
      <c r="J816" s="33">
        <f>ROUNDUP(I816+(I816*Assumptions!I$5),-2)</f>
        <v>15700</v>
      </c>
      <c r="K816" s="33">
        <f>ROUNDUP(J816+(J816*Assumptions!J$5),-2)</f>
        <v>16100</v>
      </c>
      <c r="L816" s="33">
        <f>ROUNDUP(K816+(K816*Assumptions!K$5),-2)</f>
        <v>16600</v>
      </c>
      <c r="M816" s="33">
        <f>ROUNDUP(L816+(L816*Assumptions!L$5),-2)</f>
        <v>17000</v>
      </c>
      <c r="N816" s="33">
        <f>ROUNDUP(M816+(M816*Assumptions!M$5),-2)</f>
        <v>17400</v>
      </c>
      <c r="O816" s="33">
        <f>ROUNDUP(N816+(N816*Assumptions!N$5),-2)</f>
        <v>17800</v>
      </c>
      <c r="P816" s="33">
        <f>ROUNDUP(O816+(O816*Assumptions!O$5),-2)</f>
        <v>18200</v>
      </c>
      <c r="Q816" s="33">
        <f>ROUNDUP(P816+(P816*Assumptions!P$5),-2)</f>
        <v>18600</v>
      </c>
      <c r="R816" s="114">
        <f>ROUNDUP(Q816+(Q816*Assumptions!Q$5),-2)</f>
        <v>19000</v>
      </c>
    </row>
    <row r="817" spans="1:18" x14ac:dyDescent="0.2">
      <c r="A817" s="107">
        <v>658900</v>
      </c>
      <c r="B817" s="33">
        <v>500300</v>
      </c>
      <c r="C817" s="142">
        <v>480200</v>
      </c>
      <c r="D817" s="33">
        <v>485400</v>
      </c>
      <c r="E817" s="344" t="s">
        <v>1639</v>
      </c>
      <c r="F817" s="366" t="s">
        <v>1300</v>
      </c>
      <c r="G817" s="33">
        <v>500000</v>
      </c>
      <c r="H817" s="138">
        <f t="shared" si="773"/>
        <v>3.0078285949732178</v>
      </c>
      <c r="I817" s="33">
        <f>ROUNDUP(G817+(G817*Assumptions!H$5),-2)</f>
        <v>507500</v>
      </c>
      <c r="J817" s="33">
        <f>ROUNDUP(I817+(I817*Assumptions!I$5),-2)</f>
        <v>520200</v>
      </c>
      <c r="K817" s="33">
        <f>ROUNDUP(J817+(J817*Assumptions!J$5),-2)</f>
        <v>533300</v>
      </c>
      <c r="L817" s="33">
        <f>ROUNDUP(K817+(K817*Assumptions!K$5),-2)</f>
        <v>546700</v>
      </c>
      <c r="M817" s="33">
        <f>ROUNDUP(L817+(L817*Assumptions!L$5),-2)</f>
        <v>557700</v>
      </c>
      <c r="N817" s="33">
        <f>ROUNDUP(M817+(M817*Assumptions!M$5),-2)</f>
        <v>568900</v>
      </c>
      <c r="O817" s="33">
        <f>ROUNDUP(N817+(N817*Assumptions!N$5),-2)</f>
        <v>580300</v>
      </c>
      <c r="P817" s="33">
        <f>ROUNDUP(O817+(O817*Assumptions!O$5),-2)</f>
        <v>592000</v>
      </c>
      <c r="Q817" s="33">
        <f>ROUNDUP(P817+(P817*Assumptions!P$5),-2)</f>
        <v>603900</v>
      </c>
      <c r="R817" s="114">
        <f>ROUNDUP(Q817+(Q817*Assumptions!Q$5),-2)</f>
        <v>616000</v>
      </c>
    </row>
    <row r="818" spans="1:18" x14ac:dyDescent="0.2">
      <c r="A818" s="107">
        <v>13900</v>
      </c>
      <c r="B818" s="33">
        <v>17100</v>
      </c>
      <c r="C818" s="189">
        <v>19300</v>
      </c>
      <c r="D818" s="33">
        <v>18400</v>
      </c>
      <c r="E818" s="344" t="s">
        <v>1640</v>
      </c>
      <c r="F818" s="366" t="s">
        <v>841</v>
      </c>
      <c r="G818" s="187">
        <f>20000+1000</f>
        <v>21000</v>
      </c>
      <c r="H818" s="138">
        <f t="shared" si="773"/>
        <v>14.130434782608695</v>
      </c>
      <c r="I818" s="33">
        <f>ROUNDUP(G818+(G818*Assumptions!H$5),-2)</f>
        <v>21400</v>
      </c>
      <c r="J818" s="33">
        <f>ROUNDUP(I818+(I818*Assumptions!I$5),-2)</f>
        <v>22000</v>
      </c>
      <c r="K818" s="33">
        <f>ROUNDUP(J818+(J818*Assumptions!J$5),-2)</f>
        <v>22600</v>
      </c>
      <c r="L818" s="33">
        <f>ROUNDUP(K818+(K818*Assumptions!K$5),-2)</f>
        <v>23200</v>
      </c>
      <c r="M818" s="33">
        <f>ROUNDUP(L818+(L818*Assumptions!L$5),-2)</f>
        <v>23700</v>
      </c>
      <c r="N818" s="33">
        <f>ROUNDUP(M818+(M818*Assumptions!M$5),-2)</f>
        <v>24200</v>
      </c>
      <c r="O818" s="33">
        <f>ROUNDUP(N818+(N818*Assumptions!N$5),-2)</f>
        <v>24700</v>
      </c>
      <c r="P818" s="33">
        <f>ROUNDUP(O818+(O818*Assumptions!O$5),-2)</f>
        <v>25200</v>
      </c>
      <c r="Q818" s="33">
        <f>ROUNDUP(P818+(P818*Assumptions!P$5),-2)</f>
        <v>25800</v>
      </c>
      <c r="R818" s="114">
        <f>ROUNDUP(Q818+(Q818*Assumptions!Q$5),-2)</f>
        <v>26400</v>
      </c>
    </row>
    <row r="819" spans="1:18" x14ac:dyDescent="0.2">
      <c r="A819" s="107">
        <v>-43600</v>
      </c>
      <c r="B819" s="33">
        <v>-48600</v>
      </c>
      <c r="C819" s="189">
        <v>-6200</v>
      </c>
      <c r="D819" s="33">
        <v>-5600</v>
      </c>
      <c r="E819" s="344" t="s">
        <v>2120</v>
      </c>
      <c r="F819" s="366" t="s">
        <v>523</v>
      </c>
      <c r="G819" s="187">
        <v>-40000</v>
      </c>
      <c r="H819" s="138">
        <f t="shared" si="773"/>
        <v>614.28571428571433</v>
      </c>
      <c r="I819" s="33">
        <f>ROUNDUP(G819+(G819*Assumptions!H$5),-2)</f>
        <v>-40600</v>
      </c>
      <c r="J819" s="33">
        <f>ROUNDUP(I819+(I819*Assumptions!I$5),-2)</f>
        <v>-41700</v>
      </c>
      <c r="K819" s="33">
        <f>ROUNDUP(J819+(J819*Assumptions!J$5),-2)</f>
        <v>-42800</v>
      </c>
      <c r="L819" s="33">
        <f>ROUNDUP(K819+(K819*Assumptions!K$5),-2)</f>
        <v>-43900</v>
      </c>
      <c r="M819" s="33">
        <f>ROUNDUP(L819+(L819*Assumptions!L$5),-2)</f>
        <v>-44800</v>
      </c>
      <c r="N819" s="33">
        <f>ROUNDUP(M819+(M819*Assumptions!M$5),-2)</f>
        <v>-45700</v>
      </c>
      <c r="O819" s="33">
        <f>ROUNDUP(N819+(N819*Assumptions!N$5),-2)</f>
        <v>-46700</v>
      </c>
      <c r="P819" s="33">
        <f>ROUNDUP(O819+(O819*Assumptions!O$5),-2)</f>
        <v>-47700</v>
      </c>
      <c r="Q819" s="33">
        <f>ROUNDUP(P819+(P819*Assumptions!P$5),-2)</f>
        <v>-48700</v>
      </c>
      <c r="R819" s="114">
        <f>ROUNDUP(Q819+(Q819*Assumptions!Q$5),-2)</f>
        <v>-49700</v>
      </c>
    </row>
    <row r="820" spans="1:18" x14ac:dyDescent="0.2">
      <c r="A820" s="107">
        <v>68100</v>
      </c>
      <c r="B820" s="33">
        <v>72300</v>
      </c>
      <c r="C820" s="189">
        <v>8200</v>
      </c>
      <c r="D820" s="33">
        <v>9100</v>
      </c>
      <c r="E820" s="344" t="s">
        <v>1641</v>
      </c>
      <c r="F820" s="366" t="s">
        <v>1994</v>
      </c>
      <c r="G820" s="187">
        <v>58000</v>
      </c>
      <c r="H820" s="138">
        <f t="shared" si="773"/>
        <v>537.36263736263732</v>
      </c>
      <c r="I820" s="33">
        <f>ROUNDUP(G820+(G820*Assumptions!H$5),-2)</f>
        <v>58900</v>
      </c>
      <c r="J820" s="33">
        <f>ROUNDUP(I820+(I820*Assumptions!I$5),-2)</f>
        <v>60400</v>
      </c>
      <c r="K820" s="33">
        <f>ROUNDUP(J820+(J820*Assumptions!J$5),-2)</f>
        <v>62000</v>
      </c>
      <c r="L820" s="33">
        <f>ROUNDUP(K820+(K820*Assumptions!K$5),-2)</f>
        <v>63600</v>
      </c>
      <c r="M820" s="33">
        <f>ROUNDUP(L820+(L820*Assumptions!L$5),-2)</f>
        <v>64900</v>
      </c>
      <c r="N820" s="33">
        <f>ROUNDUP(M820+(M820*Assumptions!M$5),-2)</f>
        <v>66200</v>
      </c>
      <c r="O820" s="33">
        <f>ROUNDUP(N820+(N820*Assumptions!N$5),-2)</f>
        <v>67600</v>
      </c>
      <c r="P820" s="33">
        <f>ROUNDUP(O820+(O820*Assumptions!O$5),-2)</f>
        <v>69000</v>
      </c>
      <c r="Q820" s="33">
        <f>ROUNDUP(P820+(P820*Assumptions!P$5),-2)</f>
        <v>70400</v>
      </c>
      <c r="R820" s="114">
        <f>ROUNDUP(Q820+(Q820*Assumptions!Q$5),-2)</f>
        <v>71900</v>
      </c>
    </row>
    <row r="821" spans="1:18" x14ac:dyDescent="0.2">
      <c r="A821" s="107">
        <v>12800</v>
      </c>
      <c r="B821" s="33">
        <v>8300</v>
      </c>
      <c r="C821" s="189">
        <v>18600</v>
      </c>
      <c r="D821" s="33">
        <v>16300</v>
      </c>
      <c r="E821" s="344" t="s">
        <v>1642</v>
      </c>
      <c r="F821" s="891" t="s">
        <v>4197</v>
      </c>
      <c r="G821" s="187">
        <f>15000+15000</f>
        <v>30000</v>
      </c>
      <c r="H821" s="138">
        <f t="shared" si="773"/>
        <v>84.049079754601223</v>
      </c>
      <c r="I821" s="33">
        <f>ROUNDUP(G821+(G821*Assumptions!H$5),-2)</f>
        <v>30500</v>
      </c>
      <c r="J821" s="33">
        <f>ROUNDUP(I821+(I821*Assumptions!I$5),-2)</f>
        <v>31300</v>
      </c>
      <c r="K821" s="33">
        <f>ROUNDUP(J821+(J821*Assumptions!J$5),-2)</f>
        <v>32100</v>
      </c>
      <c r="L821" s="33">
        <f>ROUNDUP(K821+(K821*Assumptions!K$5),-2)</f>
        <v>33000</v>
      </c>
      <c r="M821" s="33">
        <f>ROUNDUP(L821+(L821*Assumptions!L$5),-2)</f>
        <v>33700</v>
      </c>
      <c r="N821" s="33">
        <f>ROUNDUP(M821+(M821*Assumptions!M$5),-2)</f>
        <v>34400</v>
      </c>
      <c r="O821" s="33">
        <f>ROUNDUP(N821+(N821*Assumptions!N$5),-2)</f>
        <v>35100</v>
      </c>
      <c r="P821" s="33">
        <f>ROUNDUP(O821+(O821*Assumptions!O$5),-2)</f>
        <v>35900</v>
      </c>
      <c r="Q821" s="33">
        <f>ROUNDUP(P821+(P821*Assumptions!P$5),-2)</f>
        <v>36700</v>
      </c>
      <c r="R821" s="114">
        <f>ROUNDUP(Q821+(Q821*Assumptions!Q$5),-2)</f>
        <v>37500</v>
      </c>
    </row>
    <row r="822" spans="1:18" s="92" customFormat="1" x14ac:dyDescent="0.2">
      <c r="A822" s="70"/>
      <c r="B822" s="64"/>
      <c r="C822" s="64"/>
      <c r="D822" s="33"/>
      <c r="E822" s="344"/>
      <c r="F822" s="137" t="s">
        <v>293</v>
      </c>
      <c r="G822" s="64"/>
      <c r="H822" s="138"/>
      <c r="I822" s="64"/>
      <c r="J822" s="64"/>
      <c r="K822" s="64"/>
      <c r="L822" s="64"/>
      <c r="M822" s="64"/>
      <c r="N822" s="64"/>
      <c r="O822" s="33"/>
      <c r="P822" s="33"/>
      <c r="Q822" s="33"/>
      <c r="R822" s="114"/>
    </row>
    <row r="823" spans="1:18" x14ac:dyDescent="0.2">
      <c r="A823" s="107">
        <v>614100</v>
      </c>
      <c r="B823" s="33">
        <v>598000</v>
      </c>
      <c r="C823" s="33">
        <v>700100</v>
      </c>
      <c r="D823" s="33">
        <v>715200</v>
      </c>
      <c r="E823" s="344" t="s">
        <v>1643</v>
      </c>
      <c r="F823" s="108" t="s">
        <v>1465</v>
      </c>
      <c r="G823" s="33">
        <f>800000+10000</f>
        <v>810000</v>
      </c>
      <c r="H823" s="138">
        <f>IF(D823=G823,0,IF(D823=0,100,(G823-D823)/D823*100))</f>
        <v>13.25503355704698</v>
      </c>
      <c r="I823" s="33">
        <f>ROUNDUP(G823+(G823*Assumptions!H$5),-2)</f>
        <v>822200</v>
      </c>
      <c r="J823" s="33">
        <f>ROUNDUP(I823+(I823*Assumptions!I$5),-2)</f>
        <v>842800</v>
      </c>
      <c r="K823" s="33">
        <f>ROUNDUP(J823+(J823*Assumptions!J$5),-2)</f>
        <v>863900</v>
      </c>
      <c r="L823" s="33">
        <f>ROUNDUP(K823+(K823*Assumptions!K$5),-2)</f>
        <v>885500</v>
      </c>
      <c r="M823" s="33">
        <f>ROUNDUP(L823+(L823*Assumptions!L$5),-2)</f>
        <v>903300</v>
      </c>
      <c r="N823" s="33">
        <f>ROUNDUP(M823+(M823*Assumptions!M$5),-2)</f>
        <v>921400</v>
      </c>
      <c r="O823" s="33">
        <f>ROUNDUP(N823+(N823*Assumptions!N$5),-2)</f>
        <v>939900</v>
      </c>
      <c r="P823" s="33">
        <f>ROUNDUP(O823+(O823*Assumptions!O$5),-2)</f>
        <v>958700</v>
      </c>
      <c r="Q823" s="33">
        <f>ROUNDUP(P823+(P823*Assumptions!P$5),-2)</f>
        <v>977900</v>
      </c>
      <c r="R823" s="114">
        <f>ROUNDUP(Q823+(Q823*Assumptions!Q$5),-2)</f>
        <v>997500</v>
      </c>
    </row>
    <row r="824" spans="1:18" x14ac:dyDescent="0.2">
      <c r="A824" s="107">
        <v>-11600</v>
      </c>
      <c r="B824" s="33">
        <v>-11300</v>
      </c>
      <c r="C824" s="33">
        <f>1900+2500-20500+5300</f>
        <v>-10800</v>
      </c>
      <c r="D824" s="33">
        <f>7600+1300+2200-22900+100</f>
        <v>-11700</v>
      </c>
      <c r="E824" s="344" t="s">
        <v>663</v>
      </c>
      <c r="F824" s="108" t="s">
        <v>2341</v>
      </c>
      <c r="G824" s="33">
        <v>0</v>
      </c>
      <c r="H824" s="138">
        <f>IF(D824=G824,0,IF(D824=0,100,(G824-D824)/D824*100))</f>
        <v>-100</v>
      </c>
      <c r="I824" s="33">
        <v>0</v>
      </c>
      <c r="J824" s="33">
        <v>0</v>
      </c>
      <c r="K824" s="132">
        <v>0</v>
      </c>
      <c r="L824" s="33">
        <f>ROUNDUP(K824+(K824*Assumptions!K$5),-2)</f>
        <v>0</v>
      </c>
      <c r="M824" s="33">
        <f>ROUNDUP(L824+(L824*Assumptions!L$5),-2)</f>
        <v>0</v>
      </c>
      <c r="N824" s="33">
        <f>ROUNDUP(M824+(M824*Assumptions!M$5),-2)</f>
        <v>0</v>
      </c>
      <c r="O824" s="33">
        <f>ROUNDUP(N824+(N824*Assumptions!N$5),-2)</f>
        <v>0</v>
      </c>
      <c r="P824" s="33">
        <f>ROUNDUP(O824+(O824*Assumptions!O$5),-2)</f>
        <v>0</v>
      </c>
      <c r="Q824" s="33">
        <f>ROUNDUP(P824+(P824*Assumptions!P$5),-2)</f>
        <v>0</v>
      </c>
      <c r="R824" s="114">
        <f>ROUNDUP(Q824+(Q824*Assumptions!Q$5),-2)</f>
        <v>0</v>
      </c>
    </row>
    <row r="825" spans="1:18" x14ac:dyDescent="0.2">
      <c r="A825" s="107">
        <v>276600</v>
      </c>
      <c r="B825" s="33">
        <v>224200</v>
      </c>
      <c r="C825" s="33">
        <v>326400</v>
      </c>
      <c r="D825" s="33">
        <v>309600</v>
      </c>
      <c r="E825" s="344" t="s">
        <v>664</v>
      </c>
      <c r="F825" s="108" t="s">
        <v>757</v>
      </c>
      <c r="G825" s="33">
        <v>278000</v>
      </c>
      <c r="H825" s="138">
        <f>IF(D825=G825,0,IF(D825=0,100,(G825-D825)/D825*100))</f>
        <v>-10.206718346253229</v>
      </c>
      <c r="I825" s="33">
        <f>ROUNDUP(G825+(G825*Assumptions!H$5),-2)</f>
        <v>282200</v>
      </c>
      <c r="J825" s="33">
        <f>ROUNDUP(I825+(I825*Assumptions!I$5),-2)</f>
        <v>289300</v>
      </c>
      <c r="K825" s="33">
        <f>ROUNDUP(J825+(J825*Assumptions!J$5),-2)</f>
        <v>296600</v>
      </c>
      <c r="L825" s="33">
        <f>ROUNDUP(K825+(K825*Assumptions!K$5),-2)</f>
        <v>304100</v>
      </c>
      <c r="M825" s="33">
        <f>ROUNDUP(L825+(L825*Assumptions!L$5),-2)</f>
        <v>310200</v>
      </c>
      <c r="N825" s="33">
        <f>ROUNDUP(M825+(M825*Assumptions!M$5),-2)</f>
        <v>316500</v>
      </c>
      <c r="O825" s="33">
        <f>ROUNDUP(N825+(N825*Assumptions!N$5),-2)</f>
        <v>322900</v>
      </c>
      <c r="P825" s="33">
        <f>ROUNDUP(O825+(O825*Assumptions!O$5),-2)</f>
        <v>329400</v>
      </c>
      <c r="Q825" s="33">
        <f>ROUNDUP(P825+(P825*Assumptions!P$5),-2)</f>
        <v>336000</v>
      </c>
      <c r="R825" s="114">
        <f>ROUNDUP(Q825+(Q825*Assumptions!Q$5),-2)</f>
        <v>342800</v>
      </c>
    </row>
    <row r="826" spans="1:18" x14ac:dyDescent="0.2">
      <c r="A826" s="107">
        <v>335000</v>
      </c>
      <c r="B826" s="33">
        <v>455000</v>
      </c>
      <c r="C826" s="33">
        <v>477200</v>
      </c>
      <c r="D826" s="33">
        <v>382600</v>
      </c>
      <c r="E826" s="344" t="s">
        <v>665</v>
      </c>
      <c r="F826" s="108" t="s">
        <v>756</v>
      </c>
      <c r="G826" s="33">
        <v>438000</v>
      </c>
      <c r="H826" s="138">
        <f>IF(D826=G826,0,IF(D826=0,100,(G826-D826)/D826*100))</f>
        <v>14.479874542603241</v>
      </c>
      <c r="I826" s="33">
        <f>ROUNDUP(G826+(G826*Assumptions!H$5),-2)</f>
        <v>444600</v>
      </c>
      <c r="J826" s="33">
        <f>ROUNDUP(I826+(I826*Assumptions!I$5),-2)</f>
        <v>455800</v>
      </c>
      <c r="K826" s="33">
        <f>ROUNDUP(J826+(J826*Assumptions!J$5),-2)</f>
        <v>467200</v>
      </c>
      <c r="L826" s="33">
        <f>ROUNDUP(K826+(K826*Assumptions!K$5),-2)</f>
        <v>478900</v>
      </c>
      <c r="M826" s="33">
        <f>ROUNDUP(L826+(L826*Assumptions!L$5),-2)</f>
        <v>488500</v>
      </c>
      <c r="N826" s="33">
        <f>ROUNDUP(M826+(M826*Assumptions!M$5),-2)</f>
        <v>498300</v>
      </c>
      <c r="O826" s="33">
        <f>ROUNDUP(N826+(N826*Assumptions!N$5),-2)</f>
        <v>508300</v>
      </c>
      <c r="P826" s="33">
        <f>ROUNDUP(O826+(O826*Assumptions!O$5),-2)</f>
        <v>518500</v>
      </c>
      <c r="Q826" s="33">
        <f>ROUNDUP(P826+(P826*Assumptions!P$5),-2)</f>
        <v>528900</v>
      </c>
      <c r="R826" s="114">
        <f>ROUNDUP(Q826+(Q826*Assumptions!Q$5),-2)</f>
        <v>539500</v>
      </c>
    </row>
    <row r="827" spans="1:18" x14ac:dyDescent="0.2">
      <c r="A827" s="107">
        <v>19800</v>
      </c>
      <c r="B827" s="33">
        <v>26800</v>
      </c>
      <c r="C827" s="189">
        <v>20800</v>
      </c>
      <c r="D827" s="33">
        <v>16200</v>
      </c>
      <c r="E827" s="344" t="s">
        <v>666</v>
      </c>
      <c r="F827" s="366" t="s">
        <v>1768</v>
      </c>
      <c r="G827" s="187">
        <v>30000</v>
      </c>
      <c r="H827" s="138">
        <f>IF(D827=G827,0,IF(D827=0,100,(G827-D827)/D827*100))</f>
        <v>85.18518518518519</v>
      </c>
      <c r="I827" s="33">
        <f>ROUNDUP(G827+(G827*Assumptions!H$5),-2)</f>
        <v>30500</v>
      </c>
      <c r="J827" s="33">
        <f>ROUNDUP(I827+(I827*Assumptions!I$5),-2)</f>
        <v>31300</v>
      </c>
      <c r="K827" s="33">
        <f>ROUNDUP(J827+(J827*Assumptions!J$5),-2)</f>
        <v>32100</v>
      </c>
      <c r="L827" s="33">
        <f>ROUNDUP(K827+(K827*Assumptions!K$5),-2)</f>
        <v>33000</v>
      </c>
      <c r="M827" s="33">
        <f>ROUNDUP(L827+(L827*Assumptions!L$5),-2)</f>
        <v>33700</v>
      </c>
      <c r="N827" s="33">
        <f>ROUNDUP(M827+(M827*Assumptions!M$5),-2)</f>
        <v>34400</v>
      </c>
      <c r="O827" s="33">
        <f>ROUNDUP(N827+(N827*Assumptions!N$5),-2)</f>
        <v>35100</v>
      </c>
      <c r="P827" s="33">
        <f>ROUNDUP(O827+(O827*Assumptions!O$5),-2)</f>
        <v>35900</v>
      </c>
      <c r="Q827" s="33">
        <f>ROUNDUP(P827+(P827*Assumptions!P$5),-2)</f>
        <v>36700</v>
      </c>
      <c r="R827" s="114">
        <f>ROUNDUP(Q827+(Q827*Assumptions!Q$5),-2)</f>
        <v>37500</v>
      </c>
    </row>
    <row r="828" spans="1:18" x14ac:dyDescent="0.2">
      <c r="A828" s="98"/>
      <c r="B828" s="33"/>
      <c r="C828" s="33"/>
      <c r="D828" s="33"/>
      <c r="E828" s="1100"/>
      <c r="F828" s="916"/>
      <c r="G828" s="33"/>
      <c r="H828" s="138"/>
      <c r="I828" s="33"/>
      <c r="J828" s="33"/>
      <c r="K828" s="33"/>
      <c r="L828" s="33"/>
      <c r="M828" s="33"/>
      <c r="N828" s="33"/>
      <c r="O828" s="33"/>
      <c r="P828" s="33"/>
      <c r="Q828" s="33"/>
      <c r="R828" s="114"/>
    </row>
    <row r="829" spans="1:18" x14ac:dyDescent="0.2">
      <c r="A829" s="98"/>
      <c r="B829" s="33"/>
      <c r="C829" s="33"/>
      <c r="D829" s="33"/>
      <c r="E829" s="240"/>
      <c r="F829" s="718" t="s">
        <v>1031</v>
      </c>
      <c r="G829" s="33"/>
      <c r="H829" s="138"/>
      <c r="I829" s="33"/>
      <c r="J829" s="33"/>
      <c r="K829" s="33"/>
      <c r="L829" s="33"/>
      <c r="M829" s="33"/>
      <c r="N829" s="33"/>
      <c r="O829" s="33"/>
      <c r="P829" s="33"/>
      <c r="Q829" s="33"/>
      <c r="R829" s="114"/>
    </row>
    <row r="830" spans="1:18" ht="13.5" thickBot="1" x14ac:dyDescent="0.25">
      <c r="A830" s="2522"/>
      <c r="B830" s="66"/>
      <c r="C830" s="66"/>
      <c r="D830" s="66"/>
      <c r="E830" s="241"/>
      <c r="F830" s="2516"/>
      <c r="G830" s="66"/>
      <c r="H830" s="140"/>
      <c r="I830" s="66"/>
      <c r="J830" s="66"/>
      <c r="K830" s="66"/>
      <c r="L830" s="66"/>
      <c r="M830" s="66"/>
      <c r="N830" s="66"/>
      <c r="O830" s="66"/>
      <c r="P830" s="66"/>
      <c r="Q830" s="66"/>
      <c r="R830" s="165"/>
    </row>
    <row r="831" spans="1:18" ht="19.5" thickTop="1" thickBot="1" x14ac:dyDescent="0.25">
      <c r="A831" s="2873" t="s">
        <v>4655</v>
      </c>
      <c r="B831" s="2874"/>
      <c r="C831" s="2874"/>
      <c r="D831" s="2874"/>
      <c r="E831" s="2874"/>
      <c r="F831" s="2874"/>
      <c r="G831" s="2874"/>
      <c r="H831" s="2874"/>
      <c r="I831" s="2874"/>
      <c r="J831" s="2874"/>
      <c r="K831" s="2874"/>
      <c r="L831" s="2874"/>
      <c r="M831" s="2874"/>
      <c r="N831" s="2874"/>
      <c r="O831" s="2874"/>
      <c r="P831" s="2874"/>
      <c r="Q831" s="2874"/>
      <c r="R831" s="2875"/>
    </row>
    <row r="832" spans="1:18" s="44" customFormat="1" x14ac:dyDescent="0.2">
      <c r="A832" s="2900" t="s">
        <v>1856</v>
      </c>
      <c r="B832" s="2901"/>
      <c r="C832" s="2901"/>
      <c r="D832" s="2902"/>
      <c r="E832" s="529" t="s">
        <v>2663</v>
      </c>
      <c r="F832" s="641" t="s">
        <v>2251</v>
      </c>
      <c r="G832" s="2897" t="s">
        <v>2253</v>
      </c>
      <c r="H832" s="2898"/>
      <c r="I832" s="2898"/>
      <c r="J832" s="2898"/>
      <c r="K832" s="2898"/>
      <c r="L832" s="2898"/>
      <c r="M832" s="2898"/>
      <c r="N832" s="2898"/>
      <c r="O832" s="2898"/>
      <c r="P832" s="2898"/>
      <c r="Q832" s="2898"/>
      <c r="R832" s="2899"/>
    </row>
    <row r="833" spans="1:18" s="23" customFormat="1" ht="13.5" customHeight="1" thickBot="1" x14ac:dyDescent="0.25">
      <c r="A833" s="208" t="str">
        <f>A3</f>
        <v>2012/13</v>
      </c>
      <c r="B833" s="218" t="str">
        <f>B3</f>
        <v>2013/14</v>
      </c>
      <c r="C833" s="370" t="str">
        <f>C3</f>
        <v>2014/15</v>
      </c>
      <c r="D833" s="93" t="str">
        <f>D3</f>
        <v>2015/16</v>
      </c>
      <c r="E833" s="370" t="s">
        <v>2664</v>
      </c>
      <c r="F833" s="42"/>
      <c r="G833" s="93" t="str">
        <f t="shared" ref="G833:R833" si="774">G3</f>
        <v>2016/17</v>
      </c>
      <c r="H833" s="2005" t="str">
        <f t="shared" si="774"/>
        <v>%</v>
      </c>
      <c r="I833" s="370" t="str">
        <f t="shared" si="774"/>
        <v>2017/18</v>
      </c>
      <c r="J833" s="370" t="str">
        <f t="shared" si="774"/>
        <v>2018/19</v>
      </c>
      <c r="K833" s="370" t="str">
        <f t="shared" si="774"/>
        <v>2019/20</v>
      </c>
      <c r="L833" s="370" t="str">
        <f t="shared" si="774"/>
        <v>2020/21</v>
      </c>
      <c r="M833" s="370" t="str">
        <f t="shared" si="774"/>
        <v>2021/22</v>
      </c>
      <c r="N833" s="370" t="str">
        <f t="shared" si="774"/>
        <v>2022/23</v>
      </c>
      <c r="O833" s="370" t="str">
        <f t="shared" si="774"/>
        <v>2023/24</v>
      </c>
      <c r="P833" s="370" t="str">
        <f t="shared" si="774"/>
        <v>2024/25</v>
      </c>
      <c r="Q833" s="218" t="str">
        <f t="shared" si="774"/>
        <v>2025/26</v>
      </c>
      <c r="R833" s="549" t="str">
        <f t="shared" si="774"/>
        <v>2026/27</v>
      </c>
    </row>
    <row r="834" spans="1:18" s="23" customFormat="1" ht="13.5" customHeight="1" x14ac:dyDescent="0.2">
      <c r="A834" s="268"/>
      <c r="B834" s="529"/>
      <c r="C834" s="529"/>
      <c r="D834" s="204"/>
      <c r="E834" s="531"/>
      <c r="F834" s="22"/>
      <c r="G834" s="204"/>
      <c r="H834" s="1702"/>
      <c r="I834" s="529"/>
      <c r="J834" s="529"/>
      <c r="K834" s="529"/>
      <c r="L834" s="529"/>
      <c r="M834" s="529"/>
      <c r="N834" s="529"/>
      <c r="O834" s="529"/>
      <c r="P834" s="529"/>
      <c r="Q834" s="529"/>
      <c r="R834" s="530"/>
    </row>
    <row r="835" spans="1:18" x14ac:dyDescent="0.2">
      <c r="A835" s="107"/>
      <c r="B835" s="33"/>
      <c r="C835" s="33"/>
      <c r="D835" s="33"/>
      <c r="E835" s="1955"/>
      <c r="F835" s="365" t="s">
        <v>1832</v>
      </c>
      <c r="G835" s="33"/>
      <c r="H835" s="138"/>
      <c r="I835" s="33"/>
      <c r="J835" s="33"/>
      <c r="K835" s="33"/>
      <c r="L835" s="33"/>
      <c r="M835" s="33"/>
      <c r="N835" s="33"/>
      <c r="O835" s="33"/>
      <c r="P835" s="33"/>
      <c r="Q835" s="33"/>
      <c r="R835" s="114"/>
    </row>
    <row r="836" spans="1:18" x14ac:dyDescent="0.2">
      <c r="A836" s="107"/>
      <c r="B836" s="33"/>
      <c r="C836" s="142"/>
      <c r="D836" s="33"/>
      <c r="E836" s="1955"/>
      <c r="F836" s="365"/>
      <c r="G836" s="33"/>
      <c r="H836" s="138"/>
      <c r="I836" s="33"/>
      <c r="J836" s="33"/>
      <c r="K836" s="33"/>
      <c r="L836" s="33"/>
      <c r="M836" s="33"/>
      <c r="N836" s="33"/>
      <c r="O836" s="33"/>
      <c r="P836" s="33"/>
      <c r="Q836" s="33"/>
      <c r="R836" s="114"/>
    </row>
    <row r="837" spans="1:18" s="92" customFormat="1" x14ac:dyDescent="0.2">
      <c r="A837" s="70"/>
      <c r="B837" s="33"/>
      <c r="C837" s="128"/>
      <c r="D837" s="33"/>
      <c r="E837" s="345"/>
      <c r="F837" s="371" t="s">
        <v>292</v>
      </c>
      <c r="G837" s="64"/>
      <c r="H837" s="138"/>
      <c r="I837" s="64"/>
      <c r="J837" s="64"/>
      <c r="K837" s="64"/>
      <c r="L837" s="64"/>
      <c r="M837" s="64"/>
      <c r="N837" s="64"/>
      <c r="O837" s="33"/>
      <c r="P837" s="33"/>
      <c r="Q837" s="33"/>
      <c r="R837" s="114"/>
    </row>
    <row r="838" spans="1:18" x14ac:dyDescent="0.2">
      <c r="A838" s="107">
        <v>0</v>
      </c>
      <c r="B838" s="33">
        <v>80300</v>
      </c>
      <c r="C838" s="99">
        <v>0</v>
      </c>
      <c r="D838" s="33">
        <v>1600</v>
      </c>
      <c r="E838" s="344" t="s">
        <v>1875</v>
      </c>
      <c r="F838" s="366" t="s">
        <v>1440</v>
      </c>
      <c r="G838" s="33">
        <v>0</v>
      </c>
      <c r="H838" s="138">
        <f>IF(D838=G838,0,IF(D838=0,100,(G838-D838)/D838*100))</f>
        <v>-100</v>
      </c>
      <c r="I838" s="33">
        <f>ROUNDUP(G838+(G838*Assumptions!H$5),-2)</f>
        <v>0</v>
      </c>
      <c r="J838" s="33">
        <f>ROUNDUP(I838+(I838*Assumptions!I$5),-2)</f>
        <v>0</v>
      </c>
      <c r="K838" s="33">
        <f>ROUNDUP(J838+(J838*Assumptions!J$5),-2)</f>
        <v>0</v>
      </c>
      <c r="L838" s="33">
        <f>ROUNDUP(K838+(K838*Assumptions!K$5),-2)</f>
        <v>0</v>
      </c>
      <c r="M838" s="33">
        <f>ROUNDUP(L838+(L838*Assumptions!L$5),-2)</f>
        <v>0</v>
      </c>
      <c r="N838" s="33">
        <f>ROUNDUP(M838+(M838*Assumptions!M$5),-2)</f>
        <v>0</v>
      </c>
      <c r="O838" s="33">
        <f>ROUNDUP(N838+(N838*Assumptions!N$5),-2)</f>
        <v>0</v>
      </c>
      <c r="P838" s="33">
        <f>ROUNDUP(O838+(O838*Assumptions!O$5),-2)</f>
        <v>0</v>
      </c>
      <c r="Q838" s="33">
        <f>ROUNDUP(P838+(P838*Assumptions!P$5),-2)</f>
        <v>0</v>
      </c>
      <c r="R838" s="114">
        <f>ROUNDUP(Q838+(Q838*Assumptions!Q$5),-2)</f>
        <v>0</v>
      </c>
    </row>
    <row r="839" spans="1:18" x14ac:dyDescent="0.2">
      <c r="A839" s="107">
        <v>482700</v>
      </c>
      <c r="B839" s="33">
        <v>519000</v>
      </c>
      <c r="C839" s="99">
        <v>572200</v>
      </c>
      <c r="D839" s="33">
        <v>639900</v>
      </c>
      <c r="E839" s="344" t="s">
        <v>667</v>
      </c>
      <c r="F839" s="366" t="s">
        <v>1465</v>
      </c>
      <c r="G839" s="33">
        <v>408000</v>
      </c>
      <c r="H839" s="138">
        <f>IF(D839=G839,0,IF(D839=0,100,(G839-D839)/D839*100))</f>
        <v>-36.240037505860286</v>
      </c>
      <c r="I839" s="33">
        <f>ROUNDUP(G839+(G839*Assumptions!H$5),-2)</f>
        <v>414200</v>
      </c>
      <c r="J839" s="33">
        <f>ROUNDUP(I839+(I839*Assumptions!I$5),-2)</f>
        <v>424600</v>
      </c>
      <c r="K839" s="33">
        <f>ROUNDUP(J839+(J839*Assumptions!J$5),-2)</f>
        <v>435300</v>
      </c>
      <c r="L839" s="33">
        <f>ROUNDUP(K839+(K839*Assumptions!K$5),-2)</f>
        <v>446200</v>
      </c>
      <c r="M839" s="33">
        <f>ROUNDUP(L839+(L839*Assumptions!L$5),-2)</f>
        <v>455200</v>
      </c>
      <c r="N839" s="33">
        <f>ROUNDUP(M839+(M839*Assumptions!M$5),-2)</f>
        <v>464400</v>
      </c>
      <c r="O839" s="33">
        <f>ROUNDUP(N839+(N839*Assumptions!N$5),-2)</f>
        <v>473700</v>
      </c>
      <c r="P839" s="33">
        <f>ROUNDUP(O839+(O839*Assumptions!O$5),-2)</f>
        <v>483200</v>
      </c>
      <c r="Q839" s="33">
        <f>ROUNDUP(P839+(P839*Assumptions!P$5),-2)</f>
        <v>492900</v>
      </c>
      <c r="R839" s="114">
        <f>ROUNDUP(Q839+(Q839*Assumptions!Q$5),-2)</f>
        <v>502800</v>
      </c>
    </row>
    <row r="840" spans="1:18" x14ac:dyDescent="0.2">
      <c r="A840" s="107">
        <v>232200</v>
      </c>
      <c r="B840" s="33">
        <f>224100+21000+2200</f>
        <v>247300</v>
      </c>
      <c r="C840" s="99">
        <f>21600+23100-2600+400+208400</f>
        <v>250900</v>
      </c>
      <c r="D840" s="33">
        <f>2800+24200-2400+244000-100</f>
        <v>268500</v>
      </c>
      <c r="E840" s="344" t="s">
        <v>2024</v>
      </c>
      <c r="F840" s="366" t="s">
        <v>2341</v>
      </c>
      <c r="G840" s="33">
        <v>255000</v>
      </c>
      <c r="H840" s="138">
        <f>IF(D840=G840,0,IF(D840=0,100,(G840-D840)/D840*100))</f>
        <v>-5.027932960893855</v>
      </c>
      <c r="I840" s="33">
        <f>ROUNDUP(G840+(G840*Assumptions!H$5),-2)</f>
        <v>258900</v>
      </c>
      <c r="J840" s="33">
        <f>ROUNDUP(I840+(I840*Assumptions!I$5),-2)</f>
        <v>265400</v>
      </c>
      <c r="K840" s="33">
        <f>ROUNDUP(J840+(J840*Assumptions!J$5),-2)</f>
        <v>272100</v>
      </c>
      <c r="L840" s="33">
        <f>ROUNDUP(K840+(K840*Assumptions!K$5),-2)</f>
        <v>279000</v>
      </c>
      <c r="M840" s="33">
        <f>ROUNDUP(L840+(L840*Assumptions!L$5),-2)</f>
        <v>284600</v>
      </c>
      <c r="N840" s="33">
        <f>ROUNDUP(M840+(M840*Assumptions!M$5),-2)</f>
        <v>290300</v>
      </c>
      <c r="O840" s="33">
        <f>ROUNDUP(N840+(N840*Assumptions!N$5),-2)</f>
        <v>296200</v>
      </c>
      <c r="P840" s="33">
        <f>ROUNDUP(O840+(O840*Assumptions!O$5),-2)</f>
        <v>302200</v>
      </c>
      <c r="Q840" s="33">
        <f>ROUNDUP(P840+(P840*Assumptions!P$5),-2)</f>
        <v>308300</v>
      </c>
      <c r="R840" s="114">
        <f>ROUNDUP(Q840+(Q840*Assumptions!Q$5),-2)</f>
        <v>314500</v>
      </c>
    </row>
    <row r="841" spans="1:18" x14ac:dyDescent="0.2">
      <c r="A841" s="107">
        <v>249800</v>
      </c>
      <c r="B841" s="33">
        <v>220000</v>
      </c>
      <c r="C841" s="99">
        <v>242400</v>
      </c>
      <c r="D841" s="33">
        <v>361700</v>
      </c>
      <c r="E841" s="344" t="s">
        <v>2227</v>
      </c>
      <c r="F841" s="366" t="s">
        <v>757</v>
      </c>
      <c r="G841" s="33">
        <v>290000</v>
      </c>
      <c r="H841" s="138">
        <f>IF(D841=G841,0,IF(D841=0,100,(G841-D841)/D841*100))</f>
        <v>-19.823057782692839</v>
      </c>
      <c r="I841" s="33">
        <f>ROUNDUP(G841+(G841*Assumptions!H$5),-2)</f>
        <v>294400</v>
      </c>
      <c r="J841" s="33">
        <f>ROUNDUP(I841+(I841*Assumptions!I$5),-2)</f>
        <v>301800</v>
      </c>
      <c r="K841" s="33">
        <f>ROUNDUP(J841+(J841*Assumptions!J$5),-2)</f>
        <v>309400</v>
      </c>
      <c r="L841" s="33">
        <f>ROUNDUP(K841+(K841*Assumptions!K$5),-2)</f>
        <v>317200</v>
      </c>
      <c r="M841" s="33">
        <f>ROUNDUP(L841+(L841*Assumptions!L$5),-2)</f>
        <v>323600</v>
      </c>
      <c r="N841" s="33">
        <f>ROUNDUP(M841+(M841*Assumptions!M$5),-2)</f>
        <v>330100</v>
      </c>
      <c r="O841" s="33">
        <f>ROUNDUP(N841+(N841*Assumptions!N$5),-2)</f>
        <v>336800</v>
      </c>
      <c r="P841" s="33">
        <f>ROUNDUP(O841+(O841*Assumptions!O$5),-2)</f>
        <v>343600</v>
      </c>
      <c r="Q841" s="33">
        <f>ROUNDUP(P841+(P841*Assumptions!P$5),-2)</f>
        <v>350500</v>
      </c>
      <c r="R841" s="114">
        <f>ROUNDUP(Q841+(Q841*Assumptions!Q$5),-2)</f>
        <v>357600</v>
      </c>
    </row>
    <row r="842" spans="1:18" x14ac:dyDescent="0.2">
      <c r="A842" s="107">
        <v>177900</v>
      </c>
      <c r="B842" s="33">
        <v>290000</v>
      </c>
      <c r="C842" s="99">
        <v>238700</v>
      </c>
      <c r="D842" s="33">
        <v>379400</v>
      </c>
      <c r="E842" s="344" t="s">
        <v>2228</v>
      </c>
      <c r="F842" s="366" t="s">
        <v>756</v>
      </c>
      <c r="G842" s="33">
        <v>302000</v>
      </c>
      <c r="H842" s="138">
        <f>IF(D842=G842,0,IF(D842=0,100,(G842-D842)/D842*100))</f>
        <v>-20.400632577754347</v>
      </c>
      <c r="I842" s="33">
        <f>ROUNDUP(G842+(G842*Assumptions!H$5),-2)</f>
        <v>306600</v>
      </c>
      <c r="J842" s="33">
        <f>ROUNDUP(I842+(I842*Assumptions!I$5),-2)</f>
        <v>314300</v>
      </c>
      <c r="K842" s="33">
        <f>ROUNDUP(J842+(J842*Assumptions!J$5),-2)</f>
        <v>322200</v>
      </c>
      <c r="L842" s="33">
        <f>ROUNDUP(K842+(K842*Assumptions!K$5),-2)</f>
        <v>330300</v>
      </c>
      <c r="M842" s="33">
        <f>ROUNDUP(L842+(L842*Assumptions!L$5),-2)</f>
        <v>337000</v>
      </c>
      <c r="N842" s="33">
        <f>ROUNDUP(M842+(M842*Assumptions!M$5),-2)</f>
        <v>343800</v>
      </c>
      <c r="O842" s="33">
        <f>ROUNDUP(N842+(N842*Assumptions!N$5),-2)</f>
        <v>350700</v>
      </c>
      <c r="P842" s="33">
        <f>ROUNDUP(O842+(O842*Assumptions!O$5),-2)</f>
        <v>357800</v>
      </c>
      <c r="Q842" s="33">
        <f>ROUNDUP(P842+(P842*Assumptions!P$5),-2)</f>
        <v>365000</v>
      </c>
      <c r="R842" s="114">
        <f>ROUNDUP(Q842+(Q842*Assumptions!Q$5),-2)</f>
        <v>372300</v>
      </c>
    </row>
    <row r="843" spans="1:18" x14ac:dyDescent="0.2">
      <c r="A843" s="107"/>
      <c r="B843" s="33"/>
      <c r="C843" s="142"/>
      <c r="D843" s="33"/>
      <c r="E843" s="344"/>
      <c r="F843" s="371" t="s">
        <v>2774</v>
      </c>
      <c r="G843" s="33"/>
      <c r="H843" s="138"/>
      <c r="I843" s="33"/>
      <c r="J843" s="33"/>
      <c r="K843" s="33"/>
      <c r="L843" s="33"/>
      <c r="M843" s="33"/>
      <c r="N843" s="33"/>
      <c r="O843" s="33"/>
      <c r="P843" s="33"/>
      <c r="Q843" s="33"/>
      <c r="R843" s="114"/>
    </row>
    <row r="844" spans="1:18" x14ac:dyDescent="0.2">
      <c r="A844" s="107">
        <v>1700</v>
      </c>
      <c r="B844" s="33">
        <v>7500</v>
      </c>
      <c r="C844" s="99">
        <v>7500</v>
      </c>
      <c r="D844" s="33">
        <v>0</v>
      </c>
      <c r="E844" s="344" t="s">
        <v>2229</v>
      </c>
      <c r="F844" s="366" t="s">
        <v>1012</v>
      </c>
      <c r="G844" s="33">
        <v>8000</v>
      </c>
      <c r="H844" s="138">
        <f>IF(D844=G844,0,IF(D844=0,100,(G844-D844)/D844*100))</f>
        <v>100</v>
      </c>
      <c r="I844" s="33">
        <f>ROUNDUP(G844+(G844*Assumptions!H$5),-2)</f>
        <v>8200</v>
      </c>
      <c r="J844" s="33">
        <f>ROUNDUP(I844+(I844*Assumptions!I$5),-2)</f>
        <v>8500</v>
      </c>
      <c r="K844" s="33">
        <f>ROUNDUP(J844+(J844*Assumptions!J$5),-2)</f>
        <v>8800</v>
      </c>
      <c r="L844" s="33">
        <f>ROUNDUP(K844+(K844*Assumptions!K$5),-2)</f>
        <v>9100</v>
      </c>
      <c r="M844" s="33">
        <f>ROUNDUP(L844+(L844*Assumptions!L$5),-2)</f>
        <v>9300</v>
      </c>
      <c r="N844" s="33">
        <f>ROUNDUP(M844+(M844*Assumptions!M$5),-2)</f>
        <v>9500</v>
      </c>
      <c r="O844" s="33">
        <f>ROUNDUP(N844+(N844*Assumptions!N$5),-2)</f>
        <v>9700</v>
      </c>
      <c r="P844" s="33">
        <f>ROUNDUP(O844+(O844*Assumptions!O$5),-2)</f>
        <v>9900</v>
      </c>
      <c r="Q844" s="33">
        <f>ROUNDUP(P844+(P844*Assumptions!P$5),-2)</f>
        <v>10100</v>
      </c>
      <c r="R844" s="114">
        <f>ROUNDUP(Q844+(Q844*Assumptions!Q$5),-2)</f>
        <v>10400</v>
      </c>
    </row>
    <row r="845" spans="1:18" x14ac:dyDescent="0.2">
      <c r="A845" s="107">
        <v>510400</v>
      </c>
      <c r="B845" s="33">
        <v>534500</v>
      </c>
      <c r="C845" s="99">
        <v>557200</v>
      </c>
      <c r="D845" s="33">
        <v>568700</v>
      </c>
      <c r="E845" s="344" t="s">
        <v>2230</v>
      </c>
      <c r="F845" s="366" t="s">
        <v>2011</v>
      </c>
      <c r="G845" s="33">
        <f>585000-13000</f>
        <v>572000</v>
      </c>
      <c r="H845" s="138">
        <f>IF(D845=G845,0,IF(D845=0,100,(G845-D845)/D845*100))</f>
        <v>0.58027079303675055</v>
      </c>
      <c r="I845" s="33">
        <f>ROUNDUP(G845+(G845*Assumptions!H$5),-2)</f>
        <v>580600</v>
      </c>
      <c r="J845" s="33">
        <f>ROUNDUP(I845+(I845*Assumptions!I$5),-2)</f>
        <v>595200</v>
      </c>
      <c r="K845" s="33">
        <f>ROUNDUP(J845+(J845*Assumptions!J$5),-2)</f>
        <v>610100</v>
      </c>
      <c r="L845" s="33">
        <f>ROUNDUP(K845+(K845*Assumptions!K$5),-2)</f>
        <v>625400</v>
      </c>
      <c r="M845" s="33">
        <f>ROUNDUP(L845+(L845*Assumptions!L$5),-2)</f>
        <v>638000</v>
      </c>
      <c r="N845" s="33">
        <f>ROUNDUP(M845+(M845*Assumptions!M$5),-2)</f>
        <v>650800</v>
      </c>
      <c r="O845" s="33">
        <f>ROUNDUP(N845+(N845*Assumptions!N$5),-2)</f>
        <v>663900</v>
      </c>
      <c r="P845" s="33">
        <f>ROUNDUP(O845+(O845*Assumptions!O$5),-2)</f>
        <v>677200</v>
      </c>
      <c r="Q845" s="33">
        <f>ROUNDUP(P845+(P845*Assumptions!P$5),-2)</f>
        <v>690800</v>
      </c>
      <c r="R845" s="114">
        <f>ROUNDUP(Q845+(Q845*Assumptions!Q$5),-2)</f>
        <v>704700</v>
      </c>
    </row>
    <row r="846" spans="1:18" x14ac:dyDescent="0.2">
      <c r="A846" s="107">
        <v>10100</v>
      </c>
      <c r="B846" s="33">
        <v>39700</v>
      </c>
      <c r="C846" s="99">
        <v>17700</v>
      </c>
      <c r="D846" s="33">
        <v>24800</v>
      </c>
      <c r="E846" s="344" t="s">
        <v>2231</v>
      </c>
      <c r="F846" s="366" t="s">
        <v>138</v>
      </c>
      <c r="G846" s="33">
        <v>40800</v>
      </c>
      <c r="H846" s="138">
        <f>IF(D846=G846,0,IF(D846=0,100,(G846-D846)/D846*100))</f>
        <v>64.516129032258064</v>
      </c>
      <c r="I846" s="33">
        <f>ROUNDUP(G846+(G846*Assumptions!H$5),-2)</f>
        <v>41500</v>
      </c>
      <c r="J846" s="33">
        <f>ROUNDUP(I846+(I846*Assumptions!I$5),-2)</f>
        <v>42600</v>
      </c>
      <c r="K846" s="33">
        <f>ROUNDUP(J846+(J846*Assumptions!J$5),-2)</f>
        <v>43700</v>
      </c>
      <c r="L846" s="33">
        <f>ROUNDUP(K846+(K846*Assumptions!K$5),-2)</f>
        <v>44800</v>
      </c>
      <c r="M846" s="33">
        <f>ROUNDUP(L846+(L846*Assumptions!L$5),-2)</f>
        <v>45700</v>
      </c>
      <c r="N846" s="33">
        <f>ROUNDUP(M846+(M846*Assumptions!M$5),-2)</f>
        <v>46700</v>
      </c>
      <c r="O846" s="33">
        <f>ROUNDUP(N846+(N846*Assumptions!N$5),-2)</f>
        <v>47700</v>
      </c>
      <c r="P846" s="33">
        <f>ROUNDUP(O846+(O846*Assumptions!O$5),-2)</f>
        <v>48700</v>
      </c>
      <c r="Q846" s="33">
        <f>ROUNDUP(P846+(P846*Assumptions!P$5),-2)</f>
        <v>49700</v>
      </c>
      <c r="R846" s="114">
        <f>ROUNDUP(Q846+(Q846*Assumptions!Q$5),-2)</f>
        <v>50700</v>
      </c>
    </row>
    <row r="847" spans="1:18" x14ac:dyDescent="0.2">
      <c r="A847" s="107"/>
      <c r="B847" s="33"/>
      <c r="D847" s="33"/>
      <c r="E847" s="811" t="s">
        <v>7117</v>
      </c>
      <c r="F847" s="891" t="s">
        <v>7118</v>
      </c>
      <c r="G847" s="33">
        <v>20000</v>
      </c>
      <c r="H847" s="138">
        <f>IF(D847=G847,0,IF(D847=0,100,(G847-D847)/D847*100))</f>
        <v>100</v>
      </c>
      <c r="I847" s="33">
        <v>0</v>
      </c>
      <c r="J847" s="33">
        <f>ROUNDUP(I847+(I847*Assumptions!I$5),-2)</f>
        <v>0</v>
      </c>
      <c r="K847" s="33">
        <f>ROUNDUP(J847+(J847*Assumptions!J$5),-2)</f>
        <v>0</v>
      </c>
      <c r="L847" s="33">
        <f>ROUNDUP(K847+(K847*Assumptions!K$5),-2)</f>
        <v>0</v>
      </c>
      <c r="M847" s="33">
        <f>ROUNDUP(L847+(L847*Assumptions!L$5),-2)</f>
        <v>0</v>
      </c>
      <c r="N847" s="33">
        <f>ROUNDUP(M847+(M847*Assumptions!M$5),-2)</f>
        <v>0</v>
      </c>
      <c r="O847" s="33">
        <f>ROUNDUP(N847+(N847*Assumptions!N$5),-2)</f>
        <v>0</v>
      </c>
      <c r="P847" s="33">
        <f>ROUNDUP(O847+(O847*Assumptions!O$5),-2)</f>
        <v>0</v>
      </c>
      <c r="Q847" s="33">
        <f>ROUNDUP(P847+(P847*Assumptions!P$5),-2)</f>
        <v>0</v>
      </c>
      <c r="R847" s="114">
        <f>ROUNDUP(Q847+(Q847*Assumptions!Q$5),-2)</f>
        <v>0</v>
      </c>
    </row>
    <row r="848" spans="1:18" x14ac:dyDescent="0.2">
      <c r="A848" s="107"/>
      <c r="B848" s="33"/>
      <c r="D848" s="33"/>
      <c r="E848" s="344"/>
      <c r="F848" s="371" t="s">
        <v>2069</v>
      </c>
      <c r="G848" s="33"/>
      <c r="H848" s="138"/>
      <c r="I848" s="33"/>
      <c r="J848" s="33"/>
      <c r="K848" s="33"/>
      <c r="L848" s="33"/>
      <c r="M848" s="33"/>
      <c r="N848" s="33"/>
      <c r="O848" s="33"/>
      <c r="P848" s="33"/>
      <c r="Q848" s="33"/>
      <c r="R848" s="114"/>
    </row>
    <row r="849" spans="1:18" x14ac:dyDescent="0.2">
      <c r="A849" s="107">
        <v>-2769400</v>
      </c>
      <c r="B849" s="33">
        <v>-2588300</v>
      </c>
      <c r="C849" s="99">
        <v>-2623800</v>
      </c>
      <c r="D849" s="33">
        <v>-2771900</v>
      </c>
      <c r="E849" s="344" t="s">
        <v>1181</v>
      </c>
      <c r="F849" s="366" t="s">
        <v>205</v>
      </c>
      <c r="G849" s="33">
        <f>-2950000-25000</f>
        <v>-2975000</v>
      </c>
      <c r="H849" s="138">
        <f>IF(D849=G849,0,IF(D849=0,100,(G849-D849)/D849*100))</f>
        <v>7.3271041523864504</v>
      </c>
      <c r="I849" s="33">
        <f>ROUNDUP(G849+(G849*Assumptions!H$5),-2)</f>
        <v>-3019700</v>
      </c>
      <c r="J849" s="33">
        <f>ROUNDUP(I849+(I849*Assumptions!I$5),-2)</f>
        <v>-3095200</v>
      </c>
      <c r="K849" s="33">
        <f>ROUNDUP(J849+(J849*Assumptions!J$5),-2)</f>
        <v>-3172600</v>
      </c>
      <c r="L849" s="33">
        <f>ROUNDUP(K849+(K849*Assumptions!K$5),-2)</f>
        <v>-3252000</v>
      </c>
      <c r="M849" s="33">
        <f>ROUNDUP(L849+(L849*Assumptions!L$5),-2)</f>
        <v>-3317100</v>
      </c>
      <c r="N849" s="33">
        <f>ROUNDUP(M849+(M849*Assumptions!M$5),-2)</f>
        <v>-3383500</v>
      </c>
      <c r="O849" s="33">
        <f>ROUNDUP(N849+(N849*Assumptions!N$5),-2)</f>
        <v>-3451200</v>
      </c>
      <c r="P849" s="33">
        <f>ROUNDUP(O849+(O849*Assumptions!O$5),-2)</f>
        <v>-3520300</v>
      </c>
      <c r="Q849" s="33">
        <f>ROUNDUP(P849+(P849*Assumptions!P$5),-2)</f>
        <v>-3590800</v>
      </c>
      <c r="R849" s="114">
        <f>ROUNDUP(Q849+(Q849*Assumptions!Q$5),-2)</f>
        <v>-3662700</v>
      </c>
    </row>
    <row r="850" spans="1:18" x14ac:dyDescent="0.2">
      <c r="A850" s="107">
        <v>-2962800</v>
      </c>
      <c r="B850" s="33">
        <v>-2886000</v>
      </c>
      <c r="C850" s="99">
        <v>-3105600</v>
      </c>
      <c r="D850" s="33">
        <v>-3409100</v>
      </c>
      <c r="E850" s="344" t="s">
        <v>1901</v>
      </c>
      <c r="F850" s="366" t="s">
        <v>1666</v>
      </c>
      <c r="G850" s="33">
        <f>-3460000-25000</f>
        <v>-3485000</v>
      </c>
      <c r="H850" s="138">
        <f>IF(D850=G850,0,IF(D850=0,100,(G850-D850)/D850*100))</f>
        <v>2.2263940629491654</v>
      </c>
      <c r="I850" s="33">
        <f>ROUNDUP(G850+(G850*Assumptions!H$5),-2)</f>
        <v>-3537300</v>
      </c>
      <c r="J850" s="33">
        <f>ROUNDUP(I850+(I850*Assumptions!I$5),-2)</f>
        <v>-3625800</v>
      </c>
      <c r="K850" s="33">
        <f>ROUNDUP(J850+(J850*Assumptions!J$5),-2)</f>
        <v>-3716500</v>
      </c>
      <c r="L850" s="33">
        <f>ROUNDUP(K850+(K850*Assumptions!K$5),-2)</f>
        <v>-3809500</v>
      </c>
      <c r="M850" s="33">
        <f>ROUNDUP(L850+(L850*Assumptions!L$5),-2)</f>
        <v>-3885700</v>
      </c>
      <c r="N850" s="33">
        <f>ROUNDUP(M850+(M850*Assumptions!M$5),-2)</f>
        <v>-3963500</v>
      </c>
      <c r="O850" s="33">
        <f>ROUNDUP(N850+(N850*Assumptions!N$5),-2)</f>
        <v>-4042800</v>
      </c>
      <c r="P850" s="33">
        <f>ROUNDUP(O850+(O850*Assumptions!O$5),-2)</f>
        <v>-4123700</v>
      </c>
      <c r="Q850" s="33">
        <f>ROUNDUP(P850+(P850*Assumptions!P$5),-2)</f>
        <v>-4206200</v>
      </c>
      <c r="R850" s="114">
        <f>ROUNDUP(Q850+(Q850*Assumptions!Q$5),-2)</f>
        <v>-4290400</v>
      </c>
    </row>
    <row r="851" spans="1:18" x14ac:dyDescent="0.2">
      <c r="A851" s="107"/>
      <c r="B851" s="33"/>
      <c r="C851" s="189"/>
      <c r="D851" s="33"/>
      <c r="E851" s="344"/>
      <c r="F851" s="562" t="s">
        <v>1314</v>
      </c>
      <c r="G851" s="187"/>
      <c r="H851" s="138"/>
      <c r="I851" s="33"/>
      <c r="J851" s="33"/>
      <c r="K851" s="33"/>
      <c r="L851" s="33"/>
      <c r="M851" s="33"/>
      <c r="N851" s="33"/>
      <c r="O851" s="33"/>
      <c r="P851" s="33"/>
      <c r="Q851" s="33"/>
      <c r="R851" s="114"/>
    </row>
    <row r="852" spans="1:18" x14ac:dyDescent="0.2">
      <c r="A852" s="107">
        <v>-40200</v>
      </c>
      <c r="B852" s="33">
        <v>-51000</v>
      </c>
      <c r="C852" s="189">
        <v>-110400</v>
      </c>
      <c r="D852" s="33">
        <v>-44300</v>
      </c>
      <c r="E852" s="344" t="s">
        <v>1902</v>
      </c>
      <c r="F852" s="891" t="s">
        <v>3305</v>
      </c>
      <c r="G852" s="187">
        <v>-58200</v>
      </c>
      <c r="H852" s="138">
        <f>IF(D852=G852,0,IF(D852=0,100,(G852-D852)/D852*100))</f>
        <v>31.376975169300223</v>
      </c>
      <c r="I852" s="33">
        <f>ROUNDUP(G852+(G852*Assumptions!H$5),-2)</f>
        <v>-59100</v>
      </c>
      <c r="J852" s="33">
        <f>ROUNDUP(I852+(I852*Assumptions!I$5),-2)</f>
        <v>-60600</v>
      </c>
      <c r="K852" s="33">
        <f>ROUNDUP(J852+(J852*Assumptions!J$5),-2)</f>
        <v>-62200</v>
      </c>
      <c r="L852" s="33">
        <f>ROUNDUP(K852+(K852*Assumptions!K$5),-2)</f>
        <v>-63800</v>
      </c>
      <c r="M852" s="33">
        <f>ROUNDUP(L852+(L852*Assumptions!L$5),-2)</f>
        <v>-65100</v>
      </c>
      <c r="N852" s="33">
        <f>ROUNDUP(M852+(M852*Assumptions!M$5),-2)</f>
        <v>-66500</v>
      </c>
      <c r="O852" s="33">
        <f>ROUNDUP(N852+(N852*Assumptions!N$5),-2)</f>
        <v>-67900</v>
      </c>
      <c r="P852" s="33">
        <f>ROUNDUP(O852+(O852*Assumptions!O$5),-2)</f>
        <v>-69300</v>
      </c>
      <c r="Q852" s="33">
        <f>ROUNDUP(P852+(P852*Assumptions!P$5),-2)</f>
        <v>-70700</v>
      </c>
      <c r="R852" s="114">
        <f>ROUNDUP(Q852+(Q852*Assumptions!Q$5),-2)</f>
        <v>-72200</v>
      </c>
    </row>
    <row r="853" spans="1:18" x14ac:dyDescent="0.2">
      <c r="A853" s="107">
        <v>-7700</v>
      </c>
      <c r="B853" s="33">
        <v>-37700</v>
      </c>
      <c r="C853" s="189">
        <v>-30600</v>
      </c>
      <c r="D853" s="33">
        <f>-100300-2000+100</f>
        <v>-102200</v>
      </c>
      <c r="E853" s="344" t="s">
        <v>1903</v>
      </c>
      <c r="F853" s="891" t="s">
        <v>3038</v>
      </c>
      <c r="G853" s="187">
        <v>-71400</v>
      </c>
      <c r="H853" s="138">
        <f>IF(D853=G853,0,IF(D853=0,100,(G853-D853)/D853*100))</f>
        <v>-30.136986301369863</v>
      </c>
      <c r="I853" s="33">
        <f>ROUNDUP(G853+(G853*Assumptions!H$5),-2)</f>
        <v>-72500</v>
      </c>
      <c r="J853" s="33">
        <f>ROUNDUP(I853+(I853*Assumptions!I$5),-2)</f>
        <v>-74400</v>
      </c>
      <c r="K853" s="33">
        <f>ROUNDUP(J853+(J853*Assumptions!J$5),-2)</f>
        <v>-76300</v>
      </c>
      <c r="L853" s="33">
        <f>ROUNDUP(K853+(K853*Assumptions!K$5),-2)</f>
        <v>-78300</v>
      </c>
      <c r="M853" s="33">
        <f>ROUNDUP(L853+(L853*Assumptions!L$5),-2)</f>
        <v>-79900</v>
      </c>
      <c r="N853" s="33">
        <f>ROUNDUP(M853+(M853*Assumptions!M$5),-2)</f>
        <v>-81500</v>
      </c>
      <c r="O853" s="33">
        <f>ROUNDUP(N853+(N853*Assumptions!N$5),-2)</f>
        <v>-83200</v>
      </c>
      <c r="P853" s="33">
        <f>ROUNDUP(O853+(O853*Assumptions!O$5),-2)</f>
        <v>-84900</v>
      </c>
      <c r="Q853" s="33">
        <f>ROUNDUP(P853+(P853*Assumptions!P$5),-2)</f>
        <v>-86600</v>
      </c>
      <c r="R853" s="114">
        <f>ROUNDUP(Q853+(Q853*Assumptions!Q$5),-2)</f>
        <v>-88400</v>
      </c>
    </row>
    <row r="854" spans="1:18" ht="13.5" thickBot="1" x14ac:dyDescent="0.25">
      <c r="A854" s="70"/>
      <c r="B854" s="64"/>
      <c r="C854" s="64"/>
      <c r="D854" s="64"/>
      <c r="E854" s="252"/>
      <c r="F854" s="74"/>
      <c r="G854" s="33"/>
      <c r="H854" s="179"/>
      <c r="I854" s="33"/>
      <c r="J854" s="33"/>
      <c r="K854" s="33"/>
      <c r="L854" s="33"/>
      <c r="M854" s="33"/>
      <c r="N854" s="33"/>
      <c r="O854" s="33"/>
      <c r="P854" s="33"/>
      <c r="Q854" s="33"/>
      <c r="R854" s="114"/>
    </row>
    <row r="855" spans="1:18" s="92" customFormat="1" x14ac:dyDescent="0.2">
      <c r="A855" s="105">
        <f>SUM(A790:A854)</f>
        <v>963700</v>
      </c>
      <c r="B855" s="53">
        <f>SUM(B790:B854)</f>
        <v>1371400</v>
      </c>
      <c r="C855" s="53">
        <f>SUM(C790:C854)</f>
        <v>1366300</v>
      </c>
      <c r="D855" s="53">
        <f>SUM(D790:D854)</f>
        <v>1282200</v>
      </c>
      <c r="E855" s="282"/>
      <c r="F855" s="112" t="s">
        <v>565</v>
      </c>
      <c r="G855" s="53">
        <f>SUM(G790:G854)</f>
        <v>1010500</v>
      </c>
      <c r="H855" s="2485">
        <f>IF(D855=G855,0,IF(D855=0,100,(G855-D855)/D855*100))</f>
        <v>-21.190141943534549</v>
      </c>
      <c r="I855" s="53">
        <f t="shared" ref="I855:R855" si="775">SUM(I790:I854)</f>
        <v>1007200</v>
      </c>
      <c r="J855" s="53">
        <f t="shared" si="775"/>
        <v>1026900</v>
      </c>
      <c r="K855" s="53">
        <f t="shared" si="775"/>
        <v>1049900</v>
      </c>
      <c r="L855" s="53">
        <f t="shared" si="775"/>
        <v>1077200</v>
      </c>
      <c r="M855" s="53">
        <f t="shared" si="775"/>
        <v>1109700</v>
      </c>
      <c r="N855" s="53">
        <f t="shared" si="775"/>
        <v>1145800</v>
      </c>
      <c r="O855" s="53">
        <f t="shared" si="775"/>
        <v>1185500</v>
      </c>
      <c r="P855" s="53">
        <f t="shared" si="775"/>
        <v>1229900</v>
      </c>
      <c r="Q855" s="53">
        <f t="shared" si="775"/>
        <v>1277100</v>
      </c>
      <c r="R855" s="113">
        <f t="shared" si="775"/>
        <v>1329000</v>
      </c>
    </row>
    <row r="856" spans="1:18" x14ac:dyDescent="0.2">
      <c r="A856" s="107"/>
      <c r="B856" s="33"/>
      <c r="C856" s="33"/>
      <c r="D856" s="33"/>
      <c r="E856" s="255"/>
      <c r="F856" s="108"/>
      <c r="G856" s="33"/>
      <c r="H856" s="138"/>
      <c r="I856" s="64"/>
      <c r="J856" s="33"/>
      <c r="K856" s="33"/>
      <c r="L856" s="33"/>
      <c r="M856" s="33"/>
      <c r="N856" s="33"/>
      <c r="O856" s="33"/>
      <c r="P856" s="33"/>
      <c r="Q856" s="33"/>
      <c r="R856" s="114"/>
    </row>
    <row r="857" spans="1:18" s="92" customFormat="1" x14ac:dyDescent="0.2">
      <c r="A857" s="70">
        <f>A788-A855</f>
        <v>-731000</v>
      </c>
      <c r="B857" s="64">
        <f>B788-B855</f>
        <v>-1181500</v>
      </c>
      <c r="C857" s="64">
        <f>C788-C855</f>
        <v>-1070900</v>
      </c>
      <c r="D857" s="64">
        <f>D788-D855</f>
        <v>-1090800</v>
      </c>
      <c r="E857" s="282"/>
      <c r="F857" s="1963" t="s">
        <v>1019</v>
      </c>
      <c r="G857" s="64">
        <f>G788-G855</f>
        <v>-687500</v>
      </c>
      <c r="H857" s="179">
        <f>IF(D857=G857,0,IF(D857=0,100,(G857-D857)/D857*100))</f>
        <v>-36.972863953061974</v>
      </c>
      <c r="I857" s="64">
        <f t="shared" ref="I857:R857" si="776">I788-I855</f>
        <v>-834200</v>
      </c>
      <c r="J857" s="64">
        <f t="shared" si="776"/>
        <v>-849300</v>
      </c>
      <c r="K857" s="64">
        <f t="shared" si="776"/>
        <v>-867600</v>
      </c>
      <c r="L857" s="64">
        <f t="shared" si="776"/>
        <v>-890100</v>
      </c>
      <c r="M857" s="64">
        <f t="shared" si="776"/>
        <v>-918600</v>
      </c>
      <c r="N857" s="64">
        <f t="shared" si="776"/>
        <v>-950600</v>
      </c>
      <c r="O857" s="64">
        <f t="shared" si="776"/>
        <v>-986100</v>
      </c>
      <c r="P857" s="64">
        <f t="shared" si="776"/>
        <v>-1026300</v>
      </c>
      <c r="Q857" s="64">
        <f t="shared" si="776"/>
        <v>-1069200</v>
      </c>
      <c r="R857" s="115">
        <f t="shared" si="776"/>
        <v>-1116700</v>
      </c>
    </row>
    <row r="858" spans="1:18" x14ac:dyDescent="0.2">
      <c r="A858" s="107"/>
      <c r="B858" s="33"/>
      <c r="C858" s="33"/>
      <c r="D858" s="33"/>
      <c r="E858" s="255"/>
      <c r="F858" s="320"/>
      <c r="G858" s="33"/>
      <c r="H858" s="138"/>
      <c r="I858" s="33"/>
      <c r="J858" s="33"/>
      <c r="K858" s="33"/>
      <c r="L858" s="33"/>
      <c r="M858" s="33"/>
      <c r="N858" s="33"/>
      <c r="O858" s="33"/>
      <c r="P858" s="33"/>
      <c r="Q858" s="33"/>
      <c r="R858" s="114"/>
    </row>
    <row r="859" spans="1:18" s="92" customFormat="1" x14ac:dyDescent="0.2">
      <c r="A859" s="181">
        <f>A857+A858</f>
        <v>-731000</v>
      </c>
      <c r="B859" s="397">
        <f>B857+B858</f>
        <v>-1181500</v>
      </c>
      <c r="C859" s="397">
        <f>C857+C858</f>
        <v>-1070900</v>
      </c>
      <c r="D859" s="397">
        <f>D857+D858</f>
        <v>-1090800</v>
      </c>
      <c r="E859" s="514"/>
      <c r="F859" s="515" t="s">
        <v>1687</v>
      </c>
      <c r="G859" s="397">
        <f t="shared" ref="G859:O859" si="777">G857+G858</f>
        <v>-687500</v>
      </c>
      <c r="H859" s="395">
        <f>IF(D859=G859,0,IF(D859=0,100,(G859-D859)/D859*100))</f>
        <v>-36.972863953061974</v>
      </c>
      <c r="I859" s="397">
        <f t="shared" si="777"/>
        <v>-834200</v>
      </c>
      <c r="J859" s="397">
        <f t="shared" si="777"/>
        <v>-849300</v>
      </c>
      <c r="K859" s="397">
        <f t="shared" si="777"/>
        <v>-867600</v>
      </c>
      <c r="L859" s="397">
        <f t="shared" si="777"/>
        <v>-890100</v>
      </c>
      <c r="M859" s="397">
        <f t="shared" si="777"/>
        <v>-918600</v>
      </c>
      <c r="N859" s="397">
        <f t="shared" si="777"/>
        <v>-950600</v>
      </c>
      <c r="O859" s="397">
        <f t="shared" si="777"/>
        <v>-986100</v>
      </c>
      <c r="P859" s="397">
        <f t="shared" ref="P859:Q859" si="778">P857+P858</f>
        <v>-1026300</v>
      </c>
      <c r="Q859" s="397">
        <f t="shared" si="778"/>
        <v>-1069200</v>
      </c>
      <c r="R859" s="399">
        <f t="shared" ref="R859" si="779">R857+R858</f>
        <v>-1116700</v>
      </c>
    </row>
    <row r="860" spans="1:18" ht="13.5" thickBot="1" x14ac:dyDescent="0.25">
      <c r="A860" s="73"/>
      <c r="B860" s="90"/>
      <c r="C860" s="90"/>
      <c r="D860" s="90"/>
      <c r="E860" s="285"/>
      <c r="F860" s="141"/>
      <c r="G860" s="66"/>
      <c r="H860" s="392"/>
      <c r="I860" s="121"/>
      <c r="J860" s="121"/>
      <c r="K860" s="121"/>
      <c r="L860" s="121"/>
      <c r="M860" s="121"/>
      <c r="N860" s="121"/>
      <c r="O860" s="121"/>
      <c r="P860" s="121"/>
      <c r="Q860" s="121"/>
      <c r="R860" s="161"/>
    </row>
    <row r="861" spans="1:18" ht="13.5" thickTop="1" x14ac:dyDescent="0.2">
      <c r="A861" s="383"/>
      <c r="B861" s="122"/>
      <c r="C861" s="162"/>
      <c r="D861" s="162"/>
      <c r="E861" s="286"/>
      <c r="F861" s="367"/>
      <c r="G861" s="127"/>
      <c r="H861" s="393"/>
      <c r="I861" s="127"/>
      <c r="J861" s="127"/>
      <c r="K861" s="127"/>
      <c r="L861" s="127"/>
      <c r="M861" s="127"/>
      <c r="N861" s="127"/>
      <c r="O861" s="127"/>
      <c r="P861" s="127"/>
      <c r="Q861" s="127"/>
      <c r="R861" s="163"/>
    </row>
    <row r="862" spans="1:18" x14ac:dyDescent="0.2">
      <c r="A862" s="70"/>
      <c r="B862" s="128"/>
      <c r="C862" s="64"/>
      <c r="D862" s="64"/>
      <c r="E862" s="283"/>
      <c r="F862" s="516" t="s">
        <v>196</v>
      </c>
      <c r="G862" s="33"/>
      <c r="H862" s="1990"/>
      <c r="I862" s="33"/>
      <c r="J862" s="33"/>
      <c r="K862" s="33"/>
      <c r="L862" s="33"/>
      <c r="M862" s="33"/>
      <c r="N862" s="33"/>
      <c r="O862" s="33"/>
      <c r="P862" s="33"/>
      <c r="Q862" s="33"/>
      <c r="R862" s="114"/>
    </row>
    <row r="863" spans="1:18" x14ac:dyDescent="0.2">
      <c r="A863" s="107">
        <v>0</v>
      </c>
      <c r="B863" s="142">
        <v>0</v>
      </c>
      <c r="C863" s="33">
        <v>0</v>
      </c>
      <c r="D863" s="33">
        <v>0</v>
      </c>
      <c r="E863" s="238"/>
      <c r="F863" s="366" t="s">
        <v>2900</v>
      </c>
      <c r="G863" s="33">
        <v>0</v>
      </c>
      <c r="H863" s="1959"/>
      <c r="I863" s="33">
        <v>0</v>
      </c>
      <c r="J863" s="33">
        <v>0</v>
      </c>
      <c r="K863" s="33">
        <v>0</v>
      </c>
      <c r="L863" s="33">
        <v>0</v>
      </c>
      <c r="M863" s="33">
        <v>0</v>
      </c>
      <c r="N863" s="33">
        <v>0</v>
      </c>
      <c r="O863" s="33">
        <v>0</v>
      </c>
      <c r="P863" s="33">
        <v>0</v>
      </c>
      <c r="Q863" s="33">
        <v>0</v>
      </c>
      <c r="R863" s="114">
        <v>0</v>
      </c>
    </row>
    <row r="864" spans="1:18" x14ac:dyDescent="0.2">
      <c r="A864" s="107">
        <v>313000</v>
      </c>
      <c r="B864" s="142">
        <v>297000</v>
      </c>
      <c r="C864" s="142">
        <v>732000</v>
      </c>
      <c r="D864" s="142">
        <f>SUM('Res-Gen'!B46:B48)</f>
        <v>284000</v>
      </c>
      <c r="E864" s="238"/>
      <c r="F864" s="366" t="s">
        <v>1942</v>
      </c>
      <c r="G864" s="33">
        <f>SUM('Res-Gen'!E46:E48)</f>
        <v>60000</v>
      </c>
      <c r="H864" s="1959"/>
      <c r="I864" s="33">
        <f>SUM('Res-Gen'!H46:H48)</f>
        <v>0</v>
      </c>
      <c r="J864" s="33">
        <f>SUM('Res-Gen'!K46:K48)</f>
        <v>0</v>
      </c>
      <c r="K864" s="33">
        <f>SUM('Res-Gen'!N46:N48)</f>
        <v>0</v>
      </c>
      <c r="L864" s="33">
        <f>SUM('Res-Gen'!Q46:Q48)</f>
        <v>0</v>
      </c>
      <c r="M864" s="33">
        <f>SUM('Res-Gen'!T46:T48)</f>
        <v>0</v>
      </c>
      <c r="N864" s="33">
        <f>SUM('Res-Gen'!W46:W48)</f>
        <v>0</v>
      </c>
      <c r="O864" s="33">
        <f>SUM('Res-Gen'!Z46:Z48)</f>
        <v>0</v>
      </c>
      <c r="P864" s="33">
        <f>SUM('Res-Gen'!AC46:AC48)</f>
        <v>0</v>
      </c>
      <c r="Q864" s="33">
        <f>SUM('Res-Gen'!AF46:AF48)</f>
        <v>0</v>
      </c>
      <c r="R864" s="114">
        <f>SUM('Res-Gen'!AG46:AG48)</f>
        <v>0</v>
      </c>
    </row>
    <row r="865" spans="1:18" x14ac:dyDescent="0.2">
      <c r="A865" s="107">
        <v>7500</v>
      </c>
      <c r="B865" s="142">
        <v>336000</v>
      </c>
      <c r="C865" s="33">
        <v>192100</v>
      </c>
      <c r="D865" s="33">
        <f>SUM('Res-Gen'!C46:C47)</f>
        <v>0</v>
      </c>
      <c r="E865" s="238"/>
      <c r="F865" s="366" t="s">
        <v>2348</v>
      </c>
      <c r="G865" s="33">
        <f>SUM('Res-Gen'!F46:F47)</f>
        <v>0</v>
      </c>
      <c r="H865" s="1959"/>
      <c r="I865" s="33">
        <f>SUM('Res-Gen'!I46:I47)</f>
        <v>0</v>
      </c>
      <c r="J865" s="33">
        <f>SUM('Res-Gen'!L46:L47)</f>
        <v>0</v>
      </c>
      <c r="K865" s="33">
        <f>SUM('Res-Gen'!O46:O47)</f>
        <v>0</v>
      </c>
      <c r="L865" s="33">
        <f>SUM('Res-Gen'!R46:R47)</f>
        <v>0</v>
      </c>
      <c r="M865" s="33">
        <f>SUM('Res-Gen'!U46:U47)</f>
        <v>0</v>
      </c>
      <c r="N865" s="33">
        <f>SUM('Res-Gen'!X46:X47)</f>
        <v>0</v>
      </c>
      <c r="O865" s="33">
        <f>SUM('Res-Gen'!AA46:AA47)</f>
        <v>0</v>
      </c>
      <c r="P865" s="33">
        <f>SUM('Res-Gen'!AD46:AD47)</f>
        <v>0</v>
      </c>
      <c r="Q865" s="33">
        <f>SUM('Res-Gen'!AG46:AG47)</f>
        <v>0</v>
      </c>
      <c r="R865" s="114">
        <f>SUM('Res-Gen'!AH46:AH47)</f>
        <v>0</v>
      </c>
    </row>
    <row r="866" spans="1:18" x14ac:dyDescent="0.2">
      <c r="A866" s="107">
        <v>0</v>
      </c>
      <c r="B866" s="142">
        <f>'Cash-Gen'!A76</f>
        <v>-1957800</v>
      </c>
      <c r="C866" s="33">
        <f>'Cash-Gen'!B76</f>
        <v>-507100</v>
      </c>
      <c r="D866" s="33">
        <f>'Cash-Gen'!C76</f>
        <v>2036000</v>
      </c>
      <c r="E866" s="238"/>
      <c r="F866" s="366" t="s">
        <v>5984</v>
      </c>
      <c r="G866" s="33">
        <f>'Cash-Gen'!E76</f>
        <v>200000</v>
      </c>
      <c r="H866" s="1959"/>
      <c r="I866" s="33">
        <f>'Cash-Gen'!F76</f>
        <v>200000</v>
      </c>
      <c r="J866" s="33">
        <f>'Cash-Gen'!G76</f>
        <v>200000</v>
      </c>
      <c r="K866" s="33">
        <f>'Cash-Gen'!H76</f>
        <v>200000</v>
      </c>
      <c r="L866" s="33">
        <f>'Cash-Gen'!I76</f>
        <v>200000</v>
      </c>
      <c r="M866" s="33">
        <f>'Cash-Gen'!J76</f>
        <v>200000</v>
      </c>
      <c r="N866" s="33">
        <f>'Cash-Gen'!K76</f>
        <v>200000</v>
      </c>
      <c r="O866" s="33">
        <f>'Cash-Gen'!L76</f>
        <v>200000</v>
      </c>
      <c r="P866" s="33">
        <f>'Cash-Gen'!M76</f>
        <v>200000</v>
      </c>
      <c r="Q866" s="33">
        <f>'Cash-Gen'!N76</f>
        <v>200000</v>
      </c>
      <c r="R866" s="114">
        <f>'Cash-Gen'!O76</f>
        <v>200000</v>
      </c>
    </row>
    <row r="867" spans="1:18" x14ac:dyDescent="0.2">
      <c r="A867" s="107">
        <v>0</v>
      </c>
      <c r="B867" s="142">
        <v>0</v>
      </c>
      <c r="C867" s="33">
        <v>0</v>
      </c>
      <c r="D867" s="33">
        <v>0</v>
      </c>
      <c r="E867" s="238"/>
      <c r="F867" s="366" t="s">
        <v>972</v>
      </c>
      <c r="G867" s="33">
        <f>'Cap-Gen'!F35+'Cap-Gen'!F36</f>
        <v>36100</v>
      </c>
      <c r="H867" s="1959"/>
      <c r="I867" s="33">
        <v>0</v>
      </c>
      <c r="J867" s="33">
        <v>0</v>
      </c>
      <c r="K867" s="33">
        <v>0</v>
      </c>
      <c r="L867" s="33">
        <v>0</v>
      </c>
      <c r="M867" s="33">
        <v>0</v>
      </c>
      <c r="N867" s="33">
        <v>0</v>
      </c>
      <c r="O867" s="33">
        <v>0</v>
      </c>
      <c r="P867" s="33">
        <v>0</v>
      </c>
      <c r="Q867" s="33">
        <v>0</v>
      </c>
      <c r="R867" s="114">
        <v>0</v>
      </c>
    </row>
    <row r="868" spans="1:18" s="92" customFormat="1" x14ac:dyDescent="0.2">
      <c r="A868" s="181">
        <f>A859-A863-A864+A865++A866-A867</f>
        <v>-1036500</v>
      </c>
      <c r="B868" s="377">
        <f>B859-B863-B864+B865++B866-B867</f>
        <v>-3100300</v>
      </c>
      <c r="C868" s="397">
        <f>C859-C863-C864+C865+C866-C867</f>
        <v>-2117900</v>
      </c>
      <c r="D868" s="397">
        <f>D859-D863-D864+D865++D866-D867</f>
        <v>661200</v>
      </c>
      <c r="E868" s="517"/>
      <c r="F868" s="518" t="s">
        <v>2490</v>
      </c>
      <c r="G868" s="397">
        <f t="shared" ref="G868:O868" si="780">G859-G863-G864+G865++G866-G867</f>
        <v>-583600</v>
      </c>
      <c r="H868" s="395">
        <f>IF(D868=G868,0,IF(D868=0,100,(G868-D868)/D868*100))</f>
        <v>-188.2637628554144</v>
      </c>
      <c r="I868" s="397">
        <f t="shared" si="780"/>
        <v>-634200</v>
      </c>
      <c r="J868" s="397">
        <f t="shared" si="780"/>
        <v>-649300</v>
      </c>
      <c r="K868" s="397">
        <f t="shared" si="780"/>
        <v>-667600</v>
      </c>
      <c r="L868" s="397">
        <f t="shared" si="780"/>
        <v>-690100</v>
      </c>
      <c r="M868" s="397">
        <f t="shared" si="780"/>
        <v>-718600</v>
      </c>
      <c r="N868" s="397">
        <f t="shared" si="780"/>
        <v>-750600</v>
      </c>
      <c r="O868" s="397">
        <f t="shared" si="780"/>
        <v>-786100</v>
      </c>
      <c r="P868" s="397">
        <f t="shared" ref="P868:Q868" si="781">P859-P863-P864+P865++P866-P867</f>
        <v>-826300</v>
      </c>
      <c r="Q868" s="397">
        <f t="shared" si="781"/>
        <v>-869200</v>
      </c>
      <c r="R868" s="399">
        <f t="shared" ref="R868" si="782">R859-R863-R864+R865++R866-R867</f>
        <v>-916700</v>
      </c>
    </row>
    <row r="869" spans="1:18" ht="13.5" thickBot="1" x14ac:dyDescent="0.25">
      <c r="A869" s="73"/>
      <c r="B869" s="134"/>
      <c r="C869" s="90"/>
      <c r="D869" s="90"/>
      <c r="E869" s="284"/>
      <c r="F869" s="368"/>
      <c r="G869" s="66"/>
      <c r="H869" s="394"/>
      <c r="I869" s="66"/>
      <c r="J869" s="66"/>
      <c r="K869" s="66"/>
      <c r="L869" s="66"/>
      <c r="M869" s="66"/>
      <c r="N869" s="66"/>
      <c r="O869" s="66"/>
      <c r="P869" s="66"/>
      <c r="Q869" s="66"/>
      <c r="R869" s="165"/>
    </row>
    <row r="870" spans="1:18" s="99" customFormat="1" ht="14.25" thickTop="1" thickBot="1" x14ac:dyDescent="0.25">
      <c r="A870" s="74"/>
      <c r="B870" s="74"/>
      <c r="C870" s="74"/>
      <c r="D870" s="74"/>
      <c r="E870" s="273"/>
      <c r="F870" s="137"/>
      <c r="H870" s="2484"/>
    </row>
    <row r="871" spans="1:18" s="91" customFormat="1" ht="18.75" customHeight="1" thickTop="1" thickBot="1" x14ac:dyDescent="0.3">
      <c r="A871" s="2862" t="s">
        <v>981</v>
      </c>
      <c r="B871" s="2863"/>
      <c r="C871" s="2863"/>
      <c r="D871" s="2863"/>
      <c r="E871" s="2863"/>
      <c r="F871" s="2863"/>
      <c r="G871" s="2863"/>
      <c r="H871" s="2863"/>
      <c r="I871" s="2863"/>
      <c r="J871" s="2863"/>
      <c r="K871" s="2863"/>
      <c r="L871" s="2863"/>
      <c r="M871" s="2863"/>
      <c r="N871" s="2863"/>
      <c r="O871" s="2863"/>
      <c r="P871" s="2863"/>
      <c r="Q871" s="2863"/>
      <c r="R871" s="2864"/>
    </row>
    <row r="872" spans="1:18" s="44" customFormat="1" x14ac:dyDescent="0.2">
      <c r="A872" s="2888" t="s">
        <v>1856</v>
      </c>
      <c r="B872" s="2889"/>
      <c r="C872" s="2889"/>
      <c r="D872" s="2889"/>
      <c r="E872" s="513" t="s">
        <v>2663</v>
      </c>
      <c r="F872" s="2649" t="s">
        <v>2251</v>
      </c>
      <c r="G872" s="2885" t="s">
        <v>2253</v>
      </c>
      <c r="H872" s="2886"/>
      <c r="I872" s="2886"/>
      <c r="J872" s="2886"/>
      <c r="K872" s="2886"/>
      <c r="L872" s="2886"/>
      <c r="M872" s="2886"/>
      <c r="N872" s="2886"/>
      <c r="O872" s="2886"/>
      <c r="P872" s="2886"/>
      <c r="Q872" s="2886"/>
      <c r="R872" s="2887"/>
    </row>
    <row r="873" spans="1:18" s="23" customFormat="1" ht="13.5" thickBot="1" x14ac:dyDescent="0.25">
      <c r="A873" s="208" t="str">
        <f>A3</f>
        <v>2012/13</v>
      </c>
      <c r="B873" s="218" t="str">
        <f>B3</f>
        <v>2013/14</v>
      </c>
      <c r="C873" s="370" t="str">
        <f>C3</f>
        <v>2014/15</v>
      </c>
      <c r="D873" s="2513" t="str">
        <f>D3</f>
        <v>2015/16</v>
      </c>
      <c r="E873" s="370" t="s">
        <v>2664</v>
      </c>
      <c r="F873" s="42"/>
      <c r="G873" s="93" t="str">
        <f>G3</f>
        <v>2016/17</v>
      </c>
      <c r="H873" s="2095" t="s">
        <v>501</v>
      </c>
      <c r="I873" s="370" t="str">
        <f t="shared" ref="I873:R873" si="783">I3</f>
        <v>2017/18</v>
      </c>
      <c r="J873" s="370" t="str">
        <f t="shared" si="783"/>
        <v>2018/19</v>
      </c>
      <c r="K873" s="370" t="str">
        <f t="shared" si="783"/>
        <v>2019/20</v>
      </c>
      <c r="L873" s="370" t="str">
        <f t="shared" si="783"/>
        <v>2020/21</v>
      </c>
      <c r="M873" s="370" t="str">
        <f t="shared" si="783"/>
        <v>2021/22</v>
      </c>
      <c r="N873" s="370" t="str">
        <f t="shared" si="783"/>
        <v>2022/23</v>
      </c>
      <c r="O873" s="370" t="str">
        <f t="shared" si="783"/>
        <v>2023/24</v>
      </c>
      <c r="P873" s="370" t="str">
        <f t="shared" si="783"/>
        <v>2024/25</v>
      </c>
      <c r="Q873" s="218" t="str">
        <f t="shared" si="783"/>
        <v>2025/26</v>
      </c>
      <c r="R873" s="549" t="str">
        <f t="shared" si="783"/>
        <v>2026/27</v>
      </c>
    </row>
    <row r="874" spans="1:18" x14ac:dyDescent="0.2">
      <c r="A874" s="612"/>
      <c r="B874" s="179"/>
      <c r="C874" s="179"/>
      <c r="D874" s="384"/>
      <c r="E874" s="2514"/>
      <c r="F874" s="99"/>
      <c r="G874" s="33"/>
      <c r="H874" s="179"/>
      <c r="I874" s="33"/>
      <c r="J874" s="33"/>
      <c r="K874" s="33"/>
      <c r="L874" s="33"/>
      <c r="M874" s="33"/>
      <c r="N874" s="33"/>
      <c r="O874" s="33"/>
      <c r="P874" s="33"/>
      <c r="Q874" s="33"/>
      <c r="R874" s="114"/>
    </row>
    <row r="875" spans="1:18" x14ac:dyDescent="0.2">
      <c r="A875" s="107"/>
      <c r="B875" s="33"/>
      <c r="C875" s="33"/>
      <c r="D875" s="76"/>
      <c r="E875" s="252"/>
      <c r="F875" s="144" t="s">
        <v>1073</v>
      </c>
      <c r="G875" s="33"/>
      <c r="H875" s="138"/>
      <c r="I875" s="33"/>
      <c r="J875" s="33"/>
      <c r="K875" s="33"/>
      <c r="L875" s="33"/>
      <c r="M875" s="33"/>
      <c r="N875" s="33"/>
      <c r="O875" s="33"/>
      <c r="P875" s="33"/>
      <c r="Q875" s="33"/>
      <c r="R875" s="114"/>
    </row>
    <row r="876" spans="1:18" x14ac:dyDescent="0.2">
      <c r="A876" s="107"/>
      <c r="B876" s="33"/>
      <c r="C876" s="33"/>
      <c r="D876" s="76"/>
      <c r="E876" s="252"/>
      <c r="F876" s="144"/>
      <c r="G876" s="33"/>
      <c r="H876" s="138"/>
      <c r="I876" s="33"/>
      <c r="J876" s="33"/>
      <c r="K876" s="33"/>
      <c r="L876" s="33"/>
      <c r="M876" s="33"/>
      <c r="N876" s="33"/>
      <c r="O876" s="33"/>
      <c r="P876" s="33"/>
      <c r="Q876" s="33"/>
      <c r="R876" s="114"/>
    </row>
    <row r="877" spans="1:18" x14ac:dyDescent="0.2">
      <c r="A877" s="107"/>
      <c r="B877" s="33"/>
      <c r="C877" s="33"/>
      <c r="D877" s="76"/>
      <c r="E877" s="252"/>
      <c r="F877" s="74" t="s">
        <v>1812</v>
      </c>
      <c r="G877" s="33"/>
      <c r="H877" s="138"/>
      <c r="I877" s="33"/>
      <c r="J877" s="33"/>
      <c r="K877" s="33"/>
      <c r="L877" s="33"/>
      <c r="M877" s="33"/>
      <c r="N877" s="33"/>
      <c r="O877" s="33"/>
      <c r="P877" s="33"/>
      <c r="Q877" s="33"/>
      <c r="R877" s="114"/>
    </row>
    <row r="878" spans="1:18" x14ac:dyDescent="0.2">
      <c r="A878" s="107">
        <v>136500</v>
      </c>
      <c r="B878" s="33">
        <v>140000</v>
      </c>
      <c r="C878" s="142">
        <v>143000</v>
      </c>
      <c r="D878" s="99">
        <v>144600</v>
      </c>
      <c r="E878" s="240" t="s">
        <v>2199</v>
      </c>
      <c r="F878" s="33" t="s">
        <v>10</v>
      </c>
      <c r="G878" s="33">
        <v>147000</v>
      </c>
      <c r="H878" s="138">
        <f t="shared" ref="H878:H887" si="784">IF(D878=G878,0,IF(D878=0,100,(G878-D878)/D878*100))</f>
        <v>1.6597510373443984</v>
      </c>
      <c r="I878" s="33">
        <v>149300</v>
      </c>
      <c r="J878" s="33">
        <v>151500</v>
      </c>
      <c r="K878" s="33">
        <v>153800</v>
      </c>
      <c r="L878" s="33">
        <f>ROUNDUP(K878+(K878*Assumptions!K$5),-2)</f>
        <v>157700</v>
      </c>
      <c r="M878" s="33">
        <f>ROUNDUP(L878+(L878*Assumptions!L$5),-2)</f>
        <v>160900</v>
      </c>
      <c r="N878" s="33">
        <f>ROUNDUP(M878+(M878*Assumptions!M$5),-2)</f>
        <v>164200</v>
      </c>
      <c r="O878" s="33">
        <f>ROUNDUP(N878+(N878*Assumptions!N$5),-2)</f>
        <v>167500</v>
      </c>
      <c r="P878" s="33">
        <f>ROUNDUP(O878+(O878*Assumptions!O$5),-2)</f>
        <v>170900</v>
      </c>
      <c r="Q878" s="33">
        <f>ROUNDUP(P878+(P878*Assumptions!P$5),-2)</f>
        <v>174400</v>
      </c>
      <c r="R878" s="114">
        <f>ROUNDUP(Q878+(Q878*Assumptions!Q$5),-2)</f>
        <v>177900</v>
      </c>
    </row>
    <row r="879" spans="1:18" x14ac:dyDescent="0.2">
      <c r="A879" s="107">
        <v>445000</v>
      </c>
      <c r="B879" s="33">
        <f>336200+8000</f>
        <v>344200</v>
      </c>
      <c r="C879" s="130">
        <v>234000</v>
      </c>
      <c r="D879" s="99">
        <v>381100</v>
      </c>
      <c r="E879" s="240" t="s">
        <v>485</v>
      </c>
      <c r="F879" s="443" t="s">
        <v>11</v>
      </c>
      <c r="G879" s="33">
        <f>550000-G882+30000</f>
        <v>486700</v>
      </c>
      <c r="H879" s="138">
        <f t="shared" si="784"/>
        <v>27.70926266071897</v>
      </c>
      <c r="I879" s="33">
        <f>628000-I882</f>
        <v>533300</v>
      </c>
      <c r="J879" s="33">
        <f>644000-J882</f>
        <v>546900</v>
      </c>
      <c r="K879" s="33">
        <f>ROUNDUP(J879+(J879*Assumptions!J$5),-2)-200</f>
        <v>560400</v>
      </c>
      <c r="L879" s="33">
        <f>ROUNDUP(K879+(K879*Assumptions!K$5),-2)+100</f>
        <v>574600</v>
      </c>
      <c r="M879" s="33">
        <f>ROUNDUP(L879+(L879*Assumptions!L$5),-2)-200</f>
        <v>585900</v>
      </c>
      <c r="N879" s="33">
        <f>ROUNDUP(M879+(M879*Assumptions!M$5),-2)+100</f>
        <v>597800</v>
      </c>
      <c r="O879" s="33">
        <f>ROUNDUP(N879+(N879*Assumptions!N$5),-2)-200</f>
        <v>609600</v>
      </c>
      <c r="P879" s="33">
        <f>ROUNDUP(O879+(O879*Assumptions!O$5),-2)-200</f>
        <v>621600</v>
      </c>
      <c r="Q879" s="33">
        <f>ROUNDUP(P879+(P879*Assumptions!P$5),-2)</f>
        <v>634100</v>
      </c>
      <c r="R879" s="114">
        <f>ROUNDUP(Q879+(Q879*Assumptions!Q$5),-2)</f>
        <v>646800</v>
      </c>
    </row>
    <row r="880" spans="1:18" x14ac:dyDescent="0.2">
      <c r="A880" s="107">
        <v>0</v>
      </c>
      <c r="B880" s="33">
        <v>0</v>
      </c>
      <c r="C880" s="142">
        <v>50000</v>
      </c>
      <c r="D880" s="99">
        <v>51100</v>
      </c>
      <c r="E880" s="240" t="s">
        <v>486</v>
      </c>
      <c r="F880" s="132" t="s">
        <v>5982</v>
      </c>
      <c r="G880" s="33">
        <v>51500</v>
      </c>
      <c r="H880" s="138">
        <f t="shared" si="784"/>
        <v>0.78277886497064575</v>
      </c>
      <c r="I880" s="33">
        <v>52300</v>
      </c>
      <c r="J880" s="33">
        <v>53100</v>
      </c>
      <c r="K880" s="33">
        <v>53900</v>
      </c>
      <c r="L880" s="33">
        <f>ROUNDUP(K880+(K880*Assumptions!K$5),-2)</f>
        <v>55300</v>
      </c>
      <c r="M880" s="33">
        <f>ROUNDUP(L880+(L880*Assumptions!L$5),-2)</f>
        <v>56500</v>
      </c>
      <c r="N880" s="33">
        <f>ROUNDUP(M880+(M880*Assumptions!M$5),-2)</f>
        <v>57700</v>
      </c>
      <c r="O880" s="33">
        <f>ROUNDUP(N880+(N880*Assumptions!N$5),-2)</f>
        <v>58900</v>
      </c>
      <c r="P880" s="33">
        <f>ROUNDUP(O880+(O880*Assumptions!O$5),-2)</f>
        <v>60100</v>
      </c>
      <c r="Q880" s="33">
        <f>ROUNDUP(P880+(P880*Assumptions!P$5),-2)</f>
        <v>61400</v>
      </c>
      <c r="R880" s="114">
        <f>ROUNDUP(Q880+(Q880*Assumptions!Q$5),-2)</f>
        <v>62700</v>
      </c>
    </row>
    <row r="881" spans="1:18" x14ac:dyDescent="0.2">
      <c r="A881" s="107">
        <v>691000</v>
      </c>
      <c r="B881" s="33">
        <f>780200+4000</f>
        <v>784200</v>
      </c>
      <c r="C881" s="142">
        <v>635800</v>
      </c>
      <c r="D881" s="99">
        <v>702500</v>
      </c>
      <c r="E881" s="240" t="s">
        <v>487</v>
      </c>
      <c r="F881" s="132" t="s">
        <v>12</v>
      </c>
      <c r="G881" s="33">
        <v>702500</v>
      </c>
      <c r="H881" s="138">
        <f t="shared" si="784"/>
        <v>0</v>
      </c>
      <c r="I881" s="33">
        <v>703800</v>
      </c>
      <c r="J881" s="33">
        <v>703800</v>
      </c>
      <c r="K881" s="33">
        <v>714400</v>
      </c>
      <c r="L881" s="33">
        <v>714400</v>
      </c>
      <c r="M881" s="33">
        <f>ROUNDUP(L881+(L881*Assumptions!L$5),-2)</f>
        <v>728700</v>
      </c>
      <c r="N881" s="33">
        <f>ROUNDUP(M881+(M881*Assumptions!M$5),-2)</f>
        <v>743300</v>
      </c>
      <c r="O881" s="33">
        <f>ROUNDUP(N881+(N881*Assumptions!N$5),-2)</f>
        <v>758200</v>
      </c>
      <c r="P881" s="33">
        <f>ROUNDUP(O881+(O881*Assumptions!O$5),-2)</f>
        <v>773400</v>
      </c>
      <c r="Q881" s="33">
        <f>ROUNDUP(P881+(P881*Assumptions!P$5),-2)</f>
        <v>788900</v>
      </c>
      <c r="R881" s="114">
        <f>ROUNDUP(Q881+(Q881*Assumptions!Q$5),-2)</f>
        <v>804700</v>
      </c>
    </row>
    <row r="882" spans="1:18" x14ac:dyDescent="0.2">
      <c r="A882" s="107">
        <v>0</v>
      </c>
      <c r="B882" s="33">
        <v>0</v>
      </c>
      <c r="C882" s="142">
        <v>46500</v>
      </c>
      <c r="D882" s="99">
        <v>84000</v>
      </c>
      <c r="E882" s="1100" t="s">
        <v>4292</v>
      </c>
      <c r="F882" s="130" t="s">
        <v>6676</v>
      </c>
      <c r="G882" s="33">
        <f>63300+30000</f>
        <v>93300</v>
      </c>
      <c r="H882" s="138">
        <f t="shared" si="784"/>
        <v>11.071428571428571</v>
      </c>
      <c r="I882" s="33">
        <f>ROUNDUP(G882+(G882*Assumptions!H$5),-2)</f>
        <v>94700</v>
      </c>
      <c r="J882" s="33">
        <f>ROUNDUP(I882+(I882*Assumptions!I$5),-2)</f>
        <v>97100</v>
      </c>
      <c r="K882" s="33">
        <f>ROUNDUP(J882+(J882*Assumptions!J$5),-2)</f>
        <v>99600</v>
      </c>
      <c r="L882" s="33">
        <f>ROUNDUP(K882+(K882*Assumptions!K$5),-2)</f>
        <v>102100</v>
      </c>
      <c r="M882" s="33">
        <f>ROUNDUP(L882+(L882*Assumptions!L$5),-2)</f>
        <v>104200</v>
      </c>
      <c r="N882" s="33">
        <f>ROUNDUP(M882+(M882*Assumptions!M$5),-2)</f>
        <v>106300</v>
      </c>
      <c r="O882" s="33">
        <f>ROUNDUP(N882+(N882*Assumptions!N$5),-2)</f>
        <v>108500</v>
      </c>
      <c r="P882" s="33">
        <f>ROUNDUP(O882+(O882*Assumptions!O$5),-2)</f>
        <v>110700</v>
      </c>
      <c r="Q882" s="33">
        <f>ROUNDUP(P882+(P882*Assumptions!P$5),-2)</f>
        <v>113000</v>
      </c>
      <c r="R882" s="114">
        <f>ROUNDUP(Q882+(Q882*Assumptions!Q$5),-2)</f>
        <v>115300</v>
      </c>
    </row>
    <row r="883" spans="1:18" x14ac:dyDescent="0.2">
      <c r="A883" s="107">
        <v>0</v>
      </c>
      <c r="B883" s="33">
        <v>0</v>
      </c>
      <c r="C883" s="142">
        <v>7100</v>
      </c>
      <c r="D883" s="99">
        <v>15900</v>
      </c>
      <c r="E883" s="1100" t="s">
        <v>4288</v>
      </c>
      <c r="F883" s="132" t="s">
        <v>6675</v>
      </c>
      <c r="G883" s="33">
        <v>14300</v>
      </c>
      <c r="H883" s="138">
        <f t="shared" si="784"/>
        <v>-10.062893081761008</v>
      </c>
      <c r="I883" s="33">
        <f>ROUNDUP(G883+(G883*Assumptions!H$5),-2)+100</f>
        <v>14700</v>
      </c>
      <c r="J883" s="33">
        <f>ROUNDUP(I883+(I883*Assumptions!I$5),-2)+400</f>
        <v>15500</v>
      </c>
      <c r="K883" s="33">
        <f>ROUNDUP(J883+(J883*Assumptions!J$5),-2)+400</f>
        <v>16300</v>
      </c>
      <c r="L883" s="33">
        <f>ROUNDUP(K883+(K883*Assumptions!K$5),-2)+400</f>
        <v>17200</v>
      </c>
      <c r="M883" s="33">
        <f>ROUNDUP(L883+(L883*Assumptions!L$5),-2)</f>
        <v>17600</v>
      </c>
      <c r="N883" s="33">
        <f>ROUNDUP(M883+(M883*Assumptions!M$5),-2)</f>
        <v>18000</v>
      </c>
      <c r="O883" s="33">
        <f>ROUNDUP(N883+(N883*Assumptions!N$5),-2)</f>
        <v>18400</v>
      </c>
      <c r="P883" s="33">
        <f>ROUNDUP(O883+(O883*Assumptions!O$5),-2)</f>
        <v>18800</v>
      </c>
      <c r="Q883" s="33">
        <f>ROUNDUP(P883+(P883*Assumptions!P$5),-2)</f>
        <v>19200</v>
      </c>
      <c r="R883" s="114">
        <f>ROUNDUP(Q883+(Q883*Assumptions!Q$5),-2)</f>
        <v>19600</v>
      </c>
    </row>
    <row r="884" spans="1:18" x14ac:dyDescent="0.2">
      <c r="A884" s="107">
        <v>0</v>
      </c>
      <c r="B884" s="33">
        <v>0</v>
      </c>
      <c r="C884" s="142">
        <v>6100</v>
      </c>
      <c r="D884" s="99">
        <v>1300</v>
      </c>
      <c r="E884" s="1100" t="s">
        <v>4289</v>
      </c>
      <c r="F884" s="130" t="s">
        <v>6674</v>
      </c>
      <c r="G884" s="33">
        <v>1100</v>
      </c>
      <c r="H884" s="138">
        <f t="shared" si="784"/>
        <v>-15.384615384615385</v>
      </c>
      <c r="I884" s="33">
        <f>G884</f>
        <v>1100</v>
      </c>
      <c r="J884" s="33">
        <f>ROUNDUP(I884+(I884*Assumptions!I$5),-2)</f>
        <v>1200</v>
      </c>
      <c r="K884" s="33">
        <f>J884</f>
        <v>1200</v>
      </c>
      <c r="L884" s="33">
        <f>ROUNDUP(K884+(K884*Assumptions!K$5),-2)</f>
        <v>1300</v>
      </c>
      <c r="M884" s="33">
        <f>L884</f>
        <v>1300</v>
      </c>
      <c r="N884" s="33">
        <f>ROUNDUP(M884+(M884*Assumptions!M$5),-2)</f>
        <v>1400</v>
      </c>
      <c r="O884" s="33">
        <f>N884</f>
        <v>1400</v>
      </c>
      <c r="P884" s="33">
        <f>O884</f>
        <v>1400</v>
      </c>
      <c r="Q884" s="33">
        <f>P884</f>
        <v>1400</v>
      </c>
      <c r="R884" s="114">
        <f>Q884</f>
        <v>1400</v>
      </c>
    </row>
    <row r="885" spans="1:18" x14ac:dyDescent="0.2">
      <c r="A885" s="107">
        <v>322800</v>
      </c>
      <c r="B885" s="33">
        <f>330500</f>
        <v>330500</v>
      </c>
      <c r="C885" s="142">
        <v>339600</v>
      </c>
      <c r="D885" s="99">
        <v>259300</v>
      </c>
      <c r="E885" s="240" t="s">
        <v>2319</v>
      </c>
      <c r="F885" s="142" t="s">
        <v>13</v>
      </c>
      <c r="G885" s="33">
        <v>250700</v>
      </c>
      <c r="H885" s="138">
        <f t="shared" si="784"/>
        <v>-3.3166216737369845</v>
      </c>
      <c r="I885" s="33">
        <v>254500</v>
      </c>
      <c r="J885" s="33">
        <v>258300</v>
      </c>
      <c r="K885" s="33">
        <v>262200</v>
      </c>
      <c r="L885" s="33">
        <f>ROUNDUP(K885+(K885*Assumptions!K$5),-2)</f>
        <v>268800</v>
      </c>
      <c r="M885" s="33">
        <f>ROUNDUP(L885+(L885*Assumptions!L$5),-2)</f>
        <v>274200</v>
      </c>
      <c r="N885" s="33">
        <f>ROUNDUP(M885+(M885*Assumptions!M$5),-2)</f>
        <v>279700</v>
      </c>
      <c r="O885" s="33">
        <f>ROUNDUP(N885+(N885*Assumptions!N$5),-2)</f>
        <v>285300</v>
      </c>
      <c r="P885" s="33">
        <f>ROUNDUP(O885+(O885*Assumptions!O$5),-2)</f>
        <v>291100</v>
      </c>
      <c r="Q885" s="33">
        <f>ROUNDUP(P885+(P885*Assumptions!P$5),-2)</f>
        <v>297000</v>
      </c>
      <c r="R885" s="114">
        <f>ROUNDUP(Q885+(Q885*Assumptions!Q$5),-2)</f>
        <v>303000</v>
      </c>
    </row>
    <row r="886" spans="1:18" x14ac:dyDescent="0.2">
      <c r="A886" s="107">
        <v>44800</v>
      </c>
      <c r="B886" s="33">
        <v>4500</v>
      </c>
      <c r="C886" s="142">
        <v>0</v>
      </c>
      <c r="D886" s="99">
        <v>0</v>
      </c>
      <c r="E886" s="240" t="s">
        <v>2031</v>
      </c>
      <c r="F886" s="443" t="s">
        <v>2033</v>
      </c>
      <c r="G886" s="33">
        <v>0</v>
      </c>
      <c r="H886" s="138">
        <f t="shared" si="784"/>
        <v>0</v>
      </c>
      <c r="I886" s="33">
        <f>ROUNDUP(G886+(G886*Assumptions!H$5),-2)</f>
        <v>0</v>
      </c>
      <c r="J886" s="33">
        <f>ROUNDUP(I886+(I886*Assumptions!I$5),-2)</f>
        <v>0</v>
      </c>
      <c r="K886" s="33">
        <f>ROUNDUP(J886+(J886*Assumptions!J$5),-2)</f>
        <v>0</v>
      </c>
      <c r="L886" s="33">
        <f>ROUNDUP(K886+(K886*Assumptions!K$5),-2)</f>
        <v>0</v>
      </c>
      <c r="M886" s="33">
        <f>ROUNDUP(L886+(L886*Assumptions!L$5),-2)</f>
        <v>0</v>
      </c>
      <c r="N886" s="33">
        <f>ROUNDUP(M886+(M886*Assumptions!M$5),-2)</f>
        <v>0</v>
      </c>
      <c r="O886" s="33">
        <f>ROUNDUP(N886+(N886*Assumptions!N$5),-2)</f>
        <v>0</v>
      </c>
      <c r="P886" s="33">
        <f>ROUNDUP(O886+(O886*Assumptions!O$5),-2)</f>
        <v>0</v>
      </c>
      <c r="Q886" s="33">
        <f>ROUNDUP(P886+(P886*Assumptions!P$5),-2)</f>
        <v>0</v>
      </c>
      <c r="R886" s="114">
        <f>ROUNDUP(Q886+(Q886*Assumptions!Q$5),-2)</f>
        <v>0</v>
      </c>
    </row>
    <row r="887" spans="1:18" x14ac:dyDescent="0.2">
      <c r="A887" s="107">
        <v>58200</v>
      </c>
      <c r="B887" s="33">
        <v>15500</v>
      </c>
      <c r="C887" s="142">
        <v>0</v>
      </c>
      <c r="D887" s="99">
        <v>0</v>
      </c>
      <c r="E887" s="240" t="s">
        <v>2032</v>
      </c>
      <c r="F887" s="443" t="s">
        <v>2034</v>
      </c>
      <c r="G887" s="33">
        <v>0</v>
      </c>
      <c r="H887" s="138">
        <f t="shared" si="784"/>
        <v>0</v>
      </c>
      <c r="I887" s="33">
        <f>ROUNDUP(G887+(G887*Assumptions!H$5),-2)</f>
        <v>0</v>
      </c>
      <c r="J887" s="33">
        <f>ROUNDUP(I887+(I887*Assumptions!I$5),-2)</f>
        <v>0</v>
      </c>
      <c r="K887" s="33">
        <f>ROUNDUP(J887+(J887*Assumptions!J$5),-2)</f>
        <v>0</v>
      </c>
      <c r="L887" s="33">
        <f>ROUNDUP(K887+(K887*Assumptions!K$5),-2)</f>
        <v>0</v>
      </c>
      <c r="M887" s="33">
        <f>ROUNDUP(L887+(L887*Assumptions!L$5),-2)</f>
        <v>0</v>
      </c>
      <c r="N887" s="33">
        <f>ROUNDUP(M887+(M887*Assumptions!M$5),-2)</f>
        <v>0</v>
      </c>
      <c r="O887" s="33">
        <f>ROUNDUP(N887+(N887*Assumptions!N$5),-2)</f>
        <v>0</v>
      </c>
      <c r="P887" s="33">
        <f>ROUNDUP(O887+(O887*Assumptions!O$5),-2)</f>
        <v>0</v>
      </c>
      <c r="Q887" s="33">
        <f>ROUNDUP(P887+(P887*Assumptions!P$5),-2)</f>
        <v>0</v>
      </c>
      <c r="R887" s="114">
        <f>ROUNDUP(Q887+(Q887*Assumptions!Q$5),-2)</f>
        <v>0</v>
      </c>
    </row>
    <row r="888" spans="1:18" x14ac:dyDescent="0.2">
      <c r="A888" s="107"/>
      <c r="B888" s="33"/>
      <c r="C888" s="142"/>
      <c r="E888" s="240"/>
      <c r="F888" s="74" t="s">
        <v>1456</v>
      </c>
      <c r="G888" s="33"/>
      <c r="H888" s="138"/>
      <c r="I888" s="33"/>
      <c r="J888" s="33"/>
      <c r="K888" s="33"/>
      <c r="L888" s="33"/>
      <c r="M888" s="33"/>
      <c r="N888" s="33"/>
      <c r="O888" s="33"/>
      <c r="P888" s="33"/>
      <c r="Q888" s="33"/>
      <c r="R888" s="114"/>
    </row>
    <row r="889" spans="1:18" x14ac:dyDescent="0.2">
      <c r="A889" s="107">
        <v>5600</v>
      </c>
      <c r="B889" s="33">
        <v>104400</v>
      </c>
      <c r="C889" s="142">
        <v>1200</v>
      </c>
      <c r="D889" s="99">
        <v>0</v>
      </c>
      <c r="E889" s="240" t="s">
        <v>670</v>
      </c>
      <c r="F889" s="130" t="s">
        <v>4641</v>
      </c>
      <c r="G889" s="33">
        <v>0</v>
      </c>
      <c r="H889" s="138">
        <f t="shared" ref="H889:H896" si="785">IF(D889=G889,0,IF(D889=0,100,(G889-D889)/D889*100))</f>
        <v>0</v>
      </c>
      <c r="I889" s="33">
        <f>ROUNDUP(G889+(G889*Assumptions!H$5),-2)</f>
        <v>0</v>
      </c>
      <c r="J889" s="33">
        <f>ROUNDUP(I889+(I889*Assumptions!I$5),-2)</f>
        <v>0</v>
      </c>
      <c r="K889" s="33">
        <f>ROUNDUP(J889+(J889*Assumptions!J$5),-2)</f>
        <v>0</v>
      </c>
      <c r="L889" s="33">
        <f>ROUNDUP(K889+(K889*Assumptions!K$5),-2)</f>
        <v>0</v>
      </c>
      <c r="M889" s="33">
        <f>ROUNDUP(L889+(L889*Assumptions!L$5),-2)</f>
        <v>0</v>
      </c>
      <c r="N889" s="33">
        <f>ROUNDUP(M889+(M889*Assumptions!M$5),-2)</f>
        <v>0</v>
      </c>
      <c r="O889" s="33">
        <f>ROUNDUP(N889+(N889*Assumptions!N$5),-2)</f>
        <v>0</v>
      </c>
      <c r="P889" s="33">
        <f>ROUNDUP(O889+(O889*Assumptions!O$5),-2)</f>
        <v>0</v>
      </c>
      <c r="Q889" s="33">
        <f>ROUNDUP(P889+(P889*Assumptions!P$5),-2)</f>
        <v>0</v>
      </c>
      <c r="R889" s="114">
        <f>ROUNDUP(Q889+(Q889*Assumptions!Q$5),-2)</f>
        <v>0</v>
      </c>
    </row>
    <row r="890" spans="1:18" x14ac:dyDescent="0.2">
      <c r="A890" s="107">
        <v>56400</v>
      </c>
      <c r="B890" s="33">
        <v>51300</v>
      </c>
      <c r="C890" s="142">
        <v>42200</v>
      </c>
      <c r="D890" s="99">
        <v>24300</v>
      </c>
      <c r="E890" s="240" t="s">
        <v>1419</v>
      </c>
      <c r="F890" s="443" t="s">
        <v>1999</v>
      </c>
      <c r="G890" s="33">
        <v>15600</v>
      </c>
      <c r="H890" s="138">
        <f t="shared" si="785"/>
        <v>-35.802469135802468</v>
      </c>
      <c r="I890" s="33">
        <f>ROUNDUP(G890+(G890*Assumptions!H$5),-2)</f>
        <v>15900</v>
      </c>
      <c r="J890" s="33">
        <f>ROUNDUP(I890+(I890*Assumptions!I$5),-2)</f>
        <v>16300</v>
      </c>
      <c r="K890" s="33">
        <f>ROUNDUP(J890+(J890*Assumptions!J$5),-2)</f>
        <v>16800</v>
      </c>
      <c r="L890" s="33">
        <f>ROUNDUP(K890+(K890*Assumptions!K$5),-2)</f>
        <v>17300</v>
      </c>
      <c r="M890" s="33">
        <f>ROUNDUP(L890+(L890*Assumptions!L$5),-2)</f>
        <v>17700</v>
      </c>
      <c r="N890" s="33">
        <f>ROUNDUP(M890+(M890*Assumptions!M$5),-2)</f>
        <v>18100</v>
      </c>
      <c r="O890" s="33">
        <f>ROUNDUP(N890+(N890*Assumptions!N$5),-2)</f>
        <v>18500</v>
      </c>
      <c r="P890" s="33">
        <f>ROUNDUP(O890+(O890*Assumptions!O$5),-2)</f>
        <v>18900</v>
      </c>
      <c r="Q890" s="33">
        <f>ROUNDUP(P890+(P890*Assumptions!P$5),-2)</f>
        <v>19300</v>
      </c>
      <c r="R890" s="114">
        <f>ROUNDUP(Q890+(Q890*Assumptions!Q$5),-2)</f>
        <v>19700</v>
      </c>
    </row>
    <row r="891" spans="1:18" x14ac:dyDescent="0.2">
      <c r="A891" s="107">
        <v>48200</v>
      </c>
      <c r="B891" s="33">
        <v>48100</v>
      </c>
      <c r="C891" s="142">
        <v>47900</v>
      </c>
      <c r="D891" s="99">
        <v>50500</v>
      </c>
      <c r="E891" s="240" t="s">
        <v>1420</v>
      </c>
      <c r="F891" s="814" t="s">
        <v>3590</v>
      </c>
      <c r="G891" s="33">
        <f>42900</f>
        <v>42900</v>
      </c>
      <c r="H891" s="138">
        <f t="shared" si="785"/>
        <v>-15.049504950495049</v>
      </c>
      <c r="I891" s="33">
        <f>ROUNDUP(G891+(G891*Assumptions!H$5),-2)</f>
        <v>43600</v>
      </c>
      <c r="J891" s="33">
        <f>ROUNDUP(I891+(I891*Assumptions!I$5),-2)</f>
        <v>44700</v>
      </c>
      <c r="K891" s="33">
        <f>ROUNDUP(J891+(J891*Assumptions!J$5),-2)</f>
        <v>45900</v>
      </c>
      <c r="L891" s="33">
        <f>ROUNDUP(K891+(K891*Assumptions!K$5),-2)</f>
        <v>47100</v>
      </c>
      <c r="M891" s="33">
        <f>ROUNDUP(L891+(L891*Assumptions!L$5),-2)</f>
        <v>48100</v>
      </c>
      <c r="N891" s="33">
        <f>ROUNDUP(M891+(M891*Assumptions!M$5),-2)</f>
        <v>49100</v>
      </c>
      <c r="O891" s="33">
        <f>ROUNDUP(N891+(N891*Assumptions!N$5),-2)</f>
        <v>50100</v>
      </c>
      <c r="P891" s="33">
        <f>ROUNDUP(O891+(O891*Assumptions!O$5),-2)</f>
        <v>51200</v>
      </c>
      <c r="Q891" s="33">
        <f>ROUNDUP(P891+(P891*Assumptions!P$5),-2)</f>
        <v>52300</v>
      </c>
      <c r="R891" s="114">
        <f>ROUNDUP(Q891+(Q891*Assumptions!Q$5),-2)</f>
        <v>53400</v>
      </c>
    </row>
    <row r="892" spans="1:18" x14ac:dyDescent="0.2">
      <c r="A892" s="107">
        <v>28100</v>
      </c>
      <c r="B892" s="33">
        <v>29900</v>
      </c>
      <c r="C892" s="142">
        <v>30800</v>
      </c>
      <c r="D892" s="99">
        <v>36900</v>
      </c>
      <c r="E892" s="240" t="s">
        <v>712</v>
      </c>
      <c r="F892" s="443" t="s">
        <v>849</v>
      </c>
      <c r="G892" s="132">
        <f>32700</f>
        <v>32700</v>
      </c>
      <c r="H892" s="138">
        <f t="shared" si="785"/>
        <v>-11.38211382113821</v>
      </c>
      <c r="I892" s="33">
        <f>ROUNDUP(G892+(G892*Assumptions!H$5),-2)</f>
        <v>33200</v>
      </c>
      <c r="J892" s="33">
        <f>ROUNDUP(I892+(I892*Assumptions!I$5),-2)</f>
        <v>34100</v>
      </c>
      <c r="K892" s="33">
        <f>ROUNDUP(J892+(J892*Assumptions!J$5),-2)</f>
        <v>35000</v>
      </c>
      <c r="L892" s="33">
        <f>ROUNDUP(K892+(K892*Assumptions!K$5),-2)</f>
        <v>35900</v>
      </c>
      <c r="M892" s="33">
        <f>ROUNDUP(L892+(L892*Assumptions!L$5),-2)</f>
        <v>36700</v>
      </c>
      <c r="N892" s="33">
        <f>ROUNDUP(M892+(M892*Assumptions!M$5),-2)</f>
        <v>37500</v>
      </c>
      <c r="O892" s="33">
        <f>ROUNDUP(N892+(N892*Assumptions!N$5),-2)</f>
        <v>38300</v>
      </c>
      <c r="P892" s="33">
        <f>ROUNDUP(O892+(O892*Assumptions!O$5),-2)</f>
        <v>39100</v>
      </c>
      <c r="Q892" s="33">
        <f>ROUNDUP(P892+(P892*Assumptions!P$5),-2)</f>
        <v>39900</v>
      </c>
      <c r="R892" s="114">
        <f>ROUNDUP(Q892+(Q892*Assumptions!Q$5),-2)</f>
        <v>40700</v>
      </c>
    </row>
    <row r="893" spans="1:18" x14ac:dyDescent="0.2">
      <c r="A893" s="107">
        <v>71400</v>
      </c>
      <c r="B893" s="33">
        <v>63600</v>
      </c>
      <c r="C893" s="142">
        <v>42900</v>
      </c>
      <c r="D893" s="99">
        <v>46000</v>
      </c>
      <c r="E893" s="240" t="s">
        <v>713</v>
      </c>
      <c r="F893" s="814" t="s">
        <v>3591</v>
      </c>
      <c r="G893" s="33">
        <v>43900</v>
      </c>
      <c r="H893" s="138">
        <f t="shared" si="785"/>
        <v>-4.5652173913043477</v>
      </c>
      <c r="I893" s="33">
        <f>ROUNDUP(G893+(G893*Assumptions!H$5),-2)</f>
        <v>44600</v>
      </c>
      <c r="J893" s="33">
        <f>ROUNDUP(I893+(I893*Assumptions!I$5),-2)</f>
        <v>45800</v>
      </c>
      <c r="K893" s="33">
        <f>ROUNDUP(J893+(J893*Assumptions!J$5),-2)</f>
        <v>47000</v>
      </c>
      <c r="L893" s="33">
        <f>ROUNDUP(K893+(K893*Assumptions!K$5),-2)</f>
        <v>48200</v>
      </c>
      <c r="M893" s="33">
        <f>ROUNDUP(L893+(L893*Assumptions!L$5),-2)</f>
        <v>49200</v>
      </c>
      <c r="N893" s="33">
        <f>ROUNDUP(M893+(M893*Assumptions!M$5),-2)</f>
        <v>50200</v>
      </c>
      <c r="O893" s="33">
        <f>ROUNDUP(N893+(N893*Assumptions!N$5),-2)</f>
        <v>51300</v>
      </c>
      <c r="P893" s="33">
        <f>ROUNDUP(O893+(O893*Assumptions!O$5),-2)</f>
        <v>52400</v>
      </c>
      <c r="Q893" s="33">
        <f>ROUNDUP(P893+(P893*Assumptions!P$5),-2)</f>
        <v>53500</v>
      </c>
      <c r="R893" s="114">
        <f>ROUNDUP(Q893+(Q893*Assumptions!Q$5),-2)</f>
        <v>54600</v>
      </c>
    </row>
    <row r="894" spans="1:18" x14ac:dyDescent="0.2">
      <c r="A894" s="107">
        <v>12900</v>
      </c>
      <c r="B894" s="33">
        <v>19100</v>
      </c>
      <c r="C894" s="142">
        <v>17800</v>
      </c>
      <c r="D894" s="99">
        <v>19400</v>
      </c>
      <c r="E894" s="240" t="s">
        <v>545</v>
      </c>
      <c r="F894" s="443" t="s">
        <v>2827</v>
      </c>
      <c r="G894" s="33">
        <v>20400</v>
      </c>
      <c r="H894" s="138">
        <f t="shared" si="785"/>
        <v>5.1546391752577314</v>
      </c>
      <c r="I894" s="33">
        <f>ROUNDUP(G894+(G894*Assumptions!H$5),-2)</f>
        <v>20800</v>
      </c>
      <c r="J894" s="33">
        <f>ROUNDUP(I894+(I894*Assumptions!I$5),-2)</f>
        <v>21400</v>
      </c>
      <c r="K894" s="33">
        <f>ROUNDUP(J894+(J894*Assumptions!J$5),-2)</f>
        <v>22000</v>
      </c>
      <c r="L894" s="33">
        <f>ROUNDUP(K894+(K894*Assumptions!K$5),-2)</f>
        <v>22600</v>
      </c>
      <c r="M894" s="33">
        <f>ROUNDUP(L894+(L894*Assumptions!L$5),-2)</f>
        <v>23100</v>
      </c>
      <c r="N894" s="33">
        <f>ROUNDUP(M894+(M894*Assumptions!M$5),-2)</f>
        <v>23600</v>
      </c>
      <c r="O894" s="33">
        <f>ROUNDUP(N894+(N894*Assumptions!N$5),-2)</f>
        <v>24100</v>
      </c>
      <c r="P894" s="33">
        <f>ROUNDUP(O894+(O894*Assumptions!O$5),-2)</f>
        <v>24600</v>
      </c>
      <c r="Q894" s="33">
        <f>ROUNDUP(P894+(P894*Assumptions!P$5),-2)</f>
        <v>25100</v>
      </c>
      <c r="R894" s="114">
        <f>ROUNDUP(Q894+(Q894*Assumptions!Q$5),-2)</f>
        <v>25700</v>
      </c>
    </row>
    <row r="895" spans="1:18" x14ac:dyDescent="0.2">
      <c r="A895" s="107">
        <v>34600</v>
      </c>
      <c r="B895" s="33">
        <v>35100</v>
      </c>
      <c r="C895" s="142">
        <v>35800</v>
      </c>
      <c r="D895" s="99">
        <v>48000</v>
      </c>
      <c r="E895" s="240" t="s">
        <v>714</v>
      </c>
      <c r="F895" s="132" t="s">
        <v>6062</v>
      </c>
      <c r="G895" s="33">
        <v>45900</v>
      </c>
      <c r="H895" s="138">
        <f t="shared" si="785"/>
        <v>-4.375</v>
      </c>
      <c r="I895" s="33">
        <f>ROUNDUP(G895+(G895*Assumptions!H$5),-2)</f>
        <v>46600</v>
      </c>
      <c r="J895" s="33">
        <f>ROUNDUP(I895+(I895*Assumptions!I$5),-2)</f>
        <v>47800</v>
      </c>
      <c r="K895" s="33">
        <f>ROUNDUP(J895+(J895*Assumptions!J$5),-2)</f>
        <v>49000</v>
      </c>
      <c r="L895" s="33">
        <f>ROUNDUP(K895+(K895*Assumptions!K$5),-2)</f>
        <v>50300</v>
      </c>
      <c r="M895" s="33">
        <f>ROUNDUP(L895+(L895*Assumptions!L$5),-2)</f>
        <v>51400</v>
      </c>
      <c r="N895" s="33">
        <f>ROUNDUP(M895+(M895*Assumptions!M$5),-2)</f>
        <v>52500</v>
      </c>
      <c r="O895" s="33">
        <f>ROUNDUP(N895+(N895*Assumptions!N$5),-2)</f>
        <v>53600</v>
      </c>
      <c r="P895" s="33">
        <f>ROUNDUP(O895+(O895*Assumptions!O$5),-2)</f>
        <v>54700</v>
      </c>
      <c r="Q895" s="33">
        <f>ROUNDUP(P895+(P895*Assumptions!P$5),-2)</f>
        <v>55800</v>
      </c>
      <c r="R895" s="114">
        <f>ROUNDUP(Q895+(Q895*Assumptions!Q$5),-2)</f>
        <v>57000</v>
      </c>
    </row>
    <row r="896" spans="1:18" x14ac:dyDescent="0.2">
      <c r="A896" s="107">
        <v>3200</v>
      </c>
      <c r="B896" s="33">
        <v>2900</v>
      </c>
      <c r="C896" s="142">
        <v>0</v>
      </c>
      <c r="D896" s="99">
        <v>0</v>
      </c>
      <c r="E896" s="1100" t="s">
        <v>3270</v>
      </c>
      <c r="F896" s="132" t="s">
        <v>6672</v>
      </c>
      <c r="G896" s="33">
        <v>25000</v>
      </c>
      <c r="H896" s="138">
        <f t="shared" si="785"/>
        <v>100</v>
      </c>
      <c r="I896" s="33">
        <v>0</v>
      </c>
      <c r="J896" s="33">
        <v>0</v>
      </c>
      <c r="K896" s="33">
        <f>ROUNDUP(J896+(J896*Assumptions!J$5),-2)</f>
        <v>0</v>
      </c>
      <c r="L896" s="33">
        <f>ROUNDUP(K896+(K896*Assumptions!K$5),-2)</f>
        <v>0</v>
      </c>
      <c r="M896" s="33">
        <f>ROUNDUP(L896+(L896*Assumptions!L$5),-2)</f>
        <v>0</v>
      </c>
      <c r="N896" s="33">
        <f>ROUNDUP(M896+(M896*Assumptions!M$5),-2)</f>
        <v>0</v>
      </c>
      <c r="O896" s="33">
        <f>ROUNDUP(N896+(N896*Assumptions!N$5),-2)</f>
        <v>0</v>
      </c>
      <c r="P896" s="33">
        <f>ROUNDUP(O896+(O896*Assumptions!O$5),-2)</f>
        <v>0</v>
      </c>
      <c r="Q896" s="33">
        <f>ROUNDUP(P896+(P896*Assumptions!P$5),-2)</f>
        <v>0</v>
      </c>
      <c r="R896" s="114">
        <f>ROUNDUP(Q896+(Q896*Assumptions!Q$5),-2)</f>
        <v>0</v>
      </c>
    </row>
    <row r="897" spans="1:18" x14ac:dyDescent="0.2">
      <c r="A897" s="107"/>
      <c r="B897" s="33"/>
      <c r="C897" s="33"/>
      <c r="E897" s="343"/>
      <c r="F897" s="116" t="s">
        <v>3560</v>
      </c>
      <c r="G897" s="33"/>
      <c r="H897" s="138"/>
      <c r="I897" s="33"/>
      <c r="J897" s="33"/>
      <c r="K897" s="33"/>
      <c r="L897" s="33"/>
      <c r="M897" s="33"/>
      <c r="N897" s="33"/>
      <c r="O897" s="33"/>
      <c r="P897" s="33"/>
      <c r="Q897" s="33"/>
      <c r="R897" s="114"/>
    </row>
    <row r="898" spans="1:18" x14ac:dyDescent="0.2">
      <c r="A898" s="107">
        <v>10100</v>
      </c>
      <c r="B898" s="33">
        <v>10600</v>
      </c>
      <c r="C898" s="33">
        <v>11300</v>
      </c>
      <c r="D898" s="99">
        <v>0</v>
      </c>
      <c r="E898" s="240" t="s">
        <v>1455</v>
      </c>
      <c r="F898" s="916" t="s">
        <v>2890</v>
      </c>
      <c r="G898" s="33">
        <v>0</v>
      </c>
      <c r="H898" s="138">
        <f>IF(D898=G898,0,IF(D898=0,100,(G898-D898)/D898*100))</f>
        <v>0</v>
      </c>
      <c r="I898" s="33">
        <f>ROUNDUP(G898+(G898*Assumptions!H$5),-2)</f>
        <v>0</v>
      </c>
      <c r="J898" s="33">
        <f>ROUNDUP(I898+(I898*Assumptions!I$5),-2)</f>
        <v>0</v>
      </c>
      <c r="K898" s="33">
        <f>ROUNDUP(J898+(J898*Assumptions!J$5),-2)</f>
        <v>0</v>
      </c>
      <c r="L898" s="33">
        <f>ROUNDUP(K898+(K898*Assumptions!K$5),-2)</f>
        <v>0</v>
      </c>
      <c r="M898" s="33">
        <f>ROUNDUP(L898+(L898*Assumptions!L$5),-2)</f>
        <v>0</v>
      </c>
      <c r="N898" s="33">
        <f>ROUNDUP(M898+(M898*Assumptions!M$5),-2)</f>
        <v>0</v>
      </c>
      <c r="O898" s="33">
        <f>ROUNDUP(N898+(N898*Assumptions!N$5),-2)</f>
        <v>0</v>
      </c>
      <c r="P898" s="33">
        <f>ROUNDUP(O898+(O898*Assumptions!O$5),-2)</f>
        <v>0</v>
      </c>
      <c r="Q898" s="33">
        <f>ROUNDUP(P898+(P898*Assumptions!P$5),-2)</f>
        <v>0</v>
      </c>
      <c r="R898" s="114">
        <f>ROUNDUP(Q898+(Q898*Assumptions!Q$5),-2)</f>
        <v>0</v>
      </c>
    </row>
    <row r="899" spans="1:18" x14ac:dyDescent="0.2">
      <c r="A899" s="107">
        <v>32200</v>
      </c>
      <c r="B899" s="33">
        <v>47000</v>
      </c>
      <c r="C899" s="33">
        <v>47000</v>
      </c>
      <c r="D899" s="99">
        <v>44300</v>
      </c>
      <c r="E899" s="240" t="s">
        <v>412</v>
      </c>
      <c r="F899" s="916" t="s">
        <v>4642</v>
      </c>
      <c r="G899" s="33">
        <v>46000</v>
      </c>
      <c r="H899" s="138">
        <f>IF(D899=G899,0,IF(D899=0,100,(G899-D899)/D899*100))</f>
        <v>3.8374717832957108</v>
      </c>
      <c r="I899" s="33">
        <f>ROUNDUP(G899+(G899*Assumptions!H$5),-2)</f>
        <v>46700</v>
      </c>
      <c r="J899" s="33">
        <f>ROUNDUP(I899+(I899*Assumptions!I$5),-2)</f>
        <v>47900</v>
      </c>
      <c r="K899" s="33">
        <f>ROUNDUP(J899+(J899*Assumptions!J$5),-2)</f>
        <v>49100</v>
      </c>
      <c r="L899" s="33">
        <f>ROUNDUP(K899+(K899*Assumptions!K$5),-2)</f>
        <v>50400</v>
      </c>
      <c r="M899" s="33">
        <f>ROUNDUP(L899+(L899*Assumptions!L$5),-2)</f>
        <v>51500</v>
      </c>
      <c r="N899" s="33">
        <f>ROUNDUP(M899+(M899*Assumptions!M$5),-2)</f>
        <v>52600</v>
      </c>
      <c r="O899" s="33">
        <f>ROUNDUP(N899+(N899*Assumptions!N$5),-2)</f>
        <v>53700</v>
      </c>
      <c r="P899" s="33">
        <f>ROUNDUP(O899+(O899*Assumptions!O$5),-2)</f>
        <v>54800</v>
      </c>
      <c r="Q899" s="33">
        <f>ROUNDUP(P899+(P899*Assumptions!P$5),-2)</f>
        <v>55900</v>
      </c>
      <c r="R899" s="114">
        <f>ROUNDUP(Q899+(Q899*Assumptions!Q$5),-2)</f>
        <v>57100</v>
      </c>
    </row>
    <row r="900" spans="1:18" x14ac:dyDescent="0.2">
      <c r="A900" s="107">
        <v>15100</v>
      </c>
      <c r="B900" s="33">
        <v>15400</v>
      </c>
      <c r="C900" s="33">
        <v>15700</v>
      </c>
      <c r="D900" s="99">
        <v>16000</v>
      </c>
      <c r="E900" s="240" t="s">
        <v>413</v>
      </c>
      <c r="F900" s="916" t="s">
        <v>3564</v>
      </c>
      <c r="G900" s="33">
        <v>16000</v>
      </c>
      <c r="H900" s="138">
        <f>IF(D900=G900,0,IF(D900=0,100,(G900-D900)/D900*100))</f>
        <v>0</v>
      </c>
      <c r="I900" s="33">
        <f>ROUNDUP(G900+(G900*Assumptions!H$5),-2)</f>
        <v>16300</v>
      </c>
      <c r="J900" s="33">
        <f>ROUNDUP(I900+(I900*Assumptions!I$5),-2)</f>
        <v>16800</v>
      </c>
      <c r="K900" s="33">
        <f>ROUNDUP(J900+(J900*Assumptions!J$5),-2)</f>
        <v>17300</v>
      </c>
      <c r="L900" s="33">
        <f>ROUNDUP(K900+(K900*Assumptions!K$5),-2)</f>
        <v>17800</v>
      </c>
      <c r="M900" s="33">
        <f>ROUNDUP(L900+(L900*Assumptions!L$5),-2)</f>
        <v>18200</v>
      </c>
      <c r="N900" s="33">
        <f>ROUNDUP(M900+(M900*Assumptions!M$5),-2)</f>
        <v>18600</v>
      </c>
      <c r="O900" s="33">
        <f>ROUNDUP(N900+(N900*Assumptions!N$5),-2)</f>
        <v>19000</v>
      </c>
      <c r="P900" s="33">
        <f>ROUNDUP(O900+(O900*Assumptions!O$5),-2)</f>
        <v>19400</v>
      </c>
      <c r="Q900" s="33">
        <f>ROUNDUP(P900+(P900*Assumptions!P$5),-2)</f>
        <v>19800</v>
      </c>
      <c r="R900" s="114">
        <f>ROUNDUP(Q900+(Q900*Assumptions!Q$5),-2)</f>
        <v>20200</v>
      </c>
    </row>
    <row r="901" spans="1:18" x14ac:dyDescent="0.2">
      <c r="A901" s="107">
        <v>14500</v>
      </c>
      <c r="B901" s="33">
        <f>8200+6400</f>
        <v>14600</v>
      </c>
      <c r="C901" s="33">
        <v>7400</v>
      </c>
      <c r="D901" s="99">
        <v>0</v>
      </c>
      <c r="E901" s="240" t="s">
        <v>2383</v>
      </c>
      <c r="F901" s="916" t="s">
        <v>3822</v>
      </c>
      <c r="G901" s="33">
        <v>0</v>
      </c>
      <c r="H901" s="138">
        <f>IF(D901=G901,0,IF(D901=0,100,(G901-D901)/D901*100))</f>
        <v>0</v>
      </c>
      <c r="I901" s="33">
        <f>ROUNDUP(G901+(G901*Assumptions!H$5),-2)</f>
        <v>0</v>
      </c>
      <c r="J901" s="33">
        <f>ROUNDUP(I901+(I901*Assumptions!I$5),-2)</f>
        <v>0</v>
      </c>
      <c r="K901" s="33">
        <f>ROUNDUP(J901+(J901*Assumptions!J$5),-2)</f>
        <v>0</v>
      </c>
      <c r="L901" s="33">
        <f>ROUNDUP(K901+(K901*Assumptions!K$5),-2)</f>
        <v>0</v>
      </c>
      <c r="M901" s="33">
        <f>ROUNDUP(L901+(L901*Assumptions!L$5),-2)</f>
        <v>0</v>
      </c>
      <c r="N901" s="33">
        <f>ROUNDUP(M901+(M901*Assumptions!M$5),-2)</f>
        <v>0</v>
      </c>
      <c r="O901" s="33">
        <f>ROUNDUP(N901+(N901*Assumptions!N$5),-2)</f>
        <v>0</v>
      </c>
      <c r="P901" s="33">
        <f>ROUNDUP(O901+(O901*Assumptions!O$5),-2)</f>
        <v>0</v>
      </c>
      <c r="Q901" s="33">
        <f>ROUNDUP(P901+(P901*Assumptions!P$5),-2)</f>
        <v>0</v>
      </c>
      <c r="R901" s="114">
        <f>ROUNDUP(Q901+(Q901*Assumptions!Q$5),-2)</f>
        <v>0</v>
      </c>
    </row>
    <row r="902" spans="1:18" x14ac:dyDescent="0.2">
      <c r="A902" s="107">
        <v>0</v>
      </c>
      <c r="B902" s="33">
        <v>0</v>
      </c>
      <c r="C902" s="33">
        <v>0</v>
      </c>
      <c r="D902" s="99">
        <v>4200</v>
      </c>
      <c r="E902" s="1100" t="s">
        <v>5940</v>
      </c>
      <c r="F902" s="916" t="s">
        <v>6677</v>
      </c>
      <c r="G902" s="33">
        <v>6200</v>
      </c>
      <c r="H902" s="138">
        <f>IF(D902=G902,0,IF(D902=0,100,(G902-D902)/D902*100))</f>
        <v>47.619047619047613</v>
      </c>
      <c r="I902" s="33">
        <f>ROUNDUP(G902+(G902*Assumptions!H$5),-2)</f>
        <v>6300</v>
      </c>
      <c r="J902" s="33">
        <f>ROUNDUP(I902+(I902*Assumptions!I$5),-2)</f>
        <v>6500</v>
      </c>
      <c r="K902" s="33">
        <f>ROUNDUP(J902+(J902*Assumptions!J$5),-2)</f>
        <v>6700</v>
      </c>
      <c r="L902" s="33">
        <f>ROUNDUP(K902+(K902*Assumptions!K$5),-2)</f>
        <v>6900</v>
      </c>
      <c r="M902" s="33">
        <f>ROUNDUP(L902+(L902*Assumptions!L$5),-2)</f>
        <v>7100</v>
      </c>
      <c r="N902" s="33">
        <f>ROUNDUP(M902+(M902*Assumptions!M$5),-2)</f>
        <v>7300</v>
      </c>
      <c r="O902" s="33">
        <f>ROUNDUP(N902+(N902*Assumptions!N$5),-2)</f>
        <v>7500</v>
      </c>
      <c r="P902" s="33">
        <f>ROUNDUP(O902+(O902*Assumptions!O$5),-2)</f>
        <v>7700</v>
      </c>
      <c r="Q902" s="33">
        <f>ROUNDUP(P902+(P902*Assumptions!P$5),-2)</f>
        <v>7900</v>
      </c>
      <c r="R902" s="114">
        <f>ROUNDUP(Q902+(Q902*Assumptions!Q$5),-2)</f>
        <v>8100</v>
      </c>
    </row>
    <row r="903" spans="1:18" s="118" customFormat="1" x14ac:dyDescent="0.2">
      <c r="A903" s="107"/>
      <c r="B903" s="116"/>
      <c r="C903" s="116"/>
      <c r="D903" s="145"/>
      <c r="E903" s="1364"/>
      <c r="F903" s="2006" t="s">
        <v>1486</v>
      </c>
      <c r="G903" s="116"/>
      <c r="H903" s="323"/>
      <c r="I903" s="116"/>
      <c r="J903" s="116"/>
      <c r="K903" s="116"/>
      <c r="L903" s="116"/>
      <c r="M903" s="116"/>
      <c r="N903" s="116"/>
      <c r="O903" s="116"/>
      <c r="P903" s="116"/>
      <c r="Q903" s="116"/>
      <c r="R903" s="159"/>
    </row>
    <row r="904" spans="1:18" x14ac:dyDescent="0.2">
      <c r="A904" s="107">
        <v>495500</v>
      </c>
      <c r="B904" s="892">
        <v>257300</v>
      </c>
      <c r="C904" s="33">
        <v>105200</v>
      </c>
      <c r="D904" s="99">
        <v>92000</v>
      </c>
      <c r="E904" s="1100" t="s">
        <v>3199</v>
      </c>
      <c r="F904" s="952" t="s">
        <v>6678</v>
      </c>
      <c r="G904" s="33">
        <v>0</v>
      </c>
      <c r="H904" s="138">
        <f>IF(D904=G904,0,IF(D904=0,100,(G904-D904)/D904*100))</f>
        <v>-100</v>
      </c>
      <c r="I904" s="33">
        <f>ROUNDUP(G904+(G904*Assumptions!H$5),-2)</f>
        <v>0</v>
      </c>
      <c r="J904" s="33">
        <f>ROUNDUP(I904+(I904*Assumptions!I$5),-2)</f>
        <v>0</v>
      </c>
      <c r="K904" s="33">
        <f>ROUNDUP(J904+(J904*Assumptions!J$5),-2)</f>
        <v>0</v>
      </c>
      <c r="L904" s="33">
        <f>ROUNDUP(K904+(K904*Assumptions!K$5),-2)</f>
        <v>0</v>
      </c>
      <c r="M904" s="33">
        <f>ROUNDUP(L904+(L904*Assumptions!L$5),-2)</f>
        <v>0</v>
      </c>
      <c r="N904" s="33">
        <f>ROUNDUP(M904+(M904*Assumptions!M$5),-2)</f>
        <v>0</v>
      </c>
      <c r="O904" s="33">
        <f>ROUNDUP(N904+(N904*Assumptions!N$5),-2)</f>
        <v>0</v>
      </c>
      <c r="P904" s="33">
        <f>ROUNDUP(O904+(O904*Assumptions!O$5),-2)</f>
        <v>0</v>
      </c>
      <c r="Q904" s="33">
        <f>ROUNDUP(P904+(P904*Assumptions!P$5),-2)</f>
        <v>0</v>
      </c>
      <c r="R904" s="114">
        <f>ROUNDUP(Q904+(Q904*Assumptions!Q$5),-2)</f>
        <v>0</v>
      </c>
    </row>
    <row r="905" spans="1:18" x14ac:dyDescent="0.2">
      <c r="A905" s="107">
        <v>1320000</v>
      </c>
      <c r="B905" s="1224">
        <v>440000</v>
      </c>
      <c r="C905" s="33">
        <v>440000</v>
      </c>
      <c r="D905" s="76">
        <f>440000-440000</f>
        <v>0</v>
      </c>
      <c r="E905" s="1100" t="s">
        <v>3200</v>
      </c>
      <c r="F905" s="1099" t="s">
        <v>6679</v>
      </c>
      <c r="G905" s="33">
        <f>340000+100000</f>
        <v>440000</v>
      </c>
      <c r="H905" s="138">
        <f>IF(D905=G905,0,IF(D905=0,100,(G905-D905)/D905*100))</f>
        <v>100</v>
      </c>
      <c r="I905" s="33">
        <v>0</v>
      </c>
      <c r="J905" s="33">
        <f>ROUNDUP(I905+(I905*Assumptions!I$5),-2)</f>
        <v>0</v>
      </c>
      <c r="K905" s="33">
        <f>ROUNDUP(J905+(J905*Assumptions!J$5),-2)</f>
        <v>0</v>
      </c>
      <c r="L905" s="33">
        <f>ROUNDUP(K905+(K905*Assumptions!K$5),-2)</f>
        <v>0</v>
      </c>
      <c r="M905" s="33">
        <f>ROUNDUP(L905+(L905*Assumptions!L$5),-2)</f>
        <v>0</v>
      </c>
      <c r="N905" s="33">
        <f>ROUNDUP(M905+(M905*Assumptions!M$5),-2)</f>
        <v>0</v>
      </c>
      <c r="O905" s="33">
        <f>ROUNDUP(N905+(N905*Assumptions!N$5),-2)</f>
        <v>0</v>
      </c>
      <c r="P905" s="33">
        <f>ROUNDUP(O905+(O905*Assumptions!O$5),-2)</f>
        <v>0</v>
      </c>
      <c r="Q905" s="33">
        <f>ROUNDUP(P905+(P905*Assumptions!P$5),-2)</f>
        <v>0</v>
      </c>
      <c r="R905" s="114">
        <f>ROUNDUP(Q905+(Q905*Assumptions!Q$5),-2)</f>
        <v>0</v>
      </c>
    </row>
    <row r="906" spans="1:18" x14ac:dyDescent="0.2">
      <c r="A906" s="107"/>
      <c r="B906" s="33"/>
      <c r="C906" s="33"/>
      <c r="D906" s="76"/>
      <c r="E906" s="2794"/>
      <c r="F906" s="438" t="s">
        <v>2671</v>
      </c>
      <c r="G906" s="33"/>
      <c r="H906" s="138"/>
      <c r="I906" s="33"/>
      <c r="J906" s="33"/>
      <c r="K906" s="33"/>
      <c r="L906" s="33"/>
      <c r="M906" s="33"/>
      <c r="N906" s="33"/>
      <c r="O906" s="33"/>
      <c r="P906" s="33"/>
      <c r="Q906" s="33"/>
      <c r="R906" s="114"/>
    </row>
    <row r="907" spans="1:18" x14ac:dyDescent="0.2">
      <c r="A907" s="107">
        <f>54000+66600</f>
        <v>120600</v>
      </c>
      <c r="B907" s="33">
        <f>17000+1000</f>
        <v>18000</v>
      </c>
      <c r="C907" s="33">
        <v>80200</v>
      </c>
      <c r="D907" s="76">
        <v>41000</v>
      </c>
      <c r="E907" s="240" t="s">
        <v>2520</v>
      </c>
      <c r="F907" s="132" t="s">
        <v>4643</v>
      </c>
      <c r="G907" s="33">
        <v>16000</v>
      </c>
      <c r="H907" s="138">
        <f>IF(D907=G907,0,IF(D907=0,100,(G907-D907)/D907*100))</f>
        <v>-60.975609756097562</v>
      </c>
      <c r="I907" s="33">
        <f>IF('Res-Bal'!G44&gt;0,ROUND('Res-Bal'!G44/2*0.05,-3),0)</f>
        <v>9000</v>
      </c>
      <c r="J907" s="33">
        <f>IF('Res-Bal'!J44&gt;0,ROUND('Res-Bal'!J44/2*0.05,-3),0)</f>
        <v>4000</v>
      </c>
      <c r="K907" s="33">
        <f>IF('Res-Bal'!M44&gt;0,ROUND('Res-Bal'!M44/2*0.05,-3),0)</f>
        <v>8000</v>
      </c>
      <c r="L907" s="33">
        <f>IF('Res-Bal'!P44&gt;0,ROUND('Res-Bal'!P44/2*0.05,-3),0)</f>
        <v>13000</v>
      </c>
      <c r="M907" s="33">
        <f>IF('Res-Bal'!S44&gt;0,ROUND('Res-Bal'!S44/2*0.05,-3),0)</f>
        <v>10000</v>
      </c>
      <c r="N907" s="33">
        <f>IF('Res-Bal'!V44&gt;0,ROUND('Res-Bal'!V44/2*0.05,-3),0)</f>
        <v>10000</v>
      </c>
      <c r="O907" s="33">
        <f>IF('Res-Bal'!Y44&gt;0,ROUND('Res-Bal'!Y44/2*0.05,-3),0)</f>
        <v>10000</v>
      </c>
      <c r="P907" s="33">
        <f>IF('Res-Bal'!AB44&gt;0,ROUND('Res-Bal'!AB44/2*0.05,-3),0)</f>
        <v>10000</v>
      </c>
      <c r="Q907" s="33">
        <f>IF('Res-Bal'!AE44&gt;0,ROUND('Res-Bal'!AE44/2*0.05,-3),0)</f>
        <v>12000</v>
      </c>
      <c r="R907" s="114">
        <f>IF('Res-Bal'!AH44&gt;0,ROUND('Res-Bal'!AH44/2*0.05,-3),0)</f>
        <v>13000</v>
      </c>
    </row>
    <row r="908" spans="1:18" x14ac:dyDescent="0.2">
      <c r="A908" s="107">
        <v>178600</v>
      </c>
      <c r="B908" s="33">
        <v>181200</v>
      </c>
      <c r="C908" s="33">
        <v>105100</v>
      </c>
      <c r="D908" s="76">
        <v>86800</v>
      </c>
      <c r="E908" s="240" t="s">
        <v>2000</v>
      </c>
      <c r="F908" s="132" t="s">
        <v>3287</v>
      </c>
      <c r="G908" s="33">
        <f>75000+30000</f>
        <v>105000</v>
      </c>
      <c r="H908" s="138">
        <f>IF(D908=G908,0,IF(D908=0,100,(G908-D908)/D908*100))</f>
        <v>20.967741935483872</v>
      </c>
      <c r="I908" s="33">
        <f>IF('Res-Bal'!G45&gt;0,ROUND('Res-Bal'!G45/2*0.05,-3),0)</f>
        <v>95000</v>
      </c>
      <c r="J908" s="33">
        <f>IF('Res-Bal'!J45&gt;0,ROUND('Res-Bal'!J45/2*0.05,-3),0)</f>
        <v>27000</v>
      </c>
      <c r="K908" s="33">
        <f>IF('Res-Bal'!M45&gt;0,ROUND('Res-Bal'!M45/2*0.05,-3),0)</f>
        <v>89000</v>
      </c>
      <c r="L908" s="33">
        <f>IF('Res-Bal'!P45&gt;0,ROUND('Res-Bal'!P45/2*0.05,-3),0)</f>
        <v>37000</v>
      </c>
      <c r="M908" s="33">
        <f>IF('Res-Bal'!S45&gt;0,ROUND('Res-Bal'!S45/2*0.05,-3),0)</f>
        <v>49000</v>
      </c>
      <c r="N908" s="33">
        <f>IF('Res-Bal'!V45&gt;0,ROUND('Res-Bal'!V45/2*0.05,-3),0)</f>
        <v>48000</v>
      </c>
      <c r="O908" s="33">
        <f>IF('Res-Bal'!Y45&gt;0,ROUND('Res-Bal'!Y45/2*0.05,-3),0)</f>
        <v>54000</v>
      </c>
      <c r="P908" s="33">
        <f>IF('Res-Bal'!AB45&gt;0,ROUND('Res-Bal'!AB45/2*0.05,-3),0)</f>
        <v>47000</v>
      </c>
      <c r="Q908" s="33">
        <f>IF('Res-Bal'!AE45&gt;0,ROUND('Res-Bal'!AE45/2*0.05,-3),0)</f>
        <v>47000</v>
      </c>
      <c r="R908" s="114">
        <f>IF('Res-Bal'!AH45&gt;0,ROUND('Res-Bal'!AH45/2*0.05,-3),0)</f>
        <v>47000</v>
      </c>
    </row>
    <row r="909" spans="1:18" x14ac:dyDescent="0.2">
      <c r="A909" s="107">
        <v>101400</v>
      </c>
      <c r="B909" s="33">
        <v>0</v>
      </c>
      <c r="C909" s="33">
        <v>0</v>
      </c>
      <c r="D909" s="76">
        <v>0</v>
      </c>
      <c r="E909" s="1100" t="s">
        <v>3428</v>
      </c>
      <c r="F909" s="132" t="s">
        <v>4644</v>
      </c>
      <c r="G909" s="33">
        <v>0</v>
      </c>
      <c r="H909" s="138">
        <f>IF(D909=G909,0,IF(D909=0,100,(G909-D909)/D909*100))</f>
        <v>0</v>
      </c>
      <c r="I909" s="33">
        <v>0</v>
      </c>
      <c r="J909" s="33">
        <v>0</v>
      </c>
      <c r="K909" s="33">
        <v>0</v>
      </c>
      <c r="L909" s="33">
        <v>0</v>
      </c>
      <c r="M909" s="33">
        <v>0</v>
      </c>
      <c r="N909" s="33">
        <v>0</v>
      </c>
      <c r="O909" s="33">
        <v>0</v>
      </c>
      <c r="P909" s="33">
        <v>0</v>
      </c>
      <c r="Q909" s="33">
        <v>0</v>
      </c>
      <c r="R909" s="114">
        <v>0</v>
      </c>
    </row>
    <row r="910" spans="1:18" x14ac:dyDescent="0.2">
      <c r="A910" s="107"/>
      <c r="B910" s="33"/>
      <c r="C910" s="33"/>
      <c r="D910" s="76"/>
      <c r="E910" s="2794"/>
      <c r="F910" s="746" t="s">
        <v>6673</v>
      </c>
      <c r="G910" s="33"/>
      <c r="H910" s="138"/>
      <c r="I910" s="33"/>
      <c r="J910" s="33"/>
      <c r="K910" s="33"/>
      <c r="L910" s="33"/>
      <c r="M910" s="33"/>
      <c r="N910" s="33"/>
      <c r="O910" s="33"/>
      <c r="P910" s="33"/>
      <c r="Q910" s="33"/>
      <c r="R910" s="114"/>
    </row>
    <row r="911" spans="1:18" x14ac:dyDescent="0.2">
      <c r="A911" s="107">
        <v>0</v>
      </c>
      <c r="B911" s="33">
        <v>0</v>
      </c>
      <c r="C911" s="33">
        <v>460100</v>
      </c>
      <c r="D911" s="76">
        <v>0</v>
      </c>
      <c r="E911" s="240">
        <v>26060.451499999999</v>
      </c>
      <c r="F911" s="132" t="s">
        <v>5435</v>
      </c>
      <c r="G911" s="33">
        <v>0</v>
      </c>
      <c r="H911" s="138">
        <f>IF(D911=G911,0,IF(D911=0,100,(G911-D911)/D911*100))</f>
        <v>0</v>
      </c>
      <c r="I911" s="33">
        <v>0</v>
      </c>
      <c r="J911" s="33">
        <v>0</v>
      </c>
      <c r="K911" s="33">
        <v>0</v>
      </c>
      <c r="L911" s="33">
        <v>0</v>
      </c>
      <c r="M911" s="33">
        <v>0</v>
      </c>
      <c r="N911" s="33">
        <v>0</v>
      </c>
      <c r="O911" s="33">
        <v>0</v>
      </c>
      <c r="P911" s="33">
        <v>0</v>
      </c>
      <c r="Q911" s="33">
        <v>0</v>
      </c>
      <c r="R911" s="114">
        <v>0</v>
      </c>
    </row>
    <row r="912" spans="1:18" ht="13.5" thickBot="1" x14ac:dyDescent="0.25">
      <c r="A912" s="107"/>
      <c r="B912" s="33"/>
      <c r="C912" s="33"/>
      <c r="D912" s="76"/>
      <c r="E912" s="343"/>
      <c r="F912" s="99"/>
      <c r="G912" s="33"/>
      <c r="H912" s="138"/>
      <c r="I912" s="33"/>
      <c r="J912" s="33"/>
      <c r="K912" s="33"/>
      <c r="L912" s="33"/>
      <c r="M912" s="33"/>
      <c r="N912" s="33"/>
      <c r="O912" s="33"/>
      <c r="P912" s="33"/>
      <c r="Q912" s="33"/>
      <c r="R912" s="114"/>
    </row>
    <row r="913" spans="1:18" s="92" customFormat="1" x14ac:dyDescent="0.2">
      <c r="A913" s="105">
        <f>SUM(A875:A912)</f>
        <v>4246700</v>
      </c>
      <c r="B913" s="53">
        <f>SUM(B875:B912)</f>
        <v>2957400</v>
      </c>
      <c r="C913" s="53">
        <f>SUM(C875:C912)</f>
        <v>2952700</v>
      </c>
      <c r="D913" s="460">
        <f>SUM(D875:D912)</f>
        <v>2149200</v>
      </c>
      <c r="E913" s="2515"/>
      <c r="F913" s="112" t="s">
        <v>2605</v>
      </c>
      <c r="G913" s="53">
        <f>SUM(G875:G912)</f>
        <v>2602700</v>
      </c>
      <c r="H913" s="2485">
        <f>IF(D913=G913,0,IF(D913=0,100,(G913-D913)/D913*100))</f>
        <v>21.100874744090824</v>
      </c>
      <c r="I913" s="53">
        <f t="shared" ref="I913:Q913" si="786">SUM(I875:I912)</f>
        <v>2181700</v>
      </c>
      <c r="J913" s="53">
        <f t="shared" si="786"/>
        <v>2139700</v>
      </c>
      <c r="K913" s="53">
        <f t="shared" si="786"/>
        <v>2247600</v>
      </c>
      <c r="L913" s="53">
        <f t="shared" si="786"/>
        <v>2237900</v>
      </c>
      <c r="M913" s="53">
        <f t="shared" si="786"/>
        <v>2291300</v>
      </c>
      <c r="N913" s="53">
        <f t="shared" si="786"/>
        <v>2335900</v>
      </c>
      <c r="O913" s="53">
        <f t="shared" si="786"/>
        <v>2387900</v>
      </c>
      <c r="P913" s="53">
        <f t="shared" si="786"/>
        <v>2427800</v>
      </c>
      <c r="Q913" s="53">
        <f t="shared" si="786"/>
        <v>2477900</v>
      </c>
      <c r="R913" s="113">
        <f t="shared" ref="R913" si="787">SUM(R875:R912)</f>
        <v>2527900</v>
      </c>
    </row>
    <row r="914" spans="1:18" s="99" customFormat="1" x14ac:dyDescent="0.2">
      <c r="A914" s="608"/>
      <c r="B914" s="150"/>
      <c r="C914" s="150"/>
      <c r="D914" s="2435"/>
      <c r="E914" s="2515"/>
      <c r="G914" s="33"/>
      <c r="H914" s="138"/>
      <c r="I914" s="33"/>
      <c r="J914" s="33"/>
      <c r="K914" s="33"/>
      <c r="L914" s="33"/>
      <c r="M914" s="33"/>
      <c r="N914" s="33"/>
      <c r="O914" s="33"/>
      <c r="P914" s="33"/>
      <c r="Q914" s="33"/>
      <c r="R914" s="114"/>
    </row>
    <row r="915" spans="1:18" s="99" customFormat="1" x14ac:dyDescent="0.2">
      <c r="A915" s="107"/>
      <c r="B915" s="33"/>
      <c r="C915" s="33"/>
      <c r="D915" s="76"/>
      <c r="E915" s="343"/>
      <c r="F915" s="144" t="s">
        <v>2205</v>
      </c>
      <c r="G915" s="33"/>
      <c r="H915" s="138"/>
      <c r="I915" s="33"/>
      <c r="J915" s="33"/>
      <c r="K915" s="33"/>
      <c r="L915" s="33"/>
      <c r="M915" s="33"/>
      <c r="N915" s="33"/>
      <c r="O915" s="33"/>
      <c r="P915" s="33"/>
      <c r="Q915" s="33"/>
      <c r="R915" s="114"/>
    </row>
    <row r="916" spans="1:18" s="99" customFormat="1" x14ac:dyDescent="0.2">
      <c r="A916" s="107"/>
      <c r="B916" s="33"/>
      <c r="C916" s="33"/>
      <c r="D916" s="76"/>
      <c r="E916" s="343"/>
      <c r="F916" s="144"/>
      <c r="G916" s="33"/>
      <c r="H916" s="138"/>
      <c r="I916" s="33"/>
      <c r="J916" s="33"/>
      <c r="K916" s="33"/>
      <c r="L916" s="33"/>
      <c r="M916" s="33"/>
      <c r="N916" s="33"/>
      <c r="O916" s="33"/>
      <c r="P916" s="33"/>
      <c r="Q916" s="33"/>
      <c r="R916" s="114"/>
    </row>
    <row r="917" spans="1:18" s="99" customFormat="1" x14ac:dyDescent="0.2">
      <c r="A917" s="107"/>
      <c r="B917" s="33"/>
      <c r="C917" s="33"/>
      <c r="D917" s="76"/>
      <c r="E917" s="343"/>
      <c r="F917" s="74" t="s">
        <v>2543</v>
      </c>
      <c r="G917" s="33"/>
      <c r="H917" s="138"/>
      <c r="I917" s="33"/>
      <c r="J917" s="33"/>
      <c r="K917" s="33"/>
      <c r="L917" s="33"/>
      <c r="M917" s="33"/>
      <c r="N917" s="33"/>
      <c r="O917" s="33"/>
      <c r="P917" s="33"/>
      <c r="Q917" s="33"/>
      <c r="R917" s="114"/>
    </row>
    <row r="918" spans="1:18" s="99" customFormat="1" x14ac:dyDescent="0.2">
      <c r="A918" s="107">
        <v>370900</v>
      </c>
      <c r="B918" s="33">
        <v>324100</v>
      </c>
      <c r="C918" s="33">
        <v>272700</v>
      </c>
      <c r="D918" s="77">
        <f>288100+2500</f>
        <v>290600</v>
      </c>
      <c r="E918" s="240" t="s">
        <v>207</v>
      </c>
      <c r="F918" s="99" t="s">
        <v>1341</v>
      </c>
      <c r="G918" s="33">
        <v>290700</v>
      </c>
      <c r="H918" s="138">
        <f t="shared" ref="H918:H924" si="788">IF(D918=G918,0,IF(D918=0,100,(G918-D918)/D918*100))</f>
        <v>3.4411562284927734E-2</v>
      </c>
      <c r="I918" s="33">
        <f>ROUND((G918*Assumptions!H$13)+GM!G918,-2)</f>
        <v>296500</v>
      </c>
      <c r="J918" s="33">
        <f>ROUND((I918*Assumptions!I$13)+GM!I918,-2)</f>
        <v>303900</v>
      </c>
      <c r="K918" s="33">
        <f>ROUND((J918*Assumptions!J$13)+GM!J918,-2)</f>
        <v>311500</v>
      </c>
      <c r="L918" s="33">
        <f>ROUND((K918*Assumptions!K$13)+GM!K918,-2)</f>
        <v>319300</v>
      </c>
      <c r="M918" s="33">
        <f>ROUND((L918*Assumptions!L$13)+GM!L918,-2)</f>
        <v>327300</v>
      </c>
      <c r="N918" s="33">
        <f>ROUND((M918*Assumptions!M$13)+GM!M918,-2)</f>
        <v>335500</v>
      </c>
      <c r="O918" s="33">
        <f>ROUND((N918*Assumptions!N$13)+GM!N918,-2)</f>
        <v>343900</v>
      </c>
      <c r="P918" s="33">
        <f>ROUND((O918*Assumptions!O$13)+GM!O918,-2)</f>
        <v>352500</v>
      </c>
      <c r="Q918" s="33">
        <f>ROUND((P918*Assumptions!P$13)+GM!P918,-2)</f>
        <v>361300</v>
      </c>
      <c r="R918" s="114">
        <f>ROUND((Q918*Assumptions!Q$13)+GM!Q918,-2)</f>
        <v>370300</v>
      </c>
    </row>
    <row r="919" spans="1:18" s="99" customFormat="1" x14ac:dyDescent="0.2">
      <c r="A919" s="107">
        <v>33600</v>
      </c>
      <c r="B919" s="33">
        <v>19500</v>
      </c>
      <c r="C919" s="33">
        <v>20100</v>
      </c>
      <c r="D919" s="76">
        <v>20100</v>
      </c>
      <c r="E919" s="240" t="s">
        <v>2766</v>
      </c>
      <c r="F919" s="99" t="s">
        <v>534</v>
      </c>
      <c r="G919" s="33">
        <v>6000</v>
      </c>
      <c r="H919" s="138">
        <f t="shared" si="788"/>
        <v>-70.149253731343293</v>
      </c>
      <c r="I919" s="33">
        <f>ROUND((G919*Assumptions!H$13)+GM!G919,-2)</f>
        <v>6100</v>
      </c>
      <c r="J919" s="33">
        <f>ROUND((I919*Assumptions!I$13)+GM!I919,-2)</f>
        <v>6300</v>
      </c>
      <c r="K919" s="33">
        <f>ROUND((J919*Assumptions!J$13)+GM!J919,-2)</f>
        <v>6500</v>
      </c>
      <c r="L919" s="33">
        <f>ROUND((K919*Assumptions!K$13)+GM!K919,-2)</f>
        <v>6700</v>
      </c>
      <c r="M919" s="33">
        <f>ROUND((L919*Assumptions!L$13)+GM!L919,-2)</f>
        <v>6900</v>
      </c>
      <c r="N919" s="33">
        <f>ROUND((M919*Assumptions!M$13)+GM!M919,-2)</f>
        <v>7100</v>
      </c>
      <c r="O919" s="33">
        <f>ROUND((N919*Assumptions!N$13)+GM!N919,-2)</f>
        <v>7300</v>
      </c>
      <c r="P919" s="33">
        <f>ROUND((O919*Assumptions!O$13)+GM!O919,-2)</f>
        <v>7500</v>
      </c>
      <c r="Q919" s="33">
        <f>ROUND((P919*Assumptions!P$13)+GM!P919,-2)</f>
        <v>7700</v>
      </c>
      <c r="R919" s="114">
        <f>ROUND((Q919*Assumptions!Q$13)+GM!Q919,-2)</f>
        <v>7900</v>
      </c>
    </row>
    <row r="920" spans="1:18" s="99" customFormat="1" x14ac:dyDescent="0.2">
      <c r="A920" s="107">
        <v>0</v>
      </c>
      <c r="B920" s="33">
        <v>45000</v>
      </c>
      <c r="C920" s="33">
        <f>10500+21300</f>
        <v>31800</v>
      </c>
      <c r="D920" s="76">
        <f>15400+16300</f>
        <v>31700</v>
      </c>
      <c r="E920" s="1100" t="s">
        <v>4851</v>
      </c>
      <c r="F920" s="78" t="s">
        <v>6680</v>
      </c>
      <c r="G920" s="33">
        <v>10200</v>
      </c>
      <c r="H920" s="138">
        <f t="shared" si="788"/>
        <v>-67.823343848580436</v>
      </c>
      <c r="I920" s="33">
        <v>0</v>
      </c>
      <c r="J920" s="33">
        <f>ROUND((I920*Assumptions!I$13)+GM!I920,-2)</f>
        <v>0</v>
      </c>
      <c r="K920" s="33">
        <f>ROUND((J920*Assumptions!J$13)+GM!J920,-2)</f>
        <v>0</v>
      </c>
      <c r="L920" s="33">
        <f>ROUND((K920*Assumptions!K$13)+GM!K920,-2)</f>
        <v>0</v>
      </c>
      <c r="M920" s="33">
        <f>ROUND((L920*Assumptions!L$13)+GM!L920,-2)</f>
        <v>0</v>
      </c>
      <c r="N920" s="33">
        <f>ROUND((M920*Assumptions!M$13)+GM!M920,-2)</f>
        <v>0</v>
      </c>
      <c r="O920" s="33">
        <f>ROUND((N920*Assumptions!N$13)+GM!N920,-2)</f>
        <v>0</v>
      </c>
      <c r="P920" s="33">
        <f>ROUND((O920*Assumptions!O$13)+GM!O920,-2)</f>
        <v>0</v>
      </c>
      <c r="Q920" s="33">
        <f>ROUND((P920*Assumptions!P$13)+GM!P920,-2)</f>
        <v>0</v>
      </c>
      <c r="R920" s="114">
        <f>ROUND((Q920*Assumptions!Q$13)+GM!Q920,-2)</f>
        <v>0</v>
      </c>
    </row>
    <row r="921" spans="1:18" x14ac:dyDescent="0.2">
      <c r="A921" s="107">
        <v>12800</v>
      </c>
      <c r="B921" s="33">
        <f>6400+15500-200</f>
        <v>21700</v>
      </c>
      <c r="C921" s="33">
        <f>5000+39000</f>
        <v>44000</v>
      </c>
      <c r="D921" s="76">
        <f>4500+9200</f>
        <v>13700</v>
      </c>
      <c r="E921" s="240" t="s">
        <v>1849</v>
      </c>
      <c r="F921" s="953" t="s">
        <v>2555</v>
      </c>
      <c r="G921" s="33">
        <v>20400</v>
      </c>
      <c r="H921" s="138">
        <f t="shared" si="788"/>
        <v>48.9051094890511</v>
      </c>
      <c r="I921" s="33">
        <f>ROUND((G921*Assumptions!H$13)+GM!G921,-2)</f>
        <v>20800</v>
      </c>
      <c r="J921" s="33">
        <f>ROUND((I921*Assumptions!I$13)+GM!I921,-2)</f>
        <v>21300</v>
      </c>
      <c r="K921" s="33">
        <f>ROUND((J921*Assumptions!J$13)+GM!J921,-2)</f>
        <v>21800</v>
      </c>
      <c r="L921" s="33">
        <f>ROUND((K921*Assumptions!K$13)+GM!K921,-2)</f>
        <v>22300</v>
      </c>
      <c r="M921" s="33">
        <f>ROUND((L921*Assumptions!L$13)+GM!L921,-2)</f>
        <v>22900</v>
      </c>
      <c r="N921" s="33">
        <f>ROUND((M921*Assumptions!M$13)+GM!M921,-2)</f>
        <v>23500</v>
      </c>
      <c r="O921" s="33">
        <f>ROUND((N921*Assumptions!N$13)+GM!N921,-2)</f>
        <v>24100</v>
      </c>
      <c r="P921" s="33">
        <f>ROUND((O921*Assumptions!O$13)+GM!O921,-2)</f>
        <v>24700</v>
      </c>
      <c r="Q921" s="33">
        <f>ROUND((P921*Assumptions!P$13)+GM!P921,-2)</f>
        <v>25300</v>
      </c>
      <c r="R921" s="114">
        <f>ROUND((Q921*Assumptions!Q$13)+GM!Q921,-2)</f>
        <v>25900</v>
      </c>
    </row>
    <row r="922" spans="1:18" x14ac:dyDescent="0.2">
      <c r="A922" s="107">
        <v>125000</v>
      </c>
      <c r="B922" s="33">
        <v>800000</v>
      </c>
      <c r="C922" s="33">
        <v>825000</v>
      </c>
      <c r="D922" s="99">
        <v>625000</v>
      </c>
      <c r="E922" s="1100" t="s">
        <v>3201</v>
      </c>
      <c r="F922" s="953" t="s">
        <v>4646</v>
      </c>
      <c r="G922" s="33">
        <v>25000</v>
      </c>
      <c r="H922" s="138">
        <f t="shared" si="788"/>
        <v>-96</v>
      </c>
      <c r="I922" s="33">
        <v>0</v>
      </c>
      <c r="J922" s="33">
        <f>ROUND((I922*Assumptions!I$13)+GM!I922,-2)</f>
        <v>0</v>
      </c>
      <c r="K922" s="33">
        <f>ROUND((J922*Assumptions!J$13)+GM!J922,-2)</f>
        <v>0</v>
      </c>
      <c r="L922" s="33">
        <f>ROUND((K922*Assumptions!K$13)+GM!K922,-2)</f>
        <v>0</v>
      </c>
      <c r="M922" s="33">
        <f>ROUND((L922*Assumptions!L$13)+GM!L922,-2)</f>
        <v>0</v>
      </c>
      <c r="N922" s="33">
        <f>ROUND((M922*Assumptions!M$13)+GM!M922,-2)</f>
        <v>0</v>
      </c>
      <c r="O922" s="33">
        <f>ROUND((N922*Assumptions!N$13)+GM!N922,-2)</f>
        <v>0</v>
      </c>
      <c r="P922" s="33">
        <f>ROUND((O922*Assumptions!O$13)+GM!O922,-2)</f>
        <v>0</v>
      </c>
      <c r="Q922" s="33">
        <f>ROUND((P922*Assumptions!P$13)+GM!P922,-2)</f>
        <v>0</v>
      </c>
      <c r="R922" s="114">
        <f>ROUND((Q922*Assumptions!Q$13)+GM!Q922,-2)</f>
        <v>0</v>
      </c>
    </row>
    <row r="923" spans="1:18" x14ac:dyDescent="0.2">
      <c r="A923" s="107">
        <v>100000</v>
      </c>
      <c r="B923" s="33">
        <v>575000</v>
      </c>
      <c r="C923" s="33">
        <v>500000</v>
      </c>
      <c r="D923" s="99">
        <v>400000</v>
      </c>
      <c r="E923" s="1100" t="s">
        <v>3202</v>
      </c>
      <c r="F923" s="953" t="s">
        <v>4645</v>
      </c>
      <c r="G923" s="33">
        <f>1475000-50000</f>
        <v>1425000</v>
      </c>
      <c r="H923" s="138">
        <f t="shared" si="788"/>
        <v>256.25</v>
      </c>
      <c r="I923" s="33">
        <v>0</v>
      </c>
      <c r="J923" s="33">
        <f>ROUND((I923*Assumptions!I$13)+GM!I923,-2)</f>
        <v>0</v>
      </c>
      <c r="K923" s="33">
        <f>ROUND((J923*Assumptions!J$13)+GM!J923,-2)</f>
        <v>0</v>
      </c>
      <c r="L923" s="33">
        <f>ROUND((K923*Assumptions!K$13)+GM!K923,-2)</f>
        <v>0</v>
      </c>
      <c r="M923" s="33">
        <f>ROUND((L923*Assumptions!L$13)+GM!L923,-2)</f>
        <v>0</v>
      </c>
      <c r="N923" s="33">
        <f>ROUND((M923*Assumptions!M$13)+GM!M923,-2)</f>
        <v>0</v>
      </c>
      <c r="O923" s="33">
        <f>ROUND((N923*Assumptions!N$13)+GM!N923,-2)</f>
        <v>0</v>
      </c>
      <c r="P923" s="33">
        <f>ROUND((O923*Assumptions!O$13)+GM!O923,-2)</f>
        <v>0</v>
      </c>
      <c r="Q923" s="33">
        <f>ROUND((P923*Assumptions!P$13)+GM!P923,-2)</f>
        <v>0</v>
      </c>
      <c r="R923" s="114">
        <f>ROUND((Q923*Assumptions!Q$13)+GM!Q923,-2)</f>
        <v>0</v>
      </c>
    </row>
    <row r="924" spans="1:18" x14ac:dyDescent="0.2">
      <c r="A924" s="107">
        <v>0</v>
      </c>
      <c r="B924" s="33">
        <v>0</v>
      </c>
      <c r="C924" s="33">
        <v>83300</v>
      </c>
      <c r="D924" s="99">
        <v>27500</v>
      </c>
      <c r="E924" s="1100" t="s">
        <v>4852</v>
      </c>
      <c r="F924" s="953" t="s">
        <v>4853</v>
      </c>
      <c r="G924" s="33">
        <v>0</v>
      </c>
      <c r="H924" s="138">
        <f t="shared" si="788"/>
        <v>-100</v>
      </c>
      <c r="I924" s="33">
        <f>ROUND((G924*Assumptions!H$13)+GM!G924,-2)</f>
        <v>0</v>
      </c>
      <c r="J924" s="33">
        <f>ROUND((I924*Assumptions!I$13)+GM!I924,-2)</f>
        <v>0</v>
      </c>
      <c r="K924" s="33">
        <f>ROUND((J924*Assumptions!J$13)+GM!J924,-2)</f>
        <v>0</v>
      </c>
      <c r="L924" s="33">
        <f>ROUND((K924*Assumptions!K$13)+GM!K924,-2)</f>
        <v>0</v>
      </c>
      <c r="M924" s="33">
        <f>ROUND((L924*Assumptions!L$13)+GM!L924,-2)</f>
        <v>0</v>
      </c>
      <c r="N924" s="33">
        <f>ROUND((M924*Assumptions!M$13)+GM!M924,-2)</f>
        <v>0</v>
      </c>
      <c r="O924" s="33">
        <f>ROUND((N924*Assumptions!N$13)+GM!N924,-2)</f>
        <v>0</v>
      </c>
      <c r="P924" s="33">
        <f>ROUND((O924*Assumptions!O$13)+GM!O924,-2)</f>
        <v>0</v>
      </c>
      <c r="Q924" s="33">
        <f>ROUND((P924*Assumptions!P$13)+GM!P924,-2)</f>
        <v>0</v>
      </c>
      <c r="R924" s="114">
        <f>ROUND((Q924*Assumptions!Q$13)+GM!Q924,-2)</f>
        <v>0</v>
      </c>
    </row>
    <row r="925" spans="1:18" x14ac:dyDescent="0.2">
      <c r="A925" s="107"/>
      <c r="B925" s="33"/>
      <c r="C925" s="33"/>
      <c r="D925" s="76"/>
      <c r="E925" s="240"/>
      <c r="F925" s="528"/>
      <c r="G925" s="33"/>
      <c r="H925" s="138"/>
      <c r="I925" s="33"/>
      <c r="J925" s="33"/>
      <c r="K925" s="33"/>
      <c r="L925" s="33"/>
      <c r="M925" s="33"/>
      <c r="N925" s="33"/>
      <c r="O925" s="33"/>
      <c r="P925" s="33"/>
      <c r="Q925" s="33"/>
      <c r="R925" s="114"/>
    </row>
    <row r="926" spans="1:18" x14ac:dyDescent="0.2">
      <c r="A926" s="107"/>
      <c r="B926" s="33"/>
      <c r="C926" s="33"/>
      <c r="D926" s="76"/>
      <c r="E926" s="343"/>
      <c r="F926" s="446" t="s">
        <v>2040</v>
      </c>
      <c r="G926" s="33"/>
      <c r="H926" s="138"/>
      <c r="I926" s="33"/>
      <c r="J926" s="33"/>
      <c r="K926" s="33"/>
      <c r="L926" s="33"/>
      <c r="M926" s="33"/>
      <c r="N926" s="33"/>
      <c r="O926" s="33"/>
      <c r="P926" s="33"/>
      <c r="Q926" s="33"/>
      <c r="R926" s="114"/>
    </row>
    <row r="927" spans="1:18" x14ac:dyDescent="0.2">
      <c r="A927" s="107">
        <v>700</v>
      </c>
      <c r="B927" s="33">
        <v>3300</v>
      </c>
      <c r="C927" s="33">
        <v>8700</v>
      </c>
      <c r="D927" s="99">
        <v>16400</v>
      </c>
      <c r="E927" s="240" t="s">
        <v>1851</v>
      </c>
      <c r="F927" s="953" t="s">
        <v>4815</v>
      </c>
      <c r="G927" s="33">
        <v>28600</v>
      </c>
      <c r="H927" s="138">
        <f t="shared" ref="H927:H934" si="789">IF(D927=G927,0,IF(D927=0,100,(G927-D927)/D927*100))</f>
        <v>74.390243902439025</v>
      </c>
      <c r="I927" s="33">
        <f>ROUNDUP(G927+(G927*Assumptions!H$5),-2)</f>
        <v>29100</v>
      </c>
      <c r="J927" s="33">
        <f>ROUNDUP(I927+(I927*Assumptions!I$5),-2)</f>
        <v>29900</v>
      </c>
      <c r="K927" s="33">
        <f>ROUNDUP(J927+(J927*Assumptions!J$5),-2)</f>
        <v>30700</v>
      </c>
      <c r="L927" s="33">
        <f>ROUNDUP(K927+(K927*Assumptions!K$5),-2)</f>
        <v>31500</v>
      </c>
      <c r="M927" s="33">
        <f>ROUNDUP(L927+(L927*Assumptions!L$5),-2)</f>
        <v>32200</v>
      </c>
      <c r="N927" s="33">
        <v>0</v>
      </c>
      <c r="O927" s="33">
        <f>ROUNDUP(N927+(N927*Assumptions!N$5),-2)</f>
        <v>0</v>
      </c>
      <c r="P927" s="33">
        <f>ROUNDUP(O927+(O927*Assumptions!O$5),-2)</f>
        <v>0</v>
      </c>
      <c r="Q927" s="33">
        <f>ROUNDUP(P927+(P927*Assumptions!P$5),-2)</f>
        <v>0</v>
      </c>
      <c r="R927" s="114">
        <f>ROUNDUP(Q927+(Q927*Assumptions!Q$5),-2)</f>
        <v>0</v>
      </c>
    </row>
    <row r="928" spans="1:18" x14ac:dyDescent="0.2">
      <c r="A928" s="107">
        <v>13200</v>
      </c>
      <c r="B928" s="33">
        <v>7000</v>
      </c>
      <c r="C928" s="33">
        <v>7700</v>
      </c>
      <c r="D928" s="99">
        <v>11900</v>
      </c>
      <c r="E928" s="1100" t="s">
        <v>3033</v>
      </c>
      <c r="F928" s="953" t="s">
        <v>3032</v>
      </c>
      <c r="G928" s="33">
        <v>16400</v>
      </c>
      <c r="H928" s="138">
        <f t="shared" si="789"/>
        <v>37.815126050420169</v>
      </c>
      <c r="I928" s="33">
        <f>ROUNDUP(G928+(G928*Assumptions!H$5),-2)</f>
        <v>16700</v>
      </c>
      <c r="J928" s="33">
        <f>ROUNDUP(I928+(I928*Assumptions!I$5),-2)</f>
        <v>17200</v>
      </c>
      <c r="K928" s="33">
        <f>ROUNDUP(J928+(J928*Assumptions!J$5),-2)</f>
        <v>17700</v>
      </c>
      <c r="L928" s="33">
        <f>ROUNDUP(K928+(K928*Assumptions!K$5),-2)</f>
        <v>18200</v>
      </c>
      <c r="M928" s="33">
        <f>ROUNDUP(L928+(L928*Assumptions!L$5),-2)</f>
        <v>18600</v>
      </c>
      <c r="N928" s="33">
        <v>0</v>
      </c>
      <c r="O928" s="33">
        <f>ROUNDUP(N928+(N928*Assumptions!N$5),-2)</f>
        <v>0</v>
      </c>
      <c r="P928" s="33">
        <f>ROUNDUP(O928+(O928*Assumptions!O$5),-2)</f>
        <v>0</v>
      </c>
      <c r="Q928" s="33">
        <f>ROUNDUP(P928+(P928*Assumptions!P$5),-2)</f>
        <v>0</v>
      </c>
      <c r="R928" s="114">
        <f>ROUNDUP(Q928+(Q928*Assumptions!Q$5),-2)</f>
        <v>0</v>
      </c>
    </row>
    <row r="929" spans="1:18" x14ac:dyDescent="0.2">
      <c r="A929" s="107">
        <v>15200</v>
      </c>
      <c r="B929" s="33">
        <v>4100</v>
      </c>
      <c r="C929" s="33">
        <v>0</v>
      </c>
      <c r="D929" s="99">
        <v>15300</v>
      </c>
      <c r="E929" s="240" t="s">
        <v>1852</v>
      </c>
      <c r="F929" s="528" t="s">
        <v>2132</v>
      </c>
      <c r="G929" s="33">
        <v>5300</v>
      </c>
      <c r="H929" s="138">
        <f t="shared" si="789"/>
        <v>-65.359477124183002</v>
      </c>
      <c r="I929" s="33">
        <f>ROUNDUP(G929+(G929*Assumptions!H$5),-2)</f>
        <v>5400</v>
      </c>
      <c r="J929" s="33">
        <f>ROUNDUP(I929+(I929*Assumptions!I$5),-2)</f>
        <v>5600</v>
      </c>
      <c r="K929" s="33">
        <f>ROUNDUP(J929+(J929*Assumptions!J$5),-2)</f>
        <v>5800</v>
      </c>
      <c r="L929" s="33">
        <f>ROUNDUP(K929+(K929*Assumptions!K$5),-2)</f>
        <v>6000</v>
      </c>
      <c r="M929" s="33">
        <f>ROUNDUP(L929+(L929*Assumptions!L$5),-2)</f>
        <v>6200</v>
      </c>
      <c r="N929" s="33">
        <f>ROUNDUP(M929+(M929*Assumptions!M$5),-2)</f>
        <v>6400</v>
      </c>
      <c r="O929" s="33">
        <f>ROUNDUP(N929+(N929*Assumptions!N$5),-2)</f>
        <v>6600</v>
      </c>
      <c r="P929" s="33">
        <f>ROUNDUP(O929+(O929*Assumptions!O$5),-2)</f>
        <v>6800</v>
      </c>
      <c r="Q929" s="33">
        <f>ROUNDUP(P929+(P929*Assumptions!P$5),-2)</f>
        <v>7000</v>
      </c>
      <c r="R929" s="114">
        <f>ROUNDUP(Q929+(Q929*Assumptions!Q$5),-2)</f>
        <v>7200</v>
      </c>
    </row>
    <row r="930" spans="1:18" x14ac:dyDescent="0.2">
      <c r="A930" s="107">
        <v>51900</v>
      </c>
      <c r="B930" s="33">
        <v>47800</v>
      </c>
      <c r="C930" s="33">
        <v>41000</v>
      </c>
      <c r="D930" s="99">
        <v>39200</v>
      </c>
      <c r="E930" s="240" t="s">
        <v>1859</v>
      </c>
      <c r="F930" s="528" t="s">
        <v>2133</v>
      </c>
      <c r="G930" s="33">
        <v>56000</v>
      </c>
      <c r="H930" s="138">
        <f t="shared" si="789"/>
        <v>42.857142857142854</v>
      </c>
      <c r="I930" s="33">
        <f>ROUNDUP(G930+(G930*Assumptions!H$5),-2)</f>
        <v>56900</v>
      </c>
      <c r="J930" s="33">
        <f>ROUNDUP(I930+(I930*Assumptions!I$5),-2)</f>
        <v>58400</v>
      </c>
      <c r="K930" s="33">
        <f>ROUNDUP(J930+(J930*Assumptions!J$5),-2)</f>
        <v>59900</v>
      </c>
      <c r="L930" s="33">
        <f>ROUNDUP(K930+(K930*Assumptions!K$5),-2)</f>
        <v>61400</v>
      </c>
      <c r="M930" s="33">
        <f>ROUNDUP(L930+(L930*Assumptions!L$5),-2)</f>
        <v>62700</v>
      </c>
      <c r="N930" s="33">
        <f>ROUNDUP(M930+(M930*Assumptions!M$5),-2)</f>
        <v>64000</v>
      </c>
      <c r="O930" s="33">
        <f>ROUNDUP(N930+(N930*Assumptions!N$5),-2)</f>
        <v>65300</v>
      </c>
      <c r="P930" s="33">
        <f>ROUNDUP(O930+(O930*Assumptions!O$5),-2)</f>
        <v>66700</v>
      </c>
      <c r="Q930" s="33">
        <f>ROUNDUP(P930+(P930*Assumptions!P$5),-2)</f>
        <v>68100</v>
      </c>
      <c r="R930" s="114">
        <f>ROUNDUP(Q930+(Q930*Assumptions!Q$5),-2)</f>
        <v>69500</v>
      </c>
    </row>
    <row r="931" spans="1:18" x14ac:dyDescent="0.2">
      <c r="A931" s="107">
        <v>0</v>
      </c>
      <c r="B931" s="33">
        <v>0</v>
      </c>
      <c r="C931" s="33">
        <v>0</v>
      </c>
      <c r="D931" s="99">
        <v>4300</v>
      </c>
      <c r="E931" s="1100" t="s">
        <v>5596</v>
      </c>
      <c r="F931" s="953" t="s">
        <v>5597</v>
      </c>
      <c r="G931" s="33">
        <v>10000</v>
      </c>
      <c r="H931" s="138">
        <f t="shared" si="789"/>
        <v>132.55813953488371</v>
      </c>
      <c r="I931" s="33">
        <v>10000</v>
      </c>
      <c r="J931" s="33">
        <v>10000</v>
      </c>
      <c r="K931" s="33">
        <v>10000</v>
      </c>
      <c r="L931" s="33">
        <v>10000</v>
      </c>
      <c r="M931" s="33">
        <v>10000</v>
      </c>
      <c r="N931" s="33">
        <v>10000</v>
      </c>
      <c r="O931" s="33">
        <v>10000</v>
      </c>
      <c r="P931" s="33">
        <v>10000</v>
      </c>
      <c r="Q931" s="33">
        <v>10000</v>
      </c>
      <c r="R931" s="114">
        <v>10000</v>
      </c>
    </row>
    <row r="932" spans="1:18" x14ac:dyDescent="0.2">
      <c r="A932" s="107">
        <v>48100</v>
      </c>
      <c r="B932" s="33">
        <v>7300</v>
      </c>
      <c r="C932" s="33">
        <v>56900</v>
      </c>
      <c r="D932" s="99">
        <v>91900</v>
      </c>
      <c r="E932" s="240" t="s">
        <v>111</v>
      </c>
      <c r="F932" s="528" t="s">
        <v>1086</v>
      </c>
      <c r="G932" s="33">
        <f>100000+108000</f>
        <v>208000</v>
      </c>
      <c r="H932" s="138">
        <f t="shared" si="789"/>
        <v>126.33297062023938</v>
      </c>
      <c r="I932" s="33">
        <v>0</v>
      </c>
      <c r="J932" s="33">
        <v>0</v>
      </c>
      <c r="K932" s="33">
        <v>0</v>
      </c>
      <c r="L932" s="33">
        <v>0</v>
      </c>
      <c r="M932" s="33">
        <v>0</v>
      </c>
      <c r="N932" s="33">
        <v>0</v>
      </c>
      <c r="O932" s="33">
        <v>0</v>
      </c>
      <c r="P932" s="33">
        <v>0</v>
      </c>
      <c r="Q932" s="33">
        <v>0</v>
      </c>
      <c r="R932" s="114">
        <v>0</v>
      </c>
    </row>
    <row r="933" spans="1:18" x14ac:dyDescent="0.2">
      <c r="A933" s="107">
        <v>0</v>
      </c>
      <c r="B933" s="33">
        <v>0</v>
      </c>
      <c r="C933" s="33">
        <v>0</v>
      </c>
      <c r="D933" s="99">
        <v>0</v>
      </c>
      <c r="E933" s="240" t="s">
        <v>1860</v>
      </c>
      <c r="F933" s="528" t="s">
        <v>604</v>
      </c>
      <c r="G933" s="33">
        <v>11300</v>
      </c>
      <c r="H933" s="138">
        <f t="shared" si="789"/>
        <v>100</v>
      </c>
      <c r="I933" s="33">
        <f>ROUNDUP(G933+(G933*Assumptions!H$5),-2)</f>
        <v>11500</v>
      </c>
      <c r="J933" s="33">
        <f>ROUNDUP(I933+(I933*Assumptions!I$5),-2)</f>
        <v>11800</v>
      </c>
      <c r="K933" s="33">
        <f>ROUNDUP(J933+(J933*Assumptions!J$5),-2)</f>
        <v>12100</v>
      </c>
      <c r="L933" s="33">
        <f>ROUNDUP(K933+(K933*Assumptions!K$5),-2)</f>
        <v>12500</v>
      </c>
      <c r="M933" s="33">
        <f>ROUNDUP(L933+(L933*Assumptions!L$5),-2)</f>
        <v>12800</v>
      </c>
      <c r="N933" s="33">
        <f>ROUNDUP(M933+(M933*Assumptions!M$5),-2)</f>
        <v>13100</v>
      </c>
      <c r="O933" s="33">
        <f>ROUNDUP(N933+(N933*Assumptions!N$5),-2)</f>
        <v>13400</v>
      </c>
      <c r="P933" s="33">
        <f>ROUNDUP(O933+(O933*Assumptions!O$5),-2)</f>
        <v>13700</v>
      </c>
      <c r="Q933" s="33">
        <f>ROUNDUP(P933+(P933*Assumptions!P$5),-2)</f>
        <v>14000</v>
      </c>
      <c r="R933" s="114">
        <f>ROUNDUP(Q933+(Q933*Assumptions!Q$5),-2)</f>
        <v>14300</v>
      </c>
    </row>
    <row r="934" spans="1:18" x14ac:dyDescent="0.2">
      <c r="A934" s="107">
        <v>11500</v>
      </c>
      <c r="B934" s="33">
        <v>8500</v>
      </c>
      <c r="C934" s="33">
        <v>9000</v>
      </c>
      <c r="D934" s="76">
        <v>9800</v>
      </c>
      <c r="E934" s="240" t="s">
        <v>1861</v>
      </c>
      <c r="F934" s="528" t="s">
        <v>2039</v>
      </c>
      <c r="G934" s="33">
        <v>14300</v>
      </c>
      <c r="H934" s="138">
        <f t="shared" si="789"/>
        <v>45.91836734693878</v>
      </c>
      <c r="I934" s="33">
        <f>ROUNDUP(G934+(G934*Assumptions!H$5),-2)</f>
        <v>14600</v>
      </c>
      <c r="J934" s="33">
        <f>ROUNDUP(I934+(I934*Assumptions!I$5),-2)</f>
        <v>15000</v>
      </c>
      <c r="K934" s="33">
        <f>ROUNDUP(J934+(J934*Assumptions!J$5),-2)</f>
        <v>15400</v>
      </c>
      <c r="L934" s="33">
        <f>ROUNDUP(K934+(K934*Assumptions!K$5),-2)</f>
        <v>15800</v>
      </c>
      <c r="M934" s="33">
        <f>ROUNDUP(L934+(L934*Assumptions!L$5),-2)</f>
        <v>16200</v>
      </c>
      <c r="N934" s="33">
        <f>ROUNDUP(M934+(M934*Assumptions!M$5),-2)</f>
        <v>16600</v>
      </c>
      <c r="O934" s="33">
        <f>ROUNDUP(N934+(N934*Assumptions!N$5),-2)</f>
        <v>17000</v>
      </c>
      <c r="P934" s="33">
        <f>ROUNDUP(O934+(O934*Assumptions!O$5),-2)</f>
        <v>17400</v>
      </c>
      <c r="Q934" s="33">
        <f>ROUNDUP(P934+(P934*Assumptions!P$5),-2)</f>
        <v>17800</v>
      </c>
      <c r="R934" s="114">
        <f>ROUNDUP(Q934+(Q934*Assumptions!Q$5),-2)</f>
        <v>18200</v>
      </c>
    </row>
    <row r="935" spans="1:18" x14ac:dyDescent="0.2">
      <c r="A935" s="107"/>
      <c r="B935" s="33"/>
      <c r="C935" s="33"/>
      <c r="E935" s="240"/>
      <c r="F935" s="528"/>
      <c r="G935" s="33"/>
      <c r="H935" s="138"/>
      <c r="I935" s="33"/>
      <c r="J935" s="33"/>
      <c r="K935" s="33"/>
      <c r="L935" s="33"/>
      <c r="M935" s="33"/>
      <c r="N935" s="33"/>
      <c r="O935" s="33"/>
      <c r="P935" s="33"/>
      <c r="Q935" s="33"/>
      <c r="R935" s="114"/>
    </row>
    <row r="936" spans="1:18" x14ac:dyDescent="0.2">
      <c r="A936" s="107"/>
      <c r="B936" s="33"/>
      <c r="C936" s="33"/>
      <c r="E936" s="240"/>
      <c r="F936" s="1447" t="s">
        <v>5356</v>
      </c>
      <c r="G936" s="33"/>
      <c r="H936" s="138"/>
      <c r="I936" s="33"/>
      <c r="J936" s="33"/>
      <c r="K936" s="33"/>
      <c r="L936" s="33"/>
      <c r="M936" s="33"/>
      <c r="N936" s="33"/>
      <c r="O936" s="33"/>
      <c r="P936" s="33"/>
      <c r="Q936" s="33"/>
      <c r="R936" s="114"/>
    </row>
    <row r="937" spans="1:18" x14ac:dyDescent="0.2">
      <c r="A937" s="107">
        <f>-4000-97900-62800</f>
        <v>-164700</v>
      </c>
      <c r="B937" s="33">
        <f>-160400+80200-209700</f>
        <v>-289900</v>
      </c>
      <c r="C937" s="33">
        <f>-110200+63800-679300</f>
        <v>-725700</v>
      </c>
      <c r="D937" s="76">
        <f>-198500+565900-47600</f>
        <v>319800</v>
      </c>
      <c r="E937" s="1100" t="s">
        <v>5357</v>
      </c>
      <c r="F937" s="953" t="s">
        <v>5355</v>
      </c>
      <c r="G937" s="33">
        <v>0</v>
      </c>
      <c r="H937" s="138">
        <f>IF(D937=G937,0,IF(D937=0,100,(G937-D937)/D937*100))</f>
        <v>-100</v>
      </c>
      <c r="I937" s="33">
        <f>ROUNDUP(G937+(G937*Assumptions!H$5),-2)</f>
        <v>0</v>
      </c>
      <c r="J937" s="33">
        <f>ROUNDUP(I937+(I937*Assumptions!I$5),-2)</f>
        <v>0</v>
      </c>
      <c r="K937" s="33">
        <f>ROUNDUP(J937+(J937*Assumptions!J$5),-2)</f>
        <v>0</v>
      </c>
      <c r="L937" s="33">
        <f>ROUNDUP(K937+(K937*Assumptions!K$5),-2)</f>
        <v>0</v>
      </c>
      <c r="M937" s="33">
        <f>ROUNDUP(L937+(L937*Assumptions!L$5),-2)</f>
        <v>0</v>
      </c>
      <c r="N937" s="33">
        <f>ROUNDUP(M937+(M937*Assumptions!M$5),-2)</f>
        <v>0</v>
      </c>
      <c r="O937" s="33">
        <f>ROUNDUP(N937+(N937*Assumptions!N$5),-2)</f>
        <v>0</v>
      </c>
      <c r="P937" s="33">
        <f>ROUNDUP(O937+(O937*Assumptions!O$5),-2)</f>
        <v>0</v>
      </c>
      <c r="Q937" s="33">
        <f>ROUNDUP(P937+(P937*Assumptions!P$5),-2)</f>
        <v>0</v>
      </c>
      <c r="R937" s="114">
        <f>ROUNDUP(Q937+(Q937*Assumptions!Q$5),-2)</f>
        <v>0</v>
      </c>
    </row>
    <row r="938" spans="1:18" x14ac:dyDescent="0.2">
      <c r="A938" s="107"/>
      <c r="B938" s="33"/>
      <c r="C938" s="33"/>
      <c r="E938" s="240"/>
      <c r="F938" s="718" t="s">
        <v>1031</v>
      </c>
      <c r="G938" s="33"/>
      <c r="H938" s="138"/>
      <c r="I938" s="33"/>
      <c r="J938" s="33"/>
      <c r="K938" s="33"/>
      <c r="L938" s="33"/>
      <c r="M938" s="33"/>
      <c r="N938" s="33"/>
      <c r="O938" s="33"/>
      <c r="P938" s="33"/>
      <c r="Q938" s="33"/>
      <c r="R938" s="114"/>
    </row>
    <row r="939" spans="1:18" ht="13.5" thickBot="1" x14ac:dyDescent="0.25">
      <c r="A939" s="171"/>
      <c r="B939" s="66"/>
      <c r="C939" s="66"/>
      <c r="D939" s="174"/>
      <c r="E939" s="241"/>
      <c r="F939" s="2795"/>
      <c r="G939" s="66"/>
      <c r="H939" s="140"/>
      <c r="I939" s="66"/>
      <c r="J939" s="66"/>
      <c r="K939" s="66"/>
      <c r="L939" s="66"/>
      <c r="M939" s="66"/>
      <c r="N939" s="66"/>
      <c r="O939" s="66"/>
      <c r="P939" s="66"/>
      <c r="Q939" s="66"/>
      <c r="R939" s="165"/>
    </row>
    <row r="940" spans="1:18" s="91" customFormat="1" ht="18.75" customHeight="1" thickTop="1" thickBot="1" x14ac:dyDescent="0.3">
      <c r="A940" s="2862" t="s">
        <v>2794</v>
      </c>
      <c r="B940" s="2863"/>
      <c r="C940" s="2863"/>
      <c r="D940" s="2863"/>
      <c r="E940" s="2863"/>
      <c r="F940" s="2863"/>
      <c r="G940" s="2863"/>
      <c r="H940" s="2863"/>
      <c r="I940" s="2863"/>
      <c r="J940" s="2863"/>
      <c r="K940" s="2863"/>
      <c r="L940" s="2863"/>
      <c r="M940" s="2863"/>
      <c r="N940" s="2863"/>
      <c r="O940" s="2863"/>
      <c r="P940" s="2863"/>
      <c r="Q940" s="2863"/>
      <c r="R940" s="2864"/>
    </row>
    <row r="941" spans="1:18" s="44" customFormat="1" x14ac:dyDescent="0.2">
      <c r="A941" s="2894" t="s">
        <v>1856</v>
      </c>
      <c r="B941" s="2895"/>
      <c r="C941" s="2895"/>
      <c r="D941" s="2896"/>
      <c r="E941" s="205" t="s">
        <v>2663</v>
      </c>
      <c r="F941" s="2544" t="s">
        <v>2251</v>
      </c>
      <c r="G941" s="2885" t="s">
        <v>2253</v>
      </c>
      <c r="H941" s="2886"/>
      <c r="I941" s="2886"/>
      <c r="J941" s="2886"/>
      <c r="K941" s="2886"/>
      <c r="L941" s="2886"/>
      <c r="M941" s="2886"/>
      <c r="N941" s="2886"/>
      <c r="O941" s="2886"/>
      <c r="P941" s="2886"/>
      <c r="Q941" s="2886"/>
      <c r="R941" s="2887"/>
    </row>
    <row r="942" spans="1:18" s="23" customFormat="1" ht="13.5" customHeight="1" thickBot="1" x14ac:dyDescent="0.25">
      <c r="A942" s="743" t="str">
        <f>A873</f>
        <v>2012/13</v>
      </c>
      <c r="B942" s="75" t="str">
        <f>B873</f>
        <v>2013/14</v>
      </c>
      <c r="C942" s="93" t="str">
        <f>C873</f>
        <v>2014/15</v>
      </c>
      <c r="D942" s="93" t="str">
        <f>D873</f>
        <v>2015/16</v>
      </c>
      <c r="E942" s="93" t="s">
        <v>2664</v>
      </c>
      <c r="F942" s="94"/>
      <c r="G942" s="93" t="str">
        <f t="shared" ref="G942:Q942" si="790">G873</f>
        <v>2016/17</v>
      </c>
      <c r="H942" s="2193" t="str">
        <f t="shared" si="790"/>
        <v>%</v>
      </c>
      <c r="I942" s="93" t="str">
        <f t="shared" si="790"/>
        <v>2017/18</v>
      </c>
      <c r="J942" s="93" t="str">
        <f t="shared" si="790"/>
        <v>2018/19</v>
      </c>
      <c r="K942" s="93" t="str">
        <f t="shared" si="790"/>
        <v>2019/20</v>
      </c>
      <c r="L942" s="93" t="str">
        <f t="shared" si="790"/>
        <v>2020/21</v>
      </c>
      <c r="M942" s="93" t="str">
        <f t="shared" si="790"/>
        <v>2021/22</v>
      </c>
      <c r="N942" s="93" t="str">
        <f t="shared" si="790"/>
        <v>2022/23</v>
      </c>
      <c r="O942" s="93" t="str">
        <f t="shared" si="790"/>
        <v>2023/24</v>
      </c>
      <c r="P942" s="93" t="str">
        <f t="shared" si="790"/>
        <v>2024/25</v>
      </c>
      <c r="Q942" s="75" t="str">
        <f t="shared" si="790"/>
        <v>2025/26</v>
      </c>
      <c r="R942" s="2796" t="str">
        <f t="shared" ref="R942" si="791">R873</f>
        <v>2026/27</v>
      </c>
    </row>
    <row r="943" spans="1:18" x14ac:dyDescent="0.2">
      <c r="A943" s="107"/>
      <c r="B943" s="33"/>
      <c r="C943" s="33"/>
      <c r="D943" s="33"/>
      <c r="E943" s="1955"/>
      <c r="F943" s="365" t="s">
        <v>1832</v>
      </c>
      <c r="G943" s="33"/>
      <c r="H943" s="138"/>
      <c r="I943" s="33"/>
      <c r="J943" s="33"/>
      <c r="K943" s="33"/>
      <c r="L943" s="33"/>
      <c r="M943" s="33"/>
      <c r="N943" s="33"/>
      <c r="O943" s="33"/>
      <c r="P943" s="33"/>
      <c r="Q943" s="33"/>
      <c r="R943" s="114"/>
    </row>
    <row r="944" spans="1:18" x14ac:dyDescent="0.2">
      <c r="A944" s="107"/>
      <c r="B944" s="33"/>
      <c r="C944" s="33"/>
      <c r="E944" s="343"/>
      <c r="F944" s="600" t="s">
        <v>1812</v>
      </c>
      <c r="G944" s="33"/>
      <c r="H944" s="138"/>
      <c r="I944" s="33"/>
      <c r="J944" s="33"/>
      <c r="K944" s="33"/>
      <c r="L944" s="33"/>
      <c r="M944" s="33"/>
      <c r="N944" s="33"/>
      <c r="O944" s="33"/>
      <c r="P944" s="33"/>
      <c r="Q944" s="33"/>
      <c r="R944" s="114"/>
    </row>
    <row r="945" spans="1:18" x14ac:dyDescent="0.2">
      <c r="A945" s="107">
        <v>10100</v>
      </c>
      <c r="B945" s="33">
        <v>11300</v>
      </c>
      <c r="C945" s="33">
        <v>9300</v>
      </c>
      <c r="D945" s="99">
        <v>8400</v>
      </c>
      <c r="E945" s="240" t="s">
        <v>2505</v>
      </c>
      <c r="F945" s="554" t="s">
        <v>693</v>
      </c>
      <c r="G945" s="33">
        <v>13300</v>
      </c>
      <c r="H945" s="138">
        <f t="shared" ref="H945:H960" si="792">IF(D945=G945,0,IF(D945=0,100,(G945-D945)/D945*100))</f>
        <v>58.333333333333336</v>
      </c>
      <c r="I945" s="33">
        <f>ROUNDUP(G945+(G945*Assumptions!H$5),-2)</f>
        <v>13500</v>
      </c>
      <c r="J945" s="33">
        <f>ROUNDUP(I945+(I945*Assumptions!I$5),-2)</f>
        <v>13900</v>
      </c>
      <c r="K945" s="33">
        <f>ROUNDUP(J945+(J945*Assumptions!J$5),-2)</f>
        <v>14300</v>
      </c>
      <c r="L945" s="33">
        <f>ROUNDUP(K945+(K945*Assumptions!K$5),-2)</f>
        <v>14700</v>
      </c>
      <c r="M945" s="33">
        <f>ROUNDUP(L945+(L945*Assumptions!L$5),-2)</f>
        <v>15000</v>
      </c>
      <c r="N945" s="33">
        <f>ROUNDUP(M945+(M945*Assumptions!M$5),-2)</f>
        <v>15300</v>
      </c>
      <c r="O945" s="33">
        <f>ROUNDUP(N945+(N945*Assumptions!N$5),-2)</f>
        <v>15700</v>
      </c>
      <c r="P945" s="33">
        <f>ROUNDUP(O945+(O945*Assumptions!O$5),-2)</f>
        <v>16100</v>
      </c>
      <c r="Q945" s="33">
        <f>ROUNDUP(P945+(P945*Assumptions!P$5),-2)</f>
        <v>16500</v>
      </c>
      <c r="R945" s="114">
        <f>ROUNDUP(Q945+(Q945*Assumptions!Q$5),-2)</f>
        <v>16900</v>
      </c>
    </row>
    <row r="946" spans="1:18" x14ac:dyDescent="0.2">
      <c r="A946" s="107">
        <v>51600</v>
      </c>
      <c r="B946" s="33">
        <v>57500</v>
      </c>
      <c r="C946" s="33">
        <v>52600</v>
      </c>
      <c r="D946" s="99">
        <v>57900</v>
      </c>
      <c r="E946" s="240" t="s">
        <v>1863</v>
      </c>
      <c r="F946" s="554" t="s">
        <v>694</v>
      </c>
      <c r="G946" s="33">
        <v>61200</v>
      </c>
      <c r="H946" s="138">
        <f t="shared" si="792"/>
        <v>5.6994818652849739</v>
      </c>
      <c r="I946" s="33">
        <f>ROUNDUP(G946+(G946*Assumptions!H$5),-2)</f>
        <v>62200</v>
      </c>
      <c r="J946" s="33">
        <f>ROUNDUP(I946+(I946*Assumptions!I$5),-2)</f>
        <v>63800</v>
      </c>
      <c r="K946" s="33">
        <f>ROUNDUP(J946+(J946*Assumptions!J$5),-2)</f>
        <v>65400</v>
      </c>
      <c r="L946" s="33">
        <f>ROUNDUP(K946+(K946*Assumptions!K$5),-2)</f>
        <v>67100</v>
      </c>
      <c r="M946" s="33">
        <f>ROUNDUP(L946+(L946*Assumptions!L$5),-2)</f>
        <v>68500</v>
      </c>
      <c r="N946" s="33">
        <f>ROUNDUP(M946+(M946*Assumptions!M$5),-2)</f>
        <v>69900</v>
      </c>
      <c r="O946" s="33">
        <f>ROUNDUP(N946+(N946*Assumptions!N$5),-2)</f>
        <v>71300</v>
      </c>
      <c r="P946" s="33">
        <f>ROUNDUP(O946+(O946*Assumptions!O$5),-2)</f>
        <v>72800</v>
      </c>
      <c r="Q946" s="33">
        <f>ROUNDUP(P946+(P946*Assumptions!P$5),-2)</f>
        <v>74300</v>
      </c>
      <c r="R946" s="114">
        <f>ROUNDUP(Q946+(Q946*Assumptions!Q$5),-2)</f>
        <v>75800</v>
      </c>
    </row>
    <row r="947" spans="1:18" x14ac:dyDescent="0.2">
      <c r="A947" s="107">
        <v>31600</v>
      </c>
      <c r="B947" s="33">
        <v>30400</v>
      </c>
      <c r="C947" s="33">
        <v>29400</v>
      </c>
      <c r="D947" s="198">
        <v>33000</v>
      </c>
      <c r="E947" s="240" t="s">
        <v>1865</v>
      </c>
      <c r="F947" s="554" t="s">
        <v>680</v>
      </c>
      <c r="G947" s="33">
        <v>31700</v>
      </c>
      <c r="H947" s="138">
        <f t="shared" si="792"/>
        <v>-3.939393939393939</v>
      </c>
      <c r="I947" s="33">
        <f>ROUNDUP(G947+(G947*Assumptions!H$5),-2)</f>
        <v>32200</v>
      </c>
      <c r="J947" s="33">
        <f>ROUNDUP(I947+(I947*Assumptions!I$5),-2)</f>
        <v>33100</v>
      </c>
      <c r="K947" s="33">
        <f>ROUNDUP(J947+(J947*Assumptions!J$5),-2)</f>
        <v>34000</v>
      </c>
      <c r="L947" s="33">
        <f>ROUNDUP(K947+(K947*Assumptions!K$5),-2)</f>
        <v>34900</v>
      </c>
      <c r="M947" s="33">
        <f>ROUNDUP(L947+(L947*Assumptions!L$5),-2)</f>
        <v>35600</v>
      </c>
      <c r="N947" s="33">
        <f>ROUNDUP(M947+(M947*Assumptions!M$5),-2)</f>
        <v>36400</v>
      </c>
      <c r="O947" s="33">
        <f>ROUNDUP(N947+(N947*Assumptions!N$5),-2)</f>
        <v>37200</v>
      </c>
      <c r="P947" s="33">
        <f>ROUNDUP(O947+(O947*Assumptions!O$5),-2)</f>
        <v>38000</v>
      </c>
      <c r="Q947" s="33">
        <f>ROUNDUP(P947+(P947*Assumptions!P$5),-2)</f>
        <v>38800</v>
      </c>
      <c r="R947" s="114">
        <f>ROUNDUP(Q947+(Q947*Assumptions!Q$5),-2)</f>
        <v>39600</v>
      </c>
    </row>
    <row r="948" spans="1:18" x14ac:dyDescent="0.2">
      <c r="A948" s="107">
        <v>2300</v>
      </c>
      <c r="B948" s="33">
        <v>700</v>
      </c>
      <c r="C948" s="33">
        <v>1900</v>
      </c>
      <c r="D948" s="99">
        <v>1800</v>
      </c>
      <c r="E948" s="240" t="s">
        <v>1864</v>
      </c>
      <c r="F948" s="554" t="s">
        <v>1205</v>
      </c>
      <c r="G948" s="33">
        <v>2100</v>
      </c>
      <c r="H948" s="138">
        <f t="shared" si="792"/>
        <v>16.666666666666664</v>
      </c>
      <c r="I948" s="33">
        <f>ROUNDUP(G948+(G948*Assumptions!H$5),-2)</f>
        <v>2200</v>
      </c>
      <c r="J948" s="33">
        <f>ROUNDUP(I948+(I948*Assumptions!I$5),-2)</f>
        <v>2300</v>
      </c>
      <c r="K948" s="33">
        <f>ROUNDUP(J948+(J948*Assumptions!J$5),-2)</f>
        <v>2400</v>
      </c>
      <c r="L948" s="33">
        <f>ROUNDUP(K948+(K948*Assumptions!K$5),-2)</f>
        <v>2500</v>
      </c>
      <c r="M948" s="33">
        <f>ROUNDUP(L948+(L948*Assumptions!L$5),-2)</f>
        <v>2600</v>
      </c>
      <c r="N948" s="33">
        <f>ROUNDUP(M948+(M948*Assumptions!M$5),-2)</f>
        <v>2700</v>
      </c>
      <c r="O948" s="33">
        <f>ROUNDUP(N948+(N948*Assumptions!N$5),-2)</f>
        <v>2800</v>
      </c>
      <c r="P948" s="33">
        <f>ROUNDUP(O948+(O948*Assumptions!O$5),-2)</f>
        <v>2900</v>
      </c>
      <c r="Q948" s="33">
        <f>ROUNDUP(P948+(P948*Assumptions!P$5),-2)</f>
        <v>3000</v>
      </c>
      <c r="R948" s="114">
        <f>ROUNDUP(Q948+(Q948*Assumptions!Q$5),-2)</f>
        <v>3100</v>
      </c>
    </row>
    <row r="949" spans="1:18" x14ac:dyDescent="0.2">
      <c r="A949" s="107">
        <v>45800</v>
      </c>
      <c r="B949" s="33">
        <v>32000</v>
      </c>
      <c r="C949" s="33">
        <v>25300</v>
      </c>
      <c r="D949" s="99">
        <v>28200</v>
      </c>
      <c r="E949" s="240" t="s">
        <v>1862</v>
      </c>
      <c r="F949" s="952" t="s">
        <v>3776</v>
      </c>
      <c r="G949" s="33">
        <v>41900</v>
      </c>
      <c r="H949" s="138">
        <f t="shared" si="792"/>
        <v>48.581560283687942</v>
      </c>
      <c r="I949" s="33">
        <f>ROUNDUP(G949+(G949*Assumptions!H$5),-2)+100</f>
        <v>42700</v>
      </c>
      <c r="J949" s="33">
        <f>ROUNDUP(I949+(I949*Assumptions!I$5),-2)</f>
        <v>43800</v>
      </c>
      <c r="K949" s="33">
        <f>ROUNDUP(J949+(J949*Assumptions!J$5),-2)+100</f>
        <v>45000</v>
      </c>
      <c r="L949" s="33">
        <f>ROUNDUP(K949+(K949*Assumptions!K$5),-2)+100</f>
        <v>46300</v>
      </c>
      <c r="M949" s="33">
        <f>ROUNDUP(L949+(L949*Assumptions!L$5),-2)</f>
        <v>47300</v>
      </c>
      <c r="N949" s="33">
        <f>ROUNDUP(M949+(M949*Assumptions!M$5),-2)</f>
        <v>48300</v>
      </c>
      <c r="O949" s="33">
        <f>ROUNDUP(N949+(N949*Assumptions!N$5),-2)</f>
        <v>49300</v>
      </c>
      <c r="P949" s="33">
        <f>ROUNDUP(O949+(O949*Assumptions!O$5),-2)</f>
        <v>50300</v>
      </c>
      <c r="Q949" s="33">
        <f>ROUNDUP(P949+(P949*Assumptions!P$5),-2)</f>
        <v>51400</v>
      </c>
      <c r="R949" s="114">
        <f>ROUNDUP(Q949+(Q949*Assumptions!Q$5),-2)</f>
        <v>52500</v>
      </c>
    </row>
    <row r="950" spans="1:18" x14ac:dyDescent="0.2">
      <c r="A950" s="107">
        <v>6600</v>
      </c>
      <c r="B950" s="33">
        <v>8400</v>
      </c>
      <c r="C950" s="33">
        <v>4300</v>
      </c>
      <c r="D950" s="99">
        <v>6600</v>
      </c>
      <c r="E950" s="240" t="s">
        <v>2506</v>
      </c>
      <c r="F950" s="554" t="s">
        <v>2388</v>
      </c>
      <c r="G950" s="33">
        <v>10200</v>
      </c>
      <c r="H950" s="138">
        <f t="shared" si="792"/>
        <v>54.54545454545454</v>
      </c>
      <c r="I950" s="33">
        <f>ROUNDUP(G950+(G950*Assumptions!H$5),-2)</f>
        <v>10400</v>
      </c>
      <c r="J950" s="33">
        <f>ROUNDUP(I950+(I950*Assumptions!I$5),-2)</f>
        <v>10700</v>
      </c>
      <c r="K950" s="33">
        <f>ROUNDUP(J950+(J950*Assumptions!J$5),-2)</f>
        <v>11000</v>
      </c>
      <c r="L950" s="33">
        <f>ROUNDUP(K950+(K950*Assumptions!K$5),-2)</f>
        <v>11300</v>
      </c>
      <c r="M950" s="33">
        <f>ROUNDUP(L950+(L950*Assumptions!L$5),-2)</f>
        <v>11600</v>
      </c>
      <c r="N950" s="33">
        <f>ROUNDUP(M950+(M950*Assumptions!M$5),-2)</f>
        <v>11900</v>
      </c>
      <c r="O950" s="33">
        <f>ROUNDUP(N950+(N950*Assumptions!N$5),-2)</f>
        <v>12200</v>
      </c>
      <c r="P950" s="33">
        <f>ROUNDUP(O950+(O950*Assumptions!O$5),-2)</f>
        <v>12500</v>
      </c>
      <c r="Q950" s="33">
        <f>ROUNDUP(P950+(P950*Assumptions!P$5),-2)</f>
        <v>12800</v>
      </c>
      <c r="R950" s="114">
        <f>ROUNDUP(Q950+(Q950*Assumptions!Q$5),-2)</f>
        <v>13100</v>
      </c>
    </row>
    <row r="951" spans="1:18" x14ac:dyDescent="0.2">
      <c r="A951" s="107">
        <v>0</v>
      </c>
      <c r="B951" s="33">
        <v>0</v>
      </c>
      <c r="C951" s="33">
        <v>4600</v>
      </c>
      <c r="D951" s="99">
        <v>4900</v>
      </c>
      <c r="E951" s="1100" t="s">
        <v>4472</v>
      </c>
      <c r="F951" s="952" t="s">
        <v>4473</v>
      </c>
      <c r="G951" s="33">
        <v>0</v>
      </c>
      <c r="H951" s="138">
        <f t="shared" si="792"/>
        <v>-100</v>
      </c>
      <c r="I951" s="33">
        <f>ROUNDUP(G951+(G951*Assumptions!H$5),-2)</f>
        <v>0</v>
      </c>
      <c r="J951" s="33">
        <f>ROUNDUP(I951+(I951*Assumptions!I$5),-2)</f>
        <v>0</v>
      </c>
      <c r="K951" s="33">
        <f>ROUNDUP(J951+(J951*Assumptions!J$5),-2)</f>
        <v>0</v>
      </c>
      <c r="L951" s="33">
        <f>ROUNDUP(K951+(K951*Assumptions!K$5),-2)</f>
        <v>0</v>
      </c>
      <c r="M951" s="33">
        <f>ROUNDUP(L951+(L951*Assumptions!L$5),-2)</f>
        <v>0</v>
      </c>
      <c r="N951" s="33">
        <f>ROUNDUP(M951+(M951*Assumptions!M$5),-2)</f>
        <v>0</v>
      </c>
      <c r="O951" s="33">
        <f>ROUNDUP(N951+(N951*Assumptions!N$5),-2)</f>
        <v>0</v>
      </c>
      <c r="P951" s="33">
        <f>ROUNDUP(O951+(O951*Assumptions!O$5),-2)</f>
        <v>0</v>
      </c>
      <c r="Q951" s="33">
        <f>ROUNDUP(P951+(P951*Assumptions!P$5),-2)</f>
        <v>0</v>
      </c>
      <c r="R951" s="114">
        <f>ROUNDUP(Q951+(Q951*Assumptions!Q$5),-2)</f>
        <v>0</v>
      </c>
    </row>
    <row r="952" spans="1:18" x14ac:dyDescent="0.2">
      <c r="A952" s="107">
        <v>17700</v>
      </c>
      <c r="B952" s="33">
        <v>19800</v>
      </c>
      <c r="C952" s="33">
        <v>17200</v>
      </c>
      <c r="D952" s="99">
        <v>15800</v>
      </c>
      <c r="E952" s="240" t="s">
        <v>2509</v>
      </c>
      <c r="F952" s="554" t="s">
        <v>1872</v>
      </c>
      <c r="G952" s="33">
        <v>16400</v>
      </c>
      <c r="H952" s="138">
        <f t="shared" si="792"/>
        <v>3.79746835443038</v>
      </c>
      <c r="I952" s="33">
        <f>ROUNDUP(G952+(G952*Assumptions!H$5),-2)</f>
        <v>16700</v>
      </c>
      <c r="J952" s="33">
        <f>ROUNDUP(I952+(I952*Assumptions!I$5),-2)</f>
        <v>17200</v>
      </c>
      <c r="K952" s="33">
        <f>ROUNDUP(J952+(J952*Assumptions!J$5),-2)</f>
        <v>17700</v>
      </c>
      <c r="L952" s="33">
        <f>ROUNDUP(K952+(K952*Assumptions!K$5),-2)</f>
        <v>18200</v>
      </c>
      <c r="M952" s="33">
        <f>ROUNDUP(L952+(L952*Assumptions!L$5),-2)</f>
        <v>18600</v>
      </c>
      <c r="N952" s="33">
        <f>ROUNDUP(M952+(M952*Assumptions!M$5),-2)</f>
        <v>19000</v>
      </c>
      <c r="O952" s="33">
        <f>ROUNDUP(N952+(N952*Assumptions!N$5),-2)</f>
        <v>19400</v>
      </c>
      <c r="P952" s="33">
        <f>ROUNDUP(O952+(O952*Assumptions!O$5),-2)</f>
        <v>19800</v>
      </c>
      <c r="Q952" s="33">
        <f>ROUNDUP(P952+(P952*Assumptions!P$5),-2)</f>
        <v>20200</v>
      </c>
      <c r="R952" s="114">
        <f>ROUNDUP(Q952+(Q952*Assumptions!Q$5),-2)</f>
        <v>20700</v>
      </c>
    </row>
    <row r="953" spans="1:18" x14ac:dyDescent="0.2">
      <c r="A953" s="107">
        <v>9700</v>
      </c>
      <c r="B953" s="33">
        <v>10400</v>
      </c>
      <c r="C953" s="33">
        <v>11000</v>
      </c>
      <c r="D953" s="99">
        <v>11100</v>
      </c>
      <c r="E953" s="1100" t="s">
        <v>3015</v>
      </c>
      <c r="F953" s="554" t="s">
        <v>2408</v>
      </c>
      <c r="G953" s="33">
        <v>10800</v>
      </c>
      <c r="H953" s="138">
        <f t="shared" si="792"/>
        <v>-2.7027027027027026</v>
      </c>
      <c r="I953" s="33">
        <f>ROUNDUP(G953+(G953*Assumptions!H$5),-2)</f>
        <v>11000</v>
      </c>
      <c r="J953" s="33">
        <f>ROUNDUP(I953+(I953*Assumptions!I$5),-2)</f>
        <v>11300</v>
      </c>
      <c r="K953" s="33">
        <f>ROUNDUP(J953+(J953*Assumptions!J$5),-2)</f>
        <v>11600</v>
      </c>
      <c r="L953" s="33">
        <f>ROUNDUP(K953+(K953*Assumptions!K$5),-2)</f>
        <v>11900</v>
      </c>
      <c r="M953" s="33">
        <f>ROUNDUP(L953+(L953*Assumptions!L$5),-2)</f>
        <v>12200</v>
      </c>
      <c r="N953" s="33">
        <f>ROUNDUP(M953+(M953*Assumptions!M$5),-2)</f>
        <v>12500</v>
      </c>
      <c r="O953" s="33">
        <f>ROUNDUP(N953+(N953*Assumptions!N$5),-2)</f>
        <v>12800</v>
      </c>
      <c r="P953" s="33">
        <f>ROUNDUP(O953+(O953*Assumptions!O$5),-2)</f>
        <v>13100</v>
      </c>
      <c r="Q953" s="33">
        <f>ROUNDUP(P953+(P953*Assumptions!P$5),-2)</f>
        <v>13400</v>
      </c>
      <c r="R953" s="114">
        <f>ROUNDUP(Q953+(Q953*Assumptions!Q$5),-2)</f>
        <v>13700</v>
      </c>
    </row>
    <row r="954" spans="1:18" x14ac:dyDescent="0.2">
      <c r="A954" s="107">
        <v>10400</v>
      </c>
      <c r="B954" s="33">
        <v>9900</v>
      </c>
      <c r="C954" s="33">
        <v>11700</v>
      </c>
      <c r="D954" s="99">
        <v>30100</v>
      </c>
      <c r="E954" s="240" t="s">
        <v>2600</v>
      </c>
      <c r="F954" s="554" t="s">
        <v>2666</v>
      </c>
      <c r="G954" s="33">
        <v>10000</v>
      </c>
      <c r="H954" s="138">
        <f t="shared" si="792"/>
        <v>-66.777408637873762</v>
      </c>
      <c r="I954" s="33">
        <f>ROUNDUP(G954+(G954*Assumptions!H$5),-2)</f>
        <v>10200</v>
      </c>
      <c r="J954" s="33">
        <f>ROUNDUP(I954+(I954*Assumptions!I$5),-2)</f>
        <v>10500</v>
      </c>
      <c r="K954" s="33">
        <f>ROUNDUP(J954+(J954*Assumptions!J$5),-2)</f>
        <v>10800</v>
      </c>
      <c r="L954" s="33">
        <f>ROUNDUP(K954+(K954*Assumptions!K$5),-2)</f>
        <v>11100</v>
      </c>
      <c r="M954" s="33">
        <f>ROUNDUP(L954+(L954*Assumptions!L$5),-2)</f>
        <v>11400</v>
      </c>
      <c r="N954" s="33">
        <f>ROUNDUP(M954+(M954*Assumptions!M$5),-2)</f>
        <v>11700</v>
      </c>
      <c r="O954" s="33">
        <f>ROUNDUP(N954+(N954*Assumptions!N$5),-2)</f>
        <v>12000</v>
      </c>
      <c r="P954" s="33">
        <f>ROUNDUP(O954+(O954*Assumptions!O$5),-2)</f>
        <v>12300</v>
      </c>
      <c r="Q954" s="33">
        <f>ROUNDUP(P954+(P954*Assumptions!P$5),-2)</f>
        <v>12600</v>
      </c>
      <c r="R954" s="114">
        <f>ROUNDUP(Q954+(Q954*Assumptions!Q$5),-2)</f>
        <v>12900</v>
      </c>
    </row>
    <row r="955" spans="1:18" x14ac:dyDescent="0.2">
      <c r="A955" s="107">
        <v>23800</v>
      </c>
      <c r="B955" s="33">
        <v>6700</v>
      </c>
      <c r="C955" s="33">
        <v>6400</v>
      </c>
      <c r="D955" s="99">
        <v>12700</v>
      </c>
      <c r="E955" s="240" t="s">
        <v>2598</v>
      </c>
      <c r="F955" s="952" t="s">
        <v>3777</v>
      </c>
      <c r="G955" s="33">
        <v>10200</v>
      </c>
      <c r="H955" s="138">
        <f t="shared" si="792"/>
        <v>-19.685039370078741</v>
      </c>
      <c r="I955" s="33">
        <f>ROUNDUP(G955+(G955*Assumptions!H$5),-2)</f>
        <v>10400</v>
      </c>
      <c r="J955" s="33">
        <f>ROUNDUP(I955+(I955*Assumptions!I$5),-2)</f>
        <v>10700</v>
      </c>
      <c r="K955" s="33">
        <f>ROUNDUP(J955+(J955*Assumptions!J$5),-2)</f>
        <v>11000</v>
      </c>
      <c r="L955" s="33">
        <f>ROUNDUP(K955+(K955*Assumptions!K$5),-2)</f>
        <v>11300</v>
      </c>
      <c r="M955" s="33">
        <f>ROUNDUP(L955+(L955*Assumptions!L$5),-2)</f>
        <v>11600</v>
      </c>
      <c r="N955" s="33">
        <f>ROUNDUP(M955+(M955*Assumptions!M$5),-2)</f>
        <v>11900</v>
      </c>
      <c r="O955" s="33">
        <f>ROUNDUP(N955+(N955*Assumptions!N$5),-2)</f>
        <v>12200</v>
      </c>
      <c r="P955" s="33">
        <f>ROUNDUP(O955+(O955*Assumptions!O$5),-2)</f>
        <v>12500</v>
      </c>
      <c r="Q955" s="33">
        <f>ROUNDUP(P955+(P955*Assumptions!P$5),-2)</f>
        <v>12800</v>
      </c>
      <c r="R955" s="114">
        <f>ROUNDUP(Q955+(Q955*Assumptions!Q$5),-2)</f>
        <v>13100</v>
      </c>
    </row>
    <row r="956" spans="1:18" x14ac:dyDescent="0.2">
      <c r="A956" s="107">
        <v>6500</v>
      </c>
      <c r="B956" s="33">
        <v>6200</v>
      </c>
      <c r="C956" s="33">
        <v>5600</v>
      </c>
      <c r="D956" s="99">
        <v>7700</v>
      </c>
      <c r="E956" s="240" t="s">
        <v>2599</v>
      </c>
      <c r="F956" s="554" t="s">
        <v>2665</v>
      </c>
      <c r="G956" s="33">
        <v>9200</v>
      </c>
      <c r="H956" s="138">
        <f t="shared" si="792"/>
        <v>19.480519480519483</v>
      </c>
      <c r="I956" s="33">
        <f>ROUNDUP(G956+(G956*Assumptions!H$5),-2)</f>
        <v>9400</v>
      </c>
      <c r="J956" s="33">
        <f>ROUNDUP(I956+(I956*Assumptions!I$5),-2)</f>
        <v>9700</v>
      </c>
      <c r="K956" s="33">
        <f>ROUNDUP(J956+(J956*Assumptions!J$5),-2)</f>
        <v>10000</v>
      </c>
      <c r="L956" s="33">
        <f>ROUNDUP(K956+(K956*Assumptions!K$5),-2)</f>
        <v>10300</v>
      </c>
      <c r="M956" s="33">
        <f>ROUNDUP(L956+(L956*Assumptions!L$5),-2)</f>
        <v>10600</v>
      </c>
      <c r="N956" s="33">
        <f>ROUNDUP(M956+(M956*Assumptions!M$5),-2)</f>
        <v>10900</v>
      </c>
      <c r="O956" s="33">
        <f>ROUNDUP(N956+(N956*Assumptions!N$5),-2)</f>
        <v>11200</v>
      </c>
      <c r="P956" s="33">
        <f>ROUNDUP(O956+(O956*Assumptions!O$5),-2)</f>
        <v>11500</v>
      </c>
      <c r="Q956" s="33">
        <f>ROUNDUP(P956+(P956*Assumptions!P$5),-2)</f>
        <v>11800</v>
      </c>
      <c r="R956" s="114">
        <f>ROUNDUP(Q956+(Q956*Assumptions!Q$5),-2)</f>
        <v>12100</v>
      </c>
    </row>
    <row r="957" spans="1:18" x14ac:dyDescent="0.2">
      <c r="A957" s="107">
        <v>5600</v>
      </c>
      <c r="B957" s="33">
        <v>3000</v>
      </c>
      <c r="C957" s="33">
        <v>1200</v>
      </c>
      <c r="D957" s="99">
        <v>6100</v>
      </c>
      <c r="E957" s="240" t="s">
        <v>2489</v>
      </c>
      <c r="F957" s="952" t="s">
        <v>3778</v>
      </c>
      <c r="G957" s="33">
        <v>9200</v>
      </c>
      <c r="H957" s="138">
        <f t="shared" si="792"/>
        <v>50.819672131147541</v>
      </c>
      <c r="I957" s="33">
        <f>ROUNDUP(G957+(G957*Assumptions!H$5),-2)</f>
        <v>9400</v>
      </c>
      <c r="J957" s="33">
        <f>ROUNDUP(I957+(I957*Assumptions!I$5),-2)</f>
        <v>9700</v>
      </c>
      <c r="K957" s="33">
        <f>ROUNDUP(J957+(J957*Assumptions!J$5),-2)</f>
        <v>10000</v>
      </c>
      <c r="L957" s="33">
        <f>ROUNDUP(K957+(K957*Assumptions!K$5),-2)</f>
        <v>10300</v>
      </c>
      <c r="M957" s="33">
        <f>ROUNDUP(L957+(L957*Assumptions!L$5),-2)</f>
        <v>10600</v>
      </c>
      <c r="N957" s="33">
        <f>ROUNDUP(M957+(M957*Assumptions!M$5),-2)</f>
        <v>10900</v>
      </c>
      <c r="O957" s="33">
        <f>ROUNDUP(N957+(N957*Assumptions!N$5),-2)</f>
        <v>11200</v>
      </c>
      <c r="P957" s="33">
        <f>ROUNDUP(O957+(O957*Assumptions!O$5),-2)</f>
        <v>11500</v>
      </c>
      <c r="Q957" s="33">
        <f>ROUNDUP(P957+(P957*Assumptions!P$5),-2)</f>
        <v>11800</v>
      </c>
      <c r="R957" s="114">
        <f>ROUNDUP(Q957+(Q957*Assumptions!Q$5),-2)</f>
        <v>12100</v>
      </c>
    </row>
    <row r="958" spans="1:18" x14ac:dyDescent="0.2">
      <c r="A958" s="107">
        <v>1700</v>
      </c>
      <c r="B958" s="33">
        <v>1900</v>
      </c>
      <c r="C958" s="33">
        <v>1500</v>
      </c>
      <c r="D958" s="99">
        <v>1400</v>
      </c>
      <c r="E958" s="1100" t="s">
        <v>3044</v>
      </c>
      <c r="F958" s="952" t="s">
        <v>3076</v>
      </c>
      <c r="G958" s="33">
        <v>1700</v>
      </c>
      <c r="H958" s="138">
        <f t="shared" si="792"/>
        <v>21.428571428571427</v>
      </c>
      <c r="I958" s="33">
        <f>ROUNDUP(G958+(G958*Assumptions!H$5),-2)</f>
        <v>1800</v>
      </c>
      <c r="J958" s="33">
        <f>ROUNDUP(I958+(I958*Assumptions!I$5),-2)</f>
        <v>1900</v>
      </c>
      <c r="K958" s="33">
        <f>ROUNDUP(J958+(J958*Assumptions!J$5),-2)</f>
        <v>2000</v>
      </c>
      <c r="L958" s="33">
        <f>ROUNDUP(K958+(K958*Assumptions!K$5),-2)</f>
        <v>2100</v>
      </c>
      <c r="M958" s="33">
        <f>ROUNDUP(L958+(L958*Assumptions!L$5),-2)</f>
        <v>2200</v>
      </c>
      <c r="N958" s="33">
        <f>ROUNDUP(M958+(M958*Assumptions!M$5),-2)</f>
        <v>2300</v>
      </c>
      <c r="O958" s="33">
        <f>ROUNDUP(N958+(N958*Assumptions!N$5),-2)</f>
        <v>2400</v>
      </c>
      <c r="P958" s="33">
        <f>ROUNDUP(O958+(O958*Assumptions!O$5),-2)</f>
        <v>2500</v>
      </c>
      <c r="Q958" s="33">
        <f>ROUNDUP(P958+(P958*Assumptions!P$5),-2)</f>
        <v>2600</v>
      </c>
      <c r="R958" s="114">
        <f>ROUNDUP(Q958+(Q958*Assumptions!Q$5),-2)</f>
        <v>2700</v>
      </c>
    </row>
    <row r="959" spans="1:18" x14ac:dyDescent="0.2">
      <c r="A959" s="107">
        <v>4200</v>
      </c>
      <c r="B959" s="33">
        <v>11500</v>
      </c>
      <c r="C959" s="33">
        <v>8300</v>
      </c>
      <c r="D959" s="99">
        <v>8800</v>
      </c>
      <c r="E959" s="240" t="s">
        <v>2597</v>
      </c>
      <c r="F959" s="952" t="s">
        <v>4652</v>
      </c>
      <c r="G959" s="33">
        <v>9900</v>
      </c>
      <c r="H959" s="138">
        <f t="shared" si="792"/>
        <v>12.5</v>
      </c>
      <c r="I959" s="33">
        <f>ROUNDUP(G959+(G959*Assumptions!H$5),-2)</f>
        <v>10100</v>
      </c>
      <c r="J959" s="33">
        <f>ROUNDUP(I959+(I959*Assumptions!I$5),-2)</f>
        <v>10400</v>
      </c>
      <c r="K959" s="33">
        <f>ROUNDUP(J959+(J959*Assumptions!J$5),-2)</f>
        <v>10700</v>
      </c>
      <c r="L959" s="33">
        <f>ROUNDUP(K959+(K959*Assumptions!K$5),-2)</f>
        <v>11000</v>
      </c>
      <c r="M959" s="33">
        <f>ROUNDUP(L959+(L959*Assumptions!L$5),-2)</f>
        <v>11300</v>
      </c>
      <c r="N959" s="33">
        <f>ROUNDUP(M959+(M959*Assumptions!M$5),-2)</f>
        <v>11600</v>
      </c>
      <c r="O959" s="33">
        <f>ROUNDUP(N959+(N959*Assumptions!N$5),-2)</f>
        <v>11900</v>
      </c>
      <c r="P959" s="33">
        <f>ROUNDUP(O959+(O959*Assumptions!O$5),-2)</f>
        <v>12200</v>
      </c>
      <c r="Q959" s="33">
        <f>ROUNDUP(P959+(P959*Assumptions!P$5),-2)</f>
        <v>12500</v>
      </c>
      <c r="R959" s="114">
        <f>ROUNDUP(Q959+(Q959*Assumptions!Q$5),-2)</f>
        <v>12800</v>
      </c>
    </row>
    <row r="960" spans="1:18" x14ac:dyDescent="0.2">
      <c r="A960" s="107">
        <v>27100</v>
      </c>
      <c r="B960" s="33">
        <v>4300</v>
      </c>
      <c r="C960" s="33">
        <v>9100</v>
      </c>
      <c r="D960" s="99">
        <v>11500</v>
      </c>
      <c r="E960" s="1100" t="s">
        <v>3429</v>
      </c>
      <c r="F960" s="952" t="s">
        <v>3572</v>
      </c>
      <c r="G960" s="33">
        <v>9000</v>
      </c>
      <c r="H960" s="138">
        <f t="shared" si="792"/>
        <v>-21.739130434782609</v>
      </c>
      <c r="I960" s="33">
        <f>ROUNDUP(G960+(G960*Assumptions!H$5),-2)</f>
        <v>9200</v>
      </c>
      <c r="J960" s="33">
        <f>ROUNDUP(I960+(I960*Assumptions!I$5),-2)</f>
        <v>9500</v>
      </c>
      <c r="K960" s="33">
        <f>ROUNDUP(J960+(J960*Assumptions!J$5),-2)</f>
        <v>9800</v>
      </c>
      <c r="L960" s="33">
        <f>ROUNDUP(K960+(K960*Assumptions!K$5),-2)</f>
        <v>10100</v>
      </c>
      <c r="M960" s="33">
        <f>ROUNDUP(L960+(L960*Assumptions!L$5),-2)</f>
        <v>10400</v>
      </c>
      <c r="N960" s="33">
        <f>ROUNDUP(M960+(M960*Assumptions!M$5),-2)</f>
        <v>10700</v>
      </c>
      <c r="O960" s="33">
        <f>ROUNDUP(N960+(N960*Assumptions!N$5),-2)</f>
        <v>11000</v>
      </c>
      <c r="P960" s="33">
        <f>ROUNDUP(O960+(O960*Assumptions!O$5),-2)</f>
        <v>11300</v>
      </c>
      <c r="Q960" s="33">
        <f>ROUNDUP(P960+(P960*Assumptions!P$5),-2)</f>
        <v>11600</v>
      </c>
      <c r="R960" s="114">
        <f>ROUNDUP(Q960+(Q960*Assumptions!Q$5),-2)</f>
        <v>11900</v>
      </c>
    </row>
    <row r="961" spans="1:18" x14ac:dyDescent="0.2">
      <c r="A961" s="107"/>
      <c r="B961" s="33"/>
      <c r="C961" s="33"/>
      <c r="E961" s="240"/>
      <c r="F961" s="554"/>
      <c r="G961" s="33"/>
      <c r="H961" s="138"/>
      <c r="I961" s="33"/>
      <c r="J961" s="33"/>
      <c r="K961" s="33"/>
      <c r="L961" s="33"/>
      <c r="M961" s="33"/>
      <c r="N961" s="33"/>
      <c r="O961" s="33"/>
      <c r="P961" s="33"/>
      <c r="Q961" s="33"/>
      <c r="R961" s="114"/>
    </row>
    <row r="962" spans="1:18" x14ac:dyDescent="0.2">
      <c r="A962" s="107"/>
      <c r="B962" s="33"/>
      <c r="C962" s="33"/>
      <c r="E962" s="343"/>
      <c r="F962" s="600" t="s">
        <v>1111</v>
      </c>
      <c r="G962" s="33"/>
      <c r="H962" s="138"/>
      <c r="I962" s="33"/>
      <c r="J962" s="33"/>
      <c r="K962" s="33"/>
      <c r="L962" s="33"/>
      <c r="M962" s="33"/>
      <c r="N962" s="33"/>
      <c r="O962" s="33"/>
      <c r="P962" s="33"/>
      <c r="Q962" s="33"/>
      <c r="R962" s="114"/>
    </row>
    <row r="963" spans="1:18" x14ac:dyDescent="0.2">
      <c r="A963" s="107">
        <v>13200</v>
      </c>
      <c r="B963" s="33">
        <v>13600</v>
      </c>
      <c r="C963" s="33">
        <f>14000-2000</f>
        <v>12000</v>
      </c>
      <c r="D963" s="99">
        <v>11800</v>
      </c>
      <c r="E963" s="240" t="s">
        <v>2507</v>
      </c>
      <c r="F963" s="554" t="s">
        <v>2469</v>
      </c>
      <c r="G963" s="33">
        <v>18100</v>
      </c>
      <c r="H963" s="138">
        <f t="shared" ref="H963:H972" si="793">IF(D963=G963,0,IF(D963=0,100,(G963-D963)/D963*100))</f>
        <v>53.389830508474581</v>
      </c>
      <c r="I963" s="33">
        <f>ROUNDUP(G963+(G963*Assumptions!H$5),-2)</f>
        <v>18400</v>
      </c>
      <c r="J963" s="33">
        <f>ROUNDUP(I963+(I963*Assumptions!I$5),-2)</f>
        <v>18900</v>
      </c>
      <c r="K963" s="33">
        <f>ROUNDUP(J963+(J963*Assumptions!J$5),-2)</f>
        <v>19400</v>
      </c>
      <c r="L963" s="33">
        <f>ROUNDUP(K963+(K963*Assumptions!K$5),-2)</f>
        <v>19900</v>
      </c>
      <c r="M963" s="33">
        <f>ROUNDUP(L963+(L963*Assumptions!L$5),-2)</f>
        <v>20300</v>
      </c>
      <c r="N963" s="33">
        <f>ROUNDUP(M963+(M963*Assumptions!M$5),-2)</f>
        <v>20800</v>
      </c>
      <c r="O963" s="33">
        <f>ROUNDUP(N963+(N963*Assumptions!N$5),-2)</f>
        <v>21300</v>
      </c>
      <c r="P963" s="33">
        <f>ROUNDUP(O963+(O963*Assumptions!O$5),-2)</f>
        <v>21800</v>
      </c>
      <c r="Q963" s="33">
        <f>ROUNDUP(P963+(P963*Assumptions!P$5),-2)</f>
        <v>22300</v>
      </c>
      <c r="R963" s="114">
        <f>ROUNDUP(Q963+(Q963*Assumptions!Q$5),-2)</f>
        <v>22800</v>
      </c>
    </row>
    <row r="964" spans="1:18" x14ac:dyDescent="0.2">
      <c r="A964" s="107">
        <v>17600</v>
      </c>
      <c r="B964" s="33">
        <v>26800</v>
      </c>
      <c r="C964" s="33">
        <v>28600</v>
      </c>
      <c r="D964" s="76">
        <v>33400</v>
      </c>
      <c r="E964" s="240" t="s">
        <v>1784</v>
      </c>
      <c r="F964" s="528" t="s">
        <v>302</v>
      </c>
      <c r="G964" s="33">
        <v>31700</v>
      </c>
      <c r="H964" s="138">
        <f t="shared" si="793"/>
        <v>-5.0898203592814371</v>
      </c>
      <c r="I964" s="33">
        <f>ROUNDUP(G964+(G964*Assumptions!H$5),-2)</f>
        <v>32200</v>
      </c>
      <c r="J964" s="33">
        <f>ROUNDUP(I964+(I964*Assumptions!I$5),-2)</f>
        <v>33100</v>
      </c>
      <c r="K964" s="33">
        <f>ROUNDUP(J964+(J964*Assumptions!J$5),-2)</f>
        <v>34000</v>
      </c>
      <c r="L964" s="33">
        <f>ROUNDUP(K964+(K964*Assumptions!K$5),-2)</f>
        <v>34900</v>
      </c>
      <c r="M964" s="33">
        <f>ROUNDUP(L964+(L964*Assumptions!L$5),-2)</f>
        <v>35600</v>
      </c>
      <c r="N964" s="33">
        <f>ROUNDUP(M964+(M964*Assumptions!M$5),-2)</f>
        <v>36400</v>
      </c>
      <c r="O964" s="33">
        <f>ROUNDUP(N964+(N964*Assumptions!N$5),-2)</f>
        <v>37200</v>
      </c>
      <c r="P964" s="33">
        <f>ROUNDUP(O964+(O964*Assumptions!O$5),-2)</f>
        <v>38000</v>
      </c>
      <c r="Q964" s="33">
        <f>ROUNDUP(P964+(P964*Assumptions!P$5),-2)</f>
        <v>38800</v>
      </c>
      <c r="R964" s="114">
        <f>ROUNDUP(Q964+(Q964*Assumptions!Q$5),-2)</f>
        <v>39600</v>
      </c>
    </row>
    <row r="965" spans="1:18" x14ac:dyDescent="0.2">
      <c r="A965" s="107">
        <v>0</v>
      </c>
      <c r="B965" s="33">
        <v>0</v>
      </c>
      <c r="C965" s="33">
        <v>0</v>
      </c>
      <c r="D965" s="76">
        <v>0</v>
      </c>
      <c r="E965" s="1100" t="s">
        <v>6598</v>
      </c>
      <c r="F965" s="953" t="s">
        <v>6681</v>
      </c>
      <c r="G965" s="33">
        <v>15000</v>
      </c>
      <c r="H965" s="138">
        <f t="shared" si="793"/>
        <v>100</v>
      </c>
      <c r="I965" s="33">
        <v>0</v>
      </c>
      <c r="J965" s="33">
        <f>ROUNDUP(I965+(I965*Assumptions!I$5),-2)</f>
        <v>0</v>
      </c>
      <c r="K965" s="33">
        <f>ROUNDUP(J965+(J965*Assumptions!J$5),-2)</f>
        <v>0</v>
      </c>
      <c r="L965" s="33">
        <f>ROUNDUP(K965+(K965*Assumptions!K$5),-2)</f>
        <v>0</v>
      </c>
      <c r="M965" s="33">
        <f>ROUNDUP(L965+(L965*Assumptions!L$5),-2)</f>
        <v>0</v>
      </c>
      <c r="N965" s="33">
        <f>ROUNDUP(M965+(M965*Assumptions!M$5),-2)</f>
        <v>0</v>
      </c>
      <c r="O965" s="33">
        <f>ROUNDUP(N965+(N965*Assumptions!N$5),-2)</f>
        <v>0</v>
      </c>
      <c r="P965" s="33">
        <f>ROUNDUP(O965+(O965*Assumptions!O$5),-2)</f>
        <v>0</v>
      </c>
      <c r="Q965" s="33">
        <f>ROUNDUP(P965+(P965*Assumptions!P$5),-2)</f>
        <v>0</v>
      </c>
      <c r="R965" s="114">
        <f>ROUNDUP(Q965+(Q965*Assumptions!Q$5),-2)</f>
        <v>0</v>
      </c>
    </row>
    <row r="966" spans="1:18" x14ac:dyDescent="0.2">
      <c r="A966" s="107">
        <v>0</v>
      </c>
      <c r="B966" s="33">
        <v>0</v>
      </c>
      <c r="C966" s="33">
        <v>6400</v>
      </c>
      <c r="D966" s="33">
        <v>5700</v>
      </c>
      <c r="E966" s="1097" t="s">
        <v>5056</v>
      </c>
      <c r="F966" s="953" t="s">
        <v>5057</v>
      </c>
      <c r="G966" s="33">
        <v>6200</v>
      </c>
      <c r="H966" s="138">
        <f t="shared" si="793"/>
        <v>8.7719298245614024</v>
      </c>
      <c r="I966" s="33">
        <f>ROUNDUP(G966+(G966*Assumptions!H$5),-2)</f>
        <v>6300</v>
      </c>
      <c r="J966" s="33">
        <f>ROUNDUP(I966+(I966*Assumptions!I$5),-2)</f>
        <v>6500</v>
      </c>
      <c r="K966" s="33">
        <f>ROUNDUP(J966+(J966*Assumptions!J$5),-2)</f>
        <v>6700</v>
      </c>
      <c r="L966" s="33">
        <f>ROUNDUP(K966+(K966*Assumptions!K$5),-2)</f>
        <v>6900</v>
      </c>
      <c r="M966" s="33">
        <f>ROUNDUP(L966+(L966*Assumptions!L$5),-2)</f>
        <v>7100</v>
      </c>
      <c r="N966" s="33">
        <f>ROUNDUP(M966+(M966*Assumptions!M$5),-2)</f>
        <v>7300</v>
      </c>
      <c r="O966" s="33">
        <f>ROUNDUP(N966+(N966*Assumptions!N$5),-2)</f>
        <v>7500</v>
      </c>
      <c r="P966" s="33">
        <f>ROUNDUP(O966+(O966*Assumptions!O$5),-2)</f>
        <v>7700</v>
      </c>
      <c r="Q966" s="33">
        <f>ROUNDUP(P966+(P966*Assumptions!P$5),-2)</f>
        <v>7900</v>
      </c>
      <c r="R966" s="114">
        <f>ROUNDUP(Q966+(Q966*Assumptions!Q$5),-2)</f>
        <v>8100</v>
      </c>
    </row>
    <row r="967" spans="1:18" x14ac:dyDescent="0.2">
      <c r="A967" s="107">
        <v>54300</v>
      </c>
      <c r="B967" s="33">
        <v>24400</v>
      </c>
      <c r="C967" s="33">
        <v>18800</v>
      </c>
      <c r="D967" s="33">
        <v>16800</v>
      </c>
      <c r="E967" s="1955" t="s">
        <v>1866</v>
      </c>
      <c r="F967" s="953" t="s">
        <v>4653</v>
      </c>
      <c r="G967" s="33">
        <v>25500</v>
      </c>
      <c r="H967" s="138">
        <f t="shared" si="793"/>
        <v>51.785714285714292</v>
      </c>
      <c r="I967" s="33">
        <f>ROUNDUP(G967+(G967*Assumptions!H$5),-2)</f>
        <v>25900</v>
      </c>
      <c r="J967" s="33">
        <f>ROUNDUP(I967+(I967*Assumptions!I$5),-2)</f>
        <v>26600</v>
      </c>
      <c r="K967" s="33">
        <f>ROUNDUP(J967+(J967*Assumptions!J$5),-2)</f>
        <v>27300</v>
      </c>
      <c r="L967" s="33">
        <f>ROUNDUP(K967+(K967*Assumptions!K$5),-2)</f>
        <v>28000</v>
      </c>
      <c r="M967" s="33">
        <f>ROUNDUP(L967+(L967*Assumptions!L$5),-2)</f>
        <v>28600</v>
      </c>
      <c r="N967" s="33">
        <f>ROUNDUP(M967+(M967*Assumptions!M$5),-2)</f>
        <v>29200</v>
      </c>
      <c r="O967" s="33">
        <f>ROUNDUP(N967+(N967*Assumptions!N$5),-2)</f>
        <v>29800</v>
      </c>
      <c r="P967" s="33">
        <f>ROUNDUP(O967+(O967*Assumptions!O$5),-2)</f>
        <v>30400</v>
      </c>
      <c r="Q967" s="33">
        <f>ROUNDUP(P967+(P967*Assumptions!P$5),-2)</f>
        <v>31100</v>
      </c>
      <c r="R967" s="114">
        <f>ROUNDUP(Q967+(Q967*Assumptions!Q$5),-2)</f>
        <v>31800</v>
      </c>
    </row>
    <row r="968" spans="1:18" x14ac:dyDescent="0.2">
      <c r="A968" s="107">
        <v>4700</v>
      </c>
      <c r="B968" s="33">
        <v>6400</v>
      </c>
      <c r="C968" s="33">
        <f>5000-2000-3000</f>
        <v>0</v>
      </c>
      <c r="D968" s="33">
        <v>0</v>
      </c>
      <c r="E968" s="1097" t="s">
        <v>3029</v>
      </c>
      <c r="F968" s="953" t="s">
        <v>3779</v>
      </c>
      <c r="G968" s="33">
        <v>0</v>
      </c>
      <c r="H968" s="138">
        <f t="shared" si="793"/>
        <v>0</v>
      </c>
      <c r="I968" s="33">
        <f>ROUNDUP(G968+(G968*Assumptions!H$5),-2)</f>
        <v>0</v>
      </c>
      <c r="J968" s="33">
        <f>ROUNDUP(I968+(I968*Assumptions!I$5),-2)</f>
        <v>0</v>
      </c>
      <c r="K968" s="33">
        <f>ROUNDUP(J968+(J968*Assumptions!J$5),-2)</f>
        <v>0</v>
      </c>
      <c r="L968" s="33">
        <f>ROUNDUP(K968+(K968*Assumptions!K$5),-2)</f>
        <v>0</v>
      </c>
      <c r="M968" s="33">
        <f>ROUNDUP(L968+(L968*Assumptions!L$5),-2)</f>
        <v>0</v>
      </c>
      <c r="N968" s="33">
        <f>ROUNDUP(M968+(M968*Assumptions!M$5),-2)</f>
        <v>0</v>
      </c>
      <c r="O968" s="33">
        <f>ROUNDUP(N968+(N968*Assumptions!N$5),-2)</f>
        <v>0</v>
      </c>
      <c r="P968" s="33">
        <f>ROUNDUP(O968+(O968*Assumptions!O$5),-2)</f>
        <v>0</v>
      </c>
      <c r="Q968" s="33">
        <f>ROUNDUP(P968+(P968*Assumptions!P$5),-2)</f>
        <v>0</v>
      </c>
      <c r="R968" s="114">
        <f>ROUNDUP(Q968+(Q968*Assumptions!Q$5),-2)</f>
        <v>0</v>
      </c>
    </row>
    <row r="969" spans="1:18" x14ac:dyDescent="0.2">
      <c r="A969" s="107">
        <v>14400</v>
      </c>
      <c r="B969" s="33">
        <f>21300+400+100+2000</f>
        <v>23800</v>
      </c>
      <c r="C969" s="33">
        <v>16300</v>
      </c>
      <c r="D969" s="33">
        <v>7300</v>
      </c>
      <c r="E969" s="1955" t="s">
        <v>1867</v>
      </c>
      <c r="F969" s="953" t="s">
        <v>3780</v>
      </c>
      <c r="G969" s="33">
        <v>9200</v>
      </c>
      <c r="H969" s="138">
        <f t="shared" si="793"/>
        <v>26.027397260273972</v>
      </c>
      <c r="I969" s="33">
        <f>ROUNDUP(G969+(G969*Assumptions!H$5),-2)</f>
        <v>9400</v>
      </c>
      <c r="J969" s="33">
        <f>ROUNDUP(I969+(I969*Assumptions!I$5),-2)</f>
        <v>9700</v>
      </c>
      <c r="K969" s="33">
        <f>ROUNDUP(J969+(J969*Assumptions!J$5),-2)</f>
        <v>10000</v>
      </c>
      <c r="L969" s="33">
        <f>ROUNDUP(K969+(K969*Assumptions!K$5),-2)</f>
        <v>10300</v>
      </c>
      <c r="M969" s="33">
        <f>ROUNDUP(L969+(L969*Assumptions!L$5),-2)</f>
        <v>10600</v>
      </c>
      <c r="N969" s="33">
        <f>ROUNDUP(M969+(M969*Assumptions!M$5),-2)</f>
        <v>10900</v>
      </c>
      <c r="O969" s="33">
        <f>ROUNDUP(N969+(N969*Assumptions!N$5),-2)</f>
        <v>11200</v>
      </c>
      <c r="P969" s="33">
        <f>ROUNDUP(O969+(O969*Assumptions!O$5),-2)</f>
        <v>11500</v>
      </c>
      <c r="Q969" s="33">
        <f>ROUNDUP(P969+(P969*Assumptions!P$5),-2)</f>
        <v>11800</v>
      </c>
      <c r="R969" s="114">
        <f>ROUNDUP(Q969+(Q969*Assumptions!Q$5),-2)</f>
        <v>12100</v>
      </c>
    </row>
    <row r="970" spans="1:18" x14ac:dyDescent="0.2">
      <c r="A970" s="107">
        <v>38300</v>
      </c>
      <c r="B970" s="33">
        <v>29900</v>
      </c>
      <c r="C970" s="33">
        <v>16700</v>
      </c>
      <c r="D970" s="33">
        <v>43500</v>
      </c>
      <c r="E970" s="1955" t="s">
        <v>1850</v>
      </c>
      <c r="F970" s="528" t="s">
        <v>1018</v>
      </c>
      <c r="G970" s="33">
        <v>40800</v>
      </c>
      <c r="H970" s="138">
        <f t="shared" si="793"/>
        <v>-6.2068965517241379</v>
      </c>
      <c r="I970" s="33">
        <f>ROUNDUP(G970+(G970*Assumptions!H$5),-2)</f>
        <v>41500</v>
      </c>
      <c r="J970" s="33">
        <f>ROUNDUP(I970+(I970*Assumptions!I$5),-2)</f>
        <v>42600</v>
      </c>
      <c r="K970" s="33">
        <f>ROUNDUP(J970+(J970*Assumptions!J$5),-2)</f>
        <v>43700</v>
      </c>
      <c r="L970" s="33">
        <f>ROUNDUP(K970+(K970*Assumptions!K$5),-2)</f>
        <v>44800</v>
      </c>
      <c r="M970" s="33">
        <f>ROUNDUP(L970+(L970*Assumptions!L$5),-2)</f>
        <v>45700</v>
      </c>
      <c r="N970" s="33">
        <f>ROUNDUP(M970+(M970*Assumptions!M$5),-2)</f>
        <v>46700</v>
      </c>
      <c r="O970" s="33">
        <f>ROUNDUP(N970+(N970*Assumptions!N$5),-2)</f>
        <v>47700</v>
      </c>
      <c r="P970" s="33">
        <f>ROUNDUP(O970+(O970*Assumptions!O$5),-2)</f>
        <v>48700</v>
      </c>
      <c r="Q970" s="33">
        <f>ROUNDUP(P970+(P970*Assumptions!P$5),-2)</f>
        <v>49700</v>
      </c>
      <c r="R970" s="114">
        <f>ROUNDUP(Q970+(Q970*Assumptions!Q$5),-2)</f>
        <v>50700</v>
      </c>
    </row>
    <row r="971" spans="1:18" x14ac:dyDescent="0.2">
      <c r="A971" s="107">
        <v>6600</v>
      </c>
      <c r="B971" s="33">
        <v>15800</v>
      </c>
      <c r="C971" s="33">
        <v>0</v>
      </c>
      <c r="D971" s="33">
        <v>0</v>
      </c>
      <c r="E971" s="1097" t="s">
        <v>3028</v>
      </c>
      <c r="F971" s="953" t="s">
        <v>4200</v>
      </c>
      <c r="G971" s="33">
        <v>0</v>
      </c>
      <c r="H971" s="138">
        <f t="shared" si="793"/>
        <v>0</v>
      </c>
      <c r="I971" s="33">
        <f>ROUNDUP(G971+(G971*Assumptions!H$5),-2)</f>
        <v>0</v>
      </c>
      <c r="J971" s="33">
        <f>ROUNDUP(I971+(I971*Assumptions!I$5),-2)</f>
        <v>0</v>
      </c>
      <c r="K971" s="33">
        <f>ROUNDUP(J971+(J971*Assumptions!J$5),-2)</f>
        <v>0</v>
      </c>
      <c r="L971" s="33">
        <f>ROUNDUP(K971+(K971*Assumptions!K$5),-2)</f>
        <v>0</v>
      </c>
      <c r="M971" s="33">
        <f>ROUNDUP(L971+(L971*Assumptions!L$5),-2)</f>
        <v>0</v>
      </c>
      <c r="N971" s="33">
        <f>ROUNDUP(M971+(M971*Assumptions!M$5),-2)</f>
        <v>0</v>
      </c>
      <c r="O971" s="33">
        <f>ROUNDUP(N971+(N971*Assumptions!N$5),-2)</f>
        <v>0</v>
      </c>
      <c r="P971" s="33">
        <f>ROUNDUP(O971+(O971*Assumptions!O$5),-2)</f>
        <v>0</v>
      </c>
      <c r="Q971" s="33">
        <f>ROUNDUP(P971+(P971*Assumptions!P$5),-2)</f>
        <v>0</v>
      </c>
      <c r="R971" s="114">
        <f>ROUNDUP(Q971+(Q971*Assumptions!Q$5),-2)</f>
        <v>0</v>
      </c>
    </row>
    <row r="972" spans="1:18" x14ac:dyDescent="0.2">
      <c r="A972" s="107">
        <v>15600</v>
      </c>
      <c r="B972" s="33">
        <v>16500</v>
      </c>
      <c r="C972" s="33">
        <v>0</v>
      </c>
      <c r="D972" s="33">
        <v>0</v>
      </c>
      <c r="E972" s="1097" t="s">
        <v>3223</v>
      </c>
      <c r="F972" s="953" t="s">
        <v>4201</v>
      </c>
      <c r="G972" s="33">
        <v>0</v>
      </c>
      <c r="H972" s="138">
        <f t="shared" si="793"/>
        <v>0</v>
      </c>
      <c r="I972" s="33">
        <f>ROUNDUP(G972+(G972*Assumptions!H$5),-2)</f>
        <v>0</v>
      </c>
      <c r="J972" s="33">
        <f>ROUNDUP(I972+(I972*Assumptions!I$5),-2)</f>
        <v>0</v>
      </c>
      <c r="K972" s="33">
        <f>ROUNDUP(J972+(J972*Assumptions!J$5),-2)</f>
        <v>0</v>
      </c>
      <c r="L972" s="33">
        <f>ROUNDUP(K972+(K972*Assumptions!K$5),-2)</f>
        <v>0</v>
      </c>
      <c r="M972" s="33">
        <f>ROUNDUP(L972+(L972*Assumptions!L$5),-2)</f>
        <v>0</v>
      </c>
      <c r="N972" s="33">
        <f>ROUNDUP(M972+(M972*Assumptions!M$5),-2)</f>
        <v>0</v>
      </c>
      <c r="O972" s="33">
        <f>ROUNDUP(N972+(N972*Assumptions!N$5),-2)</f>
        <v>0</v>
      </c>
      <c r="P972" s="33">
        <f>ROUNDUP(O972+(O972*Assumptions!O$5),-2)</f>
        <v>0</v>
      </c>
      <c r="Q972" s="33">
        <f>ROUNDUP(P972+(P972*Assumptions!P$5),-2)</f>
        <v>0</v>
      </c>
      <c r="R972" s="114">
        <f>ROUNDUP(Q972+(Q972*Assumptions!Q$5),-2)</f>
        <v>0</v>
      </c>
    </row>
    <row r="973" spans="1:18" x14ac:dyDescent="0.2">
      <c r="A973" s="107"/>
      <c r="B973" s="33"/>
      <c r="C973" s="33"/>
      <c r="D973" s="33"/>
      <c r="E973" s="1955"/>
      <c r="F973" s="886"/>
      <c r="G973" s="33"/>
      <c r="H973" s="138"/>
      <c r="I973" s="33"/>
      <c r="J973" s="33"/>
      <c r="K973" s="33"/>
      <c r="L973" s="33"/>
      <c r="M973" s="33"/>
      <c r="N973" s="33"/>
      <c r="O973" s="33"/>
      <c r="P973" s="33"/>
      <c r="Q973" s="33"/>
      <c r="R973" s="114"/>
    </row>
    <row r="974" spans="1:18" x14ac:dyDescent="0.2">
      <c r="A974" s="107"/>
      <c r="B974" s="33"/>
      <c r="C974" s="33"/>
      <c r="D974" s="33"/>
      <c r="E974" s="1955"/>
      <c r="F974" s="446" t="s">
        <v>866</v>
      </c>
      <c r="G974" s="33"/>
      <c r="H974" s="138"/>
      <c r="I974" s="33"/>
      <c r="J974" s="33"/>
      <c r="K974" s="33"/>
      <c r="L974" s="33"/>
      <c r="M974" s="33"/>
      <c r="N974" s="33"/>
      <c r="O974" s="33"/>
      <c r="P974" s="33"/>
      <c r="Q974" s="33"/>
      <c r="R974" s="114"/>
    </row>
    <row r="975" spans="1:18" x14ac:dyDescent="0.2">
      <c r="A975" s="107">
        <v>3800</v>
      </c>
      <c r="B975" s="33">
        <v>4200</v>
      </c>
      <c r="C975" s="33">
        <v>1900</v>
      </c>
      <c r="D975" s="33">
        <v>1800</v>
      </c>
      <c r="E975" s="1955" t="s">
        <v>2508</v>
      </c>
      <c r="F975" s="528" t="s">
        <v>2776</v>
      </c>
      <c r="G975" s="33">
        <v>4800</v>
      </c>
      <c r="H975" s="138">
        <f>IF(D975=G975,0,IF(D975=0,100,(G975-D975)/D975*100))</f>
        <v>166.66666666666669</v>
      </c>
      <c r="I975" s="33">
        <f>ROUNDUP(G975+(G975*Assumptions!H$5),-2)</f>
        <v>4900</v>
      </c>
      <c r="J975" s="33">
        <f>ROUNDUP(I975+(I975*Assumptions!I$5),-2)</f>
        <v>5100</v>
      </c>
      <c r="K975" s="33">
        <f>ROUNDUP(J975+(J975*Assumptions!J$5),-2)</f>
        <v>5300</v>
      </c>
      <c r="L975" s="33">
        <f>ROUNDUP(K975+(K975*Assumptions!K$5),-2)</f>
        <v>5500</v>
      </c>
      <c r="M975" s="33">
        <f>ROUNDUP(L975+(L975*Assumptions!L$5),-2)</f>
        <v>5700</v>
      </c>
      <c r="N975" s="33">
        <f>ROUNDUP(M975+(M975*Assumptions!M$5),-2)</f>
        <v>5900</v>
      </c>
      <c r="O975" s="33">
        <f>ROUNDUP(N975+(N975*Assumptions!N$5),-2)</f>
        <v>6100</v>
      </c>
      <c r="P975" s="33">
        <f>ROUNDUP(O975+(O975*Assumptions!O$5),-2)</f>
        <v>6300</v>
      </c>
      <c r="Q975" s="33">
        <f>ROUNDUP(P975+(P975*Assumptions!P$5),-2)</f>
        <v>6500</v>
      </c>
      <c r="R975" s="114">
        <f>ROUNDUP(Q975+(Q975*Assumptions!Q$5),-2)</f>
        <v>6700</v>
      </c>
    </row>
    <row r="976" spans="1:18" x14ac:dyDescent="0.2">
      <c r="A976" s="107">
        <v>24500</v>
      </c>
      <c r="B976" s="33">
        <v>34700</v>
      </c>
      <c r="C976" s="33">
        <v>11300</v>
      </c>
      <c r="D976" s="33">
        <v>4700</v>
      </c>
      <c r="E976" s="1955" t="s">
        <v>1785</v>
      </c>
      <c r="F976" s="953" t="s">
        <v>3781</v>
      </c>
      <c r="G976" s="33">
        <v>22500</v>
      </c>
      <c r="H976" s="138">
        <f>IF(D976=G976,0,IF(D976=0,100,(G976-D976)/D976*100))</f>
        <v>378.72340425531917</v>
      </c>
      <c r="I976" s="33">
        <f>ROUNDUP(G976+(G976*Assumptions!H$5),-2)</f>
        <v>22900</v>
      </c>
      <c r="J976" s="33">
        <f>ROUNDUP(I976+(I976*Assumptions!I$5),-2)</f>
        <v>23500</v>
      </c>
      <c r="K976" s="33">
        <f>ROUNDUP(J976+(J976*Assumptions!J$5),-2)</f>
        <v>24100</v>
      </c>
      <c r="L976" s="33">
        <f>ROUNDUP(K976+(K976*Assumptions!K$5),-2)</f>
        <v>24800</v>
      </c>
      <c r="M976" s="33">
        <f>ROUNDUP(L976+(L976*Assumptions!L$5),-2)</f>
        <v>25300</v>
      </c>
      <c r="N976" s="33">
        <f>ROUNDUP(M976+(M976*Assumptions!M$5),-2)</f>
        <v>25900</v>
      </c>
      <c r="O976" s="33">
        <f>ROUNDUP(N976+(N976*Assumptions!N$5),-2)</f>
        <v>26500</v>
      </c>
      <c r="P976" s="33">
        <f>ROUNDUP(O976+(O976*Assumptions!O$5),-2)</f>
        <v>27100</v>
      </c>
      <c r="Q976" s="33">
        <f>ROUNDUP(P976+(P976*Assumptions!P$5),-2)</f>
        <v>27700</v>
      </c>
      <c r="R976" s="114">
        <f>ROUNDUP(Q976+(Q976*Assumptions!Q$5),-2)</f>
        <v>28300</v>
      </c>
    </row>
    <row r="977" spans="1:18" x14ac:dyDescent="0.2">
      <c r="A977" s="107">
        <v>19500</v>
      </c>
      <c r="B977" s="33">
        <v>19200</v>
      </c>
      <c r="C977" s="33">
        <v>15700</v>
      </c>
      <c r="D977" s="33">
        <v>15500</v>
      </c>
      <c r="E977" s="1955" t="s">
        <v>1787</v>
      </c>
      <c r="F977" s="554" t="s">
        <v>2777</v>
      </c>
      <c r="G977" s="33">
        <v>22500</v>
      </c>
      <c r="H977" s="138">
        <f>IF(D977=G977,0,IF(D977=0,100,(G977-D977)/D977*100))</f>
        <v>45.161290322580641</v>
      </c>
      <c r="I977" s="33">
        <f>ROUNDUP(G977+(G977*Assumptions!H$5),-2)</f>
        <v>22900</v>
      </c>
      <c r="J977" s="33">
        <f>ROUNDUP(I977+(I977*Assumptions!I$5),-2)</f>
        <v>23500</v>
      </c>
      <c r="K977" s="33">
        <f>ROUNDUP(J977+(J977*Assumptions!J$5),-2)</f>
        <v>24100</v>
      </c>
      <c r="L977" s="33">
        <f>ROUNDUP(K977+(K977*Assumptions!K$5),-2)</f>
        <v>24800</v>
      </c>
      <c r="M977" s="33">
        <f>ROUNDUP(L977+(L977*Assumptions!L$5),-2)</f>
        <v>25300</v>
      </c>
      <c r="N977" s="33">
        <f>ROUNDUP(M977+(M977*Assumptions!M$5),-2)</f>
        <v>25900</v>
      </c>
      <c r="O977" s="33">
        <f>ROUNDUP(N977+(N977*Assumptions!N$5),-2)</f>
        <v>26500</v>
      </c>
      <c r="P977" s="33">
        <f>ROUNDUP(O977+(O977*Assumptions!O$5),-2)</f>
        <v>27100</v>
      </c>
      <c r="Q977" s="33">
        <f>ROUNDUP(P977+(P977*Assumptions!P$5),-2)</f>
        <v>27700</v>
      </c>
      <c r="R977" s="114">
        <f>ROUNDUP(Q977+(Q977*Assumptions!Q$5),-2)</f>
        <v>28300</v>
      </c>
    </row>
    <row r="978" spans="1:18" x14ac:dyDescent="0.2">
      <c r="A978" s="107">
        <v>600</v>
      </c>
      <c r="B978" s="33">
        <v>900</v>
      </c>
      <c r="C978" s="33">
        <v>300</v>
      </c>
      <c r="D978" s="33">
        <v>300</v>
      </c>
      <c r="E978" s="1955" t="s">
        <v>1786</v>
      </c>
      <c r="F978" s="528" t="s">
        <v>2564</v>
      </c>
      <c r="G978" s="33">
        <v>1100</v>
      </c>
      <c r="H978" s="138">
        <f>IF(D978=G978,0,IF(D978=0,100,(G978-D978)/D978*100))</f>
        <v>266.66666666666663</v>
      </c>
      <c r="I978" s="33">
        <f>ROUNDUP(G978+(G978*Assumptions!H$5),-2)</f>
        <v>1200</v>
      </c>
      <c r="J978" s="33">
        <f>ROUNDUP(I978+(I978*Assumptions!I$5),-2)</f>
        <v>1300</v>
      </c>
      <c r="K978" s="33">
        <f>ROUNDUP(J978+(J978*Assumptions!J$5),-2)</f>
        <v>1400</v>
      </c>
      <c r="L978" s="33">
        <f>ROUNDUP(K978+(K978*Assumptions!K$5),-2)</f>
        <v>1500</v>
      </c>
      <c r="M978" s="33">
        <f>ROUNDUP(L978+(L978*Assumptions!L$5),-2)</f>
        <v>1600</v>
      </c>
      <c r="N978" s="33">
        <f>ROUNDUP(M978+(M978*Assumptions!M$5),-2)</f>
        <v>1700</v>
      </c>
      <c r="O978" s="33">
        <f>ROUNDUP(N978+(N978*Assumptions!N$5),-2)</f>
        <v>1800</v>
      </c>
      <c r="P978" s="33">
        <f>ROUNDUP(O978+(O978*Assumptions!O$5),-2)</f>
        <v>1900</v>
      </c>
      <c r="Q978" s="33">
        <f>ROUNDUP(P978+(P978*Assumptions!P$5),-2)</f>
        <v>2000</v>
      </c>
      <c r="R978" s="114">
        <f>ROUNDUP(Q978+(Q978*Assumptions!Q$5),-2)</f>
        <v>2100</v>
      </c>
    </row>
    <row r="979" spans="1:18" x14ac:dyDescent="0.2">
      <c r="A979" s="107"/>
      <c r="B979" s="33"/>
      <c r="C979" s="33"/>
      <c r="D979" s="33"/>
      <c r="E979" s="1955"/>
      <c r="F979" s="554"/>
      <c r="G979" s="33"/>
      <c r="H979" s="138"/>
      <c r="I979" s="33"/>
      <c r="J979" s="33"/>
      <c r="K979" s="33"/>
      <c r="L979" s="33"/>
      <c r="M979" s="33"/>
      <c r="N979" s="33"/>
      <c r="O979" s="33"/>
      <c r="P979" s="33"/>
      <c r="Q979" s="33"/>
      <c r="R979" s="114"/>
    </row>
    <row r="980" spans="1:18" x14ac:dyDescent="0.2">
      <c r="A980" s="107"/>
      <c r="B980" s="33"/>
      <c r="C980" s="33"/>
      <c r="D980" s="33"/>
      <c r="E980" s="344"/>
      <c r="F980" s="64" t="s">
        <v>2778</v>
      </c>
      <c r="G980" s="33"/>
      <c r="H980" s="138"/>
      <c r="I980" s="33"/>
      <c r="J980" s="33"/>
      <c r="K980" s="33"/>
      <c r="L980" s="33"/>
      <c r="M980" s="33"/>
      <c r="N980" s="33"/>
      <c r="O980" s="33"/>
      <c r="P980" s="33"/>
      <c r="Q980" s="33"/>
      <c r="R980" s="114"/>
    </row>
    <row r="981" spans="1:18" x14ac:dyDescent="0.2">
      <c r="A981" s="107">
        <v>0</v>
      </c>
      <c r="B981" s="33">
        <v>8300</v>
      </c>
      <c r="C981" s="33">
        <v>8300</v>
      </c>
      <c r="D981" s="33">
        <v>8200</v>
      </c>
      <c r="E981" s="1097" t="s">
        <v>3544</v>
      </c>
      <c r="F981" s="952" t="s">
        <v>3546</v>
      </c>
      <c r="G981" s="33">
        <v>8200</v>
      </c>
      <c r="H981" s="138">
        <f t="shared" ref="H981:H987" si="794">IF(D981=G981,0,IF(D981=0,100,(G981-D981)/D981*100))</f>
        <v>0</v>
      </c>
      <c r="I981" s="33">
        <f>ROUNDUP(G981+(G981*Assumptions!H$5),-2)</f>
        <v>8400</v>
      </c>
      <c r="J981" s="33">
        <f>ROUNDUP(I981+(I981*Assumptions!I$5),-2)</f>
        <v>8700</v>
      </c>
      <c r="K981" s="33">
        <f>ROUNDUP(J981+(J981*Assumptions!J$5),-2)</f>
        <v>9000</v>
      </c>
      <c r="L981" s="33">
        <f>ROUNDUP(K981+(K981*Assumptions!K$5),-2)</f>
        <v>9300</v>
      </c>
      <c r="M981" s="33">
        <f>ROUNDUP(L981+(L981*Assumptions!L$5),-2)</f>
        <v>9500</v>
      </c>
      <c r="N981" s="33">
        <f>ROUNDUP(M981+(M981*Assumptions!M$5),-2)</f>
        <v>9700</v>
      </c>
      <c r="O981" s="33">
        <f>ROUNDUP(N981+(N981*Assumptions!N$5),-2)</f>
        <v>9900</v>
      </c>
      <c r="P981" s="33">
        <f>ROUNDUP(O981+(O981*Assumptions!O$5),-2)</f>
        <v>10100</v>
      </c>
      <c r="Q981" s="33">
        <f>ROUNDUP(P981+(P981*Assumptions!P$5),-2)</f>
        <v>10400</v>
      </c>
      <c r="R981" s="114">
        <f>ROUNDUP(Q981+(Q981*Assumptions!Q$5),-2)</f>
        <v>10700</v>
      </c>
    </row>
    <row r="982" spans="1:18" x14ac:dyDescent="0.2">
      <c r="A982" s="107">
        <v>0</v>
      </c>
      <c r="B982" s="33">
        <v>21100</v>
      </c>
      <c r="C982" s="33">
        <v>21100</v>
      </c>
      <c r="D982" s="33">
        <v>21100</v>
      </c>
      <c r="E982" s="1097" t="s">
        <v>3545</v>
      </c>
      <c r="F982" s="952" t="s">
        <v>4766</v>
      </c>
      <c r="G982" s="33">
        <v>22000</v>
      </c>
      <c r="H982" s="138">
        <f t="shared" si="794"/>
        <v>4.2654028436018958</v>
      </c>
      <c r="I982" s="33">
        <f>ROUNDUP(G982+(G982*Assumptions!H$5),-2)</f>
        <v>22400</v>
      </c>
      <c r="J982" s="33">
        <f>ROUNDUP(I982+(I982*Assumptions!I$5),-2)</f>
        <v>23000</v>
      </c>
      <c r="K982" s="33">
        <f>ROUNDUP(J982+(J982*Assumptions!J$5),-2)</f>
        <v>23600</v>
      </c>
      <c r="L982" s="33">
        <f>ROUNDUP(K982+(K982*Assumptions!K$5),-2)</f>
        <v>24200</v>
      </c>
      <c r="M982" s="33">
        <f>ROUNDUP(L982+(L982*Assumptions!L$5),-2)</f>
        <v>24700</v>
      </c>
      <c r="N982" s="33">
        <f>ROUNDUP(M982+(M982*Assumptions!M$5),-2)</f>
        <v>25200</v>
      </c>
      <c r="O982" s="33">
        <f>ROUNDUP(N982+(N982*Assumptions!N$5),-2)</f>
        <v>25800</v>
      </c>
      <c r="P982" s="33">
        <f>ROUNDUP(O982+(O982*Assumptions!O$5),-2)</f>
        <v>26400</v>
      </c>
      <c r="Q982" s="33">
        <f>ROUNDUP(P982+(P982*Assumptions!P$5),-2)</f>
        <v>27000</v>
      </c>
      <c r="R982" s="114">
        <f>ROUNDUP(Q982+(Q982*Assumptions!Q$5),-2)</f>
        <v>27600</v>
      </c>
    </row>
    <row r="983" spans="1:18" x14ac:dyDescent="0.2">
      <c r="A983" s="107">
        <v>17900</v>
      </c>
      <c r="B983" s="33">
        <v>18400</v>
      </c>
      <c r="C983" s="33">
        <v>18900</v>
      </c>
      <c r="D983" s="33">
        <v>19300</v>
      </c>
      <c r="E983" s="1955" t="s">
        <v>15</v>
      </c>
      <c r="F983" s="554" t="s">
        <v>1170</v>
      </c>
      <c r="G983" s="33">
        <v>20000</v>
      </c>
      <c r="H983" s="138">
        <f t="shared" si="794"/>
        <v>3.6269430051813467</v>
      </c>
      <c r="I983" s="33">
        <f>ROUNDUP(G983+(G983*Assumptions!H$5),-2)</f>
        <v>20300</v>
      </c>
      <c r="J983" s="33">
        <f>ROUNDUP(I983+(I983*Assumptions!I$5),-2)</f>
        <v>20900</v>
      </c>
      <c r="K983" s="33">
        <f>ROUNDUP(J983+(J983*Assumptions!J$5),-2)</f>
        <v>21500</v>
      </c>
      <c r="L983" s="33">
        <f>ROUNDUP(K983+(K983*Assumptions!K$5),-2)</f>
        <v>22100</v>
      </c>
      <c r="M983" s="33">
        <f>ROUNDUP(L983+(L983*Assumptions!L$5),-2)</f>
        <v>22600</v>
      </c>
      <c r="N983" s="33">
        <f>ROUNDUP(M983+(M983*Assumptions!M$5),-2)</f>
        <v>23100</v>
      </c>
      <c r="O983" s="33">
        <f>ROUNDUP(N983+(N983*Assumptions!N$5),-2)</f>
        <v>23600</v>
      </c>
      <c r="P983" s="33">
        <f>ROUNDUP(O983+(O983*Assumptions!O$5),-2)</f>
        <v>24100</v>
      </c>
      <c r="Q983" s="33">
        <f>ROUNDUP(P983+(P983*Assumptions!P$5),-2)</f>
        <v>24600</v>
      </c>
      <c r="R983" s="114">
        <f>ROUNDUP(Q983+(Q983*Assumptions!Q$5),-2)</f>
        <v>25100</v>
      </c>
    </row>
    <row r="984" spans="1:18" x14ac:dyDescent="0.2">
      <c r="A984" s="107">
        <v>16500</v>
      </c>
      <c r="B984" s="33">
        <v>7200</v>
      </c>
      <c r="C984" s="33">
        <v>5100</v>
      </c>
      <c r="D984" s="33">
        <v>8000</v>
      </c>
      <c r="E984" s="1955" t="s">
        <v>1182</v>
      </c>
      <c r="F984" s="952" t="s">
        <v>4649</v>
      </c>
      <c r="G984" s="33">
        <v>7000</v>
      </c>
      <c r="H984" s="138">
        <f t="shared" si="794"/>
        <v>-12.5</v>
      </c>
      <c r="I984" s="33">
        <f>ROUNDUP(G984+(G984*Assumptions!H$5),-2)</f>
        <v>7200</v>
      </c>
      <c r="J984" s="33">
        <f>ROUNDUP(I984+(I984*Assumptions!I$5),-2)</f>
        <v>7400</v>
      </c>
      <c r="K984" s="33">
        <f>ROUNDUP(J984+(J984*Assumptions!J$5),-2)</f>
        <v>7600</v>
      </c>
      <c r="L984" s="33">
        <f>ROUNDUP(K984+(K984*Assumptions!K$5),-2)</f>
        <v>7800</v>
      </c>
      <c r="M984" s="33">
        <f>ROUNDUP(L984+(L984*Assumptions!L$5),-2)</f>
        <v>8000</v>
      </c>
      <c r="N984" s="33">
        <f>ROUNDUP(M984+(M984*Assumptions!M$5),-2)</f>
        <v>8200</v>
      </c>
      <c r="O984" s="33">
        <f>ROUNDUP(N984+(N984*Assumptions!N$5),-2)</f>
        <v>8400</v>
      </c>
      <c r="P984" s="33">
        <f>ROUNDUP(O984+(O984*Assumptions!O$5),-2)</f>
        <v>8600</v>
      </c>
      <c r="Q984" s="33">
        <f>ROUNDUP(P984+(P984*Assumptions!P$5),-2)</f>
        <v>8800</v>
      </c>
      <c r="R984" s="114">
        <f>ROUNDUP(Q984+(Q984*Assumptions!Q$5),-2)</f>
        <v>9000</v>
      </c>
    </row>
    <row r="985" spans="1:18" x14ac:dyDescent="0.2">
      <c r="A985" s="107">
        <v>400</v>
      </c>
      <c r="B985" s="33">
        <v>3700</v>
      </c>
      <c r="C985" s="33">
        <v>1300</v>
      </c>
      <c r="D985" s="33">
        <v>300</v>
      </c>
      <c r="E985" s="1955" t="s">
        <v>1183</v>
      </c>
      <c r="F985" s="952" t="s">
        <v>4650</v>
      </c>
      <c r="G985" s="33">
        <v>3000</v>
      </c>
      <c r="H985" s="138">
        <f t="shared" si="794"/>
        <v>900</v>
      </c>
      <c r="I985" s="33">
        <f>ROUNDUP(G985+(G985*Assumptions!H$5),-2)</f>
        <v>3100</v>
      </c>
      <c r="J985" s="33">
        <f>ROUNDUP(I985+(I985*Assumptions!I$5),-2)</f>
        <v>3200</v>
      </c>
      <c r="K985" s="33">
        <f>ROUNDUP(J985+(J985*Assumptions!J$5),-2)</f>
        <v>3300</v>
      </c>
      <c r="L985" s="33">
        <f>ROUNDUP(K985+(K985*Assumptions!K$5),-2)</f>
        <v>3400</v>
      </c>
      <c r="M985" s="33">
        <f>ROUNDUP(L985+(L985*Assumptions!L$5),-2)</f>
        <v>3500</v>
      </c>
      <c r="N985" s="33">
        <f>ROUNDUP(M985+(M985*Assumptions!M$5),-2)</f>
        <v>3600</v>
      </c>
      <c r="O985" s="33">
        <f>ROUNDUP(N985+(N985*Assumptions!N$5),-2)</f>
        <v>3700</v>
      </c>
      <c r="P985" s="33">
        <f>ROUNDUP(O985+(O985*Assumptions!O$5),-2)</f>
        <v>3800</v>
      </c>
      <c r="Q985" s="33">
        <f>ROUNDUP(P985+(P985*Assumptions!P$5),-2)</f>
        <v>3900</v>
      </c>
      <c r="R985" s="114">
        <f>ROUNDUP(Q985+(Q985*Assumptions!Q$5),-2)</f>
        <v>4000</v>
      </c>
    </row>
    <row r="986" spans="1:18" x14ac:dyDescent="0.2">
      <c r="A986" s="107">
        <v>500</v>
      </c>
      <c r="B986" s="33">
        <v>200</v>
      </c>
      <c r="C986" s="33">
        <v>2000</v>
      </c>
      <c r="D986" s="33">
        <v>2000</v>
      </c>
      <c r="E986" s="1955" t="s">
        <v>2646</v>
      </c>
      <c r="F986" s="953" t="s">
        <v>4651</v>
      </c>
      <c r="G986" s="33">
        <v>3000</v>
      </c>
      <c r="H986" s="138">
        <f t="shared" si="794"/>
        <v>50</v>
      </c>
      <c r="I986" s="33">
        <f>ROUNDUP(G986+(G986*Assumptions!H$5),-2)</f>
        <v>3100</v>
      </c>
      <c r="J986" s="33">
        <f>ROUNDUP(I986+(I986*Assumptions!I$5),-2)</f>
        <v>3200</v>
      </c>
      <c r="K986" s="33">
        <f>ROUNDUP(J986+(J986*Assumptions!J$5),-2)</f>
        <v>3300</v>
      </c>
      <c r="L986" s="33">
        <f>ROUNDUP(K986+(K986*Assumptions!K$5),-2)</f>
        <v>3400</v>
      </c>
      <c r="M986" s="33">
        <f>ROUNDUP(L986+(L986*Assumptions!L$5),-2)</f>
        <v>3500</v>
      </c>
      <c r="N986" s="33">
        <f>ROUNDUP(M986+(M986*Assumptions!M$5),-2)</f>
        <v>3600</v>
      </c>
      <c r="O986" s="33">
        <f>ROUNDUP(N986+(N986*Assumptions!N$5),-2)</f>
        <v>3700</v>
      </c>
      <c r="P986" s="33">
        <f>ROUNDUP(O986+(O986*Assumptions!O$5),-2)</f>
        <v>3800</v>
      </c>
      <c r="Q986" s="33">
        <f>ROUNDUP(P986+(P986*Assumptions!P$5),-2)</f>
        <v>3900</v>
      </c>
      <c r="R986" s="114">
        <f>ROUNDUP(Q986+(Q986*Assumptions!Q$5),-2)</f>
        <v>4000</v>
      </c>
    </row>
    <row r="987" spans="1:18" x14ac:dyDescent="0.2">
      <c r="A987" s="107">
        <v>26400</v>
      </c>
      <c r="B987" s="33">
        <v>8700</v>
      </c>
      <c r="C987" s="33">
        <v>10200</v>
      </c>
      <c r="D987" s="33">
        <v>6400</v>
      </c>
      <c r="E987" s="1955" t="s">
        <v>66</v>
      </c>
      <c r="F987" s="953" t="s">
        <v>3782</v>
      </c>
      <c r="G987" s="33">
        <v>6000</v>
      </c>
      <c r="H987" s="138">
        <f t="shared" si="794"/>
        <v>-6.25</v>
      </c>
      <c r="I987" s="33">
        <f>ROUNDUP(G987+(G987*Assumptions!H$5),-2)</f>
        <v>6100</v>
      </c>
      <c r="J987" s="33">
        <f>ROUNDUP(I987+(I987*Assumptions!I$5),-2)</f>
        <v>6300</v>
      </c>
      <c r="K987" s="33">
        <f>ROUNDUP(J987+(J987*Assumptions!J$5),-2)</f>
        <v>6500</v>
      </c>
      <c r="L987" s="33">
        <f>ROUNDUP(K987+(K987*Assumptions!K$5),-2)</f>
        <v>6700</v>
      </c>
      <c r="M987" s="33">
        <f>ROUNDUP(L987+(L987*Assumptions!L$5),-2)</f>
        <v>6900</v>
      </c>
      <c r="N987" s="33">
        <f>ROUNDUP(M987+(M987*Assumptions!M$5),-2)</f>
        <v>7100</v>
      </c>
      <c r="O987" s="33">
        <f>ROUNDUP(N987+(N987*Assumptions!N$5),-2)</f>
        <v>7300</v>
      </c>
      <c r="P987" s="33">
        <f>ROUNDUP(O987+(O987*Assumptions!O$5),-2)</f>
        <v>7500</v>
      </c>
      <c r="Q987" s="33">
        <f>ROUNDUP(P987+(P987*Assumptions!P$5),-2)</f>
        <v>7700</v>
      </c>
      <c r="R987" s="114">
        <f>ROUNDUP(Q987+(Q987*Assumptions!Q$5),-2)</f>
        <v>7900</v>
      </c>
    </row>
    <row r="988" spans="1:18" x14ac:dyDescent="0.2">
      <c r="A988" s="107"/>
      <c r="B988" s="33"/>
      <c r="C988" s="33"/>
      <c r="D988" s="33"/>
      <c r="E988" s="1955"/>
      <c r="F988" s="528"/>
      <c r="G988" s="33"/>
      <c r="H988" s="138"/>
      <c r="I988" s="33"/>
      <c r="J988" s="33"/>
      <c r="K988" s="33"/>
      <c r="L988" s="33"/>
      <c r="M988" s="33"/>
      <c r="N988" s="33"/>
      <c r="O988" s="33"/>
      <c r="P988" s="33"/>
      <c r="Q988" s="33"/>
      <c r="R988" s="114"/>
    </row>
    <row r="989" spans="1:18" x14ac:dyDescent="0.2">
      <c r="A989" s="107"/>
      <c r="B989" s="33"/>
      <c r="C989" s="33"/>
      <c r="D989" s="33"/>
      <c r="E989" s="1955"/>
      <c r="F989" s="74" t="s">
        <v>1663</v>
      </c>
      <c r="G989" s="187"/>
      <c r="H989" s="138"/>
      <c r="I989" s="33"/>
      <c r="J989" s="33"/>
      <c r="K989" s="33"/>
      <c r="L989" s="33"/>
      <c r="M989" s="33"/>
      <c r="N989" s="33"/>
      <c r="O989" s="33"/>
      <c r="P989" s="33"/>
      <c r="Q989" s="33"/>
      <c r="R989" s="114"/>
    </row>
    <row r="990" spans="1:18" x14ac:dyDescent="0.2">
      <c r="A990" s="107">
        <v>110000</v>
      </c>
      <c r="B990" s="33">
        <v>69000</v>
      </c>
      <c r="C990" s="33">
        <v>34000</v>
      </c>
      <c r="D990" s="33">
        <v>55000</v>
      </c>
      <c r="E990" s="1955" t="s">
        <v>602</v>
      </c>
      <c r="F990" s="99" t="s">
        <v>347</v>
      </c>
      <c r="G990" s="187">
        <v>36000</v>
      </c>
      <c r="H990" s="138">
        <f>IF(D990=G990,0,IF(D990=0,100,(G990-D990)/D990*100))</f>
        <v>-34.545454545454547</v>
      </c>
      <c r="I990" s="33">
        <f>ROUND(Overheads!I$286*GM!G990/SUM(GM!G$990:G$993),-3)</f>
        <v>40000</v>
      </c>
      <c r="J990" s="33">
        <f>ROUND(I990*Assumptions!I$5+GM!I990,-2)</f>
        <v>41000</v>
      </c>
      <c r="K990" s="33">
        <f>ROUND(J990*Assumptions!J$5+GM!J990,-2)</f>
        <v>42000</v>
      </c>
      <c r="L990" s="33">
        <f>ROUND(K990*Assumptions!K$5+GM!K990,-2)</f>
        <v>43100</v>
      </c>
      <c r="M990" s="33">
        <f>ROUND(L990*Assumptions!L$5+GM!L990,-2)</f>
        <v>44000</v>
      </c>
      <c r="N990" s="33">
        <f>ROUND(M990*Assumptions!M$5+GM!M990,-2)</f>
        <v>44900</v>
      </c>
      <c r="O990" s="33">
        <f>ROUND(N990*Assumptions!N$5+GM!N990,-2)</f>
        <v>45800</v>
      </c>
      <c r="P990" s="33">
        <f>ROUND(O990*Assumptions!O$5+GM!O990,-2)</f>
        <v>46700</v>
      </c>
      <c r="Q990" s="33">
        <f>ROUND(P990*Assumptions!P$5+GM!P990,-2)</f>
        <v>47600</v>
      </c>
      <c r="R990" s="114">
        <f>ROUND(Q990*Assumptions!Q$5+GM!Q990,-2)</f>
        <v>48600</v>
      </c>
    </row>
    <row r="991" spans="1:18" x14ac:dyDescent="0.2">
      <c r="A991" s="107">
        <v>75000</v>
      </c>
      <c r="B991" s="33">
        <v>66000</v>
      </c>
      <c r="C991" s="33">
        <v>32000</v>
      </c>
      <c r="D991" s="33">
        <v>35000</v>
      </c>
      <c r="E991" s="1955" t="s">
        <v>603</v>
      </c>
      <c r="F991" s="528" t="s">
        <v>1858</v>
      </c>
      <c r="G991" s="187">
        <v>33000</v>
      </c>
      <c r="H991" s="138">
        <f>IF(D991=G991,0,IF(D991=0,100,(G991-D991)/D991*100))</f>
        <v>-5.7142857142857144</v>
      </c>
      <c r="I991" s="33">
        <f>ROUND(Overheads!I$286*GM!G991/SUM(GM!G$990:G$993),-3)</f>
        <v>37000</v>
      </c>
      <c r="J991" s="33">
        <f>ROUND(I991*Assumptions!I$5+GM!I991,-2)</f>
        <v>37900</v>
      </c>
      <c r="K991" s="33">
        <f>ROUND(J991*Assumptions!J$5+GM!J991,-2)</f>
        <v>38800</v>
      </c>
      <c r="L991" s="33">
        <f>ROUND(K991*Assumptions!K$5+GM!K991,-2)</f>
        <v>39800</v>
      </c>
      <c r="M991" s="33">
        <f>ROUND(L991*Assumptions!L$5+GM!L991,-2)</f>
        <v>40600</v>
      </c>
      <c r="N991" s="33">
        <f>ROUND(M991*Assumptions!M$5+GM!M991,-2)</f>
        <v>41400</v>
      </c>
      <c r="O991" s="33">
        <f>ROUND(N991*Assumptions!N$5+GM!N991,-2)</f>
        <v>42200</v>
      </c>
      <c r="P991" s="33">
        <f>ROUND(O991*Assumptions!O$5+GM!O991,-2)</f>
        <v>43000</v>
      </c>
      <c r="Q991" s="33">
        <f>ROUND(P991*Assumptions!P$5+GM!P991,-2)</f>
        <v>43900</v>
      </c>
      <c r="R991" s="114">
        <f>ROUND(Q991*Assumptions!Q$5+GM!Q991,-2)</f>
        <v>44800</v>
      </c>
    </row>
    <row r="992" spans="1:18" x14ac:dyDescent="0.2">
      <c r="A992" s="107">
        <v>0</v>
      </c>
      <c r="B992" s="33">
        <v>75000</v>
      </c>
      <c r="C992" s="33">
        <v>37000</v>
      </c>
      <c r="D992" s="33">
        <v>55000</v>
      </c>
      <c r="E992" s="1097" t="s">
        <v>3046</v>
      </c>
      <c r="F992" s="953" t="s">
        <v>3045</v>
      </c>
      <c r="G992" s="187">
        <v>39000</v>
      </c>
      <c r="H992" s="138">
        <f>IF(D992=G992,0,IF(D992=0,100,(G992-D992)/D992*100))</f>
        <v>-29.09090909090909</v>
      </c>
      <c r="I992" s="33">
        <f>ROUND(Overheads!I$286*GM!G992/SUM(GM!G$990:G$993),-3)</f>
        <v>43000</v>
      </c>
      <c r="J992" s="33">
        <f>ROUND(I992*Assumptions!I$5+GM!I992,-2)</f>
        <v>44100</v>
      </c>
      <c r="K992" s="33">
        <f>ROUND(J992*Assumptions!J$5+GM!J992,-2)</f>
        <v>45200</v>
      </c>
      <c r="L992" s="33">
        <f>ROUND(K992*Assumptions!K$5+GM!K992,-2)</f>
        <v>46300</v>
      </c>
      <c r="M992" s="33">
        <f>ROUND(L992*Assumptions!L$5+GM!L992,-2)</f>
        <v>47200</v>
      </c>
      <c r="N992" s="33">
        <v>0</v>
      </c>
      <c r="O992" s="33">
        <f>ROUND(N992*Assumptions!N$5+GM!N992,-2)</f>
        <v>0</v>
      </c>
      <c r="P992" s="33">
        <f>ROUND(O992*Assumptions!O$5+GM!O992,-2)</f>
        <v>0</v>
      </c>
      <c r="Q992" s="33">
        <f>ROUND(P992*Assumptions!P$5+GM!P992,-2)</f>
        <v>0</v>
      </c>
      <c r="R992" s="114">
        <f>ROUND(Q992*Assumptions!Q$5+GM!Q992,-2)</f>
        <v>0</v>
      </c>
    </row>
    <row r="993" spans="1:18" x14ac:dyDescent="0.2">
      <c r="A993" s="107">
        <v>140000</v>
      </c>
      <c r="B993" s="33">
        <v>152000</v>
      </c>
      <c r="C993" s="33">
        <v>75000</v>
      </c>
      <c r="D993" s="33">
        <v>85000</v>
      </c>
      <c r="E993" s="1955" t="s">
        <v>2601</v>
      </c>
      <c r="F993" s="528" t="s">
        <v>2402</v>
      </c>
      <c r="G993" s="187">
        <v>77000</v>
      </c>
      <c r="H993" s="138">
        <f>IF(D993=G993,0,IF(D993=0,100,(G993-D993)/D993*100))</f>
        <v>-9.4117647058823533</v>
      </c>
      <c r="I993" s="33">
        <f>ROUND(Overheads!I$286*GM!G993/SUM(GM!G$990:G$993),-3)</f>
        <v>86000</v>
      </c>
      <c r="J993" s="33">
        <f>ROUND(I993*Assumptions!I$5+GM!I993,-2)</f>
        <v>88200</v>
      </c>
      <c r="K993" s="33">
        <f>ROUND(J993*Assumptions!J$5+GM!J993,-2)</f>
        <v>90400</v>
      </c>
      <c r="L993" s="33">
        <f>ROUND(K993*Assumptions!K$5+GM!K993,-2)</f>
        <v>92700</v>
      </c>
      <c r="M993" s="33">
        <f>ROUND(L993*Assumptions!L$5+GM!L993,-2)</f>
        <v>94600</v>
      </c>
      <c r="N993" s="33">
        <f>ROUND(M993*Assumptions!M$5+GM!M993,-2)</f>
        <v>96500</v>
      </c>
      <c r="O993" s="33">
        <f>ROUND(N993*Assumptions!N$5+GM!N993,-2)</f>
        <v>98400</v>
      </c>
      <c r="P993" s="33">
        <f>ROUND(O993*Assumptions!O$5+GM!O993,-2)</f>
        <v>100400</v>
      </c>
      <c r="Q993" s="33">
        <f>ROUND(P993*Assumptions!P$5+GM!P993,-2)</f>
        <v>102400</v>
      </c>
      <c r="R993" s="114">
        <f>ROUND(Q993*Assumptions!Q$5+GM!Q993,-2)</f>
        <v>104400</v>
      </c>
    </row>
    <row r="994" spans="1:18" x14ac:dyDescent="0.2">
      <c r="A994" s="107"/>
      <c r="B994" s="33"/>
      <c r="C994" s="33"/>
      <c r="D994" s="33"/>
      <c r="E994" s="1955"/>
      <c r="F994" s="1447" t="s">
        <v>265</v>
      </c>
      <c r="G994" s="187"/>
      <c r="H994" s="138"/>
      <c r="I994" s="33"/>
      <c r="J994" s="33"/>
      <c r="K994" s="33"/>
      <c r="L994" s="33"/>
      <c r="M994" s="33"/>
      <c r="N994" s="33"/>
      <c r="O994" s="33"/>
      <c r="P994" s="33"/>
      <c r="Q994" s="33"/>
      <c r="R994" s="114"/>
    </row>
    <row r="995" spans="1:18" x14ac:dyDescent="0.2">
      <c r="A995" s="107">
        <v>150900</v>
      </c>
      <c r="B995" s="33">
        <v>183800</v>
      </c>
      <c r="C995" s="33">
        <v>95100</v>
      </c>
      <c r="D995" s="33">
        <v>97800</v>
      </c>
      <c r="E995" s="1955" t="s">
        <v>1123</v>
      </c>
      <c r="F995" s="132" t="s">
        <v>3742</v>
      </c>
      <c r="G995" s="187">
        <v>95000</v>
      </c>
      <c r="H995" s="138">
        <f>IF(D995=G995,0,IF(D995=0,100,(G995-D995)/D995*100))</f>
        <v>-2.8629856850715747</v>
      </c>
      <c r="I995" s="33">
        <f>ROUNDUP(G995+(G995*Assumptions!H$18),-2)</f>
        <v>96900</v>
      </c>
      <c r="J995" s="33">
        <f>ROUNDUP(I995+(I995*Assumptions!I$18),-2)</f>
        <v>98900</v>
      </c>
      <c r="K995" s="33">
        <f>ROUNDUP(J995+(J995*Assumptions!J$18),-2)</f>
        <v>100900</v>
      </c>
      <c r="L995" s="33">
        <f>ROUNDUP(K995+(K995*Assumptions!K$18),-2)</f>
        <v>103000</v>
      </c>
      <c r="M995" s="33">
        <f>ROUNDUP(L995+(L995*Assumptions!L$18),-2)</f>
        <v>105100</v>
      </c>
      <c r="N995" s="33">
        <f>ROUNDUP(M995+(M995*Assumptions!M$18),-2)</f>
        <v>107300</v>
      </c>
      <c r="O995" s="33">
        <f>ROUNDUP(N995+(N995*Assumptions!N$18),-2)</f>
        <v>109500</v>
      </c>
      <c r="P995" s="33">
        <f>ROUNDUP(O995+(O995*Assumptions!O$18),-2)</f>
        <v>111700</v>
      </c>
      <c r="Q995" s="33">
        <f>ROUNDUP(P995+(P995*Assumptions!P$18),-2)</f>
        <v>114000</v>
      </c>
      <c r="R995" s="114">
        <f>ROUNDUP(Q995+(Q995*Assumptions!Q$18),-2)</f>
        <v>116300</v>
      </c>
    </row>
    <row r="996" spans="1:18" ht="13.5" thickBot="1" x14ac:dyDescent="0.25">
      <c r="A996" s="107"/>
      <c r="B996" s="33"/>
      <c r="C996" s="33"/>
      <c r="D996" s="33"/>
      <c r="E996" s="255"/>
      <c r="F996" s="108"/>
      <c r="G996" s="33"/>
      <c r="H996" s="138"/>
      <c r="I996" s="33"/>
      <c r="J996" s="33"/>
      <c r="K996" s="33"/>
      <c r="L996" s="33"/>
      <c r="M996" s="33"/>
      <c r="N996" s="33"/>
      <c r="O996" s="33"/>
      <c r="P996" s="33"/>
      <c r="Q996" s="33"/>
      <c r="R996" s="114"/>
    </row>
    <row r="997" spans="1:18" s="92" customFormat="1" x14ac:dyDescent="0.2">
      <c r="A997" s="105">
        <f>SUM(A980:A996)+SUM(A917:A978)</f>
        <v>1623600</v>
      </c>
      <c r="B997" s="53">
        <f>SUM(B980:B996)+SUM(B917:B978)</f>
        <v>2617000</v>
      </c>
      <c r="C997" s="53">
        <f>SUM(C980:C996)+SUM(C917:C978)</f>
        <v>1841900</v>
      </c>
      <c r="D997" s="53">
        <f>SUM(D980:D996)+SUM(D917:D978)</f>
        <v>2697100</v>
      </c>
      <c r="E997" s="282"/>
      <c r="F997" s="112" t="s">
        <v>565</v>
      </c>
      <c r="G997" s="53">
        <f>SUM(G980:G996)+SUM(G917:G978)</f>
        <v>2920600</v>
      </c>
      <c r="H997" s="180">
        <f>IF(D997=G997,0,IF(D997=0,100,(G997-D997)/D997*100))</f>
        <v>8.286678284082905</v>
      </c>
      <c r="I997" s="53">
        <f t="shared" ref="I997:R997" si="795">SUM(I980:I996)+SUM(I917:I978)</f>
        <v>1278100</v>
      </c>
      <c r="J997" s="53">
        <f t="shared" si="795"/>
        <v>1311500</v>
      </c>
      <c r="K997" s="53">
        <f t="shared" si="795"/>
        <v>1345200</v>
      </c>
      <c r="L997" s="53">
        <f t="shared" si="795"/>
        <v>1380000</v>
      </c>
      <c r="M997" s="53">
        <f t="shared" si="795"/>
        <v>1411300</v>
      </c>
      <c r="N997" s="53">
        <f t="shared" si="795"/>
        <v>1343500</v>
      </c>
      <c r="O997" s="53">
        <f t="shared" si="795"/>
        <v>1374100</v>
      </c>
      <c r="P997" s="53">
        <f t="shared" si="795"/>
        <v>1405200</v>
      </c>
      <c r="Q997" s="53">
        <f t="shared" si="795"/>
        <v>1437000</v>
      </c>
      <c r="R997" s="113">
        <f t="shared" si="795"/>
        <v>1469200</v>
      </c>
    </row>
    <row r="998" spans="1:18" x14ac:dyDescent="0.2">
      <c r="A998" s="107"/>
      <c r="B998" s="33"/>
      <c r="C998" s="33"/>
      <c r="D998" s="33"/>
      <c r="E998" s="255"/>
      <c r="F998" s="108"/>
      <c r="G998" s="33"/>
      <c r="H998" s="138"/>
      <c r="I998" s="33"/>
      <c r="J998" s="33"/>
      <c r="K998" s="33"/>
      <c r="L998" s="33"/>
      <c r="M998" s="33"/>
      <c r="N998" s="33"/>
      <c r="O998" s="33"/>
      <c r="P998" s="33"/>
      <c r="Q998" s="33"/>
      <c r="R998" s="114"/>
    </row>
    <row r="999" spans="1:18" s="92" customFormat="1" x14ac:dyDescent="0.2">
      <c r="A999" s="70">
        <f>A913-A997</f>
        <v>2623100</v>
      </c>
      <c r="B999" s="64">
        <f>B913-B997</f>
        <v>340400</v>
      </c>
      <c r="C999" s="64">
        <f>C913-C997</f>
        <v>1110800</v>
      </c>
      <c r="D999" s="64">
        <f>D913-D997</f>
        <v>-547900</v>
      </c>
      <c r="E999" s="282"/>
      <c r="F999" s="1963" t="s">
        <v>1019</v>
      </c>
      <c r="G999" s="64">
        <f>G913-G997</f>
        <v>-317900</v>
      </c>
      <c r="H999" s="179">
        <f>IF(D999=G999,0,IF(D999=0,100,(G999-D999)/D999*100))</f>
        <v>-41.978463223215918</v>
      </c>
      <c r="I999" s="64">
        <f t="shared" ref="I999:R999" si="796">I913-I997</f>
        <v>903600</v>
      </c>
      <c r="J999" s="64">
        <f t="shared" si="796"/>
        <v>828200</v>
      </c>
      <c r="K999" s="64">
        <f t="shared" si="796"/>
        <v>902400</v>
      </c>
      <c r="L999" s="64">
        <f t="shared" si="796"/>
        <v>857900</v>
      </c>
      <c r="M999" s="64">
        <f t="shared" si="796"/>
        <v>880000</v>
      </c>
      <c r="N999" s="64">
        <f t="shared" si="796"/>
        <v>992400</v>
      </c>
      <c r="O999" s="64">
        <f t="shared" si="796"/>
        <v>1013800</v>
      </c>
      <c r="P999" s="64">
        <f t="shared" si="796"/>
        <v>1022600</v>
      </c>
      <c r="Q999" s="64">
        <f t="shared" si="796"/>
        <v>1040900</v>
      </c>
      <c r="R999" s="115">
        <f t="shared" si="796"/>
        <v>1058700</v>
      </c>
    </row>
    <row r="1000" spans="1:18" x14ac:dyDescent="0.2">
      <c r="A1000" s="107">
        <f t="shared" ref="A1000:B1000" si="797">A995</f>
        <v>150900</v>
      </c>
      <c r="B1000" s="33">
        <f t="shared" si="797"/>
        <v>183800</v>
      </c>
      <c r="C1000" s="33">
        <f>C995</f>
        <v>95100</v>
      </c>
      <c r="D1000" s="33">
        <f>D995</f>
        <v>97800</v>
      </c>
      <c r="E1000" s="255"/>
      <c r="F1000" s="320" t="s">
        <v>1976</v>
      </c>
      <c r="G1000" s="33">
        <f t="shared" ref="G1000:P1000" si="798">G995</f>
        <v>95000</v>
      </c>
      <c r="H1000" s="827">
        <f>IF(D1000=G1000,0,IF(D1000=0,100,(G1000-D1000)/D1000*100))</f>
        <v>-2.8629856850715747</v>
      </c>
      <c r="I1000" s="33">
        <f t="shared" si="798"/>
        <v>96900</v>
      </c>
      <c r="J1000" s="33">
        <f t="shared" si="798"/>
        <v>98900</v>
      </c>
      <c r="K1000" s="33">
        <f t="shared" si="798"/>
        <v>100900</v>
      </c>
      <c r="L1000" s="33">
        <f t="shared" si="798"/>
        <v>103000</v>
      </c>
      <c r="M1000" s="33">
        <f t="shared" si="798"/>
        <v>105100</v>
      </c>
      <c r="N1000" s="33">
        <f t="shared" si="798"/>
        <v>107300</v>
      </c>
      <c r="O1000" s="33">
        <f t="shared" si="798"/>
        <v>109500</v>
      </c>
      <c r="P1000" s="33">
        <f t="shared" si="798"/>
        <v>111700</v>
      </c>
      <c r="Q1000" s="33">
        <f t="shared" ref="Q1000" si="799">Q995</f>
        <v>114000</v>
      </c>
      <c r="R1000" s="114">
        <f t="shared" ref="R1000" si="800">R995</f>
        <v>116300</v>
      </c>
    </row>
    <row r="1001" spans="1:18" x14ac:dyDescent="0.2">
      <c r="A1001" s="107">
        <f>-A911</f>
        <v>0</v>
      </c>
      <c r="B1001" s="33">
        <f>-B911</f>
        <v>0</v>
      </c>
      <c r="C1001" s="33">
        <f>-C911</f>
        <v>-460100</v>
      </c>
      <c r="D1001" s="33">
        <f>-D911</f>
        <v>0</v>
      </c>
      <c r="E1001" s="255"/>
      <c r="F1001" s="372" t="s">
        <v>5436</v>
      </c>
      <c r="G1001" s="33">
        <f>-G911</f>
        <v>0</v>
      </c>
      <c r="H1001" s="827">
        <f>IF(D1001=G1001,0,IF(D1001=0,100,(G1001-D1001)/D1001*100))</f>
        <v>0</v>
      </c>
      <c r="I1001" s="33">
        <f t="shared" ref="I1001:R1001" si="801">-I911</f>
        <v>0</v>
      </c>
      <c r="J1001" s="33">
        <f t="shared" si="801"/>
        <v>0</v>
      </c>
      <c r="K1001" s="33">
        <f t="shared" si="801"/>
        <v>0</v>
      </c>
      <c r="L1001" s="33">
        <f t="shared" si="801"/>
        <v>0</v>
      </c>
      <c r="M1001" s="33">
        <f t="shared" si="801"/>
        <v>0</v>
      </c>
      <c r="N1001" s="33">
        <f t="shared" si="801"/>
        <v>0</v>
      </c>
      <c r="O1001" s="33">
        <f t="shared" si="801"/>
        <v>0</v>
      </c>
      <c r="P1001" s="33">
        <f t="shared" si="801"/>
        <v>0</v>
      </c>
      <c r="Q1001" s="33">
        <f t="shared" si="801"/>
        <v>0</v>
      </c>
      <c r="R1001" s="114">
        <f t="shared" si="801"/>
        <v>0</v>
      </c>
    </row>
    <row r="1002" spans="1:18" x14ac:dyDescent="0.2">
      <c r="A1002" s="107">
        <f>A937</f>
        <v>-164700</v>
      </c>
      <c r="B1002" s="33">
        <f>B937</f>
        <v>-289900</v>
      </c>
      <c r="C1002" s="33">
        <f>C937</f>
        <v>-725700</v>
      </c>
      <c r="D1002" s="33">
        <f>D937</f>
        <v>319800</v>
      </c>
      <c r="E1002" s="255"/>
      <c r="F1002" s="320" t="s">
        <v>5407</v>
      </c>
      <c r="G1002" s="33">
        <f>G937</f>
        <v>0</v>
      </c>
      <c r="H1002" s="827">
        <f>IF(D1002=G1002,0,IF(D1002=0,100,(G1002-D1002)/D1002*100))</f>
        <v>-100</v>
      </c>
      <c r="I1002" s="33">
        <f t="shared" ref="I1002:R1002" si="802">I937</f>
        <v>0</v>
      </c>
      <c r="J1002" s="33">
        <f t="shared" si="802"/>
        <v>0</v>
      </c>
      <c r="K1002" s="33">
        <f t="shared" si="802"/>
        <v>0</v>
      </c>
      <c r="L1002" s="33">
        <f t="shared" si="802"/>
        <v>0</v>
      </c>
      <c r="M1002" s="33">
        <f t="shared" si="802"/>
        <v>0</v>
      </c>
      <c r="N1002" s="33">
        <f t="shared" si="802"/>
        <v>0</v>
      </c>
      <c r="O1002" s="33">
        <f t="shared" si="802"/>
        <v>0</v>
      </c>
      <c r="P1002" s="33">
        <f t="shared" si="802"/>
        <v>0</v>
      </c>
      <c r="Q1002" s="33">
        <f t="shared" si="802"/>
        <v>0</v>
      </c>
      <c r="R1002" s="114">
        <f t="shared" si="802"/>
        <v>0</v>
      </c>
    </row>
    <row r="1003" spans="1:18" s="92" customFormat="1" x14ac:dyDescent="0.2">
      <c r="A1003" s="181">
        <f t="shared" ref="A1003:C1003" si="803">SUM(A999:A1002)</f>
        <v>2609300</v>
      </c>
      <c r="B1003" s="377">
        <f t="shared" si="803"/>
        <v>234300</v>
      </c>
      <c r="C1003" s="397">
        <f t="shared" si="803"/>
        <v>20100</v>
      </c>
      <c r="D1003" s="397">
        <f t="shared" ref="D1003" si="804">SUM(D999:D1002)</f>
        <v>-130300</v>
      </c>
      <c r="E1003" s="514"/>
      <c r="F1003" s="518" t="s">
        <v>1687</v>
      </c>
      <c r="G1003" s="397">
        <f t="shared" ref="G1003" si="805">SUM(G999:G1002)</f>
        <v>-222900</v>
      </c>
      <c r="H1003" s="395">
        <f>IF(D1003=G1003,0,IF(D1003=0,100,(G1003-D1003)/D1003*100))</f>
        <v>71.066768994627779</v>
      </c>
      <c r="I1003" s="397">
        <f t="shared" ref="I1003" si="806">SUM(I999:I1002)</f>
        <v>1000500</v>
      </c>
      <c r="J1003" s="397">
        <f t="shared" ref="J1003" si="807">SUM(J999:J1002)</f>
        <v>927100</v>
      </c>
      <c r="K1003" s="397">
        <f t="shared" ref="K1003" si="808">SUM(K999:K1002)</f>
        <v>1003300</v>
      </c>
      <c r="L1003" s="397">
        <f t="shared" ref="L1003" si="809">SUM(L999:L1002)</f>
        <v>960900</v>
      </c>
      <c r="M1003" s="397">
        <f t="shared" ref="M1003" si="810">SUM(M999:M1002)</f>
        <v>985100</v>
      </c>
      <c r="N1003" s="397">
        <f t="shared" ref="N1003" si="811">SUM(N999:N1002)</f>
        <v>1099700</v>
      </c>
      <c r="O1003" s="397">
        <f t="shared" ref="O1003" si="812">SUM(O999:O1002)</f>
        <v>1123300</v>
      </c>
      <c r="P1003" s="397">
        <f t="shared" ref="P1003:Q1003" si="813">SUM(P999:P1002)</f>
        <v>1134300</v>
      </c>
      <c r="Q1003" s="397">
        <f t="shared" si="813"/>
        <v>1154900</v>
      </c>
      <c r="R1003" s="399">
        <f t="shared" ref="R1003" si="814">SUM(R999:R1002)</f>
        <v>1175000</v>
      </c>
    </row>
    <row r="1004" spans="1:18" ht="13.5" thickBot="1" x14ac:dyDescent="0.25">
      <c r="A1004" s="171"/>
      <c r="B1004" s="166"/>
      <c r="C1004" s="66"/>
      <c r="D1004" s="66"/>
      <c r="E1004" s="558"/>
      <c r="F1004" s="380"/>
      <c r="G1004" s="66"/>
      <c r="H1004" s="140"/>
      <c r="I1004" s="121"/>
      <c r="J1004" s="121"/>
      <c r="K1004" s="121"/>
      <c r="L1004" s="121"/>
      <c r="M1004" s="121"/>
      <c r="N1004" s="121"/>
      <c r="O1004" s="121"/>
      <c r="P1004" s="121"/>
      <c r="Q1004" s="121"/>
      <c r="R1004" s="161"/>
    </row>
    <row r="1005" spans="1:18" ht="13.5" thickTop="1" x14ac:dyDescent="0.2">
      <c r="A1005" s="70"/>
      <c r="B1005" s="128"/>
      <c r="C1005" s="64"/>
      <c r="D1005" s="64"/>
      <c r="E1005" s="283"/>
      <c r="F1005" s="516" t="s">
        <v>196</v>
      </c>
      <c r="G1005" s="33"/>
      <c r="H1005" s="179"/>
      <c r="I1005" s="33"/>
      <c r="J1005" s="33"/>
      <c r="K1005" s="33"/>
      <c r="L1005" s="33"/>
      <c r="M1005" s="33"/>
      <c r="N1005" s="33"/>
      <c r="O1005" s="33"/>
      <c r="P1005" s="33"/>
      <c r="Q1005" s="33"/>
      <c r="R1005" s="114"/>
    </row>
    <row r="1006" spans="1:18" x14ac:dyDescent="0.2">
      <c r="A1006" s="107">
        <v>0</v>
      </c>
      <c r="B1006" s="142">
        <v>0</v>
      </c>
      <c r="C1006" s="142">
        <v>0</v>
      </c>
      <c r="D1006" s="33">
        <v>0</v>
      </c>
      <c r="E1006" s="238"/>
      <c r="F1006" s="366" t="s">
        <v>2900</v>
      </c>
      <c r="G1006" s="33">
        <v>0</v>
      </c>
      <c r="H1006" s="138"/>
      <c r="I1006" s="33">
        <v>0</v>
      </c>
      <c r="J1006" s="33">
        <v>0</v>
      </c>
      <c r="K1006" s="33">
        <v>0</v>
      </c>
      <c r="L1006" s="33">
        <v>0</v>
      </c>
      <c r="M1006" s="33">
        <v>0</v>
      </c>
      <c r="N1006" s="33">
        <v>0</v>
      </c>
      <c r="O1006" s="33">
        <f>ROUND('Debt-Gen'!Y13,-2)</f>
        <v>0</v>
      </c>
      <c r="P1006" s="33">
        <f>ROUND('Debt-Gen'!AA13,-2)</f>
        <v>0</v>
      </c>
      <c r="Q1006" s="33">
        <f>ROUND('Debt-Gen'!AC13,-2)</f>
        <v>0</v>
      </c>
      <c r="R1006" s="114">
        <f>ROUND('Debt-Gen'!AD13,-2)</f>
        <v>0</v>
      </c>
    </row>
    <row r="1007" spans="1:18" x14ac:dyDescent="0.2">
      <c r="A1007" s="107">
        <v>5763500</v>
      </c>
      <c r="B1007" s="142">
        <v>5053800</v>
      </c>
      <c r="C1007" s="33">
        <v>6355900</v>
      </c>
      <c r="D1007" s="33">
        <f>'Res-Gen'!B84+SUM('Res-Gen'!B111:B117)+'Res-Gen'!B103-SUM('Res-Gen'!B82:B82)+15000+64400-'Res-Gen'!B102-'Res-Gen'!B114-'Res-Gen'!B70-'Res-Gen'!B71</f>
        <v>4392100</v>
      </c>
      <c r="E1007" s="238"/>
      <c r="F1007" s="366" t="s">
        <v>1942</v>
      </c>
      <c r="G1007" s="33">
        <f>'Res-Gen'!E84++SUM('Res-Gen'!E111:E117)+'Res-Gen'!E103</f>
        <v>7806500</v>
      </c>
      <c r="H1007" s="138"/>
      <c r="I1007" s="33">
        <f>'Res-Gen'!H84++SUM('Res-Gen'!H111:H117)+'Res-Gen'!H103</f>
        <v>6557700</v>
      </c>
      <c r="J1007" s="33">
        <f>'Res-Gen'!K84++SUM('Res-Gen'!K111:K117)+'Res-Gen'!K103</f>
        <v>6258000</v>
      </c>
      <c r="K1007" s="33">
        <f>'Res-Gen'!N84++SUM('Res-Gen'!N111:N117)+'Res-Gen'!N103</f>
        <v>6349000</v>
      </c>
      <c r="L1007" s="33">
        <f>'Res-Gen'!Q84++SUM('Res-Gen'!Q111:Q117)+'Res-Gen'!Q103</f>
        <v>5606600</v>
      </c>
      <c r="M1007" s="33">
        <f>'Res-Gen'!T84++SUM('Res-Gen'!T111:T117)+'Res-Gen'!T103</f>
        <v>4346600</v>
      </c>
      <c r="N1007" s="33">
        <f>'Res-Gen'!W84++SUM('Res-Gen'!W111:W117)+'Res-Gen'!W103</f>
        <v>3377200</v>
      </c>
      <c r="O1007" s="33">
        <f>'Res-Gen'!Z84++SUM('Res-Gen'!Z111:Z117)+'Res-Gen'!Z103</f>
        <v>2915100</v>
      </c>
      <c r="P1007" s="33">
        <f>'Res-Gen'!AC84++SUM('Res-Gen'!AC111:AC117)+'Res-Gen'!AC103</f>
        <v>3640600</v>
      </c>
      <c r="Q1007" s="33">
        <f>'Res-Gen'!AF84++SUM('Res-Gen'!AF111:AF117)+'Res-Gen'!AF103</f>
        <v>3675600</v>
      </c>
      <c r="R1007" s="114">
        <f>'Res-Gen'!AI84++SUM('Res-Gen'!AI111:AI117)+'Res-Gen'!AI103</f>
        <v>3710200</v>
      </c>
    </row>
    <row r="1008" spans="1:18" x14ac:dyDescent="0.2">
      <c r="A1008" s="107">
        <f>6925900</f>
        <v>6925900</v>
      </c>
      <c r="B1008" s="142">
        <v>4428400</v>
      </c>
      <c r="C1008" s="33">
        <v>6732200</v>
      </c>
      <c r="D1008" s="33">
        <f>'Res-Gen'!C84++'Res-Gen'!C103+SUM('Res-Gen'!C111:C117)+'Sec 94'!E84-SUM('Res-Gen'!C82:C82)++'Sec 94'!E51+'Sec 94'!E91-'Res-Gen'!C66-'Res-Gen'!C65-'Res-Gen'!C71-'Res-Gen'!C74-'Res-Gen'!C99-'Res-Gen'!C67-'Res-Gen'!C63+196200</f>
        <v>3237000</v>
      </c>
      <c r="E1008" s="238"/>
      <c r="F1008" s="366" t="s">
        <v>2348</v>
      </c>
      <c r="G1008" s="33">
        <f>'Res-Gen'!F84++'Res-Gen'!F103+SUM('Res-Gen'!F111:F117)+'Sec 94'!F84++'Sec 94'!F91-'Res-Gen'!F73-'Res-Gen'!F82-'Res-Gen'!F74-'Res-Gen'!F62-'Res-Gen'!F76-'Res-Gen'!F77-'Res-Gen'!F69-'Res-Gen'!F70-'Res-Gen'!F71-'Res-Gen'!F72-'Res-Gen'!F75</f>
        <v>7193000</v>
      </c>
      <c r="H1008" s="138"/>
      <c r="I1008" s="33">
        <f>'Res-Gen'!I84++'Res-Gen'!I103+SUM('Res-Gen'!I111:I117)+'Sec 94'!G84-'Res-Gen'!I82+'Sec 94'!G91-'Res-Gen'!I73-'Res-Gen'!I62-'Res-Gen'!I78-'Res-Gen'!I99-'Res-Gen'!I68</f>
        <v>4441200</v>
      </c>
      <c r="J1008" s="33">
        <f>'Res-Gen'!L84+'Res-Gen'!L103+SUM('Res-Gen'!L111:L117)+'Sec 94'!H84-SUM('Res-Gen'!L82:L82)+'Sec 94'!H51-'Res-Gen'!L77-'Res-Gen'!L78</f>
        <v>2935900</v>
      </c>
      <c r="K1008" s="33">
        <f>'Res-Gen'!O84++'Res-Gen'!O103+SUM('Res-Gen'!O111:O117)+'Sec 94'!I84-SUM('Res-Gen'!O82:O82)++'Sec 94'!I51-'Res-Gen'!O77</f>
        <v>7570700</v>
      </c>
      <c r="L1008" s="33">
        <f>'Res-Gen'!R84++'Res-Gen'!R103+SUM('Res-Gen'!R111:R117)+'Sec 94'!J84-SUM('Res-Gen'!R82:R82)++'Sec 94'!J51-'Res-Gen'!R77</f>
        <v>3235700</v>
      </c>
      <c r="M1008" s="33">
        <f>'Res-Gen'!U84++'Res-Gen'!U103+SUM('Res-Gen'!U111:U117)+'Sec 94'!K84-SUM('Res-Gen'!U82:U82)++'Sec 94'!K51</f>
        <v>2401500</v>
      </c>
      <c r="N1008" s="33">
        <f>'Res-Gen'!X84++'Res-Gen'!X103+SUM('Res-Gen'!X111:X117)+'Sec 94'!L84-SUM('Res-Gen'!X82:X82)++'Sec 94'!L51</f>
        <v>1717500</v>
      </c>
      <c r="O1008" s="33">
        <f>'Res-Gen'!AA84++'Res-Gen'!AA103+SUM('Res-Gen'!AA111:AA117)+'Sec 94'!M84-SUM('Res-Gen'!AA82:AA82)++'Sec 94'!M51</f>
        <v>2231800</v>
      </c>
      <c r="P1008" s="33">
        <f>'Res-Gen'!AD84++'Res-Gen'!AD103+SUM('Res-Gen'!AD111:AD117)+'Sec 94'!N84-SUM('Res-Gen'!AD82:AD82)++'Sec 94'!N51</f>
        <v>1946300</v>
      </c>
      <c r="Q1008" s="33">
        <f>'Res-Gen'!AG84++'Res-Gen'!AG103+SUM('Res-Gen'!AG111:AG117)+'Sec 94'!O84-SUM('Res-Gen'!AG82:AG82)++'Sec 94'!O51</f>
        <v>1960700</v>
      </c>
      <c r="R1008" s="114">
        <f>'Res-Gen'!AJ84++'Res-Gen'!AJ103+SUM('Res-Gen'!AJ111:AJ117)+'Sec 94'!P84-SUM('Res-Gen'!AJ82:AJ82)++'Sec 94'!P51</f>
        <v>1975200</v>
      </c>
    </row>
    <row r="1009" spans="1:18" x14ac:dyDescent="0.2">
      <c r="A1009" s="107">
        <v>4459000</v>
      </c>
      <c r="B1009" s="142">
        <v>1615200</v>
      </c>
      <c r="C1009" s="33">
        <f>'Cap Inc'!A129++SUM('Cap Inc'!A10:A11)-'Cap Inc'!A126</f>
        <v>3340400</v>
      </c>
      <c r="D1009" s="33">
        <f>'Cap Inc'!B129++SUM('Cap Inc'!B10:B11)</f>
        <v>2286400</v>
      </c>
      <c r="E1009" s="238"/>
      <c r="F1009" s="366" t="s">
        <v>5984</v>
      </c>
      <c r="G1009" s="33">
        <f>'Cap Inc'!E129</f>
        <v>5432400</v>
      </c>
      <c r="H1009" s="138"/>
      <c r="I1009" s="33">
        <f>'Cap Inc'!F129</f>
        <v>4516000</v>
      </c>
      <c r="J1009" s="33">
        <f>'Cap Inc'!G129</f>
        <v>4475000</v>
      </c>
      <c r="K1009" s="33">
        <f>'Cap Inc'!H129-'Cap Inc'!H124</f>
        <v>4475000</v>
      </c>
      <c r="L1009" s="33">
        <f>'Cap Inc'!I129-'Cap Inc'!I124</f>
        <v>2760000</v>
      </c>
      <c r="M1009" s="33">
        <f>'Cap Inc'!J129</f>
        <v>1360000</v>
      </c>
      <c r="N1009" s="33">
        <f>'Cap Inc'!K129</f>
        <v>960000</v>
      </c>
      <c r="O1009" s="33">
        <f>'Cap Inc'!L129</f>
        <v>960000</v>
      </c>
      <c r="P1009" s="33">
        <f>'Cap Inc'!M129</f>
        <v>960000</v>
      </c>
      <c r="Q1009" s="33">
        <f>'Cap Inc'!N129</f>
        <v>960000</v>
      </c>
      <c r="R1009" s="114">
        <f>'Cap Inc'!O129</f>
        <v>960000</v>
      </c>
    </row>
    <row r="1010" spans="1:18" x14ac:dyDescent="0.2">
      <c r="A1010" s="107">
        <v>6351700</v>
      </c>
      <c r="B1010" s="142">
        <v>1171800</v>
      </c>
      <c r="C1010" s="142">
        <v>4191700</v>
      </c>
      <c r="D1010" s="33">
        <f>SUM('Cap-Gen'!E38:E52)</f>
        <v>817000</v>
      </c>
      <c r="E1010" s="238"/>
      <c r="F1010" s="366" t="s">
        <v>972</v>
      </c>
      <c r="G1010" s="33">
        <f>SUM('Cap-Gen'!F38:F52)</f>
        <v>4396000</v>
      </c>
      <c r="H1010" s="138"/>
      <c r="I1010" s="33">
        <f>SUM('Cap-Gen'!G38:G52)</f>
        <v>3000000</v>
      </c>
      <c r="J1010" s="33">
        <f>SUM('Cap-Gen'!H38:H52)</f>
        <v>1680000</v>
      </c>
      <c r="K1010" s="33">
        <f>SUM('Cap-Gen'!I38:I52)</f>
        <v>6300000</v>
      </c>
      <c r="L1010" s="33">
        <f>SUM('Cap-Gen'!J38:J52)</f>
        <v>950000</v>
      </c>
      <c r="M1010" s="33">
        <f>SUM('Cap-Gen'!K38:K52)</f>
        <v>0</v>
      </c>
      <c r="N1010" s="33">
        <f>SUM('Cap-Gen'!L38:L52)</f>
        <v>0</v>
      </c>
      <c r="O1010" s="33">
        <f>SUM('Cap-Gen'!M38:M52)</f>
        <v>1000000</v>
      </c>
      <c r="P1010" s="33">
        <f>SUM('Cap-Gen'!N38:N52)</f>
        <v>0</v>
      </c>
      <c r="Q1010" s="33">
        <f>SUM('Cap-Gen'!O38:O52)</f>
        <v>0</v>
      </c>
      <c r="R1010" s="114">
        <f>SUM('Cap-Gen'!P38:P52)</f>
        <v>0</v>
      </c>
    </row>
    <row r="1011" spans="1:18" s="92" customFormat="1" ht="13.5" thickBot="1" x14ac:dyDescent="0.25">
      <c r="A1011" s="1719">
        <f>A1003-A1006-A1007+A1008++A1009-A1010</f>
        <v>1879000</v>
      </c>
      <c r="B1011" s="1728">
        <f>B1003-B1006-B1007+B1008++B1009-B1010</f>
        <v>52300</v>
      </c>
      <c r="C1011" s="1720">
        <f>C1003-C1006-C1007+C1008++C1009-C1010</f>
        <v>-454900</v>
      </c>
      <c r="D1011" s="1720">
        <f>D1003-D1006-D1007+D1008++D1009-D1010</f>
        <v>184000</v>
      </c>
      <c r="E1011" s="1729"/>
      <c r="F1011" s="1722" t="s">
        <v>2490</v>
      </c>
      <c r="G1011" s="1720">
        <f>G1003-G1006-G1007+G1008++G1009-G1010</f>
        <v>200000</v>
      </c>
      <c r="H1011" s="1724">
        <f>IF(D1011=G1011,0,IF(D1011=0,100,(G1011-D1011)/D1011*100))</f>
        <v>8.695652173913043</v>
      </c>
      <c r="I1011" s="1720">
        <f t="shared" ref="I1011:P1011" si="815">I1003-I1006-I1007+I1008++I1009-I1010</f>
        <v>400000</v>
      </c>
      <c r="J1011" s="1720">
        <f t="shared" si="815"/>
        <v>400000</v>
      </c>
      <c r="K1011" s="1720">
        <f t="shared" si="815"/>
        <v>400000</v>
      </c>
      <c r="L1011" s="1720">
        <f t="shared" si="815"/>
        <v>400000</v>
      </c>
      <c r="M1011" s="1720">
        <f t="shared" si="815"/>
        <v>400000</v>
      </c>
      <c r="N1011" s="1720">
        <f t="shared" si="815"/>
        <v>400000</v>
      </c>
      <c r="O1011" s="1720">
        <f t="shared" si="815"/>
        <v>400000</v>
      </c>
      <c r="P1011" s="1720">
        <f t="shared" si="815"/>
        <v>400000</v>
      </c>
      <c r="Q1011" s="1720">
        <f t="shared" ref="Q1011" si="816">Q1003-Q1006-Q1007+Q1008++Q1009-Q1010</f>
        <v>400000</v>
      </c>
      <c r="R1011" s="1725">
        <f t="shared" ref="R1011" si="817">R1003-R1006-R1007+R1008++R1009-R1010</f>
        <v>400000</v>
      </c>
    </row>
    <row r="1012" spans="1:18" ht="14.25" thickTop="1" thickBot="1" x14ac:dyDescent="0.25">
      <c r="A1012" s="74"/>
      <c r="B1012" s="74"/>
      <c r="C1012" s="74"/>
      <c r="D1012" s="74"/>
      <c r="E1012" s="273"/>
      <c r="F1012" s="137"/>
      <c r="G1012" s="74"/>
      <c r="H1012" s="74"/>
      <c r="I1012" s="74"/>
      <c r="J1012" s="74"/>
      <c r="K1012" s="74"/>
      <c r="L1012" s="74"/>
      <c r="M1012" s="74"/>
      <c r="N1012" s="74"/>
      <c r="O1012" s="74"/>
      <c r="P1012" s="74"/>
      <c r="Q1012" s="74"/>
      <c r="R1012" s="74"/>
    </row>
    <row r="1013" spans="1:18" s="91" customFormat="1" ht="18.75" customHeight="1" thickTop="1" thickBot="1" x14ac:dyDescent="0.3">
      <c r="A1013" s="2862" t="s">
        <v>1299</v>
      </c>
      <c r="B1013" s="2863"/>
      <c r="C1013" s="2863"/>
      <c r="D1013" s="2863"/>
      <c r="E1013" s="2863"/>
      <c r="F1013" s="2863"/>
      <c r="G1013" s="2863"/>
      <c r="H1013" s="2863"/>
      <c r="I1013" s="2863"/>
      <c r="J1013" s="2863"/>
      <c r="K1013" s="2863"/>
      <c r="L1013" s="2863"/>
      <c r="M1013" s="2863"/>
      <c r="N1013" s="2863"/>
      <c r="O1013" s="2863"/>
      <c r="P1013" s="2863"/>
      <c r="Q1013" s="2863"/>
      <c r="R1013" s="2864"/>
    </row>
    <row r="1014" spans="1:18" s="44" customFormat="1" x14ac:dyDescent="0.2">
      <c r="A1014" s="2888" t="s">
        <v>1856</v>
      </c>
      <c r="B1014" s="2889"/>
      <c r="C1014" s="2889"/>
      <c r="D1014" s="2890"/>
      <c r="E1014" s="513" t="s">
        <v>2663</v>
      </c>
      <c r="F1014" s="2649" t="s">
        <v>2251</v>
      </c>
      <c r="G1014" s="2885" t="s">
        <v>2253</v>
      </c>
      <c r="H1014" s="2886"/>
      <c r="I1014" s="2886"/>
      <c r="J1014" s="2886"/>
      <c r="K1014" s="2886"/>
      <c r="L1014" s="2886"/>
      <c r="M1014" s="2886"/>
      <c r="N1014" s="2886"/>
      <c r="O1014" s="2886"/>
      <c r="P1014" s="2886"/>
      <c r="Q1014" s="2886"/>
      <c r="R1014" s="2887"/>
    </row>
    <row r="1015" spans="1:18" s="23" customFormat="1" ht="13.5" thickBot="1" x14ac:dyDescent="0.25">
      <c r="A1015" s="208" t="str">
        <f>A3</f>
        <v>2012/13</v>
      </c>
      <c r="B1015" s="218" t="str">
        <f>B3</f>
        <v>2013/14</v>
      </c>
      <c r="C1015" s="370" t="str">
        <f>C3</f>
        <v>2014/15</v>
      </c>
      <c r="D1015" s="93" t="str">
        <f>D3</f>
        <v>2015/16</v>
      </c>
      <c r="E1015" s="370" t="s">
        <v>2664</v>
      </c>
      <c r="F1015" s="42"/>
      <c r="G1015" s="93" t="str">
        <f>G3</f>
        <v>2016/17</v>
      </c>
      <c r="H1015" s="2492" t="s">
        <v>501</v>
      </c>
      <c r="I1015" s="370" t="str">
        <f t="shared" ref="I1015:R1015" si="818">I3</f>
        <v>2017/18</v>
      </c>
      <c r="J1015" s="370" t="str">
        <f t="shared" si="818"/>
        <v>2018/19</v>
      </c>
      <c r="K1015" s="370" t="str">
        <f t="shared" si="818"/>
        <v>2019/20</v>
      </c>
      <c r="L1015" s="370" t="str">
        <f t="shared" si="818"/>
        <v>2020/21</v>
      </c>
      <c r="M1015" s="370" t="str">
        <f t="shared" si="818"/>
        <v>2021/22</v>
      </c>
      <c r="N1015" s="370" t="str">
        <f t="shared" si="818"/>
        <v>2022/23</v>
      </c>
      <c r="O1015" s="370" t="str">
        <f t="shared" si="818"/>
        <v>2023/24</v>
      </c>
      <c r="P1015" s="370" t="str">
        <f t="shared" si="818"/>
        <v>2024/25</v>
      </c>
      <c r="Q1015" s="218" t="str">
        <f t="shared" si="818"/>
        <v>2025/26</v>
      </c>
      <c r="R1015" s="549" t="str">
        <f t="shared" si="818"/>
        <v>2026/27</v>
      </c>
    </row>
    <row r="1016" spans="1:18" x14ac:dyDescent="0.2">
      <c r="A1016" s="107"/>
      <c r="B1016" s="33"/>
      <c r="C1016" s="33"/>
      <c r="D1016" s="33"/>
      <c r="E1016" s="252"/>
      <c r="F1016" s="74"/>
      <c r="G1016" s="33"/>
      <c r="H1016" s="138"/>
      <c r="I1016" s="33"/>
      <c r="J1016" s="33"/>
      <c r="K1016" s="33"/>
      <c r="L1016" s="33"/>
      <c r="M1016" s="33"/>
      <c r="N1016" s="33"/>
      <c r="O1016" s="33"/>
      <c r="P1016" s="33"/>
      <c r="Q1016" s="33"/>
      <c r="R1016" s="114"/>
    </row>
    <row r="1017" spans="1:18" x14ac:dyDescent="0.2">
      <c r="A1017" s="107"/>
      <c r="B1017" s="33"/>
      <c r="C1017" s="33"/>
      <c r="D1017" s="33"/>
      <c r="E1017" s="252"/>
      <c r="F1017" s="144" t="s">
        <v>1073</v>
      </c>
      <c r="G1017" s="33"/>
      <c r="H1017" s="138"/>
      <c r="I1017" s="33"/>
      <c r="J1017" s="33"/>
      <c r="K1017" s="33"/>
      <c r="L1017" s="33"/>
      <c r="M1017" s="33"/>
      <c r="N1017" s="33"/>
      <c r="O1017" s="33"/>
      <c r="P1017" s="33"/>
      <c r="Q1017" s="33"/>
      <c r="R1017" s="114"/>
    </row>
    <row r="1018" spans="1:18" x14ac:dyDescent="0.2">
      <c r="A1018" s="107"/>
      <c r="B1018" s="33"/>
      <c r="C1018" s="33"/>
      <c r="D1018" s="33"/>
      <c r="E1018" s="252"/>
      <c r="F1018" s="144"/>
      <c r="G1018" s="33"/>
      <c r="H1018" s="138"/>
      <c r="I1018" s="33"/>
      <c r="J1018" s="33"/>
      <c r="K1018" s="33"/>
      <c r="L1018" s="33"/>
      <c r="M1018" s="33"/>
      <c r="N1018" s="33"/>
      <c r="O1018" s="33"/>
      <c r="P1018" s="33"/>
      <c r="Q1018" s="33"/>
      <c r="R1018" s="114"/>
    </row>
    <row r="1019" spans="1:18" x14ac:dyDescent="0.2">
      <c r="A1019" s="107"/>
      <c r="B1019" s="33"/>
      <c r="C1019" s="33"/>
      <c r="D1019" s="33"/>
      <c r="E1019" s="252"/>
      <c r="F1019" s="145" t="s">
        <v>3244</v>
      </c>
      <c r="G1019" s="33"/>
      <c r="H1019" s="138"/>
      <c r="I1019" s="33"/>
      <c r="J1019" s="33"/>
      <c r="K1019" s="33"/>
      <c r="L1019" s="33"/>
      <c r="M1019" s="33"/>
      <c r="N1019" s="33"/>
      <c r="O1019" s="33"/>
      <c r="P1019" s="33"/>
      <c r="Q1019" s="33"/>
      <c r="R1019" s="114"/>
    </row>
    <row r="1020" spans="1:18" x14ac:dyDescent="0.2">
      <c r="A1020" s="107">
        <v>345500</v>
      </c>
      <c r="B1020" s="33">
        <v>412800</v>
      </c>
      <c r="C1020" s="33">
        <v>422300</v>
      </c>
      <c r="D1020" s="33">
        <v>411000</v>
      </c>
      <c r="E1020" s="1955" t="s">
        <v>2226</v>
      </c>
      <c r="F1020" s="99" t="s">
        <v>580</v>
      </c>
      <c r="G1020" s="33">
        <v>420300</v>
      </c>
      <c r="H1020" s="138">
        <f>IF(D1020=G1020,0,IF(D1020=0,100,(G1020-D1020)/D1020*100))</f>
        <v>2.2627737226277373</v>
      </c>
      <c r="I1020" s="33">
        <f>ROUNDUP(G1020+(G1020*Assumptions!H$5),-2)</f>
        <v>426700</v>
      </c>
      <c r="J1020" s="33">
        <f>ROUNDUP(I1020+(I1020*Assumptions!I$5),-2)</f>
        <v>437400</v>
      </c>
      <c r="K1020" s="33">
        <f>ROUNDUP(J1020+(J1020*Assumptions!J$5),-2)</f>
        <v>448400</v>
      </c>
      <c r="L1020" s="33">
        <f>ROUNDUP(K1020+(K1020*Assumptions!K$5),-2)</f>
        <v>459700</v>
      </c>
      <c r="M1020" s="33">
        <f>ROUNDUP(L1020+(L1020*Assumptions!L$5),-2)</f>
        <v>468900</v>
      </c>
      <c r="N1020" s="33">
        <f>ROUNDUP(M1020+(M1020*Assumptions!M$5),-2)</f>
        <v>478300</v>
      </c>
      <c r="O1020" s="33">
        <f>ROUNDUP(N1020+(N1020*Assumptions!N$5),-2)</f>
        <v>487900</v>
      </c>
      <c r="P1020" s="33">
        <f>ROUNDUP(O1020+(O1020*Assumptions!O$5),-2)</f>
        <v>497700</v>
      </c>
      <c r="Q1020" s="33">
        <f>ROUNDUP(P1020+(P1020*Assumptions!P$5),-2)</f>
        <v>507700</v>
      </c>
      <c r="R1020" s="114">
        <f>ROUNDUP(Q1020+(Q1020*Assumptions!Q$5),-2)</f>
        <v>517900</v>
      </c>
    </row>
    <row r="1021" spans="1:18" x14ac:dyDescent="0.2">
      <c r="A1021" s="107">
        <v>9200</v>
      </c>
      <c r="B1021" s="33">
        <v>9800</v>
      </c>
      <c r="C1021" s="33">
        <v>10100</v>
      </c>
      <c r="D1021" s="33">
        <v>10600</v>
      </c>
      <c r="E1021" s="1955" t="s">
        <v>243</v>
      </c>
      <c r="F1021" s="99" t="s">
        <v>1511</v>
      </c>
      <c r="G1021" s="33">
        <v>10000</v>
      </c>
      <c r="H1021" s="138">
        <f>IF(D1021=G1021,0,IF(D1021=0,100,(G1021-D1021)/D1021*100))</f>
        <v>-5.6603773584905666</v>
      </c>
      <c r="I1021" s="33">
        <f>ROUNDUP(G1021+(G1021*Assumptions!H$5),-2)</f>
        <v>10200</v>
      </c>
      <c r="J1021" s="33">
        <f>ROUNDUP(I1021+(I1021*Assumptions!I$5),-2)</f>
        <v>10500</v>
      </c>
      <c r="K1021" s="33">
        <f>ROUNDUP(J1021+(J1021*Assumptions!J$5),-2)</f>
        <v>10800</v>
      </c>
      <c r="L1021" s="33">
        <f>ROUNDUP(K1021+(K1021*Assumptions!K$5),-2)</f>
        <v>11100</v>
      </c>
      <c r="M1021" s="33">
        <f>ROUNDUP(L1021+(L1021*Assumptions!L$5),-2)</f>
        <v>11400</v>
      </c>
      <c r="N1021" s="33">
        <f>ROUNDUP(M1021+(M1021*Assumptions!M$5),-2)</f>
        <v>11700</v>
      </c>
      <c r="O1021" s="33">
        <f>ROUNDUP(N1021+(N1021*Assumptions!N$5),-2)</f>
        <v>12000</v>
      </c>
      <c r="P1021" s="33">
        <f>ROUNDUP(O1021+(O1021*Assumptions!O$5),-2)</f>
        <v>12300</v>
      </c>
      <c r="Q1021" s="33">
        <f>ROUNDUP(P1021+(P1021*Assumptions!P$5),-2)</f>
        <v>12600</v>
      </c>
      <c r="R1021" s="114">
        <f>ROUNDUP(Q1021+(Q1021*Assumptions!Q$5),-2)</f>
        <v>12900</v>
      </c>
    </row>
    <row r="1022" spans="1:18" ht="13.5" thickBot="1" x14ac:dyDescent="0.25">
      <c r="A1022" s="70"/>
      <c r="B1022" s="64"/>
      <c r="C1022" s="64"/>
      <c r="D1022" s="64"/>
      <c r="E1022" s="343"/>
      <c r="F1022" s="74"/>
      <c r="G1022" s="33"/>
      <c r="H1022" s="179"/>
      <c r="I1022" s="33"/>
      <c r="J1022" s="33"/>
      <c r="K1022" s="33"/>
      <c r="L1022" s="33"/>
      <c r="M1022" s="33"/>
      <c r="N1022" s="33"/>
      <c r="O1022" s="33"/>
      <c r="P1022" s="33"/>
      <c r="Q1022" s="33"/>
      <c r="R1022" s="114"/>
    </row>
    <row r="1023" spans="1:18" x14ac:dyDescent="0.2">
      <c r="A1023" s="105">
        <f>SUM(A1018:A1022)</f>
        <v>354700</v>
      </c>
      <c r="B1023" s="53">
        <f>SUM(B1018:B1022)</f>
        <v>422600</v>
      </c>
      <c r="C1023" s="53">
        <f>SUM(C1018:C1022)</f>
        <v>432400</v>
      </c>
      <c r="D1023" s="53">
        <f>SUM(D1018:D1022)</f>
        <v>421600</v>
      </c>
      <c r="E1023" s="343"/>
      <c r="F1023" s="112" t="s">
        <v>2605</v>
      </c>
      <c r="G1023" s="53">
        <f t="shared" ref="G1023:O1023" si="819">SUM(G1018:G1022)</f>
        <v>430300</v>
      </c>
      <c r="H1023" s="180">
        <f>IF(D1023=G1023,0,IF(D1023=0,100,(G1023-D1023)/D1023*100))</f>
        <v>2.0635673624288429</v>
      </c>
      <c r="I1023" s="53">
        <f t="shared" si="819"/>
        <v>436900</v>
      </c>
      <c r="J1023" s="53">
        <f t="shared" si="819"/>
        <v>447900</v>
      </c>
      <c r="K1023" s="53">
        <f t="shared" si="819"/>
        <v>459200</v>
      </c>
      <c r="L1023" s="53">
        <f t="shared" si="819"/>
        <v>470800</v>
      </c>
      <c r="M1023" s="53">
        <f t="shared" si="819"/>
        <v>480300</v>
      </c>
      <c r="N1023" s="53">
        <f t="shared" si="819"/>
        <v>490000</v>
      </c>
      <c r="O1023" s="53">
        <f t="shared" si="819"/>
        <v>499900</v>
      </c>
      <c r="P1023" s="53">
        <f t="shared" ref="P1023:Q1023" si="820">SUM(P1018:P1022)</f>
        <v>510000</v>
      </c>
      <c r="Q1023" s="53">
        <f t="shared" si="820"/>
        <v>520300</v>
      </c>
      <c r="R1023" s="113">
        <f t="shared" ref="R1023" si="821">SUM(R1018:R1022)</f>
        <v>530800</v>
      </c>
    </row>
    <row r="1024" spans="1:18" x14ac:dyDescent="0.2">
      <c r="A1024" s="107"/>
      <c r="B1024" s="33"/>
      <c r="C1024" s="33"/>
      <c r="D1024" s="33"/>
      <c r="E1024" s="343"/>
      <c r="F1024" s="112"/>
      <c r="G1024" s="33"/>
      <c r="H1024" s="138"/>
      <c r="I1024" s="33"/>
      <c r="J1024" s="33"/>
      <c r="K1024" s="33"/>
      <c r="L1024" s="33"/>
      <c r="M1024" s="33"/>
      <c r="N1024" s="33"/>
      <c r="O1024" s="33"/>
      <c r="P1024" s="33"/>
      <c r="Q1024" s="33"/>
      <c r="R1024" s="114"/>
    </row>
    <row r="1025" spans="1:18" x14ac:dyDescent="0.2">
      <c r="A1025" s="107"/>
      <c r="B1025" s="33"/>
      <c r="C1025" s="33"/>
      <c r="D1025" s="33"/>
      <c r="E1025" s="343"/>
      <c r="F1025" s="144" t="s">
        <v>2205</v>
      </c>
      <c r="G1025" s="33"/>
      <c r="H1025" s="138"/>
      <c r="I1025" s="33"/>
      <c r="J1025" s="33"/>
      <c r="K1025" s="33"/>
      <c r="L1025" s="33"/>
      <c r="M1025" s="33"/>
      <c r="N1025" s="33"/>
      <c r="O1025" s="33"/>
      <c r="P1025" s="33"/>
      <c r="Q1025" s="33"/>
      <c r="R1025" s="114"/>
    </row>
    <row r="1026" spans="1:18" x14ac:dyDescent="0.2">
      <c r="A1026" s="107"/>
      <c r="B1026" s="33"/>
      <c r="C1026" s="33"/>
      <c r="D1026" s="33"/>
      <c r="E1026" s="343"/>
      <c r="F1026" s="144"/>
      <c r="G1026" s="33"/>
      <c r="H1026" s="138"/>
      <c r="I1026" s="33"/>
      <c r="J1026" s="33"/>
      <c r="K1026" s="33"/>
      <c r="L1026" s="33"/>
      <c r="M1026" s="33"/>
      <c r="N1026" s="33"/>
      <c r="O1026" s="33"/>
      <c r="P1026" s="33"/>
      <c r="Q1026" s="33"/>
      <c r="R1026" s="114"/>
    </row>
    <row r="1027" spans="1:18" x14ac:dyDescent="0.2">
      <c r="A1027" s="107"/>
      <c r="B1027" s="33"/>
      <c r="C1027" s="33"/>
      <c r="D1027" s="33"/>
      <c r="E1027" s="343"/>
      <c r="F1027" s="74" t="s">
        <v>49</v>
      </c>
      <c r="G1027" s="33"/>
      <c r="H1027" s="138"/>
      <c r="I1027" s="33"/>
      <c r="J1027" s="33"/>
      <c r="K1027" s="33"/>
      <c r="L1027" s="33"/>
      <c r="M1027" s="33"/>
      <c r="N1027" s="33"/>
      <c r="O1027" s="33"/>
      <c r="P1027" s="33"/>
      <c r="Q1027" s="33"/>
      <c r="R1027" s="114"/>
    </row>
    <row r="1028" spans="1:18" x14ac:dyDescent="0.2">
      <c r="A1028" s="107">
        <v>5800</v>
      </c>
      <c r="B1028" s="33">
        <v>3500</v>
      </c>
      <c r="C1028" s="33">
        <f>5500+1500</f>
        <v>7000</v>
      </c>
      <c r="D1028" s="33">
        <v>5600</v>
      </c>
      <c r="E1028" s="343" t="s">
        <v>633</v>
      </c>
      <c r="F1028" s="111" t="s">
        <v>4196</v>
      </c>
      <c r="G1028" s="33">
        <v>5700</v>
      </c>
      <c r="H1028" s="138">
        <f t="shared" ref="H1028:H1044" si="822">IF(D1028=G1028,0,IF(D1028=0,100,(G1028-D1028)/D1028*100))</f>
        <v>1.7857142857142856</v>
      </c>
      <c r="I1028" s="33">
        <f>ROUNDUP(G1028+(G1028*Assumptions!H$5),-2)</f>
        <v>5800</v>
      </c>
      <c r="J1028" s="33">
        <f>ROUNDUP(I1028+(I1028*Assumptions!I$5),-2)</f>
        <v>6000</v>
      </c>
      <c r="K1028" s="33">
        <f>ROUNDUP(J1028+(J1028*Assumptions!J$5),-2)</f>
        <v>6200</v>
      </c>
      <c r="L1028" s="33">
        <f>ROUNDUP(K1028+(K1028*Assumptions!K$5),-2)</f>
        <v>6400</v>
      </c>
      <c r="M1028" s="33">
        <f>ROUNDUP(L1028+(L1028*Assumptions!L$5),-2)</f>
        <v>6600</v>
      </c>
      <c r="N1028" s="33">
        <f>ROUNDUP(M1028+(M1028*Assumptions!M$5),-2)</f>
        <v>6800</v>
      </c>
      <c r="O1028" s="33">
        <f>ROUNDUP(N1028+(N1028*Assumptions!N$5),-2)</f>
        <v>7000</v>
      </c>
      <c r="P1028" s="33">
        <f>ROUNDUP(O1028+(O1028*Assumptions!O$5),-2)</f>
        <v>7200</v>
      </c>
      <c r="Q1028" s="33">
        <f>ROUNDUP(P1028+(P1028*Assumptions!P$5),-2)</f>
        <v>7400</v>
      </c>
      <c r="R1028" s="114">
        <f>ROUNDUP(Q1028+(Q1028*Assumptions!Q$5),-2)</f>
        <v>7600</v>
      </c>
    </row>
    <row r="1029" spans="1:18" x14ac:dyDescent="0.2">
      <c r="A1029" s="107">
        <v>300</v>
      </c>
      <c r="B1029" s="33">
        <v>1100</v>
      </c>
      <c r="C1029" s="33">
        <v>0</v>
      </c>
      <c r="D1029" s="33">
        <v>0</v>
      </c>
      <c r="E1029" s="343" t="s">
        <v>1635</v>
      </c>
      <c r="F1029" s="111" t="s">
        <v>648</v>
      </c>
      <c r="G1029" s="33">
        <v>1100</v>
      </c>
      <c r="H1029" s="138">
        <f t="shared" si="822"/>
        <v>100</v>
      </c>
      <c r="I1029" s="33">
        <f>ROUNDUP(G1029+(G1029*Assumptions!H$5),-2)</f>
        <v>1200</v>
      </c>
      <c r="J1029" s="33">
        <f>ROUNDUP(I1029+(I1029*Assumptions!I$5),-2)</f>
        <v>1300</v>
      </c>
      <c r="K1029" s="33">
        <f>ROUNDUP(J1029+(J1029*Assumptions!J$5),-2)</f>
        <v>1400</v>
      </c>
      <c r="L1029" s="33">
        <f>ROUNDUP(K1029+(K1029*Assumptions!K$5),-2)</f>
        <v>1500</v>
      </c>
      <c r="M1029" s="33">
        <f>ROUNDUP(L1029+(L1029*Assumptions!L$5),-2)</f>
        <v>1600</v>
      </c>
      <c r="N1029" s="33">
        <f>ROUNDUP(M1029+(M1029*Assumptions!M$5),-2)</f>
        <v>1700</v>
      </c>
      <c r="O1029" s="33">
        <f>ROUNDUP(N1029+(N1029*Assumptions!N$5),-2)</f>
        <v>1800</v>
      </c>
      <c r="P1029" s="33">
        <f>ROUNDUP(O1029+(O1029*Assumptions!O$5),-2)</f>
        <v>1900</v>
      </c>
      <c r="Q1029" s="33">
        <f>ROUNDUP(P1029+(P1029*Assumptions!P$5),-2)</f>
        <v>2000</v>
      </c>
      <c r="R1029" s="114">
        <f>ROUNDUP(Q1029+(Q1029*Assumptions!Q$5),-2)</f>
        <v>2100</v>
      </c>
    </row>
    <row r="1030" spans="1:18" x14ac:dyDescent="0.2">
      <c r="A1030" s="107">
        <v>900</v>
      </c>
      <c r="B1030" s="33">
        <v>800</v>
      </c>
      <c r="C1030" s="33">
        <v>2200</v>
      </c>
      <c r="D1030" s="33">
        <v>0</v>
      </c>
      <c r="E1030" s="343" t="s">
        <v>1636</v>
      </c>
      <c r="F1030" s="111" t="s">
        <v>1855</v>
      </c>
      <c r="G1030" s="33">
        <v>2100</v>
      </c>
      <c r="H1030" s="138">
        <f t="shared" si="822"/>
        <v>100</v>
      </c>
      <c r="I1030" s="33">
        <f>ROUNDUP(G1030+(G1030*Assumptions!H$5),-2)</f>
        <v>2200</v>
      </c>
      <c r="J1030" s="33">
        <f>ROUNDUP(I1030+(I1030*Assumptions!I$5),-2)</f>
        <v>2300</v>
      </c>
      <c r="K1030" s="33">
        <f>ROUNDUP(J1030+(J1030*Assumptions!J$5),-2)</f>
        <v>2400</v>
      </c>
      <c r="L1030" s="33">
        <f>ROUNDUP(K1030+(K1030*Assumptions!K$5),-2)</f>
        <v>2500</v>
      </c>
      <c r="M1030" s="33">
        <f>ROUNDUP(L1030+(L1030*Assumptions!L$5),-2)</f>
        <v>2600</v>
      </c>
      <c r="N1030" s="33">
        <f>ROUNDUP(M1030+(M1030*Assumptions!M$5),-2)</f>
        <v>2700</v>
      </c>
      <c r="O1030" s="33">
        <f>ROUNDUP(N1030+(N1030*Assumptions!N$5),-2)</f>
        <v>2800</v>
      </c>
      <c r="P1030" s="33">
        <f>ROUNDUP(O1030+(O1030*Assumptions!O$5),-2)</f>
        <v>2900</v>
      </c>
      <c r="Q1030" s="33">
        <f>ROUNDUP(P1030+(P1030*Assumptions!P$5),-2)</f>
        <v>3000</v>
      </c>
      <c r="R1030" s="114">
        <f>ROUNDUP(Q1030+(Q1030*Assumptions!Q$5),-2)</f>
        <v>3100</v>
      </c>
    </row>
    <row r="1031" spans="1:18" x14ac:dyDescent="0.2">
      <c r="A1031" s="107">
        <v>2700</v>
      </c>
      <c r="B1031" s="33">
        <v>2900</v>
      </c>
      <c r="C1031" s="33">
        <v>3400</v>
      </c>
      <c r="D1031" s="33">
        <v>3500</v>
      </c>
      <c r="E1031" s="343" t="s">
        <v>2735</v>
      </c>
      <c r="F1031" s="108" t="s">
        <v>719</v>
      </c>
      <c r="G1031" s="33">
        <v>3200</v>
      </c>
      <c r="H1031" s="138">
        <f t="shared" si="822"/>
        <v>-8.5714285714285712</v>
      </c>
      <c r="I1031" s="33">
        <f>ROUNDUP(G1031+(G1031*Assumptions!H$5),-2)</f>
        <v>3300</v>
      </c>
      <c r="J1031" s="33">
        <f>ROUNDUP(I1031+(I1031*Assumptions!I$5),-2)</f>
        <v>3400</v>
      </c>
      <c r="K1031" s="33">
        <f>ROUNDUP(J1031+(J1031*Assumptions!J$5),-2)</f>
        <v>3500</v>
      </c>
      <c r="L1031" s="33">
        <f>ROUNDUP(K1031+(K1031*Assumptions!K$5),-2)</f>
        <v>3600</v>
      </c>
      <c r="M1031" s="33">
        <f>ROUNDUP(L1031+(L1031*Assumptions!L$5),-2)</f>
        <v>3700</v>
      </c>
      <c r="N1031" s="33">
        <f>ROUNDUP(M1031+(M1031*Assumptions!M$5),-2)</f>
        <v>3800</v>
      </c>
      <c r="O1031" s="33">
        <f>ROUNDUP(N1031+(N1031*Assumptions!N$5),-2)</f>
        <v>3900</v>
      </c>
      <c r="P1031" s="33">
        <f>ROUNDUP(O1031+(O1031*Assumptions!O$5),-2)</f>
        <v>4000</v>
      </c>
      <c r="Q1031" s="33">
        <f>ROUNDUP(P1031+(P1031*Assumptions!P$5),-2)</f>
        <v>4100</v>
      </c>
      <c r="R1031" s="114">
        <f>ROUNDUP(Q1031+(Q1031*Assumptions!Q$5),-2)</f>
        <v>4200</v>
      </c>
    </row>
    <row r="1032" spans="1:18" x14ac:dyDescent="0.2">
      <c r="A1032" s="107">
        <v>1400</v>
      </c>
      <c r="B1032" s="33">
        <v>1500</v>
      </c>
      <c r="C1032" s="33">
        <v>1300</v>
      </c>
      <c r="D1032" s="33">
        <v>1200</v>
      </c>
      <c r="E1032" s="343" t="s">
        <v>2734</v>
      </c>
      <c r="F1032" s="108" t="s">
        <v>2774</v>
      </c>
      <c r="G1032" s="33">
        <v>1700</v>
      </c>
      <c r="H1032" s="138">
        <f t="shared" si="822"/>
        <v>41.666666666666671</v>
      </c>
      <c r="I1032" s="33">
        <f>ROUNDUP(G1032+(G1032*Assumptions!H$5),-2)</f>
        <v>1800</v>
      </c>
      <c r="J1032" s="33">
        <f>ROUNDUP(I1032+(I1032*Assumptions!I$5),-2)</f>
        <v>1900</v>
      </c>
      <c r="K1032" s="33">
        <f>ROUNDUP(J1032+(J1032*Assumptions!J$5),-2)</f>
        <v>2000</v>
      </c>
      <c r="L1032" s="33">
        <f>ROUNDUP(K1032+(K1032*Assumptions!K$5),-2)</f>
        <v>2100</v>
      </c>
      <c r="M1032" s="33">
        <f>ROUNDUP(L1032+(L1032*Assumptions!L$5),-2)</f>
        <v>2200</v>
      </c>
      <c r="N1032" s="33">
        <f>ROUNDUP(M1032+(M1032*Assumptions!M$5),-2)</f>
        <v>2300</v>
      </c>
      <c r="O1032" s="33">
        <f>ROUNDUP(N1032+(N1032*Assumptions!N$5),-2)</f>
        <v>2400</v>
      </c>
      <c r="P1032" s="33">
        <f>ROUNDUP(O1032+(O1032*Assumptions!O$5),-2)</f>
        <v>2500</v>
      </c>
      <c r="Q1032" s="33">
        <f>ROUNDUP(P1032+(P1032*Assumptions!P$5),-2)</f>
        <v>2600</v>
      </c>
      <c r="R1032" s="114">
        <f>ROUNDUP(Q1032+(Q1032*Assumptions!Q$5),-2)</f>
        <v>2700</v>
      </c>
    </row>
    <row r="1033" spans="1:18" x14ac:dyDescent="0.2">
      <c r="A1033" s="107">
        <v>12400</v>
      </c>
      <c r="B1033" s="33">
        <v>17000</v>
      </c>
      <c r="C1033" s="33">
        <v>19000</v>
      </c>
      <c r="D1033" s="33">
        <v>22600</v>
      </c>
      <c r="E1033" s="343" t="s">
        <v>1051</v>
      </c>
      <c r="F1033" s="108" t="s">
        <v>1317</v>
      </c>
      <c r="G1033" s="33">
        <v>16500</v>
      </c>
      <c r="H1033" s="138">
        <f t="shared" si="822"/>
        <v>-26.991150442477874</v>
      </c>
      <c r="I1033" s="33">
        <f>ROUNDUP(G1033+(G1033*Assumptions!H$5),-2)</f>
        <v>16800</v>
      </c>
      <c r="J1033" s="33">
        <f>ROUNDUP(I1033+(I1033*Assumptions!I$5),-2)</f>
        <v>17300</v>
      </c>
      <c r="K1033" s="33">
        <f>ROUNDUP(J1033+(J1033*Assumptions!J$5),-2)</f>
        <v>17800</v>
      </c>
      <c r="L1033" s="33">
        <f>ROUNDUP(K1033+(K1033*Assumptions!K$5),-2)</f>
        <v>18300</v>
      </c>
      <c r="M1033" s="33">
        <f>ROUNDUP(L1033+(L1033*Assumptions!L$5),-2)</f>
        <v>18700</v>
      </c>
      <c r="N1033" s="33">
        <f>ROUNDUP(M1033+(M1033*Assumptions!M$5),-2)</f>
        <v>19100</v>
      </c>
      <c r="O1033" s="33">
        <f>ROUNDUP(N1033+(N1033*Assumptions!N$5),-2)</f>
        <v>19500</v>
      </c>
      <c r="P1033" s="33">
        <f>ROUNDUP(O1033+(O1033*Assumptions!O$5),-2)</f>
        <v>19900</v>
      </c>
      <c r="Q1033" s="33">
        <f>ROUNDUP(P1033+(P1033*Assumptions!P$5),-2)</f>
        <v>20300</v>
      </c>
      <c r="R1033" s="114">
        <f>ROUNDUP(Q1033+(Q1033*Assumptions!Q$5),-2)</f>
        <v>20800</v>
      </c>
    </row>
    <row r="1034" spans="1:18" x14ac:dyDescent="0.2">
      <c r="A1034" s="107">
        <v>1500</v>
      </c>
      <c r="B1034" s="33">
        <v>1200</v>
      </c>
      <c r="C1034" s="33">
        <v>1400</v>
      </c>
      <c r="D1034" s="33">
        <v>800</v>
      </c>
      <c r="E1034" s="343" t="s">
        <v>1924</v>
      </c>
      <c r="F1034" s="108" t="s">
        <v>676</v>
      </c>
      <c r="G1034" s="33">
        <v>3100</v>
      </c>
      <c r="H1034" s="138">
        <f t="shared" si="822"/>
        <v>287.5</v>
      </c>
      <c r="I1034" s="33">
        <f>ROUNDUP(G1034+(G1034*Assumptions!H$5),-2)</f>
        <v>3200</v>
      </c>
      <c r="J1034" s="33">
        <f>ROUNDUP(I1034+(I1034*Assumptions!I$5),-2)</f>
        <v>3300</v>
      </c>
      <c r="K1034" s="33">
        <f>ROUNDUP(J1034+(J1034*Assumptions!J$5),-2)</f>
        <v>3400</v>
      </c>
      <c r="L1034" s="33">
        <f>ROUNDUP(K1034+(K1034*Assumptions!K$5),-2)</f>
        <v>3500</v>
      </c>
      <c r="M1034" s="33">
        <f>ROUNDUP(L1034+(L1034*Assumptions!L$5),-2)</f>
        <v>3600</v>
      </c>
      <c r="N1034" s="33">
        <f>ROUNDUP(M1034+(M1034*Assumptions!M$5),-2)</f>
        <v>3700</v>
      </c>
      <c r="O1034" s="33">
        <f>ROUNDUP(N1034+(N1034*Assumptions!N$5),-2)</f>
        <v>3800</v>
      </c>
      <c r="P1034" s="33">
        <f>ROUNDUP(O1034+(O1034*Assumptions!O$5),-2)</f>
        <v>3900</v>
      </c>
      <c r="Q1034" s="33">
        <f>ROUNDUP(P1034+(P1034*Assumptions!P$5),-2)</f>
        <v>4000</v>
      </c>
      <c r="R1034" s="114">
        <f>ROUNDUP(Q1034+(Q1034*Assumptions!Q$5),-2)</f>
        <v>4100</v>
      </c>
    </row>
    <row r="1035" spans="1:18" x14ac:dyDescent="0.2">
      <c r="A1035" s="107">
        <v>4600</v>
      </c>
      <c r="B1035" s="33">
        <v>10200</v>
      </c>
      <c r="C1035" s="33">
        <v>9000</v>
      </c>
      <c r="D1035" s="33">
        <v>700</v>
      </c>
      <c r="E1035" s="343" t="s">
        <v>1050</v>
      </c>
      <c r="F1035" s="111" t="s">
        <v>3744</v>
      </c>
      <c r="G1035" s="33">
        <v>10200</v>
      </c>
      <c r="H1035" s="138">
        <f t="shared" si="822"/>
        <v>1357.1428571428571</v>
      </c>
      <c r="I1035" s="33">
        <f>ROUNDUP(G1035+(G1035*Assumptions!H$5),-2)</f>
        <v>10400</v>
      </c>
      <c r="J1035" s="33">
        <f>ROUNDUP(I1035+(I1035*Assumptions!I$5),-2)</f>
        <v>10700</v>
      </c>
      <c r="K1035" s="33">
        <f>ROUNDUP(J1035+(J1035*Assumptions!J$5),-2)</f>
        <v>11000</v>
      </c>
      <c r="L1035" s="33">
        <f>ROUNDUP(K1035+(K1035*Assumptions!K$5),-2)</f>
        <v>11300</v>
      </c>
      <c r="M1035" s="33">
        <f>ROUNDUP(L1035+(L1035*Assumptions!L$5),-2)</f>
        <v>11600</v>
      </c>
      <c r="N1035" s="33">
        <f>ROUNDUP(M1035+(M1035*Assumptions!M$5),-2)</f>
        <v>11900</v>
      </c>
      <c r="O1035" s="33">
        <f>ROUNDUP(N1035+(N1035*Assumptions!N$5),-2)</f>
        <v>12200</v>
      </c>
      <c r="P1035" s="33">
        <f>ROUNDUP(O1035+(O1035*Assumptions!O$5),-2)</f>
        <v>12500</v>
      </c>
      <c r="Q1035" s="33">
        <f>ROUNDUP(P1035+(P1035*Assumptions!P$5),-2)</f>
        <v>12800</v>
      </c>
      <c r="R1035" s="114">
        <f>ROUNDUP(Q1035+(Q1035*Assumptions!Q$5),-2)</f>
        <v>13100</v>
      </c>
    </row>
    <row r="1036" spans="1:18" x14ac:dyDescent="0.2">
      <c r="A1036" s="107">
        <v>9200</v>
      </c>
      <c r="B1036" s="33">
        <v>7200</v>
      </c>
      <c r="C1036" s="33">
        <v>11800</v>
      </c>
      <c r="D1036" s="33">
        <v>6500</v>
      </c>
      <c r="E1036" s="343" t="s">
        <v>385</v>
      </c>
      <c r="F1036" s="108" t="s">
        <v>192</v>
      </c>
      <c r="G1036" s="33">
        <v>10000</v>
      </c>
      <c r="H1036" s="138">
        <f t="shared" si="822"/>
        <v>53.846153846153847</v>
      </c>
      <c r="I1036" s="33">
        <f>ROUNDUP(G1036+(G1036*Assumptions!H$5),-2)</f>
        <v>10200</v>
      </c>
      <c r="J1036" s="33">
        <f>ROUNDUP(I1036+(I1036*Assumptions!I$5),-2)</f>
        <v>10500</v>
      </c>
      <c r="K1036" s="33">
        <f>ROUNDUP(J1036+(J1036*Assumptions!J$5),-2)</f>
        <v>10800</v>
      </c>
      <c r="L1036" s="33">
        <f>ROUNDUP(K1036+(K1036*Assumptions!K$5),-2)</f>
        <v>11100</v>
      </c>
      <c r="M1036" s="33">
        <f>ROUNDUP(L1036+(L1036*Assumptions!L$5),-2)</f>
        <v>11400</v>
      </c>
      <c r="N1036" s="33">
        <f>ROUNDUP(M1036+(M1036*Assumptions!M$5),-2)</f>
        <v>11700</v>
      </c>
      <c r="O1036" s="33">
        <f>ROUNDUP(N1036+(N1036*Assumptions!N$5),-2)</f>
        <v>12000</v>
      </c>
      <c r="P1036" s="33">
        <f>ROUNDUP(O1036+(O1036*Assumptions!O$5),-2)</f>
        <v>12300</v>
      </c>
      <c r="Q1036" s="33">
        <f>ROUNDUP(P1036+(P1036*Assumptions!P$5),-2)</f>
        <v>12600</v>
      </c>
      <c r="R1036" s="114">
        <f>ROUNDUP(Q1036+(Q1036*Assumptions!Q$5),-2)</f>
        <v>12900</v>
      </c>
    </row>
    <row r="1037" spans="1:18" x14ac:dyDescent="0.2">
      <c r="A1037" s="107">
        <v>3300</v>
      </c>
      <c r="B1037" s="33">
        <v>3700</v>
      </c>
      <c r="C1037" s="33">
        <v>2400</v>
      </c>
      <c r="D1037" s="33">
        <v>4800</v>
      </c>
      <c r="E1037" s="343" t="s">
        <v>1536</v>
      </c>
      <c r="F1037" s="108" t="s">
        <v>1157</v>
      </c>
      <c r="G1037" s="33">
        <v>4300</v>
      </c>
      <c r="H1037" s="138">
        <f t="shared" si="822"/>
        <v>-10.416666666666668</v>
      </c>
      <c r="I1037" s="33">
        <f>ROUNDUP(G1037+(G1037*Assumptions!H$5),-2)</f>
        <v>4400</v>
      </c>
      <c r="J1037" s="33">
        <f>ROUNDUP(I1037+(I1037*Assumptions!I$5),-2)</f>
        <v>4600</v>
      </c>
      <c r="K1037" s="33">
        <f>ROUNDUP(J1037+(J1037*Assumptions!J$5),-2)</f>
        <v>4800</v>
      </c>
      <c r="L1037" s="33">
        <f>ROUNDUP(K1037+(K1037*Assumptions!K$5),-2)</f>
        <v>5000</v>
      </c>
      <c r="M1037" s="33">
        <f>ROUNDUP(L1037+(L1037*Assumptions!L$5),-2)</f>
        <v>5100</v>
      </c>
      <c r="N1037" s="33">
        <f>ROUNDUP(M1037+(M1037*Assumptions!M$5),-2)</f>
        <v>5300</v>
      </c>
      <c r="O1037" s="33">
        <f>ROUNDUP(N1037+(N1037*Assumptions!N$5),-2)</f>
        <v>5500</v>
      </c>
      <c r="P1037" s="33">
        <f>ROUNDUP(O1037+(O1037*Assumptions!O$5),-2)</f>
        <v>5700</v>
      </c>
      <c r="Q1037" s="33">
        <f>ROUNDUP(P1037+(P1037*Assumptions!P$5),-2)</f>
        <v>5900</v>
      </c>
      <c r="R1037" s="114">
        <f>ROUNDUP(Q1037+(Q1037*Assumptions!Q$5),-2)</f>
        <v>6100</v>
      </c>
    </row>
    <row r="1038" spans="1:18" x14ac:dyDescent="0.2">
      <c r="A1038" s="107">
        <v>131500</v>
      </c>
      <c r="B1038" s="33">
        <v>148100</v>
      </c>
      <c r="C1038" s="33">
        <v>152300</v>
      </c>
      <c r="D1038" s="33">
        <v>151500</v>
      </c>
      <c r="E1038" s="343" t="s">
        <v>1537</v>
      </c>
      <c r="F1038" s="108" t="s">
        <v>606</v>
      </c>
      <c r="G1038" s="33">
        <v>157100</v>
      </c>
      <c r="H1038" s="138">
        <f t="shared" si="822"/>
        <v>3.6963696369636962</v>
      </c>
      <c r="I1038" s="33">
        <f>ROUNDUP(G1038+(G1038*Assumptions!H$5),-2)</f>
        <v>159500</v>
      </c>
      <c r="J1038" s="33">
        <f>ROUNDUP(I1038+(I1038*Assumptions!I$5),-2)</f>
        <v>163500</v>
      </c>
      <c r="K1038" s="33">
        <f>ROUNDUP(J1038+(J1038*Assumptions!J$5),-2)</f>
        <v>167600</v>
      </c>
      <c r="L1038" s="33">
        <f>ROUNDUP(K1038+(K1038*Assumptions!K$5),-2)</f>
        <v>171800</v>
      </c>
      <c r="M1038" s="33">
        <f>ROUNDUP(L1038+(L1038*Assumptions!L$5),-2)</f>
        <v>175300</v>
      </c>
      <c r="N1038" s="33">
        <f>ROUNDUP(M1038+(M1038*Assumptions!M$5),-2)</f>
        <v>178900</v>
      </c>
      <c r="O1038" s="33">
        <f>ROUNDUP(N1038+(N1038*Assumptions!N$5),-2)</f>
        <v>182500</v>
      </c>
      <c r="P1038" s="33">
        <f>ROUNDUP(O1038+(O1038*Assumptions!O$5),-2)</f>
        <v>186200</v>
      </c>
      <c r="Q1038" s="33">
        <f>ROUNDUP(P1038+(P1038*Assumptions!P$5),-2)</f>
        <v>190000</v>
      </c>
      <c r="R1038" s="114">
        <f>ROUNDUP(Q1038+(Q1038*Assumptions!Q$5),-2)</f>
        <v>193800</v>
      </c>
    </row>
    <row r="1039" spans="1:18" x14ac:dyDescent="0.2">
      <c r="A1039" s="107">
        <v>12100</v>
      </c>
      <c r="B1039" s="33">
        <v>9500</v>
      </c>
      <c r="C1039" s="33">
        <v>7800</v>
      </c>
      <c r="D1039" s="33">
        <v>11800</v>
      </c>
      <c r="E1039" s="343" t="s">
        <v>1541</v>
      </c>
      <c r="F1039" s="108" t="s">
        <v>2042</v>
      </c>
      <c r="G1039" s="33">
        <v>12800</v>
      </c>
      <c r="H1039" s="138">
        <f t="shared" si="822"/>
        <v>8.4745762711864394</v>
      </c>
      <c r="I1039" s="33">
        <f>ROUNDUP(G1039+(G1039*Assumptions!H$5),-2)</f>
        <v>13000</v>
      </c>
      <c r="J1039" s="33">
        <f>ROUNDUP(I1039+(I1039*Assumptions!I$5),-2)</f>
        <v>13400</v>
      </c>
      <c r="K1039" s="33">
        <f>ROUNDUP(J1039+(J1039*Assumptions!J$5),-2)</f>
        <v>13800</v>
      </c>
      <c r="L1039" s="33">
        <f>ROUNDUP(K1039+(K1039*Assumptions!K$5),-2)</f>
        <v>14200</v>
      </c>
      <c r="M1039" s="33">
        <f>ROUNDUP(L1039+(L1039*Assumptions!L$5),-2)</f>
        <v>14500</v>
      </c>
      <c r="N1039" s="33">
        <f>ROUNDUP(M1039+(M1039*Assumptions!M$5),-2)</f>
        <v>14800</v>
      </c>
      <c r="O1039" s="33">
        <f>ROUNDUP(N1039+(N1039*Assumptions!N$5),-2)</f>
        <v>15100</v>
      </c>
      <c r="P1039" s="33">
        <f>ROUNDUP(O1039+(O1039*Assumptions!O$5),-2)</f>
        <v>15500</v>
      </c>
      <c r="Q1039" s="33">
        <f>ROUNDUP(P1039+(P1039*Assumptions!P$5),-2)</f>
        <v>15900</v>
      </c>
      <c r="R1039" s="114">
        <f>ROUNDUP(Q1039+(Q1039*Assumptions!Q$5),-2)</f>
        <v>16300</v>
      </c>
    </row>
    <row r="1040" spans="1:18" x14ac:dyDescent="0.2">
      <c r="A1040" s="107">
        <v>1300</v>
      </c>
      <c r="B1040" s="33">
        <v>3500</v>
      </c>
      <c r="C1040" s="33">
        <v>4000</v>
      </c>
      <c r="D1040" s="33">
        <v>3200</v>
      </c>
      <c r="E1040" s="343" t="s">
        <v>1538</v>
      </c>
      <c r="F1040" s="108" t="s">
        <v>2194</v>
      </c>
      <c r="G1040" s="33">
        <v>5100</v>
      </c>
      <c r="H1040" s="138">
        <f t="shared" si="822"/>
        <v>59.375</v>
      </c>
      <c r="I1040" s="33">
        <f>ROUNDUP(G1040+(G1040*Assumptions!H$5),-2)</f>
        <v>5200</v>
      </c>
      <c r="J1040" s="33">
        <f>ROUNDUP(I1040+(I1040*Assumptions!I$5),-2)</f>
        <v>5400</v>
      </c>
      <c r="K1040" s="33">
        <f>ROUNDUP(J1040+(J1040*Assumptions!J$5),-2)</f>
        <v>5600</v>
      </c>
      <c r="L1040" s="33">
        <f>ROUNDUP(K1040+(K1040*Assumptions!K$5),-2)</f>
        <v>5800</v>
      </c>
      <c r="M1040" s="33">
        <f>ROUNDUP(L1040+(L1040*Assumptions!L$5),-2)</f>
        <v>6000</v>
      </c>
      <c r="N1040" s="33">
        <f>ROUNDUP(M1040+(M1040*Assumptions!M$5),-2)</f>
        <v>6200</v>
      </c>
      <c r="O1040" s="33">
        <f>ROUNDUP(N1040+(N1040*Assumptions!N$5),-2)</f>
        <v>6400</v>
      </c>
      <c r="P1040" s="33">
        <f>ROUNDUP(O1040+(O1040*Assumptions!O$5),-2)</f>
        <v>6600</v>
      </c>
      <c r="Q1040" s="33">
        <f>ROUNDUP(P1040+(P1040*Assumptions!P$5),-2)</f>
        <v>6800</v>
      </c>
      <c r="R1040" s="114">
        <f>ROUNDUP(Q1040+(Q1040*Assumptions!Q$5),-2)</f>
        <v>7000</v>
      </c>
    </row>
    <row r="1041" spans="1:18" x14ac:dyDescent="0.2">
      <c r="A1041" s="107">
        <v>800</v>
      </c>
      <c r="B1041" s="33">
        <v>500</v>
      </c>
      <c r="C1041" s="33">
        <v>1500</v>
      </c>
      <c r="D1041" s="33">
        <v>300</v>
      </c>
      <c r="E1041" s="343" t="s">
        <v>1539</v>
      </c>
      <c r="F1041" s="111" t="s">
        <v>3741</v>
      </c>
      <c r="G1041" s="33">
        <v>3100</v>
      </c>
      <c r="H1041" s="138">
        <f t="shared" si="822"/>
        <v>933.33333333333337</v>
      </c>
      <c r="I1041" s="33">
        <f>ROUNDUP(G1041+(G1041*Assumptions!H$5),-2)</f>
        <v>3200</v>
      </c>
      <c r="J1041" s="33">
        <f>ROUNDUP(I1041+(I1041*Assumptions!I$5),-2)</f>
        <v>3300</v>
      </c>
      <c r="K1041" s="33">
        <f>ROUNDUP(J1041+(J1041*Assumptions!J$5),-2)</f>
        <v>3400</v>
      </c>
      <c r="L1041" s="33">
        <f>ROUNDUP(K1041+(K1041*Assumptions!K$5),-2)</f>
        <v>3500</v>
      </c>
      <c r="M1041" s="33">
        <f>ROUNDUP(L1041+(L1041*Assumptions!L$5),-2)</f>
        <v>3600</v>
      </c>
      <c r="N1041" s="33">
        <f>ROUNDUP(M1041+(M1041*Assumptions!M$5),-2)</f>
        <v>3700</v>
      </c>
      <c r="O1041" s="33">
        <f>ROUNDUP(N1041+(N1041*Assumptions!N$5),-2)</f>
        <v>3800</v>
      </c>
      <c r="P1041" s="33">
        <f>ROUNDUP(O1041+(O1041*Assumptions!O$5),-2)</f>
        <v>3900</v>
      </c>
      <c r="Q1041" s="33">
        <f>ROUNDUP(P1041+(P1041*Assumptions!P$5),-2)</f>
        <v>4000</v>
      </c>
      <c r="R1041" s="114">
        <f>ROUNDUP(Q1041+(Q1041*Assumptions!Q$5),-2)</f>
        <v>4100</v>
      </c>
    </row>
    <row r="1042" spans="1:18" x14ac:dyDescent="0.2">
      <c r="A1042" s="107">
        <v>600</v>
      </c>
      <c r="B1042" s="33">
        <v>500</v>
      </c>
      <c r="C1042" s="33">
        <v>1200</v>
      </c>
      <c r="D1042" s="33">
        <v>3300</v>
      </c>
      <c r="E1042" s="343" t="s">
        <v>1540</v>
      </c>
      <c r="F1042" s="108" t="s">
        <v>875</v>
      </c>
      <c r="G1042" s="33">
        <v>3700</v>
      </c>
      <c r="H1042" s="138">
        <f t="shared" si="822"/>
        <v>12.121212121212121</v>
      </c>
      <c r="I1042" s="33">
        <f>ROUNDUP(G1042+(G1042*Assumptions!H$5),-2)</f>
        <v>3800</v>
      </c>
      <c r="J1042" s="33">
        <f>ROUNDUP(I1042+(I1042*Assumptions!I$5),-2)</f>
        <v>3900</v>
      </c>
      <c r="K1042" s="33">
        <f>ROUNDUP(J1042+(J1042*Assumptions!J$5),-2)</f>
        <v>4000</v>
      </c>
      <c r="L1042" s="33">
        <f>ROUNDUP(K1042+(K1042*Assumptions!K$5),-2)</f>
        <v>4100</v>
      </c>
      <c r="M1042" s="33">
        <f>ROUNDUP(L1042+(L1042*Assumptions!L$5),-2)</f>
        <v>4200</v>
      </c>
      <c r="N1042" s="33">
        <f>ROUNDUP(M1042+(M1042*Assumptions!M$5),-2)</f>
        <v>4300</v>
      </c>
      <c r="O1042" s="33">
        <f>ROUNDUP(N1042+(N1042*Assumptions!N$5),-2)</f>
        <v>4400</v>
      </c>
      <c r="P1042" s="33">
        <f>ROUNDUP(O1042+(O1042*Assumptions!O$5),-2)</f>
        <v>4500</v>
      </c>
      <c r="Q1042" s="33">
        <f>ROUNDUP(P1042+(P1042*Assumptions!P$5),-2)</f>
        <v>4600</v>
      </c>
      <c r="R1042" s="114">
        <f>ROUNDUP(Q1042+(Q1042*Assumptions!Q$5),-2)</f>
        <v>4700</v>
      </c>
    </row>
    <row r="1043" spans="1:18" x14ac:dyDescent="0.2">
      <c r="A1043" s="107">
        <v>5900</v>
      </c>
      <c r="B1043" s="33">
        <v>6200</v>
      </c>
      <c r="C1043" s="33">
        <v>7600</v>
      </c>
      <c r="D1043" s="33">
        <v>5600</v>
      </c>
      <c r="E1043" s="343" t="s">
        <v>1922</v>
      </c>
      <c r="F1043" s="111" t="s">
        <v>3743</v>
      </c>
      <c r="G1043" s="33">
        <v>8000</v>
      </c>
      <c r="H1043" s="138">
        <f t="shared" si="822"/>
        <v>42.857142857142854</v>
      </c>
      <c r="I1043" s="33">
        <f>ROUNDUP(G1043+(G1043*Assumptions!H$5),-2)</f>
        <v>8200</v>
      </c>
      <c r="J1043" s="33">
        <f>ROUNDUP(I1043+(I1043*Assumptions!I$5),-2)</f>
        <v>8500</v>
      </c>
      <c r="K1043" s="33">
        <f>ROUNDUP(J1043+(J1043*Assumptions!J$5),-2)</f>
        <v>8800</v>
      </c>
      <c r="L1043" s="33">
        <f>ROUNDUP(K1043+(K1043*Assumptions!K$5),-2)</f>
        <v>9100</v>
      </c>
      <c r="M1043" s="33">
        <f>ROUNDUP(L1043+(L1043*Assumptions!L$5),-2)</f>
        <v>9300</v>
      </c>
      <c r="N1043" s="33">
        <f>ROUNDUP(M1043+(M1043*Assumptions!M$5),-2)</f>
        <v>9500</v>
      </c>
      <c r="O1043" s="33">
        <f>ROUNDUP(N1043+(N1043*Assumptions!N$5),-2)</f>
        <v>9700</v>
      </c>
      <c r="P1043" s="33">
        <f>ROUNDUP(O1043+(O1043*Assumptions!O$5),-2)</f>
        <v>9900</v>
      </c>
      <c r="Q1043" s="33">
        <f>ROUNDUP(P1043+(P1043*Assumptions!P$5),-2)</f>
        <v>10100</v>
      </c>
      <c r="R1043" s="114">
        <f>ROUNDUP(Q1043+(Q1043*Assumptions!Q$5),-2)</f>
        <v>10400</v>
      </c>
    </row>
    <row r="1044" spans="1:18" x14ac:dyDescent="0.2">
      <c r="A1044" s="107">
        <v>6900</v>
      </c>
      <c r="B1044" s="33">
        <v>9600</v>
      </c>
      <c r="C1044" s="33">
        <v>10600</v>
      </c>
      <c r="D1044" s="33">
        <v>10200</v>
      </c>
      <c r="E1044" s="343" t="s">
        <v>1923</v>
      </c>
      <c r="F1044" s="108" t="s">
        <v>2043</v>
      </c>
      <c r="G1044" s="33">
        <v>10000</v>
      </c>
      <c r="H1044" s="138">
        <f t="shared" si="822"/>
        <v>-1.9607843137254901</v>
      </c>
      <c r="I1044" s="33">
        <f>ROUNDUP(G1044+(G1044*Assumptions!H$5),-2)</f>
        <v>10200</v>
      </c>
      <c r="J1044" s="33">
        <f>ROUNDUP(I1044+(I1044*Assumptions!I$5),-2)</f>
        <v>10500</v>
      </c>
      <c r="K1044" s="33">
        <f>ROUNDUP(J1044+(J1044*Assumptions!J$5),-2)</f>
        <v>10800</v>
      </c>
      <c r="L1044" s="33">
        <f>ROUNDUP(K1044+(K1044*Assumptions!K$5),-2)</f>
        <v>11100</v>
      </c>
      <c r="M1044" s="33">
        <f>ROUNDUP(L1044+(L1044*Assumptions!L$5),-2)</f>
        <v>11400</v>
      </c>
      <c r="N1044" s="33">
        <f>ROUNDUP(M1044+(M1044*Assumptions!M$5),-2)</f>
        <v>11700</v>
      </c>
      <c r="O1044" s="33">
        <f>ROUNDUP(N1044+(N1044*Assumptions!N$5),-2)</f>
        <v>12000</v>
      </c>
      <c r="P1044" s="33">
        <f>ROUNDUP(O1044+(O1044*Assumptions!O$5),-2)</f>
        <v>12300</v>
      </c>
      <c r="Q1044" s="33">
        <f>ROUNDUP(P1044+(P1044*Assumptions!P$5),-2)</f>
        <v>12600</v>
      </c>
      <c r="R1044" s="114">
        <f>ROUNDUP(Q1044+(Q1044*Assumptions!Q$5),-2)</f>
        <v>12900</v>
      </c>
    </row>
    <row r="1045" spans="1:18" x14ac:dyDescent="0.2">
      <c r="A1045" s="107"/>
      <c r="B1045" s="33"/>
      <c r="C1045" s="33"/>
      <c r="D1045" s="33"/>
      <c r="E1045" s="252"/>
      <c r="F1045" s="74"/>
      <c r="G1045" s="33"/>
      <c r="H1045" s="138"/>
      <c r="I1045" s="33"/>
      <c r="J1045" s="33"/>
      <c r="K1045" s="33"/>
      <c r="L1045" s="33"/>
      <c r="M1045" s="33"/>
      <c r="N1045" s="33"/>
      <c r="O1045" s="33"/>
      <c r="P1045" s="33"/>
      <c r="Q1045" s="33"/>
      <c r="R1045" s="114"/>
    </row>
    <row r="1046" spans="1:18" x14ac:dyDescent="0.2">
      <c r="A1046" s="107"/>
      <c r="B1046" s="33"/>
      <c r="C1046" s="33"/>
      <c r="D1046" s="33"/>
      <c r="E1046" s="343"/>
      <c r="F1046" s="137" t="s">
        <v>1663</v>
      </c>
      <c r="G1046" s="33"/>
      <c r="H1046" s="138"/>
      <c r="I1046" s="33"/>
      <c r="J1046" s="33"/>
      <c r="K1046" s="33"/>
      <c r="L1046" s="33"/>
      <c r="M1046" s="33"/>
      <c r="N1046" s="33"/>
      <c r="O1046" s="33"/>
      <c r="P1046" s="33"/>
      <c r="Q1046" s="33"/>
      <c r="R1046" s="114"/>
    </row>
    <row r="1047" spans="1:18" x14ac:dyDescent="0.2">
      <c r="A1047" s="107">
        <v>81000</v>
      </c>
      <c r="B1047" s="33">
        <v>74000</v>
      </c>
      <c r="C1047" s="33">
        <v>17000</v>
      </c>
      <c r="D1047" s="33">
        <v>19000</v>
      </c>
      <c r="E1047" s="343" t="s">
        <v>814</v>
      </c>
      <c r="F1047" s="108" t="s">
        <v>956</v>
      </c>
      <c r="G1047" s="33">
        <v>24000</v>
      </c>
      <c r="H1047" s="138">
        <f>IF(D1047=G1047,0,IF(D1047=0,100,(G1047-D1047)/D1047*100))</f>
        <v>26.315789473684209</v>
      </c>
      <c r="I1047" s="33">
        <f>Overheads!I285</f>
        <v>25000</v>
      </c>
      <c r="J1047" s="33">
        <f>ROUND(I1047*Assumptions!I$5+GM!I1047,-2)</f>
        <v>25600</v>
      </c>
      <c r="K1047" s="33">
        <f>ROUND(J1047*Assumptions!J$5+GM!J1047,-2)</f>
        <v>26200</v>
      </c>
      <c r="L1047" s="33">
        <f>ROUND(K1047*Assumptions!K$5+GM!K1047,-2)</f>
        <v>26900</v>
      </c>
      <c r="M1047" s="33">
        <f>ROUND(L1047*Assumptions!L$5+GM!L1047,-2)</f>
        <v>27400</v>
      </c>
      <c r="N1047" s="33">
        <f>ROUND(M1047*Assumptions!M$5+GM!M1047,-2)</f>
        <v>27900</v>
      </c>
      <c r="O1047" s="33">
        <f>ROUND(N1047*Assumptions!N$5+GM!N1047,-2)</f>
        <v>28500</v>
      </c>
      <c r="P1047" s="33">
        <f>ROUND(O1047*Assumptions!O$5+GM!O1047,-2)</f>
        <v>29100</v>
      </c>
      <c r="Q1047" s="33">
        <f>ROUND(P1047*Assumptions!P$5+GM!P1047,-2)</f>
        <v>29700</v>
      </c>
      <c r="R1047" s="114">
        <f>ROUND(Q1047*Assumptions!Q$5+GM!Q1047,-2)</f>
        <v>30300</v>
      </c>
    </row>
    <row r="1048" spans="1:18" x14ac:dyDescent="0.2">
      <c r="A1048" s="107"/>
      <c r="B1048" s="33"/>
      <c r="C1048" s="33"/>
      <c r="D1048" s="33"/>
      <c r="E1048" s="343"/>
      <c r="F1048" s="99"/>
      <c r="G1048" s="33"/>
      <c r="H1048" s="138"/>
      <c r="I1048" s="33"/>
      <c r="J1048" s="33"/>
      <c r="K1048" s="33"/>
      <c r="L1048" s="33"/>
      <c r="M1048" s="33"/>
      <c r="N1048" s="33"/>
      <c r="O1048" s="33"/>
      <c r="P1048" s="33"/>
      <c r="Q1048" s="33"/>
      <c r="R1048" s="114"/>
    </row>
    <row r="1049" spans="1:18" x14ac:dyDescent="0.2">
      <c r="A1049" s="107"/>
      <c r="B1049" s="33"/>
      <c r="C1049" s="33"/>
      <c r="D1049" s="33"/>
      <c r="E1049" s="343"/>
      <c r="F1049" s="74" t="s">
        <v>1130</v>
      </c>
      <c r="G1049" s="33"/>
      <c r="H1049" s="138"/>
      <c r="I1049" s="33"/>
      <c r="J1049" s="33"/>
      <c r="K1049" s="33"/>
      <c r="L1049" s="33"/>
      <c r="M1049" s="33"/>
      <c r="N1049" s="33"/>
      <c r="O1049" s="33"/>
      <c r="P1049" s="33"/>
      <c r="Q1049" s="33"/>
      <c r="R1049" s="114"/>
    </row>
    <row r="1050" spans="1:18" x14ac:dyDescent="0.2">
      <c r="A1050" s="107">
        <v>2000</v>
      </c>
      <c r="B1050" s="33">
        <v>0</v>
      </c>
      <c r="C1050" s="33">
        <v>0</v>
      </c>
      <c r="D1050" s="33">
        <v>0</v>
      </c>
      <c r="E1050" s="343" t="s">
        <v>1452</v>
      </c>
      <c r="F1050" s="99" t="s">
        <v>1451</v>
      </c>
      <c r="G1050" s="33">
        <v>0</v>
      </c>
      <c r="H1050" s="138">
        <f>IF(D1050=G1050,0,IF(D1050=0,100,(G1050-D1050)/D1050*100))</f>
        <v>0</v>
      </c>
      <c r="I1050" s="33">
        <v>0</v>
      </c>
      <c r="J1050" s="33">
        <v>0</v>
      </c>
      <c r="K1050" s="33">
        <v>0</v>
      </c>
      <c r="L1050" s="33">
        <v>0</v>
      </c>
      <c r="M1050" s="33">
        <v>0</v>
      </c>
      <c r="N1050" s="33">
        <v>0</v>
      </c>
      <c r="O1050" s="33">
        <v>0</v>
      </c>
      <c r="P1050" s="33">
        <v>0</v>
      </c>
      <c r="Q1050" s="33">
        <v>0</v>
      </c>
      <c r="R1050" s="114">
        <v>0</v>
      </c>
    </row>
    <row r="1051" spans="1:18" x14ac:dyDescent="0.2">
      <c r="A1051" s="107"/>
      <c r="B1051" s="33"/>
      <c r="C1051" s="33"/>
      <c r="D1051" s="33"/>
      <c r="E1051" s="343"/>
      <c r="F1051" s="99"/>
      <c r="G1051" s="33"/>
      <c r="H1051" s="138"/>
      <c r="I1051" s="33"/>
      <c r="J1051" s="33"/>
      <c r="K1051" s="33"/>
      <c r="L1051" s="33"/>
      <c r="M1051" s="33"/>
      <c r="N1051" s="33"/>
      <c r="O1051" s="33"/>
      <c r="P1051" s="33"/>
      <c r="Q1051" s="33"/>
      <c r="R1051" s="114"/>
    </row>
    <row r="1052" spans="1:18" x14ac:dyDescent="0.2">
      <c r="A1052" s="107"/>
      <c r="B1052" s="33"/>
      <c r="C1052" s="33"/>
      <c r="D1052" s="33"/>
      <c r="E1052" s="343"/>
      <c r="F1052" s="145" t="s">
        <v>2685</v>
      </c>
      <c r="G1052" s="33"/>
      <c r="H1052" s="138"/>
      <c r="I1052" s="33"/>
      <c r="J1052" s="33"/>
      <c r="K1052" s="33"/>
      <c r="L1052" s="33"/>
      <c r="M1052" s="33"/>
      <c r="N1052" s="33"/>
      <c r="O1052" s="33"/>
      <c r="P1052" s="33"/>
      <c r="Q1052" s="33"/>
      <c r="R1052" s="114"/>
    </row>
    <row r="1053" spans="1:18" x14ac:dyDescent="0.2">
      <c r="A1053" s="107">
        <v>16700</v>
      </c>
      <c r="B1053" s="33">
        <v>439700</v>
      </c>
      <c r="C1053" s="33">
        <v>13600</v>
      </c>
      <c r="D1053" s="33">
        <v>14000</v>
      </c>
      <c r="E1053" s="343" t="s">
        <v>1052</v>
      </c>
      <c r="F1053" s="99" t="s">
        <v>2083</v>
      </c>
      <c r="G1053" s="33">
        <v>14000</v>
      </c>
      <c r="H1053" s="138">
        <f>IF(D1053=G1053,0,IF(D1053=0,100,(G1053-D1053)/D1053*100))</f>
        <v>0</v>
      </c>
      <c r="I1053" s="33">
        <f>ROUNDUP(G1053+(G1053*Assumptions!H$18),-2)</f>
        <v>14300</v>
      </c>
      <c r="J1053" s="33">
        <f>ROUNDUP(I1053+(I1053*Assumptions!I$18),-2)</f>
        <v>14600</v>
      </c>
      <c r="K1053" s="33">
        <f>ROUNDUP(J1053+(J1053*Assumptions!J$18),-2)</f>
        <v>14900</v>
      </c>
      <c r="L1053" s="33">
        <f>ROUNDUP(K1053+(K1053*Assumptions!K$18),-2)</f>
        <v>15200</v>
      </c>
      <c r="M1053" s="33">
        <f>ROUNDUP(L1053+(L1053*Assumptions!L$18),-2)</f>
        <v>15600</v>
      </c>
      <c r="N1053" s="33">
        <f>ROUNDUP(M1053+(M1053*Assumptions!M$18),-2)</f>
        <v>16000</v>
      </c>
      <c r="O1053" s="33">
        <f>ROUNDUP(N1053+(N1053*Assumptions!N$18),-2)</f>
        <v>16400</v>
      </c>
      <c r="P1053" s="33">
        <f>ROUNDUP(O1053+(O1053*Assumptions!O$18),-2)</f>
        <v>16800</v>
      </c>
      <c r="Q1053" s="33">
        <f>ROUNDUP(P1053+(P1053*Assumptions!P$18),-2)</f>
        <v>17200</v>
      </c>
      <c r="R1053" s="114">
        <f>ROUNDUP(Q1053+(Q1053*Assumptions!Q$18),-2)</f>
        <v>17600</v>
      </c>
    </row>
    <row r="1054" spans="1:18" ht="13.5" thickBot="1" x14ac:dyDescent="0.25">
      <c r="A1054" s="70"/>
      <c r="B1054" s="64"/>
      <c r="C1054" s="64"/>
      <c r="D1054" s="64"/>
      <c r="E1054" s="252"/>
      <c r="F1054" s="74"/>
      <c r="G1054" s="33"/>
      <c r="H1054" s="179"/>
      <c r="I1054" s="33"/>
      <c r="J1054" s="33"/>
      <c r="K1054" s="33"/>
      <c r="L1054" s="33"/>
      <c r="M1054" s="33"/>
      <c r="N1054" s="33"/>
      <c r="O1054" s="33"/>
      <c r="P1054" s="33"/>
      <c r="Q1054" s="33"/>
      <c r="R1054" s="114"/>
    </row>
    <row r="1055" spans="1:18" s="92" customFormat="1" x14ac:dyDescent="0.2">
      <c r="A1055" s="105">
        <f>SUM(A1025:A1054)</f>
        <v>300900</v>
      </c>
      <c r="B1055" s="53">
        <f>SUM(B1025:B1054)</f>
        <v>740700</v>
      </c>
      <c r="C1055" s="53">
        <f>SUM(C1025:C1054)</f>
        <v>273100</v>
      </c>
      <c r="D1055" s="53">
        <f>SUM(D1025:D1054)</f>
        <v>264600</v>
      </c>
      <c r="E1055" s="282"/>
      <c r="F1055" s="112" t="s">
        <v>565</v>
      </c>
      <c r="G1055" s="53">
        <f t="shared" ref="G1055:O1055" si="823">SUM(G1025:G1054)</f>
        <v>295700</v>
      </c>
      <c r="H1055" s="180">
        <f>IF(D1055=G1055,0,IF(D1055=0,100,(G1055-D1055)/D1055*100))</f>
        <v>11.753590325018896</v>
      </c>
      <c r="I1055" s="53">
        <f t="shared" si="823"/>
        <v>301700</v>
      </c>
      <c r="J1055" s="53">
        <f t="shared" si="823"/>
        <v>310000</v>
      </c>
      <c r="K1055" s="53">
        <f t="shared" si="823"/>
        <v>318400</v>
      </c>
      <c r="L1055" s="53">
        <f t="shared" si="823"/>
        <v>327000</v>
      </c>
      <c r="M1055" s="53">
        <f t="shared" si="823"/>
        <v>334400</v>
      </c>
      <c r="N1055" s="53">
        <f t="shared" si="823"/>
        <v>342000</v>
      </c>
      <c r="O1055" s="53">
        <f t="shared" si="823"/>
        <v>349700</v>
      </c>
      <c r="P1055" s="53">
        <f t="shared" ref="P1055:Q1055" si="824">SUM(P1025:P1054)</f>
        <v>357600</v>
      </c>
      <c r="Q1055" s="53">
        <f t="shared" si="824"/>
        <v>365600</v>
      </c>
      <c r="R1055" s="113">
        <f t="shared" ref="R1055" si="825">SUM(R1025:R1054)</f>
        <v>373800</v>
      </c>
    </row>
    <row r="1056" spans="1:18" x14ac:dyDescent="0.2">
      <c r="A1056" s="107"/>
      <c r="B1056" s="33"/>
      <c r="C1056" s="33"/>
      <c r="D1056" s="33"/>
      <c r="E1056" s="255"/>
      <c r="F1056" s="108"/>
      <c r="G1056" s="33"/>
      <c r="H1056" s="138"/>
      <c r="I1056" s="33"/>
      <c r="J1056" s="33"/>
      <c r="K1056" s="33"/>
      <c r="L1056" s="33"/>
      <c r="M1056" s="33"/>
      <c r="N1056" s="33"/>
      <c r="O1056" s="33"/>
      <c r="P1056" s="33"/>
      <c r="Q1056" s="33"/>
      <c r="R1056" s="114"/>
    </row>
    <row r="1057" spans="1:18" s="92" customFormat="1" x14ac:dyDescent="0.2">
      <c r="A1057" s="70">
        <f>A1023-A1055</f>
        <v>53800</v>
      </c>
      <c r="B1057" s="64">
        <f>B1023-B1055</f>
        <v>-318100</v>
      </c>
      <c r="C1057" s="64">
        <f>C1023-C1055</f>
        <v>159300</v>
      </c>
      <c r="D1057" s="64">
        <f>D1023-D1055</f>
        <v>157000</v>
      </c>
      <c r="E1057" s="282"/>
      <c r="F1057" s="1963" t="s">
        <v>1019</v>
      </c>
      <c r="G1057" s="64">
        <f t="shared" ref="G1057:O1057" si="826">G1023-G1055</f>
        <v>134600</v>
      </c>
      <c r="H1057" s="179">
        <f>IF(D1057=G1057,0,IF(D1057=0,100,(G1057-D1057)/D1057*100))</f>
        <v>-14.267515923566879</v>
      </c>
      <c r="I1057" s="64">
        <f t="shared" si="826"/>
        <v>135200</v>
      </c>
      <c r="J1057" s="64">
        <f t="shared" si="826"/>
        <v>137900</v>
      </c>
      <c r="K1057" s="64">
        <f t="shared" si="826"/>
        <v>140800</v>
      </c>
      <c r="L1057" s="64">
        <f t="shared" si="826"/>
        <v>143800</v>
      </c>
      <c r="M1057" s="64">
        <f t="shared" si="826"/>
        <v>145900</v>
      </c>
      <c r="N1057" s="64">
        <f t="shared" si="826"/>
        <v>148000</v>
      </c>
      <c r="O1057" s="64">
        <f t="shared" si="826"/>
        <v>150200</v>
      </c>
      <c r="P1057" s="64">
        <f t="shared" ref="P1057:Q1057" si="827">P1023-P1055</f>
        <v>152400</v>
      </c>
      <c r="Q1057" s="64">
        <f t="shared" si="827"/>
        <v>154700</v>
      </c>
      <c r="R1057" s="115">
        <f t="shared" ref="R1057" si="828">R1023-R1055</f>
        <v>157000</v>
      </c>
    </row>
    <row r="1058" spans="1:18" x14ac:dyDescent="0.2">
      <c r="A1058" s="107">
        <f>A1053</f>
        <v>16700</v>
      </c>
      <c r="B1058" s="33">
        <f>B1053</f>
        <v>439700</v>
      </c>
      <c r="C1058" s="33">
        <f>C1053</f>
        <v>13600</v>
      </c>
      <c r="D1058" s="33">
        <f>D1053</f>
        <v>14000</v>
      </c>
      <c r="E1058" s="255"/>
      <c r="F1058" s="320" t="s">
        <v>1976</v>
      </c>
      <c r="G1058" s="33">
        <f t="shared" ref="G1058:O1058" si="829">G1053</f>
        <v>14000</v>
      </c>
      <c r="H1058" s="827">
        <f>IF(D1058=G1058,0,IF(D1058=0,100,(G1058-D1058)/D1058*100))</f>
        <v>0</v>
      </c>
      <c r="I1058" s="33">
        <f t="shared" si="829"/>
        <v>14300</v>
      </c>
      <c r="J1058" s="33">
        <f t="shared" si="829"/>
        <v>14600</v>
      </c>
      <c r="K1058" s="33">
        <f t="shared" si="829"/>
        <v>14900</v>
      </c>
      <c r="L1058" s="33">
        <f t="shared" si="829"/>
        <v>15200</v>
      </c>
      <c r="M1058" s="33">
        <f t="shared" si="829"/>
        <v>15600</v>
      </c>
      <c r="N1058" s="33">
        <f t="shared" si="829"/>
        <v>16000</v>
      </c>
      <c r="O1058" s="33">
        <f t="shared" si="829"/>
        <v>16400</v>
      </c>
      <c r="P1058" s="33">
        <f t="shared" ref="P1058:Q1058" si="830">P1053</f>
        <v>16800</v>
      </c>
      <c r="Q1058" s="33">
        <f t="shared" si="830"/>
        <v>17200</v>
      </c>
      <c r="R1058" s="114">
        <f t="shared" ref="R1058" si="831">R1053</f>
        <v>17600</v>
      </c>
    </row>
    <row r="1059" spans="1:18" s="92" customFormat="1" x14ac:dyDescent="0.2">
      <c r="A1059" s="181">
        <f>A1057+A1058</f>
        <v>70500</v>
      </c>
      <c r="B1059" s="397">
        <f>B1057+B1058</f>
        <v>121600</v>
      </c>
      <c r="C1059" s="397">
        <f>C1057+C1058</f>
        <v>172900</v>
      </c>
      <c r="D1059" s="397">
        <f>D1057+D1058</f>
        <v>171000</v>
      </c>
      <c r="E1059" s="514"/>
      <c r="F1059" s="515" t="s">
        <v>1687</v>
      </c>
      <c r="G1059" s="397">
        <f t="shared" ref="G1059:M1059" si="832">G1057+G1058</f>
        <v>148600</v>
      </c>
      <c r="H1059" s="395">
        <f>IF(D1059=G1059,0,IF(D1059=0,100,(G1059-D1059)/D1059*100))</f>
        <v>-13.099415204678364</v>
      </c>
      <c r="I1059" s="397">
        <f t="shared" si="832"/>
        <v>149500</v>
      </c>
      <c r="J1059" s="397">
        <f t="shared" si="832"/>
        <v>152500</v>
      </c>
      <c r="K1059" s="397">
        <f t="shared" si="832"/>
        <v>155700</v>
      </c>
      <c r="L1059" s="397">
        <f t="shared" si="832"/>
        <v>159000</v>
      </c>
      <c r="M1059" s="397">
        <f t="shared" si="832"/>
        <v>161500</v>
      </c>
      <c r="N1059" s="397">
        <f>N1057+N1058</f>
        <v>164000</v>
      </c>
      <c r="O1059" s="397">
        <f>O1057+O1058</f>
        <v>166600</v>
      </c>
      <c r="P1059" s="397">
        <f>P1057+P1058</f>
        <v>169200</v>
      </c>
      <c r="Q1059" s="397">
        <f>Q1057+Q1058</f>
        <v>171900</v>
      </c>
      <c r="R1059" s="399">
        <f>R1057+R1058</f>
        <v>174600</v>
      </c>
    </row>
    <row r="1060" spans="1:18" ht="13.5" thickBot="1" x14ac:dyDescent="0.25">
      <c r="A1060" s="73"/>
      <c r="B1060" s="90"/>
      <c r="C1060" s="90"/>
      <c r="D1060" s="90"/>
      <c r="E1060" s="285"/>
      <c r="F1060" s="141"/>
      <c r="G1060" s="66"/>
      <c r="H1060" s="392"/>
      <c r="I1060" s="121"/>
      <c r="J1060" s="121"/>
      <c r="K1060" s="121"/>
      <c r="L1060" s="121"/>
      <c r="M1060" s="121"/>
      <c r="N1060" s="121"/>
      <c r="O1060" s="121"/>
      <c r="P1060" s="121"/>
      <c r="Q1060" s="121"/>
      <c r="R1060" s="161"/>
    </row>
    <row r="1061" spans="1:18" ht="13.5" thickTop="1" x14ac:dyDescent="0.2">
      <c r="A1061" s="383"/>
      <c r="B1061" s="122"/>
      <c r="C1061" s="162"/>
      <c r="D1061" s="162"/>
      <c r="E1061" s="286"/>
      <c r="F1061" s="367"/>
      <c r="G1061" s="127"/>
      <c r="H1061" s="505"/>
      <c r="I1061" s="127"/>
      <c r="J1061" s="127"/>
      <c r="K1061" s="127"/>
      <c r="L1061" s="127"/>
      <c r="M1061" s="127"/>
      <c r="N1061" s="127"/>
      <c r="O1061" s="127"/>
      <c r="P1061" s="127"/>
      <c r="Q1061" s="127"/>
      <c r="R1061" s="163"/>
    </row>
    <row r="1062" spans="1:18" x14ac:dyDescent="0.2">
      <c r="A1062" s="70"/>
      <c r="B1062" s="128"/>
      <c r="C1062" s="64"/>
      <c r="D1062" s="64"/>
      <c r="E1062" s="283"/>
      <c r="F1062" s="516" t="s">
        <v>196</v>
      </c>
      <c r="G1062" s="33"/>
      <c r="H1062" s="179"/>
      <c r="I1062" s="33"/>
      <c r="J1062" s="33"/>
      <c r="K1062" s="33"/>
      <c r="L1062" s="33"/>
      <c r="M1062" s="33"/>
      <c r="N1062" s="33"/>
      <c r="O1062" s="33"/>
      <c r="P1062" s="33"/>
      <c r="Q1062" s="33"/>
      <c r="R1062" s="114"/>
    </row>
    <row r="1063" spans="1:18" x14ac:dyDescent="0.2">
      <c r="A1063" s="107">
        <v>40200</v>
      </c>
      <c r="B1063" s="142">
        <v>0</v>
      </c>
      <c r="C1063" s="142">
        <v>0</v>
      </c>
      <c r="D1063" s="33">
        <v>0</v>
      </c>
      <c r="E1063" s="238"/>
      <c r="F1063" s="366" t="s">
        <v>2900</v>
      </c>
      <c r="G1063" s="33">
        <v>0</v>
      </c>
      <c r="H1063" s="138"/>
      <c r="I1063" s="33">
        <v>0</v>
      </c>
      <c r="J1063" s="33">
        <v>0</v>
      </c>
      <c r="K1063" s="33">
        <v>0</v>
      </c>
      <c r="L1063" s="33">
        <v>0</v>
      </c>
      <c r="M1063" s="33">
        <v>0</v>
      </c>
      <c r="N1063" s="33">
        <v>0</v>
      </c>
      <c r="O1063" s="33">
        <v>0</v>
      </c>
      <c r="P1063" s="33">
        <v>0</v>
      </c>
      <c r="Q1063" s="33">
        <v>0</v>
      </c>
      <c r="R1063" s="114">
        <v>0</v>
      </c>
    </row>
    <row r="1064" spans="1:18" x14ac:dyDescent="0.2">
      <c r="A1064" s="107">
        <v>70800</v>
      </c>
      <c r="B1064" s="142">
        <v>121600</v>
      </c>
      <c r="C1064" s="33">
        <v>172900</v>
      </c>
      <c r="D1064" s="33">
        <f>'Res-Gen'!B118</f>
        <v>171000</v>
      </c>
      <c r="E1064" s="238"/>
      <c r="F1064" s="366" t="s">
        <v>1942</v>
      </c>
      <c r="G1064" s="33">
        <f>'Res-Gen'!E118</f>
        <v>148600</v>
      </c>
      <c r="H1064" s="138"/>
      <c r="I1064" s="33">
        <f>'Res-Gen'!H118</f>
        <v>149500</v>
      </c>
      <c r="J1064" s="33">
        <f>'Res-Gen'!K118</f>
        <v>152500</v>
      </c>
      <c r="K1064" s="33">
        <f>'Res-Gen'!N118</f>
        <v>155700</v>
      </c>
      <c r="L1064" s="33">
        <f>'Res-Gen'!Q118</f>
        <v>159000</v>
      </c>
      <c r="M1064" s="33">
        <f>'Res-Gen'!T118</f>
        <v>161500</v>
      </c>
      <c r="N1064" s="33">
        <f>'Res-Gen'!W118</f>
        <v>164000</v>
      </c>
      <c r="O1064" s="33">
        <f>'Res-Gen'!Z118</f>
        <v>166600</v>
      </c>
      <c r="P1064" s="33">
        <f>'Res-Gen'!AC118</f>
        <v>169200</v>
      </c>
      <c r="Q1064" s="33">
        <f>'Res-Gen'!AF118</f>
        <v>171900</v>
      </c>
      <c r="R1064" s="114">
        <f>'Res-Gen'!AI118</f>
        <v>174600</v>
      </c>
    </row>
    <row r="1065" spans="1:18" x14ac:dyDescent="0.2">
      <c r="A1065" s="107">
        <v>52200</v>
      </c>
      <c r="B1065" s="142">
        <v>8000</v>
      </c>
      <c r="C1065" s="33">
        <v>0</v>
      </c>
      <c r="D1065" s="33">
        <f>'Res-Gen'!C118</f>
        <v>0</v>
      </c>
      <c r="E1065" s="238"/>
      <c r="F1065" s="366" t="s">
        <v>2348</v>
      </c>
      <c r="G1065" s="33">
        <f>'Res-Gen'!F118</f>
        <v>20000</v>
      </c>
      <c r="H1065" s="138"/>
      <c r="I1065" s="33">
        <f>'Res-Gen'!I118-150000</f>
        <v>21000</v>
      </c>
      <c r="J1065" s="33">
        <f>'Res-Gen'!L118</f>
        <v>22000</v>
      </c>
      <c r="K1065" s="33">
        <f>'Res-Gen'!O118</f>
        <v>23000</v>
      </c>
      <c r="L1065" s="33">
        <f>'Res-Gen'!R118</f>
        <v>24000</v>
      </c>
      <c r="M1065" s="33">
        <f>'Res-Gen'!U118</f>
        <v>25000</v>
      </c>
      <c r="N1065" s="33">
        <f>'Res-Gen'!X118</f>
        <v>26000</v>
      </c>
      <c r="O1065" s="33">
        <f>'Res-Gen'!AA118</f>
        <v>27000</v>
      </c>
      <c r="P1065" s="33">
        <f>'Res-Gen'!AD118</f>
        <v>28000</v>
      </c>
      <c r="Q1065" s="33">
        <f>'Res-Gen'!AG118</f>
        <v>29000</v>
      </c>
      <c r="R1065" s="114">
        <f>'Res-Gen'!AJ118</f>
        <v>30000</v>
      </c>
    </row>
    <row r="1066" spans="1:18" x14ac:dyDescent="0.2">
      <c r="A1066" s="107">
        <v>0</v>
      </c>
      <c r="B1066" s="142">
        <v>0</v>
      </c>
      <c r="C1066" s="142">
        <v>0</v>
      </c>
      <c r="D1066" s="33">
        <f>SUM('Cap-Gen'!Q53:S54)</f>
        <v>0</v>
      </c>
      <c r="E1066" s="238"/>
      <c r="F1066" s="366" t="s">
        <v>5984</v>
      </c>
      <c r="G1066" s="33">
        <f>SUM('Cap-Gen'!V53:X54)</f>
        <v>0</v>
      </c>
      <c r="H1066" s="138"/>
      <c r="I1066" s="33">
        <f>SUM('Cap-Gen'!AA53:AC54)</f>
        <v>0</v>
      </c>
      <c r="J1066" s="33">
        <f>SUM('Cap-Gen'!AF53:AH54)</f>
        <v>0</v>
      </c>
      <c r="K1066" s="33">
        <f>SUM('Cap-Gen'!AK53:AM54)</f>
        <v>0</v>
      </c>
      <c r="L1066" s="33">
        <f>SUM('Cap-Gen'!AP53:AR54)</f>
        <v>0</v>
      </c>
      <c r="M1066" s="33">
        <f>SUM('Cap-Gen'!AU53:AW54)</f>
        <v>0</v>
      </c>
      <c r="N1066" s="33">
        <f>SUM('Cap-Gen'!AZ53:BB54)</f>
        <v>0</v>
      </c>
      <c r="O1066" s="33">
        <f>SUM('Cap-Gen'!BE53:BG54)</f>
        <v>0</v>
      </c>
      <c r="P1066" s="33">
        <f>SUM('Cap-Gen'!BJ53:BL54)</f>
        <v>0</v>
      </c>
      <c r="Q1066" s="33">
        <f>SUM('Cap-Gen'!BO54:BQ54)</f>
        <v>0</v>
      </c>
      <c r="R1066" s="114">
        <f>SUM('Cap-Gen'!BT54:BT54)</f>
        <v>0</v>
      </c>
    </row>
    <row r="1067" spans="1:18" x14ac:dyDescent="0.2">
      <c r="A1067" s="107">
        <v>11700</v>
      </c>
      <c r="B1067" s="142">
        <v>8000</v>
      </c>
      <c r="C1067" s="33">
        <v>0</v>
      </c>
      <c r="D1067" s="33">
        <f>SUM('Cap-Gen'!E53:E54)</f>
        <v>0</v>
      </c>
      <c r="E1067" s="238"/>
      <c r="F1067" s="366" t="s">
        <v>972</v>
      </c>
      <c r="G1067" s="33">
        <f>SUM('Cap-Gen'!F53:F54)</f>
        <v>20000</v>
      </c>
      <c r="H1067" s="138"/>
      <c r="I1067" s="33">
        <f>SUM('Cap-Gen'!G53:G54)</f>
        <v>21000</v>
      </c>
      <c r="J1067" s="33">
        <f>SUM('Cap-Gen'!H53:H54)</f>
        <v>22000</v>
      </c>
      <c r="K1067" s="33">
        <f>SUM('Cap-Gen'!I53:I54)</f>
        <v>23000</v>
      </c>
      <c r="L1067" s="33">
        <f>SUM('Cap-Gen'!J53:J54)</f>
        <v>24000</v>
      </c>
      <c r="M1067" s="33">
        <f>SUM('Cap-Gen'!K53:K54)</f>
        <v>25000</v>
      </c>
      <c r="N1067" s="33">
        <f>SUM('Cap-Gen'!L53:L54)</f>
        <v>26000</v>
      </c>
      <c r="O1067" s="33">
        <f>SUM('Cap-Gen'!M53:M54)</f>
        <v>27000</v>
      </c>
      <c r="P1067" s="33">
        <f>SUM('Cap-Gen'!N53:N54)</f>
        <v>28000</v>
      </c>
      <c r="Q1067" s="33">
        <f>SUM('Cap-Gen'!O53:O54)</f>
        <v>29000</v>
      </c>
      <c r="R1067" s="114">
        <f>SUM('Cap-Gen'!P53:P54)</f>
        <v>30000</v>
      </c>
    </row>
    <row r="1068" spans="1:18" x14ac:dyDescent="0.2">
      <c r="A1068" s="107"/>
      <c r="B1068" s="142"/>
      <c r="C1068" s="33"/>
      <c r="D1068" s="33"/>
      <c r="E1068" s="283"/>
      <c r="F1068" s="516"/>
      <c r="G1068" s="33"/>
      <c r="H1068" s="138"/>
      <c r="I1068" s="33"/>
      <c r="J1068" s="33"/>
      <c r="K1068" s="33"/>
      <c r="L1068" s="33"/>
      <c r="M1068" s="33"/>
      <c r="N1068" s="33"/>
      <c r="O1068" s="33"/>
      <c r="P1068" s="33"/>
      <c r="Q1068" s="33"/>
      <c r="R1068" s="114"/>
    </row>
    <row r="1069" spans="1:18" s="92" customFormat="1" x14ac:dyDescent="0.2">
      <c r="A1069" s="181">
        <f>A1059-A1063-A1064+A1065++A1066-A1067</f>
        <v>0</v>
      </c>
      <c r="B1069" s="377">
        <f>B1059-B1063-B1064+B1065++B1066-B1067</f>
        <v>0</v>
      </c>
      <c r="C1069" s="397">
        <f>C1059-C1063-C1064+C1065++C1066-C1067</f>
        <v>0</v>
      </c>
      <c r="D1069" s="397">
        <f>D1059-D1063-D1064+D1065++D1066-D1067</f>
        <v>0</v>
      </c>
      <c r="E1069" s="795"/>
      <c r="F1069" s="518" t="s">
        <v>2490</v>
      </c>
      <c r="G1069" s="397">
        <f t="shared" ref="G1069:M1069" si="833">G1059-G1063-G1064+G1065++G1066-G1067</f>
        <v>0</v>
      </c>
      <c r="H1069" s="395">
        <f>IF(D1069=G1069,0,IF(D1069=0,100,(G1069-D1069)/D1069*100))</f>
        <v>0</v>
      </c>
      <c r="I1069" s="397">
        <f t="shared" si="833"/>
        <v>0</v>
      </c>
      <c r="J1069" s="397">
        <f t="shared" si="833"/>
        <v>0</v>
      </c>
      <c r="K1069" s="397">
        <f t="shared" si="833"/>
        <v>0</v>
      </c>
      <c r="L1069" s="397">
        <f t="shared" si="833"/>
        <v>0</v>
      </c>
      <c r="M1069" s="397">
        <f t="shared" si="833"/>
        <v>0</v>
      </c>
      <c r="N1069" s="397">
        <f>N1059-N1063-N1064+N1065++N1066-N1067</f>
        <v>0</v>
      </c>
      <c r="O1069" s="397">
        <f>O1059-O1063-O1064+O1065++O1066-O1067</f>
        <v>0</v>
      </c>
      <c r="P1069" s="397">
        <f>P1059-P1063-P1064+P1065++P1066-P1067</f>
        <v>0</v>
      </c>
      <c r="Q1069" s="397">
        <f>Q1059-Q1063-Q1064+Q1065++Q1066-Q1067</f>
        <v>0</v>
      </c>
      <c r="R1069" s="399">
        <f>R1059-R1063-R1064+R1065++R1066-R1067</f>
        <v>0</v>
      </c>
    </row>
    <row r="1070" spans="1:18" ht="13.5" thickBot="1" x14ac:dyDescent="0.25">
      <c r="A1070" s="73"/>
      <c r="B1070" s="134"/>
      <c r="C1070" s="90"/>
      <c r="D1070" s="90"/>
      <c r="E1070" s="576"/>
      <c r="F1070" s="368"/>
      <c r="G1070" s="66"/>
      <c r="H1070" s="392"/>
      <c r="I1070" s="66"/>
      <c r="J1070" s="66"/>
      <c r="K1070" s="66"/>
      <c r="L1070" s="66"/>
      <c r="M1070" s="66"/>
      <c r="N1070" s="66"/>
      <c r="O1070" s="66"/>
      <c r="P1070" s="66"/>
      <c r="Q1070" s="66"/>
      <c r="R1070" s="165"/>
    </row>
    <row r="1071" spans="1:18" s="99" customFormat="1" ht="14.25" thickTop="1" thickBot="1" x14ac:dyDescent="0.25">
      <c r="A1071" s="74"/>
      <c r="B1071" s="74"/>
      <c r="C1071" s="197"/>
      <c r="D1071" s="197"/>
      <c r="E1071" s="242"/>
      <c r="F1071" s="137"/>
      <c r="G1071" s="197"/>
      <c r="H1071" s="2484"/>
    </row>
    <row r="1072" spans="1:18" s="91" customFormat="1" ht="18.75" customHeight="1" thickTop="1" thickBot="1" x14ac:dyDescent="0.3">
      <c r="A1072" s="2865" t="s">
        <v>1712</v>
      </c>
      <c r="B1072" s="2866"/>
      <c r="C1072" s="2866"/>
      <c r="D1072" s="2866"/>
      <c r="E1072" s="2866"/>
      <c r="F1072" s="2866"/>
      <c r="G1072" s="2866"/>
      <c r="H1072" s="2866"/>
      <c r="I1072" s="2866"/>
      <c r="J1072" s="2866"/>
      <c r="K1072" s="2866"/>
      <c r="L1072" s="2866"/>
      <c r="M1072" s="2866"/>
      <c r="N1072" s="2866"/>
      <c r="O1072" s="2866"/>
      <c r="P1072" s="2866"/>
      <c r="Q1072" s="2866"/>
      <c r="R1072" s="2867"/>
    </row>
    <row r="1073" spans="1:18" s="44" customFormat="1" x14ac:dyDescent="0.2">
      <c r="A1073" s="2888" t="s">
        <v>1856</v>
      </c>
      <c r="B1073" s="2889"/>
      <c r="C1073" s="2889"/>
      <c r="D1073" s="2890"/>
      <c r="E1073" s="513" t="s">
        <v>2663</v>
      </c>
      <c r="F1073" s="2649" t="s">
        <v>2251</v>
      </c>
      <c r="G1073" s="2885" t="s">
        <v>2253</v>
      </c>
      <c r="H1073" s="2886"/>
      <c r="I1073" s="2886"/>
      <c r="J1073" s="2886"/>
      <c r="K1073" s="2886"/>
      <c r="L1073" s="2886"/>
      <c r="M1073" s="2886"/>
      <c r="N1073" s="2886"/>
      <c r="O1073" s="2886"/>
      <c r="P1073" s="2886"/>
      <c r="Q1073" s="2886"/>
      <c r="R1073" s="2887"/>
    </row>
    <row r="1074" spans="1:18" s="23" customFormat="1" ht="12.75" customHeight="1" thickBot="1" x14ac:dyDescent="0.25">
      <c r="A1074" s="208" t="str">
        <f>CIV!A3</f>
        <v>2012/13</v>
      </c>
      <c r="B1074" s="218" t="str">
        <f>CIV!B3</f>
        <v>2013/14</v>
      </c>
      <c r="C1074" s="370" t="str">
        <f>CIV!C3</f>
        <v>2014/15</v>
      </c>
      <c r="D1074" s="93" t="str">
        <f>CIV!D3</f>
        <v>2015/16</v>
      </c>
      <c r="E1074" s="370" t="s">
        <v>2664</v>
      </c>
      <c r="F1074" s="42"/>
      <c r="G1074" s="93" t="str">
        <f>CIV!G3</f>
        <v>2016/17</v>
      </c>
      <c r="H1074" s="2005" t="str">
        <f>H1015</f>
        <v>%</v>
      </c>
      <c r="I1074" s="370" t="str">
        <f>CIV!I3</f>
        <v>2017/18</v>
      </c>
      <c r="J1074" s="370" t="str">
        <f>CIV!J3</f>
        <v>2018/19</v>
      </c>
      <c r="K1074" s="370" t="str">
        <f>CIV!K3</f>
        <v>2019/20</v>
      </c>
      <c r="L1074" s="370" t="str">
        <f>CIV!L3</f>
        <v>2020/21</v>
      </c>
      <c r="M1074" s="370" t="str">
        <f>CIV!M3</f>
        <v>2021/22</v>
      </c>
      <c r="N1074" s="370" t="str">
        <f>CIV!N3</f>
        <v>2022/23</v>
      </c>
      <c r="O1074" s="370" t="str">
        <f>CIV!O3</f>
        <v>2023/24</v>
      </c>
      <c r="P1074" s="370" t="str">
        <f>CIV!P3</f>
        <v>2024/25</v>
      </c>
      <c r="Q1074" s="218" t="str">
        <f>CIV!Q3</f>
        <v>2025/26</v>
      </c>
      <c r="R1074" s="549" t="str">
        <f>CIV!R3</f>
        <v>2026/27</v>
      </c>
    </row>
    <row r="1075" spans="1:18" s="23" customFormat="1" ht="12.75" customHeight="1" x14ac:dyDescent="0.2">
      <c r="A1075" s="705"/>
      <c r="B1075" s="529"/>
      <c r="C1075" s="529"/>
      <c r="D1075" s="204"/>
      <c r="E1075" s="513"/>
      <c r="F1075" s="22"/>
      <c r="G1075" s="204"/>
      <c r="H1075" s="1702"/>
      <c r="I1075" s="529"/>
      <c r="J1075" s="529"/>
      <c r="K1075" s="529"/>
      <c r="L1075" s="529"/>
      <c r="M1075" s="529"/>
      <c r="N1075" s="529"/>
      <c r="O1075" s="529"/>
      <c r="P1075" s="529"/>
      <c r="Q1075" s="529"/>
      <c r="R1075" s="530"/>
    </row>
    <row r="1076" spans="1:18" x14ac:dyDescent="0.2">
      <c r="A1076" s="98"/>
      <c r="B1076" s="33"/>
      <c r="C1076" s="187"/>
      <c r="D1076" s="187"/>
      <c r="E1076" s="1954"/>
      <c r="F1076" s="365" t="s">
        <v>1073</v>
      </c>
      <c r="G1076" s="187"/>
      <c r="H1076" s="138"/>
      <c r="I1076" s="33"/>
      <c r="J1076" s="33"/>
      <c r="K1076" s="33"/>
      <c r="L1076" s="33"/>
      <c r="M1076" s="33"/>
      <c r="N1076" s="33"/>
      <c r="O1076" s="33"/>
      <c r="P1076" s="33"/>
      <c r="Q1076" s="33"/>
      <c r="R1076" s="114"/>
    </row>
    <row r="1077" spans="1:18" x14ac:dyDescent="0.2">
      <c r="A1077" s="98"/>
      <c r="B1077" s="33"/>
      <c r="C1077" s="189"/>
      <c r="D1077" s="187"/>
      <c r="E1077" s="1954"/>
      <c r="F1077" s="1133" t="s">
        <v>3242</v>
      </c>
      <c r="G1077" s="187"/>
      <c r="H1077" s="138"/>
      <c r="I1077" s="33"/>
      <c r="J1077" s="33"/>
      <c r="K1077" s="33"/>
      <c r="L1077" s="33"/>
      <c r="M1077" s="33"/>
      <c r="N1077" s="33"/>
      <c r="O1077" s="33"/>
      <c r="P1077" s="33"/>
      <c r="Q1077" s="33"/>
      <c r="R1077" s="114"/>
    </row>
    <row r="1078" spans="1:18" x14ac:dyDescent="0.2">
      <c r="A1078" s="107">
        <v>1931200</v>
      </c>
      <c r="B1078" s="33">
        <f>162600+563100+1283800+47600-100</f>
        <v>2057000</v>
      </c>
      <c r="C1078" s="1012">
        <f>123800+566700+1397000+51100</f>
        <v>2138600</v>
      </c>
      <c r="D1078" s="187">
        <f>90075+636584+1445600+41</f>
        <v>2172300</v>
      </c>
      <c r="E1078" s="717" t="s">
        <v>1738</v>
      </c>
      <c r="F1078" s="916" t="s">
        <v>6156</v>
      </c>
      <c r="G1078" s="187">
        <f>2245000-2166000+24000+750000+1490000</f>
        <v>2343000</v>
      </c>
      <c r="H1078" s="138">
        <f>IF(D1078=G1078,0,IF(D1078=0,100,(G1078-D1078)/D1078*100))</f>
        <v>7.8580306587487918</v>
      </c>
      <c r="I1078" s="33">
        <f>2307000+50000</f>
        <v>2357000</v>
      </c>
      <c r="J1078" s="33">
        <v>2419000</v>
      </c>
      <c r="K1078" s="33">
        <v>2482000</v>
      </c>
      <c r="L1078" s="33">
        <v>2547000</v>
      </c>
      <c r="M1078" s="33">
        <v>2611000</v>
      </c>
      <c r="N1078" s="33">
        <v>2638000</v>
      </c>
      <c r="O1078" s="33">
        <v>2665000</v>
      </c>
      <c r="P1078" s="33">
        <v>2693000</v>
      </c>
      <c r="Q1078" s="33">
        <v>2723000</v>
      </c>
      <c r="R1078" s="114">
        <v>2723000</v>
      </c>
    </row>
    <row r="1079" spans="1:18" x14ac:dyDescent="0.2">
      <c r="A1079" s="107">
        <v>64900</v>
      </c>
      <c r="B1079" s="33">
        <v>56000</v>
      </c>
      <c r="C1079" s="189">
        <v>39100</v>
      </c>
      <c r="D1079" s="187">
        <f>41600+17200</f>
        <v>58800</v>
      </c>
      <c r="E1079" s="717" t="s">
        <v>1739</v>
      </c>
      <c r="F1079" s="916" t="s">
        <v>7125</v>
      </c>
      <c r="G1079" s="187">
        <f>50000-22000</f>
        <v>28000</v>
      </c>
      <c r="H1079" s="138">
        <f>IF(D1079=G1079,0,IF(D1079=0,100,(G1079-D1079)/D1079*100))</f>
        <v>-52.380952380952387</v>
      </c>
      <c r="I1079" s="33">
        <v>51500</v>
      </c>
      <c r="J1079" s="33">
        <v>53100</v>
      </c>
      <c r="K1079" s="33">
        <v>54700</v>
      </c>
      <c r="L1079" s="33">
        <v>56400</v>
      </c>
      <c r="M1079" s="33">
        <v>58100</v>
      </c>
      <c r="N1079" s="33">
        <v>59900</v>
      </c>
      <c r="O1079" s="33">
        <v>61700</v>
      </c>
      <c r="P1079" s="33">
        <v>63600</v>
      </c>
      <c r="Q1079" s="33">
        <v>65600</v>
      </c>
      <c r="R1079" s="114">
        <v>65600</v>
      </c>
    </row>
    <row r="1080" spans="1:18" x14ac:dyDescent="0.2">
      <c r="A1080" s="107"/>
      <c r="B1080" s="33"/>
      <c r="C1080" s="189"/>
      <c r="D1080" s="187"/>
      <c r="E1080" s="2219" t="s">
        <v>7124</v>
      </c>
      <c r="F1080" s="916" t="s">
        <v>7126</v>
      </c>
      <c r="G1080" s="187">
        <v>24000</v>
      </c>
      <c r="H1080" s="138">
        <f>IF(D1080=G1080,0,IF(D1080=0,100,(G1080-D1080)/D1080*100))</f>
        <v>100</v>
      </c>
      <c r="I1080" s="33">
        <v>51500</v>
      </c>
      <c r="J1080" s="33">
        <v>53100</v>
      </c>
      <c r="K1080" s="33">
        <v>54700</v>
      </c>
      <c r="L1080" s="33">
        <v>56400</v>
      </c>
      <c r="M1080" s="33">
        <v>58100</v>
      </c>
      <c r="N1080" s="33">
        <v>59900</v>
      </c>
      <c r="O1080" s="33">
        <v>61700</v>
      </c>
      <c r="P1080" s="33">
        <v>63600</v>
      </c>
      <c r="Q1080" s="33">
        <v>65600</v>
      </c>
      <c r="R1080" s="114">
        <v>65600</v>
      </c>
    </row>
    <row r="1081" spans="1:18" x14ac:dyDescent="0.2">
      <c r="A1081" s="107">
        <v>847700</v>
      </c>
      <c r="B1081" s="33">
        <v>1078000</v>
      </c>
      <c r="C1081" s="189">
        <v>1067000</v>
      </c>
      <c r="D1081" s="187">
        <v>1265100</v>
      </c>
      <c r="E1081" s="717" t="s">
        <v>2371</v>
      </c>
      <c r="F1081" s="351" t="s">
        <v>988</v>
      </c>
      <c r="G1081" s="187">
        <v>1350000</v>
      </c>
      <c r="H1081" s="138">
        <f>IF(D1081=G1081,0,IF(D1081=0,100,(G1081-D1081)/D1081*100))</f>
        <v>6.7109319421389619</v>
      </c>
      <c r="I1081" s="33">
        <f>ROUNDUP(G1081+(G1081*Assumptions!H$16),-2)</f>
        <v>1390500</v>
      </c>
      <c r="J1081" s="33">
        <f>ROUNDUP(I1081+(I1081*Assumptions!I$16),-2)</f>
        <v>1432300</v>
      </c>
      <c r="K1081" s="33">
        <f>ROUNDUP(J1081+(J1081*Assumptions!J$16),-2)</f>
        <v>1475300</v>
      </c>
      <c r="L1081" s="33">
        <f>ROUNDUP(K1081+(K1081*Assumptions!K$16),-2)</f>
        <v>1519600</v>
      </c>
      <c r="M1081" s="33">
        <f>ROUNDUP(L1081+(L1081*Assumptions!L$16),-2)</f>
        <v>1565200</v>
      </c>
      <c r="N1081" s="33">
        <f>ROUNDUP(M1081+(M1081*Assumptions!M$16),-2)</f>
        <v>1612200</v>
      </c>
      <c r="O1081" s="33">
        <f>ROUNDUP(N1081+(N1081*Assumptions!N$16),-2)</f>
        <v>1660600</v>
      </c>
      <c r="P1081" s="33">
        <f>ROUNDUP(O1081+(O1081*Assumptions!O$16),-2)</f>
        <v>1710500</v>
      </c>
      <c r="Q1081" s="33">
        <f>ROUNDUP(P1081+(P1081*Assumptions!P$16),-2)</f>
        <v>1761900</v>
      </c>
      <c r="R1081" s="114">
        <f>ROUNDUP(Q1081+(Q1081*Assumptions!Q$16),-2)</f>
        <v>1814800</v>
      </c>
    </row>
    <row r="1082" spans="1:18" x14ac:dyDescent="0.2">
      <c r="A1082" s="107"/>
      <c r="B1082" s="33"/>
      <c r="C1082" s="189"/>
      <c r="D1082" s="187"/>
      <c r="E1082" s="717"/>
      <c r="F1082" s="1133" t="s">
        <v>687</v>
      </c>
      <c r="G1082" s="187"/>
      <c r="H1082" s="138"/>
      <c r="I1082" s="33"/>
      <c r="J1082" s="33"/>
      <c r="K1082" s="33"/>
      <c r="L1082" s="33"/>
      <c r="M1082" s="33"/>
      <c r="N1082" s="33"/>
      <c r="O1082" s="33"/>
      <c r="P1082" s="33"/>
      <c r="Q1082" s="33"/>
      <c r="R1082" s="114"/>
    </row>
    <row r="1083" spans="1:18" x14ac:dyDescent="0.2">
      <c r="A1083" s="107">
        <v>0</v>
      </c>
      <c r="B1083" s="33">
        <v>63500</v>
      </c>
      <c r="C1083" s="189">
        <v>46200</v>
      </c>
      <c r="D1083" s="187">
        <v>83800</v>
      </c>
      <c r="E1083" s="821" t="s">
        <v>4854</v>
      </c>
      <c r="F1083" s="953" t="s">
        <v>4855</v>
      </c>
      <c r="G1083" s="187">
        <f>80000-10000</f>
        <v>70000</v>
      </c>
      <c r="H1083" s="138">
        <f>IF(D1083=G1083,0,IF(D1083=0,100,(G1083-D1083)/D1083*100))</f>
        <v>-16.467780429594274</v>
      </c>
      <c r="I1083" s="33">
        <f>ROUNDUP(G1083+(G1083*Assumptions!H$16),-2)</f>
        <v>72100</v>
      </c>
      <c r="J1083" s="33">
        <f>ROUNDUP(I1083+(I1083*Assumptions!I$16),-2)</f>
        <v>74300</v>
      </c>
      <c r="K1083" s="33">
        <f>ROUNDUP(J1083+(J1083*Assumptions!J$16),-2)</f>
        <v>76600</v>
      </c>
      <c r="L1083" s="33">
        <f>ROUNDUP(K1083+(K1083*Assumptions!K$16),-2)</f>
        <v>78900</v>
      </c>
      <c r="M1083" s="33">
        <f>ROUNDUP(L1083+(L1083*Assumptions!L$16),-2)</f>
        <v>81300</v>
      </c>
      <c r="N1083" s="33">
        <f>ROUNDUP(M1083+(M1083*Assumptions!M$16),-2)</f>
        <v>83800</v>
      </c>
      <c r="O1083" s="33">
        <f>ROUNDUP(N1083+(N1083*Assumptions!N$16),-2)</f>
        <v>86400</v>
      </c>
      <c r="P1083" s="33">
        <f>ROUNDUP(O1083+(O1083*Assumptions!O$16),-2)</f>
        <v>89000</v>
      </c>
      <c r="Q1083" s="33">
        <f>ROUNDUP(P1083+(P1083*Assumptions!P$16),-2)</f>
        <v>91700</v>
      </c>
      <c r="R1083" s="114">
        <f>ROUNDUP(Q1083+(Q1083*Assumptions!Q$16),-2)</f>
        <v>94500</v>
      </c>
    </row>
    <row r="1084" spans="1:18" x14ac:dyDescent="0.2">
      <c r="A1084" s="107">
        <v>0</v>
      </c>
      <c r="B1084" s="33">
        <v>0</v>
      </c>
      <c r="C1084" s="189">
        <v>0</v>
      </c>
      <c r="D1084" s="187">
        <v>0</v>
      </c>
      <c r="E1084" s="821"/>
      <c r="F1084" s="953" t="s">
        <v>6158</v>
      </c>
      <c r="G1084" s="187">
        <f>40000-20000</f>
        <v>20000</v>
      </c>
      <c r="H1084" s="138">
        <f>IF(D1084=G1084,0,IF(D1084=0,100,(G1084-D1084)/D1084*100))</f>
        <v>100</v>
      </c>
      <c r="I1084" s="33">
        <v>90000</v>
      </c>
      <c r="J1084" s="33">
        <v>120000</v>
      </c>
      <c r="K1084" s="33">
        <f>J1084</f>
        <v>120000</v>
      </c>
      <c r="L1084" s="33">
        <f t="shared" ref="L1084:P1084" si="834">K1084</f>
        <v>120000</v>
      </c>
      <c r="M1084" s="33">
        <f t="shared" si="834"/>
        <v>120000</v>
      </c>
      <c r="N1084" s="33">
        <f t="shared" si="834"/>
        <v>120000</v>
      </c>
      <c r="O1084" s="33">
        <f t="shared" si="834"/>
        <v>120000</v>
      </c>
      <c r="P1084" s="33">
        <f t="shared" si="834"/>
        <v>120000</v>
      </c>
      <c r="Q1084" s="33">
        <f>ROUNDUP(P1084+(P1084*Assumptions!P$16),-2)</f>
        <v>123600</v>
      </c>
      <c r="R1084" s="114">
        <f>ROUNDUP(Q1084+(Q1084*Assumptions!Q$16),-2)</f>
        <v>127400</v>
      </c>
    </row>
    <row r="1085" spans="1:18" x14ac:dyDescent="0.2">
      <c r="A1085" s="107">
        <v>0</v>
      </c>
      <c r="B1085" s="33">
        <v>0</v>
      </c>
      <c r="C1085" s="189">
        <v>0</v>
      </c>
      <c r="D1085" s="187">
        <v>0</v>
      </c>
      <c r="E1085" s="821"/>
      <c r="F1085" s="953" t="s">
        <v>6157</v>
      </c>
      <c r="G1085" s="187">
        <f>330000-220000</f>
        <v>110000</v>
      </c>
      <c r="H1085" s="138">
        <f>IF(D1085=G1085,0,IF(D1085=0,100,(G1085-D1085)/D1085*100))</f>
        <v>100</v>
      </c>
      <c r="I1085" s="33">
        <v>340000</v>
      </c>
      <c r="J1085" s="33">
        <v>350000</v>
      </c>
      <c r="K1085" s="33">
        <v>361000</v>
      </c>
      <c r="L1085" s="33">
        <v>371000</v>
      </c>
      <c r="M1085" s="33">
        <v>382000</v>
      </c>
      <c r="N1085" s="33">
        <v>394000</v>
      </c>
      <c r="O1085" s="33">
        <v>406000</v>
      </c>
      <c r="P1085" s="33">
        <v>418000</v>
      </c>
      <c r="Q1085" s="33">
        <f>ROUNDUP(P1085+(P1085*Assumptions!P$16),-2)</f>
        <v>430600</v>
      </c>
      <c r="R1085" s="114">
        <f>ROUNDUP(Q1085+(Q1085*Assumptions!Q$16),-2)</f>
        <v>443600</v>
      </c>
    </row>
    <row r="1086" spans="1:18" x14ac:dyDescent="0.2">
      <c r="A1086" s="107">
        <v>138600</v>
      </c>
      <c r="B1086" s="33">
        <v>259700</v>
      </c>
      <c r="C1086" s="189">
        <v>240100</v>
      </c>
      <c r="D1086" s="187">
        <v>214100</v>
      </c>
      <c r="E1086" s="717" t="s">
        <v>2868</v>
      </c>
      <c r="F1086" s="916" t="s">
        <v>2942</v>
      </c>
      <c r="G1086" s="187">
        <v>184400</v>
      </c>
      <c r="H1086" s="138">
        <f>IF(D1086=G1086,0,IF(D1086=0,100,(G1086-D1086)/D1086*100))</f>
        <v>-13.872022419430172</v>
      </c>
      <c r="I1086" s="33">
        <v>157300</v>
      </c>
      <c r="J1086" s="33">
        <v>129100</v>
      </c>
      <c r="K1086" s="33">
        <v>99700</v>
      </c>
      <c r="L1086" s="33">
        <v>69100</v>
      </c>
      <c r="M1086" s="33">
        <v>37300</v>
      </c>
      <c r="N1086" s="33">
        <v>6300</v>
      </c>
      <c r="O1086" s="33">
        <v>0</v>
      </c>
      <c r="P1086" s="33">
        <v>0</v>
      </c>
      <c r="Q1086" s="33">
        <f>ROUNDUP(P1086+(P1086*Assumptions!P$16),-2)</f>
        <v>0</v>
      </c>
      <c r="R1086" s="114">
        <f>ROUNDUP(Q1086+(Q1086*Assumptions!Q$16),-2)</f>
        <v>0</v>
      </c>
    </row>
    <row r="1087" spans="1:18" x14ac:dyDescent="0.2">
      <c r="A1087" s="107"/>
      <c r="B1087" s="33"/>
      <c r="C1087" s="189"/>
      <c r="D1087" s="187"/>
      <c r="E1087" s="717"/>
      <c r="F1087" s="1133" t="s">
        <v>345</v>
      </c>
      <c r="G1087" s="187"/>
      <c r="H1087" s="138"/>
      <c r="I1087" s="33"/>
      <c r="J1087" s="33"/>
      <c r="K1087" s="33"/>
      <c r="L1087" s="33"/>
      <c r="M1087" s="33"/>
      <c r="N1087" s="33"/>
      <c r="O1087" s="33"/>
      <c r="P1087" s="33"/>
      <c r="Q1087" s="33"/>
      <c r="R1087" s="114"/>
    </row>
    <row r="1088" spans="1:18" x14ac:dyDescent="0.2">
      <c r="A1088" s="107">
        <v>89200</v>
      </c>
      <c r="B1088" s="33">
        <v>72000</v>
      </c>
      <c r="C1088" s="189">
        <v>0</v>
      </c>
      <c r="D1088" s="187">
        <v>0</v>
      </c>
      <c r="E1088" s="717" t="s">
        <v>2867</v>
      </c>
      <c r="F1088" s="952" t="s">
        <v>3774</v>
      </c>
      <c r="G1088" s="187">
        <v>0</v>
      </c>
      <c r="H1088" s="138">
        <f>IF(D1088=G1088,0,IF(D1088=0,100,(G1088-D1088)/D1088*100))</f>
        <v>0</v>
      </c>
      <c r="I1088" s="33">
        <f>ROUND(IF('Res-Bal'!G59&lt;0,0,'Res-Bal'!G59*Assumptions!H14),-3)</f>
        <v>3000</v>
      </c>
      <c r="J1088" s="33">
        <v>0</v>
      </c>
      <c r="K1088" s="33">
        <v>0</v>
      </c>
      <c r="L1088" s="33">
        <v>0</v>
      </c>
      <c r="M1088" s="33">
        <v>0</v>
      </c>
      <c r="N1088" s="33">
        <v>0</v>
      </c>
      <c r="O1088" s="33">
        <v>0</v>
      </c>
      <c r="P1088" s="33">
        <v>0</v>
      </c>
      <c r="Q1088" s="33">
        <v>0</v>
      </c>
      <c r="R1088" s="114">
        <v>0</v>
      </c>
    </row>
    <row r="1089" spans="1:18" x14ac:dyDescent="0.2">
      <c r="A1089" s="107"/>
      <c r="B1089" s="33"/>
      <c r="C1089" s="189"/>
      <c r="D1089" s="187"/>
      <c r="E1089" s="717"/>
      <c r="F1089" s="1133" t="s">
        <v>428</v>
      </c>
      <c r="G1089" s="187"/>
      <c r="H1089" s="138"/>
      <c r="I1089" s="33"/>
      <c r="J1089" s="33"/>
      <c r="K1089" s="33"/>
      <c r="L1089" s="33"/>
      <c r="M1089" s="33"/>
      <c r="N1089" s="33"/>
      <c r="O1089" s="33"/>
      <c r="P1089" s="33"/>
      <c r="Q1089" s="33"/>
      <c r="R1089" s="114"/>
    </row>
    <row r="1090" spans="1:18" x14ac:dyDescent="0.2">
      <c r="A1090" s="107">
        <v>210300</v>
      </c>
      <c r="B1090" s="33">
        <v>228800</v>
      </c>
      <c r="C1090" s="189">
        <v>278500</v>
      </c>
      <c r="D1090" s="187">
        <v>329200</v>
      </c>
      <c r="E1090" s="343" t="s">
        <v>1740</v>
      </c>
      <c r="F1090" s="443" t="s">
        <v>1584</v>
      </c>
      <c r="G1090" s="187">
        <f>320000+40000</f>
        <v>360000</v>
      </c>
      <c r="H1090" s="138">
        <f>IF(D1090=G1090,0,IF(D1090=0,100,(G1090-D1090)/D1090*100))</f>
        <v>9.3560145808019435</v>
      </c>
      <c r="I1090" s="33">
        <f>ROUNDUP(G1090+(G1090*Assumptions!H$16),-2)</f>
        <v>370800</v>
      </c>
      <c r="J1090" s="33">
        <f>ROUNDUP(I1090+(I1090*Assumptions!I$16),-2)</f>
        <v>382000</v>
      </c>
      <c r="K1090" s="33">
        <f>ROUNDUP(J1090+(J1090*Assumptions!J$16),-2)</f>
        <v>393500</v>
      </c>
      <c r="L1090" s="33">
        <f>ROUNDUP(K1090+(K1090*Assumptions!K$16),-2)</f>
        <v>405400</v>
      </c>
      <c r="M1090" s="33">
        <f>ROUNDUP(L1090+(L1090*Assumptions!L$16),-2)</f>
        <v>417600</v>
      </c>
      <c r="N1090" s="33">
        <f>ROUNDUP(M1090+(M1090*Assumptions!M$16),-2)</f>
        <v>430200</v>
      </c>
      <c r="O1090" s="33">
        <f>ROUNDUP(N1090+(N1090*Assumptions!N$16),-2)</f>
        <v>443200</v>
      </c>
      <c r="P1090" s="33">
        <f>ROUNDUP(O1090+(O1090*Assumptions!O$16),-2)</f>
        <v>456500</v>
      </c>
      <c r="Q1090" s="33">
        <f>ROUNDUP(P1090+(P1090*Assumptions!P$16),-2)</f>
        <v>470200</v>
      </c>
      <c r="R1090" s="114">
        <f>ROUNDUP(Q1090+(Q1090*Assumptions!Q$16),-2)</f>
        <v>484400</v>
      </c>
    </row>
    <row r="1091" spans="1:18" x14ac:dyDescent="0.2">
      <c r="A1091" s="107">
        <v>60200</v>
      </c>
      <c r="B1091" s="33">
        <v>62400</v>
      </c>
      <c r="C1091" s="189">
        <v>64200</v>
      </c>
      <c r="D1091" s="187">
        <v>59200</v>
      </c>
      <c r="E1091" s="343" t="s">
        <v>1569</v>
      </c>
      <c r="F1091" s="443" t="s">
        <v>2413</v>
      </c>
      <c r="G1091" s="187">
        <f>73000-8000</f>
        <v>65000</v>
      </c>
      <c r="H1091" s="138">
        <f>IF(D1091=G1091,0,IF(D1091=0,100,(G1091-D1091)/D1091*100))</f>
        <v>9.7972972972972965</v>
      </c>
      <c r="I1091" s="33">
        <f>ROUNDUP(G1091+(G1091*Assumptions!H$16),-2)</f>
        <v>67000</v>
      </c>
      <c r="J1091" s="33">
        <f>ROUNDUP(I1091+(I1091*Assumptions!I$16),-2)</f>
        <v>69100</v>
      </c>
      <c r="K1091" s="33">
        <f>ROUNDUP(J1091+(J1091*Assumptions!J$16),-2)</f>
        <v>71200</v>
      </c>
      <c r="L1091" s="33">
        <f>ROUNDUP(K1091+(K1091*Assumptions!K$16),-2)</f>
        <v>73400</v>
      </c>
      <c r="M1091" s="33">
        <f>ROUNDUP(L1091+(L1091*Assumptions!L$16),-2)</f>
        <v>75700</v>
      </c>
      <c r="N1091" s="33">
        <f>ROUNDUP(M1091+(M1091*Assumptions!M$16),-2)</f>
        <v>78000</v>
      </c>
      <c r="O1091" s="33">
        <f>ROUNDUP(N1091+(N1091*Assumptions!N$16),-2)</f>
        <v>80400</v>
      </c>
      <c r="P1091" s="33">
        <f>ROUNDUP(O1091+(O1091*Assumptions!O$16),-2)</f>
        <v>82900</v>
      </c>
      <c r="Q1091" s="33">
        <f>ROUNDUP(P1091+(P1091*Assumptions!P$16),-2)</f>
        <v>85400</v>
      </c>
      <c r="R1091" s="114">
        <f>ROUNDUP(Q1091+(Q1091*Assumptions!Q$16),-2)</f>
        <v>88000</v>
      </c>
    </row>
    <row r="1092" spans="1:18" x14ac:dyDescent="0.2">
      <c r="A1092" s="107">
        <v>26800</v>
      </c>
      <c r="B1092" s="33">
        <v>36800</v>
      </c>
      <c r="C1092" s="189">
        <v>37100</v>
      </c>
      <c r="D1092" s="187">
        <v>38700</v>
      </c>
      <c r="E1092" s="343" t="s">
        <v>2661</v>
      </c>
      <c r="F1092" s="443" t="s">
        <v>403</v>
      </c>
      <c r="G1092" s="187">
        <v>39000</v>
      </c>
      <c r="H1092" s="138">
        <f>IF(D1092=G1092,0,IF(D1092=0,100,(G1092-D1092)/D1092*100))</f>
        <v>0.77519379844961245</v>
      </c>
      <c r="I1092" s="33">
        <f>ROUNDUP(G1092+(G1092*Assumptions!H$16),-2)</f>
        <v>40200</v>
      </c>
      <c r="J1092" s="33">
        <f>ROUNDUP(I1092+(I1092*Assumptions!I$16),-2)</f>
        <v>41500</v>
      </c>
      <c r="K1092" s="33">
        <f>ROUNDUP(J1092+(J1092*Assumptions!J$16),-2)</f>
        <v>42800</v>
      </c>
      <c r="L1092" s="33">
        <f>ROUNDUP(K1092+(K1092*Assumptions!K$16),-2)</f>
        <v>44100</v>
      </c>
      <c r="M1092" s="33">
        <f>ROUNDUP(L1092+(L1092*Assumptions!L$16),-2)</f>
        <v>45500</v>
      </c>
      <c r="N1092" s="33">
        <f>ROUNDUP(M1092+(M1092*Assumptions!M$16),-2)</f>
        <v>46900</v>
      </c>
      <c r="O1092" s="33">
        <f>ROUNDUP(N1092+(N1092*Assumptions!N$16),-2)</f>
        <v>48400</v>
      </c>
      <c r="P1092" s="33">
        <f>ROUNDUP(O1092+(O1092*Assumptions!O$16),-2)</f>
        <v>49900</v>
      </c>
      <c r="Q1092" s="33">
        <f>ROUNDUP(P1092+(P1092*Assumptions!P$16),-2)</f>
        <v>51400</v>
      </c>
      <c r="R1092" s="114">
        <f>ROUNDUP(Q1092+(Q1092*Assumptions!Q$16),-2)</f>
        <v>53000</v>
      </c>
    </row>
    <row r="1093" spans="1:18" x14ac:dyDescent="0.2">
      <c r="A1093" s="107">
        <v>47300</v>
      </c>
      <c r="B1093" s="33">
        <v>51000</v>
      </c>
      <c r="C1093" s="189">
        <v>83900</v>
      </c>
      <c r="D1093" s="187">
        <v>58200</v>
      </c>
      <c r="E1093" s="343" t="s">
        <v>1602</v>
      </c>
      <c r="F1093" s="814" t="s">
        <v>7012</v>
      </c>
      <c r="G1093" s="187">
        <f>55000+2000</f>
        <v>57000</v>
      </c>
      <c r="H1093" s="138">
        <f>IF(D1093=G1093,0,IF(D1093=0,100,(G1093-D1093)/D1093*100))</f>
        <v>-2.0618556701030926</v>
      </c>
      <c r="I1093" s="33">
        <f>ROUNDUP(G1093+(G1093*Assumptions!H$16),-2)</f>
        <v>58800</v>
      </c>
      <c r="J1093" s="33">
        <f>ROUNDUP(I1093+(I1093*Assumptions!I$16),-2)</f>
        <v>60600</v>
      </c>
      <c r="K1093" s="33">
        <f>ROUNDUP(J1093+(J1093*Assumptions!J$16),-2)</f>
        <v>62500</v>
      </c>
      <c r="L1093" s="33">
        <f>ROUNDUP(K1093+(K1093*Assumptions!K$16),-2)</f>
        <v>64400</v>
      </c>
      <c r="M1093" s="33">
        <f>ROUNDUP(L1093+(L1093*Assumptions!L$16),-2)</f>
        <v>66400</v>
      </c>
      <c r="N1093" s="33">
        <f>ROUNDUP(M1093+(M1093*Assumptions!M$16),-2)</f>
        <v>68400</v>
      </c>
      <c r="O1093" s="33">
        <f>ROUNDUP(N1093+(N1093*Assumptions!N$16),-2)</f>
        <v>70500</v>
      </c>
      <c r="P1093" s="33">
        <f>ROUNDUP(O1093+(O1093*Assumptions!O$16),-2)</f>
        <v>72700</v>
      </c>
      <c r="Q1093" s="33">
        <f>ROUNDUP(P1093+(P1093*Assumptions!P$16),-2)</f>
        <v>74900</v>
      </c>
      <c r="R1093" s="114">
        <f>ROUNDUP(Q1093+(Q1093*Assumptions!Q$16),-2)</f>
        <v>77200</v>
      </c>
    </row>
    <row r="1094" spans="1:18" x14ac:dyDescent="0.2">
      <c r="A1094" s="107">
        <v>0</v>
      </c>
      <c r="B1094" s="33">
        <v>0</v>
      </c>
      <c r="C1094" s="189">
        <v>0</v>
      </c>
      <c r="D1094" s="187">
        <v>0</v>
      </c>
      <c r="E1094" s="343"/>
      <c r="F1094" s="814" t="s">
        <v>7011</v>
      </c>
      <c r="G1094" s="187">
        <v>0</v>
      </c>
      <c r="H1094" s="138">
        <f>IF(D1094=G1094,0,IF(D1094=0,100,(G1094-D1094)/D1094*100))</f>
        <v>0</v>
      </c>
      <c r="I1094" s="33">
        <v>50000</v>
      </c>
      <c r="J1094" s="33">
        <v>100000</v>
      </c>
      <c r="K1094" s="33">
        <f>ROUNDUP(J1094+(J1094*Assumptions!J$16),-2)</f>
        <v>103000</v>
      </c>
      <c r="L1094" s="33">
        <f>ROUNDUP(K1094+(K1094*Assumptions!K$16),-2)</f>
        <v>106100</v>
      </c>
      <c r="M1094" s="33">
        <f>ROUNDUP(L1094+(L1094*Assumptions!L$16),-2)</f>
        <v>109300</v>
      </c>
      <c r="N1094" s="33">
        <f>ROUNDUP(M1094+(M1094*Assumptions!M$16),-2)</f>
        <v>112600</v>
      </c>
      <c r="O1094" s="33">
        <f>ROUNDUP(N1094+(N1094*Assumptions!N$16),-2)</f>
        <v>116000</v>
      </c>
      <c r="P1094" s="33">
        <f>ROUNDUP(O1094+(O1094*Assumptions!O$16),-2)</f>
        <v>119500</v>
      </c>
      <c r="Q1094" s="33">
        <f>ROUNDUP(P1094+(P1094*Assumptions!P$16),-2)</f>
        <v>123100</v>
      </c>
      <c r="R1094" s="114">
        <f>ROUNDUP(Q1094+(Q1094*Assumptions!Q$16),-2)</f>
        <v>126800</v>
      </c>
    </row>
    <row r="1095" spans="1:18" x14ac:dyDescent="0.2">
      <c r="A1095" s="107">
        <v>20400</v>
      </c>
      <c r="B1095" s="33">
        <v>20400</v>
      </c>
      <c r="C1095" s="189">
        <v>22800</v>
      </c>
      <c r="D1095" s="187">
        <v>14500</v>
      </c>
      <c r="E1095" s="343" t="s">
        <v>1603</v>
      </c>
      <c r="F1095" s="443" t="s">
        <v>877</v>
      </c>
      <c r="G1095" s="187">
        <f>21000+2000</f>
        <v>23000</v>
      </c>
      <c r="H1095" s="138">
        <f t="shared" ref="H1095:H1101" si="835">IF(D1095=G1095,0,IF(D1095=0,100,(G1095-D1095)/D1095*100))</f>
        <v>58.620689655172406</v>
      </c>
      <c r="I1095" s="33">
        <f>ROUNDUP(G1095+(G1095*Assumptions!H$16),-2)</f>
        <v>23700</v>
      </c>
      <c r="J1095" s="33">
        <f>ROUNDUP(I1095+(I1095*Assumptions!I$16),-2)</f>
        <v>24500</v>
      </c>
      <c r="K1095" s="33">
        <f>ROUNDUP(J1095+(J1095*Assumptions!J$16),-2)</f>
        <v>25300</v>
      </c>
      <c r="L1095" s="33">
        <f>ROUNDUP(K1095+(K1095*Assumptions!K$16),-2)</f>
        <v>26100</v>
      </c>
      <c r="M1095" s="33">
        <f>ROUNDUP(L1095+(L1095*Assumptions!L$16),-2)</f>
        <v>26900</v>
      </c>
      <c r="N1095" s="33">
        <f>ROUNDUP(M1095+(M1095*Assumptions!M$16),-2)</f>
        <v>27800</v>
      </c>
      <c r="O1095" s="33">
        <f>ROUNDUP(N1095+(N1095*Assumptions!N$16),-2)</f>
        <v>28700</v>
      </c>
      <c r="P1095" s="33">
        <f>ROUNDUP(O1095+(O1095*Assumptions!O$16),-2)</f>
        <v>29600</v>
      </c>
      <c r="Q1095" s="33">
        <f>ROUNDUP(P1095+(P1095*Assumptions!P$16),-2)</f>
        <v>30500</v>
      </c>
      <c r="R1095" s="114">
        <f>ROUNDUP(Q1095+(Q1095*Assumptions!Q$16),-2)</f>
        <v>31500</v>
      </c>
    </row>
    <row r="1096" spans="1:18" x14ac:dyDescent="0.2">
      <c r="A1096" s="107">
        <v>9000</v>
      </c>
      <c r="B1096" s="33">
        <v>3800</v>
      </c>
      <c r="C1096" s="189">
        <v>5300</v>
      </c>
      <c r="D1096" s="187">
        <v>3100</v>
      </c>
      <c r="E1096" s="343" t="s">
        <v>2372</v>
      </c>
      <c r="F1096" s="443" t="s">
        <v>536</v>
      </c>
      <c r="G1096" s="187">
        <f>3000+2000</f>
        <v>5000</v>
      </c>
      <c r="H1096" s="138">
        <f t="shared" si="835"/>
        <v>61.29032258064516</v>
      </c>
      <c r="I1096" s="33">
        <f>ROUNDUP(G1096+(G1096*Assumptions!H$16),-2)</f>
        <v>5200</v>
      </c>
      <c r="J1096" s="33">
        <f>ROUNDUP(I1096+(I1096*Assumptions!I$16),-2)</f>
        <v>5400</v>
      </c>
      <c r="K1096" s="33">
        <f>ROUNDUP(J1096+(J1096*Assumptions!J$16),-2)</f>
        <v>5600</v>
      </c>
      <c r="L1096" s="33">
        <f>ROUNDUP(K1096+(K1096*Assumptions!K$16),-2)</f>
        <v>5800</v>
      </c>
      <c r="M1096" s="33">
        <f>ROUNDUP(L1096+(L1096*Assumptions!L$16),-2)</f>
        <v>6000</v>
      </c>
      <c r="N1096" s="33">
        <f>ROUNDUP(M1096+(M1096*Assumptions!M$16),-2)</f>
        <v>6200</v>
      </c>
      <c r="O1096" s="33">
        <f>ROUNDUP(N1096+(N1096*Assumptions!N$16),-2)</f>
        <v>6400</v>
      </c>
      <c r="P1096" s="33">
        <f>ROUNDUP(O1096+(O1096*Assumptions!O$16),-2)</f>
        <v>6600</v>
      </c>
      <c r="Q1096" s="33">
        <f>ROUNDUP(P1096+(P1096*Assumptions!P$16),-2)</f>
        <v>6800</v>
      </c>
      <c r="R1096" s="114">
        <f>ROUNDUP(Q1096+(Q1096*Assumptions!Q$16),-2)</f>
        <v>7100</v>
      </c>
    </row>
    <row r="1097" spans="1:18" x14ac:dyDescent="0.2">
      <c r="A1097" s="107">
        <v>362700</v>
      </c>
      <c r="B1097" s="33">
        <v>414900</v>
      </c>
      <c r="C1097" s="189">
        <v>467200</v>
      </c>
      <c r="D1097" s="187">
        <v>568000</v>
      </c>
      <c r="E1097" s="343" t="s">
        <v>2373</v>
      </c>
      <c r="F1097" s="443" t="s">
        <v>1907</v>
      </c>
      <c r="G1097" s="187">
        <f>600000+40000</f>
        <v>640000</v>
      </c>
      <c r="H1097" s="138">
        <f t="shared" si="835"/>
        <v>12.676056338028168</v>
      </c>
      <c r="I1097" s="33">
        <f>ROUNDUP(G1097+(G1097*Assumptions!H$16),-2)</f>
        <v>659200</v>
      </c>
      <c r="J1097" s="33">
        <f>ROUNDUP(I1097+(I1097*Assumptions!I$16),-2)</f>
        <v>679000</v>
      </c>
      <c r="K1097" s="33">
        <f>ROUNDUP(J1097+(J1097*Assumptions!J$16),-2)</f>
        <v>699400</v>
      </c>
      <c r="L1097" s="33">
        <f>ROUNDUP(K1097+(K1097*Assumptions!K$16),-2)</f>
        <v>720400</v>
      </c>
      <c r="M1097" s="33">
        <f>ROUNDUP(L1097+(L1097*Assumptions!L$16),-2)</f>
        <v>742100</v>
      </c>
      <c r="N1097" s="33">
        <f>ROUNDUP(M1097+(M1097*Assumptions!M$16),-2)</f>
        <v>764400</v>
      </c>
      <c r="O1097" s="33">
        <f>ROUNDUP(N1097+(N1097*Assumptions!N$16),-2)</f>
        <v>787400</v>
      </c>
      <c r="P1097" s="33">
        <f>ROUNDUP(O1097+(O1097*Assumptions!O$16),-2)</f>
        <v>811100</v>
      </c>
      <c r="Q1097" s="33">
        <f>ROUNDUP(P1097+(P1097*Assumptions!P$16),-2)</f>
        <v>835500</v>
      </c>
      <c r="R1097" s="114">
        <f>ROUNDUP(Q1097+(Q1097*Assumptions!Q$16),-2)</f>
        <v>860600</v>
      </c>
    </row>
    <row r="1098" spans="1:18" x14ac:dyDescent="0.2">
      <c r="A1098" s="107">
        <v>56500</v>
      </c>
      <c r="B1098" s="33">
        <v>65400</v>
      </c>
      <c r="C1098" s="189">
        <v>66700</v>
      </c>
      <c r="D1098" s="187">
        <v>72400</v>
      </c>
      <c r="E1098" s="343" t="s">
        <v>2370</v>
      </c>
      <c r="F1098" s="443" t="s">
        <v>535</v>
      </c>
      <c r="G1098" s="187">
        <v>72000</v>
      </c>
      <c r="H1098" s="138">
        <f t="shared" si="835"/>
        <v>-0.55248618784530379</v>
      </c>
      <c r="I1098" s="33">
        <f>ROUNDUP(G1098+(G1098*Assumptions!H$16),-2)</f>
        <v>74200</v>
      </c>
      <c r="J1098" s="33">
        <v>106500</v>
      </c>
      <c r="K1098" s="33">
        <f>ROUNDUP(J1098+(J1098*Assumptions!J$16),-2)</f>
        <v>109700</v>
      </c>
      <c r="L1098" s="33">
        <f>ROUNDUP(K1098+(K1098*Assumptions!K$16),-2)</f>
        <v>113000</v>
      </c>
      <c r="M1098" s="33">
        <f>ROUNDUP(L1098+(L1098*Assumptions!L$16),-2)</f>
        <v>116400</v>
      </c>
      <c r="N1098" s="33">
        <f>ROUNDUP(M1098+(M1098*Assumptions!M$16),-2)</f>
        <v>119900</v>
      </c>
      <c r="O1098" s="33">
        <f>ROUNDUP(N1098+(N1098*Assumptions!N$16),-2)</f>
        <v>123500</v>
      </c>
      <c r="P1098" s="33">
        <f>ROUNDUP(O1098+(O1098*Assumptions!O$16),-2)</f>
        <v>127300</v>
      </c>
      <c r="Q1098" s="33">
        <f>ROUNDUP(P1098+(P1098*Assumptions!P$16),-2)</f>
        <v>131200</v>
      </c>
      <c r="R1098" s="114">
        <f>ROUNDUP(Q1098+(Q1098*Assumptions!Q$16),-2)</f>
        <v>135200</v>
      </c>
    </row>
    <row r="1099" spans="1:18" x14ac:dyDescent="0.2">
      <c r="A1099" s="107">
        <v>117400</v>
      </c>
      <c r="B1099" s="33">
        <v>119000</v>
      </c>
      <c r="C1099" s="189">
        <v>131700</v>
      </c>
      <c r="D1099" s="2509">
        <v>143000</v>
      </c>
      <c r="E1099" s="343" t="s">
        <v>2320</v>
      </c>
      <c r="F1099" s="443" t="s">
        <v>540</v>
      </c>
      <c r="G1099" s="187">
        <f>187000-20000</f>
        <v>167000</v>
      </c>
      <c r="H1099" s="138">
        <f t="shared" si="835"/>
        <v>16.783216783216783</v>
      </c>
      <c r="I1099" s="33">
        <f>ROUNDUP(G1099+(G1099*Assumptions!H$16),-2)</f>
        <v>172100</v>
      </c>
      <c r="J1099" s="33">
        <f>ROUNDUP(I1099+(I1099*Assumptions!I$16),-2)</f>
        <v>177300</v>
      </c>
      <c r="K1099" s="33">
        <f>ROUNDUP(J1099+(J1099*Assumptions!J$16),-2)</f>
        <v>182700</v>
      </c>
      <c r="L1099" s="33">
        <f>ROUNDUP(K1099+(K1099*Assumptions!K$16),-2)</f>
        <v>188200</v>
      </c>
      <c r="M1099" s="33">
        <f>ROUNDUP(L1099+(L1099*Assumptions!L$16),-2)</f>
        <v>193900</v>
      </c>
      <c r="N1099" s="33">
        <f>ROUNDUP(M1099+(M1099*Assumptions!M$16),-2)</f>
        <v>199800</v>
      </c>
      <c r="O1099" s="33">
        <f>ROUNDUP(N1099+(N1099*Assumptions!N$16),-2)</f>
        <v>205800</v>
      </c>
      <c r="P1099" s="33">
        <f>ROUNDUP(O1099+(O1099*Assumptions!O$16),-2)</f>
        <v>212000</v>
      </c>
      <c r="Q1099" s="33">
        <f>ROUNDUP(P1099+(P1099*Assumptions!P$16),-2)</f>
        <v>218400</v>
      </c>
      <c r="R1099" s="114">
        <f>ROUNDUP(Q1099+(Q1099*Assumptions!Q$16),-2)</f>
        <v>225000</v>
      </c>
    </row>
    <row r="1100" spans="1:18" x14ac:dyDescent="0.2">
      <c r="A1100" s="107">
        <v>23300</v>
      </c>
      <c r="B1100" s="33">
        <v>29100</v>
      </c>
      <c r="C1100" s="189">
        <v>21300</v>
      </c>
      <c r="D1100" s="2509">
        <v>31500</v>
      </c>
      <c r="E1100" s="343" t="s">
        <v>2374</v>
      </c>
      <c r="F1100" s="443" t="s">
        <v>1017</v>
      </c>
      <c r="G1100" s="187">
        <v>25000</v>
      </c>
      <c r="H1100" s="138">
        <f t="shared" si="835"/>
        <v>-20.634920634920633</v>
      </c>
      <c r="I1100" s="33">
        <f>ROUNDUP(G1100+(G1100*Assumptions!H$16),-2)</f>
        <v>25800</v>
      </c>
      <c r="J1100" s="33">
        <f>ROUNDUP(I1100+(I1100*Assumptions!I$16),-2)</f>
        <v>26600</v>
      </c>
      <c r="K1100" s="33">
        <f>ROUNDUP(J1100+(J1100*Assumptions!J$16),-2)</f>
        <v>27400</v>
      </c>
      <c r="L1100" s="33">
        <f>ROUNDUP(K1100+(K1100*Assumptions!K$16),-2)</f>
        <v>28300</v>
      </c>
      <c r="M1100" s="33">
        <f>ROUNDUP(L1100+(L1100*Assumptions!L$16),-2)</f>
        <v>29200</v>
      </c>
      <c r="N1100" s="33">
        <f>ROUNDUP(M1100+(M1100*Assumptions!M$16),-2)</f>
        <v>30100</v>
      </c>
      <c r="O1100" s="33">
        <f>ROUNDUP(N1100+(N1100*Assumptions!N$16),-2)</f>
        <v>31100</v>
      </c>
      <c r="P1100" s="33">
        <f>ROUNDUP(O1100+(O1100*Assumptions!O$16),-2)</f>
        <v>32100</v>
      </c>
      <c r="Q1100" s="33">
        <f>ROUNDUP(P1100+(P1100*Assumptions!P$16),-2)</f>
        <v>33100</v>
      </c>
      <c r="R1100" s="114">
        <f>ROUNDUP(Q1100+(Q1100*Assumptions!Q$16),-2)</f>
        <v>34100</v>
      </c>
    </row>
    <row r="1101" spans="1:18" x14ac:dyDescent="0.2">
      <c r="A1101" s="107"/>
      <c r="B1101" s="33"/>
      <c r="C1101" s="189"/>
      <c r="D1101" s="2509"/>
      <c r="E1101" s="821" t="s">
        <v>7122</v>
      </c>
      <c r="F1101" s="953" t="s">
        <v>7123</v>
      </c>
      <c r="G1101" s="187">
        <v>10000</v>
      </c>
      <c r="H1101" s="138">
        <f t="shared" si="835"/>
        <v>100</v>
      </c>
      <c r="I1101" s="33">
        <f>ROUNDUP(G1101+(G1101*Assumptions!H$16),-2)</f>
        <v>10300</v>
      </c>
      <c r="J1101" s="33">
        <f>ROUNDUP(I1101+(I1101*Assumptions!I$16),-2)</f>
        <v>10700</v>
      </c>
      <c r="K1101" s="33">
        <f>ROUNDUP(J1101+(J1101*Assumptions!J$16),-2)</f>
        <v>11100</v>
      </c>
      <c r="L1101" s="33">
        <f>ROUNDUP(K1101+(K1101*Assumptions!K$16),-2)</f>
        <v>11500</v>
      </c>
      <c r="M1101" s="33">
        <f>ROUNDUP(L1101+(L1101*Assumptions!L$16),-2)</f>
        <v>11900</v>
      </c>
      <c r="N1101" s="33">
        <f>ROUNDUP(M1101+(M1101*Assumptions!M$16),-2)</f>
        <v>12300</v>
      </c>
      <c r="O1101" s="33">
        <f>ROUNDUP(N1101+(N1101*Assumptions!N$16),-2)</f>
        <v>12700</v>
      </c>
      <c r="P1101" s="33">
        <f>ROUNDUP(O1101+(O1101*Assumptions!O$16),-2)</f>
        <v>13100</v>
      </c>
      <c r="Q1101" s="33">
        <f>ROUNDUP(P1101+(P1101*Assumptions!P$16),-2)</f>
        <v>13500</v>
      </c>
      <c r="R1101" s="114">
        <f>ROUNDUP(Q1101+(Q1101*Assumptions!Q$16),-2)</f>
        <v>14000</v>
      </c>
    </row>
    <row r="1102" spans="1:18" ht="13.5" thickBot="1" x14ac:dyDescent="0.25">
      <c r="A1102" s="107"/>
      <c r="B1102" s="33"/>
      <c r="C1102" s="187"/>
      <c r="D1102" s="2509"/>
      <c r="E1102" s="240"/>
      <c r="F1102" s="76"/>
      <c r="G1102" s="187"/>
      <c r="H1102" s="138"/>
      <c r="I1102" s="33"/>
      <c r="J1102" s="33"/>
      <c r="K1102" s="33"/>
      <c r="L1102" s="33"/>
      <c r="M1102" s="33"/>
      <c r="N1102" s="33"/>
      <c r="O1102" s="33"/>
      <c r="P1102" s="33"/>
      <c r="Q1102" s="33"/>
      <c r="R1102" s="114"/>
    </row>
    <row r="1103" spans="1:18" s="92" customFormat="1" x14ac:dyDescent="0.2">
      <c r="A1103" s="105">
        <f>SUM(A1076:A1102)</f>
        <v>4005500</v>
      </c>
      <c r="B1103" s="53">
        <f>(SUM(B1076:B1102))</f>
        <v>4617800</v>
      </c>
      <c r="C1103" s="199">
        <f>SUM(C1076:C1102)</f>
        <v>4709700</v>
      </c>
      <c r="D1103" s="2510">
        <f>SUM(D1076:D1102)</f>
        <v>5111900</v>
      </c>
      <c r="E1103" s="246"/>
      <c r="F1103" s="1960" t="s">
        <v>2605</v>
      </c>
      <c r="G1103" s="199">
        <f>SUM(G1076:G1102)</f>
        <v>5592400</v>
      </c>
      <c r="H1103" s="180">
        <f>IF(D1103=G1103,0,IF(D1103=0,100,(G1103-D1103)/D1103*100))</f>
        <v>9.399636143117041</v>
      </c>
      <c r="I1103" s="53">
        <f t="shared" ref="I1103:P1103" si="836">SUM(I1076:I1102)</f>
        <v>6070200</v>
      </c>
      <c r="J1103" s="53">
        <f t="shared" si="836"/>
        <v>6314100</v>
      </c>
      <c r="K1103" s="53">
        <f t="shared" si="836"/>
        <v>6458200</v>
      </c>
      <c r="L1103" s="53">
        <f t="shared" si="836"/>
        <v>6605100</v>
      </c>
      <c r="M1103" s="53">
        <f t="shared" si="836"/>
        <v>6753900</v>
      </c>
      <c r="N1103" s="53">
        <f t="shared" si="836"/>
        <v>6870700</v>
      </c>
      <c r="O1103" s="53">
        <f t="shared" si="836"/>
        <v>7015500</v>
      </c>
      <c r="P1103" s="53">
        <f t="shared" si="836"/>
        <v>7171000</v>
      </c>
      <c r="Q1103" s="53">
        <f t="shared" ref="Q1103" si="837">SUM(Q1076:Q1102)</f>
        <v>7336000</v>
      </c>
      <c r="R1103" s="113">
        <f t="shared" ref="R1103" si="838">SUM(R1076:R1102)</f>
        <v>7471400</v>
      </c>
    </row>
    <row r="1104" spans="1:18" s="92" customFormat="1" x14ac:dyDescent="0.2">
      <c r="A1104" s="751"/>
      <c r="B1104" s="64"/>
      <c r="C1104" s="192"/>
      <c r="D1104" s="2511"/>
      <c r="E1104" s="246"/>
      <c r="F1104" s="1960"/>
      <c r="G1104" s="192"/>
      <c r="H1104" s="179"/>
      <c r="I1104" s="64"/>
      <c r="J1104" s="64"/>
      <c r="K1104" s="64"/>
      <c r="L1104" s="64"/>
      <c r="M1104" s="64"/>
      <c r="N1104" s="64"/>
      <c r="O1104" s="64"/>
      <c r="P1104" s="64"/>
      <c r="Q1104" s="64"/>
      <c r="R1104" s="115"/>
    </row>
    <row r="1105" spans="1:18" x14ac:dyDescent="0.2">
      <c r="A1105" s="98"/>
      <c r="B1105" s="33"/>
      <c r="C1105" s="187"/>
      <c r="D1105" s="2509"/>
      <c r="E1105" s="240"/>
      <c r="F1105" s="103" t="s">
        <v>2205</v>
      </c>
      <c r="G1105" s="187"/>
      <c r="H1105" s="138"/>
      <c r="I1105" s="33"/>
      <c r="J1105" s="33"/>
      <c r="K1105" s="33"/>
      <c r="L1105" s="33"/>
      <c r="M1105" s="33"/>
      <c r="N1105" s="33"/>
      <c r="O1105" s="33"/>
      <c r="P1105" s="33"/>
      <c r="Q1105" s="33"/>
      <c r="R1105" s="114"/>
    </row>
    <row r="1106" spans="1:18" ht="13.5" customHeight="1" x14ac:dyDescent="0.2">
      <c r="A1106" s="107"/>
      <c r="B1106" s="33"/>
      <c r="C1106" s="189"/>
      <c r="D1106" s="2509"/>
      <c r="E1106" s="2512"/>
      <c r="F1106" s="439" t="s">
        <v>107</v>
      </c>
      <c r="G1106" s="187"/>
      <c r="H1106" s="138"/>
      <c r="I1106" s="33"/>
      <c r="J1106" s="33"/>
      <c r="K1106" s="33"/>
      <c r="L1106" s="33"/>
      <c r="M1106" s="33"/>
      <c r="N1106" s="33"/>
      <c r="O1106" s="33"/>
      <c r="P1106" s="33"/>
      <c r="Q1106" s="33"/>
      <c r="R1106" s="114"/>
    </row>
    <row r="1107" spans="1:18" ht="13.5" customHeight="1" x14ac:dyDescent="0.2">
      <c r="A1107" s="107">
        <v>436000</v>
      </c>
      <c r="B1107" s="33">
        <v>425600</v>
      </c>
      <c r="C1107" s="189">
        <v>451000</v>
      </c>
      <c r="D1107" s="2509">
        <v>440500</v>
      </c>
      <c r="E1107" s="343" t="s">
        <v>909</v>
      </c>
      <c r="F1107" s="443" t="s">
        <v>1341</v>
      </c>
      <c r="G1107" s="187">
        <f>466000+14000</f>
        <v>480000</v>
      </c>
      <c r="H1107" s="138">
        <f>IF(D1107=G1107,0,IF(D1107=0,100,(G1107-D1107)/D1107*100))</f>
        <v>8.9670828603859256</v>
      </c>
      <c r="I1107" s="33">
        <v>528800</v>
      </c>
      <c r="J1107" s="33">
        <v>599700</v>
      </c>
      <c r="K1107" s="33">
        <f>ROUND(J1107*Assumptions!J$13+GM!J1107,-2)+6000</f>
        <v>620700</v>
      </c>
      <c r="L1107" s="33">
        <f>ROUND(K1107*Assumptions!K$13+GM!K1107,-2)+6100</f>
        <v>642300</v>
      </c>
      <c r="M1107" s="33">
        <v>655300</v>
      </c>
      <c r="N1107" s="33">
        <v>675000</v>
      </c>
      <c r="O1107" s="33">
        <v>595300</v>
      </c>
      <c r="P1107" s="33">
        <v>716200</v>
      </c>
      <c r="Q1107" s="33">
        <v>737700</v>
      </c>
      <c r="R1107" s="114">
        <v>737700</v>
      </c>
    </row>
    <row r="1108" spans="1:18" ht="13.5" customHeight="1" x14ac:dyDescent="0.2">
      <c r="A1108" s="107">
        <v>17000</v>
      </c>
      <c r="B1108" s="33">
        <v>18900</v>
      </c>
      <c r="C1108" s="189">
        <v>16400</v>
      </c>
      <c r="D1108" s="2509">
        <v>18200</v>
      </c>
      <c r="E1108" s="821" t="s">
        <v>3268</v>
      </c>
      <c r="F1108" s="814" t="s">
        <v>3264</v>
      </c>
      <c r="G1108" s="187">
        <f>20000-2000-3000</f>
        <v>15000</v>
      </c>
      <c r="H1108" s="138">
        <f>IF(D1108=G1108,0,IF(D1108=0,100,(G1108-D1108)/D1108*100))</f>
        <v>-17.582417582417584</v>
      </c>
      <c r="I1108" s="33">
        <f>ROUND(G1108*Assumptions!H$13+GM!G1108,-2)+200</f>
        <v>15500</v>
      </c>
      <c r="J1108" s="33">
        <f>ROUND(I1108*Assumptions!I$13+GM!I1108,-2)</f>
        <v>15900</v>
      </c>
      <c r="K1108" s="33">
        <f>ROUND(J1108*Assumptions!J$5+GM!J1108,-2)</f>
        <v>16300</v>
      </c>
      <c r="L1108" s="33">
        <f>ROUND(K1108*Assumptions!K$5+GM!K1108,-2)</f>
        <v>16700</v>
      </c>
      <c r="M1108" s="33">
        <f>ROUND(L1108*Assumptions!L$5+GM!L1108,-2)</f>
        <v>17000</v>
      </c>
      <c r="N1108" s="33">
        <f>ROUND(M1108*Assumptions!M$5+GM!M1108,-2)</f>
        <v>17300</v>
      </c>
      <c r="O1108" s="33">
        <f>ROUND(N1108*Assumptions!N$5+GM!N1108,-2)</f>
        <v>17600</v>
      </c>
      <c r="P1108" s="33">
        <f>ROUND(O1108*Assumptions!O$5+GM!O1108,-2)</f>
        <v>18000</v>
      </c>
      <c r="Q1108" s="33">
        <f>ROUND(P1108*Assumptions!P$5+GM!P1108,-2)</f>
        <v>18400</v>
      </c>
      <c r="R1108" s="114">
        <f>ROUND(Q1108*Assumptions!Q$5+GM!Q1108,-2)</f>
        <v>18800</v>
      </c>
    </row>
    <row r="1109" spans="1:18" ht="13.5" customHeight="1" x14ac:dyDescent="0.2">
      <c r="A1109" s="107">
        <v>44800</v>
      </c>
      <c r="B1109" s="33">
        <v>36300</v>
      </c>
      <c r="C1109" s="189">
        <v>32100</v>
      </c>
      <c r="D1109" s="2509">
        <v>35700</v>
      </c>
      <c r="E1109" s="343" t="s">
        <v>1325</v>
      </c>
      <c r="F1109" s="443" t="s">
        <v>2558</v>
      </c>
      <c r="G1109" s="187">
        <f>35000+5000</f>
        <v>40000</v>
      </c>
      <c r="H1109" s="138">
        <f>IF(D1109=G1109,0,IF(D1109=0,100,(G1109-D1109)/D1109*100))</f>
        <v>12.044817927170868</v>
      </c>
      <c r="I1109" s="33">
        <f>ROUND(G1109*Assumptions!H$13+GM!G1109,-2)</f>
        <v>40800</v>
      </c>
      <c r="J1109" s="33">
        <f>ROUND(I1109*Assumptions!I$13+GM!I1109,-2)</f>
        <v>41800</v>
      </c>
      <c r="K1109" s="33">
        <f>ROUND(J1109*Assumptions!J$5+GM!J1109,-2)</f>
        <v>42800</v>
      </c>
      <c r="L1109" s="33">
        <f>ROUND(K1109*Assumptions!K$5+GM!K1109,-2)</f>
        <v>43900</v>
      </c>
      <c r="M1109" s="33">
        <f>ROUND(L1109*Assumptions!L$5+GM!L1109,-2)</f>
        <v>44800</v>
      </c>
      <c r="N1109" s="33">
        <f>ROUND(M1109*Assumptions!M$5+GM!M1109,-2)</f>
        <v>45700</v>
      </c>
      <c r="O1109" s="33">
        <f>ROUND(N1109*Assumptions!N$5+GM!N1109,-2)</f>
        <v>46600</v>
      </c>
      <c r="P1109" s="33">
        <f>ROUND(O1109*Assumptions!O$5+GM!O1109,-2)</f>
        <v>47500</v>
      </c>
      <c r="Q1109" s="33">
        <f>ROUND(P1109*Assumptions!P$5+GM!P1109,-2)</f>
        <v>48500</v>
      </c>
      <c r="R1109" s="114">
        <f>ROUND(Q1109*Assumptions!Q$5+GM!Q1109,-2)</f>
        <v>49500</v>
      </c>
    </row>
    <row r="1110" spans="1:18" ht="13.5" customHeight="1" x14ac:dyDescent="0.2">
      <c r="A1110" s="107">
        <v>21600</v>
      </c>
      <c r="B1110" s="33">
        <v>19500</v>
      </c>
      <c r="C1110" s="189">
        <v>20100</v>
      </c>
      <c r="D1110" s="2509">
        <v>20100</v>
      </c>
      <c r="E1110" s="343" t="s">
        <v>947</v>
      </c>
      <c r="F1110" s="443" t="s">
        <v>642</v>
      </c>
      <c r="G1110" s="187">
        <v>19000</v>
      </c>
      <c r="H1110" s="138">
        <f>IF(D1110=G1110,0,IF(D1110=0,100,(G1110-D1110)/D1110*100))</f>
        <v>-5.4726368159203984</v>
      </c>
      <c r="I1110" s="33">
        <f>ROUND(G1110*Assumptions!H$13+GM!G1110,-2)</f>
        <v>19400</v>
      </c>
      <c r="J1110" s="33">
        <f>ROUND(I1110*Assumptions!I$13+GM!I1110,-2)</f>
        <v>19900</v>
      </c>
      <c r="K1110" s="33">
        <f>ROUND(J1110*Assumptions!J$5+GM!J1110,-2)</f>
        <v>20400</v>
      </c>
      <c r="L1110" s="33">
        <f>ROUND(K1110*Assumptions!K$5+GM!K1110,-2)</f>
        <v>20900</v>
      </c>
      <c r="M1110" s="33">
        <f>ROUND(L1110*Assumptions!L$5+GM!L1110,-2)</f>
        <v>21300</v>
      </c>
      <c r="N1110" s="33">
        <f>ROUND(M1110*Assumptions!M$5+GM!M1110,-2)</f>
        <v>21700</v>
      </c>
      <c r="O1110" s="33">
        <f>ROUND(N1110*Assumptions!N$5+GM!N1110,-2)</f>
        <v>22100</v>
      </c>
      <c r="P1110" s="33">
        <f>ROUND(O1110*Assumptions!O$5+GM!O1110,-2)</f>
        <v>22500</v>
      </c>
      <c r="Q1110" s="33">
        <f>ROUND(P1110*Assumptions!P$5+GM!P1110,-2)</f>
        <v>23000</v>
      </c>
      <c r="R1110" s="114">
        <f>ROUND(Q1110*Assumptions!Q$5+GM!Q1110,-2)</f>
        <v>23500</v>
      </c>
    </row>
    <row r="1111" spans="1:18" ht="13.5" customHeight="1" x14ac:dyDescent="0.2">
      <c r="A1111" s="107"/>
      <c r="B1111" s="33"/>
      <c r="C1111" s="189"/>
      <c r="D1111" s="2509"/>
      <c r="E1111" s="2512"/>
      <c r="F1111" s="1103" t="s">
        <v>3740</v>
      </c>
      <c r="G1111" s="187"/>
      <c r="H1111" s="138"/>
      <c r="I1111" s="33"/>
      <c r="J1111" s="33"/>
      <c r="K1111" s="33"/>
      <c r="L1111" s="33"/>
      <c r="M1111" s="33"/>
      <c r="N1111" s="33"/>
      <c r="O1111" s="33"/>
      <c r="P1111" s="33"/>
      <c r="Q1111" s="33"/>
      <c r="R1111" s="114"/>
    </row>
    <row r="1112" spans="1:18" ht="13.5" customHeight="1" x14ac:dyDescent="0.2">
      <c r="A1112" s="107">
        <v>121100</v>
      </c>
      <c r="B1112" s="33">
        <v>117100</v>
      </c>
      <c r="C1112" s="189">
        <v>113700</v>
      </c>
      <c r="D1112" s="2509">
        <v>101100</v>
      </c>
      <c r="E1112" s="343" t="s">
        <v>1035</v>
      </c>
      <c r="F1112" s="443" t="s">
        <v>1526</v>
      </c>
      <c r="G1112" s="187">
        <v>113000</v>
      </c>
      <c r="H1112" s="138">
        <f>IF(D1112=G1112,0,IF(D1112=0,100,(G1112-D1112)/D1112*100))</f>
        <v>11.770524233432244</v>
      </c>
      <c r="I1112" s="33">
        <v>156400</v>
      </c>
      <c r="J1112" s="33">
        <v>161100</v>
      </c>
      <c r="K1112" s="33">
        <v>165900</v>
      </c>
      <c r="L1112" s="33">
        <f>ROUND(K1112*Assumptions!K$5+GM!K1112,-2)+1000</f>
        <v>171000</v>
      </c>
      <c r="M1112" s="33">
        <v>176000</v>
      </c>
      <c r="N1112" s="33">
        <v>181300</v>
      </c>
      <c r="O1112" s="33">
        <v>186700</v>
      </c>
      <c r="P1112" s="33">
        <f>ROUND(O1112*Assumptions!O$5+GM!O1112,-2)</f>
        <v>190400</v>
      </c>
      <c r="Q1112" s="33">
        <f>ROUND(P1112*Assumptions!P$5+GM!P1112,-2)</f>
        <v>194200</v>
      </c>
      <c r="R1112" s="114">
        <f>ROUND(Q1112*Assumptions!Q$5+GM!Q1112,-2)</f>
        <v>198100</v>
      </c>
    </row>
    <row r="1113" spans="1:18" ht="13.5" customHeight="1" x14ac:dyDescent="0.2">
      <c r="A1113" s="107">
        <v>145400</v>
      </c>
      <c r="B1113" s="33">
        <v>95500</v>
      </c>
      <c r="C1113" s="189">
        <v>98300</v>
      </c>
      <c r="D1113" s="2509">
        <v>119700</v>
      </c>
      <c r="E1113" s="343" t="s">
        <v>118</v>
      </c>
      <c r="F1113" s="814" t="s">
        <v>3775</v>
      </c>
      <c r="G1113" s="187">
        <v>82000</v>
      </c>
      <c r="H1113" s="138">
        <f>IF(D1113=G1113,0,IF(D1113=0,100,(G1113-D1113)/D1113*100))</f>
        <v>-31.495405179615705</v>
      </c>
      <c r="I1113" s="33">
        <f>ROUND(G1113*Assumptions!H$13+GM!G1113,-2)+10000</f>
        <v>93600</v>
      </c>
      <c r="J1113" s="33">
        <f>ROUND(I1113*Assumptions!I$13+GM!I1113,-2)+40000</f>
        <v>135900</v>
      </c>
      <c r="K1113" s="33">
        <f>ROUND(J1113*Assumptions!J$5+GM!J1113,-2)</f>
        <v>139300</v>
      </c>
      <c r="L1113" s="33">
        <f>ROUND(K1113*Assumptions!K$5+GM!K1113,-2)</f>
        <v>142800</v>
      </c>
      <c r="M1113" s="33">
        <f>ROUND(L1113*Assumptions!L$5+GM!L1113,-2)</f>
        <v>145700</v>
      </c>
      <c r="N1113" s="33">
        <f>ROUND(M1113*Assumptions!M$5+GM!M1113,-2)</f>
        <v>148600</v>
      </c>
      <c r="O1113" s="33">
        <f>ROUND(N1113*Assumptions!N$5+GM!N1113,-2)</f>
        <v>151600</v>
      </c>
      <c r="P1113" s="33">
        <f>ROUND(O1113*Assumptions!O$5+GM!O1113,-2)</f>
        <v>154600</v>
      </c>
      <c r="Q1113" s="33">
        <f>ROUND(P1113*Assumptions!P$5+GM!P1113,-2)</f>
        <v>157700</v>
      </c>
      <c r="R1113" s="114">
        <f>ROUND(Q1113*Assumptions!Q$5+GM!Q1113,-2)</f>
        <v>160900</v>
      </c>
    </row>
    <row r="1114" spans="1:18" ht="13.5" customHeight="1" x14ac:dyDescent="0.2">
      <c r="A1114" s="107">
        <v>40800</v>
      </c>
      <c r="B1114" s="33">
        <f>45800+1900+9000</f>
        <v>56700</v>
      </c>
      <c r="C1114" s="189">
        <v>35700</v>
      </c>
      <c r="D1114" s="2509">
        <v>49700</v>
      </c>
      <c r="E1114" s="343" t="s">
        <v>117</v>
      </c>
      <c r="F1114" s="814" t="s">
        <v>4647</v>
      </c>
      <c r="G1114" s="187">
        <v>36000</v>
      </c>
      <c r="H1114" s="138">
        <f>IF(D1114=G1114,0,IF(D1114=0,100,(G1114-D1114)/D1114*100))</f>
        <v>-27.565392354124747</v>
      </c>
      <c r="I1114" s="33">
        <f>ROUND(G1114*Assumptions!H$13+GM!G1114,-2)</f>
        <v>36700</v>
      </c>
      <c r="J1114" s="33">
        <f>ROUND(I1114*Assumptions!I$13+GM!I1114,-2)</f>
        <v>37600</v>
      </c>
      <c r="K1114" s="33">
        <f>ROUND(J1114*Assumptions!J$5+GM!J1114,-2)</f>
        <v>38500</v>
      </c>
      <c r="L1114" s="33">
        <f>ROUND(K1114*Assumptions!K$5+GM!K1114,-2)</f>
        <v>39500</v>
      </c>
      <c r="M1114" s="33">
        <f>ROUND(L1114*Assumptions!L$5+GM!L1114,-2)</f>
        <v>40300</v>
      </c>
      <c r="N1114" s="33">
        <f>ROUND(M1114*Assumptions!M$5+GM!M1114,-2)</f>
        <v>41100</v>
      </c>
      <c r="O1114" s="33">
        <f>ROUND(N1114*Assumptions!N$5+GM!N1114,-2)</f>
        <v>41900</v>
      </c>
      <c r="P1114" s="33">
        <f>ROUND(O1114*Assumptions!O$5+GM!O1114,-2)</f>
        <v>42700</v>
      </c>
      <c r="Q1114" s="33">
        <f>ROUND(P1114*Assumptions!P$5+GM!P1114,-2)</f>
        <v>43600</v>
      </c>
      <c r="R1114" s="114">
        <f>ROUND(Q1114*Assumptions!Q$5+GM!Q1114,-2)</f>
        <v>44500</v>
      </c>
    </row>
    <row r="1115" spans="1:18" x14ac:dyDescent="0.2">
      <c r="A1115" s="107"/>
      <c r="B1115" s="33"/>
      <c r="C1115" s="33"/>
      <c r="E1115" s="1100"/>
      <c r="F1115" s="814"/>
      <c r="G1115" s="33"/>
      <c r="H1115" s="138"/>
      <c r="I1115" s="33"/>
      <c r="J1115" s="33"/>
      <c r="K1115" s="33"/>
      <c r="L1115" s="33"/>
      <c r="M1115" s="33"/>
      <c r="N1115" s="33"/>
      <c r="O1115" s="33"/>
      <c r="P1115" s="33"/>
      <c r="Q1115" s="33"/>
      <c r="R1115" s="114"/>
    </row>
    <row r="1116" spans="1:18" x14ac:dyDescent="0.2">
      <c r="A1116" s="107"/>
      <c r="B1116" s="33"/>
      <c r="C1116" s="33"/>
      <c r="E1116" s="240"/>
      <c r="F1116" s="718" t="s">
        <v>1031</v>
      </c>
      <c r="G1116" s="33"/>
      <c r="H1116" s="138"/>
      <c r="I1116" s="33"/>
      <c r="J1116" s="33"/>
      <c r="K1116" s="33"/>
      <c r="L1116" s="33"/>
      <c r="M1116" s="33"/>
      <c r="N1116" s="33"/>
      <c r="O1116" s="33"/>
      <c r="P1116" s="33"/>
      <c r="Q1116" s="33"/>
      <c r="R1116" s="114"/>
    </row>
    <row r="1117" spans="1:18" ht="13.5" thickBot="1" x14ac:dyDescent="0.25">
      <c r="A1117" s="171"/>
      <c r="B1117" s="66"/>
      <c r="C1117" s="66"/>
      <c r="D1117" s="174"/>
      <c r="E1117" s="241"/>
      <c r="F1117" s="719"/>
      <c r="G1117" s="66"/>
      <c r="H1117" s="140"/>
      <c r="I1117" s="66"/>
      <c r="J1117" s="66"/>
      <c r="K1117" s="66"/>
      <c r="L1117" s="66"/>
      <c r="M1117" s="66"/>
      <c r="N1117" s="66"/>
      <c r="O1117" s="66"/>
      <c r="P1117" s="66"/>
      <c r="Q1117" s="66"/>
      <c r="R1117" s="165"/>
    </row>
    <row r="1118" spans="1:18" s="99" customFormat="1" ht="14.25" thickTop="1" thickBot="1" x14ac:dyDescent="0.25">
      <c r="E1118" s="238"/>
      <c r="F1118" s="3"/>
      <c r="H1118" s="123"/>
    </row>
    <row r="1119" spans="1:18" s="91" customFormat="1" ht="18.75" customHeight="1" thickTop="1" thickBot="1" x14ac:dyDescent="0.3">
      <c r="A1119" s="2865" t="s">
        <v>4654</v>
      </c>
      <c r="B1119" s="2866"/>
      <c r="C1119" s="2866"/>
      <c r="D1119" s="2866"/>
      <c r="E1119" s="2866"/>
      <c r="F1119" s="2866"/>
      <c r="G1119" s="2866"/>
      <c r="H1119" s="2866"/>
      <c r="I1119" s="2866"/>
      <c r="J1119" s="2866"/>
      <c r="K1119" s="2866"/>
      <c r="L1119" s="2866"/>
      <c r="M1119" s="2866"/>
      <c r="N1119" s="2866"/>
      <c r="O1119" s="2866"/>
      <c r="P1119" s="2866"/>
      <c r="Q1119" s="2866"/>
      <c r="R1119" s="2867"/>
    </row>
    <row r="1120" spans="1:18" s="44" customFormat="1" x14ac:dyDescent="0.2">
      <c r="A1120" s="2888" t="s">
        <v>1856</v>
      </c>
      <c r="B1120" s="2889"/>
      <c r="C1120" s="2889"/>
      <c r="D1120" s="2890"/>
      <c r="E1120" s="513" t="s">
        <v>2663</v>
      </c>
      <c r="F1120" s="2649" t="s">
        <v>2251</v>
      </c>
      <c r="G1120" s="2885" t="s">
        <v>2253</v>
      </c>
      <c r="H1120" s="2886"/>
      <c r="I1120" s="2886"/>
      <c r="J1120" s="2886"/>
      <c r="K1120" s="2886"/>
      <c r="L1120" s="2886"/>
      <c r="M1120" s="2886"/>
      <c r="N1120" s="2886"/>
      <c r="O1120" s="2886"/>
      <c r="P1120" s="2886"/>
      <c r="Q1120" s="2886"/>
      <c r="R1120" s="2887"/>
    </row>
    <row r="1121" spans="1:18" s="23" customFormat="1" ht="13.5" customHeight="1" thickBot="1" x14ac:dyDescent="0.25">
      <c r="A1121" s="208" t="str">
        <f>A3</f>
        <v>2012/13</v>
      </c>
      <c r="B1121" s="218" t="str">
        <f>B3</f>
        <v>2013/14</v>
      </c>
      <c r="C1121" s="370" t="str">
        <f>C3</f>
        <v>2014/15</v>
      </c>
      <c r="D1121" s="93" t="str">
        <f>D3</f>
        <v>2015/16</v>
      </c>
      <c r="E1121" s="370" t="s">
        <v>2664</v>
      </c>
      <c r="F1121" s="42"/>
      <c r="G1121" s="93" t="str">
        <f t="shared" ref="G1121:R1121" si="839">G3</f>
        <v>2016/17</v>
      </c>
      <c r="H1121" s="2005" t="str">
        <f t="shared" si="839"/>
        <v>%</v>
      </c>
      <c r="I1121" s="370" t="str">
        <f t="shared" si="839"/>
        <v>2017/18</v>
      </c>
      <c r="J1121" s="370" t="str">
        <f t="shared" si="839"/>
        <v>2018/19</v>
      </c>
      <c r="K1121" s="370" t="str">
        <f t="shared" si="839"/>
        <v>2019/20</v>
      </c>
      <c r="L1121" s="370" t="str">
        <f t="shared" si="839"/>
        <v>2020/21</v>
      </c>
      <c r="M1121" s="370" t="str">
        <f t="shared" si="839"/>
        <v>2021/22</v>
      </c>
      <c r="N1121" s="370" t="str">
        <f t="shared" si="839"/>
        <v>2022/23</v>
      </c>
      <c r="O1121" s="370" t="str">
        <f t="shared" si="839"/>
        <v>2023/24</v>
      </c>
      <c r="P1121" s="370" t="str">
        <f t="shared" si="839"/>
        <v>2024/25</v>
      </c>
      <c r="Q1121" s="218" t="str">
        <f t="shared" si="839"/>
        <v>2025/26</v>
      </c>
      <c r="R1121" s="549" t="str">
        <f t="shared" si="839"/>
        <v>2026/27</v>
      </c>
    </row>
    <row r="1122" spans="1:18" s="23" customFormat="1" ht="13.5" customHeight="1" x14ac:dyDescent="0.2">
      <c r="A1122" s="268"/>
      <c r="B1122" s="529"/>
      <c r="C1122" s="529"/>
      <c r="D1122" s="204"/>
      <c r="E1122" s="531"/>
      <c r="F1122" s="22"/>
      <c r="G1122" s="204"/>
      <c r="H1122" s="1702"/>
      <c r="I1122" s="529"/>
      <c r="J1122" s="529"/>
      <c r="K1122" s="529"/>
      <c r="L1122" s="529"/>
      <c r="M1122" s="529"/>
      <c r="N1122" s="529"/>
      <c r="O1122" s="529"/>
      <c r="P1122" s="529"/>
      <c r="Q1122" s="529"/>
      <c r="R1122" s="530"/>
    </row>
    <row r="1123" spans="1:18" x14ac:dyDescent="0.2">
      <c r="A1123" s="107"/>
      <c r="B1123" s="33"/>
      <c r="C1123" s="33"/>
      <c r="D1123" s="33"/>
      <c r="E1123" s="1955"/>
      <c r="F1123" s="365" t="s">
        <v>1832</v>
      </c>
      <c r="G1123" s="33"/>
      <c r="H1123" s="138"/>
      <c r="I1123" s="33"/>
      <c r="J1123" s="33"/>
      <c r="K1123" s="33"/>
      <c r="L1123" s="33"/>
      <c r="M1123" s="33"/>
      <c r="N1123" s="33"/>
      <c r="O1123" s="33"/>
      <c r="P1123" s="33"/>
      <c r="Q1123" s="33"/>
      <c r="R1123" s="114"/>
    </row>
    <row r="1124" spans="1:18" x14ac:dyDescent="0.2">
      <c r="A1124" s="107"/>
      <c r="B1124" s="33"/>
      <c r="C1124" s="142"/>
      <c r="D1124" s="33"/>
      <c r="E1124" s="1955"/>
      <c r="F1124" s="886"/>
      <c r="G1124" s="33"/>
      <c r="H1124" s="138"/>
      <c r="I1124" s="33"/>
      <c r="J1124" s="33"/>
      <c r="K1124" s="33"/>
      <c r="L1124" s="33"/>
      <c r="M1124" s="33"/>
      <c r="N1124" s="33"/>
      <c r="O1124" s="33"/>
      <c r="P1124" s="33"/>
      <c r="Q1124" s="33"/>
      <c r="R1124" s="114"/>
    </row>
    <row r="1125" spans="1:18" ht="13.5" customHeight="1" x14ac:dyDescent="0.2">
      <c r="A1125" s="107"/>
      <c r="B1125" s="33"/>
      <c r="C1125" s="189"/>
      <c r="D1125" s="187"/>
      <c r="E1125" s="343"/>
      <c r="F1125" s="439" t="s">
        <v>506</v>
      </c>
      <c r="G1125" s="187"/>
      <c r="H1125" s="138"/>
      <c r="I1125" s="33"/>
      <c r="J1125" s="33"/>
      <c r="K1125" s="33"/>
      <c r="L1125" s="33"/>
      <c r="M1125" s="33"/>
      <c r="N1125" s="33"/>
      <c r="O1125" s="33"/>
      <c r="P1125" s="33"/>
      <c r="Q1125" s="33"/>
      <c r="R1125" s="114"/>
    </row>
    <row r="1126" spans="1:18" ht="13.5" customHeight="1" x14ac:dyDescent="0.2">
      <c r="A1126" s="107">
        <v>0</v>
      </c>
      <c r="B1126" s="33">
        <v>143100</v>
      </c>
      <c r="C1126" s="189">
        <v>203900</v>
      </c>
      <c r="D1126" s="187">
        <v>213700</v>
      </c>
      <c r="E1126" s="821" t="s">
        <v>3433</v>
      </c>
      <c r="F1126" s="814" t="s">
        <v>3434</v>
      </c>
      <c r="G1126" s="187">
        <v>220000</v>
      </c>
      <c r="H1126" s="138">
        <f t="shared" ref="H1126:H1161" si="840">IF(D1126=G1126,0,IF(D1126=0,100,(G1126-D1126)/D1126*100))</f>
        <v>2.9480580252690687</v>
      </c>
      <c r="I1126" s="33">
        <f>ROUND(G1126*Assumptions!H$13+GM!G1126,-2)</f>
        <v>224400</v>
      </c>
      <c r="J1126" s="33">
        <v>284100</v>
      </c>
      <c r="K1126" s="33">
        <v>292600</v>
      </c>
      <c r="L1126" s="33">
        <f>ROUND(K1126*Assumptions!K$5+GM!K1126,-2)</f>
        <v>299900</v>
      </c>
      <c r="M1126" s="33">
        <f>ROUND(L1126*Assumptions!L$5+GM!L1126,-2)</f>
        <v>305900</v>
      </c>
      <c r="N1126" s="33">
        <f>ROUND(M1126*Assumptions!M$5+GM!M1126,-2)</f>
        <v>312000</v>
      </c>
      <c r="O1126" s="33">
        <f>ROUND(N1126*Assumptions!N$5+GM!N1126,-2)</f>
        <v>318200</v>
      </c>
      <c r="P1126" s="33">
        <f>ROUND(O1126*Assumptions!O$5+GM!O1126,-2)</f>
        <v>324600</v>
      </c>
      <c r="Q1126" s="33">
        <f>ROUND(P1126*Assumptions!P$5+GM!P1126,-2)</f>
        <v>331100</v>
      </c>
      <c r="R1126" s="114">
        <f>ROUND(Q1126*Assumptions!Q$5+GM!Q1126,-2)</f>
        <v>337700</v>
      </c>
    </row>
    <row r="1127" spans="1:18" ht="13.5" customHeight="1" x14ac:dyDescent="0.2">
      <c r="A1127" s="107">
        <v>14600</v>
      </c>
      <c r="B1127" s="33">
        <v>4900</v>
      </c>
      <c r="C1127" s="189">
        <v>1700</v>
      </c>
      <c r="D1127" s="187">
        <v>1400</v>
      </c>
      <c r="E1127" s="343" t="s">
        <v>1037</v>
      </c>
      <c r="F1127" s="443" t="s">
        <v>1662</v>
      </c>
      <c r="G1127" s="187">
        <f>5000+2000</f>
        <v>7000</v>
      </c>
      <c r="H1127" s="138">
        <f t="shared" si="840"/>
        <v>400</v>
      </c>
      <c r="I1127" s="33">
        <f>ROUND(G1127*Assumptions!H$13+GM!G1127,-2)</f>
        <v>7100</v>
      </c>
      <c r="J1127" s="33">
        <f>ROUND(I1127*Assumptions!I$13+GM!I1127,-2)</f>
        <v>7300</v>
      </c>
      <c r="K1127" s="33">
        <f>ROUND(J1127*Assumptions!J$5+GM!J1127,-2)</f>
        <v>7500</v>
      </c>
      <c r="L1127" s="33">
        <f>ROUND(K1127*Assumptions!K$5+GM!K1127,-2)</f>
        <v>7700</v>
      </c>
      <c r="M1127" s="33">
        <f>ROUND(L1127*Assumptions!L$5+GM!L1127,-2)</f>
        <v>7900</v>
      </c>
      <c r="N1127" s="33">
        <f>ROUND(M1127*Assumptions!M$5+GM!M1127,-2)</f>
        <v>8100</v>
      </c>
      <c r="O1127" s="33">
        <f>ROUND(N1127*Assumptions!N$5+GM!N1127,-2)</f>
        <v>8300</v>
      </c>
      <c r="P1127" s="33">
        <f>ROUND(O1127*Assumptions!O$5+GM!O1127,-2)</f>
        <v>8500</v>
      </c>
      <c r="Q1127" s="33">
        <f>ROUND(P1127*Assumptions!P$5+GM!P1127,-2)</f>
        <v>8700</v>
      </c>
      <c r="R1127" s="114">
        <f>ROUND(Q1127*Assumptions!Q$5+GM!Q1127,-2)</f>
        <v>8900</v>
      </c>
    </row>
    <row r="1128" spans="1:18" ht="13.5" customHeight="1" x14ac:dyDescent="0.2">
      <c r="A1128" s="107">
        <v>7800</v>
      </c>
      <c r="B1128" s="33">
        <v>7200</v>
      </c>
      <c r="C1128" s="189">
        <v>7400</v>
      </c>
      <c r="D1128" s="187">
        <v>7300</v>
      </c>
      <c r="E1128" s="343" t="s">
        <v>2736</v>
      </c>
      <c r="F1128" s="443" t="s">
        <v>2733</v>
      </c>
      <c r="G1128" s="187">
        <v>8000</v>
      </c>
      <c r="H1128" s="138">
        <f t="shared" si="840"/>
        <v>9.5890410958904102</v>
      </c>
      <c r="I1128" s="33">
        <f>ROUND(G1128*Assumptions!H$13+GM!G1128,-2)</f>
        <v>8200</v>
      </c>
      <c r="J1128" s="33">
        <f>ROUND(I1128*Assumptions!I$13+GM!I1128,-2)</f>
        <v>8400</v>
      </c>
      <c r="K1128" s="33">
        <f>ROUND(J1128*Assumptions!J$5+GM!J1128,-2)</f>
        <v>8600</v>
      </c>
      <c r="L1128" s="33">
        <f>ROUND(K1128*Assumptions!K$5+GM!K1128,-2)</f>
        <v>8800</v>
      </c>
      <c r="M1128" s="33">
        <f>ROUND(L1128*Assumptions!L$5+GM!L1128,-2)</f>
        <v>9000</v>
      </c>
      <c r="N1128" s="33">
        <f>ROUND(M1128*Assumptions!M$5+GM!M1128,-2)</f>
        <v>9200</v>
      </c>
      <c r="O1128" s="33">
        <f>ROUND(N1128*Assumptions!N$5+GM!N1128,-2)</f>
        <v>9400</v>
      </c>
      <c r="P1128" s="33">
        <f>ROUND(O1128*Assumptions!O$5+GM!O1128,-2)</f>
        <v>9600</v>
      </c>
      <c r="Q1128" s="33">
        <f>ROUND(P1128*Assumptions!P$5+GM!P1128,-2)</f>
        <v>9800</v>
      </c>
      <c r="R1128" s="114">
        <f>ROUND(Q1128*Assumptions!Q$5+GM!Q1128,-2)</f>
        <v>10000</v>
      </c>
    </row>
    <row r="1129" spans="1:18" ht="13.5" customHeight="1" x14ac:dyDescent="0.2">
      <c r="A1129" s="107">
        <v>76600</v>
      </c>
      <c r="B1129" s="33">
        <v>89300</v>
      </c>
      <c r="C1129" s="189">
        <v>95300</v>
      </c>
      <c r="D1129" s="187">
        <v>78800</v>
      </c>
      <c r="E1129" s="343" t="s">
        <v>1483</v>
      </c>
      <c r="F1129" s="443" t="s">
        <v>2016</v>
      </c>
      <c r="G1129" s="187">
        <f>70000+10000</f>
        <v>80000</v>
      </c>
      <c r="H1129" s="138">
        <f t="shared" si="840"/>
        <v>1.5228426395939088</v>
      </c>
      <c r="I1129" s="33">
        <v>71400</v>
      </c>
      <c r="J1129" s="33">
        <f>ROUND(I1129*Assumptions!I$13+GM!I1129,-2)</f>
        <v>73200</v>
      </c>
      <c r="K1129" s="33">
        <f>ROUND(J1129*Assumptions!J$5+GM!J1129,-2)</f>
        <v>75000</v>
      </c>
      <c r="L1129" s="33">
        <f>ROUND(K1129*Assumptions!K$5+GM!K1129,-2)</f>
        <v>76900</v>
      </c>
      <c r="M1129" s="33">
        <f>ROUND(L1129*Assumptions!L$5+GM!L1129,-2)</f>
        <v>78400</v>
      </c>
      <c r="N1129" s="33">
        <f>ROUND(M1129*Assumptions!M$5+GM!M1129,-2)</f>
        <v>80000</v>
      </c>
      <c r="O1129" s="33">
        <f>ROUND(N1129*Assumptions!N$5+GM!N1129,-2)</f>
        <v>81600</v>
      </c>
      <c r="P1129" s="33">
        <f>ROUND(O1129*Assumptions!O$5+GM!O1129,-2)</f>
        <v>83200</v>
      </c>
      <c r="Q1129" s="33">
        <f>ROUND(P1129*Assumptions!P$5+GM!P1129,-2)</f>
        <v>84900</v>
      </c>
      <c r="R1129" s="114">
        <f>ROUND(Q1129*Assumptions!Q$5+GM!Q1129,-2)</f>
        <v>86600</v>
      </c>
    </row>
    <row r="1130" spans="1:18" ht="13.5" customHeight="1" x14ac:dyDescent="0.2">
      <c r="A1130" s="107">
        <v>4200</v>
      </c>
      <c r="B1130" s="33">
        <v>5200</v>
      </c>
      <c r="C1130" s="189">
        <v>6200</v>
      </c>
      <c r="D1130" s="187">
        <v>8000</v>
      </c>
      <c r="E1130" s="343" t="s">
        <v>634</v>
      </c>
      <c r="F1130" s="443" t="s">
        <v>632</v>
      </c>
      <c r="G1130" s="187">
        <v>10800</v>
      </c>
      <c r="H1130" s="138">
        <f t="shared" si="840"/>
        <v>35</v>
      </c>
      <c r="I1130" s="33">
        <f>ROUND(G1130*Assumptions!H$13+GM!G1130,-2)</f>
        <v>11000</v>
      </c>
      <c r="J1130" s="33">
        <f>ROUND(I1130*Assumptions!I$13+GM!I1130,-2)</f>
        <v>11300</v>
      </c>
      <c r="K1130" s="33">
        <f>ROUND(J1130*Assumptions!J$5+GM!J1130,-2)</f>
        <v>11600</v>
      </c>
      <c r="L1130" s="33">
        <f>ROUND(K1130*Assumptions!K$5+GM!K1130,-2)</f>
        <v>11900</v>
      </c>
      <c r="M1130" s="33">
        <f>ROUND(L1130*Assumptions!L$5+GM!L1130,-2)</f>
        <v>12100</v>
      </c>
      <c r="N1130" s="33">
        <f>ROUND(M1130*Assumptions!M$5+GM!M1130,-2)</f>
        <v>12300</v>
      </c>
      <c r="O1130" s="33">
        <f>ROUND(N1130*Assumptions!N$5+GM!N1130,-2)</f>
        <v>12500</v>
      </c>
      <c r="P1130" s="33">
        <f>ROUND(O1130*Assumptions!O$5+GM!O1130,-2)</f>
        <v>12800</v>
      </c>
      <c r="Q1130" s="33">
        <f>ROUND(P1130*Assumptions!P$5+GM!P1130,-2)</f>
        <v>13100</v>
      </c>
      <c r="R1130" s="114">
        <f>ROUND(Q1130*Assumptions!Q$5+GM!Q1130,-2)</f>
        <v>13400</v>
      </c>
    </row>
    <row r="1131" spans="1:18" ht="13.5" customHeight="1" x14ac:dyDescent="0.2">
      <c r="A1131" s="107"/>
      <c r="B1131" s="33"/>
      <c r="C1131" s="189"/>
      <c r="D1131" s="187">
        <v>20000</v>
      </c>
      <c r="E1131" s="821" t="s">
        <v>6806</v>
      </c>
      <c r="F1131" s="814" t="s">
        <v>6807</v>
      </c>
      <c r="G1131" s="187">
        <v>0</v>
      </c>
      <c r="H1131" s="138">
        <f t="shared" si="840"/>
        <v>-100</v>
      </c>
      <c r="I1131" s="33">
        <f>ROUND(G1131*Assumptions!H$13+GM!G1131,-2)</f>
        <v>0</v>
      </c>
      <c r="J1131" s="33">
        <f>ROUND(I1131*Assumptions!I$13+GM!I1131,-2)</f>
        <v>0</v>
      </c>
      <c r="K1131" s="33">
        <f>ROUND(J1131*Assumptions!J$5+GM!J1131,-2)</f>
        <v>0</v>
      </c>
      <c r="L1131" s="33">
        <f>ROUND(K1131*Assumptions!K$5+GM!K1131,-2)</f>
        <v>0</v>
      </c>
      <c r="M1131" s="33">
        <f>ROUND(L1131*Assumptions!L$5+GM!L1131,-2)</f>
        <v>0</v>
      </c>
      <c r="N1131" s="33">
        <f>ROUND(M1131*Assumptions!M$5+GM!M1131,-2)</f>
        <v>0</v>
      </c>
      <c r="O1131" s="33">
        <f>ROUND(N1131*Assumptions!N$5+GM!N1131,-2)</f>
        <v>0</v>
      </c>
      <c r="P1131" s="33">
        <f>ROUND(O1131*Assumptions!O$5+GM!O1131,-2)</f>
        <v>0</v>
      </c>
      <c r="Q1131" s="33">
        <f>ROUND(P1131*Assumptions!P$5+GM!P1131,-2)</f>
        <v>0</v>
      </c>
      <c r="R1131" s="114">
        <f>ROUND(Q1131*Assumptions!Q$5+GM!Q1131,-2)</f>
        <v>0</v>
      </c>
    </row>
    <row r="1132" spans="1:18" ht="13.5" customHeight="1" x14ac:dyDescent="0.2">
      <c r="A1132" s="107">
        <v>22900</v>
      </c>
      <c r="B1132" s="33">
        <v>21900</v>
      </c>
      <c r="C1132" s="189">
        <v>41400</v>
      </c>
      <c r="D1132" s="187">
        <v>71000</v>
      </c>
      <c r="E1132" s="343" t="s">
        <v>1484</v>
      </c>
      <c r="F1132" s="443" t="s">
        <v>2774</v>
      </c>
      <c r="G1132" s="187">
        <f>72500-2000</f>
        <v>70500</v>
      </c>
      <c r="H1132" s="138">
        <f t="shared" si="840"/>
        <v>-0.70422535211267612</v>
      </c>
      <c r="I1132" s="33">
        <f>ROUND(G1132*Assumptions!H$13+GM!G1132,-2)</f>
        <v>71900</v>
      </c>
      <c r="J1132" s="33">
        <f>ROUND(I1132*Assumptions!I$13+GM!I1132,-2)</f>
        <v>73700</v>
      </c>
      <c r="K1132" s="33">
        <f>ROUND(J1132*Assumptions!J$5+GM!J1132,-2)</f>
        <v>75500</v>
      </c>
      <c r="L1132" s="33">
        <f>ROUND(K1132*Assumptions!K$5+GM!K1132,-2)</f>
        <v>77400</v>
      </c>
      <c r="M1132" s="33">
        <f>ROUND(L1132*Assumptions!L$5+GM!L1132,-2)</f>
        <v>78900</v>
      </c>
      <c r="N1132" s="33">
        <f>ROUND(M1132*Assumptions!M$5+GM!M1132,-2)</f>
        <v>80500</v>
      </c>
      <c r="O1132" s="33">
        <f>ROUND(N1132*Assumptions!N$5+GM!N1132,-2)</f>
        <v>82100</v>
      </c>
      <c r="P1132" s="33">
        <f>ROUND(O1132*Assumptions!O$5+GM!O1132,-2)</f>
        <v>83700</v>
      </c>
      <c r="Q1132" s="33">
        <f>ROUND(P1132*Assumptions!P$5+GM!P1132,-2)</f>
        <v>85400</v>
      </c>
      <c r="R1132" s="114">
        <f>ROUND(Q1132*Assumptions!Q$5+GM!Q1132,-2)</f>
        <v>87100</v>
      </c>
    </row>
    <row r="1133" spans="1:18" ht="13.5" customHeight="1" x14ac:dyDescent="0.2">
      <c r="A1133" s="107">
        <v>28700</v>
      </c>
      <c r="B1133" s="33">
        <v>31000</v>
      </c>
      <c r="C1133" s="189">
        <v>46900</v>
      </c>
      <c r="D1133" s="187">
        <v>43400</v>
      </c>
      <c r="E1133" s="343" t="s">
        <v>1038</v>
      </c>
      <c r="F1133" s="443" t="s">
        <v>1317</v>
      </c>
      <c r="G1133" s="187">
        <v>38000</v>
      </c>
      <c r="H1133" s="138">
        <f t="shared" si="840"/>
        <v>-12.442396313364055</v>
      </c>
      <c r="I1133" s="33">
        <f>ROUND(G1133*Assumptions!H$13+GM!G1133,-2)</f>
        <v>38800</v>
      </c>
      <c r="J1133" s="33">
        <f>ROUND(I1133*Assumptions!I$13+GM!I1133,-2)</f>
        <v>39800</v>
      </c>
      <c r="K1133" s="33">
        <f>ROUND(J1133*Assumptions!J$5+GM!J1133,-2)</f>
        <v>40800</v>
      </c>
      <c r="L1133" s="33">
        <f>ROUND(K1133*Assumptions!K$5+GM!K1133,-2)</f>
        <v>41800</v>
      </c>
      <c r="M1133" s="33">
        <f>ROUND(L1133*Assumptions!L$5+GM!L1133,-2)</f>
        <v>42600</v>
      </c>
      <c r="N1133" s="33">
        <f>ROUND(M1133*Assumptions!M$5+GM!M1133,-2)</f>
        <v>43500</v>
      </c>
      <c r="O1133" s="33">
        <f>ROUND(N1133*Assumptions!N$5+GM!N1133,-2)</f>
        <v>44400</v>
      </c>
      <c r="P1133" s="33">
        <f>ROUND(O1133*Assumptions!O$5+GM!O1133,-2)</f>
        <v>45300</v>
      </c>
      <c r="Q1133" s="33">
        <f>ROUND(P1133*Assumptions!P$5+GM!P1133,-2)</f>
        <v>46200</v>
      </c>
      <c r="R1133" s="114">
        <f>ROUND(Q1133*Assumptions!Q$5+GM!Q1133,-2)</f>
        <v>47100</v>
      </c>
    </row>
    <row r="1134" spans="1:18" ht="13.5" customHeight="1" x14ac:dyDescent="0.2">
      <c r="A1134" s="107">
        <v>757800</v>
      </c>
      <c r="B1134" s="33">
        <v>901700</v>
      </c>
      <c r="C1134" s="189">
        <v>955600</v>
      </c>
      <c r="D1134" s="187">
        <v>999200</v>
      </c>
      <c r="E1134" s="343" t="s">
        <v>1036</v>
      </c>
      <c r="F1134" s="443" t="s">
        <v>217</v>
      </c>
      <c r="G1134" s="187">
        <f>ROUND(G1081*0.89,-3)-100000</f>
        <v>1102000</v>
      </c>
      <c r="H1134" s="138">
        <f t="shared" si="840"/>
        <v>10.288230584467573</v>
      </c>
      <c r="I1134" s="33">
        <f t="shared" ref="I1134:Q1134" si="841">ROUND(I1081*0.89,-3)</f>
        <v>1238000</v>
      </c>
      <c r="J1134" s="33">
        <f t="shared" si="841"/>
        <v>1275000</v>
      </c>
      <c r="K1134" s="33">
        <f t="shared" si="841"/>
        <v>1313000</v>
      </c>
      <c r="L1134" s="33">
        <f t="shared" si="841"/>
        <v>1352000</v>
      </c>
      <c r="M1134" s="33">
        <f t="shared" si="841"/>
        <v>1393000</v>
      </c>
      <c r="N1134" s="33">
        <f t="shared" si="841"/>
        <v>1435000</v>
      </c>
      <c r="O1134" s="33">
        <f t="shared" si="841"/>
        <v>1478000</v>
      </c>
      <c r="P1134" s="33">
        <f t="shared" si="841"/>
        <v>1522000</v>
      </c>
      <c r="Q1134" s="33">
        <f t="shared" si="841"/>
        <v>1568000</v>
      </c>
      <c r="R1134" s="114">
        <f t="shared" ref="R1134" si="842">ROUND(R1081*0.89,-3)</f>
        <v>1615000</v>
      </c>
    </row>
    <row r="1135" spans="1:18" ht="13.5" customHeight="1" x14ac:dyDescent="0.2">
      <c r="A1135" s="107">
        <v>25300</v>
      </c>
      <c r="B1135" s="33">
        <v>26200</v>
      </c>
      <c r="C1135" s="189">
        <v>17300</v>
      </c>
      <c r="D1135" s="187">
        <v>3000</v>
      </c>
      <c r="E1135" s="343" t="s">
        <v>1039</v>
      </c>
      <c r="F1135" s="443" t="s">
        <v>1439</v>
      </c>
      <c r="G1135" s="187">
        <f>10000-2000</f>
        <v>8000</v>
      </c>
      <c r="H1135" s="138">
        <f t="shared" si="840"/>
        <v>166.66666666666669</v>
      </c>
      <c r="I1135" s="33">
        <f>ROUND(G1135*Assumptions!H$13+GM!G1135,-2)</f>
        <v>8200</v>
      </c>
      <c r="J1135" s="33">
        <f>ROUND(I1135*Assumptions!I$13+GM!I1135,-2)</f>
        <v>8400</v>
      </c>
      <c r="K1135" s="33">
        <f>ROUND(J1135*Assumptions!J$5+GM!J1135,-2)</f>
        <v>8600</v>
      </c>
      <c r="L1135" s="33">
        <f>ROUND(K1135*Assumptions!K$5+GM!K1135,-2)</f>
        <v>8800</v>
      </c>
      <c r="M1135" s="33">
        <f>ROUND(L1135*Assumptions!L$5+GM!L1135,-2)</f>
        <v>9000</v>
      </c>
      <c r="N1135" s="33">
        <f>ROUND(M1135*Assumptions!M$5+GM!M1135,-2)</f>
        <v>9200</v>
      </c>
      <c r="O1135" s="33">
        <f>ROUND(N1135*Assumptions!N$5+GM!N1135,-2)</f>
        <v>9400</v>
      </c>
      <c r="P1135" s="33">
        <f>ROUND(O1135*Assumptions!O$5+GM!O1135,-2)</f>
        <v>9600</v>
      </c>
      <c r="Q1135" s="33">
        <f>ROUND(P1135*Assumptions!P$5+GM!P1135,-2)</f>
        <v>9800</v>
      </c>
      <c r="R1135" s="114">
        <f>ROUND(Q1135*Assumptions!Q$5+GM!Q1135,-2)</f>
        <v>10000</v>
      </c>
    </row>
    <row r="1136" spans="1:18" ht="13.5" customHeight="1" x14ac:dyDescent="0.2">
      <c r="A1136" s="107">
        <v>0</v>
      </c>
      <c r="B1136" s="33">
        <v>0</v>
      </c>
      <c r="C1136" s="189">
        <v>0</v>
      </c>
      <c r="D1136" s="187">
        <v>67400</v>
      </c>
      <c r="E1136" s="821" t="s">
        <v>5930</v>
      </c>
      <c r="F1136" s="814" t="s">
        <v>5931</v>
      </c>
      <c r="G1136" s="1011">
        <f>300000-190000</f>
        <v>110000</v>
      </c>
      <c r="H1136" s="138">
        <f t="shared" si="840"/>
        <v>63.204747774480708</v>
      </c>
      <c r="I1136" s="33">
        <v>306000</v>
      </c>
      <c r="J1136" s="33">
        <f>ROUND(I1136*Assumptions!I$13+GM!I1136,-2)</f>
        <v>313700</v>
      </c>
      <c r="K1136" s="33">
        <f>ROUND(J1136*Assumptions!J$5+GM!J1136,-2)</f>
        <v>321500</v>
      </c>
      <c r="L1136" s="33">
        <f>ROUND(K1136*Assumptions!K$5+GM!K1136,-2)</f>
        <v>329500</v>
      </c>
      <c r="M1136" s="33">
        <f>ROUND(L1136*Assumptions!L$5+GM!L1136,-2)</f>
        <v>336100</v>
      </c>
      <c r="N1136" s="33">
        <f>ROUND(M1136*Assumptions!M$5+GM!M1136,-2)</f>
        <v>342800</v>
      </c>
      <c r="O1136" s="33">
        <f>ROUND(N1136*Assumptions!N$5+GM!N1136,-2)</f>
        <v>349700</v>
      </c>
      <c r="P1136" s="33">
        <f>ROUND(O1136*Assumptions!O$5+GM!O1136,-2)</f>
        <v>356700</v>
      </c>
      <c r="Q1136" s="33">
        <f>ROUND(P1136*Assumptions!P$5+GM!P1136,-2)</f>
        <v>363800</v>
      </c>
      <c r="R1136" s="114">
        <f>ROUND(Q1136*Assumptions!Q$5+GM!Q1136,-2)</f>
        <v>371100</v>
      </c>
    </row>
    <row r="1137" spans="1:18" ht="13.5" customHeight="1" x14ac:dyDescent="0.2">
      <c r="A1137" s="107">
        <v>10600</v>
      </c>
      <c r="B1137" s="33">
        <v>6400</v>
      </c>
      <c r="C1137" s="189">
        <v>6700</v>
      </c>
      <c r="D1137" s="187">
        <v>8100</v>
      </c>
      <c r="E1137" s="343" t="s">
        <v>1040</v>
      </c>
      <c r="F1137" s="443" t="s">
        <v>2386</v>
      </c>
      <c r="G1137" s="187">
        <v>9000</v>
      </c>
      <c r="H1137" s="138">
        <f t="shared" si="840"/>
        <v>11.111111111111111</v>
      </c>
      <c r="I1137" s="33">
        <f>ROUND(G1137*Assumptions!H$13+GM!G1137,-2)</f>
        <v>9200</v>
      </c>
      <c r="J1137" s="33">
        <f>ROUND(I1137*Assumptions!I$13+GM!I1137,-2)</f>
        <v>9400</v>
      </c>
      <c r="K1137" s="33">
        <f>ROUND(J1137*Assumptions!J$5+GM!J1137,-2)</f>
        <v>9600</v>
      </c>
      <c r="L1137" s="33">
        <f>ROUND(K1137*Assumptions!K$5+GM!K1137,-2)</f>
        <v>9800</v>
      </c>
      <c r="M1137" s="33">
        <f>ROUND(L1137*Assumptions!L$5+GM!L1137,-2)</f>
        <v>10000</v>
      </c>
      <c r="N1137" s="33">
        <f>ROUND(M1137*Assumptions!M$5+GM!M1137,-2)</f>
        <v>10200</v>
      </c>
      <c r="O1137" s="33">
        <f>ROUND(N1137*Assumptions!N$5+GM!N1137,-2)</f>
        <v>10400</v>
      </c>
      <c r="P1137" s="33">
        <f>ROUND(O1137*Assumptions!O$5+GM!O1137,-2)</f>
        <v>10600</v>
      </c>
      <c r="Q1137" s="33">
        <f>ROUND(P1137*Assumptions!P$5+GM!P1137,-2)</f>
        <v>10800</v>
      </c>
      <c r="R1137" s="114">
        <f>ROUND(Q1137*Assumptions!Q$5+GM!Q1137,-2)</f>
        <v>11000</v>
      </c>
    </row>
    <row r="1138" spans="1:18" ht="13.5" customHeight="1" x14ac:dyDescent="0.2">
      <c r="A1138" s="107">
        <v>83000</v>
      </c>
      <c r="B1138" s="33">
        <v>79700</v>
      </c>
      <c r="C1138" s="189">
        <v>63600</v>
      </c>
      <c r="D1138" s="187">
        <v>71300</v>
      </c>
      <c r="E1138" s="343" t="s">
        <v>2925</v>
      </c>
      <c r="F1138" s="443" t="s">
        <v>1424</v>
      </c>
      <c r="G1138" s="187">
        <f>77000-2000</f>
        <v>75000</v>
      </c>
      <c r="H1138" s="138">
        <f t="shared" si="840"/>
        <v>5.1893408134642351</v>
      </c>
      <c r="I1138" s="33">
        <f>ROUND(G1138*Assumptions!H$13+GM!G1138,-2)</f>
        <v>76500</v>
      </c>
      <c r="J1138" s="33">
        <f>ROUND(I1138*Assumptions!I$13+GM!I1138,-2)</f>
        <v>78400</v>
      </c>
      <c r="K1138" s="33">
        <f>ROUND(J1138*Assumptions!J$5+GM!J1138,-2)</f>
        <v>80400</v>
      </c>
      <c r="L1138" s="33">
        <f>ROUND(K1138*Assumptions!K$5+GM!K1138,-2)</f>
        <v>82400</v>
      </c>
      <c r="M1138" s="33">
        <f>ROUND(L1138*Assumptions!L$5+GM!L1138,-2)</f>
        <v>84000</v>
      </c>
      <c r="N1138" s="33">
        <f>ROUND(M1138*Assumptions!M$5+GM!M1138,-2)</f>
        <v>85700</v>
      </c>
      <c r="O1138" s="33">
        <f>ROUND(N1138*Assumptions!N$5+GM!N1138,-2)</f>
        <v>87400</v>
      </c>
      <c r="P1138" s="33">
        <f>ROUND(O1138*Assumptions!O$5+GM!O1138,-2)</f>
        <v>89100</v>
      </c>
      <c r="Q1138" s="33">
        <f>ROUND(P1138*Assumptions!P$5+GM!P1138,-2)</f>
        <v>90900</v>
      </c>
      <c r="R1138" s="114">
        <f>ROUND(Q1138*Assumptions!Q$5+GM!Q1138,-2)</f>
        <v>92700</v>
      </c>
    </row>
    <row r="1139" spans="1:18" ht="13.5" customHeight="1" x14ac:dyDescent="0.2">
      <c r="A1139" s="107">
        <v>400</v>
      </c>
      <c r="B1139" s="33">
        <v>100</v>
      </c>
      <c r="C1139" s="189">
        <v>300</v>
      </c>
      <c r="D1139" s="187">
        <v>300</v>
      </c>
      <c r="E1139" s="343" t="s">
        <v>2926</v>
      </c>
      <c r="F1139" s="443" t="s">
        <v>2365</v>
      </c>
      <c r="G1139" s="187">
        <v>500</v>
      </c>
      <c r="H1139" s="138">
        <f t="shared" si="840"/>
        <v>66.666666666666657</v>
      </c>
      <c r="I1139" s="33">
        <f>ROUND(G1139*Assumptions!H$13+GM!G1139,-2)</f>
        <v>500</v>
      </c>
      <c r="J1139" s="33">
        <f>ROUND(I1139*Assumptions!I$13+GM!I1139,-2)</f>
        <v>500</v>
      </c>
      <c r="K1139" s="33">
        <f>ROUND(J1139*Assumptions!J$5+GM!J1139,-2)</f>
        <v>500</v>
      </c>
      <c r="L1139" s="33">
        <f>ROUND(K1139*Assumptions!K$5+GM!K1139,-2)</f>
        <v>500</v>
      </c>
      <c r="M1139" s="33">
        <f>ROUND(L1139*Assumptions!L$5+GM!L1139,-2)</f>
        <v>500</v>
      </c>
      <c r="N1139" s="33">
        <f>ROUND(M1139*Assumptions!M$5+GM!M1139,-2)</f>
        <v>500</v>
      </c>
      <c r="O1139" s="33">
        <f>ROUND(N1139*Assumptions!N$5+GM!N1139,-2)</f>
        <v>500</v>
      </c>
      <c r="P1139" s="33">
        <f>ROUND(O1139*Assumptions!O$5+GM!O1139,-2)</f>
        <v>500</v>
      </c>
      <c r="Q1139" s="33">
        <f>ROUND(P1139*Assumptions!P$5+GM!P1139,-2)</f>
        <v>500</v>
      </c>
      <c r="R1139" s="114">
        <f>ROUND(Q1139*Assumptions!Q$5+GM!Q1139,-2)</f>
        <v>500</v>
      </c>
    </row>
    <row r="1140" spans="1:18" ht="13.5" customHeight="1" x14ac:dyDescent="0.2">
      <c r="A1140" s="107">
        <v>96100</v>
      </c>
      <c r="B1140" s="33">
        <v>67600</v>
      </c>
      <c r="C1140" s="189">
        <v>49200</v>
      </c>
      <c r="D1140" s="187">
        <v>14700</v>
      </c>
      <c r="E1140" s="343" t="s">
        <v>2927</v>
      </c>
      <c r="F1140" s="443" t="s">
        <v>1132</v>
      </c>
      <c r="G1140" s="187">
        <f>31000-10000</f>
        <v>21000</v>
      </c>
      <c r="H1140" s="138">
        <f t="shared" si="840"/>
        <v>42.857142857142854</v>
      </c>
      <c r="I1140" s="33">
        <f>ROUND(G1140*Assumptions!H$13+GM!G1140,-2)</f>
        <v>21400</v>
      </c>
      <c r="J1140" s="33">
        <f>ROUND(I1140*Assumptions!I$13+GM!I1140,-2)</f>
        <v>21900</v>
      </c>
      <c r="K1140" s="33">
        <f>ROUND(J1140*Assumptions!J$5+GM!J1140,-2)</f>
        <v>22400</v>
      </c>
      <c r="L1140" s="33">
        <f>ROUND(K1140*Assumptions!K$5+GM!K1140,-2)</f>
        <v>23000</v>
      </c>
      <c r="M1140" s="33">
        <f>ROUND(L1140*Assumptions!L$5+GM!L1140,-2)</f>
        <v>23500</v>
      </c>
      <c r="N1140" s="33">
        <f>ROUND(M1140*Assumptions!M$5+GM!M1140,-2)</f>
        <v>24000</v>
      </c>
      <c r="O1140" s="33">
        <f>ROUND(N1140*Assumptions!N$5+GM!N1140,-2)</f>
        <v>24500</v>
      </c>
      <c r="P1140" s="33">
        <f>ROUND(O1140*Assumptions!O$5+GM!O1140,-2)</f>
        <v>25000</v>
      </c>
      <c r="Q1140" s="33">
        <f>ROUND(P1140*Assumptions!P$5+GM!P1140,-2)</f>
        <v>25500</v>
      </c>
      <c r="R1140" s="114">
        <f>ROUND(Q1140*Assumptions!Q$5+GM!Q1140,-2)</f>
        <v>26000</v>
      </c>
    </row>
    <row r="1141" spans="1:18" ht="13.5" customHeight="1" x14ac:dyDescent="0.2">
      <c r="A1141" s="107">
        <v>100100</v>
      </c>
      <c r="B1141" s="33">
        <v>88000</v>
      </c>
      <c r="C1141" s="189">
        <v>41800</v>
      </c>
      <c r="D1141" s="187">
        <v>8000</v>
      </c>
      <c r="E1141" s="343" t="s">
        <v>994</v>
      </c>
      <c r="F1141" s="443" t="s">
        <v>2076</v>
      </c>
      <c r="G1141" s="187">
        <f>15000-5000</f>
        <v>10000</v>
      </c>
      <c r="H1141" s="138">
        <f t="shared" si="840"/>
        <v>25</v>
      </c>
      <c r="I1141" s="33">
        <f>ROUND(G1141*Assumptions!H$13+GM!G1141,-2)</f>
        <v>10200</v>
      </c>
      <c r="J1141" s="33">
        <f>ROUND(I1141*Assumptions!I$13+GM!I1141,-2)</f>
        <v>10500</v>
      </c>
      <c r="K1141" s="33">
        <f>ROUND(J1141*Assumptions!J$5+GM!J1141,-2)</f>
        <v>10800</v>
      </c>
      <c r="L1141" s="33">
        <f>ROUND(K1141*Assumptions!K$5+GM!K1141,-2)</f>
        <v>11100</v>
      </c>
      <c r="M1141" s="33">
        <f>ROUND(L1141*Assumptions!L$5+GM!L1141,-2)</f>
        <v>11300</v>
      </c>
      <c r="N1141" s="33">
        <f>ROUND(M1141*Assumptions!M$5+GM!M1141,-2)</f>
        <v>11500</v>
      </c>
      <c r="O1141" s="33">
        <f>ROUND(N1141*Assumptions!N$5+GM!N1141,-2)</f>
        <v>11700</v>
      </c>
      <c r="P1141" s="33">
        <f>ROUND(O1141*Assumptions!O$5+GM!O1141,-2)</f>
        <v>11900</v>
      </c>
      <c r="Q1141" s="33">
        <f>ROUND(P1141*Assumptions!P$5+GM!P1141,-2)</f>
        <v>12100</v>
      </c>
      <c r="R1141" s="114">
        <f>ROUND(Q1141*Assumptions!Q$5+GM!Q1141,-2)</f>
        <v>12300</v>
      </c>
    </row>
    <row r="1142" spans="1:18" ht="13.5" customHeight="1" x14ac:dyDescent="0.2">
      <c r="A1142" s="107">
        <v>21100</v>
      </c>
      <c r="B1142" s="33">
        <v>17800</v>
      </c>
      <c r="C1142" s="189">
        <v>18900</v>
      </c>
      <c r="D1142" s="187">
        <v>20400</v>
      </c>
      <c r="E1142" s="343" t="s">
        <v>995</v>
      </c>
      <c r="F1142" s="443" t="s">
        <v>424</v>
      </c>
      <c r="G1142" s="187">
        <v>20000</v>
      </c>
      <c r="H1142" s="138">
        <f t="shared" si="840"/>
        <v>-1.9607843137254901</v>
      </c>
      <c r="I1142" s="33">
        <f>ROUND(G1142*Assumptions!H$13+GM!G1142,-2)</f>
        <v>20400</v>
      </c>
      <c r="J1142" s="33">
        <f>ROUND(I1142*Assumptions!I$13+GM!I1142,-2)</f>
        <v>20900</v>
      </c>
      <c r="K1142" s="33">
        <f>ROUND(J1142*Assumptions!J$5+GM!J1142,-2)</f>
        <v>21400</v>
      </c>
      <c r="L1142" s="33">
        <f>ROUND(K1142*Assumptions!K$5+GM!K1142,-2)</f>
        <v>21900</v>
      </c>
      <c r="M1142" s="33">
        <f>ROUND(L1142*Assumptions!L$5+GM!L1142,-2)</f>
        <v>22300</v>
      </c>
      <c r="N1142" s="33">
        <f>ROUND(M1142*Assumptions!M$5+GM!M1142,-2)</f>
        <v>22700</v>
      </c>
      <c r="O1142" s="33">
        <f>ROUND(N1142*Assumptions!N$5+GM!N1142,-2)</f>
        <v>23200</v>
      </c>
      <c r="P1142" s="33">
        <f>ROUND(O1142*Assumptions!O$5+GM!O1142,-2)</f>
        <v>23700</v>
      </c>
      <c r="Q1142" s="33">
        <f>ROUND(P1142*Assumptions!P$5+GM!P1142,-2)</f>
        <v>24200</v>
      </c>
      <c r="R1142" s="114">
        <f>ROUND(Q1142*Assumptions!Q$5+GM!Q1142,-2)</f>
        <v>24700</v>
      </c>
    </row>
    <row r="1143" spans="1:18" ht="13.5" customHeight="1" x14ac:dyDescent="0.2">
      <c r="A1143" s="107">
        <v>4300</v>
      </c>
      <c r="B1143" s="33">
        <v>6900</v>
      </c>
      <c r="C1143" s="189">
        <v>3000</v>
      </c>
      <c r="D1143" s="187">
        <v>2300</v>
      </c>
      <c r="E1143" s="343" t="s">
        <v>996</v>
      </c>
      <c r="F1143" s="443" t="s">
        <v>1414</v>
      </c>
      <c r="G1143" s="187">
        <v>6200</v>
      </c>
      <c r="H1143" s="138">
        <f t="shared" si="840"/>
        <v>169.56521739130434</v>
      </c>
      <c r="I1143" s="33">
        <f>ROUND(G1143*Assumptions!H$13+GM!G1143,-2)</f>
        <v>6300</v>
      </c>
      <c r="J1143" s="33">
        <f>ROUND(I1143*Assumptions!I$13+GM!I1143,-2)</f>
        <v>6500</v>
      </c>
      <c r="K1143" s="33">
        <f>ROUND(J1143*Assumptions!J$5+GM!J1143,-2)</f>
        <v>6700</v>
      </c>
      <c r="L1143" s="33">
        <f>ROUND(K1143*Assumptions!K$5+GM!K1143,-2)</f>
        <v>6900</v>
      </c>
      <c r="M1143" s="33">
        <f>ROUND(L1143*Assumptions!L$5+GM!L1143,-2)</f>
        <v>7000</v>
      </c>
      <c r="N1143" s="33">
        <f>ROUND(M1143*Assumptions!M$5+GM!M1143,-2)</f>
        <v>7100</v>
      </c>
      <c r="O1143" s="33">
        <f>ROUND(N1143*Assumptions!N$5+GM!N1143,-2)</f>
        <v>7200</v>
      </c>
      <c r="P1143" s="33">
        <f>ROUND(O1143*Assumptions!O$5+GM!O1143,-2)</f>
        <v>7300</v>
      </c>
      <c r="Q1143" s="33">
        <f>ROUND(P1143*Assumptions!P$5+GM!P1143,-2)</f>
        <v>7400</v>
      </c>
      <c r="R1143" s="114">
        <f>ROUND(Q1143*Assumptions!Q$5+GM!Q1143,-2)</f>
        <v>7500</v>
      </c>
    </row>
    <row r="1144" spans="1:18" ht="13.5" customHeight="1" x14ac:dyDescent="0.2">
      <c r="A1144" s="107">
        <v>1500</v>
      </c>
      <c r="B1144" s="33">
        <v>300</v>
      </c>
      <c r="C1144" s="189">
        <f>1000-1000</f>
        <v>0</v>
      </c>
      <c r="D1144" s="187">
        <v>400</v>
      </c>
      <c r="E1144" s="343" t="s">
        <v>997</v>
      </c>
      <c r="F1144" s="443" t="s">
        <v>1030</v>
      </c>
      <c r="G1144" s="187">
        <v>1000</v>
      </c>
      <c r="H1144" s="138">
        <f t="shared" si="840"/>
        <v>150</v>
      </c>
      <c r="I1144" s="33">
        <f>ROUND(G1144*Assumptions!H$13+GM!G1144,-2)</f>
        <v>1000</v>
      </c>
      <c r="J1144" s="33">
        <f>ROUND(I1144*Assumptions!I$13+GM!I1144,-2)</f>
        <v>1000</v>
      </c>
      <c r="K1144" s="33">
        <f>ROUND(J1144*Assumptions!J$5+GM!J1144,-2)</f>
        <v>1000</v>
      </c>
      <c r="L1144" s="33">
        <f>ROUND(K1144*Assumptions!K$5+GM!K1144,-2)</f>
        <v>1000</v>
      </c>
      <c r="M1144" s="33">
        <f>ROUND(L1144*Assumptions!L$5+GM!L1144,-2)</f>
        <v>1000</v>
      </c>
      <c r="N1144" s="33">
        <f>ROUND(M1144*Assumptions!M$5+GM!M1144,-2)</f>
        <v>1000</v>
      </c>
      <c r="O1144" s="33">
        <f>ROUND(N1144*Assumptions!N$5+GM!N1144,-2)</f>
        <v>1000</v>
      </c>
      <c r="P1144" s="33">
        <f>ROUND(O1144*Assumptions!O$5+GM!O1144,-2)</f>
        <v>1000</v>
      </c>
      <c r="Q1144" s="33">
        <f>ROUND(P1144*Assumptions!P$5+GM!P1144,-2)</f>
        <v>1000</v>
      </c>
      <c r="R1144" s="114">
        <f>ROUND(Q1144*Assumptions!Q$5+GM!Q1144,-2)</f>
        <v>1000</v>
      </c>
    </row>
    <row r="1145" spans="1:18" ht="13.5" customHeight="1" x14ac:dyDescent="0.2">
      <c r="A1145" s="107">
        <v>8400</v>
      </c>
      <c r="B1145" s="33">
        <v>8100</v>
      </c>
      <c r="C1145" s="189">
        <v>7700</v>
      </c>
      <c r="D1145" s="187">
        <v>9700</v>
      </c>
      <c r="E1145" s="343" t="s">
        <v>998</v>
      </c>
      <c r="F1145" s="443" t="s">
        <v>2218</v>
      </c>
      <c r="G1145" s="187">
        <f>6200-5000</f>
        <v>1200</v>
      </c>
      <c r="H1145" s="138">
        <f t="shared" si="840"/>
        <v>-87.628865979381445</v>
      </c>
      <c r="I1145" s="33">
        <f>ROUND(G1145*Assumptions!H$13+GM!G1145,-2)</f>
        <v>1200</v>
      </c>
      <c r="J1145" s="33">
        <f>ROUND(I1145*Assumptions!I$13+GM!I1145,-2)</f>
        <v>1200</v>
      </c>
      <c r="K1145" s="33">
        <f>ROUND(J1145*Assumptions!J$5+GM!J1145,-2)</f>
        <v>1200</v>
      </c>
      <c r="L1145" s="33">
        <f>ROUND(K1145*Assumptions!K$5+GM!K1145,-2)</f>
        <v>1200</v>
      </c>
      <c r="M1145" s="33">
        <f>ROUND(L1145*Assumptions!L$5+GM!L1145,-2)</f>
        <v>1200</v>
      </c>
      <c r="N1145" s="33">
        <f>ROUND(M1145*Assumptions!M$5+GM!M1145,-2)</f>
        <v>1200</v>
      </c>
      <c r="O1145" s="33">
        <f>ROUND(N1145*Assumptions!N$5+GM!N1145,-2)</f>
        <v>1200</v>
      </c>
      <c r="P1145" s="33">
        <f>ROUND(O1145*Assumptions!O$5+GM!O1145,-2)</f>
        <v>1200</v>
      </c>
      <c r="Q1145" s="33">
        <f>ROUND(P1145*Assumptions!P$5+GM!P1145,-2)</f>
        <v>1200</v>
      </c>
      <c r="R1145" s="114">
        <f>ROUND(Q1145*Assumptions!Q$5+GM!Q1145,-2)</f>
        <v>1200</v>
      </c>
    </row>
    <row r="1146" spans="1:18" ht="13.5" customHeight="1" x14ac:dyDescent="0.2">
      <c r="A1146" s="107">
        <v>100</v>
      </c>
      <c r="B1146" s="33">
        <v>800</v>
      </c>
      <c r="C1146" s="189">
        <v>1600</v>
      </c>
      <c r="D1146" s="187">
        <v>0</v>
      </c>
      <c r="E1146" s="343" t="s">
        <v>999</v>
      </c>
      <c r="F1146" s="443" t="s">
        <v>2588</v>
      </c>
      <c r="G1146" s="187">
        <f>500+4000</f>
        <v>4500</v>
      </c>
      <c r="H1146" s="138">
        <f t="shared" si="840"/>
        <v>100</v>
      </c>
      <c r="I1146" s="33">
        <v>500</v>
      </c>
      <c r="J1146" s="33">
        <f>ROUND(I1146*Assumptions!I$13+GM!I1146,-2)</f>
        <v>500</v>
      </c>
      <c r="K1146" s="33">
        <f>ROUND(J1146*Assumptions!J$5+GM!J1146,-2)</f>
        <v>500</v>
      </c>
      <c r="L1146" s="33">
        <f>ROUND(K1146*Assumptions!K$5+GM!K1146,-2)</f>
        <v>500</v>
      </c>
      <c r="M1146" s="33">
        <f>ROUND(L1146*Assumptions!L$5+GM!L1146,-2)</f>
        <v>500</v>
      </c>
      <c r="N1146" s="33">
        <f>ROUND(M1146*Assumptions!M$5+GM!M1146,-2)</f>
        <v>500</v>
      </c>
      <c r="O1146" s="33">
        <f>ROUND(N1146*Assumptions!N$5+GM!N1146,-2)</f>
        <v>500</v>
      </c>
      <c r="P1146" s="33">
        <f>ROUND(O1146*Assumptions!O$5+GM!O1146,-2)</f>
        <v>500</v>
      </c>
      <c r="Q1146" s="33">
        <f>ROUND(P1146*Assumptions!P$5+GM!P1146,-2)</f>
        <v>500</v>
      </c>
      <c r="R1146" s="114">
        <f>ROUND(Q1146*Assumptions!Q$5+GM!Q1146,-2)</f>
        <v>500</v>
      </c>
    </row>
    <row r="1147" spans="1:18" ht="13.5" customHeight="1" x14ac:dyDescent="0.2">
      <c r="A1147" s="107">
        <v>3900</v>
      </c>
      <c r="B1147" s="33">
        <v>3600</v>
      </c>
      <c r="C1147" s="189">
        <v>2100</v>
      </c>
      <c r="D1147" s="187">
        <v>7700</v>
      </c>
      <c r="E1147" s="343" t="s">
        <v>1000</v>
      </c>
      <c r="F1147" s="443" t="s">
        <v>1472</v>
      </c>
      <c r="G1147" s="187">
        <f>10000-2000+8000</f>
        <v>16000</v>
      </c>
      <c r="H1147" s="138">
        <f t="shared" si="840"/>
        <v>107.79220779220779</v>
      </c>
      <c r="I1147" s="33">
        <v>8200</v>
      </c>
      <c r="J1147" s="33">
        <f>ROUND(I1147*Assumptions!I$13+GM!I1147,-2)</f>
        <v>8400</v>
      </c>
      <c r="K1147" s="33">
        <f>ROUND(J1147*Assumptions!J$5+GM!J1147,-2)</f>
        <v>8600</v>
      </c>
      <c r="L1147" s="33">
        <f>ROUND(K1147*Assumptions!K$5+GM!K1147,-2)</f>
        <v>8800</v>
      </c>
      <c r="M1147" s="33">
        <f>ROUND(L1147*Assumptions!L$5+GM!L1147,-2)</f>
        <v>9000</v>
      </c>
      <c r="N1147" s="33">
        <f>ROUND(M1147*Assumptions!M$5+GM!M1147,-2)</f>
        <v>9200</v>
      </c>
      <c r="O1147" s="33">
        <f>ROUND(N1147*Assumptions!N$5+GM!N1147,-2)</f>
        <v>9400</v>
      </c>
      <c r="P1147" s="33">
        <f>ROUND(O1147*Assumptions!O$5+GM!O1147,-2)</f>
        <v>9600</v>
      </c>
      <c r="Q1147" s="33">
        <f>ROUND(P1147*Assumptions!P$5+GM!P1147,-2)</f>
        <v>9800</v>
      </c>
      <c r="R1147" s="114">
        <f>ROUND(Q1147*Assumptions!Q$5+GM!Q1147,-2)</f>
        <v>10000</v>
      </c>
    </row>
    <row r="1148" spans="1:18" ht="13.5" customHeight="1" x14ac:dyDescent="0.2">
      <c r="A1148" s="107">
        <v>2600</v>
      </c>
      <c r="B1148" s="33">
        <v>8400</v>
      </c>
      <c r="C1148" s="189">
        <v>34000</v>
      </c>
      <c r="D1148" s="187">
        <v>15600</v>
      </c>
      <c r="E1148" s="343" t="s">
        <v>2271</v>
      </c>
      <c r="F1148" s="443" t="s">
        <v>2765</v>
      </c>
      <c r="G1148" s="187">
        <v>21000</v>
      </c>
      <c r="H1148" s="138">
        <f t="shared" si="840"/>
        <v>34.615384615384613</v>
      </c>
      <c r="I1148" s="33">
        <f>ROUND(G1148*Assumptions!H$13+GM!G1148,-2)</f>
        <v>21400</v>
      </c>
      <c r="J1148" s="33">
        <f>ROUND(I1148*Assumptions!I$13+GM!I1148,-2)</f>
        <v>21900</v>
      </c>
      <c r="K1148" s="33">
        <f>ROUND(J1148*Assumptions!J$5+GM!J1148,-2)</f>
        <v>22400</v>
      </c>
      <c r="L1148" s="33">
        <f>ROUND(K1148*Assumptions!K$5+GM!K1148,-2)</f>
        <v>23000</v>
      </c>
      <c r="M1148" s="33">
        <f>ROUND(L1148*Assumptions!L$5+GM!L1148,-2)</f>
        <v>23500</v>
      </c>
      <c r="N1148" s="33">
        <f>ROUND(M1148*Assumptions!M$5+GM!M1148,-2)</f>
        <v>24000</v>
      </c>
      <c r="O1148" s="33">
        <f>ROUND(N1148*Assumptions!N$5+GM!N1148,-2)</f>
        <v>24500</v>
      </c>
      <c r="P1148" s="33">
        <f>ROUND(O1148*Assumptions!O$5+GM!O1148,-2)</f>
        <v>25000</v>
      </c>
      <c r="Q1148" s="33">
        <f>ROUND(P1148*Assumptions!P$5+GM!P1148,-2)</f>
        <v>25500</v>
      </c>
      <c r="R1148" s="114">
        <f>ROUND(Q1148*Assumptions!Q$5+GM!Q1148,-2)</f>
        <v>26000</v>
      </c>
    </row>
    <row r="1149" spans="1:18" ht="13.5" customHeight="1" x14ac:dyDescent="0.2">
      <c r="A1149" s="107">
        <v>100</v>
      </c>
      <c r="B1149" s="33">
        <v>100</v>
      </c>
      <c r="C1149" s="189">
        <v>6500</v>
      </c>
      <c r="D1149" s="187">
        <v>4200</v>
      </c>
      <c r="E1149" s="343" t="s">
        <v>2272</v>
      </c>
      <c r="F1149" s="443" t="s">
        <v>1490</v>
      </c>
      <c r="G1149" s="187">
        <f>8000-4000-2000</f>
        <v>2000</v>
      </c>
      <c r="H1149" s="138">
        <f t="shared" si="840"/>
        <v>-52.380952380952387</v>
      </c>
      <c r="I1149" s="33">
        <f>ROUND(G1149*Assumptions!H$13+GM!G1149,-2)</f>
        <v>2000</v>
      </c>
      <c r="J1149" s="33">
        <f>ROUND(I1149*Assumptions!I$13+GM!I1149,-2)</f>
        <v>2100</v>
      </c>
      <c r="K1149" s="33">
        <f>ROUND(J1149*Assumptions!J$5+GM!J1149,-2)</f>
        <v>2200</v>
      </c>
      <c r="L1149" s="33">
        <f>ROUND(K1149*Assumptions!K$5+GM!K1149,-2)</f>
        <v>2300</v>
      </c>
      <c r="M1149" s="33">
        <f>ROUND(L1149*Assumptions!L$5+GM!L1149,-2)</f>
        <v>2300</v>
      </c>
      <c r="N1149" s="33">
        <f>ROUND(M1149*Assumptions!M$5+GM!M1149,-2)</f>
        <v>2300</v>
      </c>
      <c r="O1149" s="33">
        <f>ROUND(N1149*Assumptions!N$5+GM!N1149,-2)</f>
        <v>2300</v>
      </c>
      <c r="P1149" s="33">
        <f>ROUND(O1149*Assumptions!O$5+GM!O1149,-2)</f>
        <v>2300</v>
      </c>
      <c r="Q1149" s="33">
        <f>ROUND(P1149*Assumptions!P$5+GM!P1149,-2)</f>
        <v>2300</v>
      </c>
      <c r="R1149" s="114">
        <f>ROUND(Q1149*Assumptions!Q$5+GM!Q1149,-2)</f>
        <v>2300</v>
      </c>
    </row>
    <row r="1150" spans="1:18" ht="13.5" customHeight="1" x14ac:dyDescent="0.2">
      <c r="A1150" s="107">
        <v>14400</v>
      </c>
      <c r="B1150" s="33">
        <v>6800</v>
      </c>
      <c r="C1150" s="189">
        <v>9800</v>
      </c>
      <c r="D1150" s="187">
        <v>1600</v>
      </c>
      <c r="E1150" s="343" t="s">
        <v>2273</v>
      </c>
      <c r="F1150" s="443" t="s">
        <v>2054</v>
      </c>
      <c r="G1150" s="187">
        <f>10000+20000</f>
        <v>30000</v>
      </c>
      <c r="H1150" s="138">
        <f t="shared" si="840"/>
        <v>1775</v>
      </c>
      <c r="I1150" s="33">
        <f>ROUND(G1150*Assumptions!H$13+GM!G1150,-2)</f>
        <v>30600</v>
      </c>
      <c r="J1150" s="33">
        <f>ROUND(I1150*Assumptions!I$13+GM!I1150,-2)</f>
        <v>31400</v>
      </c>
      <c r="K1150" s="33">
        <f>ROUND(J1150*Assumptions!J$5+GM!J1150,-2)</f>
        <v>32200</v>
      </c>
      <c r="L1150" s="33">
        <f>ROUND(K1150*Assumptions!K$5+GM!K1150,-2)</f>
        <v>33000</v>
      </c>
      <c r="M1150" s="33">
        <f>ROUND(L1150*Assumptions!L$5+GM!L1150,-2)</f>
        <v>33700</v>
      </c>
      <c r="N1150" s="33">
        <f>ROUND(M1150*Assumptions!M$5+GM!M1150,-2)</f>
        <v>34400</v>
      </c>
      <c r="O1150" s="33">
        <f>ROUND(N1150*Assumptions!N$5+GM!N1150,-2)</f>
        <v>35100</v>
      </c>
      <c r="P1150" s="33">
        <f>ROUND(O1150*Assumptions!O$5+GM!O1150,-2)</f>
        <v>35800</v>
      </c>
      <c r="Q1150" s="33">
        <f>ROUND(P1150*Assumptions!P$5+GM!P1150,-2)</f>
        <v>36500</v>
      </c>
      <c r="R1150" s="114">
        <f>ROUND(Q1150*Assumptions!Q$5+GM!Q1150,-2)</f>
        <v>37200</v>
      </c>
    </row>
    <row r="1151" spans="1:18" ht="13.5" customHeight="1" x14ac:dyDescent="0.2">
      <c r="A1151" s="107">
        <v>132100</v>
      </c>
      <c r="B1151" s="33">
        <v>109600</v>
      </c>
      <c r="C1151" s="189">
        <v>140700</v>
      </c>
      <c r="D1151" s="187">
        <v>111000</v>
      </c>
      <c r="E1151" s="343" t="s">
        <v>2274</v>
      </c>
      <c r="F1151" s="443" t="s">
        <v>1857</v>
      </c>
      <c r="G1151" s="187">
        <f>130000-20000</f>
        <v>110000</v>
      </c>
      <c r="H1151" s="138">
        <f t="shared" si="840"/>
        <v>-0.90090090090090091</v>
      </c>
      <c r="I1151" s="33">
        <v>145000</v>
      </c>
      <c r="J1151" s="33">
        <f>ROUND(I1151*Assumptions!I$13+GM!I1151,-2)</f>
        <v>148600</v>
      </c>
      <c r="K1151" s="33">
        <f>ROUND(J1151*Assumptions!J$5+GM!J1151,-2)</f>
        <v>152300</v>
      </c>
      <c r="L1151" s="33">
        <f>ROUND(K1151*Assumptions!K$5+GM!K1151,-2)</f>
        <v>156100</v>
      </c>
      <c r="M1151" s="33">
        <f>ROUND(L1151*Assumptions!L$5+GM!L1151,-2)</f>
        <v>159200</v>
      </c>
      <c r="N1151" s="33">
        <f>ROUND(M1151*Assumptions!M$5+GM!M1151,-2)</f>
        <v>162400</v>
      </c>
      <c r="O1151" s="33">
        <f>ROUND(N1151*Assumptions!N$5+GM!N1151,-2)</f>
        <v>165600</v>
      </c>
      <c r="P1151" s="33">
        <f>ROUND(O1151*Assumptions!O$5+GM!O1151,-2)</f>
        <v>168900</v>
      </c>
      <c r="Q1151" s="33">
        <f>ROUND(P1151*Assumptions!P$5+GM!P1151,-2)</f>
        <v>172300</v>
      </c>
      <c r="R1151" s="114">
        <f>ROUND(Q1151*Assumptions!Q$5+GM!Q1151,-2)</f>
        <v>175700</v>
      </c>
    </row>
    <row r="1152" spans="1:18" ht="13.5" customHeight="1" x14ac:dyDescent="0.2">
      <c r="A1152" s="107">
        <v>2200</v>
      </c>
      <c r="B1152" s="33">
        <v>2200</v>
      </c>
      <c r="C1152" s="189">
        <v>600</v>
      </c>
      <c r="D1152" s="187">
        <v>1500</v>
      </c>
      <c r="E1152" s="344" t="s">
        <v>1296</v>
      </c>
      <c r="F1152" s="443" t="s">
        <v>2873</v>
      </c>
      <c r="G1152" s="187">
        <v>5200</v>
      </c>
      <c r="H1152" s="138">
        <f t="shared" si="840"/>
        <v>246.66666666666669</v>
      </c>
      <c r="I1152" s="33">
        <f>ROUND(G1152*Assumptions!H$13+GM!G1152,-2)</f>
        <v>5300</v>
      </c>
      <c r="J1152" s="33">
        <f>ROUND(I1152*Assumptions!I$13+GM!I1152,-2)</f>
        <v>5400</v>
      </c>
      <c r="K1152" s="33">
        <f>ROUND(J1152*Assumptions!J$5+GM!J1152,-2)</f>
        <v>5500</v>
      </c>
      <c r="L1152" s="33">
        <f>ROUND(K1152*Assumptions!K$5+GM!K1152,-2)</f>
        <v>5600</v>
      </c>
      <c r="M1152" s="33">
        <f>ROUND(L1152*Assumptions!L$5+GM!L1152,-2)</f>
        <v>5700</v>
      </c>
      <c r="N1152" s="33">
        <f>ROUND(M1152*Assumptions!M$5+GM!M1152,-2)</f>
        <v>5800</v>
      </c>
      <c r="O1152" s="33">
        <f>ROUND(N1152*Assumptions!N$5+GM!N1152,-2)</f>
        <v>5900</v>
      </c>
      <c r="P1152" s="33">
        <f>ROUND(O1152*Assumptions!O$5+GM!O1152,-2)</f>
        <v>6000</v>
      </c>
      <c r="Q1152" s="33">
        <f>ROUND(P1152*Assumptions!P$5+GM!P1152,-2)</f>
        <v>6100</v>
      </c>
      <c r="R1152" s="114">
        <f>ROUND(Q1152*Assumptions!Q$5+GM!Q1152,-2)</f>
        <v>6200</v>
      </c>
    </row>
    <row r="1153" spans="1:18" ht="13.5" customHeight="1" x14ac:dyDescent="0.2">
      <c r="A1153" s="107">
        <v>191800</v>
      </c>
      <c r="B1153" s="33">
        <v>187300</v>
      </c>
      <c r="C1153" s="189">
        <v>163900</v>
      </c>
      <c r="D1153" s="187">
        <v>213800</v>
      </c>
      <c r="E1153" s="343" t="s">
        <v>1297</v>
      </c>
      <c r="F1153" s="443" t="s">
        <v>2337</v>
      </c>
      <c r="G1153" s="187">
        <f>200000-25000+45000</f>
        <v>220000</v>
      </c>
      <c r="H1153" s="138">
        <f t="shared" si="840"/>
        <v>2.8999064546304956</v>
      </c>
      <c r="I1153" s="33">
        <v>204000</v>
      </c>
      <c r="J1153" s="33">
        <f>ROUND(I1153*Assumptions!I$13+GM!I1153,-2)</f>
        <v>209100</v>
      </c>
      <c r="K1153" s="33">
        <f>ROUND(J1153*Assumptions!J$5+GM!J1153,-2)</f>
        <v>214300</v>
      </c>
      <c r="L1153" s="33">
        <f>ROUND(K1153*Assumptions!K$5+GM!K1153,-2)</f>
        <v>219700</v>
      </c>
      <c r="M1153" s="33">
        <f>ROUND(L1153*Assumptions!L$5+GM!L1153,-2)</f>
        <v>224100</v>
      </c>
      <c r="N1153" s="33">
        <f>ROUND(M1153*Assumptions!M$5+GM!M1153,-2)</f>
        <v>228600</v>
      </c>
      <c r="O1153" s="33">
        <f>ROUND(N1153*Assumptions!N$5+GM!N1153,-2)</f>
        <v>233200</v>
      </c>
      <c r="P1153" s="33">
        <f>ROUND(O1153*Assumptions!O$5+GM!O1153,-2)</f>
        <v>237900</v>
      </c>
      <c r="Q1153" s="33">
        <f>ROUND(P1153*Assumptions!P$5+GM!P1153,-2)</f>
        <v>242700</v>
      </c>
      <c r="R1153" s="114">
        <f>ROUND(Q1153*Assumptions!Q$5+GM!Q1153,-2)</f>
        <v>247600</v>
      </c>
    </row>
    <row r="1154" spans="1:18" ht="13.5" customHeight="1" x14ac:dyDescent="0.2">
      <c r="A1154" s="107">
        <v>6000</v>
      </c>
      <c r="B1154" s="33">
        <v>6100</v>
      </c>
      <c r="C1154" s="189">
        <v>6200</v>
      </c>
      <c r="D1154" s="187">
        <v>6200</v>
      </c>
      <c r="E1154" s="343" t="s">
        <v>1298</v>
      </c>
      <c r="F1154" s="443" t="s">
        <v>1877</v>
      </c>
      <c r="G1154" s="187">
        <v>7700</v>
      </c>
      <c r="H1154" s="138">
        <f t="shared" si="840"/>
        <v>24.193548387096776</v>
      </c>
      <c r="I1154" s="33">
        <f>ROUND(G1154*Assumptions!H$13+GM!G1154,-2)</f>
        <v>7900</v>
      </c>
      <c r="J1154" s="33">
        <f>ROUND(I1154*Assumptions!I$13+GM!I1154,-2)</f>
        <v>8100</v>
      </c>
      <c r="K1154" s="33">
        <f>ROUND(J1154*Assumptions!J$5+GM!J1154,-2)</f>
        <v>8300</v>
      </c>
      <c r="L1154" s="33">
        <f>ROUND(K1154*Assumptions!K$5+GM!K1154,-2)</f>
        <v>8500</v>
      </c>
      <c r="M1154" s="33">
        <f>ROUND(L1154*Assumptions!L$5+GM!L1154,-2)</f>
        <v>8700</v>
      </c>
      <c r="N1154" s="33">
        <f>ROUND(M1154*Assumptions!M$5+GM!M1154,-2)</f>
        <v>8900</v>
      </c>
      <c r="O1154" s="33">
        <f>ROUND(N1154*Assumptions!N$5+GM!N1154,-2)</f>
        <v>9100</v>
      </c>
      <c r="P1154" s="33">
        <f>ROUND(O1154*Assumptions!O$5+GM!O1154,-2)</f>
        <v>9300</v>
      </c>
      <c r="Q1154" s="33">
        <f>ROUND(P1154*Assumptions!P$5+GM!P1154,-2)</f>
        <v>9500</v>
      </c>
      <c r="R1154" s="114">
        <f>ROUND(Q1154*Assumptions!Q$5+GM!Q1154,-2)</f>
        <v>9700</v>
      </c>
    </row>
    <row r="1155" spans="1:18" ht="13.5" customHeight="1" x14ac:dyDescent="0.2">
      <c r="A1155" s="107">
        <v>200</v>
      </c>
      <c r="B1155" s="33">
        <v>600</v>
      </c>
      <c r="C1155" s="189">
        <v>200</v>
      </c>
      <c r="D1155" s="187">
        <v>200</v>
      </c>
      <c r="E1155" s="343" t="s">
        <v>1391</v>
      </c>
      <c r="F1155" s="443" t="s">
        <v>1748</v>
      </c>
      <c r="G1155" s="187">
        <f>1000-1000</f>
        <v>0</v>
      </c>
      <c r="H1155" s="138">
        <f t="shared" si="840"/>
        <v>-100</v>
      </c>
      <c r="I1155" s="33">
        <f>ROUND(G1155*Assumptions!H$13+GM!G1155,-2)</f>
        <v>0</v>
      </c>
      <c r="J1155" s="33">
        <f>ROUND(I1155*Assumptions!I$13+GM!I1155,-2)</f>
        <v>0</v>
      </c>
      <c r="K1155" s="33">
        <f>ROUND(J1155*Assumptions!J$5+GM!J1155,-2)</f>
        <v>0</v>
      </c>
      <c r="L1155" s="33">
        <f>ROUND(K1155*Assumptions!K$5+GM!K1155,-2)</f>
        <v>0</v>
      </c>
      <c r="M1155" s="33">
        <f>ROUND(L1155*Assumptions!L$5+GM!L1155,-2)</f>
        <v>0</v>
      </c>
      <c r="N1155" s="33">
        <f>ROUND(M1155*Assumptions!M$5+GM!M1155,-2)</f>
        <v>0</v>
      </c>
      <c r="O1155" s="33">
        <f>ROUND(N1155*Assumptions!N$5+GM!N1155,-2)</f>
        <v>0</v>
      </c>
      <c r="P1155" s="33">
        <f>ROUND(O1155*Assumptions!O$5+GM!O1155,-2)</f>
        <v>0</v>
      </c>
      <c r="Q1155" s="33">
        <f>ROUND(P1155*Assumptions!P$5+GM!P1155,-2)</f>
        <v>0</v>
      </c>
      <c r="R1155" s="114">
        <f>ROUND(Q1155*Assumptions!Q$5+GM!Q1155,-2)</f>
        <v>0</v>
      </c>
    </row>
    <row r="1156" spans="1:18" ht="13.5" customHeight="1" x14ac:dyDescent="0.2">
      <c r="A1156" s="107">
        <v>64500</v>
      </c>
      <c r="B1156" s="33">
        <v>70900</v>
      </c>
      <c r="C1156" s="189">
        <v>61400</v>
      </c>
      <c r="D1156" s="187">
        <v>49400</v>
      </c>
      <c r="E1156" s="343" t="s">
        <v>1392</v>
      </c>
      <c r="F1156" s="443" t="s">
        <v>2803</v>
      </c>
      <c r="G1156" s="187">
        <f>67000-2000-5000</f>
        <v>60000</v>
      </c>
      <c r="H1156" s="138">
        <f t="shared" si="840"/>
        <v>21.457489878542511</v>
      </c>
      <c r="I1156" s="33">
        <f>ROUND(G1156*Assumptions!H$13+GM!G1156,-2)</f>
        <v>61200</v>
      </c>
      <c r="J1156" s="33">
        <f>ROUND(I1156*Assumptions!I$13+GM!I1156,-2)</f>
        <v>62700</v>
      </c>
      <c r="K1156" s="33">
        <f>ROUND(J1156*Assumptions!J$5+GM!J1156,-2)</f>
        <v>64300</v>
      </c>
      <c r="L1156" s="33">
        <f>ROUND(K1156*Assumptions!K$5+GM!K1156,-2)</f>
        <v>65900</v>
      </c>
      <c r="M1156" s="33">
        <f>ROUND(L1156*Assumptions!L$5+GM!L1156,-2)</f>
        <v>67200</v>
      </c>
      <c r="N1156" s="33">
        <f>ROUND(M1156*Assumptions!M$5+GM!M1156,-2)</f>
        <v>68500</v>
      </c>
      <c r="O1156" s="33">
        <f>ROUND(N1156*Assumptions!N$5+GM!N1156,-2)</f>
        <v>69900</v>
      </c>
      <c r="P1156" s="33">
        <f>ROUND(O1156*Assumptions!O$5+GM!O1156,-2)</f>
        <v>71300</v>
      </c>
      <c r="Q1156" s="33">
        <f>ROUND(P1156*Assumptions!P$5+GM!P1156,-2)</f>
        <v>72700</v>
      </c>
      <c r="R1156" s="114">
        <f>ROUND(Q1156*Assumptions!Q$5+GM!Q1156,-2)</f>
        <v>74200</v>
      </c>
    </row>
    <row r="1157" spans="1:18" ht="13.5" customHeight="1" x14ac:dyDescent="0.2">
      <c r="A1157" s="107">
        <v>0</v>
      </c>
      <c r="B1157" s="33">
        <f>36600+1200</f>
        <v>37800</v>
      </c>
      <c r="C1157" s="189">
        <v>0</v>
      </c>
      <c r="D1157" s="187">
        <v>10900</v>
      </c>
      <c r="E1157" s="821" t="s">
        <v>5261</v>
      </c>
      <c r="F1157" s="814" t="s">
        <v>3543</v>
      </c>
      <c r="G1157" s="187">
        <f>13500-13000</f>
        <v>500</v>
      </c>
      <c r="H1157" s="138">
        <f t="shared" si="840"/>
        <v>-95.412844036697251</v>
      </c>
      <c r="I1157" s="33">
        <f>ROUND(G1157*Assumptions!H$13+GM!G1157,-2)</f>
        <v>500</v>
      </c>
      <c r="J1157" s="33">
        <f>ROUND(I1157*Assumptions!I$13+GM!I1157,-2)</f>
        <v>500</v>
      </c>
      <c r="K1157" s="33">
        <f>ROUND(J1157*Assumptions!J$5+GM!J1157,-2)</f>
        <v>500</v>
      </c>
      <c r="L1157" s="33">
        <f>ROUND(K1157*Assumptions!K$5+GM!K1157,-2)</f>
        <v>500</v>
      </c>
      <c r="M1157" s="33">
        <f>ROUND(L1157*Assumptions!L$5+GM!L1157,-2)</f>
        <v>500</v>
      </c>
      <c r="N1157" s="33">
        <f>ROUND(M1157*Assumptions!M$5+GM!M1157,-2)</f>
        <v>500</v>
      </c>
      <c r="O1157" s="33">
        <f>ROUND(N1157*Assumptions!N$5+GM!N1157,-2)</f>
        <v>500</v>
      </c>
      <c r="P1157" s="33">
        <f>ROUND(O1157*Assumptions!O$5+GM!O1157,-2)</f>
        <v>500</v>
      </c>
      <c r="Q1157" s="33">
        <f>ROUND(P1157*Assumptions!P$5+GM!P1157,-2)</f>
        <v>500</v>
      </c>
      <c r="R1157" s="114">
        <f>ROUND(Q1157*Assumptions!Q$5+GM!Q1157,-2)</f>
        <v>500</v>
      </c>
    </row>
    <row r="1158" spans="1:18" ht="13.5" customHeight="1" x14ac:dyDescent="0.2">
      <c r="A1158" s="107">
        <v>6100</v>
      </c>
      <c r="B1158" s="33">
        <v>5000</v>
      </c>
      <c r="C1158" s="189">
        <v>13500</v>
      </c>
      <c r="D1158" s="187">
        <v>2900</v>
      </c>
      <c r="E1158" s="343" t="s">
        <v>1393</v>
      </c>
      <c r="F1158" s="443" t="s">
        <v>2288</v>
      </c>
      <c r="G1158" s="187">
        <f>10000-2000</f>
        <v>8000</v>
      </c>
      <c r="H1158" s="138">
        <f t="shared" si="840"/>
        <v>175.86206896551724</v>
      </c>
      <c r="I1158" s="33">
        <f>ROUND(G1158*Assumptions!H$13+GM!G1158,-2)</f>
        <v>8200</v>
      </c>
      <c r="J1158" s="33">
        <f>ROUND(I1158*Assumptions!I$13+GM!I1158,-2)</f>
        <v>8400</v>
      </c>
      <c r="K1158" s="33">
        <f>ROUND(J1158*Assumptions!J$5+GM!J1158,-2)</f>
        <v>8600</v>
      </c>
      <c r="L1158" s="33">
        <f>ROUND(K1158*Assumptions!K$5+GM!K1158,-2)</f>
        <v>8800</v>
      </c>
      <c r="M1158" s="33">
        <f>ROUND(L1158*Assumptions!L$5+GM!L1158,-2)</f>
        <v>9000</v>
      </c>
      <c r="N1158" s="33">
        <f>ROUND(M1158*Assumptions!M$5+GM!M1158,-2)</f>
        <v>9200</v>
      </c>
      <c r="O1158" s="33">
        <f>ROUND(N1158*Assumptions!N$5+GM!N1158,-2)</f>
        <v>9400</v>
      </c>
      <c r="P1158" s="33">
        <f>ROUND(O1158*Assumptions!O$5+GM!O1158,-2)</f>
        <v>9600</v>
      </c>
      <c r="Q1158" s="33">
        <f>ROUND(P1158*Assumptions!P$5+GM!P1158,-2)</f>
        <v>9800</v>
      </c>
      <c r="R1158" s="114">
        <f>ROUND(Q1158*Assumptions!Q$5+GM!Q1158,-2)</f>
        <v>10000</v>
      </c>
    </row>
    <row r="1159" spans="1:18" ht="13.5" customHeight="1" x14ac:dyDescent="0.2">
      <c r="A1159" s="107">
        <v>7000</v>
      </c>
      <c r="B1159" s="33">
        <v>6100</v>
      </c>
      <c r="C1159" s="189">
        <v>13200</v>
      </c>
      <c r="D1159" s="187">
        <v>0</v>
      </c>
      <c r="E1159" s="344" t="s">
        <v>1394</v>
      </c>
      <c r="F1159" s="443" t="s">
        <v>1473</v>
      </c>
      <c r="G1159" s="187">
        <v>0</v>
      </c>
      <c r="H1159" s="138">
        <f t="shared" si="840"/>
        <v>0</v>
      </c>
      <c r="I1159" s="33">
        <f>ROUND(G1159*Assumptions!H$13+GM!G1159,-2)</f>
        <v>0</v>
      </c>
      <c r="J1159" s="33">
        <f>ROUND(I1159*Assumptions!I$13+GM!I1159,-2)</f>
        <v>0</v>
      </c>
      <c r="K1159" s="33">
        <f>ROUND(J1159*Assumptions!J$5+GM!J1159,-2)</f>
        <v>0</v>
      </c>
      <c r="L1159" s="33">
        <f>ROUND(K1159*Assumptions!K$5+GM!K1159,-2)</f>
        <v>0</v>
      </c>
      <c r="M1159" s="33">
        <f>ROUND(L1159*Assumptions!L$5+GM!L1159,-2)</f>
        <v>0</v>
      </c>
      <c r="N1159" s="33">
        <f>ROUND(M1159*Assumptions!M$5+GM!M1159,-2)</f>
        <v>0</v>
      </c>
      <c r="O1159" s="33">
        <f>ROUND(N1159*Assumptions!N$5+GM!N1159,-2)</f>
        <v>0</v>
      </c>
      <c r="P1159" s="33">
        <f>ROUND(O1159*Assumptions!O$5+GM!O1159,-2)</f>
        <v>0</v>
      </c>
      <c r="Q1159" s="33">
        <f>ROUND(P1159*Assumptions!P$5+GM!P1159,-2)</f>
        <v>0</v>
      </c>
      <c r="R1159" s="114">
        <f>ROUND(Q1159*Assumptions!Q$5+GM!Q1159,-2)</f>
        <v>0</v>
      </c>
    </row>
    <row r="1160" spans="1:18" ht="13.5" customHeight="1" x14ac:dyDescent="0.2">
      <c r="A1160" s="107">
        <v>0</v>
      </c>
      <c r="B1160" s="33">
        <v>0</v>
      </c>
      <c r="C1160" s="189">
        <v>0</v>
      </c>
      <c r="D1160" s="187">
        <f>33800-7200</f>
        <v>26600</v>
      </c>
      <c r="E1160" s="811" t="s">
        <v>5321</v>
      </c>
      <c r="F1160" s="814" t="s">
        <v>4878</v>
      </c>
      <c r="G1160" s="187">
        <v>67000</v>
      </c>
      <c r="H1160" s="138">
        <f t="shared" si="840"/>
        <v>151.87969924812029</v>
      </c>
      <c r="I1160" s="33">
        <f>ROUND(G1160*Assumptions!H$13+GM!G1160,-2)</f>
        <v>68300</v>
      </c>
      <c r="J1160" s="33">
        <f>ROUND(I1160*Assumptions!I$13+GM!I1160,-2)</f>
        <v>70000</v>
      </c>
      <c r="K1160" s="33">
        <f>ROUND(J1160*Assumptions!J$5+GM!J1160,-2)</f>
        <v>71800</v>
      </c>
      <c r="L1160" s="33">
        <f>ROUND(K1160*Assumptions!K$5+GM!K1160,-2)</f>
        <v>73600</v>
      </c>
      <c r="M1160" s="33">
        <f>ROUND(L1160*Assumptions!L$5+GM!L1160,-2)</f>
        <v>75100</v>
      </c>
      <c r="N1160" s="33">
        <f>ROUND(M1160*Assumptions!M$5+GM!M1160,-2)</f>
        <v>76600</v>
      </c>
      <c r="O1160" s="33">
        <f>ROUND(N1160*Assumptions!N$5+GM!N1160,-2)</f>
        <v>78100</v>
      </c>
      <c r="P1160" s="33">
        <f>ROUND(O1160*Assumptions!O$5+GM!O1160,-2)</f>
        <v>79700</v>
      </c>
      <c r="Q1160" s="33">
        <f>ROUND(P1160*Assumptions!P$5+GM!P1160,-2)</f>
        <v>81300</v>
      </c>
      <c r="R1160" s="114">
        <f>ROUND(Q1160*Assumptions!Q$5+GM!Q1160,-2)</f>
        <v>82900</v>
      </c>
    </row>
    <row r="1161" spans="1:18" ht="13.5" customHeight="1" x14ac:dyDescent="0.2">
      <c r="A1161" s="107">
        <v>0</v>
      </c>
      <c r="B1161" s="33">
        <v>0</v>
      </c>
      <c r="C1161" s="189">
        <v>0</v>
      </c>
      <c r="D1161" s="187">
        <v>0</v>
      </c>
      <c r="E1161" s="811" t="s">
        <v>6633</v>
      </c>
      <c r="F1161" s="814" t="s">
        <v>6615</v>
      </c>
      <c r="G1161" s="187">
        <v>25000</v>
      </c>
      <c r="H1161" s="138">
        <f t="shared" si="840"/>
        <v>100</v>
      </c>
      <c r="I1161" s="33">
        <v>0</v>
      </c>
      <c r="J1161" s="33">
        <v>0</v>
      </c>
      <c r="K1161" s="33">
        <v>0</v>
      </c>
      <c r="L1161" s="33">
        <v>0</v>
      </c>
      <c r="M1161" s="33">
        <v>0</v>
      </c>
      <c r="N1161" s="33">
        <v>0</v>
      </c>
      <c r="O1161" s="33">
        <v>0</v>
      </c>
      <c r="P1161" s="33">
        <v>0</v>
      </c>
      <c r="Q1161" s="33">
        <v>0</v>
      </c>
      <c r="R1161" s="114">
        <v>0</v>
      </c>
    </row>
    <row r="1162" spans="1:18" ht="13.5" customHeight="1" x14ac:dyDescent="0.2">
      <c r="A1162" s="107"/>
      <c r="B1162" s="33"/>
      <c r="C1162" s="189"/>
      <c r="D1162" s="187"/>
      <c r="E1162" s="344"/>
      <c r="F1162" s="443"/>
      <c r="G1162" s="187"/>
      <c r="H1162" s="138"/>
      <c r="I1162" s="33"/>
      <c r="J1162" s="33"/>
      <c r="K1162" s="33"/>
      <c r="L1162" s="33"/>
      <c r="M1162" s="33"/>
      <c r="N1162" s="33"/>
      <c r="O1162" s="33"/>
      <c r="P1162" s="33"/>
      <c r="Q1162" s="33"/>
      <c r="R1162" s="114"/>
    </row>
    <row r="1163" spans="1:18" ht="13.5" customHeight="1" x14ac:dyDescent="0.2">
      <c r="A1163" s="107"/>
      <c r="B1163" s="33"/>
      <c r="C1163" s="189"/>
      <c r="D1163" s="187"/>
      <c r="E1163" s="445"/>
      <c r="F1163" s="439" t="s">
        <v>2310</v>
      </c>
      <c r="G1163" s="187"/>
      <c r="H1163" s="138"/>
      <c r="I1163" s="33"/>
      <c r="J1163" s="33"/>
      <c r="K1163" s="33"/>
      <c r="L1163" s="33"/>
      <c r="M1163" s="33"/>
      <c r="N1163" s="33"/>
      <c r="O1163" s="33"/>
      <c r="P1163" s="33"/>
      <c r="Q1163" s="33"/>
      <c r="R1163" s="114"/>
    </row>
    <row r="1164" spans="1:18" ht="13.5" customHeight="1" x14ac:dyDescent="0.2">
      <c r="A1164" s="107">
        <v>280000</v>
      </c>
      <c r="B1164" s="33">
        <v>294000</v>
      </c>
      <c r="C1164" s="189">
        <v>302000</v>
      </c>
      <c r="D1164" s="187">
        <v>325000</v>
      </c>
      <c r="E1164" s="343" t="s">
        <v>68</v>
      </c>
      <c r="F1164" s="443" t="s">
        <v>823</v>
      </c>
      <c r="G1164" s="187">
        <v>378000</v>
      </c>
      <c r="H1164" s="138">
        <f>IF(D1164=G1164,0,IF(D1164=0,100,(G1164-D1164)/D1164*100))</f>
        <v>16.307692307692307</v>
      </c>
      <c r="I1164" s="33">
        <f>Overheads!I287</f>
        <v>391000</v>
      </c>
      <c r="J1164" s="33">
        <f>ROUND(I1164*Assumptions!I$5+GM!I1164,-2)</f>
        <v>400800</v>
      </c>
      <c r="K1164" s="33">
        <f>ROUND(J1164*Assumptions!J$5+GM!J1164,-2)</f>
        <v>410800</v>
      </c>
      <c r="L1164" s="33">
        <f>ROUND(K1164*Assumptions!K$5+GM!K1164,-2)</f>
        <v>421100</v>
      </c>
      <c r="M1164" s="33">
        <f>ROUND(L1164*Assumptions!L$5+GM!L1164,-2)</f>
        <v>429500</v>
      </c>
      <c r="N1164" s="33">
        <f>ROUND(M1164*Assumptions!M$5+GM!M1164,-2)</f>
        <v>438100</v>
      </c>
      <c r="O1164" s="33">
        <f>ROUND(N1164*Assumptions!N$5+GM!N1164,-2)</f>
        <v>446900</v>
      </c>
      <c r="P1164" s="33">
        <f>ROUND(O1164*Assumptions!O$5+GM!O1164,-2)</f>
        <v>455800</v>
      </c>
      <c r="Q1164" s="33">
        <f>ROUND(P1164*Assumptions!P$5+GM!P1164,-2)</f>
        <v>464900</v>
      </c>
      <c r="R1164" s="114">
        <f>ROUND(Q1164*Assumptions!Q$5+GM!Q1164,-2)</f>
        <v>474200</v>
      </c>
    </row>
    <row r="1165" spans="1:18" ht="13.5" customHeight="1" x14ac:dyDescent="0.2">
      <c r="A1165" s="107">
        <v>423700</v>
      </c>
      <c r="B1165" s="33">
        <v>554100</v>
      </c>
      <c r="C1165" s="33">
        <v>502300</v>
      </c>
      <c r="D1165" s="33">
        <f>ROUND('Debt-Gen'!J61,-2)</f>
        <v>473000</v>
      </c>
      <c r="E1165" s="343" t="s">
        <v>69</v>
      </c>
      <c r="F1165" s="443" t="s">
        <v>2781</v>
      </c>
      <c r="G1165" s="187">
        <f>ROUND('Debt-Gen'!L61,-2)</f>
        <v>424800</v>
      </c>
      <c r="H1165" s="138">
        <f>IF(D1165=G1165,0,IF(D1165=0,100,(G1165-D1165)/D1165*100))</f>
        <v>-10.190274841437633</v>
      </c>
      <c r="I1165" s="33">
        <f>ROUND('Debt-Gen'!N61,-2)</f>
        <v>403100</v>
      </c>
      <c r="J1165" s="33">
        <f>ROUND('Debt-Gen'!P61,-2)</f>
        <v>342500</v>
      </c>
      <c r="K1165" s="33">
        <f>ROUND('Debt-Gen'!R61,-2)</f>
        <v>278400</v>
      </c>
      <c r="L1165" s="33">
        <f>ROUND('Debt-Gen'!T61,-2)</f>
        <v>209500</v>
      </c>
      <c r="M1165" s="33">
        <f>ROUND('Debt-Gen'!V61,-2)</f>
        <v>138700</v>
      </c>
      <c r="N1165" s="33">
        <f>ROUND('Debt-Gen'!X61,-2)</f>
        <v>68800</v>
      </c>
      <c r="O1165" s="33">
        <f>ROUND('Debt-Gen'!Z61,-2)</f>
        <v>36300</v>
      </c>
      <c r="P1165" s="33">
        <f>ROUND('Debt-Gen'!AB61,-2)</f>
        <v>24100</v>
      </c>
      <c r="Q1165" s="33">
        <f>ROUND('Debt-Gen'!AD61,-2)</f>
        <v>19800</v>
      </c>
      <c r="R1165" s="114">
        <f>ROUND('Debt-Gen'!AF61,-2)</f>
        <v>16000</v>
      </c>
    </row>
    <row r="1166" spans="1:18" ht="13.5" customHeight="1" x14ac:dyDescent="0.2">
      <c r="A1166" s="107"/>
      <c r="B1166" s="33"/>
      <c r="C1166" s="142"/>
      <c r="D1166" s="33"/>
      <c r="E1166" s="343"/>
      <c r="F1166" s="443"/>
      <c r="G1166" s="187"/>
      <c r="H1166" s="138"/>
      <c r="I1166" s="33"/>
      <c r="J1166" s="33"/>
      <c r="K1166" s="33"/>
      <c r="L1166" s="33"/>
      <c r="M1166" s="33"/>
      <c r="N1166" s="33"/>
      <c r="O1166" s="33"/>
      <c r="P1166" s="33"/>
      <c r="Q1166" s="33"/>
      <c r="R1166" s="114"/>
    </row>
    <row r="1167" spans="1:18" x14ac:dyDescent="0.2">
      <c r="A1167" s="107"/>
      <c r="B1167" s="33"/>
      <c r="C1167" s="189"/>
      <c r="D1167" s="33"/>
      <c r="E1167" s="343"/>
      <c r="F1167" s="371" t="str">
        <f>CIV!F101</f>
        <v>Non-Cash Expenses</v>
      </c>
      <c r="G1167" s="187"/>
      <c r="H1167" s="138"/>
      <c r="I1167" s="33"/>
      <c r="J1167" s="33"/>
      <c r="K1167" s="33"/>
      <c r="L1167" s="33"/>
      <c r="M1167" s="33"/>
      <c r="N1167" s="33"/>
      <c r="O1167" s="33"/>
      <c r="P1167" s="33"/>
      <c r="Q1167" s="33"/>
      <c r="R1167" s="114"/>
    </row>
    <row r="1168" spans="1:18" x14ac:dyDescent="0.2">
      <c r="A1168" s="107">
        <v>831200</v>
      </c>
      <c r="B1168" s="33">
        <v>760600</v>
      </c>
      <c r="C1168" s="189">
        <v>770700</v>
      </c>
      <c r="D1168" s="187">
        <v>830400</v>
      </c>
      <c r="E1168" s="343" t="s">
        <v>70</v>
      </c>
      <c r="F1168" s="33" t="s">
        <v>1945</v>
      </c>
      <c r="G1168" s="187">
        <v>915000</v>
      </c>
      <c r="H1168" s="138">
        <f>IF(D1168=G1168,0,IF(D1168=0,100,(G1168-D1168)/D1168*100))</f>
        <v>10.187861271676301</v>
      </c>
      <c r="I1168" s="33">
        <v>999000</v>
      </c>
      <c r="J1168" s="33">
        <v>1030000</v>
      </c>
      <c r="K1168" s="33">
        <v>1062000</v>
      </c>
      <c r="L1168" s="33">
        <f>ROUND(K1168*Assumptions!K$18+GM!K1168,-2)</f>
        <v>1083200</v>
      </c>
      <c r="M1168" s="33">
        <f>ROUND(L1168*Assumptions!L$18+GM!L1168,-2)</f>
        <v>1104900</v>
      </c>
      <c r="N1168" s="33">
        <f>ROUND(M1168*Assumptions!M$18+GM!M1168,-2)</f>
        <v>1127000</v>
      </c>
      <c r="O1168" s="33">
        <f>ROUND(N1168*Assumptions!N$18+GM!N1168,-2)</f>
        <v>1149500</v>
      </c>
      <c r="P1168" s="33">
        <f>ROUND(O1168*Assumptions!O$18+GM!O1168,-2)</f>
        <v>1172500</v>
      </c>
      <c r="Q1168" s="33">
        <f>ROUND(P1168*Assumptions!P$18+GM!P1168,-2)</f>
        <v>1196000</v>
      </c>
      <c r="R1168" s="114">
        <f>ROUND(Q1168*Assumptions!Q$18+GM!Q1168,-2)</f>
        <v>1219900</v>
      </c>
    </row>
    <row r="1169" spans="1:18" x14ac:dyDescent="0.2">
      <c r="A1169" s="107">
        <v>0</v>
      </c>
      <c r="B1169" s="33">
        <v>2075400</v>
      </c>
      <c r="C1169" s="189">
        <v>0</v>
      </c>
      <c r="D1169" s="187">
        <v>0</v>
      </c>
      <c r="E1169" s="821" t="s">
        <v>4553</v>
      </c>
      <c r="F1169" s="132" t="s">
        <v>4880</v>
      </c>
      <c r="G1169" s="187">
        <v>0</v>
      </c>
      <c r="H1169" s="138">
        <f>IF(D1169=G1169,0,IF(D1169=0,100,(G1169-D1169)/D1169*100))</f>
        <v>0</v>
      </c>
      <c r="I1169" s="33">
        <f>ROUND(G1169*Assumptions!H$13+GM!G1169,-2)</f>
        <v>0</v>
      </c>
      <c r="J1169" s="33">
        <f>ROUND(I1169*Assumptions!I$13+GM!I1169,-2)</f>
        <v>0</v>
      </c>
      <c r="K1169" s="33">
        <f>ROUND(J1169*Assumptions!J$5+GM!J1169,-2)</f>
        <v>0</v>
      </c>
      <c r="L1169" s="33">
        <f>ROUND(K1169*Assumptions!K$5+GM!K1169,-2)</f>
        <v>0</v>
      </c>
      <c r="M1169" s="33">
        <f>ROUND(L1169*Assumptions!L$5+GM!L1169,-2)</f>
        <v>0</v>
      </c>
      <c r="N1169" s="33">
        <f>ROUND(M1169*Assumptions!M$5+GM!M1169,-2)</f>
        <v>0</v>
      </c>
      <c r="O1169" s="33">
        <f>ROUND(N1169*Assumptions!N$5+GM!N1169,-2)</f>
        <v>0</v>
      </c>
      <c r="P1169" s="33">
        <f>ROUND(O1169*Assumptions!O$5+GM!O1169,-2)</f>
        <v>0</v>
      </c>
      <c r="Q1169" s="33">
        <f>ROUND(P1169*Assumptions!P$5+GM!P1169,-2)</f>
        <v>0</v>
      </c>
      <c r="R1169" s="114">
        <f>ROUND(Q1169*Assumptions!Q$5+GM!Q1169,-2)</f>
        <v>0</v>
      </c>
    </row>
    <row r="1170" spans="1:18" ht="13.5" thickBot="1" x14ac:dyDescent="0.25">
      <c r="A1170" s="107"/>
      <c r="B1170" s="33"/>
      <c r="C1170" s="189"/>
      <c r="D1170" s="187"/>
      <c r="E1170" s="1954"/>
      <c r="F1170" s="33"/>
      <c r="G1170" s="187"/>
      <c r="H1170" s="138"/>
      <c r="I1170" s="33"/>
      <c r="J1170" s="33"/>
      <c r="K1170" s="33"/>
      <c r="L1170" s="33"/>
      <c r="M1170" s="33"/>
      <c r="N1170" s="33"/>
      <c r="O1170" s="33"/>
      <c r="P1170" s="33"/>
      <c r="Q1170" s="33"/>
      <c r="R1170" s="114"/>
    </row>
    <row r="1171" spans="1:18" s="92" customFormat="1" x14ac:dyDescent="0.2">
      <c r="A1171" s="105">
        <f>SUBTOTAL(9,A1106:A1170)</f>
        <v>4056000</v>
      </c>
      <c r="B1171" s="53">
        <f>(SUBTOTAL(9,B1106:B1170))</f>
        <v>6404400</v>
      </c>
      <c r="C1171" s="190">
        <f>SUBTOTAL(9,C1106:C1170)</f>
        <v>4362900</v>
      </c>
      <c r="D1171" s="199">
        <f>SUBTOTAL(9,D1106:D1170)</f>
        <v>4513400</v>
      </c>
      <c r="E1171" s="237"/>
      <c r="F1171" s="378" t="s">
        <v>565</v>
      </c>
      <c r="G1171" s="199">
        <f>SUBTOTAL(9,G1106:G1170)</f>
        <v>4877900</v>
      </c>
      <c r="H1171" s="180">
        <f>IF(D1171=G1171,0,IF(D1171=0,100,(G1171-D1171)/D1171*100))</f>
        <v>8.0759516107590734</v>
      </c>
      <c r="I1171" s="53">
        <f t="shared" ref="I1171:Q1171" si="843">SUBTOTAL(9,I1106:I1170)</f>
        <v>5379100</v>
      </c>
      <c r="J1171" s="53">
        <f t="shared" si="843"/>
        <v>5607500</v>
      </c>
      <c r="K1171" s="53">
        <f t="shared" si="843"/>
        <v>5695300</v>
      </c>
      <c r="L1171" s="53">
        <f t="shared" si="843"/>
        <v>5769700</v>
      </c>
      <c r="M1171" s="53">
        <f t="shared" si="843"/>
        <v>5825700</v>
      </c>
      <c r="N1171" s="53">
        <f t="shared" si="843"/>
        <v>5892000</v>
      </c>
      <c r="O1171" s="53">
        <f t="shared" si="843"/>
        <v>5898700</v>
      </c>
      <c r="P1171" s="53">
        <f t="shared" si="843"/>
        <v>6127000</v>
      </c>
      <c r="Q1171" s="53">
        <f t="shared" si="843"/>
        <v>6267700</v>
      </c>
      <c r="R1171" s="113">
        <f t="shared" ref="R1171" si="844">SUBTOTAL(9,R1106:R1170)</f>
        <v>6389700</v>
      </c>
    </row>
    <row r="1172" spans="1:18" x14ac:dyDescent="0.2">
      <c r="A1172" s="107"/>
      <c r="B1172" s="33"/>
      <c r="C1172" s="189"/>
      <c r="D1172" s="187"/>
      <c r="E1172" s="1955"/>
      <c r="F1172" s="366"/>
      <c r="G1172" s="187"/>
      <c r="H1172" s="138"/>
      <c r="I1172" s="33"/>
      <c r="J1172" s="33"/>
      <c r="K1172" s="33"/>
      <c r="L1172" s="33"/>
      <c r="M1172" s="33"/>
      <c r="N1172" s="33"/>
      <c r="O1172" s="33"/>
      <c r="P1172" s="33"/>
      <c r="Q1172" s="33"/>
      <c r="R1172" s="114"/>
    </row>
    <row r="1173" spans="1:18" s="92" customFormat="1" x14ac:dyDescent="0.2">
      <c r="A1173" s="70">
        <f>A1103-A1171</f>
        <v>-50500</v>
      </c>
      <c r="B1173" s="64">
        <f>B1103-B1171</f>
        <v>-1786600</v>
      </c>
      <c r="C1173" s="193">
        <f>C1103-C1171</f>
        <v>346800</v>
      </c>
      <c r="D1173" s="192">
        <f>D1103-D1171</f>
        <v>598500</v>
      </c>
      <c r="E1173" s="237"/>
      <c r="F1173" s="516" t="s">
        <v>1019</v>
      </c>
      <c r="G1173" s="192">
        <f>G1103-G1171</f>
        <v>714500</v>
      </c>
      <c r="H1173" s="179">
        <f>IF(D1173=G1173,0,IF(D1173=0,100,(G1173-D1173)/D1173*100))</f>
        <v>19.381787802840435</v>
      </c>
      <c r="I1173" s="64">
        <f t="shared" ref="I1173:Q1173" si="845">I1103-I1171</f>
        <v>691100</v>
      </c>
      <c r="J1173" s="64">
        <f t="shared" si="845"/>
        <v>706600</v>
      </c>
      <c r="K1173" s="64">
        <f t="shared" si="845"/>
        <v>762900</v>
      </c>
      <c r="L1173" s="64">
        <f t="shared" si="845"/>
        <v>835400</v>
      </c>
      <c r="M1173" s="64">
        <f t="shared" si="845"/>
        <v>928200</v>
      </c>
      <c r="N1173" s="64">
        <f t="shared" si="845"/>
        <v>978700</v>
      </c>
      <c r="O1173" s="64">
        <f t="shared" si="845"/>
        <v>1116800</v>
      </c>
      <c r="P1173" s="64">
        <f t="shared" si="845"/>
        <v>1044000</v>
      </c>
      <c r="Q1173" s="64">
        <f t="shared" si="845"/>
        <v>1068300</v>
      </c>
      <c r="R1173" s="115">
        <f t="shared" ref="R1173" si="846">R1103-R1171</f>
        <v>1081700</v>
      </c>
    </row>
    <row r="1174" spans="1:18" x14ac:dyDescent="0.2">
      <c r="A1174" s="107">
        <f t="shared" ref="A1174:B1174" si="847">SUM(A1167:A1168)</f>
        <v>831200</v>
      </c>
      <c r="B1174" s="33">
        <f t="shared" si="847"/>
        <v>760600</v>
      </c>
      <c r="C1174" s="189">
        <f>SUM(C1167:C1168)</f>
        <v>770700</v>
      </c>
      <c r="D1174" s="187">
        <f>SUM(D1167:D1168)</f>
        <v>830400</v>
      </c>
      <c r="E1174" s="1955"/>
      <c r="F1174" s="372" t="s">
        <v>1976</v>
      </c>
      <c r="G1174" s="187">
        <f t="shared" ref="G1174:O1174" si="848">SUM(G1167:G1168)</f>
        <v>915000</v>
      </c>
      <c r="H1174" s="138">
        <f>IF(D1174=G1174,0,IF(D1174=0,100,(G1174-D1174)/D1174*100))</f>
        <v>10.187861271676301</v>
      </c>
      <c r="I1174" s="33">
        <f t="shared" si="848"/>
        <v>999000</v>
      </c>
      <c r="J1174" s="33">
        <f t="shared" si="848"/>
        <v>1030000</v>
      </c>
      <c r="K1174" s="33">
        <f t="shared" si="848"/>
        <v>1062000</v>
      </c>
      <c r="L1174" s="33">
        <f t="shared" si="848"/>
        <v>1083200</v>
      </c>
      <c r="M1174" s="33">
        <f t="shared" si="848"/>
        <v>1104900</v>
      </c>
      <c r="N1174" s="33">
        <f t="shared" si="848"/>
        <v>1127000</v>
      </c>
      <c r="O1174" s="33">
        <f t="shared" si="848"/>
        <v>1149500</v>
      </c>
      <c r="P1174" s="33">
        <f t="shared" ref="P1174:Q1174" si="849">SUM(P1167:P1168)</f>
        <v>1172500</v>
      </c>
      <c r="Q1174" s="33">
        <f t="shared" si="849"/>
        <v>1196000</v>
      </c>
      <c r="R1174" s="114">
        <f t="shared" ref="R1174" si="850">SUM(R1167:R1168)</f>
        <v>1219900</v>
      </c>
    </row>
    <row r="1175" spans="1:18" x14ac:dyDescent="0.2">
      <c r="A1175" s="107">
        <f>SUM(A1169:A1170)</f>
        <v>0</v>
      </c>
      <c r="B1175" s="33">
        <f>SUM(B1169:B1170)</f>
        <v>2075400</v>
      </c>
      <c r="C1175" s="189">
        <f>SUM(C1169:C1170)</f>
        <v>0</v>
      </c>
      <c r="D1175" s="187">
        <f>SUM(D1169:D1170)</f>
        <v>0</v>
      </c>
      <c r="E1175" s="1955"/>
      <c r="F1175" s="372" t="s">
        <v>4879</v>
      </c>
      <c r="G1175" s="187">
        <f t="shared" ref="G1175:P1175" si="851">SUM(G1169:G1170)</f>
        <v>0</v>
      </c>
      <c r="H1175" s="138">
        <f>IF(D1175=G1175,0,IF(D1175=0,100,(G1175-D1175)/D1175*100))</f>
        <v>0</v>
      </c>
      <c r="I1175" s="33">
        <f t="shared" si="851"/>
        <v>0</v>
      </c>
      <c r="J1175" s="33">
        <f t="shared" si="851"/>
        <v>0</v>
      </c>
      <c r="K1175" s="33">
        <f t="shared" si="851"/>
        <v>0</v>
      </c>
      <c r="L1175" s="33">
        <f t="shared" si="851"/>
        <v>0</v>
      </c>
      <c r="M1175" s="33">
        <f t="shared" si="851"/>
        <v>0</v>
      </c>
      <c r="N1175" s="33">
        <f t="shared" si="851"/>
        <v>0</v>
      </c>
      <c r="O1175" s="33">
        <f t="shared" si="851"/>
        <v>0</v>
      </c>
      <c r="P1175" s="33">
        <f t="shared" si="851"/>
        <v>0</v>
      </c>
      <c r="Q1175" s="33">
        <f t="shared" ref="Q1175" si="852">SUM(Q1169:Q1170)</f>
        <v>0</v>
      </c>
      <c r="R1175" s="114">
        <f t="shared" ref="R1175" si="853">SUM(R1169:R1170)</f>
        <v>0</v>
      </c>
    </row>
    <row r="1176" spans="1:18" s="92" customFormat="1" x14ac:dyDescent="0.2">
      <c r="A1176" s="181">
        <f>A1174+A1173+A1175+A1175</f>
        <v>780700</v>
      </c>
      <c r="B1176" s="397">
        <f>B1174+B1173+B1175</f>
        <v>1049400</v>
      </c>
      <c r="C1176" s="398">
        <f>C1174+C1173+C1175+C1175</f>
        <v>1117500</v>
      </c>
      <c r="D1176" s="728">
        <f>D1174+D1173+D1175+D1175</f>
        <v>1428900</v>
      </c>
      <c r="E1176" s="523"/>
      <c r="F1176" s="518" t="s">
        <v>1687</v>
      </c>
      <c r="G1176" s="728">
        <f t="shared" ref="G1176:P1176" si="854">G1174+G1173+G1175+G1175</f>
        <v>1629500</v>
      </c>
      <c r="H1176" s="395">
        <f>IF(D1176=G1176,0,IF(D1176=0,100,(G1176-D1176)/D1176*100))</f>
        <v>14.038771082650992</v>
      </c>
      <c r="I1176" s="397">
        <f t="shared" si="854"/>
        <v>1690100</v>
      </c>
      <c r="J1176" s="397">
        <f t="shared" si="854"/>
        <v>1736600</v>
      </c>
      <c r="K1176" s="397">
        <f t="shared" si="854"/>
        <v>1824900</v>
      </c>
      <c r="L1176" s="397">
        <f t="shared" si="854"/>
        <v>1918600</v>
      </c>
      <c r="M1176" s="397">
        <f t="shared" si="854"/>
        <v>2033100</v>
      </c>
      <c r="N1176" s="397">
        <f t="shared" si="854"/>
        <v>2105700</v>
      </c>
      <c r="O1176" s="397">
        <f t="shared" si="854"/>
        <v>2266300</v>
      </c>
      <c r="P1176" s="397">
        <f t="shared" si="854"/>
        <v>2216500</v>
      </c>
      <c r="Q1176" s="397">
        <f t="shared" ref="Q1176" si="855">Q1174+Q1173+Q1175+Q1175</f>
        <v>2264300</v>
      </c>
      <c r="R1176" s="399">
        <f t="shared" ref="R1176" si="856">R1174+R1173+R1175+R1175</f>
        <v>2301600</v>
      </c>
    </row>
    <row r="1177" spans="1:18" ht="13.5" thickBot="1" x14ac:dyDescent="0.25">
      <c r="A1177" s="614"/>
      <c r="B1177" s="90"/>
      <c r="C1177" s="200"/>
      <c r="D1177" s="200"/>
      <c r="E1177" s="1975"/>
      <c r="F1177" s="119"/>
      <c r="G1177" s="200"/>
      <c r="H1177" s="392"/>
      <c r="I1177" s="121"/>
      <c r="J1177" s="121"/>
      <c r="K1177" s="121"/>
      <c r="L1177" s="121"/>
      <c r="M1177" s="121"/>
      <c r="N1177" s="121"/>
      <c r="O1177" s="121"/>
      <c r="P1177" s="121"/>
      <c r="Q1177" s="121"/>
      <c r="R1177" s="161"/>
    </row>
    <row r="1178" spans="1:18" ht="13.5" thickTop="1" x14ac:dyDescent="0.2">
      <c r="A1178" s="383"/>
      <c r="B1178" s="122"/>
      <c r="C1178" s="194"/>
      <c r="D1178" s="730"/>
      <c r="E1178" s="541"/>
      <c r="F1178" s="367"/>
      <c r="G1178" s="730"/>
      <c r="H1178" s="505"/>
      <c r="I1178" s="127"/>
      <c r="J1178" s="127"/>
      <c r="K1178" s="127"/>
      <c r="L1178" s="127"/>
      <c r="M1178" s="127"/>
      <c r="N1178" s="127"/>
      <c r="O1178" s="127"/>
      <c r="P1178" s="127"/>
      <c r="Q1178" s="127"/>
      <c r="R1178" s="163"/>
    </row>
    <row r="1179" spans="1:18" x14ac:dyDescent="0.2">
      <c r="A1179" s="70"/>
      <c r="B1179" s="128"/>
      <c r="C1179" s="193"/>
      <c r="D1179" s="192"/>
      <c r="E1179" s="238"/>
      <c r="F1179" s="516" t="s">
        <v>196</v>
      </c>
      <c r="G1179" s="192"/>
      <c r="H1179" s="179"/>
      <c r="I1179" s="33"/>
      <c r="J1179" s="33"/>
      <c r="K1179" s="33"/>
      <c r="L1179" s="33"/>
      <c r="M1179" s="33"/>
      <c r="N1179" s="33"/>
      <c r="O1179" s="33"/>
      <c r="P1179" s="33"/>
      <c r="Q1179" s="33"/>
      <c r="R1179" s="114"/>
    </row>
    <row r="1180" spans="1:18" x14ac:dyDescent="0.2">
      <c r="A1180" s="70"/>
      <c r="B1180" s="128"/>
      <c r="C1180" s="193"/>
      <c r="D1180" s="192"/>
      <c r="E1180" s="238"/>
      <c r="F1180" s="516"/>
      <c r="G1180" s="192"/>
      <c r="H1180" s="179"/>
      <c r="I1180" s="33"/>
      <c r="J1180" s="33"/>
      <c r="K1180" s="33"/>
      <c r="L1180" s="33"/>
      <c r="M1180" s="33"/>
      <c r="N1180" s="33"/>
      <c r="O1180" s="33"/>
      <c r="P1180" s="33"/>
      <c r="Q1180" s="33"/>
      <c r="R1180" s="114"/>
    </row>
    <row r="1181" spans="1:18" x14ac:dyDescent="0.2">
      <c r="A1181" s="107">
        <v>532100</v>
      </c>
      <c r="B1181" s="142">
        <f>ROUND('Debt-Gen'!E61,-2)</f>
        <v>838700</v>
      </c>
      <c r="C1181" s="142">
        <f>ROUND('Debt-Gen'!G61,-2)</f>
        <v>845500</v>
      </c>
      <c r="D1181" s="33">
        <f>ROUND('Debt-Gen'!I61,-2)</f>
        <v>970600</v>
      </c>
      <c r="E1181" s="238"/>
      <c r="F1181" s="366" t="s">
        <v>2900</v>
      </c>
      <c r="G1181" s="187">
        <f>ROUND('Debt-Gen'!K61,-2)</f>
        <v>1073300</v>
      </c>
      <c r="H1181" s="138"/>
      <c r="I1181" s="33">
        <f>ROUND('Debt-Gen'!M61,-2)</f>
        <v>1175000</v>
      </c>
      <c r="J1181" s="33">
        <f>ROUND('Debt-Gen'!O61,-2)</f>
        <v>1235600</v>
      </c>
      <c r="K1181" s="33">
        <f>ROUND('Debt-Gen'!Q61,-2)</f>
        <v>1299700</v>
      </c>
      <c r="L1181" s="33">
        <f>ROUND('Debt-Gen'!S61,-2)</f>
        <v>1368700</v>
      </c>
      <c r="M1181" s="33">
        <f>ROUND('Debt-Gen'!U61,-2)</f>
        <v>1374300</v>
      </c>
      <c r="N1181" s="33">
        <f>ROUND('Debt-Gen'!W61,-2)</f>
        <v>969500</v>
      </c>
      <c r="O1181" s="33">
        <f>ROUND('Debt-Gen'!Y61,-2)</f>
        <v>318400</v>
      </c>
      <c r="P1181" s="33">
        <f>ROUND('Debt-Gen'!AA61,-2)</f>
        <v>115200</v>
      </c>
      <c r="Q1181" s="33">
        <f>ROUND('Debt-Gen'!AC61,-2)</f>
        <v>119600</v>
      </c>
      <c r="R1181" s="114">
        <f>ROUND('Debt-Gen'!AE61,-2)</f>
        <v>63900</v>
      </c>
    </row>
    <row r="1182" spans="1:18" x14ac:dyDescent="0.2">
      <c r="A1182" s="107">
        <v>4647700</v>
      </c>
      <c r="B1182" s="142">
        <v>210700</v>
      </c>
      <c r="C1182" s="189">
        <v>272000</v>
      </c>
      <c r="D1182" s="187">
        <f>SUM('Res-Gen'!B120:B120)</f>
        <v>458300</v>
      </c>
      <c r="E1182" s="238"/>
      <c r="F1182" s="366" t="s">
        <v>1942</v>
      </c>
      <c r="G1182" s="187">
        <f>SUM('Res-Gen'!E120:E120)</f>
        <v>556200</v>
      </c>
      <c r="H1182" s="138"/>
      <c r="I1182" s="33">
        <f>SUM('Res-Gen'!H120:H120)</f>
        <v>515100</v>
      </c>
      <c r="J1182" s="33">
        <f>SUM('Res-Gen'!K120:K120)</f>
        <v>501000</v>
      </c>
      <c r="K1182" s="33">
        <f>SUM('Res-Gen'!N120:N120)</f>
        <v>525200</v>
      </c>
      <c r="L1182" s="33">
        <f>SUM('Res-Gen'!Q120:Q120)</f>
        <v>549900</v>
      </c>
      <c r="M1182" s="33">
        <f>SUM('Res-Gen'!T120:T120)</f>
        <v>658800</v>
      </c>
      <c r="N1182" s="33">
        <f>SUM('Res-Gen'!W120:W120)</f>
        <v>1136200</v>
      </c>
      <c r="O1182" s="33">
        <f>SUM('Res-Gen'!Z120:Z120)</f>
        <v>1947900</v>
      </c>
      <c r="P1182" s="33">
        <f>SUM('Res-Gen'!AC120:AC120)</f>
        <v>2101300</v>
      </c>
      <c r="Q1182" s="33">
        <f>SUM('Res-Gen'!AF120:AF120)</f>
        <v>2144700</v>
      </c>
      <c r="R1182" s="114">
        <f>SUM('Res-Gen'!AI120:AI120)</f>
        <v>2237700</v>
      </c>
    </row>
    <row r="1183" spans="1:18" x14ac:dyDescent="0.2">
      <c r="A1183" s="107">
        <f>541400</f>
        <v>541400</v>
      </c>
      <c r="B1183" s="142">
        <v>4996600</v>
      </c>
      <c r="C1183" s="189">
        <v>403800</v>
      </c>
      <c r="D1183" s="187">
        <f>SUM('Res-Gen'!C120:C120)</f>
        <v>88000</v>
      </c>
      <c r="E1183" s="238"/>
      <c r="F1183" s="366" t="s">
        <v>2348</v>
      </c>
      <c r="G1183" s="187">
        <f>SUM('Res-Gen'!F120:F120)</f>
        <v>143000</v>
      </c>
      <c r="H1183" s="138"/>
      <c r="I1183" s="33">
        <f>SUM('Res-Gen'!I120:I120)</f>
        <v>81000</v>
      </c>
      <c r="J1183" s="33">
        <f>SUM('Res-Gen'!L120:L120)</f>
        <v>84000</v>
      </c>
      <c r="K1183" s="33">
        <f>SUM('Res-Gen'!O120:O120)</f>
        <v>87000</v>
      </c>
      <c r="L1183" s="33">
        <f>SUM('Res-Gen'!R120:R120)</f>
        <v>89000</v>
      </c>
      <c r="M1183" s="33">
        <f>SUM('Res-Gen'!U120:U120)</f>
        <v>91000</v>
      </c>
      <c r="N1183" s="33">
        <f>SUM('Res-Gen'!X120:X120)</f>
        <v>993000</v>
      </c>
      <c r="O1183" s="33">
        <f>SUM('Res-Gen'!AA120:AA120)</f>
        <v>1608000</v>
      </c>
      <c r="P1183" s="33">
        <f>SUM('Res-Gen'!AD120:AD120)</f>
        <v>1623000</v>
      </c>
      <c r="Q1183" s="33">
        <f>SUM('Res-Gen'!AG120:AG120)</f>
        <v>2639000</v>
      </c>
      <c r="R1183" s="114">
        <f>SUM('Res-Gen'!AJ120:AJ120)</f>
        <v>2705000</v>
      </c>
    </row>
    <row r="1184" spans="1:18" x14ac:dyDescent="0.2">
      <c r="A1184" s="107">
        <v>9644400</v>
      </c>
      <c r="B1184" s="189">
        <v>0</v>
      </c>
      <c r="C1184" s="189">
        <v>725000</v>
      </c>
      <c r="D1184" s="187">
        <f>SUM('Cap-Gen'!Q63:S63)+'Cap Inc'!B15</f>
        <v>2791400</v>
      </c>
      <c r="E1184" s="238"/>
      <c r="F1184" s="366" t="s">
        <v>5984</v>
      </c>
      <c r="G1184" s="187">
        <f>SUM('Cap-Gen'!V63:X63)</f>
        <v>900000</v>
      </c>
      <c r="H1184" s="138"/>
      <c r="I1184" s="33">
        <f>SUM('Cap-Gen'!AA63:AC63)</f>
        <v>4415600</v>
      </c>
      <c r="J1184" s="33">
        <f>SUM('Cap-Gen'!AF63:AH63)</f>
        <v>0</v>
      </c>
      <c r="K1184" s="33">
        <f>SUM('Cap-Gen'!AK63:AM63)</f>
        <v>0</v>
      </c>
      <c r="L1184" s="33">
        <f>SUM('Cap-Gen'!AP63:AR63)</f>
        <v>0</v>
      </c>
      <c r="M1184" s="33">
        <f>SUM('Cap-Gen'!AU63:AW63)</f>
        <v>0</v>
      </c>
      <c r="N1184" s="33">
        <f>SUM('Cap-Gen'!AZ63:BB63)</f>
        <v>0</v>
      </c>
      <c r="O1184" s="33">
        <f>SUM('Cap-Gen'!BE63:BG63)</f>
        <v>0</v>
      </c>
      <c r="P1184" s="33">
        <f>SUM('Cap-Gen'!BJ63:BL63)</f>
        <v>0</v>
      </c>
      <c r="Q1184" s="33">
        <f>SUM('Cap-Gen'!BO63:BQ63)</f>
        <v>0</v>
      </c>
      <c r="R1184" s="114">
        <f>SUM('Cap-Gen'!BT63:BT63)</f>
        <v>0</v>
      </c>
    </row>
    <row r="1185" spans="1:18" x14ac:dyDescent="0.2">
      <c r="A1185" s="107">
        <v>5786700</v>
      </c>
      <c r="B1185" s="142">
        <v>4996600</v>
      </c>
      <c r="C1185" s="189">
        <v>1128800</v>
      </c>
      <c r="D1185" s="187">
        <f>SUM('Cap-Gen'!E63:E63)</f>
        <v>2879400</v>
      </c>
      <c r="E1185" s="238"/>
      <c r="F1185" s="366" t="s">
        <v>972</v>
      </c>
      <c r="G1185" s="187">
        <f>SUM('Cap-Gen'!F63:F63)</f>
        <v>1043000</v>
      </c>
      <c r="H1185" s="138"/>
      <c r="I1185" s="33">
        <f>SUM('Cap-Gen'!G63:G63)</f>
        <v>4496600</v>
      </c>
      <c r="J1185" s="33">
        <f>SUM('Cap-Gen'!H63:H63)</f>
        <v>84000</v>
      </c>
      <c r="K1185" s="33">
        <f>SUM('Cap-Gen'!I63:I63)</f>
        <v>87000</v>
      </c>
      <c r="L1185" s="33">
        <f>SUM('Cap-Gen'!J63:J63)</f>
        <v>89000</v>
      </c>
      <c r="M1185" s="33">
        <f>SUM('Cap-Gen'!K63:K63)</f>
        <v>91000</v>
      </c>
      <c r="N1185" s="33">
        <f>SUM('Cap-Gen'!L63:L63)</f>
        <v>993000</v>
      </c>
      <c r="O1185" s="33">
        <f>SUM('Cap-Gen'!M63:M63)</f>
        <v>1608000</v>
      </c>
      <c r="P1185" s="33">
        <f>SUM('Cap-Gen'!N63:N63)</f>
        <v>1623000</v>
      </c>
      <c r="Q1185" s="33">
        <f>SUM('Cap-Gen'!O63:O63)</f>
        <v>2639000</v>
      </c>
      <c r="R1185" s="114">
        <f>SUM('Cap-Gen'!P63:P63)</f>
        <v>2705000</v>
      </c>
    </row>
    <row r="1186" spans="1:18" s="92" customFormat="1" x14ac:dyDescent="0.2">
      <c r="A1186" s="181">
        <f>A1176-A1181-A1182+A1183++A1184-A1185</f>
        <v>0</v>
      </c>
      <c r="B1186" s="377">
        <f>B1176-B1181-B1182+B1183++B1184-B1185</f>
        <v>0</v>
      </c>
      <c r="C1186" s="398">
        <f>C1176-C1181-C1182+C1183++C1184-C1185</f>
        <v>0</v>
      </c>
      <c r="D1186" s="728">
        <f>D1176-D1181-D1182+D1183++D1184-D1185</f>
        <v>0</v>
      </c>
      <c r="E1186" s="526"/>
      <c r="F1186" s="518" t="s">
        <v>2490</v>
      </c>
      <c r="G1186" s="728">
        <f t="shared" ref="G1186:O1186" si="857">G1176-G1181-G1182+G1183++G1184-G1185</f>
        <v>0</v>
      </c>
      <c r="H1186" s="395">
        <f>IF(D1186=G1186,0,IF(D1186=0,100,(G1186-D1186)/D1186*100))</f>
        <v>0</v>
      </c>
      <c r="I1186" s="397">
        <f>I1176-I1181-I1182+I1183+I1184-I1185</f>
        <v>0</v>
      </c>
      <c r="J1186" s="397">
        <f t="shared" si="857"/>
        <v>0</v>
      </c>
      <c r="K1186" s="397">
        <f t="shared" si="857"/>
        <v>0</v>
      </c>
      <c r="L1186" s="397">
        <f t="shared" si="857"/>
        <v>0</v>
      </c>
      <c r="M1186" s="397">
        <f t="shared" si="857"/>
        <v>0</v>
      </c>
      <c r="N1186" s="397">
        <f t="shared" si="857"/>
        <v>0</v>
      </c>
      <c r="O1186" s="397">
        <f t="shared" si="857"/>
        <v>0</v>
      </c>
      <c r="P1186" s="397">
        <f t="shared" ref="P1186:Q1186" si="858">P1176-P1181-P1182+P1183++P1184-P1185</f>
        <v>0</v>
      </c>
      <c r="Q1186" s="397">
        <f t="shared" si="858"/>
        <v>0</v>
      </c>
      <c r="R1186" s="399">
        <f t="shared" ref="R1186" si="859">R1176-R1181-R1182+R1183++R1184-R1185</f>
        <v>0</v>
      </c>
    </row>
    <row r="1187" spans="1:18" ht="13.5" thickBot="1" x14ac:dyDescent="0.25">
      <c r="A1187" s="73"/>
      <c r="B1187" s="134"/>
      <c r="C1187" s="195"/>
      <c r="D1187" s="200"/>
      <c r="E1187" s="239"/>
      <c r="F1187" s="368"/>
      <c r="G1187" s="200"/>
      <c r="H1187" s="392"/>
      <c r="I1187" s="66"/>
      <c r="J1187" s="66"/>
      <c r="K1187" s="66"/>
      <c r="L1187" s="66"/>
      <c r="M1187" s="66"/>
      <c r="N1187" s="66"/>
      <c r="O1187" s="66"/>
      <c r="P1187" s="66"/>
      <c r="Q1187" s="66"/>
      <c r="R1187" s="165"/>
    </row>
    <row r="1188" spans="1:18" ht="14.25" thickTop="1" thickBot="1" x14ac:dyDescent="0.25">
      <c r="A1188" s="74"/>
      <c r="B1188" s="74"/>
      <c r="C1188" s="74"/>
      <c r="D1188" s="74"/>
      <c r="E1188" s="273"/>
      <c r="F1188" s="137"/>
      <c r="H1188" s="2484"/>
      <c r="I1188" s="99"/>
      <c r="J1188" s="99"/>
      <c r="K1188" s="99"/>
      <c r="L1188" s="99"/>
      <c r="M1188" s="99"/>
      <c r="N1188" s="99"/>
      <c r="O1188" s="99"/>
      <c r="P1188" s="99"/>
      <c r="Q1188" s="99"/>
      <c r="R1188" s="99"/>
    </row>
    <row r="1189" spans="1:18" s="44" customFormat="1" ht="13.5" thickTop="1" x14ac:dyDescent="0.2">
      <c r="A1189" s="2891" t="s">
        <v>1856</v>
      </c>
      <c r="B1189" s="2892"/>
      <c r="C1189" s="2892"/>
      <c r="D1189" s="2893"/>
      <c r="E1189" s="2094" t="s">
        <v>2663</v>
      </c>
      <c r="F1189" s="2506" t="s">
        <v>2251</v>
      </c>
      <c r="G1189" s="2880" t="s">
        <v>2253</v>
      </c>
      <c r="H1189" s="2881"/>
      <c r="I1189" s="2881"/>
      <c r="J1189" s="2881"/>
      <c r="K1189" s="2881"/>
      <c r="L1189" s="2881"/>
      <c r="M1189" s="2881"/>
      <c r="N1189" s="2881"/>
      <c r="O1189" s="2881"/>
      <c r="P1189" s="2881"/>
      <c r="Q1189" s="2881"/>
      <c r="R1189" s="2882"/>
    </row>
    <row r="1190" spans="1:18" s="25" customFormat="1" ht="13.5" thickBot="1" x14ac:dyDescent="0.25">
      <c r="A1190" s="1697" t="str">
        <f>A3</f>
        <v>2012/13</v>
      </c>
      <c r="B1190" s="219" t="str">
        <f>B3</f>
        <v>2013/14</v>
      </c>
      <c r="C1190" s="219" t="str">
        <f>C3</f>
        <v>2014/15</v>
      </c>
      <c r="D1190" s="147" t="str">
        <f>D3</f>
        <v>2015/16</v>
      </c>
      <c r="E1190" s="1726" t="s">
        <v>2664</v>
      </c>
      <c r="F1190" s="1330"/>
      <c r="G1190" s="147" t="str">
        <f t="shared" ref="G1190:R1190" si="860">G3</f>
        <v>2016/17</v>
      </c>
      <c r="H1190" s="1727" t="str">
        <f t="shared" si="860"/>
        <v>%</v>
      </c>
      <c r="I1190" s="219" t="str">
        <f t="shared" si="860"/>
        <v>2017/18</v>
      </c>
      <c r="J1190" s="219" t="str">
        <f t="shared" si="860"/>
        <v>2018/19</v>
      </c>
      <c r="K1190" s="219" t="str">
        <f t="shared" si="860"/>
        <v>2019/20</v>
      </c>
      <c r="L1190" s="219" t="str">
        <f t="shared" si="860"/>
        <v>2020/21</v>
      </c>
      <c r="M1190" s="219" t="str">
        <f t="shared" si="860"/>
        <v>2021/22</v>
      </c>
      <c r="N1190" s="219" t="str">
        <f t="shared" si="860"/>
        <v>2022/23</v>
      </c>
      <c r="O1190" s="219" t="str">
        <f t="shared" si="860"/>
        <v>2023/24</v>
      </c>
      <c r="P1190" s="219" t="str">
        <f t="shared" si="860"/>
        <v>2024/25</v>
      </c>
      <c r="Q1190" s="219" t="str">
        <f t="shared" si="860"/>
        <v>2025/26</v>
      </c>
      <c r="R1190" s="305" t="str">
        <f t="shared" si="860"/>
        <v>2026/27</v>
      </c>
    </row>
    <row r="1191" spans="1:18" s="133" customFormat="1" x14ac:dyDescent="0.2">
      <c r="A1191" s="71"/>
      <c r="B1191" s="132"/>
      <c r="C1191" s="1011"/>
      <c r="D1191" s="1011"/>
      <c r="E1191" s="1100"/>
      <c r="F1191" s="145"/>
      <c r="G1191" s="1011"/>
      <c r="H1191" s="827"/>
      <c r="I1191" s="132"/>
      <c r="J1191" s="132"/>
      <c r="K1191" s="132"/>
      <c r="L1191" s="132"/>
      <c r="M1191" s="132"/>
      <c r="N1191" s="132"/>
      <c r="O1191" s="132"/>
      <c r="P1191" s="132"/>
      <c r="Q1191" s="132"/>
      <c r="R1191" s="131"/>
    </row>
    <row r="1192" spans="1:18" s="133" customFormat="1" x14ac:dyDescent="0.2">
      <c r="A1192" s="71">
        <f>A98</f>
        <v>-1242000</v>
      </c>
      <c r="B1192" s="132">
        <f>B98</f>
        <v>-1183400</v>
      </c>
      <c r="C1192" s="1011">
        <f>C98</f>
        <v>-1104800</v>
      </c>
      <c r="D1192" s="1011">
        <f>D98</f>
        <v>-1156500</v>
      </c>
      <c r="E1192" s="1100"/>
      <c r="F1192" s="78" t="s">
        <v>783</v>
      </c>
      <c r="G1192" s="1011">
        <f>G98</f>
        <v>-1653300</v>
      </c>
      <c r="H1192" s="827"/>
      <c r="I1192" s="132">
        <f t="shared" ref="I1192:R1192" si="861">I98</f>
        <v>-1409400</v>
      </c>
      <c r="J1192" s="132">
        <f t="shared" si="861"/>
        <v>-1455600</v>
      </c>
      <c r="K1192" s="132">
        <f t="shared" si="861"/>
        <v>-1502500</v>
      </c>
      <c r="L1192" s="132">
        <f t="shared" si="861"/>
        <v>-1810500</v>
      </c>
      <c r="M1192" s="132">
        <f t="shared" si="861"/>
        <v>-1586700</v>
      </c>
      <c r="N1192" s="132">
        <f t="shared" si="861"/>
        <v>-1623600</v>
      </c>
      <c r="O1192" s="132">
        <f t="shared" si="861"/>
        <v>-1661600</v>
      </c>
      <c r="P1192" s="132">
        <f t="shared" si="861"/>
        <v>-1990400</v>
      </c>
      <c r="Q1192" s="132">
        <f t="shared" si="861"/>
        <v>-1718600</v>
      </c>
      <c r="R1192" s="131">
        <f t="shared" si="861"/>
        <v>-1737200</v>
      </c>
    </row>
    <row r="1193" spans="1:18" s="133" customFormat="1" x14ac:dyDescent="0.2">
      <c r="A1193" s="71">
        <f>A138</f>
        <v>-266900</v>
      </c>
      <c r="B1193" s="132">
        <f>B138</f>
        <v>-282700</v>
      </c>
      <c r="C1193" s="1011">
        <f>C138</f>
        <v>-229200</v>
      </c>
      <c r="D1193" s="1011">
        <f>D138</f>
        <v>-268400</v>
      </c>
      <c r="E1193" s="1100"/>
      <c r="F1193" s="78" t="s">
        <v>1034</v>
      </c>
      <c r="G1193" s="1011">
        <f>G138</f>
        <v>-267000</v>
      </c>
      <c r="H1193" s="827"/>
      <c r="I1193" s="132">
        <f t="shared" ref="I1193:R1193" si="862">I138</f>
        <v>-239000</v>
      </c>
      <c r="J1193" s="132">
        <f t="shared" si="862"/>
        <v>-245400</v>
      </c>
      <c r="K1193" s="132">
        <f t="shared" si="862"/>
        <v>-251800</v>
      </c>
      <c r="L1193" s="132">
        <f t="shared" si="862"/>
        <v>-258400</v>
      </c>
      <c r="M1193" s="132">
        <f t="shared" si="862"/>
        <v>-264100</v>
      </c>
      <c r="N1193" s="132">
        <f t="shared" si="862"/>
        <v>-269900</v>
      </c>
      <c r="O1193" s="132">
        <f t="shared" si="862"/>
        <v>-275800</v>
      </c>
      <c r="P1193" s="132">
        <f t="shared" si="862"/>
        <v>-281900</v>
      </c>
      <c r="Q1193" s="132">
        <f t="shared" si="862"/>
        <v>-288100</v>
      </c>
      <c r="R1193" s="131">
        <f t="shared" si="862"/>
        <v>-294200</v>
      </c>
    </row>
    <row r="1194" spans="1:18" s="133" customFormat="1" x14ac:dyDescent="0.2">
      <c r="A1194" s="71">
        <f>A268</f>
        <v>-1573000</v>
      </c>
      <c r="B1194" s="132">
        <f>B268</f>
        <v>-1824700</v>
      </c>
      <c r="C1194" s="1011">
        <f>C268</f>
        <v>-1895400</v>
      </c>
      <c r="D1194" s="1011">
        <f>D268</f>
        <v>-2046100</v>
      </c>
      <c r="E1194" s="1100"/>
      <c r="F1194" s="78" t="s">
        <v>88</v>
      </c>
      <c r="G1194" s="1011">
        <f>G268</f>
        <v>-2126400</v>
      </c>
      <c r="H1194" s="827"/>
      <c r="I1194" s="132">
        <f t="shared" ref="I1194:R1194" si="863">I268</f>
        <v>-2257900</v>
      </c>
      <c r="J1194" s="132">
        <f t="shared" si="863"/>
        <v>-2314800</v>
      </c>
      <c r="K1194" s="132">
        <f t="shared" si="863"/>
        <v>-2373300</v>
      </c>
      <c r="L1194" s="132">
        <f t="shared" si="863"/>
        <v>-2433300</v>
      </c>
      <c r="M1194" s="132">
        <f t="shared" si="863"/>
        <v>-2489800</v>
      </c>
      <c r="N1194" s="132">
        <f t="shared" si="863"/>
        <v>-2547600</v>
      </c>
      <c r="O1194" s="132">
        <f t="shared" si="863"/>
        <v>-2606600</v>
      </c>
      <c r="P1194" s="132">
        <f t="shared" si="863"/>
        <v>-2667200</v>
      </c>
      <c r="Q1194" s="132">
        <f t="shared" si="863"/>
        <v>-2729100</v>
      </c>
      <c r="R1194" s="131">
        <f t="shared" si="863"/>
        <v>-2792400</v>
      </c>
    </row>
    <row r="1195" spans="1:18" s="133" customFormat="1" x14ac:dyDescent="0.2">
      <c r="A1195" s="71">
        <f>A183</f>
        <v>20799000</v>
      </c>
      <c r="B1195" s="132">
        <f>B183</f>
        <v>19967600</v>
      </c>
      <c r="C1195" s="1011">
        <f>C183</f>
        <v>22400900</v>
      </c>
      <c r="D1195" s="1011">
        <f>D183</f>
        <v>23578400</v>
      </c>
      <c r="E1195" s="1100"/>
      <c r="F1195" s="78" t="s">
        <v>5399</v>
      </c>
      <c r="G1195" s="1011">
        <f>G183</f>
        <v>24850300</v>
      </c>
      <c r="H1195" s="827"/>
      <c r="I1195" s="132">
        <f t="shared" ref="I1195:R1195" si="864">I183</f>
        <v>25995800</v>
      </c>
      <c r="J1195" s="132">
        <f t="shared" si="864"/>
        <v>27423600</v>
      </c>
      <c r="K1195" s="132">
        <f t="shared" si="864"/>
        <v>29073200</v>
      </c>
      <c r="L1195" s="132">
        <f t="shared" si="864"/>
        <v>29890400</v>
      </c>
      <c r="M1195" s="132">
        <f t="shared" si="864"/>
        <v>30730800</v>
      </c>
      <c r="N1195" s="132">
        <f t="shared" si="864"/>
        <v>31595500</v>
      </c>
      <c r="O1195" s="132">
        <f t="shared" si="864"/>
        <v>32485500</v>
      </c>
      <c r="P1195" s="132">
        <f t="shared" si="864"/>
        <v>33401200</v>
      </c>
      <c r="Q1195" s="132">
        <f t="shared" si="864"/>
        <v>34343600</v>
      </c>
      <c r="R1195" s="131">
        <f t="shared" si="864"/>
        <v>35313300</v>
      </c>
    </row>
    <row r="1196" spans="1:18" s="133" customFormat="1" x14ac:dyDescent="0.2">
      <c r="A1196" s="71">
        <f>A229</f>
        <v>3343000</v>
      </c>
      <c r="B1196" s="132">
        <f>B229</f>
        <v>3687400</v>
      </c>
      <c r="C1196" s="1011">
        <f>C229</f>
        <v>3978500</v>
      </c>
      <c r="D1196" s="1011">
        <f>D229</f>
        <v>4360900</v>
      </c>
      <c r="E1196" s="1100"/>
      <c r="F1196" s="78" t="s">
        <v>2311</v>
      </c>
      <c r="G1196" s="1011">
        <f>G229</f>
        <v>4430200</v>
      </c>
      <c r="H1196" s="827"/>
      <c r="I1196" s="132">
        <f t="shared" ref="I1196:R1196" si="865">I229</f>
        <v>4410600</v>
      </c>
      <c r="J1196" s="132">
        <f t="shared" si="865"/>
        <v>4521100</v>
      </c>
      <c r="K1196" s="132">
        <f t="shared" si="865"/>
        <v>4634600</v>
      </c>
      <c r="L1196" s="132">
        <f t="shared" si="865"/>
        <v>4749700</v>
      </c>
      <c r="M1196" s="132">
        <f t="shared" si="865"/>
        <v>4838000</v>
      </c>
      <c r="N1196" s="132">
        <f t="shared" si="865"/>
        <v>4880400</v>
      </c>
      <c r="O1196" s="132">
        <f t="shared" si="865"/>
        <v>4970900</v>
      </c>
      <c r="P1196" s="132">
        <f t="shared" si="865"/>
        <v>5062700</v>
      </c>
      <c r="Q1196" s="132">
        <f t="shared" si="865"/>
        <v>5156400</v>
      </c>
      <c r="R1196" s="131">
        <f t="shared" si="865"/>
        <v>5252400</v>
      </c>
    </row>
    <row r="1197" spans="1:18" s="133" customFormat="1" x14ac:dyDescent="0.2">
      <c r="A1197" s="71">
        <f>A324</f>
        <v>-731000</v>
      </c>
      <c r="B1197" s="132">
        <f>B324</f>
        <v>-1181500</v>
      </c>
      <c r="C1197" s="1011">
        <f>C324</f>
        <v>-1070900</v>
      </c>
      <c r="D1197" s="1011">
        <f>D324</f>
        <v>-1090800</v>
      </c>
      <c r="E1197" s="1100"/>
      <c r="F1197" s="78" t="s">
        <v>5400</v>
      </c>
      <c r="G1197" s="1011">
        <f>G324</f>
        <v>-687500</v>
      </c>
      <c r="H1197" s="827"/>
      <c r="I1197" s="132">
        <f t="shared" ref="I1197:R1197" si="866">I324</f>
        <v>-834200</v>
      </c>
      <c r="J1197" s="132">
        <f t="shared" si="866"/>
        <v>-849300</v>
      </c>
      <c r="K1197" s="132">
        <f t="shared" si="866"/>
        <v>-867600</v>
      </c>
      <c r="L1197" s="132">
        <f t="shared" si="866"/>
        <v>-890100</v>
      </c>
      <c r="M1197" s="132">
        <f t="shared" si="866"/>
        <v>-918600</v>
      </c>
      <c r="N1197" s="132">
        <f t="shared" si="866"/>
        <v>-950600</v>
      </c>
      <c r="O1197" s="132">
        <f t="shared" si="866"/>
        <v>-986100</v>
      </c>
      <c r="P1197" s="132">
        <f t="shared" si="866"/>
        <v>-1026300</v>
      </c>
      <c r="Q1197" s="132">
        <f t="shared" si="866"/>
        <v>-1069200</v>
      </c>
      <c r="R1197" s="131">
        <f t="shared" si="866"/>
        <v>-1116700</v>
      </c>
    </row>
    <row r="1198" spans="1:18" s="133" customFormat="1" x14ac:dyDescent="0.2">
      <c r="A1198" s="71">
        <f>A398</f>
        <v>2678500</v>
      </c>
      <c r="B1198" s="132">
        <f>B398</f>
        <v>355900</v>
      </c>
      <c r="C1198" s="1011">
        <f>C398</f>
        <v>193000</v>
      </c>
      <c r="D1198" s="1011">
        <f>D398</f>
        <v>40700</v>
      </c>
      <c r="E1198" s="1100"/>
      <c r="F1198" s="78" t="s">
        <v>2543</v>
      </c>
      <c r="G1198" s="1011">
        <f>G398</f>
        <v>-74300</v>
      </c>
      <c r="H1198" s="827"/>
      <c r="I1198" s="132">
        <f t="shared" ref="I1198:R1198" si="867">I398</f>
        <v>1150000</v>
      </c>
      <c r="J1198" s="132">
        <f t="shared" si="867"/>
        <v>1079600</v>
      </c>
      <c r="K1198" s="132">
        <f t="shared" si="867"/>
        <v>1159000</v>
      </c>
      <c r="L1198" s="132">
        <f t="shared" si="867"/>
        <v>1119900</v>
      </c>
      <c r="M1198" s="132">
        <f t="shared" si="867"/>
        <v>1146600</v>
      </c>
      <c r="N1198" s="132">
        <f t="shared" si="867"/>
        <v>1263700</v>
      </c>
      <c r="O1198" s="132">
        <f t="shared" si="867"/>
        <v>1289900</v>
      </c>
      <c r="P1198" s="132">
        <f t="shared" si="867"/>
        <v>1303500</v>
      </c>
      <c r="Q1198" s="132">
        <f t="shared" si="867"/>
        <v>1326800</v>
      </c>
      <c r="R1198" s="131">
        <f t="shared" si="867"/>
        <v>1349600</v>
      </c>
    </row>
    <row r="1199" spans="1:18" s="133" customFormat="1" x14ac:dyDescent="0.2">
      <c r="A1199" s="71">
        <f>A459</f>
        <v>780300</v>
      </c>
      <c r="B1199" s="132">
        <f>B459</f>
        <v>1049400</v>
      </c>
      <c r="C1199" s="1011">
        <f>C459</f>
        <v>1117500</v>
      </c>
      <c r="D1199" s="1011">
        <f>D459</f>
        <v>1428900</v>
      </c>
      <c r="E1199" s="1100"/>
      <c r="F1199" s="78" t="str">
        <f>F1215</f>
        <v>Ballina Byron Gateway Airport</v>
      </c>
      <c r="G1199" s="1011">
        <f>G459</f>
        <v>1629500</v>
      </c>
      <c r="H1199" s="827"/>
      <c r="I1199" s="132">
        <f t="shared" ref="I1199:R1199" si="868">I459</f>
        <v>1690100</v>
      </c>
      <c r="J1199" s="132">
        <f t="shared" si="868"/>
        <v>1736600</v>
      </c>
      <c r="K1199" s="132">
        <f t="shared" si="868"/>
        <v>1824900</v>
      </c>
      <c r="L1199" s="132">
        <f t="shared" si="868"/>
        <v>1918600</v>
      </c>
      <c r="M1199" s="132">
        <f t="shared" si="868"/>
        <v>2033100</v>
      </c>
      <c r="N1199" s="132">
        <f t="shared" si="868"/>
        <v>2105700</v>
      </c>
      <c r="O1199" s="132">
        <f t="shared" si="868"/>
        <v>2266300</v>
      </c>
      <c r="P1199" s="132">
        <f t="shared" si="868"/>
        <v>2216500</v>
      </c>
      <c r="Q1199" s="132">
        <f t="shared" si="868"/>
        <v>2264300</v>
      </c>
      <c r="R1199" s="131">
        <f t="shared" si="868"/>
        <v>2301600</v>
      </c>
    </row>
    <row r="1200" spans="1:18" s="133" customFormat="1" ht="13.5" thickBot="1" x14ac:dyDescent="0.25">
      <c r="A1200" s="292"/>
      <c r="B1200" s="116"/>
      <c r="C1200" s="1699"/>
      <c r="D1200" s="1699"/>
      <c r="E1200" s="1100"/>
      <c r="F1200" s="78"/>
      <c r="G1200" s="1699"/>
      <c r="H1200" s="1699"/>
      <c r="I1200" s="132"/>
      <c r="J1200" s="132"/>
      <c r="K1200" s="132"/>
      <c r="L1200" s="132"/>
      <c r="M1200" s="132"/>
      <c r="N1200" s="132"/>
      <c r="O1200" s="132"/>
      <c r="P1200" s="132"/>
      <c r="Q1200" s="132"/>
      <c r="R1200" s="131"/>
    </row>
    <row r="1201" spans="1:18" s="133" customFormat="1" x14ac:dyDescent="0.2">
      <c r="A1201" s="178">
        <f>SUM(A1192:A1200)</f>
        <v>23787900</v>
      </c>
      <c r="B1201" s="106">
        <f>SUM(B1192:B1200)</f>
        <v>20588000</v>
      </c>
      <c r="C1201" s="1365">
        <f>SUM(C1192:C1200)</f>
        <v>23389600</v>
      </c>
      <c r="D1201" s="1365">
        <f>SUM(D1192:D1200)</f>
        <v>24847100</v>
      </c>
      <c r="E1201" s="1100"/>
      <c r="F1201" s="1352" t="s">
        <v>366</v>
      </c>
      <c r="G1201" s="1365">
        <f t="shared" ref="G1201:O1201" si="869">SUM(G1192:G1200)</f>
        <v>26101500</v>
      </c>
      <c r="H1201" s="827"/>
      <c r="I1201" s="106">
        <f t="shared" si="869"/>
        <v>28506000</v>
      </c>
      <c r="J1201" s="106">
        <f t="shared" si="869"/>
        <v>29895800</v>
      </c>
      <c r="K1201" s="106">
        <f t="shared" si="869"/>
        <v>31696500</v>
      </c>
      <c r="L1201" s="106">
        <f t="shared" si="869"/>
        <v>32286300</v>
      </c>
      <c r="M1201" s="106">
        <f t="shared" si="869"/>
        <v>33489300</v>
      </c>
      <c r="N1201" s="106">
        <f t="shared" si="869"/>
        <v>34453600</v>
      </c>
      <c r="O1201" s="106">
        <f t="shared" si="869"/>
        <v>35482500</v>
      </c>
      <c r="P1201" s="106">
        <f t="shared" ref="P1201:Q1201" si="870">SUM(P1192:P1200)</f>
        <v>36018100</v>
      </c>
      <c r="Q1201" s="106">
        <f t="shared" si="870"/>
        <v>37286100</v>
      </c>
      <c r="R1201" s="157">
        <f t="shared" ref="R1201" si="871">SUM(R1192:R1200)</f>
        <v>38276400</v>
      </c>
    </row>
    <row r="1202" spans="1:18" s="133" customFormat="1" ht="13.5" thickBot="1" x14ac:dyDescent="0.25">
      <c r="A1202" s="1341"/>
      <c r="B1202" s="1306"/>
      <c r="C1202" s="1371"/>
      <c r="D1202" s="1371"/>
      <c r="E1202" s="1370"/>
      <c r="F1202" s="1343"/>
      <c r="G1202" s="1371"/>
      <c r="H1202" s="1371"/>
      <c r="I1202" s="835"/>
      <c r="J1202" s="835"/>
      <c r="K1202" s="835"/>
      <c r="L1202" s="835"/>
      <c r="M1202" s="835"/>
      <c r="N1202" s="835"/>
      <c r="O1202" s="835"/>
      <c r="P1202" s="835"/>
      <c r="Q1202" s="835"/>
      <c r="R1202" s="837"/>
    </row>
    <row r="1203" spans="1:18" ht="13.5" thickTop="1" x14ac:dyDescent="0.2">
      <c r="A1203" s="74"/>
      <c r="B1203" s="74"/>
      <c r="C1203" s="74"/>
      <c r="D1203" s="74"/>
      <c r="E1203" s="273"/>
      <c r="F1203" s="137"/>
      <c r="H1203" s="2484"/>
      <c r="I1203" s="99"/>
      <c r="J1203" s="99"/>
      <c r="K1203" s="99"/>
      <c r="L1203" s="99"/>
      <c r="M1203" s="99"/>
      <c r="N1203" s="99"/>
      <c r="O1203" s="99"/>
      <c r="P1203" s="99"/>
      <c r="Q1203" s="99"/>
      <c r="R1203" s="99"/>
    </row>
    <row r="1204" spans="1:18" ht="13.5" thickBot="1" x14ac:dyDescent="0.25">
      <c r="A1204" s="74"/>
      <c r="B1204" s="74"/>
      <c r="C1204" s="74"/>
      <c r="D1204" s="74"/>
      <c r="E1204" s="273"/>
      <c r="F1204" s="137"/>
      <c r="H1204" s="2484"/>
      <c r="I1204" s="99"/>
      <c r="J1204" s="99"/>
      <c r="K1204" s="99"/>
      <c r="L1204" s="99"/>
      <c r="M1204" s="99"/>
      <c r="N1204" s="99"/>
      <c r="O1204" s="99"/>
      <c r="P1204" s="99"/>
      <c r="Q1204" s="99"/>
      <c r="R1204" s="99"/>
    </row>
    <row r="1205" spans="1:18" s="44" customFormat="1" ht="13.5" thickTop="1" x14ac:dyDescent="0.2">
      <c r="A1205" s="2891" t="s">
        <v>1856</v>
      </c>
      <c r="B1205" s="2892"/>
      <c r="C1205" s="2892"/>
      <c r="D1205" s="2893"/>
      <c r="E1205" s="2094" t="s">
        <v>2663</v>
      </c>
      <c r="F1205" s="2506" t="s">
        <v>2251</v>
      </c>
      <c r="G1205" s="2880" t="s">
        <v>2253</v>
      </c>
      <c r="H1205" s="2881"/>
      <c r="I1205" s="2881"/>
      <c r="J1205" s="2881"/>
      <c r="K1205" s="2881"/>
      <c r="L1205" s="2881"/>
      <c r="M1205" s="2881"/>
      <c r="N1205" s="2881"/>
      <c r="O1205" s="2881"/>
      <c r="P1205" s="2881"/>
      <c r="Q1205" s="2881"/>
      <c r="R1205" s="2882"/>
    </row>
    <row r="1206" spans="1:18" ht="13.5" thickBot="1" x14ac:dyDescent="0.25">
      <c r="A1206" s="208" t="str">
        <f>A3</f>
        <v>2012/13</v>
      </c>
      <c r="B1206" s="75" t="str">
        <f>B3</f>
        <v>2013/14</v>
      </c>
      <c r="C1206" s="218" t="str">
        <f>C3</f>
        <v>2014/15</v>
      </c>
      <c r="D1206" s="2508" t="str">
        <f>D3</f>
        <v>2015/16</v>
      </c>
      <c r="E1206" s="281" t="str">
        <f>E1190</f>
        <v>ACCOUNT</v>
      </c>
      <c r="F1206" s="121"/>
      <c r="G1206" s="75" t="str">
        <f>G3</f>
        <v>2016/17</v>
      </c>
      <c r="H1206" s="1727" t="s">
        <v>501</v>
      </c>
      <c r="I1206" s="218" t="str">
        <f t="shared" ref="I1206:R1206" si="872">I3</f>
        <v>2017/18</v>
      </c>
      <c r="J1206" s="218" t="str">
        <f t="shared" si="872"/>
        <v>2018/19</v>
      </c>
      <c r="K1206" s="218" t="str">
        <f t="shared" si="872"/>
        <v>2019/20</v>
      </c>
      <c r="L1206" s="218" t="str">
        <f t="shared" si="872"/>
        <v>2020/21</v>
      </c>
      <c r="M1206" s="218" t="str">
        <f t="shared" si="872"/>
        <v>2021/22</v>
      </c>
      <c r="N1206" s="218" t="str">
        <f t="shared" si="872"/>
        <v>2022/23</v>
      </c>
      <c r="O1206" s="218" t="str">
        <f t="shared" si="872"/>
        <v>2023/24</v>
      </c>
      <c r="P1206" s="218" t="str">
        <f t="shared" si="872"/>
        <v>2024/25</v>
      </c>
      <c r="Q1206" s="218" t="str">
        <f t="shared" si="872"/>
        <v>2025/26</v>
      </c>
      <c r="R1206" s="1704" t="str">
        <f t="shared" si="872"/>
        <v>2026/27</v>
      </c>
    </row>
    <row r="1207" spans="1:18" x14ac:dyDescent="0.2">
      <c r="A1207" s="107"/>
      <c r="B1207" s="33"/>
      <c r="C1207" s="33"/>
      <c r="D1207" s="169"/>
      <c r="E1207" s="252"/>
      <c r="F1207" s="64"/>
      <c r="G1207" s="33"/>
      <c r="H1207" s="138"/>
      <c r="I1207" s="33"/>
      <c r="J1207" s="33"/>
      <c r="K1207" s="33"/>
      <c r="L1207" s="33"/>
      <c r="M1207" s="33"/>
      <c r="N1207" s="33"/>
      <c r="O1207" s="33"/>
      <c r="P1207" s="33"/>
      <c r="Q1207" s="33"/>
      <c r="R1207" s="114"/>
    </row>
    <row r="1208" spans="1:18" x14ac:dyDescent="0.2">
      <c r="A1208" s="107">
        <f>A96</f>
        <v>-1242000</v>
      </c>
      <c r="B1208" s="33">
        <f>B96</f>
        <v>-1183400</v>
      </c>
      <c r="C1208" s="33">
        <f>C96</f>
        <v>-1104800</v>
      </c>
      <c r="D1208" s="33">
        <f>D96</f>
        <v>-1156500</v>
      </c>
      <c r="E1208" s="252"/>
      <c r="F1208" s="33" t="str">
        <f t="shared" ref="F1208:F1214" si="873">F1192</f>
        <v>Governance</v>
      </c>
      <c r="G1208" s="33">
        <f>G96</f>
        <v>-1653300</v>
      </c>
      <c r="H1208" s="138"/>
      <c r="I1208" s="33">
        <f t="shared" ref="I1208:R1208" si="874">I96</f>
        <v>-1409400</v>
      </c>
      <c r="J1208" s="33">
        <f t="shared" si="874"/>
        <v>-1455600</v>
      </c>
      <c r="K1208" s="33">
        <f t="shared" si="874"/>
        <v>-1502500</v>
      </c>
      <c r="L1208" s="33">
        <f t="shared" si="874"/>
        <v>-1810500</v>
      </c>
      <c r="M1208" s="33">
        <f t="shared" si="874"/>
        <v>-1586700</v>
      </c>
      <c r="N1208" s="33">
        <f t="shared" si="874"/>
        <v>-1623600</v>
      </c>
      <c r="O1208" s="33">
        <f t="shared" si="874"/>
        <v>-1661600</v>
      </c>
      <c r="P1208" s="33">
        <f t="shared" si="874"/>
        <v>-1990400</v>
      </c>
      <c r="Q1208" s="33">
        <f t="shared" si="874"/>
        <v>-1718600</v>
      </c>
      <c r="R1208" s="114">
        <f t="shared" si="874"/>
        <v>-1737200</v>
      </c>
    </row>
    <row r="1209" spans="1:18" x14ac:dyDescent="0.2">
      <c r="A1209" s="107">
        <f>A136</f>
        <v>-266900</v>
      </c>
      <c r="B1209" s="33">
        <f>B136</f>
        <v>-282700</v>
      </c>
      <c r="C1209" s="33">
        <f>C136</f>
        <v>-229200</v>
      </c>
      <c r="D1209" s="33">
        <f>D136</f>
        <v>-268400</v>
      </c>
      <c r="E1209" s="252"/>
      <c r="F1209" s="33" t="str">
        <f t="shared" si="873"/>
        <v>Administrative Services</v>
      </c>
      <c r="G1209" s="33">
        <f>G136</f>
        <v>-267000</v>
      </c>
      <c r="H1209" s="138"/>
      <c r="I1209" s="33">
        <f t="shared" ref="I1209:R1209" si="875">I136</f>
        <v>-239000</v>
      </c>
      <c r="J1209" s="33">
        <f t="shared" si="875"/>
        <v>-245400</v>
      </c>
      <c r="K1209" s="33">
        <f t="shared" si="875"/>
        <v>-251800</v>
      </c>
      <c r="L1209" s="33">
        <f t="shared" si="875"/>
        <v>-258400</v>
      </c>
      <c r="M1209" s="33">
        <f t="shared" si="875"/>
        <v>-264100</v>
      </c>
      <c r="N1209" s="33">
        <f t="shared" si="875"/>
        <v>-269900</v>
      </c>
      <c r="O1209" s="33">
        <f t="shared" si="875"/>
        <v>-275800</v>
      </c>
      <c r="P1209" s="33">
        <f t="shared" si="875"/>
        <v>-281900</v>
      </c>
      <c r="Q1209" s="33">
        <f t="shared" si="875"/>
        <v>-288100</v>
      </c>
      <c r="R1209" s="114">
        <f t="shared" si="875"/>
        <v>-294200</v>
      </c>
    </row>
    <row r="1210" spans="1:18" x14ac:dyDescent="0.2">
      <c r="A1210" s="107">
        <f>A266</f>
        <v>-1573000</v>
      </c>
      <c r="B1210" s="33">
        <f>B266</f>
        <v>-1824700</v>
      </c>
      <c r="C1210" s="33">
        <f>C227</f>
        <v>3978500</v>
      </c>
      <c r="D1210" s="33">
        <f>D266</f>
        <v>-2046100</v>
      </c>
      <c r="E1210" s="252"/>
      <c r="F1210" s="33" t="str">
        <f t="shared" si="873"/>
        <v>Financial Services</v>
      </c>
      <c r="G1210" s="33">
        <f>G266</f>
        <v>-2126400</v>
      </c>
      <c r="H1210" s="138"/>
      <c r="I1210" s="33">
        <f t="shared" ref="I1210:R1210" si="876">I266</f>
        <v>-2257900</v>
      </c>
      <c r="J1210" s="33">
        <f t="shared" si="876"/>
        <v>-2314800</v>
      </c>
      <c r="K1210" s="33">
        <f t="shared" si="876"/>
        <v>-2373300</v>
      </c>
      <c r="L1210" s="33">
        <f t="shared" si="876"/>
        <v>-2433300</v>
      </c>
      <c r="M1210" s="33">
        <f t="shared" si="876"/>
        <v>-2489800</v>
      </c>
      <c r="N1210" s="33">
        <f t="shared" si="876"/>
        <v>-2547600</v>
      </c>
      <c r="O1210" s="33">
        <f t="shared" si="876"/>
        <v>-2606600</v>
      </c>
      <c r="P1210" s="33">
        <f t="shared" si="876"/>
        <v>-2667200</v>
      </c>
      <c r="Q1210" s="33">
        <f t="shared" si="876"/>
        <v>-2729100</v>
      </c>
      <c r="R1210" s="114">
        <f t="shared" si="876"/>
        <v>-2792400</v>
      </c>
    </row>
    <row r="1211" spans="1:18" x14ac:dyDescent="0.2">
      <c r="A1211" s="107">
        <f>A181</f>
        <v>21213000</v>
      </c>
      <c r="B1211" s="33">
        <f>B181</f>
        <v>20300600</v>
      </c>
      <c r="C1211" s="33">
        <f>C181</f>
        <v>22370900</v>
      </c>
      <c r="D1211" s="33">
        <f>D181</f>
        <v>23415400</v>
      </c>
      <c r="E1211" s="252"/>
      <c r="F1211" s="33" t="str">
        <f t="shared" si="873"/>
        <v xml:space="preserve">Financial Services - General Purpose </v>
      </c>
      <c r="G1211" s="33">
        <f>G181</f>
        <v>24850300</v>
      </c>
      <c r="H1211" s="138"/>
      <c r="I1211" s="33">
        <f t="shared" ref="I1211:R1211" si="877">I181</f>
        <v>25995800</v>
      </c>
      <c r="J1211" s="33">
        <f t="shared" si="877"/>
        <v>27423600</v>
      </c>
      <c r="K1211" s="33">
        <f t="shared" si="877"/>
        <v>29073200</v>
      </c>
      <c r="L1211" s="33">
        <f t="shared" si="877"/>
        <v>29890400</v>
      </c>
      <c r="M1211" s="33">
        <f t="shared" si="877"/>
        <v>30730800</v>
      </c>
      <c r="N1211" s="33">
        <f t="shared" si="877"/>
        <v>31595500</v>
      </c>
      <c r="O1211" s="33">
        <f t="shared" si="877"/>
        <v>32485500</v>
      </c>
      <c r="P1211" s="33">
        <f t="shared" si="877"/>
        <v>33401200</v>
      </c>
      <c r="Q1211" s="33">
        <f t="shared" si="877"/>
        <v>34343600</v>
      </c>
      <c r="R1211" s="114">
        <f t="shared" si="877"/>
        <v>35313300</v>
      </c>
    </row>
    <row r="1212" spans="1:18" x14ac:dyDescent="0.2">
      <c r="A1212" s="107">
        <f>A227</f>
        <v>3343000</v>
      </c>
      <c r="B1212" s="33">
        <f>B227</f>
        <v>3687400</v>
      </c>
      <c r="C1212" s="33">
        <f>C266</f>
        <v>-1895400</v>
      </c>
      <c r="D1212" s="33">
        <f>D227</f>
        <v>4360900</v>
      </c>
      <c r="E1212" s="252"/>
      <c r="F1212" s="33" t="str">
        <f t="shared" si="873"/>
        <v>Information Services</v>
      </c>
      <c r="G1212" s="33">
        <f>G227</f>
        <v>4430200</v>
      </c>
      <c r="H1212" s="138"/>
      <c r="I1212" s="33">
        <f t="shared" ref="I1212:R1212" si="878">I227</f>
        <v>4410600</v>
      </c>
      <c r="J1212" s="33">
        <f t="shared" si="878"/>
        <v>4521100</v>
      </c>
      <c r="K1212" s="33">
        <f t="shared" si="878"/>
        <v>4634600</v>
      </c>
      <c r="L1212" s="33">
        <f t="shared" si="878"/>
        <v>4749700</v>
      </c>
      <c r="M1212" s="33">
        <f t="shared" si="878"/>
        <v>4838000</v>
      </c>
      <c r="N1212" s="33">
        <f t="shared" si="878"/>
        <v>4880400</v>
      </c>
      <c r="O1212" s="33">
        <f t="shared" si="878"/>
        <v>4970900</v>
      </c>
      <c r="P1212" s="33">
        <f t="shared" si="878"/>
        <v>5062700</v>
      </c>
      <c r="Q1212" s="33">
        <f t="shared" si="878"/>
        <v>5156400</v>
      </c>
      <c r="R1212" s="114">
        <f t="shared" si="878"/>
        <v>5252400</v>
      </c>
    </row>
    <row r="1213" spans="1:18" x14ac:dyDescent="0.2">
      <c r="A1213" s="107">
        <f>A322</f>
        <v>-731000</v>
      </c>
      <c r="B1213" s="33">
        <f>B322</f>
        <v>-1181500</v>
      </c>
      <c r="C1213" s="33">
        <f>C322</f>
        <v>-1070900</v>
      </c>
      <c r="D1213" s="33">
        <f>D322</f>
        <v>-1090800</v>
      </c>
      <c r="E1213" s="252"/>
      <c r="F1213" s="33" t="str">
        <f t="shared" si="873"/>
        <v xml:space="preserve">Human Resources and Risk </v>
      </c>
      <c r="G1213" s="33">
        <f>G322</f>
        <v>-687500</v>
      </c>
      <c r="H1213" s="138"/>
      <c r="I1213" s="33">
        <f t="shared" ref="I1213:R1213" si="879">I322</f>
        <v>-834200</v>
      </c>
      <c r="J1213" s="33">
        <f t="shared" si="879"/>
        <v>-849300</v>
      </c>
      <c r="K1213" s="33">
        <f t="shared" si="879"/>
        <v>-867600</v>
      </c>
      <c r="L1213" s="33">
        <f t="shared" si="879"/>
        <v>-890100</v>
      </c>
      <c r="M1213" s="33">
        <f t="shared" si="879"/>
        <v>-918600</v>
      </c>
      <c r="N1213" s="33">
        <f t="shared" si="879"/>
        <v>-950600</v>
      </c>
      <c r="O1213" s="33">
        <f t="shared" si="879"/>
        <v>-986100</v>
      </c>
      <c r="P1213" s="33">
        <f t="shared" si="879"/>
        <v>-1026300</v>
      </c>
      <c r="Q1213" s="33">
        <f t="shared" si="879"/>
        <v>-1069200</v>
      </c>
      <c r="R1213" s="114">
        <f t="shared" si="879"/>
        <v>-1116700</v>
      </c>
    </row>
    <row r="1214" spans="1:18" x14ac:dyDescent="0.2">
      <c r="A1214" s="107">
        <f>A394</f>
        <v>2675900</v>
      </c>
      <c r="B1214" s="33">
        <f>B394</f>
        <v>22300</v>
      </c>
      <c r="C1214" s="33">
        <f>C394</f>
        <v>1270100</v>
      </c>
      <c r="D1214" s="33">
        <f>D394</f>
        <v>-390900</v>
      </c>
      <c r="E1214" s="252"/>
      <c r="F1214" s="33" t="str">
        <f t="shared" si="873"/>
        <v>Property Management</v>
      </c>
      <c r="G1214" s="33">
        <f>G394</f>
        <v>-183300</v>
      </c>
      <c r="H1214" s="138"/>
      <c r="I1214" s="33">
        <f t="shared" ref="I1214:R1214" si="880">I394</f>
        <v>1038800</v>
      </c>
      <c r="J1214" s="33">
        <f t="shared" si="880"/>
        <v>966100</v>
      </c>
      <c r="K1214" s="33">
        <f t="shared" si="880"/>
        <v>1043200</v>
      </c>
      <c r="L1214" s="33">
        <f t="shared" si="880"/>
        <v>1001700</v>
      </c>
      <c r="M1214" s="33">
        <f t="shared" si="880"/>
        <v>1025900</v>
      </c>
      <c r="N1214" s="33">
        <f t="shared" si="880"/>
        <v>1140400</v>
      </c>
      <c r="O1214" s="33">
        <f t="shared" si="880"/>
        <v>1164000</v>
      </c>
      <c r="P1214" s="33">
        <f t="shared" si="880"/>
        <v>1175000</v>
      </c>
      <c r="Q1214" s="33">
        <f t="shared" si="880"/>
        <v>1195600</v>
      </c>
      <c r="R1214" s="114">
        <f t="shared" si="880"/>
        <v>1215700</v>
      </c>
    </row>
    <row r="1215" spans="1:18" x14ac:dyDescent="0.2">
      <c r="A1215" s="107">
        <f>A456</f>
        <v>-50900</v>
      </c>
      <c r="B1215" s="33">
        <f>B456</f>
        <v>-1786600</v>
      </c>
      <c r="C1215" s="33">
        <f>C456</f>
        <v>346800</v>
      </c>
      <c r="D1215" s="33">
        <f>D456</f>
        <v>598500</v>
      </c>
      <c r="E1215" s="252"/>
      <c r="F1215" s="33" t="s">
        <v>2129</v>
      </c>
      <c r="G1215" s="33">
        <f>G456</f>
        <v>714500</v>
      </c>
      <c r="H1215" s="138"/>
      <c r="I1215" s="33">
        <f t="shared" ref="I1215:R1215" si="881">I456</f>
        <v>691100</v>
      </c>
      <c r="J1215" s="33">
        <f t="shared" si="881"/>
        <v>706600</v>
      </c>
      <c r="K1215" s="33">
        <f t="shared" si="881"/>
        <v>762900</v>
      </c>
      <c r="L1215" s="33">
        <f t="shared" si="881"/>
        <v>835400</v>
      </c>
      <c r="M1215" s="33">
        <f t="shared" si="881"/>
        <v>928200</v>
      </c>
      <c r="N1215" s="33">
        <f t="shared" si="881"/>
        <v>978700</v>
      </c>
      <c r="O1215" s="33">
        <f t="shared" si="881"/>
        <v>1116800</v>
      </c>
      <c r="P1215" s="33">
        <f t="shared" si="881"/>
        <v>1044000</v>
      </c>
      <c r="Q1215" s="33">
        <f t="shared" si="881"/>
        <v>1068300</v>
      </c>
      <c r="R1215" s="114">
        <f t="shared" si="881"/>
        <v>1081700</v>
      </c>
    </row>
    <row r="1216" spans="1:18" ht="13.5" thickBot="1" x14ac:dyDescent="0.25">
      <c r="A1216" s="70"/>
      <c r="B1216" s="64"/>
      <c r="C1216" s="64"/>
      <c r="D1216" s="64"/>
      <c r="E1216" s="252"/>
      <c r="F1216" s="33"/>
      <c r="G1216" s="33"/>
      <c r="H1216" s="138"/>
      <c r="I1216" s="33"/>
      <c r="J1216" s="33"/>
      <c r="K1216" s="33"/>
      <c r="L1216" s="33"/>
      <c r="M1216" s="33"/>
      <c r="N1216" s="33"/>
      <c r="O1216" s="33"/>
      <c r="P1216" s="33"/>
      <c r="Q1216" s="33"/>
      <c r="R1216" s="114"/>
    </row>
    <row r="1217" spans="1:18" x14ac:dyDescent="0.2">
      <c r="A1217" s="105">
        <f>SUM(A1207:A1216)</f>
        <v>23368100</v>
      </c>
      <c r="B1217" s="53">
        <f>SUM(B1207:B1216)</f>
        <v>17751400</v>
      </c>
      <c r="C1217" s="53">
        <f>SUM(C1207:C1216)</f>
        <v>23666000</v>
      </c>
      <c r="D1217" s="53">
        <f>SUM(D1207:D1216)</f>
        <v>23422100</v>
      </c>
      <c r="E1217" s="252"/>
      <c r="F1217" s="516" t="s">
        <v>366</v>
      </c>
      <c r="G1217" s="53">
        <f t="shared" ref="G1217:O1217" si="882">SUM(G1207:G1216)</f>
        <v>25077500</v>
      </c>
      <c r="H1217" s="179">
        <f>IF(E1217=G1217,0,IF(E1217=0,100,(G1217-E1217)/E1217*100))</f>
        <v>100</v>
      </c>
      <c r="I1217" s="53">
        <f t="shared" si="882"/>
        <v>27395800</v>
      </c>
      <c r="J1217" s="53">
        <f t="shared" si="882"/>
        <v>28752300</v>
      </c>
      <c r="K1217" s="53">
        <f t="shared" si="882"/>
        <v>30518700</v>
      </c>
      <c r="L1217" s="53">
        <f t="shared" si="882"/>
        <v>31084900</v>
      </c>
      <c r="M1217" s="53">
        <f t="shared" si="882"/>
        <v>32263700</v>
      </c>
      <c r="N1217" s="53">
        <f t="shared" si="882"/>
        <v>33203300</v>
      </c>
      <c r="O1217" s="53">
        <f t="shared" si="882"/>
        <v>34207100</v>
      </c>
      <c r="P1217" s="53">
        <f t="shared" ref="P1217:Q1217" si="883">SUM(P1207:P1216)</f>
        <v>34717100</v>
      </c>
      <c r="Q1217" s="53">
        <f t="shared" si="883"/>
        <v>35958900</v>
      </c>
      <c r="R1217" s="113">
        <f t="shared" ref="R1217" si="884">SUM(R1207:R1216)</f>
        <v>36922600</v>
      </c>
    </row>
    <row r="1218" spans="1:18" x14ac:dyDescent="0.2">
      <c r="A1218" s="70"/>
      <c r="B1218" s="64"/>
      <c r="C1218" s="64"/>
      <c r="D1218" s="64"/>
      <c r="E1218" s="252"/>
      <c r="F1218" s="516"/>
      <c r="G1218" s="64"/>
      <c r="H1218" s="179"/>
      <c r="I1218" s="64"/>
      <c r="J1218" s="64"/>
      <c r="K1218" s="64"/>
      <c r="L1218" s="64"/>
      <c r="M1218" s="64"/>
      <c r="N1218" s="64"/>
      <c r="O1218" s="64"/>
      <c r="P1218" s="64"/>
      <c r="Q1218" s="64"/>
      <c r="R1218" s="115"/>
    </row>
    <row r="1219" spans="1:18" x14ac:dyDescent="0.2">
      <c r="A1219" s="70">
        <f>A1201</f>
        <v>23787900</v>
      </c>
      <c r="B1219" s="64">
        <f>B1201</f>
        <v>20588000</v>
      </c>
      <c r="C1219" s="64">
        <f>C1201</f>
        <v>23389600</v>
      </c>
      <c r="D1219" s="64">
        <f>D1201</f>
        <v>24847100</v>
      </c>
      <c r="E1219" s="252"/>
      <c r="F1219" s="516" t="s">
        <v>2806</v>
      </c>
      <c r="G1219" s="64">
        <f>G1201</f>
        <v>26101500</v>
      </c>
      <c r="H1219" s="179"/>
      <c r="I1219" s="64">
        <f t="shared" ref="I1219:Q1219" si="885">I1201</f>
        <v>28506000</v>
      </c>
      <c r="J1219" s="64">
        <f t="shared" si="885"/>
        <v>29895800</v>
      </c>
      <c r="K1219" s="64">
        <f t="shared" si="885"/>
        <v>31696500</v>
      </c>
      <c r="L1219" s="64">
        <f t="shared" si="885"/>
        <v>32286300</v>
      </c>
      <c r="M1219" s="64">
        <f t="shared" si="885"/>
        <v>33489300</v>
      </c>
      <c r="N1219" s="64">
        <f t="shared" si="885"/>
        <v>34453600</v>
      </c>
      <c r="O1219" s="64">
        <f t="shared" si="885"/>
        <v>35482500</v>
      </c>
      <c r="P1219" s="64">
        <f t="shared" si="885"/>
        <v>36018100</v>
      </c>
      <c r="Q1219" s="64">
        <f t="shared" si="885"/>
        <v>37286100</v>
      </c>
      <c r="R1219" s="115">
        <f t="shared" ref="R1219" si="886">R1201</f>
        <v>38276400</v>
      </c>
    </row>
    <row r="1220" spans="1:18" x14ac:dyDescent="0.2">
      <c r="A1220" s="70"/>
      <c r="B1220" s="64"/>
      <c r="C1220" s="64"/>
      <c r="D1220" s="64"/>
      <c r="E1220" s="252"/>
      <c r="F1220" s="516"/>
      <c r="G1220" s="64"/>
      <c r="H1220" s="179"/>
      <c r="I1220" s="64"/>
      <c r="J1220" s="64"/>
      <c r="K1220" s="64"/>
      <c r="L1220" s="64"/>
      <c r="M1220" s="64"/>
      <c r="N1220" s="64"/>
      <c r="O1220" s="64"/>
      <c r="P1220" s="64"/>
      <c r="Q1220" s="64"/>
      <c r="R1220" s="115"/>
    </row>
    <row r="1221" spans="1:18" x14ac:dyDescent="0.2">
      <c r="A1221" s="70">
        <f>-(A1174+A1058+A1000)</f>
        <v>-998800</v>
      </c>
      <c r="B1221" s="64">
        <f>-(B1174+B1058+B1000)</f>
        <v>-1384100</v>
      </c>
      <c r="C1221" s="64">
        <f>-(C1174+C1058+C1000)</f>
        <v>-879400</v>
      </c>
      <c r="D1221" s="64">
        <f>-(D1174+D1058+D1000)</f>
        <v>-942200</v>
      </c>
      <c r="E1221" s="252"/>
      <c r="F1221" s="516" t="s">
        <v>2070</v>
      </c>
      <c r="G1221" s="64">
        <f>-(G1174+G1058+G1000)</f>
        <v>-1024000</v>
      </c>
      <c r="H1221" s="179"/>
      <c r="I1221" s="64">
        <f t="shared" ref="I1221:Q1221" si="887">-(I1174+I1058+I1000)</f>
        <v>-1110200</v>
      </c>
      <c r="J1221" s="64">
        <f t="shared" si="887"/>
        <v>-1143500</v>
      </c>
      <c r="K1221" s="64">
        <f t="shared" si="887"/>
        <v>-1177800</v>
      </c>
      <c r="L1221" s="64">
        <f t="shared" si="887"/>
        <v>-1201400</v>
      </c>
      <c r="M1221" s="64">
        <f t="shared" si="887"/>
        <v>-1225600</v>
      </c>
      <c r="N1221" s="64">
        <f t="shared" si="887"/>
        <v>-1250300</v>
      </c>
      <c r="O1221" s="64">
        <f t="shared" si="887"/>
        <v>-1275400</v>
      </c>
      <c r="P1221" s="64">
        <f t="shared" si="887"/>
        <v>-1301000</v>
      </c>
      <c r="Q1221" s="64">
        <f t="shared" si="887"/>
        <v>-1327200</v>
      </c>
      <c r="R1221" s="115">
        <f t="shared" ref="R1221" si="888">-(R1174+R1058+R1000)</f>
        <v>-1353800</v>
      </c>
    </row>
    <row r="1222" spans="1:18" x14ac:dyDescent="0.2">
      <c r="A1222" s="70">
        <f>-A630</f>
        <v>414000</v>
      </c>
      <c r="B1222" s="64">
        <f>-B630</f>
        <v>333000</v>
      </c>
      <c r="C1222" s="64">
        <f>-C630</f>
        <v>-30000</v>
      </c>
      <c r="D1222" s="64">
        <f>-D630</f>
        <v>-163000</v>
      </c>
      <c r="E1222" s="252"/>
      <c r="F1222" s="1352" t="s">
        <v>5398</v>
      </c>
      <c r="G1222" s="64">
        <f>-G630</f>
        <v>0</v>
      </c>
      <c r="H1222" s="179"/>
      <c r="I1222" s="64">
        <f t="shared" ref="I1222:R1222" si="889">-I630</f>
        <v>0</v>
      </c>
      <c r="J1222" s="64">
        <f t="shared" si="889"/>
        <v>0</v>
      </c>
      <c r="K1222" s="64">
        <f t="shared" si="889"/>
        <v>0</v>
      </c>
      <c r="L1222" s="64">
        <f t="shared" si="889"/>
        <v>0</v>
      </c>
      <c r="M1222" s="64">
        <f t="shared" si="889"/>
        <v>0</v>
      </c>
      <c r="N1222" s="64">
        <f t="shared" si="889"/>
        <v>0</v>
      </c>
      <c r="O1222" s="64">
        <f t="shared" si="889"/>
        <v>0</v>
      </c>
      <c r="P1222" s="64">
        <f t="shared" si="889"/>
        <v>0</v>
      </c>
      <c r="Q1222" s="64">
        <f t="shared" si="889"/>
        <v>0</v>
      </c>
      <c r="R1222" s="115">
        <f t="shared" si="889"/>
        <v>0</v>
      </c>
    </row>
    <row r="1223" spans="1:18" x14ac:dyDescent="0.2">
      <c r="A1223" s="70">
        <f>-A1175</f>
        <v>0</v>
      </c>
      <c r="B1223" s="64">
        <f>-B1175</f>
        <v>-2075400</v>
      </c>
      <c r="C1223" s="64">
        <f>-C1175</f>
        <v>0</v>
      </c>
      <c r="D1223" s="64">
        <f>-D1175</f>
        <v>0</v>
      </c>
      <c r="E1223" s="252"/>
      <c r="F1223" s="1352" t="s">
        <v>4542</v>
      </c>
      <c r="G1223" s="64">
        <f>-G1175</f>
        <v>0</v>
      </c>
      <c r="H1223" s="179"/>
      <c r="I1223" s="64">
        <f t="shared" ref="I1223:Q1223" si="890">-I1175</f>
        <v>0</v>
      </c>
      <c r="J1223" s="64">
        <f t="shared" si="890"/>
        <v>0</v>
      </c>
      <c r="K1223" s="64">
        <f t="shared" si="890"/>
        <v>0</v>
      </c>
      <c r="L1223" s="64">
        <f t="shared" si="890"/>
        <v>0</v>
      </c>
      <c r="M1223" s="64">
        <f t="shared" si="890"/>
        <v>0</v>
      </c>
      <c r="N1223" s="64">
        <f t="shared" si="890"/>
        <v>0</v>
      </c>
      <c r="O1223" s="64">
        <f t="shared" si="890"/>
        <v>0</v>
      </c>
      <c r="P1223" s="64">
        <f t="shared" si="890"/>
        <v>0</v>
      </c>
      <c r="Q1223" s="64">
        <f t="shared" si="890"/>
        <v>0</v>
      </c>
      <c r="R1223" s="115">
        <f t="shared" ref="R1223" si="891">-R1175</f>
        <v>0</v>
      </c>
    </row>
    <row r="1224" spans="1:18" x14ac:dyDescent="0.2">
      <c r="A1224" s="70">
        <f>-A396</f>
        <v>0</v>
      </c>
      <c r="B1224" s="64">
        <f>-B396</f>
        <v>0</v>
      </c>
      <c r="C1224" s="64">
        <f>-C396</f>
        <v>460100</v>
      </c>
      <c r="D1224" s="64">
        <f>-D396</f>
        <v>0</v>
      </c>
      <c r="E1224" s="252"/>
      <c r="F1224" s="1352" t="s">
        <v>5435</v>
      </c>
      <c r="G1224" s="64">
        <f>-G396</f>
        <v>0</v>
      </c>
      <c r="H1224" s="179"/>
      <c r="I1224" s="64">
        <f t="shared" ref="I1224:R1224" si="892">-I396</f>
        <v>0</v>
      </c>
      <c r="J1224" s="64">
        <f t="shared" si="892"/>
        <v>0</v>
      </c>
      <c r="K1224" s="64">
        <f t="shared" si="892"/>
        <v>0</v>
      </c>
      <c r="L1224" s="64">
        <f t="shared" si="892"/>
        <v>0</v>
      </c>
      <c r="M1224" s="64">
        <f t="shared" si="892"/>
        <v>0</v>
      </c>
      <c r="N1224" s="64">
        <f t="shared" si="892"/>
        <v>0</v>
      </c>
      <c r="O1224" s="64">
        <f t="shared" si="892"/>
        <v>0</v>
      </c>
      <c r="P1224" s="64">
        <f t="shared" si="892"/>
        <v>0</v>
      </c>
      <c r="Q1224" s="64">
        <f t="shared" si="892"/>
        <v>0</v>
      </c>
      <c r="R1224" s="115">
        <f t="shared" si="892"/>
        <v>0</v>
      </c>
    </row>
    <row r="1225" spans="1:18" x14ac:dyDescent="0.2">
      <c r="A1225" s="70">
        <f>-A1002</f>
        <v>164700</v>
      </c>
      <c r="B1225" s="64">
        <f>-B1002</f>
        <v>289900</v>
      </c>
      <c r="C1225" s="64">
        <f>-C1002</f>
        <v>725700</v>
      </c>
      <c r="D1225" s="64">
        <f>-D1002</f>
        <v>-319800</v>
      </c>
      <c r="E1225" s="252"/>
      <c r="F1225" s="1352" t="s">
        <v>5410</v>
      </c>
      <c r="G1225" s="64">
        <f>-G1002</f>
        <v>0</v>
      </c>
      <c r="H1225" s="179"/>
      <c r="I1225" s="64">
        <f t="shared" ref="I1225:Q1225" si="893">-I1002</f>
        <v>0</v>
      </c>
      <c r="J1225" s="64">
        <f t="shared" si="893"/>
        <v>0</v>
      </c>
      <c r="K1225" s="64">
        <f t="shared" si="893"/>
        <v>0</v>
      </c>
      <c r="L1225" s="64">
        <f t="shared" si="893"/>
        <v>0</v>
      </c>
      <c r="M1225" s="64">
        <f t="shared" si="893"/>
        <v>0</v>
      </c>
      <c r="N1225" s="64">
        <f t="shared" si="893"/>
        <v>0</v>
      </c>
      <c r="O1225" s="64">
        <f t="shared" si="893"/>
        <v>0</v>
      </c>
      <c r="P1225" s="64">
        <f t="shared" si="893"/>
        <v>0</v>
      </c>
      <c r="Q1225" s="64">
        <f t="shared" si="893"/>
        <v>0</v>
      </c>
      <c r="R1225" s="115">
        <f t="shared" ref="R1225" si="894">-R1002</f>
        <v>0</v>
      </c>
    </row>
    <row r="1226" spans="1:18" x14ac:dyDescent="0.2">
      <c r="A1226" s="70"/>
      <c r="B1226" s="64"/>
      <c r="C1226" s="64"/>
      <c r="D1226" s="64"/>
      <c r="E1226" s="252"/>
      <c r="F1226" s="516"/>
      <c r="G1226" s="64"/>
      <c r="H1226" s="179"/>
      <c r="I1226" s="64"/>
      <c r="J1226" s="64"/>
      <c r="K1226" s="64"/>
      <c r="L1226" s="64"/>
      <c r="M1226" s="64"/>
      <c r="N1226" s="64"/>
      <c r="O1226" s="64"/>
      <c r="P1226" s="64"/>
      <c r="Q1226" s="64"/>
      <c r="R1226" s="115"/>
    </row>
    <row r="1227" spans="1:18" x14ac:dyDescent="0.2">
      <c r="A1227" s="70">
        <f>ROUND(SUM(A1219:A1226)-A1217,-3)</f>
        <v>0</v>
      </c>
      <c r="B1227" s="64">
        <f t="shared" ref="B1227" si="895">SUM(B1219:B1226)-B1217</f>
        <v>0</v>
      </c>
      <c r="C1227" s="64">
        <f t="shared" ref="C1227" si="896">SUM(C1219:C1226)-C1217</f>
        <v>0</v>
      </c>
      <c r="D1227" s="64">
        <f t="shared" ref="D1227" si="897">SUM(D1219:D1226)-D1217</f>
        <v>0</v>
      </c>
      <c r="E1227" s="252"/>
      <c r="F1227" s="516" t="s">
        <v>1763</v>
      </c>
      <c r="G1227" s="64">
        <f t="shared" ref="G1227" si="898">SUM(G1219:G1226)-G1217</f>
        <v>0</v>
      </c>
      <c r="H1227" s="179"/>
      <c r="I1227" s="64">
        <f t="shared" ref="I1227" si="899">SUM(I1219:I1226)-I1217</f>
        <v>0</v>
      </c>
      <c r="J1227" s="64">
        <f t="shared" ref="J1227" si="900">SUM(J1219:J1226)-J1217</f>
        <v>0</v>
      </c>
      <c r="K1227" s="64">
        <f t="shared" ref="K1227" si="901">SUM(K1219:K1226)-K1217</f>
        <v>0</v>
      </c>
      <c r="L1227" s="64">
        <f t="shared" ref="L1227" si="902">SUM(L1219:L1226)-L1217</f>
        <v>0</v>
      </c>
      <c r="M1227" s="64">
        <f t="shared" ref="M1227" si="903">SUM(M1219:M1226)-M1217</f>
        <v>0</v>
      </c>
      <c r="N1227" s="64">
        <f t="shared" ref="N1227" si="904">SUM(N1219:N1226)-N1217</f>
        <v>0</v>
      </c>
      <c r="O1227" s="64">
        <f t="shared" ref="O1227" si="905">SUM(O1219:O1226)-O1217</f>
        <v>0</v>
      </c>
      <c r="P1227" s="64">
        <f t="shared" ref="P1227:Q1227" si="906">SUM(P1219:P1226)-P1217</f>
        <v>0</v>
      </c>
      <c r="Q1227" s="64">
        <f t="shared" si="906"/>
        <v>0</v>
      </c>
      <c r="R1227" s="115">
        <f t="shared" ref="R1227" si="907">SUM(R1219:R1226)-R1217</f>
        <v>0</v>
      </c>
    </row>
    <row r="1228" spans="1:18" ht="13.5" thickBot="1" x14ac:dyDescent="0.25">
      <c r="A1228" s="73"/>
      <c r="B1228" s="90"/>
      <c r="C1228" s="90"/>
      <c r="D1228" s="90"/>
      <c r="E1228" s="285"/>
      <c r="F1228" s="368"/>
      <c r="G1228" s="66"/>
      <c r="H1228" s="392"/>
      <c r="I1228" s="66"/>
      <c r="J1228" s="66"/>
      <c r="K1228" s="66"/>
      <c r="L1228" s="66"/>
      <c r="M1228" s="66"/>
      <c r="N1228" s="66"/>
      <c r="O1228" s="66"/>
      <c r="P1228" s="66"/>
      <c r="Q1228" s="66"/>
      <c r="R1228" s="165"/>
    </row>
    <row r="1229" spans="1:18" ht="13.5" thickTop="1" x14ac:dyDescent="0.2"/>
    <row r="1233" spans="1:1" x14ac:dyDescent="0.2">
      <c r="A1233" s="475"/>
    </row>
    <row r="1234" spans="1:1" x14ac:dyDescent="0.2">
      <c r="A1234" s="475"/>
    </row>
    <row r="1235" spans="1:1" x14ac:dyDescent="0.2">
      <c r="A1235" s="475"/>
    </row>
    <row r="1236" spans="1:1" x14ac:dyDescent="0.2">
      <c r="A1236" s="99"/>
    </row>
    <row r="1237" spans="1:1" x14ac:dyDescent="0.2">
      <c r="A1237" s="99"/>
    </row>
    <row r="1238" spans="1:1" x14ac:dyDescent="0.2">
      <c r="A1238" s="99"/>
    </row>
    <row r="1239" spans="1:1" x14ac:dyDescent="0.2">
      <c r="A1239" s="99"/>
    </row>
    <row r="1240" spans="1:1" x14ac:dyDescent="0.2">
      <c r="A1240" s="99"/>
    </row>
  </sheetData>
  <mergeCells count="67">
    <mergeCell ref="G339:R339"/>
    <mergeCell ref="A412:R412"/>
    <mergeCell ref="A593:D593"/>
    <mergeCell ref="A646:D646"/>
    <mergeCell ref="A717:D717"/>
    <mergeCell ref="A339:D339"/>
    <mergeCell ref="A413:D413"/>
    <mergeCell ref="A476:D476"/>
    <mergeCell ref="G413:R413"/>
    <mergeCell ref="A475:R475"/>
    <mergeCell ref="G476:R476"/>
    <mergeCell ref="A541:R541"/>
    <mergeCell ref="G542:R542"/>
    <mergeCell ref="A542:D542"/>
    <mergeCell ref="A243:R243"/>
    <mergeCell ref="G244:R244"/>
    <mergeCell ref="A283:R283"/>
    <mergeCell ref="G284:R284"/>
    <mergeCell ref="A338:R338"/>
    <mergeCell ref="A244:D244"/>
    <mergeCell ref="A284:D284"/>
    <mergeCell ref="A774:D774"/>
    <mergeCell ref="A592:R592"/>
    <mergeCell ref="G593:R593"/>
    <mergeCell ref="A645:R645"/>
    <mergeCell ref="G646:R646"/>
    <mergeCell ref="A716:R716"/>
    <mergeCell ref="G717:R717"/>
    <mergeCell ref="A773:R773"/>
    <mergeCell ref="G774:R774"/>
    <mergeCell ref="G2:R2"/>
    <mergeCell ref="A1:R1"/>
    <mergeCell ref="A60:R60"/>
    <mergeCell ref="G61:R61"/>
    <mergeCell ref="A113:R113"/>
    <mergeCell ref="A2:D2"/>
    <mergeCell ref="A61:D61"/>
    <mergeCell ref="G114:R114"/>
    <mergeCell ref="A153:R153"/>
    <mergeCell ref="G154:R154"/>
    <mergeCell ref="A198:R198"/>
    <mergeCell ref="G199:R199"/>
    <mergeCell ref="A114:D114"/>
    <mergeCell ref="A154:D154"/>
    <mergeCell ref="A199:D199"/>
    <mergeCell ref="A831:R831"/>
    <mergeCell ref="G832:R832"/>
    <mergeCell ref="A832:D832"/>
    <mergeCell ref="G872:R872"/>
    <mergeCell ref="A940:R940"/>
    <mergeCell ref="A871:R871"/>
    <mergeCell ref="G941:R941"/>
    <mergeCell ref="A1013:R1013"/>
    <mergeCell ref="G1014:R1014"/>
    <mergeCell ref="A872:D872"/>
    <mergeCell ref="A941:D941"/>
    <mergeCell ref="A1014:D1014"/>
    <mergeCell ref="G1205:R1205"/>
    <mergeCell ref="A1072:R1072"/>
    <mergeCell ref="G1073:R1073"/>
    <mergeCell ref="A1119:R1119"/>
    <mergeCell ref="G1120:R1120"/>
    <mergeCell ref="G1189:R1189"/>
    <mergeCell ref="A1073:D1073"/>
    <mergeCell ref="A1189:D1189"/>
    <mergeCell ref="A1205:D1205"/>
    <mergeCell ref="A1120:D1120"/>
  </mergeCells>
  <phoneticPr fontId="9" type="noConversion"/>
  <printOptions horizontalCentered="1"/>
  <pageMargins left="0.19685039370078741" right="0.19685039370078741" top="0.19685039370078741" bottom="0.19685039370078741" header="0.39370078740157483" footer="0.39370078740157483"/>
  <pageSetup paperSize="9" scale="60" orientation="landscape" r:id="rId1"/>
  <headerFooter alignWithMargins="0"/>
  <rowBreaks count="21" manualBreakCount="21">
    <brk id="58" max="16383" man="1"/>
    <brk id="112" max="16383" man="1"/>
    <brk id="151" max="16383" man="1"/>
    <brk id="196" max="16383" man="1"/>
    <brk id="241" max="16383" man="1"/>
    <brk id="281" max="16383" man="1"/>
    <brk id="337" max="16383" man="1"/>
    <brk id="410" max="16383" man="1"/>
    <brk id="473" max="16383" man="1"/>
    <brk id="539" max="16383" man="1"/>
    <brk id="591" max="16383" man="1"/>
    <brk id="644" max="16383" man="1"/>
    <brk id="714" max="16383" man="1"/>
    <brk id="772" max="16383" man="1"/>
    <brk id="830" max="16383" man="1"/>
    <brk id="870" max="16383" man="1"/>
    <brk id="939" max="16383" man="1"/>
    <brk id="1011" max="16383" man="1"/>
    <brk id="1071" max="16383" man="1"/>
    <brk id="1117" max="16383" man="1"/>
    <brk id="1187"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R610"/>
  <sheetViews>
    <sheetView showGridLines="0" topLeftCell="A115" workbookViewId="0">
      <selection activeCell="F137" sqref="F137"/>
    </sheetView>
  </sheetViews>
  <sheetFormatPr defaultColWidth="9.140625" defaultRowHeight="12.75" x14ac:dyDescent="0.2"/>
  <cols>
    <col min="1" max="1" width="10.28515625" style="99" customWidth="1"/>
    <col min="2" max="2" width="10.28515625" style="99" bestFit="1" customWidth="1"/>
    <col min="3" max="3" width="11.28515625" style="198" bestFit="1" customWidth="1"/>
    <col min="4" max="4" width="10.28515625" style="198" bestFit="1" customWidth="1"/>
    <col min="5" max="5" width="15.28515625" style="99" customWidth="1"/>
    <col min="6" max="6" width="39.5703125" style="99" customWidth="1"/>
    <col min="7" max="7" width="10.140625" style="198" bestFit="1" customWidth="1"/>
    <col min="8" max="8" width="6.140625" style="99" bestFit="1" customWidth="1"/>
    <col min="9" max="9" width="10.140625" style="99" bestFit="1" customWidth="1"/>
    <col min="10" max="10" width="11.28515625" style="99" customWidth="1"/>
    <col min="11" max="18" width="10.140625" style="99" bestFit="1" customWidth="1"/>
    <col min="19" max="19" width="10.7109375" style="99" customWidth="1"/>
    <col min="20" max="16384" width="9.140625" style="99"/>
  </cols>
  <sheetData>
    <row r="1" spans="1:18" s="84" customFormat="1" ht="19.5" thickTop="1" thickBot="1" x14ac:dyDescent="0.3">
      <c r="A1" s="2906" t="s">
        <v>3128</v>
      </c>
      <c r="B1" s="2907"/>
      <c r="C1" s="2907"/>
      <c r="D1" s="2907"/>
      <c r="E1" s="2907"/>
      <c r="F1" s="2907"/>
      <c r="G1" s="2907"/>
      <c r="H1" s="2907"/>
      <c r="I1" s="2907"/>
      <c r="J1" s="2907"/>
      <c r="K1" s="2907"/>
      <c r="L1" s="2907"/>
      <c r="M1" s="2907"/>
      <c r="N1" s="2907"/>
      <c r="O1" s="2907"/>
      <c r="P1" s="2907"/>
      <c r="Q1" s="2907"/>
      <c r="R1" s="2908"/>
    </row>
    <row r="2" spans="1:18" s="92" customFormat="1" x14ac:dyDescent="0.2">
      <c r="A2" s="2888" t="s">
        <v>1856</v>
      </c>
      <c r="B2" s="2889"/>
      <c r="C2" s="2889"/>
      <c r="D2" s="2890"/>
      <c r="E2" s="1966" t="s">
        <v>2251</v>
      </c>
      <c r="F2" s="2501"/>
      <c r="G2" s="2885" t="s">
        <v>2253</v>
      </c>
      <c r="H2" s="2886"/>
      <c r="I2" s="2886"/>
      <c r="J2" s="2886"/>
      <c r="K2" s="2886"/>
      <c r="L2" s="2886"/>
      <c r="M2" s="2886"/>
      <c r="N2" s="2886"/>
      <c r="O2" s="2886"/>
      <c r="P2" s="2886"/>
      <c r="Q2" s="2886"/>
      <c r="R2" s="2887"/>
    </row>
    <row r="3" spans="1:18" s="84" customFormat="1" ht="13.5" thickBot="1" x14ac:dyDescent="0.25">
      <c r="A3" s="1735" t="str">
        <f>SP!A3</f>
        <v>2012/13</v>
      </c>
      <c r="B3" s="218" t="str">
        <f>DEH!B3</f>
        <v>2013/14</v>
      </c>
      <c r="C3" s="370" t="str">
        <f>DEH!C3</f>
        <v>2014/15</v>
      </c>
      <c r="D3" s="93" t="str">
        <f>DEH!D3</f>
        <v>2015/16</v>
      </c>
      <c r="E3" s="272"/>
      <c r="F3" s="94"/>
      <c r="G3" s="93" t="str">
        <f>DEH!G3</f>
        <v>2016/17</v>
      </c>
      <c r="H3" s="2095" t="s">
        <v>501</v>
      </c>
      <c r="I3" s="370" t="str">
        <f>DEH!I3</f>
        <v>2017/18</v>
      </c>
      <c r="J3" s="370" t="str">
        <f>DEH!J3</f>
        <v>2018/19</v>
      </c>
      <c r="K3" s="370" t="str">
        <f>DEH!K3</f>
        <v>2019/20</v>
      </c>
      <c r="L3" s="370" t="str">
        <f>DEH!L3</f>
        <v>2020/21</v>
      </c>
      <c r="M3" s="370" t="str">
        <f>DEH!M3</f>
        <v>2021/22</v>
      </c>
      <c r="N3" s="370" t="str">
        <f>DEH!N3</f>
        <v>2022/23</v>
      </c>
      <c r="O3" s="370" t="str">
        <f>DEH!O3</f>
        <v>2023/24</v>
      </c>
      <c r="P3" s="370" t="str">
        <f>DEH!P3</f>
        <v>2024/25</v>
      </c>
      <c r="Q3" s="218" t="str">
        <f>DEH!Q3</f>
        <v>2025/26</v>
      </c>
      <c r="R3" s="549" t="str">
        <f>DEH!R3</f>
        <v>2026/27</v>
      </c>
    </row>
    <row r="4" spans="1:18" s="84" customFormat="1" x14ac:dyDescent="0.2">
      <c r="A4" s="2494"/>
      <c r="B4" s="33"/>
      <c r="C4" s="187"/>
      <c r="D4" s="187"/>
      <c r="E4" s="74"/>
      <c r="F4" s="74"/>
      <c r="G4" s="187"/>
      <c r="H4" s="33"/>
      <c r="I4" s="33"/>
      <c r="J4" s="33"/>
      <c r="K4" s="33"/>
      <c r="L4" s="33"/>
      <c r="M4" s="33"/>
      <c r="N4" s="33"/>
      <c r="O4" s="33"/>
      <c r="P4" s="33"/>
      <c r="Q4" s="33"/>
      <c r="R4" s="114"/>
    </row>
    <row r="5" spans="1:18" s="84" customFormat="1" x14ac:dyDescent="0.2">
      <c r="A5" s="107"/>
      <c r="B5" s="33"/>
      <c r="C5" s="187"/>
      <c r="D5" s="187"/>
      <c r="E5" s="144" t="s">
        <v>1073</v>
      </c>
      <c r="F5" s="74"/>
      <c r="G5" s="187"/>
      <c r="H5" s="138"/>
      <c r="I5" s="33"/>
      <c r="J5" s="33"/>
      <c r="K5" s="33"/>
      <c r="L5" s="33"/>
      <c r="M5" s="33"/>
      <c r="N5" s="33"/>
      <c r="O5" s="33"/>
      <c r="P5" s="33"/>
      <c r="Q5" s="33"/>
      <c r="R5" s="114"/>
    </row>
    <row r="6" spans="1:18" s="84" customFormat="1" x14ac:dyDescent="0.2">
      <c r="A6" s="107"/>
      <c r="B6" s="33"/>
      <c r="C6" s="187"/>
      <c r="D6" s="187"/>
      <c r="E6" s="74"/>
      <c r="F6" s="74"/>
      <c r="G6" s="187"/>
      <c r="H6" s="138"/>
      <c r="I6" s="33"/>
      <c r="J6" s="33"/>
      <c r="K6" s="33"/>
      <c r="L6" s="33"/>
      <c r="M6" s="33"/>
      <c r="N6" s="33"/>
      <c r="O6" s="33"/>
      <c r="P6" s="33"/>
      <c r="Q6" s="33"/>
      <c r="R6" s="114"/>
    </row>
    <row r="7" spans="1:18" s="84" customFormat="1" x14ac:dyDescent="0.2">
      <c r="A7" s="107">
        <f t="shared" ref="A7:D8" si="0">A594</f>
        <v>9633500</v>
      </c>
      <c r="B7" s="33">
        <f t="shared" si="0"/>
        <v>10689100</v>
      </c>
      <c r="C7" s="187">
        <f t="shared" si="0"/>
        <v>10892500</v>
      </c>
      <c r="D7" s="187">
        <f t="shared" si="0"/>
        <v>11199100</v>
      </c>
      <c r="E7" s="78" t="s">
        <v>2516</v>
      </c>
      <c r="F7" s="99"/>
      <c r="G7" s="187">
        <f t="shared" ref="G7:M7" si="1">G594</f>
        <v>11913600</v>
      </c>
      <c r="H7" s="138">
        <f>IF(D7=G7,0,IF(D7=0,100,(G7-D7)/D7*100))</f>
        <v>6.3799769624344815</v>
      </c>
      <c r="I7" s="33">
        <f t="shared" si="1"/>
        <v>12154300</v>
      </c>
      <c r="J7" s="33">
        <f t="shared" si="1"/>
        <v>12435300</v>
      </c>
      <c r="K7" s="33">
        <f t="shared" si="1"/>
        <v>12705200</v>
      </c>
      <c r="L7" s="33">
        <f t="shared" si="1"/>
        <v>13171700</v>
      </c>
      <c r="M7" s="33">
        <f t="shared" si="1"/>
        <v>13706300</v>
      </c>
      <c r="N7" s="33">
        <f t="shared" ref="N7:P8" si="2">N594</f>
        <v>14146300</v>
      </c>
      <c r="O7" s="33">
        <f t="shared" si="2"/>
        <v>14654900</v>
      </c>
      <c r="P7" s="33">
        <f t="shared" si="2"/>
        <v>15212700</v>
      </c>
      <c r="Q7" s="33">
        <f t="shared" ref="Q7" si="3">Q594</f>
        <v>15802300</v>
      </c>
      <c r="R7" s="114">
        <f t="shared" ref="R7" si="4">R594</f>
        <v>16499100</v>
      </c>
    </row>
    <row r="8" spans="1:18" s="84" customFormat="1" x14ac:dyDescent="0.2">
      <c r="A8" s="107">
        <f t="shared" si="0"/>
        <v>13786600</v>
      </c>
      <c r="B8" s="33">
        <f t="shared" si="0"/>
        <v>14462800</v>
      </c>
      <c r="C8" s="187">
        <f t="shared" si="0"/>
        <v>15355900</v>
      </c>
      <c r="D8" s="187">
        <f t="shared" si="0"/>
        <v>16363900</v>
      </c>
      <c r="E8" s="78" t="s">
        <v>3098</v>
      </c>
      <c r="F8" s="99"/>
      <c r="G8" s="187">
        <f t="shared" ref="G8:M8" si="5">G595</f>
        <v>17705900</v>
      </c>
      <c r="H8" s="138">
        <f>IF(D8=G8,0,IF(D8=0,100,(G8-D8)/D8*100))</f>
        <v>8.2009789842274756</v>
      </c>
      <c r="I8" s="33">
        <f t="shared" si="5"/>
        <v>18138500</v>
      </c>
      <c r="J8" s="33">
        <f t="shared" si="5"/>
        <v>18603000</v>
      </c>
      <c r="K8" s="33">
        <f t="shared" si="5"/>
        <v>19115500</v>
      </c>
      <c r="L8" s="33">
        <f t="shared" si="5"/>
        <v>19843000</v>
      </c>
      <c r="M8" s="33">
        <f t="shared" si="5"/>
        <v>20400000</v>
      </c>
      <c r="N8" s="33">
        <f t="shared" si="2"/>
        <v>21021900</v>
      </c>
      <c r="O8" s="33">
        <f t="shared" si="2"/>
        <v>21627500</v>
      </c>
      <c r="P8" s="33">
        <f t="shared" si="2"/>
        <v>22327800</v>
      </c>
      <c r="Q8" s="33">
        <f t="shared" ref="Q8" si="6">Q595</f>
        <v>23121500</v>
      </c>
      <c r="R8" s="114">
        <f t="shared" ref="R8" si="7">R595</f>
        <v>23940600</v>
      </c>
    </row>
    <row r="9" spans="1:18" s="84" customFormat="1" ht="13.5" thickBot="1" x14ac:dyDescent="0.25">
      <c r="A9" s="107"/>
      <c r="B9" s="33"/>
      <c r="C9" s="189"/>
      <c r="D9" s="189"/>
      <c r="E9" s="99"/>
      <c r="F9" s="99"/>
      <c r="G9" s="187"/>
      <c r="H9" s="138"/>
      <c r="I9" s="33"/>
      <c r="J9" s="33"/>
      <c r="K9" s="33"/>
      <c r="L9" s="33"/>
      <c r="M9" s="33"/>
      <c r="N9" s="33"/>
      <c r="O9" s="33"/>
      <c r="P9" s="33"/>
      <c r="Q9" s="33"/>
      <c r="R9" s="114"/>
    </row>
    <row r="10" spans="1:18" s="92" customFormat="1" x14ac:dyDescent="0.2">
      <c r="A10" s="105">
        <f>SUM(A7:A9)</f>
        <v>23420100</v>
      </c>
      <c r="B10" s="53">
        <f>SUM(B7:B9)</f>
        <v>25151900</v>
      </c>
      <c r="C10" s="190">
        <f>SUM(C7:C9)</f>
        <v>26248400</v>
      </c>
      <c r="D10" s="190">
        <f>SUM(D7:D9)</f>
        <v>27563000</v>
      </c>
      <c r="E10" s="112" t="s">
        <v>2605</v>
      </c>
      <c r="F10" s="74"/>
      <c r="G10" s="199">
        <f t="shared" ref="G10:M10" si="8">SUM(G7:G9)</f>
        <v>29619500</v>
      </c>
      <c r="H10" s="180">
        <f>IF(D10=G10,0,IF(D10=0,100,(G10-D10)/D10*100))</f>
        <v>7.4610891412400679</v>
      </c>
      <c r="I10" s="53">
        <f t="shared" si="8"/>
        <v>30292800</v>
      </c>
      <c r="J10" s="53">
        <f t="shared" si="8"/>
        <v>31038300</v>
      </c>
      <c r="K10" s="53">
        <f t="shared" si="8"/>
        <v>31820700</v>
      </c>
      <c r="L10" s="53">
        <f t="shared" si="8"/>
        <v>33014700</v>
      </c>
      <c r="M10" s="53">
        <f t="shared" si="8"/>
        <v>34106300</v>
      </c>
      <c r="N10" s="53">
        <f>SUM(N7:N9)</f>
        <v>35168200</v>
      </c>
      <c r="O10" s="53">
        <f>SUM(O7:O9)</f>
        <v>36282400</v>
      </c>
      <c r="P10" s="53">
        <f>SUM(P7:P9)</f>
        <v>37540500</v>
      </c>
      <c r="Q10" s="53">
        <f>SUM(Q7:Q9)</f>
        <v>38923800</v>
      </c>
      <c r="R10" s="113">
        <f>SUM(R7:R9)</f>
        <v>40439700</v>
      </c>
    </row>
    <row r="11" spans="1:18" s="84" customFormat="1" x14ac:dyDescent="0.2">
      <c r="A11" s="107"/>
      <c r="B11" s="33"/>
      <c r="C11" s="189"/>
      <c r="D11" s="189"/>
      <c r="E11" s="99"/>
      <c r="F11" s="99"/>
      <c r="G11" s="187"/>
      <c r="H11" s="138"/>
      <c r="I11" s="33"/>
      <c r="J11" s="33"/>
      <c r="K11" s="33"/>
      <c r="L11" s="33"/>
      <c r="M11" s="33"/>
      <c r="N11" s="33"/>
      <c r="O11" s="33"/>
      <c r="P11" s="33"/>
      <c r="Q11" s="33"/>
      <c r="R11" s="114"/>
    </row>
    <row r="12" spans="1:18" s="84" customFormat="1" x14ac:dyDescent="0.2">
      <c r="A12" s="107"/>
      <c r="B12" s="33"/>
      <c r="C12" s="189"/>
      <c r="D12" s="189"/>
      <c r="E12" s="144" t="s">
        <v>2205</v>
      </c>
      <c r="F12" s="99"/>
      <c r="G12" s="187"/>
      <c r="H12" s="138"/>
      <c r="I12" s="33"/>
      <c r="J12" s="33"/>
      <c r="K12" s="33"/>
      <c r="L12" s="33"/>
      <c r="M12" s="33"/>
      <c r="N12" s="33"/>
      <c r="O12" s="33"/>
      <c r="P12" s="33"/>
      <c r="Q12" s="33"/>
      <c r="R12" s="114"/>
    </row>
    <row r="13" spans="1:18" s="84" customFormat="1" x14ac:dyDescent="0.2">
      <c r="A13" s="107"/>
      <c r="B13" s="33"/>
      <c r="C13" s="187"/>
      <c r="D13" s="187"/>
      <c r="E13" s="74"/>
      <c r="F13" s="74"/>
      <c r="G13" s="187"/>
      <c r="H13" s="138"/>
      <c r="I13" s="33"/>
      <c r="J13" s="33"/>
      <c r="K13" s="33"/>
      <c r="L13" s="33"/>
      <c r="M13" s="33"/>
      <c r="N13" s="33"/>
      <c r="O13" s="33"/>
      <c r="P13" s="33"/>
      <c r="Q13" s="33"/>
      <c r="R13" s="114"/>
    </row>
    <row r="14" spans="1:18" s="84" customFormat="1" x14ac:dyDescent="0.2">
      <c r="A14" s="107">
        <f>A81</f>
        <v>10923600</v>
      </c>
      <c r="B14" s="33">
        <f>B81</f>
        <v>11111600</v>
      </c>
      <c r="C14" s="187">
        <f>C81</f>
        <v>10817000</v>
      </c>
      <c r="D14" s="187">
        <f>D81</f>
        <v>10849900</v>
      </c>
      <c r="E14" s="78" t="s">
        <v>2516</v>
      </c>
      <c r="F14" s="99"/>
      <c r="G14" s="187">
        <f t="shared" ref="G14:M14" si="9">G81</f>
        <v>11269600</v>
      </c>
      <c r="H14" s="138">
        <f>IF(D14=G14,0,IF(D14=0,100,(G14-D14)/D14*100))</f>
        <v>3.8682384169439352</v>
      </c>
      <c r="I14" s="33">
        <f t="shared" si="9"/>
        <v>11190400</v>
      </c>
      <c r="J14" s="33">
        <f t="shared" si="9"/>
        <v>11506300</v>
      </c>
      <c r="K14" s="33">
        <f t="shared" si="9"/>
        <v>11749400</v>
      </c>
      <c r="L14" s="33">
        <f t="shared" si="9"/>
        <v>12039500</v>
      </c>
      <c r="M14" s="33">
        <f t="shared" si="9"/>
        <v>12348400</v>
      </c>
      <c r="N14" s="33">
        <f>N81</f>
        <v>12715100</v>
      </c>
      <c r="O14" s="33">
        <f>O81</f>
        <v>12989900</v>
      </c>
      <c r="P14" s="33">
        <f>P81</f>
        <v>13323800</v>
      </c>
      <c r="Q14" s="33">
        <f>Q81</f>
        <v>13666400</v>
      </c>
      <c r="R14" s="114">
        <f>R81</f>
        <v>14018500</v>
      </c>
    </row>
    <row r="15" spans="1:18" s="84" customFormat="1" x14ac:dyDescent="0.2">
      <c r="A15" s="107">
        <f>A145</f>
        <v>17499800</v>
      </c>
      <c r="B15" s="33">
        <f>B145</f>
        <v>17044400</v>
      </c>
      <c r="C15" s="187">
        <f>C145</f>
        <v>28747200</v>
      </c>
      <c r="D15" s="187">
        <f>D145</f>
        <v>17312700</v>
      </c>
      <c r="E15" s="78" t="s">
        <v>3098</v>
      </c>
      <c r="F15" s="99"/>
      <c r="G15" s="187">
        <f t="shared" ref="G15:M15" si="10">G145</f>
        <v>17187700</v>
      </c>
      <c r="H15" s="138">
        <f>IF(D15=G15,0,IF(D15=0,100,(G15-D15)/D15*100))</f>
        <v>-0.72201331970172189</v>
      </c>
      <c r="I15" s="33">
        <f t="shared" si="10"/>
        <v>17800500</v>
      </c>
      <c r="J15" s="33">
        <f t="shared" si="10"/>
        <v>17710400</v>
      </c>
      <c r="K15" s="33">
        <f t="shared" si="10"/>
        <v>17828600</v>
      </c>
      <c r="L15" s="33">
        <f t="shared" si="10"/>
        <v>17938700</v>
      </c>
      <c r="M15" s="33">
        <f t="shared" si="10"/>
        <v>18031700</v>
      </c>
      <c r="N15" s="33">
        <f>N145</f>
        <v>18191200</v>
      </c>
      <c r="O15" s="33">
        <f>O145</f>
        <v>18252600</v>
      </c>
      <c r="P15" s="33">
        <f>P145</f>
        <v>18365500</v>
      </c>
      <c r="Q15" s="33">
        <f>Q145</f>
        <v>18420300</v>
      </c>
      <c r="R15" s="114">
        <f>R145</f>
        <v>18540400</v>
      </c>
    </row>
    <row r="16" spans="1:18" s="84" customFormat="1" ht="13.5" thickBot="1" x14ac:dyDescent="0.25">
      <c r="A16" s="107"/>
      <c r="B16" s="33"/>
      <c r="C16" s="189"/>
      <c r="D16" s="189"/>
      <c r="E16" s="108"/>
      <c r="F16" s="99"/>
      <c r="G16" s="187"/>
      <c r="H16" s="138"/>
      <c r="I16" s="33"/>
      <c r="J16" s="33"/>
      <c r="K16" s="33"/>
      <c r="L16" s="33"/>
      <c r="M16" s="33"/>
      <c r="N16" s="33"/>
      <c r="O16" s="33"/>
      <c r="P16" s="33"/>
      <c r="Q16" s="33"/>
      <c r="R16" s="114"/>
    </row>
    <row r="17" spans="1:18" s="92" customFormat="1" x14ac:dyDescent="0.2">
      <c r="A17" s="105">
        <f>SUM(A13:A16)</f>
        <v>28423400</v>
      </c>
      <c r="B17" s="53">
        <f>SUM(B13:B16)</f>
        <v>28156000</v>
      </c>
      <c r="C17" s="190">
        <f>SUM(C13:C16)</f>
        <v>39564200</v>
      </c>
      <c r="D17" s="190">
        <f>SUM(D13:D16)</f>
        <v>28162600</v>
      </c>
      <c r="E17" s="112" t="s">
        <v>565</v>
      </c>
      <c r="F17" s="74"/>
      <c r="G17" s="199">
        <f t="shared" ref="G17:O17" si="11">SUM(G13:G16)</f>
        <v>28457300</v>
      </c>
      <c r="H17" s="180">
        <f>IF(D17=G17,0,IF(D17=0,100,(G17-D17)/D17*100))</f>
        <v>1.0464232705787109</v>
      </c>
      <c r="I17" s="53">
        <f t="shared" si="11"/>
        <v>28990900</v>
      </c>
      <c r="J17" s="53">
        <f t="shared" si="11"/>
        <v>29216700</v>
      </c>
      <c r="K17" s="53">
        <f t="shared" si="11"/>
        <v>29578000</v>
      </c>
      <c r="L17" s="53">
        <f t="shared" si="11"/>
        <v>29978200</v>
      </c>
      <c r="M17" s="53">
        <f t="shared" si="11"/>
        <v>30380100</v>
      </c>
      <c r="N17" s="53">
        <f t="shared" si="11"/>
        <v>30906300</v>
      </c>
      <c r="O17" s="53">
        <f t="shared" si="11"/>
        <v>31242500</v>
      </c>
      <c r="P17" s="53">
        <f t="shared" ref="P17:Q17" si="12">SUM(P13:P16)</f>
        <v>31689300</v>
      </c>
      <c r="Q17" s="53">
        <f t="shared" si="12"/>
        <v>32086700</v>
      </c>
      <c r="R17" s="113">
        <f t="shared" ref="R17" si="13">SUM(R13:R16)</f>
        <v>32558900</v>
      </c>
    </row>
    <row r="18" spans="1:18" s="84" customFormat="1" ht="13.5" thickBot="1" x14ac:dyDescent="0.25">
      <c r="A18" s="70"/>
      <c r="B18" s="64"/>
      <c r="C18" s="193"/>
      <c r="D18" s="192"/>
      <c r="E18" s="99"/>
      <c r="F18" s="74"/>
      <c r="G18" s="192"/>
      <c r="H18" s="179"/>
      <c r="I18" s="33"/>
      <c r="J18" s="33"/>
      <c r="K18" s="33"/>
      <c r="L18" s="33"/>
      <c r="M18" s="33"/>
      <c r="N18" s="33"/>
      <c r="O18" s="33"/>
      <c r="P18" s="33"/>
      <c r="Q18" s="33"/>
      <c r="R18" s="114"/>
    </row>
    <row r="19" spans="1:18" s="84" customFormat="1" x14ac:dyDescent="0.2">
      <c r="A19" s="105">
        <f>A10-A17</f>
        <v>-5003300</v>
      </c>
      <c r="B19" s="53">
        <f>B10-B17</f>
        <v>-3004100</v>
      </c>
      <c r="C19" s="190">
        <f>C10-C17</f>
        <v>-13315800</v>
      </c>
      <c r="D19" s="190">
        <f>D10-D17</f>
        <v>-599600</v>
      </c>
      <c r="E19" s="1963" t="s">
        <v>1019</v>
      </c>
      <c r="F19" s="99"/>
      <c r="G19" s="199">
        <f t="shared" ref="G19:O19" si="14">G10-G17</f>
        <v>1162200</v>
      </c>
      <c r="H19" s="180">
        <f>IF(D19=G19,0,IF(D19=0,100,(G19-D19)/D19*100))</f>
        <v>-293.82921947965309</v>
      </c>
      <c r="I19" s="53">
        <f t="shared" si="14"/>
        <v>1301900</v>
      </c>
      <c r="J19" s="53">
        <f t="shared" si="14"/>
        <v>1821600</v>
      </c>
      <c r="K19" s="53">
        <f t="shared" si="14"/>
        <v>2242700</v>
      </c>
      <c r="L19" s="53">
        <f t="shared" si="14"/>
        <v>3036500</v>
      </c>
      <c r="M19" s="53">
        <f t="shared" si="14"/>
        <v>3726200</v>
      </c>
      <c r="N19" s="53">
        <f t="shared" si="14"/>
        <v>4261900</v>
      </c>
      <c r="O19" s="53">
        <f t="shared" si="14"/>
        <v>5039900</v>
      </c>
      <c r="P19" s="53">
        <f t="shared" ref="P19:Q19" si="15">P10-P17</f>
        <v>5851200</v>
      </c>
      <c r="Q19" s="53">
        <f t="shared" si="15"/>
        <v>6837100</v>
      </c>
      <c r="R19" s="113">
        <f t="shared" ref="R19" si="16">R10-R17</f>
        <v>7880800</v>
      </c>
    </row>
    <row r="20" spans="1:18" s="84" customFormat="1" x14ac:dyDescent="0.2">
      <c r="A20" s="107">
        <f t="shared" ref="A20:D21" si="17">A78+A141</f>
        <v>4723900</v>
      </c>
      <c r="B20" s="33">
        <f t="shared" si="17"/>
        <v>4502600</v>
      </c>
      <c r="C20" s="189">
        <f t="shared" si="17"/>
        <v>3793000</v>
      </c>
      <c r="D20" s="189">
        <f t="shared" si="17"/>
        <v>5030800</v>
      </c>
      <c r="E20" s="320" t="s">
        <v>1976</v>
      </c>
      <c r="F20" s="99"/>
      <c r="G20" s="187">
        <f>G78+G141</f>
        <v>4106000</v>
      </c>
      <c r="H20" s="138">
        <f>IF(D20=G20,0,IF(D20=0,100,(G20-D20)/D20*100))</f>
        <v>-18.382762184940766</v>
      </c>
      <c r="I20" s="33">
        <f t="shared" ref="I20:Q20" si="18">I78+I141</f>
        <v>5155000</v>
      </c>
      <c r="J20" s="33">
        <f t="shared" si="18"/>
        <v>5258600</v>
      </c>
      <c r="K20" s="33">
        <f t="shared" si="18"/>
        <v>5363800</v>
      </c>
      <c r="L20" s="33">
        <f t="shared" si="18"/>
        <v>5471600</v>
      </c>
      <c r="M20" s="33">
        <f t="shared" si="18"/>
        <v>5580900</v>
      </c>
      <c r="N20" s="33">
        <f t="shared" si="18"/>
        <v>5692800</v>
      </c>
      <c r="O20" s="33">
        <f t="shared" si="18"/>
        <v>5806300</v>
      </c>
      <c r="P20" s="33">
        <f t="shared" si="18"/>
        <v>5922400</v>
      </c>
      <c r="Q20" s="33">
        <f t="shared" si="18"/>
        <v>6041200</v>
      </c>
      <c r="R20" s="114">
        <f t="shared" ref="R20" si="19">R78+R141</f>
        <v>6161600</v>
      </c>
    </row>
    <row r="21" spans="1:18" s="84" customFormat="1" x14ac:dyDescent="0.2">
      <c r="A21" s="107">
        <f t="shared" si="17"/>
        <v>1757800</v>
      </c>
      <c r="B21" s="33">
        <f t="shared" si="17"/>
        <v>131300</v>
      </c>
      <c r="C21" s="189">
        <f t="shared" si="17"/>
        <v>12237400</v>
      </c>
      <c r="D21" s="189">
        <f t="shared" si="17"/>
        <v>74800</v>
      </c>
      <c r="E21" s="320" t="s">
        <v>4521</v>
      </c>
      <c r="F21" s="99"/>
      <c r="G21" s="187">
        <f>G79+G142</f>
        <v>0</v>
      </c>
      <c r="H21" s="138">
        <f>IF(D21=G21,0,IF(D21=0,100,(G21-D21)/D21*100))</f>
        <v>-100</v>
      </c>
      <c r="I21" s="33">
        <f t="shared" ref="I21:Q21" si="20">I79+I142</f>
        <v>0</v>
      </c>
      <c r="J21" s="33">
        <f t="shared" si="20"/>
        <v>0</v>
      </c>
      <c r="K21" s="33">
        <f t="shared" si="20"/>
        <v>0</v>
      </c>
      <c r="L21" s="33">
        <f t="shared" si="20"/>
        <v>0</v>
      </c>
      <c r="M21" s="33">
        <f t="shared" si="20"/>
        <v>0</v>
      </c>
      <c r="N21" s="33">
        <f t="shared" si="20"/>
        <v>0</v>
      </c>
      <c r="O21" s="33">
        <f t="shared" si="20"/>
        <v>0</v>
      </c>
      <c r="P21" s="33">
        <f t="shared" si="20"/>
        <v>0</v>
      </c>
      <c r="Q21" s="33">
        <f t="shared" si="20"/>
        <v>0</v>
      </c>
      <c r="R21" s="114">
        <f t="shared" ref="R21" si="21">R79+R142</f>
        <v>0</v>
      </c>
    </row>
    <row r="22" spans="1:18" s="84" customFormat="1" x14ac:dyDescent="0.2">
      <c r="A22" s="608">
        <f t="shared" ref="A22:B22" si="22">A143</f>
        <v>435600</v>
      </c>
      <c r="B22" s="150">
        <f t="shared" si="22"/>
        <v>394000</v>
      </c>
      <c r="C22" s="152">
        <f>C143</f>
        <v>349200</v>
      </c>
      <c r="D22" s="152">
        <f>D143</f>
        <v>301100</v>
      </c>
      <c r="E22" s="320" t="s">
        <v>4241</v>
      </c>
      <c r="F22" s="99"/>
      <c r="G22" s="76">
        <f t="shared" ref="G22:O22" si="23">G143</f>
        <v>249000</v>
      </c>
      <c r="H22" s="138">
        <f>IF(D22=G22,0,IF(D22=0,100,(G22-D22)/D22*100))</f>
        <v>-17.303221521089341</v>
      </c>
      <c r="I22" s="33">
        <f t="shared" si="23"/>
        <v>194000</v>
      </c>
      <c r="J22" s="33">
        <f t="shared" si="23"/>
        <v>134000</v>
      </c>
      <c r="K22" s="33">
        <f t="shared" si="23"/>
        <v>69000</v>
      </c>
      <c r="L22" s="33">
        <f t="shared" si="23"/>
        <v>0</v>
      </c>
      <c r="M22" s="33">
        <f t="shared" si="23"/>
        <v>0</v>
      </c>
      <c r="N22" s="33">
        <f t="shared" si="23"/>
        <v>0</v>
      </c>
      <c r="O22" s="33">
        <f t="shared" si="23"/>
        <v>0</v>
      </c>
      <c r="P22" s="33">
        <f t="shared" ref="P22:Q22" si="24">P143</f>
        <v>0</v>
      </c>
      <c r="Q22" s="33">
        <f t="shared" si="24"/>
        <v>0</v>
      </c>
      <c r="R22" s="114">
        <f t="shared" ref="R22" si="25">R143</f>
        <v>0</v>
      </c>
    </row>
    <row r="23" spans="1:18" s="92" customFormat="1" x14ac:dyDescent="0.2">
      <c r="A23" s="181">
        <f t="shared" ref="A23:B23" si="26">SUM(A19:A22)</f>
        <v>1914000</v>
      </c>
      <c r="B23" s="397">
        <f t="shared" si="26"/>
        <v>2023800</v>
      </c>
      <c r="C23" s="398">
        <f>SUM(C19:C22)</f>
        <v>3063800</v>
      </c>
      <c r="D23" s="398">
        <f>SUM(D19:D22)</f>
        <v>4807100</v>
      </c>
      <c r="E23" s="515" t="s">
        <v>1687</v>
      </c>
      <c r="F23" s="704"/>
      <c r="G23" s="728">
        <f t="shared" ref="G23:O23" si="27">SUM(G19:G22)</f>
        <v>5517200</v>
      </c>
      <c r="H23" s="395">
        <f>IF(D23=G23,0,IF(D23=0,100,(G23-D23)/D23*100))</f>
        <v>14.771899898067442</v>
      </c>
      <c r="I23" s="397">
        <f t="shared" si="27"/>
        <v>6650900</v>
      </c>
      <c r="J23" s="397">
        <f t="shared" si="27"/>
        <v>7214200</v>
      </c>
      <c r="K23" s="397">
        <f t="shared" si="27"/>
        <v>7675500</v>
      </c>
      <c r="L23" s="397">
        <f t="shared" si="27"/>
        <v>8508100</v>
      </c>
      <c r="M23" s="397">
        <f t="shared" si="27"/>
        <v>9307100</v>
      </c>
      <c r="N23" s="397">
        <f t="shared" si="27"/>
        <v>9954700</v>
      </c>
      <c r="O23" s="397">
        <f t="shared" si="27"/>
        <v>10846200</v>
      </c>
      <c r="P23" s="397">
        <f t="shared" ref="P23:Q23" si="28">SUM(P19:P22)</f>
        <v>11773600</v>
      </c>
      <c r="Q23" s="397">
        <f t="shared" si="28"/>
        <v>12878300</v>
      </c>
      <c r="R23" s="399">
        <f t="shared" ref="R23" si="29">SUM(R19:R22)</f>
        <v>14042400</v>
      </c>
    </row>
    <row r="24" spans="1:18" s="84" customFormat="1" ht="13.5" thickBot="1" x14ac:dyDescent="0.25">
      <c r="A24" s="73"/>
      <c r="B24" s="90"/>
      <c r="C24" s="200"/>
      <c r="D24" s="200"/>
      <c r="E24" s="141"/>
      <c r="F24" s="120"/>
      <c r="G24" s="200"/>
      <c r="H24" s="90"/>
      <c r="I24" s="121"/>
      <c r="J24" s="121"/>
      <c r="K24" s="121"/>
      <c r="L24" s="121"/>
      <c r="M24" s="121"/>
      <c r="N24" s="121"/>
      <c r="O24" s="121"/>
      <c r="P24" s="121"/>
      <c r="Q24" s="121"/>
      <c r="R24" s="161"/>
    </row>
    <row r="25" spans="1:18" s="84" customFormat="1" ht="13.5" thickTop="1" x14ac:dyDescent="0.2">
      <c r="A25" s="383"/>
      <c r="B25" s="162"/>
      <c r="C25" s="194"/>
      <c r="D25" s="194"/>
      <c r="E25" s="125"/>
      <c r="F25" s="125"/>
      <c r="G25" s="730"/>
      <c r="H25" s="122"/>
      <c r="I25" s="127"/>
      <c r="J25" s="127"/>
      <c r="K25" s="127"/>
      <c r="L25" s="127"/>
      <c r="M25" s="127"/>
      <c r="N25" s="127"/>
      <c r="O25" s="127"/>
      <c r="P25" s="127"/>
      <c r="Q25" s="127"/>
      <c r="R25" s="163"/>
    </row>
    <row r="26" spans="1:18" s="84" customFormat="1" x14ac:dyDescent="0.2">
      <c r="A26" s="98"/>
      <c r="B26" s="64"/>
      <c r="C26" s="193"/>
      <c r="D26" s="193"/>
      <c r="E26" s="1962" t="s">
        <v>196</v>
      </c>
      <c r="F26" s="74"/>
      <c r="G26" s="192"/>
      <c r="H26" s="128"/>
      <c r="I26" s="33"/>
      <c r="J26" s="33"/>
      <c r="K26" s="33"/>
      <c r="L26" s="33"/>
      <c r="M26" s="33"/>
      <c r="N26" s="33"/>
      <c r="O26" s="33"/>
      <c r="P26" s="33"/>
      <c r="Q26" s="33"/>
      <c r="R26" s="114"/>
    </row>
    <row r="27" spans="1:18" s="84" customFormat="1" x14ac:dyDescent="0.2">
      <c r="A27" s="98"/>
      <c r="B27" s="64"/>
      <c r="C27" s="193"/>
      <c r="D27" s="193"/>
      <c r="E27" s="175"/>
      <c r="F27" s="74"/>
      <c r="G27" s="192"/>
      <c r="H27" s="128"/>
      <c r="I27" s="33"/>
      <c r="J27" s="33"/>
      <c r="K27" s="33"/>
      <c r="L27" s="33"/>
      <c r="M27" s="33"/>
      <c r="N27" s="33"/>
      <c r="O27" s="33"/>
      <c r="P27" s="33"/>
      <c r="Q27" s="33"/>
      <c r="R27" s="114"/>
    </row>
    <row r="28" spans="1:18" s="84" customFormat="1" x14ac:dyDescent="0.2">
      <c r="A28" s="107">
        <f t="shared" ref="A28:D32" si="30">A91+A155</f>
        <v>988800</v>
      </c>
      <c r="B28" s="33">
        <f t="shared" si="30"/>
        <v>2384800</v>
      </c>
      <c r="C28" s="189">
        <f t="shared" si="30"/>
        <v>2187900</v>
      </c>
      <c r="D28" s="189">
        <f t="shared" si="30"/>
        <v>2793300</v>
      </c>
      <c r="E28" s="198" t="s">
        <v>2900</v>
      </c>
      <c r="F28" s="1981"/>
      <c r="G28" s="187">
        <f>G91+G155</f>
        <v>2957900</v>
      </c>
      <c r="H28" s="142"/>
      <c r="I28" s="33">
        <f t="shared" ref="I28:Q28" si="31">I91+I155</f>
        <v>3095600</v>
      </c>
      <c r="J28" s="33">
        <f t="shared" si="31"/>
        <v>3134000</v>
      </c>
      <c r="K28" s="33">
        <f t="shared" si="31"/>
        <v>3280300</v>
      </c>
      <c r="L28" s="33">
        <f t="shared" si="31"/>
        <v>2453500</v>
      </c>
      <c r="M28" s="33">
        <f t="shared" si="31"/>
        <v>2654100</v>
      </c>
      <c r="N28" s="33">
        <f t="shared" si="31"/>
        <v>2844100</v>
      </c>
      <c r="O28" s="33">
        <f t="shared" si="31"/>
        <v>3037000</v>
      </c>
      <c r="P28" s="33">
        <f t="shared" si="31"/>
        <v>3235000</v>
      </c>
      <c r="Q28" s="33">
        <f t="shared" si="31"/>
        <v>3430000</v>
      </c>
      <c r="R28" s="114">
        <f t="shared" ref="R28" si="32">R91+R155</f>
        <v>3627000</v>
      </c>
    </row>
    <row r="29" spans="1:18" s="84" customFormat="1" x14ac:dyDescent="0.2">
      <c r="A29" s="107">
        <f t="shared" si="30"/>
        <v>603300</v>
      </c>
      <c r="B29" s="33">
        <f t="shared" si="30"/>
        <v>485900</v>
      </c>
      <c r="C29" s="189">
        <f t="shared" si="30"/>
        <v>782500</v>
      </c>
      <c r="D29" s="189">
        <f t="shared" si="30"/>
        <v>637500</v>
      </c>
      <c r="E29" s="198" t="s">
        <v>1942</v>
      </c>
      <c r="F29" s="1981"/>
      <c r="G29" s="187">
        <f>G92+G156</f>
        <v>374000</v>
      </c>
      <c r="H29" s="142"/>
      <c r="I29" s="33">
        <f t="shared" ref="I29:Q29" si="33">I92+I156</f>
        <v>227900</v>
      </c>
      <c r="J29" s="33">
        <f t="shared" si="33"/>
        <v>1281600</v>
      </c>
      <c r="K29" s="33">
        <f t="shared" si="33"/>
        <v>206600</v>
      </c>
      <c r="L29" s="33">
        <f t="shared" si="33"/>
        <v>539800</v>
      </c>
      <c r="M29" s="33">
        <f t="shared" si="33"/>
        <v>0</v>
      </c>
      <c r="N29" s="33">
        <f t="shared" si="33"/>
        <v>1494000</v>
      </c>
      <c r="O29" s="33">
        <f t="shared" si="33"/>
        <v>3481900</v>
      </c>
      <c r="P29" s="33">
        <f t="shared" si="33"/>
        <v>4092900</v>
      </c>
      <c r="Q29" s="33">
        <f t="shared" si="33"/>
        <v>6258300</v>
      </c>
      <c r="R29" s="114">
        <f t="shared" ref="R29" si="34">R92+R156</f>
        <v>7442400</v>
      </c>
    </row>
    <row r="30" spans="1:18" s="84" customFormat="1" x14ac:dyDescent="0.2">
      <c r="A30" s="107">
        <f t="shared" si="30"/>
        <v>7175500</v>
      </c>
      <c r="B30" s="33">
        <f t="shared" si="30"/>
        <v>8689200</v>
      </c>
      <c r="C30" s="189">
        <f t="shared" si="30"/>
        <v>5039300</v>
      </c>
      <c r="D30" s="189">
        <f t="shared" si="30"/>
        <v>2011000</v>
      </c>
      <c r="E30" s="198" t="s">
        <v>2348</v>
      </c>
      <c r="F30" s="1981"/>
      <c r="G30" s="187">
        <f>G93+G157</f>
        <v>3060700</v>
      </c>
      <c r="H30" s="142"/>
      <c r="I30" s="33">
        <f t="shared" ref="I30:Q30" si="35">I93+I157</f>
        <v>2918600</v>
      </c>
      <c r="J30" s="33">
        <f t="shared" si="35"/>
        <v>1259400</v>
      </c>
      <c r="K30" s="33">
        <f t="shared" si="35"/>
        <v>363800</v>
      </c>
      <c r="L30" s="33">
        <f t="shared" si="35"/>
        <v>931000</v>
      </c>
      <c r="M30" s="33">
        <f t="shared" si="35"/>
        <v>2330400</v>
      </c>
      <c r="N30" s="33">
        <f t="shared" si="35"/>
        <v>333400</v>
      </c>
      <c r="O30" s="33">
        <f t="shared" si="35"/>
        <v>325200</v>
      </c>
      <c r="P30" s="33">
        <f t="shared" si="35"/>
        <v>0</v>
      </c>
      <c r="Q30" s="33">
        <f t="shared" si="35"/>
        <v>0</v>
      </c>
      <c r="R30" s="114">
        <f t="shared" ref="R30" si="36">R93+R157</f>
        <v>0</v>
      </c>
    </row>
    <row r="31" spans="1:18" s="84" customFormat="1" x14ac:dyDescent="0.2">
      <c r="A31" s="107">
        <f t="shared" si="30"/>
        <v>18847800</v>
      </c>
      <c r="B31" s="33">
        <f t="shared" si="30"/>
        <v>2150900</v>
      </c>
      <c r="C31" s="189">
        <f t="shared" si="30"/>
        <v>2063400</v>
      </c>
      <c r="D31" s="189">
        <f t="shared" si="30"/>
        <v>361000</v>
      </c>
      <c r="E31" s="198" t="s">
        <v>5984</v>
      </c>
      <c r="F31" s="1981"/>
      <c r="G31" s="187">
        <f>G94+G158</f>
        <v>4124000</v>
      </c>
      <c r="H31" s="142"/>
      <c r="I31" s="33">
        <f t="shared" ref="I31:Q31" si="37">I94+I158</f>
        <v>2459000</v>
      </c>
      <c r="J31" s="33">
        <f t="shared" si="37"/>
        <v>4708000</v>
      </c>
      <c r="K31" s="33">
        <f t="shared" si="37"/>
        <v>5417000</v>
      </c>
      <c r="L31" s="33">
        <f t="shared" si="37"/>
        <v>2243500</v>
      </c>
      <c r="M31" s="33">
        <f t="shared" si="37"/>
        <v>1663000</v>
      </c>
      <c r="N31" s="33">
        <f t="shared" si="37"/>
        <v>3730000</v>
      </c>
      <c r="O31" s="33">
        <f t="shared" si="37"/>
        <v>587500</v>
      </c>
      <c r="P31" s="33">
        <f t="shared" si="37"/>
        <v>809300</v>
      </c>
      <c r="Q31" s="33">
        <f t="shared" si="37"/>
        <v>0</v>
      </c>
      <c r="R31" s="114">
        <f t="shared" ref="R31" si="38">R94+R158</f>
        <v>0</v>
      </c>
    </row>
    <row r="32" spans="1:18" s="84" customFormat="1" x14ac:dyDescent="0.2">
      <c r="A32" s="107">
        <f t="shared" si="30"/>
        <v>26291200</v>
      </c>
      <c r="B32" s="33">
        <f t="shared" si="30"/>
        <v>9939200</v>
      </c>
      <c r="C32" s="189">
        <f t="shared" si="30"/>
        <v>7142100</v>
      </c>
      <c r="D32" s="189">
        <f t="shared" si="30"/>
        <v>3694300</v>
      </c>
      <c r="E32" s="198" t="s">
        <v>972</v>
      </c>
      <c r="F32" s="1981"/>
      <c r="G32" s="187">
        <f>G95+G159</f>
        <v>9316000</v>
      </c>
      <c r="H32" s="142"/>
      <c r="I32" s="33">
        <f t="shared" ref="I32:Q32" si="39">I95+I159</f>
        <v>8651000</v>
      </c>
      <c r="J32" s="33">
        <f t="shared" si="39"/>
        <v>8712000</v>
      </c>
      <c r="K32" s="33">
        <f t="shared" si="39"/>
        <v>9915400</v>
      </c>
      <c r="L32" s="33">
        <f t="shared" si="39"/>
        <v>8635300</v>
      </c>
      <c r="M32" s="33">
        <f t="shared" si="39"/>
        <v>10592400</v>
      </c>
      <c r="N32" s="33">
        <f t="shared" si="39"/>
        <v>9626000</v>
      </c>
      <c r="O32" s="33">
        <f t="shared" si="39"/>
        <v>5186000</v>
      </c>
      <c r="P32" s="33">
        <f t="shared" si="39"/>
        <v>5201000</v>
      </c>
      <c r="Q32" s="33">
        <f t="shared" si="39"/>
        <v>3136000</v>
      </c>
      <c r="R32" s="114">
        <f t="shared" ref="R32" si="40">R95+R159</f>
        <v>2919000</v>
      </c>
    </row>
    <row r="33" spans="1:18" s="84" customFormat="1" x14ac:dyDescent="0.2">
      <c r="A33" s="98"/>
      <c r="B33" s="33"/>
      <c r="C33" s="189"/>
      <c r="D33" s="189"/>
      <c r="E33" s="1962"/>
      <c r="F33" s="99"/>
      <c r="G33" s="187"/>
      <c r="H33" s="142"/>
      <c r="I33" s="33"/>
      <c r="J33" s="33"/>
      <c r="K33" s="33"/>
      <c r="L33" s="33"/>
      <c r="M33" s="33"/>
      <c r="N33" s="33"/>
      <c r="O33" s="33"/>
      <c r="P33" s="33"/>
      <c r="Q33" s="33"/>
      <c r="R33" s="114"/>
    </row>
    <row r="34" spans="1:18" s="92" customFormat="1" x14ac:dyDescent="0.2">
      <c r="A34" s="181">
        <f>A23-A28-A29+A30++A31-A32</f>
        <v>54000</v>
      </c>
      <c r="B34" s="397">
        <f>B23-B28-B29+B30++B31-B32</f>
        <v>54000</v>
      </c>
      <c r="C34" s="398">
        <f>C23-C28-C29+C30++C31-C32</f>
        <v>54000</v>
      </c>
      <c r="D34" s="398">
        <f>D23-D28-D29+D30++D31-D32</f>
        <v>54000</v>
      </c>
      <c r="E34" s="1972" t="s">
        <v>2490</v>
      </c>
      <c r="F34" s="704"/>
      <c r="G34" s="728">
        <f t="shared" ref="G34:M34" si="41">G23-G28-G29+G30++G31-G32</f>
        <v>54000</v>
      </c>
      <c r="H34" s="395">
        <f>IF(D34=G34,0,IF(D34=0,100,(G34-D34)/D34*100))</f>
        <v>0</v>
      </c>
      <c r="I34" s="397">
        <f t="shared" si="41"/>
        <v>54000</v>
      </c>
      <c r="J34" s="397">
        <f t="shared" si="41"/>
        <v>54000</v>
      </c>
      <c r="K34" s="397">
        <f t="shared" si="41"/>
        <v>54000</v>
      </c>
      <c r="L34" s="397">
        <f>L23-L28-L29+L30+L31-L32</f>
        <v>54000</v>
      </c>
      <c r="M34" s="397">
        <f t="shared" si="41"/>
        <v>54000</v>
      </c>
      <c r="N34" s="397">
        <f>N23-N28-N29+N30++N31-N32</f>
        <v>54000</v>
      </c>
      <c r="O34" s="397">
        <f>O23-O28-O29+O30++O31-O32</f>
        <v>54000</v>
      </c>
      <c r="P34" s="397">
        <f>P23-P28-P29+P30++P31-P32</f>
        <v>54000</v>
      </c>
      <c r="Q34" s="397">
        <f>Q23-Q28-Q29+Q30++Q31-Q32</f>
        <v>54000</v>
      </c>
      <c r="R34" s="399">
        <f>R23-R28-R29+R30++R31-R32</f>
        <v>54000</v>
      </c>
    </row>
    <row r="35" spans="1:18" s="84" customFormat="1" ht="13.5" thickBot="1" x14ac:dyDescent="0.25">
      <c r="A35" s="614"/>
      <c r="B35" s="90"/>
      <c r="C35" s="200"/>
      <c r="D35" s="200"/>
      <c r="E35" s="119"/>
      <c r="F35" s="120"/>
      <c r="G35" s="200"/>
      <c r="H35" s="134"/>
      <c r="I35" s="66"/>
      <c r="J35" s="66"/>
      <c r="K35" s="66"/>
      <c r="L35" s="66"/>
      <c r="M35" s="66"/>
      <c r="N35" s="66"/>
      <c r="O35" s="66"/>
      <c r="P35" s="66"/>
      <c r="Q35" s="66"/>
      <c r="R35" s="165"/>
    </row>
    <row r="36" spans="1:18" ht="14.25" thickTop="1" thickBot="1" x14ac:dyDescent="0.25">
      <c r="E36" s="123"/>
      <c r="G36" s="2610"/>
      <c r="H36" s="174"/>
      <c r="I36" s="174"/>
      <c r="J36" s="174"/>
      <c r="K36" s="174"/>
      <c r="L36" s="174"/>
      <c r="M36" s="174"/>
      <c r="N36" s="174"/>
      <c r="O36" s="174"/>
      <c r="P36" s="174"/>
      <c r="Q36" s="174"/>
      <c r="R36" s="174"/>
    </row>
    <row r="37" spans="1:18" s="84" customFormat="1" ht="19.5" thickTop="1" thickBot="1" x14ac:dyDescent="0.3">
      <c r="A37" s="2906" t="s">
        <v>38</v>
      </c>
      <c r="B37" s="2907"/>
      <c r="C37" s="2907"/>
      <c r="D37" s="2907"/>
      <c r="E37" s="2907"/>
      <c r="F37" s="2907"/>
      <c r="G37" s="2907"/>
      <c r="H37" s="2907"/>
      <c r="I37" s="2907"/>
      <c r="J37" s="2907"/>
      <c r="K37" s="2907"/>
      <c r="L37" s="2907"/>
      <c r="M37" s="2907"/>
      <c r="N37" s="2907"/>
      <c r="O37" s="2907"/>
      <c r="P37" s="2907"/>
      <c r="Q37" s="2907"/>
      <c r="R37" s="2908"/>
    </row>
    <row r="38" spans="1:18" s="44" customFormat="1" x14ac:dyDescent="0.2">
      <c r="A38" s="2888" t="s">
        <v>1856</v>
      </c>
      <c r="B38" s="2889"/>
      <c r="C38" s="2889"/>
      <c r="D38" s="2890"/>
      <c r="E38" s="1997" t="s">
        <v>2663</v>
      </c>
      <c r="F38" s="2649" t="s">
        <v>2251</v>
      </c>
      <c r="G38" s="2885" t="s">
        <v>2253</v>
      </c>
      <c r="H38" s="2886"/>
      <c r="I38" s="2886"/>
      <c r="J38" s="2886"/>
      <c r="K38" s="2886"/>
      <c r="L38" s="2886"/>
      <c r="M38" s="2886"/>
      <c r="N38" s="2886"/>
      <c r="O38" s="2886"/>
      <c r="P38" s="2886"/>
      <c r="Q38" s="2886"/>
      <c r="R38" s="2887"/>
    </row>
    <row r="39" spans="1:18" s="23" customFormat="1" ht="13.5" thickBot="1" x14ac:dyDescent="0.25">
      <c r="A39" s="1735" t="str">
        <f>A3</f>
        <v>2012/13</v>
      </c>
      <c r="B39" s="218" t="str">
        <f>B3</f>
        <v>2013/14</v>
      </c>
      <c r="C39" s="370" t="str">
        <f>C3</f>
        <v>2014/15</v>
      </c>
      <c r="D39" s="93" t="str">
        <f>D3</f>
        <v>2015/16</v>
      </c>
      <c r="E39" s="1965" t="s">
        <v>2664</v>
      </c>
      <c r="F39" s="42"/>
      <c r="G39" s="93" t="str">
        <f>G3</f>
        <v>2016/17</v>
      </c>
      <c r="H39" s="2095" t="s">
        <v>501</v>
      </c>
      <c r="I39" s="370" t="str">
        <f t="shared" ref="I39:Q39" si="42">I3</f>
        <v>2017/18</v>
      </c>
      <c r="J39" s="381" t="str">
        <f t="shared" si="42"/>
        <v>2018/19</v>
      </c>
      <c r="K39" s="89" t="str">
        <f t="shared" si="42"/>
        <v>2019/20</v>
      </c>
      <c r="L39" s="370" t="str">
        <f t="shared" si="42"/>
        <v>2020/21</v>
      </c>
      <c r="M39" s="89" t="str">
        <f t="shared" si="42"/>
        <v>2021/22</v>
      </c>
      <c r="N39" s="370" t="str">
        <f t="shared" si="42"/>
        <v>2022/23</v>
      </c>
      <c r="O39" s="381" t="str">
        <f t="shared" si="42"/>
        <v>2023/24</v>
      </c>
      <c r="P39" s="370" t="str">
        <f t="shared" si="42"/>
        <v>2024/25</v>
      </c>
      <c r="Q39" s="218" t="str">
        <f t="shared" si="42"/>
        <v>2025/26</v>
      </c>
      <c r="R39" s="549" t="str">
        <f t="shared" ref="R39" si="43">R3</f>
        <v>2026/27</v>
      </c>
    </row>
    <row r="40" spans="1:18" s="84" customFormat="1" x14ac:dyDescent="0.2">
      <c r="A40" s="107"/>
      <c r="B40" s="33"/>
      <c r="C40" s="187"/>
      <c r="D40" s="187"/>
      <c r="E40" s="138"/>
      <c r="F40" s="74"/>
      <c r="G40" s="187"/>
      <c r="H40" s="33"/>
      <c r="I40" s="33"/>
      <c r="J40" s="142"/>
      <c r="K40" s="33"/>
      <c r="L40" s="33"/>
      <c r="M40" s="33"/>
      <c r="N40" s="33"/>
      <c r="O40" s="142"/>
      <c r="P40" s="33"/>
      <c r="Q40" s="33"/>
      <c r="R40" s="114"/>
    </row>
    <row r="41" spans="1:18" s="84" customFormat="1" x14ac:dyDescent="0.2">
      <c r="A41" s="107"/>
      <c r="B41" s="33"/>
      <c r="C41" s="187"/>
      <c r="D41" s="187"/>
      <c r="E41" s="138"/>
      <c r="F41" s="144" t="s">
        <v>1073</v>
      </c>
      <c r="G41" s="187"/>
      <c r="H41" s="33"/>
      <c r="I41" s="33"/>
      <c r="J41" s="142"/>
      <c r="K41" s="33"/>
      <c r="L41" s="33"/>
      <c r="M41" s="33"/>
      <c r="N41" s="33"/>
      <c r="O41" s="142"/>
      <c r="P41" s="33"/>
      <c r="Q41" s="33"/>
      <c r="R41" s="114"/>
    </row>
    <row r="42" spans="1:18" s="84" customFormat="1" x14ac:dyDescent="0.2">
      <c r="A42" s="107"/>
      <c r="B42" s="33"/>
      <c r="C42" s="187"/>
      <c r="D42" s="187"/>
      <c r="E42" s="138"/>
      <c r="F42" s="144"/>
      <c r="G42" s="187"/>
      <c r="H42" s="33"/>
      <c r="I42" s="33"/>
      <c r="J42" s="142"/>
      <c r="K42" s="33"/>
      <c r="L42" s="33"/>
      <c r="M42" s="33"/>
      <c r="N42" s="33"/>
      <c r="O42" s="142"/>
      <c r="P42" s="33"/>
      <c r="Q42" s="33"/>
      <c r="R42" s="114"/>
    </row>
    <row r="43" spans="1:18" s="84" customFormat="1" x14ac:dyDescent="0.2">
      <c r="A43" s="107">
        <f t="shared" ref="A43:B43" si="44">SUM(A171:A175)</f>
        <v>2603000</v>
      </c>
      <c r="B43" s="33">
        <f t="shared" si="44"/>
        <v>2860500</v>
      </c>
      <c r="C43" s="189">
        <f>SUM(C171:C175)</f>
        <v>3092600</v>
      </c>
      <c r="D43" s="189">
        <f>SUM(D171:D175)</f>
        <v>3226000</v>
      </c>
      <c r="E43" s="821" t="s">
        <v>2007</v>
      </c>
      <c r="F43" s="33" t="s">
        <v>60</v>
      </c>
      <c r="G43" s="187">
        <f t="shared" ref="G43:P43" si="45">SUM(G171:G175)</f>
        <v>3367800</v>
      </c>
      <c r="H43" s="138">
        <f t="shared" ref="H43:H48" si="46">IF(D43=G43,0,IF(D43=0,100,(G43-D43)/D43*100))</f>
        <v>4.39553626782393</v>
      </c>
      <c r="I43" s="33">
        <f t="shared" si="45"/>
        <v>3439500</v>
      </c>
      <c r="J43" s="142">
        <f t="shared" si="45"/>
        <v>3531000</v>
      </c>
      <c r="K43" s="33">
        <f t="shared" si="45"/>
        <v>3624500</v>
      </c>
      <c r="L43" s="33">
        <f t="shared" si="45"/>
        <v>3779000</v>
      </c>
      <c r="M43" s="33">
        <f t="shared" si="45"/>
        <v>3939400</v>
      </c>
      <c r="N43" s="33">
        <f t="shared" si="45"/>
        <v>4107800</v>
      </c>
      <c r="O43" s="142">
        <f t="shared" si="45"/>
        <v>4282200</v>
      </c>
      <c r="P43" s="33">
        <f t="shared" si="45"/>
        <v>4463600</v>
      </c>
      <c r="Q43" s="33">
        <f t="shared" ref="Q43" si="47">SUM(Q171:Q175)</f>
        <v>4653000</v>
      </c>
      <c r="R43" s="114">
        <f t="shared" ref="R43" si="48">SUM(R171:R175)</f>
        <v>4849400</v>
      </c>
    </row>
    <row r="44" spans="1:18" s="84" customFormat="1" x14ac:dyDescent="0.2">
      <c r="A44" s="107">
        <f>SUM(A176:A180)</f>
        <v>5582400</v>
      </c>
      <c r="B44" s="33">
        <f>SUM(B176:B180)</f>
        <v>6590600</v>
      </c>
      <c r="C44" s="189">
        <f>SUM(C176:C180)</f>
        <v>6432000</v>
      </c>
      <c r="D44" s="189">
        <f>SUM(D176:D180)</f>
        <v>6654300</v>
      </c>
      <c r="E44" s="821" t="s">
        <v>2006</v>
      </c>
      <c r="F44" s="33" t="s">
        <v>836</v>
      </c>
      <c r="G44" s="187">
        <f t="shared" ref="G44:P44" si="49">SUM(G176:G180)</f>
        <v>7247100</v>
      </c>
      <c r="H44" s="138">
        <f t="shared" si="46"/>
        <v>8.9085253144583199</v>
      </c>
      <c r="I44" s="187">
        <f t="shared" si="49"/>
        <v>7384000</v>
      </c>
      <c r="J44" s="187">
        <f t="shared" si="49"/>
        <v>7568500</v>
      </c>
      <c r="K44" s="187">
        <f t="shared" si="49"/>
        <v>7758100</v>
      </c>
      <c r="L44" s="187">
        <f t="shared" si="49"/>
        <v>8068700</v>
      </c>
      <c r="M44" s="187">
        <f t="shared" si="49"/>
        <v>8391200</v>
      </c>
      <c r="N44" s="187">
        <f t="shared" si="49"/>
        <v>8725700</v>
      </c>
      <c r="O44" s="187">
        <f t="shared" si="49"/>
        <v>9074200</v>
      </c>
      <c r="P44" s="33">
        <f t="shared" si="49"/>
        <v>9436700</v>
      </c>
      <c r="Q44" s="33">
        <f t="shared" ref="Q44" si="50">SUM(Q176:Q180)</f>
        <v>9813200</v>
      </c>
      <c r="R44" s="114">
        <f t="shared" ref="R44" si="51">SUM(R176:R180)</f>
        <v>10205700</v>
      </c>
    </row>
    <row r="45" spans="1:18" s="84" customFormat="1" x14ac:dyDescent="0.2">
      <c r="A45" s="107">
        <f>SUM(A184:A192)</f>
        <v>669200</v>
      </c>
      <c r="B45" s="33">
        <f>SUM(B184:B192)</f>
        <v>672700</v>
      </c>
      <c r="C45" s="189">
        <f>SUM(C184:C192)</f>
        <v>797900</v>
      </c>
      <c r="D45" s="189">
        <f>SUM(D184:D192)</f>
        <v>796400</v>
      </c>
      <c r="E45" s="821" t="s">
        <v>2010</v>
      </c>
      <c r="F45" s="132" t="s">
        <v>5352</v>
      </c>
      <c r="G45" s="187">
        <f t="shared" ref="G45:P45" si="52">SUM(G184:G192)</f>
        <v>805000</v>
      </c>
      <c r="H45" s="138">
        <f t="shared" si="46"/>
        <v>1.079859367152185</v>
      </c>
      <c r="I45" s="187">
        <f t="shared" si="52"/>
        <v>818000</v>
      </c>
      <c r="J45" s="187">
        <f t="shared" si="52"/>
        <v>838700</v>
      </c>
      <c r="K45" s="187">
        <f t="shared" si="52"/>
        <v>859900</v>
      </c>
      <c r="L45" s="187">
        <f t="shared" si="52"/>
        <v>881700</v>
      </c>
      <c r="M45" s="187">
        <f t="shared" si="52"/>
        <v>899700</v>
      </c>
      <c r="N45" s="187">
        <f t="shared" si="52"/>
        <v>918000</v>
      </c>
      <c r="O45" s="187">
        <f t="shared" si="52"/>
        <v>936700</v>
      </c>
      <c r="P45" s="33">
        <f t="shared" si="52"/>
        <v>955800</v>
      </c>
      <c r="Q45" s="33">
        <f t="shared" ref="Q45" si="53">SUM(Q184:Q192)</f>
        <v>975300</v>
      </c>
      <c r="R45" s="114">
        <f t="shared" ref="R45" si="54">SUM(R184:R192)</f>
        <v>995200</v>
      </c>
    </row>
    <row r="46" spans="1:18" s="84" customFormat="1" x14ac:dyDescent="0.2">
      <c r="A46" s="107">
        <f t="shared" ref="A46:B46" si="55">SUM(A181:A183)</f>
        <v>155000</v>
      </c>
      <c r="B46" s="33">
        <f t="shared" si="55"/>
        <v>151800</v>
      </c>
      <c r="C46" s="189">
        <f>SUM(C181:C183)</f>
        <v>152600</v>
      </c>
      <c r="D46" s="189">
        <f>SUM(D181:D183)</f>
        <v>157400</v>
      </c>
      <c r="E46" s="821" t="s">
        <v>2009</v>
      </c>
      <c r="F46" s="33" t="s">
        <v>2880</v>
      </c>
      <c r="G46" s="187">
        <f t="shared" ref="G46:P46" si="56">SUM(G181:G183)</f>
        <v>155300</v>
      </c>
      <c r="H46" s="138">
        <f t="shared" si="46"/>
        <v>-1.3341804320203303</v>
      </c>
      <c r="I46" s="33">
        <f t="shared" si="56"/>
        <v>144000</v>
      </c>
      <c r="J46" s="142">
        <f t="shared" si="56"/>
        <v>144700</v>
      </c>
      <c r="K46" s="33">
        <f t="shared" si="56"/>
        <v>145500</v>
      </c>
      <c r="L46" s="33">
        <f t="shared" si="56"/>
        <v>146200</v>
      </c>
      <c r="M46" s="33">
        <f t="shared" si="56"/>
        <v>147000</v>
      </c>
      <c r="N46" s="33">
        <f t="shared" si="56"/>
        <v>147800</v>
      </c>
      <c r="O46" s="142">
        <f t="shared" si="56"/>
        <v>148600</v>
      </c>
      <c r="P46" s="33">
        <f t="shared" si="56"/>
        <v>149500</v>
      </c>
      <c r="Q46" s="33">
        <f t="shared" ref="Q46" si="57">SUM(Q181:Q183)</f>
        <v>150300</v>
      </c>
      <c r="R46" s="114">
        <f t="shared" ref="R46" si="58">SUM(R181:R183)</f>
        <v>151100</v>
      </c>
    </row>
    <row r="47" spans="1:18" s="84" customFormat="1" x14ac:dyDescent="0.2">
      <c r="A47" s="107">
        <f t="shared" ref="A47:B47" si="59">SUM(A194:A196)</f>
        <v>623900</v>
      </c>
      <c r="B47" s="33">
        <f t="shared" si="59"/>
        <v>413500</v>
      </c>
      <c r="C47" s="189">
        <f>SUM(C194:C196)</f>
        <v>417400</v>
      </c>
      <c r="D47" s="189">
        <f>SUM(D194:D196)</f>
        <v>339000</v>
      </c>
      <c r="E47" s="821" t="s">
        <v>2008</v>
      </c>
      <c r="F47" s="33" t="s">
        <v>2671</v>
      </c>
      <c r="G47" s="187">
        <f t="shared" ref="G47:P47" si="60">SUM(G194:G196)</f>
        <v>338400</v>
      </c>
      <c r="H47" s="138">
        <f t="shared" si="46"/>
        <v>-0.17699115044247787</v>
      </c>
      <c r="I47" s="33">
        <f t="shared" si="60"/>
        <v>368800</v>
      </c>
      <c r="J47" s="142">
        <f t="shared" si="60"/>
        <v>352400</v>
      </c>
      <c r="K47" s="33">
        <f t="shared" si="60"/>
        <v>317200</v>
      </c>
      <c r="L47" s="33">
        <f t="shared" si="60"/>
        <v>296100</v>
      </c>
      <c r="M47" s="33">
        <f t="shared" si="60"/>
        <v>329000</v>
      </c>
      <c r="N47" s="33">
        <f t="shared" si="60"/>
        <v>247000</v>
      </c>
      <c r="O47" s="142">
        <f t="shared" si="60"/>
        <v>213200</v>
      </c>
      <c r="P47" s="33">
        <f t="shared" si="60"/>
        <v>207100</v>
      </c>
      <c r="Q47" s="33">
        <f t="shared" ref="Q47" si="61">SUM(Q194:Q196)</f>
        <v>210500</v>
      </c>
      <c r="R47" s="114">
        <f t="shared" ref="R47" si="62">SUM(R194:R196)</f>
        <v>297700</v>
      </c>
    </row>
    <row r="48" spans="1:18" s="84" customFormat="1" x14ac:dyDescent="0.2">
      <c r="A48" s="107">
        <f>SUM(A197:A199)</f>
        <v>0</v>
      </c>
      <c r="B48" s="33">
        <f>SUM(B197:B199)</f>
        <v>0</v>
      </c>
      <c r="C48" s="189">
        <f>SUM(C197:C199)</f>
        <v>0</v>
      </c>
      <c r="D48" s="189">
        <f>SUM(D197:D199)</f>
        <v>26000</v>
      </c>
      <c r="E48" s="1954">
        <v>10012</v>
      </c>
      <c r="F48" s="132" t="s">
        <v>5392</v>
      </c>
      <c r="G48" s="198">
        <f t="shared" ref="G48:P48" si="63">SUM(G197:G199)</f>
        <v>0</v>
      </c>
      <c r="H48" s="138">
        <f t="shared" si="46"/>
        <v>-100</v>
      </c>
      <c r="I48" s="33">
        <f t="shared" si="63"/>
        <v>0</v>
      </c>
      <c r="J48" s="33">
        <f t="shared" si="63"/>
        <v>0</v>
      </c>
      <c r="K48" s="33">
        <f t="shared" si="63"/>
        <v>0</v>
      </c>
      <c r="L48" s="33">
        <f t="shared" si="63"/>
        <v>0</v>
      </c>
      <c r="M48" s="33">
        <f t="shared" si="63"/>
        <v>0</v>
      </c>
      <c r="N48" s="33">
        <f t="shared" si="63"/>
        <v>0</v>
      </c>
      <c r="O48" s="33">
        <f t="shared" si="63"/>
        <v>0</v>
      </c>
      <c r="P48" s="33">
        <f t="shared" si="63"/>
        <v>0</v>
      </c>
      <c r="Q48" s="33">
        <f t="shared" ref="Q48" si="64">SUM(Q197:Q199)</f>
        <v>0</v>
      </c>
      <c r="R48" s="114">
        <f t="shared" ref="R48" si="65">SUM(R197:R199)</f>
        <v>0</v>
      </c>
    </row>
    <row r="49" spans="1:18" s="84" customFormat="1" ht="13.5" thickBot="1" x14ac:dyDescent="0.25">
      <c r="A49" s="107"/>
      <c r="B49" s="33"/>
      <c r="C49" s="189"/>
      <c r="D49" s="189"/>
      <c r="E49" s="343"/>
      <c r="F49" s="33"/>
      <c r="G49" s="187"/>
      <c r="H49" s="1959"/>
      <c r="I49" s="33"/>
      <c r="J49" s="142"/>
      <c r="K49" s="33"/>
      <c r="L49" s="33"/>
      <c r="M49" s="33"/>
      <c r="N49" s="33"/>
      <c r="O49" s="142"/>
      <c r="P49" s="33"/>
      <c r="Q49" s="33"/>
      <c r="R49" s="114"/>
    </row>
    <row r="50" spans="1:18" s="84" customFormat="1" x14ac:dyDescent="0.2">
      <c r="A50" s="105">
        <f>SUM(A43:A49)</f>
        <v>9633500</v>
      </c>
      <c r="B50" s="53">
        <f>SUM(B43:B49)</f>
        <v>10689100</v>
      </c>
      <c r="C50" s="190">
        <f>SUM(C43:C49)</f>
        <v>10892500</v>
      </c>
      <c r="D50" s="190">
        <f>SUM(D43:D49)</f>
        <v>11199100</v>
      </c>
      <c r="E50" s="343"/>
      <c r="F50" s="378" t="s">
        <v>2605</v>
      </c>
      <c r="G50" s="199">
        <f t="shared" ref="G50:P50" si="66">SUM(G43:G49)</f>
        <v>11913600</v>
      </c>
      <c r="H50" s="180">
        <f>IF(D50=G50,0,IF(D50=0,100,(G50-D50)/D50*100))</f>
        <v>6.3799769624344815</v>
      </c>
      <c r="I50" s="53">
        <f t="shared" si="66"/>
        <v>12154300</v>
      </c>
      <c r="J50" s="155">
        <f t="shared" si="66"/>
        <v>12435300</v>
      </c>
      <c r="K50" s="53">
        <f t="shared" si="66"/>
        <v>12705200</v>
      </c>
      <c r="L50" s="53">
        <f t="shared" si="66"/>
        <v>13171700</v>
      </c>
      <c r="M50" s="53">
        <f t="shared" si="66"/>
        <v>13706300</v>
      </c>
      <c r="N50" s="53">
        <f t="shared" si="66"/>
        <v>14146300</v>
      </c>
      <c r="O50" s="155">
        <f t="shared" si="66"/>
        <v>14654900</v>
      </c>
      <c r="P50" s="53">
        <f t="shared" si="66"/>
        <v>15212700</v>
      </c>
      <c r="Q50" s="53">
        <f t="shared" ref="Q50" si="67">SUM(Q43:Q49)</f>
        <v>15802300</v>
      </c>
      <c r="R50" s="113">
        <f t="shared" ref="R50" si="68">SUM(R43:R49)</f>
        <v>16499100</v>
      </c>
    </row>
    <row r="51" spans="1:18" s="84" customFormat="1" x14ac:dyDescent="0.2">
      <c r="A51" s="107"/>
      <c r="B51" s="33"/>
      <c r="C51" s="187"/>
      <c r="D51" s="187"/>
      <c r="E51" s="445"/>
      <c r="F51" s="112"/>
      <c r="G51" s="187"/>
      <c r="H51" s="138"/>
      <c r="I51" s="33"/>
      <c r="J51" s="142"/>
      <c r="K51" s="33"/>
      <c r="L51" s="33"/>
      <c r="M51" s="33"/>
      <c r="N51" s="33"/>
      <c r="O51" s="142"/>
      <c r="P51" s="33"/>
      <c r="Q51" s="33"/>
      <c r="R51" s="114"/>
    </row>
    <row r="52" spans="1:18" s="84" customFormat="1" x14ac:dyDescent="0.2">
      <c r="A52" s="107"/>
      <c r="B52" s="33"/>
      <c r="C52" s="187"/>
      <c r="D52" s="187"/>
      <c r="E52" s="437"/>
      <c r="F52" s="144" t="s">
        <v>2205</v>
      </c>
      <c r="G52" s="187"/>
      <c r="H52" s="187"/>
      <c r="I52" s="187"/>
      <c r="J52" s="142"/>
      <c r="K52" s="33"/>
      <c r="L52" s="33"/>
      <c r="M52" s="33"/>
      <c r="N52" s="33"/>
      <c r="O52" s="142"/>
      <c r="P52" s="33"/>
      <c r="Q52" s="33"/>
      <c r="R52" s="114"/>
    </row>
    <row r="53" spans="1:18" s="84" customFormat="1" x14ac:dyDescent="0.2">
      <c r="A53" s="107"/>
      <c r="B53" s="33"/>
      <c r="C53" s="189"/>
      <c r="D53" s="189"/>
      <c r="E53" s="821"/>
      <c r="F53" s="365"/>
      <c r="G53" s="187"/>
      <c r="H53" s="138"/>
      <c r="I53" s="187"/>
      <c r="J53" s="189"/>
      <c r="K53" s="189"/>
      <c r="L53" s="189"/>
      <c r="M53" s="189"/>
      <c r="N53" s="189"/>
      <c r="O53" s="189"/>
      <c r="P53" s="187"/>
      <c r="Q53" s="187"/>
      <c r="R53" s="188"/>
    </row>
    <row r="54" spans="1:18" s="84" customFormat="1" x14ac:dyDescent="0.2">
      <c r="A54" s="107"/>
      <c r="B54" s="33"/>
      <c r="C54" s="189"/>
      <c r="D54" s="189"/>
      <c r="E54" s="821"/>
      <c r="F54" s="64" t="s">
        <v>1429</v>
      </c>
      <c r="G54" s="187"/>
      <c r="H54" s="138"/>
      <c r="I54" s="33"/>
      <c r="J54" s="142"/>
      <c r="K54" s="33"/>
      <c r="L54" s="33"/>
      <c r="M54" s="33"/>
      <c r="N54" s="33"/>
      <c r="O54" s="142"/>
      <c r="P54" s="33"/>
      <c r="Q54" s="33"/>
      <c r="R54" s="114"/>
    </row>
    <row r="55" spans="1:18" s="84" customFormat="1" x14ac:dyDescent="0.2">
      <c r="A55" s="107">
        <f>SUM(A205:A213)</f>
        <v>286800</v>
      </c>
      <c r="B55" s="33">
        <f>SUM(B205:B213)</f>
        <v>263700</v>
      </c>
      <c r="C55" s="189">
        <f>SUM(C205:C213)</f>
        <v>337700</v>
      </c>
      <c r="D55" s="189">
        <f>SUM(D205:D213)</f>
        <v>355600</v>
      </c>
      <c r="E55" s="821" t="s">
        <v>1630</v>
      </c>
      <c r="F55" s="33" t="s">
        <v>572</v>
      </c>
      <c r="G55" s="187">
        <f t="shared" ref="G55:P55" si="69">SUM(G205:G213)</f>
        <v>469800</v>
      </c>
      <c r="H55" s="138">
        <f t="shared" ref="H55:H69" si="70">IF(D55=G55,0,IF(D55=0,100,(G55-D55)/D55*100))</f>
        <v>32.11473565804274</v>
      </c>
      <c r="I55" s="33">
        <f t="shared" si="69"/>
        <v>461000</v>
      </c>
      <c r="J55" s="142">
        <f t="shared" si="69"/>
        <v>512700</v>
      </c>
      <c r="K55" s="33">
        <f t="shared" si="69"/>
        <v>484700</v>
      </c>
      <c r="L55" s="33">
        <f t="shared" si="69"/>
        <v>496900</v>
      </c>
      <c r="M55" s="33">
        <f t="shared" si="69"/>
        <v>507000</v>
      </c>
      <c r="N55" s="33">
        <f t="shared" si="69"/>
        <v>567300</v>
      </c>
      <c r="O55" s="142">
        <f t="shared" si="69"/>
        <v>527800</v>
      </c>
      <c r="P55" s="33">
        <f t="shared" si="69"/>
        <v>538600</v>
      </c>
      <c r="Q55" s="33">
        <f t="shared" ref="Q55" si="71">SUM(Q205:Q213)</f>
        <v>549600</v>
      </c>
      <c r="R55" s="114">
        <f t="shared" ref="R55" si="72">SUM(R205:R213)</f>
        <v>560800</v>
      </c>
    </row>
    <row r="56" spans="1:18" s="84" customFormat="1" x14ac:dyDescent="0.2">
      <c r="A56" s="107">
        <f>SUM(A232:A254)</f>
        <v>246500</v>
      </c>
      <c r="B56" s="33">
        <f>SUM(B232:B254)</f>
        <v>310700</v>
      </c>
      <c r="C56" s="189">
        <f>SUM(C232:C254)</f>
        <v>350100</v>
      </c>
      <c r="D56" s="189">
        <f>SUM(D232:D254)</f>
        <v>415700</v>
      </c>
      <c r="E56" s="821">
        <v>50005</v>
      </c>
      <c r="F56" s="33" t="s">
        <v>2339</v>
      </c>
      <c r="G56" s="187">
        <f>SUM(G232:G254)</f>
        <v>420400</v>
      </c>
      <c r="H56" s="138">
        <f t="shared" si="70"/>
        <v>1.1306230454654798</v>
      </c>
      <c r="I56" s="33">
        <f t="shared" ref="I56:Q56" si="73">SUM(I232:I254)</f>
        <v>392600</v>
      </c>
      <c r="J56" s="142">
        <f t="shared" si="73"/>
        <v>403000</v>
      </c>
      <c r="K56" s="33">
        <f t="shared" si="73"/>
        <v>414000</v>
      </c>
      <c r="L56" s="33">
        <f t="shared" si="73"/>
        <v>425100</v>
      </c>
      <c r="M56" s="33">
        <f t="shared" si="73"/>
        <v>434400</v>
      </c>
      <c r="N56" s="33">
        <f t="shared" si="73"/>
        <v>443800</v>
      </c>
      <c r="O56" s="142">
        <f t="shared" si="73"/>
        <v>453300</v>
      </c>
      <c r="P56" s="33">
        <f t="shared" si="73"/>
        <v>463300</v>
      </c>
      <c r="Q56" s="33">
        <f t="shared" si="73"/>
        <v>473400</v>
      </c>
      <c r="R56" s="114">
        <f t="shared" ref="R56" si="74">SUM(R232:R254)</f>
        <v>483700</v>
      </c>
    </row>
    <row r="57" spans="1:18" s="84" customFormat="1" x14ac:dyDescent="0.2">
      <c r="A57" s="107">
        <f>SUM(A216:A220)</f>
        <v>438900</v>
      </c>
      <c r="B57" s="33">
        <f>SUM(B216:B220)</f>
        <v>222200</v>
      </c>
      <c r="C57" s="189">
        <f>SUM(C216:C220)</f>
        <v>176900</v>
      </c>
      <c r="D57" s="189">
        <f>SUM(D216:D220)</f>
        <v>150000</v>
      </c>
      <c r="E57" s="821">
        <v>50005</v>
      </c>
      <c r="F57" s="132" t="s">
        <v>4686</v>
      </c>
      <c r="G57" s="187">
        <f t="shared" ref="G57:P57" si="75">SUM(G216:G220)</f>
        <v>294800</v>
      </c>
      <c r="H57" s="138">
        <f t="shared" si="70"/>
        <v>96.533333333333331</v>
      </c>
      <c r="I57" s="33">
        <f t="shared" si="75"/>
        <v>41900</v>
      </c>
      <c r="J57" s="142">
        <f t="shared" si="75"/>
        <v>43000</v>
      </c>
      <c r="K57" s="33">
        <f t="shared" si="75"/>
        <v>44100</v>
      </c>
      <c r="L57" s="33">
        <f t="shared" si="75"/>
        <v>45300</v>
      </c>
      <c r="M57" s="33">
        <f t="shared" si="75"/>
        <v>46300</v>
      </c>
      <c r="N57" s="33">
        <f t="shared" si="75"/>
        <v>47300</v>
      </c>
      <c r="O57" s="142">
        <f t="shared" si="75"/>
        <v>48300</v>
      </c>
      <c r="P57" s="33">
        <f t="shared" si="75"/>
        <v>49300</v>
      </c>
      <c r="Q57" s="33">
        <f t="shared" ref="Q57" si="76">SUM(Q216:Q220)</f>
        <v>50300</v>
      </c>
      <c r="R57" s="114">
        <f t="shared" ref="R57" si="77">SUM(R216:R220)</f>
        <v>51400</v>
      </c>
    </row>
    <row r="58" spans="1:18" s="84" customFormat="1" x14ac:dyDescent="0.2">
      <c r="A58" s="107">
        <f>(SUM(A256:A258))</f>
        <v>8000</v>
      </c>
      <c r="B58" s="33">
        <f>(SUM(B256:B258))</f>
        <v>11000</v>
      </c>
      <c r="C58" s="189">
        <f>(SUM(C256:C258))</f>
        <v>17700</v>
      </c>
      <c r="D58" s="189">
        <f>(SUM(D256:D258))</f>
        <v>10700</v>
      </c>
      <c r="E58" s="821" t="s">
        <v>1462</v>
      </c>
      <c r="F58" s="33" t="s">
        <v>685</v>
      </c>
      <c r="G58" s="187">
        <f>(SUM(G256:G258))</f>
        <v>8400</v>
      </c>
      <c r="H58" s="138">
        <f t="shared" si="70"/>
        <v>-21.495327102803738</v>
      </c>
      <c r="I58" s="33">
        <f t="shared" ref="I58:Q58" si="78">(SUM(I256:I258))</f>
        <v>12000</v>
      </c>
      <c r="J58" s="142">
        <f t="shared" si="78"/>
        <v>12300</v>
      </c>
      <c r="K58" s="33">
        <f t="shared" si="78"/>
        <v>12700</v>
      </c>
      <c r="L58" s="33">
        <f t="shared" si="78"/>
        <v>13100</v>
      </c>
      <c r="M58" s="33">
        <f t="shared" si="78"/>
        <v>13400</v>
      </c>
      <c r="N58" s="33">
        <f t="shared" si="78"/>
        <v>13700</v>
      </c>
      <c r="O58" s="142">
        <f t="shared" si="78"/>
        <v>14000</v>
      </c>
      <c r="P58" s="33">
        <f t="shared" si="78"/>
        <v>14300</v>
      </c>
      <c r="Q58" s="33">
        <f t="shared" si="78"/>
        <v>14600</v>
      </c>
      <c r="R58" s="114">
        <f t="shared" ref="R58" si="79">(SUM(R256:R258))</f>
        <v>14900</v>
      </c>
    </row>
    <row r="59" spans="1:18" s="84" customFormat="1" x14ac:dyDescent="0.2">
      <c r="A59" s="107">
        <f>SUM(A262:A265)</f>
        <v>5143400</v>
      </c>
      <c r="B59" s="33">
        <f>SUM(B262:B265)</f>
        <v>5419200</v>
      </c>
      <c r="C59" s="189">
        <f>SUM(C262:C265)</f>
        <v>5720300</v>
      </c>
      <c r="D59" s="189">
        <f>SUM(D262:D265)</f>
        <v>5703100</v>
      </c>
      <c r="E59" s="821" t="s">
        <v>1464</v>
      </c>
      <c r="F59" s="33" t="s">
        <v>1033</v>
      </c>
      <c r="G59" s="187">
        <f t="shared" ref="G59:P59" si="80">SUM(G262:G265)</f>
        <v>5886700</v>
      </c>
      <c r="H59" s="138">
        <f t="shared" si="70"/>
        <v>3.2193017832406938</v>
      </c>
      <c r="I59" s="33">
        <f t="shared" si="80"/>
        <v>6004500</v>
      </c>
      <c r="J59" s="142">
        <f t="shared" si="80"/>
        <v>6154700</v>
      </c>
      <c r="K59" s="33">
        <f t="shared" si="80"/>
        <v>6308700</v>
      </c>
      <c r="L59" s="33">
        <f t="shared" si="80"/>
        <v>6466500</v>
      </c>
      <c r="M59" s="33">
        <f t="shared" si="80"/>
        <v>6660600</v>
      </c>
      <c r="N59" s="33">
        <f t="shared" si="80"/>
        <v>6860500</v>
      </c>
      <c r="O59" s="142">
        <f t="shared" si="80"/>
        <v>7066400</v>
      </c>
      <c r="P59" s="33">
        <f t="shared" si="80"/>
        <v>7278500</v>
      </c>
      <c r="Q59" s="33">
        <f t="shared" ref="Q59" si="81">SUM(Q262:Q265)</f>
        <v>7496900</v>
      </c>
      <c r="R59" s="114">
        <f t="shared" ref="R59" si="82">SUM(R262:R265)</f>
        <v>7722000</v>
      </c>
    </row>
    <row r="60" spans="1:18" s="84" customFormat="1" x14ac:dyDescent="0.2">
      <c r="A60" s="107">
        <f>SUM(A266:A271)</f>
        <v>48700</v>
      </c>
      <c r="B60" s="33">
        <f>SUM(B266:B271)</f>
        <v>58100</v>
      </c>
      <c r="C60" s="189">
        <f>SUM(C266:C271)</f>
        <v>46100</v>
      </c>
      <c r="D60" s="189">
        <f>SUM(D266:D271)</f>
        <v>10700</v>
      </c>
      <c r="E60" s="821" t="s">
        <v>1619</v>
      </c>
      <c r="F60" s="132" t="s">
        <v>5012</v>
      </c>
      <c r="G60" s="187">
        <f>SUM(G266:G275)</f>
        <v>16600</v>
      </c>
      <c r="H60" s="138">
        <f t="shared" si="70"/>
        <v>55.140186915887845</v>
      </c>
      <c r="I60" s="33">
        <f>SUM(I266:I275)</f>
        <v>15600</v>
      </c>
      <c r="J60" s="33">
        <f t="shared" ref="J60:Q60" si="83">SUM(J266:J275)</f>
        <v>16600</v>
      </c>
      <c r="K60" s="33">
        <f t="shared" si="83"/>
        <v>17600</v>
      </c>
      <c r="L60" s="33">
        <f t="shared" si="83"/>
        <v>18600</v>
      </c>
      <c r="M60" s="33">
        <f t="shared" si="83"/>
        <v>19600</v>
      </c>
      <c r="N60" s="33">
        <f t="shared" si="83"/>
        <v>20600</v>
      </c>
      <c r="O60" s="33">
        <f t="shared" si="83"/>
        <v>21600</v>
      </c>
      <c r="P60" s="33">
        <f t="shared" si="83"/>
        <v>22600</v>
      </c>
      <c r="Q60" s="33">
        <f t="shared" si="83"/>
        <v>23600</v>
      </c>
      <c r="R60" s="114">
        <f t="shared" ref="R60" si="84">SUM(R266:R275)</f>
        <v>24600</v>
      </c>
    </row>
    <row r="61" spans="1:18" s="84" customFormat="1" x14ac:dyDescent="0.2">
      <c r="A61" s="107">
        <f>SUM(A277:A286)</f>
        <v>50100</v>
      </c>
      <c r="B61" s="33">
        <f>SUM(B277:B286)</f>
        <v>54500</v>
      </c>
      <c r="C61" s="189">
        <f>SUM(C277:C286)</f>
        <v>47500</v>
      </c>
      <c r="D61" s="189">
        <f>SUM(D277:D286)</f>
        <v>34400</v>
      </c>
      <c r="E61" s="821" t="s">
        <v>1618</v>
      </c>
      <c r="F61" s="132" t="s">
        <v>6702</v>
      </c>
      <c r="G61" s="187">
        <f t="shared" ref="G61:P61" si="85">SUM(G277:G286)</f>
        <v>48000</v>
      </c>
      <c r="H61" s="138">
        <f t="shared" si="70"/>
        <v>39.534883720930232</v>
      </c>
      <c r="I61" s="33">
        <f t="shared" si="85"/>
        <v>49200</v>
      </c>
      <c r="J61" s="142">
        <f t="shared" si="85"/>
        <v>50900</v>
      </c>
      <c r="K61" s="33">
        <f t="shared" si="85"/>
        <v>52600</v>
      </c>
      <c r="L61" s="33">
        <f t="shared" si="85"/>
        <v>54300</v>
      </c>
      <c r="M61" s="33">
        <f t="shared" si="85"/>
        <v>55800</v>
      </c>
      <c r="N61" s="33">
        <f t="shared" si="85"/>
        <v>57300</v>
      </c>
      <c r="O61" s="142">
        <f t="shared" si="85"/>
        <v>58900</v>
      </c>
      <c r="P61" s="33">
        <f t="shared" si="85"/>
        <v>60500</v>
      </c>
      <c r="Q61" s="33">
        <f t="shared" ref="Q61" si="86">SUM(Q277:Q286)</f>
        <v>62200</v>
      </c>
      <c r="R61" s="114">
        <f t="shared" ref="R61" si="87">SUM(R277:R286)</f>
        <v>63900</v>
      </c>
    </row>
    <row r="62" spans="1:18" s="84" customFormat="1" x14ac:dyDescent="0.2">
      <c r="A62" s="107">
        <f>SUM(A294:A295)</f>
        <v>68500</v>
      </c>
      <c r="B62" s="33">
        <f>SUM(B294:B295)</f>
        <v>62800</v>
      </c>
      <c r="C62" s="189">
        <f>SUM(C294:C295)</f>
        <v>77800</v>
      </c>
      <c r="D62" s="189">
        <f>SUM(D294:D297)</f>
        <v>55700</v>
      </c>
      <c r="E62" s="821" t="s">
        <v>5528</v>
      </c>
      <c r="F62" s="132" t="s">
        <v>6960</v>
      </c>
      <c r="G62" s="187">
        <f>SUM(G294:G297)</f>
        <v>47000</v>
      </c>
      <c r="H62" s="138">
        <f t="shared" si="70"/>
        <v>-15.619389587073609</v>
      </c>
      <c r="I62" s="33">
        <f t="shared" ref="I62:P62" si="88">SUM(I294:I297)</f>
        <v>61100</v>
      </c>
      <c r="J62" s="142">
        <f t="shared" si="88"/>
        <v>62800</v>
      </c>
      <c r="K62" s="33">
        <f t="shared" si="88"/>
        <v>64500</v>
      </c>
      <c r="L62" s="33">
        <f t="shared" si="88"/>
        <v>66300</v>
      </c>
      <c r="M62" s="33">
        <f t="shared" si="88"/>
        <v>67700</v>
      </c>
      <c r="N62" s="33">
        <f t="shared" si="88"/>
        <v>69100</v>
      </c>
      <c r="O62" s="142">
        <f t="shared" si="88"/>
        <v>70600</v>
      </c>
      <c r="P62" s="33">
        <f t="shared" si="88"/>
        <v>72200</v>
      </c>
      <c r="Q62" s="33">
        <f t="shared" ref="Q62" si="89">SUM(Q294:Q297)</f>
        <v>73800</v>
      </c>
      <c r="R62" s="114">
        <f t="shared" ref="R62" si="90">SUM(R294:R297)</f>
        <v>75500</v>
      </c>
    </row>
    <row r="63" spans="1:18" s="84" customFormat="1" x14ac:dyDescent="0.2">
      <c r="A63" s="107">
        <f>SUM(A299:A304)</f>
        <v>80100</v>
      </c>
      <c r="B63" s="33">
        <f>SUM(B299:B304)</f>
        <v>153100</v>
      </c>
      <c r="C63" s="189">
        <f>SUM(C299:C304)</f>
        <v>129500</v>
      </c>
      <c r="D63" s="189">
        <f>SUM(D299:D304)</f>
        <v>111800</v>
      </c>
      <c r="E63" s="821" t="s">
        <v>1620</v>
      </c>
      <c r="F63" s="132" t="s">
        <v>5026</v>
      </c>
      <c r="G63" s="187">
        <f t="shared" ref="G63:P63" si="91">SUM(G299:G304)</f>
        <v>97100</v>
      </c>
      <c r="H63" s="138">
        <f t="shared" si="70"/>
        <v>-13.148479427549194</v>
      </c>
      <c r="I63" s="33">
        <f t="shared" si="91"/>
        <v>83500</v>
      </c>
      <c r="J63" s="142">
        <f t="shared" si="91"/>
        <v>85800</v>
      </c>
      <c r="K63" s="33">
        <f t="shared" si="91"/>
        <v>88100</v>
      </c>
      <c r="L63" s="33">
        <f t="shared" si="91"/>
        <v>90500</v>
      </c>
      <c r="M63" s="33">
        <f t="shared" si="91"/>
        <v>92500</v>
      </c>
      <c r="N63" s="33">
        <f t="shared" si="91"/>
        <v>94500</v>
      </c>
      <c r="O63" s="142">
        <f t="shared" si="91"/>
        <v>96500</v>
      </c>
      <c r="P63" s="33">
        <f t="shared" si="91"/>
        <v>98500</v>
      </c>
      <c r="Q63" s="33">
        <f t="shared" ref="Q63" si="92">SUM(Q299:Q304)</f>
        <v>100600</v>
      </c>
      <c r="R63" s="114">
        <f t="shared" ref="R63" si="93">SUM(R299:R304)</f>
        <v>102800</v>
      </c>
    </row>
    <row r="64" spans="1:18" s="84" customFormat="1" x14ac:dyDescent="0.2">
      <c r="A64" s="107">
        <f>SUM(A306:A309)</f>
        <v>0</v>
      </c>
      <c r="B64" s="33">
        <f>SUM(B306:B309)</f>
        <v>900</v>
      </c>
      <c r="C64" s="189">
        <f>SUM(C306:C309)</f>
        <v>3200</v>
      </c>
      <c r="D64" s="189">
        <f>SUM(D306:D309)</f>
        <v>30600</v>
      </c>
      <c r="E64" s="821" t="s">
        <v>1620</v>
      </c>
      <c r="F64" s="132" t="s">
        <v>5025</v>
      </c>
      <c r="G64" s="187">
        <f>SUM(G306:G309)</f>
        <v>34800</v>
      </c>
      <c r="H64" s="138">
        <f t="shared" si="70"/>
        <v>13.725490196078432</v>
      </c>
      <c r="I64" s="33">
        <f t="shared" ref="I64:Q64" si="94">SUM(I306:I309)</f>
        <v>45000</v>
      </c>
      <c r="J64" s="142">
        <f t="shared" si="94"/>
        <v>46200</v>
      </c>
      <c r="K64" s="33">
        <f t="shared" si="94"/>
        <v>47400</v>
      </c>
      <c r="L64" s="33">
        <f t="shared" si="94"/>
        <v>48700</v>
      </c>
      <c r="M64" s="33">
        <f t="shared" si="94"/>
        <v>49800</v>
      </c>
      <c r="N64" s="33">
        <f t="shared" si="94"/>
        <v>50900</v>
      </c>
      <c r="O64" s="142">
        <f t="shared" si="94"/>
        <v>52000</v>
      </c>
      <c r="P64" s="33">
        <f t="shared" si="94"/>
        <v>53200</v>
      </c>
      <c r="Q64" s="33">
        <f t="shared" si="94"/>
        <v>54400</v>
      </c>
      <c r="R64" s="114">
        <f t="shared" ref="R64" si="95">SUM(R306:R309)</f>
        <v>55600</v>
      </c>
    </row>
    <row r="65" spans="1:18" s="84" customFormat="1" x14ac:dyDescent="0.2">
      <c r="A65" s="107">
        <f>SUM(A311:A316)</f>
        <v>218900</v>
      </c>
      <c r="B65" s="33">
        <f>SUM(B311:B316)</f>
        <v>192500</v>
      </c>
      <c r="C65" s="189">
        <f>SUM(C311:C316)</f>
        <v>172900</v>
      </c>
      <c r="D65" s="189">
        <f>SUM(D311:D316)</f>
        <v>83200</v>
      </c>
      <c r="E65" s="821" t="s">
        <v>1622</v>
      </c>
      <c r="F65" s="132" t="s">
        <v>5022</v>
      </c>
      <c r="G65" s="187">
        <f t="shared" ref="G65:P65" si="96">SUM(G311:G316)</f>
        <v>72000</v>
      </c>
      <c r="H65" s="138">
        <f t="shared" si="70"/>
        <v>-13.461538461538462</v>
      </c>
      <c r="I65" s="33">
        <f t="shared" si="96"/>
        <v>73000</v>
      </c>
      <c r="J65" s="142">
        <f t="shared" si="96"/>
        <v>74900</v>
      </c>
      <c r="K65" s="33">
        <f t="shared" si="96"/>
        <v>76900</v>
      </c>
      <c r="L65" s="33">
        <f t="shared" si="96"/>
        <v>78900</v>
      </c>
      <c r="M65" s="33">
        <f t="shared" si="96"/>
        <v>80600</v>
      </c>
      <c r="N65" s="33">
        <f t="shared" si="96"/>
        <v>82300</v>
      </c>
      <c r="O65" s="142">
        <f t="shared" si="96"/>
        <v>84000</v>
      </c>
      <c r="P65" s="33">
        <f t="shared" si="96"/>
        <v>85700</v>
      </c>
      <c r="Q65" s="33">
        <f t="shared" ref="Q65" si="97">SUM(Q311:Q316)</f>
        <v>87600</v>
      </c>
      <c r="R65" s="114">
        <f t="shared" ref="R65" si="98">SUM(R311:R316)</f>
        <v>89500</v>
      </c>
    </row>
    <row r="66" spans="1:18" s="84" customFormat="1" x14ac:dyDescent="0.2">
      <c r="A66" s="107">
        <f>SUM(A317:A320)</f>
        <v>415300</v>
      </c>
      <c r="B66" s="33">
        <f>SUM(B317:B320)</f>
        <v>348700</v>
      </c>
      <c r="C66" s="189">
        <f>SUM(C317:C320)</f>
        <v>446600</v>
      </c>
      <c r="D66" s="189">
        <f>SUM(D317:D320)</f>
        <v>364500</v>
      </c>
      <c r="E66" s="821" t="s">
        <v>1621</v>
      </c>
      <c r="F66" s="132" t="s">
        <v>5019</v>
      </c>
      <c r="G66" s="187">
        <f t="shared" ref="G66:P66" si="99">SUM(G317:G320)</f>
        <v>435000</v>
      </c>
      <c r="H66" s="138">
        <f t="shared" si="70"/>
        <v>19.34156378600823</v>
      </c>
      <c r="I66" s="33">
        <f t="shared" si="99"/>
        <v>500000</v>
      </c>
      <c r="J66" s="142">
        <f t="shared" si="99"/>
        <v>512500</v>
      </c>
      <c r="K66" s="33">
        <f t="shared" si="99"/>
        <v>525400</v>
      </c>
      <c r="L66" s="33">
        <f t="shared" si="99"/>
        <v>538700</v>
      </c>
      <c r="M66" s="33">
        <f t="shared" si="99"/>
        <v>549600</v>
      </c>
      <c r="N66" s="33">
        <f t="shared" si="99"/>
        <v>560600</v>
      </c>
      <c r="O66" s="142">
        <f t="shared" si="99"/>
        <v>571900</v>
      </c>
      <c r="P66" s="33">
        <f t="shared" si="99"/>
        <v>583400</v>
      </c>
      <c r="Q66" s="33">
        <f t="shared" ref="Q66" si="100">SUM(Q317:Q320)</f>
        <v>595200</v>
      </c>
      <c r="R66" s="114">
        <f t="shared" ref="R66" si="101">SUM(R317:R320)</f>
        <v>607200</v>
      </c>
    </row>
    <row r="67" spans="1:18" s="84" customFormat="1" x14ac:dyDescent="0.2">
      <c r="A67" s="107">
        <f t="shared" ref="A67:B67" si="102">SUM(A321:A323)</f>
        <v>293400</v>
      </c>
      <c r="B67" s="33">
        <f t="shared" si="102"/>
        <v>401000</v>
      </c>
      <c r="C67" s="189">
        <f>SUM(C321:C323)</f>
        <v>343800</v>
      </c>
      <c r="D67" s="189">
        <f>SUM(D321:D323)</f>
        <v>345100</v>
      </c>
      <c r="E67" s="821" t="s">
        <v>4689</v>
      </c>
      <c r="F67" s="814" t="s">
        <v>5006</v>
      </c>
      <c r="G67" s="189">
        <f t="shared" ref="G67:P67" si="103">SUM(G321:G323)</f>
        <v>340000</v>
      </c>
      <c r="H67" s="138">
        <f t="shared" si="70"/>
        <v>-1.4778325123152709</v>
      </c>
      <c r="I67" s="33">
        <f t="shared" si="103"/>
        <v>345000</v>
      </c>
      <c r="J67" s="33">
        <f t="shared" si="103"/>
        <v>353700</v>
      </c>
      <c r="K67" s="33">
        <f t="shared" si="103"/>
        <v>362600</v>
      </c>
      <c r="L67" s="33">
        <f t="shared" si="103"/>
        <v>371700</v>
      </c>
      <c r="M67" s="33">
        <f t="shared" si="103"/>
        <v>379200</v>
      </c>
      <c r="N67" s="33">
        <f t="shared" si="103"/>
        <v>386800</v>
      </c>
      <c r="O67" s="187">
        <f t="shared" si="103"/>
        <v>394600</v>
      </c>
      <c r="P67" s="187">
        <f t="shared" si="103"/>
        <v>402500</v>
      </c>
      <c r="Q67" s="187">
        <f t="shared" ref="Q67" si="104">SUM(Q321:Q323)</f>
        <v>410600</v>
      </c>
      <c r="R67" s="188">
        <f t="shared" ref="R67" si="105">SUM(R321:R323)</f>
        <v>418900</v>
      </c>
    </row>
    <row r="68" spans="1:18" s="84" customFormat="1" x14ac:dyDescent="0.2">
      <c r="A68" s="107">
        <f>SUM(A324:A335)</f>
        <v>333400</v>
      </c>
      <c r="B68" s="33">
        <f>SUM(B324:B335)</f>
        <v>376300</v>
      </c>
      <c r="C68" s="189">
        <f>SUM(C324:C335)</f>
        <v>232600</v>
      </c>
      <c r="D68" s="189">
        <f>SUM(D324:D335)</f>
        <v>247000</v>
      </c>
      <c r="E68" s="821" t="s">
        <v>1623</v>
      </c>
      <c r="F68" s="132" t="s">
        <v>6703</v>
      </c>
      <c r="G68" s="187">
        <f>SUM(G324:G335)</f>
        <v>259800</v>
      </c>
      <c r="H68" s="138">
        <f t="shared" si="70"/>
        <v>5.1821862348178138</v>
      </c>
      <c r="I68" s="33">
        <f t="shared" ref="I68:Q68" si="106">SUM(I324:I335)</f>
        <v>268000</v>
      </c>
      <c r="J68" s="142">
        <f t="shared" si="106"/>
        <v>275100</v>
      </c>
      <c r="K68" s="33">
        <f t="shared" si="106"/>
        <v>282300</v>
      </c>
      <c r="L68" s="33">
        <f t="shared" si="106"/>
        <v>289900</v>
      </c>
      <c r="M68" s="33">
        <f t="shared" si="106"/>
        <v>296000</v>
      </c>
      <c r="N68" s="33">
        <f t="shared" si="106"/>
        <v>302500</v>
      </c>
      <c r="O68" s="142">
        <f t="shared" si="106"/>
        <v>308800</v>
      </c>
      <c r="P68" s="33">
        <f t="shared" si="106"/>
        <v>315500</v>
      </c>
      <c r="Q68" s="33">
        <f t="shared" si="106"/>
        <v>321900</v>
      </c>
      <c r="R68" s="114">
        <f t="shared" ref="R68" si="107">SUM(R324:R335)</f>
        <v>328800</v>
      </c>
    </row>
    <row r="69" spans="1:18" s="84" customFormat="1" x14ac:dyDescent="0.2">
      <c r="A69" s="107">
        <f>SUM(A336:A338)</f>
        <v>101800</v>
      </c>
      <c r="B69" s="33">
        <f>SUM(B336:B338)</f>
        <v>69100</v>
      </c>
      <c r="C69" s="189">
        <f>SUM(C336:C338)</f>
        <v>55000</v>
      </c>
      <c r="D69" s="189">
        <f>SUM(D336:D338)</f>
        <v>67900</v>
      </c>
      <c r="E69" s="821" t="s">
        <v>4689</v>
      </c>
      <c r="F69" s="132" t="s">
        <v>6704</v>
      </c>
      <c r="G69" s="187">
        <f t="shared" ref="G69:P69" si="108">SUM(G336:G338)</f>
        <v>92200</v>
      </c>
      <c r="H69" s="138">
        <f t="shared" si="70"/>
        <v>35.787923416789397</v>
      </c>
      <c r="I69" s="33">
        <f t="shared" si="108"/>
        <v>113000</v>
      </c>
      <c r="J69" s="142">
        <f t="shared" si="108"/>
        <v>115900</v>
      </c>
      <c r="K69" s="33">
        <f t="shared" si="108"/>
        <v>118900</v>
      </c>
      <c r="L69" s="33">
        <f t="shared" si="108"/>
        <v>122000</v>
      </c>
      <c r="M69" s="33">
        <f t="shared" si="108"/>
        <v>124600</v>
      </c>
      <c r="N69" s="33">
        <f t="shared" si="108"/>
        <v>127200</v>
      </c>
      <c r="O69" s="142">
        <f t="shared" si="108"/>
        <v>129900</v>
      </c>
      <c r="P69" s="33">
        <f t="shared" si="108"/>
        <v>132600</v>
      </c>
      <c r="Q69" s="33">
        <f t="shared" ref="Q69" si="109">SUM(Q336:Q338)</f>
        <v>135400</v>
      </c>
      <c r="R69" s="114">
        <f t="shared" ref="R69" si="110">SUM(R336:R338)</f>
        <v>138200</v>
      </c>
    </row>
    <row r="70" spans="1:18" s="84" customFormat="1" x14ac:dyDescent="0.2">
      <c r="A70" s="107"/>
      <c r="B70" s="33"/>
      <c r="C70" s="189"/>
      <c r="D70" s="189"/>
      <c r="E70" s="821"/>
      <c r="F70" s="33"/>
      <c r="G70" s="187"/>
      <c r="H70" s="138"/>
      <c r="I70" s="33"/>
      <c r="J70" s="142"/>
      <c r="K70" s="33"/>
      <c r="L70" s="33"/>
      <c r="M70" s="33"/>
      <c r="N70" s="33"/>
      <c r="O70" s="142"/>
      <c r="P70" s="33"/>
      <c r="Q70" s="33"/>
      <c r="R70" s="114"/>
    </row>
    <row r="71" spans="1:18" s="84" customFormat="1" x14ac:dyDescent="0.2">
      <c r="A71" s="107"/>
      <c r="B71" s="33"/>
      <c r="C71" s="189"/>
      <c r="D71" s="189"/>
      <c r="E71" s="821"/>
      <c r="F71" s="64" t="s">
        <v>1663</v>
      </c>
      <c r="G71" s="187"/>
      <c r="H71" s="138"/>
      <c r="I71" s="33"/>
      <c r="J71" s="142"/>
      <c r="K71" s="33"/>
      <c r="L71" s="33"/>
      <c r="M71" s="33"/>
      <c r="N71" s="33"/>
      <c r="O71" s="142"/>
      <c r="P71" s="33"/>
      <c r="Q71" s="33"/>
      <c r="R71" s="114"/>
    </row>
    <row r="72" spans="1:18" s="84" customFormat="1" x14ac:dyDescent="0.2">
      <c r="A72" s="2505">
        <f>SUM(A222:A222)</f>
        <v>1145000</v>
      </c>
      <c r="B72" s="187">
        <f>SUM(B222:B222)</f>
        <v>1197300</v>
      </c>
      <c r="C72" s="189">
        <f>SUM(C222:C222)</f>
        <v>1160000</v>
      </c>
      <c r="D72" s="189">
        <f>SUM(D222:D222)</f>
        <v>1301000</v>
      </c>
      <c r="E72" s="821" t="s">
        <v>1461</v>
      </c>
      <c r="F72" s="33" t="s">
        <v>407</v>
      </c>
      <c r="G72" s="187">
        <f t="shared" ref="G72:P72" si="111">SUM(G222:G222)</f>
        <v>1319000</v>
      </c>
      <c r="H72" s="138">
        <f>IF(D72=G72,0,IF(D72=0,100,(G72-D72)/D72*100))</f>
        <v>1.3835511145272867</v>
      </c>
      <c r="I72" s="33">
        <f t="shared" si="111"/>
        <v>1345000</v>
      </c>
      <c r="J72" s="142">
        <f t="shared" si="111"/>
        <v>1378600</v>
      </c>
      <c r="K72" s="33">
        <f t="shared" si="111"/>
        <v>1413100</v>
      </c>
      <c r="L72" s="33">
        <f t="shared" si="111"/>
        <v>1448400</v>
      </c>
      <c r="M72" s="33">
        <f t="shared" si="111"/>
        <v>1477400</v>
      </c>
      <c r="N72" s="33">
        <f t="shared" si="111"/>
        <v>1506900</v>
      </c>
      <c r="O72" s="142">
        <f t="shared" si="111"/>
        <v>1537000</v>
      </c>
      <c r="P72" s="33">
        <f t="shared" si="111"/>
        <v>1567700</v>
      </c>
      <c r="Q72" s="33">
        <f t="shared" ref="Q72" si="112">SUM(Q222:Q222)</f>
        <v>1599100</v>
      </c>
      <c r="R72" s="114">
        <f t="shared" ref="R72" si="113">SUM(R222:R222)</f>
        <v>1631100</v>
      </c>
    </row>
    <row r="73" spans="1:18" s="84" customFormat="1" x14ac:dyDescent="0.2">
      <c r="A73" s="107"/>
      <c r="B73" s="33"/>
      <c r="C73" s="33"/>
      <c r="D73" s="33"/>
      <c r="E73" s="821"/>
      <c r="F73" s="33"/>
      <c r="G73" s="187"/>
      <c r="H73" s="33"/>
      <c r="I73" s="33"/>
      <c r="J73" s="142"/>
      <c r="K73" s="33"/>
      <c r="L73" s="33"/>
      <c r="M73" s="33"/>
      <c r="N73" s="33"/>
      <c r="O73" s="142"/>
      <c r="P73" s="33"/>
      <c r="Q73" s="33"/>
      <c r="R73" s="114"/>
    </row>
    <row r="74" spans="1:18" s="92" customFormat="1" x14ac:dyDescent="0.2">
      <c r="A74" s="70"/>
      <c r="B74" s="64"/>
      <c r="C74" s="193"/>
      <c r="D74" s="193"/>
      <c r="E74" s="821"/>
      <c r="F74" s="64" t="s">
        <v>1130</v>
      </c>
      <c r="G74" s="192"/>
      <c r="H74" s="138"/>
      <c r="I74" s="64"/>
      <c r="J74" s="128"/>
      <c r="K74" s="64"/>
      <c r="L74" s="64"/>
      <c r="M74" s="64"/>
      <c r="N74" s="64"/>
      <c r="O74" s="128"/>
      <c r="P74" s="64"/>
      <c r="Q74" s="64"/>
      <c r="R74" s="115"/>
    </row>
    <row r="75" spans="1:18" s="84" customFormat="1" x14ac:dyDescent="0.2">
      <c r="A75" s="107">
        <f>A260</f>
        <v>100</v>
      </c>
      <c r="B75" s="33">
        <f>B260</f>
        <v>0</v>
      </c>
      <c r="C75" s="189">
        <f>C260</f>
        <v>0</v>
      </c>
      <c r="D75" s="189">
        <f>D260</f>
        <v>0</v>
      </c>
      <c r="E75" s="821" t="s">
        <v>1463</v>
      </c>
      <c r="F75" s="33" t="s">
        <v>2454</v>
      </c>
      <c r="G75" s="187">
        <f t="shared" ref="G75:M75" si="114">G260</f>
        <v>0</v>
      </c>
      <c r="H75" s="138">
        <f>IF(D75=G75,0,IF(D75=0,100,(G75-D75)/D75*100))</f>
        <v>0</v>
      </c>
      <c r="I75" s="33">
        <f t="shared" si="114"/>
        <v>0</v>
      </c>
      <c r="J75" s="142">
        <f t="shared" si="114"/>
        <v>0</v>
      </c>
      <c r="K75" s="33">
        <f t="shared" si="114"/>
        <v>0</v>
      </c>
      <c r="L75" s="33">
        <f t="shared" si="114"/>
        <v>0</v>
      </c>
      <c r="M75" s="33">
        <f t="shared" si="114"/>
        <v>0</v>
      </c>
      <c r="N75" s="33">
        <f>N260</f>
        <v>0</v>
      </c>
      <c r="O75" s="142">
        <f>O260</f>
        <v>0</v>
      </c>
      <c r="P75" s="33">
        <f>P260</f>
        <v>0</v>
      </c>
      <c r="Q75" s="33">
        <f>Q260</f>
        <v>0</v>
      </c>
      <c r="R75" s="114">
        <f>R260</f>
        <v>0</v>
      </c>
    </row>
    <row r="76" spans="1:18" s="84" customFormat="1" x14ac:dyDescent="0.2">
      <c r="A76" s="107"/>
      <c r="B76" s="33"/>
      <c r="C76" s="189"/>
      <c r="D76" s="189"/>
      <c r="E76" s="821"/>
      <c r="F76" s="33"/>
      <c r="G76" s="187"/>
      <c r="H76" s="138"/>
      <c r="I76" s="33"/>
      <c r="J76" s="142"/>
      <c r="K76" s="33"/>
      <c r="L76" s="33"/>
      <c r="M76" s="33"/>
      <c r="N76" s="33"/>
      <c r="O76" s="142"/>
      <c r="P76" s="33"/>
      <c r="Q76" s="33"/>
      <c r="R76" s="114"/>
    </row>
    <row r="77" spans="1:18" s="84" customFormat="1" x14ac:dyDescent="0.2">
      <c r="A77" s="107"/>
      <c r="B77" s="33"/>
      <c r="C77" s="189"/>
      <c r="D77" s="189"/>
      <c r="E77" s="821"/>
      <c r="F77" s="64" t="s">
        <v>265</v>
      </c>
      <c r="G77" s="187"/>
      <c r="H77" s="138"/>
      <c r="I77" s="33"/>
      <c r="J77" s="142"/>
      <c r="K77" s="33"/>
      <c r="L77" s="33"/>
      <c r="M77" s="33"/>
      <c r="N77" s="33"/>
      <c r="O77" s="142"/>
      <c r="P77" s="33"/>
      <c r="Q77" s="33"/>
      <c r="R77" s="114"/>
    </row>
    <row r="78" spans="1:18" s="84" customFormat="1" x14ac:dyDescent="0.2">
      <c r="A78" s="107">
        <f t="shared" ref="A78:D79" si="115">A341</f>
        <v>1882900</v>
      </c>
      <c r="B78" s="33">
        <f t="shared" si="115"/>
        <v>1859500</v>
      </c>
      <c r="C78" s="189">
        <f t="shared" si="115"/>
        <v>1478700</v>
      </c>
      <c r="D78" s="189">
        <f t="shared" si="115"/>
        <v>1498900</v>
      </c>
      <c r="E78" s="821" t="s">
        <v>1623</v>
      </c>
      <c r="F78" s="33" t="s">
        <v>2070</v>
      </c>
      <c r="G78" s="187">
        <f t="shared" ref="G78:P78" si="116">G341</f>
        <v>1428000</v>
      </c>
      <c r="H78" s="138">
        <f>IF(D78=G78,0,IF(D78=0,100,(G78-D78)/D78*100))</f>
        <v>-4.7301354326506102</v>
      </c>
      <c r="I78" s="33">
        <f t="shared" si="116"/>
        <v>1380000</v>
      </c>
      <c r="J78" s="142">
        <f t="shared" si="116"/>
        <v>1407600</v>
      </c>
      <c r="K78" s="33">
        <f t="shared" si="116"/>
        <v>1435800</v>
      </c>
      <c r="L78" s="33">
        <f t="shared" si="116"/>
        <v>1464600</v>
      </c>
      <c r="M78" s="33">
        <f t="shared" si="116"/>
        <v>1493900</v>
      </c>
      <c r="N78" s="33">
        <f t="shared" si="116"/>
        <v>1523800</v>
      </c>
      <c r="O78" s="142">
        <f t="shared" si="116"/>
        <v>1554300</v>
      </c>
      <c r="P78" s="33">
        <f t="shared" si="116"/>
        <v>1585400</v>
      </c>
      <c r="Q78" s="33">
        <f t="shared" ref="Q78" si="117">Q341</f>
        <v>1617200</v>
      </c>
      <c r="R78" s="114">
        <f t="shared" ref="R78" si="118">R341</f>
        <v>1649600</v>
      </c>
    </row>
    <row r="79" spans="1:18" s="84" customFormat="1" x14ac:dyDescent="0.2">
      <c r="A79" s="107">
        <f t="shared" si="115"/>
        <v>161800</v>
      </c>
      <c r="B79" s="33">
        <f t="shared" si="115"/>
        <v>111000</v>
      </c>
      <c r="C79" s="189">
        <f t="shared" si="115"/>
        <v>20600</v>
      </c>
      <c r="D79" s="189">
        <f t="shared" si="115"/>
        <v>64000</v>
      </c>
      <c r="E79" s="821" t="s">
        <v>1623</v>
      </c>
      <c r="F79" s="132" t="s">
        <v>4520</v>
      </c>
      <c r="G79" s="187">
        <f t="shared" ref="G79:P79" si="119">G342</f>
        <v>0</v>
      </c>
      <c r="H79" s="138">
        <f>IF(D79=G79,0,IF(D79=0,100,(G79-D79)/D79*100))</f>
        <v>-100</v>
      </c>
      <c r="I79" s="33">
        <f t="shared" si="119"/>
        <v>0</v>
      </c>
      <c r="J79" s="142">
        <f t="shared" si="119"/>
        <v>0</v>
      </c>
      <c r="K79" s="33">
        <f t="shared" si="119"/>
        <v>0</v>
      </c>
      <c r="L79" s="33">
        <f t="shared" si="119"/>
        <v>0</v>
      </c>
      <c r="M79" s="33">
        <f t="shared" si="119"/>
        <v>0</v>
      </c>
      <c r="N79" s="33">
        <f t="shared" si="119"/>
        <v>0</v>
      </c>
      <c r="O79" s="142">
        <f t="shared" si="119"/>
        <v>0</v>
      </c>
      <c r="P79" s="33">
        <f t="shared" si="119"/>
        <v>0</v>
      </c>
      <c r="Q79" s="33">
        <f t="shared" ref="Q79" si="120">Q342</f>
        <v>0</v>
      </c>
      <c r="R79" s="114">
        <f t="shared" ref="R79" si="121">R342</f>
        <v>0</v>
      </c>
    </row>
    <row r="80" spans="1:18" s="84" customFormat="1" ht="13.5" thickBot="1" x14ac:dyDescent="0.25">
      <c r="A80" s="107"/>
      <c r="B80" s="33"/>
      <c r="C80" s="189"/>
      <c r="D80" s="189"/>
      <c r="E80" s="1959"/>
      <c r="F80" s="366"/>
      <c r="G80" s="187"/>
      <c r="H80" s="138"/>
      <c r="I80" s="33"/>
      <c r="J80" s="142"/>
      <c r="K80" s="33"/>
      <c r="L80" s="33"/>
      <c r="M80" s="33"/>
      <c r="N80" s="33"/>
      <c r="O80" s="142"/>
      <c r="P80" s="33"/>
      <c r="Q80" s="33"/>
      <c r="R80" s="114"/>
    </row>
    <row r="81" spans="1:18" s="92" customFormat="1" x14ac:dyDescent="0.2">
      <c r="A81" s="105">
        <f>SUM(A52:A80)</f>
        <v>10923600</v>
      </c>
      <c r="B81" s="53">
        <f>SUM(B52:B80)</f>
        <v>11111600</v>
      </c>
      <c r="C81" s="190">
        <f>SUM(C52:C80)</f>
        <v>10817000</v>
      </c>
      <c r="D81" s="190">
        <f>SUM(D52:D80)</f>
        <v>10849900</v>
      </c>
      <c r="E81" s="1990"/>
      <c r="F81" s="378" t="s">
        <v>565</v>
      </c>
      <c r="G81" s="199">
        <f t="shared" ref="G81:P81" si="122">SUM(G52:G80)</f>
        <v>11269600</v>
      </c>
      <c r="H81" s="180">
        <f>IF(D81=G81,0,IF(D81=0,100,(G81-D81)/D81*100))</f>
        <v>3.8682384169439352</v>
      </c>
      <c r="I81" s="53">
        <f t="shared" si="122"/>
        <v>11190400</v>
      </c>
      <c r="J81" s="155">
        <f t="shared" si="122"/>
        <v>11506300</v>
      </c>
      <c r="K81" s="53">
        <f t="shared" si="122"/>
        <v>11749400</v>
      </c>
      <c r="L81" s="53">
        <f t="shared" si="122"/>
        <v>12039500</v>
      </c>
      <c r="M81" s="53">
        <f t="shared" si="122"/>
        <v>12348400</v>
      </c>
      <c r="N81" s="53">
        <f t="shared" si="122"/>
        <v>12715100</v>
      </c>
      <c r="O81" s="155">
        <f t="shared" si="122"/>
        <v>12989900</v>
      </c>
      <c r="P81" s="53">
        <f t="shared" si="122"/>
        <v>13323800</v>
      </c>
      <c r="Q81" s="53">
        <f t="shared" ref="Q81" si="123">SUM(Q52:Q80)</f>
        <v>13666400</v>
      </c>
      <c r="R81" s="113">
        <f t="shared" ref="R81" si="124">SUM(R52:R80)</f>
        <v>14018500</v>
      </c>
    </row>
    <row r="82" spans="1:18" s="84" customFormat="1" x14ac:dyDescent="0.2">
      <c r="A82" s="107"/>
      <c r="B82" s="33"/>
      <c r="C82" s="189"/>
      <c r="D82" s="189"/>
      <c r="E82" s="1959"/>
      <c r="F82" s="366"/>
      <c r="G82" s="187"/>
      <c r="H82" s="138"/>
      <c r="I82" s="33"/>
      <c r="J82" s="142"/>
      <c r="K82" s="33"/>
      <c r="L82" s="33"/>
      <c r="M82" s="33"/>
      <c r="N82" s="33"/>
      <c r="O82" s="142"/>
      <c r="P82" s="33"/>
      <c r="Q82" s="33"/>
      <c r="R82" s="114"/>
    </row>
    <row r="83" spans="1:18" s="92" customFormat="1" x14ac:dyDescent="0.2">
      <c r="A83" s="70">
        <f>A50-A81</f>
        <v>-1290100</v>
      </c>
      <c r="B83" s="64">
        <f>B50-B81</f>
        <v>-422500</v>
      </c>
      <c r="C83" s="193">
        <f>C50-C81</f>
        <v>75500</v>
      </c>
      <c r="D83" s="193">
        <f>D50-D81</f>
        <v>349200</v>
      </c>
      <c r="E83" s="1990"/>
      <c r="F83" s="516" t="s">
        <v>1019</v>
      </c>
      <c r="G83" s="192">
        <f t="shared" ref="G83:P83" si="125">G50-G81</f>
        <v>644000</v>
      </c>
      <c r="H83" s="179">
        <f>IF(D83=G83,0,IF(D83=0,100,(G83-D83)/D83*100))</f>
        <v>84.421534936998853</v>
      </c>
      <c r="I83" s="64">
        <f t="shared" si="125"/>
        <v>963900</v>
      </c>
      <c r="J83" s="128">
        <f t="shared" si="125"/>
        <v>929000</v>
      </c>
      <c r="K83" s="64">
        <f t="shared" si="125"/>
        <v>955800</v>
      </c>
      <c r="L83" s="64">
        <f t="shared" si="125"/>
        <v>1132200</v>
      </c>
      <c r="M83" s="64">
        <f t="shared" si="125"/>
        <v>1357900</v>
      </c>
      <c r="N83" s="64">
        <f t="shared" si="125"/>
        <v>1431200</v>
      </c>
      <c r="O83" s="128">
        <f t="shared" si="125"/>
        <v>1665000</v>
      </c>
      <c r="P83" s="64">
        <f t="shared" si="125"/>
        <v>1888900</v>
      </c>
      <c r="Q83" s="64">
        <f t="shared" ref="Q83" si="126">Q50-Q81</f>
        <v>2135900</v>
      </c>
      <c r="R83" s="115">
        <f t="shared" ref="R83" si="127">R50-R81</f>
        <v>2480600</v>
      </c>
    </row>
    <row r="84" spans="1:18" s="84" customFormat="1" x14ac:dyDescent="0.2">
      <c r="A84" s="107">
        <f t="shared" ref="A84:B84" si="128">A78</f>
        <v>1882900</v>
      </c>
      <c r="B84" s="33">
        <f t="shared" si="128"/>
        <v>1859500</v>
      </c>
      <c r="C84" s="189">
        <f>C78</f>
        <v>1478700</v>
      </c>
      <c r="D84" s="189">
        <f>D78</f>
        <v>1498900</v>
      </c>
      <c r="E84" s="1959"/>
      <c r="F84" s="372" t="str">
        <f>F148</f>
        <v>Add Back Depreciation</v>
      </c>
      <c r="G84" s="187">
        <f t="shared" ref="G84:O85" si="129">G78</f>
        <v>1428000</v>
      </c>
      <c r="H84" s="138">
        <f>IF(D84=G84,0,IF(D84=0,100,(G84-D84)/D84*100))</f>
        <v>-4.7301354326506102</v>
      </c>
      <c r="I84" s="33">
        <f t="shared" si="129"/>
        <v>1380000</v>
      </c>
      <c r="J84" s="142">
        <f t="shared" si="129"/>
        <v>1407600</v>
      </c>
      <c r="K84" s="33">
        <f t="shared" si="129"/>
        <v>1435800</v>
      </c>
      <c r="L84" s="33">
        <f t="shared" si="129"/>
        <v>1464600</v>
      </c>
      <c r="M84" s="33">
        <f t="shared" si="129"/>
        <v>1493900</v>
      </c>
      <c r="N84" s="33">
        <f t="shared" si="129"/>
        <v>1523800</v>
      </c>
      <c r="O84" s="142">
        <f t="shared" si="129"/>
        <v>1554300</v>
      </c>
      <c r="P84" s="33">
        <f t="shared" ref="P84:Q84" si="130">P78</f>
        <v>1585400</v>
      </c>
      <c r="Q84" s="33">
        <f t="shared" si="130"/>
        <v>1617200</v>
      </c>
      <c r="R84" s="114">
        <f t="shared" ref="R84" si="131">R78</f>
        <v>1649600</v>
      </c>
    </row>
    <row r="85" spans="1:18" s="84" customFormat="1" x14ac:dyDescent="0.2">
      <c r="A85" s="107">
        <f t="shared" ref="A85:B85" si="132">A79</f>
        <v>161800</v>
      </c>
      <c r="B85" s="33">
        <f t="shared" si="132"/>
        <v>111000</v>
      </c>
      <c r="C85" s="189">
        <f>C79</f>
        <v>20600</v>
      </c>
      <c r="D85" s="189">
        <f>D79</f>
        <v>64000</v>
      </c>
      <c r="E85" s="1959"/>
      <c r="F85" s="372" t="str">
        <f>F149</f>
        <v>Add Back Loss on Infrastructure Disposal</v>
      </c>
      <c r="G85" s="187">
        <f t="shared" si="129"/>
        <v>0</v>
      </c>
      <c r="H85" s="138">
        <f>IF(D85=G85,0,IF(D85=0,100,(G85-D85)/D85*100))</f>
        <v>-100</v>
      </c>
      <c r="I85" s="33">
        <f t="shared" si="129"/>
        <v>0</v>
      </c>
      <c r="J85" s="142">
        <f t="shared" si="129"/>
        <v>0</v>
      </c>
      <c r="K85" s="33">
        <f t="shared" si="129"/>
        <v>0</v>
      </c>
      <c r="L85" s="33">
        <f t="shared" si="129"/>
        <v>0</v>
      </c>
      <c r="M85" s="33">
        <f t="shared" si="129"/>
        <v>0</v>
      </c>
      <c r="N85" s="33">
        <f t="shared" si="129"/>
        <v>0</v>
      </c>
      <c r="O85" s="142">
        <f t="shared" si="129"/>
        <v>0</v>
      </c>
      <c r="P85" s="33">
        <f t="shared" ref="P85:Q85" si="133">P79</f>
        <v>0</v>
      </c>
      <c r="Q85" s="33">
        <f t="shared" si="133"/>
        <v>0</v>
      </c>
      <c r="R85" s="114">
        <f t="shared" ref="R85" si="134">R79</f>
        <v>0</v>
      </c>
    </row>
    <row r="86" spans="1:18" s="92" customFormat="1" x14ac:dyDescent="0.2">
      <c r="A86" s="181">
        <f t="shared" ref="A86" si="135">SUM(A83:A85)</f>
        <v>754600</v>
      </c>
      <c r="B86" s="397">
        <f>SUM(B83:B85)</f>
        <v>1548000</v>
      </c>
      <c r="C86" s="398">
        <f>SUM(C83:C85)</f>
        <v>1574800</v>
      </c>
      <c r="D86" s="398">
        <f>SUM(D83:D85)</f>
        <v>1912100</v>
      </c>
      <c r="E86" s="521"/>
      <c r="F86" s="518" t="s">
        <v>1687</v>
      </c>
      <c r="G86" s="728">
        <f t="shared" ref="G86:O86" si="136">SUM(G83:G85)</f>
        <v>2072000</v>
      </c>
      <c r="H86" s="395">
        <f>IF(D86=G86,0,IF(D86=0,100,(G86-D86)/D86*100))</f>
        <v>8.3625333403064683</v>
      </c>
      <c r="I86" s="397">
        <f t="shared" si="136"/>
        <v>2343900</v>
      </c>
      <c r="J86" s="377">
        <f t="shared" si="136"/>
        <v>2336600</v>
      </c>
      <c r="K86" s="397">
        <f t="shared" si="136"/>
        <v>2391600</v>
      </c>
      <c r="L86" s="397">
        <f t="shared" si="136"/>
        <v>2596800</v>
      </c>
      <c r="M86" s="397">
        <f t="shared" si="136"/>
        <v>2851800</v>
      </c>
      <c r="N86" s="397">
        <f t="shared" si="136"/>
        <v>2955000</v>
      </c>
      <c r="O86" s="377">
        <f t="shared" si="136"/>
        <v>3219300</v>
      </c>
      <c r="P86" s="397">
        <f t="shared" ref="P86:Q86" si="137">SUM(P83:P85)</f>
        <v>3474300</v>
      </c>
      <c r="Q86" s="397">
        <f t="shared" si="137"/>
        <v>3753100</v>
      </c>
      <c r="R86" s="399">
        <f t="shared" ref="R86" si="138">SUM(R83:R85)</f>
        <v>4130200</v>
      </c>
    </row>
    <row r="87" spans="1:18" s="84" customFormat="1" ht="13.5" thickBot="1" x14ac:dyDescent="0.25">
      <c r="A87" s="171"/>
      <c r="B87" s="166"/>
      <c r="C87" s="166"/>
      <c r="D87" s="202"/>
      <c r="E87" s="166"/>
      <c r="F87" s="166"/>
      <c r="G87" s="729"/>
      <c r="H87" s="140"/>
      <c r="I87" s="729"/>
      <c r="J87" s="202"/>
      <c r="K87" s="121"/>
      <c r="L87" s="121"/>
      <c r="M87" s="121"/>
      <c r="N87" s="121"/>
      <c r="O87" s="95"/>
      <c r="P87" s="121"/>
      <c r="Q87" s="121"/>
      <c r="R87" s="161"/>
    </row>
    <row r="88" spans="1:18" s="84" customFormat="1" ht="13.5" thickTop="1" x14ac:dyDescent="0.2">
      <c r="A88" s="383"/>
      <c r="B88" s="162"/>
      <c r="C88" s="194"/>
      <c r="D88" s="194"/>
      <c r="E88" s="396"/>
      <c r="F88" s="367"/>
      <c r="G88" s="730"/>
      <c r="H88" s="505"/>
      <c r="I88" s="127"/>
      <c r="J88" s="164"/>
      <c r="K88" s="127"/>
      <c r="L88" s="127"/>
      <c r="M88" s="127"/>
      <c r="N88" s="127"/>
      <c r="O88" s="164"/>
      <c r="P88" s="127"/>
      <c r="Q88" s="127"/>
      <c r="R88" s="163"/>
    </row>
    <row r="89" spans="1:18" s="84" customFormat="1" x14ac:dyDescent="0.2">
      <c r="A89" s="70"/>
      <c r="B89" s="64"/>
      <c r="C89" s="193"/>
      <c r="D89" s="193"/>
      <c r="E89" s="123"/>
      <c r="F89" s="516" t="s">
        <v>196</v>
      </c>
      <c r="G89" s="192"/>
      <c r="H89" s="64"/>
      <c r="I89" s="33"/>
      <c r="J89" s="142"/>
      <c r="K89" s="33"/>
      <c r="L89" s="33"/>
      <c r="M89" s="33"/>
      <c r="N89" s="33"/>
      <c r="O89" s="142"/>
      <c r="P89" s="33"/>
      <c r="Q89" s="33"/>
      <c r="R89" s="114"/>
    </row>
    <row r="90" spans="1:18" s="84" customFormat="1" x14ac:dyDescent="0.2">
      <c r="A90" s="70"/>
      <c r="B90" s="64"/>
      <c r="C90" s="193"/>
      <c r="D90" s="193"/>
      <c r="E90" s="123"/>
      <c r="F90" s="371"/>
      <c r="G90" s="192"/>
      <c r="H90" s="64"/>
      <c r="I90" s="33"/>
      <c r="J90" s="142"/>
      <c r="K90" s="33"/>
      <c r="L90" s="33"/>
      <c r="M90" s="33"/>
      <c r="N90" s="33"/>
      <c r="O90" s="142"/>
      <c r="P90" s="33"/>
      <c r="Q90" s="33"/>
      <c r="R90" s="114"/>
    </row>
    <row r="91" spans="1:18" s="84" customFormat="1" x14ac:dyDescent="0.2">
      <c r="A91" s="107">
        <f t="shared" ref="A91:B91" si="139">A353</f>
        <v>3800</v>
      </c>
      <c r="B91" s="33">
        <f t="shared" si="139"/>
        <v>0</v>
      </c>
      <c r="C91" s="189">
        <f t="shared" ref="C91:D95" si="140">C353</f>
        <v>0</v>
      </c>
      <c r="D91" s="189">
        <f t="shared" si="140"/>
        <v>0</v>
      </c>
      <c r="E91" s="1959"/>
      <c r="F91" s="366" t="s">
        <v>2900</v>
      </c>
      <c r="G91" s="187">
        <f t="shared" ref="G91:P91" si="141">G353</f>
        <v>0</v>
      </c>
      <c r="H91" s="33"/>
      <c r="I91" s="33">
        <f t="shared" si="141"/>
        <v>0</v>
      </c>
      <c r="J91" s="142">
        <f t="shared" si="141"/>
        <v>0</v>
      </c>
      <c r="K91" s="33">
        <f t="shared" si="141"/>
        <v>0</v>
      </c>
      <c r="L91" s="33">
        <f t="shared" si="141"/>
        <v>0</v>
      </c>
      <c r="M91" s="33">
        <f t="shared" si="141"/>
        <v>0</v>
      </c>
      <c r="N91" s="33">
        <f t="shared" si="141"/>
        <v>0</v>
      </c>
      <c r="O91" s="142">
        <f t="shared" si="141"/>
        <v>0</v>
      </c>
      <c r="P91" s="33">
        <f t="shared" si="141"/>
        <v>0</v>
      </c>
      <c r="Q91" s="33">
        <f t="shared" ref="Q91" si="142">Q353</f>
        <v>0</v>
      </c>
      <c r="R91" s="114">
        <f t="shared" ref="R91" si="143">R353</f>
        <v>0</v>
      </c>
    </row>
    <row r="92" spans="1:18" s="84" customFormat="1" x14ac:dyDescent="0.2">
      <c r="A92" s="107">
        <f t="shared" ref="A92:B95" si="144">A354</f>
        <v>364000</v>
      </c>
      <c r="B92" s="33">
        <f t="shared" si="144"/>
        <v>485900</v>
      </c>
      <c r="C92" s="189">
        <f t="shared" si="140"/>
        <v>782500</v>
      </c>
      <c r="D92" s="189">
        <f t="shared" si="140"/>
        <v>637500</v>
      </c>
      <c r="E92" s="123"/>
      <c r="F92" s="366" t="s">
        <v>1942</v>
      </c>
      <c r="G92" s="187">
        <f t="shared" ref="G92:P92" si="145">G354</f>
        <v>374000</v>
      </c>
      <c r="H92" s="33"/>
      <c r="I92" s="33">
        <f t="shared" si="145"/>
        <v>227900</v>
      </c>
      <c r="J92" s="142">
        <f t="shared" si="145"/>
        <v>1281600</v>
      </c>
      <c r="K92" s="33">
        <f t="shared" si="145"/>
        <v>206600</v>
      </c>
      <c r="L92" s="33">
        <f t="shared" si="145"/>
        <v>539800</v>
      </c>
      <c r="M92" s="33">
        <f t="shared" si="145"/>
        <v>0</v>
      </c>
      <c r="N92" s="33">
        <f t="shared" si="145"/>
        <v>1494000</v>
      </c>
      <c r="O92" s="142">
        <f t="shared" si="145"/>
        <v>0</v>
      </c>
      <c r="P92" s="33">
        <f t="shared" si="145"/>
        <v>154600</v>
      </c>
      <c r="Q92" s="33">
        <f t="shared" ref="Q92" si="146">Q354</f>
        <v>1810100</v>
      </c>
      <c r="R92" s="114">
        <f t="shared" ref="R92" si="147">R354</f>
        <v>2345200</v>
      </c>
    </row>
    <row r="93" spans="1:18" s="84" customFormat="1" x14ac:dyDescent="0.2">
      <c r="A93" s="107">
        <f t="shared" si="144"/>
        <v>536600</v>
      </c>
      <c r="B93" s="33">
        <f t="shared" si="144"/>
        <v>0</v>
      </c>
      <c r="C93" s="189">
        <f t="shared" si="140"/>
        <v>0</v>
      </c>
      <c r="D93" s="189">
        <f t="shared" si="140"/>
        <v>0</v>
      </c>
      <c r="E93" s="123"/>
      <c r="F93" s="366" t="s">
        <v>2348</v>
      </c>
      <c r="G93" s="187">
        <f t="shared" ref="G93:P93" si="148">G355</f>
        <v>0</v>
      </c>
      <c r="H93" s="33"/>
      <c r="I93" s="33">
        <f t="shared" si="148"/>
        <v>0</v>
      </c>
      <c r="J93" s="142">
        <f t="shared" si="148"/>
        <v>0</v>
      </c>
      <c r="K93" s="33">
        <f t="shared" si="148"/>
        <v>0</v>
      </c>
      <c r="L93" s="33">
        <f t="shared" si="148"/>
        <v>0</v>
      </c>
      <c r="M93" s="33">
        <f t="shared" si="148"/>
        <v>1461600</v>
      </c>
      <c r="N93" s="33">
        <f t="shared" si="148"/>
        <v>0</v>
      </c>
      <c r="O93" s="142">
        <f t="shared" si="148"/>
        <v>325200</v>
      </c>
      <c r="P93" s="33">
        <f t="shared" si="148"/>
        <v>0</v>
      </c>
      <c r="Q93" s="33">
        <f t="shared" ref="Q93" si="149">Q355</f>
        <v>0</v>
      </c>
      <c r="R93" s="114">
        <f t="shared" ref="R93" si="150">R355</f>
        <v>0</v>
      </c>
    </row>
    <row r="94" spans="1:18" s="84" customFormat="1" x14ac:dyDescent="0.2">
      <c r="A94" s="107">
        <f t="shared" si="144"/>
        <v>47800</v>
      </c>
      <c r="B94" s="33">
        <f t="shared" si="144"/>
        <v>799000</v>
      </c>
      <c r="C94" s="189">
        <f t="shared" si="140"/>
        <v>2063400</v>
      </c>
      <c r="D94" s="189">
        <f t="shared" si="140"/>
        <v>186400</v>
      </c>
      <c r="E94" s="123"/>
      <c r="F94" s="366" t="s">
        <v>5984</v>
      </c>
      <c r="G94" s="187">
        <f t="shared" ref="G94:P94" si="151">G356</f>
        <v>1860000</v>
      </c>
      <c r="H94" s="33"/>
      <c r="I94" s="33">
        <f t="shared" si="151"/>
        <v>1322000</v>
      </c>
      <c r="J94" s="142">
        <f t="shared" si="151"/>
        <v>2959000</v>
      </c>
      <c r="K94" s="33">
        <f t="shared" si="151"/>
        <v>1485000</v>
      </c>
      <c r="L94" s="33">
        <f t="shared" si="151"/>
        <v>238000</v>
      </c>
      <c r="M94" s="33">
        <f t="shared" si="151"/>
        <v>1663000</v>
      </c>
      <c r="N94" s="33">
        <f t="shared" si="151"/>
        <v>3211000</v>
      </c>
      <c r="O94" s="142">
        <f t="shared" si="151"/>
        <v>587500</v>
      </c>
      <c r="P94" s="33">
        <f t="shared" si="151"/>
        <v>809300</v>
      </c>
      <c r="Q94" s="33">
        <f t="shared" ref="Q94" si="152">Q356</f>
        <v>0</v>
      </c>
      <c r="R94" s="114">
        <f t="shared" ref="R94" si="153">R356</f>
        <v>0</v>
      </c>
    </row>
    <row r="95" spans="1:18" s="84" customFormat="1" x14ac:dyDescent="0.2">
      <c r="A95" s="107">
        <f t="shared" si="144"/>
        <v>937200</v>
      </c>
      <c r="B95" s="33">
        <f t="shared" si="144"/>
        <v>1827100</v>
      </c>
      <c r="C95" s="189">
        <f t="shared" si="140"/>
        <v>2821700</v>
      </c>
      <c r="D95" s="189">
        <f t="shared" si="140"/>
        <v>1427000</v>
      </c>
      <c r="E95" s="123"/>
      <c r="F95" s="366" t="s">
        <v>973</v>
      </c>
      <c r="G95" s="187">
        <f t="shared" ref="G95:P95" si="154">G357</f>
        <v>3524000</v>
      </c>
      <c r="H95" s="33"/>
      <c r="I95" s="33">
        <f t="shared" si="154"/>
        <v>3404000</v>
      </c>
      <c r="J95" s="142">
        <f t="shared" si="154"/>
        <v>3980000</v>
      </c>
      <c r="K95" s="33">
        <f t="shared" si="154"/>
        <v>3636000</v>
      </c>
      <c r="L95" s="33">
        <f t="shared" si="154"/>
        <v>2261000</v>
      </c>
      <c r="M95" s="33">
        <f t="shared" si="154"/>
        <v>5942400</v>
      </c>
      <c r="N95" s="33">
        <f t="shared" si="154"/>
        <v>4638000</v>
      </c>
      <c r="O95" s="142">
        <f t="shared" si="154"/>
        <v>4098000</v>
      </c>
      <c r="P95" s="33">
        <f t="shared" si="154"/>
        <v>4095000</v>
      </c>
      <c r="Q95" s="33">
        <f t="shared" ref="Q95" si="155">Q357</f>
        <v>1909000</v>
      </c>
      <c r="R95" s="114">
        <f t="shared" ref="R95" si="156">R357</f>
        <v>1751000</v>
      </c>
    </row>
    <row r="96" spans="1:18" s="84" customFormat="1" x14ac:dyDescent="0.2">
      <c r="A96" s="107"/>
      <c r="B96" s="33"/>
      <c r="C96" s="189"/>
      <c r="D96" s="189"/>
      <c r="E96" s="123"/>
      <c r="F96" s="516"/>
      <c r="G96" s="187"/>
      <c r="H96" s="33"/>
      <c r="I96" s="33"/>
      <c r="J96" s="142"/>
      <c r="K96" s="33"/>
      <c r="L96" s="33"/>
      <c r="M96" s="33"/>
      <c r="N96" s="33"/>
      <c r="O96" s="142"/>
      <c r="P96" s="33"/>
      <c r="Q96" s="33"/>
      <c r="R96" s="114"/>
    </row>
    <row r="97" spans="1:18" s="92" customFormat="1" x14ac:dyDescent="0.2">
      <c r="A97" s="181">
        <f>A86-A91-A92+A93++A94-A95</f>
        <v>34000</v>
      </c>
      <c r="B97" s="397">
        <f>B86-B91-B92+B93++B94-B95</f>
        <v>34000</v>
      </c>
      <c r="C97" s="398">
        <f>C86-C91-C92+C93++C94-C95</f>
        <v>34000</v>
      </c>
      <c r="D97" s="398">
        <f>D86-D91-D92+D93++D94-D95</f>
        <v>34000</v>
      </c>
      <c r="E97" s="547"/>
      <c r="F97" s="518" t="s">
        <v>2490</v>
      </c>
      <c r="G97" s="728">
        <f t="shared" ref="G97:M97" si="157">G86-G91-G92+G93++G94-G95</f>
        <v>34000</v>
      </c>
      <c r="H97" s="395">
        <f>IF(D97=G97,0,IF(D97=0,100,(G97-D97)/D97*100))</f>
        <v>0</v>
      </c>
      <c r="I97" s="397">
        <f t="shared" si="157"/>
        <v>34000</v>
      </c>
      <c r="J97" s="377">
        <f t="shared" si="157"/>
        <v>34000</v>
      </c>
      <c r="K97" s="397">
        <f t="shared" si="157"/>
        <v>34000</v>
      </c>
      <c r="L97" s="397">
        <f t="shared" si="157"/>
        <v>34000</v>
      </c>
      <c r="M97" s="397">
        <f t="shared" si="157"/>
        <v>34000</v>
      </c>
      <c r="N97" s="397">
        <f>N86-N91-N92+N93++N94-N95</f>
        <v>34000</v>
      </c>
      <c r="O97" s="397">
        <f>O86-O91-O92+O93++O94-O95</f>
        <v>34000</v>
      </c>
      <c r="P97" s="397">
        <f>P86-P91-P92+P93++P94-P95</f>
        <v>34000</v>
      </c>
      <c r="Q97" s="397">
        <f>Q86-Q91-Q92+Q93++Q94-Q95</f>
        <v>34000</v>
      </c>
      <c r="R97" s="399">
        <f>R86-R91-R92+R93++R94-R95</f>
        <v>34000</v>
      </c>
    </row>
    <row r="98" spans="1:18" s="84" customFormat="1" ht="13.5" thickBot="1" x14ac:dyDescent="0.25">
      <c r="A98" s="73"/>
      <c r="B98" s="90"/>
      <c r="C98" s="195"/>
      <c r="D98" s="195"/>
      <c r="E98" s="90"/>
      <c r="F98" s="368"/>
      <c r="G98" s="200"/>
      <c r="H98" s="90"/>
      <c r="I98" s="66"/>
      <c r="J98" s="166"/>
      <c r="K98" s="66"/>
      <c r="L98" s="66"/>
      <c r="M98" s="66"/>
      <c r="N98" s="66"/>
      <c r="O98" s="166"/>
      <c r="P98" s="66"/>
      <c r="Q98" s="66"/>
      <c r="R98" s="165"/>
    </row>
    <row r="99" spans="1:18" ht="14.25" thickTop="1" thickBot="1" x14ac:dyDescent="0.25">
      <c r="A99" s="74"/>
      <c r="B99" s="74"/>
      <c r="C99" s="197"/>
      <c r="D99" s="197"/>
      <c r="E99" s="74"/>
      <c r="F99" s="137"/>
      <c r="G99" s="197"/>
      <c r="H99" s="74"/>
    </row>
    <row r="100" spans="1:18" s="84" customFormat="1" ht="19.5" thickTop="1" thickBot="1" x14ac:dyDescent="0.3">
      <c r="A100" s="2906" t="s">
        <v>3097</v>
      </c>
      <c r="B100" s="2907"/>
      <c r="C100" s="2907"/>
      <c r="D100" s="2907"/>
      <c r="E100" s="2907"/>
      <c r="F100" s="2907"/>
      <c r="G100" s="2907"/>
      <c r="H100" s="2907"/>
      <c r="I100" s="2907"/>
      <c r="J100" s="2907"/>
      <c r="K100" s="2907"/>
      <c r="L100" s="2907"/>
      <c r="M100" s="2907"/>
      <c r="N100" s="2907"/>
      <c r="O100" s="2907"/>
      <c r="P100" s="2907"/>
      <c r="Q100" s="2907"/>
      <c r="R100" s="2908"/>
    </row>
    <row r="101" spans="1:18" s="44" customFormat="1" x14ac:dyDescent="0.2">
      <c r="A101" s="2888" t="s">
        <v>1856</v>
      </c>
      <c r="B101" s="2889"/>
      <c r="C101" s="2889"/>
      <c r="D101" s="2890"/>
      <c r="E101" s="1997" t="s">
        <v>2663</v>
      </c>
      <c r="F101" s="2649" t="s">
        <v>2251</v>
      </c>
      <c r="G101" s="2885" t="s">
        <v>2253</v>
      </c>
      <c r="H101" s="2886"/>
      <c r="I101" s="2886"/>
      <c r="J101" s="2886"/>
      <c r="K101" s="2886"/>
      <c r="L101" s="2886"/>
      <c r="M101" s="2886"/>
      <c r="N101" s="2886"/>
      <c r="O101" s="2886"/>
      <c r="P101" s="2886"/>
      <c r="Q101" s="2886"/>
      <c r="R101" s="2887"/>
    </row>
    <row r="102" spans="1:18" s="23" customFormat="1" ht="13.5" thickBot="1" x14ac:dyDescent="0.25">
      <c r="A102" s="1735" t="str">
        <f>A3</f>
        <v>2012/13</v>
      </c>
      <c r="B102" s="218" t="str">
        <f>B3</f>
        <v>2013/14</v>
      </c>
      <c r="C102" s="370" t="str">
        <f>C3</f>
        <v>2014/15</v>
      </c>
      <c r="D102" s="93" t="str">
        <f>D3</f>
        <v>2015/16</v>
      </c>
      <c r="E102" s="1965" t="s">
        <v>2664</v>
      </c>
      <c r="F102" s="42"/>
      <c r="G102" s="93" t="str">
        <f>G3</f>
        <v>2016/17</v>
      </c>
      <c r="H102" s="2095" t="s">
        <v>501</v>
      </c>
      <c r="I102" s="370" t="str">
        <f t="shared" ref="I102:Q102" si="158">I3</f>
        <v>2017/18</v>
      </c>
      <c r="J102" s="370" t="str">
        <f t="shared" si="158"/>
        <v>2018/19</v>
      </c>
      <c r="K102" s="370" t="str">
        <f t="shared" si="158"/>
        <v>2019/20</v>
      </c>
      <c r="L102" s="370" t="str">
        <f t="shared" si="158"/>
        <v>2020/21</v>
      </c>
      <c r="M102" s="370" t="str">
        <f t="shared" si="158"/>
        <v>2021/22</v>
      </c>
      <c r="N102" s="370" t="str">
        <f t="shared" si="158"/>
        <v>2022/23</v>
      </c>
      <c r="O102" s="370" t="str">
        <f t="shared" si="158"/>
        <v>2023/24</v>
      </c>
      <c r="P102" s="381" t="str">
        <f t="shared" si="158"/>
        <v>2024/25</v>
      </c>
      <c r="Q102" s="218" t="str">
        <f t="shared" si="158"/>
        <v>2025/26</v>
      </c>
      <c r="R102" s="549" t="str">
        <f t="shared" ref="R102" si="159">R3</f>
        <v>2026/27</v>
      </c>
    </row>
    <row r="103" spans="1:18" s="84" customFormat="1" x14ac:dyDescent="0.2">
      <c r="A103" s="727"/>
      <c r="B103" s="205"/>
      <c r="C103" s="204"/>
      <c r="D103" s="204"/>
      <c r="E103" s="204"/>
      <c r="F103" s="99"/>
      <c r="G103" s="204"/>
      <c r="H103" s="206"/>
      <c r="I103" s="205"/>
      <c r="J103" s="204"/>
      <c r="K103" s="204"/>
      <c r="L103" s="204"/>
      <c r="M103" s="204"/>
      <c r="N103" s="204"/>
      <c r="O103" s="33"/>
      <c r="P103" s="142"/>
      <c r="Q103" s="33"/>
      <c r="R103" s="114"/>
    </row>
    <row r="104" spans="1:18" s="84" customFormat="1" x14ac:dyDescent="0.2">
      <c r="A104" s="107"/>
      <c r="B104" s="33"/>
      <c r="C104" s="187"/>
      <c r="D104" s="187"/>
      <c r="E104" s="138"/>
      <c r="F104" s="144" t="s">
        <v>1073</v>
      </c>
      <c r="G104" s="187"/>
      <c r="H104" s="138"/>
      <c r="I104" s="33"/>
      <c r="J104" s="33"/>
      <c r="K104" s="33"/>
      <c r="L104" s="33"/>
      <c r="M104" s="33"/>
      <c r="N104" s="33"/>
      <c r="O104" s="33"/>
      <c r="P104" s="142"/>
      <c r="Q104" s="33"/>
      <c r="R104" s="114"/>
    </row>
    <row r="105" spans="1:18" s="84" customFormat="1" x14ac:dyDescent="0.2">
      <c r="A105" s="107"/>
      <c r="B105" s="33"/>
      <c r="C105" s="187"/>
      <c r="D105" s="187"/>
      <c r="E105" s="138"/>
      <c r="F105" s="74"/>
      <c r="G105" s="187"/>
      <c r="H105" s="138"/>
      <c r="I105" s="33"/>
      <c r="J105" s="33"/>
      <c r="K105" s="33"/>
      <c r="L105" s="33"/>
      <c r="M105" s="33"/>
      <c r="N105" s="33"/>
      <c r="O105" s="33"/>
      <c r="P105" s="142"/>
      <c r="Q105" s="33"/>
      <c r="R105" s="114"/>
    </row>
    <row r="106" spans="1:18" s="84" customFormat="1" x14ac:dyDescent="0.2">
      <c r="A106" s="107">
        <f>(SUM(A366:A371))</f>
        <v>10570400</v>
      </c>
      <c r="B106" s="33">
        <f>(SUM(B366:B371))</f>
        <v>11668700</v>
      </c>
      <c r="C106" s="189">
        <f>(SUM(C366:C371))</f>
        <v>13005500</v>
      </c>
      <c r="D106" s="187">
        <f>(SUM(D366:D371))</f>
        <v>14087200</v>
      </c>
      <c r="E106" s="821" t="s">
        <v>1624</v>
      </c>
      <c r="F106" s="33" t="s">
        <v>60</v>
      </c>
      <c r="G106" s="187">
        <f>(SUM(G366:G371))</f>
        <v>15387200</v>
      </c>
      <c r="H106" s="138">
        <f t="shared" ref="H106:H111" si="160">IF(D106=G106,0,IF(D106=0,100,(G106-D106)/D106*100))</f>
        <v>9.2282355613606679</v>
      </c>
      <c r="I106" s="33">
        <f t="shared" ref="I106:Q106" si="161">(SUM(I366:I371))</f>
        <v>15856000</v>
      </c>
      <c r="J106" s="33">
        <f t="shared" si="161"/>
        <v>16258000</v>
      </c>
      <c r="K106" s="33">
        <f t="shared" si="161"/>
        <v>16670000</v>
      </c>
      <c r="L106" s="33">
        <f t="shared" si="161"/>
        <v>17346000</v>
      </c>
      <c r="M106" s="33">
        <f t="shared" si="161"/>
        <v>17873000</v>
      </c>
      <c r="N106" s="33">
        <f t="shared" si="161"/>
        <v>18416000</v>
      </c>
      <c r="O106" s="33">
        <f t="shared" si="161"/>
        <v>18976000</v>
      </c>
      <c r="P106" s="142">
        <f t="shared" si="161"/>
        <v>19552000</v>
      </c>
      <c r="Q106" s="33">
        <f t="shared" si="161"/>
        <v>20146000</v>
      </c>
      <c r="R106" s="114">
        <f t="shared" ref="R106" si="162">(SUM(R366:R371))</f>
        <v>20758000</v>
      </c>
    </row>
    <row r="107" spans="1:18" s="84" customFormat="1" x14ac:dyDescent="0.2">
      <c r="A107" s="107">
        <f>ROUND(SUM(A372:A379),-2)</f>
        <v>941900</v>
      </c>
      <c r="B107" s="33">
        <f>ROUND(SUM(B372:B379),-2)</f>
        <v>1098100</v>
      </c>
      <c r="C107" s="189">
        <f>ROUND(SUM(C372:C379),-2)</f>
        <v>1038400</v>
      </c>
      <c r="D107" s="187">
        <f>ROUND(SUM(D372:D379),-2)</f>
        <v>1141900</v>
      </c>
      <c r="E107" s="821" t="s">
        <v>1628</v>
      </c>
      <c r="F107" s="33" t="s">
        <v>836</v>
      </c>
      <c r="G107" s="187">
        <f t="shared" ref="G107:P107" si="163">ROUND(SUM(G372:G379),-2)</f>
        <v>1288600</v>
      </c>
      <c r="H107" s="138">
        <f t="shared" si="160"/>
        <v>12.847009370347667</v>
      </c>
      <c r="I107" s="33">
        <f t="shared" si="163"/>
        <v>1351800</v>
      </c>
      <c r="J107" s="33">
        <f t="shared" si="163"/>
        <v>1424400</v>
      </c>
      <c r="K107" s="33">
        <f t="shared" si="163"/>
        <v>1498000</v>
      </c>
      <c r="L107" s="33">
        <f t="shared" si="163"/>
        <v>1590800</v>
      </c>
      <c r="M107" s="33">
        <f t="shared" si="163"/>
        <v>1635000</v>
      </c>
      <c r="N107" s="33">
        <f t="shared" si="163"/>
        <v>1680300</v>
      </c>
      <c r="O107" s="33">
        <f t="shared" si="163"/>
        <v>1727700</v>
      </c>
      <c r="P107" s="142">
        <f t="shared" si="163"/>
        <v>1776400</v>
      </c>
      <c r="Q107" s="33">
        <f t="shared" ref="Q107" si="164">ROUND(SUM(Q372:Q379),-2)</f>
        <v>1826200</v>
      </c>
      <c r="R107" s="114">
        <f t="shared" ref="R107" si="165">ROUND(SUM(R372:R379),-2)</f>
        <v>1877200</v>
      </c>
    </row>
    <row r="108" spans="1:18" s="84" customFormat="1" x14ac:dyDescent="0.2">
      <c r="A108" s="107">
        <f t="shared" ref="A108:B108" si="166">SUM(A380:A382)</f>
        <v>149600</v>
      </c>
      <c r="B108" s="33">
        <f t="shared" si="166"/>
        <v>150800</v>
      </c>
      <c r="C108" s="189">
        <f>SUM(C380:C382)</f>
        <v>151700</v>
      </c>
      <c r="D108" s="187">
        <f>SUM(D380:D382)</f>
        <v>156600</v>
      </c>
      <c r="E108" s="821" t="s">
        <v>1627</v>
      </c>
      <c r="F108" s="33" t="s">
        <v>2880</v>
      </c>
      <c r="G108" s="187">
        <f t="shared" ref="G108:P108" si="167">SUM(G380:G382)</f>
        <v>152700</v>
      </c>
      <c r="H108" s="138">
        <f t="shared" si="160"/>
        <v>-2.490421455938697</v>
      </c>
      <c r="I108" s="33">
        <f t="shared" si="167"/>
        <v>143600</v>
      </c>
      <c r="J108" s="33">
        <f t="shared" si="167"/>
        <v>144500</v>
      </c>
      <c r="K108" s="33">
        <f t="shared" si="167"/>
        <v>145500</v>
      </c>
      <c r="L108" s="33">
        <f t="shared" si="167"/>
        <v>146400</v>
      </c>
      <c r="M108" s="33">
        <f t="shared" si="167"/>
        <v>147300</v>
      </c>
      <c r="N108" s="33">
        <f t="shared" si="167"/>
        <v>148200</v>
      </c>
      <c r="O108" s="33">
        <f t="shared" si="167"/>
        <v>149100</v>
      </c>
      <c r="P108" s="142">
        <f t="shared" si="167"/>
        <v>150000</v>
      </c>
      <c r="Q108" s="33">
        <f t="shared" ref="Q108" si="168">SUM(Q380:Q382)</f>
        <v>150900</v>
      </c>
      <c r="R108" s="114">
        <f t="shared" ref="R108" si="169">SUM(R380:R382)</f>
        <v>151800</v>
      </c>
    </row>
    <row r="109" spans="1:18" s="84" customFormat="1" x14ac:dyDescent="0.2">
      <c r="A109" s="107">
        <f>SUM(A383:A387)</f>
        <v>310100</v>
      </c>
      <c r="B109" s="33">
        <f>SUM(B383:B387)</f>
        <v>475800</v>
      </c>
      <c r="C109" s="189">
        <f>SUM(C383:C387)</f>
        <v>391000</v>
      </c>
      <c r="D109" s="187">
        <f>SUM(D383:D387)</f>
        <v>400100</v>
      </c>
      <c r="E109" s="821" t="s">
        <v>1626</v>
      </c>
      <c r="F109" s="132" t="s">
        <v>5352</v>
      </c>
      <c r="G109" s="187">
        <f>SUM(G383:G387)</f>
        <v>426900</v>
      </c>
      <c r="H109" s="138">
        <f t="shared" si="160"/>
        <v>6.6983254186453385</v>
      </c>
      <c r="I109" s="33">
        <f t="shared" ref="I109:Q109" si="170">SUM(I383:I387)</f>
        <v>406600</v>
      </c>
      <c r="J109" s="33">
        <f t="shared" si="170"/>
        <v>417000</v>
      </c>
      <c r="K109" s="33">
        <f t="shared" si="170"/>
        <v>427600</v>
      </c>
      <c r="L109" s="33">
        <f t="shared" si="170"/>
        <v>438500</v>
      </c>
      <c r="M109" s="33">
        <f t="shared" si="170"/>
        <v>447600</v>
      </c>
      <c r="N109" s="33">
        <f t="shared" si="170"/>
        <v>456800</v>
      </c>
      <c r="O109" s="33">
        <f t="shared" si="170"/>
        <v>466200</v>
      </c>
      <c r="P109" s="142">
        <f t="shared" si="170"/>
        <v>475700</v>
      </c>
      <c r="Q109" s="33">
        <f t="shared" si="170"/>
        <v>485400</v>
      </c>
      <c r="R109" s="114">
        <f t="shared" ref="R109" si="171">SUM(R383:R387)</f>
        <v>495400</v>
      </c>
    </row>
    <row r="110" spans="1:18" s="84" customFormat="1" x14ac:dyDescent="0.2">
      <c r="A110" s="107">
        <f t="shared" ref="A110:B110" si="172">SUM(A389:A393)</f>
        <v>1703200</v>
      </c>
      <c r="B110" s="33">
        <f t="shared" si="172"/>
        <v>968800</v>
      </c>
      <c r="C110" s="189">
        <f>SUM(C389:C393)</f>
        <v>672700</v>
      </c>
      <c r="D110" s="187">
        <f>SUM(D389:D393)</f>
        <v>496500</v>
      </c>
      <c r="E110" s="821" t="s">
        <v>1625</v>
      </c>
      <c r="F110" s="33" t="s">
        <v>2671</v>
      </c>
      <c r="G110" s="187">
        <f t="shared" ref="G110:P110" si="173">SUM(G389:G393)</f>
        <v>370600</v>
      </c>
      <c r="H110" s="138">
        <f t="shared" si="160"/>
        <v>-25.357502517623367</v>
      </c>
      <c r="I110" s="33">
        <f t="shared" si="173"/>
        <v>308200</v>
      </c>
      <c r="J110" s="33">
        <f t="shared" si="173"/>
        <v>284900</v>
      </c>
      <c r="K110" s="33">
        <f t="shared" si="173"/>
        <v>298300</v>
      </c>
      <c r="L110" s="33">
        <f t="shared" si="173"/>
        <v>243200</v>
      </c>
      <c r="M110" s="33">
        <f t="shared" si="173"/>
        <v>217300</v>
      </c>
      <c r="N110" s="33">
        <f t="shared" si="173"/>
        <v>239100</v>
      </c>
      <c r="O110" s="33">
        <f t="shared" si="173"/>
        <v>225300</v>
      </c>
      <c r="P110" s="142">
        <f t="shared" si="173"/>
        <v>288700</v>
      </c>
      <c r="Q110" s="33">
        <f t="shared" ref="Q110" si="174">SUM(Q389:Q393)</f>
        <v>426100</v>
      </c>
      <c r="R110" s="114">
        <f t="shared" ref="R110" si="175">SUM(R389:R393)</f>
        <v>569400</v>
      </c>
    </row>
    <row r="111" spans="1:18" s="84" customFormat="1" x14ac:dyDescent="0.2">
      <c r="A111" s="107">
        <f t="shared" ref="A111:B111" si="176">SUM(A395:A401)</f>
        <v>111400</v>
      </c>
      <c r="B111" s="33">
        <f t="shared" si="176"/>
        <v>100600</v>
      </c>
      <c r="C111" s="189">
        <f>SUM(C395:C401)</f>
        <v>96600</v>
      </c>
      <c r="D111" s="187">
        <f>SUM(D395:D401)</f>
        <v>81600</v>
      </c>
      <c r="E111" s="821" t="s">
        <v>1629</v>
      </c>
      <c r="F111" s="33" t="s">
        <v>428</v>
      </c>
      <c r="G111" s="187">
        <f t="shared" ref="G111:P111" si="177">SUM(G395:G401)</f>
        <v>79900</v>
      </c>
      <c r="H111" s="138">
        <f t="shared" si="160"/>
        <v>-2.083333333333333</v>
      </c>
      <c r="I111" s="33">
        <f t="shared" si="177"/>
        <v>72300</v>
      </c>
      <c r="J111" s="33">
        <f t="shared" si="177"/>
        <v>74200</v>
      </c>
      <c r="K111" s="33">
        <f t="shared" si="177"/>
        <v>76100</v>
      </c>
      <c r="L111" s="33">
        <f t="shared" si="177"/>
        <v>78100</v>
      </c>
      <c r="M111" s="33">
        <f t="shared" si="177"/>
        <v>79800</v>
      </c>
      <c r="N111" s="33">
        <f t="shared" si="177"/>
        <v>81500</v>
      </c>
      <c r="O111" s="33">
        <f t="shared" si="177"/>
        <v>83200</v>
      </c>
      <c r="P111" s="142">
        <f t="shared" si="177"/>
        <v>85000</v>
      </c>
      <c r="Q111" s="33">
        <f t="shared" ref="Q111" si="178">SUM(Q395:Q401)</f>
        <v>86900</v>
      </c>
      <c r="R111" s="114">
        <f t="shared" ref="R111" si="179">SUM(R395:R401)</f>
        <v>88800</v>
      </c>
    </row>
    <row r="112" spans="1:18" s="84" customFormat="1" ht="13.5" thickBot="1" x14ac:dyDescent="0.25">
      <c r="A112" s="107"/>
      <c r="B112" s="33"/>
      <c r="C112" s="189"/>
      <c r="D112" s="187"/>
      <c r="E112" s="343"/>
      <c r="F112" s="371"/>
      <c r="G112" s="187"/>
      <c r="H112" s="138"/>
      <c r="I112" s="33"/>
      <c r="J112" s="33"/>
      <c r="K112" s="33"/>
      <c r="L112" s="33"/>
      <c r="M112" s="33"/>
      <c r="N112" s="33"/>
      <c r="O112" s="33"/>
      <c r="P112" s="142"/>
      <c r="Q112" s="33"/>
      <c r="R112" s="114"/>
    </row>
    <row r="113" spans="1:18" s="84" customFormat="1" x14ac:dyDescent="0.2">
      <c r="A113" s="105">
        <f>SUM(A106:A112)</f>
        <v>13786600</v>
      </c>
      <c r="B113" s="53">
        <f>SUM(B106:B112)</f>
        <v>14462800</v>
      </c>
      <c r="C113" s="190">
        <f>SUM(C106:C112)</f>
        <v>15355900</v>
      </c>
      <c r="D113" s="199">
        <f>SUM(D106:D112)</f>
        <v>16363900</v>
      </c>
      <c r="E113" s="343"/>
      <c r="F113" s="378" t="s">
        <v>2605</v>
      </c>
      <c r="G113" s="199">
        <f t="shared" ref="G113:P113" si="180">SUM(G106:G112)</f>
        <v>17705900</v>
      </c>
      <c r="H113" s="180">
        <f>IF(D113=G113,0,IF(D113=0,100,(G113-D113)/D113*100))</f>
        <v>8.2009789842274756</v>
      </c>
      <c r="I113" s="53">
        <f t="shared" si="180"/>
        <v>18138500</v>
      </c>
      <c r="J113" s="53">
        <f t="shared" si="180"/>
        <v>18603000</v>
      </c>
      <c r="K113" s="53">
        <f t="shared" si="180"/>
        <v>19115500</v>
      </c>
      <c r="L113" s="53">
        <f t="shared" si="180"/>
        <v>19843000</v>
      </c>
      <c r="M113" s="53">
        <f t="shared" si="180"/>
        <v>20400000</v>
      </c>
      <c r="N113" s="53">
        <f t="shared" si="180"/>
        <v>21021900</v>
      </c>
      <c r="O113" s="53">
        <f t="shared" si="180"/>
        <v>21627500</v>
      </c>
      <c r="P113" s="155">
        <f t="shared" si="180"/>
        <v>22327800</v>
      </c>
      <c r="Q113" s="53">
        <f t="shared" ref="Q113" si="181">SUM(Q106:Q112)</f>
        <v>23121500</v>
      </c>
      <c r="R113" s="113">
        <f t="shared" ref="R113" si="182">SUM(R106:R112)</f>
        <v>23940600</v>
      </c>
    </row>
    <row r="114" spans="1:18" s="84" customFormat="1" x14ac:dyDescent="0.2">
      <c r="A114" s="107"/>
      <c r="B114" s="33"/>
      <c r="C114" s="187"/>
      <c r="D114" s="187"/>
      <c r="E114" s="445"/>
      <c r="F114" s="112"/>
      <c r="G114" s="187"/>
      <c r="H114" s="138"/>
      <c r="I114" s="33"/>
      <c r="J114" s="33"/>
      <c r="K114" s="33"/>
      <c r="L114" s="33"/>
      <c r="M114" s="33"/>
      <c r="N114" s="33"/>
      <c r="O114" s="33"/>
      <c r="P114" s="142"/>
      <c r="Q114" s="33"/>
      <c r="R114" s="114"/>
    </row>
    <row r="115" spans="1:18" s="84" customFormat="1" x14ac:dyDescent="0.2">
      <c r="A115" s="107"/>
      <c r="B115" s="33"/>
      <c r="C115" s="187"/>
      <c r="D115" s="187"/>
      <c r="E115" s="437"/>
      <c r="F115" s="144" t="s">
        <v>2205</v>
      </c>
      <c r="G115" s="187"/>
      <c r="H115" s="138"/>
      <c r="I115" s="33"/>
      <c r="J115" s="33"/>
      <c r="K115" s="33"/>
      <c r="L115" s="33"/>
      <c r="M115" s="33"/>
      <c r="N115" s="33"/>
      <c r="O115" s="33"/>
      <c r="P115" s="142"/>
      <c r="Q115" s="33"/>
      <c r="R115" s="114"/>
    </row>
    <row r="116" spans="1:18" s="84" customFormat="1" x14ac:dyDescent="0.2">
      <c r="A116" s="107"/>
      <c r="B116" s="33"/>
      <c r="C116" s="189"/>
      <c r="D116" s="187"/>
      <c r="E116" s="821"/>
      <c r="F116" s="365"/>
      <c r="G116" s="187"/>
      <c r="H116" s="138"/>
      <c r="I116" s="33"/>
      <c r="J116" s="33"/>
      <c r="K116" s="33"/>
      <c r="L116" s="33"/>
      <c r="M116" s="33"/>
      <c r="N116" s="33"/>
      <c r="O116" s="33"/>
      <c r="P116" s="142"/>
      <c r="Q116" s="33"/>
      <c r="R116" s="114"/>
    </row>
    <row r="117" spans="1:18" s="84" customFormat="1" x14ac:dyDescent="0.2">
      <c r="A117" s="107"/>
      <c r="B117" s="33"/>
      <c r="C117" s="189"/>
      <c r="D117" s="187"/>
      <c r="E117" s="821"/>
      <c r="F117" s="64" t="s">
        <v>1429</v>
      </c>
      <c r="G117" s="187"/>
      <c r="H117" s="138"/>
      <c r="I117" s="33"/>
      <c r="J117" s="33"/>
      <c r="K117" s="33"/>
      <c r="L117" s="33"/>
      <c r="M117" s="33"/>
      <c r="N117" s="33"/>
      <c r="O117" s="33"/>
      <c r="P117" s="142"/>
      <c r="Q117" s="33"/>
      <c r="R117" s="114"/>
    </row>
    <row r="118" spans="1:18" s="84" customFormat="1" x14ac:dyDescent="0.2">
      <c r="A118" s="107">
        <f>SUM(A406:A410)</f>
        <v>378000</v>
      </c>
      <c r="B118" s="33">
        <f>SUM(B406:B410)</f>
        <v>376500</v>
      </c>
      <c r="C118" s="189">
        <f>SUM(C406:C410)</f>
        <v>439900</v>
      </c>
      <c r="D118" s="187">
        <f>SUM(D406:D410)</f>
        <v>383500</v>
      </c>
      <c r="E118" s="821" t="s">
        <v>1631</v>
      </c>
      <c r="F118" s="33" t="s">
        <v>572</v>
      </c>
      <c r="G118" s="187">
        <f>SUM(G406:G410)</f>
        <v>519000</v>
      </c>
      <c r="H118" s="138">
        <f t="shared" ref="H118:H132" si="183">IF(D118=G118,0,IF(D118=0,100,(G118-D118)/D118*100))</f>
        <v>35.332464146023469</v>
      </c>
      <c r="I118" s="33">
        <f t="shared" ref="I118:Q118" si="184">SUM(I406:I410)</f>
        <v>477000</v>
      </c>
      <c r="J118" s="33">
        <f t="shared" si="184"/>
        <v>488900</v>
      </c>
      <c r="K118" s="33">
        <f t="shared" si="184"/>
        <v>501900</v>
      </c>
      <c r="L118" s="33">
        <f t="shared" si="184"/>
        <v>514800</v>
      </c>
      <c r="M118" s="33">
        <f t="shared" si="184"/>
        <v>525800</v>
      </c>
      <c r="N118" s="33">
        <f t="shared" si="184"/>
        <v>536700</v>
      </c>
      <c r="O118" s="33">
        <f t="shared" si="184"/>
        <v>547600</v>
      </c>
      <c r="P118" s="142">
        <f t="shared" si="184"/>
        <v>558600</v>
      </c>
      <c r="Q118" s="33">
        <f t="shared" si="184"/>
        <v>570600</v>
      </c>
      <c r="R118" s="114">
        <f t="shared" ref="R118" si="185">SUM(R406:R410)</f>
        <v>582600</v>
      </c>
    </row>
    <row r="119" spans="1:18" s="84" customFormat="1" x14ac:dyDescent="0.2">
      <c r="A119" s="107">
        <f>SUM(A428:A449)</f>
        <v>708600</v>
      </c>
      <c r="B119" s="33">
        <f>SUM(B428:B449)</f>
        <v>816900</v>
      </c>
      <c r="C119" s="189">
        <f>SUM(C428:C449)</f>
        <v>754600</v>
      </c>
      <c r="D119" s="187">
        <f>SUM(D428:D449)</f>
        <v>865000</v>
      </c>
      <c r="E119" s="821" t="s">
        <v>619</v>
      </c>
      <c r="F119" s="132" t="s">
        <v>3459</v>
      </c>
      <c r="G119" s="187">
        <f>SUM(G428:G449)</f>
        <v>867500</v>
      </c>
      <c r="H119" s="138">
        <f t="shared" si="183"/>
        <v>0.28901734104046239</v>
      </c>
      <c r="I119" s="33">
        <f t="shared" ref="I119:Q119" si="186">SUM(I428:I449)</f>
        <v>954000</v>
      </c>
      <c r="J119" s="33">
        <f t="shared" si="186"/>
        <v>979100</v>
      </c>
      <c r="K119" s="33">
        <f t="shared" si="186"/>
        <v>1004400</v>
      </c>
      <c r="L119" s="33">
        <f t="shared" si="186"/>
        <v>1030500</v>
      </c>
      <c r="M119" s="33">
        <f t="shared" si="186"/>
        <v>1051700</v>
      </c>
      <c r="N119" s="33">
        <f t="shared" si="186"/>
        <v>1073400</v>
      </c>
      <c r="O119" s="33">
        <f t="shared" si="186"/>
        <v>1095300</v>
      </c>
      <c r="P119" s="142">
        <f t="shared" si="186"/>
        <v>1117900</v>
      </c>
      <c r="Q119" s="33">
        <f t="shared" si="186"/>
        <v>1141200</v>
      </c>
      <c r="R119" s="114">
        <f t="shared" ref="R119" si="187">SUM(R428:R449)</f>
        <v>1164800</v>
      </c>
    </row>
    <row r="120" spans="1:18" s="84" customFormat="1" x14ac:dyDescent="0.2">
      <c r="A120" s="107">
        <f>SUM(A411:A416)</f>
        <v>1571200</v>
      </c>
      <c r="B120" s="33">
        <f>SUM(B411:B416)</f>
        <v>665600</v>
      </c>
      <c r="C120" s="189">
        <f>SUM(C411:C416)</f>
        <v>452000</v>
      </c>
      <c r="D120" s="187">
        <f>SUM(D411:D416)</f>
        <v>196000</v>
      </c>
      <c r="E120" s="821" t="s">
        <v>619</v>
      </c>
      <c r="F120" s="132" t="s">
        <v>4694</v>
      </c>
      <c r="G120" s="187">
        <f>SUM(G411:G416)</f>
        <v>611200</v>
      </c>
      <c r="H120" s="138">
        <f t="shared" si="183"/>
        <v>211.83673469387756</v>
      </c>
      <c r="I120" s="33">
        <f t="shared" ref="I120:P120" si="188">SUM(I411:I416)</f>
        <v>42000</v>
      </c>
      <c r="J120" s="33">
        <f t="shared" si="188"/>
        <v>43100</v>
      </c>
      <c r="K120" s="33">
        <f t="shared" si="188"/>
        <v>44200</v>
      </c>
      <c r="L120" s="33">
        <f t="shared" si="188"/>
        <v>45400</v>
      </c>
      <c r="M120" s="33">
        <f t="shared" si="188"/>
        <v>46400</v>
      </c>
      <c r="N120" s="33">
        <f t="shared" si="188"/>
        <v>47400</v>
      </c>
      <c r="O120" s="33">
        <f t="shared" si="188"/>
        <v>48400</v>
      </c>
      <c r="P120" s="142">
        <f t="shared" si="188"/>
        <v>49400</v>
      </c>
      <c r="Q120" s="33">
        <f t="shared" ref="Q120" si="189">SUM(Q411:Q416)</f>
        <v>50400</v>
      </c>
      <c r="R120" s="114">
        <f t="shared" ref="R120" si="190">SUM(R411:R416)</f>
        <v>51500</v>
      </c>
    </row>
    <row r="121" spans="1:18" s="84" customFormat="1" x14ac:dyDescent="0.2">
      <c r="A121" s="107">
        <f>SUM(A451:A454)</f>
        <v>93000</v>
      </c>
      <c r="B121" s="33">
        <f>SUM(B451:B454)</f>
        <v>70900</v>
      </c>
      <c r="C121" s="189">
        <f>SUM(C451:C454)</f>
        <v>27100</v>
      </c>
      <c r="D121" s="187">
        <f>SUM(D451:D454)</f>
        <v>23800</v>
      </c>
      <c r="E121" s="821" t="s">
        <v>620</v>
      </c>
      <c r="F121" s="132" t="s">
        <v>685</v>
      </c>
      <c r="G121" s="187">
        <f>SUM(G451:G454)</f>
        <v>23000</v>
      </c>
      <c r="H121" s="138">
        <f t="shared" si="183"/>
        <v>-3.3613445378151261</v>
      </c>
      <c r="I121" s="33">
        <f t="shared" ref="I121:Q121" si="191">SUM(I451:I454)</f>
        <v>69000</v>
      </c>
      <c r="J121" s="33">
        <f t="shared" si="191"/>
        <v>29800</v>
      </c>
      <c r="K121" s="33">
        <f t="shared" si="191"/>
        <v>30700</v>
      </c>
      <c r="L121" s="33">
        <f t="shared" si="191"/>
        <v>31600</v>
      </c>
      <c r="M121" s="33">
        <f t="shared" si="191"/>
        <v>32400</v>
      </c>
      <c r="N121" s="33">
        <f t="shared" si="191"/>
        <v>83200</v>
      </c>
      <c r="O121" s="33">
        <f t="shared" si="191"/>
        <v>34000</v>
      </c>
      <c r="P121" s="142">
        <f t="shared" si="191"/>
        <v>34800</v>
      </c>
      <c r="Q121" s="33">
        <f t="shared" si="191"/>
        <v>35600</v>
      </c>
      <c r="R121" s="114">
        <f t="shared" ref="R121" si="192">SUM(R451:R454)</f>
        <v>36400</v>
      </c>
    </row>
    <row r="122" spans="1:18" s="84" customFormat="1" x14ac:dyDescent="0.2">
      <c r="A122" s="107">
        <f>SUM(A462:A470)</f>
        <v>1193100</v>
      </c>
      <c r="B122" s="33">
        <f>SUM(B462:B470)</f>
        <v>1276000</v>
      </c>
      <c r="C122" s="189">
        <f>SUM(C462:C470)</f>
        <v>1304800</v>
      </c>
      <c r="D122" s="187">
        <f>SUM(D462:D470)</f>
        <v>1032900</v>
      </c>
      <c r="E122" s="821" t="s">
        <v>622</v>
      </c>
      <c r="F122" s="33" t="s">
        <v>1749</v>
      </c>
      <c r="G122" s="187">
        <f>SUM(G462:G470)</f>
        <v>1150900</v>
      </c>
      <c r="H122" s="138">
        <f t="shared" si="183"/>
        <v>11.424145609449123</v>
      </c>
      <c r="I122" s="33">
        <f t="shared" ref="I122:Q122" si="193">SUM(I462:I470)</f>
        <v>1168500</v>
      </c>
      <c r="J122" s="33">
        <f t="shared" si="193"/>
        <v>1198000</v>
      </c>
      <c r="K122" s="33">
        <f t="shared" si="193"/>
        <v>1228500</v>
      </c>
      <c r="L122" s="33">
        <f t="shared" si="193"/>
        <v>1259700</v>
      </c>
      <c r="M122" s="33">
        <f t="shared" si="193"/>
        <v>1285200</v>
      </c>
      <c r="N122" s="33">
        <f t="shared" si="193"/>
        <v>1311200</v>
      </c>
      <c r="O122" s="33">
        <f t="shared" si="193"/>
        <v>1337700</v>
      </c>
      <c r="P122" s="142">
        <f t="shared" si="193"/>
        <v>1365000</v>
      </c>
      <c r="Q122" s="33">
        <f t="shared" si="193"/>
        <v>1392800</v>
      </c>
      <c r="R122" s="114">
        <f t="shared" ref="R122" si="194">SUM(R462:R470)</f>
        <v>1421000</v>
      </c>
    </row>
    <row r="123" spans="1:18" s="84" customFormat="1" x14ac:dyDescent="0.2">
      <c r="A123" s="107">
        <f>SUM(A456:A457)</f>
        <v>481000</v>
      </c>
      <c r="B123" s="33">
        <f>SUM(B456:B457)</f>
        <v>463900</v>
      </c>
      <c r="C123" s="189">
        <f>SUM(C456:C457)</f>
        <v>541900</v>
      </c>
      <c r="D123" s="187">
        <f>SUM(D456:D457)</f>
        <v>460000</v>
      </c>
      <c r="E123" s="821" t="s">
        <v>618</v>
      </c>
      <c r="F123" s="132" t="s">
        <v>5019</v>
      </c>
      <c r="G123" s="187">
        <f>SUM(G456:G457)</f>
        <v>300000</v>
      </c>
      <c r="H123" s="138">
        <f t="shared" si="183"/>
        <v>-34.782608695652172</v>
      </c>
      <c r="I123" s="33">
        <f t="shared" ref="I123:Q123" si="195">SUM(I456:I457)</f>
        <v>304500</v>
      </c>
      <c r="J123" s="33">
        <f t="shared" si="195"/>
        <v>312200</v>
      </c>
      <c r="K123" s="33">
        <f t="shared" si="195"/>
        <v>320100</v>
      </c>
      <c r="L123" s="33">
        <f t="shared" si="195"/>
        <v>328200</v>
      </c>
      <c r="M123" s="33">
        <f t="shared" si="195"/>
        <v>334800</v>
      </c>
      <c r="N123" s="33">
        <f t="shared" si="195"/>
        <v>341500</v>
      </c>
      <c r="O123" s="33">
        <f t="shared" si="195"/>
        <v>348400</v>
      </c>
      <c r="P123" s="142">
        <f t="shared" si="195"/>
        <v>355400</v>
      </c>
      <c r="Q123" s="33">
        <f t="shared" si="195"/>
        <v>362600</v>
      </c>
      <c r="R123" s="114">
        <f t="shared" ref="R123" si="196">SUM(R456:R457)</f>
        <v>369900</v>
      </c>
    </row>
    <row r="124" spans="1:18" s="84" customFormat="1" x14ac:dyDescent="0.2">
      <c r="A124" s="107">
        <f>SUM(A459:A460)</f>
        <v>170200</v>
      </c>
      <c r="B124" s="33">
        <f>SUM(B459:B460)</f>
        <v>117800</v>
      </c>
      <c r="C124" s="189">
        <f>SUM(C459:C460)</f>
        <v>136900</v>
      </c>
      <c r="D124" s="187">
        <f>SUM(D459:D460)</f>
        <v>258000</v>
      </c>
      <c r="E124" s="821" t="s">
        <v>623</v>
      </c>
      <c r="F124" s="132" t="s">
        <v>5012</v>
      </c>
      <c r="G124" s="187">
        <f t="shared" ref="G124:P124" si="197">SUM(G459:G460)</f>
        <v>265000</v>
      </c>
      <c r="H124" s="138">
        <f t="shared" si="183"/>
        <v>2.7131782945736433</v>
      </c>
      <c r="I124" s="33">
        <f t="shared" si="197"/>
        <v>276000</v>
      </c>
      <c r="J124" s="33">
        <f t="shared" si="197"/>
        <v>281600</v>
      </c>
      <c r="K124" s="33">
        <f t="shared" si="197"/>
        <v>287300</v>
      </c>
      <c r="L124" s="33">
        <f t="shared" si="197"/>
        <v>293100</v>
      </c>
      <c r="M124" s="33">
        <f t="shared" si="197"/>
        <v>299000</v>
      </c>
      <c r="N124" s="33">
        <f t="shared" si="197"/>
        <v>305000</v>
      </c>
      <c r="O124" s="33">
        <f t="shared" si="197"/>
        <v>311100</v>
      </c>
      <c r="P124" s="142">
        <f t="shared" si="197"/>
        <v>317100</v>
      </c>
      <c r="Q124" s="33">
        <f t="shared" ref="Q124" si="198">SUM(Q459:Q460)</f>
        <v>254700</v>
      </c>
      <c r="R124" s="114">
        <f t="shared" ref="R124" si="199">SUM(R459:R460)</f>
        <v>254700</v>
      </c>
    </row>
    <row r="125" spans="1:18" s="84" customFormat="1" x14ac:dyDescent="0.2">
      <c r="A125" s="107">
        <f>SUM(A472:A473)</f>
        <v>1030600</v>
      </c>
      <c r="B125" s="33">
        <f>SUM(B472:B473)</f>
        <v>1074700</v>
      </c>
      <c r="C125" s="189">
        <f>SUM(C472:C473)</f>
        <v>1077800</v>
      </c>
      <c r="D125" s="187">
        <f>SUM(D472:D473)</f>
        <v>932200</v>
      </c>
      <c r="E125" s="821" t="s">
        <v>623</v>
      </c>
      <c r="F125" s="132" t="s">
        <v>5015</v>
      </c>
      <c r="G125" s="187">
        <f t="shared" ref="G125:P125" si="200">SUM(G472:G473)</f>
        <v>1020000</v>
      </c>
      <c r="H125" s="138">
        <f t="shared" si="183"/>
        <v>9.4185797039261949</v>
      </c>
      <c r="I125" s="33">
        <f t="shared" si="200"/>
        <v>1035300</v>
      </c>
      <c r="J125" s="33">
        <f t="shared" si="200"/>
        <v>1061200</v>
      </c>
      <c r="K125" s="33">
        <f t="shared" si="200"/>
        <v>1087800</v>
      </c>
      <c r="L125" s="33">
        <f t="shared" si="200"/>
        <v>1115000</v>
      </c>
      <c r="M125" s="33">
        <f t="shared" si="200"/>
        <v>1137300</v>
      </c>
      <c r="N125" s="33">
        <f t="shared" si="200"/>
        <v>1160100</v>
      </c>
      <c r="O125" s="33">
        <f t="shared" si="200"/>
        <v>1183400</v>
      </c>
      <c r="P125" s="142">
        <f t="shared" si="200"/>
        <v>1207100</v>
      </c>
      <c r="Q125" s="33">
        <f t="shared" ref="Q125" si="201">SUM(Q472:Q473)</f>
        <v>1231300</v>
      </c>
      <c r="R125" s="114">
        <f t="shared" ref="R125" si="202">SUM(R472:R473)</f>
        <v>1256000</v>
      </c>
    </row>
    <row r="126" spans="1:18" s="84" customFormat="1" x14ac:dyDescent="0.2">
      <c r="A126" s="107">
        <f>SUM(A475:A477)</f>
        <v>0</v>
      </c>
      <c r="B126" s="33">
        <f>SUM(B475:B477)</f>
        <v>0</v>
      </c>
      <c r="C126" s="189">
        <f>SUM(C475:C477)</f>
        <v>0</v>
      </c>
      <c r="D126" s="187">
        <f>SUM(D475:D477)</f>
        <v>137200</v>
      </c>
      <c r="E126" s="821" t="s">
        <v>6229</v>
      </c>
      <c r="F126" s="132" t="s">
        <v>6741</v>
      </c>
      <c r="G126" s="187">
        <f>SUM(G475:G477)</f>
        <v>180000</v>
      </c>
      <c r="H126" s="138">
        <f t="shared" si="183"/>
        <v>31.195335276967928</v>
      </c>
      <c r="I126" s="33">
        <f t="shared" ref="I126:Q126" si="203">SUM(I475:I477)</f>
        <v>182700</v>
      </c>
      <c r="J126" s="33">
        <f t="shared" si="203"/>
        <v>187300</v>
      </c>
      <c r="K126" s="33">
        <f t="shared" si="203"/>
        <v>192000</v>
      </c>
      <c r="L126" s="33">
        <f t="shared" si="203"/>
        <v>196800</v>
      </c>
      <c r="M126" s="33">
        <f t="shared" si="203"/>
        <v>200800</v>
      </c>
      <c r="N126" s="33">
        <f t="shared" si="203"/>
        <v>204900</v>
      </c>
      <c r="O126" s="33">
        <f t="shared" si="203"/>
        <v>209000</v>
      </c>
      <c r="P126" s="142">
        <f t="shared" si="203"/>
        <v>213200</v>
      </c>
      <c r="Q126" s="33">
        <f t="shared" si="203"/>
        <v>217500</v>
      </c>
      <c r="R126" s="114">
        <f t="shared" ref="R126" si="204">SUM(R475:R477)</f>
        <v>221900</v>
      </c>
    </row>
    <row r="127" spans="1:18" s="84" customFormat="1" x14ac:dyDescent="0.2">
      <c r="A127" s="107">
        <f>SUM(A478:A499)</f>
        <v>1190800</v>
      </c>
      <c r="B127" s="33">
        <f>SUM(B478:B499)</f>
        <v>1497900</v>
      </c>
      <c r="C127" s="189">
        <f>SUM(C478:C499)</f>
        <v>1633700</v>
      </c>
      <c r="D127" s="187">
        <f>SUM(D478:D499)</f>
        <v>1364100</v>
      </c>
      <c r="E127" s="821" t="s">
        <v>624</v>
      </c>
      <c r="F127" s="132" t="s">
        <v>5016</v>
      </c>
      <c r="G127" s="187">
        <f t="shared" ref="G127:P127" si="205">SUM(G478:G499)</f>
        <v>1226000</v>
      </c>
      <c r="H127" s="138">
        <f t="shared" si="183"/>
        <v>-10.123891210321824</v>
      </c>
      <c r="I127" s="33">
        <f t="shared" si="205"/>
        <v>1244800</v>
      </c>
      <c r="J127" s="33">
        <f t="shared" si="205"/>
        <v>1276600</v>
      </c>
      <c r="K127" s="33">
        <f t="shared" si="205"/>
        <v>1309300</v>
      </c>
      <c r="L127" s="33">
        <f t="shared" si="205"/>
        <v>1342800</v>
      </c>
      <c r="M127" s="33">
        <f t="shared" si="205"/>
        <v>1370100</v>
      </c>
      <c r="N127" s="33">
        <f t="shared" si="205"/>
        <v>1398100</v>
      </c>
      <c r="O127" s="33">
        <f t="shared" si="205"/>
        <v>1426500</v>
      </c>
      <c r="P127" s="142">
        <f t="shared" si="205"/>
        <v>1455700</v>
      </c>
      <c r="Q127" s="33">
        <f t="shared" ref="Q127" si="206">SUM(Q478:Q499)</f>
        <v>1485400</v>
      </c>
      <c r="R127" s="114">
        <f t="shared" ref="R127" si="207">SUM(R478:R499)</f>
        <v>1515600</v>
      </c>
    </row>
    <row r="128" spans="1:18" s="84" customFormat="1" x14ac:dyDescent="0.2">
      <c r="A128" s="107">
        <f>SUM(A500:A502)</f>
        <v>186600</v>
      </c>
      <c r="B128" s="33">
        <f>SUM(B500:B502)</f>
        <v>198300</v>
      </c>
      <c r="C128" s="189">
        <f>SUM(C500:C502)</f>
        <v>138100</v>
      </c>
      <c r="D128" s="187">
        <f>SUM(D500:D502)</f>
        <v>98500</v>
      </c>
      <c r="E128" s="821" t="s">
        <v>624</v>
      </c>
      <c r="F128" s="132" t="s">
        <v>5017</v>
      </c>
      <c r="G128" s="187">
        <f t="shared" ref="G128:P128" si="208">SUM(G500:G502)</f>
        <v>90000</v>
      </c>
      <c r="H128" s="138">
        <f t="shared" si="183"/>
        <v>-8.6294416243654819</v>
      </c>
      <c r="I128" s="33">
        <f t="shared" si="208"/>
        <v>91400</v>
      </c>
      <c r="J128" s="33">
        <f t="shared" si="208"/>
        <v>93700</v>
      </c>
      <c r="K128" s="33">
        <f t="shared" si="208"/>
        <v>96100</v>
      </c>
      <c r="L128" s="33">
        <f t="shared" si="208"/>
        <v>98600</v>
      </c>
      <c r="M128" s="33">
        <f t="shared" si="208"/>
        <v>100600</v>
      </c>
      <c r="N128" s="33">
        <f t="shared" si="208"/>
        <v>102700</v>
      </c>
      <c r="O128" s="33">
        <f t="shared" si="208"/>
        <v>104800</v>
      </c>
      <c r="P128" s="142">
        <f t="shared" si="208"/>
        <v>106900</v>
      </c>
      <c r="Q128" s="33">
        <f t="shared" ref="Q128" si="209">SUM(Q500:Q502)</f>
        <v>109100</v>
      </c>
      <c r="R128" s="114">
        <f t="shared" ref="R128" si="210">SUM(R500:R502)</f>
        <v>111300</v>
      </c>
    </row>
    <row r="129" spans="1:18" s="84" customFormat="1" x14ac:dyDescent="0.2">
      <c r="A129" s="107">
        <f>SUM(A503:A507)</f>
        <v>359600</v>
      </c>
      <c r="B129" s="33">
        <f>SUM(B503:B507)</f>
        <v>258900</v>
      </c>
      <c r="C129" s="189">
        <f>SUM(C503:C507)</f>
        <v>424700</v>
      </c>
      <c r="D129" s="187">
        <f>SUM(D503:D508)</f>
        <v>1038300</v>
      </c>
      <c r="E129" s="821" t="s">
        <v>624</v>
      </c>
      <c r="F129" s="132" t="s">
        <v>5018</v>
      </c>
      <c r="G129" s="187">
        <f>SUM(G503:G508)</f>
        <v>1266000</v>
      </c>
      <c r="H129" s="138">
        <f t="shared" si="183"/>
        <v>21.930078012135219</v>
      </c>
      <c r="I129" s="33">
        <f>SUM(I503:I508)</f>
        <v>1285100</v>
      </c>
      <c r="J129" s="33">
        <f t="shared" ref="J129:Q129" si="211">SUM(J503:J508)</f>
        <v>1317500</v>
      </c>
      <c r="K129" s="33">
        <f t="shared" si="211"/>
        <v>1350700</v>
      </c>
      <c r="L129" s="33">
        <f t="shared" si="211"/>
        <v>1384600</v>
      </c>
      <c r="M129" s="33">
        <f t="shared" si="211"/>
        <v>1412600</v>
      </c>
      <c r="N129" s="33">
        <f t="shared" si="211"/>
        <v>1441100</v>
      </c>
      <c r="O129" s="33">
        <f t="shared" si="211"/>
        <v>1470200</v>
      </c>
      <c r="P129" s="33">
        <f t="shared" si="211"/>
        <v>1499800</v>
      </c>
      <c r="Q129" s="33">
        <f t="shared" si="211"/>
        <v>1530000</v>
      </c>
      <c r="R129" s="114">
        <f t="shared" ref="R129" si="212">SUM(R503:R508)</f>
        <v>1560900</v>
      </c>
    </row>
    <row r="130" spans="1:18" s="84" customFormat="1" x14ac:dyDescent="0.2">
      <c r="A130" s="107">
        <f>SUM(A510:A512)</f>
        <v>58800</v>
      </c>
      <c r="B130" s="33">
        <f>SUM(B510:B512)</f>
        <v>46700</v>
      </c>
      <c r="C130" s="189">
        <f>SUM(C510:C512)</f>
        <v>9000</v>
      </c>
      <c r="D130" s="187">
        <f>SUM(D510:D512)</f>
        <v>44100</v>
      </c>
      <c r="E130" s="821" t="s">
        <v>5529</v>
      </c>
      <c r="F130" s="132" t="s">
        <v>6961</v>
      </c>
      <c r="G130" s="187">
        <f>SUM(G510:G512)</f>
        <v>22000</v>
      </c>
      <c r="H130" s="138">
        <f t="shared" si="183"/>
        <v>-50.113378684807252</v>
      </c>
      <c r="I130" s="187">
        <f t="shared" ref="I130:Q130" si="213">SUM(I510:I512)</f>
        <v>22400</v>
      </c>
      <c r="J130" s="187">
        <f t="shared" si="213"/>
        <v>23000</v>
      </c>
      <c r="K130" s="187">
        <f t="shared" si="213"/>
        <v>23600</v>
      </c>
      <c r="L130" s="187">
        <f t="shared" si="213"/>
        <v>24200</v>
      </c>
      <c r="M130" s="187">
        <f t="shared" si="213"/>
        <v>24700</v>
      </c>
      <c r="N130" s="187">
        <f t="shared" si="213"/>
        <v>25200</v>
      </c>
      <c r="O130" s="187">
        <f t="shared" si="213"/>
        <v>25800</v>
      </c>
      <c r="P130" s="187">
        <f t="shared" si="213"/>
        <v>26400</v>
      </c>
      <c r="Q130" s="33">
        <f t="shared" si="213"/>
        <v>27000</v>
      </c>
      <c r="R130" s="114">
        <f t="shared" ref="R130" si="214">SUM(R510:R512)</f>
        <v>27600</v>
      </c>
    </row>
    <row r="131" spans="1:18" s="84" customFormat="1" x14ac:dyDescent="0.2">
      <c r="A131" s="107">
        <f>SUM(A513:A528)</f>
        <v>436000</v>
      </c>
      <c r="B131" s="33">
        <f>SUM(B513:B528)</f>
        <v>627100</v>
      </c>
      <c r="C131" s="189">
        <f>SUM(C513:C528)</f>
        <v>501800</v>
      </c>
      <c r="D131" s="187">
        <f>SUM(D513:D528)</f>
        <v>294300</v>
      </c>
      <c r="E131" s="821" t="s">
        <v>625</v>
      </c>
      <c r="F131" s="132" t="s">
        <v>6962</v>
      </c>
      <c r="G131" s="187">
        <f>SUM(G513:G528)</f>
        <v>375000</v>
      </c>
      <c r="H131" s="138">
        <f t="shared" si="183"/>
        <v>27.42099898063201</v>
      </c>
      <c r="I131" s="33">
        <f t="shared" ref="I131:Q131" si="215">SUM(I513:I528)</f>
        <v>381300</v>
      </c>
      <c r="J131" s="33">
        <f t="shared" si="215"/>
        <v>391400</v>
      </c>
      <c r="K131" s="33">
        <f t="shared" si="215"/>
        <v>401800</v>
      </c>
      <c r="L131" s="33">
        <f t="shared" si="215"/>
        <v>412500</v>
      </c>
      <c r="M131" s="33">
        <f t="shared" si="215"/>
        <v>421600</v>
      </c>
      <c r="N131" s="33">
        <f t="shared" si="215"/>
        <v>430700</v>
      </c>
      <c r="O131" s="33">
        <f t="shared" si="215"/>
        <v>440100</v>
      </c>
      <c r="P131" s="142">
        <f t="shared" si="215"/>
        <v>449600</v>
      </c>
      <c r="Q131" s="33">
        <f t="shared" si="215"/>
        <v>459200</v>
      </c>
      <c r="R131" s="114">
        <f t="shared" ref="R131" si="216">SUM(R513:R528)</f>
        <v>469000</v>
      </c>
    </row>
    <row r="132" spans="1:18" s="84" customFormat="1" x14ac:dyDescent="0.2">
      <c r="A132" s="107">
        <f>A531+A533+A534</f>
        <v>0</v>
      </c>
      <c r="B132" s="33">
        <f>B531+B533+B534</f>
        <v>0</v>
      </c>
      <c r="C132" s="189">
        <f>C531+C533+C534</f>
        <v>0</v>
      </c>
      <c r="D132" s="187">
        <f>SUM(D531:D534)</f>
        <v>94800</v>
      </c>
      <c r="E132" s="821" t="s">
        <v>6733</v>
      </c>
      <c r="F132" s="132" t="s">
        <v>6963</v>
      </c>
      <c r="G132" s="187">
        <f>SUM(G531:G534)</f>
        <v>201500</v>
      </c>
      <c r="H132" s="138">
        <f t="shared" si="183"/>
        <v>112.55274261603377</v>
      </c>
      <c r="I132" s="33">
        <f t="shared" ref="I132:Q132" si="217">SUM(I531:I534)</f>
        <v>204600</v>
      </c>
      <c r="J132" s="33">
        <f t="shared" si="217"/>
        <v>209800</v>
      </c>
      <c r="K132" s="33">
        <f t="shared" si="217"/>
        <v>215100</v>
      </c>
      <c r="L132" s="33">
        <f t="shared" si="217"/>
        <v>220500</v>
      </c>
      <c r="M132" s="33">
        <f t="shared" si="217"/>
        <v>225000</v>
      </c>
      <c r="N132" s="33">
        <f t="shared" si="217"/>
        <v>229500</v>
      </c>
      <c r="O132" s="33">
        <f t="shared" si="217"/>
        <v>234100</v>
      </c>
      <c r="P132" s="33">
        <f t="shared" si="217"/>
        <v>238800</v>
      </c>
      <c r="Q132" s="33">
        <f t="shared" si="217"/>
        <v>243600</v>
      </c>
      <c r="R132" s="114">
        <f t="shared" ref="R132" si="218">SUM(R531:R534)</f>
        <v>248500</v>
      </c>
    </row>
    <row r="133" spans="1:18" s="84" customFormat="1" x14ac:dyDescent="0.2">
      <c r="A133" s="107"/>
      <c r="B133" s="33"/>
      <c r="C133" s="189"/>
      <c r="D133" s="187"/>
      <c r="E133" s="821"/>
      <c r="F133" s="132"/>
      <c r="G133" s="187"/>
      <c r="H133" s="138"/>
      <c r="I133" s="33"/>
      <c r="J133" s="33"/>
      <c r="K133" s="33"/>
      <c r="L133" s="33"/>
      <c r="M133" s="33"/>
      <c r="N133" s="33"/>
      <c r="O133" s="33"/>
      <c r="P133" s="142"/>
      <c r="Q133" s="33"/>
      <c r="R133" s="114"/>
    </row>
    <row r="134" spans="1:18" s="84" customFormat="1" x14ac:dyDescent="0.2">
      <c r="A134" s="107"/>
      <c r="B134" s="33"/>
      <c r="C134" s="189"/>
      <c r="D134" s="187"/>
      <c r="E134" s="821"/>
      <c r="F134" s="64" t="s">
        <v>1663</v>
      </c>
      <c r="G134" s="187"/>
      <c r="H134" s="138"/>
      <c r="I134" s="33"/>
      <c r="J134" s="33"/>
      <c r="K134" s="33"/>
      <c r="L134" s="33"/>
      <c r="M134" s="33"/>
      <c r="N134" s="33"/>
      <c r="O134" s="33"/>
      <c r="P134" s="142"/>
      <c r="Q134" s="33"/>
      <c r="R134" s="114"/>
    </row>
    <row r="135" spans="1:18" s="84" customFormat="1" x14ac:dyDescent="0.2">
      <c r="A135" s="107">
        <f>ROUND(SUM(A418:A418),-2)</f>
        <v>1503000</v>
      </c>
      <c r="B135" s="33">
        <f>SUM(B418:B418)</f>
        <v>1729000</v>
      </c>
      <c r="C135" s="189">
        <f>SUM(C418:C418)</f>
        <v>1777000</v>
      </c>
      <c r="D135" s="187">
        <f>SUM(D418:D418)</f>
        <v>1888000</v>
      </c>
      <c r="E135" s="821" t="s">
        <v>619</v>
      </c>
      <c r="F135" s="33" t="s">
        <v>407</v>
      </c>
      <c r="G135" s="187">
        <f t="shared" ref="G135:P135" si="219">SUM(G418:G418)</f>
        <v>1950000</v>
      </c>
      <c r="H135" s="138">
        <f>IF(D135=G135,0,IF(D135=0,100,(G135-D135)/D135*100))</f>
        <v>3.2838983050847461</v>
      </c>
      <c r="I135" s="33">
        <f t="shared" si="219"/>
        <v>2037000</v>
      </c>
      <c r="J135" s="33">
        <f t="shared" si="219"/>
        <v>2087900</v>
      </c>
      <c r="K135" s="33">
        <f t="shared" si="219"/>
        <v>2140100</v>
      </c>
      <c r="L135" s="33">
        <f t="shared" si="219"/>
        <v>2193600</v>
      </c>
      <c r="M135" s="33">
        <f t="shared" si="219"/>
        <v>2237500</v>
      </c>
      <c r="N135" s="33">
        <f t="shared" si="219"/>
        <v>2282300</v>
      </c>
      <c r="O135" s="33">
        <f t="shared" si="219"/>
        <v>2327900</v>
      </c>
      <c r="P135" s="142">
        <f t="shared" si="219"/>
        <v>2374500</v>
      </c>
      <c r="Q135" s="33">
        <f t="shared" ref="Q135" si="220">SUM(Q418:Q418)</f>
        <v>2422000</v>
      </c>
      <c r="R135" s="114">
        <f t="shared" ref="R135" si="221">SUM(R418:R418)</f>
        <v>2470400</v>
      </c>
    </row>
    <row r="136" spans="1:18" s="84" customFormat="1" x14ac:dyDescent="0.2">
      <c r="A136" s="107"/>
      <c r="B136" s="33"/>
      <c r="C136" s="189"/>
      <c r="D136" s="187"/>
      <c r="E136" s="821"/>
      <c r="F136" s="33"/>
      <c r="G136" s="187"/>
      <c r="H136" s="138"/>
      <c r="I136" s="33"/>
      <c r="J136" s="33"/>
      <c r="K136" s="33"/>
      <c r="L136" s="33"/>
      <c r="M136" s="33"/>
      <c r="N136" s="33"/>
      <c r="O136" s="33"/>
      <c r="P136" s="142"/>
      <c r="Q136" s="33"/>
      <c r="R136" s="114"/>
    </row>
    <row r="137" spans="1:18" s="84" customFormat="1" x14ac:dyDescent="0.2">
      <c r="A137" s="107"/>
      <c r="B137" s="33"/>
      <c r="C137" s="189"/>
      <c r="D137" s="187"/>
      <c r="E137" s="821"/>
      <c r="F137" s="64" t="s">
        <v>1130</v>
      </c>
      <c r="G137" s="187"/>
      <c r="H137" s="138"/>
      <c r="I137" s="33"/>
      <c r="J137" s="33"/>
      <c r="K137" s="33"/>
      <c r="L137" s="33"/>
      <c r="M137" s="33"/>
      <c r="N137" s="33"/>
      <c r="O137" s="33"/>
      <c r="P137" s="142"/>
      <c r="Q137" s="33"/>
      <c r="R137" s="114"/>
    </row>
    <row r="138" spans="1:18" s="84" customFormat="1" x14ac:dyDescent="0.2">
      <c r="A138" s="107">
        <f>ROUND(A537,-2)</f>
        <v>3266700</v>
      </c>
      <c r="B138" s="33">
        <f>B537</f>
        <v>4766800</v>
      </c>
      <c r="C138" s="189">
        <f>C537</f>
        <v>4647600</v>
      </c>
      <c r="D138" s="187">
        <f>D537</f>
        <v>4358200</v>
      </c>
      <c r="E138" s="821" t="s">
        <v>621</v>
      </c>
      <c r="F138" s="33" t="s">
        <v>1366</v>
      </c>
      <c r="G138" s="187">
        <f t="shared" ref="G138:M138" si="222">G537</f>
        <v>4193600</v>
      </c>
      <c r="H138" s="138">
        <f>IF(D138=G138,0,IF(D138=0,100,(G138-D138)/D138*100))</f>
        <v>-3.7767885824422929</v>
      </c>
      <c r="I138" s="33">
        <f t="shared" si="222"/>
        <v>4055900</v>
      </c>
      <c r="J138" s="33">
        <f t="shared" si="222"/>
        <v>3744300</v>
      </c>
      <c r="K138" s="33">
        <f t="shared" si="222"/>
        <v>3598000</v>
      </c>
      <c r="L138" s="33">
        <f t="shared" si="222"/>
        <v>3439800</v>
      </c>
      <c r="M138" s="33">
        <f t="shared" si="222"/>
        <v>3239200</v>
      </c>
      <c r="N138" s="33">
        <f>N537</f>
        <v>3049200</v>
      </c>
      <c r="O138" s="33">
        <f>O537</f>
        <v>2856300</v>
      </c>
      <c r="P138" s="142">
        <f>P537</f>
        <v>2658300</v>
      </c>
      <c r="Q138" s="33">
        <f>Q537</f>
        <v>2463300</v>
      </c>
      <c r="R138" s="114">
        <f>R537</f>
        <v>2266300</v>
      </c>
    </row>
    <row r="139" spans="1:18" s="84" customFormat="1" x14ac:dyDescent="0.2">
      <c r="A139" s="107"/>
      <c r="B139" s="33"/>
      <c r="C139" s="189"/>
      <c r="D139" s="187"/>
      <c r="E139" s="821"/>
      <c r="F139" s="33"/>
      <c r="G139" s="187"/>
      <c r="H139" s="138"/>
      <c r="I139" s="33"/>
      <c r="J139" s="33"/>
      <c r="K139" s="33"/>
      <c r="L139" s="33"/>
      <c r="M139" s="33"/>
      <c r="N139" s="33"/>
      <c r="O139" s="33"/>
      <c r="P139" s="142"/>
      <c r="Q139" s="33"/>
      <c r="R139" s="114"/>
    </row>
    <row r="140" spans="1:18" s="84" customFormat="1" x14ac:dyDescent="0.2">
      <c r="A140" s="107"/>
      <c r="B140" s="33"/>
      <c r="C140" s="189"/>
      <c r="D140" s="187"/>
      <c r="E140" s="821"/>
      <c r="F140" s="64" t="s">
        <v>265</v>
      </c>
      <c r="G140" s="187"/>
      <c r="H140" s="138"/>
      <c r="I140" s="33"/>
      <c r="J140" s="33"/>
      <c r="K140" s="33"/>
      <c r="L140" s="33"/>
      <c r="M140" s="33"/>
      <c r="N140" s="33"/>
      <c r="O140" s="33"/>
      <c r="P140" s="142"/>
      <c r="Q140" s="33"/>
      <c r="R140" s="114"/>
    </row>
    <row r="141" spans="1:18" s="84" customFormat="1" x14ac:dyDescent="0.2">
      <c r="A141" s="107">
        <f>A540</f>
        <v>2841000</v>
      </c>
      <c r="B141" s="33">
        <f>B540</f>
        <v>2643100</v>
      </c>
      <c r="C141" s="189">
        <f>C540</f>
        <v>2314300</v>
      </c>
      <c r="D141" s="187">
        <f>D540</f>
        <v>3531900</v>
      </c>
      <c r="E141" s="1955">
        <v>55022</v>
      </c>
      <c r="F141" s="33" t="s">
        <v>2070</v>
      </c>
      <c r="G141" s="187">
        <f t="shared" ref="G141:P141" si="223">G540</f>
        <v>2678000</v>
      </c>
      <c r="H141" s="138">
        <f>IF(D141=G141,0,IF(D141=0,100,(G141-D141)/D141*100))</f>
        <v>-24.176788697301735</v>
      </c>
      <c r="I141" s="33">
        <f t="shared" si="223"/>
        <v>3775000</v>
      </c>
      <c r="J141" s="33">
        <f t="shared" si="223"/>
        <v>3851000</v>
      </c>
      <c r="K141" s="33">
        <f t="shared" si="223"/>
        <v>3928000</v>
      </c>
      <c r="L141" s="33">
        <f t="shared" si="223"/>
        <v>4007000</v>
      </c>
      <c r="M141" s="33">
        <f t="shared" si="223"/>
        <v>4087000</v>
      </c>
      <c r="N141" s="33">
        <f t="shared" si="223"/>
        <v>4169000</v>
      </c>
      <c r="O141" s="33">
        <f t="shared" si="223"/>
        <v>4252000</v>
      </c>
      <c r="P141" s="142">
        <f t="shared" si="223"/>
        <v>4337000</v>
      </c>
      <c r="Q141" s="33">
        <f t="shared" ref="Q141" si="224">Q540</f>
        <v>4424000</v>
      </c>
      <c r="R141" s="114">
        <f t="shared" ref="R141" si="225">R540</f>
        <v>4512000</v>
      </c>
    </row>
    <row r="142" spans="1:18" s="84" customFormat="1" x14ac:dyDescent="0.2">
      <c r="A142" s="107">
        <f>ROUND(A541,-3)</f>
        <v>1596000</v>
      </c>
      <c r="B142" s="33">
        <f t="shared" ref="B142:D143" si="226">B541</f>
        <v>20300</v>
      </c>
      <c r="C142" s="189">
        <f t="shared" si="226"/>
        <v>12216800</v>
      </c>
      <c r="D142" s="187">
        <f t="shared" si="226"/>
        <v>10800</v>
      </c>
      <c r="E142" s="821"/>
      <c r="F142" s="132" t="s">
        <v>4520</v>
      </c>
      <c r="G142" s="187">
        <f t="shared" ref="G142:P142" si="227">G541</f>
        <v>0</v>
      </c>
      <c r="H142" s="138">
        <f>IF(D142=G142,0,IF(D142=0,100,(G142-D142)/D142*100))</f>
        <v>-100</v>
      </c>
      <c r="I142" s="33">
        <f t="shared" si="227"/>
        <v>0</v>
      </c>
      <c r="J142" s="33">
        <f t="shared" si="227"/>
        <v>0</v>
      </c>
      <c r="K142" s="33">
        <f t="shared" si="227"/>
        <v>0</v>
      </c>
      <c r="L142" s="33">
        <f t="shared" si="227"/>
        <v>0</v>
      </c>
      <c r="M142" s="33">
        <f t="shared" si="227"/>
        <v>0</v>
      </c>
      <c r="N142" s="33">
        <f t="shared" si="227"/>
        <v>0</v>
      </c>
      <c r="O142" s="33">
        <f t="shared" si="227"/>
        <v>0</v>
      </c>
      <c r="P142" s="142">
        <f t="shared" si="227"/>
        <v>0</v>
      </c>
      <c r="Q142" s="33">
        <f t="shared" ref="Q142" si="228">Q541</f>
        <v>0</v>
      </c>
      <c r="R142" s="114">
        <f t="shared" ref="R142" si="229">R541</f>
        <v>0</v>
      </c>
    </row>
    <row r="143" spans="1:18" s="84" customFormat="1" x14ac:dyDescent="0.2">
      <c r="A143" s="107">
        <f>ROUND(A542,-2)</f>
        <v>435600</v>
      </c>
      <c r="B143" s="33">
        <f t="shared" si="226"/>
        <v>394000</v>
      </c>
      <c r="C143" s="189">
        <f t="shared" si="226"/>
        <v>349200</v>
      </c>
      <c r="D143" s="187">
        <f t="shared" si="226"/>
        <v>301100</v>
      </c>
      <c r="E143" s="1955">
        <v>55022</v>
      </c>
      <c r="F143" s="33" t="s">
        <v>2782</v>
      </c>
      <c r="G143" s="187">
        <f t="shared" ref="G143:P143" si="230">G542</f>
        <v>249000</v>
      </c>
      <c r="H143" s="138">
        <f>IF(D143=G143,0,IF(D143=0,100,(G143-D143)/D143*100))</f>
        <v>-17.303221521089341</v>
      </c>
      <c r="I143" s="33">
        <f t="shared" si="230"/>
        <v>194000</v>
      </c>
      <c r="J143" s="33">
        <f t="shared" si="230"/>
        <v>134000</v>
      </c>
      <c r="K143" s="33">
        <f t="shared" si="230"/>
        <v>69000</v>
      </c>
      <c r="L143" s="33">
        <f t="shared" si="230"/>
        <v>0</v>
      </c>
      <c r="M143" s="33">
        <f t="shared" si="230"/>
        <v>0</v>
      </c>
      <c r="N143" s="33">
        <f t="shared" si="230"/>
        <v>0</v>
      </c>
      <c r="O143" s="33">
        <f t="shared" si="230"/>
        <v>0</v>
      </c>
      <c r="P143" s="142">
        <f t="shared" si="230"/>
        <v>0</v>
      </c>
      <c r="Q143" s="33">
        <f t="shared" ref="Q143" si="231">Q542</f>
        <v>0</v>
      </c>
      <c r="R143" s="114">
        <f t="shared" ref="R143" si="232">R542</f>
        <v>0</v>
      </c>
    </row>
    <row r="144" spans="1:18" s="84" customFormat="1" ht="13.5" thickBot="1" x14ac:dyDescent="0.25">
      <c r="A144" s="107"/>
      <c r="B144" s="33"/>
      <c r="C144" s="189"/>
      <c r="D144" s="187"/>
      <c r="E144" s="1959"/>
      <c r="F144" s="366"/>
      <c r="G144" s="187"/>
      <c r="H144" s="138"/>
      <c r="I144" s="33"/>
      <c r="J144" s="33"/>
      <c r="K144" s="33"/>
      <c r="L144" s="33"/>
      <c r="M144" s="33"/>
      <c r="N144" s="33"/>
      <c r="O144" s="33"/>
      <c r="P144" s="142"/>
      <c r="Q144" s="33"/>
      <c r="R144" s="114"/>
    </row>
    <row r="145" spans="1:18" s="92" customFormat="1" x14ac:dyDescent="0.2">
      <c r="A145" s="105">
        <f>SUM(A115:A144)</f>
        <v>17499800</v>
      </c>
      <c r="B145" s="53">
        <f>SUM(B115:B144)</f>
        <v>17044400</v>
      </c>
      <c r="C145" s="190">
        <f>SUM(C115:C144)</f>
        <v>28747200</v>
      </c>
      <c r="D145" s="199">
        <f>SUM(D115:D144)</f>
        <v>17312700</v>
      </c>
      <c r="E145" s="1990"/>
      <c r="F145" s="378" t="s">
        <v>565</v>
      </c>
      <c r="G145" s="199">
        <f>SUM(G115:G144)</f>
        <v>17187700</v>
      </c>
      <c r="H145" s="180">
        <f>IF(D145=G145,0,IF(D145=0,100,(G145-D145)/D145*100))</f>
        <v>-0.72201331970172189</v>
      </c>
      <c r="I145" s="53">
        <f t="shared" ref="I145:Q145" si="233">SUM(I115:I144)</f>
        <v>17800500</v>
      </c>
      <c r="J145" s="53">
        <f t="shared" si="233"/>
        <v>17710400</v>
      </c>
      <c r="K145" s="53">
        <f t="shared" si="233"/>
        <v>17828600</v>
      </c>
      <c r="L145" s="53">
        <f t="shared" si="233"/>
        <v>17938700</v>
      </c>
      <c r="M145" s="53">
        <f t="shared" si="233"/>
        <v>18031700</v>
      </c>
      <c r="N145" s="53">
        <f t="shared" si="233"/>
        <v>18191200</v>
      </c>
      <c r="O145" s="53">
        <f t="shared" si="233"/>
        <v>18252600</v>
      </c>
      <c r="P145" s="155">
        <f t="shared" si="233"/>
        <v>18365500</v>
      </c>
      <c r="Q145" s="53">
        <f t="shared" si="233"/>
        <v>18420300</v>
      </c>
      <c r="R145" s="113">
        <f t="shared" ref="R145" si="234">SUM(R115:R144)</f>
        <v>18540400</v>
      </c>
    </row>
    <row r="146" spans="1:18" s="84" customFormat="1" x14ac:dyDescent="0.2">
      <c r="A146" s="107"/>
      <c r="B146" s="33"/>
      <c r="C146" s="189"/>
      <c r="D146" s="187"/>
      <c r="E146" s="1959"/>
      <c r="F146" s="366"/>
      <c r="G146" s="187"/>
      <c r="H146" s="138"/>
      <c r="I146" s="33"/>
      <c r="J146" s="33"/>
      <c r="K146" s="33"/>
      <c r="L146" s="33"/>
      <c r="M146" s="33"/>
      <c r="N146" s="33"/>
      <c r="O146" s="33"/>
      <c r="P146" s="142"/>
      <c r="Q146" s="33"/>
      <c r="R146" s="114"/>
    </row>
    <row r="147" spans="1:18" s="92" customFormat="1" x14ac:dyDescent="0.2">
      <c r="A147" s="70">
        <f>A113-A145</f>
        <v>-3713200</v>
      </c>
      <c r="B147" s="64">
        <f>B113-B145</f>
        <v>-2581600</v>
      </c>
      <c r="C147" s="193">
        <f>C113-C145</f>
        <v>-13391300</v>
      </c>
      <c r="D147" s="192">
        <f>D113-D145</f>
        <v>-948800</v>
      </c>
      <c r="E147" s="1990"/>
      <c r="F147" s="516" t="s">
        <v>1019</v>
      </c>
      <c r="G147" s="192">
        <f>G113-G145</f>
        <v>518200</v>
      </c>
      <c r="H147" s="179">
        <f>IF(D147=G147,0,IF(D147=0,100,(G147-D147)/D147*100))</f>
        <v>-154.61635750421584</v>
      </c>
      <c r="I147" s="64">
        <f t="shared" ref="I147:Q147" si="235">I113-I145</f>
        <v>338000</v>
      </c>
      <c r="J147" s="64">
        <f t="shared" si="235"/>
        <v>892600</v>
      </c>
      <c r="K147" s="64">
        <f t="shared" si="235"/>
        <v>1286900</v>
      </c>
      <c r="L147" s="64">
        <f t="shared" si="235"/>
        <v>1904300</v>
      </c>
      <c r="M147" s="64">
        <f t="shared" si="235"/>
        <v>2368300</v>
      </c>
      <c r="N147" s="64">
        <f t="shared" si="235"/>
        <v>2830700</v>
      </c>
      <c r="O147" s="64">
        <f t="shared" si="235"/>
        <v>3374900</v>
      </c>
      <c r="P147" s="128">
        <f t="shared" si="235"/>
        <v>3962300</v>
      </c>
      <c r="Q147" s="64">
        <f t="shared" si="235"/>
        <v>4701200</v>
      </c>
      <c r="R147" s="115">
        <f t="shared" ref="R147" si="236">R113-R145</f>
        <v>5400200</v>
      </c>
    </row>
    <row r="148" spans="1:18" s="84" customFormat="1" x14ac:dyDescent="0.2">
      <c r="A148" s="107">
        <f t="shared" ref="A148:B149" si="237">A141</f>
        <v>2841000</v>
      </c>
      <c r="B148" s="33">
        <f t="shared" si="237"/>
        <v>2643100</v>
      </c>
      <c r="C148" s="189">
        <f t="shared" ref="C148:D150" si="238">C141</f>
        <v>2314300</v>
      </c>
      <c r="D148" s="187">
        <f t="shared" si="238"/>
        <v>3531900</v>
      </c>
      <c r="E148" s="1959"/>
      <c r="F148" s="372" t="s">
        <v>1976</v>
      </c>
      <c r="G148" s="187">
        <f t="shared" ref="G148:O149" si="239">G141</f>
        <v>2678000</v>
      </c>
      <c r="H148" s="138">
        <f>IF(D148=G148,0,IF(D148=0,100,(G148-D148)/D148*100))</f>
        <v>-24.176788697301735</v>
      </c>
      <c r="I148" s="33">
        <f t="shared" si="239"/>
        <v>3775000</v>
      </c>
      <c r="J148" s="33">
        <f t="shared" si="239"/>
        <v>3851000</v>
      </c>
      <c r="K148" s="33">
        <f t="shared" si="239"/>
        <v>3928000</v>
      </c>
      <c r="L148" s="33">
        <f t="shared" si="239"/>
        <v>4007000</v>
      </c>
      <c r="M148" s="33">
        <f t="shared" si="239"/>
        <v>4087000</v>
      </c>
      <c r="N148" s="33">
        <f t="shared" si="239"/>
        <v>4169000</v>
      </c>
      <c r="O148" s="33">
        <f t="shared" si="239"/>
        <v>4252000</v>
      </c>
      <c r="P148" s="142">
        <f t="shared" ref="P148:Q148" si="240">P141</f>
        <v>4337000</v>
      </c>
      <c r="Q148" s="33">
        <f t="shared" si="240"/>
        <v>4424000</v>
      </c>
      <c r="R148" s="114">
        <f t="shared" ref="R148" si="241">R141</f>
        <v>4512000</v>
      </c>
    </row>
    <row r="149" spans="1:18" s="84" customFormat="1" x14ac:dyDescent="0.2">
      <c r="A149" s="107">
        <f t="shared" si="237"/>
        <v>1596000</v>
      </c>
      <c r="B149" s="33">
        <f t="shared" si="237"/>
        <v>20300</v>
      </c>
      <c r="C149" s="189">
        <f t="shared" si="238"/>
        <v>12216800</v>
      </c>
      <c r="D149" s="187">
        <f t="shared" si="238"/>
        <v>10800</v>
      </c>
      <c r="E149" s="1959"/>
      <c r="F149" s="372" t="s">
        <v>4696</v>
      </c>
      <c r="G149" s="187">
        <f t="shared" si="239"/>
        <v>0</v>
      </c>
      <c r="H149" s="138">
        <f>IF(D149=G149,0,IF(D149=0,100,(G149-D149)/D149*100))</f>
        <v>-100</v>
      </c>
      <c r="I149" s="33">
        <f t="shared" si="239"/>
        <v>0</v>
      </c>
      <c r="J149" s="33">
        <f t="shared" si="239"/>
        <v>0</v>
      </c>
      <c r="K149" s="33">
        <f t="shared" si="239"/>
        <v>0</v>
      </c>
      <c r="L149" s="33">
        <f t="shared" si="239"/>
        <v>0</v>
      </c>
      <c r="M149" s="33">
        <f t="shared" si="239"/>
        <v>0</v>
      </c>
      <c r="N149" s="33">
        <f t="shared" si="239"/>
        <v>0</v>
      </c>
      <c r="O149" s="33">
        <f t="shared" si="239"/>
        <v>0</v>
      </c>
      <c r="P149" s="142">
        <f t="shared" ref="P149:Q149" si="242">P142</f>
        <v>0</v>
      </c>
      <c r="Q149" s="33">
        <f t="shared" si="242"/>
        <v>0</v>
      </c>
      <c r="R149" s="114">
        <f t="shared" ref="R149" si="243">R142</f>
        <v>0</v>
      </c>
    </row>
    <row r="150" spans="1:18" s="84" customFormat="1" x14ac:dyDescent="0.2">
      <c r="A150" s="107">
        <f t="shared" ref="A150:B150" si="244">A143</f>
        <v>435600</v>
      </c>
      <c r="B150" s="33">
        <f t="shared" si="244"/>
        <v>394000</v>
      </c>
      <c r="C150" s="189">
        <f t="shared" si="238"/>
        <v>349200</v>
      </c>
      <c r="D150" s="187">
        <f t="shared" si="238"/>
        <v>301100</v>
      </c>
      <c r="E150" s="1955">
        <v>55022</v>
      </c>
      <c r="F150" s="742" t="s">
        <v>4543</v>
      </c>
      <c r="G150" s="187">
        <f t="shared" ref="G150:O150" si="245">G143</f>
        <v>249000</v>
      </c>
      <c r="H150" s="138">
        <f>IF(D150=G150,0,IF(D150=0,100,(G150-D150)/D150*100))</f>
        <v>-17.303221521089341</v>
      </c>
      <c r="I150" s="33">
        <f t="shared" si="245"/>
        <v>194000</v>
      </c>
      <c r="J150" s="33">
        <f t="shared" si="245"/>
        <v>134000</v>
      </c>
      <c r="K150" s="33">
        <f t="shared" si="245"/>
        <v>69000</v>
      </c>
      <c r="L150" s="33">
        <f t="shared" si="245"/>
        <v>0</v>
      </c>
      <c r="M150" s="33">
        <f t="shared" si="245"/>
        <v>0</v>
      </c>
      <c r="N150" s="33">
        <f t="shared" si="245"/>
        <v>0</v>
      </c>
      <c r="O150" s="33">
        <f t="shared" si="245"/>
        <v>0</v>
      </c>
      <c r="P150" s="142">
        <f t="shared" ref="P150:Q150" si="246">P143</f>
        <v>0</v>
      </c>
      <c r="Q150" s="33">
        <f t="shared" si="246"/>
        <v>0</v>
      </c>
      <c r="R150" s="114">
        <f t="shared" ref="R150" si="247">R143</f>
        <v>0</v>
      </c>
    </row>
    <row r="151" spans="1:18" s="92" customFormat="1" x14ac:dyDescent="0.2">
      <c r="A151" s="181">
        <f t="shared" ref="A151:B151" si="248">SUM(A147:A150)</f>
        <v>1159400</v>
      </c>
      <c r="B151" s="397">
        <f t="shared" si="248"/>
        <v>475800</v>
      </c>
      <c r="C151" s="398">
        <f>SUM(C147:C150)</f>
        <v>1489000</v>
      </c>
      <c r="D151" s="728">
        <f>SUM(D147:D150)</f>
        <v>2895000</v>
      </c>
      <c r="E151" s="521"/>
      <c r="F151" s="518" t="s">
        <v>1687</v>
      </c>
      <c r="G151" s="728">
        <f t="shared" ref="G151:O151" si="249">SUM(G147:G150)</f>
        <v>3445200</v>
      </c>
      <c r="H151" s="395">
        <f>IF(D151=G151,0,IF(D151=0,100,(G151-D151)/D151*100))</f>
        <v>19.005181347150259</v>
      </c>
      <c r="I151" s="397">
        <f t="shared" si="249"/>
        <v>4307000</v>
      </c>
      <c r="J151" s="397">
        <f t="shared" si="249"/>
        <v>4877600</v>
      </c>
      <c r="K151" s="397">
        <f t="shared" si="249"/>
        <v>5283900</v>
      </c>
      <c r="L151" s="397">
        <f t="shared" si="249"/>
        <v>5911300</v>
      </c>
      <c r="M151" s="397">
        <f t="shared" si="249"/>
        <v>6455300</v>
      </c>
      <c r="N151" s="397">
        <f t="shared" si="249"/>
        <v>6999700</v>
      </c>
      <c r="O151" s="397">
        <f t="shared" si="249"/>
        <v>7626900</v>
      </c>
      <c r="P151" s="377">
        <f t="shared" ref="P151:Q151" si="250">SUM(P147:P150)</f>
        <v>8299300</v>
      </c>
      <c r="Q151" s="397">
        <f t="shared" si="250"/>
        <v>9125200</v>
      </c>
      <c r="R151" s="399">
        <f t="shared" ref="R151" si="251">SUM(R147:R150)</f>
        <v>9912200</v>
      </c>
    </row>
    <row r="152" spans="1:18" s="84" customFormat="1" ht="13.5" thickBot="1" x14ac:dyDescent="0.25">
      <c r="A152" s="171"/>
      <c r="B152" s="66"/>
      <c r="C152" s="202"/>
      <c r="D152" s="729"/>
      <c r="E152" s="172"/>
      <c r="F152" s="380"/>
      <c r="G152" s="729"/>
      <c r="H152" s="140"/>
      <c r="I152" s="121"/>
      <c r="J152" s="121"/>
      <c r="K152" s="121"/>
      <c r="L152" s="121"/>
      <c r="M152" s="121"/>
      <c r="N152" s="121"/>
      <c r="O152" s="121"/>
      <c r="P152" s="95"/>
      <c r="Q152" s="121"/>
      <c r="R152" s="161"/>
    </row>
    <row r="153" spans="1:18" s="84" customFormat="1" ht="13.5" thickTop="1" x14ac:dyDescent="0.2">
      <c r="A153" s="383"/>
      <c r="B153" s="162"/>
      <c r="C153" s="194"/>
      <c r="D153" s="730"/>
      <c r="E153" s="396"/>
      <c r="F153" s="367"/>
      <c r="G153" s="730"/>
      <c r="H153" s="162"/>
      <c r="I153" s="127"/>
      <c r="J153" s="127"/>
      <c r="K153" s="127"/>
      <c r="L153" s="127"/>
      <c r="M153" s="127"/>
      <c r="N153" s="127"/>
      <c r="O153" s="127"/>
      <c r="P153" s="164"/>
      <c r="Q153" s="127"/>
      <c r="R153" s="163"/>
    </row>
    <row r="154" spans="1:18" s="84" customFormat="1" x14ac:dyDescent="0.2">
      <c r="A154" s="70"/>
      <c r="B154" s="64"/>
      <c r="C154" s="193"/>
      <c r="D154" s="192"/>
      <c r="E154" s="123"/>
      <c r="F154" s="516" t="s">
        <v>196</v>
      </c>
      <c r="G154" s="192"/>
      <c r="H154" s="64"/>
      <c r="I154" s="33"/>
      <c r="J154" s="33"/>
      <c r="K154" s="33"/>
      <c r="L154" s="33"/>
      <c r="M154" s="33"/>
      <c r="N154" s="33"/>
      <c r="O154" s="33"/>
      <c r="P154" s="142"/>
      <c r="Q154" s="33"/>
      <c r="R154" s="114"/>
    </row>
    <row r="155" spans="1:18" s="84" customFormat="1" x14ac:dyDescent="0.2">
      <c r="A155" s="107">
        <f t="shared" ref="A155:B155" si="252">+A554</f>
        <v>985000</v>
      </c>
      <c r="B155" s="33">
        <f t="shared" si="252"/>
        <v>2384800</v>
      </c>
      <c r="C155" s="189">
        <f>+C554</f>
        <v>2187900</v>
      </c>
      <c r="D155" s="187">
        <f>+D554</f>
        <v>2793300</v>
      </c>
      <c r="E155" s="123"/>
      <c r="F155" s="366" t="s">
        <v>2900</v>
      </c>
      <c r="G155" s="187">
        <f t="shared" ref="G155:P155" si="253">+G554</f>
        <v>2957900</v>
      </c>
      <c r="H155" s="33"/>
      <c r="I155" s="33">
        <f t="shared" si="253"/>
        <v>3095600</v>
      </c>
      <c r="J155" s="33">
        <f t="shared" si="253"/>
        <v>3134000</v>
      </c>
      <c r="K155" s="33">
        <f t="shared" si="253"/>
        <v>3280300</v>
      </c>
      <c r="L155" s="33">
        <f t="shared" si="253"/>
        <v>2453500</v>
      </c>
      <c r="M155" s="33">
        <f t="shared" si="253"/>
        <v>2654100</v>
      </c>
      <c r="N155" s="33">
        <f t="shared" si="253"/>
        <v>2844100</v>
      </c>
      <c r="O155" s="33">
        <f t="shared" si="253"/>
        <v>3037000</v>
      </c>
      <c r="P155" s="142">
        <f t="shared" si="253"/>
        <v>3235000</v>
      </c>
      <c r="Q155" s="33">
        <f t="shared" ref="Q155" si="254">+Q554</f>
        <v>3430000</v>
      </c>
      <c r="R155" s="114">
        <f t="shared" ref="R155" si="255">+R554</f>
        <v>3627000</v>
      </c>
    </row>
    <row r="156" spans="1:18" s="84" customFormat="1" x14ac:dyDescent="0.2">
      <c r="A156" s="107">
        <f t="shared" ref="A156:B159" si="256">+A555</f>
        <v>239300</v>
      </c>
      <c r="B156" s="33">
        <f t="shared" si="256"/>
        <v>0</v>
      </c>
      <c r="C156" s="189">
        <f t="shared" ref="C156:C159" si="257">+C555</f>
        <v>0</v>
      </c>
      <c r="D156" s="187">
        <f t="shared" ref="D156:D159" si="258">+D555</f>
        <v>0</v>
      </c>
      <c r="E156" s="123"/>
      <c r="F156" s="366" t="s">
        <v>1942</v>
      </c>
      <c r="G156" s="187">
        <f t="shared" ref="G156:P156" si="259">+G555</f>
        <v>0</v>
      </c>
      <c r="H156" s="33"/>
      <c r="I156" s="33">
        <f t="shared" si="259"/>
        <v>0</v>
      </c>
      <c r="J156" s="33">
        <f t="shared" si="259"/>
        <v>0</v>
      </c>
      <c r="K156" s="33">
        <f t="shared" si="259"/>
        <v>0</v>
      </c>
      <c r="L156" s="33">
        <f t="shared" si="259"/>
        <v>0</v>
      </c>
      <c r="M156" s="33">
        <f t="shared" si="259"/>
        <v>0</v>
      </c>
      <c r="N156" s="33">
        <f t="shared" si="259"/>
        <v>0</v>
      </c>
      <c r="O156" s="33">
        <f t="shared" si="259"/>
        <v>3481900</v>
      </c>
      <c r="P156" s="142">
        <f t="shared" si="259"/>
        <v>3938300</v>
      </c>
      <c r="Q156" s="33">
        <f t="shared" ref="Q156" si="260">+Q555</f>
        <v>4448200</v>
      </c>
      <c r="R156" s="114">
        <f t="shared" ref="R156" si="261">+R555</f>
        <v>5097200</v>
      </c>
    </row>
    <row r="157" spans="1:18" s="84" customFormat="1" x14ac:dyDescent="0.2">
      <c r="A157" s="107">
        <f t="shared" si="256"/>
        <v>6638900</v>
      </c>
      <c r="B157" s="33">
        <f t="shared" si="256"/>
        <v>8689200</v>
      </c>
      <c r="C157" s="189">
        <f t="shared" si="257"/>
        <v>5039300</v>
      </c>
      <c r="D157" s="187">
        <f>+D556</f>
        <v>2011000</v>
      </c>
      <c r="E157" s="123"/>
      <c r="F157" s="366" t="s">
        <v>2348</v>
      </c>
      <c r="G157" s="187">
        <f t="shared" ref="G157:P157" si="262">+G556</f>
        <v>3060700</v>
      </c>
      <c r="H157" s="33"/>
      <c r="I157" s="33">
        <f t="shared" si="262"/>
        <v>2918600</v>
      </c>
      <c r="J157" s="33">
        <f t="shared" si="262"/>
        <v>1259400</v>
      </c>
      <c r="K157" s="33">
        <f t="shared" si="262"/>
        <v>363800</v>
      </c>
      <c r="L157" s="33">
        <f t="shared" si="262"/>
        <v>931000</v>
      </c>
      <c r="M157" s="33">
        <f t="shared" si="262"/>
        <v>868800</v>
      </c>
      <c r="N157" s="33">
        <f t="shared" si="262"/>
        <v>333400</v>
      </c>
      <c r="O157" s="33">
        <f t="shared" si="262"/>
        <v>0</v>
      </c>
      <c r="P157" s="142">
        <f t="shared" si="262"/>
        <v>0</v>
      </c>
      <c r="Q157" s="33">
        <f t="shared" ref="Q157" si="263">+Q556</f>
        <v>0</v>
      </c>
      <c r="R157" s="114">
        <f t="shared" ref="R157" si="264">+R556</f>
        <v>0</v>
      </c>
    </row>
    <row r="158" spans="1:18" s="84" customFormat="1" x14ac:dyDescent="0.2">
      <c r="A158" s="107">
        <f t="shared" si="256"/>
        <v>18800000</v>
      </c>
      <c r="B158" s="33">
        <f t="shared" si="256"/>
        <v>1351900</v>
      </c>
      <c r="C158" s="189">
        <f t="shared" si="257"/>
        <v>0</v>
      </c>
      <c r="D158" s="187">
        <f t="shared" si="258"/>
        <v>174600</v>
      </c>
      <c r="E158" s="123"/>
      <c r="F158" s="366" t="s">
        <v>5984</v>
      </c>
      <c r="G158" s="187">
        <f t="shared" ref="G158:P158" si="265">+G557</f>
        <v>2264000</v>
      </c>
      <c r="H158" s="33"/>
      <c r="I158" s="33">
        <f t="shared" si="265"/>
        <v>1137000</v>
      </c>
      <c r="J158" s="33">
        <f t="shared" si="265"/>
        <v>1749000</v>
      </c>
      <c r="K158" s="33">
        <f t="shared" si="265"/>
        <v>3932000</v>
      </c>
      <c r="L158" s="33">
        <f t="shared" si="265"/>
        <v>2005500</v>
      </c>
      <c r="M158" s="33">
        <f t="shared" si="265"/>
        <v>0</v>
      </c>
      <c r="N158" s="33">
        <f t="shared" si="265"/>
        <v>519000</v>
      </c>
      <c r="O158" s="33">
        <f t="shared" si="265"/>
        <v>0</v>
      </c>
      <c r="P158" s="142">
        <f t="shared" si="265"/>
        <v>0</v>
      </c>
      <c r="Q158" s="33">
        <f t="shared" ref="Q158" si="266">+Q557</f>
        <v>0</v>
      </c>
      <c r="R158" s="114">
        <f t="shared" ref="R158" si="267">+R557</f>
        <v>0</v>
      </c>
    </row>
    <row r="159" spans="1:18" s="84" customFormat="1" x14ac:dyDescent="0.2">
      <c r="A159" s="107">
        <f t="shared" si="256"/>
        <v>25354000</v>
      </c>
      <c r="B159" s="33">
        <f t="shared" si="256"/>
        <v>8112100</v>
      </c>
      <c r="C159" s="189">
        <f t="shared" si="257"/>
        <v>4320400</v>
      </c>
      <c r="D159" s="187">
        <f t="shared" si="258"/>
        <v>2267300</v>
      </c>
      <c r="E159" s="123"/>
      <c r="F159" s="366" t="s">
        <v>973</v>
      </c>
      <c r="G159" s="187">
        <f t="shared" ref="G159:P159" si="268">+G558</f>
        <v>5792000</v>
      </c>
      <c r="H159" s="33"/>
      <c r="I159" s="33">
        <f t="shared" si="268"/>
        <v>5247000</v>
      </c>
      <c r="J159" s="33">
        <f t="shared" si="268"/>
        <v>4732000</v>
      </c>
      <c r="K159" s="33">
        <f t="shared" si="268"/>
        <v>6279400</v>
      </c>
      <c r="L159" s="33">
        <f t="shared" si="268"/>
        <v>6374300</v>
      </c>
      <c r="M159" s="33">
        <f t="shared" si="268"/>
        <v>4650000</v>
      </c>
      <c r="N159" s="33">
        <f t="shared" si="268"/>
        <v>4988000</v>
      </c>
      <c r="O159" s="33">
        <f t="shared" si="268"/>
        <v>1088000</v>
      </c>
      <c r="P159" s="142">
        <f t="shared" si="268"/>
        <v>1106000</v>
      </c>
      <c r="Q159" s="33">
        <f t="shared" ref="Q159" si="269">+Q558</f>
        <v>1227000</v>
      </c>
      <c r="R159" s="114">
        <f t="shared" ref="R159" si="270">+R558</f>
        <v>1168000</v>
      </c>
    </row>
    <row r="160" spans="1:18" s="84" customFormat="1" x14ac:dyDescent="0.2">
      <c r="A160" s="107"/>
      <c r="B160" s="33"/>
      <c r="C160" s="189"/>
      <c r="D160" s="187"/>
      <c r="E160" s="123"/>
      <c r="F160" s="516"/>
      <c r="G160" s="187"/>
      <c r="H160" s="33"/>
      <c r="I160" s="33"/>
      <c r="J160" s="33"/>
      <c r="K160" s="33"/>
      <c r="L160" s="33"/>
      <c r="M160" s="33"/>
      <c r="N160" s="33"/>
      <c r="O160" s="33"/>
      <c r="P160" s="142"/>
      <c r="Q160" s="33"/>
      <c r="R160" s="114"/>
    </row>
    <row r="161" spans="1:18" s="92" customFormat="1" x14ac:dyDescent="0.2">
      <c r="A161" s="181">
        <f>A151-A155-A156+A157++A158-A159</f>
        <v>20000</v>
      </c>
      <c r="B161" s="397">
        <f>B151-B155-B156+B157++B158-B159</f>
        <v>20000</v>
      </c>
      <c r="C161" s="398">
        <f>C151-C155-C156+C157++C158-C159</f>
        <v>20000</v>
      </c>
      <c r="D161" s="728">
        <f>D151-D155-D156+D157++D158-D159</f>
        <v>20000</v>
      </c>
      <c r="E161" s="547"/>
      <c r="F161" s="518" t="s">
        <v>2490</v>
      </c>
      <c r="G161" s="728">
        <f t="shared" ref="G161:M161" si="271">G151-G155-G156+G157++G158-G159</f>
        <v>20000</v>
      </c>
      <c r="H161" s="395">
        <f>IF(D161=G161,0,IF(D161=0,100,(G161-D161)/D161*100))</f>
        <v>0</v>
      </c>
      <c r="I161" s="397">
        <f t="shared" si="271"/>
        <v>20000</v>
      </c>
      <c r="J161" s="397">
        <f t="shared" si="271"/>
        <v>20000</v>
      </c>
      <c r="K161" s="397">
        <f t="shared" si="271"/>
        <v>20000</v>
      </c>
      <c r="L161" s="397">
        <f t="shared" si="271"/>
        <v>20000</v>
      </c>
      <c r="M161" s="397">
        <f t="shared" si="271"/>
        <v>20000</v>
      </c>
      <c r="N161" s="397">
        <f>N151-N155-N156+N157++N158-N159</f>
        <v>20000</v>
      </c>
      <c r="O161" s="397">
        <f>O151-O155-O156+O157++O158-O159</f>
        <v>20000</v>
      </c>
      <c r="P161" s="377">
        <f>P151-P155-P156+P157++P158-P159</f>
        <v>20000</v>
      </c>
      <c r="Q161" s="397">
        <f>Q151-Q155-Q156+Q157++Q158-Q159</f>
        <v>20000</v>
      </c>
      <c r="R161" s="399">
        <f>R151-R155-R156+R157++R158-R159</f>
        <v>20000</v>
      </c>
    </row>
    <row r="162" spans="1:18" s="84" customFormat="1" ht="13.5" thickBot="1" x14ac:dyDescent="0.25">
      <c r="A162" s="73"/>
      <c r="B162" s="90"/>
      <c r="C162" s="195"/>
      <c r="D162" s="200"/>
      <c r="E162" s="90"/>
      <c r="F162" s="368"/>
      <c r="G162" s="200"/>
      <c r="H162" s="90"/>
      <c r="I162" s="66"/>
      <c r="J162" s="66"/>
      <c r="K162" s="66"/>
      <c r="L162" s="66"/>
      <c r="M162" s="66"/>
      <c r="N162" s="66"/>
      <c r="O162" s="66"/>
      <c r="P162" s="166"/>
      <c r="Q162" s="66"/>
      <c r="R162" s="165"/>
    </row>
    <row r="163" spans="1:18" ht="14.25" thickTop="1" thickBot="1" x14ac:dyDescent="0.25">
      <c r="A163" s="120"/>
      <c r="B163" s="120"/>
      <c r="C163" s="2502"/>
      <c r="D163" s="2502"/>
      <c r="E163" s="120"/>
      <c r="F163" s="141"/>
      <c r="G163" s="2502"/>
      <c r="H163" s="120"/>
      <c r="I163" s="174"/>
      <c r="J163" s="174"/>
      <c r="K163" s="174"/>
      <c r="L163" s="174"/>
      <c r="M163" s="174"/>
      <c r="N163" s="174"/>
      <c r="O163" s="174"/>
      <c r="P163" s="174"/>
      <c r="Q163" s="174"/>
      <c r="R163" s="174"/>
    </row>
    <row r="164" spans="1:18" s="84" customFormat="1" ht="19.5" thickTop="1" thickBot="1" x14ac:dyDescent="0.25">
      <c r="A164" s="2909" t="s">
        <v>38</v>
      </c>
      <c r="B164" s="2910"/>
      <c r="C164" s="2910"/>
      <c r="D164" s="2910"/>
      <c r="E164" s="2910"/>
      <c r="F164" s="2910"/>
      <c r="G164" s="2910"/>
      <c r="H164" s="2910"/>
      <c r="I164" s="2910"/>
      <c r="J164" s="2910"/>
      <c r="K164" s="2910"/>
      <c r="L164" s="2910"/>
      <c r="M164" s="2910"/>
      <c r="N164" s="2910"/>
      <c r="O164" s="2910"/>
      <c r="P164" s="2910"/>
      <c r="Q164" s="2910"/>
      <c r="R164" s="2911"/>
    </row>
    <row r="165" spans="1:18" s="44" customFormat="1" ht="13.5" thickTop="1" x14ac:dyDescent="0.2">
      <c r="A165" s="2891" t="s">
        <v>1856</v>
      </c>
      <c r="B165" s="2892"/>
      <c r="C165" s="2892"/>
      <c r="D165" s="2893"/>
      <c r="E165" s="2697" t="s">
        <v>2663</v>
      </c>
      <c r="F165" s="369" t="s">
        <v>2251</v>
      </c>
      <c r="G165" s="2885" t="s">
        <v>2253</v>
      </c>
      <c r="H165" s="2886"/>
      <c r="I165" s="2886"/>
      <c r="J165" s="2886"/>
      <c r="K165" s="2886"/>
      <c r="L165" s="2886"/>
      <c r="M165" s="2886"/>
      <c r="N165" s="2886"/>
      <c r="O165" s="2886"/>
      <c r="P165" s="2886"/>
      <c r="Q165" s="2886"/>
      <c r="R165" s="2887"/>
    </row>
    <row r="166" spans="1:18" s="23" customFormat="1" ht="13.5" thickBot="1" x14ac:dyDescent="0.25">
      <c r="A166" s="1735" t="str">
        <f>A3</f>
        <v>2012/13</v>
      </c>
      <c r="B166" s="218" t="str">
        <f>B102</f>
        <v>2013/14</v>
      </c>
      <c r="C166" s="370" t="str">
        <f>C3</f>
        <v>2014/15</v>
      </c>
      <c r="D166" s="93" t="str">
        <f>D3</f>
        <v>2015/16</v>
      </c>
      <c r="E166" s="1965" t="s">
        <v>2664</v>
      </c>
      <c r="F166" s="42"/>
      <c r="G166" s="93" t="str">
        <f>G3</f>
        <v>2016/17</v>
      </c>
      <c r="H166" s="2095" t="s">
        <v>501</v>
      </c>
      <c r="I166" s="370" t="str">
        <f t="shared" ref="I166:Q166" si="272">I3</f>
        <v>2017/18</v>
      </c>
      <c r="J166" s="370" t="str">
        <f t="shared" si="272"/>
        <v>2018/19</v>
      </c>
      <c r="K166" s="370" t="str">
        <f t="shared" si="272"/>
        <v>2019/20</v>
      </c>
      <c r="L166" s="370" t="str">
        <f t="shared" si="272"/>
        <v>2020/21</v>
      </c>
      <c r="M166" s="370" t="str">
        <f t="shared" si="272"/>
        <v>2021/22</v>
      </c>
      <c r="N166" s="370" t="str">
        <f t="shared" si="272"/>
        <v>2022/23</v>
      </c>
      <c r="O166" s="370" t="str">
        <f t="shared" si="272"/>
        <v>2023/24</v>
      </c>
      <c r="P166" s="370" t="str">
        <f t="shared" si="272"/>
        <v>2024/25</v>
      </c>
      <c r="Q166" s="218" t="str">
        <f t="shared" si="272"/>
        <v>2025/26</v>
      </c>
      <c r="R166" s="549" t="str">
        <f t="shared" ref="R166" si="273">R3</f>
        <v>2026/27</v>
      </c>
    </row>
    <row r="167" spans="1:18" s="84" customFormat="1" x14ac:dyDescent="0.2">
      <c r="A167" s="107"/>
      <c r="B167" s="33"/>
      <c r="C167" s="187"/>
      <c r="D167" s="187"/>
      <c r="E167" s="138"/>
      <c r="F167" s="74"/>
      <c r="G167" s="187"/>
      <c r="H167" s="138"/>
      <c r="I167" s="169"/>
      <c r="J167" s="33"/>
      <c r="K167" s="33"/>
      <c r="L167" s="33"/>
      <c r="M167" s="33"/>
      <c r="N167" s="33"/>
      <c r="O167" s="169"/>
      <c r="P167" s="169"/>
      <c r="Q167" s="169"/>
      <c r="R167" s="1717"/>
    </row>
    <row r="168" spans="1:18" s="84" customFormat="1" x14ac:dyDescent="0.2">
      <c r="A168" s="107"/>
      <c r="B168" s="33"/>
      <c r="C168" s="187"/>
      <c r="D168" s="187"/>
      <c r="E168" s="138"/>
      <c r="F168" s="144" t="s">
        <v>1073</v>
      </c>
      <c r="G168" s="187"/>
      <c r="H168" s="138"/>
      <c r="I168" s="33"/>
      <c r="J168" s="33"/>
      <c r="K168" s="33"/>
      <c r="L168" s="33"/>
      <c r="M168" s="33"/>
      <c r="N168" s="33"/>
      <c r="O168" s="33"/>
      <c r="P168" s="33"/>
      <c r="Q168" s="33"/>
      <c r="R168" s="114"/>
    </row>
    <row r="169" spans="1:18" s="84" customFormat="1" x14ac:dyDescent="0.2">
      <c r="A169" s="107"/>
      <c r="B169" s="33"/>
      <c r="C169" s="189"/>
      <c r="D169" s="739"/>
      <c r="E169" s="240"/>
      <c r="F169" s="33"/>
      <c r="G169" s="189"/>
      <c r="H169" s="138"/>
      <c r="I169" s="1731"/>
      <c r="J169" s="1731"/>
      <c r="K169" s="1731"/>
      <c r="L169" s="1731"/>
      <c r="M169" s="1731"/>
      <c r="N169" s="1731"/>
      <c r="O169" s="1731"/>
      <c r="P169" s="1731"/>
      <c r="Q169" s="1731"/>
      <c r="R169" s="1730"/>
    </row>
    <row r="170" spans="1:18" s="84" customFormat="1" x14ac:dyDescent="0.2">
      <c r="A170" s="107"/>
      <c r="B170" s="33"/>
      <c r="C170" s="189"/>
      <c r="D170" s="189"/>
      <c r="E170" s="440"/>
      <c r="F170" s="439" t="s">
        <v>60</v>
      </c>
      <c r="G170" s="189"/>
      <c r="H170" s="138"/>
      <c r="I170" s="187"/>
      <c r="J170" s="187"/>
      <c r="K170" s="187"/>
      <c r="L170" s="187"/>
      <c r="M170" s="187"/>
      <c r="N170" s="187"/>
      <c r="O170" s="187"/>
      <c r="P170" s="187"/>
      <c r="Q170" s="187"/>
      <c r="R170" s="188"/>
    </row>
    <row r="171" spans="1:18" s="84" customFormat="1" x14ac:dyDescent="0.2">
      <c r="A171" s="107">
        <v>2306400</v>
      </c>
      <c r="B171" s="33">
        <v>2512300</v>
      </c>
      <c r="C171" s="189">
        <v>2701700</v>
      </c>
      <c r="D171" s="189">
        <v>2826200</v>
      </c>
      <c r="E171" s="343" t="s">
        <v>1107</v>
      </c>
      <c r="F171" s="443" t="s">
        <v>298</v>
      </c>
      <c r="G171" s="189">
        <f>2948000+2000</f>
        <v>2950000</v>
      </c>
      <c r="H171" s="138">
        <f>IF(D171=G171,0,IF(D171=0,100,(G171-D171)/D171*100))</f>
        <v>4.3804401670087039</v>
      </c>
      <c r="I171" s="187">
        <f>ROUND(G171*Assumptions!H$61+G171,-3)</f>
        <v>3009000</v>
      </c>
      <c r="J171" s="1733">
        <f>ROUND(I171*Assumptions!I$61+I171,-3)</f>
        <v>3084000</v>
      </c>
      <c r="K171" s="187">
        <f>ROUND(J171*Assumptions!J$61+J171,-3)</f>
        <v>3161000</v>
      </c>
      <c r="L171" s="187">
        <f>ROUND(K171*Assumptions!K$61+K171,-3)</f>
        <v>3287000</v>
      </c>
      <c r="M171" s="187">
        <f>ROUND(L171*Assumptions!L$61+L171,-3)</f>
        <v>3418000</v>
      </c>
      <c r="N171" s="187">
        <f>ROUND(M171*Assumptions!M$61+M171,-3)</f>
        <v>3555000</v>
      </c>
      <c r="O171" s="187">
        <f>ROUND(N171*Assumptions!N$61+N171,-3)</f>
        <v>3697000</v>
      </c>
      <c r="P171" s="187">
        <f>ROUND(O171*Assumptions!O$61+O171,-3)</f>
        <v>3845000</v>
      </c>
      <c r="Q171" s="187">
        <f>ROUND(P171*Assumptions!P$61+P171,-3)</f>
        <v>3999000</v>
      </c>
      <c r="R171" s="188">
        <f>ROUND(Q171*Assumptions!Q$61+Q171,-3)</f>
        <v>4159000</v>
      </c>
    </row>
    <row r="172" spans="1:18" s="84" customFormat="1" x14ac:dyDescent="0.2">
      <c r="A172" s="107">
        <v>567700</v>
      </c>
      <c r="B172" s="33">
        <v>624000</v>
      </c>
      <c r="C172" s="189">
        <v>668300</v>
      </c>
      <c r="D172" s="189">
        <v>685900</v>
      </c>
      <c r="E172" s="343" t="s">
        <v>1108</v>
      </c>
      <c r="F172" s="814" t="s">
        <v>122</v>
      </c>
      <c r="G172" s="189">
        <v>703800</v>
      </c>
      <c r="H172" s="138">
        <f>IF(D172=G172,0,IF(D172=0,100,(G172-D172)/D172*100))</f>
        <v>2.609709870243476</v>
      </c>
      <c r="I172" s="187">
        <f>ROUND(G172*Assumptions!H$61+G172,-3)</f>
        <v>718000</v>
      </c>
      <c r="J172" s="1733">
        <f>ROUND(I172*Assumptions!I$61+I172,-3)</f>
        <v>736000</v>
      </c>
      <c r="K172" s="187">
        <f>ROUND(J172*Assumptions!J$61+J172,-3)</f>
        <v>754000</v>
      </c>
      <c r="L172" s="187">
        <f>ROUND(K172*Assumptions!K$61+K172,-3)</f>
        <v>784000</v>
      </c>
      <c r="M172" s="187">
        <f>ROUND(L172*Assumptions!L$61+L172,-3)</f>
        <v>815000</v>
      </c>
      <c r="N172" s="187">
        <f>ROUND(M172*Assumptions!M$61+M172,-3)</f>
        <v>848000</v>
      </c>
      <c r="O172" s="187">
        <f>ROUND(N172*Assumptions!N$61+N172,-3)</f>
        <v>882000</v>
      </c>
      <c r="P172" s="187">
        <f>ROUND(O172*Assumptions!O$61+O172,-3)</f>
        <v>917000</v>
      </c>
      <c r="Q172" s="187">
        <f>ROUND(P172*Assumptions!P$61+P172,-3)</f>
        <v>954000</v>
      </c>
      <c r="R172" s="188">
        <f>ROUND(Q172*Assumptions!Q$61+Q172,-3)</f>
        <v>992000</v>
      </c>
    </row>
    <row r="173" spans="1:18" s="84" customFormat="1" x14ac:dyDescent="0.2">
      <c r="A173" s="107">
        <v>-122000</v>
      </c>
      <c r="B173" s="33">
        <v>-124100</v>
      </c>
      <c r="C173" s="189">
        <v>-124800</v>
      </c>
      <c r="D173" s="189">
        <v>-128700</v>
      </c>
      <c r="E173" s="343" t="s">
        <v>1913</v>
      </c>
      <c r="F173" s="814" t="s">
        <v>6697</v>
      </c>
      <c r="G173" s="189">
        <v>-128400</v>
      </c>
      <c r="H173" s="138">
        <f>IF(D173=G173,0,IF(D173=0,100,(G173-D173)/D173*100))</f>
        <v>-0.23310023310023309</v>
      </c>
      <c r="I173" s="187">
        <f>ROUNDUP(G173+(G173*Assumptions!H$8),-2)</f>
        <v>-129100</v>
      </c>
      <c r="J173" s="187">
        <f>ROUNDUP(I173+(I173*Assumptions!I$8),-2)</f>
        <v>-129800</v>
      </c>
      <c r="K173" s="187">
        <f>ROUNDUP(J173+(J173*Assumptions!J$8),-2)</f>
        <v>-130500</v>
      </c>
      <c r="L173" s="187">
        <f>ROUNDUP(K173+(K173*Assumptions!K$8),-2)</f>
        <v>-131200</v>
      </c>
      <c r="M173" s="187">
        <f>ROUNDUP(L173+(L173*Assumptions!L$8),-2)</f>
        <v>-131900</v>
      </c>
      <c r="N173" s="187">
        <f>ROUNDUP(M173+(M173*Assumptions!M$8),-2)</f>
        <v>-132600</v>
      </c>
      <c r="O173" s="187">
        <f>ROUNDUP(N173+(N173*Assumptions!N$8),-2)</f>
        <v>-133300</v>
      </c>
      <c r="P173" s="187">
        <f>ROUNDUP(O173+(O173*Assumptions!O$8),-2)</f>
        <v>-134000</v>
      </c>
      <c r="Q173" s="187">
        <f>ROUNDUP(P173+(P173*Assumptions!P$8),-2)</f>
        <v>-134700</v>
      </c>
      <c r="R173" s="188">
        <f>ROUNDUP(Q173+(Q173*Assumptions!Q$8),-2)</f>
        <v>-135400</v>
      </c>
    </row>
    <row r="174" spans="1:18" s="84" customFormat="1" x14ac:dyDescent="0.2">
      <c r="A174" s="107">
        <v>-149100</v>
      </c>
      <c r="B174" s="33">
        <v>-151700</v>
      </c>
      <c r="C174" s="189">
        <v>-152600</v>
      </c>
      <c r="D174" s="189">
        <v>-157400</v>
      </c>
      <c r="E174" s="343" t="s">
        <v>149</v>
      </c>
      <c r="F174" s="814" t="s">
        <v>4697</v>
      </c>
      <c r="G174" s="189">
        <v>-157600</v>
      </c>
      <c r="H174" s="138">
        <f>IF(D174=G174,0,IF(D174=0,100,(G174-D174)/D174*100))</f>
        <v>0.12706480304955528</v>
      </c>
      <c r="I174" s="187">
        <f>ROUNDUP(G174+(G174*Assumptions!H$8),-2)</f>
        <v>-158400</v>
      </c>
      <c r="J174" s="187">
        <f>ROUNDUP(I174+(I174*Assumptions!I$8),-2)</f>
        <v>-159200</v>
      </c>
      <c r="K174" s="187">
        <f>ROUNDUP(J174+(J174*Assumptions!J$8),-2)</f>
        <v>-160000</v>
      </c>
      <c r="L174" s="187">
        <f>ROUNDUP(K174+(K174*Assumptions!K$8),-2)</f>
        <v>-160800</v>
      </c>
      <c r="M174" s="187">
        <f>ROUNDUP(L174+(L174*Assumptions!L$8),-2)</f>
        <v>-161700</v>
      </c>
      <c r="N174" s="187">
        <f>ROUNDUP(M174+(M174*Assumptions!M$8),-2)</f>
        <v>-162600</v>
      </c>
      <c r="O174" s="187">
        <f>ROUNDUP(N174+(N174*Assumptions!N$8),-2)</f>
        <v>-163500</v>
      </c>
      <c r="P174" s="187">
        <f>ROUNDUP(O174+(O174*Assumptions!O$8),-2)</f>
        <v>-164400</v>
      </c>
      <c r="Q174" s="187">
        <f>ROUNDUP(P174+(P174*Assumptions!P$8),-2)</f>
        <v>-165300</v>
      </c>
      <c r="R174" s="188">
        <f>ROUNDUP(Q174+(Q174*Assumptions!Q$8),-2)</f>
        <v>-166200</v>
      </c>
    </row>
    <row r="175" spans="1:18" s="84" customFormat="1" x14ac:dyDescent="0.2">
      <c r="A175" s="107"/>
      <c r="B175" s="33"/>
      <c r="C175" s="189"/>
      <c r="D175" s="739"/>
      <c r="E175" s="343"/>
      <c r="F175" s="443"/>
      <c r="G175" s="189"/>
      <c r="H175" s="138"/>
      <c r="I175" s="187"/>
      <c r="J175" s="187"/>
      <c r="K175" s="33"/>
      <c r="L175" s="33"/>
      <c r="M175" s="33"/>
      <c r="N175" s="33"/>
      <c r="O175" s="33"/>
      <c r="P175" s="33"/>
      <c r="Q175" s="33"/>
      <c r="R175" s="114"/>
    </row>
    <row r="176" spans="1:18" s="84" customFormat="1" x14ac:dyDescent="0.2">
      <c r="A176" s="107"/>
      <c r="B176" s="33"/>
      <c r="C176" s="189"/>
      <c r="D176" s="2503"/>
      <c r="E176" s="343"/>
      <c r="F176" s="439" t="s">
        <v>836</v>
      </c>
      <c r="G176" s="189"/>
      <c r="H176" s="138"/>
      <c r="I176" s="187"/>
      <c r="J176" s="187"/>
      <c r="K176" s="187"/>
      <c r="L176" s="187"/>
      <c r="M176" s="187"/>
      <c r="N176" s="187"/>
      <c r="O176" s="187"/>
      <c r="P176" s="187"/>
      <c r="Q176" s="187"/>
      <c r="R176" s="188"/>
    </row>
    <row r="177" spans="1:18" s="84" customFormat="1" x14ac:dyDescent="0.2">
      <c r="A177" s="107">
        <v>4105500</v>
      </c>
      <c r="B177" s="33">
        <v>4775600</v>
      </c>
      <c r="C177" s="189">
        <v>4754600</v>
      </c>
      <c r="D177" s="189">
        <v>4809100</v>
      </c>
      <c r="E177" s="343" t="s">
        <v>1109</v>
      </c>
      <c r="F177" s="443" t="s">
        <v>504</v>
      </c>
      <c r="G177" s="189">
        <f>5047900+310000</f>
        <v>5357900</v>
      </c>
      <c r="H177" s="138">
        <f>IF(D177=G177,0,IF(D177=0,100,(G177-D177)/D177*100))</f>
        <v>11.411698654633923</v>
      </c>
      <c r="I177" s="187">
        <f>ROUND(G177*Assumptions!H$62+G177,-3)</f>
        <v>5465000</v>
      </c>
      <c r="J177" s="1733">
        <f>ROUND(I177*Assumptions!I$62+I177,-3)</f>
        <v>5602000</v>
      </c>
      <c r="K177" s="187">
        <f>ROUND(J177*Assumptions!J$62+J177,-3)</f>
        <v>5742000</v>
      </c>
      <c r="L177" s="187">
        <f>ROUND(K177*Assumptions!K$62+K177,-3)</f>
        <v>5972000</v>
      </c>
      <c r="M177" s="187">
        <f>ROUND(L177*Assumptions!L$62+L177,-3)</f>
        <v>6211000</v>
      </c>
      <c r="N177" s="187">
        <f>ROUND(M177*Assumptions!M$62+M177,-3)</f>
        <v>6459000</v>
      </c>
      <c r="O177" s="187">
        <f>ROUND(N177*Assumptions!N$62+N177,-3)</f>
        <v>6717000</v>
      </c>
      <c r="P177" s="33">
        <f>ROUND(O177*Assumptions!O$62+O177,-3)</f>
        <v>6986000</v>
      </c>
      <c r="Q177" s="33">
        <f>ROUND(P177*Assumptions!P$62+P177,-3)</f>
        <v>7265000</v>
      </c>
      <c r="R177" s="114">
        <f>ROUND(Q177*Assumptions!Q$62+Q177,-3)</f>
        <v>7556000</v>
      </c>
    </row>
    <row r="178" spans="1:18" s="84" customFormat="1" x14ac:dyDescent="0.2">
      <c r="A178" s="107">
        <v>1474200</v>
      </c>
      <c r="B178" s="33">
        <f>1773800</f>
        <v>1773800</v>
      </c>
      <c r="C178" s="189">
        <v>1675200</v>
      </c>
      <c r="D178" s="189">
        <v>1736500</v>
      </c>
      <c r="E178" s="343" t="s">
        <v>1110</v>
      </c>
      <c r="F178" s="814" t="s">
        <v>963</v>
      </c>
      <c r="G178" s="189">
        <f>1762000+100000</f>
        <v>1862000</v>
      </c>
      <c r="H178" s="138">
        <f>IF(D178=G178,0,IF(D178=0,100,(G178-D178)/D178*100))</f>
        <v>7.2271811114310403</v>
      </c>
      <c r="I178" s="187">
        <f>ROUND(G178*Assumptions!H$62+G178,-3)</f>
        <v>1899000</v>
      </c>
      <c r="J178" s="1733">
        <f>ROUND(I178*Assumptions!I$62+I178,-3)</f>
        <v>1946000</v>
      </c>
      <c r="K178" s="187">
        <f>ROUND(J178*Assumptions!J$62+J178,-3)</f>
        <v>1995000</v>
      </c>
      <c r="L178" s="187">
        <f>ROUND(K178*Assumptions!K$62+K178,-3)</f>
        <v>2075000</v>
      </c>
      <c r="M178" s="187">
        <f>ROUND(L178*Assumptions!L$62+L178,-3)</f>
        <v>2158000</v>
      </c>
      <c r="N178" s="187">
        <f>ROUND(M178*Assumptions!M$62+M178,-3)</f>
        <v>2244000</v>
      </c>
      <c r="O178" s="187">
        <f>ROUND(N178*Assumptions!N$62+N178,-3)</f>
        <v>2334000</v>
      </c>
      <c r="P178" s="33">
        <f>ROUND(O178*Assumptions!O$62+O178,-3)</f>
        <v>2427000</v>
      </c>
      <c r="Q178" s="33">
        <f>ROUND(P178*Assumptions!P$62+P178,-3)</f>
        <v>2524000</v>
      </c>
      <c r="R178" s="114">
        <f>ROUND(Q178*Assumptions!Q$62+Q178,-3)</f>
        <v>2625000</v>
      </c>
    </row>
    <row r="179" spans="1:18" s="84" customFormat="1" x14ac:dyDescent="0.2">
      <c r="A179" s="107">
        <v>2700</v>
      </c>
      <c r="B179" s="33">
        <v>41200</v>
      </c>
      <c r="C179" s="189">
        <v>2200</v>
      </c>
      <c r="D179" s="189">
        <v>108700</v>
      </c>
      <c r="E179" s="343" t="s">
        <v>1990</v>
      </c>
      <c r="F179" s="814" t="s">
        <v>4698</v>
      </c>
      <c r="G179" s="189">
        <f>19200+8000</f>
        <v>27200</v>
      </c>
      <c r="H179" s="138">
        <f>IF(D179=G179,0,IF(D179=0,100,(G179-D179)/D179*100))</f>
        <v>-74.977000919963203</v>
      </c>
      <c r="I179" s="33">
        <v>20000</v>
      </c>
      <c r="J179" s="33">
        <f>ROUNDUP(I179+(I179*Assumptions!I$5),-2)</f>
        <v>20500</v>
      </c>
      <c r="K179" s="33">
        <f>ROUNDUP(J179+(J179*Assumptions!J$5),-2)</f>
        <v>21100</v>
      </c>
      <c r="L179" s="33">
        <f>ROUNDUP(K179+(K179*Assumptions!K$5),-2)</f>
        <v>21700</v>
      </c>
      <c r="M179" s="33">
        <f>ROUNDUP(L179+(L179*Assumptions!L$5),-2)</f>
        <v>22200</v>
      </c>
      <c r="N179" s="33">
        <f>ROUNDUP(M179+(M179*Assumptions!M$5),-2)</f>
        <v>22700</v>
      </c>
      <c r="O179" s="33">
        <f>ROUNDUP(N179+(N179*Assumptions!N$5),-2)</f>
        <v>23200</v>
      </c>
      <c r="P179" s="33">
        <f>ROUNDUP(O179+(O179*Assumptions!O$5),-2)</f>
        <v>23700</v>
      </c>
      <c r="Q179" s="33">
        <f>ROUNDUP(P179+(P179*Assumptions!P$5),-2)</f>
        <v>24200</v>
      </c>
      <c r="R179" s="114">
        <f>ROUNDUP(Q179+(Q179*Assumptions!Q$5),-2)</f>
        <v>24700</v>
      </c>
    </row>
    <row r="180" spans="1:18" s="84" customFormat="1" x14ac:dyDescent="0.2">
      <c r="A180" s="107"/>
      <c r="B180" s="33"/>
      <c r="C180" s="189"/>
      <c r="D180" s="189"/>
      <c r="E180" s="648"/>
      <c r="F180" s="443"/>
      <c r="G180" s="189"/>
      <c r="H180" s="138"/>
      <c r="I180" s="33"/>
      <c r="J180" s="187"/>
      <c r="K180" s="33"/>
      <c r="L180" s="33"/>
      <c r="M180" s="33"/>
      <c r="N180" s="33"/>
      <c r="O180" s="33"/>
      <c r="P180" s="33"/>
      <c r="Q180" s="33"/>
      <c r="R180" s="114"/>
    </row>
    <row r="181" spans="1:18" s="84" customFormat="1" x14ac:dyDescent="0.2">
      <c r="A181" s="107"/>
      <c r="B181" s="33"/>
      <c r="C181" s="189"/>
      <c r="D181" s="189"/>
      <c r="E181" s="437"/>
      <c r="F181" s="439" t="s">
        <v>1263</v>
      </c>
      <c r="G181" s="189"/>
      <c r="H181" s="138"/>
      <c r="I181" s="33"/>
      <c r="J181" s="33"/>
      <c r="K181" s="33"/>
      <c r="L181" s="33"/>
      <c r="M181" s="33"/>
      <c r="N181" s="33"/>
      <c r="O181" s="33"/>
      <c r="P181" s="33"/>
      <c r="Q181" s="33"/>
      <c r="R181" s="114"/>
    </row>
    <row r="182" spans="1:18" s="84" customFormat="1" x14ac:dyDescent="0.2">
      <c r="A182" s="107">
        <v>155000</v>
      </c>
      <c r="B182" s="33">
        <v>151800</v>
      </c>
      <c r="C182" s="33">
        <v>152600</v>
      </c>
      <c r="D182" s="189">
        <v>157400</v>
      </c>
      <c r="E182" s="343" t="s">
        <v>1370</v>
      </c>
      <c r="F182" s="814" t="s">
        <v>3611</v>
      </c>
      <c r="G182" s="189">
        <f>ROUND(-G174/11*10,-2)+12000</f>
        <v>155300</v>
      </c>
      <c r="H182" s="138">
        <f>IF(D182=G182,0,IF(D182=0,100,(G182-D182)/D182*100))</f>
        <v>-1.3341804320203303</v>
      </c>
      <c r="I182" s="187">
        <f>ROUND(-I174/11*10,-2)</f>
        <v>144000</v>
      </c>
      <c r="J182" s="33">
        <f t="shared" ref="J182:P182" si="274">ROUND(-J174/11*10,-2)</f>
        <v>144700</v>
      </c>
      <c r="K182" s="33">
        <f t="shared" si="274"/>
        <v>145500</v>
      </c>
      <c r="L182" s="33">
        <f t="shared" si="274"/>
        <v>146200</v>
      </c>
      <c r="M182" s="33">
        <f t="shared" si="274"/>
        <v>147000</v>
      </c>
      <c r="N182" s="33">
        <f t="shared" si="274"/>
        <v>147800</v>
      </c>
      <c r="O182" s="187">
        <f t="shared" si="274"/>
        <v>148600</v>
      </c>
      <c r="P182" s="33">
        <f t="shared" si="274"/>
        <v>149500</v>
      </c>
      <c r="Q182" s="33">
        <f t="shared" ref="Q182" si="275">ROUND(-Q174/11*10,-2)</f>
        <v>150300</v>
      </c>
      <c r="R182" s="114">
        <f t="shared" ref="R182" si="276">ROUND(-R174/11*10,-2)</f>
        <v>151100</v>
      </c>
    </row>
    <row r="183" spans="1:18" s="84" customFormat="1" x14ac:dyDescent="0.2">
      <c r="A183" s="107"/>
      <c r="B183" s="33"/>
      <c r="C183" s="189"/>
      <c r="D183" s="189"/>
      <c r="E183" s="445"/>
      <c r="F183" s="443"/>
      <c r="G183" s="189"/>
      <c r="H183" s="138"/>
      <c r="I183" s="33"/>
      <c r="J183" s="33"/>
      <c r="K183" s="33"/>
      <c r="L183" s="33"/>
      <c r="M183" s="33"/>
      <c r="N183" s="33"/>
      <c r="O183" s="33"/>
      <c r="P183" s="33"/>
      <c r="Q183" s="33"/>
      <c r="R183" s="114"/>
    </row>
    <row r="184" spans="1:18" s="84" customFormat="1" x14ac:dyDescent="0.2">
      <c r="A184" s="107"/>
      <c r="B184" s="33"/>
      <c r="C184" s="189"/>
      <c r="D184" s="189"/>
      <c r="E184" s="437"/>
      <c r="F184" s="1103" t="s">
        <v>5352</v>
      </c>
      <c r="G184" s="189"/>
      <c r="H184" s="138"/>
      <c r="I184" s="33"/>
      <c r="J184" s="33"/>
      <c r="K184" s="33"/>
      <c r="L184" s="33"/>
      <c r="M184" s="33"/>
      <c r="N184" s="33"/>
      <c r="O184" s="33"/>
      <c r="P184" s="33"/>
      <c r="Q184" s="33"/>
      <c r="R184" s="114"/>
    </row>
    <row r="185" spans="1:18" s="84" customFormat="1" x14ac:dyDescent="0.2">
      <c r="A185" s="107">
        <v>300700</v>
      </c>
      <c r="B185" s="33">
        <v>224100</v>
      </c>
      <c r="C185" s="189">
        <v>349800</v>
      </c>
      <c r="D185" s="189">
        <v>351700</v>
      </c>
      <c r="E185" s="343" t="s">
        <v>832</v>
      </c>
      <c r="F185" s="3" t="s">
        <v>1585</v>
      </c>
      <c r="G185" s="187">
        <f>367200-5000</f>
        <v>362200</v>
      </c>
      <c r="H185" s="138">
        <f t="shared" ref="H185:H191" si="277">IF(D185=G185,0,IF(D185=0,100,(G185-D185)/D185*100))</f>
        <v>2.9854990048336654</v>
      </c>
      <c r="I185" s="33">
        <v>372000</v>
      </c>
      <c r="J185" s="33">
        <f>ROUNDUP(I185+(I185*Assumptions!I$5),-2)</f>
        <v>381300</v>
      </c>
      <c r="K185" s="33">
        <f>ROUNDUP(J185+(J185*Assumptions!J$5),-2)</f>
        <v>390900</v>
      </c>
      <c r="L185" s="33">
        <f>ROUNDUP(K185+(K185*Assumptions!K$5),-2)</f>
        <v>400700</v>
      </c>
      <c r="M185" s="33">
        <f>ROUNDUP(L185+(L185*Assumptions!L$5),-2)</f>
        <v>408800</v>
      </c>
      <c r="N185" s="33">
        <f>ROUNDUP(M185+(M185*Assumptions!M$5),-2)</f>
        <v>417000</v>
      </c>
      <c r="O185" s="33">
        <f>ROUNDUP(N185+(N185*Assumptions!N$5),-2)</f>
        <v>425400</v>
      </c>
      <c r="P185" s="33">
        <f>ROUNDUP(O185+(O185*Assumptions!O$5),-2)</f>
        <v>434000</v>
      </c>
      <c r="Q185" s="33">
        <f>ROUNDUP(P185+(P185*Assumptions!P$5),-2)</f>
        <v>442700</v>
      </c>
      <c r="R185" s="114">
        <f>ROUNDUP(Q185+(Q185*Assumptions!Q$5),-2)</f>
        <v>451600</v>
      </c>
    </row>
    <row r="186" spans="1:18" s="84" customFormat="1" x14ac:dyDescent="0.2">
      <c r="A186" s="107">
        <v>1700</v>
      </c>
      <c r="B186" s="33">
        <v>2300</v>
      </c>
      <c r="C186" s="189">
        <f>3300</f>
        <v>3300</v>
      </c>
      <c r="D186" s="189">
        <v>2600</v>
      </c>
      <c r="E186" s="343" t="s">
        <v>2686</v>
      </c>
      <c r="F186" s="3" t="s">
        <v>750</v>
      </c>
      <c r="G186" s="187">
        <f>2200+2000</f>
        <v>4200</v>
      </c>
      <c r="H186" s="138">
        <f t="shared" si="277"/>
        <v>61.53846153846154</v>
      </c>
      <c r="I186" s="33">
        <v>3000</v>
      </c>
      <c r="J186" s="33">
        <f>ROUNDUP(I186+(I186*Assumptions!I$5),-2)</f>
        <v>3100</v>
      </c>
      <c r="K186" s="33">
        <f>ROUNDUP(J186+(J186*Assumptions!J$5),-2)</f>
        <v>3200</v>
      </c>
      <c r="L186" s="33">
        <f>ROUNDUP(K186+(K186*Assumptions!K$5),-2)</f>
        <v>3300</v>
      </c>
      <c r="M186" s="33">
        <f>ROUNDUP(L186+(L186*Assumptions!L$5),-2)</f>
        <v>3400</v>
      </c>
      <c r="N186" s="33">
        <f>ROUNDUP(M186+(M186*Assumptions!M$5),-2)</f>
        <v>3500</v>
      </c>
      <c r="O186" s="33">
        <f>ROUNDUP(N186+(N186*Assumptions!N$5),-2)</f>
        <v>3600</v>
      </c>
      <c r="P186" s="33">
        <f>ROUNDUP(O186+(O186*Assumptions!O$5),-2)</f>
        <v>3700</v>
      </c>
      <c r="Q186" s="33">
        <f>ROUNDUP(P186+(P186*Assumptions!P$5),-2)</f>
        <v>3800</v>
      </c>
      <c r="R186" s="114">
        <f>ROUNDUP(Q186+(Q186*Assumptions!Q$5),-2)</f>
        <v>3900</v>
      </c>
    </row>
    <row r="187" spans="1:18" s="84" customFormat="1" x14ac:dyDescent="0.2">
      <c r="A187" s="107">
        <v>146000</v>
      </c>
      <c r="B187" s="33">
        <v>221100</v>
      </c>
      <c r="C187" s="189">
        <v>184700</v>
      </c>
      <c r="D187" s="189">
        <v>192800</v>
      </c>
      <c r="E187" s="821" t="s">
        <v>3404</v>
      </c>
      <c r="F187" s="1099" t="s">
        <v>3329</v>
      </c>
      <c r="G187" s="187">
        <v>198900</v>
      </c>
      <c r="H187" s="138">
        <f t="shared" si="277"/>
        <v>3.1639004149377592</v>
      </c>
      <c r="I187" s="33">
        <v>202000</v>
      </c>
      <c r="J187" s="33">
        <f>ROUNDUP(I187+(I187*Assumptions!I$5),-2)</f>
        <v>207100</v>
      </c>
      <c r="K187" s="33">
        <f>ROUNDUP(J187+(J187*Assumptions!J$5),-2)</f>
        <v>212300</v>
      </c>
      <c r="L187" s="33">
        <f>ROUNDUP(K187+(K187*Assumptions!K$5),-2)</f>
        <v>217700</v>
      </c>
      <c r="M187" s="33">
        <f>ROUNDUP(L187+(L187*Assumptions!L$5),-2)</f>
        <v>222100</v>
      </c>
      <c r="N187" s="33">
        <f>ROUNDUP(M187+(M187*Assumptions!M$5),-2)</f>
        <v>226600</v>
      </c>
      <c r="O187" s="33">
        <f>ROUNDUP(N187+(N187*Assumptions!N$5),-2)</f>
        <v>231200</v>
      </c>
      <c r="P187" s="33">
        <f>ROUNDUP(O187+(O187*Assumptions!O$5),-2)</f>
        <v>235900</v>
      </c>
      <c r="Q187" s="33">
        <f>ROUNDUP(P187+(P187*Assumptions!P$5),-2)</f>
        <v>240700</v>
      </c>
      <c r="R187" s="114">
        <f>ROUNDUP(Q187+(Q187*Assumptions!Q$5),-2)</f>
        <v>245600</v>
      </c>
    </row>
    <row r="188" spans="1:18" s="84" customFormat="1" x14ac:dyDescent="0.2">
      <c r="A188" s="107">
        <v>188600</v>
      </c>
      <c r="B188" s="33">
        <v>183400</v>
      </c>
      <c r="C188" s="189">
        <v>194100</v>
      </c>
      <c r="D188" s="189">
        <v>213700</v>
      </c>
      <c r="E188" s="343" t="s">
        <v>671</v>
      </c>
      <c r="F188" s="3" t="s">
        <v>1765</v>
      </c>
      <c r="G188" s="187">
        <v>206100</v>
      </c>
      <c r="H188" s="138">
        <f t="shared" si="277"/>
        <v>-3.5563874590547497</v>
      </c>
      <c r="I188" s="33">
        <v>210000</v>
      </c>
      <c r="J188" s="33">
        <f>ROUNDUP(I188+(I188*Assumptions!I$5),-2)</f>
        <v>215300</v>
      </c>
      <c r="K188" s="33">
        <f>ROUNDUP(J188+(J188*Assumptions!J$5),-2)</f>
        <v>220700</v>
      </c>
      <c r="L188" s="33">
        <f>ROUNDUP(K188+(K188*Assumptions!K$5),-2)</f>
        <v>226300</v>
      </c>
      <c r="M188" s="33">
        <f>ROUNDUP(L188+(L188*Assumptions!L$5),-2)</f>
        <v>230900</v>
      </c>
      <c r="N188" s="33">
        <f>ROUNDUP(M188+(M188*Assumptions!M$5),-2)</f>
        <v>235600</v>
      </c>
      <c r="O188" s="33">
        <f>ROUNDUP(N188+(N188*Assumptions!N$5),-2)</f>
        <v>240400</v>
      </c>
      <c r="P188" s="33">
        <f>ROUNDUP(O188+(O188*Assumptions!O$5),-2)</f>
        <v>245300</v>
      </c>
      <c r="Q188" s="33">
        <f>ROUNDUP(P188+(P188*Assumptions!P$5),-2)</f>
        <v>250300</v>
      </c>
      <c r="R188" s="114">
        <f>ROUNDUP(Q188+(Q188*Assumptions!Q$5),-2)</f>
        <v>255400</v>
      </c>
    </row>
    <row r="189" spans="1:18" s="84" customFormat="1" x14ac:dyDescent="0.2">
      <c r="A189" s="107">
        <v>1400</v>
      </c>
      <c r="B189" s="33">
        <v>8900</v>
      </c>
      <c r="C189" s="189">
        <v>0</v>
      </c>
      <c r="D189" s="189">
        <v>0</v>
      </c>
      <c r="E189" s="343" t="s">
        <v>672</v>
      </c>
      <c r="F189" s="890" t="s">
        <v>3609</v>
      </c>
      <c r="G189" s="187">
        <v>8100</v>
      </c>
      <c r="H189" s="138">
        <f t="shared" si="277"/>
        <v>100</v>
      </c>
      <c r="I189" s="33">
        <v>1000</v>
      </c>
      <c r="J189" s="33">
        <f>ROUNDUP(I189+(I189*Assumptions!I$5),-2)</f>
        <v>1100</v>
      </c>
      <c r="K189" s="33">
        <f>ROUNDUP(J189+(J189*Assumptions!J$5),-2)</f>
        <v>1200</v>
      </c>
      <c r="L189" s="33">
        <f>ROUNDUP(K189+(K189*Assumptions!K$5),-2)</f>
        <v>1300</v>
      </c>
      <c r="M189" s="33">
        <f>ROUNDUP(L189+(L189*Assumptions!L$5),-2)</f>
        <v>1400</v>
      </c>
      <c r="N189" s="33">
        <f>ROUNDUP(M189+(M189*Assumptions!M$5),-2)</f>
        <v>1500</v>
      </c>
      <c r="O189" s="33">
        <f>ROUNDUP(N189+(N189*Assumptions!N$5),-2)</f>
        <v>1600</v>
      </c>
      <c r="P189" s="33">
        <f>ROUNDUP(O189+(O189*Assumptions!O$5),-2)</f>
        <v>1700</v>
      </c>
      <c r="Q189" s="33">
        <f>ROUNDUP(P189+(P189*Assumptions!P$5),-2)</f>
        <v>1800</v>
      </c>
      <c r="R189" s="114">
        <f>ROUNDUP(Q189+(Q189*Assumptions!Q$5),-2)</f>
        <v>1900</v>
      </c>
    </row>
    <row r="190" spans="1:18" s="84" customFormat="1" x14ac:dyDescent="0.2">
      <c r="A190" s="107">
        <v>30800</v>
      </c>
      <c r="B190" s="33">
        <f>32500+400</f>
        <v>32900</v>
      </c>
      <c r="C190" s="189">
        <f>47100+1800</f>
        <v>48900</v>
      </c>
      <c r="D190" s="189">
        <v>35600</v>
      </c>
      <c r="E190" s="343" t="s">
        <v>373</v>
      </c>
      <c r="F190" s="890" t="s">
        <v>4499</v>
      </c>
      <c r="G190" s="187">
        <v>25500</v>
      </c>
      <c r="H190" s="138">
        <f t="shared" si="277"/>
        <v>-28.370786516853936</v>
      </c>
      <c r="I190" s="33">
        <v>30000</v>
      </c>
      <c r="J190" s="33">
        <f>ROUNDUP(I190+(I190*Assumptions!I$5),-2)</f>
        <v>30800</v>
      </c>
      <c r="K190" s="33">
        <f>ROUNDUP(J190+(J190*Assumptions!J$5),-2)</f>
        <v>31600</v>
      </c>
      <c r="L190" s="33">
        <f>ROUNDUP(K190+(K190*Assumptions!K$5),-2)</f>
        <v>32400</v>
      </c>
      <c r="M190" s="33">
        <f>ROUNDUP(L190+(L190*Assumptions!L$5),-2)</f>
        <v>33100</v>
      </c>
      <c r="N190" s="33">
        <f>ROUNDUP(M190+(M190*Assumptions!M$5),-2)</f>
        <v>33800</v>
      </c>
      <c r="O190" s="33">
        <f>ROUNDUP(N190+(N190*Assumptions!N$5),-2)</f>
        <v>34500</v>
      </c>
      <c r="P190" s="33">
        <f>ROUNDUP(O190+(O190*Assumptions!O$5),-2)</f>
        <v>35200</v>
      </c>
      <c r="Q190" s="33">
        <f>ROUNDUP(P190+(P190*Assumptions!P$5),-2)</f>
        <v>36000</v>
      </c>
      <c r="R190" s="114">
        <f>ROUNDUP(Q190+(Q190*Assumptions!Q$5),-2)</f>
        <v>36800</v>
      </c>
    </row>
    <row r="191" spans="1:18" s="84" customFormat="1" x14ac:dyDescent="0.2">
      <c r="A191" s="107">
        <v>0</v>
      </c>
      <c r="B191" s="33">
        <v>0</v>
      </c>
      <c r="C191" s="189">
        <f>10000+7100</f>
        <v>17100</v>
      </c>
      <c r="D191" s="189">
        <v>0</v>
      </c>
      <c r="E191" s="821" t="s">
        <v>4849</v>
      </c>
      <c r="F191" s="890" t="s">
        <v>4857</v>
      </c>
      <c r="G191" s="187">
        <v>0</v>
      </c>
      <c r="H191" s="138">
        <f t="shared" si="277"/>
        <v>0</v>
      </c>
      <c r="I191" s="33">
        <f>ROUNDUP(G191+(G191*Assumptions!H$5),-2)</f>
        <v>0</v>
      </c>
      <c r="J191" s="33">
        <f>ROUNDUP(I191+(I191*Assumptions!I$5),-2)</f>
        <v>0</v>
      </c>
      <c r="K191" s="33">
        <f>ROUNDUP(J191+(J191*Assumptions!J$5),-2)</f>
        <v>0</v>
      </c>
      <c r="L191" s="33">
        <f>ROUNDUP(K191+(K191*Assumptions!K$5),-2)</f>
        <v>0</v>
      </c>
      <c r="M191" s="33">
        <f>ROUNDUP(L191+(L191*Assumptions!L$5),-2)</f>
        <v>0</v>
      </c>
      <c r="N191" s="33">
        <f>ROUNDUP(M191+(M191*Assumptions!M$5),-2)</f>
        <v>0</v>
      </c>
      <c r="O191" s="33">
        <f>ROUNDUP(N191+(N191*Assumptions!N$5),-2)</f>
        <v>0</v>
      </c>
      <c r="P191" s="33">
        <f>ROUNDUP(O191+(O191*Assumptions!O$5),-2)</f>
        <v>0</v>
      </c>
      <c r="Q191" s="33">
        <f>ROUNDUP(P191+(P191*Assumptions!P$5),-2)</f>
        <v>0</v>
      </c>
      <c r="R191" s="114">
        <f>ROUNDUP(Q191+(Q191*Assumptions!Q$5),-2)</f>
        <v>0</v>
      </c>
    </row>
    <row r="192" spans="1:18" s="84" customFormat="1" x14ac:dyDescent="0.2">
      <c r="A192" s="107"/>
      <c r="B192" s="33"/>
      <c r="C192" s="189"/>
      <c r="D192" s="189"/>
      <c r="E192" s="445"/>
      <c r="F192" s="2615"/>
      <c r="G192" s="187"/>
      <c r="H192" s="138"/>
      <c r="I192" s="33"/>
      <c r="J192" s="187"/>
      <c r="K192" s="33"/>
      <c r="L192" s="33"/>
      <c r="M192" s="33"/>
      <c r="N192" s="33"/>
      <c r="O192" s="33"/>
      <c r="P192" s="33"/>
      <c r="Q192" s="33"/>
      <c r="R192" s="114"/>
    </row>
    <row r="193" spans="1:18" s="84" customFormat="1" x14ac:dyDescent="0.2">
      <c r="A193" s="107"/>
      <c r="B193" s="33"/>
      <c r="C193" s="189"/>
      <c r="D193" s="189"/>
      <c r="E193" s="437"/>
      <c r="F193" s="6" t="s">
        <v>2671</v>
      </c>
      <c r="G193" s="187"/>
      <c r="H193" s="138"/>
      <c r="I193" s="33"/>
      <c r="J193" s="187"/>
      <c r="K193" s="33"/>
      <c r="L193" s="33"/>
      <c r="M193" s="33"/>
      <c r="N193" s="33"/>
      <c r="O193" s="33"/>
      <c r="P193" s="33"/>
      <c r="Q193" s="33"/>
      <c r="R193" s="114"/>
    </row>
    <row r="194" spans="1:18" s="84" customFormat="1" x14ac:dyDescent="0.2">
      <c r="A194" s="107">
        <v>219900</v>
      </c>
      <c r="B194" s="33">
        <v>98900</v>
      </c>
      <c r="C194" s="189">
        <v>167000</v>
      </c>
      <c r="D194" s="189">
        <v>131500</v>
      </c>
      <c r="E194" s="343" t="s">
        <v>184</v>
      </c>
      <c r="F194" s="3" t="s">
        <v>1778</v>
      </c>
      <c r="G194" s="187">
        <f>134300-15000</f>
        <v>119300</v>
      </c>
      <c r="H194" s="138">
        <f>IF(D194=G194,0,IF(D194=0,100,(G194-D194)/D194*100))</f>
        <v>-9.2775665399239529</v>
      </c>
      <c r="I194" s="33">
        <f>IF(LTFP!E279&gt;0,ROUND(LTFP!E279/4*3*Assumptions!H$14,-2),0)</f>
        <v>156400</v>
      </c>
      <c r="J194" s="187">
        <f>IF(LTFP!G279&gt;0,ROUND(LTFP!G279/4*3*Assumptions!I$14,-2),0)</f>
        <v>158000</v>
      </c>
      <c r="K194" s="187">
        <f>IF(LTFP!H279&gt;0,ROUND(LTFP!H279/4*3*Assumptions!J$14,-2),0)</f>
        <v>195900</v>
      </c>
      <c r="L194" s="187">
        <f>IF(LTFP!I279&gt;0,ROUND(LTFP!I279/4*3*Assumptions!K$14,-2),0)</f>
        <v>199900</v>
      </c>
      <c r="M194" s="187">
        <f>IF(LTFP!J279&gt;0,ROUND(LTFP!J279/4*3*Assumptions!L$14,-2),0)</f>
        <v>216000</v>
      </c>
      <c r="N194" s="187">
        <f>IF(LTFP!K279&gt;0,ROUND(LTFP!K279/4*3*Assumptions!M$14,-2),0)</f>
        <v>164000</v>
      </c>
      <c r="O194" s="33">
        <f>IF(LTFP!L279&gt;0,ROUND(LTFP!L279/4*3*Assumptions!N$14,-2),0)</f>
        <v>212800</v>
      </c>
      <c r="P194" s="33">
        <f>IF(LTFP!M279&gt;0,ROUND(LTFP!M279/4*3*Assumptions!O$14,-2),0)</f>
        <v>202900</v>
      </c>
      <c r="Q194" s="33">
        <f>IF(LTFP!N279&gt;0,ROUND(LTFP!N279/4*3*Assumptions!P$14,-2),0)</f>
        <v>209200</v>
      </c>
      <c r="R194" s="114">
        <f>IF(LTFP!O279&gt;0,ROUND(LTFP!O279/4*3*Assumptions!Q$14,-2),0)</f>
        <v>271400</v>
      </c>
    </row>
    <row r="195" spans="1:18" s="84" customFormat="1" x14ac:dyDescent="0.2">
      <c r="A195" s="107">
        <v>364000</v>
      </c>
      <c r="B195" s="33">
        <v>286300</v>
      </c>
      <c r="C195" s="189">
        <v>250400</v>
      </c>
      <c r="D195" s="189">
        <v>207500</v>
      </c>
      <c r="E195" s="343" t="s">
        <v>1369</v>
      </c>
      <c r="F195" s="3" t="s">
        <v>237</v>
      </c>
      <c r="G195" s="187">
        <f>234100-15000</f>
        <v>219100</v>
      </c>
      <c r="H195" s="138">
        <f>IF(D195=G195,0,IF(D195=0,100,(G195-D195)/D195*100))</f>
        <v>5.5903614457831328</v>
      </c>
      <c r="I195" s="33">
        <f>IF(LTFP!E280&gt;0,ROUND(LTFP!E280/4*3*Assumptions!H$14,-2),0)</f>
        <v>212400</v>
      </c>
      <c r="J195" s="187">
        <f>IF(LTFP!G280&gt;0,ROUND(LTFP!G280/4*3*Assumptions!I$14,-2),0)</f>
        <v>194400</v>
      </c>
      <c r="K195" s="187">
        <f>IF(LTFP!H280&gt;0,ROUND(LTFP!H280/4*3*Assumptions!J$14,-2),0)</f>
        <v>121300</v>
      </c>
      <c r="L195" s="187">
        <f>IF(LTFP!I280&gt;0,ROUND(LTFP!I280/4*3*Assumptions!K$14,-2),0)</f>
        <v>96200</v>
      </c>
      <c r="M195" s="187">
        <f>IF(LTFP!J280&gt;0,ROUND(LTFP!J280/4*3*Assumptions!L$14,-2),0)</f>
        <v>113000</v>
      </c>
      <c r="N195" s="187">
        <f>IF(LTFP!K280&gt;0,ROUND(LTFP!K280/4*3*Assumptions!M$14,-2),0)</f>
        <v>83000</v>
      </c>
      <c r="O195" s="33">
        <f>IF(LTFP!L280&gt;0,ROUND(LTFP!L280/4*3*Assumptions!N$14,-2),0)</f>
        <v>400</v>
      </c>
      <c r="P195" s="33">
        <f>IF(LTFP!M280&gt;0,ROUND(LTFP!M280/4*3*Assumptions!O$14,-2),0)</f>
        <v>4200</v>
      </c>
      <c r="Q195" s="33">
        <f>IF(LTFP!N280&gt;0,ROUND(LTFP!N280/4*3*Assumptions!P$14,-2),0)</f>
        <v>1300</v>
      </c>
      <c r="R195" s="114">
        <f>IF(LTFP!O280&gt;0,ROUND(LTFP!O280/4*3*Assumptions!Q$14,-2),0)</f>
        <v>26300</v>
      </c>
    </row>
    <row r="196" spans="1:18" s="84" customFormat="1" x14ac:dyDescent="0.2">
      <c r="A196" s="107">
        <v>40000</v>
      </c>
      <c r="B196" s="33">
        <v>28300</v>
      </c>
      <c r="C196" s="189">
        <f>38000-38000</f>
        <v>0</v>
      </c>
      <c r="D196" s="189">
        <v>0</v>
      </c>
      <c r="E196" s="821" t="s">
        <v>3037</v>
      </c>
      <c r="F196" s="3" t="s">
        <v>2246</v>
      </c>
      <c r="G196" s="187">
        <v>0</v>
      </c>
      <c r="H196" s="138">
        <f>IF(D196=G196,0,IF(D196=0,100,(G196-D196)/D196*100))</f>
        <v>0</v>
      </c>
      <c r="I196" s="33">
        <f>G196</f>
        <v>0</v>
      </c>
      <c r="J196" s="187">
        <f t="shared" ref="J196:R196" si="278">I196</f>
        <v>0</v>
      </c>
      <c r="K196" s="33">
        <f t="shared" si="278"/>
        <v>0</v>
      </c>
      <c r="L196" s="33">
        <f t="shared" si="278"/>
        <v>0</v>
      </c>
      <c r="M196" s="33">
        <f t="shared" si="278"/>
        <v>0</v>
      </c>
      <c r="N196" s="33">
        <f t="shared" si="278"/>
        <v>0</v>
      </c>
      <c r="O196" s="33">
        <f t="shared" si="278"/>
        <v>0</v>
      </c>
      <c r="P196" s="33">
        <f t="shared" si="278"/>
        <v>0</v>
      </c>
      <c r="Q196" s="33">
        <f t="shared" si="278"/>
        <v>0</v>
      </c>
      <c r="R196" s="114">
        <f t="shared" si="278"/>
        <v>0</v>
      </c>
    </row>
    <row r="197" spans="1:18" s="84" customFormat="1" x14ac:dyDescent="0.2">
      <c r="A197" s="107"/>
      <c r="B197" s="33"/>
      <c r="C197" s="189"/>
      <c r="D197" s="189"/>
      <c r="E197" s="821"/>
      <c r="F197" s="3"/>
      <c r="G197" s="187"/>
      <c r="H197" s="138"/>
      <c r="I197" s="33"/>
      <c r="J197" s="187"/>
      <c r="K197" s="33"/>
      <c r="L197" s="33"/>
      <c r="M197" s="33"/>
      <c r="N197" s="33"/>
      <c r="O197" s="33"/>
      <c r="P197" s="33"/>
      <c r="Q197" s="33"/>
      <c r="R197" s="114"/>
    </row>
    <row r="198" spans="1:18" s="84" customFormat="1" x14ac:dyDescent="0.2">
      <c r="A198" s="107"/>
      <c r="B198" s="33"/>
      <c r="C198" s="189"/>
      <c r="D198" s="189"/>
      <c r="E198" s="658"/>
      <c r="F198" s="2529" t="s">
        <v>5392</v>
      </c>
      <c r="G198" s="187"/>
      <c r="H198" s="138"/>
      <c r="I198" s="33"/>
      <c r="J198" s="33"/>
      <c r="K198" s="33"/>
      <c r="L198" s="33"/>
      <c r="M198" s="33"/>
      <c r="N198" s="33"/>
      <c r="O198" s="33"/>
      <c r="P198" s="33"/>
      <c r="Q198" s="33"/>
      <c r="R198" s="114"/>
    </row>
    <row r="199" spans="1:18" s="84" customFormat="1" x14ac:dyDescent="0.2">
      <c r="A199" s="107">
        <v>0</v>
      </c>
      <c r="B199" s="33">
        <v>0</v>
      </c>
      <c r="C199" s="189">
        <v>0</v>
      </c>
      <c r="D199" s="189">
        <v>26000</v>
      </c>
      <c r="E199" s="821" t="s">
        <v>5391</v>
      </c>
      <c r="F199" s="890" t="s">
        <v>5351</v>
      </c>
      <c r="G199" s="187">
        <v>0</v>
      </c>
      <c r="H199" s="138">
        <f>IF(D199=G199,0,IF(D199=0,100,(G199-D199)/D199*100))</f>
        <v>-100</v>
      </c>
      <c r="I199" s="33">
        <f>ROUNDUP(G199+(G199*Assumptions!H$5),-2)</f>
        <v>0</v>
      </c>
      <c r="J199" s="33">
        <f>ROUNDUP(I199+(I199*Assumptions!I$5),-2)</f>
        <v>0</v>
      </c>
      <c r="K199" s="33">
        <f>ROUNDUP(J199+(J199*Assumptions!J$5),-2)</f>
        <v>0</v>
      </c>
      <c r="L199" s="33">
        <f>ROUNDUP(K199+(K199*Assumptions!K$5),-2)</f>
        <v>0</v>
      </c>
      <c r="M199" s="33">
        <f>ROUNDUP(L199+(L199*Assumptions!L$5),-2)</f>
        <v>0</v>
      </c>
      <c r="N199" s="33">
        <f>ROUNDUP(M199+(M199*Assumptions!M$5),-2)</f>
        <v>0</v>
      </c>
      <c r="O199" s="33">
        <f>ROUNDUP(N199+(N199*Assumptions!N$5),-2)</f>
        <v>0</v>
      </c>
      <c r="P199" s="33">
        <f>ROUNDUP(O199+(O199*Assumptions!O$5),-2)</f>
        <v>0</v>
      </c>
      <c r="Q199" s="33">
        <f>ROUNDUP(P199+(P199*Assumptions!P$5),-2)</f>
        <v>0</v>
      </c>
      <c r="R199" s="114">
        <f>ROUNDUP(Q199+(Q199*Assumptions!Q$5),-2)</f>
        <v>0</v>
      </c>
    </row>
    <row r="200" spans="1:18" s="84" customFormat="1" ht="13.5" thickBot="1" x14ac:dyDescent="0.25">
      <c r="A200" s="107"/>
      <c r="B200" s="33"/>
      <c r="C200" s="189"/>
      <c r="D200" s="189"/>
      <c r="E200" s="240"/>
      <c r="F200" s="76"/>
      <c r="G200" s="187"/>
      <c r="H200" s="138"/>
      <c r="I200" s="33"/>
      <c r="J200" s="33"/>
      <c r="K200" s="33"/>
      <c r="L200" s="33"/>
      <c r="M200" s="33"/>
      <c r="N200" s="33"/>
      <c r="O200" s="33"/>
      <c r="P200" s="33"/>
      <c r="Q200" s="33"/>
      <c r="R200" s="114"/>
    </row>
    <row r="201" spans="1:18" s="84" customFormat="1" x14ac:dyDescent="0.2">
      <c r="A201" s="105">
        <f>SUM(A169:A200)</f>
        <v>9633500</v>
      </c>
      <c r="B201" s="53">
        <f>SUM(B169:B200)</f>
        <v>10689100</v>
      </c>
      <c r="C201" s="190">
        <f>SUM(C169:C200)</f>
        <v>10892500</v>
      </c>
      <c r="D201" s="190">
        <f>SUM(D169:D200)</f>
        <v>11199100</v>
      </c>
      <c r="E201" s="240"/>
      <c r="F201" s="1960" t="s">
        <v>2605</v>
      </c>
      <c r="G201" s="199">
        <f t="shared" ref="G201:P201" si="279">SUM(G169:G200)</f>
        <v>11913600</v>
      </c>
      <c r="H201" s="180">
        <f>IF(D201=G201,0,IF(D201=0,100,(G201-D201)/D201*100))</f>
        <v>6.3799769624344815</v>
      </c>
      <c r="I201" s="53">
        <f t="shared" si="279"/>
        <v>12154300</v>
      </c>
      <c r="J201" s="53">
        <f t="shared" si="279"/>
        <v>12435300</v>
      </c>
      <c r="K201" s="53">
        <f t="shared" si="279"/>
        <v>12705200</v>
      </c>
      <c r="L201" s="53">
        <f t="shared" si="279"/>
        <v>13171700</v>
      </c>
      <c r="M201" s="53">
        <f t="shared" si="279"/>
        <v>13706300</v>
      </c>
      <c r="N201" s="53">
        <f t="shared" si="279"/>
        <v>14146300</v>
      </c>
      <c r="O201" s="53">
        <f t="shared" si="279"/>
        <v>14654900</v>
      </c>
      <c r="P201" s="53">
        <f t="shared" si="279"/>
        <v>15212700</v>
      </c>
      <c r="Q201" s="53">
        <f t="shared" ref="Q201" si="280">SUM(Q169:Q200)</f>
        <v>15802300</v>
      </c>
      <c r="R201" s="113">
        <f t="shared" ref="R201" si="281">SUM(R169:R200)</f>
        <v>16499100</v>
      </c>
    </row>
    <row r="202" spans="1:18" s="84" customFormat="1" x14ac:dyDescent="0.2">
      <c r="A202" s="107"/>
      <c r="B202" s="33"/>
      <c r="C202" s="187"/>
      <c r="D202" s="187"/>
      <c r="E202" s="240"/>
      <c r="F202" s="112"/>
      <c r="G202" s="187"/>
      <c r="H202" s="138"/>
      <c r="I202" s="33"/>
      <c r="J202" s="33"/>
      <c r="K202" s="33"/>
      <c r="L202" s="33"/>
      <c r="M202" s="33"/>
      <c r="N202" s="33"/>
      <c r="O202" s="33"/>
      <c r="P202" s="33"/>
      <c r="Q202" s="33"/>
      <c r="R202" s="114"/>
    </row>
    <row r="203" spans="1:18" s="84" customFormat="1" x14ac:dyDescent="0.2">
      <c r="A203" s="107"/>
      <c r="B203" s="33"/>
      <c r="C203" s="187"/>
      <c r="D203" s="187"/>
      <c r="E203" s="240"/>
      <c r="F203" s="144" t="s">
        <v>2205</v>
      </c>
      <c r="G203" s="187"/>
      <c r="H203" s="138"/>
      <c r="I203" s="33"/>
      <c r="J203" s="33"/>
      <c r="K203" s="33"/>
      <c r="L203" s="33"/>
      <c r="M203" s="33"/>
      <c r="N203" s="33"/>
      <c r="O203" s="33"/>
      <c r="P203" s="33"/>
      <c r="Q203" s="33"/>
      <c r="R203" s="114"/>
    </row>
    <row r="204" spans="1:18" s="84" customFormat="1" x14ac:dyDescent="0.2">
      <c r="A204" s="107"/>
      <c r="B204" s="33"/>
      <c r="C204" s="187"/>
      <c r="D204" s="187"/>
      <c r="E204" s="1955"/>
      <c r="F204" s="144"/>
      <c r="G204" s="187"/>
      <c r="H204" s="138"/>
      <c r="I204" s="33"/>
      <c r="J204" s="33"/>
      <c r="K204" s="33"/>
      <c r="L204" s="33"/>
      <c r="M204" s="33"/>
      <c r="N204" s="33"/>
      <c r="O204" s="33"/>
      <c r="P204" s="33"/>
      <c r="Q204" s="33"/>
      <c r="R204" s="114"/>
    </row>
    <row r="205" spans="1:18" s="84" customFormat="1" x14ac:dyDescent="0.2">
      <c r="A205" s="107"/>
      <c r="B205" s="33"/>
      <c r="C205" s="189"/>
      <c r="D205" s="187"/>
      <c r="E205" s="445"/>
      <c r="F205" s="6" t="s">
        <v>572</v>
      </c>
      <c r="G205" s="187"/>
      <c r="H205" s="138"/>
      <c r="I205" s="33"/>
      <c r="J205" s="33"/>
      <c r="K205" s="33"/>
      <c r="L205" s="33"/>
      <c r="M205" s="33"/>
      <c r="N205" s="33"/>
      <c r="O205" s="33"/>
      <c r="P205" s="33"/>
      <c r="Q205" s="33"/>
      <c r="R205" s="114"/>
    </row>
    <row r="206" spans="1:18" s="84" customFormat="1" x14ac:dyDescent="0.2">
      <c r="A206" s="107">
        <v>218600</v>
      </c>
      <c r="B206" s="33">
        <v>263400</v>
      </c>
      <c r="C206" s="189">
        <v>289600</v>
      </c>
      <c r="D206" s="187">
        <f>376900</f>
        <v>376900</v>
      </c>
      <c r="E206" s="343" t="s">
        <v>1371</v>
      </c>
      <c r="F206" s="890" t="s">
        <v>1239</v>
      </c>
      <c r="G206" s="187">
        <f>437000-10000</f>
        <v>427000</v>
      </c>
      <c r="H206" s="138">
        <f t="shared" ref="H206:H213" si="282">IF(D206=G206,0,IF(D206=0,100,(G206-D206)/D206*100))</f>
        <v>13.292650570443087</v>
      </c>
      <c r="I206" s="187">
        <f>ROUNDUP(G206+(G206*Assumptions!H$5),-2)</f>
        <v>433500</v>
      </c>
      <c r="J206" s="33">
        <f>ROUNDUP(I206+(I206*Assumptions!I$5),-2)</f>
        <v>444400</v>
      </c>
      <c r="K206" s="33">
        <f>ROUNDUP(J206+(J206*Assumptions!J$5),-2)</f>
        <v>455600</v>
      </c>
      <c r="L206" s="33">
        <f>ROUNDUP(K206+(K206*Assumptions!K$5),-2)</f>
        <v>467000</v>
      </c>
      <c r="M206" s="33">
        <f>ROUNDUP(L206+(L206*Assumptions!L$5),-2)</f>
        <v>476400</v>
      </c>
      <c r="N206" s="33">
        <f>ROUNDUP(M206+(M206*Assumptions!M$5),-2)</f>
        <v>486000</v>
      </c>
      <c r="O206" s="187">
        <f>ROUNDUP(N206+(N206*Assumptions!N$5),-2)</f>
        <v>495800</v>
      </c>
      <c r="P206" s="187">
        <f>ROUNDUP(O206+(O206*Assumptions!O$5),-2)</f>
        <v>505800</v>
      </c>
      <c r="Q206" s="187">
        <f>ROUNDUP(P206+(P206*Assumptions!P$5),-2)</f>
        <v>516000</v>
      </c>
      <c r="R206" s="188">
        <f>ROUNDUP(Q206+(Q206*Assumptions!Q$5),-2)</f>
        <v>526400</v>
      </c>
    </row>
    <row r="207" spans="1:18" s="84" customFormat="1" x14ac:dyDescent="0.2">
      <c r="A207" s="107">
        <v>0</v>
      </c>
      <c r="B207" s="33">
        <v>0</v>
      </c>
      <c r="C207" s="189">
        <v>0</v>
      </c>
      <c r="D207" s="187">
        <v>-5800</v>
      </c>
      <c r="E207" s="821" t="s">
        <v>6700</v>
      </c>
      <c r="F207" s="890" t="s">
        <v>6701</v>
      </c>
      <c r="G207" s="187">
        <v>0</v>
      </c>
      <c r="H207" s="138">
        <f t="shared" si="282"/>
        <v>-100</v>
      </c>
      <c r="I207" s="187">
        <v>-6000</v>
      </c>
      <c r="J207" s="33">
        <f>ROUNDUP(I207+(I207*Assumptions!I$5),-2)</f>
        <v>-6200</v>
      </c>
      <c r="K207" s="33">
        <f>ROUNDUP(J207+(J207*Assumptions!J$5),-2)</f>
        <v>-6400</v>
      </c>
      <c r="L207" s="33">
        <f>ROUNDUP(K207+(K207*Assumptions!K$5),-2)</f>
        <v>-6600</v>
      </c>
      <c r="M207" s="33">
        <f>ROUNDUP(L207+(L207*Assumptions!L$5),-2)</f>
        <v>-6800</v>
      </c>
      <c r="N207" s="33">
        <f>ROUNDUP(M207+(M207*Assumptions!M$5),-2)</f>
        <v>-7000</v>
      </c>
      <c r="O207" s="187">
        <f>ROUNDUP(N207+(N207*Assumptions!N$5),-2)</f>
        <v>-7200</v>
      </c>
      <c r="P207" s="187">
        <f>ROUNDUP(O207+(O207*Assumptions!O$5),-2)</f>
        <v>-7400</v>
      </c>
      <c r="Q207" s="187">
        <f>ROUNDUP(P207+(P207*Assumptions!P$5),-2)</f>
        <v>-7600</v>
      </c>
      <c r="R207" s="188">
        <f>ROUNDUP(Q207+(Q207*Assumptions!Q$5),-2)</f>
        <v>-7800</v>
      </c>
    </row>
    <row r="208" spans="1:18" s="84" customFormat="1" x14ac:dyDescent="0.2">
      <c r="A208" s="107">
        <v>14300</v>
      </c>
      <c r="B208" s="33">
        <v>-9400</v>
      </c>
      <c r="C208" s="189">
        <v>9800</v>
      </c>
      <c r="D208" s="187">
        <v>-13400</v>
      </c>
      <c r="E208" s="343" t="s">
        <v>1372</v>
      </c>
      <c r="F208" s="813" t="s">
        <v>3605</v>
      </c>
      <c r="G208" s="187">
        <f>13700-2500</f>
        <v>11200</v>
      </c>
      <c r="H208" s="138">
        <f t="shared" si="282"/>
        <v>-183.58208955223881</v>
      </c>
      <c r="I208" s="187">
        <f>ROUNDUP(G208+(G208*Assumptions!H$5),-2)</f>
        <v>11400</v>
      </c>
      <c r="J208" s="33">
        <f>ROUNDUP(I208+(I208*Assumptions!I$5),-2)</f>
        <v>11700</v>
      </c>
      <c r="K208" s="33">
        <f>ROUNDUP(J208+(J208*Assumptions!J$5),-2)</f>
        <v>12000</v>
      </c>
      <c r="L208" s="33">
        <f>ROUNDUP(K208+(K208*Assumptions!K$5),-2)</f>
        <v>12300</v>
      </c>
      <c r="M208" s="33">
        <f>ROUNDUP(L208+(L208*Assumptions!L$5),-2)</f>
        <v>12600</v>
      </c>
      <c r="N208" s="33">
        <f>ROUNDUP(M208+(M208*Assumptions!M$5),-2)</f>
        <v>12900</v>
      </c>
      <c r="O208" s="187">
        <f>ROUNDUP(N208+(N208*Assumptions!N$5),-2)</f>
        <v>13200</v>
      </c>
      <c r="P208" s="187">
        <f>ROUNDUP(O208+(O208*Assumptions!O$5),-2)</f>
        <v>13500</v>
      </c>
      <c r="Q208" s="187">
        <f>ROUNDUP(P208+(P208*Assumptions!P$5),-2)</f>
        <v>13800</v>
      </c>
      <c r="R208" s="188">
        <f>ROUNDUP(Q208+(Q208*Assumptions!Q$5),-2)</f>
        <v>14100</v>
      </c>
    </row>
    <row r="209" spans="1:18" s="84" customFormat="1" x14ac:dyDescent="0.2">
      <c r="A209" s="107">
        <v>2400</v>
      </c>
      <c r="B209" s="33">
        <v>7400</v>
      </c>
      <c r="C209" s="189">
        <v>7000</v>
      </c>
      <c r="D209" s="1012">
        <v>4200</v>
      </c>
      <c r="E209" s="343" t="s">
        <v>870</v>
      </c>
      <c r="F209" s="813" t="s">
        <v>3606</v>
      </c>
      <c r="G209" s="187">
        <f>8300-1500</f>
        <v>6800</v>
      </c>
      <c r="H209" s="138">
        <f t="shared" si="282"/>
        <v>61.904761904761905</v>
      </c>
      <c r="I209" s="187">
        <f>ROUNDUP(G209+(G209*Assumptions!H$5),-2)</f>
        <v>7000</v>
      </c>
      <c r="J209" s="33">
        <f>ROUNDUP(I209+(I209*Assumptions!I$5),-2)</f>
        <v>7200</v>
      </c>
      <c r="K209" s="33">
        <f>ROUNDUP(J209+(J209*Assumptions!J$5),-2)</f>
        <v>7400</v>
      </c>
      <c r="L209" s="33">
        <f>ROUNDUP(K209+(K209*Assumptions!K$5),-2)</f>
        <v>7600</v>
      </c>
      <c r="M209" s="33">
        <f>ROUNDUP(L209+(L209*Assumptions!L$5),-2)</f>
        <v>7800</v>
      </c>
      <c r="N209" s="33">
        <f>ROUNDUP(M209+(M209*Assumptions!M$5),-2)</f>
        <v>8000</v>
      </c>
      <c r="O209" s="187">
        <f>ROUNDUP(N209+(N209*Assumptions!N$5),-2)</f>
        <v>8200</v>
      </c>
      <c r="P209" s="187">
        <f>ROUNDUP(O209+(O209*Assumptions!O$5),-2)</f>
        <v>8400</v>
      </c>
      <c r="Q209" s="187">
        <f>ROUNDUP(P209+(P209*Assumptions!P$5),-2)</f>
        <v>8600</v>
      </c>
      <c r="R209" s="188">
        <f>ROUNDUP(Q209+(Q209*Assumptions!Q$5),-2)</f>
        <v>8800</v>
      </c>
    </row>
    <row r="210" spans="1:18" s="84" customFormat="1" x14ac:dyDescent="0.2">
      <c r="A210" s="107">
        <v>30900</v>
      </c>
      <c r="B210" s="33">
        <v>-17800</v>
      </c>
      <c r="C210" s="189">
        <v>16200</v>
      </c>
      <c r="D210" s="189">
        <v>-19800</v>
      </c>
      <c r="E210" s="343" t="s">
        <v>871</v>
      </c>
      <c r="F210" s="813" t="s">
        <v>3607</v>
      </c>
      <c r="G210" s="187">
        <f>7300-1000</f>
        <v>6300</v>
      </c>
      <c r="H210" s="138">
        <f t="shared" si="282"/>
        <v>-131.81818181818181</v>
      </c>
      <c r="I210" s="187">
        <f>ROUNDUP(G210+(G210*Assumptions!H$5),-2)</f>
        <v>6400</v>
      </c>
      <c r="J210" s="33">
        <f>ROUNDUP(I210+(I210*Assumptions!I$5),-2)</f>
        <v>6600</v>
      </c>
      <c r="K210" s="33">
        <f>ROUNDUP(J210+(J210*Assumptions!J$5),-2)</f>
        <v>6800</v>
      </c>
      <c r="L210" s="33">
        <f>ROUNDUP(K210+(K210*Assumptions!K$5),-2)</f>
        <v>7000</v>
      </c>
      <c r="M210" s="33">
        <f>ROUNDUP(L210+(L210*Assumptions!L$5),-2)</f>
        <v>7200</v>
      </c>
      <c r="N210" s="33">
        <f>ROUNDUP(M210+(M210*Assumptions!M$5),-2)</f>
        <v>7400</v>
      </c>
      <c r="O210" s="187">
        <f>ROUNDUP(N210+(N210*Assumptions!N$5),-2)</f>
        <v>7600</v>
      </c>
      <c r="P210" s="187">
        <f>ROUNDUP(O210+(O210*Assumptions!O$5),-2)</f>
        <v>7800</v>
      </c>
      <c r="Q210" s="187">
        <f>ROUNDUP(P210+(P210*Assumptions!P$5),-2)</f>
        <v>8000</v>
      </c>
      <c r="R210" s="188">
        <f>ROUNDUP(Q210+(Q210*Assumptions!Q$5),-2)</f>
        <v>8200</v>
      </c>
    </row>
    <row r="211" spans="1:18" s="84" customFormat="1" x14ac:dyDescent="0.2">
      <c r="A211" s="107">
        <v>5600</v>
      </c>
      <c r="B211" s="33">
        <v>5700</v>
      </c>
      <c r="C211" s="189">
        <v>5400</v>
      </c>
      <c r="D211" s="189">
        <v>5200</v>
      </c>
      <c r="E211" s="343" t="s">
        <v>2038</v>
      </c>
      <c r="F211" s="813" t="s">
        <v>3608</v>
      </c>
      <c r="G211" s="187">
        <v>0</v>
      </c>
      <c r="H211" s="138">
        <f t="shared" si="282"/>
        <v>-100</v>
      </c>
      <c r="I211" s="187">
        <f>ROUNDUP(G211+(G211*Assumptions!H$5),-2)</f>
        <v>0</v>
      </c>
      <c r="J211" s="33">
        <f>ROUNDUP(I211+(I211*Assumptions!I$5),-2)</f>
        <v>0</v>
      </c>
      <c r="K211" s="33">
        <f>ROUNDUP(J211+(J211*Assumptions!J$5),-2)</f>
        <v>0</v>
      </c>
      <c r="L211" s="33">
        <f>ROUNDUP(K211+(K211*Assumptions!K$5),-2)</f>
        <v>0</v>
      </c>
      <c r="M211" s="33">
        <f>ROUNDUP(L211+(L211*Assumptions!L$5),-2)</f>
        <v>0</v>
      </c>
      <c r="N211" s="33">
        <f>ROUNDUP(M211+(M211*Assumptions!M$5),-2)</f>
        <v>0</v>
      </c>
      <c r="O211" s="187">
        <f>ROUNDUP(N211+(N211*Assumptions!N$5),-2)</f>
        <v>0</v>
      </c>
      <c r="P211" s="187">
        <f>ROUNDUP(O211+(O211*Assumptions!O$5),-2)</f>
        <v>0</v>
      </c>
      <c r="Q211" s="187">
        <f>ROUNDUP(P211+(P211*Assumptions!P$5),-2)</f>
        <v>0</v>
      </c>
      <c r="R211" s="188">
        <f>ROUNDUP(Q211+(Q211*Assumptions!Q$5),-2)</f>
        <v>0</v>
      </c>
    </row>
    <row r="212" spans="1:18" s="84" customFormat="1" x14ac:dyDescent="0.2">
      <c r="A212" s="107">
        <v>0</v>
      </c>
      <c r="B212" s="33">
        <v>6400</v>
      </c>
      <c r="C212" s="189">
        <v>1400</v>
      </c>
      <c r="D212" s="189">
        <v>0</v>
      </c>
      <c r="E212" s="343" t="s">
        <v>468</v>
      </c>
      <c r="F212" s="890" t="s">
        <v>3330</v>
      </c>
      <c r="G212" s="187">
        <v>10000</v>
      </c>
      <c r="H212" s="138">
        <f t="shared" si="282"/>
        <v>100</v>
      </c>
      <c r="I212" s="33">
        <v>0</v>
      </c>
      <c r="J212" s="33">
        <v>40000</v>
      </c>
      <c r="K212" s="33">
        <v>0</v>
      </c>
      <c r="L212" s="33">
        <f>ROUNDUP(K212+(K212*Assumptions!K$5),-2)</f>
        <v>0</v>
      </c>
      <c r="M212" s="33">
        <f>ROUNDUP(L212+(L212*Assumptions!L$5),-2)</f>
        <v>0</v>
      </c>
      <c r="N212" s="33">
        <v>50000</v>
      </c>
      <c r="O212" s="33">
        <v>0</v>
      </c>
      <c r="P212" s="33">
        <f>ROUNDUP(O212+(O212*Assumptions!O$5),-2)</f>
        <v>0</v>
      </c>
      <c r="Q212" s="33">
        <f>ROUNDUP(P212+(P212*Assumptions!P$5),-2)</f>
        <v>0</v>
      </c>
      <c r="R212" s="114">
        <f>ROUNDUP(Q212+(Q212*Assumptions!Q$5),-2)</f>
        <v>0</v>
      </c>
    </row>
    <row r="213" spans="1:18" s="84" customFormat="1" x14ac:dyDescent="0.2">
      <c r="A213" s="107">
        <v>15000</v>
      </c>
      <c r="B213" s="33">
        <v>8000</v>
      </c>
      <c r="C213" s="189">
        <v>8300</v>
      </c>
      <c r="D213" s="189">
        <v>8300</v>
      </c>
      <c r="E213" s="343" t="s">
        <v>949</v>
      </c>
      <c r="F213" s="1981" t="s">
        <v>534</v>
      </c>
      <c r="G213" s="187">
        <v>8500</v>
      </c>
      <c r="H213" s="138">
        <f t="shared" si="282"/>
        <v>2.4096385542168677</v>
      </c>
      <c r="I213" s="187">
        <f>ROUNDUP(G213+(G213*Assumptions!H$5),-2)</f>
        <v>8700</v>
      </c>
      <c r="J213" s="33">
        <f>ROUNDUP(I213+(I213*Assumptions!I$5),-2)</f>
        <v>9000</v>
      </c>
      <c r="K213" s="33">
        <f>ROUNDUP(J213+(J213*Assumptions!J$5),-2)</f>
        <v>9300</v>
      </c>
      <c r="L213" s="33">
        <f>ROUNDUP(K213+(K213*Assumptions!K$5),-2)</f>
        <v>9600</v>
      </c>
      <c r="M213" s="33">
        <f>ROUNDUP(L213+(L213*Assumptions!L$5),-2)</f>
        <v>9800</v>
      </c>
      <c r="N213" s="33">
        <f>ROUNDUP(M213+(M213*Assumptions!M$5),-2)</f>
        <v>10000</v>
      </c>
      <c r="O213" s="187">
        <f>ROUNDUP(N213+(N213*Assumptions!N$5),-2)</f>
        <v>10200</v>
      </c>
      <c r="P213" s="187">
        <f>ROUNDUP(O213+(O213*Assumptions!O$5),-2)</f>
        <v>10500</v>
      </c>
      <c r="Q213" s="187">
        <f>ROUNDUP(P213+(P213*Assumptions!P$5),-2)</f>
        <v>10800</v>
      </c>
      <c r="R213" s="188">
        <f>ROUNDUP(Q213+(Q213*Assumptions!Q$5),-2)</f>
        <v>11100</v>
      </c>
    </row>
    <row r="214" spans="1:18" s="84" customFormat="1" x14ac:dyDescent="0.2">
      <c r="A214" s="107"/>
      <c r="B214" s="33"/>
      <c r="C214" s="189"/>
      <c r="D214" s="189"/>
      <c r="E214" s="344"/>
      <c r="F214" s="3"/>
      <c r="G214" s="187"/>
      <c r="H214" s="138"/>
      <c r="I214" s="33"/>
      <c r="J214" s="33"/>
      <c r="K214" s="33"/>
      <c r="L214" s="33"/>
      <c r="M214" s="33"/>
      <c r="N214" s="33"/>
      <c r="O214" s="33"/>
      <c r="P214" s="33"/>
      <c r="Q214" s="33"/>
      <c r="R214" s="114"/>
    </row>
    <row r="215" spans="1:18" s="84" customFormat="1" x14ac:dyDescent="0.2">
      <c r="A215" s="107"/>
      <c r="B215" s="33"/>
      <c r="C215" s="189"/>
      <c r="D215" s="189"/>
      <c r="E215" s="445"/>
      <c r="F215" s="8" t="s">
        <v>4685</v>
      </c>
      <c r="G215" s="187"/>
      <c r="H215" s="138"/>
      <c r="I215" s="33"/>
      <c r="J215" s="33"/>
      <c r="K215" s="33"/>
      <c r="L215" s="33"/>
      <c r="M215" s="33"/>
      <c r="N215" s="33"/>
      <c r="O215" s="33"/>
      <c r="P215" s="33"/>
      <c r="Q215" s="33"/>
      <c r="R215" s="114"/>
    </row>
    <row r="216" spans="1:18" s="84" customFormat="1" x14ac:dyDescent="0.2">
      <c r="A216" s="107">
        <f>88800+7800</f>
        <v>96600</v>
      </c>
      <c r="B216" s="33">
        <f>60000+24600</f>
        <v>84600</v>
      </c>
      <c r="C216" s="189">
        <f>38000+2700</f>
        <v>40700</v>
      </c>
      <c r="D216" s="189">
        <v>127000</v>
      </c>
      <c r="E216" s="343" t="s">
        <v>470</v>
      </c>
      <c r="F216" s="890" t="s">
        <v>4931</v>
      </c>
      <c r="G216" s="187">
        <v>41200</v>
      </c>
      <c r="H216" s="138">
        <f>IF(D216=G216,0,IF(D216=0,100,(G216-D216)/D216*100))</f>
        <v>-67.559055118110237</v>
      </c>
      <c r="I216" s="33">
        <f>ROUNDUP(G216+(G216*Assumptions!H$5),-2)</f>
        <v>41900</v>
      </c>
      <c r="J216" s="33">
        <f>ROUNDUP(I216+(I216*Assumptions!I$5),-2)</f>
        <v>43000</v>
      </c>
      <c r="K216" s="33">
        <f>ROUNDUP(J216+(J216*Assumptions!J$5),-2)</f>
        <v>44100</v>
      </c>
      <c r="L216" s="33">
        <f>ROUNDUP(K216+(K216*Assumptions!K$5),-2)</f>
        <v>45300</v>
      </c>
      <c r="M216" s="33">
        <f>ROUNDUP(L216+(L216*Assumptions!L$5),-2)</f>
        <v>46300</v>
      </c>
      <c r="N216" s="33">
        <f>ROUNDUP(M216+(M216*Assumptions!M$5),-2)</f>
        <v>47300</v>
      </c>
      <c r="O216" s="33">
        <f>ROUNDUP(N216+(N216*Assumptions!N$5),-2)</f>
        <v>48300</v>
      </c>
      <c r="P216" s="33">
        <f>ROUNDUP(O216+(O216*Assumptions!O$5),-2)</f>
        <v>49300</v>
      </c>
      <c r="Q216" s="33">
        <f>ROUNDUP(P216+(P216*Assumptions!P$5),-2)</f>
        <v>50300</v>
      </c>
      <c r="R216" s="114">
        <f>ROUNDUP(Q216+(Q216*Assumptions!Q$5),-2)</f>
        <v>51400</v>
      </c>
    </row>
    <row r="217" spans="1:18" s="84" customFormat="1" x14ac:dyDescent="0.2">
      <c r="A217" s="107">
        <v>0</v>
      </c>
      <c r="B217" s="33">
        <v>0</v>
      </c>
      <c r="C217" s="189">
        <v>0</v>
      </c>
      <c r="D217" s="189">
        <v>0</v>
      </c>
      <c r="E217" s="343" t="s">
        <v>470</v>
      </c>
      <c r="F217" s="814" t="s">
        <v>6051</v>
      </c>
      <c r="G217" s="189">
        <f>76000+77600</f>
        <v>153600</v>
      </c>
      <c r="H217" s="138">
        <f>IF(D217=G217,0,IF(D217=0,100,(G217-D217)/D217*100))</f>
        <v>100</v>
      </c>
      <c r="I217" s="33">
        <v>0</v>
      </c>
      <c r="J217" s="33">
        <v>0</v>
      </c>
      <c r="K217" s="33">
        <f>ROUNDUP(J217+(J217*Assumptions!J$5),-2)</f>
        <v>0</v>
      </c>
      <c r="L217" s="33">
        <f>ROUNDUP(K217+(K217*Assumptions!K$5),-2)</f>
        <v>0</v>
      </c>
      <c r="M217" s="33">
        <f>ROUNDUP(L217+(L217*Assumptions!L$5),-2)</f>
        <v>0</v>
      </c>
      <c r="N217" s="33">
        <f>ROUNDUP(M217+(M217*Assumptions!M$5),-2)</f>
        <v>0</v>
      </c>
      <c r="O217" s="33">
        <f>ROUNDUP(N217+(N217*Assumptions!N$5),-2)</f>
        <v>0</v>
      </c>
      <c r="P217" s="33">
        <f>ROUNDUP(O217+(O217*Assumptions!O$5),-2)</f>
        <v>0</v>
      </c>
      <c r="Q217" s="33">
        <f>ROUNDUP(P217+(P217*Assumptions!P$5),-2)</f>
        <v>0</v>
      </c>
      <c r="R217" s="114">
        <f>ROUNDUP(Q217+(Q217*Assumptions!Q$5),-2)</f>
        <v>0</v>
      </c>
    </row>
    <row r="218" spans="1:18" s="84" customFormat="1" x14ac:dyDescent="0.2">
      <c r="A218" s="107">
        <v>42300</v>
      </c>
      <c r="B218" s="33">
        <v>37600</v>
      </c>
      <c r="C218" s="189">
        <v>36200</v>
      </c>
      <c r="D218" s="189">
        <v>23000</v>
      </c>
      <c r="E218" s="821" t="s">
        <v>3194</v>
      </c>
      <c r="F218" s="814" t="s">
        <v>3196</v>
      </c>
      <c r="G218" s="189">
        <v>0</v>
      </c>
      <c r="H218" s="138">
        <f>IF(D218=G218,0,IF(D218=0,100,(G218-D218)/D218*100))</f>
        <v>-100</v>
      </c>
      <c r="I218" s="33">
        <v>0</v>
      </c>
      <c r="J218" s="33">
        <f>ROUNDUP(I218+(I218*Assumptions!I$5),-2)</f>
        <v>0</v>
      </c>
      <c r="K218" s="33">
        <f>ROUNDUP(J218+(J218*Assumptions!J$5),-2)</f>
        <v>0</v>
      </c>
      <c r="L218" s="33">
        <f>ROUNDUP(K218+(K218*Assumptions!K$5),-2)</f>
        <v>0</v>
      </c>
      <c r="M218" s="33">
        <f>ROUNDUP(L218+(L218*Assumptions!L$5),-2)</f>
        <v>0</v>
      </c>
      <c r="N218" s="33">
        <f>ROUNDUP(M218+(M218*Assumptions!M$5),-2)</f>
        <v>0</v>
      </c>
      <c r="O218" s="33">
        <f>ROUNDUP(N218+(N218*Assumptions!N$5),-2)</f>
        <v>0</v>
      </c>
      <c r="P218" s="33">
        <f>ROUNDUP(O218+(O218*Assumptions!O$5),-2)</f>
        <v>0</v>
      </c>
      <c r="Q218" s="33">
        <f>ROUNDUP(P218+(P218*Assumptions!P$5),-2)</f>
        <v>0</v>
      </c>
      <c r="R218" s="114">
        <f>ROUNDUP(Q218+(Q218*Assumptions!Q$5),-2)</f>
        <v>0</v>
      </c>
    </row>
    <row r="219" spans="1:18" s="84" customFormat="1" x14ac:dyDescent="0.2">
      <c r="A219" s="107">
        <v>300000</v>
      </c>
      <c r="B219" s="33">
        <v>100000</v>
      </c>
      <c r="C219" s="189">
        <v>100000</v>
      </c>
      <c r="D219" s="189">
        <f>100000-100000</f>
        <v>0</v>
      </c>
      <c r="E219" s="821" t="s">
        <v>3195</v>
      </c>
      <c r="F219" s="814" t="s">
        <v>3328</v>
      </c>
      <c r="G219" s="189">
        <v>100000</v>
      </c>
      <c r="H219" s="138">
        <f>IF(D219=G219,0,IF(D219=0,100,(G219-D219)/D219*100))</f>
        <v>100</v>
      </c>
      <c r="I219" s="33">
        <v>0</v>
      </c>
      <c r="J219" s="33">
        <f>ROUNDUP(I219+(I219*Assumptions!I$5),-2)</f>
        <v>0</v>
      </c>
      <c r="K219" s="33">
        <f>ROUNDUP(J219+(J219*Assumptions!J$5),-2)</f>
        <v>0</v>
      </c>
      <c r="L219" s="33">
        <f>ROUNDUP(K219+(K219*Assumptions!K$5),-2)</f>
        <v>0</v>
      </c>
      <c r="M219" s="33">
        <f>ROUNDUP(L219+(L219*Assumptions!L$5),-2)</f>
        <v>0</v>
      </c>
      <c r="N219" s="33">
        <f>ROUNDUP(M219+(M219*Assumptions!M$5),-2)</f>
        <v>0</v>
      </c>
      <c r="O219" s="33">
        <f>ROUNDUP(N219+(N219*Assumptions!N$5),-2)</f>
        <v>0</v>
      </c>
      <c r="P219" s="33">
        <f>ROUNDUP(O219+(O219*Assumptions!O$5),-2)</f>
        <v>0</v>
      </c>
      <c r="Q219" s="33">
        <f>ROUNDUP(P219+(P219*Assumptions!P$5),-2)</f>
        <v>0</v>
      </c>
      <c r="R219" s="114">
        <f>ROUNDUP(Q219+(Q219*Assumptions!Q$5),-2)</f>
        <v>0</v>
      </c>
    </row>
    <row r="220" spans="1:18" s="84" customFormat="1" x14ac:dyDescent="0.2">
      <c r="A220" s="107"/>
      <c r="B220" s="33"/>
      <c r="C220" s="189"/>
      <c r="D220" s="189"/>
      <c r="E220" s="344"/>
      <c r="F220" s="443"/>
      <c r="G220" s="189"/>
      <c r="H220" s="138"/>
      <c r="I220" s="33"/>
      <c r="J220" s="33"/>
      <c r="K220" s="33"/>
      <c r="L220" s="33"/>
      <c r="M220" s="33"/>
      <c r="N220" s="33"/>
      <c r="O220" s="33"/>
      <c r="P220" s="33"/>
      <c r="Q220" s="33"/>
      <c r="R220" s="114"/>
    </row>
    <row r="221" spans="1:18" s="84" customFormat="1" x14ac:dyDescent="0.2">
      <c r="A221" s="107"/>
      <c r="B221" s="33"/>
      <c r="C221" s="189"/>
      <c r="D221" s="189"/>
      <c r="E221" s="445"/>
      <c r="F221" s="439" t="s">
        <v>1663</v>
      </c>
      <c r="G221" s="189"/>
      <c r="H221" s="138"/>
      <c r="I221" s="33"/>
      <c r="J221" s="33"/>
      <c r="K221" s="33"/>
      <c r="L221" s="33"/>
      <c r="M221" s="33"/>
      <c r="N221" s="33"/>
      <c r="O221" s="33"/>
      <c r="P221" s="33"/>
      <c r="Q221" s="33"/>
      <c r="R221" s="114"/>
    </row>
    <row r="222" spans="1:18" s="84" customFormat="1" x14ac:dyDescent="0.2">
      <c r="A222" s="107">
        <v>1145000</v>
      </c>
      <c r="B222" s="33">
        <v>1197300</v>
      </c>
      <c r="C222" s="189">
        <v>1160000</v>
      </c>
      <c r="D222" s="189">
        <v>1301000</v>
      </c>
      <c r="E222" s="343" t="s">
        <v>1914</v>
      </c>
      <c r="F222" s="443" t="s">
        <v>407</v>
      </c>
      <c r="G222" s="189">
        <v>1319000</v>
      </c>
      <c r="H222" s="138">
        <f>IF(D222=G222,0,IF(D222=0,100,(G222-D222)/D222*100))</f>
        <v>1.3835511145272867</v>
      </c>
      <c r="I222" s="33">
        <f>Overheads!I278</f>
        <v>1345000</v>
      </c>
      <c r="J222" s="33">
        <f>ROUND(I222*Assumptions!I$5+'W&amp;W'!I222,-2)</f>
        <v>1378600</v>
      </c>
      <c r="K222" s="33">
        <f>ROUND(J222*Assumptions!J$5+'W&amp;W'!J222,-2)</f>
        <v>1413100</v>
      </c>
      <c r="L222" s="33">
        <f>ROUND(K222*Assumptions!K$5+'W&amp;W'!K222,-2)</f>
        <v>1448400</v>
      </c>
      <c r="M222" s="33">
        <f>ROUND(L222*Assumptions!L$5+'W&amp;W'!L222,-2)</f>
        <v>1477400</v>
      </c>
      <c r="N222" s="33">
        <f>ROUND(M222*Assumptions!M$5+'W&amp;W'!M222,-2)</f>
        <v>1506900</v>
      </c>
      <c r="O222" s="33">
        <f>ROUND(N222*Assumptions!N$5+'W&amp;W'!N222,-2)</f>
        <v>1537000</v>
      </c>
      <c r="P222" s="33">
        <f>ROUND(O222*Assumptions!O$5+'W&amp;W'!O222,-2)</f>
        <v>1567700</v>
      </c>
      <c r="Q222" s="33">
        <f>ROUND(P222*Assumptions!P$5+'W&amp;W'!P222,-2)</f>
        <v>1599100</v>
      </c>
      <c r="R222" s="114">
        <f>ROUND(Q222*Assumptions!Q$5+'W&amp;W'!Q222,-2)</f>
        <v>1631100</v>
      </c>
    </row>
    <row r="223" spans="1:18" s="84" customFormat="1" x14ac:dyDescent="0.2">
      <c r="A223" s="107"/>
      <c r="B223" s="33"/>
      <c r="C223" s="33"/>
      <c r="D223" s="99"/>
      <c r="E223" s="1097"/>
      <c r="F223" s="814"/>
      <c r="G223" s="33"/>
      <c r="H223" s="138"/>
      <c r="I223" s="33"/>
      <c r="J223" s="33"/>
      <c r="K223" s="33"/>
      <c r="L223" s="33"/>
      <c r="M223" s="33"/>
      <c r="N223" s="33"/>
      <c r="O223" s="33"/>
      <c r="P223" s="33"/>
      <c r="Q223" s="33"/>
      <c r="R223" s="114"/>
    </row>
    <row r="224" spans="1:18" s="84" customFormat="1" x14ac:dyDescent="0.2">
      <c r="A224" s="107"/>
      <c r="B224" s="33"/>
      <c r="C224" s="33"/>
      <c r="D224" s="99"/>
      <c r="E224" s="1955"/>
      <c r="F224" s="718" t="s">
        <v>1031</v>
      </c>
      <c r="G224" s="33"/>
      <c r="H224" s="138"/>
      <c r="I224" s="33"/>
      <c r="J224" s="33"/>
      <c r="K224" s="33"/>
      <c r="L224" s="33"/>
      <c r="M224" s="33"/>
      <c r="N224" s="33"/>
      <c r="O224" s="33"/>
      <c r="P224" s="33"/>
      <c r="Q224" s="33"/>
      <c r="R224" s="114"/>
    </row>
    <row r="225" spans="1:18" s="84" customFormat="1" ht="13.5" thickBot="1" x14ac:dyDescent="0.25">
      <c r="A225" s="171"/>
      <c r="B225" s="66"/>
      <c r="C225" s="66"/>
      <c r="D225" s="174"/>
      <c r="E225" s="1976"/>
      <c r="F225" s="719"/>
      <c r="G225" s="66"/>
      <c r="H225" s="140"/>
      <c r="I225" s="66"/>
      <c r="J225" s="66"/>
      <c r="K225" s="66"/>
      <c r="L225" s="66"/>
      <c r="M225" s="66"/>
      <c r="N225" s="66"/>
      <c r="O225" s="66"/>
      <c r="P225" s="66"/>
      <c r="Q225" s="66"/>
      <c r="R225" s="165"/>
    </row>
    <row r="226" spans="1:18" s="91" customFormat="1" ht="18.75" customHeight="1" thickTop="1" thickBot="1" x14ac:dyDescent="0.3">
      <c r="A226" s="2862" t="s">
        <v>4695</v>
      </c>
      <c r="B226" s="2863"/>
      <c r="C226" s="2863"/>
      <c r="D226" s="2863"/>
      <c r="E226" s="2863"/>
      <c r="F226" s="2863"/>
      <c r="G226" s="2863"/>
      <c r="H226" s="2863"/>
      <c r="I226" s="2863"/>
      <c r="J226" s="2863"/>
      <c r="K226" s="2863"/>
      <c r="L226" s="2863"/>
      <c r="M226" s="2863"/>
      <c r="N226" s="2863"/>
      <c r="O226" s="2863"/>
      <c r="P226" s="2863"/>
      <c r="Q226" s="2863"/>
      <c r="R226" s="2864"/>
    </row>
    <row r="227" spans="1:18" s="44" customFormat="1" x14ac:dyDescent="0.2">
      <c r="A227" s="2888" t="s">
        <v>1856</v>
      </c>
      <c r="B227" s="2889"/>
      <c r="C227" s="2889"/>
      <c r="D227" s="2890"/>
      <c r="E227" s="1997" t="s">
        <v>2663</v>
      </c>
      <c r="F227" s="2649" t="s">
        <v>2251</v>
      </c>
      <c r="G227" s="2885" t="s">
        <v>2253</v>
      </c>
      <c r="H227" s="2886"/>
      <c r="I227" s="2886"/>
      <c r="J227" s="2886"/>
      <c r="K227" s="2886"/>
      <c r="L227" s="2886"/>
      <c r="M227" s="2886"/>
      <c r="N227" s="2886"/>
      <c r="O227" s="2886"/>
      <c r="P227" s="2886"/>
      <c r="Q227" s="2886"/>
      <c r="R227" s="2887"/>
    </row>
    <row r="228" spans="1:18" s="23" customFormat="1" ht="13.5" customHeight="1" thickBot="1" x14ac:dyDescent="0.25">
      <c r="A228" s="208" t="str">
        <f>A3</f>
        <v>2012/13</v>
      </c>
      <c r="B228" s="218" t="str">
        <f>B3</f>
        <v>2013/14</v>
      </c>
      <c r="C228" s="370" t="str">
        <f>C3</f>
        <v>2014/15</v>
      </c>
      <c r="D228" s="93" t="str">
        <f>D3</f>
        <v>2015/16</v>
      </c>
      <c r="E228" s="370" t="s">
        <v>2664</v>
      </c>
      <c r="F228" s="42"/>
      <c r="G228" s="93" t="str">
        <f t="shared" ref="G228:Q228" si="283">G3</f>
        <v>2016/17</v>
      </c>
      <c r="H228" s="2005" t="str">
        <f t="shared" si="283"/>
        <v>%</v>
      </c>
      <c r="I228" s="370" t="str">
        <f t="shared" si="283"/>
        <v>2017/18</v>
      </c>
      <c r="J228" s="370" t="str">
        <f t="shared" si="283"/>
        <v>2018/19</v>
      </c>
      <c r="K228" s="370" t="str">
        <f t="shared" si="283"/>
        <v>2019/20</v>
      </c>
      <c r="L228" s="370" t="str">
        <f t="shared" si="283"/>
        <v>2020/21</v>
      </c>
      <c r="M228" s="370" t="str">
        <f t="shared" si="283"/>
        <v>2021/22</v>
      </c>
      <c r="N228" s="370" t="str">
        <f t="shared" si="283"/>
        <v>2022/23</v>
      </c>
      <c r="O228" s="370" t="str">
        <f t="shared" si="283"/>
        <v>2023/24</v>
      </c>
      <c r="P228" s="381" t="str">
        <f t="shared" si="283"/>
        <v>2024/25</v>
      </c>
      <c r="Q228" s="218" t="str">
        <f t="shared" si="283"/>
        <v>2025/26</v>
      </c>
      <c r="R228" s="549" t="str">
        <f t="shared" ref="R228" si="284">R3</f>
        <v>2026/27</v>
      </c>
    </row>
    <row r="229" spans="1:18" s="23" customFormat="1" ht="13.5" customHeight="1" x14ac:dyDescent="0.2">
      <c r="A229" s="268"/>
      <c r="B229" s="529"/>
      <c r="C229" s="529"/>
      <c r="D229" s="204"/>
      <c r="E229" s="531"/>
      <c r="F229" s="22"/>
      <c r="G229" s="204"/>
      <c r="H229" s="1702"/>
      <c r="I229" s="529"/>
      <c r="J229" s="529"/>
      <c r="K229" s="529"/>
      <c r="L229" s="529"/>
      <c r="M229" s="529"/>
      <c r="N229" s="529"/>
      <c r="O229" s="529"/>
      <c r="P229" s="531"/>
      <c r="Q229" s="529"/>
      <c r="R229" s="530"/>
    </row>
    <row r="230" spans="1:18" s="84" customFormat="1" x14ac:dyDescent="0.2">
      <c r="A230" s="107"/>
      <c r="B230" s="33"/>
      <c r="C230" s="33"/>
      <c r="D230" s="33"/>
      <c r="E230" s="1955"/>
      <c r="F230" s="365" t="s">
        <v>1832</v>
      </c>
      <c r="G230" s="33"/>
      <c r="H230" s="138"/>
      <c r="I230" s="33"/>
      <c r="J230" s="33"/>
      <c r="K230" s="33"/>
      <c r="L230" s="33"/>
      <c r="M230" s="33"/>
      <c r="N230" s="33"/>
      <c r="O230" s="33"/>
      <c r="P230" s="142"/>
      <c r="Q230" s="33"/>
      <c r="R230" s="114"/>
    </row>
    <row r="231" spans="1:18" s="84" customFormat="1" x14ac:dyDescent="0.2">
      <c r="A231" s="107"/>
      <c r="B231" s="33"/>
      <c r="C231" s="189"/>
      <c r="D231" s="187"/>
      <c r="E231" s="344"/>
      <c r="F231" s="1982"/>
      <c r="G231" s="189"/>
      <c r="H231" s="138"/>
      <c r="I231" s="187"/>
      <c r="J231" s="33"/>
      <c r="K231" s="33"/>
      <c r="L231" s="33"/>
      <c r="M231" s="33"/>
      <c r="N231" s="33"/>
      <c r="O231" s="187"/>
      <c r="P231" s="189"/>
      <c r="Q231" s="187"/>
      <c r="R231" s="188"/>
    </row>
    <row r="232" spans="1:18" s="84" customFormat="1" x14ac:dyDescent="0.2">
      <c r="A232" s="107"/>
      <c r="B232" s="33"/>
      <c r="C232" s="189"/>
      <c r="D232" s="187"/>
      <c r="E232" s="437"/>
      <c r="F232" s="1103" t="s">
        <v>3459</v>
      </c>
      <c r="G232" s="189"/>
      <c r="H232" s="138"/>
      <c r="I232" s="33"/>
      <c r="J232" s="33"/>
      <c r="K232" s="33"/>
      <c r="L232" s="33"/>
      <c r="M232" s="33"/>
      <c r="N232" s="33"/>
      <c r="O232" s="33"/>
      <c r="P232" s="142"/>
      <c r="Q232" s="33"/>
      <c r="R232" s="114"/>
    </row>
    <row r="233" spans="1:18" s="84" customFormat="1" x14ac:dyDescent="0.2">
      <c r="A233" s="107">
        <v>97000</v>
      </c>
      <c r="B233" s="33">
        <v>98100</v>
      </c>
      <c r="C233" s="189">
        <v>104000</v>
      </c>
      <c r="D233" s="187">
        <v>109500</v>
      </c>
      <c r="E233" s="343" t="s">
        <v>2491</v>
      </c>
      <c r="F233" s="443" t="s">
        <v>1811</v>
      </c>
      <c r="G233" s="189">
        <v>108200</v>
      </c>
      <c r="H233" s="138">
        <f t="shared" ref="H233:H245" si="285">IF(D233=G233,0,IF(D233=0,100,(G233-D233)/D233*100))</f>
        <v>-1.1872146118721461</v>
      </c>
      <c r="I233" s="33">
        <v>110000</v>
      </c>
      <c r="J233" s="33">
        <f>ROUNDUP(I233+(I233*Assumptions!I$5),-2)</f>
        <v>112800</v>
      </c>
      <c r="K233" s="33">
        <f>ROUNDUP(J233+(J233*Assumptions!J$5),-2)</f>
        <v>115700</v>
      </c>
      <c r="L233" s="33">
        <f>ROUNDUP(K233+(K233*Assumptions!K$5),-2)</f>
        <v>118600</v>
      </c>
      <c r="M233" s="33">
        <f>ROUNDUP(L233+(L233*Assumptions!L$5),-2)</f>
        <v>121000</v>
      </c>
      <c r="N233" s="33">
        <f>ROUNDUP(M233+(M233*Assumptions!M$5),-2)</f>
        <v>123500</v>
      </c>
      <c r="O233" s="33">
        <f>ROUNDUP(N233+(N233*Assumptions!N$5),-2)</f>
        <v>126000</v>
      </c>
      <c r="P233" s="142">
        <f>ROUNDUP(O233+(O233*Assumptions!O$5),-2)</f>
        <v>128600</v>
      </c>
      <c r="Q233" s="33">
        <f>ROUNDUP(P233+(P233*Assumptions!P$5),-2)</f>
        <v>131200</v>
      </c>
      <c r="R233" s="114">
        <f>ROUNDUP(Q233+(Q233*Assumptions!Q$5),-2)</f>
        <v>133900</v>
      </c>
    </row>
    <row r="234" spans="1:18" s="84" customFormat="1" x14ac:dyDescent="0.2">
      <c r="A234" s="107">
        <v>2400</v>
      </c>
      <c r="B234" s="33">
        <v>2800</v>
      </c>
      <c r="C234" s="189">
        <v>3600</v>
      </c>
      <c r="D234" s="187">
        <v>800</v>
      </c>
      <c r="E234" s="343" t="s">
        <v>2492</v>
      </c>
      <c r="F234" s="814" t="s">
        <v>1921</v>
      </c>
      <c r="G234" s="189">
        <v>4600</v>
      </c>
      <c r="H234" s="138">
        <f t="shared" si="285"/>
        <v>475</v>
      </c>
      <c r="I234" s="33">
        <v>4000</v>
      </c>
      <c r="J234" s="33">
        <f>ROUNDUP(I234+(I234*Assumptions!I$5),-2)</f>
        <v>4100</v>
      </c>
      <c r="K234" s="33">
        <f>ROUNDUP(J234+(J234*Assumptions!J$5),-2)</f>
        <v>4300</v>
      </c>
      <c r="L234" s="33">
        <f>ROUNDUP(K234+(K234*Assumptions!K$5),-2)</f>
        <v>4500</v>
      </c>
      <c r="M234" s="33">
        <f>ROUNDUP(L234+(L234*Assumptions!L$5),-2)</f>
        <v>4600</v>
      </c>
      <c r="N234" s="33">
        <f>ROUNDUP(M234+(M234*Assumptions!M$5),-2)</f>
        <v>4700</v>
      </c>
      <c r="O234" s="33">
        <f>ROUNDUP(N234+(N234*Assumptions!N$5),-2)</f>
        <v>4800</v>
      </c>
      <c r="P234" s="142">
        <f>ROUNDUP(O234+(O234*Assumptions!O$5),-2)</f>
        <v>4900</v>
      </c>
      <c r="Q234" s="33">
        <f>ROUNDUP(P234+(P234*Assumptions!P$5),-2)</f>
        <v>5000</v>
      </c>
      <c r="R234" s="114">
        <f>ROUNDUP(Q234+(Q234*Assumptions!Q$5),-2)</f>
        <v>5100</v>
      </c>
    </row>
    <row r="235" spans="1:18" s="84" customFormat="1" x14ac:dyDescent="0.2">
      <c r="A235" s="107">
        <v>3400</v>
      </c>
      <c r="B235" s="33">
        <f>9500+5000</f>
        <v>14500</v>
      </c>
      <c r="C235" s="189">
        <v>12400</v>
      </c>
      <c r="D235" s="187">
        <v>20200</v>
      </c>
      <c r="E235" s="343" t="s">
        <v>1577</v>
      </c>
      <c r="F235" s="814" t="s">
        <v>1955</v>
      </c>
      <c r="G235" s="189">
        <v>20400</v>
      </c>
      <c r="H235" s="138">
        <f t="shared" si="285"/>
        <v>0.99009900990099009</v>
      </c>
      <c r="I235" s="33">
        <v>20000</v>
      </c>
      <c r="J235" s="33">
        <f>ROUNDUP(I235+(I235*Assumptions!I$5),-2)</f>
        <v>20500</v>
      </c>
      <c r="K235" s="33">
        <f>ROUNDUP(J235+(J235*Assumptions!J$5),-2)</f>
        <v>21100</v>
      </c>
      <c r="L235" s="33">
        <f>ROUNDUP(K235+(K235*Assumptions!K$5),-2)</f>
        <v>21700</v>
      </c>
      <c r="M235" s="33">
        <f>ROUNDUP(L235+(L235*Assumptions!L$5),-2)</f>
        <v>22200</v>
      </c>
      <c r="N235" s="33">
        <f>ROUNDUP(M235+(M235*Assumptions!M$5),-2)</f>
        <v>22700</v>
      </c>
      <c r="O235" s="33">
        <f>ROUNDUP(N235+(N235*Assumptions!N$5),-2)</f>
        <v>23200</v>
      </c>
      <c r="P235" s="142">
        <f>ROUNDUP(O235+(O235*Assumptions!O$5),-2)</f>
        <v>23700</v>
      </c>
      <c r="Q235" s="33">
        <f>ROUNDUP(P235+(P235*Assumptions!P$5),-2)</f>
        <v>24200</v>
      </c>
      <c r="R235" s="114">
        <f>ROUNDUP(Q235+(Q235*Assumptions!Q$5),-2)</f>
        <v>24700</v>
      </c>
    </row>
    <row r="236" spans="1:18" s="84" customFormat="1" x14ac:dyDescent="0.2">
      <c r="A236" s="107">
        <v>11800</v>
      </c>
      <c r="B236" s="33">
        <v>11500</v>
      </c>
      <c r="C236" s="189">
        <v>22100</v>
      </c>
      <c r="D236" s="187">
        <v>26700</v>
      </c>
      <c r="E236" s="821" t="s">
        <v>5598</v>
      </c>
      <c r="F236" s="814" t="s">
        <v>4998</v>
      </c>
      <c r="G236" s="189">
        <v>25000</v>
      </c>
      <c r="H236" s="138">
        <f t="shared" si="285"/>
        <v>-6.3670411985018731</v>
      </c>
      <c r="I236" s="33">
        <v>26000</v>
      </c>
      <c r="J236" s="33">
        <f>ROUNDUP(I236+(I236*Assumptions!I$5),-2)</f>
        <v>26700</v>
      </c>
      <c r="K236" s="33">
        <f>ROUNDUP(J236+(J236*Assumptions!J$5),-2)</f>
        <v>27400</v>
      </c>
      <c r="L236" s="33">
        <f>ROUNDUP(K236+(K236*Assumptions!K$5),-2)</f>
        <v>28100</v>
      </c>
      <c r="M236" s="33">
        <f>ROUNDUP(L236+(L236*Assumptions!L$5),-2)</f>
        <v>28700</v>
      </c>
      <c r="N236" s="33">
        <f>ROUNDUP(M236+(M236*Assumptions!M$5),-2)</f>
        <v>29300</v>
      </c>
      <c r="O236" s="33">
        <f>ROUNDUP(N236+(N236*Assumptions!N$5),-2)</f>
        <v>29900</v>
      </c>
      <c r="P236" s="142">
        <f>ROUNDUP(O236+(O236*Assumptions!O$5),-2)</f>
        <v>30500</v>
      </c>
      <c r="Q236" s="33">
        <f>ROUNDUP(P236+(P236*Assumptions!P$5),-2)</f>
        <v>31200</v>
      </c>
      <c r="R236" s="114">
        <f>ROUNDUP(Q236+(Q236*Assumptions!Q$5),-2)</f>
        <v>31900</v>
      </c>
    </row>
    <row r="237" spans="1:18" s="84" customFormat="1" x14ac:dyDescent="0.2">
      <c r="A237" s="107">
        <v>18400</v>
      </c>
      <c r="B237" s="33">
        <v>19000</v>
      </c>
      <c r="C237" s="189">
        <v>18700</v>
      </c>
      <c r="D237" s="187">
        <v>18600</v>
      </c>
      <c r="E237" s="343" t="s">
        <v>2915</v>
      </c>
      <c r="F237" s="814" t="s">
        <v>648</v>
      </c>
      <c r="G237" s="189">
        <v>18400</v>
      </c>
      <c r="H237" s="138">
        <f t="shared" si="285"/>
        <v>-1.0752688172043012</v>
      </c>
      <c r="I237" s="33">
        <v>19000</v>
      </c>
      <c r="J237" s="33">
        <f>ROUNDUP(I237+(I237*Assumptions!I$5),-2)</f>
        <v>19500</v>
      </c>
      <c r="K237" s="33">
        <f>ROUNDUP(J237+(J237*Assumptions!J$5),-2)</f>
        <v>20000</v>
      </c>
      <c r="L237" s="33">
        <f>ROUNDUP(K237+(K237*Assumptions!K$5),-2)</f>
        <v>20500</v>
      </c>
      <c r="M237" s="33">
        <f>ROUNDUP(L237+(L237*Assumptions!L$5),-2)</f>
        <v>21000</v>
      </c>
      <c r="N237" s="33">
        <f>ROUNDUP(M237+(M237*Assumptions!M$5),-2)</f>
        <v>21500</v>
      </c>
      <c r="O237" s="33">
        <f>ROUNDUP(N237+(N237*Assumptions!N$5),-2)</f>
        <v>22000</v>
      </c>
      <c r="P237" s="142">
        <f>ROUNDUP(O237+(O237*Assumptions!O$5),-2)</f>
        <v>22500</v>
      </c>
      <c r="Q237" s="33">
        <f>ROUNDUP(P237+(P237*Assumptions!P$5),-2)</f>
        <v>23000</v>
      </c>
      <c r="R237" s="114">
        <f>ROUNDUP(Q237+(Q237*Assumptions!Q$5),-2)</f>
        <v>23500</v>
      </c>
    </row>
    <row r="238" spans="1:18" s="84" customFormat="1" x14ac:dyDescent="0.2">
      <c r="A238" s="107">
        <v>3600</v>
      </c>
      <c r="B238" s="33">
        <v>5000</v>
      </c>
      <c r="C238" s="189">
        <v>4800</v>
      </c>
      <c r="D238" s="187">
        <v>3600</v>
      </c>
      <c r="E238" s="343" t="s">
        <v>2916</v>
      </c>
      <c r="F238" s="443" t="s">
        <v>719</v>
      </c>
      <c r="G238" s="189">
        <v>4300</v>
      </c>
      <c r="H238" s="138">
        <f t="shared" si="285"/>
        <v>19.444444444444446</v>
      </c>
      <c r="I238" s="33">
        <v>5000</v>
      </c>
      <c r="J238" s="33">
        <f>ROUNDUP(I238+(I238*Assumptions!I$5),-2)</f>
        <v>5200</v>
      </c>
      <c r="K238" s="33">
        <f>ROUNDUP(J238+(J238*Assumptions!J$5),-2)</f>
        <v>5400</v>
      </c>
      <c r="L238" s="33">
        <f>ROUNDUP(K238+(K238*Assumptions!K$5),-2)</f>
        <v>5600</v>
      </c>
      <c r="M238" s="33">
        <f>ROUNDUP(L238+(L238*Assumptions!L$5),-2)</f>
        <v>5800</v>
      </c>
      <c r="N238" s="33">
        <f>ROUNDUP(M238+(M238*Assumptions!M$5),-2)</f>
        <v>6000</v>
      </c>
      <c r="O238" s="33">
        <f>ROUNDUP(N238+(N238*Assumptions!N$5),-2)</f>
        <v>6200</v>
      </c>
      <c r="P238" s="142">
        <f>ROUNDUP(O238+(O238*Assumptions!O$5),-2)</f>
        <v>6400</v>
      </c>
      <c r="Q238" s="33">
        <f>ROUNDUP(P238+(P238*Assumptions!P$5),-2)</f>
        <v>6600</v>
      </c>
      <c r="R238" s="114">
        <f>ROUNDUP(Q238+(Q238*Assumptions!Q$5),-2)</f>
        <v>6800</v>
      </c>
    </row>
    <row r="239" spans="1:18" s="84" customFormat="1" x14ac:dyDescent="0.2">
      <c r="A239" s="107">
        <v>-100</v>
      </c>
      <c r="B239" s="33">
        <v>4400</v>
      </c>
      <c r="C239" s="189">
        <v>31100</v>
      </c>
      <c r="D239" s="187">
        <v>29300</v>
      </c>
      <c r="E239" s="343" t="s">
        <v>2914</v>
      </c>
      <c r="F239" s="443" t="s">
        <v>2774</v>
      </c>
      <c r="G239" s="189">
        <v>36100</v>
      </c>
      <c r="H239" s="138">
        <f t="shared" si="285"/>
        <v>23.208191126279864</v>
      </c>
      <c r="I239" s="33">
        <v>31000</v>
      </c>
      <c r="J239" s="33">
        <f>ROUNDUP(I239+(I239*Assumptions!I$5),-2)</f>
        <v>31800</v>
      </c>
      <c r="K239" s="33">
        <f>ROUNDUP(J239+(J239*Assumptions!J$5),-2)</f>
        <v>32600</v>
      </c>
      <c r="L239" s="33">
        <f>ROUNDUP(K239+(K239*Assumptions!K$5),-2)</f>
        <v>33500</v>
      </c>
      <c r="M239" s="33">
        <f>ROUNDUP(L239+(L239*Assumptions!L$5),-2)</f>
        <v>34200</v>
      </c>
      <c r="N239" s="33">
        <f>ROUNDUP(M239+(M239*Assumptions!M$5),-2)</f>
        <v>34900</v>
      </c>
      <c r="O239" s="33">
        <f>ROUNDUP(N239+(N239*Assumptions!N$5),-2)</f>
        <v>35600</v>
      </c>
      <c r="P239" s="142">
        <f>ROUNDUP(O239+(O239*Assumptions!O$5),-2)</f>
        <v>36400</v>
      </c>
      <c r="Q239" s="33">
        <f>ROUNDUP(P239+(P239*Assumptions!P$5),-2)</f>
        <v>37200</v>
      </c>
      <c r="R239" s="114">
        <f>ROUNDUP(Q239+(Q239*Assumptions!Q$5),-2)</f>
        <v>38000</v>
      </c>
    </row>
    <row r="240" spans="1:18" s="84" customFormat="1" x14ac:dyDescent="0.2">
      <c r="A240" s="107">
        <v>17800</v>
      </c>
      <c r="B240" s="33">
        <v>20800</v>
      </c>
      <c r="C240" s="189">
        <v>19800</v>
      </c>
      <c r="D240" s="187">
        <v>18400</v>
      </c>
      <c r="E240" s="343" t="s">
        <v>1810</v>
      </c>
      <c r="F240" s="443" t="s">
        <v>1317</v>
      </c>
      <c r="G240" s="189">
        <v>24500</v>
      </c>
      <c r="H240" s="138">
        <f t="shared" si="285"/>
        <v>33.152173913043477</v>
      </c>
      <c r="I240" s="33">
        <v>25000</v>
      </c>
      <c r="J240" s="33">
        <f>ROUNDUP(I240+(I240*Assumptions!I$5),-2)</f>
        <v>25700</v>
      </c>
      <c r="K240" s="33">
        <f>ROUNDUP(J240+(J240*Assumptions!J$5),-2)</f>
        <v>26400</v>
      </c>
      <c r="L240" s="33">
        <f>ROUNDUP(K240+(K240*Assumptions!K$5),-2)</f>
        <v>27100</v>
      </c>
      <c r="M240" s="33">
        <f>ROUNDUP(L240+(L240*Assumptions!L$5),-2)</f>
        <v>27700</v>
      </c>
      <c r="N240" s="33">
        <f>ROUNDUP(M240+(M240*Assumptions!M$5),-2)</f>
        <v>28300</v>
      </c>
      <c r="O240" s="33">
        <f>ROUNDUP(N240+(N240*Assumptions!N$5),-2)</f>
        <v>28900</v>
      </c>
      <c r="P240" s="142">
        <f>ROUNDUP(O240+(O240*Assumptions!O$5),-2)</f>
        <v>29500</v>
      </c>
      <c r="Q240" s="33">
        <f>ROUNDUP(P240+(P240*Assumptions!P$5),-2)</f>
        <v>30100</v>
      </c>
      <c r="R240" s="114">
        <f>ROUNDUP(Q240+(Q240*Assumptions!Q$5),-2)</f>
        <v>30800</v>
      </c>
    </row>
    <row r="241" spans="1:18" s="84" customFormat="1" x14ac:dyDescent="0.2">
      <c r="A241" s="107">
        <v>34000</v>
      </c>
      <c r="B241" s="33">
        <v>34000</v>
      </c>
      <c r="C241" s="189">
        <v>34000</v>
      </c>
      <c r="D241" s="187">
        <v>39700</v>
      </c>
      <c r="E241" s="821" t="s">
        <v>6698</v>
      </c>
      <c r="F241" s="814" t="s">
        <v>6699</v>
      </c>
      <c r="G241" s="189">
        <v>34000</v>
      </c>
      <c r="H241" s="138">
        <f t="shared" si="285"/>
        <v>-14.357682619647354</v>
      </c>
      <c r="I241" s="33">
        <v>40000</v>
      </c>
      <c r="J241" s="33">
        <f>ROUNDUP(I241+(I241*Assumptions!I$5),-2)</f>
        <v>41000</v>
      </c>
      <c r="K241" s="33">
        <f>ROUNDUP(J241+(J241*Assumptions!J$5),-2)</f>
        <v>42100</v>
      </c>
      <c r="L241" s="33">
        <f>ROUNDUP(K241+(K241*Assumptions!K$5),-2)</f>
        <v>43200</v>
      </c>
      <c r="M241" s="33">
        <f>ROUNDUP(L241+(L241*Assumptions!L$5),-2)</f>
        <v>44100</v>
      </c>
      <c r="N241" s="33">
        <f>ROUNDUP(M241+(M241*Assumptions!M$5),-2)</f>
        <v>45000</v>
      </c>
      <c r="O241" s="33">
        <f>ROUNDUP(N241+(N241*Assumptions!N$5),-2)</f>
        <v>45900</v>
      </c>
      <c r="P241" s="142">
        <f>ROUNDUP(O241+(O241*Assumptions!O$5),-2)</f>
        <v>46900</v>
      </c>
      <c r="Q241" s="33">
        <f>ROUNDUP(P241+(P241*Assumptions!P$5),-2)</f>
        <v>47900</v>
      </c>
      <c r="R241" s="114">
        <f>ROUNDUP(Q241+(Q241*Assumptions!Q$5),-2)</f>
        <v>48900</v>
      </c>
    </row>
    <row r="242" spans="1:18" s="84" customFormat="1" x14ac:dyDescent="0.2">
      <c r="A242" s="107"/>
      <c r="B242" s="33"/>
      <c r="C242" s="189"/>
      <c r="D242" s="187"/>
      <c r="E242" s="821" t="s">
        <v>7129</v>
      </c>
      <c r="F242" s="953" t="s">
        <v>6596</v>
      </c>
      <c r="G242" s="1012">
        <f>12000+1000</f>
        <v>13000</v>
      </c>
      <c r="H242" s="138">
        <f t="shared" si="285"/>
        <v>100</v>
      </c>
      <c r="I242" s="33">
        <v>0</v>
      </c>
      <c r="J242" s="33">
        <v>0</v>
      </c>
      <c r="K242" s="33">
        <v>0</v>
      </c>
      <c r="L242" s="33">
        <v>0</v>
      </c>
      <c r="M242" s="33">
        <v>0</v>
      </c>
      <c r="N242" s="33">
        <v>0</v>
      </c>
      <c r="O242" s="33">
        <v>0</v>
      </c>
      <c r="P242" s="33">
        <v>0</v>
      </c>
      <c r="Q242" s="33">
        <v>0</v>
      </c>
      <c r="R242" s="33">
        <v>0</v>
      </c>
    </row>
    <row r="243" spans="1:18" s="84" customFormat="1" x14ac:dyDescent="0.2">
      <c r="A243" s="107">
        <v>4200</v>
      </c>
      <c r="B243" s="33">
        <v>3000</v>
      </c>
      <c r="C243" s="189">
        <v>1500</v>
      </c>
      <c r="D243" s="187">
        <v>0</v>
      </c>
      <c r="E243" s="343" t="s">
        <v>895</v>
      </c>
      <c r="F243" s="443" t="s">
        <v>1868</v>
      </c>
      <c r="G243" s="189">
        <v>3100</v>
      </c>
      <c r="H243" s="138">
        <f t="shared" si="285"/>
        <v>100</v>
      </c>
      <c r="I243" s="33">
        <v>2000</v>
      </c>
      <c r="J243" s="33">
        <f>ROUNDUP(I243+(I243*Assumptions!I$5),-2)</f>
        <v>2100</v>
      </c>
      <c r="K243" s="33">
        <f>ROUNDUP(J243+(J243*Assumptions!J$5),-2)</f>
        <v>2200</v>
      </c>
      <c r="L243" s="33">
        <f>ROUNDUP(K243+(K243*Assumptions!K$5),-2)</f>
        <v>2300</v>
      </c>
      <c r="M243" s="33">
        <f>ROUNDUP(L243+(L243*Assumptions!L$5),-2)</f>
        <v>2400</v>
      </c>
      <c r="N243" s="33">
        <f>ROUNDUP(M243+(M243*Assumptions!M$5),-2)</f>
        <v>2500</v>
      </c>
      <c r="O243" s="33">
        <f>ROUNDUP(N243+(N243*Assumptions!N$5),-2)</f>
        <v>2600</v>
      </c>
      <c r="P243" s="142">
        <f>ROUNDUP(O243+(O243*Assumptions!O$5),-2)</f>
        <v>2700</v>
      </c>
      <c r="Q243" s="33">
        <f>ROUNDUP(P243+(P243*Assumptions!P$5),-2)</f>
        <v>2800</v>
      </c>
      <c r="R243" s="114">
        <f>ROUNDUP(Q243+(Q243*Assumptions!Q$5),-2)</f>
        <v>2900</v>
      </c>
    </row>
    <row r="244" spans="1:18" s="84" customFormat="1" x14ac:dyDescent="0.2">
      <c r="A244" s="107">
        <v>10900</v>
      </c>
      <c r="B244" s="33">
        <v>21400</v>
      </c>
      <c r="C244" s="189">
        <v>14400</v>
      </c>
      <c r="D244" s="187">
        <v>15700</v>
      </c>
      <c r="E244" s="343" t="s">
        <v>2464</v>
      </c>
      <c r="F244" s="443" t="s">
        <v>2667</v>
      </c>
      <c r="G244" s="189">
        <f>15300-1000</f>
        <v>14300</v>
      </c>
      <c r="H244" s="138">
        <f t="shared" si="285"/>
        <v>-8.9171974522292992</v>
      </c>
      <c r="I244" s="33">
        <v>16000</v>
      </c>
      <c r="J244" s="33">
        <f>ROUNDUP(I244+(I244*Assumptions!I$5),-2)</f>
        <v>16400</v>
      </c>
      <c r="K244" s="33">
        <f>ROUNDUP(J244+(J244*Assumptions!J$5),-2)</f>
        <v>16900</v>
      </c>
      <c r="L244" s="33">
        <f>ROUNDUP(K244+(K244*Assumptions!K$5),-2)</f>
        <v>17400</v>
      </c>
      <c r="M244" s="33">
        <f>ROUNDUP(L244+(L244*Assumptions!L$5),-2)</f>
        <v>17800</v>
      </c>
      <c r="N244" s="33">
        <f>ROUNDUP(M244+(M244*Assumptions!M$5),-2)</f>
        <v>18200</v>
      </c>
      <c r="O244" s="33">
        <f>ROUNDUP(N244+(N244*Assumptions!N$5),-2)</f>
        <v>18600</v>
      </c>
      <c r="P244" s="142">
        <f>ROUNDUP(O244+(O244*Assumptions!O$5),-2)</f>
        <v>19000</v>
      </c>
      <c r="Q244" s="33">
        <f>ROUNDUP(P244+(P244*Assumptions!P$5),-2)</f>
        <v>19400</v>
      </c>
      <c r="R244" s="114">
        <f>ROUNDUP(Q244+(Q244*Assumptions!Q$5),-2)</f>
        <v>19800</v>
      </c>
    </row>
    <row r="245" spans="1:18" s="84" customFormat="1" x14ac:dyDescent="0.2">
      <c r="A245" s="107">
        <v>12500</v>
      </c>
      <c r="B245" s="33">
        <v>14800</v>
      </c>
      <c r="C245" s="189">
        <v>11000</v>
      </c>
      <c r="D245" s="187">
        <f>10000+8000</f>
        <v>18000</v>
      </c>
      <c r="E245" s="343" t="s">
        <v>1382</v>
      </c>
      <c r="F245" s="814" t="s">
        <v>3084</v>
      </c>
      <c r="G245" s="189">
        <v>16300</v>
      </c>
      <c r="H245" s="138">
        <f t="shared" si="285"/>
        <v>-9.4444444444444446</v>
      </c>
      <c r="I245" s="33">
        <v>16000</v>
      </c>
      <c r="J245" s="33">
        <f>ROUNDUP(I245+(I245*Assumptions!I$5),-2)</f>
        <v>16400</v>
      </c>
      <c r="K245" s="33">
        <f>ROUNDUP(J245+(J245*Assumptions!J$5),-2)</f>
        <v>16900</v>
      </c>
      <c r="L245" s="33">
        <f>ROUNDUP(K245+(K245*Assumptions!K$5),-2)</f>
        <v>17400</v>
      </c>
      <c r="M245" s="33">
        <f>ROUNDUP(L245+(L245*Assumptions!L$5),-2)</f>
        <v>17800</v>
      </c>
      <c r="N245" s="33">
        <f>ROUNDUP(M245+(M245*Assumptions!M$5),-2)</f>
        <v>18200</v>
      </c>
      <c r="O245" s="33">
        <f>ROUNDUP(N245+(N245*Assumptions!N$5),-2)</f>
        <v>18600</v>
      </c>
      <c r="P245" s="142">
        <f>ROUNDUP(O245+(O245*Assumptions!O$5),-2)</f>
        <v>19000</v>
      </c>
      <c r="Q245" s="33">
        <f>ROUNDUP(P245+(P245*Assumptions!P$5),-2)</f>
        <v>19400</v>
      </c>
      <c r="R245" s="114">
        <f>ROUNDUP(Q245+(Q245*Assumptions!Q$5),-2)</f>
        <v>19800</v>
      </c>
    </row>
    <row r="246" spans="1:18" s="84" customFormat="1" x14ac:dyDescent="0.2">
      <c r="A246" s="107"/>
      <c r="B246" s="33"/>
      <c r="C246" s="189"/>
      <c r="D246" s="187"/>
      <c r="E246" s="821"/>
      <c r="F246" s="814"/>
      <c r="G246" s="189"/>
      <c r="H246" s="138"/>
      <c r="I246" s="33"/>
      <c r="J246" s="33"/>
      <c r="K246" s="33"/>
      <c r="L246" s="33"/>
      <c r="M246" s="33"/>
      <c r="N246" s="33"/>
      <c r="O246" s="33"/>
      <c r="P246" s="142"/>
      <c r="Q246" s="33"/>
      <c r="R246" s="114"/>
    </row>
    <row r="247" spans="1:18" s="84" customFormat="1" x14ac:dyDescent="0.2">
      <c r="A247" s="107"/>
      <c r="B247" s="33"/>
      <c r="C247" s="189"/>
      <c r="D247" s="187"/>
      <c r="E247" s="821"/>
      <c r="F247" s="1103" t="s">
        <v>6730</v>
      </c>
      <c r="G247" s="189"/>
      <c r="H247" s="138"/>
      <c r="I247" s="33"/>
      <c r="J247" s="33"/>
      <c r="K247" s="33"/>
      <c r="L247" s="33"/>
      <c r="M247" s="33"/>
      <c r="N247" s="33"/>
      <c r="O247" s="33"/>
      <c r="P247" s="142"/>
      <c r="Q247" s="33"/>
      <c r="R247" s="114"/>
    </row>
    <row r="248" spans="1:18" s="84" customFormat="1" x14ac:dyDescent="0.2">
      <c r="A248" s="107">
        <v>21200</v>
      </c>
      <c r="B248" s="33">
        <v>24800</v>
      </c>
      <c r="C248" s="189">
        <v>29500</v>
      </c>
      <c r="D248" s="187">
        <v>51000</v>
      </c>
      <c r="E248" s="343" t="s">
        <v>2793</v>
      </c>
      <c r="F248" s="814" t="s">
        <v>6715</v>
      </c>
      <c r="G248" s="189">
        <f>23400+2500</f>
        <v>25900</v>
      </c>
      <c r="H248" s="138">
        <f t="shared" ref="H248:H254" si="286">IF(D248=G248,0,IF(D248=0,100,(G248-D248)/D248*100))</f>
        <v>-49.2156862745098</v>
      </c>
      <c r="I248" s="33">
        <f>ROUNDUP(G248+(G248*Assumptions!H$5),-2)</f>
        <v>26300</v>
      </c>
      <c r="J248" s="33">
        <f>ROUNDUP(I248+(I248*Assumptions!I$5),-2)</f>
        <v>27000</v>
      </c>
      <c r="K248" s="33">
        <f>ROUNDUP(J248+(J248*Assumptions!J$5),-2)</f>
        <v>27700</v>
      </c>
      <c r="L248" s="33">
        <f>ROUNDUP(K248+(K248*Assumptions!K$5),-2)</f>
        <v>28400</v>
      </c>
      <c r="M248" s="33">
        <f>ROUNDUP(L248+(L248*Assumptions!L$5),-2)</f>
        <v>29000</v>
      </c>
      <c r="N248" s="33">
        <f>ROUNDUP(M248+(M248*Assumptions!M$5),-2)</f>
        <v>29600</v>
      </c>
      <c r="O248" s="33">
        <f>ROUNDUP(N248+(N248*Assumptions!N$5),-2)</f>
        <v>30200</v>
      </c>
      <c r="P248" s="142">
        <f>ROUNDUP(O248+(O248*Assumptions!O$5),-2)</f>
        <v>30900</v>
      </c>
      <c r="Q248" s="33">
        <f>ROUNDUP(P248+(P248*Assumptions!P$5),-2)</f>
        <v>31600</v>
      </c>
      <c r="R248" s="114">
        <f>ROUNDUP(Q248+(Q248*Assumptions!Q$5),-2)</f>
        <v>32300</v>
      </c>
    </row>
    <row r="249" spans="1:18" s="84" customFormat="1" x14ac:dyDescent="0.2">
      <c r="A249" s="107">
        <v>7600</v>
      </c>
      <c r="B249" s="33">
        <f>9100+1800-400</f>
        <v>10500</v>
      </c>
      <c r="C249" s="189">
        <f>12900+900-400</f>
        <v>13400</v>
      </c>
      <c r="D249" s="187">
        <f>14900+1000+400</f>
        <v>16300</v>
      </c>
      <c r="E249" s="343" t="s">
        <v>1803</v>
      </c>
      <c r="F249" s="814" t="s">
        <v>6714</v>
      </c>
      <c r="G249" s="189">
        <v>9500</v>
      </c>
      <c r="H249" s="138">
        <f t="shared" si="286"/>
        <v>-41.717791411042946</v>
      </c>
      <c r="I249" s="33">
        <f>ROUNDUP(G249+(G249*Assumptions!H$5),-2)</f>
        <v>9700</v>
      </c>
      <c r="J249" s="33">
        <f>ROUNDUP(I249+(I249*Assumptions!I$5),-2)</f>
        <v>10000</v>
      </c>
      <c r="K249" s="33">
        <f>ROUNDUP(J249+(J249*Assumptions!J$5),-2)</f>
        <v>10300</v>
      </c>
      <c r="L249" s="33">
        <f>ROUNDUP(K249+(K249*Assumptions!K$5),-2)</f>
        <v>10600</v>
      </c>
      <c r="M249" s="33">
        <f>ROUNDUP(L249+(L249*Assumptions!L$5),-2)</f>
        <v>10900</v>
      </c>
      <c r="N249" s="33">
        <f>ROUNDUP(M249+(M249*Assumptions!M$5),-2)</f>
        <v>11200</v>
      </c>
      <c r="O249" s="33">
        <f>ROUNDUP(N249+(N249*Assumptions!N$5),-2)</f>
        <v>11500</v>
      </c>
      <c r="P249" s="142">
        <f>ROUNDUP(O249+(O249*Assumptions!O$5),-2)</f>
        <v>11800</v>
      </c>
      <c r="Q249" s="33">
        <f>ROUNDUP(P249+(P249*Assumptions!P$5),-2)</f>
        <v>12100</v>
      </c>
      <c r="R249" s="114">
        <f>ROUNDUP(Q249+(Q249*Assumptions!Q$5),-2)</f>
        <v>12400</v>
      </c>
    </row>
    <row r="250" spans="1:18" s="84" customFormat="1" x14ac:dyDescent="0.2">
      <c r="A250" s="107">
        <v>7100</v>
      </c>
      <c r="B250" s="132">
        <v>8400</v>
      </c>
      <c r="C250" s="189">
        <v>21600</v>
      </c>
      <c r="D250" s="187">
        <v>14500</v>
      </c>
      <c r="E250" s="343" t="s">
        <v>151</v>
      </c>
      <c r="F250" s="814" t="s">
        <v>6716</v>
      </c>
      <c r="G250" s="189">
        <f>15900+1500</f>
        <v>17400</v>
      </c>
      <c r="H250" s="138">
        <f t="shared" si="286"/>
        <v>20</v>
      </c>
      <c r="I250" s="33">
        <f>ROUNDUP(G250+(G250*Assumptions!H$5),-2)</f>
        <v>17700</v>
      </c>
      <c r="J250" s="33">
        <f>ROUNDUP(I250+(I250*Assumptions!I$5),-2)</f>
        <v>18200</v>
      </c>
      <c r="K250" s="33">
        <f>ROUNDUP(J250+(J250*Assumptions!J$5),-2)</f>
        <v>18700</v>
      </c>
      <c r="L250" s="33">
        <f>ROUNDUP(K250+(K250*Assumptions!K$5),-2)</f>
        <v>19200</v>
      </c>
      <c r="M250" s="33">
        <f>ROUNDUP(L250+(L250*Assumptions!L$5),-2)</f>
        <v>19600</v>
      </c>
      <c r="N250" s="33">
        <f>ROUNDUP(M250+(M250*Assumptions!M$5),-2)</f>
        <v>20000</v>
      </c>
      <c r="O250" s="33">
        <f>ROUNDUP(N250+(N250*Assumptions!N$5),-2)</f>
        <v>20400</v>
      </c>
      <c r="P250" s="142">
        <f>ROUNDUP(O250+(O250*Assumptions!O$5),-2)</f>
        <v>20900</v>
      </c>
      <c r="Q250" s="33">
        <f>ROUNDUP(P250+(P250*Assumptions!P$5),-2)</f>
        <v>21400</v>
      </c>
      <c r="R250" s="114">
        <f>ROUNDUP(Q250+(Q250*Assumptions!Q$5),-2)</f>
        <v>21900</v>
      </c>
    </row>
    <row r="251" spans="1:18" s="84" customFormat="1" x14ac:dyDescent="0.2">
      <c r="A251" s="107">
        <v>-7300</v>
      </c>
      <c r="B251" s="33">
        <v>14400</v>
      </c>
      <c r="C251" s="189">
        <v>7500</v>
      </c>
      <c r="D251" s="187">
        <v>30000</v>
      </c>
      <c r="E251" s="343" t="s">
        <v>152</v>
      </c>
      <c r="F251" s="814" t="s">
        <v>6717</v>
      </c>
      <c r="G251" s="189">
        <f>21300+1000</f>
        <v>22300</v>
      </c>
      <c r="H251" s="138">
        <f t="shared" si="286"/>
        <v>-25.666666666666664</v>
      </c>
      <c r="I251" s="33">
        <f>ROUNDUP(G251+(G251*Assumptions!H$5),-2)</f>
        <v>22700</v>
      </c>
      <c r="J251" s="33">
        <f>ROUNDUP(I251+(I251*Assumptions!I$5),-2)</f>
        <v>23300</v>
      </c>
      <c r="K251" s="33">
        <f>ROUNDUP(J251+(J251*Assumptions!J$5),-2)</f>
        <v>23900</v>
      </c>
      <c r="L251" s="33">
        <f>ROUNDUP(K251+(K251*Assumptions!K$5),-2)</f>
        <v>24500</v>
      </c>
      <c r="M251" s="33">
        <f>ROUNDUP(L251+(L251*Assumptions!L$5),-2)</f>
        <v>25000</v>
      </c>
      <c r="N251" s="33">
        <f>ROUNDUP(M251+(M251*Assumptions!M$5),-2)</f>
        <v>25500</v>
      </c>
      <c r="O251" s="33">
        <f>ROUNDUP(N251+(N251*Assumptions!N$5),-2)</f>
        <v>26100</v>
      </c>
      <c r="P251" s="142">
        <f>ROUNDUP(O251+(O251*Assumptions!O$5),-2)</f>
        <v>26700</v>
      </c>
      <c r="Q251" s="33">
        <f>ROUNDUP(P251+(P251*Assumptions!P$5),-2)</f>
        <v>27300</v>
      </c>
      <c r="R251" s="114">
        <f>ROUNDUP(Q251+(Q251*Assumptions!Q$5),-2)</f>
        <v>27900</v>
      </c>
    </row>
    <row r="252" spans="1:18" s="84" customFormat="1" x14ac:dyDescent="0.2">
      <c r="A252" s="107">
        <v>0</v>
      </c>
      <c r="B252" s="33">
        <v>0</v>
      </c>
      <c r="C252" s="189">
        <v>0</v>
      </c>
      <c r="D252" s="187">
        <v>1400</v>
      </c>
      <c r="E252" s="821" t="s">
        <v>6624</v>
      </c>
      <c r="F252" s="814" t="s">
        <v>6731</v>
      </c>
      <c r="G252" s="189">
        <v>20000</v>
      </c>
      <c r="H252" s="138">
        <f t="shared" si="286"/>
        <v>1328.5714285714287</v>
      </c>
      <c r="I252" s="33">
        <v>0</v>
      </c>
      <c r="J252" s="33">
        <v>0</v>
      </c>
      <c r="K252" s="33">
        <v>0</v>
      </c>
      <c r="L252" s="33">
        <v>0</v>
      </c>
      <c r="M252" s="33">
        <v>0</v>
      </c>
      <c r="N252" s="33">
        <v>0</v>
      </c>
      <c r="O252" s="33">
        <v>0</v>
      </c>
      <c r="P252" s="33">
        <v>0</v>
      </c>
      <c r="Q252" s="33">
        <v>0</v>
      </c>
      <c r="R252" s="114">
        <v>0</v>
      </c>
    </row>
    <row r="253" spans="1:18" s="84" customFormat="1" x14ac:dyDescent="0.2">
      <c r="A253" s="107"/>
      <c r="B253" s="33"/>
      <c r="C253" s="189"/>
      <c r="D253" s="187"/>
      <c r="E253" s="821" t="s">
        <v>7128</v>
      </c>
      <c r="F253" s="953" t="s">
        <v>7116</v>
      </c>
      <c r="G253" s="189">
        <v>1000</v>
      </c>
      <c r="H253" s="138">
        <f t="shared" si="286"/>
        <v>100</v>
      </c>
      <c r="I253" s="33">
        <v>0</v>
      </c>
      <c r="J253" s="33">
        <v>0</v>
      </c>
      <c r="K253" s="33">
        <v>0</v>
      </c>
      <c r="L253" s="33">
        <v>0</v>
      </c>
      <c r="M253" s="33">
        <v>0</v>
      </c>
      <c r="N253" s="33">
        <v>0</v>
      </c>
      <c r="O253" s="33">
        <v>0</v>
      </c>
      <c r="P253" s="33">
        <v>0</v>
      </c>
      <c r="Q253" s="33">
        <v>0</v>
      </c>
      <c r="R253" s="33">
        <v>0</v>
      </c>
    </row>
    <row r="254" spans="1:18" s="84" customFormat="1" x14ac:dyDescent="0.2">
      <c r="A254" s="107">
        <v>2000</v>
      </c>
      <c r="B254" s="33">
        <v>3300</v>
      </c>
      <c r="C254" s="189">
        <v>700</v>
      </c>
      <c r="D254" s="187">
        <v>2000</v>
      </c>
      <c r="E254" s="343" t="s">
        <v>132</v>
      </c>
      <c r="F254" s="443" t="s">
        <v>133</v>
      </c>
      <c r="G254" s="189">
        <v>2100</v>
      </c>
      <c r="H254" s="138">
        <f t="shared" si="286"/>
        <v>5</v>
      </c>
      <c r="I254" s="33">
        <f>ROUNDUP(G254+(G254*Assumptions!H$5),-2)</f>
        <v>2200</v>
      </c>
      <c r="J254" s="33">
        <f>ROUNDUP(I254+(I254*Assumptions!I$5),-2)</f>
        <v>2300</v>
      </c>
      <c r="K254" s="33">
        <f>ROUNDUP(J254+(J254*Assumptions!J$5),-2)</f>
        <v>2400</v>
      </c>
      <c r="L254" s="33">
        <f>ROUNDUP(K254+(K254*Assumptions!K$5),-2)</f>
        <v>2500</v>
      </c>
      <c r="M254" s="33">
        <f>ROUNDUP(L254+(L254*Assumptions!L$5),-2)</f>
        <v>2600</v>
      </c>
      <c r="N254" s="33">
        <f>ROUNDUP(M254+(M254*Assumptions!M$5),-2)</f>
        <v>2700</v>
      </c>
      <c r="O254" s="33">
        <f>ROUNDUP(N254+(N254*Assumptions!N$5),-2)</f>
        <v>2800</v>
      </c>
      <c r="P254" s="142">
        <f>ROUNDUP(O254+(O254*Assumptions!O$5),-2)</f>
        <v>2900</v>
      </c>
      <c r="Q254" s="33">
        <f>ROUNDUP(P254+(P254*Assumptions!P$5),-2)</f>
        <v>3000</v>
      </c>
      <c r="R254" s="114">
        <f>ROUNDUP(Q254+(Q254*Assumptions!Q$5),-2)</f>
        <v>3100</v>
      </c>
    </row>
    <row r="255" spans="1:18" s="84" customFormat="1" x14ac:dyDescent="0.2">
      <c r="A255" s="107"/>
      <c r="B255" s="33"/>
      <c r="C255" s="189"/>
      <c r="D255" s="187"/>
      <c r="E255" s="811"/>
      <c r="F255" s="814"/>
      <c r="G255" s="189"/>
      <c r="H255" s="138"/>
      <c r="I255" s="33"/>
      <c r="J255" s="33"/>
      <c r="K255" s="33"/>
      <c r="L255" s="33"/>
      <c r="M255" s="33"/>
      <c r="N255" s="33"/>
      <c r="O255" s="33"/>
      <c r="P255" s="142"/>
      <c r="Q255" s="33"/>
      <c r="R255" s="114"/>
    </row>
    <row r="256" spans="1:18" s="84" customFormat="1" x14ac:dyDescent="0.2">
      <c r="A256" s="107"/>
      <c r="B256" s="33"/>
      <c r="C256" s="189"/>
      <c r="D256" s="187"/>
      <c r="E256" s="437"/>
      <c r="F256" s="1103" t="s">
        <v>4999</v>
      </c>
      <c r="G256" s="189"/>
      <c r="H256" s="138"/>
      <c r="I256" s="33"/>
      <c r="J256" s="33"/>
      <c r="K256" s="33"/>
      <c r="L256" s="33"/>
      <c r="M256" s="33"/>
      <c r="N256" s="33"/>
      <c r="O256" s="33"/>
      <c r="P256" s="142"/>
      <c r="Q256" s="33"/>
      <c r="R256" s="114"/>
    </row>
    <row r="257" spans="1:18" s="84" customFormat="1" x14ac:dyDescent="0.2">
      <c r="A257" s="107">
        <v>8000</v>
      </c>
      <c r="B257" s="33">
        <v>11000</v>
      </c>
      <c r="C257" s="189">
        <f>16200+1500</f>
        <v>17700</v>
      </c>
      <c r="D257" s="187">
        <v>10700</v>
      </c>
      <c r="E257" s="343" t="s">
        <v>471</v>
      </c>
      <c r="F257" s="443" t="s">
        <v>2518</v>
      </c>
      <c r="G257" s="189">
        <v>8400</v>
      </c>
      <c r="H257" s="138">
        <f>IF(D257=G257,0,IF(D257=0,100,(G257-D257)/D257*100))</f>
        <v>-21.495327102803738</v>
      </c>
      <c r="I257" s="33">
        <v>12000</v>
      </c>
      <c r="J257" s="33">
        <f>ROUNDUP(I257+(I257*Assumptions!I$5),-2)</f>
        <v>12300</v>
      </c>
      <c r="K257" s="33">
        <f>ROUNDUP(J257+(J257*Assumptions!J$5),-2)</f>
        <v>12700</v>
      </c>
      <c r="L257" s="33">
        <f>ROUNDUP(K257+(K257*Assumptions!K$5),-2)</f>
        <v>13100</v>
      </c>
      <c r="M257" s="33">
        <f>ROUNDUP(L257+(L257*Assumptions!L$5),-2)</f>
        <v>13400</v>
      </c>
      <c r="N257" s="33">
        <f>ROUNDUP(M257+(M257*Assumptions!M$5),-2)</f>
        <v>13700</v>
      </c>
      <c r="O257" s="33">
        <f>ROUNDUP(N257+(N257*Assumptions!N$5),-2)</f>
        <v>14000</v>
      </c>
      <c r="P257" s="142">
        <f>ROUNDUP(O257+(O257*Assumptions!O$5),-2)</f>
        <v>14300</v>
      </c>
      <c r="Q257" s="33">
        <f>ROUNDUP(P257+(P257*Assumptions!P$5),-2)</f>
        <v>14600</v>
      </c>
      <c r="R257" s="114">
        <f>ROUNDUP(Q257+(Q257*Assumptions!Q$5),-2)</f>
        <v>14900</v>
      </c>
    </row>
    <row r="258" spans="1:18" s="84" customFormat="1" x14ac:dyDescent="0.2">
      <c r="A258" s="107"/>
      <c r="B258" s="33"/>
      <c r="C258" s="189"/>
      <c r="D258" s="187"/>
      <c r="E258" s="344"/>
      <c r="F258" s="443"/>
      <c r="G258" s="189"/>
      <c r="H258" s="138"/>
      <c r="I258" s="33"/>
      <c r="J258" s="33"/>
      <c r="K258" s="33"/>
      <c r="L258" s="33"/>
      <c r="M258" s="33"/>
      <c r="N258" s="33"/>
      <c r="O258" s="33"/>
      <c r="P258" s="142"/>
      <c r="Q258" s="33"/>
      <c r="R258" s="114"/>
    </row>
    <row r="259" spans="1:18" s="92" customFormat="1" x14ac:dyDescent="0.2">
      <c r="A259" s="70"/>
      <c r="B259" s="64"/>
      <c r="C259" s="193"/>
      <c r="D259" s="187"/>
      <c r="E259" s="237"/>
      <c r="F259" s="64" t="s">
        <v>1130</v>
      </c>
      <c r="G259" s="193"/>
      <c r="H259" s="138"/>
      <c r="I259" s="64"/>
      <c r="J259" s="64"/>
      <c r="K259" s="64"/>
      <c r="L259" s="64"/>
      <c r="M259" s="64"/>
      <c r="N259" s="64"/>
      <c r="O259" s="64"/>
      <c r="P259" s="142"/>
      <c r="Q259" s="33"/>
      <c r="R259" s="114"/>
    </row>
    <row r="260" spans="1:18" s="84" customFormat="1" x14ac:dyDescent="0.2">
      <c r="A260" s="107">
        <v>100</v>
      </c>
      <c r="B260" s="33">
        <v>0</v>
      </c>
      <c r="C260" s="142">
        <v>0</v>
      </c>
      <c r="D260" s="187">
        <v>0</v>
      </c>
      <c r="E260" s="343" t="s">
        <v>760</v>
      </c>
      <c r="F260" s="33" t="s">
        <v>2454</v>
      </c>
      <c r="G260" s="189">
        <v>0</v>
      </c>
      <c r="H260" s="138">
        <f>IF(D260=G260,0,IF(D260=0,100,(G260-D260)/D260*100))</f>
        <v>0</v>
      </c>
      <c r="I260" s="33">
        <v>0</v>
      </c>
      <c r="J260" s="33">
        <v>0</v>
      </c>
      <c r="K260" s="33">
        <v>0</v>
      </c>
      <c r="L260" s="33">
        <v>0</v>
      </c>
      <c r="M260" s="33">
        <v>0</v>
      </c>
      <c r="N260" s="33">
        <v>0</v>
      </c>
      <c r="O260" s="33">
        <v>0</v>
      </c>
      <c r="P260" s="142">
        <v>0</v>
      </c>
      <c r="Q260" s="33">
        <v>0</v>
      </c>
      <c r="R260" s="114">
        <v>0</v>
      </c>
    </row>
    <row r="261" spans="1:18" s="84" customFormat="1" x14ac:dyDescent="0.2">
      <c r="A261" s="107"/>
      <c r="B261" s="33"/>
      <c r="C261" s="142"/>
      <c r="D261" s="187"/>
      <c r="E261" s="344"/>
      <c r="F261" s="142"/>
      <c r="G261" s="189"/>
      <c r="H261" s="138"/>
      <c r="I261" s="33"/>
      <c r="J261" s="33"/>
      <c r="K261" s="33"/>
      <c r="L261" s="33"/>
      <c r="M261" s="33"/>
      <c r="N261" s="33"/>
      <c r="O261" s="33"/>
      <c r="P261" s="142"/>
      <c r="Q261" s="33"/>
      <c r="R261" s="114"/>
    </row>
    <row r="262" spans="1:18" s="84" customFormat="1" x14ac:dyDescent="0.2">
      <c r="A262" s="107"/>
      <c r="B262" s="33"/>
      <c r="C262" s="739"/>
      <c r="D262" s="187"/>
      <c r="E262" s="437"/>
      <c r="F262" s="439" t="s">
        <v>346</v>
      </c>
      <c r="G262" s="189"/>
      <c r="H262" s="138"/>
      <c r="I262" s="33"/>
      <c r="J262" s="33"/>
      <c r="K262" s="33"/>
      <c r="L262" s="33"/>
      <c r="M262" s="33"/>
      <c r="N262" s="33"/>
      <c r="O262" s="33"/>
      <c r="P262" s="142"/>
      <c r="Q262" s="33"/>
      <c r="R262" s="114"/>
    </row>
    <row r="263" spans="1:18" s="84" customFormat="1" x14ac:dyDescent="0.2">
      <c r="A263" s="107">
        <v>3857600</v>
      </c>
      <c r="B263" s="33">
        <v>4064400</v>
      </c>
      <c r="C263" s="189">
        <v>4290200</v>
      </c>
      <c r="D263" s="187">
        <v>4278800</v>
      </c>
      <c r="E263" s="343" t="s">
        <v>673</v>
      </c>
      <c r="F263" s="443" t="s">
        <v>1598</v>
      </c>
      <c r="G263" s="189">
        <f>4344900+84000</f>
        <v>4428900</v>
      </c>
      <c r="H263" s="138">
        <f>IF(D263=G263,0,IF(D263=0,100,(G263-D263)/D263*100))</f>
        <v>3.5079928952042629</v>
      </c>
      <c r="I263" s="33">
        <f>ROUNDUP(G263+(G263*Assumptions!H$60),-2)</f>
        <v>4517500</v>
      </c>
      <c r="J263" s="33">
        <f>ROUNDUP(I263+(I263*Assumptions!I$60),-2)</f>
        <v>4630500</v>
      </c>
      <c r="K263" s="33">
        <f>ROUNDUP(J263+(J263*Assumptions!J$60),-2)</f>
        <v>4746300</v>
      </c>
      <c r="L263" s="33">
        <f>ROUNDUP(K263+(K263*Assumptions!K$60),-2)</f>
        <v>4865000</v>
      </c>
      <c r="M263" s="33">
        <f>ROUNDUP(L263+(L263*Assumptions!L$60),-2)</f>
        <v>5011000</v>
      </c>
      <c r="N263" s="33">
        <f>ROUNDUP(M263+(M263*Assumptions!M$60),-2)</f>
        <v>5161400</v>
      </c>
      <c r="O263" s="33">
        <f>ROUNDUP(N263+(N263*Assumptions!N$60),-2)</f>
        <v>5316300</v>
      </c>
      <c r="P263" s="142">
        <f>ROUNDUP(O263+(O263*Assumptions!O$60),-2)</f>
        <v>5475800</v>
      </c>
      <c r="Q263" s="33">
        <f>ROUNDUP(P263+(P263*Assumptions!P$60),-2)</f>
        <v>5640100</v>
      </c>
      <c r="R263" s="114">
        <f>ROUNDUP(Q263+(Q263*Assumptions!Q$60),-2)</f>
        <v>5809400</v>
      </c>
    </row>
    <row r="264" spans="1:18" s="84" customFormat="1" x14ac:dyDescent="0.2">
      <c r="A264" s="107">
        <v>1285800</v>
      </c>
      <c r="B264" s="33">
        <v>1354800</v>
      </c>
      <c r="C264" s="189">
        <v>1430100</v>
      </c>
      <c r="D264" s="187">
        <v>1424300</v>
      </c>
      <c r="E264" s="343" t="s">
        <v>2761</v>
      </c>
      <c r="F264" s="443" t="s">
        <v>2704</v>
      </c>
      <c r="G264" s="189">
        <v>1457800</v>
      </c>
      <c r="H264" s="138">
        <f>IF(D264=G264,0,IF(D264=0,100,(G264-D264)/D264*100))</f>
        <v>2.3520325774064452</v>
      </c>
      <c r="I264" s="33">
        <f>ROUNDUP(G264+(G264*Assumptions!H$60),-2)</f>
        <v>1487000</v>
      </c>
      <c r="J264" s="33">
        <f>ROUNDUP(I264+(I264*Assumptions!I$60),-2)</f>
        <v>1524200</v>
      </c>
      <c r="K264" s="33">
        <f>ROUNDUP(J264+(J264*Assumptions!J$60),-2)</f>
        <v>1562400</v>
      </c>
      <c r="L264" s="33">
        <f>ROUNDUP(K264+(K264*Assumptions!K$60),-2)</f>
        <v>1601500</v>
      </c>
      <c r="M264" s="33">
        <f>ROUNDUP(L264+(L264*Assumptions!L$60),-2)</f>
        <v>1649600</v>
      </c>
      <c r="N264" s="33">
        <f>ROUNDUP(M264+(M264*Assumptions!M$60),-2)</f>
        <v>1699100</v>
      </c>
      <c r="O264" s="33">
        <f>ROUNDUP(N264+(N264*Assumptions!N$60),-2)</f>
        <v>1750100</v>
      </c>
      <c r="P264" s="142">
        <f>ROUNDUP(O264+(O264*Assumptions!O$60),-2)</f>
        <v>1802700</v>
      </c>
      <c r="Q264" s="33">
        <f>ROUNDUP(P264+(P264*Assumptions!P$60),-2)</f>
        <v>1856800</v>
      </c>
      <c r="R264" s="114">
        <f>ROUNDUP(Q264+(Q264*Assumptions!Q$60),-2)</f>
        <v>1912600</v>
      </c>
    </row>
    <row r="265" spans="1:18" s="84" customFormat="1" x14ac:dyDescent="0.2">
      <c r="A265" s="107"/>
      <c r="B265" s="33"/>
      <c r="C265" s="189"/>
      <c r="D265" s="187"/>
      <c r="E265" s="445"/>
      <c r="F265" s="443"/>
      <c r="G265" s="189"/>
      <c r="H265" s="138"/>
      <c r="I265" s="33"/>
      <c r="J265" s="33"/>
      <c r="K265" s="33"/>
      <c r="L265" s="33"/>
      <c r="M265" s="33"/>
      <c r="N265" s="33"/>
      <c r="O265" s="33"/>
      <c r="P265" s="142"/>
      <c r="Q265" s="33"/>
      <c r="R265" s="114"/>
    </row>
    <row r="266" spans="1:18" s="84" customFormat="1" x14ac:dyDescent="0.2">
      <c r="A266" s="107"/>
      <c r="B266" s="33"/>
      <c r="C266" s="189"/>
      <c r="D266" s="187"/>
      <c r="E266" s="437"/>
      <c r="F266" s="1103" t="s">
        <v>5004</v>
      </c>
      <c r="G266" s="189"/>
      <c r="H266" s="138"/>
      <c r="I266" s="33"/>
      <c r="J266" s="33"/>
      <c r="K266" s="33"/>
      <c r="L266" s="33"/>
      <c r="M266" s="33"/>
      <c r="N266" s="33"/>
      <c r="O266" s="33"/>
      <c r="P266" s="142"/>
      <c r="Q266" s="33"/>
      <c r="R266" s="114"/>
    </row>
    <row r="267" spans="1:18" s="84" customFormat="1" x14ac:dyDescent="0.2">
      <c r="A267" s="107">
        <v>47900</v>
      </c>
      <c r="B267" s="33">
        <v>45400</v>
      </c>
      <c r="C267" s="189">
        <v>35500</v>
      </c>
      <c r="D267" s="187">
        <v>0</v>
      </c>
      <c r="E267" s="343" t="s">
        <v>2112</v>
      </c>
      <c r="F267" s="814" t="s">
        <v>6186</v>
      </c>
      <c r="G267" s="189">
        <v>0</v>
      </c>
      <c r="H267" s="138">
        <f t="shared" ref="H267:H275" si="287">IF(D267=G267,0,IF(D267=0,100,(G267-D267)/D267*100))</f>
        <v>0</v>
      </c>
      <c r="I267" s="33">
        <v>0</v>
      </c>
      <c r="J267" s="33">
        <f>ROUNDUP(I267+(I267*Assumptions!I$5),-2)</f>
        <v>0</v>
      </c>
      <c r="K267" s="33">
        <f>ROUNDUP(J267+(J267*Assumptions!J$5),-2)</f>
        <v>0</v>
      </c>
      <c r="L267" s="33">
        <f>ROUNDUP(K267+(K267*Assumptions!K$5),-2)</f>
        <v>0</v>
      </c>
      <c r="M267" s="33">
        <f>ROUNDUP(L267+(L267*Assumptions!L$5),-2)</f>
        <v>0</v>
      </c>
      <c r="N267" s="33">
        <f>ROUNDUP(M267+(M267*Assumptions!M$5),-2)</f>
        <v>0</v>
      </c>
      <c r="O267" s="33">
        <f>ROUNDUP(N267+(N267*Assumptions!N$5),-2)</f>
        <v>0</v>
      </c>
      <c r="P267" s="142">
        <f>ROUNDUP(O267+(O267*Assumptions!O$5),-2)</f>
        <v>0</v>
      </c>
      <c r="Q267" s="33">
        <f>ROUNDUP(P267+(P267*Assumptions!P$5),-2)</f>
        <v>0</v>
      </c>
      <c r="R267" s="114">
        <f>ROUNDUP(Q267+(Q267*Assumptions!Q$5),-2)</f>
        <v>0</v>
      </c>
    </row>
    <row r="268" spans="1:18" s="84" customFormat="1" x14ac:dyDescent="0.2">
      <c r="A268" s="107">
        <v>0</v>
      </c>
      <c r="B268" s="33">
        <v>100</v>
      </c>
      <c r="C268" s="189">
        <v>200</v>
      </c>
      <c r="D268" s="187">
        <v>0</v>
      </c>
      <c r="E268" s="343" t="s">
        <v>2113</v>
      </c>
      <c r="F268" s="814" t="s">
        <v>6185</v>
      </c>
      <c r="G268" s="189">
        <v>600</v>
      </c>
      <c r="H268" s="138">
        <f t="shared" si="287"/>
        <v>100</v>
      </c>
      <c r="I268" s="33">
        <v>600</v>
      </c>
      <c r="J268" s="33">
        <f>ROUNDUP(I268+(I268*Assumptions!I$5),-2)</f>
        <v>700</v>
      </c>
      <c r="K268" s="33">
        <f>ROUNDUP(J268+(J268*Assumptions!J$5),-2)</f>
        <v>800</v>
      </c>
      <c r="L268" s="33">
        <f>ROUNDUP(K268+(K268*Assumptions!K$5),-2)</f>
        <v>900</v>
      </c>
      <c r="M268" s="33">
        <f>ROUNDUP(L268+(L268*Assumptions!L$5),-2)</f>
        <v>1000</v>
      </c>
      <c r="N268" s="33">
        <f>ROUNDUP(M268+(M268*Assumptions!M$5),-2)</f>
        <v>1100</v>
      </c>
      <c r="O268" s="33">
        <f>ROUNDUP(N268+(N268*Assumptions!N$5),-2)</f>
        <v>1200</v>
      </c>
      <c r="P268" s="142">
        <f>ROUNDUP(O268+(O268*Assumptions!O$5),-2)</f>
        <v>1300</v>
      </c>
      <c r="Q268" s="33">
        <f>ROUNDUP(P268+(P268*Assumptions!P$5),-2)</f>
        <v>1400</v>
      </c>
      <c r="R268" s="114">
        <f>ROUNDUP(Q268+(Q268*Assumptions!Q$5),-2)</f>
        <v>1500</v>
      </c>
    </row>
    <row r="269" spans="1:18" s="84" customFormat="1" x14ac:dyDescent="0.2">
      <c r="A269" s="107">
        <v>200</v>
      </c>
      <c r="B269" s="33">
        <v>500</v>
      </c>
      <c r="C269" s="189">
        <v>300</v>
      </c>
      <c r="D269" s="187">
        <v>200</v>
      </c>
      <c r="E269" s="343" t="s">
        <v>2114</v>
      </c>
      <c r="F269" s="814" t="s">
        <v>5009</v>
      </c>
      <c r="G269" s="189">
        <v>500</v>
      </c>
      <c r="H269" s="138">
        <f t="shared" si="287"/>
        <v>150</v>
      </c>
      <c r="I269" s="33">
        <v>500</v>
      </c>
      <c r="J269" s="33">
        <f>ROUNDUP(I269+(I269*Assumptions!I$5),-2)</f>
        <v>600</v>
      </c>
      <c r="K269" s="33">
        <f>ROUNDUP(J269+(J269*Assumptions!J$5),-2)</f>
        <v>700</v>
      </c>
      <c r="L269" s="33">
        <f>ROUNDUP(K269+(K269*Assumptions!K$5),-2)</f>
        <v>800</v>
      </c>
      <c r="M269" s="33">
        <f>ROUNDUP(L269+(L269*Assumptions!L$5),-2)</f>
        <v>900</v>
      </c>
      <c r="N269" s="33">
        <f>ROUNDUP(M269+(M269*Assumptions!M$5),-2)</f>
        <v>1000</v>
      </c>
      <c r="O269" s="33">
        <f>ROUNDUP(N269+(N269*Assumptions!N$5),-2)</f>
        <v>1100</v>
      </c>
      <c r="P269" s="142">
        <f>ROUNDUP(O269+(O269*Assumptions!O$5),-2)</f>
        <v>1200</v>
      </c>
      <c r="Q269" s="33">
        <f>ROUNDUP(P269+(P269*Assumptions!P$5),-2)</f>
        <v>1300</v>
      </c>
      <c r="R269" s="114">
        <f>ROUNDUP(Q269+(Q269*Assumptions!Q$5),-2)</f>
        <v>1400</v>
      </c>
    </row>
    <row r="270" spans="1:18" s="84" customFormat="1" x14ac:dyDescent="0.2">
      <c r="A270" s="107">
        <v>600</v>
      </c>
      <c r="B270" s="33">
        <v>700</v>
      </c>
      <c r="C270" s="189">
        <v>800</v>
      </c>
      <c r="D270" s="187">
        <v>700</v>
      </c>
      <c r="E270" s="343" t="s">
        <v>2115</v>
      </c>
      <c r="F270" s="814" t="s">
        <v>5010</v>
      </c>
      <c r="G270" s="189">
        <v>500</v>
      </c>
      <c r="H270" s="138">
        <f t="shared" si="287"/>
        <v>-28.571428571428569</v>
      </c>
      <c r="I270" s="33">
        <v>500</v>
      </c>
      <c r="J270" s="33">
        <f>ROUNDUP(I270+(I270*Assumptions!I$5),-2)</f>
        <v>600</v>
      </c>
      <c r="K270" s="33">
        <f>ROUNDUP(J270+(J270*Assumptions!J$5),-2)</f>
        <v>700</v>
      </c>
      <c r="L270" s="33">
        <f>ROUNDUP(K270+(K270*Assumptions!K$5),-2)</f>
        <v>800</v>
      </c>
      <c r="M270" s="33">
        <f>ROUNDUP(L270+(L270*Assumptions!L$5),-2)</f>
        <v>900</v>
      </c>
      <c r="N270" s="33">
        <f>ROUNDUP(M270+(M270*Assumptions!M$5),-2)</f>
        <v>1000</v>
      </c>
      <c r="O270" s="33">
        <f>ROUNDUP(N270+(N270*Assumptions!N$5),-2)</f>
        <v>1100</v>
      </c>
      <c r="P270" s="142">
        <f>ROUNDUP(O270+(O270*Assumptions!O$5),-2)</f>
        <v>1200</v>
      </c>
      <c r="Q270" s="33">
        <f>ROUNDUP(P270+(P270*Assumptions!P$5),-2)</f>
        <v>1300</v>
      </c>
      <c r="R270" s="114">
        <f>ROUNDUP(Q270+(Q270*Assumptions!Q$5),-2)</f>
        <v>1400</v>
      </c>
    </row>
    <row r="271" spans="1:18" s="84" customFormat="1" x14ac:dyDescent="0.2">
      <c r="A271" s="107">
        <v>0</v>
      </c>
      <c r="B271" s="33">
        <v>11400</v>
      </c>
      <c r="C271" s="189">
        <v>9300</v>
      </c>
      <c r="D271" s="187">
        <v>9800</v>
      </c>
      <c r="E271" s="811" t="s">
        <v>3346</v>
      </c>
      <c r="F271" s="814" t="s">
        <v>3347</v>
      </c>
      <c r="G271" s="189">
        <f>10000+1000</f>
        <v>11000</v>
      </c>
      <c r="H271" s="138">
        <f t="shared" si="287"/>
        <v>12.244897959183673</v>
      </c>
      <c r="I271" s="33">
        <v>10000</v>
      </c>
      <c r="J271" s="33">
        <f>ROUNDUP(I271+(I271*Assumptions!I$5),-2)</f>
        <v>10300</v>
      </c>
      <c r="K271" s="33">
        <f>ROUNDUP(J271+(J271*Assumptions!J$5),-2)</f>
        <v>10600</v>
      </c>
      <c r="L271" s="33">
        <f>ROUNDUP(K271+(K271*Assumptions!K$5),-2)</f>
        <v>10900</v>
      </c>
      <c r="M271" s="33">
        <f>ROUNDUP(L271+(L271*Assumptions!L$5),-2)</f>
        <v>11200</v>
      </c>
      <c r="N271" s="33">
        <f>ROUNDUP(M271+(M271*Assumptions!M$5),-2)</f>
        <v>11500</v>
      </c>
      <c r="O271" s="33">
        <f>ROUNDUP(N271+(N271*Assumptions!N$5),-2)</f>
        <v>11800</v>
      </c>
      <c r="P271" s="142">
        <f>ROUNDUP(O271+(O271*Assumptions!O$5),-2)</f>
        <v>12100</v>
      </c>
      <c r="Q271" s="33">
        <f>ROUNDUP(P271+(P271*Assumptions!P$5),-2)</f>
        <v>12400</v>
      </c>
      <c r="R271" s="114">
        <f>ROUNDUP(Q271+(Q271*Assumptions!Q$5),-2)</f>
        <v>12700</v>
      </c>
    </row>
    <row r="272" spans="1:18" s="84" customFormat="1" x14ac:dyDescent="0.2">
      <c r="A272" s="107">
        <v>0</v>
      </c>
      <c r="B272" s="33">
        <v>0</v>
      </c>
      <c r="C272" s="189">
        <v>0</v>
      </c>
      <c r="D272" s="187">
        <v>0</v>
      </c>
      <c r="E272" s="811" t="s">
        <v>6428</v>
      </c>
      <c r="F272" s="953" t="s">
        <v>6171</v>
      </c>
      <c r="G272" s="189">
        <v>1000</v>
      </c>
      <c r="H272" s="138">
        <f t="shared" si="287"/>
        <v>100</v>
      </c>
      <c r="I272" s="33">
        <v>1000</v>
      </c>
      <c r="J272" s="33">
        <f>ROUNDUP(I272+(I272*Assumptions!I$5),-2)</f>
        <v>1100</v>
      </c>
      <c r="K272" s="33">
        <f>ROUNDUP(J272+(J272*Assumptions!J$5),-2)</f>
        <v>1200</v>
      </c>
      <c r="L272" s="33">
        <f>ROUNDUP(K272+(K272*Assumptions!K$5),-2)</f>
        <v>1300</v>
      </c>
      <c r="M272" s="33">
        <f>ROUNDUP(L272+(L272*Assumptions!L$5),-2)</f>
        <v>1400</v>
      </c>
      <c r="N272" s="33">
        <f>ROUNDUP(M272+(M272*Assumptions!M$5),-2)</f>
        <v>1500</v>
      </c>
      <c r="O272" s="33">
        <f>ROUNDUP(N272+(N272*Assumptions!N$5),-2)</f>
        <v>1600</v>
      </c>
      <c r="P272" s="142">
        <f>ROUNDUP(O272+(O272*Assumptions!O$5),-2)</f>
        <v>1700</v>
      </c>
      <c r="Q272" s="33">
        <f>ROUNDUP(P272+(P272*Assumptions!P$5),-2)</f>
        <v>1800</v>
      </c>
      <c r="R272" s="114">
        <f>ROUNDUP(Q272+(Q272*Assumptions!Q$5),-2)</f>
        <v>1900</v>
      </c>
    </row>
    <row r="273" spans="1:18" s="84" customFormat="1" x14ac:dyDescent="0.2">
      <c r="A273" s="107">
        <v>0</v>
      </c>
      <c r="B273" s="33">
        <v>0</v>
      </c>
      <c r="C273" s="189">
        <v>0</v>
      </c>
      <c r="D273" s="187">
        <v>0</v>
      </c>
      <c r="E273" s="811" t="s">
        <v>6429</v>
      </c>
      <c r="F273" s="953" t="s">
        <v>6172</v>
      </c>
      <c r="G273" s="189">
        <v>1000</v>
      </c>
      <c r="H273" s="138">
        <f t="shared" si="287"/>
        <v>100</v>
      </c>
      <c r="I273" s="33">
        <v>1000</v>
      </c>
      <c r="J273" s="33">
        <f>ROUNDUP(I273+(I273*Assumptions!I$5),-2)</f>
        <v>1100</v>
      </c>
      <c r="K273" s="33">
        <f>ROUNDUP(J273+(J273*Assumptions!J$5),-2)</f>
        <v>1200</v>
      </c>
      <c r="L273" s="33">
        <f>ROUNDUP(K273+(K273*Assumptions!K$5),-2)</f>
        <v>1300</v>
      </c>
      <c r="M273" s="33">
        <f>ROUNDUP(L273+(L273*Assumptions!L$5),-2)</f>
        <v>1400</v>
      </c>
      <c r="N273" s="33">
        <f>ROUNDUP(M273+(M273*Assumptions!M$5),-2)</f>
        <v>1500</v>
      </c>
      <c r="O273" s="33">
        <f>ROUNDUP(N273+(N273*Assumptions!N$5),-2)</f>
        <v>1600</v>
      </c>
      <c r="P273" s="142">
        <f>ROUNDUP(O273+(O273*Assumptions!O$5),-2)</f>
        <v>1700</v>
      </c>
      <c r="Q273" s="33">
        <f>ROUNDUP(P273+(P273*Assumptions!P$5),-2)</f>
        <v>1800</v>
      </c>
      <c r="R273" s="114">
        <f>ROUNDUP(Q273+(Q273*Assumptions!Q$5),-2)</f>
        <v>1900</v>
      </c>
    </row>
    <row r="274" spans="1:18" s="84" customFormat="1" x14ac:dyDescent="0.2">
      <c r="A274" s="107">
        <v>0</v>
      </c>
      <c r="B274" s="33">
        <v>0</v>
      </c>
      <c r="C274" s="189">
        <v>0</v>
      </c>
      <c r="D274" s="187">
        <v>0</v>
      </c>
      <c r="E274" s="811" t="s">
        <v>6430</v>
      </c>
      <c r="F274" s="953" t="s">
        <v>6173</v>
      </c>
      <c r="G274" s="189">
        <v>1000</v>
      </c>
      <c r="H274" s="138">
        <f t="shared" si="287"/>
        <v>100</v>
      </c>
      <c r="I274" s="33">
        <v>1000</v>
      </c>
      <c r="J274" s="33">
        <f>ROUNDUP(I274+(I274*Assumptions!I$5),-2)</f>
        <v>1100</v>
      </c>
      <c r="K274" s="33">
        <f>ROUNDUP(J274+(J274*Assumptions!J$5),-2)</f>
        <v>1200</v>
      </c>
      <c r="L274" s="33">
        <f>ROUNDUP(K274+(K274*Assumptions!K$5),-2)</f>
        <v>1300</v>
      </c>
      <c r="M274" s="33">
        <f>ROUNDUP(L274+(L274*Assumptions!L$5),-2)</f>
        <v>1400</v>
      </c>
      <c r="N274" s="33">
        <f>ROUNDUP(M274+(M274*Assumptions!M$5),-2)</f>
        <v>1500</v>
      </c>
      <c r="O274" s="33">
        <f>ROUNDUP(N274+(N274*Assumptions!N$5),-2)</f>
        <v>1600</v>
      </c>
      <c r="P274" s="142">
        <f>ROUNDUP(O274+(O274*Assumptions!O$5),-2)</f>
        <v>1700</v>
      </c>
      <c r="Q274" s="33">
        <f>ROUNDUP(P274+(P274*Assumptions!P$5),-2)</f>
        <v>1800</v>
      </c>
      <c r="R274" s="114">
        <f>ROUNDUP(Q274+(Q274*Assumptions!Q$5),-2)</f>
        <v>1900</v>
      </c>
    </row>
    <row r="275" spans="1:18" s="84" customFormat="1" x14ac:dyDescent="0.2">
      <c r="A275" s="107">
        <v>0</v>
      </c>
      <c r="B275" s="33">
        <v>0</v>
      </c>
      <c r="C275" s="189">
        <v>0</v>
      </c>
      <c r="D275" s="187">
        <v>0</v>
      </c>
      <c r="E275" s="811" t="s">
        <v>6431</v>
      </c>
      <c r="F275" s="953" t="s">
        <v>6174</v>
      </c>
      <c r="G275" s="189">
        <v>1000</v>
      </c>
      <c r="H275" s="138">
        <f t="shared" si="287"/>
        <v>100</v>
      </c>
      <c r="I275" s="33">
        <v>1000</v>
      </c>
      <c r="J275" s="33">
        <f>ROUNDUP(I275+(I275*Assumptions!I$5),-2)</f>
        <v>1100</v>
      </c>
      <c r="K275" s="33">
        <f>ROUNDUP(J275+(J275*Assumptions!J$5),-2)</f>
        <v>1200</v>
      </c>
      <c r="L275" s="33">
        <f>ROUNDUP(K275+(K275*Assumptions!K$5),-2)</f>
        <v>1300</v>
      </c>
      <c r="M275" s="33">
        <f>ROUNDUP(L275+(L275*Assumptions!L$5),-2)</f>
        <v>1400</v>
      </c>
      <c r="N275" s="33">
        <f>ROUNDUP(M275+(M275*Assumptions!M$5),-2)</f>
        <v>1500</v>
      </c>
      <c r="O275" s="33">
        <f>ROUNDUP(N275+(N275*Assumptions!N$5),-2)</f>
        <v>1600</v>
      </c>
      <c r="P275" s="142">
        <f>ROUNDUP(O275+(O275*Assumptions!O$5),-2)</f>
        <v>1700</v>
      </c>
      <c r="Q275" s="33">
        <f>ROUNDUP(P275+(P275*Assumptions!P$5),-2)</f>
        <v>1800</v>
      </c>
      <c r="R275" s="114">
        <f>ROUNDUP(Q275+(Q275*Assumptions!Q$5),-2)</f>
        <v>1900</v>
      </c>
    </row>
    <row r="276" spans="1:18" s="84" customFormat="1" x14ac:dyDescent="0.2">
      <c r="A276" s="107"/>
      <c r="B276" s="33"/>
      <c r="C276" s="647"/>
      <c r="D276" s="187"/>
      <c r="E276" s="1044"/>
      <c r="F276" s="528"/>
      <c r="G276" s="189"/>
      <c r="H276" s="647"/>
      <c r="I276" s="33"/>
      <c r="J276" s="33"/>
      <c r="K276" s="33"/>
      <c r="L276" s="33"/>
      <c r="M276" s="33"/>
      <c r="N276" s="33"/>
      <c r="O276" s="33"/>
      <c r="P276" s="142"/>
      <c r="Q276" s="33"/>
      <c r="R276" s="114"/>
    </row>
    <row r="277" spans="1:18" s="84" customFormat="1" x14ac:dyDescent="0.2">
      <c r="A277" s="715"/>
      <c r="B277" s="616"/>
      <c r="C277" s="189"/>
      <c r="D277" s="187"/>
      <c r="E277" s="2380"/>
      <c r="F277" s="1447" t="s">
        <v>5003</v>
      </c>
      <c r="G277" s="189"/>
      <c r="H277" s="138"/>
      <c r="I277" s="33"/>
      <c r="J277" s="33"/>
      <c r="K277" s="33"/>
      <c r="L277" s="33"/>
      <c r="M277" s="33"/>
      <c r="N277" s="33"/>
      <c r="O277" s="33"/>
      <c r="P277" s="142"/>
      <c r="Q277" s="33"/>
      <c r="R277" s="114"/>
    </row>
    <row r="278" spans="1:18" s="84" customFormat="1" x14ac:dyDescent="0.2">
      <c r="A278" s="107">
        <v>2300</v>
      </c>
      <c r="B278" s="33">
        <v>2100</v>
      </c>
      <c r="C278" s="189">
        <v>1700</v>
      </c>
      <c r="D278" s="1011">
        <v>1600</v>
      </c>
      <c r="E278" s="343" t="s">
        <v>2762</v>
      </c>
      <c r="F278" s="443" t="s">
        <v>791</v>
      </c>
      <c r="G278" s="189">
        <v>3100</v>
      </c>
      <c r="H278" s="138">
        <f t="shared" ref="H278:H285" si="288">IF(D278=G278,0,IF(D278=0,100,(G278-D278)/D278*100))</f>
        <v>93.75</v>
      </c>
      <c r="I278" s="33">
        <v>3200</v>
      </c>
      <c r="J278" s="33">
        <f>ROUNDUP(I278+(I278*Assumptions!I$5),-2)</f>
        <v>3300</v>
      </c>
      <c r="K278" s="33">
        <f>ROUNDUP(J278+(J278*Assumptions!J$5),-2)</f>
        <v>3400</v>
      </c>
      <c r="L278" s="33">
        <f>ROUNDUP(K278+(K278*Assumptions!K$5),-2)</f>
        <v>3500</v>
      </c>
      <c r="M278" s="33">
        <f>ROUNDUP(L278+(L278*Assumptions!L$5),-2)</f>
        <v>3600</v>
      </c>
      <c r="N278" s="33">
        <f>ROUNDUP(M278+(M278*Assumptions!M$5),-2)</f>
        <v>3700</v>
      </c>
      <c r="O278" s="33">
        <f>ROUNDUP(N278+(N278*Assumptions!N$5),-2)</f>
        <v>3800</v>
      </c>
      <c r="P278" s="142">
        <f>ROUNDUP(O278+(O278*Assumptions!O$5),-2)</f>
        <v>3900</v>
      </c>
      <c r="Q278" s="33">
        <f>ROUNDUP(P278+(P278*Assumptions!P$5),-2)</f>
        <v>4000</v>
      </c>
      <c r="R278" s="114">
        <f>ROUNDUP(Q278+(Q278*Assumptions!Q$5),-2)</f>
        <v>4100</v>
      </c>
    </row>
    <row r="279" spans="1:18" s="84" customFormat="1" x14ac:dyDescent="0.2">
      <c r="A279" s="107">
        <v>33600</v>
      </c>
      <c r="B279" s="33">
        <v>32100</v>
      </c>
      <c r="C279" s="189">
        <v>30100</v>
      </c>
      <c r="D279" s="1011">
        <v>23200</v>
      </c>
      <c r="E279" s="343" t="s">
        <v>2763</v>
      </c>
      <c r="F279" s="443" t="s">
        <v>878</v>
      </c>
      <c r="G279" s="189">
        <v>25500</v>
      </c>
      <c r="H279" s="138">
        <f t="shared" si="288"/>
        <v>9.9137931034482758</v>
      </c>
      <c r="I279" s="33">
        <v>25900</v>
      </c>
      <c r="J279" s="33">
        <f>ROUNDUP(I279+(I279*Assumptions!I$5),-2)</f>
        <v>26600</v>
      </c>
      <c r="K279" s="33">
        <f>ROUNDUP(J279+(J279*Assumptions!J$5),-2)</f>
        <v>27300</v>
      </c>
      <c r="L279" s="33">
        <f>ROUNDUP(K279+(K279*Assumptions!K$5),-2)</f>
        <v>28000</v>
      </c>
      <c r="M279" s="33">
        <f>ROUNDUP(L279+(L279*Assumptions!L$5),-2)</f>
        <v>28600</v>
      </c>
      <c r="N279" s="33">
        <f>ROUNDUP(M279+(M279*Assumptions!M$5),-2)</f>
        <v>29200</v>
      </c>
      <c r="O279" s="33">
        <f>ROUNDUP(N279+(N279*Assumptions!N$5),-2)</f>
        <v>29800</v>
      </c>
      <c r="P279" s="142">
        <f>ROUNDUP(O279+(O279*Assumptions!O$5),-2)</f>
        <v>30400</v>
      </c>
      <c r="Q279" s="33">
        <f>ROUNDUP(P279+(P279*Assumptions!P$5),-2)</f>
        <v>31100</v>
      </c>
      <c r="R279" s="114">
        <f>ROUNDUP(Q279+(Q279*Assumptions!Q$5),-2)</f>
        <v>31800</v>
      </c>
    </row>
    <row r="280" spans="1:18" s="84" customFormat="1" x14ac:dyDescent="0.2">
      <c r="A280" s="107">
        <v>900</v>
      </c>
      <c r="B280" s="33">
        <v>900</v>
      </c>
      <c r="C280" s="189">
        <v>1000</v>
      </c>
      <c r="D280" s="1011">
        <v>1700</v>
      </c>
      <c r="E280" s="343" t="s">
        <v>2107</v>
      </c>
      <c r="F280" s="443" t="s">
        <v>2720</v>
      </c>
      <c r="G280" s="189">
        <v>1100</v>
      </c>
      <c r="H280" s="138">
        <f t="shared" si="288"/>
        <v>-35.294117647058826</v>
      </c>
      <c r="I280" s="33">
        <v>1200</v>
      </c>
      <c r="J280" s="33">
        <f>ROUNDUP(I280+(I280*Assumptions!I$5),-2)</f>
        <v>1300</v>
      </c>
      <c r="K280" s="33">
        <f>ROUNDUP(J280+(J280*Assumptions!J$5),-2)</f>
        <v>1400</v>
      </c>
      <c r="L280" s="33">
        <f>ROUNDUP(K280+(K280*Assumptions!K$5),-2)</f>
        <v>1500</v>
      </c>
      <c r="M280" s="33">
        <f>ROUNDUP(L280+(L280*Assumptions!L$5),-2)</f>
        <v>1600</v>
      </c>
      <c r="N280" s="33">
        <f>ROUNDUP(M280+(M280*Assumptions!M$5),-2)</f>
        <v>1700</v>
      </c>
      <c r="O280" s="33">
        <f>ROUNDUP(N280+(N280*Assumptions!N$5),-2)</f>
        <v>1800</v>
      </c>
      <c r="P280" s="142">
        <f>ROUNDUP(O280+(O280*Assumptions!O$5),-2)</f>
        <v>1900</v>
      </c>
      <c r="Q280" s="33">
        <f>ROUNDUP(P280+(P280*Assumptions!P$5),-2)</f>
        <v>2000</v>
      </c>
      <c r="R280" s="114">
        <f>ROUNDUP(Q280+(Q280*Assumptions!Q$5),-2)</f>
        <v>2100</v>
      </c>
    </row>
    <row r="281" spans="1:18" s="84" customFormat="1" x14ac:dyDescent="0.2">
      <c r="A281" s="107">
        <v>100</v>
      </c>
      <c r="B281" s="33">
        <v>100</v>
      </c>
      <c r="C281" s="189">
        <v>0</v>
      </c>
      <c r="D281" s="1011">
        <v>100</v>
      </c>
      <c r="E281" s="343" t="s">
        <v>2108</v>
      </c>
      <c r="F281" s="443" t="s">
        <v>914</v>
      </c>
      <c r="G281" s="189">
        <v>600</v>
      </c>
      <c r="H281" s="138">
        <f t="shared" si="288"/>
        <v>500</v>
      </c>
      <c r="I281" s="33">
        <v>700</v>
      </c>
      <c r="J281" s="33">
        <f>ROUNDUP(I281+(I281*Assumptions!I$5),-2)</f>
        <v>800</v>
      </c>
      <c r="K281" s="33">
        <f>ROUNDUP(J281+(J281*Assumptions!J$5),-2)</f>
        <v>900</v>
      </c>
      <c r="L281" s="33">
        <f>ROUNDUP(K281+(K281*Assumptions!K$5),-2)</f>
        <v>1000</v>
      </c>
      <c r="M281" s="33">
        <f>ROUNDUP(L281+(L281*Assumptions!L$5),-2)</f>
        <v>1100</v>
      </c>
      <c r="N281" s="33">
        <f>ROUNDUP(M281+(M281*Assumptions!M$5),-2)</f>
        <v>1200</v>
      </c>
      <c r="O281" s="33">
        <f>ROUNDUP(N281+(N281*Assumptions!N$5),-2)</f>
        <v>1300</v>
      </c>
      <c r="P281" s="142">
        <f>ROUNDUP(O281+(O281*Assumptions!O$5),-2)</f>
        <v>1400</v>
      </c>
      <c r="Q281" s="33">
        <f>ROUNDUP(P281+(P281*Assumptions!P$5),-2)</f>
        <v>1500</v>
      </c>
      <c r="R281" s="114">
        <f>ROUNDUP(Q281+(Q281*Assumptions!Q$5),-2)</f>
        <v>1600</v>
      </c>
    </row>
    <row r="282" spans="1:18" s="84" customFormat="1" x14ac:dyDescent="0.2">
      <c r="A282" s="107">
        <v>100</v>
      </c>
      <c r="B282" s="33">
        <v>100</v>
      </c>
      <c r="C282" s="189">
        <v>0</v>
      </c>
      <c r="D282" s="1011">
        <v>100</v>
      </c>
      <c r="E282" s="343" t="s">
        <v>2109</v>
      </c>
      <c r="F282" s="814" t="s">
        <v>4961</v>
      </c>
      <c r="G282" s="189">
        <v>600</v>
      </c>
      <c r="H282" s="138">
        <f t="shared" si="288"/>
        <v>500</v>
      </c>
      <c r="I282" s="33">
        <v>700</v>
      </c>
      <c r="J282" s="33">
        <f>ROUNDUP(I282+(I282*Assumptions!I$5),-2)</f>
        <v>800</v>
      </c>
      <c r="K282" s="33">
        <f>ROUNDUP(J282+(J282*Assumptions!J$5),-2)</f>
        <v>900</v>
      </c>
      <c r="L282" s="33">
        <f>ROUNDUP(K282+(K282*Assumptions!K$5),-2)</f>
        <v>1000</v>
      </c>
      <c r="M282" s="33">
        <f>ROUNDUP(L282+(L282*Assumptions!L$5),-2)</f>
        <v>1100</v>
      </c>
      <c r="N282" s="33">
        <f>ROUNDUP(M282+(M282*Assumptions!M$5),-2)</f>
        <v>1200</v>
      </c>
      <c r="O282" s="33">
        <f>ROUNDUP(N282+(N282*Assumptions!N$5),-2)</f>
        <v>1300</v>
      </c>
      <c r="P282" s="142">
        <f>ROUNDUP(O282+(O282*Assumptions!O$5),-2)</f>
        <v>1400</v>
      </c>
      <c r="Q282" s="33">
        <f>ROUNDUP(P282+(P282*Assumptions!P$5),-2)</f>
        <v>1500</v>
      </c>
      <c r="R282" s="114">
        <f>ROUNDUP(Q282+(Q282*Assumptions!Q$5),-2)</f>
        <v>1600</v>
      </c>
    </row>
    <row r="283" spans="1:18" s="84" customFormat="1" x14ac:dyDescent="0.2">
      <c r="A283" s="107">
        <v>10100</v>
      </c>
      <c r="B283" s="33">
        <v>14500</v>
      </c>
      <c r="C283" s="189">
        <v>11900</v>
      </c>
      <c r="D283" s="1011">
        <v>7200</v>
      </c>
      <c r="E283" s="343" t="s">
        <v>2110</v>
      </c>
      <c r="F283" s="443" t="s">
        <v>1106</v>
      </c>
      <c r="G283" s="189">
        <v>13300</v>
      </c>
      <c r="H283" s="138">
        <f t="shared" si="288"/>
        <v>84.722222222222214</v>
      </c>
      <c r="I283" s="33">
        <v>13500</v>
      </c>
      <c r="J283" s="33">
        <f>ROUNDUP(I283+(I283*Assumptions!I$5),-2)</f>
        <v>13900</v>
      </c>
      <c r="K283" s="33">
        <f>ROUNDUP(J283+(J283*Assumptions!J$5),-2)</f>
        <v>14300</v>
      </c>
      <c r="L283" s="33">
        <f>ROUNDUP(K283+(K283*Assumptions!K$5),-2)</f>
        <v>14700</v>
      </c>
      <c r="M283" s="33">
        <f>ROUNDUP(L283+(L283*Assumptions!L$5),-2)</f>
        <v>15000</v>
      </c>
      <c r="N283" s="33">
        <f>ROUNDUP(M283+(M283*Assumptions!M$5),-2)</f>
        <v>15300</v>
      </c>
      <c r="O283" s="33">
        <f>ROUNDUP(N283+(N283*Assumptions!N$5),-2)</f>
        <v>15700</v>
      </c>
      <c r="P283" s="142">
        <f>ROUNDUP(O283+(O283*Assumptions!O$5),-2)</f>
        <v>16100</v>
      </c>
      <c r="Q283" s="33">
        <f>ROUNDUP(P283+(P283*Assumptions!P$5),-2)</f>
        <v>16500</v>
      </c>
      <c r="R283" s="114">
        <f>ROUNDUP(Q283+(Q283*Assumptions!Q$5),-2)</f>
        <v>16900</v>
      </c>
    </row>
    <row r="284" spans="1:18" s="84" customFormat="1" x14ac:dyDescent="0.2">
      <c r="A284" s="107">
        <v>400</v>
      </c>
      <c r="B284" s="33">
        <v>600</v>
      </c>
      <c r="C284" s="189">
        <v>500</v>
      </c>
      <c r="D284" s="1011">
        <v>500</v>
      </c>
      <c r="E284" s="343" t="s">
        <v>2111</v>
      </c>
      <c r="F284" s="443" t="s">
        <v>1900</v>
      </c>
      <c r="G284" s="189">
        <v>700</v>
      </c>
      <c r="H284" s="138">
        <f t="shared" si="288"/>
        <v>40</v>
      </c>
      <c r="I284" s="33">
        <v>800</v>
      </c>
      <c r="J284" s="33">
        <f>ROUNDUP(I284+(I284*Assumptions!I$5),-2)</f>
        <v>900</v>
      </c>
      <c r="K284" s="33">
        <f>ROUNDUP(J284+(J284*Assumptions!J$5),-2)</f>
        <v>1000</v>
      </c>
      <c r="L284" s="33">
        <f>ROUNDUP(K284+(K284*Assumptions!K$5),-2)</f>
        <v>1100</v>
      </c>
      <c r="M284" s="33">
        <f>ROUNDUP(L284+(L284*Assumptions!L$5),-2)</f>
        <v>1200</v>
      </c>
      <c r="N284" s="33">
        <f>ROUNDUP(M284+(M284*Assumptions!M$5),-2)</f>
        <v>1300</v>
      </c>
      <c r="O284" s="33">
        <f>ROUNDUP(N284+(N284*Assumptions!N$5),-2)</f>
        <v>1400</v>
      </c>
      <c r="P284" s="142">
        <f>ROUNDUP(O284+(O284*Assumptions!O$5),-2)</f>
        <v>1500</v>
      </c>
      <c r="Q284" s="33">
        <f>ROUNDUP(P284+(P284*Assumptions!P$5),-2)</f>
        <v>1600</v>
      </c>
      <c r="R284" s="114">
        <f>ROUNDUP(Q284+(Q284*Assumptions!Q$5),-2)</f>
        <v>1700</v>
      </c>
    </row>
    <row r="285" spans="1:18" s="84" customFormat="1" x14ac:dyDescent="0.2">
      <c r="A285" s="107">
        <v>2600</v>
      </c>
      <c r="B285" s="33">
        <v>4100</v>
      </c>
      <c r="C285" s="189">
        <v>2300</v>
      </c>
      <c r="D285" s="1011">
        <v>0</v>
      </c>
      <c r="E285" s="343" t="s">
        <v>573</v>
      </c>
      <c r="F285" s="814" t="s">
        <v>5008</v>
      </c>
      <c r="G285" s="189">
        <v>3100</v>
      </c>
      <c r="H285" s="138">
        <f t="shared" si="288"/>
        <v>100</v>
      </c>
      <c r="I285" s="33">
        <v>3200</v>
      </c>
      <c r="J285" s="33">
        <f>ROUNDUP(I285+(I285*Assumptions!I$5),-2)</f>
        <v>3300</v>
      </c>
      <c r="K285" s="33">
        <f>ROUNDUP(J285+(J285*Assumptions!J$5),-2)</f>
        <v>3400</v>
      </c>
      <c r="L285" s="33">
        <f>ROUNDUP(K285+(K285*Assumptions!K$5),-2)</f>
        <v>3500</v>
      </c>
      <c r="M285" s="33">
        <f>ROUNDUP(L285+(L285*Assumptions!L$5),-2)</f>
        <v>3600</v>
      </c>
      <c r="N285" s="33">
        <f>ROUNDUP(M285+(M285*Assumptions!M$5),-2)</f>
        <v>3700</v>
      </c>
      <c r="O285" s="33">
        <f>ROUNDUP(N285+(N285*Assumptions!N$5),-2)</f>
        <v>3800</v>
      </c>
      <c r="P285" s="142">
        <f>ROUNDUP(O285+(O285*Assumptions!O$5),-2)</f>
        <v>3900</v>
      </c>
      <c r="Q285" s="33">
        <f>ROUNDUP(P285+(P285*Assumptions!P$5),-2)</f>
        <v>4000</v>
      </c>
      <c r="R285" s="114">
        <f>ROUNDUP(Q285+(Q285*Assumptions!Q$5),-2)</f>
        <v>4100</v>
      </c>
    </row>
    <row r="286" spans="1:18" s="84" customFormat="1" x14ac:dyDescent="0.2">
      <c r="A286" s="107"/>
      <c r="B286" s="33"/>
      <c r="C286" s="33"/>
      <c r="D286" s="76"/>
      <c r="E286" s="1097"/>
      <c r="F286" s="814"/>
      <c r="G286" s="33"/>
      <c r="H286" s="138"/>
      <c r="I286" s="33"/>
      <c r="J286" s="33"/>
      <c r="K286" s="33"/>
      <c r="L286" s="33"/>
      <c r="M286" s="33"/>
      <c r="N286" s="33"/>
      <c r="O286" s="33"/>
      <c r="P286" s="142"/>
      <c r="Q286" s="33"/>
      <c r="R286" s="114"/>
    </row>
    <row r="287" spans="1:18" s="84" customFormat="1" x14ac:dyDescent="0.2">
      <c r="A287" s="107"/>
      <c r="B287" s="33"/>
      <c r="C287" s="33"/>
      <c r="D287" s="76"/>
      <c r="E287" s="1955"/>
      <c r="F287" s="718" t="s">
        <v>1031</v>
      </c>
      <c r="G287" s="33"/>
      <c r="H287" s="138"/>
      <c r="I287" s="33"/>
      <c r="J287" s="33"/>
      <c r="K287" s="33"/>
      <c r="L287" s="33"/>
      <c r="M287" s="33"/>
      <c r="N287" s="33"/>
      <c r="O287" s="33"/>
      <c r="P287" s="142"/>
      <c r="Q287" s="33"/>
      <c r="R287" s="114"/>
    </row>
    <row r="288" spans="1:18" s="84" customFormat="1" ht="13.5" thickBot="1" x14ac:dyDescent="0.25">
      <c r="A288" s="171"/>
      <c r="B288" s="66"/>
      <c r="C288" s="66"/>
      <c r="D288" s="330"/>
      <c r="E288" s="1976"/>
      <c r="F288" s="719"/>
      <c r="G288" s="66"/>
      <c r="H288" s="140"/>
      <c r="I288" s="66"/>
      <c r="J288" s="66"/>
      <c r="K288" s="66"/>
      <c r="L288" s="66"/>
      <c r="M288" s="66"/>
      <c r="N288" s="66"/>
      <c r="O288" s="66"/>
      <c r="P288" s="166"/>
      <c r="Q288" s="66"/>
      <c r="R288" s="165"/>
    </row>
    <row r="289" spans="1:18" s="91" customFormat="1" ht="18.75" customHeight="1" thickTop="1" thickBot="1" x14ac:dyDescent="0.3">
      <c r="A289" s="2862" t="s">
        <v>4695</v>
      </c>
      <c r="B289" s="2863"/>
      <c r="C289" s="2863"/>
      <c r="D289" s="2863"/>
      <c r="E289" s="2863"/>
      <c r="F289" s="2863"/>
      <c r="G289" s="2863"/>
      <c r="H289" s="2863"/>
      <c r="I289" s="2863"/>
      <c r="J289" s="2863"/>
      <c r="K289" s="2863"/>
      <c r="L289" s="2863"/>
      <c r="M289" s="2863"/>
      <c r="N289" s="2863"/>
      <c r="O289" s="2863"/>
      <c r="P289" s="2863"/>
      <c r="Q289" s="2863"/>
      <c r="R289" s="2864"/>
    </row>
    <row r="290" spans="1:18" s="44" customFormat="1" x14ac:dyDescent="0.2">
      <c r="A290" s="2888" t="s">
        <v>1856</v>
      </c>
      <c r="B290" s="2889"/>
      <c r="C290" s="2889"/>
      <c r="D290" s="2890"/>
      <c r="E290" s="1997" t="s">
        <v>2663</v>
      </c>
      <c r="F290" s="2649" t="s">
        <v>2251</v>
      </c>
      <c r="G290" s="2885" t="s">
        <v>2253</v>
      </c>
      <c r="H290" s="2886"/>
      <c r="I290" s="2886"/>
      <c r="J290" s="2886"/>
      <c r="K290" s="2886"/>
      <c r="L290" s="2886"/>
      <c r="M290" s="2886"/>
      <c r="N290" s="2886"/>
      <c r="O290" s="2886"/>
      <c r="P290" s="2886"/>
      <c r="Q290" s="2886"/>
      <c r="R290" s="2887"/>
    </row>
    <row r="291" spans="1:18" s="23" customFormat="1" ht="13.5" customHeight="1" thickBot="1" x14ac:dyDescent="0.25">
      <c r="A291" s="208" t="str">
        <f>A3</f>
        <v>2012/13</v>
      </c>
      <c r="B291" s="218" t="str">
        <f>B3</f>
        <v>2013/14</v>
      </c>
      <c r="C291" s="370" t="str">
        <f>C3</f>
        <v>2014/15</v>
      </c>
      <c r="D291" s="93" t="str">
        <f>D3</f>
        <v>2015/16</v>
      </c>
      <c r="E291" s="370" t="s">
        <v>2664</v>
      </c>
      <c r="F291" s="42"/>
      <c r="G291" s="93" t="str">
        <f t="shared" ref="G291:Q291" si="289">G3</f>
        <v>2016/17</v>
      </c>
      <c r="H291" s="2005" t="str">
        <f t="shared" si="289"/>
        <v>%</v>
      </c>
      <c r="I291" s="370" t="str">
        <f t="shared" si="289"/>
        <v>2017/18</v>
      </c>
      <c r="J291" s="370" t="str">
        <f t="shared" si="289"/>
        <v>2018/19</v>
      </c>
      <c r="K291" s="370" t="str">
        <f t="shared" si="289"/>
        <v>2019/20</v>
      </c>
      <c r="L291" s="370" t="str">
        <f t="shared" si="289"/>
        <v>2020/21</v>
      </c>
      <c r="M291" s="370" t="str">
        <f t="shared" si="289"/>
        <v>2021/22</v>
      </c>
      <c r="N291" s="370" t="str">
        <f t="shared" si="289"/>
        <v>2022/23</v>
      </c>
      <c r="O291" s="370" t="str">
        <f t="shared" si="289"/>
        <v>2023/24</v>
      </c>
      <c r="P291" s="381" t="str">
        <f t="shared" si="289"/>
        <v>2024/25</v>
      </c>
      <c r="Q291" s="218" t="str">
        <f t="shared" si="289"/>
        <v>2025/26</v>
      </c>
      <c r="R291" s="549" t="str">
        <f t="shared" ref="R291" si="290">R3</f>
        <v>2026/27</v>
      </c>
    </row>
    <row r="292" spans="1:18" s="23" customFormat="1" ht="13.5" customHeight="1" x14ac:dyDescent="0.2">
      <c r="A292" s="268"/>
      <c r="B292" s="529"/>
      <c r="C292" s="529"/>
      <c r="D292" s="204"/>
      <c r="E292" s="531"/>
      <c r="F292" s="22"/>
      <c r="G292" s="204"/>
      <c r="H292" s="1702"/>
      <c r="I292" s="529"/>
      <c r="J292" s="529"/>
      <c r="K292" s="529"/>
      <c r="L292" s="529"/>
      <c r="M292" s="529"/>
      <c r="N292" s="529"/>
      <c r="O292" s="529"/>
      <c r="P292" s="531"/>
      <c r="Q292" s="529"/>
      <c r="R292" s="530"/>
    </row>
    <row r="293" spans="1:18" s="84" customFormat="1" x14ac:dyDescent="0.2">
      <c r="A293" s="107"/>
      <c r="B293" s="33"/>
      <c r="C293" s="33"/>
      <c r="D293" s="33"/>
      <c r="E293" s="1955"/>
      <c r="F293" s="365" t="s">
        <v>1832</v>
      </c>
      <c r="G293" s="33"/>
      <c r="H293" s="138"/>
      <c r="I293" s="33"/>
      <c r="J293" s="33"/>
      <c r="K293" s="33"/>
      <c r="L293" s="33"/>
      <c r="M293" s="33"/>
      <c r="N293" s="33"/>
      <c r="O293" s="33"/>
      <c r="P293" s="142"/>
      <c r="Q293" s="33"/>
      <c r="R293" s="114"/>
    </row>
    <row r="294" spans="1:18" s="84" customFormat="1" x14ac:dyDescent="0.2">
      <c r="A294" s="107"/>
      <c r="B294" s="33"/>
      <c r="C294" s="189"/>
      <c r="D294" s="189"/>
      <c r="E294" s="437"/>
      <c r="F294" s="1103" t="s">
        <v>5002</v>
      </c>
      <c r="G294" s="189"/>
      <c r="H294" s="138"/>
      <c r="I294" s="33"/>
      <c r="J294" s="33"/>
      <c r="K294" s="33"/>
      <c r="L294" s="33"/>
      <c r="M294" s="33"/>
      <c r="N294" s="33"/>
      <c r="O294" s="33"/>
      <c r="P294" s="142"/>
      <c r="Q294" s="33"/>
      <c r="R294" s="114"/>
    </row>
    <row r="295" spans="1:18" s="84" customFormat="1" x14ac:dyDescent="0.2">
      <c r="A295" s="107">
        <v>68500</v>
      </c>
      <c r="B295" s="33">
        <v>62800</v>
      </c>
      <c r="C295" s="189">
        <f>77800</f>
        <v>77800</v>
      </c>
      <c r="D295" s="189">
        <f>33900-6600</f>
        <v>27300</v>
      </c>
      <c r="E295" s="821" t="s">
        <v>5524</v>
      </c>
      <c r="F295" s="814" t="s">
        <v>4962</v>
      </c>
      <c r="G295" s="189">
        <f>30000-13000</f>
        <v>17000</v>
      </c>
      <c r="H295" s="138">
        <f>IF(D295=G295,0,IF(D295=0,100,(G295-D295)/D295*100))</f>
        <v>-37.72893772893773</v>
      </c>
      <c r="I295" s="33">
        <v>30500</v>
      </c>
      <c r="J295" s="33">
        <f>ROUNDUP(I295+(I295*Assumptions!I$5),-2)</f>
        <v>31300</v>
      </c>
      <c r="K295" s="33">
        <f>ROUNDUP(J295+(J295*Assumptions!J$5),-2)</f>
        <v>32100</v>
      </c>
      <c r="L295" s="33">
        <f>ROUNDUP(K295+(K295*Assumptions!K$5),-2)</f>
        <v>33000</v>
      </c>
      <c r="M295" s="33">
        <f>ROUNDUP(L295+(L295*Assumptions!L$5),-2)</f>
        <v>33700</v>
      </c>
      <c r="N295" s="33">
        <f>ROUNDUP(M295+(M295*Assumptions!M$5),-2)</f>
        <v>34400</v>
      </c>
      <c r="O295" s="33">
        <f>ROUNDUP(N295+(N295*Assumptions!N$5),-2)</f>
        <v>35100</v>
      </c>
      <c r="P295" s="142">
        <f>ROUNDUP(O295+(O295*Assumptions!O$5),-2)</f>
        <v>35900</v>
      </c>
      <c r="Q295" s="33">
        <f>ROUNDUP(P295+(P295*Assumptions!P$5),-2)</f>
        <v>36700</v>
      </c>
      <c r="R295" s="114">
        <f>ROUNDUP(Q295+(Q295*Assumptions!Q$5),-2)</f>
        <v>37500</v>
      </c>
    </row>
    <row r="296" spans="1:18" s="84" customFormat="1" x14ac:dyDescent="0.2">
      <c r="A296" s="107">
        <v>0</v>
      </c>
      <c r="B296" s="33">
        <v>0</v>
      </c>
      <c r="C296" s="189">
        <v>0</v>
      </c>
      <c r="D296" s="189">
        <v>6600</v>
      </c>
      <c r="E296" s="811" t="s">
        <v>5524</v>
      </c>
      <c r="F296" s="814" t="s">
        <v>5526</v>
      </c>
      <c r="G296" s="189">
        <v>8000</v>
      </c>
      <c r="H296" s="138">
        <f>IF(D296=G296,0,IF(D296=0,100,(G296-D296)/D296*100))</f>
        <v>21.212121212121211</v>
      </c>
      <c r="I296" s="33">
        <v>8200</v>
      </c>
      <c r="J296" s="33">
        <f>ROUNDUP(I296+(I296*Assumptions!I$5),-2)</f>
        <v>8500</v>
      </c>
      <c r="K296" s="33">
        <f>ROUNDUP(J296+(J296*Assumptions!J$5),-2)</f>
        <v>8800</v>
      </c>
      <c r="L296" s="33">
        <f>ROUNDUP(K296+(K296*Assumptions!K$5),-2)</f>
        <v>9100</v>
      </c>
      <c r="M296" s="33">
        <f>ROUNDUP(L296+(L296*Assumptions!L$5),-2)</f>
        <v>9300</v>
      </c>
      <c r="N296" s="33">
        <f>ROUNDUP(M296+(M296*Assumptions!M$5),-2)</f>
        <v>9500</v>
      </c>
      <c r="O296" s="33">
        <f>ROUNDUP(N296+(N296*Assumptions!N$5),-2)</f>
        <v>9700</v>
      </c>
      <c r="P296" s="142">
        <f>ROUNDUP(O296+(O296*Assumptions!O$5),-2)</f>
        <v>9900</v>
      </c>
      <c r="Q296" s="33">
        <f>ROUNDUP(P296+(P296*Assumptions!P$5),-2)</f>
        <v>10100</v>
      </c>
      <c r="R296" s="114">
        <f>ROUNDUP(Q296+(Q296*Assumptions!Q$5),-2)</f>
        <v>10400</v>
      </c>
    </row>
    <row r="297" spans="1:18" s="84" customFormat="1" x14ac:dyDescent="0.2">
      <c r="A297" s="107">
        <v>0</v>
      </c>
      <c r="B297" s="33">
        <v>0</v>
      </c>
      <c r="C297" s="189">
        <v>0</v>
      </c>
      <c r="D297" s="189">
        <v>21800</v>
      </c>
      <c r="E297" s="811" t="s">
        <v>5525</v>
      </c>
      <c r="F297" s="814" t="s">
        <v>5527</v>
      </c>
      <c r="G297" s="189">
        <v>22000</v>
      </c>
      <c r="H297" s="138">
        <f>IF(D297=G297,0,IF(D297=0,100,(G297-D297)/D297*100))</f>
        <v>0.91743119266055051</v>
      </c>
      <c r="I297" s="33">
        <v>22400</v>
      </c>
      <c r="J297" s="33">
        <f>ROUNDUP(I297+(I297*Assumptions!I$5),-2)</f>
        <v>23000</v>
      </c>
      <c r="K297" s="33">
        <f>ROUNDUP(J297+(J297*Assumptions!J$5),-2)</f>
        <v>23600</v>
      </c>
      <c r="L297" s="33">
        <f>ROUNDUP(K297+(K297*Assumptions!K$5),-2)</f>
        <v>24200</v>
      </c>
      <c r="M297" s="33">
        <f>ROUNDUP(L297+(L297*Assumptions!L$5),-2)</f>
        <v>24700</v>
      </c>
      <c r="N297" s="33">
        <f>ROUNDUP(M297+(M297*Assumptions!M$5),-2)</f>
        <v>25200</v>
      </c>
      <c r="O297" s="33">
        <f>ROUNDUP(N297+(N297*Assumptions!N$5),-2)</f>
        <v>25800</v>
      </c>
      <c r="P297" s="142">
        <f>ROUNDUP(O297+(O297*Assumptions!O$5),-2)</f>
        <v>26400</v>
      </c>
      <c r="Q297" s="33">
        <f>ROUNDUP(P297+(P297*Assumptions!P$5),-2)</f>
        <v>27000</v>
      </c>
      <c r="R297" s="114">
        <f>ROUNDUP(Q297+(Q297*Assumptions!Q$5),-2)</f>
        <v>27600</v>
      </c>
    </row>
    <row r="298" spans="1:18" s="84" customFormat="1" x14ac:dyDescent="0.2">
      <c r="A298" s="107"/>
      <c r="B298" s="33"/>
      <c r="C298" s="189"/>
      <c r="D298" s="189"/>
      <c r="E298" s="811"/>
      <c r="F298" s="814"/>
      <c r="G298" s="189"/>
      <c r="H298" s="138"/>
      <c r="I298" s="33"/>
      <c r="J298" s="33"/>
      <c r="K298" s="33"/>
      <c r="L298" s="33"/>
      <c r="M298" s="33"/>
      <c r="N298" s="33"/>
      <c r="O298" s="33"/>
      <c r="P298" s="142"/>
      <c r="Q298" s="33"/>
      <c r="R298" s="114"/>
    </row>
    <row r="299" spans="1:18" s="84" customFormat="1" x14ac:dyDescent="0.2">
      <c r="A299" s="107"/>
      <c r="B299" s="33"/>
      <c r="C299" s="189"/>
      <c r="D299" s="189"/>
      <c r="E299" s="2380"/>
      <c r="F299" s="1447" t="s">
        <v>5024</v>
      </c>
      <c r="G299" s="189"/>
      <c r="H299" s="138"/>
      <c r="I299" s="33"/>
      <c r="J299" s="33"/>
      <c r="K299" s="33"/>
      <c r="L299" s="33"/>
      <c r="M299" s="33"/>
      <c r="N299" s="33"/>
      <c r="O299" s="33"/>
      <c r="P299" s="142"/>
      <c r="Q299" s="33"/>
      <c r="R299" s="114"/>
    </row>
    <row r="300" spans="1:18" s="84" customFormat="1" x14ac:dyDescent="0.2">
      <c r="A300" s="107">
        <v>79100</v>
      </c>
      <c r="B300" s="33">
        <v>153100</v>
      </c>
      <c r="C300" s="189">
        <f>129500-5300</f>
        <v>124200</v>
      </c>
      <c r="D300" s="189">
        <v>109000</v>
      </c>
      <c r="E300" s="343" t="s">
        <v>2116</v>
      </c>
      <c r="F300" s="953" t="s">
        <v>6175</v>
      </c>
      <c r="G300" s="189">
        <f>12000+15000</f>
        <v>27000</v>
      </c>
      <c r="H300" s="138">
        <f>IF(D300=G300,0,IF(D300=0,100,(G300-D300)/D300*100))</f>
        <v>-75.22935779816514</v>
      </c>
      <c r="I300" s="33">
        <v>12200</v>
      </c>
      <c r="J300" s="33">
        <f>ROUNDUP(I300+(I300*Assumptions!I$5),-2)</f>
        <v>12600</v>
      </c>
      <c r="K300" s="33">
        <f>ROUNDUP(J300+(J300*Assumptions!J$5),-2)</f>
        <v>13000</v>
      </c>
      <c r="L300" s="33">
        <f>ROUNDUP(K300+(K300*Assumptions!K$5),-2)</f>
        <v>13400</v>
      </c>
      <c r="M300" s="33">
        <f>ROUNDUP(L300+(L300*Assumptions!L$5),-2)</f>
        <v>13700</v>
      </c>
      <c r="N300" s="33">
        <f>ROUNDUP(M300+(M300*Assumptions!M$5),-2)</f>
        <v>14000</v>
      </c>
      <c r="O300" s="33">
        <f>ROUNDUP(N300+(N300*Assumptions!N$5),-2)</f>
        <v>14300</v>
      </c>
      <c r="P300" s="142">
        <f>ROUNDUP(O300+(O300*Assumptions!O$5),-2)</f>
        <v>14600</v>
      </c>
      <c r="Q300" s="33">
        <f>ROUNDUP(P300+(P300*Assumptions!P$5),-2)</f>
        <v>14900</v>
      </c>
      <c r="R300" s="114">
        <f>ROUNDUP(Q300+(Q300*Assumptions!Q$5),-2)</f>
        <v>15200</v>
      </c>
    </row>
    <row r="301" spans="1:18" s="84" customFormat="1" x14ac:dyDescent="0.2">
      <c r="A301" s="107">
        <v>0</v>
      </c>
      <c r="B301" s="33">
        <v>0</v>
      </c>
      <c r="C301" s="189">
        <v>0</v>
      </c>
      <c r="D301" s="189">
        <v>0</v>
      </c>
      <c r="E301" s="821" t="s">
        <v>6467</v>
      </c>
      <c r="F301" s="953" t="s">
        <v>6187</v>
      </c>
      <c r="G301" s="189">
        <v>25000</v>
      </c>
      <c r="H301" s="138">
        <f>IF(D301=G301,0,IF(D301=0,100,(G301-D301)/D301*100))</f>
        <v>100</v>
      </c>
      <c r="I301" s="33">
        <v>25400</v>
      </c>
      <c r="J301" s="33">
        <f>ROUNDUP(I301+(I301*Assumptions!I$5),-2)</f>
        <v>26100</v>
      </c>
      <c r="K301" s="33">
        <f>ROUNDUP(J301+(J301*Assumptions!J$5),-2)</f>
        <v>26800</v>
      </c>
      <c r="L301" s="33">
        <f>ROUNDUP(K301+(K301*Assumptions!K$5),-2)</f>
        <v>27500</v>
      </c>
      <c r="M301" s="33">
        <f>ROUNDUP(L301+(L301*Assumptions!L$5),-2)</f>
        <v>28100</v>
      </c>
      <c r="N301" s="33">
        <f>ROUNDUP(M301+(M301*Assumptions!M$5),-2)</f>
        <v>28700</v>
      </c>
      <c r="O301" s="33">
        <f>ROUNDUP(N301+(N301*Assumptions!N$5),-2)</f>
        <v>29300</v>
      </c>
      <c r="P301" s="142">
        <f>ROUNDUP(O301+(O301*Assumptions!O$5),-2)</f>
        <v>29900</v>
      </c>
      <c r="Q301" s="33">
        <f>ROUNDUP(P301+(P301*Assumptions!P$5),-2)</f>
        <v>30500</v>
      </c>
      <c r="R301" s="114">
        <f>ROUNDUP(Q301+(Q301*Assumptions!Q$5),-2)</f>
        <v>31200</v>
      </c>
    </row>
    <row r="302" spans="1:18" s="84" customFormat="1" x14ac:dyDescent="0.2">
      <c r="A302" s="107">
        <v>0</v>
      </c>
      <c r="B302" s="33">
        <v>0</v>
      </c>
      <c r="C302" s="189">
        <v>0</v>
      </c>
      <c r="D302" s="189">
        <v>0</v>
      </c>
      <c r="E302" s="821" t="s">
        <v>6468</v>
      </c>
      <c r="F302" s="953" t="s">
        <v>6188</v>
      </c>
      <c r="G302" s="189">
        <v>42000</v>
      </c>
      <c r="H302" s="138">
        <f>IF(D302=G302,0,IF(D302=0,100,(G302-D302)/D302*100))</f>
        <v>100</v>
      </c>
      <c r="I302" s="33">
        <v>42700</v>
      </c>
      <c r="J302" s="33">
        <f>ROUNDUP(I302+(I302*Assumptions!I$5),-2)</f>
        <v>43800</v>
      </c>
      <c r="K302" s="33">
        <f>ROUNDUP(J302+(J302*Assumptions!J$5),-2)</f>
        <v>44900</v>
      </c>
      <c r="L302" s="33">
        <f>ROUNDUP(K302+(K302*Assumptions!K$5),-2)</f>
        <v>46100</v>
      </c>
      <c r="M302" s="33">
        <f>ROUNDUP(L302+(L302*Assumptions!L$5),-2)</f>
        <v>47100</v>
      </c>
      <c r="N302" s="33">
        <f>ROUNDUP(M302+(M302*Assumptions!M$5),-2)</f>
        <v>48100</v>
      </c>
      <c r="O302" s="33">
        <f>ROUNDUP(N302+(N302*Assumptions!N$5),-2)</f>
        <v>49100</v>
      </c>
      <c r="P302" s="142">
        <f>ROUNDUP(O302+(O302*Assumptions!O$5),-2)</f>
        <v>50100</v>
      </c>
      <c r="Q302" s="33">
        <f>ROUNDUP(P302+(P302*Assumptions!P$5),-2)</f>
        <v>51200</v>
      </c>
      <c r="R302" s="114">
        <f>ROUNDUP(Q302+(Q302*Assumptions!Q$5),-2)</f>
        <v>52300</v>
      </c>
    </row>
    <row r="303" spans="1:18" s="84" customFormat="1" x14ac:dyDescent="0.2">
      <c r="A303" s="107">
        <v>0</v>
      </c>
      <c r="B303" s="33">
        <v>0</v>
      </c>
      <c r="C303" s="189">
        <v>0</v>
      </c>
      <c r="D303" s="189">
        <v>0</v>
      </c>
      <c r="E303" s="821" t="s">
        <v>6469</v>
      </c>
      <c r="F303" s="953" t="s">
        <v>6189</v>
      </c>
      <c r="G303" s="189">
        <v>3100</v>
      </c>
      <c r="H303" s="138">
        <f>IF(D303=G303,0,IF(D303=0,100,(G303-D303)/D303*100))</f>
        <v>100</v>
      </c>
      <c r="I303" s="33">
        <v>3200</v>
      </c>
      <c r="J303" s="33">
        <f>ROUNDUP(I303+(I303*Assumptions!I$5),-2)</f>
        <v>3300</v>
      </c>
      <c r="K303" s="33">
        <f>ROUNDUP(J303+(J303*Assumptions!J$5),-2)</f>
        <v>3400</v>
      </c>
      <c r="L303" s="33">
        <f>ROUNDUP(K303+(K303*Assumptions!K$5),-2)</f>
        <v>3500</v>
      </c>
      <c r="M303" s="33">
        <f>ROUNDUP(L303+(L303*Assumptions!L$5),-2)</f>
        <v>3600</v>
      </c>
      <c r="N303" s="33">
        <f>ROUNDUP(M303+(M303*Assumptions!M$5),-2)</f>
        <v>3700</v>
      </c>
      <c r="O303" s="33">
        <f>ROUNDUP(N303+(N303*Assumptions!N$5),-2)</f>
        <v>3800</v>
      </c>
      <c r="P303" s="142">
        <f>ROUNDUP(O303+(O303*Assumptions!O$5),-2)</f>
        <v>3900</v>
      </c>
      <c r="Q303" s="33">
        <f>ROUNDUP(P303+(P303*Assumptions!P$5),-2)</f>
        <v>4000</v>
      </c>
      <c r="R303" s="114">
        <f>ROUNDUP(Q303+(Q303*Assumptions!Q$5),-2)</f>
        <v>4100</v>
      </c>
    </row>
    <row r="304" spans="1:18" s="84" customFormat="1" x14ac:dyDescent="0.2">
      <c r="A304" s="107">
        <v>1000</v>
      </c>
      <c r="B304" s="33">
        <v>0</v>
      </c>
      <c r="C304" s="189">
        <v>5300</v>
      </c>
      <c r="D304" s="189">
        <v>2800</v>
      </c>
      <c r="E304" s="343" t="s">
        <v>2117</v>
      </c>
      <c r="F304" s="953" t="s">
        <v>5000</v>
      </c>
      <c r="G304" s="189">
        <v>0</v>
      </c>
      <c r="H304" s="138">
        <f>IF(D304=G304,0,IF(D304=0,100,(G304-D304)/D304*100))</f>
        <v>-100</v>
      </c>
      <c r="I304" s="33">
        <v>0</v>
      </c>
      <c r="J304" s="33">
        <f>ROUNDUP(I304+(I304*Assumptions!I$5),-2)</f>
        <v>0</v>
      </c>
      <c r="K304" s="33">
        <f>ROUNDUP(J304+(J304*Assumptions!J$5),-2)</f>
        <v>0</v>
      </c>
      <c r="L304" s="33">
        <f>ROUNDUP(K304+(K304*Assumptions!K$5),-2)</f>
        <v>0</v>
      </c>
      <c r="M304" s="33">
        <f>ROUNDUP(L304+(L304*Assumptions!L$5),-2)</f>
        <v>0</v>
      </c>
      <c r="N304" s="33">
        <f>ROUNDUP(M304+(M304*Assumptions!M$5),-2)</f>
        <v>0</v>
      </c>
      <c r="O304" s="33">
        <f>ROUNDUP(N304+(N304*Assumptions!N$5),-2)</f>
        <v>0</v>
      </c>
      <c r="P304" s="142">
        <f>ROUNDUP(O304+(O304*Assumptions!O$5),-2)</f>
        <v>0</v>
      </c>
      <c r="Q304" s="33">
        <f>ROUNDUP(P304+(P304*Assumptions!P$5),-2)</f>
        <v>0</v>
      </c>
      <c r="R304" s="114">
        <f>ROUNDUP(Q304+(Q304*Assumptions!Q$5),-2)</f>
        <v>0</v>
      </c>
    </row>
    <row r="305" spans="1:18" s="84" customFormat="1" x14ac:dyDescent="0.2">
      <c r="A305" s="107"/>
      <c r="B305" s="33"/>
      <c r="C305" s="189"/>
      <c r="D305" s="189"/>
      <c r="E305" s="344"/>
      <c r="F305" s="953"/>
      <c r="G305" s="189"/>
      <c r="H305" s="138"/>
      <c r="I305" s="33"/>
      <c r="J305" s="33"/>
      <c r="K305" s="33"/>
      <c r="L305" s="33"/>
      <c r="M305" s="33"/>
      <c r="N305" s="33"/>
      <c r="O305" s="33"/>
      <c r="P305" s="142"/>
      <c r="Q305" s="33"/>
      <c r="R305" s="114"/>
    </row>
    <row r="306" spans="1:18" s="84" customFormat="1" x14ac:dyDescent="0.2">
      <c r="A306" s="107"/>
      <c r="B306" s="33"/>
      <c r="C306" s="189"/>
      <c r="D306" s="189"/>
      <c r="E306" s="2380"/>
      <c r="F306" s="1447" t="s">
        <v>5025</v>
      </c>
      <c r="G306" s="189"/>
      <c r="H306" s="138"/>
      <c r="I306" s="33"/>
      <c r="J306" s="33"/>
      <c r="K306" s="33"/>
      <c r="L306" s="33"/>
      <c r="M306" s="33"/>
      <c r="N306" s="33"/>
      <c r="O306" s="33"/>
      <c r="P306" s="142"/>
      <c r="Q306" s="33"/>
      <c r="R306" s="114"/>
    </row>
    <row r="307" spans="1:18" s="84" customFormat="1" x14ac:dyDescent="0.2">
      <c r="A307" s="107">
        <v>0</v>
      </c>
      <c r="B307" s="33">
        <v>0</v>
      </c>
      <c r="C307" s="189">
        <v>0</v>
      </c>
      <c r="D307" s="189">
        <v>0</v>
      </c>
      <c r="E307" s="821" t="s">
        <v>5058</v>
      </c>
      <c r="F307" s="814" t="s">
        <v>6710</v>
      </c>
      <c r="G307" s="189">
        <f>31000-10000</f>
        <v>21000</v>
      </c>
      <c r="H307" s="138">
        <f>IF(D307=G307,0,IF(D307=0,100,(G307-D307)/D307*100))</f>
        <v>100</v>
      </c>
      <c r="I307" s="33">
        <v>31000</v>
      </c>
      <c r="J307" s="33">
        <f>ROUNDUP(I307+(I307*Assumptions!I$5),-2)</f>
        <v>31800</v>
      </c>
      <c r="K307" s="33">
        <f>ROUNDUP(J307+(J307*Assumptions!J$5),-2)</f>
        <v>32600</v>
      </c>
      <c r="L307" s="33">
        <f>ROUNDUP(K307+(K307*Assumptions!K$5),-2)</f>
        <v>33500</v>
      </c>
      <c r="M307" s="33">
        <f>ROUNDUP(L307+(L307*Assumptions!L$5),-2)</f>
        <v>34200</v>
      </c>
      <c r="N307" s="33">
        <f>ROUNDUP(M307+(M307*Assumptions!M$5),-2)</f>
        <v>34900</v>
      </c>
      <c r="O307" s="33">
        <f>ROUNDUP(N307+(N307*Assumptions!N$5),-2)</f>
        <v>35600</v>
      </c>
      <c r="P307" s="142">
        <f>ROUNDUP(O307+(O307*Assumptions!O$5),-2)</f>
        <v>36400</v>
      </c>
      <c r="Q307" s="33">
        <f>ROUNDUP(P307+(P307*Assumptions!P$5),-2)</f>
        <v>37200</v>
      </c>
      <c r="R307" s="114">
        <f>ROUNDUP(Q307+(Q307*Assumptions!Q$5),-2)</f>
        <v>38000</v>
      </c>
    </row>
    <row r="308" spans="1:18" s="84" customFormat="1" x14ac:dyDescent="0.2">
      <c r="A308" s="107"/>
      <c r="B308" s="33">
        <v>900</v>
      </c>
      <c r="C308" s="189">
        <v>3200</v>
      </c>
      <c r="D308" s="189">
        <v>30300</v>
      </c>
      <c r="E308" s="821" t="s">
        <v>6432</v>
      </c>
      <c r="F308" s="953" t="s">
        <v>6711</v>
      </c>
      <c r="G308" s="189">
        <v>11000</v>
      </c>
      <c r="H308" s="138">
        <f>IF(D308=G308,0,IF(D308=0,100,(G308-D308)/D308*100))</f>
        <v>-63.696369636963702</v>
      </c>
      <c r="I308" s="33">
        <v>11000</v>
      </c>
      <c r="J308" s="33">
        <f>ROUNDUP(I308+(I308*Assumptions!I$5),-2)</f>
        <v>11300</v>
      </c>
      <c r="K308" s="33">
        <f>ROUNDUP(J308+(J308*Assumptions!J$5),-2)</f>
        <v>11600</v>
      </c>
      <c r="L308" s="33">
        <f>ROUNDUP(K308+(K308*Assumptions!K$5),-2)</f>
        <v>11900</v>
      </c>
      <c r="M308" s="33">
        <f>ROUNDUP(L308+(L308*Assumptions!L$5),-2)</f>
        <v>12200</v>
      </c>
      <c r="N308" s="33">
        <f>ROUNDUP(M308+(M308*Assumptions!M$5),-2)</f>
        <v>12500</v>
      </c>
      <c r="O308" s="33">
        <f>ROUNDUP(N308+(N308*Assumptions!N$5),-2)</f>
        <v>12800</v>
      </c>
      <c r="P308" s="142">
        <f>ROUNDUP(O308+(O308*Assumptions!O$5),-2)</f>
        <v>13100</v>
      </c>
      <c r="Q308" s="33">
        <f>ROUNDUP(P308+(P308*Assumptions!P$5),-2)</f>
        <v>13400</v>
      </c>
      <c r="R308" s="114">
        <f>ROUNDUP(Q308+(Q308*Assumptions!Q$5),-2)</f>
        <v>13700</v>
      </c>
    </row>
    <row r="309" spans="1:18" s="84" customFormat="1" x14ac:dyDescent="0.2">
      <c r="A309" s="107">
        <v>0</v>
      </c>
      <c r="B309" s="33">
        <v>0</v>
      </c>
      <c r="C309" s="189">
        <v>0</v>
      </c>
      <c r="D309" s="189">
        <v>300</v>
      </c>
      <c r="E309" s="821" t="s">
        <v>6176</v>
      </c>
      <c r="F309" s="814" t="s">
        <v>6728</v>
      </c>
      <c r="G309" s="189">
        <v>2800</v>
      </c>
      <c r="H309" s="138">
        <f>IF(D309=G309,0,IF(D309=0,100,(G309-D309)/D309*100))</f>
        <v>833.33333333333337</v>
      </c>
      <c r="I309" s="33">
        <v>3000</v>
      </c>
      <c r="J309" s="33">
        <f>ROUNDUP(I309+(I309*Assumptions!I$5),-2)</f>
        <v>3100</v>
      </c>
      <c r="K309" s="33">
        <f>ROUNDUP(J309+(J309*Assumptions!J$5),-2)</f>
        <v>3200</v>
      </c>
      <c r="L309" s="33">
        <f>ROUNDUP(K309+(K309*Assumptions!K$5),-2)</f>
        <v>3300</v>
      </c>
      <c r="M309" s="33">
        <f>ROUNDUP(L309+(L309*Assumptions!L$5),-2)</f>
        <v>3400</v>
      </c>
      <c r="N309" s="33">
        <f>ROUNDUP(M309+(M309*Assumptions!M$5),-2)</f>
        <v>3500</v>
      </c>
      <c r="O309" s="33">
        <f>ROUNDUP(N309+(N309*Assumptions!N$5),-2)</f>
        <v>3600</v>
      </c>
      <c r="P309" s="142">
        <f>ROUNDUP(O309+(O309*Assumptions!O$5),-2)</f>
        <v>3700</v>
      </c>
      <c r="Q309" s="33">
        <f>ROUNDUP(P309+(P309*Assumptions!P$5),-2)</f>
        <v>3800</v>
      </c>
      <c r="R309" s="114">
        <f>ROUNDUP(Q309+(Q309*Assumptions!Q$5),-2)</f>
        <v>3900</v>
      </c>
    </row>
    <row r="310" spans="1:18" s="84" customFormat="1" x14ac:dyDescent="0.2">
      <c r="A310" s="107"/>
      <c r="B310" s="33"/>
      <c r="C310" s="189"/>
      <c r="D310" s="189"/>
      <c r="E310" s="811"/>
      <c r="F310" s="814"/>
      <c r="G310" s="189"/>
      <c r="H310" s="138"/>
      <c r="I310" s="33"/>
      <c r="J310" s="33"/>
      <c r="K310" s="33"/>
      <c r="L310" s="33"/>
      <c r="M310" s="33"/>
      <c r="N310" s="33"/>
      <c r="O310" s="33"/>
      <c r="P310" s="142"/>
      <c r="Q310" s="33"/>
      <c r="R310" s="114"/>
    </row>
    <row r="311" spans="1:18" s="84" customFormat="1" x14ac:dyDescent="0.2">
      <c r="A311" s="107"/>
      <c r="B311" s="33"/>
      <c r="C311" s="189"/>
      <c r="D311" s="189"/>
      <c r="E311" s="437"/>
      <c r="F311" s="1103" t="s">
        <v>3610</v>
      </c>
      <c r="G311" s="189"/>
      <c r="H311" s="138"/>
      <c r="I311" s="33"/>
      <c r="J311" s="33"/>
      <c r="K311" s="33"/>
      <c r="L311" s="33"/>
      <c r="M311" s="33"/>
      <c r="N311" s="33"/>
      <c r="O311" s="33"/>
      <c r="P311" s="142"/>
      <c r="Q311" s="33"/>
      <c r="R311" s="114"/>
    </row>
    <row r="312" spans="1:18" s="84" customFormat="1" x14ac:dyDescent="0.2">
      <c r="A312" s="107">
        <v>200000</v>
      </c>
      <c r="B312" s="33">
        <v>173700</v>
      </c>
      <c r="C312" s="189">
        <v>149100</v>
      </c>
      <c r="D312" s="189">
        <v>42600</v>
      </c>
      <c r="E312" s="343" t="s">
        <v>391</v>
      </c>
      <c r="F312" s="814" t="s">
        <v>3610</v>
      </c>
      <c r="G312" s="189">
        <v>46000</v>
      </c>
      <c r="H312" s="138">
        <f>IF(D312=G312,0,IF(D312=0,100,(G312-D312)/D312*100))</f>
        <v>7.981220657276995</v>
      </c>
      <c r="I312" s="33">
        <v>47000</v>
      </c>
      <c r="J312" s="33">
        <f>ROUNDUP(I312+(I312*Assumptions!I$5),-2)</f>
        <v>48200</v>
      </c>
      <c r="K312" s="33">
        <f>ROUNDUP(J312+(J312*Assumptions!J$5),-2)</f>
        <v>49500</v>
      </c>
      <c r="L312" s="33">
        <f>ROUNDUP(K312+(K312*Assumptions!K$5),-2)</f>
        <v>50800</v>
      </c>
      <c r="M312" s="33">
        <f>ROUNDUP(L312+(L312*Assumptions!L$5),-2)</f>
        <v>51900</v>
      </c>
      <c r="N312" s="33">
        <f>ROUNDUP(M312+(M312*Assumptions!M$5),-2)</f>
        <v>53000</v>
      </c>
      <c r="O312" s="187">
        <f>ROUNDUP(N312+(N312*Assumptions!N$5),-2)</f>
        <v>54100</v>
      </c>
      <c r="P312" s="189">
        <f>ROUNDUP(O312+(O312*Assumptions!O$5),-2)</f>
        <v>55200</v>
      </c>
      <c r="Q312" s="187">
        <f>ROUNDUP(P312+(P312*Assumptions!P$5),-2)</f>
        <v>56400</v>
      </c>
      <c r="R312" s="188">
        <f>ROUNDUP(Q312+(Q312*Assumptions!Q$5),-2)</f>
        <v>57600</v>
      </c>
    </row>
    <row r="313" spans="1:18" s="84" customFormat="1" x14ac:dyDescent="0.2">
      <c r="A313" s="107">
        <v>0</v>
      </c>
      <c r="B313" s="33">
        <v>1500</v>
      </c>
      <c r="C313" s="189">
        <v>0</v>
      </c>
      <c r="D313" s="189">
        <v>24500</v>
      </c>
      <c r="E313" s="343" t="s">
        <v>1164</v>
      </c>
      <c r="F313" s="443" t="s">
        <v>1487</v>
      </c>
      <c r="G313" s="189">
        <v>0</v>
      </c>
      <c r="H313" s="138">
        <f>IF(D313=G313,0,IF(D313=0,100,(G313-D313)/D313*100))</f>
        <v>-100</v>
      </c>
      <c r="I313" s="33">
        <v>0</v>
      </c>
      <c r="J313" s="33">
        <f>ROUNDUP(I313+(I313*Assumptions!I$5),-2)</f>
        <v>0</v>
      </c>
      <c r="K313" s="33">
        <f>ROUNDUP(J313+(J313*Assumptions!J$5),-2)</f>
        <v>0</v>
      </c>
      <c r="L313" s="33">
        <f>ROUNDUP(K313+(K313*Assumptions!K$5),-2)</f>
        <v>0</v>
      </c>
      <c r="M313" s="33">
        <f>ROUNDUP(L313+(L313*Assumptions!L$5),-2)</f>
        <v>0</v>
      </c>
      <c r="N313" s="33">
        <f>ROUNDUP(M313+(M313*Assumptions!M$5),-2)</f>
        <v>0</v>
      </c>
      <c r="O313" s="187">
        <f>ROUNDUP(N313+(N313*Assumptions!N$5),-2)</f>
        <v>0</v>
      </c>
      <c r="P313" s="189">
        <f>ROUNDUP(O313+(O313*Assumptions!O$5),-2)</f>
        <v>0</v>
      </c>
      <c r="Q313" s="187">
        <f>ROUNDUP(P313+(P313*Assumptions!P$5),-2)</f>
        <v>0</v>
      </c>
      <c r="R313" s="188">
        <f>ROUNDUP(Q313+(Q313*Assumptions!Q$5),-2)</f>
        <v>0</v>
      </c>
    </row>
    <row r="314" spans="1:18" s="84" customFormat="1" x14ac:dyDescent="0.2">
      <c r="A314" s="107">
        <v>18200</v>
      </c>
      <c r="B314" s="33">
        <v>16700</v>
      </c>
      <c r="C314" s="189">
        <v>22000</v>
      </c>
      <c r="D314" s="189">
        <v>16100</v>
      </c>
      <c r="E314" s="343" t="s">
        <v>1165</v>
      </c>
      <c r="F314" s="814" t="s">
        <v>6712</v>
      </c>
      <c r="G314" s="189">
        <v>26000</v>
      </c>
      <c r="H314" s="138">
        <f>IF(D314=G314,0,IF(D314=0,100,(G314-D314)/D314*100))</f>
        <v>61.490683229813669</v>
      </c>
      <c r="I314" s="33">
        <v>26000</v>
      </c>
      <c r="J314" s="33">
        <f>ROUNDUP(I314+(I314*Assumptions!I$5),-2)</f>
        <v>26700</v>
      </c>
      <c r="K314" s="33">
        <f>ROUNDUP(J314+(J314*Assumptions!J$5),-2)</f>
        <v>27400</v>
      </c>
      <c r="L314" s="33">
        <f>ROUNDUP(K314+(K314*Assumptions!K$5),-2)</f>
        <v>28100</v>
      </c>
      <c r="M314" s="33">
        <f>ROUNDUP(L314+(L314*Assumptions!L$5),-2)</f>
        <v>28700</v>
      </c>
      <c r="N314" s="33">
        <f>ROUNDUP(M314+(M314*Assumptions!M$5),-2)</f>
        <v>29300</v>
      </c>
      <c r="O314" s="187">
        <f>ROUNDUP(N314+(N314*Assumptions!N$5),-2)</f>
        <v>29900</v>
      </c>
      <c r="P314" s="189">
        <f>ROUNDUP(O314+(O314*Assumptions!O$5),-2)</f>
        <v>30500</v>
      </c>
      <c r="Q314" s="187">
        <f>ROUNDUP(P314+(P314*Assumptions!P$5),-2)</f>
        <v>31200</v>
      </c>
      <c r="R314" s="188">
        <f>ROUNDUP(Q314+(Q314*Assumptions!Q$5),-2)</f>
        <v>31900</v>
      </c>
    </row>
    <row r="315" spans="1:18" s="84" customFormat="1" x14ac:dyDescent="0.2">
      <c r="A315" s="107">
        <v>700</v>
      </c>
      <c r="B315" s="33">
        <v>600</v>
      </c>
      <c r="C315" s="189">
        <v>1800</v>
      </c>
      <c r="D315" s="189">
        <v>0</v>
      </c>
      <c r="E315" s="343" t="s">
        <v>476</v>
      </c>
      <c r="F315" s="814" t="s">
        <v>6729</v>
      </c>
      <c r="G315" s="189">
        <v>0</v>
      </c>
      <c r="H315" s="138">
        <f>IF(D315=G315,0,IF(D315=0,100,(G315-D315)/D315*100))</f>
        <v>0</v>
      </c>
      <c r="I315" s="33">
        <v>0</v>
      </c>
      <c r="J315" s="33">
        <f>ROUNDUP(I315+(I315*Assumptions!I$5),-2)</f>
        <v>0</v>
      </c>
      <c r="K315" s="33">
        <f>ROUNDUP(J315+(J315*Assumptions!J$5),-2)</f>
        <v>0</v>
      </c>
      <c r="L315" s="33">
        <f>ROUNDUP(K315+(K315*Assumptions!K$5),-2)</f>
        <v>0</v>
      </c>
      <c r="M315" s="33">
        <f>ROUNDUP(L315+(L315*Assumptions!L$5),-2)</f>
        <v>0</v>
      </c>
      <c r="N315" s="33">
        <f>ROUNDUP(M315+(M315*Assumptions!M$5),-2)</f>
        <v>0</v>
      </c>
      <c r="O315" s="187">
        <f>ROUNDUP(N315+(N315*Assumptions!N$5),-2)</f>
        <v>0</v>
      </c>
      <c r="P315" s="189">
        <f>ROUNDUP(O315+(O315*Assumptions!O$5),-2)</f>
        <v>0</v>
      </c>
      <c r="Q315" s="187">
        <f>ROUNDUP(P315+(P315*Assumptions!P$5),-2)</f>
        <v>0</v>
      </c>
      <c r="R315" s="188">
        <f>ROUNDUP(Q315+(Q315*Assumptions!Q$5),-2)</f>
        <v>0</v>
      </c>
    </row>
    <row r="316" spans="1:18" s="84" customFormat="1" x14ac:dyDescent="0.2">
      <c r="A316" s="107"/>
      <c r="B316" s="33"/>
      <c r="C316" s="189"/>
      <c r="D316" s="189"/>
      <c r="E316" s="1044"/>
      <c r="F316" s="554"/>
      <c r="G316" s="189"/>
      <c r="H316" s="138"/>
      <c r="I316" s="33"/>
      <c r="J316" s="33"/>
      <c r="K316" s="33"/>
      <c r="L316" s="33"/>
      <c r="M316" s="33"/>
      <c r="N316" s="33"/>
      <c r="O316" s="33"/>
      <c r="P316" s="142"/>
      <c r="Q316" s="33"/>
      <c r="R316" s="114"/>
    </row>
    <row r="317" spans="1:18" s="84" customFormat="1" x14ac:dyDescent="0.2">
      <c r="A317" s="107"/>
      <c r="B317" s="33"/>
      <c r="C317" s="189"/>
      <c r="D317" s="189"/>
      <c r="E317" s="1044"/>
      <c r="F317" s="2006" t="s">
        <v>5005</v>
      </c>
      <c r="G317" s="189"/>
      <c r="H317" s="138"/>
      <c r="I317" s="33"/>
      <c r="J317" s="33"/>
      <c r="K317" s="33"/>
      <c r="L317" s="33"/>
      <c r="M317" s="33"/>
      <c r="N317" s="33"/>
      <c r="O317" s="33"/>
      <c r="P317" s="142"/>
      <c r="Q317" s="33"/>
      <c r="R317" s="114"/>
    </row>
    <row r="318" spans="1:18" s="84" customFormat="1" x14ac:dyDescent="0.2">
      <c r="A318" s="107">
        <v>333500</v>
      </c>
      <c r="B318" s="33">
        <v>284100</v>
      </c>
      <c r="C318" s="189">
        <v>371600</v>
      </c>
      <c r="D318" s="189">
        <v>316200</v>
      </c>
      <c r="E318" s="343" t="s">
        <v>2118</v>
      </c>
      <c r="F318" s="953" t="s">
        <v>5005</v>
      </c>
      <c r="G318" s="189">
        <v>395000</v>
      </c>
      <c r="H318" s="138">
        <f>IF(D318=G318,0,IF(D318=0,100,(G318-D318)/D318*100))</f>
        <v>24.920936116382038</v>
      </c>
      <c r="I318" s="33">
        <v>400000</v>
      </c>
      <c r="J318" s="33">
        <f>ROUNDUP(I318+(I318*Assumptions!I$5),-2)</f>
        <v>410000</v>
      </c>
      <c r="K318" s="33">
        <f>ROUNDUP(J318+(J318*Assumptions!J$5),-2)</f>
        <v>420300</v>
      </c>
      <c r="L318" s="33">
        <f>ROUNDUP(K318+(K318*Assumptions!K$5),-2)</f>
        <v>430900</v>
      </c>
      <c r="M318" s="33">
        <f>ROUNDUP(L318+(L318*Assumptions!L$5),-2)</f>
        <v>439600</v>
      </c>
      <c r="N318" s="33">
        <f>ROUNDUP(M318+(M318*Assumptions!M$5),-2)</f>
        <v>448400</v>
      </c>
      <c r="O318" s="33">
        <f>ROUNDUP(N318+(N318*Assumptions!N$5),-2)</f>
        <v>457400</v>
      </c>
      <c r="P318" s="142">
        <f>ROUNDUP(O318+(O318*Assumptions!O$5),-2)</f>
        <v>466600</v>
      </c>
      <c r="Q318" s="33">
        <f>ROUNDUP(P318+(P318*Assumptions!P$5),-2)</f>
        <v>476000</v>
      </c>
      <c r="R318" s="114">
        <f>ROUNDUP(Q318+(Q318*Assumptions!Q$5),-2)</f>
        <v>485600</v>
      </c>
    </row>
    <row r="319" spans="1:18" s="84" customFormat="1" x14ac:dyDescent="0.2">
      <c r="A319" s="107">
        <v>81800</v>
      </c>
      <c r="B319" s="33">
        <v>64600</v>
      </c>
      <c r="C319" s="189">
        <v>75000</v>
      </c>
      <c r="D319" s="189">
        <v>48300</v>
      </c>
      <c r="E319" s="343" t="s">
        <v>390</v>
      </c>
      <c r="F319" s="953" t="s">
        <v>6713</v>
      </c>
      <c r="G319" s="189">
        <f>100000-60000</f>
        <v>40000</v>
      </c>
      <c r="H319" s="138">
        <f>IF(D319=G319,0,IF(D319=0,100,(G319-D319)/D319*100))</f>
        <v>-17.184265010351968</v>
      </c>
      <c r="I319" s="33">
        <v>100000</v>
      </c>
      <c r="J319" s="33">
        <f>ROUNDUP(I319+(I319*Assumptions!I$5),-2)</f>
        <v>102500</v>
      </c>
      <c r="K319" s="33">
        <f>ROUNDUP(J319+(J319*Assumptions!J$5),-2)</f>
        <v>105100</v>
      </c>
      <c r="L319" s="33">
        <f>ROUNDUP(K319+(K319*Assumptions!K$5),-2)</f>
        <v>107800</v>
      </c>
      <c r="M319" s="33">
        <f>ROUNDUP(L319+(L319*Assumptions!L$5),-2)</f>
        <v>110000</v>
      </c>
      <c r="N319" s="33">
        <f>ROUNDUP(M319+(M319*Assumptions!M$5),-2)</f>
        <v>112200</v>
      </c>
      <c r="O319" s="187">
        <f>ROUNDUP(N319+(N319*Assumptions!N$5),-2)</f>
        <v>114500</v>
      </c>
      <c r="P319" s="189">
        <f>ROUNDUP(O319+(O319*Assumptions!O$5),-2)</f>
        <v>116800</v>
      </c>
      <c r="Q319" s="187">
        <f>ROUNDUP(P319+(P319*Assumptions!P$5),-2)</f>
        <v>119200</v>
      </c>
      <c r="R319" s="188">
        <f>ROUNDUP(Q319+(Q319*Assumptions!Q$5),-2)</f>
        <v>121600</v>
      </c>
    </row>
    <row r="320" spans="1:18" s="84" customFormat="1" x14ac:dyDescent="0.2">
      <c r="A320" s="107"/>
      <c r="B320" s="33"/>
      <c r="C320" s="189"/>
      <c r="D320" s="189"/>
      <c r="E320" s="1044"/>
      <c r="F320" s="554"/>
      <c r="G320" s="189"/>
      <c r="H320" s="138"/>
      <c r="I320" s="33"/>
      <c r="J320" s="33"/>
      <c r="K320" s="33"/>
      <c r="L320" s="33"/>
      <c r="M320" s="33"/>
      <c r="N320" s="33"/>
      <c r="O320" s="33"/>
      <c r="P320" s="142"/>
      <c r="Q320" s="33"/>
      <c r="R320" s="114"/>
    </row>
    <row r="321" spans="1:18" s="84" customFormat="1" x14ac:dyDescent="0.2">
      <c r="A321" s="107"/>
      <c r="B321" s="33"/>
      <c r="C321" s="189"/>
      <c r="D321" s="189"/>
      <c r="E321" s="1044"/>
      <c r="F321" s="2006" t="s">
        <v>5007</v>
      </c>
      <c r="G321" s="189"/>
      <c r="H321" s="138"/>
      <c r="I321" s="33"/>
      <c r="J321" s="33"/>
      <c r="K321" s="33"/>
      <c r="L321" s="33"/>
      <c r="M321" s="33"/>
      <c r="N321" s="33"/>
      <c r="O321" s="33"/>
      <c r="P321" s="142"/>
      <c r="Q321" s="33"/>
      <c r="R321" s="114"/>
    </row>
    <row r="322" spans="1:18" s="84" customFormat="1" x14ac:dyDescent="0.2">
      <c r="A322" s="107">
        <v>293400</v>
      </c>
      <c r="B322" s="33">
        <v>401000</v>
      </c>
      <c r="C322" s="189">
        <v>343800</v>
      </c>
      <c r="D322" s="189">
        <v>345100</v>
      </c>
      <c r="E322" s="821" t="s">
        <v>6190</v>
      </c>
      <c r="F322" s="953" t="s">
        <v>5006</v>
      </c>
      <c r="G322" s="189">
        <v>340000</v>
      </c>
      <c r="H322" s="138">
        <f>IF(D322=G322,0,IF(D322=0,100,(G322-D322)/D322*100))</f>
        <v>-1.4778325123152709</v>
      </c>
      <c r="I322" s="33">
        <v>345000</v>
      </c>
      <c r="J322" s="33">
        <f>ROUNDUP(I322+(I322*Assumptions!I$5),-2)</f>
        <v>353700</v>
      </c>
      <c r="K322" s="33">
        <f>ROUNDUP(J322+(J322*Assumptions!J$5),-2)</f>
        <v>362600</v>
      </c>
      <c r="L322" s="33">
        <f>ROUNDUP(K322+(K322*Assumptions!K$5),-2)</f>
        <v>371700</v>
      </c>
      <c r="M322" s="33">
        <f>ROUNDUP(L322+(L322*Assumptions!L$5),-2)</f>
        <v>379200</v>
      </c>
      <c r="N322" s="33">
        <f>ROUNDUP(M322+(M322*Assumptions!M$5),-2)</f>
        <v>386800</v>
      </c>
      <c r="O322" s="187">
        <f>ROUNDUP(N322+(N322*Assumptions!N$5),-2)</f>
        <v>394600</v>
      </c>
      <c r="P322" s="189">
        <f>ROUNDUP(O322+(O322*Assumptions!O$5),-2)</f>
        <v>402500</v>
      </c>
      <c r="Q322" s="187">
        <f>ROUNDUP(P322+(P322*Assumptions!P$5),-2)</f>
        <v>410600</v>
      </c>
      <c r="R322" s="188">
        <f>ROUNDUP(Q322+(Q322*Assumptions!Q$5),-2)</f>
        <v>418900</v>
      </c>
    </row>
    <row r="323" spans="1:18" s="84" customFormat="1" x14ac:dyDescent="0.2">
      <c r="A323" s="107"/>
      <c r="B323" s="33"/>
      <c r="C323" s="189"/>
      <c r="D323" s="189"/>
      <c r="E323" s="343"/>
      <c r="F323" s="528"/>
      <c r="G323" s="189"/>
      <c r="H323" s="138"/>
      <c r="I323" s="33"/>
      <c r="J323" s="33"/>
      <c r="K323" s="33"/>
      <c r="L323" s="33"/>
      <c r="M323" s="33"/>
      <c r="N323" s="33"/>
      <c r="O323" s="187"/>
      <c r="P323" s="189"/>
      <c r="Q323" s="187"/>
      <c r="R323" s="188"/>
    </row>
    <row r="324" spans="1:18" s="84" customFormat="1" x14ac:dyDescent="0.2">
      <c r="A324" s="107"/>
      <c r="B324" s="33"/>
      <c r="C324" s="189"/>
      <c r="D324" s="189"/>
      <c r="E324" s="343"/>
      <c r="F324" s="1447" t="s">
        <v>5021</v>
      </c>
      <c r="G324" s="189"/>
      <c r="H324" s="138"/>
      <c r="I324" s="33"/>
      <c r="J324" s="33"/>
      <c r="K324" s="33"/>
      <c r="L324" s="33"/>
      <c r="M324" s="33"/>
      <c r="N324" s="33"/>
      <c r="O324" s="187"/>
      <c r="P324" s="189"/>
      <c r="Q324" s="187"/>
      <c r="R324" s="188"/>
    </row>
    <row r="325" spans="1:18" s="84" customFormat="1" x14ac:dyDescent="0.2">
      <c r="A325" s="107">
        <v>2500</v>
      </c>
      <c r="B325" s="33">
        <v>6200</v>
      </c>
      <c r="C325" s="189">
        <f>10600+4400-700+7000+200</f>
        <v>21500</v>
      </c>
      <c r="D325" s="189">
        <v>8600</v>
      </c>
      <c r="E325" s="343" t="s">
        <v>1651</v>
      </c>
      <c r="F325" s="528" t="s">
        <v>936</v>
      </c>
      <c r="G325" s="189">
        <v>16000</v>
      </c>
      <c r="H325" s="138">
        <f t="shared" ref="H325:H334" si="291">IF(D325=G325,0,IF(D325=0,100,(G325-D325)/D325*100))</f>
        <v>86.04651162790698</v>
      </c>
      <c r="I325" s="33">
        <v>16000</v>
      </c>
      <c r="J325" s="33">
        <f>ROUNDUP(I325+(I325*Assumptions!I$5),-2)</f>
        <v>16400</v>
      </c>
      <c r="K325" s="33">
        <f>ROUNDUP(J325+(J325*Assumptions!J$5),-2)</f>
        <v>16900</v>
      </c>
      <c r="L325" s="33">
        <f>ROUNDUP(K325+(K325*Assumptions!K$5),-2)</f>
        <v>17400</v>
      </c>
      <c r="M325" s="33">
        <f>ROUNDUP(L325+(L325*Assumptions!L$5),-2)</f>
        <v>17800</v>
      </c>
      <c r="N325" s="33">
        <f>ROUNDUP(M325+(M325*Assumptions!M$5),-2)</f>
        <v>18200</v>
      </c>
      <c r="O325" s="187">
        <f>ROUNDUP(N325+(N325*Assumptions!N$5),-2)</f>
        <v>18600</v>
      </c>
      <c r="P325" s="189">
        <f>ROUNDUP(O325+(O325*Assumptions!O$5),-2)</f>
        <v>19000</v>
      </c>
      <c r="Q325" s="187">
        <f>ROUNDUP(P325+(P325*Assumptions!P$5),-2)</f>
        <v>19400</v>
      </c>
      <c r="R325" s="188">
        <f>ROUNDUP(Q325+(Q325*Assumptions!Q$5),-2)</f>
        <v>19800</v>
      </c>
    </row>
    <row r="326" spans="1:18" s="84" customFormat="1" x14ac:dyDescent="0.2">
      <c r="A326" s="107">
        <v>15300</v>
      </c>
      <c r="B326" s="33">
        <v>5200</v>
      </c>
      <c r="C326" s="189">
        <v>11500</v>
      </c>
      <c r="D326" s="189">
        <v>13300</v>
      </c>
      <c r="E326" s="343" t="s">
        <v>1653</v>
      </c>
      <c r="F326" s="953" t="s">
        <v>2046</v>
      </c>
      <c r="G326" s="189">
        <v>5100</v>
      </c>
      <c r="H326" s="138">
        <f t="shared" si="291"/>
        <v>-61.65413533834586</v>
      </c>
      <c r="I326" s="33">
        <v>5000</v>
      </c>
      <c r="J326" s="33">
        <f>ROUNDUP(I326+(I326*Assumptions!I$5),-2)</f>
        <v>5200</v>
      </c>
      <c r="K326" s="33">
        <f>ROUNDUP(J326+(J326*Assumptions!J$5),-2)</f>
        <v>5400</v>
      </c>
      <c r="L326" s="33">
        <f>ROUNDUP(K326+(K326*Assumptions!K$5),-2)</f>
        <v>5600</v>
      </c>
      <c r="M326" s="33">
        <f>ROUNDUP(L326+(L326*Assumptions!L$5),-2)</f>
        <v>5800</v>
      </c>
      <c r="N326" s="33">
        <f>ROUNDUP(M326+(M326*Assumptions!M$5),-2)</f>
        <v>6000</v>
      </c>
      <c r="O326" s="33">
        <f>ROUNDUP(N326+(N326*Assumptions!N$5),-2)</f>
        <v>6200</v>
      </c>
      <c r="P326" s="142">
        <f>ROUNDUP(O326+(O326*Assumptions!O$5),-2)</f>
        <v>6400</v>
      </c>
      <c r="Q326" s="33">
        <f>ROUNDUP(P326+(P326*Assumptions!P$5),-2)</f>
        <v>6600</v>
      </c>
      <c r="R326" s="114">
        <f>ROUNDUP(Q326+(Q326*Assumptions!Q$5),-2)</f>
        <v>6800</v>
      </c>
    </row>
    <row r="327" spans="1:18" s="84" customFormat="1" x14ac:dyDescent="0.2">
      <c r="A327" s="107">
        <v>0</v>
      </c>
      <c r="B327" s="33">
        <v>0</v>
      </c>
      <c r="C327" s="189">
        <v>0</v>
      </c>
      <c r="D327" s="189">
        <v>600</v>
      </c>
      <c r="E327" s="821" t="s">
        <v>5599</v>
      </c>
      <c r="F327" s="953" t="s">
        <v>5600</v>
      </c>
      <c r="G327" s="189">
        <v>1100</v>
      </c>
      <c r="H327" s="138">
        <f t="shared" si="291"/>
        <v>83.333333333333343</v>
      </c>
      <c r="I327" s="33">
        <v>1000</v>
      </c>
      <c r="J327" s="189">
        <f>ROUNDUP(G327+(G327*Assumptions!I$5),-2)</f>
        <v>1200</v>
      </c>
      <c r="K327" s="189">
        <f>ROUNDUP(I327+(I327*Assumptions!J$5),-2)</f>
        <v>1100</v>
      </c>
      <c r="L327" s="189">
        <f>ROUNDUP(J327+(J327*Assumptions!K$5),-2)</f>
        <v>1300</v>
      </c>
      <c r="M327" s="189">
        <f>ROUNDUP(K327+(K327*Assumptions!L$5),-2)</f>
        <v>1200</v>
      </c>
      <c r="N327" s="189">
        <f>ROUNDUP(L327+(L327*Assumptions!M$5),-2)</f>
        <v>1400</v>
      </c>
      <c r="O327" s="189">
        <f>ROUNDUP(M327+(M327*Assumptions!N$5),-2)</f>
        <v>1300</v>
      </c>
      <c r="P327" s="189">
        <f>ROUNDUP(N327+(N327*Assumptions!O$5),-2)</f>
        <v>1500</v>
      </c>
      <c r="Q327" s="187">
        <f>ROUNDUP(O327+(O327*Assumptions!P$5),-2)</f>
        <v>1400</v>
      </c>
      <c r="R327" s="188">
        <f>ROUNDUP(P327+(P327*Assumptions!Q$5),-2)</f>
        <v>1600</v>
      </c>
    </row>
    <row r="328" spans="1:18" s="84" customFormat="1" x14ac:dyDescent="0.2">
      <c r="A328" s="107">
        <v>0</v>
      </c>
      <c r="B328" s="33">
        <v>0</v>
      </c>
      <c r="C328" s="189">
        <v>0</v>
      </c>
      <c r="D328" s="189">
        <v>1200</v>
      </c>
      <c r="E328" s="821" t="s">
        <v>5601</v>
      </c>
      <c r="F328" s="953" t="s">
        <v>5602</v>
      </c>
      <c r="G328" s="189">
        <v>2100</v>
      </c>
      <c r="H328" s="138">
        <f t="shared" si="291"/>
        <v>75</v>
      </c>
      <c r="I328" s="33">
        <v>2000</v>
      </c>
      <c r="J328" s="33">
        <f>ROUNDUP(I328+(I328*Assumptions!I$5),-2)</f>
        <v>2100</v>
      </c>
      <c r="K328" s="33">
        <f>ROUNDUP(J328+(J328*Assumptions!J$5),-2)</f>
        <v>2200</v>
      </c>
      <c r="L328" s="33">
        <f>ROUNDUP(K328+(K328*Assumptions!K$5),-2)</f>
        <v>2300</v>
      </c>
      <c r="M328" s="33">
        <f>ROUNDUP(L328+(L328*Assumptions!L$5),-2)</f>
        <v>2400</v>
      </c>
      <c r="N328" s="33">
        <f>ROUNDUP(M328+(M328*Assumptions!M$5),-2)</f>
        <v>2500</v>
      </c>
      <c r="O328" s="33">
        <f>ROUNDUP(N328+(N328*Assumptions!N$5),-2)</f>
        <v>2600</v>
      </c>
      <c r="P328" s="33">
        <f>ROUNDUP(O328+(O328*Assumptions!O$5),-2)</f>
        <v>2700</v>
      </c>
      <c r="Q328" s="33">
        <f>ROUNDUP(P328+(P328*Assumptions!P$5),-2)</f>
        <v>2800</v>
      </c>
      <c r="R328" s="114">
        <f>ROUNDUP(Q328+(Q328*Assumptions!Q$5),-2)</f>
        <v>2900</v>
      </c>
    </row>
    <row r="329" spans="1:18" s="84" customFormat="1" x14ac:dyDescent="0.2">
      <c r="A329" s="107">
        <v>105600</v>
      </c>
      <c r="B329" s="33">
        <v>107600</v>
      </c>
      <c r="C329" s="189">
        <v>121000</v>
      </c>
      <c r="D329" s="189">
        <v>118000</v>
      </c>
      <c r="E329" s="821" t="s">
        <v>6168</v>
      </c>
      <c r="F329" s="528" t="s">
        <v>2570</v>
      </c>
      <c r="G329" s="189">
        <v>122400</v>
      </c>
      <c r="H329" s="138">
        <f t="shared" si="291"/>
        <v>3.7288135593220342</v>
      </c>
      <c r="I329" s="33">
        <v>124000</v>
      </c>
      <c r="J329" s="33">
        <f>ROUNDUP(I329+(I329*Assumptions!I$5),-2)</f>
        <v>127100</v>
      </c>
      <c r="K329" s="33">
        <f>ROUNDUP(J329+(J329*Assumptions!J$5),-2)</f>
        <v>130300</v>
      </c>
      <c r="L329" s="33">
        <f>ROUNDUP(K329+(K329*Assumptions!K$5),-2)</f>
        <v>133600</v>
      </c>
      <c r="M329" s="33">
        <f>ROUNDUP(L329+(L329*Assumptions!L$5),-2)</f>
        <v>136300</v>
      </c>
      <c r="N329" s="33">
        <f>ROUNDUP(M329+(M329*Assumptions!M$5),-2)</f>
        <v>139100</v>
      </c>
      <c r="O329" s="33">
        <f>ROUNDUP(N329+(N329*Assumptions!N$5),-2)</f>
        <v>141900</v>
      </c>
      <c r="P329" s="142">
        <f>ROUNDUP(O329+(O329*Assumptions!O$5),-2)</f>
        <v>144800</v>
      </c>
      <c r="Q329" s="33">
        <f>ROUNDUP(P329+(P329*Assumptions!P$5),-2)</f>
        <v>147700</v>
      </c>
      <c r="R329" s="114">
        <f>ROUNDUP(Q329+(Q329*Assumptions!Q$5),-2)</f>
        <v>150700</v>
      </c>
    </row>
    <row r="330" spans="1:18" s="84" customFormat="1" x14ac:dyDescent="0.2">
      <c r="A330" s="107">
        <v>57500</v>
      </c>
      <c r="B330" s="33">
        <v>53800</v>
      </c>
      <c r="C330" s="189">
        <f>75100+1300</f>
        <v>76400</v>
      </c>
      <c r="D330" s="189">
        <v>103300</v>
      </c>
      <c r="E330" s="821" t="s">
        <v>6169</v>
      </c>
      <c r="F330" s="953" t="s">
        <v>4963</v>
      </c>
      <c r="G330" s="189">
        <v>92000</v>
      </c>
      <c r="H330" s="138">
        <f t="shared" si="291"/>
        <v>-10.939012584704743</v>
      </c>
      <c r="I330" s="33">
        <v>94000</v>
      </c>
      <c r="J330" s="33">
        <f>ROUNDUP(I330+(I330*Assumptions!I$5),-2)</f>
        <v>96400</v>
      </c>
      <c r="K330" s="33">
        <f>ROUNDUP(J330+(J330*Assumptions!J$5),-2)</f>
        <v>98900</v>
      </c>
      <c r="L330" s="33">
        <f>ROUNDUP(K330+(K330*Assumptions!K$5),-2)</f>
        <v>101400</v>
      </c>
      <c r="M330" s="33">
        <f>ROUNDUP(L330+(L330*Assumptions!L$5),-2)</f>
        <v>103500</v>
      </c>
      <c r="N330" s="33">
        <f>ROUNDUP(M330+(M330*Assumptions!M$5),-2)</f>
        <v>105600</v>
      </c>
      <c r="O330" s="33">
        <f>ROUNDUP(N330+(N330*Assumptions!N$5),-2)</f>
        <v>107800</v>
      </c>
      <c r="P330" s="142">
        <f>ROUNDUP(O330+(O330*Assumptions!O$5),-2)</f>
        <v>110000</v>
      </c>
      <c r="Q330" s="33">
        <f>ROUNDUP(P330+(P330*Assumptions!P$5),-2)</f>
        <v>112200</v>
      </c>
      <c r="R330" s="114">
        <f>ROUNDUP(Q330+(Q330*Assumptions!Q$5),-2)</f>
        <v>114500</v>
      </c>
    </row>
    <row r="331" spans="1:18" s="84" customFormat="1" x14ac:dyDescent="0.2">
      <c r="A331" s="107">
        <v>0</v>
      </c>
      <c r="B331" s="33">
        <v>0</v>
      </c>
      <c r="C331" s="189">
        <v>0</v>
      </c>
      <c r="D331" s="189">
        <v>0</v>
      </c>
      <c r="E331" s="821" t="s">
        <v>6170</v>
      </c>
      <c r="F331" s="528" t="s">
        <v>656</v>
      </c>
      <c r="G331" s="189">
        <f>20000-5000</f>
        <v>15000</v>
      </c>
      <c r="H331" s="138">
        <f t="shared" si="291"/>
        <v>100</v>
      </c>
      <c r="I331" s="33">
        <v>20000</v>
      </c>
      <c r="J331" s="33">
        <f>ROUNDUP(I331+(I331*Assumptions!I$5),-2)</f>
        <v>20500</v>
      </c>
      <c r="K331" s="33">
        <f>ROUNDUP(J331+(J331*Assumptions!J$5),-2)</f>
        <v>21100</v>
      </c>
      <c r="L331" s="33">
        <f>ROUNDUP(K331+(K331*Assumptions!K$5),-2)</f>
        <v>21700</v>
      </c>
      <c r="M331" s="33">
        <f>ROUNDUP(L331+(L331*Assumptions!L$5),-2)</f>
        <v>22200</v>
      </c>
      <c r="N331" s="33">
        <f>ROUNDUP(M331+(M331*Assumptions!M$5),-2)</f>
        <v>22700</v>
      </c>
      <c r="O331" s="33">
        <f>ROUNDUP(N331+(N331*Assumptions!N$5),-2)</f>
        <v>23200</v>
      </c>
      <c r="P331" s="142">
        <f>ROUNDUP(O331+(O331*Assumptions!O$5),-2)</f>
        <v>23700</v>
      </c>
      <c r="Q331" s="33">
        <f>ROUNDUP(P331+(P331*Assumptions!P$5),-2)</f>
        <v>24200</v>
      </c>
      <c r="R331" s="114">
        <f>ROUNDUP(Q331+(Q331*Assumptions!Q$5),-2)</f>
        <v>24700</v>
      </c>
    </row>
    <row r="332" spans="1:18" s="84" customFormat="1" x14ac:dyDescent="0.2">
      <c r="A332" s="71">
        <f>183600-34000+100</f>
        <v>149700</v>
      </c>
      <c r="B332" s="132">
        <f>125400+77200</f>
        <v>202600</v>
      </c>
      <c r="C332" s="189">
        <v>700</v>
      </c>
      <c r="D332" s="189">
        <v>0</v>
      </c>
      <c r="E332" s="343" t="s">
        <v>1652</v>
      </c>
      <c r="F332" s="953" t="s">
        <v>5059</v>
      </c>
      <c r="G332" s="189">
        <v>0</v>
      </c>
      <c r="H332" s="138">
        <f t="shared" si="291"/>
        <v>0</v>
      </c>
      <c r="I332" s="33">
        <v>0</v>
      </c>
      <c r="J332" s="33">
        <f>ROUNDUP(I332+(I332*Assumptions!I$5),-2)</f>
        <v>0</v>
      </c>
      <c r="K332" s="33">
        <f>ROUNDUP(J332+(J332*Assumptions!J$5),-2)</f>
        <v>0</v>
      </c>
      <c r="L332" s="33">
        <f>ROUNDUP(K332+(K332*Assumptions!K$5),-2)</f>
        <v>0</v>
      </c>
      <c r="M332" s="33">
        <f>ROUNDUP(L332+(L332*Assumptions!L$5),-2)</f>
        <v>0</v>
      </c>
      <c r="N332" s="33">
        <f>ROUNDUP(M332+(M332*Assumptions!M$5),-2)</f>
        <v>0</v>
      </c>
      <c r="O332" s="187">
        <f>ROUNDUP(N332+(N332*Assumptions!N$5),-2)</f>
        <v>0</v>
      </c>
      <c r="P332" s="189">
        <f>ROUNDUP(O332+(O332*Assumptions!O$5),-2)</f>
        <v>0</v>
      </c>
      <c r="Q332" s="187">
        <f>ROUNDUP(P332+(P332*Assumptions!P$5),-2)</f>
        <v>0</v>
      </c>
      <c r="R332" s="188">
        <f>ROUNDUP(Q332+(Q332*Assumptions!Q$5),-2)</f>
        <v>0</v>
      </c>
    </row>
    <row r="333" spans="1:18" s="84" customFormat="1" x14ac:dyDescent="0.2">
      <c r="A333" s="107">
        <v>2800</v>
      </c>
      <c r="B333" s="33">
        <v>900</v>
      </c>
      <c r="C333" s="189">
        <v>1500</v>
      </c>
      <c r="D333" s="189">
        <v>0</v>
      </c>
      <c r="E333" s="343" t="s">
        <v>657</v>
      </c>
      <c r="F333" s="528" t="s">
        <v>658</v>
      </c>
      <c r="G333" s="189">
        <v>3100</v>
      </c>
      <c r="H333" s="138">
        <f t="shared" si="291"/>
        <v>100</v>
      </c>
      <c r="I333" s="33">
        <v>3000</v>
      </c>
      <c r="J333" s="33">
        <f>ROUNDUP(I333+(I333*Assumptions!I$5),-2)</f>
        <v>3100</v>
      </c>
      <c r="K333" s="33">
        <f>ROUNDUP(J333+(J333*Assumptions!J$5),-2)</f>
        <v>3200</v>
      </c>
      <c r="L333" s="33">
        <f>ROUNDUP(K333+(K333*Assumptions!K$5),-2)</f>
        <v>3300</v>
      </c>
      <c r="M333" s="33">
        <f>ROUNDUP(L333+(L333*Assumptions!L$5),-2)</f>
        <v>3400</v>
      </c>
      <c r="N333" s="33">
        <f>ROUNDUP(M333+(M333*Assumptions!M$5),-2)</f>
        <v>3500</v>
      </c>
      <c r="O333" s="187">
        <f>ROUNDUP(N333+(N333*Assumptions!N$5),-2)</f>
        <v>3600</v>
      </c>
      <c r="P333" s="189">
        <f>ROUNDUP(O333+(O333*Assumptions!O$5),-2)</f>
        <v>3700</v>
      </c>
      <c r="Q333" s="187">
        <f>ROUNDUP(P333+(P333*Assumptions!P$5),-2)</f>
        <v>3800</v>
      </c>
      <c r="R333" s="188">
        <f>ROUNDUP(Q333+(Q333*Assumptions!Q$5),-2)</f>
        <v>3900</v>
      </c>
    </row>
    <row r="334" spans="1:18" s="84" customFormat="1" x14ac:dyDescent="0.2">
      <c r="A334" s="107">
        <v>0</v>
      </c>
      <c r="B334" s="33">
        <v>0</v>
      </c>
      <c r="C334" s="189">
        <v>0</v>
      </c>
      <c r="D334" s="189">
        <v>2000</v>
      </c>
      <c r="E334" s="821" t="s">
        <v>5662</v>
      </c>
      <c r="F334" s="953" t="s">
        <v>5663</v>
      </c>
      <c r="G334" s="189">
        <v>3000</v>
      </c>
      <c r="H334" s="138">
        <f t="shared" si="291"/>
        <v>50</v>
      </c>
      <c r="I334" s="33">
        <v>3000</v>
      </c>
      <c r="J334" s="33">
        <f>ROUNDUP(I334+(I334*Assumptions!I$5),-2)</f>
        <v>3100</v>
      </c>
      <c r="K334" s="33">
        <f>ROUNDUP(J334+(J334*Assumptions!J$5),-2)</f>
        <v>3200</v>
      </c>
      <c r="L334" s="33">
        <f>ROUNDUP(K334+(K334*Assumptions!K$5),-2)</f>
        <v>3300</v>
      </c>
      <c r="M334" s="33">
        <f>ROUNDUP(L334+(L334*Assumptions!L$5),-2)</f>
        <v>3400</v>
      </c>
      <c r="N334" s="33">
        <f>ROUNDUP(M334+(M334*Assumptions!M$5),-2)</f>
        <v>3500</v>
      </c>
      <c r="O334" s="187">
        <f>ROUNDUP(N334+(N334*Assumptions!N$5),-2)</f>
        <v>3600</v>
      </c>
      <c r="P334" s="189">
        <f>ROUNDUP(O334+(O334*Assumptions!O$5),-2)</f>
        <v>3700</v>
      </c>
      <c r="Q334" s="187">
        <f>ROUNDUP(P334+(P334*Assumptions!P$5),-2)</f>
        <v>3800</v>
      </c>
      <c r="R334" s="188">
        <f>ROUNDUP(Q334+(Q334*Assumptions!Q$5),-2)</f>
        <v>3900</v>
      </c>
    </row>
    <row r="335" spans="1:18" s="84" customFormat="1" x14ac:dyDescent="0.2">
      <c r="A335" s="107"/>
      <c r="B335" s="33"/>
      <c r="C335" s="189"/>
      <c r="D335" s="189"/>
      <c r="E335" s="343"/>
      <c r="F335" s="528"/>
      <c r="G335" s="189"/>
      <c r="H335" s="138"/>
      <c r="I335" s="33"/>
      <c r="J335" s="33"/>
      <c r="K335" s="33"/>
      <c r="L335" s="33"/>
      <c r="M335" s="33"/>
      <c r="N335" s="33"/>
      <c r="O335" s="187"/>
      <c r="P335" s="189"/>
      <c r="Q335" s="187"/>
      <c r="R335" s="188"/>
    </row>
    <row r="336" spans="1:18" s="84" customFormat="1" x14ac:dyDescent="0.2">
      <c r="A336" s="107"/>
      <c r="B336" s="33"/>
      <c r="C336" s="189"/>
      <c r="D336" s="189"/>
      <c r="E336" s="343"/>
      <c r="F336" s="1447" t="s">
        <v>4878</v>
      </c>
      <c r="G336" s="189"/>
      <c r="H336" s="138"/>
      <c r="I336" s="33"/>
      <c r="J336" s="33"/>
      <c r="K336" s="33"/>
      <c r="L336" s="33"/>
      <c r="M336" s="33"/>
      <c r="N336" s="33"/>
      <c r="O336" s="187"/>
      <c r="P336" s="189"/>
      <c r="Q336" s="187"/>
      <c r="R336" s="188"/>
    </row>
    <row r="337" spans="1:18" s="84" customFormat="1" x14ac:dyDescent="0.2">
      <c r="A337" s="107">
        <v>0</v>
      </c>
      <c r="B337" s="33">
        <v>0</v>
      </c>
      <c r="C337" s="189">
        <v>0</v>
      </c>
      <c r="D337" s="189">
        <v>1700</v>
      </c>
      <c r="E337" s="821" t="s">
        <v>5322</v>
      </c>
      <c r="F337" s="953" t="s">
        <v>4997</v>
      </c>
      <c r="G337" s="189">
        <v>10200</v>
      </c>
      <c r="H337" s="138">
        <f>IF(D337=G337,0,IF(D337=0,100,(G337-D337)/D337*100))</f>
        <v>500</v>
      </c>
      <c r="I337" s="33">
        <v>10000</v>
      </c>
      <c r="J337" s="33">
        <f>ROUNDUP(I337+(I337*Assumptions!I$5),-2)</f>
        <v>10300</v>
      </c>
      <c r="K337" s="33">
        <f>ROUNDUP(J337+(J337*Assumptions!J$5),-2)</f>
        <v>10600</v>
      </c>
      <c r="L337" s="33">
        <f>ROUNDUP(K337+(K337*Assumptions!K$5),-2)</f>
        <v>10900</v>
      </c>
      <c r="M337" s="33">
        <f>ROUNDUP(L337+(L337*Assumptions!L$5),-2)</f>
        <v>11200</v>
      </c>
      <c r="N337" s="33">
        <f>ROUNDUP(M337+(M337*Assumptions!M$5),-2)</f>
        <v>11500</v>
      </c>
      <c r="O337" s="187">
        <f>ROUNDUP(N337+(N337*Assumptions!N$5),-2)</f>
        <v>11800</v>
      </c>
      <c r="P337" s="189">
        <f>ROUNDUP(O337+(O337*Assumptions!O$5),-2)</f>
        <v>12100</v>
      </c>
      <c r="Q337" s="187">
        <f>ROUNDUP(P337+(P337*Assumptions!P$5),-2)</f>
        <v>12400</v>
      </c>
      <c r="R337" s="188">
        <f>ROUNDUP(Q337+(Q337*Assumptions!Q$5),-2)</f>
        <v>12700</v>
      </c>
    </row>
    <row r="338" spans="1:18" s="84" customFormat="1" x14ac:dyDescent="0.2">
      <c r="A338" s="107">
        <v>101800</v>
      </c>
      <c r="B338" s="33">
        <v>69100</v>
      </c>
      <c r="C338" s="189">
        <v>55000</v>
      </c>
      <c r="D338" s="189">
        <v>66200</v>
      </c>
      <c r="E338" s="343" t="s">
        <v>1027</v>
      </c>
      <c r="F338" s="953" t="s">
        <v>5353</v>
      </c>
      <c r="G338" s="189">
        <f>102000-20000</f>
        <v>82000</v>
      </c>
      <c r="H338" s="138">
        <f>IF(D338=G338,0,IF(D338=0,100,(G338-D338)/D338*100))</f>
        <v>23.867069486404834</v>
      </c>
      <c r="I338" s="33">
        <v>103000</v>
      </c>
      <c r="J338" s="33">
        <f>ROUNDUP(I338+(I338*Assumptions!I$5),-2)</f>
        <v>105600</v>
      </c>
      <c r="K338" s="33">
        <f>ROUNDUP(J338+(J338*Assumptions!J$5),-2)</f>
        <v>108300</v>
      </c>
      <c r="L338" s="33">
        <f>ROUNDUP(K338+(K338*Assumptions!K$5),-2)</f>
        <v>111100</v>
      </c>
      <c r="M338" s="33">
        <f>ROUNDUP(L338+(L338*Assumptions!L$5),-2)</f>
        <v>113400</v>
      </c>
      <c r="N338" s="33">
        <f>ROUNDUP(M338+(M338*Assumptions!M$5),-2)</f>
        <v>115700</v>
      </c>
      <c r="O338" s="187">
        <f>ROUNDUP(N338+(N338*Assumptions!N$5),-2)</f>
        <v>118100</v>
      </c>
      <c r="P338" s="189">
        <f>ROUNDUP(O338+(O338*Assumptions!O$5),-2)</f>
        <v>120500</v>
      </c>
      <c r="Q338" s="187">
        <f>ROUNDUP(P338+(P338*Assumptions!P$5),-2)</f>
        <v>123000</v>
      </c>
      <c r="R338" s="188">
        <f>ROUNDUP(Q338+(Q338*Assumptions!Q$5),-2)</f>
        <v>125500</v>
      </c>
    </row>
    <row r="339" spans="1:18" s="84" customFormat="1" x14ac:dyDescent="0.2">
      <c r="A339" s="107"/>
      <c r="B339" s="33"/>
      <c r="C339" s="189"/>
      <c r="D339" s="189"/>
      <c r="E339" s="1955"/>
      <c r="F339" s="33"/>
      <c r="G339" s="189"/>
      <c r="H339" s="138"/>
      <c r="I339" s="33"/>
      <c r="J339" s="33"/>
      <c r="K339" s="33"/>
      <c r="L339" s="33"/>
      <c r="M339" s="33"/>
      <c r="N339" s="33"/>
      <c r="O339" s="33"/>
      <c r="P339" s="142"/>
      <c r="Q339" s="33"/>
      <c r="R339" s="114"/>
    </row>
    <row r="340" spans="1:18" s="84" customFormat="1" x14ac:dyDescent="0.2">
      <c r="A340" s="107"/>
      <c r="B340" s="33"/>
      <c r="C340" s="189"/>
      <c r="D340" s="189"/>
      <c r="E340" s="1955"/>
      <c r="F340" s="64" t="s">
        <v>265</v>
      </c>
      <c r="G340" s="189"/>
      <c r="H340" s="138"/>
      <c r="I340" s="33"/>
      <c r="J340" s="33"/>
      <c r="K340" s="33"/>
      <c r="L340" s="33"/>
      <c r="M340" s="33"/>
      <c r="N340" s="33"/>
      <c r="O340" s="33"/>
      <c r="P340" s="142"/>
      <c r="Q340" s="33"/>
      <c r="R340" s="114"/>
    </row>
    <row r="341" spans="1:18" s="84" customFormat="1" x14ac:dyDescent="0.2">
      <c r="A341" s="107">
        <v>1882900</v>
      </c>
      <c r="B341" s="33">
        <v>1859500</v>
      </c>
      <c r="C341" s="189">
        <v>1478700</v>
      </c>
      <c r="D341" s="189">
        <v>1498900</v>
      </c>
      <c r="E341" s="343" t="s">
        <v>400</v>
      </c>
      <c r="F341" s="33" t="s">
        <v>2070</v>
      </c>
      <c r="G341" s="189">
        <v>1428000</v>
      </c>
      <c r="H341" s="138">
        <f>IF(D341=G341,0,IF(D341=0,100,(G341-D341)/D341*100))</f>
        <v>-4.7301354326506102</v>
      </c>
      <c r="I341" s="33">
        <f>1380000</f>
        <v>1380000</v>
      </c>
      <c r="J341" s="33">
        <f>ROUNDUP(I341+(I341*Assumptions!I$18),-2)</f>
        <v>1407600</v>
      </c>
      <c r="K341" s="33">
        <f>ROUNDUP(J341+(J341*Assumptions!J$18),-2)</f>
        <v>1435800</v>
      </c>
      <c r="L341" s="33">
        <f>ROUNDUP(K341+(K341*Assumptions!K$18),-2)</f>
        <v>1464600</v>
      </c>
      <c r="M341" s="33">
        <f>ROUNDUP(L341+(L341*Assumptions!L$18),-2)</f>
        <v>1493900</v>
      </c>
      <c r="N341" s="33">
        <f>ROUNDUP(M341+(M341*Assumptions!M$18),-2)</f>
        <v>1523800</v>
      </c>
      <c r="O341" s="33">
        <f>ROUNDUP(N341+(N341*Assumptions!N$18),-2)</f>
        <v>1554300</v>
      </c>
      <c r="P341" s="142">
        <f>ROUNDUP(O341+(O341*Assumptions!O$18),-2)</f>
        <v>1585400</v>
      </c>
      <c r="Q341" s="33">
        <f>ROUNDUP(P341+(P341*Assumptions!P$18),-2)</f>
        <v>1617200</v>
      </c>
      <c r="R341" s="114">
        <f>ROUNDUP(Q341+(Q341*Assumptions!Q$18),-2)</f>
        <v>1649600</v>
      </c>
    </row>
    <row r="342" spans="1:18" s="84" customFormat="1" x14ac:dyDescent="0.2">
      <c r="A342" s="107">
        <v>161800</v>
      </c>
      <c r="B342" s="33">
        <v>111000</v>
      </c>
      <c r="C342" s="189">
        <v>20600</v>
      </c>
      <c r="D342" s="189">
        <f>64000</f>
        <v>64000</v>
      </c>
      <c r="E342" s="821" t="s">
        <v>4509</v>
      </c>
      <c r="F342" s="814" t="s">
        <v>4520</v>
      </c>
      <c r="G342" s="189">
        <v>0</v>
      </c>
      <c r="H342" s="138">
        <f>IF(D342=G342,0,IF(D342=0,100,(G342-D342)/D342*100))</f>
        <v>-100</v>
      </c>
      <c r="I342" s="33">
        <f>ROUNDUP(G342+(G342*Assumptions!H$5),-2)</f>
        <v>0</v>
      </c>
      <c r="J342" s="33">
        <f>ROUNDUP(I342+(I342*Assumptions!I$5),-2)</f>
        <v>0</v>
      </c>
      <c r="K342" s="33">
        <f>ROUNDUP(J342+(J342*Assumptions!J$5),-2)</f>
        <v>0</v>
      </c>
      <c r="L342" s="33">
        <f>ROUNDUP(K342+(K342*Assumptions!K$5),-2)</f>
        <v>0</v>
      </c>
      <c r="M342" s="33">
        <f>ROUNDUP(L342+(L342*Assumptions!L$5),-2)</f>
        <v>0</v>
      </c>
      <c r="N342" s="33">
        <f>ROUNDUP(M342+(M342*Assumptions!M$5),-2)</f>
        <v>0</v>
      </c>
      <c r="O342" s="33">
        <f>ROUNDUP(N342+(N342*Assumptions!N$5),-2)</f>
        <v>0</v>
      </c>
      <c r="P342" s="142">
        <f>ROUNDUP(O342+(O342*Assumptions!O$5),-2)</f>
        <v>0</v>
      </c>
      <c r="Q342" s="33">
        <f>ROUNDUP(P342+(P342*Assumptions!P$5),-2)</f>
        <v>0</v>
      </c>
      <c r="R342" s="114">
        <f>ROUNDUP(Q342+(Q342*Assumptions!Q$5),-2)</f>
        <v>0</v>
      </c>
    </row>
    <row r="343" spans="1:18" s="84" customFormat="1" ht="13.5" thickBot="1" x14ac:dyDescent="0.25">
      <c r="A343" s="107"/>
      <c r="B343" s="33"/>
      <c r="C343" s="189"/>
      <c r="D343" s="189"/>
      <c r="E343" s="1959"/>
      <c r="F343" s="366"/>
      <c r="G343" s="189"/>
      <c r="H343" s="138"/>
      <c r="I343" s="33"/>
      <c r="J343" s="33"/>
      <c r="K343" s="33"/>
      <c r="L343" s="33"/>
      <c r="M343" s="33"/>
      <c r="N343" s="33"/>
      <c r="O343" s="33"/>
      <c r="P343" s="142"/>
      <c r="Q343" s="33"/>
      <c r="R343" s="114"/>
    </row>
    <row r="344" spans="1:18" s="92" customFormat="1" x14ac:dyDescent="0.2">
      <c r="A344" s="105">
        <f>SUM(A203:A343)</f>
        <v>10923600</v>
      </c>
      <c r="B344" s="53">
        <f>SUM(B203:B343)</f>
        <v>11111600</v>
      </c>
      <c r="C344" s="190">
        <f>SUM(C203:C343)</f>
        <v>10817000</v>
      </c>
      <c r="D344" s="190">
        <f>SUM(D203:D343)</f>
        <v>10849900</v>
      </c>
      <c r="E344" s="1990"/>
      <c r="F344" s="378" t="s">
        <v>565</v>
      </c>
      <c r="G344" s="190">
        <f>SUM(G203:G343)</f>
        <v>11269600</v>
      </c>
      <c r="H344" s="180">
        <f>IF(D344=G344,0,IF(D344=0,100,(G344-D344)/D344*100))</f>
        <v>3.8682384169439352</v>
      </c>
      <c r="I344" s="53">
        <f t="shared" ref="I344:Q344" si="292">SUM(I203:I343)</f>
        <v>11190400</v>
      </c>
      <c r="J344" s="53">
        <f t="shared" si="292"/>
        <v>11506300</v>
      </c>
      <c r="K344" s="53">
        <f t="shared" si="292"/>
        <v>11749400</v>
      </c>
      <c r="L344" s="53">
        <f t="shared" si="292"/>
        <v>12039500</v>
      </c>
      <c r="M344" s="53">
        <f t="shared" si="292"/>
        <v>12348400</v>
      </c>
      <c r="N344" s="53">
        <f t="shared" si="292"/>
        <v>12715100</v>
      </c>
      <c r="O344" s="53">
        <f t="shared" si="292"/>
        <v>12989900</v>
      </c>
      <c r="P344" s="155">
        <f t="shared" si="292"/>
        <v>13323800</v>
      </c>
      <c r="Q344" s="53">
        <f t="shared" si="292"/>
        <v>13666400</v>
      </c>
      <c r="R344" s="113">
        <f t="shared" ref="R344" si="293">SUM(R203:R343)</f>
        <v>14018500</v>
      </c>
    </row>
    <row r="345" spans="1:18" s="84" customFormat="1" x14ac:dyDescent="0.2">
      <c r="A345" s="107"/>
      <c r="B345" s="33"/>
      <c r="C345" s="189"/>
      <c r="D345" s="189"/>
      <c r="E345" s="1959"/>
      <c r="F345" s="366"/>
      <c r="G345" s="189"/>
      <c r="H345" s="138"/>
      <c r="I345" s="33"/>
      <c r="J345" s="33"/>
      <c r="K345" s="33"/>
      <c r="L345" s="33"/>
      <c r="M345" s="33"/>
      <c r="N345" s="33"/>
      <c r="O345" s="33"/>
      <c r="P345" s="142"/>
      <c r="Q345" s="33"/>
      <c r="R345" s="114"/>
    </row>
    <row r="346" spans="1:18" s="92" customFormat="1" x14ac:dyDescent="0.2">
      <c r="A346" s="70">
        <f>A201-A344</f>
        <v>-1290100</v>
      </c>
      <c r="B346" s="64">
        <f>B201-B344</f>
        <v>-422500</v>
      </c>
      <c r="C346" s="193">
        <f>C201-C344</f>
        <v>75500</v>
      </c>
      <c r="D346" s="193">
        <f>D201-D344</f>
        <v>349200</v>
      </c>
      <c r="E346" s="1990"/>
      <c r="F346" s="516" t="s">
        <v>1019</v>
      </c>
      <c r="G346" s="193">
        <f>G201-G344</f>
        <v>644000</v>
      </c>
      <c r="H346" s="179">
        <f>IF(D346=G346,0,IF(D346=0,100,(G346-D346)/D346*100))</f>
        <v>84.421534936998853</v>
      </c>
      <c r="I346" s="64">
        <f t="shared" ref="I346:Q346" si="294">I201-I344</f>
        <v>963900</v>
      </c>
      <c r="J346" s="64">
        <f t="shared" si="294"/>
        <v>929000</v>
      </c>
      <c r="K346" s="64">
        <f t="shared" si="294"/>
        <v>955800</v>
      </c>
      <c r="L346" s="64">
        <f t="shared" si="294"/>
        <v>1132200</v>
      </c>
      <c r="M346" s="64">
        <f t="shared" si="294"/>
        <v>1357900</v>
      </c>
      <c r="N346" s="64">
        <f t="shared" si="294"/>
        <v>1431200</v>
      </c>
      <c r="O346" s="64">
        <f t="shared" si="294"/>
        <v>1665000</v>
      </c>
      <c r="P346" s="128">
        <f t="shared" si="294"/>
        <v>1888900</v>
      </c>
      <c r="Q346" s="64">
        <f t="shared" si="294"/>
        <v>2135900</v>
      </c>
      <c r="R346" s="115">
        <f t="shared" ref="R346" si="295">R201-R344</f>
        <v>2480600</v>
      </c>
    </row>
    <row r="347" spans="1:18" s="84" customFormat="1" x14ac:dyDescent="0.2">
      <c r="A347" s="107">
        <f t="shared" ref="A347:B348" si="296">A341</f>
        <v>1882900</v>
      </c>
      <c r="B347" s="33">
        <f t="shared" si="296"/>
        <v>1859500</v>
      </c>
      <c r="C347" s="189">
        <f>C341</f>
        <v>1478700</v>
      </c>
      <c r="D347" s="189">
        <f>D341</f>
        <v>1498900</v>
      </c>
      <c r="E347" s="1959"/>
      <c r="F347" s="372" t="s">
        <v>1976</v>
      </c>
      <c r="G347" s="189">
        <f t="shared" ref="G347:P347" si="297">G341</f>
        <v>1428000</v>
      </c>
      <c r="H347" s="138">
        <f>IF(D347=G347,0,IF(D347=0,100,(G347-D347)/D347*100))</f>
        <v>-4.7301354326506102</v>
      </c>
      <c r="I347" s="33">
        <f t="shared" si="297"/>
        <v>1380000</v>
      </c>
      <c r="J347" s="33">
        <f t="shared" si="297"/>
        <v>1407600</v>
      </c>
      <c r="K347" s="33">
        <f t="shared" si="297"/>
        <v>1435800</v>
      </c>
      <c r="L347" s="33">
        <f t="shared" si="297"/>
        <v>1464600</v>
      </c>
      <c r="M347" s="33">
        <f t="shared" si="297"/>
        <v>1493900</v>
      </c>
      <c r="N347" s="33">
        <f t="shared" si="297"/>
        <v>1523800</v>
      </c>
      <c r="O347" s="33">
        <f t="shared" si="297"/>
        <v>1554300</v>
      </c>
      <c r="P347" s="142">
        <f t="shared" si="297"/>
        <v>1585400</v>
      </c>
      <c r="Q347" s="33">
        <f t="shared" ref="Q347" si="298">Q341</f>
        <v>1617200</v>
      </c>
      <c r="R347" s="114">
        <f t="shared" ref="R347" si="299">R341</f>
        <v>1649600</v>
      </c>
    </row>
    <row r="348" spans="1:18" s="84" customFormat="1" x14ac:dyDescent="0.2">
      <c r="A348" s="107">
        <f t="shared" si="296"/>
        <v>161800</v>
      </c>
      <c r="B348" s="33">
        <f t="shared" si="296"/>
        <v>111000</v>
      </c>
      <c r="C348" s="189">
        <f>C342</f>
        <v>20600</v>
      </c>
      <c r="D348" s="189">
        <f>D342</f>
        <v>64000</v>
      </c>
      <c r="E348" s="1959"/>
      <c r="F348" s="372" t="s">
        <v>4696</v>
      </c>
      <c r="G348" s="189">
        <f t="shared" ref="G348:P348" si="300">G342</f>
        <v>0</v>
      </c>
      <c r="H348" s="138">
        <f>IF(D348=G348,0,IF(D348=0,100,(G348-D348)/D348*100))</f>
        <v>-100</v>
      </c>
      <c r="I348" s="33">
        <f t="shared" si="300"/>
        <v>0</v>
      </c>
      <c r="J348" s="33">
        <f t="shared" si="300"/>
        <v>0</v>
      </c>
      <c r="K348" s="33">
        <f t="shared" si="300"/>
        <v>0</v>
      </c>
      <c r="L348" s="33">
        <f t="shared" si="300"/>
        <v>0</v>
      </c>
      <c r="M348" s="33">
        <f t="shared" si="300"/>
        <v>0</v>
      </c>
      <c r="N348" s="33">
        <f t="shared" si="300"/>
        <v>0</v>
      </c>
      <c r="O348" s="33">
        <f t="shared" si="300"/>
        <v>0</v>
      </c>
      <c r="P348" s="142">
        <f t="shared" si="300"/>
        <v>0</v>
      </c>
      <c r="Q348" s="33">
        <f t="shared" ref="Q348" si="301">Q342</f>
        <v>0</v>
      </c>
      <c r="R348" s="114">
        <f t="shared" ref="R348" si="302">R342</f>
        <v>0</v>
      </c>
    </row>
    <row r="349" spans="1:18" s="92" customFormat="1" x14ac:dyDescent="0.2">
      <c r="A349" s="181">
        <f t="shared" ref="A349:B349" si="303">SUM(A346:A348)</f>
        <v>754600</v>
      </c>
      <c r="B349" s="397">
        <f t="shared" si="303"/>
        <v>1548000</v>
      </c>
      <c r="C349" s="398">
        <f>SUM(C346:C348)</f>
        <v>1574800</v>
      </c>
      <c r="D349" s="398">
        <f>SUM(D346:D348)</f>
        <v>1912100</v>
      </c>
      <c r="E349" s="521"/>
      <c r="F349" s="518" t="s">
        <v>1687</v>
      </c>
      <c r="G349" s="398">
        <f t="shared" ref="G349:O349" si="304">SUM(G346:G348)</f>
        <v>2072000</v>
      </c>
      <c r="H349" s="395">
        <f>IF(D349=G349,0,IF(D349=0,100,(G349-D349)/D349*100))</f>
        <v>8.3625333403064683</v>
      </c>
      <c r="I349" s="397">
        <f t="shared" si="304"/>
        <v>2343900</v>
      </c>
      <c r="J349" s="397">
        <f t="shared" si="304"/>
        <v>2336600</v>
      </c>
      <c r="K349" s="397">
        <f t="shared" si="304"/>
        <v>2391600</v>
      </c>
      <c r="L349" s="397">
        <f t="shared" si="304"/>
        <v>2596800</v>
      </c>
      <c r="M349" s="397">
        <f t="shared" si="304"/>
        <v>2851800</v>
      </c>
      <c r="N349" s="397">
        <f t="shared" si="304"/>
        <v>2955000</v>
      </c>
      <c r="O349" s="397">
        <f t="shared" si="304"/>
        <v>3219300</v>
      </c>
      <c r="P349" s="377">
        <f t="shared" ref="P349:Q349" si="305">SUM(P346:P348)</f>
        <v>3474300</v>
      </c>
      <c r="Q349" s="397">
        <f t="shared" si="305"/>
        <v>3753100</v>
      </c>
      <c r="R349" s="399">
        <f t="shared" ref="R349" si="306">SUM(R346:R348)</f>
        <v>4130200</v>
      </c>
    </row>
    <row r="350" spans="1:18" s="84" customFormat="1" ht="13.5" thickBot="1" x14ac:dyDescent="0.25">
      <c r="A350" s="171"/>
      <c r="B350" s="66"/>
      <c r="C350" s="202"/>
      <c r="D350" s="202"/>
      <c r="E350" s="172"/>
      <c r="F350" s="380"/>
      <c r="G350" s="202"/>
      <c r="H350" s="140"/>
      <c r="I350" s="121"/>
      <c r="J350" s="121"/>
      <c r="K350" s="121"/>
      <c r="L350" s="121"/>
      <c r="M350" s="121"/>
      <c r="N350" s="121"/>
      <c r="O350" s="121"/>
      <c r="P350" s="95"/>
      <c r="Q350" s="121"/>
      <c r="R350" s="161"/>
    </row>
    <row r="351" spans="1:18" s="84" customFormat="1" ht="13.5" thickTop="1" x14ac:dyDescent="0.2">
      <c r="A351" s="383"/>
      <c r="B351" s="162"/>
      <c r="C351" s="194"/>
      <c r="D351" s="194"/>
      <c r="E351" s="123"/>
      <c r="F351" s="367"/>
      <c r="G351" s="194"/>
      <c r="H351" s="505"/>
      <c r="I351" s="127"/>
      <c r="J351" s="127"/>
      <c r="K351" s="127"/>
      <c r="L351" s="127"/>
      <c r="M351" s="127"/>
      <c r="N351" s="127"/>
      <c r="O351" s="127"/>
      <c r="P351" s="164"/>
      <c r="Q351" s="127"/>
      <c r="R351" s="163"/>
    </row>
    <row r="352" spans="1:18" s="84" customFormat="1" x14ac:dyDescent="0.2">
      <c r="A352" s="70"/>
      <c r="B352" s="64"/>
      <c r="C352" s="193"/>
      <c r="D352" s="193"/>
      <c r="E352" s="123"/>
      <c r="F352" s="516" t="s">
        <v>196</v>
      </c>
      <c r="G352" s="193"/>
      <c r="H352" s="179"/>
      <c r="I352" s="33"/>
      <c r="J352" s="33"/>
      <c r="K352" s="33"/>
      <c r="L352" s="33"/>
      <c r="M352" s="33"/>
      <c r="N352" s="33"/>
      <c r="O352" s="33"/>
      <c r="P352" s="142"/>
      <c r="Q352" s="33"/>
      <c r="R352" s="114"/>
    </row>
    <row r="353" spans="1:18" s="84" customFormat="1" x14ac:dyDescent="0.2">
      <c r="A353" s="107">
        <v>3800</v>
      </c>
      <c r="B353" s="33">
        <v>0</v>
      </c>
      <c r="C353" s="189">
        <v>0</v>
      </c>
      <c r="D353" s="189">
        <v>0</v>
      </c>
      <c r="E353" s="1959"/>
      <c r="F353" s="366" t="s">
        <v>2900</v>
      </c>
      <c r="G353" s="189">
        <v>0</v>
      </c>
      <c r="H353" s="138"/>
      <c r="I353" s="33">
        <v>0</v>
      </c>
      <c r="J353" s="33">
        <v>0</v>
      </c>
      <c r="K353" s="33">
        <v>0</v>
      </c>
      <c r="L353" s="33">
        <v>0</v>
      </c>
      <c r="M353" s="33">
        <v>0</v>
      </c>
      <c r="N353" s="33">
        <v>0</v>
      </c>
      <c r="O353" s="33">
        <v>0</v>
      </c>
      <c r="P353" s="142">
        <v>0</v>
      </c>
      <c r="Q353" s="33">
        <v>0</v>
      </c>
      <c r="R353" s="114">
        <v>0</v>
      </c>
    </row>
    <row r="354" spans="1:18" s="84" customFormat="1" x14ac:dyDescent="0.2">
      <c r="A354" s="107">
        <v>364000</v>
      </c>
      <c r="B354" s="33">
        <v>485900</v>
      </c>
      <c r="C354" s="189">
        <v>782500</v>
      </c>
      <c r="D354" s="189">
        <f>IF(D349-D353-D357+D356&gt;0,D349-D353-D357+D356-34000,0)</f>
        <v>637500</v>
      </c>
      <c r="E354" s="123"/>
      <c r="F354" s="366" t="s">
        <v>1942</v>
      </c>
      <c r="G354" s="189">
        <f>IF(G349-G353-G357+G356&gt;0,G349-G353-G357+G356-34000,0)</f>
        <v>374000</v>
      </c>
      <c r="H354" s="138"/>
      <c r="I354" s="33">
        <f>IF(I349-I353-I357+I356&gt;0,I349-I353-I357+I356-34000,0)</f>
        <v>227900</v>
      </c>
      <c r="J354" s="33">
        <f t="shared" ref="J354:P354" si="307">IF(J349-J353-J357+J356&gt;0,J349-J353-J357+J356-34000,0)</f>
        <v>1281600</v>
      </c>
      <c r="K354" s="33">
        <f t="shared" si="307"/>
        <v>206600</v>
      </c>
      <c r="L354" s="33">
        <f t="shared" si="307"/>
        <v>539800</v>
      </c>
      <c r="M354" s="33">
        <f t="shared" si="307"/>
        <v>0</v>
      </c>
      <c r="N354" s="33">
        <f t="shared" si="307"/>
        <v>1494000</v>
      </c>
      <c r="O354" s="33">
        <f t="shared" si="307"/>
        <v>0</v>
      </c>
      <c r="P354" s="142">
        <f t="shared" si="307"/>
        <v>154600</v>
      </c>
      <c r="Q354" s="33">
        <f t="shared" ref="Q354" si="308">IF(Q349-Q353-Q357+Q356&gt;0,Q349-Q353-Q357+Q356-34000,0)</f>
        <v>1810100</v>
      </c>
      <c r="R354" s="114">
        <f t="shared" ref="R354" si="309">IF(R349-R353-R357+R356&gt;0,R349-R353-R357+R356-34000,0)</f>
        <v>2345200</v>
      </c>
    </row>
    <row r="355" spans="1:18" s="84" customFormat="1" x14ac:dyDescent="0.2">
      <c r="A355" s="107">
        <v>536600</v>
      </c>
      <c r="B355" s="33">
        <v>0</v>
      </c>
      <c r="C355" s="189">
        <v>0</v>
      </c>
      <c r="D355" s="189">
        <f>IF(D349-D353-D357+D356&gt;0,0,-(D349-D353-D357+D356-34000))</f>
        <v>0</v>
      </c>
      <c r="E355" s="123"/>
      <c r="F355" s="366" t="s">
        <v>2348</v>
      </c>
      <c r="G355" s="189">
        <f t="shared" ref="G355:P355" si="310">IF(G349-G353-G357+G356&gt;0,0,-(G349-G353-G357+G356-34000))</f>
        <v>0</v>
      </c>
      <c r="H355" s="138"/>
      <c r="I355" s="33">
        <f>IF(I349-I353-I357+I356&gt;0,0,-(I349-I353-I357+I356-34000))</f>
        <v>0</v>
      </c>
      <c r="J355" s="33">
        <f t="shared" si="310"/>
        <v>0</v>
      </c>
      <c r="K355" s="33">
        <f t="shared" si="310"/>
        <v>0</v>
      </c>
      <c r="L355" s="33">
        <f t="shared" si="310"/>
        <v>0</v>
      </c>
      <c r="M355" s="33">
        <f t="shared" si="310"/>
        <v>1461600</v>
      </c>
      <c r="N355" s="33">
        <f t="shared" si="310"/>
        <v>0</v>
      </c>
      <c r="O355" s="33">
        <f t="shared" si="310"/>
        <v>325200</v>
      </c>
      <c r="P355" s="142">
        <f t="shared" si="310"/>
        <v>0</v>
      </c>
      <c r="Q355" s="33">
        <f t="shared" ref="Q355" si="311">IF(Q349-Q353-Q357+Q356&gt;0,0,-(Q349-Q353-Q357+Q356-34000))</f>
        <v>0</v>
      </c>
      <c r="R355" s="114">
        <f t="shared" ref="R355" si="312">IF(R349-R353-R357+R356&gt;0,0,-(R349-R353-R357+R356-34000))</f>
        <v>0</v>
      </c>
    </row>
    <row r="356" spans="1:18" s="84" customFormat="1" x14ac:dyDescent="0.2">
      <c r="A356" s="107">
        <v>47800</v>
      </c>
      <c r="B356" s="33">
        <v>799000</v>
      </c>
      <c r="C356" s="189">
        <v>2063400</v>
      </c>
      <c r="D356" s="189">
        <f>SUM('Cap-Water'!Q68:S68)</f>
        <v>186400</v>
      </c>
      <c r="E356" s="123"/>
      <c r="F356" s="366" t="s">
        <v>5984</v>
      </c>
      <c r="G356" s="189">
        <f>SUM('Cap-Water'!U68:W68)</f>
        <v>1860000</v>
      </c>
      <c r="H356" s="138"/>
      <c r="I356" s="33">
        <f>SUM('Cap-Water'!Y68:AA68)</f>
        <v>1322000</v>
      </c>
      <c r="J356" s="33">
        <f>SUM('Cap-Water'!AC68:AE68)</f>
        <v>2959000</v>
      </c>
      <c r="K356" s="33">
        <f>SUM('Cap-Water'!AG68:AI68)</f>
        <v>1485000</v>
      </c>
      <c r="L356" s="33">
        <f>SUM('Cap-Water'!AK68:AM68)</f>
        <v>238000</v>
      </c>
      <c r="M356" s="33">
        <f>SUM('Cap-Water'!AO68:AQ68)</f>
        <v>1663000</v>
      </c>
      <c r="N356" s="33">
        <f>SUM('Cap-Water'!AS68:AU68)</f>
        <v>3211000</v>
      </c>
      <c r="O356" s="33">
        <f>SUM('Cap-Water'!AW68:AY68)</f>
        <v>587500</v>
      </c>
      <c r="P356" s="142">
        <f>SUM('Cap-Water'!BA68:BC68)</f>
        <v>809300</v>
      </c>
      <c r="Q356" s="33">
        <f>SUM('Cap-Water'!BE68:BG68)</f>
        <v>0</v>
      </c>
      <c r="R356" s="114">
        <f>SUM('Cap-Water'!BI68:BK68)</f>
        <v>0</v>
      </c>
    </row>
    <row r="357" spans="1:18" s="84" customFormat="1" x14ac:dyDescent="0.2">
      <c r="A357" s="107">
        <v>937200</v>
      </c>
      <c r="B357" s="33">
        <v>1827100</v>
      </c>
      <c r="C357" s="189">
        <v>2821700</v>
      </c>
      <c r="D357" s="189">
        <f>'Cap-Water'!E68</f>
        <v>1427000</v>
      </c>
      <c r="E357" s="123"/>
      <c r="F357" s="607" t="s">
        <v>973</v>
      </c>
      <c r="G357" s="189">
        <f>'Cap-Water'!F68</f>
        <v>3524000</v>
      </c>
      <c r="H357" s="138"/>
      <c r="I357" s="33">
        <f>'Cap-Water'!G68</f>
        <v>3404000</v>
      </c>
      <c r="J357" s="33">
        <f>'Cap-Water'!H68</f>
        <v>3980000</v>
      </c>
      <c r="K357" s="33">
        <f>'Cap-Water'!I68</f>
        <v>3636000</v>
      </c>
      <c r="L357" s="33">
        <f>'Cap-Water'!J68</f>
        <v>2261000</v>
      </c>
      <c r="M357" s="33">
        <f>'Cap-Water'!K68</f>
        <v>5942400</v>
      </c>
      <c r="N357" s="33">
        <f>'Cap-Water'!L68</f>
        <v>4638000</v>
      </c>
      <c r="O357" s="33">
        <f>'Cap-Water'!M68</f>
        <v>4098000</v>
      </c>
      <c r="P357" s="142">
        <f>'Cap-Water'!N68</f>
        <v>4095000</v>
      </c>
      <c r="Q357" s="33">
        <f>'Cap-Water'!O68</f>
        <v>1909000</v>
      </c>
      <c r="R357" s="114">
        <f>'Cap-Water'!P68</f>
        <v>1751000</v>
      </c>
    </row>
    <row r="358" spans="1:18" s="92" customFormat="1" x14ac:dyDescent="0.2">
      <c r="A358" s="181">
        <f>A349-A353-A354+A355++A356-A357</f>
        <v>34000</v>
      </c>
      <c r="B358" s="397">
        <f>B349-B353-B354+B355++B356-B357</f>
        <v>34000</v>
      </c>
      <c r="C358" s="398">
        <f>C349-C353-C354+C355++C356-C357</f>
        <v>34000</v>
      </c>
      <c r="D358" s="398">
        <f>D349-D353-D354+D355++D356-D357</f>
        <v>34000</v>
      </c>
      <c r="E358" s="547"/>
      <c r="F358" s="518" t="s">
        <v>2490</v>
      </c>
      <c r="G358" s="398">
        <f t="shared" ref="G358:M358" si="313">G349-G353-G354+G355++G356-G357</f>
        <v>34000</v>
      </c>
      <c r="H358" s="395">
        <f>IF(D358=G358,0,IF(D358=0,100,(G358-D358)/D358*100))</f>
        <v>0</v>
      </c>
      <c r="I358" s="397">
        <f t="shared" si="313"/>
        <v>34000</v>
      </c>
      <c r="J358" s="397">
        <f t="shared" si="313"/>
        <v>34000</v>
      </c>
      <c r="K358" s="397">
        <f t="shared" si="313"/>
        <v>34000</v>
      </c>
      <c r="L358" s="397">
        <f t="shared" si="313"/>
        <v>34000</v>
      </c>
      <c r="M358" s="397">
        <f t="shared" si="313"/>
        <v>34000</v>
      </c>
      <c r="N358" s="397">
        <f>N349-N353-N354+N355++N356-N357</f>
        <v>34000</v>
      </c>
      <c r="O358" s="397">
        <f>O349-O353-O354+O355++O356-O357</f>
        <v>34000</v>
      </c>
      <c r="P358" s="377">
        <f>P349-P353-P354+P355++P356-P357</f>
        <v>34000</v>
      </c>
      <c r="Q358" s="397">
        <f>Q349-Q353-Q354+Q355++Q356-Q357</f>
        <v>34000</v>
      </c>
      <c r="R358" s="399">
        <f>R349-R353-R354+R355++R356-R357</f>
        <v>34000</v>
      </c>
    </row>
    <row r="359" spans="1:18" s="84" customFormat="1" ht="14.25" customHeight="1" thickBot="1" x14ac:dyDescent="0.25">
      <c r="A359" s="73"/>
      <c r="B359" s="90"/>
      <c r="C359" s="195"/>
      <c r="D359" s="195"/>
      <c r="E359" s="90"/>
      <c r="F359" s="368"/>
      <c r="G359" s="195"/>
      <c r="H359" s="90"/>
      <c r="I359" s="66"/>
      <c r="J359" s="66"/>
      <c r="K359" s="66"/>
      <c r="L359" s="66"/>
      <c r="M359" s="66"/>
      <c r="N359" s="66"/>
      <c r="O359" s="66"/>
      <c r="P359" s="166"/>
      <c r="Q359" s="66"/>
      <c r="R359" s="165"/>
    </row>
    <row r="360" spans="1:18" s="84" customFormat="1" ht="14.25" thickTop="1" thickBot="1" x14ac:dyDescent="0.25">
      <c r="A360" s="108"/>
      <c r="B360" s="108"/>
      <c r="C360" s="108"/>
      <c r="D360" s="108"/>
      <c r="E360" s="123"/>
      <c r="F360" s="108"/>
      <c r="G360" s="108"/>
      <c r="H360" s="108"/>
      <c r="I360" s="108"/>
      <c r="J360" s="108"/>
      <c r="K360" s="108"/>
      <c r="L360" s="108"/>
      <c r="M360" s="108"/>
      <c r="N360" s="108"/>
      <c r="O360" s="108"/>
      <c r="P360" s="108"/>
      <c r="Q360" s="108"/>
      <c r="R360" s="108"/>
    </row>
    <row r="361" spans="1:18" s="91" customFormat="1" ht="18.75" customHeight="1" thickTop="1" thickBot="1" x14ac:dyDescent="0.3">
      <c r="A361" s="2909" t="s">
        <v>3097</v>
      </c>
      <c r="B361" s="2910"/>
      <c r="C361" s="2910"/>
      <c r="D361" s="2910"/>
      <c r="E361" s="2910"/>
      <c r="F361" s="2910"/>
      <c r="G361" s="2910"/>
      <c r="H361" s="2910"/>
      <c r="I361" s="2910"/>
      <c r="J361" s="2910"/>
      <c r="K361" s="2910"/>
      <c r="L361" s="2910"/>
      <c r="M361" s="2910"/>
      <c r="N361" s="2910"/>
      <c r="O361" s="2910"/>
      <c r="P361" s="2910"/>
      <c r="Q361" s="2910"/>
      <c r="R361" s="2911"/>
    </row>
    <row r="362" spans="1:18" s="44" customFormat="1" x14ac:dyDescent="0.2">
      <c r="A362" s="2481"/>
      <c r="B362" s="2648"/>
      <c r="C362" s="2648"/>
      <c r="D362" s="2491">
        <f>$D$2</f>
        <v>0</v>
      </c>
      <c r="E362" s="1997" t="s">
        <v>2663</v>
      </c>
      <c r="F362" s="2649" t="s">
        <v>2251</v>
      </c>
      <c r="G362" s="2885" t="s">
        <v>2253</v>
      </c>
      <c r="H362" s="2886"/>
      <c r="I362" s="2886"/>
      <c r="J362" s="2886"/>
      <c r="K362" s="2886"/>
      <c r="L362" s="2886"/>
      <c r="M362" s="2886"/>
      <c r="N362" s="2886"/>
      <c r="O362" s="2886"/>
      <c r="P362" s="2886"/>
      <c r="Q362" s="2886"/>
      <c r="R362" s="2887"/>
    </row>
    <row r="363" spans="1:18" s="23" customFormat="1" ht="13.5" thickBot="1" x14ac:dyDescent="0.25">
      <c r="A363" s="1735" t="str">
        <f>A3</f>
        <v>2012/13</v>
      </c>
      <c r="B363" s="218" t="str">
        <f>B3</f>
        <v>2013/14</v>
      </c>
      <c r="C363" s="370" t="str">
        <f>C3</f>
        <v>2014/15</v>
      </c>
      <c r="D363" s="93" t="str">
        <f>D3</f>
        <v>2015/16</v>
      </c>
      <c r="E363" s="1965" t="s">
        <v>2664</v>
      </c>
      <c r="F363" s="42"/>
      <c r="G363" s="75" t="str">
        <f>G3</f>
        <v>2016/17</v>
      </c>
      <c r="H363" s="1331" t="s">
        <v>501</v>
      </c>
      <c r="I363" s="218" t="str">
        <f t="shared" ref="I363:Q363" si="314">I3</f>
        <v>2017/18</v>
      </c>
      <c r="J363" s="218" t="str">
        <f t="shared" si="314"/>
        <v>2018/19</v>
      </c>
      <c r="K363" s="218" t="str">
        <f t="shared" si="314"/>
        <v>2019/20</v>
      </c>
      <c r="L363" s="218" t="str">
        <f t="shared" si="314"/>
        <v>2020/21</v>
      </c>
      <c r="M363" s="218" t="str">
        <f t="shared" si="314"/>
        <v>2021/22</v>
      </c>
      <c r="N363" s="218" t="str">
        <f t="shared" si="314"/>
        <v>2022/23</v>
      </c>
      <c r="O363" s="218" t="str">
        <f t="shared" si="314"/>
        <v>2023/24</v>
      </c>
      <c r="P363" s="1499" t="str">
        <f t="shared" si="314"/>
        <v>2024/25</v>
      </c>
      <c r="Q363" s="218" t="str">
        <f t="shared" si="314"/>
        <v>2025/26</v>
      </c>
      <c r="R363" s="1704" t="str">
        <f t="shared" ref="R363" si="315">R3</f>
        <v>2026/27</v>
      </c>
    </row>
    <row r="364" spans="1:18" s="84" customFormat="1" x14ac:dyDescent="0.2">
      <c r="A364" s="727"/>
      <c r="B364" s="205"/>
      <c r="C364" s="204"/>
      <c r="D364" s="204"/>
      <c r="E364" s="204"/>
      <c r="F364" s="99"/>
      <c r="G364" s="204"/>
      <c r="H364" s="206"/>
      <c r="I364" s="204"/>
      <c r="J364" s="204"/>
      <c r="K364" s="204"/>
      <c r="L364" s="205"/>
      <c r="M364" s="204"/>
      <c r="N364" s="205"/>
      <c r="O364" s="204"/>
      <c r="P364" s="206"/>
      <c r="Q364" s="204"/>
      <c r="R364" s="548"/>
    </row>
    <row r="365" spans="1:18" s="84" customFormat="1" x14ac:dyDescent="0.2">
      <c r="A365" s="107"/>
      <c r="B365" s="33"/>
      <c r="C365" s="187"/>
      <c r="D365" s="187"/>
      <c r="E365" s="138"/>
      <c r="F365" s="144" t="s">
        <v>1073</v>
      </c>
      <c r="G365" s="187"/>
      <c r="H365" s="33"/>
      <c r="I365" s="187"/>
      <c r="J365" s="33"/>
      <c r="K365" s="33"/>
      <c r="L365" s="33"/>
      <c r="M365" s="33"/>
      <c r="N365" s="33"/>
      <c r="O365" s="33"/>
      <c r="P365" s="142"/>
      <c r="Q365" s="33"/>
      <c r="R365" s="114"/>
    </row>
    <row r="366" spans="1:18" s="84" customFormat="1" x14ac:dyDescent="0.2">
      <c r="A366" s="107"/>
      <c r="B366" s="33"/>
      <c r="C366" s="187"/>
      <c r="D366" s="1733"/>
      <c r="E366" s="437"/>
      <c r="F366" s="6" t="s">
        <v>60</v>
      </c>
      <c r="G366" s="1733"/>
      <c r="H366" s="138"/>
      <c r="I366" s="187"/>
      <c r="J366" s="1733"/>
      <c r="K366" s="1733"/>
      <c r="L366" s="1733"/>
      <c r="M366" s="1733"/>
      <c r="N366" s="1733"/>
      <c r="O366" s="1733"/>
      <c r="P366" s="647"/>
      <c r="Q366" s="1733"/>
      <c r="R366" s="1732"/>
    </row>
    <row r="367" spans="1:18" s="84" customFormat="1" x14ac:dyDescent="0.2">
      <c r="A367" s="107">
        <v>9550000</v>
      </c>
      <c r="B367" s="33">
        <v>10507100</v>
      </c>
      <c r="C367" s="189">
        <v>11693900</v>
      </c>
      <c r="D367" s="187">
        <v>12707200</v>
      </c>
      <c r="E367" s="343" t="s">
        <v>777</v>
      </c>
      <c r="F367" s="3" t="s">
        <v>148</v>
      </c>
      <c r="G367" s="187">
        <f>13783000+80000</f>
        <v>13863000</v>
      </c>
      <c r="H367" s="138">
        <f>IF(D367=G367,0,IF(D367=0,100,(G367-D367)/D367*100))</f>
        <v>9.0956308234701595</v>
      </c>
      <c r="I367" s="187">
        <f>ROUND(G367*Assumptions!H$48+G367,-3)</f>
        <v>14279000</v>
      </c>
      <c r="J367" s="1733">
        <f>ROUND(I367*Assumptions!I$48+I367,-3)</f>
        <v>14636000</v>
      </c>
      <c r="K367" s="187">
        <f>ROUND(J367*Assumptions!J$48+J367,-3)</f>
        <v>15002000</v>
      </c>
      <c r="L367" s="187">
        <f>ROUND(K367*Assumptions!K$48+K367,-3)</f>
        <v>15602000</v>
      </c>
      <c r="M367" s="187">
        <f>ROUND(L367*Assumptions!L$48+L367,-3)</f>
        <v>16070000</v>
      </c>
      <c r="N367" s="187">
        <f>ROUND(M367*Assumptions!M$48+M367,-3)</f>
        <v>16552000</v>
      </c>
      <c r="O367" s="187">
        <f>ROUND(N367*Assumptions!N$48+N367,-3)</f>
        <v>17049000</v>
      </c>
      <c r="P367" s="189">
        <f>ROUND(O367*Assumptions!O$48+O367,-3)</f>
        <v>17560000</v>
      </c>
      <c r="Q367" s="187">
        <f>ROUND(P367*Assumptions!P$48+P367,-3)</f>
        <v>18087000</v>
      </c>
      <c r="R367" s="188">
        <f>ROUND(Q367*Assumptions!Q$48+Q367,-3)</f>
        <v>18630000</v>
      </c>
    </row>
    <row r="368" spans="1:18" s="84" customFormat="1" x14ac:dyDescent="0.2">
      <c r="A368" s="107">
        <v>1292400</v>
      </c>
      <c r="B368" s="33">
        <v>1435700</v>
      </c>
      <c r="C368" s="189">
        <v>1587400</v>
      </c>
      <c r="D368" s="187">
        <v>1664700</v>
      </c>
      <c r="E368" s="343" t="s">
        <v>308</v>
      </c>
      <c r="F368" s="890" t="s">
        <v>829</v>
      </c>
      <c r="G368" s="187">
        <v>1810200</v>
      </c>
      <c r="H368" s="138">
        <f>IF(D368=G368,0,IF(D368=0,100,(G368-D368)/D368*100))</f>
        <v>8.7403135700126136</v>
      </c>
      <c r="I368" s="187">
        <f>ROUND(G368*Assumptions!H$48+G368,-3)</f>
        <v>1865000</v>
      </c>
      <c r="J368" s="1733">
        <f>ROUND(I368*Assumptions!I$48+I368,-3)</f>
        <v>1912000</v>
      </c>
      <c r="K368" s="187">
        <f>ROUND(J368*Assumptions!J$48+J368,-3)</f>
        <v>1960000</v>
      </c>
      <c r="L368" s="187">
        <f>ROUND(K368*Assumptions!K$48+K368,-3)</f>
        <v>2038000</v>
      </c>
      <c r="M368" s="187">
        <f>ROUND(L368*Assumptions!L$48+L368,-3)</f>
        <v>2099000</v>
      </c>
      <c r="N368" s="187">
        <f>ROUND(M368*Assumptions!M$48+M368,-3)</f>
        <v>2162000</v>
      </c>
      <c r="O368" s="187">
        <f>ROUND(N368*Assumptions!N$48+N368,-3)</f>
        <v>2227000</v>
      </c>
      <c r="P368" s="189">
        <f>ROUND(O368*Assumptions!O$48+O368,-3)</f>
        <v>2294000</v>
      </c>
      <c r="Q368" s="187">
        <f>ROUND(P368*Assumptions!P$48+P368,-3)</f>
        <v>2363000</v>
      </c>
      <c r="R368" s="188">
        <f>ROUND(Q368*Assumptions!Q$48+Q368,-3)</f>
        <v>2434000</v>
      </c>
    </row>
    <row r="369" spans="1:18" s="84" customFormat="1" x14ac:dyDescent="0.2">
      <c r="A369" s="107">
        <v>-122400</v>
      </c>
      <c r="B369" s="33">
        <v>-123300</v>
      </c>
      <c r="C369" s="187">
        <v>-124100</v>
      </c>
      <c r="D369" s="187">
        <v>-128100</v>
      </c>
      <c r="E369" s="343" t="s">
        <v>309</v>
      </c>
      <c r="F369" s="890" t="s">
        <v>6732</v>
      </c>
      <c r="G369" s="187">
        <v>-129000</v>
      </c>
      <c r="H369" s="138">
        <f>IF(D369=G369,0,IF(D369=0,100,(G369-D369)/D369*100))</f>
        <v>0.70257611241217799</v>
      </c>
      <c r="I369" s="187">
        <f>ROUNDUP(G369+(G369*Assumptions!H$8),-3)</f>
        <v>-130000</v>
      </c>
      <c r="J369" s="1733">
        <f>ROUNDUP(I369+(I369*Assumptions!I$8),-3)</f>
        <v>-131000</v>
      </c>
      <c r="K369" s="187">
        <f>ROUNDUP(J369+(J369*Assumptions!J$8),-3)</f>
        <v>-132000</v>
      </c>
      <c r="L369" s="187">
        <f>ROUNDUP(K369+(K369*Assumptions!K$8),-3)</f>
        <v>-133000</v>
      </c>
      <c r="M369" s="187">
        <f>ROUNDUP(L369+(L369*Assumptions!L$8),-3)</f>
        <v>-134000</v>
      </c>
      <c r="N369" s="187">
        <f>ROUNDUP(M369+(M369*Assumptions!M$8),-3)</f>
        <v>-135000</v>
      </c>
      <c r="O369" s="187">
        <f>ROUNDUP(N369+(N369*Assumptions!N$8),-3)</f>
        <v>-136000</v>
      </c>
      <c r="P369" s="189">
        <f>ROUNDUP(O369+(O369*Assumptions!O$8),-3)</f>
        <v>-137000</v>
      </c>
      <c r="Q369" s="187">
        <f>ROUNDUP(P369+(P369*Assumptions!P$8),-3)</f>
        <v>-138000</v>
      </c>
      <c r="R369" s="188">
        <f>ROUNDUP(Q369+(Q369*Assumptions!Q$8),-3)</f>
        <v>-139000</v>
      </c>
    </row>
    <row r="370" spans="1:18" s="84" customFormat="1" x14ac:dyDescent="0.2">
      <c r="A370" s="107">
        <v>-149600</v>
      </c>
      <c r="B370" s="33">
        <v>-150800</v>
      </c>
      <c r="C370" s="187">
        <v>-151700</v>
      </c>
      <c r="D370" s="187">
        <v>-156600</v>
      </c>
      <c r="E370" s="343" t="s">
        <v>310</v>
      </c>
      <c r="F370" s="890" t="s">
        <v>4699</v>
      </c>
      <c r="G370" s="187">
        <v>-157000</v>
      </c>
      <c r="H370" s="138">
        <f>IF(D370=G370,0,IF(D370=0,100,(G370-D370)/D370*100))</f>
        <v>0.2554278416347382</v>
      </c>
      <c r="I370" s="187">
        <f>ROUNDUP(G370+(G370*Assumptions!H$8),-3)</f>
        <v>-158000</v>
      </c>
      <c r="J370" s="1733">
        <f>ROUNDUP(I370+(I370*Assumptions!I$8),-3)</f>
        <v>-159000</v>
      </c>
      <c r="K370" s="187">
        <f>ROUNDUP(J370+(J370*Assumptions!J$8),-3)</f>
        <v>-160000</v>
      </c>
      <c r="L370" s="187">
        <f>ROUNDUP(K370+(K370*Assumptions!K$8),-3)</f>
        <v>-161000</v>
      </c>
      <c r="M370" s="187">
        <f>ROUNDUP(L370+(L370*Assumptions!L$8),-3)</f>
        <v>-162000</v>
      </c>
      <c r="N370" s="187">
        <f>ROUNDUP(M370+(M370*Assumptions!M$8),-3)</f>
        <v>-163000</v>
      </c>
      <c r="O370" s="187">
        <f>ROUNDUP(N370+(N370*Assumptions!N$8),-3)</f>
        <v>-164000</v>
      </c>
      <c r="P370" s="189">
        <f>ROUNDUP(O370+(O370*Assumptions!O$8),-3)</f>
        <v>-165000</v>
      </c>
      <c r="Q370" s="187">
        <f>ROUNDUP(P370+(P370*Assumptions!P$8),-3)</f>
        <v>-166000</v>
      </c>
      <c r="R370" s="188">
        <f>ROUNDUP(Q370+(Q370*Assumptions!Q$8),-3)</f>
        <v>-167000</v>
      </c>
    </row>
    <row r="371" spans="1:18" s="84" customFormat="1" x14ac:dyDescent="0.2">
      <c r="A371" s="107"/>
      <c r="B371" s="33"/>
      <c r="C371" s="189"/>
      <c r="D371" s="187"/>
      <c r="E371" s="445"/>
      <c r="F371" s="3"/>
      <c r="G371" s="187"/>
      <c r="H371" s="138"/>
      <c r="I371" s="33"/>
      <c r="J371" s="33"/>
      <c r="K371" s="33"/>
      <c r="L371" s="33"/>
      <c r="M371" s="33"/>
      <c r="N371" s="33"/>
      <c r="O371" s="33"/>
      <c r="P371" s="142"/>
      <c r="Q371" s="33"/>
      <c r="R371" s="114"/>
    </row>
    <row r="372" spans="1:18" s="84" customFormat="1" x14ac:dyDescent="0.2">
      <c r="A372" s="107"/>
      <c r="B372" s="33"/>
      <c r="C372" s="189"/>
      <c r="D372" s="1734"/>
      <c r="E372" s="437"/>
      <c r="F372" s="6" t="s">
        <v>836</v>
      </c>
      <c r="G372" s="1734"/>
      <c r="H372" s="138"/>
      <c r="I372" s="33"/>
      <c r="J372" s="1734"/>
      <c r="K372" s="1734"/>
      <c r="L372" s="1734"/>
      <c r="M372" s="187"/>
      <c r="N372" s="187"/>
      <c r="O372" s="33"/>
      <c r="P372" s="142"/>
      <c r="Q372" s="33"/>
      <c r="R372" s="114"/>
    </row>
    <row r="373" spans="1:18" s="84" customFormat="1" x14ac:dyDescent="0.2">
      <c r="A373" s="107">
        <v>803400</v>
      </c>
      <c r="B373" s="33">
        <v>938000</v>
      </c>
      <c r="C373" s="189">
        <v>891500</v>
      </c>
      <c r="D373" s="187">
        <v>996700</v>
      </c>
      <c r="E373" s="343" t="s">
        <v>2751</v>
      </c>
      <c r="F373" s="890" t="s">
        <v>830</v>
      </c>
      <c r="G373" s="187">
        <v>1104400</v>
      </c>
      <c r="H373" s="138">
        <f t="shared" ref="H373:H378" si="316">IF(D373=G373,0,IF(D373=0,100,(G373-D373)/D373*100))</f>
        <v>10.805658673622956</v>
      </c>
      <c r="I373" s="187">
        <f>ROUND(G373*Assumptions!H$49+G373,-3)</f>
        <v>1138000</v>
      </c>
      <c r="J373" s="1733">
        <f>ROUND(I373*Assumptions!I$49+I373,-3)</f>
        <v>1166000</v>
      </c>
      <c r="K373" s="187">
        <f>ROUND(J373*Assumptions!J$49+J373,-3)</f>
        <v>1195000</v>
      </c>
      <c r="L373" s="187">
        <f>ROUND(K373*Assumptions!K$49+K373,-3)</f>
        <v>1243000</v>
      </c>
      <c r="M373" s="187">
        <f>ROUND(L373*Assumptions!L$49+L373,-3)</f>
        <v>1280000</v>
      </c>
      <c r="N373" s="187">
        <f>ROUND(M373*Assumptions!M$49+M373,-3)</f>
        <v>1318000</v>
      </c>
      <c r="O373" s="33">
        <f>ROUND(N373*Assumptions!N$49+N373,-3)</f>
        <v>1358000</v>
      </c>
      <c r="P373" s="142">
        <f>ROUND(O373*Assumptions!O$49+O373,-3)</f>
        <v>1399000</v>
      </c>
      <c r="Q373" s="33">
        <f>ROUND(P373*Assumptions!P$49+P373,-3)</f>
        <v>1441000</v>
      </c>
      <c r="R373" s="114">
        <f>ROUND(Q373*Assumptions!Q$49+Q373,-3)</f>
        <v>1484000</v>
      </c>
    </row>
    <row r="374" spans="1:18" s="84" customFormat="1" x14ac:dyDescent="0.2">
      <c r="A374" s="107">
        <f>85600+32600</f>
        <v>118200</v>
      </c>
      <c r="B374" s="33">
        <f>34200+93500</f>
        <v>127700</v>
      </c>
      <c r="C374" s="189">
        <v>37100</v>
      </c>
      <c r="D374" s="187">
        <v>37800</v>
      </c>
      <c r="E374" s="343" t="s">
        <v>2752</v>
      </c>
      <c r="F374" s="890" t="s">
        <v>4273</v>
      </c>
      <c r="G374" s="187">
        <v>42800</v>
      </c>
      <c r="H374" s="138">
        <f t="shared" si="316"/>
        <v>13.227513227513226</v>
      </c>
      <c r="I374" s="187">
        <f>ROUNDUP((G374*Assumptions!H$49+G374)+(G374*Assumptions!H$54),-2)</f>
        <v>44100</v>
      </c>
      <c r="J374" s="33">
        <f>ROUNDUP(I374+(I374*Assumptions!I$5),-2)</f>
        <v>45300</v>
      </c>
      <c r="K374" s="33">
        <f>ROUNDUP(J374+(J374*Assumptions!J$5),-2)</f>
        <v>46500</v>
      </c>
      <c r="L374" s="33">
        <f>ROUNDUP(K374+(K374*Assumptions!K$5),-2)</f>
        <v>47700</v>
      </c>
      <c r="M374" s="33">
        <f>ROUNDUP(L374+(L374*Assumptions!L$5),-2)</f>
        <v>48700</v>
      </c>
      <c r="N374" s="33">
        <f>ROUNDUP(M374+(M374*Assumptions!M$5),-2)</f>
        <v>49700</v>
      </c>
      <c r="O374" s="33">
        <f>ROUNDUP(N374+(N374*Assumptions!N$5),-2)</f>
        <v>50700</v>
      </c>
      <c r="P374" s="142">
        <f>ROUNDUP(O374+(O374*Assumptions!O$5),-2)</f>
        <v>51800</v>
      </c>
      <c r="Q374" s="33">
        <f>ROUNDUP(P374+(P374*Assumptions!P$5),-2)</f>
        <v>52900</v>
      </c>
      <c r="R374" s="114">
        <f>ROUNDUP(Q374+(Q374*Assumptions!Q$5),-2)</f>
        <v>54000</v>
      </c>
    </row>
    <row r="375" spans="1:18" s="84" customFormat="1" x14ac:dyDescent="0.2">
      <c r="A375" s="107">
        <v>0</v>
      </c>
      <c r="B375" s="33">
        <v>0</v>
      </c>
      <c r="C375" s="189">
        <v>87100</v>
      </c>
      <c r="D375" s="187">
        <v>97200</v>
      </c>
      <c r="E375" s="821" t="s">
        <v>4272</v>
      </c>
      <c r="F375" s="890" t="s">
        <v>4274</v>
      </c>
      <c r="G375" s="187">
        <v>85600</v>
      </c>
      <c r="H375" s="138">
        <f t="shared" si="316"/>
        <v>-11.934156378600823</v>
      </c>
      <c r="I375" s="187">
        <f>ROUNDUP((G375*Assumptions!H$49+G375)+(G375*Assumptions!H$54),-2)</f>
        <v>88200</v>
      </c>
      <c r="J375" s="33">
        <f>ROUNDUP(I375+(I375*Assumptions!I$5),-2)</f>
        <v>90500</v>
      </c>
      <c r="K375" s="33">
        <f>ROUNDUP(J375+(J375*Assumptions!J$5),-2)</f>
        <v>92800</v>
      </c>
      <c r="L375" s="33">
        <f>ROUNDUP(K375+(K375*Assumptions!K$5),-2)</f>
        <v>95200</v>
      </c>
      <c r="M375" s="33">
        <f>ROUNDUP(L375+(L375*Assumptions!L$5),-2)</f>
        <v>97200</v>
      </c>
      <c r="N375" s="33">
        <f>ROUNDUP(M375+(M375*Assumptions!M$5),-2)</f>
        <v>99200</v>
      </c>
      <c r="O375" s="33">
        <f>ROUNDUP(N375+(N375*Assumptions!N$5),-2)</f>
        <v>101200</v>
      </c>
      <c r="P375" s="142">
        <f>ROUNDUP(O375+(O375*Assumptions!O$5),-2)</f>
        <v>103300</v>
      </c>
      <c r="Q375" s="33">
        <f>ROUNDUP(P375+(P375*Assumptions!P$5),-2)</f>
        <v>105400</v>
      </c>
      <c r="R375" s="114">
        <f>ROUNDUP(Q375+(Q375*Assumptions!Q$5),-2)</f>
        <v>107600</v>
      </c>
    </row>
    <row r="376" spans="1:18" s="84" customFormat="1" x14ac:dyDescent="0.2">
      <c r="A376" s="107">
        <v>20300</v>
      </c>
      <c r="B376" s="33">
        <v>32400</v>
      </c>
      <c r="C376" s="189">
        <v>22700</v>
      </c>
      <c r="D376" s="187">
        <v>10200</v>
      </c>
      <c r="E376" s="343" t="s">
        <v>2754</v>
      </c>
      <c r="F376" s="3" t="s">
        <v>2136</v>
      </c>
      <c r="G376" s="187">
        <v>25800</v>
      </c>
      <c r="H376" s="138">
        <f t="shared" si="316"/>
        <v>152.94117647058823</v>
      </c>
      <c r="I376" s="33">
        <f>ROUNDUP(G376+(G376*Assumptions!H$5),-2)</f>
        <v>26200</v>
      </c>
      <c r="J376" s="33">
        <f>ROUNDUP(I376+(I376*Assumptions!I$5),-2)</f>
        <v>26900</v>
      </c>
      <c r="K376" s="33">
        <f>ROUNDUP(J376+(J376*Assumptions!J$5),-2)</f>
        <v>27600</v>
      </c>
      <c r="L376" s="33">
        <f>ROUNDUP(K376+(K376*Assumptions!K$5),-2)</f>
        <v>28300</v>
      </c>
      <c r="M376" s="33">
        <f>ROUNDUP(L376+(L376*Assumptions!L$5),-2)</f>
        <v>28900</v>
      </c>
      <c r="N376" s="33">
        <f>ROUNDUP(M376+(M376*Assumptions!M$5),-2)</f>
        <v>29500</v>
      </c>
      <c r="O376" s="33">
        <f>ROUNDUP(N376+(N376*Assumptions!N$5),-2)</f>
        <v>30100</v>
      </c>
      <c r="P376" s="33">
        <f>ROUNDUP(O376+(O376*Assumptions!O$5),-2)</f>
        <v>30800</v>
      </c>
      <c r="Q376" s="33">
        <f>ROUNDUP(P376+(P376*Assumptions!P$5),-2)</f>
        <v>31500</v>
      </c>
      <c r="R376" s="114">
        <f>ROUNDUP(Q376+(Q376*Assumptions!Q$5),-2)</f>
        <v>32200</v>
      </c>
    </row>
    <row r="377" spans="1:18" s="84" customFormat="1" x14ac:dyDescent="0.2">
      <c r="A377" s="107">
        <v>0</v>
      </c>
      <c r="B377" s="33">
        <v>0</v>
      </c>
      <c r="C377" s="189">
        <v>0</v>
      </c>
      <c r="D377" s="187">
        <v>0</v>
      </c>
      <c r="E377" s="811" t="s">
        <v>6625</v>
      </c>
      <c r="F377" s="890" t="s">
        <v>6627</v>
      </c>
      <c r="G377" s="187">
        <v>15000</v>
      </c>
      <c r="H377" s="138">
        <f t="shared" si="316"/>
        <v>100</v>
      </c>
      <c r="I377" s="33">
        <f>ROUNDUP(G377+(G377*Assumptions!H$5),-2)</f>
        <v>15300</v>
      </c>
      <c r="J377" s="33">
        <f>ROUNDUP(I377+(I377*Assumptions!I$5),-2)</f>
        <v>15700</v>
      </c>
      <c r="K377" s="33">
        <f>ROUNDUP(J377+(J377*Assumptions!J$5),-2)</f>
        <v>16100</v>
      </c>
      <c r="L377" s="33">
        <f>ROUNDUP(K377+(K377*Assumptions!K$5),-2)</f>
        <v>16600</v>
      </c>
      <c r="M377" s="33">
        <f>ROUNDUP(L377+(L377*Assumptions!L$5),-2)</f>
        <v>17000</v>
      </c>
      <c r="N377" s="33">
        <f>ROUNDUP(M377+(M377*Assumptions!M$5),-2)</f>
        <v>17400</v>
      </c>
      <c r="O377" s="33">
        <f>ROUNDUP(N377+(N377*Assumptions!N$5),-2)</f>
        <v>17800</v>
      </c>
      <c r="P377" s="33">
        <f>ROUNDUP(O377+(O377*Assumptions!O$5),-2)</f>
        <v>18200</v>
      </c>
      <c r="Q377" s="33">
        <f>ROUNDUP(P377+(P377*Assumptions!P$5),-2)</f>
        <v>18600</v>
      </c>
      <c r="R377" s="114">
        <f>ROUNDUP(Q377+(Q377*Assumptions!Q$5),-2)</f>
        <v>19000</v>
      </c>
    </row>
    <row r="378" spans="1:18" s="84" customFormat="1" x14ac:dyDescent="0.2">
      <c r="A378" s="107">
        <v>0</v>
      </c>
      <c r="B378" s="33">
        <v>0</v>
      </c>
      <c r="C378" s="189">
        <v>0</v>
      </c>
      <c r="D378" s="187">
        <v>0</v>
      </c>
      <c r="E378" s="811" t="s">
        <v>6626</v>
      </c>
      <c r="F378" s="890" t="s">
        <v>6628</v>
      </c>
      <c r="G378" s="187">
        <v>15000</v>
      </c>
      <c r="H378" s="138">
        <f t="shared" si="316"/>
        <v>100</v>
      </c>
      <c r="I378" s="33">
        <v>40000</v>
      </c>
      <c r="J378" s="33">
        <v>80000</v>
      </c>
      <c r="K378" s="33">
        <v>120000</v>
      </c>
      <c r="L378" s="33">
        <v>160000</v>
      </c>
      <c r="M378" s="33">
        <f>ROUNDUP(L378+(L378*Assumptions!L$5),-2)</f>
        <v>163200</v>
      </c>
      <c r="N378" s="33">
        <f>ROUNDUP(M378+(M378*Assumptions!M$5),-2)</f>
        <v>166500</v>
      </c>
      <c r="O378" s="33">
        <f>ROUNDUP(N378+(N378*Assumptions!N$5),-2)</f>
        <v>169900</v>
      </c>
      <c r="P378" s="33">
        <f>ROUNDUP(O378+(O378*Assumptions!O$5),-2)</f>
        <v>173300</v>
      </c>
      <c r="Q378" s="33">
        <f>ROUNDUP(P378+(P378*Assumptions!P$5),-2)</f>
        <v>176800</v>
      </c>
      <c r="R378" s="114">
        <f>ROUNDUP(Q378+(Q378*Assumptions!Q$5),-2)</f>
        <v>180400</v>
      </c>
    </row>
    <row r="379" spans="1:18" s="84" customFormat="1" x14ac:dyDescent="0.2">
      <c r="A379" s="107"/>
      <c r="B379" s="33"/>
      <c r="C379" s="187"/>
      <c r="D379" s="187"/>
      <c r="E379" s="445"/>
      <c r="F379" s="3"/>
      <c r="G379" s="187"/>
      <c r="H379" s="138"/>
      <c r="I379" s="33"/>
      <c r="J379" s="33"/>
      <c r="K379" s="33"/>
      <c r="L379" s="33"/>
      <c r="M379" s="33"/>
      <c r="N379" s="33"/>
      <c r="O379" s="33"/>
      <c r="P379" s="142"/>
      <c r="Q379" s="33"/>
      <c r="R379" s="114"/>
    </row>
    <row r="380" spans="1:18" s="84" customFormat="1" x14ac:dyDescent="0.2">
      <c r="A380" s="107"/>
      <c r="B380" s="33"/>
      <c r="C380" s="187"/>
      <c r="D380" s="187"/>
      <c r="E380" s="437"/>
      <c r="F380" s="8" t="s">
        <v>1263</v>
      </c>
      <c r="G380" s="187"/>
      <c r="H380" s="138"/>
      <c r="I380" s="33"/>
      <c r="J380" s="33"/>
      <c r="K380" s="33"/>
      <c r="L380" s="33"/>
      <c r="M380" s="33"/>
      <c r="N380" s="33"/>
      <c r="O380" s="33"/>
      <c r="P380" s="142"/>
      <c r="Q380" s="33"/>
      <c r="R380" s="114"/>
    </row>
    <row r="381" spans="1:18" s="84" customFormat="1" x14ac:dyDescent="0.2">
      <c r="A381" s="107">
        <v>149600</v>
      </c>
      <c r="B381" s="33">
        <v>150800</v>
      </c>
      <c r="C381" s="33">
        <v>151700</v>
      </c>
      <c r="D381" s="187">
        <v>156600</v>
      </c>
      <c r="E381" s="343" t="s">
        <v>1243</v>
      </c>
      <c r="F381" s="890" t="s">
        <v>3612</v>
      </c>
      <c r="G381" s="187">
        <v>152700</v>
      </c>
      <c r="H381" s="138">
        <f>IF(D381=G381,0,IF(D381=0,100,(G381-D381)/D381*100))</f>
        <v>-2.490421455938697</v>
      </c>
      <c r="I381" s="187">
        <f t="shared" ref="I381:P381" si="317">ROUND(-I370/11*10,-2)</f>
        <v>143600</v>
      </c>
      <c r="J381" s="33">
        <f t="shared" si="317"/>
        <v>144500</v>
      </c>
      <c r="K381" s="33">
        <f t="shared" si="317"/>
        <v>145500</v>
      </c>
      <c r="L381" s="33">
        <f t="shared" si="317"/>
        <v>146400</v>
      </c>
      <c r="M381" s="33">
        <f t="shared" si="317"/>
        <v>147300</v>
      </c>
      <c r="N381" s="33">
        <f t="shared" si="317"/>
        <v>148200</v>
      </c>
      <c r="O381" s="187">
        <f t="shared" si="317"/>
        <v>149100</v>
      </c>
      <c r="P381" s="189">
        <f t="shared" si="317"/>
        <v>150000</v>
      </c>
      <c r="Q381" s="187">
        <f t="shared" ref="Q381" si="318">ROUND(-Q370/11*10,-2)</f>
        <v>150900</v>
      </c>
      <c r="R381" s="188">
        <f t="shared" ref="R381" si="319">ROUND(-R370/11*10,-2)</f>
        <v>151800</v>
      </c>
    </row>
    <row r="382" spans="1:18" s="84" customFormat="1" x14ac:dyDescent="0.2">
      <c r="A382" s="107"/>
      <c r="B382" s="33"/>
      <c r="C382" s="189"/>
      <c r="D382" s="187"/>
      <c r="E382" s="445"/>
      <c r="F382" s="443"/>
      <c r="G382" s="187"/>
      <c r="H382" s="138"/>
      <c r="I382" s="33"/>
      <c r="J382" s="33"/>
      <c r="K382" s="33"/>
      <c r="L382" s="33"/>
      <c r="M382" s="33"/>
      <c r="N382" s="33"/>
      <c r="O382" s="33"/>
      <c r="P382" s="142"/>
      <c r="Q382" s="33"/>
      <c r="R382" s="114"/>
    </row>
    <row r="383" spans="1:18" s="84" customFormat="1" x14ac:dyDescent="0.2">
      <c r="A383" s="107"/>
      <c r="B383" s="33"/>
      <c r="C383" s="189"/>
      <c r="D383" s="187"/>
      <c r="E383" s="437"/>
      <c r="F383" s="1103" t="s">
        <v>5354</v>
      </c>
      <c r="G383" s="187"/>
      <c r="H383" s="138"/>
      <c r="I383" s="33"/>
      <c r="J383" s="33"/>
      <c r="K383" s="33"/>
      <c r="L383" s="33"/>
      <c r="M383" s="33"/>
      <c r="N383" s="33"/>
      <c r="O383" s="33"/>
      <c r="P383" s="142"/>
      <c r="Q383" s="33"/>
      <c r="R383" s="114"/>
    </row>
    <row r="384" spans="1:18" s="84" customFormat="1" x14ac:dyDescent="0.2">
      <c r="A384" s="107">
        <v>73700</v>
      </c>
      <c r="B384" s="33">
        <v>92300</v>
      </c>
      <c r="C384" s="189">
        <v>131500</v>
      </c>
      <c r="D384" s="187">
        <v>146300</v>
      </c>
      <c r="E384" s="343" t="s">
        <v>2755</v>
      </c>
      <c r="F384" s="443" t="s">
        <v>644</v>
      </c>
      <c r="G384" s="187">
        <v>154500</v>
      </c>
      <c r="H384" s="138">
        <f>IF(D384=G384,0,IF(D384=0,100,(G384-D384)/D384*100))</f>
        <v>5.6049213943950784</v>
      </c>
      <c r="I384" s="33">
        <v>130000</v>
      </c>
      <c r="J384" s="33">
        <f>ROUNDUP(I384+(I384*Assumptions!I$5),-2)</f>
        <v>133300</v>
      </c>
      <c r="K384" s="33">
        <f>ROUNDUP(J384+(J384*Assumptions!J$5),-2)</f>
        <v>136700</v>
      </c>
      <c r="L384" s="33">
        <f>ROUNDUP(K384+(K384*Assumptions!K$5),-2)</f>
        <v>140200</v>
      </c>
      <c r="M384" s="33">
        <f>ROUNDUP(L384+(L384*Assumptions!L$5),-2)</f>
        <v>143100</v>
      </c>
      <c r="N384" s="33">
        <f>ROUNDUP(M384+(M384*Assumptions!M$5),-2)</f>
        <v>146000</v>
      </c>
      <c r="O384" s="33">
        <f>ROUNDUP(N384+(N384*Assumptions!N$5),-2)</f>
        <v>149000</v>
      </c>
      <c r="P384" s="33">
        <f>ROUNDUP(O384+(O384*Assumptions!O$5),-2)</f>
        <v>152000</v>
      </c>
      <c r="Q384" s="33">
        <f>ROUNDUP(P384+(P384*Assumptions!P$5),-2)</f>
        <v>155100</v>
      </c>
      <c r="R384" s="114">
        <f>ROUNDUP(Q384+(Q384*Assumptions!Q$5),-2)</f>
        <v>158300</v>
      </c>
    </row>
    <row r="385" spans="1:18" s="84" customFormat="1" x14ac:dyDescent="0.2">
      <c r="A385" s="107">
        <f>8000+5900-700+5600</f>
        <v>18800</v>
      </c>
      <c r="B385" s="33">
        <f>400+135700</f>
        <v>136100</v>
      </c>
      <c r="C385" s="189">
        <v>5900</v>
      </c>
      <c r="D385" s="187">
        <v>300</v>
      </c>
      <c r="E385" s="343" t="s">
        <v>2753</v>
      </c>
      <c r="F385" s="443" t="s">
        <v>1557</v>
      </c>
      <c r="G385" s="187">
        <v>10300</v>
      </c>
      <c r="H385" s="138">
        <f>IF(D385=G385,0,IF(D385=0,100,(G385-D385)/D385*100))</f>
        <v>3333.3333333333335</v>
      </c>
      <c r="I385" s="33">
        <f>ROUNDUP(G385+(G385*Assumptions!H$5),-2)</f>
        <v>10500</v>
      </c>
      <c r="J385" s="33">
        <f>ROUNDUP(I385+(I385*Assumptions!I$5),-2)</f>
        <v>10800</v>
      </c>
      <c r="K385" s="33">
        <f>ROUNDUP(J385+(J385*Assumptions!J$5),-2)</f>
        <v>11100</v>
      </c>
      <c r="L385" s="33">
        <f>ROUNDUP(K385+(K385*Assumptions!K$5),-2)</f>
        <v>11400</v>
      </c>
      <c r="M385" s="33">
        <f>ROUNDUP(L385+(L385*Assumptions!L$5),-2)</f>
        <v>11700</v>
      </c>
      <c r="N385" s="33">
        <f>ROUNDUP(M385+(M385*Assumptions!M$5),-2)</f>
        <v>12000</v>
      </c>
      <c r="O385" s="33">
        <f>ROUNDUP(N385+(N385*Assumptions!N$5),-2)</f>
        <v>12300</v>
      </c>
      <c r="P385" s="33">
        <f>ROUNDUP(O385+(O385*Assumptions!O$5),-2)</f>
        <v>12600</v>
      </c>
      <c r="Q385" s="33">
        <f>ROUNDUP(P385+(P385*Assumptions!P$5),-2)</f>
        <v>12900</v>
      </c>
      <c r="R385" s="114">
        <f>ROUNDUP(Q385+(Q385*Assumptions!Q$5),-2)</f>
        <v>13200</v>
      </c>
    </row>
    <row r="386" spans="1:18" s="84" customFormat="1" x14ac:dyDescent="0.2">
      <c r="A386" s="107">
        <v>215700</v>
      </c>
      <c r="B386" s="33">
        <v>241300</v>
      </c>
      <c r="C386" s="189">
        <v>247600</v>
      </c>
      <c r="D386" s="187">
        <v>248200</v>
      </c>
      <c r="E386" s="343" t="s">
        <v>816</v>
      </c>
      <c r="F386" s="528" t="s">
        <v>2195</v>
      </c>
      <c r="G386" s="187">
        <v>257500</v>
      </c>
      <c r="H386" s="138">
        <f>IF(D386=G386,0,IF(D386=0,100,(G386-D386)/D386*100))</f>
        <v>3.7469782433521353</v>
      </c>
      <c r="I386" s="33">
        <f>ROUNDUP(G386+(G386*Assumptions!H$5),-2)</f>
        <v>261400</v>
      </c>
      <c r="J386" s="33">
        <f>ROUNDUP(I386+(I386*Assumptions!I$5),-2)</f>
        <v>268000</v>
      </c>
      <c r="K386" s="33">
        <f>ROUNDUP(J386+(J386*Assumptions!J$5),-2)</f>
        <v>274700</v>
      </c>
      <c r="L386" s="33">
        <f>ROUNDUP(K386+(K386*Assumptions!K$5),-2)</f>
        <v>281600</v>
      </c>
      <c r="M386" s="33">
        <f>ROUNDUP(L386+(L386*Assumptions!L$5),-2)</f>
        <v>287300</v>
      </c>
      <c r="N386" s="33">
        <f>ROUNDUP(M386+(M386*Assumptions!M$5),-2)</f>
        <v>293100</v>
      </c>
      <c r="O386" s="33">
        <f>ROUNDUP(N386+(N386*Assumptions!N$5),-2)</f>
        <v>299000</v>
      </c>
      <c r="P386" s="33">
        <f>ROUNDUP(O386+(O386*Assumptions!O$5),-2)</f>
        <v>305000</v>
      </c>
      <c r="Q386" s="33">
        <f>ROUNDUP(P386+(P386*Assumptions!P$5),-2)</f>
        <v>311100</v>
      </c>
      <c r="R386" s="114">
        <f>ROUNDUP(Q386+(Q386*Assumptions!Q$5),-2)</f>
        <v>317400</v>
      </c>
    </row>
    <row r="387" spans="1:18" s="84" customFormat="1" x14ac:dyDescent="0.2">
      <c r="A387" s="107">
        <v>1900</v>
      </c>
      <c r="B387" s="33">
        <v>6100</v>
      </c>
      <c r="C387" s="189">
        <v>6000</v>
      </c>
      <c r="D387" s="187">
        <v>5300</v>
      </c>
      <c r="E387" s="343" t="s">
        <v>937</v>
      </c>
      <c r="F387" s="443" t="s">
        <v>2932</v>
      </c>
      <c r="G387" s="187">
        <v>4600</v>
      </c>
      <c r="H387" s="138">
        <f>IF(D387=G387,0,IF(D387=0,100,(G387-D387)/D387*100))</f>
        <v>-13.20754716981132</v>
      </c>
      <c r="I387" s="33">
        <f>ROUNDUP(G387+(G387*Assumptions!H$5),-2)</f>
        <v>4700</v>
      </c>
      <c r="J387" s="33">
        <f>ROUNDUP(I387+(I387*Assumptions!I$5),-2)</f>
        <v>4900</v>
      </c>
      <c r="K387" s="33">
        <f>ROUNDUP(J387+(J387*Assumptions!J$5),-2)</f>
        <v>5100</v>
      </c>
      <c r="L387" s="33">
        <f>ROUNDUP(K387+(K387*Assumptions!K$5),-2)</f>
        <v>5300</v>
      </c>
      <c r="M387" s="33">
        <f>ROUNDUP(L387+(L387*Assumptions!L$5),-2)</f>
        <v>5500</v>
      </c>
      <c r="N387" s="33">
        <f>ROUNDUP(M387+(M387*Assumptions!M$5),-2)</f>
        <v>5700</v>
      </c>
      <c r="O387" s="33">
        <f>ROUNDUP(N387+(N387*Assumptions!N$5),-2)</f>
        <v>5900</v>
      </c>
      <c r="P387" s="33">
        <f>ROUNDUP(O387+(O387*Assumptions!O$5),-2)</f>
        <v>6100</v>
      </c>
      <c r="Q387" s="33">
        <f>ROUNDUP(P387+(P387*Assumptions!P$5),-2)</f>
        <v>6300</v>
      </c>
      <c r="R387" s="114">
        <f>ROUNDUP(Q387+(Q387*Assumptions!Q$5),-2)</f>
        <v>6500</v>
      </c>
    </row>
    <row r="388" spans="1:18" s="84" customFormat="1" x14ac:dyDescent="0.2">
      <c r="A388" s="107"/>
      <c r="B388" s="33"/>
      <c r="C388" s="187"/>
      <c r="D388" s="187"/>
      <c r="E388" s="445"/>
      <c r="F388" s="33"/>
      <c r="G388" s="189"/>
      <c r="H388" s="138"/>
      <c r="I388" s="33"/>
      <c r="J388" s="1733"/>
      <c r="K388" s="187"/>
      <c r="L388" s="187"/>
      <c r="M388" s="187"/>
      <c r="N388" s="187"/>
      <c r="O388" s="33"/>
      <c r="P388" s="142"/>
      <c r="Q388" s="33"/>
      <c r="R388" s="114"/>
    </row>
    <row r="389" spans="1:18" s="84" customFormat="1" x14ac:dyDescent="0.2">
      <c r="A389" s="107"/>
      <c r="B389" s="33"/>
      <c r="C389" s="187"/>
      <c r="D389" s="187"/>
      <c r="E389" s="437"/>
      <c r="F389" s="439" t="s">
        <v>2671</v>
      </c>
      <c r="G389" s="189"/>
      <c r="H389" s="138"/>
      <c r="I389" s="33"/>
      <c r="J389" s="1733"/>
      <c r="K389" s="187"/>
      <c r="L389" s="187"/>
      <c r="M389" s="187"/>
      <c r="N389" s="187"/>
      <c r="O389" s="33"/>
      <c r="P389" s="142"/>
      <c r="Q389" s="33"/>
      <c r="R389" s="114"/>
    </row>
    <row r="390" spans="1:18" s="84" customFormat="1" x14ac:dyDescent="0.2">
      <c r="A390" s="107">
        <v>1382900</v>
      </c>
      <c r="B390" s="33">
        <v>810800</v>
      </c>
      <c r="C390" s="187">
        <v>490400</v>
      </c>
      <c r="D390" s="187">
        <v>299700</v>
      </c>
      <c r="E390" s="343" t="s">
        <v>778</v>
      </c>
      <c r="F390" s="443" t="s">
        <v>609</v>
      </c>
      <c r="G390" s="189">
        <v>169200</v>
      </c>
      <c r="H390" s="138">
        <f>IF(D390=G390,0,IF(D390=0,100,(G390-D390)/D390*100))</f>
        <v>-43.543543543543542</v>
      </c>
      <c r="I390" s="33">
        <f>IF(LTFP!E328&gt;0,ROUND(LTFP!E328/2*Assumptions!H$14,-2),0)+1400</f>
        <v>120600</v>
      </c>
      <c r="J390" s="1733">
        <f>IF(LTFP!G328&gt;0,ROUND(LTFP!G328/2*Assumptions!I$14,-2),0)+33200</f>
        <v>119500</v>
      </c>
      <c r="K390" s="187">
        <f>IF(LTFP!H328&gt;0,ROUND(LTFP!H328/2*Assumptions!J$14,-2),0)+77500</f>
        <v>204400</v>
      </c>
      <c r="L390" s="187">
        <f>IF(LTFP!I328&gt;0,ROUND(LTFP!I328/2*Assumptions!K$14,-2),0)+81200</f>
        <v>126300</v>
      </c>
      <c r="M390" s="187">
        <f>IF(LTFP!J328&gt;0,ROUND(LTFP!J328/2*Assumptions!L$14,-2),0)+83000</f>
        <v>134400</v>
      </c>
      <c r="N390" s="187">
        <f>IF(LTFP!K328&gt;0,ROUND(LTFP!K328/2*Assumptions!M$14,-2),0)+84900</f>
        <v>147000</v>
      </c>
      <c r="O390" s="33">
        <f>IF(LTFP!L328&gt;0,ROUND(LTFP!L328/2*Assumptions!N$14,-2),0)+49800</f>
        <v>136700</v>
      </c>
      <c r="P390" s="142">
        <f>IF(LTFP!M328&gt;0,ROUND(LTFP!M328/2*Assumptions!O$14,-2),0)-6500</f>
        <v>193300</v>
      </c>
      <c r="Q390" s="33">
        <f>IF(LTFP!N328&gt;0,ROUND(LTFP!N328/2*Assumptions!P$14,-2),0)</f>
        <v>325100</v>
      </c>
      <c r="R390" s="114">
        <f>IF(LTFP!O328&gt;0,ROUND(LTFP!O328/2*Assumptions!Q$14,-2),0)</f>
        <v>464000</v>
      </c>
    </row>
    <row r="391" spans="1:18" s="84" customFormat="1" x14ac:dyDescent="0.2">
      <c r="A391" s="107">
        <v>239300</v>
      </c>
      <c r="B391" s="33">
        <v>104300</v>
      </c>
      <c r="C391" s="187">
        <v>143000</v>
      </c>
      <c r="D391" s="187">
        <v>160400</v>
      </c>
      <c r="E391" s="343" t="s">
        <v>958</v>
      </c>
      <c r="F391" s="814" t="s">
        <v>4693</v>
      </c>
      <c r="G391" s="189">
        <v>126400</v>
      </c>
      <c r="H391" s="138">
        <f>IF(D391=G391,0,IF(D391=0,100,(G391-D391)/D391*100))</f>
        <v>-21.197007481296758</v>
      </c>
      <c r="I391" s="33">
        <f>IF(LTFP!E329&gt;0,ROUND(LTFP!E329/2*Assumptions!H$14,-2),0)</f>
        <v>112600</v>
      </c>
      <c r="J391" s="1733">
        <f>IF(LTFP!G329&gt;0,ROUND(LTFP!G329/2*Assumptions!I$14,-2),0)</f>
        <v>88500</v>
      </c>
      <c r="K391" s="187">
        <f>IF(LTFP!H329&gt;0,ROUND(LTFP!H329/2*Assumptions!J$14,-2),0)</f>
        <v>15000</v>
      </c>
      <c r="L391" s="187">
        <f>IF(LTFP!I329&gt;0,ROUND(LTFP!I329/2*Assumptions!K$14,-2),0)</f>
        <v>36000</v>
      </c>
      <c r="M391" s="187">
        <f>IF(LTFP!J329&gt;0,ROUND(LTFP!J329/2*Assumptions!L$14,-2),0)</f>
        <v>300</v>
      </c>
      <c r="N391" s="187">
        <f>IF(LTFP!K329&gt;0,ROUND(LTFP!K329/2*Assumptions!M$14,-2),0)</f>
        <v>7800</v>
      </c>
      <c r="O391" s="33">
        <f>IF(LTFP!L329&gt;0,ROUND(LTFP!L329/2*Assumptions!N$14,-2),0)</f>
        <v>2600</v>
      </c>
      <c r="P391" s="142">
        <f>IF(LTFP!M329&gt;0,ROUND(LTFP!M329/2*Assumptions!O$14,-2),0)</f>
        <v>7600</v>
      </c>
      <c r="Q391" s="33">
        <f>IF(LTFP!N329&gt;0,ROUND(LTFP!N329/2*Assumptions!P$14,-2),0)</f>
        <v>11400</v>
      </c>
      <c r="R391" s="114">
        <f>IF(LTFP!O329&gt;0,ROUND(LTFP!O329/2*Assumptions!Q$14,-2),0)</f>
        <v>14000</v>
      </c>
    </row>
    <row r="392" spans="1:18" s="84" customFormat="1" x14ac:dyDescent="0.2">
      <c r="A392" s="107">
        <v>81000</v>
      </c>
      <c r="B392" s="33">
        <v>53700</v>
      </c>
      <c r="C392" s="187">
        <v>39300</v>
      </c>
      <c r="D392" s="187">
        <v>36400</v>
      </c>
      <c r="E392" s="343" t="s">
        <v>779</v>
      </c>
      <c r="F392" s="814" t="s">
        <v>5406</v>
      </c>
      <c r="G392" s="189">
        <v>75000</v>
      </c>
      <c r="H392" s="138">
        <f>IF(D392=G392,0,IF(D392=0,100,(G392-D392)/D392*100))</f>
        <v>106.04395604395604</v>
      </c>
      <c r="I392" s="33">
        <v>75000</v>
      </c>
      <c r="J392" s="33">
        <f>ROUNDUP(I392+(I392*Assumptions!I$5),-2)</f>
        <v>76900</v>
      </c>
      <c r="K392" s="33">
        <f>ROUNDUP(J392+(J392*Assumptions!J$5),-2)</f>
        <v>78900</v>
      </c>
      <c r="L392" s="33">
        <f>ROUNDUP(K392+(K392*Assumptions!K$5),-2)</f>
        <v>80900</v>
      </c>
      <c r="M392" s="33">
        <f>ROUNDUP(L392+(L392*Assumptions!L$5),-2)</f>
        <v>82600</v>
      </c>
      <c r="N392" s="33">
        <f>ROUNDUP(M392+(M392*Assumptions!M$5),-2)</f>
        <v>84300</v>
      </c>
      <c r="O392" s="33">
        <f>ROUNDUP(N392+(N392*Assumptions!N$5),-2)</f>
        <v>86000</v>
      </c>
      <c r="P392" s="142">
        <f>ROUNDUP(O392+(O392*Assumptions!O$5),-2)</f>
        <v>87800</v>
      </c>
      <c r="Q392" s="33">
        <f>ROUNDUP(P392+(P392*Assumptions!P$5),-2)</f>
        <v>89600</v>
      </c>
      <c r="R392" s="114">
        <f>ROUNDUP(Q392+(Q392*Assumptions!Q$5),-2)</f>
        <v>91400</v>
      </c>
    </row>
    <row r="393" spans="1:18" s="84" customFormat="1" x14ac:dyDescent="0.2">
      <c r="A393" s="107"/>
      <c r="B393" s="33"/>
      <c r="C393" s="189"/>
      <c r="D393" s="187"/>
      <c r="E393" s="445"/>
      <c r="F393" s="443"/>
      <c r="G393" s="187"/>
      <c r="H393" s="138"/>
      <c r="I393" s="33"/>
      <c r="J393" s="33"/>
      <c r="K393" s="33"/>
      <c r="L393" s="33"/>
      <c r="M393" s="33"/>
      <c r="N393" s="33"/>
      <c r="O393" s="33"/>
      <c r="P393" s="142"/>
      <c r="Q393" s="33"/>
      <c r="R393" s="114"/>
    </row>
    <row r="394" spans="1:18" s="84" customFormat="1" x14ac:dyDescent="0.2">
      <c r="A394" s="107"/>
      <c r="B394" s="33"/>
      <c r="C394" s="189"/>
      <c r="D394" s="187"/>
      <c r="E394" s="437"/>
      <c r="F394" s="439" t="s">
        <v>428</v>
      </c>
      <c r="G394" s="187"/>
      <c r="H394" s="138"/>
      <c r="I394" s="33"/>
      <c r="J394" s="33"/>
      <c r="K394" s="33"/>
      <c r="L394" s="33"/>
      <c r="M394" s="33"/>
      <c r="N394" s="33"/>
      <c r="O394" s="33"/>
      <c r="P394" s="142"/>
      <c r="Q394" s="33"/>
      <c r="R394" s="114"/>
    </row>
    <row r="395" spans="1:18" s="84" customFormat="1" x14ac:dyDescent="0.2">
      <c r="A395" s="107">
        <v>25100</v>
      </c>
      <c r="B395" s="33">
        <v>6500</v>
      </c>
      <c r="C395" s="189">
        <v>13200</v>
      </c>
      <c r="D395" s="187">
        <v>8200</v>
      </c>
      <c r="E395" s="343" t="s">
        <v>2644</v>
      </c>
      <c r="F395" s="443" t="s">
        <v>2643</v>
      </c>
      <c r="G395" s="187">
        <v>6700</v>
      </c>
      <c r="H395" s="138">
        <f>IF(D395=G395,0,IF(D395=0,100,(G395-D395)/D395*100))</f>
        <v>-18.292682926829269</v>
      </c>
      <c r="I395" s="33">
        <f>ROUNDUP(G395+(G395*Assumptions!H$5),-2)</f>
        <v>6900</v>
      </c>
      <c r="J395" s="33">
        <f>ROUNDUP(I395+(I395*Assumptions!I$5),-2)</f>
        <v>7100</v>
      </c>
      <c r="K395" s="33">
        <f>ROUNDUP(J395+(J395*Assumptions!J$5),-2)</f>
        <v>7300</v>
      </c>
      <c r="L395" s="33">
        <f>ROUNDUP(K395+(K395*Assumptions!K$5),-2)</f>
        <v>7500</v>
      </c>
      <c r="M395" s="33">
        <f>ROUNDUP(L395+(L395*Assumptions!L$5),-2)</f>
        <v>7700</v>
      </c>
      <c r="N395" s="33">
        <f>ROUNDUP(M395+(M395*Assumptions!M$5),-2)</f>
        <v>7900</v>
      </c>
      <c r="O395" s="33">
        <f>ROUNDUP(N395+(N395*Assumptions!N$5),-2)</f>
        <v>8100</v>
      </c>
      <c r="P395" s="33">
        <f>ROUNDUP(O395+(O395*Assumptions!O$5),-2)</f>
        <v>8300</v>
      </c>
      <c r="Q395" s="33">
        <f>ROUNDUP(P395+(P395*Assumptions!P$5),-2)</f>
        <v>8500</v>
      </c>
      <c r="R395" s="114">
        <f>ROUNDUP(Q395+(Q395*Assumptions!Q$5),-2)</f>
        <v>8700</v>
      </c>
    </row>
    <row r="396" spans="1:18" s="84" customFormat="1" x14ac:dyDescent="0.2">
      <c r="A396" s="107">
        <v>44500</v>
      </c>
      <c r="B396" s="33">
        <v>39900</v>
      </c>
      <c r="C396" s="189">
        <v>35300</v>
      </c>
      <c r="D396" s="187">
        <v>35600</v>
      </c>
      <c r="E396" s="343" t="s">
        <v>938</v>
      </c>
      <c r="F396" s="814" t="s">
        <v>3331</v>
      </c>
      <c r="G396" s="187">
        <v>43300</v>
      </c>
      <c r="H396" s="138">
        <f>IF(D396=G396,0,IF(D396=0,100,(G396-D396)/D396*100))</f>
        <v>21.629213483146067</v>
      </c>
      <c r="I396" s="33">
        <v>35000</v>
      </c>
      <c r="J396" s="33">
        <f>ROUNDUP(I396+(I396*Assumptions!I$5),-2)</f>
        <v>35900</v>
      </c>
      <c r="K396" s="33">
        <f>ROUNDUP(J396+(J396*Assumptions!J$5),-2)</f>
        <v>36800</v>
      </c>
      <c r="L396" s="33">
        <f>ROUNDUP(K396+(K396*Assumptions!K$5),-2)</f>
        <v>37800</v>
      </c>
      <c r="M396" s="33">
        <f>ROUNDUP(L396+(L396*Assumptions!L$5),-2)</f>
        <v>38600</v>
      </c>
      <c r="N396" s="33">
        <f>ROUNDUP(M396+(M396*Assumptions!M$5),-2)</f>
        <v>39400</v>
      </c>
      <c r="O396" s="33">
        <f>ROUNDUP(N396+(N396*Assumptions!N$5),-2)</f>
        <v>40200</v>
      </c>
      <c r="P396" s="142">
        <f>ROUNDUP(O396+(O396*Assumptions!O$5),-2)</f>
        <v>41100</v>
      </c>
      <c r="Q396" s="33">
        <f>ROUNDUP(P396+(P396*Assumptions!P$5),-2)</f>
        <v>42000</v>
      </c>
      <c r="R396" s="114">
        <f>ROUNDUP(Q396+(Q396*Assumptions!Q$5),-2)</f>
        <v>42900</v>
      </c>
    </row>
    <row r="397" spans="1:18" s="84" customFormat="1" x14ac:dyDescent="0.2">
      <c r="A397" s="107">
        <v>27100</v>
      </c>
      <c r="B397" s="33">
        <v>28200</v>
      </c>
      <c r="C397" s="189">
        <v>28900</v>
      </c>
      <c r="D397" s="187">
        <v>29500</v>
      </c>
      <c r="E397" s="343" t="s">
        <v>815</v>
      </c>
      <c r="F397" s="443" t="s">
        <v>2302</v>
      </c>
      <c r="G397" s="187">
        <v>29900</v>
      </c>
      <c r="H397" s="138">
        <f>IF(D397=G397,0,IF(D397=0,100,(G397-D397)/D397*100))</f>
        <v>1.3559322033898304</v>
      </c>
      <c r="I397" s="33">
        <f>ROUNDUP(G397+(G397*Assumptions!H$5),-2)</f>
        <v>30400</v>
      </c>
      <c r="J397" s="33">
        <f>ROUNDUP(I397+(I397*Assumptions!I$5),-2)</f>
        <v>31200</v>
      </c>
      <c r="K397" s="33">
        <f>ROUNDUP(J397+(J397*Assumptions!J$5),-2)</f>
        <v>32000</v>
      </c>
      <c r="L397" s="33">
        <f>ROUNDUP(K397+(K397*Assumptions!K$5),-2)</f>
        <v>32800</v>
      </c>
      <c r="M397" s="33">
        <f>ROUNDUP(L397+(L397*Assumptions!L$5),-2)</f>
        <v>33500</v>
      </c>
      <c r="N397" s="33">
        <f>ROUNDUP(M397+(M397*Assumptions!M$5),-2)</f>
        <v>34200</v>
      </c>
      <c r="O397" s="33">
        <f>ROUNDUP(N397+(N397*Assumptions!N$5),-2)</f>
        <v>34900</v>
      </c>
      <c r="P397" s="33">
        <f>ROUNDUP(O397+(O397*Assumptions!O$5),-2)</f>
        <v>35600</v>
      </c>
      <c r="Q397" s="33">
        <f>ROUNDUP(P397+(P397*Assumptions!P$5),-2)</f>
        <v>36400</v>
      </c>
      <c r="R397" s="114">
        <f>ROUNDUP(Q397+(Q397*Assumptions!Q$5),-2)</f>
        <v>37200</v>
      </c>
    </row>
    <row r="398" spans="1:18" s="84" customFormat="1" x14ac:dyDescent="0.2">
      <c r="A398" s="107"/>
      <c r="B398" s="33"/>
      <c r="C398" s="189"/>
      <c r="D398" s="187"/>
      <c r="E398" s="343"/>
      <c r="F398" s="443"/>
      <c r="G398" s="187"/>
      <c r="H398" s="138"/>
      <c r="I398" s="33"/>
      <c r="J398" s="33"/>
      <c r="K398" s="33"/>
      <c r="L398" s="33"/>
      <c r="M398" s="33"/>
      <c r="N398" s="33"/>
      <c r="O398" s="33"/>
      <c r="P398" s="142"/>
      <c r="Q398" s="33"/>
      <c r="R398" s="114"/>
    </row>
    <row r="399" spans="1:18" s="84" customFormat="1" x14ac:dyDescent="0.2">
      <c r="A399" s="107"/>
      <c r="B399" s="33"/>
      <c r="C399" s="189"/>
      <c r="D399" s="187"/>
      <c r="E399" s="343"/>
      <c r="F399" s="1103" t="s">
        <v>4517</v>
      </c>
      <c r="G399" s="187"/>
      <c r="H399" s="138"/>
      <c r="I399" s="33"/>
      <c r="J399" s="33"/>
      <c r="K399" s="33"/>
      <c r="L399" s="33"/>
      <c r="M399" s="33"/>
      <c r="N399" s="33"/>
      <c r="O399" s="33"/>
      <c r="P399" s="142"/>
      <c r="Q399" s="33"/>
      <c r="R399" s="114"/>
    </row>
    <row r="400" spans="1:18" s="84" customFormat="1" x14ac:dyDescent="0.2">
      <c r="A400" s="107">
        <v>14700</v>
      </c>
      <c r="B400" s="33">
        <v>26000</v>
      </c>
      <c r="C400" s="189">
        <v>19200</v>
      </c>
      <c r="D400" s="187">
        <v>8300</v>
      </c>
      <c r="E400" s="821" t="s">
        <v>4179</v>
      </c>
      <c r="F400" s="814" t="s">
        <v>4517</v>
      </c>
      <c r="G400" s="187">
        <v>0</v>
      </c>
      <c r="H400" s="138">
        <f>IF(D400=G400,0,IF(D400=0,100,(G400-D400)/D400*100))</f>
        <v>-100</v>
      </c>
      <c r="I400" s="33">
        <f>ROUNDUP(G400+(G400*Assumptions!H$5),-2)</f>
        <v>0</v>
      </c>
      <c r="J400" s="33">
        <f>ROUNDUP(I400+(I400*Assumptions!I$5),-2)</f>
        <v>0</v>
      </c>
      <c r="K400" s="33">
        <f>ROUNDUP(J400+(J400*Assumptions!J$5),-2)</f>
        <v>0</v>
      </c>
      <c r="L400" s="33">
        <f>ROUNDUP(K400+(K400*Assumptions!K$5),-2)</f>
        <v>0</v>
      </c>
      <c r="M400" s="33">
        <f>ROUNDUP(L400+(L400*Assumptions!L$5),-2)</f>
        <v>0</v>
      </c>
      <c r="N400" s="33">
        <f>ROUNDUP(M400+(M400*Assumptions!M$5),-2)</f>
        <v>0</v>
      </c>
      <c r="O400" s="33">
        <f>ROUNDUP(N400+(N400*Assumptions!N$5),-2)</f>
        <v>0</v>
      </c>
      <c r="P400" s="33">
        <f>ROUNDUP(O400+(O400*Assumptions!O$5),-2)</f>
        <v>0</v>
      </c>
      <c r="Q400" s="33">
        <f>ROUNDUP(P400+(P400*Assumptions!P$5),-2)</f>
        <v>0</v>
      </c>
      <c r="R400" s="114">
        <f>ROUNDUP(Q400+(Q400*Assumptions!Q$5),-2)</f>
        <v>0</v>
      </c>
    </row>
    <row r="401" spans="1:18" s="84" customFormat="1" ht="13.5" thickBot="1" x14ac:dyDescent="0.25">
      <c r="A401" s="107"/>
      <c r="B401" s="33"/>
      <c r="C401" s="187"/>
      <c r="D401" s="187"/>
      <c r="E401" s="240"/>
      <c r="F401" s="371"/>
      <c r="G401" s="189"/>
      <c r="H401" s="138"/>
      <c r="I401" s="33"/>
      <c r="J401" s="33"/>
      <c r="K401" s="33"/>
      <c r="L401" s="33"/>
      <c r="M401" s="33"/>
      <c r="N401" s="33"/>
      <c r="O401" s="33"/>
      <c r="P401" s="142"/>
      <c r="Q401" s="33"/>
      <c r="R401" s="114"/>
    </row>
    <row r="402" spans="1:18" s="84" customFormat="1" x14ac:dyDescent="0.2">
      <c r="A402" s="105">
        <f>SUM(A366:A401)</f>
        <v>13786600</v>
      </c>
      <c r="B402" s="53">
        <f>SUM(B366:B401)</f>
        <v>14462800</v>
      </c>
      <c r="C402" s="199">
        <f>SUM(C366:C401)</f>
        <v>15355900</v>
      </c>
      <c r="D402" s="199">
        <f>SUM(D366:D401)</f>
        <v>16363900</v>
      </c>
      <c r="E402" s="240"/>
      <c r="F402" s="378" t="s">
        <v>2605</v>
      </c>
      <c r="G402" s="190">
        <f>SUM(G366:G401)</f>
        <v>17705900</v>
      </c>
      <c r="H402" s="180">
        <f>IF(E402=G402,0,IF(E402=0,100,(G402-E402)/E402*100))</f>
        <v>100</v>
      </c>
      <c r="I402" s="53">
        <f t="shared" ref="I402:Q402" si="320">SUM(I366:I401)</f>
        <v>18138500</v>
      </c>
      <c r="J402" s="53">
        <f t="shared" si="320"/>
        <v>18603000</v>
      </c>
      <c r="K402" s="53">
        <f t="shared" si="320"/>
        <v>19115500</v>
      </c>
      <c r="L402" s="53">
        <f t="shared" si="320"/>
        <v>19843000</v>
      </c>
      <c r="M402" s="53">
        <f t="shared" si="320"/>
        <v>20400000</v>
      </c>
      <c r="N402" s="53">
        <f t="shared" si="320"/>
        <v>21021900</v>
      </c>
      <c r="O402" s="53">
        <f t="shared" si="320"/>
        <v>21627500</v>
      </c>
      <c r="P402" s="155">
        <f t="shared" si="320"/>
        <v>22327800</v>
      </c>
      <c r="Q402" s="53">
        <f t="shared" si="320"/>
        <v>23121500</v>
      </c>
      <c r="R402" s="113">
        <f t="shared" ref="R402" si="321">SUM(R366:R401)</f>
        <v>23940600</v>
      </c>
    </row>
    <row r="403" spans="1:18" s="84" customFormat="1" x14ac:dyDescent="0.2">
      <c r="A403" s="107"/>
      <c r="B403" s="33"/>
      <c r="C403" s="187"/>
      <c r="D403" s="187"/>
      <c r="E403" s="240"/>
      <c r="F403" s="112"/>
      <c r="G403" s="189"/>
      <c r="H403" s="138"/>
      <c r="I403" s="33"/>
      <c r="J403" s="33"/>
      <c r="K403" s="33"/>
      <c r="L403" s="33"/>
      <c r="M403" s="33"/>
      <c r="N403" s="33"/>
      <c r="O403" s="33"/>
      <c r="P403" s="142"/>
      <c r="Q403" s="33"/>
      <c r="R403" s="114"/>
    </row>
    <row r="404" spans="1:18" s="84" customFormat="1" x14ac:dyDescent="0.2">
      <c r="A404" s="107"/>
      <c r="B404" s="33"/>
      <c r="C404" s="187"/>
      <c r="D404" s="138"/>
      <c r="E404" s="240"/>
      <c r="F404" s="144" t="s">
        <v>2205</v>
      </c>
      <c r="G404" s="189"/>
      <c r="H404" s="138"/>
      <c r="I404" s="33"/>
      <c r="J404" s="33"/>
      <c r="K404" s="33"/>
      <c r="L404" s="33"/>
      <c r="M404" s="33"/>
      <c r="N404" s="33"/>
      <c r="O404" s="33"/>
      <c r="P404" s="142"/>
      <c r="Q404" s="33"/>
      <c r="R404" s="114"/>
    </row>
    <row r="405" spans="1:18" s="84" customFormat="1" x14ac:dyDescent="0.2">
      <c r="A405" s="107"/>
      <c r="B405" s="33"/>
      <c r="C405" s="187"/>
      <c r="D405" s="138"/>
      <c r="E405" s="1955"/>
      <c r="F405" s="144"/>
      <c r="G405" s="189"/>
      <c r="H405" s="138"/>
      <c r="I405" s="33"/>
      <c r="J405" s="33"/>
      <c r="K405" s="33"/>
      <c r="L405" s="33"/>
      <c r="M405" s="33"/>
      <c r="N405" s="33"/>
      <c r="O405" s="33"/>
      <c r="P405" s="142"/>
      <c r="Q405" s="33"/>
      <c r="R405" s="114"/>
    </row>
    <row r="406" spans="1:18" s="84" customFormat="1" x14ac:dyDescent="0.2">
      <c r="A406" s="107"/>
      <c r="B406" s="33"/>
      <c r="C406" s="187"/>
      <c r="D406" s="138"/>
      <c r="E406" s="445"/>
      <c r="F406" s="1103" t="s">
        <v>6707</v>
      </c>
      <c r="G406" s="189"/>
      <c r="H406" s="138"/>
      <c r="I406" s="33"/>
      <c r="J406" s="33"/>
      <c r="K406" s="33"/>
      <c r="L406" s="33"/>
      <c r="M406" s="33"/>
      <c r="N406" s="33"/>
      <c r="O406" s="33"/>
      <c r="P406" s="142"/>
      <c r="Q406" s="33"/>
      <c r="R406" s="114"/>
    </row>
    <row r="407" spans="1:18" s="84" customFormat="1" x14ac:dyDescent="0.2">
      <c r="A407" s="107">
        <v>333500</v>
      </c>
      <c r="B407" s="33">
        <f>300500+31000</f>
        <v>331500</v>
      </c>
      <c r="C407" s="187">
        <v>392900</v>
      </c>
      <c r="D407" s="187">
        <v>399000</v>
      </c>
      <c r="E407" s="343" t="s">
        <v>1244</v>
      </c>
      <c r="F407" s="814" t="s">
        <v>1341</v>
      </c>
      <c r="G407" s="189">
        <f>482000-10000</f>
        <v>472000</v>
      </c>
      <c r="H407" s="138">
        <f>IF(D407=G407,0,IF(D407=0,100,(G407-D407)/D407*100))</f>
        <v>18.295739348370926</v>
      </c>
      <c r="I407" s="33">
        <f>ROUNDUP(G407+(G407*Assumptions!H$5),-3)-1000</f>
        <v>479000</v>
      </c>
      <c r="J407" s="33">
        <f>ROUNDUP(I407+(I407*Assumptions!I$5),-3)</f>
        <v>491000</v>
      </c>
      <c r="K407" s="33">
        <f>ROUNDUP(J407+(J407*Assumptions!J$5),-3)</f>
        <v>504000</v>
      </c>
      <c r="L407" s="33">
        <f>ROUNDUP(K407+(K407*Assumptions!K$5),-3)</f>
        <v>517000</v>
      </c>
      <c r="M407" s="33">
        <f>ROUNDUP(L407+(L407*Assumptions!L$5),-3)</f>
        <v>528000</v>
      </c>
      <c r="N407" s="33">
        <f>ROUNDUP(M407+(M407*Assumptions!M$5),-3)</f>
        <v>539000</v>
      </c>
      <c r="O407" s="33">
        <f>ROUNDUP(N407+(N407*Assumptions!N$5),-3)</f>
        <v>550000</v>
      </c>
      <c r="P407" s="142">
        <f>ROUNDUP(O407+(O407*Assumptions!O$5),-3)</f>
        <v>561000</v>
      </c>
      <c r="Q407" s="33">
        <f>ROUNDUP(P407+(P407*Assumptions!P$5),-3)</f>
        <v>573000</v>
      </c>
      <c r="R407" s="114">
        <f>ROUNDUP(Q407+(Q407*Assumptions!Q$5),-3)</f>
        <v>585000</v>
      </c>
    </row>
    <row r="408" spans="1:18" s="84" customFormat="1" x14ac:dyDescent="0.2">
      <c r="A408" s="107">
        <v>0</v>
      </c>
      <c r="B408" s="33">
        <v>0</v>
      </c>
      <c r="C408" s="189">
        <v>0</v>
      </c>
      <c r="D408" s="187">
        <v>-62500</v>
      </c>
      <c r="E408" s="821"/>
      <c r="F408" s="890" t="s">
        <v>6701</v>
      </c>
      <c r="G408" s="189">
        <v>0</v>
      </c>
      <c r="H408" s="138">
        <f>IF(D408=G408,0,IF(D408=0,100,(G408-D408)/D408*100))</f>
        <v>-100</v>
      </c>
      <c r="I408" s="187">
        <v>-50000</v>
      </c>
      <c r="J408" s="33">
        <f>ROUNDUP(I408+(I408*Assumptions!I$5),-2)</f>
        <v>-51300</v>
      </c>
      <c r="K408" s="33">
        <f>ROUNDUP(J408+(J408*Assumptions!J$5),-2)</f>
        <v>-52600</v>
      </c>
      <c r="L408" s="33">
        <f>ROUNDUP(K408+(K408*Assumptions!K$5),-2)</f>
        <v>-54000</v>
      </c>
      <c r="M408" s="33">
        <f>ROUNDUP(L408+(L408*Assumptions!L$5),-2)</f>
        <v>-55100</v>
      </c>
      <c r="N408" s="33">
        <f>ROUNDUP(M408+(M408*Assumptions!M$5),-2)</f>
        <v>-56300</v>
      </c>
      <c r="O408" s="187">
        <f>ROUNDUP(N408+(N408*Assumptions!N$5),-2)</f>
        <v>-57500</v>
      </c>
      <c r="P408" s="187">
        <f>ROUNDUP(O408+(O408*Assumptions!O$5),-2)</f>
        <v>-58700</v>
      </c>
      <c r="Q408" s="187">
        <f>ROUNDUP(P408+(P408*Assumptions!P$5),-2)</f>
        <v>-59900</v>
      </c>
      <c r="R408" s="188">
        <f>ROUNDUP(Q408+(Q408*Assumptions!Q$5),-2)</f>
        <v>-61100</v>
      </c>
    </row>
    <row r="409" spans="1:18" s="84" customFormat="1" x14ac:dyDescent="0.2">
      <c r="A409" s="107">
        <v>44500</v>
      </c>
      <c r="B409" s="33">
        <v>45000</v>
      </c>
      <c r="C409" s="187">
        <v>47000</v>
      </c>
      <c r="D409" s="187">
        <v>47000</v>
      </c>
      <c r="E409" s="343" t="s">
        <v>948</v>
      </c>
      <c r="F409" s="366" t="s">
        <v>534</v>
      </c>
      <c r="G409" s="189">
        <v>47000</v>
      </c>
      <c r="H409" s="138">
        <f>IF(D409=G409,0,IF(D409=0,100,(G409-D409)/D409*100))</f>
        <v>0</v>
      </c>
      <c r="I409" s="33">
        <v>48000</v>
      </c>
      <c r="J409" s="33">
        <f>ROUNDUP(I409+(I409*Assumptions!I$5),-2)</f>
        <v>49200</v>
      </c>
      <c r="K409" s="33">
        <f>ROUNDUP(J409+(J409*Assumptions!J$5),-2)</f>
        <v>50500</v>
      </c>
      <c r="L409" s="33">
        <f>ROUNDUP(K409+(K409*Assumptions!K$5),-2)</f>
        <v>51800</v>
      </c>
      <c r="M409" s="33">
        <f>ROUNDUP(L409+(L409*Assumptions!L$5),-2)</f>
        <v>52900</v>
      </c>
      <c r="N409" s="33">
        <f>ROUNDUP(M409+(M409*Assumptions!M$5),-2)</f>
        <v>54000</v>
      </c>
      <c r="O409" s="33">
        <f>ROUNDUP(N409+(N409*Assumptions!N$5),-2)</f>
        <v>55100</v>
      </c>
      <c r="P409" s="142">
        <f>ROUNDUP(O409+(O409*Assumptions!O$5),-2)</f>
        <v>56300</v>
      </c>
      <c r="Q409" s="33">
        <f>ROUNDUP(P409+(P409*Assumptions!P$5),-2)</f>
        <v>57500</v>
      </c>
      <c r="R409" s="114">
        <f>ROUNDUP(Q409+(Q409*Assumptions!Q$5),-2)</f>
        <v>58700</v>
      </c>
    </row>
    <row r="410" spans="1:18" s="84" customFormat="1" x14ac:dyDescent="0.2">
      <c r="A410" s="107"/>
      <c r="B410" s="33"/>
      <c r="C410" s="187"/>
      <c r="D410" s="187"/>
      <c r="E410" s="344"/>
      <c r="F410" s="443"/>
      <c r="G410" s="189"/>
      <c r="H410" s="138"/>
      <c r="I410" s="33"/>
      <c r="J410" s="33"/>
      <c r="K410" s="33"/>
      <c r="L410" s="33"/>
      <c r="M410" s="33"/>
      <c r="N410" s="33"/>
      <c r="O410" s="33"/>
      <c r="P410" s="142"/>
      <c r="Q410" s="33"/>
      <c r="R410" s="114"/>
    </row>
    <row r="411" spans="1:18" s="84" customFormat="1" x14ac:dyDescent="0.2">
      <c r="A411" s="107"/>
      <c r="B411" s="33"/>
      <c r="C411" s="187"/>
      <c r="D411" s="187"/>
      <c r="E411" s="437"/>
      <c r="F411" s="1103" t="s">
        <v>4685</v>
      </c>
      <c r="G411" s="189"/>
      <c r="H411" s="138"/>
      <c r="I411" s="33"/>
      <c r="J411" s="33"/>
      <c r="K411" s="33"/>
      <c r="L411" s="33"/>
      <c r="M411" s="33"/>
      <c r="N411" s="33"/>
      <c r="O411" s="33"/>
      <c r="P411" s="142"/>
      <c r="Q411" s="33"/>
      <c r="R411" s="114"/>
    </row>
    <row r="412" spans="1:18" s="84" customFormat="1" x14ac:dyDescent="0.2">
      <c r="A412" s="107">
        <v>453300</v>
      </c>
      <c r="B412" s="33">
        <v>219600</v>
      </c>
      <c r="C412" s="187">
        <v>69000</v>
      </c>
      <c r="D412" s="187">
        <v>69000</v>
      </c>
      <c r="E412" s="821" t="s">
        <v>3197</v>
      </c>
      <c r="F412" s="814" t="s">
        <v>3196</v>
      </c>
      <c r="G412" s="189">
        <v>0</v>
      </c>
      <c r="H412" s="138">
        <f>IF(D412=G412,0,IF(D412=0,100,(G412-D412)/D412*100))</f>
        <v>-100</v>
      </c>
      <c r="I412" s="33">
        <v>0</v>
      </c>
      <c r="J412" s="33">
        <f>ROUNDUP(I412+(I412*Assumptions!I$5),-2)</f>
        <v>0</v>
      </c>
      <c r="K412" s="33">
        <f>ROUNDUP(J412+(J412*Assumptions!J$5),-2)</f>
        <v>0</v>
      </c>
      <c r="L412" s="33">
        <f>ROUNDUP(K412+(K412*Assumptions!K$5),-2)</f>
        <v>0</v>
      </c>
      <c r="M412" s="33">
        <f>ROUNDUP(L412+(L412*Assumptions!L$5),-2)</f>
        <v>0</v>
      </c>
      <c r="N412" s="33">
        <f>ROUNDUP(M412+(M412*Assumptions!M$5),-2)</f>
        <v>0</v>
      </c>
      <c r="O412" s="33">
        <f>ROUNDUP(N412+(N412*Assumptions!N$5),-2)</f>
        <v>0</v>
      </c>
      <c r="P412" s="142">
        <f>ROUNDUP(O412+(O412*Assumptions!O$5),-2)</f>
        <v>0</v>
      </c>
      <c r="Q412" s="33">
        <f>ROUNDUP(P412+(P412*Assumptions!P$5),-2)</f>
        <v>0</v>
      </c>
      <c r="R412" s="114">
        <f>ROUNDUP(Q412+(Q412*Assumptions!Q$5),-2)</f>
        <v>0</v>
      </c>
    </row>
    <row r="413" spans="1:18" s="84" customFormat="1" x14ac:dyDescent="0.2">
      <c r="A413" s="107">
        <v>1020000</v>
      </c>
      <c r="B413" s="33">
        <v>340000</v>
      </c>
      <c r="C413" s="187">
        <v>340000</v>
      </c>
      <c r="D413" s="187">
        <f>340000-340000</f>
        <v>0</v>
      </c>
      <c r="E413" s="821" t="s">
        <v>3198</v>
      </c>
      <c r="F413" s="814" t="s">
        <v>3328</v>
      </c>
      <c r="G413" s="189">
        <v>340000</v>
      </c>
      <c r="H413" s="138">
        <f>IF(D413=G413,0,IF(D413=0,100,(G413-D413)/D413*100))</f>
        <v>100</v>
      </c>
      <c r="I413" s="33">
        <v>0</v>
      </c>
      <c r="J413" s="33">
        <f>ROUNDUP(I413+(I413*Assumptions!I$5),-2)</f>
        <v>0</v>
      </c>
      <c r="K413" s="33">
        <f>ROUNDUP(J413+(J413*Assumptions!J$5),-2)</f>
        <v>0</v>
      </c>
      <c r="L413" s="33">
        <f>ROUNDUP(K413+(K413*Assumptions!K$5),-2)</f>
        <v>0</v>
      </c>
      <c r="M413" s="33">
        <f>ROUNDUP(L413+(L413*Assumptions!L$5),-2)</f>
        <v>0</v>
      </c>
      <c r="N413" s="33">
        <f>ROUNDUP(M413+(M413*Assumptions!M$5),-2)</f>
        <v>0</v>
      </c>
      <c r="O413" s="33">
        <f>ROUNDUP(N413+(N413*Assumptions!N$5),-2)</f>
        <v>0</v>
      </c>
      <c r="P413" s="142">
        <f>ROUNDUP(O413+(O413*Assumptions!O$5),-2)</f>
        <v>0</v>
      </c>
      <c r="Q413" s="33">
        <f>ROUNDUP(P413+(P413*Assumptions!P$5),-2)</f>
        <v>0</v>
      </c>
      <c r="R413" s="114">
        <f>ROUNDUP(Q413+(Q413*Assumptions!Q$5),-2)</f>
        <v>0</v>
      </c>
    </row>
    <row r="414" spans="1:18" s="84" customFormat="1" x14ac:dyDescent="0.2">
      <c r="A414" s="107">
        <v>97900</v>
      </c>
      <c r="B414" s="33">
        <v>106000</v>
      </c>
      <c r="C414" s="187">
        <v>43000</v>
      </c>
      <c r="D414" s="187">
        <v>127000</v>
      </c>
      <c r="E414" s="343" t="s">
        <v>266</v>
      </c>
      <c r="F414" s="814" t="s">
        <v>4931</v>
      </c>
      <c r="G414" s="189">
        <v>41200</v>
      </c>
      <c r="H414" s="138">
        <f>IF(D414=G414,0,IF(D414=0,100,(G414-D414)/D414*100))</f>
        <v>-67.559055118110237</v>
      </c>
      <c r="I414" s="33">
        <f>ROUND(G414+(G414*Assumptions!H$5),-3)</f>
        <v>42000</v>
      </c>
      <c r="J414" s="33">
        <f>ROUNDUP(I414+(I414*Assumptions!I$5),-2)</f>
        <v>43100</v>
      </c>
      <c r="K414" s="33">
        <f>ROUNDUP(J414+(J414*Assumptions!J$5),-2)</f>
        <v>44200</v>
      </c>
      <c r="L414" s="33">
        <f>ROUNDUP(K414+(K414*Assumptions!K$5),-2)</f>
        <v>45400</v>
      </c>
      <c r="M414" s="33">
        <f>ROUNDUP(L414+(L414*Assumptions!L$5),-2)</f>
        <v>46400</v>
      </c>
      <c r="N414" s="33">
        <f>ROUNDUP(M414+(M414*Assumptions!M$5),-2)</f>
        <v>47400</v>
      </c>
      <c r="O414" s="33">
        <f>ROUNDUP(N414+(N414*Assumptions!N$5),-2)</f>
        <v>48400</v>
      </c>
      <c r="P414" s="142">
        <f>ROUNDUP(O414+(O414*Assumptions!O$5),-2)</f>
        <v>49400</v>
      </c>
      <c r="Q414" s="33">
        <f>ROUNDUP(P414+(P414*Assumptions!P$5),-2)</f>
        <v>50400</v>
      </c>
      <c r="R414" s="114">
        <f>ROUNDUP(Q414+(Q414*Assumptions!Q$5),-2)</f>
        <v>51500</v>
      </c>
    </row>
    <row r="415" spans="1:18" s="84" customFormat="1" x14ac:dyDescent="0.2">
      <c r="A415" s="107">
        <v>0</v>
      </c>
      <c r="B415" s="33">
        <v>0</v>
      </c>
      <c r="C415" s="187">
        <v>0</v>
      </c>
      <c r="D415" s="187">
        <v>0</v>
      </c>
      <c r="E415" s="343" t="s">
        <v>266</v>
      </c>
      <c r="F415" s="814" t="s">
        <v>6051</v>
      </c>
      <c r="G415" s="189">
        <f>114000+116000</f>
        <v>230000</v>
      </c>
      <c r="H415" s="138">
        <f>IF(D415=G415,0,IF(D415=0,100,(G415-D415)/D415*100))</f>
        <v>100</v>
      </c>
      <c r="I415" s="33">
        <v>0</v>
      </c>
      <c r="J415" s="33">
        <v>0</v>
      </c>
      <c r="K415" s="33">
        <f>ROUNDUP(J415+(J415*Assumptions!J$5),-2)</f>
        <v>0</v>
      </c>
      <c r="L415" s="33">
        <f>ROUNDUP(K415+(K415*Assumptions!K$5),-2)</f>
        <v>0</v>
      </c>
      <c r="M415" s="33">
        <f>ROUNDUP(L415+(L415*Assumptions!L$5),-2)</f>
        <v>0</v>
      </c>
      <c r="N415" s="33">
        <f>ROUNDUP(M415+(M415*Assumptions!M$5),-2)</f>
        <v>0</v>
      </c>
      <c r="O415" s="33">
        <f>ROUNDUP(N415+(N415*Assumptions!N$5),-2)</f>
        <v>0</v>
      </c>
      <c r="P415" s="142">
        <f>ROUNDUP(O415+(O415*Assumptions!O$5),-2)</f>
        <v>0</v>
      </c>
      <c r="Q415" s="33">
        <f>ROUNDUP(P415+(P415*Assumptions!P$5),-2)</f>
        <v>0</v>
      </c>
      <c r="R415" s="114">
        <f>ROUNDUP(Q415+(Q415*Assumptions!Q$5),-2)</f>
        <v>0</v>
      </c>
    </row>
    <row r="416" spans="1:18" s="84" customFormat="1" x14ac:dyDescent="0.2">
      <c r="A416" s="107"/>
      <c r="B416" s="33"/>
      <c r="C416" s="187"/>
      <c r="D416" s="187"/>
      <c r="E416" s="445"/>
      <c r="F416" s="443"/>
      <c r="G416" s="189"/>
      <c r="H416" s="138"/>
      <c r="I416" s="33"/>
      <c r="J416" s="33"/>
      <c r="K416" s="33"/>
      <c r="L416" s="33"/>
      <c r="M416" s="33"/>
      <c r="N416" s="33"/>
      <c r="O416" s="33"/>
      <c r="P416" s="142"/>
      <c r="Q416" s="33"/>
      <c r="R416" s="114"/>
    </row>
    <row r="417" spans="1:18" s="84" customFormat="1" x14ac:dyDescent="0.2">
      <c r="A417" s="107"/>
      <c r="B417" s="33"/>
      <c r="C417" s="187"/>
      <c r="D417" s="187"/>
      <c r="E417" s="445"/>
      <c r="F417" s="439" t="s">
        <v>1663</v>
      </c>
      <c r="G417" s="189"/>
      <c r="H417" s="138"/>
      <c r="I417" s="33"/>
      <c r="J417" s="33"/>
      <c r="K417" s="33"/>
      <c r="L417" s="33"/>
      <c r="M417" s="33"/>
      <c r="N417" s="33"/>
      <c r="O417" s="33"/>
      <c r="P417" s="142"/>
      <c r="Q417" s="33"/>
      <c r="R417" s="114"/>
    </row>
    <row r="418" spans="1:18" s="84" customFormat="1" x14ac:dyDescent="0.2">
      <c r="A418" s="107">
        <v>1503000</v>
      </c>
      <c r="B418" s="33">
        <v>1729000</v>
      </c>
      <c r="C418" s="187">
        <v>1777000</v>
      </c>
      <c r="D418" s="187">
        <v>1888000</v>
      </c>
      <c r="E418" s="343" t="s">
        <v>2749</v>
      </c>
      <c r="F418" s="814" t="s">
        <v>3972</v>
      </c>
      <c r="G418" s="189">
        <v>1950000</v>
      </c>
      <c r="H418" s="138">
        <f>IF(D418=G418,0,IF(D418=0,100,(G418-D418)/D418*100))</f>
        <v>3.2838983050847461</v>
      </c>
      <c r="I418" s="33">
        <f>Overheads!I279</f>
        <v>2037000</v>
      </c>
      <c r="J418" s="33">
        <f>ROUND(I418*Assumptions!I$5+'W&amp;W'!I418,-2)</f>
        <v>2087900</v>
      </c>
      <c r="K418" s="33">
        <f>ROUND(J418*Assumptions!J$5+'W&amp;W'!J418,-2)</f>
        <v>2140100</v>
      </c>
      <c r="L418" s="33">
        <f>ROUND(K418*Assumptions!K$5+'W&amp;W'!K418,-2)</f>
        <v>2193600</v>
      </c>
      <c r="M418" s="33">
        <f>ROUND(L418*Assumptions!L$5+'W&amp;W'!L418,-2)</f>
        <v>2237500</v>
      </c>
      <c r="N418" s="33">
        <f>ROUND(M418*Assumptions!M$5+'W&amp;W'!M418,-2)</f>
        <v>2282300</v>
      </c>
      <c r="O418" s="33">
        <f>ROUND(N418*Assumptions!N$5+'W&amp;W'!N418,-2)</f>
        <v>2327900</v>
      </c>
      <c r="P418" s="142">
        <f>ROUND(O418*Assumptions!O$5+'W&amp;W'!O418,-2)</f>
        <v>2374500</v>
      </c>
      <c r="Q418" s="33">
        <f>ROUND(P418*Assumptions!P$5+'W&amp;W'!P418,-2)</f>
        <v>2422000</v>
      </c>
      <c r="R418" s="114">
        <f>ROUND(Q418*Assumptions!Q$5+'W&amp;W'!Q418,-2)</f>
        <v>2470400</v>
      </c>
    </row>
    <row r="419" spans="1:18" s="84" customFormat="1" x14ac:dyDescent="0.2">
      <c r="A419" s="107"/>
      <c r="B419" s="33"/>
      <c r="C419" s="33"/>
      <c r="D419" s="76"/>
      <c r="E419" s="1097"/>
      <c r="F419" s="814"/>
      <c r="G419" s="33"/>
      <c r="H419" s="138"/>
      <c r="I419" s="33"/>
      <c r="J419" s="33"/>
      <c r="K419" s="33"/>
      <c r="L419" s="33"/>
      <c r="M419" s="33"/>
      <c r="N419" s="33"/>
      <c r="O419" s="33"/>
      <c r="P419" s="142"/>
      <c r="Q419" s="33"/>
      <c r="R419" s="114"/>
    </row>
    <row r="420" spans="1:18" s="84" customFormat="1" x14ac:dyDescent="0.2">
      <c r="A420" s="107"/>
      <c r="B420" s="33"/>
      <c r="C420" s="33"/>
      <c r="D420" s="76"/>
      <c r="E420" s="1955"/>
      <c r="F420" s="718" t="s">
        <v>1031</v>
      </c>
      <c r="G420" s="33"/>
      <c r="H420" s="138"/>
      <c r="I420" s="33"/>
      <c r="J420" s="33"/>
      <c r="K420" s="33"/>
      <c r="L420" s="33"/>
      <c r="M420" s="33"/>
      <c r="N420" s="33"/>
      <c r="O420" s="33"/>
      <c r="P420" s="142"/>
      <c r="Q420" s="33"/>
      <c r="R420" s="114"/>
    </row>
    <row r="421" spans="1:18" s="84" customFormat="1" ht="13.5" thickBot="1" x14ac:dyDescent="0.25">
      <c r="A421" s="171"/>
      <c r="B421" s="66"/>
      <c r="C421" s="66"/>
      <c r="D421" s="330"/>
      <c r="E421" s="1976"/>
      <c r="F421" s="719"/>
      <c r="G421" s="66"/>
      <c r="H421" s="140"/>
      <c r="I421" s="66"/>
      <c r="J421" s="66"/>
      <c r="K421" s="66"/>
      <c r="L421" s="66"/>
      <c r="M421" s="66"/>
      <c r="N421" s="66"/>
      <c r="O421" s="66"/>
      <c r="P421" s="166"/>
      <c r="Q421" s="66"/>
      <c r="R421" s="165"/>
    </row>
    <row r="422" spans="1:18" s="91" customFormat="1" ht="18.75" customHeight="1" thickTop="1" thickBot="1" x14ac:dyDescent="0.3">
      <c r="A422" s="2862" t="s">
        <v>4861</v>
      </c>
      <c r="B422" s="2863"/>
      <c r="C422" s="2863"/>
      <c r="D422" s="2863"/>
      <c r="E422" s="2863"/>
      <c r="F422" s="2863"/>
      <c r="G422" s="2863"/>
      <c r="H422" s="2863"/>
      <c r="I422" s="2863"/>
      <c r="J422" s="2863"/>
      <c r="K422" s="2863"/>
      <c r="L422" s="2863"/>
      <c r="M422" s="2863"/>
      <c r="N422" s="2863"/>
      <c r="O422" s="2863"/>
      <c r="P422" s="2863"/>
      <c r="Q422" s="2863"/>
      <c r="R422" s="2864"/>
    </row>
    <row r="423" spans="1:18" s="44" customFormat="1" x14ac:dyDescent="0.2">
      <c r="A423" s="2888" t="s">
        <v>1856</v>
      </c>
      <c r="B423" s="2889"/>
      <c r="C423" s="2889"/>
      <c r="D423" s="2890"/>
      <c r="E423" s="1997" t="s">
        <v>2663</v>
      </c>
      <c r="F423" s="2649" t="s">
        <v>2251</v>
      </c>
      <c r="G423" s="2885" t="s">
        <v>2253</v>
      </c>
      <c r="H423" s="2886"/>
      <c r="I423" s="2886"/>
      <c r="J423" s="2886"/>
      <c r="K423" s="2886"/>
      <c r="L423" s="2886"/>
      <c r="M423" s="2886"/>
      <c r="N423" s="2886"/>
      <c r="O423" s="2886"/>
      <c r="P423" s="2886"/>
      <c r="Q423" s="2886"/>
      <c r="R423" s="2887"/>
    </row>
    <row r="424" spans="1:18" s="23" customFormat="1" ht="13.5" customHeight="1" thickBot="1" x14ac:dyDescent="0.25">
      <c r="A424" s="208" t="str">
        <f>A3</f>
        <v>2012/13</v>
      </c>
      <c r="B424" s="218" t="str">
        <f>B3</f>
        <v>2013/14</v>
      </c>
      <c r="C424" s="370" t="str">
        <f>C3</f>
        <v>2014/15</v>
      </c>
      <c r="D424" s="93" t="str">
        <f>D3</f>
        <v>2015/16</v>
      </c>
      <c r="E424" s="370" t="s">
        <v>2664</v>
      </c>
      <c r="F424" s="42"/>
      <c r="G424" s="93" t="str">
        <f t="shared" ref="G424:Q424" si="322">G3</f>
        <v>2016/17</v>
      </c>
      <c r="H424" s="2005" t="str">
        <f t="shared" si="322"/>
        <v>%</v>
      </c>
      <c r="I424" s="370" t="str">
        <f t="shared" si="322"/>
        <v>2017/18</v>
      </c>
      <c r="J424" s="370" t="str">
        <f t="shared" si="322"/>
        <v>2018/19</v>
      </c>
      <c r="K424" s="370" t="str">
        <f t="shared" si="322"/>
        <v>2019/20</v>
      </c>
      <c r="L424" s="370" t="str">
        <f t="shared" si="322"/>
        <v>2020/21</v>
      </c>
      <c r="M424" s="370" t="str">
        <f t="shared" si="322"/>
        <v>2021/22</v>
      </c>
      <c r="N424" s="370" t="str">
        <f t="shared" si="322"/>
        <v>2022/23</v>
      </c>
      <c r="O424" s="370" t="str">
        <f t="shared" si="322"/>
        <v>2023/24</v>
      </c>
      <c r="P424" s="381" t="str">
        <f t="shared" si="322"/>
        <v>2024/25</v>
      </c>
      <c r="Q424" s="218" t="str">
        <f t="shared" si="322"/>
        <v>2025/26</v>
      </c>
      <c r="R424" s="549" t="str">
        <f t="shared" ref="R424" si="323">R3</f>
        <v>2026/27</v>
      </c>
    </row>
    <row r="425" spans="1:18" s="23" customFormat="1" ht="13.5" customHeight="1" x14ac:dyDescent="0.2">
      <c r="A425" s="268"/>
      <c r="B425" s="529"/>
      <c r="C425" s="529"/>
      <c r="D425" s="204"/>
      <c r="E425" s="531"/>
      <c r="F425" s="22"/>
      <c r="G425" s="204"/>
      <c r="H425" s="1702"/>
      <c r="I425" s="529"/>
      <c r="J425" s="529"/>
      <c r="K425" s="529"/>
      <c r="L425" s="529"/>
      <c r="M425" s="529"/>
      <c r="N425" s="529"/>
      <c r="O425" s="529"/>
      <c r="P425" s="531"/>
      <c r="Q425" s="529"/>
      <c r="R425" s="530"/>
    </row>
    <row r="426" spans="1:18" s="84" customFormat="1" x14ac:dyDescent="0.2">
      <c r="A426" s="107"/>
      <c r="B426" s="33"/>
      <c r="C426" s="33"/>
      <c r="D426" s="33"/>
      <c r="E426" s="1955"/>
      <c r="F426" s="365" t="s">
        <v>1832</v>
      </c>
      <c r="G426" s="33"/>
      <c r="H426" s="138"/>
      <c r="I426" s="33"/>
      <c r="J426" s="33"/>
      <c r="K426" s="33"/>
      <c r="L426" s="33"/>
      <c r="M426" s="33"/>
      <c r="N426" s="33"/>
      <c r="O426" s="33"/>
      <c r="P426" s="142"/>
      <c r="Q426" s="33"/>
      <c r="R426" s="114"/>
    </row>
    <row r="427" spans="1:18" s="84" customFormat="1" x14ac:dyDescent="0.2">
      <c r="A427" s="107"/>
      <c r="B427" s="33"/>
      <c r="C427" s="187"/>
      <c r="D427" s="187"/>
      <c r="E427" s="437"/>
      <c r="F427" s="443"/>
      <c r="G427" s="189"/>
      <c r="H427" s="138"/>
      <c r="I427" s="33"/>
      <c r="J427" s="33"/>
      <c r="K427" s="33"/>
      <c r="L427" s="33"/>
      <c r="M427" s="33"/>
      <c r="N427" s="33"/>
      <c r="O427" s="33"/>
      <c r="P427" s="142"/>
      <c r="Q427" s="33"/>
      <c r="R427" s="114"/>
    </row>
    <row r="428" spans="1:18" s="84" customFormat="1" x14ac:dyDescent="0.2">
      <c r="A428" s="107"/>
      <c r="B428" s="33"/>
      <c r="C428" s="187"/>
      <c r="D428" s="187"/>
      <c r="E428" s="437"/>
      <c r="F428" s="1103" t="s">
        <v>2339</v>
      </c>
      <c r="G428" s="189"/>
      <c r="H428" s="138"/>
      <c r="I428" s="33"/>
      <c r="J428" s="33"/>
      <c r="K428" s="33"/>
      <c r="L428" s="33"/>
      <c r="M428" s="33"/>
      <c r="N428" s="33"/>
      <c r="O428" s="33"/>
      <c r="P428" s="142"/>
      <c r="Q428" s="33"/>
      <c r="R428" s="114"/>
    </row>
    <row r="429" spans="1:18" s="84" customFormat="1" x14ac:dyDescent="0.2">
      <c r="A429" s="107">
        <v>123300</v>
      </c>
      <c r="B429" s="33">
        <v>123000</v>
      </c>
      <c r="C429" s="187">
        <v>128500</v>
      </c>
      <c r="D429" s="187">
        <v>137200</v>
      </c>
      <c r="E429" s="343" t="s">
        <v>2493</v>
      </c>
      <c r="F429" s="443" t="s">
        <v>1811</v>
      </c>
      <c r="G429" s="189">
        <v>135000</v>
      </c>
      <c r="H429" s="138">
        <f t="shared" ref="H429:H442" si="324">IF(D429=G429,0,IF(D429=0,100,(G429-D429)/D429*100))</f>
        <v>-1.6034985422740524</v>
      </c>
      <c r="I429" s="33">
        <f>ROUND(G429+(G429*Assumptions!H$5),-3)</f>
        <v>137000</v>
      </c>
      <c r="J429" s="33">
        <f>ROUNDUP(I429+(I429*Assumptions!I$5),-2)</f>
        <v>140500</v>
      </c>
      <c r="K429" s="33">
        <f>ROUNDUP(J429+(J429*Assumptions!J$5),-2)</f>
        <v>144100</v>
      </c>
      <c r="L429" s="33">
        <f>ROUNDUP(K429+(K429*Assumptions!K$5),-2)</f>
        <v>147800</v>
      </c>
      <c r="M429" s="33">
        <f>ROUNDUP(L429+(L429*Assumptions!L$5),-2)</f>
        <v>150800</v>
      </c>
      <c r="N429" s="33">
        <f>ROUNDUP(M429+(M429*Assumptions!M$5),-2)</f>
        <v>153900</v>
      </c>
      <c r="O429" s="33">
        <f>ROUNDUP(N429+(N429*Assumptions!N$5),-2)</f>
        <v>157000</v>
      </c>
      <c r="P429" s="142">
        <f>ROUNDUP(O429+(O429*Assumptions!O$5),-2)</f>
        <v>160200</v>
      </c>
      <c r="Q429" s="33">
        <f>ROUNDUP(P429+(P429*Assumptions!P$5),-2)</f>
        <v>163500</v>
      </c>
      <c r="R429" s="114">
        <f>ROUNDUP(Q429+(Q429*Assumptions!Q$5),-2)</f>
        <v>166800</v>
      </c>
    </row>
    <row r="430" spans="1:18" s="84" customFormat="1" x14ac:dyDescent="0.2">
      <c r="A430" s="107">
        <v>0</v>
      </c>
      <c r="B430" s="33">
        <v>1000</v>
      </c>
      <c r="C430" s="187">
        <v>3100</v>
      </c>
      <c r="D430" s="187">
        <v>10000</v>
      </c>
      <c r="E430" s="821" t="s">
        <v>6191</v>
      </c>
      <c r="F430" s="814" t="s">
        <v>3264</v>
      </c>
      <c r="G430" s="189">
        <v>3000</v>
      </c>
      <c r="H430" s="138">
        <f t="shared" si="324"/>
        <v>-70</v>
      </c>
      <c r="I430" s="33">
        <v>3000</v>
      </c>
      <c r="J430" s="33">
        <f>ROUNDUP(I430+(I430*Assumptions!I$5),-2)</f>
        <v>3100</v>
      </c>
      <c r="K430" s="33">
        <f>ROUNDUP(J430+(J430*Assumptions!J$5),-2)</f>
        <v>3200</v>
      </c>
      <c r="L430" s="33">
        <f>ROUNDUP(K430+(K430*Assumptions!K$5),-2)</f>
        <v>3300</v>
      </c>
      <c r="M430" s="33">
        <f>ROUNDUP(L430+(L430*Assumptions!L$5),-2)</f>
        <v>3400</v>
      </c>
      <c r="N430" s="33">
        <f>ROUNDUP(M430+(M430*Assumptions!M$5),-2)</f>
        <v>3500</v>
      </c>
      <c r="O430" s="33">
        <f>ROUNDUP(N430+(N430*Assumptions!N$5),-2)</f>
        <v>3600</v>
      </c>
      <c r="P430" s="142">
        <f>ROUNDUP(O430+(O430*Assumptions!O$5),-2)</f>
        <v>3700</v>
      </c>
      <c r="Q430" s="33">
        <f>ROUNDUP(P430+(P430*Assumptions!P$5),-2)</f>
        <v>3800</v>
      </c>
      <c r="R430" s="114">
        <f>ROUNDUP(Q430+(Q430*Assumptions!Q$5),-2)</f>
        <v>3900</v>
      </c>
    </row>
    <row r="431" spans="1:18" s="84" customFormat="1" x14ac:dyDescent="0.2">
      <c r="A431" s="107">
        <f>16600+4000</f>
        <v>20600</v>
      </c>
      <c r="B431" s="33">
        <f>18100+65200+3300</f>
        <v>86600</v>
      </c>
      <c r="C431" s="187">
        <v>20200</v>
      </c>
      <c r="D431" s="187">
        <v>22000</v>
      </c>
      <c r="E431" s="343" t="s">
        <v>2105</v>
      </c>
      <c r="F431" s="814" t="s">
        <v>1955</v>
      </c>
      <c r="G431" s="189">
        <v>26500</v>
      </c>
      <c r="H431" s="138">
        <f t="shared" si="324"/>
        <v>20.454545454545457</v>
      </c>
      <c r="I431" s="33">
        <f>ROUND(G431+(G431*Assumptions!H$5),-3)</f>
        <v>27000</v>
      </c>
      <c r="J431" s="33">
        <f>ROUNDUP(I431+(I431*Assumptions!I$5),-2)</f>
        <v>27700</v>
      </c>
      <c r="K431" s="33">
        <f>ROUNDUP(J431+(J431*Assumptions!J$5),-2)</f>
        <v>28400</v>
      </c>
      <c r="L431" s="33">
        <f>ROUNDUP(K431+(K431*Assumptions!K$5),-2)</f>
        <v>29200</v>
      </c>
      <c r="M431" s="33">
        <f>ROUNDUP(L431+(L431*Assumptions!L$5),-2)</f>
        <v>29800</v>
      </c>
      <c r="N431" s="33">
        <f>ROUNDUP(M431+(M431*Assumptions!M$5),-2)</f>
        <v>30400</v>
      </c>
      <c r="O431" s="33">
        <f>ROUNDUP(N431+(N431*Assumptions!N$5),-2)</f>
        <v>31100</v>
      </c>
      <c r="P431" s="142">
        <f>ROUNDUP(O431+(O431*Assumptions!O$5),-2)</f>
        <v>31800</v>
      </c>
      <c r="Q431" s="33">
        <f>ROUNDUP(P431+(P431*Assumptions!P$5),-2)</f>
        <v>32500</v>
      </c>
      <c r="R431" s="114">
        <f>ROUNDUP(Q431+(Q431*Assumptions!Q$5),-2)</f>
        <v>33200</v>
      </c>
    </row>
    <row r="432" spans="1:18" s="84" customFormat="1" x14ac:dyDescent="0.2">
      <c r="A432" s="107">
        <v>0</v>
      </c>
      <c r="B432" s="33">
        <v>0</v>
      </c>
      <c r="C432" s="187">
        <v>3000</v>
      </c>
      <c r="D432" s="187">
        <v>8500</v>
      </c>
      <c r="E432" s="821" t="s">
        <v>5603</v>
      </c>
      <c r="F432" s="814" t="s">
        <v>4998</v>
      </c>
      <c r="G432" s="189">
        <v>28000</v>
      </c>
      <c r="H432" s="138">
        <f t="shared" si="324"/>
        <v>229.41176470588235</v>
      </c>
      <c r="I432" s="33">
        <f>ROUND(G432+(G432*Assumptions!H$5),-3)</f>
        <v>28000</v>
      </c>
      <c r="J432" s="33">
        <f>ROUND(I432+(I432*Assumptions!I$5),-2)+100</f>
        <v>28800</v>
      </c>
      <c r="K432" s="33">
        <f>ROUND(J432+(J432*Assumptions!J$5),-2)+100</f>
        <v>29600</v>
      </c>
      <c r="L432" s="33">
        <f>ROUND(K432+(K432*Assumptions!K$5),-2)+100</f>
        <v>30400</v>
      </c>
      <c r="M432" s="33">
        <f>ROUND(L432+(L432*Assumptions!L$5),-2)</f>
        <v>31000</v>
      </c>
      <c r="N432" s="33">
        <f>ROUND(M432+(M432*Assumptions!M$5),-2)</f>
        <v>31600</v>
      </c>
      <c r="O432" s="33">
        <f>ROUND(N432+(N432*Assumptions!N$5),-2)</f>
        <v>32200</v>
      </c>
      <c r="P432" s="33">
        <f>ROUND(O432+(O432*Assumptions!O$5),-2)</f>
        <v>32800</v>
      </c>
      <c r="Q432" s="33">
        <f>ROUND(P432+(P432*Assumptions!P$5),-2)</f>
        <v>33500</v>
      </c>
      <c r="R432" s="114">
        <f>ROUND(Q432+(Q432*Assumptions!Q$5),-2)</f>
        <v>34200</v>
      </c>
    </row>
    <row r="433" spans="1:18" s="84" customFormat="1" x14ac:dyDescent="0.2">
      <c r="A433" s="107">
        <v>18900</v>
      </c>
      <c r="B433" s="33">
        <v>20400</v>
      </c>
      <c r="C433" s="187">
        <v>23200</v>
      </c>
      <c r="D433" s="187">
        <v>20000</v>
      </c>
      <c r="E433" s="343" t="s">
        <v>2919</v>
      </c>
      <c r="F433" s="814" t="s">
        <v>648</v>
      </c>
      <c r="G433" s="189">
        <v>22000</v>
      </c>
      <c r="H433" s="138">
        <f t="shared" si="324"/>
        <v>10</v>
      </c>
      <c r="I433" s="33">
        <f>ROUND(G433+(G433*Assumptions!H$5),-3)</f>
        <v>22000</v>
      </c>
      <c r="J433" s="33">
        <f>ROUNDUP(I433+(I433*Assumptions!I$5),-2)</f>
        <v>22600</v>
      </c>
      <c r="K433" s="33">
        <f>ROUNDUP(J433+(J433*Assumptions!J$5),-2)</f>
        <v>23200</v>
      </c>
      <c r="L433" s="33">
        <f>ROUNDUP(K433+(K433*Assumptions!K$5),-2)</f>
        <v>23800</v>
      </c>
      <c r="M433" s="33">
        <f>ROUNDUP(L433+(L433*Assumptions!L$5),-2)</f>
        <v>24300</v>
      </c>
      <c r="N433" s="33">
        <f>ROUNDUP(M433+(M433*Assumptions!M$5),-2)</f>
        <v>24800</v>
      </c>
      <c r="O433" s="33">
        <f>ROUNDUP(N433+(N433*Assumptions!N$5),-2)</f>
        <v>25300</v>
      </c>
      <c r="P433" s="142">
        <f>ROUNDUP(O433+(O433*Assumptions!O$5),-2)</f>
        <v>25900</v>
      </c>
      <c r="Q433" s="33">
        <f>ROUNDUP(P433+(P433*Assumptions!P$5),-2)</f>
        <v>26500</v>
      </c>
      <c r="R433" s="114">
        <f>ROUNDUP(Q433+(Q433*Assumptions!Q$5),-2)</f>
        <v>27100</v>
      </c>
    </row>
    <row r="434" spans="1:18" s="84" customFormat="1" x14ac:dyDescent="0.2">
      <c r="A434" s="107">
        <v>15600</v>
      </c>
      <c r="B434" s="33">
        <v>9900</v>
      </c>
      <c r="C434" s="187">
        <v>13400</v>
      </c>
      <c r="D434" s="187">
        <v>12000</v>
      </c>
      <c r="E434" s="343" t="s">
        <v>2918</v>
      </c>
      <c r="F434" s="814" t="s">
        <v>719</v>
      </c>
      <c r="G434" s="189">
        <v>12000</v>
      </c>
      <c r="H434" s="138">
        <f t="shared" si="324"/>
        <v>0</v>
      </c>
      <c r="I434" s="33">
        <f>ROUND(G434+(G434*Assumptions!H$5),-3)</f>
        <v>12000</v>
      </c>
      <c r="J434" s="33">
        <f>ROUNDUP(I434+(I434*Assumptions!I$5),-2)</f>
        <v>12300</v>
      </c>
      <c r="K434" s="33">
        <f>ROUNDUP(J434+(J434*Assumptions!J$5),-2)</f>
        <v>12700</v>
      </c>
      <c r="L434" s="33">
        <f>ROUNDUP(K434+(K434*Assumptions!K$5),-2)</f>
        <v>13100</v>
      </c>
      <c r="M434" s="33">
        <f>ROUNDUP(L434+(L434*Assumptions!L$5),-2)</f>
        <v>13400</v>
      </c>
      <c r="N434" s="33">
        <f>ROUNDUP(M434+(M434*Assumptions!M$5),-2)</f>
        <v>13700</v>
      </c>
      <c r="O434" s="33">
        <f>ROUNDUP(N434+(N434*Assumptions!N$5),-2)</f>
        <v>14000</v>
      </c>
      <c r="P434" s="142">
        <f>ROUNDUP(O434+(O434*Assumptions!O$5),-2)</f>
        <v>14300</v>
      </c>
      <c r="Q434" s="33">
        <f>ROUNDUP(P434+(P434*Assumptions!P$5),-2)</f>
        <v>14600</v>
      </c>
      <c r="R434" s="114">
        <f>ROUNDUP(Q434+(Q434*Assumptions!Q$5),-2)</f>
        <v>14900</v>
      </c>
    </row>
    <row r="435" spans="1:18" s="84" customFormat="1" x14ac:dyDescent="0.2">
      <c r="A435" s="107">
        <v>78900</v>
      </c>
      <c r="B435" s="33">
        <v>96900</v>
      </c>
      <c r="C435" s="187">
        <v>96500</v>
      </c>
      <c r="D435" s="187">
        <v>88600</v>
      </c>
      <c r="E435" s="343" t="s">
        <v>2917</v>
      </c>
      <c r="F435" s="443" t="s">
        <v>2774</v>
      </c>
      <c r="G435" s="189">
        <v>82000</v>
      </c>
      <c r="H435" s="138">
        <f t="shared" si="324"/>
        <v>-7.4492099322799099</v>
      </c>
      <c r="I435" s="33">
        <v>90000</v>
      </c>
      <c r="J435" s="33">
        <f>ROUNDUP(I435+(I435*Assumptions!I$5),-3)</f>
        <v>93000</v>
      </c>
      <c r="K435" s="33">
        <f>ROUNDUP(J435+(J435*Assumptions!J$5),-2)</f>
        <v>95400</v>
      </c>
      <c r="L435" s="33">
        <f>ROUNDUP(K435+(K435*Assumptions!K$5),-2)</f>
        <v>97800</v>
      </c>
      <c r="M435" s="33">
        <f>ROUNDUP(L435+(L435*Assumptions!L$5),-2)</f>
        <v>99800</v>
      </c>
      <c r="N435" s="33">
        <f>ROUNDUP(M435+(M435*Assumptions!M$5),-2)</f>
        <v>101800</v>
      </c>
      <c r="O435" s="33">
        <f>ROUNDUP(N435+(N435*Assumptions!N$5),-2)</f>
        <v>103900</v>
      </c>
      <c r="P435" s="142">
        <f>ROUNDUP(O435+(O435*Assumptions!O$5),-2)</f>
        <v>106000</v>
      </c>
      <c r="Q435" s="33">
        <f>ROUNDUP(P435+(P435*Assumptions!P$5),-2)</f>
        <v>108200</v>
      </c>
      <c r="R435" s="114">
        <f>ROUNDUP(Q435+(Q435*Assumptions!Q$5),-2)</f>
        <v>110400</v>
      </c>
    </row>
    <row r="436" spans="1:18" s="84" customFormat="1" x14ac:dyDescent="0.2">
      <c r="A436" s="107">
        <v>113800</v>
      </c>
      <c r="B436" s="33">
        <v>101800</v>
      </c>
      <c r="C436" s="187">
        <v>112900</v>
      </c>
      <c r="D436" s="187">
        <v>149000</v>
      </c>
      <c r="E436" s="343" t="s">
        <v>445</v>
      </c>
      <c r="F436" s="443" t="s">
        <v>1317</v>
      </c>
      <c r="G436" s="189">
        <v>128000</v>
      </c>
      <c r="H436" s="138">
        <f t="shared" si="324"/>
        <v>-14.093959731543624</v>
      </c>
      <c r="I436" s="33">
        <v>160000</v>
      </c>
      <c r="J436" s="33">
        <f>ROUNDUP(I436+(I436*Assumptions!I$5),-2)</f>
        <v>164000</v>
      </c>
      <c r="K436" s="33">
        <f>ROUNDUP(J436+(J436*Assumptions!J$5),-2)</f>
        <v>168100</v>
      </c>
      <c r="L436" s="33">
        <f>ROUNDUP(K436+(K436*Assumptions!K$5),-2)</f>
        <v>172400</v>
      </c>
      <c r="M436" s="33">
        <f>ROUNDUP(L436+(L436*Assumptions!L$5),-2)</f>
        <v>175900</v>
      </c>
      <c r="N436" s="33">
        <f>ROUNDUP(M436+(M436*Assumptions!M$5),-2)</f>
        <v>179500</v>
      </c>
      <c r="O436" s="33">
        <f>ROUNDUP(N436+(N436*Assumptions!N$5),-2)</f>
        <v>183100</v>
      </c>
      <c r="P436" s="142">
        <f>ROUNDUP(O436+(O436*Assumptions!O$5),-2)</f>
        <v>186800</v>
      </c>
      <c r="Q436" s="33">
        <f>ROUNDUP(P436+(P436*Assumptions!P$5),-2)</f>
        <v>190600</v>
      </c>
      <c r="R436" s="114">
        <f>ROUNDUP(Q436+(Q436*Assumptions!Q$5),-2)</f>
        <v>194500</v>
      </c>
    </row>
    <row r="437" spans="1:18" s="84" customFormat="1" x14ac:dyDescent="0.2">
      <c r="A437" s="107">
        <v>20000</v>
      </c>
      <c r="B437" s="33">
        <v>20000</v>
      </c>
      <c r="C437" s="189">
        <v>20000</v>
      </c>
      <c r="D437" s="187">
        <v>37400</v>
      </c>
      <c r="E437" s="821" t="s">
        <v>6705</v>
      </c>
      <c r="F437" s="814" t="s">
        <v>6699</v>
      </c>
      <c r="G437" s="189">
        <v>20000</v>
      </c>
      <c r="H437" s="138">
        <f t="shared" si="324"/>
        <v>-46.524064171122994</v>
      </c>
      <c r="I437" s="33">
        <v>40000</v>
      </c>
      <c r="J437" s="33">
        <f>ROUNDUP(I437+(I437*Assumptions!I$5),-2)</f>
        <v>41000</v>
      </c>
      <c r="K437" s="33">
        <f>ROUNDUP(J437+(J437*Assumptions!J$5),-2)</f>
        <v>42100</v>
      </c>
      <c r="L437" s="33">
        <f>ROUNDUP(K437+(K437*Assumptions!K$5),-2)</f>
        <v>43200</v>
      </c>
      <c r="M437" s="33">
        <f>ROUNDUP(L437+(L437*Assumptions!L$5),-2)</f>
        <v>44100</v>
      </c>
      <c r="N437" s="33">
        <f>ROUNDUP(M437+(M437*Assumptions!M$5),-2)</f>
        <v>45000</v>
      </c>
      <c r="O437" s="33">
        <f>ROUNDUP(N437+(N437*Assumptions!N$5),-2)</f>
        <v>45900</v>
      </c>
      <c r="P437" s="142">
        <f>ROUNDUP(O437+(O437*Assumptions!O$5),-2)</f>
        <v>46900</v>
      </c>
      <c r="Q437" s="33">
        <f>ROUNDUP(P437+(P437*Assumptions!P$5),-2)</f>
        <v>47900</v>
      </c>
      <c r="R437" s="114">
        <f>ROUNDUP(Q437+(Q437*Assumptions!Q$5),-2)</f>
        <v>48900</v>
      </c>
    </row>
    <row r="438" spans="1:18" s="84" customFormat="1" x14ac:dyDescent="0.2">
      <c r="A438" s="107">
        <v>0</v>
      </c>
      <c r="B438" s="33">
        <v>5000</v>
      </c>
      <c r="C438" s="187">
        <v>0</v>
      </c>
      <c r="D438" s="187">
        <v>0</v>
      </c>
      <c r="E438" s="821" t="s">
        <v>6595</v>
      </c>
      <c r="F438" s="814" t="s">
        <v>6596</v>
      </c>
      <c r="G438" s="189">
        <v>12000</v>
      </c>
      <c r="H438" s="138">
        <f t="shared" si="324"/>
        <v>100</v>
      </c>
      <c r="I438" s="33">
        <v>0</v>
      </c>
      <c r="J438" s="33">
        <f>ROUNDUP(I438+(I438*Assumptions!I$5),-2)</f>
        <v>0</v>
      </c>
      <c r="K438" s="33">
        <f>ROUNDUP(J438+(J438*Assumptions!J$5),-2)</f>
        <v>0</v>
      </c>
      <c r="L438" s="33">
        <f>ROUNDUP(K438+(K438*Assumptions!K$5),-2)</f>
        <v>0</v>
      </c>
      <c r="M438" s="33">
        <f>ROUNDUP(L438+(L438*Assumptions!L$5),-2)</f>
        <v>0</v>
      </c>
      <c r="N438" s="33">
        <f>ROUNDUP(M438+(M438*Assumptions!M$5),-2)</f>
        <v>0</v>
      </c>
      <c r="O438" s="33">
        <f>ROUNDUP(N438+(N438*Assumptions!N$5),-2)</f>
        <v>0</v>
      </c>
      <c r="P438" s="142">
        <f>ROUNDUP(O438+(O438*Assumptions!O$5),-2)</f>
        <v>0</v>
      </c>
      <c r="Q438" s="33">
        <f>ROUNDUP(P438+(P438*Assumptions!P$5),-2)</f>
        <v>0</v>
      </c>
      <c r="R438" s="114">
        <f>ROUNDUP(Q438+(Q438*Assumptions!Q$5),-2)</f>
        <v>0</v>
      </c>
    </row>
    <row r="439" spans="1:18" s="84" customFormat="1" x14ac:dyDescent="0.2">
      <c r="A439" s="107">
        <v>0</v>
      </c>
      <c r="B439" s="33">
        <v>1800</v>
      </c>
      <c r="C439" s="187">
        <v>5200</v>
      </c>
      <c r="D439" s="187">
        <v>3000</v>
      </c>
      <c r="E439" s="343" t="s">
        <v>2324</v>
      </c>
      <c r="F439" s="443" t="s">
        <v>1868</v>
      </c>
      <c r="G439" s="189">
        <v>3500</v>
      </c>
      <c r="H439" s="138">
        <f t="shared" si="324"/>
        <v>16.666666666666664</v>
      </c>
      <c r="I439" s="33">
        <f>ROUND(G439+(G439*Assumptions!H$5),-3)</f>
        <v>4000</v>
      </c>
      <c r="J439" s="33">
        <f>ROUNDUP(I439+(I439*Assumptions!I$5),-2)</f>
        <v>4100</v>
      </c>
      <c r="K439" s="33">
        <f>ROUNDUP(J439+(J439*Assumptions!J$5),-2)</f>
        <v>4300</v>
      </c>
      <c r="L439" s="33">
        <f>ROUNDUP(K439+(K439*Assumptions!K$5),-2)</f>
        <v>4500</v>
      </c>
      <c r="M439" s="33">
        <f>ROUNDUP(L439+(L439*Assumptions!L$5),-2)</f>
        <v>4600</v>
      </c>
      <c r="N439" s="33">
        <f>ROUNDUP(M439+(M439*Assumptions!M$5),-2)</f>
        <v>4700</v>
      </c>
      <c r="O439" s="33">
        <f>ROUNDUP(N439+(N439*Assumptions!N$5),-2)</f>
        <v>4800</v>
      </c>
      <c r="P439" s="142">
        <f>ROUNDUP(O439+(O439*Assumptions!O$5),-2)</f>
        <v>4900</v>
      </c>
      <c r="Q439" s="33">
        <f>ROUNDUP(P439+(P439*Assumptions!P$5),-2)</f>
        <v>5000</v>
      </c>
      <c r="R439" s="114">
        <f>ROUNDUP(Q439+(Q439*Assumptions!Q$5),-2)</f>
        <v>5100</v>
      </c>
    </row>
    <row r="440" spans="1:18" s="84" customFormat="1" x14ac:dyDescent="0.2">
      <c r="A440" s="107">
        <v>18500</v>
      </c>
      <c r="B440" s="33">
        <v>12600</v>
      </c>
      <c r="C440" s="189">
        <v>15000</v>
      </c>
      <c r="D440" s="187">
        <v>16000</v>
      </c>
      <c r="E440" s="343" t="s">
        <v>2465</v>
      </c>
      <c r="F440" s="443" t="s">
        <v>2667</v>
      </c>
      <c r="G440" s="189">
        <v>16000</v>
      </c>
      <c r="H440" s="138">
        <f t="shared" si="324"/>
        <v>0</v>
      </c>
      <c r="I440" s="33">
        <f>ROUND(G440+(G440*Assumptions!H$5),-3)</f>
        <v>16000</v>
      </c>
      <c r="J440" s="33">
        <f>ROUNDUP(I440+(I440*Assumptions!I$5),-2)</f>
        <v>16400</v>
      </c>
      <c r="K440" s="33">
        <f>ROUNDUP(J440+(J440*Assumptions!J$5),-2)</f>
        <v>16900</v>
      </c>
      <c r="L440" s="33">
        <f>ROUNDUP(K440+(K440*Assumptions!K$5),-2)</f>
        <v>17400</v>
      </c>
      <c r="M440" s="33">
        <f>ROUNDUP(L440+(L440*Assumptions!L$5),-2)</f>
        <v>17800</v>
      </c>
      <c r="N440" s="33">
        <f>ROUNDUP(M440+(M440*Assumptions!M$5),-2)</f>
        <v>18200</v>
      </c>
      <c r="O440" s="33">
        <f>ROUNDUP(N440+(N440*Assumptions!N$5),-2)</f>
        <v>18600</v>
      </c>
      <c r="P440" s="142">
        <f>ROUNDUP(O440+(O440*Assumptions!O$5),-2)</f>
        <v>19000</v>
      </c>
      <c r="Q440" s="33">
        <f>ROUNDUP(P440+(P440*Assumptions!P$5),-2)</f>
        <v>19400</v>
      </c>
      <c r="R440" s="114">
        <f>ROUNDUP(Q440+(Q440*Assumptions!Q$5),-2)</f>
        <v>19800</v>
      </c>
    </row>
    <row r="441" spans="1:18" s="84" customFormat="1" x14ac:dyDescent="0.2">
      <c r="A441" s="107">
        <v>12300</v>
      </c>
      <c r="B441" s="33">
        <v>19700</v>
      </c>
      <c r="C441" s="187">
        <v>11800</v>
      </c>
      <c r="D441" s="187">
        <v>21000</v>
      </c>
      <c r="E441" s="343" t="s">
        <v>1578</v>
      </c>
      <c r="F441" s="814" t="s">
        <v>6206</v>
      </c>
      <c r="G441" s="189">
        <v>26000</v>
      </c>
      <c r="H441" s="138">
        <f t="shared" si="324"/>
        <v>23.809523809523807</v>
      </c>
      <c r="I441" s="33">
        <f>ROUND(G441+(G441*Assumptions!H$5),-3)</f>
        <v>26000</v>
      </c>
      <c r="J441" s="33">
        <f>ROUNDUP(I441+(I441*Assumptions!I$5),-2)</f>
        <v>26700</v>
      </c>
      <c r="K441" s="33">
        <f>ROUNDUP(J441+(J441*Assumptions!J$5),-2)</f>
        <v>27400</v>
      </c>
      <c r="L441" s="33">
        <f>ROUNDUP(K441+(K441*Assumptions!K$5),-2)</f>
        <v>28100</v>
      </c>
      <c r="M441" s="33">
        <f>ROUNDUP(L441+(L441*Assumptions!L$5),-2)</f>
        <v>28700</v>
      </c>
      <c r="N441" s="33">
        <f>ROUNDUP(M441+(M441*Assumptions!M$5),-2)</f>
        <v>29300</v>
      </c>
      <c r="O441" s="33">
        <f>ROUNDUP(N441+(N441*Assumptions!N$5),-2)</f>
        <v>29900</v>
      </c>
      <c r="P441" s="142">
        <f>ROUNDUP(O441+(O441*Assumptions!O$5),-2)</f>
        <v>30500</v>
      </c>
      <c r="Q441" s="33">
        <f>ROUNDUP(P441+(P441*Assumptions!P$5),-2)</f>
        <v>31200</v>
      </c>
      <c r="R441" s="114">
        <f>ROUNDUP(Q441+(Q441*Assumptions!Q$5),-2)</f>
        <v>31900</v>
      </c>
    </row>
    <row r="442" spans="1:18" s="84" customFormat="1" x14ac:dyDescent="0.2">
      <c r="A442" s="107"/>
      <c r="B442" s="33"/>
      <c r="C442" s="189"/>
      <c r="D442" s="187"/>
      <c r="E442" s="821" t="s">
        <v>7130</v>
      </c>
      <c r="F442" s="814" t="s">
        <v>7116</v>
      </c>
      <c r="G442" s="189">
        <v>1500</v>
      </c>
      <c r="H442" s="138">
        <f t="shared" si="324"/>
        <v>100</v>
      </c>
      <c r="I442" s="33">
        <v>0</v>
      </c>
      <c r="J442" s="33">
        <v>0</v>
      </c>
      <c r="K442" s="33">
        <v>0</v>
      </c>
      <c r="L442" s="33">
        <v>0</v>
      </c>
      <c r="M442" s="33">
        <v>0</v>
      </c>
      <c r="N442" s="33">
        <v>0</v>
      </c>
      <c r="O442" s="33">
        <v>0</v>
      </c>
      <c r="P442" s="33">
        <v>0</v>
      </c>
      <c r="Q442" s="33">
        <v>0</v>
      </c>
      <c r="R442" s="33">
        <v>0</v>
      </c>
    </row>
    <row r="443" spans="1:18" s="84" customFormat="1" x14ac:dyDescent="0.2">
      <c r="A443" s="107"/>
      <c r="B443" s="33"/>
      <c r="C443" s="189"/>
      <c r="D443" s="187"/>
      <c r="E443" s="821"/>
      <c r="F443" s="814"/>
      <c r="G443" s="189"/>
      <c r="H443" s="138"/>
      <c r="I443" s="33"/>
      <c r="J443" s="33"/>
      <c r="K443" s="33"/>
      <c r="L443" s="33"/>
      <c r="M443" s="33"/>
      <c r="N443" s="33"/>
      <c r="O443" s="33"/>
      <c r="P443" s="142"/>
      <c r="Q443" s="33"/>
      <c r="R443" s="114"/>
    </row>
    <row r="444" spans="1:18" s="84" customFormat="1" x14ac:dyDescent="0.2">
      <c r="A444" s="107"/>
      <c r="B444" s="33"/>
      <c r="C444" s="189"/>
      <c r="D444" s="187"/>
      <c r="E444" s="821"/>
      <c r="F444" s="1103" t="s">
        <v>6730</v>
      </c>
      <c r="G444" s="189"/>
      <c r="H444" s="138"/>
      <c r="I444" s="33"/>
      <c r="J444" s="33"/>
      <c r="K444" s="33"/>
      <c r="L444" s="33"/>
      <c r="M444" s="33"/>
      <c r="N444" s="33"/>
      <c r="O444" s="33"/>
      <c r="P444" s="142"/>
      <c r="Q444" s="33"/>
      <c r="R444" s="114"/>
    </row>
    <row r="445" spans="1:18" s="84" customFormat="1" x14ac:dyDescent="0.2">
      <c r="A445" s="107">
        <v>127600</v>
      </c>
      <c r="B445" s="33">
        <v>131000</v>
      </c>
      <c r="C445" s="187">
        <v>131200</v>
      </c>
      <c r="D445" s="187">
        <v>144000</v>
      </c>
      <c r="E445" s="343" t="s">
        <v>1713</v>
      </c>
      <c r="F445" s="443" t="s">
        <v>1465</v>
      </c>
      <c r="G445" s="189">
        <v>158000</v>
      </c>
      <c r="H445" s="138">
        <f>IF(D445=G445,0,IF(D445=0,100,(G445-D445)/D445*100))</f>
        <v>9.7222222222222232</v>
      </c>
      <c r="I445" s="33">
        <f>ROUND(G445+(G445*Assumptions!H$5),-3)</f>
        <v>160000</v>
      </c>
      <c r="J445" s="33">
        <f>ROUNDUP(I445+(I445*Assumptions!I$5),-2)</f>
        <v>164000</v>
      </c>
      <c r="K445" s="33">
        <f>ROUNDUP(J445+(J445*Assumptions!J$5),-2)</f>
        <v>168100</v>
      </c>
      <c r="L445" s="33">
        <f>ROUNDUP(K445+(K445*Assumptions!K$5),-2)</f>
        <v>172400</v>
      </c>
      <c r="M445" s="33">
        <f>ROUNDUP(L445+(L445*Assumptions!L$5),-2)</f>
        <v>175900</v>
      </c>
      <c r="N445" s="33">
        <f>ROUNDUP(M445+(M445*Assumptions!M$5),-2)</f>
        <v>179500</v>
      </c>
      <c r="O445" s="33">
        <f>ROUNDUP(N445+(N445*Assumptions!N$5),-2)</f>
        <v>183100</v>
      </c>
      <c r="P445" s="142">
        <f>ROUNDUP(O445+(O445*Assumptions!O$5),-2)</f>
        <v>186800</v>
      </c>
      <c r="Q445" s="33">
        <f>ROUNDUP(P445+(P445*Assumptions!P$5),-2)</f>
        <v>190600</v>
      </c>
      <c r="R445" s="114">
        <f>ROUNDUP(Q445+(Q445*Assumptions!Q$5),-2)</f>
        <v>194500</v>
      </c>
    </row>
    <row r="446" spans="1:18" s="84" customFormat="1" x14ac:dyDescent="0.2">
      <c r="A446" s="107">
        <v>54300</v>
      </c>
      <c r="B446" s="33">
        <v>58800</v>
      </c>
      <c r="C446" s="187">
        <v>49500</v>
      </c>
      <c r="D446" s="187">
        <v>63000</v>
      </c>
      <c r="E446" s="343" t="s">
        <v>1714</v>
      </c>
      <c r="F446" s="443" t="s">
        <v>2341</v>
      </c>
      <c r="G446" s="189">
        <v>52000</v>
      </c>
      <c r="H446" s="138">
        <f>IF(D446=G446,0,IF(D446=0,100,(G446-D446)/D446*100))</f>
        <v>-17.460317460317459</v>
      </c>
      <c r="I446" s="33">
        <v>60000</v>
      </c>
      <c r="J446" s="33">
        <f>ROUNDUP(I446+(I446*Assumptions!I$5),-2)</f>
        <v>61500</v>
      </c>
      <c r="K446" s="33">
        <f>ROUNDUP(J446+(J446*Assumptions!J$5),-2)</f>
        <v>63100</v>
      </c>
      <c r="L446" s="33">
        <f>ROUNDUP(K446+(K446*Assumptions!K$5),-2)</f>
        <v>64700</v>
      </c>
      <c r="M446" s="33">
        <f>ROUNDUP(L446+(L446*Assumptions!L$5),-2)</f>
        <v>66000</v>
      </c>
      <c r="N446" s="33">
        <f>ROUNDUP(M446+(M446*Assumptions!M$5),-2)</f>
        <v>67400</v>
      </c>
      <c r="O446" s="33">
        <f>ROUNDUP(N446+(N446*Assumptions!N$5),-2)</f>
        <v>68800</v>
      </c>
      <c r="P446" s="142">
        <f>ROUNDUP(O446+(O446*Assumptions!O$5),-2)</f>
        <v>70200</v>
      </c>
      <c r="Q446" s="33">
        <f>ROUNDUP(P446+(P446*Assumptions!P$5),-2)</f>
        <v>71700</v>
      </c>
      <c r="R446" s="114">
        <f>ROUNDUP(Q446+(Q446*Assumptions!Q$5),-2)</f>
        <v>73200</v>
      </c>
    </row>
    <row r="447" spans="1:18" s="84" customFormat="1" x14ac:dyDescent="0.2">
      <c r="A447" s="107">
        <v>52200</v>
      </c>
      <c r="B447" s="33">
        <v>57200</v>
      </c>
      <c r="C447" s="187">
        <v>73300</v>
      </c>
      <c r="D447" s="187">
        <v>61000</v>
      </c>
      <c r="E447" s="343" t="s">
        <v>1715</v>
      </c>
      <c r="F447" s="443" t="s">
        <v>757</v>
      </c>
      <c r="G447" s="189">
        <v>44000</v>
      </c>
      <c r="H447" s="138">
        <f>IF(D447=G447,0,IF(D447=0,100,(G447-D447)/D447*100))</f>
        <v>-27.868852459016392</v>
      </c>
      <c r="I447" s="33">
        <v>70000</v>
      </c>
      <c r="J447" s="33">
        <f>ROUNDUP(I447+(I447*Assumptions!I$5),-2)</f>
        <v>71800</v>
      </c>
      <c r="K447" s="33">
        <f>ROUNDUP(J447+(J447*Assumptions!J$5),-2)</f>
        <v>73600</v>
      </c>
      <c r="L447" s="33">
        <f>ROUNDUP(K447+(K447*Assumptions!K$5),-2)</f>
        <v>75500</v>
      </c>
      <c r="M447" s="33">
        <f>ROUNDUP(L447+(L447*Assumptions!L$5),-2)</f>
        <v>77100</v>
      </c>
      <c r="N447" s="33">
        <f>ROUNDUP(M447+(M447*Assumptions!M$5),-2)</f>
        <v>78700</v>
      </c>
      <c r="O447" s="33">
        <f>ROUNDUP(N447+(N447*Assumptions!N$5),-2)</f>
        <v>80300</v>
      </c>
      <c r="P447" s="142">
        <f>ROUNDUP(O447+(O447*Assumptions!O$5),-2)</f>
        <v>82000</v>
      </c>
      <c r="Q447" s="33">
        <f>ROUNDUP(P447+(P447*Assumptions!P$5),-2)</f>
        <v>83700</v>
      </c>
      <c r="R447" s="114">
        <f>ROUNDUP(Q447+(Q447*Assumptions!Q$5),-2)</f>
        <v>85400</v>
      </c>
    </row>
    <row r="448" spans="1:18" s="84" customFormat="1" x14ac:dyDescent="0.2">
      <c r="A448" s="107">
        <v>51500</v>
      </c>
      <c r="B448" s="33">
        <v>70200</v>
      </c>
      <c r="C448" s="187">
        <v>47800</v>
      </c>
      <c r="D448" s="187">
        <v>72000</v>
      </c>
      <c r="E448" s="343" t="s">
        <v>1716</v>
      </c>
      <c r="F448" s="443" t="s">
        <v>756</v>
      </c>
      <c r="G448" s="189">
        <v>96000</v>
      </c>
      <c r="H448" s="138">
        <f>IF(D448=G448,0,IF(D448=0,100,(G448-D448)/D448*100))</f>
        <v>33.333333333333329</v>
      </c>
      <c r="I448" s="33">
        <f>ROUND(G448+(G448*Assumptions!H$5),-3)</f>
        <v>97000</v>
      </c>
      <c r="J448" s="33">
        <f>ROUNDUP(I448+(I448*Assumptions!I$5),-2)</f>
        <v>99500</v>
      </c>
      <c r="K448" s="33">
        <f>ROUNDUP(J448+(J448*Assumptions!J$5),-2)</f>
        <v>102000</v>
      </c>
      <c r="L448" s="33">
        <f>ROUNDUP(K448+(K448*Assumptions!K$5),-2)</f>
        <v>104600</v>
      </c>
      <c r="M448" s="33">
        <f>ROUNDUP(L448+(L448*Assumptions!L$5),-2)</f>
        <v>106700</v>
      </c>
      <c r="N448" s="33">
        <f>ROUNDUP(M448+(M448*Assumptions!M$5),-2)</f>
        <v>108900</v>
      </c>
      <c r="O448" s="33">
        <f>ROUNDUP(N448+(N448*Assumptions!N$5),-2)</f>
        <v>111100</v>
      </c>
      <c r="P448" s="142">
        <f>ROUNDUP(O448+(O448*Assumptions!O$5),-2)</f>
        <v>113400</v>
      </c>
      <c r="Q448" s="33">
        <f>ROUNDUP(P448+(P448*Assumptions!P$5),-2)</f>
        <v>115700</v>
      </c>
      <c r="R448" s="114">
        <f>ROUNDUP(Q448+(Q448*Assumptions!Q$5),-2)</f>
        <v>118100</v>
      </c>
    </row>
    <row r="449" spans="1:18" s="84" customFormat="1" x14ac:dyDescent="0.2">
      <c r="A449" s="107">
        <v>1100</v>
      </c>
      <c r="B449" s="33">
        <v>1000</v>
      </c>
      <c r="C449" s="187">
        <v>0</v>
      </c>
      <c r="D449" s="187">
        <v>300</v>
      </c>
      <c r="E449" s="821" t="s">
        <v>3034</v>
      </c>
      <c r="F449" s="814" t="s">
        <v>133</v>
      </c>
      <c r="G449" s="189">
        <v>2000</v>
      </c>
      <c r="H449" s="138">
        <f>IF(D449=G449,0,IF(D449=0,100,(G449-D449)/D449*100))</f>
        <v>566.66666666666674</v>
      </c>
      <c r="I449" s="33">
        <f>ROUND(G449+(G449*Assumptions!H$5),-3)</f>
        <v>2000</v>
      </c>
      <c r="J449" s="33">
        <f>ROUNDUP(I449+(I449*Assumptions!I$5),-2)</f>
        <v>2100</v>
      </c>
      <c r="K449" s="33">
        <f>ROUNDUP(J449+(J449*Assumptions!J$5),-2)</f>
        <v>2200</v>
      </c>
      <c r="L449" s="33">
        <f>ROUNDUP(K449+(K449*Assumptions!K$5),-2)</f>
        <v>2300</v>
      </c>
      <c r="M449" s="33">
        <f>ROUNDUP(L449+(L449*Assumptions!L$5),-2)</f>
        <v>2400</v>
      </c>
      <c r="N449" s="33">
        <f>ROUNDUP(M449+(M449*Assumptions!M$5),-2)</f>
        <v>2500</v>
      </c>
      <c r="O449" s="33">
        <f>ROUNDUP(N449+(N449*Assumptions!N$5),-2)</f>
        <v>2600</v>
      </c>
      <c r="P449" s="142">
        <f>ROUNDUP(O449+(O449*Assumptions!O$5),-2)</f>
        <v>2700</v>
      </c>
      <c r="Q449" s="33">
        <f>ROUNDUP(P449+(P449*Assumptions!P$5),-2)</f>
        <v>2800</v>
      </c>
      <c r="R449" s="114">
        <f>ROUNDUP(Q449+(Q449*Assumptions!Q$5),-2)</f>
        <v>2900</v>
      </c>
    </row>
    <row r="450" spans="1:18" s="84" customFormat="1" x14ac:dyDescent="0.2">
      <c r="A450" s="107"/>
      <c r="B450" s="33"/>
      <c r="C450" s="187"/>
      <c r="D450" s="187"/>
      <c r="E450" s="344"/>
      <c r="F450" s="443"/>
      <c r="G450" s="189"/>
      <c r="H450" s="138"/>
      <c r="I450" s="33"/>
      <c r="J450" s="33"/>
      <c r="K450" s="33"/>
      <c r="L450" s="33"/>
      <c r="M450" s="33"/>
      <c r="N450" s="33"/>
      <c r="O450" s="33"/>
      <c r="P450" s="142"/>
      <c r="Q450" s="33"/>
      <c r="R450" s="114"/>
    </row>
    <row r="451" spans="1:18" s="84" customFormat="1" x14ac:dyDescent="0.2">
      <c r="A451" s="107"/>
      <c r="B451" s="33"/>
      <c r="C451" s="187"/>
      <c r="D451" s="187"/>
      <c r="E451" s="437"/>
      <c r="F451" s="1103" t="s">
        <v>1091</v>
      </c>
      <c r="G451" s="189"/>
      <c r="H451" s="138"/>
      <c r="I451" s="33"/>
      <c r="J451" s="33"/>
      <c r="K451" s="33"/>
      <c r="L451" s="33"/>
      <c r="M451" s="33"/>
      <c r="N451" s="33"/>
      <c r="O451" s="33"/>
      <c r="P451" s="142"/>
      <c r="Q451" s="33"/>
      <c r="R451" s="114"/>
    </row>
    <row r="452" spans="1:18" s="84" customFormat="1" x14ac:dyDescent="0.2">
      <c r="A452" s="107">
        <v>21100</v>
      </c>
      <c r="B452" s="33">
        <v>19200</v>
      </c>
      <c r="C452" s="187">
        <v>23600</v>
      </c>
      <c r="D452" s="187">
        <v>21500</v>
      </c>
      <c r="E452" s="343" t="s">
        <v>267</v>
      </c>
      <c r="F452" s="814" t="s">
        <v>6207</v>
      </c>
      <c r="G452" s="189">
        <v>18000</v>
      </c>
      <c r="H452" s="138">
        <f>IF(D452=G452,0,IF(D452=0,100,(G452-D452)/D452*100))</f>
        <v>-16.279069767441861</v>
      </c>
      <c r="I452" s="33">
        <v>24000</v>
      </c>
      <c r="J452" s="33">
        <f>ROUNDUP(I452+(I452*Assumptions!I$5),-2)</f>
        <v>24600</v>
      </c>
      <c r="K452" s="33">
        <f>ROUNDUP(J452+(J452*Assumptions!J$5),-2)</f>
        <v>25300</v>
      </c>
      <c r="L452" s="33">
        <f>ROUNDUP(K452+(K452*Assumptions!K$5),-2)</f>
        <v>26000</v>
      </c>
      <c r="M452" s="33">
        <f>ROUNDUP(L452+(L452*Assumptions!L$5),-2)</f>
        <v>26600</v>
      </c>
      <c r="N452" s="33">
        <f>ROUNDUP(M452+(M452*Assumptions!M$5),-2)</f>
        <v>27200</v>
      </c>
      <c r="O452" s="33">
        <f>ROUNDUP(N452+(N452*Assumptions!N$5),-2)</f>
        <v>27800</v>
      </c>
      <c r="P452" s="142">
        <f>ROUNDUP(O452+(O452*Assumptions!O$5),-2)</f>
        <v>28400</v>
      </c>
      <c r="Q452" s="33">
        <f>ROUNDUP(P452+(P452*Assumptions!P$5),-2)</f>
        <v>29000</v>
      </c>
      <c r="R452" s="114">
        <f>ROUNDUP(Q452+(Q452*Assumptions!Q$5),-2)</f>
        <v>29600</v>
      </c>
    </row>
    <row r="453" spans="1:18" s="84" customFormat="1" x14ac:dyDescent="0.2">
      <c r="A453" s="107">
        <v>71900</v>
      </c>
      <c r="B453" s="33">
        <v>51700</v>
      </c>
      <c r="C453" s="187">
        <v>3500</v>
      </c>
      <c r="D453" s="187">
        <v>2300</v>
      </c>
      <c r="E453" s="343" t="s">
        <v>2748</v>
      </c>
      <c r="F453" s="814" t="s">
        <v>6208</v>
      </c>
      <c r="G453" s="189">
        <v>5000</v>
      </c>
      <c r="H453" s="138">
        <f>IF(D453=G453,0,IF(D453=0,100,(G453-D453)/D453*100))</f>
        <v>117.39130434782609</v>
      </c>
      <c r="I453" s="33">
        <f>ROUND(G453+(G453*Assumptions!H$5),-3)</f>
        <v>5000</v>
      </c>
      <c r="J453" s="33">
        <f>ROUNDUP(I453+(I453*Assumptions!I$5),-2)</f>
        <v>5200</v>
      </c>
      <c r="K453" s="33">
        <f>ROUNDUP(J453+(J453*Assumptions!J$5),-2)</f>
        <v>5400</v>
      </c>
      <c r="L453" s="33">
        <f>ROUNDUP(K453+(K453*Assumptions!K$5),-2)</f>
        <v>5600</v>
      </c>
      <c r="M453" s="33">
        <f>ROUNDUP(L453+(L453*Assumptions!L$5),-2)</f>
        <v>5800</v>
      </c>
      <c r="N453" s="33">
        <f>ROUNDUP(M453+(M453*Assumptions!M$5),-2)</f>
        <v>6000</v>
      </c>
      <c r="O453" s="33">
        <f>ROUNDUP(N453+(N453*Assumptions!N$5),-2)</f>
        <v>6200</v>
      </c>
      <c r="P453" s="142">
        <f>ROUNDUP(O453+(O453*Assumptions!O$5),-2)</f>
        <v>6400</v>
      </c>
      <c r="Q453" s="33">
        <f>ROUNDUP(P453+(P453*Assumptions!P$5),-2)</f>
        <v>6600</v>
      </c>
      <c r="R453" s="114">
        <f>ROUNDUP(Q453+(Q453*Assumptions!Q$5),-2)</f>
        <v>6800</v>
      </c>
    </row>
    <row r="454" spans="1:18" s="84" customFormat="1" x14ac:dyDescent="0.2">
      <c r="A454" s="107">
        <v>0</v>
      </c>
      <c r="B454" s="33">
        <v>0</v>
      </c>
      <c r="C454" s="187">
        <v>0</v>
      </c>
      <c r="D454" s="187">
        <v>0</v>
      </c>
      <c r="E454" s="343" t="s">
        <v>2325</v>
      </c>
      <c r="F454" s="814" t="s">
        <v>3330</v>
      </c>
      <c r="G454" s="189">
        <v>0</v>
      </c>
      <c r="H454" s="138">
        <f>IF(D454=G454,0,IF(D454=0,100,(G454-D454)/D454*100))</f>
        <v>0</v>
      </c>
      <c r="I454" s="33">
        <v>40000</v>
      </c>
      <c r="J454" s="33">
        <v>0</v>
      </c>
      <c r="K454" s="33">
        <v>0</v>
      </c>
      <c r="L454" s="33">
        <f>ROUNDUP(K454+(K454*Assumptions!K$5),-2)</f>
        <v>0</v>
      </c>
      <c r="M454" s="33">
        <f>ROUNDUP(L454+(L454*Assumptions!L$5),-2)</f>
        <v>0</v>
      </c>
      <c r="N454" s="33">
        <v>50000</v>
      </c>
      <c r="O454" s="33">
        <v>0</v>
      </c>
      <c r="P454" s="142">
        <f>ROUNDUP(O454+(O454*Assumptions!O$5),-2)</f>
        <v>0</v>
      </c>
      <c r="Q454" s="33">
        <f>ROUNDUP(P454+(P454*Assumptions!P$5),-2)</f>
        <v>0</v>
      </c>
      <c r="R454" s="114">
        <f>ROUNDUP(Q454+(Q454*Assumptions!Q$5),-2)</f>
        <v>0</v>
      </c>
    </row>
    <row r="455" spans="1:18" s="84" customFormat="1" x14ac:dyDescent="0.2">
      <c r="A455" s="107"/>
      <c r="B455" s="33"/>
      <c r="C455" s="189"/>
      <c r="D455" s="187"/>
      <c r="E455" s="344"/>
      <c r="F455" s="814"/>
      <c r="G455" s="189"/>
      <c r="H455" s="138"/>
      <c r="I455" s="33"/>
      <c r="J455" s="33"/>
      <c r="K455" s="33"/>
      <c r="L455" s="33"/>
      <c r="M455" s="33"/>
      <c r="N455" s="33"/>
      <c r="O455" s="33"/>
      <c r="P455" s="142"/>
      <c r="Q455" s="33"/>
      <c r="R455" s="114"/>
    </row>
    <row r="456" spans="1:18" s="84" customFormat="1" x14ac:dyDescent="0.2">
      <c r="A456" s="107"/>
      <c r="B456" s="33"/>
      <c r="C456" s="189"/>
      <c r="D456" s="187"/>
      <c r="E456" s="437"/>
      <c r="F456" s="1103" t="s">
        <v>5001</v>
      </c>
      <c r="G456" s="187"/>
      <c r="H456" s="138"/>
      <c r="I456" s="187"/>
      <c r="J456" s="33"/>
      <c r="K456" s="33"/>
      <c r="L456" s="33"/>
      <c r="M456" s="33"/>
      <c r="N456" s="33"/>
      <c r="O456" s="33"/>
      <c r="P456" s="142"/>
      <c r="Q456" s="33"/>
      <c r="R456" s="114"/>
    </row>
    <row r="457" spans="1:18" s="84" customFormat="1" x14ac:dyDescent="0.2">
      <c r="A457" s="71">
        <f>501000-20000</f>
        <v>481000</v>
      </c>
      <c r="B457" s="33">
        <v>463900</v>
      </c>
      <c r="C457" s="189">
        <v>541900</v>
      </c>
      <c r="D457" s="187">
        <v>460000</v>
      </c>
      <c r="E457" s="821" t="s">
        <v>6195</v>
      </c>
      <c r="F457" s="953" t="s">
        <v>4994</v>
      </c>
      <c r="G457" s="187">
        <f>400000-50000-50000</f>
        <v>300000</v>
      </c>
      <c r="H457" s="138">
        <f>IF(D457=G457,0,IF(D457=0,100,(G457-D457)/D457*100))</f>
        <v>-34.782608695652172</v>
      </c>
      <c r="I457" s="33">
        <f>ROUNDUP(G457+(G457*Assumptions!H$5),-2)</f>
        <v>304500</v>
      </c>
      <c r="J457" s="33">
        <f>ROUNDUP(I457+(I457*Assumptions!I$5),-2)</f>
        <v>312200</v>
      </c>
      <c r="K457" s="33">
        <f>ROUNDUP(J457+(J457*Assumptions!J$5),-2)</f>
        <v>320100</v>
      </c>
      <c r="L457" s="33">
        <f>ROUNDUP(K457+(K457*Assumptions!K$5),-2)</f>
        <v>328200</v>
      </c>
      <c r="M457" s="33">
        <f>ROUNDUP(L457+(L457*Assumptions!L$5),-2)</f>
        <v>334800</v>
      </c>
      <c r="N457" s="33">
        <f>ROUNDUP(M457+(M457*Assumptions!M$5),-2)</f>
        <v>341500</v>
      </c>
      <c r="O457" s="33">
        <f>ROUNDUP(N457+(N457*Assumptions!N$5),-2)</f>
        <v>348400</v>
      </c>
      <c r="P457" s="33">
        <f>ROUNDUP(O457+(O457*Assumptions!O$5),-2)</f>
        <v>355400</v>
      </c>
      <c r="Q457" s="33">
        <f>ROUNDUP(P457+(P457*Assumptions!P$5),-2)</f>
        <v>362600</v>
      </c>
      <c r="R457" s="114">
        <f>ROUNDUP(Q457+(Q457*Assumptions!Q$5),-2)</f>
        <v>369900</v>
      </c>
    </row>
    <row r="458" spans="1:18" s="84" customFormat="1" x14ac:dyDescent="0.2">
      <c r="A458" s="107"/>
      <c r="B458" s="33"/>
      <c r="C458" s="189"/>
      <c r="D458" s="187"/>
      <c r="E458" s="811"/>
      <c r="F458" s="953"/>
      <c r="G458" s="187"/>
      <c r="H458" s="138"/>
      <c r="I458" s="187"/>
      <c r="J458" s="33"/>
      <c r="K458" s="33"/>
      <c r="L458" s="33"/>
      <c r="M458" s="33"/>
      <c r="N458" s="33"/>
      <c r="O458" s="33"/>
      <c r="P458" s="142"/>
      <c r="Q458" s="33"/>
      <c r="R458" s="114"/>
    </row>
    <row r="459" spans="1:18" s="84" customFormat="1" x14ac:dyDescent="0.2">
      <c r="A459" s="107"/>
      <c r="B459" s="33"/>
      <c r="C459" s="189"/>
      <c r="D459" s="187"/>
      <c r="E459" s="2380"/>
      <c r="F459" s="1447" t="s">
        <v>5011</v>
      </c>
      <c r="G459" s="187"/>
      <c r="H459" s="138"/>
      <c r="I459" s="187"/>
      <c r="J459" s="33"/>
      <c r="K459" s="33"/>
      <c r="L459" s="33"/>
      <c r="M459" s="33"/>
      <c r="N459" s="33"/>
      <c r="O459" s="33"/>
      <c r="P459" s="142"/>
      <c r="Q459" s="33"/>
      <c r="R459" s="114"/>
    </row>
    <row r="460" spans="1:18" s="84" customFormat="1" x14ac:dyDescent="0.2">
      <c r="A460" s="107">
        <v>170200</v>
      </c>
      <c r="B460" s="33">
        <v>117800</v>
      </c>
      <c r="C460" s="189">
        <f>114400+22500</f>
        <v>136900</v>
      </c>
      <c r="D460" s="187">
        <v>258000</v>
      </c>
      <c r="E460" s="821" t="s">
        <v>623</v>
      </c>
      <c r="F460" s="953" t="s">
        <v>5012</v>
      </c>
      <c r="G460" s="187">
        <v>265000</v>
      </c>
      <c r="H460" s="138">
        <f>IF(D460=G460,0,IF(D460=0,100,(G460-D460)/D460*100))</f>
        <v>2.7131782945736433</v>
      </c>
      <c r="I460" s="33">
        <v>276000</v>
      </c>
      <c r="J460" s="33">
        <v>281600</v>
      </c>
      <c r="K460" s="33">
        <v>287300</v>
      </c>
      <c r="L460" s="33">
        <v>293100</v>
      </c>
      <c r="M460" s="33">
        <v>299000</v>
      </c>
      <c r="N460" s="33">
        <v>305000</v>
      </c>
      <c r="O460" s="33">
        <v>311100</v>
      </c>
      <c r="P460" s="142">
        <v>317100</v>
      </c>
      <c r="Q460" s="33">
        <v>254700</v>
      </c>
      <c r="R460" s="114">
        <v>254700</v>
      </c>
    </row>
    <row r="461" spans="1:18" s="84" customFormat="1" x14ac:dyDescent="0.2">
      <c r="A461" s="107"/>
      <c r="B461" s="33"/>
      <c r="C461" s="189"/>
      <c r="D461" s="187"/>
      <c r="E461" s="811"/>
      <c r="F461" s="953"/>
      <c r="G461" s="187"/>
      <c r="H461" s="138"/>
      <c r="I461" s="33"/>
      <c r="J461" s="33"/>
      <c r="K461" s="33"/>
      <c r="L461" s="33"/>
      <c r="M461" s="33"/>
      <c r="N461" s="33"/>
      <c r="O461" s="33"/>
      <c r="P461" s="142"/>
      <c r="Q461" s="33"/>
      <c r="R461" s="114"/>
    </row>
    <row r="462" spans="1:18" s="84" customFormat="1" x14ac:dyDescent="0.2">
      <c r="A462" s="107"/>
      <c r="B462" s="33"/>
      <c r="C462" s="189"/>
      <c r="D462" s="187"/>
      <c r="E462" s="2380"/>
      <c r="F462" s="1447" t="s">
        <v>5013</v>
      </c>
      <c r="G462" s="187"/>
      <c r="H462" s="138"/>
      <c r="I462" s="33"/>
      <c r="J462" s="33"/>
      <c r="K462" s="33"/>
      <c r="L462" s="33"/>
      <c r="M462" s="33"/>
      <c r="N462" s="33"/>
      <c r="O462" s="33"/>
      <c r="P462" s="142"/>
      <c r="Q462" s="33"/>
      <c r="R462" s="114"/>
    </row>
    <row r="463" spans="1:18" s="84" customFormat="1" x14ac:dyDescent="0.2">
      <c r="A463" s="107">
        <v>309200</v>
      </c>
      <c r="B463" s="33">
        <v>476800</v>
      </c>
      <c r="C463" s="189">
        <v>488500</v>
      </c>
      <c r="D463" s="1011">
        <v>310300</v>
      </c>
      <c r="E463" s="343" t="s">
        <v>817</v>
      </c>
      <c r="F463" s="953" t="s">
        <v>6196</v>
      </c>
      <c r="G463" s="187">
        <f>300000-50000</f>
        <v>250000</v>
      </c>
      <c r="H463" s="138">
        <f t="shared" ref="H463:H470" si="325">IF(D463=G463,0,IF(D463=0,100,(G463-D463)/D463*100))</f>
        <v>-19.432806961005479</v>
      </c>
      <c r="I463" s="33">
        <f>ROUNDUP(G463+(G463*Assumptions!H$5),-2)</f>
        <v>253800</v>
      </c>
      <c r="J463" s="33">
        <f>ROUNDUP(I463+(I463*Assumptions!I$5),-2)</f>
        <v>260200</v>
      </c>
      <c r="K463" s="33">
        <f>ROUNDUP(J463+(J463*Assumptions!J$5),-2)</f>
        <v>266800</v>
      </c>
      <c r="L463" s="33">
        <f>ROUNDUP(K463+(K463*Assumptions!K$5),-2)</f>
        <v>273500</v>
      </c>
      <c r="M463" s="33">
        <f>ROUNDUP(L463+(L463*Assumptions!L$5),-2)</f>
        <v>279000</v>
      </c>
      <c r="N463" s="33">
        <f>ROUNDUP(M463+(M463*Assumptions!M$5),-2)</f>
        <v>284600</v>
      </c>
      <c r="O463" s="33">
        <f>ROUNDUP(N463+(N463*Assumptions!N$5),-2)</f>
        <v>290300</v>
      </c>
      <c r="P463" s="33">
        <f>ROUNDUP(O463+(O463*Assumptions!O$5),-2)</f>
        <v>296200</v>
      </c>
      <c r="Q463" s="33">
        <f>ROUNDUP(P463+(P463*Assumptions!P$5),-2)</f>
        <v>302200</v>
      </c>
      <c r="R463" s="114">
        <f>ROUNDUP(Q463+(Q463*Assumptions!Q$5),-2)</f>
        <v>308300</v>
      </c>
    </row>
    <row r="464" spans="1:18" s="84" customFormat="1" x14ac:dyDescent="0.2">
      <c r="A464" s="107">
        <v>347900</v>
      </c>
      <c r="B464" s="33">
        <v>342000</v>
      </c>
      <c r="C464" s="189">
        <v>335400</v>
      </c>
      <c r="D464" s="1011">
        <v>232500</v>
      </c>
      <c r="E464" s="343" t="s">
        <v>818</v>
      </c>
      <c r="F464" s="953" t="s">
        <v>6197</v>
      </c>
      <c r="G464" s="187">
        <f>300000-50000</f>
        <v>250000</v>
      </c>
      <c r="H464" s="138">
        <f t="shared" si="325"/>
        <v>7.5268817204301079</v>
      </c>
      <c r="I464" s="33">
        <f>ROUNDUP(G464+(G464*Assumptions!H$5),-2)</f>
        <v>253800</v>
      </c>
      <c r="J464" s="33">
        <f>ROUNDUP(I464+(I464*Assumptions!I$5),-2)</f>
        <v>260200</v>
      </c>
      <c r="K464" s="33">
        <f>ROUNDUP(J464+(J464*Assumptions!J$5),-2)</f>
        <v>266800</v>
      </c>
      <c r="L464" s="33">
        <f>ROUNDUP(K464+(K464*Assumptions!K$5),-2)</f>
        <v>273500</v>
      </c>
      <c r="M464" s="33">
        <f>ROUNDUP(L464+(L464*Assumptions!L$5),-2)</f>
        <v>279000</v>
      </c>
      <c r="N464" s="33">
        <f>ROUNDUP(M464+(M464*Assumptions!M$5),-2)</f>
        <v>284600</v>
      </c>
      <c r="O464" s="33">
        <f>ROUNDUP(N464+(N464*Assumptions!N$5),-2)</f>
        <v>290300</v>
      </c>
      <c r="P464" s="33">
        <f>ROUNDUP(O464+(O464*Assumptions!O$5),-2)</f>
        <v>296200</v>
      </c>
      <c r="Q464" s="33">
        <f>ROUNDUP(P464+(P464*Assumptions!P$5),-2)</f>
        <v>302200</v>
      </c>
      <c r="R464" s="114">
        <f>ROUNDUP(Q464+(Q464*Assumptions!Q$5),-2)</f>
        <v>308300</v>
      </c>
    </row>
    <row r="465" spans="1:18" s="84" customFormat="1" x14ac:dyDescent="0.2">
      <c r="A465" s="107">
        <v>72200</v>
      </c>
      <c r="B465" s="33">
        <v>93300</v>
      </c>
      <c r="C465" s="189">
        <v>107800</v>
      </c>
      <c r="D465" s="1011">
        <v>80700</v>
      </c>
      <c r="E465" s="343" t="s">
        <v>1833</v>
      </c>
      <c r="F465" s="953" t="s">
        <v>6198</v>
      </c>
      <c r="G465" s="187">
        <v>90000</v>
      </c>
      <c r="H465" s="138">
        <f t="shared" si="325"/>
        <v>11.524163568773234</v>
      </c>
      <c r="I465" s="33">
        <f>ROUNDUP(G465+(G465*Assumptions!H$5),-2)</f>
        <v>91400</v>
      </c>
      <c r="J465" s="33">
        <f>ROUNDUP(I465+(I465*Assumptions!I$5),-2)</f>
        <v>93700</v>
      </c>
      <c r="K465" s="33">
        <f>ROUNDUP(J465+(J465*Assumptions!J$5),-2)</f>
        <v>96100</v>
      </c>
      <c r="L465" s="33">
        <f>ROUNDUP(K465+(K465*Assumptions!K$5),-2)</f>
        <v>98600</v>
      </c>
      <c r="M465" s="33">
        <f>ROUNDUP(L465+(L465*Assumptions!L$5),-2)</f>
        <v>100600</v>
      </c>
      <c r="N465" s="33">
        <f>ROUNDUP(M465+(M465*Assumptions!M$5),-2)</f>
        <v>102700</v>
      </c>
      <c r="O465" s="33">
        <f>ROUNDUP(N465+(N465*Assumptions!N$5),-2)</f>
        <v>104800</v>
      </c>
      <c r="P465" s="33">
        <f>ROUNDUP(O465+(O465*Assumptions!O$5),-2)</f>
        <v>106900</v>
      </c>
      <c r="Q465" s="33">
        <f>ROUNDUP(P465+(P465*Assumptions!P$5),-2)</f>
        <v>109100</v>
      </c>
      <c r="R465" s="114">
        <f>ROUNDUP(Q465+(Q465*Assumptions!Q$5),-2)</f>
        <v>111300</v>
      </c>
    </row>
    <row r="466" spans="1:18" s="84" customFormat="1" x14ac:dyDescent="0.2">
      <c r="A466" s="107">
        <v>25000</v>
      </c>
      <c r="B466" s="33">
        <v>20300</v>
      </c>
      <c r="C466" s="189">
        <v>15600</v>
      </c>
      <c r="D466" s="1011">
        <v>23600</v>
      </c>
      <c r="E466" s="343" t="s">
        <v>1834</v>
      </c>
      <c r="F466" s="953" t="s">
        <v>6199</v>
      </c>
      <c r="G466" s="187">
        <v>35000</v>
      </c>
      <c r="H466" s="138">
        <f t="shared" si="325"/>
        <v>48.305084745762713</v>
      </c>
      <c r="I466" s="33">
        <f>ROUNDUP(G466+(G466*Assumptions!H$5),-2)</f>
        <v>35600</v>
      </c>
      <c r="J466" s="33">
        <f>ROUNDUP(I466+(I466*Assumptions!I$5),-2)</f>
        <v>36500</v>
      </c>
      <c r="K466" s="33">
        <f>ROUNDUP(J466+(J466*Assumptions!J$5),-2)</f>
        <v>37500</v>
      </c>
      <c r="L466" s="33">
        <f>ROUNDUP(K466+(K466*Assumptions!K$5),-2)</f>
        <v>38500</v>
      </c>
      <c r="M466" s="33">
        <f>ROUNDUP(L466+(L466*Assumptions!L$5),-2)</f>
        <v>39300</v>
      </c>
      <c r="N466" s="33">
        <f>ROUNDUP(M466+(M466*Assumptions!M$5),-2)</f>
        <v>40100</v>
      </c>
      <c r="O466" s="33">
        <f>ROUNDUP(N466+(N466*Assumptions!N$5),-2)</f>
        <v>41000</v>
      </c>
      <c r="P466" s="33">
        <f>ROUNDUP(O466+(O466*Assumptions!O$5),-2)</f>
        <v>41900</v>
      </c>
      <c r="Q466" s="33">
        <f>ROUNDUP(P466+(P466*Assumptions!P$5),-2)</f>
        <v>42800</v>
      </c>
      <c r="R466" s="114">
        <f>ROUNDUP(Q466+(Q466*Assumptions!Q$5),-2)</f>
        <v>43700</v>
      </c>
    </row>
    <row r="467" spans="1:18" s="84" customFormat="1" x14ac:dyDescent="0.2">
      <c r="A467" s="107">
        <v>285000</v>
      </c>
      <c r="B467" s="33">
        <v>218700</v>
      </c>
      <c r="C467" s="189">
        <v>227600</v>
      </c>
      <c r="D467" s="1011">
        <v>232900</v>
      </c>
      <c r="E467" s="343" t="s">
        <v>1835</v>
      </c>
      <c r="F467" s="953" t="s">
        <v>6200</v>
      </c>
      <c r="G467" s="187">
        <v>325000</v>
      </c>
      <c r="H467" s="138">
        <f t="shared" si="325"/>
        <v>39.544869042507514</v>
      </c>
      <c r="I467" s="33">
        <f>ROUNDUP(G467+(G467*Assumptions!H$5),-2)</f>
        <v>329900</v>
      </c>
      <c r="J467" s="33">
        <f>ROUNDUP(I467+(I467*Assumptions!I$5),-2)</f>
        <v>338200</v>
      </c>
      <c r="K467" s="33">
        <f>ROUNDUP(J467+(J467*Assumptions!J$5),-2)</f>
        <v>346700</v>
      </c>
      <c r="L467" s="33">
        <f>ROUNDUP(K467+(K467*Assumptions!K$5),-2)</f>
        <v>355400</v>
      </c>
      <c r="M467" s="33">
        <f>ROUNDUP(L467+(L467*Assumptions!L$5),-2)</f>
        <v>362600</v>
      </c>
      <c r="N467" s="33">
        <f>ROUNDUP(M467+(M467*Assumptions!M$5),-2)</f>
        <v>369900</v>
      </c>
      <c r="O467" s="33">
        <f>ROUNDUP(N467+(N467*Assumptions!N$5),-2)</f>
        <v>377300</v>
      </c>
      <c r="P467" s="33">
        <f>ROUNDUP(O467+(O467*Assumptions!O$5),-2)</f>
        <v>384900</v>
      </c>
      <c r="Q467" s="33">
        <f>ROUNDUP(P467+(P467*Assumptions!P$5),-2)</f>
        <v>392600</v>
      </c>
      <c r="R467" s="114">
        <f>ROUNDUP(Q467+(Q467*Assumptions!Q$5),-2)</f>
        <v>400500</v>
      </c>
    </row>
    <row r="468" spans="1:18" s="84" customFormat="1" x14ac:dyDescent="0.2">
      <c r="A468" s="107">
        <v>107500</v>
      </c>
      <c r="B468" s="33">
        <v>94300</v>
      </c>
      <c r="C468" s="189">
        <v>91500</v>
      </c>
      <c r="D468" s="1011">
        <v>114700</v>
      </c>
      <c r="E468" s="343" t="s">
        <v>1836</v>
      </c>
      <c r="F468" s="953" t="s">
        <v>6201</v>
      </c>
      <c r="G468" s="187">
        <v>140000</v>
      </c>
      <c r="H468" s="138">
        <f t="shared" si="325"/>
        <v>22.057541412380122</v>
      </c>
      <c r="I468" s="33">
        <f>ROUNDUP(G468+(G468*Assumptions!H$5),-2)</f>
        <v>142100</v>
      </c>
      <c r="J468" s="33">
        <f>ROUNDUP(I468+(I468*Assumptions!I$5),-2)</f>
        <v>145700</v>
      </c>
      <c r="K468" s="33">
        <f>ROUNDUP(J468+(J468*Assumptions!J$5),-2)</f>
        <v>149400</v>
      </c>
      <c r="L468" s="33">
        <f>ROUNDUP(K468+(K468*Assumptions!K$5),-2)</f>
        <v>153200</v>
      </c>
      <c r="M468" s="33">
        <f>ROUNDUP(L468+(L468*Assumptions!L$5),-2)</f>
        <v>156300</v>
      </c>
      <c r="N468" s="33">
        <f>ROUNDUP(M468+(M468*Assumptions!M$5),-2)</f>
        <v>159500</v>
      </c>
      <c r="O468" s="33">
        <f>ROUNDUP(N468+(N468*Assumptions!N$5),-2)</f>
        <v>162700</v>
      </c>
      <c r="P468" s="33">
        <f>ROUNDUP(O468+(O468*Assumptions!O$5),-2)</f>
        <v>166000</v>
      </c>
      <c r="Q468" s="33">
        <f>ROUNDUP(P468+(P468*Assumptions!P$5),-2)</f>
        <v>169400</v>
      </c>
      <c r="R468" s="114">
        <f>ROUNDUP(Q468+(Q468*Assumptions!Q$5),-2)</f>
        <v>172800</v>
      </c>
    </row>
    <row r="469" spans="1:18" s="84" customFormat="1" x14ac:dyDescent="0.2">
      <c r="A469" s="107">
        <v>22000</v>
      </c>
      <c r="B469" s="33">
        <v>12800</v>
      </c>
      <c r="C469" s="189">
        <v>18200</v>
      </c>
      <c r="D469" s="1011">
        <v>23000</v>
      </c>
      <c r="E469" s="343" t="s">
        <v>1837</v>
      </c>
      <c r="F469" s="953" t="s">
        <v>6202</v>
      </c>
      <c r="G469" s="187">
        <v>30900</v>
      </c>
      <c r="H469" s="138">
        <f t="shared" si="325"/>
        <v>34.347826086956523</v>
      </c>
      <c r="I469" s="33">
        <f>ROUNDUP(G469+(G469*Assumptions!H$5),-2)</f>
        <v>31400</v>
      </c>
      <c r="J469" s="33">
        <f>ROUNDUP(I469+(I469*Assumptions!I$5),-2)</f>
        <v>32200</v>
      </c>
      <c r="K469" s="33">
        <f>ROUNDUP(J469+(J469*Assumptions!J$5),-2)</f>
        <v>33100</v>
      </c>
      <c r="L469" s="33">
        <f>ROUNDUP(K469+(K469*Assumptions!K$5),-2)</f>
        <v>34000</v>
      </c>
      <c r="M469" s="33">
        <f>ROUNDUP(L469+(L469*Assumptions!L$5),-2)</f>
        <v>34700</v>
      </c>
      <c r="N469" s="33">
        <f>ROUNDUP(M469+(M469*Assumptions!M$5),-2)</f>
        <v>35400</v>
      </c>
      <c r="O469" s="33">
        <f>ROUNDUP(N469+(N469*Assumptions!N$5),-2)</f>
        <v>36200</v>
      </c>
      <c r="P469" s="33">
        <f>ROUNDUP(O469+(O469*Assumptions!O$5),-2)</f>
        <v>37000</v>
      </c>
      <c r="Q469" s="33">
        <f>ROUNDUP(P469+(P469*Assumptions!P$5),-2)</f>
        <v>37800</v>
      </c>
      <c r="R469" s="114">
        <f>ROUNDUP(Q469+(Q469*Assumptions!Q$5),-2)</f>
        <v>38600</v>
      </c>
    </row>
    <row r="470" spans="1:18" s="84" customFormat="1" x14ac:dyDescent="0.2">
      <c r="A470" s="107">
        <v>24300</v>
      </c>
      <c r="B470" s="33">
        <v>17800</v>
      </c>
      <c r="C470" s="189">
        <v>20200</v>
      </c>
      <c r="D470" s="1011">
        <v>15200</v>
      </c>
      <c r="E470" s="343" t="s">
        <v>1838</v>
      </c>
      <c r="F470" s="953" t="s">
        <v>6203</v>
      </c>
      <c r="G470" s="187">
        <v>30000</v>
      </c>
      <c r="H470" s="138">
        <f t="shared" si="325"/>
        <v>97.368421052631575</v>
      </c>
      <c r="I470" s="33">
        <f>ROUNDUP(G470+(G470*Assumptions!H$5),-2)</f>
        <v>30500</v>
      </c>
      <c r="J470" s="33">
        <f>ROUNDUP(I470+(I470*Assumptions!I$5),-2)</f>
        <v>31300</v>
      </c>
      <c r="K470" s="33">
        <f>ROUNDUP(J470+(J470*Assumptions!J$5),-2)</f>
        <v>32100</v>
      </c>
      <c r="L470" s="33">
        <f>ROUNDUP(K470+(K470*Assumptions!K$5),-2)</f>
        <v>33000</v>
      </c>
      <c r="M470" s="33">
        <f>ROUNDUP(L470+(L470*Assumptions!L$5),-2)</f>
        <v>33700</v>
      </c>
      <c r="N470" s="33">
        <f>ROUNDUP(M470+(M470*Assumptions!M$5),-2)</f>
        <v>34400</v>
      </c>
      <c r="O470" s="33">
        <f>ROUNDUP(N470+(N470*Assumptions!N$5),-2)</f>
        <v>35100</v>
      </c>
      <c r="P470" s="33">
        <f>ROUNDUP(O470+(O470*Assumptions!O$5),-2)</f>
        <v>35900</v>
      </c>
      <c r="Q470" s="33">
        <f>ROUNDUP(P470+(P470*Assumptions!P$5),-2)</f>
        <v>36700</v>
      </c>
      <c r="R470" s="114">
        <f>ROUNDUP(Q470+(Q470*Assumptions!Q$5),-2)</f>
        <v>37500</v>
      </c>
    </row>
    <row r="471" spans="1:18" s="84" customFormat="1" x14ac:dyDescent="0.2">
      <c r="A471" s="107"/>
      <c r="B471" s="33"/>
      <c r="C471" s="189"/>
      <c r="D471" s="1011"/>
      <c r="E471" s="344"/>
      <c r="F471" s="528"/>
      <c r="G471" s="187"/>
      <c r="H471" s="138"/>
      <c r="I471" s="187"/>
      <c r="J471" s="187"/>
      <c r="K471" s="187"/>
      <c r="L471" s="187"/>
      <c r="M471" s="187"/>
      <c r="N471" s="187"/>
      <c r="O471" s="187"/>
      <c r="P471" s="189"/>
      <c r="Q471" s="187"/>
      <c r="R471" s="188"/>
    </row>
    <row r="472" spans="1:18" s="84" customFormat="1" x14ac:dyDescent="0.2">
      <c r="A472" s="107"/>
      <c r="B472" s="33"/>
      <c r="C472" s="189"/>
      <c r="D472" s="1011"/>
      <c r="E472" s="344"/>
      <c r="F472" s="1447" t="s">
        <v>5014</v>
      </c>
      <c r="G472" s="187"/>
      <c r="H472" s="138"/>
      <c r="I472" s="187"/>
      <c r="J472" s="33"/>
      <c r="K472" s="33"/>
      <c r="L472" s="33"/>
      <c r="M472" s="33"/>
      <c r="N472" s="33"/>
      <c r="O472" s="33"/>
      <c r="P472" s="142"/>
      <c r="Q472" s="33"/>
      <c r="R472" s="114"/>
    </row>
    <row r="473" spans="1:18" s="84" customFormat="1" x14ac:dyDescent="0.2">
      <c r="A473" s="107">
        <v>1030600</v>
      </c>
      <c r="B473" s="33">
        <v>1074700</v>
      </c>
      <c r="C473" s="189">
        <v>1077800</v>
      </c>
      <c r="D473" s="1011">
        <v>932200</v>
      </c>
      <c r="E473" s="811" t="s">
        <v>6204</v>
      </c>
      <c r="F473" s="953" t="s">
        <v>5015</v>
      </c>
      <c r="G473" s="187">
        <f>1120000-100000</f>
        <v>1020000</v>
      </c>
      <c r="H473" s="138">
        <f>IF(D473=G473,0,IF(D473=0,100,(G473-D473)/D473*100))</f>
        <v>9.4185797039261949</v>
      </c>
      <c r="I473" s="33">
        <f>ROUNDUP(G473+(G473*Assumptions!H$5),-2)</f>
        <v>1035300</v>
      </c>
      <c r="J473" s="33">
        <f>ROUNDUP(I473+(I473*Assumptions!I$5),-2)</f>
        <v>1061200</v>
      </c>
      <c r="K473" s="33">
        <f>ROUNDUP(J473+(J473*Assumptions!J$5),-2)</f>
        <v>1087800</v>
      </c>
      <c r="L473" s="33">
        <f>ROUNDUP(K473+(K473*Assumptions!K$5),-2)</f>
        <v>1115000</v>
      </c>
      <c r="M473" s="33">
        <f>ROUNDUP(L473+(L473*Assumptions!L$5),-2)</f>
        <v>1137300</v>
      </c>
      <c r="N473" s="33">
        <f>ROUNDUP(M473+(M473*Assumptions!M$5),-2)</f>
        <v>1160100</v>
      </c>
      <c r="O473" s="33">
        <f>ROUNDUP(N473+(N473*Assumptions!N$5),-2)</f>
        <v>1183400</v>
      </c>
      <c r="P473" s="33">
        <f>ROUNDUP(O473+(O473*Assumptions!O$5),-2)</f>
        <v>1207100</v>
      </c>
      <c r="Q473" s="33">
        <f>ROUNDUP(P473+(P473*Assumptions!P$5),-2)</f>
        <v>1231300</v>
      </c>
      <c r="R473" s="114">
        <f>ROUNDUP(Q473+(Q473*Assumptions!Q$5),-2)</f>
        <v>1256000</v>
      </c>
    </row>
    <row r="474" spans="1:18" s="84" customFormat="1" x14ac:dyDescent="0.2">
      <c r="A474" s="107"/>
      <c r="B474" s="33"/>
      <c r="C474" s="189"/>
      <c r="D474" s="187"/>
      <c r="E474" s="344"/>
      <c r="F474" s="953"/>
      <c r="G474" s="189"/>
      <c r="H474" s="138"/>
      <c r="I474" s="33"/>
      <c r="J474" s="33"/>
      <c r="K474" s="33"/>
      <c r="L474" s="33"/>
      <c r="M474" s="33"/>
      <c r="N474" s="33"/>
      <c r="O474" s="33"/>
      <c r="P474" s="142"/>
      <c r="Q474" s="33"/>
      <c r="R474" s="114"/>
    </row>
    <row r="475" spans="1:18" s="84" customFormat="1" x14ac:dyDescent="0.2">
      <c r="A475" s="107"/>
      <c r="B475" s="33"/>
      <c r="C475" s="189"/>
      <c r="D475" s="187"/>
      <c r="E475" s="2380"/>
      <c r="F475" s="1447" t="s">
        <v>5020</v>
      </c>
      <c r="G475" s="187"/>
      <c r="H475" s="138"/>
      <c r="I475" s="187"/>
      <c r="J475" s="33"/>
      <c r="K475" s="33"/>
      <c r="L475" s="33"/>
      <c r="M475" s="33"/>
      <c r="N475" s="33"/>
      <c r="O475" s="33"/>
      <c r="P475" s="142"/>
      <c r="Q475" s="33"/>
      <c r="R475" s="114"/>
    </row>
    <row r="476" spans="1:18" s="84" customFormat="1" x14ac:dyDescent="0.2">
      <c r="A476" s="107">
        <v>0</v>
      </c>
      <c r="B476" s="33">
        <v>0</v>
      </c>
      <c r="C476" s="189">
        <v>0</v>
      </c>
      <c r="D476" s="187">
        <v>137200</v>
      </c>
      <c r="E476" s="821" t="s">
        <v>6229</v>
      </c>
      <c r="F476" s="953" t="s">
        <v>4995</v>
      </c>
      <c r="G476" s="187">
        <v>180000</v>
      </c>
      <c r="H476" s="138">
        <f>IF(D476=G476,0,IF(D476=0,100,(G476-D476)/D476*100))</f>
        <v>31.195335276967928</v>
      </c>
      <c r="I476" s="33">
        <f>ROUNDUP(G476+(G476*Assumptions!H$5),-2)</f>
        <v>182700</v>
      </c>
      <c r="J476" s="33">
        <f>ROUNDUP(I476+(I476*Assumptions!I$5),-2)</f>
        <v>187300</v>
      </c>
      <c r="K476" s="33">
        <f>ROUNDUP(J476+(J476*Assumptions!J$5),-2)</f>
        <v>192000</v>
      </c>
      <c r="L476" s="33">
        <f>ROUNDUP(K476+(K476*Assumptions!K$5),-2)</f>
        <v>196800</v>
      </c>
      <c r="M476" s="33">
        <f>ROUNDUP(L476+(L476*Assumptions!L$5),-2)</f>
        <v>200800</v>
      </c>
      <c r="N476" s="33">
        <f>ROUNDUP(M476+(M476*Assumptions!M$5),-2)</f>
        <v>204900</v>
      </c>
      <c r="O476" s="33">
        <f>ROUNDUP(N476+(N476*Assumptions!N$5),-2)</f>
        <v>209000</v>
      </c>
      <c r="P476" s="33">
        <f>ROUNDUP(O476+(O476*Assumptions!O$5),-2)</f>
        <v>213200</v>
      </c>
      <c r="Q476" s="33">
        <f>ROUNDUP(P476+(P476*Assumptions!P$5),-2)</f>
        <v>217500</v>
      </c>
      <c r="R476" s="114">
        <f>ROUNDUP(Q476+(Q476*Assumptions!Q$5),-2)</f>
        <v>221900</v>
      </c>
    </row>
    <row r="477" spans="1:18" s="84" customFormat="1" x14ac:dyDescent="0.2">
      <c r="A477" s="107"/>
      <c r="B477" s="33"/>
      <c r="C477" s="189"/>
      <c r="D477" s="1011"/>
      <c r="E477" s="344"/>
      <c r="F477" s="953"/>
      <c r="G477" s="187"/>
      <c r="H477" s="138"/>
      <c r="I477" s="187"/>
      <c r="J477" s="33"/>
      <c r="K477" s="33"/>
      <c r="L477" s="33"/>
      <c r="M477" s="33"/>
      <c r="N477" s="33"/>
      <c r="O477" s="33"/>
      <c r="P477" s="142"/>
      <c r="Q477" s="33"/>
      <c r="R477" s="114"/>
    </row>
    <row r="478" spans="1:18" s="84" customFormat="1" x14ac:dyDescent="0.2">
      <c r="A478" s="107"/>
      <c r="B478" s="33"/>
      <c r="C478" s="33"/>
      <c r="D478" s="187"/>
      <c r="E478" s="2380"/>
      <c r="F478" s="1447" t="s">
        <v>6205</v>
      </c>
      <c r="G478" s="187"/>
      <c r="H478" s="138"/>
      <c r="I478" s="187"/>
      <c r="J478" s="33"/>
      <c r="K478" s="33"/>
      <c r="L478" s="33"/>
      <c r="M478" s="33"/>
      <c r="N478" s="33"/>
      <c r="O478" s="33"/>
      <c r="P478" s="142"/>
      <c r="Q478" s="33"/>
      <c r="R478" s="114"/>
    </row>
    <row r="479" spans="1:18" s="84" customFormat="1" x14ac:dyDescent="0.2">
      <c r="A479" s="107">
        <v>498700</v>
      </c>
      <c r="B479" s="189">
        <v>484200</v>
      </c>
      <c r="C479" s="189">
        <v>770000</v>
      </c>
      <c r="D479" s="1011">
        <v>419400</v>
      </c>
      <c r="E479" s="821" t="s">
        <v>5918</v>
      </c>
      <c r="F479" s="953" t="s">
        <v>6209</v>
      </c>
      <c r="G479" s="1011">
        <f>260000-10000</f>
        <v>250000</v>
      </c>
      <c r="H479" s="138">
        <f t="shared" ref="H479:H490" si="326">IF(D479=G479,0,IF(D479=0,100,(G479-D479)/D479*100))</f>
        <v>-40.39103481163567</v>
      </c>
      <c r="I479" s="33">
        <f>ROUNDUP(G479+(G479*Assumptions!H$5),-2)</f>
        <v>253800</v>
      </c>
      <c r="J479" s="33">
        <f>ROUNDUP(I479+(I479*Assumptions!I$5),-2)</f>
        <v>260200</v>
      </c>
      <c r="K479" s="33">
        <f>ROUNDUP(J479+(J479*Assumptions!J$5),-2)</f>
        <v>266800</v>
      </c>
      <c r="L479" s="33">
        <f>ROUNDUP(K479+(K479*Assumptions!K$5),-2)</f>
        <v>273500</v>
      </c>
      <c r="M479" s="33">
        <f>ROUNDUP(L479+(L479*Assumptions!L$5),-2)</f>
        <v>279000</v>
      </c>
      <c r="N479" s="33">
        <f>ROUNDUP(M479+(M479*Assumptions!M$5),-2)</f>
        <v>284600</v>
      </c>
      <c r="O479" s="33">
        <f>ROUNDUP(N479+(N479*Assumptions!N$5),-2)</f>
        <v>290300</v>
      </c>
      <c r="P479" s="33">
        <f>ROUNDUP(O479+(O479*Assumptions!O$5),-2)</f>
        <v>296200</v>
      </c>
      <c r="Q479" s="33">
        <f>ROUNDUP(P479+(P479*Assumptions!P$5),-2)</f>
        <v>302200</v>
      </c>
      <c r="R479" s="114">
        <f>ROUNDUP(Q479+(Q479*Assumptions!Q$5),-2)</f>
        <v>308300</v>
      </c>
    </row>
    <row r="480" spans="1:18" s="84" customFormat="1" x14ac:dyDescent="0.2">
      <c r="A480" s="107">
        <v>0</v>
      </c>
      <c r="B480" s="189">
        <v>0</v>
      </c>
      <c r="C480" s="189">
        <v>0</v>
      </c>
      <c r="D480" s="1011">
        <v>123700</v>
      </c>
      <c r="E480" s="821" t="s">
        <v>5921</v>
      </c>
      <c r="F480" s="953" t="s">
        <v>6221</v>
      </c>
      <c r="G480" s="187">
        <f>110000-5000</f>
        <v>105000</v>
      </c>
      <c r="H480" s="138">
        <f t="shared" si="326"/>
        <v>-15.117219078415523</v>
      </c>
      <c r="I480" s="33">
        <f>ROUNDUP(G480+(G480*Assumptions!H$5),-2)</f>
        <v>106600</v>
      </c>
      <c r="J480" s="33">
        <f>ROUNDUP(I480+(I480*Assumptions!I$5),-2)</f>
        <v>109300</v>
      </c>
      <c r="K480" s="33">
        <f>ROUNDUP(J480+(J480*Assumptions!J$5),-2)</f>
        <v>112100</v>
      </c>
      <c r="L480" s="33">
        <f>ROUNDUP(K480+(K480*Assumptions!K$5),-2)</f>
        <v>115000</v>
      </c>
      <c r="M480" s="33">
        <f>ROUNDUP(L480+(L480*Assumptions!L$5),-2)</f>
        <v>117300</v>
      </c>
      <c r="N480" s="33">
        <f>ROUNDUP(M480+(M480*Assumptions!M$5),-2)</f>
        <v>119700</v>
      </c>
      <c r="O480" s="33">
        <f>ROUNDUP(N480+(N480*Assumptions!N$5),-2)</f>
        <v>122100</v>
      </c>
      <c r="P480" s="33">
        <f>ROUNDUP(O480+(O480*Assumptions!O$5),-2)</f>
        <v>124600</v>
      </c>
      <c r="Q480" s="33">
        <f>ROUNDUP(P480+(P480*Assumptions!P$5),-2)</f>
        <v>127100</v>
      </c>
      <c r="R480" s="114">
        <f>ROUNDUP(Q480+(Q480*Assumptions!Q$5),-2)</f>
        <v>129700</v>
      </c>
    </row>
    <row r="481" spans="1:18" s="84" customFormat="1" x14ac:dyDescent="0.2">
      <c r="A481" s="107">
        <v>282400</v>
      </c>
      <c r="B481" s="189">
        <v>519000</v>
      </c>
      <c r="C481" s="189">
        <v>477000</v>
      </c>
      <c r="D481" s="1011">
        <v>388900</v>
      </c>
      <c r="E481" s="821" t="s">
        <v>5919</v>
      </c>
      <c r="F481" s="953" t="s">
        <v>6210</v>
      </c>
      <c r="G481" s="187">
        <v>161000</v>
      </c>
      <c r="H481" s="138">
        <f t="shared" si="326"/>
        <v>-58.601182823347905</v>
      </c>
      <c r="I481" s="33">
        <f>ROUNDUP(G481+(G481*Assumptions!H$5),-2)</f>
        <v>163500</v>
      </c>
      <c r="J481" s="33">
        <f>ROUNDUP(I481+(I481*Assumptions!I$5),-2)</f>
        <v>167600</v>
      </c>
      <c r="K481" s="33">
        <f>ROUNDUP(J481+(J481*Assumptions!J$5),-2)</f>
        <v>171800</v>
      </c>
      <c r="L481" s="33">
        <f>ROUNDUP(K481+(K481*Assumptions!K$5),-2)</f>
        <v>176100</v>
      </c>
      <c r="M481" s="33">
        <f>ROUNDUP(L481+(L481*Assumptions!L$5),-2)</f>
        <v>179700</v>
      </c>
      <c r="N481" s="33">
        <f>ROUNDUP(M481+(M481*Assumptions!M$5),-2)</f>
        <v>183300</v>
      </c>
      <c r="O481" s="33">
        <f>ROUNDUP(N481+(N481*Assumptions!N$5),-2)</f>
        <v>187000</v>
      </c>
      <c r="P481" s="33">
        <f>ROUNDUP(O481+(O481*Assumptions!O$5),-2)</f>
        <v>190800</v>
      </c>
      <c r="Q481" s="33">
        <f>ROUNDUP(P481+(P481*Assumptions!P$5),-2)</f>
        <v>194700</v>
      </c>
      <c r="R481" s="114">
        <f>ROUNDUP(Q481+(Q481*Assumptions!Q$5),-2)</f>
        <v>198600</v>
      </c>
    </row>
    <row r="482" spans="1:18" s="84" customFormat="1" x14ac:dyDescent="0.2">
      <c r="A482" s="107">
        <v>0</v>
      </c>
      <c r="B482" s="189">
        <v>0</v>
      </c>
      <c r="C482" s="189">
        <v>0</v>
      </c>
      <c r="D482" s="1011">
        <v>56400</v>
      </c>
      <c r="E482" s="821" t="s">
        <v>6217</v>
      </c>
      <c r="F482" s="953" t="s">
        <v>6218</v>
      </c>
      <c r="G482" s="187">
        <f>110000-5000</f>
        <v>105000</v>
      </c>
      <c r="H482" s="138">
        <f t="shared" si="326"/>
        <v>86.170212765957444</v>
      </c>
      <c r="I482" s="33">
        <f>ROUNDUP(G482+(G482*Assumptions!H$5),-2)</f>
        <v>106600</v>
      </c>
      <c r="J482" s="33">
        <f>ROUNDUP(I482+(I482*Assumptions!I$5),-2)</f>
        <v>109300</v>
      </c>
      <c r="K482" s="33">
        <f>ROUNDUP(J482+(J482*Assumptions!J$5),-2)</f>
        <v>112100</v>
      </c>
      <c r="L482" s="33">
        <f>ROUNDUP(K482+(K482*Assumptions!K$5),-2)</f>
        <v>115000</v>
      </c>
      <c r="M482" s="33">
        <f>ROUNDUP(L482+(L482*Assumptions!L$5),-2)</f>
        <v>117300</v>
      </c>
      <c r="N482" s="33">
        <f>ROUNDUP(M482+(M482*Assumptions!M$5),-2)</f>
        <v>119700</v>
      </c>
      <c r="O482" s="33">
        <f>ROUNDUP(N482+(N482*Assumptions!N$5),-2)</f>
        <v>122100</v>
      </c>
      <c r="P482" s="33">
        <f>ROUNDUP(O482+(O482*Assumptions!O$5),-2)</f>
        <v>124600</v>
      </c>
      <c r="Q482" s="33">
        <f>ROUNDUP(P482+(P482*Assumptions!P$5),-2)</f>
        <v>127100</v>
      </c>
      <c r="R482" s="114">
        <f>ROUNDUP(Q482+(Q482*Assumptions!Q$5),-2)</f>
        <v>129700</v>
      </c>
    </row>
    <row r="483" spans="1:18" s="84" customFormat="1" x14ac:dyDescent="0.2">
      <c r="A483" s="107">
        <v>271000</v>
      </c>
      <c r="B483" s="189">
        <f>4400+248900+41000+85300</f>
        <v>379600</v>
      </c>
      <c r="C483" s="189">
        <v>280700</v>
      </c>
      <c r="D483" s="1011">
        <v>256000</v>
      </c>
      <c r="E483" s="821" t="s">
        <v>5920</v>
      </c>
      <c r="F483" s="953" t="s">
        <v>6211</v>
      </c>
      <c r="G483" s="187">
        <v>100000</v>
      </c>
      <c r="H483" s="138">
        <f t="shared" si="326"/>
        <v>-60.9375</v>
      </c>
      <c r="I483" s="33">
        <f>ROUNDUP(G483+(G483*Assumptions!H$5),-2)</f>
        <v>101500</v>
      </c>
      <c r="J483" s="33">
        <f>ROUNDUP(I483+(I483*Assumptions!I$5),-2)</f>
        <v>104100</v>
      </c>
      <c r="K483" s="33">
        <f>ROUNDUP(J483+(J483*Assumptions!J$5),-2)</f>
        <v>106800</v>
      </c>
      <c r="L483" s="33">
        <f>ROUNDUP(K483+(K483*Assumptions!K$5),-2)</f>
        <v>109500</v>
      </c>
      <c r="M483" s="33">
        <f>ROUNDUP(L483+(L483*Assumptions!L$5),-2)</f>
        <v>111700</v>
      </c>
      <c r="N483" s="33">
        <f>ROUNDUP(M483+(M483*Assumptions!M$5),-2)</f>
        <v>114000</v>
      </c>
      <c r="O483" s="33">
        <f>ROUNDUP(N483+(N483*Assumptions!N$5),-2)</f>
        <v>116300</v>
      </c>
      <c r="P483" s="33">
        <f>ROUNDUP(O483+(O483*Assumptions!O$5),-2)</f>
        <v>118700</v>
      </c>
      <c r="Q483" s="33">
        <f>ROUNDUP(P483+(P483*Assumptions!P$5),-2)</f>
        <v>121100</v>
      </c>
      <c r="R483" s="114">
        <f>ROUNDUP(Q483+(Q483*Assumptions!Q$5),-2)</f>
        <v>123600</v>
      </c>
    </row>
    <row r="484" spans="1:18" s="84" customFormat="1" x14ac:dyDescent="0.2">
      <c r="A484" s="107">
        <v>0</v>
      </c>
      <c r="B484" s="189">
        <v>0</v>
      </c>
      <c r="C484" s="189">
        <v>0</v>
      </c>
      <c r="D484" s="1011">
        <v>35300</v>
      </c>
      <c r="E484" s="821" t="s">
        <v>6219</v>
      </c>
      <c r="F484" s="953" t="s">
        <v>6220</v>
      </c>
      <c r="G484" s="187">
        <v>40000</v>
      </c>
      <c r="H484" s="138">
        <f t="shared" si="326"/>
        <v>13.314447592067987</v>
      </c>
      <c r="I484" s="33">
        <f>ROUNDUP(G484+(G484*Assumptions!H$5),-2)</f>
        <v>40600</v>
      </c>
      <c r="J484" s="33">
        <f>ROUNDUP(I484+(I484*Assumptions!I$5),-2)</f>
        <v>41700</v>
      </c>
      <c r="K484" s="33">
        <f>ROUNDUP(J484+(J484*Assumptions!J$5),-2)</f>
        <v>42800</v>
      </c>
      <c r="L484" s="33">
        <f>ROUNDUP(K484+(K484*Assumptions!K$5),-2)</f>
        <v>43900</v>
      </c>
      <c r="M484" s="33">
        <f>ROUNDUP(L484+(L484*Assumptions!L$5),-2)</f>
        <v>44800</v>
      </c>
      <c r="N484" s="33">
        <f>ROUNDUP(M484+(M484*Assumptions!M$5),-2)</f>
        <v>45700</v>
      </c>
      <c r="O484" s="33">
        <f>ROUNDUP(N484+(N484*Assumptions!N$5),-2)</f>
        <v>46700</v>
      </c>
      <c r="P484" s="33">
        <f>ROUNDUP(O484+(O484*Assumptions!O$5),-2)</f>
        <v>47700</v>
      </c>
      <c r="Q484" s="33">
        <f>ROUNDUP(P484+(P484*Assumptions!P$5),-2)</f>
        <v>48700</v>
      </c>
      <c r="R484" s="114">
        <f>ROUNDUP(Q484+(Q484*Assumptions!Q$5),-2)</f>
        <v>49700</v>
      </c>
    </row>
    <row r="485" spans="1:18" s="84" customFormat="1" x14ac:dyDescent="0.2">
      <c r="A485" s="107">
        <v>138700</v>
      </c>
      <c r="B485" s="189">
        <f>2800+86200+18300+7800</f>
        <v>115100</v>
      </c>
      <c r="C485" s="189">
        <v>106000</v>
      </c>
      <c r="D485" s="1011">
        <v>68100</v>
      </c>
      <c r="E485" s="343" t="s">
        <v>597</v>
      </c>
      <c r="F485" s="953" t="s">
        <v>6212</v>
      </c>
      <c r="G485" s="187">
        <v>75000</v>
      </c>
      <c r="H485" s="138">
        <f t="shared" si="326"/>
        <v>10.13215859030837</v>
      </c>
      <c r="I485" s="33">
        <f>ROUNDUP(G485+(G485*Assumptions!H$5),-2)</f>
        <v>76200</v>
      </c>
      <c r="J485" s="33">
        <f>ROUNDUP(I485+(I485*Assumptions!I$5),-2)</f>
        <v>78200</v>
      </c>
      <c r="K485" s="33">
        <f>ROUNDUP(J485+(J485*Assumptions!J$5),-2)</f>
        <v>80200</v>
      </c>
      <c r="L485" s="33">
        <f>ROUNDUP(K485+(K485*Assumptions!K$5),-2)</f>
        <v>82300</v>
      </c>
      <c r="M485" s="33">
        <f>ROUNDUP(L485+(L485*Assumptions!L$5),-2)</f>
        <v>84000</v>
      </c>
      <c r="N485" s="33">
        <f>ROUNDUP(M485+(M485*Assumptions!M$5),-2)</f>
        <v>85700</v>
      </c>
      <c r="O485" s="33">
        <f>ROUNDUP(N485+(N485*Assumptions!N$5),-2)</f>
        <v>87500</v>
      </c>
      <c r="P485" s="33">
        <f>ROUNDUP(O485+(O485*Assumptions!O$5),-2)</f>
        <v>89300</v>
      </c>
      <c r="Q485" s="33">
        <f>ROUNDUP(P485+(P485*Assumptions!P$5),-2)</f>
        <v>91100</v>
      </c>
      <c r="R485" s="114">
        <f>ROUNDUP(Q485+(Q485*Assumptions!Q$5),-2)</f>
        <v>93000</v>
      </c>
    </row>
    <row r="486" spans="1:18" s="84" customFormat="1" x14ac:dyDescent="0.2">
      <c r="A486" s="107">
        <v>0</v>
      </c>
      <c r="B486" s="189">
        <v>0</v>
      </c>
      <c r="C486" s="189">
        <v>0</v>
      </c>
      <c r="D486" s="1011">
        <v>16300</v>
      </c>
      <c r="E486" s="821" t="s">
        <v>6222</v>
      </c>
      <c r="F486" s="953" t="s">
        <v>6223</v>
      </c>
      <c r="G486" s="187">
        <v>20000</v>
      </c>
      <c r="H486" s="138">
        <f t="shared" si="326"/>
        <v>22.699386503067483</v>
      </c>
      <c r="I486" s="33">
        <f>ROUNDUP(G486+(G486*Assumptions!H$5),-2)</f>
        <v>20300</v>
      </c>
      <c r="J486" s="33">
        <f>ROUNDUP(I486+(I486*Assumptions!I$5),-2)</f>
        <v>20900</v>
      </c>
      <c r="K486" s="33">
        <f>ROUNDUP(J486+(J486*Assumptions!J$5),-2)</f>
        <v>21500</v>
      </c>
      <c r="L486" s="33">
        <f>ROUNDUP(K486+(K486*Assumptions!K$5),-2)</f>
        <v>22100</v>
      </c>
      <c r="M486" s="33">
        <f>ROUNDUP(L486+(L486*Assumptions!L$5),-2)</f>
        <v>22600</v>
      </c>
      <c r="N486" s="33">
        <f>ROUNDUP(M486+(M486*Assumptions!M$5),-2)</f>
        <v>23100</v>
      </c>
      <c r="O486" s="33">
        <f>ROUNDUP(N486+(N486*Assumptions!N$5),-2)</f>
        <v>23600</v>
      </c>
      <c r="P486" s="33">
        <f>ROUNDUP(O486+(O486*Assumptions!O$5),-2)</f>
        <v>24100</v>
      </c>
      <c r="Q486" s="33">
        <f>ROUNDUP(P486+(P486*Assumptions!P$5),-2)</f>
        <v>24600</v>
      </c>
      <c r="R486" s="114">
        <f>ROUNDUP(Q486+(Q486*Assumptions!Q$5),-2)</f>
        <v>25100</v>
      </c>
    </row>
    <row r="487" spans="1:18" s="84" customFormat="1" x14ac:dyDescent="0.2">
      <c r="A487" s="107">
        <v>0</v>
      </c>
      <c r="B487" s="189">
        <v>0</v>
      </c>
      <c r="C487" s="189">
        <v>0</v>
      </c>
      <c r="D487" s="2504">
        <v>0</v>
      </c>
      <c r="E487" s="811" t="s">
        <v>6433</v>
      </c>
      <c r="F487" s="953" t="s">
        <v>6213</v>
      </c>
      <c r="G487" s="187">
        <f>200000-30000-30000</f>
        <v>140000</v>
      </c>
      <c r="H487" s="138">
        <f t="shared" si="326"/>
        <v>100</v>
      </c>
      <c r="I487" s="33">
        <f>ROUNDUP(G487+(G487*Assumptions!H$5),-2)</f>
        <v>142100</v>
      </c>
      <c r="J487" s="33">
        <f>ROUNDUP(I487+(I487*Assumptions!I$5),-2)</f>
        <v>145700</v>
      </c>
      <c r="K487" s="33">
        <f>ROUNDUP(J487+(J487*Assumptions!J$5),-2)</f>
        <v>149400</v>
      </c>
      <c r="L487" s="33">
        <f>ROUNDUP(K487+(K487*Assumptions!K$5),-2)</f>
        <v>153200</v>
      </c>
      <c r="M487" s="33">
        <f>ROUNDUP(L487+(L487*Assumptions!L$5),-2)</f>
        <v>156300</v>
      </c>
      <c r="N487" s="33">
        <f>ROUNDUP(M487+(M487*Assumptions!M$5),-2)</f>
        <v>159500</v>
      </c>
      <c r="O487" s="33">
        <f>ROUNDUP(N487+(N487*Assumptions!N$5),-2)</f>
        <v>162700</v>
      </c>
      <c r="P487" s="33">
        <f>ROUNDUP(O487+(O487*Assumptions!O$5),-2)</f>
        <v>166000</v>
      </c>
      <c r="Q487" s="33">
        <f>ROUNDUP(P487+(P487*Assumptions!P$5),-2)</f>
        <v>169400</v>
      </c>
      <c r="R487" s="114">
        <f>ROUNDUP(Q487+(Q487*Assumptions!Q$5),-2)</f>
        <v>172800</v>
      </c>
    </row>
    <row r="488" spans="1:18" s="84" customFormat="1" x14ac:dyDescent="0.2">
      <c r="A488" s="107">
        <v>0</v>
      </c>
      <c r="B488" s="189">
        <v>0</v>
      </c>
      <c r="C488" s="189">
        <v>0</v>
      </c>
      <c r="D488" s="2504">
        <v>0</v>
      </c>
      <c r="E488" s="811" t="s">
        <v>6434</v>
      </c>
      <c r="F488" s="953" t="s">
        <v>6214</v>
      </c>
      <c r="G488" s="187">
        <f>220000-35000-50000</f>
        <v>135000</v>
      </c>
      <c r="H488" s="138">
        <f t="shared" si="326"/>
        <v>100</v>
      </c>
      <c r="I488" s="33">
        <f>ROUNDUP(G488+(G488*Assumptions!H$5),-2)</f>
        <v>137100</v>
      </c>
      <c r="J488" s="33">
        <f>ROUNDUP(I488+(I488*Assumptions!I$5),-2)</f>
        <v>140600</v>
      </c>
      <c r="K488" s="33">
        <f>ROUNDUP(J488+(J488*Assumptions!J$5),-2)</f>
        <v>144200</v>
      </c>
      <c r="L488" s="33">
        <f>ROUNDUP(K488+(K488*Assumptions!K$5),-2)</f>
        <v>147900</v>
      </c>
      <c r="M488" s="33">
        <f>ROUNDUP(L488+(L488*Assumptions!L$5),-2)</f>
        <v>150900</v>
      </c>
      <c r="N488" s="33">
        <f>ROUNDUP(M488+(M488*Assumptions!M$5),-2)</f>
        <v>154000</v>
      </c>
      <c r="O488" s="33">
        <f>ROUNDUP(N488+(N488*Assumptions!N$5),-2)</f>
        <v>157100</v>
      </c>
      <c r="P488" s="33">
        <f>ROUNDUP(O488+(O488*Assumptions!O$5),-2)</f>
        <v>160300</v>
      </c>
      <c r="Q488" s="33">
        <f>ROUNDUP(P488+(P488*Assumptions!P$5),-2)</f>
        <v>163600</v>
      </c>
      <c r="R488" s="114">
        <f>ROUNDUP(Q488+(Q488*Assumptions!Q$5),-2)</f>
        <v>166900</v>
      </c>
    </row>
    <row r="489" spans="1:18" s="84" customFormat="1" x14ac:dyDescent="0.2">
      <c r="A489" s="107">
        <v>0</v>
      </c>
      <c r="B489" s="189">
        <v>0</v>
      </c>
      <c r="C489" s="189">
        <v>0</v>
      </c>
      <c r="D489" s="2504">
        <v>0</v>
      </c>
      <c r="E489" s="811" t="s">
        <v>6435</v>
      </c>
      <c r="F489" s="953" t="s">
        <v>6215</v>
      </c>
      <c r="G489" s="187">
        <v>90000</v>
      </c>
      <c r="H489" s="138">
        <f t="shared" si="326"/>
        <v>100</v>
      </c>
      <c r="I489" s="33">
        <f>ROUNDUP(G489+(G489*Assumptions!H$5),-2)</f>
        <v>91400</v>
      </c>
      <c r="J489" s="33">
        <f>ROUNDUP(I489+(I489*Assumptions!I$5),-2)</f>
        <v>93700</v>
      </c>
      <c r="K489" s="33">
        <f>ROUNDUP(J489+(J489*Assumptions!J$5),-2)</f>
        <v>96100</v>
      </c>
      <c r="L489" s="33">
        <f>ROUNDUP(K489+(K489*Assumptions!K$5),-2)</f>
        <v>98600</v>
      </c>
      <c r="M489" s="33">
        <f>ROUNDUP(L489+(L489*Assumptions!L$5),-2)</f>
        <v>100600</v>
      </c>
      <c r="N489" s="33">
        <f>ROUNDUP(M489+(M489*Assumptions!M$5),-2)</f>
        <v>102700</v>
      </c>
      <c r="O489" s="33">
        <f>ROUNDUP(N489+(N489*Assumptions!N$5),-2)</f>
        <v>104800</v>
      </c>
      <c r="P489" s="33">
        <f>ROUNDUP(O489+(O489*Assumptions!O$5),-2)</f>
        <v>106900</v>
      </c>
      <c r="Q489" s="33">
        <f>ROUNDUP(P489+(P489*Assumptions!P$5),-2)</f>
        <v>109100</v>
      </c>
      <c r="R489" s="114">
        <f>ROUNDUP(Q489+(Q489*Assumptions!Q$5),-2)</f>
        <v>111300</v>
      </c>
    </row>
    <row r="490" spans="1:18" s="84" customFormat="1" x14ac:dyDescent="0.2">
      <c r="A490" s="107">
        <v>0</v>
      </c>
      <c r="B490" s="189">
        <v>0</v>
      </c>
      <c r="C490" s="189">
        <v>0</v>
      </c>
      <c r="D490" s="2504">
        <v>0</v>
      </c>
      <c r="E490" s="811" t="s">
        <v>6436</v>
      </c>
      <c r="F490" s="953" t="s">
        <v>6216</v>
      </c>
      <c r="G490" s="187">
        <v>5000</v>
      </c>
      <c r="H490" s="138">
        <f t="shared" si="326"/>
        <v>100</v>
      </c>
      <c r="I490" s="33">
        <f>ROUNDUP(G490+(G490*Assumptions!H$5),-2)</f>
        <v>5100</v>
      </c>
      <c r="J490" s="33">
        <f>ROUNDUP(I490+(I490*Assumptions!I$5),-2)</f>
        <v>5300</v>
      </c>
      <c r="K490" s="33">
        <f>ROUNDUP(J490+(J490*Assumptions!J$5),-2)</f>
        <v>5500</v>
      </c>
      <c r="L490" s="33">
        <f>ROUNDUP(K490+(K490*Assumptions!K$5),-2)</f>
        <v>5700</v>
      </c>
      <c r="M490" s="33">
        <f>ROUNDUP(L490+(L490*Assumptions!L$5),-2)</f>
        <v>5900</v>
      </c>
      <c r="N490" s="33">
        <f>ROUNDUP(M490+(M490*Assumptions!M$5),-2)</f>
        <v>6100</v>
      </c>
      <c r="O490" s="33">
        <f>ROUNDUP(N490+(N490*Assumptions!N$5),-2)</f>
        <v>6300</v>
      </c>
      <c r="P490" s="33">
        <f>ROUNDUP(O490+(O490*Assumptions!O$5),-2)</f>
        <v>6500</v>
      </c>
      <c r="Q490" s="33">
        <f>ROUNDUP(P490+(P490*Assumptions!P$5),-2)</f>
        <v>6700</v>
      </c>
      <c r="R490" s="114">
        <f>ROUNDUP(Q490+(Q490*Assumptions!Q$5),-2)</f>
        <v>6900</v>
      </c>
    </row>
    <row r="491" spans="1:18" s="84" customFormat="1" x14ac:dyDescent="0.2">
      <c r="A491" s="107"/>
      <c r="B491" s="33"/>
      <c r="C491" s="189"/>
      <c r="D491" s="2504"/>
      <c r="E491" s="344"/>
      <c r="F491" s="953"/>
      <c r="G491" s="187"/>
      <c r="H491" s="138"/>
      <c r="I491" s="187"/>
      <c r="J491" s="33"/>
      <c r="K491" s="33"/>
      <c r="L491" s="33"/>
      <c r="M491" s="33"/>
      <c r="N491" s="33"/>
      <c r="O491" s="33"/>
      <c r="P491" s="142"/>
      <c r="Q491" s="33"/>
      <c r="R491" s="114"/>
    </row>
    <row r="492" spans="1:18" s="84" customFormat="1" x14ac:dyDescent="0.2">
      <c r="A492" s="107"/>
      <c r="B492" s="33"/>
      <c r="C492" s="33"/>
      <c r="D492" s="76"/>
      <c r="E492" s="1955"/>
      <c r="F492" s="718" t="s">
        <v>1031</v>
      </c>
      <c r="G492" s="33"/>
      <c r="H492" s="138"/>
      <c r="I492" s="33"/>
      <c r="J492" s="33"/>
      <c r="K492" s="33"/>
      <c r="L492" s="33"/>
      <c r="M492" s="33"/>
      <c r="N492" s="33"/>
      <c r="O492" s="33"/>
      <c r="P492" s="142"/>
      <c r="Q492" s="33"/>
      <c r="R492" s="114"/>
    </row>
    <row r="493" spans="1:18" s="84" customFormat="1" ht="13.5" thickBot="1" x14ac:dyDescent="0.25">
      <c r="A493" s="171"/>
      <c r="B493" s="66"/>
      <c r="C493" s="66"/>
      <c r="D493" s="330"/>
      <c r="E493" s="1976"/>
      <c r="F493" s="719"/>
      <c r="G493" s="66"/>
      <c r="H493" s="140"/>
      <c r="I493" s="66"/>
      <c r="J493" s="66"/>
      <c r="K493" s="66"/>
      <c r="L493" s="66"/>
      <c r="M493" s="66"/>
      <c r="N493" s="66"/>
      <c r="O493" s="66"/>
      <c r="P493" s="166"/>
      <c r="Q493" s="66"/>
      <c r="R493" s="165"/>
    </row>
    <row r="494" spans="1:18" s="91" customFormat="1" ht="18.75" customHeight="1" thickTop="1" thickBot="1" x14ac:dyDescent="0.3">
      <c r="A494" s="2862" t="s">
        <v>4861</v>
      </c>
      <c r="B494" s="2863"/>
      <c r="C494" s="2863"/>
      <c r="D494" s="2863"/>
      <c r="E494" s="2863"/>
      <c r="F494" s="2863"/>
      <c r="G494" s="2863"/>
      <c r="H494" s="2863"/>
      <c r="I494" s="2863"/>
      <c r="J494" s="2863"/>
      <c r="K494" s="2863"/>
      <c r="L494" s="2863"/>
      <c r="M494" s="2863"/>
      <c r="N494" s="2863"/>
      <c r="O494" s="2863"/>
      <c r="P494" s="2863"/>
      <c r="Q494" s="2863"/>
      <c r="R494" s="2864"/>
    </row>
    <row r="495" spans="1:18" s="44" customFormat="1" x14ac:dyDescent="0.2">
      <c r="A495" s="2848" t="s">
        <v>1856</v>
      </c>
      <c r="B495" s="2846"/>
      <c r="C495" s="2846"/>
      <c r="D495" s="2847"/>
      <c r="E495" s="1997" t="s">
        <v>2663</v>
      </c>
      <c r="F495" s="2649" t="s">
        <v>2251</v>
      </c>
      <c r="G495" s="2885" t="s">
        <v>2253</v>
      </c>
      <c r="H495" s="2886"/>
      <c r="I495" s="2886"/>
      <c r="J495" s="2886"/>
      <c r="K495" s="2886"/>
      <c r="L495" s="2886"/>
      <c r="M495" s="2886"/>
      <c r="N495" s="2886"/>
      <c r="O495" s="2886"/>
      <c r="P495" s="2886"/>
      <c r="Q495" s="2886"/>
      <c r="R495" s="2887"/>
    </row>
    <row r="496" spans="1:18" s="23" customFormat="1" ht="13.5" customHeight="1" thickBot="1" x14ac:dyDescent="0.25">
      <c r="A496" s="208" t="str">
        <f>A3</f>
        <v>2012/13</v>
      </c>
      <c r="B496" s="218" t="str">
        <f>B3</f>
        <v>2013/14</v>
      </c>
      <c r="C496" s="370" t="str">
        <f>C3</f>
        <v>2014/15</v>
      </c>
      <c r="D496" s="93" t="str">
        <f>D3</f>
        <v>2015/16</v>
      </c>
      <c r="E496" s="370" t="s">
        <v>2664</v>
      </c>
      <c r="F496" s="42"/>
      <c r="G496" s="93" t="str">
        <f t="shared" ref="G496:Q496" si="327">G3</f>
        <v>2016/17</v>
      </c>
      <c r="H496" s="2005" t="str">
        <f t="shared" si="327"/>
        <v>%</v>
      </c>
      <c r="I496" s="370" t="str">
        <f t="shared" si="327"/>
        <v>2017/18</v>
      </c>
      <c r="J496" s="370" t="str">
        <f t="shared" si="327"/>
        <v>2018/19</v>
      </c>
      <c r="K496" s="370" t="str">
        <f t="shared" si="327"/>
        <v>2019/20</v>
      </c>
      <c r="L496" s="370" t="str">
        <f t="shared" si="327"/>
        <v>2020/21</v>
      </c>
      <c r="M496" s="370" t="str">
        <f t="shared" si="327"/>
        <v>2021/22</v>
      </c>
      <c r="N496" s="370" t="str">
        <f t="shared" si="327"/>
        <v>2022/23</v>
      </c>
      <c r="O496" s="370" t="str">
        <f t="shared" si="327"/>
        <v>2023/24</v>
      </c>
      <c r="P496" s="381" t="str">
        <f t="shared" si="327"/>
        <v>2024/25</v>
      </c>
      <c r="Q496" s="218" t="str">
        <f t="shared" si="327"/>
        <v>2025/26</v>
      </c>
      <c r="R496" s="549" t="str">
        <f t="shared" ref="R496" si="328">R3</f>
        <v>2026/27</v>
      </c>
    </row>
    <row r="497" spans="1:18" s="23" customFormat="1" ht="13.5" customHeight="1" x14ac:dyDescent="0.2">
      <c r="A497" s="268"/>
      <c r="B497" s="529"/>
      <c r="C497" s="529"/>
      <c r="D497" s="204"/>
      <c r="E497" s="531"/>
      <c r="F497" s="22"/>
      <c r="G497" s="204"/>
      <c r="H497" s="1702"/>
      <c r="I497" s="529"/>
      <c r="J497" s="529"/>
      <c r="K497" s="529"/>
      <c r="L497" s="529"/>
      <c r="M497" s="529"/>
      <c r="N497" s="529"/>
      <c r="O497" s="529"/>
      <c r="P497" s="531"/>
      <c r="Q497" s="529"/>
      <c r="R497" s="530"/>
    </row>
    <row r="498" spans="1:18" s="84" customFormat="1" x14ac:dyDescent="0.2">
      <c r="A498" s="107"/>
      <c r="B498" s="33"/>
      <c r="C498" s="33"/>
      <c r="D498" s="33"/>
      <c r="E498" s="1955"/>
      <c r="F498" s="365" t="s">
        <v>1832</v>
      </c>
      <c r="G498" s="33"/>
      <c r="H498" s="138"/>
      <c r="I498" s="33"/>
      <c r="J498" s="33"/>
      <c r="K498" s="33"/>
      <c r="L498" s="33"/>
      <c r="M498" s="33"/>
      <c r="N498" s="33"/>
      <c r="O498" s="33"/>
      <c r="P498" s="142"/>
      <c r="Q498" s="33"/>
      <c r="R498" s="114"/>
    </row>
    <row r="499" spans="1:18" s="84" customFormat="1" x14ac:dyDescent="0.2">
      <c r="A499" s="107"/>
      <c r="B499" s="189"/>
      <c r="C499" s="189"/>
      <c r="D499" s="1011"/>
      <c r="E499" s="344"/>
      <c r="F499" s="814"/>
      <c r="G499" s="187"/>
      <c r="H499" s="138"/>
      <c r="I499" s="187"/>
      <c r="J499" s="33"/>
      <c r="K499" s="33"/>
      <c r="L499" s="33"/>
      <c r="M499" s="33"/>
      <c r="N499" s="33"/>
      <c r="O499" s="33"/>
      <c r="P499" s="142"/>
      <c r="Q499" s="33"/>
      <c r="R499" s="114"/>
    </row>
    <row r="500" spans="1:18" s="84" customFormat="1" x14ac:dyDescent="0.2">
      <c r="A500" s="107"/>
      <c r="B500" s="33"/>
      <c r="C500" s="33"/>
      <c r="D500" s="187"/>
      <c r="E500" s="1044"/>
      <c r="F500" s="1447" t="s">
        <v>5017</v>
      </c>
      <c r="G500" s="187"/>
      <c r="H500" s="138"/>
      <c r="I500" s="187"/>
      <c r="J500" s="33"/>
      <c r="K500" s="33"/>
      <c r="L500" s="33"/>
      <c r="M500" s="33"/>
      <c r="N500" s="33"/>
      <c r="O500" s="33"/>
      <c r="P500" s="142"/>
      <c r="Q500" s="33"/>
      <c r="R500" s="114"/>
    </row>
    <row r="501" spans="1:18" s="84" customFormat="1" x14ac:dyDescent="0.2">
      <c r="A501" s="107">
        <v>186600</v>
      </c>
      <c r="B501" s="189">
        <v>198300</v>
      </c>
      <c r="C501" s="189">
        <v>138100</v>
      </c>
      <c r="D501" s="1011">
        <v>98500</v>
      </c>
      <c r="E501" s="811" t="s">
        <v>6225</v>
      </c>
      <c r="F501" s="953" t="s">
        <v>6224</v>
      </c>
      <c r="G501" s="187">
        <v>90000</v>
      </c>
      <c r="H501" s="138">
        <f>IF(D501=G501,0,IF(D501=0,100,(G501-D501)/D501*100))</f>
        <v>-8.6294416243654819</v>
      </c>
      <c r="I501" s="33">
        <f>ROUNDUP(G501+(G501*Assumptions!H$5),-2)</f>
        <v>91400</v>
      </c>
      <c r="J501" s="33">
        <f>ROUNDUP(I501+(I501*Assumptions!I$5),-2)</f>
        <v>93700</v>
      </c>
      <c r="K501" s="33">
        <f>ROUNDUP(J501+(J501*Assumptions!J$5),-2)</f>
        <v>96100</v>
      </c>
      <c r="L501" s="33">
        <f>ROUNDUP(K501+(K501*Assumptions!K$5),-2)</f>
        <v>98600</v>
      </c>
      <c r="M501" s="33">
        <f>ROUNDUP(L501+(L501*Assumptions!L$5),-2)</f>
        <v>100600</v>
      </c>
      <c r="N501" s="33">
        <f>ROUNDUP(M501+(M501*Assumptions!M$5),-2)</f>
        <v>102700</v>
      </c>
      <c r="O501" s="33">
        <f>ROUNDUP(N501+(N501*Assumptions!N$5),-2)</f>
        <v>104800</v>
      </c>
      <c r="P501" s="33">
        <f>ROUNDUP(O501+(O501*Assumptions!O$5),-2)</f>
        <v>106900</v>
      </c>
      <c r="Q501" s="33">
        <f>ROUNDUP(P501+(P501*Assumptions!P$5),-2)</f>
        <v>109100</v>
      </c>
      <c r="R501" s="114">
        <f>ROUNDUP(Q501+(Q501*Assumptions!Q$5),-2)</f>
        <v>111300</v>
      </c>
    </row>
    <row r="502" spans="1:18" s="84" customFormat="1" x14ac:dyDescent="0.2">
      <c r="A502" s="107"/>
      <c r="B502" s="189"/>
      <c r="C502" s="189"/>
      <c r="D502" s="1011"/>
      <c r="E502" s="344"/>
      <c r="F502" s="528"/>
      <c r="G502" s="187"/>
      <c r="H502" s="138"/>
      <c r="I502" s="187"/>
      <c r="J502" s="33"/>
      <c r="K502" s="33"/>
      <c r="L502" s="33"/>
      <c r="M502" s="33"/>
      <c r="N502" s="33"/>
      <c r="O502" s="33"/>
      <c r="P502" s="142"/>
      <c r="Q502" s="33"/>
      <c r="R502" s="114"/>
    </row>
    <row r="503" spans="1:18" s="84" customFormat="1" x14ac:dyDescent="0.2">
      <c r="A503" s="107"/>
      <c r="B503" s="189"/>
      <c r="C503" s="189"/>
      <c r="D503" s="1011"/>
      <c r="E503" s="344"/>
      <c r="F503" s="1447" t="s">
        <v>5018</v>
      </c>
      <c r="G503" s="187"/>
      <c r="H503" s="138"/>
      <c r="I503" s="187"/>
      <c r="J503" s="33"/>
      <c r="K503" s="33"/>
      <c r="L503" s="33"/>
      <c r="M503" s="33"/>
      <c r="N503" s="33"/>
      <c r="O503" s="33"/>
      <c r="P503" s="142"/>
      <c r="Q503" s="33"/>
      <c r="R503" s="114"/>
    </row>
    <row r="504" spans="1:18" s="84" customFormat="1" x14ac:dyDescent="0.2">
      <c r="A504" s="107">
        <v>359600</v>
      </c>
      <c r="B504" s="189">
        <v>258900</v>
      </c>
      <c r="C504" s="189">
        <v>424700</v>
      </c>
      <c r="D504" s="1011">
        <v>468300</v>
      </c>
      <c r="E504" s="344" t="s">
        <v>1002</v>
      </c>
      <c r="F504" s="953" t="s">
        <v>6196</v>
      </c>
      <c r="G504" s="187">
        <f>413000+50000</f>
        <v>463000</v>
      </c>
      <c r="H504" s="138">
        <f>IF(D504=G504,0,IF(D504=0,100,(G504-D504)/D504*100))</f>
        <v>-1.1317531496903694</v>
      </c>
      <c r="I504" s="33">
        <f>ROUNDUP(G504+(G504*Assumptions!H$5),-2)</f>
        <v>470000</v>
      </c>
      <c r="J504" s="33">
        <f>ROUNDUP(I504+(I504*Assumptions!I$5),-2)</f>
        <v>481800</v>
      </c>
      <c r="K504" s="33">
        <f>ROUNDUP(J504+(J504*Assumptions!J$5),-2)</f>
        <v>493900</v>
      </c>
      <c r="L504" s="33">
        <f>ROUNDUP(K504+(K504*Assumptions!K$5),-2)</f>
        <v>506300</v>
      </c>
      <c r="M504" s="33">
        <f>ROUNDUP(L504+(L504*Assumptions!L$5),-2)</f>
        <v>516500</v>
      </c>
      <c r="N504" s="33">
        <f>ROUNDUP(M504+(M504*Assumptions!M$5),-2)</f>
        <v>526900</v>
      </c>
      <c r="O504" s="33">
        <f>ROUNDUP(N504+(N504*Assumptions!N$5),-2)</f>
        <v>537500</v>
      </c>
      <c r="P504" s="33">
        <f>ROUNDUP(O504+(O504*Assumptions!O$5),-2)</f>
        <v>548300</v>
      </c>
      <c r="Q504" s="33">
        <f>ROUNDUP(P504+(P504*Assumptions!P$5),-2)</f>
        <v>559300</v>
      </c>
      <c r="R504" s="114">
        <f>ROUNDUP(Q504+(Q504*Assumptions!Q$5),-2)</f>
        <v>570500</v>
      </c>
    </row>
    <row r="505" spans="1:18" s="84" customFormat="1" x14ac:dyDescent="0.2">
      <c r="A505" s="107">
        <v>0</v>
      </c>
      <c r="B505" s="189">
        <v>0</v>
      </c>
      <c r="C505" s="189">
        <v>0</v>
      </c>
      <c r="D505" s="1011">
        <f>285000+77000</f>
        <v>362000</v>
      </c>
      <c r="E505" s="821" t="s">
        <v>5323</v>
      </c>
      <c r="F505" s="953" t="s">
        <v>6226</v>
      </c>
      <c r="G505" s="187">
        <f>275000+50000</f>
        <v>325000</v>
      </c>
      <c r="H505" s="138">
        <f>IF(D505=G505,0,IF(D505=0,100,(G505-D505)/D505*100))</f>
        <v>-10.220994475138122</v>
      </c>
      <c r="I505" s="33">
        <f>ROUNDUP(G505+(G505*Assumptions!H$5),-2)</f>
        <v>329900</v>
      </c>
      <c r="J505" s="33">
        <f>ROUNDUP(I505+(I505*Assumptions!I$5),-2)</f>
        <v>338200</v>
      </c>
      <c r="K505" s="33">
        <f>ROUNDUP(J505+(J505*Assumptions!J$5),-2)</f>
        <v>346700</v>
      </c>
      <c r="L505" s="33">
        <f>ROUNDUP(K505+(K505*Assumptions!K$5),-2)</f>
        <v>355400</v>
      </c>
      <c r="M505" s="33">
        <f>ROUNDUP(L505+(L505*Assumptions!L$5),-2)</f>
        <v>362600</v>
      </c>
      <c r="N505" s="33">
        <f>ROUNDUP(M505+(M505*Assumptions!M$5),-2)</f>
        <v>369900</v>
      </c>
      <c r="O505" s="33">
        <f>ROUNDUP(N505+(N505*Assumptions!N$5),-2)</f>
        <v>377300</v>
      </c>
      <c r="P505" s="33">
        <f>ROUNDUP(O505+(O505*Assumptions!O$5),-2)</f>
        <v>384900</v>
      </c>
      <c r="Q505" s="33">
        <f>ROUNDUP(P505+(P505*Assumptions!P$5),-2)</f>
        <v>392600</v>
      </c>
      <c r="R505" s="114">
        <f>ROUNDUP(Q505+(Q505*Assumptions!Q$5),-2)</f>
        <v>400500</v>
      </c>
    </row>
    <row r="506" spans="1:18" s="84" customFormat="1" x14ac:dyDescent="0.2">
      <c r="A506" s="107">
        <v>0</v>
      </c>
      <c r="B506" s="189">
        <v>0</v>
      </c>
      <c r="C506" s="189">
        <v>0</v>
      </c>
      <c r="D506" s="1011">
        <f>75000+41000+38000</f>
        <v>154000</v>
      </c>
      <c r="E506" s="821" t="s">
        <v>5324</v>
      </c>
      <c r="F506" s="953" t="s">
        <v>6198</v>
      </c>
      <c r="G506" s="187">
        <v>146000</v>
      </c>
      <c r="H506" s="138">
        <f>IF(D506=G506,0,IF(D506=0,100,(G506-D506)/D506*100))</f>
        <v>-5.1948051948051948</v>
      </c>
      <c r="I506" s="33">
        <f>ROUNDUP(G506+(G506*Assumptions!H$5),-2)</f>
        <v>148200</v>
      </c>
      <c r="J506" s="33">
        <f>ROUNDUP(I506+(I506*Assumptions!I$5),-2)</f>
        <v>152000</v>
      </c>
      <c r="K506" s="33">
        <f>ROUNDUP(J506+(J506*Assumptions!J$5),-2)</f>
        <v>155800</v>
      </c>
      <c r="L506" s="33">
        <f>ROUNDUP(K506+(K506*Assumptions!K$5),-2)</f>
        <v>159700</v>
      </c>
      <c r="M506" s="33">
        <f>ROUNDUP(L506+(L506*Assumptions!L$5),-2)</f>
        <v>162900</v>
      </c>
      <c r="N506" s="33">
        <f>ROUNDUP(M506+(M506*Assumptions!M$5),-2)</f>
        <v>166200</v>
      </c>
      <c r="O506" s="33">
        <f>ROUNDUP(N506+(N506*Assumptions!N$5),-2)</f>
        <v>169600</v>
      </c>
      <c r="P506" s="33">
        <f>ROUNDUP(O506+(O506*Assumptions!O$5),-2)</f>
        <v>173000</v>
      </c>
      <c r="Q506" s="33">
        <f>ROUNDUP(P506+(P506*Assumptions!P$5),-2)</f>
        <v>176500</v>
      </c>
      <c r="R506" s="114">
        <f>ROUNDUP(Q506+(Q506*Assumptions!Q$5),-2)</f>
        <v>180100</v>
      </c>
    </row>
    <row r="507" spans="1:18" s="84" customFormat="1" x14ac:dyDescent="0.2">
      <c r="A507" s="107">
        <v>0</v>
      </c>
      <c r="B507" s="189">
        <v>0</v>
      </c>
      <c r="C507" s="189">
        <v>0</v>
      </c>
      <c r="D507" s="1011">
        <v>54000</v>
      </c>
      <c r="E507" s="821" t="s">
        <v>5325</v>
      </c>
      <c r="F507" s="953" t="s">
        <v>6199</v>
      </c>
      <c r="G507" s="187">
        <v>66000</v>
      </c>
      <c r="H507" s="138">
        <f>IF(D507=G507,0,IF(D507=0,100,(G507-D507)/D507*100))</f>
        <v>22.222222222222221</v>
      </c>
      <c r="I507" s="33">
        <f>ROUNDUP(G507+(G507*Assumptions!H$5),-2)</f>
        <v>67000</v>
      </c>
      <c r="J507" s="33">
        <f>ROUNDUP(I507+(I507*Assumptions!I$5),-2)</f>
        <v>68700</v>
      </c>
      <c r="K507" s="33">
        <f>ROUNDUP(J507+(J507*Assumptions!J$5),-2)</f>
        <v>70500</v>
      </c>
      <c r="L507" s="33">
        <f>ROUNDUP(K507+(K507*Assumptions!K$5),-2)</f>
        <v>72300</v>
      </c>
      <c r="M507" s="33">
        <f>ROUNDUP(L507+(L507*Assumptions!L$5),-2)</f>
        <v>73800</v>
      </c>
      <c r="N507" s="33">
        <f>ROUNDUP(M507+(M507*Assumptions!M$5),-2)</f>
        <v>75300</v>
      </c>
      <c r="O507" s="33">
        <f>ROUNDUP(N507+(N507*Assumptions!N$5),-2)</f>
        <v>76900</v>
      </c>
      <c r="P507" s="33">
        <f>ROUNDUP(O507+(O507*Assumptions!O$5),-2)</f>
        <v>78500</v>
      </c>
      <c r="Q507" s="33">
        <f>ROUNDUP(P507+(P507*Assumptions!P$5),-2)</f>
        <v>80100</v>
      </c>
      <c r="R507" s="114">
        <f>ROUNDUP(Q507+(Q507*Assumptions!Q$5),-2)</f>
        <v>81800</v>
      </c>
    </row>
    <row r="508" spans="1:18" s="84" customFormat="1" x14ac:dyDescent="0.2">
      <c r="A508" s="107">
        <v>0</v>
      </c>
      <c r="B508" s="189">
        <v>0</v>
      </c>
      <c r="C508" s="189">
        <v>0</v>
      </c>
      <c r="D508" s="1011">
        <v>0</v>
      </c>
      <c r="E508" s="821" t="s">
        <v>6437</v>
      </c>
      <c r="F508" s="953" t="s">
        <v>6227</v>
      </c>
      <c r="G508" s="187">
        <f>151000+115000</f>
        <v>266000</v>
      </c>
      <c r="H508" s="138">
        <f>IF(D508=G508,0,IF(D508=0,100,(G508-D508)/D508*100))</f>
        <v>100</v>
      </c>
      <c r="I508" s="33">
        <f>ROUNDUP(G508+(G508*Assumptions!H$5),-2)</f>
        <v>270000</v>
      </c>
      <c r="J508" s="33">
        <f>ROUNDUP(I508+(I508*Assumptions!I$5),-2)</f>
        <v>276800</v>
      </c>
      <c r="K508" s="33">
        <f>ROUNDUP(J508+(J508*Assumptions!J$5),-2)</f>
        <v>283800</v>
      </c>
      <c r="L508" s="33">
        <f>ROUNDUP(K508+(K508*Assumptions!K$5),-2)</f>
        <v>290900</v>
      </c>
      <c r="M508" s="33">
        <f>ROUNDUP(L508+(L508*Assumptions!L$5),-2)</f>
        <v>296800</v>
      </c>
      <c r="N508" s="33">
        <f>ROUNDUP(M508+(M508*Assumptions!M$5),-2)</f>
        <v>302800</v>
      </c>
      <c r="O508" s="33">
        <f>ROUNDUP(N508+(N508*Assumptions!N$5),-2)</f>
        <v>308900</v>
      </c>
      <c r="P508" s="33">
        <f>ROUNDUP(O508+(O508*Assumptions!O$5),-2)</f>
        <v>315100</v>
      </c>
      <c r="Q508" s="33">
        <f>ROUNDUP(P508+(P508*Assumptions!P$5),-2)</f>
        <v>321500</v>
      </c>
      <c r="R508" s="114">
        <f>ROUNDUP(Q508+(Q508*Assumptions!Q$5),-2)</f>
        <v>328000</v>
      </c>
    </row>
    <row r="509" spans="1:18" s="84" customFormat="1" x14ac:dyDescent="0.2">
      <c r="A509" s="107"/>
      <c r="B509" s="189"/>
      <c r="C509" s="189"/>
      <c r="D509" s="1011"/>
      <c r="E509" s="811"/>
      <c r="F509" s="953"/>
      <c r="G509" s="189"/>
      <c r="H509" s="138"/>
      <c r="I509" s="187"/>
      <c r="J509" s="33"/>
      <c r="K509" s="33"/>
      <c r="L509" s="33"/>
      <c r="M509" s="33"/>
      <c r="N509" s="33"/>
      <c r="O509" s="33"/>
      <c r="P509" s="142"/>
      <c r="Q509" s="33"/>
      <c r="R509" s="114"/>
    </row>
    <row r="510" spans="1:18" s="84" customFormat="1" x14ac:dyDescent="0.2">
      <c r="A510" s="107"/>
      <c r="B510" s="33"/>
      <c r="C510" s="189"/>
      <c r="D510" s="187"/>
      <c r="E510" s="344"/>
      <c r="F510" s="116" t="s">
        <v>4687</v>
      </c>
      <c r="G510" s="189"/>
      <c r="H510" s="138"/>
      <c r="I510" s="187"/>
      <c r="J510" s="33"/>
      <c r="K510" s="33"/>
      <c r="L510" s="33"/>
      <c r="M510" s="33"/>
      <c r="N510" s="33"/>
      <c r="O510" s="33"/>
      <c r="P510" s="142"/>
      <c r="Q510" s="33"/>
      <c r="R510" s="114"/>
    </row>
    <row r="511" spans="1:18" s="84" customFormat="1" x14ac:dyDescent="0.2">
      <c r="A511" s="107">
        <v>58800</v>
      </c>
      <c r="B511" s="33">
        <v>46700</v>
      </c>
      <c r="C511" s="189">
        <v>9000</v>
      </c>
      <c r="D511" s="187">
        <v>44100</v>
      </c>
      <c r="E511" s="811" t="s">
        <v>5604</v>
      </c>
      <c r="F511" s="953" t="s">
        <v>4997</v>
      </c>
      <c r="G511" s="189">
        <v>22000</v>
      </c>
      <c r="H511" s="138">
        <f>IF(D511=G511,0,IF(D511=0,100,(G511-D511)/D511*100))</f>
        <v>-50.113378684807252</v>
      </c>
      <c r="I511" s="33">
        <f>ROUNDUP(G511+(G511*Assumptions!H$5),-2)</f>
        <v>22400</v>
      </c>
      <c r="J511" s="33">
        <f>ROUNDUP(I511+(I511*Assumptions!I$5),-2)</f>
        <v>23000</v>
      </c>
      <c r="K511" s="33">
        <f>ROUNDUP(J511+(J511*Assumptions!J$5),-2)</f>
        <v>23600</v>
      </c>
      <c r="L511" s="33">
        <f>ROUNDUP(K511+(K511*Assumptions!K$5),-2)</f>
        <v>24200</v>
      </c>
      <c r="M511" s="33">
        <f>ROUNDUP(L511+(L511*Assumptions!L$5),-2)</f>
        <v>24700</v>
      </c>
      <c r="N511" s="33">
        <f>ROUNDUP(M511+(M511*Assumptions!M$5),-2)</f>
        <v>25200</v>
      </c>
      <c r="O511" s="33">
        <f>ROUNDUP(N511+(N511*Assumptions!N$5),-2)</f>
        <v>25800</v>
      </c>
      <c r="P511" s="33">
        <f>ROUNDUP(O511+(O511*Assumptions!O$5),-2)</f>
        <v>26400</v>
      </c>
      <c r="Q511" s="33">
        <f>ROUNDUP(P511+(P511*Assumptions!P$5),-2)</f>
        <v>27000</v>
      </c>
      <c r="R511" s="114">
        <f>ROUNDUP(Q511+(Q511*Assumptions!Q$5),-2)</f>
        <v>27600</v>
      </c>
    </row>
    <row r="512" spans="1:18" s="84" customFormat="1" x14ac:dyDescent="0.2">
      <c r="A512" s="107"/>
      <c r="B512" s="33"/>
      <c r="C512" s="189"/>
      <c r="D512" s="187"/>
      <c r="E512" s="445"/>
      <c r="F512" s="443"/>
      <c r="G512" s="187"/>
      <c r="H512" s="138"/>
      <c r="I512" s="187"/>
      <c r="J512" s="33"/>
      <c r="K512" s="33"/>
      <c r="L512" s="33"/>
      <c r="M512" s="33"/>
      <c r="N512" s="33"/>
      <c r="O512" s="33"/>
      <c r="P512" s="142"/>
      <c r="Q512" s="33"/>
      <c r="R512" s="114"/>
    </row>
    <row r="513" spans="1:18" s="84" customFormat="1" x14ac:dyDescent="0.2">
      <c r="A513" s="107"/>
      <c r="B513" s="33"/>
      <c r="C513" s="189"/>
      <c r="D513" s="187"/>
      <c r="E513" s="437"/>
      <c r="F513" s="1103" t="s">
        <v>4688</v>
      </c>
      <c r="G513" s="187"/>
      <c r="H513" s="138"/>
      <c r="I513" s="187"/>
      <c r="J513" s="33"/>
      <c r="K513" s="33"/>
      <c r="L513" s="33"/>
      <c r="M513" s="33"/>
      <c r="N513" s="33"/>
      <c r="O513" s="33"/>
      <c r="P513" s="142"/>
      <c r="Q513" s="33"/>
      <c r="R513" s="114"/>
    </row>
    <row r="514" spans="1:18" s="84" customFormat="1" x14ac:dyDescent="0.2">
      <c r="A514" s="107">
        <v>0</v>
      </c>
      <c r="B514" s="33">
        <v>0</v>
      </c>
      <c r="C514" s="187">
        <v>0</v>
      </c>
      <c r="D514" s="187">
        <v>5800</v>
      </c>
      <c r="E514" s="821" t="s">
        <v>5327</v>
      </c>
      <c r="F514" s="814" t="s">
        <v>5023</v>
      </c>
      <c r="G514" s="189">
        <v>31000</v>
      </c>
      <c r="H514" s="138">
        <f t="shared" ref="H514:H528" si="329">IF(D514=G514,0,IF(D514=0,100,(G514-D514)/D514*100))</f>
        <v>434.48275862068965</v>
      </c>
      <c r="I514" s="33">
        <f>ROUNDUP(G514+(G514*Assumptions!H$5),-2)</f>
        <v>31500</v>
      </c>
      <c r="J514" s="33">
        <f>ROUNDUP(I514+(I514*Assumptions!I$5),-2)</f>
        <v>32300</v>
      </c>
      <c r="K514" s="33">
        <f>ROUNDUP(J514+(J514*Assumptions!J$5),-2)</f>
        <v>33200</v>
      </c>
      <c r="L514" s="33">
        <f>ROUNDUP(K514+(K514*Assumptions!K$5),-2)</f>
        <v>34100</v>
      </c>
      <c r="M514" s="33">
        <f>ROUNDUP(L514+(L514*Assumptions!L$5),-2)</f>
        <v>34800</v>
      </c>
      <c r="N514" s="33">
        <f>ROUNDUP(M514+(M514*Assumptions!M$5),-2)</f>
        <v>35500</v>
      </c>
      <c r="O514" s="33">
        <f>ROUNDUP(N514+(N514*Assumptions!N$5),-2)</f>
        <v>36300</v>
      </c>
      <c r="P514" s="33">
        <f>ROUNDUP(O514+(O514*Assumptions!O$5),-2)</f>
        <v>37100</v>
      </c>
      <c r="Q514" s="33">
        <f>ROUNDUP(P514+(P514*Assumptions!P$5),-2)</f>
        <v>37900</v>
      </c>
      <c r="R514" s="114">
        <f>ROUNDUP(Q514+(Q514*Assumptions!Q$5),-2)</f>
        <v>38700</v>
      </c>
    </row>
    <row r="515" spans="1:18" s="84" customFormat="1" x14ac:dyDescent="0.2">
      <c r="A515" s="107">
        <v>0</v>
      </c>
      <c r="B515" s="33">
        <v>0</v>
      </c>
      <c r="C515" s="189">
        <v>0</v>
      </c>
      <c r="D515" s="187">
        <v>24700</v>
      </c>
      <c r="E515" s="821" t="s">
        <v>5326</v>
      </c>
      <c r="F515" s="953" t="s">
        <v>2046</v>
      </c>
      <c r="G515" s="187">
        <v>10000</v>
      </c>
      <c r="H515" s="138">
        <f t="shared" si="329"/>
        <v>-59.514170040485823</v>
      </c>
      <c r="I515" s="33">
        <f>ROUNDUP(G515+(G515*Assumptions!H$5),-2)</f>
        <v>10200</v>
      </c>
      <c r="J515" s="33">
        <f>ROUNDUP(I515+(I515*Assumptions!I$5),-2)</f>
        <v>10500</v>
      </c>
      <c r="K515" s="33">
        <f>ROUNDUP(J515+(J515*Assumptions!J$5),-2)</f>
        <v>10800</v>
      </c>
      <c r="L515" s="33">
        <f>ROUNDUP(K515+(K515*Assumptions!K$5),-2)</f>
        <v>11100</v>
      </c>
      <c r="M515" s="33">
        <f>ROUNDUP(L515+(L515*Assumptions!L$5),-2)</f>
        <v>11400</v>
      </c>
      <c r="N515" s="33">
        <f>ROUNDUP(M515+(M515*Assumptions!M$5),-2)</f>
        <v>11700</v>
      </c>
      <c r="O515" s="33">
        <f>ROUNDUP(N515+(N515*Assumptions!N$5),-2)</f>
        <v>12000</v>
      </c>
      <c r="P515" s="33">
        <f>ROUNDUP(O515+(O515*Assumptions!O$5),-2)</f>
        <v>12300</v>
      </c>
      <c r="Q515" s="33">
        <f>ROUNDUP(P515+(P515*Assumptions!P$5),-2)</f>
        <v>12600</v>
      </c>
      <c r="R515" s="114">
        <f>ROUNDUP(Q515+(Q515*Assumptions!Q$5),-2)</f>
        <v>12900</v>
      </c>
    </row>
    <row r="516" spans="1:18" s="84" customFormat="1" x14ac:dyDescent="0.2">
      <c r="A516" s="107">
        <v>9000</v>
      </c>
      <c r="B516" s="33">
        <v>13100</v>
      </c>
      <c r="C516" s="187">
        <v>3000</v>
      </c>
      <c r="D516" s="187">
        <v>8800</v>
      </c>
      <c r="E516" s="821" t="s">
        <v>6192</v>
      </c>
      <c r="F516" s="443" t="s">
        <v>1818</v>
      </c>
      <c r="G516" s="189">
        <v>6000</v>
      </c>
      <c r="H516" s="138">
        <f t="shared" si="329"/>
        <v>-31.818181818181817</v>
      </c>
      <c r="I516" s="33">
        <f>ROUNDUP(G516+(G516*Assumptions!H$5),-2)</f>
        <v>6100</v>
      </c>
      <c r="J516" s="33">
        <f>ROUNDUP(I516+(I516*Assumptions!I$5),-2)</f>
        <v>6300</v>
      </c>
      <c r="K516" s="33">
        <f>ROUNDUP(J516+(J516*Assumptions!J$5),-2)</f>
        <v>6500</v>
      </c>
      <c r="L516" s="33">
        <f>ROUNDUP(K516+(K516*Assumptions!K$5),-2)</f>
        <v>6700</v>
      </c>
      <c r="M516" s="33">
        <f>ROUNDUP(L516+(L516*Assumptions!L$5),-2)</f>
        <v>6900</v>
      </c>
      <c r="N516" s="33">
        <f>ROUNDUP(M516+(M516*Assumptions!M$5),-2)</f>
        <v>7100</v>
      </c>
      <c r="O516" s="33">
        <f>ROUNDUP(N516+(N516*Assumptions!N$5),-2)</f>
        <v>7300</v>
      </c>
      <c r="P516" s="33">
        <f>ROUNDUP(O516+(O516*Assumptions!O$5),-2)</f>
        <v>7500</v>
      </c>
      <c r="Q516" s="33">
        <f>ROUNDUP(P516+(P516*Assumptions!P$5),-2)</f>
        <v>7700</v>
      </c>
      <c r="R516" s="114">
        <f>ROUNDUP(Q516+(Q516*Assumptions!Q$5),-2)</f>
        <v>7900</v>
      </c>
    </row>
    <row r="517" spans="1:18" s="84" customFormat="1" x14ac:dyDescent="0.2">
      <c r="A517" s="107">
        <v>0</v>
      </c>
      <c r="B517" s="33">
        <v>239300</v>
      </c>
      <c r="C517" s="187">
        <v>178500</v>
      </c>
      <c r="D517" s="187">
        <v>0</v>
      </c>
      <c r="E517" s="343" t="s">
        <v>833</v>
      </c>
      <c r="F517" s="443" t="s">
        <v>2248</v>
      </c>
      <c r="G517" s="189">
        <v>0</v>
      </c>
      <c r="H517" s="138">
        <f t="shared" si="329"/>
        <v>0</v>
      </c>
      <c r="I517" s="33">
        <f>ROUNDUP(G517+(G517*Assumptions!H$5),-2)</f>
        <v>0</v>
      </c>
      <c r="J517" s="33">
        <f>ROUNDUP(I517+(I517*Assumptions!I$5),-2)</f>
        <v>0</v>
      </c>
      <c r="K517" s="33">
        <f>ROUNDUP(J517+(J517*Assumptions!J$5),-2)</f>
        <v>0</v>
      </c>
      <c r="L517" s="33">
        <f>ROUNDUP(K517+(K517*Assumptions!K$5),-2)</f>
        <v>0</v>
      </c>
      <c r="M517" s="33">
        <f>ROUNDUP(L517+(L517*Assumptions!L$5),-2)</f>
        <v>0</v>
      </c>
      <c r="N517" s="33">
        <f>ROUNDUP(M517+(M517*Assumptions!M$5),-2)</f>
        <v>0</v>
      </c>
      <c r="O517" s="33">
        <f>ROUNDUP(N517+(N517*Assumptions!N$5),-2)</f>
        <v>0</v>
      </c>
      <c r="P517" s="33">
        <f>ROUNDUP(O517+(O517*Assumptions!O$5),-2)</f>
        <v>0</v>
      </c>
      <c r="Q517" s="33">
        <f>ROUNDUP(P517+(P517*Assumptions!P$5),-2)</f>
        <v>0</v>
      </c>
      <c r="R517" s="114">
        <f>ROUNDUP(Q517+(Q517*Assumptions!Q$5),-2)</f>
        <v>0</v>
      </c>
    </row>
    <row r="518" spans="1:18" s="84" customFormat="1" x14ac:dyDescent="0.2">
      <c r="A518" s="107">
        <f>61800-16700</f>
        <v>45100</v>
      </c>
      <c r="B518" s="33">
        <v>52000</v>
      </c>
      <c r="C518" s="187">
        <v>35400</v>
      </c>
      <c r="D518" s="187">
        <v>20000</v>
      </c>
      <c r="E518" s="821" t="s">
        <v>6193</v>
      </c>
      <c r="F518" s="443" t="s">
        <v>656</v>
      </c>
      <c r="G518" s="189">
        <v>20000</v>
      </c>
      <c r="H518" s="138">
        <f t="shared" si="329"/>
        <v>0</v>
      </c>
      <c r="I518" s="33">
        <f>ROUNDUP(G518+(G518*Assumptions!H$5),-2)</f>
        <v>20300</v>
      </c>
      <c r="J518" s="33">
        <f>ROUNDUP(I518+(I518*Assumptions!I$5),-2)</f>
        <v>20900</v>
      </c>
      <c r="K518" s="33">
        <f>ROUNDUP(J518+(J518*Assumptions!J$5),-2)</f>
        <v>21500</v>
      </c>
      <c r="L518" s="33">
        <f>ROUNDUP(K518+(K518*Assumptions!K$5),-2)</f>
        <v>22100</v>
      </c>
      <c r="M518" s="33">
        <f>ROUNDUP(L518+(L518*Assumptions!L$5),-2)</f>
        <v>22600</v>
      </c>
      <c r="N518" s="33">
        <f>ROUNDUP(M518+(M518*Assumptions!M$5),-2)</f>
        <v>23100</v>
      </c>
      <c r="O518" s="33">
        <f>ROUNDUP(N518+(N518*Assumptions!N$5),-2)</f>
        <v>23600</v>
      </c>
      <c r="P518" s="33">
        <f>ROUNDUP(O518+(O518*Assumptions!O$5),-2)</f>
        <v>24100</v>
      </c>
      <c r="Q518" s="33">
        <f>ROUNDUP(P518+(P518*Assumptions!P$5),-2)</f>
        <v>24600</v>
      </c>
      <c r="R518" s="114">
        <f>ROUNDUP(Q518+(Q518*Assumptions!Q$5),-2)</f>
        <v>25100</v>
      </c>
    </row>
    <row r="519" spans="1:18" s="84" customFormat="1" x14ac:dyDescent="0.2">
      <c r="A519" s="107">
        <v>0</v>
      </c>
      <c r="B519" s="33">
        <v>7100</v>
      </c>
      <c r="C519" s="187">
        <v>18900</v>
      </c>
      <c r="D519" s="187">
        <v>500</v>
      </c>
      <c r="E519" s="821" t="s">
        <v>6194</v>
      </c>
      <c r="F519" s="814" t="s">
        <v>3613</v>
      </c>
      <c r="G519" s="189">
        <v>5000</v>
      </c>
      <c r="H519" s="138">
        <f t="shared" si="329"/>
        <v>900</v>
      </c>
      <c r="I519" s="33">
        <f>ROUNDUP(G519+(G519*Assumptions!H$5),-2)</f>
        <v>5100</v>
      </c>
      <c r="J519" s="33">
        <f>ROUNDUP(I519+(I519*Assumptions!I$5),-2)</f>
        <v>5300</v>
      </c>
      <c r="K519" s="33">
        <f>ROUNDUP(J519+(J519*Assumptions!J$5),-2)</f>
        <v>5500</v>
      </c>
      <c r="L519" s="33">
        <f>ROUNDUP(K519+(K519*Assumptions!K$5),-2)</f>
        <v>5700</v>
      </c>
      <c r="M519" s="33">
        <f>ROUNDUP(L519+(L519*Assumptions!L$5),-2)</f>
        <v>5900</v>
      </c>
      <c r="N519" s="33">
        <f>ROUNDUP(M519+(M519*Assumptions!M$5),-2)</f>
        <v>6100</v>
      </c>
      <c r="O519" s="33">
        <f>ROUNDUP(N519+(N519*Assumptions!N$5),-2)</f>
        <v>6300</v>
      </c>
      <c r="P519" s="33">
        <f>ROUNDUP(O519+(O519*Assumptions!O$5),-2)</f>
        <v>6500</v>
      </c>
      <c r="Q519" s="33">
        <f>ROUNDUP(P519+(P519*Assumptions!P$5),-2)</f>
        <v>6700</v>
      </c>
      <c r="R519" s="114">
        <f>ROUNDUP(Q519+(Q519*Assumptions!Q$5),-2)</f>
        <v>6900</v>
      </c>
    </row>
    <row r="520" spans="1:18" s="84" customFormat="1" x14ac:dyDescent="0.2">
      <c r="A520" s="107">
        <v>0</v>
      </c>
      <c r="B520" s="33">
        <f>3500+9700</f>
        <v>13200</v>
      </c>
      <c r="C520" s="189">
        <v>11100</v>
      </c>
      <c r="D520" s="187">
        <v>5600</v>
      </c>
      <c r="E520" s="821" t="s">
        <v>3455</v>
      </c>
      <c r="F520" s="814" t="s">
        <v>6742</v>
      </c>
      <c r="G520" s="187">
        <v>10000</v>
      </c>
      <c r="H520" s="138">
        <f t="shared" si="329"/>
        <v>78.571428571428569</v>
      </c>
      <c r="I520" s="33">
        <f>ROUNDUP(G520+(G520*Assumptions!H$5),-2)</f>
        <v>10200</v>
      </c>
      <c r="J520" s="33">
        <f>ROUNDUP(I520+(I520*Assumptions!I$5),-2)</f>
        <v>10500</v>
      </c>
      <c r="K520" s="33">
        <f>ROUNDUP(J520+(J520*Assumptions!J$5),-2)</f>
        <v>10800</v>
      </c>
      <c r="L520" s="33">
        <f>ROUNDUP(K520+(K520*Assumptions!K$5),-2)</f>
        <v>11100</v>
      </c>
      <c r="M520" s="33">
        <f>ROUNDUP(L520+(L520*Assumptions!L$5),-2)</f>
        <v>11400</v>
      </c>
      <c r="N520" s="33">
        <f>ROUNDUP(M520+(M520*Assumptions!M$5),-2)</f>
        <v>11700</v>
      </c>
      <c r="O520" s="33">
        <f>ROUNDUP(N520+(N520*Assumptions!N$5),-2)</f>
        <v>12000</v>
      </c>
      <c r="P520" s="33">
        <f>ROUNDUP(O520+(O520*Assumptions!O$5),-2)</f>
        <v>12300</v>
      </c>
      <c r="Q520" s="33">
        <f>ROUNDUP(P520+(P520*Assumptions!P$5),-2)</f>
        <v>12600</v>
      </c>
      <c r="R520" s="114">
        <f>ROUNDUP(Q520+(Q520*Assumptions!Q$5),-2)</f>
        <v>12900</v>
      </c>
    </row>
    <row r="521" spans="1:18" s="84" customFormat="1" x14ac:dyDescent="0.2">
      <c r="A521" s="107">
        <v>0</v>
      </c>
      <c r="B521" s="33">
        <v>0</v>
      </c>
      <c r="C521" s="189">
        <v>22400</v>
      </c>
      <c r="D521" s="187">
        <v>23200</v>
      </c>
      <c r="E521" s="821" t="s">
        <v>6228</v>
      </c>
      <c r="F521" s="953" t="s">
        <v>6743</v>
      </c>
      <c r="G521" s="187">
        <v>10000</v>
      </c>
      <c r="H521" s="138">
        <f t="shared" si="329"/>
        <v>-56.896551724137936</v>
      </c>
      <c r="I521" s="33">
        <f>ROUNDUP(G521+(G521*Assumptions!H$5),-2)</f>
        <v>10200</v>
      </c>
      <c r="J521" s="33">
        <f>ROUNDUP(I521+(I521*Assumptions!I$5),-2)</f>
        <v>10500</v>
      </c>
      <c r="K521" s="33">
        <f>ROUNDUP(J521+(J521*Assumptions!J$5),-2)</f>
        <v>10800</v>
      </c>
      <c r="L521" s="33">
        <f>ROUNDUP(K521+(K521*Assumptions!K$5),-2)</f>
        <v>11100</v>
      </c>
      <c r="M521" s="33">
        <f>ROUNDUP(L521+(L521*Assumptions!L$5),-2)</f>
        <v>11400</v>
      </c>
      <c r="N521" s="33">
        <f>ROUNDUP(M521+(M521*Assumptions!M$5),-2)</f>
        <v>11700</v>
      </c>
      <c r="O521" s="33">
        <f>ROUNDUP(N521+(N521*Assumptions!N$5),-2)</f>
        <v>12000</v>
      </c>
      <c r="P521" s="33">
        <f>ROUNDUP(O521+(O521*Assumptions!O$5),-2)</f>
        <v>12300</v>
      </c>
      <c r="Q521" s="33">
        <f>ROUNDUP(P521+(P521*Assumptions!P$5),-2)</f>
        <v>12600</v>
      </c>
      <c r="R521" s="114">
        <f>ROUNDUP(Q521+(Q521*Assumptions!Q$5),-2)</f>
        <v>12900</v>
      </c>
    </row>
    <row r="522" spans="1:18" s="84" customFormat="1" x14ac:dyDescent="0.2">
      <c r="A522" s="107">
        <v>71900</v>
      </c>
      <c r="B522" s="33">
        <v>57700</v>
      </c>
      <c r="C522" s="189">
        <v>57900</v>
      </c>
      <c r="D522" s="187">
        <v>94500</v>
      </c>
      <c r="E522" s="343" t="s">
        <v>1476</v>
      </c>
      <c r="F522" s="814" t="s">
        <v>3614</v>
      </c>
      <c r="G522" s="187">
        <v>87000</v>
      </c>
      <c r="H522" s="138">
        <f t="shared" si="329"/>
        <v>-7.9365079365079358</v>
      </c>
      <c r="I522" s="33">
        <f>ROUNDUP(G522+(G522*Assumptions!H$5),-2)</f>
        <v>88400</v>
      </c>
      <c r="J522" s="33">
        <f>ROUNDUP(I522+(I522*Assumptions!I$5),-2)</f>
        <v>90700</v>
      </c>
      <c r="K522" s="33">
        <f>ROUNDUP(J522+(J522*Assumptions!J$5),-2)</f>
        <v>93000</v>
      </c>
      <c r="L522" s="33">
        <f>ROUNDUP(K522+(K522*Assumptions!K$5),-2)</f>
        <v>95400</v>
      </c>
      <c r="M522" s="33">
        <f>ROUNDUP(L522+(L522*Assumptions!L$5),-2)</f>
        <v>97400</v>
      </c>
      <c r="N522" s="33">
        <f>ROUNDUP(M522+(M522*Assumptions!M$5),-2)</f>
        <v>99400</v>
      </c>
      <c r="O522" s="33">
        <f>ROUNDUP(N522+(N522*Assumptions!N$5),-2)</f>
        <v>101400</v>
      </c>
      <c r="P522" s="33">
        <f>ROUNDUP(O522+(O522*Assumptions!O$5),-2)</f>
        <v>103500</v>
      </c>
      <c r="Q522" s="33">
        <f>ROUNDUP(P522+(P522*Assumptions!P$5),-2)</f>
        <v>105600</v>
      </c>
      <c r="R522" s="114">
        <f>ROUNDUP(Q522+(Q522*Assumptions!Q$5),-2)</f>
        <v>107800</v>
      </c>
    </row>
    <row r="523" spans="1:18" s="84" customFormat="1" x14ac:dyDescent="0.2">
      <c r="A523" s="107">
        <v>51400</v>
      </c>
      <c r="B523" s="33">
        <v>75800</v>
      </c>
      <c r="C523" s="189">
        <v>76100</v>
      </c>
      <c r="D523" s="187">
        <v>36800</v>
      </c>
      <c r="E523" s="821" t="s">
        <v>1476</v>
      </c>
      <c r="F523" s="814" t="s">
        <v>6706</v>
      </c>
      <c r="G523" s="187">
        <v>62000</v>
      </c>
      <c r="H523" s="138">
        <f t="shared" si="329"/>
        <v>68.478260869565219</v>
      </c>
      <c r="I523" s="33">
        <f>ROUNDUP(G523+(G523*Assumptions!H$5),-2)</f>
        <v>63000</v>
      </c>
      <c r="J523" s="33">
        <f>ROUNDUP(I523+(I523*Assumptions!I$5),-2)</f>
        <v>64600</v>
      </c>
      <c r="K523" s="33">
        <f>ROUNDUP(J523+(J523*Assumptions!J$5),-2)</f>
        <v>66300</v>
      </c>
      <c r="L523" s="33">
        <f>ROUNDUP(K523+(K523*Assumptions!K$5),-2)</f>
        <v>68000</v>
      </c>
      <c r="M523" s="33">
        <f>ROUNDUP(L523+(L523*Assumptions!L$5),-2)</f>
        <v>69400</v>
      </c>
      <c r="N523" s="33">
        <f>ROUNDUP(M523+(M523*Assumptions!M$5),-2)</f>
        <v>70800</v>
      </c>
      <c r="O523" s="33">
        <f>ROUNDUP(N523+(N523*Assumptions!N$5),-2)</f>
        <v>72300</v>
      </c>
      <c r="P523" s="33">
        <f>ROUNDUP(O523+(O523*Assumptions!O$5),-2)</f>
        <v>73800</v>
      </c>
      <c r="Q523" s="33">
        <f>ROUNDUP(P523+(P523*Assumptions!P$5),-2)</f>
        <v>75300</v>
      </c>
      <c r="R523" s="114">
        <f>ROUNDUP(Q523+(Q523*Assumptions!Q$5),-2)</f>
        <v>76900</v>
      </c>
    </row>
    <row r="524" spans="1:18" s="84" customFormat="1" x14ac:dyDescent="0.2">
      <c r="A524" s="107">
        <v>101300</v>
      </c>
      <c r="B524" s="33">
        <v>77200</v>
      </c>
      <c r="C524" s="187">
        <v>15300</v>
      </c>
      <c r="D524" s="187">
        <v>0</v>
      </c>
      <c r="E524" s="343" t="s">
        <v>179</v>
      </c>
      <c r="F524" s="443" t="s">
        <v>2788</v>
      </c>
      <c r="G524" s="189">
        <v>0</v>
      </c>
      <c r="H524" s="138">
        <f t="shared" si="329"/>
        <v>0</v>
      </c>
      <c r="I524" s="33">
        <f>ROUNDUP(G524+(G524*Assumptions!H$5),-2)</f>
        <v>0</v>
      </c>
      <c r="J524" s="33">
        <f>ROUNDUP(I524+(I524*Assumptions!I$5),-2)</f>
        <v>0</v>
      </c>
      <c r="K524" s="33">
        <f>ROUNDUP(J524+(J524*Assumptions!J$5),-2)</f>
        <v>0</v>
      </c>
      <c r="L524" s="33">
        <f>ROUNDUP(K524+(K524*Assumptions!K$5),-2)</f>
        <v>0</v>
      </c>
      <c r="M524" s="33">
        <f>ROUNDUP(L524+(L524*Assumptions!L$5),-2)</f>
        <v>0</v>
      </c>
      <c r="N524" s="33">
        <f>ROUNDUP(M524+(M524*Assumptions!M$5),-2)</f>
        <v>0</v>
      </c>
      <c r="O524" s="33">
        <f>ROUNDUP(N524+(N524*Assumptions!N$5),-2)</f>
        <v>0</v>
      </c>
      <c r="P524" s="33">
        <f>ROUNDUP(O524+(O524*Assumptions!O$5),-2)</f>
        <v>0</v>
      </c>
      <c r="Q524" s="33">
        <f>ROUNDUP(P524+(P524*Assumptions!P$5),-2)</f>
        <v>0</v>
      </c>
      <c r="R524" s="114">
        <f>ROUNDUP(Q524+(Q524*Assumptions!Q$5),-2)</f>
        <v>0</v>
      </c>
    </row>
    <row r="525" spans="1:18" s="84" customFormat="1" x14ac:dyDescent="0.2">
      <c r="A525" s="107">
        <v>4000</v>
      </c>
      <c r="B525" s="33">
        <v>2600</v>
      </c>
      <c r="C525" s="187">
        <v>4300</v>
      </c>
      <c r="D525" s="187">
        <v>0</v>
      </c>
      <c r="E525" s="821" t="s">
        <v>6497</v>
      </c>
      <c r="F525" s="443" t="s">
        <v>2789</v>
      </c>
      <c r="G525" s="189">
        <v>15000</v>
      </c>
      <c r="H525" s="138">
        <f t="shared" si="329"/>
        <v>100</v>
      </c>
      <c r="I525" s="33">
        <f>ROUNDUP(G525+(G525*Assumptions!H$5),-2)</f>
        <v>15300</v>
      </c>
      <c r="J525" s="33">
        <f>ROUNDUP(I525+(I525*Assumptions!I$5),-2)</f>
        <v>15700</v>
      </c>
      <c r="K525" s="33">
        <f>ROUNDUP(J525+(J525*Assumptions!J$5),-2)</f>
        <v>16100</v>
      </c>
      <c r="L525" s="33">
        <f>ROUNDUP(K525+(K525*Assumptions!K$5),-2)</f>
        <v>16600</v>
      </c>
      <c r="M525" s="33">
        <f>ROUNDUP(L525+(L525*Assumptions!L$5),-2)</f>
        <v>17000</v>
      </c>
      <c r="N525" s="33">
        <f>ROUNDUP(M525+(M525*Assumptions!M$5),-2)</f>
        <v>17400</v>
      </c>
      <c r="O525" s="33">
        <f>ROUNDUP(N525+(N525*Assumptions!N$5),-2)</f>
        <v>17800</v>
      </c>
      <c r="P525" s="33">
        <f>ROUNDUP(O525+(O525*Assumptions!O$5),-2)</f>
        <v>18200</v>
      </c>
      <c r="Q525" s="33">
        <f>ROUNDUP(P525+(P525*Assumptions!P$5),-2)</f>
        <v>18600</v>
      </c>
      <c r="R525" s="114">
        <f>ROUNDUP(Q525+(Q525*Assumptions!Q$5),-2)</f>
        <v>19000</v>
      </c>
    </row>
    <row r="526" spans="1:18" s="84" customFormat="1" x14ac:dyDescent="0.2">
      <c r="A526" s="107">
        <v>6800</v>
      </c>
      <c r="B526" s="33">
        <v>5700</v>
      </c>
      <c r="C526" s="189">
        <f>10000-5000</f>
        <v>5000</v>
      </c>
      <c r="D526" s="187">
        <f>5000-5000</f>
        <v>0</v>
      </c>
      <c r="E526" s="343" t="s">
        <v>717</v>
      </c>
      <c r="F526" s="443" t="s">
        <v>2758</v>
      </c>
      <c r="G526" s="187">
        <v>7000</v>
      </c>
      <c r="H526" s="138">
        <f t="shared" si="329"/>
        <v>100</v>
      </c>
      <c r="I526" s="33">
        <f>ROUNDUP(G526+(G526*Assumptions!H$5),-2)</f>
        <v>7200</v>
      </c>
      <c r="J526" s="33">
        <f>ROUNDUP(I526+(I526*Assumptions!I$5),-2)</f>
        <v>7400</v>
      </c>
      <c r="K526" s="33">
        <f>ROUNDUP(J526+(J526*Assumptions!J$5),-2)</f>
        <v>7600</v>
      </c>
      <c r="L526" s="33">
        <f>ROUNDUP(K526+(K526*Assumptions!K$5),-2)</f>
        <v>7800</v>
      </c>
      <c r="M526" s="33">
        <f>ROUNDUP(L526+(L526*Assumptions!L$5),-2)</f>
        <v>8000</v>
      </c>
      <c r="N526" s="33">
        <f>ROUNDUP(M526+(M526*Assumptions!M$5),-2)</f>
        <v>8200</v>
      </c>
      <c r="O526" s="33">
        <f>ROUNDUP(N526+(N526*Assumptions!N$5),-2)</f>
        <v>8400</v>
      </c>
      <c r="P526" s="33">
        <f>ROUNDUP(O526+(O526*Assumptions!O$5),-2)</f>
        <v>8600</v>
      </c>
      <c r="Q526" s="33">
        <f>ROUNDUP(P526+(P526*Assumptions!P$5),-2)</f>
        <v>8800</v>
      </c>
      <c r="R526" s="114">
        <f>ROUNDUP(Q526+(Q526*Assumptions!Q$5),-2)</f>
        <v>9000</v>
      </c>
    </row>
    <row r="527" spans="1:18" s="84" customFormat="1" x14ac:dyDescent="0.2">
      <c r="A527" s="107">
        <v>137500</v>
      </c>
      <c r="B527" s="132">
        <v>72700</v>
      </c>
      <c r="C527" s="189">
        <v>66800</v>
      </c>
      <c r="D527" s="187">
        <f>34000+18000+24000-7000-1600</f>
        <v>67400</v>
      </c>
      <c r="E527" s="343" t="s">
        <v>1026</v>
      </c>
      <c r="F527" s="528" t="s">
        <v>102</v>
      </c>
      <c r="G527" s="189">
        <v>102000</v>
      </c>
      <c r="H527" s="138">
        <f t="shared" si="329"/>
        <v>51.335311572700292</v>
      </c>
      <c r="I527" s="33">
        <f>ROUNDUP(G527+(G527*Assumptions!H$5),-2)</f>
        <v>103600</v>
      </c>
      <c r="J527" s="33">
        <f>ROUNDUP(I527+(I527*Assumptions!I$5),-2)</f>
        <v>106200</v>
      </c>
      <c r="K527" s="33">
        <f>ROUNDUP(J527+(J527*Assumptions!J$5),-2)</f>
        <v>108900</v>
      </c>
      <c r="L527" s="33">
        <f>ROUNDUP(K527+(K527*Assumptions!K$5),-2)</f>
        <v>111700</v>
      </c>
      <c r="M527" s="33">
        <f>ROUNDUP(L527+(L527*Assumptions!L$5),-2)</f>
        <v>114000</v>
      </c>
      <c r="N527" s="33">
        <f>ROUNDUP(M527+(M527*Assumptions!M$5),-2)</f>
        <v>116300</v>
      </c>
      <c r="O527" s="33">
        <f>ROUNDUP(N527+(N527*Assumptions!N$5),-2)</f>
        <v>118700</v>
      </c>
      <c r="P527" s="33">
        <f>ROUNDUP(O527+(O527*Assumptions!O$5),-2)</f>
        <v>121100</v>
      </c>
      <c r="Q527" s="33">
        <f>ROUNDUP(P527+(P527*Assumptions!P$5),-2)</f>
        <v>123600</v>
      </c>
      <c r="R527" s="114">
        <f>ROUNDUP(Q527+(Q527*Assumptions!Q$5),-2)</f>
        <v>126100</v>
      </c>
    </row>
    <row r="528" spans="1:18" s="84" customFormat="1" x14ac:dyDescent="0.2">
      <c r="A528" s="107">
        <v>9000</v>
      </c>
      <c r="B528" s="33">
        <v>10700</v>
      </c>
      <c r="C528" s="189">
        <v>7100</v>
      </c>
      <c r="D528" s="187">
        <v>7000</v>
      </c>
      <c r="E528" s="343" t="s">
        <v>311</v>
      </c>
      <c r="F528" s="814" t="s">
        <v>1477</v>
      </c>
      <c r="G528" s="189">
        <v>10000</v>
      </c>
      <c r="H528" s="138">
        <f t="shared" si="329"/>
        <v>42.857142857142854</v>
      </c>
      <c r="I528" s="33">
        <f>ROUNDUP(G528+(G528*Assumptions!H$5),-2)</f>
        <v>10200</v>
      </c>
      <c r="J528" s="33">
        <f>ROUNDUP(I528+(I528*Assumptions!I$5),-2)</f>
        <v>10500</v>
      </c>
      <c r="K528" s="33">
        <f>ROUNDUP(J528+(J528*Assumptions!J$5),-2)</f>
        <v>10800</v>
      </c>
      <c r="L528" s="33">
        <f>ROUNDUP(K528+(K528*Assumptions!K$5),-2)</f>
        <v>11100</v>
      </c>
      <c r="M528" s="33">
        <f>ROUNDUP(L528+(L528*Assumptions!L$5),-2)</f>
        <v>11400</v>
      </c>
      <c r="N528" s="33">
        <f>ROUNDUP(M528+(M528*Assumptions!M$5),-2)</f>
        <v>11700</v>
      </c>
      <c r="O528" s="33">
        <f>ROUNDUP(N528+(N528*Assumptions!N$5),-2)</f>
        <v>12000</v>
      </c>
      <c r="P528" s="33">
        <f>ROUNDUP(O528+(O528*Assumptions!O$5),-2)</f>
        <v>12300</v>
      </c>
      <c r="Q528" s="33">
        <f>ROUNDUP(P528+(P528*Assumptions!P$5),-2)</f>
        <v>12600</v>
      </c>
      <c r="R528" s="114">
        <f>ROUNDUP(Q528+(Q528*Assumptions!Q$5),-2)</f>
        <v>12900</v>
      </c>
    </row>
    <row r="529" spans="1:18" s="84" customFormat="1" x14ac:dyDescent="0.2">
      <c r="A529" s="107"/>
      <c r="B529" s="33"/>
      <c r="C529" s="189"/>
      <c r="D529" s="187"/>
      <c r="E529" s="344"/>
      <c r="F529" s="814"/>
      <c r="G529" s="189"/>
      <c r="H529" s="138"/>
      <c r="I529" s="187"/>
      <c r="J529" s="33"/>
      <c r="K529" s="33"/>
      <c r="L529" s="33"/>
      <c r="M529" s="33"/>
      <c r="N529" s="33"/>
      <c r="O529" s="33"/>
      <c r="P529" s="142"/>
      <c r="Q529" s="33"/>
      <c r="R529" s="114"/>
    </row>
    <row r="530" spans="1:18" s="84" customFormat="1" x14ac:dyDescent="0.2">
      <c r="A530" s="107"/>
      <c r="B530" s="33"/>
      <c r="C530" s="189"/>
      <c r="D530" s="187"/>
      <c r="E530" s="811"/>
      <c r="F530" s="1447" t="s">
        <v>6131</v>
      </c>
      <c r="G530" s="189"/>
      <c r="H530" s="138"/>
      <c r="I530" s="187"/>
      <c r="J530" s="33"/>
      <c r="K530" s="33"/>
      <c r="L530" s="33"/>
      <c r="M530" s="33"/>
      <c r="N530" s="33"/>
      <c r="O530" s="33"/>
      <c r="P530" s="142"/>
      <c r="Q530" s="33"/>
      <c r="R530" s="114"/>
    </row>
    <row r="531" spans="1:18" s="84" customFormat="1" x14ac:dyDescent="0.2">
      <c r="A531" s="107">
        <v>0</v>
      </c>
      <c r="B531" s="33">
        <v>0</v>
      </c>
      <c r="C531" s="189">
        <v>0</v>
      </c>
      <c r="D531" s="187">
        <v>58200</v>
      </c>
      <c r="E531" s="811" t="s">
        <v>6733</v>
      </c>
      <c r="F531" s="953" t="s">
        <v>6737</v>
      </c>
      <c r="G531" s="189">
        <f>191500+10000</f>
        <v>201500</v>
      </c>
      <c r="H531" s="138">
        <f>IF(D531=G531,0,IF(D531=0,100,(G531-D531)/D531*100))</f>
        <v>246.21993127147766</v>
      </c>
      <c r="I531" s="33">
        <f>ROUNDUP(G531+(G531*Assumptions!H$5),-2)</f>
        <v>204600</v>
      </c>
      <c r="J531" s="33">
        <f>ROUNDUP(I531+(I531*Assumptions!I$5),-2)</f>
        <v>209800</v>
      </c>
      <c r="K531" s="33">
        <f>ROUNDUP(J531+(J531*Assumptions!J$5),-2)</f>
        <v>215100</v>
      </c>
      <c r="L531" s="33">
        <f>ROUNDUP(K531+(K531*Assumptions!K$5),-2)</f>
        <v>220500</v>
      </c>
      <c r="M531" s="33">
        <f>ROUNDUP(L531+(L531*Assumptions!L$5),-2)</f>
        <v>225000</v>
      </c>
      <c r="N531" s="33">
        <f>ROUNDUP(M531+(M531*Assumptions!M$5),-2)</f>
        <v>229500</v>
      </c>
      <c r="O531" s="33">
        <f>ROUNDUP(N531+(N531*Assumptions!N$5),-2)</f>
        <v>234100</v>
      </c>
      <c r="P531" s="33">
        <f>ROUNDUP(O531+(O531*Assumptions!O$5),-2)</f>
        <v>238800</v>
      </c>
      <c r="Q531" s="33">
        <f>ROUNDUP(P531+(P531*Assumptions!P$5),-2)</f>
        <v>243600</v>
      </c>
      <c r="R531" s="114">
        <f>ROUNDUP(Q531+(Q531*Assumptions!Q$5),-2)</f>
        <v>248500</v>
      </c>
    </row>
    <row r="532" spans="1:18" s="84" customFormat="1" x14ac:dyDescent="0.2">
      <c r="A532" s="107">
        <v>0</v>
      </c>
      <c r="B532" s="33">
        <v>0</v>
      </c>
      <c r="C532" s="189">
        <v>0</v>
      </c>
      <c r="D532" s="187">
        <v>500</v>
      </c>
      <c r="E532" s="811" t="s">
        <v>6734</v>
      </c>
      <c r="F532" s="953" t="s">
        <v>6738</v>
      </c>
      <c r="G532" s="189">
        <v>0</v>
      </c>
      <c r="H532" s="138">
        <f>IF(D532=G532,0,IF(D532=0,100,(G532-D532)/D532*100))</f>
        <v>-100</v>
      </c>
      <c r="I532" s="33">
        <f>ROUNDUP(G532+(G532*Assumptions!H$5),-2)</f>
        <v>0</v>
      </c>
      <c r="J532" s="33">
        <f>ROUNDUP(I532+(I532*Assumptions!I$5),-2)</f>
        <v>0</v>
      </c>
      <c r="K532" s="33">
        <f>ROUNDUP(J532+(J532*Assumptions!J$5),-2)</f>
        <v>0</v>
      </c>
      <c r="L532" s="33">
        <f>ROUNDUP(K532+(K532*Assumptions!K$5),-2)</f>
        <v>0</v>
      </c>
      <c r="M532" s="33">
        <f>ROUNDUP(L532+(L532*Assumptions!L$5),-2)</f>
        <v>0</v>
      </c>
      <c r="N532" s="33">
        <f>ROUNDUP(M532+(M532*Assumptions!M$5),-2)</f>
        <v>0</v>
      </c>
      <c r="O532" s="33">
        <f>ROUNDUP(N532+(N532*Assumptions!N$5),-2)</f>
        <v>0</v>
      </c>
      <c r="P532" s="33">
        <f>ROUNDUP(O532+(O532*Assumptions!O$5),-2)</f>
        <v>0</v>
      </c>
      <c r="Q532" s="33">
        <f>ROUNDUP(P532+(P532*Assumptions!P$5),-2)</f>
        <v>0</v>
      </c>
      <c r="R532" s="114">
        <f>ROUNDUP(Q532+(Q532*Assumptions!Q$5),-2)</f>
        <v>0</v>
      </c>
    </row>
    <row r="533" spans="1:18" s="84" customFormat="1" x14ac:dyDescent="0.2">
      <c r="A533" s="107">
        <v>0</v>
      </c>
      <c r="B533" s="33">
        <v>0</v>
      </c>
      <c r="C533" s="189">
        <v>0</v>
      </c>
      <c r="D533" s="187">
        <v>14500</v>
      </c>
      <c r="E533" s="811" t="s">
        <v>6735</v>
      </c>
      <c r="F533" s="953" t="s">
        <v>6739</v>
      </c>
      <c r="G533" s="189">
        <v>0</v>
      </c>
      <c r="H533" s="138">
        <f>IF(D533=G533,0,IF(D533=0,100,(G533-D533)/D533*100))</f>
        <v>-100</v>
      </c>
      <c r="I533" s="33">
        <f>ROUNDUP(G533+(G533*Assumptions!H$5),-2)</f>
        <v>0</v>
      </c>
      <c r="J533" s="33">
        <f>ROUNDUP(I533+(I533*Assumptions!I$5),-2)</f>
        <v>0</v>
      </c>
      <c r="K533" s="33">
        <f>ROUNDUP(J533+(J533*Assumptions!J$5),-2)</f>
        <v>0</v>
      </c>
      <c r="L533" s="33">
        <f>ROUNDUP(K533+(K533*Assumptions!K$5),-2)</f>
        <v>0</v>
      </c>
      <c r="M533" s="33">
        <f>ROUNDUP(L533+(L533*Assumptions!L$5),-2)</f>
        <v>0</v>
      </c>
      <c r="N533" s="33">
        <f>ROUNDUP(M533+(M533*Assumptions!M$5),-2)</f>
        <v>0</v>
      </c>
      <c r="O533" s="33">
        <f>ROUNDUP(N533+(N533*Assumptions!N$5),-2)</f>
        <v>0</v>
      </c>
      <c r="P533" s="33">
        <f>ROUNDUP(O533+(O533*Assumptions!O$5),-2)</f>
        <v>0</v>
      </c>
      <c r="Q533" s="33">
        <f>ROUNDUP(P533+(P533*Assumptions!P$5),-2)</f>
        <v>0</v>
      </c>
      <c r="R533" s="114">
        <f>ROUNDUP(Q533+(Q533*Assumptions!Q$5),-2)</f>
        <v>0</v>
      </c>
    </row>
    <row r="534" spans="1:18" s="84" customFormat="1" x14ac:dyDescent="0.2">
      <c r="A534" s="107">
        <v>0</v>
      </c>
      <c r="B534" s="33">
        <v>0</v>
      </c>
      <c r="C534" s="189">
        <v>0</v>
      </c>
      <c r="D534" s="187">
        <v>21600</v>
      </c>
      <c r="E534" s="811" t="s">
        <v>6736</v>
      </c>
      <c r="F534" s="953" t="s">
        <v>6740</v>
      </c>
      <c r="G534" s="189">
        <v>0</v>
      </c>
      <c r="H534" s="138">
        <f>IF(D534=G534,0,IF(D534=0,100,(G534-D534)/D534*100))</f>
        <v>-100</v>
      </c>
      <c r="I534" s="33">
        <f>ROUNDUP(G534+(G534*Assumptions!H$5),-2)</f>
        <v>0</v>
      </c>
      <c r="J534" s="33">
        <f>ROUNDUP(I534+(I534*Assumptions!I$5),-2)</f>
        <v>0</v>
      </c>
      <c r="K534" s="33">
        <f>ROUNDUP(J534+(J534*Assumptions!J$5),-2)</f>
        <v>0</v>
      </c>
      <c r="L534" s="33">
        <f>ROUNDUP(K534+(K534*Assumptions!K$5),-2)</f>
        <v>0</v>
      </c>
      <c r="M534" s="33">
        <f>ROUNDUP(L534+(L534*Assumptions!L$5),-2)</f>
        <v>0</v>
      </c>
      <c r="N534" s="33">
        <f>ROUNDUP(M534+(M534*Assumptions!M$5),-2)</f>
        <v>0</v>
      </c>
      <c r="O534" s="33">
        <f>ROUNDUP(N534+(N534*Assumptions!N$5),-2)</f>
        <v>0</v>
      </c>
      <c r="P534" s="33">
        <f>ROUNDUP(O534+(O534*Assumptions!O$5),-2)</f>
        <v>0</v>
      </c>
      <c r="Q534" s="33">
        <f>ROUNDUP(P534+(P534*Assumptions!P$5),-2)</f>
        <v>0</v>
      </c>
      <c r="R534" s="114">
        <f>ROUNDUP(Q534+(Q534*Assumptions!Q$5),-2)</f>
        <v>0</v>
      </c>
    </row>
    <row r="535" spans="1:18" s="84" customFormat="1" x14ac:dyDescent="0.2">
      <c r="A535" s="107"/>
      <c r="B535" s="33"/>
      <c r="C535" s="187"/>
      <c r="D535" s="187"/>
      <c r="E535" s="1955"/>
      <c r="F535" s="33"/>
      <c r="G535" s="189"/>
      <c r="H535" s="138"/>
      <c r="I535" s="187"/>
      <c r="J535" s="33"/>
      <c r="K535" s="33"/>
      <c r="L535" s="33"/>
      <c r="M535" s="33"/>
      <c r="N535" s="33"/>
      <c r="O535" s="33"/>
      <c r="P535" s="142"/>
      <c r="Q535" s="33"/>
      <c r="R535" s="114"/>
    </row>
    <row r="536" spans="1:18" s="84" customFormat="1" x14ac:dyDescent="0.2">
      <c r="A536" s="107"/>
      <c r="B536" s="33"/>
      <c r="C536" s="187"/>
      <c r="D536" s="187"/>
      <c r="E536" s="1955"/>
      <c r="F536" s="64" t="s">
        <v>1130</v>
      </c>
      <c r="G536" s="189"/>
      <c r="H536" s="138"/>
      <c r="I536" s="33"/>
      <c r="J536" s="33"/>
      <c r="K536" s="33"/>
      <c r="L536" s="33"/>
      <c r="M536" s="33"/>
      <c r="N536" s="33"/>
      <c r="O536" s="33"/>
      <c r="P536" s="142"/>
      <c r="Q536" s="33"/>
      <c r="R536" s="114"/>
    </row>
    <row r="537" spans="1:18" s="84" customFormat="1" x14ac:dyDescent="0.2">
      <c r="A537" s="107">
        <v>3266700</v>
      </c>
      <c r="B537" s="33">
        <v>4766800</v>
      </c>
      <c r="C537" s="33">
        <v>4647600</v>
      </c>
      <c r="D537" s="189">
        <f>ROUND('Debt-WW'!K16,-2)</f>
        <v>4358200</v>
      </c>
      <c r="E537" s="343" t="s">
        <v>2750</v>
      </c>
      <c r="F537" s="33" t="s">
        <v>1366</v>
      </c>
      <c r="G537" s="189">
        <f>ROUND('Debt-WW'!M16,-2)</f>
        <v>4193600</v>
      </c>
      <c r="H537" s="138">
        <f>IF(D537=G537,0,IF(D537=0,100,(G537-D537)/D537*100))</f>
        <v>-3.7767885824422929</v>
      </c>
      <c r="I537" s="33">
        <f>ROUND('Debt-WW'!O16,-2)</f>
        <v>4055900</v>
      </c>
      <c r="J537" s="33">
        <f>ROUND('Debt-WW'!Q16,-2)</f>
        <v>3744300</v>
      </c>
      <c r="K537" s="33">
        <f>ROUND('Debt-WW'!S16,-2)</f>
        <v>3598000</v>
      </c>
      <c r="L537" s="33">
        <f>ROUND('Debt-WW'!U16,-2)</f>
        <v>3439800</v>
      </c>
      <c r="M537" s="33">
        <f>ROUND('Debt-WW'!W16,-2)</f>
        <v>3239200</v>
      </c>
      <c r="N537" s="33">
        <f>ROUND('Debt-WW'!Y16,-2)</f>
        <v>3049200</v>
      </c>
      <c r="O537" s="33">
        <f>ROUND('Debt-WW'!AA16,-2)</f>
        <v>2856300</v>
      </c>
      <c r="P537" s="142">
        <f>ROUND('Debt-WW'!AC16,-2)</f>
        <v>2658300</v>
      </c>
      <c r="Q537" s="33">
        <f>ROUND('Debt-WW'!AE16,-2)</f>
        <v>2463300</v>
      </c>
      <c r="R537" s="114">
        <f>ROUND('Debt-WW'!AG16,-2)</f>
        <v>2266300</v>
      </c>
    </row>
    <row r="538" spans="1:18" s="84" customFormat="1" x14ac:dyDescent="0.2">
      <c r="A538" s="107"/>
      <c r="B538" s="33"/>
      <c r="C538" s="189"/>
      <c r="D538" s="187"/>
      <c r="E538" s="1955"/>
      <c r="F538" s="33"/>
      <c r="G538" s="187"/>
      <c r="H538" s="138"/>
      <c r="I538" s="33"/>
      <c r="J538" s="33"/>
      <c r="K538" s="33"/>
      <c r="L538" s="33"/>
      <c r="M538" s="33"/>
      <c r="N538" s="33"/>
      <c r="O538" s="33"/>
      <c r="P538" s="142"/>
      <c r="Q538" s="33"/>
      <c r="R538" s="114"/>
    </row>
    <row r="539" spans="1:18" s="84" customFormat="1" x14ac:dyDescent="0.2">
      <c r="A539" s="107"/>
      <c r="B539" s="33"/>
      <c r="C539" s="189"/>
      <c r="D539" s="187"/>
      <c r="E539" s="1955"/>
      <c r="F539" s="64" t="s">
        <v>265</v>
      </c>
      <c r="G539" s="187"/>
      <c r="H539" s="138"/>
      <c r="I539" s="33"/>
      <c r="J539" s="33"/>
      <c r="K539" s="33"/>
      <c r="L539" s="33"/>
      <c r="M539" s="33"/>
      <c r="N539" s="33"/>
      <c r="O539" s="33"/>
      <c r="P539" s="142"/>
      <c r="Q539" s="33"/>
      <c r="R539" s="114"/>
    </row>
    <row r="540" spans="1:18" s="84" customFormat="1" x14ac:dyDescent="0.2">
      <c r="A540" s="107">
        <v>2841000</v>
      </c>
      <c r="B540" s="33">
        <v>2643100</v>
      </c>
      <c r="C540" s="189">
        <v>2314300</v>
      </c>
      <c r="D540" s="187">
        <v>3531900</v>
      </c>
      <c r="E540" s="343" t="s">
        <v>1558</v>
      </c>
      <c r="F540" s="33" t="s">
        <v>2070</v>
      </c>
      <c r="G540" s="187">
        <v>2678000</v>
      </c>
      <c r="H540" s="138">
        <f>IF(D540=G540,0,IF(D540=0,100,(G540-D540)/D540*100))</f>
        <v>-24.176788697301735</v>
      </c>
      <c r="I540" s="187">
        <f>3454000+221000+100000</f>
        <v>3775000</v>
      </c>
      <c r="J540" s="33">
        <f>ROUND(I540+(I540*Assumptions!I$18),-3)</f>
        <v>3851000</v>
      </c>
      <c r="K540" s="33">
        <f>ROUND(J540+(J540*Assumptions!J$18),-3)</f>
        <v>3928000</v>
      </c>
      <c r="L540" s="33">
        <f>ROUND(K540+(K540*Assumptions!K$18),-3)</f>
        <v>4007000</v>
      </c>
      <c r="M540" s="33">
        <f>ROUND(L540+(L540*Assumptions!L$18),-3)</f>
        <v>4087000</v>
      </c>
      <c r="N540" s="33">
        <f>ROUND(M540+(M540*Assumptions!M$18),-3)</f>
        <v>4169000</v>
      </c>
      <c r="O540" s="33">
        <f>ROUND(N540+(N540*Assumptions!N$18),-3)</f>
        <v>4252000</v>
      </c>
      <c r="P540" s="142">
        <f>ROUND(O540+(O540*Assumptions!O$18),-3)</f>
        <v>4337000</v>
      </c>
      <c r="Q540" s="33">
        <f>ROUND(P540+(P540*Assumptions!P$18),-3)</f>
        <v>4424000</v>
      </c>
      <c r="R540" s="114">
        <f>ROUND(Q540+(Q540*Assumptions!Q$18),-3)</f>
        <v>4512000</v>
      </c>
    </row>
    <row r="541" spans="1:18" s="84" customFormat="1" x14ac:dyDescent="0.2">
      <c r="A541" s="107">
        <v>1595500</v>
      </c>
      <c r="B541" s="33">
        <v>20300</v>
      </c>
      <c r="C541" s="189">
        <v>12216800</v>
      </c>
      <c r="D541" s="187">
        <v>10800</v>
      </c>
      <c r="E541" s="821" t="s">
        <v>4511</v>
      </c>
      <c r="F541" s="814" t="s">
        <v>4520</v>
      </c>
      <c r="G541" s="187">
        <v>0</v>
      </c>
      <c r="H541" s="138">
        <f>IF(D541=G541,0,IF(D541=0,100,(G541-D541)/D541*100))</f>
        <v>-100</v>
      </c>
      <c r="I541" s="33">
        <f>ROUNDUP(G541+(G541*Assumptions!H$5),-2)</f>
        <v>0</v>
      </c>
      <c r="J541" s="33">
        <f>ROUNDUP(I541+(I541*Assumptions!I$5),-2)</f>
        <v>0</v>
      </c>
      <c r="K541" s="33">
        <f>ROUNDUP(J541+(J541*Assumptions!J$5),-2)</f>
        <v>0</v>
      </c>
      <c r="L541" s="33">
        <f>ROUNDUP(K541+(K541*Assumptions!K$5),-2)</f>
        <v>0</v>
      </c>
      <c r="M541" s="33">
        <f>ROUNDUP(L541+(L541*Assumptions!L$5),-2)</f>
        <v>0</v>
      </c>
      <c r="N541" s="33">
        <f>ROUNDUP(M541+(M541*Assumptions!M$5),-2)</f>
        <v>0</v>
      </c>
      <c r="O541" s="33">
        <f>ROUNDUP(N541+(N541*Assumptions!N$5),-2)</f>
        <v>0</v>
      </c>
      <c r="P541" s="142">
        <f>ROUNDUP(O541+(O541*Assumptions!O$5),-2)</f>
        <v>0</v>
      </c>
      <c r="Q541" s="33">
        <f>ROUNDUP(P541+(P541*Assumptions!P$5),-2)</f>
        <v>0</v>
      </c>
      <c r="R541" s="114">
        <f>ROUNDUP(Q541+(Q541*Assumptions!Q$5),-2)</f>
        <v>0</v>
      </c>
    </row>
    <row r="542" spans="1:18" s="84" customFormat="1" x14ac:dyDescent="0.2">
      <c r="A542" s="107">
        <v>435600</v>
      </c>
      <c r="B542" s="33">
        <v>394000</v>
      </c>
      <c r="C542" s="33">
        <v>349200</v>
      </c>
      <c r="D542" s="187">
        <v>301100</v>
      </c>
      <c r="E542" s="343" t="s">
        <v>392</v>
      </c>
      <c r="F542" s="132" t="s">
        <v>1267</v>
      </c>
      <c r="G542" s="189">
        <v>249000</v>
      </c>
      <c r="H542" s="138">
        <f>IF(D542=G542,0,IF(D542=0,100,(G542-D542)/D542*100))</f>
        <v>-17.303221521089341</v>
      </c>
      <c r="I542" s="33">
        <v>194000</v>
      </c>
      <c r="J542" s="33">
        <v>134000</v>
      </c>
      <c r="K542" s="33">
        <v>69000</v>
      </c>
      <c r="L542" s="33">
        <v>0</v>
      </c>
      <c r="M542" s="33">
        <v>0</v>
      </c>
      <c r="N542" s="33">
        <v>0</v>
      </c>
      <c r="O542" s="33">
        <v>0</v>
      </c>
      <c r="P542" s="142">
        <v>0</v>
      </c>
      <c r="Q542" s="33">
        <v>0</v>
      </c>
      <c r="R542" s="114">
        <v>0</v>
      </c>
    </row>
    <row r="543" spans="1:18" s="84" customFormat="1" ht="13.5" thickBot="1" x14ac:dyDescent="0.25">
      <c r="A543" s="107"/>
      <c r="B543" s="33"/>
      <c r="C543" s="189"/>
      <c r="D543" s="187"/>
      <c r="E543" s="1959"/>
      <c r="F543" s="366"/>
      <c r="G543" s="187"/>
      <c r="H543" s="138"/>
      <c r="I543" s="33"/>
      <c r="J543" s="33"/>
      <c r="K543" s="33"/>
      <c r="L543" s="33"/>
      <c r="M543" s="33"/>
      <c r="N543" s="33"/>
      <c r="O543" s="33"/>
      <c r="P543" s="142"/>
      <c r="Q543" s="33"/>
      <c r="R543" s="114"/>
    </row>
    <row r="544" spans="1:18" s="92" customFormat="1" x14ac:dyDescent="0.2">
      <c r="A544" s="105">
        <f>SUM(A404:A543)</f>
        <v>17499300</v>
      </c>
      <c r="B544" s="53">
        <f>SUM(B404:B543)</f>
        <v>17044400</v>
      </c>
      <c r="C544" s="190">
        <f>SUM(C404:C543)</f>
        <v>28747200</v>
      </c>
      <c r="D544" s="199">
        <f>SUM(D404:D543)</f>
        <v>17312700</v>
      </c>
      <c r="E544" s="1990"/>
      <c r="F544" s="378" t="s">
        <v>565</v>
      </c>
      <c r="G544" s="199">
        <f>SUM(G404:G543)</f>
        <v>17187700</v>
      </c>
      <c r="H544" s="180">
        <f>IF(D544=G544,0,IF(D544=0,100,(G544-D544)/D544*100))</f>
        <v>-0.72201331970172189</v>
      </c>
      <c r="I544" s="53">
        <f t="shared" ref="I544:Q544" si="330">SUM(I404:I543)</f>
        <v>17800500</v>
      </c>
      <c r="J544" s="53">
        <f t="shared" si="330"/>
        <v>17710400</v>
      </c>
      <c r="K544" s="53">
        <f t="shared" si="330"/>
        <v>17828600</v>
      </c>
      <c r="L544" s="53">
        <f t="shared" si="330"/>
        <v>17938700</v>
      </c>
      <c r="M544" s="53">
        <f t="shared" si="330"/>
        <v>18031700</v>
      </c>
      <c r="N544" s="53">
        <f t="shared" si="330"/>
        <v>18191200</v>
      </c>
      <c r="O544" s="53">
        <f t="shared" si="330"/>
        <v>18252600</v>
      </c>
      <c r="P544" s="155">
        <f t="shared" si="330"/>
        <v>18365500</v>
      </c>
      <c r="Q544" s="53">
        <f t="shared" si="330"/>
        <v>18420300</v>
      </c>
      <c r="R544" s="113">
        <f t="shared" ref="R544" si="331">SUM(R404:R543)</f>
        <v>18540400</v>
      </c>
    </row>
    <row r="545" spans="1:18" s="84" customFormat="1" x14ac:dyDescent="0.2">
      <c r="A545" s="107"/>
      <c r="B545" s="33"/>
      <c r="C545" s="189"/>
      <c r="D545" s="187"/>
      <c r="E545" s="1959"/>
      <c r="F545" s="366"/>
      <c r="G545" s="187"/>
      <c r="H545" s="138"/>
      <c r="I545" s="33"/>
      <c r="J545" s="33"/>
      <c r="K545" s="33"/>
      <c r="L545" s="33"/>
      <c r="M545" s="33"/>
      <c r="N545" s="33"/>
      <c r="O545" s="33"/>
      <c r="P545" s="142"/>
      <c r="Q545" s="33"/>
      <c r="R545" s="114"/>
    </row>
    <row r="546" spans="1:18" s="92" customFormat="1" x14ac:dyDescent="0.2">
      <c r="A546" s="70">
        <f>A402-A544</f>
        <v>-3712700</v>
      </c>
      <c r="B546" s="64">
        <f>B402-B544</f>
        <v>-2581600</v>
      </c>
      <c r="C546" s="193">
        <f>C402-C544</f>
        <v>-13391300</v>
      </c>
      <c r="D546" s="192">
        <f>D402-D544</f>
        <v>-948800</v>
      </c>
      <c r="E546" s="1990"/>
      <c r="F546" s="516" t="s">
        <v>1019</v>
      </c>
      <c r="G546" s="192">
        <f>G402-G544</f>
        <v>518200</v>
      </c>
      <c r="H546" s="179">
        <f>IF(D546=G546,0,IF(D546=0,100,(G546-D546)/D546*100))</f>
        <v>-154.61635750421584</v>
      </c>
      <c r="I546" s="64">
        <f t="shared" ref="I546:Q546" si="332">I402-I544</f>
        <v>338000</v>
      </c>
      <c r="J546" s="64">
        <f t="shared" si="332"/>
        <v>892600</v>
      </c>
      <c r="K546" s="64">
        <f t="shared" si="332"/>
        <v>1286900</v>
      </c>
      <c r="L546" s="64">
        <f t="shared" si="332"/>
        <v>1904300</v>
      </c>
      <c r="M546" s="64">
        <f t="shared" si="332"/>
        <v>2368300</v>
      </c>
      <c r="N546" s="64">
        <f t="shared" si="332"/>
        <v>2830700</v>
      </c>
      <c r="O546" s="64">
        <f t="shared" si="332"/>
        <v>3374900</v>
      </c>
      <c r="P546" s="128">
        <f t="shared" si="332"/>
        <v>3962300</v>
      </c>
      <c r="Q546" s="64">
        <f t="shared" si="332"/>
        <v>4701200</v>
      </c>
      <c r="R546" s="115">
        <f t="shared" ref="R546" si="333">R402-R544</f>
        <v>5400200</v>
      </c>
    </row>
    <row r="547" spans="1:18" s="84" customFormat="1" x14ac:dyDescent="0.2">
      <c r="A547" s="107">
        <f t="shared" ref="A547:B547" si="334">A540</f>
        <v>2841000</v>
      </c>
      <c r="B547" s="33">
        <f t="shared" si="334"/>
        <v>2643100</v>
      </c>
      <c r="C547" s="189">
        <f t="shared" ref="C547:D549" si="335">C540</f>
        <v>2314300</v>
      </c>
      <c r="D547" s="187">
        <f t="shared" si="335"/>
        <v>3531900</v>
      </c>
      <c r="E547" s="1959"/>
      <c r="F547" s="372" t="s">
        <v>1976</v>
      </c>
      <c r="G547" s="187">
        <f t="shared" ref="G547:P547" si="336">G540</f>
        <v>2678000</v>
      </c>
      <c r="H547" s="138">
        <f>IF(D547=G547,0,IF(D547=0,100,(G547-D547)/D547*100))</f>
        <v>-24.176788697301735</v>
      </c>
      <c r="I547" s="33">
        <f t="shared" si="336"/>
        <v>3775000</v>
      </c>
      <c r="J547" s="33">
        <f t="shared" si="336"/>
        <v>3851000</v>
      </c>
      <c r="K547" s="33">
        <f t="shared" si="336"/>
        <v>3928000</v>
      </c>
      <c r="L547" s="33">
        <f t="shared" si="336"/>
        <v>4007000</v>
      </c>
      <c r="M547" s="33">
        <f t="shared" si="336"/>
        <v>4087000</v>
      </c>
      <c r="N547" s="33">
        <f t="shared" si="336"/>
        <v>4169000</v>
      </c>
      <c r="O547" s="33">
        <f t="shared" si="336"/>
        <v>4252000</v>
      </c>
      <c r="P547" s="142">
        <f t="shared" si="336"/>
        <v>4337000</v>
      </c>
      <c r="Q547" s="33">
        <f t="shared" ref="Q547" si="337">Q540</f>
        <v>4424000</v>
      </c>
      <c r="R547" s="114">
        <f t="shared" ref="R547" si="338">R540</f>
        <v>4512000</v>
      </c>
    </row>
    <row r="548" spans="1:18" s="84" customFormat="1" x14ac:dyDescent="0.2">
      <c r="A548" s="107">
        <f t="shared" ref="A548:B548" si="339">A541</f>
        <v>1595500</v>
      </c>
      <c r="B548" s="33">
        <f t="shared" si="339"/>
        <v>20300</v>
      </c>
      <c r="C548" s="189">
        <f t="shared" si="335"/>
        <v>12216800</v>
      </c>
      <c r="D548" s="187">
        <f t="shared" si="335"/>
        <v>10800</v>
      </c>
      <c r="E548" s="1959"/>
      <c r="F548" s="372" t="s">
        <v>4700</v>
      </c>
      <c r="G548" s="187">
        <f t="shared" ref="G548:P548" si="340">G541</f>
        <v>0</v>
      </c>
      <c r="H548" s="138">
        <f>IF(D548=G548,0,IF(D548=0,100,(G548-D548)/D548*100))</f>
        <v>-100</v>
      </c>
      <c r="I548" s="33">
        <f t="shared" si="340"/>
        <v>0</v>
      </c>
      <c r="J548" s="33">
        <f t="shared" si="340"/>
        <v>0</v>
      </c>
      <c r="K548" s="33">
        <f t="shared" si="340"/>
        <v>0</v>
      </c>
      <c r="L548" s="33">
        <f t="shared" si="340"/>
        <v>0</v>
      </c>
      <c r="M548" s="33">
        <f t="shared" si="340"/>
        <v>0</v>
      </c>
      <c r="N548" s="33">
        <f t="shared" si="340"/>
        <v>0</v>
      </c>
      <c r="O548" s="33">
        <f t="shared" si="340"/>
        <v>0</v>
      </c>
      <c r="P548" s="142">
        <f t="shared" si="340"/>
        <v>0</v>
      </c>
      <c r="Q548" s="33">
        <f t="shared" ref="Q548" si="341">Q541</f>
        <v>0</v>
      </c>
      <c r="R548" s="114">
        <f t="shared" ref="R548" si="342">R541</f>
        <v>0</v>
      </c>
    </row>
    <row r="549" spans="1:18" s="84" customFormat="1" x14ac:dyDescent="0.2">
      <c r="A549" s="107">
        <f t="shared" ref="A549:B549" si="343">A542</f>
        <v>435600</v>
      </c>
      <c r="B549" s="33">
        <f t="shared" si="343"/>
        <v>394000</v>
      </c>
      <c r="C549" s="189">
        <f t="shared" si="335"/>
        <v>349200</v>
      </c>
      <c r="D549" s="187">
        <f t="shared" si="335"/>
        <v>301100</v>
      </c>
      <c r="E549" s="1959"/>
      <c r="F549" s="372" t="s">
        <v>2782</v>
      </c>
      <c r="G549" s="187">
        <f t="shared" ref="G549:P549" si="344">G542</f>
        <v>249000</v>
      </c>
      <c r="H549" s="138">
        <f>IF(D549=G549,0,IF(D549=0,100,(G549-D549)/D549*100))</f>
        <v>-17.303221521089341</v>
      </c>
      <c r="I549" s="33">
        <f t="shared" si="344"/>
        <v>194000</v>
      </c>
      <c r="J549" s="33">
        <f t="shared" si="344"/>
        <v>134000</v>
      </c>
      <c r="K549" s="33">
        <f t="shared" si="344"/>
        <v>69000</v>
      </c>
      <c r="L549" s="33">
        <f t="shared" si="344"/>
        <v>0</v>
      </c>
      <c r="M549" s="33">
        <f t="shared" si="344"/>
        <v>0</v>
      </c>
      <c r="N549" s="33">
        <f t="shared" si="344"/>
        <v>0</v>
      </c>
      <c r="O549" s="33">
        <f t="shared" si="344"/>
        <v>0</v>
      </c>
      <c r="P549" s="142">
        <f t="shared" si="344"/>
        <v>0</v>
      </c>
      <c r="Q549" s="33">
        <f t="shared" ref="Q549" si="345">Q542</f>
        <v>0</v>
      </c>
      <c r="R549" s="114">
        <f t="shared" ref="R549" si="346">R542</f>
        <v>0</v>
      </c>
    </row>
    <row r="550" spans="1:18" s="92" customFormat="1" x14ac:dyDescent="0.2">
      <c r="A550" s="181">
        <f t="shared" ref="A550:B550" si="347">SUM(A546:A549)</f>
        <v>1159400</v>
      </c>
      <c r="B550" s="397">
        <f t="shared" si="347"/>
        <v>475800</v>
      </c>
      <c r="C550" s="398">
        <f>SUM(C546:C549)</f>
        <v>1489000</v>
      </c>
      <c r="D550" s="728">
        <f>SUM(D546:D549)</f>
        <v>2895000</v>
      </c>
      <c r="E550" s="521"/>
      <c r="F550" s="518" t="s">
        <v>1687</v>
      </c>
      <c r="G550" s="728">
        <f t="shared" ref="G550" si="348">SUM(G546:G549)</f>
        <v>3445200</v>
      </c>
      <c r="H550" s="395">
        <f>IF(D550=G550,0,IF(D550=0,100,(G550-D550)/D550*100))</f>
        <v>19.005181347150259</v>
      </c>
      <c r="I550" s="397">
        <f t="shared" ref="I550" si="349">SUM(I546:I549)</f>
        <v>4307000</v>
      </c>
      <c r="J550" s="397">
        <f t="shared" ref="J550" si="350">SUM(J546:J549)</f>
        <v>4877600</v>
      </c>
      <c r="K550" s="397">
        <f t="shared" ref="K550" si="351">SUM(K546:K549)</f>
        <v>5283900</v>
      </c>
      <c r="L550" s="397">
        <f t="shared" ref="L550" si="352">SUM(L546:L549)</f>
        <v>5911300</v>
      </c>
      <c r="M550" s="397">
        <f t="shared" ref="M550" si="353">SUM(M546:M549)</f>
        <v>6455300</v>
      </c>
      <c r="N550" s="397">
        <f t="shared" ref="N550" si="354">SUM(N546:N549)</f>
        <v>6999700</v>
      </c>
      <c r="O550" s="397">
        <f t="shared" ref="O550" si="355">SUM(O546:O549)</f>
        <v>7626900</v>
      </c>
      <c r="P550" s="377">
        <f t="shared" ref="P550:Q550" si="356">SUM(P546:P549)</f>
        <v>8299300</v>
      </c>
      <c r="Q550" s="397">
        <f t="shared" si="356"/>
        <v>9125200</v>
      </c>
      <c r="R550" s="399">
        <f t="shared" ref="R550" si="357">SUM(R546:R549)</f>
        <v>9912200</v>
      </c>
    </row>
    <row r="551" spans="1:18" s="84" customFormat="1" ht="13.5" thickBot="1" x14ac:dyDescent="0.25">
      <c r="A551" s="171"/>
      <c r="B551" s="66"/>
      <c r="C551" s="202"/>
      <c r="D551" s="729"/>
      <c r="E551" s="172"/>
      <c r="F551" s="380"/>
      <c r="G551" s="729"/>
      <c r="H551" s="140"/>
      <c r="I551" s="121"/>
      <c r="J551" s="121"/>
      <c r="K551" s="121"/>
      <c r="L551" s="121"/>
      <c r="M551" s="121"/>
      <c r="N551" s="121"/>
      <c r="O551" s="121"/>
      <c r="P551" s="95"/>
      <c r="Q551" s="121"/>
      <c r="R551" s="161"/>
    </row>
    <row r="552" spans="1:18" s="84" customFormat="1" ht="13.5" thickTop="1" x14ac:dyDescent="0.2">
      <c r="A552" s="383"/>
      <c r="B552" s="162"/>
      <c r="C552" s="194"/>
      <c r="D552" s="730"/>
      <c r="E552" s="123"/>
      <c r="F552" s="367"/>
      <c r="G552" s="730"/>
      <c r="H552" s="505"/>
      <c r="I552" s="127"/>
      <c r="J552" s="127"/>
      <c r="K552" s="127"/>
      <c r="L552" s="127"/>
      <c r="M552" s="127"/>
      <c r="N552" s="127"/>
      <c r="O552" s="127"/>
      <c r="P552" s="164"/>
      <c r="Q552" s="127"/>
      <c r="R552" s="163"/>
    </row>
    <row r="553" spans="1:18" s="84" customFormat="1" x14ac:dyDescent="0.2">
      <c r="A553" s="70"/>
      <c r="B553" s="64"/>
      <c r="C553" s="193"/>
      <c r="D553" s="192"/>
      <c r="E553" s="123"/>
      <c r="F553" s="516" t="s">
        <v>196</v>
      </c>
      <c r="G553" s="192"/>
      <c r="H553" s="179"/>
      <c r="I553" s="33"/>
      <c r="J553" s="33"/>
      <c r="K553" s="33"/>
      <c r="L553" s="33"/>
      <c r="M553" s="33"/>
      <c r="N553" s="33"/>
      <c r="O553" s="33"/>
      <c r="P553" s="142"/>
      <c r="Q553" s="33"/>
      <c r="R553" s="114"/>
    </row>
    <row r="554" spans="1:18" s="84" customFormat="1" x14ac:dyDescent="0.2">
      <c r="A554" s="107">
        <v>985000</v>
      </c>
      <c r="B554" s="33">
        <f>ROUND('Debt-WW'!F16,-2)</f>
        <v>2384800</v>
      </c>
      <c r="C554" s="189">
        <f>ROUND('Debt-WW'!H16,-2)</f>
        <v>2187900</v>
      </c>
      <c r="D554" s="187">
        <f>ROUND('Debt-WW'!J16,-2)</f>
        <v>2793300</v>
      </c>
      <c r="E554" s="123"/>
      <c r="F554" s="366" t="s">
        <v>2900</v>
      </c>
      <c r="G554" s="187">
        <f>ROUND('Debt-WW'!L16,-2)</f>
        <v>2957900</v>
      </c>
      <c r="H554" s="138"/>
      <c r="I554" s="33">
        <f>ROUND('Debt-WW'!N16,-2)</f>
        <v>3095600</v>
      </c>
      <c r="J554" s="33">
        <f>ROUND('Debt-WW'!P16,-2)</f>
        <v>3134000</v>
      </c>
      <c r="K554" s="33">
        <f>ROUND('Debt-WW'!R16,-2)</f>
        <v>3280300</v>
      </c>
      <c r="L554" s="33">
        <f>ROUND('Debt-WW'!T16,-2)</f>
        <v>2453500</v>
      </c>
      <c r="M554" s="33">
        <f>ROUND('Debt-WW'!V16,-2)</f>
        <v>2654100</v>
      </c>
      <c r="N554" s="33">
        <f>ROUND('Debt-WW'!X16,-2)</f>
        <v>2844100</v>
      </c>
      <c r="O554" s="33">
        <f>ROUND('Debt-WW'!Z16,-2)</f>
        <v>3037000</v>
      </c>
      <c r="P554" s="142">
        <f>ROUND('Debt-WW'!AB16,-2)</f>
        <v>3235000</v>
      </c>
      <c r="Q554" s="33">
        <f>ROUND('Debt-WW'!AD16,-2)</f>
        <v>3430000</v>
      </c>
      <c r="R554" s="114">
        <f>ROUND('Debt-WW'!AF16,-2)</f>
        <v>3627000</v>
      </c>
    </row>
    <row r="555" spans="1:18" s="84" customFormat="1" x14ac:dyDescent="0.2">
      <c r="A555" s="107">
        <v>239300</v>
      </c>
      <c r="B555" s="33">
        <f>IF(B550-B554-B558+B557&gt;0,B550-B554-B558+B557-20000,0)</f>
        <v>0</v>
      </c>
      <c r="C555" s="189">
        <f>IF(C550-C554-C558+C557&gt;0,C550-C554-C558+C557-20000,0)</f>
        <v>0</v>
      </c>
      <c r="D555" s="187">
        <f>IF(D550-D554-D558+D557&gt;0,D550-D554-D558+D557-20000,0)</f>
        <v>0</v>
      </c>
      <c r="E555" s="123"/>
      <c r="F555" s="366" t="s">
        <v>1942</v>
      </c>
      <c r="G555" s="187">
        <f t="shared" ref="G555:P555" si="358">IF(G550-G554-G558+G557&gt;0,G550-G554-G558+G557-20000,0)</f>
        <v>0</v>
      </c>
      <c r="H555" s="138"/>
      <c r="I555" s="33">
        <f t="shared" si="358"/>
        <v>0</v>
      </c>
      <c r="J555" s="33">
        <f t="shared" si="358"/>
        <v>0</v>
      </c>
      <c r="K555" s="33">
        <f t="shared" si="358"/>
        <v>0</v>
      </c>
      <c r="L555" s="33">
        <f t="shared" si="358"/>
        <v>0</v>
      </c>
      <c r="M555" s="33">
        <f t="shared" si="358"/>
        <v>0</v>
      </c>
      <c r="N555" s="33">
        <f t="shared" si="358"/>
        <v>0</v>
      </c>
      <c r="O555" s="33">
        <f t="shared" si="358"/>
        <v>3481900</v>
      </c>
      <c r="P555" s="142">
        <f t="shared" si="358"/>
        <v>3938300</v>
      </c>
      <c r="Q555" s="33">
        <f t="shared" ref="Q555" si="359">IF(Q550-Q554-Q558+Q557&gt;0,Q550-Q554-Q558+Q557-20000,0)</f>
        <v>4448200</v>
      </c>
      <c r="R555" s="114">
        <f t="shared" ref="R555" si="360">IF(R550-R554-R558+R557&gt;0,R550-R554-R558+R557-20000,0)</f>
        <v>5097200</v>
      </c>
    </row>
    <row r="556" spans="1:18" s="84" customFormat="1" x14ac:dyDescent="0.2">
      <c r="A556" s="107">
        <v>6638900</v>
      </c>
      <c r="B556" s="33">
        <f>IF(B550-B554-B558+B557&gt;0,0,-(B550-B554-B558+B557-20000))</f>
        <v>8689200</v>
      </c>
      <c r="C556" s="189">
        <f>IF(C550-C554-C558+C557&gt;0,0,-(C550-C554-C558+C557-20000))</f>
        <v>5039300</v>
      </c>
      <c r="D556" s="187">
        <f>IF(D550-D554-D558+D557&gt;0,0,-(D550-D554-D558+D557-20000))</f>
        <v>2011000</v>
      </c>
      <c r="E556" s="123"/>
      <c r="F556" s="366" t="s">
        <v>2348</v>
      </c>
      <c r="G556" s="187">
        <f t="shared" ref="G556:P556" si="361">IF(G550-G554-G558+G557&gt;0,0,-(G550-G554-G558+G557-20000))</f>
        <v>3060700</v>
      </c>
      <c r="H556" s="138"/>
      <c r="I556" s="33">
        <f t="shared" si="361"/>
        <v>2918600</v>
      </c>
      <c r="J556" s="33">
        <f t="shared" si="361"/>
        <v>1259400</v>
      </c>
      <c r="K556" s="33">
        <f t="shared" si="361"/>
        <v>363800</v>
      </c>
      <c r="L556" s="33">
        <f t="shared" si="361"/>
        <v>931000</v>
      </c>
      <c r="M556" s="33">
        <f t="shared" si="361"/>
        <v>868800</v>
      </c>
      <c r="N556" s="33">
        <f t="shared" si="361"/>
        <v>333400</v>
      </c>
      <c r="O556" s="33">
        <f t="shared" si="361"/>
        <v>0</v>
      </c>
      <c r="P556" s="142">
        <f t="shared" si="361"/>
        <v>0</v>
      </c>
      <c r="Q556" s="33">
        <f t="shared" ref="Q556" si="362">IF(Q550-Q554-Q558+Q557&gt;0,0,-(Q550-Q554-Q558+Q557-20000))</f>
        <v>0</v>
      </c>
      <c r="R556" s="114">
        <f t="shared" ref="R556" si="363">IF(R550-R554-R558+R557&gt;0,0,-(R550-R554-R558+R557-20000))</f>
        <v>0</v>
      </c>
    </row>
    <row r="557" spans="1:18" s="84" customFormat="1" x14ac:dyDescent="0.2">
      <c r="A557" s="107">
        <v>18800000</v>
      </c>
      <c r="B557" s="33">
        <f>'[2]Cash-WW'!A18</f>
        <v>1351900</v>
      </c>
      <c r="C557" s="189">
        <f>SUM('[2]Cap-WW'!W136:Y136)+'[2]Cap-WW'!G147</f>
        <v>0</v>
      </c>
      <c r="D557" s="187">
        <f>SUM('Cap-WW'!R121:T121)+'Cap-WW'!F131</f>
        <v>174600</v>
      </c>
      <c r="E557" s="123" t="s">
        <v>2022</v>
      </c>
      <c r="F557" s="366" t="s">
        <v>5984</v>
      </c>
      <c r="G557" s="187">
        <f>SUM('Cap-WW'!V121:X121)+'Cap-WW'!G131</f>
        <v>2264000</v>
      </c>
      <c r="H557" s="138"/>
      <c r="I557" s="33">
        <f>SUM('Cap-WW'!Z121:AB121)</f>
        <v>1137000</v>
      </c>
      <c r="J557" s="33">
        <f>SUM('Cap-WW'!AD121:AF121)</f>
        <v>1749000</v>
      </c>
      <c r="K557" s="33">
        <f>SUM('Cap-WW'!AH121:AJ121)</f>
        <v>3932000</v>
      </c>
      <c r="L557" s="33">
        <f>SUM('Cap-WW'!AL121:AN121)</f>
        <v>2005500</v>
      </c>
      <c r="M557" s="33">
        <f>SUM('Cap-WW'!AP121:AR121)</f>
        <v>0</v>
      </c>
      <c r="N557" s="33">
        <f>SUM('Cap-WW'!AT121:AV121)</f>
        <v>519000</v>
      </c>
      <c r="O557" s="33">
        <f>SUM('Cap-WW'!AX121:AZ121)</f>
        <v>0</v>
      </c>
      <c r="P557" s="142">
        <f>SUM('Cap-WW'!BB121:BD121)</f>
        <v>0</v>
      </c>
      <c r="Q557" s="33">
        <f>SUM('Cap-WW'!BF121:BH121)</f>
        <v>0</v>
      </c>
      <c r="R557" s="114">
        <f>SUM('Cap-WW'!BJ121:BL121)</f>
        <v>0</v>
      </c>
    </row>
    <row r="558" spans="1:18" s="84" customFormat="1" x14ac:dyDescent="0.2">
      <c r="A558" s="71">
        <f>25324017+30000-17</f>
        <v>25354000</v>
      </c>
      <c r="B558" s="33">
        <f>'[2]Cap-WW'!F136</f>
        <v>8112100</v>
      </c>
      <c r="C558" s="189">
        <f>'[2]Cap-WW'!G136</f>
        <v>4320400</v>
      </c>
      <c r="D558" s="187">
        <f>'Cap-WW'!F121</f>
        <v>2267300</v>
      </c>
      <c r="E558" s="123"/>
      <c r="F558" s="366" t="s">
        <v>973</v>
      </c>
      <c r="G558" s="187">
        <f>'Cap-WW'!G121</f>
        <v>5792000</v>
      </c>
      <c r="H558" s="138"/>
      <c r="I558" s="33">
        <f>'Cap-WW'!H121</f>
        <v>5247000</v>
      </c>
      <c r="J558" s="33">
        <f>'Cap-WW'!I121</f>
        <v>4732000</v>
      </c>
      <c r="K558" s="33">
        <f>'Cap-WW'!J121</f>
        <v>6279400</v>
      </c>
      <c r="L558" s="33">
        <f>'Cap-WW'!K121</f>
        <v>6374300</v>
      </c>
      <c r="M558" s="33">
        <f>'Cap-WW'!L121</f>
        <v>4650000</v>
      </c>
      <c r="N558" s="33">
        <f>'Cap-WW'!M121</f>
        <v>4988000</v>
      </c>
      <c r="O558" s="33">
        <f>'Cap-WW'!N121</f>
        <v>1088000</v>
      </c>
      <c r="P558" s="142">
        <f>'Cap-WW'!O121</f>
        <v>1106000</v>
      </c>
      <c r="Q558" s="33">
        <f>'Cap-WW'!P121</f>
        <v>1227000</v>
      </c>
      <c r="R558" s="114">
        <f>'Cap-WW'!Q121</f>
        <v>1168000</v>
      </c>
    </row>
    <row r="559" spans="1:18" s="92" customFormat="1" x14ac:dyDescent="0.2">
      <c r="A559" s="181">
        <f>A550-A554-A555+A556++A557-A558</f>
        <v>20000</v>
      </c>
      <c r="B559" s="397">
        <f>B550-B554-B555+B556++B557-B558</f>
        <v>20000</v>
      </c>
      <c r="C559" s="398">
        <f>C550-C554-C555+C556++C557-C558</f>
        <v>20000</v>
      </c>
      <c r="D559" s="728">
        <f>D550-D554-D555+D556++D557-D558</f>
        <v>20000</v>
      </c>
      <c r="E559" s="547"/>
      <c r="F559" s="518" t="s">
        <v>2490</v>
      </c>
      <c r="G559" s="728">
        <f t="shared" ref="G559:M559" si="364">G550-G554-G555+G556++G557-G558</f>
        <v>20000</v>
      </c>
      <c r="H559" s="395">
        <f>IF(D559=G559,0,IF(D559=0,100,(G559-D559)/D559*100))</f>
        <v>0</v>
      </c>
      <c r="I559" s="397">
        <f t="shared" si="364"/>
        <v>20000</v>
      </c>
      <c r="J559" s="397">
        <f t="shared" si="364"/>
        <v>20000</v>
      </c>
      <c r="K559" s="397">
        <f t="shared" si="364"/>
        <v>20000</v>
      </c>
      <c r="L559" s="397">
        <f t="shared" si="364"/>
        <v>20000</v>
      </c>
      <c r="M559" s="397">
        <f t="shared" si="364"/>
        <v>20000</v>
      </c>
      <c r="N559" s="397">
        <f>N550-N554-N555+N556++N557-N558</f>
        <v>20000</v>
      </c>
      <c r="O559" s="397">
        <f>O550-O554-O555+O556++O557-O558</f>
        <v>20000</v>
      </c>
      <c r="P559" s="377">
        <f>P550-P554-P555+P556++P557-P558</f>
        <v>20000</v>
      </c>
      <c r="Q559" s="397">
        <f>Q550-Q554-Q555+Q556++Q557-Q558</f>
        <v>20000</v>
      </c>
      <c r="R559" s="399">
        <f>R550-R554-R555+R556++R557-R558</f>
        <v>20000</v>
      </c>
    </row>
    <row r="560" spans="1:18" s="84" customFormat="1" ht="13.5" thickBot="1" x14ac:dyDescent="0.25">
      <c r="A560" s="73"/>
      <c r="B560" s="90"/>
      <c r="C560" s="195"/>
      <c r="D560" s="200"/>
      <c r="E560" s="90"/>
      <c r="F560" s="368"/>
      <c r="G560" s="200"/>
      <c r="H560" s="90"/>
      <c r="I560" s="66"/>
      <c r="J560" s="66"/>
      <c r="K560" s="66"/>
      <c r="L560" s="66"/>
      <c r="M560" s="66"/>
      <c r="N560" s="66"/>
      <c r="O560" s="66"/>
      <c r="P560" s="166"/>
      <c r="Q560" s="66"/>
      <c r="R560" s="165"/>
    </row>
    <row r="561" spans="1:18" s="84" customFormat="1" ht="13.5" thickTop="1" x14ac:dyDescent="0.2">
      <c r="A561" s="74"/>
      <c r="B561" s="74"/>
      <c r="C561" s="74"/>
      <c r="D561" s="74"/>
      <c r="E561" s="74"/>
      <c r="F561" s="137"/>
      <c r="G561" s="197"/>
      <c r="H561" s="74"/>
      <c r="I561" s="99"/>
      <c r="J561" s="99"/>
      <c r="K561" s="99"/>
      <c r="L561" s="99"/>
      <c r="M561" s="99"/>
      <c r="N561" s="99"/>
      <c r="O561" s="99"/>
      <c r="P561" s="99"/>
      <c r="Q561" s="99"/>
      <c r="R561" s="99"/>
    </row>
    <row r="562" spans="1:18" s="84" customFormat="1" ht="13.5" thickBot="1" x14ac:dyDescent="0.25">
      <c r="C562" s="198"/>
      <c r="D562" s="198"/>
      <c r="E562" s="149"/>
      <c r="G562" s="203"/>
    </row>
    <row r="563" spans="1:18" s="44" customFormat="1" ht="13.5" thickTop="1" x14ac:dyDescent="0.2">
      <c r="A563" s="2891" t="s">
        <v>1856</v>
      </c>
      <c r="B563" s="2892"/>
      <c r="C563" s="2892"/>
      <c r="D563" s="2893"/>
      <c r="E563" s="2200" t="s">
        <v>2663</v>
      </c>
      <c r="F563" s="2506" t="s">
        <v>2251</v>
      </c>
      <c r="G563" s="2880" t="s">
        <v>2253</v>
      </c>
      <c r="H563" s="2881"/>
      <c r="I563" s="2881"/>
      <c r="J563" s="2881"/>
      <c r="K563" s="2881"/>
      <c r="L563" s="2881"/>
      <c r="M563" s="2881"/>
      <c r="N563" s="2881"/>
      <c r="O563" s="2881"/>
      <c r="P563" s="2881"/>
      <c r="Q563" s="2881"/>
      <c r="R563" s="2882"/>
    </row>
    <row r="564" spans="1:18" s="84" customFormat="1" ht="13.5" thickBot="1" x14ac:dyDescent="0.25">
      <c r="A564" s="208" t="str">
        <f>A3</f>
        <v>2012/13</v>
      </c>
      <c r="B564" s="75" t="str">
        <f>B3</f>
        <v>2013/14</v>
      </c>
      <c r="C564" s="75" t="str">
        <f>C3</f>
        <v>2014/15</v>
      </c>
      <c r="D564" s="75" t="str">
        <f>$D$3</f>
        <v>2015/16</v>
      </c>
      <c r="E564" s="235"/>
      <c r="F564" s="184"/>
      <c r="G564" s="75" t="str">
        <f>$G$3</f>
        <v>2016/17</v>
      </c>
      <c r="H564" s="2500" t="s">
        <v>501</v>
      </c>
      <c r="I564" s="75" t="str">
        <f>$I$3</f>
        <v>2017/18</v>
      </c>
      <c r="J564" s="75" t="str">
        <f>$J$3</f>
        <v>2018/19</v>
      </c>
      <c r="K564" s="75" t="str">
        <f>$K$3</f>
        <v>2019/20</v>
      </c>
      <c r="L564" s="75" t="str">
        <f>$L$3</f>
        <v>2020/21</v>
      </c>
      <c r="M564" s="75" t="str">
        <f t="shared" ref="M564:R564" si="365">$M$3</f>
        <v>2021/22</v>
      </c>
      <c r="N564" s="75" t="str">
        <f t="shared" si="365"/>
        <v>2021/22</v>
      </c>
      <c r="O564" s="75" t="str">
        <f t="shared" si="365"/>
        <v>2021/22</v>
      </c>
      <c r="P564" s="75" t="str">
        <f t="shared" si="365"/>
        <v>2021/22</v>
      </c>
      <c r="Q564" s="75" t="str">
        <f t="shared" si="365"/>
        <v>2021/22</v>
      </c>
      <c r="R564" s="2201" t="str">
        <f t="shared" si="365"/>
        <v>2021/22</v>
      </c>
    </row>
    <row r="565" spans="1:18" s="84" customFormat="1" x14ac:dyDescent="0.2">
      <c r="A565" s="107"/>
      <c r="B565" s="33"/>
      <c r="C565" s="187"/>
      <c r="D565" s="187"/>
      <c r="E565" s="138"/>
      <c r="F565" s="74"/>
      <c r="G565" s="187"/>
      <c r="H565" s="33"/>
      <c r="I565" s="33"/>
      <c r="J565" s="33"/>
      <c r="K565" s="33"/>
      <c r="L565" s="33"/>
      <c r="M565" s="33"/>
      <c r="N565" s="33"/>
      <c r="O565" s="33"/>
      <c r="P565" s="33"/>
      <c r="Q565" s="33"/>
      <c r="R565" s="114"/>
    </row>
    <row r="566" spans="1:18" s="84" customFormat="1" x14ac:dyDescent="0.2">
      <c r="A566" s="107">
        <f>A86</f>
        <v>754600</v>
      </c>
      <c r="B566" s="33">
        <f>B86</f>
        <v>1548000</v>
      </c>
      <c r="C566" s="187">
        <f>C86</f>
        <v>1574800</v>
      </c>
      <c r="D566" s="187">
        <f>D86</f>
        <v>1912100</v>
      </c>
      <c r="E566" s="138"/>
      <c r="F566" s="99" t="str">
        <f>E7</f>
        <v>Water Operations</v>
      </c>
      <c r="G566" s="187">
        <f>G86</f>
        <v>2072000</v>
      </c>
      <c r="H566" s="138">
        <f>IF(D566=G566,0,IF(D566=0,100,(G566-D566)/D566*100))</f>
        <v>8.3625333403064683</v>
      </c>
      <c r="I566" s="33">
        <f t="shared" ref="I566:Q566" si="366">I86</f>
        <v>2343900</v>
      </c>
      <c r="J566" s="33">
        <f t="shared" si="366"/>
        <v>2336600</v>
      </c>
      <c r="K566" s="33">
        <f t="shared" si="366"/>
        <v>2391600</v>
      </c>
      <c r="L566" s="33">
        <f t="shared" si="366"/>
        <v>2596800</v>
      </c>
      <c r="M566" s="33">
        <f t="shared" si="366"/>
        <v>2851800</v>
      </c>
      <c r="N566" s="33">
        <f t="shared" si="366"/>
        <v>2955000</v>
      </c>
      <c r="O566" s="33">
        <f t="shared" si="366"/>
        <v>3219300</v>
      </c>
      <c r="P566" s="33">
        <f t="shared" si="366"/>
        <v>3474300</v>
      </c>
      <c r="Q566" s="33">
        <f t="shared" si="366"/>
        <v>3753100</v>
      </c>
      <c r="R566" s="114">
        <f t="shared" ref="R566" si="367">R86</f>
        <v>4130200</v>
      </c>
    </row>
    <row r="567" spans="1:18" s="84" customFormat="1" x14ac:dyDescent="0.2">
      <c r="A567" s="107">
        <f>A151</f>
        <v>1159400</v>
      </c>
      <c r="B567" s="33">
        <f>B151</f>
        <v>475800</v>
      </c>
      <c r="C567" s="187">
        <f>C151</f>
        <v>1489000</v>
      </c>
      <c r="D567" s="187">
        <f>D151</f>
        <v>2895000</v>
      </c>
      <c r="E567" s="138"/>
      <c r="F567" s="99" t="str">
        <f>E8</f>
        <v>Wastewater Operations</v>
      </c>
      <c r="G567" s="187">
        <f>G151</f>
        <v>3445200</v>
      </c>
      <c r="H567" s="138">
        <f>IF(D567=G567,0,IF(D567=0,100,(G567-D567)/D567*100))</f>
        <v>19.005181347150259</v>
      </c>
      <c r="I567" s="33">
        <f t="shared" ref="I567:Q567" si="368">I151</f>
        <v>4307000</v>
      </c>
      <c r="J567" s="33">
        <f t="shared" si="368"/>
        <v>4877600</v>
      </c>
      <c r="K567" s="33">
        <f t="shared" si="368"/>
        <v>5283900</v>
      </c>
      <c r="L567" s="33">
        <f t="shared" si="368"/>
        <v>5911300</v>
      </c>
      <c r="M567" s="33">
        <f t="shared" si="368"/>
        <v>6455300</v>
      </c>
      <c r="N567" s="33">
        <f t="shared" si="368"/>
        <v>6999700</v>
      </c>
      <c r="O567" s="33">
        <f t="shared" si="368"/>
        <v>7626900</v>
      </c>
      <c r="P567" s="33">
        <f t="shared" si="368"/>
        <v>8299300</v>
      </c>
      <c r="Q567" s="33">
        <f t="shared" si="368"/>
        <v>9125200</v>
      </c>
      <c r="R567" s="114">
        <f t="shared" ref="R567" si="369">R151</f>
        <v>9912200</v>
      </c>
    </row>
    <row r="568" spans="1:18" s="84" customFormat="1" ht="13.5" thickBot="1" x14ac:dyDescent="0.25">
      <c r="A568" s="70"/>
      <c r="B568" s="64"/>
      <c r="C568" s="192"/>
      <c r="D568" s="192"/>
      <c r="E568" s="138"/>
      <c r="F568" s="99"/>
      <c r="G568" s="192"/>
      <c r="H568" s="138"/>
      <c r="I568" s="33"/>
      <c r="J568" s="33"/>
      <c r="K568" s="33"/>
      <c r="L568" s="33"/>
      <c r="M568" s="33"/>
      <c r="N568" s="33"/>
      <c r="O568" s="33"/>
      <c r="P568" s="33"/>
      <c r="Q568" s="33"/>
      <c r="R568" s="114"/>
    </row>
    <row r="569" spans="1:18" s="84" customFormat="1" x14ac:dyDescent="0.2">
      <c r="A569" s="105">
        <f>SUM(A566:A568)</f>
        <v>1914000</v>
      </c>
      <c r="B569" s="53">
        <f>SUM(B566:B568)</f>
        <v>2023800</v>
      </c>
      <c r="C569" s="190">
        <f>SUM(C566:C568)</f>
        <v>3063800</v>
      </c>
      <c r="D569" s="190">
        <f>SUM(D566:D568)</f>
        <v>4807100</v>
      </c>
      <c r="E569" s="138"/>
      <c r="F569" s="516" t="s">
        <v>1687</v>
      </c>
      <c r="G569" s="199">
        <f t="shared" ref="G569:M569" si="370">SUM(G566:G568)</f>
        <v>5517200</v>
      </c>
      <c r="H569" s="179">
        <f>IF(D569=G569,0,IF(D569=0,100,(G569-D569)/D569*100))</f>
        <v>14.771899898067442</v>
      </c>
      <c r="I569" s="53">
        <f t="shared" si="370"/>
        <v>6650900</v>
      </c>
      <c r="J569" s="53">
        <f t="shared" si="370"/>
        <v>7214200</v>
      </c>
      <c r="K569" s="53">
        <f t="shared" si="370"/>
        <v>7675500</v>
      </c>
      <c r="L569" s="53">
        <f t="shared" si="370"/>
        <v>8508100</v>
      </c>
      <c r="M569" s="53">
        <f t="shared" si="370"/>
        <v>9307100</v>
      </c>
      <c r="N569" s="53">
        <f>SUM(N566:N568)</f>
        <v>9954700</v>
      </c>
      <c r="O569" s="53">
        <f>SUM(O566:O568)</f>
        <v>10846200</v>
      </c>
      <c r="P569" s="53">
        <f>SUM(P566:P568)</f>
        <v>11773600</v>
      </c>
      <c r="Q569" s="53">
        <f>SUM(Q566:Q568)</f>
        <v>12878300</v>
      </c>
      <c r="R569" s="113">
        <f>SUM(R566:R568)</f>
        <v>14042400</v>
      </c>
    </row>
    <row r="570" spans="1:18" s="84" customFormat="1" ht="13.5" thickBot="1" x14ac:dyDescent="0.25">
      <c r="A570" s="73"/>
      <c r="B570" s="90"/>
      <c r="C570" s="200"/>
      <c r="D570" s="200"/>
      <c r="E570" s="140"/>
      <c r="F570" s="141"/>
      <c r="G570" s="200"/>
      <c r="H570" s="90"/>
      <c r="I570" s="66"/>
      <c r="J570" s="66"/>
      <c r="K570" s="66"/>
      <c r="L570" s="66"/>
      <c r="M570" s="66"/>
      <c r="N570" s="66"/>
      <c r="O570" s="66"/>
      <c r="P570" s="66"/>
      <c r="Q570" s="66"/>
      <c r="R570" s="165"/>
    </row>
    <row r="571" spans="1:18" s="84" customFormat="1" ht="13.5" thickTop="1" x14ac:dyDescent="0.2">
      <c r="C571" s="198"/>
      <c r="D571" s="198"/>
      <c r="E571" s="149"/>
      <c r="G571" s="203"/>
    </row>
    <row r="572" spans="1:18" s="84" customFormat="1" ht="13.5" thickBot="1" x14ac:dyDescent="0.25">
      <c r="G572" s="203"/>
    </row>
    <row r="573" spans="1:18" s="44" customFormat="1" ht="13.5" thickTop="1" x14ac:dyDescent="0.2">
      <c r="A573" s="2891" t="s">
        <v>1856</v>
      </c>
      <c r="B573" s="2892"/>
      <c r="C573" s="2892"/>
      <c r="D573" s="2893"/>
      <c r="E573" s="2200" t="s">
        <v>2663</v>
      </c>
      <c r="F573" s="2506" t="s">
        <v>2251</v>
      </c>
      <c r="G573" s="2912" t="s">
        <v>2253</v>
      </c>
      <c r="H573" s="2913"/>
      <c r="I573" s="2913"/>
      <c r="J573" s="2913"/>
      <c r="K573" s="2913"/>
      <c r="L573" s="2913"/>
      <c r="M573" s="2913"/>
      <c r="N573" s="2913"/>
      <c r="O573" s="2913"/>
      <c r="P573" s="2913"/>
      <c r="Q573" s="2913"/>
      <c r="R573" s="2914"/>
    </row>
    <row r="574" spans="1:18" s="84" customFormat="1" ht="13.5" thickBot="1" x14ac:dyDescent="0.25">
      <c r="A574" s="208" t="str">
        <f>A3</f>
        <v>2012/13</v>
      </c>
      <c r="B574" s="75" t="str">
        <f>$C$3</f>
        <v>2014/15</v>
      </c>
      <c r="C574" s="75" t="str">
        <f>C3</f>
        <v>2014/15</v>
      </c>
      <c r="D574" s="93" t="str">
        <f>$D$3</f>
        <v>2015/16</v>
      </c>
      <c r="E574" s="235" t="s">
        <v>2664</v>
      </c>
      <c r="F574" s="184"/>
      <c r="G574" s="75" t="str">
        <f>$G$3</f>
        <v>2016/17</v>
      </c>
      <c r="H574" s="2500" t="s">
        <v>501</v>
      </c>
      <c r="I574" s="75" t="str">
        <f>$I$3</f>
        <v>2017/18</v>
      </c>
      <c r="J574" s="75" t="str">
        <f>$J$3</f>
        <v>2018/19</v>
      </c>
      <c r="K574" s="75" t="str">
        <f>$K$3</f>
        <v>2019/20</v>
      </c>
      <c r="L574" s="75" t="str">
        <f>$L$3</f>
        <v>2020/21</v>
      </c>
      <c r="M574" s="75" t="str">
        <f t="shared" ref="M574:R574" si="371">$M$3</f>
        <v>2021/22</v>
      </c>
      <c r="N574" s="75" t="str">
        <f t="shared" si="371"/>
        <v>2021/22</v>
      </c>
      <c r="O574" s="75" t="str">
        <f t="shared" si="371"/>
        <v>2021/22</v>
      </c>
      <c r="P574" s="75" t="str">
        <f t="shared" si="371"/>
        <v>2021/22</v>
      </c>
      <c r="Q574" s="75" t="str">
        <f t="shared" si="371"/>
        <v>2021/22</v>
      </c>
      <c r="R574" s="2201" t="str">
        <f t="shared" si="371"/>
        <v>2021/22</v>
      </c>
    </row>
    <row r="575" spans="1:18" s="84" customFormat="1" x14ac:dyDescent="0.2">
      <c r="A575" s="107"/>
      <c r="B575" s="33"/>
      <c r="C575" s="187"/>
      <c r="D575" s="187"/>
      <c r="E575" s="138"/>
      <c r="F575" s="74"/>
      <c r="G575" s="187"/>
      <c r="H575" s="33"/>
      <c r="I575" s="33"/>
      <c r="J575" s="33"/>
      <c r="K575" s="33"/>
      <c r="L575" s="33"/>
      <c r="M575" s="33"/>
      <c r="N575" s="33"/>
      <c r="O575" s="33"/>
      <c r="P575" s="33"/>
      <c r="Q575" s="33"/>
      <c r="R575" s="114"/>
    </row>
    <row r="576" spans="1:18" s="84" customFormat="1" x14ac:dyDescent="0.2">
      <c r="A576" s="107">
        <f>A83</f>
        <v>-1290100</v>
      </c>
      <c r="B576" s="33">
        <f>B83</f>
        <v>-422500</v>
      </c>
      <c r="C576" s="187">
        <f>C83</f>
        <v>75500</v>
      </c>
      <c r="D576" s="187">
        <f>D83</f>
        <v>349200</v>
      </c>
      <c r="E576" s="138"/>
      <c r="F576" s="99" t="str">
        <f>F566</f>
        <v>Water Operations</v>
      </c>
      <c r="G576" s="187">
        <f>G83</f>
        <v>644000</v>
      </c>
      <c r="H576" s="138">
        <f>IF(D576=G576,0,IF(D576=0,100,(G576-D576)/D576*100))</f>
        <v>84.421534936998853</v>
      </c>
      <c r="I576" s="33">
        <f t="shared" ref="I576:Q576" si="372">I83</f>
        <v>963900</v>
      </c>
      <c r="J576" s="33">
        <f t="shared" si="372"/>
        <v>929000</v>
      </c>
      <c r="K576" s="33">
        <f t="shared" si="372"/>
        <v>955800</v>
      </c>
      <c r="L576" s="33">
        <f t="shared" si="372"/>
        <v>1132200</v>
      </c>
      <c r="M576" s="33">
        <f t="shared" si="372"/>
        <v>1357900</v>
      </c>
      <c r="N576" s="33">
        <f t="shared" si="372"/>
        <v>1431200</v>
      </c>
      <c r="O576" s="33">
        <f t="shared" si="372"/>
        <v>1665000</v>
      </c>
      <c r="P576" s="33">
        <f t="shared" si="372"/>
        <v>1888900</v>
      </c>
      <c r="Q576" s="33">
        <f t="shared" si="372"/>
        <v>2135900</v>
      </c>
      <c r="R576" s="114">
        <f t="shared" ref="R576" si="373">R83</f>
        <v>2480600</v>
      </c>
    </row>
    <row r="577" spans="1:18" s="84" customFormat="1" x14ac:dyDescent="0.2">
      <c r="A577" s="107">
        <f>A147</f>
        <v>-3713200</v>
      </c>
      <c r="B577" s="33">
        <f>B147</f>
        <v>-2581600</v>
      </c>
      <c r="C577" s="187">
        <f>C147</f>
        <v>-13391300</v>
      </c>
      <c r="D577" s="187">
        <f>D147</f>
        <v>-948800</v>
      </c>
      <c r="E577" s="138"/>
      <c r="F577" s="99" t="str">
        <f>F567</f>
        <v>Wastewater Operations</v>
      </c>
      <c r="G577" s="187">
        <f>G147</f>
        <v>518200</v>
      </c>
      <c r="H577" s="138">
        <f>IF(D577=G577,0,IF(D577=0,100,(G577-D577)/D577*100))</f>
        <v>-154.61635750421584</v>
      </c>
      <c r="I577" s="33">
        <f t="shared" ref="I577:Q577" si="374">I147</f>
        <v>338000</v>
      </c>
      <c r="J577" s="33">
        <f t="shared" si="374"/>
        <v>892600</v>
      </c>
      <c r="K577" s="33">
        <f t="shared" si="374"/>
        <v>1286900</v>
      </c>
      <c r="L577" s="33">
        <f t="shared" si="374"/>
        <v>1904300</v>
      </c>
      <c r="M577" s="33">
        <f t="shared" si="374"/>
        <v>2368300</v>
      </c>
      <c r="N577" s="33">
        <f t="shared" si="374"/>
        <v>2830700</v>
      </c>
      <c r="O577" s="33">
        <f t="shared" si="374"/>
        <v>3374900</v>
      </c>
      <c r="P577" s="33">
        <f t="shared" si="374"/>
        <v>3962300</v>
      </c>
      <c r="Q577" s="33">
        <f t="shared" si="374"/>
        <v>4701200</v>
      </c>
      <c r="R577" s="114">
        <f t="shared" ref="R577" si="375">R147</f>
        <v>5400200</v>
      </c>
    </row>
    <row r="578" spans="1:18" s="84" customFormat="1" ht="13.5" thickBot="1" x14ac:dyDescent="0.25">
      <c r="A578" s="70"/>
      <c r="B578" s="64"/>
      <c r="C578" s="192"/>
      <c r="D578" s="192"/>
      <c r="E578" s="138"/>
      <c r="F578" s="99"/>
      <c r="G578" s="192"/>
      <c r="H578" s="138"/>
      <c r="I578" s="33"/>
      <c r="J578" s="33"/>
      <c r="K578" s="33"/>
      <c r="L578" s="33"/>
      <c r="M578" s="33"/>
      <c r="N578" s="33"/>
      <c r="O578" s="33"/>
      <c r="P578" s="33"/>
      <c r="Q578" s="33"/>
      <c r="R578" s="114"/>
    </row>
    <row r="579" spans="1:18" s="84" customFormat="1" x14ac:dyDescent="0.2">
      <c r="A579" s="105">
        <f>SUM(A576:A578)</f>
        <v>-5003300</v>
      </c>
      <c r="B579" s="53">
        <f>SUM(B576:B578)</f>
        <v>-3004100</v>
      </c>
      <c r="C579" s="190">
        <f>SUM(C576:C578)</f>
        <v>-13315800</v>
      </c>
      <c r="D579" s="190">
        <f>SUM(D576:D578)</f>
        <v>-599600</v>
      </c>
      <c r="E579" s="138"/>
      <c r="F579" s="516" t="s">
        <v>366</v>
      </c>
      <c r="G579" s="199">
        <f t="shared" ref="G579:M579" si="376">SUM(G576:G578)</f>
        <v>1162200</v>
      </c>
      <c r="H579" s="179">
        <f>IF(D579=G579,0,IF(D579=0,100,(G579-D579)/D579*100))</f>
        <v>-293.82921947965309</v>
      </c>
      <c r="I579" s="53">
        <f t="shared" si="376"/>
        <v>1301900</v>
      </c>
      <c r="J579" s="53">
        <f t="shared" si="376"/>
        <v>1821600</v>
      </c>
      <c r="K579" s="53">
        <f t="shared" si="376"/>
        <v>2242700</v>
      </c>
      <c r="L579" s="53">
        <f t="shared" si="376"/>
        <v>3036500</v>
      </c>
      <c r="M579" s="53">
        <f t="shared" si="376"/>
        <v>3726200</v>
      </c>
      <c r="N579" s="53">
        <f>SUM(N576:N578)</f>
        <v>4261900</v>
      </c>
      <c r="O579" s="53">
        <f>SUM(O576:O578)</f>
        <v>5039900</v>
      </c>
      <c r="P579" s="53">
        <f>SUM(P576:P578)</f>
        <v>5851200</v>
      </c>
      <c r="Q579" s="53">
        <f>SUM(Q576:Q578)</f>
        <v>6837100</v>
      </c>
      <c r="R579" s="113">
        <f>SUM(R576:R578)</f>
        <v>7880800</v>
      </c>
    </row>
    <row r="580" spans="1:18" s="84" customFormat="1" x14ac:dyDescent="0.2">
      <c r="A580" s="70"/>
      <c r="B580" s="64"/>
      <c r="C580" s="193"/>
      <c r="D580" s="193"/>
      <c r="E580" s="138"/>
      <c r="F580" s="516"/>
      <c r="G580" s="192"/>
      <c r="H580" s="138"/>
      <c r="I580" s="64"/>
      <c r="J580" s="64"/>
      <c r="K580" s="64"/>
      <c r="L580" s="64"/>
      <c r="M580" s="64"/>
      <c r="N580" s="64"/>
      <c r="O580" s="64"/>
      <c r="P580" s="64"/>
      <c r="Q580" s="64"/>
      <c r="R580" s="115"/>
    </row>
    <row r="581" spans="1:18" s="84" customFormat="1" x14ac:dyDescent="0.2">
      <c r="A581" s="70">
        <f>A569</f>
        <v>1914000</v>
      </c>
      <c r="B581" s="64">
        <f>B569</f>
        <v>2023800</v>
      </c>
      <c r="C581" s="193">
        <f>C569</f>
        <v>3063800</v>
      </c>
      <c r="D581" s="193">
        <f>D569</f>
        <v>4807100</v>
      </c>
      <c r="E581" s="138"/>
      <c r="F581" s="516" t="s">
        <v>2806</v>
      </c>
      <c r="G581" s="192">
        <f t="shared" ref="G581:P581" si="377">G569</f>
        <v>5517200</v>
      </c>
      <c r="H581" s="179">
        <f>IF(D581=G581,0,IF(D581=0,100,(G581-D581)/D581*100))</f>
        <v>14.771899898067442</v>
      </c>
      <c r="I581" s="64">
        <f t="shared" si="377"/>
        <v>6650900</v>
      </c>
      <c r="J581" s="64">
        <f t="shared" si="377"/>
        <v>7214200</v>
      </c>
      <c r="K581" s="64">
        <f t="shared" si="377"/>
        <v>7675500</v>
      </c>
      <c r="L581" s="64">
        <f t="shared" si="377"/>
        <v>8508100</v>
      </c>
      <c r="M581" s="64">
        <f t="shared" si="377"/>
        <v>9307100</v>
      </c>
      <c r="N581" s="64">
        <f t="shared" si="377"/>
        <v>9954700</v>
      </c>
      <c r="O581" s="64">
        <f t="shared" si="377"/>
        <v>10846200</v>
      </c>
      <c r="P581" s="64">
        <f t="shared" si="377"/>
        <v>11773600</v>
      </c>
      <c r="Q581" s="64">
        <f t="shared" ref="Q581" si="378">Q569</f>
        <v>12878300</v>
      </c>
      <c r="R581" s="115">
        <f t="shared" ref="R581" si="379">R569</f>
        <v>14042400</v>
      </c>
    </row>
    <row r="582" spans="1:18" s="84" customFormat="1" x14ac:dyDescent="0.2">
      <c r="A582" s="70"/>
      <c r="B582" s="64"/>
      <c r="C582" s="193"/>
      <c r="D582" s="193"/>
      <c r="E582" s="138"/>
      <c r="F582" s="516"/>
      <c r="G582" s="192"/>
      <c r="H582" s="138"/>
      <c r="I582" s="64"/>
      <c r="J582" s="64"/>
      <c r="K582" s="64"/>
      <c r="L582" s="64"/>
      <c r="M582" s="64"/>
      <c r="N582" s="64"/>
      <c r="O582" s="64"/>
      <c r="P582" s="64"/>
      <c r="Q582" s="64"/>
      <c r="R582" s="115"/>
    </row>
    <row r="583" spans="1:18" s="84" customFormat="1" x14ac:dyDescent="0.2">
      <c r="A583" s="70">
        <f>A540+A341</f>
        <v>4723900</v>
      </c>
      <c r="B583" s="64">
        <f>B540+B341</f>
        <v>4502600</v>
      </c>
      <c r="C583" s="193">
        <f>C540+C341</f>
        <v>3793000</v>
      </c>
      <c r="D583" s="193">
        <f>D540+D341</f>
        <v>5030800</v>
      </c>
      <c r="E583" s="138"/>
      <c r="F583" s="516" t="s">
        <v>2070</v>
      </c>
      <c r="G583" s="192">
        <f>G540+G341</f>
        <v>4106000</v>
      </c>
      <c r="H583" s="179">
        <f>IF(D583=G583,0,IF(D583=0,100,(G583-D583)/D583*100))</f>
        <v>-18.382762184940766</v>
      </c>
      <c r="I583" s="64">
        <f t="shared" ref="I583:Q583" si="380">I540+I341</f>
        <v>5155000</v>
      </c>
      <c r="J583" s="64">
        <f t="shared" si="380"/>
        <v>5258600</v>
      </c>
      <c r="K583" s="64">
        <f t="shared" si="380"/>
        <v>5363800</v>
      </c>
      <c r="L583" s="64">
        <f t="shared" si="380"/>
        <v>5471600</v>
      </c>
      <c r="M583" s="64">
        <f t="shared" si="380"/>
        <v>5580900</v>
      </c>
      <c r="N583" s="64">
        <f t="shared" si="380"/>
        <v>5692800</v>
      </c>
      <c r="O583" s="64">
        <f t="shared" si="380"/>
        <v>5806300</v>
      </c>
      <c r="P583" s="64">
        <f t="shared" si="380"/>
        <v>5922400</v>
      </c>
      <c r="Q583" s="64">
        <f t="shared" si="380"/>
        <v>6041200</v>
      </c>
      <c r="R583" s="115">
        <f t="shared" ref="R583" si="381">R540+R341</f>
        <v>6161600</v>
      </c>
    </row>
    <row r="584" spans="1:18" s="474" customFormat="1" x14ac:dyDescent="0.2">
      <c r="A584" s="1232">
        <f>A542</f>
        <v>435600</v>
      </c>
      <c r="B584" s="478">
        <f>B542</f>
        <v>394000</v>
      </c>
      <c r="C584" s="500">
        <f>C542</f>
        <v>349200</v>
      </c>
      <c r="D584" s="500">
        <f>D542</f>
        <v>301100</v>
      </c>
      <c r="E584" s="479"/>
      <c r="F584" s="606" t="s">
        <v>922</v>
      </c>
      <c r="G584" s="480">
        <f t="shared" ref="G584:P584" si="382">G542</f>
        <v>249000</v>
      </c>
      <c r="H584" s="179">
        <f>IF(D584=G584,0,IF(D584=0,100,(G584-D584)/D584*100))</f>
        <v>-17.303221521089341</v>
      </c>
      <c r="I584" s="478">
        <f t="shared" si="382"/>
        <v>194000</v>
      </c>
      <c r="J584" s="478">
        <f t="shared" si="382"/>
        <v>134000</v>
      </c>
      <c r="K584" s="478">
        <f t="shared" si="382"/>
        <v>69000</v>
      </c>
      <c r="L584" s="478">
        <f t="shared" si="382"/>
        <v>0</v>
      </c>
      <c r="M584" s="478">
        <f t="shared" si="382"/>
        <v>0</v>
      </c>
      <c r="N584" s="478">
        <f t="shared" si="382"/>
        <v>0</v>
      </c>
      <c r="O584" s="478">
        <f t="shared" si="382"/>
        <v>0</v>
      </c>
      <c r="P584" s="478">
        <f t="shared" si="382"/>
        <v>0</v>
      </c>
      <c r="Q584" s="478">
        <f t="shared" ref="Q584" si="383">Q542</f>
        <v>0</v>
      </c>
      <c r="R584" s="536">
        <f t="shared" ref="R584" si="384">R542</f>
        <v>0</v>
      </c>
    </row>
    <row r="585" spans="1:18" s="84" customFormat="1" x14ac:dyDescent="0.2">
      <c r="A585" s="70"/>
      <c r="B585" s="64"/>
      <c r="C585" s="193"/>
      <c r="D585" s="193"/>
      <c r="E585" s="138"/>
      <c r="F585" s="516"/>
      <c r="G585" s="192"/>
      <c r="H585" s="138"/>
      <c r="I585" s="64"/>
      <c r="J585" s="64"/>
      <c r="K585" s="64"/>
      <c r="L585" s="64"/>
      <c r="M585" s="64"/>
      <c r="N585" s="64"/>
      <c r="O585" s="64"/>
      <c r="P585" s="64"/>
      <c r="Q585" s="64"/>
      <c r="R585" s="115"/>
    </row>
    <row r="586" spans="1:18" s="84" customFormat="1" x14ac:dyDescent="0.2">
      <c r="A586" s="70">
        <f t="shared" ref="A586" si="385">ROUND(A579+A583-A581+A584,-3)</f>
        <v>-1758000</v>
      </c>
      <c r="B586" s="64">
        <f>ROUND(B579+B583-B581+B584,)</f>
        <v>-131300</v>
      </c>
      <c r="C586" s="193">
        <f>ROUND(C579+C583-C581+C584,)</f>
        <v>-12237400</v>
      </c>
      <c r="D586" s="193">
        <f>ROUND(D579+D583-D581+D584,)</f>
        <v>-74800</v>
      </c>
      <c r="E586" s="138"/>
      <c r="F586" s="516" t="s">
        <v>1763</v>
      </c>
      <c r="G586" s="192">
        <f t="shared" ref="G586:O586" si="386">ROUND(G579+G583-G581+G584,)</f>
        <v>0</v>
      </c>
      <c r="H586" s="179">
        <f>IF(D586=G586,0,IF(D586=0,100,(G586-D586)/D586*100))</f>
        <v>-100</v>
      </c>
      <c r="I586" s="64">
        <f t="shared" si="386"/>
        <v>0</v>
      </c>
      <c r="J586" s="64">
        <f t="shared" si="386"/>
        <v>0</v>
      </c>
      <c r="K586" s="64">
        <f t="shared" si="386"/>
        <v>0</v>
      </c>
      <c r="L586" s="64">
        <f t="shared" si="386"/>
        <v>0</v>
      </c>
      <c r="M586" s="64">
        <f t="shared" si="386"/>
        <v>0</v>
      </c>
      <c r="N586" s="64">
        <f t="shared" si="386"/>
        <v>0</v>
      </c>
      <c r="O586" s="64">
        <f t="shared" si="386"/>
        <v>0</v>
      </c>
      <c r="P586" s="64">
        <f t="shared" ref="P586:Q586" si="387">ROUND(P579+P583-P581+P584,)</f>
        <v>0</v>
      </c>
      <c r="Q586" s="64">
        <f t="shared" si="387"/>
        <v>0</v>
      </c>
      <c r="R586" s="115">
        <f t="shared" ref="R586" si="388">ROUND(R579+R583-R581+R584,)</f>
        <v>0</v>
      </c>
    </row>
    <row r="587" spans="1:18" s="84" customFormat="1" ht="13.5" thickBot="1" x14ac:dyDescent="0.25">
      <c r="A587" s="73"/>
      <c r="B587" s="90"/>
      <c r="C587" s="200"/>
      <c r="D587" s="200"/>
      <c r="E587" s="140"/>
      <c r="F587" s="141"/>
      <c r="G587" s="200"/>
      <c r="H587" s="90"/>
      <c r="I587" s="66"/>
      <c r="J587" s="66"/>
      <c r="K587" s="66"/>
      <c r="L587" s="66"/>
      <c r="M587" s="66"/>
      <c r="N587" s="66"/>
      <c r="O587" s="66"/>
      <c r="P587" s="66"/>
      <c r="Q587" s="66"/>
      <c r="R587" s="165"/>
    </row>
    <row r="588" spans="1:18" s="84" customFormat="1" ht="14.25" thickTop="1" thickBot="1" x14ac:dyDescent="0.25">
      <c r="C588" s="198"/>
      <c r="D588" s="198"/>
      <c r="G588" s="203"/>
    </row>
    <row r="589" spans="1:18" s="44" customFormat="1" ht="13.5" thickTop="1" x14ac:dyDescent="0.2">
      <c r="A589" s="2891" t="s">
        <v>1856</v>
      </c>
      <c r="B589" s="2892"/>
      <c r="C589" s="2892"/>
      <c r="D589" s="2893"/>
      <c r="E589" s="2200" t="s">
        <v>2663</v>
      </c>
      <c r="F589" s="2506" t="s">
        <v>2251</v>
      </c>
      <c r="G589" s="2880" t="s">
        <v>2253</v>
      </c>
      <c r="H589" s="2881"/>
      <c r="I589" s="2881"/>
      <c r="J589" s="2881"/>
      <c r="K589" s="2881"/>
      <c r="L589" s="2881"/>
      <c r="M589" s="2881"/>
      <c r="N589" s="2881"/>
      <c r="O589" s="2881"/>
      <c r="P589" s="2881"/>
      <c r="Q589" s="2881"/>
      <c r="R589" s="2882"/>
    </row>
    <row r="590" spans="1:18" s="84" customFormat="1" ht="13.5" thickBot="1" x14ac:dyDescent="0.25">
      <c r="A590" s="208" t="str">
        <f>A3</f>
        <v>2012/13</v>
      </c>
      <c r="B590" s="75" t="str">
        <f>$C$3</f>
        <v>2014/15</v>
      </c>
      <c r="C590" s="75" t="str">
        <f>C3</f>
        <v>2014/15</v>
      </c>
      <c r="D590" s="75" t="str">
        <f>$D$3</f>
        <v>2015/16</v>
      </c>
      <c r="E590" s="235" t="s">
        <v>2664</v>
      </c>
      <c r="F590" s="184"/>
      <c r="G590" s="75" t="str">
        <f>$G$3</f>
        <v>2016/17</v>
      </c>
      <c r="H590" s="2500" t="s">
        <v>501</v>
      </c>
      <c r="I590" s="75" t="str">
        <f>$I$3</f>
        <v>2017/18</v>
      </c>
      <c r="J590" s="75" t="str">
        <f>$J$3</f>
        <v>2018/19</v>
      </c>
      <c r="K590" s="75" t="str">
        <f>$K$3</f>
        <v>2019/20</v>
      </c>
      <c r="L590" s="75" t="str">
        <f>$L$3</f>
        <v>2020/21</v>
      </c>
      <c r="M590" s="75" t="str">
        <f t="shared" ref="M590:R590" si="389">$M$3</f>
        <v>2021/22</v>
      </c>
      <c r="N590" s="75" t="str">
        <f t="shared" si="389"/>
        <v>2021/22</v>
      </c>
      <c r="O590" s="75" t="str">
        <f t="shared" si="389"/>
        <v>2021/22</v>
      </c>
      <c r="P590" s="75" t="str">
        <f t="shared" si="389"/>
        <v>2021/22</v>
      </c>
      <c r="Q590" s="75" t="str">
        <f t="shared" si="389"/>
        <v>2021/22</v>
      </c>
      <c r="R590" s="2201" t="str">
        <f t="shared" si="389"/>
        <v>2021/22</v>
      </c>
    </row>
    <row r="591" spans="1:18" s="84" customFormat="1" x14ac:dyDescent="0.2">
      <c r="A591" s="107"/>
      <c r="B591" s="33"/>
      <c r="C591" s="187"/>
      <c r="D591" s="187"/>
      <c r="E591" s="138"/>
      <c r="F591" s="74"/>
      <c r="G591" s="187"/>
      <c r="H591" s="33"/>
      <c r="I591" s="33"/>
      <c r="J591" s="33"/>
      <c r="K591" s="33"/>
      <c r="L591" s="33"/>
      <c r="M591" s="33"/>
      <c r="N591" s="33"/>
      <c r="O591" s="33"/>
      <c r="P591" s="33"/>
      <c r="Q591" s="33"/>
      <c r="R591" s="114"/>
    </row>
    <row r="592" spans="1:18" s="84" customFormat="1" x14ac:dyDescent="0.2">
      <c r="A592" s="107"/>
      <c r="B592" s="33"/>
      <c r="C592" s="187"/>
      <c r="D592" s="187"/>
      <c r="E592" s="138"/>
      <c r="F592" s="74" t="s">
        <v>393</v>
      </c>
      <c r="G592" s="187"/>
      <c r="H592" s="33"/>
      <c r="I592" s="33"/>
      <c r="J592" s="33"/>
      <c r="K592" s="33"/>
      <c r="L592" s="33"/>
      <c r="M592" s="33"/>
      <c r="N592" s="33"/>
      <c r="O592" s="33"/>
      <c r="P592" s="33"/>
      <c r="Q592" s="33"/>
      <c r="R592" s="114"/>
    </row>
    <row r="593" spans="1:18" s="84" customFormat="1" x14ac:dyDescent="0.2">
      <c r="A593" s="107"/>
      <c r="B593" s="33"/>
      <c r="C593" s="187"/>
      <c r="D593" s="187"/>
      <c r="E593" s="138"/>
      <c r="F593" s="74"/>
      <c r="G593" s="187"/>
      <c r="H593" s="33"/>
      <c r="I593" s="33"/>
      <c r="J593" s="33"/>
      <c r="K593" s="33"/>
      <c r="L593" s="33"/>
      <c r="M593" s="33"/>
      <c r="N593" s="33"/>
      <c r="O593" s="33"/>
      <c r="P593" s="33"/>
      <c r="Q593" s="33"/>
      <c r="R593" s="114"/>
    </row>
    <row r="594" spans="1:18" s="84" customFormat="1" x14ac:dyDescent="0.2">
      <c r="A594" s="107">
        <f>A50</f>
        <v>9633500</v>
      </c>
      <c r="B594" s="33">
        <f>B50</f>
        <v>10689100</v>
      </c>
      <c r="C594" s="187">
        <f>C50</f>
        <v>10892500</v>
      </c>
      <c r="D594" s="187">
        <f>D50</f>
        <v>11199100</v>
      </c>
      <c r="E594" s="138"/>
      <c r="F594" s="99" t="str">
        <f>F576</f>
        <v>Water Operations</v>
      </c>
      <c r="G594" s="187">
        <f>G50</f>
        <v>11913600</v>
      </c>
      <c r="H594" s="138">
        <f>IF(D594=G594,0,IF(D594=0,100,(G594-D594)/D594*100))</f>
        <v>6.3799769624344815</v>
      </c>
      <c r="I594" s="33">
        <f t="shared" ref="I594:Q594" si="390">I50</f>
        <v>12154300</v>
      </c>
      <c r="J594" s="33">
        <f t="shared" si="390"/>
        <v>12435300</v>
      </c>
      <c r="K594" s="33">
        <f t="shared" si="390"/>
        <v>12705200</v>
      </c>
      <c r="L594" s="33">
        <f t="shared" si="390"/>
        <v>13171700</v>
      </c>
      <c r="M594" s="33">
        <f t="shared" si="390"/>
        <v>13706300</v>
      </c>
      <c r="N594" s="33">
        <f t="shared" si="390"/>
        <v>14146300</v>
      </c>
      <c r="O594" s="33">
        <f t="shared" si="390"/>
        <v>14654900</v>
      </c>
      <c r="P594" s="33">
        <f t="shared" si="390"/>
        <v>15212700</v>
      </c>
      <c r="Q594" s="33">
        <f t="shared" si="390"/>
        <v>15802300</v>
      </c>
      <c r="R594" s="114">
        <f t="shared" ref="R594" si="391">R50</f>
        <v>16499100</v>
      </c>
    </row>
    <row r="595" spans="1:18" s="84" customFormat="1" x14ac:dyDescent="0.2">
      <c r="A595" s="107">
        <f>A113</f>
        <v>13786600</v>
      </c>
      <c r="B595" s="33">
        <f>B113</f>
        <v>14462800</v>
      </c>
      <c r="C595" s="187">
        <f>C113</f>
        <v>15355900</v>
      </c>
      <c r="D595" s="187">
        <f>D113</f>
        <v>16363900</v>
      </c>
      <c r="E595" s="138"/>
      <c r="F595" s="99" t="str">
        <f>F577</f>
        <v>Wastewater Operations</v>
      </c>
      <c r="G595" s="187">
        <f>G113</f>
        <v>17705900</v>
      </c>
      <c r="H595" s="138">
        <f>IF(D595=G595,0,IF(D595=0,100,(G595-D595)/D595*100))</f>
        <v>8.2009789842274756</v>
      </c>
      <c r="I595" s="33">
        <f t="shared" ref="I595:Q595" si="392">I113</f>
        <v>18138500</v>
      </c>
      <c r="J595" s="33">
        <f t="shared" si="392"/>
        <v>18603000</v>
      </c>
      <c r="K595" s="33">
        <f t="shared" si="392"/>
        <v>19115500</v>
      </c>
      <c r="L595" s="33">
        <f t="shared" si="392"/>
        <v>19843000</v>
      </c>
      <c r="M595" s="33">
        <f t="shared" si="392"/>
        <v>20400000</v>
      </c>
      <c r="N595" s="33">
        <f t="shared" si="392"/>
        <v>21021900</v>
      </c>
      <c r="O595" s="33">
        <f t="shared" si="392"/>
        <v>21627500</v>
      </c>
      <c r="P595" s="33">
        <f t="shared" si="392"/>
        <v>22327800</v>
      </c>
      <c r="Q595" s="33">
        <f t="shared" si="392"/>
        <v>23121500</v>
      </c>
      <c r="R595" s="114">
        <f t="shared" ref="R595" si="393">R113</f>
        <v>23940600</v>
      </c>
    </row>
    <row r="596" spans="1:18" s="84" customFormat="1" ht="13.5" thickBot="1" x14ac:dyDescent="0.25">
      <c r="A596" s="107"/>
      <c r="B596" s="33"/>
      <c r="C596" s="189"/>
      <c r="D596" s="189"/>
      <c r="E596" s="1959"/>
      <c r="F596" s="33"/>
      <c r="G596" s="187"/>
      <c r="H596" s="179"/>
      <c r="I596" s="33"/>
      <c r="J596" s="33"/>
      <c r="K596" s="33"/>
      <c r="L596" s="33"/>
      <c r="M596" s="33"/>
      <c r="N596" s="33"/>
      <c r="O596" s="33"/>
      <c r="P596" s="33"/>
      <c r="Q596" s="33"/>
      <c r="R596" s="114"/>
    </row>
    <row r="597" spans="1:18" s="92" customFormat="1" x14ac:dyDescent="0.2">
      <c r="A597" s="105">
        <f>SUM(A594:A596)</f>
        <v>23420100</v>
      </c>
      <c r="B597" s="53">
        <f>SUM(B594:B596)</f>
        <v>25151900</v>
      </c>
      <c r="C597" s="190">
        <f>SUM(C594:C596)</f>
        <v>26248400</v>
      </c>
      <c r="D597" s="190">
        <f>SUM(D594:D596)</f>
        <v>27563000</v>
      </c>
      <c r="E597" s="1990"/>
      <c r="F597" s="378" t="s">
        <v>2605</v>
      </c>
      <c r="G597" s="199">
        <f t="shared" ref="G597:M597" si="394">SUM(G594:G596)</f>
        <v>29619500</v>
      </c>
      <c r="H597" s="179">
        <f>IF(D597=G597,0,IF(D597=0,100,(G597-D597)/D597*100))</f>
        <v>7.4610891412400679</v>
      </c>
      <c r="I597" s="53">
        <f t="shared" si="394"/>
        <v>30292800</v>
      </c>
      <c r="J597" s="53">
        <f t="shared" si="394"/>
        <v>31038300</v>
      </c>
      <c r="K597" s="53">
        <f t="shared" si="394"/>
        <v>31820700</v>
      </c>
      <c r="L597" s="53">
        <f t="shared" si="394"/>
        <v>33014700</v>
      </c>
      <c r="M597" s="53">
        <f t="shared" si="394"/>
        <v>34106300</v>
      </c>
      <c r="N597" s="53">
        <f>SUM(N594:N596)</f>
        <v>35168200</v>
      </c>
      <c r="O597" s="53">
        <f>SUM(O594:O596)</f>
        <v>36282400</v>
      </c>
      <c r="P597" s="53">
        <f>SUM(P594:P596)</f>
        <v>37540500</v>
      </c>
      <c r="Q597" s="53">
        <f>SUM(Q594:Q596)</f>
        <v>38923800</v>
      </c>
      <c r="R597" s="113">
        <f>SUM(R594:R596)</f>
        <v>40439700</v>
      </c>
    </row>
    <row r="598" spans="1:18" s="84" customFormat="1" x14ac:dyDescent="0.2">
      <c r="A598" s="107"/>
      <c r="B598" s="33"/>
      <c r="C598" s="189"/>
      <c r="D598" s="189"/>
      <c r="E598" s="1959"/>
      <c r="F598" s="33"/>
      <c r="G598" s="187"/>
      <c r="H598" s="179"/>
      <c r="I598" s="33"/>
      <c r="J598" s="33"/>
      <c r="K598" s="33"/>
      <c r="L598" s="33"/>
      <c r="M598" s="33"/>
      <c r="N598" s="33"/>
      <c r="O598" s="33"/>
      <c r="P598" s="33"/>
      <c r="Q598" s="33"/>
      <c r="R598" s="114"/>
    </row>
    <row r="599" spans="1:18" s="84" customFormat="1" x14ac:dyDescent="0.2">
      <c r="A599" s="107"/>
      <c r="B599" s="33"/>
      <c r="C599" s="189"/>
      <c r="D599" s="189"/>
      <c r="E599" s="1959"/>
      <c r="F599" s="365" t="s">
        <v>2205</v>
      </c>
      <c r="G599" s="187"/>
      <c r="H599" s="179"/>
      <c r="I599" s="33"/>
      <c r="J599" s="33"/>
      <c r="K599" s="33"/>
      <c r="L599" s="33"/>
      <c r="M599" s="33"/>
      <c r="N599" s="33"/>
      <c r="O599" s="33"/>
      <c r="P599" s="33"/>
      <c r="Q599" s="33"/>
      <c r="R599" s="114"/>
    </row>
    <row r="600" spans="1:18" s="84" customFormat="1" x14ac:dyDescent="0.2">
      <c r="A600" s="107"/>
      <c r="B600" s="33"/>
      <c r="C600" s="189"/>
      <c r="D600" s="187"/>
      <c r="E600" s="138"/>
      <c r="F600" s="64"/>
      <c r="G600" s="187"/>
      <c r="H600" s="179"/>
      <c r="I600" s="33"/>
      <c r="J600" s="33"/>
      <c r="K600" s="33"/>
      <c r="L600" s="33"/>
      <c r="M600" s="33"/>
      <c r="N600" s="33"/>
      <c r="O600" s="33"/>
      <c r="P600" s="33"/>
      <c r="Q600" s="33"/>
      <c r="R600" s="114"/>
    </row>
    <row r="601" spans="1:18" s="84" customFormat="1" x14ac:dyDescent="0.2">
      <c r="A601" s="107">
        <f>A81</f>
        <v>10923600</v>
      </c>
      <c r="B601" s="33">
        <f>B81</f>
        <v>11111600</v>
      </c>
      <c r="C601" s="189">
        <f>C81</f>
        <v>10817000</v>
      </c>
      <c r="D601" s="187">
        <f>D81</f>
        <v>10849900</v>
      </c>
      <c r="E601" s="138"/>
      <c r="F601" s="33" t="s">
        <v>150</v>
      </c>
      <c r="G601" s="187">
        <f>G81</f>
        <v>11269600</v>
      </c>
      <c r="H601" s="138">
        <f>IF(D601=G601,0,IF(D601=0,100,(G601-D601)/D601*100))</f>
        <v>3.8682384169439352</v>
      </c>
      <c r="I601" s="33">
        <f t="shared" ref="I601:Q601" si="395">I81</f>
        <v>11190400</v>
      </c>
      <c r="J601" s="33">
        <f t="shared" si="395"/>
        <v>11506300</v>
      </c>
      <c r="K601" s="33">
        <f t="shared" si="395"/>
        <v>11749400</v>
      </c>
      <c r="L601" s="33">
        <f t="shared" si="395"/>
        <v>12039500</v>
      </c>
      <c r="M601" s="33">
        <f t="shared" si="395"/>
        <v>12348400</v>
      </c>
      <c r="N601" s="33">
        <f t="shared" si="395"/>
        <v>12715100</v>
      </c>
      <c r="O601" s="33">
        <f t="shared" si="395"/>
        <v>12989900</v>
      </c>
      <c r="P601" s="33">
        <f t="shared" si="395"/>
        <v>13323800</v>
      </c>
      <c r="Q601" s="33">
        <f t="shared" si="395"/>
        <v>13666400</v>
      </c>
      <c r="R601" s="114">
        <f t="shared" ref="R601" si="396">R81</f>
        <v>14018500</v>
      </c>
    </row>
    <row r="602" spans="1:18" s="84" customFormat="1" x14ac:dyDescent="0.2">
      <c r="A602" s="107">
        <f>A145</f>
        <v>17499800</v>
      </c>
      <c r="B602" s="33">
        <f>B145</f>
        <v>17044400</v>
      </c>
      <c r="C602" s="189">
        <f>C145</f>
        <v>28747200</v>
      </c>
      <c r="D602" s="187">
        <f>D145</f>
        <v>17312700</v>
      </c>
      <c r="E602" s="138"/>
      <c r="F602" s="33" t="s">
        <v>859</v>
      </c>
      <c r="G602" s="187">
        <f>G145</f>
        <v>17187700</v>
      </c>
      <c r="H602" s="138">
        <f>IF(D602=G602,0,IF(D602=0,100,(G602-D602)/D602*100))</f>
        <v>-0.72201331970172189</v>
      </c>
      <c r="I602" s="33">
        <f t="shared" ref="I602:Q602" si="397">I145</f>
        <v>17800500</v>
      </c>
      <c r="J602" s="33">
        <f t="shared" si="397"/>
        <v>17710400</v>
      </c>
      <c r="K602" s="33">
        <f t="shared" si="397"/>
        <v>17828600</v>
      </c>
      <c r="L602" s="33">
        <f t="shared" si="397"/>
        <v>17938700</v>
      </c>
      <c r="M602" s="33">
        <f t="shared" si="397"/>
        <v>18031700</v>
      </c>
      <c r="N602" s="33">
        <f t="shared" si="397"/>
        <v>18191200</v>
      </c>
      <c r="O602" s="33">
        <f t="shared" si="397"/>
        <v>18252600</v>
      </c>
      <c r="P602" s="33">
        <f t="shared" si="397"/>
        <v>18365500</v>
      </c>
      <c r="Q602" s="33">
        <f t="shared" si="397"/>
        <v>18420300</v>
      </c>
      <c r="R602" s="114">
        <f t="shared" ref="R602" si="398">R145</f>
        <v>18540400</v>
      </c>
    </row>
    <row r="603" spans="1:18" s="84" customFormat="1" ht="13.5" thickBot="1" x14ac:dyDescent="0.25">
      <c r="A603" s="107"/>
      <c r="B603" s="33"/>
      <c r="C603" s="189"/>
      <c r="D603" s="189"/>
      <c r="E603" s="1959"/>
      <c r="F603" s="366"/>
      <c r="G603" s="187"/>
      <c r="H603" s="179"/>
      <c r="I603" s="33"/>
      <c r="J603" s="33"/>
      <c r="K603" s="33"/>
      <c r="L603" s="33"/>
      <c r="M603" s="33"/>
      <c r="N603" s="33"/>
      <c r="O603" s="33"/>
      <c r="P603" s="33"/>
      <c r="Q603" s="33"/>
      <c r="R603" s="114"/>
    </row>
    <row r="604" spans="1:18" s="92" customFormat="1" x14ac:dyDescent="0.2">
      <c r="A604" s="105">
        <f>SUM(A600:A603)</f>
        <v>28423400</v>
      </c>
      <c r="B604" s="53">
        <f>SUM(B600:B603)</f>
        <v>28156000</v>
      </c>
      <c r="C604" s="190">
        <f>SUM(C600:C603)</f>
        <v>39564200</v>
      </c>
      <c r="D604" s="190">
        <f>SUM(D600:D603)</f>
        <v>28162600</v>
      </c>
      <c r="E604" s="1990"/>
      <c r="F604" s="378" t="s">
        <v>565</v>
      </c>
      <c r="G604" s="199">
        <f t="shared" ref="G604:M604" si="399">SUM(G600:G603)</f>
        <v>28457300</v>
      </c>
      <c r="H604" s="179">
        <f>IF(D604=G604,0,IF(D604=0,100,(G604-D604)/D604*100))</f>
        <v>1.0464232705787109</v>
      </c>
      <c r="I604" s="53">
        <f t="shared" si="399"/>
        <v>28990900</v>
      </c>
      <c r="J604" s="53">
        <f t="shared" si="399"/>
        <v>29216700</v>
      </c>
      <c r="K604" s="53">
        <f t="shared" si="399"/>
        <v>29578000</v>
      </c>
      <c r="L604" s="53">
        <f t="shared" si="399"/>
        <v>29978200</v>
      </c>
      <c r="M604" s="53">
        <f t="shared" si="399"/>
        <v>30380100</v>
      </c>
      <c r="N604" s="53">
        <f>SUM(N600:N603)</f>
        <v>30906300</v>
      </c>
      <c r="O604" s="53">
        <f>SUM(O600:O603)</f>
        <v>31242500</v>
      </c>
      <c r="P604" s="53">
        <f>SUM(P600:P603)</f>
        <v>31689300</v>
      </c>
      <c r="Q604" s="53">
        <f>SUM(Q600:Q603)</f>
        <v>32086700</v>
      </c>
      <c r="R604" s="113">
        <f>SUM(R600:R603)</f>
        <v>32558900</v>
      </c>
    </row>
    <row r="605" spans="1:18" s="84" customFormat="1" ht="13.5" thickBot="1" x14ac:dyDescent="0.25">
      <c r="A605" s="70"/>
      <c r="B605" s="64"/>
      <c r="C605" s="193"/>
      <c r="D605" s="192"/>
      <c r="E605" s="138"/>
      <c r="F605" s="33"/>
      <c r="G605" s="192"/>
      <c r="H605" s="179"/>
      <c r="I605" s="33"/>
      <c r="J605" s="33"/>
      <c r="K605" s="33"/>
      <c r="L605" s="33"/>
      <c r="M605" s="33"/>
      <c r="N605" s="33"/>
      <c r="O605" s="33"/>
      <c r="P605" s="33"/>
      <c r="Q605" s="33"/>
      <c r="R605" s="114"/>
    </row>
    <row r="606" spans="1:18" s="84" customFormat="1" x14ac:dyDescent="0.2">
      <c r="A606" s="105">
        <f>A597-A604</f>
        <v>-5003300</v>
      </c>
      <c r="B606" s="53">
        <f>B597-B604</f>
        <v>-3004100</v>
      </c>
      <c r="C606" s="190">
        <f>C597-C604</f>
        <v>-13315800</v>
      </c>
      <c r="D606" s="190">
        <f>D597-D604</f>
        <v>-599600</v>
      </c>
      <c r="E606" s="138"/>
      <c r="F606" s="516" t="s">
        <v>366</v>
      </c>
      <c r="G606" s="199">
        <f t="shared" ref="G606:M606" si="400">G597-G604</f>
        <v>1162200</v>
      </c>
      <c r="H606" s="179">
        <f>IF(D606=G606,0,IF(D606=0,100,(G606-D606)/D606*100))</f>
        <v>-293.82921947965309</v>
      </c>
      <c r="I606" s="53">
        <f t="shared" si="400"/>
        <v>1301900</v>
      </c>
      <c r="J606" s="53">
        <f t="shared" si="400"/>
        <v>1821600</v>
      </c>
      <c r="K606" s="53">
        <f t="shared" si="400"/>
        <v>2242700</v>
      </c>
      <c r="L606" s="53">
        <f t="shared" si="400"/>
        <v>3036500</v>
      </c>
      <c r="M606" s="53">
        <f t="shared" si="400"/>
        <v>3726200</v>
      </c>
      <c r="N606" s="53">
        <f>N597-N604</f>
        <v>4261900</v>
      </c>
      <c r="O606" s="53">
        <f>O597-O604</f>
        <v>5039900</v>
      </c>
      <c r="P606" s="53">
        <f>P597-P604</f>
        <v>5851200</v>
      </c>
      <c r="Q606" s="53">
        <f>Q597-Q604</f>
        <v>6837100</v>
      </c>
      <c r="R606" s="113">
        <f>R597-R604</f>
        <v>7880800</v>
      </c>
    </row>
    <row r="607" spans="1:18" s="84" customFormat="1" x14ac:dyDescent="0.2">
      <c r="A607" s="70"/>
      <c r="B607" s="64"/>
      <c r="C607" s="193"/>
      <c r="D607" s="193"/>
      <c r="E607" s="138"/>
      <c r="F607" s="516"/>
      <c r="G607" s="192"/>
      <c r="H607" s="64"/>
      <c r="I607" s="64"/>
      <c r="J607" s="64"/>
      <c r="K607" s="64"/>
      <c r="L607" s="64"/>
      <c r="M607" s="64"/>
      <c r="N607" s="64"/>
      <c r="O607" s="64"/>
      <c r="P607" s="64"/>
      <c r="Q607" s="64"/>
      <c r="R607" s="115"/>
    </row>
    <row r="608" spans="1:18" s="84" customFormat="1" x14ac:dyDescent="0.2">
      <c r="A608" s="70">
        <f>A606-A579</f>
        <v>0</v>
      </c>
      <c r="B608" s="64">
        <f>B606-B579</f>
        <v>0</v>
      </c>
      <c r="C608" s="193">
        <f>C606-C579</f>
        <v>0</v>
      </c>
      <c r="D608" s="193">
        <f>D606-D579</f>
        <v>0</v>
      </c>
      <c r="E608" s="138"/>
      <c r="F608" s="516" t="s">
        <v>1763</v>
      </c>
      <c r="G608" s="192">
        <f t="shared" ref="G608:P608" si="401">G606-G579</f>
        <v>0</v>
      </c>
      <c r="H608" s="64"/>
      <c r="I608" s="64">
        <f t="shared" si="401"/>
        <v>0</v>
      </c>
      <c r="J608" s="64">
        <f t="shared" si="401"/>
        <v>0</v>
      </c>
      <c r="K608" s="64">
        <f t="shared" si="401"/>
        <v>0</v>
      </c>
      <c r="L608" s="64">
        <f t="shared" si="401"/>
        <v>0</v>
      </c>
      <c r="M608" s="64">
        <f t="shared" si="401"/>
        <v>0</v>
      </c>
      <c r="N608" s="64">
        <f t="shared" si="401"/>
        <v>0</v>
      </c>
      <c r="O608" s="64">
        <f t="shared" si="401"/>
        <v>0</v>
      </c>
      <c r="P608" s="64">
        <f t="shared" si="401"/>
        <v>0</v>
      </c>
      <c r="Q608" s="64">
        <f t="shared" ref="Q608" si="402">Q606-Q579</f>
        <v>0</v>
      </c>
      <c r="R608" s="115">
        <f t="shared" ref="R608" si="403">R606-R579</f>
        <v>0</v>
      </c>
    </row>
    <row r="609" spans="1:18" s="84" customFormat="1" ht="13.5" thickBot="1" x14ac:dyDescent="0.25">
      <c r="A609" s="73"/>
      <c r="B609" s="90"/>
      <c r="C609" s="200"/>
      <c r="D609" s="200"/>
      <c r="E609" s="140"/>
      <c r="F609" s="141"/>
      <c r="G609" s="200"/>
      <c r="H609" s="90"/>
      <c r="I609" s="66"/>
      <c r="J609" s="66"/>
      <c r="K609" s="66"/>
      <c r="L609" s="66"/>
      <c r="M609" s="66"/>
      <c r="N609" s="66"/>
      <c r="O609" s="66"/>
      <c r="P609" s="66"/>
      <c r="Q609" s="66"/>
      <c r="R609" s="165"/>
    </row>
    <row r="610" spans="1:18" ht="13.5" thickTop="1" x14ac:dyDescent="0.2"/>
  </sheetData>
  <mergeCells count="32">
    <mergeCell ref="A495:D495"/>
    <mergeCell ref="A589:D589"/>
    <mergeCell ref="A573:D573"/>
    <mergeCell ref="A563:D563"/>
    <mergeCell ref="A290:D290"/>
    <mergeCell ref="A494:R494"/>
    <mergeCell ref="G495:R495"/>
    <mergeCell ref="G563:R563"/>
    <mergeCell ref="G589:R589"/>
    <mergeCell ref="G573:R573"/>
    <mergeCell ref="A101:D101"/>
    <mergeCell ref="A423:D423"/>
    <mergeCell ref="A227:D227"/>
    <mergeCell ref="A165:D165"/>
    <mergeCell ref="G101:R101"/>
    <mergeCell ref="A164:R164"/>
    <mergeCell ref="G165:R165"/>
    <mergeCell ref="A226:R226"/>
    <mergeCell ref="G227:R227"/>
    <mergeCell ref="A289:R289"/>
    <mergeCell ref="G290:R290"/>
    <mergeCell ref="A361:R361"/>
    <mergeCell ref="G362:R362"/>
    <mergeCell ref="A422:R422"/>
    <mergeCell ref="G423:R423"/>
    <mergeCell ref="A1:R1"/>
    <mergeCell ref="G2:R2"/>
    <mergeCell ref="A37:R37"/>
    <mergeCell ref="G38:R38"/>
    <mergeCell ref="A100:R100"/>
    <mergeCell ref="A2:D2"/>
    <mergeCell ref="A38:D38"/>
  </mergeCells>
  <phoneticPr fontId="9" type="noConversion"/>
  <printOptions horizontalCentered="1"/>
  <pageMargins left="0.19685039370078741" right="0.19685039370078741" top="0.19685039370078741" bottom="0.19685039370078741" header="0.39370078740157483" footer="0.39370078740157483"/>
  <pageSetup paperSize="9" scale="60" orientation="landscape" r:id="rId1"/>
  <headerFooter alignWithMargins="0"/>
  <rowBreaks count="9" manualBreakCount="9">
    <brk id="35" max="16383" man="1"/>
    <brk id="98" max="16383" man="1"/>
    <brk id="162" max="16383" man="1"/>
    <brk id="225" max="16383" man="1"/>
    <brk id="288" max="16383" man="1"/>
    <brk id="359" max="16383" man="1"/>
    <brk id="421" max="16383" man="1"/>
    <brk id="493" max="16383" man="1"/>
    <brk id="561" max="16383"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29</vt:i4>
      </vt:variant>
    </vt:vector>
  </HeadingPairs>
  <TitlesOfParts>
    <vt:vector size="62" baseType="lpstr">
      <vt:lpstr>Checks</vt:lpstr>
      <vt:lpstr>Assumptions</vt:lpstr>
      <vt:lpstr>LTFP</vt:lpstr>
      <vt:lpstr>BS&amp;Ratios</vt:lpstr>
      <vt:lpstr>SP</vt:lpstr>
      <vt:lpstr>DEH</vt:lpstr>
      <vt:lpstr>CIV</vt:lpstr>
      <vt:lpstr>GM</vt:lpstr>
      <vt:lpstr>W&amp;W</vt:lpstr>
      <vt:lpstr>Cash-Gen</vt:lpstr>
      <vt:lpstr>Cap-Gen</vt:lpstr>
      <vt:lpstr>Cap Inc</vt:lpstr>
      <vt:lpstr>Res-Gen</vt:lpstr>
      <vt:lpstr>Res-Bal</vt:lpstr>
      <vt:lpstr>Debt-Gen</vt:lpstr>
      <vt:lpstr>Sec 94</vt:lpstr>
      <vt:lpstr>Cap-Water</vt:lpstr>
      <vt:lpstr>Cap-WW</vt:lpstr>
      <vt:lpstr>Cash-W</vt:lpstr>
      <vt:lpstr>Cash-WW</vt:lpstr>
      <vt:lpstr>Debt-Water</vt:lpstr>
      <vt:lpstr>Debt-WW</vt:lpstr>
      <vt:lpstr>Salaries</vt:lpstr>
      <vt:lpstr>NEWLOG</vt:lpstr>
      <vt:lpstr>Recs</vt:lpstr>
      <vt:lpstr>Summaries</vt:lpstr>
      <vt:lpstr>Overheads</vt:lpstr>
      <vt:lpstr>LTFP to AMPs</vt:lpstr>
      <vt:lpstr>Sec 94 Roads</vt:lpstr>
      <vt:lpstr>Internals</vt:lpstr>
      <vt:lpstr>Res Jnls 1617 Budget</vt:lpstr>
      <vt:lpstr>DWM</vt:lpstr>
      <vt:lpstr>Sheet1</vt:lpstr>
      <vt:lpstr>'Cap-Gen'!OLE_LINK1</vt:lpstr>
      <vt:lpstr>'Cap-Gen'!OLE_LINK2</vt:lpstr>
      <vt:lpstr>Assumptions!Print_Area</vt:lpstr>
      <vt:lpstr>'BS&amp;Ratios'!Print_Area</vt:lpstr>
      <vt:lpstr>'Cap Inc'!Print_Area</vt:lpstr>
      <vt:lpstr>'Cap-Gen'!Print_Area</vt:lpstr>
      <vt:lpstr>'Cap-Water'!Print_Area</vt:lpstr>
      <vt:lpstr>'Cap-WW'!Print_Area</vt:lpstr>
      <vt:lpstr>'Cash-W'!Print_Area</vt:lpstr>
      <vt:lpstr>'Cash-WW'!Print_Area</vt:lpstr>
      <vt:lpstr>Checks!Print_Area</vt:lpstr>
      <vt:lpstr>CIV!Print_Area</vt:lpstr>
      <vt:lpstr>'Debt-Gen'!Print_Area</vt:lpstr>
      <vt:lpstr>'Debt-WW'!Print_Area</vt:lpstr>
      <vt:lpstr>DEH!Print_Area</vt:lpstr>
      <vt:lpstr>GM!Print_Area</vt:lpstr>
      <vt:lpstr>Internals!Print_Area</vt:lpstr>
      <vt:lpstr>LTFP!Print_Area</vt:lpstr>
      <vt:lpstr>NEWLOG!Print_Area</vt:lpstr>
      <vt:lpstr>Recs!Print_Area</vt:lpstr>
      <vt:lpstr>'Res Jnls 1617 Budget'!Print_Area</vt:lpstr>
      <vt:lpstr>'Res-Bal'!Print_Area</vt:lpstr>
      <vt:lpstr>'Res-Gen'!Print_Area</vt:lpstr>
      <vt:lpstr>'Sec 94'!Print_Area</vt:lpstr>
      <vt:lpstr>'Sec 94 Roads'!Print_Area</vt:lpstr>
      <vt:lpstr>SP!Print_Area</vt:lpstr>
      <vt:lpstr>Summaries!Print_Area</vt:lpstr>
      <vt:lpstr>'W&amp;W'!Print_Area</vt:lpstr>
      <vt:lpstr>'Res-Gen'!RESERVE_FUND_MOVEMENTS___GENERAL_FUND</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2006/2007 Draft Budget</dc:title>
  <dc:creator>Paul Hickey</dc:creator>
  <cp:lastModifiedBy>Paul Hickey</cp:lastModifiedBy>
  <cp:lastPrinted>2017-02-15T05:27:46Z</cp:lastPrinted>
  <dcterms:created xsi:type="dcterms:W3CDTF">2000-01-05T03:38:22Z</dcterms:created>
  <dcterms:modified xsi:type="dcterms:W3CDTF">2017-02-17T06:11:39Z</dcterms:modified>
</cp:coreProperties>
</file>